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pezlab/git/BacterialGenomes/RAW_DATA/"/>
    </mc:Choice>
  </mc:AlternateContent>
  <xr:revisionPtr revIDLastSave="0" documentId="13_ncr:1_{07C32E72-C414-B64A-99A8-40F07E79B876}" xr6:coauthVersionLast="45" xr6:coauthVersionMax="45" xr10:uidLastSave="{00000000-0000-0000-0000-000000000000}"/>
  <bookViews>
    <workbookView xWindow="0" yWindow="460" windowWidth="28800" windowHeight="16560" activeTab="1" xr2:uid="{00000000-000D-0000-FFFF-FFFF00000000}"/>
  </bookViews>
  <sheets>
    <sheet name="TimeZone-summary" sheetId="1" r:id="rId1"/>
    <sheet name="CD" sheetId="2" r:id="rId2"/>
    <sheet name="HO" sheetId="3" r:id="rId3"/>
    <sheet name="Analysis" sheetId="6" r:id="rId4"/>
    <sheet name="Sheet1" sheetId="7" r:id="rId5"/>
    <sheet name="Sheet2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" i="2" l="1"/>
  <c r="A1" i="3"/>
  <c r="A2" i="3"/>
  <c r="B1" i="2"/>
  <c r="Y1" i="2"/>
  <c r="D1" i="3"/>
  <c r="E1" i="3"/>
  <c r="C1" i="3"/>
  <c r="A1" i="2"/>
  <c r="AP31" i="6" l="1"/>
  <c r="AO31" i="6"/>
  <c r="AN31" i="6"/>
  <c r="AP30" i="6"/>
  <c r="AO30" i="6"/>
  <c r="AN30" i="6"/>
  <c r="AG31" i="6" l="1"/>
  <c r="AG30" i="6"/>
  <c r="AG21" i="6"/>
  <c r="X31" i="6"/>
  <c r="X30" i="6"/>
  <c r="AG22" i="6"/>
  <c r="AC31" i="6"/>
  <c r="AC30" i="6"/>
  <c r="AB33" i="6" s="1"/>
  <c r="AA31" i="6"/>
  <c r="AA30" i="6"/>
  <c r="Y31" i="6"/>
  <c r="Y30" i="6"/>
  <c r="AC15" i="6"/>
  <c r="X15" i="6"/>
  <c r="AC16" i="6"/>
  <c r="X16" i="6"/>
  <c r="AA16" i="6"/>
  <c r="AA15" i="6"/>
  <c r="Y16" i="6"/>
  <c r="Y15" i="6"/>
  <c r="AA34" i="6" l="1"/>
  <c r="AA33" i="6"/>
  <c r="Z15" i="6"/>
  <c r="AB15" i="6" s="1"/>
  <c r="Z16" i="6"/>
  <c r="AB16" i="6" s="1"/>
  <c r="O31" i="6"/>
  <c r="N31" i="6"/>
  <c r="O30" i="6"/>
  <c r="N30" i="6"/>
  <c r="P22" i="6"/>
  <c r="P21" i="6"/>
  <c r="AB34" i="6"/>
  <c r="Z34" i="6"/>
  <c r="Y34" i="6"/>
  <c r="Z33" i="6"/>
  <c r="Y33" i="6"/>
  <c r="X34" i="6"/>
  <c r="X33" i="6"/>
  <c r="AB25" i="6"/>
  <c r="AA25" i="6"/>
  <c r="Z25" i="6"/>
  <c r="Y25" i="6"/>
  <c r="AB24" i="6"/>
  <c r="AA24" i="6"/>
  <c r="Z24" i="6"/>
  <c r="Y24" i="6"/>
  <c r="X25" i="6"/>
  <c r="X24" i="6"/>
  <c r="P31" i="6" l="1"/>
  <c r="P30" i="6"/>
  <c r="K31" i="6"/>
  <c r="I31" i="6"/>
  <c r="K30" i="6"/>
  <c r="F30" i="6"/>
  <c r="J22" i="6"/>
  <c r="J21" i="6"/>
  <c r="I30" i="6"/>
  <c r="G31" i="6"/>
  <c r="G30" i="6"/>
  <c r="G33" i="6" s="1"/>
  <c r="F31" i="6"/>
  <c r="F33" i="6" l="1"/>
  <c r="I33" i="6"/>
  <c r="F34" i="6"/>
  <c r="H31" i="6"/>
  <c r="H34" i="6" s="1"/>
  <c r="J31" i="6"/>
  <c r="J34" i="6" s="1"/>
  <c r="G34" i="6"/>
  <c r="I34" i="6"/>
  <c r="H30" i="6"/>
  <c r="BO5" i="3"/>
  <c r="BO4" i="3"/>
  <c r="J30" i="6" l="1"/>
  <c r="J33" i="6" s="1"/>
  <c r="H33" i="6"/>
  <c r="BR5" i="3"/>
  <c r="BR4" i="3"/>
  <c r="BQ5" i="3"/>
  <c r="BQ4" i="3"/>
  <c r="BY5" i="3" l="1"/>
  <c r="BY4" i="3"/>
  <c r="CA5" i="3"/>
  <c r="CA4" i="3"/>
  <c r="BW4" i="3"/>
  <c r="BW7" i="3" s="1"/>
  <c r="BV4" i="3"/>
  <c r="BV7" i="3" s="1"/>
  <c r="BV5" i="3"/>
  <c r="BV8" i="3" s="1"/>
  <c r="BX4" i="3" l="1"/>
  <c r="BX7" i="3" s="1"/>
  <c r="BV9" i="3"/>
  <c r="BY8" i="3"/>
  <c r="BY7" i="3"/>
  <c r="BZ4" i="3" l="1"/>
  <c r="BZ7" i="3" s="1"/>
  <c r="BY9" i="3"/>
  <c r="CI4" i="3"/>
  <c r="CG4" i="3"/>
  <c r="CF4" i="3"/>
  <c r="CF8" i="3" s="1"/>
  <c r="CI5" i="3"/>
  <c r="CG5" i="3"/>
  <c r="CF5" i="3"/>
  <c r="CF9" i="3" s="1"/>
  <c r="CF10" i="3" l="1"/>
  <c r="CI8" i="3"/>
  <c r="CG8" i="3"/>
  <c r="CH4" i="3"/>
  <c r="CH8" i="3" s="1"/>
  <c r="CI9" i="3"/>
  <c r="CH5" i="3"/>
  <c r="CH9" i="3" s="1"/>
  <c r="CG9" i="3"/>
  <c r="CG10" i="3" s="1"/>
  <c r="BW5" i="3"/>
  <c r="CH10" i="3" l="1"/>
  <c r="CJ4" i="3"/>
  <c r="CJ8" i="3" s="1"/>
  <c r="CI10" i="3"/>
  <c r="CJ5" i="3"/>
  <c r="CJ9" i="3" s="1"/>
  <c r="BW8" i="3"/>
  <c r="BW9" i="3" s="1"/>
  <c r="BX5" i="3"/>
  <c r="P280" i="3"/>
  <c r="P433" i="3"/>
  <c r="P876" i="3"/>
  <c r="P994" i="3"/>
  <c r="P644" i="3"/>
  <c r="P267" i="3"/>
  <c r="P396" i="3"/>
  <c r="P220" i="3"/>
  <c r="P423" i="3"/>
  <c r="P320" i="3"/>
  <c r="P282" i="3"/>
  <c r="P621" i="3"/>
  <c r="P586" i="3"/>
  <c r="P851" i="3"/>
  <c r="P659" i="3"/>
  <c r="P322" i="3"/>
  <c r="P993" i="3"/>
  <c r="P809" i="3"/>
  <c r="P25" i="3"/>
  <c r="P81" i="3"/>
  <c r="P891" i="3"/>
  <c r="P6" i="3"/>
  <c r="P750" i="3"/>
  <c r="P264" i="3"/>
  <c r="P986" i="3"/>
  <c r="P40" i="3"/>
  <c r="P495" i="3"/>
  <c r="P938" i="3"/>
  <c r="P395" i="3"/>
  <c r="P896" i="3"/>
  <c r="P872" i="3"/>
  <c r="P945" i="3"/>
  <c r="P507" i="3"/>
  <c r="P482" i="3"/>
  <c r="P260" i="3"/>
  <c r="P735" i="3"/>
  <c r="P296" i="3"/>
  <c r="P867" i="3"/>
  <c r="P576" i="3"/>
  <c r="P892" i="3"/>
  <c r="P177" i="3"/>
  <c r="P457" i="3"/>
  <c r="P660" i="3"/>
  <c r="P524" i="3"/>
  <c r="P683" i="3"/>
  <c r="P213" i="3"/>
  <c r="P228" i="3"/>
  <c r="P903" i="3"/>
  <c r="P675" i="3"/>
  <c r="P831" i="3"/>
  <c r="P970" i="3"/>
  <c r="P936" i="3"/>
  <c r="P287" i="3"/>
  <c r="P842" i="3"/>
  <c r="P839" i="3"/>
  <c r="P802" i="3"/>
  <c r="P768" i="3"/>
  <c r="P764" i="3"/>
  <c r="P333" i="3"/>
  <c r="P142" i="3"/>
  <c r="P824" i="3"/>
  <c r="P461" i="3"/>
  <c r="P816" i="3"/>
  <c r="P314" i="3"/>
  <c r="P614" i="3"/>
  <c r="P376" i="3"/>
  <c r="P917" i="3"/>
  <c r="P77" i="3"/>
  <c r="P973" i="3"/>
  <c r="P874" i="3"/>
  <c r="P886" i="3"/>
  <c r="P805" i="3"/>
  <c r="P967" i="3"/>
  <c r="P747" i="3"/>
  <c r="P525" i="3"/>
  <c r="P789" i="3"/>
  <c r="P120" i="3"/>
  <c r="P794" i="3"/>
  <c r="P933" i="3"/>
  <c r="P882" i="3"/>
  <c r="P826" i="3"/>
  <c r="P358" i="3"/>
  <c r="P588" i="3"/>
  <c r="P888" i="3"/>
  <c r="P989" i="3"/>
  <c r="P235" i="3"/>
  <c r="P74" i="3"/>
  <c r="P471" i="3"/>
  <c r="P243" i="3"/>
  <c r="P946" i="3"/>
  <c r="P176" i="3"/>
  <c r="P41" i="3"/>
  <c r="P129" i="3"/>
  <c r="P143" i="3"/>
  <c r="P1007" i="3"/>
  <c r="P539" i="3"/>
  <c r="P570" i="3"/>
  <c r="P885" i="3"/>
  <c r="P379" i="3"/>
  <c r="P543" i="3"/>
  <c r="P531" i="3"/>
  <c r="P541" i="3"/>
  <c r="P65" i="3"/>
  <c r="P995" i="3"/>
  <c r="P771" i="3"/>
  <c r="P485" i="3"/>
  <c r="P837" i="3"/>
  <c r="P779" i="3"/>
  <c r="P852" i="3"/>
  <c r="P498" i="3"/>
  <c r="P45" i="3"/>
  <c r="P871" i="3"/>
  <c r="P18" i="3"/>
  <c r="P497" i="3"/>
  <c r="P148" i="3"/>
  <c r="P679" i="3"/>
  <c r="P803" i="3"/>
  <c r="P365" i="3"/>
  <c r="P386" i="3"/>
  <c r="P241" i="3"/>
  <c r="P224" i="3"/>
  <c r="P312" i="3"/>
  <c r="P238" i="3"/>
  <c r="P911" i="3"/>
  <c r="P14" i="3"/>
  <c r="P362" i="3"/>
  <c r="P336" i="3"/>
  <c r="P404" i="3"/>
  <c r="P210" i="3"/>
  <c r="P812" i="3"/>
  <c r="P800" i="3"/>
  <c r="P266" i="3"/>
  <c r="P732" i="3"/>
  <c r="P583" i="3"/>
  <c r="P262" i="3"/>
  <c r="P1011" i="3"/>
  <c r="P962" i="3"/>
  <c r="P624" i="3"/>
  <c r="P370" i="3"/>
  <c r="P413" i="3"/>
  <c r="P316" i="3"/>
  <c r="P197" i="3"/>
  <c r="P318" i="3"/>
  <c r="P411" i="3"/>
  <c r="P857" i="3"/>
  <c r="P638" i="3"/>
  <c r="P169" i="3"/>
  <c r="P371" i="3"/>
  <c r="P647" i="3"/>
  <c r="P685" i="3"/>
  <c r="P928" i="3"/>
  <c r="P250" i="3"/>
  <c r="P625" i="3"/>
  <c r="P694" i="3"/>
  <c r="P603" i="3"/>
  <c r="P684" i="3"/>
  <c r="P762" i="3"/>
  <c r="P753" i="3"/>
  <c r="P914" i="3"/>
  <c r="P858" i="3"/>
  <c r="P770" i="3"/>
  <c r="P622" i="3"/>
  <c r="P653" i="3"/>
  <c r="P786" i="3"/>
  <c r="P459" i="3"/>
  <c r="P862" i="3"/>
  <c r="P398" i="3"/>
  <c r="P1009" i="3"/>
  <c r="P113" i="3"/>
  <c r="P811" i="3"/>
  <c r="P356" i="3"/>
  <c r="P508" i="3"/>
  <c r="P504" i="3"/>
  <c r="P795" i="3"/>
  <c r="P467" i="3"/>
  <c r="P522" i="3"/>
  <c r="P89" i="3"/>
  <c r="P690" i="3"/>
  <c r="P184" i="3"/>
  <c r="P414" i="3"/>
  <c r="P680" i="3"/>
  <c r="P185" i="3"/>
  <c r="P199" i="3"/>
  <c r="P479" i="3"/>
  <c r="P953" i="3"/>
  <c r="P948" i="3"/>
  <c r="P902" i="3"/>
  <c r="P66" i="3"/>
  <c r="P920" i="3"/>
  <c r="P299" i="3"/>
  <c r="P98" i="3"/>
  <c r="P974" i="3"/>
  <c r="P810" i="3"/>
  <c r="P562" i="3"/>
  <c r="P645" i="3"/>
  <c r="P745" i="3"/>
  <c r="P306" i="3"/>
  <c r="P483" i="3"/>
  <c r="P430" i="3"/>
  <c r="P391" i="3"/>
  <c r="P368" i="3"/>
  <c r="P975" i="3"/>
  <c r="P190" i="3"/>
  <c r="P269" i="3"/>
  <c r="P261" i="3"/>
  <c r="P537" i="3"/>
  <c r="P739" i="3"/>
  <c r="P330" i="3"/>
  <c r="P481" i="3"/>
  <c r="P546" i="3"/>
  <c r="P981" i="3"/>
  <c r="P327" i="3"/>
  <c r="P669" i="3"/>
  <c r="P263" i="3"/>
  <c r="P778" i="3"/>
  <c r="P551" i="3"/>
  <c r="P760" i="3"/>
  <c r="P749" i="3"/>
  <c r="P910" i="3"/>
  <c r="P616" i="3"/>
  <c r="P877" i="3"/>
  <c r="P472" i="3"/>
  <c r="P301" i="3"/>
  <c r="P587" i="3"/>
  <c r="P627" i="3"/>
  <c r="P964" i="3"/>
  <c r="P307" i="3"/>
  <c r="P196" i="3"/>
  <c r="P127" i="3"/>
  <c r="P31" i="3"/>
  <c r="P152" i="3"/>
  <c r="P30" i="3"/>
  <c r="P505" i="3"/>
  <c r="P16" i="3"/>
  <c r="P207" i="3"/>
  <c r="P930" i="3"/>
  <c r="P846" i="3"/>
  <c r="P873" i="3"/>
  <c r="P960" i="3"/>
  <c r="P696" i="3"/>
  <c r="P444" i="3"/>
  <c r="P349" i="3"/>
  <c r="P201" i="3"/>
  <c r="P734" i="3"/>
  <c r="P695" i="3"/>
  <c r="P706" i="3"/>
  <c r="P315" i="3"/>
  <c r="P421" i="3"/>
  <c r="P470" i="3"/>
  <c r="P767" i="3"/>
  <c r="P833" i="3"/>
  <c r="P244" i="3"/>
  <c r="P11" i="3"/>
  <c r="P233" i="3"/>
  <c r="P155" i="3"/>
  <c r="P317" i="3"/>
  <c r="P927" i="3"/>
  <c r="P205" i="3"/>
  <c r="P275" i="3"/>
  <c r="P1004" i="3"/>
  <c r="P870" i="3"/>
  <c r="P676" i="3"/>
  <c r="P725" i="3"/>
  <c r="P939" i="3"/>
  <c r="P744" i="3"/>
  <c r="P492" i="3"/>
  <c r="P961" i="3"/>
  <c r="P265" i="3"/>
  <c r="P982" i="3"/>
  <c r="P788" i="3"/>
  <c r="P240" i="3"/>
  <c r="P843" i="3"/>
  <c r="P780" i="3"/>
  <c r="P573" i="3"/>
  <c r="P122" i="3"/>
  <c r="P700" i="3"/>
  <c r="P194" i="3"/>
  <c r="P511" i="3"/>
  <c r="P699" i="3"/>
  <c r="P329" i="3"/>
  <c r="P866" i="3"/>
  <c r="P468" i="3"/>
  <c r="P383" i="3"/>
  <c r="P374" i="3"/>
  <c r="P334" i="3"/>
  <c r="P403" i="3"/>
  <c r="P305" i="3"/>
  <c r="P738" i="3"/>
  <c r="P818" i="3"/>
  <c r="P670" i="3"/>
  <c r="P841" i="3"/>
  <c r="P499" i="3"/>
  <c r="P42" i="3"/>
  <c r="P722" i="3"/>
  <c r="P860" i="3"/>
  <c r="P108" i="3"/>
  <c r="P53" i="3"/>
  <c r="P565" i="3"/>
  <c r="P548" i="3"/>
  <c r="P710" i="3"/>
  <c r="P957" i="3"/>
  <c r="P359" i="3"/>
  <c r="P408" i="3"/>
  <c r="P686" i="3"/>
  <c r="P515" i="3"/>
  <c r="P549" i="3"/>
  <c r="P849" i="3"/>
  <c r="P582" i="3"/>
  <c r="P641" i="3"/>
  <c r="P838" i="3"/>
  <c r="P720" i="3"/>
  <c r="P1002" i="3"/>
  <c r="P942" i="3"/>
  <c r="P830" i="3"/>
  <c r="P103" i="3"/>
  <c r="P850" i="3"/>
  <c r="P662" i="3"/>
  <c r="P154" i="3"/>
  <c r="P181" i="3"/>
  <c r="P781" i="3"/>
  <c r="P451" i="3"/>
  <c r="P446" i="3"/>
  <c r="P422" i="3"/>
  <c r="P338" i="3"/>
  <c r="P561" i="3"/>
  <c r="P868" i="3"/>
  <c r="P558" i="3"/>
  <c r="P657" i="3"/>
  <c r="P172" i="3"/>
  <c r="P69" i="3"/>
  <c r="P352" i="3"/>
  <c r="P206" i="3"/>
  <c r="P758" i="3"/>
  <c r="P590" i="3"/>
  <c r="P798" i="3"/>
  <c r="P547" i="3"/>
  <c r="P466" i="3"/>
  <c r="P248" i="3"/>
  <c r="P863" i="3"/>
  <c r="P900" i="3"/>
  <c r="P752" i="3"/>
  <c r="P95" i="3"/>
  <c r="P87" i="3"/>
  <c r="P664" i="3"/>
  <c r="P286" i="3"/>
  <c r="P572" i="3"/>
  <c r="P294" i="3"/>
  <c r="P198" i="3"/>
  <c r="P344" i="3"/>
  <c r="P67" i="3"/>
  <c r="P375" i="3"/>
  <c r="P792" i="3"/>
  <c r="P916" i="3"/>
  <c r="P24" i="3"/>
  <c r="P454" i="3"/>
  <c r="P291" i="3"/>
  <c r="P951" i="3"/>
  <c r="P949" i="3"/>
  <c r="P832" i="3"/>
  <c r="P462" i="3"/>
  <c r="P455" i="3"/>
  <c r="P571" i="3"/>
  <c r="P502" i="3"/>
  <c r="P84" i="3"/>
  <c r="P325" i="3"/>
  <c r="P1012" i="3"/>
  <c r="P162" i="3"/>
  <c r="P985" i="3"/>
  <c r="P599" i="3"/>
  <c r="P348" i="3"/>
  <c r="P579" i="3"/>
  <c r="P23" i="3"/>
  <c r="P357" i="3"/>
  <c r="P726" i="3"/>
  <c r="P71" i="3"/>
  <c r="P171" i="3"/>
  <c r="P75" i="3"/>
  <c r="P766" i="3"/>
  <c r="P230" i="3"/>
  <c r="P128" i="3"/>
  <c r="P568" i="3"/>
  <c r="P141" i="3"/>
  <c r="P751" i="3"/>
  <c r="P693" i="3"/>
  <c r="P491" i="3"/>
  <c r="P554" i="3"/>
  <c r="P724" i="3"/>
  <c r="P628" i="3"/>
  <c r="P609" i="3"/>
  <c r="P297" i="3"/>
  <c r="P806" i="3"/>
  <c r="P131" i="3"/>
  <c r="P813" i="3"/>
  <c r="P959" i="3"/>
  <c r="P20" i="3"/>
  <c r="P763" i="3"/>
  <c r="P500" i="3"/>
  <c r="P440" i="3"/>
  <c r="P43" i="3"/>
  <c r="P575" i="3"/>
  <c r="P144" i="3"/>
  <c r="P656" i="3"/>
  <c r="P168" i="3"/>
  <c r="P665" i="3"/>
  <c r="P513" i="3"/>
  <c r="P135" i="3"/>
  <c r="P405" i="3"/>
  <c r="P765" i="3"/>
  <c r="P170" i="3"/>
  <c r="P535" i="3"/>
  <c r="P303" i="3"/>
  <c r="P212" i="3"/>
  <c r="P52" i="3"/>
  <c r="P130" i="3"/>
  <c r="P859" i="3"/>
  <c r="P188" i="3"/>
  <c r="P200" i="3"/>
  <c r="P51" i="3"/>
  <c r="P553" i="3"/>
  <c r="P972" i="3"/>
  <c r="P236" i="3"/>
  <c r="P253" i="3"/>
  <c r="P674" i="3"/>
  <c r="P34" i="3"/>
  <c r="P121" i="3"/>
  <c r="P585" i="3"/>
  <c r="P784" i="3"/>
  <c r="P631" i="3"/>
  <c r="P503" i="3"/>
  <c r="P581" i="3"/>
  <c r="P158" i="3"/>
  <c r="P921" i="3"/>
  <c r="P527" i="3"/>
  <c r="P714" i="3"/>
  <c r="P584" i="3"/>
  <c r="P222" i="3"/>
  <c r="P823" i="3"/>
  <c r="P88" i="3"/>
  <c r="P646" i="3"/>
  <c r="P651" i="3"/>
  <c r="P8" i="3"/>
  <c r="P209" i="3"/>
  <c r="P611" i="3"/>
  <c r="P93" i="3"/>
  <c r="P117" i="3"/>
  <c r="P366" i="3"/>
  <c r="P956" i="3"/>
  <c r="P133" i="3"/>
  <c r="P17" i="3"/>
  <c r="P613" i="3"/>
  <c r="P1010" i="3"/>
  <c r="P436" i="3"/>
  <c r="P3" i="3"/>
  <c r="P61" i="3"/>
  <c r="P268" i="3"/>
  <c r="P36" i="3"/>
  <c r="P528" i="3"/>
  <c r="P578" i="3"/>
  <c r="P13" i="3"/>
  <c r="P256" i="3"/>
  <c r="P478" i="3"/>
  <c r="P145" i="3"/>
  <c r="P29" i="3"/>
  <c r="P773" i="3"/>
  <c r="P636" i="3"/>
  <c r="P450" i="3"/>
  <c r="P704" i="3"/>
  <c r="P272" i="3"/>
  <c r="P109" i="3"/>
  <c r="P427" i="3"/>
  <c r="P555" i="3"/>
  <c r="P496" i="3"/>
  <c r="P354" i="3"/>
  <c r="P456" i="3"/>
  <c r="P309" i="3"/>
  <c r="P715" i="3"/>
  <c r="P372" i="3"/>
  <c r="P905" i="3"/>
  <c r="P934" i="3"/>
  <c r="P978" i="3"/>
  <c r="P654" i="3"/>
  <c r="P111" i="3"/>
  <c r="P99" i="3"/>
  <c r="P124" i="3"/>
  <c r="P671" i="3"/>
  <c r="P258" i="3"/>
  <c r="P27" i="3"/>
  <c r="P12" i="3"/>
  <c r="P134" i="3"/>
  <c r="P486" i="3"/>
  <c r="P932" i="3"/>
  <c r="P79" i="3"/>
  <c r="P425" i="3"/>
  <c r="P245" i="3"/>
  <c r="P310" i="3"/>
  <c r="P594" i="3"/>
  <c r="P878" i="3"/>
  <c r="P682" i="3"/>
  <c r="P591" i="3"/>
  <c r="P984" i="3"/>
  <c r="P931" i="3"/>
  <c r="P116" i="3"/>
  <c r="P106" i="3"/>
  <c r="P418" i="3"/>
  <c r="P754" i="3"/>
  <c r="P730" i="3"/>
  <c r="P689" i="3"/>
  <c r="P343" i="3"/>
  <c r="P469" i="3"/>
  <c r="P380" i="3"/>
  <c r="P1006" i="3"/>
  <c r="P904" i="3"/>
  <c r="P9" i="3"/>
  <c r="P757" i="3"/>
  <c r="P227" i="3"/>
  <c r="P202" i="3"/>
  <c r="P140" i="3"/>
  <c r="P649" i="3"/>
  <c r="P618" i="3"/>
  <c r="P552" i="3"/>
  <c r="P323" i="3"/>
  <c r="P216" i="3"/>
  <c r="P477" i="3"/>
  <c r="P721" i="3"/>
  <c r="P913" i="3"/>
  <c r="P167" i="3"/>
  <c r="P166" i="3"/>
  <c r="P992" i="3"/>
  <c r="P367" i="3"/>
  <c r="P536" i="3"/>
  <c r="P175" i="3"/>
  <c r="P231" i="3"/>
  <c r="P629" i="3"/>
  <c r="P756" i="3"/>
  <c r="P1015" i="3"/>
  <c r="P929" i="3"/>
  <c r="P600" i="3"/>
  <c r="P112" i="3"/>
  <c r="P384" i="3"/>
  <c r="P895" i="3"/>
  <c r="P688" i="3"/>
  <c r="P924" i="3"/>
  <c r="P1018" i="3"/>
  <c r="P1017" i="3"/>
  <c r="P1016" i="3"/>
  <c r="P1019" i="3"/>
  <c r="P1013" i="3"/>
  <c r="P247" i="3"/>
  <c r="P174" i="3"/>
  <c r="P769" i="3"/>
  <c r="P968" i="3"/>
  <c r="P861" i="3"/>
  <c r="P100" i="3"/>
  <c r="P632" i="3"/>
  <c r="P545" i="3"/>
  <c r="P940" i="3"/>
  <c r="P804" i="3"/>
  <c r="P943" i="3"/>
  <c r="P834" i="3"/>
  <c r="P406" i="3"/>
  <c r="P161" i="3"/>
  <c r="P32" i="3"/>
  <c r="P33" i="3"/>
  <c r="P246" i="3"/>
  <c r="P273" i="3"/>
  <c r="P50" i="3"/>
  <c r="P373" i="3"/>
  <c r="P277" i="3"/>
  <c r="P62" i="3"/>
  <c r="P80" i="3"/>
  <c r="P215" i="3"/>
  <c r="P156" i="3"/>
  <c r="P138" i="3"/>
  <c r="P791" i="3"/>
  <c r="P447" i="3"/>
  <c r="P776" i="3"/>
  <c r="P533" i="3"/>
  <c r="P151" i="3"/>
  <c r="P180" i="3"/>
  <c r="P211" i="3"/>
  <c r="P856" i="3"/>
  <c r="P577" i="3"/>
  <c r="P219" i="3"/>
  <c r="P814" i="3"/>
  <c r="P389" i="3"/>
  <c r="P292" i="3"/>
  <c r="P332" i="3"/>
  <c r="P976" i="3"/>
  <c r="P328" i="3"/>
  <c r="P58" i="3"/>
  <c r="P829" i="3"/>
  <c r="P820" i="3"/>
  <c r="P226" i="3"/>
  <c r="P652" i="3"/>
  <c r="P331" i="3"/>
  <c r="P441" i="3"/>
  <c r="P90" i="3"/>
  <c r="P63" i="3"/>
  <c r="P426" i="3"/>
  <c r="P954" i="3"/>
  <c r="P642" i="3"/>
  <c r="P448" i="3"/>
  <c r="P923" i="3"/>
  <c r="P232" i="3"/>
  <c r="P38" i="3"/>
  <c r="P387" i="3"/>
  <c r="P91" i="3"/>
  <c r="P971" i="3"/>
  <c r="P712" i="3"/>
  <c r="P21" i="3"/>
  <c r="P825" i="3"/>
  <c r="P146" i="3"/>
  <c r="P681" i="3"/>
  <c r="P559" i="3"/>
  <c r="P606" i="3"/>
  <c r="P341" i="3"/>
  <c r="P847" i="3"/>
  <c r="P304" i="3"/>
  <c r="P44" i="3"/>
  <c r="P790" i="3"/>
  <c r="P540" i="3"/>
  <c r="P474" i="3"/>
  <c r="P60" i="3"/>
  <c r="P217" i="3"/>
  <c r="P996" i="3"/>
  <c r="P567" i="3"/>
  <c r="P550" i="3"/>
  <c r="P935" i="3"/>
  <c r="P183" i="3"/>
  <c r="P544" i="3"/>
  <c r="P801" i="3"/>
  <c r="P718" i="3"/>
  <c r="P487" i="3"/>
  <c r="P73" i="3"/>
  <c r="P1003" i="3"/>
  <c r="P661" i="3"/>
  <c r="P979" i="3"/>
  <c r="P564" i="3"/>
  <c r="P759" i="3"/>
  <c r="P195" i="3"/>
  <c r="P420" i="3"/>
  <c r="P417" i="3"/>
  <c r="P965" i="3"/>
  <c r="P529" i="3"/>
  <c r="P678" i="3"/>
  <c r="P1000" i="3"/>
  <c r="P308" i="3"/>
  <c r="P284" i="3"/>
  <c r="P104" i="3"/>
  <c r="P605" i="3"/>
  <c r="P727" i="3"/>
  <c r="P853" i="3"/>
  <c r="P434" i="3"/>
  <c r="P709" i="3"/>
  <c r="P516" i="3"/>
  <c r="P204" i="3"/>
  <c r="P415" i="3"/>
  <c r="P234" i="3"/>
  <c r="P136" i="3"/>
  <c r="P302" i="3"/>
  <c r="P532" i="3"/>
  <c r="P687" i="3"/>
  <c r="P521" i="3"/>
  <c r="P523" i="3"/>
  <c r="P64" i="3"/>
  <c r="P153" i="3"/>
  <c r="P402" i="3"/>
  <c r="P255" i="3"/>
  <c r="P49" i="3"/>
  <c r="P313" i="3"/>
  <c r="P132" i="3"/>
  <c r="P702" i="3"/>
  <c r="P191" i="3"/>
  <c r="P72" i="3"/>
  <c r="P252" i="3"/>
  <c r="P353" i="3"/>
  <c r="P208" i="3"/>
  <c r="P821" i="3"/>
  <c r="P799" i="3"/>
  <c r="P382" i="3"/>
  <c r="P501" i="3"/>
  <c r="P360" i="3"/>
  <c r="P271" i="3"/>
  <c r="P999" i="3"/>
  <c r="P242" i="3"/>
  <c r="P335" i="3"/>
  <c r="P285" i="3"/>
  <c r="P509" i="3"/>
  <c r="P400" i="3"/>
  <c r="P377" i="3"/>
  <c r="P257" i="3"/>
  <c r="P634" i="3"/>
  <c r="P48" i="3"/>
  <c r="P7" i="3"/>
  <c r="P463" i="3"/>
  <c r="P703" i="3"/>
  <c r="P123" i="3"/>
  <c r="P59" i="3"/>
  <c r="P566" i="3"/>
  <c r="P76" i="3"/>
  <c r="P596" i="3"/>
  <c r="P369" i="3"/>
  <c r="P658" i="3"/>
  <c r="P409" i="3"/>
  <c r="P337" i="3"/>
  <c r="P980" i="3"/>
  <c r="P592" i="3"/>
  <c r="P835" i="3"/>
  <c r="P755" i="3"/>
  <c r="P443" i="3"/>
  <c r="P494" i="3"/>
  <c r="P783" i="3"/>
  <c r="P419" i="3"/>
  <c r="P449" i="3"/>
  <c r="P465" i="3"/>
  <c r="P355" i="3"/>
  <c r="P884" i="3"/>
  <c r="P319" i="3"/>
  <c r="P410" i="3"/>
  <c r="P655" i="3"/>
  <c r="P102" i="3"/>
  <c r="P115" i="3"/>
  <c r="P432" i="3"/>
  <c r="P54" i="3"/>
  <c r="P259" i="3"/>
  <c r="P97" i="3"/>
  <c r="P278" i="3"/>
  <c r="P187" i="3"/>
  <c r="P807" i="3"/>
  <c r="P777" i="3"/>
  <c r="P854" i="3"/>
  <c r="P595" i="3"/>
  <c r="P729" i="3"/>
  <c r="P808" i="3"/>
  <c r="P225" i="3"/>
  <c r="P83" i="3"/>
  <c r="P922" i="3"/>
  <c r="P633" i="3"/>
  <c r="P114" i="3"/>
  <c r="P937" i="3"/>
  <c r="P848" i="3"/>
  <c r="P394" i="3"/>
  <c r="P907" i="3"/>
  <c r="P748" i="3"/>
  <c r="P407" i="3"/>
  <c r="P772" i="3"/>
  <c r="P251" i="3"/>
  <c r="P26" i="3"/>
  <c r="P845" i="3"/>
  <c r="P691" i="3"/>
  <c r="P347" i="3"/>
  <c r="P894" i="3"/>
  <c r="P796" i="3"/>
  <c r="P279" i="3"/>
  <c r="P743" i="3"/>
  <c r="P364" i="3"/>
  <c r="P221" i="3"/>
  <c r="P428" i="3"/>
  <c r="P363" i="3"/>
  <c r="P619" i="3"/>
  <c r="P57" i="3"/>
  <c r="P203" i="3"/>
  <c r="P345" i="3"/>
  <c r="P815" i="3"/>
  <c r="P737" i="3"/>
  <c r="P746" i="3"/>
  <c r="P880" i="3"/>
  <c r="P96" i="3"/>
  <c r="P86" i="3"/>
  <c r="P10" i="3"/>
  <c r="P435" i="3"/>
  <c r="P346" i="3"/>
  <c r="P879" i="3"/>
  <c r="P593" i="3"/>
  <c r="P506" i="3"/>
  <c r="P249" i="3"/>
  <c r="P218" i="3"/>
  <c r="P276" i="3"/>
  <c r="P864" i="3"/>
  <c r="P339" i="3"/>
  <c r="P741" i="3"/>
  <c r="P164" i="3"/>
  <c r="P897" i="3"/>
  <c r="P617" i="3"/>
  <c r="P889" i="3"/>
  <c r="P969" i="3"/>
  <c r="P281" i="3"/>
  <c r="P919" i="3"/>
  <c r="P125" i="3"/>
  <c r="P637" i="3"/>
  <c r="P460" i="3"/>
  <c r="P293" i="3"/>
  <c r="P742" i="3"/>
  <c r="P85" i="3"/>
  <c r="P437" i="3"/>
  <c r="P82" i="3"/>
  <c r="P311" i="3"/>
  <c r="P915" i="3"/>
  <c r="P875" i="3"/>
  <c r="P147" i="3"/>
  <c r="P542" i="3"/>
  <c r="P214" i="3"/>
  <c r="P844" i="3"/>
  <c r="P731" i="3"/>
  <c r="P105" i="3"/>
  <c r="P698" i="3"/>
  <c r="P35" i="3"/>
  <c r="P640" i="3"/>
  <c r="P4" i="3"/>
  <c r="P68" i="3"/>
  <c r="P692" i="3"/>
  <c r="P326" i="3"/>
  <c r="P950" i="3"/>
  <c r="P431" i="3"/>
  <c r="P385" i="3"/>
  <c r="P179" i="3"/>
  <c r="P819" i="3"/>
  <c r="P534" i="3"/>
  <c r="P393" i="3"/>
  <c r="P298" i="3"/>
  <c r="P193" i="3"/>
  <c r="P677" i="3"/>
  <c r="P604" i="3"/>
  <c r="P761" i="3"/>
  <c r="P589" i="3"/>
  <c r="P787" i="3"/>
  <c r="P94" i="3"/>
  <c r="P797" i="3"/>
  <c r="P1014" i="3"/>
  <c r="P944" i="3"/>
  <c r="P775" i="3"/>
  <c r="P78" i="3"/>
  <c r="P740" i="3"/>
  <c r="P990" i="3"/>
  <c r="P519" i="3"/>
  <c r="P178" i="3"/>
  <c r="P37" i="3"/>
  <c r="P22" i="3"/>
  <c r="P150" i="3"/>
  <c r="P229" i="3"/>
  <c r="P668" i="3"/>
  <c r="P707" i="3"/>
  <c r="P708" i="3"/>
  <c r="P556" i="3"/>
  <c r="P817" i="3"/>
  <c r="P717" i="3"/>
  <c r="P952" i="3"/>
  <c r="P890" i="3"/>
  <c r="P490" i="3"/>
  <c r="P822" i="3"/>
  <c r="P736" i="3"/>
  <c r="P351" i="3"/>
  <c r="P223" i="3"/>
  <c r="P189" i="3"/>
  <c r="P991" i="3"/>
  <c r="P926" i="3"/>
  <c r="P484" i="3"/>
  <c r="P955" i="3"/>
  <c r="P107" i="3"/>
  <c r="P270" i="3"/>
  <c r="P157" i="3"/>
  <c r="P898" i="3"/>
  <c r="P947" i="3"/>
  <c r="P701" i="3"/>
  <c r="P569" i="3"/>
  <c r="P92" i="3"/>
  <c r="P39" i="3"/>
  <c r="P723" i="3"/>
  <c r="P719" i="3"/>
  <c r="P1008" i="3"/>
  <c r="P510" i="3"/>
  <c r="P70" i="3"/>
  <c r="P988" i="3"/>
  <c r="P782" i="3"/>
  <c r="P321" i="3"/>
  <c r="P342" i="3"/>
  <c r="P893" i="3"/>
  <c r="P493" i="3"/>
  <c r="P512" i="3"/>
  <c r="P340" i="3"/>
  <c r="P442" i="3"/>
  <c r="P361" i="3"/>
  <c r="P887" i="3"/>
  <c r="P966" i="3"/>
  <c r="P149" i="3"/>
  <c r="P126" i="3"/>
  <c r="P274" i="3"/>
  <c r="P473" i="3"/>
  <c r="P110" i="3"/>
  <c r="P119" i="3"/>
  <c r="P630" i="3"/>
  <c r="P563" i="3"/>
  <c r="P480" i="3"/>
  <c r="P635" i="3"/>
  <c r="P28" i="3"/>
  <c r="P55" i="3"/>
  <c r="P283" i="3"/>
  <c r="P438" i="3"/>
  <c r="P648" i="3"/>
  <c r="P793" i="3"/>
  <c r="P239" i="3"/>
  <c r="P192" i="3"/>
  <c r="P399" i="3"/>
  <c r="P608" i="3"/>
  <c r="P464" i="3"/>
  <c r="P610" i="3"/>
  <c r="P615" i="3"/>
  <c r="P118" i="3"/>
  <c r="P300" i="3"/>
  <c r="P288" i="3"/>
  <c r="P716" i="3"/>
  <c r="P5" i="3"/>
  <c r="P416" i="3"/>
  <c r="P186" i="3"/>
  <c r="P47" i="3"/>
  <c r="P56" i="3"/>
  <c r="P728" i="3"/>
  <c r="P574" i="3"/>
  <c r="P290" i="3"/>
  <c r="P137" i="3"/>
  <c r="P836" i="3"/>
  <c r="P163" i="3"/>
  <c r="P378" i="3"/>
  <c r="P159" i="3"/>
  <c r="P46" i="3"/>
  <c r="P424" i="3"/>
  <c r="P401" i="3"/>
  <c r="P963" i="3"/>
  <c r="P429" i="3"/>
  <c r="P908" i="3"/>
  <c r="P160" i="3"/>
  <c r="P518" i="3"/>
  <c r="P620" i="3"/>
  <c r="P901" i="3"/>
  <c r="P881" i="3"/>
  <c r="P918" i="3"/>
  <c r="P475" i="3"/>
  <c r="P101" i="3"/>
  <c r="P925" i="3"/>
  <c r="P612" i="3"/>
  <c r="P560" i="3"/>
  <c r="P489" i="3"/>
  <c r="P514" i="3"/>
  <c r="P453" i="3"/>
  <c r="P663" i="3"/>
  <c r="P388" i="3"/>
  <c r="P445" i="3"/>
  <c r="P390" i="3"/>
  <c r="P977" i="3"/>
  <c r="P289" i="3"/>
  <c r="P254" i="3"/>
  <c r="P607" i="3"/>
  <c r="P476" i="3"/>
  <c r="P1001" i="3"/>
  <c r="P997" i="3"/>
  <c r="P1005" i="3"/>
  <c r="P182" i="3"/>
  <c r="P912" i="3"/>
  <c r="P598" i="3"/>
  <c r="P626" i="3"/>
  <c r="P602" i="3"/>
  <c r="P526" i="3"/>
  <c r="P412" i="3"/>
  <c r="P869" i="3"/>
  <c r="P941" i="3"/>
  <c r="P774" i="3"/>
  <c r="P173" i="3"/>
  <c r="P785" i="3"/>
  <c r="P705" i="3"/>
  <c r="P350" i="3"/>
  <c r="P15" i="3"/>
  <c r="P733" i="3"/>
  <c r="P488" i="3"/>
  <c r="P673" i="3"/>
  <c r="P237" i="3"/>
  <c r="P397" i="3"/>
  <c r="P909" i="3"/>
  <c r="P452" i="3"/>
  <c r="P19" i="3"/>
  <c r="P697" i="3"/>
  <c r="P906" i="3"/>
  <c r="P667" i="3"/>
  <c r="P899" i="3"/>
  <c r="P517" i="3"/>
  <c r="P983" i="3"/>
  <c r="P828" i="3"/>
  <c r="P580" i="3"/>
  <c r="P650" i="3"/>
  <c r="P998" i="3"/>
  <c r="P639" i="3"/>
  <c r="P865" i="3"/>
  <c r="P623" i="3"/>
  <c r="P139" i="3"/>
  <c r="P557" i="3"/>
  <c r="P601" i="3"/>
  <c r="P538" i="3"/>
  <c r="P295" i="3"/>
  <c r="P324" i="3"/>
  <c r="P643" i="3"/>
  <c r="P597" i="3"/>
  <c r="P883" i="3"/>
  <c r="P855" i="3"/>
  <c r="P987" i="3"/>
  <c r="P827" i="3"/>
  <c r="P958" i="3"/>
  <c r="P672" i="3"/>
  <c r="P711" i="3"/>
  <c r="P713" i="3"/>
  <c r="P520" i="3"/>
  <c r="P530" i="3"/>
  <c r="P392" i="3"/>
  <c r="P165" i="3"/>
  <c r="P381" i="3"/>
  <c r="P840" i="3"/>
  <c r="P439" i="3"/>
  <c r="P458" i="3"/>
  <c r="P666" i="3"/>
  <c r="N1593" i="2"/>
  <c r="N1766" i="2"/>
  <c r="N2555" i="2"/>
  <c r="N816" i="2"/>
  <c r="N919" i="2"/>
  <c r="N1566" i="2"/>
  <c r="N604" i="2"/>
  <c r="N228" i="2"/>
  <c r="N2441" i="2"/>
  <c r="N2343" i="2"/>
  <c r="N2691" i="2"/>
  <c r="N2616" i="2"/>
  <c r="N515" i="2"/>
  <c r="N295" i="2"/>
  <c r="N425" i="2"/>
  <c r="N206" i="2"/>
  <c r="N34" i="2"/>
  <c r="N13" i="2"/>
  <c r="N744" i="2"/>
  <c r="N2710" i="2"/>
  <c r="N706" i="2"/>
  <c r="N417" i="2"/>
  <c r="N1155" i="2"/>
  <c r="N145" i="2"/>
  <c r="N609" i="2"/>
  <c r="N2628" i="2"/>
  <c r="N170" i="2"/>
  <c r="N1034" i="2"/>
  <c r="N328" i="2"/>
  <c r="N567" i="2"/>
  <c r="N1255" i="2"/>
  <c r="N424" i="2"/>
  <c r="N2499" i="2"/>
  <c r="N952" i="2"/>
  <c r="N1379" i="2"/>
  <c r="N2114" i="2"/>
  <c r="N1919" i="2"/>
  <c r="N2471" i="2"/>
  <c r="N94" i="2"/>
  <c r="N52" i="2"/>
  <c r="N570" i="2"/>
  <c r="N643" i="2"/>
  <c r="N2366" i="2"/>
  <c r="N2440" i="2"/>
  <c r="N2273" i="2"/>
  <c r="N2482" i="2"/>
  <c r="N2336" i="2"/>
  <c r="N659" i="2"/>
  <c r="N55" i="2"/>
  <c r="N257" i="2"/>
  <c r="N392" i="2"/>
  <c r="N740" i="2"/>
  <c r="N1353" i="2"/>
  <c r="N569" i="2"/>
  <c r="N202" i="2"/>
  <c r="N375" i="2"/>
  <c r="N278" i="2"/>
  <c r="N2271" i="2"/>
  <c r="N514" i="2"/>
  <c r="N2172" i="2"/>
  <c r="N2165" i="2"/>
  <c r="N1735" i="2"/>
  <c r="N964" i="2"/>
  <c r="N1774" i="2"/>
  <c r="N2648" i="2"/>
  <c r="N487" i="2"/>
  <c r="N163" i="2"/>
  <c r="N250" i="2"/>
  <c r="N148" i="2"/>
  <c r="N1678" i="2"/>
  <c r="N522" i="2"/>
  <c r="N628" i="2"/>
  <c r="N1158" i="2"/>
  <c r="N2743" i="2"/>
  <c r="N2749" i="2"/>
  <c r="N2746" i="2"/>
  <c r="N2747" i="2"/>
  <c r="N2748" i="2"/>
  <c r="N1240" i="2"/>
  <c r="N1326" i="2"/>
  <c r="N2166" i="2"/>
  <c r="N2151" i="2"/>
  <c r="N195" i="2"/>
  <c r="N2674" i="2"/>
  <c r="N1742" i="2"/>
  <c r="N232" i="2"/>
  <c r="N1081" i="2"/>
  <c r="N955" i="2"/>
  <c r="N2587" i="2"/>
  <c r="N2699" i="2"/>
  <c r="N820" i="2"/>
  <c r="N563" i="2"/>
  <c r="N2458" i="2"/>
  <c r="N2056" i="2"/>
  <c r="N1866" i="2"/>
  <c r="N223" i="2"/>
  <c r="N1365" i="2"/>
  <c r="N2472" i="2"/>
  <c r="N2051" i="2"/>
  <c r="N1872" i="2"/>
  <c r="N2157" i="2"/>
  <c r="N884" i="2"/>
  <c r="N1503" i="2"/>
  <c r="N215" i="2"/>
  <c r="N1202" i="2"/>
  <c r="N2206" i="2"/>
  <c r="N2195" i="2"/>
  <c r="N1198" i="2"/>
  <c r="N2683" i="2"/>
  <c r="N133" i="2"/>
  <c r="N1221" i="2"/>
  <c r="N2505" i="2"/>
  <c r="N1523" i="2"/>
  <c r="N2117" i="2"/>
  <c r="N1863" i="2"/>
  <c r="N931" i="2"/>
  <c r="N1570" i="2"/>
  <c r="N216" i="2"/>
  <c r="N2137" i="2"/>
  <c r="N1708" i="2"/>
  <c r="N2653" i="2"/>
  <c r="N247" i="2"/>
  <c r="N1692" i="2"/>
  <c r="N1641" i="2"/>
  <c r="N395" i="2"/>
  <c r="N2658" i="2"/>
  <c r="N300" i="2"/>
  <c r="N258" i="2"/>
  <c r="N1964" i="2"/>
  <c r="N664" i="2"/>
  <c r="N2739" i="2"/>
  <c r="N2517" i="2"/>
  <c r="N2178" i="2"/>
  <c r="N2019" i="2"/>
  <c r="N1384" i="2"/>
  <c r="N1337" i="2"/>
  <c r="N838" i="2"/>
  <c r="N1193" i="2"/>
  <c r="N1538" i="2"/>
  <c r="N1228" i="2"/>
  <c r="N726" i="2"/>
  <c r="N1281" i="2"/>
  <c r="N722" i="2"/>
  <c r="N984" i="2"/>
  <c r="N662" i="2"/>
  <c r="N2633" i="2"/>
  <c r="N1896" i="2"/>
  <c r="N1576" i="2"/>
  <c r="N1936" i="2"/>
  <c r="N2637" i="2"/>
  <c r="N1909" i="2"/>
  <c r="N1332" i="2"/>
  <c r="N246" i="2"/>
  <c r="N1060" i="2"/>
  <c r="N1044" i="2"/>
  <c r="N423" i="2"/>
  <c r="N1988" i="2"/>
  <c r="N1787" i="2"/>
  <c r="N538" i="2"/>
  <c r="N140" i="2"/>
  <c r="N1363" i="2"/>
  <c r="N541" i="2"/>
  <c r="N2413" i="2"/>
  <c r="N943" i="2"/>
  <c r="N597" i="2"/>
  <c r="N2249" i="2"/>
  <c r="N976" i="2"/>
  <c r="N1823" i="2"/>
  <c r="N2485" i="2"/>
  <c r="N332" i="2"/>
  <c r="N629" i="2"/>
  <c r="N480" i="2"/>
  <c r="N1333" i="2"/>
  <c r="N2352" i="2"/>
  <c r="N819" i="2"/>
  <c r="N1616" i="2"/>
  <c r="N2234" i="2"/>
  <c r="N2643" i="2"/>
  <c r="N1561" i="2"/>
  <c r="N1595" i="2"/>
  <c r="N2028" i="2"/>
  <c r="N270" i="2"/>
  <c r="N2536" i="2"/>
  <c r="N1286" i="2"/>
  <c r="N1469" i="2"/>
  <c r="N385" i="2"/>
  <c r="N1210" i="2"/>
  <c r="N776" i="2"/>
  <c r="N477" i="2"/>
  <c r="N187" i="2"/>
  <c r="N254" i="2"/>
  <c r="N2280" i="2"/>
  <c r="N355" i="2"/>
  <c r="N1772" i="2"/>
  <c r="N2729" i="2"/>
  <c r="N1244" i="2"/>
  <c r="N171" i="2"/>
  <c r="N1225" i="2"/>
  <c r="N1698" i="2"/>
  <c r="N1789" i="2"/>
  <c r="N854" i="2"/>
  <c r="N2639" i="2"/>
  <c r="N1594" i="2"/>
  <c r="N1055" i="2"/>
  <c r="N2503" i="2"/>
  <c r="N419" i="2"/>
  <c r="N1016" i="2"/>
  <c r="N1032" i="2"/>
  <c r="N1579" i="2"/>
  <c r="N2612" i="2"/>
  <c r="N1275" i="2"/>
  <c r="N1923" i="2"/>
  <c r="N2283" i="2"/>
  <c r="N1697" i="2"/>
  <c r="N691" i="2"/>
  <c r="N2690" i="2"/>
  <c r="N2123" i="2"/>
  <c r="N122" i="2"/>
  <c r="N948" i="2"/>
  <c r="N248" i="2"/>
  <c r="N1526" i="2"/>
  <c r="N2708" i="2"/>
  <c r="N701" i="2"/>
  <c r="N1343" i="2"/>
  <c r="N1308" i="2"/>
  <c r="N910" i="2"/>
  <c r="N2016" i="2"/>
  <c r="N1888" i="2"/>
  <c r="N1147" i="2"/>
  <c r="N1024" i="2"/>
  <c r="N1180" i="2"/>
  <c r="N1654" i="2"/>
  <c r="N1299" i="2"/>
  <c r="N2723" i="2"/>
  <c r="N1927" i="2"/>
  <c r="N2203" i="2"/>
  <c r="N1615" i="2"/>
  <c r="N2233" i="2"/>
  <c r="N818" i="2"/>
  <c r="N1611" i="2"/>
  <c r="N651" i="2"/>
  <c r="N447" i="2"/>
  <c r="N2711" i="2"/>
  <c r="N712" i="2"/>
  <c r="N1312" i="2"/>
  <c r="N253" i="2"/>
  <c r="N634" i="2"/>
  <c r="N1123" i="2"/>
  <c r="N1443" i="2"/>
  <c r="N191" i="2"/>
  <c r="N2194" i="2"/>
  <c r="N1359" i="2"/>
  <c r="N1339" i="2"/>
  <c r="N1183" i="2"/>
  <c r="N1639" i="2"/>
  <c r="N2738" i="2"/>
  <c r="N2017" i="2"/>
  <c r="N2256" i="2"/>
  <c r="N429" i="2"/>
  <c r="N1151" i="2"/>
  <c r="N1128" i="2"/>
  <c r="N1356" i="2"/>
  <c r="N1613" i="2"/>
  <c r="N1920" i="2"/>
  <c r="N1941" i="2"/>
  <c r="N2300" i="2"/>
  <c r="N1748" i="2"/>
  <c r="N2428" i="2"/>
  <c r="N2610" i="2"/>
  <c r="N2657" i="2"/>
  <c r="N393" i="2"/>
  <c r="N1658" i="2"/>
  <c r="N564" i="2"/>
  <c r="N2488" i="2"/>
  <c r="N1574" i="2"/>
  <c r="N882" i="2"/>
  <c r="N755" i="2"/>
  <c r="N1836" i="2"/>
  <c r="N1336" i="2"/>
  <c r="N698" i="2"/>
  <c r="N828" i="2"/>
  <c r="N251" i="2"/>
  <c r="N622" i="2"/>
  <c r="N180" i="2"/>
  <c r="N497" i="2"/>
  <c r="N1862" i="2"/>
  <c r="N612" i="2"/>
  <c r="N1567" i="2"/>
  <c r="N356" i="2"/>
  <c r="N970" i="2"/>
  <c r="N2585" i="2"/>
  <c r="N1893" i="2"/>
  <c r="N1623" i="2"/>
  <c r="N2726" i="2"/>
  <c r="N2112" i="2"/>
  <c r="N268" i="2"/>
  <c r="N1646" i="2"/>
  <c r="N2264" i="2"/>
  <c r="N326" i="2"/>
  <c r="N2580" i="2"/>
  <c r="N285" i="2"/>
  <c r="N767" i="2"/>
  <c r="N2607" i="2"/>
  <c r="N551" i="2"/>
  <c r="N1370" i="2"/>
  <c r="N97" i="2"/>
  <c r="N237" i="2"/>
  <c r="N8" i="2"/>
  <c r="N2365" i="2"/>
  <c r="N2261" i="2"/>
  <c r="N1760" i="2"/>
  <c r="N1963" i="2"/>
  <c r="N1067" i="2"/>
  <c r="N1310" i="2"/>
  <c r="N2538" i="2"/>
  <c r="N1062" i="2"/>
  <c r="N1437" i="2"/>
  <c r="N2204" i="2"/>
  <c r="N1603" i="2"/>
  <c r="N2491" i="2"/>
  <c r="N883" i="2"/>
  <c r="N2595" i="2"/>
  <c r="N1608" i="2"/>
  <c r="N1252" i="2"/>
  <c r="N2088" i="2"/>
  <c r="N1125" i="2"/>
  <c r="N1983" i="2"/>
  <c r="N1130" i="2"/>
  <c r="N2568" i="2"/>
  <c r="N2551" i="2"/>
  <c r="N168" i="2"/>
  <c r="N669" i="2"/>
  <c r="N765" i="2"/>
  <c r="N2211" i="2"/>
  <c r="N1826" i="2"/>
  <c r="N922" i="2"/>
  <c r="N872" i="2"/>
  <c r="N610" i="2"/>
  <c r="N814" i="2"/>
  <c r="N189" i="2"/>
  <c r="N1975" i="2"/>
  <c r="N1164" i="2"/>
  <c r="N632" i="2"/>
  <c r="N1565" i="2"/>
  <c r="N674" i="2"/>
  <c r="N1540" i="2"/>
  <c r="N598" i="2"/>
  <c r="N112" i="2"/>
  <c r="N757" i="2"/>
  <c r="N184" i="2"/>
  <c r="N2129" i="2"/>
  <c r="N1278" i="2"/>
  <c r="N1610" i="2"/>
  <c r="N2573" i="2"/>
  <c r="N1504" i="2"/>
  <c r="N2615" i="2"/>
  <c r="N1842" i="2"/>
  <c r="N182" i="2"/>
  <c r="N2526" i="2"/>
  <c r="N238" i="2"/>
  <c r="N2647" i="2"/>
  <c r="N1506" i="2"/>
  <c r="N1724" i="2"/>
  <c r="N1921" i="2"/>
  <c r="N2596" i="2"/>
  <c r="N717" i="2"/>
  <c r="N2275" i="2"/>
  <c r="N971" i="2"/>
  <c r="N107" i="2"/>
  <c r="N279" i="2"/>
  <c r="N156" i="2"/>
  <c r="N2097" i="2"/>
  <c r="N1235" i="2"/>
  <c r="N719" i="2"/>
  <c r="N1209" i="2"/>
  <c r="N618" i="2"/>
  <c r="N1046" i="2"/>
  <c r="N1867" i="2"/>
  <c r="N579" i="2"/>
  <c r="N558" i="2"/>
  <c r="N217" i="2"/>
  <c r="N799" i="2"/>
  <c r="N979" i="2"/>
  <c r="N1153" i="2"/>
  <c r="N2121" i="2"/>
  <c r="N2094" i="2"/>
  <c r="N12" i="2"/>
  <c r="N714" i="2"/>
  <c r="N2666" i="2"/>
  <c r="N77" i="2"/>
  <c r="N45" i="2"/>
  <c r="N2291" i="2"/>
  <c r="N1577" i="2"/>
  <c r="N2005" i="2"/>
  <c r="N1254" i="2"/>
  <c r="N1745" i="2"/>
  <c r="N1057" i="2"/>
  <c r="N1815" i="2"/>
  <c r="N2516" i="2"/>
  <c r="N824" i="2"/>
  <c r="N653" i="2"/>
  <c r="N87" i="2"/>
  <c r="N46" i="2"/>
  <c r="N2302" i="2"/>
  <c r="N23" i="2"/>
  <c r="N743" i="2"/>
  <c r="N1087" i="2"/>
  <c r="N2307" i="2"/>
  <c r="N1110" i="2"/>
  <c r="N1441" i="2"/>
  <c r="N519" i="2"/>
  <c r="N547" i="2"/>
  <c r="N2152" i="2"/>
  <c r="N1932" i="2"/>
  <c r="N1592" i="2"/>
  <c r="N325" i="2"/>
  <c r="N364" i="2"/>
  <c r="N751" i="2"/>
  <c r="N778" i="2"/>
  <c r="N1207" i="2"/>
  <c r="N2098" i="2"/>
  <c r="N762" i="2"/>
  <c r="N1770" i="2"/>
  <c r="N1553" i="2"/>
  <c r="N1934" i="2"/>
  <c r="N1712" i="2"/>
  <c r="N2501" i="2"/>
  <c r="N1802" i="2"/>
  <c r="N1722" i="2"/>
  <c r="N1636" i="2"/>
  <c r="N1415" i="2"/>
  <c r="N1402" i="2"/>
  <c r="N1740" i="2"/>
  <c r="N33" i="2"/>
  <c r="N1691" i="2"/>
  <c r="N1569" i="2"/>
  <c r="N226" i="2"/>
  <c r="N242" i="2"/>
  <c r="N1454" i="2"/>
  <c r="N54" i="2"/>
  <c r="N249" i="2"/>
  <c r="N876" i="2"/>
  <c r="N1870" i="2"/>
  <c r="N545" i="2"/>
  <c r="N235" i="2"/>
  <c r="N1759" i="2"/>
  <c r="N1047" i="2"/>
  <c r="N614" i="2"/>
  <c r="N600" i="2"/>
  <c r="N2349" i="2"/>
  <c r="N144" i="2"/>
  <c r="N585" i="2"/>
  <c r="N695" i="2"/>
  <c r="N399" i="2"/>
  <c r="N467" i="2"/>
  <c r="N1663" i="2"/>
  <c r="N1421" i="2"/>
  <c r="N2431" i="2"/>
  <c r="N2222" i="2"/>
  <c r="N1371" i="2"/>
  <c r="N738" i="2"/>
  <c r="N126" i="2"/>
  <c r="N387" i="2"/>
  <c r="N60" i="2"/>
  <c r="N1373" i="2"/>
  <c r="N1445" i="2"/>
  <c r="N83" i="2"/>
  <c r="N1452" i="2"/>
  <c r="N929" i="2"/>
  <c r="N1695" i="2"/>
  <c r="N1990" i="2"/>
  <c r="N2182" i="2"/>
  <c r="N2437" i="2"/>
  <c r="N2399" i="2"/>
  <c r="N1792" i="2"/>
  <c r="N2180" i="2"/>
  <c r="N1448" i="2"/>
  <c r="N1905" i="2"/>
  <c r="N1825" i="2"/>
  <c r="N1812" i="2"/>
  <c r="N2321" i="2"/>
  <c r="N2376" i="2"/>
  <c r="N2060" i="2"/>
  <c r="N542" i="2"/>
  <c r="N713" i="2"/>
  <c r="N1392" i="2"/>
  <c r="N2057" i="2"/>
  <c r="N2079" i="2"/>
  <c r="N973" i="2"/>
  <c r="N1006" i="2"/>
  <c r="N846" i="2"/>
  <c r="N2718" i="2"/>
  <c r="N1582" i="2"/>
  <c r="N2350" i="2"/>
  <c r="N682" i="2"/>
  <c r="N686" i="2"/>
  <c r="N1683" i="2"/>
  <c r="N2614" i="2"/>
  <c r="N2611" i="2"/>
  <c r="N1251" i="2"/>
  <c r="N323" i="2"/>
  <c r="N644" i="2"/>
  <c r="N69" i="2"/>
  <c r="N2049" i="2"/>
  <c r="N1974" i="2"/>
  <c r="N210" i="2"/>
  <c r="N209" i="2"/>
  <c r="N139" i="2"/>
  <c r="N125" i="2"/>
  <c r="N401" i="2"/>
  <c r="N1100" i="2"/>
  <c r="N1323" i="2"/>
  <c r="N1398" i="2"/>
  <c r="N1809" i="2"/>
  <c r="N1302" i="2"/>
  <c r="N113" i="2"/>
  <c r="N1950" i="2"/>
  <c r="N954" i="2"/>
  <c r="N1163" i="2"/>
  <c r="N2581" i="2"/>
  <c r="N1475" i="2"/>
  <c r="N1374" i="2"/>
  <c r="N999" i="2"/>
  <c r="N433" i="2"/>
  <c r="N2632" i="2"/>
  <c r="N494" i="2"/>
  <c r="N878" i="2"/>
  <c r="N2120" i="2"/>
  <c r="N1622" i="2"/>
  <c r="N1901" i="2"/>
  <c r="N1624" i="2"/>
  <c r="N1660" i="2"/>
  <c r="N2498" i="2"/>
  <c r="N1248" i="2"/>
  <c r="N1607" i="2"/>
  <c r="N1690" i="2"/>
  <c r="N1768" i="2"/>
  <c r="N1765" i="2"/>
  <c r="N1344" i="2"/>
  <c r="N2147" i="2"/>
  <c r="N1668" i="2"/>
  <c r="N101" i="2"/>
  <c r="N1699" i="2"/>
  <c r="N830" i="2"/>
  <c r="N1212" i="2"/>
  <c r="N85" i="2"/>
  <c r="N1711" i="2"/>
  <c r="N2719" i="2"/>
  <c r="N1883" i="2"/>
  <c r="N2025" i="2"/>
  <c r="N1319" i="2"/>
  <c r="N2124" i="2"/>
  <c r="N1858" i="2"/>
  <c r="N711" i="2"/>
  <c r="N2386" i="2"/>
  <c r="N308" i="2"/>
  <c r="N1288" i="2"/>
  <c r="N409" i="2"/>
  <c r="N1458" i="2"/>
  <c r="N2487" i="2"/>
  <c r="N287" i="2"/>
  <c r="N896" i="2"/>
  <c r="N384" i="2"/>
  <c r="N1573" i="2"/>
  <c r="N1259" i="2"/>
  <c r="N1107" i="2"/>
  <c r="N1380" i="2"/>
  <c r="N2406" i="2"/>
  <c r="N1839" i="2"/>
  <c r="N1814" i="2"/>
  <c r="N1499" i="2"/>
  <c r="N2582" i="2"/>
  <c r="N2709" i="2"/>
  <c r="N400" i="2"/>
  <c r="N1598" i="2"/>
  <c r="N297" i="2"/>
  <c r="N2725" i="2"/>
  <c r="N2052" i="2"/>
  <c r="N2735" i="2"/>
  <c r="N2727" i="2"/>
  <c r="N2533" i="2"/>
  <c r="N1767" i="2"/>
  <c r="N780" i="2"/>
  <c r="N2439" i="2"/>
  <c r="N737" i="2"/>
  <c r="N968" i="2"/>
  <c r="N240" i="2"/>
  <c r="N877" i="2"/>
  <c r="N1487" i="2"/>
  <c r="N1738" i="2"/>
  <c r="N1779" i="2"/>
  <c r="N616" i="2"/>
  <c r="N2193" i="2"/>
  <c r="N2464" i="2"/>
  <c r="N1015" i="2"/>
  <c r="N1783" i="2"/>
  <c r="N1213" i="2"/>
  <c r="N513" i="2"/>
  <c r="N1864" i="2"/>
  <c r="N1317" i="2"/>
  <c r="N2678" i="2"/>
  <c r="N870" i="2"/>
  <c r="N2362" i="2"/>
  <c r="N1648" i="2"/>
  <c r="N1884" i="2"/>
  <c r="N2655" i="2"/>
  <c r="N1161" i="2"/>
  <c r="N2132" i="2"/>
  <c r="N1234" i="2"/>
  <c r="N99" i="2"/>
  <c r="N371" i="2"/>
  <c r="N134" i="2"/>
  <c r="N1682" i="2"/>
  <c r="N2717" i="2"/>
  <c r="N2130" i="2"/>
  <c r="N2164" i="2"/>
  <c r="N1580" i="2"/>
  <c r="N1283" i="2"/>
  <c r="N2448" i="2"/>
  <c r="N1507" i="2"/>
  <c r="N396" i="2"/>
  <c r="N1984" i="2"/>
  <c r="N2635" i="2"/>
  <c r="N2552" i="2"/>
  <c r="N51" i="2"/>
  <c r="N1468" i="2"/>
  <c r="N1231" i="2"/>
  <c r="N1959" i="2"/>
  <c r="N5" i="2"/>
  <c r="N2326" i="2"/>
  <c r="N2062" i="2"/>
  <c r="N924" i="2"/>
  <c r="N1782" i="2"/>
  <c r="N550" i="2"/>
  <c r="N2299" i="2"/>
  <c r="N2344" i="2"/>
  <c r="N1512" i="2"/>
  <c r="N1935" i="2"/>
  <c r="N1798" i="2"/>
  <c r="N2354" i="2"/>
  <c r="N334" i="2"/>
  <c r="N771" i="2"/>
  <c r="N1992" i="2"/>
  <c r="N2546" i="2"/>
  <c r="N2504" i="2"/>
  <c r="N2436" i="2"/>
  <c r="N1416" i="2"/>
  <c r="N874" i="2"/>
  <c r="N2292" i="2"/>
  <c r="N2466" i="2"/>
  <c r="N1053" i="2"/>
  <c r="N532" i="2"/>
  <c r="N491" i="2"/>
  <c r="N912" i="2"/>
  <c r="N2733" i="2"/>
  <c r="N1730" i="2"/>
  <c r="N857" i="2"/>
  <c r="N2340" i="2"/>
  <c r="N1427" i="2"/>
  <c r="N1672" i="2"/>
  <c r="N1620" i="2"/>
  <c r="N1140" i="2"/>
  <c r="N426" i="2"/>
  <c r="N1263" i="2"/>
  <c r="N41" i="2"/>
  <c r="N445" i="2"/>
  <c r="N784" i="2"/>
  <c r="N2481" i="2"/>
  <c r="N1058" i="2"/>
  <c r="N649" i="2"/>
  <c r="N2061" i="2"/>
  <c r="N2592" i="2"/>
  <c r="N1152" i="2"/>
  <c r="N1166" i="2"/>
  <c r="N1172" i="2"/>
  <c r="N693" i="2"/>
  <c r="N1656" i="2"/>
  <c r="N2033" i="2"/>
  <c r="N243" i="2"/>
  <c r="N794" i="2"/>
  <c r="N1981" i="2"/>
  <c r="N1428" i="2"/>
  <c r="N1786" i="2"/>
  <c r="N1285" i="2"/>
  <c r="N109" i="2"/>
  <c r="N2559" i="2"/>
  <c r="N1122" i="2"/>
  <c r="N120" i="2"/>
  <c r="N1545" i="2"/>
  <c r="N581" i="2"/>
  <c r="N670" i="2"/>
  <c r="N2545" i="2"/>
  <c r="N786" i="2"/>
  <c r="N377" i="2"/>
  <c r="N208" i="2"/>
  <c r="N1249" i="2"/>
  <c r="N1951" i="2"/>
  <c r="N2700" i="2"/>
  <c r="N1775" i="2"/>
  <c r="N1492" i="2"/>
  <c r="N349" i="2"/>
  <c r="N752" i="2"/>
  <c r="N244" i="2"/>
  <c r="N2090" i="2"/>
  <c r="N315" i="2"/>
  <c r="N1358" i="2"/>
  <c r="N889" i="2"/>
  <c r="N1535" i="2"/>
  <c r="N1847" i="2"/>
  <c r="N1793" i="2"/>
  <c r="N2697" i="2"/>
  <c r="N797" i="2"/>
  <c r="N1916" i="2"/>
  <c r="N988" i="2"/>
  <c r="N2024" i="2"/>
  <c r="N2077" i="2"/>
  <c r="N1655" i="2"/>
  <c r="N1054" i="2"/>
  <c r="N2101" i="2"/>
  <c r="N1670" i="2"/>
  <c r="N2402" i="2"/>
  <c r="N1484" i="2"/>
  <c r="N509" i="2"/>
  <c r="N2569" i="2"/>
  <c r="N2529" i="2"/>
  <c r="N2475" i="2"/>
  <c r="N1276" i="2"/>
  <c r="N2290" i="2"/>
  <c r="N82" i="2"/>
  <c r="N2571" i="2"/>
  <c r="N2318" i="2"/>
  <c r="N2092" i="2"/>
  <c r="N1840" i="2"/>
  <c r="N1790" i="2"/>
  <c r="N1113" i="2"/>
  <c r="N627" i="2"/>
  <c r="N1757" i="2"/>
  <c r="N233" i="2"/>
  <c r="N2347" i="2"/>
  <c r="N1498" i="2"/>
  <c r="N1355" i="2"/>
  <c r="N92" i="2"/>
  <c r="N1366" i="2"/>
  <c r="N1876" i="2"/>
  <c r="N1423" i="2"/>
  <c r="N333" i="2"/>
  <c r="N663" i="2"/>
  <c r="N756" i="2"/>
  <c r="N1059" i="2"/>
  <c r="N1174" i="2"/>
  <c r="N2513" i="2"/>
  <c r="N2364" i="2"/>
  <c r="N2368" i="2"/>
  <c r="N490" i="2"/>
  <c r="N20" i="2"/>
  <c r="N2305" i="2"/>
  <c r="N1056" i="2"/>
  <c r="N1922" i="2"/>
  <c r="N1360" i="2"/>
  <c r="N2227" i="2"/>
  <c r="N1709" i="2"/>
  <c r="N1089" i="2"/>
  <c r="N2493" i="2"/>
  <c r="N2392" i="2"/>
  <c r="N2167" i="2"/>
  <c r="N386" i="2"/>
  <c r="N603" i="2"/>
  <c r="N1980" i="2"/>
  <c r="N44" i="2"/>
  <c r="N2081" i="2"/>
  <c r="N536" i="2"/>
  <c r="N605" i="2"/>
  <c r="N2590" i="2"/>
  <c r="N1495" i="2"/>
  <c r="N2410" i="2"/>
  <c r="N1657" i="2"/>
  <c r="N2059" i="2"/>
  <c r="N1605" i="2"/>
  <c r="N1734" i="2"/>
  <c r="N1277" i="2"/>
  <c r="N2603" i="2"/>
  <c r="N2722" i="2"/>
  <c r="N1949" i="2"/>
  <c r="N1017" i="2"/>
  <c r="N61" i="2"/>
  <c r="N1131" i="2"/>
  <c r="N2277" i="2"/>
  <c r="N1550" i="2"/>
  <c r="N1705" i="2"/>
  <c r="N2449" i="2"/>
  <c r="N2698" i="2"/>
  <c r="N2625" i="2"/>
  <c r="N1035" i="2"/>
  <c r="N2578" i="2"/>
  <c r="N2583" i="2"/>
  <c r="N972" i="2"/>
  <c r="N1051" i="2"/>
  <c r="N1137" i="2"/>
  <c r="N2673" i="2"/>
  <c r="N1854" i="2"/>
  <c r="N1557" i="2"/>
  <c r="N1642" i="2"/>
  <c r="N2198" i="2"/>
  <c r="N1946" i="2"/>
  <c r="N2539" i="2"/>
  <c r="N980" i="2"/>
  <c r="N296" i="2"/>
  <c r="N810" i="2"/>
  <c r="N861" i="2"/>
  <c r="N230" i="2"/>
  <c r="N199" i="2"/>
  <c r="N1489" i="2"/>
  <c r="N591" i="2"/>
  <c r="N888" i="2"/>
  <c r="N1182" i="2"/>
  <c r="N68" i="2"/>
  <c r="N1979" i="2"/>
  <c r="N1830" i="2"/>
  <c r="N2322" i="2"/>
  <c r="N1612" i="2"/>
  <c r="N2720" i="2"/>
  <c r="N2387" i="2"/>
  <c r="N2411" i="2"/>
  <c r="N283" i="2"/>
  <c r="N1807" i="2"/>
  <c r="N2082" i="2"/>
  <c r="N2630" i="2"/>
  <c r="N2667" i="2"/>
  <c r="N1111" i="2"/>
  <c r="N319" i="2"/>
  <c r="N1781" i="2"/>
  <c r="N2544" i="2"/>
  <c r="N2186" i="2"/>
  <c r="N2175" i="2"/>
  <c r="N2462" i="2"/>
  <c r="N899" i="2"/>
  <c r="N1865" i="2"/>
  <c r="N2388" i="2"/>
  <c r="N2668" i="2"/>
  <c r="N1103" i="2"/>
  <c r="N211" i="2"/>
  <c r="N1196" i="2"/>
  <c r="N2219" i="2"/>
  <c r="N1999" i="2"/>
  <c r="N702" i="2"/>
  <c r="N111" i="2"/>
  <c r="N829" i="2"/>
  <c r="N62" i="2"/>
  <c r="N1376" i="2"/>
  <c r="N2255" i="2"/>
  <c r="N2465" i="2"/>
  <c r="N2664" i="2"/>
  <c r="N2091" i="2"/>
  <c r="N1720" i="2"/>
  <c r="N1518" i="2"/>
  <c r="N1869" i="2"/>
  <c r="N441" i="2"/>
  <c r="N2379" i="2"/>
  <c r="N1737" i="2"/>
  <c r="N1271" i="2"/>
  <c r="N1834" i="2"/>
  <c r="N1101" i="2"/>
  <c r="N1721" i="2"/>
  <c r="N2338" i="2"/>
  <c r="N1887" i="2"/>
  <c r="N2497" i="2"/>
  <c r="N273" i="2"/>
  <c r="N1280" i="2"/>
  <c r="N71" i="2"/>
  <c r="N1022" i="2"/>
  <c r="N749" i="2"/>
  <c r="N1860" i="2"/>
  <c r="N633" i="2"/>
  <c r="N1115" i="2"/>
  <c r="N676" i="2"/>
  <c r="N1749" i="2"/>
  <c r="N1915" i="2"/>
  <c r="N1684" i="2"/>
  <c r="N1584" i="2"/>
  <c r="N1170" i="2"/>
  <c r="N2342" i="2"/>
  <c r="N2263" i="2"/>
  <c r="N351" i="2"/>
  <c r="N312" i="2"/>
  <c r="N956" i="2"/>
  <c r="N1750" i="2"/>
  <c r="N439" i="2"/>
  <c r="N2074" i="2"/>
  <c r="N2168" i="2"/>
  <c r="N1073" i="2"/>
  <c r="N2110" i="2"/>
  <c r="N2707" i="2"/>
  <c r="N640" i="2"/>
  <c r="N667" i="2"/>
  <c r="N376" i="2"/>
  <c r="N897" i="2"/>
  <c r="N1154" i="2"/>
  <c r="N361" i="2"/>
  <c r="N484" i="2"/>
  <c r="N1665" i="2"/>
  <c r="N959" i="2"/>
  <c r="N2661" i="2"/>
  <c r="N1010" i="2"/>
  <c r="N2127" i="2"/>
  <c r="N1096" i="2"/>
  <c r="N2403" i="2"/>
  <c r="N1341" i="2"/>
  <c r="N2232" i="2"/>
  <c r="N357" i="2"/>
  <c r="N90" i="2"/>
  <c r="N914" i="2"/>
  <c r="N908" i="2"/>
  <c r="N1516" i="2"/>
  <c r="N544" i="2"/>
  <c r="N2335" i="2"/>
  <c r="N907" i="2"/>
  <c r="N606" i="2"/>
  <c r="N2210" i="2"/>
  <c r="N2329" i="2"/>
  <c r="N1706" i="2"/>
  <c r="N114" i="2"/>
  <c r="N1108" i="2"/>
  <c r="N79" i="2"/>
  <c r="N2237" i="2"/>
  <c r="N1273" i="2"/>
  <c r="N517" i="2"/>
  <c r="N1769" i="2"/>
  <c r="N2695" i="2"/>
  <c r="N197" i="2"/>
  <c r="N1878" i="2"/>
  <c r="N2660" i="2"/>
  <c r="N593" i="2"/>
  <c r="N584" i="2"/>
  <c r="N926" i="2"/>
  <c r="N1352" i="2"/>
  <c r="N692" i="2"/>
  <c r="N346" i="2"/>
  <c r="N1806" i="2"/>
  <c r="N505" i="2"/>
  <c r="N431" i="2"/>
  <c r="N1417" i="2"/>
  <c r="N391" i="2"/>
  <c r="N2045" i="2"/>
  <c r="N1822" i="2"/>
  <c r="N428" i="2"/>
  <c r="N2426" i="2"/>
  <c r="N684" i="2"/>
  <c r="N2429" i="2"/>
  <c r="N2314" i="2"/>
  <c r="N1890" i="2"/>
  <c r="N1522" i="2"/>
  <c r="N2009" i="2"/>
  <c r="N358" i="2"/>
  <c r="N1223" i="2"/>
  <c r="N1634" i="2"/>
  <c r="N1874" i="2"/>
  <c r="N2173" i="2"/>
  <c r="N1094" i="2"/>
  <c r="N2483" i="2"/>
  <c r="N406" i="2"/>
  <c r="N369" i="2"/>
  <c r="N440" i="2"/>
  <c r="N1403" i="2"/>
  <c r="N2531" i="2"/>
  <c r="N615" i="2"/>
  <c r="N2574" i="2"/>
  <c r="N2650" i="2"/>
  <c r="N2169" i="2"/>
  <c r="N2521" i="2"/>
  <c r="N1474" i="2"/>
  <c r="N1913" i="2"/>
  <c r="N2662" i="2"/>
  <c r="N572" i="2"/>
  <c r="N1389" i="2"/>
  <c r="N540" i="2"/>
  <c r="N822" i="2"/>
  <c r="N730" i="2"/>
  <c r="N1493" i="2"/>
  <c r="N2451" i="2"/>
  <c r="N2646" i="2"/>
  <c r="N1589" i="2"/>
  <c r="N2629" i="2"/>
  <c r="N190" i="2"/>
  <c r="N1007" i="2"/>
  <c r="N1247" i="2"/>
  <c r="N1803" i="2"/>
  <c r="N1187" i="2"/>
  <c r="N1307" i="2"/>
  <c r="N2116" i="2"/>
  <c r="N1305" i="2"/>
  <c r="N1242" i="2"/>
  <c r="N485" i="2"/>
  <c r="N848" i="2"/>
  <c r="N1889" i="2"/>
  <c r="N1972" i="2"/>
  <c r="N562" i="2"/>
  <c r="N2393" i="2"/>
  <c r="N394" i="2"/>
  <c r="N1346" i="2"/>
  <c r="N1501" i="2"/>
  <c r="N2332" i="2"/>
  <c r="N2238" i="2"/>
  <c r="N318" i="2"/>
  <c r="N1696" i="2"/>
  <c r="N1261" i="2"/>
  <c r="N1686" i="2"/>
  <c r="N1689" i="2"/>
  <c r="N10" i="2"/>
  <c r="N2015" i="2"/>
  <c r="N2377" i="2"/>
  <c r="N1104" i="2"/>
  <c r="N1971" i="2"/>
  <c r="N2128" i="2"/>
  <c r="N2495" i="2"/>
  <c r="N2549" i="2"/>
  <c r="N1459" i="2"/>
  <c r="N646" i="2"/>
  <c r="N158" i="2"/>
  <c r="N2382" i="2"/>
  <c r="N946" i="2"/>
  <c r="N2269" i="2"/>
  <c r="N2131" i="2"/>
  <c r="N1199" i="2"/>
  <c r="N2736" i="2"/>
  <c r="N26" i="2"/>
  <c r="N2744" i="2"/>
  <c r="N2745" i="2"/>
  <c r="N416" i="2"/>
  <c r="N2389" i="2"/>
  <c r="N350" i="2"/>
  <c r="N108" i="2"/>
  <c r="N2087" i="2"/>
  <c r="N886" i="2"/>
  <c r="N1614" i="2"/>
  <c r="N2106" i="2"/>
  <c r="N1810" i="2"/>
  <c r="N2142" i="2"/>
  <c r="N2380" i="2"/>
  <c r="N2469" i="2"/>
  <c r="N1606" i="2"/>
  <c r="N1335" i="2"/>
  <c r="N1704" i="2"/>
  <c r="N1743" i="2"/>
  <c r="N845" i="2"/>
  <c r="N1406" i="2"/>
  <c r="N916" i="2"/>
  <c r="N1264" i="2"/>
  <c r="N986" i="2"/>
  <c r="N652" i="2"/>
  <c r="N2492" i="2"/>
  <c r="N1727" i="2"/>
  <c r="N2618" i="2"/>
  <c r="N2390" i="2"/>
  <c r="N1539" i="2"/>
  <c r="N1471" i="2"/>
  <c r="N2163" i="2"/>
  <c r="N2103" i="2"/>
  <c r="N1926" i="2"/>
  <c r="N2486" i="2"/>
  <c r="N1314" i="2"/>
  <c r="N879" i="2"/>
  <c r="N885" i="2"/>
  <c r="N923" i="2"/>
  <c r="N1457" i="2"/>
  <c r="N1136" i="2"/>
  <c r="N1713" i="2"/>
  <c r="N2510" i="2"/>
  <c r="N1318" i="2"/>
  <c r="N1973" i="2"/>
  <c r="N2306" i="2"/>
  <c r="N1647" i="2"/>
  <c r="N2031" i="2"/>
  <c r="N1224" i="2"/>
  <c r="N1900" i="2"/>
  <c r="N1002" i="2"/>
  <c r="N1976" i="2"/>
  <c r="N1953" i="2"/>
  <c r="N1201" i="2"/>
  <c r="N135" i="2"/>
  <c r="N2548" i="2"/>
  <c r="N74" i="2"/>
  <c r="N1204" i="2"/>
  <c r="N553" i="2"/>
  <c r="N1106" i="2"/>
  <c r="N1630" i="2"/>
  <c r="N1651" i="2"/>
  <c r="N1091" i="2"/>
  <c r="N1664" i="2"/>
  <c r="N49" i="2"/>
  <c r="N1627" i="2"/>
  <c r="N2459" i="2"/>
  <c r="N1146" i="2"/>
  <c r="N2309" i="2"/>
  <c r="N2311" i="2"/>
  <c r="N2419" i="2"/>
  <c r="N1635" i="2"/>
  <c r="N1680" i="2"/>
  <c r="N2139" i="2"/>
  <c r="N1892" i="2"/>
  <c r="N255" i="2"/>
  <c r="N1157" i="2"/>
  <c r="N1733" i="2"/>
  <c r="N1548" i="2"/>
  <c r="N2278" i="2"/>
  <c r="N260" i="2"/>
  <c r="N1354" i="2"/>
  <c r="N704" i="2"/>
  <c r="N789" i="2"/>
  <c r="N1552" i="2"/>
  <c r="N495" i="2"/>
  <c r="N1673" i="2"/>
  <c r="N2021" i="2"/>
  <c r="N2155" i="2"/>
  <c r="N1619" i="2"/>
  <c r="N192" i="2"/>
  <c r="N2490" i="2"/>
  <c r="N2159" i="2"/>
  <c r="N100" i="2"/>
  <c r="N200" i="2"/>
  <c r="N2331" i="2"/>
  <c r="N2068" i="2"/>
  <c r="N224" i="2"/>
  <c r="N1718" i="2"/>
  <c r="N1069" i="2"/>
  <c r="N1753" i="2"/>
  <c r="N2432" i="2"/>
  <c r="N2047" i="2"/>
  <c r="N301" i="2"/>
  <c r="N450" i="2"/>
  <c r="N280" i="2"/>
  <c r="N777" i="2"/>
  <c r="N2702" i="2"/>
  <c r="N2452" i="2"/>
  <c r="N804" i="2"/>
  <c r="N992" i="2"/>
  <c r="N25" i="2"/>
  <c r="N2566" i="2"/>
  <c r="N2289" i="2"/>
  <c r="N1412" i="2"/>
  <c r="N974" i="2"/>
  <c r="N852" i="2"/>
  <c r="N1628" i="2"/>
  <c r="N2391" i="2"/>
  <c r="N918" i="2"/>
  <c r="N1880" i="2"/>
  <c r="N1168" i="2"/>
  <c r="N596" i="2"/>
  <c r="N1284" i="2"/>
  <c r="N489" i="2"/>
  <c r="N576" i="2"/>
  <c r="N1232" i="2"/>
  <c r="N1369" i="2"/>
  <c r="N1429" i="2"/>
  <c r="N1463" i="2"/>
  <c r="N422" i="2"/>
  <c r="N1681" i="2"/>
  <c r="N492" i="2"/>
  <c r="N430" i="2"/>
  <c r="N149" i="2"/>
  <c r="N1238" i="2"/>
  <c r="N1033" i="2"/>
  <c r="N2218" i="2"/>
  <c r="N586" i="2"/>
  <c r="N84" i="2"/>
  <c r="N724" i="2"/>
  <c r="N415" i="2"/>
  <c r="N807" i="2"/>
  <c r="N502" i="2"/>
  <c r="N808" i="2"/>
  <c r="N313" i="2"/>
  <c r="N229" i="2"/>
  <c r="N573" i="2"/>
  <c r="N1042" i="2"/>
  <c r="N372" i="2"/>
  <c r="N265" i="2"/>
  <c r="N1442" i="2"/>
  <c r="N277" i="2"/>
  <c r="N967" i="2"/>
  <c r="N983" i="2"/>
  <c r="N310" i="2"/>
  <c r="N1703" i="2"/>
  <c r="N2078" i="2"/>
  <c r="N2644" i="2"/>
  <c r="N666" i="2"/>
  <c r="N526" i="2"/>
  <c r="N198" i="2"/>
  <c r="N2732" i="2"/>
  <c r="N2731" i="2"/>
  <c r="N932" i="2"/>
  <c r="N443" i="2"/>
  <c r="N720" i="2"/>
  <c r="N1141" i="2"/>
  <c r="N549" i="2"/>
  <c r="N793" i="2"/>
  <c r="N80" i="2"/>
  <c r="N39" i="2"/>
  <c r="N1043" i="2"/>
  <c r="N748" i="2"/>
  <c r="N1243" i="2"/>
  <c r="N559" i="2"/>
  <c r="N2348" i="2"/>
  <c r="N1036" i="2"/>
  <c r="N2405" i="2"/>
  <c r="N679" i="2"/>
  <c r="N1138" i="2"/>
  <c r="N1940" i="2"/>
  <c r="N1910" i="2"/>
  <c r="N2320" i="2"/>
  <c r="N2692" i="2"/>
  <c r="N1924" i="2"/>
  <c r="N840" i="2"/>
  <c r="N650" i="2"/>
  <c r="N2442" i="2"/>
  <c r="N1791" i="2"/>
  <c r="N131" i="2"/>
  <c r="N728" i="2"/>
  <c r="N420" i="2"/>
  <c r="N1483" i="2"/>
  <c r="N1536" i="2"/>
  <c r="N891" i="2"/>
  <c r="N2361" i="2"/>
  <c r="N1637" i="2"/>
  <c r="N1568" i="2"/>
  <c r="N1528" i="2"/>
  <c r="N1324" i="2"/>
  <c r="N2598" i="2"/>
  <c r="N813" i="2"/>
  <c r="N2370" i="2"/>
  <c r="N1817" i="2"/>
  <c r="N1219" i="2"/>
  <c r="N2694" i="2"/>
  <c r="N478" i="2"/>
  <c r="N457" i="2"/>
  <c r="N993" i="2"/>
  <c r="N298" i="2"/>
  <c r="N221" i="2"/>
  <c r="N2421" i="2"/>
  <c r="N2480" i="2"/>
  <c r="N803" i="2"/>
  <c r="N2728" i="2"/>
  <c r="N162" i="2"/>
  <c r="N853" i="2"/>
  <c r="N944" i="2"/>
  <c r="N1702" i="2"/>
  <c r="N2313" i="2"/>
  <c r="N286" i="2"/>
  <c r="N458" i="2"/>
  <c r="N1488" i="2"/>
  <c r="N1513" i="2"/>
  <c r="N93" i="2"/>
  <c r="N222" i="2"/>
  <c r="N1521" i="2"/>
  <c r="N1530" i="2"/>
  <c r="N843" i="2"/>
  <c r="N2242" i="2"/>
  <c r="N1290" i="2"/>
  <c r="N2626" i="2"/>
  <c r="N1531" i="2"/>
  <c r="N294" i="2"/>
  <c r="N1233" i="2"/>
  <c r="N412" i="2"/>
  <c r="N1425" i="2"/>
  <c r="N1771" i="2"/>
  <c r="N590" i="2"/>
  <c r="N347" i="2"/>
  <c r="N1003" i="2"/>
  <c r="N2398" i="2"/>
  <c r="N2032" i="2"/>
  <c r="N942" i="2"/>
  <c r="N105" i="2"/>
  <c r="N227" i="2"/>
  <c r="N153" i="2"/>
  <c r="N920" i="2"/>
  <c r="N339" i="2"/>
  <c r="N2515" i="2"/>
  <c r="N697" i="2"/>
  <c r="N2191" i="2"/>
  <c r="N901" i="2"/>
  <c r="N1544" i="2"/>
  <c r="N2266" i="2"/>
  <c r="N2420" i="2"/>
  <c r="N2693" i="2"/>
  <c r="N2602" i="2"/>
  <c r="N1955" i="2"/>
  <c r="N141" i="2"/>
  <c r="N1989" i="2"/>
  <c r="N2281" i="2"/>
  <c r="N19" i="2"/>
  <c r="N389" i="2"/>
  <c r="N1347" i="2"/>
  <c r="N977" i="2"/>
  <c r="N2323" i="2"/>
  <c r="N2589" i="2"/>
  <c r="N1181" i="2"/>
  <c r="N1478" i="2"/>
  <c r="N1270" i="2"/>
  <c r="N1470" i="2"/>
  <c r="N1819" i="2"/>
  <c r="N127" i="2"/>
  <c r="N2627" i="2"/>
  <c r="N1939" i="2"/>
  <c r="N274" i="2"/>
  <c r="N761" i="2"/>
  <c r="N183" i="2"/>
  <c r="N1256" i="2"/>
  <c r="N1650" i="2"/>
  <c r="N459" i="2"/>
  <c r="N826" i="2"/>
  <c r="N1585" i="2"/>
  <c r="N2317" i="2"/>
  <c r="N631" i="2"/>
  <c r="N1052" i="2"/>
  <c r="N2115" i="2"/>
  <c r="N479" i="2"/>
  <c r="N1349" i="2"/>
  <c r="N607" i="2"/>
  <c r="N455" i="2"/>
  <c r="N37" i="2"/>
  <c r="N1638" i="2"/>
  <c r="N2619" i="2"/>
  <c r="N620" i="2"/>
  <c r="N119" i="2"/>
  <c r="N2308" i="2"/>
  <c r="N529" i="2"/>
  <c r="N2215" i="2"/>
  <c r="N1159" i="2"/>
  <c r="N2577" i="2"/>
  <c r="N2310" i="2"/>
  <c r="N1456" i="2"/>
  <c r="N1367" i="2"/>
  <c r="N14" i="2"/>
  <c r="N2105" i="2"/>
  <c r="N2351" i="2"/>
  <c r="N1560" i="2"/>
  <c r="N658" i="2"/>
  <c r="N1218" i="2"/>
  <c r="N2035" i="2"/>
  <c r="N194" i="2"/>
  <c r="N64" i="2"/>
  <c r="N2134" i="2"/>
  <c r="N65" i="2"/>
  <c r="N685" i="2"/>
  <c r="N38" i="2"/>
  <c r="N1714" i="2"/>
  <c r="N1257" i="2"/>
  <c r="N982" i="2"/>
  <c r="N1189" i="2"/>
  <c r="N161" i="2"/>
  <c r="N2396" i="2"/>
  <c r="N2011" i="2"/>
  <c r="N1846" i="2"/>
  <c r="N560" i="2"/>
  <c r="N867" i="2"/>
  <c r="N1813" i="2"/>
  <c r="N2109" i="2"/>
  <c r="N543" i="2"/>
  <c r="N2140" i="2"/>
  <c r="N1997" i="2"/>
  <c r="N204" i="2"/>
  <c r="N2586" i="2"/>
  <c r="N2415" i="2"/>
  <c r="N1397" i="2"/>
  <c r="N1755" i="2"/>
  <c r="N2597" i="2"/>
  <c r="N1563" i="2"/>
  <c r="N2246" i="2"/>
  <c r="N1856" i="2"/>
  <c r="N1514" i="2"/>
  <c r="N1449" i="2"/>
  <c r="N1517" i="2"/>
  <c r="N1117" i="2"/>
  <c r="N1754" i="2"/>
  <c r="N1309" i="2"/>
  <c r="N2584" i="2"/>
  <c r="N383" i="2"/>
  <c r="N499" i="2"/>
  <c r="N566" i="2"/>
  <c r="N835" i="2"/>
  <c r="N1395" i="2"/>
  <c r="N1763" i="2"/>
  <c r="N155" i="2"/>
  <c r="N2258" i="2"/>
  <c r="N718" i="2"/>
  <c r="N1368" i="2"/>
  <c r="N1074" i="2"/>
  <c r="N1241" i="2"/>
  <c r="N2000" i="2"/>
  <c r="N2272" i="2"/>
  <c r="N1954" i="2"/>
  <c r="N1422" i="2"/>
  <c r="N1675" i="2"/>
  <c r="N1068" i="2"/>
  <c r="N2067" i="2"/>
  <c r="N2224" i="2"/>
  <c r="N53" i="2"/>
  <c r="N2357" i="2"/>
  <c r="N427" i="2"/>
  <c r="N241" i="2"/>
  <c r="N2522" i="2"/>
  <c r="N2575" i="2"/>
  <c r="N2358" i="2"/>
  <c r="N611" i="2"/>
  <c r="N1653" i="2"/>
  <c r="N2741" i="2"/>
  <c r="N656" i="2"/>
  <c r="N432" i="2"/>
  <c r="N523" i="2"/>
  <c r="N344" i="2"/>
  <c r="N626" i="2"/>
  <c r="N699" i="2"/>
  <c r="N289" i="2"/>
  <c r="N642" i="2"/>
  <c r="N16" i="2"/>
  <c r="N2012" i="2"/>
  <c r="N2395" i="2"/>
  <c r="N1086" i="2"/>
  <c r="N1440" i="2"/>
  <c r="N1200" i="2"/>
  <c r="N2640" i="2"/>
  <c r="N281" i="2"/>
  <c r="N1466" i="2"/>
  <c r="N2373" i="2"/>
  <c r="N1175" i="2"/>
  <c r="N1027" i="2"/>
  <c r="N1306" i="2"/>
  <c r="N735" i="2"/>
  <c r="N1829" i="2"/>
  <c r="N1451" i="2"/>
  <c r="N1562" i="2"/>
  <c r="N1933" i="2"/>
  <c r="N1453" i="2"/>
  <c r="N2355" i="2"/>
  <c r="N1820" i="2"/>
  <c r="N2520" i="2"/>
  <c r="N2534" i="2"/>
  <c r="N1426" i="2"/>
  <c r="N798" i="2"/>
  <c r="N331" i="2"/>
  <c r="N123" i="2"/>
  <c r="N96" i="2"/>
  <c r="N1546" i="2"/>
  <c r="N1315" i="2"/>
  <c r="N904" i="2"/>
  <c r="N48" i="2"/>
  <c r="N2604" i="2"/>
  <c r="N309" i="2"/>
  <c r="N2304" i="2"/>
  <c r="N354" i="2"/>
  <c r="N2265" i="2"/>
  <c r="N18" i="2"/>
  <c r="N1659" i="2"/>
  <c r="N991" i="2"/>
  <c r="N1165" i="2"/>
  <c r="N1491" i="2"/>
  <c r="N2270" i="2"/>
  <c r="N1078" i="2"/>
  <c r="N2080" i="2"/>
  <c r="N1599" i="2"/>
  <c r="N1405" i="2"/>
  <c r="N1064" i="2"/>
  <c r="N2401" i="2"/>
  <c r="N2026" i="2"/>
  <c r="N2158" i="2"/>
  <c r="N928" i="2"/>
  <c r="N1070" i="2"/>
  <c r="N470" i="2"/>
  <c r="N2046" i="2"/>
  <c r="N2463" i="2"/>
  <c r="N1726" i="2"/>
  <c r="N2613" i="2"/>
  <c r="N945" i="2"/>
  <c r="N448" i="2"/>
  <c r="N2065" i="2"/>
  <c r="N1239" i="2"/>
  <c r="N1788" i="2"/>
  <c r="N299" i="2"/>
  <c r="N1431" i="2"/>
  <c r="N2328" i="2"/>
  <c r="N2394" i="2"/>
  <c r="N196" i="2"/>
  <c r="N367" i="2"/>
  <c r="N997" i="2"/>
  <c r="N787" i="2"/>
  <c r="N1381" i="2"/>
  <c r="N1085" i="2"/>
  <c r="N324" i="2"/>
  <c r="N2257" i="2"/>
  <c r="N442" i="2"/>
  <c r="N1297" i="2"/>
  <c r="N2383" i="2"/>
  <c r="N2041" i="2"/>
  <c r="N1511" i="2"/>
  <c r="N1968" i="2"/>
  <c r="N1185" i="2"/>
  <c r="N1824" i="2"/>
  <c r="N1226" i="2"/>
  <c r="N1685" i="2"/>
  <c r="N1473" i="2"/>
  <c r="N635" i="2"/>
  <c r="N647" i="2"/>
  <c r="N2190" i="2"/>
  <c r="N2468" i="2"/>
  <c r="N2518" i="2"/>
  <c r="N2363" i="2"/>
  <c r="N2144" i="2"/>
  <c r="N947" i="2"/>
  <c r="N1156" i="2"/>
  <c r="N1265" i="2"/>
  <c r="N2374" i="2"/>
  <c r="N2072" i="2"/>
  <c r="N2099" i="2"/>
  <c r="N1741" i="2"/>
  <c r="N1587" i="2"/>
  <c r="N1462" i="2"/>
  <c r="N1554" i="2"/>
  <c r="N154" i="2"/>
  <c r="N2225" i="2"/>
  <c r="N723" i="2"/>
  <c r="N660" i="2"/>
  <c r="N42" i="2"/>
  <c r="N2599" i="2"/>
  <c r="N531" i="2"/>
  <c r="N1049" i="2"/>
  <c r="N759" i="2"/>
  <c r="N1434" i="2"/>
  <c r="N1525" i="2"/>
  <c r="N2296" i="2"/>
  <c r="N2316" i="2"/>
  <c r="N552" i="2"/>
  <c r="N2506" i="2"/>
  <c r="N2075" i="2"/>
  <c r="N1176" i="2"/>
  <c r="N678" i="2"/>
  <c r="N2734" i="2"/>
  <c r="N2416" i="2"/>
  <c r="N825" i="2"/>
  <c r="N1071" i="2"/>
  <c r="N2443" i="2"/>
  <c r="N2535" i="2"/>
  <c r="N772" i="2"/>
  <c r="N2652" i="2"/>
  <c r="N1993" i="2"/>
  <c r="N768" i="2"/>
  <c r="N2484" i="2"/>
  <c r="N452" i="2"/>
  <c r="N1486" i="2"/>
  <c r="N1004" i="2"/>
  <c r="N2209" i="2"/>
  <c r="N1729" i="2"/>
  <c r="N2200" i="2"/>
  <c r="N898" i="2"/>
  <c r="N2547" i="2"/>
  <c r="N1715" i="2"/>
  <c r="N1895" i="2"/>
  <c r="N1502" i="2"/>
  <c r="N275" i="2"/>
  <c r="N1075" i="2"/>
  <c r="N595" i="2"/>
  <c r="N1861" i="2"/>
  <c r="N837" i="2"/>
  <c r="N625" i="2"/>
  <c r="N617" i="2"/>
  <c r="N812" i="2"/>
  <c r="N2153" i="2"/>
  <c r="N985" i="2"/>
  <c r="N471" i="2"/>
  <c r="N1214" i="2"/>
  <c r="N136" i="2"/>
  <c r="N741" i="2"/>
  <c r="N817" i="2"/>
  <c r="N2450" i="2"/>
  <c r="N1500" i="2"/>
  <c r="N2381" i="2"/>
  <c r="N498" i="2"/>
  <c r="N164" i="2"/>
  <c r="N1222" i="2"/>
  <c r="N2241" i="2"/>
  <c r="N1845" i="2"/>
  <c r="N24" i="2"/>
  <c r="N1076" i="2"/>
  <c r="N50" i="2"/>
  <c r="N1351" i="2"/>
  <c r="N1838" i="2"/>
  <c r="N1985" i="2"/>
  <c r="N721" i="2"/>
  <c r="N95" i="2"/>
  <c r="N327" i="2"/>
  <c r="N446" i="2"/>
  <c r="N2523" i="2"/>
  <c r="N506" i="2"/>
  <c r="N1008" i="2"/>
  <c r="N1303" i="2"/>
  <c r="N535" i="2"/>
  <c r="N645" i="2"/>
  <c r="N856" i="2"/>
  <c r="N2303" i="2"/>
  <c r="N2422" i="2"/>
  <c r="N2353" i="2"/>
  <c r="N6" i="2"/>
  <c r="N272" i="2"/>
  <c r="N1794" i="2"/>
  <c r="N1394" i="2"/>
  <c r="N1386" i="2"/>
  <c r="N548" i="2"/>
  <c r="N307" i="2"/>
  <c r="N469" i="2"/>
  <c r="N373" i="2"/>
  <c r="N1322" i="2"/>
  <c r="N1482" i="2"/>
  <c r="N30" i="2"/>
  <c r="N1237" i="2"/>
  <c r="N1167" i="2"/>
  <c r="N2254" i="2"/>
  <c r="N11" i="2"/>
  <c r="N220" i="2"/>
  <c r="N815" i="2"/>
  <c r="N146" i="2"/>
  <c r="N2473" i="2"/>
  <c r="N1917" i="2"/>
  <c r="N1998" i="2"/>
  <c r="N1079" i="2"/>
  <c r="N2525" i="2"/>
  <c r="N1292" i="2"/>
  <c r="N779" i="2"/>
  <c r="N2066" i="2"/>
  <c r="N624" i="2"/>
  <c r="N2004" i="2"/>
  <c r="N59" i="2"/>
  <c r="N2146" i="2"/>
  <c r="N2315" i="2"/>
  <c r="N1687" i="2"/>
  <c r="N2704" i="2"/>
  <c r="N2634" i="2"/>
  <c r="N2670" i="2"/>
  <c r="N1420" i="2"/>
  <c r="N2474" i="2"/>
  <c r="N2001" i="2"/>
  <c r="N2651" i="2"/>
  <c r="N2434" i="2"/>
  <c r="N2404" i="2"/>
  <c r="N2043" i="2"/>
  <c r="N2325" i="2"/>
  <c r="N2417" i="2"/>
  <c r="N1092" i="2"/>
  <c r="N1258" i="2"/>
  <c r="N2086" i="2"/>
  <c r="N1902" i="2"/>
  <c r="N2029" i="2"/>
  <c r="N1121" i="2"/>
  <c r="N1461" i="2"/>
  <c r="N2334" i="2"/>
  <c r="N290" i="2"/>
  <c r="N1184" i="2"/>
  <c r="N530" i="2"/>
  <c r="N234" i="2"/>
  <c r="N687" i="2"/>
  <c r="N2456" i="2"/>
  <c r="N1578" i="2"/>
  <c r="N871" i="2"/>
  <c r="N561" i="2"/>
  <c r="N151" i="2"/>
  <c r="N345" i="2"/>
  <c r="N504" i="2"/>
  <c r="N370" i="2"/>
  <c r="N454" i="2"/>
  <c r="N859" i="2"/>
  <c r="N2696" i="2"/>
  <c r="N1543" i="2"/>
  <c r="N362" i="2"/>
  <c r="N1112" i="2"/>
  <c r="N1558" i="2"/>
  <c r="N2400" i="2"/>
  <c r="N2089" i="2"/>
  <c r="N166" i="2"/>
  <c r="N2621" i="2"/>
  <c r="N2716" i="2"/>
  <c r="N342" i="2"/>
  <c r="N1931" i="2"/>
  <c r="N413" i="2"/>
  <c r="N2119" i="2"/>
  <c r="N2737" i="2"/>
  <c r="N1649" i="2"/>
  <c r="N1387" i="2"/>
  <c r="N1667" i="2"/>
  <c r="N1026" i="2"/>
  <c r="N754" i="2"/>
  <c r="N2054" i="2"/>
  <c r="N1014" i="2"/>
  <c r="N2197" i="2"/>
  <c r="N895" i="2"/>
  <c r="N1001" i="2"/>
  <c r="N1217" i="2"/>
  <c r="N1260" i="2"/>
  <c r="N981" i="2"/>
  <c r="N410" i="2"/>
  <c r="N2558" i="2"/>
  <c r="N2408" i="2"/>
  <c r="N2378" i="2"/>
  <c r="N1694" i="2"/>
  <c r="N681" i="2"/>
  <c r="N1549" i="2"/>
  <c r="N1700" i="2"/>
  <c r="N1693" i="2"/>
  <c r="N218" i="2"/>
  <c r="N1272" i="2"/>
  <c r="N1169" i="2"/>
  <c r="N1891" i="2"/>
  <c r="N1331" i="2"/>
  <c r="N2609" i="2"/>
  <c r="N909" i="2"/>
  <c r="N2478" i="2"/>
  <c r="N869" i="2"/>
  <c r="N1688" i="2"/>
  <c r="N2556" i="2"/>
  <c r="N2160" i="2"/>
  <c r="N2231" i="2"/>
  <c r="N1446" i="2"/>
  <c r="N1541" i="2"/>
  <c r="N2672" i="2"/>
  <c r="N2511" i="2"/>
  <c r="N1088" i="2"/>
  <c r="N2282" i="2"/>
  <c r="N742" i="2"/>
  <c r="N2297" i="2"/>
  <c r="N1099" i="2"/>
  <c r="N1149" i="2"/>
  <c r="N1102" i="2"/>
  <c r="N2564" i="2"/>
  <c r="N2007" i="2"/>
  <c r="N1447" i="2"/>
  <c r="N2022" i="2"/>
  <c r="N1943" i="2"/>
  <c r="N1853" i="2"/>
  <c r="N1899" i="2"/>
  <c r="N1850" i="2"/>
  <c r="N2453" i="2"/>
  <c r="N935" i="2"/>
  <c r="N1023" i="2"/>
  <c r="N2039" i="2"/>
  <c r="N1731" i="2"/>
  <c r="N2236" i="2"/>
  <c r="N1045" i="2"/>
  <c r="N1778" i="2"/>
  <c r="N2171" i="2"/>
  <c r="N2162" i="2"/>
  <c r="N1477" i="2"/>
  <c r="N2641" i="2"/>
  <c r="N2207" i="2"/>
  <c r="N1596" i="2"/>
  <c r="N1216" i="2"/>
  <c r="N1956" i="2"/>
  <c r="N930" i="2"/>
  <c r="N1173" i="2"/>
  <c r="N2397" i="2"/>
  <c r="N1188" i="2"/>
  <c r="N1852" i="2"/>
  <c r="N2284" i="2"/>
  <c r="N1529" i="2"/>
  <c r="N1811" i="2"/>
  <c r="N2341" i="2"/>
  <c r="N1831" i="2"/>
  <c r="N1805" i="2"/>
  <c r="N2070" i="2"/>
  <c r="N1267" i="2"/>
  <c r="N2461" i="2"/>
  <c r="N2214" i="2"/>
  <c r="N2570" i="2"/>
  <c r="N995" i="2"/>
  <c r="N2002" i="2"/>
  <c r="N1037" i="2"/>
  <c r="N1609" i="2"/>
  <c r="N1119" i="2"/>
  <c r="N2006" i="2"/>
  <c r="N1031" i="2"/>
  <c r="N1626" i="2"/>
  <c r="N1093" i="2"/>
  <c r="N169" i="2"/>
  <c r="N167" i="2"/>
  <c r="N1227" i="2"/>
  <c r="N2680" i="2"/>
  <c r="N665" i="2"/>
  <c r="N1364" i="2"/>
  <c r="N863" i="2"/>
  <c r="N407" i="2"/>
  <c r="N503" i="2"/>
  <c r="N2591" i="2"/>
  <c r="N998" i="2"/>
  <c r="N305" i="2"/>
  <c r="N132" i="2"/>
  <c r="N2687" i="2"/>
  <c r="N2649" i="2"/>
  <c r="N1065" i="2"/>
  <c r="N524" i="2"/>
  <c r="N937" i="2"/>
  <c r="N2676" i="2"/>
  <c r="N2572" i="2"/>
  <c r="N2527" i="2"/>
  <c r="N2631" i="2"/>
  <c r="N1432" i="2"/>
  <c r="N1633" i="2"/>
  <c r="N27" i="2"/>
  <c r="N2359" i="2"/>
  <c r="N2020" i="2"/>
  <c r="N1808" i="2"/>
  <c r="N1385" i="2"/>
  <c r="N2084" i="2"/>
  <c r="N1118" i="2"/>
  <c r="N2136" i="2"/>
  <c r="N783" i="2"/>
  <c r="N178" i="2"/>
  <c r="N1171" i="2"/>
  <c r="N2543" i="2"/>
  <c r="N1532" i="2"/>
  <c r="N1677" i="2"/>
  <c r="N1882" i="2"/>
  <c r="N2259" i="2"/>
  <c r="N880" i="2"/>
  <c r="N2176" i="2"/>
  <c r="N461" i="2"/>
  <c r="N1082" i="2"/>
  <c r="N1515" i="2"/>
  <c r="N1197" i="2"/>
  <c r="N1908" i="2"/>
  <c r="N994" i="2"/>
  <c r="N91" i="2"/>
  <c r="N2333" i="2"/>
  <c r="N56" i="2"/>
  <c r="N2319" i="2"/>
  <c r="N575" i="2"/>
  <c r="N1424" i="2"/>
  <c r="N276" i="2"/>
  <c r="N343" i="2"/>
  <c r="N481" i="2"/>
  <c r="N468" i="2"/>
  <c r="N1601" i="2"/>
  <c r="N2684" i="2"/>
  <c r="N2055" i="2"/>
  <c r="N2563" i="2"/>
  <c r="N405" i="2"/>
  <c r="N474" i="2"/>
  <c r="N174" i="2"/>
  <c r="N582" i="2"/>
  <c r="N330" i="2"/>
  <c r="N379" i="2"/>
  <c r="N1837" i="2"/>
  <c r="N1066" i="2"/>
  <c r="N1414" i="2"/>
  <c r="N456" i="2"/>
  <c r="N22" i="2"/>
  <c r="N1348" i="2"/>
  <c r="N2244" i="2"/>
  <c r="N2125" i="2"/>
  <c r="N599" i="2"/>
  <c r="N2345" i="2"/>
  <c r="N262" i="2"/>
  <c r="N466" i="2"/>
  <c r="N1966" i="2"/>
  <c r="N449" i="2"/>
  <c r="N1764" i="2"/>
  <c r="N2174" i="2"/>
  <c r="N1533" i="2"/>
  <c r="N1591" i="2"/>
  <c r="N1480" i="2"/>
  <c r="N1942" i="2"/>
  <c r="N2143" i="2"/>
  <c r="N2156" i="2"/>
  <c r="N1776" i="2"/>
  <c r="N953" i="2"/>
  <c r="N1436" i="2"/>
  <c r="N2669" i="2"/>
  <c r="N769" i="2"/>
  <c r="N2279" i="2"/>
  <c r="N381" i="2"/>
  <c r="N1472" i="2"/>
  <c r="N1411" i="2"/>
  <c r="N2330" i="2"/>
  <c r="N304" i="2"/>
  <c r="N1581" i="2"/>
  <c r="N259" i="2"/>
  <c r="N568" i="2"/>
  <c r="N1300" i="2"/>
  <c r="N1827" i="2"/>
  <c r="N2226" i="2"/>
  <c r="N1879" i="2"/>
  <c r="N1640" i="2"/>
  <c r="N2617" i="2"/>
  <c r="N341" i="2"/>
  <c r="N176" i="2"/>
  <c r="N2118" i="2"/>
  <c r="N1481" i="2"/>
  <c r="N418" i="2"/>
  <c r="N753" i="2"/>
  <c r="N965" i="2"/>
  <c r="N28" i="2"/>
  <c r="N2126" i="2"/>
  <c r="N31" i="2"/>
  <c r="N329" i="2"/>
  <c r="N1039" i="2"/>
  <c r="N2444" i="2"/>
  <c r="N2262" i="2"/>
  <c r="N915" i="2"/>
  <c r="N1510" i="2"/>
  <c r="N1342" i="2"/>
  <c r="N2093" i="2"/>
  <c r="N2489" i="2"/>
  <c r="N1666" i="2"/>
  <c r="N2742" i="2"/>
  <c r="N130" i="2"/>
  <c r="N288" i="2"/>
  <c r="N177" i="2"/>
  <c r="N2298" i="2"/>
  <c r="N2740" i="2"/>
  <c r="N637" i="2"/>
  <c r="N1205" i="2"/>
  <c r="N785" i="2"/>
  <c r="N175" i="2"/>
  <c r="N1952" i="2"/>
  <c r="N147" i="2"/>
  <c r="N193" i="2"/>
  <c r="N496" i="2"/>
  <c r="N823" i="2"/>
  <c r="N2424" i="2"/>
  <c r="N2135" i="2"/>
  <c r="N29" i="2"/>
  <c r="N58" i="2"/>
  <c r="N2675" i="2"/>
  <c r="N1018" i="2"/>
  <c r="N460" i="2"/>
  <c r="N137" i="2"/>
  <c r="N839" i="2"/>
  <c r="N957" i="2"/>
  <c r="N219" i="2"/>
  <c r="N725" i="2"/>
  <c r="N2034" i="2"/>
  <c r="N488" i="2"/>
  <c r="N2038" i="2"/>
  <c r="N2048" i="2"/>
  <c r="N2295" i="2"/>
  <c r="N435" i="2"/>
  <c r="N510" i="2"/>
  <c r="N225" i="2"/>
  <c r="N1084" i="2"/>
  <c r="N2208" i="2"/>
  <c r="N501" i="2"/>
  <c r="N207" i="2"/>
  <c r="N2623" i="2"/>
  <c r="N2622" i="2"/>
  <c r="N2620" i="2"/>
  <c r="N2624" i="2"/>
  <c r="N2642" i="2"/>
  <c r="N1320" i="2"/>
  <c r="N2409" i="2"/>
  <c r="N314" i="2"/>
  <c r="N2187" i="2"/>
  <c r="N2040" i="2"/>
  <c r="N1433" i="2"/>
  <c r="N2460" i="2"/>
  <c r="N1467" i="2"/>
  <c r="N231" i="2"/>
  <c r="N2423" i="2"/>
  <c r="N2111" i="2"/>
  <c r="N873" i="2"/>
  <c r="N775" i="2"/>
  <c r="N2457" i="2"/>
  <c r="N764" i="2"/>
  <c r="N2588" i="2"/>
  <c r="N2003" i="2"/>
  <c r="N1848" i="2"/>
  <c r="N2407" i="2"/>
  <c r="N2685" i="2"/>
  <c r="N1982" i="2"/>
  <c r="N1875" i="2"/>
  <c r="N556" i="2"/>
  <c r="N1401" i="2"/>
  <c r="N2367" i="2"/>
  <c r="N2542" i="2"/>
  <c r="N1413" i="2"/>
  <c r="N1400" i="2"/>
  <c r="N2412" i="2"/>
  <c r="N1958" i="2"/>
  <c r="N1625" i="2"/>
  <c r="N1246" i="2"/>
  <c r="N2229" i="2"/>
  <c r="N1547" i="2"/>
  <c r="N201" i="2"/>
  <c r="N851" i="2"/>
  <c r="N672" i="2"/>
  <c r="N574" i="2"/>
  <c r="N578" i="2"/>
  <c r="N511" i="2"/>
  <c r="N680" i="2"/>
  <c r="N1311" i="2"/>
  <c r="N186" i="2"/>
  <c r="N2104" i="2"/>
  <c r="N2593" i="2"/>
  <c r="N2339" i="2"/>
  <c r="N1329" i="2"/>
  <c r="N1944" i="2"/>
  <c r="N252" i="2"/>
  <c r="N21" i="2"/>
  <c r="N486" i="2"/>
  <c r="N1534" i="2"/>
  <c r="N1762" i="2"/>
  <c r="N1751" i="2"/>
  <c r="N1135" i="2"/>
  <c r="N2239" i="2"/>
  <c r="N1129" i="2"/>
  <c r="N1796" i="2"/>
  <c r="N1269" i="2"/>
  <c r="N2608" i="2"/>
  <c r="N2085" i="2"/>
  <c r="N360" i="2"/>
  <c r="N2689" i="2"/>
  <c r="N311" i="2"/>
  <c r="N1583" i="2"/>
  <c r="N1316" i="2"/>
  <c r="N2287" i="2"/>
  <c r="N2042" i="2"/>
  <c r="N1127" i="2"/>
  <c r="N1804" i="2"/>
  <c r="N2073" i="2"/>
  <c r="N1266" i="2"/>
  <c r="N1494" i="2"/>
  <c r="N2438" i="2"/>
  <c r="N1728" i="2"/>
  <c r="N1969" i="2"/>
  <c r="N727" i="2"/>
  <c r="N2202" i="2"/>
  <c r="N1063" i="2"/>
  <c r="N88" i="2"/>
  <c r="N2496" i="2"/>
  <c r="N1178" i="2"/>
  <c r="N1160" i="2"/>
  <c r="N2023" i="2"/>
  <c r="N2337" i="2"/>
  <c r="N821" i="2"/>
  <c r="N1617" i="2"/>
  <c r="N1645" i="2"/>
  <c r="N2659" i="2"/>
  <c r="N949" i="2"/>
  <c r="N1013" i="2"/>
  <c r="N1298" i="2"/>
  <c r="N2519" i="2"/>
  <c r="N1897" i="2"/>
  <c r="N7" i="2"/>
  <c r="N335" i="2"/>
  <c r="N1391" i="2"/>
  <c r="N933" i="2"/>
  <c r="N2715" i="2"/>
  <c r="N2221" i="2"/>
  <c r="N539" i="2"/>
  <c r="N638" i="2"/>
  <c r="N340" i="2"/>
  <c r="N1903" i="2"/>
  <c r="N1799" i="2"/>
  <c r="N1407" i="2"/>
  <c r="N1203" i="2"/>
  <c r="N2528" i="2"/>
  <c r="N2179" i="2"/>
  <c r="N2540" i="2"/>
  <c r="N969" i="2"/>
  <c r="N2514" i="2"/>
  <c r="N2008" i="2"/>
  <c r="N2107" i="2"/>
  <c r="N129" i="2"/>
  <c r="N2477" i="2"/>
  <c r="N2476" i="2"/>
  <c r="N1801" i="2"/>
  <c r="N710" i="2"/>
  <c r="N1090" i="2"/>
  <c r="N636" i="2"/>
  <c r="N732" i="2"/>
  <c r="N117" i="2"/>
  <c r="N2076" i="2"/>
  <c r="N747" i="2"/>
  <c r="N2113" i="2"/>
  <c r="N2327" i="2"/>
  <c r="N173" i="2"/>
  <c r="N1293" i="2"/>
  <c r="N1105" i="2"/>
  <c r="N795" i="2"/>
  <c r="N1383" i="2"/>
  <c r="N1393" i="2"/>
  <c r="N1179" i="2"/>
  <c r="N1150" i="2"/>
  <c r="N1330" i="2"/>
  <c r="N1795" i="2"/>
  <c r="N266" i="2"/>
  <c r="N2260" i="2"/>
  <c r="N1124" i="2"/>
  <c r="N2154" i="2"/>
  <c r="N1588" i="2"/>
  <c r="N2252" i="2"/>
  <c r="N1676" i="2"/>
  <c r="N2724" i="2"/>
  <c r="N2141" i="2"/>
  <c r="N1520" i="2"/>
  <c r="N1758" i="2"/>
  <c r="N1717" i="2"/>
  <c r="N2553" i="2"/>
  <c r="N472" i="2"/>
  <c r="N648" i="2"/>
  <c r="N1967" i="2"/>
  <c r="N2184" i="2"/>
  <c r="N1669" i="2"/>
  <c r="N1192" i="2"/>
  <c r="N2541" i="2"/>
  <c r="N2705" i="2"/>
  <c r="N1430" i="2"/>
  <c r="N989" i="2"/>
  <c r="N906" i="2"/>
  <c r="N463" i="2"/>
  <c r="N1832" i="2"/>
  <c r="N464" i="2"/>
  <c r="N641" i="2"/>
  <c r="N2372" i="2"/>
  <c r="N1661" i="2"/>
  <c r="N1011" i="2"/>
  <c r="N1460" i="2"/>
  <c r="N2606" i="2"/>
  <c r="N2562" i="2"/>
  <c r="N1195" i="2"/>
  <c r="N587" i="2"/>
  <c r="N1134" i="2"/>
  <c r="N770" i="2"/>
  <c r="N116" i="2"/>
  <c r="N411" i="2"/>
  <c r="N245" i="2"/>
  <c r="N1912" i="2"/>
  <c r="N1739" i="2"/>
  <c r="N2433" i="2"/>
  <c r="N2508" i="2"/>
  <c r="N1120" i="2"/>
  <c r="N1404" i="2"/>
  <c r="N2069" i="2"/>
  <c r="N2223" i="2"/>
  <c r="N1674" i="2"/>
  <c r="N1465" i="2"/>
  <c r="N2446" i="2"/>
  <c r="N63" i="2"/>
  <c r="N185" i="2"/>
  <c r="N1855" i="2"/>
  <c r="N2688" i="2"/>
  <c r="N214" i="2"/>
  <c r="N790" i="2"/>
  <c r="N2524" i="2"/>
  <c r="N2681" i="2"/>
  <c r="N512" i="2"/>
  <c r="N2509" i="2"/>
  <c r="N890" i="2"/>
  <c r="N1321" i="2"/>
  <c r="N1313" i="2"/>
  <c r="N1756" i="2"/>
  <c r="N2430" i="2"/>
  <c r="N320" i="2"/>
  <c r="N707" i="2"/>
  <c r="N2133" i="2"/>
  <c r="N938" i="2"/>
  <c r="N2554" i="2"/>
  <c r="N1268" i="2"/>
  <c r="N592" i="2"/>
  <c r="N589" i="2"/>
  <c r="N1408" i="2"/>
  <c r="N1937" i="2"/>
  <c r="N1220" i="2"/>
  <c r="N917" i="2"/>
  <c r="N739" i="2"/>
  <c r="N2530" i="2"/>
  <c r="N760" i="2"/>
  <c r="N1843" i="2"/>
  <c r="N2470" i="2"/>
  <c r="N1930" i="2"/>
  <c r="N2375" i="2"/>
  <c r="N925" i="2"/>
  <c r="N1797" i="2"/>
  <c r="N2189" i="2"/>
  <c r="N2170" i="2"/>
  <c r="N2502" i="2"/>
  <c r="N2677" i="2"/>
  <c r="N900" i="2"/>
  <c r="N2312" i="2"/>
  <c r="N1435" i="2"/>
  <c r="N1679" i="2"/>
  <c r="N1350" i="2"/>
  <c r="N1747" i="2"/>
  <c r="N2213" i="2"/>
  <c r="N2532" i="2"/>
  <c r="N1835" i="2"/>
  <c r="N2706" i="2"/>
  <c r="N2212" i="2"/>
  <c r="N1236" i="2"/>
  <c r="N1785" i="2"/>
  <c r="N858" i="2"/>
  <c r="N1132" i="2"/>
  <c r="N1816" i="2"/>
  <c r="N1524" i="2"/>
  <c r="N758" i="2"/>
  <c r="N1097" i="2"/>
  <c r="N1382" i="2"/>
  <c r="N1362" i="2"/>
  <c r="N1505" i="2"/>
  <c r="N306" i="2"/>
  <c r="N366" i="2"/>
  <c r="N875" i="2"/>
  <c r="N2205" i="2"/>
  <c r="N601" i="2"/>
  <c r="N1485" i="2"/>
  <c r="N2479" i="2"/>
  <c r="N1508" i="2"/>
  <c r="N1947" i="2"/>
  <c r="N2037" i="2"/>
  <c r="N913" i="2"/>
  <c r="N1186" i="2"/>
  <c r="N9" i="2"/>
  <c r="N1833" i="2"/>
  <c r="N2230" i="2"/>
  <c r="N745" i="2"/>
  <c r="N934" i="2"/>
  <c r="N1800" i="2"/>
  <c r="N115" i="2"/>
  <c r="N1841" i="2"/>
  <c r="N2010" i="2"/>
  <c r="N236" i="2"/>
  <c r="N1038" i="2"/>
  <c r="N291" i="2"/>
  <c r="N2665" i="2"/>
  <c r="N716" i="2"/>
  <c r="N336" i="2"/>
  <c r="N2682" i="2"/>
  <c r="N746" i="2"/>
  <c r="N2663" i="2"/>
  <c r="N500" i="2"/>
  <c r="N66" i="2"/>
  <c r="N2188" i="2"/>
  <c r="N2561" i="2"/>
  <c r="N1279" i="2"/>
  <c r="N527" i="2"/>
  <c r="N1991" i="2"/>
  <c r="N1960" i="2"/>
  <c r="N963" i="2"/>
  <c r="N2686" i="2"/>
  <c r="N774" i="2"/>
  <c r="N102" i="2"/>
  <c r="N17" i="2"/>
  <c r="N1886" i="2"/>
  <c r="N2703" i="2"/>
  <c r="N239" i="2"/>
  <c r="N525" i="2"/>
  <c r="N267" i="2"/>
  <c r="N1906" i="2"/>
  <c r="N1030" i="2"/>
  <c r="N1643" i="2"/>
  <c r="N2181" i="2"/>
  <c r="N1000" i="2"/>
  <c r="N673" i="2"/>
  <c r="N2550" i="2"/>
  <c r="N1145" i="2"/>
  <c r="N1009" i="2"/>
  <c r="N1133" i="2"/>
  <c r="N1631" i="2"/>
  <c r="N1994" i="2"/>
  <c r="N165" i="2"/>
  <c r="N434" i="2"/>
  <c r="N1372" i="2"/>
  <c r="N47" i="2"/>
  <c r="N811" i="2"/>
  <c r="N892" i="2"/>
  <c r="N2721" i="2"/>
  <c r="N990" i="2"/>
  <c r="N2713" i="2"/>
  <c r="N583" i="2"/>
  <c r="N703" i="2"/>
  <c r="N1388" i="2"/>
  <c r="N57" i="2"/>
  <c r="N2636" i="2"/>
  <c r="N534" i="2"/>
  <c r="N4" i="2"/>
  <c r="N408" i="2"/>
  <c r="N404" i="2"/>
  <c r="N1438" i="2"/>
  <c r="N1509" i="2"/>
  <c r="N2245" i="2"/>
  <c r="N781" i="2"/>
  <c r="N1479" i="2"/>
  <c r="N729" i="2"/>
  <c r="N436" i="2"/>
  <c r="N2138" i="2"/>
  <c r="N256" i="2"/>
  <c r="N668" i="2"/>
  <c r="N1274" i="2"/>
  <c r="N353" i="2"/>
  <c r="N2253" i="2"/>
  <c r="N321" i="2"/>
  <c r="N482" i="2"/>
  <c r="N1652" i="2"/>
  <c r="N1857" i="2"/>
  <c r="N1723" i="2"/>
  <c r="N32" i="2"/>
  <c r="N2228" i="2"/>
  <c r="N1409" i="2"/>
  <c r="N72" i="2"/>
  <c r="N842" i="2"/>
  <c r="N103" i="2"/>
  <c r="N689" i="2"/>
  <c r="N831" i="2"/>
  <c r="N1340" i="2"/>
  <c r="N675" i="2"/>
  <c r="N773" i="2"/>
  <c r="N1126" i="2"/>
  <c r="N2220" i="2"/>
  <c r="N796" i="2"/>
  <c r="N1080" i="2"/>
  <c r="N537" i="2"/>
  <c r="N2445" i="2"/>
  <c r="N520" i="2"/>
  <c r="N1564" i="2"/>
  <c r="N1245" i="2"/>
  <c r="N1208" i="2"/>
  <c r="N763" i="2"/>
  <c r="N1938" i="2"/>
  <c r="N1455" i="2"/>
  <c r="N282" i="2"/>
  <c r="N860" i="2"/>
  <c r="N844" i="2"/>
  <c r="N403" i="2"/>
  <c r="N1230" i="2"/>
  <c r="N951" i="2"/>
  <c r="N862" i="2"/>
  <c r="N2679" i="2"/>
  <c r="N36" i="2"/>
  <c r="N1868" i="2"/>
  <c r="N1948" i="2"/>
  <c r="N2108" i="2"/>
  <c r="N363" i="2"/>
  <c r="N2579" i="2"/>
  <c r="N1996" i="2"/>
  <c r="N1849" i="2"/>
  <c r="N850" i="2"/>
  <c r="N2576" i="2"/>
  <c r="N1977" i="2"/>
  <c r="N1662" i="2"/>
  <c r="N1296" i="2"/>
  <c r="N2301" i="2"/>
  <c r="N613" i="2"/>
  <c r="N2243" i="2"/>
  <c r="N1784" i="2"/>
  <c r="N528" i="2"/>
  <c r="N271" i="2"/>
  <c r="N2095" i="2"/>
  <c r="N1710" i="2"/>
  <c r="N2654" i="2"/>
  <c r="N671" i="2"/>
  <c r="N438" i="2"/>
  <c r="N518" i="2"/>
  <c r="N1600" i="2"/>
  <c r="N1291" i="2"/>
  <c r="N1551" i="2"/>
  <c r="N2638" i="2"/>
  <c r="N1005" i="2"/>
  <c r="N1396" i="2"/>
  <c r="N708" i="2"/>
  <c r="N2567" i="2"/>
  <c r="N1962" i="2"/>
  <c r="N421" i="2"/>
  <c r="N1025" i="2"/>
  <c r="N1970" i="2"/>
  <c r="N2248" i="2"/>
  <c r="N1571" i="2"/>
  <c r="N1537" i="2"/>
  <c r="N577" i="2"/>
  <c r="N483" i="2"/>
  <c r="N694" i="2"/>
  <c r="N936" i="2"/>
  <c r="N2217" i="2"/>
  <c r="N2656" i="2"/>
  <c r="N1590" i="2"/>
  <c r="N1644" i="2"/>
  <c r="N1542" i="2"/>
  <c r="N1390" i="2"/>
  <c r="N1338" i="2"/>
  <c r="N657" i="2"/>
  <c r="N1904" i="2"/>
  <c r="N847" i="2"/>
  <c r="N70" i="2"/>
  <c r="N2454" i="2"/>
  <c r="N142" i="2"/>
  <c r="N1725" i="2"/>
  <c r="N2601" i="2"/>
  <c r="N1978" i="2"/>
  <c r="N1881" i="2"/>
  <c r="N316" i="2"/>
  <c r="N996" i="2"/>
  <c r="N462" i="2"/>
  <c r="N1444" i="2"/>
  <c r="N1701" i="2"/>
  <c r="N1894" i="2"/>
  <c r="N1736" i="2"/>
  <c r="N292" i="2"/>
  <c r="N555" i="2"/>
  <c r="N382" i="2"/>
  <c r="N465" i="2"/>
  <c r="N444" i="2"/>
  <c r="N81" i="2"/>
  <c r="N1262" i="2"/>
  <c r="N865" i="2"/>
  <c r="N1345" i="2"/>
  <c r="N1914" i="2"/>
  <c r="N2286" i="2"/>
  <c r="N2418" i="2"/>
  <c r="N1450" i="2"/>
  <c r="N554" i="2"/>
  <c r="N1527" i="2"/>
  <c r="N800" i="2"/>
  <c r="N608" i="2"/>
  <c r="N1885" i="2"/>
  <c r="N841" i="2"/>
  <c r="N269" i="2"/>
  <c r="N1629" i="2"/>
  <c r="N750" i="2"/>
  <c r="N128" i="2"/>
  <c r="N507" i="2"/>
  <c r="N2100" i="2"/>
  <c r="N961" i="2"/>
  <c r="N1116" i="2"/>
  <c r="N1041" i="2"/>
  <c r="N683" i="2"/>
  <c r="N2294" i="2"/>
  <c r="N516" i="2"/>
  <c r="N493" i="2"/>
  <c r="N1476" i="2"/>
  <c r="N2288" i="2"/>
  <c r="N212" i="2"/>
  <c r="N1555" i="2"/>
  <c r="N2594" i="2"/>
  <c r="N1464" i="2"/>
  <c r="N619" i="2"/>
  <c r="N2537" i="2"/>
  <c r="N2196" i="2"/>
  <c r="N1378" i="2"/>
  <c r="N284" i="2"/>
  <c r="N962" i="2"/>
  <c r="N1206" i="2"/>
  <c r="N2063" i="2"/>
  <c r="N1496" i="2"/>
  <c r="N1995" i="2"/>
  <c r="N1965" i="2"/>
  <c r="N2371" i="2"/>
  <c r="N1597" i="2"/>
  <c r="N2645" i="2"/>
  <c r="N1586" i="2"/>
  <c r="N1928" i="2"/>
  <c r="N1925" i="2"/>
  <c r="N2384" i="2"/>
  <c r="N1780" i="2"/>
  <c r="N1761" i="2"/>
  <c r="N2185" i="2"/>
  <c r="N580" i="2"/>
  <c r="N1289" i="2"/>
  <c r="N1050" i="2"/>
  <c r="N1190" i="2"/>
  <c r="N1732" i="2"/>
  <c r="N782" i="2"/>
  <c r="N533" i="2"/>
  <c r="N2455" i="2"/>
  <c r="N1957" i="2"/>
  <c r="N2149" i="2"/>
  <c r="N2360" i="2"/>
  <c r="N1632" i="2"/>
  <c r="N2500" i="2"/>
  <c r="N1707" i="2"/>
  <c r="N1328" i="2"/>
  <c r="N2285" i="2"/>
  <c r="N1716" i="2"/>
  <c r="N476" i="2"/>
  <c r="N2145" i="2"/>
  <c r="N365" i="2"/>
  <c r="N661" i="2"/>
  <c r="N374" i="2"/>
  <c r="N1844" i="2"/>
  <c r="N337" i="2"/>
  <c r="N181" i="2"/>
  <c r="N150" i="2"/>
  <c r="N836" i="2"/>
  <c r="N2036" i="2"/>
  <c r="N1773" i="2"/>
  <c r="N2385" i="2"/>
  <c r="N2356" i="2"/>
  <c r="N2250" i="2"/>
  <c r="N138" i="2"/>
  <c r="N1019" i="2"/>
  <c r="N623" i="2"/>
  <c r="N157" i="2"/>
  <c r="N1559" i="2"/>
  <c r="N2071" i="2"/>
  <c r="N1399" i="2"/>
  <c r="N2044" i="2"/>
  <c r="N397" i="2"/>
  <c r="N588" i="2"/>
  <c r="N1295" i="2"/>
  <c r="N960" i="2"/>
  <c r="N546" i="2"/>
  <c r="N630" i="2"/>
  <c r="N1821" i="2"/>
  <c r="N390" i="2"/>
  <c r="N941" i="2"/>
  <c r="N2427" i="2"/>
  <c r="N2251" i="2"/>
  <c r="N565" i="2"/>
  <c r="N118" i="2"/>
  <c r="N124" i="2"/>
  <c r="N827" i="2"/>
  <c r="N378" i="2"/>
  <c r="N1911" i="2"/>
  <c r="N1021" i="2"/>
  <c r="N2096" i="2"/>
  <c r="N654" i="2"/>
  <c r="N451" i="2"/>
  <c r="N1253" i="2"/>
  <c r="N911" i="2"/>
  <c r="N806" i="2"/>
  <c r="N2014" i="2"/>
  <c r="N905" i="2"/>
  <c r="N801" i="2"/>
  <c r="N1215" i="2"/>
  <c r="N805" i="2"/>
  <c r="N2494" i="2"/>
  <c r="N2053" i="2"/>
  <c r="N1191" i="2"/>
  <c r="N2557" i="2"/>
  <c r="N894" i="2"/>
  <c r="N1945" i="2"/>
  <c r="N1287" i="2"/>
  <c r="N864" i="2"/>
  <c r="N1877" i="2"/>
  <c r="N2435" i="2"/>
  <c r="N855" i="2"/>
  <c r="N594" i="2"/>
  <c r="N1327" i="2"/>
  <c r="N893" i="2"/>
  <c r="N2199" i="2"/>
  <c r="N1744" i="2"/>
  <c r="N1040" i="2"/>
  <c r="N1621" i="2"/>
  <c r="N2293" i="2"/>
  <c r="N1028" i="2"/>
  <c r="N75" i="2"/>
  <c r="N1072" i="2"/>
  <c r="N2018" i="2"/>
  <c r="N1873" i="2"/>
  <c r="N921" i="2"/>
  <c r="N1572" i="2"/>
  <c r="N104" i="2"/>
  <c r="N2240" i="2"/>
  <c r="N1859" i="2"/>
  <c r="N121" i="2"/>
  <c r="N1211" i="2"/>
  <c r="N2425" i="2"/>
  <c r="N264" i="2"/>
  <c r="N866" i="2"/>
  <c r="N160" i="2"/>
  <c r="N1250" i="2"/>
  <c r="N1144" i="2"/>
  <c r="N1871" i="2"/>
  <c r="N621" i="2"/>
  <c r="N1301" i="2"/>
  <c r="N2050" i="2"/>
  <c r="N1918" i="2"/>
  <c r="N473" i="2"/>
  <c r="N2467" i="2"/>
  <c r="N1818" i="2"/>
  <c r="N1020" i="2"/>
  <c r="N2102" i="2"/>
  <c r="N1375" i="2"/>
  <c r="N1907" i="2"/>
  <c r="N1961" i="2"/>
  <c r="N2201" i="2"/>
  <c r="N2183" i="2"/>
  <c r="N809" i="2"/>
  <c r="N602" i="2"/>
  <c r="N731" i="2"/>
  <c r="N1077" i="2"/>
  <c r="N1294" i="2"/>
  <c r="N834" i="2"/>
  <c r="N1361" i="2"/>
  <c r="N359" i="2"/>
  <c r="N1377" i="2"/>
  <c r="N521" i="2"/>
  <c r="N1162" i="2"/>
  <c r="N1987" i="2"/>
  <c r="N2083" i="2"/>
  <c r="N1752" i="2"/>
  <c r="N1439" i="2"/>
  <c r="N1490" i="2"/>
  <c r="N475" i="2"/>
  <c r="N2712" i="2"/>
  <c r="N67" i="2"/>
  <c r="N696" i="2"/>
  <c r="N2064" i="2"/>
  <c r="N2216" i="2"/>
  <c r="N1142" i="2"/>
  <c r="N1048" i="2"/>
  <c r="N709" i="2"/>
  <c r="N1719" i="2"/>
  <c r="N188" i="2"/>
  <c r="N437" i="2"/>
  <c r="N453" i="2"/>
  <c r="N733" i="2"/>
  <c r="N2671" i="2"/>
  <c r="N15" i="2"/>
  <c r="N159" i="2"/>
  <c r="N978" i="2"/>
  <c r="N293" i="2"/>
  <c r="N2027" i="2"/>
  <c r="N98" i="2"/>
  <c r="N2605" i="2"/>
  <c r="N1828" i="2"/>
  <c r="N1746" i="2"/>
  <c r="N902" i="2"/>
  <c r="N1777" i="2"/>
  <c r="N2447" i="2"/>
  <c r="N887" i="2"/>
  <c r="N2247" i="2"/>
  <c r="N1929" i="2"/>
  <c r="N736" i="2"/>
  <c r="N3" i="2"/>
  <c r="N2730" i="2"/>
  <c r="N213" i="2"/>
  <c r="N35" i="2"/>
  <c r="N1556" i="2"/>
  <c r="N1095" i="2"/>
  <c r="N86" i="2"/>
  <c r="N89" i="2"/>
  <c r="N690" i="2"/>
  <c r="N950" i="2"/>
  <c r="N1986" i="2"/>
  <c r="N2507" i="2"/>
  <c r="N571" i="2"/>
  <c r="N1304" i="2"/>
  <c r="N939" i="2"/>
  <c r="N791" i="2"/>
  <c r="N1357" i="2"/>
  <c r="N734" i="2"/>
  <c r="N958" i="2"/>
  <c r="N2177" i="2"/>
  <c r="N203" i="2"/>
  <c r="N881" i="2"/>
  <c r="N1282" i="2"/>
  <c r="N849" i="2"/>
  <c r="N106" i="2"/>
  <c r="N2274" i="2"/>
  <c r="N792" i="2"/>
  <c r="N833" i="2"/>
  <c r="N788" i="2"/>
  <c r="N655" i="2"/>
  <c r="N402" i="2"/>
  <c r="N78" i="2"/>
  <c r="N1109" i="2"/>
  <c r="N73" i="2"/>
  <c r="N205" i="2"/>
  <c r="N2030" i="2"/>
  <c r="N322" i="2"/>
  <c r="N1898" i="2"/>
  <c r="N2324" i="2"/>
  <c r="N110" i="2"/>
  <c r="N143" i="2"/>
  <c r="N766" i="2"/>
  <c r="N1419" i="2"/>
  <c r="N2013" i="2"/>
  <c r="N302" i="2"/>
  <c r="N2192" i="2"/>
  <c r="N1325" i="2"/>
  <c r="N43" i="2"/>
  <c r="N2268" i="2"/>
  <c r="N1114" i="2"/>
  <c r="N1029" i="2"/>
  <c r="N2235" i="2"/>
  <c r="N1418" i="2"/>
  <c r="N2369" i="2"/>
  <c r="N263" i="2"/>
  <c r="N152" i="2"/>
  <c r="N1098" i="2"/>
  <c r="N76" i="2"/>
  <c r="N940" i="2"/>
  <c r="N317" i="2"/>
  <c r="N1148" i="2"/>
  <c r="N1410" i="2"/>
  <c r="N2346" i="2"/>
  <c r="N1602" i="2"/>
  <c r="N927" i="2"/>
  <c r="N368" i="2"/>
  <c r="N2267" i="2"/>
  <c r="N172" i="2"/>
  <c r="N1575" i="2"/>
  <c r="N261" i="2"/>
  <c r="N388" i="2"/>
  <c r="N1061" i="2"/>
  <c r="N966" i="2"/>
  <c r="N2122" i="2"/>
  <c r="N2150" i="2"/>
  <c r="N903" i="2"/>
  <c r="N1618" i="2"/>
  <c r="N2600" i="2"/>
  <c r="N2714" i="2"/>
  <c r="N2161" i="2"/>
  <c r="N2276" i="2"/>
  <c r="N380" i="2"/>
  <c r="N677" i="2"/>
  <c r="N348" i="2"/>
  <c r="N705" i="2"/>
  <c r="N975" i="2"/>
  <c r="N2560" i="2"/>
  <c r="N1497" i="2"/>
  <c r="N1334" i="2"/>
  <c r="N802" i="2"/>
  <c r="N338" i="2"/>
  <c r="N1671" i="2"/>
  <c r="N688" i="2"/>
  <c r="N1143" i="2"/>
  <c r="N868" i="2"/>
  <c r="N1229" i="2"/>
  <c r="N1194" i="2"/>
  <c r="N352" i="2"/>
  <c r="N832" i="2"/>
  <c r="N2565" i="2"/>
  <c r="N639" i="2"/>
  <c r="N398" i="2"/>
  <c r="N179" i="2"/>
  <c r="N1012" i="2"/>
  <c r="N2701" i="2"/>
  <c r="N414" i="2"/>
  <c r="N987" i="2"/>
  <c r="N557" i="2"/>
  <c r="N1519" i="2"/>
  <c r="N1604" i="2"/>
  <c r="N715" i="2"/>
  <c r="N40" i="2"/>
  <c r="N700" i="2"/>
  <c r="N2058" i="2"/>
  <c r="N303" i="2"/>
  <c r="N1083" i="2"/>
  <c r="N1139" i="2"/>
  <c r="N2512" i="2"/>
  <c r="N508" i="2"/>
  <c r="N1851" i="2"/>
  <c r="N2414" i="2"/>
  <c r="N2148" i="2"/>
  <c r="N1177" i="2"/>
  <c r="W1463" i="1"/>
  <c r="W1464" i="1"/>
  <c r="W1465" i="1"/>
  <c r="W1466" i="1"/>
  <c r="W1467" i="1"/>
  <c r="W1468" i="1"/>
  <c r="W2750" i="1"/>
  <c r="W1469" i="1"/>
  <c r="W1470" i="1"/>
  <c r="W1471" i="1"/>
  <c r="W1472" i="1"/>
  <c r="W1473" i="1"/>
  <c r="W2751" i="1"/>
  <c r="W2752" i="1"/>
  <c r="W2753" i="1"/>
  <c r="W2754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2755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2756" i="1"/>
  <c r="W1606" i="1"/>
  <c r="W2757" i="1"/>
  <c r="W1607" i="1"/>
  <c r="W1608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2771" i="1"/>
  <c r="W2772" i="1"/>
  <c r="W1629" i="1"/>
  <c r="W1630" i="1"/>
  <c r="W1631" i="1"/>
  <c r="W1632" i="1"/>
  <c r="W2773" i="1"/>
  <c r="W1633" i="1"/>
  <c r="W2774" i="1"/>
  <c r="W1634" i="1"/>
  <c r="W2775" i="1"/>
  <c r="W2776" i="1"/>
  <c r="W1635" i="1"/>
  <c r="W1636" i="1"/>
  <c r="W1637" i="1"/>
  <c r="W2777" i="1"/>
  <c r="W2778" i="1"/>
  <c r="W2779" i="1"/>
  <c r="W2780" i="1"/>
  <c r="W1638" i="1"/>
  <c r="W1639" i="1"/>
  <c r="W1640" i="1"/>
  <c r="W1641" i="1"/>
  <c r="W1642" i="1"/>
  <c r="W1643" i="1"/>
  <c r="W1644" i="1"/>
  <c r="W1645" i="1"/>
  <c r="W1646" i="1"/>
  <c r="W1647" i="1"/>
  <c r="W1648" i="1"/>
  <c r="W2781" i="1"/>
  <c r="W2782" i="1"/>
  <c r="W2783" i="1"/>
  <c r="W1649" i="1"/>
  <c r="W1650" i="1"/>
  <c r="W1651" i="1"/>
  <c r="W2784" i="1"/>
  <c r="W2785" i="1"/>
  <c r="W2786" i="1"/>
  <c r="W2787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2788" i="1"/>
  <c r="W1667" i="1"/>
  <c r="W1668" i="1"/>
  <c r="W1669" i="1"/>
  <c r="W1670" i="1"/>
  <c r="W1671" i="1"/>
  <c r="W1672" i="1"/>
  <c r="W2789" i="1"/>
  <c r="W1673" i="1"/>
  <c r="W2790" i="1"/>
  <c r="W2791" i="1"/>
  <c r="W1674" i="1"/>
  <c r="W1675" i="1"/>
  <c r="W2792" i="1"/>
  <c r="W1676" i="1"/>
  <c r="W2793" i="1"/>
  <c r="W2794" i="1"/>
  <c r="W1677" i="1"/>
  <c r="W1678" i="1"/>
  <c r="W1679" i="1"/>
  <c r="W2795" i="1"/>
  <c r="W2796" i="1"/>
  <c r="W1680" i="1"/>
  <c r="W2797" i="1"/>
  <c r="W1681" i="1"/>
  <c r="W1682" i="1"/>
  <c r="W1683" i="1"/>
  <c r="W1684" i="1"/>
  <c r="W1685" i="1"/>
  <c r="W1686" i="1"/>
  <c r="W2798" i="1"/>
  <c r="W1687" i="1"/>
  <c r="W1688" i="1"/>
  <c r="W1689" i="1"/>
  <c r="W1690" i="1"/>
  <c r="W1691" i="1"/>
  <c r="W1692" i="1"/>
  <c r="W1693" i="1"/>
  <c r="W2799" i="1"/>
  <c r="W2800" i="1"/>
  <c r="W1694" i="1"/>
  <c r="W1695" i="1"/>
  <c r="W1696" i="1"/>
  <c r="W2801" i="1"/>
  <c r="W1697" i="1"/>
  <c r="W1698" i="1"/>
  <c r="W1699" i="1"/>
  <c r="W1700" i="1"/>
  <c r="W2802" i="1"/>
  <c r="W1701" i="1"/>
  <c r="W1702" i="1"/>
  <c r="W1703" i="1"/>
  <c r="W2803" i="1"/>
  <c r="W1704" i="1"/>
  <c r="W1705" i="1"/>
  <c r="W2804" i="1"/>
  <c r="W1706" i="1"/>
  <c r="W2805" i="1"/>
  <c r="W1707" i="1"/>
  <c r="W1708" i="1"/>
  <c r="W1709" i="1"/>
  <c r="W1710" i="1"/>
  <c r="W1711" i="1"/>
  <c r="W1712" i="1"/>
  <c r="W1713" i="1"/>
  <c r="W2806" i="1"/>
  <c r="W2807" i="1"/>
  <c r="W2808" i="1"/>
  <c r="W1714" i="1"/>
  <c r="W2809" i="1"/>
  <c r="W2810" i="1"/>
  <c r="W2811" i="1"/>
  <c r="W2812" i="1"/>
  <c r="W2813" i="1"/>
  <c r="W1715" i="1"/>
  <c r="W1716" i="1"/>
  <c r="W1717" i="1"/>
  <c r="W1718" i="1"/>
  <c r="W2814" i="1"/>
  <c r="W2815" i="1"/>
  <c r="W1719" i="1"/>
  <c r="W1720" i="1"/>
  <c r="W1721" i="1"/>
  <c r="W2816" i="1"/>
  <c r="W2817" i="1"/>
  <c r="W2818" i="1"/>
  <c r="W2819" i="1"/>
  <c r="W2820" i="1"/>
  <c r="W1722" i="1"/>
  <c r="W1723" i="1"/>
  <c r="W1724" i="1"/>
  <c r="W1725" i="1"/>
  <c r="W1726" i="1"/>
  <c r="W1727" i="1"/>
  <c r="W1728" i="1"/>
  <c r="W2821" i="1"/>
  <c r="W2822" i="1"/>
  <c r="W1729" i="1"/>
  <c r="W2823" i="1"/>
  <c r="W2824" i="1"/>
  <c r="W2825" i="1"/>
  <c r="W2826" i="1"/>
  <c r="W2827" i="1"/>
  <c r="W1730" i="1"/>
  <c r="W1731" i="1"/>
  <c r="W1732" i="1"/>
  <c r="W1733" i="1"/>
  <c r="W1734" i="1"/>
  <c r="W2828" i="1"/>
  <c r="W1735" i="1"/>
  <c r="W2829" i="1"/>
  <c r="W1736" i="1"/>
  <c r="W1737" i="1"/>
  <c r="W1738" i="1"/>
  <c r="W2830" i="1"/>
  <c r="W2831" i="1"/>
  <c r="W1739" i="1"/>
  <c r="W1740" i="1"/>
  <c r="W1741" i="1"/>
  <c r="W1742" i="1"/>
  <c r="W2832" i="1"/>
  <c r="W1743" i="1"/>
  <c r="W1744" i="1"/>
  <c r="W1745" i="1"/>
  <c r="W1746" i="1"/>
  <c r="W2833" i="1"/>
  <c r="W2834" i="1"/>
  <c r="W2835" i="1"/>
  <c r="W2836" i="1"/>
  <c r="W1747" i="1"/>
  <c r="W2837" i="1"/>
  <c r="W1748" i="1"/>
  <c r="W1749" i="1"/>
  <c r="W1750" i="1"/>
  <c r="W1751" i="1"/>
  <c r="W2838" i="1"/>
  <c r="W2839" i="1"/>
  <c r="W2840" i="1"/>
  <c r="W1752" i="1"/>
  <c r="W1753" i="1"/>
  <c r="W1754" i="1"/>
  <c r="W1755" i="1"/>
  <c r="W1756" i="1"/>
  <c r="W1757" i="1"/>
  <c r="W2841" i="1"/>
  <c r="W1758" i="1"/>
  <c r="W2842" i="1"/>
  <c r="W1759" i="1"/>
  <c r="W1760" i="1"/>
  <c r="W1761" i="1"/>
  <c r="W1762" i="1"/>
  <c r="W1763" i="1"/>
  <c r="W1764" i="1"/>
  <c r="W1765" i="1"/>
  <c r="W1766" i="1"/>
  <c r="W1767" i="1"/>
  <c r="W2843" i="1"/>
  <c r="W1768" i="1"/>
  <c r="W1769" i="1"/>
  <c r="W1770" i="1"/>
  <c r="W1771" i="1"/>
  <c r="W2844" i="1"/>
  <c r="W1772" i="1"/>
  <c r="W1773" i="1"/>
  <c r="W1774" i="1"/>
  <c r="W1775" i="1"/>
  <c r="W1776" i="1"/>
  <c r="W2845" i="1"/>
  <c r="W1777" i="1"/>
  <c r="W1778" i="1"/>
  <c r="W1779" i="1"/>
  <c r="W1780" i="1"/>
  <c r="W1781" i="1"/>
  <c r="W1782" i="1"/>
  <c r="W1783" i="1"/>
  <c r="W1784" i="1"/>
  <c r="W1785" i="1"/>
  <c r="W1786" i="1"/>
  <c r="W2846" i="1"/>
  <c r="W2847" i="1"/>
  <c r="W2848" i="1"/>
  <c r="W1787" i="1"/>
  <c r="W1788" i="1"/>
  <c r="W1789" i="1"/>
  <c r="W1790" i="1"/>
  <c r="W2849" i="1"/>
  <c r="W2850" i="1"/>
  <c r="W1791" i="1"/>
  <c r="W1792" i="1"/>
  <c r="W1793" i="1"/>
  <c r="W1794" i="1"/>
  <c r="W1795" i="1"/>
  <c r="W1796" i="1"/>
  <c r="W1797" i="1"/>
  <c r="W1798" i="1"/>
  <c r="W2851" i="1"/>
  <c r="W2852" i="1"/>
  <c r="W1799" i="1"/>
  <c r="W2853" i="1"/>
  <c r="W1800" i="1"/>
  <c r="W1801" i="1"/>
  <c r="W1802" i="1"/>
  <c r="W1803" i="1"/>
  <c r="W1804" i="1"/>
  <c r="W285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2855" i="1"/>
  <c r="W1820" i="1"/>
  <c r="W1821" i="1"/>
  <c r="W1822" i="1"/>
  <c r="W1823" i="1"/>
  <c r="W2856" i="1"/>
  <c r="W1824" i="1"/>
  <c r="W2857" i="1"/>
  <c r="W1825" i="1"/>
  <c r="W1826" i="1"/>
  <c r="W1827" i="1"/>
  <c r="W1828" i="1"/>
  <c r="W1829" i="1"/>
  <c r="W2858" i="1"/>
  <c r="W2859" i="1"/>
  <c r="W2860" i="1"/>
  <c r="W1830" i="1"/>
  <c r="W2861" i="1"/>
  <c r="W1831" i="1"/>
  <c r="W1832" i="1"/>
  <c r="W1833" i="1"/>
  <c r="W1834" i="1"/>
  <c r="W2862" i="1"/>
  <c r="W2863" i="1"/>
  <c r="W1835" i="1"/>
  <c r="W1836" i="1"/>
  <c r="W2864" i="1"/>
  <c r="W2865" i="1"/>
  <c r="W1837" i="1"/>
  <c r="W2866" i="1"/>
  <c r="W1838" i="1"/>
  <c r="W2867" i="1"/>
  <c r="W1839" i="1"/>
  <c r="W1840" i="1"/>
  <c r="W1841" i="1"/>
  <c r="W1842" i="1"/>
  <c r="W1843" i="1"/>
  <c r="W2868" i="1"/>
  <c r="W1844" i="1"/>
  <c r="W2869" i="1"/>
  <c r="W1845" i="1"/>
  <c r="W2870" i="1"/>
  <c r="W2871" i="1"/>
  <c r="W2872" i="1"/>
  <c r="W1846" i="1"/>
  <c r="W1847" i="1"/>
  <c r="W1848" i="1"/>
  <c r="W2873" i="1"/>
  <c r="W2874" i="1"/>
  <c r="W2875" i="1"/>
  <c r="W2876" i="1"/>
  <c r="W1849" i="1"/>
  <c r="W1850" i="1"/>
  <c r="W1851" i="1"/>
  <c r="W1852" i="1"/>
  <c r="W2877" i="1"/>
  <c r="W2878" i="1"/>
  <c r="W2879" i="1"/>
  <c r="W1853" i="1"/>
  <c r="W2880" i="1"/>
  <c r="W2881" i="1"/>
  <c r="W2882" i="1"/>
  <c r="W1854" i="1"/>
  <c r="W1855" i="1"/>
  <c r="W1856" i="1"/>
  <c r="W2883" i="1"/>
  <c r="W2884" i="1"/>
  <c r="W2885" i="1"/>
  <c r="W1857" i="1"/>
  <c r="W1858" i="1"/>
  <c r="W2886" i="1"/>
  <c r="W2887" i="1"/>
  <c r="W1859" i="1"/>
  <c r="W2888" i="1"/>
  <c r="W1860" i="1"/>
  <c r="W1861" i="1"/>
  <c r="W1862" i="1"/>
  <c r="W2889" i="1"/>
  <c r="W2890" i="1"/>
  <c r="W1863" i="1"/>
  <c r="W2891" i="1"/>
  <c r="W2892" i="1"/>
  <c r="W1864" i="1"/>
  <c r="W1865" i="1"/>
  <c r="W2893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2894" i="1"/>
  <c r="W1879" i="1"/>
  <c r="W1880" i="1"/>
  <c r="W1881" i="1"/>
  <c r="W1882" i="1"/>
  <c r="W2895" i="1"/>
  <c r="W2896" i="1"/>
  <c r="W1883" i="1"/>
  <c r="W1884" i="1"/>
  <c r="W2897" i="1"/>
  <c r="W1885" i="1"/>
  <c r="W1886" i="1"/>
  <c r="W1887" i="1"/>
  <c r="W1888" i="1"/>
  <c r="W1889" i="1"/>
  <c r="W1890" i="1"/>
  <c r="W1891" i="1"/>
  <c r="W2898" i="1"/>
  <c r="W1892" i="1"/>
  <c r="W2899" i="1"/>
  <c r="W1893" i="1"/>
  <c r="W1894" i="1"/>
  <c r="W2900" i="1"/>
  <c r="W2901" i="1"/>
  <c r="W2902" i="1"/>
  <c r="W2903" i="1"/>
  <c r="W2904" i="1"/>
  <c r="W2905" i="1"/>
  <c r="W2906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2907" i="1"/>
  <c r="W1917" i="1"/>
  <c r="W2908" i="1"/>
  <c r="W1918" i="1"/>
  <c r="W1919" i="1"/>
  <c r="W1920" i="1"/>
  <c r="W2909" i="1"/>
  <c r="W1921" i="1"/>
  <c r="W1922" i="1"/>
  <c r="W1923" i="1"/>
  <c r="W1924" i="1"/>
  <c r="W1925" i="1"/>
  <c r="W2910" i="1"/>
  <c r="W2911" i="1"/>
  <c r="W1926" i="1"/>
  <c r="W1927" i="1"/>
  <c r="W1928" i="1"/>
  <c r="W1929" i="1"/>
  <c r="W1930" i="1"/>
  <c r="W1931" i="1"/>
  <c r="W2912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2913" i="1"/>
  <c r="W2914" i="1"/>
  <c r="W1965" i="1"/>
  <c r="W1966" i="1"/>
  <c r="W2915" i="1"/>
  <c r="W1967" i="1"/>
  <c r="W2916" i="1"/>
  <c r="W1968" i="1"/>
  <c r="W1969" i="1"/>
  <c r="W1970" i="1"/>
  <c r="W1971" i="1"/>
  <c r="W1972" i="1"/>
  <c r="W1973" i="1"/>
  <c r="W1974" i="1"/>
  <c r="W2917" i="1"/>
  <c r="W2918" i="1"/>
  <c r="W2919" i="1"/>
  <c r="W1975" i="1"/>
  <c r="W1976" i="1"/>
  <c r="W1977" i="1"/>
  <c r="W1978" i="1"/>
  <c r="W1979" i="1"/>
  <c r="W1980" i="1"/>
  <c r="W1981" i="1"/>
  <c r="W2920" i="1"/>
  <c r="W1982" i="1"/>
  <c r="W1983" i="1"/>
  <c r="W2921" i="1"/>
  <c r="W2922" i="1"/>
  <c r="W2923" i="1"/>
  <c r="W2924" i="1"/>
  <c r="W2925" i="1"/>
  <c r="W2926" i="1"/>
  <c r="W2927" i="1"/>
  <c r="W1984" i="1"/>
  <c r="W1985" i="1"/>
  <c r="W1986" i="1"/>
  <c r="W1987" i="1"/>
  <c r="W1988" i="1"/>
  <c r="W1989" i="1"/>
  <c r="W1990" i="1"/>
  <c r="W1991" i="1"/>
  <c r="W1992" i="1"/>
  <c r="W2928" i="1"/>
  <c r="W1993" i="1"/>
  <c r="W2929" i="1"/>
  <c r="W2930" i="1"/>
  <c r="W2931" i="1"/>
  <c r="W2932" i="1"/>
  <c r="W1994" i="1"/>
  <c r="W2933" i="1"/>
  <c r="W1995" i="1"/>
  <c r="W1996" i="1"/>
  <c r="W1997" i="1"/>
  <c r="W2934" i="1"/>
  <c r="W2935" i="1"/>
  <c r="W2936" i="1"/>
  <c r="W2937" i="1"/>
  <c r="W1998" i="1"/>
  <c r="W1999" i="1"/>
  <c r="W2000" i="1"/>
  <c r="W2001" i="1"/>
  <c r="W2938" i="1"/>
  <c r="W2002" i="1"/>
  <c r="W2939" i="1"/>
  <c r="W2940" i="1"/>
  <c r="W2003" i="1"/>
  <c r="W2004" i="1"/>
  <c r="W2005" i="1"/>
  <c r="W2941" i="1"/>
  <c r="W2006" i="1"/>
  <c r="W2007" i="1"/>
  <c r="W2942" i="1"/>
  <c r="W2943" i="1"/>
  <c r="W2008" i="1"/>
  <c r="W2009" i="1"/>
  <c r="W2944" i="1"/>
  <c r="W2945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946" i="1"/>
  <c r="W2947" i="1"/>
  <c r="W2948" i="1"/>
  <c r="W2949" i="1"/>
  <c r="W2950" i="1"/>
  <c r="W295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952" i="1"/>
  <c r="W2036" i="1"/>
  <c r="W2037" i="1"/>
  <c r="W2953" i="1"/>
  <c r="W2038" i="1"/>
  <c r="W2954" i="1"/>
  <c r="W2955" i="1"/>
  <c r="W2039" i="1"/>
  <c r="W2956" i="1"/>
  <c r="W2040" i="1"/>
  <c r="W2041" i="1"/>
  <c r="W2042" i="1"/>
  <c r="W2043" i="1"/>
  <c r="W2957" i="1"/>
  <c r="W2958" i="1"/>
  <c r="W2959" i="1"/>
  <c r="W2044" i="1"/>
  <c r="W2045" i="1"/>
  <c r="W2046" i="1"/>
  <c r="W2960" i="1"/>
  <c r="W2047" i="1"/>
  <c r="W2048" i="1"/>
  <c r="W2049" i="1"/>
  <c r="W2050" i="1"/>
  <c r="W2051" i="1"/>
  <c r="W2052" i="1"/>
  <c r="W2961" i="1"/>
  <c r="W2053" i="1"/>
  <c r="W2962" i="1"/>
  <c r="W2054" i="1"/>
  <c r="W2055" i="1"/>
  <c r="W2056" i="1"/>
  <c r="W2057" i="1"/>
  <c r="W2058" i="1"/>
  <c r="W2963" i="1"/>
  <c r="W2964" i="1"/>
  <c r="W2059" i="1"/>
  <c r="W2060" i="1"/>
  <c r="W2965" i="1"/>
  <c r="W2061" i="1"/>
  <c r="W2966" i="1"/>
  <c r="W2062" i="1"/>
  <c r="W2967" i="1"/>
  <c r="W2063" i="1"/>
  <c r="W2064" i="1"/>
  <c r="W2968" i="1"/>
  <c r="W2065" i="1"/>
  <c r="W2969" i="1"/>
  <c r="W2066" i="1"/>
  <c r="W2067" i="1"/>
  <c r="W2068" i="1"/>
  <c r="W2069" i="1"/>
  <c r="W2070" i="1"/>
  <c r="W2071" i="1"/>
  <c r="W2970" i="1"/>
  <c r="W2971" i="1"/>
  <c r="W2972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973" i="1"/>
  <c r="W2091" i="1"/>
  <c r="W2974" i="1"/>
  <c r="W2092" i="1"/>
  <c r="W2975" i="1"/>
  <c r="W2093" i="1"/>
  <c r="W2094" i="1"/>
  <c r="W2976" i="1"/>
  <c r="W2095" i="1"/>
  <c r="W2096" i="1"/>
  <c r="W2977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978" i="1"/>
  <c r="W2109" i="1"/>
  <c r="W2979" i="1"/>
  <c r="W2980" i="1"/>
  <c r="W2981" i="1"/>
  <c r="W2110" i="1"/>
  <c r="W2982" i="1"/>
  <c r="W2111" i="1"/>
  <c r="W2983" i="1"/>
  <c r="W2112" i="1"/>
  <c r="W2113" i="1"/>
  <c r="W2114" i="1"/>
  <c r="W2115" i="1"/>
  <c r="W2984" i="1"/>
  <c r="W2116" i="1"/>
  <c r="W2985" i="1"/>
  <c r="W2986" i="1"/>
  <c r="W2987" i="1"/>
  <c r="W2117" i="1"/>
  <c r="W2118" i="1"/>
  <c r="W2988" i="1"/>
  <c r="W2989" i="1"/>
  <c r="W2119" i="1"/>
  <c r="W2120" i="1"/>
  <c r="W2990" i="1"/>
  <c r="W2991" i="1"/>
  <c r="W2992" i="1"/>
  <c r="W2121" i="1"/>
  <c r="W2122" i="1"/>
  <c r="W2123" i="1"/>
  <c r="W2993" i="1"/>
  <c r="W2124" i="1"/>
  <c r="W2994" i="1"/>
  <c r="W2995" i="1"/>
  <c r="W2125" i="1"/>
  <c r="W2126" i="1"/>
  <c r="W2127" i="1"/>
  <c r="W2996" i="1"/>
  <c r="W2997" i="1"/>
  <c r="W2998" i="1"/>
  <c r="W2999" i="1"/>
  <c r="W3000" i="1"/>
  <c r="W3001" i="1"/>
  <c r="W2128" i="1"/>
  <c r="W2129" i="1"/>
  <c r="W3002" i="1"/>
  <c r="W2130" i="1"/>
  <c r="W2131" i="1"/>
  <c r="W3003" i="1"/>
  <c r="W3004" i="1"/>
  <c r="W3005" i="1"/>
  <c r="W2132" i="1"/>
  <c r="W3006" i="1"/>
  <c r="W2133" i="1"/>
  <c r="W2134" i="1"/>
  <c r="W2135" i="1"/>
  <c r="W2136" i="1"/>
  <c r="W2137" i="1"/>
  <c r="W2138" i="1"/>
  <c r="W3007" i="1"/>
  <c r="W3008" i="1"/>
  <c r="W2139" i="1"/>
  <c r="W3009" i="1"/>
  <c r="W3010" i="1"/>
  <c r="W2140" i="1"/>
  <c r="W3011" i="1"/>
  <c r="W3012" i="1"/>
  <c r="W3013" i="1"/>
  <c r="W2141" i="1"/>
  <c r="W2142" i="1"/>
  <c r="W2143" i="1"/>
  <c r="W3014" i="1"/>
  <c r="W3015" i="1"/>
  <c r="W3016" i="1"/>
  <c r="W2144" i="1"/>
  <c r="W2145" i="1"/>
  <c r="W2146" i="1"/>
  <c r="W2147" i="1"/>
  <c r="W2148" i="1"/>
  <c r="W2149" i="1"/>
  <c r="W3017" i="1"/>
  <c r="W2150" i="1"/>
  <c r="W2151" i="1"/>
  <c r="W2152" i="1"/>
  <c r="W3018" i="1"/>
  <c r="W3019" i="1"/>
  <c r="W2153" i="1"/>
  <c r="W2154" i="1"/>
  <c r="W2155" i="1"/>
  <c r="W2156" i="1"/>
  <c r="W3020" i="1"/>
  <c r="W2157" i="1"/>
  <c r="W3021" i="1"/>
  <c r="W2158" i="1"/>
  <c r="W2159" i="1"/>
  <c r="W2160" i="1"/>
  <c r="W3022" i="1"/>
  <c r="W3023" i="1"/>
  <c r="W3024" i="1"/>
  <c r="W3025" i="1"/>
  <c r="W3026" i="1"/>
  <c r="W3027" i="1"/>
  <c r="W2161" i="1"/>
  <c r="W3028" i="1"/>
  <c r="W2162" i="1"/>
  <c r="W3029" i="1"/>
  <c r="W2163" i="1"/>
  <c r="W3030" i="1"/>
  <c r="W3031" i="1"/>
  <c r="W3032" i="1"/>
  <c r="W2164" i="1"/>
  <c r="W2165" i="1"/>
  <c r="W2166" i="1"/>
  <c r="W2167" i="1"/>
  <c r="W3033" i="1"/>
  <c r="W3034" i="1"/>
  <c r="W3035" i="1"/>
  <c r="W3036" i="1"/>
  <c r="W2168" i="1"/>
  <c r="W3037" i="1"/>
  <c r="W3038" i="1"/>
  <c r="W2169" i="1"/>
  <c r="W3039" i="1"/>
  <c r="W3040" i="1"/>
  <c r="W2170" i="1"/>
  <c r="W2171" i="1"/>
  <c r="W2172" i="1"/>
  <c r="W2173" i="1"/>
  <c r="W2174" i="1"/>
  <c r="W3041" i="1"/>
  <c r="W3042" i="1"/>
  <c r="W3043" i="1"/>
  <c r="W3044" i="1"/>
  <c r="W3045" i="1"/>
  <c r="W3046" i="1"/>
  <c r="W3047" i="1"/>
  <c r="W2175" i="1"/>
  <c r="W2176" i="1"/>
  <c r="W2177" i="1"/>
  <c r="W3048" i="1"/>
  <c r="W2178" i="1"/>
  <c r="W3049" i="1"/>
  <c r="W3050" i="1"/>
  <c r="W2179" i="1"/>
  <c r="W2180" i="1"/>
  <c r="W2181" i="1"/>
  <c r="W3051" i="1"/>
  <c r="W3052" i="1"/>
  <c r="W2182" i="1"/>
  <c r="W3053" i="1"/>
  <c r="W2183" i="1"/>
  <c r="W3054" i="1"/>
  <c r="W3055" i="1"/>
  <c r="W3056" i="1"/>
  <c r="W2184" i="1"/>
  <c r="W2185" i="1"/>
  <c r="W3057" i="1"/>
  <c r="W3058" i="1"/>
  <c r="W3059" i="1"/>
  <c r="W3060" i="1"/>
  <c r="W3061" i="1"/>
  <c r="W3062" i="1"/>
  <c r="W2186" i="1"/>
  <c r="W3063" i="1"/>
  <c r="W3064" i="1"/>
  <c r="W3065" i="1"/>
  <c r="W2187" i="1"/>
  <c r="W2188" i="1"/>
  <c r="W2189" i="1"/>
  <c r="W2190" i="1"/>
  <c r="W3066" i="1"/>
  <c r="W2191" i="1"/>
  <c r="W2192" i="1"/>
  <c r="W3067" i="1"/>
  <c r="W3068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3069" i="1"/>
  <c r="W2205" i="1"/>
  <c r="W2206" i="1"/>
  <c r="W2207" i="1"/>
  <c r="W2208" i="1"/>
  <c r="W3070" i="1"/>
  <c r="W2209" i="1"/>
  <c r="W2210" i="1"/>
  <c r="W2211" i="1"/>
  <c r="W2212" i="1"/>
  <c r="W2213" i="1"/>
  <c r="W2214" i="1"/>
  <c r="W2215" i="1"/>
  <c r="W2216" i="1"/>
  <c r="W3071" i="1"/>
  <c r="W2217" i="1"/>
  <c r="W2218" i="1"/>
  <c r="W2219" i="1"/>
  <c r="W2220" i="1"/>
  <c r="W2221" i="1"/>
  <c r="W2222" i="1"/>
  <c r="W2223" i="1"/>
  <c r="W2224" i="1"/>
  <c r="W3072" i="1"/>
  <c r="W3073" i="1"/>
  <c r="W2225" i="1"/>
  <c r="W3074" i="1"/>
  <c r="W3075" i="1"/>
  <c r="W3076" i="1"/>
  <c r="W3077" i="1"/>
  <c r="W3078" i="1"/>
  <c r="W2226" i="1"/>
  <c r="W2227" i="1"/>
  <c r="W2228" i="1"/>
  <c r="W2229" i="1"/>
  <c r="W3079" i="1"/>
  <c r="W2230" i="1"/>
  <c r="W2231" i="1"/>
  <c r="W2232" i="1"/>
  <c r="W2233" i="1"/>
  <c r="W2234" i="1"/>
  <c r="W2235" i="1"/>
  <c r="W2236" i="1"/>
  <c r="W2237" i="1"/>
  <c r="W2238" i="1"/>
  <c r="W2239" i="1"/>
  <c r="W3080" i="1"/>
  <c r="W3081" i="1"/>
  <c r="W3082" i="1"/>
  <c r="W2240" i="1"/>
  <c r="W2241" i="1"/>
  <c r="W2242" i="1"/>
  <c r="W2243" i="1"/>
  <c r="W3083" i="1"/>
  <c r="W2244" i="1"/>
  <c r="W3084" i="1"/>
  <c r="W3085" i="1"/>
  <c r="W3086" i="1"/>
  <c r="W2245" i="1"/>
  <c r="W2246" i="1"/>
  <c r="W3087" i="1"/>
  <c r="W3088" i="1"/>
  <c r="W3089" i="1"/>
  <c r="W2247" i="1"/>
  <c r="W2248" i="1"/>
  <c r="W2249" i="1"/>
  <c r="W2250" i="1"/>
  <c r="W3090" i="1"/>
  <c r="W2251" i="1"/>
  <c r="W2252" i="1"/>
  <c r="W2253" i="1"/>
  <c r="W2254" i="1"/>
  <c r="W3091" i="1"/>
  <c r="W3092" i="1"/>
  <c r="W2255" i="1"/>
  <c r="W3093" i="1"/>
  <c r="W3094" i="1"/>
  <c r="W3095" i="1"/>
  <c r="W3096" i="1"/>
  <c r="W2256" i="1"/>
  <c r="W3097" i="1"/>
  <c r="W3098" i="1"/>
  <c r="W2257" i="1"/>
  <c r="W3099" i="1"/>
  <c r="W3100" i="1"/>
  <c r="W2258" i="1"/>
  <c r="W2259" i="1"/>
  <c r="W2260" i="1"/>
  <c r="W2261" i="1"/>
  <c r="W3101" i="1"/>
  <c r="W2262" i="1"/>
  <c r="W2263" i="1"/>
  <c r="W3102" i="1"/>
  <c r="W2264" i="1"/>
  <c r="W3103" i="1"/>
  <c r="W3104" i="1"/>
  <c r="W3105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3106" i="1"/>
  <c r="W3107" i="1"/>
  <c r="W2278" i="1"/>
  <c r="W2279" i="1"/>
  <c r="W3108" i="1"/>
  <c r="W2280" i="1"/>
  <c r="W3109" i="1"/>
  <c r="W2281" i="1"/>
  <c r="W2282" i="1"/>
  <c r="W3110" i="1"/>
  <c r="W3111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3112" i="1"/>
  <c r="W3113" i="1"/>
  <c r="W3114" i="1"/>
  <c r="W3115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3116" i="1"/>
  <c r="W3117" i="1"/>
  <c r="W2328" i="1"/>
  <c r="W2329" i="1"/>
  <c r="W3118" i="1"/>
  <c r="W2330" i="1"/>
  <c r="W2331" i="1"/>
  <c r="W2332" i="1"/>
  <c r="W2333" i="1"/>
  <c r="W2334" i="1"/>
  <c r="W2335" i="1"/>
  <c r="W2336" i="1"/>
  <c r="W2337" i="1"/>
  <c r="W2338" i="1"/>
  <c r="W3119" i="1"/>
  <c r="W2339" i="1"/>
  <c r="W3120" i="1"/>
  <c r="W3121" i="1"/>
  <c r="W3122" i="1"/>
  <c r="W2340" i="1"/>
  <c r="W3123" i="1"/>
  <c r="W3124" i="1"/>
  <c r="W3125" i="1"/>
  <c r="W3126" i="1"/>
  <c r="W2341" i="1"/>
  <c r="W2342" i="1"/>
  <c r="W2343" i="1"/>
  <c r="W2344" i="1"/>
  <c r="W2345" i="1"/>
  <c r="W2346" i="1"/>
  <c r="W3127" i="1"/>
  <c r="W2347" i="1"/>
  <c r="W2348" i="1"/>
  <c r="W2349" i="1"/>
  <c r="W3128" i="1"/>
  <c r="W2350" i="1"/>
  <c r="W3129" i="1"/>
  <c r="W2351" i="1"/>
  <c r="W2352" i="1"/>
  <c r="W3130" i="1"/>
  <c r="W3131" i="1"/>
  <c r="W3132" i="1"/>
  <c r="W2353" i="1"/>
  <c r="W2354" i="1"/>
  <c r="W2355" i="1"/>
  <c r="W2356" i="1"/>
  <c r="W3133" i="1"/>
  <c r="W3134" i="1"/>
  <c r="W2357" i="1"/>
  <c r="W2358" i="1"/>
  <c r="W2359" i="1"/>
  <c r="W2360" i="1"/>
  <c r="W3135" i="1"/>
  <c r="W2361" i="1"/>
  <c r="W2362" i="1"/>
  <c r="W2363" i="1"/>
  <c r="W3136" i="1"/>
  <c r="W3137" i="1"/>
  <c r="W2364" i="1"/>
  <c r="W2365" i="1"/>
  <c r="W2366" i="1"/>
  <c r="W2367" i="1"/>
  <c r="W2368" i="1"/>
  <c r="W3138" i="1"/>
  <c r="W2369" i="1"/>
  <c r="W2370" i="1"/>
  <c r="W3139" i="1"/>
  <c r="W2371" i="1"/>
  <c r="W3140" i="1"/>
  <c r="W3141" i="1"/>
  <c r="W3142" i="1"/>
  <c r="W2372" i="1"/>
  <c r="W2373" i="1"/>
  <c r="W2374" i="1"/>
  <c r="W2375" i="1"/>
  <c r="W2376" i="1"/>
  <c r="W3143" i="1"/>
  <c r="W2377" i="1"/>
  <c r="W2378" i="1"/>
  <c r="W2379" i="1"/>
  <c r="W2380" i="1"/>
  <c r="W3144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3145" i="1"/>
  <c r="W2394" i="1"/>
  <c r="W2395" i="1"/>
  <c r="W3146" i="1"/>
  <c r="W2396" i="1"/>
  <c r="W3147" i="1"/>
  <c r="W3148" i="1"/>
  <c r="W2397" i="1"/>
  <c r="W3149" i="1"/>
  <c r="W3150" i="1"/>
  <c r="W3151" i="1"/>
  <c r="W3152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3153" i="1"/>
  <c r="W2411" i="1"/>
  <c r="W2412" i="1"/>
  <c r="W2413" i="1"/>
  <c r="W3154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3155" i="1"/>
  <c r="W2430" i="1"/>
  <c r="W2431" i="1"/>
  <c r="W3156" i="1"/>
  <c r="W3157" i="1"/>
  <c r="W3158" i="1"/>
  <c r="W2432" i="1"/>
  <c r="W2433" i="1"/>
  <c r="W2434" i="1"/>
  <c r="W2435" i="1"/>
  <c r="W3159" i="1"/>
  <c r="W3160" i="1"/>
  <c r="W2436" i="1"/>
  <c r="W3161" i="1"/>
  <c r="W3162" i="1"/>
  <c r="W2437" i="1"/>
  <c r="W2438" i="1"/>
  <c r="W2439" i="1"/>
  <c r="W2440" i="1"/>
  <c r="W2441" i="1"/>
  <c r="W3163" i="1"/>
  <c r="W2442" i="1"/>
  <c r="W3164" i="1"/>
  <c r="W2443" i="1"/>
  <c r="W3165" i="1"/>
  <c r="W2444" i="1"/>
  <c r="W2445" i="1"/>
  <c r="W2446" i="1"/>
  <c r="W3166" i="1"/>
  <c r="W3167" i="1"/>
  <c r="W2447" i="1"/>
  <c r="W2448" i="1"/>
  <c r="W2449" i="1"/>
  <c r="W3168" i="1"/>
  <c r="W3169" i="1"/>
  <c r="W2450" i="1"/>
  <c r="W2451" i="1"/>
  <c r="W3170" i="1"/>
  <c r="W3171" i="1"/>
  <c r="W2452" i="1"/>
  <c r="W3172" i="1"/>
  <c r="W2453" i="1"/>
  <c r="W2454" i="1"/>
  <c r="W2455" i="1"/>
  <c r="W2456" i="1"/>
  <c r="W3173" i="1"/>
  <c r="W2457" i="1"/>
  <c r="W2458" i="1"/>
  <c r="W2459" i="1"/>
  <c r="W2460" i="1"/>
  <c r="W2461" i="1"/>
  <c r="W2462" i="1"/>
  <c r="W3174" i="1"/>
  <c r="W2463" i="1"/>
  <c r="W2464" i="1"/>
  <c r="W2465" i="1"/>
  <c r="W2466" i="1"/>
  <c r="W2467" i="1"/>
  <c r="W2468" i="1"/>
  <c r="W2469" i="1"/>
  <c r="W2470" i="1"/>
  <c r="W3175" i="1"/>
  <c r="W2471" i="1"/>
  <c r="W2472" i="1"/>
  <c r="W3176" i="1"/>
  <c r="W3177" i="1"/>
  <c r="W2473" i="1"/>
  <c r="W2474" i="1"/>
  <c r="W3178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3179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3180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3181" i="1"/>
  <c r="W3182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3183" i="1"/>
  <c r="W3184" i="1"/>
  <c r="W3185" i="1"/>
  <c r="W3186" i="1"/>
  <c r="W2677" i="1"/>
  <c r="W2678" i="1"/>
  <c r="W3187" i="1"/>
  <c r="W3188" i="1"/>
  <c r="W3189" i="1"/>
  <c r="W2679" i="1"/>
  <c r="W2680" i="1"/>
  <c r="W2681" i="1"/>
  <c r="W2682" i="1"/>
  <c r="W2683" i="1"/>
  <c r="W2684" i="1"/>
  <c r="W2685" i="1"/>
  <c r="W2686" i="1"/>
  <c r="W2687" i="1"/>
  <c r="W3190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3191" i="1"/>
  <c r="W2705" i="1"/>
  <c r="W2706" i="1"/>
  <c r="W3192" i="1"/>
  <c r="W2707" i="1"/>
  <c r="W3193" i="1"/>
  <c r="W2708" i="1"/>
  <c r="W2709" i="1"/>
  <c r="W3194" i="1"/>
  <c r="W2710" i="1"/>
  <c r="W3195" i="1"/>
  <c r="W3196" i="1"/>
  <c r="W3197" i="1"/>
  <c r="W3198" i="1"/>
  <c r="W3199" i="1"/>
  <c r="W2711" i="1"/>
  <c r="W2712" i="1"/>
  <c r="W2713" i="1"/>
  <c r="W2714" i="1"/>
  <c r="W2715" i="1"/>
  <c r="W2716" i="1"/>
  <c r="W2717" i="1"/>
  <c r="W2718" i="1"/>
  <c r="W2719" i="1"/>
  <c r="W3200" i="1"/>
  <c r="W2720" i="1"/>
  <c r="W2721" i="1"/>
  <c r="W2722" i="1"/>
  <c r="W2723" i="1"/>
  <c r="W2724" i="1"/>
  <c r="W2725" i="1"/>
  <c r="W2726" i="1"/>
  <c r="W3201" i="1"/>
  <c r="W2727" i="1"/>
  <c r="W2728" i="1"/>
  <c r="W2729" i="1"/>
  <c r="W3202" i="1"/>
  <c r="W3203" i="1"/>
  <c r="W3204" i="1"/>
  <c r="W3205" i="1"/>
  <c r="W2730" i="1"/>
  <c r="W2731" i="1"/>
  <c r="W2732" i="1"/>
  <c r="W2733" i="1"/>
  <c r="W2734" i="1"/>
  <c r="W2735" i="1"/>
  <c r="W2736" i="1"/>
  <c r="W3206" i="1"/>
  <c r="W3207" i="1"/>
  <c r="W2737" i="1"/>
  <c r="W2738" i="1"/>
  <c r="W2739" i="1"/>
  <c r="W2740" i="1"/>
  <c r="W2741" i="1"/>
  <c r="W2742" i="1"/>
  <c r="W3208" i="1"/>
  <c r="W3209" i="1"/>
  <c r="W2743" i="1"/>
  <c r="W2744" i="1"/>
  <c r="W2745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2746" i="1"/>
  <c r="W3228" i="1"/>
  <c r="W3229" i="1"/>
  <c r="W2747" i="1"/>
  <c r="W3230" i="1"/>
  <c r="W2748" i="1"/>
  <c r="W3231" i="1"/>
  <c r="W3232" i="1"/>
  <c r="W2749" i="1"/>
  <c r="W3233" i="1"/>
  <c r="W3234" i="1"/>
  <c r="W3235" i="1"/>
  <c r="W3" i="1"/>
  <c r="W3236" i="1"/>
  <c r="W3237" i="1"/>
  <c r="W3238" i="1"/>
  <c r="W4" i="1"/>
  <c r="W5" i="1"/>
  <c r="W6" i="1"/>
  <c r="W3239" i="1"/>
  <c r="W3240" i="1"/>
  <c r="W7" i="1"/>
  <c r="W3241" i="1"/>
  <c r="W8" i="1"/>
  <c r="W3242" i="1"/>
  <c r="W9" i="1"/>
  <c r="W10" i="1"/>
  <c r="W3243" i="1"/>
  <c r="W3244" i="1"/>
  <c r="W11" i="1"/>
  <c r="W12" i="1"/>
  <c r="W13" i="1"/>
  <c r="W14" i="1"/>
  <c r="W3245" i="1"/>
  <c r="W15" i="1"/>
  <c r="W16" i="1"/>
  <c r="W3246" i="1"/>
  <c r="W3247" i="1"/>
  <c r="W17" i="1"/>
  <c r="W3248" i="1"/>
  <c r="W18" i="1"/>
  <c r="W19" i="1"/>
  <c r="W3249" i="1"/>
  <c r="W20" i="1"/>
  <c r="W3250" i="1"/>
  <c r="W21" i="1"/>
  <c r="W22" i="1"/>
  <c r="W23" i="1"/>
  <c r="W3251" i="1"/>
  <c r="W24" i="1"/>
  <c r="W3252" i="1"/>
  <c r="W3253" i="1"/>
  <c r="W3254" i="1"/>
  <c r="W25" i="1"/>
  <c r="W26" i="1"/>
  <c r="W27" i="1"/>
  <c r="W3255" i="1"/>
  <c r="W3256" i="1"/>
  <c r="W28" i="1"/>
  <c r="W29" i="1"/>
  <c r="W30" i="1"/>
  <c r="W31" i="1"/>
  <c r="W32" i="1"/>
  <c r="W33" i="1"/>
  <c r="W34" i="1"/>
  <c r="W3257" i="1"/>
  <c r="W35" i="1"/>
  <c r="W3258" i="1"/>
  <c r="W36" i="1"/>
  <c r="W37" i="1"/>
  <c r="W3259" i="1"/>
  <c r="W3260" i="1"/>
  <c r="W3261" i="1"/>
  <c r="W3262" i="1"/>
  <c r="W3263" i="1"/>
  <c r="W38" i="1"/>
  <c r="W39" i="1"/>
  <c r="W40" i="1"/>
  <c r="W41" i="1"/>
  <c r="W42" i="1"/>
  <c r="W3264" i="1"/>
  <c r="W43" i="1"/>
  <c r="W3265" i="1"/>
  <c r="W44" i="1"/>
  <c r="W3266" i="1"/>
  <c r="W3267" i="1"/>
  <c r="W3268" i="1"/>
  <c r="W45" i="1"/>
  <c r="W3269" i="1"/>
  <c r="W46" i="1"/>
  <c r="W47" i="1"/>
  <c r="W48" i="1"/>
  <c r="W49" i="1"/>
  <c r="W50" i="1"/>
  <c r="W51" i="1"/>
  <c r="W52" i="1"/>
  <c r="W53" i="1"/>
  <c r="W3270" i="1"/>
  <c r="W3271" i="1"/>
  <c r="W54" i="1"/>
  <c r="W55" i="1"/>
  <c r="W56" i="1"/>
  <c r="W57" i="1"/>
  <c r="W3272" i="1"/>
  <c r="W58" i="1"/>
  <c r="W59" i="1"/>
  <c r="W3273" i="1"/>
  <c r="W60" i="1"/>
  <c r="W3274" i="1"/>
  <c r="W61" i="1"/>
  <c r="W62" i="1"/>
  <c r="W3275" i="1"/>
  <c r="W3276" i="1"/>
  <c r="W63" i="1"/>
  <c r="W3277" i="1"/>
  <c r="W3278" i="1"/>
  <c r="W64" i="1"/>
  <c r="W65" i="1"/>
  <c r="W3279" i="1"/>
  <c r="W66" i="1"/>
  <c r="W67" i="1"/>
  <c r="W68" i="1"/>
  <c r="W3280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3281" i="1"/>
  <c r="W3282" i="1"/>
  <c r="W82" i="1"/>
  <c r="W3283" i="1"/>
  <c r="W83" i="1"/>
  <c r="W3284" i="1"/>
  <c r="W84" i="1"/>
  <c r="W85" i="1"/>
  <c r="W86" i="1"/>
  <c r="W87" i="1"/>
  <c r="W88" i="1"/>
  <c r="W89" i="1"/>
  <c r="W90" i="1"/>
  <c r="W91" i="1"/>
  <c r="W3285" i="1"/>
  <c r="W92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93" i="1"/>
  <c r="W94" i="1"/>
  <c r="W95" i="1"/>
  <c r="W96" i="1"/>
  <c r="W97" i="1"/>
  <c r="W98" i="1"/>
  <c r="W99" i="1"/>
  <c r="W3299" i="1"/>
  <c r="W100" i="1"/>
  <c r="W101" i="1"/>
  <c r="W102" i="1"/>
  <c r="W103" i="1"/>
  <c r="W104" i="1"/>
  <c r="W105" i="1"/>
  <c r="W106" i="1"/>
  <c r="W3300" i="1"/>
  <c r="W3301" i="1"/>
  <c r="W107" i="1"/>
  <c r="W108" i="1"/>
  <c r="W109" i="1"/>
  <c r="W110" i="1"/>
  <c r="W111" i="1"/>
  <c r="W112" i="1"/>
  <c r="W113" i="1"/>
  <c r="W114" i="1"/>
  <c r="W115" i="1"/>
  <c r="W116" i="1"/>
  <c r="W117" i="1"/>
  <c r="W3302" i="1"/>
  <c r="W3303" i="1"/>
  <c r="W3304" i="1"/>
  <c r="W118" i="1"/>
  <c r="W3305" i="1"/>
  <c r="W119" i="1"/>
  <c r="W120" i="1"/>
  <c r="W3306" i="1"/>
  <c r="W3307" i="1"/>
  <c r="W3308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3309" i="1"/>
  <c r="W3310" i="1"/>
  <c r="W135" i="1"/>
  <c r="W136" i="1"/>
  <c r="W3311" i="1"/>
  <c r="W137" i="1"/>
  <c r="W138" i="1"/>
  <c r="W139" i="1"/>
  <c r="W140" i="1"/>
  <c r="W141" i="1"/>
  <c r="W142" i="1"/>
  <c r="W143" i="1"/>
  <c r="W3312" i="1"/>
  <c r="W144" i="1"/>
  <c r="W3313" i="1"/>
  <c r="W145" i="1"/>
  <c r="W146" i="1"/>
  <c r="W3314" i="1"/>
  <c r="W147" i="1"/>
  <c r="W3315" i="1"/>
  <c r="W3316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3317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3318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3319" i="1"/>
  <c r="W217" i="1"/>
  <c r="W3320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3321" i="1"/>
  <c r="W233" i="1"/>
  <c r="W234" i="1"/>
  <c r="W235" i="1"/>
  <c r="W236" i="1"/>
  <c r="W237" i="1"/>
  <c r="W238" i="1"/>
  <c r="W239" i="1"/>
  <c r="W3322" i="1"/>
  <c r="W240" i="1"/>
  <c r="W241" i="1"/>
  <c r="W3323" i="1"/>
  <c r="W242" i="1"/>
  <c r="W3324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3325" i="1"/>
  <c r="W266" i="1"/>
  <c r="W267" i="1"/>
  <c r="W3326" i="1"/>
  <c r="W3327" i="1"/>
  <c r="W268" i="1"/>
  <c r="W3328" i="1"/>
  <c r="W269" i="1"/>
  <c r="W270" i="1"/>
  <c r="W271" i="1"/>
  <c r="W272" i="1"/>
  <c r="W273" i="1"/>
  <c r="W274" i="1"/>
  <c r="W275" i="1"/>
  <c r="W3329" i="1"/>
  <c r="W3330" i="1"/>
  <c r="W3331" i="1"/>
  <c r="W276" i="1"/>
  <c r="W277" i="1"/>
  <c r="W278" i="1"/>
  <c r="W279" i="1"/>
  <c r="W280" i="1"/>
  <c r="W3332" i="1"/>
  <c r="W281" i="1"/>
  <c r="W3333" i="1"/>
  <c r="W3334" i="1"/>
  <c r="W282" i="1"/>
  <c r="W3335" i="1"/>
  <c r="W283" i="1"/>
  <c r="W284" i="1"/>
  <c r="W3336" i="1"/>
  <c r="W3337" i="1"/>
  <c r="W3338" i="1"/>
  <c r="W285" i="1"/>
  <c r="W286" i="1"/>
  <c r="W287" i="1"/>
  <c r="W288" i="1"/>
  <c r="W289" i="1"/>
  <c r="W290" i="1"/>
  <c r="W291" i="1"/>
  <c r="W292" i="1"/>
  <c r="W293" i="1"/>
  <c r="W3339" i="1"/>
  <c r="W3340" i="1"/>
  <c r="W3341" i="1"/>
  <c r="W294" i="1"/>
  <c r="W295" i="1"/>
  <c r="W296" i="1"/>
  <c r="W297" i="1"/>
  <c r="W298" i="1"/>
  <c r="W299" i="1"/>
  <c r="W300" i="1"/>
  <c r="W301" i="1"/>
  <c r="W3342" i="1"/>
  <c r="W302" i="1"/>
  <c r="W303" i="1"/>
  <c r="W304" i="1"/>
  <c r="W305" i="1"/>
  <c r="W306" i="1"/>
  <c r="W307" i="1"/>
  <c r="W308" i="1"/>
  <c r="W309" i="1"/>
  <c r="W310" i="1"/>
  <c r="W3343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44" i="1"/>
  <c r="W3345" i="1"/>
  <c r="W338" i="1"/>
  <c r="W339" i="1"/>
  <c r="W340" i="1"/>
  <c r="W3346" i="1"/>
  <c r="W341" i="1"/>
  <c r="W342" i="1"/>
  <c r="W343" i="1"/>
  <c r="W3347" i="1"/>
  <c r="W3348" i="1"/>
  <c r="W3349" i="1"/>
  <c r="W3350" i="1"/>
  <c r="W344" i="1"/>
  <c r="W345" i="1"/>
  <c r="W346" i="1"/>
  <c r="W3351" i="1"/>
  <c r="W347" i="1"/>
  <c r="W348" i="1"/>
  <c r="W349" i="1"/>
  <c r="W350" i="1"/>
  <c r="W351" i="1"/>
  <c r="W352" i="1"/>
  <c r="W353" i="1"/>
  <c r="W354" i="1"/>
  <c r="W355" i="1"/>
  <c r="W3352" i="1"/>
  <c r="W356" i="1"/>
  <c r="W357" i="1"/>
  <c r="W3353" i="1"/>
  <c r="W358" i="1"/>
  <c r="W3354" i="1"/>
  <c r="W359" i="1"/>
  <c r="W360" i="1"/>
  <c r="W361" i="1"/>
  <c r="W362" i="1"/>
  <c r="W363" i="1"/>
  <c r="W364" i="1"/>
  <c r="W365" i="1"/>
  <c r="W366" i="1"/>
  <c r="W367" i="1"/>
  <c r="W368" i="1"/>
  <c r="W369" i="1"/>
  <c r="W3355" i="1"/>
  <c r="W3356" i="1"/>
  <c r="W370" i="1"/>
  <c r="W371" i="1"/>
  <c r="W372" i="1"/>
  <c r="W373" i="1"/>
  <c r="W374" i="1"/>
  <c r="W375" i="1"/>
  <c r="W376" i="1"/>
  <c r="W377" i="1"/>
  <c r="W378" i="1"/>
  <c r="W3357" i="1"/>
  <c r="W3358" i="1"/>
  <c r="W3359" i="1"/>
  <c r="W379" i="1"/>
  <c r="W3360" i="1"/>
  <c r="W380" i="1"/>
  <c r="W381" i="1"/>
  <c r="W3361" i="1"/>
  <c r="W382" i="1"/>
  <c r="W383" i="1"/>
  <c r="W3362" i="1"/>
  <c r="W3363" i="1"/>
  <c r="W384" i="1"/>
  <c r="W385" i="1"/>
  <c r="W386" i="1"/>
  <c r="W387" i="1"/>
  <c r="W388" i="1"/>
  <c r="W3364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3365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3366" i="1"/>
  <c r="W419" i="1"/>
  <c r="W420" i="1"/>
  <c r="W421" i="1"/>
  <c r="W422" i="1"/>
  <c r="W423" i="1"/>
  <c r="W3367" i="1"/>
  <c r="W424" i="1"/>
  <c r="W425" i="1"/>
  <c r="W426" i="1"/>
  <c r="W427" i="1"/>
  <c r="W428" i="1"/>
  <c r="W429" i="1"/>
  <c r="W430" i="1"/>
  <c r="W431" i="1"/>
  <c r="W3368" i="1"/>
  <c r="W432" i="1"/>
  <c r="W433" i="1"/>
  <c r="W3369" i="1"/>
  <c r="W434" i="1"/>
  <c r="W3370" i="1"/>
  <c r="W435" i="1"/>
  <c r="W436" i="1"/>
  <c r="W3371" i="1"/>
  <c r="W3372" i="1"/>
  <c r="W3373" i="1"/>
  <c r="W437" i="1"/>
  <c r="W438" i="1"/>
  <c r="W439" i="1"/>
  <c r="W440" i="1"/>
  <c r="W441" i="1"/>
  <c r="W3374" i="1"/>
  <c r="W3375" i="1"/>
  <c r="W442" i="1"/>
  <c r="W443" i="1"/>
  <c r="W444" i="1"/>
  <c r="W445" i="1"/>
  <c r="W446" i="1"/>
  <c r="W447" i="1"/>
  <c r="W448" i="1"/>
  <c r="W449" i="1"/>
  <c r="W450" i="1"/>
  <c r="W3376" i="1"/>
  <c r="W3377" i="1"/>
  <c r="W451" i="1"/>
  <c r="W452" i="1"/>
  <c r="W453" i="1"/>
  <c r="W3378" i="1"/>
  <c r="W454" i="1"/>
  <c r="W455" i="1"/>
  <c r="W456" i="1"/>
  <c r="W3379" i="1"/>
  <c r="W457" i="1"/>
  <c r="W458" i="1"/>
  <c r="W459" i="1"/>
  <c r="W460" i="1"/>
  <c r="W461" i="1"/>
  <c r="W462" i="1"/>
  <c r="W463" i="1"/>
  <c r="W464" i="1"/>
  <c r="W465" i="1"/>
  <c r="W466" i="1"/>
  <c r="W3380" i="1"/>
  <c r="W3381" i="1"/>
  <c r="W3382" i="1"/>
  <c r="W467" i="1"/>
  <c r="W3383" i="1"/>
  <c r="W468" i="1"/>
  <c r="W469" i="1"/>
  <c r="W3384" i="1"/>
  <c r="W470" i="1"/>
  <c r="W3385" i="1"/>
  <c r="W3386" i="1"/>
  <c r="W471" i="1"/>
  <c r="W472" i="1"/>
  <c r="W473" i="1"/>
  <c r="W3387" i="1"/>
  <c r="W3388" i="1"/>
  <c r="W3389" i="1"/>
  <c r="W3390" i="1"/>
  <c r="W3391" i="1"/>
  <c r="W474" i="1"/>
  <c r="W3392" i="1"/>
  <c r="W3393" i="1"/>
  <c r="W3394" i="1"/>
  <c r="W475" i="1"/>
  <c r="W476" i="1"/>
  <c r="W477" i="1"/>
  <c r="W478" i="1"/>
  <c r="W479" i="1"/>
  <c r="W480" i="1"/>
  <c r="W3395" i="1"/>
  <c r="W481" i="1"/>
  <c r="W3396" i="1"/>
  <c r="W3397" i="1"/>
  <c r="W3398" i="1"/>
  <c r="W3399" i="1"/>
  <c r="W3400" i="1"/>
  <c r="W482" i="1"/>
  <c r="W483" i="1"/>
  <c r="W484" i="1"/>
  <c r="W485" i="1"/>
  <c r="W486" i="1"/>
  <c r="W487" i="1"/>
  <c r="W3401" i="1"/>
  <c r="W3402" i="1"/>
  <c r="W488" i="1"/>
  <c r="W489" i="1"/>
  <c r="W490" i="1"/>
  <c r="W491" i="1"/>
  <c r="W492" i="1"/>
  <c r="W3403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3404" i="1"/>
  <c r="W3405" i="1"/>
  <c r="W3406" i="1"/>
  <c r="W3407" i="1"/>
  <c r="W506" i="1"/>
  <c r="W507" i="1"/>
  <c r="W508" i="1"/>
  <c r="W509" i="1"/>
  <c r="W510" i="1"/>
  <c r="W511" i="1"/>
  <c r="W512" i="1"/>
  <c r="W513" i="1"/>
  <c r="W3408" i="1"/>
  <c r="W514" i="1"/>
  <c r="W515" i="1"/>
  <c r="W516" i="1"/>
  <c r="W517" i="1"/>
  <c r="W3409" i="1"/>
  <c r="W518" i="1"/>
  <c r="W519" i="1"/>
  <c r="W520" i="1"/>
  <c r="W521" i="1"/>
  <c r="W522" i="1"/>
  <c r="W523" i="1"/>
  <c r="W524" i="1"/>
  <c r="W525" i="1"/>
  <c r="W3410" i="1"/>
  <c r="W526" i="1"/>
  <c r="W3411" i="1"/>
  <c r="W527" i="1"/>
  <c r="W528" i="1"/>
  <c r="W529" i="1"/>
  <c r="W530" i="1"/>
  <c r="W531" i="1"/>
  <c r="W532" i="1"/>
  <c r="W533" i="1"/>
  <c r="W534" i="1"/>
  <c r="W535" i="1"/>
  <c r="W3412" i="1"/>
  <c r="W536" i="1"/>
  <c r="W3413" i="1"/>
  <c r="W3414" i="1"/>
  <c r="W537" i="1"/>
  <c r="W538" i="1"/>
  <c r="W539" i="1"/>
  <c r="W540" i="1"/>
  <c r="W541" i="1"/>
  <c r="W542" i="1"/>
  <c r="W3415" i="1"/>
  <c r="W3416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3417" i="1"/>
  <c r="W562" i="1"/>
  <c r="W563" i="1"/>
  <c r="W564" i="1"/>
  <c r="W565" i="1"/>
  <c r="W566" i="1"/>
  <c r="W567" i="1"/>
  <c r="W568" i="1"/>
  <c r="W569" i="1"/>
  <c r="W3418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3419" i="1"/>
  <c r="W3420" i="1"/>
  <c r="W3421" i="1"/>
  <c r="W583" i="1"/>
  <c r="W584" i="1"/>
  <c r="W585" i="1"/>
  <c r="W586" i="1"/>
  <c r="W587" i="1"/>
  <c r="W588" i="1"/>
  <c r="W589" i="1"/>
  <c r="W590" i="1"/>
  <c r="W591" i="1"/>
  <c r="W592" i="1"/>
  <c r="W342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3423" i="1"/>
  <c r="W607" i="1"/>
  <c r="W608" i="1"/>
  <c r="W3424" i="1"/>
  <c r="W3425" i="1"/>
  <c r="W3426" i="1"/>
  <c r="W3427" i="1"/>
  <c r="W342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3429" i="1"/>
  <c r="W622" i="1"/>
  <c r="W623" i="1"/>
  <c r="W624" i="1"/>
  <c r="W625" i="1"/>
  <c r="W3430" i="1"/>
  <c r="W626" i="1"/>
  <c r="W627" i="1"/>
  <c r="W628" i="1"/>
  <c r="W629" i="1"/>
  <c r="W3431" i="1"/>
  <c r="W630" i="1"/>
  <c r="W631" i="1"/>
  <c r="W632" i="1"/>
  <c r="W633" i="1"/>
  <c r="W634" i="1"/>
  <c r="W635" i="1"/>
  <c r="W636" i="1"/>
  <c r="W637" i="1"/>
  <c r="W638" i="1"/>
  <c r="W3432" i="1"/>
  <c r="W3433" i="1"/>
  <c r="W639" i="1"/>
  <c r="W640" i="1"/>
  <c r="W641" i="1"/>
  <c r="W642" i="1"/>
  <c r="W643" i="1"/>
  <c r="W644" i="1"/>
  <c r="W645" i="1"/>
  <c r="W646" i="1"/>
  <c r="W647" i="1"/>
  <c r="W648" i="1"/>
  <c r="W3434" i="1"/>
  <c r="W649" i="1"/>
  <c r="W650" i="1"/>
  <c r="W651" i="1"/>
  <c r="W652" i="1"/>
  <c r="W653" i="1"/>
  <c r="W654" i="1"/>
  <c r="W655" i="1"/>
  <c r="W3435" i="1"/>
  <c r="W3436" i="1"/>
  <c r="W3437" i="1"/>
  <c r="W656" i="1"/>
  <c r="W3438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343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3440" i="1"/>
  <c r="W683" i="1"/>
  <c r="W684" i="1"/>
  <c r="W685" i="1"/>
  <c r="W686" i="1"/>
  <c r="W687" i="1"/>
  <c r="W3441" i="1"/>
  <c r="W688" i="1"/>
  <c r="W3442" i="1"/>
  <c r="W689" i="1"/>
  <c r="W3443" i="1"/>
  <c r="W690" i="1"/>
  <c r="W3444" i="1"/>
  <c r="W691" i="1"/>
  <c r="W692" i="1"/>
  <c r="W3445" i="1"/>
  <c r="W3446" i="1"/>
  <c r="W3447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3448" i="1"/>
  <c r="W707" i="1"/>
  <c r="W708" i="1"/>
  <c r="W709" i="1"/>
  <c r="W3449" i="1"/>
  <c r="W710" i="1"/>
  <c r="W711" i="1"/>
  <c r="W712" i="1"/>
  <c r="W713" i="1"/>
  <c r="W714" i="1"/>
  <c r="W3450" i="1"/>
  <c r="W715" i="1"/>
  <c r="W3451" i="1"/>
  <c r="W716" i="1"/>
  <c r="W717" i="1"/>
  <c r="W3452" i="1"/>
  <c r="W718" i="1"/>
  <c r="W719" i="1"/>
  <c r="W3453" i="1"/>
  <c r="W3454" i="1"/>
  <c r="W720" i="1"/>
  <c r="W721" i="1"/>
  <c r="W722" i="1"/>
  <c r="W723" i="1"/>
  <c r="W724" i="1"/>
  <c r="W725" i="1"/>
  <c r="W3455" i="1"/>
  <c r="W726" i="1"/>
  <c r="W727" i="1"/>
  <c r="W728" i="1"/>
  <c r="W729" i="1"/>
  <c r="W730" i="1"/>
  <c r="W731" i="1"/>
  <c r="W732" i="1"/>
  <c r="W733" i="1"/>
  <c r="W734" i="1"/>
  <c r="W735" i="1"/>
  <c r="W3456" i="1"/>
  <c r="W3457" i="1"/>
  <c r="W3458" i="1"/>
  <c r="W3459" i="1"/>
  <c r="W3460" i="1"/>
  <c r="W736" i="1"/>
  <c r="W737" i="1"/>
  <c r="W738" i="1"/>
  <c r="W3461" i="1"/>
  <c r="W739" i="1"/>
  <c r="W3462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3463" i="1"/>
  <c r="W3464" i="1"/>
  <c r="W752" i="1"/>
  <c r="W753" i="1"/>
  <c r="W3465" i="1"/>
  <c r="W754" i="1"/>
  <c r="W755" i="1"/>
  <c r="W756" i="1"/>
  <c r="W3466" i="1"/>
  <c r="W757" i="1"/>
  <c r="W758" i="1"/>
  <c r="W3467" i="1"/>
  <c r="W3468" i="1"/>
  <c r="W3469" i="1"/>
  <c r="W759" i="1"/>
  <c r="W760" i="1"/>
  <c r="W761" i="1"/>
  <c r="W3470" i="1"/>
  <c r="W762" i="1"/>
  <c r="W763" i="1"/>
  <c r="W3471" i="1"/>
  <c r="W764" i="1"/>
  <c r="W765" i="1"/>
  <c r="W3472" i="1"/>
  <c r="W3473" i="1"/>
  <c r="W3474" i="1"/>
  <c r="W766" i="1"/>
  <c r="W767" i="1"/>
  <c r="W768" i="1"/>
  <c r="W769" i="1"/>
  <c r="W770" i="1"/>
  <c r="W771" i="1"/>
  <c r="W772" i="1"/>
  <c r="W773" i="1"/>
  <c r="W774" i="1"/>
  <c r="W775" i="1"/>
  <c r="W3475" i="1"/>
  <c r="W776" i="1"/>
  <c r="W3476" i="1"/>
  <c r="W3477" i="1"/>
  <c r="W3478" i="1"/>
  <c r="W777" i="1"/>
  <c r="W778" i="1"/>
  <c r="W779" i="1"/>
  <c r="W3479" i="1"/>
  <c r="W3480" i="1"/>
  <c r="W780" i="1"/>
  <c r="W781" i="1"/>
  <c r="W782" i="1"/>
  <c r="W783" i="1"/>
  <c r="W784" i="1"/>
  <c r="W3481" i="1"/>
  <c r="W785" i="1"/>
  <c r="W786" i="1"/>
  <c r="W787" i="1"/>
  <c r="W3482" i="1"/>
  <c r="W788" i="1"/>
  <c r="W789" i="1"/>
  <c r="W790" i="1"/>
  <c r="W3483" i="1"/>
  <c r="W3484" i="1"/>
  <c r="W3485" i="1"/>
  <c r="W3486" i="1"/>
  <c r="W791" i="1"/>
  <c r="W792" i="1"/>
  <c r="W793" i="1"/>
  <c r="W3487" i="1"/>
  <c r="W794" i="1"/>
  <c r="W795" i="1"/>
  <c r="W3488" i="1"/>
  <c r="W796" i="1"/>
  <c r="W797" i="1"/>
  <c r="W798" i="1"/>
  <c r="W799" i="1"/>
  <c r="W800" i="1"/>
  <c r="W801" i="1"/>
  <c r="W802" i="1"/>
  <c r="W803" i="1"/>
  <c r="W804" i="1"/>
  <c r="W3489" i="1"/>
  <c r="W805" i="1"/>
  <c r="W806" i="1"/>
  <c r="W807" i="1"/>
  <c r="W808" i="1"/>
  <c r="W809" i="1"/>
  <c r="W3490" i="1"/>
  <c r="W3491" i="1"/>
  <c r="W810" i="1"/>
  <c r="W811" i="1"/>
  <c r="W812" i="1"/>
  <c r="W813" i="1"/>
  <c r="W814" i="1"/>
  <c r="W3492" i="1"/>
  <c r="W815" i="1"/>
  <c r="W816" i="1"/>
  <c r="W817" i="1"/>
  <c r="W3493" i="1"/>
  <c r="W818" i="1"/>
  <c r="W3494" i="1"/>
  <c r="W3495" i="1"/>
  <c r="W3496" i="1"/>
  <c r="W819" i="1"/>
  <c r="W3497" i="1"/>
  <c r="W3498" i="1"/>
  <c r="W3499" i="1"/>
  <c r="W820" i="1"/>
  <c r="W3500" i="1"/>
  <c r="W3501" i="1"/>
  <c r="W3502" i="1"/>
  <c r="W3503" i="1"/>
  <c r="W3504" i="1"/>
  <c r="W3505" i="1"/>
  <c r="W3506" i="1"/>
  <c r="W821" i="1"/>
  <c r="W3507" i="1"/>
  <c r="W3508" i="1"/>
  <c r="W3509" i="1"/>
  <c r="W3510" i="1"/>
  <c r="W3511" i="1"/>
  <c r="W3512" i="1"/>
  <c r="W3513" i="1"/>
  <c r="W822" i="1"/>
  <c r="W823" i="1"/>
  <c r="W824" i="1"/>
  <c r="W825" i="1"/>
  <c r="W826" i="1"/>
  <c r="W3514" i="1"/>
  <c r="W827" i="1"/>
  <c r="W828" i="1"/>
  <c r="W829" i="1"/>
  <c r="W830" i="1"/>
  <c r="W831" i="1"/>
  <c r="W832" i="1"/>
  <c r="W833" i="1"/>
  <c r="W3515" i="1"/>
  <c r="W834" i="1"/>
  <c r="W835" i="1"/>
  <c r="W836" i="1"/>
  <c r="W837" i="1"/>
  <c r="W838" i="1"/>
  <c r="W839" i="1"/>
  <c r="W840" i="1"/>
  <c r="W841" i="1"/>
  <c r="W3516" i="1"/>
  <c r="W3517" i="1"/>
  <c r="W3518" i="1"/>
  <c r="W842" i="1"/>
  <c r="W843" i="1"/>
  <c r="W844" i="1"/>
  <c r="W845" i="1"/>
  <c r="W846" i="1"/>
  <c r="W847" i="1"/>
  <c r="W848" i="1"/>
  <c r="W849" i="1"/>
  <c r="W3519" i="1"/>
  <c r="W850" i="1"/>
  <c r="W851" i="1"/>
  <c r="W3520" i="1"/>
  <c r="W852" i="1"/>
  <c r="W853" i="1"/>
  <c r="W854" i="1"/>
  <c r="W855" i="1"/>
  <c r="W3521" i="1"/>
  <c r="W856" i="1"/>
  <c r="W3522" i="1"/>
  <c r="W857" i="1"/>
  <c r="W858" i="1"/>
  <c r="W859" i="1"/>
  <c r="W860" i="1"/>
  <c r="W861" i="1"/>
  <c r="W862" i="1"/>
  <c r="W3523" i="1"/>
  <c r="W863" i="1"/>
  <c r="W3524" i="1"/>
  <c r="W864" i="1"/>
  <c r="W865" i="1"/>
  <c r="W866" i="1"/>
  <c r="W867" i="1"/>
  <c r="W868" i="1"/>
  <c r="W3525" i="1"/>
  <c r="W869" i="1"/>
  <c r="W870" i="1"/>
  <c r="W871" i="1"/>
  <c r="W3526" i="1"/>
  <c r="W872" i="1"/>
  <c r="W3527" i="1"/>
  <c r="W873" i="1"/>
  <c r="W874" i="1"/>
  <c r="W875" i="1"/>
  <c r="W876" i="1"/>
  <c r="W877" i="1"/>
  <c r="W878" i="1"/>
  <c r="W3528" i="1"/>
  <c r="W3529" i="1"/>
  <c r="W3530" i="1"/>
  <c r="W3531" i="1"/>
  <c r="W3532" i="1"/>
  <c r="W3533" i="1"/>
  <c r="W879" i="1"/>
  <c r="W880" i="1"/>
  <c r="W881" i="1"/>
  <c r="W882" i="1"/>
  <c r="W883" i="1"/>
  <c r="W884" i="1"/>
  <c r="W885" i="1"/>
  <c r="W886" i="1"/>
  <c r="W3534" i="1"/>
  <c r="W887" i="1"/>
  <c r="W888" i="1"/>
  <c r="W889" i="1"/>
  <c r="W890" i="1"/>
  <c r="W891" i="1"/>
  <c r="W892" i="1"/>
  <c r="W893" i="1"/>
  <c r="W3535" i="1"/>
  <c r="W3536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3537" i="1"/>
  <c r="W915" i="1"/>
  <c r="W3538" i="1"/>
  <c r="W3539" i="1"/>
  <c r="W3540" i="1"/>
  <c r="W3541" i="1"/>
  <c r="W916" i="1"/>
  <c r="W917" i="1"/>
  <c r="W918" i="1"/>
  <c r="W3542" i="1"/>
  <c r="W919" i="1"/>
  <c r="W920" i="1"/>
  <c r="W921" i="1"/>
  <c r="W3543" i="1"/>
  <c r="W3544" i="1"/>
  <c r="W922" i="1"/>
  <c r="W3545" i="1"/>
  <c r="W3546" i="1"/>
  <c r="W923" i="1"/>
  <c r="W3547" i="1"/>
  <c r="W924" i="1"/>
  <c r="W925" i="1"/>
  <c r="W3548" i="1"/>
  <c r="W3549" i="1"/>
  <c r="W3550" i="1"/>
  <c r="W926" i="1"/>
  <c r="W927" i="1"/>
  <c r="W928" i="1"/>
  <c r="W929" i="1"/>
  <c r="W930" i="1"/>
  <c r="W931" i="1"/>
  <c r="W932" i="1"/>
  <c r="W933" i="1"/>
  <c r="W934" i="1"/>
  <c r="W935" i="1"/>
  <c r="W936" i="1"/>
  <c r="W3551" i="1"/>
  <c r="W937" i="1"/>
  <c r="W938" i="1"/>
  <c r="W939" i="1"/>
  <c r="W940" i="1"/>
  <c r="W941" i="1"/>
  <c r="W3552" i="1"/>
  <c r="W3553" i="1"/>
  <c r="W942" i="1"/>
  <c r="W943" i="1"/>
  <c r="W944" i="1"/>
  <c r="W945" i="1"/>
  <c r="W946" i="1"/>
  <c r="W947" i="1"/>
  <c r="W3554" i="1"/>
  <c r="W948" i="1"/>
  <c r="W949" i="1"/>
  <c r="W3555" i="1"/>
  <c r="W3556" i="1"/>
  <c r="W950" i="1"/>
  <c r="W3557" i="1"/>
  <c r="W3558" i="1"/>
  <c r="W951" i="1"/>
  <c r="W3559" i="1"/>
  <c r="W952" i="1"/>
  <c r="W953" i="1"/>
  <c r="W954" i="1"/>
  <c r="W955" i="1"/>
  <c r="W956" i="1"/>
  <c r="W957" i="1"/>
  <c r="W958" i="1"/>
  <c r="W959" i="1"/>
  <c r="W960" i="1"/>
  <c r="W961" i="1"/>
  <c r="W962" i="1"/>
  <c r="W3560" i="1"/>
  <c r="W963" i="1"/>
  <c r="W964" i="1"/>
  <c r="W965" i="1"/>
  <c r="W966" i="1"/>
  <c r="W967" i="1"/>
  <c r="W968" i="1"/>
  <c r="W969" i="1"/>
  <c r="W970" i="1"/>
  <c r="W971" i="1"/>
  <c r="W972" i="1"/>
  <c r="W3561" i="1"/>
  <c r="W973" i="1"/>
  <c r="W3562" i="1"/>
  <c r="W3563" i="1"/>
  <c r="W3564" i="1"/>
  <c r="W3565" i="1"/>
  <c r="W974" i="1"/>
  <c r="W975" i="1"/>
  <c r="W976" i="1"/>
  <c r="W977" i="1"/>
  <c r="W3566" i="1"/>
  <c r="W978" i="1"/>
  <c r="W979" i="1"/>
  <c r="W980" i="1"/>
  <c r="W981" i="1"/>
  <c r="W3567" i="1"/>
  <c r="W982" i="1"/>
  <c r="W3568" i="1"/>
  <c r="W3569" i="1"/>
  <c r="W983" i="1"/>
  <c r="W3570" i="1"/>
  <c r="W984" i="1"/>
  <c r="W985" i="1"/>
  <c r="W986" i="1"/>
  <c r="W987" i="1"/>
  <c r="W988" i="1"/>
  <c r="W989" i="1"/>
  <c r="W990" i="1"/>
  <c r="W3571" i="1"/>
  <c r="W991" i="1"/>
  <c r="W992" i="1"/>
  <c r="W3572" i="1"/>
  <c r="W993" i="1"/>
  <c r="W994" i="1"/>
  <c r="W995" i="1"/>
  <c r="W996" i="1"/>
  <c r="W997" i="1"/>
  <c r="W998" i="1"/>
  <c r="W999" i="1"/>
  <c r="W1000" i="1"/>
  <c r="W1001" i="1"/>
  <c r="W3573" i="1"/>
  <c r="W3574" i="1"/>
  <c r="W1002" i="1"/>
  <c r="W1003" i="1"/>
  <c r="W1004" i="1"/>
  <c r="W1005" i="1"/>
  <c r="W1006" i="1"/>
  <c r="W1007" i="1"/>
  <c r="W1008" i="1"/>
  <c r="W3575" i="1"/>
  <c r="W1009" i="1"/>
  <c r="W3576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3577" i="1"/>
  <c r="W3578" i="1"/>
  <c r="W3579" i="1"/>
  <c r="W1025" i="1"/>
  <c r="W1026" i="1"/>
  <c r="W3580" i="1"/>
  <c r="W3581" i="1"/>
  <c r="W3582" i="1"/>
  <c r="W3583" i="1"/>
  <c r="W3584" i="1"/>
  <c r="W3585" i="1"/>
  <c r="W1027" i="1"/>
  <c r="W1028" i="1"/>
  <c r="W3586" i="1"/>
  <c r="W3587" i="1"/>
  <c r="W1029" i="1"/>
  <c r="W1030" i="1"/>
  <c r="W1031" i="1"/>
  <c r="W1032" i="1"/>
  <c r="W1033" i="1"/>
  <c r="W1034" i="1"/>
  <c r="W1035" i="1"/>
  <c r="W1036" i="1"/>
  <c r="W1037" i="1"/>
  <c r="W1038" i="1"/>
  <c r="W3588" i="1"/>
  <c r="W1039" i="1"/>
  <c r="W1040" i="1"/>
  <c r="W3589" i="1"/>
  <c r="W1041" i="1"/>
  <c r="W1042" i="1"/>
  <c r="W1043" i="1"/>
  <c r="W1044" i="1"/>
  <c r="W3590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3591" i="1"/>
  <c r="W3592" i="1"/>
  <c r="W1064" i="1"/>
  <c r="W1065" i="1"/>
  <c r="W1066" i="1"/>
  <c r="W1067" i="1"/>
  <c r="W1068" i="1"/>
  <c r="W3593" i="1"/>
  <c r="W3594" i="1"/>
  <c r="W3595" i="1"/>
  <c r="W1069" i="1"/>
  <c r="W1070" i="1"/>
  <c r="W3596" i="1"/>
  <c r="W3597" i="1"/>
  <c r="W1071" i="1"/>
  <c r="W1072" i="1"/>
  <c r="W1073" i="1"/>
  <c r="W3598" i="1"/>
  <c r="W1074" i="1"/>
  <c r="W1075" i="1"/>
  <c r="W1076" i="1"/>
  <c r="W3599" i="1"/>
  <c r="W3600" i="1"/>
  <c r="W3601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3602" i="1"/>
  <c r="W3603" i="1"/>
  <c r="W1103" i="1"/>
  <c r="W1104" i="1"/>
  <c r="W1105" i="1"/>
  <c r="W1106" i="1"/>
  <c r="W1107" i="1"/>
  <c r="W1108" i="1"/>
  <c r="W1109" i="1"/>
  <c r="W1110" i="1"/>
  <c r="W1111" i="1"/>
  <c r="W1112" i="1"/>
  <c r="W3604" i="1"/>
  <c r="W1113" i="1"/>
  <c r="W3605" i="1"/>
  <c r="W1114" i="1"/>
  <c r="W1115" i="1"/>
  <c r="W1116" i="1"/>
  <c r="W1117" i="1"/>
  <c r="W3606" i="1"/>
  <c r="W3607" i="1"/>
  <c r="W1118" i="1"/>
  <c r="W1119" i="1"/>
  <c r="W3608" i="1"/>
  <c r="W3609" i="1"/>
  <c r="W3610" i="1"/>
  <c r="W1120" i="1"/>
  <c r="W3611" i="1"/>
  <c r="W3612" i="1"/>
  <c r="W1121" i="1"/>
  <c r="W1122" i="1"/>
  <c r="W1123" i="1"/>
  <c r="W1124" i="1"/>
  <c r="W1125" i="1"/>
  <c r="W3613" i="1"/>
  <c r="W3614" i="1"/>
  <c r="W3615" i="1"/>
  <c r="W3616" i="1"/>
  <c r="W3617" i="1"/>
  <c r="W3618" i="1"/>
  <c r="W3619" i="1"/>
  <c r="W3620" i="1"/>
  <c r="W1126" i="1"/>
  <c r="W1127" i="1"/>
  <c r="W1128" i="1"/>
  <c r="W3621" i="1"/>
  <c r="W3622" i="1"/>
  <c r="W1129" i="1"/>
  <c r="W1130" i="1"/>
  <c r="W1131" i="1"/>
  <c r="W3623" i="1"/>
  <c r="W3624" i="1"/>
  <c r="W3625" i="1"/>
  <c r="W1132" i="1"/>
  <c r="W3626" i="1"/>
  <c r="W3627" i="1"/>
  <c r="W3628" i="1"/>
  <c r="W1133" i="1"/>
  <c r="W1134" i="1"/>
  <c r="W3629" i="1"/>
  <c r="W1135" i="1"/>
  <c r="W1136" i="1"/>
  <c r="W1137" i="1"/>
  <c r="W1138" i="1"/>
  <c r="W1139" i="1"/>
  <c r="W1140" i="1"/>
  <c r="W3630" i="1"/>
  <c r="W3631" i="1"/>
  <c r="W1141" i="1"/>
  <c r="W1142" i="1"/>
  <c r="W1143" i="1"/>
  <c r="W1144" i="1"/>
  <c r="W3632" i="1"/>
  <c r="W1145" i="1"/>
  <c r="W3633" i="1"/>
  <c r="W1146" i="1"/>
  <c r="W3634" i="1"/>
  <c r="W1147" i="1"/>
  <c r="W1148" i="1"/>
  <c r="W1149" i="1"/>
  <c r="W1150" i="1"/>
  <c r="W1151" i="1"/>
  <c r="W3635" i="1"/>
  <c r="W3636" i="1"/>
  <c r="W1152" i="1"/>
  <c r="W1153" i="1"/>
  <c r="W1154" i="1"/>
  <c r="W1155" i="1"/>
  <c r="W1156" i="1"/>
  <c r="W3637" i="1"/>
  <c r="W3638" i="1"/>
  <c r="W3639" i="1"/>
  <c r="W1157" i="1"/>
  <c r="W3640" i="1"/>
  <c r="W3641" i="1"/>
  <c r="W3642" i="1"/>
  <c r="W3643" i="1"/>
  <c r="W1158" i="1"/>
  <c r="W3644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364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3646" i="1"/>
  <c r="W1194" i="1"/>
  <c r="W1195" i="1"/>
  <c r="W1196" i="1"/>
  <c r="W3647" i="1"/>
  <c r="W3648" i="1"/>
  <c r="W1197" i="1"/>
  <c r="W1198" i="1"/>
  <c r="W1199" i="1"/>
  <c r="W1200" i="1"/>
  <c r="W1201" i="1"/>
  <c r="W1202" i="1"/>
  <c r="W1203" i="1"/>
  <c r="W1204" i="1"/>
  <c r="W1205" i="1"/>
  <c r="W3649" i="1"/>
  <c r="W1206" i="1"/>
  <c r="W1207" i="1"/>
  <c r="W1208" i="1"/>
  <c r="W1209" i="1"/>
  <c r="W3650" i="1"/>
  <c r="W3651" i="1"/>
  <c r="W3652" i="1"/>
  <c r="W1210" i="1"/>
  <c r="W1211" i="1"/>
  <c r="W1212" i="1"/>
  <c r="W1213" i="1"/>
  <c r="W1214" i="1"/>
  <c r="W1215" i="1"/>
  <c r="W1216" i="1"/>
  <c r="W1217" i="1"/>
  <c r="W3653" i="1"/>
  <c r="W1218" i="1"/>
  <c r="W1219" i="1"/>
  <c r="W1220" i="1"/>
  <c r="W1221" i="1"/>
  <c r="W3654" i="1"/>
  <c r="W3655" i="1"/>
  <c r="W3656" i="1"/>
  <c r="W3657" i="1"/>
  <c r="W3658" i="1"/>
  <c r="W3659" i="1"/>
  <c r="W3660" i="1"/>
  <c r="W3661" i="1"/>
  <c r="W1222" i="1"/>
  <c r="W1223" i="1"/>
  <c r="W3662" i="1"/>
  <c r="W1224" i="1"/>
  <c r="W1225" i="1"/>
  <c r="W3663" i="1"/>
  <c r="W1226" i="1"/>
  <c r="W1227" i="1"/>
  <c r="W3664" i="1"/>
  <c r="W1228" i="1"/>
  <c r="W1229" i="1"/>
  <c r="W1230" i="1"/>
  <c r="W1231" i="1"/>
  <c r="W1232" i="1"/>
  <c r="W1233" i="1"/>
  <c r="W1234" i="1"/>
  <c r="W3665" i="1"/>
  <c r="W1235" i="1"/>
  <c r="W1236" i="1"/>
  <c r="W1237" i="1"/>
  <c r="W1238" i="1"/>
  <c r="W3666" i="1"/>
  <c r="W3667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3668" i="1"/>
  <c r="W1262" i="1"/>
  <c r="W1263" i="1"/>
  <c r="W1264" i="1"/>
  <c r="W3669" i="1"/>
  <c r="W1265" i="1"/>
  <c r="W1266" i="1"/>
  <c r="W1267" i="1"/>
  <c r="W1268" i="1"/>
  <c r="W1269" i="1"/>
  <c r="W3670" i="1"/>
  <c r="W1270" i="1"/>
  <c r="W1271" i="1"/>
  <c r="W1272" i="1"/>
  <c r="W3671" i="1"/>
  <c r="W1273" i="1"/>
  <c r="W1274" i="1"/>
  <c r="W3672" i="1"/>
  <c r="W1275" i="1"/>
  <c r="W1276" i="1"/>
  <c r="W1277" i="1"/>
  <c r="W3673" i="1"/>
  <c r="W1278" i="1"/>
  <c r="W1279" i="1"/>
  <c r="W1280" i="1"/>
  <c r="W1281" i="1"/>
  <c r="W3674" i="1"/>
  <c r="W1282" i="1"/>
  <c r="W1283" i="1"/>
  <c r="W1284" i="1"/>
  <c r="W1285" i="1"/>
  <c r="W3675" i="1"/>
  <c r="W3676" i="1"/>
  <c r="W3677" i="1"/>
  <c r="W1286" i="1"/>
  <c r="W1287" i="1"/>
  <c r="W1288" i="1"/>
  <c r="W1289" i="1"/>
  <c r="W1290" i="1"/>
  <c r="W1291" i="1"/>
  <c r="W1292" i="1"/>
  <c r="W3678" i="1"/>
  <c r="W3679" i="1"/>
  <c r="W3680" i="1"/>
  <c r="W1293" i="1"/>
  <c r="W3681" i="1"/>
  <c r="W1294" i="1"/>
  <c r="W1295" i="1"/>
  <c r="W3682" i="1"/>
  <c r="W3683" i="1"/>
  <c r="W3684" i="1"/>
  <c r="W1296" i="1"/>
  <c r="W1297" i="1"/>
  <c r="W3685" i="1"/>
  <c r="W3686" i="1"/>
  <c r="W3687" i="1"/>
  <c r="W1298" i="1"/>
  <c r="W1299" i="1"/>
  <c r="W1300" i="1"/>
  <c r="W3688" i="1"/>
  <c r="W3689" i="1"/>
  <c r="W3690" i="1"/>
  <c r="W3691" i="1"/>
  <c r="W3692" i="1"/>
  <c r="W3693" i="1"/>
  <c r="W1301" i="1"/>
  <c r="W1302" i="1"/>
  <c r="W1303" i="1"/>
  <c r="W1304" i="1"/>
  <c r="W1305" i="1"/>
  <c r="W1306" i="1"/>
  <c r="W1307" i="1"/>
  <c r="W3694" i="1"/>
  <c r="W3695" i="1"/>
  <c r="W1308" i="1"/>
  <c r="W1309" i="1"/>
  <c r="W1310" i="1"/>
  <c r="W1311" i="1"/>
  <c r="W1312" i="1"/>
  <c r="W1313" i="1"/>
  <c r="W3696" i="1"/>
  <c r="W1314" i="1"/>
  <c r="W1315" i="1"/>
  <c r="W1316" i="1"/>
  <c r="W1317" i="1"/>
  <c r="W1318" i="1"/>
  <c r="W3697" i="1"/>
  <c r="W3698" i="1"/>
  <c r="W3699" i="1"/>
  <c r="W1319" i="1"/>
  <c r="W1320" i="1"/>
  <c r="W1321" i="1"/>
  <c r="W3700" i="1"/>
  <c r="W1322" i="1"/>
  <c r="W3701" i="1"/>
  <c r="W1323" i="1"/>
  <c r="W1324" i="1"/>
  <c r="W3702" i="1"/>
  <c r="W3703" i="1"/>
  <c r="W3704" i="1"/>
  <c r="W3705" i="1"/>
  <c r="W3706" i="1"/>
  <c r="W3707" i="1"/>
  <c r="W3708" i="1"/>
  <c r="W3709" i="1"/>
  <c r="W3710" i="1"/>
  <c r="W1325" i="1"/>
  <c r="W1326" i="1"/>
  <c r="W1327" i="1"/>
  <c r="W1328" i="1"/>
  <c r="W1329" i="1"/>
  <c r="W3711" i="1"/>
  <c r="W1330" i="1"/>
  <c r="W1331" i="1"/>
  <c r="W3712" i="1"/>
  <c r="W1332" i="1"/>
  <c r="W1333" i="1"/>
  <c r="W1334" i="1"/>
  <c r="W3713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3714" i="1"/>
  <c r="W3715" i="1"/>
  <c r="W3716" i="1"/>
  <c r="W3717" i="1"/>
  <c r="W3718" i="1"/>
  <c r="W3719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3720" i="1"/>
  <c r="W3721" i="1"/>
  <c r="W1374" i="1"/>
  <c r="W3722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3723" i="1"/>
  <c r="W3724" i="1"/>
  <c r="W3725" i="1"/>
  <c r="W3726" i="1"/>
  <c r="W3727" i="1"/>
  <c r="W1390" i="1"/>
  <c r="W1391" i="1"/>
  <c r="W3728" i="1"/>
  <c r="W1392" i="1"/>
  <c r="W3729" i="1"/>
  <c r="W1393" i="1"/>
  <c r="W1394" i="1"/>
  <c r="W3730" i="1"/>
  <c r="W1395" i="1"/>
  <c r="W1396" i="1"/>
  <c r="W1397" i="1"/>
  <c r="W3731" i="1"/>
  <c r="W1398" i="1"/>
  <c r="W3732" i="1"/>
  <c r="W3733" i="1"/>
  <c r="W1399" i="1"/>
  <c r="W1400" i="1"/>
  <c r="W3734" i="1"/>
  <c r="W3735" i="1"/>
  <c r="W3736" i="1"/>
  <c r="W3737" i="1"/>
  <c r="W3738" i="1"/>
  <c r="W3739" i="1"/>
  <c r="W1401" i="1"/>
  <c r="W1402" i="1"/>
  <c r="W3740" i="1"/>
  <c r="W3741" i="1"/>
  <c r="W1403" i="1"/>
  <c r="W1404" i="1"/>
  <c r="W1405" i="1"/>
  <c r="W1406" i="1"/>
  <c r="W1407" i="1"/>
  <c r="W3742" i="1"/>
  <c r="W1408" i="1"/>
  <c r="W1409" i="1"/>
  <c r="W3743" i="1"/>
  <c r="W1410" i="1"/>
  <c r="W1411" i="1"/>
  <c r="W1412" i="1"/>
  <c r="W1413" i="1"/>
  <c r="W1414" i="1"/>
  <c r="W1415" i="1"/>
  <c r="W3744" i="1"/>
  <c r="W3745" i="1"/>
  <c r="W1416" i="1"/>
  <c r="W1417" i="1"/>
  <c r="W1418" i="1"/>
  <c r="W3746" i="1"/>
  <c r="W1419" i="1"/>
  <c r="W1420" i="1"/>
  <c r="W1421" i="1"/>
  <c r="W1422" i="1"/>
  <c r="W1423" i="1"/>
  <c r="W1424" i="1"/>
  <c r="W1425" i="1"/>
  <c r="W1426" i="1"/>
  <c r="W1427" i="1"/>
  <c r="W3747" i="1"/>
  <c r="W1428" i="1"/>
  <c r="W3748" i="1"/>
  <c r="W3749" i="1"/>
  <c r="W3750" i="1"/>
  <c r="W1429" i="1"/>
  <c r="W1430" i="1"/>
  <c r="W1431" i="1"/>
  <c r="W1432" i="1"/>
  <c r="W3751" i="1"/>
  <c r="W1433" i="1"/>
  <c r="W3752" i="1"/>
  <c r="W1434" i="1"/>
  <c r="W3753" i="1"/>
  <c r="W1435" i="1"/>
  <c r="W1436" i="1"/>
  <c r="W3754" i="1"/>
  <c r="W1437" i="1"/>
  <c r="W3755" i="1"/>
  <c r="W3756" i="1"/>
  <c r="W3757" i="1"/>
  <c r="W1438" i="1"/>
  <c r="W1439" i="1"/>
  <c r="W3758" i="1"/>
  <c r="W3759" i="1"/>
  <c r="W3760" i="1"/>
  <c r="W1440" i="1"/>
  <c r="W3761" i="1"/>
  <c r="W3762" i="1"/>
  <c r="W3763" i="1"/>
  <c r="W1441" i="1"/>
  <c r="W3764" i="1"/>
  <c r="W1442" i="1"/>
  <c r="W1443" i="1"/>
  <c r="W1444" i="1"/>
  <c r="W1445" i="1"/>
  <c r="W1446" i="1"/>
  <c r="W1447" i="1"/>
  <c r="W1448" i="1"/>
  <c r="W1449" i="1"/>
  <c r="W1450" i="1"/>
  <c r="W1451" i="1"/>
  <c r="W1452" i="1"/>
  <c r="W3765" i="1"/>
  <c r="W1453" i="1"/>
  <c r="W1454" i="1"/>
  <c r="W3766" i="1"/>
  <c r="W1455" i="1"/>
  <c r="W1456" i="1"/>
  <c r="W1457" i="1"/>
  <c r="W1458" i="1"/>
  <c r="W1459" i="1"/>
  <c r="W1460" i="1"/>
  <c r="W1461" i="1"/>
  <c r="W1462" i="1"/>
  <c r="CJ10" i="3" l="1"/>
  <c r="BX8" i="3"/>
  <c r="BX9" i="3" s="1"/>
  <c r="BZ5" i="3"/>
  <c r="BZ8" i="3" s="1"/>
  <c r="BZ9" i="3" s="1"/>
</calcChain>
</file>

<file path=xl/sharedStrings.xml><?xml version="1.0" encoding="utf-8"?>
<sst xmlns="http://schemas.openxmlformats.org/spreadsheetml/2006/main" count="116298" uniqueCount="25083">
  <si>
    <t>PROTEIN-CODING GENE ANNOTATION INFO</t>
  </si>
  <si>
    <t>ZONAL PHYLOGENY AND HAPLOTYPE DIVERSITY</t>
  </si>
  <si>
    <t>STRUCTURAL HOTSPOT MUTATIONS</t>
  </si>
  <si>
    <t>SYN/NONSYN MUTATIONS IN INTERNAL VS. TERMINAL BRANCHES</t>
  </si>
  <si>
    <t>OVERALL SEQUENCE DIVERSITY</t>
  </si>
  <si>
    <t>Gene#</t>
  </si>
  <si>
    <t>Gene Name</t>
  </si>
  <si>
    <t>Strand</t>
  </si>
  <si>
    <t>Product</t>
  </si>
  <si>
    <t>Protein Length (AA)</t>
  </si>
  <si>
    <t>Representatives</t>
  </si>
  <si>
    <t># of Seqs</t>
  </si>
  <si>
    <t>ZP-Tree</t>
  </si>
  <si>
    <t>#Strains-PRI</t>
  </si>
  <si>
    <t>#Strains-EXT</t>
  </si>
  <si>
    <t>#Haplo-PRI</t>
  </si>
  <si>
    <t>#Haplo-EXT</t>
  </si>
  <si>
    <t>Haplo-Ratio</t>
  </si>
  <si>
    <t>Simp-PRI (SE)</t>
  </si>
  <si>
    <t>Simp-EXT (SE)</t>
  </si>
  <si>
    <t>Z-PRI_vs_EXT</t>
  </si>
  <si>
    <t>EXT&gt;PRI diversity at P&lt;0.05</t>
  </si>
  <si>
    <t>#HS-pos</t>
  </si>
  <si>
    <t>#HS-mut</t>
  </si>
  <si>
    <t>#NonHS-mut</t>
  </si>
  <si>
    <t>HSfreq</t>
  </si>
  <si>
    <t>#Para-PRI</t>
  </si>
  <si>
    <t>#Coinc-PRI</t>
  </si>
  <si>
    <t>#HS-PRI</t>
  </si>
  <si>
    <t>#NonHS-PRI</t>
  </si>
  <si>
    <t>HSfreq-PRI</t>
  </si>
  <si>
    <t>#Para-EXT</t>
  </si>
  <si>
    <t>#Coinc-EXT</t>
  </si>
  <si>
    <t>#HS-EXT</t>
  </si>
  <si>
    <t>#NonHS-EXT</t>
  </si>
  <si>
    <t>HSfreq-EXT</t>
  </si>
  <si>
    <t>#Tips</t>
  </si>
  <si>
    <t>#Twigs</t>
  </si>
  <si>
    <t>Tips-Syn</t>
  </si>
  <si>
    <t>Tips-Nonsyn</t>
  </si>
  <si>
    <t>Twigs-Syn</t>
  </si>
  <si>
    <t>Twigs-Nonsyn</t>
  </si>
  <si>
    <t>dN/dS-Tips (SE)</t>
  </si>
  <si>
    <t>dN/dS-Twigs (SE)</t>
  </si>
  <si>
    <t>Z-Tips_vs_Twigs</t>
  </si>
  <si>
    <t>Tips&gt;Twigs dN/dS at P&lt;0.05</t>
  </si>
  <si>
    <t>#Syn</t>
  </si>
  <si>
    <t>#Nonsyn</t>
  </si>
  <si>
    <t>Pi (SE)</t>
  </si>
  <si>
    <t>dS (SE)</t>
  </si>
  <si>
    <t>dN (SE)</t>
  </si>
  <si>
    <t>dN/dS</t>
  </si>
  <si>
    <t>Bootstrap P</t>
  </si>
  <si>
    <t>dN/dS-based selection</t>
  </si>
  <si>
    <t>Tajima D</t>
  </si>
  <si>
    <t>Fu &amp; Li D*</t>
  </si>
  <si>
    <t>dnaA</t>
  </si>
  <si>
    <t>+</t>
  </si>
  <si>
    <t>chromosomal replication initiator informationalATPase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</si>
  <si>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</si>
  <si>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0.06250 (0.00000)</t>
  </si>
  <si>
    <t>0.25000 (0.00000)</t>
  </si>
  <si>
    <t>-</t>
  </si>
  <si>
    <t>0.02723 (0.03014)</t>
  </si>
  <si>
    <t>0.00351 (0.01481)</t>
  </si>
  <si>
    <t>non-sig</t>
  </si>
  <si>
    <t>0.01848 (0.00106)</t>
  </si>
  <si>
    <t>0.09011 (0.00545)</t>
  </si>
  <si>
    <t>0.00074 (0.00006)</t>
  </si>
  <si>
    <t>Purifying</t>
  </si>
  <si>
    <t>dnaN</t>
  </si>
  <si>
    <t>DNA polymerase III (beta subunit)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</si>
  <si>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</si>
  <si>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0.09091 (0.00000)</t>
  </si>
  <si>
    <t>0.01757 (0.03589)</t>
  </si>
  <si>
    <t>0.02282 (0.03455)</t>
  </si>
  <si>
    <t>0.01502 (0.00139)</t>
  </si>
  <si>
    <t>0.06786 (0.00692)</t>
  </si>
  <si>
    <t>0.00100 (0.00011)</t>
  </si>
  <si>
    <t>rlbA</t>
  </si>
  <si>
    <t>RNA binding protein involved in ribosomematuration</t>
  </si>
  <si>
    <t>0.50000 (0.00000)</t>
  </si>
  <si>
    <t>0.18339 (0.12226)</t>
  </si>
  <si>
    <t>0.03758 (0.05850)</t>
  </si>
  <si>
    <t>0.02504 (0.00318)</t>
  </si>
  <si>
    <t>0.09903 (0.01375)</t>
  </si>
  <si>
    <t>0.00690 (0.00097)</t>
  </si>
  <si>
    <t>recF</t>
  </si>
  <si>
    <t>RecA filament-DNA complex stabilisation, ssDNAand dsDNA binding, ATP binding</t>
  </si>
  <si>
    <t>0.45556 (0.10902)</t>
  </si>
  <si>
    <t>0.16667 (0.00000)</t>
  </si>
  <si>
    <t>0.06894 (0.04701)</t>
  </si>
  <si>
    <t>0.03765 (0.04207)</t>
  </si>
  <si>
    <t>0.02039 (0.00140)</t>
  </si>
  <si>
    <t>0.08581 (0.00626)</t>
  </si>
  <si>
    <t>0.00327 (0.00019)</t>
  </si>
  <si>
    <t>ref , GCA_000146565.1_ASM14656v1_genomic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</si>
  <si>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gyrB</t>
  </si>
  <si>
    <t>DNA gyrase (subunit B)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</si>
  <si>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</si>
  <si>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0.06667 (0.00000)</t>
  </si>
  <si>
    <t>0.01983 (0.06363)</t>
  </si>
  <si>
    <t>0.01410 (0.02483)</t>
  </si>
  <si>
    <t>0.02175 (0.00166)</t>
  </si>
  <si>
    <t>0.10005 (0.00787)</t>
  </si>
  <si>
    <t>0.00158 (0.00018)</t>
  </si>
  <si>
    <t>gyrA</t>
  </si>
  <si>
    <t>DNA gyrase (subunit A)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</si>
  <si>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</si>
  <si>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0.08333 (0.00000)</t>
  </si>
  <si>
    <t>0.00810 (0.01278)</t>
  </si>
  <si>
    <t>0.00564 (0.01751)</t>
  </si>
  <si>
    <t>0.00978 (0.00028)</t>
  </si>
  <si>
    <t>0.04199 (0.00126)</t>
  </si>
  <si>
    <t>0.00029 (0.00003)</t>
  </si>
  <si>
    <t>yaaC</t>
  </si>
  <si>
    <t>conserved protein of unknown function</t>
  </si>
  <si>
    <t>0.10000 (0.00000)</t>
  </si>
  <si>
    <t>0.24289 (0.11637)</t>
  </si>
  <si>
    <t>0.14633 (0.07318)</t>
  </si>
  <si>
    <t>0.01099 (0.00053)</t>
  </si>
  <si>
    <t>0.03083 (0.00152)</t>
  </si>
  <si>
    <t>0.00610 (0.00036)</t>
  </si>
  <si>
    <t>guaB</t>
  </si>
  <si>
    <t>inosine-monophosphate dehydrogenase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</si>
  <si>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</si>
  <si>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0.37925 (0.09795)</t>
  </si>
  <si>
    <t>0.03324 (0.02579)</t>
  </si>
  <si>
    <t>0.01028 (0.01789)</t>
  </si>
  <si>
    <t>0.02269 (0.00154)</t>
  </si>
  <si>
    <t>0.10274 (0.00725)</t>
  </si>
  <si>
    <t>0.00143 (0.00012)</t>
  </si>
  <si>
    <t>dacA</t>
  </si>
  <si>
    <t>D-alanyl-D-alanine carboxypeptidase(penicillin-binding protein 5)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</si>
  <si>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</si>
  <si>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0.11111 (0.00000)</t>
  </si>
  <si>
    <t>0.12500 (0.00000)</t>
  </si>
  <si>
    <t>0.08281 (0.04617)</t>
  </si>
  <si>
    <t>0.04768 (0.12535)</t>
  </si>
  <si>
    <t>0.01723 (0.00138)</t>
  </si>
  <si>
    <t>0.06942 (0.00585)</t>
  </si>
  <si>
    <t>0.00384 (0.00030)</t>
  </si>
  <si>
    <t>pdxS</t>
  </si>
  <si>
    <t>glutamine amidotransferase for pyridoxalphosphate synthesis; pyridoxal 5'-phosphate synthasecomplex, synthase subunit</t>
  </si>
  <si>
    <t>0.05556 (0.00000)</t>
  </si>
  <si>
    <t>0.04653 (0.11880)</t>
  </si>
  <si>
    <t>0.02362 (0.05587)</t>
  </si>
  <si>
    <t>0.02108 (0.00119)</t>
  </si>
  <si>
    <t>0.08926 (0.00523)</t>
  </si>
  <si>
    <t>0.00250 (0.00021)</t>
  </si>
  <si>
    <t>pdxT</t>
  </si>
  <si>
    <t>glutamine amidotransferase for pyridoxalphosphate synthesis; pyridoxal 5'-phosphate synthasecomplex, glutamine amidotransferase subunit PdxT</t>
  </si>
  <si>
    <t>0.14286 (0.00000)</t>
  </si>
  <si>
    <t>0.19051 (0.05738)</t>
  </si>
  <si>
    <t>0.07622 (0.15954)</t>
  </si>
  <si>
    <t>0.00785 (0.00037)</t>
  </si>
  <si>
    <t>0.02425 (0.00101)</t>
  </si>
  <si>
    <t>0.00297 (0.00029)</t>
  </si>
  <si>
    <t>serS</t>
  </si>
  <si>
    <t>seryl-tRNA synthetase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</si>
  <si>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</si>
  <si>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0.04240 (0.07134)</t>
  </si>
  <si>
    <t>0.08172 (0.05441)</t>
  </si>
  <si>
    <t>0.01413 (0.00125)</t>
  </si>
  <si>
    <t>0.06018 (0.00641)</t>
  </si>
  <si>
    <t>0.00237 (0.00016)</t>
  </si>
  <si>
    <t>dck</t>
  </si>
  <si>
    <t>deoxyadenosine/deoxycytidine kinase</t>
  </si>
  <si>
    <t>0.10919 (0.08596)</t>
  </si>
  <si>
    <t>0.02411 (0.05771)</t>
  </si>
  <si>
    <t>0.00997 (0.00036)</t>
  </si>
  <si>
    <t>0.03936 (0.00150)</t>
  </si>
  <si>
    <t>0.00241 (0.00024)</t>
  </si>
  <si>
    <t>dgk</t>
  </si>
  <si>
    <t>deoxyguanosine kinase</t>
  </si>
  <si>
    <t>1.00000 (0.00000)</t>
  </si>
  <si>
    <t>0.04591 (0.10000)</t>
  </si>
  <si>
    <t>0.27629 (0.39879)</t>
  </si>
  <si>
    <t>0.00451 (0.00029)</t>
  </si>
  <si>
    <t>0.01419 (0.00107)</t>
  </si>
  <si>
    <t>0.00188 (0.00030)</t>
  </si>
  <si>
    <t>sleL</t>
  </si>
  <si>
    <t>spore peptidoglycan N-acetylglucosaminidase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</si>
  <si>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</si>
  <si>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0.09768 (0.04458)</t>
  </si>
  <si>
    <t>0.11915 (0.07400)</t>
  </si>
  <si>
    <t>0.01259 (0.00054)</t>
  </si>
  <si>
    <t>0.04006 (0.00198)</t>
  </si>
  <si>
    <t>0.00457 (0.00024)</t>
  </si>
  <si>
    <t>yaaI</t>
  </si>
  <si>
    <t>putative amidase (isochorismatase family)</t>
  </si>
  <si>
    <t>0.60059 (0.12076)</t>
  </si>
  <si>
    <t>0.27594 (0.18415)</t>
  </si>
  <si>
    <t>0.00000 (0.00000)</t>
  </si>
  <si>
    <t>0.01022 (0.00074)</t>
  </si>
  <si>
    <t>0.03253 (0.00214)</t>
  </si>
  <si>
    <t>0.00471 (0.00049)</t>
  </si>
  <si>
    <t>tadA</t>
  </si>
  <si>
    <t>tRNA specific adenosine A34 deaminase</t>
  </si>
  <si>
    <t>0.20000 (0.00000)</t>
  </si>
  <si>
    <t>0.15286 (0.08242)</t>
  </si>
  <si>
    <t>0.02408 (0.06154)</t>
  </si>
  <si>
    <t>0.01486 (0.00056)</t>
  </si>
  <si>
    <t>0.05377 (0.00235)</t>
  </si>
  <si>
    <t>0.00417 (0.00041)</t>
  </si>
  <si>
    <t>dnaX</t>
  </si>
  <si>
    <t>DNA polymerase III subunit tau subunit</t>
  </si>
  <si>
    <t>0.10701 (0.03961)</t>
  </si>
  <si>
    <t>0.11449 (0.09733)</t>
  </si>
  <si>
    <t>0.00491 (0.00018)</t>
  </si>
  <si>
    <t>0.01614 (0.00068)</t>
  </si>
  <si>
    <t>0.00175 (0.00010)</t>
  </si>
  <si>
    <t>ebfC</t>
  </si>
  <si>
    <t>nucleoid associated protein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</si>
  <si>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</si>
  <si>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0.73264 (0.08490)</t>
  </si>
  <si>
    <t>0.01858 (0.00212)</t>
  </si>
  <si>
    <t>0.10650 (0.01254)</t>
  </si>
  <si>
    <t>recR</t>
  </si>
  <si>
    <t>recA filament-DNA complex stabilisation factor</t>
  </si>
  <si>
    <t>0.02004 (0.06240)</t>
  </si>
  <si>
    <t>0.01243 (0.03708)</t>
  </si>
  <si>
    <t>0.01529 (0.00073)</t>
  </si>
  <si>
    <t>0.06719 (0.00340)</t>
  </si>
  <si>
    <t>0.00075 (0.00010)</t>
  </si>
  <si>
    <t>yaaL</t>
  </si>
  <si>
    <t>0.62016 (0.10243)</t>
  </si>
  <si>
    <t>0.02584 (0.05914)</t>
  </si>
  <si>
    <t>0.02056 (0.04471)</t>
  </si>
  <si>
    <t>0.02983 (0.00231)</t>
  </si>
  <si>
    <t>0.15762 (0.01251)</t>
  </si>
  <si>
    <t>0.00375 (0.00061)</t>
  </si>
  <si>
    <t>bofA</t>
  </si>
  <si>
    <t>inhibitor of the pro-sigma(K) processingmachinery</t>
  </si>
  <si>
    <t>0.53389 (0.11448)</t>
  </si>
  <si>
    <t>0.08021 (0.07871)</t>
  </si>
  <si>
    <t>0.03653 (0.09254)</t>
  </si>
  <si>
    <t>0.02206 (0.00198)</t>
  </si>
  <si>
    <t>0.07714 (0.00871)</t>
  </si>
  <si>
    <t>0.00589 (0.00051)</t>
  </si>
  <si>
    <t>csfB</t>
  </si>
  <si>
    <t>forespore-specific anti-sigma factor</t>
  </si>
  <si>
    <t>0.15609 (0.06153)</t>
  </si>
  <si>
    <t>0.16018 (0.11375)</t>
  </si>
  <si>
    <t>0.03495 (0.00298)</t>
  </si>
  <si>
    <t>0.11189 (0.01198)</t>
  </si>
  <si>
    <t>0.01684 (0.00139)</t>
  </si>
  <si>
    <t>xpaC</t>
  </si>
  <si>
    <t>putative phosphatase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</si>
  <si>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</si>
  <si>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0.50000 (0.11155)</t>
  </si>
  <si>
    <t>0.26504 (0.08070)</t>
  </si>
  <si>
    <t>0.39824 (0.25816)</t>
  </si>
  <si>
    <t>0.01126 (0.00061)</t>
  </si>
  <si>
    <t>0.02318 (0.00194)</t>
  </si>
  <si>
    <t>0.00828 (0.00050)</t>
  </si>
  <si>
    <t>yaaN</t>
  </si>
  <si>
    <t>putative toxic compound resistance protein</t>
  </si>
  <si>
    <t>0.11338 (0.05590)</t>
  </si>
  <si>
    <t>0.04808 (0.03594)</t>
  </si>
  <si>
    <t>0.01233 (0.00037)</t>
  </si>
  <si>
    <t>0.04776 (0.00193)</t>
  </si>
  <si>
    <t>0.00313 (0.00023)</t>
  </si>
  <si>
    <t>yaaO</t>
  </si>
  <si>
    <t>putative decarboxylase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</si>
  <si>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</si>
  <si>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0.05882 (0.00000)</t>
  </si>
  <si>
    <t>sig</t>
  </si>
  <si>
    <t>0.23373 (0.05423)</t>
  </si>
  <si>
    <t>0.18821 (0.06374)</t>
  </si>
  <si>
    <t>0.01275 (0.00028)</t>
  </si>
  <si>
    <t>0.03225 (0.00086)</t>
  </si>
  <si>
    <t>0.00708 (0.00019)</t>
  </si>
  <si>
    <t>tmk</t>
  </si>
  <si>
    <t>thymidylate kinase</t>
  </si>
  <si>
    <t>0.10684 (0.06317)</t>
  </si>
  <si>
    <t>0.07252 (0.06022)</t>
  </si>
  <si>
    <t>0.01256 (0.00050)</t>
  </si>
  <si>
    <t>0.04521 (0.00217)</t>
  </si>
  <si>
    <t>0.00346 (0.00017)</t>
  </si>
  <si>
    <t>darA</t>
  </si>
  <si>
    <t>signal transduction receptor, cyclic di-AMPbinding</t>
  </si>
  <si>
    <t>0.55830 (0.11870)</t>
  </si>
  <si>
    <t>0.02583 (0.03468)</t>
  </si>
  <si>
    <t>0.02337 (0.00264)</t>
  </si>
  <si>
    <t>0.10434 (0.01197)</t>
  </si>
  <si>
    <t>0.00213 (0.00035)</t>
  </si>
  <si>
    <t>yaaR</t>
  </si>
  <si>
    <t>conserved hypothetical protein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</si>
  <si>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</si>
  <si>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0.04732 (0.04068)</t>
  </si>
  <si>
    <t>0.03119 (0.10976)</t>
  </si>
  <si>
    <t>0.02072 (0.00170)</t>
  </si>
  <si>
    <t>0.09643 (0.00811)</t>
  </si>
  <si>
    <t>0.00302 (0.00038)</t>
  </si>
  <si>
    <t>holB</t>
  </si>
  <si>
    <t>DNA polymerase III clamp loader delta' subunit</t>
  </si>
  <si>
    <t>0.05198 (0.04971)</t>
  </si>
  <si>
    <t>0.03207 (0.02696)</t>
  </si>
  <si>
    <t>0.01611 (0.00103)</t>
  </si>
  <si>
    <t>0.07224 (0.00476)</t>
  </si>
  <si>
    <t>0.00268 (0.00018)</t>
  </si>
  <si>
    <t>ricT</t>
  </si>
  <si>
    <t>subunit of a sporulation, competence and biofilm</t>
  </si>
  <si>
    <t>0.02279 (0.04386)</t>
  </si>
  <si>
    <t>0.02082 (0.02195)</t>
  </si>
  <si>
    <t>0.01925 (0.00130)</t>
  </si>
  <si>
    <t>0.08959 (0.00619)</t>
  </si>
  <si>
    <t>0.00138 (0.00011)</t>
  </si>
  <si>
    <t>dnaH</t>
  </si>
  <si>
    <t>subunit of the DNA replication complex</t>
  </si>
  <si>
    <t>0.03523 (0.07696)</t>
  </si>
  <si>
    <t>0.00891 (0.00043)</t>
  </si>
  <si>
    <t>0.04391 (0.00217)</t>
  </si>
  <si>
    <t>0.00054 (0.00013)</t>
  </si>
  <si>
    <t>trmNF</t>
  </si>
  <si>
    <t>tRNA1(Val) (adenine(37)-N6)-methyltransferase</t>
  </si>
  <si>
    <t>0.08031 (0.05577)</t>
  </si>
  <si>
    <t>0.03311 (0.05932)</t>
  </si>
  <si>
    <t>0.01407 (0.00042)</t>
  </si>
  <si>
    <t>0.05472 (0.00166)</t>
  </si>
  <si>
    <t>0.00295 (0.00020)</t>
  </si>
  <si>
    <t>yazA</t>
  </si>
  <si>
    <t>putative UvrC-Intron-type (URI) endonuclease</t>
  </si>
  <si>
    <t>0.33333 (0.00000)</t>
  </si>
  <si>
    <t>0.11812 (0.11135)</t>
  </si>
  <si>
    <t>0.05310 (0.10462)</t>
  </si>
  <si>
    <t>0.01388 (0.00058)</t>
  </si>
  <si>
    <t>0.05029 (0.00238)</t>
  </si>
  <si>
    <t>0.00462 (0.00052)</t>
  </si>
  <si>
    <t>rsmI</t>
  </si>
  <si>
    <t>16S rRNA 2'-O-ribose C1402 methyltransferase</t>
  </si>
  <si>
    <t>0.04592 (0.02185)</t>
  </si>
  <si>
    <t>0.03343 (0.03337)</t>
  </si>
  <si>
    <t>0.01173 (0.00041)</t>
  </si>
  <si>
    <t>0.04795 (0.00188)</t>
  </si>
  <si>
    <t>0.00185 (0.00011)</t>
  </si>
  <si>
    <t>abrB</t>
  </si>
  <si>
    <t>transcriptional regulator for transition stategenes (AbrB-SurF)</t>
  </si>
  <si>
    <t>0.01053 (0.00140)</t>
  </si>
  <si>
    <t>0.04956 (0.00682)</t>
  </si>
  <si>
    <t>metS</t>
  </si>
  <si>
    <t>methionyl-tRNA synthetase</t>
  </si>
  <si>
    <t>0.03967 (0.01837)</t>
  </si>
  <si>
    <t>0.02971 (0.01809)</t>
  </si>
  <si>
    <t>0.01060 (0.00027)</t>
  </si>
  <si>
    <t>0.04314 (0.00118)</t>
  </si>
  <si>
    <t>0.00151 (0.00007)</t>
  </si>
  <si>
    <t>dayD</t>
  </si>
  <si>
    <t>D-amino acyl-tRNA deacylase</t>
  </si>
  <si>
    <t>0.14515 (0.11111)</t>
  </si>
  <si>
    <t>0.00708 (0.00035)</t>
  </si>
  <si>
    <t>0.02782 (0.00169)</t>
  </si>
  <si>
    <t>0.00167 (0.00014)</t>
  </si>
  <si>
    <t>yabE</t>
  </si>
  <si>
    <t>putative cell wall shaping enzyme</t>
  </si>
  <si>
    <t>0.14330 (0.05690)</t>
  </si>
  <si>
    <t>0.07433 (0.07644)</t>
  </si>
  <si>
    <t>0.01604 (0.00097)</t>
  </si>
  <si>
    <t>0.06012 (0.00389)</t>
  </si>
  <si>
    <t>0.00456 (0.00025)</t>
  </si>
  <si>
    <t>rnmV</t>
  </si>
  <si>
    <t>ribonuclease M5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</si>
  <si>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</si>
  <si>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0.09065 (0.05963)</t>
  </si>
  <si>
    <t>0.06414 (0.08169)</t>
  </si>
  <si>
    <t>0.01944 (0.00145)</t>
  </si>
  <si>
    <t>0.07620 (0.00641)</t>
  </si>
  <si>
    <t>0.00532 (0.00039)</t>
  </si>
  <si>
    <t>rsmA</t>
  </si>
  <si>
    <t>dimethyladenosine 16S ribosomal RNA transferase</t>
  </si>
  <si>
    <t>0.71680 (0.10430)</t>
  </si>
  <si>
    <t>0.04899 (0.02467)</t>
  </si>
  <si>
    <t>0.02144 (0.02581)</t>
  </si>
  <si>
    <t>0.01653 (0.00053)</t>
  </si>
  <si>
    <t>0.06474 (0.00211)</t>
  </si>
  <si>
    <t>0.00274 (0.00019)</t>
  </si>
  <si>
    <t>prtG</t>
  </si>
  <si>
    <t>sporulation-specific protease</t>
  </si>
  <si>
    <t>0.06239 (0.09566)</t>
  </si>
  <si>
    <t>0.01480 (0.03613)</t>
  </si>
  <si>
    <t>0.01090 (0.00050)</t>
  </si>
  <si>
    <t>0.04526 (0.00244)</t>
  </si>
  <si>
    <t>0.00159 (0.00021)</t>
  </si>
  <si>
    <t>veg</t>
  </si>
  <si>
    <t>0.84201 (0.07147)</t>
  </si>
  <si>
    <t>0.00853 (0.00120)</t>
  </si>
  <si>
    <t>0.03674 (0.00529)</t>
  </si>
  <si>
    <t>sspF</t>
  </si>
  <si>
    <t>small acid-soluble spore protein</t>
  </si>
  <si>
    <t>0.02365 (0.00131)</t>
  </si>
  <si>
    <t>0.11995 (0.00715)</t>
  </si>
  <si>
    <t>ispE</t>
  </si>
  <si>
    <t>4-(cytidine5'-diphospho)-2-C-methyl-D-erythritol kinase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</si>
  <si>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</si>
  <si>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0.00659 (0.02232)</t>
  </si>
  <si>
    <t>0.03724 (0.08340)</t>
  </si>
  <si>
    <t>0.02457 (0.00162)</t>
  </si>
  <si>
    <t>0.10519 (0.00687)</t>
  </si>
  <si>
    <t>0.00342 (0.00035)</t>
  </si>
  <si>
    <t>purR</t>
  </si>
  <si>
    <t>transcriptional regulator of the purinebiosynthesis operon (PurR-pRpp)</t>
  </si>
  <si>
    <t>0.01189 (0.03935)</t>
  </si>
  <si>
    <t>0.01632 (0.02970)</t>
  </si>
  <si>
    <t>0.01801 (0.00125)</t>
  </si>
  <si>
    <t>0.07859 (0.00566)</t>
  </si>
  <si>
    <t>0.00115 (0.00014)</t>
  </si>
  <si>
    <t>ridA</t>
  </si>
  <si>
    <t>aminoacrylate/iminopropionate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</si>
  <si>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</si>
  <si>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0.02766 (0.04299)</t>
  </si>
  <si>
    <t>0.01778 (0.00170)</t>
  </si>
  <si>
    <t>0.07938 (0.00854)</t>
  </si>
  <si>
    <t>0.00160 (0.00022)</t>
  </si>
  <si>
    <t>spoVG</t>
  </si>
  <si>
    <t>regulator required for spore cortex synthesis(stage V sporulation)</t>
  </si>
  <si>
    <t>0.85799 (0.12507)</t>
  </si>
  <si>
    <t>0.15240 (0.21997)</t>
  </si>
  <si>
    <t>0.15088 (0.21338)</t>
  </si>
  <si>
    <t>0.00893 (0.00111)</t>
  </si>
  <si>
    <t>0.02604 (0.00484)</t>
  </si>
  <si>
    <t>0.00391 (0.00069)</t>
  </si>
  <si>
    <t>glmU</t>
  </si>
  <si>
    <t>bifunctional glucosamine-1-phosphatepyrophosphorylase</t>
  </si>
  <si>
    <t>0.07431 (0.03637)</t>
  </si>
  <si>
    <t>0.03180 (0.03265)</t>
  </si>
  <si>
    <t>0.01791 (0.00099)</t>
  </si>
  <si>
    <t>0.07450 (0.00438)</t>
  </si>
  <si>
    <t>0.00274 (0.00013)</t>
  </si>
  <si>
    <t>prs</t>
  </si>
  <si>
    <t>phosphoribosylpyrophosphate synthetase</t>
  </si>
  <si>
    <t>0.04015 (0.03698)</t>
  </si>
  <si>
    <t>0.01695 (0.00111)</t>
  </si>
  <si>
    <t>0.07476 (0.00520)</t>
  </si>
  <si>
    <t>0.00056 (0.00007)</t>
  </si>
  <si>
    <t>ctc</t>
  </si>
  <si>
    <t>ribosomal protein BL25 (Ctc), binding 5S RNA</t>
  </si>
  <si>
    <t>0.18908 (0.09399)</t>
  </si>
  <si>
    <t>0.04434 (0.11232)</t>
  </si>
  <si>
    <t>0.02009 (0.00210)</t>
  </si>
  <si>
    <t>0.07586 (0.00872)</t>
  </si>
  <si>
    <t>0.00530 (0.00050)</t>
  </si>
  <si>
    <t>pth</t>
  </si>
  <si>
    <t>peptidyl-tRNA hydrolase</t>
  </si>
  <si>
    <t>0.09248 (0.06770)</t>
  </si>
  <si>
    <t>0.03518 (0.03690)</t>
  </si>
  <si>
    <t>0.02806 (0.00190)</t>
  </si>
  <si>
    <t>0.11595 (0.00829)</t>
  </si>
  <si>
    <t>0.00603 (0.00048)</t>
  </si>
  <si>
    <t>fin</t>
  </si>
  <si>
    <t>protein required for the switch from F to Gduring sporulation (anti sigma F)</t>
  </si>
  <si>
    <t>0.12683 (0.10512)</t>
  </si>
  <si>
    <t>0.12622 (0.05680)</t>
  </si>
  <si>
    <t>0.02820 (0.00247)</t>
  </si>
  <si>
    <t>0.10209 (0.01155)</t>
  </si>
  <si>
    <t>0.01136 (0.00104)</t>
  </si>
  <si>
    <t>mfd</t>
  </si>
  <si>
    <t>transcription-repair coupling factor</t>
  </si>
  <si>
    <t>0.03357 (0.01892)</t>
  </si>
  <si>
    <t>0.02854 (0.01414)</t>
  </si>
  <si>
    <t>0.00903 (0.00021)</t>
  </si>
  <si>
    <t>0.03712 (0.00087)</t>
  </si>
  <si>
    <t>0.00103 (0.00006)</t>
  </si>
  <si>
    <t>spoVT</t>
  </si>
  <si>
    <t>transcriptional regulator of sporulation /germination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</si>
  <si>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</si>
  <si>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0.49495 (0.10667)</t>
  </si>
  <si>
    <t>0.01406 (0.00207)</t>
  </si>
  <si>
    <t>0.06783 (0.01071)</t>
  </si>
  <si>
    <t>yabM</t>
  </si>
  <si>
    <t>putative exporter</t>
  </si>
  <si>
    <t>0.13011 (0.03882)</t>
  </si>
  <si>
    <t>0.12623 (0.03140)</t>
  </si>
  <si>
    <t>0.01955 (0.00056)</t>
  </si>
  <si>
    <t>0.06030 (0.00199)</t>
  </si>
  <si>
    <t>0.00711 (0.00020)</t>
  </si>
  <si>
    <t>yabN</t>
  </si>
  <si>
    <t>putative fusion methylase and nucleotidepyrophosphohydrolase</t>
  </si>
  <si>
    <t>0.07799 (0.04662)</t>
  </si>
  <si>
    <t>0.08330 (0.05404)</t>
  </si>
  <si>
    <t>0.01394 (0.00049)</t>
  </si>
  <si>
    <t>0.05078 (0.00209)</t>
  </si>
  <si>
    <t>0.00441 (0.00021)</t>
  </si>
  <si>
    <t>hslR</t>
  </si>
  <si>
    <t>ribosomal RNA binding protein involved in 50Srecycling; heat shock protein</t>
  </si>
  <si>
    <t>0.76275 (0.10100)</t>
  </si>
  <si>
    <t>0.01879 (0.04396)</t>
  </si>
  <si>
    <t>0.02119 (0.00471)</t>
  </si>
  <si>
    <t>0.09917 (0.02515)</t>
  </si>
  <si>
    <t>0.00168 (0.00060)</t>
  </si>
  <si>
    <t>spcP</t>
  </si>
  <si>
    <t>spore protein involved in the shaping of thespore coat</t>
  </si>
  <si>
    <t>0.69792 (0.08741)</t>
  </si>
  <si>
    <t>0.02288 (0.05926)</t>
  </si>
  <si>
    <t>0.06197 (0.02254)</t>
  </si>
  <si>
    <t>0.02948 (0.00235)</t>
  </si>
  <si>
    <t>0.12904 (0.01077)</t>
  </si>
  <si>
    <t>0.00721 (0.00070)</t>
  </si>
  <si>
    <t>spcQ</t>
  </si>
  <si>
    <t>membrane protein of the forespore</t>
  </si>
  <si>
    <t>0.40397 (0.12247)</t>
  </si>
  <si>
    <t>0.29101 (0.33636)</t>
  </si>
  <si>
    <t>0.02564 (0.00168)</t>
  </si>
  <si>
    <t>0.05850 (0.00427)</t>
  </si>
  <si>
    <t>0.01659 (0.00105)</t>
  </si>
  <si>
    <t>divIC</t>
  </si>
  <si>
    <t>cell-division initiation protein</t>
  </si>
  <si>
    <t>0.07692 (0.00000)</t>
  </si>
  <si>
    <t>0.03864 (0.05650)</t>
  </si>
  <si>
    <t>0.01764 (0.04126)</t>
  </si>
  <si>
    <t>0.01661 (0.00100)</t>
  </si>
  <si>
    <t>0.07350 (0.00444)</t>
  </si>
  <si>
    <t>0.00234 (0.00024)</t>
  </si>
  <si>
    <t>yabR</t>
  </si>
  <si>
    <t>putative RNA degradation protein;polyribonucleotide nucleotidyltransferase orphosphorylase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</si>
  <si>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</si>
  <si>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0.02929 (0.03015)</t>
  </si>
  <si>
    <t>0.02214 (0.00598)</t>
  </si>
  <si>
    <t>0.10410 (0.02803)</t>
  </si>
  <si>
    <t>0.00267 (0.00103)</t>
  </si>
  <si>
    <t>spoIIE</t>
  </si>
  <si>
    <t>SpoIIAA-phosphate serine phosphatase</t>
  </si>
  <si>
    <t>0.01846 (0.00897)</t>
  </si>
  <si>
    <t>0.00996 (0.01089)</t>
  </si>
  <si>
    <t>0.01188 (0.00037)</t>
  </si>
  <si>
    <t>0.05158 (0.00168)</t>
  </si>
  <si>
    <t>0.00074 (0.00004)</t>
  </si>
  <si>
    <t>yabS</t>
  </si>
  <si>
    <t>0.05000 (0.00000)</t>
  </si>
  <si>
    <t>0.01729 (0.06244)</t>
  </si>
  <si>
    <t>0.02440 (0.02433)</t>
  </si>
  <si>
    <t>0.02294 (0.00121)</t>
  </si>
  <si>
    <t>0.10363 (0.00566)</t>
  </si>
  <si>
    <t>0.00212 (0.00016)</t>
  </si>
  <si>
    <t>prkT</t>
  </si>
  <si>
    <t>serine/threonine-protein kinase</t>
  </si>
  <si>
    <t>0.14797 (0.23888)</t>
  </si>
  <si>
    <t>0.18906 (0.09289)</t>
  </si>
  <si>
    <t>0.01426 (0.00114)</t>
  </si>
  <si>
    <t>0.04119 (0.00453)</t>
  </si>
  <si>
    <t>0.00715 (0.00035)</t>
  </si>
  <si>
    <t>tilS</t>
  </si>
  <si>
    <t>tRNA(ile2) lysidine synthetase</t>
  </si>
  <si>
    <t>0.07143 (0.00000)</t>
  </si>
  <si>
    <t>0.16684 (0.08663)</t>
  </si>
  <si>
    <t>0.09415 (0.09861)</t>
  </si>
  <si>
    <t>0.02325 (0.00123)</t>
  </si>
  <si>
    <t>0.08339 (0.00462)</t>
  </si>
  <si>
    <t>0.00819 (0.00044)</t>
  </si>
  <si>
    <t>hprT</t>
  </si>
  <si>
    <t>hypoxanthine-guanine phosphoribosyltransferase</t>
  </si>
  <si>
    <t>0.08184 (0.09105)</t>
  </si>
  <si>
    <t>0.01007 (0.00077)</t>
  </si>
  <si>
    <t>0.03947 (0.00292)</t>
  </si>
  <si>
    <t>0.00189 (0.00024)</t>
  </si>
  <si>
    <t>ftsH</t>
  </si>
  <si>
    <t>ATP-dependent cytoplasmic membrane protease</t>
  </si>
  <si>
    <t>0.04762 (0.00000)</t>
  </si>
  <si>
    <t>0.00343 (0.01527)</t>
  </si>
  <si>
    <t>0.00538 (0.01139)</t>
  </si>
  <si>
    <t>0.01776 (0.00094)</t>
  </si>
  <si>
    <t>0.08365 (0.00459)</t>
  </si>
  <si>
    <t>0.00048 (0.00004)</t>
  </si>
  <si>
    <t>coaX</t>
  </si>
  <si>
    <t>pantothenate kinase type III</t>
  </si>
  <si>
    <t>0.01761 (0.03286)</t>
  </si>
  <si>
    <t>0.00809 (0.02701)</t>
  </si>
  <si>
    <t>0.01697 (0.00126)</t>
  </si>
  <si>
    <t>0.07666 (0.00582)</t>
  </si>
  <si>
    <t>0.00088 (0.00011)</t>
  </si>
  <si>
    <t>hslO</t>
  </si>
  <si>
    <t>disulfide bond chaperone (heat shock proteinHSP33)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</si>
  <si>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</si>
  <si>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0.03450 (0.05158)</t>
  </si>
  <si>
    <t>0.01690 (0.01979)</t>
  </si>
  <si>
    <t>0.02101 (0.00118)</t>
  </si>
  <si>
    <t>0.09046 (0.00527)</t>
  </si>
  <si>
    <t>0.00205 (0.00016)</t>
  </si>
  <si>
    <t>yacD</t>
  </si>
  <si>
    <t>putative protein chaperone accessory lipoproteinfactor</t>
  </si>
  <si>
    <t>0.04157 (0.02524)</t>
  </si>
  <si>
    <t>0.17996 (0.04752)</t>
  </si>
  <si>
    <t>0.00904 (0.00032)</t>
  </si>
  <si>
    <t>0.03138 (0.00127)</t>
  </si>
  <si>
    <t>0.00293 (0.00018)</t>
  </si>
  <si>
    <t>cysK</t>
  </si>
  <si>
    <t>cysteine synthase</t>
  </si>
  <si>
    <t>0.05263 (0.00000)</t>
  </si>
  <si>
    <t>0.01011 (0.02048)</t>
  </si>
  <si>
    <t>0.01754 (0.02527)</t>
  </si>
  <si>
    <t>0.02335 (0.00094)</t>
  </si>
  <si>
    <t>0.10153 (0.00436)</t>
  </si>
  <si>
    <t>0.00129 (0.00009)</t>
  </si>
  <si>
    <t>pabB</t>
  </si>
  <si>
    <t>4-amino-4-deoxychorismate synthase(para-aminobenzoate synthase)</t>
  </si>
  <si>
    <t>0.10315 (0.03963)</t>
  </si>
  <si>
    <t>0.12055 (0.13360)</t>
  </si>
  <si>
    <t>0.00892 (0.00024)</t>
  </si>
  <si>
    <t>0.02776 (0.00087)</t>
  </si>
  <si>
    <t>0.00354 (0.00017)</t>
  </si>
  <si>
    <t>pabA</t>
  </si>
  <si>
    <t>4-amino-4-deoxychorismate synthase; anthranilatesynthase (subunit II)</t>
  </si>
  <si>
    <t>0.12255 (0.06261)</t>
  </si>
  <si>
    <t>0.07176 (0.05083)</t>
  </si>
  <si>
    <t>0.01093 (0.00039)</t>
  </si>
  <si>
    <t>0.03902 (0.00172)</t>
  </si>
  <si>
    <t>0.00315 (0.00017)</t>
  </si>
  <si>
    <t>pabC</t>
  </si>
  <si>
    <t>4-amino-4-deoxychorismate pyruvate-lyase</t>
  </si>
  <si>
    <t>0.35841 (0.13170)</t>
  </si>
  <si>
    <t>0.08906 (0.06578)</t>
  </si>
  <si>
    <t>0.01332 (0.00040)</t>
  </si>
  <si>
    <t>0.04253 (0.00150)</t>
  </si>
  <si>
    <t>0.00514 (0.00022)</t>
  </si>
  <si>
    <t>folP</t>
  </si>
  <si>
    <t>dihydropteroate synthase</t>
  </si>
  <si>
    <t>0.38478 (0.29011)</t>
  </si>
  <si>
    <t>0.03272 (0.04662)</t>
  </si>
  <si>
    <t>0.01154 (0.00035)</t>
  </si>
  <si>
    <t>0.03695 (0.00139)</t>
  </si>
  <si>
    <t>0.00434 (0.00022)</t>
  </si>
  <si>
    <t>folB</t>
  </si>
  <si>
    <t>dihydroneopterin aldolase</t>
  </si>
  <si>
    <t>0.07645 (0.08590)</t>
  </si>
  <si>
    <t>0.01485 (0.00074)</t>
  </si>
  <si>
    <t>0.05956 (0.00292)</t>
  </si>
  <si>
    <t>0.00262 (0.00050)</t>
  </si>
  <si>
    <t>folK</t>
  </si>
  <si>
    <t>7,8-dihydro-6-hydroxymethylpterinpyrophosphokinase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</si>
  <si>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</si>
  <si>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0.36091 (0.24210)</t>
  </si>
  <si>
    <t>0.43569 (0.42216)</t>
  </si>
  <si>
    <t>0.00692 (0.00057)</t>
  </si>
  <si>
    <t>0.01515 (0.00149)</t>
  </si>
  <si>
    <t>0.00460 (0.00039)</t>
  </si>
  <si>
    <t>Neutral</t>
  </si>
  <si>
    <t>yazB</t>
  </si>
  <si>
    <t>putative transcriptional regulator</t>
  </si>
  <si>
    <t>0.57292 (0.12522)</t>
  </si>
  <si>
    <t>0.04340 (0.09049)</t>
  </si>
  <si>
    <t>0.13104 (0.07042)</t>
  </si>
  <si>
    <t>0.03341 (0.00300)</t>
  </si>
  <si>
    <t>0.11917 (0.01102)</t>
  </si>
  <si>
    <t>0.01064 (0.00112)</t>
  </si>
  <si>
    <t>dusB</t>
  </si>
  <si>
    <t>tRNA-dihydrouridine synthase B</t>
  </si>
  <si>
    <t>0.06770 (0.05310)</t>
  </si>
  <si>
    <t>0.02920 (0.09058)</t>
  </si>
  <si>
    <t>0.01380 (0.00126)</t>
  </si>
  <si>
    <t>0.05978 (0.00575)</t>
  </si>
  <si>
    <t>0.00223 (0.00022)</t>
  </si>
  <si>
    <t>lysS</t>
  </si>
  <si>
    <t>lysyl-tRNA synthetase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</si>
  <si>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</si>
  <si>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0.01953 (0.02993)</t>
  </si>
  <si>
    <t>0.00666 (0.01492)</t>
  </si>
  <si>
    <t>0.02042 (0.00142)</t>
  </si>
  <si>
    <t>0.10010 (0.00728)</t>
  </si>
  <si>
    <t>0.00096 (0.00007)</t>
  </si>
  <si>
    <t>ctsR</t>
  </si>
  <si>
    <t>transcriptional regulator of class III stressgenes</t>
  </si>
  <si>
    <t>0.49074 (0.10236)</t>
  </si>
  <si>
    <t>0.04738 (0.06194)</t>
  </si>
  <si>
    <t>0.08680 (0.19762)</t>
  </si>
  <si>
    <t>0.01349 (0.00073)</t>
  </si>
  <si>
    <t>0.05611 (0.00308)</t>
  </si>
  <si>
    <t>0.00296 (0.00039)</t>
  </si>
  <si>
    <t>mcsA</t>
  </si>
  <si>
    <t>activator of protein kinase McsB</t>
  </si>
  <si>
    <t>0.11052 (0.06279)</t>
  </si>
  <si>
    <t>0.02704 (0.04368)</t>
  </si>
  <si>
    <t>0.02701 (0.00206)</t>
  </si>
  <si>
    <t>0.13131 (0.01127)</t>
  </si>
  <si>
    <t>0.00497 (0.00044)</t>
  </si>
  <si>
    <t>mcsB</t>
  </si>
  <si>
    <t>protein arginine kinase</t>
  </si>
  <si>
    <t>0.03149 (0.02514)</t>
  </si>
  <si>
    <t>0.03461 (0.06605)</t>
  </si>
  <si>
    <t>0.02212 (0.00128)</t>
  </si>
  <si>
    <t>0.09817 (0.00575)</t>
  </si>
  <si>
    <t>0.00354 (0.00029)</t>
  </si>
  <si>
    <t>clpC</t>
  </si>
  <si>
    <t>class III stress response-related ATPase, AAA+superfamily</t>
  </si>
  <si>
    <t>0.01447 (0.02584)</t>
  </si>
  <si>
    <t>0.01033 (0.02606)</t>
  </si>
  <si>
    <t>0.00677 (0.00017)</t>
  </si>
  <si>
    <t>0.02861 (0.00073)</t>
  </si>
  <si>
    <t>0.00037 (0.00005)</t>
  </si>
  <si>
    <t>radA</t>
  </si>
  <si>
    <t>DNA repair protein; 6-O-methylguanine-DNAmethyltransferase</t>
  </si>
  <si>
    <t>0.76181 (0.11602)</t>
  </si>
  <si>
    <t>0.05440 (0.04542)</t>
  </si>
  <si>
    <t>0.02092 (0.02714)</t>
  </si>
  <si>
    <t>0.01017 (0.00042)</t>
  </si>
  <si>
    <t>0.03864 (0.00159)</t>
  </si>
  <si>
    <t>0.00149 (0.00011)</t>
  </si>
  <si>
    <t>disA</t>
  </si>
  <si>
    <t>diadenylate cyclase; DNA integrity scanningprotein; cell cycle checkpoint DNA scanning protein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</si>
  <si>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</si>
  <si>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0.01166 (0.02711)</t>
  </si>
  <si>
    <t>0.01740 (0.00146)</t>
  </si>
  <si>
    <t>0.08159 (0.00702)</t>
  </si>
  <si>
    <t>0.00067 (0.00009)</t>
  </si>
  <si>
    <t>yacL</t>
  </si>
  <si>
    <t>putative membrane protein possibly involved inRNA binding</t>
  </si>
  <si>
    <t>0.45455 (0.10444)</t>
  </si>
  <si>
    <t>0.01548 (0.02176)</t>
  </si>
  <si>
    <t>0.02085 (0.03697)</t>
  </si>
  <si>
    <t>0.01790 (0.00154)</t>
  </si>
  <si>
    <t>0.08197 (0.00719)</t>
  </si>
  <si>
    <t>0.00138 (0.00014)</t>
  </si>
  <si>
    <t>ispD</t>
  </si>
  <si>
    <t>2-C-methyl-D-erythritol 4-phosphatecytidylyltransferase, nonmevalonate isoprenoid pathway</t>
  </si>
  <si>
    <t>0.15475 (0.07950)</t>
  </si>
  <si>
    <t>0.10775 (0.18494)</t>
  </si>
  <si>
    <t>0.01681 (0.00146)</t>
  </si>
  <si>
    <t>0.05452 (0.00515)</t>
  </si>
  <si>
    <t>0.00710 (0.00060)</t>
  </si>
  <si>
    <t>ispF</t>
  </si>
  <si>
    <t>2-C-methyl-D-erythritol-2,4-cyclodiphosphatesynthase</t>
  </si>
  <si>
    <t>0.09095 (0.06267)</t>
  </si>
  <si>
    <t>0.06086 (0.12919)</t>
  </si>
  <si>
    <t>0.00921 (0.00049)</t>
  </si>
  <si>
    <t>0.03296 (0.00187)</t>
  </si>
  <si>
    <t>0.00221 (0.00029)</t>
  </si>
  <si>
    <t>gltX</t>
  </si>
  <si>
    <t>glutamyl-tRNA synthetase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</si>
  <si>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</si>
  <si>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0.02116 (0.02177)</t>
  </si>
  <si>
    <t>0.03184 (0.03387)</t>
  </si>
  <si>
    <t>0.02541 (0.00125)</t>
  </si>
  <si>
    <t>0.11650 (0.00581)</t>
  </si>
  <si>
    <t>0.00299 (0.00023)</t>
  </si>
  <si>
    <t>cysE</t>
  </si>
  <si>
    <t>serine O-acetyltransferase</t>
  </si>
  <si>
    <t>0.03192 (0.03216)</t>
  </si>
  <si>
    <t>0.02464 (0.03430)</t>
  </si>
  <si>
    <t>0.01446 (0.00089)</t>
  </si>
  <si>
    <t>0.06142 (0.00408)</t>
  </si>
  <si>
    <t>0.00152 (0.00011)</t>
  </si>
  <si>
    <t>cysS</t>
  </si>
  <si>
    <t>dual cysteinyl-tRNA synthetase; cysteinepersulfide synthase</t>
  </si>
  <si>
    <t>0.02288 (0.02358)</t>
  </si>
  <si>
    <t>0.02731 (0.03366)</t>
  </si>
  <si>
    <t>0.01547 (0.00125)</t>
  </si>
  <si>
    <t>0.07228 (0.00678)</t>
  </si>
  <si>
    <t>0.00155 (0.00007)</t>
  </si>
  <si>
    <t>mrnC</t>
  </si>
  <si>
    <t>ribonuclease for 23S RNA maturation, mini-RNaseIII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</si>
  <si>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</si>
  <si>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0.10821 (0.10497)</t>
  </si>
  <si>
    <t>0.12197 (0.21231)</t>
  </si>
  <si>
    <t>0.02041 (0.00212)</t>
  </si>
  <si>
    <t>0.07105 (0.00815)</t>
  </si>
  <si>
    <t>0.00691 (0.00064)</t>
  </si>
  <si>
    <t>rlmB</t>
  </si>
  <si>
    <t>23S rRNA (Gm2251)-methyltransferase</t>
  </si>
  <si>
    <t>0.04139 (0.06226)</t>
  </si>
  <si>
    <t>0.01490 (0.02431)</t>
  </si>
  <si>
    <t>0.01871 (0.00157)</t>
  </si>
  <si>
    <t>0.08180 (0.00754)</t>
  </si>
  <si>
    <t>0.00180 (0.00013)</t>
  </si>
  <si>
    <t>raeA</t>
  </si>
  <si>
    <t>ribosome-dependent mRNA endonuclease</t>
  </si>
  <si>
    <t>0.02130 (0.05996)</t>
  </si>
  <si>
    <t>0.05144 (0.05790)</t>
  </si>
  <si>
    <t>0.01618 (0.00107)</t>
  </si>
  <si>
    <t>0.06803 (0.00446)</t>
  </si>
  <si>
    <t>0.00282 (0.00028)</t>
  </si>
  <si>
    <t>sigH</t>
  </si>
  <si>
    <t>RNA polymerase sigma-30 factor (sigma(H))</t>
  </si>
  <si>
    <t>0.01390 (0.04535)</t>
  </si>
  <si>
    <t>0.01448 (0.00095)</t>
  </si>
  <si>
    <t>0.07227 (0.00496)</t>
  </si>
  <si>
    <t>0.00028 (0.00007)</t>
  </si>
  <si>
    <t>rpmGB</t>
  </si>
  <si>
    <t>ribosomal protein L33</t>
  </si>
  <si>
    <t>0.01224 (0.00161)</t>
  </si>
  <si>
    <t>0.05903 (0.00807)</t>
  </si>
  <si>
    <t>secE</t>
  </si>
  <si>
    <t>preprotein translocase subunit</t>
  </si>
  <si>
    <t>0.53971 (0.38163)</t>
  </si>
  <si>
    <t>0.01356 (0.00175)</t>
  </si>
  <si>
    <t>0.01429 (0.00332)</t>
  </si>
  <si>
    <t>0.01358 (0.00168)</t>
  </si>
  <si>
    <t>nusG</t>
  </si>
  <si>
    <t>RNA polymerase elongation pause factor</t>
  </si>
  <si>
    <t>0.01035 (0.03853)</t>
  </si>
  <si>
    <t>0.02132 (0.00106)</t>
  </si>
  <si>
    <t>0.10498 (0.00557)</t>
  </si>
  <si>
    <t>0.00027 (0.00006)</t>
  </si>
  <si>
    <t>rplK</t>
  </si>
  <si>
    <t>ribosomal protein L11 (BL11)</t>
  </si>
  <si>
    <t>0.01245 (0.00234)</t>
  </si>
  <si>
    <t>0.05458 (0.01062)</t>
  </si>
  <si>
    <t>rplA</t>
  </si>
  <si>
    <t>ribosomal protein L1 (BL1)</t>
  </si>
  <si>
    <t>0.03767 (0.08378)</t>
  </si>
  <si>
    <t>0.01919 (0.05407)</t>
  </si>
  <si>
    <t>0.01438 (0.00099)</t>
  </si>
  <si>
    <t>0.05770 (0.00389)</t>
  </si>
  <si>
    <t>0.00191 (0.00024)</t>
  </si>
  <si>
    <t>rplJ</t>
  </si>
  <si>
    <t>ribosomal protein L10 (BL5)</t>
  </si>
  <si>
    <t>ref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</si>
  <si>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0.68339 (0.10384)</t>
  </si>
  <si>
    <t>0.07604 (0.14452)</t>
  </si>
  <si>
    <t>0.45677 (0.30787)</t>
  </si>
  <si>
    <t>0.00746 (0.00072)</t>
  </si>
  <si>
    <t>0.01710 (0.00150)</t>
  </si>
  <si>
    <t>0.00461 (0.00058)</t>
  </si>
  <si>
    <t>rplL</t>
  </si>
  <si>
    <t>ribosomal protein L12 (BL9)</t>
  </si>
  <si>
    <t>0.01090 (0.00097)</t>
  </si>
  <si>
    <t>0.04754 (0.00436)</t>
  </si>
  <si>
    <t>rlmG</t>
  </si>
  <si>
    <t>23S rRNA m2G1835 methyltransferase</t>
  </si>
  <si>
    <t>0.19768 (0.08740)</t>
  </si>
  <si>
    <t>0.05436 (0.05398)</t>
  </si>
  <si>
    <t>0.02352 (0.00127)</t>
  </si>
  <si>
    <t>0.09431 (0.00570)</t>
  </si>
  <si>
    <t>0.00628 (0.00032)</t>
  </si>
  <si>
    <t>rpoB</t>
  </si>
  <si>
    <t>RNA polymerase (beta subunit)</t>
  </si>
  <si>
    <t>0.01364 (0.03079)</t>
  </si>
  <si>
    <t>0.00873 (0.01509)</t>
  </si>
  <si>
    <t>0.01194 (0.00062)</t>
  </si>
  <si>
    <t>0.05193 (0.00275)</t>
  </si>
  <si>
    <t>0.00049 (0.00003)</t>
  </si>
  <si>
    <t>rpoC</t>
  </si>
  <si>
    <t>RNA polymerase (beta' subunit)</t>
  </si>
  <si>
    <t>0.00726 (0.01075)</t>
  </si>
  <si>
    <t>0.00617 (0.01398)</t>
  </si>
  <si>
    <t>0.01411 (0.00065)</t>
  </si>
  <si>
    <t>0.06148 (0.00290)</t>
  </si>
  <si>
    <t>0.00047 (0.00003)</t>
  </si>
  <si>
    <t>rulS</t>
  </si>
  <si>
    <t>K-turn RNA binding protein; alternativeribosomal protein L7A</t>
  </si>
  <si>
    <t>0.10890 (0.18150)</t>
  </si>
  <si>
    <t>0.08167 (0.12251)</t>
  </si>
  <si>
    <t>0.01321 (0.00123)</t>
  </si>
  <si>
    <t>0.04376 (0.00407)</t>
  </si>
  <si>
    <t>0.00368 (0.00060)</t>
  </si>
  <si>
    <t>rpsL</t>
  </si>
  <si>
    <t>ribosomal protein S12 (BS12)</t>
  </si>
  <si>
    <t>0.01638 (0.05315)</t>
  </si>
  <si>
    <t>0.01593 (0.00284)</t>
  </si>
  <si>
    <t>0.06622 (0.01295)</t>
  </si>
  <si>
    <t>0.00082 (0.00024)</t>
  </si>
  <si>
    <t>rpsG</t>
  </si>
  <si>
    <t>ribosomal protein S7 (BS7)</t>
  </si>
  <si>
    <t>0.01040 (0.00064)</t>
  </si>
  <si>
    <t>0.04669 (0.00293)</t>
  </si>
  <si>
    <t>fusA</t>
  </si>
  <si>
    <t>elongation factor G</t>
  </si>
  <si>
    <t>0.00557 (0.02230)</t>
  </si>
  <si>
    <t>0.06271 (0.11216)</t>
  </si>
  <si>
    <t>0.01272 (0.00068)</t>
  </si>
  <si>
    <t>0.04938 (0.00256)</t>
  </si>
  <si>
    <t>0.00226 (0.00019)</t>
  </si>
  <si>
    <t>tufA</t>
  </si>
  <si>
    <t>elongation factor Tu</t>
  </si>
  <si>
    <t>0.03218 (0.06632)</t>
  </si>
  <si>
    <t>0.14166 (0.27589)</t>
  </si>
  <si>
    <t>0.01317 (0.00077)</t>
  </si>
  <si>
    <t>0.04051 (0.00213)</t>
  </si>
  <si>
    <t>0.00517 (0.00042)</t>
  </si>
  <si>
    <t>ybaC</t>
  </si>
  <si>
    <t>putative proline iminopeptidase</t>
  </si>
  <si>
    <t>0.35416 (0.14202)</t>
  </si>
  <si>
    <t>0.21212 (0.08618)</t>
  </si>
  <si>
    <t>0.01922 (0.00058)</t>
  </si>
  <si>
    <t>0.04859 (0.00174)</t>
  </si>
  <si>
    <t>0.01134 (0.00036)</t>
  </si>
  <si>
    <t>rpsJ</t>
  </si>
  <si>
    <t>ribosomal protein S10 (BS13); transcriptionantitermination factor</t>
  </si>
  <si>
    <t>0.01587 (0.00159)</t>
  </si>
  <si>
    <t>0.07181 (0.00743)</t>
  </si>
  <si>
    <t>rplC</t>
  </si>
  <si>
    <t>ribosomal protein L3 (BL3)</t>
  </si>
  <si>
    <t>0.07153 (0.12956)</t>
  </si>
  <si>
    <t>0.01978 (0.00282)</t>
  </si>
  <si>
    <t>0.07694 (0.01149)</t>
  </si>
  <si>
    <t>0.00480 (0.00067)</t>
  </si>
  <si>
    <t>rplD</t>
  </si>
  <si>
    <t>ribosomal protein L4</t>
  </si>
  <si>
    <t>0.09211 (0.11719)</t>
  </si>
  <si>
    <t>0.06926 (0.14563)</t>
  </si>
  <si>
    <t>0.01957 (0.00158)</t>
  </si>
  <si>
    <t>0.07077 (0.00572)</t>
  </si>
  <si>
    <t>0.00470 (0.00047)</t>
  </si>
  <si>
    <t>rplW</t>
  </si>
  <si>
    <t>ribosomal protein L23</t>
  </si>
  <si>
    <t>0.02405 (0.05229)</t>
  </si>
  <si>
    <t>0.01934 (0.00165)</t>
  </si>
  <si>
    <t>0.08685 (0.00835)</t>
  </si>
  <si>
    <t>0.00211 (0.00026)</t>
  </si>
  <si>
    <t>rplB</t>
  </si>
  <si>
    <t>ribosomal protein L2 (BL2)</t>
  </si>
  <si>
    <t>0.02301 (0.06714)</t>
  </si>
  <si>
    <t>0.02534 (0.06413)</t>
  </si>
  <si>
    <t>0.01871 (0.00214)</t>
  </si>
  <si>
    <t>0.07722 (0.00894)</t>
  </si>
  <si>
    <t>0.00186 (0.00030)</t>
  </si>
  <si>
    <t>rpsS</t>
  </si>
  <si>
    <t>ribosomal protein S19 (BS19)</t>
  </si>
  <si>
    <t>0.00870 (0.00128)</t>
  </si>
  <si>
    <t>0.04136 (0.00621)</t>
  </si>
  <si>
    <t>rplV</t>
  </si>
  <si>
    <t>ribosomal protein L22 (BL17)</t>
  </si>
  <si>
    <t>0.90816 (0.06103)</t>
  </si>
  <si>
    <t>0.07769 (0.12939)</t>
  </si>
  <si>
    <t>0.00737 (0.00152)</t>
  </si>
  <si>
    <t>0.02516 (0.00733)</t>
  </si>
  <si>
    <t>0.00195 (0.00073)</t>
  </si>
  <si>
    <t>rpsC</t>
  </si>
  <si>
    <t>ribosomal protein S3 (BS3)</t>
  </si>
  <si>
    <t>0.02113 (0.05522)</t>
  </si>
  <si>
    <t>0.02166 (0.06745)</t>
  </si>
  <si>
    <t>0.01682 (0.00155)</t>
  </si>
  <si>
    <t>0.06976 (0.00649)</t>
  </si>
  <si>
    <t>0.00151 (0.00022)</t>
  </si>
  <si>
    <t>rplP</t>
  </si>
  <si>
    <t>ribosomal protein L16</t>
  </si>
  <si>
    <t>0.00838 (0.00083)</t>
  </si>
  <si>
    <t>0.03650 (0.00369)</t>
  </si>
  <si>
    <t>rpsQ</t>
  </si>
  <si>
    <t>ribosomal protein S17 (BS16)</t>
  </si>
  <si>
    <t>0.28729 (0.28729)</t>
  </si>
  <si>
    <t>0.01824 (0.00219)</t>
  </si>
  <si>
    <t>0.07669 (0.00994)</t>
  </si>
  <si>
    <t>0.00283 (0.00063)</t>
  </si>
  <si>
    <t>rplX</t>
  </si>
  <si>
    <t>ribosomal protein L24 (BL23)</t>
  </si>
  <si>
    <t>0.02723 (0.00440)</t>
  </si>
  <si>
    <t>0.13482 (0.02272)</t>
  </si>
  <si>
    <t>rplE</t>
  </si>
  <si>
    <t>ribosomal protein L5 (BL6)</t>
  </si>
  <si>
    <t>0.03823 (0.12335)</t>
  </si>
  <si>
    <t>0.01068 (0.00188)</t>
  </si>
  <si>
    <t>0.04459 (0.00751)</t>
  </si>
  <si>
    <t>0.00146 (0.00043)</t>
  </si>
  <si>
    <t>rpsH</t>
  </si>
  <si>
    <t>ribosomal protein S8 (BS8)</t>
  </si>
  <si>
    <t>0.06659 (0.07008)</t>
  </si>
  <si>
    <t>0.00808 (0.00087)</t>
  </si>
  <si>
    <t>0.03127 (0.00331)</t>
  </si>
  <si>
    <t>0.00132 (0.00026)</t>
  </si>
  <si>
    <t>rplF</t>
  </si>
  <si>
    <t>ribosomal protein L6 (BL8)</t>
  </si>
  <si>
    <t>0.75898 (0.08420)</t>
  </si>
  <si>
    <t>0.04624 (0.06155)</t>
  </si>
  <si>
    <t>0.05390 (0.03777)</t>
  </si>
  <si>
    <t>0.01723 (0.00151)</t>
  </si>
  <si>
    <t>0.06135 (0.00568)</t>
  </si>
  <si>
    <t>0.00373 (0.00040)</t>
  </si>
  <si>
    <t>rplR</t>
  </si>
  <si>
    <t>ribosomal protein L18</t>
  </si>
  <si>
    <t>0.49546 (0.48008)</t>
  </si>
  <si>
    <t>0.16515 (0.11678)</t>
  </si>
  <si>
    <t>0.00907 (0.00085)</t>
  </si>
  <si>
    <t>0.01964 (0.00215)</t>
  </si>
  <si>
    <t>0.00570 (0.00092)</t>
  </si>
  <si>
    <t>rpsE</t>
  </si>
  <si>
    <t>ribosomal protein S5</t>
  </si>
  <si>
    <t>0.64800 (0.12160)</t>
  </si>
  <si>
    <t>0.05544 (0.09260)</t>
  </si>
  <si>
    <t>0.01976 (0.03514)</t>
  </si>
  <si>
    <t>0.02065 (0.00288)</t>
  </si>
  <si>
    <t>0.08160 (0.01254)</t>
  </si>
  <si>
    <t>0.00230 (0.00036)</t>
  </si>
  <si>
    <t>rpmD</t>
  </si>
  <si>
    <t>ribosomal protein L30 (BL27)</t>
  </si>
  <si>
    <t>0.02306 (0.05728)</t>
  </si>
  <si>
    <t>0.02320 (0.00261)</t>
  </si>
  <si>
    <t>0.10567 (0.01403)</t>
  </si>
  <si>
    <t>0.00184 (0.00058)</t>
  </si>
  <si>
    <t>rplO</t>
  </si>
  <si>
    <t>ribosomal protein L15</t>
  </si>
  <si>
    <t>0.09770 (0.26403)</t>
  </si>
  <si>
    <t>0.01402 (0.00275)</t>
  </si>
  <si>
    <t>0.04839 (0.00825)</t>
  </si>
  <si>
    <t>0.00382 (0.00125)</t>
  </si>
  <si>
    <t>secY</t>
  </si>
  <si>
    <t>0.03339 (0.04078)</t>
  </si>
  <si>
    <t>0.06425 (0.08092)</t>
  </si>
  <si>
    <t>0.01029 (0.00052)</t>
  </si>
  <si>
    <t>0.03643 (0.00182)</t>
  </si>
  <si>
    <t>0.00248 (0.00016)</t>
  </si>
  <si>
    <t>adk</t>
  </si>
  <si>
    <t>adenylate kinase</t>
  </si>
  <si>
    <t>0.13159 (0.09412)</t>
  </si>
  <si>
    <t>0.04219 (0.05065)</t>
  </si>
  <si>
    <t>0.01201 (0.00066)</t>
  </si>
  <si>
    <t>0.04469 (0.00267)</t>
  </si>
  <si>
    <t>0.00277 (0.00020)</t>
  </si>
  <si>
    <t>mapA</t>
  </si>
  <si>
    <t>methionine aminopeptidase</t>
  </si>
  <si>
    <t>0.03274 (0.08012)</t>
  </si>
  <si>
    <t>0.09857 (0.11382)</t>
  </si>
  <si>
    <t>0.00508 (0.00031)</t>
  </si>
  <si>
    <t>0.01923 (0.00130)</t>
  </si>
  <si>
    <t>0.00097 (0.00015)</t>
  </si>
  <si>
    <t>ybzG</t>
  </si>
  <si>
    <t>putative ribosome binding protein</t>
  </si>
  <si>
    <t>0.83058 (0.10587)</t>
  </si>
  <si>
    <t>0.14490 (0.20915)</t>
  </si>
  <si>
    <t>0.00676 (0.00092)</t>
  </si>
  <si>
    <t>0.02026 (0.00482)</t>
  </si>
  <si>
    <t>0.00292 (0.00109)</t>
  </si>
  <si>
    <t>rpsM</t>
  </si>
  <si>
    <t>ribosomal protein S13</t>
  </si>
  <si>
    <t>0.04941 (0.09426)</t>
  </si>
  <si>
    <t>0.02588 (0.00329)</t>
  </si>
  <si>
    <t>0.10059 (0.01259)</t>
  </si>
  <si>
    <t>0.00396 (0.00065)</t>
  </si>
  <si>
    <t>rpsK</t>
  </si>
  <si>
    <t>ribosomal protein S11 (BS11)</t>
  </si>
  <si>
    <t>0.02870 (0.06659)</t>
  </si>
  <si>
    <t>0.34839 (0.00000)</t>
  </si>
  <si>
    <t>0.01333 (0.00132)</t>
  </si>
  <si>
    <t>0.04047 (0.00438)</t>
  </si>
  <si>
    <t>0.00428 (0.00074)</t>
  </si>
  <si>
    <t>rpoA</t>
  </si>
  <si>
    <t>RNA polymerase (alpha subunit)</t>
  </si>
  <si>
    <t>0.73761 (0.08366)</t>
  </si>
  <si>
    <t>0.00567 (0.00055)</t>
  </si>
  <si>
    <t>0.02467 (0.00243)</t>
  </si>
  <si>
    <t>rplQ</t>
  </si>
  <si>
    <t>ribosomal protein L17 (BL15)</t>
  </si>
  <si>
    <t>0.65976 (0.11891)</t>
  </si>
  <si>
    <t>0.00574 (0.00067)</t>
  </si>
  <si>
    <t>0.02451 (0.00289)</t>
  </si>
  <si>
    <t>ecfA</t>
  </si>
  <si>
    <t>energizing coupling factor of ABC influxtransporter (ATP-binding protein)</t>
  </si>
  <si>
    <t>0.08829 (0.04246)</t>
  </si>
  <si>
    <t>0.05653 (0.08380)</t>
  </si>
  <si>
    <t>0.01763 (0.00102)</t>
  </si>
  <si>
    <t>0.07064 (0.00436)</t>
  </si>
  <si>
    <t>0.00381 (0.00024)</t>
  </si>
  <si>
    <t>ecfAB</t>
  </si>
  <si>
    <t>0.09105 (0.03471)</t>
  </si>
  <si>
    <t>0.09787 (0.06963)</t>
  </si>
  <si>
    <t>0.01095 (0.00033)</t>
  </si>
  <si>
    <t>0.03553 (0.00120)</t>
  </si>
  <si>
    <t>0.00397 (0.00019)</t>
  </si>
  <si>
    <t>ecfT</t>
  </si>
  <si>
    <t>component of the influx ECF transporters</t>
  </si>
  <si>
    <t>0.23706 (0.16587)</t>
  </si>
  <si>
    <t>0.09345 (0.05907)</t>
  </si>
  <si>
    <t>0.00994 (0.00040)</t>
  </si>
  <si>
    <t>0.02962 (0.00107)</t>
  </si>
  <si>
    <t>0.00401 (0.00032)</t>
  </si>
  <si>
    <t>truA</t>
  </si>
  <si>
    <t>tRNA pseudouridine (38-40) synthase</t>
  </si>
  <si>
    <t>0.67078 (0.11629)</t>
  </si>
  <si>
    <t>0.13427 (0.06769)</t>
  </si>
  <si>
    <t>0.10770 (0.09310)</t>
  </si>
  <si>
    <t>0.02285 (0.00128)</t>
  </si>
  <si>
    <t>0.07390 (0.00421)</t>
  </si>
  <si>
    <t>0.00893 (0.00054)</t>
  </si>
  <si>
    <t>rplM</t>
  </si>
  <si>
    <t>ribosomal protein L13</t>
  </si>
  <si>
    <t>0.10157 (0.14739)</t>
  </si>
  <si>
    <t>0.01563 (0.00185)</t>
  </si>
  <si>
    <t>0.05699 (0.00673)</t>
  </si>
  <si>
    <t>0.00363 (0.00064)</t>
  </si>
  <si>
    <t>rpsI</t>
  </si>
  <si>
    <t>ribosomal protein S9</t>
  </si>
  <si>
    <t>0.03480 (0.09390)</t>
  </si>
  <si>
    <t>0.08747 (0.04933)</t>
  </si>
  <si>
    <t>0.01590 (0.00159)</t>
  </si>
  <si>
    <t>0.05450 (0.00563)</t>
  </si>
  <si>
    <t>0.00330 (0.00042)</t>
  </si>
  <si>
    <t>ybaJ</t>
  </si>
  <si>
    <t>putative methyltransferase</t>
  </si>
  <si>
    <t>0.12684 (0.08065)</t>
  </si>
  <si>
    <t>0.18626 (0.05668)</t>
  </si>
  <si>
    <t>0.01360 (0.00041)</t>
  </si>
  <si>
    <t>0.04191 (0.00149)</t>
  </si>
  <si>
    <t>0.00602 (0.00026)</t>
  </si>
  <si>
    <t>ybaK</t>
  </si>
  <si>
    <t>0.18879 (0.11263)</t>
  </si>
  <si>
    <t>0.06722 (0.06783)</t>
  </si>
  <si>
    <t>0.02342 (0.00100)</t>
  </si>
  <si>
    <t>0.09452 (0.00432)</t>
  </si>
  <si>
    <t>0.00721 (0.00043)</t>
  </si>
  <si>
    <t>cwlD</t>
  </si>
  <si>
    <t>N-acetylmuramoyl-L-alanine amidase</t>
  </si>
  <si>
    <t>0.04529 (0.05405)</t>
  </si>
  <si>
    <t>0.11072 (0.05092)</t>
  </si>
  <si>
    <t>0.00967 (0.00050)</t>
  </si>
  <si>
    <t>0.03267 (0.00169)</t>
  </si>
  <si>
    <t>0.00310 (0.00023)</t>
  </si>
  <si>
    <t>salA</t>
  </si>
  <si>
    <t>phosphorylation-dependent (Y327) transcriptionalregulator</t>
  </si>
  <si>
    <t>0.04636 (0.03537)</t>
  </si>
  <si>
    <t>0.01563 (0.03520)</t>
  </si>
  <si>
    <t>0.01322 (0.00074)</t>
  </si>
  <si>
    <t>0.05434 (0.00321)</t>
  </si>
  <si>
    <t>0.00154 (0.00019)</t>
  </si>
  <si>
    <t>gerD</t>
  </si>
  <si>
    <t>lipoprotein factor mediating clustering ofgermination proteins</t>
  </si>
  <si>
    <t>0.02132 (0.02435)</t>
  </si>
  <si>
    <t>0.05977 (0.07711)</t>
  </si>
  <si>
    <t>0.02680 (0.00224)</t>
  </si>
  <si>
    <t>0.12647 (0.01040)</t>
  </si>
  <si>
    <t>0.00622 (0.00072)</t>
  </si>
  <si>
    <t>kbaA</t>
  </si>
  <si>
    <t>inner membrane protein involved in activation ofthe KinB signaling pathway to sporulation</t>
  </si>
  <si>
    <t>0.07049 (0.03073)</t>
  </si>
  <si>
    <t>0.02013 (0.05765)</t>
  </si>
  <si>
    <t>0.02140 (0.00154)</t>
  </si>
  <si>
    <t>0.09250 (0.00700)</t>
  </si>
  <si>
    <t>0.00344 (0.00029)</t>
  </si>
  <si>
    <t>pdaB</t>
  </si>
  <si>
    <t>polysaccharide deacetylase involved insporulation</t>
  </si>
  <si>
    <t>0.04611 (0.02372)</t>
  </si>
  <si>
    <t>0.05784 (0.06347)</t>
  </si>
  <si>
    <t>0.01465 (0.00077)</t>
  </si>
  <si>
    <t>0.05667 (0.00343)</t>
  </si>
  <si>
    <t>0.00315 (0.00027)</t>
  </si>
  <si>
    <t>ybaR</t>
  </si>
  <si>
    <t>putative permease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</si>
  <si>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</si>
  <si>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0.08477 (0.04202)</t>
  </si>
  <si>
    <t>0.03047 (0.01699)</t>
  </si>
  <si>
    <t>0.01593 (0.00054)</t>
  </si>
  <si>
    <t>0.05980 (0.00225)</t>
  </si>
  <si>
    <t>0.00302 (0.00011)</t>
  </si>
  <si>
    <t>ybaS</t>
  </si>
  <si>
    <t>putative sodium dependent transporter</t>
  </si>
  <si>
    <t>0.05875 (0.04900)</t>
  </si>
  <si>
    <t>0.06381 (0.07186)</t>
  </si>
  <si>
    <t>0.01195 (0.00062)</t>
  </si>
  <si>
    <t>0.04191 (0.00226)</t>
  </si>
  <si>
    <t>0.00281 (0.00020)</t>
  </si>
  <si>
    <t>eesA</t>
  </si>
  <si>
    <t>iron-chelator (enterobactin family) esterase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</si>
  <si>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</si>
  <si>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0.78381 (0.70854)</t>
  </si>
  <si>
    <t>0.16796 (0.14523)</t>
  </si>
  <si>
    <t>0.01647 (0.00129)</t>
  </si>
  <si>
    <t>0.02890 (0.00243)</t>
  </si>
  <si>
    <t>0.01316 (0.00111)</t>
  </si>
  <si>
    <t>feuC</t>
  </si>
  <si>
    <t>iron-uptake protein</t>
  </si>
  <si>
    <t>0.06753 (0.03725)</t>
  </si>
  <si>
    <t>0.04068 (0.02844)</t>
  </si>
  <si>
    <t>0.00940 (0.00028)</t>
  </si>
  <si>
    <t>0.03271 (0.00119)</t>
  </si>
  <si>
    <t>0.00201 (0.00013)</t>
  </si>
  <si>
    <t>feuB</t>
  </si>
  <si>
    <t>ferri-bacillibactin permease</t>
  </si>
  <si>
    <t>0.03887 (0.02526)</t>
  </si>
  <si>
    <t>0.01402 (0.03822)</t>
  </si>
  <si>
    <t>0.01077 (0.00038)</t>
  </si>
  <si>
    <t>0.04064 (0.00153)</t>
  </si>
  <si>
    <t>0.00146 (0.00011)</t>
  </si>
  <si>
    <t>feuA</t>
  </si>
  <si>
    <t>ferri-bacillibactin-binding lipoprotein</t>
  </si>
  <si>
    <t>0.07767 (0.04998)</t>
  </si>
  <si>
    <t>0.06217 (0.09316)</t>
  </si>
  <si>
    <t>0.01789 (0.00107)</t>
  </si>
  <si>
    <t>0.07416 (0.00478)</t>
  </si>
  <si>
    <t>0.00365 (0.00024)</t>
  </si>
  <si>
    <t>btr</t>
  </si>
  <si>
    <t>transcriptional activator (AraC/XylS family) ofsynthesis and uptake of the siderophore bacillibactin</t>
  </si>
  <si>
    <t>0.17668 (0.06846)</t>
  </si>
  <si>
    <t>0.15305 (0.06601)</t>
  </si>
  <si>
    <t>0.01400 (0.00043)</t>
  </si>
  <si>
    <t>0.03870 (0.00139)</t>
  </si>
  <si>
    <t>0.00718 (0.00022)</t>
  </si>
  <si>
    <t>ybbC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</si>
  <si>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</si>
  <si>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0.23886 (0.12734)</t>
  </si>
  <si>
    <t>0.10454 (0.06771)</t>
  </si>
  <si>
    <t>0.01424 (0.00050)</t>
  </si>
  <si>
    <t>0.03914 (0.00146)</t>
  </si>
  <si>
    <t>0.00704 (0.00031)</t>
  </si>
  <si>
    <t>nagZ</t>
  </si>
  <si>
    <t>N-acetylglucosaminidase lipoprotein</t>
  </si>
  <si>
    <t>0.17994 (0.08210)</t>
  </si>
  <si>
    <t>0.13239 (0.01637)</t>
  </si>
  <si>
    <t>0.02201 (0.00087)</t>
  </si>
  <si>
    <t>0.06643 (0.00281)</t>
  </si>
  <si>
    <t>0.00991 (0.00042)</t>
  </si>
  <si>
    <t>amiE</t>
  </si>
  <si>
    <t>amidase hydrolyzing N-acetylmuramyl-L-Ala bondof MurNAc peptides</t>
  </si>
  <si>
    <t>0.17107 (0.07703)</t>
  </si>
  <si>
    <t>0.13503 (0.04301)</t>
  </si>
  <si>
    <t>0.01418 (0.00044)</t>
  </si>
  <si>
    <t>0.04186 (0.00171)</t>
  </si>
  <si>
    <t>0.00623 (0.00019)</t>
  </si>
  <si>
    <t>murP</t>
  </si>
  <si>
    <t>N-acetylmuramic acid PTS permease-MurP subunit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</si>
  <si>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</si>
  <si>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0.07168 (0.03045)</t>
  </si>
  <si>
    <t>0.06209 (0.07681)</t>
  </si>
  <si>
    <t>0.00982 (0.00038)</t>
  </si>
  <si>
    <t>0.03299 (0.00133)</t>
  </si>
  <si>
    <t>0.00191 (0.00013)</t>
  </si>
  <si>
    <t>murR</t>
  </si>
  <si>
    <t>transcriptional regulator MurR-N-acetylmuramicacid</t>
  </si>
  <si>
    <t>0.19090 (0.10046)</t>
  </si>
  <si>
    <t>0.04858 (0.03767)</t>
  </si>
  <si>
    <t>0.01245 (0.00052)</t>
  </si>
  <si>
    <t>0.03895 (0.00154)</t>
  </si>
  <si>
    <t>0.00462 (0.00032)</t>
  </si>
  <si>
    <t>murQ</t>
  </si>
  <si>
    <t>D-lactyl ether N-acetylmuramic-6-phosphate acidetherase</t>
  </si>
  <si>
    <t>0.16642 (0.06500)</t>
  </si>
  <si>
    <t>0.04786 (0.02528)</t>
  </si>
  <si>
    <t>0.01197 (0.00037)</t>
  </si>
  <si>
    <t>0.04115 (0.00133)</t>
  </si>
  <si>
    <t>0.00354 (0.00014)</t>
  </si>
  <si>
    <t>ybbJ</t>
  </si>
  <si>
    <t>putative acyltransferase</t>
  </si>
  <si>
    <t>0.16432 (0.05821)</t>
  </si>
  <si>
    <t>0.10097 (0.10177)</t>
  </si>
  <si>
    <t>0.01064 (0.00041)</t>
  </si>
  <si>
    <t>0.03312 (0.00164)</t>
  </si>
  <si>
    <t>0.00408 (0.00029)</t>
  </si>
  <si>
    <t>ybbK</t>
  </si>
  <si>
    <t>0.28332 (0.15452)</t>
  </si>
  <si>
    <t>0.06418 (0.07085)</t>
  </si>
  <si>
    <t>0.01281 (0.00068)</t>
  </si>
  <si>
    <t>0.03763 (0.00210)</t>
  </si>
  <si>
    <t>0.00520 (0.00038)</t>
  </si>
  <si>
    <t>sigW</t>
  </si>
  <si>
    <t>RNA polymerase ECF(extracytoplasmicfunction)-type sigma factor W</t>
  </si>
  <si>
    <t>0.07050 (0.13391)</t>
  </si>
  <si>
    <t>0.02903 (0.03117)</t>
  </si>
  <si>
    <t>0.02028 (0.00161)</t>
  </si>
  <si>
    <t>0.08893 (0.00778)</t>
  </si>
  <si>
    <t>0.00276 (0.00036)</t>
  </si>
  <si>
    <t>rsiW</t>
  </si>
  <si>
    <t>anti-sigma(W) factor</t>
  </si>
  <si>
    <t>0.07655 (0.07013)</t>
  </si>
  <si>
    <t>0.13557 (0.12964)</t>
  </si>
  <si>
    <t>0.02253 (0.00120)</t>
  </si>
  <si>
    <t>0.07777 (0.00410)</t>
  </si>
  <si>
    <t>0.00973 (0.00060)</t>
  </si>
  <si>
    <t>cdaA</t>
  </si>
  <si>
    <t>diadenylate cyclase</t>
  </si>
  <si>
    <t>0.01897 (0.02469)</t>
  </si>
  <si>
    <t>0.02164 (0.00108)</t>
  </si>
  <si>
    <t>0.09988 (0.00537)</t>
  </si>
  <si>
    <t>0.00052 (0.00006)</t>
  </si>
  <si>
    <t>glmM</t>
  </si>
  <si>
    <t>phosphoglucosamine mutase</t>
  </si>
  <si>
    <t>0.01705 (0.02095)</t>
  </si>
  <si>
    <t>0.01442 (0.01493)</t>
  </si>
  <si>
    <t>0.02421 (0.00168)</t>
  </si>
  <si>
    <t>0.10998 (0.00828)</t>
  </si>
  <si>
    <t>0.00183 (0.00008)</t>
  </si>
  <si>
    <t>glmS</t>
  </si>
  <si>
    <t>L-glutamine-D-fructose-6-phosphateamidotransferase</t>
  </si>
  <si>
    <t>0.01556 (0.01438)</t>
  </si>
  <si>
    <t>0.01373 (0.02092)</t>
  </si>
  <si>
    <t>0.02165 (0.00116)</t>
  </si>
  <si>
    <t>0.09305 (0.00511)</t>
  </si>
  <si>
    <t>0.00147 (0.00012)</t>
  </si>
  <si>
    <t>ybbU</t>
  </si>
  <si>
    <t>hypothetical proteinRHgene            complement(202547..203458)CDS             complement(202547..203458)PMID:7565865,8376346,16468998in the studied strain; PubMedId: 7565865, 8376346,16468998; Product type e: enzymeregion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</si>
  <si>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GCA_001697265.1_ASM169726v1_genomic , GCA_001703495.1_ASM170349v1_genomic , GCA_001720505.1_ASM172050v1_genomic , GCA_001890405.1_ASM189040v1_genomic , GCA_001902555.1_ASM190255v1_genomic , GCA_002055965.1_ASM205596v1_genomic , GCA_002072735.1_ASM207273v1_genomic , GCA_002096095.1_ASM209609v1_genomic</t>
  </si>
  <si>
    <t>1.64034 (2.74082)</t>
  </si>
  <si>
    <t>0.27167 (0.38420)</t>
  </si>
  <si>
    <t>0.02754 (0.00394)</t>
  </si>
  <si>
    <t>0.03458 (0.00702)</t>
  </si>
  <si>
    <t>0.02652 (0.00502)</t>
  </si>
  <si>
    <t>adaA</t>
  </si>
  <si>
    <t>methylphosphotriester-DNA alkyltransferase and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</si>
  <si>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GCA_001890405.1_ASM189040v1_genomic , GCA_001902555.1_ASM190255v1_genomic , GCA_002055965.1_ASM205596v1_genomic , GCA_002072735.1_ASM207273v1_genomic , GCA_002096095.1_ASM209609v1_genomic , GCA_002142595.1_ASM214259v1_genomic , GCA_002163815.1_ASM216381v1_genomic</t>
  </si>
  <si>
    <t>0.42373 (0.48895)</t>
  </si>
  <si>
    <t>0.22540 (0.07084)</t>
  </si>
  <si>
    <t>0.02002 (0.00145)</t>
  </si>
  <si>
    <t>0.04440 (0.00299)</t>
  </si>
  <si>
    <t>0.01440 (0.00132)</t>
  </si>
  <si>
    <t>adaB</t>
  </si>
  <si>
    <t>O6-methylguanine-DNA methyltransferase; prophage1 region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</si>
  <si>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GCA_001890405.1_ASM189040v1_genomic , GCA_001902555.1_ASM190255v1_genomic , GCA_002055965.1_ASM205596v1_genomic , GCA_002072735.1_ASM207273v1_genomic , GCA_002096095.1_ASM209609v1_genomic , GCA_002142595.1_ASM214259v1_genomic</t>
  </si>
  <si>
    <t>0.41094 (0.17139)</t>
  </si>
  <si>
    <t>0.30685 (0.23915)</t>
  </si>
  <si>
    <t>0.00807 (0.00073)</t>
  </si>
  <si>
    <t>0.01765 (0.00165)</t>
  </si>
  <si>
    <t>0.00522 (0.00052)</t>
  </si>
  <si>
    <t>ndhF</t>
  </si>
  <si>
    <t>putative NADH dehydrogenase; prophage 1 region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</si>
  <si>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</si>
  <si>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0.12746 (0.05704)</t>
  </si>
  <si>
    <t>0.17601 (0.04994)</t>
  </si>
  <si>
    <t>0.01696 (0.00051)</t>
  </si>
  <si>
    <t>0.04466 (0.00148)</t>
  </si>
  <si>
    <t>0.00850 (0.00030)</t>
  </si>
  <si>
    <t>ybcC</t>
  </si>
  <si>
    <t>conserved transmembrane protein coupled toNADH-ubiquinone oxidoreductase chain 5 homolog; prophage 1region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</si>
  <si>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</si>
  <si>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0.17126 (0.07407)</t>
  </si>
  <si>
    <t>0.13846 (0.03765)</t>
  </si>
  <si>
    <t>0.01378 (0.00044)</t>
  </si>
  <si>
    <t>0.04245 (0.00134)</t>
  </si>
  <si>
    <t>0.00603 (0.00027)</t>
  </si>
  <si>
    <t>ybcF</t>
  </si>
  <si>
    <t>putative enzyme; prophage 1 region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</si>
  <si>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</si>
  <si>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0.46624 (0.16241)</t>
  </si>
  <si>
    <t>0.61856 (0.33939)</t>
  </si>
  <si>
    <t>0.02090 (0.00086)</t>
  </si>
  <si>
    <t>0.03392 (0.00172)</t>
  </si>
  <si>
    <t>0.01787 (0.00081)</t>
  </si>
  <si>
    <t>ybcH</t>
  </si>
  <si>
    <t>conserved protein of unknown function; prophage1 region</t>
  </si>
  <si>
    <t>0.37015 (0.35866)</t>
  </si>
  <si>
    <t>0.24677 (0.24677)</t>
  </si>
  <si>
    <t>0.00926 (0.00068)</t>
  </si>
  <si>
    <t>0.02387 (0.00341)</t>
  </si>
  <si>
    <t>0.00581 (0.00060)</t>
  </si>
  <si>
    <t>ybcI</t>
  </si>
  <si>
    <t>conserved hypothetical protein; prophage 1region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</si>
  <si>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</si>
  <si>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0.06092 (0.15079)</t>
  </si>
  <si>
    <t>0.01915 (0.00206)</t>
  </si>
  <si>
    <t>0.07963 (0.00812)</t>
  </si>
  <si>
    <t>0.00388 (0.00078)</t>
  </si>
  <si>
    <t>ybzH</t>
  </si>
  <si>
    <t>putative transcriptional regulator (ArsRfamily); prophage 1 region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</si>
  <si>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GCA_002142595.1_ASM214259v1_genomic , GCA_002163815.1_ASM216381v1_genomic</t>
  </si>
  <si>
    <t>0.09298 (0.07678)</t>
  </si>
  <si>
    <t>0.02444 (0.00129)</t>
  </si>
  <si>
    <t>0.11195 (0.00631)</t>
  </si>
  <si>
    <t>0.00221 (0.00034)</t>
  </si>
  <si>
    <t>ybcL</t>
  </si>
  <si>
    <t>putative efflux transporter; prophage 1 region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</si>
  <si>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GCA_002142595.1_ASM214259v1_genomic</t>
  </si>
  <si>
    <t>0.13453 (0.05679)</t>
  </si>
  <si>
    <t>0.07434 (0.06856)</t>
  </si>
  <si>
    <t>0.02471 (0.00129)</t>
  </si>
  <si>
    <t>0.08317 (0.00461)</t>
  </si>
  <si>
    <t>0.00733 (0.00041)</t>
  </si>
  <si>
    <t>putative enzyme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</si>
  <si>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GCA_001697265.1_ASM169726v1_genomic , GCA_001703495.1_ASM170349v1_genomic , GCA_001720505.1_ASM172050v1_genomic , GCA_002055965.1_ASM205596v1_genomic</t>
  </si>
  <si>
    <t>skfC</t>
  </si>
  <si>
    <t>sporulation killing factor biosynthesis andexport</t>
  </si>
  <si>
    <t>0.00101 (0.00014)</t>
  </si>
  <si>
    <t>0.00130 (0.00018)</t>
  </si>
  <si>
    <t>inf</t>
  </si>
  <si>
    <t>ybdG</t>
  </si>
  <si>
    <t>putative hydrolase/transferase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</si>
  <si>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GCA_002142595.1_ASM214259v1_genomic</t>
  </si>
  <si>
    <t>0.09694 (0.05091)</t>
  </si>
  <si>
    <t>0.09396 (0.09126)</t>
  </si>
  <si>
    <t>0.01201 (0.00090)</t>
  </si>
  <si>
    <t>0.04161 (0.00306)</t>
  </si>
  <si>
    <t>0.00401 (0.00048)</t>
  </si>
  <si>
    <t>ybdJ</t>
  </si>
  <si>
    <t>two-component system response regulator [YbdK]</t>
  </si>
  <si>
    <t>0.10425 (0.05182)</t>
  </si>
  <si>
    <t>0.02436 (0.04669)</t>
  </si>
  <si>
    <t>0.01625 (0.00100)</t>
  </si>
  <si>
    <t>0.06344 (0.00386)</t>
  </si>
  <si>
    <t>0.00424 (0.00049)</t>
  </si>
  <si>
    <t>ybdK</t>
  </si>
  <si>
    <t>two-component system sensor histidine kinase[YbdJ]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</si>
  <si>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</si>
  <si>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0.35485 (0.20172)</t>
  </si>
  <si>
    <t>0.21962 (0.11671)</t>
  </si>
  <si>
    <t>0.01268 (0.00042)</t>
  </si>
  <si>
    <t>0.03000 (0.00112)</t>
  </si>
  <si>
    <t>0.00815 (0.00036)</t>
  </si>
  <si>
    <t>ybzI</t>
  </si>
  <si>
    <t>ref , GCA_000186745.1_ASM18674v1_genomic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GCA_002163815.1_ASM216381v1_genomic , GCA_002173615.1_ASM217361v1_genomic</t>
  </si>
  <si>
    <t>1.26961 (1.09240)</t>
  </si>
  <si>
    <t>0.01530 (0.00241)</t>
  </si>
  <si>
    <t>0.01099 (0.00255)</t>
  </si>
  <si>
    <t>0.01719 (0.00296)</t>
  </si>
  <si>
    <t>ybdM</t>
  </si>
  <si>
    <t>putative protein kinase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</si>
  <si>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</si>
  <si>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0.20901 (0.07078)</t>
  </si>
  <si>
    <t>0.10564 (0.03498)</t>
  </si>
  <si>
    <t>0.01613 (0.00052)</t>
  </si>
  <si>
    <t>0.04649 (0.00191)</t>
  </si>
  <si>
    <t>0.00798 (0.00033)</t>
  </si>
  <si>
    <t>ybdN</t>
  </si>
  <si>
    <t>putative phage protein; prophage region 1</t>
  </si>
  <si>
    <t>0.18879 (0.06121)</t>
  </si>
  <si>
    <t>0.02735 (0.03141)</t>
  </si>
  <si>
    <t>0.01545 (0.00076)</t>
  </si>
  <si>
    <t>0.05252 (0.00296)</t>
  </si>
  <si>
    <t>0.00481 (0.00025)</t>
  </si>
  <si>
    <t>ybdO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</si>
  <si>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</si>
  <si>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0.22530 (0.10156)</t>
  </si>
  <si>
    <t>0.15252 (0.04746)</t>
  </si>
  <si>
    <t>0.01795 (0.00075)</t>
  </si>
  <si>
    <t>0.05007 (0.00257)</t>
  </si>
  <si>
    <t>0.00929 (0.00036)</t>
  </si>
  <si>
    <t>ybxG</t>
  </si>
  <si>
    <t>putative amino acid permease</t>
  </si>
  <si>
    <t>0.04862 (0.01899)</t>
  </si>
  <si>
    <t>0.05235 (0.05608)</t>
  </si>
  <si>
    <t>0.03546 (0.00113)</t>
  </si>
  <si>
    <t>0.00148 (0.00008)</t>
  </si>
  <si>
    <t>csgA</t>
  </si>
  <si>
    <t>sporulation-specific SASP protein</t>
  </si>
  <si>
    <t>0.63615 (0.11413)</t>
  </si>
  <si>
    <t>0.18170 (0.06620)</t>
  </si>
  <si>
    <t>0.04289 (0.03449)</t>
  </si>
  <si>
    <t>0.02908 (0.00187)</t>
  </si>
  <si>
    <t>0.12682 (0.00990)</t>
  </si>
  <si>
    <t>0.00876 (0.00049)</t>
  </si>
  <si>
    <t>ybxH</t>
  </si>
  <si>
    <t>0.07034 (0.04930)</t>
  </si>
  <si>
    <t>0.09639 (0.08230)</t>
  </si>
  <si>
    <t>0.03145 (0.00261)</t>
  </si>
  <si>
    <t>0.12574 (0.01144)</t>
  </si>
  <si>
    <t>0.01148 (0.00122)</t>
  </si>
  <si>
    <t>ybxI</t>
  </si>
  <si>
    <t>exported beta-lactamase</t>
  </si>
  <si>
    <t>0.36040 (0.10944)</t>
  </si>
  <si>
    <t>0.10374 (0.04370)</t>
  </si>
  <si>
    <t>0.01546 (0.00050)</t>
  </si>
  <si>
    <t>0.04067 (0.00172)</t>
  </si>
  <si>
    <t>0.00873 (0.00027)</t>
  </si>
  <si>
    <t>cypC</t>
  </si>
  <si>
    <t>fatty acid beta-hydroxylating cytochrome P450</t>
  </si>
  <si>
    <t>0.14699 (0.04120)</t>
  </si>
  <si>
    <t>0.06074 (0.06731)</t>
  </si>
  <si>
    <t>0.01757 (0.00120)</t>
  </si>
  <si>
    <t>0.06133 (0.00500)</t>
  </si>
  <si>
    <t>0.00630 (0.00033)</t>
  </si>
  <si>
    <t>ybyB</t>
  </si>
  <si>
    <t>ref , GCA_000146565.1_ASM14656v1_genomic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</si>
  <si>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0.15712 (0.14941)</t>
  </si>
  <si>
    <t>0.02178 (0.00212)</t>
  </si>
  <si>
    <t>0.08302 (0.00733)</t>
  </si>
  <si>
    <t>0.00721 (0.00109)</t>
  </si>
  <si>
    <t>ybeC</t>
  </si>
  <si>
    <t>putative H+/amino acid transporter</t>
  </si>
  <si>
    <t>0.02575 (0.01744)</t>
  </si>
  <si>
    <t>0.01816 (0.01753)</t>
  </si>
  <si>
    <t>0.01279 (0.00041)</t>
  </si>
  <si>
    <t>0.05093 (0.00172)</t>
  </si>
  <si>
    <t>0.00106 (0.00006)</t>
  </si>
  <si>
    <t>glpQA</t>
  </si>
  <si>
    <t>secreted glycerophosphoryl diesterphosphodiesterase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</si>
  <si>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</si>
  <si>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0.24301 (0.07879)</t>
  </si>
  <si>
    <t>0.16273 (0.13665)</t>
  </si>
  <si>
    <t>0.01440 (0.00070)</t>
  </si>
  <si>
    <t>0.03945 (0.00216)</t>
  </si>
  <si>
    <t>0.00712 (0.00048)</t>
  </si>
  <si>
    <t>glpT</t>
  </si>
  <si>
    <t>sn-glycerol-3-phosphate permease</t>
  </si>
  <si>
    <t>0.39834 (0.10564)</t>
  </si>
  <si>
    <t>0.02703 (0.04278)</t>
  </si>
  <si>
    <t>0.01035 (0.00042)</t>
  </si>
  <si>
    <t>0.04349 (0.00190)</t>
  </si>
  <si>
    <t>0.00053 (0.00007)</t>
  </si>
  <si>
    <t>ybeF</t>
  </si>
  <si>
    <t>0.47264 (0.45797)</t>
  </si>
  <si>
    <t>0.00784 (0.00061)</t>
  </si>
  <si>
    <t>0.01825 (0.00323)</t>
  </si>
  <si>
    <t>0.00467 (0.00073)</t>
  </si>
  <si>
    <t>ybfA</t>
  </si>
  <si>
    <t>putative transcriptional regulator withacetyltransferase domain</t>
  </si>
  <si>
    <t>0.29768 (0.20212)</t>
  </si>
  <si>
    <t>0.08564 (0.05734)</t>
  </si>
  <si>
    <t>0.01580 (0.00076)</t>
  </si>
  <si>
    <t>0.04806 (0.00252)</t>
  </si>
  <si>
    <t>0.00747 (0.00045)</t>
  </si>
  <si>
    <t>ybfB</t>
  </si>
  <si>
    <t>putative carboxylate transporter</t>
  </si>
  <si>
    <t>0.13703 (0.10846)</t>
  </si>
  <si>
    <t>0.09967 (0.02455)</t>
  </si>
  <si>
    <t>0.01708 (0.00077)</t>
  </si>
  <si>
    <t>0.05096 (0.00251)</t>
  </si>
  <si>
    <t>0.00623 (0.00029)</t>
  </si>
  <si>
    <t>ybfF</t>
  </si>
  <si>
    <t>ref , GCA_000146565.1_ASM14656v1_genomic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GCA_002096095.1_ASM209609v1_genomic , GCA_002173615.1_ASM217361v1_genomic</t>
  </si>
  <si>
    <t>0.26273 (0.08222)</t>
  </si>
  <si>
    <t>0.26188 (0.00000)</t>
  </si>
  <si>
    <t>0.03201 (0.00428)</t>
  </si>
  <si>
    <t>0.07950 (0.01295)</t>
  </si>
  <si>
    <t>0.02084 (0.00259)</t>
  </si>
  <si>
    <t>ybfG</t>
  </si>
  <si>
    <t>putative pepdidoglycan binding protein</t>
  </si>
  <si>
    <t>ref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GCA_002173615.1_ASM217361v1_genomic</t>
  </si>
  <si>
    <t>0.06688 (0.05189)</t>
  </si>
  <si>
    <t>0.15918 (0.01476)</t>
  </si>
  <si>
    <t>0.00644 (0.00058)</t>
  </si>
  <si>
    <t>0.02127 (0.00191)</t>
  </si>
  <si>
    <t>0.00181 (0.00023)</t>
  </si>
  <si>
    <t>ybfH</t>
  </si>
  <si>
    <t>0.77083 (0.11251)</t>
  </si>
  <si>
    <t>0.13355 (0.07936)</t>
  </si>
  <si>
    <t>0.09298 (0.01561)</t>
  </si>
  <si>
    <t>0.02597 (0.00102)</t>
  </si>
  <si>
    <t>0.08425 (0.00373)</t>
  </si>
  <si>
    <t>0.00867 (0.00039)</t>
  </si>
  <si>
    <t>ybfI</t>
  </si>
  <si>
    <t>putative transcriptional regulator (AraC/XylSfamily, cupin family)</t>
  </si>
  <si>
    <t>0.05317 (0.03259)</t>
  </si>
  <si>
    <t>0.04832 (0.06481)</t>
  </si>
  <si>
    <t>0.01560 (0.00071)</t>
  </si>
  <si>
    <t>0.06433 (0.00297)</t>
  </si>
  <si>
    <t>0.00344 (0.00027)</t>
  </si>
  <si>
    <t>purT</t>
  </si>
  <si>
    <t>phosphoribosylglycinamide formyltransferase 2</t>
  </si>
  <si>
    <t>0.15672 (0.06232)</t>
  </si>
  <si>
    <t>0.04262 (0.03324)</t>
  </si>
  <si>
    <t>0.01465 (0.00055)</t>
  </si>
  <si>
    <t>0.04825 (0.00215)</t>
  </si>
  <si>
    <t>0.00481 (0.00019)</t>
  </si>
  <si>
    <t>mpr</t>
  </si>
  <si>
    <t>extracellular glutamyl-endopeptidase</t>
  </si>
  <si>
    <t>0.05013 (0.05548)</t>
  </si>
  <si>
    <t>0.09121 (0.10684)</t>
  </si>
  <si>
    <t>0.01242 (0.00039)</t>
  </si>
  <si>
    <t>0.04159 (0.00154)</t>
  </si>
  <si>
    <t>0.00323 (0.00024)</t>
  </si>
  <si>
    <t>ybfJ</t>
  </si>
  <si>
    <t>putative lipoprotein</t>
  </si>
  <si>
    <t>0.29063 (0.14956)</t>
  </si>
  <si>
    <t>0.14371 (0.10400)</t>
  </si>
  <si>
    <t>0.01130 (0.00066)</t>
  </si>
  <si>
    <t>0.02921 (0.00187)</t>
  </si>
  <si>
    <t>0.00631 (0.00048)</t>
  </si>
  <si>
    <t>cesB</t>
  </si>
  <si>
    <t>enantioselective carboxylesterase</t>
  </si>
  <si>
    <t>0.22716 (0.08805)</t>
  </si>
  <si>
    <t>0.59759 (0.48776)</t>
  </si>
  <si>
    <t>0.01308 (0.00066)</t>
  </si>
  <si>
    <t>0.02932 (0.00222)</t>
  </si>
  <si>
    <t>0.00850 (0.00040)</t>
  </si>
  <si>
    <t>pssA</t>
  </si>
  <si>
    <t>phosphatidylserine synthase</t>
  </si>
  <si>
    <t>0.06710 (0.07546)</t>
  </si>
  <si>
    <t>0.06068 (0.10855)</t>
  </si>
  <si>
    <t>0.00837 (0.00052)</t>
  </si>
  <si>
    <t>0.02839 (0.00178)</t>
  </si>
  <si>
    <t>0.00246 (0.00024)</t>
  </si>
  <si>
    <t>ybfM</t>
  </si>
  <si>
    <t>putative membrane phosphatase</t>
  </si>
  <si>
    <t>0.03662 (0.08830)</t>
  </si>
  <si>
    <t>0.01253 (0.00078)</t>
  </si>
  <si>
    <t>0.05228 (0.00350)</t>
  </si>
  <si>
    <t>0.00136 (0.00026)</t>
  </si>
  <si>
    <t>psd</t>
  </si>
  <si>
    <t>phosphatidylserine decarboxylase; 32 kDaprecursor processed into a 29 kDa protein</t>
  </si>
  <si>
    <t>0.05354 (0.04217)</t>
  </si>
  <si>
    <t>0.05927 (0.06866)</t>
  </si>
  <si>
    <t>0.01897 (0.00053)</t>
  </si>
  <si>
    <t>0.06770 (0.00202)</t>
  </si>
  <si>
    <t>0.00449 (0.00022)</t>
  </si>
  <si>
    <t>ybfN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</si>
  <si>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</si>
  <si>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0.17455 (0.09267)</t>
  </si>
  <si>
    <t>0.63848 (0.42830)</t>
  </si>
  <si>
    <t>0.02029 (0.00146)</t>
  </si>
  <si>
    <t>0.04663 (0.00494)</t>
  </si>
  <si>
    <t>0.01425 (0.00097)</t>
  </si>
  <si>
    <t>ybfO</t>
  </si>
  <si>
    <t>putative exported hydrolase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</si>
  <si>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</si>
  <si>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0.29080 (0.49616)</t>
  </si>
  <si>
    <t>0.08049 (0.02430)</t>
  </si>
  <si>
    <t>0.02960 (0.00114)</t>
  </si>
  <si>
    <t>0.09748 (0.00396)</t>
  </si>
  <si>
    <t>0.01280 (0.00061)</t>
  </si>
  <si>
    <t>ybfP</t>
  </si>
  <si>
    <t>putative transcriptional regulator (AraC/XylSfamily)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</si>
  <si>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GCA_001534785.1_ASM153478v1_genomic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</si>
  <si>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0.06606 (0.08463)</t>
  </si>
  <si>
    <t>0.01220 (0.00401)</t>
  </si>
  <si>
    <t>0.05052 (0.01617)</t>
  </si>
  <si>
    <t>0.00288 (0.00111)</t>
  </si>
  <si>
    <t>ybfQ</t>
  </si>
  <si>
    <t>putative enzyme with rhodanese domain</t>
  </si>
  <si>
    <t>0.06044 (0.06349)</t>
  </si>
  <si>
    <t>0.04232 (0.14616)</t>
  </si>
  <si>
    <t>0.01906 (0.00148)</t>
  </si>
  <si>
    <t>0.08216 (0.00668)</t>
  </si>
  <si>
    <t>0.00383 (0.00032)</t>
  </si>
  <si>
    <t>gltP</t>
  </si>
  <si>
    <t>proton/glutamate symport protein</t>
  </si>
  <si>
    <t>0.04809 (0.02981)</t>
  </si>
  <si>
    <t>0.00889 (0.00026)</t>
  </si>
  <si>
    <t>0.03516 (0.00116)</t>
  </si>
  <si>
    <t>0.00089 (0.00009)</t>
  </si>
  <si>
    <t>gamP</t>
  </si>
  <si>
    <t>phosphotransferase system (PTS)glucosamine-specific enzyme IICBA component</t>
  </si>
  <si>
    <t>0.12089 (0.03374)</t>
  </si>
  <si>
    <t>0.11018 (0.03902)</t>
  </si>
  <si>
    <t>0.01483 (0.00046)</t>
  </si>
  <si>
    <t>0.04634 (0.00159)</t>
  </si>
  <si>
    <t>0.00510 (0.00017)</t>
  </si>
  <si>
    <t>gamA</t>
  </si>
  <si>
    <t>glucosamine-6-phosphate deaminase</t>
  </si>
  <si>
    <t>0.32287 (0.12130)</t>
  </si>
  <si>
    <t>0.13432 (0.06914)</t>
  </si>
  <si>
    <t>0.02051 (0.00075)</t>
  </si>
  <si>
    <t>0.05550 (0.00228)</t>
  </si>
  <si>
    <t>0.01124 (0.00050)</t>
  </si>
  <si>
    <t>gamR</t>
  </si>
  <si>
    <t>transcriptional regulator-GlcN6P (GntR family)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</si>
  <si>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</si>
  <si>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0.34435 (0.09386)</t>
  </si>
  <si>
    <t>0.01400 (0.02715)</t>
  </si>
  <si>
    <t>0.00680 (0.02330)</t>
  </si>
  <si>
    <t>0.02216 (0.00144)</t>
  </si>
  <si>
    <t>0.10300 (0.00709)</t>
  </si>
  <si>
    <t>0.00085 (0.00009)</t>
  </si>
  <si>
    <t>ybgB</t>
  </si>
  <si>
    <t>conserved protein of unknown function (B.subtilis-specific)</t>
  </si>
  <si>
    <t>0.54438 (0.12045)</t>
  </si>
  <si>
    <t>0.50125 (0.96498)</t>
  </si>
  <si>
    <t>0.63182 (0.44676)</t>
  </si>
  <si>
    <t>0.01984 (0.00281)</t>
  </si>
  <si>
    <t>0.03136 (0.00799)</t>
  </si>
  <si>
    <t>0.01698 (0.00167)</t>
  </si>
  <si>
    <t>ilvE</t>
  </si>
  <si>
    <t>isoleucine-valine aminotransferase / aromaticamino acid aminotransferase</t>
  </si>
  <si>
    <t>0.08668 (0.04150)</t>
  </si>
  <si>
    <t>0.07931 (0.14352)</t>
  </si>
  <si>
    <t>0.02621 (0.00167)</t>
  </si>
  <si>
    <t>0.09126 (0.00569)</t>
  </si>
  <si>
    <t>0.00771 (0.00067)</t>
  </si>
  <si>
    <t>ybgF</t>
  </si>
  <si>
    <t>putative aminoacid permease</t>
  </si>
  <si>
    <t>0.11958 (0.03299)</t>
  </si>
  <si>
    <t>0.09891 (0.04613)</t>
  </si>
  <si>
    <t>0.01451 (0.00054)</t>
  </si>
  <si>
    <t>0.04425 (0.00189)</t>
  </si>
  <si>
    <t>0.00515 (0.00021)</t>
  </si>
  <si>
    <t>ybgG</t>
  </si>
  <si>
    <t>homocysteine methylase using (R,S)AdoMet</t>
  </si>
  <si>
    <t>0.07119 (0.03851)</t>
  </si>
  <si>
    <t>0.13705 (0.06413)</t>
  </si>
  <si>
    <t>0.01770 (0.00062)</t>
  </si>
  <si>
    <t>0.05578 (0.00193)</t>
  </si>
  <si>
    <t>0.00668 (0.00030)</t>
  </si>
  <si>
    <t>glnT</t>
  </si>
  <si>
    <t>glutamine transporter</t>
  </si>
  <si>
    <t>0.03955 (0.05016)</t>
  </si>
  <si>
    <t>0.09029 (0.05606)</t>
  </si>
  <si>
    <t>0.01853 (0.00132)</t>
  </si>
  <si>
    <t>0.06827 (0.00550)</t>
  </si>
  <si>
    <t>0.00394 (0.00025)</t>
  </si>
  <si>
    <t>glsA</t>
  </si>
  <si>
    <t>glutaminase</t>
  </si>
  <si>
    <t>0.68998 (0.12371)</t>
  </si>
  <si>
    <t>0.05388 (0.03704)</t>
  </si>
  <si>
    <t>0.02582 (0.03715)</t>
  </si>
  <si>
    <t>0.01154 (0.00042)</t>
  </si>
  <si>
    <t>0.04467 (0.00167)</t>
  </si>
  <si>
    <t>0.00207 (0.00016)</t>
  </si>
  <si>
    <t>glnJ</t>
  </si>
  <si>
    <t>two-component sensor histidine kinase [GlnL] forglutamine degradation</t>
  </si>
  <si>
    <t>0.11413 (0.04586)</t>
  </si>
  <si>
    <t>0.09029 (0.04962)</t>
  </si>
  <si>
    <t>0.00680 (0.00031)</t>
  </si>
  <si>
    <t>0.02197 (0.00124)</t>
  </si>
  <si>
    <t>0.00234 (0.00013)</t>
  </si>
  <si>
    <t>glnL</t>
  </si>
  <si>
    <t>two-component response regulator [GlnJ] forglutamine utilisation</t>
  </si>
  <si>
    <t>0.52960 (0.12213)</t>
  </si>
  <si>
    <t>0.09233 (0.14889)</t>
  </si>
  <si>
    <t>0.06999 (0.14647)</t>
  </si>
  <si>
    <t>0.01204 (0.00134)</t>
  </si>
  <si>
    <t>0.04427 (0.00538)</t>
  </si>
  <si>
    <t>0.00381 (0.00041)</t>
  </si>
  <si>
    <t>kdgD</t>
  </si>
  <si>
    <t>5-dehydro-4-deoxyglucarate dehydratase</t>
  </si>
  <si>
    <t>0.04811 (0.03978)</t>
  </si>
  <si>
    <t>0.07066 (0.17695)</t>
  </si>
  <si>
    <t>0.00796 (0.00050)</t>
  </si>
  <si>
    <t>0.02889 (0.00171)</t>
  </si>
  <si>
    <t>0.00173 (0.00020)</t>
  </si>
  <si>
    <t>gucD</t>
  </si>
  <si>
    <t>2,5-dioxovalerate dehydrogenase(alpha-ketoglutaric semialdehyde dehydrogenase)</t>
  </si>
  <si>
    <t>0.67769 (0.12708)</t>
  </si>
  <si>
    <t>0.10470 (0.03936)</t>
  </si>
  <si>
    <t>0.04291 (0.02235)</t>
  </si>
  <si>
    <t>0.01328 (0.00033)</t>
  </si>
  <si>
    <t>0.04734 (0.00129)</t>
  </si>
  <si>
    <t>0.00321 (0.00013)</t>
  </si>
  <si>
    <t>gudP</t>
  </si>
  <si>
    <t>glucarate transporter</t>
  </si>
  <si>
    <t>0.02141 (0.03782)</t>
  </si>
  <si>
    <t>0.04001 (0.02275)</t>
  </si>
  <si>
    <t>0.01173 (0.00043)</t>
  </si>
  <si>
    <t>0.04453 (0.00177)</t>
  </si>
  <si>
    <t>0.00131 (0.00010)</t>
  </si>
  <si>
    <t>gudD</t>
  </si>
  <si>
    <t>glucarate dehydratase</t>
  </si>
  <si>
    <t>0.14053 (0.05633)</t>
  </si>
  <si>
    <t>0.06179 (0.06814)</t>
  </si>
  <si>
    <t>0.01184 (0.00041)</t>
  </si>
  <si>
    <t>0.03870 (0.00133)</t>
  </si>
  <si>
    <t>0.00416 (0.00025)</t>
  </si>
  <si>
    <t>garR</t>
  </si>
  <si>
    <t>transcriptional regulator (GntR family)</t>
  </si>
  <si>
    <t>0.02727 (0.03627)</t>
  </si>
  <si>
    <t>0.02868 (0.06234)</t>
  </si>
  <si>
    <t>0.01098 (0.00053)</t>
  </si>
  <si>
    <t>0.04510 (0.00221)</t>
  </si>
  <si>
    <t>0.00157 (0.00012)</t>
  </si>
  <si>
    <t>garD</t>
  </si>
  <si>
    <t>D-galactarate dehydratase</t>
  </si>
  <si>
    <t>0.04880 (0.03003)</t>
  </si>
  <si>
    <t>0.05135 (0.03111)</t>
  </si>
  <si>
    <t>0.01557 (0.00043)</t>
  </si>
  <si>
    <t>0.05639 (0.00172)</t>
  </si>
  <si>
    <t>0.00305 (0.00016)</t>
  </si>
  <si>
    <t>ycbJ</t>
  </si>
  <si>
    <t>putative phosphotransferase</t>
  </si>
  <si>
    <t>0.15873 (0.07589)</t>
  </si>
  <si>
    <t>0.12071 (0.02755)</t>
  </si>
  <si>
    <t>0.02776 (0.00126)</t>
  </si>
  <si>
    <t>0.09326 (0.00484)</t>
  </si>
  <si>
    <t>0.01078 (0.00045)</t>
  </si>
  <si>
    <t>rtpA</t>
  </si>
  <si>
    <t>anti-TRAP regulator</t>
  </si>
  <si>
    <t>0.83743 (0.10218)</t>
  </si>
  <si>
    <t>0.58888 (0.84998)</t>
  </si>
  <si>
    <t>0.01132 (0.00149)</t>
  </si>
  <si>
    <t>0.02810 (0.00494)</t>
  </si>
  <si>
    <t>0.00658 (0.00156)</t>
  </si>
  <si>
    <t>ycbK</t>
  </si>
  <si>
    <t>putative tryptophan or indole exporter</t>
  </si>
  <si>
    <t>0.33197 (0.14938)</t>
  </si>
  <si>
    <t>0.19917 (0.06278)</t>
  </si>
  <si>
    <t>0.01377 (0.00054)</t>
  </si>
  <si>
    <t>0.03075 (0.00122)</t>
  </si>
  <si>
    <t>0.00839 (0.00041)</t>
  </si>
  <si>
    <t>ycbL</t>
  </si>
  <si>
    <t>two-component response regulator [YcbM]</t>
  </si>
  <si>
    <t>0.08779 (0.04588)</t>
  </si>
  <si>
    <t>0.10409 (0.03345)</t>
  </si>
  <si>
    <t>0.01679 (0.00077)</t>
  </si>
  <si>
    <t>0.05733 (0.00285)</t>
  </si>
  <si>
    <t>0.00583 (0.00036)</t>
  </si>
  <si>
    <t>ycbM</t>
  </si>
  <si>
    <t>two-component sensor histidine kinase [YcbL]</t>
  </si>
  <si>
    <t>0.22258 (0.12817)</t>
  </si>
  <si>
    <t>0.12729 (0.04615)</t>
  </si>
  <si>
    <t>0.01864 (0.00063)</t>
  </si>
  <si>
    <t>0.05671 (0.00215)</t>
  </si>
  <si>
    <t>0.00820 (0.00033)</t>
  </si>
  <si>
    <t>ycbN</t>
  </si>
  <si>
    <t>putative ABC efflux transporter (ATP-bindingprotein)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</si>
  <si>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</si>
  <si>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0.14697 (0.15854)</t>
  </si>
  <si>
    <t>0.03979 (0.02339)</t>
  </si>
  <si>
    <t>0.02918 (0.00170)</t>
  </si>
  <si>
    <t>0.11091 (0.00706)</t>
  </si>
  <si>
    <t>0.00820 (0.00053)</t>
  </si>
  <si>
    <t>ycbO</t>
  </si>
  <si>
    <t>putative Na+-driven exporter</t>
  </si>
  <si>
    <t>0.67948 (0.37323)</t>
  </si>
  <si>
    <t>0.30545 (0.27746)</t>
  </si>
  <si>
    <t>0.00945 (0.00054)</t>
  </si>
  <si>
    <t>0.02041 (0.00170)</t>
  </si>
  <si>
    <t>0.00622 (0.00032)</t>
  </si>
  <si>
    <t>BSU_02585</t>
  </si>
  <si>
    <t>hypothetical proteingene            complement(281769..282155)CDS             complement(281769..282155)computational evidences; PubMedId: 15849754, 16850406,22582280; Product type m: membrane component</t>
  </si>
  <si>
    <t>0.75556 (0.10344)</t>
  </si>
  <si>
    <t>0.29834 (0.32681)</t>
  </si>
  <si>
    <t>0.02399 (0.00189)</t>
  </si>
  <si>
    <t>0.02241 (0.00352)</t>
  </si>
  <si>
    <t>0.02525 (0.00279)</t>
  </si>
  <si>
    <t>cwlJ</t>
  </si>
  <si>
    <t>spore cortex cell wall hydrolase</t>
  </si>
  <si>
    <t>0.06514 (0.05027)</t>
  </si>
  <si>
    <t>0.05114 (0.11490)</t>
  </si>
  <si>
    <t>0.02827 (0.00197)</t>
  </si>
  <si>
    <t>0.11323 (0.00843)</t>
  </si>
  <si>
    <t>0.00606 (0.00063)</t>
  </si>
  <si>
    <t>ycbR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</si>
  <si>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</si>
  <si>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0.44141 (0.10495)</t>
  </si>
  <si>
    <t>0.46624 (0.11915)</t>
  </si>
  <si>
    <t>0.84001 (1.40002)</t>
  </si>
  <si>
    <t>0.00718 (0.00033)</t>
  </si>
  <si>
    <t>0.01216 (0.00075)</t>
  </si>
  <si>
    <t>0.00584 (0.00030)</t>
  </si>
  <si>
    <t>yczK</t>
  </si>
  <si>
    <t>0.41789 (0.27859)</t>
  </si>
  <si>
    <t>0.55718 (0.80422)</t>
  </si>
  <si>
    <t>0.01498 (0.00124)</t>
  </si>
  <si>
    <t>0.02785 (0.00401)</t>
  </si>
  <si>
    <t>0.01169 (0.00116)</t>
  </si>
  <si>
    <t>phoD</t>
  </si>
  <si>
    <t>secreted phosphodiesterase (endo-hydrolysis atnon-specific sites throughout the cell wall teichoic acidpolymer)</t>
  </si>
  <si>
    <t>0.41828 (0.12814)</t>
  </si>
  <si>
    <t>0.04046 (0.02228)</t>
  </si>
  <si>
    <t>0.02176 (0.01466)</t>
  </si>
  <si>
    <t>0.01067 (0.00025)</t>
  </si>
  <si>
    <t>0.04291 (0.00113)</t>
  </si>
  <si>
    <t>0.00152 (0.00008)</t>
  </si>
  <si>
    <t>tatAD</t>
  </si>
  <si>
    <t>component of the twin-arginine pre-proteintranslocation pathway</t>
  </si>
  <si>
    <t>0.01880 (0.00123)</t>
  </si>
  <si>
    <t>0.08086 (0.00574)</t>
  </si>
  <si>
    <t>0.00016 (0.00011)</t>
  </si>
  <si>
    <t>tatCD</t>
  </si>
  <si>
    <t>0.16028 (0.13706)</t>
  </si>
  <si>
    <t>0.05339 (0.03862)</t>
  </si>
  <si>
    <t>0.01211 (0.00038)</t>
  </si>
  <si>
    <t>0.04088 (0.00139)</t>
  </si>
  <si>
    <t>0.00323 (0.00020)</t>
  </si>
  <si>
    <t>pcp</t>
  </si>
  <si>
    <t>pyrrolidone-carboxylate (pyroglutamate)peptidase</t>
  </si>
  <si>
    <t>0.13903 (0.06989)</t>
  </si>
  <si>
    <t>0.12826 (0.04726)</t>
  </si>
  <si>
    <t>0.01891 (0.00058)</t>
  </si>
  <si>
    <t>0.05698 (0.00195)</t>
  </si>
  <si>
    <t>0.00767 (0.00034)</t>
  </si>
  <si>
    <t>ycbU</t>
  </si>
  <si>
    <t>putative lyase (PLP-dependent)</t>
  </si>
  <si>
    <t>0.25044 (0.09681)</t>
  </si>
  <si>
    <t>0.29248 (0.10368)</t>
  </si>
  <si>
    <t>0.02007 (0.00056)</t>
  </si>
  <si>
    <t>0.04486 (0.00145)</t>
  </si>
  <si>
    <t>0.01275 (0.00042)</t>
  </si>
  <si>
    <t>lmrB</t>
  </si>
  <si>
    <t>flavonoid efflux transporter; drug-exportprotein</t>
  </si>
  <si>
    <t>0.01475 (0.01589)</t>
  </si>
  <si>
    <t>0.03034 (0.03242)</t>
  </si>
  <si>
    <t>0.01412 (0.00048)</t>
  </si>
  <si>
    <t>0.05290 (0.00172)</t>
  </si>
  <si>
    <t>0.00202 (0.00014)</t>
  </si>
  <si>
    <t>lmrA</t>
  </si>
  <si>
    <t>transcriptional repressor of lmrAB and yxaGHoperons (flavonoid and antibiotic resistance)</t>
  </si>
  <si>
    <t>0.14052 (0.09658)</t>
  </si>
  <si>
    <t>0.14897 (0.12891)</t>
  </si>
  <si>
    <t>0.01300 (0.00071)</t>
  </si>
  <si>
    <t>0.04155 (0.00278)</t>
  </si>
  <si>
    <t>0.00493 (0.00037)</t>
  </si>
  <si>
    <t>ansZ</t>
  </si>
  <si>
    <t>L-asparaginase 2 (putative lipoprotein)</t>
  </si>
  <si>
    <t>0.20353 (0.13056)</t>
  </si>
  <si>
    <t>0.07272 (0.02760)</t>
  </si>
  <si>
    <t>0.01189 (0.00046)</t>
  </si>
  <si>
    <t>0.03651 (0.00157)</t>
  </si>
  <si>
    <t>0.00431 (0.00020)</t>
  </si>
  <si>
    <t>estA</t>
  </si>
  <si>
    <t>secreted alkaliphilic lipase</t>
  </si>
  <si>
    <t>0.07143 (0.03397)</t>
  </si>
  <si>
    <t>0.07801 (0.18962)</t>
  </si>
  <si>
    <t>0.01563 (0.00093)</t>
  </si>
  <si>
    <t>0.05252 (0.00286)</t>
  </si>
  <si>
    <t>0.00475 (0.00046)</t>
  </si>
  <si>
    <t>yczC</t>
  </si>
  <si>
    <t>putative integral membrane protein of unknownfunction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</si>
  <si>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</si>
  <si>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0.15042 (0.14931)</t>
  </si>
  <si>
    <t>0.13207 (0.16828)</t>
  </si>
  <si>
    <t>0.03054 (0.00243)</t>
  </si>
  <si>
    <t>0.09401 (0.00763)</t>
  </si>
  <si>
    <t>0.01164 (0.00104)</t>
  </si>
  <si>
    <t>yccF</t>
  </si>
  <si>
    <t>0.09645 (0.03657)</t>
  </si>
  <si>
    <t>0.01194 (0.03927)</t>
  </si>
  <si>
    <t>0.01052 (0.00034)</t>
  </si>
  <si>
    <t>0.04203 (0.00157)</t>
  </si>
  <si>
    <t>0.00218 (0.00011)</t>
  </si>
  <si>
    <t>natK</t>
  </si>
  <si>
    <t>two-component sensor histidine kinase [NatR]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</si>
  <si>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</si>
  <si>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0.25223 (0.06893)</t>
  </si>
  <si>
    <t>0.46107 (0.18078)</t>
  </si>
  <si>
    <t>0.02127 (0.00064)</t>
  </si>
  <si>
    <t>0.04332 (0.00136)</t>
  </si>
  <si>
    <t>0.01505 (0.00052)</t>
  </si>
  <si>
    <t>natR</t>
  </si>
  <si>
    <t>two-component response regulator [NatK]</t>
  </si>
  <si>
    <t>ref , GCA_000209795.2_ASM20979v2_genomic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</si>
  <si>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0.05850 (0.11528)</t>
  </si>
  <si>
    <t>0.00782 (0.00070)</t>
  </si>
  <si>
    <t>0.03085 (0.00317)</t>
  </si>
  <si>
    <t>0.00124 (0.00037)</t>
  </si>
  <si>
    <t>natA</t>
  </si>
  <si>
    <t>Na+ ABC efflux transporter (ATP-bindingprotein)</t>
  </si>
  <si>
    <t>0.06244 (0.03189)</t>
  </si>
  <si>
    <t>0.05227 (0.10966)</t>
  </si>
  <si>
    <t>0.02203 (0.00155)</t>
  </si>
  <si>
    <t>0.08585 (0.00655)</t>
  </si>
  <si>
    <t>0.00585 (0.00049)</t>
  </si>
  <si>
    <t>natB</t>
  </si>
  <si>
    <t>Na+ ABC efflux transporter (permease)</t>
  </si>
  <si>
    <t>0.13702 (0.06937)</t>
  </si>
  <si>
    <t>0.12123 (0.29871)</t>
  </si>
  <si>
    <t>0.01943 (0.00122)</t>
  </si>
  <si>
    <t>0.06333 (0.00455)</t>
  </si>
  <si>
    <t>0.00770 (0.00042)</t>
  </si>
  <si>
    <t>yccK</t>
  </si>
  <si>
    <t>putative ion channel associated aldo-ketoreductase</t>
  </si>
  <si>
    <t>0.13521 (0.25897)</t>
  </si>
  <si>
    <t>0.10832 (0.05621)</t>
  </si>
  <si>
    <t>0.01697 (0.00142)</t>
  </si>
  <si>
    <t>0.05432 (0.00488)</t>
  </si>
  <si>
    <t>0.00694 (0.00060)</t>
  </si>
  <si>
    <t>ycdA</t>
  </si>
  <si>
    <t>lipoprotein involved in swarming behaviour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</si>
  <si>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</si>
  <si>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0.05302 (0.09511)</t>
  </si>
  <si>
    <t>0.01310 (0.00155)</t>
  </si>
  <si>
    <t>0.05536 (0.00675)</t>
  </si>
  <si>
    <t>0.00223 (0.00034)</t>
  </si>
  <si>
    <t>BSU_02785</t>
  </si>
  <si>
    <t>hypothetical proteingene            300830..302248CDS             300830..302248organisms</t>
  </si>
  <si>
    <t>0.05369 (0.09604)</t>
  </si>
  <si>
    <t>0.02245 (0.00172)</t>
  </si>
  <si>
    <t>0.05690 (0.00520)</t>
  </si>
  <si>
    <t>0.01408 (0.00137)</t>
  </si>
  <si>
    <t>ycdC</t>
  </si>
  <si>
    <t>0.29114 (0.08246)</t>
  </si>
  <si>
    <t>0.18283 (0.07854)</t>
  </si>
  <si>
    <t>0.01404 (0.00037)</t>
  </si>
  <si>
    <t>0.03580 (0.00104)</t>
  </si>
  <si>
    <t>0.00818 (0.00025)</t>
  </si>
  <si>
    <t>cwlK</t>
  </si>
  <si>
    <t>murein L,D:-endopeptidase</t>
  </si>
  <si>
    <t>0.26810 (0.09442)</t>
  </si>
  <si>
    <t>0.26832 (0.21060)</t>
  </si>
  <si>
    <t>0.01136 (0.00043)</t>
  </si>
  <si>
    <t>0.02758 (0.00126)</t>
  </si>
  <si>
    <t>0.00719 (0.00038)</t>
  </si>
  <si>
    <t>rapJ</t>
  </si>
  <si>
    <t>response regulator aspartate phosphatase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</si>
  <si>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</si>
  <si>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0.09582 (0.08465)</t>
  </si>
  <si>
    <t>0.02573 (0.03703)</t>
  </si>
  <si>
    <t>0.01019 (0.00052)</t>
  </si>
  <si>
    <t>0.03956 (0.00190)</t>
  </si>
  <si>
    <t>0.00256 (0.00021)</t>
  </si>
  <si>
    <t>ycdF</t>
  </si>
  <si>
    <t>putative oxidoreductase</t>
  </si>
  <si>
    <t>0.12226 (0.10024)</t>
  </si>
  <si>
    <t>0.03259 (0.04368)</t>
  </si>
  <si>
    <t>0.01208 (0.00047)</t>
  </si>
  <si>
    <t>0.04393 (0.00173)</t>
  </si>
  <si>
    <t>0.00312 (0.00024)</t>
  </si>
  <si>
    <t>ycdG</t>
  </si>
  <si>
    <t>putative oligo-carbohydrate hydrolase</t>
  </si>
  <si>
    <t>0.18090 (0.07396)</t>
  </si>
  <si>
    <t>0.22116 (0.05111)</t>
  </si>
  <si>
    <t>0.01239 (0.00039)</t>
  </si>
  <si>
    <t>0.03531 (0.00163)</t>
  </si>
  <si>
    <t>0.00658 (0.00019)</t>
  </si>
  <si>
    <t>znuA</t>
  </si>
  <si>
    <t>Zn(II)-binding lipoprotein</t>
  </si>
  <si>
    <t>0.05439 (0.03263)</t>
  </si>
  <si>
    <t>0.01597 (0.03826)</t>
  </si>
  <si>
    <t>0.00799 (0.00026)</t>
  </si>
  <si>
    <t>0.03197 (0.00117)</t>
  </si>
  <si>
    <t>0.00163 (0.00012)</t>
  </si>
  <si>
    <t>znuC</t>
  </si>
  <si>
    <t>Zn(II) transporter (ATP-binding protein)</t>
  </si>
  <si>
    <t>0.01118 (0.02611)</t>
  </si>
  <si>
    <t>0.01317 (0.00179)</t>
  </si>
  <si>
    <t>0.06515 (0.00957)</t>
  </si>
  <si>
    <t>0.00057 (0.00010)</t>
  </si>
  <si>
    <t>znuB</t>
  </si>
  <si>
    <t>high affinity Zn(II) ABC transporter (permease)</t>
  </si>
  <si>
    <t>0.03296 (0.04430)</t>
  </si>
  <si>
    <t>0.04328 (0.08848)</t>
  </si>
  <si>
    <t>0.00849 (0.00047)</t>
  </si>
  <si>
    <t>0.03083 (0.00164)</t>
  </si>
  <si>
    <t>0.00096 (0.00011)</t>
  </si>
  <si>
    <t>yceB</t>
  </si>
  <si>
    <t>putative luciferase-like monooxygenase</t>
  </si>
  <si>
    <t>0.15791 (0.06638)</t>
  </si>
  <si>
    <t>0.14635 (0.04294)</t>
  </si>
  <si>
    <t>0.01642 (0.00049)</t>
  </si>
  <si>
    <t>0.04739 (0.00156)</t>
  </si>
  <si>
    <t>0.00711 (0.00028)</t>
  </si>
  <si>
    <t>yceC</t>
  </si>
  <si>
    <t>putative stress adaptation protein (telluriteresistance)</t>
  </si>
  <si>
    <t>0.08133 (0.03403)</t>
  </si>
  <si>
    <t>0.12224 (0.09197)</t>
  </si>
  <si>
    <t>0.01174 (0.00058)</t>
  </si>
  <si>
    <t>0.04054 (0.00232)</t>
  </si>
  <si>
    <t>0.00385 (0.00022)</t>
  </si>
  <si>
    <t>yceD</t>
  </si>
  <si>
    <t>0.02308 (0.05413)</t>
  </si>
  <si>
    <t>0.00827 (0.00056)</t>
  </si>
  <si>
    <t>0.03522 (0.00237)</t>
  </si>
  <si>
    <t>0.00041 (0.00012)</t>
  </si>
  <si>
    <t>yceE</t>
  </si>
  <si>
    <t>0.03144 (0.04974)</t>
  </si>
  <si>
    <t>0.02580 (0.04132)</t>
  </si>
  <si>
    <t>0.02189 (0.00135)</t>
  </si>
  <si>
    <t>0.09859 (0.00661)</t>
  </si>
  <si>
    <t>0.00223 (0.00025)</t>
  </si>
  <si>
    <t>yceF</t>
  </si>
  <si>
    <t>putative stress adaptation transporter(tellurite resistance)</t>
  </si>
  <si>
    <t>0.04922 (0.16996)</t>
  </si>
  <si>
    <t>0.01942 (0.00159)</t>
  </si>
  <si>
    <t>0.08184 (0.00664)</t>
  </si>
  <si>
    <t>0.00325 (0.00041)</t>
  </si>
  <si>
    <t>yceG</t>
  </si>
  <si>
    <t>putative toxic compound adaptation protein(tellurite resistance)</t>
  </si>
  <si>
    <t>0.07461 (0.01750)</t>
  </si>
  <si>
    <t>0.10534 (0.03900)</t>
  </si>
  <si>
    <t>0.01059 (0.00027)</t>
  </si>
  <si>
    <t>0.03802 (0.00110)</t>
  </si>
  <si>
    <t>0.00305 (0.00012)</t>
  </si>
  <si>
    <t>yceH</t>
  </si>
  <si>
    <t>putative reactive oxygen species resistanceprotein</t>
  </si>
  <si>
    <t>0.03063 (0.02119)</t>
  </si>
  <si>
    <t>0.01195 (0.03012)</t>
  </si>
  <si>
    <t>0.02188 (0.00146)</t>
  </si>
  <si>
    <t>0.10948 (0.00777)</t>
  </si>
  <si>
    <t>0.00185 (0.00016)</t>
  </si>
  <si>
    <t>niaP</t>
  </si>
  <si>
    <t>niacin permease</t>
  </si>
  <si>
    <t>0.06936 (0.03459)</t>
  </si>
  <si>
    <t>0.02299 (0.03029)</t>
  </si>
  <si>
    <t>0.01235 (0.00043)</t>
  </si>
  <si>
    <t>0.04377 (0.00164)</t>
  </si>
  <si>
    <t>0.00226 (0.00015)</t>
  </si>
  <si>
    <t>yceJ</t>
  </si>
  <si>
    <t>putative carbohydrate transporter (possiblyexporter)</t>
  </si>
  <si>
    <t>0.33412 (0.20974)</t>
  </si>
  <si>
    <t>0.26524 (0.13776)</t>
  </si>
  <si>
    <t>0.01363 (0.00044)</t>
  </si>
  <si>
    <t>0.02922 (0.00111)</t>
  </si>
  <si>
    <t>0.00867 (0.00029)</t>
  </si>
  <si>
    <t>yceK</t>
  </si>
  <si>
    <t>putative transcriptional regulator (ArsRfamily)</t>
  </si>
  <si>
    <t>0.19198 (0.11452)</t>
  </si>
  <si>
    <t>0.10053 (0.12748)</t>
  </si>
  <si>
    <t>0.02387 (0.00210)</t>
  </si>
  <si>
    <t>0.08014 (0.00720)</t>
  </si>
  <si>
    <t>0.00846 (0.00085)</t>
  </si>
  <si>
    <t>opuAA</t>
  </si>
  <si>
    <t>L-proline betaine and betonicine ABC transporter(ATP-binding protein)</t>
  </si>
  <si>
    <t>0.41598 (0.10150)</t>
  </si>
  <si>
    <t>0.03318 (0.02433)</t>
  </si>
  <si>
    <t>0.04690 (0.04675)</t>
  </si>
  <si>
    <t>0.02130 (0.00120)</t>
  </si>
  <si>
    <t>0.08802 (0.00543)</t>
  </si>
  <si>
    <t>0.00393 (0.00020)</t>
  </si>
  <si>
    <t>opuAB</t>
  </si>
  <si>
    <t>L-proline betaine and betonicine ABC transporter(permease)</t>
  </si>
  <si>
    <t>0.02460 (0.03241)</t>
  </si>
  <si>
    <t>0.01314 (0.02106)</t>
  </si>
  <si>
    <t>0.02150 (0.00083)</t>
  </si>
  <si>
    <t>0.08651 (0.00343)</t>
  </si>
  <si>
    <t>0.00179 (0.00014)</t>
  </si>
  <si>
    <t>opuAC</t>
  </si>
  <si>
    <t>L-proline betaine and betonicine ABC transporterABC transporter (glycine betaine-binding lipoprotein)</t>
  </si>
  <si>
    <t>0.04937 (0.03575)</t>
  </si>
  <si>
    <t>0.04256 (0.06649)</t>
  </si>
  <si>
    <t>0.01082 (0.00043)</t>
  </si>
  <si>
    <t>0.04311 (0.00179)</t>
  </si>
  <si>
    <t>0.00197 (0.00014)</t>
  </si>
  <si>
    <t>amhX</t>
  </si>
  <si>
    <t>putative amidohydrolase</t>
  </si>
  <si>
    <t>0.07038 (0.04561)</t>
  </si>
  <si>
    <t>0.13376 (0.05644)</t>
  </si>
  <si>
    <t>0.01763 (0.00080)</t>
  </si>
  <si>
    <t>0.05785 (0.00261)</t>
  </si>
  <si>
    <t>0.00659 (0.00037)</t>
  </si>
  <si>
    <t>ycgA</t>
  </si>
  <si>
    <t>putative branched chain amino acid permease</t>
  </si>
  <si>
    <t>0.10605 (0.07617)</t>
  </si>
  <si>
    <t>0.05227 (0.02420)</t>
  </si>
  <si>
    <t>0.01140 (0.00048)</t>
  </si>
  <si>
    <t>0.03964 (0.00167)</t>
  </si>
  <si>
    <t>0.00233 (0.00016)</t>
  </si>
  <si>
    <t>putative integral inner membrane protein ofunknown function</t>
  </si>
  <si>
    <t>amyE</t>
  </si>
  <si>
    <t>alpha-amylase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</si>
  <si>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</si>
  <si>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0.15384 (0.06683)</t>
  </si>
  <si>
    <t>0.06324 (0.02216)</t>
  </si>
  <si>
    <t>0.02006 (0.00097)</t>
  </si>
  <si>
    <t>0.06728 (0.00333)</t>
  </si>
  <si>
    <t>0.00712 (0.00038)</t>
  </si>
  <si>
    <t>lctE</t>
  </si>
  <si>
    <t>L-lactate dehydrogenase</t>
  </si>
  <si>
    <t>0.44114 (0.10957)</t>
  </si>
  <si>
    <t>0.08029 (0.05009)</t>
  </si>
  <si>
    <t>0.02312 (0.04918)</t>
  </si>
  <si>
    <t>0.01610 (0.00124)</t>
  </si>
  <si>
    <t>0.06908 (0.00610)</t>
  </si>
  <si>
    <t>0.00255 (0.00015)</t>
  </si>
  <si>
    <t>lctP</t>
  </si>
  <si>
    <t>L-lactate permease</t>
  </si>
  <si>
    <t>0.10793 (0.03755)</t>
  </si>
  <si>
    <t>0.06759 (0.02637)</t>
  </si>
  <si>
    <t>0.01412 (0.00040)</t>
  </si>
  <si>
    <t>0.04583 (0.00153)</t>
  </si>
  <si>
    <t>0.00413 (0.00014)</t>
  </si>
  <si>
    <t>mdr</t>
  </si>
  <si>
    <t>multidrug-efflux transporter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</si>
  <si>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 , GCA_002163815.1_ASM216381v1_genomic</t>
  </si>
  <si>
    <t>0.05839 (0.02938)</t>
  </si>
  <si>
    <t>0.05299 (0.06053)</t>
  </si>
  <si>
    <t>0.02418 (0.00155)</t>
  </si>
  <si>
    <t>0.09426 (0.00651)</t>
  </si>
  <si>
    <t>0.00512 (0.00034)</t>
  </si>
  <si>
    <t>ycgE</t>
  </si>
  <si>
    <t>0.50617 (0.11717)</t>
  </si>
  <si>
    <t>0.03689 (0.05001)</t>
  </si>
  <si>
    <t>0.01181 (0.00067)</t>
  </si>
  <si>
    <t>0.04747 (0.00264)</t>
  </si>
  <si>
    <t>0.00104 (0.00020)</t>
  </si>
  <si>
    <t>ycgF</t>
  </si>
  <si>
    <t>putative aminoacid export permease</t>
  </si>
  <si>
    <t>0.02235 (0.05438)</t>
  </si>
  <si>
    <t>0.00865 (0.00055)</t>
  </si>
  <si>
    <t>0.03563 (0.00217)</t>
  </si>
  <si>
    <t>0.00042 (0.00012)</t>
  </si>
  <si>
    <t>ycgG</t>
  </si>
  <si>
    <t>conserved protein of unknown function (similarto phage protein)</t>
  </si>
  <si>
    <t>0.11460 (0.08241)</t>
  </si>
  <si>
    <t>0.13958 (0.14493)</t>
  </si>
  <si>
    <t>0.01831 (0.00175)</t>
  </si>
  <si>
    <t>0.05720 (0.00556)</t>
  </si>
  <si>
    <t>0.00855 (0.00088)</t>
  </si>
  <si>
    <t>ycgH</t>
  </si>
  <si>
    <t>putative amino acid transporter</t>
  </si>
  <si>
    <t>0.09940 (0.07786)</t>
  </si>
  <si>
    <t>0.04875 (0.03661)</t>
  </si>
  <si>
    <t>0.01317 (0.00046)</t>
  </si>
  <si>
    <t>0.04478 (0.00170)</t>
  </si>
  <si>
    <t>0.00342 (0.00021)</t>
  </si>
  <si>
    <t>ycgI</t>
  </si>
  <si>
    <t>xenotiotic metabolite methyltransferase</t>
  </si>
  <si>
    <t>0.03778 (0.05236)</t>
  </si>
  <si>
    <t>0.07151 (0.10726)</t>
  </si>
  <si>
    <t>0.00663 (0.00032)</t>
  </si>
  <si>
    <t>0.02594 (0.00145)</t>
  </si>
  <si>
    <t>0.00125 (0.00018)</t>
  </si>
  <si>
    <t>nadE</t>
  </si>
  <si>
    <t>ammonium-dependent NAD+ synthetase</t>
  </si>
  <si>
    <t>0.54667 (0.11303)</t>
  </si>
  <si>
    <t>0.08435 (0.05864)</t>
  </si>
  <si>
    <t>0.02405 (0.06516)</t>
  </si>
  <si>
    <t>0.00815 (0.00032)</t>
  </si>
  <si>
    <t>0.03195 (0.00145)</t>
  </si>
  <si>
    <t>0.00148 (0.00013)</t>
  </si>
  <si>
    <t>tmrB</t>
  </si>
  <si>
    <t>ATP-binding tunicamycin resistance protein</t>
  </si>
  <si>
    <t>0.19886 (0.09828)</t>
  </si>
  <si>
    <t>0.17210 (0.12706)</t>
  </si>
  <si>
    <t>0.01706 (0.00062)</t>
  </si>
  <si>
    <t>0.04775 (0.00221)</t>
  </si>
  <si>
    <t>0.00854 (0.00034)</t>
  </si>
  <si>
    <t>aroK</t>
  </si>
  <si>
    <t>shikimate kinase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</si>
  <si>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</si>
  <si>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0.03440 (0.03926)</t>
  </si>
  <si>
    <t>0.08109 (0.10907)</t>
  </si>
  <si>
    <t>0.01887 (0.00154)</t>
  </si>
  <si>
    <t>0.08119 (0.00728)</t>
  </si>
  <si>
    <t>0.00527 (0.00038)</t>
  </si>
  <si>
    <t>ycgJ</t>
  </si>
  <si>
    <t>0.20556 (0.15448)</t>
  </si>
  <si>
    <t>0.16877 (0.02885)</t>
  </si>
  <si>
    <t>0.02262 (0.00109)</t>
  </si>
  <si>
    <t>0.06218 (0.00364)</t>
  </si>
  <si>
    <t>0.01239 (0.00057)</t>
  </si>
  <si>
    <t>ycgK</t>
  </si>
  <si>
    <t>putative transcriptional regulator (LysRfamily)</t>
  </si>
  <si>
    <t>0.22821 (0.03590)</t>
  </si>
  <si>
    <t>0.17162 (0.10399)</t>
  </si>
  <si>
    <t>0.01893 (0.00051)</t>
  </si>
  <si>
    <t>0.05074 (0.00143)</t>
  </si>
  <si>
    <t>0.00989 (0.00035)</t>
  </si>
  <si>
    <t>cah</t>
  </si>
  <si>
    <t>promiscuous acetyl xylan esterase-cephalosporinC deacetylase</t>
  </si>
  <si>
    <t>0.17060 (0.12233)</t>
  </si>
  <si>
    <t>0.12585 (0.07512)</t>
  </si>
  <si>
    <t>0.00974 (0.00035)</t>
  </si>
  <si>
    <t>0.03046 (0.00121)</t>
  </si>
  <si>
    <t>0.00367 (0.00028)</t>
  </si>
  <si>
    <t>ycgL</t>
  </si>
  <si>
    <t>0.48633 (0.11257)</t>
  </si>
  <si>
    <t>0.03913 (0.03389)</t>
  </si>
  <si>
    <t>0.12662 (0.06508)</t>
  </si>
  <si>
    <t>0.01446 (0.00062)</t>
  </si>
  <si>
    <t>0.05320 (0.00270)</t>
  </si>
  <si>
    <t>0.00453 (0.00024)</t>
  </si>
  <si>
    <t>putB</t>
  </si>
  <si>
    <t>proline oxidase</t>
  </si>
  <si>
    <t>0.08855 (0.05746)</t>
  </si>
  <si>
    <t>0.06710 (0.06803)</t>
  </si>
  <si>
    <t>0.01993 (0.00130)</t>
  </si>
  <si>
    <t>0.07496 (0.00497)</t>
  </si>
  <si>
    <t>0.00657 (0.00047)</t>
  </si>
  <si>
    <t>putC</t>
  </si>
  <si>
    <t>1-pyrroline-5-carboxylate dehydrogenase</t>
  </si>
  <si>
    <t>0.04416 (0.03546)</t>
  </si>
  <si>
    <t>0.01407 (0.04771)</t>
  </si>
  <si>
    <t>0.01456 (0.00148)</t>
  </si>
  <si>
    <t>0.06517 (0.00707)</t>
  </si>
  <si>
    <t>0.00124 (0.00011)</t>
  </si>
  <si>
    <t>putP</t>
  </si>
  <si>
    <t>proline permease</t>
  </si>
  <si>
    <t>ref , GCA_000186745.1_ASM18674v1_genomic , GCA_000209795.2_ASM20979v2_genomic , GCA_000227485.1_ASM22748v1_genomic , GCA_000293765.1_ASM29376v1_genomic , GCA_000321395.1_ASM32139v1_genomic , GCA_000338735.1_ASM33873v1_genomic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</si>
  <si>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0.01796 (0.02059)</t>
  </si>
  <si>
    <t>0.01979 (0.03545)</t>
  </si>
  <si>
    <t>0.01485 (0.00067)</t>
  </si>
  <si>
    <t>0.05732 (0.00267)</t>
  </si>
  <si>
    <t>0.00151 (0.00011)</t>
  </si>
  <si>
    <t>putR</t>
  </si>
  <si>
    <t>transcriptional activator of proline degradationoperon</t>
  </si>
  <si>
    <t>0.00443 (0.01699)</t>
  </si>
  <si>
    <t>0.02656 (0.04559)</t>
  </si>
  <si>
    <t>0.02335 (0.00146)</t>
  </si>
  <si>
    <t>0.11459 (0.00736)</t>
  </si>
  <si>
    <t>0.00247 (0.00019)</t>
  </si>
  <si>
    <t>ycgQ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</si>
  <si>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</si>
  <si>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0.08831 (0.04372)</t>
  </si>
  <si>
    <t>0.03289 (0.08757)</t>
  </si>
  <si>
    <t>0.02366 (0.00147)</t>
  </si>
  <si>
    <t>0.09504 (0.00654)</t>
  </si>
  <si>
    <t>0.00575 (0.00036)</t>
  </si>
  <si>
    <t>ycgR</t>
  </si>
  <si>
    <t>0.09124 (0.03382)</t>
  </si>
  <si>
    <t>0.01691 (0.02380)</t>
  </si>
  <si>
    <t>0.01972 (0.00157)</t>
  </si>
  <si>
    <t>0.07766 (0.00666)</t>
  </si>
  <si>
    <t>0.00250 (0.00020)</t>
  </si>
  <si>
    <t>ycgS</t>
  </si>
  <si>
    <t>putative aromatic hydrocarbon hydrolase</t>
  </si>
  <si>
    <t>0.25738 (0.05509)</t>
  </si>
  <si>
    <t>0.24456 (0.11878)</t>
  </si>
  <si>
    <t>0.02782 (0.00097)</t>
  </si>
  <si>
    <t>0.06602 (0.00229)</t>
  </si>
  <si>
    <t>0.01751 (0.00071)</t>
  </si>
  <si>
    <t>ffoR</t>
  </si>
  <si>
    <t>Fur-regulated NADPH:ferredoxin oxidoreductase</t>
  </si>
  <si>
    <t>0.08243 (0.04908)</t>
  </si>
  <si>
    <t>0.09885 (0.03803)</t>
  </si>
  <si>
    <t>0.03277 (0.00103)</t>
  </si>
  <si>
    <t>0.11681 (0.00386)</t>
  </si>
  <si>
    <t>0.01047 (0.00044)</t>
  </si>
  <si>
    <t>nasF</t>
  </si>
  <si>
    <t>uroporphyrin-III C-methyltransferase</t>
  </si>
  <si>
    <t>0.15955 (0.04550)</t>
  </si>
  <si>
    <t>0.19224 (0.09070)</t>
  </si>
  <si>
    <t>0.02149 (0.00054)</t>
  </si>
  <si>
    <t>0.05684 (0.00157)</t>
  </si>
  <si>
    <t>0.01175 (0.00036)</t>
  </si>
  <si>
    <t>nasE</t>
  </si>
  <si>
    <t>assimilatory nitrite reductase subunit</t>
  </si>
  <si>
    <t>0.14104 (0.10096)</t>
  </si>
  <si>
    <t>0.04940 (0.06271)</t>
  </si>
  <si>
    <t>0.02173 (0.00207)</t>
  </si>
  <si>
    <t>0.08391 (0.00885)</t>
  </si>
  <si>
    <t>0.00606 (0.00056)</t>
  </si>
  <si>
    <t>nasD</t>
  </si>
  <si>
    <t>0.05795 (0.07628)</t>
  </si>
  <si>
    <t>0.05301 (0.03025)</t>
  </si>
  <si>
    <t>0.01811 (0.00090)</t>
  </si>
  <si>
    <t>0.07021 (0.00392)</t>
  </si>
  <si>
    <t>0.00376 (0.00018)</t>
  </si>
  <si>
    <t>nasC</t>
  </si>
  <si>
    <t>assimilatory nitrate reductase (catalyticsubunit)</t>
  </si>
  <si>
    <t>0.11302 (0.04249)</t>
  </si>
  <si>
    <t>0.10116 (0.03554)</t>
  </si>
  <si>
    <t>0.02500 (0.00067)</t>
  </si>
  <si>
    <t>0.08570 (0.00255)</t>
  </si>
  <si>
    <t>0.00830 (0.00021)</t>
  </si>
  <si>
    <t>nasB</t>
  </si>
  <si>
    <t>assimilatory nitrate reductase (electrontransfer subunit NasB)</t>
  </si>
  <si>
    <t>0.29396 (0.06504)</t>
  </si>
  <si>
    <t>0.26584 (0.08465)</t>
  </si>
  <si>
    <t>0.01686 (0.00058)</t>
  </si>
  <si>
    <t>0.03968 (0.00159)</t>
  </si>
  <si>
    <t>0.01040 (0.00039)</t>
  </si>
  <si>
    <t>nasA</t>
  </si>
  <si>
    <t>putative nitrate transporter</t>
  </si>
  <si>
    <t>0.04152 (0.02386)</t>
  </si>
  <si>
    <t>0.01243 (0.03845)</t>
  </si>
  <si>
    <t>0.01331 (0.00047)</t>
  </si>
  <si>
    <t>0.04968 (0.00182)</t>
  </si>
  <si>
    <t>0.00165 (0.00012)</t>
  </si>
  <si>
    <t>folEB</t>
  </si>
  <si>
    <t>GTP cyclohydrolase I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</si>
  <si>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</si>
  <si>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0.17570 (0.07097)</t>
  </si>
  <si>
    <t>0.12080 (0.03546)</t>
  </si>
  <si>
    <t>0.01522 (0.00067)</t>
  </si>
  <si>
    <t>0.04516 (0.00218)</t>
  </si>
  <si>
    <t>0.00721 (0.00038)</t>
  </si>
  <si>
    <t>yciB</t>
  </si>
  <si>
    <t>putative Zn(2+)-dependent division lipoprotein(schizosome)</t>
  </si>
  <si>
    <t>0.46357 (0.29059)</t>
  </si>
  <si>
    <t>0.25140 (0.37985)</t>
  </si>
  <si>
    <t>0.02276 (0.00186)</t>
  </si>
  <si>
    <t>0.05568 (0.00481)</t>
  </si>
  <si>
    <t>0.01480 (0.00127)</t>
  </si>
  <si>
    <t>hypothetical protein</t>
  </si>
  <si>
    <t>zinU</t>
  </si>
  <si>
    <t>zinc metallochaperone with NTPase activity</t>
  </si>
  <si>
    <t>0.09831 (0.03624)</t>
  </si>
  <si>
    <t>0.07032 (0.03783)</t>
  </si>
  <si>
    <t>0.01560 (0.00048)</t>
  </si>
  <si>
    <t>0.05707 (0.00177)</t>
  </si>
  <si>
    <t>yckA</t>
  </si>
  <si>
    <t>aminoacid ABC transporter (permease subunit)</t>
  </si>
  <si>
    <t>0.09599 (0.06819)</t>
  </si>
  <si>
    <t>0.03573 (0.07678)</t>
  </si>
  <si>
    <t>0.01180 (0.00049)</t>
  </si>
  <si>
    <t>0.03947 (0.00168)</t>
  </si>
  <si>
    <t>0.00325 (0.00033)</t>
  </si>
  <si>
    <t>yckB</t>
  </si>
  <si>
    <t>amino acid ABC transporter (binding lipoproteinsubunit)</t>
  </si>
  <si>
    <t>0.08417 (0.04664)</t>
  </si>
  <si>
    <t>0.05920 (0.03836)</t>
  </si>
  <si>
    <t>0.01966 (0.00071)</t>
  </si>
  <si>
    <t>0.07163 (0.00282)</t>
  </si>
  <si>
    <t>0.00562 (0.00032)</t>
  </si>
  <si>
    <t>BSU_03385</t>
  </si>
  <si>
    <t>hypothetical proteinLSLADAPKAYDIFDEKENGNIgene            369236..369691CDS             369236..369691organisms; PubMedId: 15849754, 16850406; Product type m:membrane componentfunction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</si>
  <si>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GCA_002055965.1_ASM205596v1_genomic , GCA_002072735.1_ASM207273v1_genomic</t>
  </si>
  <si>
    <t>0.77920 (0.10919)</t>
  </si>
  <si>
    <t>0.83175 (0.48271)</t>
  </si>
  <si>
    <t>0.03385 (0.00724)</t>
  </si>
  <si>
    <t>0.04047 (0.01072)</t>
  </si>
  <si>
    <t>0.03367 (0.00703)</t>
  </si>
  <si>
    <t>yckD</t>
  </si>
  <si>
    <t>putative exported protein</t>
  </si>
  <si>
    <t>0.78698 (0.10603)</t>
  </si>
  <si>
    <t>0.25278 (0.31999)</t>
  </si>
  <si>
    <t>0.25923 (0.09995)</t>
  </si>
  <si>
    <t>0.01616 (0.00192)</t>
  </si>
  <si>
    <t>0.04058 (0.00568)</t>
  </si>
  <si>
    <t>0.01028 (0.00139)</t>
  </si>
  <si>
    <t>bglC</t>
  </si>
  <si>
    <t>aryl-phospho-beta-d-glucosidase</t>
  </si>
  <si>
    <t>0.38029 (0.11179)</t>
  </si>
  <si>
    <t>0.37408 (0.13884)</t>
  </si>
  <si>
    <t>0.01101 (0.00035)</t>
  </si>
  <si>
    <t>0.02285 (0.00103)</t>
  </si>
  <si>
    <t>0.00784 (0.00024)</t>
  </si>
  <si>
    <t>nin</t>
  </si>
  <si>
    <t>inhibitor of the DNA degrading activity of NucA(competence)</t>
  </si>
  <si>
    <t>0.23475 (0.10086)</t>
  </si>
  <si>
    <t>0.72758 (0.64149)</t>
  </si>
  <si>
    <t>0.01515 (0.00088)</t>
  </si>
  <si>
    <t>0.03053 (0.00259)</t>
  </si>
  <si>
    <t>0.01101 (0.00067)</t>
  </si>
  <si>
    <t>nucA</t>
  </si>
  <si>
    <t>endonuclease</t>
  </si>
  <si>
    <t>0.29875 (0.16484)</t>
  </si>
  <si>
    <t>0.03734 (0.08603)</t>
  </si>
  <si>
    <t>0.01227 (0.00059)</t>
  </si>
  <si>
    <t>0.04188 (0.00246)</t>
  </si>
  <si>
    <t>0.00381 (0.00031)</t>
  </si>
  <si>
    <t>tlpC</t>
  </si>
  <si>
    <t>methyl-accepting chemotaxis protein (plantcolonization)</t>
  </si>
  <si>
    <t>0.14441 (0.04993)</t>
  </si>
  <si>
    <t>0.11877 (0.08924)</t>
  </si>
  <si>
    <t>0.01124 (0.00047)</t>
  </si>
  <si>
    <t>0.03436 (0.00172)</t>
  </si>
  <si>
    <t>0.00479 (0.00029)</t>
  </si>
  <si>
    <t>hxlB</t>
  </si>
  <si>
    <t>6-phospho-3-hexuloisomerase (PHI)</t>
  </si>
  <si>
    <t>0.15858 (0.06581)</t>
  </si>
  <si>
    <t>0.13917 (0.13449)</t>
  </si>
  <si>
    <t>0.02559 (0.00160)</t>
  </si>
  <si>
    <t>0.07621 (0.00528)</t>
  </si>
  <si>
    <t>0.01218 (0.00079)</t>
  </si>
  <si>
    <t>hxlA</t>
  </si>
  <si>
    <t>3-hexulose-6-phosphate synthase (HPS)</t>
  </si>
  <si>
    <t>0.17689 (0.13972)</t>
  </si>
  <si>
    <t>0.08606 (0.04877)</t>
  </si>
  <si>
    <t>0.01591 (0.00096)</t>
  </si>
  <si>
    <t>0.05102 (0.00311)</t>
  </si>
  <si>
    <t>0.00616 (0.00047)</t>
  </si>
  <si>
    <t>hxlR</t>
  </si>
  <si>
    <t>positive regulator of hxlAB expression(formaldehyde sensing)</t>
  </si>
  <si>
    <t>0.05775 (0.08647)</t>
  </si>
  <si>
    <t>0.07800 (0.07455)</t>
  </si>
  <si>
    <t>0.02390 (0.00189)</t>
  </si>
  <si>
    <t>0.09592 (0.00744)</t>
  </si>
  <si>
    <t>0.00768 (0.00085)</t>
  </si>
  <si>
    <t>srfAA</t>
  </si>
  <si>
    <t>surfactin synthetase</t>
  </si>
  <si>
    <t>ref , GCA_000186745.1_ASM18674v1_genomic , GCA_000209795.2_ASM20979v2_genomic , GCA_000227485.1_ASM22748v1_genomic , GCA_000293765.1_ASM29376v1_genomic , GCA_000338735.1_ASM33873v1_genomic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</si>
  <si>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0.11297 (0.04509)</t>
  </si>
  <si>
    <t>0.08735 (0.01608)</t>
  </si>
  <si>
    <t>0.01694 (0.00051)</t>
  </si>
  <si>
    <t>0.05681 (0.00173)</t>
  </si>
  <si>
    <t>0.00557 (0.00018)</t>
  </si>
  <si>
    <t>srfAB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</si>
  <si>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</si>
  <si>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0.10978 (0.04007)</t>
  </si>
  <si>
    <t>0.08060 (0.01646)</t>
  </si>
  <si>
    <t>0.01746 (0.00039)</t>
  </si>
  <si>
    <t>0.05852 (0.00134)</t>
  </si>
  <si>
    <t>0.00576 (0.00014)</t>
  </si>
  <si>
    <t>comS</t>
  </si>
  <si>
    <t>regulator of genetic competence</t>
  </si>
  <si>
    <t>0.72190 (0.64837)</t>
  </si>
  <si>
    <t>0.01915 (0.00156)</t>
  </si>
  <si>
    <t>0.04646 (0.00554)</t>
  </si>
  <si>
    <t>0.01183 (0.00114)</t>
  </si>
  <si>
    <t>srfAC</t>
  </si>
  <si>
    <t>0.12158 (0.03259)</t>
  </si>
  <si>
    <t>0.10774 (0.02769)</t>
  </si>
  <si>
    <t>0.01520 (0.00039)</t>
  </si>
  <si>
    <t>0.04821 (0.00133)</t>
  </si>
  <si>
    <t>0.00587 (0.00016)</t>
  </si>
  <si>
    <t>srfAD</t>
  </si>
  <si>
    <t>0.13122 (0.10313)</t>
  </si>
  <si>
    <t>0.11681 (0.04591)</t>
  </si>
  <si>
    <t>0.01143 (0.00053)</t>
  </si>
  <si>
    <t>0.03667 (0.00195)</t>
  </si>
  <si>
    <t>0.00464 (0.00042)</t>
  </si>
  <si>
    <t>srfT</t>
  </si>
  <si>
    <t>surfactin exporter</t>
  </si>
  <si>
    <t>0.13998 (0.06899)</t>
  </si>
  <si>
    <t>0.06998 (0.02126)</t>
  </si>
  <si>
    <t>0.01872 (0.00058)</t>
  </si>
  <si>
    <t>0.06199 (0.00204)</t>
  </si>
  <si>
    <t>0.00587 (0.00026)</t>
  </si>
  <si>
    <t>ycxB</t>
  </si>
  <si>
    <t>0.24129 (0.11578)</t>
  </si>
  <si>
    <t>0.19879 (0.06258)</t>
  </si>
  <si>
    <t>0.03077 (0.00112)</t>
  </si>
  <si>
    <t>0.08285 (0.00331)</t>
  </si>
  <si>
    <t>0.01859 (0.00074)</t>
  </si>
  <si>
    <t>ycxC</t>
  </si>
  <si>
    <t>0.27198 (0.17626)</t>
  </si>
  <si>
    <t>0.19217 (0.18079)</t>
  </si>
  <si>
    <t>0.01252 (0.00044)</t>
  </si>
  <si>
    <t>0.02980 (0.00117)</t>
  </si>
  <si>
    <t>0.00696 (0.00035)</t>
  </si>
  <si>
    <t>ycxD</t>
  </si>
  <si>
    <t>putative PLP-dependent transcriptionalregulator</t>
  </si>
  <si>
    <t>0.33008 (0.09318)</t>
  </si>
  <si>
    <t>0.16405 (0.05393)</t>
  </si>
  <si>
    <t>0.15752 (0.02950)</t>
  </si>
  <si>
    <t>0.02141 (0.00055)</t>
  </si>
  <si>
    <t>0.06314 (0.00191)</t>
  </si>
  <si>
    <t>0.00963 (0.00028)</t>
  </si>
  <si>
    <t>yczE</t>
  </si>
  <si>
    <t>integral inner membrane protein regulatingantibiotic production</t>
  </si>
  <si>
    <t>0.02279 (0.06019)</t>
  </si>
  <si>
    <t>0.07374 (0.14135)</t>
  </si>
  <si>
    <t>0.01905 (0.00114)</t>
  </si>
  <si>
    <t>0.06449 (0.00337)</t>
  </si>
  <si>
    <t>0.00449 (0.00053)</t>
  </si>
  <si>
    <t>tcyC</t>
  </si>
  <si>
    <t>cystine ABC transporter (ATP-binding protein)</t>
  </si>
  <si>
    <t>0.04936 (0.03091)</t>
  </si>
  <si>
    <t>0.03568 (0.03068)</t>
  </si>
  <si>
    <t>0.02383 (0.00134)</t>
  </si>
  <si>
    <t>0.10274 (0.00622)</t>
  </si>
  <si>
    <t>0.00383 (0.00020)</t>
  </si>
  <si>
    <t>tcyB</t>
  </si>
  <si>
    <t>cystine ABC transporter (permease)</t>
  </si>
  <si>
    <t>0.04358 (0.07564)</t>
  </si>
  <si>
    <t>0.06293 (0.04626)</t>
  </si>
  <si>
    <t>0.01659 (0.00109)</t>
  </si>
  <si>
    <t>0.06019 (0.00403)</t>
  </si>
  <si>
    <t>0.00302 (0.00027)</t>
  </si>
  <si>
    <t>tcyA</t>
  </si>
  <si>
    <t>cystine ABC transporter (substrate-bindinglipoprotein)</t>
  </si>
  <si>
    <t>0.06374 (0.06292)</t>
  </si>
  <si>
    <t>0.20208 (0.12449)</t>
  </si>
  <si>
    <t>0.00864 (0.00041)</t>
  </si>
  <si>
    <t>0.02648 (0.00150)</t>
  </si>
  <si>
    <t>0.00375 (0.00022)</t>
  </si>
  <si>
    <t>bsdA</t>
  </si>
  <si>
    <t>HTH-type transcriptional regulator BsdA (LysRfamily)</t>
  </si>
  <si>
    <t>0.02689 (0.02522)</t>
  </si>
  <si>
    <t>0.01447 (0.00098)</t>
  </si>
  <si>
    <t>0.06264 (0.00490)</t>
  </si>
  <si>
    <t>0.00120 (0.00011)</t>
  </si>
  <si>
    <t>ubiX</t>
  </si>
  <si>
    <t>phenolic acid decarboxylase-flavinprenyltransferase subunit</t>
  </si>
  <si>
    <t>0.13952 (0.07162)</t>
  </si>
  <si>
    <t>0.03719 (0.07938)</t>
  </si>
  <si>
    <t>0.02057 (0.00105)</t>
  </si>
  <si>
    <t>0.07752 (0.00423)</t>
  </si>
  <si>
    <t>0.00493 (0.00027)</t>
  </si>
  <si>
    <t>bsdC</t>
  </si>
  <si>
    <t>promiscuous phenolic acid decarboxylase subunit;1,4-dihydroxy-2-naphtoate-heptaprenyl diphosphatedecarboxylase</t>
  </si>
  <si>
    <t>0.03637 (0.02185)</t>
  </si>
  <si>
    <t>0.01699 (0.02267)</t>
  </si>
  <si>
    <t>0.01180 (0.00035)</t>
  </si>
  <si>
    <t>0.04949 (0.00156)</t>
  </si>
  <si>
    <t>0.00103 (0.00008)</t>
  </si>
  <si>
    <t>bsdD</t>
  </si>
  <si>
    <t>phenolic acid decarboxylase subunit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</si>
  <si>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</si>
  <si>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0.03619 (0.05226)</t>
  </si>
  <si>
    <t>0.25884 (0.36605)</t>
  </si>
  <si>
    <t>0.02075 (0.00326)</t>
  </si>
  <si>
    <t>0.08721 (0.01728)</t>
  </si>
  <si>
    <t>0.00592 (0.00084)</t>
  </si>
  <si>
    <t>yclD</t>
  </si>
  <si>
    <t>putative FMN-binding enzyme subunit</t>
  </si>
  <si>
    <t>0.32741 (0.13675)</t>
  </si>
  <si>
    <t>0.17684 (0.05822)</t>
  </si>
  <si>
    <t>0.02243 (0.00073)</t>
  </si>
  <si>
    <t>0.05267 (0.00232)</t>
  </si>
  <si>
    <t>0.01423 (0.00054)</t>
  </si>
  <si>
    <t>yclE</t>
  </si>
  <si>
    <t>putative hydrolase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</si>
  <si>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</si>
  <si>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0.22185 (0.20992)</t>
  </si>
  <si>
    <t>0.27565 (0.10149)</t>
  </si>
  <si>
    <t>0.02345 (0.00085)</t>
  </si>
  <si>
    <t>0.05875 (0.00248)</t>
  </si>
  <si>
    <t>0.01456 (0.00052)</t>
  </si>
  <si>
    <t>dtpT</t>
  </si>
  <si>
    <t>di-tripeptide-proton ABC symporter</t>
  </si>
  <si>
    <t>0.47520 (0.11942)</t>
  </si>
  <si>
    <t>0.08565 (0.15848)</t>
  </si>
  <si>
    <t>0.09084 (0.04040)</t>
  </si>
  <si>
    <t>0.01670 (0.00099)</t>
  </si>
  <si>
    <t>0.05489 (0.00366)</t>
  </si>
  <si>
    <t>0.00514 (0.00029)</t>
  </si>
  <si>
    <t>yclG</t>
  </si>
  <si>
    <t>putative uronase</t>
  </si>
  <si>
    <t>0.09514 (0.06041)</t>
  </si>
  <si>
    <t>0.11359 (0.05092)</t>
  </si>
  <si>
    <t>0.01442 (0.00058)</t>
  </si>
  <si>
    <t>0.04693 (0.00195)</t>
  </si>
  <si>
    <t>0.00496 (0.00025)</t>
  </si>
  <si>
    <t>yczF</t>
  </si>
  <si>
    <t>0.07463 (0.10315)</t>
  </si>
  <si>
    <t>0.26708 (0.19512)</t>
  </si>
  <si>
    <t>0.02083 (0.00105)</t>
  </si>
  <si>
    <t>0.06499 (0.00401)</t>
  </si>
  <si>
    <t>0.00990 (0.00071)</t>
  </si>
  <si>
    <t>gerKA</t>
  </si>
  <si>
    <t>spore germination receptor subunit</t>
  </si>
  <si>
    <t>0.06275 (0.05311)</t>
  </si>
  <si>
    <t>0.12104 (0.07924)</t>
  </si>
  <si>
    <t>0.02311 (0.00122)</t>
  </si>
  <si>
    <t>0.07710 (0.00473)</t>
  </si>
  <si>
    <t>0.00844 (0.00045)</t>
  </si>
  <si>
    <t>gerKC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</si>
  <si>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</si>
  <si>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0.14412 (0.24072)</t>
  </si>
  <si>
    <t>0.22758 (0.16268)</t>
  </si>
  <si>
    <t>0.01454 (0.00153)</t>
  </si>
  <si>
    <t>0.03830 (0.00401)</t>
  </si>
  <si>
    <t>0.00813 (0.00079)</t>
  </si>
  <si>
    <t>gerKB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</si>
  <si>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</si>
  <si>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0.17202 (0.08254)</t>
  </si>
  <si>
    <t>0.06583 (0.09247)</t>
  </si>
  <si>
    <t>0.02931 (0.00267)</t>
  </si>
  <si>
    <t>0.10300 (0.00942)</t>
  </si>
  <si>
    <t>0.00894 (0.00103)</t>
  </si>
  <si>
    <t>yclH</t>
  </si>
  <si>
    <t>putative ABC transporter (ATPase component)</t>
  </si>
  <si>
    <t>0.14375 (0.04628)</t>
  </si>
  <si>
    <t>0.06529 (0.03096)</t>
  </si>
  <si>
    <t>0.01714 (0.00056)</t>
  </si>
  <si>
    <t>0.06117 (0.00220)</t>
  </si>
  <si>
    <t>0.00517 (0.00028)</t>
  </si>
  <si>
    <t>yclI</t>
  </si>
  <si>
    <t>putative transporter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</si>
  <si>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GCA_001890405.1_ASM189040v1_genomic , GCA_001902555.1_ASM190255v1_genomic , GCA_002055965.1_ASM205596v1_genomic , GCA_002096095.1_ASM209609v1_genomic , GCA_002142595.1_ASM214259v1_genomic</t>
  </si>
  <si>
    <t>0.05432 (0.01995)</t>
  </si>
  <si>
    <t>0.04557 (0.01986)</t>
  </si>
  <si>
    <t>0.01646 (0.00068)</t>
  </si>
  <si>
    <t>0.06520 (0.00300)</t>
  </si>
  <si>
    <t>0.00257 (0.00015)</t>
  </si>
  <si>
    <t>yclJ</t>
  </si>
  <si>
    <t>two-component response regulator [YclK](possibly involved in arabinogalactan metabolism)</t>
  </si>
  <si>
    <t>0.04113 (0.04264)</t>
  </si>
  <si>
    <t>0.02408 (0.03380)</t>
  </si>
  <si>
    <t>0.02593 (0.00144)</t>
  </si>
  <si>
    <t>0.11798 (0.00677)</t>
  </si>
  <si>
    <t>0.00400 (0.00031)</t>
  </si>
  <si>
    <t>yclK</t>
  </si>
  <si>
    <t>two-component sensor histidine kinase [YclJ]</t>
  </si>
  <si>
    <t>0.07404 (0.02339)</t>
  </si>
  <si>
    <t>0.07695 (0.02492)</t>
  </si>
  <si>
    <t>0.01389 (0.00040)</t>
  </si>
  <si>
    <t>0.05084 (0.00172)</t>
  </si>
  <si>
    <t>0.00423 (0.00016)</t>
  </si>
  <si>
    <t>rapC</t>
  </si>
  <si>
    <t>0.04052 (0.02562)</t>
  </si>
  <si>
    <t>0.04922 (0.05349)</t>
  </si>
  <si>
    <t>0.02375 (0.00133)</t>
  </si>
  <si>
    <t>0.10223 (0.00574)</t>
  </si>
  <si>
    <t>0.00479 (0.00033)</t>
  </si>
  <si>
    <t>phrC</t>
  </si>
  <si>
    <t>secreted regulator of the activity ofphosphatase RapC and competence and sporulationstimulating factor (CSF)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</si>
  <si>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</si>
  <si>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0.19758 (0.15629)</t>
  </si>
  <si>
    <t>0.02639 (0.00664)</t>
  </si>
  <si>
    <t>0.08290 (0.01763)</t>
  </si>
  <si>
    <t>0.01103 (0.00450)</t>
  </si>
  <si>
    <t>putative type I toxin</t>
  </si>
  <si>
    <t>thrD</t>
  </si>
  <si>
    <t>aspartate kinase III</t>
  </si>
  <si>
    <t>0.11835 (0.04147)</t>
  </si>
  <si>
    <t>0.07324 (0.05627)</t>
  </si>
  <si>
    <t>0.01280 (0.00043)</t>
  </si>
  <si>
    <t>0.04036 (0.00140)</t>
  </si>
  <si>
    <t>0.00471 (0.00023)</t>
  </si>
  <si>
    <t>pbtN</t>
  </si>
  <si>
    <t>petrobactin iron-siderophore ABC transporter(permease)</t>
  </si>
  <si>
    <t>0.04141 (0.02642)</t>
  </si>
  <si>
    <t>0.05665 (0.08046)</t>
  </si>
  <si>
    <t>0.02281 (0.00128)</t>
  </si>
  <si>
    <t>0.08623 (0.00482)</t>
  </si>
  <si>
    <t>0.00432 (0.00036)</t>
  </si>
  <si>
    <t>pbtO</t>
  </si>
  <si>
    <t>0.07557 (0.04304)</t>
  </si>
  <si>
    <t>0.06516 (0.08335)</t>
  </si>
  <si>
    <t>0.02213 (0.00126)</t>
  </si>
  <si>
    <t>0.08145 (0.00461)</t>
  </si>
  <si>
    <t>0.00558 (0.00041)</t>
  </si>
  <si>
    <t>pbtP</t>
  </si>
  <si>
    <t>petrobactin iron-siderophore ABC transporter(ATP-binding protein)</t>
  </si>
  <si>
    <t>0.05352 (0.04081)</t>
  </si>
  <si>
    <t>0.01648 (0.03919)</t>
  </si>
  <si>
    <t>0.01438 (0.00071)</t>
  </si>
  <si>
    <t>0.06009 (0.00312)</t>
  </si>
  <si>
    <t>0.00222 (0.00016)</t>
  </si>
  <si>
    <t>pbtQ</t>
  </si>
  <si>
    <t>petrobactin iron-siderophore ABC transporter(binding lipoprotein)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</si>
  <si>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</si>
  <si>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0.75207 (0.11972)</t>
  </si>
  <si>
    <t>0.06445 (0.00280)</t>
  </si>
  <si>
    <t>0.08617 (0.00000)</t>
  </si>
  <si>
    <t>0.04592 (0.00621)</t>
  </si>
  <si>
    <t>0.18351 (0.02869)</t>
  </si>
  <si>
    <t>0.01300 (0.00192)</t>
  </si>
  <si>
    <t>ycnB</t>
  </si>
  <si>
    <t>putative efflux transporter</t>
  </si>
  <si>
    <t>0.05431 (0.02277)</t>
  </si>
  <si>
    <t>0.03358 (0.04769)</t>
  </si>
  <si>
    <t>0.00906 (0.00037)</t>
  </si>
  <si>
    <t>0.03219 (0.00141)</t>
  </si>
  <si>
    <t>ycnC</t>
  </si>
  <si>
    <t>putative transcriptional regulator (TetR/AcrRfamily)</t>
  </si>
  <si>
    <t>0.11471 (0.08531)</t>
  </si>
  <si>
    <t>0.09915 (0.06587)</t>
  </si>
  <si>
    <t>0.02273 (0.00128)</t>
  </si>
  <si>
    <t>0.08337 (0.00521)</t>
  </si>
  <si>
    <t>0.00716 (0.00036)</t>
  </si>
  <si>
    <t>nfrAB</t>
  </si>
  <si>
    <t>NADPH-FMN oxidoreductase (nitroreductase)</t>
  </si>
  <si>
    <t>0.07030 (0.06996)</t>
  </si>
  <si>
    <t>0.03800 (0.09134)</t>
  </si>
  <si>
    <t>0.00643 (0.00027)</t>
  </si>
  <si>
    <t>0.02439 (0.00112)</t>
  </si>
  <si>
    <t>0.00107 (0.00010)</t>
  </si>
  <si>
    <t>ycnE</t>
  </si>
  <si>
    <t>putative AI-2 degrading enzyme</t>
  </si>
  <si>
    <t>0.10385 (0.08399)</t>
  </si>
  <si>
    <t>0.02079 (0.04671)</t>
  </si>
  <si>
    <t>0.02669 (0.00192)</t>
  </si>
  <si>
    <t>0.12360 (0.00982)</t>
  </si>
  <si>
    <t>0.00485 (0.00048)</t>
  </si>
  <si>
    <t>yczG</t>
  </si>
  <si>
    <t>0.70139 (0.12045)</t>
  </si>
  <si>
    <t>0.03483 (0.09397)</t>
  </si>
  <si>
    <t>0.01923 (0.00516)</t>
  </si>
  <si>
    <t>0.08165 (0.02173)</t>
  </si>
  <si>
    <t>0.00280 (0.00102)</t>
  </si>
  <si>
    <t>gabR</t>
  </si>
  <si>
    <t>transcriptional regulator (GntR/MocR family)with PLP binding site (GabR-GABA-PLP aldimine)</t>
  </si>
  <si>
    <t>0.63542 (0.12435)</t>
  </si>
  <si>
    <t>0.10977 (0.04718)</t>
  </si>
  <si>
    <t>0.09479 (0.06030)</t>
  </si>
  <si>
    <t>0.01273 (0.00042)</t>
  </si>
  <si>
    <t>0.04065 (0.00160)</t>
  </si>
  <si>
    <t>0.00481 (0.00022)</t>
  </si>
  <si>
    <t>gabT</t>
  </si>
  <si>
    <t>4-aminobutyrate aminotransferase</t>
  </si>
  <si>
    <t>0.58720 (0.12300)</t>
  </si>
  <si>
    <t>0.07396 (0.02956)</t>
  </si>
  <si>
    <t>0.05113 (0.04019)</t>
  </si>
  <si>
    <t>0.01527 (0.00044)</t>
  </si>
  <si>
    <t>0.05553 (0.00176)</t>
  </si>
  <si>
    <t>0.00350 (0.00017)</t>
  </si>
  <si>
    <t>gabD</t>
  </si>
  <si>
    <t>succinate-semialdehyde dehydrogenase</t>
  </si>
  <si>
    <t>0.05314 (0.01861)</t>
  </si>
  <si>
    <t>0.01077 (0.01715)</t>
  </si>
  <si>
    <t>0.01667 (0.00044)</t>
  </si>
  <si>
    <t>0.06668 (0.00191)</t>
  </si>
  <si>
    <t>0.00188 (0.00011)</t>
  </si>
  <si>
    <t>glcU</t>
  </si>
  <si>
    <t>glucose uptake protein</t>
  </si>
  <si>
    <t>0.00992 (0.00030)</t>
  </si>
  <si>
    <t>0.04043 (0.00124)</t>
  </si>
  <si>
    <t>0.00005 (0.00003)</t>
  </si>
  <si>
    <t>gdh</t>
  </si>
  <si>
    <t>forespore glucose 1-dehydrogenase</t>
  </si>
  <si>
    <t>ref , GCA_000186745.1_ASM18674v1_genomic , GCA_000209795.2_ASM20979v2_genomic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GCA_002163815.1_ASM216381v1_genomic , GCA_002173615.1_ASM217361v1_genomic</t>
  </si>
  <si>
    <t>0.37333 (0.10137)</t>
  </si>
  <si>
    <t>0.02797 (0.06065)</t>
  </si>
  <si>
    <t>0.03317 (0.03175)</t>
  </si>
  <si>
    <t>0.03221 (0.00187)</t>
  </si>
  <si>
    <t>0.14229 (0.00835)</t>
  </si>
  <si>
    <t>0.00488 (0.00048)</t>
  </si>
  <si>
    <t>cutI</t>
  </si>
  <si>
    <t>putative membrane protein involved in copperintake</t>
  </si>
  <si>
    <t>0.09315 (0.05756)</t>
  </si>
  <si>
    <t>0.10904 (0.04587)</t>
  </si>
  <si>
    <t>0.01637 (0.00063)</t>
  </si>
  <si>
    <t>0.05814 (0.00268)</t>
  </si>
  <si>
    <t>0.00434 (0.00030)</t>
  </si>
  <si>
    <t>cutJ</t>
  </si>
  <si>
    <t>copper import permease subunit</t>
  </si>
  <si>
    <t>0.13695 (0.04995)</t>
  </si>
  <si>
    <t>0.01378 (0.04370)</t>
  </si>
  <si>
    <t>0.01486 (0.00045)</t>
  </si>
  <si>
    <t>0.05312 (0.00162)</t>
  </si>
  <si>
    <t>0.00352 (0.00022)</t>
  </si>
  <si>
    <t>cutR</t>
  </si>
  <si>
    <t>transcriptional regulator of copper intake(CutR-Cu(+))</t>
  </si>
  <si>
    <t>0.09381 (0.05083)</t>
  </si>
  <si>
    <t>0.08516 (0.08330)</t>
  </si>
  <si>
    <t>0.01749 (0.00103)</t>
  </si>
  <si>
    <t>0.06159 (0.00408)</t>
  </si>
  <si>
    <t>0.00574 (0.00036)</t>
  </si>
  <si>
    <t>ycnL</t>
  </si>
  <si>
    <t>putative reductase or disulfide isomerase</t>
  </si>
  <si>
    <t>0.69143 (0.10193)</t>
  </si>
  <si>
    <t>0.04064 (0.07737)</t>
  </si>
  <si>
    <t>0.03970 (0.03628)</t>
  </si>
  <si>
    <t>0.02833 (0.00246)</t>
  </si>
  <si>
    <t>0.10844 (0.00920)</t>
  </si>
  <si>
    <t>0.00508 (0.00062)</t>
  </si>
  <si>
    <t>mtlA</t>
  </si>
  <si>
    <t>phosphotransferase system (PTS)mannitol-specific enzyme IICB component</t>
  </si>
  <si>
    <t>0.05229 (0.04506)</t>
  </si>
  <si>
    <t>0.02089 (0.07222)</t>
  </si>
  <si>
    <t>0.01455 (0.00057)</t>
  </si>
  <si>
    <t>0.05638 (0.00229)</t>
  </si>
  <si>
    <t>0.00214 (0.00018)</t>
  </si>
  <si>
    <t>mtlF</t>
  </si>
  <si>
    <t>phosphotransferase system (PTS)mannitol-specific enzyme IIA component</t>
  </si>
  <si>
    <t>ref , GCA_000186745.1_ASM18674v1_genomic , GCA_000209795.2_ASM20979v2_genomic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</si>
  <si>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0.07004 (0.07051)</t>
  </si>
  <si>
    <t>0.01565 (0.00099)</t>
  </si>
  <si>
    <t>0.06742 (0.00456)</t>
  </si>
  <si>
    <t>0.00248 (0.00032)</t>
  </si>
  <si>
    <t>mtlD</t>
  </si>
  <si>
    <t>mannitol-1-phosphate 5-dehydrogenase</t>
  </si>
  <si>
    <t>0.06193 (0.01647)</t>
  </si>
  <si>
    <t>0.09280 (0.02699)</t>
  </si>
  <si>
    <t>0.01878 (0.00065)</t>
  </si>
  <si>
    <t>0.06581 (0.00247)</t>
  </si>
  <si>
    <t>0.00505 (0.00023)</t>
  </si>
  <si>
    <t>ycsA</t>
  </si>
  <si>
    <t>putative tartrate dehydrogenase</t>
  </si>
  <si>
    <t>0.10560 (0.13704)</t>
  </si>
  <si>
    <t>0.01735 (0.05486)</t>
  </si>
  <si>
    <t>0.01179 (0.00067)</t>
  </si>
  <si>
    <t>0.04479 (0.00246)</t>
  </si>
  <si>
    <t>0.00254 (0.00024)</t>
  </si>
  <si>
    <t>sipU</t>
  </si>
  <si>
    <t>type I signal peptidase</t>
  </si>
  <si>
    <t>0.22937 (0.09409)</t>
  </si>
  <si>
    <t>0.17679 (0.11744)</t>
  </si>
  <si>
    <t>0.01787 (0.00088)</t>
  </si>
  <si>
    <t>0.05057 (0.00284)</t>
  </si>
  <si>
    <t>0.00929 (0.00049)</t>
  </si>
  <si>
    <t>yczH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</si>
  <si>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GCA_002055965.1_ASM205596v1_genomic</t>
  </si>
  <si>
    <t>0.22428 (0.08008)</t>
  </si>
  <si>
    <t>0.60228 (0.32481)</t>
  </si>
  <si>
    <t>0.01508 (0.00138)</t>
  </si>
  <si>
    <t>0.02797 (0.00253)</t>
  </si>
  <si>
    <t>0.01151 (0.00117)</t>
  </si>
  <si>
    <t>ycsD</t>
  </si>
  <si>
    <t>putative hydroxyacyl-(acyl carrier protein)dehydratase</t>
  </si>
  <si>
    <t>0.73114 (0.11141)</t>
  </si>
  <si>
    <t>0.40966 (0.16900)</t>
  </si>
  <si>
    <t>0.10199 (0.15722)</t>
  </si>
  <si>
    <t>0.01068 (0.00072)</t>
  </si>
  <si>
    <t>0.02432 (0.00179)</t>
  </si>
  <si>
    <t>0.00666 (0.00066)</t>
  </si>
  <si>
    <t>yczO</t>
  </si>
  <si>
    <t>0.58086 (0.67072)</t>
  </si>
  <si>
    <t>0.01358 (0.00191)</t>
  </si>
  <si>
    <t>0.01535 (0.00594)</t>
  </si>
  <si>
    <t>0.01345 (0.00178)</t>
  </si>
  <si>
    <t>ribZ</t>
  </si>
  <si>
    <t>5-amino-6-ribitylamino-2,4(1H,nucleotidase</t>
  </si>
  <si>
    <t>0.07389 (0.06090)</t>
  </si>
  <si>
    <t>0.03839 (0.07902)</t>
  </si>
  <si>
    <t>0.00823 (0.00061)</t>
  </si>
  <si>
    <t>0.03252 (0.00290)</t>
  </si>
  <si>
    <t>0.00189 (0.00020)</t>
  </si>
  <si>
    <t>pxpA</t>
  </si>
  <si>
    <t>oxoprolinase subunit A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</si>
  <si>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</si>
  <si>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0.08920 (0.14003)</t>
  </si>
  <si>
    <t>0.16807 (0.04186)</t>
  </si>
  <si>
    <t>0.01720 (0.00157)</t>
  </si>
  <si>
    <t>0.05409 (0.00640)</t>
  </si>
  <si>
    <t>0.00693 (0.00042)</t>
  </si>
  <si>
    <t>pxpG</t>
  </si>
  <si>
    <t>5-oxoproline transporter</t>
  </si>
  <si>
    <t>0.05435 (0.05384)</t>
  </si>
  <si>
    <t>0.11480 (0.12726)</t>
  </si>
  <si>
    <t>0.00685 (0.00021)</t>
  </si>
  <si>
    <t>0.02184 (0.00067)</t>
  </si>
  <si>
    <t>0.00179 (0.00012)</t>
  </si>
  <si>
    <t>pxpI</t>
  </si>
  <si>
    <t>putative D-5-oxoproline epimerase</t>
  </si>
  <si>
    <t>0.23529 (0.12460)</t>
  </si>
  <si>
    <t>0.01802 (0.04907)</t>
  </si>
  <si>
    <t>0.01237 (0.00045)</t>
  </si>
  <si>
    <t>0.03874 (0.00148)</t>
  </si>
  <si>
    <t>0.00415 (0.00030)</t>
  </si>
  <si>
    <t>pxpB</t>
  </si>
  <si>
    <t>L-5-oxoprolinase (ATP-dependent) subunit B</t>
  </si>
  <si>
    <t>0.52041 (0.11586)</t>
  </si>
  <si>
    <t>0.14211 (0.05504)</t>
  </si>
  <si>
    <t>0.11176 (0.08733)</t>
  </si>
  <si>
    <t>0.01426 (0.00041)</t>
  </si>
  <si>
    <t>0.04234 (0.00130)</t>
  </si>
  <si>
    <t>0.00576 (0.00024)</t>
  </si>
  <si>
    <t>pxpC</t>
  </si>
  <si>
    <t>L-5-oxoprolinase (ATP-dependent) subunit C</t>
  </si>
  <si>
    <t>0.15191 (0.08177)</t>
  </si>
  <si>
    <t>0.01655 (0.03501)</t>
  </si>
  <si>
    <t>0.01104 (0.00055)</t>
  </si>
  <si>
    <t>0.03700 (0.00176)</t>
  </si>
  <si>
    <t>0.00315 (0.00031)</t>
  </si>
  <si>
    <t>pxpR</t>
  </si>
  <si>
    <t>transcriptional regulator of the pxp operon(IclR family)</t>
  </si>
  <si>
    <t>0.06295 (0.06338)</t>
  </si>
  <si>
    <t>0.06301 (0.05353)</t>
  </si>
  <si>
    <t>0.00965 (0.00046)</t>
  </si>
  <si>
    <t>0.03283 (0.00173)</t>
  </si>
  <si>
    <t>0.00258 (0.00021)</t>
  </si>
  <si>
    <t>lipC</t>
  </si>
  <si>
    <t>spore coat phospholipase B</t>
  </si>
  <si>
    <t>0.91322 (0.08074)</t>
  </si>
  <si>
    <t>0.25524 (0.14408)</t>
  </si>
  <si>
    <t>0.17455 (0.11767)</t>
  </si>
  <si>
    <t>0.01996 (0.00142)</t>
  </si>
  <si>
    <t>0.05596 (0.00437)</t>
  </si>
  <si>
    <t>0.00996 (0.00066)</t>
  </si>
  <si>
    <t>yczI</t>
  </si>
  <si>
    <t>0.51301 (0.11045)</t>
  </si>
  <si>
    <t>0.07491 (0.17265)</t>
  </si>
  <si>
    <t>0.02364 (0.00208)</t>
  </si>
  <si>
    <t>0.10539 (0.00946)</t>
  </si>
  <si>
    <t>0.00196 (0.00056)</t>
  </si>
  <si>
    <t>yczJ</t>
  </si>
  <si>
    <t>0.46930 (0.10833)</t>
  </si>
  <si>
    <t>0.04324 (0.04992)</t>
  </si>
  <si>
    <t>0.15090 (0.12502)</t>
  </si>
  <si>
    <t>0.02389 (0.00164)</t>
  </si>
  <si>
    <t>0.09330 (0.00797)</t>
  </si>
  <si>
    <t>0.00753 (0.00051)</t>
  </si>
  <si>
    <t>pbpC</t>
  </si>
  <si>
    <t>penicillin-binding lipoprotein 3;transpeptidase</t>
  </si>
  <si>
    <t>0.08108 (0.08836)</t>
  </si>
  <si>
    <t>0.07431 (0.03072)</t>
  </si>
  <si>
    <t>0.00868 (0.00043)</t>
  </si>
  <si>
    <t>0.03043 (0.00185)</t>
  </si>
  <si>
    <t>0.00279 (0.00013)</t>
  </si>
  <si>
    <t>ycsN</t>
  </si>
  <si>
    <t>0.10744 (0.06376)</t>
  </si>
  <si>
    <t>0.13200 (0.03314)</t>
  </si>
  <si>
    <t>0.02340 (0.00112)</t>
  </si>
  <si>
    <t>0.07740 (0.00408)</t>
  </si>
  <si>
    <t>0.00865 (0.00044)</t>
  </si>
  <si>
    <t>mtlR</t>
  </si>
  <si>
    <t>transcriptional regulator, PTS-dependentactivator</t>
  </si>
  <si>
    <t>0.09213 (0.02962)</t>
  </si>
  <si>
    <t>0.19131 (0.12369)</t>
  </si>
  <si>
    <t>0.01061 (0.00027)</t>
  </si>
  <si>
    <t>0.03340 (0.00113)</t>
  </si>
  <si>
    <t>0.00429 (0.00017)</t>
  </si>
  <si>
    <t>ydaB</t>
  </si>
  <si>
    <t>putative acyl-CoA ligase</t>
  </si>
  <si>
    <t>0.17745 (0.06016)</t>
  </si>
  <si>
    <t>0.08001 (0.09765)</t>
  </si>
  <si>
    <t>0.01712 (0.00092)</t>
  </si>
  <si>
    <t>0.05715 (0.00325)</t>
  </si>
  <si>
    <t>0.00578 (0.00033)</t>
  </si>
  <si>
    <t>ydaC</t>
  </si>
  <si>
    <t>0.14488 (0.16755)</t>
  </si>
  <si>
    <t>0.34861 (0.09101)</t>
  </si>
  <si>
    <t>0.01891 (0.00125)</t>
  </si>
  <si>
    <t>0.04639 (0.00411)</t>
  </si>
  <si>
    <t>0.01179 (0.00078)</t>
  </si>
  <si>
    <t>ydaD</t>
  </si>
  <si>
    <t>putative dehydrogenase</t>
  </si>
  <si>
    <t>0.06468 (0.03923)</t>
  </si>
  <si>
    <t>0.04423 (0.04386)</t>
  </si>
  <si>
    <t>0.01121 (0.00040)</t>
  </si>
  <si>
    <t>0.03975 (0.00163)</t>
  </si>
  <si>
    <t>0.00266 (0.00017)</t>
  </si>
  <si>
    <t>lyxE</t>
  </si>
  <si>
    <t>D-lyxose ketol isomerase</t>
  </si>
  <si>
    <t>0.05432 (0.03488)</t>
  </si>
  <si>
    <t>0.01499 (0.00075)</t>
  </si>
  <si>
    <t>0.06304 (0.00336)</t>
  </si>
  <si>
    <t>0.00190 (0.00023)</t>
  </si>
  <si>
    <t>ydaF</t>
  </si>
  <si>
    <t>putative ribosomal protein N-acetyltransferase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</si>
  <si>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</si>
  <si>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0.28888 (0.10893)</t>
  </si>
  <si>
    <t>0.31524 (0.22810)</t>
  </si>
  <si>
    <t>0.02020 (0.00146)</t>
  </si>
  <si>
    <t>0.04616 (0.00339)</t>
  </si>
  <si>
    <t>0.01334 (0.00118)</t>
  </si>
  <si>
    <t>ydaG</t>
  </si>
  <si>
    <t>putative general stress protein</t>
  </si>
  <si>
    <t>0.09820 (0.11930)</t>
  </si>
  <si>
    <t>0.01857 (0.03864)</t>
  </si>
  <si>
    <t>0.02065 (0.00184)</t>
  </si>
  <si>
    <t>0.09237 (0.00856)</t>
  </si>
  <si>
    <t>0.00374 (0.00043)</t>
  </si>
  <si>
    <t>amj</t>
  </si>
  <si>
    <t>lipid II flippase</t>
  </si>
  <si>
    <t>0.06152 (0.04553)</t>
  </si>
  <si>
    <t>0.05621 (0.02296)</t>
  </si>
  <si>
    <t>0.02025 (0.00070)</t>
  </si>
  <si>
    <t>0.07368 (0.00281)</t>
  </si>
  <si>
    <t>0.00335 (0.00017)</t>
  </si>
  <si>
    <t>ydzA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</si>
  <si>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</si>
  <si>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0.06073 (0.07646)</t>
  </si>
  <si>
    <t>0.14670 (0.08197)</t>
  </si>
  <si>
    <t>0.02376 (0.00182)</t>
  </si>
  <si>
    <t>0.07579 (0.00668)</t>
  </si>
  <si>
    <t>0.00810 (0.00058)</t>
  </si>
  <si>
    <t>lrpC</t>
  </si>
  <si>
    <t>transcriptional regulator (Lrp/AsnC family)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</si>
  <si>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</si>
  <si>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0.04332 (0.07347)</t>
  </si>
  <si>
    <t>0.02576 (0.00173)</t>
  </si>
  <si>
    <t>0.12520 (0.00881)</t>
  </si>
  <si>
    <t>0.00114 (0.00020)</t>
  </si>
  <si>
    <t>topB</t>
  </si>
  <si>
    <t>DNA topoisomerase III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</si>
  <si>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</si>
  <si>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0.04294 (0.01235)</t>
  </si>
  <si>
    <t>0.04938 (0.03283)</t>
  </si>
  <si>
    <t>0.01095 (0.00026)</t>
  </si>
  <si>
    <t>0.04191 (0.00103)</t>
  </si>
  <si>
    <t>0.00209 (0.00008)</t>
  </si>
  <si>
    <t>epsJ</t>
  </si>
  <si>
    <t>glycosyl hydrolase lipoprotein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</si>
  <si>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</si>
  <si>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0.28773 (0.10871)</t>
  </si>
  <si>
    <t>0.26211 (0.10895)</t>
  </si>
  <si>
    <t>0.01202 (0.00059)</t>
  </si>
  <si>
    <t>0.02767 (0.00145)</t>
  </si>
  <si>
    <t>0.00772 (0.00046)</t>
  </si>
  <si>
    <t>epsK</t>
  </si>
  <si>
    <t>cyclic-di-GMP receptor</t>
  </si>
  <si>
    <t>0.11508 (0.10475)</t>
  </si>
  <si>
    <t>0.17815 (0.09545)</t>
  </si>
  <si>
    <t>0.01862 (0.00088)</t>
  </si>
  <si>
    <t>0.05490 (0.00249)</t>
  </si>
  <si>
    <t>0.00834 (0.00060)</t>
  </si>
  <si>
    <t>ydaL</t>
  </si>
  <si>
    <t>0.19426 (0.05253)</t>
  </si>
  <si>
    <t>0.06807 (0.02312)</t>
  </si>
  <si>
    <t>0.01495 (0.00036)</t>
  </si>
  <si>
    <t>0.04616 (0.00114)</t>
  </si>
  <si>
    <t>0.00608 (0.00020)</t>
  </si>
  <si>
    <t>ydaM</t>
  </si>
  <si>
    <t>putative glycosyltransferase associated tobiofilm formation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</si>
  <si>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GCA_001889625.1_ASM188962v1_genomic , GCA_002055965.1_ASM205596v1_genomic , GCA_002072735.1_ASM207273v1_genomic , GCA_002142595.1_ASM214259v1_genomic , GCA_002163815.1_ASM216381v1_genomic</t>
  </si>
  <si>
    <t>0.45679 (0.11424)</t>
  </si>
  <si>
    <t>0.04850 (0.03669)</t>
  </si>
  <si>
    <t>0.01484 (0.02614)</t>
  </si>
  <si>
    <t>0.02653 (0.00165)</t>
  </si>
  <si>
    <t>0.12860 (0.00856)</t>
  </si>
  <si>
    <t>0.00260 (0.00018)</t>
  </si>
  <si>
    <t>ydaN</t>
  </si>
  <si>
    <t>putative regulator of exopolysaccharidesynthesis</t>
  </si>
  <si>
    <t>0.17566 (0.05969)</t>
  </si>
  <si>
    <t>0.09914 (0.03758)</t>
  </si>
  <si>
    <t>0.01537 (0.00043)</t>
  </si>
  <si>
    <t>0.04783 (0.00155)</t>
  </si>
  <si>
    <t>0.00616 (0.00016)</t>
  </si>
  <si>
    <t>kimA</t>
  </si>
  <si>
    <t>cyclic di-AMP controlled transporter ofpotassium</t>
  </si>
  <si>
    <t>0.89506 (0.09598)</t>
  </si>
  <si>
    <t>0.01562 (0.03843)</t>
  </si>
  <si>
    <t>0.02001 (0.02802)</t>
  </si>
  <si>
    <t>0.01371 (0.00077)</t>
  </si>
  <si>
    <t>0.05465 (0.00300)</t>
  </si>
  <si>
    <t>0.00090 (0.00014)</t>
  </si>
  <si>
    <t>nudT</t>
  </si>
  <si>
    <t>putative NTP pyrophosphohydrolase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</si>
  <si>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</si>
  <si>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0.25836 (0.16028)</t>
  </si>
  <si>
    <t>0.22329 (0.08069)</t>
  </si>
  <si>
    <t>0.02249 (0.00108)</t>
  </si>
  <si>
    <t>0.05038 (0.00267)</t>
  </si>
  <si>
    <t>0.01466 (0.00082)</t>
  </si>
  <si>
    <t>poxB</t>
  </si>
  <si>
    <t>acetyl-phosphate generating pyruvate oxidase</t>
  </si>
  <si>
    <t>0.08601 (0.02401)</t>
  </si>
  <si>
    <t>0.01385 (0.00989)</t>
  </si>
  <si>
    <t>0.01632 (0.00041)</t>
  </si>
  <si>
    <t>0.06658 (0.00183)</t>
  </si>
  <si>
    <t>0.00226 (0.00007)</t>
  </si>
  <si>
    <t>mntH</t>
  </si>
  <si>
    <t>proton-coupled manganese transporter</t>
  </si>
  <si>
    <t>0.02891 (0.02555)</t>
  </si>
  <si>
    <t>0.09271 (0.09349)</t>
  </si>
  <si>
    <t>0.01190 (0.00059)</t>
  </si>
  <si>
    <t>0.04416 (0.00235)</t>
  </si>
  <si>
    <t>0.00150 (0.00012)</t>
  </si>
  <si>
    <t>ydaS</t>
  </si>
  <si>
    <t>0.01046 (0.00065)</t>
  </si>
  <si>
    <t>0.04091 (0.00262)</t>
  </si>
  <si>
    <t>ydaT</t>
  </si>
  <si>
    <t>0.79424 (0.10304)</t>
  </si>
  <si>
    <t>0.29699 (0.17136)</t>
  </si>
  <si>
    <t>0.26514 (0.38269)</t>
  </si>
  <si>
    <t>0.01173 (0.00084)</t>
  </si>
  <si>
    <t>0.02704 (0.00230)</t>
  </si>
  <si>
    <t>0.00787 (0.00084)</t>
  </si>
  <si>
    <t>ydbA</t>
  </si>
  <si>
    <t>0.12227 (0.05945)</t>
  </si>
  <si>
    <t>0.12775 (0.10966)</t>
  </si>
  <si>
    <t>0.01075 (0.00055)</t>
  </si>
  <si>
    <t>0.03489 (0.00189)</t>
  </si>
  <si>
    <t>0.00406 (0.00027)</t>
  </si>
  <si>
    <t>gsiB</t>
  </si>
  <si>
    <t>general stress protein glucose starvationinduced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</si>
  <si>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</si>
  <si>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0.03374 (0.05842)</t>
  </si>
  <si>
    <t>0.05738 (0.02668)</t>
  </si>
  <si>
    <t>0.03173 (0.00127)</t>
  </si>
  <si>
    <t>0.14303 (0.00586)</t>
  </si>
  <si>
    <t>0.00981 (0.00055)</t>
  </si>
  <si>
    <t>ydbB</t>
  </si>
  <si>
    <t>putative enzyme; cupin family</t>
  </si>
  <si>
    <t>0.33280 (0.23844)</t>
  </si>
  <si>
    <t>0.07734 (0.11411)</t>
  </si>
  <si>
    <t>0.01486 (0.00097)</t>
  </si>
  <si>
    <t>0.04410 (0.00473)</t>
  </si>
  <si>
    <t>0.00735 (0.00057)</t>
  </si>
  <si>
    <t>ydbC</t>
  </si>
  <si>
    <t>0.28470 (0.11051)</t>
  </si>
  <si>
    <t>0.15372 (0.22492)</t>
  </si>
  <si>
    <t>0.02033 (0.00144)</t>
  </si>
  <si>
    <t>0.05712 (0.00606)</t>
  </si>
  <si>
    <t>0.01181 (0.00054)</t>
  </si>
  <si>
    <t>ydbD</t>
  </si>
  <si>
    <t>putative manganese-containing catalase</t>
  </si>
  <si>
    <t>0.07374 (0.14119)</t>
  </si>
  <si>
    <t>0.05577 (0.03680)</t>
  </si>
  <si>
    <t>0.01633 (0.00136)</t>
  </si>
  <si>
    <t>0.06585 (0.00640)</t>
  </si>
  <si>
    <t>0.00385 (0.00024)</t>
  </si>
  <si>
    <t>dctB</t>
  </si>
  <si>
    <t>membrane bound C4-dicarboxylate binding sensorprotein</t>
  </si>
  <si>
    <t>0.09830 (0.03474)</t>
  </si>
  <si>
    <t>0.11659 (0.05400)</t>
  </si>
  <si>
    <t>0.01053 (0.00033)</t>
  </si>
  <si>
    <t>0.03562 (0.00140)</t>
  </si>
  <si>
    <t>dctS</t>
  </si>
  <si>
    <t>two-component sensor histidine kinase</t>
  </si>
  <si>
    <t>0.08719 (0.02874)</t>
  </si>
  <si>
    <t>0.03129 (0.01840)</t>
  </si>
  <si>
    <t>0.01086 (0.00027)</t>
  </si>
  <si>
    <t>0.04077 (0.00113)</t>
  </si>
  <si>
    <t>0.00249 (0.00011)</t>
  </si>
  <si>
    <t>dctR</t>
  </si>
  <si>
    <t>two-component response regulator</t>
  </si>
  <si>
    <t>0.06536 (0.11077)</t>
  </si>
  <si>
    <t>0.09686 (0.06686)</t>
  </si>
  <si>
    <t>0.01142 (0.00074)</t>
  </si>
  <si>
    <t>0.03949 (0.00277)</t>
  </si>
  <si>
    <t>0.00370 (0.00028)</t>
  </si>
  <si>
    <t>dctP</t>
  </si>
  <si>
    <t>C4-dicarboxylate transport protein</t>
  </si>
  <si>
    <t>0.02427 (0.01614)</t>
  </si>
  <si>
    <t>0.02083 (0.02464)</t>
  </si>
  <si>
    <t>0.02451 (0.00124)</t>
  </si>
  <si>
    <t>0.10554 (0.00564)</t>
  </si>
  <si>
    <t>0.00229 (0.00013)</t>
  </si>
  <si>
    <t>ydbI</t>
  </si>
  <si>
    <t>putative integral inner membrane protein</t>
  </si>
  <si>
    <t>0.03155 (0.05865)</t>
  </si>
  <si>
    <t>0.00943 (0.00049)</t>
  </si>
  <si>
    <t>0.04060 (0.00219)</t>
  </si>
  <si>
    <t>0.00053 (0.00009)</t>
  </si>
  <si>
    <t>ydbJ</t>
  </si>
  <si>
    <t>putative ABC transporter (ATP-binding subunit)</t>
  </si>
  <si>
    <t>0.07694 (0.04043)</t>
  </si>
  <si>
    <t>0.04941 (0.04049)</t>
  </si>
  <si>
    <t>0.01699 (0.00046)</t>
  </si>
  <si>
    <t>0.06321 (0.00198)</t>
  </si>
  <si>
    <t>0.00436 (0.00023)</t>
  </si>
  <si>
    <t>ydbK</t>
  </si>
  <si>
    <t>putative efflux ABC-transporter (permeasesubunit)</t>
  </si>
  <si>
    <t>0.09090 (0.07240)</t>
  </si>
  <si>
    <t>0.04381 (0.04871)</t>
  </si>
  <si>
    <t>0.00934 (0.00045)</t>
  </si>
  <si>
    <t>0.03310 (0.00177)</t>
  </si>
  <si>
    <t>0.00230 (0.00016)</t>
  </si>
  <si>
    <t>ydbL</t>
  </si>
  <si>
    <t>putative glyco-prenyl flippase subunit</t>
  </si>
  <si>
    <t>0.06989 (0.06471)</t>
  </si>
  <si>
    <t>0.04077 (0.05119)</t>
  </si>
  <si>
    <t>0.02920 (0.00240)</t>
  </si>
  <si>
    <t>0.11371 (0.00971)</t>
  </si>
  <si>
    <t>0.00553 (0.00063)</t>
  </si>
  <si>
    <t>ydbM</t>
  </si>
  <si>
    <t>putative acyl-CoA dehydrogenase</t>
  </si>
  <si>
    <t>0.08593 (0.07077)</t>
  </si>
  <si>
    <t>0.02354 (0.02081)</t>
  </si>
  <si>
    <t>0.02316 (0.00152)</t>
  </si>
  <si>
    <t>0.08864 (0.00604)</t>
  </si>
  <si>
    <t>0.00552 (0.00046)</t>
  </si>
  <si>
    <t>fbpB</t>
  </si>
  <si>
    <t>regulator of iron homeostasis</t>
  </si>
  <si>
    <t>0.21077 (0.21220)</t>
  </si>
  <si>
    <t>0.13652 (0.06714)</t>
  </si>
  <si>
    <t>0.02949 (0.00125)</t>
  </si>
  <si>
    <t>0.11038 (0.00621)</t>
  </si>
  <si>
    <t>0.01174 (0.00088)</t>
  </si>
  <si>
    <t>fbpA</t>
  </si>
  <si>
    <t>0.11139 (0.12210)</t>
  </si>
  <si>
    <t>0.18566 (0.17989)</t>
  </si>
  <si>
    <t>0.01863 (0.00103)</t>
  </si>
  <si>
    <t>0.05596 (0.00519)</t>
  </si>
  <si>
    <t>0.00900 (0.00083)</t>
  </si>
  <si>
    <t>ydbO</t>
  </si>
  <si>
    <t>putative cation efflux system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</si>
  <si>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</si>
  <si>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0.05203 (0.03228)</t>
  </si>
  <si>
    <t>0.00918 (0.00036)</t>
  </si>
  <si>
    <t>0.03578 (0.00157)</t>
  </si>
  <si>
    <t>0.00108 (0.00010)</t>
  </si>
  <si>
    <t>ydbP</t>
  </si>
  <si>
    <t>putative thioredoxin or thiol-disulfideisomerase</t>
  </si>
  <si>
    <t>0.05019 (0.04924)</t>
  </si>
  <si>
    <t>0.01207 (0.03559)</t>
  </si>
  <si>
    <t>0.02466 (0.00132)</t>
  </si>
  <si>
    <t>0.12925 (0.00753)</t>
  </si>
  <si>
    <t>0.00309 (0.00023)</t>
  </si>
  <si>
    <t>ddlA</t>
  </si>
  <si>
    <t>D-alanyl-D-alanine ligase A</t>
  </si>
  <si>
    <t>0.07798 (0.05974)</t>
  </si>
  <si>
    <t>0.02067 (0.02156)</t>
  </si>
  <si>
    <t>0.02397 (0.00111)</t>
  </si>
  <si>
    <t>0.09981 (0.00478)</t>
  </si>
  <si>
    <t>0.00415 (0.00029)</t>
  </si>
  <si>
    <t>murF</t>
  </si>
  <si>
    <t>UDP-N-acetylmuramoylalanyl-D-glutamyl-2,6-diaminopimelate-D-alanyl-D-alanine ligase</t>
  </si>
  <si>
    <t>0.13263 (0.01932)</t>
  </si>
  <si>
    <t>0.16894 (0.05218)</t>
  </si>
  <si>
    <t>0.01661 (0.00040)</t>
  </si>
  <si>
    <t>0.04911 (0.00136)</t>
  </si>
  <si>
    <t>0.00747 (0.00023)</t>
  </si>
  <si>
    <t>cshA</t>
  </si>
  <si>
    <t>ATP-dependent RNA helicase; cold shock</t>
  </si>
  <si>
    <t>0.26389 (0.07870)</t>
  </si>
  <si>
    <t>0.03868 (0.06467)</t>
  </si>
  <si>
    <t>0.01212 (0.02224)</t>
  </si>
  <si>
    <t>0.01739 (0.00087)</t>
  </si>
  <si>
    <t>0.07577 (0.00397)</t>
  </si>
  <si>
    <t>ydbS</t>
  </si>
  <si>
    <t>resistance to heterologous antibiotics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</si>
  <si>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</si>
  <si>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0.03471 (0.10966)</t>
  </si>
  <si>
    <t>0.02609 (0.05506)</t>
  </si>
  <si>
    <t>0.01898 (0.00179)</t>
  </si>
  <si>
    <t>0.07671 (0.00707)</t>
  </si>
  <si>
    <t>0.00242 (0.00045)</t>
  </si>
  <si>
    <t>ydbT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</si>
  <si>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</si>
  <si>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0.10732 (0.12307)</t>
  </si>
  <si>
    <t>0.07056 (0.04178)</t>
  </si>
  <si>
    <t>0.01740 (0.00068)</t>
  </si>
  <si>
    <t>0.06246 (0.00249)</t>
  </si>
  <si>
    <t>0.00493 (0.00028)</t>
  </si>
  <si>
    <t>ydcA</t>
  </si>
  <si>
    <t>putative rhomboid protease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</si>
  <si>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</si>
  <si>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0.26926 (0.10325)</t>
  </si>
  <si>
    <t>0.01600 (0.04333)</t>
  </si>
  <si>
    <t>0.01718 (0.00079)</t>
  </si>
  <si>
    <t>0.05907 (0.00334)</t>
  </si>
  <si>
    <t>0.00444 (0.00030)</t>
  </si>
  <si>
    <t>acpS</t>
  </si>
  <si>
    <t>holo-acyl carrier protein synthase(phosphopantetheinyl transferase)</t>
  </si>
  <si>
    <t>0.07224 (0.07419)</t>
  </si>
  <si>
    <t>0.08302 (0.07966)</t>
  </si>
  <si>
    <t>0.01673 (0.00064)</t>
  </si>
  <si>
    <t>0.05803 (0.00263)</t>
  </si>
  <si>
    <t>0.00534 (0.00051)</t>
  </si>
  <si>
    <t>ydcC</t>
  </si>
  <si>
    <t>0.02081 (0.02206)</t>
  </si>
  <si>
    <t>0.01278 (0.01467)</t>
  </si>
  <si>
    <t>0.02301 (0.00149)</t>
  </si>
  <si>
    <t>0.11061 (0.00771)</t>
  </si>
  <si>
    <t>0.00177 (0.00011)</t>
  </si>
  <si>
    <t>alrA</t>
  </si>
  <si>
    <t>D-alanine racemase</t>
  </si>
  <si>
    <t>0.09788 (0.03712)</t>
  </si>
  <si>
    <t>0.01286 (0.00040)</t>
  </si>
  <si>
    <t>0.04924 (0.00155)</t>
  </si>
  <si>
    <t>0.00234 (0.00018)</t>
  </si>
  <si>
    <t>ndoA</t>
  </si>
  <si>
    <t>endoribonuclease toxin</t>
  </si>
  <si>
    <t>0.79259 (0.08120)</t>
  </si>
  <si>
    <t>0.02548 (0.00512)</t>
  </si>
  <si>
    <t>0.12821 (0.02646)</t>
  </si>
  <si>
    <t>rsbRA</t>
  </si>
  <si>
    <t>component of the anxiosome (stressosome);positive regulation of sigma(B) activity in response tosalt and heat stress</t>
  </si>
  <si>
    <t>0.02233 (0.03284)</t>
  </si>
  <si>
    <t>0.01284 (0.00074)</t>
  </si>
  <si>
    <t>0.05590 (0.00325)</t>
  </si>
  <si>
    <t>0.00077 (0.00011)</t>
  </si>
  <si>
    <t>rsbS</t>
  </si>
  <si>
    <t>antagonist of RsbT</t>
  </si>
  <si>
    <t>0.06680 (0.08715)</t>
  </si>
  <si>
    <t>0.01402 (0.00068)</t>
  </si>
  <si>
    <t>0.05879 (0.00308)</t>
  </si>
  <si>
    <t>0.00120 (0.00022)</t>
  </si>
  <si>
    <t>rsbT</t>
  </si>
  <si>
    <t>switch protein/serine-threonine kinase; controlsthe activity of the anxiosome (stressosome)</t>
  </si>
  <si>
    <t>0.06992 (0.11130)</t>
  </si>
  <si>
    <t>0.04705 (0.07405)</t>
  </si>
  <si>
    <t>0.02196 (0.00239)</t>
  </si>
  <si>
    <t>0.09091 (0.01144)</t>
  </si>
  <si>
    <t>0.00392 (0.00038)</t>
  </si>
  <si>
    <t>rsbU</t>
  </si>
  <si>
    <t>protein serine phosphatase; controls theactivity of the anxiosome (stressosome)</t>
  </si>
  <si>
    <t>0.03022 (0.02036)</t>
  </si>
  <si>
    <t>0.02446 (0.04668)</t>
  </si>
  <si>
    <t>0.02341 (0.00156)</t>
  </si>
  <si>
    <t>0.11069 (0.00768)</t>
  </si>
  <si>
    <t>0.00296 (0.00022)</t>
  </si>
  <si>
    <t>rsbV</t>
  </si>
  <si>
    <t>anti-anti-sigma factor (antagonist of RsbW)</t>
  </si>
  <si>
    <t>0.58864 (0.10164)</t>
  </si>
  <si>
    <t>0.02424 (0.07316)</t>
  </si>
  <si>
    <t>0.11876 (0.10263)</t>
  </si>
  <si>
    <t>0.02519 (0.00240)</t>
  </si>
  <si>
    <t>0.09255 (0.00947)</t>
  </si>
  <si>
    <t>0.00771 (0.00074)</t>
  </si>
  <si>
    <t>rsbW</t>
  </si>
  <si>
    <t>switch protein/serine kinase and anti-sigmafactor (inhibitory sigma-B binding protein)</t>
  </si>
  <si>
    <t>0.55102 (0.09692)</t>
  </si>
  <si>
    <t>0.04484 (0.07065)</t>
  </si>
  <si>
    <t>0.05435 (0.05309)</t>
  </si>
  <si>
    <t>0.02910 (0.00190)</t>
  </si>
  <si>
    <t>0.12428 (0.00957)</t>
  </si>
  <si>
    <t>0.00587 (0.00042)</t>
  </si>
  <si>
    <t>sigB</t>
  </si>
  <si>
    <t>RNA polymerase sigma-37 factor (sigma(B))</t>
  </si>
  <si>
    <t>0.05371 (0.03793)</t>
  </si>
  <si>
    <t>0.02868 (0.07458)</t>
  </si>
  <si>
    <t>0.02189 (0.00136)</t>
  </si>
  <si>
    <t>0.09625 (0.00613)</t>
  </si>
  <si>
    <t>0.00339 (0.00026)</t>
  </si>
  <si>
    <t>rsbX</t>
  </si>
  <si>
    <t>serine phosphatase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</si>
  <si>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</si>
  <si>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0.10370 (0.06927)</t>
  </si>
  <si>
    <t>0.04778 (0.07883)</t>
  </si>
  <si>
    <t>0.01666 (0.00164)</t>
  </si>
  <si>
    <t>0.06521 (0.00754)</t>
  </si>
  <si>
    <t>0.00411 (0.00027)</t>
  </si>
  <si>
    <t>ydcG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</si>
  <si>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GCA_001808235.1_ASM180823v1_genomic , GCA_001890405.1_ASM189040v1_genomic , GCA_001902555.1_ASM190255v1_genomic , GCA_002055965.1_ASM205596v1_genomic , GCA_002096095.1_ASM209609v1_genomic</t>
  </si>
  <si>
    <t>0.17190 (0.19108)</t>
  </si>
  <si>
    <t>0.01416 (0.00246)</t>
  </si>
  <si>
    <t>0.04876 (0.00859)</t>
  </si>
  <si>
    <t>0.00492 (0.00117)</t>
  </si>
  <si>
    <t>ydcH</t>
  </si>
  <si>
    <t>0.26865 (0.18997)</t>
  </si>
  <si>
    <t>0.00913 (0.00186)</t>
  </si>
  <si>
    <t>0.03298 (0.00785)</t>
  </si>
  <si>
    <t>0.00291 (0.00069)</t>
  </si>
  <si>
    <t>tex</t>
  </si>
  <si>
    <t>RNA helicase transcriptional accessory protein</t>
  </si>
  <si>
    <t>0.06465 (0.02718)</t>
  </si>
  <si>
    <t>0.04206 (0.01719)</t>
  </si>
  <si>
    <t>0.01595 (0.00049)</t>
  </si>
  <si>
    <t>0.06216 (0.00219)</t>
  </si>
  <si>
    <t>0.00300 (0.00013)</t>
  </si>
  <si>
    <t>cmpA</t>
  </si>
  <si>
    <t>factor allowing degradation of SpoIVA by ClpXPgene            528129..528581CDS             528129..528581organisms</t>
  </si>
  <si>
    <t>0.01622 (0.00213)</t>
  </si>
  <si>
    <t>0.10344 (0.01456)</t>
  </si>
  <si>
    <t>nicK</t>
  </si>
  <si>
    <t>ICEBs1 mobile element: DNA relaxase</t>
  </si>
  <si>
    <t>ref , GCA_000209795.2_ASM20979v2_genomic , GCA_000344745.1_ASM34474v1_genomic , GCA_000699465.1_ASM69946v1_genomic , GCA_000699525.1_ASM69952v1_genomic , GCA_000789275.1_ASM78927v1_genomic , GCA_000789295.1_ASM78929v1_genomic , GCA_000953615.1_BS49Ch_genomic , GCA_000971925.1_ASM97192v1_genomic , GCA_001565875.1_ASM156587v1_genomic , GCA_001697265.1_ASM169726v1_genomic , GCA_001703495.1_ASM170349v1_genomic , GCA_001746575.1_ASM174657v1_genomic , GCA_001890405.1_ASM189040v1_genomic , GCA_001902555.1_ASM190255v1_genomic , GCA_002055965.1_ASM205596v1_genomic , GCA_002096095.1_ASM209609v1_genomic , GCA_002142595.1_ASM214259v1_genomic</t>
  </si>
  <si>
    <t>0.13294 (0.01958)</t>
  </si>
  <si>
    <t>0.03992 (0.00000)</t>
  </si>
  <si>
    <t>0.04072 (0.00363)</t>
  </si>
  <si>
    <t>0.15482 (0.01667)</t>
  </si>
  <si>
    <t>0.01438 (0.00205)</t>
  </si>
  <si>
    <t>conC</t>
  </si>
  <si>
    <t>ICEBs1 mobile element: subunit of theconjugation machinery</t>
  </si>
  <si>
    <t>ref , GCA_000209795.2_ASM20979v2_genomic , GCA_000344745.1_ASM34474v1_genomic , GCA_000699465.1_ASM69946v1_genomic , GCA_000699525.1_ASM69952v1_genomic , GCA_000789275.1_ASM78927v1_genomic , GCA_000789295.1_ASM78929v1_genomic , GCA_000953615.1_BS49Ch_genomic , GCA_000971925.1_ASM97192v1_genomic , GCA_001565875.1_ASM156587v1_genomic , GCA_001697265.1_ASM169726v1_genomic , GCA_001703495.1_ASM170349v1_genomic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</si>
  <si>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0.05726 (0.02520)</t>
  </si>
  <si>
    <t>0.03429 (0.00519)</t>
  </si>
  <si>
    <t>0.13487 (0.02282)</t>
  </si>
  <si>
    <t>0.01137 (0.00230)</t>
  </si>
  <si>
    <t>conE</t>
  </si>
  <si>
    <t>ICEBs1 mobile element: VirB4-like ATPase</t>
  </si>
  <si>
    <t>0.03609 (0.03833)</t>
  </si>
  <si>
    <t>0.03532 (0.00000)</t>
  </si>
  <si>
    <t>0.01959 (0.00373)</t>
  </si>
  <si>
    <t>0.08841 (0.01670)</t>
  </si>
  <si>
    <t>0.00289 (0.00069)</t>
  </si>
  <si>
    <t>cwlT</t>
  </si>
  <si>
    <t>ICEBs1 mobile element: two-domain autolysin withN-acetylmuramidase and DL-endopeptidase activity VirB1</t>
  </si>
  <si>
    <t>ref , GCA_000209795.2_ASM20979v2_genomic , GCA_000344745.1_ASM34474v1_genomic , GCA_000699465.1_ASM69946v1_genomic , GCA_000699525.1_ASM69952v1_genomic , GCA_000789275.1_ASM78927v1_genomic , GCA_000789295.1_ASM78929v1_genomic , GCA_000953615.1_BS49Ch_genomic , GCA_000971925.1_ASM97192v1_genomic , GCA_001015095.1_ASM101509v1_genomic , GCA_001565875.1_ASM156587v1_genomic , GCA_001697265.1_ASM169726v1_genomic , GCA_001703495.1_ASM170349v1_genomic , GCA_001746575.1_ASM174657v1_genomic , GCA_001890405.1_ASM189040v1_genomic , GCA_001902555.1_ASM190255v1_genomic , GCA_002055965.1_ASM205596v1_genomic , GCA_002096095.1_ASM209609v1_genomic , GCA_002142595.1_ASM214259v1_genomic</t>
  </si>
  <si>
    <t>0.09717 (0.08027)</t>
  </si>
  <si>
    <t>0.03567 (0.00474)</t>
  </si>
  <si>
    <t>0.14432 (0.02337)</t>
  </si>
  <si>
    <t>0.00909 (0.00123)</t>
  </si>
  <si>
    <t>yddN</t>
  </si>
  <si>
    <t>putative alkanal monooxygenase</t>
  </si>
  <si>
    <t>ref , GCA_000227465.1_ASM22746v1_genomic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GCA_001604995.1_ASM160499v1_genomic , GCA_001660525.1_ASM166052v1_genomic , GCA_001697265.1_ASM169726v1_genomic , GCA_001703495.1_ASM170349v1_genomic , GCA_001808235.1_ASM180823v1_genomic , GCA_002055965.1_ASM205596v1_genomic</t>
  </si>
  <si>
    <t>0.16033 (0.12415)</t>
  </si>
  <si>
    <t>0.52691 (0.00000)</t>
  </si>
  <si>
    <t>0.02285 (0.00381)</t>
  </si>
  <si>
    <t>0.05511 (0.00971)</t>
  </si>
  <si>
    <t>0.01423 (0.00257)</t>
  </si>
  <si>
    <t>lrpA</t>
  </si>
  <si>
    <t>ref , GCA_000227465.1_ASM22746v1_genomic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GCA_001604995.1_ASM160499v1_genomic , GCA_001660525.1_ASM166052v1_genomic , GCA_001697265.1_ASM169726v1_genomic , GCA_001703495.1_ASM170349v1_genomic , GCA_001808235.1_ASM180823v1_genomic , GCA_002055965.1_ASM205596v1_genomic</t>
  </si>
  <si>
    <t>0.07425 (0.05774)</t>
  </si>
  <si>
    <t>0.17471 (0.01402)</t>
  </si>
  <si>
    <t>0.01471 (0.00187)</t>
  </si>
  <si>
    <t>0.04866 (0.00708)</t>
  </si>
  <si>
    <t>0.00623 (0.00088)</t>
  </si>
  <si>
    <t>lrpB</t>
  </si>
  <si>
    <t>ref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GCA_001604995.1_ASM160499v1_genomic , GCA_001660525.1_ASM166052v1_genomic , GCA_001697265.1_ASM169726v1_genomic , GCA_001703495.1_ASM170349v1_genomic , GCA_001808235.1_ASM180823v1_genomic , GCA_002055965.1_ASM205596v1_genomic</t>
  </si>
  <si>
    <t>0.74150 (0.12363)</t>
  </si>
  <si>
    <t>0.39258 (0.46471)</t>
  </si>
  <si>
    <t>0.02125 (0.00747)</t>
  </si>
  <si>
    <t>0.04015 (0.01639)</t>
  </si>
  <si>
    <t>0.01721 (0.00552)</t>
  </si>
  <si>
    <t>yddR</t>
  </si>
  <si>
    <t>putative metal-dependent hydrolase</t>
  </si>
  <si>
    <t>0.18775 (0.17495)</t>
  </si>
  <si>
    <t>0.04412 (0.04526)</t>
  </si>
  <si>
    <t>0.01719 (0.00291)</t>
  </si>
  <si>
    <t>0.05527 (0.01069)</t>
  </si>
  <si>
    <t>0.00771 (0.00117)</t>
  </si>
  <si>
    <t>yddS</t>
  </si>
  <si>
    <t>0.12354 (0.14127)</t>
  </si>
  <si>
    <t>0.06764 (0.07890)</t>
  </si>
  <si>
    <t>0.02492 (0.00454)</t>
  </si>
  <si>
    <t>0.08014 (0.01495)</t>
  </si>
  <si>
    <t>0.00762 (0.00150)</t>
  </si>
  <si>
    <t>ydzM</t>
  </si>
  <si>
    <t>conserved phage protein of unknown function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</si>
  <si>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</si>
  <si>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0.83391 (0.08584)</t>
  </si>
  <si>
    <t>0.00958 (0.00175)</t>
  </si>
  <si>
    <t>0.04351 (0.00820)</t>
  </si>
  <si>
    <t>yddT</t>
  </si>
  <si>
    <t>putative exported phage protein</t>
  </si>
  <si>
    <t>0.17261 (0.20991)</t>
  </si>
  <si>
    <t>0.14041 (0.00000)</t>
  </si>
  <si>
    <t>0.01901 (0.00415)</t>
  </si>
  <si>
    <t>0.05694 (0.01715)</t>
  </si>
  <si>
    <t>0.00945 (0.00126)</t>
  </si>
  <si>
    <t>cspC</t>
  </si>
  <si>
    <t>cold-shock protein</t>
  </si>
  <si>
    <t>0.08325 (0.06023)</t>
  </si>
  <si>
    <t>0.07070 (0.03760)</t>
  </si>
  <si>
    <t>0.02479 (0.00177)</t>
  </si>
  <si>
    <t>0.09865 (0.00738)</t>
  </si>
  <si>
    <t>0.00792 (0.00093)</t>
  </si>
  <si>
    <t>cdnL</t>
  </si>
  <si>
    <t>transcriptional regulator for repair andoutgrowth of heat damaged spores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</si>
  <si>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</si>
  <si>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0.13908 (0.14614)</t>
  </si>
  <si>
    <t>0.26912 (0.54957)</t>
  </si>
  <si>
    <t>0.01866 (0.00216)</t>
  </si>
  <si>
    <t>0.05098 (0.00487)</t>
  </si>
  <si>
    <t>0.01150 (0.00174)</t>
  </si>
  <si>
    <t>ydzE</t>
  </si>
  <si>
    <t>0.12096 (0.10766)</t>
  </si>
  <si>
    <t>0.15292 (0.05352)</t>
  </si>
  <si>
    <t>0.02224 (0.00171)</t>
  </si>
  <si>
    <t>0.06521 (0.00574)</t>
  </si>
  <si>
    <t>0.01020 (0.00120)</t>
  </si>
  <si>
    <t>ydeC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</si>
  <si>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</si>
  <si>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0.25212 (0.09933)</t>
  </si>
  <si>
    <t>0.13794 (0.04648)</t>
  </si>
  <si>
    <t>0.01385 (0.00063)</t>
  </si>
  <si>
    <t>0.04210 (0.00210)</t>
  </si>
  <si>
    <t>0.00703 (0.00040)</t>
  </si>
  <si>
    <t>ydeD</t>
  </si>
  <si>
    <t>0.14034 (0.14441)</t>
  </si>
  <si>
    <t>0.16008 (0.09323)</t>
  </si>
  <si>
    <t>0.02015 (0.00081)</t>
  </si>
  <si>
    <t>0.05931 (0.00261)</t>
  </si>
  <si>
    <t>0.00879 (0.00046)</t>
  </si>
  <si>
    <t>ydeE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</si>
  <si>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GCA_002096095.1_ASM209609v1_genomic , GCA_002142595.1_ASM214259v1_genomic , GCA_002173615.1_ASM217361v1_genomic</t>
  </si>
  <si>
    <t>0.28134 (0.15108)</t>
  </si>
  <si>
    <t>0.11329 (0.19903)</t>
  </si>
  <si>
    <t>0.02478 (0.00143)</t>
  </si>
  <si>
    <t>0.07930 (0.00434)</t>
  </si>
  <si>
    <t>0.01092 (0.00079)</t>
  </si>
  <si>
    <t>ydeF</t>
  </si>
  <si>
    <t>0.11036 (0.03980)</t>
  </si>
  <si>
    <t>0.15690 (0.02634)</t>
  </si>
  <si>
    <t>0.02129 (0.00093)</t>
  </si>
  <si>
    <t>0.06591 (0.00321)</t>
  </si>
  <si>
    <t>0.00870 (0.00049)</t>
  </si>
  <si>
    <t>ydeG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</si>
  <si>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</si>
  <si>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0.16271 (0.11693)</t>
  </si>
  <si>
    <t>0.14135 (0.08838)</t>
  </si>
  <si>
    <t>0.01979 (0.00109)</t>
  </si>
  <si>
    <t>0.05414 (0.00325)</t>
  </si>
  <si>
    <t>0.00853 (0.00044)</t>
  </si>
  <si>
    <t>ydeH</t>
  </si>
  <si>
    <t>0.18214 (0.11953)</t>
  </si>
  <si>
    <t>0.15610 (0.11231)</t>
  </si>
  <si>
    <t>0.01493 (0.00064)</t>
  </si>
  <si>
    <t>0.03872 (0.00232)</t>
  </si>
  <si>
    <t>0.00784 (0.00044)</t>
  </si>
  <si>
    <t>ydeI</t>
  </si>
  <si>
    <t>0.17134 (0.05724)</t>
  </si>
  <si>
    <t>0.16483 (0.07602)</t>
  </si>
  <si>
    <t>0.01761 (0.00093)</t>
  </si>
  <si>
    <t>0.05185 (0.00366)</t>
  </si>
  <si>
    <t>0.00937 (0.00050)</t>
  </si>
  <si>
    <t>ydeJ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</si>
  <si>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</si>
  <si>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0.34628 (0.15643)</t>
  </si>
  <si>
    <t>0.26493 (0.05180)</t>
  </si>
  <si>
    <t>0.03321 (0.00148)</t>
  </si>
  <si>
    <t>0.07104 (0.00386)</t>
  </si>
  <si>
    <t>0.02412 (0.00113)</t>
  </si>
  <si>
    <t>ydeK</t>
  </si>
  <si>
    <t>0.07575 (0.03068)</t>
  </si>
  <si>
    <t>0.07801 (0.04066)</t>
  </si>
  <si>
    <t>0.02661 (0.00101)</t>
  </si>
  <si>
    <t>0.08680 (0.00345)</t>
  </si>
  <si>
    <t>0.00674 (0.00036)</t>
  </si>
  <si>
    <t>ydeL</t>
  </si>
  <si>
    <t>0.16277 (0.03462)</t>
  </si>
  <si>
    <t>0.13466 (0.05438)</t>
  </si>
  <si>
    <t>0.01614 (0.00058)</t>
  </si>
  <si>
    <t>0.04915 (0.00180)</t>
  </si>
  <si>
    <t>0.00695 (0.00035)</t>
  </si>
  <si>
    <t>ydeM</t>
  </si>
  <si>
    <t>putative dehydratase</t>
  </si>
  <si>
    <t>0.09368 (0.17467)</t>
  </si>
  <si>
    <t>0.15978 (0.10756)</t>
  </si>
  <si>
    <t>0.01587 (0.00181)</t>
  </si>
  <si>
    <t>0.05196 (0.00723)</t>
  </si>
  <si>
    <t>0.00710 (0.00074)</t>
  </si>
  <si>
    <t>ydeN</t>
  </si>
  <si>
    <t>putative alpha/beta hydrolase</t>
  </si>
  <si>
    <t>0.25583 (0.07136)</t>
  </si>
  <si>
    <t>0.22253 (0.07298)</t>
  </si>
  <si>
    <t>0.03123 (0.00123)</t>
  </si>
  <si>
    <t>0.08301 (0.00391)</t>
  </si>
  <si>
    <t>0.01794 (0.00077)</t>
  </si>
  <si>
    <t>ydzF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</si>
  <si>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GCA_002055965.1_ASM205596v1_genomic , GCA_002072735.1_ASM207273v1_genomic , GCA_002142595.1_ASM214259v1_genomic , GCA_002173615.1_ASM217361v1_genomic</t>
  </si>
  <si>
    <t>0.51308 (0.32205)</t>
  </si>
  <si>
    <t>0.24232 (0.12865)</t>
  </si>
  <si>
    <t>0.02697 (0.00105)</t>
  </si>
  <si>
    <t>0.05802 (0.00357)</t>
  </si>
  <si>
    <t>0.01947 (0.00082)</t>
  </si>
  <si>
    <t>ydeO</t>
  </si>
  <si>
    <t>0.05216 (0.02834)</t>
  </si>
  <si>
    <t>0.15650 (0.07748)</t>
  </si>
  <si>
    <t>0.01185 (0.00059)</t>
  </si>
  <si>
    <t>0.04031 (0.00221)</t>
  </si>
  <si>
    <t>0.00326 (0.00022)</t>
  </si>
  <si>
    <t>ydeP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</si>
  <si>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 , GCA_002142595.1_ASM214259v1_genomic</t>
  </si>
  <si>
    <t>0.56320 (0.81292)</t>
  </si>
  <si>
    <t>0.00391 (0.00053)</t>
  </si>
  <si>
    <t>0.00595 (0.00222)</t>
  </si>
  <si>
    <t>0.00335 (0.00079)</t>
  </si>
  <si>
    <t>ydeQ</t>
  </si>
  <si>
    <t>putative NAD(P)H oxidoreductase involved inregulating potassium efflux</t>
  </si>
  <si>
    <t>0.27926 (0.29784)</t>
  </si>
  <si>
    <t>0.00761 (0.00061)</t>
  </si>
  <si>
    <t>0.02631 (0.00291)</t>
  </si>
  <si>
    <t>0.00250 (0.00031)</t>
  </si>
  <si>
    <t>ydeR</t>
  </si>
  <si>
    <t>0.21856 (0.25991)</t>
  </si>
  <si>
    <t>0.08344 (0.02946)</t>
  </si>
  <si>
    <t>0.02110 (0.00173)</t>
  </si>
  <si>
    <t>0.05825 (0.00495)</t>
  </si>
  <si>
    <t>0.00874 (0.00079)</t>
  </si>
  <si>
    <t>ydeS</t>
  </si>
  <si>
    <t>0.19220 (0.03598)</t>
  </si>
  <si>
    <t>0.04362 (0.09664)</t>
  </si>
  <si>
    <t>0.00991 (0.00065)</t>
  </si>
  <si>
    <t>0.03300 (0.00285)</t>
  </si>
  <si>
    <t>0.00307 (0.00030)</t>
  </si>
  <si>
    <t>ydzO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</si>
  <si>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</t>
  </si>
  <si>
    <t>0.27921 (0.39486)</t>
  </si>
  <si>
    <t>0.00926 (0.00169)</t>
  </si>
  <si>
    <t>0.01282 (0.00523)</t>
  </si>
  <si>
    <t>0.00838 (0.00146)</t>
  </si>
  <si>
    <t>aseR</t>
  </si>
  <si>
    <t>transcriptional regulator (metals sensingArsR-SmtB repressors family)</t>
  </si>
  <si>
    <t>0.09571 (0.10156)</t>
  </si>
  <si>
    <t>0.07613 (0.08791)</t>
  </si>
  <si>
    <t>0.01068 (0.00081)</t>
  </si>
  <si>
    <t>0.04170 (0.00447)</t>
  </si>
  <si>
    <t>0.00391 (0.00040)</t>
  </si>
  <si>
    <t>arsF</t>
  </si>
  <si>
    <t>arsenite/antimonite/H+ antiporter</t>
  </si>
  <si>
    <t>0.84960 (0.09550)</t>
  </si>
  <si>
    <t>0.05965 (0.13857)</t>
  </si>
  <si>
    <t>0.03235 (0.06869)</t>
  </si>
  <si>
    <t>0.01243 (0.00137)</t>
  </si>
  <si>
    <t>0.04475 (0.00479)</t>
  </si>
  <si>
    <t>0.00258 (0.00048)</t>
  </si>
  <si>
    <t>ydfB</t>
  </si>
  <si>
    <t>putative acetyltransferase</t>
  </si>
  <si>
    <t>0.30788 (0.19769)</t>
  </si>
  <si>
    <t>0.02519 (0.06029)</t>
  </si>
  <si>
    <t>0.01884 (0.00114)</t>
  </si>
  <si>
    <t>0.05463 (0.00385)</t>
  </si>
  <si>
    <t>0.00959 (0.00064)</t>
  </si>
  <si>
    <t>ydfC</t>
  </si>
  <si>
    <t>putative aminoacid exporter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</si>
  <si>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</si>
  <si>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0.18965 (0.34365)</t>
  </si>
  <si>
    <t>0.19061 (0.18939)</t>
  </si>
  <si>
    <t>0.03377 (0.00346)</t>
  </si>
  <si>
    <t>0.09299 (0.01094)</t>
  </si>
  <si>
    <t>0.01702 (0.00160)</t>
  </si>
  <si>
    <t>ydfD</t>
  </si>
  <si>
    <t>0.17221 (0.18231)</t>
  </si>
  <si>
    <t>0.09057 (0.03032)</t>
  </si>
  <si>
    <t>0.01381 (0.00063)</t>
  </si>
  <si>
    <t>0.04416 (0.00212)</t>
  </si>
  <si>
    <t>0.00547 (0.00026)</t>
  </si>
  <si>
    <t>ydfE</t>
  </si>
  <si>
    <t>putative flavoprotein</t>
  </si>
  <si>
    <t>0.11880 (0.06824)</t>
  </si>
  <si>
    <t>0.20038 (0.07826)</t>
  </si>
  <si>
    <t>0.01875 (0.00064)</t>
  </si>
  <si>
    <t>0.05834 (0.00239)</t>
  </si>
  <si>
    <t>0.00806 (0.00042)</t>
  </si>
  <si>
    <t>ydfF</t>
  </si>
  <si>
    <t>0.06188 (0.05242)</t>
  </si>
  <si>
    <t>0.05985 (0.04703)</t>
  </si>
  <si>
    <t>0.01189 (0.00048)</t>
  </si>
  <si>
    <t>0.04590 (0.00197)</t>
  </si>
  <si>
    <t>0.00274 (0.00021)</t>
  </si>
  <si>
    <t>ydfG</t>
  </si>
  <si>
    <t>0.07533 (0.08751)</t>
  </si>
  <si>
    <t>0.05927 (0.06280)</t>
  </si>
  <si>
    <t>0.01480 (0.00114)</t>
  </si>
  <si>
    <t>0.05836 (0.00561)</t>
  </si>
  <si>
    <t>0.00404 (0.00035)</t>
  </si>
  <si>
    <t>ydzP</t>
  </si>
  <si>
    <t>0.33733 (0.34004)</t>
  </si>
  <si>
    <t>0.01871 (0.00395)</t>
  </si>
  <si>
    <t>0.03807 (0.00703)</t>
  </si>
  <si>
    <t>0.01274 (0.00361)</t>
  </si>
  <si>
    <t>ydzQ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</si>
  <si>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</si>
  <si>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0.07810 (0.12079)</t>
  </si>
  <si>
    <t>0.01358 (0.00271)</t>
  </si>
  <si>
    <t>0.05360 (0.01839)</t>
  </si>
  <si>
    <t>0.00463 (0.00134)</t>
  </si>
  <si>
    <t>ydfH</t>
  </si>
  <si>
    <t>two-component sensor histidine kinase [YdfI]</t>
  </si>
  <si>
    <t>0.62193 (0.12714)</t>
  </si>
  <si>
    <t>0.19501 (0.14473)</t>
  </si>
  <si>
    <t>0.32962 (0.12750)</t>
  </si>
  <si>
    <t>0.01455 (0.00094)</t>
  </si>
  <si>
    <t>0.03438 (0.00230)</t>
  </si>
  <si>
    <t>0.00904 (0.00065)</t>
  </si>
  <si>
    <t>ydfI</t>
  </si>
  <si>
    <t>two-component response regulator [YdfH]</t>
  </si>
  <si>
    <t>0.10997 (0.06731)</t>
  </si>
  <si>
    <t>0.09423 (0.08403)</t>
  </si>
  <si>
    <t>0.00930 (0.00032)</t>
  </si>
  <si>
    <t>0.03047 (0.00132)</t>
  </si>
  <si>
    <t>0.00350 (0.00022)</t>
  </si>
  <si>
    <t>ydfJ</t>
  </si>
  <si>
    <t>putative proton metabolite efflux transporter</t>
  </si>
  <si>
    <t>0.19451 (0.06718)</t>
  </si>
  <si>
    <t>0.05418 (0.01676)</t>
  </si>
  <si>
    <t>0.01619 (0.00046)</t>
  </si>
  <si>
    <t>0.05126 (0.00179)</t>
  </si>
  <si>
    <t>0.00594 (0.00019)</t>
  </si>
  <si>
    <t>cesA</t>
  </si>
  <si>
    <t>carboxylesterase NP</t>
  </si>
  <si>
    <t>0.87031 (0.40571)</t>
  </si>
  <si>
    <t>0.50779 (0.27735)</t>
  </si>
  <si>
    <t>0.00818 (0.00034)</t>
  </si>
  <si>
    <t>0.01187 (0.00089)</t>
  </si>
  <si>
    <t>0.00719 (0.00036)</t>
  </si>
  <si>
    <t>ydfK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</si>
  <si>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GCA_001808235.1_ASM180823v1_genomic , GCA_002055965.1_ASM205596v1_genomic , GCA_002142595.1_ASM214259v1_genomic</t>
  </si>
  <si>
    <t>0.03448 (0.02730)</t>
  </si>
  <si>
    <t>0.07110 (0.10673)</t>
  </si>
  <si>
    <t>0.02018 (0.00197)</t>
  </si>
  <si>
    <t>0.07434 (0.00677)</t>
  </si>
  <si>
    <t>0.00436 (0.00065)</t>
  </si>
  <si>
    <t>ydfL</t>
  </si>
  <si>
    <t>putative transcriptional regulator of effluxtransporter</t>
  </si>
  <si>
    <t>0.13209 (0.13785)</t>
  </si>
  <si>
    <t>0.09010 (0.07154)</t>
  </si>
  <si>
    <t>0.01800 (0.00123)</t>
  </si>
  <si>
    <t>0.05884 (0.00429)</t>
  </si>
  <si>
    <t>0.00719 (0.00056)</t>
  </si>
  <si>
    <t>mneP</t>
  </si>
  <si>
    <t>primary Mn(II) efflux pump</t>
  </si>
  <si>
    <t>0.09684 (0.03358)</t>
  </si>
  <si>
    <t>0.06984 (0.11072)</t>
  </si>
  <si>
    <t>0.01416 (0.00117)</t>
  </si>
  <si>
    <t>0.05296 (0.00488)</t>
  </si>
  <si>
    <t>0.00317 (0.00024)</t>
  </si>
  <si>
    <t>ydfN</t>
  </si>
  <si>
    <t>0.15757 (0.06757)</t>
  </si>
  <si>
    <t>0.14728 (0.12338)</t>
  </si>
  <si>
    <t>0.01844 (0.00081)</t>
  </si>
  <si>
    <t>0.05535 (0.00261)</t>
  </si>
  <si>
    <t>ydfO</t>
  </si>
  <si>
    <t>putative dioxygenase</t>
  </si>
  <si>
    <t>0.19620 (0.04479)</t>
  </si>
  <si>
    <t>0.07933 (0.02051)</t>
  </si>
  <si>
    <t>0.01173 (0.00042)</t>
  </si>
  <si>
    <t>0.03576 (0.00154)</t>
  </si>
  <si>
    <t>0.00475 (0.00018)</t>
  </si>
  <si>
    <t>ydfP</t>
  </si>
  <si>
    <t>putative membrane bound oxidoreductase</t>
  </si>
  <si>
    <t>0.13739 (0.12339)</t>
  </si>
  <si>
    <t>0.00970 (0.00074)</t>
  </si>
  <si>
    <t>0.03484 (0.00288)</t>
  </si>
  <si>
    <t>0.00139 (0.00028)</t>
  </si>
  <si>
    <t>ydfQ</t>
  </si>
  <si>
    <t>0.39850 (0.19403)</t>
  </si>
  <si>
    <t>0.65189 (0.46963)</t>
  </si>
  <si>
    <t>0.01696 (0.00092)</t>
  </si>
  <si>
    <t>0.02830 (0.00226)</t>
  </si>
  <si>
    <t>0.01414 (0.00082)</t>
  </si>
  <si>
    <t>ydzH</t>
  </si>
  <si>
    <t>conserved hypothetical protein,sporulation-related</t>
  </si>
  <si>
    <t>0.81333 (0.09494)</t>
  </si>
  <si>
    <t>0.26363 (0.19844)</t>
  </si>
  <si>
    <t>0.01652 (0.00180)</t>
  </si>
  <si>
    <t>0.05678 (0.00534)</t>
  </si>
  <si>
    <t>0.00654 (0.00172)</t>
  </si>
  <si>
    <t>ydzR</t>
  </si>
  <si>
    <t>0.51057 (0.52647)</t>
  </si>
  <si>
    <t>0.01433 (0.00250)</t>
  </si>
  <si>
    <t>0.01905 (0.00313)</t>
  </si>
  <si>
    <t>0.01318 (0.00289)</t>
  </si>
  <si>
    <t>ydfR</t>
  </si>
  <si>
    <t>conserved membrane protein of unknown function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</si>
  <si>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GCA_002055965.1_ASM205596v1_genomic , GCA_002072735.1_ASM207273v1_genomic , GCA_002173615.1_ASM217361v1_genomic</t>
  </si>
  <si>
    <t>0.04349 (0.02888)</t>
  </si>
  <si>
    <t>0.01318 (0.00102)</t>
  </si>
  <si>
    <t>0.05820 (0.00458)</t>
  </si>
  <si>
    <t>0.00129 (0.00021)</t>
  </si>
  <si>
    <t>ydfS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</si>
  <si>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</si>
  <si>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0.09349 (0.03867)</t>
  </si>
  <si>
    <t>0.09391 (0.02711)</t>
  </si>
  <si>
    <t>0.01121 (0.00076)</t>
  </si>
  <si>
    <t>0.03839 (0.00332)</t>
  </si>
  <si>
    <t>0.00383 (0.00035)</t>
  </si>
  <si>
    <t>cotP</t>
  </si>
  <si>
    <t>spore coat protein</t>
  </si>
  <si>
    <t>0.13945 (0.11135)</t>
  </si>
  <si>
    <t>0.13980 (0.06766)</t>
  </si>
  <si>
    <t>0.01554 (0.00200)</t>
  </si>
  <si>
    <t>0.04836 (0.00548)</t>
  </si>
  <si>
    <t>0.00682 (0.00096)</t>
  </si>
  <si>
    <t>ydgA</t>
  </si>
  <si>
    <t>conserved hypothetical protein; putativegermination protein</t>
  </si>
  <si>
    <t>0.69084 (0.11126)</t>
  </si>
  <si>
    <t>0.14388 (0.10174)</t>
  </si>
  <si>
    <t>0.01472 (0.00188)</t>
  </si>
  <si>
    <t>0.05818 (0.00678)</t>
  </si>
  <si>
    <t>0.00288 (0.00067)</t>
  </si>
  <si>
    <t>ydgB</t>
  </si>
  <si>
    <t>0.81894 (0.09250)</t>
  </si>
  <si>
    <t>0.01049 (0.00203)</t>
  </si>
  <si>
    <t>0.04597 (0.00916)</t>
  </si>
  <si>
    <t>ydgC</t>
  </si>
  <si>
    <t>0.25414 (0.20398)</t>
  </si>
  <si>
    <t>0.16134 (0.11673)</t>
  </si>
  <si>
    <t>0.02058 (0.00156)</t>
  </si>
  <si>
    <t>0.05480 (0.00409)</t>
  </si>
  <si>
    <t>0.01172 (0.00104)</t>
  </si>
  <si>
    <t>ydgD</t>
  </si>
  <si>
    <t>0.85255 (0.57985)</t>
  </si>
  <si>
    <t>0.21528 (0.11459)</t>
  </si>
  <si>
    <t>0.02251 (0.00107)</t>
  </si>
  <si>
    <t>0.05049 (0.00310)</t>
  </si>
  <si>
    <t>0.01463 (0.00080)</t>
  </si>
  <si>
    <t>ydgE</t>
  </si>
  <si>
    <t>putative N-acetyltransferase</t>
  </si>
  <si>
    <t>0.23017 (0.13347)</t>
  </si>
  <si>
    <t>0.21342 (0.06447)</t>
  </si>
  <si>
    <t>0.02573 (0.00143)</t>
  </si>
  <si>
    <t>0.07405 (0.00504)</t>
  </si>
  <si>
    <t>0.01405 (0.00084)</t>
  </si>
  <si>
    <t>vmlR</t>
  </si>
  <si>
    <t>ATP-binding cassette efflux transporter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</si>
  <si>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</si>
  <si>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0.13039 (0.03244)</t>
  </si>
  <si>
    <t>0.14225 (0.14325)</t>
  </si>
  <si>
    <t>0.03121 (0.00305)</t>
  </si>
  <si>
    <t>0.10239 (0.00977)</t>
  </si>
  <si>
    <t>0.01348 (0.00162)</t>
  </si>
  <si>
    <t>ydgF</t>
  </si>
  <si>
    <t>0.01796 (0.01650)</t>
  </si>
  <si>
    <t>0.01031 (0.00028)</t>
  </si>
  <si>
    <t>0.04285 (0.00123)</t>
  </si>
  <si>
    <t>0.00048 (0.00007)</t>
  </si>
  <si>
    <t>dinB</t>
  </si>
  <si>
    <t>nuclease inhibitor</t>
  </si>
  <si>
    <t>0.48690 (0.62112)</t>
  </si>
  <si>
    <t>0.25260 (0.08794)</t>
  </si>
  <si>
    <t>0.01825 (0.00106)</t>
  </si>
  <si>
    <t>0.04085 (0.00241)</t>
  </si>
  <si>
    <t>0.01234 (0.00087)</t>
  </si>
  <si>
    <t>ydgG</t>
  </si>
  <si>
    <t>putative transcriptional regulator (MarRfamily)</t>
  </si>
  <si>
    <t>0.26848 (0.12896)</t>
  </si>
  <si>
    <t>0.04462 (0.08209)</t>
  </si>
  <si>
    <t>0.01037 (0.00054)</t>
  </si>
  <si>
    <t>0.03532 (0.00243)</t>
  </si>
  <si>
    <t>0.00394 (0.00029)</t>
  </si>
  <si>
    <t>ydgH</t>
  </si>
  <si>
    <t>putative membrane component</t>
  </si>
  <si>
    <t>0.09745 (0.04566)</t>
  </si>
  <si>
    <t>0.07464 (0.03149)</t>
  </si>
  <si>
    <t>0.01884 (0.00088)</t>
  </si>
  <si>
    <t>0.06483 (0.00341)</t>
  </si>
  <si>
    <t>0.00571 (0.00024)</t>
  </si>
  <si>
    <t>ydgI</t>
  </si>
  <si>
    <t>nitroreductase of unidentified specificity(reduces 5-(aziridin-1-yl)-2,4-dinitrobenzamide prodrug)</t>
  </si>
  <si>
    <t>0.02393 (0.03330)</t>
  </si>
  <si>
    <t>0.01950 (0.02719)</t>
  </si>
  <si>
    <t>0.01873 (0.00168)</t>
  </si>
  <si>
    <t>0.08139 (0.00815)</t>
  </si>
  <si>
    <t>0.00192 (0.00015)</t>
  </si>
  <si>
    <t>ydgJ</t>
  </si>
  <si>
    <t>0.47175 (0.34600)</t>
  </si>
  <si>
    <t>0.07858 (0.03113)</t>
  </si>
  <si>
    <t>0.02467 (0.00199)</t>
  </si>
  <si>
    <t>0.08748 (0.00809)</t>
  </si>
  <si>
    <t>0.00913 (0.00061)</t>
  </si>
  <si>
    <t>ydgK</t>
  </si>
  <si>
    <t>0.03538 (0.03276)</t>
  </si>
  <si>
    <t>0.11444 (0.04669)</t>
  </si>
  <si>
    <t>0.00832 (0.00028)</t>
  </si>
  <si>
    <t>0.02710 (0.00103)</t>
  </si>
  <si>
    <t>0.00205 (0.00013)</t>
  </si>
  <si>
    <t>ydhB</t>
  </si>
  <si>
    <t>0.57143 (0.11690)</t>
  </si>
  <si>
    <t>0.10289 (0.07137)</t>
  </si>
  <si>
    <t>0.00994 (0.00048)</t>
  </si>
  <si>
    <t>0.03477 (0.00167)</t>
  </si>
  <si>
    <t>0.00165 (0.00017)</t>
  </si>
  <si>
    <t>ydhC</t>
  </si>
  <si>
    <t>putative transcriptional regulator (GntRfamily)</t>
  </si>
  <si>
    <t>0.10583 (0.07078)</t>
  </si>
  <si>
    <t>0.04898 (0.07578)</t>
  </si>
  <si>
    <t>0.01526 (0.00072)</t>
  </si>
  <si>
    <t>0.06173 (0.00288)</t>
  </si>
  <si>
    <t>0.00391 (0.00032)</t>
  </si>
  <si>
    <t>spoL</t>
  </si>
  <si>
    <t>spore cortex lytic enzyme</t>
  </si>
  <si>
    <t>0.07101 (0.01943)</t>
  </si>
  <si>
    <t>0.02211 (0.02897)</t>
  </si>
  <si>
    <t>0.02703 (0.00113)</t>
  </si>
  <si>
    <t>0.10809 (0.00475)</t>
  </si>
  <si>
    <t>0.00353 (0.00020)</t>
  </si>
  <si>
    <t>ydhE</t>
  </si>
  <si>
    <t>putative glycosyltransferase</t>
  </si>
  <si>
    <t>0.19260 (0.13461)</t>
  </si>
  <si>
    <t>0.03756 (0.11035)</t>
  </si>
  <si>
    <t>0.01030 (0.00049)</t>
  </si>
  <si>
    <t>0.03354 (0.00180)</t>
  </si>
  <si>
    <t>0.00401 (0.00022)</t>
  </si>
  <si>
    <t>ydhF</t>
  </si>
  <si>
    <t>putative phosphate-starvation lipoprotein</t>
  </si>
  <si>
    <t>0.18608 (0.08238)</t>
  </si>
  <si>
    <t>0.17838 (0.07835)</t>
  </si>
  <si>
    <t>0.01337 (0.00046)</t>
  </si>
  <si>
    <t>0.03887 (0.00212)</t>
  </si>
  <si>
    <t>0.00717 (0.00043)</t>
  </si>
  <si>
    <t>phoB</t>
  </si>
  <si>
    <t>alkaline phosphatase III (promiscuous,heptaprenylglyceryl phosphate is a substrate)</t>
  </si>
  <si>
    <t>0.07635 (0.02103)</t>
  </si>
  <si>
    <t>0.03765 (0.02340)</t>
  </si>
  <si>
    <t>0.01765 (0.00050)</t>
  </si>
  <si>
    <t>0.07146 (0.00214)</t>
  </si>
  <si>
    <t>0.00353 (0.00018)</t>
  </si>
  <si>
    <t>fra</t>
  </si>
  <si>
    <t>frataxin; iron/sulfur chaperone</t>
  </si>
  <si>
    <t>ref , GCA_000186745.1_ASM18674v1_genomic , GCA_000209795.2_ASM20979v2_genomic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</si>
  <si>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0.16127 (0.10012)</t>
  </si>
  <si>
    <t>0.06169 (0.04910)</t>
  </si>
  <si>
    <t>0.02221 (0.00084)</t>
  </si>
  <si>
    <t>0.07802 (0.00329)</t>
  </si>
  <si>
    <t>0.00854 (0.00050)</t>
  </si>
  <si>
    <t>ydhH</t>
  </si>
  <si>
    <t>0.46131 (0.19511)</t>
  </si>
  <si>
    <t>0.29433 (0.12220)</t>
  </si>
  <si>
    <t>0.03160 (0.00112)</t>
  </si>
  <si>
    <t>0.06292 (0.00359)</t>
  </si>
  <si>
    <t>0.02468 (0.00104)</t>
  </si>
  <si>
    <t>ydhI</t>
  </si>
  <si>
    <t>0.46632 (0.17999)</t>
  </si>
  <si>
    <t>0.70701 (0.44002)</t>
  </si>
  <si>
    <t>0.01871 (0.00051)</t>
  </si>
  <si>
    <t>0.03052 (0.00154)</t>
  </si>
  <si>
    <t>0.01595 (0.00063)</t>
  </si>
  <si>
    <t>ydhJ</t>
  </si>
  <si>
    <t>putative metal-dependent phosphohydrolase</t>
  </si>
  <si>
    <t>0.18540 (0.08196)</t>
  </si>
  <si>
    <t>0.16795 (0.07499)</t>
  </si>
  <si>
    <t>0.02198 (0.00072)</t>
  </si>
  <si>
    <t>0.06145 (0.00212)</t>
  </si>
  <si>
    <t>0.01156 (0.00047)</t>
  </si>
  <si>
    <t>ydhK</t>
  </si>
  <si>
    <t>0.17576 (0.05685)</t>
  </si>
  <si>
    <t>0.05530 (0.04292)</t>
  </si>
  <si>
    <t>0.01775 (0.00061)</t>
  </si>
  <si>
    <t>0.06030 (0.00223)</t>
  </si>
  <si>
    <t>0.00662 (0.00042)</t>
  </si>
  <si>
    <t>pbuE</t>
  </si>
  <si>
    <t>hypoxanthine efflux transporter</t>
  </si>
  <si>
    <t>0.03640 (0.02175)</t>
  </si>
  <si>
    <t>0.02484 (0.02596)</t>
  </si>
  <si>
    <t>0.02117 (0.00115)</t>
  </si>
  <si>
    <t>0.08405 (0.00480)</t>
  </si>
  <si>
    <t>gmuB</t>
  </si>
  <si>
    <t>oligo-alpha-mannoside phosphotransferase systemenzyme IIB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</si>
  <si>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</si>
  <si>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0.05397 (0.05271)</t>
  </si>
  <si>
    <t>0.07054 (0.06772)</t>
  </si>
  <si>
    <t>0.01616 (0.00098)</t>
  </si>
  <si>
    <t>0.06458 (0.00482)</t>
  </si>
  <si>
    <t>0.00493 (0.00043)</t>
  </si>
  <si>
    <t>gmuA</t>
  </si>
  <si>
    <t>oligo-alpha-mannoside phosphotransferase systemenzyme IIA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</si>
  <si>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GCA_001037985.1_ASM103798v1_genomic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</si>
  <si>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0.16914 (0.24544)</t>
  </si>
  <si>
    <t>0.12527 (0.09428)</t>
  </si>
  <si>
    <t>0.02005 (0.00252)</t>
  </si>
  <si>
    <t>0.06503 (0.00930)</t>
  </si>
  <si>
    <t>0.00990 (0.00119)</t>
  </si>
  <si>
    <t>gmuC</t>
  </si>
  <si>
    <t>oligo-alpha-mannoside phosphotransferase systemenzyme IIC</t>
  </si>
  <si>
    <t>0.05316 (0.01559)</t>
  </si>
  <si>
    <t>0.01693 (0.02341)</t>
  </si>
  <si>
    <t>0.01655 (0.00047)</t>
  </si>
  <si>
    <t>0.06461 (0.00204)</t>
  </si>
  <si>
    <t>0.00228 (0.00011)</t>
  </si>
  <si>
    <t>gmuD</t>
  </si>
  <si>
    <t>mannoside-phospho-beta-d-glucosidase</t>
  </si>
  <si>
    <t>0.11467 (0.04353)</t>
  </si>
  <si>
    <t>0.05632 (0.04304)</t>
  </si>
  <si>
    <t>0.02134 (0.00059)</t>
  </si>
  <si>
    <t>0.08159 (0.00253)</t>
  </si>
  <si>
    <t>0.00657 (0.00030)</t>
  </si>
  <si>
    <t>gmuR</t>
  </si>
  <si>
    <t>0.04183 (0.04734)</t>
  </si>
  <si>
    <t>0.09268 (0.11227)</t>
  </si>
  <si>
    <t>0.02234 (0.00158)</t>
  </si>
  <si>
    <t>0.08822 (0.00636)</t>
  </si>
  <si>
    <t>0.00568 (0.00056)</t>
  </si>
  <si>
    <t>gmuE</t>
  </si>
  <si>
    <t>ROK fructokinase; glucomannan utilizationprotein E</t>
  </si>
  <si>
    <t>0.27246 (0.17256)</t>
  </si>
  <si>
    <t>0.13121 (0.04586)</t>
  </si>
  <si>
    <t>0.03364 (0.00128)</t>
  </si>
  <si>
    <t>0.10299 (0.00456)</t>
  </si>
  <si>
    <t>0.01465 (0.00067)</t>
  </si>
  <si>
    <t>gmuF</t>
  </si>
  <si>
    <t>phosphohexomutase; cupin family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</si>
  <si>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</si>
  <si>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0.13427 (0.05967)</t>
  </si>
  <si>
    <t>0.09616 (0.02470)</t>
  </si>
  <si>
    <t>0.02168 (0.00085)</t>
  </si>
  <si>
    <t>0.07439 (0.00300)</t>
  </si>
  <si>
    <t>0.00750 (0.00043)</t>
  </si>
  <si>
    <t>gmuG</t>
  </si>
  <si>
    <t>exported mannan endo-1,4-beta-mannosidase</t>
  </si>
  <si>
    <t>0.18569 (0.09791)</t>
  </si>
  <si>
    <t>0.09883 (0.02961)</t>
  </si>
  <si>
    <t>0.02299 (0.00075)</t>
  </si>
  <si>
    <t>0.07474 (0.00293)</t>
  </si>
  <si>
    <t>0.00908 (0.00037)</t>
  </si>
  <si>
    <t>thiL</t>
  </si>
  <si>
    <t>thiamine-monophosphate kinase</t>
  </si>
  <si>
    <t>0.25334 (0.10845)</t>
  </si>
  <si>
    <t>0.19520 (0.08280)</t>
  </si>
  <si>
    <t>0.02084 (0.00101)</t>
  </si>
  <si>
    <t>0.05503 (0.00288)</t>
  </si>
  <si>
    <t>0.01168 (0.00063)</t>
  </si>
  <si>
    <t>tsaE</t>
  </si>
  <si>
    <t>tRNA(NNU) t(6)A37 threonylcarbamoyladenosinemodification; ADP binding protein</t>
  </si>
  <si>
    <t>0.47239 (0.37658)</t>
  </si>
  <si>
    <t>0.37988 (0.15846)</t>
  </si>
  <si>
    <t>0.00914 (0.00065)</t>
  </si>
  <si>
    <t>0.01758 (0.00171)</t>
  </si>
  <si>
    <t>0.00685 (0.00047)</t>
  </si>
  <si>
    <t>tsaB</t>
  </si>
  <si>
    <t>tRNA(NNU) t(6)A37 threonylcarbamoyladenosinemodification; protease involved in TsaD function</t>
  </si>
  <si>
    <t>0.04435 (0.06940)</t>
  </si>
  <si>
    <t>0.09402 (0.04027)</t>
  </si>
  <si>
    <t>0.01782 (0.00084)</t>
  </si>
  <si>
    <t>0.05882 (0.00272)</t>
  </si>
  <si>
    <t>0.00582 (0.00042)</t>
  </si>
  <si>
    <t>rimI</t>
  </si>
  <si>
    <t>ribosomal protein S18 alanineN-acetyltransferase</t>
  </si>
  <si>
    <t>0.16081 (0.07004)</t>
  </si>
  <si>
    <t>0.12381 (0.08188)</t>
  </si>
  <si>
    <t>0.02824 (0.00208)</t>
  </si>
  <si>
    <t>0.09170 (0.00760)</t>
  </si>
  <si>
    <t>0.01233 (0.00090)</t>
  </si>
  <si>
    <t>tsaD</t>
  </si>
  <si>
    <t>tRNA(NNU) t(6)A37 threonylcarbamoyladenosinemodification; glycation binding protein</t>
  </si>
  <si>
    <t>0.23837 (0.14942)</t>
  </si>
  <si>
    <t>0.02574 (0.06147)</t>
  </si>
  <si>
    <t>0.00706 (0.00031)</t>
  </si>
  <si>
    <t>0.02357 (0.00119)</t>
  </si>
  <si>
    <t>0.00206 (0.00013)</t>
  </si>
  <si>
    <t>ydiF</t>
  </si>
  <si>
    <t>putative energy-sensing inhibitor oftranslation</t>
  </si>
  <si>
    <t>0.90028 (0.09167)</t>
  </si>
  <si>
    <t>0.08476 (0.05151)</t>
  </si>
  <si>
    <t>0.03434 (0.01671)</t>
  </si>
  <si>
    <t>0.01604 (0.00056)</t>
  </si>
  <si>
    <t>0.06225 (0.00257)</t>
  </si>
  <si>
    <t>0.00364 (0.00012)</t>
  </si>
  <si>
    <t>moaC</t>
  </si>
  <si>
    <t>molybdenum cofactor biosynthesis protein C</t>
  </si>
  <si>
    <t>0.04277 (0.04580)</t>
  </si>
  <si>
    <t>0.01455 (0.04258)</t>
  </si>
  <si>
    <t>0.01544 (0.00058)</t>
  </si>
  <si>
    <t>0.06818 (0.00260)</t>
  </si>
  <si>
    <t>0.00174 (0.00014)</t>
  </si>
  <si>
    <t>rex</t>
  </si>
  <si>
    <t>transcription repressor of cydABCD and yjlC-ndhexpression</t>
  </si>
  <si>
    <t>0.01522 (0.04732)</t>
  </si>
  <si>
    <t>0.01474 (0.00080)</t>
  </si>
  <si>
    <t>0.06341 (0.00348)</t>
  </si>
  <si>
    <t>0.00086 (0.00008)</t>
  </si>
  <si>
    <t>tatAY</t>
  </si>
  <si>
    <t>0.02553 (0.06042)</t>
  </si>
  <si>
    <t>0.02714 (0.00159)</t>
  </si>
  <si>
    <t>0.11811 (0.00727)</t>
  </si>
  <si>
    <t>0.00352 (0.00042)</t>
  </si>
  <si>
    <t>tatCY</t>
  </si>
  <si>
    <t>0.05959 (0.02679)</t>
  </si>
  <si>
    <t>0.02044 (0.02306)</t>
  </si>
  <si>
    <t>0.01848 (0.00079)</t>
  </si>
  <si>
    <t>0.07388 (0.00359)</t>
  </si>
  <si>
    <t>0.00210 (0.00013)</t>
  </si>
  <si>
    <t>ydiK</t>
  </si>
  <si>
    <t>0.01561 (0.00144)</t>
  </si>
  <si>
    <t>0.07648 (0.00732)</t>
  </si>
  <si>
    <t>ydiL</t>
  </si>
  <si>
    <t>putative membrane protease</t>
  </si>
  <si>
    <t>0.19273 (0.24104)</t>
  </si>
  <si>
    <t>0.01121 (0.00080)</t>
  </si>
  <si>
    <t>0.03836 (0.00282)</t>
  </si>
  <si>
    <t>0.00339 (0.00035)</t>
  </si>
  <si>
    <t>groES</t>
  </si>
  <si>
    <t>chaperonin small subunit</t>
  </si>
  <si>
    <t>0.77394 (0.08725)</t>
  </si>
  <si>
    <t>0.01986 (0.00361)</t>
  </si>
  <si>
    <t>0.09055 (0.01689)</t>
  </si>
  <si>
    <t>groEL</t>
  </si>
  <si>
    <t>chaperonin large subunit</t>
  </si>
  <si>
    <t>0.03187 (0.06055)</t>
  </si>
  <si>
    <t>0.02310 (0.02130)</t>
  </si>
  <si>
    <t>0.01526 (0.00055)</t>
  </si>
  <si>
    <t>0.05971 (0.00209)</t>
  </si>
  <si>
    <t>conserved hypothetical protein; prophage region3</t>
  </si>
  <si>
    <t>gutR</t>
  </si>
  <si>
    <t>transcriptional regulator of the glucitoloperon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</si>
  <si>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</si>
  <si>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0.14312 (0.03763)</t>
  </si>
  <si>
    <t>0.18382 (0.03465)</t>
  </si>
  <si>
    <t>0.03192 (0.00102)</t>
  </si>
  <si>
    <t>0.09688 (0.00342)</t>
  </si>
  <si>
    <t>0.01540 (0.00050)</t>
  </si>
  <si>
    <t>gutB</t>
  </si>
  <si>
    <t>glucitol (sorbitol) dehydrogenase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</si>
  <si>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</si>
  <si>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0.05895 (0.02913)</t>
  </si>
  <si>
    <t>0.03004 (0.01949)</t>
  </si>
  <si>
    <t>0.02846 (0.00154)</t>
  </si>
  <si>
    <t>0.11409 (0.00675)</t>
  </si>
  <si>
    <t>0.00481 (0.00031)</t>
  </si>
  <si>
    <t>gutP</t>
  </si>
  <si>
    <t>H+-glucitol symporter; prophage region 3</t>
  </si>
  <si>
    <t>0.08279 (0.02415)</t>
  </si>
  <si>
    <t>0.04571 (0.04669)</t>
  </si>
  <si>
    <t>0.02250 (0.00067)</t>
  </si>
  <si>
    <t>0.08241 (0.00267)</t>
  </si>
  <si>
    <t>0.00538 (0.00025)</t>
  </si>
  <si>
    <t>ydjE</t>
  </si>
  <si>
    <t>putative sugar kinase (ribokinase family);prophage region 3</t>
  </si>
  <si>
    <t>0.13443 (0.04140)</t>
  </si>
  <si>
    <t>0.09679 (0.05111)</t>
  </si>
  <si>
    <t>0.02275 (0.00075)</t>
  </si>
  <si>
    <t>0.07650 (0.00298)</t>
  </si>
  <si>
    <t>0.00784 (0.00023)</t>
  </si>
  <si>
    <t>pspA</t>
  </si>
  <si>
    <t>phage shock protein A homolog regulator;prophage region 3</t>
  </si>
  <si>
    <t>ref , GCA_000186745.1_ASM18674v1_genomic , GCA_000227465.1_ASM22746v1_genomic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</si>
  <si>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0.10002 (0.23061)</t>
  </si>
  <si>
    <t>0.10407 (0.04964)</t>
  </si>
  <si>
    <t>0.01605 (0.00156)</t>
  </si>
  <si>
    <t>0.06157 (0.00764)</t>
  </si>
  <si>
    <t>0.00600 (0.00037)</t>
  </si>
  <si>
    <t>ydjG</t>
  </si>
  <si>
    <t>putative phage replication protein; prophageregion 3</t>
  </si>
  <si>
    <t>ref , GCA_000186745.1_ASM18674v1_genomic , GCA_000209795.2_ASM20979v2_genomic , GCA_000227465.1_ASM22746v1_genomic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</si>
  <si>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0.12314 (0.06230)</t>
  </si>
  <si>
    <t>0.06811 (0.14862)</t>
  </si>
  <si>
    <t>0.01923 (0.00126)</t>
  </si>
  <si>
    <t>0.07335 (0.00507)</t>
  </si>
  <si>
    <t>0.00590 (0.00043)</t>
  </si>
  <si>
    <t>ydjH</t>
  </si>
  <si>
    <t>0.42602 (0.10996)</t>
  </si>
  <si>
    <t>0.20841 (0.06185)</t>
  </si>
  <si>
    <t>0.16861 (0.29910)</t>
  </si>
  <si>
    <t>0.02095 (0.00138)</t>
  </si>
  <si>
    <t>0.05750 (0.00378)</t>
  </si>
  <si>
    <t>0.01089 (0.00086)</t>
  </si>
  <si>
    <t>ydjI</t>
  </si>
  <si>
    <t>putative phage protein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</si>
  <si>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</si>
  <si>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0.29494 (0.10945)</t>
  </si>
  <si>
    <t>0.08314 (0.04623)</t>
  </si>
  <si>
    <t>0.00874 (0.00064)</t>
  </si>
  <si>
    <t>0.02517 (0.00182)</t>
  </si>
  <si>
    <t>0.00477 (0.00046)</t>
  </si>
  <si>
    <t>ydjJ</t>
  </si>
  <si>
    <t>putative membrane associated potassium channel;prophage region 3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</si>
  <si>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</si>
  <si>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0.15151 (0.16712)</t>
  </si>
  <si>
    <t>0.08799 (0.06674)</t>
  </si>
  <si>
    <t>0.01302 (0.00084)</t>
  </si>
  <si>
    <t>0.04013 (0.00270)</t>
  </si>
  <si>
    <t>0.00509 (0.00039)</t>
  </si>
  <si>
    <t>iolT</t>
  </si>
  <si>
    <t>myo-inositol transporter</t>
  </si>
  <si>
    <t>0.04182 (0.02069)</t>
  </si>
  <si>
    <t>0.03161 (0.01870)</t>
  </si>
  <si>
    <t>0.01428 (0.00057)</t>
  </si>
  <si>
    <t>0.05357 (0.00233)</t>
  </si>
  <si>
    <t>0.00211 (0.00010)</t>
  </si>
  <si>
    <t>bdhA</t>
  </si>
  <si>
    <t>acetoin reductase/2,3-butanediol dehydrogenase</t>
  </si>
  <si>
    <t>0.01578 (0.02523)</t>
  </si>
  <si>
    <t>0.02222 (0.05222)</t>
  </si>
  <si>
    <t>0.00864 (0.00046)</t>
  </si>
  <si>
    <t>0.03522 (0.00179)</t>
  </si>
  <si>
    <t>0.00065 (0.00009)</t>
  </si>
  <si>
    <t>walM</t>
  </si>
  <si>
    <t>protein involved in cell wall metabolism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</si>
  <si>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</si>
  <si>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0.02477 (0.06818)</t>
  </si>
  <si>
    <t>0.04469 (0.05631)</t>
  </si>
  <si>
    <t>0.02069 (0.00159)</t>
  </si>
  <si>
    <t>0.08707 (0.00692)</t>
  </si>
  <si>
    <t>0.00279 (0.00030)</t>
  </si>
  <si>
    <t>ydjN</t>
  </si>
  <si>
    <t>putative membrane protein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</si>
  <si>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</si>
  <si>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0.33556 (0.09650)</t>
  </si>
  <si>
    <t>0.20449 (0.08803)</t>
  </si>
  <si>
    <t>0.16618 (0.05951)</t>
  </si>
  <si>
    <t>0.01636 (0.00045)</t>
  </si>
  <si>
    <t>0.04907 (0.00187)</t>
  </si>
  <si>
    <t>0.00789 (0.00026)</t>
  </si>
  <si>
    <t>ydzJ</t>
  </si>
  <si>
    <t>0.16892 (0.20055)</t>
  </si>
  <si>
    <t>0.27831 (0.19679)</t>
  </si>
  <si>
    <t>0.03091 (0.00337)</t>
  </si>
  <si>
    <t>0.08476 (0.01190)</t>
  </si>
  <si>
    <t>0.01769 (0.00216)</t>
  </si>
  <si>
    <t>ydjO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</si>
  <si>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</si>
  <si>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0.01771 (0.00264)</t>
  </si>
  <si>
    <t>0.09841 (0.01533)</t>
  </si>
  <si>
    <t>ydjP</t>
  </si>
  <si>
    <t>putative aminoacrylate hydrolase</t>
  </si>
  <si>
    <t>ref , GCA_000186745.1_ASM18674v1_genomic , GCA_000209795.2_ASM20979v2_genomic , GCA_000293765.1_ASM29376v1_genomic , GCA_000321395.1_ASM32139v1_genomic , GCA_000344745.1_ASM34474v1_genomic , GCA_000497485.1_ASM49748v1_genomic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</si>
  <si>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0.24377 (0.14002)</t>
  </si>
  <si>
    <t>0.07023 (0.04771)</t>
  </si>
  <si>
    <t>0.01244 (0.00054)</t>
  </si>
  <si>
    <t>0.03735 (0.00230)</t>
  </si>
  <si>
    <t>0.00571 (0.00043)</t>
  </si>
  <si>
    <t>yeaA</t>
  </si>
  <si>
    <t>0.41651 (0.13238)</t>
  </si>
  <si>
    <t>0.14738 (0.11035)</t>
  </si>
  <si>
    <t>0.01317 (0.00037)</t>
  </si>
  <si>
    <t>0.03384 (0.00119)</t>
  </si>
  <si>
    <t>0.00770 (0.00028)</t>
  </si>
  <si>
    <t>cotA</t>
  </si>
  <si>
    <t>outer spore coat copper-dependent promiscuouslaccase</t>
  </si>
  <si>
    <t>0.05956 (0.03016)</t>
  </si>
  <si>
    <t>0.00914 (0.00024)</t>
  </si>
  <si>
    <t>0.03661 (0.00104)</t>
  </si>
  <si>
    <t>0.00101 (0.00009)</t>
  </si>
  <si>
    <t>gabP</t>
  </si>
  <si>
    <t>gamma-aminobutyrate (GABA) permease; prolinepermease</t>
  </si>
  <si>
    <t>0.06351 (0.10446)</t>
  </si>
  <si>
    <t>0.01823 (0.05618)</t>
  </si>
  <si>
    <t>0.00875 (0.00054)</t>
  </si>
  <si>
    <t>0.03177 (0.00176)</t>
  </si>
  <si>
    <t>0.00146 (0.00019)</t>
  </si>
  <si>
    <t>ydzX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</si>
  <si>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</t>
  </si>
  <si>
    <t>0.62500 (0.11632)</t>
  </si>
  <si>
    <t>0.85594 (0.33651)</t>
  </si>
  <si>
    <t>0.52288 (0.40493)</t>
  </si>
  <si>
    <t>0.02880 (0.00204)</t>
  </si>
  <si>
    <t>0.04050 (0.00293)</t>
  </si>
  <si>
    <t>0.02660 (0.00217)</t>
  </si>
  <si>
    <t>mneS</t>
  </si>
  <si>
    <t>secondary Mn(II) exporter, promiscuous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</si>
  <si>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</si>
  <si>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0.06142 (0.03017)</t>
  </si>
  <si>
    <t>0.07704 (0.13136)</t>
  </si>
  <si>
    <t>0.01110 (0.00043)</t>
  </si>
  <si>
    <t>0.03929 (0.00150)</t>
  </si>
  <si>
    <t>0.00271 (0.00021)</t>
  </si>
  <si>
    <t>yeaC</t>
  </si>
  <si>
    <t>putative MoxR-like ATPase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</si>
  <si>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</si>
  <si>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0.09758 (0.03705)</t>
  </si>
  <si>
    <t>0.16285 (0.05115)</t>
  </si>
  <si>
    <t>0.01247 (0.00044)</t>
  </si>
  <si>
    <t>0.03979 (0.00146)</t>
  </si>
  <si>
    <t>0.00446 (0.00022)</t>
  </si>
  <si>
    <t>yeaD</t>
  </si>
  <si>
    <t>0.25760 (0.12090)</t>
  </si>
  <si>
    <t>0.09477 (0.02209)</t>
  </si>
  <si>
    <t>0.01232 (0.00039)</t>
  </si>
  <si>
    <t>0.03558 (0.00133)</t>
  </si>
  <si>
    <t>0.00549 (0.00017)</t>
  </si>
  <si>
    <t>yebA</t>
  </si>
  <si>
    <t>0.15945 (0.04511)</t>
  </si>
  <si>
    <t>0.09580 (0.02845)</t>
  </si>
  <si>
    <t>0.01193 (0.00032)</t>
  </si>
  <si>
    <t>0.03558 (0.00124)</t>
  </si>
  <si>
    <t>0.00518 (0.00019)</t>
  </si>
  <si>
    <t>guaA</t>
  </si>
  <si>
    <t>GMP synthetase</t>
  </si>
  <si>
    <t>0.01667 (0.01626)</t>
  </si>
  <si>
    <t>0.03068 (0.02341)</t>
  </si>
  <si>
    <t>0.02002 (0.00092)</t>
  </si>
  <si>
    <t>0.08617 (0.00426)</t>
  </si>
  <si>
    <t>0.00298 (0.00014)</t>
  </si>
  <si>
    <t>pbuG</t>
  </si>
  <si>
    <t>hypoxanthine/guanine permease</t>
  </si>
  <si>
    <t>0.02934 (0.01569)</t>
  </si>
  <si>
    <t>0.04348 (0.05675)</t>
  </si>
  <si>
    <t>0.02239 (0.00112)</t>
  </si>
  <si>
    <t>0.08350 (0.00497)</t>
  </si>
  <si>
    <t>0.00365 (0.00015)</t>
  </si>
  <si>
    <t>yebC</t>
  </si>
  <si>
    <t>0.13020 (0.06529)</t>
  </si>
  <si>
    <t>0.04356 (0.10351)</t>
  </si>
  <si>
    <t>0.00723 (0.00026)</t>
  </si>
  <si>
    <t>0.02435 (0.00095)</t>
  </si>
  <si>
    <t>0.00214 (0.00015)</t>
  </si>
  <si>
    <t>yebD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</si>
  <si>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</si>
  <si>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0.04543 (0.06055)</t>
  </si>
  <si>
    <t>0.08886 (0.14809)</t>
  </si>
  <si>
    <t>0.02211 (0.00211)</t>
  </si>
  <si>
    <t>0.09297 (0.01076)</t>
  </si>
  <si>
    <t>0.00545 (0.00067)</t>
  </si>
  <si>
    <t>yebE</t>
  </si>
  <si>
    <t>0.04493 (0.04009)</t>
  </si>
  <si>
    <t>0.05854 (0.05035)</t>
  </si>
  <si>
    <t>0.02204 (0.00124)</t>
  </si>
  <si>
    <t>0.08584 (0.00516)</t>
  </si>
  <si>
    <t>0.00399 (0.00026)</t>
  </si>
  <si>
    <t>yebG</t>
  </si>
  <si>
    <t>0.69841 (0.09310)</t>
  </si>
  <si>
    <t>0.02982 (0.07651)</t>
  </si>
  <si>
    <t>0.01909 (0.00128)</t>
  </si>
  <si>
    <t>0.09928 (0.00741)</t>
  </si>
  <si>
    <t>0.00142 (0.00039)</t>
  </si>
  <si>
    <t>purE</t>
  </si>
  <si>
    <t>N5-carboxyaminoimidazole ribonucleotide mutase</t>
  </si>
  <si>
    <t>0.05999 (0.05068)</t>
  </si>
  <si>
    <t>0.04901 (0.02881)</t>
  </si>
  <si>
    <t>0.02526 (0.00163)</t>
  </si>
  <si>
    <t>0.09518 (0.00635)</t>
  </si>
  <si>
    <t>0.00548 (0.00037)</t>
  </si>
  <si>
    <t>purK</t>
  </si>
  <si>
    <t>N5-carboxyaminoimidazole ribonucleotidesynthase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</si>
  <si>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</si>
  <si>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0.13161 (0.17748)</t>
  </si>
  <si>
    <t>0.19213 (0.06376)</t>
  </si>
  <si>
    <t>0.01826 (0.00136)</t>
  </si>
  <si>
    <t>0.05499 (0.00474)</t>
  </si>
  <si>
    <t>0.00867 (0.00059)</t>
  </si>
  <si>
    <t>purB</t>
  </si>
  <si>
    <t>adenylosuccinate lyase</t>
  </si>
  <si>
    <t>0.01528 (0.00922)</t>
  </si>
  <si>
    <t>0.01364 (0.00982)</t>
  </si>
  <si>
    <t>0.02775 (0.00091)</t>
  </si>
  <si>
    <t>0.13107 (0.00465)</t>
  </si>
  <si>
    <t>0.00149 (0.00007)</t>
  </si>
  <si>
    <t>purC</t>
  </si>
  <si>
    <t>phosphoribosylaminoimidazole succinocarboxamidesynthetase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</si>
  <si>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</si>
  <si>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0.07901 (0.07110)</t>
  </si>
  <si>
    <t>0.07076 (0.02907)</t>
  </si>
  <si>
    <t>0.02961 (0.00102)</t>
  </si>
  <si>
    <t>0.11904 (0.00473)</t>
  </si>
  <si>
    <t>0.00785 (0.00030)</t>
  </si>
  <si>
    <t>purS</t>
  </si>
  <si>
    <t>factor required forphosphoribosylformylglycinamidine synthetase activity</t>
  </si>
  <si>
    <t>0.04528 (0.05176)</t>
  </si>
  <si>
    <t>0.02444 (0.05449)</t>
  </si>
  <si>
    <t>0.02244 (0.00139)</t>
  </si>
  <si>
    <t>0.10108 (0.00653)</t>
  </si>
  <si>
    <t>0.00300 (0.00035)</t>
  </si>
  <si>
    <t>purQ</t>
  </si>
  <si>
    <t>phosphoribosylformylglycinamidine synthetasesubunit I</t>
  </si>
  <si>
    <t>0.10518 (0.05622)</t>
  </si>
  <si>
    <t>0.02039 (0.01611)</t>
  </si>
  <si>
    <t>0.02612 (0.00099)</t>
  </si>
  <si>
    <t>0.10776 (0.00454)</t>
  </si>
  <si>
    <t>0.00499 (0.00020)</t>
  </si>
  <si>
    <t>purL</t>
  </si>
  <si>
    <t>phosphoribosylformylglycinamidine synthetasesubunit II</t>
  </si>
  <si>
    <t>0.04630 (0.01821)</t>
  </si>
  <si>
    <t>0.02827 (0.01578)</t>
  </si>
  <si>
    <t>0.01334 (0.00044)</t>
  </si>
  <si>
    <t>0.05228 (0.00189)</t>
  </si>
  <si>
    <t>0.00202 (0.00009)</t>
  </si>
  <si>
    <t>purF</t>
  </si>
  <si>
    <t>glutamine phosphoribosylpyrophosphateamidotransferase</t>
  </si>
  <si>
    <t>0.00363 (0.01217)</t>
  </si>
  <si>
    <t>0.01696 (0.00069)</t>
  </si>
  <si>
    <t>0.07431 (0.00322)</t>
  </si>
  <si>
    <t>0.00014 (0.00004)</t>
  </si>
  <si>
    <t>purM</t>
  </si>
  <si>
    <t>phosphoribosylaminoimidazole synthetase</t>
  </si>
  <si>
    <t>0.03339 (0.02339)</t>
  </si>
  <si>
    <t>0.01276 (0.00045)</t>
  </si>
  <si>
    <t>0.05231 (0.00190)</t>
  </si>
  <si>
    <t>0.00108 (0.00011)</t>
  </si>
  <si>
    <t>purN</t>
  </si>
  <si>
    <t>phosphoribosylglycinamide formyltransferase</t>
  </si>
  <si>
    <t>0.06474 (0.02697)</t>
  </si>
  <si>
    <t>0.04194 (0.05609)</t>
  </si>
  <si>
    <t>0.01472 (0.00046)</t>
  </si>
  <si>
    <t>0.05604 (0.00180)</t>
  </si>
  <si>
    <t>0.00317 (0.00019)</t>
  </si>
  <si>
    <t>purH</t>
  </si>
  <si>
    <t>fused phosphoribosylaminoimidazole carboxyformyl formyltransferase; inosine-monophosphatecyclohydrolase</t>
  </si>
  <si>
    <t>0.05500 (0.01915)</t>
  </si>
  <si>
    <t>0.02024 (0.01558)</t>
  </si>
  <si>
    <t>0.02155 (0.00069)</t>
  </si>
  <si>
    <t>0.08637 (0.00294)</t>
  </si>
  <si>
    <t>0.00348 (0.00018)</t>
  </si>
  <si>
    <t>purD</t>
  </si>
  <si>
    <t>phosphoribosylglycinamide synthetase</t>
  </si>
  <si>
    <t>0.07126 (0.02048)</t>
  </si>
  <si>
    <t>0.07849 (0.01799)</t>
  </si>
  <si>
    <t>0.02337 (0.00054)</t>
  </si>
  <si>
    <t>0.08643 (0.00227)</t>
  </si>
  <si>
    <t>0.00552 (0.00018)</t>
  </si>
  <si>
    <t>yezC</t>
  </si>
  <si>
    <t>putative transcriptional regulator (Lrp/AsnCfamily)</t>
  </si>
  <si>
    <t>0.07154 (0.04727)</t>
  </si>
  <si>
    <t>0.06014 (0.10211)</t>
  </si>
  <si>
    <t>0.02994 (0.00107)</t>
  </si>
  <si>
    <t>0.10370 (0.00339)</t>
  </si>
  <si>
    <t>0.00989 (0.00075)</t>
  </si>
  <si>
    <t>yecA</t>
  </si>
  <si>
    <t>putative amino acid exporter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</si>
  <si>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GCA_002096095.1_ASM209609v1_genomic , GCA_002142595.1_ASM214259v1_genomic</t>
  </si>
  <si>
    <t>0.11407 (0.04717)</t>
  </si>
  <si>
    <t>0.11119 (0.02233)</t>
  </si>
  <si>
    <t>0.03960 (0.00121)</t>
  </si>
  <si>
    <t>0.12648 (0.00382)</t>
  </si>
  <si>
    <t>0.01396 (0.00068)</t>
  </si>
  <si>
    <t>yezF</t>
  </si>
  <si>
    <t>0.72189 (0.11430)</t>
  </si>
  <si>
    <t>0.24957 (0.30064)</t>
  </si>
  <si>
    <t>0.01827 (0.00241)</t>
  </si>
  <si>
    <t>0.05963 (0.00785)</t>
  </si>
  <si>
    <t>0.00866 (0.00149)</t>
  </si>
  <si>
    <t>yerA</t>
  </si>
  <si>
    <t>putative adenine deaminase YerA</t>
  </si>
  <si>
    <t>0.07220 (0.02169)</t>
  </si>
  <si>
    <t>0.03797 (0.04645)</t>
  </si>
  <si>
    <t>0.02552 (0.00133)</t>
  </si>
  <si>
    <t>0.10945 (0.00626)</t>
  </si>
  <si>
    <t>0.00459 (0.00023)</t>
  </si>
  <si>
    <t>yerB</t>
  </si>
  <si>
    <t>0.27155 (0.13921)</t>
  </si>
  <si>
    <t>0.19088 (0.24629)</t>
  </si>
  <si>
    <t>0.01947 (0.00131)</t>
  </si>
  <si>
    <t>0.05461 (0.00425)</t>
  </si>
  <si>
    <t>0.01032 (0.00060)</t>
  </si>
  <si>
    <t>yerC</t>
  </si>
  <si>
    <t>transcriptional repressor-histidine operons</t>
  </si>
  <si>
    <t>0.02238 (0.06720)</t>
  </si>
  <si>
    <t>0.01927 (0.05509)</t>
  </si>
  <si>
    <t>0.01789 (0.00092)</t>
  </si>
  <si>
    <t>0.07939 (0.00455)</t>
  </si>
  <si>
    <t>0.00141 (0.00018)</t>
  </si>
  <si>
    <t>yerD</t>
  </si>
  <si>
    <t>putative osmotic shock glutamate synthasesubunit (flavoprotein subunit, ferredoxin-dependent)</t>
  </si>
  <si>
    <t>0.07051 (0.01785)</t>
  </si>
  <si>
    <t>0.06231 (0.03274)</t>
  </si>
  <si>
    <t>0.01619 (0.00041)</t>
  </si>
  <si>
    <t>0.06183 (0.00164)</t>
  </si>
  <si>
    <t>0.00361 (0.00013)</t>
  </si>
  <si>
    <t>pcrB</t>
  </si>
  <si>
    <t>heptaprenylglyceryl-phosphate synthase</t>
  </si>
  <si>
    <t>0.08424 (0.03467)</t>
  </si>
  <si>
    <t>0.09886 (0.06259)</t>
  </si>
  <si>
    <t>0.01476 (0.00040)</t>
  </si>
  <si>
    <t>0.05171 (0.00157)</t>
  </si>
  <si>
    <t>0.00432 (0.00025)</t>
  </si>
  <si>
    <t>pcrA</t>
  </si>
  <si>
    <t>ATP-dependent DNA helicase</t>
  </si>
  <si>
    <t>0.01607 (0.01298)</t>
  </si>
  <si>
    <t>0.00453 (0.01456)</t>
  </si>
  <si>
    <t>0.01437 (0.00035)</t>
  </si>
  <si>
    <t>0.06378 (0.00163)</t>
  </si>
  <si>
    <t>0.00076 (0.00006)</t>
  </si>
  <si>
    <t>ligA</t>
  </si>
  <si>
    <t>DNA ligase (NAD-dependent)</t>
  </si>
  <si>
    <t>0.03483 (0.02138)</t>
  </si>
  <si>
    <t>0.02424 (0.02242)</t>
  </si>
  <si>
    <t>0.01988 (0.00065)</t>
  </si>
  <si>
    <t>0.07961 (0.00267)</t>
  </si>
  <si>
    <t>0.00343 (0.00019)</t>
  </si>
  <si>
    <t>yerH</t>
  </si>
  <si>
    <t>0.02729 (0.02742)</t>
  </si>
  <si>
    <t>0.01311 (0.02197)</t>
  </si>
  <si>
    <t>0.01481 (0.00048)</t>
  </si>
  <si>
    <t>0.06301 (0.00204)</t>
  </si>
  <si>
    <t>0.00159 (0.00015)</t>
  </si>
  <si>
    <t>yerI</t>
  </si>
  <si>
    <t>putative kinase</t>
  </si>
  <si>
    <t>0.16694 (0.05648)</t>
  </si>
  <si>
    <t>0.34387 (0.13994)</t>
  </si>
  <si>
    <t>0.00998 (0.00038)</t>
  </si>
  <si>
    <t>0.02713 (0.00122)</t>
  </si>
  <si>
    <t>0.00555 (0.00025)</t>
  </si>
  <si>
    <t>sapB</t>
  </si>
  <si>
    <t>putative magnesium transporter</t>
  </si>
  <si>
    <t>0.00647 (0.02438)</t>
  </si>
  <si>
    <t>0.06068 (0.15553)</t>
  </si>
  <si>
    <t>0.01516 (0.00122)</t>
  </si>
  <si>
    <t>0.06412 (0.00542)</t>
  </si>
  <si>
    <t>0.00158 (0.00023)</t>
  </si>
  <si>
    <t>opuE</t>
  </si>
  <si>
    <t>proline transporter</t>
  </si>
  <si>
    <t>0.04560 (0.10643)</t>
  </si>
  <si>
    <t>0.02298 (0.04142)</t>
  </si>
  <si>
    <t>0.01454 (0.00099)</t>
  </si>
  <si>
    <t>0.05418 (0.00381)</t>
  </si>
  <si>
    <t>0.00242 (0.00024)</t>
  </si>
  <si>
    <t>gatC</t>
  </si>
  <si>
    <t>glutamyl-tRNA(Gln) amidotransferase (subunit C)</t>
  </si>
  <si>
    <t>0.03867 (0.08061)</t>
  </si>
  <si>
    <t>0.01736 (0.00142)</t>
  </si>
  <si>
    <t>0.08270 (0.00716)</t>
  </si>
  <si>
    <t>0.00099 (0.00027)</t>
  </si>
  <si>
    <t>gatA</t>
  </si>
  <si>
    <t>glutamyl-tRNA(Gln) amidotransferase (subunit A)</t>
  </si>
  <si>
    <t>0.02307 (0.01875)</t>
  </si>
  <si>
    <t>0.00892 (0.01338)</t>
  </si>
  <si>
    <t>0.02671 (0.00106)</t>
  </si>
  <si>
    <t>0.11515 (0.00492)</t>
  </si>
  <si>
    <t>0.00160 (0.00008)</t>
  </si>
  <si>
    <t>gatB</t>
  </si>
  <si>
    <t>glutamyl-tRNA(Gln) amidotransferase (subunit B)</t>
  </si>
  <si>
    <t>0.00802 (0.01798)</t>
  </si>
  <si>
    <t>0.00352 (0.01348)</t>
  </si>
  <si>
    <t>0.02166 (0.00103)</t>
  </si>
  <si>
    <t>0.10285 (0.00513)</t>
  </si>
  <si>
    <t>0.00044 (0.00005)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</si>
  <si>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GCA_001604995.1_ASM160499v1_genomic , GCA_001660525.1_ASM166052v1_genomic , GCA_001697265.1_ASM169726v1_genomic , GCA_001703495.1_ASM170349v1_genomic , GCA_002055965.1_ASM205596v1_genomic</t>
  </si>
  <si>
    <t>srfP</t>
  </si>
  <si>
    <t>surfactin exporter involved in surfactinself-resistance</t>
  </si>
  <si>
    <t>0.02084 (0.00623)</t>
  </si>
  <si>
    <t>0.04001 (0.06678)</t>
  </si>
  <si>
    <t>0.02360 (0.00117)</t>
  </si>
  <si>
    <t>0.09602 (0.00495)</t>
  </si>
  <si>
    <t>0.00360 (0.00025)</t>
  </si>
  <si>
    <t>dagK</t>
  </si>
  <si>
    <t>diacylglycerol kinase</t>
  </si>
  <si>
    <t>0.00605 (0.01189)</t>
  </si>
  <si>
    <t>0.01634 (0.05908)</t>
  </si>
  <si>
    <t>0.02546 (0.00087)</t>
  </si>
  <si>
    <t>0.10820 (0.00367)</t>
  </si>
  <si>
    <t>0.00217 (0.00017)</t>
  </si>
  <si>
    <t>rlmCD</t>
  </si>
  <si>
    <t>methyltransferase of m5U747 and m5U1939 in 23SRNA</t>
  </si>
  <si>
    <t>ref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GCA_001746575.1_ASM174657v1_genomic , GCA_001808235.1_ASM180823v1_genomic , GCA_002055965.1_ASM205596v1_genomic , GCA_002142595.1_ASM214259v1_genomic</t>
  </si>
  <si>
    <t>0.03120 (0.01622)</t>
  </si>
  <si>
    <t>0.03184 (0.01518)</t>
  </si>
  <si>
    <t>0.03754 (0.00195)</t>
  </si>
  <si>
    <t>0.16478 (0.00888)</t>
  </si>
  <si>
    <t>0.00569 (0.00034)</t>
  </si>
  <si>
    <t>yeeF</t>
  </si>
  <si>
    <t>putative nucleic acid binding protein; HGTisland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</si>
  <si>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GCA_002055965.1_ASM205596v1_genomic , GCA_002072735.1_ASM207273v1_genomic</t>
  </si>
  <si>
    <t>0.06972 (0.02555)</t>
  </si>
  <si>
    <t>0.10769 (0.02581)</t>
  </si>
  <si>
    <t>0.04074 (0.00242)</t>
  </si>
  <si>
    <t>0.14873 (0.00814)</t>
  </si>
  <si>
    <t>0.01356 (0.00120)</t>
  </si>
  <si>
    <t>yeeG</t>
  </si>
  <si>
    <t>putative phage receptor protein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</si>
  <si>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</t>
  </si>
  <si>
    <t>0.27952 (0.18620)</t>
  </si>
  <si>
    <t>0.33832 (0.00000)</t>
  </si>
  <si>
    <t>0.03792 (0.00703)</t>
  </si>
  <si>
    <t>0.08879 (0.01722)</t>
  </si>
  <si>
    <t>0.02557 (0.00472)</t>
  </si>
  <si>
    <t>rapH</t>
  </si>
  <si>
    <t>0.11565 (0.04713)</t>
  </si>
  <si>
    <t>0.08344 (0.03133)</t>
  </si>
  <si>
    <t>0.02435 (0.00067)</t>
  </si>
  <si>
    <t>0.08530 (0.00231)</t>
  </si>
  <si>
    <t>0.00910 (0.00034)</t>
  </si>
  <si>
    <t>phrH</t>
  </si>
  <si>
    <t>hexapeptide (TDRNTT) inhibitor of regulatorycascade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</si>
  <si>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</si>
  <si>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0.71419 (0.67199)</t>
  </si>
  <si>
    <t>0.21682 (0.25121)</t>
  </si>
  <si>
    <t>0.02997 (0.00139)</t>
  </si>
  <si>
    <t>0.05419 (0.00409)</t>
  </si>
  <si>
    <t>0.02410 (0.00153)</t>
  </si>
  <si>
    <t>yeeI</t>
  </si>
  <si>
    <t>putative DNA integrase or transcriptionalregulator</t>
  </si>
  <si>
    <t>0.01007 (0.03715)</t>
  </si>
  <si>
    <t>0.02676 (0.05189)</t>
  </si>
  <si>
    <t>0.01607 (0.00111)</t>
  </si>
  <si>
    <t>0.07048 (0.00508)</t>
  </si>
  <si>
    <t>0.00194 (0.00018)</t>
  </si>
  <si>
    <t>yezE</t>
  </si>
  <si>
    <t>putative transcriptional regulator (TetRfamily)</t>
  </si>
  <si>
    <t>0.15542 (0.07795)</t>
  </si>
  <si>
    <t>0.09029 (0.03395)</t>
  </si>
  <si>
    <t>0.03518 (0.00148)</t>
  </si>
  <si>
    <t>0.11673 (0.00568)</t>
  </si>
  <si>
    <t>0.01341 (0.00074)</t>
  </si>
  <si>
    <t>yesE</t>
  </si>
  <si>
    <t>0.18933 (0.06952)</t>
  </si>
  <si>
    <t>0.24583 (0.05457)</t>
  </si>
  <si>
    <t>0.02483 (0.00098)</t>
  </si>
  <si>
    <t>0.06437 (0.00264)</t>
  </si>
  <si>
    <t>0.01494 (0.00080)</t>
  </si>
  <si>
    <t>yesF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</si>
  <si>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GCA_002173615.1_ASM217361v1_genomic</t>
  </si>
  <si>
    <t>0.20653 (0.20556)</t>
  </si>
  <si>
    <t>0.18903 (0.20523)</t>
  </si>
  <si>
    <t>0.02277 (0.00205)</t>
  </si>
  <si>
    <t>0.05936 (0.00571)</t>
  </si>
  <si>
    <t>0.01212 (0.00122)</t>
  </si>
  <si>
    <t>cotJA</t>
  </si>
  <si>
    <t>component of the inner spore coat</t>
  </si>
  <si>
    <t>0.16086 (0.20018)</t>
  </si>
  <si>
    <t>0.03672 (0.05707)</t>
  </si>
  <si>
    <t>0.02126 (0.00243)</t>
  </si>
  <si>
    <t>0.08431 (0.01048)</t>
  </si>
  <si>
    <t>0.00614 (0.00096)</t>
  </si>
  <si>
    <t>cotJB</t>
  </si>
  <si>
    <t>0.02723 (0.06455)</t>
  </si>
  <si>
    <t>0.01081 (0.00069)</t>
  </si>
  <si>
    <t>0.04807 (0.00321)</t>
  </si>
  <si>
    <t>0.00098 (0.00029)</t>
  </si>
  <si>
    <t>cotJC</t>
  </si>
  <si>
    <t>enzyme component of the inner spore coat</t>
  </si>
  <si>
    <t>0.02166 (0.03477)</t>
  </si>
  <si>
    <t>0.02405 (0.07729)</t>
  </si>
  <si>
    <t>0.01765 (0.00179)</t>
  </si>
  <si>
    <t>0.07938 (0.00848)</t>
  </si>
  <si>
    <t>0.00172 (0.00021)</t>
  </si>
  <si>
    <t>yesJ</t>
  </si>
  <si>
    <t>0.29689 (0.08739)</t>
  </si>
  <si>
    <t>0.13220 (0.09767)</t>
  </si>
  <si>
    <t>0.01074 (0.00039)</t>
  </si>
  <si>
    <t>0.02923 (0.00098)</t>
  </si>
  <si>
    <t>0.00544 (0.00038)</t>
  </si>
  <si>
    <t>yesK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</si>
  <si>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GCA_000782835.1_ASM78283v1_genomic , GCA_000789275.1_ASM78927v1_genomic , GCA_000789295.1_ASM78929v1_genomic , GCA_000827065.1_ASM82706v1_genomic , GCA_000953615.1_BS49Ch_genomic , GCA_000971925.1_ASM97192v1_genomic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</si>
  <si>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1.29334 (0.97691)</t>
  </si>
  <si>
    <t>1.29692 (1.22115)</t>
  </si>
  <si>
    <t>0.02637 (0.00214)</t>
  </si>
  <si>
    <t>0.02188 (0.00197)</t>
  </si>
  <si>
    <t>0.02872 (0.00246)</t>
  </si>
  <si>
    <t>yesL</t>
  </si>
  <si>
    <t>putative permease or sensor of a three componentsystem for pectin and rhamnogalacturonan transport anddegradation</t>
  </si>
  <si>
    <t>0.15377 (0.07835)</t>
  </si>
  <si>
    <t>0.23251 (0.14796)</t>
  </si>
  <si>
    <t>0.01251 (0.00051)</t>
  </si>
  <si>
    <t>0.03424 (0.00138)</t>
  </si>
  <si>
    <t>0.00607 (0.00034)</t>
  </si>
  <si>
    <t>yesM</t>
  </si>
  <si>
    <t>two-component sensor histidine kinase [YesN]</t>
  </si>
  <si>
    <t>0.06109 (0.04000)</t>
  </si>
  <si>
    <t>0.08149 (0.03321)</t>
  </si>
  <si>
    <t>0.01545 (0.00045)</t>
  </si>
  <si>
    <t>0.05472 (0.00165)</t>
  </si>
  <si>
    <t>0.00498 (0.00017)</t>
  </si>
  <si>
    <t>yesN</t>
  </si>
  <si>
    <t>two-component response regulator [YesM]</t>
  </si>
  <si>
    <t>0.13858 (0.03769)</t>
  </si>
  <si>
    <t>0.09794 (0.04438)</t>
  </si>
  <si>
    <t>0.01800 (0.00056)</t>
  </si>
  <si>
    <t>0.05814 (0.00189)</t>
  </si>
  <si>
    <t>0.00683 (0.00027)</t>
  </si>
  <si>
    <t>yesO</t>
  </si>
  <si>
    <t>pectin degradation byproducts (rhamnoseoligosaccharides)-binding lipoprotein</t>
  </si>
  <si>
    <t>0.06204 (0.05213)</t>
  </si>
  <si>
    <t>0.13258 (0.04992)</t>
  </si>
  <si>
    <t>0.01563 (0.00055)</t>
  </si>
  <si>
    <t>0.05381 (0.00235)</t>
  </si>
  <si>
    <t>0.00522 (0.00018)</t>
  </si>
  <si>
    <t>rhgP</t>
  </si>
  <si>
    <t>rhamnogalacturonan permease</t>
  </si>
  <si>
    <t>0.04730 (0.05664)</t>
  </si>
  <si>
    <t>0.04376 (0.10345)</t>
  </si>
  <si>
    <t>0.01938 (0.00134)</t>
  </si>
  <si>
    <t>0.07431 (0.00508)</t>
  </si>
  <si>
    <t>0.00373 (0.00037)</t>
  </si>
  <si>
    <t>rhgQ</t>
  </si>
  <si>
    <t>0.07952 (0.02461)</t>
  </si>
  <si>
    <t>0.05583 (0.06546)</t>
  </si>
  <si>
    <t>0.02373 (0.00123)</t>
  </si>
  <si>
    <t>0.08954 (0.00527)</t>
  </si>
  <si>
    <t>0.00572 (0.00027)</t>
  </si>
  <si>
    <t>rhgH</t>
  </si>
  <si>
    <t>rhamnogalacturonan hydrolase</t>
  </si>
  <si>
    <t>0.14455 (0.03170)</t>
  </si>
  <si>
    <t>0.04247 (0.04114)</t>
  </si>
  <si>
    <t>0.01371 (0.00043)</t>
  </si>
  <si>
    <t>0.04995 (0.00169)</t>
  </si>
  <si>
    <t>0.00305 (0.00014)</t>
  </si>
  <si>
    <t>rhgR</t>
  </si>
  <si>
    <t>transcriptional regulator (AraC/XylS family)</t>
  </si>
  <si>
    <t>0.19216 (0.03472)</t>
  </si>
  <si>
    <t>0.20789 (0.03337)</t>
  </si>
  <si>
    <t>0.02162 (0.00051)</t>
  </si>
  <si>
    <t>0.06009 (0.00144)</t>
  </si>
  <si>
    <t>0.01145 (0.00031)</t>
  </si>
  <si>
    <t>rhgT</t>
  </si>
  <si>
    <t>rhamnogalacturonan acetylesterase</t>
  </si>
  <si>
    <t>0.25256 (0.09020)</t>
  </si>
  <si>
    <t>0.15481 (0.07202)</t>
  </si>
  <si>
    <t>0.01914 (0.00053)</t>
  </si>
  <si>
    <t>0.04883 (0.00187)</t>
  </si>
  <si>
    <t>0.01095 (0.00037)</t>
  </si>
  <si>
    <t>yesU</t>
  </si>
  <si>
    <t>0.15876 (0.04389)</t>
  </si>
  <si>
    <t>0.17955 (0.07653)</t>
  </si>
  <si>
    <t>0.03467 (0.00143)</t>
  </si>
  <si>
    <t>0.10426 (0.00462)</t>
  </si>
  <si>
    <t>0.01727 (0.00073)</t>
  </si>
  <si>
    <t>yesV</t>
  </si>
  <si>
    <t>putative integral inner membrane component</t>
  </si>
  <si>
    <t>0.33130 (0.17846)</t>
  </si>
  <si>
    <t>0.14691 (0.09450)</t>
  </si>
  <si>
    <t>0.01915 (0.00047)</t>
  </si>
  <si>
    <t>0.05132 (0.00160)</t>
  </si>
  <si>
    <t>0.00912 (0.00029)</t>
  </si>
  <si>
    <t>rhgW</t>
  </si>
  <si>
    <t>rhamnogalacturonan endolyase</t>
  </si>
  <si>
    <t>0.10601 (0.07985)</t>
  </si>
  <si>
    <t>0.11957 (0.04193)</t>
  </si>
  <si>
    <t>0.01543 (0.00059)</t>
  </si>
  <si>
    <t>0.04764 (0.00226)</t>
  </si>
  <si>
    <t>0.00567 (0.00019)</t>
  </si>
  <si>
    <t>rhgX</t>
  </si>
  <si>
    <t>rhamnogalacturonan exolyase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</si>
  <si>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</si>
  <si>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0.08909 (0.02172)</t>
  </si>
  <si>
    <t>0.10462 (0.04419)</t>
  </si>
  <si>
    <t>0.02572 (0.00065)</t>
  </si>
  <si>
    <t>0.08533 (0.00234)</t>
  </si>
  <si>
    <t>0.00903 (0.00032)</t>
  </si>
  <si>
    <t>yesY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</si>
  <si>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</si>
  <si>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0.07127 (0.06021)</t>
  </si>
  <si>
    <t>0.03035 (0.03307)</t>
  </si>
  <si>
    <t>0.03048 (0.00136)</t>
  </si>
  <si>
    <t>0.13164 (0.00624)</t>
  </si>
  <si>
    <t>0.00546 (0.00032)</t>
  </si>
  <si>
    <t>rhgZ</t>
  </si>
  <si>
    <t>beta-galacturonidase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</si>
  <si>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</si>
  <si>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0.35068 (0.09720)</t>
  </si>
  <si>
    <t>0.12413 (0.02044)</t>
  </si>
  <si>
    <t>0.09571 (0.02487)</t>
  </si>
  <si>
    <t>0.02104 (0.00068)</t>
  </si>
  <si>
    <t>0.06716 (0.00234)</t>
  </si>
  <si>
    <t>0.00790 (0.00029)</t>
  </si>
  <si>
    <t>yetA</t>
  </si>
  <si>
    <t>0.31129 (0.08931)</t>
  </si>
  <si>
    <t>0.20025 (0.06093)</t>
  </si>
  <si>
    <t>0.19217 (0.05826)</t>
  </si>
  <si>
    <t>0.02388 (0.00057)</t>
  </si>
  <si>
    <t>0.06715 (0.00178)</t>
  </si>
  <si>
    <t>0.01235 (0.00032)</t>
  </si>
  <si>
    <t>lplA</t>
  </si>
  <si>
    <t>lipoprotein transporter binding protein foralpha-galacturonides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</si>
  <si>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</t>
  </si>
  <si>
    <t>0.10102 (0.03283)</t>
  </si>
  <si>
    <t>0.08339 (0.10227)</t>
  </si>
  <si>
    <t>0.02173 (0.00134)</t>
  </si>
  <si>
    <t>0.08319 (0.00530)</t>
  </si>
  <si>
    <t>0.00671 (0.00045)</t>
  </si>
  <si>
    <t>lplB</t>
  </si>
  <si>
    <t>ABC transporter (permease) foralpha-galacturonides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</si>
  <si>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</si>
  <si>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0.04240 (0.04300)</t>
  </si>
  <si>
    <t>0.06451 (0.03484)</t>
  </si>
  <si>
    <t>0.01937 (0.00106)</t>
  </si>
  <si>
    <t>0.07829 (0.00544)</t>
  </si>
  <si>
    <t>0.00391 (0.00016)</t>
  </si>
  <si>
    <t>lplC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</si>
  <si>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</si>
  <si>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0.03468 (0.03347)</t>
  </si>
  <si>
    <t>0.00847 (0.03442)</t>
  </si>
  <si>
    <t>0.02676 (0.00132)</t>
  </si>
  <si>
    <t>0.11533 (0.00599)</t>
  </si>
  <si>
    <t>0.00198 (0.00016)</t>
  </si>
  <si>
    <t>lplD</t>
  </si>
  <si>
    <t>alpha-galacturonidase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</si>
  <si>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</si>
  <si>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0.22148 (0.07973)</t>
  </si>
  <si>
    <t>0.13919 (0.07002)</t>
  </si>
  <si>
    <t>0.01702 (0.00075)</t>
  </si>
  <si>
    <t>0.04583 (0.00229)</t>
  </si>
  <si>
    <t>0.00873 (0.00043)</t>
  </si>
  <si>
    <t>yetF</t>
  </si>
  <si>
    <t>conserved membrane protein</t>
  </si>
  <si>
    <t>0.05636 (0.03244)</t>
  </si>
  <si>
    <t>0.04685 (0.02633)</t>
  </si>
  <si>
    <t>0.03124 (0.00166)</t>
  </si>
  <si>
    <t>0.12479 (0.00659)</t>
  </si>
  <si>
    <t>0.00848 (0.00065)</t>
  </si>
  <si>
    <t>hmoA</t>
  </si>
  <si>
    <t>heme-degrading monooxygenase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</si>
  <si>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</si>
  <si>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0.12897 (0.19493)</t>
  </si>
  <si>
    <t>0.02714 (0.00441)</t>
  </si>
  <si>
    <t>0.11645 (0.01764)</t>
  </si>
  <si>
    <t>0.00756 (0.00195)</t>
  </si>
  <si>
    <t>yetH</t>
  </si>
  <si>
    <t>putative lyase/dioxygenase</t>
  </si>
  <si>
    <t>0.14172 (0.19663)</t>
  </si>
  <si>
    <t>0.24782 (0.35047)</t>
  </si>
  <si>
    <t>0.00840 (0.00074)</t>
  </si>
  <si>
    <t>0.02656 (0.00211)</t>
  </si>
  <si>
    <t>0.00404 (0.00070)</t>
  </si>
  <si>
    <t>yezD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</si>
  <si>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</si>
  <si>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0.08349 (0.06234)</t>
  </si>
  <si>
    <t>0.12047 (0.07409)</t>
  </si>
  <si>
    <t>0.02754 (0.00134)</t>
  </si>
  <si>
    <t>0.09580 (0.00489)</t>
  </si>
  <si>
    <t>0.01009 (0.00089)</t>
  </si>
  <si>
    <t>calJ</t>
  </si>
  <si>
    <t>pH-sensitive calcium-leak permease (di-aspartylpH sensor)</t>
  </si>
  <si>
    <t>0.07892 (0.03744)</t>
  </si>
  <si>
    <t>0.05015 (0.04095)</t>
  </si>
  <si>
    <t>0.01546 (0.00060)</t>
  </si>
  <si>
    <t>0.05493 (0.00224)</t>
  </si>
  <si>
    <t>0.00354 (0.00022)</t>
  </si>
  <si>
    <t>flvL</t>
  </si>
  <si>
    <t>transcriptional regulator (FlvL-flavonoids)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</si>
  <si>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GCA_001808235.1_ASM180823v1_genomic , GCA_002055965.1_ASM205596v1_genomic , GCA_002072735.1_ASM207273v1_genomic</t>
  </si>
  <si>
    <t>0.13328 (0.06111)</t>
  </si>
  <si>
    <t>0.08086 (0.06775)</t>
  </si>
  <si>
    <t>0.02300 (0.00232)</t>
  </si>
  <si>
    <t>0.08205 (0.00906)</t>
  </si>
  <si>
    <t>0.00830 (0.00091)</t>
  </si>
  <si>
    <t>flvM</t>
  </si>
  <si>
    <t>putative flavin-dependentderivatives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</si>
  <si>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GCA_001808235.1_ASM180823v1_genomic , GCA_002055965.1_ASM205596v1_genomic , GCA_002072735.1_ASM207273v1_genomic</t>
  </si>
  <si>
    <t>0.17665 (0.08617)</t>
  </si>
  <si>
    <t>0.14697 (0.03255)</t>
  </si>
  <si>
    <t>0.02835 (0.00206)</t>
  </si>
  <si>
    <t>0.08389 (0.00641)</t>
  </si>
  <si>
    <t>0.01343 (0.00124)</t>
  </si>
  <si>
    <t>yetN</t>
  </si>
  <si>
    <t>0.49112 (0.11837)</t>
  </si>
  <si>
    <t>0.02327 (0.02064)</t>
  </si>
  <si>
    <t>0.00604 (0.02084)</t>
  </si>
  <si>
    <t>0.02077 (0.00108)</t>
  </si>
  <si>
    <t>0.10291 (0.00595)</t>
  </si>
  <si>
    <t>0.00153 (0.00012)</t>
  </si>
  <si>
    <t>cypD</t>
  </si>
  <si>
    <t>bifunctional P-450/NADPH-P450 reductase 1</t>
  </si>
  <si>
    <t>0.09538 (0.03848)</t>
  </si>
  <si>
    <t>0.07669 (0.01195)</t>
  </si>
  <si>
    <t>0.02316 (0.00053)</t>
  </si>
  <si>
    <t>0.08301 (0.00195)</t>
  </si>
  <si>
    <t>0.00674 (0.00017)</t>
  </si>
  <si>
    <t>ltaSA</t>
  </si>
  <si>
    <t>exported glycerol phosphate lipoteichoic acidsynthetase and anion-binding protein</t>
  </si>
  <si>
    <t>0.03847 (0.02680)</t>
  </si>
  <si>
    <t>0.03237 (0.02538)</t>
  </si>
  <si>
    <t>0.01171 (0.00049)</t>
  </si>
  <si>
    <t>0.04750 (0.00204)</t>
  </si>
  <si>
    <t>0.00194 (0.00013)</t>
  </si>
  <si>
    <t>spmH</t>
  </si>
  <si>
    <t>glucose-1-phosphate cytidylyltransferase(sporulation)</t>
  </si>
  <si>
    <t>0.58383 (0.11508)</t>
  </si>
  <si>
    <t>0.09674 (0.05975)</t>
  </si>
  <si>
    <t>0.05011 (0.03356)</t>
  </si>
  <si>
    <t>0.02404 (0.00103)</t>
  </si>
  <si>
    <t>0.09444 (0.00438)</t>
  </si>
  <si>
    <t>0.00604 (0.00032)</t>
  </si>
  <si>
    <t>spmG</t>
  </si>
  <si>
    <t>putative CDP-sugar-dehydratase/epimerase</t>
  </si>
  <si>
    <t>0.05535 (0.04371)</t>
  </si>
  <si>
    <t>0.01381 (0.04607)</t>
  </si>
  <si>
    <t>0.01028 (0.00036)</t>
  </si>
  <si>
    <t>0.04215 (0.00160)</t>
  </si>
  <si>
    <t>0.00136 (0.00012)</t>
  </si>
  <si>
    <t>yfnF</t>
  </si>
  <si>
    <t>0.12809 (0.05333)</t>
  </si>
  <si>
    <t>0.06150 (0.05216)</t>
  </si>
  <si>
    <t>0.01074 (0.00032)</t>
  </si>
  <si>
    <t>0.03671 (0.00122)</t>
  </si>
  <si>
    <t>0.00379 (0.00019)</t>
  </si>
  <si>
    <t>yfnE</t>
  </si>
  <si>
    <t>putative glycosyltransferase (complexcarbohydrate synthase)</t>
  </si>
  <si>
    <t>0.07679 (0.06697)</t>
  </si>
  <si>
    <t>0.03581 (0.02050)</t>
  </si>
  <si>
    <t>0.01122 (0.00053)</t>
  </si>
  <si>
    <t>0.04491 (0.00215)</t>
  </si>
  <si>
    <t>0.00231 (0.00019)</t>
  </si>
  <si>
    <t>yfnD</t>
  </si>
  <si>
    <t>0.08869 (0.05511)</t>
  </si>
  <si>
    <t>0.04716 (0.06631)</t>
  </si>
  <si>
    <t>0.00885 (0.00033)</t>
  </si>
  <si>
    <t>0.03294 (0.00134)</t>
  </si>
  <si>
    <t>0.00259 (0.00019)</t>
  </si>
  <si>
    <t>yfnC</t>
  </si>
  <si>
    <t>0.04176 (0.05210)</t>
  </si>
  <si>
    <t>0.05401 (0.06657)</t>
  </si>
  <si>
    <t>0.01372 (0.00071)</t>
  </si>
  <si>
    <t>0.04786 (0.00244)</t>
  </si>
  <si>
    <t>0.00247 (0.00022)</t>
  </si>
  <si>
    <t>pynN</t>
  </si>
  <si>
    <t>pyrimidine nucleotide phosphatase (promiscuous)</t>
  </si>
  <si>
    <t>0.17986 (0.08129)</t>
  </si>
  <si>
    <t>0.07947 (0.04799)</t>
  </si>
  <si>
    <t>0.01714 (0.00084)</t>
  </si>
  <si>
    <t>0.05457 (0.00352)</t>
  </si>
  <si>
    <t>0.00734 (0.00035)</t>
  </si>
  <si>
    <t>mtrA</t>
  </si>
  <si>
    <t>methylthioribose permease</t>
  </si>
  <si>
    <t>0.04195 (0.03390)</t>
  </si>
  <si>
    <t>0.03902 (0.06958)</t>
  </si>
  <si>
    <t>0.02071 (0.00148)</t>
  </si>
  <si>
    <t>0.07908 (0.00593)</t>
  </si>
  <si>
    <t>0.00275 (0.00025)</t>
  </si>
  <si>
    <t>vdhT</t>
  </si>
  <si>
    <t>vanillin dehydrogenase</t>
  </si>
  <si>
    <t>0.02542 (0.02770)</t>
  </si>
  <si>
    <t>0.03139 (0.02500)</t>
  </si>
  <si>
    <t>0.01675 (0.00127)</t>
  </si>
  <si>
    <t>0.07181 (0.00583)</t>
  </si>
  <si>
    <t>0.00190 (0.00016)</t>
  </si>
  <si>
    <t>yfmS</t>
  </si>
  <si>
    <t>chemotaxis sensory transducer (sensed targetunknown)</t>
  </si>
  <si>
    <t>0.03102 (0.05050)</t>
  </si>
  <si>
    <t>0.01621 (0.00071)</t>
  </si>
  <si>
    <t>0.06894 (0.00340)</t>
  </si>
  <si>
    <t>0.00140 (0.00025)</t>
  </si>
  <si>
    <t>ettA</t>
  </si>
  <si>
    <t>putative energy-dependent translational throttleA</t>
  </si>
  <si>
    <t>0.11958 (0.04090)</t>
  </si>
  <si>
    <t>0.09472 (0.05079)</t>
  </si>
  <si>
    <t>0.01092 (0.00042)</t>
  </si>
  <si>
    <t>0.03762 (0.00176)</t>
  </si>
  <si>
    <t>0.00333 (0.00014)</t>
  </si>
  <si>
    <t>yfmQ</t>
  </si>
  <si>
    <t>0.14700 (0.15281)</t>
  </si>
  <si>
    <t>0.33667 (0.19413)</t>
  </si>
  <si>
    <t>0.01901 (0.00095)</t>
  </si>
  <si>
    <t>0.04923 (0.00385)</t>
  </si>
  <si>
    <t>0.01069 (0.00056)</t>
  </si>
  <si>
    <t>copP</t>
  </si>
  <si>
    <t>transcriptional regulator (MerR family) of metal(copper) efflux transporter expression</t>
  </si>
  <si>
    <t>0.01631 (0.04660)</t>
  </si>
  <si>
    <t>0.11216 (0.08102)</t>
  </si>
  <si>
    <t>0.02093 (0.00097)</t>
  </si>
  <si>
    <t>0.07544 (0.00410)</t>
  </si>
  <si>
    <t>0.00771 (0.00048)</t>
  </si>
  <si>
    <t>copO</t>
  </si>
  <si>
    <t>metal (copper) efflux transporter</t>
  </si>
  <si>
    <t>0.04775 (0.01835)</t>
  </si>
  <si>
    <t>0.02388 (0.02222)</t>
  </si>
  <si>
    <t>0.02917 (0.00134)</t>
  </si>
  <si>
    <t>0.11384 (0.00548)</t>
  </si>
  <si>
    <t>0.00335 (0.00022)</t>
  </si>
  <si>
    <t>yfmN</t>
  </si>
  <si>
    <t>ref , GCA_000186745.1_ASM18674v1_genomic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</si>
  <si>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0.71200 (0.11731)</t>
  </si>
  <si>
    <t>0.34613 (0.32503)</t>
  </si>
  <si>
    <t>0.02933 (0.00464)</t>
  </si>
  <si>
    <t>0.05865 (0.01688)</t>
  </si>
  <si>
    <t>0.02364 (0.00359)</t>
  </si>
  <si>
    <t>ettM</t>
  </si>
  <si>
    <t>0.01224 (0.01124)</t>
  </si>
  <si>
    <t>0.01652 (0.01186)</t>
  </si>
  <si>
    <t>0.01779 (0.00058)</t>
  </si>
  <si>
    <t>0.08044 (0.00288)</t>
  </si>
  <si>
    <t>0.00107 (0.00006)</t>
  </si>
  <si>
    <t>yfmL</t>
  </si>
  <si>
    <t>putative ATP-dependent RNA helicase</t>
  </si>
  <si>
    <t>0.10726 (0.11964)</t>
  </si>
  <si>
    <t>0.05157 (0.04579)</t>
  </si>
  <si>
    <t>0.02370 (0.00087)</t>
  </si>
  <si>
    <t>0.09044 (0.00350)</t>
  </si>
  <si>
    <t>0.00539 (0.00026)</t>
  </si>
  <si>
    <t>yfmK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</si>
  <si>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</si>
  <si>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0.18355 (0.10383)</t>
  </si>
  <si>
    <t>0.25453 (0.08295)</t>
  </si>
  <si>
    <t>0.03108 (0.00226)</t>
  </si>
  <si>
    <t>0.07937 (0.00574)</t>
  </si>
  <si>
    <t>0.01915 (0.00160)</t>
  </si>
  <si>
    <t>yfmJ</t>
  </si>
  <si>
    <t>0.08750 (0.09127)</t>
  </si>
  <si>
    <t>0.09760 (0.01962)</t>
  </si>
  <si>
    <t>0.01757 (0.00126)</t>
  </si>
  <si>
    <t>0.05840 (0.00433)</t>
  </si>
  <si>
    <t>0.00584 (0.00046)</t>
  </si>
  <si>
    <t>yfmI</t>
  </si>
  <si>
    <t>ref , GCA_000186745.1_ASM18674v1_genomic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</t>
  </si>
  <si>
    <t>0.90500 (0.08772)</t>
  </si>
  <si>
    <t>0.11678 (0.23079)</t>
  </si>
  <si>
    <t>0.00691 (0.00220)</t>
  </si>
  <si>
    <t>0.02210 (0.00720)</t>
  </si>
  <si>
    <t>0.00258 (0.00081)</t>
  </si>
  <si>
    <t>fecF</t>
  </si>
  <si>
    <t>iron-dicitrate ABC transporter (ATP-bindingprotein)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</si>
  <si>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GCA_002055965.1_ASM205596v1_genomic , GCA_002072735.1_ASM207273v1_genomic , GCA_002142595.1_ASM214259v1_genomic , GCA_002173615.1_ASM217361v1_genomic</t>
  </si>
  <si>
    <t>0.04986 (0.06627)</t>
  </si>
  <si>
    <t>0.01838 (0.00133)</t>
  </si>
  <si>
    <t>0.07857 (0.00603)</t>
  </si>
  <si>
    <t>0.00176 (0.00019)</t>
  </si>
  <si>
    <t>fecE</t>
  </si>
  <si>
    <t>iron-dicitrate ABC transporter (permease)</t>
  </si>
  <si>
    <t>0.03146 (0.02043)</t>
  </si>
  <si>
    <t>0.06162 (0.05096)</t>
  </si>
  <si>
    <t>0.01290 (0.00047)</t>
  </si>
  <si>
    <t>0.04386 (0.00177)</t>
  </si>
  <si>
    <t>0.00254 (0.00018)</t>
  </si>
  <si>
    <t>fecD</t>
  </si>
  <si>
    <t>0.07821 (0.05392)</t>
  </si>
  <si>
    <t>0.07237 (0.06743)</t>
  </si>
  <si>
    <t>0.00797 (0.00026)</t>
  </si>
  <si>
    <t>0.02568 (0.00089)</t>
  </si>
  <si>
    <t>0.00173 (0.00011)</t>
  </si>
  <si>
    <t>fecC</t>
  </si>
  <si>
    <t>iron-dicitrate ABC transporter (bindinglipoprotein)</t>
  </si>
  <si>
    <t>0.15352 (0.03978)</t>
  </si>
  <si>
    <t>0.07877 (0.18473)</t>
  </si>
  <si>
    <t>0.01660 (0.00129)</t>
  </si>
  <si>
    <t>0.05887 (0.00538)</t>
  </si>
  <si>
    <t>0.00599 (0.00036)</t>
  </si>
  <si>
    <t>yfmB</t>
  </si>
  <si>
    <t>0.93945 (0.05767)</t>
  </si>
  <si>
    <t>0.19921 (0.08344)</t>
  </si>
  <si>
    <t>0.00765 (0.00108)</t>
  </si>
  <si>
    <t>0.02104 (0.00385)</t>
  </si>
  <si>
    <t>0.00417 (0.00066)</t>
  </si>
  <si>
    <t>yflT</t>
  </si>
  <si>
    <t>heat stress induced protein</t>
  </si>
  <si>
    <t>0.03148 (0.06591)</t>
  </si>
  <si>
    <t>0.01111 (0.00084)</t>
  </si>
  <si>
    <t>0.05380 (0.00418)</t>
  </si>
  <si>
    <t>0.00081 (0.00024)</t>
  </si>
  <si>
    <t>pelA</t>
  </si>
  <si>
    <t>pectate lyase</t>
  </si>
  <si>
    <t>0.06974 (0.04713)</t>
  </si>
  <si>
    <t>0.01017 (0.00054)</t>
  </si>
  <si>
    <t>0.03999 (0.00229)</t>
  </si>
  <si>
    <t>0.00149 (0.00010)</t>
  </si>
  <si>
    <t>maeS</t>
  </si>
  <si>
    <t>malate (2-oxoglutarate) transporter</t>
  </si>
  <si>
    <t>0.05923 (0.04168)</t>
  </si>
  <si>
    <t>0.04753 (0.05035)</t>
  </si>
  <si>
    <t>0.01890 (0.00098)</t>
  </si>
  <si>
    <t>0.07273 (0.00387)</t>
  </si>
  <si>
    <t>0.00305 (0.00020)</t>
  </si>
  <si>
    <t>citS</t>
  </si>
  <si>
    <t>0.16224 (0.11245)</t>
  </si>
  <si>
    <t>0.12729 (0.03999)</t>
  </si>
  <si>
    <t>0.01387 (0.00049)</t>
  </si>
  <si>
    <t>0.04046 (0.00156)</t>
  </si>
  <si>
    <t>0.00627 (0.00024)</t>
  </si>
  <si>
    <t>citT</t>
  </si>
  <si>
    <t>0.19393 (0.16810)</t>
  </si>
  <si>
    <t>0.20324 (0.12296)</t>
  </si>
  <si>
    <t>0.01092 (0.00053)</t>
  </si>
  <si>
    <t>0.03139 (0.00182)</t>
  </si>
  <si>
    <t>yflP</t>
  </si>
  <si>
    <t>putative tricarboxylate transporter component</t>
  </si>
  <si>
    <t>0.16013 (0.16188)</t>
  </si>
  <si>
    <t>0.09993 (0.08450)</t>
  </si>
  <si>
    <t>0.01663 (0.00086)</t>
  </si>
  <si>
    <t>0.05483 (0.00274)</t>
  </si>
  <si>
    <t>0.00668 (0.00044)</t>
  </si>
  <si>
    <t>citM</t>
  </si>
  <si>
    <t>transporter of divalent metal ions/citratecomplexes</t>
  </si>
  <si>
    <t>0.03074 (0.03226)</t>
  </si>
  <si>
    <t>0.02075 (0.00145)</t>
  </si>
  <si>
    <t>0.09122 (0.00681)</t>
  </si>
  <si>
    <t>0.00068 (0.00008)</t>
  </si>
  <si>
    <t>yflN</t>
  </si>
  <si>
    <t>0.17795 (0.07281)</t>
  </si>
  <si>
    <t>0.04169 (0.05424)</t>
  </si>
  <si>
    <t>0.01376 (0.00047)</t>
  </si>
  <si>
    <t>0.04439 (0.00173)</t>
  </si>
  <si>
    <t>0.00460 (0.00033)</t>
  </si>
  <si>
    <t>nosA</t>
  </si>
  <si>
    <t>nitric-oxide synthase</t>
  </si>
  <si>
    <t>0.11052 (0.03937)</t>
  </si>
  <si>
    <t>0.03791 (0.03200)</t>
  </si>
  <si>
    <t>0.01386 (0.00050)</t>
  </si>
  <si>
    <t>0.05373 (0.00208)</t>
  </si>
  <si>
    <t>0.00313 (0.00016)</t>
  </si>
  <si>
    <t>acyP</t>
  </si>
  <si>
    <t>acylphosphatase</t>
  </si>
  <si>
    <t>0.15232 (0.21541)</t>
  </si>
  <si>
    <t>0.00872 (0.00080)</t>
  </si>
  <si>
    <t>0.01505 (0.00337)</t>
  </si>
  <si>
    <t>0.00690 (0.00084)</t>
  </si>
  <si>
    <t>yflK</t>
  </si>
  <si>
    <t>putative sulfur carrier</t>
  </si>
  <si>
    <t>0.37213 (0.32990)</t>
  </si>
  <si>
    <t>0.05612 (0.08122)</t>
  </si>
  <si>
    <t>0.01238 (0.00072)</t>
  </si>
  <si>
    <t>0.03312 (0.00151)</t>
  </si>
  <si>
    <t>0.00626 (0.00061)</t>
  </si>
  <si>
    <t>yflJ</t>
  </si>
  <si>
    <t>0.12991 (0.18751)</t>
  </si>
  <si>
    <t>0.12991 (0.09186)</t>
  </si>
  <si>
    <t>0.02326 (0.00329)</t>
  </si>
  <si>
    <t>0.07915 (0.01324)</t>
  </si>
  <si>
    <t>0.00989 (0.00172)</t>
  </si>
  <si>
    <t>yflI</t>
  </si>
  <si>
    <t>ref , GCA_000146565.1_ASM14656v1_genomic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GCA_002055965.1_ASM205596v1_genomic , GCA_002072735.1_ASM207273v1_genomic , GCA_002142595.1_ASM214259v1_genomic , GCA_002163815.1_ASM216381v1_genomic , GCA_002173615.1_ASM217361v1_genomic</t>
  </si>
  <si>
    <t>0.26620 (0.08873)</t>
  </si>
  <si>
    <t>0.26770 (0.18929)</t>
  </si>
  <si>
    <t>0.02832 (0.00336)</t>
  </si>
  <si>
    <t>0.06936 (0.00886)</t>
  </si>
  <si>
    <t>0.01856 (0.00256)</t>
  </si>
  <si>
    <t>yflH</t>
  </si>
  <si>
    <t>0.23708 (0.13507)</t>
  </si>
  <si>
    <t>0.11878 (0.09296)</t>
  </si>
  <si>
    <t>0.01311 (0.00082)</t>
  </si>
  <si>
    <t>0.04018 (0.00255)</t>
  </si>
  <si>
    <t>0.00698 (0.00068)</t>
  </si>
  <si>
    <t>mapB</t>
  </si>
  <si>
    <t>methionine aminopeptidase B</t>
  </si>
  <si>
    <t>0.42768 (0.10534)</t>
  </si>
  <si>
    <t>0.03756 (0.03151)</t>
  </si>
  <si>
    <t>0.00663 (0.02532)</t>
  </si>
  <si>
    <t>0.02518 (0.00170)</t>
  </si>
  <si>
    <t>0.11867 (0.00874)</t>
  </si>
  <si>
    <t>0.00201 (0.00014)</t>
  </si>
  <si>
    <t>nagP</t>
  </si>
  <si>
    <t>phosphotransferase system (PTS)N-acetylglucosamine-specific enzyme IICB component</t>
  </si>
  <si>
    <t>0.02108 (0.01929)</t>
  </si>
  <si>
    <t>0.02217 (0.01999)</t>
  </si>
  <si>
    <t>0.01475 (0.00054)</t>
  </si>
  <si>
    <t>0.05780 (0.00231)</t>
  </si>
  <si>
    <t>0.00142 (0.00010)</t>
  </si>
  <si>
    <t>ltaSB</t>
  </si>
  <si>
    <t>enzyme responsible for polyglycerolphosphate LTAsynthesis</t>
  </si>
  <si>
    <t>0.02203 (0.02973)</t>
  </si>
  <si>
    <t>0.04824 (0.05614)</t>
  </si>
  <si>
    <t>0.02256 (0.00140)</t>
  </si>
  <si>
    <t>0.09523 (0.00599)</t>
  </si>
  <si>
    <t>0.00447 (0.00033)</t>
  </si>
  <si>
    <t>yflD</t>
  </si>
  <si>
    <t>1.46091 (2.68746)</t>
  </si>
  <si>
    <t>0.36446 (0.24298)</t>
  </si>
  <si>
    <t>0.02041 (0.00121)</t>
  </si>
  <si>
    <t>0.02046 (0.00301)</t>
  </si>
  <si>
    <t>0.02089 (0.00143)</t>
  </si>
  <si>
    <t>yflB</t>
  </si>
  <si>
    <t>0.75164 (0.09418)</t>
  </si>
  <si>
    <t>0.03937 (0.05793)</t>
  </si>
  <si>
    <t>0.01273 (0.00147)</t>
  </si>
  <si>
    <t>0.05738 (0.00773)</t>
  </si>
  <si>
    <t>0.00163 (0.00034)</t>
  </si>
  <si>
    <t>yflA</t>
  </si>
  <si>
    <t>putative aminoacid transporter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</si>
  <si>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</si>
  <si>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0.07894 (0.06596)</t>
  </si>
  <si>
    <t>0.01489 (0.00073)</t>
  </si>
  <si>
    <t>0.05431 (0.00252)</t>
  </si>
  <si>
    <t>yfkT</t>
  </si>
  <si>
    <t>putative spore germination integral innermembrane transporter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</si>
  <si>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</si>
  <si>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0.18304 (0.06517)</t>
  </si>
  <si>
    <t>0.18937 (0.15848)</t>
  </si>
  <si>
    <t>0.01010 (0.00052)</t>
  </si>
  <si>
    <t>0.02930 (0.00170)</t>
  </si>
  <si>
    <t>0.00422 (0.00036)</t>
  </si>
  <si>
    <t>yfkS</t>
  </si>
  <si>
    <t>putative spore germination D protein</t>
  </si>
  <si>
    <t>0.15555 (0.22451)</t>
  </si>
  <si>
    <t>0.00758 (0.00103)</t>
  </si>
  <si>
    <t>0.02154 (0.00513)</t>
  </si>
  <si>
    <t>0.00333 (0.00136)</t>
  </si>
  <si>
    <t>yfkR</t>
  </si>
  <si>
    <t>putative spore germination protein</t>
  </si>
  <si>
    <t>0.21686 (0.05314)</t>
  </si>
  <si>
    <t>0.09211 (0.07157)</t>
  </si>
  <si>
    <t>0.00966 (0.00051)</t>
  </si>
  <si>
    <t>0.02979 (0.00182)</t>
  </si>
  <si>
    <t>0.00390 (0.00022)</t>
  </si>
  <si>
    <t>yfkQ</t>
  </si>
  <si>
    <t>0.16430 (0.08907)</t>
  </si>
  <si>
    <t>0.04933 (0.04227)</t>
  </si>
  <si>
    <t>0.01283 (0.00069)</t>
  </si>
  <si>
    <t>0.04379 (0.00239)</t>
  </si>
  <si>
    <t>0.00402 (0.00030)</t>
  </si>
  <si>
    <t>treP</t>
  </si>
  <si>
    <t>phosphotransferase system (PTS)trehalose-specific enzyme IIBC component</t>
  </si>
  <si>
    <t>0.04608 (0.03743)</t>
  </si>
  <si>
    <t>0.03902 (0.04997)</t>
  </si>
  <si>
    <t>0.00826 (0.00041)</t>
  </si>
  <si>
    <t>0.03014 (0.00154)</t>
  </si>
  <si>
    <t>0.00124 (0.00009)</t>
  </si>
  <si>
    <t>treA</t>
  </si>
  <si>
    <t>trehalose-6-phosphate hydrolase</t>
  </si>
  <si>
    <t>ref , GCA_000186745.1_ASM18674v1_genomic , GCA_000209795.2_ASM20979v2_genomic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GCA_002173615.1_ASM217361v1_genomic</t>
  </si>
  <si>
    <t>0.04465 (0.04692)</t>
  </si>
  <si>
    <t>0.06485 (0.01714)</t>
  </si>
  <si>
    <t>0.01729 (0.00140)</t>
  </si>
  <si>
    <t>0.06741 (0.00561)</t>
  </si>
  <si>
    <t>0.00423 (0.00038)</t>
  </si>
  <si>
    <t>treR</t>
  </si>
  <si>
    <t>transcriptional regulator (TreR-trehalose)</t>
  </si>
  <si>
    <t>0.08271 (0.14673)</t>
  </si>
  <si>
    <t>0.01467 (0.00238)</t>
  </si>
  <si>
    <t>0.05864 (0.01058)</t>
  </si>
  <si>
    <t>0.00394 (0.00058)</t>
  </si>
  <si>
    <t>hypO</t>
  </si>
  <si>
    <t>NAD(P)H-flavin oxidoreductase (nitroreductase)</t>
  </si>
  <si>
    <t>0.06850 (0.07194)</t>
  </si>
  <si>
    <t>0.03940 (0.08935)</t>
  </si>
  <si>
    <t>0.00829 (0.00032)</t>
  </si>
  <si>
    <t>0.03349 (0.00175)</t>
  </si>
  <si>
    <t>0.00156 (0.00020)</t>
  </si>
  <si>
    <t>yfkN</t>
  </si>
  <si>
    <t>exported 2',3'-cyclic-nucleotide2'-phosphodiesterase, 2' (or 3') nucleotidase and 5'nucleotidase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</si>
  <si>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</si>
  <si>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0.09744 (0.10661)</t>
  </si>
  <si>
    <t>0.07818 (0.01544)</t>
  </si>
  <si>
    <t>0.02052 (0.00089)</t>
  </si>
  <si>
    <t>0.07102 (0.00304)</t>
  </si>
  <si>
    <t>0.00670 (0.00037)</t>
  </si>
  <si>
    <t>sufLB</t>
  </si>
  <si>
    <t>general stress protein 18; deglycase</t>
  </si>
  <si>
    <t>0.12279 (0.05809)</t>
  </si>
  <si>
    <t>0.03592 (0.04050)</t>
  </si>
  <si>
    <t>0.01858 (0.00094)</t>
  </si>
  <si>
    <t>0.06648 (0.00390)</t>
  </si>
  <si>
    <t>0.00565 (0.00040)</t>
  </si>
  <si>
    <t>yfkL</t>
  </si>
  <si>
    <t>efflux transporter</t>
  </si>
  <si>
    <t>0.10036 (0.05099)</t>
  </si>
  <si>
    <t>0.04728 (0.06607)</t>
  </si>
  <si>
    <t>0.01232 (0.00036)</t>
  </si>
  <si>
    <t>0.03884 (0.00122)</t>
  </si>
  <si>
    <t>0.00347 (0.00026)</t>
  </si>
  <si>
    <t>yfkK</t>
  </si>
  <si>
    <t>0.24345 (0.24345)</t>
  </si>
  <si>
    <t>0.00876 (0.00087)</t>
  </si>
  <si>
    <t>0.02933 (0.00533)</t>
  </si>
  <si>
    <t>0.00392 (0.00079)</t>
  </si>
  <si>
    <t>yfkJ</t>
  </si>
  <si>
    <t>protein-tyrosine-phosphatase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</si>
  <si>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GCA_000782835.1_ASM78283v1_genomic , GCA_000789275.1_ASM78927v1_genomic , GCA_000789295.1_ASM78929v1_genomic , GCA_000827065.1_ASM82706v1_genomic , GCA_000953615.1_BS49Ch_genomic , GCA_000971925.1_ASM97192v1_genomic , GCA_001015095.1_ASM101509v1_genomic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</si>
  <si>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0.11658 (0.11610)</t>
  </si>
  <si>
    <t>0.04828 (0.03050)</t>
  </si>
  <si>
    <t>0.03152 (0.00301)</t>
  </si>
  <si>
    <t>0.13741 (0.01463)</t>
  </si>
  <si>
    <t>0.00700 (0.00058)</t>
  </si>
  <si>
    <t>yfkI</t>
  </si>
  <si>
    <t>0.08394 (0.03707)</t>
  </si>
  <si>
    <t>0.02099 (0.00156)</t>
  </si>
  <si>
    <t>0.09219 (0.00821)</t>
  </si>
  <si>
    <t>0.00273 (0.00042)</t>
  </si>
  <si>
    <t>rbn</t>
  </si>
  <si>
    <t>putative ribonuclease BN</t>
  </si>
  <si>
    <t>0.03142 (0.02916)</t>
  </si>
  <si>
    <t>0.02334 (0.05098)</t>
  </si>
  <si>
    <t>0.01036 (0.00049)</t>
  </si>
  <si>
    <t>0.03945 (0.00212)</t>
  </si>
  <si>
    <t>0.00116 (0.00015)</t>
  </si>
  <si>
    <t>yfkF</t>
  </si>
  <si>
    <t>0.05021 (0.08654)</t>
  </si>
  <si>
    <t>0.03681 (0.05589)</t>
  </si>
  <si>
    <t>0.01131 (0.00053)</t>
  </si>
  <si>
    <t>0.04006 (0.00165)</t>
  </si>
  <si>
    <t>0.00214 (0.00022)</t>
  </si>
  <si>
    <t>chaA</t>
  </si>
  <si>
    <t>H+/Ca2+ antiporter</t>
  </si>
  <si>
    <t>0.02906 (0.03735)</t>
  </si>
  <si>
    <t>0.01830 (0.05637)</t>
  </si>
  <si>
    <t>0.01056 (0.00038)</t>
  </si>
  <si>
    <t>0.04036 (0.00160)</t>
  </si>
  <si>
    <t>0.00110 (0.00009)</t>
  </si>
  <si>
    <t>yfkD</t>
  </si>
  <si>
    <t>0.02733 (0.03178)</t>
  </si>
  <si>
    <t>0.00942 (0.00031)</t>
  </si>
  <si>
    <t>0.04000 (0.00140)</t>
  </si>
  <si>
    <t>0.00078 (0.00009)</t>
  </si>
  <si>
    <t>mscC</t>
  </si>
  <si>
    <t>mechanosensitive ion channel</t>
  </si>
  <si>
    <t>ref , GCA_000186745.1_ASM18674v1_genomic , GCA_000209795.2_ASM20979v2_genomic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</si>
  <si>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0.08628 (0.07000)</t>
  </si>
  <si>
    <t>0.01804 (0.02696)</t>
  </si>
  <si>
    <t>0.01914 (0.00159)</t>
  </si>
  <si>
    <t>0.08379 (0.00811)</t>
  </si>
  <si>
    <t>0.00315 (0.00018)</t>
  </si>
  <si>
    <t>yfkA</t>
  </si>
  <si>
    <t>putative Fe-S oxidoreductase, radical SAMsuperfamily</t>
  </si>
  <si>
    <t>0.05260 (0.05348)</t>
  </si>
  <si>
    <t>0.00851 (0.00055)</t>
  </si>
  <si>
    <t>0.03516 (0.00223)</t>
  </si>
  <si>
    <t>0.00108 (0.00014)</t>
  </si>
  <si>
    <t>yfjT</t>
  </si>
  <si>
    <t>0.01686 (0.02907)</t>
  </si>
  <si>
    <t>0.03145 (0.00266)</t>
  </si>
  <si>
    <t>0.19207 (0.01676)</t>
  </si>
  <si>
    <t>0.00238 (0.00048)</t>
  </si>
  <si>
    <t>pdaA</t>
  </si>
  <si>
    <t>exported peptidoglycan N-acetylmuramic aciddeacetylase</t>
  </si>
  <si>
    <t>0.03959 (0.07056)</t>
  </si>
  <si>
    <t>0.01706 (0.05161)</t>
  </si>
  <si>
    <t>0.01752 (0.00104)</t>
  </si>
  <si>
    <t>0.07626 (0.00490)</t>
  </si>
  <si>
    <t>0.00242 (0.00021)</t>
  </si>
  <si>
    <t>yfjR</t>
  </si>
  <si>
    <t>putative beta-hydroxyacid dehydrogenase</t>
  </si>
  <si>
    <t>0.13349 (0.05627)</t>
  </si>
  <si>
    <t>0.06411 (0.04105)</t>
  </si>
  <si>
    <t>0.02139 (0.00106)</t>
  </si>
  <si>
    <t>0.07338 (0.00415)</t>
  </si>
  <si>
    <t>0.00680 (0.00034)</t>
  </si>
  <si>
    <t>yfjQ</t>
  </si>
  <si>
    <t>divalent cation (octahedral coordination)transporter</t>
  </si>
  <si>
    <t>0.03939 (0.02294)</t>
  </si>
  <si>
    <t>0.12737 (0.21775)</t>
  </si>
  <si>
    <t>0.01053 (0.00049)</t>
  </si>
  <si>
    <t>0.03970 (0.00216)</t>
  </si>
  <si>
    <t>0.00272 (0.00027)</t>
  </si>
  <si>
    <t>yfjP</t>
  </si>
  <si>
    <t>putative DNA-3-methyladenine glycosylase</t>
  </si>
  <si>
    <t>0.07828 (0.04196)</t>
  </si>
  <si>
    <t>0.02745 (0.03911)</t>
  </si>
  <si>
    <t>0.01336 (0.00046)</t>
  </si>
  <si>
    <t>0.05292 (0.00171)</t>
  </si>
  <si>
    <t>0.00296 (0.00021)</t>
  </si>
  <si>
    <t>yfjO</t>
  </si>
  <si>
    <t>putative RNA methyltransferase</t>
  </si>
  <si>
    <t>0.04559 (0.02820)</t>
  </si>
  <si>
    <t>0.03092 (0.04164)</t>
  </si>
  <si>
    <t>0.01630 (0.00052)</t>
  </si>
  <si>
    <t>0.06671 (0.00222)</t>
  </si>
  <si>
    <t>0.00217 (0.00013)</t>
  </si>
  <si>
    <t>yfzA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</si>
  <si>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</si>
  <si>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0.92867 (0.06730)</t>
  </si>
  <si>
    <t>0.48311 (0.37099)</t>
  </si>
  <si>
    <t>0.01389 (0.00131)</t>
  </si>
  <si>
    <t>0.02869 (0.00421)</t>
  </si>
  <si>
    <t>0.01019 (0.00075)</t>
  </si>
  <si>
    <t>dusC</t>
  </si>
  <si>
    <t>tRNA-dihydrouridine synthase 2</t>
  </si>
  <si>
    <t>ref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</si>
  <si>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0.05671 (0.02491)</t>
  </si>
  <si>
    <t>0.03389 (0.03133)</t>
  </si>
  <si>
    <t>0.03687 (0.00188)</t>
  </si>
  <si>
    <t>0.15889 (0.00832)</t>
  </si>
  <si>
    <t>0.00707 (0.00063)</t>
  </si>
  <si>
    <t>yfjM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</si>
  <si>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</si>
  <si>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0.32907 (0.15954)</t>
  </si>
  <si>
    <t>0.08944 (0.04740)</t>
  </si>
  <si>
    <t>0.02151 (0.00098)</t>
  </si>
  <si>
    <t>0.06874 (0.00351)</t>
  </si>
  <si>
    <t>0.00892 (0.00049)</t>
  </si>
  <si>
    <t>yfjL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</si>
  <si>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</si>
  <si>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0.18002 (0.12269)</t>
  </si>
  <si>
    <t>0.18163 (0.03394)</t>
  </si>
  <si>
    <t>0.01504 (0.00092)</t>
  </si>
  <si>
    <t>0.03986 (0.00368)</t>
  </si>
  <si>
    <t>0.00821 (0.00058)</t>
  </si>
  <si>
    <t>acoA</t>
  </si>
  <si>
    <t>acetoin dehydrogenase E1 component(TPP-dependent alpha subunit)</t>
  </si>
  <si>
    <t>0.08794 (0.03616)</t>
  </si>
  <si>
    <t>0.00952 (0.03214)</t>
  </si>
  <si>
    <t>0.01391 (0.00060)</t>
  </si>
  <si>
    <t>0.05581 (0.00272)</t>
  </si>
  <si>
    <t>0.00241 (0.00016)</t>
  </si>
  <si>
    <t>acoB</t>
  </si>
  <si>
    <t>acetoin dehydrogenase E1 component(TPP-dependent beta subunit)</t>
  </si>
  <si>
    <t>0.11147 (0.03768)</t>
  </si>
  <si>
    <t>0.05486 (0.02252)</t>
  </si>
  <si>
    <t>0.01737 (0.00041)</t>
  </si>
  <si>
    <t>0.06268 (0.00177)</t>
  </si>
  <si>
    <t>0.00381 (0.00016)</t>
  </si>
  <si>
    <t>acoC</t>
  </si>
  <si>
    <t>acetoin dehydrogenase E2 component(dihydrolipoamide acetyltransferase)</t>
  </si>
  <si>
    <t>0.11136 (0.04037)</t>
  </si>
  <si>
    <t>0.12896 (0.04146)</t>
  </si>
  <si>
    <t>0.01651 (0.00052)</t>
  </si>
  <si>
    <t>0.05422 (0.00173)</t>
  </si>
  <si>
    <t>0.00555 (0.00027)</t>
  </si>
  <si>
    <t>acoL</t>
  </si>
  <si>
    <t>acetoin dehydrogenase E3 component(dihydrolipoamide dehydrogenase)</t>
  </si>
  <si>
    <t>0.16038 (0.04302)</t>
  </si>
  <si>
    <t>0.05236 (0.02405)</t>
  </si>
  <si>
    <t>0.01670 (0.00047)</t>
  </si>
  <si>
    <t>0.05545 (0.00182)</t>
  </si>
  <si>
    <t>0.00556 (0.00019)</t>
  </si>
  <si>
    <t>acoR</t>
  </si>
  <si>
    <t>transcriptional regulator (AcoR-acetoin)</t>
  </si>
  <si>
    <t>0.11302 (0.05500)</t>
  </si>
  <si>
    <t>0.11174 (0.03188)</t>
  </si>
  <si>
    <t>0.01819 (0.00059)</t>
  </si>
  <si>
    <t>0.06020 (0.00225)</t>
  </si>
  <si>
    <t>0.00636 (0.00022)</t>
  </si>
  <si>
    <t>sspH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</si>
  <si>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</si>
  <si>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0.10776 (0.04921)</t>
  </si>
  <si>
    <t>0.12578 (0.09967)</t>
  </si>
  <si>
    <t>0.03264 (0.00254)</t>
  </si>
  <si>
    <t>0.12128 (0.01046)</t>
  </si>
  <si>
    <t>0.01280 (0.00131)</t>
  </si>
  <si>
    <t>yfjF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</si>
  <si>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</si>
  <si>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0.12116 (0.13207)</t>
  </si>
  <si>
    <t>0.12116 (0.09539)</t>
  </si>
  <si>
    <t>0.01053 (0.00088)</t>
  </si>
  <si>
    <t>0.03056 (0.00300)</t>
  </si>
  <si>
    <t>0.00350 (0.00044)</t>
  </si>
  <si>
    <t>yfjE</t>
  </si>
  <si>
    <t>ref , GCA_000186745.1_ASM18674v1_genomic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</si>
  <si>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0.26020 (0.15945)</t>
  </si>
  <si>
    <t>0.05171 (0.04136)</t>
  </si>
  <si>
    <t>0.02205 (0.00181)</t>
  </si>
  <si>
    <t>0.06914 (0.00632)</t>
  </si>
  <si>
    <t>0.00967 (0.00100)</t>
  </si>
  <si>
    <t>yfjD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</si>
  <si>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</si>
  <si>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0.02206 (0.05393)</t>
  </si>
  <si>
    <t>0.00785 (0.00055)</t>
  </si>
  <si>
    <t>0.03600 (0.00298)</t>
  </si>
  <si>
    <t>0.00057 (0.00018)</t>
  </si>
  <si>
    <t>yfjC</t>
  </si>
  <si>
    <t>0.08944 (0.10826)</t>
  </si>
  <si>
    <t>0.03312 (0.06417)</t>
  </si>
  <si>
    <t>0.00914 (0.00116)</t>
  </si>
  <si>
    <t>0.03710 (0.00609)</t>
  </si>
  <si>
    <t>0.00197 (0.00028)</t>
  </si>
  <si>
    <t>yfjB</t>
  </si>
  <si>
    <t>0.03992 (0.01421)</t>
  </si>
  <si>
    <t>0.02795 (0.02023)</t>
  </si>
  <si>
    <t>0.01379 (0.00054)</t>
  </si>
  <si>
    <t>0.05277 (0.00212)</t>
  </si>
  <si>
    <t>0.00227 (0.00015)</t>
  </si>
  <si>
    <t>yfjA</t>
  </si>
  <si>
    <t>0.15144 (0.21763)</t>
  </si>
  <si>
    <t>0.13631 (0.19674)</t>
  </si>
  <si>
    <t>0.01530 (0.00181)</t>
  </si>
  <si>
    <t>0.04747 (0.00727)</t>
  </si>
  <si>
    <t>0.00740 (0.00071)</t>
  </si>
  <si>
    <t>malA</t>
  </si>
  <si>
    <t>6-phospho-alpha-glucosidase</t>
  </si>
  <si>
    <t>0.07147 (0.03403)</t>
  </si>
  <si>
    <t>0.01943 (0.03528)</t>
  </si>
  <si>
    <t>0.01302 (0.00100)</t>
  </si>
  <si>
    <t>0.05574 (0.00465)</t>
  </si>
  <si>
    <t>0.00167 (0.00011)</t>
  </si>
  <si>
    <t>malR</t>
  </si>
  <si>
    <t>transcriptional activator of the Mal operon</t>
  </si>
  <si>
    <t>0.09362 (0.08445)</t>
  </si>
  <si>
    <t>0.06284 (0.05486)</t>
  </si>
  <si>
    <t>0.02639 (0.00137)</t>
  </si>
  <si>
    <t>0.10434 (0.00574)</t>
  </si>
  <si>
    <t>0.00778 (0.00044)</t>
  </si>
  <si>
    <t>malP</t>
  </si>
  <si>
    <t>phosphotransferase system (PTS) maltose-specificenzyme IICB component</t>
  </si>
  <si>
    <t>0.03395 (0.02267)</t>
  </si>
  <si>
    <t>0.01812 (0.02960)</t>
  </si>
  <si>
    <t>0.01283 (0.00057)</t>
  </si>
  <si>
    <t>0.05170 (0.00255)</t>
  </si>
  <si>
    <t>0.00137 (0.00009)</t>
  </si>
  <si>
    <t>yfiB</t>
  </si>
  <si>
    <t>putative xenobiotic ABC transporter subunit(ATP-binding protein)</t>
  </si>
  <si>
    <t>0.11599 (0.08079)</t>
  </si>
  <si>
    <t>0.10928 (0.05038)</t>
  </si>
  <si>
    <t>0.01529 (0.00065)</t>
  </si>
  <si>
    <t>0.04917 (0.00245)</t>
  </si>
  <si>
    <t>0.00533 (0.00020)</t>
  </si>
  <si>
    <t>yfiC</t>
  </si>
  <si>
    <t>putative ABC transporter (ATP-binding protein)</t>
  </si>
  <si>
    <t>0.04973 (0.05824)</t>
  </si>
  <si>
    <t>0.03967 (0.03219)</t>
  </si>
  <si>
    <t>0.01735 (0.00074)</t>
  </si>
  <si>
    <t>0.06590 (0.00298)</t>
  </si>
  <si>
    <t>0.00373 (0.00021)</t>
  </si>
  <si>
    <t>catD</t>
  </si>
  <si>
    <t>catechol-2,3-dioxygenase membrane subunit</t>
  </si>
  <si>
    <t>0.04864 (0.07127)</t>
  </si>
  <si>
    <t>0.21759 (0.14506)</t>
  </si>
  <si>
    <t>0.01354 (0.00151)</t>
  </si>
  <si>
    <t>0.04280 (0.00577)</t>
  </si>
  <si>
    <t>0.00461 (0.00054)</t>
  </si>
  <si>
    <t>catE</t>
  </si>
  <si>
    <t>catechol-2,3-dioxygenase subunit</t>
  </si>
  <si>
    <t>0.14701 (0.04706)</t>
  </si>
  <si>
    <t>0.06399 (0.04611)</t>
  </si>
  <si>
    <t>0.01129 (0.00045)</t>
  </si>
  <si>
    <t>0.03849 (0.00158)</t>
  </si>
  <si>
    <t>0.00292 (0.00018)</t>
  </si>
  <si>
    <t>yfiG</t>
  </si>
  <si>
    <t>putative sugar/proton transporter</t>
  </si>
  <si>
    <t>ref , GCA_000209795.2_ASM20979v2_genomic , GCA_000227465.1_ASM22746v1_genomic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GCA_000827065.1_ASM82706v1_genomic , GCA_000953615.1_BS49Ch_genomic , GCA_000971925.1_ASM97192v1_genomic , GCA_001037985.1_ASM103798v1_genomic , GCA_001534785.1_ASM153478v1_genomic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GCA_001890405.1_ASM189040v1_genomic , GCA_001902555.1_ASM190255v1_genomic , GCA_002055965.1_ASM205596v1_genomic , GCA_002096095.1_ASM209609v1_genomic</t>
  </si>
  <si>
    <t>0.11991 (0.16036)</t>
  </si>
  <si>
    <t>0.18186 (0.00000)</t>
  </si>
  <si>
    <t>0.01164 (0.00216)</t>
  </si>
  <si>
    <t>0.03275 (0.00591)</t>
  </si>
  <si>
    <t>0.00493 (0.00083)</t>
  </si>
  <si>
    <t>yfiH</t>
  </si>
  <si>
    <t>putative sugar-phosphate epimerase/isomerase</t>
  </si>
  <si>
    <t>ref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GCA_001890405.1_ASM189040v1_genomic , GCA_001902555.1_ASM190255v1_genomic , GCA_002055965.1_ASM205596v1_genomic , GCA_002096095.1_ASM209609v1_genomic</t>
  </si>
  <si>
    <t>0.12780 (0.19132)</t>
  </si>
  <si>
    <t>0.01171 (0.00393)</t>
  </si>
  <si>
    <t>0.03776 (0.01292)</t>
  </si>
  <si>
    <t>0.00481 (0.00161)</t>
  </si>
  <si>
    <t>linJ</t>
  </si>
  <si>
    <t>two-component sensor histidine kinase [LinK](linearmycin resistance, biofilm formation)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</si>
  <si>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</si>
  <si>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0.15807 (0.12855)</t>
  </si>
  <si>
    <t>0.09288 (0.06625)</t>
  </si>
  <si>
    <t>0.01770 (0.00127)</t>
  </si>
  <si>
    <t>0.05768 (0.00434)</t>
  </si>
  <si>
    <t>0.00658 (0.00052)</t>
  </si>
  <si>
    <t>linK</t>
  </si>
  <si>
    <t>two-component response regulator [LinJ](linearmycin resistance, biofilm formation)</t>
  </si>
  <si>
    <t>0.09612 (0.06301)</t>
  </si>
  <si>
    <t>0.06698 (0.06740)</t>
  </si>
  <si>
    <t>0.02138 (0.00133)</t>
  </si>
  <si>
    <t>0.08070 (0.00610)</t>
  </si>
  <si>
    <t>0.00478 (0.00026)</t>
  </si>
  <si>
    <t>bifL</t>
  </si>
  <si>
    <t>ABC transporter (ATP-binding protein) biofilmformation</t>
  </si>
  <si>
    <t>0.11857 (0.05716)</t>
  </si>
  <si>
    <t>0.06100 (0.03335)</t>
  </si>
  <si>
    <t>0.02745 (0.00086)</t>
  </si>
  <si>
    <t>0.09329 (0.00314)</t>
  </si>
  <si>
    <t>0.00904 (0.00035)</t>
  </si>
  <si>
    <t>bifM</t>
  </si>
  <si>
    <t>ABC transporter (permease) biofilm formation</t>
  </si>
  <si>
    <t>0.14320 (0.07190)</t>
  </si>
  <si>
    <t>0.14931 (0.03118)</t>
  </si>
  <si>
    <t>0.02913 (0.00081)</t>
  </si>
  <si>
    <t>0.09008 (0.00275)</t>
  </si>
  <si>
    <t>0.01251 (0.00042)</t>
  </si>
  <si>
    <t>bifN</t>
  </si>
  <si>
    <t>0.23553 (0.10520)</t>
  </si>
  <si>
    <t>0.10041 (0.03038)</t>
  </si>
  <si>
    <t>0.02902 (0.00083)</t>
  </si>
  <si>
    <t>0.08530 (0.00262)</t>
  </si>
  <si>
    <t>0.01349 (0.00053)</t>
  </si>
  <si>
    <t>padR</t>
  </si>
  <si>
    <t>transcriptional regulator of phenolic aciddecarboxylase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</si>
  <si>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GCA_002173615.1_ASM217361v1_genomic</t>
  </si>
  <si>
    <t>0.10628 (0.22125)</t>
  </si>
  <si>
    <t>0.05627 (0.08784)</t>
  </si>
  <si>
    <t>0.01335 (0.00175)</t>
  </si>
  <si>
    <t>0.04834 (0.00566)</t>
  </si>
  <si>
    <t>0.00416 (0.00085)</t>
  </si>
  <si>
    <t>estB</t>
  </si>
  <si>
    <t>secreted esterase / acylglycerol lipase</t>
  </si>
  <si>
    <t>0.11286 (0.23698)</t>
  </si>
  <si>
    <t>0.01816 (0.00142)</t>
  </si>
  <si>
    <t>0.06285 (0.00430)</t>
  </si>
  <si>
    <t>0.00463 (0.00097)</t>
  </si>
  <si>
    <t>icaC</t>
  </si>
  <si>
    <t>acetyl-glucosamine metabolite exporter componentinvolved in biofilm formation</t>
  </si>
  <si>
    <t>0.11978 (0.04720)</t>
  </si>
  <si>
    <t>0.05509 (0.01696)</t>
  </si>
  <si>
    <t>0.01412 (0.00051)</t>
  </si>
  <si>
    <t>0.04713 (0.00195)</t>
  </si>
  <si>
    <t>0.00435 (0.00021)</t>
  </si>
  <si>
    <t>yfiR</t>
  </si>
  <si>
    <t>transcriptional regulator (TetR/AcrR family)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</si>
  <si>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</si>
  <si>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0.58381 (0.39017)</t>
  </si>
  <si>
    <t>0.18210 (0.22939)</t>
  </si>
  <si>
    <t>0.01998 (0.00269)</t>
  </si>
  <si>
    <t>0.05168 (0.00783)</t>
  </si>
  <si>
    <t>0.01153 (0.00138)</t>
  </si>
  <si>
    <t>bstA</t>
  </si>
  <si>
    <t>bacillithiol S-transferase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</si>
  <si>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</si>
  <si>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0.13675 (0.05703)</t>
  </si>
  <si>
    <t>0.16056 (0.08720)</t>
  </si>
  <si>
    <t>0.01646 (0.00070)</t>
  </si>
  <si>
    <t>0.04552 (0.00260)</t>
  </si>
  <si>
    <t>0.00852 (0.00041)</t>
  </si>
  <si>
    <t>yfiU</t>
  </si>
  <si>
    <t>0.15653 (0.05592)</t>
  </si>
  <si>
    <t>0.10691 (0.03403)</t>
  </si>
  <si>
    <t>0.01765 (0.00066)</t>
  </si>
  <si>
    <t>0.05231 (0.00261)</t>
  </si>
  <si>
    <t>0.00685 (0.00019)</t>
  </si>
  <si>
    <t>yfiV</t>
  </si>
  <si>
    <t>0.10216 (0.07384)</t>
  </si>
  <si>
    <t>0.05261 (0.06314)</t>
  </si>
  <si>
    <t>0.01645 (0.00067)</t>
  </si>
  <si>
    <t>0.06213 (0.00307)</t>
  </si>
  <si>
    <t>0.00397 (0.00030)</t>
  </si>
  <si>
    <t>mprF</t>
  </si>
  <si>
    <t>phosphatidylglycerol lysyltransferase involvedin tRNA-dependent lysinylation of phospholipids</t>
  </si>
  <si>
    <t>0.03910 (0.01256)</t>
  </si>
  <si>
    <t>0.04888 (0.01937)</t>
  </si>
  <si>
    <t>0.01146 (0.00033)</t>
  </si>
  <si>
    <t>0.04414 (0.00135)</t>
  </si>
  <si>
    <t>sxzY</t>
  </si>
  <si>
    <t>xenosiderophore schizokinen (dihydroxamate)transporter binding lipoprotein</t>
  </si>
  <si>
    <t>0.04315 (0.01658)</t>
  </si>
  <si>
    <t>0.05332 (0.04467)</t>
  </si>
  <si>
    <t>0.01725 (0.00066)</t>
  </si>
  <si>
    <t>0.07001 (0.00303)</t>
  </si>
  <si>
    <t>0.00360 (0.00012)</t>
  </si>
  <si>
    <t>sxzZ</t>
  </si>
  <si>
    <t>xenosiderophore schizokinen (dihydroxamate)transporter (permease)</t>
  </si>
  <si>
    <t>0.02870 (0.04068)</t>
  </si>
  <si>
    <t>0.01445 (0.03908)</t>
  </si>
  <si>
    <t>0.01323 (0.00066)</t>
  </si>
  <si>
    <t>0.05034 (0.00273)</t>
  </si>
  <si>
    <t>0.00094 (0.00008)</t>
  </si>
  <si>
    <t>sxzA</t>
  </si>
  <si>
    <t>0.14768 (0.07415)</t>
  </si>
  <si>
    <t>0.04819 (0.04955)</t>
  </si>
  <si>
    <t>0.01026 (0.00034)</t>
  </si>
  <si>
    <t>0.03409 (0.00117)</t>
  </si>
  <si>
    <t>0.00209 (0.00015)</t>
  </si>
  <si>
    <t>yfhB</t>
  </si>
  <si>
    <t>putative isomerase</t>
  </si>
  <si>
    <t>0.68112 (0.11374)</t>
  </si>
  <si>
    <t>0.11766 (0.12734)</t>
  </si>
  <si>
    <t>0.12901 (0.07396)</t>
  </si>
  <si>
    <t>0.01807 (0.00108)</t>
  </si>
  <si>
    <t>0.05765 (0.00466)</t>
  </si>
  <si>
    <t>0.00731 (0.00044)</t>
  </si>
  <si>
    <t>yfhC</t>
  </si>
  <si>
    <t>putative oxidoreductase (nitroreductase family)</t>
  </si>
  <si>
    <t>0.22392 (0.10036)</t>
  </si>
  <si>
    <t>0.08256 (0.05423)</t>
  </si>
  <si>
    <t>0.01256 (0.00043)</t>
  </si>
  <si>
    <t>0.04410 (0.00181)</t>
  </si>
  <si>
    <t>0.00421 (0.00032)</t>
  </si>
  <si>
    <t>yfhD</t>
  </si>
  <si>
    <t>0.20517 (0.16652)</t>
  </si>
  <si>
    <t>0.03530 (0.05718)</t>
  </si>
  <si>
    <t>0.02914 (0.00227)</t>
  </si>
  <si>
    <t>0.12987 (0.01226)</t>
  </si>
  <si>
    <t>0.00691 (0.00084)</t>
  </si>
  <si>
    <t>yfhE</t>
  </si>
  <si>
    <t>0.66602 (0.10781)</t>
  </si>
  <si>
    <t>0.03084 (0.00286)</t>
  </si>
  <si>
    <t>0.19169 (0.01932)</t>
  </si>
  <si>
    <t>yfhF</t>
  </si>
  <si>
    <t>putative nucleotide-or NAD-binding protein</t>
  </si>
  <si>
    <t>0.23465 (0.16530)</t>
  </si>
  <si>
    <t>0.09144 (0.04638)</t>
  </si>
  <si>
    <t>0.01911 (0.00056)</t>
  </si>
  <si>
    <t>0.05743 (0.00184)</t>
  </si>
  <si>
    <t>0.00827 (0.00029)</t>
  </si>
  <si>
    <t>recX</t>
  </si>
  <si>
    <t>regulatory protein RecX</t>
  </si>
  <si>
    <t>0.08281 (0.05185)</t>
  </si>
  <si>
    <t>0.15765 (0.10350)</t>
  </si>
  <si>
    <t>0.00721 (0.00029)</t>
  </si>
  <si>
    <t>0.02325 (0.00115)</t>
  </si>
  <si>
    <t>0.00310 (0.00018)</t>
  </si>
  <si>
    <t>yfhH</t>
  </si>
  <si>
    <t>0.13252 (0.12740)</t>
  </si>
  <si>
    <t>0.09808 (0.11325)</t>
  </si>
  <si>
    <t>0.01839 (0.00143)</t>
  </si>
  <si>
    <t>0.06060 (0.00512)</t>
  </si>
  <si>
    <t>0.00677 (0.00086)</t>
  </si>
  <si>
    <t>yfhI</t>
  </si>
  <si>
    <t>0.05312 (0.06115)</t>
  </si>
  <si>
    <t>0.01378 (0.02940)</t>
  </si>
  <si>
    <t>0.00937 (0.00039)</t>
  </si>
  <si>
    <t>0.03316 (0.00131)</t>
  </si>
  <si>
    <t>0.00138 (0.00013)</t>
  </si>
  <si>
    <t>sspK</t>
  </si>
  <si>
    <t>0.16545 (0.16031)</t>
  </si>
  <si>
    <t>0.02147 (0.00157)</t>
  </si>
  <si>
    <t>0.10165 (0.00896)</t>
  </si>
  <si>
    <t>0.00343 (0.00059)</t>
  </si>
  <si>
    <t>yfhJ</t>
  </si>
  <si>
    <t>0.00783 (0.00075)</t>
  </si>
  <si>
    <t>0.02947 (0.00310)</t>
  </si>
  <si>
    <t>0.00254 (0.00061)</t>
  </si>
  <si>
    <t>yfhK</t>
  </si>
  <si>
    <t>0.27016 (0.13864)</t>
  </si>
  <si>
    <t>0.33765 (0.26758)</t>
  </si>
  <si>
    <t>0.01973 (0.00124)</t>
  </si>
  <si>
    <t>0.04728 (0.00325)</t>
  </si>
  <si>
    <t>0.01211 (0.00079)</t>
  </si>
  <si>
    <t>spdL</t>
  </si>
  <si>
    <t>factor for peptide SdpC immunity</t>
  </si>
  <si>
    <t>0.48188 (0.18751)</t>
  </si>
  <si>
    <t>0.10713 (0.17855)</t>
  </si>
  <si>
    <t>0.01465 (0.00085)</t>
  </si>
  <si>
    <t>0.03115 (0.00236)</t>
  </si>
  <si>
    <t>0.00969 (0.00104)</t>
  </si>
  <si>
    <t>ephM</t>
  </si>
  <si>
    <t>stress induced epoxide hydrolase</t>
  </si>
  <si>
    <t>0.18788 (0.05008)</t>
  </si>
  <si>
    <t>0.04938 (0.06220)</t>
  </si>
  <si>
    <t>0.01234 (0.00059)</t>
  </si>
  <si>
    <t>0.04044 (0.00211)</t>
  </si>
  <si>
    <t>0.00436 (0.00024)</t>
  </si>
  <si>
    <t>csbB</t>
  </si>
  <si>
    <t>putative bactoprenol glycosyl transferase, phageorigin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</si>
  <si>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</si>
  <si>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0.01545 (0.02146)</t>
  </si>
  <si>
    <t>0.00922 (0.00043)</t>
  </si>
  <si>
    <t>0.04090 (0.00193)</t>
  </si>
  <si>
    <t>0.00040 (0.00007)</t>
  </si>
  <si>
    <t>yfhO</t>
  </si>
  <si>
    <t>0.23302 (0.04825)</t>
  </si>
  <si>
    <t>0.10885 (0.03160)</t>
  </si>
  <si>
    <t>0.01164 (0.00038)</t>
  </si>
  <si>
    <t>0.03403 (0.00120)</t>
  </si>
  <si>
    <t>0.00505 (0.00017)</t>
  </si>
  <si>
    <t>yfhP</t>
  </si>
  <si>
    <t>putative membrane hydrolase</t>
  </si>
  <si>
    <t>0.03004 (0.03316)</t>
  </si>
  <si>
    <t>0.01922 (0.05004)</t>
  </si>
  <si>
    <t>0.01869 (0.00155)</t>
  </si>
  <si>
    <t>0.08104 (0.00711)</t>
  </si>
  <si>
    <t>0.00158 (0.00013)</t>
  </si>
  <si>
    <t>mutY</t>
  </si>
  <si>
    <t>A/G-specific adenine glycosylase orDNA-(apurinic or apyrimidinic site) lyase</t>
  </si>
  <si>
    <t>0.04248 (0.06630)</t>
  </si>
  <si>
    <t>0.03862 (0.02674)</t>
  </si>
  <si>
    <t>0.01076 (0.00055)</t>
  </si>
  <si>
    <t>0.04344 (0.00228)</t>
  </si>
  <si>
    <t>0.00184 (0.00015)</t>
  </si>
  <si>
    <t>yfhS</t>
  </si>
  <si>
    <t>conserved protein related to sporulation</t>
  </si>
  <si>
    <t>0.77891 (0.08566)</t>
  </si>
  <si>
    <t>0.19686 (0.15675)</t>
  </si>
  <si>
    <t>0.04765 (0.04644)</t>
  </si>
  <si>
    <t>0.02152 (0.00188)</t>
  </si>
  <si>
    <t>0.08418 (0.00897)</t>
  </si>
  <si>
    <t>0.00756 (0.00065)</t>
  </si>
  <si>
    <t>fabL</t>
  </si>
  <si>
    <t>enoyl-acyl carrier protein reductase III</t>
  </si>
  <si>
    <t>0.00730 (0.00058)</t>
  </si>
  <si>
    <t>0.03196 (0.00258)</t>
  </si>
  <si>
    <t>sspE</t>
  </si>
  <si>
    <t>small acid-soluble spore protein (gamma-typeSASP)</t>
  </si>
  <si>
    <t>0.22874 (0.32349)</t>
  </si>
  <si>
    <t>0.00661 (0.00121)</t>
  </si>
  <si>
    <t>0.02521 (0.00444)</t>
  </si>
  <si>
    <t>0.00245 (0.00100)</t>
  </si>
  <si>
    <t>ygaB</t>
  </si>
  <si>
    <t>0.10752 (0.10195)</t>
  </si>
  <si>
    <t>0.14558 (0.17088)</t>
  </si>
  <si>
    <t>0.02705 (0.00300)</t>
  </si>
  <si>
    <t>0.09624 (0.01117)</t>
  </si>
  <si>
    <t>0.01175 (0.00135)</t>
  </si>
  <si>
    <t>ygaC</t>
  </si>
  <si>
    <t>putative RNA binding factor</t>
  </si>
  <si>
    <t>0.02910 (0.05435)</t>
  </si>
  <si>
    <t>0.01340 (0.00086)</t>
  </si>
  <si>
    <t>0.06476 (0.00442)</t>
  </si>
  <si>
    <t>0.00073 (0.00011)</t>
  </si>
  <si>
    <t>ygaD</t>
  </si>
  <si>
    <t>0.03313 (0.05175)</t>
  </si>
  <si>
    <t>0.01666 (0.04174)</t>
  </si>
  <si>
    <t>0.01103 (0.00099)</t>
  </si>
  <si>
    <t>0.04542 (0.00419)</t>
  </si>
  <si>
    <t>0.00131 (0.00017)</t>
  </si>
  <si>
    <t>ygaE</t>
  </si>
  <si>
    <t>0.03732 (0.03002)</t>
  </si>
  <si>
    <t>0.03141 (0.04026)</t>
  </si>
  <si>
    <t>0.02103 (0.00118)</t>
  </si>
  <si>
    <t>0.09004 (0.00529)</t>
  </si>
  <si>
    <t>0.00301 (0.00020)</t>
  </si>
  <si>
    <t>gsaB</t>
  </si>
  <si>
    <t>glutamate-1-semialdehyde aminotransferase, classIII aminotransferase</t>
  </si>
  <si>
    <t>0.06105 (0.01858)</t>
  </si>
  <si>
    <t>0.04901 (0.03827)</t>
  </si>
  <si>
    <t>0.01641 (0.00111)</t>
  </si>
  <si>
    <t>0.06249 (0.00458)</t>
  </si>
  <si>
    <t>0.00297 (0.00022)</t>
  </si>
  <si>
    <t>bcp</t>
  </si>
  <si>
    <t>peroxiredoxin with versatile activity</t>
  </si>
  <si>
    <t>0.04059 (0.03729)</t>
  </si>
  <si>
    <t>0.08584 (0.04950)</t>
  </si>
  <si>
    <t>0.01428 (0.00061)</t>
  </si>
  <si>
    <t>0.05754 (0.00276)</t>
  </si>
  <si>
    <t>0.00365 (0.00030)</t>
  </si>
  <si>
    <t>perR</t>
  </si>
  <si>
    <t>transcriptional regulator (Fur family)</t>
  </si>
  <si>
    <t>0.44163 (0.10086)</t>
  </si>
  <si>
    <t>0.02057 (0.06421)</t>
  </si>
  <si>
    <t>0.02226 (0.00152)</t>
  </si>
  <si>
    <t>0.10809 (0.00803)</t>
  </si>
  <si>
    <t>0.00043 (0.00011)</t>
  </si>
  <si>
    <t>ygzB</t>
  </si>
  <si>
    <t>0.03814 (0.10661)</t>
  </si>
  <si>
    <t>0.01135 (0.02377)</t>
  </si>
  <si>
    <t>0.02812 (0.00144)</t>
  </si>
  <si>
    <t>0.13707 (0.00768)</t>
  </si>
  <si>
    <t>0.00252 (0.00036)</t>
  </si>
  <si>
    <t>ygxA</t>
  </si>
  <si>
    <t>0.04728 (0.03863)</t>
  </si>
  <si>
    <t>0.01006 (0.00071)</t>
  </si>
  <si>
    <t>0.04377 (0.00297)</t>
  </si>
  <si>
    <t>0.00116 (0.00019)</t>
  </si>
  <si>
    <t>spo0M</t>
  </si>
  <si>
    <t>protein involved in the control of the cellcycle as a function of the environment</t>
  </si>
  <si>
    <t>0.15108 (0.07873)</t>
  </si>
  <si>
    <t>0.05405 (0.03742)</t>
  </si>
  <si>
    <t>0.01898 (0.00126)</t>
  </si>
  <si>
    <t>0.06690 (0.00490)</t>
  </si>
  <si>
    <t>0.00601 (0.00042)</t>
  </si>
  <si>
    <t>ygzA</t>
  </si>
  <si>
    <t>0.64667 (0.11198)</t>
  </si>
  <si>
    <t>0.14952 (0.09795)</t>
  </si>
  <si>
    <t>0.33050 (0.29662)</t>
  </si>
  <si>
    <t>0.02014 (0.00167)</t>
  </si>
  <si>
    <t>0.05530 (0.00398)</t>
  </si>
  <si>
    <t>0.01208 (0.00141)</t>
  </si>
  <si>
    <t>ygzC</t>
  </si>
  <si>
    <t>putative spore coat protein</t>
  </si>
  <si>
    <t>0.74792 (0.10599)</t>
  </si>
  <si>
    <t>0.37012 (0.18659)</t>
  </si>
  <si>
    <t>0.27063 (0.21075)</t>
  </si>
  <si>
    <t>0.02420 (0.00169)</t>
  </si>
  <si>
    <t>0.05338 (0.00430)</t>
  </si>
  <si>
    <t>0.01712 (0.00152)</t>
  </si>
  <si>
    <t>ygaJ</t>
  </si>
  <si>
    <t>putative peptidase</t>
  </si>
  <si>
    <t>0.30395 (0.18666)</t>
  </si>
  <si>
    <t>0.20043 (0.08658)</t>
  </si>
  <si>
    <t>0.02166 (0.00124)</t>
  </si>
  <si>
    <t>0.05090 (0.00323)</t>
  </si>
  <si>
    <t>0.01401 (0.00084)</t>
  </si>
  <si>
    <t>thiC</t>
  </si>
  <si>
    <t>phosphomethylpyrimidine synthase</t>
  </si>
  <si>
    <t>0.14549 (0.34599)</t>
  </si>
  <si>
    <t>0.04926 (0.03813)</t>
  </si>
  <si>
    <t>0.01271 (0.00099)</t>
  </si>
  <si>
    <t>0.04378 (0.00320)</t>
  </si>
  <si>
    <t>ygaK</t>
  </si>
  <si>
    <t>putative FAD-dependent oxido-reductase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</si>
  <si>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</si>
  <si>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0.14757 (0.06239)</t>
  </si>
  <si>
    <t>0.03702 (0.02378)</t>
  </si>
  <si>
    <t>0.01598 (0.00113)</t>
  </si>
  <si>
    <t>0.05245 (0.00417)</t>
  </si>
  <si>
    <t>0.00570 (0.00050)</t>
  </si>
  <si>
    <t>senS</t>
  </si>
  <si>
    <t>transcriptional regulator (repressor of ScoC)</t>
  </si>
  <si>
    <t>0.24427 (0.13697)</t>
  </si>
  <si>
    <t>0.24566 (0.34742)</t>
  </si>
  <si>
    <t>0.01795 (0.00152)</t>
  </si>
  <si>
    <t>0.04454 (0.00438)</t>
  </si>
  <si>
    <t>0.01200 (0.00134)</t>
  </si>
  <si>
    <t>katA</t>
  </si>
  <si>
    <t>vegetative catalase 1</t>
  </si>
  <si>
    <t>0.02267 (0.02052)</t>
  </si>
  <si>
    <t>0.01243 (0.05332)</t>
  </si>
  <si>
    <t>0.01932 (0.00129)</t>
  </si>
  <si>
    <t>0.08825 (0.00613)</t>
  </si>
  <si>
    <t>0.00139 (0.00013)</t>
  </si>
  <si>
    <t>ssuB</t>
  </si>
  <si>
    <t>aliphatic sulfonate ABC transporter (ATP-bindingprotein)</t>
  </si>
  <si>
    <t>0.17202 (0.07998)</t>
  </si>
  <si>
    <t>0.07083 (0.05511)</t>
  </si>
  <si>
    <t>0.01143 (0.00038)</t>
  </si>
  <si>
    <t>0.03584 (0.00158)</t>
  </si>
  <si>
    <t>0.00422 (0.00021)</t>
  </si>
  <si>
    <t>ssuA</t>
  </si>
  <si>
    <t>aliphatic sulfonate ABC transporter (bindinglipoprotein)</t>
  </si>
  <si>
    <t>0.11749 (0.04104)</t>
  </si>
  <si>
    <t>0.05134 (0.06002)</t>
  </si>
  <si>
    <t>0.01548 (0.00060)</t>
  </si>
  <si>
    <t>0.05783 (0.00312)</t>
  </si>
  <si>
    <t>0.00460 (0.00022)</t>
  </si>
  <si>
    <t>ssuC</t>
  </si>
  <si>
    <t>aliphatic sulfonate ABC transporter (permease)</t>
  </si>
  <si>
    <t>0.17545 (0.08261)</t>
  </si>
  <si>
    <t>0.09787 (0.10400)</t>
  </si>
  <si>
    <t>0.01242 (0.00058)</t>
  </si>
  <si>
    <t>0.03615 (0.00184)</t>
  </si>
  <si>
    <t>0.00478 (0.00030)</t>
  </si>
  <si>
    <t>ssuD</t>
  </si>
  <si>
    <t>FMNH2-dependent aliphatic sulfonatemonooxygenase</t>
  </si>
  <si>
    <t>0.07942 (0.03626)</t>
  </si>
  <si>
    <t>0.03476 (0.02222)</t>
  </si>
  <si>
    <t>0.01593 (0.00065)</t>
  </si>
  <si>
    <t>0.05832 (0.00263)</t>
  </si>
  <si>
    <t>ygaN</t>
  </si>
  <si>
    <t>putative sulfur-related oxidoreductase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</si>
  <si>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</si>
  <si>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0.27030 (0.16763)</t>
  </si>
  <si>
    <t>0.54494 (0.44565)</t>
  </si>
  <si>
    <t>0.01904 (0.00109)</t>
  </si>
  <si>
    <t>0.04038 (0.00248)</t>
  </si>
  <si>
    <t>0.01372 (0.00103)</t>
  </si>
  <si>
    <t>rpsNB</t>
  </si>
  <si>
    <t>alternative ribosomal protein S14</t>
  </si>
  <si>
    <t>0.67493 (0.10580)</t>
  </si>
  <si>
    <t>0.13917 (0.09122)</t>
  </si>
  <si>
    <t>0.09178 (0.05038)</t>
  </si>
  <si>
    <t>0.02906 (0.00216)</t>
  </si>
  <si>
    <t>0.10731 (0.00926)</t>
  </si>
  <si>
    <t>0.00981 (0.00077)</t>
  </si>
  <si>
    <t>ygaO</t>
  </si>
  <si>
    <t>0.41485 (0.17246)</t>
  </si>
  <si>
    <t>0.07508 (0.03587)</t>
  </si>
  <si>
    <t>0.01670 (0.00084)</t>
  </si>
  <si>
    <t>0.04531 (0.00240)</t>
  </si>
  <si>
    <t>0.00853 (0.00050)</t>
  </si>
  <si>
    <t>ygzD</t>
  </si>
  <si>
    <t>putative HTH-type transcriptional regulator</t>
  </si>
  <si>
    <t>0.22444 (0.14597)</t>
  </si>
  <si>
    <t>0.02500 (0.05571)</t>
  </si>
  <si>
    <t>0.02957 (0.00167)</t>
  </si>
  <si>
    <t>0.11994 (0.00694)</t>
  </si>
  <si>
    <t>0.00689 (0.00059)</t>
  </si>
  <si>
    <t>yhzB</t>
  </si>
  <si>
    <t>0.12408 (0.04759)</t>
  </si>
  <si>
    <t>0.30967 (0.43251)</t>
  </si>
  <si>
    <t>0.01458 (0.00163)</t>
  </si>
  <si>
    <t>0.03608 (0.00504)</t>
  </si>
  <si>
    <t>0.00910 (0.00087)</t>
  </si>
  <si>
    <t>queG</t>
  </si>
  <si>
    <t>epoxyqueuosine reductase</t>
  </si>
  <si>
    <t>0.02901 (0.01604)</t>
  </si>
  <si>
    <t>0.03240 (0.02269)</t>
  </si>
  <si>
    <t>0.01202 (0.00040)</t>
  </si>
  <si>
    <t>0.04716 (0.00171)</t>
  </si>
  <si>
    <t>yhbB</t>
  </si>
  <si>
    <t>0.11228 (0.05598)</t>
  </si>
  <si>
    <t>0.08200 (0.06181)</t>
  </si>
  <si>
    <t>0.00911 (0.00046)</t>
  </si>
  <si>
    <t>0.03237 (0.00208)</t>
  </si>
  <si>
    <t>0.00299 (0.00013)</t>
  </si>
  <si>
    <t>trmL</t>
  </si>
  <si>
    <t>tRNA (cytidine(34)-2'-O)-methyltransferase</t>
  </si>
  <si>
    <t>0.01463 (0.04916)</t>
  </si>
  <si>
    <t>0.05499 (0.08636)</t>
  </si>
  <si>
    <t>0.02286 (0.00141)</t>
  </si>
  <si>
    <t>0.09534 (0.00621)</t>
  </si>
  <si>
    <t>0.00389 (0.00029)</t>
  </si>
  <si>
    <t>yhbD</t>
  </si>
  <si>
    <t>putative sporulation-related protein</t>
  </si>
  <si>
    <t>0.37189 (0.15467)</t>
  </si>
  <si>
    <t>0.41826 (0.19717)</t>
  </si>
  <si>
    <t>0.00821 (0.00038)</t>
  </si>
  <si>
    <t>0.01866 (0.00090)</t>
  </si>
  <si>
    <t>0.00538 (0.00030)</t>
  </si>
  <si>
    <t>yhbE</t>
  </si>
  <si>
    <t>conserved protein involved in sporulation</t>
  </si>
  <si>
    <t>0.23509 (0.15558)</t>
  </si>
  <si>
    <t>0.10031 (0.06939)</t>
  </si>
  <si>
    <t>0.01474 (0.00056)</t>
  </si>
  <si>
    <t>0.04285 (0.00196)</t>
  </si>
  <si>
    <t>0.00671 (0.00027)</t>
  </si>
  <si>
    <t>yhbF</t>
  </si>
  <si>
    <t>0.16120 (0.07330)</t>
  </si>
  <si>
    <t>0.21088 (0.16751)</t>
  </si>
  <si>
    <t>0.01554 (0.00086)</t>
  </si>
  <si>
    <t>0.04447 (0.00308)</t>
  </si>
  <si>
    <t>0.00739 (0.00052)</t>
  </si>
  <si>
    <t>prkA</t>
  </si>
  <si>
    <t>serine protein kinase (involved in sporulation)</t>
  </si>
  <si>
    <t>0.01736 (0.01649)</t>
  </si>
  <si>
    <t>0.00742 (0.00737)</t>
  </si>
  <si>
    <t>0.02541 (0.00165)</t>
  </si>
  <si>
    <t>0.12740 (0.00889)</t>
  </si>
  <si>
    <t>0.00084 (0.00007)</t>
  </si>
  <si>
    <t>yhbH</t>
  </si>
  <si>
    <t>factor involved in shape determination</t>
  </si>
  <si>
    <t>0.01083 (0.03598)</t>
  </si>
  <si>
    <t>0.01174 (0.04185)</t>
  </si>
  <si>
    <t>0.01605 (0.00179)</t>
  </si>
  <si>
    <t>0.08392 (0.00975)</t>
  </si>
  <si>
    <t>0.00094 (0.00014)</t>
  </si>
  <si>
    <t>yhbI</t>
  </si>
  <si>
    <t>putative transcriptional regulator (MarR family)induced by acid stress</t>
  </si>
  <si>
    <t>0.08402 (0.08855)</t>
  </si>
  <si>
    <t>0.05871 (0.07276)</t>
  </si>
  <si>
    <t>0.02072 (0.00342)</t>
  </si>
  <si>
    <t>0.08111 (0.01362)</t>
  </si>
  <si>
    <t>0.00504 (0.00092)</t>
  </si>
  <si>
    <t>yhbJ</t>
  </si>
  <si>
    <t>putative membrane fusion protein; putativeexporter subunit (benzoate transcriptome)</t>
  </si>
  <si>
    <t>0.03535 (0.05187)</t>
  </si>
  <si>
    <t>0.07005 (0.15756)</t>
  </si>
  <si>
    <t>0.01778 (0.00190)</t>
  </si>
  <si>
    <t>0.06914 (0.00731)</t>
  </si>
  <si>
    <t>0.00378 (0.00055)</t>
  </si>
  <si>
    <t>yhcA</t>
  </si>
  <si>
    <t>putative exporter (benzoate transcriptome)</t>
  </si>
  <si>
    <t>0.04943 (0.07867)</t>
  </si>
  <si>
    <t>0.03305 (0.11255)</t>
  </si>
  <si>
    <t>0.01313 (0.00103)</t>
  </si>
  <si>
    <t>0.05118 (0.00412)</t>
  </si>
  <si>
    <t>0.00181 (0.00027)</t>
  </si>
  <si>
    <t>yhcB</t>
  </si>
  <si>
    <t>NADH:quinone oxidoreductase associated tobenzoate stress</t>
  </si>
  <si>
    <t>0.01830 (0.04643)</t>
  </si>
  <si>
    <t>0.15042 (0.21711)</t>
  </si>
  <si>
    <t>0.00867 (0.00087)</t>
  </si>
  <si>
    <t>0.03312 (0.00406)</t>
  </si>
  <si>
    <t>0.00165 (0.00022)</t>
  </si>
  <si>
    <t>yhcC</t>
  </si>
  <si>
    <t>hypothetical membrane protein</t>
  </si>
  <si>
    <t>0.25160 (0.15719)</t>
  </si>
  <si>
    <t>0.11428 (0.09143)</t>
  </si>
  <si>
    <t>0.02783 (0.00248)</t>
  </si>
  <si>
    <t>0.08651 (0.00808)</t>
  </si>
  <si>
    <t>0.01333 (0.00123)</t>
  </si>
  <si>
    <t>yhcD</t>
  </si>
  <si>
    <t>0.92604 (0.06963)</t>
  </si>
  <si>
    <t>1.54778 (2.28916)</t>
  </si>
  <si>
    <t>0.01961 (0.00320)</t>
  </si>
  <si>
    <t>0.01124 (0.00420)</t>
  </si>
  <si>
    <t>0.02276 (0.00473)</t>
  </si>
  <si>
    <t>yhcE</t>
  </si>
  <si>
    <t>putative integral inner membrane orphan protein</t>
  </si>
  <si>
    <t>0.23845 (0.07741)</t>
  </si>
  <si>
    <t>0.15062 (0.34847)</t>
  </si>
  <si>
    <t>0.02220 (0.00186)</t>
  </si>
  <si>
    <t>0.06300 (0.00615)</t>
  </si>
  <si>
    <t>0.01126 (0.00082)</t>
  </si>
  <si>
    <t>yhcF</t>
  </si>
  <si>
    <t>0.09491 (0.07112)</t>
  </si>
  <si>
    <t>0.28740 (0.40645)</t>
  </si>
  <si>
    <t>0.00964 (0.00060)</t>
  </si>
  <si>
    <t>0.02874 (0.00308)</t>
  </si>
  <si>
    <t>0.00436 (0.00043)</t>
  </si>
  <si>
    <t>yhcG</t>
  </si>
  <si>
    <t>putative ABC transporter ATP-binding protein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</si>
  <si>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</si>
  <si>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0.08158 (0.06362)</t>
  </si>
  <si>
    <t>0.11596 (0.18099)</t>
  </si>
  <si>
    <t>0.00784 (0.00059)</t>
  </si>
  <si>
    <t>0.02665 (0.00246)</t>
  </si>
  <si>
    <t>0.00257 (0.00024)</t>
  </si>
  <si>
    <t>yhcH</t>
  </si>
  <si>
    <t>0.14255 (0.08717)</t>
  </si>
  <si>
    <t>0.11425 (0.11198)</t>
  </si>
  <si>
    <t>0.01007 (0.00049)</t>
  </si>
  <si>
    <t>0.02981 (0.00161)</t>
  </si>
  <si>
    <t>yhcI</t>
  </si>
  <si>
    <t>putative ABC transporter (permease)</t>
  </si>
  <si>
    <t>0.10155 (0.14031)</t>
  </si>
  <si>
    <t>0.08582 (0.09968)</t>
  </si>
  <si>
    <t>0.01505 (0.00130)</t>
  </si>
  <si>
    <t>0.05006 (0.00418)</t>
  </si>
  <si>
    <t>0.00524 (0.00068)</t>
  </si>
  <si>
    <t>cspB</t>
  </si>
  <si>
    <t>major cold-shock protein, RNA helicaseco-factor, RNA co-chaperone</t>
  </si>
  <si>
    <t>0.91927 (0.05408)</t>
  </si>
  <si>
    <t>0.05098 (0.06888)</t>
  </si>
  <si>
    <t>0.01880 (0.00376)</t>
  </si>
  <si>
    <t>0.08311 (0.01496)</t>
  </si>
  <si>
    <t>0.00325 (0.00133)</t>
  </si>
  <si>
    <t>yhcJ</t>
  </si>
  <si>
    <t>putative ABC transporter (binding lipoprotein)</t>
  </si>
  <si>
    <t>0.15449 (0.09775)</t>
  </si>
  <si>
    <t>0.23171 (0.08236)</t>
  </si>
  <si>
    <t>0.01750 (0.00105)</t>
  </si>
  <si>
    <t>0.04830 (0.00340)</t>
  </si>
  <si>
    <t>0.00884 (0.00051)</t>
  </si>
  <si>
    <t>dgcK</t>
  </si>
  <si>
    <t>diguanylate cyclase</t>
  </si>
  <si>
    <t>0.15259 (0.08705)</t>
  </si>
  <si>
    <t>0.04083 (0.03997)</t>
  </si>
  <si>
    <t>0.01111 (0.00064)</t>
  </si>
  <si>
    <t>0.03547 (0.00187)</t>
  </si>
  <si>
    <t>0.00391 (0.00035)</t>
  </si>
  <si>
    <t>tcyP</t>
  </si>
  <si>
    <t>(sodium)-cystine symporter</t>
  </si>
  <si>
    <t>0.02898 (0.02746)</t>
  </si>
  <si>
    <t>0.01078 (0.00046)</t>
  </si>
  <si>
    <t>0.04233 (0.00180)</t>
  </si>
  <si>
    <t>0.00067 (0.00008)</t>
  </si>
  <si>
    <t>yhcM</t>
  </si>
  <si>
    <t>expressed protein of unknown function</t>
  </si>
  <si>
    <t>0.33763 (0.22000)</t>
  </si>
  <si>
    <t>0.30983 (0.10034)</t>
  </si>
  <si>
    <t>0.02261 (0.00089)</t>
  </si>
  <si>
    <t>0.05533 (0.00368)</t>
  </si>
  <si>
    <t>0.01524 (0.00059)</t>
  </si>
  <si>
    <t>yhcN</t>
  </si>
  <si>
    <t>putative germination lipoprotein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</si>
  <si>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</si>
  <si>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0.27338 (0.23679)</t>
  </si>
  <si>
    <t>0.06847 (0.05946)</t>
  </si>
  <si>
    <t>0.01001 (0.00055)</t>
  </si>
  <si>
    <t>0.03391 (0.00233)</t>
  </si>
  <si>
    <t>0.00368 (0.00028)</t>
  </si>
  <si>
    <t>yhcO</t>
  </si>
  <si>
    <t>putative exported protein (sporulationgermination island)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</si>
  <si>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</si>
  <si>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0.25196 (0.48896)</t>
  </si>
  <si>
    <t>0.06447 (0.05638)</t>
  </si>
  <si>
    <t>0.01806 (0.00182)</t>
  </si>
  <si>
    <t>0.05446 (0.00477)</t>
  </si>
  <si>
    <t>0.00896 (0.00122)</t>
  </si>
  <si>
    <t>yhcQ</t>
  </si>
  <si>
    <t>0.08495 (0.08295)</t>
  </si>
  <si>
    <t>0.00870 (0.00052)</t>
  </si>
  <si>
    <t>0.03943 (0.00234)</t>
  </si>
  <si>
    <t>0.00110 (0.00016)</t>
  </si>
  <si>
    <t>mncR</t>
  </si>
  <si>
    <t>non specific extracellular Ca2+-dependentendonuclease cleaving RNA and DNA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</si>
  <si>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</si>
  <si>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0.23712 (0.22537)</t>
  </si>
  <si>
    <t>0.16519 (0.05987)</t>
  </si>
  <si>
    <t>0.01322 (0.00091)</t>
  </si>
  <si>
    <t>0.03630 (0.00260)</t>
  </si>
  <si>
    <t>0.00662 (0.00047)</t>
  </si>
  <si>
    <t>srtA</t>
  </si>
  <si>
    <t>sortase A</t>
  </si>
  <si>
    <t>0.20990 (0.08276)</t>
  </si>
  <si>
    <t>0.21486 (0.09993)</t>
  </si>
  <si>
    <t>0.01901 (0.00065)</t>
  </si>
  <si>
    <t>0.05000 (0.00195)</t>
  </si>
  <si>
    <t>0.00999 (0.00053)</t>
  </si>
  <si>
    <t>yhcT</t>
  </si>
  <si>
    <t>putative RNA pseudouridine synthase</t>
  </si>
  <si>
    <t>0.20021 (0.08608)</t>
  </si>
  <si>
    <t>0.07957 (0.06361)</t>
  </si>
  <si>
    <t>0.01160 (0.00043)</t>
  </si>
  <si>
    <t>0.03624 (0.00146)</t>
  </si>
  <si>
    <t>0.00446 (0.00024)</t>
  </si>
  <si>
    <t>yhcU</t>
  </si>
  <si>
    <t>0.38879 (0.16585)</t>
  </si>
  <si>
    <t>0.22201 (0.15091)</t>
  </si>
  <si>
    <t>0.02306 (0.00172)</t>
  </si>
  <si>
    <t>0.06271 (0.00595)</t>
  </si>
  <si>
    <t>0.01397 (0.00101)</t>
  </si>
  <si>
    <t>yhcV</t>
  </si>
  <si>
    <t>putative CBS containing enzyme (sporulation-/germination-related)</t>
  </si>
  <si>
    <t>0.26644 (0.26472)</t>
  </si>
  <si>
    <t>0.20554 (0.18241)</t>
  </si>
  <si>
    <t>0.02254 (0.00209)</t>
  </si>
  <si>
    <t>0.06004 (0.00583)</t>
  </si>
  <si>
    <t>0.01195 (0.00116)</t>
  </si>
  <si>
    <t>glpW</t>
  </si>
  <si>
    <t>promiscuous phosphoglycolate phosphatase /2-deoxyglucose-6-phosphatase</t>
  </si>
  <si>
    <t>0.09015 (0.05809)</t>
  </si>
  <si>
    <t>0.08048 (0.04491)</t>
  </si>
  <si>
    <t>0.01426 (0.00042)</t>
  </si>
  <si>
    <t>0.05134 (0.00186)</t>
  </si>
  <si>
    <t>0.00397 (0.00022)</t>
  </si>
  <si>
    <t>yhcX</t>
  </si>
  <si>
    <t>0.00930 (0.01501)</t>
  </si>
  <si>
    <t>0.01243 (0.01394)</t>
  </si>
  <si>
    <t>0.02162 (0.00135)</t>
  </si>
  <si>
    <t>0.10510 (0.00724)</t>
  </si>
  <si>
    <t>yhxA</t>
  </si>
  <si>
    <t>putative aminotransferase</t>
  </si>
  <si>
    <t>0.07348 (0.04212)</t>
  </si>
  <si>
    <t>0.03253 (0.03189)</t>
  </si>
  <si>
    <t>0.01093 (0.00032)</t>
  </si>
  <si>
    <t>0.04115 (0.00137)</t>
  </si>
  <si>
    <t>glpP</t>
  </si>
  <si>
    <t>sn-glycerol-3-phosphate responding transcriptionantiterminator</t>
  </si>
  <si>
    <t>0.09336 (0.06526)</t>
  </si>
  <si>
    <t>0.06534 (0.08024)</t>
  </si>
  <si>
    <t>0.00689 (0.00035)</t>
  </si>
  <si>
    <t>0.02496 (0.00110)</t>
  </si>
  <si>
    <t>0.00227 (0.00026)</t>
  </si>
  <si>
    <t>glpF</t>
  </si>
  <si>
    <t>glycerol permease</t>
  </si>
  <si>
    <t>0.05033 (0.06483)</t>
  </si>
  <si>
    <t>0.01555 (0.05678)</t>
  </si>
  <si>
    <t>0.01652 (0.00135)</t>
  </si>
  <si>
    <t>0.06605 (0.00577)</t>
  </si>
  <si>
    <t>0.00144 (0.00014)</t>
  </si>
  <si>
    <t>glpK</t>
  </si>
  <si>
    <t>glycerol kinase (sn-glycerol-3-phosphategenerating)</t>
  </si>
  <si>
    <t>0.01275 (0.01502)</t>
  </si>
  <si>
    <t>0.05524 (0.00247)</t>
  </si>
  <si>
    <t>0.00038 (0.00005)</t>
  </si>
  <si>
    <t>glpD</t>
  </si>
  <si>
    <t>sn-glycerol-3-phosphate oxidase (FAD-dependent)</t>
  </si>
  <si>
    <t>0.08849 (0.06151)</t>
  </si>
  <si>
    <t>0.04738 (0.04927)</t>
  </si>
  <si>
    <t>0.00861 (0.00037)</t>
  </si>
  <si>
    <t>0.03223 (0.00137)</t>
  </si>
  <si>
    <t>0.00182 (0.00013)</t>
  </si>
  <si>
    <t>pgcA</t>
  </si>
  <si>
    <t>alpha-phosphoglucomutase</t>
  </si>
  <si>
    <t>0.08608 (0.02887)</t>
  </si>
  <si>
    <t>0.07171 (0.02299)</t>
  </si>
  <si>
    <t>0.01335 (0.00034)</t>
  </si>
  <si>
    <t>0.04698 (0.00134)</t>
  </si>
  <si>
    <t>0.00345 (0.00012)</t>
  </si>
  <si>
    <t>yhcY</t>
  </si>
  <si>
    <t>two-component sensor histidine kinase [YhcZ]</t>
  </si>
  <si>
    <t>0.10039 (0.02698)</t>
  </si>
  <si>
    <t>0.07676 (0.02834)</t>
  </si>
  <si>
    <t>0.01380 (0.00045)</t>
  </si>
  <si>
    <t>0.04807 (0.00174)</t>
  </si>
  <si>
    <t>0.00423 (0.00017)</t>
  </si>
  <si>
    <t>azr</t>
  </si>
  <si>
    <t>oxidoreductase, NAD(P)H-FMN and ferric ironreductase (azoreductase)</t>
  </si>
  <si>
    <t>0.18906 (0.13575)</t>
  </si>
  <si>
    <t>0.44433 (0.36230)</t>
  </si>
  <si>
    <t>0.01813 (0.00098)</t>
  </si>
  <si>
    <t>0.04197 (0.00270)</t>
  </si>
  <si>
    <t>0.01159 (0.00067)</t>
  </si>
  <si>
    <t>yhdB</t>
  </si>
  <si>
    <t>0.13686 (0.19761)</t>
  </si>
  <si>
    <t>0.01824 (0.00247)</t>
  </si>
  <si>
    <t>0.06426 (0.00948)</t>
  </si>
  <si>
    <t>0.00628 (0.00094)</t>
  </si>
  <si>
    <t>yhdC</t>
  </si>
  <si>
    <t>0.06182 (0.06094)</t>
  </si>
  <si>
    <t>0.09374 (0.15623)</t>
  </si>
  <si>
    <t>0.01260 (0.00088)</t>
  </si>
  <si>
    <t>0.04565 (0.00361)</t>
  </si>
  <si>
    <t>0.00375 (0.00040)</t>
  </si>
  <si>
    <t>lytF</t>
  </si>
  <si>
    <t>gamma-D-glutamate-meso-diaminopimelatemuropeptidase (major autolysin, vegetative)</t>
  </si>
  <si>
    <t>0.22732 (0.08285)</t>
  </si>
  <si>
    <t>0.14389 (0.07348)</t>
  </si>
  <si>
    <t>0.00946 (0.00029)</t>
  </si>
  <si>
    <t>0.02388 (0.00072)</t>
  </si>
  <si>
    <t>0.00493 (0.00022)</t>
  </si>
  <si>
    <t>nsrR</t>
  </si>
  <si>
    <t>NO-dependent activator of the ResDE regulon(Fe-S NO binding site)</t>
  </si>
  <si>
    <t>0.04175 (0.09119)</t>
  </si>
  <si>
    <t>0.06433 (0.13869)</t>
  </si>
  <si>
    <t>0.01179 (0.00086)</t>
  </si>
  <si>
    <t>0.04598 (0.00371)</t>
  </si>
  <si>
    <t>0.00227 (0.00033)</t>
  </si>
  <si>
    <t>ygxB</t>
  </si>
  <si>
    <t>putative integral membrane protein</t>
  </si>
  <si>
    <t>0.11282 (0.05205)</t>
  </si>
  <si>
    <t>0.11728 (0.08080)</t>
  </si>
  <si>
    <t>0.01103 (0.00053)</t>
  </si>
  <si>
    <t>0.03645 (0.00209)</t>
  </si>
  <si>
    <t>0.00317 (0.00015)</t>
  </si>
  <si>
    <t>spoVR</t>
  </si>
  <si>
    <t>involved in spore cortex synthesis (stage Vsporulation, conserved in non sporulating bacteria</t>
  </si>
  <si>
    <t>0.03143 (0.03708)</t>
  </si>
  <si>
    <t>0.00998 (0.03082)</t>
  </si>
  <si>
    <t>0.00712 (0.00023)</t>
  </si>
  <si>
    <t>0.03214 (0.00104)</t>
  </si>
  <si>
    <t>0.00079 (0.00006)</t>
  </si>
  <si>
    <t>phoA</t>
  </si>
  <si>
    <t>alkaline phosphatase A</t>
  </si>
  <si>
    <t>0.19275 (0.08511)</t>
  </si>
  <si>
    <t>0.12910 (0.08809)</t>
  </si>
  <si>
    <t>0.01436 (0.00060)</t>
  </si>
  <si>
    <t>0.04416 (0.00219)</t>
  </si>
  <si>
    <t>0.00642 (0.00028)</t>
  </si>
  <si>
    <t>lytE</t>
  </si>
  <si>
    <t>cell wall dl-endopeptidase;phosphatase-associated protein (major autolysin)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</si>
  <si>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</si>
  <si>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0.06848 (0.04216)</t>
  </si>
  <si>
    <t>0.00578 (0.00025)</t>
  </si>
  <si>
    <t>0.02223 (0.00099)</t>
  </si>
  <si>
    <t>0.00081 (0.00009)</t>
  </si>
  <si>
    <t>citR</t>
  </si>
  <si>
    <t>transcriptional regulator CitR (LysR family)</t>
  </si>
  <si>
    <t>0.03696 (0.02968)</t>
  </si>
  <si>
    <t>0.00838 (0.00055)</t>
  </si>
  <si>
    <t>0.03491 (0.00245)</t>
  </si>
  <si>
    <t>0.00092 (0.00011)</t>
  </si>
  <si>
    <t>citA</t>
  </si>
  <si>
    <t>citrate synthase I</t>
  </si>
  <si>
    <t>0.12530 (0.10568)</t>
  </si>
  <si>
    <t>0.09798 (0.03828)</t>
  </si>
  <si>
    <t>0.01382 (0.00052)</t>
  </si>
  <si>
    <t>0.04563 (0.00160)</t>
  </si>
  <si>
    <t>0.00446 (0.00029)</t>
  </si>
  <si>
    <t>yhdF</t>
  </si>
  <si>
    <t>putative NAD(P)-dependent dehydrogenase</t>
  </si>
  <si>
    <t>0.04408 (0.04335)</t>
  </si>
  <si>
    <t>0.06950 (0.05257)</t>
  </si>
  <si>
    <t>0.01145 (0.00043)</t>
  </si>
  <si>
    <t>0.04259 (0.00172)</t>
  </si>
  <si>
    <t>0.00242 (0.00020)</t>
  </si>
  <si>
    <t>bcaP</t>
  </si>
  <si>
    <t>branched-chain amino acid transporter ormethylthioribose-degradation metabolite exporter</t>
  </si>
  <si>
    <t>0.02051 (0.01872)</t>
  </si>
  <si>
    <t>0.01417 (0.02205)</t>
  </si>
  <si>
    <t>0.01512 (0.00054)</t>
  </si>
  <si>
    <t>0.05888 (0.00216)</t>
  </si>
  <si>
    <t>0.00098 (0.00007)</t>
  </si>
  <si>
    <t>yhdH</t>
  </si>
  <si>
    <t>putative sodium-dependent transporter</t>
  </si>
  <si>
    <t>0.07359 (0.05116)</t>
  </si>
  <si>
    <t>0.05485 (0.08748)</t>
  </si>
  <si>
    <t>0.01005 (0.00041)</t>
  </si>
  <si>
    <t>0.03378 (0.00133)</t>
  </si>
  <si>
    <t>0.00250 (0.00017)</t>
  </si>
  <si>
    <t>yhdI</t>
  </si>
  <si>
    <t>0.20752 (0.07425)</t>
  </si>
  <si>
    <t>0.22631 (0.11390)</t>
  </si>
  <si>
    <t>0.01891 (0.00057)</t>
  </si>
  <si>
    <t>0.04796 (0.00174)</t>
  </si>
  <si>
    <t>0.01051 (0.00031)</t>
  </si>
  <si>
    <t>yhdJ</t>
  </si>
  <si>
    <t>0.31887 (0.25042)</t>
  </si>
  <si>
    <t>0.29001 (0.41860)</t>
  </si>
  <si>
    <t>0.01064 (0.00067)</t>
  </si>
  <si>
    <t>0.02514 (0.00224)</t>
  </si>
  <si>
    <t>0.00666 (0.00060)</t>
  </si>
  <si>
    <t>asiMB</t>
  </si>
  <si>
    <t>negative regulator of the activity of sigma-M</t>
  </si>
  <si>
    <t>0.02689 (0.06022)</t>
  </si>
  <si>
    <t>0.02361 (0.00260)</t>
  </si>
  <si>
    <t>0.09500 (0.01044)</t>
  </si>
  <si>
    <t>0.00249 (0.00054)</t>
  </si>
  <si>
    <t>asiMA</t>
  </si>
  <si>
    <t>0.04989 (0.04399)</t>
  </si>
  <si>
    <t>0.05666 (0.06763)</t>
  </si>
  <si>
    <t>0.00536 (0.00016)</t>
  </si>
  <si>
    <t>0.02093 (0.00070)</t>
  </si>
  <si>
    <t>sigM</t>
  </si>
  <si>
    <t>RNA polymerase ECF (extracytoplasmicfunction)-type sigma factor (sigma(M))</t>
  </si>
  <si>
    <t>0.01363 (0.00150)</t>
  </si>
  <si>
    <t>0.06671 (0.00755)</t>
  </si>
  <si>
    <t>akrN</t>
  </si>
  <si>
    <t>aldo/keto reductase specific for NADPH; protectsagainst methylglyoxal</t>
  </si>
  <si>
    <t>0.29473 (0.19280)</t>
  </si>
  <si>
    <t>0.06813 (0.05966)</t>
  </si>
  <si>
    <t>0.00862 (0.00030)</t>
  </si>
  <si>
    <t>0.02733 (0.00114)</t>
  </si>
  <si>
    <t>0.00326 (0.00019)</t>
  </si>
  <si>
    <t>plsC</t>
  </si>
  <si>
    <t>1-acylglycerol-phosphate (1-acyl-G3P)acyltransferase</t>
  </si>
  <si>
    <t>0.01738 (0.04421)</t>
  </si>
  <si>
    <t>0.11189 (0.21006)</t>
  </si>
  <si>
    <t>0.02032 (0.00268)</t>
  </si>
  <si>
    <t>0.07414 (0.00917)</t>
  </si>
  <si>
    <t>0.00619 (0.00111)</t>
  </si>
  <si>
    <t>yhdP</t>
  </si>
  <si>
    <t>putative magnesium efflux pump</t>
  </si>
  <si>
    <t>0.35813 (0.09433)</t>
  </si>
  <si>
    <t>0.02584 (0.03461)</t>
  </si>
  <si>
    <t>0.03207 (0.04949)</t>
  </si>
  <si>
    <t>0.02442 (0.00153)</t>
  </si>
  <si>
    <t>0.10788 (0.00682)</t>
  </si>
  <si>
    <t>0.00335 (0.00027)</t>
  </si>
  <si>
    <t>cueR</t>
  </si>
  <si>
    <t>indirect copper efflux transcriptionalregulator</t>
  </si>
  <si>
    <t>0.15370 (0.15687)</t>
  </si>
  <si>
    <t>0.05003 (0.01818)</t>
  </si>
  <si>
    <t>0.01709 (0.00172)</t>
  </si>
  <si>
    <t>0.06408 (0.00663)</t>
  </si>
  <si>
    <t>0.00374 (0.00044)</t>
  </si>
  <si>
    <t>yhdR</t>
  </si>
  <si>
    <t>putative aspartate aminotransferase</t>
  </si>
  <si>
    <t>0.18559 (0.06364)</t>
  </si>
  <si>
    <t>0.02705 (0.03341)</t>
  </si>
  <si>
    <t>0.00988 (0.00025)</t>
  </si>
  <si>
    <t>0.03377 (0.00109)</t>
  </si>
  <si>
    <t>0.00329 (0.00017)</t>
  </si>
  <si>
    <t>yhdT</t>
  </si>
  <si>
    <t>0.13160 (0.05122)</t>
  </si>
  <si>
    <t>0.05686 (0.15021)</t>
  </si>
  <si>
    <t>0.01721 (0.00145)</t>
  </si>
  <si>
    <t>0.06485 (0.00627)</t>
  </si>
  <si>
    <t>0.00458 (0.00027)</t>
  </si>
  <si>
    <t>crcBA</t>
  </si>
  <si>
    <t>fluoride efflux channel component A</t>
  </si>
  <si>
    <t>0.46216 (0.18676)</t>
  </si>
  <si>
    <t>0.13875 (0.12462)</t>
  </si>
  <si>
    <t>0.01580 (0.00069)</t>
  </si>
  <si>
    <t>0.03255 (0.00172)</t>
  </si>
  <si>
    <t>0.01034 (0.00070)</t>
  </si>
  <si>
    <t>crcBB</t>
  </si>
  <si>
    <t>subunit of fluoride efflux transporter</t>
  </si>
  <si>
    <t>0.60573 (0.60525)</t>
  </si>
  <si>
    <t>0.16948 (0.24463)</t>
  </si>
  <si>
    <t>0.00886 (0.00068)</t>
  </si>
  <si>
    <t>0.01531 (0.00173)</t>
  </si>
  <si>
    <t>0.00679 (0.00057)</t>
  </si>
  <si>
    <t>yhdW</t>
  </si>
  <si>
    <t>putative glycerophosphodiesterphosphodiesterase</t>
  </si>
  <si>
    <t>0.78631 (0.42424)</t>
  </si>
  <si>
    <t>0.14614 (0.12263)</t>
  </si>
  <si>
    <t>0.00912 (0.00062)</t>
  </si>
  <si>
    <t>0.02179 (0.00194)</t>
  </si>
  <si>
    <t>0.00555 (0.00033)</t>
  </si>
  <si>
    <t>yhdX</t>
  </si>
  <si>
    <t>0.12246 (0.17675)</t>
  </si>
  <si>
    <t>0.01714 (0.00225)</t>
  </si>
  <si>
    <t>0.03957 (0.00866)</t>
  </si>
  <si>
    <t>0.01207 (0.00297)</t>
  </si>
  <si>
    <t>mscY</t>
  </si>
  <si>
    <t>small conductance mechano-sensitive channel</t>
  </si>
  <si>
    <t>0.03377 (0.02034)</t>
  </si>
  <si>
    <t>0.03899 (0.05783)</t>
  </si>
  <si>
    <t>0.00954 (0.00030)</t>
  </si>
  <si>
    <t>0.03737 (0.00133)</t>
  </si>
  <si>
    <t>0.00167 (0.00010)</t>
  </si>
  <si>
    <t>srtN</t>
  </si>
  <si>
    <t>sirtuin NAD-dependent deacetylase</t>
  </si>
  <si>
    <t>0.13437 (0.07257)</t>
  </si>
  <si>
    <t>0.14076 (0.06440)</t>
  </si>
  <si>
    <t>0.01661 (0.00067)</t>
  </si>
  <si>
    <t>0.05259 (0.00265)</t>
  </si>
  <si>
    <t>0.00706 (0.00037)</t>
  </si>
  <si>
    <t>yheN</t>
  </si>
  <si>
    <t>putative polysaccharide deacetylase</t>
  </si>
  <si>
    <t>0.12022 (0.06728)</t>
  </si>
  <si>
    <t>0.08684 (0.06618)</t>
  </si>
  <si>
    <t>0.02728 (0.00144)</t>
  </si>
  <si>
    <t>0.09343 (0.00517)</t>
  </si>
  <si>
    <t>0.00950 (0.00052)</t>
  </si>
  <si>
    <t>dat</t>
  </si>
  <si>
    <t>D-alanine aminotransferase</t>
  </si>
  <si>
    <t>0.08155 (0.03260)</t>
  </si>
  <si>
    <t>0.03083 (0.07632)</t>
  </si>
  <si>
    <t>0.01305 (0.00066)</t>
  </si>
  <si>
    <t>0.04741 (0.00268)</t>
  </si>
  <si>
    <t>0.00296 (0.00017)</t>
  </si>
  <si>
    <t>nhaC</t>
  </si>
  <si>
    <t>Na+/H+ antiporter</t>
  </si>
  <si>
    <t>0.10192 (0.02450)</t>
  </si>
  <si>
    <t>0.12510 (0.06023)</t>
  </si>
  <si>
    <t>0.01297 (0.00038)</t>
  </si>
  <si>
    <t>0.04034 (0.00139)</t>
  </si>
  <si>
    <t>0.00447 (0.00018)</t>
  </si>
  <si>
    <t>nhaX</t>
  </si>
  <si>
    <t>stress response protein, UspA family</t>
  </si>
  <si>
    <t>0.23051 (0.06383)</t>
  </si>
  <si>
    <t>0.57839 (0.43405)</t>
  </si>
  <si>
    <t>0.01035 (0.00057)</t>
  </si>
  <si>
    <t>0.02047 (0.00112)</t>
  </si>
  <si>
    <t>0.00755 (0.00049)</t>
  </si>
  <si>
    <t>bmrB</t>
  </si>
  <si>
    <t>regulator leader peptide</t>
  </si>
  <si>
    <t>0.13647 (0.19698)</t>
  </si>
  <si>
    <t>0.00962 (0.00131)</t>
  </si>
  <si>
    <t>0.03037 (0.00726)</t>
  </si>
  <si>
    <t>0.00412 (0.00153)</t>
  </si>
  <si>
    <t>bmrC</t>
  </si>
  <si>
    <t>efflux ABC transporter (ATP-binding protein)</t>
  </si>
  <si>
    <t>0.10814 (0.04994)</t>
  </si>
  <si>
    <t>0.05276 (0.05108)</t>
  </si>
  <si>
    <t>0.01132 (0.00050)</t>
  </si>
  <si>
    <t>0.03993 (0.00199)</t>
  </si>
  <si>
    <t>0.00287 (0.00017)</t>
  </si>
  <si>
    <t>bmrD</t>
  </si>
  <si>
    <t>efflux ABC transporter (ATP-binding subunit)</t>
  </si>
  <si>
    <t>0.10215 (0.06097)</t>
  </si>
  <si>
    <t>0.07256 (0.05425)</t>
  </si>
  <si>
    <t>0.01189 (0.00050)</t>
  </si>
  <si>
    <t>0.04068 (0.00186)</t>
  </si>
  <si>
    <t>0.00364 (0.00019)</t>
  </si>
  <si>
    <t>yheG</t>
  </si>
  <si>
    <t>putative NADH-flavin oxidoreductase</t>
  </si>
  <si>
    <t>0.56745 (0.17059)</t>
  </si>
  <si>
    <t>0.55844 (0.28587)</t>
  </si>
  <si>
    <t>0.01178 (0.00041)</t>
  </si>
  <si>
    <t>0.01894 (0.00097)</t>
  </si>
  <si>
    <t>0.00965 (0.00034)</t>
  </si>
  <si>
    <t>yheF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</si>
  <si>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</si>
  <si>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0.87333 (0.08198)</t>
  </si>
  <si>
    <t>1.58214 (2.72280)</t>
  </si>
  <si>
    <t>0.47417 (0.32030)</t>
  </si>
  <si>
    <t>0.03500 (0.00446)</t>
  </si>
  <si>
    <t>0.05071 (0.00846)</t>
  </si>
  <si>
    <t>0.03181 (0.00486)</t>
  </si>
  <si>
    <t>sspB</t>
  </si>
  <si>
    <t>small acid-soluble spore protein (beta-typeSASP)</t>
  </si>
  <si>
    <t>0.03420 (0.09855)</t>
  </si>
  <si>
    <t>0.01266 (0.00067)</t>
  </si>
  <si>
    <t>0.05168 (0.00321)</t>
  </si>
  <si>
    <t>0.00119 (0.00034)</t>
  </si>
  <si>
    <t>yheE</t>
  </si>
  <si>
    <t>conserved hypothetical protein (sporulation /germination island)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</si>
  <si>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</si>
  <si>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0.63708 (0.09948)</t>
  </si>
  <si>
    <t>0.07325 (0.10127)</t>
  </si>
  <si>
    <t>0.20765 (0.18522)</t>
  </si>
  <si>
    <t>0.02525 (0.00197)</t>
  </si>
  <si>
    <t>0.08123 (0.00730)</t>
  </si>
  <si>
    <t>0.01209 (0.00126)</t>
  </si>
  <si>
    <t>spaD</t>
  </si>
  <si>
    <t>spore coat associated protein</t>
  </si>
  <si>
    <t>0.06004 (0.02929)</t>
  </si>
  <si>
    <t>0.07488 (0.04554)</t>
  </si>
  <si>
    <t>0.01039 (0.00043)</t>
  </si>
  <si>
    <t>0.03759 (0.00162)</t>
  </si>
  <si>
    <t>0.00252 (0.00017)</t>
  </si>
  <si>
    <t>spaC</t>
  </si>
  <si>
    <t>spore coat associated protein, subunit C</t>
  </si>
  <si>
    <t>0.10237 (0.07159)</t>
  </si>
  <si>
    <t>0.02651 (0.02782)</t>
  </si>
  <si>
    <t>0.00881 (0.00032)</t>
  </si>
  <si>
    <t>0.03276 (0.00121)</t>
  </si>
  <si>
    <t>0.00199 (0.00017)</t>
  </si>
  <si>
    <t>yheB</t>
  </si>
  <si>
    <t>0.10383 (0.06061)</t>
  </si>
  <si>
    <t>0.12638 (0.06317)</t>
  </si>
  <si>
    <t>0.01006 (0.00035)</t>
  </si>
  <si>
    <t>0.03143 (0.00123)</t>
  </si>
  <si>
    <t>0.00394 (0.00017)</t>
  </si>
  <si>
    <t>yheA</t>
  </si>
  <si>
    <t>0.06335 (0.08514)</t>
  </si>
  <si>
    <t>0.03279 (0.06482)</t>
  </si>
  <si>
    <t>0.02193 (0.00149)</t>
  </si>
  <si>
    <t>0.10496 (0.00751)</t>
  </si>
  <si>
    <t>0.00322 (0.00049)</t>
  </si>
  <si>
    <t>yhaZ</t>
  </si>
  <si>
    <t>0.41772 (0.25932)</t>
  </si>
  <si>
    <t>0.15876 (0.13078)</t>
  </si>
  <si>
    <t>0.01198 (0.00054)</t>
  </si>
  <si>
    <t>0.02735 (0.00168)</t>
  </si>
  <si>
    <t>0.00790 (0.00040)</t>
  </si>
  <si>
    <t>yhaX</t>
  </si>
  <si>
    <t>0.02558 (0.09355)</t>
  </si>
  <si>
    <t>0.01222 (0.00158)</t>
  </si>
  <si>
    <t>0.05434 (0.00690)</t>
  </si>
  <si>
    <t>0.00100 (0.00028)</t>
  </si>
  <si>
    <t>hemZ</t>
  </si>
  <si>
    <t>coproporphyrinogen III oxidase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</si>
  <si>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</si>
  <si>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0.06920 (0.14182)</t>
  </si>
  <si>
    <t>0.02806 (0.03296)</t>
  </si>
  <si>
    <t>0.01467 (0.00110)</t>
  </si>
  <si>
    <t>0.05900 (0.00449)</t>
  </si>
  <si>
    <t>0.00317 (0.00033)</t>
  </si>
  <si>
    <t>khtU</t>
  </si>
  <si>
    <t>proton/potassium antiporter; methylglyoxalresistance</t>
  </si>
  <si>
    <t>0.08200 (0.13665)</t>
  </si>
  <si>
    <t>0.05764 (0.06036)</t>
  </si>
  <si>
    <t>0.01410 (0.00085)</t>
  </si>
  <si>
    <t>0.04729 (0.00334)</t>
  </si>
  <si>
    <t>0.00368 (0.00020)</t>
  </si>
  <si>
    <t>khtT</t>
  </si>
  <si>
    <t>K+/H+ antiporter for K+ efflux</t>
  </si>
  <si>
    <t>0.03450 (0.04124)</t>
  </si>
  <si>
    <t>0.01075 (0.00064)</t>
  </si>
  <si>
    <t>0.04606 (0.00329)</t>
  </si>
  <si>
    <t>0.00130 (0.00028)</t>
  </si>
  <si>
    <t>khtS</t>
  </si>
  <si>
    <t>0.21782 (0.09935)</t>
  </si>
  <si>
    <t>0.30545 (0.34700)</t>
  </si>
  <si>
    <t>0.02475 (0.00154)</t>
  </si>
  <si>
    <t>0.05450 (0.00347)</t>
  </si>
  <si>
    <t>0.01648 (0.00113)</t>
  </si>
  <si>
    <t>yhaR</t>
  </si>
  <si>
    <t>putative dehydratase / isomerase</t>
  </si>
  <si>
    <t>0.10531 (0.07895)</t>
  </si>
  <si>
    <t>0.16629 (0.11243)</t>
  </si>
  <si>
    <t>0.01109 (0.00048)</t>
  </si>
  <si>
    <t>0.03192 (0.00173)</t>
  </si>
  <si>
    <t>0.00507 (0.00027)</t>
  </si>
  <si>
    <t>yhzD</t>
  </si>
  <si>
    <t>0.36331 (0.33162)</t>
  </si>
  <si>
    <t>0.01429 (0.00152)</t>
  </si>
  <si>
    <t>0.02255 (0.00544)</t>
  </si>
  <si>
    <t>0.01231 (0.00130)</t>
  </si>
  <si>
    <t>yhaQ</t>
  </si>
  <si>
    <t>Na+-dependent efflux ABC transporter(ATP-binding protein)</t>
  </si>
  <si>
    <t>0.05052 (0.04529)</t>
  </si>
  <si>
    <t>0.02217 (0.03129)</t>
  </si>
  <si>
    <t>0.02430 (0.00134)</t>
  </si>
  <si>
    <t>0.10520 (0.00626)</t>
  </si>
  <si>
    <t>0.00400 (0.00038)</t>
  </si>
  <si>
    <t>yhaP</t>
  </si>
  <si>
    <t>Na+-dependent exporter (ABC permease)</t>
  </si>
  <si>
    <t>0.04553 (0.03557)</t>
  </si>
  <si>
    <t>0.01387 (0.03860)</t>
  </si>
  <si>
    <t>0.03856 (0.00143)</t>
  </si>
  <si>
    <t>0.00113 (0.00011)</t>
  </si>
  <si>
    <t>yhaO</t>
  </si>
  <si>
    <t>putative DNA repair exonuclease</t>
  </si>
  <si>
    <t>0.16640 (0.07456)</t>
  </si>
  <si>
    <t>0.17122 (0.06200)</t>
  </si>
  <si>
    <t>0.01240 (0.00066)</t>
  </si>
  <si>
    <t>0.03574 (0.00226)</t>
  </si>
  <si>
    <t>0.00605 (0.00032)</t>
  </si>
  <si>
    <t>sbcE</t>
  </si>
  <si>
    <t>ATPase involved in DNA double strand breakrepair and recombination</t>
  </si>
  <si>
    <t>0.19079 (0.07763)</t>
  </si>
  <si>
    <t>0.16353 (0.10887)</t>
  </si>
  <si>
    <t>0.01429 (0.00049)</t>
  </si>
  <si>
    <t>0.04103 (0.00144)</t>
  </si>
  <si>
    <t>0.00713 (0.00029)</t>
  </si>
  <si>
    <t>yhaM</t>
  </si>
  <si>
    <t>3'-5' exonuclease</t>
  </si>
  <si>
    <t>0.01026 (0.00038)</t>
  </si>
  <si>
    <t>0.04729 (0.00181)</t>
  </si>
  <si>
    <t>yhaL</t>
  </si>
  <si>
    <t>sporulation factor</t>
  </si>
  <si>
    <t>0.09420 (0.08040)</t>
  </si>
  <si>
    <t>0.01243 (0.00082)</t>
  </si>
  <si>
    <t>0.05570 (0.00423)</t>
  </si>
  <si>
    <t>0.00264 (0.00046)</t>
  </si>
  <si>
    <t>prsA</t>
  </si>
  <si>
    <t>molecular chaperone lipoprotein</t>
  </si>
  <si>
    <t>ref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GCA_002142595.1_ASM214259v1_genomic</t>
  </si>
  <si>
    <t>0.13871 (0.12043)</t>
  </si>
  <si>
    <t>0.06166 (0.02269)</t>
  </si>
  <si>
    <t>0.01734 (0.00159)</t>
  </si>
  <si>
    <t>0.06295 (0.00530)</t>
  </si>
  <si>
    <t>0.00589 (0.00080)</t>
  </si>
  <si>
    <t>yhaJ</t>
  </si>
  <si>
    <t>putative membrane enzyme</t>
  </si>
  <si>
    <t>0.06925 (0.10643)</t>
  </si>
  <si>
    <t>0.01699 (0.00246)</t>
  </si>
  <si>
    <t>0.06714 (0.01140)</t>
  </si>
  <si>
    <t>0.00360 (0.00033)</t>
  </si>
  <si>
    <t>yhaI</t>
  </si>
  <si>
    <t>0.06553 (0.06977)</t>
  </si>
  <si>
    <t>0.07906 (0.06350)</t>
  </si>
  <si>
    <t>0.02648 (0.00188)</t>
  </si>
  <si>
    <t>0.10326 (0.00810)</t>
  </si>
  <si>
    <t>0.00845 (0.00086)</t>
  </si>
  <si>
    <t>scoC</t>
  </si>
  <si>
    <t>transcriptional regulator of extracellularprotease production, sporulation and bacilysin production(MarR family)</t>
  </si>
  <si>
    <t>0.03153 (0.03278)</t>
  </si>
  <si>
    <t>0.02070 (0.03590)</t>
  </si>
  <si>
    <t>0.01786 (0.00111)</t>
  </si>
  <si>
    <t>0.08942 (0.00594)</t>
  </si>
  <si>
    <t>0.00147 (0.00016)</t>
  </si>
  <si>
    <t>yhaH</t>
  </si>
  <si>
    <t>putative membrane protein; acid toleranceprotein</t>
  </si>
  <si>
    <t>0.04725 (0.14206)</t>
  </si>
  <si>
    <t>0.06963 (0.09901)</t>
  </si>
  <si>
    <t>0.02688 (0.00185)</t>
  </si>
  <si>
    <t>0.10428 (0.00696)</t>
  </si>
  <si>
    <t>0.00739 (0.00074)</t>
  </si>
  <si>
    <t>yhzF</t>
  </si>
  <si>
    <t>membrane protein of unknown function</t>
  </si>
  <si>
    <t>0.20231 (0.12902)</t>
  </si>
  <si>
    <t>0.20281 (0.13301)</t>
  </si>
  <si>
    <t>0.02781 (0.00132)</t>
  </si>
  <si>
    <t>0.07462 (0.00415)</t>
  </si>
  <si>
    <t>0.01270 (0.00093)</t>
  </si>
  <si>
    <t>trpP</t>
  </si>
  <si>
    <t>tryptophan transporter or sensor</t>
  </si>
  <si>
    <t>0.08424 (0.05533)</t>
  </si>
  <si>
    <t>0.01985 (0.05130)</t>
  </si>
  <si>
    <t>0.01478 (0.00068)</t>
  </si>
  <si>
    <t>0.05272 (0.00240)</t>
  </si>
  <si>
    <t>0.00255 (0.00030)</t>
  </si>
  <si>
    <t>serC</t>
  </si>
  <si>
    <t>phosphoserine aminotransferase</t>
  </si>
  <si>
    <t>0.14777 (0.02997)</t>
  </si>
  <si>
    <t>0.04319 (0.07189)</t>
  </si>
  <si>
    <t>0.01338 (0.00044)</t>
  </si>
  <si>
    <t>0.04762 (0.00185)</t>
  </si>
  <si>
    <t>0.00416 (0.00020)</t>
  </si>
  <si>
    <t>hinT</t>
  </si>
  <si>
    <t>promiscuous Hit-family phosphohydrolase,adenosine phosphoramidase</t>
  </si>
  <si>
    <t>0.11423 (0.10259)</t>
  </si>
  <si>
    <t>0.00728 (0.00046)</t>
  </si>
  <si>
    <t>0.02870 (0.00200)</t>
  </si>
  <si>
    <t>0.00132 (0.00027)</t>
  </si>
  <si>
    <t>ecsA</t>
  </si>
  <si>
    <t>ABC transporter (ATP-binding protein)</t>
  </si>
  <si>
    <t>0.11334 (0.07296)</t>
  </si>
  <si>
    <t>0.00619 (0.01915)</t>
  </si>
  <si>
    <t>0.02436 (0.00157)</t>
  </si>
  <si>
    <t>0.10954 (0.00745)</t>
  </si>
  <si>
    <t>0.00206 (0.00019)</t>
  </si>
  <si>
    <t>ecsB</t>
  </si>
  <si>
    <t>ABC transporter (permease subunit)</t>
  </si>
  <si>
    <t>0.14568 (0.05874)</t>
  </si>
  <si>
    <t>0.04613 (0.07143)</t>
  </si>
  <si>
    <t>0.01059 (0.00034)</t>
  </si>
  <si>
    <t>0.03463 (0.00122)</t>
  </si>
  <si>
    <t>0.00308 (0.00017)</t>
  </si>
  <si>
    <t>ecsC</t>
  </si>
  <si>
    <t>0.15819 (0.05456)</t>
  </si>
  <si>
    <t>0.09527 (0.07187)</t>
  </si>
  <si>
    <t>0.01558 (0.00044)</t>
  </si>
  <si>
    <t>0.05204 (0.00167)</t>
  </si>
  <si>
    <t>0.00567 (0.00027)</t>
  </si>
  <si>
    <t>sndC</t>
  </si>
  <si>
    <t>N-acetyl amino acid acetylase, promiscuousactivity</t>
  </si>
  <si>
    <t>0.17709 (0.04373)</t>
  </si>
  <si>
    <t>0.03523 (0.02912)</t>
  </si>
  <si>
    <t>0.01499 (0.00044)</t>
  </si>
  <si>
    <t>0.04838 (0.00157)</t>
  </si>
  <si>
    <t>0.00527 (0.00020)</t>
  </si>
  <si>
    <t>yhfA</t>
  </si>
  <si>
    <t>0.11261 (0.06458)</t>
  </si>
  <si>
    <t>0.10875 (0.04308)</t>
  </si>
  <si>
    <t>0.01054 (0.00033)</t>
  </si>
  <si>
    <t>0.03098 (0.00103)</t>
  </si>
  <si>
    <t>0.00382 (0.00016)</t>
  </si>
  <si>
    <t>hmoB</t>
  </si>
  <si>
    <t>0.29314 (0.09442)</t>
  </si>
  <si>
    <t>0.14739 (0.07369)</t>
  </si>
  <si>
    <t>0.01216 (0.00072)</t>
  </si>
  <si>
    <t>0.03210 (0.00264)</t>
  </si>
  <si>
    <t>0.00654 (0.00033)</t>
  </si>
  <si>
    <t>pbpF</t>
  </si>
  <si>
    <t>penicillin-binding protein 2C (1F class)required for spore germination</t>
  </si>
  <si>
    <t>0.07279 (0.04333)</t>
  </si>
  <si>
    <t>0.04240 (0.02362)</t>
  </si>
  <si>
    <t>0.01299 (0.00042)</t>
  </si>
  <si>
    <t>0.04655 (0.00162)</t>
  </si>
  <si>
    <t>0.00312 (0.00013)</t>
  </si>
  <si>
    <t>hemE</t>
  </si>
  <si>
    <t>uroporphyrinogen III decarboxylase</t>
  </si>
  <si>
    <t>0.08460 (0.02405)</t>
  </si>
  <si>
    <t>0.06327 (0.08447)</t>
  </si>
  <si>
    <t>0.02256 (0.00150)</t>
  </si>
  <si>
    <t>0.08502 (0.00682)</t>
  </si>
  <si>
    <t>0.00633 (0.00026)</t>
  </si>
  <si>
    <t>hemH</t>
  </si>
  <si>
    <t>ferrochelatase</t>
  </si>
  <si>
    <t>0.09485 (0.05328)</t>
  </si>
  <si>
    <t>0.02856 (0.07353)</t>
  </si>
  <si>
    <t>0.00786 (0.00027)</t>
  </si>
  <si>
    <t>0.02858 (0.00107)</t>
  </si>
  <si>
    <t>0.00209 (0.00014)</t>
  </si>
  <si>
    <t>hemY</t>
  </si>
  <si>
    <t>promiscuous protoporphyrinogen IX andcoproporphyrinogen III oxidase</t>
  </si>
  <si>
    <t>0.07937 (0.04049)</t>
  </si>
  <si>
    <t>0.03485 (0.04863)</t>
  </si>
  <si>
    <t>0.01376 (0.00070)</t>
  </si>
  <si>
    <t>0.05076 (0.00296)</t>
  </si>
  <si>
    <t>0.00306 (0.00014)</t>
  </si>
  <si>
    <t>yhgD</t>
  </si>
  <si>
    <t>transcriptional regulator of unknown target</t>
  </si>
  <si>
    <t>0.08634 (0.15013)</t>
  </si>
  <si>
    <t>0.11053 (0.23463)</t>
  </si>
  <si>
    <t>0.01369 (0.00161)</t>
  </si>
  <si>
    <t>0.05337 (0.00782)</t>
  </si>
  <si>
    <t>0.00413 (0.00036)</t>
  </si>
  <si>
    <t>yhgE</t>
  </si>
  <si>
    <t>putative methyl-accepting 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</si>
  <si>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</t>
  </si>
  <si>
    <t>0.07003 (0.10235)</t>
  </si>
  <si>
    <t>0.14193 (0.15451)</t>
  </si>
  <si>
    <t>0.02982 (0.00157)</t>
  </si>
  <si>
    <t>0.09545 (0.00465)</t>
  </si>
  <si>
    <t>0.01278 (0.00087)</t>
  </si>
  <si>
    <t>fabHB</t>
  </si>
  <si>
    <t>beta-ketoacyl-acyl carrier protein synthase III2</t>
  </si>
  <si>
    <t>0.07933 (0.07762)</t>
  </si>
  <si>
    <t>0.03709 (0.10080)</t>
  </si>
  <si>
    <t>0.01569 (0.00094)</t>
  </si>
  <si>
    <t>0.05674 (0.00363)</t>
  </si>
  <si>
    <t>0.00360 (0.00034)</t>
  </si>
  <si>
    <t>yhfC</t>
  </si>
  <si>
    <t>0.19716 (0.09733)</t>
  </si>
  <si>
    <t>0.09966 (0.03285)</t>
  </si>
  <si>
    <t>0.01875 (0.00075)</t>
  </si>
  <si>
    <t>0.05571 (0.00264)</t>
  </si>
  <si>
    <t>0.00762 (0.00049)</t>
  </si>
  <si>
    <t>yhfE</t>
  </si>
  <si>
    <t>putative aminopeptidase</t>
  </si>
  <si>
    <t>0.04017 (0.05358)</t>
  </si>
  <si>
    <t>0.02671 (0.03518)</t>
  </si>
  <si>
    <t>0.01927 (0.00148)</t>
  </si>
  <si>
    <t>0.07945 (0.00703)</t>
  </si>
  <si>
    <t>0.00256 (0.00017)</t>
  </si>
  <si>
    <t>yhfF</t>
  </si>
  <si>
    <t>putative RNA-binding PUA-containing enzyme</t>
  </si>
  <si>
    <t>0.49872 (0.35622)</t>
  </si>
  <si>
    <t>0.10942 (0.09625)</t>
  </si>
  <si>
    <t>0.01526 (0.00088)</t>
  </si>
  <si>
    <t>0.04522 (0.00317)</t>
  </si>
  <si>
    <t>0.00749 (0.00052)</t>
  </si>
  <si>
    <t>gltT</t>
  </si>
  <si>
    <t>proton/sodium-glutamate (aspartate) symportpermease</t>
  </si>
  <si>
    <t>0.02157 (0.03358)</t>
  </si>
  <si>
    <t>0.02726 (0.11168)</t>
  </si>
  <si>
    <t>0.01509 (0.00166)</t>
  </si>
  <si>
    <t>0.06235 (0.00701)</t>
  </si>
  <si>
    <t>0.00152 (0.00021)</t>
  </si>
  <si>
    <t>yhfH</t>
  </si>
  <si>
    <t>0.05489 (0.04936)</t>
  </si>
  <si>
    <t>0.03778 (0.00496)</t>
  </si>
  <si>
    <t>0.20539 (0.02741)</t>
  </si>
  <si>
    <t>0.00552 (0.00131)</t>
  </si>
  <si>
    <t>yhfI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</si>
  <si>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GCA_002096095.1_ASM209609v1_genomic , GCA_002142595.1_ASM214259v1_genomic , GCA_002163815.1_ASM216381v1_genomic , GCA_002173615.1_ASM217361v1_genomic</t>
  </si>
  <si>
    <t>0.08264 (0.04331)</t>
  </si>
  <si>
    <t>0.05919 (0.06736)</t>
  </si>
  <si>
    <t>0.02590 (0.00166)</t>
  </si>
  <si>
    <t>0.09866 (0.00678)</t>
  </si>
  <si>
    <t>0.00598 (0.00043)</t>
  </si>
  <si>
    <t>lplJ</t>
  </si>
  <si>
    <t>lipoate-protein ligase</t>
  </si>
  <si>
    <t>0.06454 (0.02809)</t>
  </si>
  <si>
    <t>0.01409 (0.03864)</t>
  </si>
  <si>
    <t>0.01073 (0.00037)</t>
  </si>
  <si>
    <t>0.04494 (0.00165)</t>
  </si>
  <si>
    <t>0.00189 (0.00015)</t>
  </si>
  <si>
    <t>yhfK</t>
  </si>
  <si>
    <t>putative NAD-binding epimerase / hydratase</t>
  </si>
  <si>
    <t>0.21616 (0.09299)</t>
  </si>
  <si>
    <t>0.14610 (0.06447)</t>
  </si>
  <si>
    <t>0.01462 (0.00058)</t>
  </si>
  <si>
    <t>0.03958 (0.00194)</t>
  </si>
  <si>
    <t>0.00708 (0.00032)</t>
  </si>
  <si>
    <t>lcfB</t>
  </si>
  <si>
    <t>long-chain fatty-acid-CoA ligase (degradative)</t>
  </si>
  <si>
    <t>0.13430 (0.04782)</t>
  </si>
  <si>
    <t>0.07275 (0.05602)</t>
  </si>
  <si>
    <t>0.01218 (0.00036)</t>
  </si>
  <si>
    <t>0.04136 (0.00125)</t>
  </si>
  <si>
    <t>0.00379 (0.00016)</t>
  </si>
  <si>
    <t>yhfM</t>
  </si>
  <si>
    <t>0.12186 (0.20023)</t>
  </si>
  <si>
    <t>0.06839 (0.10259)</t>
  </si>
  <si>
    <t>0.01555 (0.00176)</t>
  </si>
  <si>
    <t>0.05444 (0.00670)</t>
  </si>
  <si>
    <t>0.00600 (0.00067)</t>
  </si>
  <si>
    <t>yhfN</t>
  </si>
  <si>
    <t>putative membrane metalloprotease</t>
  </si>
  <si>
    <t>0.11905 (0.05308)</t>
  </si>
  <si>
    <t>0.06823 (0.07387)</t>
  </si>
  <si>
    <t>0.01369 (0.00051)</t>
  </si>
  <si>
    <t>0.04694 (0.00160)</t>
  </si>
  <si>
    <t>0.00409 (0.00025)</t>
  </si>
  <si>
    <t>aprE</t>
  </si>
  <si>
    <t>serine alkaline protease (Ca(2+)-dependentsubtilisin E)</t>
  </si>
  <si>
    <t>0.04611 (0.03642)</t>
  </si>
  <si>
    <t>0.05983 (0.03824)</t>
  </si>
  <si>
    <t>0.02473 (0.00088)</t>
  </si>
  <si>
    <t>0.09170 (0.00325)</t>
  </si>
  <si>
    <t>0.00546 (0.00025)</t>
  </si>
  <si>
    <t>yhfO</t>
  </si>
  <si>
    <t>0.39718 (0.15723)</t>
  </si>
  <si>
    <t>0.19980 (0.05706)</t>
  </si>
  <si>
    <t>0.02956 (0.00104)</t>
  </si>
  <si>
    <t>0.07598 (0.00307)</t>
  </si>
  <si>
    <t>0.01699 (0.00075)</t>
  </si>
  <si>
    <t>yhfP</t>
  </si>
  <si>
    <t>0.11655 (0.05390)</t>
  </si>
  <si>
    <t>0.01006 (0.00030)</t>
  </si>
  <si>
    <t>0.03616 (0.00117)</t>
  </si>
  <si>
    <t>0.00152 (0.00012)</t>
  </si>
  <si>
    <t>yhfQ</t>
  </si>
  <si>
    <t>iron(III) siderophore-binding lipoprotein</t>
  </si>
  <si>
    <t>0.09133 (0.05506)</t>
  </si>
  <si>
    <t>0.07869 (0.05383)</t>
  </si>
  <si>
    <t>0.01085 (0.00044)</t>
  </si>
  <si>
    <t>0.03844 (0.00153)</t>
  </si>
  <si>
    <t>0.00302 (0.00022)</t>
  </si>
  <si>
    <t>phoE</t>
  </si>
  <si>
    <t>promiscuous phosphatase; putative(phosphoglycerate) mutase</t>
  </si>
  <si>
    <t>0.09404 (0.06721)</t>
  </si>
  <si>
    <t>0.03502 (0.04486)</t>
  </si>
  <si>
    <t>0.01620 (0.00111)</t>
  </si>
  <si>
    <t>0.06978 (0.00529)</t>
  </si>
  <si>
    <t>0.00209 (0.00023)</t>
  </si>
  <si>
    <t>yhfS</t>
  </si>
  <si>
    <t>acetyl-CoA C-acetyltransferase</t>
  </si>
  <si>
    <t>0.24974 (0.05154)</t>
  </si>
  <si>
    <t>0.12154 (0.06375)</t>
  </si>
  <si>
    <t>0.02636 (0.00081)</t>
  </si>
  <si>
    <t>0.07484 (0.00273)</t>
  </si>
  <si>
    <t>0.01174 (0.00039)</t>
  </si>
  <si>
    <t>yhfT</t>
  </si>
  <si>
    <t>putative long-chain fatty-acid-CoA ligase(proofreading for biotin synthesis)</t>
  </si>
  <si>
    <t>0.31063 (0.24125)</t>
  </si>
  <si>
    <t>0.21565 (0.04698)</t>
  </si>
  <si>
    <t>0.02461 (0.00100)</t>
  </si>
  <si>
    <t>0.06155 (0.00261)</t>
  </si>
  <si>
    <t>0.01428 (0.00063)</t>
  </si>
  <si>
    <t>bioY</t>
  </si>
  <si>
    <t>biotin transporter</t>
  </si>
  <si>
    <t>0.17626 (0.11429)</t>
  </si>
  <si>
    <t>0.03661 (0.08475)</t>
  </si>
  <si>
    <t>0.01076 (0.00052)</t>
  </si>
  <si>
    <t>0.03459 (0.00201)</t>
  </si>
  <si>
    <t>0.00321 (0.00022)</t>
  </si>
  <si>
    <t>hemAT</t>
  </si>
  <si>
    <t>heme-based dioxygen sensor</t>
  </si>
  <si>
    <t>0.08908 (0.05161)</t>
  </si>
  <si>
    <t>0.04479 (0.04066)</t>
  </si>
  <si>
    <t>0.01104 (0.00061)</t>
  </si>
  <si>
    <t>0.04311 (0.00239)</t>
  </si>
  <si>
    <t>0.00276 (0.00019)</t>
  </si>
  <si>
    <t>yhfW</t>
  </si>
  <si>
    <t>putative oxidoreductase with Rieske [2Fe-2S]center</t>
  </si>
  <si>
    <t>0.14199 (0.08934)</t>
  </si>
  <si>
    <t>0.13312 (0.06353)</t>
  </si>
  <si>
    <t>0.01234 (0.00055)</t>
  </si>
  <si>
    <t>0.03924 (0.00174)</t>
  </si>
  <si>
    <t>0.00472 (0.00030)</t>
  </si>
  <si>
    <t>yhxC</t>
  </si>
  <si>
    <t>0.03935 (0.03248)</t>
  </si>
  <si>
    <t>0.02200 (0.05493)</t>
  </si>
  <si>
    <t>0.00976 (0.00045)</t>
  </si>
  <si>
    <t>0.03777 (0.00182)</t>
  </si>
  <si>
    <t>0.00143 (0.00013)</t>
  </si>
  <si>
    <t>yhzC</t>
  </si>
  <si>
    <t>0.25734 (0.20043)</t>
  </si>
  <si>
    <t>0.19160 (0.08837)</t>
  </si>
  <si>
    <t>0.02134 (0.00221)</t>
  </si>
  <si>
    <t>0.06082 (0.00604)</t>
  </si>
  <si>
    <t>0.01202 (0.00145)</t>
  </si>
  <si>
    <t>comK</t>
  </si>
  <si>
    <t>competence transcription factor (CTF)</t>
  </si>
  <si>
    <t>0.02928 (0.04199)</t>
  </si>
  <si>
    <t>0.04302 (0.12414)</t>
  </si>
  <si>
    <t>0.01253 (0.00046)</t>
  </si>
  <si>
    <t>0.05370 (0.00206)</t>
  </si>
  <si>
    <t>0.00157 (0.00019)</t>
  </si>
  <si>
    <t>yhxD</t>
  </si>
  <si>
    <t>0.07777 (0.08130)</t>
  </si>
  <si>
    <t>0.10963 (0.05340)</t>
  </si>
  <si>
    <t>0.01538 (0.00088)</t>
  </si>
  <si>
    <t>0.04804 (0.00248)</t>
  </si>
  <si>
    <t>0.00519 (0.00048)</t>
  </si>
  <si>
    <t>yhjA</t>
  </si>
  <si>
    <t>0.30063 (0.19806)</t>
  </si>
  <si>
    <t>0.14924 (0.04421)</t>
  </si>
  <si>
    <t>0.02845 (0.00181)</t>
  </si>
  <si>
    <t>0.07792 (0.00574)</t>
  </si>
  <si>
    <t>0.01501 (0.00097)</t>
  </si>
  <si>
    <t>yhjB</t>
  </si>
  <si>
    <t>putative Na+/metabolite cotransporter</t>
  </si>
  <si>
    <t>0.07090 (0.04316)</t>
  </si>
  <si>
    <t>0.05176 (0.02405)</t>
  </si>
  <si>
    <t>0.01793 (0.00069)</t>
  </si>
  <si>
    <t>0.06094 (0.00231)</t>
  </si>
  <si>
    <t>0.00409 (0.00024)</t>
  </si>
  <si>
    <t>yhjC</t>
  </si>
  <si>
    <t>0.08660 (0.10645)</t>
  </si>
  <si>
    <t>0.04061 (0.04415)</t>
  </si>
  <si>
    <t>0.02564 (0.00245)</t>
  </si>
  <si>
    <t>0.10269 (0.01147)</t>
  </si>
  <si>
    <t>0.00510 (0.00064)</t>
  </si>
  <si>
    <t>yhjD</t>
  </si>
  <si>
    <t>0.65661 (0.10987)</t>
  </si>
  <si>
    <t>0.09127 (0.10244)</t>
  </si>
  <si>
    <t>0.01235 (0.00078)</t>
  </si>
  <si>
    <t>0.05015 (0.00326)</t>
  </si>
  <si>
    <t>0.00238 (0.00051)</t>
  </si>
  <si>
    <t>yhjE</t>
  </si>
  <si>
    <t>0.07771 (0.08350)</t>
  </si>
  <si>
    <t>0.06832 (0.07597)</t>
  </si>
  <si>
    <t>0.02382 (0.00159)</t>
  </si>
  <si>
    <t>0.08662 (0.00580)</t>
  </si>
  <si>
    <t>0.00574 (0.00050)</t>
  </si>
  <si>
    <t>sipV</t>
  </si>
  <si>
    <t>0.03642 (0.04757)</t>
  </si>
  <si>
    <t>0.06689 (0.00000)</t>
  </si>
  <si>
    <t>0.02589 (0.00390)</t>
  </si>
  <si>
    <t>0.10950 (0.01623)</t>
  </si>
  <si>
    <t>0.00530 (0.00110)</t>
  </si>
  <si>
    <t>yhjG</t>
  </si>
  <si>
    <t>putative aromatic compound</t>
  </si>
  <si>
    <t>0.19729 (0.13567)</t>
  </si>
  <si>
    <t>0.11191 (0.03386)</t>
  </si>
  <si>
    <t>0.02228 (0.00075)</t>
  </si>
  <si>
    <t>0.06256 (0.00244)</t>
  </si>
  <si>
    <t>0.01012 (0.00033)</t>
  </si>
  <si>
    <t>yhjH</t>
  </si>
  <si>
    <t>0.04249 (0.05544)</t>
  </si>
  <si>
    <t>0.06923 (0.13158)</t>
  </si>
  <si>
    <t>0.00792 (0.00036)</t>
  </si>
  <si>
    <t>0.03158 (0.00161)</t>
  </si>
  <si>
    <t>0.00156 (0.00018)</t>
  </si>
  <si>
    <t>glcP</t>
  </si>
  <si>
    <t>glucose/mannose:H+ symporter (recent HGTisland)</t>
  </si>
  <si>
    <t>0.08860 (0.04902)</t>
  </si>
  <si>
    <t>0.05787 (0.03163)</t>
  </si>
  <si>
    <t>0.01327 (0.00040)</t>
  </si>
  <si>
    <t>0.04715 (0.00153)</t>
  </si>
  <si>
    <t>0.00384 (0.00020)</t>
  </si>
  <si>
    <t>ntdC</t>
  </si>
  <si>
    <t>biosynthesis of neotrehalosadiamine(3,3'-diamino-3,3'-dideoxy-alpha,beta-trehalose),glucose-6-P 3-dehydrogenase; kanosamine biosynthesis(recent HGT island)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</si>
  <si>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</si>
  <si>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0.08646 (0.06289)</t>
  </si>
  <si>
    <t>0.07937 (0.11755)</t>
  </si>
  <si>
    <t>0.02154 (0.00131)</t>
  </si>
  <si>
    <t>0.08294 (0.00491)</t>
  </si>
  <si>
    <t>0.00709 (0.00056)</t>
  </si>
  <si>
    <t>ntdB</t>
  </si>
  <si>
    <t>biosynthesis of neotrehalosadiamine(3,3'-diamino-3,3'-dideoxy-alpha,beta-trehalose);kanosamine-6-phosphate phosphatase (recentHGT island)</t>
  </si>
  <si>
    <t>0.10852 (0.02451)</t>
  </si>
  <si>
    <t>0.09453 (0.03583)</t>
  </si>
  <si>
    <t>0.01416 (0.00048)</t>
  </si>
  <si>
    <t>0.05369 (0.00218)</t>
  </si>
  <si>
    <t>0.00450 (0.00020)</t>
  </si>
  <si>
    <t>ntdA</t>
  </si>
  <si>
    <t>biosynthesis of neotrehalosadiamine(3,3'-diamino-3,3'-dideoxy-alpha,beta-trehalose);3-oxo-glucose-6-phosphate:glutamateaminotransferase; kanosamine aminotransferase (recent HGTisland)</t>
  </si>
  <si>
    <t>0.21692 (0.08026)</t>
  </si>
  <si>
    <t>0.15650 (0.35889)</t>
  </si>
  <si>
    <t>0.01824 (0.00145)</t>
  </si>
  <si>
    <t>0.05492 (0.00431)</t>
  </si>
  <si>
    <t>0.00937 (0.00083)</t>
  </si>
  <si>
    <t>ntdR</t>
  </si>
  <si>
    <t>transcriptional regulator of the ntd operon(NtdR-NTD) (recent HGT island)</t>
  </si>
  <si>
    <t>0.11694 (0.03814)</t>
  </si>
  <si>
    <t>0.12308 (0.14260)</t>
  </si>
  <si>
    <t>0.02178 (0.00124)</t>
  </si>
  <si>
    <t>0.07410 (0.00391)</t>
  </si>
  <si>
    <t>0.00894 (0.00068)</t>
  </si>
  <si>
    <t>yhjN</t>
  </si>
  <si>
    <t>putative integral inner membrane protein (recentHGT island)</t>
  </si>
  <si>
    <t>0.10252 (0.04500)</t>
  </si>
  <si>
    <t>0.07727 (0.09864)</t>
  </si>
  <si>
    <t>0.00875 (0.00028)</t>
  </si>
  <si>
    <t>0.02777 (0.00110)</t>
  </si>
  <si>
    <t>0.00267 (0.00015)</t>
  </si>
  <si>
    <t>yhjO</t>
  </si>
  <si>
    <t>putative permease (recent HGT island)</t>
  </si>
  <si>
    <t>0.18929 (0.05937)</t>
  </si>
  <si>
    <t>0.17777 (0.10737)</t>
  </si>
  <si>
    <t>0.01854 (0.00066)</t>
  </si>
  <si>
    <t>0.04556 (0.00196)</t>
  </si>
  <si>
    <t>0.00970 (0.00037)</t>
  </si>
  <si>
    <t>yhjP</t>
  </si>
  <si>
    <t>putative transcription factor</t>
  </si>
  <si>
    <t>0.33878 (0.09082)</t>
  </si>
  <si>
    <t>0.28030 (0.06711)</t>
  </si>
  <si>
    <t>0.17337 (0.04325)</t>
  </si>
  <si>
    <t>0.01877 (0.00041)</t>
  </si>
  <si>
    <t>0.05125 (0.00125)</t>
  </si>
  <si>
    <t>0.01003 (0.00031)</t>
  </si>
  <si>
    <t>yhjQ</t>
  </si>
  <si>
    <t>putative metal-chelating cysteine-rich proteinof unknown function</t>
  </si>
  <si>
    <t>0.33255 (0.21069)</t>
  </si>
  <si>
    <t>0.22206 (0.18131)</t>
  </si>
  <si>
    <t>0.01237 (0.00067)</t>
  </si>
  <si>
    <t>0.03738 (0.00218)</t>
  </si>
  <si>
    <t>0.00710 (0.00054)</t>
  </si>
  <si>
    <t>yhjR</t>
  </si>
  <si>
    <t>putative electron carrier protein (putativesporulation gene)</t>
  </si>
  <si>
    <t>0.10017 (0.07573)</t>
  </si>
  <si>
    <t>0.05755 (0.14491)</t>
  </si>
  <si>
    <t>0.01374 (0.00053)</t>
  </si>
  <si>
    <t>0.05074 (0.00209)</t>
  </si>
  <si>
    <t>0.00362 (0.00028)</t>
  </si>
  <si>
    <t>addB</t>
  </si>
  <si>
    <t>ATP-dependent deoxyribonuclease (subunit B)</t>
  </si>
  <si>
    <t>0.10673 (0.05352)</t>
  </si>
  <si>
    <t>0.08417 (0.01818)</t>
  </si>
  <si>
    <t>0.00780 (0.00022)</t>
  </si>
  <si>
    <t>0.02758 (0.00081)</t>
  </si>
  <si>
    <t>0.00220 (0.00007)</t>
  </si>
  <si>
    <t>addA</t>
  </si>
  <si>
    <t>ATP-dependent deoxyribonuclease (subunit A)</t>
  </si>
  <si>
    <t>0.10075 (0.02607)</t>
  </si>
  <si>
    <t>0.06222 (0.03233)</t>
  </si>
  <si>
    <t>0.01219 (0.00028)</t>
  </si>
  <si>
    <t>0.04336 (0.00114)</t>
  </si>
  <si>
    <t>0.00329 (0.00009)</t>
  </si>
  <si>
    <t>sbcD</t>
  </si>
  <si>
    <t>DNA repair exonuclease</t>
  </si>
  <si>
    <t>0.10668 (0.06017)</t>
  </si>
  <si>
    <t>0.14578 (0.11797)</t>
  </si>
  <si>
    <t>0.01096 (0.00035)</t>
  </si>
  <si>
    <t>0.03448 (0.00144)</t>
  </si>
  <si>
    <t>0.00398 (0.00012)</t>
  </si>
  <si>
    <t>sbcC</t>
  </si>
  <si>
    <t>DNA ATP-dependent repair enzyme</t>
  </si>
  <si>
    <t>0.09507 (0.03438)</t>
  </si>
  <si>
    <t>0.13335 (0.03635)</t>
  </si>
  <si>
    <t>0.01402 (0.00043)</t>
  </si>
  <si>
    <t>0.04574 (0.00149)</t>
  </si>
  <si>
    <t>0.00565 (0.00020)</t>
  </si>
  <si>
    <t>hlpB</t>
  </si>
  <si>
    <t>HNH nuclease-like essential for DNA repair</t>
  </si>
  <si>
    <t>0.26843 (0.09997)</t>
  </si>
  <si>
    <t>0.15992 (0.17399)</t>
  </si>
  <si>
    <t>0.01621 (0.00083)</t>
  </si>
  <si>
    <t>0.04362 (0.00287)</t>
  </si>
  <si>
    <t>0.00926 (0.00061)</t>
  </si>
  <si>
    <t>gerPF</t>
  </si>
  <si>
    <t>spore germination protein</t>
  </si>
  <si>
    <t>0.06507 (0.10167)</t>
  </si>
  <si>
    <t>0.12948 (0.04354)</t>
  </si>
  <si>
    <t>0.02094 (0.00217)</t>
  </si>
  <si>
    <t>0.06264 (0.00649)</t>
  </si>
  <si>
    <t>0.00827 (0.00098)</t>
  </si>
  <si>
    <t>gerPE</t>
  </si>
  <si>
    <t>0.05046 (0.09283)</t>
  </si>
  <si>
    <t>0.11009 (0.15209)</t>
  </si>
  <si>
    <t>0.02448 (0.00178)</t>
  </si>
  <si>
    <t>0.08517 (0.00634)</t>
  </si>
  <si>
    <t>0.00803 (0.00065)</t>
  </si>
  <si>
    <t>gerPD</t>
  </si>
  <si>
    <t>0.07993 (0.15192)</t>
  </si>
  <si>
    <t>0.01660 (0.00106)</t>
  </si>
  <si>
    <t>0.05240 (0.00387)</t>
  </si>
  <si>
    <t>0.00578 (0.00073)</t>
  </si>
  <si>
    <t>gerPC</t>
  </si>
  <si>
    <t>0.07138 (0.13806)</t>
  </si>
  <si>
    <t>0.11168 (0.03923)</t>
  </si>
  <si>
    <t>0.01589 (0.00105)</t>
  </si>
  <si>
    <t>0.06687 (0.00431)</t>
  </si>
  <si>
    <t>0.00428 (0.00042)</t>
  </si>
  <si>
    <t>gerPB</t>
  </si>
  <si>
    <t>0.13382 (0.11898)</t>
  </si>
  <si>
    <t>0.01567 (0.00166)</t>
  </si>
  <si>
    <t>0.05413 (0.00584)</t>
  </si>
  <si>
    <t>0.00333 (0.00074)</t>
  </si>
  <si>
    <t>gerPA</t>
  </si>
  <si>
    <t>0.89627 (0.06832)</t>
  </si>
  <si>
    <t>0.15039 (0.21707)</t>
  </si>
  <si>
    <t>0.00685 (0.00093)</t>
  </si>
  <si>
    <t>0.01996 (0.00475)</t>
  </si>
  <si>
    <t>0.00299 (0.00111)</t>
  </si>
  <si>
    <t>yisJ</t>
  </si>
  <si>
    <t>putative spore coat protein, CotH paralog</t>
  </si>
  <si>
    <t>0.41840 (0.19956)</t>
  </si>
  <si>
    <t>0.18125 (0.06663)</t>
  </si>
  <si>
    <t>0.01235 (0.00055)</t>
  </si>
  <si>
    <t>0.02941 (0.00148)</t>
  </si>
  <si>
    <t>0.00754 (0.00041)</t>
  </si>
  <si>
    <t>mblK</t>
  </si>
  <si>
    <t>hydrolase/isomerase involved in remodelling thebacterial envelope</t>
  </si>
  <si>
    <t>0.06511 (0.14818)</t>
  </si>
  <si>
    <t>0.05360 (0.06734)</t>
  </si>
  <si>
    <t>0.01405 (0.00148)</t>
  </si>
  <si>
    <t>0.05458 (0.00638)</t>
  </si>
  <si>
    <t>0.00329 (0.00034)</t>
  </si>
  <si>
    <t>yisL</t>
  </si>
  <si>
    <t>0.18717 (0.18355)</t>
  </si>
  <si>
    <t>0.16571 (0.18595)</t>
  </si>
  <si>
    <t>0.02316 (0.00226)</t>
  </si>
  <si>
    <t>0.06588 (0.00651)</t>
  </si>
  <si>
    <t>0.01029 (0.00119)</t>
  </si>
  <si>
    <t>wprA</t>
  </si>
  <si>
    <t>cell wall-associated protease</t>
  </si>
  <si>
    <t>0.10033 (0.03011)</t>
  </si>
  <si>
    <t>0.08362 (0.06325)</t>
  </si>
  <si>
    <t>0.01093 (0.00026)</t>
  </si>
  <si>
    <t>0.03675 (0.00088)</t>
  </si>
  <si>
    <t>0.00347 (0.00012)</t>
  </si>
  <si>
    <t>yisN</t>
  </si>
  <si>
    <t>0.40924 (0.19651)</t>
  </si>
  <si>
    <t>0.12793 (0.09879)</t>
  </si>
  <si>
    <t>0.02139 (0.00131)</t>
  </si>
  <si>
    <t>0.06432 (0.00437)</t>
  </si>
  <si>
    <t>0.01071 (0.00076)</t>
  </si>
  <si>
    <t>asnO</t>
  </si>
  <si>
    <t>asparagine synthetase (sporulation related)</t>
  </si>
  <si>
    <t>0.03233 (0.01663)</t>
  </si>
  <si>
    <t>0.01029 (0.01283)</t>
  </si>
  <si>
    <t>0.01119 (0.00030)</t>
  </si>
  <si>
    <t>0.04877 (0.00143)</t>
  </si>
  <si>
    <t>0.00110 (0.00006)</t>
  </si>
  <si>
    <t>yizA</t>
  </si>
  <si>
    <t>conserved hypothetical protein (sporulationrelated)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</si>
  <si>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</si>
  <si>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0.53882 (0.54993)</t>
  </si>
  <si>
    <t>0.00459 (0.00033)</t>
  </si>
  <si>
    <t>0.00567 (0.00126)</t>
  </si>
  <si>
    <t>0.00433 (0.00046)</t>
  </si>
  <si>
    <t>yisQ</t>
  </si>
  <si>
    <t>putative Na(+)-driven efflux transporter</t>
  </si>
  <si>
    <t>0.02828 (0.02168)</t>
  </si>
  <si>
    <t>0.01958 (0.06088)</t>
  </si>
  <si>
    <t>0.01618 (0.00144)</t>
  </si>
  <si>
    <t>0.07051 (0.00661)</t>
  </si>
  <si>
    <t>0.00169 (0.00017)</t>
  </si>
  <si>
    <t>yisR</t>
  </si>
  <si>
    <t>0.09611 (0.07020)</t>
  </si>
  <si>
    <t>0.03642 (0.05098)</t>
  </si>
  <si>
    <t>0.01511 (0.00133)</t>
  </si>
  <si>
    <t>0.06090 (0.00620)</t>
  </si>
  <si>
    <t>0.00323 (0.00017)</t>
  </si>
  <si>
    <t>iolQ</t>
  </si>
  <si>
    <t>transcriptional repressor of iolX (LacI family)</t>
  </si>
  <si>
    <t>0.12790 (0.06693)</t>
  </si>
  <si>
    <t>0.08185 (0.06735)</t>
  </si>
  <si>
    <t>0.01115 (0.00051)</t>
  </si>
  <si>
    <t>0.03701 (0.00206)</t>
  </si>
  <si>
    <t>0.00371 (0.00025)</t>
  </si>
  <si>
    <t>iolX</t>
  </si>
  <si>
    <t>scyllo-inositol 2-dehydrogenase (NAD(+))</t>
  </si>
  <si>
    <t>0.15979 (0.05540)</t>
  </si>
  <si>
    <t>0.09915 (0.03809)</t>
  </si>
  <si>
    <t>0.02687 (0.00098)</t>
  </si>
  <si>
    <t>0.08569 (0.00330)</t>
  </si>
  <si>
    <t>0.01050 (0.00045)</t>
  </si>
  <si>
    <t>yisT</t>
  </si>
  <si>
    <t>putative enzyme regulator of activity</t>
  </si>
  <si>
    <t>0.28816 (0.19552)</t>
  </si>
  <si>
    <t>0.17245 (0.08249)</t>
  </si>
  <si>
    <t>0.01115 (0.00059)</t>
  </si>
  <si>
    <t>0.02719 (0.00150)</t>
  </si>
  <si>
    <t>0.00673 (0.00055)</t>
  </si>
  <si>
    <t>yisU</t>
  </si>
  <si>
    <t>putative aminoacid related metabolite effluxtransporter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</si>
  <si>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</si>
  <si>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0.67110 (0.24885)</t>
  </si>
  <si>
    <t>0.13501 (0.07170)</t>
  </si>
  <si>
    <t>0.01371 (0.00054)</t>
  </si>
  <si>
    <t>0.03139 (0.00131)</t>
  </si>
  <si>
    <t>0.00870 (0.00047)</t>
  </si>
  <si>
    <t>yisV</t>
  </si>
  <si>
    <t>0.31742 (0.09430)</t>
  </si>
  <si>
    <t>0.18585 (0.26038)</t>
  </si>
  <si>
    <t>0.01332 (0.00078)</t>
  </si>
  <si>
    <t>0.03296 (0.00211)</t>
  </si>
  <si>
    <t>0.00745 (0.00043)</t>
  </si>
  <si>
    <t>yisX</t>
  </si>
  <si>
    <t>0.10321 (0.08843)</t>
  </si>
  <si>
    <t>0.05852 (0.02773)</t>
  </si>
  <si>
    <t>0.01462 (0.00049)</t>
  </si>
  <si>
    <t>0.06023 (0.00246)</t>
  </si>
  <si>
    <t>0.00345 (0.00020)</t>
  </si>
  <si>
    <t>yisY</t>
  </si>
  <si>
    <t>putative acyl hydrolase or peroxidase</t>
  </si>
  <si>
    <t>0.13478 (0.07243)</t>
  </si>
  <si>
    <t>0.07078 (0.05406)</t>
  </si>
  <si>
    <t>0.01202 (0.00064)</t>
  </si>
  <si>
    <t>0.04207 (0.00247)</t>
  </si>
  <si>
    <t>0.00379 (0.00026)</t>
  </si>
  <si>
    <t>yisZ</t>
  </si>
  <si>
    <t>putative adenylylsulfate kinase</t>
  </si>
  <si>
    <t>0.06234 (0.03312)</t>
  </si>
  <si>
    <t>0.01127 (0.00052)</t>
  </si>
  <si>
    <t>0.04648 (0.00239)</t>
  </si>
  <si>
    <t>0.00155 (0.00014)</t>
  </si>
  <si>
    <t>yitA</t>
  </si>
  <si>
    <t>putative sulfate adenylyltransferase</t>
  </si>
  <si>
    <t>0.17904 (0.07817)</t>
  </si>
  <si>
    <t>0.09036 (0.04511)</t>
  </si>
  <si>
    <t>0.01426 (0.00050)</t>
  </si>
  <si>
    <t>0.04293 (0.00167)</t>
  </si>
  <si>
    <t>0.00589 (0.00024)</t>
  </si>
  <si>
    <t>yitB</t>
  </si>
  <si>
    <t>putative phospho-adenylylsulfate reductase</t>
  </si>
  <si>
    <t>0.21121 (0.09769)</t>
  </si>
  <si>
    <t>0.11026 (0.05021)</t>
  </si>
  <si>
    <t>0.01586 (0.00054)</t>
  </si>
  <si>
    <t>0.04843 (0.00149)</t>
  </si>
  <si>
    <t>0.00733 (0.00036)</t>
  </si>
  <si>
    <t>slpH</t>
  </si>
  <si>
    <t>2-phospho,3-sulfolactate phosphatase(sporulation related)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</si>
  <si>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</si>
  <si>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0.20437 (0.07828)</t>
  </si>
  <si>
    <t>0.27519 (0.04005)</t>
  </si>
  <si>
    <t>0.02482 (0.00109)</t>
  </si>
  <si>
    <t>0.06476 (0.00388)</t>
  </si>
  <si>
    <t>0.01385 (0.00080)</t>
  </si>
  <si>
    <t>slpS</t>
  </si>
  <si>
    <t>2-phospho-3-sulfolactate synthase</t>
  </si>
  <si>
    <t>0.03283 (0.05432)</t>
  </si>
  <si>
    <t>0.04259 (0.03655)</t>
  </si>
  <si>
    <t>0.01120 (0.00073)</t>
  </si>
  <si>
    <t>0.04454 (0.00301)</t>
  </si>
  <si>
    <t>0.00236 (0.00019)</t>
  </si>
  <si>
    <t>yitE</t>
  </si>
  <si>
    <t>0.02578 (0.07071)</t>
  </si>
  <si>
    <t>0.01158 (0.00055)</t>
  </si>
  <si>
    <t>0.04647 (0.00227)</t>
  </si>
  <si>
    <t>0.00036 (0.00010)</t>
  </si>
  <si>
    <t>yitF</t>
  </si>
  <si>
    <t>putative enolase superfamily enzyme (isomerase /dehydratase)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</si>
  <si>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GCA_002142595.1_ASM214259v1_genomic</t>
  </si>
  <si>
    <t>0.19617 (0.06438)</t>
  </si>
  <si>
    <t>0.12170 (0.07797)</t>
  </si>
  <si>
    <t>0.01283 (0.00051)</t>
  </si>
  <si>
    <t>0.03749 (0.00163)</t>
  </si>
  <si>
    <t>0.00584 (0.00031)</t>
  </si>
  <si>
    <t>yitG</t>
  </si>
  <si>
    <t>0.03503 (0.02906)</t>
  </si>
  <si>
    <t>0.09194 (0.03450)</t>
  </si>
  <si>
    <t>0.01100 (0.00075)</t>
  </si>
  <si>
    <t>0.04145 (0.00307)</t>
  </si>
  <si>
    <t>0.00170 (0.00012)</t>
  </si>
  <si>
    <t>yitH</t>
  </si>
  <si>
    <t>ref , GCA_000186745.1_ASM18674v1_genomic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GCA_002055965.1_ASM205596v1_genomic , GCA_002072735.1_ASM207273v1_genomic , GCA_002142595.1_ASM214259v1_genomic</t>
  </si>
  <si>
    <t>0.14194 (0.04823)</t>
  </si>
  <si>
    <t>0.22107 (0.10660)</t>
  </si>
  <si>
    <t>0.02604 (0.00101)</t>
  </si>
  <si>
    <t>0.07015 (0.00304)</t>
  </si>
  <si>
    <t>0.01369 (0.00054)</t>
  </si>
  <si>
    <t>samT</t>
  </si>
  <si>
    <t>bifunctional homocysteine S-methyltransferaseusing (R,S)AdoMet and methylenetetrahydrofolate reductase[NAD(P)H]</t>
  </si>
  <si>
    <t>0.05232 (0.03206)</t>
  </si>
  <si>
    <t>0.03757 (0.02047)</t>
  </si>
  <si>
    <t>0.01504 (0.00046)</t>
  </si>
  <si>
    <t>0.05896 (0.00178)</t>
  </si>
  <si>
    <t>0.00230 (0.00013)</t>
  </si>
  <si>
    <t>yitK</t>
  </si>
  <si>
    <t>putative RNA or cyclic d-GMP binding protein</t>
  </si>
  <si>
    <t>0.05262 (0.03214)</t>
  </si>
  <si>
    <t>0.05547 (0.05801)</t>
  </si>
  <si>
    <t>0.01355 (0.00052)</t>
  </si>
  <si>
    <t>0.05030 (0.00216)</t>
  </si>
  <si>
    <t>0.00381 (0.00025)</t>
  </si>
  <si>
    <t>yitL</t>
  </si>
  <si>
    <t>RNA-binding protein</t>
  </si>
  <si>
    <t>ref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</si>
  <si>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0.13592 (0.18255)</t>
  </si>
  <si>
    <t>0.21965 (0.02456)</t>
  </si>
  <si>
    <t>0.00854 (0.00083)</t>
  </si>
  <si>
    <t>0.02577 (0.00237)</t>
  </si>
  <si>
    <t>0.00398 (0.00051)</t>
  </si>
  <si>
    <t>yitM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</si>
  <si>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GCA_002163815.1_ASM216381v1_genomic , GCA_002173615.1_ASM217361v1_genomic</t>
  </si>
  <si>
    <t>0.06216 (0.04374)</t>
  </si>
  <si>
    <t>0.01092 (0.02571)</t>
  </si>
  <si>
    <t>0.01793 (0.00190)</t>
  </si>
  <si>
    <t>0.07932 (0.00931)</t>
  </si>
  <si>
    <t>0.00201 (0.00017)</t>
  </si>
  <si>
    <t>yitO</t>
  </si>
  <si>
    <t>putative integral inner membrane protein withHTTM domain</t>
  </si>
  <si>
    <t>0.03492 (0.03561)</t>
  </si>
  <si>
    <t>0.10270 (0.22368)</t>
  </si>
  <si>
    <t>0.01923 (0.00167)</t>
  </si>
  <si>
    <t>0.07076 (0.00619)</t>
  </si>
  <si>
    <t>0.00514 (0.00054)</t>
  </si>
  <si>
    <t>yitP</t>
  </si>
  <si>
    <t>0.08164 (0.07401)</t>
  </si>
  <si>
    <t>0.16319 (0.42577)</t>
  </si>
  <si>
    <t>0.01712 (0.00197)</t>
  </si>
  <si>
    <t>0.05306 (0.00596)</t>
  </si>
  <si>
    <t>0.00740 (0.00098)</t>
  </si>
  <si>
    <t>yizB</t>
  </si>
  <si>
    <t>0.09995 (0.07617)</t>
  </si>
  <si>
    <t>0.02273 (0.05651)</t>
  </si>
  <si>
    <t>0.01925 (0.00171)</t>
  </si>
  <si>
    <t>0.07445 (0.00722)</t>
  </si>
  <si>
    <t>0.00398 (0.00044)</t>
  </si>
  <si>
    <t>yitQ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</si>
  <si>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</si>
  <si>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0.30621 (0.14755)</t>
  </si>
  <si>
    <t>0.49078 (0.19985)</t>
  </si>
  <si>
    <t>0.01191 (0.00051)</t>
  </si>
  <si>
    <t>0.02184 (0.00110)</t>
  </si>
  <si>
    <t>0.00903 (0.00045)</t>
  </si>
  <si>
    <t>yitR</t>
  </si>
  <si>
    <t>0.07595 (0.14436)</t>
  </si>
  <si>
    <t>0.00798 (0.00065)</t>
  </si>
  <si>
    <t>0.03118 (0.00289)</t>
  </si>
  <si>
    <t>0.00113 (0.00032)</t>
  </si>
  <si>
    <t>nprB</t>
  </si>
  <si>
    <t>extracellular neutral protease B</t>
  </si>
  <si>
    <t>0.30441 (0.11665)</t>
  </si>
  <si>
    <t>0.27662 (0.10075)</t>
  </si>
  <si>
    <t>0.01110 (0.00037)</t>
  </si>
  <si>
    <t>0.02400 (0.00094)</t>
  </si>
  <si>
    <t>0.00734 (0.00027)</t>
  </si>
  <si>
    <t>fakBB</t>
  </si>
  <si>
    <t>fatty acid kinase fatty acid binding subunit B</t>
  </si>
  <si>
    <t>0.03626 (0.06373)</t>
  </si>
  <si>
    <t>0.22648 (0.13848)</t>
  </si>
  <si>
    <t>0.00992 (0.00043)</t>
  </si>
  <si>
    <t>0.03053 (0.00123)</t>
  </si>
  <si>
    <t>0.00411 (0.00031)</t>
  </si>
  <si>
    <t>yitT</t>
  </si>
  <si>
    <t>0.02497 (0.05225)</t>
  </si>
  <si>
    <t>0.02342 (0.00127)</t>
  </si>
  <si>
    <t>0.09799 (0.00532)</t>
  </si>
  <si>
    <t>0.00188 (0.00018)</t>
  </si>
  <si>
    <t>ipi</t>
  </si>
  <si>
    <t>intracellular proteinase inhibitor BsuPI</t>
  </si>
  <si>
    <t>0.07057 (0.07911)</t>
  </si>
  <si>
    <t>0.16888 (0.11259)</t>
  </si>
  <si>
    <t>0.01829 (0.00167)</t>
  </si>
  <si>
    <t>0.07202 (0.00685)</t>
  </si>
  <si>
    <t>0.00596 (0.00066)</t>
  </si>
  <si>
    <t>yizC</t>
  </si>
  <si>
    <t>conserved hypothetical protein; genus orphan</t>
  </si>
  <si>
    <t>0.02618 (0.05855)</t>
  </si>
  <si>
    <t>0.06594 (0.09517)</t>
  </si>
  <si>
    <t>0.02051 (0.00207)</t>
  </si>
  <si>
    <t>0.08006 (0.00883)</t>
  </si>
  <si>
    <t>0.00586 (0.00090)</t>
  </si>
  <si>
    <t>ribZC</t>
  </si>
  <si>
    <t>5-amino-6-ribitylamino-2,4(1H,3H)-pyrimidinedione 5'-phosphate phosphatase(promiscuous)</t>
  </si>
  <si>
    <t>0.07243 (0.01892)</t>
  </si>
  <si>
    <t>0.00849 (0.02507)</t>
  </si>
  <si>
    <t>0.01830 (0.00064)</t>
  </si>
  <si>
    <t>0.07831 (0.00313)</t>
  </si>
  <si>
    <t>0.00236 (0.00015)</t>
  </si>
  <si>
    <t>yitV</t>
  </si>
  <si>
    <t>putative carboxylesterase</t>
  </si>
  <si>
    <t>0.09135 (0.07549)</t>
  </si>
  <si>
    <t>0.06641 (0.04696)</t>
  </si>
  <si>
    <t>0.01410 (0.00089)</t>
  </si>
  <si>
    <t>0.05014 (0.00341)</t>
  </si>
  <si>
    <t>0.00426 (0.00035)</t>
  </si>
  <si>
    <t>yitW</t>
  </si>
  <si>
    <t>putative protein involved in Fe-S clusterassembly, PaaD-like</t>
  </si>
  <si>
    <t>0.60666 (0.11143)</t>
  </si>
  <si>
    <t>0.04809 (0.11208)</t>
  </si>
  <si>
    <t>0.02507 (0.03606)</t>
  </si>
  <si>
    <t>0.02324 (0.00278)</t>
  </si>
  <si>
    <t>0.10269 (0.01243)</t>
  </si>
  <si>
    <t>0.00306 (0.00052)</t>
  </si>
  <si>
    <t>yitY</t>
  </si>
  <si>
    <t>putative FMN/FAD-binding oxidoreductase</t>
  </si>
  <si>
    <t>0.18219 (0.06203)</t>
  </si>
  <si>
    <t>0.24903 (0.15094)</t>
  </si>
  <si>
    <t>0.01181 (0.00049)</t>
  </si>
  <si>
    <t>0.03059 (0.00167)</t>
  </si>
  <si>
    <t>0.00652 (0.00024)</t>
  </si>
  <si>
    <t>yitZ</t>
  </si>
  <si>
    <t>putative transport protein</t>
  </si>
  <si>
    <t>0.03397 (0.08314)</t>
  </si>
  <si>
    <t>0.06146 (0.13048)</t>
  </si>
  <si>
    <t>0.00937 (0.00054)</t>
  </si>
  <si>
    <t>0.03591 (0.00234)</t>
  </si>
  <si>
    <t>0.00150 (0.00031)</t>
  </si>
  <si>
    <t>argC</t>
  </si>
  <si>
    <t>N-acetylglutamate gamma-semialdehydedehydrogenase</t>
  </si>
  <si>
    <t>0.21968 (0.10165)</t>
  </si>
  <si>
    <t>0.13244 (0.15208)</t>
  </si>
  <si>
    <t>0.01051 (0.00038)</t>
  </si>
  <si>
    <t>0.03023 (0.00155)</t>
  </si>
  <si>
    <t>0.00464 (0.00020)</t>
  </si>
  <si>
    <t>argJ</t>
  </si>
  <si>
    <t>ornithine acetyltransferase; amino-acidacetyltransferase</t>
  </si>
  <si>
    <t>0.10861 (0.04213)</t>
  </si>
  <si>
    <t>0.02379 (0.01519)</t>
  </si>
  <si>
    <t>0.01899 (0.00079)</t>
  </si>
  <si>
    <t>0.07156 (0.00345)</t>
  </si>
  <si>
    <t>0.00403 (0.00017)</t>
  </si>
  <si>
    <t>argB</t>
  </si>
  <si>
    <t>N-acetylglutamate 5-phosphotransferase(acetylglutamate kinase)</t>
  </si>
  <si>
    <t>0.85503 (0.09246)</t>
  </si>
  <si>
    <t>0.03965 (0.03520)</t>
  </si>
  <si>
    <t>0.07649 (0.03918)</t>
  </si>
  <si>
    <t>0.01153 (0.00057)</t>
  </si>
  <si>
    <t>0.04237 (0.00231)</t>
  </si>
  <si>
    <t>0.00244 (0.00023)</t>
  </si>
  <si>
    <t>argD</t>
  </si>
  <si>
    <t>N-acetylornithine aminotransferase</t>
  </si>
  <si>
    <t>0.10702 (0.04509)</t>
  </si>
  <si>
    <t>0.09076 (0.05468)</t>
  </si>
  <si>
    <t>0.01147 (0.00042)</t>
  </si>
  <si>
    <t>0.03735 (0.00174)</t>
  </si>
  <si>
    <t>0.00394 (0.00023)</t>
  </si>
  <si>
    <t>carA</t>
  </si>
  <si>
    <t>arginine-specific carbamoyl-phosphate synthetase(small subunit)</t>
  </si>
  <si>
    <t>0.11762 (0.07818)</t>
  </si>
  <si>
    <t>0.06415 (0.01617)</t>
  </si>
  <si>
    <t>0.01498 (0.00064)</t>
  </si>
  <si>
    <t>0.05325 (0.00259)</t>
  </si>
  <si>
    <t>0.00426 (0.00019)</t>
  </si>
  <si>
    <t>carB</t>
  </si>
  <si>
    <t>arginine-specific carbamoyl-phosphate synthetase(large subunit)</t>
  </si>
  <si>
    <t>0.08385 (0.03286)</t>
  </si>
  <si>
    <t>0.04814 (0.03298)</t>
  </si>
  <si>
    <t>0.02009 (0.00076)</t>
  </si>
  <si>
    <t>0.07550 (0.00291)</t>
  </si>
  <si>
    <t>0.00470 (0.00021)</t>
  </si>
  <si>
    <t>argF</t>
  </si>
  <si>
    <t>ornithine carbamoyltransferase</t>
  </si>
  <si>
    <t>0.50692 (0.10572)</t>
  </si>
  <si>
    <t>0.15048 (0.02644)</t>
  </si>
  <si>
    <t>0.03353 (0.03954)</t>
  </si>
  <si>
    <t>0.01387 (0.00050)</t>
  </si>
  <si>
    <t>0.04614 (0.00199)</t>
  </si>
  <si>
    <t>0.00454 (0.00017)</t>
  </si>
  <si>
    <t>yjzC</t>
  </si>
  <si>
    <t>0.74537 (0.09606)</t>
  </si>
  <si>
    <t>0.01092 (0.00113)</t>
  </si>
  <si>
    <t>0.05113 (0.00543)</t>
  </si>
  <si>
    <t>yjzD</t>
  </si>
  <si>
    <t>forespore targeted protein</t>
  </si>
  <si>
    <t>0.14060 (0.14350)</t>
  </si>
  <si>
    <t>0.42583 (0.30111)</t>
  </si>
  <si>
    <t>0.02303 (0.00223)</t>
  </si>
  <si>
    <t>0.05149 (0.00496)</t>
  </si>
  <si>
    <t>0.01579 (0.00164)</t>
  </si>
  <si>
    <t>yjaU</t>
  </si>
  <si>
    <t>0.08157 (0.06090)</t>
  </si>
  <si>
    <t>0.09068 (0.07667)</t>
  </si>
  <si>
    <t>0.00819 (0.00053)</t>
  </si>
  <si>
    <t>0.02914 (0.00194)</t>
  </si>
  <si>
    <t>0.00264 (0.00023)</t>
  </si>
  <si>
    <t>yjaV</t>
  </si>
  <si>
    <t>putative NAD(P) binding enzyme</t>
  </si>
  <si>
    <t>0.21909 (0.11015)</t>
  </si>
  <si>
    <t>0.30160 (0.16633)</t>
  </si>
  <si>
    <t>0.01192 (0.00058)</t>
  </si>
  <si>
    <t>0.02921 (0.00151)</t>
  </si>
  <si>
    <t>0.00776 (0.00046)</t>
  </si>
  <si>
    <t>med</t>
  </si>
  <si>
    <t>positive regulator of comK</t>
  </si>
  <si>
    <t>0.06709 (0.03852)</t>
  </si>
  <si>
    <t>0.05202 (0.05995)</t>
  </si>
  <si>
    <t>0.02712 (0.00144)</t>
  </si>
  <si>
    <t>0.00164 (0.00013)</t>
  </si>
  <si>
    <t>comZ</t>
  </si>
  <si>
    <t>putative late competence gene</t>
  </si>
  <si>
    <t>0.10289 (0.20287)</t>
  </si>
  <si>
    <t>0.03219 (0.00289)</t>
  </si>
  <si>
    <t>0.16717 (0.01727)</t>
  </si>
  <si>
    <t>0.00299 (0.00091)</t>
  </si>
  <si>
    <t>yjzB</t>
  </si>
  <si>
    <t>0.11276 (0.08825)</t>
  </si>
  <si>
    <t>0.00901 (0.00085)</t>
  </si>
  <si>
    <t>0.03317 (0.00389)</t>
  </si>
  <si>
    <t>0.00371 (0.00086)</t>
  </si>
  <si>
    <t>fabHA</t>
  </si>
  <si>
    <t>beta-ketoacyl-acyl carrier protein synthase III1</t>
  </si>
  <si>
    <t>0.04572 (0.07545)</t>
  </si>
  <si>
    <t>0.05386 (0.15787)</t>
  </si>
  <si>
    <t>0.01322 (0.00119)</t>
  </si>
  <si>
    <t>0.05097 (0.00459)</t>
  </si>
  <si>
    <t>0.00262 (0.00031)</t>
  </si>
  <si>
    <t>fabF</t>
  </si>
  <si>
    <t>beta-ketoacyl-acyl carrier protein synthase II(involved in pimelate synthesis)</t>
  </si>
  <si>
    <t>0.55879 (0.11155)</t>
  </si>
  <si>
    <t>0.01796 (0.03898)</t>
  </si>
  <si>
    <t>0.01350 (0.00202)</t>
  </si>
  <si>
    <t>0.05972 (0.00950)</t>
  </si>
  <si>
    <t>0.00089 (0.00015)</t>
  </si>
  <si>
    <t>yjaZ</t>
  </si>
  <si>
    <t>0.15695 (0.16438)</t>
  </si>
  <si>
    <t>0.08428 (0.04374)</t>
  </si>
  <si>
    <t>0.01395 (0.00061)</t>
  </si>
  <si>
    <t>0.04744 (0.00218)</t>
  </si>
  <si>
    <t>0.00494 (0.00043)</t>
  </si>
  <si>
    <t>appD</t>
  </si>
  <si>
    <t>oligopeptide ABC transporter (ATP-bindingprotein)</t>
  </si>
  <si>
    <t>0.04395 (0.03918)</t>
  </si>
  <si>
    <t>0.00910 (0.02067)</t>
  </si>
  <si>
    <t>0.02531 (0.00160)</t>
  </si>
  <si>
    <t>0.11761 (0.00789)</t>
  </si>
  <si>
    <t>0.00245 (0.00019)</t>
  </si>
  <si>
    <t>appF</t>
  </si>
  <si>
    <t>0.08493 (0.05267)</t>
  </si>
  <si>
    <t>0.03040 (0.07193)</t>
  </si>
  <si>
    <t>0.00900 (0.00037)</t>
  </si>
  <si>
    <t>0.03241 (0.00157)</t>
  </si>
  <si>
    <t>0.00211 (0.00017)</t>
  </si>
  <si>
    <t>appB</t>
  </si>
  <si>
    <t>oligopeptide ABC transporter (permease)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</si>
  <si>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</si>
  <si>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0.06342 (0.07619)</t>
  </si>
  <si>
    <t>0.00387 (0.00059)</t>
  </si>
  <si>
    <t>0.01397 (0.00193)</t>
  </si>
  <si>
    <t>0.00070 (0.00028)</t>
  </si>
  <si>
    <t>appC</t>
  </si>
  <si>
    <t>ref , GCA_000186745.1_ASM18674v1_genomic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</si>
  <si>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0.12818 (0.09827)</t>
  </si>
  <si>
    <t>0.00519 (0.00033)</t>
  </si>
  <si>
    <t>0.01756 (0.00126)</t>
  </si>
  <si>
    <t>0.00129 (0.00022)</t>
  </si>
  <si>
    <t>yjbA</t>
  </si>
  <si>
    <t>putative sporulation nucleic acid bindingprotein</t>
  </si>
  <si>
    <t>0.07235 (0.06315)</t>
  </si>
  <si>
    <t>0.00488 (0.01819)</t>
  </si>
  <si>
    <t>0.02598 (0.00126)</t>
  </si>
  <si>
    <t>0.13120 (0.00682)</t>
  </si>
  <si>
    <t>trpS</t>
  </si>
  <si>
    <t>tryptophanyl-tRNA synthetase</t>
  </si>
  <si>
    <t>0.03405 (0.02340)</t>
  </si>
  <si>
    <t>0.00727 (0.02068)</t>
  </si>
  <si>
    <t>0.01921 (0.00071)</t>
  </si>
  <si>
    <t>0.08368 (0.00327)</t>
  </si>
  <si>
    <t>0.00155 (0.00013)</t>
  </si>
  <si>
    <t>oppA</t>
  </si>
  <si>
    <t>oligopeptide ABC transporter (bindinglipoprotein)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</si>
  <si>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</si>
  <si>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0.05054 (0.03324)</t>
  </si>
  <si>
    <t>0.01302 (0.03306)</t>
  </si>
  <si>
    <t>0.00790 (0.00038)</t>
  </si>
  <si>
    <t>0.03431 (0.00175)</t>
  </si>
  <si>
    <t>0.00089 (0.00008)</t>
  </si>
  <si>
    <t>oppB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</si>
  <si>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GCA_001015095.1_ASM101509v1_genomic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</si>
  <si>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0.00789 (0.02921)</t>
  </si>
  <si>
    <t>0.03821 (0.03732)</t>
  </si>
  <si>
    <t>0.02452 (0.00133)</t>
  </si>
  <si>
    <t>0.09935 (0.00553)</t>
  </si>
  <si>
    <t>0.00293 (0.00022)</t>
  </si>
  <si>
    <t>oppC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</si>
  <si>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GCA_001015095.1_ASM101509v1_genomic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</si>
  <si>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0.02753 (0.02653)</t>
  </si>
  <si>
    <t>0.00902 (0.01745)</t>
  </si>
  <si>
    <t>0.02363 (0.00093)</t>
  </si>
  <si>
    <t>0.10310 (0.00436)</t>
  </si>
  <si>
    <t>0.00150 (0.00009)</t>
  </si>
  <si>
    <t>oppD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</si>
  <si>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</si>
  <si>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0.19008 (0.07911)</t>
  </si>
  <si>
    <t>0.05173 (0.04575)</t>
  </si>
  <si>
    <t>0.01751 (0.01758)</t>
  </si>
  <si>
    <t>0.02401 (0.00111)</t>
  </si>
  <si>
    <t>0.10313 (0.00539)</t>
  </si>
  <si>
    <t>0.00264 (0.00016)</t>
  </si>
  <si>
    <t>oppF</t>
  </si>
  <si>
    <t>ref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</si>
  <si>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0.01708 (0.01654)</t>
  </si>
  <si>
    <t>0.02276 (0.07259)</t>
  </si>
  <si>
    <t>0.02413 (0.00166)</t>
  </si>
  <si>
    <t>0.10796 (0.00749)</t>
  </si>
  <si>
    <t>0.00219 (0.00031)</t>
  </si>
  <si>
    <t>yjbB</t>
  </si>
  <si>
    <t>0.29818 (0.11775)</t>
  </si>
  <si>
    <t>0.14944 (0.08545)</t>
  </si>
  <si>
    <t>0.01307 (0.00039)</t>
  </si>
  <si>
    <t>0.03174 (0.00099)</t>
  </si>
  <si>
    <t>0.00722 (0.00028)</t>
  </si>
  <si>
    <t>yjbC</t>
  </si>
  <si>
    <t>putative thiol oxidation management factor;putative acetyltransferase</t>
  </si>
  <si>
    <t>0.02081 (0.06416)</t>
  </si>
  <si>
    <t>0.03045 (0.04085)</t>
  </si>
  <si>
    <t>0.01705 (0.00101)</t>
  </si>
  <si>
    <t>0.08358 (0.00533)</t>
  </si>
  <si>
    <t>0.00192 (0.00020)</t>
  </si>
  <si>
    <t>spxA</t>
  </si>
  <si>
    <t>redox-sensitive regulator</t>
  </si>
  <si>
    <t>0.01656 (0.04607)</t>
  </si>
  <si>
    <t>0.09336 (0.02418)</t>
  </si>
  <si>
    <t>0.02003 (0.00114)</t>
  </si>
  <si>
    <t>0.08494 (0.00509)</t>
  </si>
  <si>
    <t>0.00312 (0.00029)</t>
  </si>
  <si>
    <t>yjbE</t>
  </si>
  <si>
    <t>putative membrane protein of unknown function</t>
  </si>
  <si>
    <t>0.07072 (0.05394)</t>
  </si>
  <si>
    <t>0.02056 (0.05867)</t>
  </si>
  <si>
    <t>0.01131 (0.00051)</t>
  </si>
  <si>
    <t>0.04245 (0.00178)</t>
  </si>
  <si>
    <t>0.00142 (0.00017)</t>
  </si>
  <si>
    <t>BSU_11525</t>
  </si>
  <si>
    <t>conserved hypothetical proteingene            1229915..1231036CDS             1229915..1231036PMID:10438773,17630974,23046409,26880300in the studied strain; PubMedId: 10438773, 17630974,23046409, 26880300; Product type s: structuretransport in competence</t>
  </si>
  <si>
    <t>0.52981 (0.76471)</t>
  </si>
  <si>
    <t>0.01579 (0.00208)</t>
  </si>
  <si>
    <t>0.01695 (0.00634)</t>
  </si>
  <si>
    <t>0.01582 (0.00289)</t>
  </si>
  <si>
    <t>pepF</t>
  </si>
  <si>
    <t>oligoendopeptidase F</t>
  </si>
  <si>
    <t>0.02653 (0.01829)</t>
  </si>
  <si>
    <t>0.00992 (0.03024)</t>
  </si>
  <si>
    <t>0.00836 (0.00033)</t>
  </si>
  <si>
    <t>0.03568 (0.00149)</t>
  </si>
  <si>
    <t>0.00072 (0.00006)</t>
  </si>
  <si>
    <t>yizD</t>
  </si>
  <si>
    <t>0.06636 (0.14300)</t>
  </si>
  <si>
    <t>0.02597 (0.00289)</t>
  </si>
  <si>
    <t>0.10723 (0.01088)</t>
  </si>
  <si>
    <t>0.00400 (0.00131)</t>
  </si>
  <si>
    <t>spxH</t>
  </si>
  <si>
    <t>thiol management effector of SpxA degradation</t>
  </si>
  <si>
    <t>0.02914 (0.03273)</t>
  </si>
  <si>
    <t>0.02970 (0.04659)</t>
  </si>
  <si>
    <t>0.00892 (0.00088)</t>
  </si>
  <si>
    <t>0.03811 (0.00376)</t>
  </si>
  <si>
    <t>0.00144 (0.00023)</t>
  </si>
  <si>
    <t>yjbI</t>
  </si>
  <si>
    <t>putative thiol management oxidoreductasecomponent</t>
  </si>
  <si>
    <t>0.10868 (0.10291)</t>
  </si>
  <si>
    <t>0.04327 (0.03929)</t>
  </si>
  <si>
    <t>0.01836 (0.00153)</t>
  </si>
  <si>
    <t>0.07367 (0.00672)</t>
  </si>
  <si>
    <t>0.00378 (0.00030)</t>
  </si>
  <si>
    <t>cwlQ</t>
  </si>
  <si>
    <t>bifunctional muramidase and murein lytictransglycosylase</t>
  </si>
  <si>
    <t>0.35543 (0.28694)</t>
  </si>
  <si>
    <t>0.28101 (0.12592)</t>
  </si>
  <si>
    <t>0.01500 (0.00067)</t>
  </si>
  <si>
    <t>0.03155 (0.00231)</t>
  </si>
  <si>
    <t>0.01004 (0.00053)</t>
  </si>
  <si>
    <t>yjbK</t>
  </si>
  <si>
    <t>putative RNA/thiamine triphosphatase</t>
  </si>
  <si>
    <t>0.16550 (0.09346)</t>
  </si>
  <si>
    <t>0.10607 (0.05951)</t>
  </si>
  <si>
    <t>0.00967 (0.00056)</t>
  </si>
  <si>
    <t>0.03149 (0.00196)</t>
  </si>
  <si>
    <t>0.00406 (0.00033)</t>
  </si>
  <si>
    <t>yjbL</t>
  </si>
  <si>
    <t>0.29727 (0.19028)</t>
  </si>
  <si>
    <t>0.15216 (0.11117)</t>
  </si>
  <si>
    <t>0.02417 (0.00154)</t>
  </si>
  <si>
    <t>0.07527 (0.00619)</t>
  </si>
  <si>
    <t>0.01210 (0.00055)</t>
  </si>
  <si>
    <t>relP</t>
  </si>
  <si>
    <t>(p)ppGpp synthetase</t>
  </si>
  <si>
    <t>0.02637 (0.04414)</t>
  </si>
  <si>
    <t>0.04079 (0.05931)</t>
  </si>
  <si>
    <t>0.02395 (0.00180)</t>
  </si>
  <si>
    <t>0.10866 (0.00828)</t>
  </si>
  <si>
    <t>0.00370 (0.00039)</t>
  </si>
  <si>
    <t>ppnKA</t>
  </si>
  <si>
    <t>inorganic polyphosphate/ATP-NAD kinase(quinolate activated)</t>
  </si>
  <si>
    <t>0.00815 (0.02805)</t>
  </si>
  <si>
    <t>0.00962 (0.02337)</t>
  </si>
  <si>
    <t>0.01851 (0.00239)</t>
  </si>
  <si>
    <t>0.08757 (0.01186)</t>
  </si>
  <si>
    <t>yjbO</t>
  </si>
  <si>
    <t>pseudouridylate synthase</t>
  </si>
  <si>
    <t>0.12254 (0.06883)</t>
  </si>
  <si>
    <t>0.14810 (0.06743)</t>
  </si>
  <si>
    <t>0.01683 (0.00064)</t>
  </si>
  <si>
    <t>0.05292 (0.00259)</t>
  </si>
  <si>
    <t>0.00618 (0.00029)</t>
  </si>
  <si>
    <t>prpE</t>
  </si>
  <si>
    <t>phosphorylated protein phosphatase E anddiadenosine-polyphosphate hydrolase</t>
  </si>
  <si>
    <t>0.11134 (0.08058)</t>
  </si>
  <si>
    <t>0.10413 (0.06160)</t>
  </si>
  <si>
    <t>0.01096 (0.00049)</t>
  </si>
  <si>
    <t>0.03463 (0.00205)</t>
  </si>
  <si>
    <t>0.00384 (0.00023)</t>
  </si>
  <si>
    <t>kefQ</t>
  </si>
  <si>
    <t>gated K+/H+ antiporter</t>
  </si>
  <si>
    <t>0.04497 (0.03279)</t>
  </si>
  <si>
    <t>0.02985 (0.02418)</t>
  </si>
  <si>
    <t>0.01533 (0.00059)</t>
  </si>
  <si>
    <t>0.05967 (0.00247)</t>
  </si>
  <si>
    <t>0.00204 (0.00012)</t>
  </si>
  <si>
    <t>tenA</t>
  </si>
  <si>
    <t>thiaminase II</t>
  </si>
  <si>
    <t>0.07363 (0.05066)</t>
  </si>
  <si>
    <t>0.06153 (0.08857)</t>
  </si>
  <si>
    <t>0.02364 (0.00115)</t>
  </si>
  <si>
    <t>0.09391 (0.00455)</t>
  </si>
  <si>
    <t>0.00553 (0.00054)</t>
  </si>
  <si>
    <t>tenI</t>
  </si>
  <si>
    <t>thiazole tautomerase</t>
  </si>
  <si>
    <t>0.27930 (0.06288)</t>
  </si>
  <si>
    <t>0.12239 (0.13211)</t>
  </si>
  <si>
    <t>0.01706 (0.00102)</t>
  </si>
  <si>
    <t>0.04923 (0.00297)</t>
  </si>
  <si>
    <t>0.00777 (0.00059)</t>
  </si>
  <si>
    <t>thiO</t>
  </si>
  <si>
    <t>FAD-dependent glycine oxidase</t>
  </si>
  <si>
    <t>0.16362 (0.07767)</t>
  </si>
  <si>
    <t>0.11331 (0.04765)</t>
  </si>
  <si>
    <t>0.01198 (0.00044)</t>
  </si>
  <si>
    <t>0.03738 (0.00149)</t>
  </si>
  <si>
    <t>0.00491 (0.00022)</t>
  </si>
  <si>
    <t>thiS</t>
  </si>
  <si>
    <t>sulfur carrier for synthesis ofhydroxyethylthiazole phosphate</t>
  </si>
  <si>
    <t>0.18469 (0.12313)</t>
  </si>
  <si>
    <t>0.13852 (0.19993)</t>
  </si>
  <si>
    <t>0.01263 (0.00104)</t>
  </si>
  <si>
    <t>0.03755 (0.00453)</t>
  </si>
  <si>
    <t>0.00605 (0.00104)</t>
  </si>
  <si>
    <t>thiG</t>
  </si>
  <si>
    <t>hydroxyethylthiazole phosphate synthetase(thiamine biosynthesis)</t>
  </si>
  <si>
    <t>0.05543 (0.07702)</t>
  </si>
  <si>
    <t>0.01476 (0.00054)</t>
  </si>
  <si>
    <t>0.05587 (0.00221)</t>
  </si>
  <si>
    <t>0.00169 (0.00025)</t>
  </si>
  <si>
    <t>thiF</t>
  </si>
  <si>
    <t>adenylate transferase and sulfur transferase(thiamine biosynthesis)</t>
  </si>
  <si>
    <t>0.31768 (0.09863)</t>
  </si>
  <si>
    <t>0.08807 (0.08642)</t>
  </si>
  <si>
    <t>0.01238 (0.00059)</t>
  </si>
  <si>
    <t>0.03499 (0.00191)</t>
  </si>
  <si>
    <t>0.00552 (0.00029)</t>
  </si>
  <si>
    <t>thiD</t>
  </si>
  <si>
    <t>phosphomethylpyrimidine kinase,4-amino-5-hydroxymethyl-2-methylpyrimidine and4-amino-5-hydroxymethyl-2-methylpyrimidine pyrophosphatekinase</t>
  </si>
  <si>
    <t>0.47194 (0.11348)</t>
  </si>
  <si>
    <t>0.02978 (0.05254)</t>
  </si>
  <si>
    <t>0.11290 (0.06095)</t>
  </si>
  <si>
    <t>0.00859 (0.00042)</t>
  </si>
  <si>
    <t>0.03011 (0.00169)</t>
  </si>
  <si>
    <t>0.00232 (0.00020)</t>
  </si>
  <si>
    <t>fabI</t>
  </si>
  <si>
    <t>enoyl-acyl carrier protein reductase</t>
  </si>
  <si>
    <t>0.02803 (0.04414)</t>
  </si>
  <si>
    <t>0.01623 (0.04450)</t>
  </si>
  <si>
    <t>0.01670 (0.00129)</t>
  </si>
  <si>
    <t>0.07088 (0.00605)</t>
  </si>
  <si>
    <t>cotO</t>
  </si>
  <si>
    <t>spore outer coat protein</t>
  </si>
  <si>
    <t>0.08042 (0.08642)</t>
  </si>
  <si>
    <t>0.19515 (0.13579)</t>
  </si>
  <si>
    <t>0.01780 (0.00084)</t>
  </si>
  <si>
    <t>0.05540 (0.00328)</t>
  </si>
  <si>
    <t>0.00831 (0.00038)</t>
  </si>
  <si>
    <t>cotZ</t>
  </si>
  <si>
    <t>spore coat protein (insoluble fraction, crustlayer)</t>
  </si>
  <si>
    <t>0.04489 (0.05626)</t>
  </si>
  <si>
    <t>0.01039 (0.00089)</t>
  </si>
  <si>
    <t>0.04489 (0.00401)</t>
  </si>
  <si>
    <t>0.00147 (0.00019)</t>
  </si>
  <si>
    <t>cotY</t>
  </si>
  <si>
    <t>outer spore coat protein (crust layer, insolublefraction)</t>
  </si>
  <si>
    <t>0.04577 (0.06303)</t>
  </si>
  <si>
    <t>0.00915 (0.03131)</t>
  </si>
  <si>
    <t>0.02761 (0.00168)</t>
  </si>
  <si>
    <t>0.13808 (0.00875)</t>
  </si>
  <si>
    <t>0.00244 (0.00025)</t>
  </si>
  <si>
    <t>spore coat protein (insoluble fraction)</t>
  </si>
  <si>
    <t>cotV</t>
  </si>
  <si>
    <t>ref , GCA_000227465.1_ASM22746v1_genomic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GCA_001720505.1_ASM172050v1_genomic , GCA_001808235.1_ASM180823v1_genomic , GCA_001889625.1_ASM188962v1_genomic , GCA_002055965.1_ASM205596v1_genomic , GCA_002142595.1_ASM214259v1_genomic</t>
  </si>
  <si>
    <t>0.12591 (0.10139)</t>
  </si>
  <si>
    <t>0.13520 (0.05531)</t>
  </si>
  <si>
    <t>0.03872 (0.00478)</t>
  </si>
  <si>
    <t>0.13565 (0.01764)</t>
  </si>
  <si>
    <t>0.01596 (0.00225)</t>
  </si>
  <si>
    <t>yjcA</t>
  </si>
  <si>
    <t>sporulation-specific protein</t>
  </si>
  <si>
    <t>0.09994 (0.15479)</t>
  </si>
  <si>
    <t>0.19379 (0.05778)</t>
  </si>
  <si>
    <t>0.01952 (0.00156)</t>
  </si>
  <si>
    <t>0.05878 (0.00403)</t>
  </si>
  <si>
    <t>0.00772 (0.00100)</t>
  </si>
  <si>
    <t>yjzK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</si>
  <si>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</si>
  <si>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0.02692 (0.05641)</t>
  </si>
  <si>
    <t>0.01575 (0.00099)</t>
  </si>
  <si>
    <t>0.04950 (0.00473)</t>
  </si>
  <si>
    <t>0.00885 (0.00101)</t>
  </si>
  <si>
    <t>yjcB</t>
  </si>
  <si>
    <t>sporulation-specific proteinKNIKLNMINRKSANALCEYPSRSQQLTgene            1253103..1253252CDS             1253103..1253252computational evidences; PubMedId: 14523132, 20156992,21670523; Product type h: extrachromosomal origin</t>
  </si>
  <si>
    <t>0.62055 (0.56737)</t>
  </si>
  <si>
    <t>0.30966 (0.36949)</t>
  </si>
  <si>
    <t>0.02043 (0.00122)</t>
  </si>
  <si>
    <t>0.04035 (0.00372)</t>
  </si>
  <si>
    <t>0.01630 (0.00119)</t>
  </si>
  <si>
    <t>spoVIF</t>
  </si>
  <si>
    <t>sporulation-specific protein needed for heatresistance</t>
  </si>
  <si>
    <t>0.00843 (0.00120)</t>
  </si>
  <si>
    <t>0.03214 (0.00636)</t>
  </si>
  <si>
    <t>0.00300 (0.00057)</t>
  </si>
  <si>
    <t>yjcD</t>
  </si>
  <si>
    <t>putative ATP-dependent DNA helicase (sporulationassociated)</t>
  </si>
  <si>
    <t>0.05585 (0.03661)</t>
  </si>
  <si>
    <t>0.03605 (0.03177)</t>
  </si>
  <si>
    <t>0.01145 (0.00044)</t>
  </si>
  <si>
    <t>0.04448 (0.00177)</t>
  </si>
  <si>
    <t>0.00226 (0.00011)</t>
  </si>
  <si>
    <t>yjzE</t>
  </si>
  <si>
    <t>0.08902 (0.17763)</t>
  </si>
  <si>
    <t>0.02222 (0.00272)</t>
  </si>
  <si>
    <t>0.08919 (0.00992)</t>
  </si>
  <si>
    <t>0.00570 (0.00115)</t>
  </si>
  <si>
    <t>yjcF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</si>
  <si>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</si>
  <si>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0.11798 (0.09182)</t>
  </si>
  <si>
    <t>0.09204 (0.07700)</t>
  </si>
  <si>
    <t>0.02492 (0.00226)</t>
  </si>
  <si>
    <t>0.09013 (0.01052)</t>
  </si>
  <si>
    <t>0.00907 (0.00050)</t>
  </si>
  <si>
    <t>yjcG</t>
  </si>
  <si>
    <t>putative RNA ligase or phosphoesterase</t>
  </si>
  <si>
    <t>0.04601 (0.05378)</t>
  </si>
  <si>
    <t>0.04922 (0.05152)</t>
  </si>
  <si>
    <t>0.01332 (0.00100)</t>
  </si>
  <si>
    <t>0.05316 (0.00401)</t>
  </si>
  <si>
    <t>0.00221 (0.00027)</t>
  </si>
  <si>
    <t>yjcH</t>
  </si>
  <si>
    <t>putative stress-related hydrolase</t>
  </si>
  <si>
    <t>0.07400 (0.05023)</t>
  </si>
  <si>
    <t>0.08484 (0.03100)</t>
  </si>
  <si>
    <t>0.01661 (0.00068)</t>
  </si>
  <si>
    <t>0.05553 (0.00230)</t>
  </si>
  <si>
    <t>0.00563 (0.00036)</t>
  </si>
  <si>
    <t>metI</t>
  </si>
  <si>
    <t>cystathionine gamma-synthase andO-acetylhomoserine thiolyase</t>
  </si>
  <si>
    <t>0.08188 (0.06140)</t>
  </si>
  <si>
    <t>0.03574 (0.03353)</t>
  </si>
  <si>
    <t>0.01130 (0.00040)</t>
  </si>
  <si>
    <t>0.04405 (0.00165)</t>
  </si>
  <si>
    <t>0.00193 (0.00014)</t>
  </si>
  <si>
    <t>metC</t>
  </si>
  <si>
    <t>cystathionine beta-lyase</t>
  </si>
  <si>
    <t>0.13072 (0.07966)</t>
  </si>
  <si>
    <t>0.02337 (0.02246)</t>
  </si>
  <si>
    <t>0.01866 (0.00065)</t>
  </si>
  <si>
    <t>0.06890 (0.00252)</t>
  </si>
  <si>
    <t>0.00368 (0.00022)</t>
  </si>
  <si>
    <t>yjcK</t>
  </si>
  <si>
    <t>putative ribosomal-protein-alanineN-acetyltransferase</t>
  </si>
  <si>
    <t>0.16975 (0.07577)</t>
  </si>
  <si>
    <t>0.07376 (0.07003)</t>
  </si>
  <si>
    <t>0.01884 (0.00093)</t>
  </si>
  <si>
    <t>0.06390 (0.00355)</t>
  </si>
  <si>
    <t>0.00717 (0.00038)</t>
  </si>
  <si>
    <t>yjcL</t>
  </si>
  <si>
    <t>putative integral inner membrane protein;possibly aquaporin-related</t>
  </si>
  <si>
    <t>0.08903 (0.06160)</t>
  </si>
  <si>
    <t>0.04175 (0.01327)</t>
  </si>
  <si>
    <t>0.02458 (0.00096)</t>
  </si>
  <si>
    <t>0.08914 (0.00364)</t>
  </si>
  <si>
    <t>0.00559 (0.00031)</t>
  </si>
  <si>
    <t>yjcM</t>
  </si>
  <si>
    <t>conserved hypothetical protein; phage island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</si>
  <si>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</si>
  <si>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0.38776 (0.16032)</t>
  </si>
  <si>
    <t>0.28426 (0.32824)</t>
  </si>
  <si>
    <t>0.00244 (0.00058)</t>
  </si>
  <si>
    <t>0.00554 (0.00226)</t>
  </si>
  <si>
    <t>0.00157 (0.00021)</t>
  </si>
  <si>
    <t>yjzG</t>
  </si>
  <si>
    <t>ref , GCA_000293765.1_ASM29376v1_genomic , GCA_000321395.1_ASM32139v1_genomic , GCA_000338735.1_ASM33873v1_genomic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GCA_001889625.1_ASM188962v1_genomic , GCA_002055965.1_ASM205596v1_genomic , GCA_002173615.1_ASM217361v1_genomic</t>
  </si>
  <si>
    <t>0.20974 (0.20484)</t>
  </si>
  <si>
    <t>0.02222 (0.00317)</t>
  </si>
  <si>
    <t>0.06157 (0.01099)</t>
  </si>
  <si>
    <t>0.01272 (0.00361)</t>
  </si>
  <si>
    <t>yjcO</t>
  </si>
  <si>
    <t>putative DNA binding protein; phage island</t>
  </si>
  <si>
    <t>ref , GCA_000293765.1_ASM29376v1_genomic , GCA_000338735.1_ASM33873v1_genomic , GCA_000344745.1_ASM34474v1_genomic , GCA_000497485.1_ASM49748v1_genomic , GCA_000523045.1_ASM52304v1_genomic , GCA_000699465.1_ASM69946v1_genomic , GCA_000699525.1_ASM69952v1_genomic , GCA_000782835.1_ASM78283v1_genomic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GCA_001889625.1_ASM188962v1_genomic , GCA_002055965.1_ASM205596v1_genomic , GCA_002173615.1_ASM217361v1_genomic</t>
  </si>
  <si>
    <t>0.05140 (0.01586)</t>
  </si>
  <si>
    <t>0.03704 (0.00215)</t>
  </si>
  <si>
    <t>0.16792 (0.01005)</t>
  </si>
  <si>
    <t>0.00675 (0.00085)</t>
  </si>
  <si>
    <t>yjcS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</si>
  <si>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</si>
  <si>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0.30860 (0.46250)</t>
  </si>
  <si>
    <t>0.41954 (0.15162)</t>
  </si>
  <si>
    <t>0.01235 (0.00076)</t>
  </si>
  <si>
    <t>0.02834 (0.00337)</t>
  </si>
  <si>
    <t>0.00922 (0.00069)</t>
  </si>
  <si>
    <t>yjdA</t>
  </si>
  <si>
    <t>putative acyl-carrier protein oxidoreductase;phage island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</si>
  <si>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</si>
  <si>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0.08782 (0.08385)</t>
  </si>
  <si>
    <t>0.12732 (0.10966)</t>
  </si>
  <si>
    <t>0.01790 (0.00160)</t>
  </si>
  <si>
    <t>0.06240 (0.00636)</t>
  </si>
  <si>
    <t>0.00611 (0.00052)</t>
  </si>
  <si>
    <t>yjdB</t>
  </si>
  <si>
    <t>putative exported protein; phage island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</si>
  <si>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</si>
  <si>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0.09370 (0.17287)</t>
  </si>
  <si>
    <t>0.00908 (0.00119)</t>
  </si>
  <si>
    <t>0.02950 (0.00379)</t>
  </si>
  <si>
    <t>0.00258 (0.00094)</t>
  </si>
  <si>
    <t>manR</t>
  </si>
  <si>
    <t>transcriptional DNA-binding activator</t>
  </si>
  <si>
    <t>0.10687 (0.17090)</t>
  </si>
  <si>
    <t>0.12758 (0.04978)</t>
  </si>
  <si>
    <t>0.01805 (0.00104)</t>
  </si>
  <si>
    <t>0.06056 (0.00416)</t>
  </si>
  <si>
    <t>0.00747 (0.00038)</t>
  </si>
  <si>
    <t>manP</t>
  </si>
  <si>
    <t>phosphotransferase system (PTS) mannose-specificenzyme IIBCA component</t>
  </si>
  <si>
    <t>0.38814 (0.10159)</t>
  </si>
  <si>
    <t>0.13381 (0.04736)</t>
  </si>
  <si>
    <t>0.07381 (0.02617)</t>
  </si>
  <si>
    <t>0.01659 (0.00081)</t>
  </si>
  <si>
    <t>0.05450 (0.00303)</t>
  </si>
  <si>
    <t>manA</t>
  </si>
  <si>
    <t>mannose-6 phosphate isomerase; cupin family</t>
  </si>
  <si>
    <t>0.15785 (0.14529)</t>
  </si>
  <si>
    <t>0.11244 (0.03574)</t>
  </si>
  <si>
    <t>0.01464 (0.00069)</t>
  </si>
  <si>
    <t>0.04782 (0.00224)</t>
  </si>
  <si>
    <t>0.00577 (0.00035)</t>
  </si>
  <si>
    <t>yjdF</t>
  </si>
  <si>
    <t>0.23129 (0.33653)</t>
  </si>
  <si>
    <t>0.25849 (0.17746)</t>
  </si>
  <si>
    <t>0.02004 (0.00177)</t>
  </si>
  <si>
    <t>0.05372 (0.00591)</t>
  </si>
  <si>
    <t>0.01210 (0.00099)</t>
  </si>
  <si>
    <t>yjdG</t>
  </si>
  <si>
    <t>0.25425 (0.09318)</t>
  </si>
  <si>
    <t>1.15367 (0.62150)</t>
  </si>
  <si>
    <t>0.02294 (0.00111)</t>
  </si>
  <si>
    <t>0.04766 (0.00377)</t>
  </si>
  <si>
    <t>0.01700 (0.00077)</t>
  </si>
  <si>
    <t>yjdH</t>
  </si>
  <si>
    <t>0.06854 (0.07250)</t>
  </si>
  <si>
    <t>0.00763 (0.00047)</t>
  </si>
  <si>
    <t>0.02849 (0.00187)</t>
  </si>
  <si>
    <t>0.00134 (0.00027)</t>
  </si>
  <si>
    <t>trnE</t>
  </si>
  <si>
    <t>cys-tRNApro deacetylase; tRNA editing</t>
  </si>
  <si>
    <t>0.57249 (0.27089)</t>
  </si>
  <si>
    <t>0.51909 (0.34948)</t>
  </si>
  <si>
    <t>0.01274 (0.00080)</t>
  </si>
  <si>
    <t>0.02080 (0.00200)</t>
  </si>
  <si>
    <t>0.01043 (0.00055)</t>
  </si>
  <si>
    <t>yjzH</t>
  </si>
  <si>
    <t>0.09476 (0.09120)</t>
  </si>
  <si>
    <t>0.02877 (0.00392)</t>
  </si>
  <si>
    <t>0.11451 (0.01574)</t>
  </si>
  <si>
    <t>0.00949 (0.00194)</t>
  </si>
  <si>
    <t>yjdJ</t>
  </si>
  <si>
    <t>0.40351 (0.29174)</t>
  </si>
  <si>
    <t>0.28889 (0.40855)</t>
  </si>
  <si>
    <t>0.00997 (0.00059)</t>
  </si>
  <si>
    <t>0.01964 (0.00190)</t>
  </si>
  <si>
    <t>0.00732 (0.00082)</t>
  </si>
  <si>
    <t>ctaO</t>
  </si>
  <si>
    <t>minor protoheme IX farnesyltransferase 1 (heme Osynthase)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</si>
  <si>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</si>
  <si>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0.14082 (0.08123)</t>
  </si>
  <si>
    <t>0.08437 (0.03255)</t>
  </si>
  <si>
    <t>0.01429 (0.00102)</t>
  </si>
  <si>
    <t>0.04649 (0.00316)</t>
  </si>
  <si>
    <t>0.00498 (0.00050)</t>
  </si>
  <si>
    <t>cotT</t>
  </si>
  <si>
    <t>spore coat protein (inner coat)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</si>
  <si>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GCA_002055965.1_ASM205596v1_genomic , GCA_002072735.1_ASM207273v1_genomic , GCA_002142595.1_ASM214259v1_genomic</t>
  </si>
  <si>
    <t>1.17011 (1.95018)</t>
  </si>
  <si>
    <t>0.01270 (0.00126)</t>
  </si>
  <si>
    <t>0.03049 (0.00386)</t>
  </si>
  <si>
    <t>0.00606 (0.00099)</t>
  </si>
  <si>
    <t>pdaC</t>
  </si>
  <si>
    <t>N-acetylmuramic acid deacetylase</t>
  </si>
  <si>
    <t>0.08535 (0.05996)</t>
  </si>
  <si>
    <t>0.12167 (0.09620)</t>
  </si>
  <si>
    <t>0.00819 (0.00032)</t>
  </si>
  <si>
    <t>0.02847 (0.00123)</t>
  </si>
  <si>
    <t>0.00287 (0.00019)</t>
  </si>
  <si>
    <t>yjfA</t>
  </si>
  <si>
    <t>0.10320 (0.10354)</t>
  </si>
  <si>
    <t>0.13173 (0.21398)</t>
  </si>
  <si>
    <t>0.02037 (0.00149)</t>
  </si>
  <si>
    <t>0.06577 (0.00578)</t>
  </si>
  <si>
    <t>0.00751 (0.00062)</t>
  </si>
  <si>
    <t>yjfB</t>
  </si>
  <si>
    <t>0.05296 (0.09123)</t>
  </si>
  <si>
    <t>0.02641 (0.00231)</t>
  </si>
  <si>
    <t>0.13055 (0.01238)</t>
  </si>
  <si>
    <t>0.00176 (0.00055)</t>
  </si>
  <si>
    <t>yjfC</t>
  </si>
  <si>
    <t>0.31948 (0.11905)</t>
  </si>
  <si>
    <t>0.15780 (0.10612)</t>
  </si>
  <si>
    <t>0.02633 (0.00098)</t>
  </si>
  <si>
    <t>0.06839 (0.00276)</t>
  </si>
  <si>
    <t>0.01550 (0.00088)</t>
  </si>
  <si>
    <t>yjgA</t>
  </si>
  <si>
    <t>0.24957 (0.19079)</t>
  </si>
  <si>
    <t>0.16115 (0.16447)</t>
  </si>
  <si>
    <t>0.01288 (0.00083)</t>
  </si>
  <si>
    <t>0.03476 (0.00257)</t>
  </si>
  <si>
    <t>0.00614 (0.00056)</t>
  </si>
  <si>
    <t>yjgB</t>
  </si>
  <si>
    <t>0.12139 (0.05124)</t>
  </si>
  <si>
    <t>0.01795 (0.04441)</t>
  </si>
  <si>
    <t>0.02212 (0.00145)</t>
  </si>
  <si>
    <t>0.08322 (0.00596)</t>
  </si>
  <si>
    <t>0.00473 (0.00043)</t>
  </si>
  <si>
    <t>yjgC</t>
  </si>
  <si>
    <t>putative molybdoenzyme; putative formatedehydrogenase</t>
  </si>
  <si>
    <t>0.12865 (0.05280)</t>
  </si>
  <si>
    <t>0.11267 (0.01709)</t>
  </si>
  <si>
    <t>0.01431 (0.00033)</t>
  </si>
  <si>
    <t>0.04745 (0.00127)</t>
  </si>
  <si>
    <t>0.00513 (0.00015)</t>
  </si>
  <si>
    <t>yjgD</t>
  </si>
  <si>
    <t>0.04639 (0.02126)</t>
  </si>
  <si>
    <t>0.06560 (0.09014)</t>
  </si>
  <si>
    <t>0.02189 (0.00130)</t>
  </si>
  <si>
    <t>0.08893 (0.00568)</t>
  </si>
  <si>
    <t>0.00455 (0.00034)</t>
  </si>
  <si>
    <t>yjhA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</si>
  <si>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GCA_001808235.1_ASM180823v1_genomic , GCA_002055965.1_ASM205596v1_genomic , GCA_002072735.1_ASM207273v1_genomic</t>
  </si>
  <si>
    <t>0.91682 (0.07765)</t>
  </si>
  <si>
    <t>1.60356 (2.31700)</t>
  </si>
  <si>
    <t>0.00532 (0.00111)</t>
  </si>
  <si>
    <t>0.00747 (0.00150)</t>
  </si>
  <si>
    <t>0.00478 (0.00114)</t>
  </si>
  <si>
    <t>yjhB</t>
  </si>
  <si>
    <t>putative ADP-ribose pyrophosphatase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</si>
  <si>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</si>
  <si>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0.15834 (0.04996)</t>
  </si>
  <si>
    <t>0.14388 (0.07541)</t>
  </si>
  <si>
    <t>0.03377 (0.00149)</t>
  </si>
  <si>
    <t>0.10032 (0.00552)</t>
  </si>
  <si>
    <t>0.01673 (0.00109)</t>
  </si>
  <si>
    <t>yjiA</t>
  </si>
  <si>
    <t>0.60163 (0.10545)</t>
  </si>
  <si>
    <t>0.24941 (0.20300)</t>
  </si>
  <si>
    <t>0.05499 (0.05266)</t>
  </si>
  <si>
    <t>0.02341 (0.00163)</t>
  </si>
  <si>
    <t>0.07823 (0.00645)</t>
  </si>
  <si>
    <t>0.00959 (0.00089)</t>
  </si>
  <si>
    <t>cypE</t>
  </si>
  <si>
    <t>cytochrome P450 CYP109B1, monooxygenase</t>
  </si>
  <si>
    <t>0.15101 (0.04155)</t>
  </si>
  <si>
    <t>0.12961 (0.07177)</t>
  </si>
  <si>
    <t>0.01504 (0.00058)</t>
  </si>
  <si>
    <t>0.04795 (0.00177)</t>
  </si>
  <si>
    <t>0.00612 (0.00033)</t>
  </si>
  <si>
    <t>ppuG</t>
  </si>
  <si>
    <t>polyphenols TDP-rhamnosyltransferase,promiscuous</t>
  </si>
  <si>
    <t>0.10642 (0.08737)</t>
  </si>
  <si>
    <t>0.24477 (0.22561)</t>
  </si>
  <si>
    <t>0.01075 (0.00083)</t>
  </si>
  <si>
    <t>0.03450 (0.00309)</t>
  </si>
  <si>
    <t>0.00447 (0.00032)</t>
  </si>
  <si>
    <t>yjzI</t>
  </si>
  <si>
    <t>0.25703 (0.15326)</t>
  </si>
  <si>
    <t>0.01485 (0.00135)</t>
  </si>
  <si>
    <t>0.05182 (0.00626)</t>
  </si>
  <si>
    <t>0.00584 (0.00095)</t>
  </si>
  <si>
    <t>yjjA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</si>
  <si>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</si>
  <si>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0.44190 (0.58134)</t>
  </si>
  <si>
    <t>0.18111 (0.08078)</t>
  </si>
  <si>
    <t>0.00867 (0.00067)</t>
  </si>
  <si>
    <t>0.02059 (0.00185)</t>
  </si>
  <si>
    <t>0.00501 (0.00045)</t>
  </si>
  <si>
    <t>yjkA</t>
  </si>
  <si>
    <t>0.04246 (0.04604)</t>
  </si>
  <si>
    <t>0.04661 (0.04122)</t>
  </si>
  <si>
    <t>0.01184 (0.00054)</t>
  </si>
  <si>
    <t>0.04360 (0.00203)</t>
  </si>
  <si>
    <t>0.00188 (0.00019)</t>
  </si>
  <si>
    <t>yjkB</t>
  </si>
  <si>
    <t>0.15234 (0.09355)</t>
  </si>
  <si>
    <t>0.16301 (0.11577)</t>
  </si>
  <si>
    <t>0.01792 (0.00090)</t>
  </si>
  <si>
    <t>0.04988 (0.00249)</t>
  </si>
  <si>
    <t>0.00871 (0.00060)</t>
  </si>
  <si>
    <t>yjlA</t>
  </si>
  <si>
    <t>0.16039 (0.05945)</t>
  </si>
  <si>
    <t>0.07416 (0.05257)</t>
  </si>
  <si>
    <t>0.01111 (0.00049)</t>
  </si>
  <si>
    <t>0.00390 (0.00023)</t>
  </si>
  <si>
    <t>yjlB</t>
  </si>
  <si>
    <t>conserved hypothetical protein; cupin family</t>
  </si>
  <si>
    <t>0.44971 (0.29220)</t>
  </si>
  <si>
    <t>0.19994 (0.14519)</t>
  </si>
  <si>
    <t>0.01345 (0.00057)</t>
  </si>
  <si>
    <t>0.03029 (0.00140)</t>
  </si>
  <si>
    <t>0.00865 (0.00053)</t>
  </si>
  <si>
    <t>yjlC</t>
  </si>
  <si>
    <t>0.07179 (0.06784)</t>
  </si>
  <si>
    <t>0.02674 (0.02608)</t>
  </si>
  <si>
    <t>0.02608 (0.00205)</t>
  </si>
  <si>
    <t>0.11389 (0.00961)</t>
  </si>
  <si>
    <t>0.00370 (0.00037)</t>
  </si>
  <si>
    <t>ndh</t>
  </si>
  <si>
    <t>NADH dehydrogenase</t>
  </si>
  <si>
    <t>0.01759 (0.02500)</t>
  </si>
  <si>
    <t>0.02571 (0.03853)</t>
  </si>
  <si>
    <t>0.01815 (0.00074)</t>
  </si>
  <si>
    <t>0.07078 (0.00293)</t>
  </si>
  <si>
    <t>0.00202 (0.00013)</t>
  </si>
  <si>
    <t>uxaC</t>
  </si>
  <si>
    <t>galacturonate isomerase</t>
  </si>
  <si>
    <t>0.13897 (0.05096)</t>
  </si>
  <si>
    <t>0.09416 (0.02206)</t>
  </si>
  <si>
    <t>0.01840 (0.00039)</t>
  </si>
  <si>
    <t>0.06116 (0.00148)</t>
  </si>
  <si>
    <t>0.00762 (0.00021)</t>
  </si>
  <si>
    <t>exuM</t>
  </si>
  <si>
    <t>putative Na+:altronate/mannonate symporter</t>
  </si>
  <si>
    <t>0.09224 (0.05841)</t>
  </si>
  <si>
    <t>0.05145 (0.06327)</t>
  </si>
  <si>
    <t>0.02250 (0.00119)</t>
  </si>
  <si>
    <t>0.08618 (0.00537)</t>
  </si>
  <si>
    <t>0.00425 (0.00014)</t>
  </si>
  <si>
    <t>yjmC</t>
  </si>
  <si>
    <t>0.22444 (0.11364)</t>
  </si>
  <si>
    <t>0.45381 (0.12971)</t>
  </si>
  <si>
    <t>0.01484 (0.00064)</t>
  </si>
  <si>
    <t>0.03743 (0.00174)</t>
  </si>
  <si>
    <t>0.00838 (0.00045)</t>
  </si>
  <si>
    <t>yjmD</t>
  </si>
  <si>
    <t>0.20108 (0.06811)</t>
  </si>
  <si>
    <t>0.22992 (0.10148)</t>
  </si>
  <si>
    <t>0.01800 (0.00068)</t>
  </si>
  <si>
    <t>0.04534 (0.00173)</t>
  </si>
  <si>
    <t>0.00992 (0.00045)</t>
  </si>
  <si>
    <t>uxuA</t>
  </si>
  <si>
    <t>D-mannonate dehydratase</t>
  </si>
  <si>
    <t>0.24827 (0.16833)</t>
  </si>
  <si>
    <t>0.07900 (0.06120)</t>
  </si>
  <si>
    <t>0.01208 (0.00061)</t>
  </si>
  <si>
    <t>0.03552 (0.00204)</t>
  </si>
  <si>
    <t>0.00559 (0.00029)</t>
  </si>
  <si>
    <t>uxuB</t>
  </si>
  <si>
    <t>fructuronate reductase</t>
  </si>
  <si>
    <t>0.11128 (0.04668)</t>
  </si>
  <si>
    <t>0.03090 (0.04543)</t>
  </si>
  <si>
    <t>0.01462 (0.00051)</t>
  </si>
  <si>
    <t>0.05218 (0.00197)</t>
  </si>
  <si>
    <t>0.00301 (0.00018)</t>
  </si>
  <si>
    <t>exuT</t>
  </si>
  <si>
    <t>hexuronate transporter</t>
  </si>
  <si>
    <t>0.02512 (0.01765)</t>
  </si>
  <si>
    <t>0.03443 (0.04106)</t>
  </si>
  <si>
    <t>0.01709 (0.00048)</t>
  </si>
  <si>
    <t>0.06598 (0.00210)</t>
  </si>
  <si>
    <t>0.00158 (0.00009)</t>
  </si>
  <si>
    <t>exuR</t>
  </si>
  <si>
    <t>transcriptional regulator (LacI family)</t>
  </si>
  <si>
    <t>0.05456 (0.03934)</t>
  </si>
  <si>
    <t>0.02472 (0.02332)</t>
  </si>
  <si>
    <t>0.01603 (0.00053)</t>
  </si>
  <si>
    <t>0.06596 (0.00246)</t>
  </si>
  <si>
    <t>0.00242 (0.00013)</t>
  </si>
  <si>
    <t>uxaB</t>
  </si>
  <si>
    <t>tagaturonate reductase (altronateoxidoreductase)</t>
  </si>
  <si>
    <t>0.21779 (0.07716)</t>
  </si>
  <si>
    <t>0.18562 (0.03858)</t>
  </si>
  <si>
    <t>0.02298 (0.00057)</t>
  </si>
  <si>
    <t>0.06584 (0.00184)</t>
  </si>
  <si>
    <t>0.01168 (0.00034)</t>
  </si>
  <si>
    <t>uxaA</t>
  </si>
  <si>
    <t>altronate dehydratase</t>
  </si>
  <si>
    <t>0.14301 (0.05503)</t>
  </si>
  <si>
    <t>0.11472 (0.02574)</t>
  </si>
  <si>
    <t>0.01680 (0.00051)</t>
  </si>
  <si>
    <t>0.05221 (0.00174)</t>
  </si>
  <si>
    <t>0.00676 (0.00024)</t>
  </si>
  <si>
    <t>yjnA</t>
  </si>
  <si>
    <t>0.29688 (0.08822)</t>
  </si>
  <si>
    <t>0.01768 (0.03377)</t>
  </si>
  <si>
    <t>0.01847 (0.02814)</t>
  </si>
  <si>
    <t>0.02279 (0.00147)</t>
  </si>
  <si>
    <t>0.09598 (0.00672)</t>
  </si>
  <si>
    <t>0.00159 (0.00011)</t>
  </si>
  <si>
    <t>yjoA</t>
  </si>
  <si>
    <t>putative DNA-binding protein</t>
  </si>
  <si>
    <t>ref , GCA_000146565.1_ASM14656v1_genomic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</si>
  <si>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0.19145 (0.10224)</t>
  </si>
  <si>
    <t>0.08397 (0.09283)</t>
  </si>
  <si>
    <t>0.02620 (0.00191)</t>
  </si>
  <si>
    <t>0.09252 (0.00728)</t>
  </si>
  <si>
    <t>0.00970 (0.00072)</t>
  </si>
  <si>
    <t>yjoB</t>
  </si>
  <si>
    <t>informational ATPase possibly involved inprotein degradation</t>
  </si>
  <si>
    <t>ref , GCA_000146565.1_ASM14656v1_genomic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GCA_001808235.1_ASM180823v1_genomic , GCA_001889625.1_ASM188962v1_genomic , GCA_002055965.1_ASM205596v1_genomic , GCA_002072735.1_ASM207273v1_genomic , GCA_002142595.1_ASM214259v1_genomic</t>
  </si>
  <si>
    <t>0.13733 (0.08932)</t>
  </si>
  <si>
    <t>0.06727 (0.08663)</t>
  </si>
  <si>
    <t>0.01494 (0.00131)</t>
  </si>
  <si>
    <t>0.05432 (0.00540)</t>
  </si>
  <si>
    <t>0.00466 (0.00033)</t>
  </si>
  <si>
    <t>rapA</t>
  </si>
  <si>
    <t>0.00703 (0.02879)</t>
  </si>
  <si>
    <t>0.01739 (0.03413)</t>
  </si>
  <si>
    <t>0.01554 (0.00079)</t>
  </si>
  <si>
    <t>0.07474 (0.00397)</t>
  </si>
  <si>
    <t>0.00081 (0.00008)</t>
  </si>
  <si>
    <t>yjpA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</si>
  <si>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</si>
  <si>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0.10808 (0.07633)</t>
  </si>
  <si>
    <t>0.07270 (0.10905)</t>
  </si>
  <si>
    <t>0.01580 (0.00100)</t>
  </si>
  <si>
    <t>0.05379 (0.00472)</t>
  </si>
  <si>
    <t>0.00539 (0.00085)</t>
  </si>
  <si>
    <t>xlyB</t>
  </si>
  <si>
    <t>phage PBSX; N-acetylmuramoyl-L-alanine amidase</t>
  </si>
  <si>
    <t>0.11405 (0.07325)</t>
  </si>
  <si>
    <t>0.12407 (0.04238)</t>
  </si>
  <si>
    <t>0.02098 (0.00102)</t>
  </si>
  <si>
    <t>0.06836 (0.00355)</t>
  </si>
  <si>
    <t>0.00726 (0.00040)</t>
  </si>
  <si>
    <t>yjqA</t>
  </si>
  <si>
    <t>phage PBSX; conserved hypothetical protein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</si>
  <si>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</si>
  <si>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0.06426 (0.03004)</t>
  </si>
  <si>
    <t>0.03573 (0.03430)</t>
  </si>
  <si>
    <t>0.03124 (0.00242)</t>
  </si>
  <si>
    <t>0.12938 (0.01258)</t>
  </si>
  <si>
    <t>0.00596 (0.00063)</t>
  </si>
  <si>
    <t>pghB</t>
  </si>
  <si>
    <t>phage PBSX; gamma-polyglutamate hydrolase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</si>
  <si>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</si>
  <si>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0.11814 (0.10812)</t>
  </si>
  <si>
    <t>0.04885 (0.05412)</t>
  </si>
  <si>
    <t>0.01865 (0.00227)</t>
  </si>
  <si>
    <t>0.06892 (0.00879)</t>
  </si>
  <si>
    <t>0.00516 (0.00065)</t>
  </si>
  <si>
    <t>xpdC</t>
  </si>
  <si>
    <t>phage PBSX; manganese-containing peroxidase</t>
  </si>
  <si>
    <t>0.02798 (0.09430)</t>
  </si>
  <si>
    <t>0.01203 (0.00131)</t>
  </si>
  <si>
    <t>0.05313 (0.00558)</t>
  </si>
  <si>
    <t>0.00085 (0.00024)</t>
  </si>
  <si>
    <t>xkdA</t>
  </si>
  <si>
    <t>phage PBSX; putative peptidase</t>
  </si>
  <si>
    <t>0.06128 (0.08027)</t>
  </si>
  <si>
    <t>0.09365 (0.05024)</t>
  </si>
  <si>
    <t>0.01557 (0.00192)</t>
  </si>
  <si>
    <t>0.06177 (0.00907)</t>
  </si>
  <si>
    <t>0.00513 (0.00050)</t>
  </si>
  <si>
    <t>xre</t>
  </si>
  <si>
    <t>phage PBSX transcriptional regulator</t>
  </si>
  <si>
    <t>ref , GCA_000146565.1_ASM14656v1_genomic , GCA_000186745.1_ASM18674v1_genomic , GCA_000209795.2_ASM20979v2_genomic , GCA_000227465.1_ASM22746v1_genomic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</si>
  <si>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0.11203 (0.11135)</t>
  </si>
  <si>
    <t>0.07373 (0.03484)</t>
  </si>
  <si>
    <t>0.02781 (0.00220)</t>
  </si>
  <si>
    <t>0.11318 (0.01042)</t>
  </si>
  <si>
    <t>0.00828 (0.00068)</t>
  </si>
  <si>
    <t>yjzJ</t>
  </si>
  <si>
    <t>0.09567 (0.07362)</t>
  </si>
  <si>
    <t>0.10339 (0.06361)</t>
  </si>
  <si>
    <t>0.03148 (0.00287)</t>
  </si>
  <si>
    <t>0.12651 (0.01641)</t>
  </si>
  <si>
    <t>0.00985 (0.00112)</t>
  </si>
  <si>
    <t>xkdB</t>
  </si>
  <si>
    <t>0.28766 (0.14719)</t>
  </si>
  <si>
    <t>0.06151 (0.07738)</t>
  </si>
  <si>
    <t>0.01130 (0.00059)</t>
  </si>
  <si>
    <t>0.03611 (0.00191)</t>
  </si>
  <si>
    <t>0.00444 (0.00041)</t>
  </si>
  <si>
    <t>xkdC</t>
  </si>
  <si>
    <t>phage PBSX; putative DNA binding protein</t>
  </si>
  <si>
    <t>0.08662 (0.08430)</t>
  </si>
  <si>
    <t>0.12014 (0.09993)</t>
  </si>
  <si>
    <t>0.01343 (0.00062)</t>
  </si>
  <si>
    <t>0.04792 (0.00243)</t>
  </si>
  <si>
    <t>0.00384 (0.00025)</t>
  </si>
  <si>
    <t>ykzK</t>
  </si>
  <si>
    <t>0.07398 (0.14061)</t>
  </si>
  <si>
    <t>0.14796 (0.21356)</t>
  </si>
  <si>
    <t>0.01385 (0.00110)</t>
  </si>
  <si>
    <t>0.04391 (0.00479)</t>
  </si>
  <si>
    <t>0.00538 (0.00090)</t>
  </si>
  <si>
    <t>xkdD</t>
  </si>
  <si>
    <t>0.17056 (0.09861)</t>
  </si>
  <si>
    <t>0.09266 (0.11553)</t>
  </si>
  <si>
    <t>0.02451 (0.00108)</t>
  </si>
  <si>
    <t>0.07627 (0.00413)</t>
  </si>
  <si>
    <t>0.00980 (0.00070)</t>
  </si>
  <si>
    <t>xtrA</t>
  </si>
  <si>
    <t>phage PBSX; conserved protein of unknownfunction</t>
  </si>
  <si>
    <t>0.10968 (0.11328)</t>
  </si>
  <si>
    <t>0.09539 (0.20796)</t>
  </si>
  <si>
    <t>0.02931 (0.00149)</t>
  </si>
  <si>
    <t>0.09728 (0.00549)</t>
  </si>
  <si>
    <t>0.01180 (0.00107)</t>
  </si>
  <si>
    <t>xpf</t>
  </si>
  <si>
    <t>phage PBSX; putative RNA polymerase PBSX sigmafactor-like</t>
  </si>
  <si>
    <t>0.22880 (0.10113)</t>
  </si>
  <si>
    <t>0.19579 (0.09687)</t>
  </si>
  <si>
    <t>0.02053 (0.00141)</t>
  </si>
  <si>
    <t>0.06008 (0.00488)</t>
  </si>
  <si>
    <t>0.01061 (0.00075)</t>
  </si>
  <si>
    <t>xtmA</t>
  </si>
  <si>
    <t>phage PBSX; prophage terminase (small subunit)</t>
  </si>
  <si>
    <t>0.07403 (0.03489)</t>
  </si>
  <si>
    <t>0.06872 (0.04224)</t>
  </si>
  <si>
    <t>0.01645 (0.00069)</t>
  </si>
  <si>
    <t>0.06679 (0.00315)</t>
  </si>
  <si>
    <t>0.00401 (0.00024)</t>
  </si>
  <si>
    <t>xtmB</t>
  </si>
  <si>
    <t>phage PBSX; prophage terminase (large subunit)</t>
  </si>
  <si>
    <t>0.03441 (0.05133)</t>
  </si>
  <si>
    <t>0.07349 (0.03514)</t>
  </si>
  <si>
    <t>0.01655 (0.00110)</t>
  </si>
  <si>
    <t>0.06421 (0.00517)</t>
  </si>
  <si>
    <t>0.00393 (0.00025)</t>
  </si>
  <si>
    <t>xkdE</t>
  </si>
  <si>
    <t>phage PBSX; phage capsid portal protein</t>
  </si>
  <si>
    <t>0.04729 (0.02183)</t>
  </si>
  <si>
    <t>0.03326 (0.03089)</t>
  </si>
  <si>
    <t>0.01445 (0.00064)</t>
  </si>
  <si>
    <t>0.05921 (0.00261)</t>
  </si>
  <si>
    <t>xkdF</t>
  </si>
  <si>
    <t>0.08784 (0.03077)</t>
  </si>
  <si>
    <t>0.09841 (0.05606)</t>
  </si>
  <si>
    <t>0.02687 (0.00128)</t>
  </si>
  <si>
    <t>0.10384 (0.00524)</t>
  </si>
  <si>
    <t>0.00781 (0.00041)</t>
  </si>
  <si>
    <t>xkdG</t>
  </si>
  <si>
    <t>phage PBSX; putative phage chromosome bindingprotein</t>
  </si>
  <si>
    <t>0.01440 (0.01766)</t>
  </si>
  <si>
    <t>0.01410 (0.01626)</t>
  </si>
  <si>
    <t>0.02371 (0.00102)</t>
  </si>
  <si>
    <t>0.10795 (0.00491)</t>
  </si>
  <si>
    <t>0.00146 (0.00010)</t>
  </si>
  <si>
    <t>ykzL</t>
  </si>
  <si>
    <t>0.19951 (0.07906)</t>
  </si>
  <si>
    <t>0.10595 (0.10903)</t>
  </si>
  <si>
    <t>0.02310 (0.00153)</t>
  </si>
  <si>
    <t>0.06609 (0.00511)</t>
  </si>
  <si>
    <t>0.01030 (0.00076)</t>
  </si>
  <si>
    <t>xkdH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</si>
  <si>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</si>
  <si>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0.08324 (0.10222)</t>
  </si>
  <si>
    <t>0.36498 (0.14962)</t>
  </si>
  <si>
    <t>0.01701 (0.00105)</t>
  </si>
  <si>
    <t>0.04365 (0.00342)</t>
  </si>
  <si>
    <t>0.01019 (0.00103)</t>
  </si>
  <si>
    <t>xkdI</t>
  </si>
  <si>
    <t>0.50237 (0.28236)</t>
  </si>
  <si>
    <t>0.58728 (0.84767)</t>
  </si>
  <si>
    <t>0.00930 (0.00038)</t>
  </si>
  <si>
    <t>0.01423 (0.00114)</t>
  </si>
  <si>
    <t>0.00795 (0.00055)</t>
  </si>
  <si>
    <t>xkdJ</t>
  </si>
  <si>
    <t>0.16542 (0.09131)</t>
  </si>
  <si>
    <t>0.04160 (0.07674)</t>
  </si>
  <si>
    <t>0.01439 (0.00077)</t>
  </si>
  <si>
    <t>0.04875 (0.00258)</t>
  </si>
  <si>
    <t>0.00486 (0.00052)</t>
  </si>
  <si>
    <t>ykzM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</si>
  <si>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</si>
  <si>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0.19993 (0.17319)</t>
  </si>
  <si>
    <t>0.19625 (0.10115)</t>
  </si>
  <si>
    <t>0.02630 (0.00291)</t>
  </si>
  <si>
    <t>0.08249 (0.01103)</t>
  </si>
  <si>
    <t>0.01281 (0.00136)</t>
  </si>
  <si>
    <t>xkdK</t>
  </si>
  <si>
    <t>0.02459 (0.02861)</t>
  </si>
  <si>
    <t>0.01147 (0.00046)</t>
  </si>
  <si>
    <t>0.04745 (0.00193)</t>
  </si>
  <si>
    <t>0.00058 (0.00009)</t>
  </si>
  <si>
    <t>xkdM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</si>
  <si>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</si>
  <si>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0.01014 (0.02593)</t>
  </si>
  <si>
    <t>0.02381 (0.00133)</t>
  </si>
  <si>
    <t>0.11217 (0.00707)</t>
  </si>
  <si>
    <t>0.00065 (0.00020)</t>
  </si>
  <si>
    <t>xkdN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</si>
  <si>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GCA_001604995.1_ASM160499v1_genomic , GCA_001697265.1_ASM169726v1_genomic , GCA_001703495.1_ASM170349v1_genomic , GCA_001720505.1_ASM172050v1_genomic , GCA_002055965.1_ASM205596v1_genomic , GCA_002072735.1_ASM207273v1_genomic</t>
  </si>
  <si>
    <t>0.01697 (0.00411)</t>
  </si>
  <si>
    <t>0.08754 (0.02209)</t>
  </si>
  <si>
    <t>xkdP</t>
  </si>
  <si>
    <t>phage PBSX; putative murein binding protein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</si>
  <si>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GCA_001604995.1_ASM160499v1_genomic , GCA_001697265.1_ASM169726v1_genomic , GCA_001703495.1_ASM170349v1_genomic , GCA_001720505.1_ASM172050v1_genomic , GCA_002055965.1_ASM205596v1_genomic , GCA_002072735.1_ASM207273v1_genomic</t>
  </si>
  <si>
    <t>0.04040 (0.02938)</t>
  </si>
  <si>
    <t>0.04086 (0.01648)</t>
  </si>
  <si>
    <t>0.03196 (0.00324)</t>
  </si>
  <si>
    <t>0.14291 (0.01793)</t>
  </si>
  <si>
    <t>0.00630 (0.00061)</t>
  </si>
  <si>
    <t>xkdQ</t>
  </si>
  <si>
    <t>0.02496 (0.03047)</t>
  </si>
  <si>
    <t>0.01244 (0.03515)</t>
  </si>
  <si>
    <t>0.01464 (0.00084)</t>
  </si>
  <si>
    <t>0.06231 (0.00361)</t>
  </si>
  <si>
    <t>0.00120 (0.00013)</t>
  </si>
  <si>
    <t>xkdR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</si>
  <si>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</si>
  <si>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0.09257 (0.12223)</t>
  </si>
  <si>
    <t>0.30954 (0.12001)</t>
  </si>
  <si>
    <t>0.02003 (0.00192)</t>
  </si>
  <si>
    <t>0.05667 (0.00719)</t>
  </si>
  <si>
    <t>0.00971 (0.00088)</t>
  </si>
  <si>
    <t>xkdS</t>
  </si>
  <si>
    <t>0.09367 (0.06158)</t>
  </si>
  <si>
    <t>0.10266 (0.06079)</t>
  </si>
  <si>
    <t>0.02075 (0.00160)</t>
  </si>
  <si>
    <t>0.07036 (0.00671)</t>
  </si>
  <si>
    <t>0.00766 (0.00049)</t>
  </si>
  <si>
    <t>xkdT</t>
  </si>
  <si>
    <t>phage PBSX; putative base plate assemblyprotein</t>
  </si>
  <si>
    <t>0.06199 (0.01868)</t>
  </si>
  <si>
    <t>0.02720 (0.02296)</t>
  </si>
  <si>
    <t>0.01763 (0.00086)</t>
  </si>
  <si>
    <t>0.07187 (0.00351)</t>
  </si>
  <si>
    <t>0.00220 (0.00016)</t>
  </si>
  <si>
    <t>xkdU</t>
  </si>
  <si>
    <t>0.02619 (0.02465)</t>
  </si>
  <si>
    <t>0.03894 (0.08358)</t>
  </si>
  <si>
    <t>0.02011 (0.00083)</t>
  </si>
  <si>
    <t>0.08141 (0.00357)</t>
  </si>
  <si>
    <t>0.00337 (0.00032)</t>
  </si>
  <si>
    <t>xkzA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</si>
  <si>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</si>
  <si>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0.08119 (0.05744)</t>
  </si>
  <si>
    <t>0.29610 (0.16540)</t>
  </si>
  <si>
    <t>0.02750 (0.00107)</t>
  </si>
  <si>
    <t>0.08156 (0.00447)</t>
  </si>
  <si>
    <t>0.01298 (0.00096)</t>
  </si>
  <si>
    <t>xkdX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</si>
  <si>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GCA_002173615.1_ASM217361v1_genomic</t>
  </si>
  <si>
    <t>0.22659 (0.22027)</t>
  </si>
  <si>
    <t>0.13596 (0.08314)</t>
  </si>
  <si>
    <t>0.03471 (0.00265)</t>
  </si>
  <si>
    <t>0.10776 (0.00942)</t>
  </si>
  <si>
    <t>0.01714 (0.00156)</t>
  </si>
  <si>
    <t>xepA</t>
  </si>
  <si>
    <t>phage PBSX; lytic exoenzyme</t>
  </si>
  <si>
    <t>0.20935 (0.04310)</t>
  </si>
  <si>
    <t>0.11473 (0.02647)</t>
  </si>
  <si>
    <t>0.02464 (0.00102)</t>
  </si>
  <si>
    <t>0.07477 (0.00362)</t>
  </si>
  <si>
    <t>0.01005 (0.00050)</t>
  </si>
  <si>
    <t>xhlA</t>
  </si>
  <si>
    <t>phage PBSX; putative enzyme</t>
  </si>
  <si>
    <t>0.02713 (0.07150)</t>
  </si>
  <si>
    <t>0.16469 (0.17052)</t>
  </si>
  <si>
    <t>0.01934 (0.00120)</t>
  </si>
  <si>
    <t>0.06994 (0.00460)</t>
  </si>
  <si>
    <t>0.00648 (0.00081)</t>
  </si>
  <si>
    <t>xhlB</t>
  </si>
  <si>
    <t>phage PBSX; holin</t>
  </si>
  <si>
    <t>0.28836 (0.31481)</t>
  </si>
  <si>
    <t>0.09611 (0.14826)</t>
  </si>
  <si>
    <t>0.01754 (0.00172)</t>
  </si>
  <si>
    <t>0.04674 (0.00462)</t>
  </si>
  <si>
    <t>0.00968 (0.00121)</t>
  </si>
  <si>
    <t>xlyA</t>
  </si>
  <si>
    <t>0.08815 (0.05850)</t>
  </si>
  <si>
    <t>0.06588 (0.04594)</t>
  </si>
  <si>
    <t>0.02022 (0.00077)</t>
  </si>
  <si>
    <t>0.07166 (0.00293)</t>
  </si>
  <si>
    <t>0.00517 (0.00029)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</si>
  <si>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</si>
  <si>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spoIISA</t>
  </si>
  <si>
    <t>three-component apoptosis factor (ABC</t>
  </si>
  <si>
    <t>0.16684 (0.12706)</t>
  </si>
  <si>
    <t>0.00604 (0.00024)</t>
  </si>
  <si>
    <t>0.02233 (0.00108)</t>
  </si>
  <si>
    <t>0.00125 (0.00015)</t>
  </si>
  <si>
    <t>pitB</t>
  </si>
  <si>
    <t>putative low-affinity inorganic phosphatetransporter</t>
  </si>
  <si>
    <t>0.55766 (0.12739)</t>
  </si>
  <si>
    <t>0.07309 (0.05027)</t>
  </si>
  <si>
    <t>0.00750 (0.00042)</t>
  </si>
  <si>
    <t>0.02797 (0.00170)</t>
  </si>
  <si>
    <t>ykaA</t>
  </si>
  <si>
    <t>putative PitB transporter accessory protein</t>
  </si>
  <si>
    <t>0.01937 (0.00160)</t>
  </si>
  <si>
    <t>0.10701 (0.00934)</t>
  </si>
  <si>
    <t>steT</t>
  </si>
  <si>
    <t>serine / threonine exchanger</t>
  </si>
  <si>
    <t>0.05358 (0.02010)</t>
  </si>
  <si>
    <t>0.04173 (0.03920)</t>
  </si>
  <si>
    <t>0.01264 (0.00042)</t>
  </si>
  <si>
    <t>0.04636 (0.00181)</t>
  </si>
  <si>
    <t>0.00219 (0.00011)</t>
  </si>
  <si>
    <t>mhqA</t>
  </si>
  <si>
    <t>hydroquinone-specific extradiol dioxygenase</t>
  </si>
  <si>
    <t>0.06816 (0.01145)</t>
  </si>
  <si>
    <t>0.03186 (0.04065)</t>
  </si>
  <si>
    <t>0.01425 (0.00065)</t>
  </si>
  <si>
    <t>0.05530 (0.00278)</t>
  </si>
  <si>
    <t>0.00245 (0.00014)</t>
  </si>
  <si>
    <t>BSU_12875</t>
  </si>
  <si>
    <t>hypothetical proteinDKKEgene            1354285..1356435CDS             1354285..1356435computational evidences; PubMedId: 15849754, 16850406,18175906; Product type e: enzyme</t>
  </si>
  <si>
    <t>ref , GCA_000293765.1_ASM29376v1_genomic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GCA_001015095.1_ASM101509v1_genomic , GCA_001534785.1_ASM153478v1_genomic , GCA_001541905.1_ASM154190v1_genomic , GCA_001604995.1_ASM160499v1_genomic , GCA_001660525.1_ASM166052v1_genomic , GCA_001697265.1_ASM169726v1_genomic , GCA_001703495.1_ASM170349v1_genomic , GCA_001720505.1_ASM172050v1_genomic , GCA_001808235.1_ASM180823v1_genomic , GCA_002055965.1_ASM205596v1_genomic , GCA_002142595.1_ASM214259v1_genomic , GCA_002163815.1_ASM216381v1_genomic</t>
  </si>
  <si>
    <t>0.12610 (0.18201)</t>
  </si>
  <si>
    <t>0.51370 (0.36324)</t>
  </si>
  <si>
    <t>0.03404 (0.00592)</t>
  </si>
  <si>
    <t>0.07387 (0.01231)</t>
  </si>
  <si>
    <t>0.02559 (0.00501)</t>
  </si>
  <si>
    <t>ykcC</t>
  </si>
  <si>
    <t>0.09509 (0.03737)</t>
  </si>
  <si>
    <t>0.02458 (0.04676)</t>
  </si>
  <si>
    <t>0.02439 (0.00169)</t>
  </si>
  <si>
    <t>0.10550 (0.00784)</t>
  </si>
  <si>
    <t>0.00425 (0.00028)</t>
  </si>
  <si>
    <t>proCC</t>
  </si>
  <si>
    <t>redundant pyrroline-5-carboxylate reductase</t>
  </si>
  <si>
    <t>0.17600 (0.05748)</t>
  </si>
  <si>
    <t>0.09356 (0.05030)</t>
  </si>
  <si>
    <t>0.01758 (0.00066)</t>
  </si>
  <si>
    <t>0.05235 (0.00215)</t>
  </si>
  <si>
    <t>0.00732 (0.00032)</t>
  </si>
  <si>
    <t>dppA</t>
  </si>
  <si>
    <t>D-alanyl-aminopeptidase</t>
  </si>
  <si>
    <t>0.06731 (0.05785)</t>
  </si>
  <si>
    <t>0.03794 (0.08525)</t>
  </si>
  <si>
    <t>0.00635 (0.00041)</t>
  </si>
  <si>
    <t>0.02365 (0.00161)</t>
  </si>
  <si>
    <t>0.00121 (0.00015)</t>
  </si>
  <si>
    <t>dppB</t>
  </si>
  <si>
    <t>dipeptide ABC transporter (permease)</t>
  </si>
  <si>
    <t>0.04319 (0.04085)</t>
  </si>
  <si>
    <t>0.02407 (0.05387)</t>
  </si>
  <si>
    <t>0.02278 (0.00132)</t>
  </si>
  <si>
    <t>0.09324 (0.00556)</t>
  </si>
  <si>
    <t>0.00243 (0.00019)</t>
  </si>
  <si>
    <t>dppC</t>
  </si>
  <si>
    <t>0.04715 (0.05270)</t>
  </si>
  <si>
    <t>0.06821 (0.06465)</t>
  </si>
  <si>
    <t>0.00938 (0.00031)</t>
  </si>
  <si>
    <t>0.03385 (0.00109)</t>
  </si>
  <si>
    <t>0.00182 (0.00016)</t>
  </si>
  <si>
    <t>dppD</t>
  </si>
  <si>
    <t>dipeptide ABC transporter (ATP-binding subunit)</t>
  </si>
  <si>
    <t>0.23215 (0.09239)</t>
  </si>
  <si>
    <t>0.14796 (0.15876)</t>
  </si>
  <si>
    <t>0.01506 (0.00068)</t>
  </si>
  <si>
    <t>0.04283 (0.00232)</t>
  </si>
  <si>
    <t>0.00676 (0.00037)</t>
  </si>
  <si>
    <t>dppE</t>
  </si>
  <si>
    <t>dipeptide ABC transporter (dipeptide-bindinglipoprotein)</t>
  </si>
  <si>
    <t>0.10799 (0.03179)</t>
  </si>
  <si>
    <t>0.01472 (0.02061)</t>
  </si>
  <si>
    <t>0.01499 (0.00053)</t>
  </si>
  <si>
    <t>0.05946 (0.00232)</t>
  </si>
  <si>
    <t>0.00379 (0.00023)</t>
  </si>
  <si>
    <t>ldcA</t>
  </si>
  <si>
    <t>muropeptide L,D-carboxypeptidase</t>
  </si>
  <si>
    <t>0.61317 (0.11853)</t>
  </si>
  <si>
    <t>0.11684 (0.10154)</t>
  </si>
  <si>
    <t>0.06452 (0.05233)</t>
  </si>
  <si>
    <t>0.01774 (0.00075)</t>
  </si>
  <si>
    <t>0.05960 (0.00278)</t>
  </si>
  <si>
    <t>0.00546 (0.00035)</t>
  </si>
  <si>
    <t>aeeB</t>
  </si>
  <si>
    <t>L-Ala-D/L-Glu epimerase</t>
  </si>
  <si>
    <t>0.14424 (0.05309)</t>
  </si>
  <si>
    <t>0.14532 (0.03853)</t>
  </si>
  <si>
    <t>0.01770 (0.00067)</t>
  </si>
  <si>
    <t>0.05452 (0.00228)</t>
  </si>
  <si>
    <t>0.00714 (0.00031)</t>
  </si>
  <si>
    <t>eepC</t>
  </si>
  <si>
    <t>gamma-D-glutamyl-L-diaminoacid endopeptidase</t>
  </si>
  <si>
    <t>0.18985 (0.10882)</t>
  </si>
  <si>
    <t>0.17862 (0.03428)</t>
  </si>
  <si>
    <t>0.03169 (0.00116)</t>
  </si>
  <si>
    <t>0.09243 (0.00391)</t>
  </si>
  <si>
    <t>0.01588 (0.00063)</t>
  </si>
  <si>
    <t>ykfD</t>
  </si>
  <si>
    <t>putative cell wall oligopeptide ABC transporter(ATP binding protein)</t>
  </si>
  <si>
    <t>0.05166 (0.06354)</t>
  </si>
  <si>
    <t>0.02880 (0.02878)</t>
  </si>
  <si>
    <t>0.02355 (0.00125)</t>
  </si>
  <si>
    <t>0.09108 (0.00505)</t>
  </si>
  <si>
    <t>0.00481 (0.00038)</t>
  </si>
  <si>
    <t>pgl</t>
  </si>
  <si>
    <t>6-phosphogluconolactonase</t>
  </si>
  <si>
    <t>0.08747 (0.05301)</t>
  </si>
  <si>
    <t>0.14263 (0.06193)</t>
  </si>
  <si>
    <t>0.01214 (0.00048)</t>
  </si>
  <si>
    <t>0.04196 (0.00215)</t>
  </si>
  <si>
    <t>0.00341 (0.00019)</t>
  </si>
  <si>
    <t>ddaH</t>
  </si>
  <si>
    <t>N(G),N(G)-dimethylargininedimethylaminohydrolase</t>
  </si>
  <si>
    <t>0.07379 (0.11439)</t>
  </si>
  <si>
    <t>0.10082 (0.08977)</t>
  </si>
  <si>
    <t>0.01774 (0.00149)</t>
  </si>
  <si>
    <t>0.06577 (0.00605)</t>
  </si>
  <si>
    <t>0.00519 (0.00043)</t>
  </si>
  <si>
    <t>ykhA</t>
  </si>
  <si>
    <t>promiscuous acyl-CoA thioesterase</t>
  </si>
  <si>
    <t>0.01097 (0.03000)</t>
  </si>
  <si>
    <t>0.00845 (0.02301)</t>
  </si>
  <si>
    <t>0.02554 (0.00127)</t>
  </si>
  <si>
    <t>0.11939 (0.00621)</t>
  </si>
  <si>
    <t>0.00110 (0.00015)</t>
  </si>
  <si>
    <t>hmpA</t>
  </si>
  <si>
    <t>flavohemoglobin</t>
  </si>
  <si>
    <t>0.25103 (0.11044)</t>
  </si>
  <si>
    <t>0.08407 (0.08716)</t>
  </si>
  <si>
    <t>0.01100 (0.00059)</t>
  </si>
  <si>
    <t>0.03252 (0.00228)</t>
  </si>
  <si>
    <t>ykzH</t>
  </si>
  <si>
    <t>0.74913 (0.59134)</t>
  </si>
  <si>
    <t>0.01432 (0.00129)</t>
  </si>
  <si>
    <t>0.01561 (0.00231)</t>
  </si>
  <si>
    <t>0.01422 (0.00177)</t>
  </si>
  <si>
    <t>ykjA</t>
  </si>
  <si>
    <t>0.07663 (0.05011)</t>
  </si>
  <si>
    <t>0.06110 (0.05355)</t>
  </si>
  <si>
    <t>0.01361 (0.00093)</t>
  </si>
  <si>
    <t>0.04550 (0.00304)</t>
  </si>
  <si>
    <t>0.00431 (0.00041)</t>
  </si>
  <si>
    <t>ykkA</t>
  </si>
  <si>
    <t>0.16903 (0.23310)</t>
  </si>
  <si>
    <t>0.30121 (0.12612)</t>
  </si>
  <si>
    <t>0.01901 (0.00140)</t>
  </si>
  <si>
    <t>0.05062 (0.00464)</t>
  </si>
  <si>
    <t>0.01134 (0.00081)</t>
  </si>
  <si>
    <t>ykkB</t>
  </si>
  <si>
    <t>0.26882 (0.28756)</t>
  </si>
  <si>
    <t>0.27128 (0.15310)</t>
  </si>
  <si>
    <t>0.01742 (0.00074)</t>
  </si>
  <si>
    <t>0.04197 (0.00238)</t>
  </si>
  <si>
    <t>0.01122 (0.00063)</t>
  </si>
  <si>
    <t>gdnC</t>
  </si>
  <si>
    <t>guanidinium efflux transporter subunit</t>
  </si>
  <si>
    <t>0.26346 (0.25819)</t>
  </si>
  <si>
    <t>0.07129 (0.09435)</t>
  </si>
  <si>
    <t>0.01694 (0.00128)</t>
  </si>
  <si>
    <t>0.05146 (0.00495)</t>
  </si>
  <si>
    <t>0.00638 (0.00057)</t>
  </si>
  <si>
    <t>gdnD</t>
  </si>
  <si>
    <t>0.02560 (0.06856)</t>
  </si>
  <si>
    <t>0.15549 (0.10995)</t>
  </si>
  <si>
    <t>0.01340 (0.00104)</t>
  </si>
  <si>
    <t>0.04779 (0.00432)</t>
  </si>
  <si>
    <t>0.00325 (0.00043)</t>
  </si>
  <si>
    <t>purU</t>
  </si>
  <si>
    <t>formyltetrahydrofolate hydrolase</t>
  </si>
  <si>
    <t>0.06148 (0.04651)</t>
  </si>
  <si>
    <t>0.03966 (0.01729)</t>
  </si>
  <si>
    <t>0.01564 (0.00073)</t>
  </si>
  <si>
    <t>0.06245 (0.00317)</t>
  </si>
  <si>
    <t>0.00288 (0.00016)</t>
  </si>
  <si>
    <t>proB</t>
  </si>
  <si>
    <t>glutamate 5-kinase</t>
  </si>
  <si>
    <t>0.02886 (0.02699)</t>
  </si>
  <si>
    <t>0.03991 (0.01788)</t>
  </si>
  <si>
    <t>0.01587 (0.00048)</t>
  </si>
  <si>
    <t>0.06556 (0.00193)</t>
  </si>
  <si>
    <t>0.00172 (0.00022)</t>
  </si>
  <si>
    <t>proA</t>
  </si>
  <si>
    <t>gamma-glutamyl phosphate reductase</t>
  </si>
  <si>
    <t>0.06686 (0.03122)</t>
  </si>
  <si>
    <t>0.09200 (0.04089)</t>
  </si>
  <si>
    <t>0.01232 (0.00033)</t>
  </si>
  <si>
    <t>0.04353 (0.00136)</t>
  </si>
  <si>
    <t>0.00324 (0.00018)</t>
  </si>
  <si>
    <t>ohrA</t>
  </si>
  <si>
    <t>peroxiredoxin</t>
  </si>
  <si>
    <t>0.02171 (0.05428)</t>
  </si>
  <si>
    <t>0.01294 (0.00093)</t>
  </si>
  <si>
    <t>0.05239 (0.00361)</t>
  </si>
  <si>
    <t>0.00057 (0.00016)</t>
  </si>
  <si>
    <t>ohrR</t>
  </si>
  <si>
    <t>transcriptional regulator sensing organicperoxides</t>
  </si>
  <si>
    <t>0.09238 (0.06592)</t>
  </si>
  <si>
    <t>0.01410 (0.00099)</t>
  </si>
  <si>
    <t>0.05433 (0.00425)</t>
  </si>
  <si>
    <t>0.00340 (0.00040)</t>
  </si>
  <si>
    <t>ohrB</t>
  </si>
  <si>
    <t>organic hydroperoxide resistance reductase B</t>
  </si>
  <si>
    <t>0.05280 (0.05430)</t>
  </si>
  <si>
    <t>0.00797 (0.00060)</t>
  </si>
  <si>
    <t>0.03039 (0.00239)</t>
  </si>
  <si>
    <t>0.00159 (0.00033)</t>
  </si>
  <si>
    <t>guaN</t>
  </si>
  <si>
    <t>guanine deaminase</t>
  </si>
  <si>
    <t>0.15887 (0.16687)</t>
  </si>
  <si>
    <t>0.08890 (0.17875)</t>
  </si>
  <si>
    <t>0.02749 (0.00214)</t>
  </si>
  <si>
    <t>0.09063 (0.00657)</t>
  </si>
  <si>
    <t>0.01089 (0.00115)</t>
  </si>
  <si>
    <t>metE</t>
  </si>
  <si>
    <t>cobalamin-independent methionine synthase</t>
  </si>
  <si>
    <t>0.05676 (0.01930)</t>
  </si>
  <si>
    <t>0.01730 (0.03450)</t>
  </si>
  <si>
    <t>0.00977 (0.00031)</t>
  </si>
  <si>
    <t>0.03972 (0.00133)</t>
  </si>
  <si>
    <t>0.00140 (0.00006)</t>
  </si>
  <si>
    <t>ispA</t>
  </si>
  <si>
    <t>intracellular serine protease</t>
  </si>
  <si>
    <t>0.08946 (0.03559)</t>
  </si>
  <si>
    <t>0.03084 (0.06699)</t>
  </si>
  <si>
    <t>0.00839 (0.00044)</t>
  </si>
  <si>
    <t>0.02993 (0.00165)</t>
  </si>
  <si>
    <t>0.00193 (0.00016)</t>
  </si>
  <si>
    <t>rsbRB</t>
  </si>
  <si>
    <t>component of the anxiosome (stressosome)</t>
  </si>
  <si>
    <t>0.07159 (0.04065)</t>
  </si>
  <si>
    <t>0.00996 (0.00046)</t>
  </si>
  <si>
    <t>0.04328 (0.00209)</t>
  </si>
  <si>
    <t>0.00115 (0.00012)</t>
  </si>
  <si>
    <t>thiX</t>
  </si>
  <si>
    <t>thiamine transporter, transmembrane T component</t>
  </si>
  <si>
    <t>0.22575 (0.08233)</t>
  </si>
  <si>
    <t>0.08722 (0.05102)</t>
  </si>
  <si>
    <t>0.01862 (0.00058)</t>
  </si>
  <si>
    <t>0.05517 (0.00198)</t>
  </si>
  <si>
    <t>0.00787 (0.00030)</t>
  </si>
  <si>
    <t>thiW</t>
  </si>
  <si>
    <t>thiamine ABC transporter (ATP-binding subunit)</t>
  </si>
  <si>
    <t>0.27008 (0.08935)</t>
  </si>
  <si>
    <t>0.12095 (0.07790)</t>
  </si>
  <si>
    <t>0.01845 (0.00052)</t>
  </si>
  <si>
    <t>0.05265 (0.00160)</t>
  </si>
  <si>
    <t>0.00919 (0.00029)</t>
  </si>
  <si>
    <t>thiV</t>
  </si>
  <si>
    <t>thiamine transporter, permease component</t>
  </si>
  <si>
    <t>0.08607 (0.04735)</t>
  </si>
  <si>
    <t>0.00824 (0.00033)</t>
  </si>
  <si>
    <t>0.02755 (0.00146)</t>
  </si>
  <si>
    <t>0.00175 (0.00017)</t>
  </si>
  <si>
    <t>thiU</t>
  </si>
  <si>
    <t>thiamine-binding protein (oxidation stressprotein)</t>
  </si>
  <si>
    <t>0.19796 (0.05247)</t>
  </si>
  <si>
    <t>0.14015 (0.06628)</t>
  </si>
  <si>
    <t>0.01474 (0.00055)</t>
  </si>
  <si>
    <t>0.04096 (0.00175)</t>
  </si>
  <si>
    <t>0.00774 (0.00042)</t>
  </si>
  <si>
    <t>ykoG</t>
  </si>
  <si>
    <t>two-component response regulator [YkoH]</t>
  </si>
  <si>
    <t>0.16968 (0.09574)</t>
  </si>
  <si>
    <t>0.09385 (0.04618)</t>
  </si>
  <si>
    <t>0.02245 (0.00117)</t>
  </si>
  <si>
    <t>0.06644 (0.00390)</t>
  </si>
  <si>
    <t>0.00963 (0.00051)</t>
  </si>
  <si>
    <t>ykoH</t>
  </si>
  <si>
    <t>two-component sensor histidine kinase [YkoG]</t>
  </si>
  <si>
    <t>0.11433 (0.09166)</t>
  </si>
  <si>
    <t>0.10127 (0.03283)</t>
  </si>
  <si>
    <t>0.01753 (0.00066)</t>
  </si>
  <si>
    <t>0.05850 (0.00231)</t>
  </si>
  <si>
    <t>0.00609 (0.00025)</t>
  </si>
  <si>
    <t>ykoI</t>
  </si>
  <si>
    <t>0.24074 (0.07228)</t>
  </si>
  <si>
    <t>0.13281 (0.03015)</t>
  </si>
  <si>
    <t>0.01973 (0.00068)</t>
  </si>
  <si>
    <t>0.05270 (0.00173)</t>
  </si>
  <si>
    <t>0.01059 (0.00051)</t>
  </si>
  <si>
    <t>ykoJ</t>
  </si>
  <si>
    <t>0.17875 (0.18726)</t>
  </si>
  <si>
    <t>0.02965 (0.06367)</t>
  </si>
  <si>
    <t>0.01097 (0.00076)</t>
  </si>
  <si>
    <t>0.03790 (0.00238)</t>
  </si>
  <si>
    <t>0.00407 (0.00046)</t>
  </si>
  <si>
    <t>ykzD</t>
  </si>
  <si>
    <t>0.75762 (0.09236)</t>
  </si>
  <si>
    <t>0.02716 (0.00367)</t>
  </si>
  <si>
    <t>0.14995 (0.02189)</t>
  </si>
  <si>
    <t>mgtE</t>
  </si>
  <si>
    <t>magnesium transporter</t>
  </si>
  <si>
    <t>0.01570 (0.01700)</t>
  </si>
  <si>
    <t>0.00895 (0.00029)</t>
  </si>
  <si>
    <t>0.03812 (0.00132)</t>
  </si>
  <si>
    <t>0.00044 (0.00006)</t>
  </si>
  <si>
    <t>tnrA</t>
  </si>
  <si>
    <t>nitrogen sensing transcriptional regulator</t>
  </si>
  <si>
    <t>0.01588 (0.04490)</t>
  </si>
  <si>
    <t>0.03782 (0.02577)</t>
  </si>
  <si>
    <t>0.02959 (0.00217)</t>
  </si>
  <si>
    <t>0.13853 (0.01050)</t>
  </si>
  <si>
    <t>0.00374 (0.00042)</t>
  </si>
  <si>
    <t>ykzB</t>
  </si>
  <si>
    <t>0.05192 (0.10242)</t>
  </si>
  <si>
    <t>0.10352 (0.17834)</t>
  </si>
  <si>
    <t>0.02832 (0.00210)</t>
  </si>
  <si>
    <t>0.10144 (0.00862)</t>
  </si>
  <si>
    <t>0.01117 (0.00126)</t>
  </si>
  <si>
    <t>ykoL</t>
  </si>
  <si>
    <t>0.03689 (0.08470)</t>
  </si>
  <si>
    <t>0.26247 (0.37119)</t>
  </si>
  <si>
    <t>0.01451 (0.00126)</t>
  </si>
  <si>
    <t>0.05596 (0.00686)</t>
  </si>
  <si>
    <t>0.00432 (0.00052)</t>
  </si>
  <si>
    <t>ykoM</t>
  </si>
  <si>
    <t>0.01202 (0.04278)</t>
  </si>
  <si>
    <t>0.01544 (0.04164)</t>
  </si>
  <si>
    <t>0.02152 (0.00141)</t>
  </si>
  <si>
    <t>0.10162 (0.00686)</t>
  </si>
  <si>
    <t>0.00100 (0.00013)</t>
  </si>
  <si>
    <t>ykoN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</si>
  <si>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</si>
  <si>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0.27349 (0.10811)</t>
  </si>
  <si>
    <t>0.14982 (0.08569)</t>
  </si>
  <si>
    <t>0.01466 (0.00061)</t>
  </si>
  <si>
    <t>0.03622 (0.00167)</t>
  </si>
  <si>
    <t>0.00906 (0.00052)</t>
  </si>
  <si>
    <t>ykoP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</si>
  <si>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</si>
  <si>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0.09192 (0.06093)</t>
  </si>
  <si>
    <t>0.04203 (0.07777)</t>
  </si>
  <si>
    <t>0.02908 (0.00195)</t>
  </si>
  <si>
    <t>0.12190 (0.00885)</t>
  </si>
  <si>
    <t>0.00669 (0.00068)</t>
  </si>
  <si>
    <t>ykoQ</t>
  </si>
  <si>
    <t>putative metallophosphoesterase</t>
  </si>
  <si>
    <t>0.09257 (0.04583)</t>
  </si>
  <si>
    <t>0.01955 (0.04641)</t>
  </si>
  <si>
    <t>0.01270 (0.00042)</t>
  </si>
  <si>
    <t>0.04576 (0.00144)</t>
  </si>
  <si>
    <t>0.00337 (0.00025)</t>
  </si>
  <si>
    <t>ykoS</t>
  </si>
  <si>
    <t>0.04849 (0.02926)</t>
  </si>
  <si>
    <t>0.04115 (0.03225)</t>
  </si>
  <si>
    <t>0.01071 (0.00031)</t>
  </si>
  <si>
    <t>0.04097 (0.00127)</t>
  </si>
  <si>
    <t>0.00204 (0.00011)</t>
  </si>
  <si>
    <t>ykoT</t>
  </si>
  <si>
    <t>0.03355 (0.04619)</t>
  </si>
  <si>
    <t>0.06003 (0.08867)</t>
  </si>
  <si>
    <t>0.00946 (0.00041)</t>
  </si>
  <si>
    <t>0.03605 (0.00153)</t>
  </si>
  <si>
    <t>0.00212 (0.00024)</t>
  </si>
  <si>
    <t>ligD</t>
  </si>
  <si>
    <t>ATP-dependent DNA ligase subunit;5'-2-deoxyribose-5-phosphate (dRP) lyase</t>
  </si>
  <si>
    <t>0.13481 (0.14140)</t>
  </si>
  <si>
    <t>0.12360 (0.07372)</t>
  </si>
  <si>
    <t>0.01119 (0.00051)</t>
  </si>
  <si>
    <t>0.03482 (0.00166)</t>
  </si>
  <si>
    <t>0.00465 (0.00023)</t>
  </si>
  <si>
    <t>ligV</t>
  </si>
  <si>
    <t>ATP-dependent DNA ligase subunit Ku;</t>
  </si>
  <si>
    <t>0.08744 (0.04316)</t>
  </si>
  <si>
    <t>0.06346 (0.03837)</t>
  </si>
  <si>
    <t>0.01413 (0.00062)</t>
  </si>
  <si>
    <t>0.05164 (0.00253)</t>
  </si>
  <si>
    <t>0.00352 (0.00020)</t>
  </si>
  <si>
    <t>dgcW</t>
  </si>
  <si>
    <t>0.08485 (0.01986)</t>
  </si>
  <si>
    <t>0.13083 (0.04520)</t>
  </si>
  <si>
    <t>0.01451 (0.00037)</t>
  </si>
  <si>
    <t>0.04898 (0.00139)</t>
  </si>
  <si>
    <t>0.00538 (0.00016)</t>
  </si>
  <si>
    <t>ykoX</t>
  </si>
  <si>
    <t>0.08358 (0.06745)</t>
  </si>
  <si>
    <t>0.04657 (0.04440)</t>
  </si>
  <si>
    <t>0.01622 (0.00055)</t>
  </si>
  <si>
    <t>0.05756 (0.00209)</t>
  </si>
  <si>
    <t>0.00402 (0.00031)</t>
  </si>
  <si>
    <t>ykoY</t>
  </si>
  <si>
    <t>putative manganese-related ion transporter</t>
  </si>
  <si>
    <t>0.14189 (0.06811)</t>
  </si>
  <si>
    <t>0.07073 (0.06299)</t>
  </si>
  <si>
    <t>0.00695 (0.00033)</t>
  </si>
  <si>
    <t>0.02332 (0.00126)</t>
  </si>
  <si>
    <t>0.00204 (0.00014)</t>
  </si>
  <si>
    <t>sigI</t>
  </si>
  <si>
    <t>RNA polymerase sigma factor (heat stressresponsive)</t>
  </si>
  <si>
    <t>0.01812 (0.03101)</t>
  </si>
  <si>
    <t>0.03879 (0.04106)</t>
  </si>
  <si>
    <t>0.02192 (0.00154)</t>
  </si>
  <si>
    <t>0.10151 (0.00741)</t>
  </si>
  <si>
    <t>0.00285 (0.00021)</t>
  </si>
  <si>
    <t>rsgI</t>
  </si>
  <si>
    <t>sigmaI modulating factor</t>
  </si>
  <si>
    <t>0.37030 (0.16406)</t>
  </si>
  <si>
    <t>0.24093 (0.13113)</t>
  </si>
  <si>
    <t>0.00743 (0.00024)</t>
  </si>
  <si>
    <t>0.02002 (0.00088)</t>
  </si>
  <si>
    <t>0.00449 (0.00023)</t>
  </si>
  <si>
    <t>sspD</t>
  </si>
  <si>
    <t>0.01438 (0.00110)</t>
  </si>
  <si>
    <t>0.06300 (0.00498)</t>
  </si>
  <si>
    <t>htpK</t>
  </si>
  <si>
    <t>regulator of quality control</t>
  </si>
  <si>
    <t>0.09581 (0.09447)</t>
  </si>
  <si>
    <t>0.10746 (0.09571)</t>
  </si>
  <si>
    <t>0.02517 (0.00153)</t>
  </si>
  <si>
    <t>0.09014 (0.00543)</t>
  </si>
  <si>
    <t>0.00883 (0.00063)</t>
  </si>
  <si>
    <t>htpX</t>
  </si>
  <si>
    <t>membrane protease</t>
  </si>
  <si>
    <t>0.07902 (0.05461)</t>
  </si>
  <si>
    <t>0.03335 (0.07105)</t>
  </si>
  <si>
    <t>0.01016 (0.00037)</t>
  </si>
  <si>
    <t>0.03569 (0.00145)</t>
  </si>
  <si>
    <t>0.00231 (0.00018)</t>
  </si>
  <si>
    <t>ktrD</t>
  </si>
  <si>
    <t>K+-transporting ATPase</t>
  </si>
  <si>
    <t>0.02610 (0.02197)</t>
  </si>
  <si>
    <t>0.01149 (0.03704)</t>
  </si>
  <si>
    <t>0.01040 (0.00031)</t>
  </si>
  <si>
    <t>0.04109 (0.00128)</t>
  </si>
  <si>
    <t>0.00087 (0.00007)</t>
  </si>
  <si>
    <t>ykzP</t>
  </si>
  <si>
    <t>0.11987 (0.17302)</t>
  </si>
  <si>
    <t>0.00980 (0.00133)</t>
  </si>
  <si>
    <t>0.03437 (0.00591)</t>
  </si>
  <si>
    <t>0.00409 (0.00167)</t>
  </si>
  <si>
    <t>ykzE</t>
  </si>
  <si>
    <t>0.08728 (0.17220)</t>
  </si>
  <si>
    <t>0.01770 (0.00173)</t>
  </si>
  <si>
    <t>0.07918 (0.00886)</t>
  </si>
  <si>
    <t>0.00508 (0.00186)</t>
  </si>
  <si>
    <t>ykrP</t>
  </si>
  <si>
    <t>putative integral membrane protein; putativeacyltransferase</t>
  </si>
  <si>
    <t>0.12453 (0.08506)</t>
  </si>
  <si>
    <t>0.10149 (0.10576)</t>
  </si>
  <si>
    <t>0.00726 (0.00022)</t>
  </si>
  <si>
    <t>0.02332 (0.00087)</t>
  </si>
  <si>
    <t>0.00247 (0.00015)</t>
  </si>
  <si>
    <t>kinE</t>
  </si>
  <si>
    <t>0.04016 (0.02434)</t>
  </si>
  <si>
    <t>0.00706 (0.02305)</t>
  </si>
  <si>
    <t>0.00641 (0.00020)</t>
  </si>
  <si>
    <t>0.02917 (0.00088)</t>
  </si>
  <si>
    <t>0.00059 (0.00005)</t>
  </si>
  <si>
    <t>ogt</t>
  </si>
  <si>
    <t>O6-alkylguanine DNA alkyltransferase</t>
  </si>
  <si>
    <t>0.29303 (0.14822)</t>
  </si>
  <si>
    <t>0.23635 (0.33764)</t>
  </si>
  <si>
    <t>0.01342 (0.00055)</t>
  </si>
  <si>
    <t>0.03070 (0.00164)</t>
  </si>
  <si>
    <t>0.00858 (0.00045)</t>
  </si>
  <si>
    <t>BSU_13545</t>
  </si>
  <si>
    <t>hypothetical proteingene            complement(1422172..1423233)CDS             complement(1422172..1423233)PMID:14551435,15102328,16511105,17690466,18156470in the studied strain; PubMedId: 14551435, 15102328,16511105, 17690466, 18156470; Product type e: enzyme(methionine salvage pathway)</t>
  </si>
  <si>
    <t>0.91022 (0.05975)</t>
  </si>
  <si>
    <t>0.24994 (0.24994)</t>
  </si>
  <si>
    <t>0.49611 (0.00000)</t>
  </si>
  <si>
    <t>0.03469 (0.00566)</t>
  </si>
  <si>
    <t>0.07403 (0.01017)</t>
  </si>
  <si>
    <t>0.02657 (0.00516)</t>
  </si>
  <si>
    <t>mtnK</t>
  </si>
  <si>
    <t>methylthioribose kinase (methionine salvagepathway, promiscuous)</t>
  </si>
  <si>
    <t>0.11548 (0.06043)</t>
  </si>
  <si>
    <t>0.19131 (0.24103)</t>
  </si>
  <si>
    <t>0.00821 (0.00028)</t>
  </si>
  <si>
    <t>0.02523 (0.00116)</t>
  </si>
  <si>
    <t>0.00348 (0.00022)</t>
  </si>
  <si>
    <t>mtnU</t>
  </si>
  <si>
    <t>ketoglutaramate omega-amidase</t>
  </si>
  <si>
    <t>0.16388 (0.05973)</t>
  </si>
  <si>
    <t>0.02800 (0.03814)</t>
  </si>
  <si>
    <t>0.01202 (0.00038)</t>
  </si>
  <si>
    <t>0.04106 (0.00154)</t>
  </si>
  <si>
    <t>0.00415 (0.00021)</t>
  </si>
  <si>
    <t>mtnE</t>
  </si>
  <si>
    <t>methionine-glutamine aminotransferase</t>
  </si>
  <si>
    <t>0.14428 (0.04734)</t>
  </si>
  <si>
    <t>0.07907 (0.05685)</t>
  </si>
  <si>
    <t>0.01307 (0.00038)</t>
  </si>
  <si>
    <t>0.04419 (0.00137)</t>
  </si>
  <si>
    <t>0.00396 (0.00017)</t>
  </si>
  <si>
    <t>mtnW</t>
  </si>
  <si>
    <t>2,3-diketo-5-methylthiopentyl-1-phosphateenolase (DK-MTP-1-P enolase)</t>
  </si>
  <si>
    <t>0.12612 (0.05162)</t>
  </si>
  <si>
    <t>0.05199 (0.02951)</t>
  </si>
  <si>
    <t>0.01218 (0.00053)</t>
  </si>
  <si>
    <t>0.04237 (0.00217)</t>
  </si>
  <si>
    <t>mtnX</t>
  </si>
  <si>
    <t>2-hydroxy-3-keto-5-methylthiopentenyl-1-phosphatephosphatase (HK-MTPenyl-1-P phosphatase)</t>
  </si>
  <si>
    <t>0.21942 (0.13591)</t>
  </si>
  <si>
    <t>0.01026 (0.00058)</t>
  </si>
  <si>
    <t>0.03259 (0.00232)</t>
  </si>
  <si>
    <t>0.00466 (0.00027)</t>
  </si>
  <si>
    <t>mtnB</t>
  </si>
  <si>
    <t>methylthioribulose-1-phosphate dehydratase(MTRu-1-P dehydratase)</t>
  </si>
  <si>
    <t>0.29105 (0.09889)</t>
  </si>
  <si>
    <t>0.13234 (0.07886)</t>
  </si>
  <si>
    <t>0.01276 (0.00044)</t>
  </si>
  <si>
    <t>0.03557 (0.00148)</t>
  </si>
  <si>
    <t>0.00640 (0.00031)</t>
  </si>
  <si>
    <t>mtnD</t>
  </si>
  <si>
    <t>acireductone dioxygenase (Ni2+ orFe2+-requiring)</t>
  </si>
  <si>
    <t>0.20312 (0.10286)</t>
  </si>
  <si>
    <t>0.00951 (0.00054)</t>
  </si>
  <si>
    <t>0.03255 (0.00236)</t>
  </si>
  <si>
    <t>0.00360 (0.00026)</t>
  </si>
  <si>
    <t>ykvA</t>
  </si>
  <si>
    <t>0.12772 (0.12169)</t>
  </si>
  <si>
    <t>0.02867 (0.06943)</t>
  </si>
  <si>
    <t>0.01806 (0.00094)</t>
  </si>
  <si>
    <t>0.06887 (0.00436)</t>
  </si>
  <si>
    <t>0.00439 (0.00043)</t>
  </si>
  <si>
    <t>spo0E</t>
  </si>
  <si>
    <t>negative regulatory phosphatase acting onSpo0A-P (sporulation)</t>
  </si>
  <si>
    <t>0.08251 (0.13752)</t>
  </si>
  <si>
    <t>0.01270 (0.00118)</t>
  </si>
  <si>
    <t>0.06083 (0.00641)</t>
  </si>
  <si>
    <t>0.00141 (0.00046)</t>
  </si>
  <si>
    <t>eag</t>
  </si>
  <si>
    <t>putative small membrane protein</t>
  </si>
  <si>
    <t>0.12088 (0.06610)</t>
  </si>
  <si>
    <t>0.33262 (0.31002)</t>
  </si>
  <si>
    <t>0.01257 (0.00069)</t>
  </si>
  <si>
    <t>0.03473 (0.00171)</t>
  </si>
  <si>
    <t>0.00692 (0.00055)</t>
  </si>
  <si>
    <t>kinD</t>
  </si>
  <si>
    <t>histidine kinase phosphorylating Spo0A</t>
  </si>
  <si>
    <t>0.03747 (0.07620)</t>
  </si>
  <si>
    <t>0.01810 (0.02703)</t>
  </si>
  <si>
    <t>0.01605 (0.00109)</t>
  </si>
  <si>
    <t>0.06651 (0.00474)</t>
  </si>
  <si>
    <t>0.00220 (0.00021)</t>
  </si>
  <si>
    <t>mhqR</t>
  </si>
  <si>
    <t>transcriptional regulator (MarR family)</t>
  </si>
  <si>
    <t>0.07125 (0.08098)</t>
  </si>
  <si>
    <t>0.01714 (0.00161)</t>
  </si>
  <si>
    <t>0.07825 (0.00806)</t>
  </si>
  <si>
    <t>0.00219 (0.00034)</t>
  </si>
  <si>
    <t>motB</t>
  </si>
  <si>
    <t>motility protein B; MotB component of theH+-coupled stator flagellum complex</t>
  </si>
  <si>
    <t>0.03999 (0.03744)</t>
  </si>
  <si>
    <t>0.02904 (0.09184)</t>
  </si>
  <si>
    <t>0.02064 (0.00204)</t>
  </si>
  <si>
    <t>0.09715 (0.00995)</t>
  </si>
  <si>
    <t>0.00307 (0.00032)</t>
  </si>
  <si>
    <t>motA</t>
  </si>
  <si>
    <t>motility protein A; MotA component of theH+-coupled stator flagellum complex</t>
  </si>
  <si>
    <t>ref , GCA_000186745.1_ASM18674v1_genomic , GCA_000209795.2_ASM20979v2_genomic , GCA_000227465.1_ASM22746v1_genomic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</si>
  <si>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0.04687 (0.04374)</t>
  </si>
  <si>
    <t>0.01869 (0.00187)</t>
  </si>
  <si>
    <t>0.08775 (0.00949)</t>
  </si>
  <si>
    <t>clpE</t>
  </si>
  <si>
    <t>ATP-dependent Clp protease (class III stressgene)</t>
  </si>
  <si>
    <t>0.06900 (0.05273)</t>
  </si>
  <si>
    <t>0.03129 (0.01839)</t>
  </si>
  <si>
    <t>0.01071 (0.00039)</t>
  </si>
  <si>
    <t>0.04155 (0.00155)</t>
  </si>
  <si>
    <t>0.00211 (0.00013)</t>
  </si>
  <si>
    <t>ykvI</t>
  </si>
  <si>
    <t>0.08015 (0.06057)</t>
  </si>
  <si>
    <t>0.06732 (0.05884)</t>
  </si>
  <si>
    <t>0.01931 (0.00091)</t>
  </si>
  <si>
    <t>0.06852 (0.00329)</t>
  </si>
  <si>
    <t>0.00452 (0.00028)</t>
  </si>
  <si>
    <t>queC</t>
  </si>
  <si>
    <t>pre-queuosine 0 synthase</t>
  </si>
  <si>
    <t>0.02898 (0.02829)</t>
  </si>
  <si>
    <t>0.11791 (0.06673)</t>
  </si>
  <si>
    <t>0.01853 (0.00088)</t>
  </si>
  <si>
    <t>0.07514 (0.00410)</t>
  </si>
  <si>
    <t>0.00371 (0.00023)</t>
  </si>
  <si>
    <t>queD</t>
  </si>
  <si>
    <t>6-carboxy-5,6,7,8-tetrahydropterin synthase;queuosine biosynthesis</t>
  </si>
  <si>
    <t>0.09423 (0.04218)</t>
  </si>
  <si>
    <t>0.03667 (0.05730)</t>
  </si>
  <si>
    <t>0.02898 (0.00162)</t>
  </si>
  <si>
    <t>0.11930 (0.00706)</t>
  </si>
  <si>
    <t>0.00531 (0.00042)</t>
  </si>
  <si>
    <t>queE</t>
  </si>
  <si>
    <t>7-carboxy-7-deazaguanine synthase</t>
  </si>
  <si>
    <t>0.05950 (0.08129)</t>
  </si>
  <si>
    <t>0.16818 (0.06796)</t>
  </si>
  <si>
    <t>0.00993 (0.00076)</t>
  </si>
  <si>
    <t>0.03825 (0.00302)</t>
  </si>
  <si>
    <t>0.00204 (0.00022)</t>
  </si>
  <si>
    <t>queF</t>
  </si>
  <si>
    <t>NADPH-dependent 7-cyano-7-deazaguaninereductase</t>
  </si>
  <si>
    <t>0.00822 (0.02225)</t>
  </si>
  <si>
    <t>0.02547 (0.00134)</t>
  </si>
  <si>
    <t>0.13168 (0.00716)</t>
  </si>
  <si>
    <t>0.00052 (0.00015)</t>
  </si>
  <si>
    <t>ykvN</t>
  </si>
  <si>
    <t>putative transcriptional regulator (HGT island)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</si>
  <si>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GCA_001889385.1_ASM188938v1_genomic , GCA_001889625.1_ASM188962v1_genomic , GCA_002055965.1_ASM205596v1_genomic , GCA_002072735.1_ASM207273v1_genomic , GCA_002142595.1_ASM214259v1_genomic</t>
  </si>
  <si>
    <t>0.40780 (0.12855)</t>
  </si>
  <si>
    <t>0.63366 (0.40539)</t>
  </si>
  <si>
    <t>0.01331 (0.00059)</t>
  </si>
  <si>
    <t>0.02371 (0.00164)</t>
  </si>
  <si>
    <t>0.01072 (0.00052)</t>
  </si>
  <si>
    <t>ykvO</t>
  </si>
  <si>
    <t>putative oxidoreductase (HGT island)</t>
  </si>
  <si>
    <t>0.28502 (0.06810)</t>
  </si>
  <si>
    <t>0.32144 (0.24512)</t>
  </si>
  <si>
    <t>0.01307 (0.00056)</t>
  </si>
  <si>
    <t>0.02843 (0.00137)</t>
  </si>
  <si>
    <t>0.00840 (0.00046)</t>
  </si>
  <si>
    <t>ykvP</t>
  </si>
  <si>
    <t>spore protein (HGT island)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</si>
  <si>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</si>
  <si>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0.22777 (0.27530)</t>
  </si>
  <si>
    <t>0.16718 (0.06853)</t>
  </si>
  <si>
    <t>0.01620 (0.00127)</t>
  </si>
  <si>
    <t>0.04288 (0.00400)</t>
  </si>
  <si>
    <t>0.00938 (0.00066)</t>
  </si>
  <si>
    <t>ykzQ</t>
  </si>
  <si>
    <t>putative peptidoglycan binding 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</si>
  <si>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 , GCA_002163815.1_ASM216381v1_genomic</t>
  </si>
  <si>
    <t>0.35633 (0.31351)</t>
  </si>
  <si>
    <t>0.11583 (0.15303)</t>
  </si>
  <si>
    <t>0.03329 (0.00218)</t>
  </si>
  <si>
    <t>0.08431 (0.00713)</t>
  </si>
  <si>
    <t>0.02114 (0.00180)</t>
  </si>
  <si>
    <t>ykvR</t>
  </si>
  <si>
    <t>conserved hypothetical protein (HGT island)</t>
  </si>
  <si>
    <t>0.39191 (0.26962)</t>
  </si>
  <si>
    <t>0.44520 (0.43138)</t>
  </si>
  <si>
    <t>0.01415 (0.00092)</t>
  </si>
  <si>
    <t>0.02827 (0.00274)</t>
  </si>
  <si>
    <t>0.01027 (0.00060)</t>
  </si>
  <si>
    <t>ykvS</t>
  </si>
  <si>
    <t>conserved protein of unknown function (HGTisland)</t>
  </si>
  <si>
    <t>0.05598 (0.11036)</t>
  </si>
  <si>
    <t>0.01967 (0.00267)</t>
  </si>
  <si>
    <t>0.08677 (0.01302)</t>
  </si>
  <si>
    <t>0.00235 (0.00086)</t>
  </si>
  <si>
    <t>ykzS</t>
  </si>
  <si>
    <t>0.19458 (0.23208)</t>
  </si>
  <si>
    <t>0.02660 (0.00318)</t>
  </si>
  <si>
    <t>0.12406 (0.01917)</t>
  </si>
  <si>
    <t>0.00498 (0.00100)</t>
  </si>
  <si>
    <t>ykvT</t>
  </si>
  <si>
    <t>cell wall hydrolase related to sporecortex-lytic enzymes</t>
  </si>
  <si>
    <t>0.22086 (0.16842)</t>
  </si>
  <si>
    <t>0.11395 (0.10234)</t>
  </si>
  <si>
    <t>0.00699 (0.00035)</t>
  </si>
  <si>
    <t>0.01823 (0.00128)</t>
  </si>
  <si>
    <t>0.00387 (0.00030)</t>
  </si>
  <si>
    <t>ykvU</t>
  </si>
  <si>
    <t>spore membrane protein involved in germination</t>
  </si>
  <si>
    <t>0.06371 (0.05139)</t>
  </si>
  <si>
    <t>0.06706 (0.11271)</t>
  </si>
  <si>
    <t>0.00691 (0.00026)</t>
  </si>
  <si>
    <t>0.02502 (0.00104)</t>
  </si>
  <si>
    <t>0.00139 (0.00010)</t>
  </si>
  <si>
    <t>stoA</t>
  </si>
  <si>
    <t>spore-specific thiol-disulfide oxidoreductase(SpoVD maturation)</t>
  </si>
  <si>
    <t>0.13409 (0.05621)</t>
  </si>
  <si>
    <t>0.03012 (0.07372)</t>
  </si>
  <si>
    <t>0.01340 (0.00054)</t>
  </si>
  <si>
    <t>0.04843 (0.00237)</t>
  </si>
  <si>
    <t>0.00436 (0.00027)</t>
  </si>
  <si>
    <t>pfeT</t>
  </si>
  <si>
    <t>Fe(II) efflux transporter possibly involved incopper(II) uptake</t>
  </si>
  <si>
    <t>0.11691 (0.05330)</t>
  </si>
  <si>
    <t>0.22724 (0.08426)</t>
  </si>
  <si>
    <t>0.00825 (0.00026)</t>
  </si>
  <si>
    <t>0.00381 (0.00012)</t>
  </si>
  <si>
    <t>papB</t>
  </si>
  <si>
    <t>Xaa-Pro Xaa-Pro-Xaa di-tri-peptidase used inosmoprotection</t>
  </si>
  <si>
    <t>0.08327 (0.03809)</t>
  </si>
  <si>
    <t>0.03358 (0.03211)</t>
  </si>
  <si>
    <t>0.01234 (0.00043)</t>
  </si>
  <si>
    <t>0.04459 (0.00164)</t>
  </si>
  <si>
    <t>0.00297 (0.00014)</t>
  </si>
  <si>
    <t>ykvZ</t>
  </si>
  <si>
    <t>putative transcriptional regulator (LacIfamily)</t>
  </si>
  <si>
    <t>0.21181 (0.06825)</t>
  </si>
  <si>
    <t>0.12566 (0.05710)</t>
  </si>
  <si>
    <t>0.00871 (0.00027)</t>
  </si>
  <si>
    <t>0.02468 (0.00081)</t>
  </si>
  <si>
    <t>0.00432 (0.00020)</t>
  </si>
  <si>
    <t>glcT</t>
  </si>
  <si>
    <t>transcriptional antiterminator (BglG family)</t>
  </si>
  <si>
    <t>0.07763 (0.08101)</t>
  </si>
  <si>
    <t>0.01375 (0.03279)</t>
  </si>
  <si>
    <t>0.01587 (0.00125)</t>
  </si>
  <si>
    <t>0.07791 (0.00705)</t>
  </si>
  <si>
    <t>0.00162 (0.00011)</t>
  </si>
  <si>
    <t>ptsG</t>
  </si>
  <si>
    <t>phosphotransferase system (PTS) glucose-specificenzyme IICBA component</t>
  </si>
  <si>
    <t>0.02201 (0.01219)</t>
  </si>
  <si>
    <t>0.02901 (0.04061)</t>
  </si>
  <si>
    <t>0.01949 (0.00131)</t>
  </si>
  <si>
    <t>0.08184 (0.00576)</t>
  </si>
  <si>
    <t>ptsH</t>
  </si>
  <si>
    <t>histidine-containing phosphocarrier protein ofthe phosphotransferase system (PTS) (HPr protein)</t>
  </si>
  <si>
    <t>0.72625 (0.09316)</t>
  </si>
  <si>
    <t>0.04315 (0.08994)</t>
  </si>
  <si>
    <t>0.03616 (0.03241)</t>
  </si>
  <si>
    <t>0.02543 (0.00265)</t>
  </si>
  <si>
    <t>0.10722 (0.01152)</t>
  </si>
  <si>
    <t>0.00337 (0.00042)</t>
  </si>
  <si>
    <t>ptsI</t>
  </si>
  <si>
    <t>phosphotransferase system (PTS) enzyme I</t>
  </si>
  <si>
    <t>0.01947 (0.02279)</t>
  </si>
  <si>
    <t>0.01306 (0.02664)</t>
  </si>
  <si>
    <t>0.01430 (0.00069)</t>
  </si>
  <si>
    <t>0.06369 (0.00318)</t>
  </si>
  <si>
    <t>0.00081 (0.00006)</t>
  </si>
  <si>
    <t>splA</t>
  </si>
  <si>
    <t>TRAP-like transcriptional negative regulator ofspore photoproduct lyase</t>
  </si>
  <si>
    <t>0.01748 (0.04999)</t>
  </si>
  <si>
    <t>0.02064 (0.00201)</t>
  </si>
  <si>
    <t>0.09865 (0.01106)</t>
  </si>
  <si>
    <t>0.00099 (0.00028)</t>
  </si>
  <si>
    <t>splB</t>
  </si>
  <si>
    <t>spore photoproduct (thymine dimer) lyase</t>
  </si>
  <si>
    <t>0.48242 (0.10754)</t>
  </si>
  <si>
    <t>0.03580 (0.02858)</t>
  </si>
  <si>
    <t>0.06377 (0.03733)</t>
  </si>
  <si>
    <t>0.01080 (0.00031)</t>
  </si>
  <si>
    <t>0.04452 (0.00131)</t>
  </si>
  <si>
    <t>0.00146 (0.00012)</t>
  </si>
  <si>
    <t>ykwB</t>
  </si>
  <si>
    <t>putative acetyltransferase / amidohydrolase</t>
  </si>
  <si>
    <t>0.46058 (0.21396)</t>
  </si>
  <si>
    <t>0.15430 (0.04601)</t>
  </si>
  <si>
    <t>0.01950 (0.00083)</t>
  </si>
  <si>
    <t>0.04907 (0.00247)</t>
  </si>
  <si>
    <t>0.01155 (0.00051)</t>
  </si>
  <si>
    <t>mcpC</t>
  </si>
  <si>
    <t>methyl-accepting chemotaxis protein</t>
  </si>
  <si>
    <t>0.14297 (0.06836)</t>
  </si>
  <si>
    <t>0.22093 (0.08428)</t>
  </si>
  <si>
    <t>0.01135 (0.00037)</t>
  </si>
  <si>
    <t>0.03288 (0.00123)</t>
  </si>
  <si>
    <t>0.00541 (0.00021)</t>
  </si>
  <si>
    <t>ohaC</t>
  </si>
  <si>
    <t>beta-hydroxyacid dehydrogenase (acts on3-hydroxypropionate with NADP)</t>
  </si>
  <si>
    <t>0.15322 (0.06133)</t>
  </si>
  <si>
    <t>0.04802 (0.03584)</t>
  </si>
  <si>
    <t>0.01105 (0.00046)</t>
  </si>
  <si>
    <t>0.04026 (0.00165)</t>
  </si>
  <si>
    <t>0.00291 (0.00021)</t>
  </si>
  <si>
    <t>ykwD</t>
  </si>
  <si>
    <t>0.11059 (0.16574)</t>
  </si>
  <si>
    <t>0.07361 (0.06044)</t>
  </si>
  <si>
    <t>0.01076 (0.00048)</t>
  </si>
  <si>
    <t>0.04038 (0.00206)</t>
  </si>
  <si>
    <t>0.00288 (0.00022)</t>
  </si>
  <si>
    <t>kinA</t>
  </si>
  <si>
    <t>sporulation-specific ATP-dependent proteinhistidine kinase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</si>
  <si>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</si>
  <si>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0.04184 (0.01462)</t>
  </si>
  <si>
    <t>0.02804 (0.02925)</t>
  </si>
  <si>
    <t>0.02456 (0.00136)</t>
  </si>
  <si>
    <t>0.11724 (0.00688)</t>
  </si>
  <si>
    <t>0.00289 (0.00016)</t>
  </si>
  <si>
    <t>dapX</t>
  </si>
  <si>
    <t>N-acetyl-L,L-diaminopimelate aminotransferase</t>
  </si>
  <si>
    <t>0.01808 (0.03052)</t>
  </si>
  <si>
    <t>0.08157 (0.05499)</t>
  </si>
  <si>
    <t>0.01270 (0.00062)</t>
  </si>
  <si>
    <t>0.04720 (0.00208)</t>
  </si>
  <si>
    <t>0.00246 (0.00025)</t>
  </si>
  <si>
    <t>ykzT</t>
  </si>
  <si>
    <t>0.14865 (0.18026)</t>
  </si>
  <si>
    <t>0.03145 (0.00949)</t>
  </si>
  <si>
    <t>0.10818 (0.03598)</t>
  </si>
  <si>
    <t>0.01590 (0.00461)</t>
  </si>
  <si>
    <t>cheV</t>
  </si>
  <si>
    <t>coupling protein and response regulator for CheAactivity in response to attractants (chemotaxis)</t>
  </si>
  <si>
    <t>0.02551 (0.04352)</t>
  </si>
  <si>
    <t>0.05206 (0.14997)</t>
  </si>
  <si>
    <t>0.01515 (0.00165)</t>
  </si>
  <si>
    <t>0.06579 (0.00720)</t>
  </si>
  <si>
    <t>0.00294 (0.00041)</t>
  </si>
  <si>
    <t>kre</t>
  </si>
  <si>
    <t>regulator of transcription factor ComK functionvia modulation of mRNA stability</t>
  </si>
  <si>
    <t>0.23327 (0.15116)</t>
  </si>
  <si>
    <t>0.02901 (0.05322)</t>
  </si>
  <si>
    <t>0.01360 (0.00108)</t>
  </si>
  <si>
    <t>0.05127 (0.00508)</t>
  </si>
  <si>
    <t>0.00327 (0.00036)</t>
  </si>
  <si>
    <t>ykuC</t>
  </si>
  <si>
    <t>0.03911 (0.03272)</t>
  </si>
  <si>
    <t>0.02076 (0.02902)</t>
  </si>
  <si>
    <t>0.01109 (0.00038)</t>
  </si>
  <si>
    <t>0.04461 (0.00152)</t>
  </si>
  <si>
    <t>ltdD</t>
  </si>
  <si>
    <t>murein L,D-transpeptidase</t>
  </si>
  <si>
    <t>0.08637 (0.07529)</t>
  </si>
  <si>
    <t>0.05820 (0.15820)</t>
  </si>
  <si>
    <t>0.01475 (0.00138)</t>
  </si>
  <si>
    <t>0.05147 (0.00490)</t>
  </si>
  <si>
    <t>0.00314 (0.00035)</t>
  </si>
  <si>
    <t>ppeE</t>
  </si>
  <si>
    <t>exported metallophosphoesterase (Mn2+ and Zn2+)</t>
  </si>
  <si>
    <t>0.06530 (0.05492)</t>
  </si>
  <si>
    <t>0.05708 (0.05454)</t>
  </si>
  <si>
    <t>0.00791 (0.00039)</t>
  </si>
  <si>
    <t>0.02744 (0.00146)</t>
  </si>
  <si>
    <t>0.00195 (0.00014)</t>
  </si>
  <si>
    <t>fadH</t>
  </si>
  <si>
    <t>putative 2,4-dienoyl-CoA reductase</t>
  </si>
  <si>
    <t>0.08680 (0.09944)</t>
  </si>
  <si>
    <t>0.04927 (0.04970)</t>
  </si>
  <si>
    <t>0.01148 (0.00063)</t>
  </si>
  <si>
    <t>0.04258 (0.00229)</t>
  </si>
  <si>
    <t>0.00265 (0.00032)</t>
  </si>
  <si>
    <t>ykuI</t>
  </si>
  <si>
    <t>putative cyclic-di-GMP receptor (nophosphodiesterase activity)</t>
  </si>
  <si>
    <t>0.03567 (0.01926)</t>
  </si>
  <si>
    <t>0.02326 (0.03799)</t>
  </si>
  <si>
    <t>0.01973 (0.00131)</t>
  </si>
  <si>
    <t>0.09053 (0.00652)</t>
  </si>
  <si>
    <t>0.00216 (0.00016)</t>
  </si>
  <si>
    <t>ykuJ</t>
  </si>
  <si>
    <t>putative RNA-specific modification enzymesubunit</t>
  </si>
  <si>
    <t>0.01078 (0.00073)</t>
  </si>
  <si>
    <t>0.05528 (0.00387)</t>
  </si>
  <si>
    <t>ykuK</t>
  </si>
  <si>
    <t>putative RNA-binding enzyme component</t>
  </si>
  <si>
    <t>0.05853 (0.06045)</t>
  </si>
  <si>
    <t>0.03838 (0.04147)</t>
  </si>
  <si>
    <t>0.01894 (0.00138)</t>
  </si>
  <si>
    <t>0.07459 (0.00613)</t>
  </si>
  <si>
    <t>abbA</t>
  </si>
  <si>
    <t>regulator of AbrB repressor</t>
  </si>
  <si>
    <t>0.01111 (0.00223)</t>
  </si>
  <si>
    <t>0.05190 (0.01081)</t>
  </si>
  <si>
    <t>ykuL</t>
  </si>
  <si>
    <t>putative RNA-binding protein</t>
  </si>
  <si>
    <t>0.03787 (0.08012)</t>
  </si>
  <si>
    <t>0.00753 (0.00101)</t>
  </si>
  <si>
    <t>0.03375 (0.00504)</t>
  </si>
  <si>
    <t>0.00072 (0.00020)</t>
  </si>
  <si>
    <t>ccpC</t>
  </si>
  <si>
    <t>transcriptional repressor of citB and citZ</t>
  </si>
  <si>
    <t>0.07315 (0.05001)</t>
  </si>
  <si>
    <t>0.00744 (0.00029)</t>
  </si>
  <si>
    <t>0.03205 (0.00125)</t>
  </si>
  <si>
    <t>0.00111 (0.00014)</t>
  </si>
  <si>
    <t>fldN</t>
  </si>
  <si>
    <t>short-chain flavodoxin (acts in lipiddesaturation)</t>
  </si>
  <si>
    <t>0.18179 (0.14428)</t>
  </si>
  <si>
    <t>0.55390 (0.19283)</t>
  </si>
  <si>
    <t>0.01346 (0.00077)</t>
  </si>
  <si>
    <t>0.02502 (0.00300)</t>
  </si>
  <si>
    <t>0.01052 (0.00077)</t>
  </si>
  <si>
    <t>ykuO</t>
  </si>
  <si>
    <t>0.13657 (0.05154)</t>
  </si>
  <si>
    <t>0.10579 (0.03779)</t>
  </si>
  <si>
    <t>0.01602 (0.00051)</t>
  </si>
  <si>
    <t>0.04962 (0.00183)</t>
  </si>
  <si>
    <t>0.00702 (0.00029)</t>
  </si>
  <si>
    <t>fldP</t>
  </si>
  <si>
    <t>short-chain flavodoxin</t>
  </si>
  <si>
    <t>0.20903 (0.04870)</t>
  </si>
  <si>
    <t>0.13573 (0.03891)</t>
  </si>
  <si>
    <t>0.02431 (0.00107)</t>
  </si>
  <si>
    <t>0.07482 (0.00406)</t>
  </si>
  <si>
    <t>0.01173 (0.00054)</t>
  </si>
  <si>
    <t>dapH</t>
  </si>
  <si>
    <t>tetrahydrodipicolinate N-acetyltransferase</t>
  </si>
  <si>
    <t>0.01719 (0.03346)</t>
  </si>
  <si>
    <t>0.00665 (0.02437)</t>
  </si>
  <si>
    <t>0.02071 (0.00109)</t>
  </si>
  <si>
    <t>0.09352 (0.00507)</t>
  </si>
  <si>
    <t>0.00113 (0.00009)</t>
  </si>
  <si>
    <t>dapI</t>
  </si>
  <si>
    <t>N-acetyl-diaminopimelate deacetylase</t>
  </si>
  <si>
    <t>0.05473 (0.03804)</t>
  </si>
  <si>
    <t>0.10657 (0.03383)</t>
  </si>
  <si>
    <t>0.01162 (0.00045)</t>
  </si>
  <si>
    <t>0.04203 (0.00175)</t>
  </si>
  <si>
    <t>ykuS</t>
  </si>
  <si>
    <t>0.06605 (0.08128)</t>
  </si>
  <si>
    <t>0.02126 (0.00154)</t>
  </si>
  <si>
    <t>0.09009 (0.00637)</t>
  </si>
  <si>
    <t>0.00416 (0.00052)</t>
  </si>
  <si>
    <t>mscT</t>
  </si>
  <si>
    <t>small-conductance mechanosensitive channel</t>
  </si>
  <si>
    <t>0.04618 (0.04667)</t>
  </si>
  <si>
    <t>0.01144 (0.00061)</t>
  </si>
  <si>
    <t>0.04993 (0.00285)</t>
  </si>
  <si>
    <t>0.00069 (0.00009)</t>
  </si>
  <si>
    <t>ahpA</t>
  </si>
  <si>
    <t>biofilm-specific peroxidase; 2-cysperoxiredoxin</t>
  </si>
  <si>
    <t>0.05383 (0.03211)</t>
  </si>
  <si>
    <t>0.01184 (0.00057)</t>
  </si>
  <si>
    <t>0.04960 (0.00264)</t>
  </si>
  <si>
    <t>0.00159 (0.00018)</t>
  </si>
  <si>
    <t>ykuV</t>
  </si>
  <si>
    <t>thiol-disulfide oxidoreductase</t>
  </si>
  <si>
    <t>0.21503 (0.10287)</t>
  </si>
  <si>
    <t>0.02187 (0.05183)</t>
  </si>
  <si>
    <t>0.01430 (0.00053)</t>
  </si>
  <si>
    <t>0.05414 (0.00207)</t>
  </si>
  <si>
    <t>0.00431 (0.00028)</t>
  </si>
  <si>
    <t>rok</t>
  </si>
  <si>
    <t>repressor of comK</t>
  </si>
  <si>
    <t>0.03188 (0.07802)</t>
  </si>
  <si>
    <t>0.04914 (0.10935)</t>
  </si>
  <si>
    <t>0.02037 (0.00178)</t>
  </si>
  <si>
    <t>0.08547 (0.00734)</t>
  </si>
  <si>
    <t>0.00343 (0.00058)</t>
  </si>
  <si>
    <t>sppO</t>
  </si>
  <si>
    <t>spore protein cse15</t>
  </si>
  <si>
    <t>0.14467 (0.05281)</t>
  </si>
  <si>
    <t>0.31761 (0.13090)</t>
  </si>
  <si>
    <t>0.00997 (0.00039)</t>
  </si>
  <si>
    <t>0.02833 (0.00123)</t>
  </si>
  <si>
    <t>0.00547 (0.00025)</t>
  </si>
  <si>
    <t>mobA</t>
  </si>
  <si>
    <t>molybdopterin-guanine dinucleotide biosynthesisprotein A</t>
  </si>
  <si>
    <t>0.55319 (0.79851)</t>
  </si>
  <si>
    <t>0.09912 (0.06641)</t>
  </si>
  <si>
    <t>0.01049 (0.00048)</t>
  </si>
  <si>
    <t>0.02700 (0.00191)</t>
  </si>
  <si>
    <t>0.00578 (0.00031)</t>
  </si>
  <si>
    <t>moeB</t>
  </si>
  <si>
    <t>molybdopterin biosynthesis adenylyltransferase</t>
  </si>
  <si>
    <t>0.08992 (0.08609)</t>
  </si>
  <si>
    <t>0.12796 (0.05077)</t>
  </si>
  <si>
    <t>0.01276 (0.00064)</t>
  </si>
  <si>
    <t>0.04117 (0.00234)</t>
  </si>
  <si>
    <t>0.00453 (0.00021)</t>
  </si>
  <si>
    <t>moeA</t>
  </si>
  <si>
    <t>molybdate to molybdopterin ligation enzyme</t>
  </si>
  <si>
    <t>0.12921 (0.06260)</t>
  </si>
  <si>
    <t>0.19635 (0.09766)</t>
  </si>
  <si>
    <t>0.01084 (0.00038)</t>
  </si>
  <si>
    <t>0.03073 (0.00122)</t>
  </si>
  <si>
    <t>0.00467 (0.00021)</t>
  </si>
  <si>
    <t>mobB</t>
  </si>
  <si>
    <t>molybdopterin-guanine dinucleotide biosynthesisprotein B</t>
  </si>
  <si>
    <t>0.21578 (0.08205)</t>
  </si>
  <si>
    <t>1.86095 (3.65314)</t>
  </si>
  <si>
    <t>0.00975 (0.00053)</t>
  </si>
  <si>
    <t>0.01700 (0.00129)</t>
  </si>
  <si>
    <t>0.00763 (0.00055)</t>
  </si>
  <si>
    <t>moaE</t>
  </si>
  <si>
    <t>molybdopterin synthase (large subunit)</t>
  </si>
  <si>
    <t>0.07558 (0.11648)</t>
  </si>
  <si>
    <t>0.14455 (0.11313)</t>
  </si>
  <si>
    <t>0.01421 (0.00149)</t>
  </si>
  <si>
    <t>0.05160 (0.00691)</t>
  </si>
  <si>
    <t>moaD</t>
  </si>
  <si>
    <t>molybdopterin synthase (small subunit)</t>
  </si>
  <si>
    <t>0.10062 (0.07932)</t>
  </si>
  <si>
    <t>0.01385 (0.00171)</t>
  </si>
  <si>
    <t>0.04978 (0.00633)</t>
  </si>
  <si>
    <t>0.00341 (0.00081)</t>
  </si>
  <si>
    <t>yknU</t>
  </si>
  <si>
    <t>0.23768 (0.06937)</t>
  </si>
  <si>
    <t>0.06787 (0.05164)</t>
  </si>
  <si>
    <t>0.00996 (0.00031)</t>
  </si>
  <si>
    <t>0.03148 (0.00097)</t>
  </si>
  <si>
    <t>0.00366 (0.00015)</t>
  </si>
  <si>
    <t>yknV</t>
  </si>
  <si>
    <t>0.09741 (0.03887)</t>
  </si>
  <si>
    <t>0.10106 (0.06541)</t>
  </si>
  <si>
    <t>0.01076 (0.00038)</t>
  </si>
  <si>
    <t>0.03526 (0.00135)</t>
  </si>
  <si>
    <t>0.00360 (0.00018)</t>
  </si>
  <si>
    <t>skiW</t>
  </si>
  <si>
    <t>subunit of permease exporting thestarvation-induced killing protein</t>
  </si>
  <si>
    <t>0.13023 (0.09618)</t>
  </si>
  <si>
    <t>0.07326 (0.11492)</t>
  </si>
  <si>
    <t>0.01526 (0.00131)</t>
  </si>
  <si>
    <t>0.04835 (0.00430)</t>
  </si>
  <si>
    <t>0.00498 (0.00052)</t>
  </si>
  <si>
    <t>skiX</t>
  </si>
  <si>
    <t>subunit of efflux permease exporting thestarvation-induced killing protein</t>
  </si>
  <si>
    <t>0.22239 (0.11387)</t>
  </si>
  <si>
    <t>0.08327 (0.05355)</t>
  </si>
  <si>
    <t>0.00902 (0.00039)</t>
  </si>
  <si>
    <t>0.02840 (0.00128)</t>
  </si>
  <si>
    <t>0.00369 (0.00021)</t>
  </si>
  <si>
    <t>skiY</t>
  </si>
  <si>
    <t>subunit of efflux permease exporting thestarvation-induced killing protein (ATP-binding protein)</t>
  </si>
  <si>
    <t>0.07846 (0.07004)</t>
  </si>
  <si>
    <t>0.06270 (0.05106)</t>
  </si>
  <si>
    <t>0.02339 (0.00150)</t>
  </si>
  <si>
    <t>0.09329 (0.00647)</t>
  </si>
  <si>
    <t>0.00500 (0.00031)</t>
  </si>
  <si>
    <t>skiZ</t>
  </si>
  <si>
    <t>permease subunit exporting Sporulation-DelayingProtein</t>
  </si>
  <si>
    <t>0.08457 (0.03828)</t>
  </si>
  <si>
    <t>0.10301 (0.09466)</t>
  </si>
  <si>
    <t>0.01446 (0.00056)</t>
  </si>
  <si>
    <t>0.05054 (0.00215)</t>
  </si>
  <si>
    <t>0.00384 (0.00022)</t>
  </si>
  <si>
    <t>fruR</t>
  </si>
  <si>
    <t>transcriptional regulator (DeoR family)</t>
  </si>
  <si>
    <t>0.06100 (0.05315)</t>
  </si>
  <si>
    <t>0.05128 (0.16746)</t>
  </si>
  <si>
    <t>0.01733 (0.00123)</t>
  </si>
  <si>
    <t>0.06668 (0.00470)</t>
  </si>
  <si>
    <t>0.00416 (0.00036)</t>
  </si>
  <si>
    <t>fruK</t>
  </si>
  <si>
    <t>fructose-1-phosphate kinase</t>
  </si>
  <si>
    <t>0.06325 (0.02887)</t>
  </si>
  <si>
    <t>0.05319 (0.05499)</t>
  </si>
  <si>
    <t>0.02083 (0.00147)</t>
  </si>
  <si>
    <t>0.07858 (0.00585)</t>
  </si>
  <si>
    <t>0.00460 (0.00031)</t>
  </si>
  <si>
    <t>fruA</t>
  </si>
  <si>
    <t>phosphotransferase system (PTS)fructose-specific enzyme IIABC component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</si>
  <si>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</si>
  <si>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0.05752 (0.02930)</t>
  </si>
  <si>
    <t>0.05436 (0.04693)</t>
  </si>
  <si>
    <t>0.00814 (0.00029)</t>
  </si>
  <si>
    <t>0.03019 (0.00114)</t>
  </si>
  <si>
    <t>sipT</t>
  </si>
  <si>
    <t>0.09206 (0.09419)</t>
  </si>
  <si>
    <t>0.01957 (0.02252)</t>
  </si>
  <si>
    <t>0.02619 (0.00214)</t>
  </si>
  <si>
    <t>0.11544 (0.00990)</t>
  </si>
  <si>
    <t>0.00318 (0.00027)</t>
  </si>
  <si>
    <t>ykoA</t>
  </si>
  <si>
    <t>0.03207 (0.08272)</t>
  </si>
  <si>
    <t>0.02281 (0.00251)</t>
  </si>
  <si>
    <t>0.09956 (0.01136)</t>
  </si>
  <si>
    <t>0.00101 (0.00030)</t>
  </si>
  <si>
    <t>ykpA</t>
  </si>
  <si>
    <t>0.03245 (0.03225)</t>
  </si>
  <si>
    <t>0.01539 (0.02278)</t>
  </si>
  <si>
    <t>0.02292 (0.00157)</t>
  </si>
  <si>
    <t>0.11325 (0.00814)</t>
  </si>
  <si>
    <t>0.00164 (0.00012)</t>
  </si>
  <si>
    <t>panE</t>
  </si>
  <si>
    <t>2-dehydropantoate reductase</t>
  </si>
  <si>
    <t>0.24658 (0.04100)</t>
  </si>
  <si>
    <t>0.07459 (0.05081)</t>
  </si>
  <si>
    <t>0.01625 (0.00046)</t>
  </si>
  <si>
    <t>0.04541 (0.00167)</t>
  </si>
  <si>
    <t>0.00799 (0.00029)</t>
  </si>
  <si>
    <t>ampS</t>
  </si>
  <si>
    <t>aminopeptidase</t>
  </si>
  <si>
    <t>0.05637 (0.04883)</t>
  </si>
  <si>
    <t>0.02170 (0.05366)</t>
  </si>
  <si>
    <t>0.00700 (0.00031)</t>
  </si>
  <si>
    <t>0.02797 (0.00120)</t>
  </si>
  <si>
    <t>0.00122 (0.00013)</t>
  </si>
  <si>
    <t>ykpC</t>
  </si>
  <si>
    <t>0.05322 (0.10864)</t>
  </si>
  <si>
    <t>0.02215 (0.00197)</t>
  </si>
  <si>
    <t>0.08699 (0.00741)</t>
  </si>
  <si>
    <t>0.00295 (0.00102)</t>
  </si>
  <si>
    <t>mreBH</t>
  </si>
  <si>
    <t>cell-shape determining protein</t>
  </si>
  <si>
    <t>0.07214 (0.03340)</t>
  </si>
  <si>
    <t>0.02733 (0.00159)</t>
  </si>
  <si>
    <t>0.00112 (0.00009)</t>
  </si>
  <si>
    <t>transcriptional regulator</t>
  </si>
  <si>
    <t>kinC</t>
  </si>
  <si>
    <t>two-component sensor potassium-responsivehistidine kinase regulating cannibalism and biofilmformation</t>
  </si>
  <si>
    <t>0.05829 (0.03619)</t>
  </si>
  <si>
    <t>0.03909 (0.12479)</t>
  </si>
  <si>
    <t>0.01974 (0.00234)</t>
  </si>
  <si>
    <t>0.08903 (0.01059)</t>
  </si>
  <si>
    <t>0.00356 (0.00052)</t>
  </si>
  <si>
    <t>ykqA</t>
  </si>
  <si>
    <t>putative gamma-glutamylcyclotransferase(bacillithiol degradation)</t>
  </si>
  <si>
    <t>0.35191 (0.18712)</t>
  </si>
  <si>
    <t>0.20980 (0.08901)</t>
  </si>
  <si>
    <t>0.01405 (0.00047)</t>
  </si>
  <si>
    <t>0.03297 (0.00147)</t>
  </si>
  <si>
    <t>0.00875 (0.00035)</t>
  </si>
  <si>
    <t>ktrC</t>
  </si>
  <si>
    <t>potassium uptake protein</t>
  </si>
  <si>
    <t>0.02114 (0.04617)</t>
  </si>
  <si>
    <t>0.00808 (0.00054)</t>
  </si>
  <si>
    <t>0.03429 (0.00253)</t>
  </si>
  <si>
    <t>0.00049 (0.00016)</t>
  </si>
  <si>
    <t>adeC</t>
  </si>
  <si>
    <t>adenine deaminase</t>
  </si>
  <si>
    <t>0.21584 (0.09786)</t>
  </si>
  <si>
    <t>0.13118 (0.06825)</t>
  </si>
  <si>
    <t>0.01527 (0.00053)</t>
  </si>
  <si>
    <t>0.04633 (0.00189)</t>
  </si>
  <si>
    <t>0.00649 (0.00024)</t>
  </si>
  <si>
    <t>rnjA</t>
  </si>
  <si>
    <t>ribonuclease J1</t>
  </si>
  <si>
    <t>0.01073 (0.03466)</t>
  </si>
  <si>
    <t>0.01075 (0.03126)</t>
  </si>
  <si>
    <t>0.00684 (0.00023)</t>
  </si>
  <si>
    <t>0.02987 (0.00104)</t>
  </si>
  <si>
    <t>0.00032 (0.00004)</t>
  </si>
  <si>
    <t>rnpZA</t>
  </si>
  <si>
    <t>omega 1 subunit of RNA polymerase</t>
  </si>
  <si>
    <t>0.38720 (0.25814)</t>
  </si>
  <si>
    <t>0.02126 (0.00291)</t>
  </si>
  <si>
    <t>0.08020 (0.01298)</t>
  </si>
  <si>
    <t>0.00736 (0.00117)</t>
  </si>
  <si>
    <t>ykrA</t>
  </si>
  <si>
    <t>0.06261 (0.02791)</t>
  </si>
  <si>
    <t>0.04982 (0.03973)</t>
  </si>
  <si>
    <t>0.01226 (0.00082)</t>
  </si>
  <si>
    <t>0.04473 (0.00347)</t>
  </si>
  <si>
    <t>0.00341 (0.00027)</t>
  </si>
  <si>
    <t>defB</t>
  </si>
  <si>
    <t>N-formyl-cysteine deformylase (promiscuous)</t>
  </si>
  <si>
    <t>0.08426 (0.03975)</t>
  </si>
  <si>
    <t>0.03574 (0.03895)</t>
  </si>
  <si>
    <t>0.02631 (0.00168)</t>
  </si>
  <si>
    <t>0.11720 (0.00809)</t>
  </si>
  <si>
    <t>0.00374 (0.00026)</t>
  </si>
  <si>
    <t>ykzV</t>
  </si>
  <si>
    <t>putative type I toxin (toxin I motif)</t>
  </si>
  <si>
    <t>0.01068 (0.00195)</t>
  </si>
  <si>
    <t>0.02302 (0.00548)</t>
  </si>
  <si>
    <t>0.00601 (0.00142)</t>
  </si>
  <si>
    <t>ykyA</t>
  </si>
  <si>
    <t>0.13728 (0.08070)</t>
  </si>
  <si>
    <t>0.25253 (0.15058)</t>
  </si>
  <si>
    <t>0.00770 (0.00048)</t>
  </si>
  <si>
    <t>0.02066 (0.00137)</t>
  </si>
  <si>
    <t>0.00453 (0.00038)</t>
  </si>
  <si>
    <t>pdhA</t>
  </si>
  <si>
    <t>pyruvate dehydrogenase (E1 alpha subunit)</t>
  </si>
  <si>
    <t>0.30460 (0.08414)</t>
  </si>
  <si>
    <t>0.00694 (0.01784)</t>
  </si>
  <si>
    <t>0.01382 (0.00090)</t>
  </si>
  <si>
    <t>0.06471 (0.00438)</t>
  </si>
  <si>
    <t>0.00024 (0.00003)</t>
  </si>
  <si>
    <t>pdhB</t>
  </si>
  <si>
    <t>pyruvate dehydrogenase (E1 beta subunit)</t>
  </si>
  <si>
    <t>0.02157 (0.03356)</t>
  </si>
  <si>
    <t>0.00715 (0.02456)</t>
  </si>
  <si>
    <t>0.01696 (0.00103)</t>
  </si>
  <si>
    <t>0.07375 (0.00475)</t>
  </si>
  <si>
    <t>0.00073 (0.00007)</t>
  </si>
  <si>
    <t>pdhC</t>
  </si>
  <si>
    <t>pyruvate dehydrogenase (dihydrolipoamideacetyltransferase E2 subunit)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</si>
  <si>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GCA_002163815.1_ASM216381v1_genomic , GCA_002173615.1_ASM217361v1_genomic</t>
  </si>
  <si>
    <t>0.06253 (0.04612)</t>
  </si>
  <si>
    <t>0.04792 (0.07682)</t>
  </si>
  <si>
    <t>0.00927 (0.00058)</t>
  </si>
  <si>
    <t>0.03517 (0.00221)</t>
  </si>
  <si>
    <t>0.00180 (0.00015)</t>
  </si>
  <si>
    <t>pdhD</t>
  </si>
  <si>
    <t>dihydrolipoamide dehydrogenase E3 subunit ofboth pyruvate dehydrogenase and 2-oxoglutaratedehydrogenase complexes</t>
  </si>
  <si>
    <t>0.02403 (0.03055)</t>
  </si>
  <si>
    <t>0.02069 (0.05063)</t>
  </si>
  <si>
    <t>0.01652 (0.00094)</t>
  </si>
  <si>
    <t>0.06707 (0.00386)</t>
  </si>
  <si>
    <t>slp</t>
  </si>
  <si>
    <t>small peptidoglycan-associated lipoprotein</t>
  </si>
  <si>
    <t>0.74897 (0.08701)</t>
  </si>
  <si>
    <t>0.10199 (0.12358)</t>
  </si>
  <si>
    <t>0.05987 (0.02618)</t>
  </si>
  <si>
    <t>0.02724 (0.00238)</t>
  </si>
  <si>
    <t>0.10748 (0.00968)</t>
  </si>
  <si>
    <t>0.00834 (0.00104)</t>
  </si>
  <si>
    <t>rgpA</t>
  </si>
  <si>
    <t>regulator of GapA synthesis</t>
  </si>
  <si>
    <t>0.11681 (0.06744)</t>
  </si>
  <si>
    <t>0.02906 (0.00405)</t>
  </si>
  <si>
    <t>0.12455 (0.02040)</t>
  </si>
  <si>
    <t>0.00860 (0.00205)</t>
  </si>
  <si>
    <t>speA</t>
  </si>
  <si>
    <t>arginine decarboxylase</t>
  </si>
  <si>
    <t>0.04512 (0.04306)</t>
  </si>
  <si>
    <t>0.01157 (0.03029)</t>
  </si>
  <si>
    <t>0.01261 (0.00066)</t>
  </si>
  <si>
    <t>0.05141 (0.00256)</t>
  </si>
  <si>
    <t>0.00144 (0.00017)</t>
  </si>
  <si>
    <t>yktA</t>
  </si>
  <si>
    <t>0.14023 (0.21446)</t>
  </si>
  <si>
    <t>0.13287 (0.19178)</t>
  </si>
  <si>
    <t>0.02041 (0.00280)</t>
  </si>
  <si>
    <t>0.07106 (0.01401)</t>
  </si>
  <si>
    <t>0.00888 (0.00102)</t>
  </si>
  <si>
    <t>yktB</t>
  </si>
  <si>
    <t>0.09833 (0.03384)</t>
  </si>
  <si>
    <t>0.04481 (0.10671)</t>
  </si>
  <si>
    <t>0.02191 (0.00166)</t>
  </si>
  <si>
    <t>0.08900 (0.00747)</t>
  </si>
  <si>
    <t>0.00607 (0.00045)</t>
  </si>
  <si>
    <t>ykzI</t>
  </si>
  <si>
    <t>conserved general stress protein</t>
  </si>
  <si>
    <t>0.15559 (0.17379)</t>
  </si>
  <si>
    <t>0.02186 (0.00298)</t>
  </si>
  <si>
    <t>0.10451 (0.01658)</t>
  </si>
  <si>
    <t>0.00448 (0.00104)</t>
  </si>
  <si>
    <t>suhB</t>
  </si>
  <si>
    <t>inositol monophosphatase / 5' nucleotidase(purine nucleoside monophosphate)</t>
  </si>
  <si>
    <t>0.05763 (0.05334)</t>
  </si>
  <si>
    <t>0.07707 (0.07141)</t>
  </si>
  <si>
    <t>0.01064 (0.00043)</t>
  </si>
  <si>
    <t>0.03754 (0.00164)</t>
  </si>
  <si>
    <t>0.00313 (0.00026)</t>
  </si>
  <si>
    <t>ykzC</t>
  </si>
  <si>
    <t>0.64659 (0.29279)</t>
  </si>
  <si>
    <t>0.14657 (0.17031)</t>
  </si>
  <si>
    <t>0.01639 (0.00101)</t>
  </si>
  <si>
    <t>0.04731 (0.00370)</t>
  </si>
  <si>
    <t>0.00895 (0.00056)</t>
  </si>
  <si>
    <t>yktD</t>
  </si>
  <si>
    <t>putative AdoMet-dependent methyltransferase</t>
  </si>
  <si>
    <t>0.12827 (0.07426)</t>
  </si>
  <si>
    <t>0.13044 (0.08181)</t>
  </si>
  <si>
    <t>0.01890 (0.00068)</t>
  </si>
  <si>
    <t>0.06106 (0.00255)</t>
  </si>
  <si>
    <t>0.00801 (0.00030)</t>
  </si>
  <si>
    <t>nprE</t>
  </si>
  <si>
    <t>extracellular neutral metalloprotease</t>
  </si>
  <si>
    <t>0.02441 (0.02746)</t>
  </si>
  <si>
    <t>0.03904 (0.09316)</t>
  </si>
  <si>
    <t>0.00601 (0.00039)</t>
  </si>
  <si>
    <t>0.02354 (0.00163)</t>
  </si>
  <si>
    <t>0.00068 (0.00007)</t>
  </si>
  <si>
    <t>ylaA</t>
  </si>
  <si>
    <t>0.26685 (0.13239)</t>
  </si>
  <si>
    <t>0.19380 (0.10517)</t>
  </si>
  <si>
    <t>0.02704 (0.00135)</t>
  </si>
  <si>
    <t>0.06944 (0.00322)</t>
  </si>
  <si>
    <t>0.01581 (0.00098)</t>
  </si>
  <si>
    <t>sigP</t>
  </si>
  <si>
    <t>RNA polymerase ECF-type sigma factor</t>
  </si>
  <si>
    <t>0.24899 (0.20584)</t>
  </si>
  <si>
    <t>0.17071 (0.19003)</t>
  </si>
  <si>
    <t>0.01744 (0.00090)</t>
  </si>
  <si>
    <t>0.04891 (0.00315)</t>
  </si>
  <si>
    <t>0.00931 (0.00074)</t>
  </si>
  <si>
    <t>sigQ</t>
  </si>
  <si>
    <t>anti-SigP(YlaC) sigma factor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</si>
  <si>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</si>
  <si>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0.31051 (0.13780)</t>
  </si>
  <si>
    <t>0.26692 (0.26692)</t>
  </si>
  <si>
    <t>0.01250 (0.00059)</t>
  </si>
  <si>
    <t>0.03028 (0.00243)</t>
  </si>
  <si>
    <t>0.00798 (0.00049)</t>
  </si>
  <si>
    <t>ylaE</t>
  </si>
  <si>
    <t>0.28445 (0.53910)</t>
  </si>
  <si>
    <t>0.29088 (0.22636)</t>
  </si>
  <si>
    <t>0.01530 (0.00217)</t>
  </si>
  <si>
    <t>0.03556 (0.00454)</t>
  </si>
  <si>
    <t>0.01001 (0.00169)</t>
  </si>
  <si>
    <t>ylaF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</si>
  <si>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</si>
  <si>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0.08885 (0.11366)</t>
  </si>
  <si>
    <t>0.13058 (0.14842)</t>
  </si>
  <si>
    <t>0.03584 (0.00260)</t>
  </si>
  <si>
    <t>0.12314 (0.01352)</t>
  </si>
  <si>
    <t>0.01584 (0.00174)</t>
  </si>
  <si>
    <t>bipA</t>
  </si>
  <si>
    <t>ribosome-associated GTPase</t>
  </si>
  <si>
    <t>0.00564 (0.02446)</t>
  </si>
  <si>
    <t>0.00845 (0.01059)</t>
  </si>
  <si>
    <t>0.02159 (0.00128)</t>
  </si>
  <si>
    <t>0.10097 (0.00615)</t>
  </si>
  <si>
    <t>0.00078 (0.00008)</t>
  </si>
  <si>
    <t>ylaH</t>
  </si>
  <si>
    <t>conserved membrane protein of unkown function</t>
  </si>
  <si>
    <t>0.15550 (0.05800)</t>
  </si>
  <si>
    <t>0.03121 (0.06943)</t>
  </si>
  <si>
    <t>0.02324 (0.00209)</t>
  </si>
  <si>
    <t>0.08339 (0.00848)</t>
  </si>
  <si>
    <t>0.00432 (0.00040)</t>
  </si>
  <si>
    <t>ylaI</t>
  </si>
  <si>
    <t>0.13957 (0.08624)</t>
  </si>
  <si>
    <t>0.05756 (0.00000)</t>
  </si>
  <si>
    <t>0.03543 (0.00631)</t>
  </si>
  <si>
    <t>0.14253 (0.02009)</t>
  </si>
  <si>
    <t>0.01317 (0.00172)</t>
  </si>
  <si>
    <t>ylaJ</t>
  </si>
  <si>
    <t>0.16007 (0.06156)</t>
  </si>
  <si>
    <t>0.02772 (0.06711)</t>
  </si>
  <si>
    <t>0.01311 (0.00056)</t>
  </si>
  <si>
    <t>0.04845 (0.00235)</t>
  </si>
  <si>
    <t>0.00376 (0.00028)</t>
  </si>
  <si>
    <t>ylaK</t>
  </si>
  <si>
    <t>putative phosphate starvation inducible protein</t>
  </si>
  <si>
    <t>0.02100 (0.02089)</t>
  </si>
  <si>
    <t>0.00899 (0.00037)</t>
  </si>
  <si>
    <t>0.03880 (0.00172)</t>
  </si>
  <si>
    <t>0.00045 (0.00006)</t>
  </si>
  <si>
    <t>ylaL</t>
  </si>
  <si>
    <t>0.07948 (0.04364)</t>
  </si>
  <si>
    <t>0.04725 (0.08692)</t>
  </si>
  <si>
    <t>0.01233 (0.00083)</t>
  </si>
  <si>
    <t>0.04586 (0.00352)</t>
  </si>
  <si>
    <t>0.00326 (0.00028)</t>
  </si>
  <si>
    <t>glsB</t>
  </si>
  <si>
    <t>L-glutamine amidohydrolase; glutaminase</t>
  </si>
  <si>
    <t>0.03443 (0.03045)</t>
  </si>
  <si>
    <t>0.02890 (0.07277)</t>
  </si>
  <si>
    <t>0.00827 (0.00036)</t>
  </si>
  <si>
    <t>0.03398 (0.00162)</t>
  </si>
  <si>
    <t>0.00107 (0.00009)</t>
  </si>
  <si>
    <t>ylaN</t>
  </si>
  <si>
    <t>0.72452 (0.10213)</t>
  </si>
  <si>
    <t>0.09054 (0.13966)</t>
  </si>
  <si>
    <t>0.01099 (0.00114)</t>
  </si>
  <si>
    <t>0.04345 (0.00492)</t>
  </si>
  <si>
    <t>0.00245 (0.00044)</t>
  </si>
  <si>
    <t>ftsW</t>
  </si>
  <si>
    <t>cell-division protein; transporter oflipid-linked cell wall precursors</t>
  </si>
  <si>
    <t>0.05933 (0.04273)</t>
  </si>
  <si>
    <t>0.07920 (0.05943)</t>
  </si>
  <si>
    <t>0.02148 (0.00082)</t>
  </si>
  <si>
    <t>0.07666 (0.00311)</t>
  </si>
  <si>
    <t>0.00556 (0.00030)</t>
  </si>
  <si>
    <t>pycA</t>
  </si>
  <si>
    <t>pyruvate carboxylase</t>
  </si>
  <si>
    <t>0.04751 (0.02804)</t>
  </si>
  <si>
    <t>0.02066 (0.01197)</t>
  </si>
  <si>
    <t>0.01064 (0.00035)</t>
  </si>
  <si>
    <t>0.04420 (0.00151)</t>
  </si>
  <si>
    <t>0.00120 (0.00006)</t>
  </si>
  <si>
    <t>ctaA</t>
  </si>
  <si>
    <t>heme-A synthase</t>
  </si>
  <si>
    <t>0.13126 (0.11637)</t>
  </si>
  <si>
    <t>0.11122 (0.05831)</t>
  </si>
  <si>
    <t>0.01100 (0.00047)</t>
  </si>
  <si>
    <t>0.03728 (0.00176)</t>
  </si>
  <si>
    <t>0.00298 (0.00017)</t>
  </si>
  <si>
    <t>ctaB</t>
  </si>
  <si>
    <t>protoheme IX farnesyltransferase 2</t>
  </si>
  <si>
    <t>0.02450 (0.02835)</t>
  </si>
  <si>
    <t>0.01165 (0.03843)</t>
  </si>
  <si>
    <t>0.01920 (0.00116)</t>
  </si>
  <si>
    <t>0.08304 (0.00525)</t>
  </si>
  <si>
    <t>0.00140 (0.00010)</t>
  </si>
  <si>
    <t>ctaC</t>
  </si>
  <si>
    <t>cytochrome caa3 oxidase (subunit II)</t>
  </si>
  <si>
    <t>0.08383 (0.09104)</t>
  </si>
  <si>
    <t>0.04418 (0.07970)</t>
  </si>
  <si>
    <t>0.02006 (0.00170)</t>
  </si>
  <si>
    <t>0.08614 (0.00785)</t>
  </si>
  <si>
    <t>0.00371 (0.00028)</t>
  </si>
  <si>
    <t>ctaD</t>
  </si>
  <si>
    <t>cytochrome caa3 oxidase (subunit I)</t>
  </si>
  <si>
    <t>0.03889 (0.03164)</t>
  </si>
  <si>
    <t>0.01337 (0.02593)</t>
  </si>
  <si>
    <t>0.00962 (0.00049)</t>
  </si>
  <si>
    <t>0.03925 (0.00219)</t>
  </si>
  <si>
    <t>0.00073 (0.00008)</t>
  </si>
  <si>
    <t>ctaE</t>
  </si>
  <si>
    <t>cytochrome caa3 oxidase (subunit III)</t>
  </si>
  <si>
    <t>0.10168 (0.08456)</t>
  </si>
  <si>
    <t>0.00639 (0.00039)</t>
  </si>
  <si>
    <t>0.02426 (0.00156)</t>
  </si>
  <si>
    <t>0.00105 (0.00015)</t>
  </si>
  <si>
    <t>ctaF</t>
  </si>
  <si>
    <t>cytochrome caa3 oxidase (subunit IV)</t>
  </si>
  <si>
    <t>0.06229 (0.06527)</t>
  </si>
  <si>
    <t>0.00926 (0.00082)</t>
  </si>
  <si>
    <t>0.03673 (0.00321)</t>
  </si>
  <si>
    <t>0.00174 (0.00036)</t>
  </si>
  <si>
    <t>ctaG</t>
  </si>
  <si>
    <t>cytochrome aa(3) assembly factor</t>
  </si>
  <si>
    <t>0.11422 (0.06274)</t>
  </si>
  <si>
    <t>0.12257 (0.18464)</t>
  </si>
  <si>
    <t>0.01549 (0.00104)</t>
  </si>
  <si>
    <t>0.05356 (0.00374)</t>
  </si>
  <si>
    <t>0.00514 (0.00038)</t>
  </si>
  <si>
    <t>ylbA</t>
  </si>
  <si>
    <t>0.02950 (0.04575)</t>
  </si>
  <si>
    <t>0.04747 (0.07967)</t>
  </si>
  <si>
    <t>0.02358 (0.00272)</t>
  </si>
  <si>
    <t>0.10032 (0.01166)</t>
  </si>
  <si>
    <t>0.00402 (0.00067)</t>
  </si>
  <si>
    <t>ylbB</t>
  </si>
  <si>
    <t>0.03943 (0.06811)</t>
  </si>
  <si>
    <t>0.09682 (0.11180)</t>
  </si>
  <si>
    <t>0.01440 (0.00185)</t>
  </si>
  <si>
    <t>0.06297 (0.00928)</t>
  </si>
  <si>
    <t>0.00194 (0.00023)</t>
  </si>
  <si>
    <t>ylbC</t>
  </si>
  <si>
    <t>0.09995 (0.06929)</t>
  </si>
  <si>
    <t>0.04907 (0.04135)</t>
  </si>
  <si>
    <t>0.01415 (0.00058)</t>
  </si>
  <si>
    <t>0.05373 (0.00247)</t>
  </si>
  <si>
    <t>0.00359 (0.00017)</t>
  </si>
  <si>
    <t>ylbD</t>
  </si>
  <si>
    <t>sporulation-related protein (coat)</t>
  </si>
  <si>
    <t>0.12022 (0.05846)</t>
  </si>
  <si>
    <t>0.14229 (0.08930)</t>
  </si>
  <si>
    <t>0.02277 (0.00150)</t>
  </si>
  <si>
    <t>0.07822 (0.00505)</t>
  </si>
  <si>
    <t>0.01081 (0.00083)</t>
  </si>
  <si>
    <t>ylbE</t>
  </si>
  <si>
    <t>0.16842 (0.14588)</t>
  </si>
  <si>
    <t>0.07133 (0.07963)</t>
  </si>
  <si>
    <t>0.03074 (0.00309)</t>
  </si>
  <si>
    <t>0.13002 (0.01493)</t>
  </si>
  <si>
    <t>0.01141 (0.00127)</t>
  </si>
  <si>
    <t>ricF</t>
  </si>
  <si>
    <t>subunit of a sporulation, competence and biofilmformation regulatory complex controlling RNase Y (RicAFT</t>
  </si>
  <si>
    <t>0.05673 (0.06230)</t>
  </si>
  <si>
    <t>0.01916 (0.00146)</t>
  </si>
  <si>
    <t>0.08907 (0.00724)</t>
  </si>
  <si>
    <t>0.00105 (0.00020)</t>
  </si>
  <si>
    <t>ylbG</t>
  </si>
  <si>
    <t>0.05800 (0.07653)</t>
  </si>
  <si>
    <t>0.27053 (0.38259)</t>
  </si>
  <si>
    <t>0.01786 (0.00291)</t>
  </si>
  <si>
    <t>0.06760 (0.01469)</t>
  </si>
  <si>
    <t>0.00609 (0.00063)</t>
  </si>
  <si>
    <t>rsmD</t>
  </si>
  <si>
    <t>16S rRNA m2G966 methyltransferase</t>
  </si>
  <si>
    <t>0.08824 (0.08095)</t>
  </si>
  <si>
    <t>0.08733 (0.04611)</t>
  </si>
  <si>
    <t>0.02668 (0.00158)</t>
  </si>
  <si>
    <t>0.09556 (0.00718)</t>
  </si>
  <si>
    <t>0.00843 (0.00033)</t>
  </si>
  <si>
    <t>coaD</t>
  </si>
  <si>
    <t>phosphopantetheine adenylyltransferase</t>
  </si>
  <si>
    <t>0.00974 (0.03074)</t>
  </si>
  <si>
    <t>0.01533 (0.04267)</t>
  </si>
  <si>
    <t>0.02153 (0.00161)</t>
  </si>
  <si>
    <t>0.09718 (0.00730)</t>
  </si>
  <si>
    <t>0.00145 (0.00022)</t>
  </si>
  <si>
    <t>spoVV</t>
  </si>
  <si>
    <t>dipicolinic acid transporter (to the spore)</t>
  </si>
  <si>
    <t>0.08168 (0.05824)</t>
  </si>
  <si>
    <t>0.05456 (0.05427)</t>
  </si>
  <si>
    <t>0.00971 (0.00043)</t>
  </si>
  <si>
    <t>0.03368 (0.00139)</t>
  </si>
  <si>
    <t>0.00209 (0.00017)</t>
  </si>
  <si>
    <t>ylbK</t>
  </si>
  <si>
    <t>0.59556 (0.11326)</t>
  </si>
  <si>
    <t>0.13555 (0.10757)</t>
  </si>
  <si>
    <t>0.00499 (0.00035)</t>
  </si>
  <si>
    <t>0.01754 (0.00123)</t>
  </si>
  <si>
    <t>0.00122 (0.00020)</t>
  </si>
  <si>
    <t>ylbL</t>
  </si>
  <si>
    <t>putative degradative enzyme</t>
  </si>
  <si>
    <t>0.07409 (0.03907)</t>
  </si>
  <si>
    <t>0.05763 (0.07722)</t>
  </si>
  <si>
    <t>0.02903 (0.00191)</t>
  </si>
  <si>
    <t>0.12211 (0.00832)</t>
  </si>
  <si>
    <t>0.00651 (0.00047)</t>
  </si>
  <si>
    <t>ylbM</t>
  </si>
  <si>
    <t>putative component of the degradosome</t>
  </si>
  <si>
    <t>0.23650 (0.06042)</t>
  </si>
  <si>
    <t>0.12696 (0.07260)</t>
  </si>
  <si>
    <t>0.01877 (0.00093)</t>
  </si>
  <si>
    <t>0.05219 (0.00286)</t>
  </si>
  <si>
    <t>0.00933 (0.00046)</t>
  </si>
  <si>
    <t>ylzH</t>
  </si>
  <si>
    <t>conserved protein,of unknown function</t>
  </si>
  <si>
    <t>0.62075 (0.67985)</t>
  </si>
  <si>
    <t>0.49683 (0.17978)</t>
  </si>
  <si>
    <t>0.02498 (0.00219)</t>
  </si>
  <si>
    <t>0.04584 (0.00485)</t>
  </si>
  <si>
    <t>0.02057 (0.00184)</t>
  </si>
  <si>
    <t>ylbN</t>
  </si>
  <si>
    <t>0.18362 (0.12316)</t>
  </si>
  <si>
    <t>0.07657 (0.04517)</t>
  </si>
  <si>
    <t>0.01133 (0.00059)</t>
  </si>
  <si>
    <t>0.04072 (0.00253)</t>
  </si>
  <si>
    <t>0.00412 (0.00027)</t>
  </si>
  <si>
    <t>gerR</t>
  </si>
  <si>
    <t>DNA-binding regulator</t>
  </si>
  <si>
    <t>0.15942 (0.06086)</t>
  </si>
  <si>
    <t>0.05898 (0.08401)</t>
  </si>
  <si>
    <t>0.02694 (0.00183)</t>
  </si>
  <si>
    <t>0.10566 (0.00748)</t>
  </si>
  <si>
    <t>0.00816 (0.00060)</t>
  </si>
  <si>
    <t>ylbP</t>
  </si>
  <si>
    <t>0.04191 (0.09310)</t>
  </si>
  <si>
    <t>0.13166 (0.19003)</t>
  </si>
  <si>
    <t>0.01787 (0.00286)</t>
  </si>
  <si>
    <t>0.07777 (0.01315)</t>
  </si>
  <si>
    <t>0.00403 (0.00074)</t>
  </si>
  <si>
    <t>2-dehydropantoate 2-reductase</t>
  </si>
  <si>
    <t>0.09001 (0.01822)</t>
  </si>
  <si>
    <t>0.25900 (0.16910)</t>
  </si>
  <si>
    <t>0.01365 (0.00051)</t>
  </si>
  <si>
    <t>0.04066 (0.00156)</t>
  </si>
  <si>
    <t>bshC</t>
  </si>
  <si>
    <t>malate glucosamine cysteine ligase</t>
  </si>
  <si>
    <t>0.13687 (0.04483)</t>
  </si>
  <si>
    <t>0.03808 (0.04478)</t>
  </si>
  <si>
    <t>0.01114 (0.00042)</t>
  </si>
  <si>
    <t>0.03891 (0.00200)</t>
  </si>
  <si>
    <t>0.00397 (0.00021)</t>
  </si>
  <si>
    <t>mraZ</t>
  </si>
  <si>
    <t>inhibitor of RsmH and transcriptional regulator</t>
  </si>
  <si>
    <t>0.02432 (0.06701)</t>
  </si>
  <si>
    <t>0.01746 (0.00116)</t>
  </si>
  <si>
    <t>0.08616 (0.00618)</t>
  </si>
  <si>
    <t>0.00054 (0.00015)</t>
  </si>
  <si>
    <t>rsmH</t>
  </si>
  <si>
    <t>16S rRNA m4C1402 methyltransferase</t>
  </si>
  <si>
    <t>0.10636 (0.10683)</t>
  </si>
  <si>
    <t>0.04176 (0.08016)</t>
  </si>
  <si>
    <t>0.01543 (0.00179)</t>
  </si>
  <si>
    <t>0.05928 (0.00770)</t>
  </si>
  <si>
    <t>0.00419 (0.00037)</t>
  </si>
  <si>
    <t>ftsL</t>
  </si>
  <si>
    <t>cell-division protein</t>
  </si>
  <si>
    <t>0.05380 (0.10596)</t>
  </si>
  <si>
    <t>0.08829 (0.06971)</t>
  </si>
  <si>
    <t>0.01937 (0.00264)</t>
  </si>
  <si>
    <t>0.07330 (0.00906)</t>
  </si>
  <si>
    <t>0.00583 (0.00138)</t>
  </si>
  <si>
    <t>pbpB</t>
  </si>
  <si>
    <t>penicillin-binding protein 2B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</si>
  <si>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</si>
  <si>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0.03890 (0.01991)</t>
  </si>
  <si>
    <t>0.05120 (0.01051)</t>
  </si>
  <si>
    <t>0.02575 (0.00171)</t>
  </si>
  <si>
    <t>0.10730 (0.00760)</t>
  </si>
  <si>
    <t>0.00479 (0.00030)</t>
  </si>
  <si>
    <t>spoVD</t>
  </si>
  <si>
    <t>transpeptidase penicillin-binding protein</t>
  </si>
  <si>
    <t>0.01167 (0.02002)</t>
  </si>
  <si>
    <t>0.02228 (0.01890)</t>
  </si>
  <si>
    <t>0.00941 (0.00032)</t>
  </si>
  <si>
    <t>0.03838 (0.00136)</t>
  </si>
  <si>
    <t>0.00086 (0.00006)</t>
  </si>
  <si>
    <t>murE</t>
  </si>
  <si>
    <t>UDP-N-acetylmuramoylalanyl-D-glutamate-2,6-diaminopimelate ligase</t>
  </si>
  <si>
    <t>0.04898 (0.03666)</t>
  </si>
  <si>
    <t>0.02107 (0.04894)</t>
  </si>
  <si>
    <t>0.00567 (0.00034)</t>
  </si>
  <si>
    <t>0.02257 (0.00143)</t>
  </si>
  <si>
    <t>0.00080 (0.00009)</t>
  </si>
  <si>
    <t>mraY</t>
  </si>
  <si>
    <t>phospho-N-acetylmuramoyl-pentapeptideundecaprenyl phosphate (C55P) transferase</t>
  </si>
  <si>
    <t>0.04905 (0.05522)</t>
  </si>
  <si>
    <t>0.00595 (0.02072)</t>
  </si>
  <si>
    <t>0.02267 (0.00142)</t>
  </si>
  <si>
    <t>0.09641 (0.00631)</t>
  </si>
  <si>
    <t>0.00146 (0.00013)</t>
  </si>
  <si>
    <t>murD</t>
  </si>
  <si>
    <t>UDP-N-acetylmuramoylalanyl-D-glutamate ligase</t>
  </si>
  <si>
    <t>0.06021 (0.03588)</t>
  </si>
  <si>
    <t>0.05508 (0.05488)</t>
  </si>
  <si>
    <t>0.00695 (0.00039)</t>
  </si>
  <si>
    <t>0.02593 (0.00168)</t>
  </si>
  <si>
    <t>0.00133 (0.00013)</t>
  </si>
  <si>
    <t>spoVE</t>
  </si>
  <si>
    <t>factor for spore cortex peptidoglycan synthesis(stage V sporulation)</t>
  </si>
  <si>
    <t>0.01889 (0.03343)</t>
  </si>
  <si>
    <t>0.00411 (0.01490)</t>
  </si>
  <si>
    <t>0.02143 (0.00163)</t>
  </si>
  <si>
    <t>0.09546 (0.00762)</t>
  </si>
  <si>
    <t>0.00058 (0.00006)</t>
  </si>
  <si>
    <t>murG</t>
  </si>
  <si>
    <t>UDP-N-acetylglucosamine-N-acetylmuramyl-(pentapeptide)pyrophosphoryl-undecaprenolN-acetylglucosamine transferase</t>
  </si>
  <si>
    <t>ref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</si>
  <si>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0.17054 (0.03777)</t>
  </si>
  <si>
    <t>0.04883 (0.11678)</t>
  </si>
  <si>
    <t>0.01684 (0.00171)</t>
  </si>
  <si>
    <t>0.06174 (0.00700)</t>
  </si>
  <si>
    <t>0.00459 (0.00036)</t>
  </si>
  <si>
    <t>murB</t>
  </si>
  <si>
    <t>UDP-N-acetylenolpyruvoylglucosamine reductase</t>
  </si>
  <si>
    <t>0.02853 (0.03959)</t>
  </si>
  <si>
    <t>0.01141 (0.02128)</t>
  </si>
  <si>
    <t>0.02161 (0.00142)</t>
  </si>
  <si>
    <t>0.09911 (0.00686)</t>
  </si>
  <si>
    <t>divIB</t>
  </si>
  <si>
    <t>0.05306 (0.06158)</t>
  </si>
  <si>
    <t>0.02385 (0.05812)</t>
  </si>
  <si>
    <t>0.01918 (0.00153)</t>
  </si>
  <si>
    <t>0.09027 (0.00767)</t>
  </si>
  <si>
    <t>0.00275 (0.00022)</t>
  </si>
  <si>
    <t>ylxW</t>
  </si>
  <si>
    <t>0.14392 (0.09417)</t>
  </si>
  <si>
    <t>0.09601 (0.06925)</t>
  </si>
  <si>
    <t>0.00813 (0.00038)</t>
  </si>
  <si>
    <t>0.02674 (0.00155)</t>
  </si>
  <si>
    <t>0.00292 (0.00020)</t>
  </si>
  <si>
    <t>ylxX</t>
  </si>
  <si>
    <t>0.17438 (0.11978)</t>
  </si>
  <si>
    <t>0.21575 (0.33224)</t>
  </si>
  <si>
    <t>0.00670 (0.00055)</t>
  </si>
  <si>
    <t>0.01665 (0.00188)</t>
  </si>
  <si>
    <t>0.00388 (0.00047)</t>
  </si>
  <si>
    <t>sbp</t>
  </si>
  <si>
    <t>putative integral inner membrane protein (smallbasic protein)</t>
  </si>
  <si>
    <t>0.79679 (0.07981)</t>
  </si>
  <si>
    <t>0.12928 (0.09937)</t>
  </si>
  <si>
    <t>0.03213 (0.04886)</t>
  </si>
  <si>
    <t>0.02215 (0.00163)</t>
  </si>
  <si>
    <t>0.08049 (0.00624)</t>
  </si>
  <si>
    <t>0.00473 (0.00056)</t>
  </si>
  <si>
    <t>ftsA</t>
  </si>
  <si>
    <t>cell-division protein essential for Z-ringassembly</t>
  </si>
  <si>
    <t>0.04649 (0.03917)</t>
  </si>
  <si>
    <t>0.03428 (0.04200)</t>
  </si>
  <si>
    <t>0.01503 (0.00090)</t>
  </si>
  <si>
    <t>0.06165 (0.00377)</t>
  </si>
  <si>
    <t>0.00238 (0.00020)</t>
  </si>
  <si>
    <t>ftsZ</t>
  </si>
  <si>
    <t>0.04311 (0.06894)</t>
  </si>
  <si>
    <t>0.01202 (0.02454)</t>
  </si>
  <si>
    <t>0.02580 (0.00177)</t>
  </si>
  <si>
    <t>0.11756 (0.00838)</t>
  </si>
  <si>
    <t>0.00172 (0.00014)</t>
  </si>
  <si>
    <t>bpr</t>
  </si>
  <si>
    <t>bacillopeptidase F</t>
  </si>
  <si>
    <t>0.16946 (0.11936)</t>
  </si>
  <si>
    <t>0.13420 (0.03469)</t>
  </si>
  <si>
    <t>0.01704 (0.00066)</t>
  </si>
  <si>
    <t>0.05016 (0.00202)</t>
  </si>
  <si>
    <t>0.00760 (0.00031)</t>
  </si>
  <si>
    <t>spoIIGA</t>
  </si>
  <si>
    <t>protease processing pro-sigma-E</t>
  </si>
  <si>
    <t>0.07655 (0.05461)</t>
  </si>
  <si>
    <t>0.08226 (0.07063)</t>
  </si>
  <si>
    <t>0.00563 (0.00022)</t>
  </si>
  <si>
    <t>0.02000 (0.00095)</t>
  </si>
  <si>
    <t>0.00158 (0.00015)</t>
  </si>
  <si>
    <t>sigE</t>
  </si>
  <si>
    <t>RNA polymerase sporulation-specific sigma-29factor (sigma-E)</t>
  </si>
  <si>
    <t>0.00463 (0.00033)</t>
  </si>
  <si>
    <t>0.02162 (0.00158)</t>
  </si>
  <si>
    <t>sigG</t>
  </si>
  <si>
    <t>RNA polymerase sporulation-specific sigma factor(sigma-G)</t>
  </si>
  <si>
    <t>0.01167 (0.03810)</t>
  </si>
  <si>
    <t>0.02568 (0.02802)</t>
  </si>
  <si>
    <t>0.01453 (0.00095)</t>
  </si>
  <si>
    <t>0.06959 (0.00484)</t>
  </si>
  <si>
    <t>0.00091 (0.00008)</t>
  </si>
  <si>
    <t>ylmA</t>
  </si>
  <si>
    <t>0.15651 (0.08402)</t>
  </si>
  <si>
    <t>0.04593 (0.06760)</t>
  </si>
  <si>
    <t>0.01191 (0.00058)</t>
  </si>
  <si>
    <t>0.03876 (0.00199)</t>
  </si>
  <si>
    <t>0.00415 (0.00024)</t>
  </si>
  <si>
    <t>thiQ</t>
  </si>
  <si>
    <t>N-formyl-4-amino-5-aminomethyl-2-methylpyrimidinedeformylase</t>
  </si>
  <si>
    <t>0.13112 (0.06970)</t>
  </si>
  <si>
    <t>0.04857 (0.01895)</t>
  </si>
  <si>
    <t>0.01866 (0.00080)</t>
  </si>
  <si>
    <t>0.06873 (0.00345)</t>
  </si>
  <si>
    <t>0.00524 (0.00028)</t>
  </si>
  <si>
    <t>ylmC</t>
  </si>
  <si>
    <t>essential sporulation protein</t>
  </si>
  <si>
    <t>0.03887 (0.07262)</t>
  </si>
  <si>
    <t>0.02750 (0.00250)</t>
  </si>
  <si>
    <t>0.13399 (0.01348)</t>
  </si>
  <si>
    <t>0.00191 (0.00031)</t>
  </si>
  <si>
    <t>ylmD</t>
  </si>
  <si>
    <t>conserved protein with laccase domain</t>
  </si>
  <si>
    <t>0.28663 (0.13297)</t>
  </si>
  <si>
    <t>0.12513 (0.35178)</t>
  </si>
  <si>
    <t>0.01737 (0.00178)</t>
  </si>
  <si>
    <t>0.05485 (0.00643)</t>
  </si>
  <si>
    <t>0.00796 (0.00068)</t>
  </si>
  <si>
    <t>ylmE</t>
  </si>
  <si>
    <t>putative PLP-containing enzyme</t>
  </si>
  <si>
    <t>0.19675 (0.10155)</t>
  </si>
  <si>
    <t>0.14063 (0.24058)</t>
  </si>
  <si>
    <t>0.01944 (0.00122)</t>
  </si>
  <si>
    <t>0.05576 (0.00338)</t>
  </si>
  <si>
    <t>0.00967 (0.00071)</t>
  </si>
  <si>
    <t>sepF</t>
  </si>
  <si>
    <t>cell division machinery factor</t>
  </si>
  <si>
    <t>0.04818 (0.06211)</t>
  </si>
  <si>
    <t>0.10443 (0.05299)</t>
  </si>
  <si>
    <t>0.02176 (0.00123)</t>
  </si>
  <si>
    <t>0.08012 (0.00483)</t>
  </si>
  <si>
    <t>0.00780 (0.00047)</t>
  </si>
  <si>
    <t>ylmG</t>
  </si>
  <si>
    <t>factor involved in shape determination,distribution of nucleoids and osmotic tolerance</t>
  </si>
  <si>
    <t>0.01793 (0.04955)</t>
  </si>
  <si>
    <t>0.03177 (0.08399)</t>
  </si>
  <si>
    <t>0.02393 (0.00148)</t>
  </si>
  <si>
    <t>0.09521 (0.00694)</t>
  </si>
  <si>
    <t>0.00304 (0.00030)</t>
  </si>
  <si>
    <t>ylmH</t>
  </si>
  <si>
    <t>factor involved in shape determination,RNA-binding fold</t>
  </si>
  <si>
    <t>0.09156 (0.06870)</t>
  </si>
  <si>
    <t>0.06070 (0.05576)</t>
  </si>
  <si>
    <t>0.02424 (0.00137)</t>
  </si>
  <si>
    <t>0.09430 (0.00576)</t>
  </si>
  <si>
    <t>0.00588 (0.00036)</t>
  </si>
  <si>
    <t>divIVA</t>
  </si>
  <si>
    <t>0.00782 (0.02365)</t>
  </si>
  <si>
    <t>0.02460 (0.00138)</t>
  </si>
  <si>
    <t>0.13339 (0.00789)</t>
  </si>
  <si>
    <t>0.00034 (0.00008)</t>
  </si>
  <si>
    <t>ileS</t>
  </si>
  <si>
    <t>isoleucyl-tRNA synthetase</t>
  </si>
  <si>
    <t>0.03055 (0.03603)</t>
  </si>
  <si>
    <t>0.02876 (0.01136)</t>
  </si>
  <si>
    <t>0.01434 (0.00120)</t>
  </si>
  <si>
    <t>0.06220 (0.00603)</t>
  </si>
  <si>
    <t>0.00196 (0.00010)</t>
  </si>
  <si>
    <t>ylyA</t>
  </si>
  <si>
    <t>sporulation-related RNA polymerase-bindingfactor</t>
  </si>
  <si>
    <t>0.03591 (0.04350)</t>
  </si>
  <si>
    <t>0.08549 (0.07317)</t>
  </si>
  <si>
    <t>0.02326 (0.00181)</t>
  </si>
  <si>
    <t>0.08481 (0.00752)</t>
  </si>
  <si>
    <t>0.00611 (0.00048)</t>
  </si>
  <si>
    <t>lspA</t>
  </si>
  <si>
    <t>signal peptidase II</t>
  </si>
  <si>
    <t>0.13146 (0.08057)</t>
  </si>
  <si>
    <t>0.02371 (0.03878)</t>
  </si>
  <si>
    <t>0.02368 (0.00168)</t>
  </si>
  <si>
    <t>0.10093 (0.00750)</t>
  </si>
  <si>
    <t>0.00307 (0.00023)</t>
  </si>
  <si>
    <t>rluD</t>
  </si>
  <si>
    <t>0.07189 (0.06937)</t>
  </si>
  <si>
    <t>0.02619 (0.02672)</t>
  </si>
  <si>
    <t>0.01743 (0.00087)</t>
  </si>
  <si>
    <t>0.07062 (0.00426)</t>
  </si>
  <si>
    <t>0.00310 (0.00014)</t>
  </si>
  <si>
    <t>pyrR</t>
  </si>
  <si>
    <t>transcriptional attenuator and uracilphosphoribosyltransferase activity</t>
  </si>
  <si>
    <t>0.02193 (0.05994)</t>
  </si>
  <si>
    <t>0.00700 (0.00036)</t>
  </si>
  <si>
    <t>0.02882 (0.00159)</t>
  </si>
  <si>
    <t>0.00044 (0.00012)</t>
  </si>
  <si>
    <t>pyrP</t>
  </si>
  <si>
    <t>uracil permease</t>
  </si>
  <si>
    <t>0.04835 (0.02183)</t>
  </si>
  <si>
    <t>0.02982 (0.02816)</t>
  </si>
  <si>
    <t>0.01840 (0.00057)</t>
  </si>
  <si>
    <t>0.06679 (0.00226)</t>
  </si>
  <si>
    <t>0.00288 (0.00017)</t>
  </si>
  <si>
    <t>pyrB</t>
  </si>
  <si>
    <t>aspartate carbamoyltransferase</t>
  </si>
  <si>
    <t>0.11919 (0.05571)</t>
  </si>
  <si>
    <t>0.10618 (0.08286)</t>
  </si>
  <si>
    <t>0.01098 (0.00038)</t>
  </si>
  <si>
    <t>0.03459 (0.00134)</t>
  </si>
  <si>
    <t>0.00452 (0.00027)</t>
  </si>
  <si>
    <t>pyrC</t>
  </si>
  <si>
    <t>dihydroorotase</t>
  </si>
  <si>
    <t>0.11449 (0.04462)</t>
  </si>
  <si>
    <t>0.02232 (0.03323)</t>
  </si>
  <si>
    <t>0.01325 (0.00043)</t>
  </si>
  <si>
    <t>0.04849 (0.00170)</t>
  </si>
  <si>
    <t>0.00307 (0.00019)</t>
  </si>
  <si>
    <t>pyrAA</t>
  </si>
  <si>
    <t>pyrimidine-specific carbamoyl-phosphatesynthetase (small subunit, glutaminase subunit)</t>
  </si>
  <si>
    <t>0.03542 (0.07726)</t>
  </si>
  <si>
    <t>0.01323 (0.00157)</t>
  </si>
  <si>
    <t>0.05654 (0.00711)</t>
  </si>
  <si>
    <t>0.00154 (0.00022)</t>
  </si>
  <si>
    <t>pyrAB</t>
  </si>
  <si>
    <t>pyrimidine-specific carbamoyl-phosphatesynthetase (large subunit)</t>
  </si>
  <si>
    <t>0.02555 (0.00754)</t>
  </si>
  <si>
    <t>0.00617 (0.01888)</t>
  </si>
  <si>
    <t>0.01529 (0.00042)</t>
  </si>
  <si>
    <t>0.06412 (0.00184)</t>
  </si>
  <si>
    <t>0.00103 (0.00007)</t>
  </si>
  <si>
    <t>pyrK</t>
  </si>
  <si>
    <t>dihydroorotate dehydrogenase (electron transfersubunit)</t>
  </si>
  <si>
    <t>0.09361 (0.04312)</t>
  </si>
  <si>
    <t>0.06049 (0.10850)</t>
  </si>
  <si>
    <t>0.01776 (0.00156)</t>
  </si>
  <si>
    <t>0.06379 (0.00649)</t>
  </si>
  <si>
    <t>0.00503 (0.00033)</t>
  </si>
  <si>
    <t>pyrD</t>
  </si>
  <si>
    <t>dihydroorotate dehydrogenase (catalyticsubunit)</t>
  </si>
  <si>
    <t>0.09508 (0.01822)</t>
  </si>
  <si>
    <t>0.09832 (0.04346)</t>
  </si>
  <si>
    <t>0.01826 (0.00057)</t>
  </si>
  <si>
    <t>0.05999 (0.00220)</t>
  </si>
  <si>
    <t>0.00600 (0.00026)</t>
  </si>
  <si>
    <t>pyrF</t>
  </si>
  <si>
    <t>orotidine 5'-phosphate decarboxylase</t>
  </si>
  <si>
    <t>0.06302 (0.02429)</t>
  </si>
  <si>
    <t>0.01393 (0.03543)</t>
  </si>
  <si>
    <t>0.02125 (0.00070)</t>
  </si>
  <si>
    <t>0.08338 (0.00285)</t>
  </si>
  <si>
    <t>pyrE</t>
  </si>
  <si>
    <t>orotate phosphoribosyltransferase</t>
  </si>
  <si>
    <t>0.19547 (0.04802)</t>
  </si>
  <si>
    <t>0.06902 (0.08075)</t>
  </si>
  <si>
    <t>0.01731 (0.00066)</t>
  </si>
  <si>
    <t>0.05470 (0.00257)</t>
  </si>
  <si>
    <t>0.00669 (0.00047)</t>
  </si>
  <si>
    <t>cysH</t>
  </si>
  <si>
    <t>(phospho)adenosine phosphosulfate reductase</t>
  </si>
  <si>
    <t>0.03798 (0.03111)</t>
  </si>
  <si>
    <t>0.01793 (0.03104)</t>
  </si>
  <si>
    <t>0.02411 (0.00161)</t>
  </si>
  <si>
    <t>0.11079 (0.00851)</t>
  </si>
  <si>
    <t>0.00241 (0.00018)</t>
  </si>
  <si>
    <t>cysP</t>
  </si>
  <si>
    <t>sulfate permease</t>
  </si>
  <si>
    <t>0.16418 (0.07134)</t>
  </si>
  <si>
    <t>0.13008 (0.07980)</t>
  </si>
  <si>
    <t>0.00777 (0.00037)</t>
  </si>
  <si>
    <t>0.02181 (0.00133)</t>
  </si>
  <si>
    <t>0.00303 (0.00014)</t>
  </si>
  <si>
    <t>sat</t>
  </si>
  <si>
    <t>sulfate adenylyltransferase</t>
  </si>
  <si>
    <t>0.07002 (0.05094)</t>
  </si>
  <si>
    <t>0.04271 (0.05394)</t>
  </si>
  <si>
    <t>0.01097 (0.00054)</t>
  </si>
  <si>
    <t>0.04274 (0.00228)</t>
  </si>
  <si>
    <t>0.00187 (0.00018)</t>
  </si>
  <si>
    <t>cysC</t>
  </si>
  <si>
    <t>adenylylsulfate kinase</t>
  </si>
  <si>
    <t>0.05531 (0.06418)</t>
  </si>
  <si>
    <t>0.01834 (0.04309)</t>
  </si>
  <si>
    <t>0.01267 (0.00080)</t>
  </si>
  <si>
    <t>0.05632 (0.00378)</t>
  </si>
  <si>
    <t>0.00120 (0.00019)</t>
  </si>
  <si>
    <t>sumT</t>
  </si>
  <si>
    <t>uroporphyrinogen III and precorrin-1C-methyltransferase</t>
  </si>
  <si>
    <t>0.09774 (0.07699)</t>
  </si>
  <si>
    <t>0.08866 (0.02088)</t>
  </si>
  <si>
    <t>0.02449 (0.00088)</t>
  </si>
  <si>
    <t>0.08730 (0.00314)</t>
  </si>
  <si>
    <t>0.00741 (0.00038)</t>
  </si>
  <si>
    <t>sirB</t>
  </si>
  <si>
    <t>sirohydrochlorin ferrochelatase</t>
  </si>
  <si>
    <t>0.14530 (0.07850)</t>
  </si>
  <si>
    <t>0.17438 (0.04599)</t>
  </si>
  <si>
    <t>0.01819 (0.00102)</t>
  </si>
  <si>
    <t>0.05572 (0.00374)</t>
  </si>
  <si>
    <t>0.00756 (0.00042)</t>
  </si>
  <si>
    <t>sirC</t>
  </si>
  <si>
    <t>precorrin-2 dehydrogenase</t>
  </si>
  <si>
    <t>0.08202 (0.06383)</t>
  </si>
  <si>
    <t>0.07278 (0.04672)</t>
  </si>
  <si>
    <t>0.01700 (0.00081)</t>
  </si>
  <si>
    <t>0.05690 (0.00355)</t>
  </si>
  <si>
    <t>0.00604 (0.00042)</t>
  </si>
  <si>
    <t>fbnA</t>
  </si>
  <si>
    <t>putative tRNA modification protein</t>
  </si>
  <si>
    <t>0.08006 (0.03678)</t>
  </si>
  <si>
    <t>0.04333 (0.01693)</t>
  </si>
  <si>
    <t>0.01349 (0.00043)</t>
  </si>
  <si>
    <t>0.05163 (0.00181)</t>
  </si>
  <si>
    <t>0.00309 (0.00011)</t>
  </si>
  <si>
    <t>tcaB</t>
  </si>
  <si>
    <t>P-type calcium transport ATPase (sporulation)</t>
  </si>
  <si>
    <t>0.02372 (0.01390)</t>
  </si>
  <si>
    <t>0.02402 (0.01374)</t>
  </si>
  <si>
    <t>0.01066 (0.00031)</t>
  </si>
  <si>
    <t>0.04186 (0.00127)</t>
  </si>
  <si>
    <t>0.00120 (0.00005)</t>
  </si>
  <si>
    <t>yloC</t>
  </si>
  <si>
    <t>0.09713 (0.11855)</t>
  </si>
  <si>
    <t>0.07309 (0.07297)</t>
  </si>
  <si>
    <t>0.02100 (0.00133)</t>
  </si>
  <si>
    <t>0.08224 (0.00518)</t>
  </si>
  <si>
    <t>0.00607 (0.00046)</t>
  </si>
  <si>
    <t>remA</t>
  </si>
  <si>
    <t>essential sporulation DNA binding protein;regulator of biofilm formation</t>
  </si>
  <si>
    <t>0.01894 (0.00296)</t>
  </si>
  <si>
    <t>0.08867 (0.01459)</t>
  </si>
  <si>
    <t>gmk</t>
  </si>
  <si>
    <t>guanylate kinase</t>
  </si>
  <si>
    <t>0.04369 (0.04503)</t>
  </si>
  <si>
    <t>0.02287 (0.04288)</t>
  </si>
  <si>
    <t>0.01955 (0.00157)</t>
  </si>
  <si>
    <t>0.08907 (0.00741)</t>
  </si>
  <si>
    <t>0.00171 (0.00019)</t>
  </si>
  <si>
    <t>rpoZ</t>
  </si>
  <si>
    <t>omega subunit of RNA polymerase</t>
  </si>
  <si>
    <t>0.02322 (0.00245)</t>
  </si>
  <si>
    <t>0.12032 (0.01342)</t>
  </si>
  <si>
    <t>coaBC</t>
  </si>
  <si>
    <t>coenzyme A biosynthesis bifunctional proteinCoaBC; phosphopantothenoylcysteine</t>
  </si>
  <si>
    <t>0.13566 (0.04863)</t>
  </si>
  <si>
    <t>0.05613 (0.02767)</t>
  </si>
  <si>
    <t>0.00953 (0.00035)</t>
  </si>
  <si>
    <t>0.03249 (0.00122)</t>
  </si>
  <si>
    <t>0.00266 (0.00014)</t>
  </si>
  <si>
    <t>priA</t>
  </si>
  <si>
    <t>primosomal replication factor Y (primosomalprotein N')</t>
  </si>
  <si>
    <t>0.05899 (0.03962)</t>
  </si>
  <si>
    <t>0.05898 (0.05304)</t>
  </si>
  <si>
    <t>0.00740 (0.00024)</t>
  </si>
  <si>
    <t>0.02609 (0.00083)</t>
  </si>
  <si>
    <t>0.00201 (0.00010)</t>
  </si>
  <si>
    <t>defA</t>
  </si>
  <si>
    <t>peptide deformylase</t>
  </si>
  <si>
    <t>0.09861 (0.08647)</t>
  </si>
  <si>
    <t>0.05306 (0.10231)</t>
  </si>
  <si>
    <t>0.02239 (0.00168)</t>
  </si>
  <si>
    <t>0.08364 (0.00739)</t>
  </si>
  <si>
    <t>0.00619 (0.00051)</t>
  </si>
  <si>
    <t>fmt</t>
  </si>
  <si>
    <t>methionyl-tRNA formyltransferase</t>
  </si>
  <si>
    <t>0.03523 (0.00878)</t>
  </si>
  <si>
    <t>0.09393 (0.01606)</t>
  </si>
  <si>
    <t>0.02832 (0.00100)</t>
  </si>
  <si>
    <t>0.10387 (0.00384)</t>
  </si>
  <si>
    <t>0.00705 (0.00039)</t>
  </si>
  <si>
    <t>rsmB</t>
  </si>
  <si>
    <t>RNA-binding Sun protein; 16S rRNA m5C967methyltransferase, S-adenosyl-L-methionine-dependent</t>
  </si>
  <si>
    <t>0.09327 (0.03134)</t>
  </si>
  <si>
    <t>0.03664 (0.02639)</t>
  </si>
  <si>
    <t>0.01387 (0.00075)</t>
  </si>
  <si>
    <t>0.05377 (0.00323)</t>
  </si>
  <si>
    <t>0.00294 (0.00014)</t>
  </si>
  <si>
    <t>rlmN</t>
  </si>
  <si>
    <t>23S rRNA m2A2503 methyltransferase and tRNA A37C2 methyltransferase</t>
  </si>
  <si>
    <t>0.04116 (0.05625)</t>
  </si>
  <si>
    <t>0.03570 (0.10965)</t>
  </si>
  <si>
    <t>0.01804 (0.00158)</t>
  </si>
  <si>
    <t>0.07733 (0.00713)</t>
  </si>
  <si>
    <t>0.00293 (0.00030)</t>
  </si>
  <si>
    <t>prpC</t>
  </si>
  <si>
    <t>multitarget phosphorylated protein phosphatase</t>
  </si>
  <si>
    <t>0.03544 (0.02284)</t>
  </si>
  <si>
    <t>0.10412 (0.10694)</t>
  </si>
  <si>
    <t>0.02690 (0.00168)</t>
  </si>
  <si>
    <t>0.09656 (0.00635)</t>
  </si>
  <si>
    <t>0.00951 (0.00068)</t>
  </si>
  <si>
    <t>prkC</t>
  </si>
  <si>
    <t>protein serine/threonine kinase</t>
  </si>
  <si>
    <t>0.04566 (0.04219)</t>
  </si>
  <si>
    <t>0.04387 (0.03967)</t>
  </si>
  <si>
    <t>0.00752 (0.00030)</t>
  </si>
  <si>
    <t>0.02903 (0.00127)</t>
  </si>
  <si>
    <t>0.00140 (0.00008)</t>
  </si>
  <si>
    <t>rsgA</t>
  </si>
  <si>
    <t>GTPase involved in ribosome biogenesis</t>
  </si>
  <si>
    <t>0.11474 (0.08145)</t>
  </si>
  <si>
    <t>0.03983 (0.05875)</t>
  </si>
  <si>
    <t>0.02350 (0.00145)</t>
  </si>
  <si>
    <t>0.09731 (0.00638)</t>
  </si>
  <si>
    <t>0.00458 (0.00032)</t>
  </si>
  <si>
    <t>rpe</t>
  </si>
  <si>
    <t>ribulose-5-phosphate 3-epimerase</t>
  </si>
  <si>
    <t>0.07200 (0.13502)</t>
  </si>
  <si>
    <t>0.06613 (0.05009)</t>
  </si>
  <si>
    <t>0.01678 (0.00185)</t>
  </si>
  <si>
    <t>0.06192 (0.00759)</t>
  </si>
  <si>
    <t>0.00420 (0.00046)</t>
  </si>
  <si>
    <t>thiN</t>
  </si>
  <si>
    <t>thiamine pyrophosphokinase</t>
  </si>
  <si>
    <t>0.16281 (0.43477)</t>
  </si>
  <si>
    <t>0.05795 (0.07780)</t>
  </si>
  <si>
    <t>0.01653 (0.00311)</t>
  </si>
  <si>
    <t>0.05351 (0.01115)</t>
  </si>
  <si>
    <t>0.00711 (0.00119)</t>
  </si>
  <si>
    <t>yloU</t>
  </si>
  <si>
    <t>putative factor involved in malonyl-CoAsynthesis</t>
  </si>
  <si>
    <t>0.06053 (0.03652)</t>
  </si>
  <si>
    <t>0.01991 (0.00175)</t>
  </si>
  <si>
    <t>0.07805 (0.00661)</t>
  </si>
  <si>
    <t>0.00345 (0.00047)</t>
  </si>
  <si>
    <t>yloV</t>
  </si>
  <si>
    <t>putative enzyme structurally related to</t>
  </si>
  <si>
    <t>0.06223 (0.04297)</t>
  </si>
  <si>
    <t>0.09803 (0.05106)</t>
  </si>
  <si>
    <t>0.00720 (0.00030)</t>
  </si>
  <si>
    <t>0.02418 (0.00102)</t>
  </si>
  <si>
    <t>0.00233 (0.00015)</t>
  </si>
  <si>
    <t>sdaAB</t>
  </si>
  <si>
    <t>L-serine dehydratase (beta chain)</t>
  </si>
  <si>
    <t>0.13265 (0.10510)</t>
  </si>
  <si>
    <t>0.02048 (0.03944)</t>
  </si>
  <si>
    <t>0.02655 (0.00158)</t>
  </si>
  <si>
    <t>0.11043 (0.00703)</t>
  </si>
  <si>
    <t>sdaAA</t>
  </si>
  <si>
    <t>L-serine dehydratase (alpha chain)</t>
  </si>
  <si>
    <t>0.01420 (0.04736)</t>
  </si>
  <si>
    <t>0.00603 (0.00028)</t>
  </si>
  <si>
    <t>0.02502 (0.00123)</t>
  </si>
  <si>
    <t>0.00021 (0.00005)</t>
  </si>
  <si>
    <t>recG</t>
  </si>
  <si>
    <t>branch migrating ATP-dependent DNA helicaseinvolved in DNA recombination and repair</t>
  </si>
  <si>
    <t>0.07819 (0.02648)</t>
  </si>
  <si>
    <t>0.02585 (0.01829)</t>
  </si>
  <si>
    <t>0.00913 (0.00028)</t>
  </si>
  <si>
    <t>0.03535 (0.00113)</t>
  </si>
  <si>
    <t>fapR</t>
  </si>
  <si>
    <t>transcription factor controlling fatty acid andphospholipid metabolism (FapR-malonyl-Coa)</t>
  </si>
  <si>
    <t>0.02433 (0.02047)</t>
  </si>
  <si>
    <t>0.02523 (0.00209)</t>
  </si>
  <si>
    <t>0.11624 (0.00967)</t>
  </si>
  <si>
    <t>0.00259 (0.00032)</t>
  </si>
  <si>
    <t>plsX</t>
  </si>
  <si>
    <t>phosphate:acyl-ACP acyltransferase</t>
  </si>
  <si>
    <t>0.07938 (0.06831)</t>
  </si>
  <si>
    <t>0.03176 (0.03989)</t>
  </si>
  <si>
    <t>0.02124 (0.00120)</t>
  </si>
  <si>
    <t>0.08359 (0.00485)</t>
  </si>
  <si>
    <t>0.00393 (0.00027)</t>
  </si>
  <si>
    <t>fabD</t>
  </si>
  <si>
    <t>malonyl CoA:acyl carrier protein transacylase</t>
  </si>
  <si>
    <t>0.15339 (0.11438)</t>
  </si>
  <si>
    <t>0.02553 (0.05743)</t>
  </si>
  <si>
    <t>0.00770 (0.00036)</t>
  </si>
  <si>
    <t>0.02735 (0.00144)</t>
  </si>
  <si>
    <t>0.00181 (0.00017)</t>
  </si>
  <si>
    <t>fabG</t>
  </si>
  <si>
    <t>beta-ketoacyl-acyl carrier protein reductase</t>
  </si>
  <si>
    <t>0.04020 (0.05042)</t>
  </si>
  <si>
    <t>0.03892 (0.03188)</t>
  </si>
  <si>
    <t>0.02218 (0.00161)</t>
  </si>
  <si>
    <t>0.09368 (0.00769)</t>
  </si>
  <si>
    <t>0.00306 (0.00021)</t>
  </si>
  <si>
    <t>acpA</t>
  </si>
  <si>
    <t>acyl carrier protein</t>
  </si>
  <si>
    <t>0.00924 (0.00114)</t>
  </si>
  <si>
    <t>0.04487 (0.00573)</t>
  </si>
  <si>
    <t>rnc</t>
  </si>
  <si>
    <t>ribonuclease III</t>
  </si>
  <si>
    <t>0.02127 (0.05883)</t>
  </si>
  <si>
    <t>0.00945 (0.02059)</t>
  </si>
  <si>
    <t>0.02033 (0.00171)</t>
  </si>
  <si>
    <t>0.09710 (0.00819)</t>
  </si>
  <si>
    <t>0.00107 (0.00017)</t>
  </si>
  <si>
    <t>smc</t>
  </si>
  <si>
    <t>chromosome condensation and segregation SMCATPase</t>
  </si>
  <si>
    <t>0.05182 (0.03666)</t>
  </si>
  <si>
    <t>0.05397 (0.03014)</t>
  </si>
  <si>
    <t>0.00942 (0.00027)</t>
  </si>
  <si>
    <t>0.03657 (0.00105)</t>
  </si>
  <si>
    <t>0.00200 (0.00009)</t>
  </si>
  <si>
    <t>ftsY</t>
  </si>
  <si>
    <t>signal recognition particle (docking protein)</t>
  </si>
  <si>
    <t>0.01218 (0.03646)</t>
  </si>
  <si>
    <t>0.01834 (0.04661)</t>
  </si>
  <si>
    <t>0.00974 (0.00038)</t>
  </si>
  <si>
    <t>0.04173 (0.00172)</t>
  </si>
  <si>
    <t>0.00067 (0.00013)</t>
  </si>
  <si>
    <t>ylqB</t>
  </si>
  <si>
    <t>conserved exported protein of unknown function</t>
  </si>
  <si>
    <t>0.08741 (0.05883)</t>
  </si>
  <si>
    <t>0.01752 (0.00095)</t>
  </si>
  <si>
    <t>0.06687 (0.00413)</t>
  </si>
  <si>
    <t>0.00228 (0.00037)</t>
  </si>
  <si>
    <t>ylxM</t>
  </si>
  <si>
    <t>component of the signal recognition particle(SRP) protein-targeting pathway</t>
  </si>
  <si>
    <t>0.06724 (0.10087)</t>
  </si>
  <si>
    <t>0.00788 (0.00077)</t>
  </si>
  <si>
    <t>0.03200 (0.00281)</t>
  </si>
  <si>
    <t>0.00154 (0.00053)</t>
  </si>
  <si>
    <t>ffh</t>
  </si>
  <si>
    <t>signal recognition particle-like (SRP) GTPase</t>
  </si>
  <si>
    <t>0.25061 (0.07724)</t>
  </si>
  <si>
    <t>0.01187 (0.01852)</t>
  </si>
  <si>
    <t>0.01090 (0.01230)</t>
  </si>
  <si>
    <t>0.01724 (0.00079)</t>
  </si>
  <si>
    <t>0.07977 (0.00396)</t>
  </si>
  <si>
    <t>0.00133 (0.00006)</t>
  </si>
  <si>
    <t>rpsP</t>
  </si>
  <si>
    <t>ribosomal protein S16 (BS17)</t>
  </si>
  <si>
    <t>0.00799 (0.00099)</t>
  </si>
  <si>
    <t>0.03542 (0.00450)</t>
  </si>
  <si>
    <t>ylqC</t>
  </si>
  <si>
    <t>putative RNA binding protein</t>
  </si>
  <si>
    <t>0.88389 (1.47315)</t>
  </si>
  <si>
    <t>0.58926 (0.41667)</t>
  </si>
  <si>
    <t>0.01262 (0.00142)</t>
  </si>
  <si>
    <t>0.02079 (0.00383)</t>
  </si>
  <si>
    <t>0.01041 (0.00119)</t>
  </si>
  <si>
    <t>ylqD</t>
  </si>
  <si>
    <t>0.07111 (0.05908)</t>
  </si>
  <si>
    <t>0.09452 (0.08328)</t>
  </si>
  <si>
    <t>0.01722 (0.00088)</t>
  </si>
  <si>
    <t>0.06864 (0.00363)</t>
  </si>
  <si>
    <t>0.00591 (0.00038)</t>
  </si>
  <si>
    <t>rimM</t>
  </si>
  <si>
    <t>16S rRNA processing protein</t>
  </si>
  <si>
    <t>0.15677 (0.05672)</t>
  </si>
  <si>
    <t>0.00622 (0.00017)</t>
  </si>
  <si>
    <t>0.02152 (0.00081)</t>
  </si>
  <si>
    <t>0.00218 (0.00016)</t>
  </si>
  <si>
    <t>trmD</t>
  </si>
  <si>
    <t>tRNA(m1G37)methyltransferase</t>
  </si>
  <si>
    <t>0.22000 (0.09295)</t>
  </si>
  <si>
    <t>0.10567 (0.05728)</t>
  </si>
  <si>
    <t>0.01104 (0.00042)</t>
  </si>
  <si>
    <t>0.04404 (0.00188)</t>
  </si>
  <si>
    <t>0.00178 (0.00014)</t>
  </si>
  <si>
    <t>rplS</t>
  </si>
  <si>
    <t>ribosomal protein L19</t>
  </si>
  <si>
    <t>0.02687 (0.05369)</t>
  </si>
  <si>
    <t>0.01801 (0.00265)</t>
  </si>
  <si>
    <t>0.07168 (0.01052)</t>
  </si>
  <si>
    <t>0.00167 (0.00036)</t>
  </si>
  <si>
    <t>rbgA</t>
  </si>
  <si>
    <t>ribosome biogenesis GTPase A</t>
  </si>
  <si>
    <t>0.08860 (0.04114)</t>
  </si>
  <si>
    <t>0.05063 (0.03954)</t>
  </si>
  <si>
    <t>0.01128 (0.00043)</t>
  </si>
  <si>
    <t>0.04258 (0.00191)</t>
  </si>
  <si>
    <t>0.00265 (0.00013)</t>
  </si>
  <si>
    <t>rnhB</t>
  </si>
  <si>
    <t>ribonuclease HII</t>
  </si>
  <si>
    <t>0.09625 (0.22705)</t>
  </si>
  <si>
    <t>0.22234 (0.15353)</t>
  </si>
  <si>
    <t>0.01253 (0.00165)</t>
  </si>
  <si>
    <t>0.04223 (0.00653)</t>
  </si>
  <si>
    <t>0.00475 (0.00048)</t>
  </si>
  <si>
    <t>ylqG</t>
  </si>
  <si>
    <t>0.40161 (0.23044)</t>
  </si>
  <si>
    <t>0.09483 (0.03954)</t>
  </si>
  <si>
    <t>0.01065 (0.00042)</t>
  </si>
  <si>
    <t>0.02817 (0.00123)</t>
  </si>
  <si>
    <t>0.00566 (0.00025)</t>
  </si>
  <si>
    <t>ylqH</t>
  </si>
  <si>
    <t>putative flagellar biosynthesis protein</t>
  </si>
  <si>
    <t>0.05992 (0.06370)</t>
  </si>
  <si>
    <t>0.01035 (0.00076)</t>
  </si>
  <si>
    <t>0.04216 (0.00338)</t>
  </si>
  <si>
    <t>0.00204 (0.00042)</t>
  </si>
  <si>
    <t>sucC</t>
  </si>
  <si>
    <t>succinyl-CoA synthetase (beta subunit)</t>
  </si>
  <si>
    <t>0.04889 (0.04298)</t>
  </si>
  <si>
    <t>0.02136 (0.04675)</t>
  </si>
  <si>
    <t>0.01939 (0.00118)</t>
  </si>
  <si>
    <t>0.08170 (0.00504)</t>
  </si>
  <si>
    <t>0.00253 (0.00019)</t>
  </si>
  <si>
    <t>sucD</t>
  </si>
  <si>
    <t>succinyl-CoA synthetase (alpha subunit)</t>
  </si>
  <si>
    <t>0.01554 (0.02560)</t>
  </si>
  <si>
    <t>0.00710 (0.02327)</t>
  </si>
  <si>
    <t>0.01969 (0.00117)</t>
  </si>
  <si>
    <t>0.08796 (0.00553)</t>
  </si>
  <si>
    <t>0.00063 (0.00008)</t>
  </si>
  <si>
    <t>dprA</t>
  </si>
  <si>
    <t>DNA processing Smf single strand bindingprotein</t>
  </si>
  <si>
    <t>0.25164 (0.13304)</t>
  </si>
  <si>
    <t>0.15384 (0.10993)</t>
  </si>
  <si>
    <t>0.00686 (0.00034)</t>
  </si>
  <si>
    <t>0.01658 (0.00078)</t>
  </si>
  <si>
    <t>0.00394 (0.00026)</t>
  </si>
  <si>
    <t>topA</t>
  </si>
  <si>
    <t>DNA topoisomerase I</t>
  </si>
  <si>
    <t>0.02115 (0.02007)</t>
  </si>
  <si>
    <t>0.00573 (0.00019)</t>
  </si>
  <si>
    <t>0.02596 (0.00085)</t>
  </si>
  <si>
    <t>0.00026 (0.00004)</t>
  </si>
  <si>
    <t>trmFO</t>
  </si>
  <si>
    <t>tRNA:m(5)U-54 methyltransferase</t>
  </si>
  <si>
    <t>0.04502 (0.04373)</t>
  </si>
  <si>
    <t>0.00826 (0.02465)</t>
  </si>
  <si>
    <t>0.01130 (0.00058)</t>
  </si>
  <si>
    <t>0.04718 (0.00264)</t>
  </si>
  <si>
    <t>0.00108 (0.00008)</t>
  </si>
  <si>
    <t>codV</t>
  </si>
  <si>
    <t>site-specific tyrosine recombinase forchromosome partitioning</t>
  </si>
  <si>
    <t>0.11612 (0.09007)</t>
  </si>
  <si>
    <t>0.06650 (0.04895)</t>
  </si>
  <si>
    <t>0.01922 (0.00142)</t>
  </si>
  <si>
    <t>0.07437 (0.00575)</t>
  </si>
  <si>
    <t>0.00535 (0.00036)</t>
  </si>
  <si>
    <t>clpQ</t>
  </si>
  <si>
    <t>two-component ATP-dependent protease (N-terminalserine protease)</t>
  </si>
  <si>
    <t>0.02001 (0.04703)</t>
  </si>
  <si>
    <t>0.02689 (0.00246)</t>
  </si>
  <si>
    <t>0.12906 (0.01218)</t>
  </si>
  <si>
    <t>clpY</t>
  </si>
  <si>
    <t>two-component ATP-dependent protease (ATPase andchaperone)</t>
  </si>
  <si>
    <t>0.03005 (0.02986)</t>
  </si>
  <si>
    <t>0.01624 (0.02529)</t>
  </si>
  <si>
    <t>0.02108 (0.00158)</t>
  </si>
  <si>
    <t>0.10102 (0.00800)</t>
  </si>
  <si>
    <t>0.00160 (0.00011)</t>
  </si>
  <si>
    <t>codY</t>
  </si>
  <si>
    <t>transcriptional regulator, GTP andBCAA-dependent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</si>
  <si>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</si>
  <si>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0.00929 (0.03251)</t>
  </si>
  <si>
    <t>0.02161 (0.00189)</t>
  </si>
  <si>
    <t>0.10829 (0.01004)</t>
  </si>
  <si>
    <t>0.00022 (0.00005)</t>
  </si>
  <si>
    <t>flgB</t>
  </si>
  <si>
    <t>flagellar component of cell-proximal portion ofbasal-body rod</t>
  </si>
  <si>
    <t>0.16078 (0.09799)</t>
  </si>
  <si>
    <t>0.13291 (0.04875)</t>
  </si>
  <si>
    <t>0.02819 (0.00210)</t>
  </si>
  <si>
    <t>0.09326 (0.00720)</t>
  </si>
  <si>
    <t>0.01258 (0.00103)</t>
  </si>
  <si>
    <t>flgC</t>
  </si>
  <si>
    <t>0.06417 (0.03606)</t>
  </si>
  <si>
    <t>0.02107 (0.03254)</t>
  </si>
  <si>
    <t>0.02923 (0.00211)</t>
  </si>
  <si>
    <t>0.13218 (0.01048)</t>
  </si>
  <si>
    <t>0.00413 (0.00029)</t>
  </si>
  <si>
    <t>fliE</t>
  </si>
  <si>
    <t>flagellar basal body protein</t>
  </si>
  <si>
    <t>0.12975 (0.16320)</t>
  </si>
  <si>
    <t>0.00943 (0.00122)</t>
  </si>
  <si>
    <t>0.03625 (0.00664)</t>
  </si>
  <si>
    <t>0.00266 (0.00059)</t>
  </si>
  <si>
    <t>fliF</t>
  </si>
  <si>
    <t>flagellar basal-body M-ring protein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</si>
  <si>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</si>
  <si>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0.05430 (0.13302)</t>
  </si>
  <si>
    <t>0.07501 (0.04394)</t>
  </si>
  <si>
    <t>0.01642 (0.00176)</t>
  </si>
  <si>
    <t>0.06516 (0.00727)</t>
  </si>
  <si>
    <t>0.00416 (0.00051)</t>
  </si>
  <si>
    <t>fliG</t>
  </si>
  <si>
    <t>flagellar motor switching and energizingcomponent</t>
  </si>
  <si>
    <t>0.00619 (0.02521)</t>
  </si>
  <si>
    <t>0.00378 (0.01288)</t>
  </si>
  <si>
    <t>0.02472 (0.00126)</t>
  </si>
  <si>
    <t>0.12458 (0.00668)</t>
  </si>
  <si>
    <t>0.00051 (0.00005)</t>
  </si>
  <si>
    <t>fliH</t>
  </si>
  <si>
    <t>flagellar export apparatus subunit ofcytoplasmic ATPase</t>
  </si>
  <si>
    <t>0.09035 (0.06091)</t>
  </si>
  <si>
    <t>0.07656 (0.05127)</t>
  </si>
  <si>
    <t>0.01839 (0.00122)</t>
  </si>
  <si>
    <t>0.07253 (0.00530)</t>
  </si>
  <si>
    <t>0.00504 (0.00035)</t>
  </si>
  <si>
    <t>fliI</t>
  </si>
  <si>
    <t>flagellar-specific ATPase subunit of exportapparatus</t>
  </si>
  <si>
    <t>0.05404 (0.02515)</t>
  </si>
  <si>
    <t>0.01479 (0.03786)</t>
  </si>
  <si>
    <t>0.05349 (0.00244)</t>
  </si>
  <si>
    <t>0.00219 (0.00021)</t>
  </si>
  <si>
    <t>fliJ</t>
  </si>
  <si>
    <t>flagellar synthesis rod subunit of exportATPase</t>
  </si>
  <si>
    <t>0.04648 (0.05913)</t>
  </si>
  <si>
    <t>0.02191 (0.02874)</t>
  </si>
  <si>
    <t>0.03192 (0.00227)</t>
  </si>
  <si>
    <t>0.19039 (0.01416)</t>
  </si>
  <si>
    <t>0.00509 (0.00046)</t>
  </si>
  <si>
    <t>ylxF</t>
  </si>
  <si>
    <t>putative kinesin-like protein</t>
  </si>
  <si>
    <t>ref , GCA_000146565.1_ASM14656v1_genomic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</si>
  <si>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0.07621 (0.05504)</t>
  </si>
  <si>
    <t>0.27178 (0.16666)</t>
  </si>
  <si>
    <t>0.02718 (0.00231)</t>
  </si>
  <si>
    <t>0.08005 (0.00668)</t>
  </si>
  <si>
    <t>0.01467 (0.00138)</t>
  </si>
  <si>
    <t>fliK</t>
  </si>
  <si>
    <t>flagellar hook-length control protein (ruler)</t>
  </si>
  <si>
    <t>0.38847 (0.09125)</t>
  </si>
  <si>
    <t>0.15290 (0.04515)</t>
  </si>
  <si>
    <t>0.01452 (0.00064)</t>
  </si>
  <si>
    <t>0.03494 (0.00180)</t>
  </si>
  <si>
    <t>0.00926 (0.00044)</t>
  </si>
  <si>
    <t>flgD</t>
  </si>
  <si>
    <t>flagellar hook capping protein</t>
  </si>
  <si>
    <t>0.12913 (0.18638)</t>
  </si>
  <si>
    <t>0.02687 (0.00000)</t>
  </si>
  <si>
    <t>0.01714 (0.00369)</t>
  </si>
  <si>
    <t>0.07740 (0.01791)</t>
  </si>
  <si>
    <t>0.00301 (0.00052)</t>
  </si>
  <si>
    <t>flgE</t>
  </si>
  <si>
    <t>flagellar hook protein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</si>
  <si>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</si>
  <si>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0.07613 (0.17767)</t>
  </si>
  <si>
    <t>0.02247 (0.00646)</t>
  </si>
  <si>
    <t>0.08544 (0.02462)</t>
  </si>
  <si>
    <t>0.00535 (0.00177)</t>
  </si>
  <si>
    <t>swrD</t>
  </si>
  <si>
    <t>flagellar power transducer required forswarming</t>
  </si>
  <si>
    <t>0.53607 (0.80411)</t>
  </si>
  <si>
    <t>0.06648 (0.05930)</t>
  </si>
  <si>
    <t>0.02003 (0.00285)</t>
  </si>
  <si>
    <t>0.06451 (0.00869)</t>
  </si>
  <si>
    <t>0.00886 (0.00160)</t>
  </si>
  <si>
    <t>fliL</t>
  </si>
  <si>
    <t>flagellar basal-body (stator) associatedprotein</t>
  </si>
  <si>
    <t>0.19791 (0.16117)</t>
  </si>
  <si>
    <t>0.05327 (0.09275)</t>
  </si>
  <si>
    <t>0.01693 (0.00241)</t>
  </si>
  <si>
    <t>0.06188 (0.00908)</t>
  </si>
  <si>
    <t>0.00562 (0.00092)</t>
  </si>
  <si>
    <t>fliM</t>
  </si>
  <si>
    <t>0.01116 (0.03515)</t>
  </si>
  <si>
    <t>0.02430 (0.00163)</t>
  </si>
  <si>
    <t>0.12465 (0.00878)</t>
  </si>
  <si>
    <t>0.00016 (0.00004)</t>
  </si>
  <si>
    <t>fliY</t>
  </si>
  <si>
    <t>flagellar motor switching and energizingphosphatase</t>
  </si>
  <si>
    <t>0.07196 (0.09230)</t>
  </si>
  <si>
    <t>0.02628 (0.06744)</t>
  </si>
  <si>
    <t>0.00672 (0.00032)</t>
  </si>
  <si>
    <t>0.02585 (0.00123)</t>
  </si>
  <si>
    <t>0.00131 (0.00014)</t>
  </si>
  <si>
    <t>cheY</t>
  </si>
  <si>
    <t>regulator of chemotaxis and motility</t>
  </si>
  <si>
    <t>0.00865 (0.00056)</t>
  </si>
  <si>
    <t>0.04384 (0.00289)</t>
  </si>
  <si>
    <t>fliZ</t>
  </si>
  <si>
    <t>flagellar regulatory protein</t>
  </si>
  <si>
    <t>0.19266 (0.05888)</t>
  </si>
  <si>
    <t>0.08345 (0.10288)</t>
  </si>
  <si>
    <t>0.02158 (0.00115)</t>
  </si>
  <si>
    <t>0.07167 (0.00431)</t>
  </si>
  <si>
    <t>0.00945 (0.00047)</t>
  </si>
  <si>
    <t>fliP</t>
  </si>
  <si>
    <t>component of the flagellar export machinery</t>
  </si>
  <si>
    <t>0.08875 (0.11825)</t>
  </si>
  <si>
    <t>0.01635 (0.02534)</t>
  </si>
  <si>
    <t>0.02329 (0.00158)</t>
  </si>
  <si>
    <t>0.10485 (0.00748)</t>
  </si>
  <si>
    <t>0.00322 (0.00032)</t>
  </si>
  <si>
    <t>fliQ</t>
  </si>
  <si>
    <t>0.06470 (0.12216)</t>
  </si>
  <si>
    <t>0.02837 (0.02025)</t>
  </si>
  <si>
    <t>0.03296 (0.00467)</t>
  </si>
  <si>
    <t>0.12693 (0.01861)</t>
  </si>
  <si>
    <t>0.00635 (0.00122)</t>
  </si>
  <si>
    <t>fliR</t>
  </si>
  <si>
    <t>0.03852 (0.03756)</t>
  </si>
  <si>
    <t>0.00947 (0.00053)</t>
  </si>
  <si>
    <t>0.03996 (0.00249)</t>
  </si>
  <si>
    <t>0.00078 (0.00011)</t>
  </si>
  <si>
    <t>flhB</t>
  </si>
  <si>
    <t>0.01948 (0.02510)</t>
  </si>
  <si>
    <t>0.01143 (0.00057)</t>
  </si>
  <si>
    <t>0.04951 (0.00253)</t>
  </si>
  <si>
    <t>0.00075 (0.00007)</t>
  </si>
  <si>
    <t>flhA</t>
  </si>
  <si>
    <t>0.01467 (0.02410)</t>
  </si>
  <si>
    <t>0.00533 (0.00022)</t>
  </si>
  <si>
    <t>0.02184 (0.00090)</t>
  </si>
  <si>
    <t>0.00020 (0.00004)</t>
  </si>
  <si>
    <t>flhF</t>
  </si>
  <si>
    <t>GTPase involved in the export of flagella andnumber regulation</t>
  </si>
  <si>
    <t>0.86920 (0.08437)</t>
  </si>
  <si>
    <t>0.13826 (0.06819)</t>
  </si>
  <si>
    <t>0.04929 (0.07669)</t>
  </si>
  <si>
    <t>0.00754 (0.00046)</t>
  </si>
  <si>
    <t>0.02526 (0.00186)</t>
  </si>
  <si>
    <t>0.00243 (0.00022)</t>
  </si>
  <si>
    <t>flhG</t>
  </si>
  <si>
    <t>ATPase affecting flagellar basal bodylocalisation and number</t>
  </si>
  <si>
    <t>0.11896 (0.07551)</t>
  </si>
  <si>
    <t>0.07296 (0.06226)</t>
  </si>
  <si>
    <t>0.00993 (0.00048)</t>
  </si>
  <si>
    <t>0.03411 (0.00172)</t>
  </si>
  <si>
    <t>0.00310 (0.00021)</t>
  </si>
  <si>
    <t>cheB</t>
  </si>
  <si>
    <t>methyl-accepting chemotaxis proteins(MCP)-glutamate methylesterase</t>
  </si>
  <si>
    <t>0.17476 (0.08327)</t>
  </si>
  <si>
    <t>0.06130 (0.07463)</t>
  </si>
  <si>
    <t>0.00678 (0.00029)</t>
  </si>
  <si>
    <t>0.02131 (0.00103)</t>
  </si>
  <si>
    <t>0.00242 (0.00015)</t>
  </si>
  <si>
    <t>cheA</t>
  </si>
  <si>
    <t>chemotactic two-component sensor histidinekinase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</si>
  <si>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</si>
  <si>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0.06502 (0.19625)</t>
  </si>
  <si>
    <t>0.04097 (0.04652)</t>
  </si>
  <si>
    <t>0.01286 (0.00196)</t>
  </si>
  <si>
    <t>0.05095 (0.00782)</t>
  </si>
  <si>
    <t>0.00308 (0.00057)</t>
  </si>
  <si>
    <t>cheW</t>
  </si>
  <si>
    <t>modulation of CheA activity in response toattractants (chemotaxis)</t>
  </si>
  <si>
    <t>0.04393 (0.06935)</t>
  </si>
  <si>
    <t>0.07964 (0.04343)</t>
  </si>
  <si>
    <t>0.02635 (0.00207)</t>
  </si>
  <si>
    <t>0.10146 (0.00804)</t>
  </si>
  <si>
    <t>0.00741 (0.00064)</t>
  </si>
  <si>
    <t>cheC</t>
  </si>
  <si>
    <t>signal terminating phosphatase of CheR-mediatedmethylation of methyl-accepting chemotaxis proteins(MCPs)</t>
  </si>
  <si>
    <t>0.03218 (0.04665)</t>
  </si>
  <si>
    <t>0.01537 (0.03494)</t>
  </si>
  <si>
    <t>0.02738 (0.00191)</t>
  </si>
  <si>
    <t>0.13173 (0.00966)</t>
  </si>
  <si>
    <t>0.00303 (0.00029)</t>
  </si>
  <si>
    <t>cheD</t>
  </si>
  <si>
    <t>sequence specific deamidase required formethylation of methyl-accepting chemotaxis proteins (MCPs)by CheR</t>
  </si>
  <si>
    <t>0.11073 (0.25979)</t>
  </si>
  <si>
    <t>0.06180 (0.08907)</t>
  </si>
  <si>
    <t>0.02526 (0.00249)</t>
  </si>
  <si>
    <t>0.09702 (0.01082)</t>
  </si>
  <si>
    <t>0.00599 (0.00072)</t>
  </si>
  <si>
    <t>sigD</t>
  </si>
  <si>
    <t>RNA polymerase sigma-28 factor (sigma-D)</t>
  </si>
  <si>
    <t>0.04405 (0.06077)</t>
  </si>
  <si>
    <t>0.01584 (0.00098)</t>
  </si>
  <si>
    <t>0.07417 (0.00485)</t>
  </si>
  <si>
    <t>0.00101 (0.00012)</t>
  </si>
  <si>
    <t>swrB</t>
  </si>
  <si>
    <t>coupling factor for flagellin transcription andtranslation</t>
  </si>
  <si>
    <t>0.33663 (0.18566)</t>
  </si>
  <si>
    <t>1.68633 (3.10088)</t>
  </si>
  <si>
    <t>0.00907 (0.00060)</t>
  </si>
  <si>
    <t>0.01137 (0.00141)</t>
  </si>
  <si>
    <t>0.00853 (0.00056)</t>
  </si>
  <si>
    <t>rpsB</t>
  </si>
  <si>
    <t>ribosomal protein S2</t>
  </si>
  <si>
    <t>0.03069 (0.07732)</t>
  </si>
  <si>
    <t>0.00551 (0.00037)</t>
  </si>
  <si>
    <t>0.02459 (0.00171)</t>
  </si>
  <si>
    <t>0.00032 (0.00008)</t>
  </si>
  <si>
    <t>tsf</t>
  </si>
  <si>
    <t>elongation factor Ts</t>
  </si>
  <si>
    <t>0.04899 (0.03743)</t>
  </si>
  <si>
    <t>0.06066 (0.04767)</t>
  </si>
  <si>
    <t>0.01912 (0.00135)</t>
  </si>
  <si>
    <t>0.07819 (0.00546)</t>
  </si>
  <si>
    <t>0.00394 (0.00037)</t>
  </si>
  <si>
    <t>pyrH</t>
  </si>
  <si>
    <t>uridylate kinase</t>
  </si>
  <si>
    <t>0.01522 (0.03830)</t>
  </si>
  <si>
    <t>0.01472 (0.00133)</t>
  </si>
  <si>
    <t>0.06512 (0.00597)</t>
  </si>
  <si>
    <t>0.00033 (0.00009)</t>
  </si>
  <si>
    <t>frr</t>
  </si>
  <si>
    <t>ribosome recycling factor</t>
  </si>
  <si>
    <t>0.03512 (0.04657)</t>
  </si>
  <si>
    <t>0.03530 (0.04822)</t>
  </si>
  <si>
    <t>0.02730 (0.00190)</t>
  </si>
  <si>
    <t>0.11358 (0.00798)</t>
  </si>
  <si>
    <t>0.00472 (0.00043)</t>
  </si>
  <si>
    <t>uppS</t>
  </si>
  <si>
    <t>undecaprenyl pyrophosphate synthase</t>
  </si>
  <si>
    <t>0.03287 (0.03085)</t>
  </si>
  <si>
    <t>0.08037 (0.05095)</t>
  </si>
  <si>
    <t>0.02419 (0.00190)</t>
  </si>
  <si>
    <t>0.09908 (0.00803)</t>
  </si>
  <si>
    <t>0.00621 (0.00048)</t>
  </si>
  <si>
    <t>cdsA</t>
  </si>
  <si>
    <t>phosphatidate cytidylyltransferase(CDP-diglyceride synthase)</t>
  </si>
  <si>
    <t>0.12995 (0.04901)</t>
  </si>
  <si>
    <t>0.09823 (0.07761)</t>
  </si>
  <si>
    <t>0.02312 (0.00141)</t>
  </si>
  <si>
    <t>0.08061 (0.00508)</t>
  </si>
  <si>
    <t>0.00670 (0.00044)</t>
  </si>
  <si>
    <t>dxr</t>
  </si>
  <si>
    <t>1-deoxy-D-xylulose-5-phosphate reductoisomerase</t>
  </si>
  <si>
    <t>0.10421 (0.04274)</t>
  </si>
  <si>
    <t>0.02692 (0.05264)</t>
  </si>
  <si>
    <t>0.02229 (0.00156)</t>
  </si>
  <si>
    <t>0.09392 (0.00685)</t>
  </si>
  <si>
    <t>0.00405 (0.00028)</t>
  </si>
  <si>
    <t>rasP</t>
  </si>
  <si>
    <t>inner membrane zinc metalloprotease required forthe extracytoplasmic stress response mediated by sigma(W)</t>
  </si>
  <si>
    <t>0.09808 (0.22129)</t>
  </si>
  <si>
    <t>0.02293 (0.02128)</t>
  </si>
  <si>
    <t>0.02935 (0.00164)</t>
  </si>
  <si>
    <t>0.12335 (0.00703)</t>
  </si>
  <si>
    <t>0.00500 (0.00053)</t>
  </si>
  <si>
    <t>proS</t>
  </si>
  <si>
    <t>prolyl-tRNA synthetase</t>
  </si>
  <si>
    <t>0.05491 (0.06641)</t>
  </si>
  <si>
    <t>0.00949 (0.00050)</t>
  </si>
  <si>
    <t>0.03790 (0.00165)</t>
  </si>
  <si>
    <t>polC</t>
  </si>
  <si>
    <t>DNA polymerase III (alpha subunit)</t>
  </si>
  <si>
    <t>0.02488 (0.00419)</t>
  </si>
  <si>
    <t>0.01765 (0.01731)</t>
  </si>
  <si>
    <t>0.00871 (0.00021)</t>
  </si>
  <si>
    <t>0.03677 (0.00093)</t>
  </si>
  <si>
    <t>0.00089 (0.00005)</t>
  </si>
  <si>
    <t>rimP</t>
  </si>
  <si>
    <t>ribosome maturation factor</t>
  </si>
  <si>
    <t>0.20664 (0.23916)</t>
  </si>
  <si>
    <t>0.01684 (0.03238)</t>
  </si>
  <si>
    <t>0.02045 (0.00177)</t>
  </si>
  <si>
    <t>0.08693 (0.00791)</t>
  </si>
  <si>
    <t>0.00372 (0.00054)</t>
  </si>
  <si>
    <t>nusA</t>
  </si>
  <si>
    <t>transcription translation coupling factorinvolved in Rho-dependent transcription termination</t>
  </si>
  <si>
    <t>0.00425 (0.01876)</t>
  </si>
  <si>
    <t>0.01030 (0.00124)</t>
  </si>
  <si>
    <t>0.04754 (0.00602)</t>
  </si>
  <si>
    <t>0.00017 (0.00004)</t>
  </si>
  <si>
    <t>rulR</t>
  </si>
  <si>
    <t>molecular ruler co-factor for RNA; new fold</t>
  </si>
  <si>
    <t>0.16076 (0.13400)</t>
  </si>
  <si>
    <t>0.01913 (0.00156)</t>
  </si>
  <si>
    <t>0.06644 (0.00609)</t>
  </si>
  <si>
    <t>0.00731 (0.00093)</t>
  </si>
  <si>
    <t>rulQ</t>
  </si>
  <si>
    <t>K-turn RNA binding protein</t>
  </si>
  <si>
    <t>0.05350 (0.08951)</t>
  </si>
  <si>
    <t>0.01143 (0.00120)</t>
  </si>
  <si>
    <t>0.04419 (0.00478)</t>
  </si>
  <si>
    <t>0.00127 (0.00043)</t>
  </si>
  <si>
    <t>infB</t>
  </si>
  <si>
    <t>initiation factor IF-2</t>
  </si>
  <si>
    <t>0.02556 (0.03705)</t>
  </si>
  <si>
    <t>0.02270 (0.05323)</t>
  </si>
  <si>
    <t>0.01430 (0.00115)</t>
  </si>
  <si>
    <t>0.06407 (0.00535)</t>
  </si>
  <si>
    <t>0.00127 (0.00010)</t>
  </si>
  <si>
    <t>rbfA</t>
  </si>
  <si>
    <t>pre-ribosomal (17S) RNA binding factor A</t>
  </si>
  <si>
    <t>0.05230 (0.04189)</t>
  </si>
  <si>
    <t>0.03605 (0.07396)</t>
  </si>
  <si>
    <t>0.01994 (0.00168)</t>
  </si>
  <si>
    <t>0.08039 (0.00673)</t>
  </si>
  <si>
    <t>0.00370 (0.00048)</t>
  </si>
  <si>
    <t>truB</t>
  </si>
  <si>
    <t>tRNA pseudouridine 55 synthase</t>
  </si>
  <si>
    <t>0.13924 (0.08487)</t>
  </si>
  <si>
    <t>0.02955 (0.06422)</t>
  </si>
  <si>
    <t>0.00914 (0.00048)</t>
  </si>
  <si>
    <t>0.03272 (0.00172)</t>
  </si>
  <si>
    <t>0.00239 (0.00021)</t>
  </si>
  <si>
    <t>ribC</t>
  </si>
  <si>
    <t>bifunctional riboflavin kinase FAD synthase</t>
  </si>
  <si>
    <t>0.05021 (0.01686)</t>
  </si>
  <si>
    <t>0.04067 (0.02445)</t>
  </si>
  <si>
    <t>0.01542 (0.00063)</t>
  </si>
  <si>
    <t>0.06247 (0.00272)</t>
  </si>
  <si>
    <t>0.00270 (0.00018)</t>
  </si>
  <si>
    <t>rpsO</t>
  </si>
  <si>
    <t>ribosomal protein S15 (BS18)</t>
  </si>
  <si>
    <t>0.08180 (0.12104)</t>
  </si>
  <si>
    <t>0.01673 (0.00220)</t>
  </si>
  <si>
    <t>0.06827 (0.01116)</t>
  </si>
  <si>
    <t>0.00260 (0.00063)</t>
  </si>
  <si>
    <t>pnpA</t>
  </si>
  <si>
    <t>polynucleotide phosphorylase (PNPase)</t>
  </si>
  <si>
    <t>0.40234 (0.10163)</t>
  </si>
  <si>
    <t>0.03965 (0.02474)</t>
  </si>
  <si>
    <t>0.03381 (0.05811)</t>
  </si>
  <si>
    <t>0.02039 (0.00150)</t>
  </si>
  <si>
    <t>0.08879 (0.00662)</t>
  </si>
  <si>
    <t>0.00294 (0.00026)</t>
  </si>
  <si>
    <t>ylxY</t>
  </si>
  <si>
    <t>putative sugar deacetylase</t>
  </si>
  <si>
    <t>0.15757 (0.13671)</t>
  </si>
  <si>
    <t>0.13845 (0.06546)</t>
  </si>
  <si>
    <t>0.01246 (0.00077)</t>
  </si>
  <si>
    <t>0.03952 (0.00291)</t>
  </si>
  <si>
    <t>0.00566 (0.00033)</t>
  </si>
  <si>
    <t>mlpA</t>
  </si>
  <si>
    <t>specific processing protease</t>
  </si>
  <si>
    <t>0.01922 (0.02594)</t>
  </si>
  <si>
    <t>0.02448 (0.08328)</t>
  </si>
  <si>
    <t>0.01850 (0.00176)</t>
  </si>
  <si>
    <t>0.08422 (0.00830)</t>
  </si>
  <si>
    <t>0.00188 (0.00025)</t>
  </si>
  <si>
    <t>ymxH</t>
  </si>
  <si>
    <t>PRC barrel protein involved in sporulation</t>
  </si>
  <si>
    <t>0.05297 (0.10438)</t>
  </si>
  <si>
    <t>0.01083 (0.00102)</t>
  </si>
  <si>
    <t>0.04776 (0.00561)</t>
  </si>
  <si>
    <t>0.00143 (0.00044)</t>
  </si>
  <si>
    <t>spoVFA</t>
  </si>
  <si>
    <t>spore dipicolinate synthase subunit A</t>
  </si>
  <si>
    <t>0.07796 (0.06944)</t>
  </si>
  <si>
    <t>0.05376 (0.06056)</t>
  </si>
  <si>
    <t>0.02077 (0.00139)</t>
  </si>
  <si>
    <t>0.08210 (0.00574)</t>
  </si>
  <si>
    <t>spoVFB</t>
  </si>
  <si>
    <t>spore dipicolinate synthase subunit B</t>
  </si>
  <si>
    <t>0.07399 (0.04923)</t>
  </si>
  <si>
    <t>0.02006 (0.05780)</t>
  </si>
  <si>
    <t>0.01157 (0.00052)</t>
  </si>
  <si>
    <t>0.04600 (0.00233)</t>
  </si>
  <si>
    <t>0.00167 (0.00016)</t>
  </si>
  <si>
    <t>asd</t>
  </si>
  <si>
    <t>aspartate-semialdehyde dehydrogenase</t>
  </si>
  <si>
    <t>0.07498 (0.02935)</t>
  </si>
  <si>
    <t>0.05054 (0.03796)</t>
  </si>
  <si>
    <t>0.01817 (0.00106)</t>
  </si>
  <si>
    <t>0.07263 (0.00450)</t>
  </si>
  <si>
    <t>0.00381 (0.00022)</t>
  </si>
  <si>
    <t>dapG</t>
  </si>
  <si>
    <t>aspartokinase I (alpha and beta subunits)</t>
  </si>
  <si>
    <t>0.04898 (0.03327)</t>
  </si>
  <si>
    <t>0.04257 (0.11694)</t>
  </si>
  <si>
    <t>0.00691 (0.00025)</t>
  </si>
  <si>
    <t>0.02545 (0.00085)</t>
  </si>
  <si>
    <t>0.00113 (0.00012)</t>
  </si>
  <si>
    <t>dapA</t>
  </si>
  <si>
    <t>4-hydroxy-tetrahydrodipicolinate synthase</t>
  </si>
  <si>
    <t>0.02058 (0.05000)</t>
  </si>
  <si>
    <t>0.03021 (0.07100)</t>
  </si>
  <si>
    <t>0.01477 (0.00165)</t>
  </si>
  <si>
    <t>0.05834 (0.00703)</t>
  </si>
  <si>
    <t>0.00161 (0.00018)</t>
  </si>
  <si>
    <t>rnjB</t>
  </si>
  <si>
    <t>dual activity 5' exo-and endoribonuclease J2</t>
  </si>
  <si>
    <t>0.00845 (0.01637)</t>
  </si>
  <si>
    <t>0.02208 (0.02465)</t>
  </si>
  <si>
    <t>0.02325 (0.00149)</t>
  </si>
  <si>
    <t>0.10316 (0.00676)</t>
  </si>
  <si>
    <t>tepA</t>
  </si>
  <si>
    <t>protein export-enhancing protease (sporeoutgrowth)</t>
  </si>
  <si>
    <t>0.00895 (0.00054)</t>
  </si>
  <si>
    <t>0.04058 (0.00249)</t>
  </si>
  <si>
    <t>tepJ</t>
  </si>
  <si>
    <t>modulator of TepA activity (spore outgrowth)</t>
  </si>
  <si>
    <t>0.05071 (0.09596)</t>
  </si>
  <si>
    <t>0.01143 (0.00181)</t>
  </si>
  <si>
    <t>0.04813 (0.01045)</t>
  </si>
  <si>
    <t>0.00241 (0.00093)</t>
  </si>
  <si>
    <t>spoIIIE</t>
  </si>
  <si>
    <t>spore DNA directional translocase (motorATPase)</t>
  </si>
  <si>
    <t>0.07868 (0.02441)</t>
  </si>
  <si>
    <t>0.00895 (0.02826)</t>
  </si>
  <si>
    <t>0.00835 (0.00034)</t>
  </si>
  <si>
    <t>0.03233 (0.00147)</t>
  </si>
  <si>
    <t>0.00148 (0.00007)</t>
  </si>
  <si>
    <t>ymfC</t>
  </si>
  <si>
    <t>putative transcriptional regulator (GntR family,possibly involved in biofilm formation)</t>
  </si>
  <si>
    <t>0.05440 (0.03009)</t>
  </si>
  <si>
    <t>0.04515 (0.05268)</t>
  </si>
  <si>
    <t>0.02497 (0.00199)</t>
  </si>
  <si>
    <t>0.10524 (0.00819)</t>
  </si>
  <si>
    <t>0.00491 (0.00053)</t>
  </si>
  <si>
    <t>ymfF</t>
  </si>
  <si>
    <t>putative metalloprotease</t>
  </si>
  <si>
    <t>0.10822 (0.07503)</t>
  </si>
  <si>
    <t>0.06022 (0.02094)</t>
  </si>
  <si>
    <t>0.01502 (0.00051)</t>
  </si>
  <si>
    <t>0.05477 (0.00205)</t>
  </si>
  <si>
    <t>0.00413 (0.00021)</t>
  </si>
  <si>
    <t>ymfH</t>
  </si>
  <si>
    <t>putative processing protease</t>
  </si>
  <si>
    <t>0.02305 (0.02992)</t>
  </si>
  <si>
    <t>0.03077 (0.07775)</t>
  </si>
  <si>
    <t>0.02114 (0.00168)</t>
  </si>
  <si>
    <t>0.09652 (0.00831)</t>
  </si>
  <si>
    <t>0.00286 (0.00024)</t>
  </si>
  <si>
    <t>efpI</t>
  </si>
  <si>
    <t>EF-P-5 aminopentanone reductase (EF-P repairenzyme), NADPH-dependent</t>
  </si>
  <si>
    <t>0.05060 (0.07095)</t>
  </si>
  <si>
    <t>0.06850 (0.08885)</t>
  </si>
  <si>
    <t>0.01856 (0.00068)</t>
  </si>
  <si>
    <t>0.06758 (0.00250)</t>
  </si>
  <si>
    <t>0.00404 (0.00028)</t>
  </si>
  <si>
    <t>ymfJ</t>
  </si>
  <si>
    <t>0.15960 (0.04607)</t>
  </si>
  <si>
    <t>0.01464 (0.00145)</t>
  </si>
  <si>
    <t>0.05608 (0.00606)</t>
  </si>
  <si>
    <t>0.00522 (0.00079)</t>
  </si>
  <si>
    <t>rodZ</t>
  </si>
  <si>
    <t>cell shape determination factor</t>
  </si>
  <si>
    <t>0.08658 (0.07237)</t>
  </si>
  <si>
    <t>0.07510 (0.21519)</t>
  </si>
  <si>
    <t>0.01844 (0.00192)</t>
  </si>
  <si>
    <t>0.06928 (0.00737)</t>
  </si>
  <si>
    <t>0.00600 (0.00069)</t>
  </si>
  <si>
    <t>pgsA</t>
  </si>
  <si>
    <t>CDP-diacylglycerol-glycerol-3-phosphate3-phosphatidyltransferase</t>
  </si>
  <si>
    <t>0.03911 (0.05481)</t>
  </si>
  <si>
    <t>0.01784 (0.00181)</t>
  </si>
  <si>
    <t>0.07509 (0.00854)</t>
  </si>
  <si>
    <t>0.00166 (0.00020)</t>
  </si>
  <si>
    <t>cinA</t>
  </si>
  <si>
    <t>competence-damage inducible regulator</t>
  </si>
  <si>
    <t>0.16210 (0.11362)</t>
  </si>
  <si>
    <t>0.00638 (0.00031)</t>
  </si>
  <si>
    <t>0.02345 (0.00108)</t>
  </si>
  <si>
    <t>0.00129 (0.00013)</t>
  </si>
  <si>
    <t>recA</t>
  </si>
  <si>
    <t>multifunctional SOS repair factor</t>
  </si>
  <si>
    <t>0.01407 (0.04631)</t>
  </si>
  <si>
    <t>0.00664 (0.02246)</t>
  </si>
  <si>
    <t>0.01940 (0.00122)</t>
  </si>
  <si>
    <t>0.08660 (0.00566)</t>
  </si>
  <si>
    <t>0.00090 (0.00010)</t>
  </si>
  <si>
    <t>pbpX</t>
  </si>
  <si>
    <t>penicillin-binding endopeptidase X (lysozymeresistance)</t>
  </si>
  <si>
    <t>0.21976 (0.13528)</t>
  </si>
  <si>
    <t>0.13689 (0.10266)</t>
  </si>
  <si>
    <t>0.01172 (0.00049)</t>
  </si>
  <si>
    <t>0.03478 (0.00138)</t>
  </si>
  <si>
    <t>0.00530 (0.00035)</t>
  </si>
  <si>
    <t>rny</t>
  </si>
  <si>
    <t>endoribonuclease Y</t>
  </si>
  <si>
    <t>0.00909 (0.00046)</t>
  </si>
  <si>
    <t>0.04129 (0.00212)</t>
  </si>
  <si>
    <t>pdeB</t>
  </si>
  <si>
    <t>2'3' and 3'5' cyclic nucleotide monophosphatesphosphodiesterase involved in biofilm formation</t>
  </si>
  <si>
    <t>0.02703 (0.04348)</t>
  </si>
  <si>
    <t>0.01540 (0.00208)</t>
  </si>
  <si>
    <t>0.06992 (0.01073)</t>
  </si>
  <si>
    <t>0.00137 (0.00013)</t>
  </si>
  <si>
    <t>spoVS</t>
  </si>
  <si>
    <t>regulator required for dehydratation of thespore core and assembly of the coat (stage V sporulation)</t>
  </si>
  <si>
    <t>0.03007 (0.00338)</t>
  </si>
  <si>
    <t>0.13615 (0.01592)</t>
  </si>
  <si>
    <t>tdh</t>
  </si>
  <si>
    <t>threonine 3-dehydrogenase</t>
  </si>
  <si>
    <t>0.14857 (0.07818)</t>
  </si>
  <si>
    <t>0.19908 (0.18086)</t>
  </si>
  <si>
    <t>0.00986 (0.00034)</t>
  </si>
  <si>
    <t>0.02933 (0.00135)</t>
  </si>
  <si>
    <t>0.00424 (0.00019)</t>
  </si>
  <si>
    <t>kbl</t>
  </si>
  <si>
    <t>2-amino-3-ketobutyrate CoA ligase (glycineacetyl transferase)</t>
  </si>
  <si>
    <t>0.10696 (0.04858)</t>
  </si>
  <si>
    <t>0.15875 (0.03183)</t>
  </si>
  <si>
    <t>0.01124 (0.00053)</t>
  </si>
  <si>
    <t>0.03428 (0.00182)</t>
  </si>
  <si>
    <t>0.00463 (0.00024)</t>
  </si>
  <si>
    <t>miaB</t>
  </si>
  <si>
    <t>enzyme for ms(2)i(6)A formation for tRNAmodification</t>
  </si>
  <si>
    <t>0.00395 (0.01631)</t>
  </si>
  <si>
    <t>0.02071 (0.01849)</t>
  </si>
  <si>
    <t>0.02323 (0.00116)</t>
  </si>
  <si>
    <t>0.11072 (0.00587)</t>
  </si>
  <si>
    <t>0.00178 (0.00010)</t>
  </si>
  <si>
    <t>ricA</t>
  </si>
  <si>
    <t>master regulator for biofilm formation via[4Fe-4S]2+)</t>
  </si>
  <si>
    <t>0.04735 (0.11625)</t>
  </si>
  <si>
    <t>0.01920 (0.00145)</t>
  </si>
  <si>
    <t>0.08691 (0.00662)</t>
  </si>
  <si>
    <t>0.00255 (0.00046)</t>
  </si>
  <si>
    <t>cotE</t>
  </si>
  <si>
    <t>morphogenic spore protein</t>
  </si>
  <si>
    <t>0.79321 (0.09021)</t>
  </si>
  <si>
    <t>0.00479 (0.00059)</t>
  </si>
  <si>
    <t>0.02308 (0.00290)</t>
  </si>
  <si>
    <t>mutS</t>
  </si>
  <si>
    <t>DNA mismatch repair recognition factor</t>
  </si>
  <si>
    <t>0.05919 (0.03580)</t>
  </si>
  <si>
    <t>0.02995 (0.02210)</t>
  </si>
  <si>
    <t>0.01102 (0.00032)</t>
  </si>
  <si>
    <t>0.04385 (0.00130)</t>
  </si>
  <si>
    <t>0.00187 (0.00009)</t>
  </si>
  <si>
    <t>mutL</t>
  </si>
  <si>
    <t>DNA mismatch repair endonuclease</t>
  </si>
  <si>
    <t>0.09742 (0.03401)</t>
  </si>
  <si>
    <t>0.12111 (0.04497)</t>
  </si>
  <si>
    <t>0.01503 (0.00053)</t>
  </si>
  <si>
    <t>0.04736 (0.00165)</t>
  </si>
  <si>
    <t>0.00597 (0.00027)</t>
  </si>
  <si>
    <t>ymzD</t>
  </si>
  <si>
    <t>0.29294 (0.23463)</t>
  </si>
  <si>
    <t>0.16471 (0.12807)</t>
  </si>
  <si>
    <t>0.01972 (0.00113)</t>
  </si>
  <si>
    <t>0.04523 (0.00318)</t>
  </si>
  <si>
    <t>0.01273 (0.00081)</t>
  </si>
  <si>
    <t>ymcC</t>
  </si>
  <si>
    <t>0.27905 (0.13934)</t>
  </si>
  <si>
    <t>0.13760 (0.09919)</t>
  </si>
  <si>
    <t>0.01561 (0.00072)</t>
  </si>
  <si>
    <t>0.04084 (0.00254)</t>
  </si>
  <si>
    <t>0.00794 (0.00051)</t>
  </si>
  <si>
    <t>pksA</t>
  </si>
  <si>
    <t>transcriptional regulator of bacillaenesynthesis operon</t>
  </si>
  <si>
    <t>0.16486 (0.09387)</t>
  </si>
  <si>
    <t>0.16788 (0.08095)</t>
  </si>
  <si>
    <t>0.01160 (0.00045)</t>
  </si>
  <si>
    <t>0.03590 (0.00159)</t>
  </si>
  <si>
    <t>0.00532 (0.00035)</t>
  </si>
  <si>
    <t>pksB</t>
  </si>
  <si>
    <t>putative hydrolase involved in bacillaenesynthesis</t>
  </si>
  <si>
    <t>0.14630 (0.18689)</t>
  </si>
  <si>
    <t>0.05486 (0.06591)</t>
  </si>
  <si>
    <t>0.00958 (0.00076)</t>
  </si>
  <si>
    <t>0.03094 (0.00259)</t>
  </si>
  <si>
    <t>0.00393 (0.00057)</t>
  </si>
  <si>
    <t>BSU_17099</t>
  </si>
  <si>
    <t>hypothetical proteinINLTDNIYRGYHQHEHATIYPVITIIKSYRSETHLLIGRVALREgene            1783763..1784629CDS             1783763..1784629PMID:16707694,16757561,17234808,26284661in the studied strain; PubMedId: 16707694, 16757561,17234808, 26284661; Product type e: enzymebacillaene synthesis</t>
  </si>
  <si>
    <t>0.30511 (0.21668)</t>
  </si>
  <si>
    <t>0.01490 (0.00072)</t>
  </si>
  <si>
    <t>0.02216 (0.00302)</t>
  </si>
  <si>
    <t>0.01295 (0.00099)</t>
  </si>
  <si>
    <t>pksD</t>
  </si>
  <si>
    <t>enzyme involved in bacillaene synthesis</t>
  </si>
  <si>
    <t>0.46138 (0.39880)</t>
  </si>
  <si>
    <t>0.45272 (0.14918)</t>
  </si>
  <si>
    <t>0.01251 (0.00083)</t>
  </si>
  <si>
    <t>0.02193 (0.00187)</t>
  </si>
  <si>
    <t>0.01005 (0.00065)</t>
  </si>
  <si>
    <t>pksE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</si>
  <si>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</si>
  <si>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0.17393 (0.03267)</t>
  </si>
  <si>
    <t>0.03579 (0.02309)</t>
  </si>
  <si>
    <t>0.01165 (0.00049)</t>
  </si>
  <si>
    <t>0.03918 (0.00172)</t>
  </si>
  <si>
    <t>0.00404 (0.00022)</t>
  </si>
  <si>
    <t>acpK</t>
  </si>
  <si>
    <t>acyl-carrier protein involved in bacillaenesynthesis</t>
  </si>
  <si>
    <t>0.28451 (0.17360)</t>
  </si>
  <si>
    <t>0.01703 (0.00191)</t>
  </si>
  <si>
    <t>0.05213 (0.00614)</t>
  </si>
  <si>
    <t>0.00756 (0.00132)</t>
  </si>
  <si>
    <t>pksF</t>
  </si>
  <si>
    <t>decarboxylase converting malonyl-S-AcpK toacetyl-S-AcpK for bacillaene-related polyketide synthesis</t>
  </si>
  <si>
    <t>0.17732 (0.19635)</t>
  </si>
  <si>
    <t>0.02202 (0.04643)</t>
  </si>
  <si>
    <t>0.01042 (0.00088)</t>
  </si>
  <si>
    <t>0.03371 (0.00231)</t>
  </si>
  <si>
    <t>0.00350 (0.00054)</t>
  </si>
  <si>
    <t>pksG</t>
  </si>
  <si>
    <t>acetyl-S-AcpK beta-ketothioester bacillaeneintermediate transferase</t>
  </si>
  <si>
    <t>0.09112 (0.08696)</t>
  </si>
  <si>
    <t>0.05565 (0.04610)</t>
  </si>
  <si>
    <t>0.01113 (0.00083)</t>
  </si>
  <si>
    <t>0.03924 (0.00315)</t>
  </si>
  <si>
    <t>0.00308 (0.00028)</t>
  </si>
  <si>
    <t>pksH</t>
  </si>
  <si>
    <t>enoyl-CoA hydratase for bacillaene biosynthesis</t>
  </si>
  <si>
    <t>0.26398 (0.11723)</t>
  </si>
  <si>
    <t>0.14570 (0.08319)</t>
  </si>
  <si>
    <t>0.01357 (0.00075)</t>
  </si>
  <si>
    <t>0.03693 (0.00261)</t>
  </si>
  <si>
    <t>0.00707 (0.00039)</t>
  </si>
  <si>
    <t>pksI</t>
  </si>
  <si>
    <t>decarboxylase involved in bacillaene synthesis</t>
  </si>
  <si>
    <t>0.07512 (0.05369)</t>
  </si>
  <si>
    <t>0.07520 (0.06096)</t>
  </si>
  <si>
    <t>0.01600 (0.00085)</t>
  </si>
  <si>
    <t>0.05435 (0.00302)</t>
  </si>
  <si>
    <t>0.00499 (0.00049)</t>
  </si>
  <si>
    <t>pksJ</t>
  </si>
  <si>
    <t>polyketide synthase of type I involved innonribosomal synthesis of bacillaene</t>
  </si>
  <si>
    <t>0.88927 (0.10071)</t>
  </si>
  <si>
    <t>0.21720 (0.06832)</t>
  </si>
  <si>
    <t>0.22975 (0.02453)</t>
  </si>
  <si>
    <t>0.01333 (0.00031)</t>
  </si>
  <si>
    <t>0.03394 (0.00082)</t>
  </si>
  <si>
    <t>0.00755 (0.00018)</t>
  </si>
  <si>
    <t>pksL</t>
  </si>
  <si>
    <t>polyketide synthase of type I (bacillaenesynthesis)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</si>
  <si>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GCA_001604995.1_ASM160499v1_genomic , GCA_001697265.1_ASM169726v1_genomic , GCA_001703495.1_ASM170349v1_genomic , GCA_001720505.1_ASM172050v1_genomic , GCA_001808235.1_ASM180823v1_genomic , GCA_002055965.1_ASM205596v1_genomic , GCA_002072735.1_ASM207273v1_genomic</t>
  </si>
  <si>
    <t>0.22069 (0.05127)</t>
  </si>
  <si>
    <t>0.16118 (0.00238)</t>
  </si>
  <si>
    <t>0.01529 (0.00114)</t>
  </si>
  <si>
    <t>0.04043 (0.00346)</t>
  </si>
  <si>
    <t>0.00821 (0.00052)</t>
  </si>
  <si>
    <t>pksM</t>
  </si>
  <si>
    <t>trans AT polyketide synthase of type I involvedin bacillaene synthesis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</si>
  <si>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GCA_001697265.1_ASM169726v1_genomic , GCA_001703495.1_ASM170349v1_genomic , GCA_001808235.1_ASM180823v1_genomic , GCA_002055965.1_ASM205596v1_genomic</t>
  </si>
  <si>
    <t>0.20568 (0.04379)</t>
  </si>
  <si>
    <t>0.23960 (0.03173)</t>
  </si>
  <si>
    <t>0.01636 (0.00099)</t>
  </si>
  <si>
    <t>0.04196 (0.00257)</t>
  </si>
  <si>
    <t>0.00930 (0.00061)</t>
  </si>
  <si>
    <t>pksN</t>
  </si>
  <si>
    <t>ref , GCA_000186745.1_ASM18674v1_genomic , GCA_000227485.1_ASM22748v1_genomic , GCA_000344745.1_ASM34474v1_genomic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GCA_000971925.1_ASM97192v1_genomic , GCA_001037985.1_ASM103798v1_genomic , GCA_001596535.1_ASM159653v1_genomic , GCA_001604995.1_ASM160499v1_genomic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</si>
  <si>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0.21558 (0.07789)</t>
  </si>
  <si>
    <t>0.17382 (0.01182)</t>
  </si>
  <si>
    <t>0.01243 (0.00057)</t>
  </si>
  <si>
    <t>0.03338 (0.00158)</t>
  </si>
  <si>
    <t>0.00651 (0.00030)</t>
  </si>
  <si>
    <t>pksR</t>
  </si>
  <si>
    <t>trans AT polyketide synthase involved innonribosomal synthesis of bacillaene</t>
  </si>
  <si>
    <t>ref , GCA_000186745.1_ASM18674v1_genomic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GCA_001697265.1_ASM169726v1_genomic , GCA_001703495.1_ASM170349v1_genomic , GCA_002055965.1_ASM205596v1_genomic , GCA_002072735.1_ASM207273v1_genomic , GCA_002142595.1_ASM214259v1_genomic</t>
  </si>
  <si>
    <t>0.26525 (0.06023)</t>
  </si>
  <si>
    <t>0.20463 (0.00828)</t>
  </si>
  <si>
    <t>0.01404 (0.00101)</t>
  </si>
  <si>
    <t>0.03342 (0.00250)</t>
  </si>
  <si>
    <t>0.00880 (0.00068)</t>
  </si>
  <si>
    <t>pksS</t>
  </si>
  <si>
    <t>cytochrome P450 of bacillaene metabolism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</si>
  <si>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</si>
  <si>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0.13808 (0.03889)</t>
  </si>
  <si>
    <t>0.11552 (0.06458)</t>
  </si>
  <si>
    <t>0.01095 (0.00035)</t>
  </si>
  <si>
    <t>0.03478 (0.00129)</t>
  </si>
  <si>
    <t>0.00475 (0.00022)</t>
  </si>
  <si>
    <t>ymzB</t>
  </si>
  <si>
    <t>conserved protein of unknown function involvedin ethanol resistance</t>
  </si>
  <si>
    <t>0.22316 (0.17647)</t>
  </si>
  <si>
    <t>0.27994 (0.14103)</t>
  </si>
  <si>
    <t>0.02170 (0.00172)</t>
  </si>
  <si>
    <t>0.00662 (0.00052)</t>
  </si>
  <si>
    <t>ymaE</t>
  </si>
  <si>
    <t>0.10029 (0.02813)</t>
  </si>
  <si>
    <t>0.14039 (0.07628)</t>
  </si>
  <si>
    <t>0.01729 (0.00048)</t>
  </si>
  <si>
    <t>0.05490 (0.00189)</t>
  </si>
  <si>
    <t>0.00730 (0.00031)</t>
  </si>
  <si>
    <t>aprX</t>
  </si>
  <si>
    <t>alkaline serine protease</t>
  </si>
  <si>
    <t>0.21574 (0.05274)</t>
  </si>
  <si>
    <t>0.09793 (0.04206)</t>
  </si>
  <si>
    <t>0.00914 (0.00025)</t>
  </si>
  <si>
    <t>0.02523 (0.00075)</t>
  </si>
  <si>
    <t>0.00455 (0.00018)</t>
  </si>
  <si>
    <t>pghC</t>
  </si>
  <si>
    <t>gamma-polyglutamate hydrolase (phage origin)</t>
  </si>
  <si>
    <t>0.01761 (0.05064)</t>
  </si>
  <si>
    <t>0.00922 (0.00046)</t>
  </si>
  <si>
    <t>0.04183 (0.00219)</t>
  </si>
  <si>
    <t>0.00031 (0.00008)</t>
  </si>
  <si>
    <t>ymaD</t>
  </si>
  <si>
    <t>putative peroxiredoxin-related protein</t>
  </si>
  <si>
    <t>0.23211 (0.15041)</t>
  </si>
  <si>
    <t>0.04140 (0.07637)</t>
  </si>
  <si>
    <t>0.00960 (0.00059)</t>
  </si>
  <si>
    <t>0.03391 (0.00246)</t>
  </si>
  <si>
    <t>0.00279 (0.00024)</t>
  </si>
  <si>
    <t>ebrB</t>
  </si>
  <si>
    <t>small toxic metabolite efflux transportersubunit</t>
  </si>
  <si>
    <t>0.26612 (0.20391)</t>
  </si>
  <si>
    <t>0.33223 (0.46984)</t>
  </si>
  <si>
    <t>0.01562 (0.00110)</t>
  </si>
  <si>
    <t>0.00518 (0.00051)</t>
  </si>
  <si>
    <t>ebrA</t>
  </si>
  <si>
    <t>0.19034 (0.11578)</t>
  </si>
  <si>
    <t>0.01061 (0.00066)</t>
  </si>
  <si>
    <t>0.03378 (0.00260)</t>
  </si>
  <si>
    <t>0.00313 (0.00037)</t>
  </si>
  <si>
    <t>ymaG</t>
  </si>
  <si>
    <t>inner spore coat protein; cell wall associatedprotein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</si>
  <si>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</si>
  <si>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0.50026 (0.03965)</t>
  </si>
  <si>
    <t>0.01160 (0.00235)</t>
  </si>
  <si>
    <t>0.02482 (0.00461)</t>
  </si>
  <si>
    <t>0.00739 (0.00193)</t>
  </si>
  <si>
    <t>ymaF</t>
  </si>
  <si>
    <t>putative sporulation-related protein of unknownfunction</t>
  </si>
  <si>
    <t>0.08381 (0.08013)</t>
  </si>
  <si>
    <t>0.00999 (0.00071)</t>
  </si>
  <si>
    <t>0.03571 (0.00240)</t>
  </si>
  <si>
    <t>0.00215 (0.00033)</t>
  </si>
  <si>
    <t>miaA</t>
  </si>
  <si>
    <t>tRNA isopentenylpyrophosphate transferase</t>
  </si>
  <si>
    <t>0.07168 (0.05606)</t>
  </si>
  <si>
    <t>0.14416 (0.07571)</t>
  </si>
  <si>
    <t>0.00809 (0.00033)</t>
  </si>
  <si>
    <t>0.02585 (0.00116)</t>
  </si>
  <si>
    <t>0.00312 (0.00015)</t>
  </si>
  <si>
    <t>hfq</t>
  </si>
  <si>
    <t>Hfq RNA chaperone</t>
  </si>
  <si>
    <t>0.01370 (0.00233)</t>
  </si>
  <si>
    <t>0.06934 (0.01232)</t>
  </si>
  <si>
    <t>ymzC</t>
  </si>
  <si>
    <t>0.81500 (0.11404)</t>
  </si>
  <si>
    <t>0.08800 (0.10704)</t>
  </si>
  <si>
    <t>0.27505 (0.38898)</t>
  </si>
  <si>
    <t>0.01468 (0.00196)</t>
  </si>
  <si>
    <t>0.05050 (0.00877)</t>
  </si>
  <si>
    <t>0.00561 (0.00076)</t>
  </si>
  <si>
    <t>ymzA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</si>
  <si>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</si>
  <si>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0.23652 (0.16725)</t>
  </si>
  <si>
    <t>0.01541 (0.00205)</t>
  </si>
  <si>
    <t>0.05732 (0.00830)</t>
  </si>
  <si>
    <t>0.00593 (0.00089)</t>
  </si>
  <si>
    <t>nrdI</t>
  </si>
  <si>
    <t>co-factor of ribonucleotide diphosphatereductase</t>
  </si>
  <si>
    <t>0.13911 (0.07173)</t>
  </si>
  <si>
    <t>0.01968 (0.00112)</t>
  </si>
  <si>
    <t>0.06651 (0.00369)</t>
  </si>
  <si>
    <t>0.00741 (0.00055)</t>
  </si>
  <si>
    <t>nrdE</t>
  </si>
  <si>
    <t>ribonucleoside-diphosphate reductase (majorsubunit)</t>
  </si>
  <si>
    <t>0.01097 (0.01063)</t>
  </si>
  <si>
    <t>0.02614 (0.02789)</t>
  </si>
  <si>
    <t>0.02155 (0.00098)</t>
  </si>
  <si>
    <t>0.10073 (0.00477)</t>
  </si>
  <si>
    <t>0.00201 (0.00012)</t>
  </si>
  <si>
    <t>nrdF</t>
  </si>
  <si>
    <t>ribonucleoside-diphosphate reductase (minorsubunit)</t>
  </si>
  <si>
    <t>0.00577 (0.02230)</t>
  </si>
  <si>
    <t>0.01197 (0.04425)</t>
  </si>
  <si>
    <t>0.02383 (0.00136)</t>
  </si>
  <si>
    <t>0.12004 (0.00700)</t>
  </si>
  <si>
    <t>0.00156 (0.00016)</t>
  </si>
  <si>
    <t>ymaB</t>
  </si>
  <si>
    <t>putative cofactor involved indeoxyribonucleotide synthesis</t>
  </si>
  <si>
    <t>0.09373 (0.10766)</t>
  </si>
  <si>
    <t>0.04180 (0.08956)</t>
  </si>
  <si>
    <t>0.01648 (0.00130)</t>
  </si>
  <si>
    <t>0.06558 (0.00493)</t>
  </si>
  <si>
    <t>0.00399 (0.00048)</t>
  </si>
  <si>
    <t>cwlC</t>
  </si>
  <si>
    <t>N-acetylmuramoyl-L-alanine amidase(sporulation-specific)</t>
  </si>
  <si>
    <t>0.31016 (0.13683)</t>
  </si>
  <si>
    <t>0.72642 (0.52312)</t>
  </si>
  <si>
    <t>0.00924 (0.00033)</t>
  </si>
  <si>
    <t>0.01723 (0.00087)</t>
  </si>
  <si>
    <t>0.00687 (0.00034)</t>
  </si>
  <si>
    <t>spoVK</t>
  </si>
  <si>
    <t>mother cell sporulation ATPase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</si>
  <si>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</si>
  <si>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0.00708 (0.02426)</t>
  </si>
  <si>
    <t>0.00924 (0.03649)</t>
  </si>
  <si>
    <t>0.01975 (0.00177)</t>
  </si>
  <si>
    <t>0.10410 (0.00966)</t>
  </si>
  <si>
    <t>0.00097 (0.00012)</t>
  </si>
  <si>
    <t>hflX</t>
  </si>
  <si>
    <t>ribosome-splitting GTPase (also ATPase, rescuingstalled ribosomes, E-site binding)</t>
  </si>
  <si>
    <t>0.10606 (0.03654)</t>
  </si>
  <si>
    <t>0.08093 (0.11951)</t>
  </si>
  <si>
    <t>0.00806 (0.00037)</t>
  </si>
  <si>
    <t>0.02661 (0.00124)</t>
  </si>
  <si>
    <t>0.00258 (0.00023)</t>
  </si>
  <si>
    <t>ynbB</t>
  </si>
  <si>
    <t>putative C-S lyase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</si>
  <si>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</si>
  <si>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0.05561 (0.02924)</t>
  </si>
  <si>
    <t>0.01593 (0.02501)</t>
  </si>
  <si>
    <t>0.02266 (0.00153)</t>
  </si>
  <si>
    <t>0.09705 (0.00733)</t>
  </si>
  <si>
    <t>0.00282 (0.00018)</t>
  </si>
  <si>
    <t>glnR</t>
  </si>
  <si>
    <t>transcriptional regulator (nitrogen metabolism)</t>
  </si>
  <si>
    <t>0.11536 (0.06790)</t>
  </si>
  <si>
    <t>0.01692 (0.03864)</t>
  </si>
  <si>
    <t>0.01751 (0.00113)</t>
  </si>
  <si>
    <t>0.07743 (0.00624)</t>
  </si>
  <si>
    <t>0.00333 (0.00026)</t>
  </si>
  <si>
    <t>glnA</t>
  </si>
  <si>
    <t>glutamine synthetase</t>
  </si>
  <si>
    <t>0.00723 (0.01396)</t>
  </si>
  <si>
    <t>0.02581 (0.02075)</t>
  </si>
  <si>
    <t>0.02438 (0.00095)</t>
  </si>
  <si>
    <t>0.11155 (0.00453)</t>
  </si>
  <si>
    <t>ynxB</t>
  </si>
  <si>
    <t>putative phage protein; defective, phage region</t>
  </si>
  <si>
    <t>0.49843 (0.43773)</t>
  </si>
  <si>
    <t>0.66644 (0.24095)</t>
  </si>
  <si>
    <t>0.02287 (0.00156)</t>
  </si>
  <si>
    <t>0.03578 (0.00308)</t>
  </si>
  <si>
    <t>0.01925 (0.00178)</t>
  </si>
  <si>
    <t>ynzF</t>
  </si>
  <si>
    <t>putative phage protein; defective phage region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</si>
  <si>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GCA_002142595.1_ASM214259v1_genomic</t>
  </si>
  <si>
    <t>0.24806 (0.17540)</t>
  </si>
  <si>
    <t>0.00780 (0.00178)</t>
  </si>
  <si>
    <t>0.01480 (0.00604)</t>
  </si>
  <si>
    <t>0.00613 (0.00112)</t>
  </si>
  <si>
    <t>ynzG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</si>
  <si>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</si>
  <si>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0.16238 (0.22537)</t>
  </si>
  <si>
    <t>0.36569 (0.15227)</t>
  </si>
  <si>
    <t>0.03519 (0.00414)</t>
  </si>
  <si>
    <t>0.08525 (0.01349)</t>
  </si>
  <si>
    <t>0.02349 (0.00219)</t>
  </si>
  <si>
    <t>ynaB</t>
  </si>
  <si>
    <t>ref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GCA_001720505.1_ASM172050v1_genomic , GCA_001808235.1_ASM180823v1_genomic , GCA_001889385.1_ASM188938v1_genomic , GCA_002055965.1_ASM205596v1_genomic</t>
  </si>
  <si>
    <t>0.10911 (0.09819)</t>
  </si>
  <si>
    <t>0.01515 (0.00435)</t>
  </si>
  <si>
    <t>0.05423 (0.01918)</t>
  </si>
  <si>
    <t>0.00590 (0.00099)</t>
  </si>
  <si>
    <t>ynaC</t>
  </si>
  <si>
    <t>conserved hypothetical protein; defective phageregion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</si>
  <si>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GCA_002142595.1_ASM214259v1_genomic</t>
  </si>
  <si>
    <t>0.42925 (0.11517)</t>
  </si>
  <si>
    <t>0.26285 (0.00000)</t>
  </si>
  <si>
    <t>0.01987 (0.00228)</t>
  </si>
  <si>
    <t>0.03979 (0.00562)</t>
  </si>
  <si>
    <t>0.01504 (0.00162)</t>
  </si>
  <si>
    <t>ynaD</t>
  </si>
  <si>
    <t>putative N-acetyltransferase; putative phageregion</t>
  </si>
  <si>
    <t>0.25841 (0.11853)</t>
  </si>
  <si>
    <t>0.07237 (0.04678)</t>
  </si>
  <si>
    <t>0.02319 (0.00100)</t>
  </si>
  <si>
    <t>0.07362 (0.00381)</t>
  </si>
  <si>
    <t>0.01166 (0.00067)</t>
  </si>
  <si>
    <t>ynaF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</si>
  <si>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GCA_001720505.1_ASM172050v1_genomic , GCA_001808235.1_ASM180823v1_genomic , GCA_002055965.1_ASM205596v1_genomic</t>
  </si>
  <si>
    <t>0.56487 (0.58883)</t>
  </si>
  <si>
    <t>0.23779 (0.00000)</t>
  </si>
  <si>
    <t>0.02583 (0.00262)</t>
  </si>
  <si>
    <t>0.05185 (0.00943)</t>
  </si>
  <si>
    <t>0.02046 (0.00272)</t>
  </si>
  <si>
    <t>ynaG</t>
  </si>
  <si>
    <t>0.51964 (0.10425)</t>
  </si>
  <si>
    <t>0.14695 (0.13140)</t>
  </si>
  <si>
    <t>0.03311 (0.00133)</t>
  </si>
  <si>
    <t>0.06674 (0.00504)</t>
  </si>
  <si>
    <t>0.02445 (0.00138)</t>
  </si>
  <si>
    <t>ynzI</t>
  </si>
  <si>
    <t>0.09867 (0.07808)</t>
  </si>
  <si>
    <t>0.03019 (0.00608)</t>
  </si>
  <si>
    <t>0.12837 (0.03785)</t>
  </si>
  <si>
    <t>0.01243 (0.00121)</t>
  </si>
  <si>
    <t>ynaI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</si>
  <si>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</si>
  <si>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0.11182 (0.12208)</t>
  </si>
  <si>
    <t>0.16561 (0.06123)</t>
  </si>
  <si>
    <t>0.02376 (0.00305)</t>
  </si>
  <si>
    <t>0.08286 (0.01398)</t>
  </si>
  <si>
    <t>0.01061 (0.00094)</t>
  </si>
  <si>
    <t>xynP</t>
  </si>
  <si>
    <t>H+-xyloside symporter</t>
  </si>
  <si>
    <t>0.09181 (0.10232)</t>
  </si>
  <si>
    <t>0.10324 (0.04872)</t>
  </si>
  <si>
    <t>0.01647 (0.00142)</t>
  </si>
  <si>
    <t>0.05583 (0.00538)</t>
  </si>
  <si>
    <t>0.00530 (0.00040)</t>
  </si>
  <si>
    <t>xynB</t>
  </si>
  <si>
    <t>xylan beta-1,4-xylosidase</t>
  </si>
  <si>
    <t>0.13541 (0.06110)</t>
  </si>
  <si>
    <t>0.08592 (0.01047)</t>
  </si>
  <si>
    <t>0.01206 (0.00049)</t>
  </si>
  <si>
    <t>0.04166 (0.00184)</t>
  </si>
  <si>
    <t>0.00420 (0.00022)</t>
  </si>
  <si>
    <t>xylR</t>
  </si>
  <si>
    <t>0.10340 (0.05725)</t>
  </si>
  <si>
    <t>0.17310 (0.03394)</t>
  </si>
  <si>
    <t>0.01546 (0.00054)</t>
  </si>
  <si>
    <t>0.04926 (0.00209)</t>
  </si>
  <si>
    <t>0.00640 (0.00025)</t>
  </si>
  <si>
    <t>xylA</t>
  </si>
  <si>
    <t>xylose isomerase</t>
  </si>
  <si>
    <t>0.11272 (0.03080)</t>
  </si>
  <si>
    <t>0.11082 (0.29160)</t>
  </si>
  <si>
    <t>0.02249 (0.00174)</t>
  </si>
  <si>
    <t>0.07765 (0.00656)</t>
  </si>
  <si>
    <t>0.00908 (0.00065)</t>
  </si>
  <si>
    <t>xylB</t>
  </si>
  <si>
    <t>xylulose kinase</t>
  </si>
  <si>
    <t>0.11481 (0.04962)</t>
  </si>
  <si>
    <t>0.14461 (0.03408)</t>
  </si>
  <si>
    <t>0.01302 (0.00050)</t>
  </si>
  <si>
    <t>0.04107 (0.00164)</t>
  </si>
  <si>
    <t>0.00525 (0.00024)</t>
  </si>
  <si>
    <t>yncB</t>
  </si>
  <si>
    <t>DNA nuclease, lipoprotein (phage origin)</t>
  </si>
  <si>
    <t>0.33432 (0.18208)</t>
  </si>
  <si>
    <t>0.75693 (0.47103)</t>
  </si>
  <si>
    <t>0.01185 (0.00058)</t>
  </si>
  <si>
    <t>0.01832 (0.00117)</t>
  </si>
  <si>
    <t>0.01017 (0.00052)</t>
  </si>
  <si>
    <t>yncC</t>
  </si>
  <si>
    <t>putative sugar transporter</t>
  </si>
  <si>
    <t>0.15169 (0.12136)</t>
  </si>
  <si>
    <t>0.20489 (0.06514)</t>
  </si>
  <si>
    <t>0.01171 (0.00061)</t>
  </si>
  <si>
    <t>0.03340 (0.00186)</t>
  </si>
  <si>
    <t>0.00509 (0.00031)</t>
  </si>
  <si>
    <t>alrB</t>
  </si>
  <si>
    <t>alanine racemase (minor activity)</t>
  </si>
  <si>
    <t>0.13461 (0.19933)</t>
  </si>
  <si>
    <t>0.09696 (0.04116)</t>
  </si>
  <si>
    <t>0.01298 (0.00081)</t>
  </si>
  <si>
    <t>0.04190 (0.00270)</t>
  </si>
  <si>
    <t>yncE</t>
  </si>
  <si>
    <t>putative prophage protein</t>
  </si>
  <si>
    <t>0.37106 (0.22524)</t>
  </si>
  <si>
    <t>0.35437 (0.14527)</t>
  </si>
  <si>
    <t>0.01346 (0.00065)</t>
  </si>
  <si>
    <t>0.02547 (0.00155)</t>
  </si>
  <si>
    <t>0.01049 (0.00066)</t>
  </si>
  <si>
    <t>dutA</t>
  </si>
  <si>
    <t>deoxyuridine 5'-triphosphate pyrophosphatase(phage origin)</t>
  </si>
  <si>
    <t>0.06660 (0.06505)</t>
  </si>
  <si>
    <t>0.01140 (0.00116)</t>
  </si>
  <si>
    <t>0.04771 (0.00535)</t>
  </si>
  <si>
    <t>0.00199 (0.00031)</t>
  </si>
  <si>
    <t>cotU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</si>
  <si>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</si>
  <si>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0.11299 (0.19814)</t>
  </si>
  <si>
    <t>0.00930 (0.00112)</t>
  </si>
  <si>
    <t>0.03427 (0.00631)</t>
  </si>
  <si>
    <t>0.00384 (0.00149)</t>
  </si>
  <si>
    <t>BSU_17679</t>
  </si>
  <si>
    <t>conserved hypothetical protein from phageoriginQFGIHKHLTIgene            1902219..1903058CDS             1902219..1903058PMID:416889,418407,9648749,10091656,10574451in the studied strain; PubMedId: 416889, 418407, 9648749,10091656, 10574451; Product type e: enzyme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</si>
  <si>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</si>
  <si>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0.92320 (0.07211)</t>
  </si>
  <si>
    <t>0.90376 (1.58277)</t>
  </si>
  <si>
    <t>0.01258 (0.00154)</t>
  </si>
  <si>
    <t>0.01380 (0.00516)</t>
  </si>
  <si>
    <t>0.01251 (0.00228)</t>
  </si>
  <si>
    <t>BSU_17689</t>
  </si>
  <si>
    <t>conserved protein of unknown functionISIYFMCNTNALIPAGYDLAIHGIVISRTVMIAFTLYLVSKLGYFLLNKKDgene            complement(1903511..1904233)CDS             complement(1903511..1904233)computational evidences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</si>
  <si>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</si>
  <si>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0.76450 (0.42858)</t>
  </si>
  <si>
    <t>0.01206 (0.00103)</t>
  </si>
  <si>
    <t>0.01221 (0.00291)</t>
  </si>
  <si>
    <t>0.01216 (0.00119)</t>
  </si>
  <si>
    <t>ynzK</t>
  </si>
  <si>
    <t>putative membrane protein of unknown function(phage origin)</t>
  </si>
  <si>
    <t>ref , GCA_000186745.1_ASM18674v1_genomic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</si>
  <si>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0.57247 (0.20354)</t>
  </si>
  <si>
    <t>0.01500 (0.00070)</t>
  </si>
  <si>
    <t>0.01553 (0.00172)</t>
  </si>
  <si>
    <t>0.01509 (0.00077)</t>
  </si>
  <si>
    <t>cotC</t>
  </si>
  <si>
    <t>spore coat protein (outer)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</si>
  <si>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</si>
  <si>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0.04894 (0.08755)</t>
  </si>
  <si>
    <t>0.01279 (0.00094)</t>
  </si>
  <si>
    <t>0.04372 (0.00326)</t>
  </si>
  <si>
    <t>0.00549 (0.00101)</t>
  </si>
  <si>
    <t>tatAC</t>
  </si>
  <si>
    <t>0.10993 (0.12073)</t>
  </si>
  <si>
    <t>0.27675 (0.00000)</t>
  </si>
  <si>
    <t>0.01561 (0.00162)</t>
  </si>
  <si>
    <t>0.04721 (0.00661)</t>
  </si>
  <si>
    <t>0.00738 (0.00094)</t>
  </si>
  <si>
    <t>flvS</t>
  </si>
  <si>
    <t>regulator of stress-related ATPase(flavonoid-sensing)</t>
  </si>
  <si>
    <t>0.19031 (0.08012)</t>
  </si>
  <si>
    <t>0.06684 (0.12704)</t>
  </si>
  <si>
    <t>0.01140 (0.00079)</t>
  </si>
  <si>
    <t>0.03846 (0.00298)</t>
  </si>
  <si>
    <t>0.00446 (0.00050)</t>
  </si>
  <si>
    <t>ynzB</t>
  </si>
  <si>
    <t>conserved protein involved in spore germination</t>
  </si>
  <si>
    <t>0.34621 (0.31850)</t>
  </si>
  <si>
    <t>0.51813 (0.74786)</t>
  </si>
  <si>
    <t>0.01709 (0.00128)</t>
  </si>
  <si>
    <t>0.03133 (0.00315)</t>
  </si>
  <si>
    <t>0.01374 (0.00140)</t>
  </si>
  <si>
    <t>yndD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</si>
  <si>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</si>
  <si>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0.14427 (0.04346)</t>
  </si>
  <si>
    <t>0.14279 (0.16431)</t>
  </si>
  <si>
    <t>0.01423 (0.00070)</t>
  </si>
  <si>
    <t>0.04419 (0.00229)</t>
  </si>
  <si>
    <t>0.00576 (0.00032)</t>
  </si>
  <si>
    <t>yndE</t>
  </si>
  <si>
    <t>putative spore germination integral innermembrane protein</t>
  </si>
  <si>
    <t>ref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</si>
  <si>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0.17606 (0.08197)</t>
  </si>
  <si>
    <t>0.15488 (0.09975)</t>
  </si>
  <si>
    <t>0.01145 (0.00069)</t>
  </si>
  <si>
    <t>0.03279 (0.00231)</t>
  </si>
  <si>
    <t>0.00510 (0.00030)</t>
  </si>
  <si>
    <t>yndF</t>
  </si>
  <si>
    <t>putative spore germination lipoprotein</t>
  </si>
  <si>
    <t>0.18623 (0.13145)</t>
  </si>
  <si>
    <t>0.15752 (0.12874)</t>
  </si>
  <si>
    <t>0.01778 (0.00102)</t>
  </si>
  <si>
    <t>0.05060 (0.00256)</t>
  </si>
  <si>
    <t>0.00917 (0.00075)</t>
  </si>
  <si>
    <t>yndG</t>
  </si>
  <si>
    <t>0.20596 (0.05361)</t>
  </si>
  <si>
    <t>0.15123 (0.09442)</t>
  </si>
  <si>
    <t>0.01836 (0.00090)</t>
  </si>
  <si>
    <t>0.05442 (0.00287)</t>
  </si>
  <si>
    <t>0.00851 (0.00043)</t>
  </si>
  <si>
    <t>yndH</t>
  </si>
  <si>
    <t>0.16487 (0.08267)</t>
  </si>
  <si>
    <t>0.17980 (0.11156)</t>
  </si>
  <si>
    <t>0.01835 (0.00085)</t>
  </si>
  <si>
    <t>0.04811 (0.00264)</t>
  </si>
  <si>
    <t>0.01050 (0.00053)</t>
  </si>
  <si>
    <t>yndJ</t>
  </si>
  <si>
    <t>0.19094 (0.16001)</t>
  </si>
  <si>
    <t>0.15169 (0.03793)</t>
  </si>
  <si>
    <t>0.01868 (0.00116)</t>
  </si>
  <si>
    <t>0.05268 (0.00341)</t>
  </si>
  <si>
    <t>0.00906 (0.00060)</t>
  </si>
  <si>
    <t>yndK</t>
  </si>
  <si>
    <t>putative phage/plasmid replication protein</t>
  </si>
  <si>
    <t>0.48774 (0.35355)</t>
  </si>
  <si>
    <t>0.02053 (0.00285)</t>
  </si>
  <si>
    <t>0.05180 (0.00783)</t>
  </si>
  <si>
    <t>0.01284 (0.00209)</t>
  </si>
  <si>
    <t>pghL</t>
  </si>
  <si>
    <t>phage gamma-polyglutamate hydrolase</t>
  </si>
  <si>
    <t>0.38078 (0.21925)</t>
  </si>
  <si>
    <t>0.14254 (0.08082)</t>
  </si>
  <si>
    <t>0.01451 (0.00059)</t>
  </si>
  <si>
    <t>0.03892 (0.00186)</t>
  </si>
  <si>
    <t>0.00787 (0.00042)</t>
  </si>
  <si>
    <t>yndM</t>
  </si>
  <si>
    <t>0.26611 (0.10540)</t>
  </si>
  <si>
    <t>0.11727 (0.09978)</t>
  </si>
  <si>
    <t>0.01253 (0.00072)</t>
  </si>
  <si>
    <t>0.03555 (0.00242)</t>
  </si>
  <si>
    <t>0.00607 (0.00050)</t>
  </si>
  <si>
    <t>fosB</t>
  </si>
  <si>
    <t>magnesium-dependent bacillithiol-transferase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</si>
  <si>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</si>
  <si>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0.13545 (0.08660)</t>
  </si>
  <si>
    <t>0.16136 (0.05237)</t>
  </si>
  <si>
    <t>0.01447 (0.00110)</t>
  </si>
  <si>
    <t>0.04306 (0.00400)</t>
  </si>
  <si>
    <t>0.00709 (0.00059)</t>
  </si>
  <si>
    <t>dinK</t>
  </si>
  <si>
    <t>cell division inhibitor</t>
  </si>
  <si>
    <t>0.08768 (0.14614)</t>
  </si>
  <si>
    <t>0.01175 (0.00113)</t>
  </si>
  <si>
    <t>0.05541 (0.00550)</t>
  </si>
  <si>
    <t>0.00090 (0.00028)</t>
  </si>
  <si>
    <t>dinL</t>
  </si>
  <si>
    <t>putative site-specific recombinase, resolvase</t>
  </si>
  <si>
    <t>0.07032 (0.04425)</t>
  </si>
  <si>
    <t>0.05144 (0.05750)</t>
  </si>
  <si>
    <t>0.01419 (0.00083)</t>
  </si>
  <si>
    <t>0.05477 (0.00349)</t>
  </si>
  <si>
    <t>0.00332 (0.00026)</t>
  </si>
  <si>
    <t>ynzC</t>
  </si>
  <si>
    <t>0.15968 (0.17202)</t>
  </si>
  <si>
    <t>0.02963 (0.00285)</t>
  </si>
  <si>
    <t>0.14078 (0.01549)</t>
  </si>
  <si>
    <t>0.00551 (0.00112)</t>
  </si>
  <si>
    <t>tktA</t>
  </si>
  <si>
    <t>transketolase</t>
  </si>
  <si>
    <t>0.05679 (0.04206)</t>
  </si>
  <si>
    <t>0.04664 (0.03658)</t>
  </si>
  <si>
    <t>0.00598 (0.00029)</t>
  </si>
  <si>
    <t>0.02200 (0.00127)</t>
  </si>
  <si>
    <t>0.00111 (0.00006)</t>
  </si>
  <si>
    <t>pcfA</t>
  </si>
  <si>
    <t>factor controlling DNA replication</t>
  </si>
  <si>
    <t>0.05773 (0.05619)</t>
  </si>
  <si>
    <t>0.10991 (0.16459)</t>
  </si>
  <si>
    <t>0.02184 (0.00226)</t>
  </si>
  <si>
    <t>0.08738 (0.00903)</t>
  </si>
  <si>
    <t>0.00742 (0.00089)</t>
  </si>
  <si>
    <t>yneF</t>
  </si>
  <si>
    <t>0.76369 (0.08285)</t>
  </si>
  <si>
    <t>0.04443 (0.04335)</t>
  </si>
  <si>
    <t>0.01808 (0.00245)</t>
  </si>
  <si>
    <t>0.08486 (0.01040)</t>
  </si>
  <si>
    <t>0.00383 (0.00096)</t>
  </si>
  <si>
    <t>spo0D</t>
  </si>
  <si>
    <t>Spo0A-P phosphatase</t>
  </si>
  <si>
    <t>0.87259 (0.06776)</t>
  </si>
  <si>
    <t>0.14098 (0.20348)</t>
  </si>
  <si>
    <t>0.28195 (0.39874)</t>
  </si>
  <si>
    <t>0.01455 (0.00176)</t>
  </si>
  <si>
    <t>0.03943 (0.00598)</t>
  </si>
  <si>
    <t>0.00785 (0.00137)</t>
  </si>
  <si>
    <t>ccdA</t>
  </si>
  <si>
    <t>cytochrome c-type biogenesis protein CcdA;thiol-disulfide oxido-reductase</t>
  </si>
  <si>
    <t>0.06084 (0.12409)</t>
  </si>
  <si>
    <t>0.03833 (0.04006)</t>
  </si>
  <si>
    <t>0.01597 (0.00191)</t>
  </si>
  <si>
    <t>0.06397 (0.00857)</t>
  </si>
  <si>
    <t>0.00281 (0.00030)</t>
  </si>
  <si>
    <t>yneI</t>
  </si>
  <si>
    <t>putative response regulator (CheY homolog)</t>
  </si>
  <si>
    <t>0.07521 (0.08765)</t>
  </si>
  <si>
    <t>0.01891 (0.00288)</t>
  </si>
  <si>
    <t>0.07608 (0.01356)</t>
  </si>
  <si>
    <t>0.00463 (0.00055)</t>
  </si>
  <si>
    <t>yneJ</t>
  </si>
  <si>
    <t>0.09330 (0.07898)</t>
  </si>
  <si>
    <t>0.04343 (0.05056)</t>
  </si>
  <si>
    <t>0.02410 (0.00147)</t>
  </si>
  <si>
    <t>0.10047 (0.00709)</t>
  </si>
  <si>
    <t>0.00530 (0.00031)</t>
  </si>
  <si>
    <t>yneK</t>
  </si>
  <si>
    <t>factor interacting with DynA</t>
  </si>
  <si>
    <t>0.12526 (0.09973)</t>
  </si>
  <si>
    <t>0.06360 (0.12087)</t>
  </si>
  <si>
    <t>0.01058 (0.00066)</t>
  </si>
  <si>
    <t>0.03912 (0.00345)</t>
  </si>
  <si>
    <t>0.00366 (0.00034)</t>
  </si>
  <si>
    <t>cotM</t>
  </si>
  <si>
    <t>0.10313 (0.08217)</t>
  </si>
  <si>
    <t>0.07164 (0.08901)</t>
  </si>
  <si>
    <t>0.02247 (0.00244)</t>
  </si>
  <si>
    <t>0.09221 (0.01269)</t>
  </si>
  <si>
    <t>sspP</t>
  </si>
  <si>
    <t>0.01273 (0.00195)</t>
  </si>
  <si>
    <t>0.07565 (0.01215)</t>
  </si>
  <si>
    <t>sspO</t>
  </si>
  <si>
    <t>0.04515 (0.04440)</t>
  </si>
  <si>
    <t>0.03262 (0.00490)</t>
  </si>
  <si>
    <t>0.16935 (0.02543)</t>
  </si>
  <si>
    <t>0.00474 (0.00110)</t>
  </si>
  <si>
    <t>citB</t>
  </si>
  <si>
    <t>aconitate hydratase (bifunctional aconitase)</t>
  </si>
  <si>
    <t>0.00431 (0.01518)</t>
  </si>
  <si>
    <t>0.03701 (0.07957)</t>
  </si>
  <si>
    <t>0.01312 (0.00089)</t>
  </si>
  <si>
    <t>0.05285 (0.00357)</t>
  </si>
  <si>
    <t>yneN</t>
  </si>
  <si>
    <t>putative membrane-bound proteins with athioredoxin-like domain</t>
  </si>
  <si>
    <t>ref , GCA_000186745.1_ASM18674v1_genomic , GCA_000209795.2_ASM20979v2_genomic , GCA_000227485.1_ASM22748v1_genomic , GCA_000293765.1_ASM29376v1_genomic , GCA_000321395.1_ASM32139v1_genomic , GCA_000338735.1_ASM33873v1_genomic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</si>
  <si>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0.09156 (0.06892)</t>
  </si>
  <si>
    <t>0.03946 (0.09378)</t>
  </si>
  <si>
    <t>0.01127 (0.00060)</t>
  </si>
  <si>
    <t>0.04148 (0.00235)</t>
  </si>
  <si>
    <t>0.00325 (0.00034)</t>
  </si>
  <si>
    <t>ynzL</t>
  </si>
  <si>
    <t>0.01463 (0.00192)</t>
  </si>
  <si>
    <t>0.08907 (0.01242)</t>
  </si>
  <si>
    <t>sspN</t>
  </si>
  <si>
    <t>0.08229 (0.13715)</t>
  </si>
  <si>
    <t>0.02703 (0.00209)</t>
  </si>
  <si>
    <t>0.12858 (0.01151)</t>
  </si>
  <si>
    <t>0.00468 (0.00063)</t>
  </si>
  <si>
    <t>sspT</t>
  </si>
  <si>
    <t>small acid-soluble spore protein(thioredoxin-like protein)</t>
  </si>
  <si>
    <t>0.06100 (0.04203)</t>
  </si>
  <si>
    <t>0.02295 (0.00342)</t>
  </si>
  <si>
    <t>0.11274 (0.01810)</t>
  </si>
  <si>
    <t>0.00499 (0.00087)</t>
  </si>
  <si>
    <t>yneP</t>
  </si>
  <si>
    <t>acyl-CoA thioesterase</t>
  </si>
  <si>
    <t>0.04778 (0.08791)</t>
  </si>
  <si>
    <t>0.28584 (0.15389)</t>
  </si>
  <si>
    <t>0.01354 (0.00087)</t>
  </si>
  <si>
    <t>0.03765 (0.00267)</t>
  </si>
  <si>
    <t>0.00694 (0.00050)</t>
  </si>
  <si>
    <t>yneQ</t>
  </si>
  <si>
    <t>0.09335 (0.03288)</t>
  </si>
  <si>
    <t>0.08655 (0.08784)</t>
  </si>
  <si>
    <t>0.02413 (0.00143)</t>
  </si>
  <si>
    <t>0.09021 (0.00622)</t>
  </si>
  <si>
    <t>0.00812 (0.00063)</t>
  </si>
  <si>
    <t>yneR</t>
  </si>
  <si>
    <t>0.06360 (0.15187)</t>
  </si>
  <si>
    <t>0.01042 (0.00056)</t>
  </si>
  <si>
    <t>0.04690 (0.00256)</t>
  </si>
  <si>
    <t>0.00148 (0.00038)</t>
  </si>
  <si>
    <t>plsY</t>
  </si>
  <si>
    <t>acylphosphate:glycerol-3-phosphateO-acyltransferase</t>
  </si>
  <si>
    <t>0.01561 (0.04946)</t>
  </si>
  <si>
    <t>0.04526 (0.09643)</t>
  </si>
  <si>
    <t>0.02021 (0.00217)</t>
  </si>
  <si>
    <t>0.07894 (0.00840)</t>
  </si>
  <si>
    <t>0.00304 (0.00043)</t>
  </si>
  <si>
    <t>yneT</t>
  </si>
  <si>
    <t>putative acyl-CoA-binding protein</t>
  </si>
  <si>
    <t>0.07364 (0.05786)</t>
  </si>
  <si>
    <t>0.01032 (0.00091)</t>
  </si>
  <si>
    <t>0.04086 (0.00364)</t>
  </si>
  <si>
    <t>0.00161 (0.00034)</t>
  </si>
  <si>
    <t>parE</t>
  </si>
  <si>
    <t>subunit B of DNA topoisomerase IV(ATP-dependent)</t>
  </si>
  <si>
    <t>0.01653 (0.03558)</t>
  </si>
  <si>
    <t>0.00930 (0.02880)</t>
  </si>
  <si>
    <t>0.01597 (0.00141)</t>
  </si>
  <si>
    <t>0.07391 (0.00703)</t>
  </si>
  <si>
    <t>0.00083 (0.00007)</t>
  </si>
  <si>
    <t>parC</t>
  </si>
  <si>
    <t>subunit A of DNA topoisomerase IV(ATP-dependent)</t>
  </si>
  <si>
    <t>0.02848 (0.00937)</t>
  </si>
  <si>
    <t>0.01526 (0.01951)</t>
  </si>
  <si>
    <t>0.00948 (0.00032)</t>
  </si>
  <si>
    <t>0.03985 (0.00141)</t>
  </si>
  <si>
    <t>0.00095 (0.00006)</t>
  </si>
  <si>
    <t>alsT</t>
  </si>
  <si>
    <t>H+/Na+:nitrogen-donor aminoacid symporter</t>
  </si>
  <si>
    <t>0.02395 (0.03970)</t>
  </si>
  <si>
    <t>0.02347 (0.01779)</t>
  </si>
  <si>
    <t>0.01685 (0.00113)</t>
  </si>
  <si>
    <t>0.07035 (0.00506)</t>
  </si>
  <si>
    <t>0.00141 (0.00012)</t>
  </si>
  <si>
    <t>eglS</t>
  </si>
  <si>
    <t>endo-1,4-beta-glucanase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</si>
  <si>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</si>
  <si>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0.20994 (0.09652)</t>
  </si>
  <si>
    <t>0.09076 (0.03322)</t>
  </si>
  <si>
    <t>0.01596 (0.00069)</t>
  </si>
  <si>
    <t>0.05267 (0.00263)</t>
  </si>
  <si>
    <t>0.00614 (0.00034)</t>
  </si>
  <si>
    <t>ynfE</t>
  </si>
  <si>
    <t>0.09761 (0.06497)</t>
  </si>
  <si>
    <t>0.03761 (0.08218)</t>
  </si>
  <si>
    <t>0.02424 (0.00135)</t>
  </si>
  <si>
    <t>0.09603 (0.00567)</t>
  </si>
  <si>
    <t>0.00695 (0.00089)</t>
  </si>
  <si>
    <t>xynC</t>
  </si>
  <si>
    <t>secreted endo-xylanase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</si>
  <si>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</t>
  </si>
  <si>
    <t>0.08897 (0.06533)</t>
  </si>
  <si>
    <t>0.02667 (0.03028)</t>
  </si>
  <si>
    <t>0.02364 (0.00131)</t>
  </si>
  <si>
    <t>0.09352 (0.00514)</t>
  </si>
  <si>
    <t>0.00544 (0.00047)</t>
  </si>
  <si>
    <t>xynD</t>
  </si>
  <si>
    <t>arabinoxylan arabinofuranohydrolase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</si>
  <si>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GCA_001889625.1_ASM188962v1_genomic , GCA_002055965.1_ASM205596v1_genomic , GCA_002072735.1_ASM207273v1_genomic , GCA_002142595.1_ASM214259v1_genomic</t>
  </si>
  <si>
    <t>0.13101 (0.06130)</t>
  </si>
  <si>
    <t>0.14357 (0.06459)</t>
  </si>
  <si>
    <t>0.02804 (0.00131)</t>
  </si>
  <si>
    <t>0.08661 (0.00460)</t>
  </si>
  <si>
    <t>0.01145 (0.00052)</t>
  </si>
  <si>
    <t>yngA</t>
  </si>
  <si>
    <t>putative conserved membrane protein possiblyinvolved in arabinogalactan metabolism</t>
  </si>
  <si>
    <t>0.29376 (0.10227)</t>
  </si>
  <si>
    <t>0.16854 (0.14915)</t>
  </si>
  <si>
    <t>0.01797 (0.00085)</t>
  </si>
  <si>
    <t>0.04654 (0.00338)</t>
  </si>
  <si>
    <t>0.01012 (0.00059)</t>
  </si>
  <si>
    <t>yngB</t>
  </si>
  <si>
    <t>putative UTP-glucose-1-phosphateuridylyltransferase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</si>
  <si>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</si>
  <si>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0.16970 (0.15886)</t>
  </si>
  <si>
    <t>0.07407 (0.12147)</t>
  </si>
  <si>
    <t>0.02350 (0.00164)</t>
  </si>
  <si>
    <t>0.07841 (0.00568)</t>
  </si>
  <si>
    <t>0.00871 (0.00065)</t>
  </si>
  <si>
    <t>yngC</t>
  </si>
  <si>
    <t>putative integral inner membrane protein,phosphatase or phosphate isomerase</t>
  </si>
  <si>
    <t>0.02048 (0.04157)</t>
  </si>
  <si>
    <t>0.01076 (0.00120)</t>
  </si>
  <si>
    <t>0.04442 (0.00554)</t>
  </si>
  <si>
    <t>0.00074 (0.00014)</t>
  </si>
  <si>
    <t>nrnB</t>
  </si>
  <si>
    <t>oligoribonuclease (nanoRNase)</t>
  </si>
  <si>
    <t>0.08271 (0.03428)</t>
  </si>
  <si>
    <t>0.09661 (0.11024)</t>
  </si>
  <si>
    <t>0.01019 (0.00045)</t>
  </si>
  <si>
    <t>0.03576 (0.00168)</t>
  </si>
  <si>
    <t>0.00342 (0.00018)</t>
  </si>
  <si>
    <t>ldeE</t>
  </si>
  <si>
    <t>methylcrotonoyl-CoA carboxylase subunit (leucinedegradation)</t>
  </si>
  <si>
    <t>0.11161 (0.02562)</t>
  </si>
  <si>
    <t>0.07197 (0.05030)</t>
  </si>
  <si>
    <t>0.01113 (0.00031)</t>
  </si>
  <si>
    <t>0.03688 (0.00115)</t>
  </si>
  <si>
    <t>0.00361 (0.00016)</t>
  </si>
  <si>
    <t>ldeF</t>
  </si>
  <si>
    <t>methylglutaconyl-CoA hydratase (leucinedegradation)</t>
  </si>
  <si>
    <t>0.20491 (0.37150)</t>
  </si>
  <si>
    <t>0.17602 (0.14478)</t>
  </si>
  <si>
    <t>0.01688 (0.00138)</t>
  </si>
  <si>
    <t>0.04488 (0.00530)</t>
  </si>
  <si>
    <t>0.00858 (0.00044)</t>
  </si>
  <si>
    <t>ldeG</t>
  </si>
  <si>
    <t>hydroxymethylglutaryl-CoA lyase (leucinedegradation)</t>
  </si>
  <si>
    <t>0.09986 (0.04415)</t>
  </si>
  <si>
    <t>0.12672 (0.03585)</t>
  </si>
  <si>
    <t>0.01334 (0.00046)</t>
  </si>
  <si>
    <t>0.03953 (0.00164)</t>
  </si>
  <si>
    <t>0.00552 (0.00028)</t>
  </si>
  <si>
    <t>lgeHB</t>
  </si>
  <si>
    <t>methylcrotonyl-CoA carboxylase; biotinylatedsubunit (leucine degradation)</t>
  </si>
  <si>
    <t>1.02300 (1.94438)</t>
  </si>
  <si>
    <t>0.00913 (0.00075)</t>
  </si>
  <si>
    <t>0.00645 (0.00222)</t>
  </si>
  <si>
    <t>0.00993 (0.00085)</t>
  </si>
  <si>
    <t>ldeHA</t>
  </si>
  <si>
    <t>biotin carboxylase for subunit LdeHB ofmethylcrotonyl-CoA carboxylase</t>
  </si>
  <si>
    <t>0.18834 (0.08875)</t>
  </si>
  <si>
    <t>0.10480 (0.07190)</t>
  </si>
  <si>
    <t>0.01072 (0.00038)</t>
  </si>
  <si>
    <t>0.03438 (0.00151)</t>
  </si>
  <si>
    <t>0.00387 (0.00020)</t>
  </si>
  <si>
    <t>ldeI</t>
  </si>
  <si>
    <t>acetoacetyl-CoA synthetase</t>
  </si>
  <si>
    <t>0.12075 (0.05900)</t>
  </si>
  <si>
    <t>0.11897 (0.07276)</t>
  </si>
  <si>
    <t>0.01709 (0.00066)</t>
  </si>
  <si>
    <t>0.05447 (0.00219)</t>
  </si>
  <si>
    <t>0.00642 (0.00031)</t>
  </si>
  <si>
    <t>ldeJ</t>
  </si>
  <si>
    <t>isovaleryl-CoA dehydrogenase (leucinedegradation)</t>
  </si>
  <si>
    <t>0.09251 (0.04489)</t>
  </si>
  <si>
    <t>0.12051 (0.07210)</t>
  </si>
  <si>
    <t>0.01365 (0.00061)</t>
  </si>
  <si>
    <t>0.04587 (0.00246)</t>
  </si>
  <si>
    <t>0.00402 (0.00025)</t>
  </si>
  <si>
    <t>ynzE</t>
  </si>
  <si>
    <t>0.36136 (0.22668)</t>
  </si>
  <si>
    <t>1.51847 (2.36970)</t>
  </si>
  <si>
    <t>0.02774 (0.00210)</t>
  </si>
  <si>
    <t>0.04467 (0.00449)</t>
  </si>
  <si>
    <t>0.02349 (0.00171)</t>
  </si>
  <si>
    <t>yngL</t>
  </si>
  <si>
    <t>0.06652 (0.04169)</t>
  </si>
  <si>
    <t>0.12528 (0.06906)</t>
  </si>
  <si>
    <t>0.01652 (0.00098)</t>
  </si>
  <si>
    <t>0.06111 (0.00382)</t>
  </si>
  <si>
    <t>0.00421 (0.00043)</t>
  </si>
  <si>
    <t>ppsE</t>
  </si>
  <si>
    <t>nonribosomal plipastatin synthetase E</t>
  </si>
  <si>
    <t>0.17099 (0.06450)</t>
  </si>
  <si>
    <t>0.12640 (0.01872)</t>
  </si>
  <si>
    <t>0.01939 (0.00058)</t>
  </si>
  <si>
    <t>0.05836 (0.00174)</t>
  </si>
  <si>
    <t>0.00887 (0.00030)</t>
  </si>
  <si>
    <t>ppsD</t>
  </si>
  <si>
    <t>nonribosomal plipastatin synthetase D involvedin synthesis of plipastatin</t>
  </si>
  <si>
    <t>ref , GCA_000227485.1_ASM22748v1_genomic , GCA_000293765.1_ASM29376v1_genomic , GCA_000344745.1_ASM34474v1_genomic , GCA_000349795.1_ASM34979v1_genomic , GCA_000523045.1_ASM52304v1_genomic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GCA_002055965.1_ASM205596v1_genomic , GCA_002072735.1_ASM207273v1_genomic</t>
  </si>
  <si>
    <t>0.21149 (0.11202)</t>
  </si>
  <si>
    <t>0.17257 (0.03998)</t>
  </si>
  <si>
    <t>0.02089 (0.00094)</t>
  </si>
  <si>
    <t>0.05758 (0.00270)</t>
  </si>
  <si>
    <t>0.01070 (0.00048)</t>
  </si>
  <si>
    <t>ppsC</t>
  </si>
  <si>
    <t>non-ribosomal plipastatin synthetase C involvedin synthesis of plipastatin</t>
  </si>
  <si>
    <t>ref , GCA_000186745.1_ASM18674v1_genomic , GCA_000227485.1_ASM22748v1_genomic , GCA_000293765.1_ASM29376v1_genomic , GCA_000321395.1_ASM32139v1_genomic , GCA_000338735.1_ASM33873v1_genomic , GCA_000344745.1_ASM34474v1_genomic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GCA_001703495.1_ASM170349v1_genomic , GCA_001704095.1_ASM170409v1_genomic , GCA_001720505.1_ASM172050v1_genomic , GCA_001808235.1_ASM180823v1_genomic , GCA_002055965.1_ASM205596v1_genomic , GCA_002072735.1_ASM207273v1_genomic</t>
  </si>
  <si>
    <t>0.17260 (0.09978)</t>
  </si>
  <si>
    <t>0.18067 (0.05967)</t>
  </si>
  <si>
    <t>0.02650 (0.00086)</t>
  </si>
  <si>
    <t>0.07490 (0.00243)</t>
  </si>
  <si>
    <t>0.01314 (0.00044)</t>
  </si>
  <si>
    <t>ppsB</t>
  </si>
  <si>
    <t>nonribosomal plipastatin synthetase B involvedin synthesis of plipastatin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</si>
  <si>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</si>
  <si>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0.25156 (0.12056)</t>
  </si>
  <si>
    <t>0.20358 (0.05870)</t>
  </si>
  <si>
    <t>0.02015 (0.00073)</t>
  </si>
  <si>
    <t>0.05237 (0.00207)</t>
  </si>
  <si>
    <t>0.01134 (0.00039)</t>
  </si>
  <si>
    <t>ppsA</t>
  </si>
  <si>
    <t>non-ribosomal plipastatin synthetase A involvedin synthesis of plipastatin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</si>
  <si>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</si>
  <si>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0.22474 (0.08641)</t>
  </si>
  <si>
    <t>0.22652 (0.04120)</t>
  </si>
  <si>
    <t>0.01788 (0.00055)</t>
  </si>
  <si>
    <t>0.04658 (0.00146)</t>
  </si>
  <si>
    <t>0.00971 (0.00031)</t>
  </si>
  <si>
    <t>dacC</t>
  </si>
  <si>
    <t>D-alanyl-D-alanine carboxypeptidase</t>
  </si>
  <si>
    <t>0.26123 (0.10298)</t>
  </si>
  <si>
    <t>0.31116 (0.18246)</t>
  </si>
  <si>
    <t>0.00943 (0.00036)</t>
  </si>
  <si>
    <t>0.02285 (0.00105)</t>
  </si>
  <si>
    <t>0.00538 (0.00020)</t>
  </si>
  <si>
    <t>galM</t>
  </si>
  <si>
    <t>aldose 1-epimerase</t>
  </si>
  <si>
    <t>0.15279 (0.10601)</t>
  </si>
  <si>
    <t>0.24243 (0.10800)</t>
  </si>
  <si>
    <t>0.01986 (0.00097)</t>
  </si>
  <si>
    <t>0.05455 (0.00312)</t>
  </si>
  <si>
    <t>0.01079 (0.00052)</t>
  </si>
  <si>
    <t>yoeA</t>
  </si>
  <si>
    <t>putative Na+-driven efflux transporter</t>
  </si>
  <si>
    <t>0.04289 (0.03319)</t>
  </si>
  <si>
    <t>0.00947 (0.00027)</t>
  </si>
  <si>
    <t>0.03640 (0.00107)</t>
  </si>
  <si>
    <t>0.00071 (0.00008)</t>
  </si>
  <si>
    <t>iseA</t>
  </si>
  <si>
    <t>inhibitor of DL-endopeptidases involved incell-separation</t>
  </si>
  <si>
    <t>0.12915 (0.11197)</t>
  </si>
  <si>
    <t>0.14535 (0.14835)</t>
  </si>
  <si>
    <t>0.00789 (0.00042)</t>
  </si>
  <si>
    <t>0.02234 (0.00110)</t>
  </si>
  <si>
    <t>0.00380 (0.00031)</t>
  </si>
  <si>
    <t>yoeC</t>
  </si>
  <si>
    <t>putative bacteriophage integrase</t>
  </si>
  <si>
    <t>0.03847 (0.05003)</t>
  </si>
  <si>
    <t>0.00779 (0.00035)</t>
  </si>
  <si>
    <t>0.03265 (0.00163)</t>
  </si>
  <si>
    <t>0.00079 (0.00014)</t>
  </si>
  <si>
    <t>yoeD</t>
  </si>
  <si>
    <t>putative excisionase</t>
  </si>
  <si>
    <t>0.28103 (0.13448)</t>
  </si>
  <si>
    <t>0.11505 (0.12478)</t>
  </si>
  <si>
    <t>0.03108 (0.00169)</t>
  </si>
  <si>
    <t>0.09825 (0.00512)</t>
  </si>
  <si>
    <t>0.01605 (0.00133)</t>
  </si>
  <si>
    <t>ggt</t>
  </si>
  <si>
    <t>membrane bound gamma-glutamyltranspeptidase</t>
  </si>
  <si>
    <t>0.07353 (0.02525)</t>
  </si>
  <si>
    <t>0.02927 (0.03463)</t>
  </si>
  <si>
    <t>0.01377 (0.00063)</t>
  </si>
  <si>
    <t>0.05299 (0.00261)</t>
  </si>
  <si>
    <t>0.00257 (0.00014)</t>
  </si>
  <si>
    <t>ftsR</t>
  </si>
  <si>
    <t>transcriptional regulator (LysR family)</t>
  </si>
  <si>
    <t>0.15213 (0.15868)</t>
  </si>
  <si>
    <t>0.12399 (0.05369)</t>
  </si>
  <si>
    <t>0.01601 (0.00079)</t>
  </si>
  <si>
    <t>0.04765 (0.00248)</t>
  </si>
  <si>
    <t>0.00723 (0.00046)</t>
  </si>
  <si>
    <t>yogA</t>
  </si>
  <si>
    <t>0.14187 (0.09504)</t>
  </si>
  <si>
    <t>0.20955 (0.09381)</t>
  </si>
  <si>
    <t>0.01460 (0.00090)</t>
  </si>
  <si>
    <t>0.04094 (0.00249)</t>
  </si>
  <si>
    <t>0.00706 (0.00054)</t>
  </si>
  <si>
    <t>gltB</t>
  </si>
  <si>
    <t>glutamate synthase (small subunit,NADP-dependent)</t>
  </si>
  <si>
    <t>0.01907 (0.01384)</t>
  </si>
  <si>
    <t>0.00680 (0.02092)</t>
  </si>
  <si>
    <t>0.01311 (0.00041)</t>
  </si>
  <si>
    <t>0.05652 (0.00172)</t>
  </si>
  <si>
    <t>gltA</t>
  </si>
  <si>
    <t>glutamate synthase (large subunit,NADP-dependent)</t>
  </si>
  <si>
    <t>0.08587 (0.02954)</t>
  </si>
  <si>
    <t>0.04946 (0.01646)</t>
  </si>
  <si>
    <t>0.07613 (0.02427)</t>
  </si>
  <si>
    <t>0.01088 (0.00030)</t>
  </si>
  <si>
    <t>0.03995 (0.00124)</t>
  </si>
  <si>
    <t>0.00269 (0.00007)</t>
  </si>
  <si>
    <t>gltC</t>
  </si>
  <si>
    <t>transcriptional regulator (LysR family)(GltC-glutamate)</t>
  </si>
  <si>
    <t>0.01627 (0.05471)</t>
  </si>
  <si>
    <t>0.02032 (0.07832)</t>
  </si>
  <si>
    <t>0.01536 (0.00148)</t>
  </si>
  <si>
    <t>0.06941 (0.00673)</t>
  </si>
  <si>
    <t>0.00130 (0.00021)</t>
  </si>
  <si>
    <t>proJ</t>
  </si>
  <si>
    <t>0.09645 (0.03554)</t>
  </si>
  <si>
    <t>0.06816 (0.05479)</t>
  </si>
  <si>
    <t>0.01304 (0.00083)</t>
  </si>
  <si>
    <t>0.04451 (0.00313)</t>
  </si>
  <si>
    <t>0.00401 (0.00030)</t>
  </si>
  <si>
    <t>proH</t>
  </si>
  <si>
    <t>pyrroline-5-carboxylate reductase</t>
  </si>
  <si>
    <t>ref , GCA_000146565.1_ASM14656v1_genomic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GCA_001889625.1_ASM188962v1_genomic , GCA_002055965.1_ASM205596v1_genomic , GCA_002072735.1_ASM207273v1_genomic , GCA_002142595.1_ASM214259v1_genomic</t>
  </si>
  <si>
    <t>0.10535 (0.06709)</t>
  </si>
  <si>
    <t>0.09428 (0.31857)</t>
  </si>
  <si>
    <t>0.01652 (0.00159)</t>
  </si>
  <si>
    <t>0.05956 (0.00580)</t>
  </si>
  <si>
    <t>0.00505 (0.00055)</t>
  </si>
  <si>
    <t>rtp</t>
  </si>
  <si>
    <t>replication terminator protein</t>
  </si>
  <si>
    <t>0.00742 (0.00063)</t>
  </si>
  <si>
    <t>0.03529 (0.00306)</t>
  </si>
  <si>
    <t>yoxD</t>
  </si>
  <si>
    <t>putative oxido-reductase</t>
  </si>
  <si>
    <t>0.02222 (0.02317)</t>
  </si>
  <si>
    <t>0.02877 (0.03627)</t>
  </si>
  <si>
    <t>0.02909 (0.00158)</t>
  </si>
  <si>
    <t>0.12368 (0.00703)</t>
  </si>
  <si>
    <t>0.00393 (0.00029)</t>
  </si>
  <si>
    <t>yoxC</t>
  </si>
  <si>
    <t>transition-dependent and sulfur-relatedmetabolism protein</t>
  </si>
  <si>
    <t>ref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</si>
  <si>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0.22614 (0.14842)</t>
  </si>
  <si>
    <t>0.26488 (0.20781)</t>
  </si>
  <si>
    <t>0.03178 (0.00340)</t>
  </si>
  <si>
    <t>0.07681 (0.01066)</t>
  </si>
  <si>
    <t>0.02103 (0.00220)</t>
  </si>
  <si>
    <t>yoxB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</si>
  <si>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GCA_002142595.1_ASM214259v1_genomic</t>
  </si>
  <si>
    <t>0.23947 (0.04371)</t>
  </si>
  <si>
    <t>0.26165 (0.35759)</t>
  </si>
  <si>
    <t>0.03047 (0.00484)</t>
  </si>
  <si>
    <t>0.07259 (0.01026)</t>
  </si>
  <si>
    <t>0.01947 (0.00360)</t>
  </si>
  <si>
    <t>yoaA</t>
  </si>
  <si>
    <t>0.17609 (0.07715)</t>
  </si>
  <si>
    <t>0.11495 (0.06506)</t>
  </si>
  <si>
    <t>0.02491 (0.00087)</t>
  </si>
  <si>
    <t>0.07072 (0.00286)</t>
  </si>
  <si>
    <t>0.01198 (0.00070)</t>
  </si>
  <si>
    <t>yoaB</t>
  </si>
  <si>
    <t>negatively charged metabolite transporter</t>
  </si>
  <si>
    <t>0.11302 (0.05112)</t>
  </si>
  <si>
    <t>0.06457 (0.08178)</t>
  </si>
  <si>
    <t>0.01421 (0.00057)</t>
  </si>
  <si>
    <t>0.04708 (0.00214)</t>
  </si>
  <si>
    <t>0.00441 (0.00018)</t>
  </si>
  <si>
    <t>yoaC</t>
  </si>
  <si>
    <t>hydroxylated metabolite kinase</t>
  </si>
  <si>
    <t>0.23352 (0.11076)</t>
  </si>
  <si>
    <t>0.12268 (0.04476)</t>
  </si>
  <si>
    <t>0.01809 (0.00088)</t>
  </si>
  <si>
    <t>0.05003 (0.00279)</t>
  </si>
  <si>
    <t>0.00897 (0.00041)</t>
  </si>
  <si>
    <t>yoaD</t>
  </si>
  <si>
    <t>putative 2-hydroxyacid dehydrogenase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</si>
  <si>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</si>
  <si>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0.31101 (0.24662)</t>
  </si>
  <si>
    <t>0.11745 (0.07806)</t>
  </si>
  <si>
    <t>0.02211 (0.00176)</t>
  </si>
  <si>
    <t>0.06067 (0.00616)</t>
  </si>
  <si>
    <t>0.01161 (0.00071)</t>
  </si>
  <si>
    <t>yoaE</t>
  </si>
  <si>
    <t>molybdopterin cofactor oxido-reductase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</si>
  <si>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</si>
  <si>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0.12320 (0.07759)</t>
  </si>
  <si>
    <t>0.09152 (0.04587)</t>
  </si>
  <si>
    <t>0.01770 (0.00089)</t>
  </si>
  <si>
    <t>0.05774 (0.00341)</t>
  </si>
  <si>
    <t>0.00676 (0.00028)</t>
  </si>
  <si>
    <t>yoaF</t>
  </si>
  <si>
    <t>0.23069 (0.18319)</t>
  </si>
  <si>
    <t>0.22198 (0.09241)</t>
  </si>
  <si>
    <t>0.02836 (0.00171)</t>
  </si>
  <si>
    <t>0.07573 (0.00508)</t>
  </si>
  <si>
    <t>0.01729 (0.00143)</t>
  </si>
  <si>
    <t>yoaG</t>
  </si>
  <si>
    <t>putative phage-related membrane protein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</si>
  <si>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</si>
  <si>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0.14568 (0.27463)</t>
  </si>
  <si>
    <t>0.24172 (0.20874)</t>
  </si>
  <si>
    <t>0.01751 (0.00209)</t>
  </si>
  <si>
    <t>0.04740 (0.00605)</t>
  </si>
  <si>
    <t>0.00868 (0.00179)</t>
  </si>
  <si>
    <t>yozQ</t>
  </si>
  <si>
    <t>putative sporulation protein</t>
  </si>
  <si>
    <t>0.04910 (0.09675)</t>
  </si>
  <si>
    <t>0.08025 (0.06624)</t>
  </si>
  <si>
    <t>0.01780 (0.00113)</t>
  </si>
  <si>
    <t>0.07374 (0.00595)</t>
  </si>
  <si>
    <t>0.00507 (0.00049)</t>
  </si>
  <si>
    <t>yoaH</t>
  </si>
  <si>
    <t>putative methyl-accepting chemotaxis 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</si>
  <si>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</si>
  <si>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0.11606 (0.04693)</t>
  </si>
  <si>
    <t>0.07745 (0.01597)</t>
  </si>
  <si>
    <t>0.02675 (0.00132)</t>
  </si>
  <si>
    <t>0.09618 (0.00532)</t>
  </si>
  <si>
    <t>0.00888 (0.00042)</t>
  </si>
  <si>
    <t>yoaI</t>
  </si>
  <si>
    <t>putative 4-hydroxyphenylacetate-3-hydroxylase</t>
  </si>
  <si>
    <t>0.12343 (0.07033)</t>
  </si>
  <si>
    <t>0.07096 (0.07449)</t>
  </si>
  <si>
    <t>0.01070 (0.00054)</t>
  </si>
  <si>
    <t>0.03619 (0.00204)</t>
  </si>
  <si>
    <t>0.00408 (0.00033)</t>
  </si>
  <si>
    <t>exlX</t>
  </si>
  <si>
    <t>extracellular endoglucanase precursor(expansin)</t>
  </si>
  <si>
    <t>0.20239 (0.06576)</t>
  </si>
  <si>
    <t>0.12201 (0.08185)</t>
  </si>
  <si>
    <t>0.00994 (0.00050)</t>
  </si>
  <si>
    <t>0.03097 (0.00168)</t>
  </si>
  <si>
    <t>0.00375 (0.00038)</t>
  </si>
  <si>
    <t>yoaK</t>
  </si>
  <si>
    <t>0.17979 (0.10295)</t>
  </si>
  <si>
    <t>0.02998 (0.06295)</t>
  </si>
  <si>
    <t>0.01199 (0.00068)</t>
  </si>
  <si>
    <t>0.03928 (0.00248)</t>
  </si>
  <si>
    <t>0.00331 (0.00032)</t>
  </si>
  <si>
    <t>pelB</t>
  </si>
  <si>
    <t>endo-pectin lyase</t>
  </si>
  <si>
    <t>0.15233 (0.06657)</t>
  </si>
  <si>
    <t>0.15189 (0.16252)</t>
  </si>
  <si>
    <t>0.00810 (0.00049)</t>
  </si>
  <si>
    <t>0.02392 (0.00166)</t>
  </si>
  <si>
    <t>yoaM</t>
  </si>
  <si>
    <t>putative SOS response associated protein;defective prophage 6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</si>
  <si>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</si>
  <si>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0.11937 (0.19070)</t>
  </si>
  <si>
    <t>0.41233 (0.27489)</t>
  </si>
  <si>
    <t>0.01234 (0.00169)</t>
  </si>
  <si>
    <t>0.03719 (0.00613)</t>
  </si>
  <si>
    <t>0.00613 (0.00069)</t>
  </si>
  <si>
    <t>yozS</t>
  </si>
  <si>
    <t>putative permease, phage-related; defectiveprophage 6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</si>
  <si>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</si>
  <si>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0.36084 (0.29424)</t>
  </si>
  <si>
    <t>0.01476 (0.00118)</t>
  </si>
  <si>
    <t>0.04315 (0.00389)</t>
  </si>
  <si>
    <t>0.00657 (0.00072)</t>
  </si>
  <si>
    <t>oxdD</t>
  </si>
  <si>
    <t>oxalate decarboxylase (Mn2+-dependent); sporeconstituent</t>
  </si>
  <si>
    <t>0.07872 (0.04385)</t>
  </si>
  <si>
    <t>0.07410 (0.01519)</t>
  </si>
  <si>
    <t>0.02115 (0.00135)</t>
  </si>
  <si>
    <t>0.07731 (0.00563)</t>
  </si>
  <si>
    <t>yoaO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</si>
  <si>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 , GCA_002142595.1_ASM214259v1_genomic</t>
  </si>
  <si>
    <t>0.55962 (0.38889)</t>
  </si>
  <si>
    <t>0.22106 (0.10376)</t>
  </si>
  <si>
    <t>0.02312 (0.00185)</t>
  </si>
  <si>
    <t>0.05741 (0.00593)</t>
  </si>
  <si>
    <t>0.01520 (0.00125)</t>
  </si>
  <si>
    <t>BSU_18689</t>
  </si>
  <si>
    <t>hypothetical proteinILIVFSYgene            complement(2039610..2040365)CDS             complement(2039610..2040365)organisms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</si>
  <si>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</si>
  <si>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0.01307 (0.00207)</t>
  </si>
  <si>
    <t>0.01669 (0.00267)</t>
  </si>
  <si>
    <t>yoaQ</t>
  </si>
  <si>
    <t>ref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</si>
  <si>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0.54988 (0.55995)</t>
  </si>
  <si>
    <t>0.24287 (0.00000)</t>
  </si>
  <si>
    <t>0.01808 (0.00320)</t>
  </si>
  <si>
    <t>0.03256 (0.00552)</t>
  </si>
  <si>
    <t>0.01503 (0.00363)</t>
  </si>
  <si>
    <t>yozF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</si>
  <si>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</si>
  <si>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0.30022 (0.38162)</t>
  </si>
  <si>
    <t>0.27137 (0.18552)</t>
  </si>
  <si>
    <t>0.02163 (0.00147)</t>
  </si>
  <si>
    <t>0.05152 (0.00510)</t>
  </si>
  <si>
    <t>0.01430 (0.00077)</t>
  </si>
  <si>
    <t>yoaR</t>
  </si>
  <si>
    <t>putative factor for cell wall maintenance orsynthesis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</si>
  <si>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</si>
  <si>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0.22063 (0.17857)</t>
  </si>
  <si>
    <t>0.05000 (0.09674)</t>
  </si>
  <si>
    <t>0.01003 (0.00067)</t>
  </si>
  <si>
    <t>0.03003 (0.00189)</t>
  </si>
  <si>
    <t>yoaS</t>
  </si>
  <si>
    <t>putative toxin of a toxin / antitoxin system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</si>
  <si>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</si>
  <si>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0.34230 (0.19138)</t>
  </si>
  <si>
    <t>0.10350 (0.17251)</t>
  </si>
  <si>
    <t>0.01013 (0.00058)</t>
  </si>
  <si>
    <t>0.02504 (0.00119)</t>
  </si>
  <si>
    <t>0.00567 (0.00054)</t>
  </si>
  <si>
    <t>yoaT</t>
  </si>
  <si>
    <t>0.15839 (0.08355)</t>
  </si>
  <si>
    <t>0.23334 (0.07732)</t>
  </si>
  <si>
    <t>0.01442 (0.00047)</t>
  </si>
  <si>
    <t>0.03899 (0.00197)</t>
  </si>
  <si>
    <t>0.00759 (0.00030)</t>
  </si>
  <si>
    <t>yoaU</t>
  </si>
  <si>
    <t>0.05898 (0.03439)</t>
  </si>
  <si>
    <t>0.04585 (0.05531)</t>
  </si>
  <si>
    <t>0.01326 (0.00058)</t>
  </si>
  <si>
    <t>0.05326 (0.00239)</t>
  </si>
  <si>
    <t>0.00273 (0.00022)</t>
  </si>
  <si>
    <t>yoaV</t>
  </si>
  <si>
    <t>putative modified amino acid or TCA compoundefflux permease</t>
  </si>
  <si>
    <t>0.19592 (0.08614)</t>
  </si>
  <si>
    <t>0.18392 (0.06547)</t>
  </si>
  <si>
    <t>0.01421 (0.00049)</t>
  </si>
  <si>
    <t>0.03874 (0.00167)</t>
  </si>
  <si>
    <t>0.00746 (0.00042)</t>
  </si>
  <si>
    <t>yoaW</t>
  </si>
  <si>
    <t>biofilm forming exported protein</t>
  </si>
  <si>
    <t>0.33530 (0.19112)</t>
  </si>
  <si>
    <t>0.19075 (0.15020)</t>
  </si>
  <si>
    <t>0.03634 (0.00248)</t>
  </si>
  <si>
    <t>0.00894 (0.00043)</t>
  </si>
  <si>
    <t>yoaZ</t>
  </si>
  <si>
    <t>putative factor of the oxidative stressresponse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</si>
  <si>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</si>
  <si>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0.28077 (0.14165)</t>
  </si>
  <si>
    <t>0.13920 (0.05195)</t>
  </si>
  <si>
    <t>0.02545 (0.00108)</t>
  </si>
  <si>
    <t>0.06923 (0.00363)</t>
  </si>
  <si>
    <t>0.01365 (0.00075)</t>
  </si>
  <si>
    <t>penP</t>
  </si>
  <si>
    <t>beta-lactamase precursor (putative hydrolase)</t>
  </si>
  <si>
    <t>0.21372 (0.18927)</t>
  </si>
  <si>
    <t>0.10238 (0.07349)</t>
  </si>
  <si>
    <t>0.01362 (0.00072)</t>
  </si>
  <si>
    <t>0.03815 (0.00258)</t>
  </si>
  <si>
    <t>0.00647 (0.00033)</t>
  </si>
  <si>
    <t>yobA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</si>
  <si>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GCA_002173615.1_ASM217361v1_genomic</t>
  </si>
  <si>
    <t>0.58427 (0.54563)</t>
  </si>
  <si>
    <t>2.65579 (5.90405)</t>
  </si>
  <si>
    <t>0.02235 (0.00179)</t>
  </si>
  <si>
    <t>0.02093 (0.00244)</t>
  </si>
  <si>
    <t>0.02332 (0.00205)</t>
  </si>
  <si>
    <t>yobB</t>
  </si>
  <si>
    <t>putative transcriptional regulator frombacteriophage; putative defective prophage 6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</si>
  <si>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</si>
  <si>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0.67247 (0.24393)</t>
  </si>
  <si>
    <t>1.01173 (1.55856)</t>
  </si>
  <si>
    <t>0.02107 (0.00140)</t>
  </si>
  <si>
    <t>0.03000 (0.00339)</t>
  </si>
  <si>
    <t>0.01858 (0.00129)</t>
  </si>
  <si>
    <t>yppS</t>
  </si>
  <si>
    <t>putative PEP-dependent enzyme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</si>
  <si>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GCA_002173615.1_ASM217361v1_genomic</t>
  </si>
  <si>
    <t>0.18161 (0.07778)</t>
  </si>
  <si>
    <t>0.24146 (0.06647)</t>
  </si>
  <si>
    <t>0.01978 (0.00094)</t>
  </si>
  <si>
    <t>0.05321 (0.00299)</t>
  </si>
  <si>
    <t>0.01074 (0.00049)</t>
  </si>
  <si>
    <t>xynA</t>
  </si>
  <si>
    <t>secreted endo-1,4-beta-xylanase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</si>
  <si>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GCA_002055965.1_ASM205596v1_genomic , GCA_002072735.1_ASM207273v1_genomic , GCA_002142595.1_ASM214259v1_genomic , GCA_002163815.1_ASM216381v1_genomic , GCA_002173615.1_ASM217361v1_genomic</t>
  </si>
  <si>
    <t>0.06715 (0.02874)</t>
  </si>
  <si>
    <t>0.08221 (0.13130)</t>
  </si>
  <si>
    <t>0.02839 (0.00134)</t>
  </si>
  <si>
    <t>0.10182 (0.00433)</t>
  </si>
  <si>
    <t>0.00824 (0.00079)</t>
  </si>
  <si>
    <t>yozV</t>
  </si>
  <si>
    <t>putative phage protein; putative defectiveprophage 6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</si>
  <si>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</si>
  <si>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0.10877 (0.09215)</t>
  </si>
  <si>
    <t>0.01991 (0.00319)</t>
  </si>
  <si>
    <t>0.07516 (0.01758)</t>
  </si>
  <si>
    <t>0.00663 (0.00172)</t>
  </si>
  <si>
    <t>yobD</t>
  </si>
  <si>
    <t>transcriptional regulator (phage-related, Xrefamily); putative defective prophage 6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</si>
  <si>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GCA_002055965.1_ASM205596v1_genomic , GCA_002072735.1_ASM207273v1_genomic , GCA_002142595.1_ASM214259v1_genomic , GCA_002173615.1_ASM217361v1_genomic</t>
  </si>
  <si>
    <t>0.23703 (0.18826)</t>
  </si>
  <si>
    <t>0.46229 (0.19361)</t>
  </si>
  <si>
    <t>0.03409 (0.00246)</t>
  </si>
  <si>
    <t>0.07061 (0.00534)</t>
  </si>
  <si>
    <t>0.02567 (0.00202)</t>
  </si>
  <si>
    <t>yozH</t>
  </si>
  <si>
    <t>hypothetical protein; putative defectiveprophage 6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</si>
  <si>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GCA_002142595.1_ASM214259v1_genomic</t>
  </si>
  <si>
    <t>0.71169 (0.54007)</t>
  </si>
  <si>
    <t>0.54386 (0.46520)</t>
  </si>
  <si>
    <t>0.03495 (0.00440)</t>
  </si>
  <si>
    <t>0.04794 (0.00708)</t>
  </si>
  <si>
    <t>0.03295 (0.00438)</t>
  </si>
  <si>
    <t>yozI</t>
  </si>
  <si>
    <t>conserved hypothetical protein; putativedefective prophage 6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</si>
  <si>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GCA_001808235.1_ASM180823v1_genomic , GCA_002055965.1_ASM205596v1_genomic , GCA_002173615.1_ASM217361v1_genomic</t>
  </si>
  <si>
    <t>0.21304 (0.10524)</t>
  </si>
  <si>
    <t>0.34124 (0.16776)</t>
  </si>
  <si>
    <t>0.02881 (0.00269)</t>
  </si>
  <si>
    <t>0.07131 (0.00921)</t>
  </si>
  <si>
    <t>0.01957 (0.00210)</t>
  </si>
  <si>
    <t>rapK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</si>
  <si>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</si>
  <si>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0.09066 (0.05270)</t>
  </si>
  <si>
    <t>0.04121 (0.05827)</t>
  </si>
  <si>
    <t>0.01929 (0.00267)</t>
  </si>
  <si>
    <t>0.07714 (0.01287)</t>
  </si>
  <si>
    <t>0.00610 (0.00075)</t>
  </si>
  <si>
    <t>phrK</t>
  </si>
  <si>
    <t>secreted regulator of the activity ofphosphatase RapK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</si>
  <si>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</si>
  <si>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0.16228 (0.24343)</t>
  </si>
  <si>
    <t>0.02778 (0.00507)</t>
  </si>
  <si>
    <t>0.08386 (0.01137)</t>
  </si>
  <si>
    <t>0.01123 (0.00458)</t>
  </si>
  <si>
    <t>rttM</t>
  </si>
  <si>
    <t>antitoxin inhibiting Rnase RttL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</si>
  <si>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GCA_002096095.1_ASM209609v1_genomic , GCA_002173615.1_ASM217361v1_genomic</t>
  </si>
  <si>
    <t>0.19235 (0.11463)</t>
  </si>
  <si>
    <t>0.04092 (0.04725)</t>
  </si>
  <si>
    <t>0.02588 (0.00330)</t>
  </si>
  <si>
    <t>0.09109 (0.01249)</t>
  </si>
  <si>
    <t>0.01143 (0.00165)</t>
  </si>
  <si>
    <t>rttL</t>
  </si>
  <si>
    <t>phage toxin ribonuclease; putative defectiveprophage 6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</si>
  <si>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GCA_001890405.1_ASM189040v1_genomic , GCA_001902555.1_ASM190255v1_genomic , GCA_002055965.1_ASM205596v1_genomic , GCA_002096095.1_ASM209609v1_genomic</t>
  </si>
  <si>
    <t>0.08448 (0.02930)</t>
  </si>
  <si>
    <t>0.08830 (0.00000)</t>
  </si>
  <si>
    <t>0.03387 (0.00368)</t>
  </si>
  <si>
    <t>0.13060 (0.01565)</t>
  </si>
  <si>
    <t>0.01107 (0.00139)</t>
  </si>
  <si>
    <t>yobM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</si>
  <si>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</si>
  <si>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0.32410 (0.17463)</t>
  </si>
  <si>
    <t>0.14232 (0.02964)</t>
  </si>
  <si>
    <t>0.02471 (0.00221)</t>
  </si>
  <si>
    <t>0.07617 (0.00731)</t>
  </si>
  <si>
    <t>0.01284 (0.00108)</t>
  </si>
  <si>
    <t>yobN</t>
  </si>
  <si>
    <t>putative amine oxidase (flavoprotein)</t>
  </si>
  <si>
    <t>0.21217 (0.11079)</t>
  </si>
  <si>
    <t>0.12722 (0.06364)</t>
  </si>
  <si>
    <t>0.02114 (0.00077)</t>
  </si>
  <si>
    <t>0.06625 (0.00274)</t>
  </si>
  <si>
    <t>0.00842 (0.00036)</t>
  </si>
  <si>
    <t>yobO</t>
  </si>
  <si>
    <t>putative phage-related pre-neck appendageprotein; defective prophage 6</t>
  </si>
  <si>
    <t>ref , GCA_000186745.1_ASM18674v1_genomic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</si>
  <si>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0.22729 (0.20106)</t>
  </si>
  <si>
    <t>0.06226 (0.04580)</t>
  </si>
  <si>
    <t>0.00554 (0.00090)</t>
  </si>
  <si>
    <t>0.01515 (0.00257)</t>
  </si>
  <si>
    <t>0.00261 (0.00047)</t>
  </si>
  <si>
    <t>csaA</t>
  </si>
  <si>
    <t>molecular chaperone for secreting proteins</t>
  </si>
  <si>
    <t>0.12791 (0.10738)</t>
  </si>
  <si>
    <t>0.14089 (0.06763)</t>
  </si>
  <si>
    <t>0.02914 (0.00141)</t>
  </si>
  <si>
    <t>0.08924 (0.00592)</t>
  </si>
  <si>
    <t>0.01267 (0.00077)</t>
  </si>
  <si>
    <t>yobQ</t>
  </si>
  <si>
    <t>0.20607 (0.09428)</t>
  </si>
  <si>
    <t>0.12097 (0.05243)</t>
  </si>
  <si>
    <t>0.01771 (0.00075)</t>
  </si>
  <si>
    <t>0.05090 (0.00240)</t>
  </si>
  <si>
    <t>0.00852 (0.00050)</t>
  </si>
  <si>
    <t>yobR</t>
  </si>
  <si>
    <t>0.32960 (0.09945)</t>
  </si>
  <si>
    <t>0.06801 (0.05904)</t>
  </si>
  <si>
    <t>0.01327 (0.00068)</t>
  </si>
  <si>
    <t>0.03680 (0.00229)</t>
  </si>
  <si>
    <t>0.00716 (0.00041)</t>
  </si>
  <si>
    <t>yobS</t>
  </si>
  <si>
    <t>0.17532 (0.14501)</t>
  </si>
  <si>
    <t>0.14261 (0.24398)</t>
  </si>
  <si>
    <t>0.02120 (0.00174)</t>
  </si>
  <si>
    <t>0.06290 (0.00497)</t>
  </si>
  <si>
    <t>0.00944 (0.00098)</t>
  </si>
  <si>
    <t>yobT</t>
  </si>
  <si>
    <t>0.28371 (0.13127)</t>
  </si>
  <si>
    <t>0.10267 (0.07152)</t>
  </si>
  <si>
    <t>0.01129 (0.00060)</t>
  </si>
  <si>
    <t>0.03194 (0.00184)</t>
  </si>
  <si>
    <t>0.00514 (0.00041)</t>
  </si>
  <si>
    <t>yobU</t>
  </si>
  <si>
    <t>putative effector of transcriptional regulator</t>
  </si>
  <si>
    <t>0.42517 (0.38598)</t>
  </si>
  <si>
    <t>0.06784 (0.14882)</t>
  </si>
  <si>
    <t>0.02111 (0.00206)</t>
  </si>
  <si>
    <t>0.06166 (0.00642)</t>
  </si>
  <si>
    <t>0.01073 (0.00154)</t>
  </si>
  <si>
    <t>yobV</t>
  </si>
  <si>
    <t>0.11433 (0.05846)</t>
  </si>
  <si>
    <t>0.10851 (0.03996)</t>
  </si>
  <si>
    <t>0.02976 (0.00117)</t>
  </si>
  <si>
    <t>0.10362 (0.00508)</t>
  </si>
  <si>
    <t>0.01120 (0.00041)</t>
  </si>
  <si>
    <t>yobW</t>
  </si>
  <si>
    <t>mother cell-specific membrane sporulationprotein</t>
  </si>
  <si>
    <t>0.49559 (0.33578)</t>
  </si>
  <si>
    <t>0.24249 (0.21960)</t>
  </si>
  <si>
    <t>0.02106 (0.00117)</t>
  </si>
  <si>
    <t>0.05614 (0.00365)</t>
  </si>
  <si>
    <t>0.01076 (0.00050)</t>
  </si>
  <si>
    <t>czrA</t>
  </si>
  <si>
    <t>transcriptional regulator (multiplemetal-sensing ArsR-SmtB transcriptional repressorfavouring Zn2+)</t>
  </si>
  <si>
    <t>0.01772 (0.00102)</t>
  </si>
  <si>
    <t>0.08122 (0.00486)</t>
  </si>
  <si>
    <t>yocA</t>
  </si>
  <si>
    <t>putative murein fragments glycosidase</t>
  </si>
  <si>
    <t>0.22103 (0.18019)</t>
  </si>
  <si>
    <t>0.09641 (0.07363)</t>
  </si>
  <si>
    <t>0.01950 (0.00136)</t>
  </si>
  <si>
    <t>0.06282 (0.00444)</t>
  </si>
  <si>
    <t>0.00841 (0.00067)</t>
  </si>
  <si>
    <t>yozB</t>
  </si>
  <si>
    <t>0.04601 (0.05184)</t>
  </si>
  <si>
    <t>0.01977 (0.00161)</t>
  </si>
  <si>
    <t>0.09093 (0.00793)</t>
  </si>
  <si>
    <t>0.00076 (0.00014)</t>
  </si>
  <si>
    <t>yocB</t>
  </si>
  <si>
    <t>0.24224 (0.12607)</t>
  </si>
  <si>
    <t>0.16842 (0.14623)</t>
  </si>
  <si>
    <t>0.01314 (0.00063)</t>
  </si>
  <si>
    <t>0.03504 (0.00168)</t>
  </si>
  <si>
    <t>0.00769 (0.00045)</t>
  </si>
  <si>
    <t>yocC</t>
  </si>
  <si>
    <t>0.07591 (0.06867)</t>
  </si>
  <si>
    <t>0.08735 (0.08251)</t>
  </si>
  <si>
    <t>0.01646 (0.00075)</t>
  </si>
  <si>
    <t>0.06385 (0.00316)</t>
  </si>
  <si>
    <t>0.00558 (0.00049)</t>
  </si>
  <si>
    <t>yocD</t>
  </si>
  <si>
    <t>putative carboxypeptidase; aminoacid adenylatehydrolase (microcin resistance)</t>
  </si>
  <si>
    <t>0.16363 (0.06326)</t>
  </si>
  <si>
    <t>0.13263 (0.06773)</t>
  </si>
  <si>
    <t>0.01829 (0.00060)</t>
  </si>
  <si>
    <t>0.05625 (0.00199)</t>
  </si>
  <si>
    <t>0.00775 (0.00039)</t>
  </si>
  <si>
    <t>desE</t>
  </si>
  <si>
    <t>fatty acid desaturase</t>
  </si>
  <si>
    <t>0.04574 (0.03395)</t>
  </si>
  <si>
    <t>0.02126 (0.05557)</t>
  </si>
  <si>
    <t>0.00693 (0.00021)</t>
  </si>
  <si>
    <t>0.02748 (0.00091)</t>
  </si>
  <si>
    <t>desK</t>
  </si>
  <si>
    <t>two-component thermosensor histidine kinase[DesR-DesK]</t>
  </si>
  <si>
    <t>0.03087 (0.04094)</t>
  </si>
  <si>
    <t>0.07290 (0.05253)</t>
  </si>
  <si>
    <t>0.01308 (0.00054)</t>
  </si>
  <si>
    <t>0.05130 (0.00250)</t>
  </si>
  <si>
    <t>0.00286 (0.00020)</t>
  </si>
  <si>
    <t>desR</t>
  </si>
  <si>
    <t>two-component response regulator [DesK]</t>
  </si>
  <si>
    <t>0.04978 (0.11458)</t>
  </si>
  <si>
    <t>0.01629 (0.00214)</t>
  </si>
  <si>
    <t>0.06907 (0.00883)</t>
  </si>
  <si>
    <t>0.00303 (0.00064)</t>
  </si>
  <si>
    <t>walL</t>
  </si>
  <si>
    <t>exported cell wall lytic enzyme</t>
  </si>
  <si>
    <t>0.06610 (0.06012)</t>
  </si>
  <si>
    <t>0.13883 (0.13188)</t>
  </si>
  <si>
    <t>0.01479 (0.00125)</t>
  </si>
  <si>
    <t>0.04514 (0.00427)</t>
  </si>
  <si>
    <t>0.00616 (0.00048)</t>
  </si>
  <si>
    <t>recQ</t>
  </si>
  <si>
    <t>ATP-dependent helicase</t>
  </si>
  <si>
    <t>0.10152 (0.03372)</t>
  </si>
  <si>
    <t>0.07353 (0.02755)</t>
  </si>
  <si>
    <t>0.01014 (0.00029)</t>
  </si>
  <si>
    <t>0.03629 (0.00115)</t>
  </si>
  <si>
    <t>0.00310 (0.00011)</t>
  </si>
  <si>
    <t>azoJ</t>
  </si>
  <si>
    <t>FMN-dependent NADH-azoreductase</t>
  </si>
  <si>
    <t>0.05037 (0.07541)</t>
  </si>
  <si>
    <t>0.07786 (0.03139)</t>
  </si>
  <si>
    <t>0.02667 (0.00234)</t>
  </si>
  <si>
    <t>0.10183 (0.00935)</t>
  </si>
  <si>
    <t>0.00724 (0.00066)</t>
  </si>
  <si>
    <t>yocK</t>
  </si>
  <si>
    <t>0.10534 (0.09461)</t>
  </si>
  <si>
    <t>0.05225 (0.09850)</t>
  </si>
  <si>
    <t>0.00800 (0.00058)</t>
  </si>
  <si>
    <t>0.02986 (0.00271)</t>
  </si>
  <si>
    <t>0.00243 (0.00025)</t>
  </si>
  <si>
    <t>yocL</t>
  </si>
  <si>
    <t>0.34163 (0.33400)</t>
  </si>
  <si>
    <t>0.27676 (0.00000)</t>
  </si>
  <si>
    <t>0.01255 (0.00171)</t>
  </si>
  <si>
    <t>0.02722 (0.00556)</t>
  </si>
  <si>
    <t>0.00874 (0.00108)</t>
  </si>
  <si>
    <t>yoyB</t>
  </si>
  <si>
    <t>0.37583 (0.15696)</t>
  </si>
  <si>
    <t>0.01215 (0.00159)</t>
  </si>
  <si>
    <t>0.01772 (0.00329)</t>
  </si>
  <si>
    <t>0.01076 (0.00172)</t>
  </si>
  <si>
    <t>yocM</t>
  </si>
  <si>
    <t>putative chaperone</t>
  </si>
  <si>
    <t>0.13920 (0.11915)</t>
  </si>
  <si>
    <t>0.00764 (0.00069)</t>
  </si>
  <si>
    <t>0.02072 (0.00314)</t>
  </si>
  <si>
    <t>0.00453 (0.00062)</t>
  </si>
  <si>
    <t>yocN</t>
  </si>
  <si>
    <t>conserved protein of unknown function(sporulation-related)</t>
  </si>
  <si>
    <t>0.01481 (0.00162)</t>
  </si>
  <si>
    <t>0.06738 (0.00763)</t>
  </si>
  <si>
    <t>yozO</t>
  </si>
  <si>
    <t>conserved hypothetical phage protein</t>
  </si>
  <si>
    <t>0.02029 (0.00177)</t>
  </si>
  <si>
    <t>0.10835 (0.00985)</t>
  </si>
  <si>
    <t>dhaS</t>
  </si>
  <si>
    <t>3-hydroxypropionaldehyde dehydrogenase</t>
  </si>
  <si>
    <t>0.05316 (0.03118)</t>
  </si>
  <si>
    <t>0.02679 (0.04025)</t>
  </si>
  <si>
    <t>0.00804 (0.00026)</t>
  </si>
  <si>
    <t>0.03095 (0.00106)</t>
  </si>
  <si>
    <t>0.00118 (0.00008)</t>
  </si>
  <si>
    <t>sqhC</t>
  </si>
  <si>
    <t>squalene-hopene cyclase, sporulenol synthase(spore protection)</t>
  </si>
  <si>
    <t>0.21428 (0.07976)</t>
  </si>
  <si>
    <t>0.14767 (0.05307)</t>
  </si>
  <si>
    <t>0.01455 (0.00037)</t>
  </si>
  <si>
    <t>0.03855 (0.00115)</t>
  </si>
  <si>
    <t>0.00761 (0.00023)</t>
  </si>
  <si>
    <t>sodF</t>
  </si>
  <si>
    <t>superoxide dismutase (Fe2+-dependent)</t>
  </si>
  <si>
    <t>0.04454 (0.04710)</t>
  </si>
  <si>
    <t>0.01912 (0.04997)</t>
  </si>
  <si>
    <t>0.01171 (0.00047)</t>
  </si>
  <si>
    <t>0.05206 (0.00239)</t>
  </si>
  <si>
    <t>0.00137 (0.00019)</t>
  </si>
  <si>
    <t>yocR</t>
  </si>
  <si>
    <t>0.04406 (0.03369)</t>
  </si>
  <si>
    <t>0.05335 (0.09585)</t>
  </si>
  <si>
    <t>0.00992 (0.00038)</t>
  </si>
  <si>
    <t>0.03642 (0.00137)</t>
  </si>
  <si>
    <t>0.00170 (0.00014)</t>
  </si>
  <si>
    <t>yocS</t>
  </si>
  <si>
    <t>putative sodium-dependent symporter</t>
  </si>
  <si>
    <t>0.09965 (0.02890)</t>
  </si>
  <si>
    <t>0.07290 (0.07708)</t>
  </si>
  <si>
    <t>0.01020 (0.00035)</t>
  </si>
  <si>
    <t>0.03247 (0.00125)</t>
  </si>
  <si>
    <t>odhB</t>
  </si>
  <si>
    <t>2-oxoglutarate dehydrogenase complex(dihydrolipoamide transsuccinylase, E2 subunit)</t>
  </si>
  <si>
    <t>0.04851 (0.04317)</t>
  </si>
  <si>
    <t>0.05143 (0.03124)</t>
  </si>
  <si>
    <t>0.01161 (0.00074)</t>
  </si>
  <si>
    <t>0.04552 (0.00332)</t>
  </si>
  <si>
    <t>0.00210 (0.00012)</t>
  </si>
  <si>
    <t>odhA</t>
  </si>
  <si>
    <t>2-oxoglutarate dehydrogenase (E1 subunit)</t>
  </si>
  <si>
    <t>0.02974 (0.01390)</t>
  </si>
  <si>
    <t>0.02551 (0.04471)</t>
  </si>
  <si>
    <t>0.02029 (0.00149)</t>
  </si>
  <si>
    <t>0.08982 (0.00695)</t>
  </si>
  <si>
    <t>yojO</t>
  </si>
  <si>
    <t>putative activator of nitric oxide reductase</t>
  </si>
  <si>
    <t>0.08458 (0.02093)</t>
  </si>
  <si>
    <t>0.06213 (0.02223)</t>
  </si>
  <si>
    <t>0.01394 (0.00033)</t>
  </si>
  <si>
    <t>0.05381 (0.00144)</t>
  </si>
  <si>
    <t>0.00362 (0.00013)</t>
  </si>
  <si>
    <t>yojN</t>
  </si>
  <si>
    <t>putative nitric-oxide reductase associatedprotein</t>
  </si>
  <si>
    <t>0.08417 (0.04703)</t>
  </si>
  <si>
    <t>0.03009 (0.07283)</t>
  </si>
  <si>
    <t>0.00946 (0.00033)</t>
  </si>
  <si>
    <t>0.03490 (0.00132)</t>
  </si>
  <si>
    <t>0.00204 (0.00016)</t>
  </si>
  <si>
    <t>sodC</t>
  </si>
  <si>
    <t>superoxide dismutase (exported lipoprotein)</t>
  </si>
  <si>
    <t>0.14192 (0.06240)</t>
  </si>
  <si>
    <t>0.03752 (0.08954)</t>
  </si>
  <si>
    <t>0.01211 (0.00049)</t>
  </si>
  <si>
    <t>0.04174 (0.00197)</t>
  </si>
  <si>
    <t>0.00359 (0.00025)</t>
  </si>
  <si>
    <t>cwlS</t>
  </si>
  <si>
    <t>peptidoglycan hydrolase (cell wall-bindingd,l-endopeptidase)</t>
  </si>
  <si>
    <t>0.09922 (0.04646)</t>
  </si>
  <si>
    <t>0.01339 (0.03941)</t>
  </si>
  <si>
    <t>0.01042 (0.00040)</t>
  </si>
  <si>
    <t>0.03846 (0.00162)</t>
  </si>
  <si>
    <t>0.00208 (0.00015)</t>
  </si>
  <si>
    <t>yojK</t>
  </si>
  <si>
    <t>putative YDP-glycosyltransferase</t>
  </si>
  <si>
    <t>0.08673 (0.04057)</t>
  </si>
  <si>
    <t>0.02189 (0.02634)</t>
  </si>
  <si>
    <t>0.01251 (0.00048)</t>
  </si>
  <si>
    <t>0.04820 (0.00186)</t>
  </si>
  <si>
    <t>0.00316 (0.00017)</t>
  </si>
  <si>
    <t>cdaS</t>
  </si>
  <si>
    <t>spore diadenylate cyclase</t>
  </si>
  <si>
    <t>0.03476 (0.04939)</t>
  </si>
  <si>
    <t>0.11065 (0.06018)</t>
  </si>
  <si>
    <t>0.01555 (0.00079)</t>
  </si>
  <si>
    <t>0.05173 (0.00318)</t>
  </si>
  <si>
    <t>0.00544 (0.00040)</t>
  </si>
  <si>
    <t>mdtK</t>
  </si>
  <si>
    <t>Na+-driven efflux MatE family protein</t>
  </si>
  <si>
    <t>0.08640 (0.08116)</t>
  </si>
  <si>
    <t>0.02690 (0.02242)</t>
  </si>
  <si>
    <t>0.01475 (0.00073)</t>
  </si>
  <si>
    <t>0.05277 (0.00272)</t>
  </si>
  <si>
    <t>0.00308 (0.00019)</t>
  </si>
  <si>
    <t>rsbRC</t>
  </si>
  <si>
    <t>co-antagonist of RsbT; component of theanxiosome (stressosome)</t>
  </si>
  <si>
    <t>0.16391 (0.10023)</t>
  </si>
  <si>
    <t>0.04886 (0.11387)</t>
  </si>
  <si>
    <t>0.00686 (0.00036)</t>
  </si>
  <si>
    <t>0.02291 (0.00125)</t>
  </si>
  <si>
    <t>0.00227 (0.00018)</t>
  </si>
  <si>
    <t>bshBB</t>
  </si>
  <si>
    <t>malate N-acetylglucosamine deacetylase (secondenzyme)</t>
  </si>
  <si>
    <t>0.01913 (0.02920)</t>
  </si>
  <si>
    <t>0.00937 (0.03199)</t>
  </si>
  <si>
    <t>0.03013 (0.00168)</t>
  </si>
  <si>
    <t>0.15188 (0.00884)</t>
  </si>
  <si>
    <t>0.00226 (0.00021)</t>
  </si>
  <si>
    <t>yojF</t>
  </si>
  <si>
    <t>conserved protein of unknown function(bacillithiol synthesis operon)</t>
  </si>
  <si>
    <t>0.07365 (0.10915)</t>
  </si>
  <si>
    <t>0.01728 (0.00179)</t>
  </si>
  <si>
    <t>0.06743 (0.00756)</t>
  </si>
  <si>
    <t>0.00316 (0.00048)</t>
  </si>
  <si>
    <t>yoyC</t>
  </si>
  <si>
    <t>0.10642 (0.07514)</t>
  </si>
  <si>
    <t>0.23039 (0.20159)</t>
  </si>
  <si>
    <t>0.02516 (0.00277)</t>
  </si>
  <si>
    <t>0.06950 (0.00862)</t>
  </si>
  <si>
    <t>0.01393 (0.00151)</t>
  </si>
  <si>
    <t>yojE</t>
  </si>
  <si>
    <t>putative N-acetylated toxic metabolites</t>
  </si>
  <si>
    <t>0.10715 (0.05196)</t>
  </si>
  <si>
    <t>0.14372 (0.07623)</t>
  </si>
  <si>
    <t>0.01282 (0.00041)</t>
  </si>
  <si>
    <t>0.03764 (0.00143)</t>
  </si>
  <si>
    <t>0.00510 (0.00025)</t>
  </si>
  <si>
    <t>gerT</t>
  </si>
  <si>
    <t>component of the spore coat</t>
  </si>
  <si>
    <t>0.15732 (0.15849)</t>
  </si>
  <si>
    <t>0.25069 (0.36184)</t>
  </si>
  <si>
    <t>0.01153 (0.00102)</t>
  </si>
  <si>
    <t>0.03296 (0.00313)</t>
  </si>
  <si>
    <t>0.00643 (0.00072)</t>
  </si>
  <si>
    <t>yojB</t>
  </si>
  <si>
    <t>0.25575 (0.16685)</t>
  </si>
  <si>
    <t>1.24134 (1.91247)</t>
  </si>
  <si>
    <t>0.01776 (0.00097)</t>
  </si>
  <si>
    <t>0.02799 (0.00309)</t>
  </si>
  <si>
    <t>0.01400 (0.00092)</t>
  </si>
  <si>
    <t>yojA</t>
  </si>
  <si>
    <t>putative H+/anion permease</t>
  </si>
  <si>
    <t>0.18139 (0.08572)</t>
  </si>
  <si>
    <t>0.14295 (0.04342)</t>
  </si>
  <si>
    <t>0.01348 (0.00053)</t>
  </si>
  <si>
    <t>0.03667 (0.00154)</t>
  </si>
  <si>
    <t>0.00594 (0.00032)</t>
  </si>
  <si>
    <t>yodA</t>
  </si>
  <si>
    <t>putative tautomerase</t>
  </si>
  <si>
    <t>0.26852 (0.29831)</t>
  </si>
  <si>
    <t>0.04491 (0.08821)</t>
  </si>
  <si>
    <t>0.01315 (0.00080)</t>
  </si>
  <si>
    <t>0.04243 (0.00273)</t>
  </si>
  <si>
    <t>0.00562 (0.00067)</t>
  </si>
  <si>
    <t>arxR</t>
  </si>
  <si>
    <t>transcriptional repressor</t>
  </si>
  <si>
    <t>0.04312 (0.08180)</t>
  </si>
  <si>
    <t>0.01535 (0.00229)</t>
  </si>
  <si>
    <t>0.07046 (0.01080)</t>
  </si>
  <si>
    <t>0.00229 (0.00049)</t>
  </si>
  <si>
    <t>noxC</t>
  </si>
  <si>
    <t>water forming NADH oxidase (nitroreductase)</t>
  </si>
  <si>
    <t>0.17091 (0.10866)</t>
  </si>
  <si>
    <t>0.05801 (0.02902)</t>
  </si>
  <si>
    <t>0.02871 (0.00181)</t>
  </si>
  <si>
    <t>0.11389 (0.00774)</t>
  </si>
  <si>
    <t>0.00740 (0.00044)</t>
  </si>
  <si>
    <t>yodD</t>
  </si>
  <si>
    <t>0.10078 (0.06298)</t>
  </si>
  <si>
    <t>0.42864 (0.18172)</t>
  </si>
  <si>
    <t>0.01333 (0.00081)</t>
  </si>
  <si>
    <t>0.03210 (0.00227)</t>
  </si>
  <si>
    <t>0.00790 (0.00063)</t>
  </si>
  <si>
    <t>yodE</t>
  </si>
  <si>
    <t>putative thiol-dependent lyase/dioxygenase</t>
  </si>
  <si>
    <t>0.19291 (0.08739)</t>
  </si>
  <si>
    <t>0.36981 (0.11836)</t>
  </si>
  <si>
    <t>0.01369 (0.00053)</t>
  </si>
  <si>
    <t>0.03594 (0.00204)</t>
  </si>
  <si>
    <t>0.00731 (0.00032)</t>
  </si>
  <si>
    <t>yoyD</t>
  </si>
  <si>
    <t>0.84660 (0.08005)</t>
  </si>
  <si>
    <t>0.13877 (0.10748)</t>
  </si>
  <si>
    <t>0.07399 (0.11099)</t>
  </si>
  <si>
    <t>0.02327 (0.00242)</t>
  </si>
  <si>
    <t>0.07456 (0.01109)</t>
  </si>
  <si>
    <t>0.00969 (0.00097)</t>
  </si>
  <si>
    <t>yodF</t>
  </si>
  <si>
    <t>putative Na+/metabolite permease</t>
  </si>
  <si>
    <t>0.03708 (0.02194)</t>
  </si>
  <si>
    <t>0.04919 (0.01274)</t>
  </si>
  <si>
    <t>0.02532 (0.00117)</t>
  </si>
  <si>
    <t>0.09588 (0.00507)</t>
  </si>
  <si>
    <t>0.00414 (0.00017)</t>
  </si>
  <si>
    <t>ctpA</t>
  </si>
  <si>
    <t>carboxy-terminal processing protease (Prchomolog, tail specific protease)</t>
  </si>
  <si>
    <t>0.08563 (0.06490)</t>
  </si>
  <si>
    <t>0.14356 (0.06073)</t>
  </si>
  <si>
    <t>0.00974 (0.00042)</t>
  </si>
  <si>
    <t>0.03191 (0.00169)</t>
  </si>
  <si>
    <t>0.00358 (0.00017)</t>
  </si>
  <si>
    <t>yodH</t>
  </si>
  <si>
    <t>putative S-adenosylmethionine-dependentmethyltransferase</t>
  </si>
  <si>
    <t>0.13625 (0.13014)</t>
  </si>
  <si>
    <t>0.17973 (0.17528)</t>
  </si>
  <si>
    <t>0.01058 (0.00080)</t>
  </si>
  <si>
    <t>0.03188 (0.00314)</t>
  </si>
  <si>
    <t>0.00448 (0.00029)</t>
  </si>
  <si>
    <t>yodI</t>
  </si>
  <si>
    <t>0.70000 (0.10887)</t>
  </si>
  <si>
    <t>0.20498 (0.23927)</t>
  </si>
  <si>
    <t>0.25843 (0.17572)</t>
  </si>
  <si>
    <t>0.03614 (0.00376)</t>
  </si>
  <si>
    <t>0.09061 (0.01074)</t>
  </si>
  <si>
    <t>0.02013 (0.00226)</t>
  </si>
  <si>
    <t>ldcB</t>
  </si>
  <si>
    <t>D-alanyl-D-alanine carboxypeptidase lipoprotein(D-ala releasing from tetrapeptide hydrolysis)</t>
  </si>
  <si>
    <t>0.11883 (0.07613)</t>
  </si>
  <si>
    <t>0.05901 (0.10537)</t>
  </si>
  <si>
    <t>0.01950 (0.00133)</t>
  </si>
  <si>
    <t>0.07570 (0.00541)</t>
  </si>
  <si>
    <t>0.00588 (0.00042)</t>
  </si>
  <si>
    <t>deoD</t>
  </si>
  <si>
    <t>purine nucleoside phosphorylase</t>
  </si>
  <si>
    <t>0.06193 (0.04960)</t>
  </si>
  <si>
    <t>0.01367 (0.01852)</t>
  </si>
  <si>
    <t>0.02453 (0.00140)</t>
  </si>
  <si>
    <t>0.10843 (0.00684)</t>
  </si>
  <si>
    <t>yoyE</t>
  </si>
  <si>
    <t>0.01301 (0.00171)</t>
  </si>
  <si>
    <t>0.06653 (0.00917)</t>
  </si>
  <si>
    <t>yodL</t>
  </si>
  <si>
    <t>shape determination factor</t>
  </si>
  <si>
    <t>0.05346 (0.15323)</t>
  </si>
  <si>
    <t>0.02657 (0.05313)</t>
  </si>
  <si>
    <t>0.02122 (0.00185)</t>
  </si>
  <si>
    <t>0.08897 (0.00778)</t>
  </si>
  <si>
    <t>0.00311 (0.00053)</t>
  </si>
  <si>
    <t>pgpB</t>
  </si>
  <si>
    <t>phosphatidylglycerol phosphate (PGP)phosphatase; undecaprenyl-pyrophosphate phosphatase(promiscuous activity)</t>
  </si>
  <si>
    <t>0.25518 (0.09586)</t>
  </si>
  <si>
    <t>0.15457 (0.06943)</t>
  </si>
  <si>
    <t>0.01651 (0.00073)</t>
  </si>
  <si>
    <t>0.04461 (0.00229)</t>
  </si>
  <si>
    <t>0.00826 (0.00038)</t>
  </si>
  <si>
    <t>yozD</t>
  </si>
  <si>
    <t>0.81678 (0.08138)</t>
  </si>
  <si>
    <t>0.35818 (0.34707)</t>
  </si>
  <si>
    <t>0.01232 (0.00090)</t>
  </si>
  <si>
    <t>0.04230 (0.00492)</t>
  </si>
  <si>
    <t>0.00548 (0.00088)</t>
  </si>
  <si>
    <t>yoyF</t>
  </si>
  <si>
    <t>0.82851 (0.07683)</t>
  </si>
  <si>
    <t>0.24196 (0.26501)</t>
  </si>
  <si>
    <t>0.15779 (0.01329)</t>
  </si>
  <si>
    <t>0.02910 (0.00308)</t>
  </si>
  <si>
    <t>0.10169 (0.01202)</t>
  </si>
  <si>
    <t>0.01370 (0.00188)</t>
  </si>
  <si>
    <t>yodN</t>
  </si>
  <si>
    <t>0.06599 (0.08435)</t>
  </si>
  <si>
    <t>0.02931 (0.03655)</t>
  </si>
  <si>
    <t>0.01999 (0.00139)</t>
  </si>
  <si>
    <t>0.09327 (0.00685)</t>
  </si>
  <si>
    <t>0.00289 (0.00024)</t>
  </si>
  <si>
    <t>yozE</t>
  </si>
  <si>
    <t>0.06237 (0.10938)</t>
  </si>
  <si>
    <t>0.03971 (0.04122)</t>
  </si>
  <si>
    <t>0.02016 (0.00303)</t>
  </si>
  <si>
    <t>0.09047 (0.01475)</t>
  </si>
  <si>
    <t>0.00432 (0.00073)</t>
  </si>
  <si>
    <t>yokU</t>
  </si>
  <si>
    <t>0.10814 (0.05041)</t>
  </si>
  <si>
    <t>0.01822 (0.00132)</t>
  </si>
  <si>
    <t>0.06553 (0.00601)</t>
  </si>
  <si>
    <t>0.00608 (0.00066)</t>
  </si>
  <si>
    <t>kamA</t>
  </si>
  <si>
    <t>lysine 2,3-aminomutase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</si>
  <si>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</si>
  <si>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0.06943 (0.03868)</t>
  </si>
  <si>
    <t>0.00983 (0.00035)</t>
  </si>
  <si>
    <t>0.03978 (0.00152)</t>
  </si>
  <si>
    <t>kamB</t>
  </si>
  <si>
    <t>epsilon-amino-beta-lysine acetyl transferase</t>
  </si>
  <si>
    <t>0.24592 (0.14198)</t>
  </si>
  <si>
    <t>0.09317 (0.09769)</t>
  </si>
  <si>
    <t>0.01365 (0.00064)</t>
  </si>
  <si>
    <t>0.03756 (0.00188)</t>
  </si>
  <si>
    <t>0.00685 (0.00040)</t>
  </si>
  <si>
    <t>yodQ</t>
  </si>
  <si>
    <t>putative deacetylase</t>
  </si>
  <si>
    <t>0.20588 (0.07612)</t>
  </si>
  <si>
    <t>0.07880 (0.06346)</t>
  </si>
  <si>
    <t>0.00775 (0.00030)</t>
  </si>
  <si>
    <t>0.02457 (0.00099)</t>
  </si>
  <si>
    <t>0.00302 (0.00016)</t>
  </si>
  <si>
    <t>yodR</t>
  </si>
  <si>
    <t>putative acyloate-acetoacetate CoA-transferase</t>
  </si>
  <si>
    <t>0.08695 (0.09521)</t>
  </si>
  <si>
    <t>0.08745 (0.10888)</t>
  </si>
  <si>
    <t>0.00993 (0.00058)</t>
  </si>
  <si>
    <t>0.03136 (0.00197)</t>
  </si>
  <si>
    <t>0.00390 (0.00030)</t>
  </si>
  <si>
    <t>yodS</t>
  </si>
  <si>
    <t>putative oxoacid CoA-transferase</t>
  </si>
  <si>
    <t>0.21336 (0.15833)</t>
  </si>
  <si>
    <t>0.11960 (0.06965)</t>
  </si>
  <si>
    <t>0.01362 (0.00064)</t>
  </si>
  <si>
    <t>0.03978 (0.00199)</t>
  </si>
  <si>
    <t>0.00586 (0.00045)</t>
  </si>
  <si>
    <t>yodT</t>
  </si>
  <si>
    <t>putative aminovalerate aminotransferase</t>
  </si>
  <si>
    <t>0.16581 (0.05682)</t>
  </si>
  <si>
    <t>0.18783 (0.03976)</t>
  </si>
  <si>
    <t>0.01267 (0.00049)</t>
  </si>
  <si>
    <t>0.03593 (0.00160)</t>
  </si>
  <si>
    <t>0.00568 (0.00022)</t>
  </si>
  <si>
    <t>BSU_19745</t>
  </si>
  <si>
    <t>conserved hypothetical proteinEHEQLFDgene            complement(2145820..2146053)CDS             complement(2145820..2146053)computational evidences; PubMedId: 20156992, 21670523;Product type f: factor(sporulation operon)</t>
  </si>
  <si>
    <t>0.53193 (0.76777)</t>
  </si>
  <si>
    <t>0.01176 (0.00155)</t>
  </si>
  <si>
    <t>0.01255 (0.00486)</t>
  </si>
  <si>
    <t>0.01173 (0.00132)</t>
  </si>
  <si>
    <t>cgeE</t>
  </si>
  <si>
    <t>protein involved in maturation of the outermostlayer of the spore</t>
  </si>
  <si>
    <t>0.37198 (0.13640)</t>
  </si>
  <si>
    <t>0.14385 (0.10310)</t>
  </si>
  <si>
    <t>0.00815 (0.00055)</t>
  </si>
  <si>
    <t>0.02164 (0.00146)</t>
  </si>
  <si>
    <t>0.00437 (0.00038)</t>
  </si>
  <si>
    <t>cgeD</t>
  </si>
  <si>
    <t>putative glycosyltransferase involved inmaturation of the outermost layer of the spore</t>
  </si>
  <si>
    <t>0.16504 (0.19149)</t>
  </si>
  <si>
    <t>0.17735 (0.06616)</t>
  </si>
  <si>
    <t>0.01330 (0.00104)</t>
  </si>
  <si>
    <t>0.03910 (0.00319)</t>
  </si>
  <si>
    <t>0.00655 (0.00055)</t>
  </si>
  <si>
    <t>cgeC</t>
  </si>
  <si>
    <t>0.22805 (0.21016)</t>
  </si>
  <si>
    <t>0.61109 (0.88203)</t>
  </si>
  <si>
    <t>0.01538 (0.00196)</t>
  </si>
  <si>
    <t>0.00565 (0.00055)</t>
  </si>
  <si>
    <t>cgeA</t>
  </si>
  <si>
    <t>spore outermost layer component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</si>
  <si>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GCA_002142595.1_ASM214259v1_genomic , GCA_002163815.1_ASM216381v1_genomic , GCA_002173615.1_ASM217361v1_genomic</t>
  </si>
  <si>
    <t>0.51389 (0.12371)</t>
  </si>
  <si>
    <t>0.14164 (0.17469)</t>
  </si>
  <si>
    <t>0.16387 (0.14852)</t>
  </si>
  <si>
    <t>0.03335 (0.00186)</t>
  </si>
  <si>
    <t>0.10820 (0.00674)</t>
  </si>
  <si>
    <t>0.01438 (0.00088)</t>
  </si>
  <si>
    <t>cgeB</t>
  </si>
  <si>
    <t>0.30622 (0.14477)</t>
  </si>
  <si>
    <t>0.43365 (0.80656)</t>
  </si>
  <si>
    <t>0.02199 (0.00118)</t>
  </si>
  <si>
    <t>0.04268 (0.00239)</t>
  </si>
  <si>
    <t>0.01670 (0.00092)</t>
  </si>
  <si>
    <t>phyC</t>
  </si>
  <si>
    <t>phytase</t>
  </si>
  <si>
    <t>0.16064 (0.06378)</t>
  </si>
  <si>
    <t>0.12041 (0.04759)</t>
  </si>
  <si>
    <t>0.01324 (0.00042)</t>
  </si>
  <si>
    <t>0.04293 (0.00137)</t>
  </si>
  <si>
    <t>0.00487 (0.00023)</t>
  </si>
  <si>
    <t>hypothetical protein; phage SPbeta</t>
  </si>
  <si>
    <t>yotL</t>
  </si>
  <si>
    <t>putative transcriptional regulator; phageSPbeta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</si>
  <si>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GCA_001704095.1_ASM170409v1_genomic , GCA_001720505.1_ASM172050v1_genomic , GCA_002055965.1_ASM205596v1_genomic , GCA_002142595.1_ASM214259v1_genomic</t>
  </si>
  <si>
    <t>0.77344 (0.13435)</t>
  </si>
  <si>
    <t>0.05397 (0.07217)</t>
  </si>
  <si>
    <t>0.38705 (0.30438)</t>
  </si>
  <si>
    <t>0.02917 (0.00400)</t>
  </si>
  <si>
    <t>0.09618 (0.02022)</t>
  </si>
  <si>
    <t>0.01384 (0.00148)</t>
  </si>
  <si>
    <t>conserved hypothetical protein; phage SPbeta</t>
  </si>
  <si>
    <t>yotB</t>
  </si>
  <si>
    <t>putative metallo-dependent hydrolase; phageSPbeta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</si>
  <si>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GCA_001720505.1_ASM172050v1_genomic , GCA_002055965.1_ASM205596v1_genomic , GCA_002142595.1_ASM214259v1_genomic</t>
  </si>
  <si>
    <t>0.68858 (0.14141)</t>
  </si>
  <si>
    <t>0.11024 (0.02789)</t>
  </si>
  <si>
    <t>0.03980 (0.00651)</t>
  </si>
  <si>
    <t>0.15212 (0.02647)</t>
  </si>
  <si>
    <t>0.01519 (0.00282)</t>
  </si>
  <si>
    <t>sspC</t>
  </si>
  <si>
    <t>0.02546 (0.00585)</t>
  </si>
  <si>
    <t>0.12626 (0.03077)</t>
  </si>
  <si>
    <t>yosQ</t>
  </si>
  <si>
    <t>SPbeta phage endodeoxyribonuclease (homingendonuclease, responsible for intron mobility)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</si>
  <si>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GCA_001604995.1_ASM160499v1_genomic , GCA_001697265.1_ASM169726v1_genomic , GCA_001703495.1_ASM170349v1_genomic , GCA_001704095.1_ASM170409v1_genomic , GCA_001889385.1_ASM188938v1_genomic , GCA_002055965.1_ASM205596v1_genomic , GCA_002142595.1_ASM214259v1_genomic</t>
  </si>
  <si>
    <t>0.17695 (0.09751)</t>
  </si>
  <si>
    <t>0.54665 (0.00000)</t>
  </si>
  <si>
    <t>0.02326 (0.00457)</t>
  </si>
  <si>
    <t>0.06342 (0.01422)</t>
  </si>
  <si>
    <t>0.01331 (0.00241)</t>
  </si>
  <si>
    <t>conserved protein of unknown function; phageSPbeta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</si>
  <si>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GCA_001704095.1_ASM170409v1_genomic , GCA_001720505.1_ASM172050v1_genomic , GCA_002055965.1_ASM205596v1_genomic</t>
  </si>
  <si>
    <t>yorP</t>
  </si>
  <si>
    <t>0.07746 (0.09527)</t>
  </si>
  <si>
    <t>0.01800 (0.00301)</t>
  </si>
  <si>
    <t>0.06886 (0.01082)</t>
  </si>
  <si>
    <t>0.00310 (0.00127)</t>
  </si>
  <si>
    <t>yorO</t>
  </si>
  <si>
    <t>0.86735 (0.11799)</t>
  </si>
  <si>
    <t>0.51645 (0.74543)</t>
  </si>
  <si>
    <t>0.08507 (0.06716)</t>
  </si>
  <si>
    <t>0.01875 (0.00257)</t>
  </si>
  <si>
    <t>0.05818 (0.00900)</t>
  </si>
  <si>
    <t>0.00927 (0.00139)</t>
  </si>
  <si>
    <t>yopQ</t>
  </si>
  <si>
    <t>0.87556 (0.11164)</t>
  </si>
  <si>
    <t>0.04583 (0.03869)</t>
  </si>
  <si>
    <t>0.02205 (0.00000)</t>
  </si>
  <si>
    <t>0.02162 (0.00492)</t>
  </si>
  <si>
    <t>0.10498 (0.02483)</t>
  </si>
  <si>
    <t>0.00273 (0.00034)</t>
  </si>
  <si>
    <t>yopP</t>
  </si>
  <si>
    <t>putative phage integrase; phage SPbeta</t>
  </si>
  <si>
    <t>0.43646 (0.16881)</t>
  </si>
  <si>
    <t>0.00372 (0.00031)</t>
  </si>
  <si>
    <t>0.00294 (0.00046)</t>
  </si>
  <si>
    <t>yopN</t>
  </si>
  <si>
    <t>0.52024 (0.75090)</t>
  </si>
  <si>
    <t>0.00688 (0.00089)</t>
  </si>
  <si>
    <t>0.00772 (0.00315)</t>
  </si>
  <si>
    <t>0.00671 (0.00123)</t>
  </si>
  <si>
    <t>aimR</t>
  </si>
  <si>
    <t>arbitrium peptide sensor regulator; phageSPbeta</t>
  </si>
  <si>
    <t>0.16525 (0.08263)</t>
  </si>
  <si>
    <t>0.00432 (0.00061)</t>
  </si>
  <si>
    <t>0.01311 (0.00311)</t>
  </si>
  <si>
    <t>0.00216 (0.00000)</t>
  </si>
  <si>
    <t>yopE</t>
  </si>
  <si>
    <t>conserved membrane protein of unknown function;phage SPbeta</t>
  </si>
  <si>
    <t>ref , GCA_000293765.1_ASM29376v1_genomic , GCA_000344745.1_ASM34474v1_genomic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GCA_001704095.1_ASM170409v1_genomic , GCA_002055965.1_ASM205596v1_genomic , GCA_002163815.1_ASM216381v1_genomic</t>
  </si>
  <si>
    <t>0.14408 (0.04196)</t>
  </si>
  <si>
    <t>0.03704 (0.00376)</t>
  </si>
  <si>
    <t>0.14022 (0.01593)</t>
  </si>
  <si>
    <t>0.01316 (0.00207)</t>
  </si>
  <si>
    <t>yoyI</t>
  </si>
  <si>
    <t>ref , GCA_000227465.1_ASM22746v1_genomic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GCA_001565875.1_ASM156587v1_genomic , GCA_001604995.1_ASM160499v1_genomic , GCA_001697265.1_ASM169726v1_genomic , GCA_001703495.1_ASM170349v1_genomic , GCA_001747445.1_ASM174744v1_genomic , GCA_001889625.1_ASM188962v1_genomic , GCA_001890405.1_ASM189040v1_genomic , GCA_001902555.1_ASM190255v1_genomic , GCA_002055965.1_ASM205596v1_genomic , GCA_002096095.1_ASM209609v1_genomic , GCA_002173615.1_ASM217361v1_genomic</t>
  </si>
  <si>
    <t>0.32183 (0.25663)</t>
  </si>
  <si>
    <t>0.02485 (0.00435)</t>
  </si>
  <si>
    <t>0.05915 (0.01053)</t>
  </si>
  <si>
    <t>0.01477 (0.00458)</t>
  </si>
  <si>
    <t>spbT</t>
  </si>
  <si>
    <t>toxin; phage SPbeta</t>
  </si>
  <si>
    <t>0.46840 (0.72176)</t>
  </si>
  <si>
    <t>0.01820 (0.00250)</t>
  </si>
  <si>
    <t>0.02450 (0.01000)</t>
  </si>
  <si>
    <t>0.01666 (0.00189)</t>
  </si>
  <si>
    <t>yonG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</si>
  <si>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GCA_001704095.1_ASM170409v1_genomic , GCA_002055965.1_ASM205596v1_genomic , GCA_002142595.1_ASM214259v1_genomic</t>
  </si>
  <si>
    <t>0.03213 (0.03151)</t>
  </si>
  <si>
    <t>0.02850 (0.00173)</t>
  </si>
  <si>
    <t>0.13786 (0.00774)</t>
  </si>
  <si>
    <t>0.00411 (0.00133)</t>
  </si>
  <si>
    <t>yonF</t>
  </si>
  <si>
    <t>putative P-loop ATPase; phage SPbeta</t>
  </si>
  <si>
    <t>0.01627 (0.01107)</t>
  </si>
  <si>
    <t>0.01679 (0.00111)</t>
  </si>
  <si>
    <t>0.07859 (0.00552)</t>
  </si>
  <si>
    <t>0.00108 (0.00028)</t>
  </si>
  <si>
    <t>yonE</t>
  </si>
  <si>
    <t>0.06476 (0.01614)</t>
  </si>
  <si>
    <t>0.03059 (0.00000)</t>
  </si>
  <si>
    <t>0.03601 (0.00114)</t>
  </si>
  <si>
    <t>0.14817 (0.00223)</t>
  </si>
  <si>
    <t>0.00849 (0.00122)</t>
  </si>
  <si>
    <t>yonD</t>
  </si>
  <si>
    <t>0.18387 (0.01114)</t>
  </si>
  <si>
    <t>0.09700 (0.00000)</t>
  </si>
  <si>
    <t>0.03336 (0.00464)</t>
  </si>
  <si>
    <t>0.11450 (0.01843)</t>
  </si>
  <si>
    <t>0.01443 (0.00169)</t>
  </si>
  <si>
    <t>yonC</t>
  </si>
  <si>
    <t>0.05455 (0.01255)</t>
  </si>
  <si>
    <t>0.02497 (0.00360)</t>
  </si>
  <si>
    <t>0.09599 (0.01717)</t>
  </si>
  <si>
    <t>0.00493 (0.00000)</t>
  </si>
  <si>
    <t>yonB</t>
  </si>
  <si>
    <t>0.01196 (0.00989)</t>
  </si>
  <si>
    <t>0.03024 (0.00470)</t>
  </si>
  <si>
    <t>0.13948 (0.02315)</t>
  </si>
  <si>
    <t>0.00129 (0.00030)</t>
  </si>
  <si>
    <t>yonA</t>
  </si>
  <si>
    <t>0.04473 (0.05244)</t>
  </si>
  <si>
    <t>0.01674 (0.00460)</t>
  </si>
  <si>
    <t>0.07582 (0.02299)</t>
  </si>
  <si>
    <t>0.00270 (0.00064)</t>
  </si>
  <si>
    <t>yomX</t>
  </si>
  <si>
    <t>0.14377 (0.08102)</t>
  </si>
  <si>
    <t>0.01059 (0.00181)</t>
  </si>
  <si>
    <t>0.03424 (0.00548)</t>
  </si>
  <si>
    <t>0.00401 (0.00095)</t>
  </si>
  <si>
    <t>yomW</t>
  </si>
  <si>
    <t>0.12401 (0.14980)</t>
  </si>
  <si>
    <t>0.27673 (0.00000)</t>
  </si>
  <si>
    <t>0.01746 (0.00326)</t>
  </si>
  <si>
    <t>0.05342 (0.01021)</t>
  </si>
  <si>
    <t>0.00819 (0.00188)</t>
  </si>
  <si>
    <t>yomV</t>
  </si>
  <si>
    <t>0.01763 (0.02562)</t>
  </si>
  <si>
    <t>0.01130 (0.00167)</t>
  </si>
  <si>
    <t>0.05519 (0.00785)</t>
  </si>
  <si>
    <t>0.00071 (0.00027)</t>
  </si>
  <si>
    <t>yomU</t>
  </si>
  <si>
    <t>0.70370 (0.13664)</t>
  </si>
  <si>
    <t>0.14688 (0.04240)</t>
  </si>
  <si>
    <t>0.05831 (0.00000)</t>
  </si>
  <si>
    <t>0.00964 (0.00131)</t>
  </si>
  <si>
    <t>0.03095 (0.00462)</t>
  </si>
  <si>
    <t>0.00354 (0.00046)</t>
  </si>
  <si>
    <t>youA</t>
  </si>
  <si>
    <t>0.21258 (0.33072)</t>
  </si>
  <si>
    <t>0.01232 (0.00326)</t>
  </si>
  <si>
    <t>0.03093 (0.01263)</t>
  </si>
  <si>
    <t>0.00659 (0.00052)</t>
  </si>
  <si>
    <t>yomT</t>
  </si>
  <si>
    <t>0.01481 (0.00226)</t>
  </si>
  <si>
    <t>0.07507 (0.01183)</t>
  </si>
  <si>
    <t>conserved phage protein of unknown function;phage SPbeta</t>
  </si>
  <si>
    <t>yomL</t>
  </si>
  <si>
    <t>conserved exported protein of unknown function;phage SPbeta</t>
  </si>
  <si>
    <t>0.55679 (0.13824)</t>
  </si>
  <si>
    <t>0.17673 (0.29703)</t>
  </si>
  <si>
    <t>0.14051 (0.00000)</t>
  </si>
  <si>
    <t>0.01715 (0.00323)</t>
  </si>
  <si>
    <t>0.05147 (0.01318)</t>
  </si>
  <si>
    <t>0.00844 (0.00106)</t>
  </si>
  <si>
    <t>youB</t>
  </si>
  <si>
    <t>yolB</t>
  </si>
  <si>
    <t>ref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GCA_001596535.1_ASM159653v1_genomic , GCA_001604995.1_ASM160499v1_genomic , GCA_001697265.1_ASM169726v1_genomic , GCA_001703495.1_ASM170349v1_genomic , GCA_001720505.1_ASM172050v1_genomic , GCA_001889625.1_ASM188962v1_genomic , GCA_002055965.1_ASM205596v1_genomic</t>
  </si>
  <si>
    <t>0.25466 (0.09864)</t>
  </si>
  <si>
    <t>0.01804 (0.00313)</t>
  </si>
  <si>
    <t>0.07132 (0.01572)</t>
  </si>
  <si>
    <t>0.00540 (0.00074)</t>
  </si>
  <si>
    <t>yolA</t>
  </si>
  <si>
    <t>conserved exported protein of unknown function;SPbeta phage</t>
  </si>
  <si>
    <t>0.12846 (0.03615)</t>
  </si>
  <si>
    <t>0.01082 (0.00114)</t>
  </si>
  <si>
    <t>0.03334 (0.00380)</t>
  </si>
  <si>
    <t>0.00424 (0.00058)</t>
  </si>
  <si>
    <t>yokL</t>
  </si>
  <si>
    <t>putative N-acetyltransferase; phage SPbeta</t>
  </si>
  <si>
    <t>ref , GCA_000209795.2_ASM20979v2_genomic , GCA_000293765.1_ASM29376v1_genomic , GCA_000344745.1_ASM34474v1_genomic , GCA_000699465.1_ASM69946v1_genomic , GCA_000699525.1_ASM69952v1_genomic , GCA_000789275.1_ASM78927v1_genomic , GCA_000789295.1_ASM78929v1_genomic , GCA_000827065.1_ASM82706v1_genomic , GCA_000953615.1_BS49Ch_genomic , GCA_000971925.1_ASM97192v1_genomic , GCA_001565875.1_ASM156587v1_genomic , GCA_001604995.1_ASM160499v1_genomic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</si>
  <si>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0.20870 (0.23223)</t>
  </si>
  <si>
    <t>0.13126 (0.00000)</t>
  </si>
  <si>
    <t>0.01224 (0.00192)</t>
  </si>
  <si>
    <t>0.03551 (0.00816)</t>
  </si>
  <si>
    <t>0.00639 (0.00146)</t>
  </si>
  <si>
    <t>yokH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</si>
  <si>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</si>
  <si>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0.29849 (0.27500)</t>
  </si>
  <si>
    <t>0.12434 (0.01307)</t>
  </si>
  <si>
    <t>0.02812 (0.00276)</t>
  </si>
  <si>
    <t>0.08958 (0.01079)</t>
  </si>
  <si>
    <t>0.01424 (0.00118)</t>
  </si>
  <si>
    <t>msrA</t>
  </si>
  <si>
    <t>peptide methionine S-sulfoxide reductase</t>
  </si>
  <si>
    <t>ref , GCA_000146565.1_ASM14656v1_genomic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</si>
  <si>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0.09276 (0.09233)</t>
  </si>
  <si>
    <t>0.02327 (0.01924)</t>
  </si>
  <si>
    <t>0.02077 (0.00174)</t>
  </si>
  <si>
    <t>0.08982 (0.00817)</t>
  </si>
  <si>
    <t>0.00388 (0.00036)</t>
  </si>
  <si>
    <t>ypoP</t>
  </si>
  <si>
    <t>0.01440 (0.04037)</t>
  </si>
  <si>
    <t>0.02524 (0.04143)</t>
  </si>
  <si>
    <t>0.02905 (0.00256)</t>
  </si>
  <si>
    <t>0.14077 (0.01237)</t>
  </si>
  <si>
    <t>0.00383 (0.00050)</t>
  </si>
  <si>
    <t>dinF</t>
  </si>
  <si>
    <t>damage inducible, Na+ driven multidrug effluxpump</t>
  </si>
  <si>
    <t>0.07401 (0.02454)</t>
  </si>
  <si>
    <t>0.09063 (0.02965)</t>
  </si>
  <si>
    <t>0.01154 (0.00034)</t>
  </si>
  <si>
    <t>0.03883 (0.00127)</t>
  </si>
  <si>
    <t>0.00319 (0.00014)</t>
  </si>
  <si>
    <t>ypmT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</si>
  <si>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</si>
  <si>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0.09684 (0.07808)</t>
  </si>
  <si>
    <t>0.06610 (0.05224)</t>
  </si>
  <si>
    <t>0.02574 (0.00226)</t>
  </si>
  <si>
    <t>0.09868 (0.01061)</t>
  </si>
  <si>
    <t>0.00878 (0.00074)</t>
  </si>
  <si>
    <t>ypmS</t>
  </si>
  <si>
    <t>0.14829 (0.09510)</t>
  </si>
  <si>
    <t>0.06846 (0.13011)</t>
  </si>
  <si>
    <t>0.00717 (0.00032)</t>
  </si>
  <si>
    <t>0.02361 (0.00114)</t>
  </si>
  <si>
    <t>0.00278 (0.00022)</t>
  </si>
  <si>
    <t>ypmR</t>
  </si>
  <si>
    <t>putative exported lipase/acylhydrolase(lipoprotein)</t>
  </si>
  <si>
    <t>0.33360 (0.18318)</t>
  </si>
  <si>
    <t>0.00552 (0.00023)</t>
  </si>
  <si>
    <t>0.01451 (0.00093)</t>
  </si>
  <si>
    <t>0.00307 (0.00026)</t>
  </si>
  <si>
    <t>scuA</t>
  </si>
  <si>
    <t>assembly factor BSco of the Cu(A) site ofcytochrome c oxidase</t>
  </si>
  <si>
    <t>0.12354 (0.07233)</t>
  </si>
  <si>
    <t>0.16235 (0.31766)</t>
  </si>
  <si>
    <t>0.02085 (0.00182)</t>
  </si>
  <si>
    <t>0.06870 (0.00608)</t>
  </si>
  <si>
    <t>0.00925 (0.00099)</t>
  </si>
  <si>
    <t>ypmP</t>
  </si>
  <si>
    <t>0.31922 (0.37089)</t>
  </si>
  <si>
    <t>0.12084 (0.08545)</t>
  </si>
  <si>
    <t>0.01234 (0.00125)</t>
  </si>
  <si>
    <t>0.03657 (0.00591)</t>
  </si>
  <si>
    <t>0.00682 (0.00059)</t>
  </si>
  <si>
    <t>ilvA</t>
  </si>
  <si>
    <t>threonine dehydratase</t>
  </si>
  <si>
    <t>ref , GCA_000146565.1_ASM14656v1_genomic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</si>
  <si>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0.05384 (0.05601)</t>
  </si>
  <si>
    <t>0.05403 (0.03603)</t>
  </si>
  <si>
    <t>0.02433 (0.00153)</t>
  </si>
  <si>
    <t>0.09888 (0.00704)</t>
  </si>
  <si>
    <t>0.00542 (0.00028)</t>
  </si>
  <si>
    <t>silP</t>
  </si>
  <si>
    <t>transcriptional enhancer involved in BCAAhomeostasis</t>
  </si>
  <si>
    <t>0.15709 (0.08199)</t>
  </si>
  <si>
    <t>0.28918 (0.36749)</t>
  </si>
  <si>
    <t>0.01039 (0.00059)</t>
  </si>
  <si>
    <t>0.02502 (0.00117)</t>
  </si>
  <si>
    <t>0.00634 (0.00054)</t>
  </si>
  <si>
    <t>yplQ</t>
  </si>
  <si>
    <t>0.09675 (0.14346)</t>
  </si>
  <si>
    <t>0.00737 (0.00046)</t>
  </si>
  <si>
    <t>0.02755 (0.00163)</t>
  </si>
  <si>
    <t>0.00104 (0.00021)</t>
  </si>
  <si>
    <t>ypkP</t>
  </si>
  <si>
    <t>putative 1-acyl-sn-glycerol-3-phosphateacyltransferase</t>
  </si>
  <si>
    <t>0.19791 (0.07159)</t>
  </si>
  <si>
    <t>0.15440 (0.07720)</t>
  </si>
  <si>
    <t>0.00927 (0.00047)</t>
  </si>
  <si>
    <t>0.02536 (0.00120)</t>
  </si>
  <si>
    <t>0.00445 (0.00034)</t>
  </si>
  <si>
    <t>dfrA</t>
  </si>
  <si>
    <t>dihydrofolate reductase</t>
  </si>
  <si>
    <t>0.22090 (0.10003)</t>
  </si>
  <si>
    <t>0.23661 (0.20639)</t>
  </si>
  <si>
    <t>0.01306 (0.00065)</t>
  </si>
  <si>
    <t>0.03387 (0.00218)</t>
  </si>
  <si>
    <t>0.00742 (0.00052)</t>
  </si>
  <si>
    <t>thyB</t>
  </si>
  <si>
    <t>thymidylate synthase B</t>
  </si>
  <si>
    <t>0.22431 (0.12026)</t>
  </si>
  <si>
    <t>0.20087 (0.16327)</t>
  </si>
  <si>
    <t>0.01143 (0.00067)</t>
  </si>
  <si>
    <t>0.03036 (0.00209)</t>
  </si>
  <si>
    <t>0.00633 (0.00054)</t>
  </si>
  <si>
    <t>ypjQ</t>
  </si>
  <si>
    <t>putative phosphatidylglycerophosphatase</t>
  </si>
  <si>
    <t>0.07888 (0.05757)</t>
  </si>
  <si>
    <t>0.01027 (0.00053)</t>
  </si>
  <si>
    <t>0.04123 (0.00231)</t>
  </si>
  <si>
    <t>0.00194 (0.00024)</t>
  </si>
  <si>
    <t>ypjP</t>
  </si>
  <si>
    <t>0.06773 (0.06398)</t>
  </si>
  <si>
    <t>0.40832 (0.45385)</t>
  </si>
  <si>
    <t>0.00712 (0.00064)</t>
  </si>
  <si>
    <t>0.01944 (0.00146)</t>
  </si>
  <si>
    <t>0.00385 (0.00054)</t>
  </si>
  <si>
    <t>rsmJ</t>
  </si>
  <si>
    <t>putative 16S rRNA m(2)G1516 methyltransferase</t>
  </si>
  <si>
    <t>0.13078 (0.05676)</t>
  </si>
  <si>
    <t>0.15850 (0.03508)</t>
  </si>
  <si>
    <t>0.01847 (0.00069)</t>
  </si>
  <si>
    <t>0.05592 (0.00231)</t>
  </si>
  <si>
    <t>0.00830 (0.00040)</t>
  </si>
  <si>
    <t>brxA</t>
  </si>
  <si>
    <t>protein disulfide isomerase; bacilliredoxin A(de-bacillithiolation)</t>
  </si>
  <si>
    <t>0.06073 (0.06884)</t>
  </si>
  <si>
    <t>0.03550 (0.03857)</t>
  </si>
  <si>
    <t>0.02449 (0.00258)</t>
  </si>
  <si>
    <t>0.10314 (0.01167)</t>
  </si>
  <si>
    <t>0.00428 (0.00045)</t>
  </si>
  <si>
    <t>ilvD</t>
  </si>
  <si>
    <t>dihydroxy-acid dehydratase</t>
  </si>
  <si>
    <t>0.02751 (0.04073)</t>
  </si>
  <si>
    <t>0.00850 (0.00039)</t>
  </si>
  <si>
    <t>0.03521 (0.00157)</t>
  </si>
  <si>
    <t>0.00039 (0.00008)</t>
  </si>
  <si>
    <t>ypgR</t>
  </si>
  <si>
    <t>putative lyase or scaffold</t>
  </si>
  <si>
    <t>0.07871 (0.02970)</t>
  </si>
  <si>
    <t>0.06533 (0.04238)</t>
  </si>
  <si>
    <t>0.01039 (0.00042)</t>
  </si>
  <si>
    <t>0.03842 (0.00164)</t>
  </si>
  <si>
    <t>0.00287 (0.00018)</t>
  </si>
  <si>
    <t>hdhQ</t>
  </si>
  <si>
    <t>Mn(2+)-dependent (deoxy)ribonucleosidepyrophosphohydrolase</t>
  </si>
  <si>
    <t>0.67549 (0.25782)</t>
  </si>
  <si>
    <t>0.34536 (0.23537)</t>
  </si>
  <si>
    <t>0.02033 (0.00086)</t>
  </si>
  <si>
    <t>0.04060 (0.00270)</t>
  </si>
  <si>
    <t>0.01508 (0.00061)</t>
  </si>
  <si>
    <t>bsaA</t>
  </si>
  <si>
    <t>bacillithiol peroxidase</t>
  </si>
  <si>
    <t>0.09443 (0.05309)</t>
  </si>
  <si>
    <t>0.10751 (0.11780)</t>
  </si>
  <si>
    <t>0.01213 (0.00055)</t>
  </si>
  <si>
    <t>0.04196 (0.00198)</t>
  </si>
  <si>
    <t>0.00443 (0.00031)</t>
  </si>
  <si>
    <t>metAA</t>
  </si>
  <si>
    <t>homoserine O-acetyltransferase</t>
  </si>
  <si>
    <t>0.16106 (0.07298)</t>
  </si>
  <si>
    <t>0.08565 (0.05949)</t>
  </si>
  <si>
    <t>0.01949 (0.00118)</t>
  </si>
  <si>
    <t>0.07072 (0.00462)</t>
  </si>
  <si>
    <t>0.00699 (0.00040)</t>
  </si>
  <si>
    <t>ugtP</t>
  </si>
  <si>
    <t>UDP-glucose diacylglyceroltransferase</t>
  </si>
  <si>
    <t>0.10925 (0.09229)</t>
  </si>
  <si>
    <t>0.01811 (0.03639)</t>
  </si>
  <si>
    <t>0.00817 (0.00071)</t>
  </si>
  <si>
    <t>0.03287 (0.00310)</t>
  </si>
  <si>
    <t>0.00120 (0.00012)</t>
  </si>
  <si>
    <t>BSU_21925</t>
  </si>
  <si>
    <t>hypothetical proteinVLQYgene            2307905..2308105CDS             2307905..2308105PMID:9920884,16352840in the studied strain; PubMedId: 9920884, 16352840;Product type f: factorRNA-helicase co-factor</t>
  </si>
  <si>
    <t>0.73980 (0.10864)</t>
  </si>
  <si>
    <t>0.08773 (0.13564)</t>
  </si>
  <si>
    <t>2.42311 (5.93200)</t>
  </si>
  <si>
    <t>0.03519 (0.00277)</t>
  </si>
  <si>
    <t>0.04151 (0.00538)</t>
  </si>
  <si>
    <t>0.03527 (0.00288)</t>
  </si>
  <si>
    <t>degR</t>
  </si>
  <si>
    <t>activator of degradative enzymes (aprE, nprE,sacB) production or activity</t>
  </si>
  <si>
    <t>0.01111 (0.00176)</t>
  </si>
  <si>
    <t>0.06605 (0.01095)</t>
  </si>
  <si>
    <t>ypzA</t>
  </si>
  <si>
    <t>0.28371 (0.11164)</t>
  </si>
  <si>
    <t>0.08044 (0.09355)</t>
  </si>
  <si>
    <t>0.01510 (0.00076)</t>
  </si>
  <si>
    <t>0.04320 (0.00234)</t>
  </si>
  <si>
    <t>0.00757 (0.00055)</t>
  </si>
  <si>
    <t>ypeQ</t>
  </si>
  <si>
    <t>0.09388 (0.08020)</t>
  </si>
  <si>
    <t>0.23291 (0.00000)</t>
  </si>
  <si>
    <t>0.02244 (0.00279)</t>
  </si>
  <si>
    <t>0.07530 (0.00901)</t>
  </si>
  <si>
    <t>0.01100 (0.00199)</t>
  </si>
  <si>
    <t>ypeP</t>
  </si>
  <si>
    <t>ribonuclease</t>
  </si>
  <si>
    <t>0.09785 (0.23885)</t>
  </si>
  <si>
    <t>0.08698 (0.04595)</t>
  </si>
  <si>
    <t>0.01636 (0.00141)</t>
  </si>
  <si>
    <t>0.05855 (0.00506)</t>
  </si>
  <si>
    <t>0.00542 (0.00059)</t>
  </si>
  <si>
    <t>queP</t>
  </si>
  <si>
    <t>preQ0 transporter (promiscuous)</t>
  </si>
  <si>
    <t>0.07654 (0.05172)</t>
  </si>
  <si>
    <t>0.08346 (0.12484)</t>
  </si>
  <si>
    <t>0.02189 (0.00144)</t>
  </si>
  <si>
    <t>0.07764 (0.00547)</t>
  </si>
  <si>
    <t>0.00598 (0.00039)</t>
  </si>
  <si>
    <t>ypdQ</t>
  </si>
  <si>
    <t>putative RNA binding protein (no RNase Hactivity)</t>
  </si>
  <si>
    <t>0.19316 (0.03538)</t>
  </si>
  <si>
    <t>0.10470 (0.09626)</t>
  </si>
  <si>
    <t>0.01710 (0.00104)</t>
  </si>
  <si>
    <t>0.05592 (0.00424)</t>
  </si>
  <si>
    <t>0.00657 (0.00041)</t>
  </si>
  <si>
    <t>sspL</t>
  </si>
  <si>
    <t>0.73878 (0.09802)</t>
  </si>
  <si>
    <t>0.18137 (0.17574)</t>
  </si>
  <si>
    <t>0.09069 (0.15114)</t>
  </si>
  <si>
    <t>0.02551 (0.00202)</t>
  </si>
  <si>
    <t>0.09016 (0.00890)</t>
  </si>
  <si>
    <t>0.00950 (0.00122)</t>
  </si>
  <si>
    <t>exnP</t>
  </si>
  <si>
    <t>5'3'-exonuclease</t>
  </si>
  <si>
    <t>0.05319 (0.08458)</t>
  </si>
  <si>
    <t>0.12664 (0.19253)</t>
  </si>
  <si>
    <t>0.00800 (0.00031)</t>
  </si>
  <si>
    <t>0.02855 (0.00154)</t>
  </si>
  <si>
    <t>0.00231 (0.00025)</t>
  </si>
  <si>
    <t>ypzF</t>
  </si>
  <si>
    <t>0.01702 (0.00287)</t>
  </si>
  <si>
    <t>0.08984 (0.01619)</t>
  </si>
  <si>
    <t>ypbS</t>
  </si>
  <si>
    <t>spore associated protein</t>
  </si>
  <si>
    <t>0.31929 (0.36430)</t>
  </si>
  <si>
    <t>0.39027 (0.26018)</t>
  </si>
  <si>
    <t>0.01625 (0.00165)</t>
  </si>
  <si>
    <t>0.03147 (0.00539)</t>
  </si>
  <si>
    <t>0.01269 (0.00112)</t>
  </si>
  <si>
    <t>dynA</t>
  </si>
  <si>
    <t>dynamin GTPase</t>
  </si>
  <si>
    <t>0.18563 (0.03266)</t>
  </si>
  <si>
    <t>0.19671 (0.04413)</t>
  </si>
  <si>
    <t>0.01287 (0.00030)</t>
  </si>
  <si>
    <t>0.03535 (0.00099)</t>
  </si>
  <si>
    <t>0.00697 (0.00018)</t>
  </si>
  <si>
    <t>fbpC</t>
  </si>
  <si>
    <t>0.15489 (0.22357)</t>
  </si>
  <si>
    <t>0.02069 (0.00272)</t>
  </si>
  <si>
    <t>0.07124 (0.01344)</t>
  </si>
  <si>
    <t>0.00612 (0.00212)</t>
  </si>
  <si>
    <t>bpsB</t>
  </si>
  <si>
    <t>alkylpyrone methyltransferase (polyketidesynthesis)</t>
  </si>
  <si>
    <t>0.20454 (0.13293)</t>
  </si>
  <si>
    <t>0.04190 (0.10582)</t>
  </si>
  <si>
    <t>0.00962 (0.00039)</t>
  </si>
  <si>
    <t>0.03054 (0.00145)</t>
  </si>
  <si>
    <t>bpsA</t>
  </si>
  <si>
    <t>promiscuous alkylpyrone synthase BpsA(polyketide synthesis)</t>
  </si>
  <si>
    <t>0.17048 (0.05242)</t>
  </si>
  <si>
    <t>0.09433 (0.06346)</t>
  </si>
  <si>
    <t>0.01007 (0.00033)</t>
  </si>
  <si>
    <t>0.03123 (0.00120)</t>
  </si>
  <si>
    <t>0.00424 (0.00018)</t>
  </si>
  <si>
    <t>pbuX</t>
  </si>
  <si>
    <t>xanthine permease</t>
  </si>
  <si>
    <t>0.06337 (0.03704)</t>
  </si>
  <si>
    <t>0.06785 (0.04760)</t>
  </si>
  <si>
    <t>0.01554 (0.00045)</t>
  </si>
  <si>
    <t>0.05315 (0.00174)</t>
  </si>
  <si>
    <t>0.00338 (0.00019)</t>
  </si>
  <si>
    <t>xpt</t>
  </si>
  <si>
    <t>xanthine phosphoribosyltransferase</t>
  </si>
  <si>
    <t>0.31346 (0.18610)</t>
  </si>
  <si>
    <t>0.07829 (0.10471)</t>
  </si>
  <si>
    <t>0.01408 (0.00064)</t>
  </si>
  <si>
    <t>0.04112 (0.00199)</t>
  </si>
  <si>
    <t>0.00599 (0.00048)</t>
  </si>
  <si>
    <t>ypwA</t>
  </si>
  <si>
    <t>metal-dependent carboxypeptidase</t>
  </si>
  <si>
    <t>0.12133 (0.09345)</t>
  </si>
  <si>
    <t>0.14045 (0.06754)</t>
  </si>
  <si>
    <t>0.00832 (0.00034)</t>
  </si>
  <si>
    <t>0.02673 (0.00110)</t>
  </si>
  <si>
    <t>0.00329 (0.00019)</t>
  </si>
  <si>
    <t>kdgT</t>
  </si>
  <si>
    <t>2-keto-3-deoxygluconate permease</t>
  </si>
  <si>
    <t>0.11224 (0.05416)</t>
  </si>
  <si>
    <t>0.05879 (0.05402)</t>
  </si>
  <si>
    <t>0.01481 (0.00071)</t>
  </si>
  <si>
    <t>0.05001 (0.00278)</t>
  </si>
  <si>
    <t>0.00349 (0.00021)</t>
  </si>
  <si>
    <t>kdgA</t>
  </si>
  <si>
    <t>2-keto-3-deoxygluconate-6-phosphate aldolase</t>
  </si>
  <si>
    <t>0.12890 (0.08364)</t>
  </si>
  <si>
    <t>0.08493 (0.09601)</t>
  </si>
  <si>
    <t>0.01370 (0.00074)</t>
  </si>
  <si>
    <t>0.04559 (0.00287)</t>
  </si>
  <si>
    <t>0.00424 (0.00026)</t>
  </si>
  <si>
    <t>kdgK</t>
  </si>
  <si>
    <t>2-keto-3-deoxygluconate kinase</t>
  </si>
  <si>
    <t>0.05656 (0.04212)</t>
  </si>
  <si>
    <t>0.02909 (0.03648)</t>
  </si>
  <si>
    <t>0.01240 (0.00058)</t>
  </si>
  <si>
    <t>0.04758 (0.00232)</t>
  </si>
  <si>
    <t>0.00208 (0.00016)</t>
  </si>
  <si>
    <t>kdgR</t>
  </si>
  <si>
    <t>transcriptional repressor of the Kdg operon(KdgR-galacturonate)</t>
  </si>
  <si>
    <t>0.09519 (0.02487)</t>
  </si>
  <si>
    <t>0.03816 (0.03826)</t>
  </si>
  <si>
    <t>0.00867 (0.00028)</t>
  </si>
  <si>
    <t>0.03170 (0.00113)</t>
  </si>
  <si>
    <t>0.00225 (0.00010)</t>
  </si>
  <si>
    <t>kduI</t>
  </si>
  <si>
    <t>4-deoxy-L-threo-5-hexosulose-uronateketol-isomerase, 5-keto-4-deoxyuronate isomerase</t>
  </si>
  <si>
    <t>0.15330 (0.06159)</t>
  </si>
  <si>
    <t>0.12429 (0.06006)</t>
  </si>
  <si>
    <t>0.01201 (0.00060)</t>
  </si>
  <si>
    <t>0.04094 (0.00226)</t>
  </si>
  <si>
    <t>0.00411 (0.00023)</t>
  </si>
  <si>
    <t>kduD</t>
  </si>
  <si>
    <t>2-keto-3-deoxygluconate oxidoreductase</t>
  </si>
  <si>
    <t>0.20906 (0.13642)</t>
  </si>
  <si>
    <t>0.27684 (0.13472)</t>
  </si>
  <si>
    <t>0.01310 (0.00066)</t>
  </si>
  <si>
    <t>0.03282 (0.00227)</t>
  </si>
  <si>
    <t>0.00717 (0.00042)</t>
  </si>
  <si>
    <t>ypvA</t>
  </si>
  <si>
    <t>putative ATP-dependent helicase</t>
  </si>
  <si>
    <t>0.02026 (0.02973)</t>
  </si>
  <si>
    <t>0.00919 (0.02667)</t>
  </si>
  <si>
    <t>0.00773 (0.00027)</t>
  </si>
  <si>
    <t>0.03332 (0.00121)</t>
  </si>
  <si>
    <t>0.00064 (0.00007)</t>
  </si>
  <si>
    <t>yptA</t>
  </si>
  <si>
    <t>0.95003 (0.04802)</t>
  </si>
  <si>
    <t>0.22525 (0.15866)</t>
  </si>
  <si>
    <t>0.02903 (0.00500)</t>
  </si>
  <si>
    <t>0.05040 (0.01096)</t>
  </si>
  <si>
    <t>0.02407 (0.00444)</t>
  </si>
  <si>
    <t>ypzG</t>
  </si>
  <si>
    <t>0.01460 (0.00146)</t>
  </si>
  <si>
    <t>0.07869 (0.00832)</t>
  </si>
  <si>
    <t>rlmKB</t>
  </si>
  <si>
    <t>m(7)G2069 methylase of 23S rRNA</t>
  </si>
  <si>
    <t>0.05734 (0.02880)</t>
  </si>
  <si>
    <t>0.03083 (0.02257)</t>
  </si>
  <si>
    <t>0.01281 (0.00047)</t>
  </si>
  <si>
    <t>0.05200 (0.00202)</t>
  </si>
  <si>
    <t>gpsB</t>
  </si>
  <si>
    <t>cell division protein</t>
  </si>
  <si>
    <t>0.62245 (0.09648)</t>
  </si>
  <si>
    <t>0.01383 (0.00098)</t>
  </si>
  <si>
    <t>0.07548 (0.00554)</t>
  </si>
  <si>
    <t>ypsA</t>
  </si>
  <si>
    <t>0.27783 (0.11503)</t>
  </si>
  <si>
    <t>0.24710 (0.07681)</t>
  </si>
  <si>
    <t>0.01324 (0.00046)</t>
  </si>
  <si>
    <t>0.03088 (0.00147)</t>
  </si>
  <si>
    <t>0.00858 (0.00041)</t>
  </si>
  <si>
    <t>cotD</t>
  </si>
  <si>
    <t>spore coat protein (inner)</t>
  </si>
  <si>
    <t>0.07142 (0.06029)</t>
  </si>
  <si>
    <t>0.03003 (0.00756)</t>
  </si>
  <si>
    <t>0.13778 (0.04374)</t>
  </si>
  <si>
    <t>0.00844 (0.00115)</t>
  </si>
  <si>
    <t>BSU_22205</t>
  </si>
  <si>
    <t>conserved protein of unknown functiongene            complement(2333324..2334565)CDS             complement(2333324..2334565)computational evidences; PubMedId: 23249255; Product typee: enzyme</t>
  </si>
  <si>
    <t>0.10429 (0.12555)</t>
  </si>
  <si>
    <t>0.02778 (0.00408)</t>
  </si>
  <si>
    <t>0.10093 (0.01673)</t>
  </si>
  <si>
    <t>0.01021 (0.00417)</t>
  </si>
  <si>
    <t>yprA</t>
  </si>
  <si>
    <t>0.06191 (0.02141)</t>
  </si>
  <si>
    <t>0.04627 (0.06980)</t>
  </si>
  <si>
    <t>0.00766 (0.00024)</t>
  </si>
  <si>
    <t>0.02742 (0.00086)</t>
  </si>
  <si>
    <t>0.00202 (0.00012)</t>
  </si>
  <si>
    <t>ypqE</t>
  </si>
  <si>
    <t>putative phosphotransferase system enzyme IIAcomponent</t>
  </si>
  <si>
    <t>0.15061 (0.17093)</t>
  </si>
  <si>
    <t>0.30262 (0.18045)</t>
  </si>
  <si>
    <t>0.01025 (0.00088)</t>
  </si>
  <si>
    <t>0.02467 (0.00247)</t>
  </si>
  <si>
    <t>0.00607 (0.00075)</t>
  </si>
  <si>
    <t>ypqA</t>
  </si>
  <si>
    <t>0.20931 (0.13570)</t>
  </si>
  <si>
    <t>0.39369 (0.38147)</t>
  </si>
  <si>
    <t>0.00810 (0.00044)</t>
  </si>
  <si>
    <t>0.01914 (0.00155)</t>
  </si>
  <si>
    <t>0.00531 (0.00038)</t>
  </si>
  <si>
    <t>yppG</t>
  </si>
  <si>
    <t>putative spore coat protein;methionine-glutamine-rich protein</t>
  </si>
  <si>
    <t>0.08593 (0.13249)</t>
  </si>
  <si>
    <t>0.51862 (0.36672)</t>
  </si>
  <si>
    <t>0.00782 (0.00092)</t>
  </si>
  <si>
    <t>0.02013 (0.00299)</t>
  </si>
  <si>
    <t>0.00473 (0.00077)</t>
  </si>
  <si>
    <t>yppF</t>
  </si>
  <si>
    <t>0.36115 (0.24368)</t>
  </si>
  <si>
    <t>0.01254 (0.00207)</t>
  </si>
  <si>
    <t>0.02349 (0.00797)</t>
  </si>
  <si>
    <t>0.01012 (0.00265)</t>
  </si>
  <si>
    <t>yppE</t>
  </si>
  <si>
    <t>0.17996 (0.15140)</t>
  </si>
  <si>
    <t>0.11594 (0.12022)</t>
  </si>
  <si>
    <t>0.01831 (0.00121)</t>
  </si>
  <si>
    <t>0.05892 (0.00407)</t>
  </si>
  <si>
    <t>0.00797 (0.00091)</t>
  </si>
  <si>
    <t>yppD</t>
  </si>
  <si>
    <t>0.04571 (0.08982)</t>
  </si>
  <si>
    <t>0.18284 (0.12377)</t>
  </si>
  <si>
    <t>0.01395 (0.00095)</t>
  </si>
  <si>
    <t>0.04672 (0.00335)</t>
  </si>
  <si>
    <t>0.00530 (0.00074)</t>
  </si>
  <si>
    <t>sspM</t>
  </si>
  <si>
    <t>0.01961 (0.00327)</t>
  </si>
  <si>
    <t>0.09424 (0.01656)</t>
  </si>
  <si>
    <t>yppC</t>
  </si>
  <si>
    <t>0.25543 (0.09520)</t>
  </si>
  <si>
    <t>0.05610 (0.03081)</t>
  </si>
  <si>
    <t>0.01219 (0.00043)</t>
  </si>
  <si>
    <t>0.03894 (0.00153)</t>
  </si>
  <si>
    <t>0.00525 (0.00031)</t>
  </si>
  <si>
    <t>recU</t>
  </si>
  <si>
    <t>Holliday junction resolvase</t>
  </si>
  <si>
    <t>0.09929 (0.06470)</t>
  </si>
  <si>
    <t>0.07157 (0.05827)</t>
  </si>
  <si>
    <t>0.01824 (0.00130)</t>
  </si>
  <si>
    <t>0.07096 (0.00551)</t>
  </si>
  <si>
    <t>0.00481 (0.00030)</t>
  </si>
  <si>
    <t>ponA</t>
  </si>
  <si>
    <t>peptidoglycan glycosyltransferase(penicillin-binding proteins 1A and 1B)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</si>
  <si>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GCA_002173615.1_ASM217361v1_genomic</t>
  </si>
  <si>
    <t>0.05295 (0.03233)</t>
  </si>
  <si>
    <t>0.01380 (0.01867)</t>
  </si>
  <si>
    <t>0.00964 (0.00076)</t>
  </si>
  <si>
    <t>0.03892 (0.00324)</t>
  </si>
  <si>
    <t>0.00140 (0.00020)</t>
  </si>
  <si>
    <t>ypoC</t>
  </si>
  <si>
    <t>0.12252 (0.06135)</t>
  </si>
  <si>
    <t>0.17514 (0.13785)</t>
  </si>
  <si>
    <t>0.01135 (0.00082)</t>
  </si>
  <si>
    <t>0.04243 (0.00367)</t>
  </si>
  <si>
    <t>0.00356 (0.00028)</t>
  </si>
  <si>
    <t>nth</t>
  </si>
  <si>
    <t>endonuclease III, apurinic apyrimidic DNA lyase</t>
  </si>
  <si>
    <t>0.05094 (0.04679)</t>
  </si>
  <si>
    <t>0.00922 (0.00096)</t>
  </si>
  <si>
    <t>0.03723 (0.00458)</t>
  </si>
  <si>
    <t>0.00132 (0.00021)</t>
  </si>
  <si>
    <t>dnaD</t>
  </si>
  <si>
    <t>DNA-remodelling primosomal protein</t>
  </si>
  <si>
    <t>0.01399 (0.03705)</t>
  </si>
  <si>
    <t>0.03634 (0.07572)</t>
  </si>
  <si>
    <t>0.00908 (0.00048)</t>
  </si>
  <si>
    <t>0.04190 (0.00230)</t>
  </si>
  <si>
    <t>0.00104 (0.00015)</t>
  </si>
  <si>
    <t>asnS</t>
  </si>
  <si>
    <t>asparaginyl-tRNA synthetase</t>
  </si>
  <si>
    <t>0.03794 (0.05455)</t>
  </si>
  <si>
    <t>0.01785 (0.03955)</t>
  </si>
  <si>
    <t>0.02509 (0.00160)</t>
  </si>
  <si>
    <t>0.11372 (0.00747)</t>
  </si>
  <si>
    <t>0.00267 (0.00023)</t>
  </si>
  <si>
    <t>aspB</t>
  </si>
  <si>
    <t>anabolic oxaloacetate / glutamateaminotransferase</t>
  </si>
  <si>
    <t>0.07344 (0.03070)</t>
  </si>
  <si>
    <t>0.03043 (0.07062)</t>
  </si>
  <si>
    <t>0.00739 (0.00031)</t>
  </si>
  <si>
    <t>0.02719 (0.00122)</t>
  </si>
  <si>
    <t>0.00151 (0.00010)</t>
  </si>
  <si>
    <t>tseB</t>
  </si>
  <si>
    <t>suppressor of tetracyclin sensitivity of an ezrAmutant</t>
  </si>
  <si>
    <t>0.07923 (0.06394)</t>
  </si>
  <si>
    <t>0.17056 (0.09910)</t>
  </si>
  <si>
    <t>0.02326 (0.00193)</t>
  </si>
  <si>
    <t>0.07418 (0.00653)</t>
  </si>
  <si>
    <t>0.00997 (0.00082)</t>
  </si>
  <si>
    <t>ypmA</t>
  </si>
  <si>
    <t>0.03970 (0.08680)</t>
  </si>
  <si>
    <t>0.05192 (0.07343)</t>
  </si>
  <si>
    <t>0.02894 (0.00276)</t>
  </si>
  <si>
    <t>0.12901 (0.01464)</t>
  </si>
  <si>
    <t>0.00470 (0.00072)</t>
  </si>
  <si>
    <t>dinG</t>
  </si>
  <si>
    <t>damage inducible ATP-dependent 3'-&gt;5' nuclease</t>
  </si>
  <si>
    <t>0.10507 (0.03239)</t>
  </si>
  <si>
    <t>0.03378 (0.02513)</t>
  </si>
  <si>
    <t>0.00818 (0.00024)</t>
  </si>
  <si>
    <t>0.03085 (0.00097)</t>
  </si>
  <si>
    <t>0.00191 (0.00009)</t>
  </si>
  <si>
    <t>panD</t>
  </si>
  <si>
    <t>aspartate 1-decarboxylase</t>
  </si>
  <si>
    <t>0.02803 (0.06400)</t>
  </si>
  <si>
    <t>0.02588 (0.00206)</t>
  </si>
  <si>
    <t>0.12587 (0.01035)</t>
  </si>
  <si>
    <t>0.00105 (0.00028)</t>
  </si>
  <si>
    <t>panC</t>
  </si>
  <si>
    <t>pantothenate synthetase</t>
  </si>
  <si>
    <t>0.14631 (0.08811)</t>
  </si>
  <si>
    <t>0.11371 (0.06620)</t>
  </si>
  <si>
    <t>0.01213 (0.00059)</t>
  </si>
  <si>
    <t>0.03666 (0.00211)</t>
  </si>
  <si>
    <t>0.00520 (0.00028)</t>
  </si>
  <si>
    <t>panB</t>
  </si>
  <si>
    <t>ketopantoate hydroxymethyltransferase</t>
  </si>
  <si>
    <t>0.07173 (0.10539)</t>
  </si>
  <si>
    <t>0.05242 (0.05262)</t>
  </si>
  <si>
    <t>0.02428 (0.00137)</t>
  </si>
  <si>
    <t>0.09721 (0.00619)</t>
  </si>
  <si>
    <t>0.00471 (0.00025)</t>
  </si>
  <si>
    <t>birA</t>
  </si>
  <si>
    <t>biotin acetyl-CoA-carboxylase ligase and biotinregulon repressor (BirA-biotinoyl-5'-AMP)</t>
  </si>
  <si>
    <t>ref , GCA_000186745.1_ASM18674v1_genomic , GCA_000209795.2_ASM20979v2_genomic , GCA_000227485.1_ASM22748v1_genomic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</si>
  <si>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0.11557 (0.07931)</t>
  </si>
  <si>
    <t>0.04156 (0.05234)</t>
  </si>
  <si>
    <t>0.00935 (0.00042)</t>
  </si>
  <si>
    <t>0.03160 (0.00170)</t>
  </si>
  <si>
    <t>cca</t>
  </si>
  <si>
    <t>tRNA nucleotidyltransferase</t>
  </si>
  <si>
    <t>0.16259 (0.09697)</t>
  </si>
  <si>
    <t>0.26254 (0.10978)</t>
  </si>
  <si>
    <t>0.00915 (0.00036)</t>
  </si>
  <si>
    <t>0.02472 (0.00151)</t>
  </si>
  <si>
    <t>0.00471 (0.00021)</t>
  </si>
  <si>
    <t>bshA</t>
  </si>
  <si>
    <t>N-acetyl-alpha-D-glucosaminyl L-malate synthase;malate glycosyltransferase for bacillithiol synthesis</t>
  </si>
  <si>
    <t>0.05670 (0.04456)</t>
  </si>
  <si>
    <t>0.06032 (0.03441)</t>
  </si>
  <si>
    <t>0.01260 (0.00070)</t>
  </si>
  <si>
    <t>0.04595 (0.00296)</t>
  </si>
  <si>
    <t>bshBA</t>
  </si>
  <si>
    <t>N-acetyl-alpha-D-glucosaminyl L-malatedeacetylase 1; malate N-acetylglucosamine N-acetylhydrolase</t>
  </si>
  <si>
    <t>0.60744 (0.12996)</t>
  </si>
  <si>
    <t>0.11067 (0.08593)</t>
  </si>
  <si>
    <t>0.06621 (0.04149)</t>
  </si>
  <si>
    <t>0.01537 (0.00094)</t>
  </si>
  <si>
    <t>0.05664 (0.00383)</t>
  </si>
  <si>
    <t>0.00414 (0.00024)</t>
  </si>
  <si>
    <t>mgsA</t>
  </si>
  <si>
    <t>methylglyoxal synthase</t>
  </si>
  <si>
    <t>0.05172 (0.05310)</t>
  </si>
  <si>
    <t>0.07924 (0.07038)</t>
  </si>
  <si>
    <t>0.02470 (0.00150)</t>
  </si>
  <si>
    <t>0.08918 (0.00553)</t>
  </si>
  <si>
    <t>0.00680 (0.00057)</t>
  </si>
  <si>
    <t>dapB</t>
  </si>
  <si>
    <t>(4S)-4-hydroxy-2,3,4,5-tetrahydro-(2S)-dipicolinic acid (HTPA) dehydratasereductase</t>
  </si>
  <si>
    <t>0.06876 (0.03997)</t>
  </si>
  <si>
    <t>0.06687 (0.05203)</t>
  </si>
  <si>
    <t>0.00968 (0.00037)</t>
  </si>
  <si>
    <t>0.03709 (0.00152)</t>
  </si>
  <si>
    <t>0.00200 (0.00014)</t>
  </si>
  <si>
    <t>ypjD</t>
  </si>
  <si>
    <t>oxidized nucleotide pyrophosphohydrolase</t>
  </si>
  <si>
    <t>0.03547 (0.04996)</t>
  </si>
  <si>
    <t>0.04907 (0.04103)</t>
  </si>
  <si>
    <t>0.02007 (0.00119)</t>
  </si>
  <si>
    <t>0.09363 (0.00620)</t>
  </si>
  <si>
    <t>0.00359 (0.00023)</t>
  </si>
  <si>
    <t>ypjC</t>
  </si>
  <si>
    <t>0.01702 (0.02443)</t>
  </si>
  <si>
    <t>0.03742 (0.00160)</t>
  </si>
  <si>
    <t>0.00055 (0.00010)</t>
  </si>
  <si>
    <t>ypjB</t>
  </si>
  <si>
    <t>sporulation septum-associated protein</t>
  </si>
  <si>
    <t>0.07673 (0.03821)</t>
  </si>
  <si>
    <t>0.09007 (0.10852)</t>
  </si>
  <si>
    <t>0.00912 (0.00032)</t>
  </si>
  <si>
    <t>0.03209 (0.00125)</t>
  </si>
  <si>
    <t>ypjA</t>
  </si>
  <si>
    <t>conserved integral inner membrane protein ofunknown function</t>
  </si>
  <si>
    <t>ref , GCA_000186745.1_ASM18674v1_genomic , GCA_000209795.2_ASM20979v2_genomic , GCA_000227485.1_ASM22748v1_genomic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</si>
  <si>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0.10707 (0.05183)</t>
  </si>
  <si>
    <t>0.12923 (0.04939)</t>
  </si>
  <si>
    <t>0.01652 (0.00083)</t>
  </si>
  <si>
    <t>0.04913 (0.00286)</t>
  </si>
  <si>
    <t>0.00659 (0.00035)</t>
  </si>
  <si>
    <t>qcrC</t>
  </si>
  <si>
    <t>menaquinol:cytochrome c oxidoreductase(cytochrome cc subunit)</t>
  </si>
  <si>
    <t>0.02257 (0.04673)</t>
  </si>
  <si>
    <t>0.01051 (0.01612)</t>
  </si>
  <si>
    <t>0.02683 (0.00178)</t>
  </si>
  <si>
    <t>0.12740 (0.00917)</t>
  </si>
  <si>
    <t>0.00159 (0.00014)</t>
  </si>
  <si>
    <t>qcrB</t>
  </si>
  <si>
    <t>menaquinol:cytochrome c oxidoreductase(cytochrome b subunit)</t>
  </si>
  <si>
    <t>0.01575 (0.00126)</t>
  </si>
  <si>
    <t>0.07360 (0.00604)</t>
  </si>
  <si>
    <t>qcrA</t>
  </si>
  <si>
    <t>menaquinol:cytochrome c oxidoreductase(iron-sulfur subunit)</t>
  </si>
  <si>
    <t>0.03876 (0.03746)</t>
  </si>
  <si>
    <t>0.01715 (0.00144)</t>
  </si>
  <si>
    <t>0.07686 (0.00638)</t>
  </si>
  <si>
    <t>0.00202 (0.00025)</t>
  </si>
  <si>
    <t>ypiF</t>
  </si>
  <si>
    <t>0.55967 (0.48205)</t>
  </si>
  <si>
    <t>0.13974 (0.20169)</t>
  </si>
  <si>
    <t>0.00762 (0.00048)</t>
  </si>
  <si>
    <t>0.01723 (0.00191)</t>
  </si>
  <si>
    <t>0.00502 (0.00050)</t>
  </si>
  <si>
    <t>ypiB</t>
  </si>
  <si>
    <t>0.71992 (0.09481)</t>
  </si>
  <si>
    <t>0.03018 (0.06556)</t>
  </si>
  <si>
    <t>0.02423 (0.03099)</t>
  </si>
  <si>
    <t>0.02009 (0.00316)</t>
  </si>
  <si>
    <t>0.10408 (0.01802)</t>
  </si>
  <si>
    <t>0.00257 (0.00028)</t>
  </si>
  <si>
    <t>ypiA</t>
  </si>
  <si>
    <t>ref , GCA_000186745.1_ASM18674v1_genomic , GCA_000209795.2_ASM20979v2_genomic , GCA_000227485.1_ASM22748v1_genomic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</si>
  <si>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0.05670 (0.14645)</t>
  </si>
  <si>
    <t>0.08902 (0.05017)</t>
  </si>
  <si>
    <t>0.01331 (0.00166)</t>
  </si>
  <si>
    <t>0.05155 (0.00719)</t>
  </si>
  <si>
    <t>0.00340 (0.00034)</t>
  </si>
  <si>
    <t>aroA</t>
  </si>
  <si>
    <t>3-phosphoshikimate 1-carboxyvinyltransferase(5-enolpyruvoylshikimate-3-phosphate synthase)</t>
  </si>
  <si>
    <t>0.13379 (0.27939)</t>
  </si>
  <si>
    <t>0.10511 (0.09920)</t>
  </si>
  <si>
    <t>0.01362 (0.00099)</t>
  </si>
  <si>
    <t>0.04261 (0.00309)</t>
  </si>
  <si>
    <t>0.00496 (0.00043)</t>
  </si>
  <si>
    <t>tyrA</t>
  </si>
  <si>
    <t>prephenate dehydrogenase</t>
  </si>
  <si>
    <t>ref , GCA_000186745.1_ASM18674v1_genomic , GCA_000209795.2_ASM20979v2_genomic , GCA_000227485.1_ASM22748v1_genomic , GCA_000321395.1_ASM32139v1_genomic , GCA_000338735.1_ASM33873v1_genomic , GCA_000344745.1_ASM34474v1_genomic , GCA_000349795.1_ASM34979v1_genomic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</si>
  <si>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0.02252 (0.03370)</t>
  </si>
  <si>
    <t>0.03391 (0.05182)</t>
  </si>
  <si>
    <t>0.01071 (0.00038)</t>
  </si>
  <si>
    <t>0.04417 (0.00163)</t>
  </si>
  <si>
    <t>0.00123 (0.00011)</t>
  </si>
  <si>
    <t>hisC</t>
  </si>
  <si>
    <t>histidinol-phosphate aminotransferase;</t>
  </si>
  <si>
    <t>0.08073 (0.07651)</t>
  </si>
  <si>
    <t>0.06268 (0.03644)</t>
  </si>
  <si>
    <t>0.01251 (0.00073)</t>
  </si>
  <si>
    <t>0.04329 (0.00267)</t>
  </si>
  <si>
    <t>0.00328 (0.00022)</t>
  </si>
  <si>
    <t>trpA</t>
  </si>
  <si>
    <t>tryptophan synthase (alpha subunit)</t>
  </si>
  <si>
    <t>ref , GCA_000186745.1_ASM18674v1_genomic , GCA_000209795.2_ASM20979v2_genomic , GCA_000227465.1_ASM22746v1_genomic , GCA_000227485.1_ASM22748v1_genomic , GCA_000321395.1_ASM32139v1_genomic , GCA_000338735.1_ASM33873v1_genomic , GCA_000344745.1_ASM34474v1_genomic , GCA_000349795.1_ASM34979v1_genomic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</si>
  <si>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0.15465 (0.38622)</t>
  </si>
  <si>
    <t>0.11108 (0.06656)</t>
  </si>
  <si>
    <t>0.01712 (0.00153)</t>
  </si>
  <si>
    <t>0.05163 (0.00452)</t>
  </si>
  <si>
    <t>0.00754 (0.00083)</t>
  </si>
  <si>
    <t>trpB</t>
  </si>
  <si>
    <t>tryptophan synthase (beta subunit)</t>
  </si>
  <si>
    <t>0.04473 (0.03915)</t>
  </si>
  <si>
    <t>0.06790 (0.06264)</t>
  </si>
  <si>
    <t>0.00666 (0.00034)</t>
  </si>
  <si>
    <t>0.02453 (0.00129)</t>
  </si>
  <si>
    <t>0.00133 (0.00011)</t>
  </si>
  <si>
    <t>trpF</t>
  </si>
  <si>
    <t>phosphoribosylanthranilate isomerase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</si>
  <si>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</si>
  <si>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0.31787 (0.22907)</t>
  </si>
  <si>
    <t>0.25019 (0.13697)</t>
  </si>
  <si>
    <t>0.01555 (0.00080)</t>
  </si>
  <si>
    <t>0.03263 (0.00190)</t>
  </si>
  <si>
    <t>0.01100 (0.00060)</t>
  </si>
  <si>
    <t>trpD</t>
  </si>
  <si>
    <t>anthranilate phosphoribosyltransferase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</si>
  <si>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</si>
  <si>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0.44045 (0.12090)</t>
  </si>
  <si>
    <t>0.10599 (0.05519)</t>
  </si>
  <si>
    <t>0.04444 (0.04213)</t>
  </si>
  <si>
    <t>0.01126 (0.00040)</t>
  </si>
  <si>
    <t>0.03854 (0.00138)</t>
  </si>
  <si>
    <t>0.00307 (0.00016)</t>
  </si>
  <si>
    <t>trpE</t>
  </si>
  <si>
    <t>anthranilate synthase</t>
  </si>
  <si>
    <t>0.16480 (0.04090)</t>
  </si>
  <si>
    <t>0.06832 (0.01963)</t>
  </si>
  <si>
    <t>0.01500 (0.00042)</t>
  </si>
  <si>
    <t>0.05183 (0.00173)</t>
  </si>
  <si>
    <t>0.00498 (0.00014)</t>
  </si>
  <si>
    <t>aroH</t>
  </si>
  <si>
    <t>chorismate mutase</t>
  </si>
  <si>
    <t>0.58333 (0.16667)</t>
  </si>
  <si>
    <t>0.10143 (0.09303)</t>
  </si>
  <si>
    <t>0.01059 (0.00075)</t>
  </si>
  <si>
    <t>0.04072 (0.00378)</t>
  </si>
  <si>
    <t>0.00246 (0.00029)</t>
  </si>
  <si>
    <t>aroB</t>
  </si>
  <si>
    <t>3-dehydroquinate synthase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</si>
  <si>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</si>
  <si>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0.08154 (0.04868)</t>
  </si>
  <si>
    <t>0.03810 (0.03018)</t>
  </si>
  <si>
    <t>0.02837 (0.00173)</t>
  </si>
  <si>
    <t>0.11094 (0.00728)</t>
  </si>
  <si>
    <t>0.00706 (0.00040)</t>
  </si>
  <si>
    <t>aroF</t>
  </si>
  <si>
    <t>chorismate synthase</t>
  </si>
  <si>
    <t>ref , GCA_000186745.1_ASM18674v1_genomic , GCA_000209795.2_ASM20979v2_genomic , GCA_000227465.1_ASM22746v1_genomic , GCA_000227485.1_ASM22748v1_genomic , GCA_000321395.1_ASM32139v1_genomic , GCA_000338735.1_ASM33873v1_genomic , GCA_000344745.1_ASM34474v1_genomic , GCA_000349795.1_ASM34979v1_genomic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</si>
  <si>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0.01655 (0.01969)</t>
  </si>
  <si>
    <t>0.01279 (0.02754)</t>
  </si>
  <si>
    <t>0.02097 (0.00186)</t>
  </si>
  <si>
    <t>0.09878 (0.00955)</t>
  </si>
  <si>
    <t>0.00085 (0.00007)</t>
  </si>
  <si>
    <t>cheR</t>
  </si>
  <si>
    <t>methyl-accepting chemotaxis proteins (MCPs)methyltransferase</t>
  </si>
  <si>
    <t>0.04891 (0.03901)</t>
  </si>
  <si>
    <t>0.06795 (0.06314)</t>
  </si>
  <si>
    <t>0.01357 (0.00064)</t>
  </si>
  <si>
    <t>0.05495 (0.00317)</t>
  </si>
  <si>
    <t>0.00298 (0.00016)</t>
  </si>
  <si>
    <t>ndk</t>
  </si>
  <si>
    <t>nucleoside diphosphate kinase</t>
  </si>
  <si>
    <t>0.07368 (0.07426)</t>
  </si>
  <si>
    <t>0.00954 (0.02818)</t>
  </si>
  <si>
    <t>0.02186 (0.00137)</t>
  </si>
  <si>
    <t>0.10626 (0.00710)</t>
  </si>
  <si>
    <t>0.00205 (0.00024)</t>
  </si>
  <si>
    <t>hepT</t>
  </si>
  <si>
    <t>heptaprenyl diphosphate synthase component II</t>
  </si>
  <si>
    <t>0.04577 (0.04636)</t>
  </si>
  <si>
    <t>0.01299 (0.01990)</t>
  </si>
  <si>
    <t>0.02599 (0.00122)</t>
  </si>
  <si>
    <t>0.12230 (0.00608)</t>
  </si>
  <si>
    <t>0.00165 (0.00010)</t>
  </si>
  <si>
    <t>menG</t>
  </si>
  <si>
    <t>demethylmenaquinone methyltransferase</t>
  </si>
  <si>
    <t>0.05153 (0.03214)</t>
  </si>
  <si>
    <t>0.07316 (0.04384)</t>
  </si>
  <si>
    <t>0.02368 (0.00157)</t>
  </si>
  <si>
    <t>0.09207 (0.00619)</t>
  </si>
  <si>
    <t>0.00744 (0.00058)</t>
  </si>
  <si>
    <t>hepS</t>
  </si>
  <si>
    <t>heptaprenyl diphosphate synthase component I</t>
  </si>
  <si>
    <t>0.02105 (0.05773)</t>
  </si>
  <si>
    <t>0.11065 (0.09994)</t>
  </si>
  <si>
    <t>0.01653 (0.00113)</t>
  </si>
  <si>
    <t>0.05694 (0.00387)</t>
  </si>
  <si>
    <t>0.00629 (0.00047)</t>
  </si>
  <si>
    <t>mtrB</t>
  </si>
  <si>
    <t>tryptophan operon RNA-binding attenuationprotein (TRAP)</t>
  </si>
  <si>
    <t>0.68000 (0.09119)</t>
  </si>
  <si>
    <t>0.02671 (0.06182)</t>
  </si>
  <si>
    <t>0.04358 (0.06365)</t>
  </si>
  <si>
    <t>0.02479 (0.00182)</t>
  </si>
  <si>
    <t>0.10958 (0.00826)</t>
  </si>
  <si>
    <t>0.00429 (0.00045)</t>
  </si>
  <si>
    <t>folEA</t>
  </si>
  <si>
    <t>0.04474 (0.05838)</t>
  </si>
  <si>
    <t>0.01778 (0.00119)</t>
  </si>
  <si>
    <t>0.08297 (0.00575)</t>
  </si>
  <si>
    <t>0.00061 (0.00010)</t>
  </si>
  <si>
    <t>hbs</t>
  </si>
  <si>
    <t>non-specific DNA-binding protein HBsu</t>
  </si>
  <si>
    <t>0.00759 (0.00069)</t>
  </si>
  <si>
    <t>0.03434 (0.00317)</t>
  </si>
  <si>
    <t>spoIVA</t>
  </si>
  <si>
    <t>morphogenetic stage IV sporulation protein</t>
  </si>
  <si>
    <t>0.00535 (0.02148)</t>
  </si>
  <si>
    <t>0.01151 (0.02018)</t>
  </si>
  <si>
    <t>0.02206 (0.00133)</t>
  </si>
  <si>
    <t>0.10428 (0.00656)</t>
  </si>
  <si>
    <t>0.00140 (0.00009)</t>
  </si>
  <si>
    <t>yphF</t>
  </si>
  <si>
    <t>putative lipoprotein of unknown function</t>
  </si>
  <si>
    <t>0.19699 (0.07550)</t>
  </si>
  <si>
    <t>0.14392 (0.06368)</t>
  </si>
  <si>
    <t>0.01023 (0.00038)</t>
  </si>
  <si>
    <t>0.03205 (0.00157)</t>
  </si>
  <si>
    <t>0.00417 (0.00022)</t>
  </si>
  <si>
    <t>yphE</t>
  </si>
  <si>
    <t>0.10505 (0.12029)</t>
  </si>
  <si>
    <t>0.12069 (0.21672)</t>
  </si>
  <si>
    <t>0.03012 (0.00243)</t>
  </si>
  <si>
    <t>0.10273 (0.00838)</t>
  </si>
  <si>
    <t>0.01182 (0.00125)</t>
  </si>
  <si>
    <t>gpsA</t>
  </si>
  <si>
    <t>NADPH-dependent glycerol-3-phosphatedehydrogenase</t>
  </si>
  <si>
    <t>0.07176 (0.04407)</t>
  </si>
  <si>
    <t>0.17478 (0.51539)</t>
  </si>
  <si>
    <t>0.03375 (0.00283)</t>
  </si>
  <si>
    <t>0.10340 (0.00804)</t>
  </si>
  <si>
    <t>0.01536 (0.00162)</t>
  </si>
  <si>
    <t>der</t>
  </si>
  <si>
    <t>GTPase essential for ribosome 50S subunitassembly (maturation of the 50S subunit centralprotoberance)</t>
  </si>
  <si>
    <t>0.05818 (0.02904)</t>
  </si>
  <si>
    <t>0.00934 (0.02396)</t>
  </si>
  <si>
    <t>0.01285 (0.00055)</t>
  </si>
  <si>
    <t>0.05178 (0.00224)</t>
  </si>
  <si>
    <t>0.00168 (0.00010)</t>
  </si>
  <si>
    <t>ypzH</t>
  </si>
  <si>
    <t>0.27876 (0.11380)</t>
  </si>
  <si>
    <t>0.13938 (0.20118)</t>
  </si>
  <si>
    <t>0.01470 (0.00100)</t>
  </si>
  <si>
    <t>0.03638 (0.00298)</t>
  </si>
  <si>
    <t>0.00897 (0.00080)</t>
  </si>
  <si>
    <t>yphB</t>
  </si>
  <si>
    <t>0.03406 (0.02167)</t>
  </si>
  <si>
    <t>0.00980 (0.00052)</t>
  </si>
  <si>
    <t>0.03974 (0.00212)</t>
  </si>
  <si>
    <t>0.00088 (0.00013)</t>
  </si>
  <si>
    <t>yphA</t>
  </si>
  <si>
    <t>0.26728 (0.09958)</t>
  </si>
  <si>
    <t>0.15094 (0.21787)</t>
  </si>
  <si>
    <t>0.00921 (0.00067)</t>
  </si>
  <si>
    <t>0.02176 (0.00220)</t>
  </si>
  <si>
    <t>0.00556 (0.00058)</t>
  </si>
  <si>
    <t>ypzI</t>
  </si>
  <si>
    <t>0.07168 (0.06901)</t>
  </si>
  <si>
    <t>0.04987 (0.06004)</t>
  </si>
  <si>
    <t>0.03402 (0.00238)</t>
  </si>
  <si>
    <t>0.15100 (0.01241)</t>
  </si>
  <si>
    <t>0.00821 (0.00104)</t>
  </si>
  <si>
    <t>fni</t>
  </si>
  <si>
    <t>isopentenyl diphosphate isomerase (typeII)</t>
  </si>
  <si>
    <t>0.13213 (0.08124)</t>
  </si>
  <si>
    <t>0.10693 (0.03551)</t>
  </si>
  <si>
    <t>0.02079 (0.00090)</t>
  </si>
  <si>
    <t>0.06659 (0.00306)</t>
  </si>
  <si>
    <t>0.00753 (0.00044)</t>
  </si>
  <si>
    <t>rpfA</t>
  </si>
  <si>
    <t>RNA degradation presenting factor (ribosomalprotein S1 homolog)</t>
  </si>
  <si>
    <t>0.02433 (0.02716)</t>
  </si>
  <si>
    <t>0.00826 (0.01570)</t>
  </si>
  <si>
    <t>0.01936 (0.00108)</t>
  </si>
  <si>
    <t>0.08904 (0.00523)</t>
  </si>
  <si>
    <t>0.00109 (0.00007)</t>
  </si>
  <si>
    <t>cmk</t>
  </si>
  <si>
    <t>cytidylate kinase</t>
  </si>
  <si>
    <t>0.11534 (0.07764)</t>
  </si>
  <si>
    <t>0.05745 (0.09187)</t>
  </si>
  <si>
    <t>0.02213 (0.00197)</t>
  </si>
  <si>
    <t>0.08387 (0.00903)</t>
  </si>
  <si>
    <t>0.00595 (0.00037)</t>
  </si>
  <si>
    <t>ypfB</t>
  </si>
  <si>
    <t>0.31442 (0.34807)</t>
  </si>
  <si>
    <t>0.04980 (0.04871)</t>
  </si>
  <si>
    <t>0.03383 (0.00333)</t>
  </si>
  <si>
    <t>0.11680 (0.01485)</t>
  </si>
  <si>
    <t>0.01533 (0.00247)</t>
  </si>
  <si>
    <t>dgrA</t>
  </si>
  <si>
    <t>cyclic di-GMP receptor</t>
  </si>
  <si>
    <t>0.19846 (0.11739)</t>
  </si>
  <si>
    <t>0.44589 (0.33482)</t>
  </si>
  <si>
    <t>0.01428 (0.00070)</t>
  </si>
  <si>
    <t>0.02961 (0.00194)</t>
  </si>
  <si>
    <t>0.01022 (0.00051)</t>
  </si>
  <si>
    <t>sleC</t>
  </si>
  <si>
    <t>spore germination membrane component</t>
  </si>
  <si>
    <t>0.03903 (0.03376)</t>
  </si>
  <si>
    <t>0.04234 (0.03438)</t>
  </si>
  <si>
    <t>0.00824 (0.00046)</t>
  </si>
  <si>
    <t>0.03437 (0.00217)</t>
  </si>
  <si>
    <t>0.00145 (0.00009)</t>
  </si>
  <si>
    <t>sleB</t>
  </si>
  <si>
    <t>spore germination cortex-lytic enzyme</t>
  </si>
  <si>
    <t>0.06590 (0.10728)</t>
  </si>
  <si>
    <t>0.02565 (0.02399)</t>
  </si>
  <si>
    <t>0.01442 (0.00110)</t>
  </si>
  <si>
    <t>0.05660 (0.00455)</t>
  </si>
  <si>
    <t>0.00268 (0.00027)</t>
  </si>
  <si>
    <t>prsW</t>
  </si>
  <si>
    <t>protease required for RsiW anti-sigma(W)degradation</t>
  </si>
  <si>
    <t>0.08252 (0.10439)</t>
  </si>
  <si>
    <t>0.07601 (0.14446)</t>
  </si>
  <si>
    <t>0.00717 (0.00059)</t>
  </si>
  <si>
    <t>0.02634 (0.00229)</t>
  </si>
  <si>
    <t>0.00151 (0.00019)</t>
  </si>
  <si>
    <t>ypdA</t>
  </si>
  <si>
    <t>putative bacillithiol biosynthesis thioldisulfide oxidoreductase</t>
  </si>
  <si>
    <t>0.11418 (0.06152)</t>
  </si>
  <si>
    <t>0.10381 (0.04803)</t>
  </si>
  <si>
    <t>0.02228 (0.00089)</t>
  </si>
  <si>
    <t>0.07668 (0.00350)</t>
  </si>
  <si>
    <t>0.00783 (0.00036)</t>
  </si>
  <si>
    <t>gudB</t>
  </si>
  <si>
    <t>cryptic glutamate dehydrogenase (active afterremoval of a 9 bp insert)</t>
  </si>
  <si>
    <t>0.00753 (0.02575)</t>
  </si>
  <si>
    <t>0.02508 (0.02979)</t>
  </si>
  <si>
    <t>0.02348 (0.00165)</t>
  </si>
  <si>
    <t>0.10448 (0.00746)</t>
  </si>
  <si>
    <t>mecB</t>
  </si>
  <si>
    <t>adaptor to ClpC; regulator of competence andsporulation</t>
  </si>
  <si>
    <t>0.35926 (0.31468)</t>
  </si>
  <si>
    <t>0.01179 (0.02816)</t>
  </si>
  <si>
    <t>0.01968 (0.00175)</t>
  </si>
  <si>
    <t>0.08061 (0.00746)</t>
  </si>
  <si>
    <t>0.00427 (0.00064)</t>
  </si>
  <si>
    <t>ypbG</t>
  </si>
  <si>
    <t>putative phosphoesterase</t>
  </si>
  <si>
    <t>0.21283 (0.07848)</t>
  </si>
  <si>
    <t>0.09920 (0.09640)</t>
  </si>
  <si>
    <t>0.00833 (0.00041)</t>
  </si>
  <si>
    <t>0.02381 (0.00139)</t>
  </si>
  <si>
    <t>0.00384 (0.00024)</t>
  </si>
  <si>
    <t>ypbF</t>
  </si>
  <si>
    <t>0.80737 (0.09750)</t>
  </si>
  <si>
    <t>0.14352 (0.12079)</t>
  </si>
  <si>
    <t>0.00756 (0.00087)</t>
  </si>
  <si>
    <t>0.02951 (0.00398)</t>
  </si>
  <si>
    <t>0.00242 (0.00039)</t>
  </si>
  <si>
    <t>ypbD</t>
  </si>
  <si>
    <t>0.80102 (0.10020)</t>
  </si>
  <si>
    <t>0.22167 (0.16632)</t>
  </si>
  <si>
    <t>0.00540 (0.00071)</t>
  </si>
  <si>
    <t>0.01175 (0.00205)</t>
  </si>
  <si>
    <t>0.00369 (0.00058)</t>
  </si>
  <si>
    <t>recS</t>
  </si>
  <si>
    <t>0.06856 (0.03652)</t>
  </si>
  <si>
    <t>0.01765 (0.04067)</t>
  </si>
  <si>
    <t>0.00949 (0.00040)</t>
  </si>
  <si>
    <t>0.03744 (0.00160)</t>
  </si>
  <si>
    <t>0.00185 (0.00020)</t>
  </si>
  <si>
    <t>gmmB</t>
  </si>
  <si>
    <t>subunit of the platform for genome maintenancemachinery</t>
  </si>
  <si>
    <t>0.14057 (0.08756)</t>
  </si>
  <si>
    <t>0.20276 (0.07025)</t>
  </si>
  <si>
    <t>0.01357 (0.00084)</t>
  </si>
  <si>
    <t>0.03819 (0.00245)</t>
  </si>
  <si>
    <t>0.00698 (0.00046)</t>
  </si>
  <si>
    <t>fer</t>
  </si>
  <si>
    <t>ferredoxin</t>
  </si>
  <si>
    <t>0.07038 (0.13377)</t>
  </si>
  <si>
    <t>0.01307 (0.00122)</t>
  </si>
  <si>
    <t>0.05728 (0.00625)</t>
  </si>
  <si>
    <t>0.00131 (0.00041)</t>
  </si>
  <si>
    <t>fmnP</t>
  </si>
  <si>
    <t>FMN permease</t>
  </si>
  <si>
    <t>0.22494 (0.13673)</t>
  </si>
  <si>
    <t>0.00753 (0.00034)</t>
  </si>
  <si>
    <t>0.02516 (0.00154)</t>
  </si>
  <si>
    <t>0.00210 (0.00021)</t>
  </si>
  <si>
    <t>serA</t>
  </si>
  <si>
    <t>3-phosphoglycerate dehydrogenase</t>
  </si>
  <si>
    <t>0.01890 (0.02621)</t>
  </si>
  <si>
    <t>0.02316 (0.03065)</t>
  </si>
  <si>
    <t>0.01063 (0.00078)</t>
  </si>
  <si>
    <t>0.04521 (0.00349)</t>
  </si>
  <si>
    <t>0.00074 (0.00008)</t>
  </si>
  <si>
    <t>aroC</t>
  </si>
  <si>
    <t>3-dehydroquinate dehydratase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</si>
  <si>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</si>
  <si>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0.12722 (0.03321)</t>
  </si>
  <si>
    <t>0.07277 (0.03693)</t>
  </si>
  <si>
    <t>0.02086 (0.00101)</t>
  </si>
  <si>
    <t>0.07169 (0.00378)</t>
  </si>
  <si>
    <t>0.00695 (0.00041)</t>
  </si>
  <si>
    <t>rsiX</t>
  </si>
  <si>
    <t>negative regulator of sigma(X) activity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</si>
  <si>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</si>
  <si>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0.12353 (0.07643)</t>
  </si>
  <si>
    <t>0.23051 (0.04916)</t>
  </si>
  <si>
    <t>0.02495 (0.00126)</t>
  </si>
  <si>
    <t>0.06460 (0.00351)</t>
  </si>
  <si>
    <t>0.01482 (0.00083)</t>
  </si>
  <si>
    <t>sigX</t>
  </si>
  <si>
    <t>RNA polymerase ECF(extracytoplasmicfunction)-type sigma factor sigma(X)</t>
  </si>
  <si>
    <t>0.06176 (0.08620)</t>
  </si>
  <si>
    <t>0.02189 (0.00197)</t>
  </si>
  <si>
    <t>0.09471 (0.00829)</t>
  </si>
  <si>
    <t>0.00452 (0.00055)</t>
  </si>
  <si>
    <t>resE</t>
  </si>
  <si>
    <t>two-component sensor histidine kinase (ResD /ResE)</t>
  </si>
  <si>
    <t>0.05722 (0.03160)</t>
  </si>
  <si>
    <t>0.03386 (0.02878)</t>
  </si>
  <si>
    <t>0.00916 (0.00036)</t>
  </si>
  <si>
    <t>0.03549 (0.00155)</t>
  </si>
  <si>
    <t>0.00196 (0.00011)</t>
  </si>
  <si>
    <t>resD</t>
  </si>
  <si>
    <t>two-component response regulator (ResD / ResE)</t>
  </si>
  <si>
    <t>0.04299 (0.03284)</t>
  </si>
  <si>
    <t>0.02302 (0.04889)</t>
  </si>
  <si>
    <t>0.02009 (0.00217)</t>
  </si>
  <si>
    <t>0.08794 (0.01022)</t>
  </si>
  <si>
    <t>0.00238 (0.00026)</t>
  </si>
  <si>
    <t>resC</t>
  </si>
  <si>
    <t>factor required for cytochrome c synthesis</t>
  </si>
  <si>
    <t>0.14225 (0.03852)</t>
  </si>
  <si>
    <t>0.05579 (0.04123)</t>
  </si>
  <si>
    <t>0.00923 (0.00034)</t>
  </si>
  <si>
    <t>0.03041 (0.00125)</t>
  </si>
  <si>
    <t>0.00272 (0.00017)</t>
  </si>
  <si>
    <t>resB</t>
  </si>
  <si>
    <t>0.03751 (0.01633)</t>
  </si>
  <si>
    <t>0.04171 (0.03224)</t>
  </si>
  <si>
    <t>0.00986 (0.00026)</t>
  </si>
  <si>
    <t>0.03852 (0.00103)</t>
  </si>
  <si>
    <t>0.00174 (0.00009)</t>
  </si>
  <si>
    <t>resA</t>
  </si>
  <si>
    <t>extracytoplasmic thioredoxin involved incytochrome c maturation (lipoprotein)</t>
  </si>
  <si>
    <t>0.02891 (0.07789)</t>
  </si>
  <si>
    <t>0.07756 (0.05877)</t>
  </si>
  <si>
    <t>0.02015 (0.00133)</t>
  </si>
  <si>
    <t>0.07569 (0.00513)</t>
  </si>
  <si>
    <t>0.00560 (0.00039)</t>
  </si>
  <si>
    <t>rluB</t>
  </si>
  <si>
    <t>23S rRNA pseudouridine 2633 (=2605 standard)pseudouridine synthase</t>
  </si>
  <si>
    <t>0.17347 (0.07318)</t>
  </si>
  <si>
    <t>0.01817 (0.05054)</t>
  </si>
  <si>
    <t>0.00862 (0.00048)</t>
  </si>
  <si>
    <t>0.03625 (0.00204)</t>
  </si>
  <si>
    <t>spmB</t>
  </si>
  <si>
    <t>spore maturation protein</t>
  </si>
  <si>
    <t>0.53719 (0.10807)</t>
  </si>
  <si>
    <t>0.01913 (0.04296)</t>
  </si>
  <si>
    <t>0.07014 (0.14890)</t>
  </si>
  <si>
    <t>0.01481 (0.00181)</t>
  </si>
  <si>
    <t>0.05684 (0.00787)</t>
  </si>
  <si>
    <t>0.00161 (0.00019)</t>
  </si>
  <si>
    <t>spmA</t>
  </si>
  <si>
    <t>0.01885 (0.04501)</t>
  </si>
  <si>
    <t>0.00815 (0.00046)</t>
  </si>
  <si>
    <t>0.03470 (0.00194)</t>
  </si>
  <si>
    <t>0.00034 (0.00009)</t>
  </si>
  <si>
    <t>dacB</t>
  </si>
  <si>
    <t>D-alanyl-D-alanine carboxypeptidase(penicillin-binding protein 5*) (required for sporecortex)</t>
  </si>
  <si>
    <t>0.13463 (0.05706)</t>
  </si>
  <si>
    <t>0.00758 (0.00034)</t>
  </si>
  <si>
    <t>0.02889 (0.00155)</t>
  </si>
  <si>
    <t>0.00165 (0.00014)</t>
  </si>
  <si>
    <t>ypuI</t>
  </si>
  <si>
    <t>0.01735 (0.04741)</t>
  </si>
  <si>
    <t>0.09154 (0.02204)</t>
  </si>
  <si>
    <t>0.02133 (0.00146)</t>
  </si>
  <si>
    <t>0.08276 (0.00568)</t>
  </si>
  <si>
    <t>0.00567 (0.00049)</t>
  </si>
  <si>
    <t>spcB</t>
  </si>
  <si>
    <t>chromosome condensation and segregation factor</t>
  </si>
  <si>
    <t>0.01861 (0.03507)</t>
  </si>
  <si>
    <t>0.01652 (0.00458)</t>
  </si>
  <si>
    <t>0.07549 (0.02294)</t>
  </si>
  <si>
    <t>0.00127 (0.00024)</t>
  </si>
  <si>
    <t>scpA</t>
  </si>
  <si>
    <t>chromosome condensation and partitioning factor</t>
  </si>
  <si>
    <t>0.16151 (0.06480)</t>
  </si>
  <si>
    <t>0.04625 (0.04861)</t>
  </si>
  <si>
    <t>0.02263 (0.00159)</t>
  </si>
  <si>
    <t>0.09370 (0.00714)</t>
  </si>
  <si>
    <t>0.00569 (0.00037)</t>
  </si>
  <si>
    <t>ypuF</t>
  </si>
  <si>
    <t>0.12935 (0.04020)</t>
  </si>
  <si>
    <t>0.16739 (0.03281)</t>
  </si>
  <si>
    <t>0.01789 (0.00061)</t>
  </si>
  <si>
    <t>0.05774 (0.00244)</t>
  </si>
  <si>
    <t>0.00765 (0.00033)</t>
  </si>
  <si>
    <t>ypzK</t>
  </si>
  <si>
    <t>putative riboflavin synthesis-relatedN-acetyltransferase</t>
  </si>
  <si>
    <t>0.01344 (0.00122)</t>
  </si>
  <si>
    <t>0.07239 (0.00668)</t>
  </si>
  <si>
    <t>ribH</t>
  </si>
  <si>
    <t>6,7-dimethyl-8-ribityllumazine synthase, betasubunit</t>
  </si>
  <si>
    <t>0.02574 (0.00182)</t>
  </si>
  <si>
    <t>0.12233 (0.00894)</t>
  </si>
  <si>
    <t>ribBA</t>
  </si>
  <si>
    <t>fused 3,4-dihydroxy-2-butanone 4-phosphatesynthase and GTP cyclohydrolase II</t>
  </si>
  <si>
    <t>0.10357 (0.05277)</t>
  </si>
  <si>
    <t>0.03293 (0.08303)</t>
  </si>
  <si>
    <t>0.01883 (0.00164)</t>
  </si>
  <si>
    <t>0.07856 (0.00757)</t>
  </si>
  <si>
    <t>0.00325 (0.00022)</t>
  </si>
  <si>
    <t>ribE</t>
  </si>
  <si>
    <t>riboflavin synthase (alpha subunit)</t>
  </si>
  <si>
    <t>0.13091 (0.08223)</t>
  </si>
  <si>
    <t>0.03870 (0.02783)</t>
  </si>
  <si>
    <t>0.02875 (0.00137)</t>
  </si>
  <si>
    <t>0.12287 (0.00647)</t>
  </si>
  <si>
    <t>0.00577 (0.00030)</t>
  </si>
  <si>
    <t>ribD</t>
  </si>
  <si>
    <t>fuseddiaminohydroxyphosphoribosylaminopyrimidine deaminase;5-amino-6-(5-phosphoribosylamino) uracil reductase</t>
  </si>
  <si>
    <t>0.10040 (0.04540)</t>
  </si>
  <si>
    <t>0.16761 (0.04417)</t>
  </si>
  <si>
    <t>0.00751 (0.00025)</t>
  </si>
  <si>
    <t>0.02194 (0.00089)</t>
  </si>
  <si>
    <t>0.00326 (0.00015)</t>
  </si>
  <si>
    <t>ypuD</t>
  </si>
  <si>
    <t>0.09482 (0.09124)</t>
  </si>
  <si>
    <t>0.12743 (0.08899)</t>
  </si>
  <si>
    <t>0.02036 (0.00129)</t>
  </si>
  <si>
    <t>0.06920 (0.00470)</t>
  </si>
  <si>
    <t>0.00773 (0.00055)</t>
  </si>
  <si>
    <t>sipS</t>
  </si>
  <si>
    <t>0.10866 (0.07320)</t>
  </si>
  <si>
    <t>0.22368 (0.09769)</t>
  </si>
  <si>
    <t>0.02531 (0.00138)</t>
  </si>
  <si>
    <t>0.07660 (0.00352)</t>
  </si>
  <si>
    <t>0.01217 (0.00101)</t>
  </si>
  <si>
    <t>ypzC</t>
  </si>
  <si>
    <t>ref , GCA_000186745.1_ASM18674v1_genomic , GCA_000209795.2_ASM20979v2_genomic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</si>
  <si>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0.53027 (0.37897)</t>
  </si>
  <si>
    <t>1.33001 (1.78482)</t>
  </si>
  <si>
    <t>0.02036 (0.00144)</t>
  </si>
  <si>
    <t>0.02824 (0.00379)</t>
  </si>
  <si>
    <t>0.01876 (0.00185)</t>
  </si>
  <si>
    <t>ypzJ</t>
  </si>
  <si>
    <t>0.22241 (0.14463)</t>
  </si>
  <si>
    <t>0.13987 (0.20188)</t>
  </si>
  <si>
    <t>0.01426 (0.00086)</t>
  </si>
  <si>
    <t>0.04018 (0.00297)</t>
  </si>
  <si>
    <t>0.00737 (0.00069)</t>
  </si>
  <si>
    <t>ypuB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</si>
  <si>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</si>
  <si>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0.15876 (0.05779)</t>
  </si>
  <si>
    <t>0.63923 (0.00000)</t>
  </si>
  <si>
    <t>0.02974 (0.00517)</t>
  </si>
  <si>
    <t>0.06195 (0.01018)</t>
  </si>
  <si>
    <t>0.02075 (0.00417)</t>
  </si>
  <si>
    <t>ypzD</t>
  </si>
  <si>
    <t>putative germination protein</t>
  </si>
  <si>
    <t>0.00986 (0.00068)</t>
  </si>
  <si>
    <t>0.04809 (0.00339)</t>
  </si>
  <si>
    <t>ppiB</t>
  </si>
  <si>
    <t>peptidyl-prolyl isomerase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</si>
  <si>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GCA_002142595.1_ASM214259v1_genomic</t>
  </si>
  <si>
    <t>0.02084 (0.05701)</t>
  </si>
  <si>
    <t>0.02292 (0.00199)</t>
  </si>
  <si>
    <t>0.11007 (0.01048)</t>
  </si>
  <si>
    <t>0.00051 (0.00013)</t>
  </si>
  <si>
    <t>ypuA</t>
  </si>
  <si>
    <t>0.04373 (0.02694)</t>
  </si>
  <si>
    <t>0.02002 (0.02450)</t>
  </si>
  <si>
    <t>0.01465 (0.00048)</t>
  </si>
  <si>
    <t>0.06063 (0.00216)</t>
  </si>
  <si>
    <t>0.00191 (0.00011)</t>
  </si>
  <si>
    <t>lysA</t>
  </si>
  <si>
    <t>meso-2,6-diaminopimelate decarboxylase</t>
  </si>
  <si>
    <t>0.05589 (0.02335)</t>
  </si>
  <si>
    <t>0.00985 (0.00044)</t>
  </si>
  <si>
    <t>0.03880 (0.00171)</t>
  </si>
  <si>
    <t>0.00121 (0.00011)</t>
  </si>
  <si>
    <t>spoVAF</t>
  </si>
  <si>
    <t>stage V sporulation protein AF</t>
  </si>
  <si>
    <t>0.03441 (0.03581)</t>
  </si>
  <si>
    <t>0.01049 (0.00051)</t>
  </si>
  <si>
    <t>0.04270 (0.00219)</t>
  </si>
  <si>
    <t>0.00095 (0.00016)</t>
  </si>
  <si>
    <t>spoVAEA</t>
  </si>
  <si>
    <t>stage V sporulation germinant protein</t>
  </si>
  <si>
    <t>0.45370 (0.10039)</t>
  </si>
  <si>
    <t>0.08809 (0.27109)</t>
  </si>
  <si>
    <t>0.01857 (0.00228)</t>
  </si>
  <si>
    <t>0.06737 (0.00763)</t>
  </si>
  <si>
    <t>0.00494 (0.00089)</t>
  </si>
  <si>
    <t>spoVAEB</t>
  </si>
  <si>
    <t>spore germinant protein</t>
  </si>
  <si>
    <t>0.01034 (0.00109)</t>
  </si>
  <si>
    <t>0.04446 (0.00477)</t>
  </si>
  <si>
    <t>spoVAD</t>
  </si>
  <si>
    <t>stage V sporulation protein AD (uptake ofpyridine-2,6-dicarboxylic acid)</t>
  </si>
  <si>
    <t>0.06394 (0.08707)</t>
  </si>
  <si>
    <t>0.01293 (0.04046)</t>
  </si>
  <si>
    <t>0.01113 (0.00045)</t>
  </si>
  <si>
    <t>0.04349 (0.00171)</t>
  </si>
  <si>
    <t>0.00145 (0.00019)</t>
  </si>
  <si>
    <t>spoVAC</t>
  </si>
  <si>
    <t>mechanosensitive channel; stage V sporulationprotein AC</t>
  </si>
  <si>
    <t>0.01661 (0.05235)</t>
  </si>
  <si>
    <t>0.01071 (0.00048)</t>
  </si>
  <si>
    <t>0.04429 (0.00212)</t>
  </si>
  <si>
    <t>0.00045 (0.00012)</t>
  </si>
  <si>
    <t>spoVAB</t>
  </si>
  <si>
    <t>stage V sporulation protein AB</t>
  </si>
  <si>
    <t>0.02522 (0.06754)</t>
  </si>
  <si>
    <t>0.01109 (0.00073)</t>
  </si>
  <si>
    <t>0.04436 (0.00325)</t>
  </si>
  <si>
    <t>spoVAA</t>
  </si>
  <si>
    <t>stage V sporulation protein AA</t>
  </si>
  <si>
    <t>0.09683 (0.05339)</t>
  </si>
  <si>
    <t>0.29112 (0.16808)</t>
  </si>
  <si>
    <t>0.00650 (0.00033)</t>
  </si>
  <si>
    <t>0.01863 (0.00089)</t>
  </si>
  <si>
    <t>0.00304 (0.00029)</t>
  </si>
  <si>
    <t>sigF</t>
  </si>
  <si>
    <t>RNA polymerase sporulation-specific sigma factor(sigma-F)</t>
  </si>
  <si>
    <t>0.01533 (0.04919)</t>
  </si>
  <si>
    <t>0.01430 (0.02487)</t>
  </si>
  <si>
    <t>0.02538 (0.00158)</t>
  </si>
  <si>
    <t>0.12663 (0.00828)</t>
  </si>
  <si>
    <t>0.00127 (0.00013)</t>
  </si>
  <si>
    <t>spoIIAB</t>
  </si>
  <si>
    <t>anti-sigma factor (antagonist of sigma(F)) andserine kinase</t>
  </si>
  <si>
    <t>0.09482 (0.15804)</t>
  </si>
  <si>
    <t>0.00905 (0.00078)</t>
  </si>
  <si>
    <t>0.03629 (0.00350)</t>
  </si>
  <si>
    <t>0.00158 (0.00021)</t>
  </si>
  <si>
    <t>spoIIAA</t>
  </si>
  <si>
    <t>anti-anti-sigma factor (antagonist of SpoIIAB)</t>
  </si>
  <si>
    <t>0.38426 (0.09479)</t>
  </si>
  <si>
    <t>0.01946 (0.06181)</t>
  </si>
  <si>
    <t>0.01909 (0.05064)</t>
  </si>
  <si>
    <t>0.02201 (0.00123)</t>
  </si>
  <si>
    <t>0.09655 (0.00599)</t>
  </si>
  <si>
    <t>0.00244 (0.00019)</t>
  </si>
  <si>
    <t>dacF</t>
  </si>
  <si>
    <t>D-alanyl-D-alanine carboxypeptidase (penicilinbinding protein)</t>
  </si>
  <si>
    <t>0.13860 (0.10357)</t>
  </si>
  <si>
    <t>0.04158 (0.04100)</t>
  </si>
  <si>
    <t>0.01172 (0.00076)</t>
  </si>
  <si>
    <t>0.04444 (0.00329)</t>
  </si>
  <si>
    <t>0.00304 (0.00024)</t>
  </si>
  <si>
    <t>pupG</t>
  </si>
  <si>
    <t>0.04086 (0.03889)</t>
  </si>
  <si>
    <t>0.02411 (0.05730)</t>
  </si>
  <si>
    <t>0.01106 (0.00043)</t>
  </si>
  <si>
    <t>0.04330 (0.00176)</t>
  </si>
  <si>
    <t>0.00131 (0.00013)</t>
  </si>
  <si>
    <t>deoB</t>
  </si>
  <si>
    <t>1,5-phosphopentomutase</t>
  </si>
  <si>
    <t>0.06055 (0.01819)</t>
  </si>
  <si>
    <t>0.02908 (0.08510)</t>
  </si>
  <si>
    <t>0.01082 (0.00036)</t>
  </si>
  <si>
    <t>0.04246 (0.00149)</t>
  </si>
  <si>
    <t>0.00196 (0.00015)</t>
  </si>
  <si>
    <t>ripX</t>
  </si>
  <si>
    <t>0.06235 (0.03890)</t>
  </si>
  <si>
    <t>0.02466 (0.06784)</t>
  </si>
  <si>
    <t>0.01398 (0.00064)</t>
  </si>
  <si>
    <t>0.05758 (0.00295)</t>
  </si>
  <si>
    <t>0.00173 (0.00018)</t>
  </si>
  <si>
    <t>yqzK</t>
  </si>
  <si>
    <t>0.26697 (0.26697)</t>
  </si>
  <si>
    <t>0.10429 (0.00317)</t>
  </si>
  <si>
    <t>0.02282 (0.00293)</t>
  </si>
  <si>
    <t>0.07553 (0.01026)</t>
  </si>
  <si>
    <t>0.01000 (0.00128)</t>
  </si>
  <si>
    <t>fur</t>
  </si>
  <si>
    <t>transcriptional regulator for iron transport andmetabolism</t>
  </si>
  <si>
    <t>0.08916 (0.10310)</t>
  </si>
  <si>
    <t>0.01627 (0.00139)</t>
  </si>
  <si>
    <t>0.08015 (0.00756)</t>
  </si>
  <si>
    <t>spoIIM</t>
  </si>
  <si>
    <t>autolysin component for dissolution of theseptal cell wall (stage II sporulation)</t>
  </si>
  <si>
    <t>0.01759 (0.03674)</t>
  </si>
  <si>
    <t>0.01346 (0.00109)</t>
  </si>
  <si>
    <t>0.05906 (0.00499)</t>
  </si>
  <si>
    <t>0.00066 (0.00013)</t>
  </si>
  <si>
    <t>yqkK</t>
  </si>
  <si>
    <t>1.01598 (1.08070)</t>
  </si>
  <si>
    <t>0.50697 (0.73175)</t>
  </si>
  <si>
    <t>0.01429 (0.00067)</t>
  </si>
  <si>
    <t>0.02073 (0.00276)</t>
  </si>
  <si>
    <t>0.01289 (0.00080)</t>
  </si>
  <si>
    <t>mleA</t>
  </si>
  <si>
    <t>catabolic NAD-dependent malic enzyme (conversionof malate into pyruvate)</t>
  </si>
  <si>
    <t>0.06114 (0.04775)</t>
  </si>
  <si>
    <t>0.01756 (0.02306)</t>
  </si>
  <si>
    <t>0.01167 (0.00059)</t>
  </si>
  <si>
    <t>0.04431 (0.00225)</t>
  </si>
  <si>
    <t>0.00147 (0.00013)</t>
  </si>
  <si>
    <t>mleN</t>
  </si>
  <si>
    <t>malate-H+/Na+-lactate antiporter</t>
  </si>
  <si>
    <t>0.00760 (0.02041)</t>
  </si>
  <si>
    <t>0.03765 (0.07858)</t>
  </si>
  <si>
    <t>0.00783 (0.00054)</t>
  </si>
  <si>
    <t>0.02970 (0.00215)</t>
  </si>
  <si>
    <t>0.00066 (0.00007)</t>
  </si>
  <si>
    <t>ansB</t>
  </si>
  <si>
    <t>L-aspartase (aspartate ammonia lyase)</t>
  </si>
  <si>
    <t>0.01348 (0.02320)</t>
  </si>
  <si>
    <t>0.01525 (0.02379)</t>
  </si>
  <si>
    <t>0.01250 (0.00048)</t>
  </si>
  <si>
    <t>0.05500 (0.00220)</t>
  </si>
  <si>
    <t>ansA</t>
  </si>
  <si>
    <t>exported L-asparaginase</t>
  </si>
  <si>
    <t>0.04713 (0.04344)</t>
  </si>
  <si>
    <t>0.00776 (0.01401)</t>
  </si>
  <si>
    <t>0.02367 (0.00132)</t>
  </si>
  <si>
    <t>0.10988 (0.00649)</t>
  </si>
  <si>
    <t>0.00143 (0.00009)</t>
  </si>
  <si>
    <t>ansR</t>
  </si>
  <si>
    <t>transcriptional regulator of ansAB (Xre family)</t>
  </si>
  <si>
    <t>0.09902 (0.20720)</t>
  </si>
  <si>
    <t>0.01669 (0.00413)</t>
  </si>
  <si>
    <t>0.06148 (0.01550)</t>
  </si>
  <si>
    <t>0.00502 (0.00135)</t>
  </si>
  <si>
    <t>yqxK</t>
  </si>
  <si>
    <t>putative nucleotide binding protein</t>
  </si>
  <si>
    <t>0.12751 (0.05242)</t>
  </si>
  <si>
    <t>0.28735 (0.10547)</t>
  </si>
  <si>
    <t>0.01193 (0.00039)</t>
  </si>
  <si>
    <t>0.03118 (0.00128)</t>
  </si>
  <si>
    <t>0.00625 (0.00023)</t>
  </si>
  <si>
    <t>nudF</t>
  </si>
  <si>
    <t>isopentenyl pyrophosphate and dimethylallylpyrophosphate diphosphatase (moonlighting ADP-ribosepyrophosphatase)</t>
  </si>
  <si>
    <t>0.14036 (0.08229)</t>
  </si>
  <si>
    <t>0.00850 (0.00037)</t>
  </si>
  <si>
    <t>0.02844 (0.00158)</t>
  </si>
  <si>
    <t>0.00259 (0.00028)</t>
  </si>
  <si>
    <t>mciZ</t>
  </si>
  <si>
    <t>0.18886 (0.12591)</t>
  </si>
  <si>
    <t>0.01667 (0.00204)</t>
  </si>
  <si>
    <t>0.04643 (0.00750)</t>
  </si>
  <si>
    <t>0.00867 (0.00206)</t>
  </si>
  <si>
    <t>yqkF</t>
  </si>
  <si>
    <t>NADPH-dependent aldo-keto reductase (acts on4-hydroxy-2,3-trans-nonenal)</t>
  </si>
  <si>
    <t>0.11869 (0.03173)</t>
  </si>
  <si>
    <t>0.06415 (0.04468)</t>
  </si>
  <si>
    <t>0.01329 (0.00048)</t>
  </si>
  <si>
    <t>0.04521 (0.00182)</t>
  </si>
  <si>
    <t>0.00449 (0.00019)</t>
  </si>
  <si>
    <t>yqkE</t>
  </si>
  <si>
    <t>0.05710 (0.02889)</t>
  </si>
  <si>
    <t>0.26653 (0.29644)</t>
  </si>
  <si>
    <t>0.01953 (0.00169)</t>
  </si>
  <si>
    <t>0.07897 (0.01130)</t>
  </si>
  <si>
    <t>0.01013 (0.00118)</t>
  </si>
  <si>
    <t>yqkD</t>
  </si>
  <si>
    <t>0.16397 (0.07058)</t>
  </si>
  <si>
    <t>0.04538 (0.12527)</t>
  </si>
  <si>
    <t>0.01798 (0.00070)</t>
  </si>
  <si>
    <t>0.06127 (0.00288)</t>
  </si>
  <si>
    <t>0.00596 (0.00038)</t>
  </si>
  <si>
    <t>yqkC</t>
  </si>
  <si>
    <t>0.02422 (0.04792)</t>
  </si>
  <si>
    <t>0.02934 (0.04804)</t>
  </si>
  <si>
    <t>0.02824 (0.00326)</t>
  </si>
  <si>
    <t>0.14345 (0.01708)</t>
  </si>
  <si>
    <t>0.00365 (0.00061)</t>
  </si>
  <si>
    <t>yqkB</t>
  </si>
  <si>
    <t>0.02534 (0.06858)</t>
  </si>
  <si>
    <t>0.01989 (0.00127)</t>
  </si>
  <si>
    <t>0.09625 (0.00660)</t>
  </si>
  <si>
    <t>0.00062 (0.00016)</t>
  </si>
  <si>
    <t>yqkA</t>
  </si>
  <si>
    <t>0.30399 (0.20121)</t>
  </si>
  <si>
    <t>0.21292 (0.10568)</t>
  </si>
  <si>
    <t>0.01405 (0.00058)</t>
  </si>
  <si>
    <t>0.03565 (0.00190)</t>
  </si>
  <si>
    <t>0.00838 (0.00031)</t>
  </si>
  <si>
    <t>yqjZ</t>
  </si>
  <si>
    <t>putative degradation enzyme (oxygenase)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</si>
  <si>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</si>
  <si>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0.37684 (0.15449)</t>
  </si>
  <si>
    <t>0.56598 (0.60155)</t>
  </si>
  <si>
    <t>0.01147 (0.00075)</t>
  </si>
  <si>
    <t>0.01504 (0.00191)</t>
  </si>
  <si>
    <t>0.01062 (0.00077)</t>
  </si>
  <si>
    <t>yqjY</t>
  </si>
  <si>
    <t>0.23428 (0.19023)</t>
  </si>
  <si>
    <t>0.04004 (0.05169)</t>
  </si>
  <si>
    <t>0.01962 (0.00152)</t>
  </si>
  <si>
    <t>0.07485 (0.00715)</t>
  </si>
  <si>
    <t>0.00608 (0.00033)</t>
  </si>
  <si>
    <t>yqjX</t>
  </si>
  <si>
    <t>0.15448 (0.21324)</t>
  </si>
  <si>
    <t>0.08374 (0.08460)</t>
  </si>
  <si>
    <t>0.02721 (0.00160)</t>
  </si>
  <si>
    <t>0.10287 (0.00823)</t>
  </si>
  <si>
    <t>0.01044 (0.00061)</t>
  </si>
  <si>
    <t>polYB</t>
  </si>
  <si>
    <t>Y family DNA polymerase V bypassing lesionsduring replication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</si>
  <si>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</si>
  <si>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0.04653 (0.03369)</t>
  </si>
  <si>
    <t>0.04616 (0.09086)</t>
  </si>
  <si>
    <t>0.02063 (0.00164)</t>
  </si>
  <si>
    <t>0.08437 (0.00714)</t>
  </si>
  <si>
    <t>0.00397 (0.00036)</t>
  </si>
  <si>
    <t>yqzH</t>
  </si>
  <si>
    <t>0.10475 (0.11501)</t>
  </si>
  <si>
    <t>0.13074 (0.12721)</t>
  </si>
  <si>
    <t>0.02013 (0.00111)</t>
  </si>
  <si>
    <t>0.06989 (0.00434)</t>
  </si>
  <si>
    <t>0.00797 (0.00072)</t>
  </si>
  <si>
    <t>yqjV</t>
  </si>
  <si>
    <t>0.22827 (0.07252)</t>
  </si>
  <si>
    <t>0.11245 (0.07088)</t>
  </si>
  <si>
    <t>0.01245 (0.00048)</t>
  </si>
  <si>
    <t>0.03523 (0.00151)</t>
  </si>
  <si>
    <t>0.00536 (0.00027)</t>
  </si>
  <si>
    <t>yqjU</t>
  </si>
  <si>
    <t>0.71333 (1.02389)</t>
  </si>
  <si>
    <t>1.44537 (3.06837)</t>
  </si>
  <si>
    <t>0.02242 (0.00224)</t>
  </si>
  <si>
    <t>0.02860 (0.00438)</t>
  </si>
  <si>
    <t>0.02142 (0.00197)</t>
  </si>
  <si>
    <t>yqjT</t>
  </si>
  <si>
    <t>putative lyase</t>
  </si>
  <si>
    <t>0.18298 (0.09160)</t>
  </si>
  <si>
    <t>0.17341 (0.21380)</t>
  </si>
  <si>
    <t>0.01567 (0.00076)</t>
  </si>
  <si>
    <t>0.04249 (0.00260)</t>
  </si>
  <si>
    <t>0.00833 (0.00058)</t>
  </si>
  <si>
    <t>coaA</t>
  </si>
  <si>
    <t>pantothenate kinase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</si>
  <si>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GCA_002055965.1_ASM205596v1_genomic , GCA_002072735.1_ASM207273v1_genomic , GCA_002096095.1_ASM209609v1_genomic , GCA_002142595.1_ASM214259v1_genomic , GCA_002173615.1_ASM217361v1_genomic</t>
  </si>
  <si>
    <t>0.02417 (0.03615)</t>
  </si>
  <si>
    <t>0.02421 (0.05272)</t>
  </si>
  <si>
    <t>0.00766 (0.00034)</t>
  </si>
  <si>
    <t>0.03102 (0.00153)</t>
  </si>
  <si>
    <t>0.00104 (0.00010)</t>
  </si>
  <si>
    <t>dsdA</t>
  </si>
  <si>
    <t>D-serine ammonia-lyase</t>
  </si>
  <si>
    <t>0.17408 (0.14366)</t>
  </si>
  <si>
    <t>0.17686 (0.06912)</t>
  </si>
  <si>
    <t>0.01662 (0.00066)</t>
  </si>
  <si>
    <t>0.04689 (0.00246)</t>
  </si>
  <si>
    <t>0.00794 (0.00028)</t>
  </si>
  <si>
    <t>yqjQ</t>
  </si>
  <si>
    <t>putative metabolite dehydrogenase, NAD-binding</t>
  </si>
  <si>
    <t>0.10390 (0.05475)</t>
  </si>
  <si>
    <t>0.08524 (0.06203)</t>
  </si>
  <si>
    <t>0.01131 (0.00038)</t>
  </si>
  <si>
    <t>0.03661 (0.00114)</t>
  </si>
  <si>
    <t>0.00367 (0.00024)</t>
  </si>
  <si>
    <t>yqjP</t>
  </si>
  <si>
    <t>0.12741 (0.07157)</t>
  </si>
  <si>
    <t>0.15988 (0.04625)</t>
  </si>
  <si>
    <t>0.01178 (0.00040)</t>
  </si>
  <si>
    <t>0.03507 (0.00149)</t>
  </si>
  <si>
    <t>0.00503 (0.00019)</t>
  </si>
  <si>
    <t>proI</t>
  </si>
  <si>
    <t>pyrroline-5-carboxylate reductase(NADP-dependent, weak activity)</t>
  </si>
  <si>
    <t>0.21461 (0.18853)</t>
  </si>
  <si>
    <t>0.07522 (0.09763)</t>
  </si>
  <si>
    <t>0.00968 (0.00052)</t>
  </si>
  <si>
    <t>0.03069 (0.00164)</t>
  </si>
  <si>
    <t>0.00358 (0.00030)</t>
  </si>
  <si>
    <t>yqjN</t>
  </si>
  <si>
    <t>putative N-deacylase</t>
  </si>
  <si>
    <t>0.17172 (0.09351)</t>
  </si>
  <si>
    <t>0.08522 (0.06023)</t>
  </si>
  <si>
    <t>0.01239 (0.00052)</t>
  </si>
  <si>
    <t>0.03874 (0.00182)</t>
  </si>
  <si>
    <t>0.00497 (0.00026)</t>
  </si>
  <si>
    <t>yqjM</t>
  </si>
  <si>
    <t>NADPH-dependent flavin oxidoreductase (acting oncinnamaldehyde-related compounds)</t>
  </si>
  <si>
    <t>0.03840 (0.03260)</t>
  </si>
  <si>
    <t>0.00923 (0.00033)</t>
  </si>
  <si>
    <t>0.03938 (0.00161)</t>
  </si>
  <si>
    <t>0.00091 (0.00011)</t>
  </si>
  <si>
    <t>yqjL</t>
  </si>
  <si>
    <t>0.09078 (0.05596)</t>
  </si>
  <si>
    <t>0.27233 (0.21214)</t>
  </si>
  <si>
    <t>0.00553 (0.00034)</t>
  </si>
  <si>
    <t>0.01589 (0.00127)</t>
  </si>
  <si>
    <t>0.00276 (0.00020)</t>
  </si>
  <si>
    <t>rnz</t>
  </si>
  <si>
    <t>ribonuclease Z</t>
  </si>
  <si>
    <t>0.07212 (0.04847)</t>
  </si>
  <si>
    <t>0.01012 (0.00067)</t>
  </si>
  <si>
    <t>0.03994 (0.00273)</t>
  </si>
  <si>
    <t>0.00136 (0.00019)</t>
  </si>
  <si>
    <t>zwf</t>
  </si>
  <si>
    <t>glucose-6-phosphate 1-dehydrogenase(NADP-dependent)</t>
  </si>
  <si>
    <t>0.02339 (0.02499)</t>
  </si>
  <si>
    <t>0.09557 (0.05950)</t>
  </si>
  <si>
    <t>0.03285 (0.00218)</t>
  </si>
  <si>
    <t>0.00230 (0.00012)</t>
  </si>
  <si>
    <t>gndA</t>
  </si>
  <si>
    <t>NADP+-dependent 6-P-gluconate dehydrogenase</t>
  </si>
  <si>
    <t>0.01281 (0.01918)</t>
  </si>
  <si>
    <t>0.00801 (0.01126)</t>
  </si>
  <si>
    <t>0.02612 (0.00147)</t>
  </si>
  <si>
    <t>0.12490 (0.00732)</t>
  </si>
  <si>
    <t>0.00092 (0.00008)</t>
  </si>
  <si>
    <t>polYA</t>
  </si>
  <si>
    <t>DNA-damage lesion bypass DNA polymerase</t>
  </si>
  <si>
    <t>0.07072 (0.06699)</t>
  </si>
  <si>
    <t>0.04893 (0.05631)</t>
  </si>
  <si>
    <t>0.02607 (0.00141)</t>
  </si>
  <si>
    <t>0.10350 (0.00546)</t>
  </si>
  <si>
    <t>0.00646 (0.00053)</t>
  </si>
  <si>
    <t>mifM</t>
  </si>
  <si>
    <t>regulator of OxaAB translation</t>
  </si>
  <si>
    <t>0.19414 (0.28018)</t>
  </si>
  <si>
    <t>0.22758 (0.22324)</t>
  </si>
  <si>
    <t>0.02121 (0.00161)</t>
  </si>
  <si>
    <t>0.06090 (0.00608)</t>
  </si>
  <si>
    <t>0.01096 (0.00089)</t>
  </si>
  <si>
    <t>oxaAB</t>
  </si>
  <si>
    <t>Sec-independent factor for membrane protein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</si>
  <si>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GCA_001890405.1_ASM189040v1_genomic , GCA_001902555.1_ASM190255v1_genomic , GCA_002055965.1_ASM205596v1_genomic , GCA_002096095.1_ASM209609v1_genomic , GCA_002142595.1_ASM214259v1_genomic</t>
  </si>
  <si>
    <t>0.01914 (0.04639)</t>
  </si>
  <si>
    <t>0.00711 (0.00155)</t>
  </si>
  <si>
    <t>0.03050 (0.00652)</t>
  </si>
  <si>
    <t>0.00052 (0.00019)</t>
  </si>
  <si>
    <t>yqjF</t>
  </si>
  <si>
    <t>0.16782 (0.13791)</t>
  </si>
  <si>
    <t>0.13472 (0.05497)</t>
  </si>
  <si>
    <t>0.02771 (0.00125)</t>
  </si>
  <si>
    <t>0.08619 (0.00423)</t>
  </si>
  <si>
    <t>0.01184 (0.00066)</t>
  </si>
  <si>
    <t>yqjE</t>
  </si>
  <si>
    <t>putative peptidase or deacylase</t>
  </si>
  <si>
    <t>0.15860 (0.11326)</t>
  </si>
  <si>
    <t>0.02308 (0.05707)</t>
  </si>
  <si>
    <t>0.00849 (0.00044)</t>
  </si>
  <si>
    <t>0.03070 (0.00165)</t>
  </si>
  <si>
    <t>0.00202 (0.00019)</t>
  </si>
  <si>
    <t>yqjD</t>
  </si>
  <si>
    <t>putative propionyl-CoA carboxylase beta chain</t>
  </si>
  <si>
    <t>0.08748 (0.05057)</t>
  </si>
  <si>
    <t>0.11936 (0.03683)</t>
  </si>
  <si>
    <t>0.01212 (0.00051)</t>
  </si>
  <si>
    <t>0.03756 (0.00183)</t>
  </si>
  <si>
    <t>0.00462 (0.00020)</t>
  </si>
  <si>
    <t>yqjC</t>
  </si>
  <si>
    <t>putative methylmalonyl-CoA epimerase</t>
  </si>
  <si>
    <t>0.02478 (0.07379)</t>
  </si>
  <si>
    <t>0.24510 (0.10988)</t>
  </si>
  <si>
    <t>0.01829 (0.00083)</t>
  </si>
  <si>
    <t>0.05205 (0.00246)</t>
  </si>
  <si>
    <t>0.00966 (0.00057)</t>
  </si>
  <si>
    <t>yqjB</t>
  </si>
  <si>
    <t>putative L,D-transpeptidase</t>
  </si>
  <si>
    <t>0.14630 (0.10749)</t>
  </si>
  <si>
    <t>0.05872 (0.07145)</t>
  </si>
  <si>
    <t>0.01136 (0.00050)</t>
  </si>
  <si>
    <t>0.04051 (0.00214)</t>
  </si>
  <si>
    <t>0.00314 (0.00023)</t>
  </si>
  <si>
    <t>yqjA</t>
  </si>
  <si>
    <t>0.06771 (0.06424)</t>
  </si>
  <si>
    <t>0.05303 (0.05753)</t>
  </si>
  <si>
    <t>0.01420 (0.00070)</t>
  </si>
  <si>
    <t>0.05529 (0.00293)</t>
  </si>
  <si>
    <t>artR</t>
  </si>
  <si>
    <t>high affinity arginine ABC transporter(ATP-binding protein)</t>
  </si>
  <si>
    <t>0.03478 (0.04002)</t>
  </si>
  <si>
    <t>0.03986 (0.07723)</t>
  </si>
  <si>
    <t>0.00934 (0.00058)</t>
  </si>
  <si>
    <t>0.03768 (0.00259)</t>
  </si>
  <si>
    <t>0.00168 (0.00020)</t>
  </si>
  <si>
    <t>artQ</t>
  </si>
  <si>
    <t>high affinity arginine ABC transporter(permease)</t>
  </si>
  <si>
    <t>0.01837 (0.05108)</t>
  </si>
  <si>
    <t>0.02738 (0.03161)</t>
  </si>
  <si>
    <t>0.02747 (0.00265)</t>
  </si>
  <si>
    <t>0.11580 (0.01135)</t>
  </si>
  <si>
    <t>0.00244 (0.00031)</t>
  </si>
  <si>
    <t>artP</t>
  </si>
  <si>
    <t>high affinity arginine ABC transporter bindinglipoprotein</t>
  </si>
  <si>
    <t>0.12518 (0.10023)</t>
  </si>
  <si>
    <t>0.04960 (0.08778)</t>
  </si>
  <si>
    <t>0.02313 (0.00174)</t>
  </si>
  <si>
    <t>0.09079 (0.00710)</t>
  </si>
  <si>
    <t>0.00679 (0.00061)</t>
  </si>
  <si>
    <t>brxB</t>
  </si>
  <si>
    <t>bacilliredoxin B (de-bacillithiolation)</t>
  </si>
  <si>
    <t>0.02391 (0.05002)</t>
  </si>
  <si>
    <t>0.01704 (0.00160)</t>
  </si>
  <si>
    <t>0.07874 (0.00784)</t>
  </si>
  <si>
    <t>0.00092 (0.00016)</t>
  </si>
  <si>
    <t>bmrU</t>
  </si>
  <si>
    <t>putative lipid kinase BmrU</t>
  </si>
  <si>
    <t>0.08284 (0.05978)</t>
  </si>
  <si>
    <t>0.07281 (0.04399)</t>
  </si>
  <si>
    <t>0.01682 (0.00061)</t>
  </si>
  <si>
    <t>0.06411 (0.00259)</t>
  </si>
  <si>
    <t>0.00381 (0.00021)</t>
  </si>
  <si>
    <t>bmr</t>
  </si>
  <si>
    <t>0.05898 (0.02792)</t>
  </si>
  <si>
    <t>0.01191 (0.03526)</t>
  </si>
  <si>
    <t>0.01550 (0.00057)</t>
  </si>
  <si>
    <t>0.05831 (0.00226)</t>
  </si>
  <si>
    <t>0.00242 (0.00019)</t>
  </si>
  <si>
    <t>bmrR</t>
  </si>
  <si>
    <t>transcriptional regulator (MerR family)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</si>
  <si>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</si>
  <si>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0.09059 (0.03825)</t>
  </si>
  <si>
    <t>0.02559 (0.07129)</t>
  </si>
  <si>
    <t>0.01769 (0.00066)</t>
  </si>
  <si>
    <t>0.07119 (0.00265)</t>
  </si>
  <si>
    <t>0.00345 (0.00031)</t>
  </si>
  <si>
    <t>bkdB</t>
  </si>
  <si>
    <t>branched-chain alpha-keto acid dehydrogenase E2subunit (lipoamide acyltransferase)</t>
  </si>
  <si>
    <t>0.11440 (0.04521)</t>
  </si>
  <si>
    <t>0.11576 (0.06660)</t>
  </si>
  <si>
    <t>0.01812 (0.00065)</t>
  </si>
  <si>
    <t>0.05642 (0.00230)</t>
  </si>
  <si>
    <t>0.00753 (0.00031)</t>
  </si>
  <si>
    <t>bkdAB</t>
  </si>
  <si>
    <t>branched-chain alpha-keto acid dehydrogenase E1subunit</t>
  </si>
  <si>
    <t>0.01562 (0.02437)</t>
  </si>
  <si>
    <t>0.01425 (0.00048)</t>
  </si>
  <si>
    <t>0.06198 (0.00217)</t>
  </si>
  <si>
    <t>0.00038 (0.00007)</t>
  </si>
  <si>
    <t>bkdAA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</si>
  <si>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</si>
  <si>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0.03170 (0.03543)</t>
  </si>
  <si>
    <t>0.02750 (0.04410)</t>
  </si>
  <si>
    <t>0.01930 (0.00144)</t>
  </si>
  <si>
    <t>0.08241 (0.00662)</t>
  </si>
  <si>
    <t>0.00238 (0.00016)</t>
  </si>
  <si>
    <t>lpdV</t>
  </si>
  <si>
    <t>branched-chain alpha-keto acid dehydrogenase E3subunit (dihydrolipoamide dehydrogenase)</t>
  </si>
  <si>
    <t>0.09250 (0.02938)</t>
  </si>
  <si>
    <t>0.02733 (0.03504)</t>
  </si>
  <si>
    <t>0.01030 (0.00034)</t>
  </si>
  <si>
    <t>0.03711 (0.00127)</t>
  </si>
  <si>
    <t>0.00215 (0.00011)</t>
  </si>
  <si>
    <t>buk</t>
  </si>
  <si>
    <t>branched-chain fatty-acid kinase</t>
  </si>
  <si>
    <t>0.05432 (0.02769)</t>
  </si>
  <si>
    <t>0.02102 (0.02762)</t>
  </si>
  <si>
    <t>0.01326 (0.00045)</t>
  </si>
  <si>
    <t>0.05250 (0.00192)</t>
  </si>
  <si>
    <t>0.00182 (0.00012)</t>
  </si>
  <si>
    <t>bcd</t>
  </si>
  <si>
    <t>branched-chain amino acid dehydrogenase</t>
  </si>
  <si>
    <t>0.01855 (0.01893)</t>
  </si>
  <si>
    <t>0.01286 (0.00038)</t>
  </si>
  <si>
    <t>0.05539 (0.00169)</t>
  </si>
  <si>
    <t>ptb</t>
  </si>
  <si>
    <t>phosphate BCFA and butyryl coenzyme Atransferase</t>
  </si>
  <si>
    <t>0.13868 (0.05085)</t>
  </si>
  <si>
    <t>0.06460 (0.06429)</t>
  </si>
  <si>
    <t>0.01798 (0.00099)</t>
  </si>
  <si>
    <t>0.06255 (0.00399)</t>
  </si>
  <si>
    <t>0.00478 (0.00022)</t>
  </si>
  <si>
    <t>bkdR</t>
  </si>
  <si>
    <t>0.05131 (0.02560)</t>
  </si>
  <si>
    <t>0.03004 (0.02415)</t>
  </si>
  <si>
    <t>0.01067 (0.00041)</t>
  </si>
  <si>
    <t>0.04316 (0.00171)</t>
  </si>
  <si>
    <t>0.00167 (0.00009)</t>
  </si>
  <si>
    <t>yqzF</t>
  </si>
  <si>
    <t>0.00641 (0.00087)</t>
  </si>
  <si>
    <t>0.02661 (0.00368)</t>
  </si>
  <si>
    <t>mmgF</t>
  </si>
  <si>
    <t>2-methylisocitrate lyase</t>
  </si>
  <si>
    <t>0.18592 (0.08109)</t>
  </si>
  <si>
    <t>0.13368 (0.06123)</t>
  </si>
  <si>
    <t>0.01060 (0.00043)</t>
  </si>
  <si>
    <t>0.03143 (0.00137)</t>
  </si>
  <si>
    <t>0.00433 (0.00025)</t>
  </si>
  <si>
    <t>mmgE</t>
  </si>
  <si>
    <t>2-methylcitrate dehydratase (promiscuous)</t>
  </si>
  <si>
    <t>0.08557 (0.04060)</t>
  </si>
  <si>
    <t>0.04517 (0.01758)</t>
  </si>
  <si>
    <t>0.01245 (0.00033)</t>
  </si>
  <si>
    <t>0.04512 (0.00136)</t>
  </si>
  <si>
    <t>0.00300 (0.00012)</t>
  </si>
  <si>
    <t>mmgD</t>
  </si>
  <si>
    <t>bifunctional citrate synthase/2-methylcitratesynthase</t>
  </si>
  <si>
    <t>0.84375 (0.09873)</t>
  </si>
  <si>
    <t>0.15768 (0.05108)</t>
  </si>
  <si>
    <t>0.28192 (0.13399)</t>
  </si>
  <si>
    <t>0.01103 (0.00052)</t>
  </si>
  <si>
    <t>0.03084 (0.00168)</t>
  </si>
  <si>
    <t>0.00518 (0.00025)</t>
  </si>
  <si>
    <t>mmgC</t>
  </si>
  <si>
    <t>propionyl-CoA dehydrogenase subunit</t>
  </si>
  <si>
    <t>0.09004 (0.06554)</t>
  </si>
  <si>
    <t>0.04890 (0.03575)</t>
  </si>
  <si>
    <t>0.02222 (0.00103)</t>
  </si>
  <si>
    <t>0.08050 (0.00422)</t>
  </si>
  <si>
    <t>0.00539 (0.00025)</t>
  </si>
  <si>
    <t>mmgB</t>
  </si>
  <si>
    <t>3-hydroxybutyryl-CoA dehydrogenase</t>
  </si>
  <si>
    <t>0.23721 (0.27199)</t>
  </si>
  <si>
    <t>0.12021 (0.03795)</t>
  </si>
  <si>
    <t>0.01455 (0.00087)</t>
  </si>
  <si>
    <t>0.04036 (0.00214)</t>
  </si>
  <si>
    <t>0.00719 (0.00061)</t>
  </si>
  <si>
    <t>mmgA</t>
  </si>
  <si>
    <t>degradative acetoacetyl-CoA thiolase</t>
  </si>
  <si>
    <t>0.14038 (0.06470)</t>
  </si>
  <si>
    <t>0.08608 (0.03636)</t>
  </si>
  <si>
    <t>0.01251 (0.00045)</t>
  </si>
  <si>
    <t>0.04169 (0.00145)</t>
  </si>
  <si>
    <t>0.00366 (0.00027)</t>
  </si>
  <si>
    <t>glpQ</t>
  </si>
  <si>
    <t>glycerophosphodiester phosphodiesterase(exolytic cleavage of individual teichoic acid monomerunits)</t>
  </si>
  <si>
    <t>0.19998 (0.06613)</t>
  </si>
  <si>
    <t>0.15005 (0.08305)</t>
  </si>
  <si>
    <t>0.01496 (0.00064)</t>
  </si>
  <si>
    <t>0.03932 (0.00204)</t>
  </si>
  <si>
    <t>0.00801 (0.00043)</t>
  </si>
  <si>
    <t>yqiI</t>
  </si>
  <si>
    <t>0.06752 (0.07734)</t>
  </si>
  <si>
    <t>0.10155 (0.11382)</t>
  </si>
  <si>
    <t>0.01282 (0.00063)</t>
  </si>
  <si>
    <t>0.04147 (0.00227)</t>
  </si>
  <si>
    <t>0.00443 (0.00045)</t>
  </si>
  <si>
    <t>yqiH</t>
  </si>
  <si>
    <t>0.29435 (0.42119)</t>
  </si>
  <si>
    <t>0.01878 (0.00332)</t>
  </si>
  <si>
    <t>0.04221 (0.00859)</t>
  </si>
  <si>
    <t>0.01253 (0.00212)</t>
  </si>
  <si>
    <t>BSU_24205</t>
  </si>
  <si>
    <t>hypothetical proteinLKIFSRgene            2516440..2517558CDS             2516440..2517558computational evidences; PubMedId: 25355936; Product typee: enzyme</t>
  </si>
  <si>
    <t>0.73583 (0.41291)</t>
  </si>
  <si>
    <t>0.01905 (0.00211)</t>
  </si>
  <si>
    <t>0.02432 (0.00582)</t>
  </si>
  <si>
    <t>0.01790 (0.00221)</t>
  </si>
  <si>
    <t>spo0A</t>
  </si>
  <si>
    <t>response regulator, phosphorylated in response</t>
  </si>
  <si>
    <t>0.01085 (0.04159)</t>
  </si>
  <si>
    <t>0.01410 (0.04280)</t>
  </si>
  <si>
    <t>0.02380 (0.00135)</t>
  </si>
  <si>
    <t>0.11123 (0.00683)</t>
  </si>
  <si>
    <t>0.00166 (0.00016)</t>
  </si>
  <si>
    <t>spoIVB</t>
  </si>
  <si>
    <t>regulatory membrane-associated serine protease</t>
  </si>
  <si>
    <t>0.06057 (0.03092)</t>
  </si>
  <si>
    <t>0.01170 (0.00056)</t>
  </si>
  <si>
    <t>0.04961 (0.00256)</t>
  </si>
  <si>
    <t>0.00102 (0.00010)</t>
  </si>
  <si>
    <t>recN</t>
  </si>
  <si>
    <t>factor for double strand breaks DNA repair andgenetic recombination</t>
  </si>
  <si>
    <t>0.06668 (0.03348)</t>
  </si>
  <si>
    <t>0.01261 (0.03469)</t>
  </si>
  <si>
    <t>0.00926 (0.00046)</t>
  </si>
  <si>
    <t>0.03682 (0.00192)</t>
  </si>
  <si>
    <t>0.00152 (0.00010)</t>
  </si>
  <si>
    <t>argR</t>
  </si>
  <si>
    <t>transcriptional regulator (AhrC(ArgR)-arginine)</t>
  </si>
  <si>
    <t>0.03430 (0.03749)</t>
  </si>
  <si>
    <t>0.02979 (0.04008)</t>
  </si>
  <si>
    <t>0.03000 (0.00183)</t>
  </si>
  <si>
    <t>0.13397 (0.00931)</t>
  </si>
  <si>
    <t>0.00516 (0.00039)</t>
  </si>
  <si>
    <t>yqxC</t>
  </si>
  <si>
    <t>putative 2'-O-ribose RNA methyltransferase</t>
  </si>
  <si>
    <t>ref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</si>
  <si>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0.06944 (0.09885)</t>
  </si>
  <si>
    <t>0.01999 (0.04650)</t>
  </si>
  <si>
    <t>0.01466 (0.00119)</t>
  </si>
  <si>
    <t>0.05706 (0.00456)</t>
  </si>
  <si>
    <t>0.00276 (0.00035)</t>
  </si>
  <si>
    <t>dxs</t>
  </si>
  <si>
    <t>1-deoxyxylulose-5-phosphate synthase</t>
  </si>
  <si>
    <t>0.03037 (0.05359)</t>
  </si>
  <si>
    <t>0.03351 (0.01966)</t>
  </si>
  <si>
    <t>0.01395 (0.00113)</t>
  </si>
  <si>
    <t>0.05971 (0.00518)</t>
  </si>
  <si>
    <t>0.00164 (0.00016)</t>
  </si>
  <si>
    <t>farnesyl diphosphate synthase</t>
  </si>
  <si>
    <t>0.11775 (0.09139)</t>
  </si>
  <si>
    <t>0.02759 (0.06725)</t>
  </si>
  <si>
    <t>0.00914 (0.00041)</t>
  </si>
  <si>
    <t>0.03121 (0.00165)</t>
  </si>
  <si>
    <t>0.00264 (0.00025)</t>
  </si>
  <si>
    <t>xseB</t>
  </si>
  <si>
    <t>exodeoxyribonuclease VII (small subunit)</t>
  </si>
  <si>
    <t>0.07826 (0.07235)</t>
  </si>
  <si>
    <t>0.03104 (0.00221)</t>
  </si>
  <si>
    <t>0.17781 (0.01553)</t>
  </si>
  <si>
    <t>0.00391 (0.00061)</t>
  </si>
  <si>
    <t>xseA</t>
  </si>
  <si>
    <t>exodeoxyribonuclease VII (large subunit)</t>
  </si>
  <si>
    <t>0.10732 (0.07613)</t>
  </si>
  <si>
    <t>0.01978 (0.05868)</t>
  </si>
  <si>
    <t>0.00667 (0.00029)</t>
  </si>
  <si>
    <t>0.02501 (0.00117)</t>
  </si>
  <si>
    <t>0.00136 (0.00011)</t>
  </si>
  <si>
    <t>folD</t>
  </si>
  <si>
    <t>methylenetetrahydrofolate dehydrogenase;methenyltetrahydrofolate cyclohydrolase</t>
  </si>
  <si>
    <t>0.07046 (0.05371)</t>
  </si>
  <si>
    <t>0.02535 (0.01985)</t>
  </si>
  <si>
    <t>0.01787 (0.00116)</t>
  </si>
  <si>
    <t>0.07446 (0.00510)</t>
  </si>
  <si>
    <t>0.00234 (0.00016)</t>
  </si>
  <si>
    <t>nusB</t>
  </si>
  <si>
    <t>transcription termination factor NusB</t>
  </si>
  <si>
    <t>0.05410 (0.06546)</t>
  </si>
  <si>
    <t>0.04469 (0.03924)</t>
  </si>
  <si>
    <t>0.02219 (0.00166)</t>
  </si>
  <si>
    <t>0.09326 (0.00757)</t>
  </si>
  <si>
    <t>0.00453 (0.00045)</t>
  </si>
  <si>
    <t>yqhY</t>
  </si>
  <si>
    <t>alkaline shock protein</t>
  </si>
  <si>
    <t>0.09405 (0.08014)</t>
  </si>
  <si>
    <t>0.01195 (0.02895)</t>
  </si>
  <si>
    <t>0.02350 (0.00169)</t>
  </si>
  <si>
    <t>0.10671 (0.00824)</t>
  </si>
  <si>
    <t>0.00294 (0.00025)</t>
  </si>
  <si>
    <t>accC</t>
  </si>
  <si>
    <t>acetyl-CoA carboxylase subunit (biotincarboxylase subunit)</t>
  </si>
  <si>
    <t>0.02654 (0.03532)</t>
  </si>
  <si>
    <t>0.02394 (0.03751)</t>
  </si>
  <si>
    <t>0.02355 (0.00156)</t>
  </si>
  <si>
    <t>0.10551 (0.00725)</t>
  </si>
  <si>
    <t>0.00204 (0.00018)</t>
  </si>
  <si>
    <t>accB</t>
  </si>
  <si>
    <t>acetyl-CoA carboxylase subunit (biotin carboxylcarrier subunit)</t>
  </si>
  <si>
    <t>0.64571 (0.10432)</t>
  </si>
  <si>
    <t>0.06593 (0.10078)</t>
  </si>
  <si>
    <t>0.00634 (0.00065)</t>
  </si>
  <si>
    <t>0.02436 (0.00306)</t>
  </si>
  <si>
    <t>0.00109 (0.00022)</t>
  </si>
  <si>
    <t>spoIIIAH</t>
  </si>
  <si>
    <t>stage III sporulation ratchet engulfmentprotein</t>
  </si>
  <si>
    <t>0.05573 (0.11595)</t>
  </si>
  <si>
    <t>0.01320 (0.00178)</t>
  </si>
  <si>
    <t>0.05731 (0.00838)</t>
  </si>
  <si>
    <t>0.00245 (0.00035)</t>
  </si>
  <si>
    <t>spoIIIAG</t>
  </si>
  <si>
    <t>stage III sporulation engulfment assemblyprotein</t>
  </si>
  <si>
    <t>0.09541 (0.08340)</t>
  </si>
  <si>
    <t>0.08582 (0.16903)</t>
  </si>
  <si>
    <t>0.02306 (0.00162)</t>
  </si>
  <si>
    <t>0.08447 (0.00642)</t>
  </si>
  <si>
    <t>0.00750 (0.00051)</t>
  </si>
  <si>
    <t>spoIIIAF</t>
  </si>
  <si>
    <t>stage III sporulation protein (feeding tubeapparatus)</t>
  </si>
  <si>
    <t>0.14214 (0.09486)</t>
  </si>
  <si>
    <t>0.21441 (0.27931)</t>
  </si>
  <si>
    <t>0.02040 (0.00147)</t>
  </si>
  <si>
    <t>0.06423 (0.00526)</t>
  </si>
  <si>
    <t>0.00968 (0.00063)</t>
  </si>
  <si>
    <t>spoIIIAE</t>
  </si>
  <si>
    <t>0.03145 (0.02137)</t>
  </si>
  <si>
    <t>0.01355 (0.03770)</t>
  </si>
  <si>
    <t>0.01166 (0.00062)</t>
  </si>
  <si>
    <t>0.04571 (0.00270)</t>
  </si>
  <si>
    <t>0.00109 (0.00010)</t>
  </si>
  <si>
    <t>spoIIIAD</t>
  </si>
  <si>
    <t>0.01620 (0.04888)</t>
  </si>
  <si>
    <t>0.02358 (0.00157)</t>
  </si>
  <si>
    <t>0.10696 (0.00767)</t>
  </si>
  <si>
    <t>0.00055 (0.00014)</t>
  </si>
  <si>
    <t>spoIIIAC</t>
  </si>
  <si>
    <t>0.02428 (0.00291)</t>
  </si>
  <si>
    <t>0.12274 (0.01531)</t>
  </si>
  <si>
    <t>spoIIIAB</t>
  </si>
  <si>
    <t>0.06765 (0.06810)</t>
  </si>
  <si>
    <t>0.09386 (0.18574)</t>
  </si>
  <si>
    <t>0.01630 (0.00170)</t>
  </si>
  <si>
    <t>0.05854 (0.00634)</t>
  </si>
  <si>
    <t>0.00512 (0.00057)</t>
  </si>
  <si>
    <t>spoIIIAA</t>
  </si>
  <si>
    <t>ATP-binding stage III sporulation protein</t>
  </si>
  <si>
    <t>0.11160 (0.05235)</t>
  </si>
  <si>
    <t>0.13570 (0.04052)</t>
  </si>
  <si>
    <t>0.01220 (0.00039)</t>
  </si>
  <si>
    <t>0.03879 (0.00138)</t>
  </si>
  <si>
    <t>0.00410 (0.00019)</t>
  </si>
  <si>
    <t>yqhV</t>
  </si>
  <si>
    <t>0.11297 (0.18828)</t>
  </si>
  <si>
    <t>0.00785 (0.00075)</t>
  </si>
  <si>
    <t>0.02747 (0.00310)</t>
  </si>
  <si>
    <t>0.00138 (0.00043)</t>
  </si>
  <si>
    <t>efp</t>
  </si>
  <si>
    <t>elongation factor P</t>
  </si>
  <si>
    <t>0.01507 (0.04176)</t>
  </si>
  <si>
    <t>0.03444 (0.08573)</t>
  </si>
  <si>
    <t>0.02668 (0.00211)</t>
  </si>
  <si>
    <t>0.11599 (0.00942)</t>
  </si>
  <si>
    <t>0.00257 (0.00041)</t>
  </si>
  <si>
    <t>papA</t>
  </si>
  <si>
    <t>aminopeptidase (Met-Xaa and Xaa-Pro,Xaa-Pro-Xaa)</t>
  </si>
  <si>
    <t>0.09135 (0.09742)</t>
  </si>
  <si>
    <t>0.06363 (0.11432)</t>
  </si>
  <si>
    <t>0.01451 (0.00147)</t>
  </si>
  <si>
    <t>0.05493 (0.00614)</t>
  </si>
  <si>
    <t>0.00366 (0.00029)</t>
  </si>
  <si>
    <t>yqhS</t>
  </si>
  <si>
    <t>3-dehydroquinate dehydratase, type II</t>
  </si>
  <si>
    <t>0.12126 (0.03475)</t>
  </si>
  <si>
    <t>0.04604 (0.06358)</t>
  </si>
  <si>
    <t>0.02396 (0.00234)</t>
  </si>
  <si>
    <t>0.08565 (0.00985)</t>
  </si>
  <si>
    <t>0.00745 (0.00059)</t>
  </si>
  <si>
    <t>yqhR</t>
  </si>
  <si>
    <t>0.07598 (0.04874)</t>
  </si>
  <si>
    <t>0.08717 (0.19037)</t>
  </si>
  <si>
    <t>0.00902 (0.00040)</t>
  </si>
  <si>
    <t>0.03117 (0.00144)</t>
  </si>
  <si>
    <t>0.00248 (0.00023)</t>
  </si>
  <si>
    <t>yqhQ</t>
  </si>
  <si>
    <t>0.16659 (0.08976)</t>
  </si>
  <si>
    <t>0.12009 (0.03843)</t>
  </si>
  <si>
    <t>0.00940 (0.00030)</t>
  </si>
  <si>
    <t>0.02962 (0.00115)</t>
  </si>
  <si>
    <t>0.00334 (0.00017)</t>
  </si>
  <si>
    <t>yqhP</t>
  </si>
  <si>
    <t>0.02929 (0.07891)</t>
  </si>
  <si>
    <t>0.05255 (0.10499)</t>
  </si>
  <si>
    <t>0.01345 (0.00081)</t>
  </si>
  <si>
    <t>0.05407 (0.00325)</t>
  </si>
  <si>
    <t>0.00222 (0.00032)</t>
  </si>
  <si>
    <t>yqhO</t>
  </si>
  <si>
    <t>putative lipase / acyl esterase</t>
  </si>
  <si>
    <t>0.09191 (0.04249)</t>
  </si>
  <si>
    <t>0.02849 (0.01987)</t>
  </si>
  <si>
    <t>0.03117 (0.00145)</t>
  </si>
  <si>
    <t>0.13004 (0.00664)</t>
  </si>
  <si>
    <t>0.00510 (0.00024)</t>
  </si>
  <si>
    <t>mntR</t>
  </si>
  <si>
    <t>transcriptional regulator (hydrogen peroxidesensing, allosterically regulated by Mn2+)</t>
  </si>
  <si>
    <t>0.05912 (0.05472)</t>
  </si>
  <si>
    <t>0.01207 (0.00097)</t>
  </si>
  <si>
    <t>0.05353 (0.00436)</t>
  </si>
  <si>
    <t>0.00150 (0.00032)</t>
  </si>
  <si>
    <t>lipM</t>
  </si>
  <si>
    <t>protein octanoyltransferase</t>
  </si>
  <si>
    <t>0.03847 (0.07484)</t>
  </si>
  <si>
    <t>0.02697 (0.03458)</t>
  </si>
  <si>
    <t>0.01471 (0.00130)</t>
  </si>
  <si>
    <t>0.06350 (0.00643)</t>
  </si>
  <si>
    <t>0.00227 (0.00017)</t>
  </si>
  <si>
    <t>yqhL</t>
  </si>
  <si>
    <t>putative sulfur transferase</t>
  </si>
  <si>
    <t>0.01710 (0.04596)</t>
  </si>
  <si>
    <t>0.09788 (0.11302)</t>
  </si>
  <si>
    <t>0.01701 (0.00268)</t>
  </si>
  <si>
    <t>0.07161 (0.01308)</t>
  </si>
  <si>
    <t>0.00270 (0.00047)</t>
  </si>
  <si>
    <t>gcvPB</t>
  </si>
  <si>
    <t>glycine decarboxylase (subunit 2) (glycinecleavage system protein P)</t>
  </si>
  <si>
    <t>0.07938 (0.03726)</t>
  </si>
  <si>
    <t>0.08166 (0.04632)</t>
  </si>
  <si>
    <t>0.01298 (0.00038)</t>
  </si>
  <si>
    <t>0.04616 (0.00137)</t>
  </si>
  <si>
    <t>0.00322 (0.00016)</t>
  </si>
  <si>
    <t>gcvPA</t>
  </si>
  <si>
    <t>glycine decarboxylase (subunit 1) (glycinecleavage system protein P)</t>
  </si>
  <si>
    <t>0.13928 (0.09113)</t>
  </si>
  <si>
    <t>0.03835 (0.05357)</t>
  </si>
  <si>
    <t>0.00937 (0.00032)</t>
  </si>
  <si>
    <t>0.03213 (0.00106)</t>
  </si>
  <si>
    <t>0.00258 (0.00017)</t>
  </si>
  <si>
    <t>gcvT</t>
  </si>
  <si>
    <t>aminomethyltransferase (glycine cleavage systemprotein T)</t>
  </si>
  <si>
    <t>0.15681 (0.05275)</t>
  </si>
  <si>
    <t>0.14120 (0.10276)</t>
  </si>
  <si>
    <t>0.00998 (0.00036)</t>
  </si>
  <si>
    <t>0.02912 (0.00126)</t>
  </si>
  <si>
    <t>0.00440 (0.00018)</t>
  </si>
  <si>
    <t>yqhH</t>
  </si>
  <si>
    <t>putative RNA polymerase-associated helicaseprotein</t>
  </si>
  <si>
    <t>0.05360 (0.04091)</t>
  </si>
  <si>
    <t>0.01946 (0.01192)</t>
  </si>
  <si>
    <t>0.01338 (0.00050)</t>
  </si>
  <si>
    <t>0.05773 (0.00226)</t>
  </si>
  <si>
    <t>0.00205 (0.00012)</t>
  </si>
  <si>
    <t>yqhG</t>
  </si>
  <si>
    <t>0.17622 (0.14061)</t>
  </si>
  <si>
    <t>0.06593 (0.02747)</t>
  </si>
  <si>
    <t>0.00777 (0.00078)</t>
  </si>
  <si>
    <t>0.02568 (0.00267)</t>
  </si>
  <si>
    <t>0.00317 (0.00037)</t>
  </si>
  <si>
    <t>sinI</t>
  </si>
  <si>
    <t>antagonist of SinR</t>
  </si>
  <si>
    <t>0.15273 (0.10373)</t>
  </si>
  <si>
    <t>0.23241 (0.00000)</t>
  </si>
  <si>
    <t>0.02242 (0.00375)</t>
  </si>
  <si>
    <t>0.07027 (0.00814)</t>
  </si>
  <si>
    <t>0.01217 (0.00224)</t>
  </si>
  <si>
    <t>sinR</t>
  </si>
  <si>
    <t>master regulator of biofilm formation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</si>
  <si>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</si>
  <si>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0.04838 (0.07261)</t>
  </si>
  <si>
    <t>0.01354 (0.00331)</t>
  </si>
  <si>
    <t>0.05655 (0.01516)</t>
  </si>
  <si>
    <t>0.00260 (0.00060)</t>
  </si>
  <si>
    <t>tasA</t>
  </si>
  <si>
    <t>major biofilm matrix component</t>
  </si>
  <si>
    <t>0.14147 (0.12686)</t>
  </si>
  <si>
    <t>0.04076 (0.05500)</t>
  </si>
  <si>
    <t>0.01009 (0.00058)</t>
  </si>
  <si>
    <t>0.04030 (0.00283)</t>
  </si>
  <si>
    <t>sipW</t>
  </si>
  <si>
    <t>0.10478 (0.07237)</t>
  </si>
  <si>
    <t>0.04833 (0.04786)</t>
  </si>
  <si>
    <t>0.01439 (0.00073)</t>
  </si>
  <si>
    <t>0.04912 (0.00252)</t>
  </si>
  <si>
    <t>0.00396 (0.00033)</t>
  </si>
  <si>
    <t>tapA</t>
  </si>
  <si>
    <t>lipoprotein for biofilm formation</t>
  </si>
  <si>
    <t>0.24632 (0.10344)</t>
  </si>
  <si>
    <t>0.42537 (0.13563)</t>
  </si>
  <si>
    <t>0.01245 (0.00065)</t>
  </si>
  <si>
    <t>0.02600 (0.00149)</t>
  </si>
  <si>
    <t>0.00929 (0.00055)</t>
  </si>
  <si>
    <t>yqzG</t>
  </si>
  <si>
    <t>0.97581 (0.88730)</t>
  </si>
  <si>
    <t>0.04588 (0.09608)</t>
  </si>
  <si>
    <t>0.01195 (0.00091)</t>
  </si>
  <si>
    <t>0.03340 (0.00306)</t>
  </si>
  <si>
    <t>0.00629 (0.00072)</t>
  </si>
  <si>
    <t>spoIIT</t>
  </si>
  <si>
    <t>factor involved in sporulation</t>
  </si>
  <si>
    <t>0.54789 (0.38742)</t>
  </si>
  <si>
    <t>0.09022 (0.13932)</t>
  </si>
  <si>
    <t>0.01808 (0.00257)</t>
  </si>
  <si>
    <t>0.05475 (0.00838)</t>
  </si>
  <si>
    <t>0.00874 (0.00157)</t>
  </si>
  <si>
    <t>comGG</t>
  </si>
  <si>
    <t>component of the DNA transport pilin platform</t>
  </si>
  <si>
    <t>0.38099 (0.17126)</t>
  </si>
  <si>
    <t>0.17613 (0.25842)</t>
  </si>
  <si>
    <t>0.02164 (0.00118)</t>
  </si>
  <si>
    <t>0.05243 (0.00290)</t>
  </si>
  <si>
    <t>0.01294 (0.00098)</t>
  </si>
  <si>
    <t>comGF</t>
  </si>
  <si>
    <t>0.20827 (0.09102)</t>
  </si>
  <si>
    <t>0.31863 (0.38967)</t>
  </si>
  <si>
    <t>0.01859 (0.00088)</t>
  </si>
  <si>
    <t>0.05491 (0.00316)</t>
  </si>
  <si>
    <t>0.00954 (0.00051)</t>
  </si>
  <si>
    <t>comGE</t>
  </si>
  <si>
    <t>0.53022 (0.63916)</t>
  </si>
  <si>
    <t>0.30459 (0.20497)</t>
  </si>
  <si>
    <t>0.02182 (0.00096)</t>
  </si>
  <si>
    <t>0.04895 (0.00283)</t>
  </si>
  <si>
    <t>0.01522 (0.00074)</t>
  </si>
  <si>
    <t>comGD</t>
  </si>
  <si>
    <t>membrane component of the DNA transport pilinplatform</t>
  </si>
  <si>
    <t>0.44167 (0.11756)</t>
  </si>
  <si>
    <t>0.43991 (0.22724)</t>
  </si>
  <si>
    <t>0.02045 (0.00112)</t>
  </si>
  <si>
    <t>0.03678 (0.00228)</t>
  </si>
  <si>
    <t>0.01579 (0.00097)</t>
  </si>
  <si>
    <t>comGC</t>
  </si>
  <si>
    <t>pilin-like component of the DNA transportmembrane pilin platform</t>
  </si>
  <si>
    <t>0.10427 (0.07354)</t>
  </si>
  <si>
    <t>0.13329 (0.19239)</t>
  </si>
  <si>
    <t>0.01323 (0.00109)</t>
  </si>
  <si>
    <t>0.04763 (0.00543)</t>
  </si>
  <si>
    <t>0.00462 (0.00040)</t>
  </si>
  <si>
    <t>comGB</t>
  </si>
  <si>
    <t>membrane pilin platform component of the DNAtransport machinery</t>
  </si>
  <si>
    <t>0.34800 (0.21362)</t>
  </si>
  <si>
    <t>0.25470 (0.25720)</t>
  </si>
  <si>
    <t>0.01194 (0.00079)</t>
  </si>
  <si>
    <t>0.02815 (0.00190)</t>
  </si>
  <si>
    <t>0.00742 (0.00051)</t>
  </si>
  <si>
    <t>comGA</t>
  </si>
  <si>
    <t>membrane associated ATPase of the pilin platformfor DNA competence</t>
  </si>
  <si>
    <t>0.03509 (0.05297)</t>
  </si>
  <si>
    <t>0.03142 (0.03954)</t>
  </si>
  <si>
    <t>0.00816 (0.00037)</t>
  </si>
  <si>
    <t>0.03261 (0.00152)</t>
  </si>
  <si>
    <t>0.00106 (0.00009)</t>
  </si>
  <si>
    <t>yqxL</t>
  </si>
  <si>
    <t>CorA-type divalent ion transporter</t>
  </si>
  <si>
    <t>0.02813 (0.01862)</t>
  </si>
  <si>
    <t>0.00910 (0.02677)</t>
  </si>
  <si>
    <t>0.01584 (0.00046)</t>
  </si>
  <si>
    <t>0.07281 (0.00217)</t>
  </si>
  <si>
    <t>0.00161 (0.00014)</t>
  </si>
  <si>
    <t>yqhB</t>
  </si>
  <si>
    <t>putative membrane associated enzyme</t>
  </si>
  <si>
    <t>0.07961 (0.03876)</t>
  </si>
  <si>
    <t>0.06131 (0.02902)</t>
  </si>
  <si>
    <t>0.01257 (0.00038)</t>
  </si>
  <si>
    <t>0.04784 (0.00160)</t>
  </si>
  <si>
    <t>0.00269 (0.00017)</t>
  </si>
  <si>
    <t>rsbRD</t>
  </si>
  <si>
    <t>0.07536 (0.07887)</t>
  </si>
  <si>
    <t>0.53182 (0.31752)</t>
  </si>
  <si>
    <t>0.01167 (0.00114)</t>
  </si>
  <si>
    <t>0.03752 (0.00470)</t>
  </si>
  <si>
    <t>0.00522 (0.00039)</t>
  </si>
  <si>
    <t>mgsR</t>
  </si>
  <si>
    <t>transcriptional regulator of stress</t>
  </si>
  <si>
    <t>0.06824 (0.05938)</t>
  </si>
  <si>
    <t>0.07143 (0.07356)</t>
  </si>
  <si>
    <t>0.03045 (0.00276)</t>
  </si>
  <si>
    <t>0.12125 (0.01173)</t>
  </si>
  <si>
    <t>0.00891 (0.00079)</t>
  </si>
  <si>
    <t>yqgY</t>
  </si>
  <si>
    <t>0.09804 (0.11346)</t>
  </si>
  <si>
    <t>0.03217 (0.06396)</t>
  </si>
  <si>
    <t>0.02231 (0.00186)</t>
  </si>
  <si>
    <t>0.09046 (0.00732)</t>
  </si>
  <si>
    <t>0.00406 (0.00066)</t>
  </si>
  <si>
    <t>yqgX</t>
  </si>
  <si>
    <t>putative metal-binding hydrolase</t>
  </si>
  <si>
    <t>0.20015 (0.05450)</t>
  </si>
  <si>
    <t>0.06456 (0.05137)</t>
  </si>
  <si>
    <t>0.01402 (0.00054)</t>
  </si>
  <si>
    <t>0.04592 (0.00209)</t>
  </si>
  <si>
    <t>0.00482 (0.00024)</t>
  </si>
  <si>
    <t>yqgW</t>
  </si>
  <si>
    <t>0.91219 (0.05852)</t>
  </si>
  <si>
    <t>0.05009 (0.05207)</t>
  </si>
  <si>
    <t>0.02729 (0.00671)</t>
  </si>
  <si>
    <t>0.11014 (0.02659)</t>
  </si>
  <si>
    <t>0.00389 (0.00159)</t>
  </si>
  <si>
    <t>yqgV</t>
  </si>
  <si>
    <t>0.12253 (0.08844)</t>
  </si>
  <si>
    <t>0.00982 (0.00078)</t>
  </si>
  <si>
    <t>0.03390 (0.00332)</t>
  </si>
  <si>
    <t>0.00314 (0.00050)</t>
  </si>
  <si>
    <t>yqgU</t>
  </si>
  <si>
    <t>0.23326 (0.20056)</t>
  </si>
  <si>
    <t>0.24028 (0.15181)</t>
  </si>
  <si>
    <t>0.01077 (0.00075)</t>
  </si>
  <si>
    <t>0.02767 (0.00240)</t>
  </si>
  <si>
    <t>0.00626 (0.00039)</t>
  </si>
  <si>
    <t>yqgT</t>
  </si>
  <si>
    <t>putative d,l-endopeptidase</t>
  </si>
  <si>
    <t>0.24376 (0.24691)</t>
  </si>
  <si>
    <t>0.27669 (0.13419)</t>
  </si>
  <si>
    <t>0.01024 (0.00078)</t>
  </si>
  <si>
    <t>0.02392 (0.00196)</t>
  </si>
  <si>
    <t>0.00666 (0.00053)</t>
  </si>
  <si>
    <t>ltaSC</t>
  </si>
  <si>
    <t>0.08501 (0.04572)</t>
  </si>
  <si>
    <t>0.00666 (0.00037)</t>
  </si>
  <si>
    <t>0.02619 (0.00161)</t>
  </si>
  <si>
    <t>0.00127 (0.00008)</t>
  </si>
  <si>
    <t>glcK</t>
  </si>
  <si>
    <t>glucose kinase</t>
  </si>
  <si>
    <t>0.11646 (0.08629)</t>
  </si>
  <si>
    <t>0.05203 (0.06342)</t>
  </si>
  <si>
    <t>0.00941 (0.00037)</t>
  </si>
  <si>
    <t>0.03073 (0.00137)</t>
  </si>
  <si>
    <t>yqgQ</t>
  </si>
  <si>
    <t>putative single strand nucleic acid bindingtranscription factor</t>
  </si>
  <si>
    <t>0.07927 (0.09153)</t>
  </si>
  <si>
    <t>0.01033 (0.00145)</t>
  </si>
  <si>
    <t>0.04511 (0.00611)</t>
  </si>
  <si>
    <t>0.00234 (0.00091)</t>
  </si>
  <si>
    <t>glpG</t>
  </si>
  <si>
    <t>membrane endopeptidase</t>
  </si>
  <si>
    <t>0.24988 (0.10200)</t>
  </si>
  <si>
    <t>0.18044 (0.08461)</t>
  </si>
  <si>
    <t>0.02222 (0.00089)</t>
  </si>
  <si>
    <t>0.05600 (0.00233)</t>
  </si>
  <si>
    <t>0.01260 (0.00052)</t>
  </si>
  <si>
    <t>yqgO</t>
  </si>
  <si>
    <t>0.18513 (0.30856)</t>
  </si>
  <si>
    <t>0.01520 (0.00169)</t>
  </si>
  <si>
    <t>0.05015 (0.00782)</t>
  </si>
  <si>
    <t>0.00605 (0.00226)</t>
  </si>
  <si>
    <t>folN</t>
  </si>
  <si>
    <t>5-formyltetrahydrofolate cyclo-ligase</t>
  </si>
  <si>
    <t>0.29482 (0.10883)</t>
  </si>
  <si>
    <t>0.18984 (0.08559)</t>
  </si>
  <si>
    <t>0.02300 (0.00103)</t>
  </si>
  <si>
    <t>0.06142 (0.00306)</t>
  </si>
  <si>
    <t>0.01253 (0.00061)</t>
  </si>
  <si>
    <t>yqgM</t>
  </si>
  <si>
    <t>0.34749 (0.20366)</t>
  </si>
  <si>
    <t>0.20865 (0.06921)</t>
  </si>
  <si>
    <t>0.02639 (0.00095)</t>
  </si>
  <si>
    <t>0.06377 (0.00256)</t>
  </si>
  <si>
    <t>0.01613 (0.00063)</t>
  </si>
  <si>
    <t>yqgL</t>
  </si>
  <si>
    <t>0.38652 (0.12501)</t>
  </si>
  <si>
    <t>0.26971 (0.06818)</t>
  </si>
  <si>
    <t>0.01807 (0.00085)</t>
  </si>
  <si>
    <t>0.04424 (0.00243)</t>
  </si>
  <si>
    <t>0.01148 (0.00066)</t>
  </si>
  <si>
    <t>yqzD</t>
  </si>
  <si>
    <t>0.02090 (0.06453)</t>
  </si>
  <si>
    <t>0.06585 (0.07963)</t>
  </si>
  <si>
    <t>0.01830 (0.00140)</t>
  </si>
  <si>
    <t>0.07521 (0.00632)</t>
  </si>
  <si>
    <t>0.00421 (0.00033)</t>
  </si>
  <si>
    <t>yqzC</t>
  </si>
  <si>
    <t>ref , GCA_000186745.1_ASM18674v1_genomic , GCA_000209795.2_ASM20979v2_genomic , GCA_000227465.1_ASM22746v1_genomic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</si>
  <si>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0.11272 (0.05771)</t>
  </si>
  <si>
    <t>0.10415 (0.04876)</t>
  </si>
  <si>
    <t>0.02727 (0.00256)</t>
  </si>
  <si>
    <t>0.09756 (0.01000)</t>
  </si>
  <si>
    <t>0.01001 (0.00102)</t>
  </si>
  <si>
    <t>pstBB</t>
  </si>
  <si>
    <t>phosphate ABC transporter (ATP-binding protein)</t>
  </si>
  <si>
    <t>0.08894 (0.09421)</t>
  </si>
  <si>
    <t>0.01476 (0.00101)</t>
  </si>
  <si>
    <t>0.06142 (0.00461)</t>
  </si>
  <si>
    <t>0.00278 (0.00026)</t>
  </si>
  <si>
    <t>pstBA</t>
  </si>
  <si>
    <t>0.05090 (0.03385)</t>
  </si>
  <si>
    <t>0.03592 (0.05013)</t>
  </si>
  <si>
    <t>0.01142 (0.00048)</t>
  </si>
  <si>
    <t>0.04664 (0.00221)</t>
  </si>
  <si>
    <t>0.00174 (0.00011)</t>
  </si>
  <si>
    <t>pstA</t>
  </si>
  <si>
    <t>phosphate ABC transporter (permease)</t>
  </si>
  <si>
    <t>0.08718 (0.06869)</t>
  </si>
  <si>
    <t>0.03309 (0.06218)</t>
  </si>
  <si>
    <t>0.00776 (0.00041)</t>
  </si>
  <si>
    <t>0.02702 (0.00154)</t>
  </si>
  <si>
    <t>0.00155 (0.00016)</t>
  </si>
  <si>
    <t>pstC</t>
  </si>
  <si>
    <t>0.03304 (0.07277)</t>
  </si>
  <si>
    <t>0.01955 (0.04647)</t>
  </si>
  <si>
    <t>0.01405 (0.00136)</t>
  </si>
  <si>
    <t>0.05421 (0.00569)</t>
  </si>
  <si>
    <t>0.00182 (0.00019)</t>
  </si>
  <si>
    <t>pstS</t>
  </si>
  <si>
    <t>phosphate ABC transporter (phosphate bindinglipoprotein)</t>
  </si>
  <si>
    <t>0.07814 (0.04370)</t>
  </si>
  <si>
    <t>0.07529 (0.03479)</t>
  </si>
  <si>
    <t>0.02233 (0.00102)</t>
  </si>
  <si>
    <t>0.08225 (0.00417)</t>
  </si>
  <si>
    <t>0.00612 (0.00025)</t>
  </si>
  <si>
    <t>pbpA</t>
  </si>
  <si>
    <t>transpeptidase (penicillin-binding protein 2A)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</si>
  <si>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GCA_001746575.1_ASM174657v1_genomic , GCA_001747445.1_ASM174744v1_genomic , GCA_001890405.1_ASM189040v1_genomic , GCA_001902555.1_ASM190255v1_genomic , GCA_002055965.1_ASM205596v1_genomic , GCA_002096095.1_ASM209609v1_genomic , GCA_002173615.1_ASM217361v1_genomic</t>
  </si>
  <si>
    <t>0.09660 (0.11321)</t>
  </si>
  <si>
    <t>0.13265 (0.08863)</t>
  </si>
  <si>
    <t>0.00646 (0.00079)</t>
  </si>
  <si>
    <t>0.02077 (0.00285)</t>
  </si>
  <si>
    <t>0.00237 (0.00033)</t>
  </si>
  <si>
    <t>yqgE</t>
  </si>
  <si>
    <t>0.03297 (0.07663)</t>
  </si>
  <si>
    <t>0.00832 (0.00031)</t>
  </si>
  <si>
    <t>0.03293 (0.00126)</t>
  </si>
  <si>
    <t>0.00071 (0.00015)</t>
  </si>
  <si>
    <t>sodA</t>
  </si>
  <si>
    <t>superoxide dismutase (Mn[2+]-dependent)</t>
  </si>
  <si>
    <t>0.06685 (0.06879)</t>
  </si>
  <si>
    <t>0.03982 (0.03444)</t>
  </si>
  <si>
    <t>0.01708 (0.00100)</t>
  </si>
  <si>
    <t>0.06799 (0.00402)</t>
  </si>
  <si>
    <t>0.00314 (0.00024)</t>
  </si>
  <si>
    <t>yqgC</t>
  </si>
  <si>
    <t>0.03062 (0.08113)</t>
  </si>
  <si>
    <t>0.04647 (0.08571)</t>
  </si>
  <si>
    <t>0.01196 (0.00080)</t>
  </si>
  <si>
    <t>0.04547 (0.00350)</t>
  </si>
  <si>
    <t>0.00160 (0.00024)</t>
  </si>
  <si>
    <t>yqgB</t>
  </si>
  <si>
    <t>factor involved in motility</t>
  </si>
  <si>
    <t>0.07264 (0.10583)</t>
  </si>
  <si>
    <t>0.01108 (0.00095)</t>
  </si>
  <si>
    <t>0.04365 (0.00403)</t>
  </si>
  <si>
    <t>0.00209 (0.00019)</t>
  </si>
  <si>
    <t>yqfZ</t>
  </si>
  <si>
    <t>0.38010 (0.18092)</t>
  </si>
  <si>
    <t>0.06486 (0.12776)</t>
  </si>
  <si>
    <t>0.01423 (0.00064)</t>
  </si>
  <si>
    <t>0.03539 (0.00240)</t>
  </si>
  <si>
    <t>0.00771 (0.00055)</t>
  </si>
  <si>
    <t>ispG</t>
  </si>
  <si>
    <t>4-hydroxy-3-methylbut-2-en-1-yl diphosphatesynthase (1-hydroxy-2-methyl-2-(E)-butenyl 4-diphosphatesynthase)</t>
  </si>
  <si>
    <t>0.02658 (0.04860)</t>
  </si>
  <si>
    <t>0.01280 (0.05174)</t>
  </si>
  <si>
    <t>0.02020 (0.00148)</t>
  </si>
  <si>
    <t>0.08971 (0.00685)</t>
  </si>
  <si>
    <t>0.00158 (0.00017)</t>
  </si>
  <si>
    <t>yqfX</t>
  </si>
  <si>
    <t>conserved protein of unknown function expressedin germinating spores</t>
  </si>
  <si>
    <t>0.07873 (0.09057)</t>
  </si>
  <si>
    <t>0.05239 (0.10963)</t>
  </si>
  <si>
    <t>0.00968 (0.00053)</t>
  </si>
  <si>
    <t>0.03240 (0.00227)</t>
  </si>
  <si>
    <t>0.00273 (0.00030)</t>
  </si>
  <si>
    <t>yqfW</t>
  </si>
  <si>
    <t>putative nucleotidase</t>
  </si>
  <si>
    <t>0.09649 (0.04532)</t>
  </si>
  <si>
    <t>0.08431 (0.12993)</t>
  </si>
  <si>
    <t>0.00856 (0.00060)</t>
  </si>
  <si>
    <t>0.03043 (0.00262)</t>
  </si>
  <si>
    <t>0.00321 (0.00033)</t>
  </si>
  <si>
    <t>zur</t>
  </si>
  <si>
    <t>transcriptional regulator (Zn[2+]-binding Furfamily)</t>
  </si>
  <si>
    <t>0.03030 (0.06325)</t>
  </si>
  <si>
    <t>0.03890 (0.07530)</t>
  </si>
  <si>
    <t>0.01070 (0.00061)</t>
  </si>
  <si>
    <t>0.04308 (0.00258)</t>
  </si>
  <si>
    <t>0.00217 (0.00022)</t>
  </si>
  <si>
    <t>yqfU</t>
  </si>
  <si>
    <t>0.08328 (0.31836)</t>
  </si>
  <si>
    <t>0.03034 (0.07986)</t>
  </si>
  <si>
    <t>0.01034 (0.00104)</t>
  </si>
  <si>
    <t>0.03760 (0.00305)</t>
  </si>
  <si>
    <t>0.00255 (0.00053)</t>
  </si>
  <si>
    <t>yqfT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</si>
  <si>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</si>
  <si>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0.05032 (0.05871)</t>
  </si>
  <si>
    <t>0.04420 (0.08904)</t>
  </si>
  <si>
    <t>0.02900 (0.00256)</t>
  </si>
  <si>
    <t>0.12654 (0.01074)</t>
  </si>
  <si>
    <t>0.00523 (0.00084)</t>
  </si>
  <si>
    <t>nfo</t>
  </si>
  <si>
    <t>type IV apurinic/apyrimidinic endonuclease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</si>
  <si>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</si>
  <si>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0.04146 (0.07408)</t>
  </si>
  <si>
    <t>0.02520 (0.05811)</t>
  </si>
  <si>
    <t>0.01655 (0.00224)</t>
  </si>
  <si>
    <t>0.07500 (0.01111)</t>
  </si>
  <si>
    <t>0.00231 (0.00033)</t>
  </si>
  <si>
    <t>cshB</t>
  </si>
  <si>
    <t>0.04626 (0.03449)</t>
  </si>
  <si>
    <t>0.05659 (0.07095)</t>
  </si>
  <si>
    <t>0.01004 (0.00054)</t>
  </si>
  <si>
    <t>0.03915 (0.00230)</t>
  </si>
  <si>
    <t>0.00215 (0.00012)</t>
  </si>
  <si>
    <t>yqfQ</t>
  </si>
  <si>
    <t>ref , GCA_000186745.1_ASM18674v1_genomic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GCA_000827065.1_ASM82706v1_genomic , GCA_000953615.1_BS49Ch_genomic , GCA_000971925.1_ASM97192v1_genomic , GCA_001015095.1_ASM101509v1_genomic , GCA_001037985.1_ASM103798v1_genomic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</si>
  <si>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0.32573 (0.10131)</t>
  </si>
  <si>
    <t>0.22554 (0.27799)</t>
  </si>
  <si>
    <t>0.01173 (0.00052)</t>
  </si>
  <si>
    <t>0.02821 (0.00145)</t>
  </si>
  <si>
    <t>0.00697 (0.00040)</t>
  </si>
  <si>
    <t>ispH</t>
  </si>
  <si>
    <t>1-hydroxy-2-methyl-2-(E)-butenyl 4-diphosphatereductase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</si>
  <si>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</si>
  <si>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0.02527 (0.03965)</t>
  </si>
  <si>
    <t>0.04158 (0.07668)</t>
  </si>
  <si>
    <t>0.00536 (0.00019)</t>
  </si>
  <si>
    <t>0.02146 (0.00080)</t>
  </si>
  <si>
    <t>0.00076 (0.00008)</t>
  </si>
  <si>
    <t>yqfO</t>
  </si>
  <si>
    <t>putative GTP cyclohydrolase</t>
  </si>
  <si>
    <t>0.16010 (0.08666)</t>
  </si>
  <si>
    <t>0.06880 (0.04808)</t>
  </si>
  <si>
    <t>0.01440 (0.00044)</t>
  </si>
  <si>
    <t>0.04998 (0.00165)</t>
  </si>
  <si>
    <t>0.00446 (0.00019)</t>
  </si>
  <si>
    <t>trmK</t>
  </si>
  <si>
    <t>tRNA (adenine(22)-N(1))-methyltransferase</t>
  </si>
  <si>
    <t>0.06352 (0.04045)</t>
  </si>
  <si>
    <t>0.08534 (0.06757)</t>
  </si>
  <si>
    <t>0.01131 (0.00055)</t>
  </si>
  <si>
    <t>0.03974 (0.00229)</t>
  </si>
  <si>
    <t>0.00349 (0.00019)</t>
  </si>
  <si>
    <t>cccA</t>
  </si>
  <si>
    <t>cytochrome c550</t>
  </si>
  <si>
    <t>0.04038 (0.07835)</t>
  </si>
  <si>
    <t>0.00970 (0.00095)</t>
  </si>
  <si>
    <t>0.04183 (0.00379)</t>
  </si>
  <si>
    <t>sigA</t>
  </si>
  <si>
    <t>RNA polymerase major sigma-43 factor (sigma-A)</t>
  </si>
  <si>
    <t>ref , GCA_000146565.1_ASM14656v1_genomic , GCA_000186745.1_ASM18674v1_genomic , GCA_000209795.2_ASM20979v2_genomic , GCA_000227465.1_ASM22746v1_genomic , GCA_000227485.1_ASM22748v1_genomic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</si>
  <si>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0.00809 (0.02745)</t>
  </si>
  <si>
    <t>0.01460 (0.00109)</t>
  </si>
  <si>
    <t>0.07011 (0.00547)</t>
  </si>
  <si>
    <t>0.00030 (0.00005)</t>
  </si>
  <si>
    <t>dnaG</t>
  </si>
  <si>
    <t>DNA primase</t>
  </si>
  <si>
    <t>0.14063 (0.09047)</t>
  </si>
  <si>
    <t>0.03871 (0.13526)</t>
  </si>
  <si>
    <t>0.01445 (0.00109)</t>
  </si>
  <si>
    <t>0.05842 (0.00474)</t>
  </si>
  <si>
    <t>0.00312 (0.00023)</t>
  </si>
  <si>
    <t>antE</t>
  </si>
  <si>
    <t>1.79647 (2.42573)</t>
  </si>
  <si>
    <t>0.01393 (0.00084)</t>
  </si>
  <si>
    <t>0.00582 (0.00110)</t>
  </si>
  <si>
    <t>0.01642 (0.00107)</t>
  </si>
  <si>
    <t>yqxD</t>
  </si>
  <si>
    <t>0.07037 (0.05295)</t>
  </si>
  <si>
    <t>0.10886 (0.08533)</t>
  </si>
  <si>
    <t>0.01885 (0.00115)</t>
  </si>
  <si>
    <t>0.06739 (0.00413)</t>
  </si>
  <si>
    <t>0.00630 (0.00045)</t>
  </si>
  <si>
    <t>ppsR</t>
  </si>
  <si>
    <t>bifunctional ADP-dependent kinase-Pi-dependent</t>
  </si>
  <si>
    <t>0.01022 (0.03710)</t>
  </si>
  <si>
    <t>0.00681 (0.02285)</t>
  </si>
  <si>
    <t>0.01936 (0.00151)</t>
  </si>
  <si>
    <t>0.09240 (0.00748)</t>
  </si>
  <si>
    <t>ccpN</t>
  </si>
  <si>
    <t>negative regulator of gluconeogenesis</t>
  </si>
  <si>
    <t>0.01770 (0.00129)</t>
  </si>
  <si>
    <t>0.08327 (0.00629)</t>
  </si>
  <si>
    <t>glyS</t>
  </si>
  <si>
    <t>glycyl-tRNA synthetase (beta subunit)</t>
  </si>
  <si>
    <t>0.08269 (0.07920)</t>
  </si>
  <si>
    <t>0.12572 (0.04700)</t>
  </si>
  <si>
    <t>0.00815 (0.00035)</t>
  </si>
  <si>
    <t>0.02823 (0.00138)</t>
  </si>
  <si>
    <t>0.00251 (0.00013)</t>
  </si>
  <si>
    <t>glyQ</t>
  </si>
  <si>
    <t>glycyl-tRNA synthetase (alpha subunit)</t>
  </si>
  <si>
    <t>0.00769 (0.02649)</t>
  </si>
  <si>
    <t>0.01858 (0.00163)</t>
  </si>
  <si>
    <t>0.09243 (0.00874)</t>
  </si>
  <si>
    <t>0.00019 (0.00005)</t>
  </si>
  <si>
    <t>recO</t>
  </si>
  <si>
    <t>DNA double strand break repair and homologousrecombination factor</t>
  </si>
  <si>
    <t>0.05527 (0.02787)</t>
  </si>
  <si>
    <t>0.05559 (0.10943)</t>
  </si>
  <si>
    <t>0.00856 (0.00040)</t>
  </si>
  <si>
    <t>0.03372 (0.00161)</t>
  </si>
  <si>
    <t>0.00177 (0.00015)</t>
  </si>
  <si>
    <t>era</t>
  </si>
  <si>
    <t>maturation of 16S RNA and assembly of 30Sribosomal subunit GTPase</t>
  </si>
  <si>
    <t>0.00927 (0.03160)</t>
  </si>
  <si>
    <t>0.02283 (0.03116)</t>
  </si>
  <si>
    <t>0.02467 (0.00161)</t>
  </si>
  <si>
    <t>0.11675 (0.00785)</t>
  </si>
  <si>
    <t>0.00249 (0.00019)</t>
  </si>
  <si>
    <t>cdd</t>
  </si>
  <si>
    <t>cytidine/deoxycytidine deaminase</t>
  </si>
  <si>
    <t>0.05874 (0.07369)</t>
  </si>
  <si>
    <t>0.07321 (0.08473)</t>
  </si>
  <si>
    <t>0.01685 (0.00093)</t>
  </si>
  <si>
    <t>0.06304 (0.00389)</t>
  </si>
  <si>
    <t>0.00420 (0.00035)</t>
  </si>
  <si>
    <t>unpK</t>
  </si>
  <si>
    <t>undecaprenol kinase</t>
  </si>
  <si>
    <t>0.06273 (0.06851)</t>
  </si>
  <si>
    <t>0.21243 (0.19281)</t>
  </si>
  <si>
    <t>0.01010 (0.00055)</t>
  </si>
  <si>
    <t>0.03275 (0.00194)</t>
  </si>
  <si>
    <t>0.00392 (0.00040)</t>
  </si>
  <si>
    <t>rnrY</t>
  </si>
  <si>
    <t>endonuclease involved in 70S ribosomes qualitycontrol</t>
  </si>
  <si>
    <t>0.09128 (0.08706)</t>
  </si>
  <si>
    <t>0.03913 (0.08154)</t>
  </si>
  <si>
    <t>0.00830 (0.00053)</t>
  </si>
  <si>
    <t>0.03308 (0.00224)</t>
  </si>
  <si>
    <t>0.00173 (0.00021)</t>
  </si>
  <si>
    <t>pgpH</t>
  </si>
  <si>
    <t>c-di-AMP-degrading phosphodiesterases</t>
  </si>
  <si>
    <t>0.02180 (0.01607)</t>
  </si>
  <si>
    <t>0.01204 (0.00047)</t>
  </si>
  <si>
    <t>0.05279 (0.00213)</t>
  </si>
  <si>
    <t>phoH</t>
  </si>
  <si>
    <t>phosphate starvation-induced protein</t>
  </si>
  <si>
    <t>0.07152 (0.06455)</t>
  </si>
  <si>
    <t>0.08492 (0.13899)</t>
  </si>
  <si>
    <t>0.01446 (0.00094)</t>
  </si>
  <si>
    <t>0.04864 (0.00297)</t>
  </si>
  <si>
    <t>0.00482 (0.00042)</t>
  </si>
  <si>
    <t>yqfD</t>
  </si>
  <si>
    <t>stage IV sporulation protein; putativeUDP-glucose-4-epimerase</t>
  </si>
  <si>
    <t>0.42907 (0.10124)</t>
  </si>
  <si>
    <t>0.04130 (0.04185)</t>
  </si>
  <si>
    <t>0.08494 (0.12395)</t>
  </si>
  <si>
    <t>0.02201 (0.00117)</t>
  </si>
  <si>
    <t>0.08734 (0.00463)</t>
  </si>
  <si>
    <t>0.00607 (0.00039)</t>
  </si>
  <si>
    <t>yqfC</t>
  </si>
  <si>
    <t>conserved sporulation protein of unknownfunction</t>
  </si>
  <si>
    <t>0.03103 (0.05800)</t>
  </si>
  <si>
    <t>0.02138 (0.00189)</t>
  </si>
  <si>
    <t>0.09874 (0.00895)</t>
  </si>
  <si>
    <t>0.00148 (0.00040)</t>
  </si>
  <si>
    <t>yqfB</t>
  </si>
  <si>
    <t>0.35272 (0.27040)</t>
  </si>
  <si>
    <t>0.22577 (0.21109)</t>
  </si>
  <si>
    <t>0.01471 (0.00087)</t>
  </si>
  <si>
    <t>0.03366 (0.00278)</t>
  </si>
  <si>
    <t>0.00968 (0.00055)</t>
  </si>
  <si>
    <t>floA</t>
  </si>
  <si>
    <t>flotillin-like protein involved in membranelipid rafts</t>
  </si>
  <si>
    <t>0.00953 (0.02790)</t>
  </si>
  <si>
    <t>0.03626 (0.03551)</t>
  </si>
  <si>
    <t>0.01043 (0.00063)</t>
  </si>
  <si>
    <t>0.04336 (0.00272)</t>
  </si>
  <si>
    <t>0.00067 (0.00010)</t>
  </si>
  <si>
    <t>nfeDA</t>
  </si>
  <si>
    <t>putative membrane bound peptidase of unkwnownfunction</t>
  </si>
  <si>
    <t>0.11464 (0.11407)</t>
  </si>
  <si>
    <t>0.00713 (0.02321)</t>
  </si>
  <si>
    <t>0.01896 (0.00108)</t>
  </si>
  <si>
    <t>0.06704 (0.00362)</t>
  </si>
  <si>
    <t>0.00430 (0.00042)</t>
  </si>
  <si>
    <t>yqeY</t>
  </si>
  <si>
    <t>conserved protein of unknown function with tRNAaminoacid amidase domain</t>
  </si>
  <si>
    <t>0.09074 (0.15124)</t>
  </si>
  <si>
    <t>0.01808 (0.01964)</t>
  </si>
  <si>
    <t>0.02042 (0.00360)</t>
  </si>
  <si>
    <t>0.09438 (0.01752)</t>
  </si>
  <si>
    <t>0.00249 (0.00043)</t>
  </si>
  <si>
    <t>yqeW</t>
  </si>
  <si>
    <t>putative Na+/anion cotransporter</t>
  </si>
  <si>
    <t>0.05114 (0.06030)</t>
  </si>
  <si>
    <t>0.03517 (0.02311)</t>
  </si>
  <si>
    <t>0.02201 (0.00095)</t>
  </si>
  <si>
    <t>0.08401 (0.00390)</t>
  </si>
  <si>
    <t>0.00377 (0.00025)</t>
  </si>
  <si>
    <t>mtaB</t>
  </si>
  <si>
    <t>tRNA N(6)-threonylcarbamoyladenosine (t(6)A)methylthiotransferase</t>
  </si>
  <si>
    <t>0.01243 (0.03245)</t>
  </si>
  <si>
    <t>0.02715 (0.02791)</t>
  </si>
  <si>
    <t>0.00882 (0.00058)</t>
  </si>
  <si>
    <t>0.03678 (0.00234)</t>
  </si>
  <si>
    <t>0.00106 (0.00013)</t>
  </si>
  <si>
    <t>rsmE</t>
  </si>
  <si>
    <t>methylase of U1498 in 16S rRNA</t>
  </si>
  <si>
    <t>0.08769 (0.04212)</t>
  </si>
  <si>
    <t>0.15059 (0.14346)</t>
  </si>
  <si>
    <t>0.02235 (0.00137)</t>
  </si>
  <si>
    <t>0.06901 (0.00417)</t>
  </si>
  <si>
    <t>0.01054 (0.00075)</t>
  </si>
  <si>
    <t>prmA</t>
  </si>
  <si>
    <t>ribosomal protein L11 methyltransferase</t>
  </si>
  <si>
    <t>0.03632 (0.05157)</t>
  </si>
  <si>
    <t>0.01643 (0.02413)</t>
  </si>
  <si>
    <t>0.01982 (0.00168)</t>
  </si>
  <si>
    <t>0.09217 (0.00798)</t>
  </si>
  <si>
    <t>0.00140 (0.00015)</t>
  </si>
  <si>
    <t>dnaJ</t>
  </si>
  <si>
    <t>co-factor of molecular chaperone</t>
  </si>
  <si>
    <t>0.01905 (0.02488)</t>
  </si>
  <si>
    <t>0.02408 (0.04826)</t>
  </si>
  <si>
    <t>0.02213 (0.00144)</t>
  </si>
  <si>
    <t>0.10207 (0.00682)</t>
  </si>
  <si>
    <t>0.00226 (0.00020)</t>
  </si>
  <si>
    <t>dnaK</t>
  </si>
  <si>
    <t>molecular chaperone, ATP-dependent</t>
  </si>
  <si>
    <t>0.01750 (0.01500)</t>
  </si>
  <si>
    <t>0.01212 (0.01462)</t>
  </si>
  <si>
    <t>0.01685 (0.00083)</t>
  </si>
  <si>
    <t>0.07250 (0.00371)</t>
  </si>
  <si>
    <t>0.00133 (0.00008)</t>
  </si>
  <si>
    <t>grpE</t>
  </si>
  <si>
    <t>nucleotide exchange factor for DnaK activity</t>
  </si>
  <si>
    <t>0.03081 (0.04242)</t>
  </si>
  <si>
    <t>0.04307 (0.04101)</t>
  </si>
  <si>
    <t>0.02117 (0.00170)</t>
  </si>
  <si>
    <t>0.09425 (0.00807)</t>
  </si>
  <si>
    <t>0.00496 (0.00046)</t>
  </si>
  <si>
    <t>hrcA</t>
  </si>
  <si>
    <t>transcriptional regulator of heat-shock genes</t>
  </si>
  <si>
    <t>0.03121 (0.05037)</t>
  </si>
  <si>
    <t>0.00654 (0.02404)</t>
  </si>
  <si>
    <t>0.02194 (0.00172)</t>
  </si>
  <si>
    <t>0.10281 (0.00840)</t>
  </si>
  <si>
    <t>hemN</t>
  </si>
  <si>
    <t>0.06516 (0.02871)</t>
  </si>
  <si>
    <t>0.05298 (0.03237)</t>
  </si>
  <si>
    <t>0.01095 (0.00041)</t>
  </si>
  <si>
    <t>0.04297 (0.00190)</t>
  </si>
  <si>
    <t>0.00239 (0.00011)</t>
  </si>
  <si>
    <t>lepA</t>
  </si>
  <si>
    <t>ribosomal elongation factor, GTPase</t>
  </si>
  <si>
    <t>0.00398 (0.01503)</t>
  </si>
  <si>
    <t>0.01047 (0.04685)</t>
  </si>
  <si>
    <t>0.01529 (0.00158)</t>
  </si>
  <si>
    <t>0.07128 (0.00765)</t>
  </si>
  <si>
    <t>0.00059 (0.00008)</t>
  </si>
  <si>
    <t>yqxA</t>
  </si>
  <si>
    <t>0.17484 (0.30608)</t>
  </si>
  <si>
    <t>0.55194 (0.69098)</t>
  </si>
  <si>
    <t>0.01446 (0.00138)</t>
  </si>
  <si>
    <t>0.03286 (0.00663)</t>
  </si>
  <si>
    <t>0.00986 (0.00098)</t>
  </si>
  <si>
    <t>spoIIP</t>
  </si>
  <si>
    <t>spore autolysin (stage II sporulation)</t>
  </si>
  <si>
    <t>0.02456 (0.02255)</t>
  </si>
  <si>
    <t>0.00867 (0.02169)</t>
  </si>
  <si>
    <t>0.01100 (0.00033)</t>
  </si>
  <si>
    <t>0.04678 (0.00145)</t>
  </si>
  <si>
    <t>0.00080 (0.00008)</t>
  </si>
  <si>
    <t>gpr</t>
  </si>
  <si>
    <t>spore germination protease</t>
  </si>
  <si>
    <t>0.03111 (0.05527)</t>
  </si>
  <si>
    <t>0.02086 (0.05893)</t>
  </si>
  <si>
    <t>0.00805 (0.00031)</t>
  </si>
  <si>
    <t>0.03330 (0.00139)</t>
  </si>
  <si>
    <t>rpsT</t>
  </si>
  <si>
    <t>ribosomal protein S20 (BS20)</t>
  </si>
  <si>
    <t>0.11208 (0.12556)</t>
  </si>
  <si>
    <t>0.15585 (0.22041)</t>
  </si>
  <si>
    <t>0.02273 (0.00554)</t>
  </si>
  <si>
    <t>0.07101 (0.01689)</t>
  </si>
  <si>
    <t>0.00908 (0.00266)</t>
  </si>
  <si>
    <t>holA</t>
  </si>
  <si>
    <t>DNA polymerase clamp loader delta subunit</t>
  </si>
  <si>
    <t>0.06639 (0.03141)</t>
  </si>
  <si>
    <t>0.01842 (0.01645)</t>
  </si>
  <si>
    <t>0.02720 (0.00133)</t>
  </si>
  <si>
    <t>0.12273 (0.00652)</t>
  </si>
  <si>
    <t>0.00408 (0.00019)</t>
  </si>
  <si>
    <t>BSU_25565</t>
  </si>
  <si>
    <t>hypothetical proteinFANSIgene            2637369..2637503CDS             2637369..2637503organisms</t>
  </si>
  <si>
    <t>0.49628 (0.33085)</t>
  </si>
  <si>
    <t>0.01361 (0.00167)</t>
  </si>
  <si>
    <t>0.02229 (0.00533)</t>
  </si>
  <si>
    <t>0.01104 (0.00176)</t>
  </si>
  <si>
    <t>comEC</t>
  </si>
  <si>
    <t>DNA channel for uptake in competent cells</t>
  </si>
  <si>
    <t>0.40571 (0.09801)</t>
  </si>
  <si>
    <t>0.24094 (0.10142)</t>
  </si>
  <si>
    <t>0.17577 (0.03576)</t>
  </si>
  <si>
    <t>0.01640 (0.00054)</t>
  </si>
  <si>
    <t>0.04143 (0.00146)</t>
  </si>
  <si>
    <t>0.00898 (0.00034)</t>
  </si>
  <si>
    <t>comEB</t>
  </si>
  <si>
    <t>dCMP deaminase associated to DNA transport(competence)</t>
  </si>
  <si>
    <t>0.05224 (0.05369)</t>
  </si>
  <si>
    <t>0.01103 (0.00060)</t>
  </si>
  <si>
    <t>0.04797 (0.00257)</t>
  </si>
  <si>
    <t>0.00083 (0.00016)</t>
  </si>
  <si>
    <t>comEA</t>
  </si>
  <si>
    <t>membrane bound high-affinity DNA-bindingreceptor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</si>
  <si>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</si>
  <si>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0.43885 (0.11895)</t>
  </si>
  <si>
    <t>0.38389 (0.17289)</t>
  </si>
  <si>
    <t>0.01843 (0.00087)</t>
  </si>
  <si>
    <t>0.03674 (0.00200)</t>
  </si>
  <si>
    <t>0.01337 (0.00066)</t>
  </si>
  <si>
    <t>comER</t>
  </si>
  <si>
    <t>putative pyrroline-5'-carboxylate reductase</t>
  </si>
  <si>
    <t>0.10880 (0.10890)</t>
  </si>
  <si>
    <t>0.03283 (0.03316)</t>
  </si>
  <si>
    <t>0.02693 (0.00186)</t>
  </si>
  <si>
    <t>0.11515 (0.00915)</t>
  </si>
  <si>
    <t>0.00502 (0.00031)</t>
  </si>
  <si>
    <t>yqeM</t>
  </si>
  <si>
    <t>0.08405 (0.04248)</t>
  </si>
  <si>
    <t>0.18378 (0.05919)</t>
  </si>
  <si>
    <t>0.01377 (0.00053)</t>
  </si>
  <si>
    <t>0.04233 (0.00184)</t>
  </si>
  <si>
    <t>0.00663 (0.00036)</t>
  </si>
  <si>
    <t>rsfS</t>
  </si>
  <si>
    <t>ribosomal silencing factor</t>
  </si>
  <si>
    <t>0.06197 (0.07204)</t>
  </si>
  <si>
    <t>0.02737 (0.07130)</t>
  </si>
  <si>
    <t>0.02545 (0.00147)</t>
  </si>
  <si>
    <t>0.11461 (0.00687)</t>
  </si>
  <si>
    <t>0.00459 (0.00041)</t>
  </si>
  <si>
    <t>yqeK</t>
  </si>
  <si>
    <t>0.07623 (0.11366)</t>
  </si>
  <si>
    <t>0.05658 (0.05665)</t>
  </si>
  <si>
    <t>0.01838 (0.00251)</t>
  </si>
  <si>
    <t>0.07214 (0.01119)</t>
  </si>
  <si>
    <t>0.00492 (0.00054)</t>
  </si>
  <si>
    <t>nadD</t>
  </si>
  <si>
    <t>nicotinate-nucleotide adenylyltransferase</t>
  </si>
  <si>
    <t>0.01983 (0.05854)</t>
  </si>
  <si>
    <t>0.04513 (0.03986)</t>
  </si>
  <si>
    <t>0.02033 (0.00130)</t>
  </si>
  <si>
    <t>0.08573 (0.00563)</t>
  </si>
  <si>
    <t>0.00391 (0.00033)</t>
  </si>
  <si>
    <t>yqeI</t>
  </si>
  <si>
    <t>50S RNA-binding protein</t>
  </si>
  <si>
    <t>0.16157 (0.10585)</t>
  </si>
  <si>
    <t>0.02109 (0.00145)</t>
  </si>
  <si>
    <t>0.09765 (0.00716)</t>
  </si>
  <si>
    <t>0.00242 (0.00036)</t>
  </si>
  <si>
    <t>aroE</t>
  </si>
  <si>
    <t>shikimate 5-dehydrogenase</t>
  </si>
  <si>
    <t>0.14740 (0.07001)</t>
  </si>
  <si>
    <t>0.16360 (0.08560)</t>
  </si>
  <si>
    <t>0.00851 (0.00037)</t>
  </si>
  <si>
    <t>0.02372 (0.00129)</t>
  </si>
  <si>
    <t>rgpH</t>
  </si>
  <si>
    <t>potassium-dependent GTPase involved in ribosome30S assembly</t>
  </si>
  <si>
    <t>0.05515 (0.04432)</t>
  </si>
  <si>
    <t>0.00578 (0.00029)</t>
  </si>
  <si>
    <t>0.02356 (0.00135)</t>
  </si>
  <si>
    <t>yqeG</t>
  </si>
  <si>
    <t>phosphatase (active on GMP and Glc-6-P)</t>
  </si>
  <si>
    <t>0.01053 (0.03836)</t>
  </si>
  <si>
    <t>0.02187 (0.00127)</t>
  </si>
  <si>
    <t>0.10948 (0.00664)</t>
  </si>
  <si>
    <t>0.00035 (0.00008)</t>
  </si>
  <si>
    <t>sda</t>
  </si>
  <si>
    <t>check point factor coupling initiation ofsporulation and replication initiation</t>
  </si>
  <si>
    <t>0.01154 (0.00152)</t>
  </si>
  <si>
    <t>0.05764 (0.00787)</t>
  </si>
  <si>
    <t>yqeF</t>
  </si>
  <si>
    <t>putative lipoprotein; putative esterase</t>
  </si>
  <si>
    <t>0.05142 (0.07343)</t>
  </si>
  <si>
    <t>0.06484 (0.05992)</t>
  </si>
  <si>
    <t>0.00948 (0.00044)</t>
  </si>
  <si>
    <t>0.03462 (0.00183)</t>
  </si>
  <si>
    <t>0.00237 (0.00021)</t>
  </si>
  <si>
    <t>cwlH</t>
  </si>
  <si>
    <t>0.56989 (0.24397)</t>
  </si>
  <si>
    <t>0.42509 (0.17218)</t>
  </si>
  <si>
    <t>0.01286 (0.00047)</t>
  </si>
  <si>
    <t>0.02158 (0.00114)</t>
  </si>
  <si>
    <t>0.01046 (0.00038)</t>
  </si>
  <si>
    <t>yqeD</t>
  </si>
  <si>
    <t>0.45229 (0.28654)</t>
  </si>
  <si>
    <t>0.14312 (0.05922)</t>
  </si>
  <si>
    <t>0.01476 (0.00064)</t>
  </si>
  <si>
    <t>0.03642 (0.00241)</t>
  </si>
  <si>
    <t>0.00840 (0.00036)</t>
  </si>
  <si>
    <t>yqeC</t>
  </si>
  <si>
    <t>putative catabolic 6-phospho-gluconatedehydrogenase (NAD[+]-dependent)</t>
  </si>
  <si>
    <t>0.29031 (0.15256)</t>
  </si>
  <si>
    <t>0.13712 (0.17253)</t>
  </si>
  <si>
    <t>0.01408 (0.00063)</t>
  </si>
  <si>
    <t>0.04148 (0.00191)</t>
  </si>
  <si>
    <t>yqeB</t>
  </si>
  <si>
    <t>0.23668 (0.14515)</t>
  </si>
  <si>
    <t>0.12994 (0.11056)</t>
  </si>
  <si>
    <t>0.01080 (0.00064)</t>
  </si>
  <si>
    <t>0.02786 (0.00170)</t>
  </si>
  <si>
    <t>0.00582 (0.00044)</t>
  </si>
  <si>
    <t>nucB</t>
  </si>
  <si>
    <t>sporulation-specific matrix degrading exportedDNase</t>
  </si>
  <si>
    <t>0.09370 (0.10523)</t>
  </si>
  <si>
    <t>0.01301 (0.00064)</t>
  </si>
  <si>
    <t>0.05061 (0.00252)</t>
  </si>
  <si>
    <t>0.00198 (0.00030)</t>
  </si>
  <si>
    <t>spoIVCA</t>
  </si>
  <si>
    <t>site-specific DNA recombinase; skin element</t>
  </si>
  <si>
    <t>ref , GCA_000186745.1_ASM18674v1_genomic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GCA_002163815.1_ASM216381v1_genomic</t>
  </si>
  <si>
    <t>0.04722 (0.01914)</t>
  </si>
  <si>
    <t>0.03031 (0.00865)</t>
  </si>
  <si>
    <t>0.03941 (0.00283)</t>
  </si>
  <si>
    <t>0.18128 (0.01381)</t>
  </si>
  <si>
    <t>0.00705 (0.00062)</t>
  </si>
  <si>
    <t>ref , GCA_000186745.1_ASM18674v1_genomic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GCA_001697265.1_ASM169726v1_genomic , GCA_001703495.1_ASM170349v1_genomic , GCA_001704095.1_ASM170409v1_genomic , GCA_002055965.1_ASM205596v1_genomic</t>
  </si>
  <si>
    <t>rapE</t>
  </si>
  <si>
    <t>response regulator aspartate phosphatase; skinelement</t>
  </si>
  <si>
    <t>ref , GCA_000186745.1_ASM18674v1_genomic , GCA_000227465.1_ASM22746v1_genomic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GCA_001697265.1_ASM169726v1_genomic , GCA_001703495.1_ASM170349v1_genomic , GCA_001704095.1_ASM170409v1_genomic , GCA_001889625.1_ASM188962v1_genomic , GCA_002055965.1_ASM205596v1_genomic , GCA_002163815.1_ASM216381v1_genomic</t>
  </si>
  <si>
    <t>0.02816 (0.01334)</t>
  </si>
  <si>
    <t>0.01327 (0.00425)</t>
  </si>
  <si>
    <t>0.03411 (0.00277)</t>
  </si>
  <si>
    <t>0.17136 (0.01494)</t>
  </si>
  <si>
    <t>0.00338 (0.00038)</t>
  </si>
  <si>
    <t>phrE</t>
  </si>
  <si>
    <t>regulator peptide of the activity of phosphataseRapE; skin element</t>
  </si>
  <si>
    <t>ref , GCA_000186745.1_ASM18674v1_genomic , GCA_000227465.1_ASM22746v1_genomic , GCA_000227485.1_ASM22748v1_genomic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GCA_001697265.1_ASM169726v1_genomic , GCA_001703495.1_ASM170349v1_genomic , GCA_001704095.1_ASM170409v1_genomic , GCA_001889625.1_ASM188962v1_genomic , GCA_002055965.1_ASM205596v1_genomic , GCA_002142595.1_ASM214259v1_genomic , GCA_002163815.1_ASM216381v1_genomic</t>
  </si>
  <si>
    <t>0.43735 (0.29534)</t>
  </si>
  <si>
    <t>0.29028 (0.41051)</t>
  </si>
  <si>
    <t>0.02424 (0.00383)</t>
  </si>
  <si>
    <t>0.04844 (0.00737)</t>
  </si>
  <si>
    <t>0.01796 (0.00325)</t>
  </si>
  <si>
    <t>rttG</t>
  </si>
  <si>
    <t>phage ribonuclease toxin; skin element</t>
  </si>
  <si>
    <t>0.03849 (0.04568)</t>
  </si>
  <si>
    <t>0.53513 (0.00000)</t>
  </si>
  <si>
    <t>0.01203 (0.00274)</t>
  </si>
  <si>
    <t>0.04494 (0.01223)</t>
  </si>
  <si>
    <t>0.00373 (0.00072)</t>
  </si>
  <si>
    <t>yqxH</t>
  </si>
  <si>
    <t>putative holin; skin element</t>
  </si>
  <si>
    <t>ref , GCA_000186745.1_ASM18674v1_genomic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GCA_001604995.1_ASM160499v1_genomic , GCA_001697265.1_ASM169726v1_genomic , GCA_001703495.1_ASM170349v1_genomic , GCA_001704095.1_ASM170409v1_genomic , GCA_002055965.1_ASM205596v1_genomic , GCA_002163815.1_ASM216381v1_genomic</t>
  </si>
  <si>
    <t>0.12586 (0.03946)</t>
  </si>
  <si>
    <t>0.02850 (0.02101)</t>
  </si>
  <si>
    <t>0.04524 (0.00299)</t>
  </si>
  <si>
    <t>0.16365 (0.01217)</t>
  </si>
  <si>
    <t>0.01561 (0.00199)</t>
  </si>
  <si>
    <t>yqaL</t>
  </si>
  <si>
    <t>putative DNA-binding protein; skin element</t>
  </si>
  <si>
    <t>0.24211 (0.16167)</t>
  </si>
  <si>
    <t>0.08154 (0.00000)</t>
  </si>
  <si>
    <t>0.02790 (0.00545)</t>
  </si>
  <si>
    <t>0.08993 (0.01182)</t>
  </si>
  <si>
    <t>0.01245 (0.00226)</t>
  </si>
  <si>
    <t>yqaC</t>
  </si>
  <si>
    <t>putative kinase / phosphatase; skin element</t>
  </si>
  <si>
    <t>ref , GCA_000186745.1_ASM18674v1_genomic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GCA_001604995.1_ASM160499v1_genomic , GCA_001697265.1_ASM169726v1_genomic , GCA_001703495.1_ASM170349v1_genomic , GCA_001704095.1_ASM170409v1_genomic , GCA_001720505.1_ASM172050v1_genomic , GCA_002055965.1_ASM205596v1_genomic , GCA_002072735.1_ASM207273v1_genomic</t>
  </si>
  <si>
    <t>0.46800 (0.33902)</t>
  </si>
  <si>
    <t>0.16782 (0.09353)</t>
  </si>
  <si>
    <t>0.03192 (0.00317)</t>
  </si>
  <si>
    <t>0.09293 (0.01149)</t>
  </si>
  <si>
    <t>0.01768 (0.00170)</t>
  </si>
  <si>
    <t>yrkQ</t>
  </si>
  <si>
    <t>two-component sensor histidine kinase [YrkP]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</si>
  <si>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</t>
  </si>
  <si>
    <t>0.45859 (0.63745)</t>
  </si>
  <si>
    <t>0.28876 (0.00000)</t>
  </si>
  <si>
    <t>0.00604 (0.00147)</t>
  </si>
  <si>
    <t>0.01102 (0.00362)</t>
  </si>
  <si>
    <t>0.00466 (0.00090)</t>
  </si>
  <si>
    <t>yrkP</t>
  </si>
  <si>
    <t>two-component response regulator [YrkQ]</t>
  </si>
  <si>
    <t>0.86962 (1.08818)</t>
  </si>
  <si>
    <t>0.29064 (0.00000)</t>
  </si>
  <si>
    <t>0.00773 (0.00139)</t>
  </si>
  <si>
    <t>0.01081 (0.00294)</t>
  </si>
  <si>
    <t>0.00690 (0.00106)</t>
  </si>
  <si>
    <t>yrkO</t>
  </si>
  <si>
    <t>0.41723 (0.24235)</t>
  </si>
  <si>
    <t>0.29352 (0.41510)</t>
  </si>
  <si>
    <t>0.00658 (0.00091)</t>
  </si>
  <si>
    <t>0.01247 (0.00276)</t>
  </si>
  <si>
    <t>0.00492 (0.00053)</t>
  </si>
  <si>
    <t>BSU_26449</t>
  </si>
  <si>
    <t>hypothetical proteinGIKRTDLIYGLVIFISFRLLWANKSTRVYSMCIAHDRIgene            2707127..2707684CDS             2707127..2707684computational evidences; PubMedId: 18175906; Product typee: enzyme</t>
  </si>
  <si>
    <t>1.16481 (1.42999)</t>
  </si>
  <si>
    <t>0.01042 (0.00163)</t>
  </si>
  <si>
    <t>0.00933 (0.00381)</t>
  </si>
  <si>
    <t>0.01090 (0.00183)</t>
  </si>
  <si>
    <t>yrkL</t>
  </si>
  <si>
    <t>putative NAD(P)H oxidoreductase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</si>
  <si>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GCA_001889385.1_ASM188938v1_genomic , GCA_002055965.1_ASM205596v1_genomic</t>
  </si>
  <si>
    <t>2.24104 (4.26100)</t>
  </si>
  <si>
    <t>0.06124 (0.04739)</t>
  </si>
  <si>
    <t>0.01362 (0.00130)</t>
  </si>
  <si>
    <t>0.03617 (0.00435)</t>
  </si>
  <si>
    <t>0.00767 (0.00073)</t>
  </si>
  <si>
    <t>yrkK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</si>
  <si>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</t>
  </si>
  <si>
    <t>0.46882 (0.47757)</t>
  </si>
  <si>
    <t>0.01923 (0.00497)</t>
  </si>
  <si>
    <t>0.03717 (0.00875)</t>
  </si>
  <si>
    <t>0.01463 (0.00413)</t>
  </si>
  <si>
    <t>yrkJ</t>
  </si>
  <si>
    <t>ref , GCA_000293765.1_ASM29376v1_genomic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GCA_001808235.1_ASM180823v1_genomic , GCA_002055965.1_ASM205596v1_genomic , GCA_002072735.1_ASM207273v1_genomic</t>
  </si>
  <si>
    <t>1.16157 (0.51971)</t>
  </si>
  <si>
    <t>0.13604 (0.03755)</t>
  </si>
  <si>
    <t>0.02161 (0.00243)</t>
  </si>
  <si>
    <t>0.04668 (0.00765)</t>
  </si>
  <si>
    <t>0.01402 (0.00109)</t>
  </si>
  <si>
    <t>yrkF</t>
  </si>
  <si>
    <t>putative rhodanese-related sulfur transferase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</si>
  <si>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</si>
  <si>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0.24164 (0.14230)</t>
  </si>
  <si>
    <t>0.15727 (0.07508)</t>
  </si>
  <si>
    <t>0.02207 (0.00169)</t>
  </si>
  <si>
    <t>0.06391 (0.00587)</t>
  </si>
  <si>
    <t>0.01159 (0.00097)</t>
  </si>
  <si>
    <t>yrkE</t>
  </si>
  <si>
    <t>putative protein involved in sulfur metabolism(DsrE-like)</t>
  </si>
  <si>
    <t>ref , GCA_000186745.1_ASM18674v1_genomic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</si>
  <si>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0.12580 (0.25029)</t>
  </si>
  <si>
    <t>0.08801 (0.05075)</t>
  </si>
  <si>
    <t>0.01617 (0.00176)</t>
  </si>
  <si>
    <t>0.05728 (0.00682)</t>
  </si>
  <si>
    <t>0.00621 (0.00072)</t>
  </si>
  <si>
    <t>yrkD</t>
  </si>
  <si>
    <t>putative metal-sensitive transcriptionalregulator involved in sulfur metabolism</t>
  </si>
  <si>
    <t>ref , GCA_000186745.1_ASM18674v1_genomic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</si>
  <si>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0.02381 (0.00692)</t>
  </si>
  <si>
    <t>0.13098 (0.03965)</t>
  </si>
  <si>
    <t>yrkC</t>
  </si>
  <si>
    <t>0.25173 (0.13157)</t>
  </si>
  <si>
    <t>0.05168 (0.05506)</t>
  </si>
  <si>
    <t>0.01593 (0.00115)</t>
  </si>
  <si>
    <t>0.05227 (0.00440)</t>
  </si>
  <si>
    <t>0.00607 (0.00042)</t>
  </si>
  <si>
    <t>BSU_26569</t>
  </si>
  <si>
    <t>hypothetical proteinHSLNKCIGYYHKNLgene            complement(2715719..2715865)CDS             complement(2715719..2715865)</t>
  </si>
  <si>
    <t>0.48590 (0.49592)</t>
  </si>
  <si>
    <t>0.01399 (0.00108)</t>
  </si>
  <si>
    <t>0.01512 (0.00325)</t>
  </si>
  <si>
    <t>0.01396 (0.00126)</t>
  </si>
  <si>
    <t>bltR</t>
  </si>
  <si>
    <t>transcriptional regulator (polyaminemetabolism)</t>
  </si>
  <si>
    <t>0.16613 (0.13471)</t>
  </si>
  <si>
    <t>0.15242 (0.08264)</t>
  </si>
  <si>
    <t>0.01105 (0.00074)</t>
  </si>
  <si>
    <t>0.03186 (0.00219)</t>
  </si>
  <si>
    <t>0.00557 (0.00046)</t>
  </si>
  <si>
    <t>blt</t>
  </si>
  <si>
    <t>efflux transporter (promiscuous, acetylatedpolyamines efflux)</t>
  </si>
  <si>
    <t>0.13202 (0.21058)</t>
  </si>
  <si>
    <t>0.10776 (0.11882)</t>
  </si>
  <si>
    <t>0.01806 (0.00130)</t>
  </si>
  <si>
    <t>0.05745 (0.00482)</t>
  </si>
  <si>
    <t>0.00708 (0.00045)</t>
  </si>
  <si>
    <t>bltD</t>
  </si>
  <si>
    <t>spermine/spermidine acetyltransferase</t>
  </si>
  <si>
    <t>0.35703 (0.11298)</t>
  </si>
  <si>
    <t>0.18367 (0.06091)</t>
  </si>
  <si>
    <t>0.01833 (0.00069)</t>
  </si>
  <si>
    <t>0.04191 (0.00215)</t>
  </si>
  <si>
    <t>0.01247 (0.00054)</t>
  </si>
  <si>
    <t>yrkA</t>
  </si>
  <si>
    <t>putative membrane associated protein</t>
  </si>
  <si>
    <t>0.24016 (0.16174)</t>
  </si>
  <si>
    <t>0.16145 (0.10290)</t>
  </si>
  <si>
    <t>0.01197 (0.00053)</t>
  </si>
  <si>
    <t>0.03239 (0.00174)</t>
  </si>
  <si>
    <t>0.00640 (0.00026)</t>
  </si>
  <si>
    <t>yrzO</t>
  </si>
  <si>
    <t>0.07851 (0.04392)</t>
  </si>
  <si>
    <t>0.02624 (0.00285)</t>
  </si>
  <si>
    <t>0.11394 (0.01240)</t>
  </si>
  <si>
    <t>0.00711 (0.00169)</t>
  </si>
  <si>
    <t>yrdR</t>
  </si>
  <si>
    <t>0.22627 (0.07255)</t>
  </si>
  <si>
    <t>0.15649 (0.07107)</t>
  </si>
  <si>
    <t>0.01255 (0.00058)</t>
  </si>
  <si>
    <t>0.03303 (0.00174)</t>
  </si>
  <si>
    <t>0.00674 (0.00039)</t>
  </si>
  <si>
    <t>czcR</t>
  </si>
  <si>
    <t>0.17812 (0.08984)</t>
  </si>
  <si>
    <t>0.06271 (0.04331)</t>
  </si>
  <si>
    <t>0.01150 (0.00040)</t>
  </si>
  <si>
    <t>0.04096 (0.00165)</t>
  </si>
  <si>
    <t>0.00331 (0.00018)</t>
  </si>
  <si>
    <t>yrdP</t>
  </si>
  <si>
    <t>0.12359 (0.08891)</t>
  </si>
  <si>
    <t>0.25505 (0.17025)</t>
  </si>
  <si>
    <t>0.01417 (0.00065)</t>
  </si>
  <si>
    <t>0.03640 (0.00133)</t>
  </si>
  <si>
    <t>0.00829 (0.00053)</t>
  </si>
  <si>
    <t>czcD</t>
  </si>
  <si>
    <t>potassium/proton-divalent cation antiporter</t>
  </si>
  <si>
    <t>0.13295 (0.07146)</t>
  </si>
  <si>
    <t>0.11371 (0.06260)</t>
  </si>
  <si>
    <t>0.00944 (0.00038)</t>
  </si>
  <si>
    <t>0.03056 (0.00154)</t>
  </si>
  <si>
    <t>0.00361 (0.00019)</t>
  </si>
  <si>
    <t>yrdN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</si>
  <si>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</si>
  <si>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0.07237 (0.03482)</t>
  </si>
  <si>
    <t>0.01563 (0.00327)</t>
  </si>
  <si>
    <t>0.05327 (0.01430)</t>
  </si>
  <si>
    <t>0.00605 (0.00080)</t>
  </si>
  <si>
    <t>gltR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</si>
  <si>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</si>
  <si>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0.13898 (0.08031)</t>
  </si>
  <si>
    <t>0.11478 (0.04721)</t>
  </si>
  <si>
    <t>0.00869 (0.00060)</t>
  </si>
  <si>
    <t>0.02550 (0.00219)</t>
  </si>
  <si>
    <t>0.00370 (0.00030)</t>
  </si>
  <si>
    <t>yrdK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</si>
  <si>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</si>
  <si>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0.87817 (1.46361)</t>
  </si>
  <si>
    <t>0.01359 (0.00170)</t>
  </si>
  <si>
    <t>0.00575 (0.00215)</t>
  </si>
  <si>
    <t>0.01616 (0.00234)</t>
  </si>
  <si>
    <t>Positive</t>
  </si>
  <si>
    <t>brnQ</t>
  </si>
  <si>
    <t>low-affinity branched-chain amino acidtransporter</t>
  </si>
  <si>
    <t>0.18668 (0.08237)</t>
  </si>
  <si>
    <t>0.18010 (0.04536)</t>
  </si>
  <si>
    <t>0.01475 (0.00049)</t>
  </si>
  <si>
    <t>0.03965 (0.00147)</t>
  </si>
  <si>
    <t>0.00699 (0.00026)</t>
  </si>
  <si>
    <t>azlD</t>
  </si>
  <si>
    <t>branched-chain amino acid / methionine exporter</t>
  </si>
  <si>
    <t>0.12224 (0.07534)</t>
  </si>
  <si>
    <t>0.04075 (0.07759)</t>
  </si>
  <si>
    <t>0.01579 (0.00112)</t>
  </si>
  <si>
    <t>0.05540 (0.00416)</t>
  </si>
  <si>
    <t>0.00357 (0.00046)</t>
  </si>
  <si>
    <t>azlC</t>
  </si>
  <si>
    <t>0.10196 (0.07411)</t>
  </si>
  <si>
    <t>0.12706 (0.06701)</t>
  </si>
  <si>
    <t>0.01047 (0.00054)</t>
  </si>
  <si>
    <t>0.03359 (0.00176)</t>
  </si>
  <si>
    <t>0.00407 (0.00030)</t>
  </si>
  <si>
    <t>azlB</t>
  </si>
  <si>
    <t>transcriptional repressor of the azlBCD operon</t>
  </si>
  <si>
    <t>0.09841 (0.16271)</t>
  </si>
  <si>
    <t>0.18044 (0.16584)</t>
  </si>
  <si>
    <t>0.01036 (0.00055)</t>
  </si>
  <si>
    <t>0.03284 (0.00229)</t>
  </si>
  <si>
    <t>0.00451 (0.00041)</t>
  </si>
  <si>
    <t>yrdF</t>
  </si>
  <si>
    <t>putative ribonuclease inhibitor</t>
  </si>
  <si>
    <t>ref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GCA_002055965.1_ASM205596v1_genomic , GCA_002072735.1_ASM207273v1_genomic , GCA_002142595.1_ASM214259v1_genomic</t>
  </si>
  <si>
    <t>0.43187 (0.16851)</t>
  </si>
  <si>
    <t>0.02593 (0.00360)</t>
  </si>
  <si>
    <t>0.04913 (0.00790)</t>
  </si>
  <si>
    <t>0.02105 (0.00290)</t>
  </si>
  <si>
    <t>cypA</t>
  </si>
  <si>
    <t>cytochrome P450</t>
  </si>
  <si>
    <t>ref , GCA_000186745.1_ASM18674v1_genomic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</t>
  </si>
  <si>
    <t>0.18527 (0.08511)</t>
  </si>
  <si>
    <t>0.19396 (0.19934)</t>
  </si>
  <si>
    <t>0.01554 (0.00100)</t>
  </si>
  <si>
    <t>0.04288 (0.00287)</t>
  </si>
  <si>
    <t>0.00861 (0.00060)</t>
  </si>
  <si>
    <t>yrdB</t>
  </si>
  <si>
    <t>0.41858 (0.49807)</t>
  </si>
  <si>
    <t>0.49550 (0.24017)</t>
  </si>
  <si>
    <t>0.01925 (0.00098)</t>
  </si>
  <si>
    <t>0.03195 (0.00249)</t>
  </si>
  <si>
    <t>0.01578 (0.00080)</t>
  </si>
  <si>
    <t>yrdA</t>
  </si>
  <si>
    <t>0.37238 (0.16080)</t>
  </si>
  <si>
    <t>0.07781 (0.06888)</t>
  </si>
  <si>
    <t>0.01573 (0.00066)</t>
  </si>
  <si>
    <t>0.04732 (0.00264)</t>
  </si>
  <si>
    <t>0.00753 (0.00048)</t>
  </si>
  <si>
    <t>aadK</t>
  </si>
  <si>
    <t>aminoglycoside 6-adenylyltransferase</t>
  </si>
  <si>
    <t>0.31044 (0.19521)</t>
  </si>
  <si>
    <t>0.11428 (0.08570)</t>
  </si>
  <si>
    <t>0.01101 (0.00047)</t>
  </si>
  <si>
    <t>0.03461 (0.00167)</t>
  </si>
  <si>
    <t>0.00530 (0.00032)</t>
  </si>
  <si>
    <t>yrpB</t>
  </si>
  <si>
    <t>putative anionic nitroalkane monoxygenase</t>
  </si>
  <si>
    <t>0.15301 (0.07927)</t>
  </si>
  <si>
    <t>0.15857 (0.16142)</t>
  </si>
  <si>
    <t>0.03593 (0.00127)</t>
  </si>
  <si>
    <t>0.00541 (0.00039)</t>
  </si>
  <si>
    <t>murI</t>
  </si>
  <si>
    <t>glutamate racemase</t>
  </si>
  <si>
    <t>0.28748 (0.22668)</t>
  </si>
  <si>
    <t>0.21032 (0.13644)</t>
  </si>
  <si>
    <t>0.01720 (0.00083)</t>
  </si>
  <si>
    <t>0.04244 (0.00232)</t>
  </si>
  <si>
    <t>0.01070 (0.00056)</t>
  </si>
  <si>
    <t>yrpD</t>
  </si>
  <si>
    <t>0.05723 (0.02414)</t>
  </si>
  <si>
    <t>0.03886 (0.06690)</t>
  </si>
  <si>
    <t>0.02408 (0.00092)</t>
  </si>
  <si>
    <t>0.08783 (0.00324)</t>
  </si>
  <si>
    <t>0.00518 (0.00040)</t>
  </si>
  <si>
    <t>sigZ</t>
  </si>
  <si>
    <t>RNA polymerase ECF(extracytoplasmicfunction)-type sigma factor (sigma-Z)</t>
  </si>
  <si>
    <t>0.30355 (0.23908)</t>
  </si>
  <si>
    <t>0.35289 (0.27801)</t>
  </si>
  <si>
    <t>0.01340 (0.00063)</t>
  </si>
  <si>
    <t>0.03271 (0.00179)</t>
  </si>
  <si>
    <t>0.00855 (0.00057)</t>
  </si>
  <si>
    <t>yrpG</t>
  </si>
  <si>
    <t>putative aldo-keto reductase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</si>
  <si>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</si>
  <si>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0.12083 (0.09130)</t>
  </si>
  <si>
    <t>0.10072 (0.13651)</t>
  </si>
  <si>
    <t>0.01822 (0.00160)</t>
  </si>
  <si>
    <t>0.06256 (0.00642)</t>
  </si>
  <si>
    <t>0.00662 (0.00044)</t>
  </si>
  <si>
    <t>yraO</t>
  </si>
  <si>
    <t>putative citrate transporter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</si>
  <si>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</t>
  </si>
  <si>
    <t>0.13336 (0.05129)</t>
  </si>
  <si>
    <t>0.14910 (0.13583)</t>
  </si>
  <si>
    <t>0.01004 (0.00084)</t>
  </si>
  <si>
    <t>0.02831 (0.00232)</t>
  </si>
  <si>
    <t>0.00439 (0.00042)</t>
  </si>
  <si>
    <t>yraN</t>
  </si>
  <si>
    <t>putative transcriptional regulator (probescitrate or citrate-related metabolite)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</si>
  <si>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GCA_002163815.1_ASM216381v1_genomic</t>
  </si>
  <si>
    <t>0.17952 (0.45992)</t>
  </si>
  <si>
    <t>0.01296 (0.00335)</t>
  </si>
  <si>
    <t>0.04222 (0.01093)</t>
  </si>
  <si>
    <t>0.00579 (0.00157)</t>
  </si>
  <si>
    <t>prpF</t>
  </si>
  <si>
    <t>aconitate isomerase</t>
  </si>
  <si>
    <t>0.07744 (0.20202)</t>
  </si>
  <si>
    <t>0.12302 (0.12559)</t>
  </si>
  <si>
    <t>0.01837 (0.00272)</t>
  </si>
  <si>
    <t>0.06436 (0.01002)</t>
  </si>
  <si>
    <t>0.00609 (0.00091)</t>
  </si>
  <si>
    <t>csn</t>
  </si>
  <si>
    <t>chitosanase</t>
  </si>
  <si>
    <t>0.14711 (0.05249)</t>
  </si>
  <si>
    <t>0.09037 (0.03835)</t>
  </si>
  <si>
    <t>0.01024 (0.00044)</t>
  </si>
  <si>
    <t>0.03724 (0.00191)</t>
  </si>
  <si>
    <t>0.00259 (0.00016)</t>
  </si>
  <si>
    <t>yraL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</si>
  <si>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</si>
  <si>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0.32291 (0.10710)</t>
  </si>
  <si>
    <t>0.63714 (0.69728)</t>
  </si>
  <si>
    <t>0.02861 (0.00183)</t>
  </si>
  <si>
    <t>0.05045 (0.00470)</t>
  </si>
  <si>
    <t>0.02344 (0.00158)</t>
  </si>
  <si>
    <t>yraK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</si>
  <si>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</si>
  <si>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0.41671 (0.19925)</t>
  </si>
  <si>
    <t>0.22879 (0.07989)</t>
  </si>
  <si>
    <t>0.02245 (0.00086)</t>
  </si>
  <si>
    <t>0.04957 (0.00205)</t>
  </si>
  <si>
    <t>0.01518 (0.00067)</t>
  </si>
  <si>
    <t>yraJ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</si>
  <si>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</si>
  <si>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0.04111 (0.05263)</t>
  </si>
  <si>
    <t>0.02015 (0.05449)</t>
  </si>
  <si>
    <t>0.02151 (0.00146)</t>
  </si>
  <si>
    <t>0.08336 (0.00616)</t>
  </si>
  <si>
    <t>0.00293 (0.00031)</t>
  </si>
  <si>
    <t>yraI</t>
  </si>
  <si>
    <t>0.14905 (0.10686)</t>
  </si>
  <si>
    <t>0.11820 (0.22222)</t>
  </si>
  <si>
    <t>0.02034 (0.00169)</t>
  </si>
  <si>
    <t>0.06346 (0.00513)</t>
  </si>
  <si>
    <t>0.00707 (0.00079)</t>
  </si>
  <si>
    <t>BSU_26935</t>
  </si>
  <si>
    <t>hypothetical proteingene            complement(2752167..2752553)CDS             complement(2752167..2752553)computational evidences; Product type e: enzyme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</si>
  <si>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</si>
  <si>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1.14512 (2.00654)</t>
  </si>
  <si>
    <t>0.43006 (0.03460)</t>
  </si>
  <si>
    <t>0.04108 (0.00431)</t>
  </si>
  <si>
    <t>0.06707 (0.01129)</t>
  </si>
  <si>
    <t>0.03595 (0.00381)</t>
  </si>
  <si>
    <t>yraG</t>
  </si>
  <si>
    <t>0.15867 (0.12725)</t>
  </si>
  <si>
    <t>0.01829 (0.00133)</t>
  </si>
  <si>
    <t>0.07172 (0.00592)</t>
  </si>
  <si>
    <t>0.00524 (0.00070)</t>
  </si>
  <si>
    <t>yraF</t>
  </si>
  <si>
    <t>0.04921 (0.10958)</t>
  </si>
  <si>
    <t>0.01490 (0.00079)</t>
  </si>
  <si>
    <t>0.06157 (0.00344)</t>
  </si>
  <si>
    <t>0.00286 (0.00039)</t>
  </si>
  <si>
    <t>adhB</t>
  </si>
  <si>
    <t>putative oxidoreductase (involvingbacillithiol)</t>
  </si>
  <si>
    <t>0.03641 (0.03205)</t>
  </si>
  <si>
    <t>0.05268 (0.03168)</t>
  </si>
  <si>
    <t>0.02693 (0.00161)</t>
  </si>
  <si>
    <t>0.11292 (0.00699)</t>
  </si>
  <si>
    <t>yraE</t>
  </si>
  <si>
    <t>0.15586 (0.13008)</t>
  </si>
  <si>
    <t>0.01641 (0.00176)</t>
  </si>
  <si>
    <t>0.05625 (0.00706)</t>
  </si>
  <si>
    <t>0.00655 (0.00164)</t>
  </si>
  <si>
    <t>yraD</t>
  </si>
  <si>
    <t>0.09577 (0.05792)</t>
  </si>
  <si>
    <t>0.06558 (0.04733)</t>
  </si>
  <si>
    <t>0.03196 (0.00207)</t>
  </si>
  <si>
    <t>0.12491 (0.00910)</t>
  </si>
  <si>
    <t>0.01007 (0.00084)</t>
  </si>
  <si>
    <t>adhR</t>
  </si>
  <si>
    <t>transcriptional regulator regulated bythiol-alkylation</t>
  </si>
  <si>
    <t>0.11488 (0.17046)</t>
  </si>
  <si>
    <t>0.05653 (0.09729)</t>
  </si>
  <si>
    <t>0.01818 (0.00173)</t>
  </si>
  <si>
    <t>0.06273 (0.00720)</t>
  </si>
  <si>
    <t>0.00671 (0.00067)</t>
  </si>
  <si>
    <t>yrzP</t>
  </si>
  <si>
    <t>putative carboxymuconolactone decarboxylase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</si>
  <si>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</si>
  <si>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0.84136 (0.86335)</t>
  </si>
  <si>
    <t>0.03125 (0.00603)</t>
  </si>
  <si>
    <t>0.02918 (0.00695)</t>
  </si>
  <si>
    <t>0.03305 (0.00607)</t>
  </si>
  <si>
    <t>adhA</t>
  </si>
  <si>
    <t>putative aldehyde dehydrogenase; carbonyl stressresponse</t>
  </si>
  <si>
    <t>0.16243 (0.08793)</t>
  </si>
  <si>
    <t>0.06976 (0.04251)</t>
  </si>
  <si>
    <t>0.01597 (0.00053)</t>
  </si>
  <si>
    <t>0.05461 (0.00200)</t>
  </si>
  <si>
    <t>0.00460 (0.00026)</t>
  </si>
  <si>
    <t>sufL</t>
  </si>
  <si>
    <t>deglycase; general stress protecting enzyme;protects against methylglyoxal toxicity</t>
  </si>
  <si>
    <t>0.04035 (0.09178)</t>
  </si>
  <si>
    <t>0.01613 (0.00180)</t>
  </si>
  <si>
    <t>0.07300 (0.00839)</t>
  </si>
  <si>
    <t>0.00157 (0.00032)</t>
  </si>
  <si>
    <t>sacC</t>
  </si>
  <si>
    <t>levanase</t>
  </si>
  <si>
    <t>0.19820 (0.10218)</t>
  </si>
  <si>
    <t>0.14306 (0.03052)</t>
  </si>
  <si>
    <t>0.01535 (0.00048)</t>
  </si>
  <si>
    <t>0.04541 (0.00152)</t>
  </si>
  <si>
    <t>0.00717 (0.00026)</t>
  </si>
  <si>
    <t>BSU_27035</t>
  </si>
  <si>
    <t>hypothetical proteinIFGRCSRFKLLgene            complement(2760233..2761060)CDS             complement(2760233..2761060)PMID:2117666,9033408,15849754,16850406in the studied strain; PubMedId: 2117666, 9033408,15849754, 16850406; Product type t: transporterfructose-specific enzyme IID component</t>
  </si>
  <si>
    <t>0.39742 (0.26495)</t>
  </si>
  <si>
    <t>1.05978 (1.58967)</t>
  </si>
  <si>
    <t>0.02088 (0.00174)</t>
  </si>
  <si>
    <t>0.02795 (0.00303)</t>
  </si>
  <si>
    <t>0.01968 (0.00184)</t>
  </si>
  <si>
    <t>levF</t>
  </si>
  <si>
    <t>phosphotransferase system (PTS)fructose-specific enzyme IIC component</t>
  </si>
  <si>
    <t>0.09346 (0.05912)</t>
  </si>
  <si>
    <t>0.00566 (0.00023)</t>
  </si>
  <si>
    <t>0.02019 (0.00099)</t>
  </si>
  <si>
    <t>0.00098 (0.00011)</t>
  </si>
  <si>
    <t>levE</t>
  </si>
  <si>
    <t>phosphotransferase system (PTS)fructose-specific enzyme IIB component</t>
  </si>
  <si>
    <t>0.04691 (0.07437)</t>
  </si>
  <si>
    <t>0.01538 (0.00220)</t>
  </si>
  <si>
    <t>0.06530 (0.00983)</t>
  </si>
  <si>
    <t>0.00243 (0.00043)</t>
  </si>
  <si>
    <t>levD</t>
  </si>
  <si>
    <t>phosphotransferase system (PTS)fructose-specific enzyme IIA component</t>
  </si>
  <si>
    <t>0.53260 (0.52282)</t>
  </si>
  <si>
    <t>0.08572 (0.14974)</t>
  </si>
  <si>
    <t>0.02194 (0.00223)</t>
  </si>
  <si>
    <t>0.06814 (0.00813)</t>
  </si>
  <si>
    <t>0.01111 (0.00110)</t>
  </si>
  <si>
    <t>levR</t>
  </si>
  <si>
    <t>transcriptional regulator (NifA/NtrC family)</t>
  </si>
  <si>
    <t>0.09767 (0.01760)</t>
  </si>
  <si>
    <t>0.06233 (0.02087)</t>
  </si>
  <si>
    <t>0.01180 (0.00028)</t>
  </si>
  <si>
    <t>0.04431 (0.00113)</t>
  </si>
  <si>
    <t>0.00315 (0.00010)</t>
  </si>
  <si>
    <t>BSU_27085</t>
  </si>
  <si>
    <t>hypothetical proteinIRgene            2766558..2767946CDS             2766558..2767946in other organisms; PubMedId: 15849754, 16850406,17608695, 22084243; Product type t: transporter</t>
  </si>
  <si>
    <t>0.55961 (0.43796)</t>
  </si>
  <si>
    <t>0.02092 (0.00203)</t>
  </si>
  <si>
    <t>0.02009 (0.00450)</t>
  </si>
  <si>
    <t>0.02170 (0.00230)</t>
  </si>
  <si>
    <t>yrhP</t>
  </si>
  <si>
    <t>0.03836 (0.03345)</t>
  </si>
  <si>
    <t>0.04911 (0.06791)</t>
  </si>
  <si>
    <t>0.01260 (0.00056)</t>
  </si>
  <si>
    <t>0.05209 (0.00246)</t>
  </si>
  <si>
    <t>yrhO</t>
  </si>
  <si>
    <t>putative transcriptional regulator controllingamino acid export</t>
  </si>
  <si>
    <t>0.09841 (0.04092)</t>
  </si>
  <si>
    <t>0.07750 (0.02907)</t>
  </si>
  <si>
    <t>0.01514 (0.00040)</t>
  </si>
  <si>
    <t>0.05535 (0.00166)</t>
  </si>
  <si>
    <t>0.00475 (0.00019)</t>
  </si>
  <si>
    <t>sigV</t>
  </si>
  <si>
    <t>RNA polymerase ECF(extracytoplasmicfunction)-type sigma factor (sigma(V))</t>
  </si>
  <si>
    <t>ref , GCA_000146565.1_ASM14656v1_genomic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</si>
  <si>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0.11583 (0.08922)</t>
  </si>
  <si>
    <t>0.09866 (0.08597)</t>
  </si>
  <si>
    <t>0.02405 (0.00150)</t>
  </si>
  <si>
    <t>0.09045 (0.00597)</t>
  </si>
  <si>
    <t>0.00849 (0.00055)</t>
  </si>
  <si>
    <t>rsiV</t>
  </si>
  <si>
    <t>anti-sigma(V) factor</t>
  </si>
  <si>
    <t>0.20165 (0.10938)</t>
  </si>
  <si>
    <t>0.18788 (0.04852)</t>
  </si>
  <si>
    <t>0.01226 (0.00064)</t>
  </si>
  <si>
    <t>0.03734 (0.00214)</t>
  </si>
  <si>
    <t>0.00583 (0.00034)</t>
  </si>
  <si>
    <t>oatA</t>
  </si>
  <si>
    <t>peptidoglycan O-acetyltransferase</t>
  </si>
  <si>
    <t>ref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</si>
  <si>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0.18722 (0.09393)</t>
  </si>
  <si>
    <t>0.22104 (0.03751)</t>
  </si>
  <si>
    <t>0.02351 (0.00074)</t>
  </si>
  <si>
    <t>0.06125 (0.00197)</t>
  </si>
  <si>
    <t>0.01311 (0.00045)</t>
  </si>
  <si>
    <t>yrhK</t>
  </si>
  <si>
    <t>ref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</t>
  </si>
  <si>
    <t>0.09742 (0.05845)</t>
  </si>
  <si>
    <t>0.16089 (0.13448)</t>
  </si>
  <si>
    <t>0.03843 (0.00326)</t>
  </si>
  <si>
    <t>0.12814 (0.01318)</t>
  </si>
  <si>
    <t>0.01732 (0.00206)</t>
  </si>
  <si>
    <t>cypB</t>
  </si>
  <si>
    <t>cytochrome P450 CYP102A3</t>
  </si>
  <si>
    <t>0.14105 (0.06366)</t>
  </si>
  <si>
    <t>0.17448 (0.03255)</t>
  </si>
  <si>
    <t>0.01640 (0.00043)</t>
  </si>
  <si>
    <t>0.04979 (0.00150)</t>
  </si>
  <si>
    <t>0.00716 (0.00021)</t>
  </si>
  <si>
    <t>bscR</t>
  </si>
  <si>
    <t>transcriptional regulator for cypB</t>
  </si>
  <si>
    <t>0.13552 (0.07683)</t>
  </si>
  <si>
    <t>0.03379 (0.07072)</t>
  </si>
  <si>
    <t>0.00754 (0.00035)</t>
  </si>
  <si>
    <t>0.02880 (0.00131)</t>
  </si>
  <si>
    <t>yrhH</t>
  </si>
  <si>
    <t>0.38251 (0.16382)</t>
  </si>
  <si>
    <t>0.10191 (0.06269)</t>
  </si>
  <si>
    <t>0.01734 (0.00104)</t>
  </si>
  <si>
    <t>0.04953 (0.00366)</t>
  </si>
  <si>
    <t>0.00913 (0.00067)</t>
  </si>
  <si>
    <t>BSU_27185</t>
  </si>
  <si>
    <t>hypothetical proteinYVFPYHWHgene            complement(2778923..2779072)CDS             complement(2778923..2779072)organisms</t>
  </si>
  <si>
    <t>0.06629 (0.12600)</t>
  </si>
  <si>
    <t>0.26234 (0.20380)</t>
  </si>
  <si>
    <t>0.02684 (0.00261)</t>
  </si>
  <si>
    <t>0.07398 (0.00816)</t>
  </si>
  <si>
    <t>0.01564 (0.00199)</t>
  </si>
  <si>
    <t>yrhG</t>
  </si>
  <si>
    <t>putative formate/nitrite transporter</t>
  </si>
  <si>
    <t>0.13690 (0.06772)</t>
  </si>
  <si>
    <t>0.00999 (0.00056)</t>
  </si>
  <si>
    <t>0.03317 (0.00187)</t>
  </si>
  <si>
    <t>0.00298 (0.00031)</t>
  </si>
  <si>
    <t>yrhF</t>
  </si>
  <si>
    <t>0.02072 (0.05268)</t>
  </si>
  <si>
    <t>0.03313 (0.06459)</t>
  </si>
  <si>
    <t>0.01209 (0.00078)</t>
  </si>
  <si>
    <t>0.05363 (0.00399)</t>
  </si>
  <si>
    <t>0.00143 (0.00021)</t>
  </si>
  <si>
    <t>yrhE</t>
  </si>
  <si>
    <t>putative formate dehydrogenase</t>
  </si>
  <si>
    <t>0.03723 (0.01472)</t>
  </si>
  <si>
    <t>0.01677 (0.01639)</t>
  </si>
  <si>
    <t>0.01038 (0.00035)</t>
  </si>
  <si>
    <t>0.04277 (0.00152)</t>
  </si>
  <si>
    <t>0.00119 (0.00007)</t>
  </si>
  <si>
    <t>yrhD</t>
  </si>
  <si>
    <t>0.13704 (0.04965)</t>
  </si>
  <si>
    <t>0.00761 (0.00034)</t>
  </si>
  <si>
    <t>0.02622 (0.00118)</t>
  </si>
  <si>
    <t>0.00261 (0.00021)</t>
  </si>
  <si>
    <t>yrhC</t>
  </si>
  <si>
    <t>0.09156 (0.07077)</t>
  </si>
  <si>
    <t>0.05254 (0.06083)</t>
  </si>
  <si>
    <t>0.02151 (0.00128)</t>
  </si>
  <si>
    <t>0.08820 (0.00605)</t>
  </si>
  <si>
    <t>0.00504 (0.00037)</t>
  </si>
  <si>
    <t>mccB</t>
  </si>
  <si>
    <t>cystathionine gamma-lyase and homocysteinegamma-lyase for reverse transsulfuration pathway</t>
  </si>
  <si>
    <t>0.08523 (0.03080)</t>
  </si>
  <si>
    <t>0.05277 (0.06475)</t>
  </si>
  <si>
    <t>0.01509 (0.00053)</t>
  </si>
  <si>
    <t>0.05327 (0.00202)</t>
  </si>
  <si>
    <t>mccA</t>
  </si>
  <si>
    <t>cystathionine beta-synthase for the reversetranssulfuration pathway</t>
  </si>
  <si>
    <t>0.08406 (0.04278)</t>
  </si>
  <si>
    <t>0.03487 (0.02943)</t>
  </si>
  <si>
    <t>0.01518 (0.00060)</t>
  </si>
  <si>
    <t>0.05697 (0.00242)</t>
  </si>
  <si>
    <t>0.00319 (0.00020)</t>
  </si>
  <si>
    <t>mtnN</t>
  </si>
  <si>
    <t>methylthioadenosine / S-adenosylhomocysteinenucleosidase</t>
  </si>
  <si>
    <t>0.09005 (0.10340)</t>
  </si>
  <si>
    <t>0.04150 (0.04164)</t>
  </si>
  <si>
    <t>0.01882 (0.00132)</t>
  </si>
  <si>
    <t>0.07055 (0.00542)</t>
  </si>
  <si>
    <t>0.00410 (0.00032)</t>
  </si>
  <si>
    <t>yrrT</t>
  </si>
  <si>
    <t>0.13064 (0.09092)</t>
  </si>
  <si>
    <t>0.14323 (0.03106)</t>
  </si>
  <si>
    <t>0.01260 (0.00062)</t>
  </si>
  <si>
    <t>0.04010 (0.00229)</t>
  </si>
  <si>
    <t>0.00504 (0.00025)</t>
  </si>
  <si>
    <t>yrzA</t>
  </si>
  <si>
    <t>0.04372 (0.13485)</t>
  </si>
  <si>
    <t>0.12919 (0.07459)</t>
  </si>
  <si>
    <t>0.02130 (0.00126)</t>
  </si>
  <si>
    <t>0.08249 (0.00582)</t>
  </si>
  <si>
    <t>0.00668 (0.00077)</t>
  </si>
  <si>
    <t>yrrS</t>
  </si>
  <si>
    <t>0.20677 (0.05826)</t>
  </si>
  <si>
    <t>0.01014 (0.00061)</t>
  </si>
  <si>
    <t>0.03732 (0.00267)</t>
  </si>
  <si>
    <t>0.00293 (0.00019)</t>
  </si>
  <si>
    <t>pbpI</t>
  </si>
  <si>
    <t>penicillin-binding protein PBP4B</t>
  </si>
  <si>
    <t>0.09221 (0.02636)</t>
  </si>
  <si>
    <t>0.09252 (0.05312)</t>
  </si>
  <si>
    <t>0.00914 (0.00026)</t>
  </si>
  <si>
    <t>0.03175 (0.00100)</t>
  </si>
  <si>
    <t>0.00272 (0.00012)</t>
  </si>
  <si>
    <t>greA</t>
  </si>
  <si>
    <t>transcription elongation factor resolving</t>
  </si>
  <si>
    <t>0.02398 (0.03220)</t>
  </si>
  <si>
    <t>0.02638 (0.00195)</t>
  </si>
  <si>
    <t>0.12324 (0.00940)</t>
  </si>
  <si>
    <t>0.00224 (0.00025)</t>
  </si>
  <si>
    <t>udk</t>
  </si>
  <si>
    <t>uridine kinase</t>
  </si>
  <si>
    <t>0.00894 (0.02858)</t>
  </si>
  <si>
    <t>0.02038 (0.00156)</t>
  </si>
  <si>
    <t>0.09867 (0.00793)</t>
  </si>
  <si>
    <t>0.00030 (0.00007)</t>
  </si>
  <si>
    <t>yrrO</t>
  </si>
  <si>
    <t>putative hydrolase large subunit</t>
  </si>
  <si>
    <t>0.02210 (0.04860)</t>
  </si>
  <si>
    <t>0.01528 (0.03928)</t>
  </si>
  <si>
    <t>0.02369 (0.00152)</t>
  </si>
  <si>
    <t>0.11296 (0.00759)</t>
  </si>
  <si>
    <t>0.00225 (0.00017)</t>
  </si>
  <si>
    <t>yrrN</t>
  </si>
  <si>
    <t>putative hydrolase small subunit</t>
  </si>
  <si>
    <t>0.05918 (0.02585)</t>
  </si>
  <si>
    <t>0.02990 (0.05146)</t>
  </si>
  <si>
    <t>0.02581 (0.00203)</t>
  </si>
  <si>
    <t>0.11709 (0.01032)</t>
  </si>
  <si>
    <t>0.00436 (0.00025)</t>
  </si>
  <si>
    <t>yrrM</t>
  </si>
  <si>
    <t>putative acyl-CoA O-methyltransferase</t>
  </si>
  <si>
    <t>0.06663 (0.05707)</t>
  </si>
  <si>
    <t>0.10289 (0.06351)</t>
  </si>
  <si>
    <t>0.01576 (0.00074)</t>
  </si>
  <si>
    <t>0.05510 (0.00267)</t>
  </si>
  <si>
    <t>0.00498 (0.00029)</t>
  </si>
  <si>
    <t>yrrL</t>
  </si>
  <si>
    <t>conserved membrane associated protein</t>
  </si>
  <si>
    <t>0.10606 (0.05043)</t>
  </si>
  <si>
    <t>0.02955 (0.04492)</t>
  </si>
  <si>
    <t>0.00748 (0.00037)</t>
  </si>
  <si>
    <t>0.02552 (0.00157)</t>
  </si>
  <si>
    <t>0.00228 (0.00013)</t>
  </si>
  <si>
    <t>yrzB</t>
  </si>
  <si>
    <t>putative nucleic acid binding protein</t>
  </si>
  <si>
    <t>0.05279 (0.06140)</t>
  </si>
  <si>
    <t>0.06327 (0.08296)</t>
  </si>
  <si>
    <t>0.02284 (0.00138)</t>
  </si>
  <si>
    <t>0.09886 (0.00596)</t>
  </si>
  <si>
    <t>0.00638 (0.00060)</t>
  </si>
  <si>
    <t>rimF</t>
  </si>
  <si>
    <t>pre-16S ribosomal RNA maturation enzyme</t>
  </si>
  <si>
    <t>0.06424 (0.04983)</t>
  </si>
  <si>
    <t>0.01906 (0.00146)</t>
  </si>
  <si>
    <t>0.07914 (0.00621)</t>
  </si>
  <si>
    <t>0.00269 (0.00037)</t>
  </si>
  <si>
    <t>yrzL</t>
  </si>
  <si>
    <t>0.00808 (0.00100)</t>
  </si>
  <si>
    <t>0.03750 (0.00477)</t>
  </si>
  <si>
    <t>alaS</t>
  </si>
  <si>
    <t>alanyl-tRNA synthetase</t>
  </si>
  <si>
    <t>0.07920 (0.02981)</t>
  </si>
  <si>
    <t>0.10349 (0.04420)</t>
  </si>
  <si>
    <t>0.00825 (0.00032)</t>
  </si>
  <si>
    <t>0.02822 (0.00104)</t>
  </si>
  <si>
    <t>0.00261 (0.00015)</t>
  </si>
  <si>
    <t>yrrI</t>
  </si>
  <si>
    <t>0.06863 (0.03990)</t>
  </si>
  <si>
    <t>0.04444 (0.09703)</t>
  </si>
  <si>
    <t>0.00795 (0.00043)</t>
  </si>
  <si>
    <t>0.02891 (0.00198)</t>
  </si>
  <si>
    <t>0.00162 (0.00014)</t>
  </si>
  <si>
    <t>glnQ</t>
  </si>
  <si>
    <t>glutamine ABC transporter (ATP-binding protein)</t>
  </si>
  <si>
    <t>0.09189 (0.08344)</t>
  </si>
  <si>
    <t>0.25664 (0.04075)</t>
  </si>
  <si>
    <t>0.01305 (0.00059)</t>
  </si>
  <si>
    <t>0.03774 (0.00185)</t>
  </si>
  <si>
    <t>0.00623 (0.00035)</t>
  </si>
  <si>
    <t>glnH</t>
  </si>
  <si>
    <t>glutamine ABC transporter (glutamine-bindinglipoprotein)</t>
  </si>
  <si>
    <t>0.09812 (0.05597)</t>
  </si>
  <si>
    <t>0.47009 (0.46681)</t>
  </si>
  <si>
    <t>0.00912 (0.00041)</t>
  </si>
  <si>
    <t>0.02580 (0.00178)</t>
  </si>
  <si>
    <t>0.00458 (0.00035)</t>
  </si>
  <si>
    <t>glnM</t>
  </si>
  <si>
    <t>glutamine ABC transporter (permease)</t>
  </si>
  <si>
    <t>0.23912 (0.10000)</t>
  </si>
  <si>
    <t>0.21926 (0.14789)</t>
  </si>
  <si>
    <t>0.01140 (0.00054)</t>
  </si>
  <si>
    <t>0.03141 (0.00195)</t>
  </si>
  <si>
    <t>0.00508 (0.00024)</t>
  </si>
  <si>
    <t>glnP</t>
  </si>
  <si>
    <t>0.10181 (0.11197)</t>
  </si>
  <si>
    <t>0.00748 (0.00042)</t>
  </si>
  <si>
    <t>0.02599 (0.00141)</t>
  </si>
  <si>
    <t>0.00149 (0.00024)</t>
  </si>
  <si>
    <t>yrzQ</t>
  </si>
  <si>
    <t>0.13278 (0.07666)</t>
  </si>
  <si>
    <t>0.03152 (0.00465)</t>
  </si>
  <si>
    <t>0.11649 (0.01918)</t>
  </si>
  <si>
    <t>0.01135 (0.00163)</t>
  </si>
  <si>
    <t>yrzR</t>
  </si>
  <si>
    <t>0.06002 (0.11407)</t>
  </si>
  <si>
    <t>0.02419 (0.00248)</t>
  </si>
  <si>
    <t>0.12911 (0.01530)</t>
  </si>
  <si>
    <t>0.00189 (0.00061)</t>
  </si>
  <si>
    <t>yrrD</t>
  </si>
  <si>
    <t>0.13650 (0.07116)</t>
  </si>
  <si>
    <t>0.13807 (0.07358)</t>
  </si>
  <si>
    <t>0.02651 (0.00117)</t>
  </si>
  <si>
    <t>0.08041 (0.00410)</t>
  </si>
  <si>
    <t>recDB</t>
  </si>
  <si>
    <t>5'-3' helicase associated to SSB; exonuclease V</t>
  </si>
  <si>
    <t>0.04242 (0.02057)</t>
  </si>
  <si>
    <t>0.01629 (0.01105)</t>
  </si>
  <si>
    <t>0.01136 (0.00029)</t>
  </si>
  <si>
    <t>0.04687 (0.00130)</t>
  </si>
  <si>
    <t>0.00131 (0.00008)</t>
  </si>
  <si>
    <t>yrrB</t>
  </si>
  <si>
    <t>putative tetratricopeptide repeat familyprotein</t>
  </si>
  <si>
    <t>0.12113 (0.05942)</t>
  </si>
  <si>
    <t>0.04126 (0.05514)</t>
  </si>
  <si>
    <t>0.01193 (0.00043)</t>
  </si>
  <si>
    <t>0.04332 (0.00159)</t>
  </si>
  <si>
    <t>0.00321 (0.00025)</t>
  </si>
  <si>
    <t>mnmA</t>
  </si>
  <si>
    <t>tRNA-specific 2-thiouridylase</t>
  </si>
  <si>
    <t>0.05827 (0.02195)</t>
  </si>
  <si>
    <t>0.01900 (0.02690)</t>
  </si>
  <si>
    <t>0.02660 (0.00130)</t>
  </si>
  <si>
    <t>0.11937 (0.00642)</t>
  </si>
  <si>
    <t>iscSA</t>
  </si>
  <si>
    <t>cysteine desulfurase involved in U34 tRNAthiolation</t>
  </si>
  <si>
    <t>0.18984 (0.08154)</t>
  </si>
  <si>
    <t>0.11827 (0.07165)</t>
  </si>
  <si>
    <t>0.00855 (0.00037)</t>
  </si>
  <si>
    <t>0.02542 (0.00112)</t>
  </si>
  <si>
    <t>cymR</t>
  </si>
  <si>
    <t>transcriptional regulator of cysteinebiosynthesis</t>
  </si>
  <si>
    <t>0.01771 (0.05049)</t>
  </si>
  <si>
    <t>0.02477 (0.00219)</t>
  </si>
  <si>
    <t>0.11491 (0.01076)</t>
  </si>
  <si>
    <t>0.00058 (0.00015)</t>
  </si>
  <si>
    <t>rarA</t>
  </si>
  <si>
    <t>DNA-dependent ATPase active at replicationforks</t>
  </si>
  <si>
    <t>0.09018 (0.03503)</t>
  </si>
  <si>
    <t>0.01992 (0.02549)</t>
  </si>
  <si>
    <t>0.01041 (0.00046)</t>
  </si>
  <si>
    <t>0.03947 (0.00194)</t>
  </si>
  <si>
    <t>0.00199 (0.00011)</t>
  </si>
  <si>
    <t>tcdA</t>
  </si>
  <si>
    <t>tRNA threonylcarbamoyladenosine dehydratase(t(6)A37 dehydratase)</t>
  </si>
  <si>
    <t>0.07555 (0.04957)</t>
  </si>
  <si>
    <t>0.03468 (0.04193)</t>
  </si>
  <si>
    <t>0.01547 (0.00063)</t>
  </si>
  <si>
    <t>0.06124 (0.00258)</t>
  </si>
  <si>
    <t>0.00265 (0.00023)</t>
  </si>
  <si>
    <t>aspS</t>
  </si>
  <si>
    <t>aspartyl-tRNA synthetase, promiscuous (alsorecognizes tRNAasn)</t>
  </si>
  <si>
    <t>0.02145 (0.01945)</t>
  </si>
  <si>
    <t>0.05968 (0.10185)</t>
  </si>
  <si>
    <t>0.02506 (0.00155)</t>
  </si>
  <si>
    <t>0.10076 (0.00617)</t>
  </si>
  <si>
    <t>0.00502 (0.00042)</t>
  </si>
  <si>
    <t>hisS</t>
  </si>
  <si>
    <t>histidyl-tRNA synthetase</t>
  </si>
  <si>
    <t>0.05796 (0.03022)</t>
  </si>
  <si>
    <t>0.04306 (0.02891)</t>
  </si>
  <si>
    <t>0.02778 (0.00194)</t>
  </si>
  <si>
    <t>0.11391 (0.00855)</t>
  </si>
  <si>
    <t>0.00608 (0.00041)</t>
  </si>
  <si>
    <t>yrzK</t>
  </si>
  <si>
    <t>0.07678 (0.07039)</t>
  </si>
  <si>
    <t>0.06635 (0.04675)</t>
  </si>
  <si>
    <t>0.03803 (0.00288)</t>
  </si>
  <si>
    <t>0.15119 (0.01299)</t>
  </si>
  <si>
    <t>0.01154 (0.00123)</t>
  </si>
  <si>
    <t>yrvJ</t>
  </si>
  <si>
    <t>putative N-acetylmuramoyl-L-alanine amidase,family 3</t>
  </si>
  <si>
    <t>0.21864 (0.17021)</t>
  </si>
  <si>
    <t>0.08440 (0.05966)</t>
  </si>
  <si>
    <t>0.00818 (0.00048)</t>
  </si>
  <si>
    <t>0.02387 (0.00144)</t>
  </si>
  <si>
    <t>0.00328 (0.00024)</t>
  </si>
  <si>
    <t>dtd</t>
  </si>
  <si>
    <t>gly-tRNA(Ala) deacylase / D-Tyr-tRNATyrdeacylase</t>
  </si>
  <si>
    <t>0.06106 (0.13562)</t>
  </si>
  <si>
    <t>0.05818 (0.07903)</t>
  </si>
  <si>
    <t>0.02872 (0.00151)</t>
  </si>
  <si>
    <t>0.10776 (0.00573)</t>
  </si>
  <si>
    <t>0.00809 (0.00064)</t>
  </si>
  <si>
    <t>rsh</t>
  </si>
  <si>
    <t>GTP pyrophosphokinase (RelA/SpoT)</t>
  </si>
  <si>
    <t>0.01442 (0.06097)</t>
  </si>
  <si>
    <t>0.01435 (0.01571)</t>
  </si>
  <si>
    <t>0.02445 (0.00118)</t>
  </si>
  <si>
    <t>0.11754 (0.00598)</t>
  </si>
  <si>
    <t>0.00159 (0.00012)</t>
  </si>
  <si>
    <t>apt</t>
  </si>
  <si>
    <t>adenine phosphoribosyltransferase</t>
  </si>
  <si>
    <t>0.70864 (0.10655)</t>
  </si>
  <si>
    <t>0.12708 (0.03854)</t>
  </si>
  <si>
    <t>0.05888 (0.01312)</t>
  </si>
  <si>
    <t>0.02848 (0.00254)</t>
  </si>
  <si>
    <t>0.10794 (0.01038)</t>
  </si>
  <si>
    <t>0.00653 (0.00049)</t>
  </si>
  <si>
    <t>recJ</t>
  </si>
  <si>
    <t>single-strand DNA-specific exonuclease</t>
  </si>
  <si>
    <t>0.12267 (0.03920)</t>
  </si>
  <si>
    <t>0.09071 (0.04354)</t>
  </si>
  <si>
    <t>0.00920 (0.00028)</t>
  </si>
  <si>
    <t>0.02932 (0.00104)</t>
  </si>
  <si>
    <t>0.00344 (0.00011)</t>
  </si>
  <si>
    <t>yrvD</t>
  </si>
  <si>
    <t>0.03477 (0.08388)</t>
  </si>
  <si>
    <t>0.00949 (0.00104)</t>
  </si>
  <si>
    <t>0.04029 (0.00514)</t>
  </si>
  <si>
    <t>0.00115 (0.00039)</t>
  </si>
  <si>
    <t>yrvC</t>
  </si>
  <si>
    <t>putative potassium transport accessorycomponent</t>
  </si>
  <si>
    <t>0.23971 (0.16548)</t>
  </si>
  <si>
    <t>0.08143 (0.06655)</t>
  </si>
  <si>
    <t>0.01465 (0.00094)</t>
  </si>
  <si>
    <t>0.04440 (0.00319)</t>
  </si>
  <si>
    <t>0.00660 (0.00051)</t>
  </si>
  <si>
    <t>secDF</t>
  </si>
  <si>
    <t>protein-export membrane protein</t>
  </si>
  <si>
    <t>0.01789 (0.01621)</t>
  </si>
  <si>
    <t>0.06193 (0.15893)</t>
  </si>
  <si>
    <t>0.02252 (0.00144)</t>
  </si>
  <si>
    <t>0.08462 (0.00519)</t>
  </si>
  <si>
    <t>0.00488 (0.00047)</t>
  </si>
  <si>
    <t>comN</t>
  </si>
  <si>
    <t>post-transcriptional regulator</t>
  </si>
  <si>
    <t>0.15790 (0.17186)</t>
  </si>
  <si>
    <t>0.13060 (0.13975)</t>
  </si>
  <si>
    <t>0.02444 (0.00225)</t>
  </si>
  <si>
    <t>0.07714 (0.00752)</t>
  </si>
  <si>
    <t>0.01176 (0.00130)</t>
  </si>
  <si>
    <t>spoVB</t>
  </si>
  <si>
    <t>involved in spore cortex synthesis (stage Vsporulation); translocase with flippase function forpeptidoglycan synthesis</t>
  </si>
  <si>
    <t>0.04398 (0.03196)</t>
  </si>
  <si>
    <t>0.09556 (0.06227)</t>
  </si>
  <si>
    <t>0.01047 (0.00043)</t>
  </si>
  <si>
    <t>0.03533 (0.00144)</t>
  </si>
  <si>
    <t>yrbG</t>
  </si>
  <si>
    <t>0.11237 (0.06046)</t>
  </si>
  <si>
    <t>0.14364 (0.10195)</t>
  </si>
  <si>
    <t>0.01884 (0.00115)</t>
  </si>
  <si>
    <t>0.05750 (0.00356)</t>
  </si>
  <si>
    <t>0.00906 (0.00072)</t>
  </si>
  <si>
    <t>yrzE</t>
  </si>
  <si>
    <t>0.18331 (0.12600)</t>
  </si>
  <si>
    <t>0.18880 (0.12157)</t>
  </si>
  <si>
    <t>0.01591 (0.00127)</t>
  </si>
  <si>
    <t>0.04361 (0.00435)</t>
  </si>
  <si>
    <t>0.00798 (0.00059)</t>
  </si>
  <si>
    <t>yrbF</t>
  </si>
  <si>
    <t>component of the preprotein translocase</t>
  </si>
  <si>
    <t>0.10361 (0.17268)</t>
  </si>
  <si>
    <t>0.15287 (0.12245)</t>
  </si>
  <si>
    <t>0.01479 (0.00192)</t>
  </si>
  <si>
    <t>0.04263 (0.00670)</t>
  </si>
  <si>
    <t>0.00667 (0.00086)</t>
  </si>
  <si>
    <t>tgt</t>
  </si>
  <si>
    <t>tRNA-guanine transglycosylase</t>
  </si>
  <si>
    <t>0.00437 (0.01455)</t>
  </si>
  <si>
    <t>0.01882 (0.00220)</t>
  </si>
  <si>
    <t>0.09364 (0.01145)</t>
  </si>
  <si>
    <t>0.00032 (0.00006)</t>
  </si>
  <si>
    <t>queA</t>
  </si>
  <si>
    <t>S-adenosylmethionine tRNAribosyltransferase-isomerase</t>
  </si>
  <si>
    <t>0.52539 (0.10929)</t>
  </si>
  <si>
    <t>0.03610 (0.06618)</t>
  </si>
  <si>
    <t>0.06731 (0.06186)</t>
  </si>
  <si>
    <t>0.00876 (0.00064)</t>
  </si>
  <si>
    <t>0.03517 (0.00268)</t>
  </si>
  <si>
    <t>0.00132 (0.00016)</t>
  </si>
  <si>
    <t>yrzS</t>
  </si>
  <si>
    <t>0.51837 (0.10472)</t>
  </si>
  <si>
    <t>0.11415 (0.12512)</t>
  </si>
  <si>
    <t>0.02849 (0.00172)</t>
  </si>
  <si>
    <t>0.13568 (0.00935)</t>
  </si>
  <si>
    <t>0.00201 (0.00035)</t>
  </si>
  <si>
    <t>ruvB</t>
  </si>
  <si>
    <t>Holliday junction DNA helicase, ATP-dependentcomponent</t>
  </si>
  <si>
    <t>0.02800 (0.08441)</t>
  </si>
  <si>
    <t>0.00755 (0.00061)</t>
  </si>
  <si>
    <t>0.02993 (0.00261)</t>
  </si>
  <si>
    <t>0.00048 (0.00014)</t>
  </si>
  <si>
    <t>ruvA</t>
  </si>
  <si>
    <t>Holliday junction DNA helicase</t>
  </si>
  <si>
    <t>0.07543 (0.09262)</t>
  </si>
  <si>
    <t>0.00458 (0.00049)</t>
  </si>
  <si>
    <t>0.01790 (0.00182)</t>
  </si>
  <si>
    <t>0.00062 (0.00019)</t>
  </si>
  <si>
    <t>bofC</t>
  </si>
  <si>
    <t>bypass of forespore C, intercompartmentalsignaling factor</t>
  </si>
  <si>
    <t>0.10968 (0.08807)</t>
  </si>
  <si>
    <t>0.06394 (0.12167)</t>
  </si>
  <si>
    <t>0.01954 (0.00288)</t>
  </si>
  <si>
    <t>0.07482 (0.01122)</t>
  </si>
  <si>
    <t>0.00559 (0.00088)</t>
  </si>
  <si>
    <t>csbX</t>
  </si>
  <si>
    <t>putative catecholate siderophose exporter</t>
  </si>
  <si>
    <t>0.09784 (0.07451)</t>
  </si>
  <si>
    <t>0.02864 (0.06128)</t>
  </si>
  <si>
    <t>0.00899 (0.00066)</t>
  </si>
  <si>
    <t>0.03116 (0.00258)</t>
  </si>
  <si>
    <t>0.00225 (0.00022)</t>
  </si>
  <si>
    <t>yrbE</t>
  </si>
  <si>
    <t>putative inositol-related oxidoreductase</t>
  </si>
  <si>
    <t>0.16481 (0.14653)</t>
  </si>
  <si>
    <t>0.14476 (0.13020)</t>
  </si>
  <si>
    <t>0.01075 (0.00069)</t>
  </si>
  <si>
    <t>0.03169 (0.00192)</t>
  </si>
  <si>
    <t>0.00493 (0.00042)</t>
  </si>
  <si>
    <t>yrzF</t>
  </si>
  <si>
    <t>putative serine/threonine-protein kinase</t>
  </si>
  <si>
    <t>0.07101 (0.07642)</t>
  </si>
  <si>
    <t>0.01657 (0.02329)</t>
  </si>
  <si>
    <t>0.01979 (0.00229)</t>
  </si>
  <si>
    <t>0.08414 (0.01164)</t>
  </si>
  <si>
    <t>0.00358 (0.00020)</t>
  </si>
  <si>
    <t>BSU_27786</t>
  </si>
  <si>
    <t>0.25021 (0.18045)</t>
  </si>
  <si>
    <t>0.02976 (0.00407)</t>
  </si>
  <si>
    <t>0.08347 (0.01070)</t>
  </si>
  <si>
    <t>0.01533 (0.00306)</t>
  </si>
  <si>
    <t>yrzT</t>
  </si>
  <si>
    <t>0.05335 (0.08347)</t>
  </si>
  <si>
    <t>0.26931 (0.38086)</t>
  </si>
  <si>
    <t>0.01932 (0.00209)</t>
  </si>
  <si>
    <t>0.06798 (0.00787)</t>
  </si>
  <si>
    <t>0.00709 (0.00124)</t>
  </si>
  <si>
    <t>alaP</t>
  </si>
  <si>
    <t>sodium/proton-dependent alanine transporter</t>
  </si>
  <si>
    <t>0.12372 (0.07791)</t>
  </si>
  <si>
    <t>0.09135 (0.05436)</t>
  </si>
  <si>
    <t>0.01061 (0.00045)</t>
  </si>
  <si>
    <t>0.03411 (0.00167)</t>
  </si>
  <si>
    <t>0.00335 (0.00019)</t>
  </si>
  <si>
    <t>yrbC</t>
  </si>
  <si>
    <t>putative factor regulating gene expression</t>
  </si>
  <si>
    <t>0.13285 (0.09547)</t>
  </si>
  <si>
    <t>0.16634 (0.10580)</t>
  </si>
  <si>
    <t>0.01562 (0.00089)</t>
  </si>
  <si>
    <t>0.04478 (0.00303)</t>
  </si>
  <si>
    <t>0.00776 (0.00052)</t>
  </si>
  <si>
    <t>sgpA</t>
  </si>
  <si>
    <t>0.12959 (0.07002)</t>
  </si>
  <si>
    <t>0.18760 (0.18178)</t>
  </si>
  <si>
    <t>0.00900 (0.00047)</t>
  </si>
  <si>
    <t>0.02809 (0.00125)</t>
  </si>
  <si>
    <t>0.00378 (0.00038)</t>
  </si>
  <si>
    <t>safA</t>
  </si>
  <si>
    <t>morphogenetic protein associated with SpoVID</t>
  </si>
  <si>
    <t>0.09492 (0.04504)</t>
  </si>
  <si>
    <t>0.09529 (0.08321)</t>
  </si>
  <si>
    <t>0.00657 (0.00031)</t>
  </si>
  <si>
    <t>0.02168 (0.00117)</t>
  </si>
  <si>
    <t>0.00235 (0.00016)</t>
  </si>
  <si>
    <t>nadA</t>
  </si>
  <si>
    <t>quinolinate synthetase</t>
  </si>
  <si>
    <t>0.11745 (0.03456)</t>
  </si>
  <si>
    <t>0.08946 (0.05548)</t>
  </si>
  <si>
    <t>0.00806 (0.00031)</t>
  </si>
  <si>
    <t>0.02808 (0.00118)</t>
  </si>
  <si>
    <t>0.00284 (0.00019)</t>
  </si>
  <si>
    <t>nadC</t>
  </si>
  <si>
    <t>nicotinate-nucleotide pyrophosphorylase(quinolinate phosphoribosyltransferase)</t>
  </si>
  <si>
    <t>0.16775 (0.09661)</t>
  </si>
  <si>
    <t>0.29273 (0.12201)</t>
  </si>
  <si>
    <t>0.01642 (0.00080)</t>
  </si>
  <si>
    <t>0.03921 (0.00227)</t>
  </si>
  <si>
    <t>0.01020 (0.00061)</t>
  </si>
  <si>
    <t>nadB</t>
  </si>
  <si>
    <t>L-aspartate oxidase</t>
  </si>
  <si>
    <t>0.35027 (0.25126)</t>
  </si>
  <si>
    <t>0.36104 (0.12183)</t>
  </si>
  <si>
    <t>0.01352 (0.00076)</t>
  </si>
  <si>
    <t>0.02711 (0.00165)</t>
  </si>
  <si>
    <t>0.00965 (0.00058)</t>
  </si>
  <si>
    <t>nifS</t>
  </si>
  <si>
    <t>desulfurase involved in iron-sulfur clusters forNAD biosynthesis</t>
  </si>
  <si>
    <t>0.28425 (0.29124)</t>
  </si>
  <si>
    <t>0.20972 (0.07373)</t>
  </si>
  <si>
    <t>0.01056 (0.00062)</t>
  </si>
  <si>
    <t>0.02606 (0.00198)</t>
  </si>
  <si>
    <t>0.00607 (0.00030)</t>
  </si>
  <si>
    <t>niaR</t>
  </si>
  <si>
    <t>transcriptional repressor of de novo NADbiosynthesis</t>
  </si>
  <si>
    <t>0.09141 (0.10905)</t>
  </si>
  <si>
    <t>0.04347 (0.08425)</t>
  </si>
  <si>
    <t>0.01152 (0.00079)</t>
  </si>
  <si>
    <t>0.04209 (0.00276)</t>
  </si>
  <si>
    <t>0.00256 (0.00037)</t>
  </si>
  <si>
    <t>pheA</t>
  </si>
  <si>
    <t>prephenate dehydratase</t>
  </si>
  <si>
    <t>0.11336 (0.05391)</t>
  </si>
  <si>
    <t>0.03298 (0.02474)</t>
  </si>
  <si>
    <t>0.01297 (0.00044)</t>
  </si>
  <si>
    <t>0.04727 (0.00176)</t>
  </si>
  <si>
    <t>0.00317 (0.00016)</t>
  </si>
  <si>
    <t>thrR</t>
  </si>
  <si>
    <t>transcriptional repressor of operons hom-thrCBand thrD</t>
  </si>
  <si>
    <t>0.02608 (0.00198)</t>
  </si>
  <si>
    <t>0.13213 (0.01044)</t>
  </si>
  <si>
    <t>obgE</t>
  </si>
  <si>
    <t>ppGpp-binding GTPase involved in cellportioning, DNA repair and ribosome assembly</t>
  </si>
  <si>
    <t>0.01907 (0.02486)</t>
  </si>
  <si>
    <t>0.03184 (0.04429)</t>
  </si>
  <si>
    <t>0.02646 (0.00129)</t>
  </si>
  <si>
    <t>0.11020 (0.00535)</t>
  </si>
  <si>
    <t>0.00414 (0.00029)</t>
  </si>
  <si>
    <t>spo0B</t>
  </si>
  <si>
    <t>sporulation initiation phosphotransferase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</si>
  <si>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</si>
  <si>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0.05411 (0.04349)</t>
  </si>
  <si>
    <t>0.05153 (0.03626)</t>
  </si>
  <si>
    <t>0.01745 (0.00100)</t>
  </si>
  <si>
    <t>0.07437 (0.00412)</t>
  </si>
  <si>
    <t>0.00376 (0.00035)</t>
  </si>
  <si>
    <t>rppA</t>
  </si>
  <si>
    <t>ribosomal protein L27 specific N-terminal endcysteine protease</t>
  </si>
  <si>
    <t>0.24510 (0.15895)</t>
  </si>
  <si>
    <t>0.07622 (0.07535)</t>
  </si>
  <si>
    <t>0.01980 (0.00124)</t>
  </si>
  <si>
    <t>0.06775 (0.00440)</t>
  </si>
  <si>
    <t>0.00618 (0.00051)</t>
  </si>
  <si>
    <t>rplU</t>
  </si>
  <si>
    <t>ribosomal protein L21 (BL20)</t>
  </si>
  <si>
    <t>0.17448 (0.18110)</t>
  </si>
  <si>
    <t>0.01058 (0.00146)</t>
  </si>
  <si>
    <t>0.03498 (0.00576)</t>
  </si>
  <si>
    <t>0.00365 (0.00060)</t>
  </si>
  <si>
    <t>spoIVFB</t>
  </si>
  <si>
    <t>membrane metalloprotease [proteolysis ofpro-sigma(K)]</t>
  </si>
  <si>
    <t>0.02183 (0.03279)</t>
  </si>
  <si>
    <t>0.07443 (0.08891)</t>
  </si>
  <si>
    <t>0.01084 (0.00063)</t>
  </si>
  <si>
    <t>0.04138 (0.00283)</t>
  </si>
  <si>
    <t>0.00208 (0.00020)</t>
  </si>
  <si>
    <t>spoIVFA</t>
  </si>
  <si>
    <t>regulator of SpoIVFB (stage IV sporulation)</t>
  </si>
  <si>
    <t>0.11152 (0.17332)</t>
  </si>
  <si>
    <t>0.01327 (0.00147)</t>
  </si>
  <si>
    <t>0.05137 (0.00584)</t>
  </si>
  <si>
    <t>0.00350 (0.00047)</t>
  </si>
  <si>
    <t>minD</t>
  </si>
  <si>
    <t>ATPase activator of MinC</t>
  </si>
  <si>
    <t>0.02989 (0.05306)</t>
  </si>
  <si>
    <t>0.04720 (0.03364)</t>
  </si>
  <si>
    <t>0.02411 (0.00116)</t>
  </si>
  <si>
    <t>0.10061 (0.00502)</t>
  </si>
  <si>
    <t>0.00341 (0.00024)</t>
  </si>
  <si>
    <t>minC</t>
  </si>
  <si>
    <t>cell-division regulator (septum placement)</t>
  </si>
  <si>
    <t>0.03597 (0.03605)</t>
  </si>
  <si>
    <t>0.06019 (0.11352)</t>
  </si>
  <si>
    <t>0.01793 (0.00121)</t>
  </si>
  <si>
    <t>0.07077 (0.00467)</t>
  </si>
  <si>
    <t>0.00381 (0.00036)</t>
  </si>
  <si>
    <t>mreD</t>
  </si>
  <si>
    <t>0.07253 (0.15182)</t>
  </si>
  <si>
    <t>0.00657 (0.00058)</t>
  </si>
  <si>
    <t>0.02580 (0.00198)</t>
  </si>
  <si>
    <t>0.00112 (0.00035)</t>
  </si>
  <si>
    <t>mreC</t>
  </si>
  <si>
    <t>0.01674 (0.02988)</t>
  </si>
  <si>
    <t>0.01834 (0.05021)</t>
  </si>
  <si>
    <t>0.02335 (0.00171)</t>
  </si>
  <si>
    <t>0.10963 (0.00830)</t>
  </si>
  <si>
    <t>mreB</t>
  </si>
  <si>
    <t>0.01002 (0.01710)</t>
  </si>
  <si>
    <t>0.01023 (0.01585)</t>
  </si>
  <si>
    <t>0.02521 (0.00198)</t>
  </si>
  <si>
    <t>0.11188 (0.00911)</t>
  </si>
  <si>
    <t>0.00121 (0.00016)</t>
  </si>
  <si>
    <t>ysxA</t>
  </si>
  <si>
    <t>conserved nucleotide-related metabolism protein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</si>
  <si>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</si>
  <si>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0.02319 (0.02054)</t>
  </si>
  <si>
    <t>0.09283 (0.12705)</t>
  </si>
  <si>
    <t>0.02236 (0.00193)</t>
  </si>
  <si>
    <t>0.08731 (0.00800)</t>
  </si>
  <si>
    <t>0.00537 (0.00045)</t>
  </si>
  <si>
    <t>maf</t>
  </si>
  <si>
    <t>nucleoside triphosphate pyrophosphatase; septumformation DNA-binding protein (multicopy associatedfilamentation)</t>
  </si>
  <si>
    <t>0.18561 (0.25022)</t>
  </si>
  <si>
    <t>0.09137 (0.16781)</t>
  </si>
  <si>
    <t>0.02213 (0.00222)</t>
  </si>
  <si>
    <t>0.07596 (0.00782)</t>
  </si>
  <si>
    <t>0.00824 (0.00093)</t>
  </si>
  <si>
    <t>spoIIB</t>
  </si>
  <si>
    <t>spatial and temporal regulator of thedissolution of septal peptidoglycan during engulfment(stage II sporulation)</t>
  </si>
  <si>
    <t>0.17594 (0.07043)</t>
  </si>
  <si>
    <t>0.13332 (0.02630)</t>
  </si>
  <si>
    <t>0.02327 (0.00099)</t>
  </si>
  <si>
    <t>0.07605 (0.00357)</t>
  </si>
  <si>
    <t>0.00950 (0.00048)</t>
  </si>
  <si>
    <t>comC</t>
  </si>
  <si>
    <t>membrane prepilin peptidase</t>
  </si>
  <si>
    <t>0.25867 (0.13731)</t>
  </si>
  <si>
    <t>0.07584 (0.18436)</t>
  </si>
  <si>
    <t>0.01473 (0.00085)</t>
  </si>
  <si>
    <t>0.04124 (0.00269)</t>
  </si>
  <si>
    <t>0.00578 (0.00050)</t>
  </si>
  <si>
    <t>folC</t>
  </si>
  <si>
    <t>folyl-polyglutamate synthase</t>
  </si>
  <si>
    <t>0.29800 (0.25986)</t>
  </si>
  <si>
    <t>0.06344 (0.06954)</t>
  </si>
  <si>
    <t>0.01308 (0.00079)</t>
  </si>
  <si>
    <t>0.04142 (0.00229)</t>
  </si>
  <si>
    <t>0.00533 (0.00047)</t>
  </si>
  <si>
    <t>valS</t>
  </si>
  <si>
    <t>valyl-tRNA synthetase</t>
  </si>
  <si>
    <t>0.05297 (0.04102)</t>
  </si>
  <si>
    <t>0.04594 (0.04074)</t>
  </si>
  <si>
    <t>0.00787 (0.00031)</t>
  </si>
  <si>
    <t>0.03097 (0.00123)</t>
  </si>
  <si>
    <t>0.00151 (0.00009)</t>
  </si>
  <si>
    <t>yszA</t>
  </si>
  <si>
    <t>0.06060 (0.08569)</t>
  </si>
  <si>
    <t>0.01764 (0.00444)</t>
  </si>
  <si>
    <t>0.06543 (0.02097)</t>
  </si>
  <si>
    <t>0.00352 (0.00131)</t>
  </si>
  <si>
    <t>cotN</t>
  </si>
  <si>
    <t>0.10902 (0.03022)</t>
  </si>
  <si>
    <t>0.04568 (0.03893)</t>
  </si>
  <si>
    <t>0.01332 (0.00049)</t>
  </si>
  <si>
    <t>0.05120 (0.00203)</t>
  </si>
  <si>
    <t>0.00341 (0.00025)</t>
  </si>
  <si>
    <t>spoVID</t>
  </si>
  <si>
    <t>morphogenetic spore protein (stage VIsporulation)</t>
  </si>
  <si>
    <t>0.30384 (0.08932)</t>
  </si>
  <si>
    <t>0.25736 (0.06848)</t>
  </si>
  <si>
    <t>0.01231 (0.00035)</t>
  </si>
  <si>
    <t>0.02646 (0.00109)</t>
  </si>
  <si>
    <t>0.00852 (0.00023)</t>
  </si>
  <si>
    <t>hemL</t>
  </si>
  <si>
    <t>glutamate-1-semialdehyde 2,1-aminomutase</t>
  </si>
  <si>
    <t>0.04875 (0.05149)</t>
  </si>
  <si>
    <t>0.03983 (0.03055)</t>
  </si>
  <si>
    <t>0.01082 (0.00042)</t>
  </si>
  <si>
    <t>0.04008 (0.00180)</t>
  </si>
  <si>
    <t>hemB</t>
  </si>
  <si>
    <t>delta-aminolevulinic acid dehydratase(porphobilinogen synthase)</t>
  </si>
  <si>
    <t>0.09550 (0.04675)</t>
  </si>
  <si>
    <t>0.02106 (0.01538)</t>
  </si>
  <si>
    <t>0.02263 (0.00146)</t>
  </si>
  <si>
    <t>0.09949 (0.00696)</t>
  </si>
  <si>
    <t>hemD</t>
  </si>
  <si>
    <t>uroporphyrinogen III cosynthase</t>
  </si>
  <si>
    <t>0.22129 (0.14201)</t>
  </si>
  <si>
    <t>0.13319 (0.05933)</t>
  </si>
  <si>
    <t>0.01266 (0.00053)</t>
  </si>
  <si>
    <t>0.03329 (0.00183)</t>
  </si>
  <si>
    <t>0.00688 (0.00039)</t>
  </si>
  <si>
    <t>hemC</t>
  </si>
  <si>
    <t>porphobilinogen deaminase (hydroxymethylbilanesynthase)</t>
  </si>
  <si>
    <t>0.12281 (0.05725)</t>
  </si>
  <si>
    <t>0.07193 (0.03987)</t>
  </si>
  <si>
    <t>0.01093 (0.00034)</t>
  </si>
  <si>
    <t>0.03786 (0.00145)</t>
  </si>
  <si>
    <t>0.00345 (0.00014)</t>
  </si>
  <si>
    <t>hemX</t>
  </si>
  <si>
    <t>negative effector of the concentration ofglutamyl-tRNA reductase HemA</t>
  </si>
  <si>
    <t>0.01463 (0.04337)</t>
  </si>
  <si>
    <t>0.10075 (0.00667)</t>
  </si>
  <si>
    <t>0.00039 (0.00009)</t>
  </si>
  <si>
    <t>hemA</t>
  </si>
  <si>
    <t>glutamyl-tRNA reductase</t>
  </si>
  <si>
    <t>0.05833 (0.03562)</t>
  </si>
  <si>
    <t>0.01654 (0.06713)</t>
  </si>
  <si>
    <t>0.02000 (0.00182)</t>
  </si>
  <si>
    <t>0.09245 (0.00891)</t>
  </si>
  <si>
    <t>ysxD</t>
  </si>
  <si>
    <t>0.02194 (0.03489)</t>
  </si>
  <si>
    <t>0.07178 (0.08945)</t>
  </si>
  <si>
    <t>0.02852 (0.00207)</t>
  </si>
  <si>
    <t>0.11647 (0.00826)</t>
  </si>
  <si>
    <t>0.00665 (0.00073)</t>
  </si>
  <si>
    <t>engB</t>
  </si>
  <si>
    <t>GTPase involved in ribosome 50S subunit assembly(maturation of the central 50S protuberance)</t>
  </si>
  <si>
    <t>0.02402 (0.03059)</t>
  </si>
  <si>
    <t>0.01455 (0.00129)</t>
  </si>
  <si>
    <t>0.06476 (0.00623)</t>
  </si>
  <si>
    <t>lonA</t>
  </si>
  <si>
    <t>class III heat-shock ATP-dependent LonAprotease</t>
  </si>
  <si>
    <t>0.02082 (0.01885)</t>
  </si>
  <si>
    <t>0.01920 (0.02049)</t>
  </si>
  <si>
    <t>0.01035 (0.00049)</t>
  </si>
  <si>
    <t>0.04367 (0.00232)</t>
  </si>
  <si>
    <t>0.00089 (0.00007)</t>
  </si>
  <si>
    <t>lonB</t>
  </si>
  <si>
    <t>spore-specific ATP-dependent protease LonB</t>
  </si>
  <si>
    <t>0.02707 (0.01441)</t>
  </si>
  <si>
    <t>0.03492 (0.03764)</t>
  </si>
  <si>
    <t>0.01098 (0.00033)</t>
  </si>
  <si>
    <t>0.04559 (0.00144)</t>
  </si>
  <si>
    <t>0.00137 (0.00011)</t>
  </si>
  <si>
    <t>clpX</t>
  </si>
  <si>
    <t>protein unfolding ATPase required forpresentation of proteins to proteases; Maxwell's demon</t>
  </si>
  <si>
    <t>0.44215 (0.09095)</t>
  </si>
  <si>
    <t>0.00370 (0.01253)</t>
  </si>
  <si>
    <t>0.02258 (0.00148)</t>
  </si>
  <si>
    <t>0.10983 (0.00740)</t>
  </si>
  <si>
    <t>0.00047 (0.00004)</t>
  </si>
  <si>
    <t>tig</t>
  </si>
  <si>
    <t>prolyl isomerase (trigger factor)</t>
  </si>
  <si>
    <t>0.04503 (0.02557)</t>
  </si>
  <si>
    <t>0.05807 (0.03844)</t>
  </si>
  <si>
    <t>0.01838 (0.00064)</t>
  </si>
  <si>
    <t>0.07467 (0.00263)</t>
  </si>
  <si>
    <t>ysoA</t>
  </si>
  <si>
    <t>0.04795 (0.03166)</t>
  </si>
  <si>
    <t>0.04182 (0.02668)</t>
  </si>
  <si>
    <t>0.01431 (0.00047)</t>
  </si>
  <si>
    <t>0.05856 (0.00204)</t>
  </si>
  <si>
    <t>0.00289 (0.00015)</t>
  </si>
  <si>
    <t>leuD</t>
  </si>
  <si>
    <t>3-isopropylmalate dehydratase (small subunit)</t>
  </si>
  <si>
    <t>0.07389 (0.10027)</t>
  </si>
  <si>
    <t>0.11555 (0.05255)</t>
  </si>
  <si>
    <t>0.01944 (0.00178)</t>
  </si>
  <si>
    <t>0.07697 (0.00801)</t>
  </si>
  <si>
    <t>0.00605 (0.00052)</t>
  </si>
  <si>
    <t>leuC</t>
  </si>
  <si>
    <t>3-isopropylmalate dehydratase (large subunit)</t>
  </si>
  <si>
    <t>0.03872 (0.01911)</t>
  </si>
  <si>
    <t>0.01776 (0.03921)</t>
  </si>
  <si>
    <t>0.02242 (0.00159)</t>
  </si>
  <si>
    <t>0.10134 (0.00770)</t>
  </si>
  <si>
    <t>0.00255 (0.00019)</t>
  </si>
  <si>
    <t>leuB</t>
  </si>
  <si>
    <t>3-isopropylmalate dehydrogenase</t>
  </si>
  <si>
    <t>0.04510 (0.08362)</t>
  </si>
  <si>
    <t>0.07510 (0.05292)</t>
  </si>
  <si>
    <t>0.01418 (0.00152)</t>
  </si>
  <si>
    <t>0.05570 (0.00715)</t>
  </si>
  <si>
    <t>0.00307 (0.00018)</t>
  </si>
  <si>
    <t>leuA</t>
  </si>
  <si>
    <t>2-isopropylmalate synthase</t>
  </si>
  <si>
    <t>0.06348 (0.02244)</t>
  </si>
  <si>
    <t>0.08421 (0.03064)</t>
  </si>
  <si>
    <t>0.01387 (0.00044)</t>
  </si>
  <si>
    <t>0.04885 (0.00167)</t>
  </si>
  <si>
    <t>0.00397 (0.00015)</t>
  </si>
  <si>
    <t>ilvC</t>
  </si>
  <si>
    <t>acetohydroxy-acid isomeroreductase(NADP-dependent)</t>
  </si>
  <si>
    <t>0.10803 (0.04254)</t>
  </si>
  <si>
    <t>0.01820 (0.01720)</t>
  </si>
  <si>
    <t>0.00342 (0.01393)</t>
  </si>
  <si>
    <t>0.02549 (0.00132)</t>
  </si>
  <si>
    <t>0.12224 (0.00685)</t>
  </si>
  <si>
    <t>0.00090 (0.00008)</t>
  </si>
  <si>
    <t>ilvH</t>
  </si>
  <si>
    <t>acetohydroxy-acid synthase (small subunit)</t>
  </si>
  <si>
    <t>0.02751 (0.03146)</t>
  </si>
  <si>
    <t>0.02204 (0.03383)</t>
  </si>
  <si>
    <t>0.02282 (0.00151)</t>
  </si>
  <si>
    <t>0.09579 (0.00674)</t>
  </si>
  <si>
    <t>0.00241 (0.00021)</t>
  </si>
  <si>
    <t>ilvB</t>
  </si>
  <si>
    <t>acetohydroxy-acid synthase (large subunit)</t>
  </si>
  <si>
    <t>0.07007 (0.04588)</t>
  </si>
  <si>
    <t>0.03879 (0.04275)</t>
  </si>
  <si>
    <t>0.00811 (0.00031)</t>
  </si>
  <si>
    <t>0.03065 (0.00128)</t>
  </si>
  <si>
    <t>0.00153 (0.00008)</t>
  </si>
  <si>
    <t>cotQ</t>
  </si>
  <si>
    <t>inner spore coat protein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</si>
  <si>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GCA_002055965.1_ASM205596v1_genomic , GCA_002072735.1_ASM207273v1_genomic , GCA_002173615.1_ASM217361v1_genomic</t>
  </si>
  <si>
    <t>0.35909 (0.17738)</t>
  </si>
  <si>
    <t>0.15710 (0.11108)</t>
  </si>
  <si>
    <t>0.02181 (0.00218)</t>
  </si>
  <si>
    <t>0.04920 (0.00543)</t>
  </si>
  <si>
    <t>0.01384 (0.00171)</t>
  </si>
  <si>
    <t>ysnE</t>
  </si>
  <si>
    <t>putative indole acetic acid N-acetyltransferase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</si>
  <si>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</si>
  <si>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0.33586 (0.13769)</t>
  </si>
  <si>
    <t>0.13323 (0.06959)</t>
  </si>
  <si>
    <t>0.03149 (0.00364)</t>
  </si>
  <si>
    <t>0.08925 (0.01328)</t>
  </si>
  <si>
    <t>0.01753 (0.00170)</t>
  </si>
  <si>
    <t>ysnF</t>
  </si>
  <si>
    <t>putative stress response protein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</si>
  <si>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GCA_001808235.1_ASM180823v1_genomic , GCA_002055965.1_ASM205596v1_genomic , GCA_002072735.1_ASM207273v1_genomic</t>
  </si>
  <si>
    <t>0.12749 (0.07810)</t>
  </si>
  <si>
    <t>0.09278 (0.07586)</t>
  </si>
  <si>
    <t>0.01499 (0.00109)</t>
  </si>
  <si>
    <t>0.04881 (0.00431)</t>
  </si>
  <si>
    <t>0.00611 (0.00050)</t>
  </si>
  <si>
    <t>ysnB</t>
  </si>
  <si>
    <t>0.21827 (0.23595)</t>
  </si>
  <si>
    <t>0.04361 (0.10364)</t>
  </si>
  <si>
    <t>0.02007 (0.00179)</t>
  </si>
  <si>
    <t>0.05996 (0.00609)</t>
  </si>
  <si>
    <t>rdgB</t>
  </si>
  <si>
    <t>deoxyinosine/deoxyxanthosine triphosphatepyrophosphatase, promiscuous (subunit A)</t>
  </si>
  <si>
    <t>0.05387 (0.03820)</t>
  </si>
  <si>
    <t>0.03194 (0.06865)</t>
  </si>
  <si>
    <t>0.01066 (0.00050)</t>
  </si>
  <si>
    <t>0.04331 (0.00204)</t>
  </si>
  <si>
    <t>0.00162 (0.00015)</t>
  </si>
  <si>
    <t>rph</t>
  </si>
  <si>
    <t>ribonuclease PH</t>
  </si>
  <si>
    <t>0.02885 (0.05408)</t>
  </si>
  <si>
    <t>0.01249 (0.00079)</t>
  </si>
  <si>
    <t>0.05126 (0.00354)</t>
  </si>
  <si>
    <t>0.00098 (0.00019)</t>
  </si>
  <si>
    <t>gerM</t>
  </si>
  <si>
    <t>germination (cortex hydrolysis) and sporulation(stage II, multiple polar septa) lytic enzyme</t>
  </si>
  <si>
    <t>0.06049 (0.05301)</t>
  </si>
  <si>
    <t>0.03071 (0.03886)</t>
  </si>
  <si>
    <t>0.01535 (0.00079)</t>
  </si>
  <si>
    <t>0.05741 (0.00303)</t>
  </si>
  <si>
    <t>0.00353 (0.00025)</t>
  </si>
  <si>
    <t>rcmE</t>
  </si>
  <si>
    <t>0.02923 (0.06082)</t>
  </si>
  <si>
    <t>0.02160 (0.00138)</t>
  </si>
  <si>
    <t>0.09283 (0.00603)</t>
  </si>
  <si>
    <t>0.00182 (0.00025)</t>
  </si>
  <si>
    <t>ysmB</t>
  </si>
  <si>
    <t>putative transcriptional regulator (mothercell's gene expression during sporulation)</t>
  </si>
  <si>
    <t>0.02276 (0.06467)</t>
  </si>
  <si>
    <t>0.05410 (0.06098)</t>
  </si>
  <si>
    <t>0.01903 (0.00132)</t>
  </si>
  <si>
    <t>0.08292 (0.00564)</t>
  </si>
  <si>
    <t>0.00300 (0.00029)</t>
  </si>
  <si>
    <t>ysmA</t>
  </si>
  <si>
    <t>0.22041 (0.15531)</t>
  </si>
  <si>
    <t>0.09879 (0.07816)</t>
  </si>
  <si>
    <t>0.01356 (0.00054)</t>
  </si>
  <si>
    <t>0.04183 (0.00196)</t>
  </si>
  <si>
    <t>0.00642 (0.00047)</t>
  </si>
  <si>
    <t>sdhB</t>
  </si>
  <si>
    <t>succinate dehydrogenase (iron-sulfur protein)</t>
  </si>
  <si>
    <t>0.04169 (0.06981)</t>
  </si>
  <si>
    <t>0.03477 (0.08918)</t>
  </si>
  <si>
    <t>0.01152 (0.00051)</t>
  </si>
  <si>
    <t>0.04839 (0.00211)</t>
  </si>
  <si>
    <t>0.00167 (0.00021)</t>
  </si>
  <si>
    <t>sdhA</t>
  </si>
  <si>
    <t>succinate dehydrogenase (flavoprotein subunit)</t>
  </si>
  <si>
    <t>0.01991 (0.03683)</t>
  </si>
  <si>
    <t>0.00444 (0.00943)</t>
  </si>
  <si>
    <t>0.02322 (0.00120)</t>
  </si>
  <si>
    <t>0.10997 (0.00599)</t>
  </si>
  <si>
    <t>0.00080 (0.00006)</t>
  </si>
  <si>
    <t>sdhC</t>
  </si>
  <si>
    <t>succinate dehydrogenase (cytochrome b558subunit)</t>
  </si>
  <si>
    <t>0.03049 (0.08384)</t>
  </si>
  <si>
    <t>0.01404 (0.00070)</t>
  </si>
  <si>
    <t>0.06188 (0.00317)</t>
  </si>
  <si>
    <t>0.00029 (0.00007)</t>
  </si>
  <si>
    <t>yslB</t>
  </si>
  <si>
    <t>0.03460 (0.02967)</t>
  </si>
  <si>
    <t>0.01491 (0.00118)</t>
  </si>
  <si>
    <t>0.07092 (0.00595)</t>
  </si>
  <si>
    <t>0.00155 (0.00023)</t>
  </si>
  <si>
    <t>lysCA</t>
  </si>
  <si>
    <t>aspartokinase II alpha subunit (aa 1-&gt;408)</t>
  </si>
  <si>
    <t>0.08131 (0.05433)</t>
  </si>
  <si>
    <t>0.07149 (0.06075)</t>
  </si>
  <si>
    <t>0.00848 (0.00035)</t>
  </si>
  <si>
    <t>0.02916 (0.00147)</t>
  </si>
  <si>
    <t>0.00227 (0.00012)</t>
  </si>
  <si>
    <t>lysCB</t>
  </si>
  <si>
    <t>aspartokinase II beta subunit (aa 246-&gt;408)VDIIIQTQAEDKTGISFSVKTEDADQTVAVLEEYKDALEFEKIETESKLAKVSIVGSGMVSNPGVAAEMFAVLAQKNILIKMVSTSEIKVSTVVSENDMVKAVESLHDAFELSKHPSAVgene            complement(2910872..2911051)misc_RNA        complement(2910872..2911051)PMID:14523230,14597663,14627808,21169337,22416067in the studied strain; PubMedId: 14523230, 14597663,14627808, 21169337, 22416067; Product type n: RNAgene            complement(2911116..2912888)CDS             complement(2911116..2912888)PMID:8655545,16267290,16426634,25713353in the studied strain; PubMedId: 8655545, 16267290,16426634, 25713353; Product type e: enzyme</t>
  </si>
  <si>
    <t>0.01739 (0.04802)</t>
  </si>
  <si>
    <t>0.01009 (0.00056)</t>
  </si>
  <si>
    <t>0.04343 (0.00255)</t>
  </si>
  <si>
    <t>0.00053 (0.00016)</t>
  </si>
  <si>
    <t>trxA</t>
  </si>
  <si>
    <t>thioredoxin</t>
  </si>
  <si>
    <t>0.02473 (0.00303)</t>
  </si>
  <si>
    <t>0.12527 (0.01585)</t>
  </si>
  <si>
    <t>abfB</t>
  </si>
  <si>
    <t>exo-alpha-L-arabinofuranosidase</t>
  </si>
  <si>
    <t>0.10253 (0.03800)</t>
  </si>
  <si>
    <t>0.05612 (0.04757)</t>
  </si>
  <si>
    <t>0.01405 (0.00049)</t>
  </si>
  <si>
    <t>0.05231 (0.00212)</t>
  </si>
  <si>
    <t>0.00407 (0.00017)</t>
  </si>
  <si>
    <t>etfA</t>
  </si>
  <si>
    <t>electron transfer flavoprotein (alpha subunit)</t>
  </si>
  <si>
    <t>0.08033 (0.02815)</t>
  </si>
  <si>
    <t>0.05495 (0.06293)</t>
  </si>
  <si>
    <t>0.01805 (0.00064)</t>
  </si>
  <si>
    <t>0.06798 (0.00258)</t>
  </si>
  <si>
    <t>0.00333 (0.00023)</t>
  </si>
  <si>
    <t>etfB</t>
  </si>
  <si>
    <t>electron transfer flavoprotein (beta subunit)</t>
  </si>
  <si>
    <t>0.09356 (0.09043)</t>
  </si>
  <si>
    <t>0.03393 (0.03225)</t>
  </si>
  <si>
    <t>0.02447 (0.00148)</t>
  </si>
  <si>
    <t>0.10304 (0.00677)</t>
  </si>
  <si>
    <t>0.00451 (0.00027)</t>
  </si>
  <si>
    <t>fadB</t>
  </si>
  <si>
    <t>enoyl-CoA hydratase</t>
  </si>
  <si>
    <t>0.05873 (0.06285)</t>
  </si>
  <si>
    <t>0.04042 (0.05429)</t>
  </si>
  <si>
    <t>0.01943 (0.00102)</t>
  </si>
  <si>
    <t>0.07623 (0.00480)</t>
  </si>
  <si>
    <t>0.00303 (0.00022)</t>
  </si>
  <si>
    <t>fadR</t>
  </si>
  <si>
    <t>transcriptional regulator of fatty acidsdegradation [FadR-long-chain (C14-C20) acyl-CoAs]</t>
  </si>
  <si>
    <t>0.02867 (0.03038)</t>
  </si>
  <si>
    <t>0.11735 (0.10490)</t>
  </si>
  <si>
    <t>0.01474 (0.00114)</t>
  </si>
  <si>
    <t>0.05430 (0.00412)</t>
  </si>
  <si>
    <t>0.00446 (0.00045)</t>
  </si>
  <si>
    <t>lcfA</t>
  </si>
  <si>
    <t>long chain acyl-CoA ligase (degradative)</t>
  </si>
  <si>
    <t>0.09024 (0.04475)</t>
  </si>
  <si>
    <t>0.05240 (0.02211)</t>
  </si>
  <si>
    <t>0.01091 (0.00036)</t>
  </si>
  <si>
    <t>0.03796 (0.00153)</t>
  </si>
  <si>
    <t>yshE</t>
  </si>
  <si>
    <t>0.02261 (0.06056)</t>
  </si>
  <si>
    <t>0.04212 (0.09900)</t>
  </si>
  <si>
    <t>0.01904 (0.00125)</t>
  </si>
  <si>
    <t>0.07786 (0.00501)</t>
  </si>
  <si>
    <t>0.00300 (0.00036)</t>
  </si>
  <si>
    <t>mutSB</t>
  </si>
  <si>
    <t>homologous recombination factor</t>
  </si>
  <si>
    <t>0.07011 (0.05837)</t>
  </si>
  <si>
    <t>0.05447 (0.02389)</t>
  </si>
  <si>
    <t>0.03117 (0.00225)</t>
  </si>
  <si>
    <t>polX</t>
  </si>
  <si>
    <t>DNA polymerase/3'-5' exonuclease X</t>
  </si>
  <si>
    <t>0.04891 (0.02193)</t>
  </si>
  <si>
    <t>0.04367 (0.05569)</t>
  </si>
  <si>
    <t>0.01054 (0.00049)</t>
  </si>
  <si>
    <t>0.04207 (0.00207)</t>
  </si>
  <si>
    <t>0.00172 (0.00013)</t>
  </si>
  <si>
    <t>yshB</t>
  </si>
  <si>
    <t>0.02840 (0.04226)</t>
  </si>
  <si>
    <t>0.06070 (0.13261)</t>
  </si>
  <si>
    <t>0.02692 (0.00189)</t>
  </si>
  <si>
    <t>0.09982 (0.00689)</t>
  </si>
  <si>
    <t>0.00554 (0.00058)</t>
  </si>
  <si>
    <t>zapA</t>
  </si>
  <si>
    <t>regulator of cell division</t>
  </si>
  <si>
    <t>0.08986 (0.14977)</t>
  </si>
  <si>
    <t>0.26959 (0.00000)</t>
  </si>
  <si>
    <t>0.01059 (0.00157)</t>
  </si>
  <si>
    <t>0.03199 (0.00475)</t>
  </si>
  <si>
    <t>0.00502 (0.00123)</t>
  </si>
  <si>
    <t>rnhC</t>
  </si>
  <si>
    <t>ribonuclease HIII</t>
  </si>
  <si>
    <t>0.02801 (0.02187)</t>
  </si>
  <si>
    <t>0.05260 (0.05076)</t>
  </si>
  <si>
    <t>0.01708 (0.00076)</t>
  </si>
  <si>
    <t>0.06428 (0.00287)</t>
  </si>
  <si>
    <t>0.00374 (0.00022)</t>
  </si>
  <si>
    <t>pheT</t>
  </si>
  <si>
    <t>phenylalanyl-tRNA synthetase (beta subunit)</t>
  </si>
  <si>
    <t>0.05924 (0.02604)</t>
  </si>
  <si>
    <t>0.04291 (0.03153)</t>
  </si>
  <si>
    <t>0.01622 (0.00043)</t>
  </si>
  <si>
    <t>0.05934 (0.00170)</t>
  </si>
  <si>
    <t>0.00330 (0.00012)</t>
  </si>
  <si>
    <t>pheS</t>
  </si>
  <si>
    <t>phenylalanyl-tRNA synthetase (alpha subunit)</t>
  </si>
  <si>
    <t>0.02984 (0.03722)</t>
  </si>
  <si>
    <t>0.03155 (0.04092)</t>
  </si>
  <si>
    <t>0.02450 (0.00128)</t>
  </si>
  <si>
    <t>0.11247 (0.00627)</t>
  </si>
  <si>
    <t>0.00316 (0.00018)</t>
  </si>
  <si>
    <t>BSU_28645</t>
  </si>
  <si>
    <t>hypothetical proteinPISGCVKNALSQRHFLPGKQLIRNgene            complement(2930827..2931573)CDS             complement(2930827..2931573)evidences (e.g. phenotypes); PubMedId: 17114254, 24809820,27435445; Product type e: enzyme</t>
  </si>
  <si>
    <t>0.76951 (0.69113)</t>
  </si>
  <si>
    <t>0.01172 (0.00085)</t>
  </si>
  <si>
    <t>0.01099 (0.00236)</t>
  </si>
  <si>
    <t>0.01212 (0.00094)</t>
  </si>
  <si>
    <t>sspI</t>
  </si>
  <si>
    <t>0.03216 (0.06134)</t>
  </si>
  <si>
    <t>0.02294 (0.03631)</t>
  </si>
  <si>
    <t>0.03571 (0.00299)</t>
  </si>
  <si>
    <t>0.17975 (0.01728)</t>
  </si>
  <si>
    <t>0.00411 (0.00073)</t>
  </si>
  <si>
    <t>ysfB</t>
  </si>
  <si>
    <t>putative transcriptional regulator (glycolatedegradation operon)</t>
  </si>
  <si>
    <t>0.34385 (0.18707)</t>
  </si>
  <si>
    <t>0.14298 (0.02668)</t>
  </si>
  <si>
    <t>0.01623 (0.00054)</t>
  </si>
  <si>
    <t>0.04760 (0.00180)</t>
  </si>
  <si>
    <t>0.00796 (0.00029)</t>
  </si>
  <si>
    <t>glcD</t>
  </si>
  <si>
    <t>glycolate oxidase subunit</t>
  </si>
  <si>
    <t>0.07623 (0.03097)</t>
  </si>
  <si>
    <t>0.07491 (0.02568)</t>
  </si>
  <si>
    <t>0.02843 (0.00101)</t>
  </si>
  <si>
    <t>0.09958 (0.00353)</t>
  </si>
  <si>
    <t>0.00810 (0.00041)</t>
  </si>
  <si>
    <t>glcF</t>
  </si>
  <si>
    <t>glycolate oxidase (iron-sulfur subunit)</t>
  </si>
  <si>
    <t>0.08014 (0.03890)</t>
  </si>
  <si>
    <t>0.05806 (0.01606)</t>
  </si>
  <si>
    <t>0.02826 (0.00097)</t>
  </si>
  <si>
    <t>0.11320 (0.00445)</t>
  </si>
  <si>
    <t>0.00610 (0.00026)</t>
  </si>
  <si>
    <t>ysfE</t>
  </si>
  <si>
    <t>0.19796 (0.19181)</t>
  </si>
  <si>
    <t>0.00784 (0.00051)</t>
  </si>
  <si>
    <t>0.02541 (0.00275)</t>
  </si>
  <si>
    <t>0.00275 (0.00045)</t>
  </si>
  <si>
    <t>BSU_28709</t>
  </si>
  <si>
    <t>hypothetical proteinQQAGYSFFTGIFgene            complement(2936382..2938178)CDS             complement(2936382..2938178)PMID:15849754,16850406,1848300,17320232,19682248in the studied strain; PubMedId: 15849754, 16850406,1848300, 17320232, 19682248; Product type ph: phenotype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</si>
  <si>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GCA_002055965.1_ASM205596v1_genomic , GCA_002142595.1_ASM214259v1_genomic , GCA_002173615.1_ASM217361v1_genomic</t>
  </si>
  <si>
    <t>0.64158 (0.00000)</t>
  </si>
  <si>
    <t>0.02138 (0.00323)</t>
  </si>
  <si>
    <t>0.01574 (0.00375)</t>
  </si>
  <si>
    <t>0.02374 (0.00339)</t>
  </si>
  <si>
    <t>abfA</t>
  </si>
  <si>
    <t>alpha-L-arabinofuranosidase</t>
  </si>
  <si>
    <t>0.05468 (0.03375)</t>
  </si>
  <si>
    <t>0.01880 (0.02113)</t>
  </si>
  <si>
    <t>0.01434 (0.00047)</t>
  </si>
  <si>
    <t>0.06113 (0.00223)</t>
  </si>
  <si>
    <t>0.00157 (0.00008)</t>
  </si>
  <si>
    <t>araQ</t>
  </si>
  <si>
    <t>arabinose/arabinan permease</t>
  </si>
  <si>
    <t>0.03326 (0.02330)</t>
  </si>
  <si>
    <t>0.02000 (0.01871)</t>
  </si>
  <si>
    <t>0.03351 (0.00140)</t>
  </si>
  <si>
    <t>0.14650 (0.00673)</t>
  </si>
  <si>
    <t>0.00374 (0.00017)</t>
  </si>
  <si>
    <t>araP</t>
  </si>
  <si>
    <t>0.04971 (0.04845)</t>
  </si>
  <si>
    <t>0.02746 (0.03911)</t>
  </si>
  <si>
    <t>0.02712 (0.00142)</t>
  </si>
  <si>
    <t>0.11137 (0.00645)</t>
  </si>
  <si>
    <t>araN</t>
  </si>
  <si>
    <t>sugar-binding lipoprotein</t>
  </si>
  <si>
    <t>0.08881 (0.02285)</t>
  </si>
  <si>
    <t>0.04340 (0.02399)</t>
  </si>
  <si>
    <t>0.02101 (0.00090)</t>
  </si>
  <si>
    <t>0.08486 (0.00394)</t>
  </si>
  <si>
    <t>0.00447 (0.00021)</t>
  </si>
  <si>
    <t>egsA</t>
  </si>
  <si>
    <t>sn-glycerol-1-phosphate dehydrogenase [NAD+](catabolic)</t>
  </si>
  <si>
    <t>0.13042 (0.04205)</t>
  </si>
  <si>
    <t>0.13592 (0.02672)</t>
  </si>
  <si>
    <t>0.02600 (0.00083)</t>
  </si>
  <si>
    <t>0.08236 (0.00290)</t>
  </si>
  <si>
    <t>araL</t>
  </si>
  <si>
    <t>glycolytic and pentose phosphate intermediatesphosphatase</t>
  </si>
  <si>
    <t>0.14113 (0.06072)</t>
  </si>
  <si>
    <t>0.06800 (0.03337)</t>
  </si>
  <si>
    <t>0.01432 (0.00062)</t>
  </si>
  <si>
    <t>0.04761 (0.00248)</t>
  </si>
  <si>
    <t>araD</t>
  </si>
  <si>
    <t>L-ribulose-5-phosphate 4-epimerase</t>
  </si>
  <si>
    <t>0.03196 (0.02068)</t>
  </si>
  <si>
    <t>0.04339 (0.08044)</t>
  </si>
  <si>
    <t>0.01804 (0.00114)</t>
  </si>
  <si>
    <t>0.07463 (0.00520)</t>
  </si>
  <si>
    <t>0.00285 (0.00020)</t>
  </si>
  <si>
    <t>araB</t>
  </si>
  <si>
    <t>L-ribulokinase</t>
  </si>
  <si>
    <t>0.10338 (0.03438)</t>
  </si>
  <si>
    <t>0.12527 (0.07750)</t>
  </si>
  <si>
    <t>0.01190 (0.00047)</t>
  </si>
  <si>
    <t>0.04080 (0.00181)</t>
  </si>
  <si>
    <t>0.00348 (0.00015)</t>
  </si>
  <si>
    <t>araA</t>
  </si>
  <si>
    <t>L-arabinose isomerase</t>
  </si>
  <si>
    <t>0.08637 (0.04906)</t>
  </si>
  <si>
    <t>0.07460 (0.05359)</t>
  </si>
  <si>
    <t>0.00790 (0.00026)</t>
  </si>
  <si>
    <t>0.02780 (0.00121)</t>
  </si>
  <si>
    <t>0.00241 (0.00011)</t>
  </si>
  <si>
    <t>abnA</t>
  </si>
  <si>
    <t>arabinan-endo-1,5-alpha-L-arabinase</t>
  </si>
  <si>
    <t>0.07720 (0.11197)</t>
  </si>
  <si>
    <t>0.01894 (0.05590)</t>
  </si>
  <si>
    <t>0.02159 (0.00139)</t>
  </si>
  <si>
    <t>0.08373 (0.00562)</t>
  </si>
  <si>
    <t>0.00441 (0.00039)</t>
  </si>
  <si>
    <t>frvX</t>
  </si>
  <si>
    <t>putative fructose-lysine aminopeptidase</t>
  </si>
  <si>
    <t>0.06720 (0.03755)</t>
  </si>
  <si>
    <t>0.01929 (0.02749)</t>
  </si>
  <si>
    <t>0.01279 (0.00042)</t>
  </si>
  <si>
    <t>0.05099 (0.00181)</t>
  </si>
  <si>
    <t>0.00184 (0.00013)</t>
  </si>
  <si>
    <t>ysdB</t>
  </si>
  <si>
    <t>0.07994 (0.05694)</t>
  </si>
  <si>
    <t>0.02723 (0.02443)</t>
  </si>
  <si>
    <t>0.02960 (0.00229)</t>
  </si>
  <si>
    <t>0.13786 (0.01163)</t>
  </si>
  <si>
    <t>0.00468 (0.00037)</t>
  </si>
  <si>
    <t>ysdA</t>
  </si>
  <si>
    <t>0.22177 (0.09091)</t>
  </si>
  <si>
    <t>0.01352 (0.00092)</t>
  </si>
  <si>
    <t>0.04996 (0.00362)</t>
  </si>
  <si>
    <t>0.00325 (0.00042)</t>
  </si>
  <si>
    <t>rplT</t>
  </si>
  <si>
    <t>ribosomal protein L20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</si>
  <si>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</si>
  <si>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0.03308 (0.05149)</t>
  </si>
  <si>
    <t>0.01603 (0.00238)</t>
  </si>
  <si>
    <t>0.06977 (0.01099)</t>
  </si>
  <si>
    <t>0.00162 (0.00033)</t>
  </si>
  <si>
    <t>rpmI</t>
  </si>
  <si>
    <t>ribosomal protein L35</t>
  </si>
  <si>
    <t>0.83554 (0.07406)</t>
  </si>
  <si>
    <t>0.01212 (0.00205)</t>
  </si>
  <si>
    <t>0.06069 (0.01070)</t>
  </si>
  <si>
    <t>infC</t>
  </si>
  <si>
    <t>initiation factor IF-3</t>
  </si>
  <si>
    <t>0.00838 (0.02856)</t>
  </si>
  <si>
    <t>0.01906 (0.00330)</t>
  </si>
  <si>
    <t>0.09863 (0.01796)</t>
  </si>
  <si>
    <t>0.00061 (0.00020)</t>
  </si>
  <si>
    <t>yscB</t>
  </si>
  <si>
    <t>ref , GCA_000186745.1_ASM18674v1_genomic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</si>
  <si>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0.26084 (0.12301)</t>
  </si>
  <si>
    <t>0.13926 (0.11582)</t>
  </si>
  <si>
    <t>0.01918 (0.00112)</t>
  </si>
  <si>
    <t>0.05695 (0.00376)</t>
  </si>
  <si>
    <t>pftB</t>
  </si>
  <si>
    <t>pyruvate import system subunit B</t>
  </si>
  <si>
    <t>0.03808 (0.11440)</t>
  </si>
  <si>
    <t>0.00755 (0.00036)</t>
  </si>
  <si>
    <t>0.02957 (0.00145)</t>
  </si>
  <si>
    <t>0.00059 (0.00016)</t>
  </si>
  <si>
    <t>pftA</t>
  </si>
  <si>
    <t>pyruvate uptake system subunit A</t>
  </si>
  <si>
    <t>0.02079 (0.06084)</t>
  </si>
  <si>
    <t>0.06459 (0.02650)</t>
  </si>
  <si>
    <t>0.02087 (0.00173)</t>
  </si>
  <si>
    <t>0.07548 (0.00690)</t>
  </si>
  <si>
    <t>0.00451 (0.00035)</t>
  </si>
  <si>
    <t>lytT</t>
  </si>
  <si>
    <t>two-component response regulator [LytS]</t>
  </si>
  <si>
    <t>0.27451 (0.10181)</t>
  </si>
  <si>
    <t>0.03439 (0.06542)</t>
  </si>
  <si>
    <t>0.00870 (0.00041)</t>
  </si>
  <si>
    <t>0.02723 (0.00146)</t>
  </si>
  <si>
    <t>0.00373 (0.00027)</t>
  </si>
  <si>
    <t>lytS</t>
  </si>
  <si>
    <t>two-component sensor histidine kinase [LytT]</t>
  </si>
  <si>
    <t>0.06363 (0.02899)</t>
  </si>
  <si>
    <t>0.08452 (0.05610)</t>
  </si>
  <si>
    <t>0.00911 (0.00030)</t>
  </si>
  <si>
    <t>0.03242 (0.00119)</t>
  </si>
  <si>
    <t>0.00224 (0.00012)</t>
  </si>
  <si>
    <t>ysaA</t>
  </si>
  <si>
    <t>promiscuous phosphatase</t>
  </si>
  <si>
    <t>0.10220 (0.05299)</t>
  </si>
  <si>
    <t>0.04033 (0.06173)</t>
  </si>
  <si>
    <t>0.00888 (0.00044)</t>
  </si>
  <si>
    <t>0.03030 (0.00154)</t>
  </si>
  <si>
    <t>0.00300 (0.00025)</t>
  </si>
  <si>
    <t>thrS</t>
  </si>
  <si>
    <t>threonyl-tRNA synthetase</t>
  </si>
  <si>
    <t>0.01856 (0.02002)</t>
  </si>
  <si>
    <t>0.01408 (0.02016)</t>
  </si>
  <si>
    <t>0.02026 (0.00115)</t>
  </si>
  <si>
    <t>0.09365 (0.00573)</t>
  </si>
  <si>
    <t>0.00155 (0.00010)</t>
  </si>
  <si>
    <t>ytxC</t>
  </si>
  <si>
    <t>sporulation protein</t>
  </si>
  <si>
    <t>0.12346 (0.10861)</t>
  </si>
  <si>
    <t>0.13406 (0.04282)</t>
  </si>
  <si>
    <t>0.02688 (0.00137)</t>
  </si>
  <si>
    <t>0.00347 (0.00033)</t>
  </si>
  <si>
    <t>ytxB</t>
  </si>
  <si>
    <t>putative osomosensing transporter</t>
  </si>
  <si>
    <t>0.11882 (0.12337)</t>
  </si>
  <si>
    <t>0.04037 (0.05179)</t>
  </si>
  <si>
    <t>0.01982 (0.00287)</t>
  </si>
  <si>
    <t>0.06682 (0.01007)</t>
  </si>
  <si>
    <t>0.00616 (0.00093)</t>
  </si>
  <si>
    <t>dnaI</t>
  </si>
  <si>
    <t>helicase loader</t>
  </si>
  <si>
    <t>0.03730 (0.06684)</t>
  </si>
  <si>
    <t>0.02592 (0.01988)</t>
  </si>
  <si>
    <t>0.01495 (0.00056)</t>
  </si>
  <si>
    <t>0.06782 (0.00258)</t>
  </si>
  <si>
    <t>0.00187 (0.00017)</t>
  </si>
  <si>
    <t>dnaB</t>
  </si>
  <si>
    <t>helicase loading protein; replication initiationmembrane attachment protein</t>
  </si>
  <si>
    <t>0.05369 (0.03013)</t>
  </si>
  <si>
    <t>0.03172 (0.01725)</t>
  </si>
  <si>
    <t>0.00971 (0.00042)</t>
  </si>
  <si>
    <t>0.03849 (0.00180)</t>
  </si>
  <si>
    <t>0.00197 (0.00013)</t>
  </si>
  <si>
    <t>nrdR</t>
  </si>
  <si>
    <t>negative regulator of transcription ofribonucleotide reductase nrd genes and operons</t>
  </si>
  <si>
    <t>0.04721 (0.08658)</t>
  </si>
  <si>
    <t>0.02287 (0.00132)</t>
  </si>
  <si>
    <t>0.11591 (0.00734)</t>
  </si>
  <si>
    <t>0.00100 (0.00017)</t>
  </si>
  <si>
    <t>speD</t>
  </si>
  <si>
    <t>S-adenosylmethionine decarboxylase</t>
  </si>
  <si>
    <t>0.00781 (0.00084)</t>
  </si>
  <si>
    <t>0.03624 (0.00401)</t>
  </si>
  <si>
    <t>gapB</t>
  </si>
  <si>
    <t>glyceraldehyde-3-phosphate dehydrogenase(NADP-dependent, gluconeogenesis)</t>
  </si>
  <si>
    <t>0.02194 (0.06266)</t>
  </si>
  <si>
    <t>0.01702 (0.04054)</t>
  </si>
  <si>
    <t>0.03116 (0.00134)</t>
  </si>
  <si>
    <t>0.00056 (0.00008)</t>
  </si>
  <si>
    <t>ytcD</t>
  </si>
  <si>
    <t>putative transcriptional regulator (HxlRfamily)</t>
  </si>
  <si>
    <t>0.09209 (0.06359)</t>
  </si>
  <si>
    <t>0.01049 (0.03743)</t>
  </si>
  <si>
    <t>0.02756 (0.00190)</t>
  </si>
  <si>
    <t>0.13090 (0.01054)</t>
  </si>
  <si>
    <t>0.00343 (0.00031)</t>
  </si>
  <si>
    <t>ytbD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</si>
  <si>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</si>
  <si>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0.11549 (0.06232)</t>
  </si>
  <si>
    <t>0.05530 (0.02880)</t>
  </si>
  <si>
    <t>0.01049 (0.00046)</t>
  </si>
  <si>
    <t>0.03447 (0.00178)</t>
  </si>
  <si>
    <t>0.00246 (0.00013)</t>
  </si>
  <si>
    <t>ytbE</t>
  </si>
  <si>
    <t>promiscuous aldo/keto reductase</t>
  </si>
  <si>
    <t>0.06745 (0.05415)</t>
  </si>
  <si>
    <t>0.01299 (0.00077)</t>
  </si>
  <si>
    <t>0.05558 (0.00358)</t>
  </si>
  <si>
    <t>0.00153 (0.00019)</t>
  </si>
  <si>
    <t>coaE</t>
  </si>
  <si>
    <t>dephosphocoenzyme A kinase</t>
  </si>
  <si>
    <t>0.37813 (0.25243)</t>
  </si>
  <si>
    <t>0.15753 (0.08985)</t>
  </si>
  <si>
    <t>0.01274 (0.00094)</t>
  </si>
  <si>
    <t>0.03360 (0.00334)</t>
  </si>
  <si>
    <t>0.00712 (0.00044)</t>
  </si>
  <si>
    <t>spcF</t>
  </si>
  <si>
    <t>membrane calmodulin-like protein essential forstage III sporulation</t>
  </si>
  <si>
    <t>0.03562 (0.05028)</t>
  </si>
  <si>
    <t>0.05174 (0.04366)</t>
  </si>
  <si>
    <t>0.02547 (0.00164)</t>
  </si>
  <si>
    <t>0.10329 (0.00708)</t>
  </si>
  <si>
    <t>0.00428 (0.00036)</t>
  </si>
  <si>
    <t>mutM</t>
  </si>
  <si>
    <t>formamidopyrimidine-DNA glycosylase;5-hydroxymethyl-uracil DNA-glycosylase</t>
  </si>
  <si>
    <t>0.10312 (0.13333)</t>
  </si>
  <si>
    <t>0.08552 (0.04643)</t>
  </si>
  <si>
    <t>0.01071 (0.00068)</t>
  </si>
  <si>
    <t>0.03602 (0.00260)</t>
  </si>
  <si>
    <t>0.00345 (0.00023)</t>
  </si>
  <si>
    <t>polA</t>
  </si>
  <si>
    <t>DNA polymerase I</t>
  </si>
  <si>
    <t>0.05633 (0.03708)</t>
  </si>
  <si>
    <t>0.05074 (0.05330)</t>
  </si>
  <si>
    <t>0.00635 (0.00025)</t>
  </si>
  <si>
    <t>0.02323 (0.00092)</t>
  </si>
  <si>
    <t>0.00152 (0.00009)</t>
  </si>
  <si>
    <t>phoR</t>
  </si>
  <si>
    <t>0.10845 (0.03273)</t>
  </si>
  <si>
    <t>0.10550 (0.03653)</t>
  </si>
  <si>
    <t>0.01139 (0.00032)</t>
  </si>
  <si>
    <t>0.03832 (0.00112)</t>
  </si>
  <si>
    <t>0.00361 (0.00017)</t>
  </si>
  <si>
    <t>phoP</t>
  </si>
  <si>
    <t>0.02051 (0.03271)</t>
  </si>
  <si>
    <t>0.02472 (0.02743)</t>
  </si>
  <si>
    <t>0.02041 (0.00151)</t>
  </si>
  <si>
    <t>0.09320 (0.00729)</t>
  </si>
  <si>
    <t>0.00251 (0.00018)</t>
  </si>
  <si>
    <t>mdh</t>
  </si>
  <si>
    <t>malate dehydrogenase (NAD-dependent)</t>
  </si>
  <si>
    <t>0.12344 (0.05832)</t>
  </si>
  <si>
    <t>0.00726 (0.02455)</t>
  </si>
  <si>
    <t>0.01707 (0.00097)</t>
  </si>
  <si>
    <t>0.06693 (0.00410)</t>
  </si>
  <si>
    <t>0.00192 (0.00011)</t>
  </si>
  <si>
    <t>icd</t>
  </si>
  <si>
    <t>isocitrate dehydrogenase</t>
  </si>
  <si>
    <t>0.01240 (0.02569)</t>
  </si>
  <si>
    <t>0.02377 (0.02927)</t>
  </si>
  <si>
    <t>0.01744 (0.00102)</t>
  </si>
  <si>
    <t>0.07450 (0.00446)</t>
  </si>
  <si>
    <t>citZ</t>
  </si>
  <si>
    <t>citrate synthase II</t>
  </si>
  <si>
    <t>0.06895 (0.05979)</t>
  </si>
  <si>
    <t>0.04633 (0.02736)</t>
  </si>
  <si>
    <t>0.02392 (0.00172)</t>
  </si>
  <si>
    <t>0.09735 (0.00732)</t>
  </si>
  <si>
    <t>0.00450 (0.00030)</t>
  </si>
  <si>
    <t>ytwI</t>
  </si>
  <si>
    <t>0.05413 (0.06463)</t>
  </si>
  <si>
    <t>0.11809 (0.09642)</t>
  </si>
  <si>
    <t>0.01054 (0.00052)</t>
  </si>
  <si>
    <t>0.03096 (0.00189)</t>
  </si>
  <si>
    <t>0.00356 (0.00037)</t>
  </si>
  <si>
    <t>ytvI</t>
  </si>
  <si>
    <t>putative sporulation-related permease</t>
  </si>
  <si>
    <t>0.03407 (0.05215)</t>
  </si>
  <si>
    <t>0.04904 (0.06713)</t>
  </si>
  <si>
    <t>0.00834 (0.00042)</t>
  </si>
  <si>
    <t>0.03067 (0.00153)</t>
  </si>
  <si>
    <t>0.00090 (0.00011)</t>
  </si>
  <si>
    <t>ytzA</t>
  </si>
  <si>
    <t>0.22371 (0.10865)</t>
  </si>
  <si>
    <t>0.02576 (0.05793)</t>
  </si>
  <si>
    <t>0.01594 (0.00085)</t>
  </si>
  <si>
    <t>0.05534 (0.00346)</t>
  </si>
  <si>
    <t>0.00428 (0.00031)</t>
  </si>
  <si>
    <t>pyk</t>
  </si>
  <si>
    <t>pyruvate kinase</t>
  </si>
  <si>
    <t>0.00655 (0.01931)</t>
  </si>
  <si>
    <t>0.02054 (0.02598)</t>
  </si>
  <si>
    <t>0.00999 (0.00042)</t>
  </si>
  <si>
    <t>0.04135 (0.00190)</t>
  </si>
  <si>
    <t>pfkA</t>
  </si>
  <si>
    <t>6-phosphofructokinase</t>
  </si>
  <si>
    <t>0.01260 (0.04465)</t>
  </si>
  <si>
    <t>0.01214 (0.02004)</t>
  </si>
  <si>
    <t>0.02068 (0.00113)</t>
  </si>
  <si>
    <t>0.08861 (0.00507)</t>
  </si>
  <si>
    <t>0.00135 (0.00009)</t>
  </si>
  <si>
    <t>accA</t>
  </si>
  <si>
    <t>acetyl-CoA carboxylase (carboxyltransferasealpha subunit)</t>
  </si>
  <si>
    <t>0.04080 (0.04759)</t>
  </si>
  <si>
    <t>0.02170 (0.03248)</t>
  </si>
  <si>
    <t>0.02166 (0.00112)</t>
  </si>
  <si>
    <t>0.09559 (0.00520)</t>
  </si>
  <si>
    <t>0.00229 (0.00016)</t>
  </si>
  <si>
    <t>accD</t>
  </si>
  <si>
    <t>acetyl-CoA carboxylase (carboxyltransferase betasubunit)</t>
  </si>
  <si>
    <t>0.07986 (0.12836)</t>
  </si>
  <si>
    <t>0.02659 (0.02214)</t>
  </si>
  <si>
    <t>0.01817 (0.00131)</t>
  </si>
  <si>
    <t>0.07865 (0.00588)</t>
  </si>
  <si>
    <t>0.00341 (0.00032)</t>
  </si>
  <si>
    <t>maeB</t>
  </si>
  <si>
    <t>NADP-dependent malic enzyme (conversion ofmalate into pyruvate, anabolic)</t>
  </si>
  <si>
    <t>0.02275 (0.02893)</t>
  </si>
  <si>
    <t>0.02566 (0.06452)</t>
  </si>
  <si>
    <t>0.00770 (0.00045)</t>
  </si>
  <si>
    <t>0.03109 (0.00192)</t>
  </si>
  <si>
    <t>0.00074 (0.00007)</t>
  </si>
  <si>
    <t>dnaEC</t>
  </si>
  <si>
    <t>DNA polymerase III (alpha subunit), DnaE3</t>
  </si>
  <si>
    <t>0.11113 (0.04653)</t>
  </si>
  <si>
    <t>0.02469 (0.02797)</t>
  </si>
  <si>
    <t>0.00801 (0.00025)</t>
  </si>
  <si>
    <t>0.02851 (0.00103)</t>
  </si>
  <si>
    <t>0.00198 (0.00009)</t>
  </si>
  <si>
    <t>ytrH</t>
  </si>
  <si>
    <t>membrane protein involved in a sporulationprocess</t>
  </si>
  <si>
    <t>0.01885 (0.05117)</t>
  </si>
  <si>
    <t>0.01938 (0.00186)</t>
  </si>
  <si>
    <t>0.08428 (0.00830)</t>
  </si>
  <si>
    <t>0.00111 (0.00020)</t>
  </si>
  <si>
    <t>ytrI</t>
  </si>
  <si>
    <t>protein involved in sporulation</t>
  </si>
  <si>
    <t>0.02781 (0.04532)</t>
  </si>
  <si>
    <t>0.02113 (0.00184)</t>
  </si>
  <si>
    <t>0.10852 (0.01008)</t>
  </si>
  <si>
    <t>0.00244 (0.00021)</t>
  </si>
  <si>
    <t>ytzJ</t>
  </si>
  <si>
    <t>putative sporulation-related conserved protein</t>
  </si>
  <si>
    <t>0.06873 (0.04860)</t>
  </si>
  <si>
    <t>0.02011 (0.00341)</t>
  </si>
  <si>
    <t>0.08235 (0.01417)</t>
  </si>
  <si>
    <t>0.00409 (0.00097)</t>
  </si>
  <si>
    <t>nrnA</t>
  </si>
  <si>
    <t>nanoRNase (oligoribonuclease) (3'-&gt;5'shortsubstrates, 5'-&gt;3' long substrates), 3',5'-bisphosphatenucleotidase</t>
  </si>
  <si>
    <t>0.04221 (0.06851)</t>
  </si>
  <si>
    <t>0.02239 (0.03982)</t>
  </si>
  <si>
    <t>0.01732 (0.00111)</t>
  </si>
  <si>
    <t>0.07312 (0.00472)</t>
  </si>
  <si>
    <t>0.00185 (0.00018)</t>
  </si>
  <si>
    <t>ytpI</t>
  </si>
  <si>
    <t>0.21263 (0.20603)</t>
  </si>
  <si>
    <t>0.18431 (0.20423)</t>
  </si>
  <si>
    <t>0.02706 (0.00331)</t>
  </si>
  <si>
    <t>0.07441 (0.01106)</t>
  </si>
  <si>
    <t>0.01385 (0.00179)</t>
  </si>
  <si>
    <t>ytoI</t>
  </si>
  <si>
    <t>0.02617 (0.02502)</t>
  </si>
  <si>
    <t>0.02640 (0.07405)</t>
  </si>
  <si>
    <t>0.00722 (0.00035)</t>
  </si>
  <si>
    <t>0.03023 (0.00148)</t>
  </si>
  <si>
    <t>0.00073 (0.00009)</t>
  </si>
  <si>
    <t>ytnM</t>
  </si>
  <si>
    <t>0.10223 (0.11096)</t>
  </si>
  <si>
    <t>0.16513 (0.11717)</t>
  </si>
  <si>
    <t>0.00968 (0.00057)</t>
  </si>
  <si>
    <t>0.02744 (0.00210)</t>
  </si>
  <si>
    <t>0.00397 (0.00027)</t>
  </si>
  <si>
    <t>sndA</t>
  </si>
  <si>
    <t>S-alkyl-N-acetyl-metabolite deacetylase</t>
  </si>
  <si>
    <t>0.30465 (0.15713)</t>
  </si>
  <si>
    <t>0.21733 (0.12429)</t>
  </si>
  <si>
    <t>0.01157 (0.00073)</t>
  </si>
  <si>
    <t>0.02652 (0.00188)</t>
  </si>
  <si>
    <t>0.00721 (0.00044)</t>
  </si>
  <si>
    <t>ribR</t>
  </si>
  <si>
    <t>FMN-riboswitch-binding activator of rib genes</t>
  </si>
  <si>
    <t>0.13385 (0.02522)</t>
  </si>
  <si>
    <t>0.14139 (0.06685)</t>
  </si>
  <si>
    <t>0.01591 (0.00071)</t>
  </si>
  <si>
    <t>0.04680 (0.00207)</t>
  </si>
  <si>
    <t>0.00759 (0.00050)</t>
  </si>
  <si>
    <t>cmoJ</t>
  </si>
  <si>
    <t>monooxygenase (S-alkyl substrates)</t>
  </si>
  <si>
    <t>0.08905 (0.04867)</t>
  </si>
  <si>
    <t>0.08285 (0.06516)</t>
  </si>
  <si>
    <t>0.01443 (0.00081)</t>
  </si>
  <si>
    <t>0.05123 (0.00322)</t>
  </si>
  <si>
    <t>0.00405 (0.00033)</t>
  </si>
  <si>
    <t>cmoI</t>
  </si>
  <si>
    <t>redoxin</t>
  </si>
  <si>
    <t>0.18601 (0.10840)</t>
  </si>
  <si>
    <t>0.02174 (0.00342)</t>
  </si>
  <si>
    <t>0.06305 (0.01561)</t>
  </si>
  <si>
    <t>0.01160 (0.00095)</t>
  </si>
  <si>
    <t>cmoO</t>
  </si>
  <si>
    <t>0.34214 (0.40284)</t>
  </si>
  <si>
    <t>0.20865 (0.07601)</t>
  </si>
  <si>
    <t>0.01062 (0.00078)</t>
  </si>
  <si>
    <t>0.02543 (0.00212)</t>
  </si>
  <si>
    <t>0.00615 (0.00047)</t>
  </si>
  <si>
    <t>tcyN</t>
  </si>
  <si>
    <t>sulfur-containing amino-acid ABC transporter(ATP-binding protein)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</si>
  <si>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</si>
  <si>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0.08159 (0.06667)</t>
  </si>
  <si>
    <t>0.04757 (0.09941)</t>
  </si>
  <si>
    <t>0.00630 (0.00046)</t>
  </si>
  <si>
    <t>0.02329 (0.00196)</t>
  </si>
  <si>
    <t>0.00154 (0.00020)</t>
  </si>
  <si>
    <t>tcyM</t>
  </si>
  <si>
    <t>sulfur-containing amino acid ABC transporter(permease)</t>
  </si>
  <si>
    <t>0.45565 (0.27595)</t>
  </si>
  <si>
    <t>0.18558 (0.08322)</t>
  </si>
  <si>
    <t>0.00802 (0.00042)</t>
  </si>
  <si>
    <t>0.01893 (0.00122)</t>
  </si>
  <si>
    <t>0.00457 (0.00032)</t>
  </si>
  <si>
    <t>tcyL</t>
  </si>
  <si>
    <t>0.12678 (0.08718)</t>
  </si>
  <si>
    <t>0.12011 (0.27671)</t>
  </si>
  <si>
    <t>0.01146 (0.00060)</t>
  </si>
  <si>
    <t>0.03700 (0.00222)</t>
  </si>
  <si>
    <t>0.00363 (0.00037)</t>
  </si>
  <si>
    <t>tcyK</t>
  </si>
  <si>
    <t>sulfur-containing amino acid ABC transporterbinding lipoprotein</t>
  </si>
  <si>
    <t>0.15160 (0.14260)</t>
  </si>
  <si>
    <t>0.41857 (0.12083)</t>
  </si>
  <si>
    <t>0.00999 (0.00094)</t>
  </si>
  <si>
    <t>0.02842 (0.00444)</t>
  </si>
  <si>
    <t>0.00519 (0.00025)</t>
  </si>
  <si>
    <t>tcyJ</t>
  </si>
  <si>
    <t>sulfur containing amino acid ABC transporterbinding lipoprotein</t>
  </si>
  <si>
    <t>0.34963 (0.11073)</t>
  </si>
  <si>
    <t>0.12417 (0.12784)</t>
  </si>
  <si>
    <t>0.00862 (0.00051)</t>
  </si>
  <si>
    <t>0.02015 (0.00119)</t>
  </si>
  <si>
    <t>0.00549 (0.00051)</t>
  </si>
  <si>
    <t>snaA</t>
  </si>
  <si>
    <t>N-acetyltransferase acting on sulfur compounds</t>
  </si>
  <si>
    <t>0.24129 (0.27309)</t>
  </si>
  <si>
    <t>0.22578 (0.10356)</t>
  </si>
  <si>
    <t>0.00890 (0.00075)</t>
  </si>
  <si>
    <t>0.02303 (0.00163)</t>
  </si>
  <si>
    <t>0.00477 (0.00056)</t>
  </si>
  <si>
    <t>ascR</t>
  </si>
  <si>
    <t>transcriptional regulator of operon snaA-ytnMdegrading cysteine-containing compounds(AscR-N-acetylcysteine)</t>
  </si>
  <si>
    <t>0.10705 (0.02854)</t>
  </si>
  <si>
    <t>0.21177 (0.11954)</t>
  </si>
  <si>
    <t>0.01130 (0.00086)</t>
  </si>
  <si>
    <t>0.03211 (0.00248)</t>
  </si>
  <si>
    <t>0.00566 (0.00050)</t>
  </si>
  <si>
    <t>ytkL</t>
  </si>
  <si>
    <t>0.04718 (0.09236)</t>
  </si>
  <si>
    <t>0.01468 (0.00155)</t>
  </si>
  <si>
    <t>0.06348 (0.00733)</t>
  </si>
  <si>
    <t>0.00191 (0.00022)</t>
  </si>
  <si>
    <t>ytkK</t>
  </si>
  <si>
    <t>putative 3-oxoacyl-acyl-carrier proteinreductase</t>
  </si>
  <si>
    <t>0.04830 (0.04887)</t>
  </si>
  <si>
    <t>0.02882 (0.02808)</t>
  </si>
  <si>
    <t>0.02157 (0.00131)</t>
  </si>
  <si>
    <t>0.09195 (0.00610)</t>
  </si>
  <si>
    <t>0.00279 (0.00016)</t>
  </si>
  <si>
    <t>ytzD</t>
  </si>
  <si>
    <t>ref , GCA_000146565.1_ASM14656v1_genomic , GCA_000186745.1_ASM18674v1_genomic , GCA_000209795.2_ASM20979v2_genomic , GCA_000227465.1_ASM22746v1_genomic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</si>
  <si>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0.77917 (0.84878)</t>
  </si>
  <si>
    <t>0.38677 (0.22043)</t>
  </si>
  <si>
    <t>0.02588 (0.00224)</t>
  </si>
  <si>
    <t>0.04721 (0.00506)</t>
  </si>
  <si>
    <t>0.02132 (0.00195)</t>
  </si>
  <si>
    <t>argH</t>
  </si>
  <si>
    <t>argininosuccinate lyase</t>
  </si>
  <si>
    <t>0.04907 (0.09857)</t>
  </si>
  <si>
    <t>0.06277 (0.01598)</t>
  </si>
  <si>
    <t>0.01923 (0.00124)</t>
  </si>
  <si>
    <t>0.07753 (0.00545)</t>
  </si>
  <si>
    <t>0.00469 (0.00034)</t>
  </si>
  <si>
    <t>argG</t>
  </si>
  <si>
    <t>argininosuccinate synthase</t>
  </si>
  <si>
    <t>0.01726 (0.01594)</t>
  </si>
  <si>
    <t>0.01287 (0.03249)</t>
  </si>
  <si>
    <t>0.02592 (0.00128)</t>
  </si>
  <si>
    <t>0.11939 (0.00625)</t>
  </si>
  <si>
    <t>moaB</t>
  </si>
  <si>
    <t>molybdopterin GTP-binding precursor Zbiosynthesis component</t>
  </si>
  <si>
    <t>0.02808 (0.04400)</t>
  </si>
  <si>
    <t>0.07416 (0.06506)</t>
  </si>
  <si>
    <t>0.01518 (0.00064)</t>
  </si>
  <si>
    <t>0.05916 (0.00303)</t>
  </si>
  <si>
    <t>0.00282 (0.00024)</t>
  </si>
  <si>
    <t>ackA</t>
  </si>
  <si>
    <t>acetate kinase</t>
  </si>
  <si>
    <t>0.00804 (0.02985)</t>
  </si>
  <si>
    <t>0.11292 (0.00564)</t>
  </si>
  <si>
    <t>0.00012 (0.00003)</t>
  </si>
  <si>
    <t>BSU_29479</t>
  </si>
  <si>
    <t>hypothetical proteinHKIQREKPQIVSVHQYKTYSECVgene            complement(3016646..3017635)CDS             complement(3016646..3017635)computational evidences; Product type e: enzyme</t>
  </si>
  <si>
    <t>0.70522 (1.17537)</t>
  </si>
  <si>
    <t>0.00917 (0.00093)</t>
  </si>
  <si>
    <t>0.00560 (0.00277)</t>
  </si>
  <si>
    <t>0.01013 (0.00138)</t>
  </si>
  <si>
    <t>tpx</t>
  </si>
  <si>
    <t>thiol peroxidase (lipid hydroperoxidereductase)</t>
  </si>
  <si>
    <t>0.08813 (0.09287)</t>
  </si>
  <si>
    <t>0.01894 (0.00173)</t>
  </si>
  <si>
    <t>0.08371 (0.00827)</t>
  </si>
  <si>
    <t>0.00095 (0.00017)</t>
  </si>
  <si>
    <t>gerW</t>
  </si>
  <si>
    <t>germination-associated protein</t>
  </si>
  <si>
    <t>0.08158 (0.05543)</t>
  </si>
  <si>
    <t>0.04984 (0.05543)</t>
  </si>
  <si>
    <t>0.01960 (0.00142)</t>
  </si>
  <si>
    <t>0.08578 (0.00729)</t>
  </si>
  <si>
    <t>0.00443 (0.00029)</t>
  </si>
  <si>
    <t>ytfI</t>
  </si>
  <si>
    <t>conserved sporulation-related protein</t>
  </si>
  <si>
    <t>0.17656 (0.13928)</t>
  </si>
  <si>
    <t>0.05912 (0.12550)</t>
  </si>
  <si>
    <t>0.00873 (0.00045)</t>
  </si>
  <si>
    <t>0.02658 (0.00154)</t>
  </si>
  <si>
    <t>0.00362 (0.00040)</t>
  </si>
  <si>
    <t>yteJ</t>
  </si>
  <si>
    <t>0.15272 (0.09594)</t>
  </si>
  <si>
    <t>0.05116 (0.11144)</t>
  </si>
  <si>
    <t>0.01023 (0.00043)</t>
  </si>
  <si>
    <t>0.03535 (0.00210)</t>
  </si>
  <si>
    <t>0.00281 (0.00019)</t>
  </si>
  <si>
    <t>sppA</t>
  </si>
  <si>
    <t>signal peptide peptidase</t>
  </si>
  <si>
    <t>0.17902 (0.09742)</t>
  </si>
  <si>
    <t>0.17920 (0.10111)</t>
  </si>
  <si>
    <t>0.02493 (0.00165)</t>
  </si>
  <si>
    <t>0.00421 (0.00021)</t>
  </si>
  <si>
    <t>ppnKB</t>
  </si>
  <si>
    <t>inorganic polyphosphate/ATP-NAD kinase</t>
  </si>
  <si>
    <t>0.04724 (0.03703)</t>
  </si>
  <si>
    <t>0.02475 (0.02010)</t>
  </si>
  <si>
    <t>0.02432 (0.00116)</t>
  </si>
  <si>
    <t>0.10592 (0.00534)</t>
  </si>
  <si>
    <t>0.00363 (0.00024)</t>
  </si>
  <si>
    <t>ytcJ</t>
  </si>
  <si>
    <t>putative N-substituted formamide deformylase,dihydropyrimidinase or isoaspartyl peptidase</t>
  </si>
  <si>
    <t>0.22656 (0.04350)</t>
  </si>
  <si>
    <t>0.06908 (0.02582)</t>
  </si>
  <si>
    <t>0.01694 (0.00053)</t>
  </si>
  <si>
    <t>0.05463 (0.00221)</t>
  </si>
  <si>
    <t>0.00625 (0.00019)</t>
  </si>
  <si>
    <t>ytcI</t>
  </si>
  <si>
    <t>putative acyl-coenzyme A synthetase</t>
  </si>
  <si>
    <t>0.08008 (0.02207)</t>
  </si>
  <si>
    <t>0.07297 (0.04370)</t>
  </si>
  <si>
    <t>0.01063 (0.00027)</t>
  </si>
  <si>
    <t>0.03777 (0.00116)</t>
  </si>
  <si>
    <t>0.00298 (0.00012)</t>
  </si>
  <si>
    <t>sspA</t>
  </si>
  <si>
    <t>small acid-soluble spore protein (alpha-typeSASP)</t>
  </si>
  <si>
    <t>0.95558 (0.04289)</t>
  </si>
  <si>
    <t>0.19966 (0.27115)</t>
  </si>
  <si>
    <t>0.02899 (0.00925)</t>
  </si>
  <si>
    <t>0.08042 (0.02741)</t>
  </si>
  <si>
    <t>0.01595 (0.00495)</t>
  </si>
  <si>
    <t>trmG</t>
  </si>
  <si>
    <t>persulfide ATP pyrophosphatase involved in tRNAmodification</t>
  </si>
  <si>
    <t>0.05394 (0.02582)</t>
  </si>
  <si>
    <t>0.03795 (0.00152)</t>
  </si>
  <si>
    <t>0.00115 (0.00010)</t>
  </si>
  <si>
    <t>iscSB</t>
  </si>
  <si>
    <t>cysteine desulfurase</t>
  </si>
  <si>
    <t>0.12726 (0.02575)</t>
  </si>
  <si>
    <t>0.11017 (0.04365)</t>
  </si>
  <si>
    <t>0.01350 (0.00047)</t>
  </si>
  <si>
    <t>0.04339 (0.00156)</t>
  </si>
  <si>
    <t>0.00498 (0.00023)</t>
  </si>
  <si>
    <t>braB</t>
  </si>
  <si>
    <t>branched-chain amino acid-Na+ symporter</t>
  </si>
  <si>
    <t>0.04089 (0.02952)</t>
  </si>
  <si>
    <t>0.00660 (0.00025)</t>
  </si>
  <si>
    <t>0.02444 (0.00091)</t>
  </si>
  <si>
    <t>0.00051 (0.00006)</t>
  </si>
  <si>
    <t>ezrA</t>
  </si>
  <si>
    <t>negative regulator of FtsZ ring formation</t>
  </si>
  <si>
    <t>0.04005 (0.03477)</t>
  </si>
  <si>
    <t>0.04309 (0.03710)</t>
  </si>
  <si>
    <t>0.04215 (0.00249)</t>
  </si>
  <si>
    <t>0.00199 (0.00013)</t>
  </si>
  <si>
    <t>hisK</t>
  </si>
  <si>
    <t>histidinol phosphate phosphatase</t>
  </si>
  <si>
    <t>0.13513 (0.09990)</t>
  </si>
  <si>
    <t>0.03983 (0.07527)</t>
  </si>
  <si>
    <t>0.01035 (0.00065)</t>
  </si>
  <si>
    <t>0.03414 (0.00189)</t>
  </si>
  <si>
    <t>0.00346 (0.00037)</t>
  </si>
  <si>
    <t>refZ</t>
  </si>
  <si>
    <t>regulator of FtsZ defining the chromosome regioncaptured in the forespore</t>
  </si>
  <si>
    <t>0.11738 (0.07266)</t>
  </si>
  <si>
    <t>0.03955 (0.04502)</t>
  </si>
  <si>
    <t>0.02200 (0.00157)</t>
  </si>
  <si>
    <t>0.09108 (0.00716)</t>
  </si>
  <si>
    <t>0.00454 (0.00035)</t>
  </si>
  <si>
    <t>msrC</t>
  </si>
  <si>
    <t>free methionine-(R)-sulfoxide reductase</t>
  </si>
  <si>
    <t>0.06658 (0.09647)</t>
  </si>
  <si>
    <t>0.06012 (0.10345)</t>
  </si>
  <si>
    <t>0.00933 (0.00061)</t>
  </si>
  <si>
    <t>0.03396 (0.00263)</t>
  </si>
  <si>
    <t>0.00215 (0.00026)</t>
  </si>
  <si>
    <t>dgcP</t>
  </si>
  <si>
    <t>0.17732 (0.04924)</t>
  </si>
  <si>
    <t>0.06099 (0.03640)</t>
  </si>
  <si>
    <t>0.01280 (0.00044)</t>
  </si>
  <si>
    <t>0.04048 (0.00143)</t>
  </si>
  <si>
    <t>0.00497 (0.00025)</t>
  </si>
  <si>
    <t>rpsD</t>
  </si>
  <si>
    <t>ribosomal protein S4 (BS4)</t>
  </si>
  <si>
    <t>0.07052 (0.07288)</t>
  </si>
  <si>
    <t>0.00942 (0.00060)</t>
  </si>
  <si>
    <t>0.03428 (0.00219)</t>
  </si>
  <si>
    <t>0.00174 (0.00017)</t>
  </si>
  <si>
    <t>tyrS</t>
  </si>
  <si>
    <t>tyrosyl-tRNA synthetase</t>
  </si>
  <si>
    <t>0.03773 (0.01691)</t>
  </si>
  <si>
    <t>0.02547 (0.03209)</t>
  </si>
  <si>
    <t>0.01267 (0.00037)</t>
  </si>
  <si>
    <t>0.05113 (0.00164)</t>
  </si>
  <si>
    <t>0.00187 (0.00012)</t>
  </si>
  <si>
    <t>acsA</t>
  </si>
  <si>
    <t>acetyl-CoA synthetase</t>
  </si>
  <si>
    <t>0.03315 (0.02775)</t>
  </si>
  <si>
    <t>0.02052 (0.02527)</t>
  </si>
  <si>
    <t>0.00977 (0.00041)</t>
  </si>
  <si>
    <t>0.04063 (0.00182)</t>
  </si>
  <si>
    <t>acuA</t>
  </si>
  <si>
    <t>protein acetyltransferase (acetylates AcsA)</t>
  </si>
  <si>
    <t>0.03289 (0.09989)</t>
  </si>
  <si>
    <t>0.08049 (0.07984)</t>
  </si>
  <si>
    <t>0.02106 (0.00202)</t>
  </si>
  <si>
    <t>0.08170 (0.00855)</t>
  </si>
  <si>
    <t>0.00593 (0.00051)</t>
  </si>
  <si>
    <t>acuB</t>
  </si>
  <si>
    <t>component of the acetyl-coenzyme A synthetaseregulation pathway</t>
  </si>
  <si>
    <t>0.10917 (0.07395)</t>
  </si>
  <si>
    <t>0.06635 (0.15920)</t>
  </si>
  <si>
    <t>0.02174 (0.00144)</t>
  </si>
  <si>
    <t>0.08424 (0.00567)</t>
  </si>
  <si>
    <t>0.00649 (0.00053)</t>
  </si>
  <si>
    <t>acuC</t>
  </si>
  <si>
    <t>protein deacetylase (regulates AcsA activity)</t>
  </si>
  <si>
    <t>0.10871 (0.11337)</t>
  </si>
  <si>
    <t>0.02604 (0.08157)</t>
  </si>
  <si>
    <t>0.01504 (0.00074)</t>
  </si>
  <si>
    <t>0.05603 (0.00270)</t>
  </si>
  <si>
    <t>0.00318 (0.00019)</t>
  </si>
  <si>
    <t>motS</t>
  </si>
  <si>
    <t>sodium channel stator-force generatorpeptidoglycan binding subunit of flagellar rotation</t>
  </si>
  <si>
    <t>0.04681 (0.03577)</t>
  </si>
  <si>
    <t>0.01296 (0.00046)</t>
  </si>
  <si>
    <t>0.05537 (0.00176)</t>
  </si>
  <si>
    <t>0.00148 (0.00019)</t>
  </si>
  <si>
    <t>motP</t>
  </si>
  <si>
    <t>sodium channel stator-force generator subunit offlagellar rotation</t>
  </si>
  <si>
    <t>0.08452 (0.04851)</t>
  </si>
  <si>
    <t>0.00853 (0.00038)</t>
  </si>
  <si>
    <t>0.03371 (0.00168)</t>
  </si>
  <si>
    <t>0.00128 (0.00016)</t>
  </si>
  <si>
    <t>ccpA</t>
  </si>
  <si>
    <t>transcriptional regulator of cataboliterepression (Lacl family)</t>
  </si>
  <si>
    <t>0.03286 (0.02378)</t>
  </si>
  <si>
    <t>0.03645 (0.03518)</t>
  </si>
  <si>
    <t>0.02605 (0.00137)</t>
  </si>
  <si>
    <t>0.10884 (0.00573)</t>
  </si>
  <si>
    <t>0.00376 (0.00029)</t>
  </si>
  <si>
    <t>aroX</t>
  </si>
  <si>
    <t>bifunctional chorismate mutase type II-isozyme 3(regulatory domain); 3-deoxy-D-arabino-heptulosonate7-phosphate synthase</t>
  </si>
  <si>
    <t>0.00742 (0.02688)</t>
  </si>
  <si>
    <t>0.02182 (0.00132)</t>
  </si>
  <si>
    <t>0.10739 (0.00677)</t>
  </si>
  <si>
    <t>0.00013 (0.00003)</t>
  </si>
  <si>
    <t>brxJ</t>
  </si>
  <si>
    <t>bacilliredoxin involved in debacillithiolation</t>
  </si>
  <si>
    <t>0.32517 (0.28488)</t>
  </si>
  <si>
    <t>0.77795 (1.29658)</t>
  </si>
  <si>
    <t>0.01055 (0.00085)</t>
  </si>
  <si>
    <t>0.01981 (0.00207)</t>
  </si>
  <si>
    <t>0.00828 (0.00080)</t>
  </si>
  <si>
    <t>ytxH</t>
  </si>
  <si>
    <t>0.07534 (0.06470)</t>
  </si>
  <si>
    <t>0.01291 (0.00059)</t>
  </si>
  <si>
    <t>0.05674 (0.00258)</t>
  </si>
  <si>
    <t>0.00187 (0.00029)</t>
  </si>
  <si>
    <t>ytxG</t>
  </si>
  <si>
    <t>general stress protein</t>
  </si>
  <si>
    <t>0.08835 (0.07102)</t>
  </si>
  <si>
    <t>0.04243 (0.03891)</t>
  </si>
  <si>
    <t>0.02326 (0.00236)</t>
  </si>
  <si>
    <t>0.09658 (0.00994)</t>
  </si>
  <si>
    <t>0.00433 (0.00053)</t>
  </si>
  <si>
    <t>murC</t>
  </si>
  <si>
    <t>UDP-N-acetyl muramate-alanine ligase</t>
  </si>
  <si>
    <t>0.02405 (0.05818)</t>
  </si>
  <si>
    <t>0.01237 (0.03399)</t>
  </si>
  <si>
    <t>0.01388 (0.00148)</t>
  </si>
  <si>
    <t>0.06326 (0.00715)</t>
  </si>
  <si>
    <t>0.00126 (0.00018)</t>
  </si>
  <si>
    <t>sftA</t>
  </si>
  <si>
    <t>DNA translocase</t>
  </si>
  <si>
    <t>0.20703 (0.03526)</t>
  </si>
  <si>
    <t>0.22650 (0.06056)</t>
  </si>
  <si>
    <t>0.01570 (0.00051)</t>
  </si>
  <si>
    <t>0.03995 (0.00163)</t>
  </si>
  <si>
    <t>0.00906 (0.00029)</t>
  </si>
  <si>
    <t>ytpR</t>
  </si>
  <si>
    <t>putative tRNA binding enzyme</t>
  </si>
  <si>
    <t>0.05874 (0.06634)</t>
  </si>
  <si>
    <t>0.03997 (0.12518)</t>
  </si>
  <si>
    <t>0.01654 (0.00152)</t>
  </si>
  <si>
    <t>0.06752 (0.00655)</t>
  </si>
  <si>
    <t>0.00296 (0.00032)</t>
  </si>
  <si>
    <t>ytpQ</t>
  </si>
  <si>
    <t>conserved protein of unknown function (ironhomeostasis)</t>
  </si>
  <si>
    <t>0.05384 (0.09859)</t>
  </si>
  <si>
    <t>0.01626 (0.06175)</t>
  </si>
  <si>
    <t>0.02443 (0.00144)</t>
  </si>
  <si>
    <t>0.10777 (0.00643)</t>
  </si>
  <si>
    <t>0.00301 (0.00027)</t>
  </si>
  <si>
    <t>ytpP</t>
  </si>
  <si>
    <t>putative thiol-disulfide oxidoreductase withthioredoxin domain</t>
  </si>
  <si>
    <t>0.09068 (0.05510)</t>
  </si>
  <si>
    <t>0.01810 (0.02784)</t>
  </si>
  <si>
    <t>0.02915 (0.00276)</t>
  </si>
  <si>
    <t>0.14193 (0.01526)</t>
  </si>
  <si>
    <t>0.00523 (0.00046)</t>
  </si>
  <si>
    <t>BSU_29845</t>
  </si>
  <si>
    <t>hypothetical proteingene            3054746..3055192CDS             3054746..3055192computational evidences; Product type e: enzyme</t>
  </si>
  <si>
    <t>0.95241 (0.04583)</t>
  </si>
  <si>
    <t>0.66231 (1.10386)</t>
  </si>
  <si>
    <t>0.02423 (0.00236)</t>
  </si>
  <si>
    <t>0.02104 (0.00470)</t>
  </si>
  <si>
    <t>0.02564 (0.00274)</t>
  </si>
  <si>
    <t>ytoP</t>
  </si>
  <si>
    <t>putative modified amino acid aminopeptidase</t>
  </si>
  <si>
    <t>0.02746 (0.03649)</t>
  </si>
  <si>
    <t>0.07194 (0.05129)</t>
  </si>
  <si>
    <t>0.00644 (0.00052)</t>
  </si>
  <si>
    <t>0.02435 (0.00223)</t>
  </si>
  <si>
    <t>0.00145 (0.00011)</t>
  </si>
  <si>
    <t>ytzB</t>
  </si>
  <si>
    <t>0.04620 (0.13333)</t>
  </si>
  <si>
    <t>0.07092 (0.09244)</t>
  </si>
  <si>
    <t>0.02135 (0.00176)</t>
  </si>
  <si>
    <t>0.07714 (0.00705)</t>
  </si>
  <si>
    <t>0.00531 (0.00049)</t>
  </si>
  <si>
    <t>maeC</t>
  </si>
  <si>
    <t>NAD-dependent malic enzyme (conversion of malateinto pyruvate)</t>
  </si>
  <si>
    <t>0.05063 (0.02647)</t>
  </si>
  <si>
    <t>0.00900 (0.02687)</t>
  </si>
  <si>
    <t>0.01054 (0.00037)</t>
  </si>
  <si>
    <t>0.04107 (0.00159)</t>
  </si>
  <si>
    <t>0.00125 (0.00010)</t>
  </si>
  <si>
    <t>ytnP</t>
  </si>
  <si>
    <t>putative quorum-quenching lactonase</t>
  </si>
  <si>
    <t>0.08597 (0.03160)</t>
  </si>
  <si>
    <t>0.08032 (0.08102)</t>
  </si>
  <si>
    <t>0.01317 (0.00043)</t>
  </si>
  <si>
    <t>0.04730 (0.00173)</t>
  </si>
  <si>
    <t>0.00399 (0.00023)</t>
  </si>
  <si>
    <t>trmB</t>
  </si>
  <si>
    <t>tRNA (guanine-N(7)-)-methyltransferase</t>
  </si>
  <si>
    <t>0.05771 (0.04281)</t>
  </si>
  <si>
    <t>0.02632 (0.01974)</t>
  </si>
  <si>
    <t>0.02383 (0.00165)</t>
  </si>
  <si>
    <t>0.10720 (0.00848)</t>
  </si>
  <si>
    <t>ytzH</t>
  </si>
  <si>
    <t>0.05676 (0.04889)</t>
  </si>
  <si>
    <t>0.02198 (0.00233)</t>
  </si>
  <si>
    <t>0.10215 (0.01255)</t>
  </si>
  <si>
    <t>0.00306 (0.00071)</t>
  </si>
  <si>
    <t>ytmP</t>
  </si>
  <si>
    <t>putative kinase/phosphotransferase</t>
  </si>
  <si>
    <t>0.02716 (0.06045)</t>
  </si>
  <si>
    <t>0.00895 (0.02294)</t>
  </si>
  <si>
    <t>0.02403 (0.00203)</t>
  </si>
  <si>
    <t>0.11953 (0.01055)</t>
  </si>
  <si>
    <t>0.00126 (0.00021)</t>
  </si>
  <si>
    <t>amyX</t>
  </si>
  <si>
    <t>pullulanase</t>
  </si>
  <si>
    <t>0.26364 (0.07989)</t>
  </si>
  <si>
    <t>0.14493 (0.05138)</t>
  </si>
  <si>
    <t>0.01624 (0.00047)</t>
  </si>
  <si>
    <t>0.04446 (0.00140)</t>
  </si>
  <si>
    <t>0.00833 (0.00028)</t>
  </si>
  <si>
    <t>ytlR</t>
  </si>
  <si>
    <t>putative phospholipid kinase</t>
  </si>
  <si>
    <t>0.05680 (0.03634)</t>
  </si>
  <si>
    <t>0.00902 (0.00041)</t>
  </si>
  <si>
    <t>0.03733 (0.00184)</t>
  </si>
  <si>
    <t>0.00119 (0.00012)</t>
  </si>
  <si>
    <t>ytlQ</t>
  </si>
  <si>
    <t>0.07395 (0.04269)</t>
  </si>
  <si>
    <t>0.03520 (0.08401)</t>
  </si>
  <si>
    <t>0.00631 (0.00020)</t>
  </si>
  <si>
    <t>0.02367 (0.00077)</t>
  </si>
  <si>
    <t>0.00153 (0.00010)</t>
  </si>
  <si>
    <t>ytlP</t>
  </si>
  <si>
    <t>putative RNA 2',3'-cyclic phosphodiesterase</t>
  </si>
  <si>
    <t>0.36724 (0.21696)</t>
  </si>
  <si>
    <t>0.70709 (0.44059)</t>
  </si>
  <si>
    <t>0.01199 (0.00046)</t>
  </si>
  <si>
    <t>0.01653 (0.00076)</t>
  </si>
  <si>
    <t>0.01086 (0.00057)</t>
  </si>
  <si>
    <t>ytkP</t>
  </si>
  <si>
    <t>putative cysteine synthase-like enzyme</t>
  </si>
  <si>
    <t>0.04549 (0.02882)</t>
  </si>
  <si>
    <t>0.01030 (0.00045)</t>
  </si>
  <si>
    <t>0.03977 (0.00179)</t>
  </si>
  <si>
    <t>0.00114 (0.00009)</t>
  </si>
  <si>
    <t>ytjP</t>
  </si>
  <si>
    <t>putative promiscuous peptidase/deacylase</t>
  </si>
  <si>
    <t>0.08223 (0.01950)</t>
  </si>
  <si>
    <t>0.04542 (0.05091)</t>
  </si>
  <si>
    <t>0.01280 (0.00034)</t>
  </si>
  <si>
    <t>0.04642 (0.00143)</t>
  </si>
  <si>
    <t>0.00339 (0.00018)</t>
  </si>
  <si>
    <t>pbuO</t>
  </si>
  <si>
    <t>0.04388 (0.10723)</t>
  </si>
  <si>
    <t>0.01944 (0.02088)</t>
  </si>
  <si>
    <t>0.01761 (0.00103)</t>
  </si>
  <si>
    <t>0.06851 (0.00404)</t>
  </si>
  <si>
    <t>0.00177 (0.00021)</t>
  </si>
  <si>
    <t>ythQ</t>
  </si>
  <si>
    <t>0.24949 (0.08427)</t>
  </si>
  <si>
    <t>0.16192 (0.06450)</t>
  </si>
  <si>
    <t>0.02021 (0.00065)</t>
  </si>
  <si>
    <t>0.05378 (0.00211)</t>
  </si>
  <si>
    <t>0.01090 (0.00041)</t>
  </si>
  <si>
    <t>ythP</t>
  </si>
  <si>
    <t>0.26160 (0.18126)</t>
  </si>
  <si>
    <t>0.08284 (0.04505)</t>
  </si>
  <si>
    <t>0.01023 (0.00042)</t>
  </si>
  <si>
    <t>0.03224 (0.00139)</t>
  </si>
  <si>
    <t>ytzE</t>
  </si>
  <si>
    <t>putative transcriptional regulator (DeoRfamily)</t>
  </si>
  <si>
    <t>0.03048 (0.00422)</t>
  </si>
  <si>
    <t>rsuA</t>
  </si>
  <si>
    <t>16S rRNA pseudouridylate 516 synthase</t>
  </si>
  <si>
    <t>0.16958 (0.11684)</t>
  </si>
  <si>
    <t>0.03477 (0.08282)</t>
  </si>
  <si>
    <t>0.01204 (0.00055)</t>
  </si>
  <si>
    <t>0.03905 (0.00204)</t>
  </si>
  <si>
    <t>0.00394 (0.00030)</t>
  </si>
  <si>
    <t>murJ</t>
  </si>
  <si>
    <t>0.04343 (0.02988)</t>
  </si>
  <si>
    <t>0.02671 (0.04196)</t>
  </si>
  <si>
    <t>0.00806 (0.00023)</t>
  </si>
  <si>
    <t>0.02952 (0.00084)</t>
  </si>
  <si>
    <t>0.00107 (0.00008)</t>
  </si>
  <si>
    <t>ytfP</t>
  </si>
  <si>
    <t>putative NAD(FAD)-utilizing dehydrogenase</t>
  </si>
  <si>
    <t>0.04712 (0.10319)</t>
  </si>
  <si>
    <t>0.03930 (0.03732)</t>
  </si>
  <si>
    <t>0.01377 (0.00131)</t>
  </si>
  <si>
    <t>0.05390 (0.00579)</t>
  </si>
  <si>
    <t>0.00290 (0.00024)</t>
  </si>
  <si>
    <t>opuD</t>
  </si>
  <si>
    <t>glycine betaine transporter</t>
  </si>
  <si>
    <t>0.02745 (0.04486)</t>
  </si>
  <si>
    <t>0.01977 (0.04936)</t>
  </si>
  <si>
    <t>0.00512 (0.00020)</t>
  </si>
  <si>
    <t>0.01978 (0.00085)</t>
  </si>
  <si>
    <t>yteV</t>
  </si>
  <si>
    <t>0.01882 (0.05807)</t>
  </si>
  <si>
    <t>0.02079 (0.00144)</t>
  </si>
  <si>
    <t>0.09991 (0.00807)</t>
  </si>
  <si>
    <t>0.00119 (0.00032)</t>
  </si>
  <si>
    <t>rmgU</t>
  </si>
  <si>
    <t>putative membrane enzyme for rhamnogalaturonandegradation</t>
  </si>
  <si>
    <t>0.20721 (0.14600)</t>
  </si>
  <si>
    <t>0.10421 (0.06233)</t>
  </si>
  <si>
    <t>0.01698 (0.00073)</t>
  </si>
  <si>
    <t>0.05268 (0.00245)</t>
  </si>
  <si>
    <t>0.00644 (0.00039)</t>
  </si>
  <si>
    <t>rmgT</t>
  </si>
  <si>
    <t>putative dehydrogenase of rhamnogalaturonandegradation</t>
  </si>
  <si>
    <t>0.12955 (0.05508)</t>
  </si>
  <si>
    <t>0.04647 (0.03250)</t>
  </si>
  <si>
    <t>0.01199 (0.00048)</t>
  </si>
  <si>
    <t>0.04217 (0.00182)</t>
  </si>
  <si>
    <t>0.00356 (0.00018)</t>
  </si>
  <si>
    <t>rmgS</t>
  </si>
  <si>
    <t>lipoprotein required for rhamnogalaturonantransport and degradation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</si>
  <si>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</si>
  <si>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0.62913 (0.45021)</t>
  </si>
  <si>
    <t>0.45272 (0.40195)</t>
  </si>
  <si>
    <t>0.01539 (0.00071)</t>
  </si>
  <si>
    <t>0.02727 (0.00182)</t>
  </si>
  <si>
    <t>0.01222 (0.00057)</t>
  </si>
  <si>
    <t>rmgQ</t>
  </si>
  <si>
    <t>unsaturated rhamnogalacturonyl hydrolase</t>
  </si>
  <si>
    <t>0.09391 (0.03556)</t>
  </si>
  <si>
    <t>0.08179 (0.03505)</t>
  </si>
  <si>
    <t>0.02242 (0.00060)</t>
  </si>
  <si>
    <t>0.07626 (0.00222)</t>
  </si>
  <si>
    <t>0.00773 (0.00029)</t>
  </si>
  <si>
    <t>rmgP</t>
  </si>
  <si>
    <t>permease for unsaturated rhamnogalacturonan</t>
  </si>
  <si>
    <t>0.04285 (0.02656)</t>
  </si>
  <si>
    <t>0.03418 (0.02633)</t>
  </si>
  <si>
    <t>0.02078 (0.00086)</t>
  </si>
  <si>
    <t>0.08293 (0.00378)</t>
  </si>
  <si>
    <t>0.00303 (0.00012)</t>
  </si>
  <si>
    <t>rmgR</t>
  </si>
  <si>
    <t>membrane bound transcriptional regulator(controlling rhamnogalacturonan degradation)</t>
  </si>
  <si>
    <t>0.07123 (0.09052)</t>
  </si>
  <si>
    <t>0.05916 (0.02141)</t>
  </si>
  <si>
    <t>0.02002 (0.00086)</t>
  </si>
  <si>
    <t>0.08003 (0.00373)</t>
  </si>
  <si>
    <t>0.00513 (0.00023)</t>
  </si>
  <si>
    <t>ytcQ</t>
  </si>
  <si>
    <t>0.06766 (0.03907)</t>
  </si>
  <si>
    <t>0.08035 (0.09916)</t>
  </si>
  <si>
    <t>0.02029 (0.00102)</t>
  </si>
  <si>
    <t>0.08087 (0.00458)</t>
  </si>
  <si>
    <t>0.00497 (0.00022)</t>
  </si>
  <si>
    <t>ytcP</t>
  </si>
  <si>
    <t>0.04151 (0.02930)</t>
  </si>
  <si>
    <t>0.00774 (0.02847)</t>
  </si>
  <si>
    <t>0.01700 (0.00100)</t>
  </si>
  <si>
    <t>0.06935 (0.00453)</t>
  </si>
  <si>
    <t>0.00147 (0.00009)</t>
  </si>
  <si>
    <t>ytbQ</t>
  </si>
  <si>
    <t>putative NAD-dependentnucleoside-diphosphate-sugar epimerase</t>
  </si>
  <si>
    <t>0.21803 (0.19784)</t>
  </si>
  <si>
    <t>0.02986 (0.03592)</t>
  </si>
  <si>
    <t>0.01225 (0.00047)</t>
  </si>
  <si>
    <t>0.04128 (0.00190)</t>
  </si>
  <si>
    <t>0.00347 (0.00028)</t>
  </si>
  <si>
    <t>bioI</t>
  </si>
  <si>
    <t>cytochrome P450 for pimelic acid formation forbiotin biosynthesis</t>
  </si>
  <si>
    <t>0.35313 (0.14287)</t>
  </si>
  <si>
    <t>0.20991 (0.05409)</t>
  </si>
  <si>
    <t>0.01683 (0.00052)</t>
  </si>
  <si>
    <t>0.04108 (0.00147)</t>
  </si>
  <si>
    <t>0.01006 (0.00034)</t>
  </si>
  <si>
    <t>bioB</t>
  </si>
  <si>
    <t>biotin synthase</t>
  </si>
  <si>
    <t>0.05090 (0.02778)</t>
  </si>
  <si>
    <t>0.09750 (0.08857)</t>
  </si>
  <si>
    <t>0.01201 (0.00042)</t>
  </si>
  <si>
    <t>0.04545 (0.00182)</t>
  </si>
  <si>
    <t>0.00265 (0.00014)</t>
  </si>
  <si>
    <t>bioD</t>
  </si>
  <si>
    <t>dethiobiotin synthetase</t>
  </si>
  <si>
    <t>0.16258 (0.07806)</t>
  </si>
  <si>
    <t>0.10341 (0.04326)</t>
  </si>
  <si>
    <t>0.02239 (0.00075)</t>
  </si>
  <si>
    <t>0.06910 (0.00256)</t>
  </si>
  <si>
    <t>0.00944 (0.00039)</t>
  </si>
  <si>
    <t>bioFC</t>
  </si>
  <si>
    <t>8-amino-7-oxononanoate synthase(pimeloyl-CoA-dependent)</t>
  </si>
  <si>
    <t>0.12807 (0.16732)</t>
  </si>
  <si>
    <t>0.15590 (0.03746)</t>
  </si>
  <si>
    <t>0.02814 (0.00095)</t>
  </si>
  <si>
    <t>0.08367 (0.00356)</t>
  </si>
  <si>
    <t>0.01304 (0.00039)</t>
  </si>
  <si>
    <t>bioK</t>
  </si>
  <si>
    <t>L-lysine-8-amino-7-oxononanoateaminotransferase</t>
  </si>
  <si>
    <t>0.10905 (0.05640)</t>
  </si>
  <si>
    <t>0.04864 (0.00872)</t>
  </si>
  <si>
    <t>0.01648 (0.00047)</t>
  </si>
  <si>
    <t>0.05954 (0.00171)</t>
  </si>
  <si>
    <t>0.00477 (0.00018)</t>
  </si>
  <si>
    <t>bioW</t>
  </si>
  <si>
    <t>6-carboxyhexanoate-CoA ligase (pimeloyl-CoAsynthase)</t>
  </si>
  <si>
    <t>0.12595 (0.07419)</t>
  </si>
  <si>
    <t>0.22605 (0.07831)</t>
  </si>
  <si>
    <t>0.01351 (0.00056)</t>
  </si>
  <si>
    <t>0.04157 (0.00202)</t>
  </si>
  <si>
    <t>0.00640 (0.00029)</t>
  </si>
  <si>
    <t>ytaP</t>
  </si>
  <si>
    <t>0.14972 (0.07373)</t>
  </si>
  <si>
    <t>0.29445 (0.20877)</t>
  </si>
  <si>
    <t>0.01251 (0.00052)</t>
  </si>
  <si>
    <t>0.03554 (0.00169)</t>
  </si>
  <si>
    <t>0.00603 (0.00030)</t>
  </si>
  <si>
    <t>msmR</t>
  </si>
  <si>
    <t>0.11217 (0.05317)</t>
  </si>
  <si>
    <t>0.13831 (0.05446)</t>
  </si>
  <si>
    <t>0.01385 (0.00043)</t>
  </si>
  <si>
    <t>0.04402 (0.00132)</t>
  </si>
  <si>
    <t>0.00500 (0.00023)</t>
  </si>
  <si>
    <t>msmE</t>
  </si>
  <si>
    <t>multiple sugar-binding lipoprotein</t>
  </si>
  <si>
    <t>0.12124 (0.05968)</t>
  </si>
  <si>
    <t>0.10103 (0.02194)</t>
  </si>
  <si>
    <t>0.01731 (0.00051)</t>
  </si>
  <si>
    <t>0.05611 (0.00168)</t>
  </si>
  <si>
    <t>0.00706 (0.00029)</t>
  </si>
  <si>
    <t>msmF</t>
  </si>
  <si>
    <t>carbohydrate ABC transporter (permease)</t>
  </si>
  <si>
    <t>0.06300 (0.05454)</t>
  </si>
  <si>
    <t>0.02137 (0.02787)</t>
  </si>
  <si>
    <t>0.01295 (0.00045)</t>
  </si>
  <si>
    <t>0.05144 (0.00186)</t>
  </si>
  <si>
    <t>msmG</t>
  </si>
  <si>
    <t>maltose and multiple sugars ABC transporter(permease)</t>
  </si>
  <si>
    <t>0.09625 (0.05984)</t>
  </si>
  <si>
    <t>0.11185 (0.08542)</t>
  </si>
  <si>
    <t>0.01058 (0.00037)</t>
  </si>
  <si>
    <t>0.03334 (0.00132)</t>
  </si>
  <si>
    <t>0.00360 (0.00020)</t>
  </si>
  <si>
    <t>melA</t>
  </si>
  <si>
    <t>alpha-D-galactoside galactohydrolase</t>
  </si>
  <si>
    <t>0.07137 (0.02148)</t>
  </si>
  <si>
    <t>0.04674 (0.03614)</t>
  </si>
  <si>
    <t>0.03675 (0.00122)</t>
  </si>
  <si>
    <t>ytwF</t>
  </si>
  <si>
    <t>0.14677 (0.17205)</t>
  </si>
  <si>
    <t>0.05260 (0.08803)</t>
  </si>
  <si>
    <t>0.02416 (0.00258)</t>
  </si>
  <si>
    <t>0.10160 (0.01175)</t>
  </si>
  <si>
    <t>0.00784 (0.00085)</t>
  </si>
  <si>
    <t>leuS</t>
  </si>
  <si>
    <t>leucyl-tRNA synthetase</t>
  </si>
  <si>
    <t>0.04740 (0.02586)</t>
  </si>
  <si>
    <t>0.04150 (0.04766)</t>
  </si>
  <si>
    <t>0.02549 (0.00131)</t>
  </si>
  <si>
    <t>0.11130 (0.00628)</t>
  </si>
  <si>
    <t>0.00404 (0.00017)</t>
  </si>
  <si>
    <t>ytvB</t>
  </si>
  <si>
    <t>putative conserved membrane protein</t>
  </si>
  <si>
    <t>0.71654 (0.08885)</t>
  </si>
  <si>
    <t>0.15128 (0.07564)</t>
  </si>
  <si>
    <t>0.01266 (0.00101)</t>
  </si>
  <si>
    <t>0.05075 (0.00448)</t>
  </si>
  <si>
    <t>0.00168 (0.00037)</t>
  </si>
  <si>
    <t>blrA</t>
  </si>
  <si>
    <t>blue light GTP-binding receptor</t>
  </si>
  <si>
    <t>0.09956 (0.08618)</t>
  </si>
  <si>
    <t>0.12502 (0.06866)</t>
  </si>
  <si>
    <t>0.01272 (0.00051)</t>
  </si>
  <si>
    <t>0.04011 (0.00175)</t>
  </si>
  <si>
    <t>0.00523 (0.00034)</t>
  </si>
  <si>
    <t>yttB</t>
  </si>
  <si>
    <t>0.20414 (0.18176)</t>
  </si>
  <si>
    <t>0.07280 (0.02373)</t>
  </si>
  <si>
    <t>0.01859 (0.00075)</t>
  </si>
  <si>
    <t>0.05659 (0.00209)</t>
  </si>
  <si>
    <t>0.00659 (0.00048)</t>
  </si>
  <si>
    <t>yttA</t>
  </si>
  <si>
    <t>0.18650 (0.07944)</t>
  </si>
  <si>
    <t>0.08005 (0.05489)</t>
  </si>
  <si>
    <t>0.01471 (0.00055)</t>
  </si>
  <si>
    <t>0.04725 (0.00181)</t>
  </si>
  <si>
    <t>0.00626 (0.00033)</t>
  </si>
  <si>
    <t>bceB</t>
  </si>
  <si>
    <t>ABC transporter (permease)</t>
  </si>
  <si>
    <t>0.08917 (0.03891)</t>
  </si>
  <si>
    <t>0.06011 (0.03623)</t>
  </si>
  <si>
    <t>0.01476 (0.00050)</t>
  </si>
  <si>
    <t>0.05227 (0.00169)</t>
  </si>
  <si>
    <t>0.00423 (0.00021)</t>
  </si>
  <si>
    <t>bceA</t>
  </si>
  <si>
    <t>bacitracin ABC efflux transporter (ATP-bindingprotein)</t>
  </si>
  <si>
    <t>0.04359 (0.09526)</t>
  </si>
  <si>
    <t>0.01199 (0.00120)</t>
  </si>
  <si>
    <t>0.05403 (0.00574)</t>
  </si>
  <si>
    <t>0.00130 (0.00019)</t>
  </si>
  <si>
    <t>bceS</t>
  </si>
  <si>
    <t>two-component sensor histidine kinasecontrolling resistance to antibiotics affecting theenvelope [YtsA]</t>
  </si>
  <si>
    <t>0.10292 (0.10592)</t>
  </si>
  <si>
    <t>0.07182 (0.04153)</t>
  </si>
  <si>
    <t>0.01274 (0.00072)</t>
  </si>
  <si>
    <t>0.04288 (0.00226)</t>
  </si>
  <si>
    <t>0.00500 (0.00038)</t>
  </si>
  <si>
    <t>bceR</t>
  </si>
  <si>
    <t>two-component response regulator controllingresistance to antibiotics affecting the envelope [YtsB]</t>
  </si>
  <si>
    <t>0.10794 (0.07330)</t>
  </si>
  <si>
    <t>0.09082 (0.05835)</t>
  </si>
  <si>
    <t>0.01314 (0.00059)</t>
  </si>
  <si>
    <t>0.04543 (0.00233)</t>
  </si>
  <si>
    <t>0.00475 (0.00023)</t>
  </si>
  <si>
    <t>ytrF</t>
  </si>
  <si>
    <t>metabolite permease involved in resistance tocell wall inhibitors</t>
  </si>
  <si>
    <t>0.04701 (0.02720)</t>
  </si>
  <si>
    <t>0.06253 (0.06107)</t>
  </si>
  <si>
    <t>0.01394 (0.00057)</t>
  </si>
  <si>
    <t>0.05528 (0.00233)</t>
  </si>
  <si>
    <t>0.00284 (0.00017)</t>
  </si>
  <si>
    <t>ytrE</t>
  </si>
  <si>
    <t>ABC transporter (ATP-binding protein) involvedin resistance to cell wall inhibitors</t>
  </si>
  <si>
    <t>0.00712 (0.02058)</t>
  </si>
  <si>
    <t>0.00871 (0.02363)</t>
  </si>
  <si>
    <t>0.02105 (0.00091)</t>
  </si>
  <si>
    <t>0.09356 (0.00432)</t>
  </si>
  <si>
    <t>0.00116 (0.00012)</t>
  </si>
  <si>
    <t>ytrD</t>
  </si>
  <si>
    <t>ABC transporter, permease component involved inresistance to cell wall inhibitors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</si>
  <si>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 , GCA_002142595.1_ASM214259v1_genomic</t>
  </si>
  <si>
    <t>0.15597 (0.06029)</t>
  </si>
  <si>
    <t>0.04816 (0.00925)</t>
  </si>
  <si>
    <t>0.03689 (0.00231)</t>
  </si>
  <si>
    <t>0.12054 (0.00789)</t>
  </si>
  <si>
    <t>0.01456 (0.00114)</t>
  </si>
  <si>
    <t>ytrC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</si>
  <si>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GCA_001604995.1_ASM160499v1_genomic , GCA_001660525.1_ASM166052v1_genomic , GCA_001697265.1_ASM169726v1_genomic , GCA_001703495.1_ASM170349v1_genomic , GCA_002055965.1_ASM205596v1_genomic , GCA_002072735.1_ASM207273v1_genomic</t>
  </si>
  <si>
    <t>0.22839 (0.15318)</t>
  </si>
  <si>
    <t>0.16545 (0.00618)</t>
  </si>
  <si>
    <t>0.02365 (0.00328)</t>
  </si>
  <si>
    <t>0.06395 (0.00921)</t>
  </si>
  <si>
    <t>0.01260 (0.00216)</t>
  </si>
  <si>
    <t>ytrB</t>
  </si>
  <si>
    <t>0.02181 (0.01920)</t>
  </si>
  <si>
    <t>0.01521 (0.02232)</t>
  </si>
  <si>
    <t>0.02819 (0.00166)</t>
  </si>
  <si>
    <t>0.13251 (0.00837)</t>
  </si>
  <si>
    <t>0.00219 (0.00020)</t>
  </si>
  <si>
    <t>ytrA</t>
  </si>
  <si>
    <t>transcriptional regulator (GntR family, cellwall antibiotics)</t>
  </si>
  <si>
    <t>0.22725 (0.16631)</t>
  </si>
  <si>
    <t>0.15247 (0.06813)</t>
  </si>
  <si>
    <t>0.01930 (0.00106)</t>
  </si>
  <si>
    <t>0.06021 (0.00361)</t>
  </si>
  <si>
    <t>0.00881 (0.00065)</t>
  </si>
  <si>
    <t>BSU_30466</t>
  </si>
  <si>
    <t>0.30231 (0.15400)</t>
  </si>
  <si>
    <t>0.25085 (0.00000)</t>
  </si>
  <si>
    <t>0.03382 (0.00305)</t>
  </si>
  <si>
    <t>0.07975 (0.00859)</t>
  </si>
  <si>
    <t>0.02394 (0.00255)</t>
  </si>
  <si>
    <t>ytzC</t>
  </si>
  <si>
    <t>0.03120 (0.07450)</t>
  </si>
  <si>
    <t>0.05256 (0.04365)</t>
  </si>
  <si>
    <t>0.02833 (0.00229)</t>
  </si>
  <si>
    <t>0.12443 (0.00957)</t>
  </si>
  <si>
    <t>0.00724 (0.00091)</t>
  </si>
  <si>
    <t>ytqA</t>
  </si>
  <si>
    <t>0.01904 (0.01790)</t>
  </si>
  <si>
    <t>0.02640 (0.02048)</t>
  </si>
  <si>
    <t>0.01931 (0.00105)</t>
  </si>
  <si>
    <t>0.08543 (0.00489)</t>
  </si>
  <si>
    <t>ytqB</t>
  </si>
  <si>
    <t>putative RNA methylase</t>
  </si>
  <si>
    <t>0.09632 (0.09818)</t>
  </si>
  <si>
    <t>0.11473 (0.14183)</t>
  </si>
  <si>
    <t>0.01926 (0.00087)</t>
  </si>
  <si>
    <t>0.06686 (0.00381)</t>
  </si>
  <si>
    <t>0.00663 (0.00047)</t>
  </si>
  <si>
    <t>tbcS</t>
  </si>
  <si>
    <t>tetraprenyl-beta-curcumene synthase</t>
  </si>
  <si>
    <t>0.09018 (0.05659)</t>
  </si>
  <si>
    <t>0.03000 (0.02839)</t>
  </si>
  <si>
    <t>0.01140 (0.00040)</t>
  </si>
  <si>
    <t>0.04698 (0.00176)</t>
  </si>
  <si>
    <t>0.00216 (0.00013)</t>
  </si>
  <si>
    <t>ytpA</t>
  </si>
  <si>
    <t>phospholipase component of bacilysocin synthesisor export</t>
  </si>
  <si>
    <t>0.04505 (0.05757)</t>
  </si>
  <si>
    <t>0.08009 (0.18466)</t>
  </si>
  <si>
    <t>0.00842 (0.00046)</t>
  </si>
  <si>
    <t>0.02953 (0.00141)</t>
  </si>
  <si>
    <t>0.00240 (0.00027)</t>
  </si>
  <si>
    <t>ytoA</t>
  </si>
  <si>
    <t>putative enzyme of the carbonic anhydrasefamily</t>
  </si>
  <si>
    <t>0.08153 (0.09569)</t>
  </si>
  <si>
    <t>0.10370 (0.25178)</t>
  </si>
  <si>
    <t>0.02111 (0.00175)</t>
  </si>
  <si>
    <t>0.07362 (0.00638)</t>
  </si>
  <si>
    <t>0.00713 (0.00070)</t>
  </si>
  <si>
    <t>ytnA</t>
  </si>
  <si>
    <t>0.03122 (0.01606)</t>
  </si>
  <si>
    <t>0.01243 (0.01941)</t>
  </si>
  <si>
    <t>0.01504 (0.00056)</t>
  </si>
  <si>
    <t>0.06220 (0.00248)</t>
  </si>
  <si>
    <t>0.00116 (0.00008)</t>
  </si>
  <si>
    <t>asnB</t>
  </si>
  <si>
    <t>meso-diaminopimelic acid amidotransferase(asparagine synthetase)</t>
  </si>
  <si>
    <t>0.03903 (0.02069)</t>
  </si>
  <si>
    <t>0.00928 (0.01452)</t>
  </si>
  <si>
    <t>0.01923 (0.00100)</t>
  </si>
  <si>
    <t>0.09211 (0.00513)</t>
  </si>
  <si>
    <t>0.00126 (0.00006)</t>
  </si>
  <si>
    <t>metK</t>
  </si>
  <si>
    <t>S-adenosylmethionine synthetase</t>
  </si>
  <si>
    <t>0.03225 (0.05546)</t>
  </si>
  <si>
    <t>0.01839 (0.00112)</t>
  </si>
  <si>
    <t>0.08237 (0.00527)</t>
  </si>
  <si>
    <t>pckA</t>
  </si>
  <si>
    <t>phosphoenolpyruvate carboxykinase</t>
  </si>
  <si>
    <t>0.03117 (0.02056)</t>
  </si>
  <si>
    <t>0.01274 (0.01803)</t>
  </si>
  <si>
    <t>0.01389 (0.00053)</t>
  </si>
  <si>
    <t>0.05773 (0.00227)</t>
  </si>
  <si>
    <t>ytmB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</si>
  <si>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</si>
  <si>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0.57031 (0.11004)</t>
  </si>
  <si>
    <t>0.06445 (0.06783)</t>
  </si>
  <si>
    <t>0.05637 (0.06481)</t>
  </si>
  <si>
    <t>0.03011 (0.00235)</t>
  </si>
  <si>
    <t>0.12494 (0.01232)</t>
  </si>
  <si>
    <t>0.00698 (0.00053)</t>
  </si>
  <si>
    <t>ytmA</t>
  </si>
  <si>
    <t>putative esterase</t>
  </si>
  <si>
    <t>0.12689 (0.05154)</t>
  </si>
  <si>
    <t>0.05418 (0.06384)</t>
  </si>
  <si>
    <t>0.02432 (0.00159)</t>
  </si>
  <si>
    <t>0.09421 (0.00745)</t>
  </si>
  <si>
    <t>0.00655 (0.00030)</t>
  </si>
  <si>
    <t>ytlA</t>
  </si>
  <si>
    <t>putative ABC anion transporter component</t>
  </si>
  <si>
    <t>0.58127 (0.10851)</t>
  </si>
  <si>
    <t>0.11738 (0.03714)</t>
  </si>
  <si>
    <t>0.17020 (0.15381)</t>
  </si>
  <si>
    <t>0.00945 (0.00041)</t>
  </si>
  <si>
    <t>0.03007 (0.00155)</t>
  </si>
  <si>
    <t>0.00380 (0.00019)</t>
  </si>
  <si>
    <t>ytlC</t>
  </si>
  <si>
    <t>putative ABC anion transporter component,ATP-binding</t>
  </si>
  <si>
    <t>0.02690 (0.06776)</t>
  </si>
  <si>
    <t>0.04961 (0.14444)</t>
  </si>
  <si>
    <t>0.01893 (0.00276)</t>
  </si>
  <si>
    <t>0.07889 (0.01155)</t>
  </si>
  <si>
    <t>0.00359 (0.00063)</t>
  </si>
  <si>
    <t>ytlD</t>
  </si>
  <si>
    <t>putative permease of ABC anion transporter</t>
  </si>
  <si>
    <t>0.04384 (0.04979)</t>
  </si>
  <si>
    <t>0.00884 (0.00044)</t>
  </si>
  <si>
    <t>0.03367 (0.00156)</t>
  </si>
  <si>
    <t>0.00141 (0.00016)</t>
  </si>
  <si>
    <t>rppG</t>
  </si>
  <si>
    <t>nucleoside and RNA triphosphatephosphohydrolase</t>
  </si>
  <si>
    <t>0.02724 (0.03385)</t>
  </si>
  <si>
    <t>0.04768 (0.04650)</t>
  </si>
  <si>
    <t>0.02202 (0.00164)</t>
  </si>
  <si>
    <t>0.09979 (0.00737)</t>
  </si>
  <si>
    <t>0.00381 (0.00043)</t>
  </si>
  <si>
    <t>ytkC</t>
  </si>
  <si>
    <t>putative autolytic amidase</t>
  </si>
  <si>
    <t>0.09074 (0.06846)</t>
  </si>
  <si>
    <t>0.11699 (0.07602)</t>
  </si>
  <si>
    <t>0.02953 (0.00211)</t>
  </si>
  <si>
    <t>0.10710 (0.00911)</t>
  </si>
  <si>
    <t>0.00931 (0.00057)</t>
  </si>
  <si>
    <t>dps</t>
  </si>
  <si>
    <t>DNA-protecting protein, mini-ferritin</t>
  </si>
  <si>
    <t>0.02022 (0.05274)</t>
  </si>
  <si>
    <t>0.03378 (0.09534)</t>
  </si>
  <si>
    <t>0.01713 (0.00173)</t>
  </si>
  <si>
    <t>0.07939 (0.00810)</t>
  </si>
  <si>
    <t>0.00229 (0.00035)</t>
  </si>
  <si>
    <t>ytzI</t>
  </si>
  <si>
    <t>0.94291 (0.05454)</t>
  </si>
  <si>
    <t>0.28454 (0.40240)</t>
  </si>
  <si>
    <t>0.00766 (0.00111)</t>
  </si>
  <si>
    <t>0.01307 (0.00534)</t>
  </si>
  <si>
    <t>0.00620 (0.00046)</t>
  </si>
  <si>
    <t>ytkA</t>
  </si>
  <si>
    <t>0.18282 (0.09488)</t>
  </si>
  <si>
    <t>0.09194 (0.15324)</t>
  </si>
  <si>
    <t>0.00945 (0.00057)</t>
  </si>
  <si>
    <t>0.02677 (0.00176)</t>
  </si>
  <si>
    <t>0.00483 (0.00041)</t>
  </si>
  <si>
    <t>luxS</t>
  </si>
  <si>
    <t>S-ribosylhomocysteine lyase</t>
  </si>
  <si>
    <t>0.07075 (0.08203)</t>
  </si>
  <si>
    <t>0.01955 (0.00161)</t>
  </si>
  <si>
    <t>0.08956 (0.00799)</t>
  </si>
  <si>
    <t>0.00228 (0.00028)</t>
  </si>
  <si>
    <t>ytjA</t>
  </si>
  <si>
    <t>membrane protein insertion efficiency factor</t>
  </si>
  <si>
    <t>0.06354 (0.07307)</t>
  </si>
  <si>
    <t>0.02836 (0.00374)</t>
  </si>
  <si>
    <t>0.11359 (0.01521)</t>
  </si>
  <si>
    <t>0.00504 (0.00121)</t>
  </si>
  <si>
    <t>ytiB</t>
  </si>
  <si>
    <t>carbonic anhydrase</t>
  </si>
  <si>
    <t>0.93556 (0.06118)</t>
  </si>
  <si>
    <t>0.06654 (0.04746)</t>
  </si>
  <si>
    <t>0.00688 (0.00057)</t>
  </si>
  <si>
    <t>0.02956 (0.00241)</t>
  </si>
  <si>
    <t>0.00097 (0.00021)</t>
  </si>
  <si>
    <t>rpmEB</t>
  </si>
  <si>
    <t>ribosomal protein L31</t>
  </si>
  <si>
    <t>0.02345 (0.06136)</t>
  </si>
  <si>
    <t>0.03879 (0.05802)</t>
  </si>
  <si>
    <t>0.02890 (0.00165)</t>
  </si>
  <si>
    <t>0.14696 (0.00983)</t>
  </si>
  <si>
    <t>0.00261 (0.00029)</t>
  </si>
  <si>
    <t>ythA</t>
  </si>
  <si>
    <t>putative cytochrome bd menaquinol oxidasesubunit I</t>
  </si>
  <si>
    <t>0.03290 (0.02239)</t>
  </si>
  <si>
    <t>0.01675 (0.01453)</t>
  </si>
  <si>
    <t>0.01756 (0.00074)</t>
  </si>
  <si>
    <t>0.07127 (0.00327)</t>
  </si>
  <si>
    <t>ythB</t>
  </si>
  <si>
    <t>putative cytochrome bd menaquinol oxidasesubunit II</t>
  </si>
  <si>
    <t>0.04527 (0.03459)</t>
  </si>
  <si>
    <t>0.05508 (0.03135)</t>
  </si>
  <si>
    <t>0.01363 (0.00048)</t>
  </si>
  <si>
    <t>0.05126 (0.00186)</t>
  </si>
  <si>
    <t>0.00253 (0.00015)</t>
  </si>
  <si>
    <t>ytzL</t>
  </si>
  <si>
    <t>0.86080 (0.07340)</t>
  </si>
  <si>
    <t>0.24200 (0.24200)</t>
  </si>
  <si>
    <t>0.09319 (0.05742)</t>
  </si>
  <si>
    <t>0.02963 (0.00313)</t>
  </si>
  <si>
    <t>0.10105 (0.01305)</t>
  </si>
  <si>
    <t>0.01429 (0.00183)</t>
  </si>
  <si>
    <t>mntD</t>
  </si>
  <si>
    <t>manganese ABC transporter (permease)</t>
  </si>
  <si>
    <t>0.15874 (0.08334)</t>
  </si>
  <si>
    <t>0.11543 (0.06328)</t>
  </si>
  <si>
    <t>0.01451 (0.00047)</t>
  </si>
  <si>
    <t>0.04313 (0.00147)</t>
  </si>
  <si>
    <t>0.00542 (0.00030)</t>
  </si>
  <si>
    <t>mntC</t>
  </si>
  <si>
    <t>0.34685 (0.09298)</t>
  </si>
  <si>
    <t>0.25531 (0.05745)</t>
  </si>
  <si>
    <t>0.01395 (0.00040)</t>
  </si>
  <si>
    <t>0.03059 (0.00104)</t>
  </si>
  <si>
    <t>0.00889 (0.00028)</t>
  </si>
  <si>
    <t>mntB</t>
  </si>
  <si>
    <t>manganese ABC transporter (ATP-binding protein)</t>
  </si>
  <si>
    <t>0.09890 (0.02869)</t>
  </si>
  <si>
    <t>0.10339 (0.06256)</t>
  </si>
  <si>
    <t>0.01415 (0.00049)</t>
  </si>
  <si>
    <t>0.04672 (0.00192)</t>
  </si>
  <si>
    <t>0.00453 (0.00026)</t>
  </si>
  <si>
    <t>mntA</t>
  </si>
  <si>
    <t>manganese ABC transporter (manganese bindinglipoprotein)</t>
  </si>
  <si>
    <t>0.29000 (0.11583)</t>
  </si>
  <si>
    <t>0.14511 (0.15426)</t>
  </si>
  <si>
    <t>0.00647 (0.00036)</t>
  </si>
  <si>
    <t>0.01489 (0.00103)</t>
  </si>
  <si>
    <t>0.00410 (0.00021)</t>
  </si>
  <si>
    <t>menC</t>
  </si>
  <si>
    <t>O-succinylbenzoate-CoA synthase</t>
  </si>
  <si>
    <t>0.08590 (0.02087)</t>
  </si>
  <si>
    <t>0.05631 (0.04978)</t>
  </si>
  <si>
    <t>0.01654 (0.00067)</t>
  </si>
  <si>
    <t>0.06429 (0.00278)</t>
  </si>
  <si>
    <t>0.00382 (0.00021)</t>
  </si>
  <si>
    <t>menE</t>
  </si>
  <si>
    <t>O-succinylbenzoic acid-CoA ligase</t>
  </si>
  <si>
    <t>0.10664 (0.04508)</t>
  </si>
  <si>
    <t>0.19412 (0.04337)</t>
  </si>
  <si>
    <t>0.01609 (0.00052)</t>
  </si>
  <si>
    <t>0.04630 (0.00177)</t>
  </si>
  <si>
    <t>0.00737 (0.00028)</t>
  </si>
  <si>
    <t>menB</t>
  </si>
  <si>
    <t>dihydroxynapthoic acid synthetase</t>
  </si>
  <si>
    <t>0.01967 (0.00270)</t>
  </si>
  <si>
    <t>0.09448 (0.01347)</t>
  </si>
  <si>
    <t>menH</t>
  </si>
  <si>
    <t>2-succinyl-6-hydroxy-2,4-cyclohexadiene-1-carboxylate synthase</t>
  </si>
  <si>
    <t>0.30180 (0.16042)</t>
  </si>
  <si>
    <t>0.12076 (0.08213)</t>
  </si>
  <si>
    <t>0.01102 (0.00049)</t>
  </si>
  <si>
    <t>0.02716 (0.00150)</t>
  </si>
  <si>
    <t>0.00633 (0.00035)</t>
  </si>
  <si>
    <t>menD</t>
  </si>
  <si>
    <t>2-oxoglutarate decarboxylase and2-succinyl-5-enolpyruvyl-6-hydroxy-3-cyclohexene-1-carboxylic-acid synthase</t>
  </si>
  <si>
    <t>0.11258 (0.06804)</t>
  </si>
  <si>
    <t>0.03103 (0.03939)</t>
  </si>
  <si>
    <t>0.00857 (0.00045)</t>
  </si>
  <si>
    <t>0.02984 (0.00160)</t>
  </si>
  <si>
    <t>0.00218 (0.00015)</t>
  </si>
  <si>
    <t>menF</t>
  </si>
  <si>
    <t>menaquinone-specific isochorismate synthase</t>
  </si>
  <si>
    <t>0.07743 (0.05653)</t>
  </si>
  <si>
    <t>0.02909 (0.03958)</t>
  </si>
  <si>
    <t>0.00853 (0.00034)</t>
  </si>
  <si>
    <t>0.03226 (0.00120)</t>
  </si>
  <si>
    <t>yteA</t>
  </si>
  <si>
    <t>putative regulatory protein</t>
  </si>
  <si>
    <t>0.08399 (0.05389)</t>
  </si>
  <si>
    <t>0.01178 (0.00060)</t>
  </si>
  <si>
    <t>0.04913 (0.00274)</t>
  </si>
  <si>
    <t>0.00236 (0.00021)</t>
  </si>
  <si>
    <t>ytdA</t>
  </si>
  <si>
    <t>0.17151 (0.06263)</t>
  </si>
  <si>
    <t>0.13951 (0.06820)</t>
  </si>
  <si>
    <t>0.01383 (0.00058)</t>
  </si>
  <si>
    <t>0.03814 (0.00178)</t>
  </si>
  <si>
    <t>0.00670 (0.00035)</t>
  </si>
  <si>
    <t>ytcA</t>
  </si>
  <si>
    <t>putative UDP-glucose dehydrogenase</t>
  </si>
  <si>
    <t>0.14724 (0.05339)</t>
  </si>
  <si>
    <t>0.13477 (0.04123)</t>
  </si>
  <si>
    <t>0.01181 (0.00048)</t>
  </si>
  <si>
    <t>0.03642 (0.00160)</t>
  </si>
  <si>
    <t>0.00456 (0.00020)</t>
  </si>
  <si>
    <t>ytcB</t>
  </si>
  <si>
    <t>putative UDP-glucose epimerase</t>
  </si>
  <si>
    <t>0.18319 (0.11860)</t>
  </si>
  <si>
    <t>0.24787 (0.10650)</t>
  </si>
  <si>
    <t>0.01624 (0.00060)</t>
  </si>
  <si>
    <t>0.04236 (0.00221)</t>
  </si>
  <si>
    <t>0.00863 (0.00037)</t>
  </si>
  <si>
    <t>ytcC</t>
  </si>
  <si>
    <t>putative glucosyltransferase</t>
  </si>
  <si>
    <t>0.12222 (0.04162)</t>
  </si>
  <si>
    <t>0.08627 (0.04726)</t>
  </si>
  <si>
    <t>0.01453 (0.00047)</t>
  </si>
  <si>
    <t>0.04783 (0.00162)</t>
  </si>
  <si>
    <t>0.00514 (0.00019)</t>
  </si>
  <si>
    <t>cotOO</t>
  </si>
  <si>
    <t>outer spore coat protein</t>
  </si>
  <si>
    <t>0.33512 (0.24218)</t>
  </si>
  <si>
    <t>0.30255 (0.16402)</t>
  </si>
  <si>
    <t>0.02473 (0.00187)</t>
  </si>
  <si>
    <t>0.05864 (0.00424)</t>
  </si>
  <si>
    <t>0.01674 (0.00157)</t>
  </si>
  <si>
    <t>cotS</t>
  </si>
  <si>
    <t>0.05609 (0.05590)</t>
  </si>
  <si>
    <t>0.08178 (0.03732)</t>
  </si>
  <si>
    <t>0.01663 (0.00073)</t>
  </si>
  <si>
    <t>0.06278 (0.00274)</t>
  </si>
  <si>
    <t>0.00483 (0.00030)</t>
  </si>
  <si>
    <t>cotSA</t>
  </si>
  <si>
    <t>0.23321 (0.14359)</t>
  </si>
  <si>
    <t>0.12156 (0.03547)</t>
  </si>
  <si>
    <t>0.00732 (0.00029)</t>
  </si>
  <si>
    <t>0.02139 (0.00096)</t>
  </si>
  <si>
    <t>0.00343 (0.00021)</t>
  </si>
  <si>
    <t>cotI</t>
  </si>
  <si>
    <t>spore coat kinase</t>
  </si>
  <si>
    <t>0.19857 (0.09267)</t>
  </si>
  <si>
    <t>0.14847 (0.12076)</t>
  </si>
  <si>
    <t>0.01271 (0.00084)</t>
  </si>
  <si>
    <t>0.03859 (0.00296)</t>
  </si>
  <si>
    <t>0.00594 (0.00037)</t>
  </si>
  <si>
    <t>ytaB</t>
  </si>
  <si>
    <t>putative receptor</t>
  </si>
  <si>
    <t>0.60984 (0.33383)</t>
  </si>
  <si>
    <t>0.10703 (0.08422)</t>
  </si>
  <si>
    <t>0.02760 (0.00211)</t>
  </si>
  <si>
    <t>0.00850 (0.00107)</t>
  </si>
  <si>
    <t>glgP</t>
  </si>
  <si>
    <t>glycogen phosphorylase</t>
  </si>
  <si>
    <t>0.05684 (0.03186)</t>
  </si>
  <si>
    <t>0.05455 (0.02084)</t>
  </si>
  <si>
    <t>0.01347 (0.00041)</t>
  </si>
  <si>
    <t>0.05378 (0.00178)</t>
  </si>
  <si>
    <t>0.00266 (0.00010)</t>
  </si>
  <si>
    <t>glgA</t>
  </si>
  <si>
    <t>glycogen (starch) synthase</t>
  </si>
  <si>
    <t>0.17518 (0.04491)</t>
  </si>
  <si>
    <t>0.10556 (0.02212)</t>
  </si>
  <si>
    <t>0.01814 (0.00059)</t>
  </si>
  <si>
    <t>0.05834 (0.00203)</t>
  </si>
  <si>
    <t>0.00734 (0.00030)</t>
  </si>
  <si>
    <t>glgD</t>
  </si>
  <si>
    <t>glucose-1-phosphate adenylyltransferase(ADP-glucose pyrophosphorylase) beta subunit</t>
  </si>
  <si>
    <t>0.06169 (0.02478)</t>
  </si>
  <si>
    <t>0.03878 (0.06656)</t>
  </si>
  <si>
    <t>0.02063 (0.00148)</t>
  </si>
  <si>
    <t>0.08828 (0.00701)</t>
  </si>
  <si>
    <t>0.00371 (0.00024)</t>
  </si>
  <si>
    <t>glgC</t>
  </si>
  <si>
    <t>glucose-1-phosphate adenylyltransferase(ADP-glucose pyrophosphorylase) subunit alpha</t>
  </si>
  <si>
    <t>0.06025 (0.03585)</t>
  </si>
  <si>
    <t>0.00645 (0.00020)</t>
  </si>
  <si>
    <t>0.02653 (0.00094)</t>
  </si>
  <si>
    <t>0.00076 (0.00007)</t>
  </si>
  <si>
    <t>glgB</t>
  </si>
  <si>
    <t>1,4-alpha-glucan branching enzyme</t>
  </si>
  <si>
    <t>0.14030 (0.04887)</t>
  </si>
  <si>
    <t>0.12903 (0.05415)</t>
  </si>
  <si>
    <t>0.00859 (0.00030)</t>
  </si>
  <si>
    <t>0.02828 (0.00109)</t>
  </si>
  <si>
    <t>0.00339 (0.00013)</t>
  </si>
  <si>
    <t>thiT</t>
  </si>
  <si>
    <t>thiamin permease</t>
  </si>
  <si>
    <t>0.12225 (0.07513)</t>
  </si>
  <si>
    <t>0.08170 (0.10031)</t>
  </si>
  <si>
    <t>0.00763 (0.00065)</t>
  </si>
  <si>
    <t>0.02300 (0.00223)</t>
  </si>
  <si>
    <t>0.00272 (0.00029)</t>
  </si>
  <si>
    <t>yuaI</t>
  </si>
  <si>
    <t>0.48016 (0.15057)</t>
  </si>
  <si>
    <t>0.41198 (0.29731)</t>
  </si>
  <si>
    <t>0.01329 (0.00073)</t>
  </si>
  <si>
    <t>0.02350 (0.00130)</t>
  </si>
  <si>
    <t>0.01059 (0.00072)</t>
  </si>
  <si>
    <t>floT</t>
  </si>
  <si>
    <t>flotillin lipid rafts scaffold protein</t>
  </si>
  <si>
    <t>0.02933 (0.02862)</t>
  </si>
  <si>
    <t>0.03157 (0.07011)</t>
  </si>
  <si>
    <t>0.01894 (0.00130)</t>
  </si>
  <si>
    <t>0.08423 (0.00615)</t>
  </si>
  <si>
    <t>0.00216 (0.00019)</t>
  </si>
  <si>
    <t>nfeDB</t>
  </si>
  <si>
    <t>putative membrane integrity integral membraneprotein</t>
  </si>
  <si>
    <t>0.18663 (0.24814)</t>
  </si>
  <si>
    <t>0.04634 (0.06153)</t>
  </si>
  <si>
    <t>0.01745 (0.00120)</t>
  </si>
  <si>
    <t>0.05253 (0.00352)</t>
  </si>
  <si>
    <t>0.00605 (0.00058)</t>
  </si>
  <si>
    <t>yuaE</t>
  </si>
  <si>
    <t>0.14843 (0.32674)</t>
  </si>
  <si>
    <t>0.01278 (0.00198)</t>
  </si>
  <si>
    <t>0.04821 (0.00791)</t>
  </si>
  <si>
    <t>0.00517 (0.00082)</t>
  </si>
  <si>
    <t>yuaD</t>
  </si>
  <si>
    <t>0.29815 (0.13702)</t>
  </si>
  <si>
    <t>0.21618 (0.16200)</t>
  </si>
  <si>
    <t>0.01335 (0.00058)</t>
  </si>
  <si>
    <t>0.03483 (0.00180)</t>
  </si>
  <si>
    <t>0.00726 (0.00038)</t>
  </si>
  <si>
    <t>gbsB</t>
  </si>
  <si>
    <t>choline dehydrogenase</t>
  </si>
  <si>
    <t>0.06854 (0.04145)</t>
  </si>
  <si>
    <t>0.10105 (0.07226)</t>
  </si>
  <si>
    <t>0.00693 (0.00034)</t>
  </si>
  <si>
    <t>0.02625 (0.00141)</t>
  </si>
  <si>
    <t>gbsA</t>
  </si>
  <si>
    <t>glycine betaine aldehyde dehydrogenase,NAD+-dependent</t>
  </si>
  <si>
    <t>0.05320 (0.03342)</t>
  </si>
  <si>
    <t>0.03688 (0.05690)</t>
  </si>
  <si>
    <t>0.00945 (0.00042)</t>
  </si>
  <si>
    <t>0.03603 (0.00176)</t>
  </si>
  <si>
    <t>0.00186 (0.00013)</t>
  </si>
  <si>
    <t>gbsR</t>
  </si>
  <si>
    <t>transcriptional repressor for gbsAB</t>
  </si>
  <si>
    <t>0.04572 (0.04572)</t>
  </si>
  <si>
    <t>0.59301 (0.26693)</t>
  </si>
  <si>
    <t>0.01051 (0.00058)</t>
  </si>
  <si>
    <t>0.03132 (0.00239)</t>
  </si>
  <si>
    <t>0.00544 (0.00043)</t>
  </si>
  <si>
    <t>bslA</t>
  </si>
  <si>
    <t>biofilm hydrophobic layer component</t>
  </si>
  <si>
    <t>0.05308 (0.05746)</t>
  </si>
  <si>
    <t>0.00774 (0.00051)</t>
  </si>
  <si>
    <t>0.02977 (0.00198)</t>
  </si>
  <si>
    <t>0.00089 (0.00017)</t>
  </si>
  <si>
    <t>ktrA</t>
  </si>
  <si>
    <t>0.08619 (0.07443)</t>
  </si>
  <si>
    <t>0.02618 (0.06720)</t>
  </si>
  <si>
    <t>0.00812 (0.00040)</t>
  </si>
  <si>
    <t>0.03199 (0.00160)</t>
  </si>
  <si>
    <t>ktrB</t>
  </si>
  <si>
    <t>potassium transporter ATPase</t>
  </si>
  <si>
    <t>0.17101 (0.10225)</t>
  </si>
  <si>
    <t>0.02753 (0.04845)</t>
  </si>
  <si>
    <t>0.01098 (0.00031)</t>
  </si>
  <si>
    <t>0.03672 (0.00112)</t>
  </si>
  <si>
    <t>yubF</t>
  </si>
  <si>
    <t>0.03627 (0.07871)</t>
  </si>
  <si>
    <t>0.02016 (0.00181)</t>
  </si>
  <si>
    <t>0.09376 (0.00936)</t>
  </si>
  <si>
    <t>0.00092 (0.00025)</t>
  </si>
  <si>
    <t>lytG</t>
  </si>
  <si>
    <t>exoglucosaminidase</t>
  </si>
  <si>
    <t>0.07554 (0.04901)</t>
  </si>
  <si>
    <t>0.08638 (0.09831)</t>
  </si>
  <si>
    <t>0.00774 (0.00032)</t>
  </si>
  <si>
    <t>0.02520 (0.00094)</t>
  </si>
  <si>
    <t>0.00284 (0.00028)</t>
  </si>
  <si>
    <t>yubD</t>
  </si>
  <si>
    <t>0.20779 (0.09131)</t>
  </si>
  <si>
    <t>0.12714 (0.04018)</t>
  </si>
  <si>
    <t>0.01450 (0.00049)</t>
  </si>
  <si>
    <t>0.03925 (0.00145)</t>
  </si>
  <si>
    <t>0.00666 (0.00025)</t>
  </si>
  <si>
    <t>cdoA</t>
  </si>
  <si>
    <t>cysteine dioxygenase</t>
  </si>
  <si>
    <t>0.13180 (0.09454)</t>
  </si>
  <si>
    <t>0.09416 (0.07159)</t>
  </si>
  <si>
    <t>0.01720 (0.00081)</t>
  </si>
  <si>
    <t>0.05934 (0.00366)</t>
  </si>
  <si>
    <t>0.00603 (0.00034)</t>
  </si>
  <si>
    <t>uppP</t>
  </si>
  <si>
    <t>undecaprenyl-pyrophosphate phosphatase</t>
  </si>
  <si>
    <t>0.04522 (0.03631)</t>
  </si>
  <si>
    <t>0.01075 (0.00051)</t>
  </si>
  <si>
    <t>0.04513 (0.00225)</t>
  </si>
  <si>
    <t>0.00073 (0.00010)</t>
  </si>
  <si>
    <t>yubA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</si>
  <si>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</si>
  <si>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0.03683 (0.04033)</t>
  </si>
  <si>
    <t>0.04312 (0.07355)</t>
  </si>
  <si>
    <t>0.02530 (0.00181)</t>
  </si>
  <si>
    <t>0.09770 (0.00721)</t>
  </si>
  <si>
    <t>0.00458 (0.00038)</t>
  </si>
  <si>
    <t>iolU</t>
  </si>
  <si>
    <t>scyllo-inositol dehydrogenase (NADP+-dependent);biofilm formation</t>
  </si>
  <si>
    <t>0.11091 (0.11700)</t>
  </si>
  <si>
    <t>0.08690 (0.09179)</t>
  </si>
  <si>
    <t>0.01432 (0.00085)</t>
  </si>
  <si>
    <t>0.05137 (0.00303)</t>
  </si>
  <si>
    <t>rhaA</t>
  </si>
  <si>
    <t>L-rhamnose isomerase</t>
  </si>
  <si>
    <t>0.10059 (0.05944)</t>
  </si>
  <si>
    <t>0.10098 (0.06417)</t>
  </si>
  <si>
    <t>0.01090 (0.00048)</t>
  </si>
  <si>
    <t>0.03846 (0.00211)</t>
  </si>
  <si>
    <t>0.00332 (0.00017)</t>
  </si>
  <si>
    <t>rhaM</t>
  </si>
  <si>
    <t>L-rhamnose mutarotase</t>
  </si>
  <si>
    <t>0.11601 (0.05499)</t>
  </si>
  <si>
    <t>0.70144 (0.80996)</t>
  </si>
  <si>
    <t>0.01293 (0.00135)</t>
  </si>
  <si>
    <t>0.03292 (0.00481)</t>
  </si>
  <si>
    <t>0.00855 (0.00080)</t>
  </si>
  <si>
    <t>rhaB</t>
  </si>
  <si>
    <t>rhamnulokinase</t>
  </si>
  <si>
    <t>0.18013 (0.12152)</t>
  </si>
  <si>
    <t>0.14694 (0.06561)</t>
  </si>
  <si>
    <t>0.01508 (0.00064)</t>
  </si>
  <si>
    <t>0.04175 (0.00193)</t>
  </si>
  <si>
    <t>0.00788 (0.00034)</t>
  </si>
  <si>
    <t>rhaR</t>
  </si>
  <si>
    <t>transcriptional regulator of the rhamnose operon</t>
  </si>
  <si>
    <t>0.04089 (0.05598)</t>
  </si>
  <si>
    <t>0.05730 (0.07797)</t>
  </si>
  <si>
    <t>0.00967 (0.00043)</t>
  </si>
  <si>
    <t>0.03847 (0.00182)</t>
  </si>
  <si>
    <t>0.00171 (0.00016)</t>
  </si>
  <si>
    <t>rhaE</t>
  </si>
  <si>
    <t>bifunctional rhamnulose-1-phosphate</t>
  </si>
  <si>
    <t>0.15140 (0.13978)</t>
  </si>
  <si>
    <t>0.09101 (0.04761)</t>
  </si>
  <si>
    <t>0.01335 (0.00040)</t>
  </si>
  <si>
    <t>0.04377 (0.00138)</t>
  </si>
  <si>
    <t>0.00468 (0.00019)</t>
  </si>
  <si>
    <t>tlpB</t>
  </si>
  <si>
    <t>0.04216 (0.02272)</t>
  </si>
  <si>
    <t>0.02230 (0.02402)</t>
  </si>
  <si>
    <t>0.01205 (0.00034)</t>
  </si>
  <si>
    <t>0.04756 (0.00129)</t>
  </si>
  <si>
    <t>mcpA</t>
  </si>
  <si>
    <t>0.04896 (0.02893)</t>
  </si>
  <si>
    <t>0.02245 (0.02748)</t>
  </si>
  <si>
    <t>0.01245 (0.00042)</t>
  </si>
  <si>
    <t>0.05205 (0.00180)</t>
  </si>
  <si>
    <t>0.00169 (0.00009)</t>
  </si>
  <si>
    <t>tlpA</t>
  </si>
  <si>
    <t>methyl-accepting chemotaxis protein (membranecurvature dependent localisation)</t>
  </si>
  <si>
    <t>0.07260 (0.06581)</t>
  </si>
  <si>
    <t>0.09151 (0.06887)</t>
  </si>
  <si>
    <t>0.01394 (0.00070)</t>
  </si>
  <si>
    <t>0.04944 (0.00242)</t>
  </si>
  <si>
    <t>0.00414 (0.00027)</t>
  </si>
  <si>
    <t>mcpB</t>
  </si>
  <si>
    <t>0.07311 (0.03623)</t>
  </si>
  <si>
    <t>0.05192 (0.02873)</t>
  </si>
  <si>
    <t>0.00915 (0.00034)</t>
  </si>
  <si>
    <t>0.03442 (0.00137)</t>
  </si>
  <si>
    <t>0.00205 (0.00009)</t>
  </si>
  <si>
    <t>tgl</t>
  </si>
  <si>
    <t>protein-glutamine gamma-glutamyltransferase(transglutaminase)</t>
  </si>
  <si>
    <t>0.07193 (0.04949)</t>
  </si>
  <si>
    <t>0.06415 (0.07900)</t>
  </si>
  <si>
    <t>0.01012 (0.00041)</t>
  </si>
  <si>
    <t>0.03584 (0.00149)</t>
  </si>
  <si>
    <t>0.00294 (0.00030)</t>
  </si>
  <si>
    <t>yuzH</t>
  </si>
  <si>
    <t>0.15352 (0.09775)</t>
  </si>
  <si>
    <t>0.53938 (0.77852)</t>
  </si>
  <si>
    <t>0.01347 (0.00071)</t>
  </si>
  <si>
    <t>0.03159 (0.00216)</t>
  </si>
  <si>
    <t>0.00883 (0.00076)</t>
  </si>
  <si>
    <t>yugU</t>
  </si>
  <si>
    <t>0.14161 (0.07182)</t>
  </si>
  <si>
    <t>0.02340 (0.05106)</t>
  </si>
  <si>
    <t>0.01320 (0.00061)</t>
  </si>
  <si>
    <t>0.05109 (0.00251)</t>
  </si>
  <si>
    <t>0.00298 (0.00026)</t>
  </si>
  <si>
    <t>yugS</t>
  </si>
  <si>
    <t>0.03804 (0.03077)</t>
  </si>
  <si>
    <t>0.05156 (0.03545)</t>
  </si>
  <si>
    <t>0.01529 (0.00071)</t>
  </si>
  <si>
    <t>0.06249 (0.00309)</t>
  </si>
  <si>
    <t>0.00279 (0.00018)</t>
  </si>
  <si>
    <t>yugP</t>
  </si>
  <si>
    <t>putative metal-dependent protease/peptidase</t>
  </si>
  <si>
    <t>0.01831 (0.05124)</t>
  </si>
  <si>
    <t>0.02323 (0.03072)</t>
  </si>
  <si>
    <t>0.01919 (0.00125)</t>
  </si>
  <si>
    <t>0.07638 (0.00498)</t>
  </si>
  <si>
    <t>0.00187 (0.00019)</t>
  </si>
  <si>
    <t>yuzI</t>
  </si>
  <si>
    <t>0.14459 (0.13709)</t>
  </si>
  <si>
    <t>0.29709 (0.45828)</t>
  </si>
  <si>
    <t>0.01873 (0.00161)</t>
  </si>
  <si>
    <t>0.04950 (0.00609)</t>
  </si>
  <si>
    <t>0.01034 (0.00125)</t>
  </si>
  <si>
    <t>mstX</t>
  </si>
  <si>
    <t>atypical membrane-integrating regulator ofbiofilm formation (Mistic protein)</t>
  </si>
  <si>
    <t>0.04741 (0.06253)</t>
  </si>
  <si>
    <t>0.16771 (0.12895)</t>
  </si>
  <si>
    <t>0.02247 (0.00193)</t>
  </si>
  <si>
    <t>0.08554 (0.00753)</t>
  </si>
  <si>
    <t>0.00914 (0.00087)</t>
  </si>
  <si>
    <t>kbfO</t>
  </si>
  <si>
    <t>potassium channel protein involved in biofilmformation</t>
  </si>
  <si>
    <t>0.06722 (0.03359)</t>
  </si>
  <si>
    <t>0.02795 (0.08584)</t>
  </si>
  <si>
    <t>0.01131 (0.00037)</t>
  </si>
  <si>
    <t>0.03916 (0.00130)</t>
  </si>
  <si>
    <t>0.00268 (0.00016)</t>
  </si>
  <si>
    <t>yugN</t>
  </si>
  <si>
    <t>0.11734 (0.11127)</t>
  </si>
  <si>
    <t>0.02391 (0.00266)</t>
  </si>
  <si>
    <t>0.08322 (0.01056)</t>
  </si>
  <si>
    <t>0.00853 (0.00117)</t>
  </si>
  <si>
    <t>yugM</t>
  </si>
  <si>
    <t>0.62642 (0.44810)</t>
  </si>
  <si>
    <t>0.23528 (0.21669)</t>
  </si>
  <si>
    <t>0.01370 (0.00077)</t>
  </si>
  <si>
    <t>0.02166 (0.00202)</t>
  </si>
  <si>
    <t>0.01144 (0.00078)</t>
  </si>
  <si>
    <t>pgi</t>
  </si>
  <si>
    <t>glucose-6-phosphate isomerase</t>
  </si>
  <si>
    <t>0.26563 (0.08286)</t>
  </si>
  <si>
    <t>0.03794 (0.04004)</t>
  </si>
  <si>
    <t>0.00582 (0.01346)</t>
  </si>
  <si>
    <t>0.02064 (0.00133)</t>
  </si>
  <si>
    <t>0.09825 (0.00665)</t>
  </si>
  <si>
    <t>0.00095 (0.00007)</t>
  </si>
  <si>
    <t>bdhK</t>
  </si>
  <si>
    <t>NADH-dependent butanol dehydrogenase subunit</t>
  </si>
  <si>
    <t>0.10155 (0.05863)</t>
  </si>
  <si>
    <t>0.04551 (0.04134)</t>
  </si>
  <si>
    <t>0.01751 (0.00053)</t>
  </si>
  <si>
    <t>0.06628 (0.00244)</t>
  </si>
  <si>
    <t>0.00405 (0.00022)</t>
  </si>
  <si>
    <t>bdhJ</t>
  </si>
  <si>
    <t>NADH-dependent butanol dehydrogenase</t>
  </si>
  <si>
    <t>0.03398 (0.03249)</t>
  </si>
  <si>
    <t>0.02271 (0.06991)</t>
  </si>
  <si>
    <t>0.01919 (0.00124)</t>
  </si>
  <si>
    <t>0.08354 (0.00570)</t>
  </si>
  <si>
    <t>0.00201 (0.00018)</t>
  </si>
  <si>
    <t>yuzA</t>
  </si>
  <si>
    <t>0.03333 (0.00505)</t>
  </si>
  <si>
    <t>0.15712 (0.02487)</t>
  </si>
  <si>
    <t>yugI</t>
  </si>
  <si>
    <t>putative RNA degradation protein; putativephosphorylase or nucleotidyl transferase; general stressprotein</t>
  </si>
  <si>
    <t>0.06963 (0.10444)</t>
  </si>
  <si>
    <t>0.09283 (0.15472)</t>
  </si>
  <si>
    <t>0.00852 (0.00081)</t>
  </si>
  <si>
    <t>0.03047 (0.00287)</t>
  </si>
  <si>
    <t>0.00259 (0.00035)</t>
  </si>
  <si>
    <t>yugH</t>
  </si>
  <si>
    <t>0.02985 (0.04361)</t>
  </si>
  <si>
    <t>0.01409 (0.05791)</t>
  </si>
  <si>
    <t>0.01891 (0.00139)</t>
  </si>
  <si>
    <t>0.08342 (0.00647)</t>
  </si>
  <si>
    <t>0.00145 (0.00015)</t>
  </si>
  <si>
    <t>yugG</t>
  </si>
  <si>
    <t>0.00970 (0.02572)</t>
  </si>
  <si>
    <t>0.02516 (0.00137)</t>
  </si>
  <si>
    <t>0.12044 (0.00689)</t>
  </si>
  <si>
    <t>0.00080 (0.00010)</t>
  </si>
  <si>
    <t>yugF</t>
  </si>
  <si>
    <t>0.07411 (0.05566)</t>
  </si>
  <si>
    <t>0.09218 (0.06374)</t>
  </si>
  <si>
    <t>0.01291 (0.00068)</t>
  </si>
  <si>
    <t>0.04684 (0.00273)</t>
  </si>
  <si>
    <t>0.00325 (0.00023)</t>
  </si>
  <si>
    <t>yugE</t>
  </si>
  <si>
    <t>0.19349 (0.14357)</t>
  </si>
  <si>
    <t>0.25625 (0.19956)</t>
  </si>
  <si>
    <t>0.01895 (0.00169)</t>
  </si>
  <si>
    <t>0.04741 (0.00608)</t>
  </si>
  <si>
    <t>0.01238 (0.00113)</t>
  </si>
  <si>
    <t>patB</t>
  </si>
  <si>
    <t>promiscuous cystathionine / cystine beta-lyase /cysteine desulfhydrase</t>
  </si>
  <si>
    <t>0.19035 (0.06817)</t>
  </si>
  <si>
    <t>0.13827 (0.06173)</t>
  </si>
  <si>
    <t>0.01759 (0.00049)</t>
  </si>
  <si>
    <t>0.05486 (0.00194)</t>
  </si>
  <si>
    <t>0.00725 (0.00025)</t>
  </si>
  <si>
    <t>kinB</t>
  </si>
  <si>
    <t>two-component sensor potassium-binding histidinekinase</t>
  </si>
  <si>
    <t>0.06948 (0.04639)</t>
  </si>
  <si>
    <t>0.04050 (0.05769)</t>
  </si>
  <si>
    <t>0.00865 (0.00038)</t>
  </si>
  <si>
    <t>0.03188 (0.00145)</t>
  </si>
  <si>
    <t>0.00183 (0.00012)</t>
  </si>
  <si>
    <t>kapB</t>
  </si>
  <si>
    <t>factor required for KinB signal transduction andactivation of the phosphorelay to sporulation</t>
  </si>
  <si>
    <t>0.13672 (0.11074)</t>
  </si>
  <si>
    <t>0.16316 (0.08561)</t>
  </si>
  <si>
    <t>0.02384 (0.00148)</t>
  </si>
  <si>
    <t>0.07183 (0.00556)</t>
  </si>
  <si>
    <t>0.01114 (0.00068)</t>
  </si>
  <si>
    <t>kapD</t>
  </si>
  <si>
    <t>putative exoribonuclease (3'-5')</t>
  </si>
  <si>
    <t>0.02354 (0.02774)</t>
  </si>
  <si>
    <t>0.03269 (0.07092)</t>
  </si>
  <si>
    <t>0.00915 (0.00043)</t>
  </si>
  <si>
    <t>0.03889 (0.00193)</t>
  </si>
  <si>
    <t>0.00163 (0.00014)</t>
  </si>
  <si>
    <t>yuxJ</t>
  </si>
  <si>
    <t>putative exporter induced in acid stress</t>
  </si>
  <si>
    <t>0.05237 (0.02606)</t>
  </si>
  <si>
    <t>0.09013 (0.08562)</t>
  </si>
  <si>
    <t>0.02408 (0.00128)</t>
  </si>
  <si>
    <t>0.08554 (0.00470)</t>
  </si>
  <si>
    <t>0.00639 (0.00037)</t>
  </si>
  <si>
    <t>pbpD</t>
  </si>
  <si>
    <t>penicillin-binding protein 4</t>
  </si>
  <si>
    <t>0.03785 (0.05052)</t>
  </si>
  <si>
    <t>0.07312 (0.06611)</t>
  </si>
  <si>
    <t>0.02041 (0.00131)</t>
  </si>
  <si>
    <t>0.08037 (0.00546)</t>
  </si>
  <si>
    <t>0.00484 (0.00033)</t>
  </si>
  <si>
    <t>yuxK</t>
  </si>
  <si>
    <t>putative thiol-disulfide oxidoreductase</t>
  </si>
  <si>
    <t>0.09090 (0.04510)</t>
  </si>
  <si>
    <t>0.09135 (0.05722)</t>
  </si>
  <si>
    <t>0.02881 (0.00161)</t>
  </si>
  <si>
    <t>0.10609 (0.00629)</t>
  </si>
  <si>
    <t>0.00897 (0.00055)</t>
  </si>
  <si>
    <t>yufK</t>
  </si>
  <si>
    <t>0.06490 (0.10642)</t>
  </si>
  <si>
    <t>0.02442 (0.06182)</t>
  </si>
  <si>
    <t>0.02184 (0.00155)</t>
  </si>
  <si>
    <t>0.08503 (0.00613)</t>
  </si>
  <si>
    <t>0.00340 (0.00035)</t>
  </si>
  <si>
    <t>maeL</t>
  </si>
  <si>
    <t>two-component sensor histidine kinase [MaeM]</t>
  </si>
  <si>
    <t>0.06579 (0.02132)</t>
  </si>
  <si>
    <t>0.04441 (0.04460)</t>
  </si>
  <si>
    <t>0.00637 (0.00031)</t>
  </si>
  <si>
    <t>0.02393 (0.00126)</t>
  </si>
  <si>
    <t>0.00141 (0.00008)</t>
  </si>
  <si>
    <t>maeM</t>
  </si>
  <si>
    <t>two-component response regulator for malatemetabolism [MaeL]</t>
  </si>
  <si>
    <t>0.05069 (0.08330)</t>
  </si>
  <si>
    <t>0.04328 (0.16375)</t>
  </si>
  <si>
    <t>0.01649 (0.00161)</t>
  </si>
  <si>
    <t>0.06913 (0.00681)</t>
  </si>
  <si>
    <t>0.00301 (0.00039)</t>
  </si>
  <si>
    <t>nupN</t>
  </si>
  <si>
    <t>lipoprotein involved in guanosine transport</t>
  </si>
  <si>
    <t>0.13531 (0.05697)</t>
  </si>
  <si>
    <t>0.02094 (0.04977)</t>
  </si>
  <si>
    <t>0.00721 (0.00030)</t>
  </si>
  <si>
    <t>0.02745 (0.00128)</t>
  </si>
  <si>
    <t>nupO</t>
  </si>
  <si>
    <t>guanosine ABC transporter (ATP-binding protein)</t>
  </si>
  <si>
    <t>0.21064 (0.15610)</t>
  </si>
  <si>
    <t>0.05456 (0.03312)</t>
  </si>
  <si>
    <t>0.01062 (0.00064)</t>
  </si>
  <si>
    <t>0.03618 (0.00256)</t>
  </si>
  <si>
    <t>nupP</t>
  </si>
  <si>
    <t>permease of ABC guanosine transporter</t>
  </si>
  <si>
    <t>0.06192 (0.04571)</t>
  </si>
  <si>
    <t>0.11848 (0.08018)</t>
  </si>
  <si>
    <t>0.01359 (0.00048)</t>
  </si>
  <si>
    <t>0.04253 (0.00168)</t>
  </si>
  <si>
    <t>0.00423 (0.00026)</t>
  </si>
  <si>
    <t>nupQ</t>
  </si>
  <si>
    <t>0.07512 (0.03623)</t>
  </si>
  <si>
    <t>0.07164 (0.07022)</t>
  </si>
  <si>
    <t>0.01178 (0.00038)</t>
  </si>
  <si>
    <t>0.03785 (0.00125)</t>
  </si>
  <si>
    <t>0.00312 (0.00017)</t>
  </si>
  <si>
    <t>maeN</t>
  </si>
  <si>
    <t>Na+/malate symporter</t>
  </si>
  <si>
    <t>0.03125 (0.04983)</t>
  </si>
  <si>
    <t>0.03835 (0.02535)</t>
  </si>
  <si>
    <t>0.01164 (0.00037)</t>
  </si>
  <si>
    <t>0.04332 (0.00146)</t>
  </si>
  <si>
    <t>0.00170 (0.00010)</t>
  </si>
  <si>
    <t>yufS</t>
  </si>
  <si>
    <t>putative bacteriocin</t>
  </si>
  <si>
    <t>2.01867 (4.09382)</t>
  </si>
  <si>
    <t>0.01442 (0.00106)</t>
  </si>
  <si>
    <t>0.00530 (0.00150)</t>
  </si>
  <si>
    <t>0.01732 (0.00147)</t>
  </si>
  <si>
    <t>mrpA</t>
  </si>
  <si>
    <t>sodium transporter component of a Na+/H+antiporter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</si>
  <si>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</si>
  <si>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0.06925 (0.03137)</t>
  </si>
  <si>
    <t>0.08666 (0.08430)</t>
  </si>
  <si>
    <t>0.00926 (0.00034)</t>
  </si>
  <si>
    <t>0.03180 (0.00112)</t>
  </si>
  <si>
    <t>mrpB</t>
  </si>
  <si>
    <t>Na+/H+ antiporter complex</t>
  </si>
  <si>
    <t>0.03850 (0.06284)</t>
  </si>
  <si>
    <t>0.07499 (0.07455)</t>
  </si>
  <si>
    <t>0.02220 (0.00185)</t>
  </si>
  <si>
    <t>0.07671 (0.00651)</t>
  </si>
  <si>
    <t>0.00482 (0.00058)</t>
  </si>
  <si>
    <t>mrpC</t>
  </si>
  <si>
    <t>component of Na+/H+ antiporter</t>
  </si>
  <si>
    <t>0.02141 (0.06322)</t>
  </si>
  <si>
    <t>0.02487 (0.05994)</t>
  </si>
  <si>
    <t>0.01649 (0.00095)</t>
  </si>
  <si>
    <t>0.07022 (0.00412)</t>
  </si>
  <si>
    <t>0.00147 (0.00020)</t>
  </si>
  <si>
    <t>mrpD</t>
  </si>
  <si>
    <t>proton transporter component of Na+/H+antiporter</t>
  </si>
  <si>
    <t>0.09456 (0.03979)</t>
  </si>
  <si>
    <t>0.08624 (0.05314)</t>
  </si>
  <si>
    <t>0.01346 (0.00034)</t>
  </si>
  <si>
    <t>0.04213 (0.00131)</t>
  </si>
  <si>
    <t>0.00398 (0.00015)</t>
  </si>
  <si>
    <t>mrpE</t>
  </si>
  <si>
    <t>non essential component of Na+/H+ antiporter</t>
  </si>
  <si>
    <t>0.01627 (0.05389)</t>
  </si>
  <si>
    <t>0.00872 (0.00064)</t>
  </si>
  <si>
    <t>0.03949 (0.00315)</t>
  </si>
  <si>
    <t>mrpF</t>
  </si>
  <si>
    <t>efflux transporter for Na+ and cholate</t>
  </si>
  <si>
    <t>0.03581 (0.05218)</t>
  </si>
  <si>
    <t>0.03423 (0.06439)</t>
  </si>
  <si>
    <t>0.02202 (0.00135)</t>
  </si>
  <si>
    <t>0.08238 (0.00487)</t>
  </si>
  <si>
    <t>0.00299 (0.00035)</t>
  </si>
  <si>
    <t>mrpG</t>
  </si>
  <si>
    <t>0.06886 (0.08397)</t>
  </si>
  <si>
    <t>0.08256 (0.09494)</t>
  </si>
  <si>
    <t>0.01631 (0.00063)</t>
  </si>
  <si>
    <t>0.05616 (0.00221)</t>
  </si>
  <si>
    <t>0.00387 (0.00029)</t>
  </si>
  <si>
    <t>yuxO</t>
  </si>
  <si>
    <t>putative proofreading thioesterase inbacillibactin biosynthesis</t>
  </si>
  <si>
    <t>0.14623 (0.09022)</t>
  </si>
  <si>
    <t>0.07706 (0.07754)</t>
  </si>
  <si>
    <t>0.02439 (0.00130)</t>
  </si>
  <si>
    <t>0.08473 (0.00469)</t>
  </si>
  <si>
    <t>0.00728 (0.00047)</t>
  </si>
  <si>
    <t>comA</t>
  </si>
  <si>
    <t>two-component response quorum-sensing regulator</t>
  </si>
  <si>
    <t>0.03990 (0.04859)</t>
  </si>
  <si>
    <t>0.01179 (0.00053)</t>
  </si>
  <si>
    <t>0.05385 (0.00260)</t>
  </si>
  <si>
    <t>0.00064 (0.00008)</t>
  </si>
  <si>
    <t>comP</t>
  </si>
  <si>
    <t>0.11322 (0.16343)</t>
  </si>
  <si>
    <t>0.00181 (0.00040)</t>
  </si>
  <si>
    <t>0.00493 (0.00201)</t>
  </si>
  <si>
    <t>0.00093 (0.00017)</t>
  </si>
  <si>
    <t>comX</t>
  </si>
  <si>
    <t>competence pheromone precursor (pheromonepeptide aa 46-&gt;55, geranyl-modified)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</si>
  <si>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GCA_001604995.1_ASM160499v1_genomic , GCA_001660525.1_ASM166052v1_genomic , GCA_001697265.1_ASM169726v1_genomic , GCA_001703495.1_ASM170349v1_genomic , GCA_001889625.1_ASM188962v1_genomic , GCA_002055965.1_ASM205596v1_genomic , GCA_002142595.1_ASM214259v1_genomic</t>
  </si>
  <si>
    <t>0.48115 (0.39250)</t>
  </si>
  <si>
    <t>0.03526 (0.00941)</t>
  </si>
  <si>
    <t>0.05686 (0.00902)</t>
  </si>
  <si>
    <t>0.03105 (0.01077)</t>
  </si>
  <si>
    <t>degQ</t>
  </si>
  <si>
    <t>pleiotropic regulator</t>
  </si>
  <si>
    <t>0.01208 (0.00221)</t>
  </si>
  <si>
    <t>0.06677 (0.01280)</t>
  </si>
  <si>
    <t>BSU_31725</t>
  </si>
  <si>
    <t>hypothetical proteingene            3257693..3258061CDS             3257693..3258061PMID:16321932in the studied strain; PubMedId: 16321932; Product typecp: cell process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</si>
  <si>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</si>
  <si>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0.67857 (0.82025)</t>
  </si>
  <si>
    <t>0.29838 (0.49731)</t>
  </si>
  <si>
    <t>0.04028 (0.00336)</t>
  </si>
  <si>
    <t>0.06188 (0.00650)</t>
  </si>
  <si>
    <t>0.03616 (0.00374)</t>
  </si>
  <si>
    <t>pdeH</t>
  </si>
  <si>
    <t>cyclic di-GMP phosphodiesterase</t>
  </si>
  <si>
    <t>0.05994 (0.15371)</t>
  </si>
  <si>
    <t>0.07974 (0.03689)</t>
  </si>
  <si>
    <t>0.01218 (0.00111)</t>
  </si>
  <si>
    <t>0.04745 (0.00464)</t>
  </si>
  <si>
    <t>0.00353 (0.00034)</t>
  </si>
  <si>
    <t>pncB</t>
  </si>
  <si>
    <t>nicotinate phosphoribosyltransferase</t>
  </si>
  <si>
    <t>0.02481 (0.02938)</t>
  </si>
  <si>
    <t>0.00703 (0.02828)</t>
  </si>
  <si>
    <t>0.01657 (0.00123)</t>
  </si>
  <si>
    <t>0.08035 (0.00625)</t>
  </si>
  <si>
    <t>0.00112 (0.00010)</t>
  </si>
  <si>
    <t>pncA</t>
  </si>
  <si>
    <t>nicotinamidase; NAD salvage pathway</t>
  </si>
  <si>
    <t>0.16686 (0.08595)</t>
  </si>
  <si>
    <t>0.07070 (0.05399)</t>
  </si>
  <si>
    <t>0.01579 (0.00089)</t>
  </si>
  <si>
    <t>0.05730 (0.00363)</t>
  </si>
  <si>
    <t>0.00473 (0.00029)</t>
  </si>
  <si>
    <t>yueI</t>
  </si>
  <si>
    <t>0.10295 (0.04637)</t>
  </si>
  <si>
    <t>0.17587 (0.06818)</t>
  </si>
  <si>
    <t>0.01832 (0.00111)</t>
  </si>
  <si>
    <t>0.05390 (0.00341)</t>
  </si>
  <si>
    <t>0.00849 (0.00068)</t>
  </si>
  <si>
    <t>yueH</t>
  </si>
  <si>
    <t>0.94741 (0.05044)</t>
  </si>
  <si>
    <t>0.59005 (0.43483)</t>
  </si>
  <si>
    <t>0.19044 (0.22796)</t>
  </si>
  <si>
    <t>0.02687 (0.00325)</t>
  </si>
  <si>
    <t>0.06824 (0.01158)</t>
  </si>
  <si>
    <t>0.01651 (0.00154)</t>
  </si>
  <si>
    <t>yueG</t>
  </si>
  <si>
    <t>0.22773 (0.27133)</t>
  </si>
  <si>
    <t>0.01174 (0.00105)</t>
  </si>
  <si>
    <t>0.02275 (0.00413)</t>
  </si>
  <si>
    <t>0.00861 (0.00133)</t>
  </si>
  <si>
    <t>yueF</t>
  </si>
  <si>
    <t>0.05644 (0.03018)</t>
  </si>
  <si>
    <t>0.02085 (0.05439)</t>
  </si>
  <si>
    <t>0.01011 (0.00043)</t>
  </si>
  <si>
    <t>0.03725 (0.00170)</t>
  </si>
  <si>
    <t>yuzE</t>
  </si>
  <si>
    <t>0.30278 (0.22648)</t>
  </si>
  <si>
    <t>0.25014 (0.17691)</t>
  </si>
  <si>
    <t>0.02533 (0.00186)</t>
  </si>
  <si>
    <t>0.05099 (0.00386)</t>
  </si>
  <si>
    <t>0.01854 (0.00166)</t>
  </si>
  <si>
    <t>yuzF</t>
  </si>
  <si>
    <t>0.17520 (0.09451)</t>
  </si>
  <si>
    <t>0.01998 (0.00174)</t>
  </si>
  <si>
    <t>0.07198 (0.00685)</t>
  </si>
  <si>
    <t>0.00515 (0.00088)</t>
  </si>
  <si>
    <t>yueE</t>
  </si>
  <si>
    <t>0.05382 (0.06207)</t>
  </si>
  <si>
    <t>0.00898 (0.00051)</t>
  </si>
  <si>
    <t>0.03775 (0.00229)</t>
  </si>
  <si>
    <t>0.00076 (0.00012)</t>
  </si>
  <si>
    <t>bznD</t>
  </si>
  <si>
    <t>benzil reductase (benzoin forming)</t>
  </si>
  <si>
    <t>0.27647 (0.09466)</t>
  </si>
  <si>
    <t>0.21448 (0.08123)</t>
  </si>
  <si>
    <t>0.00953 (0.00037)</t>
  </si>
  <si>
    <t>0.02361 (0.00112)</t>
  </si>
  <si>
    <t>0.00544 (0.00025)</t>
  </si>
  <si>
    <t>yueC</t>
  </si>
  <si>
    <t>ESX secretion system YueC protein</t>
  </si>
  <si>
    <t>0.13313 (0.06074)</t>
  </si>
  <si>
    <t>0.01081 (0.00050)</t>
  </si>
  <si>
    <t>0.04202 (0.00205)</t>
  </si>
  <si>
    <t>0.00199 (0.00020)</t>
  </si>
  <si>
    <t>yukAB</t>
  </si>
  <si>
    <t>ESX secretion system FtsK/SpoIIIE family ATPase</t>
  </si>
  <si>
    <t>0.07676 (0.01738)</t>
  </si>
  <si>
    <t>0.07946 (0.04233)</t>
  </si>
  <si>
    <t>0.01019 (0.00022)</t>
  </si>
  <si>
    <t>0.03642 (0.00075)</t>
  </si>
  <si>
    <t>yukC</t>
  </si>
  <si>
    <t>ESX secretion system YukC protein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</si>
  <si>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</si>
  <si>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0.21862 (0.07561)</t>
  </si>
  <si>
    <t>0.02731 (0.06464)</t>
  </si>
  <si>
    <t>0.00562 (0.00034)</t>
  </si>
  <si>
    <t>0.01868 (0.00113)</t>
  </si>
  <si>
    <t>0.00213 (0.00020)</t>
  </si>
  <si>
    <t>yukD</t>
  </si>
  <si>
    <t>ESX secretion system YukD protein</t>
  </si>
  <si>
    <t>0.04457 (0.05595)</t>
  </si>
  <si>
    <t>0.27185 (0.21436)</t>
  </si>
  <si>
    <t>0.02475 (0.00337)</t>
  </si>
  <si>
    <t>0.07792 (0.01035)</t>
  </si>
  <si>
    <t>0.01161 (0.00171)</t>
  </si>
  <si>
    <t>yukE</t>
  </si>
  <si>
    <t>small WGX100 secreted protein (ESX-dependentsecretion)</t>
  </si>
  <si>
    <t>0.00995 (0.00117)</t>
  </si>
  <si>
    <t>0.05031 (0.00610)</t>
  </si>
  <si>
    <t>adeR</t>
  </si>
  <si>
    <t>transcriptional activator (AdeR-alanine)</t>
  </si>
  <si>
    <t>0.16402 (0.14271)</t>
  </si>
  <si>
    <t>0.01888 (0.02762)</t>
  </si>
  <si>
    <t>0.01157 (0.00057)</t>
  </si>
  <si>
    <t>0.04271 (0.00210)</t>
  </si>
  <si>
    <t>0.00342 (0.00025)</t>
  </si>
  <si>
    <t>ald</t>
  </si>
  <si>
    <t>L-alanine dehydrogenase (NAD-dependent)</t>
  </si>
  <si>
    <t>0.06679 (0.02164)</t>
  </si>
  <si>
    <t>0.04008 (0.00145)</t>
  </si>
  <si>
    <t>0.00169 (0.00010)</t>
  </si>
  <si>
    <t>yukJ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</si>
  <si>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</si>
  <si>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0.03787 (0.04658)</t>
  </si>
  <si>
    <t>0.02911 (0.06077)</t>
  </si>
  <si>
    <t>0.01217 (0.00087)</t>
  </si>
  <si>
    <t>0.05395 (0.00400)</t>
  </si>
  <si>
    <t>0.00182 (0.00020)</t>
  </si>
  <si>
    <t>mbtH</t>
  </si>
  <si>
    <t>stimulator of DhbF tyrosine adenylationactivity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</si>
  <si>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</si>
  <si>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0.26931 (0.17842)</t>
  </si>
  <si>
    <t>0.11528 (0.06370)</t>
  </si>
  <si>
    <t>0.02723 (0.00145)</t>
  </si>
  <si>
    <t>0.08566 (0.00577)</t>
  </si>
  <si>
    <t>0.01314 (0.00075)</t>
  </si>
  <si>
    <t>dhbF</t>
  </si>
  <si>
    <t>siderophore2,3-dihydroxybenzoate-glycine-threonine trimeric esterbacillibactin synthetase</t>
  </si>
  <si>
    <t>0.16917 (0.04027)</t>
  </si>
  <si>
    <t>0.12244 (0.02654)</t>
  </si>
  <si>
    <t>0.01317 (0.00030)</t>
  </si>
  <si>
    <t>0.03829 (0.00095)</t>
  </si>
  <si>
    <t>0.00549 (0.00012)</t>
  </si>
  <si>
    <t>dhbB</t>
  </si>
  <si>
    <t>isochorismatase (siderophore specific)</t>
  </si>
  <si>
    <t>0.15618 (0.06004)</t>
  </si>
  <si>
    <t>0.05828 (0.04369)</t>
  </si>
  <si>
    <t>0.01237 (0.00051)</t>
  </si>
  <si>
    <t>0.04038 (0.00185)</t>
  </si>
  <si>
    <t>0.00452 (0.00020)</t>
  </si>
  <si>
    <t>dhbE</t>
  </si>
  <si>
    <t>2,3-dihydroxybenzoate-AMP ligase</t>
  </si>
  <si>
    <t>0.09257 (0.03299)</t>
  </si>
  <si>
    <t>0.03478 (0.02606)</t>
  </si>
  <si>
    <t>0.01945 (0.00075)</t>
  </si>
  <si>
    <t>0.07088 (0.00290)</t>
  </si>
  <si>
    <t>0.00413 (0.00018)</t>
  </si>
  <si>
    <t>dhbC</t>
  </si>
  <si>
    <t>isochorismate synthase (siderophore-specific)</t>
  </si>
  <si>
    <t>0.11685 (0.13814)</t>
  </si>
  <si>
    <t>0.08069 (0.04217)</t>
  </si>
  <si>
    <t>0.01565 (0.00089)</t>
  </si>
  <si>
    <t>0.05051 (0.00313)</t>
  </si>
  <si>
    <t>0.00512 (0.00031)</t>
  </si>
  <si>
    <t>dhbA</t>
  </si>
  <si>
    <t>2,3-dihydro-2,3-dihydroxybenzoate dehydrogenase</t>
  </si>
  <si>
    <t>0.12330 (0.06552)</t>
  </si>
  <si>
    <t>0.12195 (0.12912)</t>
  </si>
  <si>
    <t>0.00917 (0.00039)</t>
  </si>
  <si>
    <t>0.02691 (0.00106)</t>
  </si>
  <si>
    <t>0.00370 (0.00029)</t>
  </si>
  <si>
    <t>besA</t>
  </si>
  <si>
    <t>bacillibactin trilactone hydrolase</t>
  </si>
  <si>
    <t>0.22651 (0.09313)</t>
  </si>
  <si>
    <t>0.05179 (0.04108)</t>
  </si>
  <si>
    <t>0.01320 (0.00048)</t>
  </si>
  <si>
    <t>0.04072 (0.00149)</t>
  </si>
  <si>
    <t>0.00501 (0.00028)</t>
  </si>
  <si>
    <t>yuiH</t>
  </si>
  <si>
    <t>putative molybdopterin containing enzymesubunit</t>
  </si>
  <si>
    <t>0.10995 (0.07683)</t>
  </si>
  <si>
    <t>0.01189 (0.00053)</t>
  </si>
  <si>
    <t>0.04645 (0.00217)</t>
  </si>
  <si>
    <t>0.00247 (0.00031)</t>
  </si>
  <si>
    <t>bioYB</t>
  </si>
  <si>
    <t>putative biotin transporter</t>
  </si>
  <si>
    <t>0.22867 (0.13364)</t>
  </si>
  <si>
    <t>0.12245 (0.07627)</t>
  </si>
  <si>
    <t>0.00879 (0.00038)</t>
  </si>
  <si>
    <t>0.02309 (0.00128)</t>
  </si>
  <si>
    <t>0.00427 (0.00029)</t>
  </si>
  <si>
    <t>hisP</t>
  </si>
  <si>
    <t>histidine / basic amino acid transporter</t>
  </si>
  <si>
    <t>0.09514 (0.23366)</t>
  </si>
  <si>
    <t>0.00946 (0.03174)</t>
  </si>
  <si>
    <t>0.01494 (0.00100)</t>
  </si>
  <si>
    <t>0.05317 (0.00292)</t>
  </si>
  <si>
    <t>0.00268 (0.00049)</t>
  </si>
  <si>
    <t>pepA</t>
  </si>
  <si>
    <t>cytosol aminopeptidase</t>
  </si>
  <si>
    <t>0.03655 (0.05246)</t>
  </si>
  <si>
    <t>0.05870 (0.10383)</t>
  </si>
  <si>
    <t>0.00848 (0.00032)</t>
  </si>
  <si>
    <t>0.03174 (0.00110)</t>
  </si>
  <si>
    <t>0.00151 (0.00014)</t>
  </si>
  <si>
    <t>yuiD</t>
  </si>
  <si>
    <t>0.09836 (0.15123)</t>
  </si>
  <si>
    <t>0.04474 (0.05836)</t>
  </si>
  <si>
    <t>0.01913 (0.00126)</t>
  </si>
  <si>
    <t>0.06804 (0.00392)</t>
  </si>
  <si>
    <t>0.00503 (0.00061)</t>
  </si>
  <si>
    <t>spsC</t>
  </si>
  <si>
    <t>stationary phase survival protein</t>
  </si>
  <si>
    <t>0.06188 (0.07588)</t>
  </si>
  <si>
    <t>0.30289 (0.43719)</t>
  </si>
  <si>
    <t>0.00785 (0.00069)</t>
  </si>
  <si>
    <t>0.02642 (0.00309)</t>
  </si>
  <si>
    <t>0.00250 (0.00018)</t>
  </si>
  <si>
    <t>yuiB</t>
  </si>
  <si>
    <t>0.09682 (0.08641)</t>
  </si>
  <si>
    <t>0.31183 (0.16633)</t>
  </si>
  <si>
    <t>0.02409 (0.00112)</t>
  </si>
  <si>
    <t>0.06143 (0.00305)</t>
  </si>
  <si>
    <t>0.01355 (0.00080)</t>
  </si>
  <si>
    <t>yuiA</t>
  </si>
  <si>
    <t>0.20297 (0.10101)</t>
  </si>
  <si>
    <t>0.18003 (0.10544)</t>
  </si>
  <si>
    <t>0.03408 (0.00281)</t>
  </si>
  <si>
    <t>0.11808 (0.01201)</t>
  </si>
  <si>
    <t>0.01174 (0.00101)</t>
  </si>
  <si>
    <t>yumB</t>
  </si>
  <si>
    <t>putative NAD-disulfide oxidoreductase</t>
  </si>
  <si>
    <t>0.06537 (0.04447)</t>
  </si>
  <si>
    <t>0.00834 (0.02602)</t>
  </si>
  <si>
    <t>0.05915 (0.00230)</t>
  </si>
  <si>
    <t>0.00171 (0.00015)</t>
  </si>
  <si>
    <t>trxBB</t>
  </si>
  <si>
    <t>ferredoxin-NADP+ reductase (flavodoxin)</t>
  </si>
  <si>
    <t>0.02610 (0.02524)</t>
  </si>
  <si>
    <t>0.01027 (0.02188)</t>
  </si>
  <si>
    <t>0.01747 (0.00114)</t>
  </si>
  <si>
    <t>0.07952 (0.00576)</t>
  </si>
  <si>
    <t>0.00110 (0.00008)</t>
  </si>
  <si>
    <t>yuzG</t>
  </si>
  <si>
    <t>conserved protein or unknown function</t>
  </si>
  <si>
    <t>0.03854 (0.07850)</t>
  </si>
  <si>
    <t>0.01932 (0.00223)</t>
  </si>
  <si>
    <t>0.08282 (0.01294)</t>
  </si>
  <si>
    <t>0.00312 (0.00112)</t>
  </si>
  <si>
    <t>guaC</t>
  </si>
  <si>
    <t>GMP reductase (NADP-dependent)</t>
  </si>
  <si>
    <t>0.04000 (0.03629)</t>
  </si>
  <si>
    <t>0.05521 (0.04908)</t>
  </si>
  <si>
    <t>0.02662 (0.00110)</t>
  </si>
  <si>
    <t>0.11011 (0.00509)</t>
  </si>
  <si>
    <t>paiB</t>
  </si>
  <si>
    <t>transcriptional regulator (regulates paiAexpression)</t>
  </si>
  <si>
    <t>0.24884 (0.08524)</t>
  </si>
  <si>
    <t>0.09712 (0.20678)</t>
  </si>
  <si>
    <t>0.01887 (0.00102)</t>
  </si>
  <si>
    <t>0.05998 (0.00337)</t>
  </si>
  <si>
    <t>0.00951 (0.00059)</t>
  </si>
  <si>
    <t>paiA</t>
  </si>
  <si>
    <t>polyamine N-acetyltransferase</t>
  </si>
  <si>
    <t>0.21962 (0.11175)</t>
  </si>
  <si>
    <t>0.03945 (0.08593)</t>
  </si>
  <si>
    <t>0.03550 (0.00149)</t>
  </si>
  <si>
    <t>0.00489 (0.00025)</t>
  </si>
  <si>
    <t>sufA</t>
  </si>
  <si>
    <t>sulfur carrier chaperone involved in Fe-Scluster assembly</t>
  </si>
  <si>
    <t>0.05260 (0.07690)</t>
  </si>
  <si>
    <t>0.07511 (0.08105)</t>
  </si>
  <si>
    <t>0.02477 (0.00380)</t>
  </si>
  <si>
    <t>0.10574 (0.01573)</t>
  </si>
  <si>
    <t>0.00596 (0.00117)</t>
  </si>
  <si>
    <t>dapF</t>
  </si>
  <si>
    <t>diaminopimelate epimerase</t>
  </si>
  <si>
    <t>0.07432 (0.06330)</t>
  </si>
  <si>
    <t>0.05039 (0.09268)</t>
  </si>
  <si>
    <t>0.00828 (0.00046)</t>
  </si>
  <si>
    <t>0.03051 (0.00202)</t>
  </si>
  <si>
    <t>0.00181 (0.00013)</t>
  </si>
  <si>
    <t>yutK</t>
  </si>
  <si>
    <t>putative Na+(H+)/nucleoside cotransporter</t>
  </si>
  <si>
    <t>ref , GCA_000146565.1_ASM14656v1_genomic , GCA_000186745.1_ASM18674v1_genomic , GCA_000209795.2_ASM20979v2_genomic , GCA_000227485.1_ASM22748v1_genomic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</si>
  <si>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0.66440 (0.13057)</t>
  </si>
  <si>
    <t>0.03650 (0.07731)</t>
  </si>
  <si>
    <t>0.05268 (0.00556)</t>
  </si>
  <si>
    <t>0.00138 (0.00018)</t>
  </si>
  <si>
    <t>yuzB</t>
  </si>
  <si>
    <t>0.03838 (0.08388)</t>
  </si>
  <si>
    <t>0.02854 (0.00277)</t>
  </si>
  <si>
    <t>0.14452 (0.01503)</t>
  </si>
  <si>
    <t>0.00137 (0.00044)</t>
  </si>
  <si>
    <t>yutJ</t>
  </si>
  <si>
    <t>putative NADH dehydrogenase</t>
  </si>
  <si>
    <t>0.04284 (0.04081)</t>
  </si>
  <si>
    <t>0.04416 (0.04120)</t>
  </si>
  <si>
    <t>0.01917 (0.00128)</t>
  </si>
  <si>
    <t>0.07638 (0.00517)</t>
  </si>
  <si>
    <t>0.00363 (0.00027)</t>
  </si>
  <si>
    <t>yuzD</t>
  </si>
  <si>
    <t>putative sulfur oxido-reduction managementenzyme</t>
  </si>
  <si>
    <t>0.14799 (0.07291)</t>
  </si>
  <si>
    <t>0.10635 (0.05870)</t>
  </si>
  <si>
    <t>0.03031 (0.00149)</t>
  </si>
  <si>
    <t>0.10737 (0.00608)</t>
  </si>
  <si>
    <t>0.01205 (0.00066)</t>
  </si>
  <si>
    <t>yutI</t>
  </si>
  <si>
    <t>putative iron-sulfur scaffold protein</t>
  </si>
  <si>
    <t>0.09671 (0.11398)</t>
  </si>
  <si>
    <t>0.01047 (0.00053)</t>
  </si>
  <si>
    <t>0.04375 (0.00226)</t>
  </si>
  <si>
    <t>yuxL</t>
  </si>
  <si>
    <t>putative acylaminoacyl-peptidase</t>
  </si>
  <si>
    <t>0.14058 (0.03795)</t>
  </si>
  <si>
    <t>0.14059 (0.06935)</t>
  </si>
  <si>
    <t>0.01999 (0.00062)</t>
  </si>
  <si>
    <t>0.06126 (0.00189)</t>
  </si>
  <si>
    <t>0.00845 (0.00032)</t>
  </si>
  <si>
    <t>thrB</t>
  </si>
  <si>
    <t>homoserine kinase</t>
  </si>
  <si>
    <t>0.07717 (0.06677)</t>
  </si>
  <si>
    <t>0.06878 (0.07720)</t>
  </si>
  <si>
    <t>0.00766 (0.00036)</t>
  </si>
  <si>
    <t>0.02661 (0.00134)</t>
  </si>
  <si>
    <t>0.00195 (0.00015)</t>
  </si>
  <si>
    <t>thrC</t>
  </si>
  <si>
    <t>threonine synthase</t>
  </si>
  <si>
    <t>0.09763 (0.04348)</t>
  </si>
  <si>
    <t>0.02158 (0.04712)</t>
  </si>
  <si>
    <t>0.01765 (0.00139)</t>
  </si>
  <si>
    <t>0.07165 (0.00645)</t>
  </si>
  <si>
    <t>0.00277 (0.00015)</t>
  </si>
  <si>
    <t>hom</t>
  </si>
  <si>
    <t>homoserine dehydrogenase</t>
  </si>
  <si>
    <t>0.04813 (0.07499)</t>
  </si>
  <si>
    <t>0.01367 (0.02045)</t>
  </si>
  <si>
    <t>0.02002 (0.00175)</t>
  </si>
  <si>
    <t>0.09084 (0.00848)</t>
  </si>
  <si>
    <t>0.00194 (0.00016)</t>
  </si>
  <si>
    <t>cotNH</t>
  </si>
  <si>
    <t>spore coat-associated protein</t>
  </si>
  <si>
    <t>0.08169 (0.05342)</t>
  </si>
  <si>
    <t>0.09440 (0.07320)</t>
  </si>
  <si>
    <t>0.00903 (0.00049)</t>
  </si>
  <si>
    <t>0.03244 (0.00200)</t>
  </si>
  <si>
    <t>0.00263 (0.00017)</t>
  </si>
  <si>
    <t>yutG</t>
  </si>
  <si>
    <t>0.07810 (0.09377)</t>
  </si>
  <si>
    <t>0.05447 (0.08146)</t>
  </si>
  <si>
    <t>0.02671 (0.00239)</t>
  </si>
  <si>
    <t>0.10600 (0.00929)</t>
  </si>
  <si>
    <t>0.00636 (0.00070)</t>
  </si>
  <si>
    <t>nucF</t>
  </si>
  <si>
    <t>5' nucleotidase, promiscuous</t>
  </si>
  <si>
    <t>0.04440 (0.03864)</t>
  </si>
  <si>
    <t>0.06982 (0.13037)</t>
  </si>
  <si>
    <t>0.00859 (0.00046)</t>
  </si>
  <si>
    <t>0.03080 (0.00187)</t>
  </si>
  <si>
    <t>0.00184 (0.00017)</t>
  </si>
  <si>
    <t>yutE</t>
  </si>
  <si>
    <t>0.11619 (0.06866)</t>
  </si>
  <si>
    <t>0.09197 (0.07178)</t>
  </si>
  <si>
    <t>0.01491 (0.00063)</t>
  </si>
  <si>
    <t>0.04750 (0.00205)</t>
  </si>
  <si>
    <t>0.00628 (0.00057)</t>
  </si>
  <si>
    <t>yutD</t>
  </si>
  <si>
    <t>0.03055 (0.06648)</t>
  </si>
  <si>
    <t>0.01823 (0.00148)</t>
  </si>
  <si>
    <t>0.08547 (0.00661)</t>
  </si>
  <si>
    <t>0.00296 (0.00046)</t>
  </si>
  <si>
    <t>yutC</t>
  </si>
  <si>
    <t>putative sporulation-related lipoprotein</t>
  </si>
  <si>
    <t>0.14823 (0.07191)</t>
  </si>
  <si>
    <t>0.11345 (0.17709)</t>
  </si>
  <si>
    <t>0.01061 (0.00063)</t>
  </si>
  <si>
    <t>0.03356 (0.00193)</t>
  </si>
  <si>
    <t>0.00434 (0.00039)</t>
  </si>
  <si>
    <t>lipA</t>
  </si>
  <si>
    <t>lipoyl synthase (lipoic acid synthetase)</t>
  </si>
  <si>
    <t>0.01719 (0.03066)</t>
  </si>
  <si>
    <t>0.02689 (0.00138)</t>
  </si>
  <si>
    <t>0.13482 (0.00738)</t>
  </si>
  <si>
    <t>0.00032 (0.00005)</t>
  </si>
  <si>
    <t>lytH</t>
  </si>
  <si>
    <t>sporulation-specific L-Ala-D-Glu endopeptidase</t>
  </si>
  <si>
    <t>0.04052 (0.03214)</t>
  </si>
  <si>
    <t>0.01970 (0.04879)</t>
  </si>
  <si>
    <t>0.00872 (0.00049)</t>
  </si>
  <si>
    <t>0.03491 (0.00218)</t>
  </si>
  <si>
    <t>0.00117 (0.00011)</t>
  </si>
  <si>
    <t>yunC</t>
  </si>
  <si>
    <t>0.09686 (0.07254)</t>
  </si>
  <si>
    <t>0.10142 (0.04933)</t>
  </si>
  <si>
    <t>0.02833 (0.00116)</t>
  </si>
  <si>
    <t>0.10260 (0.00488)</t>
  </si>
  <si>
    <t>0.00662 (0.00045)</t>
  </si>
  <si>
    <t>yunD</t>
  </si>
  <si>
    <t>putative nuclease/nucleotidase/phosphoesterase</t>
  </si>
  <si>
    <t>0.06309 (0.02246)</t>
  </si>
  <si>
    <t>0.08683 (0.02467)</t>
  </si>
  <si>
    <t>0.01304 (0.00038)</t>
  </si>
  <si>
    <t>0.04724 (0.00172)</t>
  </si>
  <si>
    <t>0.00338 (0.00013)</t>
  </si>
  <si>
    <t>yunE</t>
  </si>
  <si>
    <t>0.07689 (0.08049)</t>
  </si>
  <si>
    <t>0.07453 (0.08695)</t>
  </si>
  <si>
    <t>0.00965 (0.00062)</t>
  </si>
  <si>
    <t>0.03206 (0.00204)</t>
  </si>
  <si>
    <t>0.00245 (0.00022)</t>
  </si>
  <si>
    <t>yunF</t>
  </si>
  <si>
    <t>0.03864 (0.02694)</t>
  </si>
  <si>
    <t>0.00948 (0.01744)</t>
  </si>
  <si>
    <t>0.09849 (0.00404)</t>
  </si>
  <si>
    <t>yunG</t>
  </si>
  <si>
    <t>0.37378 (0.19572)</t>
  </si>
  <si>
    <t>0.43787 (0.15334)</t>
  </si>
  <si>
    <t>0.01958 (0.00137)</t>
  </si>
  <si>
    <t>0.03740 (0.00272)</t>
  </si>
  <si>
    <t>0.01564 (0.00124)</t>
  </si>
  <si>
    <t>pucH</t>
  </si>
  <si>
    <t>allantoinase</t>
  </si>
  <si>
    <t>0.12176 (0.08417)</t>
  </si>
  <si>
    <t>0.08098 (0.02080)</t>
  </si>
  <si>
    <t>0.01298 (0.00048)</t>
  </si>
  <si>
    <t>0.04155 (0.00187)</t>
  </si>
  <si>
    <t>0.00469 (0.00020)</t>
  </si>
  <si>
    <t>pucR</t>
  </si>
  <si>
    <t>transcriptional regulator of the purinedegradation operon</t>
  </si>
  <si>
    <t>0.03097 (0.01049)</t>
  </si>
  <si>
    <t>0.03562 (0.03625)</t>
  </si>
  <si>
    <t>0.04491 (0.00118)</t>
  </si>
  <si>
    <t>0.00160 (0.00010)</t>
  </si>
  <si>
    <t>pucJ</t>
  </si>
  <si>
    <t>uric acid permease</t>
  </si>
  <si>
    <t>0.17007 (0.05468)</t>
  </si>
  <si>
    <t>0.16637 (0.07409)</t>
  </si>
  <si>
    <t>0.01625 (0.00049)</t>
  </si>
  <si>
    <t>0.04282 (0.00140)</t>
  </si>
  <si>
    <t>0.00732 (0.00034)</t>
  </si>
  <si>
    <t>pucK</t>
  </si>
  <si>
    <t>uric acid permease subunit</t>
  </si>
  <si>
    <t>0.12640 (0.05195)</t>
  </si>
  <si>
    <t>0.09855 (0.08483)</t>
  </si>
  <si>
    <t>0.01710 (0.00054)</t>
  </si>
  <si>
    <t>0.05107 (0.00181)</t>
  </si>
  <si>
    <t>0.00584 (0.00019)</t>
  </si>
  <si>
    <t>pucL</t>
  </si>
  <si>
    <t>urate oxidase with peroxide reductase N-terminaldomain</t>
  </si>
  <si>
    <t>0.16440 (0.05582)</t>
  </si>
  <si>
    <t>0.17437 (0.02202)</t>
  </si>
  <si>
    <t>0.01367 (0.00042)</t>
  </si>
  <si>
    <t>0.03821 (0.00117)</t>
  </si>
  <si>
    <t>0.00673 (0.00026)</t>
  </si>
  <si>
    <t>pucM</t>
  </si>
  <si>
    <t>5-hydroxyisourate hydrolase; also uricasesubunit</t>
  </si>
  <si>
    <t>ref , GCA_000209795.2_ASM20979v2_genomic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</si>
  <si>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0.48796 (0.71958)</t>
  </si>
  <si>
    <t>0.39887 (0.11844)</t>
  </si>
  <si>
    <t>0.03363 (0.00342)</t>
  </si>
  <si>
    <t>0.06856 (0.00763)</t>
  </si>
  <si>
    <t>0.02449 (0.00248)</t>
  </si>
  <si>
    <t>yuzJ</t>
  </si>
  <si>
    <t>0.16491 (0.23803)</t>
  </si>
  <si>
    <t>0.01395 (0.00183)</t>
  </si>
  <si>
    <t>0.04506 (0.00836)</t>
  </si>
  <si>
    <t>0.00417 (0.00144)</t>
  </si>
  <si>
    <t>pucE</t>
  </si>
  <si>
    <t>xanthine dehydrogenase, iron-sulfur subunit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</si>
  <si>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GCA_001604995.1_ASM160499v1_genomic , GCA_001660525.1_ASM166052v1_genomic , GCA_001697265.1_ASM169726v1_genomic , GCA_001703495.1_ASM170349v1_genomic , GCA_002055965.1_ASM205596v1_genomic , GCA_002072735.1_ASM207273v1_genomic , GCA_002142595.1_ASM214259v1_genomic</t>
  </si>
  <si>
    <t>0.19984 (0.10464)</t>
  </si>
  <si>
    <t>0.04822 (0.00000)</t>
  </si>
  <si>
    <t>0.04978 (0.00842)</t>
  </si>
  <si>
    <t>0.18350 (0.03846)</t>
  </si>
  <si>
    <t>0.01735 (0.00222)</t>
  </si>
  <si>
    <t>pucD</t>
  </si>
  <si>
    <t>xanthine dehydrogenase, substrate and molybdenumcofactor subunit</t>
  </si>
  <si>
    <t>0.10751 (0.07867)</t>
  </si>
  <si>
    <t>0.10112 (0.03016)</t>
  </si>
  <si>
    <t>0.02442 (0.00084)</t>
  </si>
  <si>
    <t>0.07975 (0.00286)</t>
  </si>
  <si>
    <t>0.00827 (0.00030)</t>
  </si>
  <si>
    <t>pucC</t>
  </si>
  <si>
    <t>xanthine dehydrogenase, FAD-binding subunit</t>
  </si>
  <si>
    <t>0.39204 (0.14255)</t>
  </si>
  <si>
    <t>0.21586 (0.05112)</t>
  </si>
  <si>
    <t>0.02155 (0.00077)</t>
  </si>
  <si>
    <t>0.04725 (0.00212)</t>
  </si>
  <si>
    <t>0.01405 (0.00054)</t>
  </si>
  <si>
    <t>pucB</t>
  </si>
  <si>
    <t>putative molybdopterin cofactor synthesiscytidylyl transferase</t>
  </si>
  <si>
    <t>0.33569 (0.13991)</t>
  </si>
  <si>
    <t>0.10580 (0.04935)</t>
  </si>
  <si>
    <t>0.01584 (0.00060)</t>
  </si>
  <si>
    <t>0.04148 (0.00159)</t>
  </si>
  <si>
    <t>0.00809 (0.00045)</t>
  </si>
  <si>
    <t>pucA</t>
  </si>
  <si>
    <t>xanthine dehydrogenase molybdopterin recruitmentfactor</t>
  </si>
  <si>
    <t>0.23668 (0.10105)</t>
  </si>
  <si>
    <t>0.26252 (0.09520)</t>
  </si>
  <si>
    <t>0.02239 (0.00079)</t>
  </si>
  <si>
    <t>0.05505 (0.00251)</t>
  </si>
  <si>
    <t>0.01300 (0.00051)</t>
  </si>
  <si>
    <t>pucG</t>
  </si>
  <si>
    <t>(S)-ureidoglycine-glyoxylate aminotransferase(PLP-dependent)</t>
  </si>
  <si>
    <t>0.07984 (0.07409)</t>
  </si>
  <si>
    <t>0.12727 (0.07092)</t>
  </si>
  <si>
    <t>0.01371 (0.00051)</t>
  </si>
  <si>
    <t>0.04240 (0.00155)</t>
  </si>
  <si>
    <t>0.00513 (0.00028)</t>
  </si>
  <si>
    <t>pucF</t>
  </si>
  <si>
    <t>allantoate amidohydrolase</t>
  </si>
  <si>
    <t>0.24333 (0.09888)</t>
  </si>
  <si>
    <t>0.13576 (0.12946)</t>
  </si>
  <si>
    <t>0.02463 (0.00154)</t>
  </si>
  <si>
    <t>0.07848 (0.00552)</t>
  </si>
  <si>
    <t>0.01006 (0.00056)</t>
  </si>
  <si>
    <t>frlP</t>
  </si>
  <si>
    <t>fructose-amino acid ABC transporter (ATP-bindingsubunit)</t>
  </si>
  <si>
    <t>0.09947 (0.06396)</t>
  </si>
  <si>
    <t>0.05241 (0.05436)</t>
  </si>
  <si>
    <t>0.00869 (0.00055)</t>
  </si>
  <si>
    <t>0.02966 (0.00212)</t>
  </si>
  <si>
    <t>0.00282 (0.00021)</t>
  </si>
  <si>
    <t>frlR</t>
  </si>
  <si>
    <t>FrlR transcriptional regulator (GntR family)</t>
  </si>
  <si>
    <t>0.10133 (0.10406)</t>
  </si>
  <si>
    <t>0.10156 (0.09086)</t>
  </si>
  <si>
    <t>0.02074 (0.00174)</t>
  </si>
  <si>
    <t>0.07569 (0.00680)</t>
  </si>
  <si>
    <t>0.00668 (0.00052)</t>
  </si>
  <si>
    <t>frlD</t>
  </si>
  <si>
    <t>fructoselysine kinase</t>
  </si>
  <si>
    <t>0.10342 (0.06971)</t>
  </si>
  <si>
    <t>0.09523 (0.06030)</t>
  </si>
  <si>
    <t>0.01723 (0.00106)</t>
  </si>
  <si>
    <t>0.05527 (0.00347)</t>
  </si>
  <si>
    <t>0.00596 (0.00048)</t>
  </si>
  <si>
    <t>frlM</t>
  </si>
  <si>
    <t>fructose-amino acid permease</t>
  </si>
  <si>
    <t>0.08826 (0.05255)</t>
  </si>
  <si>
    <t>0.04241 (0.07732)</t>
  </si>
  <si>
    <t>0.02246 (0.00155)</t>
  </si>
  <si>
    <t>0.08989 (0.00678)</t>
  </si>
  <si>
    <t>0.00440 (0.00030)</t>
  </si>
  <si>
    <t>frlN</t>
  </si>
  <si>
    <t>0.05217 (0.03747)</t>
  </si>
  <si>
    <t>0.01045 (0.03817)</t>
  </si>
  <si>
    <t>0.02369 (0.00143)</t>
  </si>
  <si>
    <t>0.10657 (0.00681)</t>
  </si>
  <si>
    <t>0.00180 (0.00012)</t>
  </si>
  <si>
    <t>frlO</t>
  </si>
  <si>
    <t>fructose amino acid-binding lipoprotein</t>
  </si>
  <si>
    <t>0.11820 (0.10245)</t>
  </si>
  <si>
    <t>0.06453 (0.08164)</t>
  </si>
  <si>
    <t>0.02316 (0.00149)</t>
  </si>
  <si>
    <t>0.09284 (0.00676)</t>
  </si>
  <si>
    <t>0.00697 (0.00039)</t>
  </si>
  <si>
    <t>frlB</t>
  </si>
  <si>
    <t>fructosamine-6-P deglycase</t>
  </si>
  <si>
    <t>0.10795 (0.05404)</t>
  </si>
  <si>
    <t>0.06110 (0.06015)</t>
  </si>
  <si>
    <t>0.02346 (0.00146)</t>
  </si>
  <si>
    <t>0.09160 (0.00605)</t>
  </si>
  <si>
    <t>0.00573 (0.00035)</t>
  </si>
  <si>
    <t>yurQ</t>
  </si>
  <si>
    <t>putative excinuclease</t>
  </si>
  <si>
    <t>0.07352 (0.04806)</t>
  </si>
  <si>
    <t>0.06182 (0.08933)</t>
  </si>
  <si>
    <t>0.02733 (0.00198)</t>
  </si>
  <si>
    <t>0.11868 (0.00927)</t>
  </si>
  <si>
    <t>0.00731 (0.00081)</t>
  </si>
  <si>
    <t>dadA</t>
  </si>
  <si>
    <t>D-amino acid oxidase</t>
  </si>
  <si>
    <t>0.16696 (0.07455)</t>
  </si>
  <si>
    <t>0.08748 (0.04245)</t>
  </si>
  <si>
    <t>0.03262 (0.00152)</t>
  </si>
  <si>
    <t>0.10383 (0.00542)</t>
  </si>
  <si>
    <t>0.01203 (0.00054)</t>
  </si>
  <si>
    <t>sspG</t>
  </si>
  <si>
    <t>0.03425 (0.06329)</t>
  </si>
  <si>
    <t>0.02270 (0.00345)</t>
  </si>
  <si>
    <t>0.08442 (0.01458)</t>
  </si>
  <si>
    <t>0.00892 (0.00179)</t>
  </si>
  <si>
    <t>yurS</t>
  </si>
  <si>
    <t>0.14237 (0.19196)</t>
  </si>
  <si>
    <t>0.01407 (0.00318)</t>
  </si>
  <si>
    <t>0.05165 (0.00878)</t>
  </si>
  <si>
    <t>0.00557 (0.00216)</t>
  </si>
  <si>
    <t>glxB</t>
  </si>
  <si>
    <t>methylglyoxalase; lactoylbacillithiol lyase</t>
  </si>
  <si>
    <t>ref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</si>
  <si>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0.16203 (0.09470)</t>
  </si>
  <si>
    <t>0.25979 (0.06306)</t>
  </si>
  <si>
    <t>0.03314 (0.00169)</t>
  </si>
  <si>
    <t>0.10369 (0.00570)</t>
  </si>
  <si>
    <t>0.01697 (0.00108)</t>
  </si>
  <si>
    <t>yuzN</t>
  </si>
  <si>
    <t>ref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</si>
  <si>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0.07697 (0.12829)</t>
  </si>
  <si>
    <t>0.00952 (0.00173)</t>
  </si>
  <si>
    <t>0.02521 (0.00718)</t>
  </si>
  <si>
    <t>0.00484 (0.00084)</t>
  </si>
  <si>
    <t>sufB</t>
  </si>
  <si>
    <t>FeS cluster formation scaffold protein</t>
  </si>
  <si>
    <t>0.00519 (0.02140)</t>
  </si>
  <si>
    <t>0.01328 (0.02592)</t>
  </si>
  <si>
    <t>0.01119 (0.00049)</t>
  </si>
  <si>
    <t>0.05143 (0.00226)</t>
  </si>
  <si>
    <t>0.00048 (0.00005)</t>
  </si>
  <si>
    <t>sufU</t>
  </si>
  <si>
    <t>iron-sulfur cluster assembly sulfur-transferprotein (Zn(2+)-dependent)</t>
  </si>
  <si>
    <t>0.04972 (0.04571)</t>
  </si>
  <si>
    <t>0.01537 (0.00072)</t>
  </si>
  <si>
    <t>0.07353 (0.00384)</t>
  </si>
  <si>
    <t>0.00102 (0.00013)</t>
  </si>
  <si>
    <t>sufS</t>
  </si>
  <si>
    <t>0.04732 (0.02352)</t>
  </si>
  <si>
    <t>0.03152 (0.04215)</t>
  </si>
  <si>
    <t>0.01612 (0.00083)</t>
  </si>
  <si>
    <t>0.06393 (0.00340)</t>
  </si>
  <si>
    <t>0.00263 (0.00016)</t>
  </si>
  <si>
    <t>sufD</t>
  </si>
  <si>
    <t>Fe-S cluster assembly protein SufD</t>
  </si>
  <si>
    <t>0.04229 (0.03449)</t>
  </si>
  <si>
    <t>0.03897 (0.03001)</t>
  </si>
  <si>
    <t>0.01821 (0.00093)</t>
  </si>
  <si>
    <t>0.07512 (0.00413)</t>
  </si>
  <si>
    <t>0.00260 (0.00012)</t>
  </si>
  <si>
    <t>sufC</t>
  </si>
  <si>
    <t>sulfur mobilizing ABC protein, ATPase</t>
  </si>
  <si>
    <t>0.04052 (0.03455)</t>
  </si>
  <si>
    <t>0.00794 (0.02275)</t>
  </si>
  <si>
    <t>0.01602 (0.00084)</t>
  </si>
  <si>
    <t>0.07705 (0.00431)</t>
  </si>
  <si>
    <t>yuzK</t>
  </si>
  <si>
    <t>putative toxin of a toxin antitoxin system</t>
  </si>
  <si>
    <t>0.09482 (0.05869)</t>
  </si>
  <si>
    <t>0.02840 (0.00221)</t>
  </si>
  <si>
    <t>0.11333 (0.00932)</t>
  </si>
  <si>
    <t>0.00644 (0.00101)</t>
  </si>
  <si>
    <t>yurZ</t>
  </si>
  <si>
    <t>0.03755 (0.11083)</t>
  </si>
  <si>
    <t>0.03747 (0.05737)</t>
  </si>
  <si>
    <t>0.01055 (0.00050)</t>
  </si>
  <si>
    <t>0.04490 (0.00259)</t>
  </si>
  <si>
    <t>metQ</t>
  </si>
  <si>
    <t>methionine ABC transporter, substrate bindinglipoprotein</t>
  </si>
  <si>
    <t>0.08384 (0.04380)</t>
  </si>
  <si>
    <t>0.07106 (0.06820)</t>
  </si>
  <si>
    <t>0.02103 (0.00095)</t>
  </si>
  <si>
    <t>0.07961 (0.00361)</t>
  </si>
  <si>
    <t>0.00568 (0.00032)</t>
  </si>
  <si>
    <t>metP</t>
  </si>
  <si>
    <t>methionine ABC transporter, permease component</t>
  </si>
  <si>
    <t>0.06368 (0.05521)</t>
  </si>
  <si>
    <t>0.00643 (0.00030)</t>
  </si>
  <si>
    <t>0.02294 (0.00132)</t>
  </si>
  <si>
    <t>0.00093 (0.00012)</t>
  </si>
  <si>
    <t>metN</t>
  </si>
  <si>
    <t>methionine ABC transporter (ATP-bindingprotein)</t>
  </si>
  <si>
    <t>0.01036 (0.02098)</t>
  </si>
  <si>
    <t>0.05204 (0.06410)</t>
  </si>
  <si>
    <t>0.02439 (0.00126)</t>
  </si>
  <si>
    <t>0.10403 (0.00535)</t>
  </si>
  <si>
    <t>0.00410 (0.00029)</t>
  </si>
  <si>
    <t>yusD</t>
  </si>
  <si>
    <t>0.07882 (0.08902)</t>
  </si>
  <si>
    <t>0.08634 (0.06282)</t>
  </si>
  <si>
    <t>0.02410 (0.00217)</t>
  </si>
  <si>
    <t>0.08704 (0.00817)</t>
  </si>
  <si>
    <t>0.00847 (0.00086)</t>
  </si>
  <si>
    <t>yusE</t>
  </si>
  <si>
    <t>0.13763 (0.07330)</t>
  </si>
  <si>
    <t>0.09734 (0.09826)</t>
  </si>
  <si>
    <t>0.03249 (0.00274)</t>
  </si>
  <si>
    <t>0.11082 (0.01039)</t>
  </si>
  <si>
    <t>0.01214 (0.00103)</t>
  </si>
  <si>
    <t>yusF</t>
  </si>
  <si>
    <t>putative ribonuclease</t>
  </si>
  <si>
    <t>0.39362 (0.18710)</t>
  </si>
  <si>
    <t>0.28068 (0.28068)</t>
  </si>
  <si>
    <t>0.01002 (0.00064)</t>
  </si>
  <si>
    <t>0.02113 (0.00183)</t>
  </si>
  <si>
    <t>0.00704 (0.00070)</t>
  </si>
  <si>
    <t>yusG</t>
  </si>
  <si>
    <t>0.18092 (0.24495)</t>
  </si>
  <si>
    <t>0.02350 (0.00590)</t>
  </si>
  <si>
    <t>0.07077 (0.01517)</t>
  </si>
  <si>
    <t>0.01305 (0.00410)</t>
  </si>
  <si>
    <t>gcvH</t>
  </si>
  <si>
    <t>glycine cleavage system protein H (lipoylacceptor protein)</t>
  </si>
  <si>
    <t>0.01969 (0.04686)</t>
  </si>
  <si>
    <t>0.01750 (0.00164)</t>
  </si>
  <si>
    <t>0.08310 (0.00843)</t>
  </si>
  <si>
    <t>0.00075 (0.00022)</t>
  </si>
  <si>
    <t>yusI</t>
  </si>
  <si>
    <t>putative oxidoreductase with thioredoxin domainand regulator domain</t>
  </si>
  <si>
    <t>0.05829 (0.08651)</t>
  </si>
  <si>
    <t>0.02426 (0.00193)</t>
  </si>
  <si>
    <t>0.12793 (0.01088)</t>
  </si>
  <si>
    <t>0.00165 (0.00031)</t>
  </si>
  <si>
    <t>fadE</t>
  </si>
  <si>
    <t>acyl-CoA dehydrogenase (FAD dependent)</t>
  </si>
  <si>
    <t>0.04589 (0.02179)</t>
  </si>
  <si>
    <t>0.06093 (0.05791)</t>
  </si>
  <si>
    <t>0.01016 (0.00032)</t>
  </si>
  <si>
    <t>0.03784 (0.00113)</t>
  </si>
  <si>
    <t>fadA</t>
  </si>
  <si>
    <t>acetyl-CoA C-acyltransferase</t>
  </si>
  <si>
    <t>0.04855 (0.02690)</t>
  </si>
  <si>
    <t>0.02645 (0.02896)</t>
  </si>
  <si>
    <t>0.01903 (0.00058)</t>
  </si>
  <si>
    <t>0.07326 (0.00223)</t>
  </si>
  <si>
    <t>0.00271 (0.00022)</t>
  </si>
  <si>
    <t>fadN</t>
  </si>
  <si>
    <t>bifunctional enoyl-CoA hydratase /3-hydroxyacyl-CoA dehydrogenase</t>
  </si>
  <si>
    <t>0.09099 (0.04395)</t>
  </si>
  <si>
    <t>0.05245 (0.00958)</t>
  </si>
  <si>
    <t>0.01587 (0.00047)</t>
  </si>
  <si>
    <t>0.05799 (0.00185)</t>
  </si>
  <si>
    <t>0.00413 (0.00013)</t>
  </si>
  <si>
    <t>yuzL</t>
  </si>
  <si>
    <t>0.41781 (0.46500)</t>
  </si>
  <si>
    <t>0.02364 (0.00254)</t>
  </si>
  <si>
    <t>0.08694 (0.01335)</t>
  </si>
  <si>
    <t>0.00788 (0.00165)</t>
  </si>
  <si>
    <t>putM</t>
  </si>
  <si>
    <t>proline dehydrogenase 1</t>
  </si>
  <si>
    <t>0.27855 (0.36243)</t>
  </si>
  <si>
    <t>0.14965 (0.07925)</t>
  </si>
  <si>
    <t>0.01145 (0.00066)</t>
  </si>
  <si>
    <t>0.03283 (0.00214)</t>
  </si>
  <si>
    <t>0.00533 (0.00032)</t>
  </si>
  <si>
    <t>yuzM</t>
  </si>
  <si>
    <t>0.08380 (0.05192)</t>
  </si>
  <si>
    <t>0.05588 (0.03951)</t>
  </si>
  <si>
    <t>0.01875 (0.00171)</t>
  </si>
  <si>
    <t>0.07900 (0.00843)</t>
  </si>
  <si>
    <t>0.00622 (0.00070)</t>
  </si>
  <si>
    <t>yusN</t>
  </si>
  <si>
    <t>putative spore coat-like protein</t>
  </si>
  <si>
    <t>0.01667 (0.04318)</t>
  </si>
  <si>
    <t>0.01528 (0.03575)</t>
  </si>
  <si>
    <t>0.02609 (0.00198)</t>
  </si>
  <si>
    <t>0.13873 (0.01191)</t>
  </si>
  <si>
    <t>0.00169 (0.00022)</t>
  </si>
  <si>
    <t>mdtR</t>
  </si>
  <si>
    <t>transcriptional regulator (MarR family, lowlevel antibiotic resistance)</t>
  </si>
  <si>
    <t>ref , GCA_000186745.1_ASM18674v1_genomic , GCA_000209795.2_ASM20979v2_genomic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</si>
  <si>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0.05305 (0.07832)</t>
  </si>
  <si>
    <t>0.13458 (0.14320)</t>
  </si>
  <si>
    <t>0.01822 (0.00232)</t>
  </si>
  <si>
    <t>0.07420 (0.01023)</t>
  </si>
  <si>
    <t>0.00461 (0.00062)</t>
  </si>
  <si>
    <t>mdtP</t>
  </si>
  <si>
    <t>0.06030 (0.02815)</t>
  </si>
  <si>
    <t>0.03877 (0.04452)</t>
  </si>
  <si>
    <t>0.00868 (0.00042)</t>
  </si>
  <si>
    <t>0.03209 (0.00169)</t>
  </si>
  <si>
    <t>0.00163 (0.00011)</t>
  </si>
  <si>
    <t>yusQ</t>
  </si>
  <si>
    <t>hydratase of unidentified specificity(tautomerase superfamily)</t>
  </si>
  <si>
    <t>0.06477 (0.04320)</t>
  </si>
  <si>
    <t>0.26720 (0.21817)</t>
  </si>
  <si>
    <t>0.01433 (0.00098)</t>
  </si>
  <si>
    <t>0.04895 (0.00429)</t>
  </si>
  <si>
    <t>0.00564 (0.00042)</t>
  </si>
  <si>
    <t>yusR</t>
  </si>
  <si>
    <t>0.15596 (0.08636)</t>
  </si>
  <si>
    <t>0.06201 (0.07469)</t>
  </si>
  <si>
    <t>0.02171 (0.00144)</t>
  </si>
  <si>
    <t>0.06943 (0.00515)</t>
  </si>
  <si>
    <t>0.00792 (0.00071)</t>
  </si>
  <si>
    <t>yusS</t>
  </si>
  <si>
    <t>conserved enzyme of unknown function</t>
  </si>
  <si>
    <t>0.40892 (0.29685)</t>
  </si>
  <si>
    <t>1.60402 (3.79503)</t>
  </si>
  <si>
    <t>0.02039 (0.00138)</t>
  </si>
  <si>
    <t>0.02148 (0.00228)</t>
  </si>
  <si>
    <t>0.02064 (0.00194)</t>
  </si>
  <si>
    <t>yusT</t>
  </si>
  <si>
    <t>transcriptional regulator of unknown specificity(LysR family)</t>
  </si>
  <si>
    <t>0.08468 (0.03573)</t>
  </si>
  <si>
    <t>0.04710 (0.08599)</t>
  </si>
  <si>
    <t>0.01810 (0.00085)</t>
  </si>
  <si>
    <t>0.06355 (0.00293)</t>
  </si>
  <si>
    <t>0.00398 (0.00033)</t>
  </si>
  <si>
    <t>yusU</t>
  </si>
  <si>
    <t>ref , GCA_000146565.1_ASM14656v1_genomic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GCA_002142595.1_ASM214259v1_genomic</t>
  </si>
  <si>
    <t>0.25356 (0.13490)</t>
  </si>
  <si>
    <t>0.06317 (0.14740)</t>
  </si>
  <si>
    <t>0.02504 (0.00126)</t>
  </si>
  <si>
    <t>0.08964 (0.00458)</t>
  </si>
  <si>
    <t>0.01014 (0.00070)</t>
  </si>
  <si>
    <t>feuV</t>
  </si>
  <si>
    <t>iron(III)-siderophore transporter (ATP bindingcomponent)</t>
  </si>
  <si>
    <t>0.02961 (0.02466)</t>
  </si>
  <si>
    <t>0.02092 (0.01844)</t>
  </si>
  <si>
    <t>0.02582 (0.00140)</t>
  </si>
  <si>
    <t>0.11087 (0.00630)</t>
  </si>
  <si>
    <t>0.00298 (0.00019)</t>
  </si>
  <si>
    <t>cotNW</t>
  </si>
  <si>
    <t>spore lipoprotein</t>
  </si>
  <si>
    <t>0.07512 (0.05073)</t>
  </si>
  <si>
    <t>0.18481 (0.14548)</t>
  </si>
  <si>
    <t>0.01252 (0.00094)</t>
  </si>
  <si>
    <t>0.04110 (0.00316)</t>
  </si>
  <si>
    <t>0.00493 (0.00065)</t>
  </si>
  <si>
    <t>yusZ</t>
  </si>
  <si>
    <t>putative short-chain acyl dehydrogenase</t>
  </si>
  <si>
    <t>0.15242 (0.10665)</t>
  </si>
  <si>
    <t>0.08825 (0.02458)</t>
  </si>
  <si>
    <t>0.01473 (0.00068)</t>
  </si>
  <si>
    <t>0.04596 (0.00212)</t>
  </si>
  <si>
    <t>0.00524 (0.00038)</t>
  </si>
  <si>
    <t>mrgA</t>
  </si>
  <si>
    <t>metalloregulation DNA-binding stress protein</t>
  </si>
  <si>
    <t>0.09207 (0.09191)</t>
  </si>
  <si>
    <t>0.04942 (0.08583)</t>
  </si>
  <si>
    <t>0.02548 (0.00163)</t>
  </si>
  <si>
    <t>0.10003 (0.00705)</t>
  </si>
  <si>
    <t>0.00727 (0.00051)</t>
  </si>
  <si>
    <t>htrB</t>
  </si>
  <si>
    <t>protease-associated chaperone for theextracytoplasmic folding and quality control of exportedproteins</t>
  </si>
  <si>
    <t>0.09667 (0.03478)</t>
  </si>
  <si>
    <t>0.05977 (0.03105)</t>
  </si>
  <si>
    <t>0.01063 (0.00035)</t>
  </si>
  <si>
    <t>0.03672 (0.00143)</t>
  </si>
  <si>
    <t>0.00309 (0.00015)</t>
  </si>
  <si>
    <t>cssR</t>
  </si>
  <si>
    <t>folding stress-sensitive two-component responseregulator</t>
  </si>
  <si>
    <t>0.01550 (0.02396)</t>
  </si>
  <si>
    <t>0.03142 (0.05630)</t>
  </si>
  <si>
    <t>0.02221 (0.00161)</t>
  </si>
  <si>
    <t>0.09717 (0.00738)</t>
  </si>
  <si>
    <t>0.00218 (0.00021)</t>
  </si>
  <si>
    <t>cssS</t>
  </si>
  <si>
    <t>folding stress-sensitive two-component sensorhistidine kinase</t>
  </si>
  <si>
    <t>0.03214 (0.03502)</t>
  </si>
  <si>
    <t>0.00677 (0.00029)</t>
  </si>
  <si>
    <t>0.02937 (0.00143)</t>
  </si>
  <si>
    <t>0.00054 (0.00008)</t>
  </si>
  <si>
    <t>spxO</t>
  </si>
  <si>
    <t>regulator of SpxA degradation</t>
  </si>
  <si>
    <t>0.01235 (0.00151)</t>
  </si>
  <si>
    <t>0.06645 (0.00845)</t>
  </si>
  <si>
    <t>yuxN</t>
  </si>
  <si>
    <t>0.07735 (0.04509)</t>
  </si>
  <si>
    <t>0.06156 (0.08083)</t>
  </si>
  <si>
    <t>0.02090 (0.00125)</t>
  </si>
  <si>
    <t>0.08120 (0.00493)</t>
  </si>
  <si>
    <t>0.00576 (0.00039)</t>
  </si>
  <si>
    <t>fumC</t>
  </si>
  <si>
    <t>fumarate hydratase</t>
  </si>
  <si>
    <t>0.01123 (0.01367)</t>
  </si>
  <si>
    <t>0.00929 (0.01868)</t>
  </si>
  <si>
    <t>0.02552 (0.00152)</t>
  </si>
  <si>
    <t>0.12421 (0.00772)</t>
  </si>
  <si>
    <t>0.00139 (0.00011)</t>
  </si>
  <si>
    <t>yvzF</t>
  </si>
  <si>
    <t>0.29247 (0.11940)</t>
  </si>
  <si>
    <t>0.02930 (0.00253)</t>
  </si>
  <si>
    <t>0.11943 (0.01278)</t>
  </si>
  <si>
    <t>0.00634 (0.00078)</t>
  </si>
  <si>
    <t>gerAA</t>
  </si>
  <si>
    <t>component of the GerA germination receptor</t>
  </si>
  <si>
    <t>0.16000 (0.05797)</t>
  </si>
  <si>
    <t>0.08265 (0.06829)</t>
  </si>
  <si>
    <t>0.04665 (0.03349)</t>
  </si>
  <si>
    <t>0.01324 (0.00073)</t>
  </si>
  <si>
    <t>0.04796 (0.00297)</t>
  </si>
  <si>
    <t>0.00290 (0.00014)</t>
  </si>
  <si>
    <t>gerAB</t>
  </si>
  <si>
    <t>component of the germination receptor GerA;putative transporter</t>
  </si>
  <si>
    <t>0.08627 (0.15167)</t>
  </si>
  <si>
    <t>0.07498 (0.03114)</t>
  </si>
  <si>
    <t>0.02006 (0.00153)</t>
  </si>
  <si>
    <t>0.07087 (0.00560)</t>
  </si>
  <si>
    <t>gerAC</t>
  </si>
  <si>
    <t>component of the germination receptor GerA</t>
  </si>
  <si>
    <t>0.17782 (0.16405)</t>
  </si>
  <si>
    <t>0.21128 (0.07860)</t>
  </si>
  <si>
    <t>0.02848 (0.00226)</t>
  </si>
  <si>
    <t>0.08337 (0.00844)</t>
  </si>
  <si>
    <t>0.01515 (0.00096)</t>
  </si>
  <si>
    <t>liaR</t>
  </si>
  <si>
    <t>two-component response regulator [YvqE]responding to cell wall stress</t>
  </si>
  <si>
    <t>0.12197 (0.07588)</t>
  </si>
  <si>
    <t>0.21984 (0.17315)</t>
  </si>
  <si>
    <t>0.01203 (0.00058)</t>
  </si>
  <si>
    <t>0.03631 (0.00187)</t>
  </si>
  <si>
    <t>0.00488 (0.00055)</t>
  </si>
  <si>
    <t>liaS</t>
  </si>
  <si>
    <t>two-component sensor histidine kinase[LiaR(YvqC)] sensing cell wall stress</t>
  </si>
  <si>
    <t>0.06393 (0.01903)</t>
  </si>
  <si>
    <t>0.02885 (0.04023)</t>
  </si>
  <si>
    <t>0.01417 (0.00052)</t>
  </si>
  <si>
    <t>0.05753 (0.00220)</t>
  </si>
  <si>
    <t>0.00224 (0.00015)</t>
  </si>
  <si>
    <t>liaF</t>
  </si>
  <si>
    <t>membrane component associated to the LiaRStwo-component system</t>
  </si>
  <si>
    <t>0.08349 (0.04477)</t>
  </si>
  <si>
    <t>0.05945 (0.02756)</t>
  </si>
  <si>
    <t>0.01596 (0.00050)</t>
  </si>
  <si>
    <t>0.06136 (0.00220)</t>
  </si>
  <si>
    <t>0.00363 (0.00020)</t>
  </si>
  <si>
    <t>liaG</t>
  </si>
  <si>
    <t>sensor of antibiotic stress on the cell wall</t>
  </si>
  <si>
    <t>0.25736 (0.13587)</t>
  </si>
  <si>
    <t>0.30362 (0.16992)</t>
  </si>
  <si>
    <t>0.02696 (0.00174)</t>
  </si>
  <si>
    <t>0.06326 (0.00473)</t>
  </si>
  <si>
    <t>0.01654 (0.00110)</t>
  </si>
  <si>
    <t>liaH</t>
  </si>
  <si>
    <t>modulator of liaIHGFSR (yvqIHGFEC) operonexpression</t>
  </si>
  <si>
    <t>0.11366 (0.22161)</t>
  </si>
  <si>
    <t>0.13278 (0.11956)</t>
  </si>
  <si>
    <t>0.01061 (0.00065)</t>
  </si>
  <si>
    <t>0.03792 (0.00256)</t>
  </si>
  <si>
    <t>liaI</t>
  </si>
  <si>
    <t>membrane anchor for the phage-shock protein Ahomolog LiaH</t>
  </si>
  <si>
    <t>0.14003 (0.08594)</t>
  </si>
  <si>
    <t>0.06651 (0.05821)</t>
  </si>
  <si>
    <t>0.03171 (0.00194)</t>
  </si>
  <si>
    <t>0.11858 (0.00874)</t>
  </si>
  <si>
    <t>0.00913 (0.00050)</t>
  </si>
  <si>
    <t>yvqJ</t>
  </si>
  <si>
    <t>putative efflux protein</t>
  </si>
  <si>
    <t>0.07656 (0.04713)</t>
  </si>
  <si>
    <t>0.04592 (0.04396)</t>
  </si>
  <si>
    <t>0.01372 (0.00051)</t>
  </si>
  <si>
    <t>0.04923 (0.00183)</t>
  </si>
  <si>
    <t>0.00273 (0.00015)</t>
  </si>
  <si>
    <t>yvqK</t>
  </si>
  <si>
    <t>putative ATP:cob(I)alamin adenosyltransferase</t>
  </si>
  <si>
    <t>0.20296 (0.07316)</t>
  </si>
  <si>
    <t>0.16327 (0.11124)</t>
  </si>
  <si>
    <t>0.01631 (0.00073)</t>
  </si>
  <si>
    <t>0.04262 (0.00249)</t>
  </si>
  <si>
    <t>0.00821 (0.00039)</t>
  </si>
  <si>
    <t>yvrA</t>
  </si>
  <si>
    <t>putative vitamin B12 transport system, ATPasecomponent</t>
  </si>
  <si>
    <t>0.20256 (0.05291)</t>
  </si>
  <si>
    <t>0.29161 (0.06626)</t>
  </si>
  <si>
    <t>0.01668 (0.00051)</t>
  </si>
  <si>
    <t>0.04046 (0.00136)</t>
  </si>
  <si>
    <t>yvrB</t>
  </si>
  <si>
    <t>putative vitamin B12 permease</t>
  </si>
  <si>
    <t>0.11307 (0.06096)</t>
  </si>
  <si>
    <t>0.14036 (0.10915)</t>
  </si>
  <si>
    <t>0.01361 (0.00046)</t>
  </si>
  <si>
    <t>0.03887 (0.00165)</t>
  </si>
  <si>
    <t>0.00509 (0.00024)</t>
  </si>
  <si>
    <t>yvrC</t>
  </si>
  <si>
    <t>putative lipoprotein binding vitamin B12</t>
  </si>
  <si>
    <t>0.14335 (0.09187)</t>
  </si>
  <si>
    <t>0.25889 (0.14527)</t>
  </si>
  <si>
    <t>0.01358 (0.00080)</t>
  </si>
  <si>
    <t>0.03878 (0.00301)</t>
  </si>
  <si>
    <t>0.00665 (0.00036)</t>
  </si>
  <si>
    <t>yvrD</t>
  </si>
  <si>
    <t>0.04878 (0.04263)</t>
  </si>
  <si>
    <t>0.05705 (0.05694)</t>
  </si>
  <si>
    <t>0.01645 (0.00056)</t>
  </si>
  <si>
    <t>0.06233 (0.00239)</t>
  </si>
  <si>
    <t>0.00286 (0.00021)</t>
  </si>
  <si>
    <t>yvrE</t>
  </si>
  <si>
    <t>putative sugar lactone lactonase</t>
  </si>
  <si>
    <t>0.03141 (0.02282)</t>
  </si>
  <si>
    <t>0.04377 (0.04930)</t>
  </si>
  <si>
    <t>0.00947 (0.00034)</t>
  </si>
  <si>
    <t>0.03875 (0.00126)</t>
  </si>
  <si>
    <t>0.00141 (0.00013)</t>
  </si>
  <si>
    <t>yvrG</t>
  </si>
  <si>
    <t>two-component sensor histidine kinase YvrG [cellwall processes and sublancin production and immunity(YvrH)]</t>
  </si>
  <si>
    <t>0.06833 (0.03149)</t>
  </si>
  <si>
    <t>0.03829 (0.02033)</t>
  </si>
  <si>
    <t>0.01019 (0.00026)</t>
  </si>
  <si>
    <t>0.04041 (0.00110)</t>
  </si>
  <si>
    <t>0.00219 (0.00008)</t>
  </si>
  <si>
    <t>yvrH</t>
  </si>
  <si>
    <t>two-component sensor histidine kinase YvrG [cellwall processes and sublancin production and immunity(YvrG)]</t>
  </si>
  <si>
    <t>0.02909 (0.00189)</t>
  </si>
  <si>
    <t>0.00048 (0.00010)</t>
  </si>
  <si>
    <t>rsoA</t>
  </si>
  <si>
    <t>regulator of sigma-O</t>
  </si>
  <si>
    <t>0.37777 (0.27508)</t>
  </si>
  <si>
    <t>0.08727 (0.18527)</t>
  </si>
  <si>
    <t>0.01734 (0.00082)</t>
  </si>
  <si>
    <t>0.06471 (0.00477)</t>
  </si>
  <si>
    <t>0.00773 (0.00060)</t>
  </si>
  <si>
    <t>sigO</t>
  </si>
  <si>
    <t>alternative sigma factor</t>
  </si>
  <si>
    <t>0.14097 (0.07786)</t>
  </si>
  <si>
    <t>0.03178 (0.04147)</t>
  </si>
  <si>
    <t>0.01686 (0.00068)</t>
  </si>
  <si>
    <t>0.06788 (0.00312)</t>
  </si>
  <si>
    <t>0.00467 (0.00028)</t>
  </si>
  <si>
    <t>oxdC</t>
  </si>
  <si>
    <t>oxalate decarboxylase</t>
  </si>
  <si>
    <t>0.04932 (0.02015)</t>
  </si>
  <si>
    <t>0.04499 (0.02716)</t>
  </si>
  <si>
    <t>0.01214 (0.00038)</t>
  </si>
  <si>
    <t>0.04758 (0.00172)</t>
  </si>
  <si>
    <t>0.00243 (0.00011)</t>
  </si>
  <si>
    <t>rsiO</t>
  </si>
  <si>
    <t>acid stress-sensitive anti sigma factor</t>
  </si>
  <si>
    <t>0.12073 (0.12461)</t>
  </si>
  <si>
    <t>0.01452 (0.00091)</t>
  </si>
  <si>
    <t>0.05219 (0.00375)</t>
  </si>
  <si>
    <t>yvrN</t>
  </si>
  <si>
    <t>0.03560 (0.03556)</t>
  </si>
  <si>
    <t>0.03609 (0.03800)</t>
  </si>
  <si>
    <t>0.01214 (0.00066)</t>
  </si>
  <si>
    <t>0.04749 (0.00255)</t>
  </si>
  <si>
    <t>0.00178 (0.00019)</t>
  </si>
  <si>
    <t>yvrO</t>
  </si>
  <si>
    <t>0.06087 (0.03578)</t>
  </si>
  <si>
    <t>0.03057 (0.07074)</t>
  </si>
  <si>
    <t>0.00962 (0.00053)</t>
  </si>
  <si>
    <t>0.03591 (0.00203)</t>
  </si>
  <si>
    <t>yvrP</t>
  </si>
  <si>
    <t>putative ABC transporter membrane fusioncomponent</t>
  </si>
  <si>
    <t>0.15898 (0.09257)</t>
  </si>
  <si>
    <t>0.10256 (0.09894)</t>
  </si>
  <si>
    <t>0.01079 (0.00047)</t>
  </si>
  <si>
    <t>0.03322 (0.00154)</t>
  </si>
  <si>
    <t>0.00474 (0.00029)</t>
  </si>
  <si>
    <t>fhuC</t>
  </si>
  <si>
    <t>ferrichrome ABC transporter (ATP-bindingprotein)</t>
  </si>
  <si>
    <t>0.15249 (0.06997)</t>
  </si>
  <si>
    <t>0.00702 (0.00035)</t>
  </si>
  <si>
    <t>0.02403 (0.00136)</t>
  </si>
  <si>
    <t>0.00195 (0.00021)</t>
  </si>
  <si>
    <t>fhuG</t>
  </si>
  <si>
    <t>ferrichrome ABC transporter (permease)</t>
  </si>
  <si>
    <t>0.13081 (0.12736)</t>
  </si>
  <si>
    <t>0.18572 (0.11404)</t>
  </si>
  <si>
    <t>0.00956 (0.00061)</t>
  </si>
  <si>
    <t>0.02562 (0.00196)</t>
  </si>
  <si>
    <t>0.00430 (0.00026)</t>
  </si>
  <si>
    <t>fhuB</t>
  </si>
  <si>
    <t>0.16653 (0.17895)</t>
  </si>
  <si>
    <t>0.07708 (0.05504)</t>
  </si>
  <si>
    <t>0.01570 (0.00072)</t>
  </si>
  <si>
    <t>0.04738 (0.00246)</t>
  </si>
  <si>
    <t>0.00529 (0.00026)</t>
  </si>
  <si>
    <t>fhuD</t>
  </si>
  <si>
    <t>ferrichrome ABC transporter (ferrichrome-bindinglipoprotein)</t>
  </si>
  <si>
    <t>0.11092 (0.04583)</t>
  </si>
  <si>
    <t>0.09383 (0.02545)</t>
  </si>
  <si>
    <t>0.01777 (0.00077)</t>
  </si>
  <si>
    <t>0.06057 (0.00308)</t>
  </si>
  <si>
    <t>0.00597 (0.00024)</t>
  </si>
  <si>
    <t>lysP</t>
  </si>
  <si>
    <t>lysine permease</t>
  </si>
  <si>
    <t>0.03726 (0.04224)</t>
  </si>
  <si>
    <t>0.04360 (0.05789)</t>
  </si>
  <si>
    <t>0.00695 (0.00023)</t>
  </si>
  <si>
    <t>0.02527 (0.00094)</t>
  </si>
  <si>
    <t>0.00109 (0.00008)</t>
  </si>
  <si>
    <t>sspJ</t>
  </si>
  <si>
    <t>0.01932 (0.00441)</t>
  </si>
  <si>
    <t>0.07816 (0.02317)</t>
  </si>
  <si>
    <t>0.00608 (0.00143)</t>
  </si>
  <si>
    <t>yvsG</t>
  </si>
  <si>
    <t>0.11480 (0.09191)</t>
  </si>
  <si>
    <t>0.01011 (0.00060)</t>
  </si>
  <si>
    <t>0.03595 (0.00234)</t>
  </si>
  <si>
    <t>0.00222 (0.00037)</t>
  </si>
  <si>
    <t>ltaSP</t>
  </si>
  <si>
    <t>primase of polyglycerolphosphate lipoteichoicacid (LTA) synthesis</t>
  </si>
  <si>
    <t>0.08540 (0.12534)</t>
  </si>
  <si>
    <t>0.10841 (0.03094)</t>
  </si>
  <si>
    <t>0.01598 (0.00093)</t>
  </si>
  <si>
    <t>0.05494 (0.00349)</t>
  </si>
  <si>
    <t>0.00580 (0.00035)</t>
  </si>
  <si>
    <t>yvgK</t>
  </si>
  <si>
    <t>putative molybdate binding regulator</t>
  </si>
  <si>
    <t>0.15655 (0.05502)</t>
  </si>
  <si>
    <t>0.24858 (0.04887)</t>
  </si>
  <si>
    <t>0.01795 (0.00074)</t>
  </si>
  <si>
    <t>0.04720 (0.00201)</t>
  </si>
  <si>
    <t>0.00983 (0.00047)</t>
  </si>
  <si>
    <t>modA</t>
  </si>
  <si>
    <t>molybdate-binding lipoprotein</t>
  </si>
  <si>
    <t>0.15591 (0.09414)</t>
  </si>
  <si>
    <t>0.13637 (0.14272)</t>
  </si>
  <si>
    <t>0.01312 (0.00064)</t>
  </si>
  <si>
    <t>0.03844 (0.00181)</t>
  </si>
  <si>
    <t>0.00585 (0.00048)</t>
  </si>
  <si>
    <t>modB</t>
  </si>
  <si>
    <t>molybdenum transport permease</t>
  </si>
  <si>
    <t>0.09162 (0.09328)</t>
  </si>
  <si>
    <t>0.14746 (0.06143)</t>
  </si>
  <si>
    <t>0.01533 (0.00101)</t>
  </si>
  <si>
    <t>0.04997 (0.00390)</t>
  </si>
  <si>
    <t>0.00494 (0.00030)</t>
  </si>
  <si>
    <t>pgoN</t>
  </si>
  <si>
    <t>promiscuous glyoxal/methylglyoxal reductase</t>
  </si>
  <si>
    <t>0.14256 (0.07249)</t>
  </si>
  <si>
    <t>0.02306 (0.04924)</t>
  </si>
  <si>
    <t>0.01805 (0.00102)</t>
  </si>
  <si>
    <t>0.08029 (0.00482)</t>
  </si>
  <si>
    <t>0.00280 (0.00020)</t>
  </si>
  <si>
    <t>yvgO</t>
  </si>
  <si>
    <t>exported stress induced factor</t>
  </si>
  <si>
    <t>0.13665 (0.13449)</t>
  </si>
  <si>
    <t>0.07454 (0.10473)</t>
  </si>
  <si>
    <t>0.02338 (0.00254)</t>
  </si>
  <si>
    <t>0.08386 (0.00953)</t>
  </si>
  <si>
    <t>0.00723 (0.00089)</t>
  </si>
  <si>
    <t>nhaK</t>
  </si>
  <si>
    <t>0.05559 (0.01960)</t>
  </si>
  <si>
    <t>0.01942 (0.01802)</t>
  </si>
  <si>
    <t>0.01236 (0.00053)</t>
  </si>
  <si>
    <t>0.04996 (0.00230)</t>
  </si>
  <si>
    <t>0.00117 (0.00006)</t>
  </si>
  <si>
    <t>cysI</t>
  </si>
  <si>
    <t>assimilatory sulfite reductase (hemoproteinbeta-subunit)</t>
  </si>
  <si>
    <t>0.03970 (0.01787)</t>
  </si>
  <si>
    <t>0.02112 (0.03218)</t>
  </si>
  <si>
    <t>0.01196 (0.00035)</t>
  </si>
  <si>
    <t>0.04920 (0.00146)</t>
  </si>
  <si>
    <t>0.00156 (0.00010)</t>
  </si>
  <si>
    <t>cysJ</t>
  </si>
  <si>
    <t>assimilatory sulfite reductase (flavoproteinalpha-subunit)</t>
  </si>
  <si>
    <t>0.07077 (0.02962)</t>
  </si>
  <si>
    <t>0.22358 (0.03726)</t>
  </si>
  <si>
    <t>0.01190 (0.00041)</t>
  </si>
  <si>
    <t>0.03949 (0.00156)</t>
  </si>
  <si>
    <t>0.00390 (0.00016)</t>
  </si>
  <si>
    <t>helD</t>
  </si>
  <si>
    <t>transcription factor</t>
  </si>
  <si>
    <t>0.19543 (0.05320)</t>
  </si>
  <si>
    <t>0.17582 (0.08080)</t>
  </si>
  <si>
    <t>0.01425 (0.00035)</t>
  </si>
  <si>
    <t>0.04054 (0.00122)</t>
  </si>
  <si>
    <t>0.00748 (0.00021)</t>
  </si>
  <si>
    <t>yvgT</t>
  </si>
  <si>
    <t>0.02343 (0.04106)</t>
  </si>
  <si>
    <t>0.01944 (0.00147)</t>
  </si>
  <si>
    <t>0.08115 (0.00668)</t>
  </si>
  <si>
    <t>bdbC</t>
  </si>
  <si>
    <t>0.04412 (0.05038)</t>
  </si>
  <si>
    <t>0.06067 (0.06656)</t>
  </si>
  <si>
    <t>0.02703 (0.00161)</t>
  </si>
  <si>
    <t>0.10277 (0.00641)</t>
  </si>
  <si>
    <t>0.00698 (0.00051)</t>
  </si>
  <si>
    <t>bdbD</t>
  </si>
  <si>
    <t>0.17948 (0.15223)</t>
  </si>
  <si>
    <t>0.00639 (0.00041)</t>
  </si>
  <si>
    <t>0.02275 (0.00151)</t>
  </si>
  <si>
    <t>0.00209 (0.00034)</t>
  </si>
  <si>
    <t>cadA</t>
  </si>
  <si>
    <t>Cd(II), Zn(II) and Co(II) exporter (ATPase)</t>
  </si>
  <si>
    <t>0.11294 (0.03697)</t>
  </si>
  <si>
    <t>0.09338 (0.01607)</t>
  </si>
  <si>
    <t>0.02021 (0.00056)</t>
  </si>
  <si>
    <t>0.06625 (0.00204)</t>
  </si>
  <si>
    <t>0.00663 (0.00021)</t>
  </si>
  <si>
    <t>copA</t>
  </si>
  <si>
    <t>copper transporter ATPase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</si>
  <si>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</t>
  </si>
  <si>
    <t>0.08210 (0.07066)</t>
  </si>
  <si>
    <t>0.03478 (0.02735)</t>
  </si>
  <si>
    <t>0.00977 (0.00072)</t>
  </si>
  <si>
    <t>0.03359 (0.00236)</t>
  </si>
  <si>
    <t>0.00252 (0.00054)</t>
  </si>
  <si>
    <t>copZ</t>
  </si>
  <si>
    <t>copper insertion chaperone and transportercomponent</t>
  </si>
  <si>
    <t>0.10176 (0.10733)</t>
  </si>
  <si>
    <t>0.02908 (0.00263)</t>
  </si>
  <si>
    <t>0.13504 (0.01324)</t>
  </si>
  <si>
    <t>0.00385 (0.00082)</t>
  </si>
  <si>
    <t>csoR</t>
  </si>
  <si>
    <t>repressor of copper utilisation proteins-Cu(I)</t>
  </si>
  <si>
    <t>0.08005 (0.07234)</t>
  </si>
  <si>
    <t>0.02386 (0.02851)</t>
  </si>
  <si>
    <t>0.02992 (0.00203)</t>
  </si>
  <si>
    <t>0.15110 (0.01105)</t>
  </si>
  <si>
    <t>0.00496 (0.00049)</t>
  </si>
  <si>
    <t>iolW</t>
  </si>
  <si>
    <t>scyllo-inositol 2-dehydrogenase(NADP(+)-dependent)</t>
  </si>
  <si>
    <t>0.13479 (0.13564)</t>
  </si>
  <si>
    <t>0.17589 (0.10304)</t>
  </si>
  <si>
    <t>0.01855 (0.00091)</t>
  </si>
  <si>
    <t>0.05499 (0.00296)</t>
  </si>
  <si>
    <t>0.00813 (0.00045)</t>
  </si>
  <si>
    <t>azoRB</t>
  </si>
  <si>
    <t>NADH:dichloroindophenol oxidoreductase(2-methylhydroquinone resistance)</t>
  </si>
  <si>
    <t>0.03009 (0.03117)</t>
  </si>
  <si>
    <t>0.04715 (0.06340)</t>
  </si>
  <si>
    <t>0.01233 (0.00040)</t>
  </si>
  <si>
    <t>0.04901 (0.00161)</t>
  </si>
  <si>
    <t>0.00240 (0.00017)</t>
  </si>
  <si>
    <t>yvaC</t>
  </si>
  <si>
    <t>0.15776 (0.03691)</t>
  </si>
  <si>
    <t>0.20005 (0.04524)</t>
  </si>
  <si>
    <t>0.02355 (0.00073)</t>
  </si>
  <si>
    <t>0.06471 (0.00213)</t>
  </si>
  <si>
    <t>0.01129 (0.00038)</t>
  </si>
  <si>
    <t>yvaD</t>
  </si>
  <si>
    <t>0.24793 (0.09233)</t>
  </si>
  <si>
    <t>0.04165 (0.10519)</t>
  </si>
  <si>
    <t>0.01406 (0.00063)</t>
  </si>
  <si>
    <t>0.04326 (0.00190)</t>
  </si>
  <si>
    <t>0.00598 (0.00040)</t>
  </si>
  <si>
    <t>yvaE</t>
  </si>
  <si>
    <t>putative metabolite-efflux transporter</t>
  </si>
  <si>
    <t>0.26478 (0.21013)</t>
  </si>
  <si>
    <t>0.04546 (0.10404)</t>
  </si>
  <si>
    <t>0.01669 (0.00113)</t>
  </si>
  <si>
    <t>0.04704 (0.00329)</t>
  </si>
  <si>
    <t>0.00759 (0.00079)</t>
  </si>
  <si>
    <t>yvaF</t>
  </si>
  <si>
    <t>0.18824 (0.04666)</t>
  </si>
  <si>
    <t>0.28647 (0.17117)</t>
  </si>
  <si>
    <t>0.02125 (0.00090)</t>
  </si>
  <si>
    <t>0.05375 (0.00244)</t>
  </si>
  <si>
    <t>0.01318 (0.00063)</t>
  </si>
  <si>
    <t>yvaG</t>
  </si>
  <si>
    <t>0.07840 (0.05076)</t>
  </si>
  <si>
    <t>0.03615 (0.04405)</t>
  </si>
  <si>
    <t>0.02247 (0.00110)</t>
  </si>
  <si>
    <t>0.08800 (0.00423)</t>
  </si>
  <si>
    <t>0.00432 (0.00032)</t>
  </si>
  <si>
    <t>smpB</t>
  </si>
  <si>
    <t>tmRNA-binding protein</t>
  </si>
  <si>
    <t>0.01585 (0.00080)</t>
  </si>
  <si>
    <t>0.07605 (0.00400)</t>
  </si>
  <si>
    <t>rnr</t>
  </si>
  <si>
    <t>ribonuclease R</t>
  </si>
  <si>
    <t>0.02294 (0.02031)</t>
  </si>
  <si>
    <t>0.01406 (0.03982)</t>
  </si>
  <si>
    <t>0.01777 (0.00107)</t>
  </si>
  <si>
    <t>0.08256 (0.00534)</t>
  </si>
  <si>
    <t>0.00149 (0.00012)</t>
  </si>
  <si>
    <t>carboxylesterase</t>
  </si>
  <si>
    <t>0.04136 (0.06404)</t>
  </si>
  <si>
    <t>0.01475 (0.01919)</t>
  </si>
  <si>
    <t>0.02285 (0.00158)</t>
  </si>
  <si>
    <t>0.10792 (0.00761)</t>
  </si>
  <si>
    <t>secG</t>
  </si>
  <si>
    <t>0.01738 (0.00120)</t>
  </si>
  <si>
    <t>0.07205 (0.00516)</t>
  </si>
  <si>
    <t>yvaM</t>
  </si>
  <si>
    <t>0.17471 (0.10741)</t>
  </si>
  <si>
    <t>0.29166 (0.15534)</t>
  </si>
  <si>
    <t>0.01310 (0.00048)</t>
  </si>
  <si>
    <t>0.03153 (0.00131)</t>
  </si>
  <si>
    <t>0.00797 (0.00042)</t>
  </si>
  <si>
    <t>yvzC</t>
  </si>
  <si>
    <t>putative phage-like transcriptional regulator</t>
  </si>
  <si>
    <t>0.07335 (0.12860)</t>
  </si>
  <si>
    <t>0.01448 (0.00104)</t>
  </si>
  <si>
    <t>0.05544 (0.00434)</t>
  </si>
  <si>
    <t>0.00308 (0.00033)</t>
  </si>
  <si>
    <t>rghRA</t>
  </si>
  <si>
    <t>ref , GCA_000146565.1_ASM14656v1_genomic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</si>
  <si>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0.04846 (0.03890)</t>
  </si>
  <si>
    <t>0.02126 (0.03254)</t>
  </si>
  <si>
    <t>0.02648 (0.00125)</t>
  </si>
  <si>
    <t>0.12017 (0.00619)</t>
  </si>
  <si>
    <t>0.00264 (0.00017)</t>
  </si>
  <si>
    <t>rghRB</t>
  </si>
  <si>
    <t>putative phage-like transcriptional repressor</t>
  </si>
  <si>
    <t>0.14696 (0.24390)</t>
  </si>
  <si>
    <t>0.15679 (0.24405)</t>
  </si>
  <si>
    <t>0.01799 (0.00169)</t>
  </si>
  <si>
    <t>0.05003 (0.00710)</t>
  </si>
  <si>
    <t>0.00912 (0.00084)</t>
  </si>
  <si>
    <t>catR</t>
  </si>
  <si>
    <t>transcriptional regulator of catecholdioxygenase</t>
  </si>
  <si>
    <t>ref , GCA_000146565.1_ASM14656v1_genomic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</si>
  <si>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0.02047 (0.05585)</t>
  </si>
  <si>
    <t>0.01308 (0.03763)</t>
  </si>
  <si>
    <t>0.02668 (0.00152)</t>
  </si>
  <si>
    <t>0.11910 (0.00706)</t>
  </si>
  <si>
    <t>0.00250 (0.00026)</t>
  </si>
  <si>
    <t>yvaQ</t>
  </si>
  <si>
    <t>putative methyl-accepting transducer</t>
  </si>
  <si>
    <t>ref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</si>
  <si>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0.10862 (0.04120)</t>
  </si>
  <si>
    <t>0.09219 (0.00610)</t>
  </si>
  <si>
    <t>0.02149 (0.00104)</t>
  </si>
  <si>
    <t>0.07201 (0.00326)</t>
  </si>
  <si>
    <t>0.00840 (0.00064)</t>
  </si>
  <si>
    <t>opuBD</t>
  </si>
  <si>
    <t>choline ABC transporter (permease)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</si>
  <si>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</si>
  <si>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0.11981 (0.06999)</t>
  </si>
  <si>
    <t>0.06868 (0.04474)</t>
  </si>
  <si>
    <t>0.02027 (0.00085)</t>
  </si>
  <si>
    <t>0.06434 (0.00298)</t>
  </si>
  <si>
    <t>0.00610 (0.00052)</t>
  </si>
  <si>
    <t>opuBC</t>
  </si>
  <si>
    <t>choline ABC transporter (choline-bindinglipoprotein)</t>
  </si>
  <si>
    <t>0.16878 (0.05644)</t>
  </si>
  <si>
    <t>0.11709 (0.04815)</t>
  </si>
  <si>
    <t>0.01351 (0.00048)</t>
  </si>
  <si>
    <t>0.04177 (0.00162)</t>
  </si>
  <si>
    <t>0.00579 (0.00026)</t>
  </si>
  <si>
    <t>opuBB</t>
  </si>
  <si>
    <t>0.19360 (0.09464)</t>
  </si>
  <si>
    <t>0.01487 (0.00060)</t>
  </si>
  <si>
    <t>0.04718 (0.00192)</t>
  </si>
  <si>
    <t>0.00385 (0.00037)</t>
  </si>
  <si>
    <t>opuBA</t>
  </si>
  <si>
    <t>choline ABC transporter (ATP-binding protein)</t>
  </si>
  <si>
    <t>0.14853 (0.04199)</t>
  </si>
  <si>
    <t>0.25656 (0.15359)</t>
  </si>
  <si>
    <t>0.00957 (0.00035)</t>
  </si>
  <si>
    <t>0.02684 (0.00122)</t>
  </si>
  <si>
    <t>0.00458 (0.00020)</t>
  </si>
  <si>
    <t>yvaV</t>
  </si>
  <si>
    <t>putative transcriptional regulator (controllingcholine uptake)</t>
  </si>
  <si>
    <t>0.06361 (0.09192)</t>
  </si>
  <si>
    <t>0.09667 (0.07762)</t>
  </si>
  <si>
    <t>0.01463 (0.00125)</t>
  </si>
  <si>
    <t>0.06194 (0.00602)</t>
  </si>
  <si>
    <t>0.00367 (0.00031)</t>
  </si>
  <si>
    <t>opuCD</t>
  </si>
  <si>
    <t>glycine betaine/carnitine/choline/cholinesulfate ABC transporter (promiscuous permease)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</si>
  <si>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</t>
  </si>
  <si>
    <t>0.07270 (0.14239)</t>
  </si>
  <si>
    <t>0.01834 (0.00221)</t>
  </si>
  <si>
    <t>0.06467 (0.00637)</t>
  </si>
  <si>
    <t>0.00316 (0.00122)</t>
  </si>
  <si>
    <t>opuCC</t>
  </si>
  <si>
    <t>glycine betaine/carnitine/choline/cholinesulfate ABC transporter (osmoprotectant-bindinglipoprotein)</t>
  </si>
  <si>
    <t>0.07438 (0.07485)</t>
  </si>
  <si>
    <t>0.04891 (0.02334)</t>
  </si>
  <si>
    <t>0.02244 (0.00089)</t>
  </si>
  <si>
    <t>0.09068 (0.00387)</t>
  </si>
  <si>
    <t>0.00417 (0.00028)</t>
  </si>
  <si>
    <t>opuCB</t>
  </si>
  <si>
    <t>0.03533 (0.03876)</t>
  </si>
  <si>
    <t>0.01572 (0.00060)</t>
  </si>
  <si>
    <t>0.05991 (0.00255)</t>
  </si>
  <si>
    <t>0.00089 (0.00011)</t>
  </si>
  <si>
    <t>opuCA</t>
  </si>
  <si>
    <t>glycine betaine/carnitine/choline/cholinesulfate ABC transporter (ATP-binding protein)</t>
  </si>
  <si>
    <t>0.05281 (0.02988)</t>
  </si>
  <si>
    <t>0.01532 (0.04536)</t>
  </si>
  <si>
    <t>0.00939 (0.00033)</t>
  </si>
  <si>
    <t>0.03818 (0.00142)</t>
  </si>
  <si>
    <t>0.00127 (0.00012)</t>
  </si>
  <si>
    <t>opcR</t>
  </si>
  <si>
    <t>negative transcriptional regulator of cholineuptake systems</t>
  </si>
  <si>
    <t>0.09559 (0.06283)</t>
  </si>
  <si>
    <t>0.09534 (0.23874)</t>
  </si>
  <si>
    <t>0.01637 (0.00153)</t>
  </si>
  <si>
    <t>0.06213 (0.00602)</t>
  </si>
  <si>
    <t>0.00538 (0.00057)</t>
  </si>
  <si>
    <t>yvbG</t>
  </si>
  <si>
    <t>0.13066 (0.08238)</t>
  </si>
  <si>
    <t>0.21208 (0.11192)</t>
  </si>
  <si>
    <t>0.01514 (0.00059)</t>
  </si>
  <si>
    <t>0.04558 (0.00203)</t>
  </si>
  <si>
    <t>0.00589 (0.00037)</t>
  </si>
  <si>
    <t>yvbH</t>
  </si>
  <si>
    <t>0.12667 (0.05493)</t>
  </si>
  <si>
    <t>0.03602 (0.04980)</t>
  </si>
  <si>
    <t>0.01471 (0.00080)</t>
  </si>
  <si>
    <t>0.05933 (0.00363)</t>
  </si>
  <si>
    <t>0.00323 (0.00026)</t>
  </si>
  <si>
    <t>yvbI</t>
  </si>
  <si>
    <t>0.20886 (0.18689)</t>
  </si>
  <si>
    <t>0.19458 (0.08607)</t>
  </si>
  <si>
    <t>0.01612 (0.00079)</t>
  </si>
  <si>
    <t>0.04465 (0.00291)</t>
  </si>
  <si>
    <t>0.00800 (0.00033)</t>
  </si>
  <si>
    <t>yvbJ</t>
  </si>
  <si>
    <t>0.17969 (0.08949)</t>
  </si>
  <si>
    <t>0.12501 (0.11397)</t>
  </si>
  <si>
    <t>0.01847 (0.00092)</t>
  </si>
  <si>
    <t>0.05712 (0.00296)</t>
  </si>
  <si>
    <t>0.00841 (0.00045)</t>
  </si>
  <si>
    <t>yvbK</t>
  </si>
  <si>
    <t>putative N-acyltransferase</t>
  </si>
  <si>
    <t>ref , GCA_000186745.1_ASM18674v1_genomic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GCA_002173615.1_ASM217361v1_genomic</t>
  </si>
  <si>
    <t>0.04677 (0.04897)</t>
  </si>
  <si>
    <t>0.14083 (0.09002)</t>
  </si>
  <si>
    <t>0.01375 (0.00068)</t>
  </si>
  <si>
    <t>0.04576 (0.00263)</t>
  </si>
  <si>
    <t>0.00512 (0.00048)</t>
  </si>
  <si>
    <t>eno</t>
  </si>
  <si>
    <t>enolase</t>
  </si>
  <si>
    <t>0.02660 (0.03630)</t>
  </si>
  <si>
    <t>0.04266 (0.10202)</t>
  </si>
  <si>
    <t>0.01990 (0.00114)</t>
  </si>
  <si>
    <t>0.07757 (0.00460)</t>
  </si>
  <si>
    <t>0.00396 (0.00027)</t>
  </si>
  <si>
    <t>pgm</t>
  </si>
  <si>
    <t>phosphoglycerate mutase</t>
  </si>
  <si>
    <t>0.03582 (0.05114)</t>
  </si>
  <si>
    <t>0.05699 (0.10823)</t>
  </si>
  <si>
    <t>0.02081 (0.00128)</t>
  </si>
  <si>
    <t>0.08419 (0.00526)</t>
  </si>
  <si>
    <t>tpiA</t>
  </si>
  <si>
    <t>triose phosphate isomerase</t>
  </si>
  <si>
    <t>0.04217 (0.05461)</t>
  </si>
  <si>
    <t>0.07340 (0.03594)</t>
  </si>
  <si>
    <t>0.01171 (0.00073)</t>
  </si>
  <si>
    <t>0.04533 (0.00284)</t>
  </si>
  <si>
    <t>0.00226 (0.00018)</t>
  </si>
  <si>
    <t>pgk</t>
  </si>
  <si>
    <t>phosphoglycerate kinase</t>
  </si>
  <si>
    <t>0.36523 (0.09767)</t>
  </si>
  <si>
    <t>0.06662 (0.04576)</t>
  </si>
  <si>
    <t>0.04163 (0.10500)</t>
  </si>
  <si>
    <t>0.01146 (0.00062)</t>
  </si>
  <si>
    <t>0.04282 (0.00235)</t>
  </si>
  <si>
    <t>0.00239 (0.00016)</t>
  </si>
  <si>
    <t>gapA</t>
  </si>
  <si>
    <t>glyceraldehyde-3-phosphate dehydrogenase(NAD-dependent, glycolytic)</t>
  </si>
  <si>
    <t>0.01486 (0.04561)</t>
  </si>
  <si>
    <t>0.06084 (0.22645)</t>
  </si>
  <si>
    <t>0.01549 (0.00188)</t>
  </si>
  <si>
    <t>0.06050 (0.00720)</t>
  </si>
  <si>
    <t>0.00311 (0.00050)</t>
  </si>
  <si>
    <t>cggR</t>
  </si>
  <si>
    <t>transcriptional regulator of gapA</t>
  </si>
  <si>
    <t>0.09260 (0.03767)</t>
  </si>
  <si>
    <t>0.07569 (0.02942)</t>
  </si>
  <si>
    <t>0.01253 (0.00062)</t>
  </si>
  <si>
    <t>0.05066 (0.00272)</t>
  </si>
  <si>
    <t>araE</t>
  </si>
  <si>
    <t>arabinose-related compounds permease</t>
  </si>
  <si>
    <t>0.00631 (0.01878)</t>
  </si>
  <si>
    <t>0.01094 (0.03028)</t>
  </si>
  <si>
    <t>0.01142 (0.00035)</t>
  </si>
  <si>
    <t>0.04714 (0.00155)</t>
  </si>
  <si>
    <t>0.00050 (0.00008)</t>
  </si>
  <si>
    <t>araR</t>
  </si>
  <si>
    <t>transcriptional repressor of the ara regulon(LacI family)</t>
  </si>
  <si>
    <t>0.03196 (0.04283)</t>
  </si>
  <si>
    <t>0.00525 (0.00023)</t>
  </si>
  <si>
    <t>0.02238 (0.00091)</t>
  </si>
  <si>
    <t>yvbT</t>
  </si>
  <si>
    <t>0.06192 (0.07120)</t>
  </si>
  <si>
    <t>0.02218 (0.02947)</t>
  </si>
  <si>
    <t>0.01495 (0.00059)</t>
  </si>
  <si>
    <t>0.05983 (0.00255)</t>
  </si>
  <si>
    <t>0.00174 (0.00018)</t>
  </si>
  <si>
    <t>yvbU</t>
  </si>
  <si>
    <t>0.04190 (0.01777)</t>
  </si>
  <si>
    <t>0.05493 (0.03430)</t>
  </si>
  <si>
    <t>0.01370 (0.00045)</t>
  </si>
  <si>
    <t>0.05215 (0.00174)</t>
  </si>
  <si>
    <t>0.00260 (0.00016)</t>
  </si>
  <si>
    <t>cyeB</t>
  </si>
  <si>
    <t>cysteine and O-acetylserine efflux permease</t>
  </si>
  <si>
    <t>0.18219 (0.06784)</t>
  </si>
  <si>
    <t>0.05351 (0.07224)</t>
  </si>
  <si>
    <t>0.00908 (0.00033)</t>
  </si>
  <si>
    <t>0.02624 (0.00101)</t>
  </si>
  <si>
    <t>yvbW</t>
  </si>
  <si>
    <t>putative leucine permease</t>
  </si>
  <si>
    <t>0.04217 (0.04618)</t>
  </si>
  <si>
    <t>0.00593 (0.00030)</t>
  </si>
  <si>
    <t>0.02248 (0.00115)</t>
  </si>
  <si>
    <t>0.00061 (0.00009)</t>
  </si>
  <si>
    <t>yvbX</t>
  </si>
  <si>
    <t>putative epimerase modification ofpeptidoglycan</t>
  </si>
  <si>
    <t>0.12895 (0.04936)</t>
  </si>
  <si>
    <t>0.15705 (0.02893)</t>
  </si>
  <si>
    <t>0.04596 (0.00158)</t>
  </si>
  <si>
    <t>0.00673 (0.00039)</t>
  </si>
  <si>
    <t>lutC</t>
  </si>
  <si>
    <t>component of an iron-sulfur oxidase forL-lactate utilization</t>
  </si>
  <si>
    <t>0.12763 (0.05834)</t>
  </si>
  <si>
    <t>0.13080 (0.11829)</t>
  </si>
  <si>
    <t>0.01842 (0.00073)</t>
  </si>
  <si>
    <t>0.05769 (0.00303)</t>
  </si>
  <si>
    <t>0.00701 (0.00039)</t>
  </si>
  <si>
    <t>lutB</t>
  </si>
  <si>
    <t>component of an iron-sulfur oxidase linked toL-lactate utilization</t>
  </si>
  <si>
    <t>0.03970 (0.01108)</t>
  </si>
  <si>
    <t>0.00840 (0.02448)</t>
  </si>
  <si>
    <t>0.01301 (0.00039)</t>
  </si>
  <si>
    <t>0.05276 (0.00170)</t>
  </si>
  <si>
    <t>0.00150 (0.00008)</t>
  </si>
  <si>
    <t>lutA</t>
  </si>
  <si>
    <t>iron-sulfur oxidase subunit used in L-lactateutilization</t>
  </si>
  <si>
    <t>0.10007 (0.06304)</t>
  </si>
  <si>
    <t>0.11513 (0.07715)</t>
  </si>
  <si>
    <t>0.01567 (0.00079)</t>
  </si>
  <si>
    <t>0.05548 (0.00288)</t>
  </si>
  <si>
    <t>0.00503 (0.00032)</t>
  </si>
  <si>
    <t>yvfU</t>
  </si>
  <si>
    <t>two-component response regulator [YvfT]</t>
  </si>
  <si>
    <t>0.08206 (0.04116)</t>
  </si>
  <si>
    <t>0.02468 (0.06685)</t>
  </si>
  <si>
    <t>0.01103 (0.00043)</t>
  </si>
  <si>
    <t>0.04312 (0.00188)</t>
  </si>
  <si>
    <t>0.00189 (0.00017)</t>
  </si>
  <si>
    <t>yvfT</t>
  </si>
  <si>
    <t>two-component sensor histidine kinase [YvfU]</t>
  </si>
  <si>
    <t>0.16992 (0.10588)</t>
  </si>
  <si>
    <t>0.15673 (0.06417)</t>
  </si>
  <si>
    <t>0.01382 (0.00038)</t>
  </si>
  <si>
    <t>0.04017 (0.00132)</t>
  </si>
  <si>
    <t>0.00629 (0.00030)</t>
  </si>
  <si>
    <t>yvfS</t>
  </si>
  <si>
    <t>0.28765 (0.15250)</t>
  </si>
  <si>
    <t>0.22993 (0.11099)</t>
  </si>
  <si>
    <t>0.00763 (0.00035)</t>
  </si>
  <si>
    <t>0.01793 (0.00106)</t>
  </si>
  <si>
    <t>0.00475 (0.00025)</t>
  </si>
  <si>
    <t>yvfR</t>
  </si>
  <si>
    <t>0.29233 (0.10251)</t>
  </si>
  <si>
    <t>0.22984 (0.05516)</t>
  </si>
  <si>
    <t>0.01596 (0.00071)</t>
  </si>
  <si>
    <t>0.04223 (0.00236)</t>
  </si>
  <si>
    <t>0.00870 (0.00035)</t>
  </si>
  <si>
    <t>rsbQ</t>
  </si>
  <si>
    <t>regulator of RsbP phosphatase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</si>
  <si>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</si>
  <si>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0.93341 (0.06309)</t>
  </si>
  <si>
    <t>0.26596 (0.09874)</t>
  </si>
  <si>
    <t>0.19779 (0.19165)</t>
  </si>
  <si>
    <t>0.00746 (0.00043)</t>
  </si>
  <si>
    <t>0.01779 (0.00122)</t>
  </si>
  <si>
    <t>0.00447 (0.00035)</t>
  </si>
  <si>
    <t>rsbP</t>
  </si>
  <si>
    <t>phosphoserine protein-phosphatase</t>
  </si>
  <si>
    <t>0.10668 (0.07179)</t>
  </si>
  <si>
    <t>0.14500 (0.13941)</t>
  </si>
  <si>
    <t>0.01696 (0.00075)</t>
  </si>
  <si>
    <t>0.05336 (0.00237)</t>
  </si>
  <si>
    <t>0.00754 (0.00042)</t>
  </si>
  <si>
    <t>ganB</t>
  </si>
  <si>
    <t>endo-beta-1,4-galactanase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</si>
  <si>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</si>
  <si>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0.15470 (0.08474)</t>
  </si>
  <si>
    <t>0.09641 (0.05551)</t>
  </si>
  <si>
    <t>0.01482 (0.00068)</t>
  </si>
  <si>
    <t>0.04980 (0.00262)</t>
  </si>
  <si>
    <t>ganA</t>
  </si>
  <si>
    <t>short chain beta-1,4-galacto-oligosaccharidesbeta-galactosidase (beta-galacto-pyranoside hydrolase)</t>
  </si>
  <si>
    <t>0.12677 (0.07176)</t>
  </si>
  <si>
    <t>0.09632 (0.04322)</t>
  </si>
  <si>
    <t>0.01491 (0.00055)</t>
  </si>
  <si>
    <t>0.05078 (0.00203)</t>
  </si>
  <si>
    <t>0.00523 (0.00024)</t>
  </si>
  <si>
    <t>ganQ</t>
  </si>
  <si>
    <t>galacto-oligosaccharides (galactan) oligomerpermease</t>
  </si>
  <si>
    <t>0.05887 (0.03771)</t>
  </si>
  <si>
    <t>0.02052 (0.02306)</t>
  </si>
  <si>
    <t>0.01708 (0.00074)</t>
  </si>
  <si>
    <t>0.06843 (0.00321)</t>
  </si>
  <si>
    <t>ganP</t>
  </si>
  <si>
    <t>0.06696 (0.02828)</t>
  </si>
  <si>
    <t>0.02866 (0.02152)</t>
  </si>
  <si>
    <t>0.04501 (0.00183)</t>
  </si>
  <si>
    <t>0.00234 (0.00015)</t>
  </si>
  <si>
    <t>ganS</t>
  </si>
  <si>
    <t>polygalactose / cyclodextrin-bindinglipoprotein</t>
  </si>
  <si>
    <t>0.11692 (0.03464)</t>
  </si>
  <si>
    <t>0.06417 (0.03650)</t>
  </si>
  <si>
    <t>0.01506 (0.00055)</t>
  </si>
  <si>
    <t>0.05181 (0.00203)</t>
  </si>
  <si>
    <t>0.00492 (0.00020)</t>
  </si>
  <si>
    <t>ganR</t>
  </si>
  <si>
    <t>transcriptional regulator of the galactan</t>
  </si>
  <si>
    <t>0.06682 (0.03755)</t>
  </si>
  <si>
    <t>0.00894 (0.00042)</t>
  </si>
  <si>
    <t>0.03543 (0.00180)</t>
  </si>
  <si>
    <t>0.00160 (0.00017)</t>
  </si>
  <si>
    <t>lutR</t>
  </si>
  <si>
    <t>L-lactate utilization global transcriptionalregulator (GntR family)</t>
  </si>
  <si>
    <t>0.20706 (0.11949)</t>
  </si>
  <si>
    <t>0.06011 (0.12761)</t>
  </si>
  <si>
    <t>0.00698 (0.00031)</t>
  </si>
  <si>
    <t>0.02139 (0.00100)</t>
  </si>
  <si>
    <t>lutP</t>
  </si>
  <si>
    <t>0.05049 (0.02636)</t>
  </si>
  <si>
    <t>0.09506 (0.03584)</t>
  </si>
  <si>
    <t>0.01580 (0.00047)</t>
  </si>
  <si>
    <t>0.05146 (0.00176)</t>
  </si>
  <si>
    <t>0.00418 (0.00019)</t>
  </si>
  <si>
    <t>sigL</t>
  </si>
  <si>
    <t>RNA polymerase sigma-54 factor (sigma-L)</t>
  </si>
  <si>
    <t>0.10097 (0.08799)</t>
  </si>
  <si>
    <t>0.11849 (0.04051)</t>
  </si>
  <si>
    <t>0.01505 (0.00055)</t>
  </si>
  <si>
    <t>0.04799 (0.00178)</t>
  </si>
  <si>
    <t>0.00566 (0.00028)</t>
  </si>
  <si>
    <t>yvfG</t>
  </si>
  <si>
    <t>0.01721 (0.03709)</t>
  </si>
  <si>
    <t>0.03285 (0.06265)</t>
  </si>
  <si>
    <t>0.03318 (0.00261)</t>
  </si>
  <si>
    <t>0.16293 (0.01359)</t>
  </si>
  <si>
    <t>0.00362 (0.00077)</t>
  </si>
  <si>
    <t>epsO</t>
  </si>
  <si>
    <t>pyruvyl transferase for matrix biofilmformation</t>
  </si>
  <si>
    <t>0.12867 (0.09625)</t>
  </si>
  <si>
    <t>0.09717 (0.02393)</t>
  </si>
  <si>
    <t>0.02384 (0.00102)</t>
  </si>
  <si>
    <t>0.07765 (0.00356)</t>
  </si>
  <si>
    <t>0.00933 (0.00048)</t>
  </si>
  <si>
    <t>epsN</t>
  </si>
  <si>
    <t>putative aminotransferase involved in biofilmmatrix formation</t>
  </si>
  <si>
    <t>0.16683 (0.11746)</t>
  </si>
  <si>
    <t>0.13475 (0.02270)</t>
  </si>
  <si>
    <t>0.01910 (0.00061)</t>
  </si>
  <si>
    <t>0.05482 (0.00203)</t>
  </si>
  <si>
    <t>0.00877 (0.00028)</t>
  </si>
  <si>
    <t>epsM</t>
  </si>
  <si>
    <t>putative O-acetyltransferase involved in biofilmmatrix formation</t>
  </si>
  <si>
    <t>0.16095 (0.06207)</t>
  </si>
  <si>
    <t>0.16182 (0.10210)</t>
  </si>
  <si>
    <t>0.01874 (0.00079)</t>
  </si>
  <si>
    <t>0.04886 (0.00232)</t>
  </si>
  <si>
    <t>0.00903 (0.00048)</t>
  </si>
  <si>
    <t>epsL</t>
  </si>
  <si>
    <t>putative phosphotransferase involved inextracellular matrix synthesis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</si>
  <si>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</si>
  <si>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0.07811 (0.08181)</t>
  </si>
  <si>
    <t>0.03264 (0.05127)</t>
  </si>
  <si>
    <t>0.01895 (0.00166)</t>
  </si>
  <si>
    <t>0.07460 (0.00749)</t>
  </si>
  <si>
    <t>0.00350 (0.00024)</t>
  </si>
  <si>
    <t>putative extracellular matrix componentexporter; putative cyclic di-GMP receptor</t>
  </si>
  <si>
    <t>0.14120 (0.04292)</t>
  </si>
  <si>
    <t>0.10323 (0.02452)</t>
  </si>
  <si>
    <t>0.01712 (0.00051)</t>
  </si>
  <si>
    <t>0.05117 (0.00173)</t>
  </si>
  <si>
    <t>0.00625 (0.00020)</t>
  </si>
  <si>
    <t>putative glycosyl transferase involved inbiofilm matrix formation</t>
  </si>
  <si>
    <t>0.32894 (0.12033)</t>
  </si>
  <si>
    <t>0.25038 (0.07688)</t>
  </si>
  <si>
    <t>0.02235 (0.00062)</t>
  </si>
  <si>
    <t>0.05184 (0.00162)</t>
  </si>
  <si>
    <t>0.01446 (0.00042)</t>
  </si>
  <si>
    <t>epsI</t>
  </si>
  <si>
    <t>putative polysaccharide pyruvyl transferaseinvolved in biofilm matrix formation</t>
  </si>
  <si>
    <t>0.23102 (0.08778)</t>
  </si>
  <si>
    <t>0.17107 (0.06398)</t>
  </si>
  <si>
    <t>0.01492 (0.00046)</t>
  </si>
  <si>
    <t>0.03998 (0.00139)</t>
  </si>
  <si>
    <t>0.00802 (0.00029)</t>
  </si>
  <si>
    <t>epsH</t>
  </si>
  <si>
    <t>putative glycosyltransferase involved in biofilmformation</t>
  </si>
  <si>
    <t>0.11804 (0.04967)</t>
  </si>
  <si>
    <t>0.07931 (0.04307)</t>
  </si>
  <si>
    <t>0.01560 (0.00046)</t>
  </si>
  <si>
    <t>0.05552 (0.00178)</t>
  </si>
  <si>
    <t>epsG</t>
  </si>
  <si>
    <t>biofilm extracellular matrix formationchain-length determining factor</t>
  </si>
  <si>
    <t>0.07652 (0.05320)</t>
  </si>
  <si>
    <t>0.03365 (0.05506)</t>
  </si>
  <si>
    <t>0.01439 (0.00071)</t>
  </si>
  <si>
    <t>0.05295 (0.00273)</t>
  </si>
  <si>
    <t>0.00286 (0.00023)</t>
  </si>
  <si>
    <t>epsF</t>
  </si>
  <si>
    <t>putative glycosyltransferase involved in matrixformation (chain-length determination)</t>
  </si>
  <si>
    <t>0.07318 (0.04412)</t>
  </si>
  <si>
    <t>0.03823 (0.02133)</t>
  </si>
  <si>
    <t>0.01851 (0.00062)</t>
  </si>
  <si>
    <t>0.07243 (0.00270)</t>
  </si>
  <si>
    <t>0.00330 (0.00014)</t>
  </si>
  <si>
    <t>epsE</t>
  </si>
  <si>
    <t>bifunctional flagellar clutch andglycosyltransferase acting during biofilm formation</t>
  </si>
  <si>
    <t>0.09530 (0.06845)</t>
  </si>
  <si>
    <t>0.03314 (0.04116)</t>
  </si>
  <si>
    <t>0.01426 (0.00059)</t>
  </si>
  <si>
    <t>0.05186 (0.00249)</t>
  </si>
  <si>
    <t>0.00358 (0.00027)</t>
  </si>
  <si>
    <t>epsD</t>
  </si>
  <si>
    <t>putative extracellular matrixglycosyltransferase</t>
  </si>
  <si>
    <t>0.18110 (0.12397)</t>
  </si>
  <si>
    <t>0.11578 (0.03491)</t>
  </si>
  <si>
    <t>0.01791 (0.00073)</t>
  </si>
  <si>
    <t>0.05795 (0.00277)</t>
  </si>
  <si>
    <t>0.00687 (0.00028)</t>
  </si>
  <si>
    <t>epsC</t>
  </si>
  <si>
    <t>putative UDP-sugar epimerase involved in biofilmmatrix formation</t>
  </si>
  <si>
    <t>0.05120 (0.09432)</t>
  </si>
  <si>
    <t>0.05867 (0.04257)</t>
  </si>
  <si>
    <t>0.01694 (0.00115)</t>
  </si>
  <si>
    <t>0.06562 (0.00467)</t>
  </si>
  <si>
    <t>0.00334 (0.00030)</t>
  </si>
  <si>
    <t>epsB</t>
  </si>
  <si>
    <t>protein tyrosine kinase involved in biofilmmatrix formation</t>
  </si>
  <si>
    <t>0.05595 (0.04497)</t>
  </si>
  <si>
    <t>0.03916 (0.04246)</t>
  </si>
  <si>
    <t>0.02394 (0.00157)</t>
  </si>
  <si>
    <t>0.09310 (0.00648)</t>
  </si>
  <si>
    <t>0.00447 (0.00030)</t>
  </si>
  <si>
    <t>epsA</t>
  </si>
  <si>
    <t>modulator of protein tyrosine kinase EpsBinvolved in biofilm matrix formation</t>
  </si>
  <si>
    <t>0.10969 (0.08700)</t>
  </si>
  <si>
    <t>0.04449 (0.04394)</t>
  </si>
  <si>
    <t>0.02412 (0.00161)</t>
  </si>
  <si>
    <t>0.09595 (0.00661)</t>
  </si>
  <si>
    <t>0.00634 (0.00047)</t>
  </si>
  <si>
    <t>slrR</t>
  </si>
  <si>
    <t>transcriptional regulator of autolysin genes(biofilm formation)</t>
  </si>
  <si>
    <t>0.06938 (0.09376)</t>
  </si>
  <si>
    <t>0.03116 (0.06504)</t>
  </si>
  <si>
    <t>0.01771 (0.00137)</t>
  </si>
  <si>
    <t>0.07065 (0.00603)</t>
  </si>
  <si>
    <t>0.00413 (0.00038)</t>
  </si>
  <si>
    <t>pnbA</t>
  </si>
  <si>
    <t>para-nitrobenzyl esterase (intracellularesterase B)</t>
  </si>
  <si>
    <t>ref , GCA_000186745.1_ASM18674v1_genomic , GCA_000209795.2_ASM20979v2_genomic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</si>
  <si>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0.14689 (0.06334)</t>
  </si>
  <si>
    <t>0.09788 (0.01377)</t>
  </si>
  <si>
    <t>0.03225 (0.00105)</t>
  </si>
  <si>
    <t>0.10471 (0.00371)</t>
  </si>
  <si>
    <t>0.01228 (0.00044)</t>
  </si>
  <si>
    <t>BSU_34399</t>
  </si>
  <si>
    <t>hypothetical proteinAGIVMVPAYSAKRKPGKEKgene            complement(3532325..3532810)CDS             complement(3532325..3532810)PMID:9546183,12903944,17295427,18326577,21685295,26658822in the studied strain; PubMedId: 9546183, 12903944,17295427, 18326577, 21685295, 26658822; Product type e :enzyme</t>
  </si>
  <si>
    <t>ref , GCA_000146565.1_ASM14656v1_genomic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</si>
  <si>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3.06712 (6.60022)</t>
  </si>
  <si>
    <t>0.33707 (0.19461)</t>
  </si>
  <si>
    <t>0.02136 (0.00214)</t>
  </si>
  <si>
    <t>0.02417 (0.00331)</t>
  </si>
  <si>
    <t>0.02103 (0.00233)</t>
  </si>
  <si>
    <t>racX</t>
  </si>
  <si>
    <t>promiscuous aminoacid racemase (prefersarginine, lysine and ornithine)</t>
  </si>
  <si>
    <t>ref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</si>
  <si>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0.29380 (0.18701)</t>
  </si>
  <si>
    <t>0.29961 (0.16273)</t>
  </si>
  <si>
    <t>0.02371 (0.00120)</t>
  </si>
  <si>
    <t>0.05474 (0.00317)</t>
  </si>
  <si>
    <t>0.01589 (0.00083)</t>
  </si>
  <si>
    <t>pbpE</t>
  </si>
  <si>
    <t>penicillin-binding protein 4*</t>
  </si>
  <si>
    <t>0.16574 (0.06595)</t>
  </si>
  <si>
    <t>0.20882 (0.05728)</t>
  </si>
  <si>
    <t>0.01996 (0.00073)</t>
  </si>
  <si>
    <t>0.05521 (0.00210)</t>
  </si>
  <si>
    <t>0.01018 (0.00046)</t>
  </si>
  <si>
    <t>sacB</t>
  </si>
  <si>
    <t>levansucrase; levanase (moonlighting)</t>
  </si>
  <si>
    <t>0.05941 (0.02977)</t>
  </si>
  <si>
    <t>0.03557 (0.02588)</t>
  </si>
  <si>
    <t>0.02786 (0.00105)</t>
  </si>
  <si>
    <t>0.11913 (0.00469)</t>
  </si>
  <si>
    <t>0.00497 (0.00024)</t>
  </si>
  <si>
    <t>levB</t>
  </si>
  <si>
    <t>endolevanase, selectively cleaves the (beta-2,6)fructosyl bonds</t>
  </si>
  <si>
    <t>0.15046 (0.11084)</t>
  </si>
  <si>
    <t>0.10606 (0.08727)</t>
  </si>
  <si>
    <t>0.01599 (0.00080)</t>
  </si>
  <si>
    <t>0.05231 (0.00289)</t>
  </si>
  <si>
    <t>0.00662 (0.00031)</t>
  </si>
  <si>
    <t>aspP</t>
  </si>
  <si>
    <t>L-aspartate/L-glutamate / proton permease</t>
  </si>
  <si>
    <t>0.02537 (0.03046)</t>
  </si>
  <si>
    <t>0.02073 (0.05224)</t>
  </si>
  <si>
    <t>0.00798 (0.00031)</t>
  </si>
  <si>
    <t>0.03045 (0.00109)</t>
  </si>
  <si>
    <t>0.00072 (0.00010)</t>
  </si>
  <si>
    <t>yvdT</t>
  </si>
  <si>
    <t>0.09524 (0.04845)</t>
  </si>
  <si>
    <t>0.09779 (0.04588)</t>
  </si>
  <si>
    <t>0.01639 (0.00062)</t>
  </si>
  <si>
    <t>0.06324 (0.00259)</t>
  </si>
  <si>
    <t>0.00413 (0.00028)</t>
  </si>
  <si>
    <t>psmA</t>
  </si>
  <si>
    <t>sodium / proton antiporter subunit A</t>
  </si>
  <si>
    <t>0.21026 (0.16791)</t>
  </si>
  <si>
    <t>0.01036 (0.00088)</t>
  </si>
  <si>
    <t>0.02985 (0.00340)</t>
  </si>
  <si>
    <t>0.00439 (0.00036)</t>
  </si>
  <si>
    <t>psmB</t>
  </si>
  <si>
    <t>sodium-proton two component antiporter subunit</t>
  </si>
  <si>
    <t>0.02756 (0.06014)</t>
  </si>
  <si>
    <t>0.02913 (0.06231)</t>
  </si>
  <si>
    <t>0.08735 (0.00785)</t>
  </si>
  <si>
    <t>0.00237 (0.00036)</t>
  </si>
  <si>
    <t>yvdQ</t>
  </si>
  <si>
    <t>0.09528 (0.08863)</t>
  </si>
  <si>
    <t>0.10385 (0.08297)</t>
  </si>
  <si>
    <t>0.01308 (0.00050)</t>
  </si>
  <si>
    <t>0.04368 (0.00169)</t>
  </si>
  <si>
    <t>0.00471 (0.00045)</t>
  </si>
  <si>
    <t>cotNP</t>
  </si>
  <si>
    <t>spore coat protein; putative oxidoreductase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</si>
  <si>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</si>
  <si>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0.09712 (0.10626)</t>
  </si>
  <si>
    <t>0.29236 (0.22744)</t>
  </si>
  <si>
    <t>0.00346 (0.00026)</t>
  </si>
  <si>
    <t>0.00948 (0.00075)</t>
  </si>
  <si>
    <t>0.00172 (0.00023)</t>
  </si>
  <si>
    <t>cotR</t>
  </si>
  <si>
    <t>spore coat lipolytic enzyme</t>
  </si>
  <si>
    <t>0.01940 (0.04286)</t>
  </si>
  <si>
    <t>0.01623 (0.02625)</t>
  </si>
  <si>
    <t>0.01324 (0.00123)</t>
  </si>
  <si>
    <t>0.05428 (0.00514)</t>
  </si>
  <si>
    <t>0.00113 (0.00017)</t>
  </si>
  <si>
    <t>clpP</t>
  </si>
  <si>
    <t>ATP-dependent Clp protease proteolytic subunit;Maxwell's demon</t>
  </si>
  <si>
    <t>0.01679 (0.05145)</t>
  </si>
  <si>
    <t>0.00907 (0.00046)</t>
  </si>
  <si>
    <t>0.03878 (0.00214)</t>
  </si>
  <si>
    <t>mdxM</t>
  </si>
  <si>
    <t>bifunctional beta-phosphoglucomutase /glucose-1-phosphate phosphodismutase</t>
  </si>
  <si>
    <t>ref , GCA_000186745.1_ASM18674v1_genomic , GCA_000209795.2_ASM20979v2_genomic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</si>
  <si>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0.17006 (0.07595)</t>
  </si>
  <si>
    <t>0.18063 (0.03803)</t>
  </si>
  <si>
    <t>0.02652 (0.00131)</t>
  </si>
  <si>
    <t>0.07684 (0.00429)</t>
  </si>
  <si>
    <t>0.01365 (0.00074)</t>
  </si>
  <si>
    <t>mdxL</t>
  </si>
  <si>
    <t>oligo-1,4-1,6-alpha-glucosidase(sucrase-maltase-isomaltase)</t>
  </si>
  <si>
    <t>0.20706 (0.09017)</t>
  </si>
  <si>
    <t>0.08367 (0.03560)</t>
  </si>
  <si>
    <t>0.02869 (0.00102)</t>
  </si>
  <si>
    <t>0.00460 (0.00014)</t>
  </si>
  <si>
    <t>mdxK</t>
  </si>
  <si>
    <t>maltose phosphorylase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</si>
  <si>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</si>
  <si>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0.18686 (0.04826)</t>
  </si>
  <si>
    <t>0.15917 (0.03128)</t>
  </si>
  <si>
    <t>0.01872 (0.00041)</t>
  </si>
  <si>
    <t>0.05405 (0.00135)</t>
  </si>
  <si>
    <t>0.00935 (0.00021)</t>
  </si>
  <si>
    <t>mdxJ</t>
  </si>
  <si>
    <t>putative component of maltodextrin transporter</t>
  </si>
  <si>
    <t>0.22006 (0.05375)</t>
  </si>
  <si>
    <t>0.19034 (0.06690)</t>
  </si>
  <si>
    <t>0.02597 (0.00081)</t>
  </si>
  <si>
    <t>0.06915 (0.00234)</t>
  </si>
  <si>
    <t>0.01468 (0.00053)</t>
  </si>
  <si>
    <t>mdxG</t>
  </si>
  <si>
    <t>maltodextrin ABC transporter (permease)</t>
  </si>
  <si>
    <t>0.16083 (0.05973)</t>
  </si>
  <si>
    <t>0.06838 (0.04247)</t>
  </si>
  <si>
    <t>0.01878 (0.00053)</t>
  </si>
  <si>
    <t>0.06091 (0.00200)</t>
  </si>
  <si>
    <t>0.00568 (0.00031)</t>
  </si>
  <si>
    <t>mdxF</t>
  </si>
  <si>
    <t>maltodextrin ABC transport system (permease)</t>
  </si>
  <si>
    <t>ref , GCA_000186745.1_ASM18674v1_genomic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</si>
  <si>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0.11262 (0.03714)</t>
  </si>
  <si>
    <t>0.04138 (0.03234)</t>
  </si>
  <si>
    <t>0.01246 (0.00041)</t>
  </si>
  <si>
    <t>0.04479 (0.00177)</t>
  </si>
  <si>
    <t>mdxE</t>
  </si>
  <si>
    <t>maltose/maltodextrin-binding lipoprotein</t>
  </si>
  <si>
    <t>0.08068 (0.02759)</t>
  </si>
  <si>
    <t>0.06958 (0.05002)</t>
  </si>
  <si>
    <t>0.01767 (0.00056)</t>
  </si>
  <si>
    <t>0.06518 (0.00220)</t>
  </si>
  <si>
    <t>0.00463 (0.00018)</t>
  </si>
  <si>
    <t>mdxD</t>
  </si>
  <si>
    <t>maltogenic alpha-amylase</t>
  </si>
  <si>
    <t>0.12865 (0.04072)</t>
  </si>
  <si>
    <t>0.12892 (0.02524)</t>
  </si>
  <si>
    <t>0.02221 (0.00055)</t>
  </si>
  <si>
    <t>0.07337 (0.00200)</t>
  </si>
  <si>
    <t>0.00963 (0.00026)</t>
  </si>
  <si>
    <t>mdxR</t>
  </si>
  <si>
    <t>transcriptional activator of the maltodextrinoperon (LacI family)</t>
  </si>
  <si>
    <t>0.07874 (0.05115)</t>
  </si>
  <si>
    <t>0.05490 (0.04350)</t>
  </si>
  <si>
    <t>0.00990 (0.00029)</t>
  </si>
  <si>
    <t>0.03628 (0.00117)</t>
  </si>
  <si>
    <t>0.00242 (0.00017)</t>
  </si>
  <si>
    <t>yvdD</t>
  </si>
  <si>
    <t>0.07092 (0.07450)</t>
  </si>
  <si>
    <t>0.08517 (0.11538)</t>
  </si>
  <si>
    <t>0.01167 (0.00061)</t>
  </si>
  <si>
    <t>0.04128 (0.00206)</t>
  </si>
  <si>
    <t>0.00357 (0.00034)</t>
  </si>
  <si>
    <t>yvdC</t>
  </si>
  <si>
    <t>putative pyrophosphohydrolase</t>
  </si>
  <si>
    <t>ref , GCA_000146565.1_ASM14656v1_genomic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GCA_002055965.1_ASM205596v1_genomic , GCA_002072735.1_ASM207273v1_genomic , GCA_002142595.1_ASM214259v1_genomic , GCA_002163815.1_ASM216381v1_genomic , GCA_002173615.1_ASM217361v1_genomic</t>
  </si>
  <si>
    <t>0.06046 (0.07048)</t>
  </si>
  <si>
    <t>0.05092 (0.04638)</t>
  </si>
  <si>
    <t>0.03195 (0.00246)</t>
  </si>
  <si>
    <t>0.14430 (0.01310)</t>
  </si>
  <si>
    <t>0.00694 (0.00046)</t>
  </si>
  <si>
    <t>yvdB</t>
  </si>
  <si>
    <t>putative anion transporter</t>
  </si>
  <si>
    <t>0.03610 (0.02209)</t>
  </si>
  <si>
    <t>0.03948 (0.02841)</t>
  </si>
  <si>
    <t>0.01357 (0.00057)</t>
  </si>
  <si>
    <t>0.05318 (0.00255)</t>
  </si>
  <si>
    <t>yvdA</t>
  </si>
  <si>
    <t>putative carbonic anhydrase</t>
  </si>
  <si>
    <t>0.15539 (0.07026)</t>
  </si>
  <si>
    <t>0.02624 (0.07364)</t>
  </si>
  <si>
    <t>0.01099 (0.00049)</t>
  </si>
  <si>
    <t>0.03975 (0.00168)</t>
  </si>
  <si>
    <t>0.00299 (0.00028)</t>
  </si>
  <si>
    <t>yvcT</t>
  </si>
  <si>
    <t>putative 2-ketogluconate reductase;</t>
  </si>
  <si>
    <t>0.20473 (0.14868)</t>
  </si>
  <si>
    <t>0.06376 (0.03923)</t>
  </si>
  <si>
    <t>0.01815 (0.00089)</t>
  </si>
  <si>
    <t>0.06392 (0.00347)</t>
  </si>
  <si>
    <t>0.00542 (0.00029)</t>
  </si>
  <si>
    <t>psdB</t>
  </si>
  <si>
    <t>lantibiotic ABC transporter (permease)</t>
  </si>
  <si>
    <t>0.08075 (0.05865)</t>
  </si>
  <si>
    <t>0.04912 (0.01709)</t>
  </si>
  <si>
    <t>0.00909 (0.00030)</t>
  </si>
  <si>
    <t>0.03269 (0.00105)</t>
  </si>
  <si>
    <t>psdA</t>
  </si>
  <si>
    <t>lantibiotic ABC transporter (ATP-bindingprotein)</t>
  </si>
  <si>
    <t>0.04616 (0.04494)</t>
  </si>
  <si>
    <t>0.02694 (0.07873)</t>
  </si>
  <si>
    <t>0.00993 (0.00056)</t>
  </si>
  <si>
    <t>0.04053 (0.00251)</t>
  </si>
  <si>
    <t>0.00124 (0.00015)</t>
  </si>
  <si>
    <t>psdS</t>
  </si>
  <si>
    <t>two-component sensor histidine kinase [PsdR]response to lantibiotics (nisin and gallidermin)</t>
  </si>
  <si>
    <t>0.18836 (0.06143)</t>
  </si>
  <si>
    <t>0.08980 (0.03769)</t>
  </si>
  <si>
    <t>0.01345 (0.00039)</t>
  </si>
  <si>
    <t>0.04258 (0.00140)</t>
  </si>
  <si>
    <t>0.00523 (0.00023)</t>
  </si>
  <si>
    <t>psdR</t>
  </si>
  <si>
    <t>two-component response regulator [PsdS]responding to lipid II-binding lantibiotics (nisin andgallidermin)</t>
  </si>
  <si>
    <t>0.06302 (0.04297)</t>
  </si>
  <si>
    <t>0.06233 (0.11934)</t>
  </si>
  <si>
    <t>0.01742 (0.00110)</t>
  </si>
  <si>
    <t>0.06480 (0.00422)</t>
  </si>
  <si>
    <t>0.00445 (0.00040)</t>
  </si>
  <si>
    <t>yvzJ</t>
  </si>
  <si>
    <t>0.59894 (0.31810)</t>
  </si>
  <si>
    <t>0.45020 (0.18603)</t>
  </si>
  <si>
    <t>0.02479 (0.00134)</t>
  </si>
  <si>
    <t>0.05466 (0.00345)</t>
  </si>
  <si>
    <t>0.01673 (0.00131)</t>
  </si>
  <si>
    <t>yvcN</t>
  </si>
  <si>
    <t>putative arylamine N-acetyltransferase</t>
  </si>
  <si>
    <t>0.11183 (0.07819)</t>
  </si>
  <si>
    <t>0.28294 (0.04476)</t>
  </si>
  <si>
    <t>0.01926 (0.00080)</t>
  </si>
  <si>
    <t>0.05630 (0.00217)</t>
  </si>
  <si>
    <t>0.00945 (0.00058)</t>
  </si>
  <si>
    <t>crh</t>
  </si>
  <si>
    <t>catabolite repression HPr-like protein</t>
  </si>
  <si>
    <t>0.02063 (0.05902)</t>
  </si>
  <si>
    <t>0.02998 (0.00241)</t>
  </si>
  <si>
    <t>0.14500 (0.01272)</t>
  </si>
  <si>
    <t>0.00102 (0.00030)</t>
  </si>
  <si>
    <t>whiA</t>
  </si>
  <si>
    <t>putative morphogen</t>
  </si>
  <si>
    <t>0.02143 (0.04133)</t>
  </si>
  <si>
    <t>0.02085 (0.02202)</t>
  </si>
  <si>
    <t>0.02235 (0.00125)</t>
  </si>
  <si>
    <t>0.10139 (0.00603)</t>
  </si>
  <si>
    <t>mgfK</t>
  </si>
  <si>
    <t>gluconeogenesis morphogenetic factor (UDP-sugarbinding)</t>
  </si>
  <si>
    <t>0.05101 (0.03856)</t>
  </si>
  <si>
    <t>0.03242 (0.05227)</t>
  </si>
  <si>
    <t>0.02610 (0.00126)</t>
  </si>
  <si>
    <t>0.10860 (0.00537)</t>
  </si>
  <si>
    <t>yvcJ</t>
  </si>
  <si>
    <t>GTPase possibly involved in regulator sRNAdegradation</t>
  </si>
  <si>
    <t>0.01866 (0.02809)</t>
  </si>
  <si>
    <t>0.02811 (0.09725)</t>
  </si>
  <si>
    <t>0.02156 (0.00198)</t>
  </si>
  <si>
    <t>0.09609 (0.00881)</t>
  </si>
  <si>
    <t>0.00253 (0.00041)</t>
  </si>
  <si>
    <t>yvcI</t>
  </si>
  <si>
    <t>putative triphosphate pyrophosphate hydrolase</t>
  </si>
  <si>
    <t>0.07484 (0.08010)</t>
  </si>
  <si>
    <t>0.01430 (0.03042)</t>
  </si>
  <si>
    <t>0.01787 (0.00145)</t>
  </si>
  <si>
    <t>0.07941 (0.00733)</t>
  </si>
  <si>
    <t>0.00218 (0.00023)</t>
  </si>
  <si>
    <t>trxB</t>
  </si>
  <si>
    <t>thioredoxin reductase</t>
  </si>
  <si>
    <t>0.03529 (0.02927)</t>
  </si>
  <si>
    <t>0.00355 (0.01242)</t>
  </si>
  <si>
    <t>0.03022 (0.00130)</t>
  </si>
  <si>
    <t>0.13874 (0.00667)</t>
  </si>
  <si>
    <t>0.00149 (0.00013)</t>
  </si>
  <si>
    <t>cwlO</t>
  </si>
  <si>
    <t>secreted cell wall DL-endopeptidase</t>
  </si>
  <si>
    <t>ref , GCA_000186745.1_ASM18674v1_genomic , GCA_000209795.2_ASM20979v2_genomic , GCA_000227465.1_ASM22746v1_genomic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GCA_002173615.1_ASM217361v1_genomic</t>
  </si>
  <si>
    <t>0.06432 (0.05345)</t>
  </si>
  <si>
    <t>0.08514 (0.07039)</t>
  </si>
  <si>
    <t>0.02233 (0.00132)</t>
  </si>
  <si>
    <t>0.08661 (0.00505)</t>
  </si>
  <si>
    <t>0.00608 (0.00047)</t>
  </si>
  <si>
    <t>yvcD</t>
  </si>
  <si>
    <t>0.12994 (0.02141)</t>
  </si>
  <si>
    <t>0.02811 (0.07502)</t>
  </si>
  <si>
    <t>0.01863 (0.00141)</t>
  </si>
  <si>
    <t>0.07491 (0.00667)</t>
  </si>
  <si>
    <t>0.00412 (0.00018)</t>
  </si>
  <si>
    <t>bmrA</t>
  </si>
  <si>
    <t>efflux transporter (ATP-binding and permeaseprotein)</t>
  </si>
  <si>
    <t>0.03531 (0.02501)</t>
  </si>
  <si>
    <t>0.04092 (0.00723)</t>
  </si>
  <si>
    <t>0.02815 (0.00080)</t>
  </si>
  <si>
    <t>0.10954 (0.00329)</t>
  </si>
  <si>
    <t>0.00461 (0.00018)</t>
  </si>
  <si>
    <t>yvzA</t>
  </si>
  <si>
    <t>0.13641 (0.03395)</t>
  </si>
  <si>
    <t>0.01604 (0.03766)</t>
  </si>
  <si>
    <t>0.02357 (0.00098)</t>
  </si>
  <si>
    <t>0.09161 (0.00479)</t>
  </si>
  <si>
    <t>0.00737 (0.00043)</t>
  </si>
  <si>
    <t>hisIE</t>
  </si>
  <si>
    <t>bifunctional phosphoribosyl-AMP cyclohydrolase;phosphoribosyl-ATP pyrophosphohydrolase</t>
  </si>
  <si>
    <t>0.13890 (0.09947)</t>
  </si>
  <si>
    <t>0.08592 (0.03512)</t>
  </si>
  <si>
    <t>0.02886 (0.00146)</t>
  </si>
  <si>
    <t>0.10453 (0.00621)</t>
  </si>
  <si>
    <t>0.00924 (0.00053)</t>
  </si>
  <si>
    <t>hisF</t>
  </si>
  <si>
    <t>imidazole glycerol phosphate synthase subunit</t>
  </si>
  <si>
    <t>0.06456 (0.04247)</t>
  </si>
  <si>
    <t>0.02664 (0.02435)</t>
  </si>
  <si>
    <t>0.02247 (0.00100)</t>
  </si>
  <si>
    <t>0.08917 (0.00420)</t>
  </si>
  <si>
    <t>0.00339 (0.00021)</t>
  </si>
  <si>
    <t>hisA</t>
  </si>
  <si>
    <t>phosphoribosylformimino-5-aminoimidazolecarboxamide ribotide isomerase</t>
  </si>
  <si>
    <t>0.10516 (0.05606)</t>
  </si>
  <si>
    <t>0.12164 (0.09744)</t>
  </si>
  <si>
    <t>0.02214 (0.00114)</t>
  </si>
  <si>
    <t>0.07021 (0.00446)</t>
  </si>
  <si>
    <t>0.00813 (0.00040)</t>
  </si>
  <si>
    <t>hisH</t>
  </si>
  <si>
    <t>imidazole glycerol phosphate synthase, glutamineamidotransferase subunit</t>
  </si>
  <si>
    <t>0.08910 (0.07111)</t>
  </si>
  <si>
    <t>0.10906 (0.07141)</t>
  </si>
  <si>
    <t>0.02500 (0.00123)</t>
  </si>
  <si>
    <t>0.08297 (0.00508)</t>
  </si>
  <si>
    <t>0.00936 (0.00052)</t>
  </si>
  <si>
    <t>hisB</t>
  </si>
  <si>
    <t>imidazoleglycerol-phosphate dehydratase[Mn(II)-dependent]</t>
  </si>
  <si>
    <t>0.03113 (0.03539)</t>
  </si>
  <si>
    <t>0.04815 (0.10489)</t>
  </si>
  <si>
    <t>0.01334 (0.00121)</t>
  </si>
  <si>
    <t>0.05418 (0.00562)</t>
  </si>
  <si>
    <t>0.00234 (0.00023)</t>
  </si>
  <si>
    <t>hisD</t>
  </si>
  <si>
    <t>histidinol dehydrogenase</t>
  </si>
  <si>
    <t>0.20387 (0.07432)</t>
  </si>
  <si>
    <t>0.05730 (0.04621)</t>
  </si>
  <si>
    <t>0.01384 (0.00054)</t>
  </si>
  <si>
    <t>0.04217 (0.00183)</t>
  </si>
  <si>
    <t>0.00512 (0.00028)</t>
  </si>
  <si>
    <t>hisG</t>
  </si>
  <si>
    <t>ATP phosphoribosyltransferase</t>
  </si>
  <si>
    <t>0.07656 (0.07853)</t>
  </si>
  <si>
    <t>0.04181 (0.00198)</t>
  </si>
  <si>
    <t>0.00121 (0.00018)</t>
  </si>
  <si>
    <t>hisZ</t>
  </si>
  <si>
    <t>histidyl-tRNA synthetase-like subunit of ATPphophoribosyltransferase</t>
  </si>
  <si>
    <t>0.12804 (0.04927)</t>
  </si>
  <si>
    <t>0.03597 (0.04760)</t>
  </si>
  <si>
    <t>0.03608 (0.00143)</t>
  </si>
  <si>
    <t>0.00278 (0.00021)</t>
  </si>
  <si>
    <t>yvpB</t>
  </si>
  <si>
    <t>putative hydratase</t>
  </si>
  <si>
    <t>0.11362 (0.10020)</t>
  </si>
  <si>
    <t>0.07590 (0.05078)</t>
  </si>
  <si>
    <t>0.01212 (0.00053)</t>
  </si>
  <si>
    <t>0.04028 (0.00170)</t>
  </si>
  <si>
    <t>0.00389 (0.00035)</t>
  </si>
  <si>
    <t>pelC</t>
  </si>
  <si>
    <t>secreted pectate (polygalacturonate) lyase</t>
  </si>
  <si>
    <t>0.05507 (0.06315)</t>
  </si>
  <si>
    <t>0.05845 (0.08595)</t>
  </si>
  <si>
    <t>0.01728 (0.00096)</t>
  </si>
  <si>
    <t>0.06921 (0.00440)</t>
  </si>
  <si>
    <t>0.00373 (0.00029)</t>
  </si>
  <si>
    <t>hprF</t>
  </si>
  <si>
    <t>dephosphorylated heptaprenylglyceryl phosphateO-acetyltransferase</t>
  </si>
  <si>
    <t>0.07315 (0.11598)</t>
  </si>
  <si>
    <t>0.31276 (0.17777)</t>
  </si>
  <si>
    <t>0.01766 (0.00171)</t>
  </si>
  <si>
    <t>0.05780 (0.00731)</t>
  </si>
  <si>
    <t>0.00640 (0.00039)</t>
  </si>
  <si>
    <t>ppaX</t>
  </si>
  <si>
    <t>Hpr-associated pyrophosphatase</t>
  </si>
  <si>
    <t>0.05275 (0.04272)</t>
  </si>
  <si>
    <t>0.10353 (0.09701)</t>
  </si>
  <si>
    <t>0.01555 (0.00098)</t>
  </si>
  <si>
    <t>0.05719 (0.00396)</t>
  </si>
  <si>
    <t>yvoD</t>
  </si>
  <si>
    <t>putative integral inner membrane protein withnucleotide binding domain</t>
  </si>
  <si>
    <t>0.13072 (0.05277)</t>
  </si>
  <si>
    <t>0.09010 (0.02978)</t>
  </si>
  <si>
    <t>0.02349 (0.00085)</t>
  </si>
  <si>
    <t>0.07337 (0.00247)</t>
  </si>
  <si>
    <t>0.00813 (0.00037)</t>
  </si>
  <si>
    <t>lgt</t>
  </si>
  <si>
    <t>prelipoprotein diacylglycerol transferase</t>
  </si>
  <si>
    <t>0.04230 (0.02649)</t>
  </si>
  <si>
    <t>0.06167 (0.04444)</t>
  </si>
  <si>
    <t>0.01191 (0.00037)</t>
  </si>
  <si>
    <t>0.04446 (0.00151)</t>
  </si>
  <si>
    <t>0.00227 (0.00016)</t>
  </si>
  <si>
    <t>hprK</t>
  </si>
  <si>
    <t>serine/threonine protein kinase/phosphorylase(pyrophosphate-producing)</t>
  </si>
  <si>
    <t>0.02769 (0.04663)</t>
  </si>
  <si>
    <t>0.01119 (0.02857)</t>
  </si>
  <si>
    <t>0.01406 (0.00107)</t>
  </si>
  <si>
    <t>0.05978 (0.00474)</t>
  </si>
  <si>
    <t>nagA</t>
  </si>
  <si>
    <t>N-acetylglucosamine-6-phosphate deacetylase</t>
  </si>
  <si>
    <t>0.06916 (0.05163)</t>
  </si>
  <si>
    <t>0.13601 (0.06653)</t>
  </si>
  <si>
    <t>0.01623 (0.00060)</t>
  </si>
  <si>
    <t>0.05275 (0.00224)</t>
  </si>
  <si>
    <t>0.00587 (0.00030)</t>
  </si>
  <si>
    <t>nagBA</t>
  </si>
  <si>
    <t>glucosamine-6-phosphate isomerase</t>
  </si>
  <si>
    <t>0.15486 (0.09759)</t>
  </si>
  <si>
    <t>0.11102 (0.03423)</t>
  </si>
  <si>
    <t>0.01922 (0.00074)</t>
  </si>
  <si>
    <t>0.06053 (0.00273)</t>
  </si>
  <si>
    <t>0.00758 (0.00041)</t>
  </si>
  <si>
    <t>nagR</t>
  </si>
  <si>
    <t>0.05968 (0.06212)</t>
  </si>
  <si>
    <t>0.04263 (0.04986)</t>
  </si>
  <si>
    <t>0.01158 (0.00049)</t>
  </si>
  <si>
    <t>0.04269 (0.00187)</t>
  </si>
  <si>
    <t>0.00263 (0.00023)</t>
  </si>
  <si>
    <t>yvnB</t>
  </si>
  <si>
    <t>0.13376 (0.03553)</t>
  </si>
  <si>
    <t>0.07967 (0.02006)</t>
  </si>
  <si>
    <t>0.01289 (0.00034)</t>
  </si>
  <si>
    <t>0.04349 (0.00118)</t>
  </si>
  <si>
    <t>0.00439 (0.00014)</t>
  </si>
  <si>
    <t>cypX</t>
  </si>
  <si>
    <t>cyclo-L-leucyl-L-leucyl dipeptide oxidase,pulcheriminic synthase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</si>
  <si>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</t>
  </si>
  <si>
    <t>0.34598 (0.56247)</t>
  </si>
  <si>
    <t>0.29671 (0.41961)</t>
  </si>
  <si>
    <t>0.00756 (0.00163)</t>
  </si>
  <si>
    <t>0.01561 (0.00426)</t>
  </si>
  <si>
    <t>0.00529 (0.00092)</t>
  </si>
  <si>
    <t>pchR</t>
  </si>
  <si>
    <t>transcriptional regulator for pulcherriminicacid synthesis</t>
  </si>
  <si>
    <t>0.05064 (0.08922)</t>
  </si>
  <si>
    <t>0.07283 (0.00000)</t>
  </si>
  <si>
    <t>0.01972 (0.00419)</t>
  </si>
  <si>
    <t>0.08110 (0.01806)</t>
  </si>
  <si>
    <t>0.00549 (0.00102)</t>
  </si>
  <si>
    <t>pchE</t>
  </si>
  <si>
    <t>pulcherriminic acid efflux transporter</t>
  </si>
  <si>
    <t>0.32983 (0.19043)</t>
  </si>
  <si>
    <t>0.06573 (0.04836)</t>
  </si>
  <si>
    <t>0.00397 (0.00052)</t>
  </si>
  <si>
    <t>0.01143 (0.00174)</t>
  </si>
  <si>
    <t>0.00154 (0.00028)</t>
  </si>
  <si>
    <t>yvlD</t>
  </si>
  <si>
    <t>putative integral phage holin-like membraneprotein</t>
  </si>
  <si>
    <t>0.01039 (0.00101)</t>
  </si>
  <si>
    <t>0.04588 (0.00456)</t>
  </si>
  <si>
    <t>yvlB</t>
  </si>
  <si>
    <t>conserved protein of unknown function,stress-related</t>
  </si>
  <si>
    <t>0.02879 (0.02071)</t>
  </si>
  <si>
    <t>0.05379 (0.12025)</t>
  </si>
  <si>
    <t>0.01308 (0.00074)</t>
  </si>
  <si>
    <t>0.05381 (0.00306)</t>
  </si>
  <si>
    <t>0.00265 (0.00025)</t>
  </si>
  <si>
    <t>yvlA</t>
  </si>
  <si>
    <t>0.03648 (0.07432)</t>
  </si>
  <si>
    <t>0.01183 (0.00089)</t>
  </si>
  <si>
    <t>0.04612 (0.00384)</t>
  </si>
  <si>
    <t>0.00092 (0.00027)</t>
  </si>
  <si>
    <t>yvkN</t>
  </si>
  <si>
    <t>0.02667 (0.00514)</t>
  </si>
  <si>
    <t>0.12095 (0.02591)</t>
  </si>
  <si>
    <t>0.00671 (0.00174)</t>
  </si>
  <si>
    <t>uvrA</t>
  </si>
  <si>
    <t>excinuclease ABC (subunit A)</t>
  </si>
  <si>
    <t>0.02704 (0.02575)</t>
  </si>
  <si>
    <t>0.03503 (0.08077)</t>
  </si>
  <si>
    <t>0.01065 (0.00033)</t>
  </si>
  <si>
    <t>0.04171 (0.00129)</t>
  </si>
  <si>
    <t>0.00134 (0.00012)</t>
  </si>
  <si>
    <t>uvrB</t>
  </si>
  <si>
    <t>excinuclease ABC (subunit B)</t>
  </si>
  <si>
    <t>0.01494 (0.02141)</t>
  </si>
  <si>
    <t>0.02243 (0.02027)</t>
  </si>
  <si>
    <t>0.00920 (0.00050)</t>
  </si>
  <si>
    <t>0.03897 (0.00207)</t>
  </si>
  <si>
    <t>csbA</t>
  </si>
  <si>
    <t>0.08348 (0.08891)</t>
  </si>
  <si>
    <t>0.02242 (0.00167)</t>
  </si>
  <si>
    <t>0.08628 (0.00709)</t>
  </si>
  <si>
    <t>0.00288 (0.00051)</t>
  </si>
  <si>
    <t>yvkC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</si>
  <si>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</si>
  <si>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0.09092 (0.04202)</t>
  </si>
  <si>
    <t>0.10180 (0.05325)</t>
  </si>
  <si>
    <t>0.01018 (0.00030)</t>
  </si>
  <si>
    <t>0.03497 (0.00120)</t>
  </si>
  <si>
    <t>0.00341 (0.00012)</t>
  </si>
  <si>
    <t>yvkB</t>
  </si>
  <si>
    <t>0.13846 (0.31287)</t>
  </si>
  <si>
    <t>0.13862 (0.14148)</t>
  </si>
  <si>
    <t>0.01351 (0.00168)</t>
  </si>
  <si>
    <t>0.04539 (0.00676)</t>
  </si>
  <si>
    <t>0.00574 (0.00056)</t>
  </si>
  <si>
    <t>yvkA</t>
  </si>
  <si>
    <t>0.08247 (0.06434)</t>
  </si>
  <si>
    <t>0.11398 (0.11160)</t>
  </si>
  <si>
    <t>0.01053 (0.00042)</t>
  </si>
  <si>
    <t>0.03348 (0.00157)</t>
  </si>
  <si>
    <t>0.00332 (0.00018)</t>
  </si>
  <si>
    <t>minJ</t>
  </si>
  <si>
    <t>topological determinant of cell division</t>
  </si>
  <si>
    <t>0.06600 (0.05465)</t>
  </si>
  <si>
    <t>0.05096 (0.06254)</t>
  </si>
  <si>
    <t>0.00888 (0.00032)</t>
  </si>
  <si>
    <t>0.03090 (0.00116)</t>
  </si>
  <si>
    <t>0.00179 (0.00015)</t>
  </si>
  <si>
    <t>ctpB</t>
  </si>
  <si>
    <t>PDZ-containing carboxyl-terminal proteaseprocessing protease [Zn(II)]</t>
  </si>
  <si>
    <t>0.06869 (0.05304)</t>
  </si>
  <si>
    <t>0.02035 (0.05258)</t>
  </si>
  <si>
    <t>0.00724 (0.00022)</t>
  </si>
  <si>
    <t>0.02895 (0.00094)</t>
  </si>
  <si>
    <t>ftsX</t>
  </si>
  <si>
    <t>cell-division ABC transporter</t>
  </si>
  <si>
    <t>0.02938 (0.01789)</t>
  </si>
  <si>
    <t>0.04380 (0.04146)</t>
  </si>
  <si>
    <t>0.02419 (0.00127)</t>
  </si>
  <si>
    <t>0.10015 (0.00539)</t>
  </si>
  <si>
    <t>0.00386 (0.00028)</t>
  </si>
  <si>
    <t>ftsE</t>
  </si>
  <si>
    <t>cell-division signal transducer (ATP-bindingprotein)</t>
  </si>
  <si>
    <t>0.00735 (0.02429)</t>
  </si>
  <si>
    <t>0.04719 (0.05049)</t>
  </si>
  <si>
    <t>0.02399 (0.00141)</t>
  </si>
  <si>
    <t>0.10102 (0.00614)</t>
  </si>
  <si>
    <t>0.00366 (0.00026)</t>
  </si>
  <si>
    <t>cccB</t>
  </si>
  <si>
    <t>cytochrome c551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</si>
  <si>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GCA_002163815.1_ASM216381v1_genomic , GCA_002173615.1_ASM217361v1_genomic</t>
  </si>
  <si>
    <t>0.26369 (0.38949)</t>
  </si>
  <si>
    <t>0.41877 (0.27918)</t>
  </si>
  <si>
    <t>0.02115 (0.00351)</t>
  </si>
  <si>
    <t>0.04629 (0.01015)</t>
  </si>
  <si>
    <t>0.01521 (0.00204)</t>
  </si>
  <si>
    <t>yvjA</t>
  </si>
  <si>
    <t>0.04954 (0.03723)</t>
  </si>
  <si>
    <t>0.01593 (0.03709)</t>
  </si>
  <si>
    <t>0.01439 (0.00057)</t>
  </si>
  <si>
    <t>0.05613 (0.00251)</t>
  </si>
  <si>
    <t>secA</t>
  </si>
  <si>
    <t>translocase binding subunit (ATPase)</t>
  </si>
  <si>
    <t>0.03026 (0.09447)</t>
  </si>
  <si>
    <t>0.00738 (0.01180)</t>
  </si>
  <si>
    <t>0.01543 (0.00110)</t>
  </si>
  <si>
    <t>0.06906 (0.00496)</t>
  </si>
  <si>
    <t>0.00149 (0.00022)</t>
  </si>
  <si>
    <t>hpf</t>
  </si>
  <si>
    <t>ribosome-associated sigma 54 modulation protein;ribosome dimerisation factor</t>
  </si>
  <si>
    <t>0.03540 (0.04059)</t>
  </si>
  <si>
    <t>0.09822 (0.09322)</t>
  </si>
  <si>
    <t>0.01767 (0.00103)</t>
  </si>
  <si>
    <t>0.06690 (0.00369)</t>
  </si>
  <si>
    <t>0.00571 (0.00045)</t>
  </si>
  <si>
    <t>yvzG</t>
  </si>
  <si>
    <t>0.19470 (0.23161)</t>
  </si>
  <si>
    <t>0.00686 (0.00064)</t>
  </si>
  <si>
    <t>0.02246 (0.00214)</t>
  </si>
  <si>
    <t>0.00290 (0.00069)</t>
  </si>
  <si>
    <t>fliT</t>
  </si>
  <si>
    <t>flagellar assembly protein FliT involved incontrol of flagella expression</t>
  </si>
  <si>
    <t>0.26282 (0.16951)</t>
  </si>
  <si>
    <t>0.04685 (0.03056)</t>
  </si>
  <si>
    <t>0.02697 (0.00239)</t>
  </si>
  <si>
    <t>0.09503 (0.00910)</t>
  </si>
  <si>
    <t>0.01077 (0.00141)</t>
  </si>
  <si>
    <t>fliS</t>
  </si>
  <si>
    <t>flagellar assembly protein FliS</t>
  </si>
  <si>
    <t>ref , GCA_000146565.1_ASM14656v1_genomic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</si>
  <si>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0.11495 (0.07215)</t>
  </si>
  <si>
    <t>0.05272 (0.01815)</t>
  </si>
  <si>
    <t>0.02967 (0.00118)</t>
  </si>
  <si>
    <t>0.11873 (0.00552)</t>
  </si>
  <si>
    <t>0.00770 (0.00039)</t>
  </si>
  <si>
    <t>yvyC</t>
  </si>
  <si>
    <t>putative flagellar protein of unknown function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</si>
  <si>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GCA_002096095.1_ASM209609v1_genomic , GCA_002142595.1_ASM214259v1_genomic , GCA_002163815.1_ASM216381v1_genomic , GCA_002173615.1_ASM217361v1_genomic</t>
  </si>
  <si>
    <t>0.21470 (0.13093)</t>
  </si>
  <si>
    <t>0.12841 (0.07495)</t>
  </si>
  <si>
    <t>0.02898 (0.00284)</t>
  </si>
  <si>
    <t>0.08788 (0.00927)</t>
  </si>
  <si>
    <t>0.01551 (0.00184)</t>
  </si>
  <si>
    <t>csrA</t>
  </si>
  <si>
    <t>carbon storage regulator</t>
  </si>
  <si>
    <t>0.12670 (0.06957)</t>
  </si>
  <si>
    <t>0.06984 (0.05765)</t>
  </si>
  <si>
    <t>0.03558 (0.00166)</t>
  </si>
  <si>
    <t>0.14166 (0.00782)</t>
  </si>
  <si>
    <t>fliW</t>
  </si>
  <si>
    <t>assembly factor of the flagellum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</si>
  <si>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</t>
  </si>
  <si>
    <t>0.03978 (0.02945)</t>
  </si>
  <si>
    <t>0.03006 (0.08209)</t>
  </si>
  <si>
    <t>0.03186 (0.00189)</t>
  </si>
  <si>
    <t>0.14210 (0.00836)</t>
  </si>
  <si>
    <t>0.00623 (0.00060)</t>
  </si>
  <si>
    <t>yviE</t>
  </si>
  <si>
    <t>0.07423 (0.06258)</t>
  </si>
  <si>
    <t>0.03390 (0.07096)</t>
  </si>
  <si>
    <t>0.01497 (0.00115)</t>
  </si>
  <si>
    <t>0.06024 (0.00452)</t>
  </si>
  <si>
    <t>0.00342 (0.00037)</t>
  </si>
  <si>
    <t>flgL</t>
  </si>
  <si>
    <t>flagellar hook-filament junction protein</t>
  </si>
  <si>
    <t>0.03005 (0.09479)</t>
  </si>
  <si>
    <t>0.08225 (0.05955)</t>
  </si>
  <si>
    <t>0.01119 (0.00055)</t>
  </si>
  <si>
    <t>0.04205 (0.00225)</t>
  </si>
  <si>
    <t>flgK</t>
  </si>
  <si>
    <t>flagellar hook-filament junction</t>
  </si>
  <si>
    <t>0.02704 (0.03387)</t>
  </si>
  <si>
    <t>0.02501 (0.03129)</t>
  </si>
  <si>
    <t>0.00968 (0.00043)</t>
  </si>
  <si>
    <t>0.03932 (0.00199)</t>
  </si>
  <si>
    <t>0.00109 (0.00009)</t>
  </si>
  <si>
    <t>flgN</t>
  </si>
  <si>
    <t>factor required for flagellar based motility</t>
  </si>
  <si>
    <t>0.04069 (0.07890)</t>
  </si>
  <si>
    <t>0.00675 (0.00080)</t>
  </si>
  <si>
    <t>0.01897 (0.00250)</t>
  </si>
  <si>
    <t>0.00333 (0.00051)</t>
  </si>
  <si>
    <t>flgM</t>
  </si>
  <si>
    <t>anti-sigma factor repressor ofsigma(D)-dependent transcription</t>
  </si>
  <si>
    <t>0.19066 (0.15013)</t>
  </si>
  <si>
    <t>0.29200 (0.14107)</t>
  </si>
  <si>
    <t>0.02580 (0.00208)</t>
  </si>
  <si>
    <t>0.06536 (0.00566)</t>
  </si>
  <si>
    <t>0.01683 (0.00133)</t>
  </si>
  <si>
    <t>yvyF</t>
  </si>
  <si>
    <t>putative transcriptional regulator of flagellaformation</t>
  </si>
  <si>
    <t>0.04902 (0.09654)</t>
  </si>
  <si>
    <t>0.24590 (0.34776)</t>
  </si>
  <si>
    <t>0.00557 (0.00049)</t>
  </si>
  <si>
    <t>0.01889 (0.00221)</t>
  </si>
  <si>
    <t>0.00236 (0.00040)</t>
  </si>
  <si>
    <t>comFC</t>
  </si>
  <si>
    <t>component of the DNA transport apparatus</t>
  </si>
  <si>
    <t>0.34369 (0.14609)</t>
  </si>
  <si>
    <t>0.28005 (0.09384)</t>
  </si>
  <si>
    <t>0.01093 (0.00072)</t>
  </si>
  <si>
    <t>0.02129 (0.00183)</t>
  </si>
  <si>
    <t>0.00817 (0.00051)</t>
  </si>
  <si>
    <t>comFB</t>
  </si>
  <si>
    <t>regulator of competence, pole located</t>
  </si>
  <si>
    <t>0.26939 (0.00000)</t>
  </si>
  <si>
    <t>0.00680 (0.00079)</t>
  </si>
  <si>
    <t>0.01507 (0.00241)</t>
  </si>
  <si>
    <t>0.00463 (0.00070)</t>
  </si>
  <si>
    <t>comFA</t>
  </si>
  <si>
    <t>ATP-dependent helicase competence protein</t>
  </si>
  <si>
    <t>0.26761 (0.12626)</t>
  </si>
  <si>
    <t>0.14456 (0.06975)</t>
  </si>
  <si>
    <t>0.01052 (0.00053)</t>
  </si>
  <si>
    <t>0.02774 (0.00139)</t>
  </si>
  <si>
    <t>0.00572 (0.00037)</t>
  </si>
  <si>
    <t>fakBA</t>
  </si>
  <si>
    <t>fatty acid kinase fatty acid binding subunit A</t>
  </si>
  <si>
    <t>0.09172 (0.07150)</t>
  </si>
  <si>
    <t>0.14103 (0.20355)</t>
  </si>
  <si>
    <t>0.00920 (0.00084)</t>
  </si>
  <si>
    <t>0.03135 (0.00398)</t>
  </si>
  <si>
    <t>0.00325 (0.00021)</t>
  </si>
  <si>
    <t>degU</t>
  </si>
  <si>
    <t>0.01527 (0.04576)</t>
  </si>
  <si>
    <t>0.01479 (0.00124)</t>
  </si>
  <si>
    <t>0.06905 (0.00605)</t>
  </si>
  <si>
    <t>degS</t>
  </si>
  <si>
    <t>two-component sensor histidine kinase [DegU]</t>
  </si>
  <si>
    <t>0.02461 (0.02801)</t>
  </si>
  <si>
    <t>0.01309 (0.03166)</t>
  </si>
  <si>
    <t>0.02067 (0.00143)</t>
  </si>
  <si>
    <t>0.10260 (0.00738)</t>
  </si>
  <si>
    <t>0.00115 (0.00009)</t>
  </si>
  <si>
    <t>yvyE</t>
  </si>
  <si>
    <t>putative translation regulator</t>
  </si>
  <si>
    <t>ref , GCA_000146565.1_ASM14656v1_genomic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</si>
  <si>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0.04978 (0.10865)</t>
  </si>
  <si>
    <t>0.01561 (0.00198)</t>
  </si>
  <si>
    <t>0.06914 (0.00871)</t>
  </si>
  <si>
    <t>0.00250 (0.00051)</t>
  </si>
  <si>
    <t>tagV</t>
  </si>
  <si>
    <t>teichoic acid-peptidoglycan tethering enzyme(LCP component) with transcription regulator domain</t>
  </si>
  <si>
    <t>0.07107 (0.08182)</t>
  </si>
  <si>
    <t>0.20615 (0.38814)</t>
  </si>
  <si>
    <t>0.01611 (0.00127)</t>
  </si>
  <si>
    <t>0.05389 (0.00471)</t>
  </si>
  <si>
    <t>0.00606 (0.00065)</t>
  </si>
  <si>
    <t>tagO</t>
  </si>
  <si>
    <t>UDP-N-acetylglucosamine:undecaprenyl-PN-acetylglucosaminyl-1-P transferase</t>
  </si>
  <si>
    <t>0.01015 (0.03174)</t>
  </si>
  <si>
    <t>0.00983 (0.00043)</t>
  </si>
  <si>
    <t>0.04111 (0.00176)</t>
  </si>
  <si>
    <t>tuaH</t>
  </si>
  <si>
    <t>putative glycosyltransferase (teichuronic acid)</t>
  </si>
  <si>
    <t>0.10158 (0.03263)</t>
  </si>
  <si>
    <t>0.09536 (0.04624)</t>
  </si>
  <si>
    <t>0.02135 (0.00077)</t>
  </si>
  <si>
    <t>0.07360 (0.00285)</t>
  </si>
  <si>
    <t>0.00700 (0.00030)</t>
  </si>
  <si>
    <t>tuaG</t>
  </si>
  <si>
    <t>0.07291 (0.05991)</t>
  </si>
  <si>
    <t>0.00467 (0.00026)</t>
  </si>
  <si>
    <t>0.01856 (0.00143)</t>
  </si>
  <si>
    <t>tuaF</t>
  </si>
  <si>
    <t>putative hydrolase involved in teichuronic acidsynthesis</t>
  </si>
  <si>
    <t>0.18393 (0.07421)</t>
  </si>
  <si>
    <t>0.03809 (0.04180)</t>
  </si>
  <si>
    <t>0.01512 (0.00067)</t>
  </si>
  <si>
    <t>0.05214 (0.00261)</t>
  </si>
  <si>
    <t>0.00506 (0.00032)</t>
  </si>
  <si>
    <t>tuaE</t>
  </si>
  <si>
    <t>putative polymerase of teichuronic acidrepeating units</t>
  </si>
  <si>
    <t>0.15687 (0.04485)</t>
  </si>
  <si>
    <t>0.13120 (0.06570)</t>
  </si>
  <si>
    <t>0.01028 (0.00040)</t>
  </si>
  <si>
    <t>0.02894 (0.00115)</t>
  </si>
  <si>
    <t>0.00459 (0.00027)</t>
  </si>
  <si>
    <t>tuaD</t>
  </si>
  <si>
    <t>UDP-glucose 6-dehydrogenase (teichuronic acid)</t>
  </si>
  <si>
    <t>0.07871 (0.04806)</t>
  </si>
  <si>
    <t>0.07422 (0.02329)</t>
  </si>
  <si>
    <t>0.00883 (0.00030)</t>
  </si>
  <si>
    <t>0.02875 (0.00123)</t>
  </si>
  <si>
    <t>0.00271 (0.00016)</t>
  </si>
  <si>
    <t>tuaC</t>
  </si>
  <si>
    <t>0.08261 (0.05588)</t>
  </si>
  <si>
    <t>0.09372 (0.05527)</t>
  </si>
  <si>
    <t>0.01767 (0.00060)</t>
  </si>
  <si>
    <t>0.05694 (0.00182)</t>
  </si>
  <si>
    <t>0.00591 (0.00035)</t>
  </si>
  <si>
    <t>tuaB</t>
  </si>
  <si>
    <t>putative exporter involved in biosynthesis ofteichuronic acid</t>
  </si>
  <si>
    <t>0.07776 (0.02655)</t>
  </si>
  <si>
    <t>0.01592 (0.04698)</t>
  </si>
  <si>
    <t>0.00937 (0.00038)</t>
  </si>
  <si>
    <t>0.03426 (0.00161)</t>
  </si>
  <si>
    <t>0.00165 (0.00013)</t>
  </si>
  <si>
    <t>lytC</t>
  </si>
  <si>
    <t>N-acetylmuramoyl-L-alanine amidase (majorautolysin)</t>
  </si>
  <si>
    <t>0.10822 (0.10849)</t>
  </si>
  <si>
    <t>0.04623 (0.03120)</t>
  </si>
  <si>
    <t>0.00688 (0.00074)</t>
  </si>
  <si>
    <t>0.02458 (0.00285)</t>
  </si>
  <si>
    <t>0.00127 (0.00018)</t>
  </si>
  <si>
    <t>lytB</t>
  </si>
  <si>
    <t>modifier of major autolysin amidase LytC</t>
  </si>
  <si>
    <t>0.13663 (0.17853)</t>
  </si>
  <si>
    <t>0.30773 (0.21760)</t>
  </si>
  <si>
    <t>0.00303 (0.00041)</t>
  </si>
  <si>
    <t>0.00795 (0.00128)</t>
  </si>
  <si>
    <t>0.00153 (0.00028)</t>
  </si>
  <si>
    <t>tagU</t>
  </si>
  <si>
    <t>teichoic acid-peptidoglycan tethering enzyme(LCP component) with transcription regulator domain ofmajor autolysin expression</t>
  </si>
  <si>
    <t>0.01854 (0.03770)</t>
  </si>
  <si>
    <t>0.09364 (0.14425)</t>
  </si>
  <si>
    <t>0.00799 (0.00095)</t>
  </si>
  <si>
    <t>0.03291 (0.00456)</t>
  </si>
  <si>
    <t>0.00121 (0.00022)</t>
  </si>
  <si>
    <t>mnaA</t>
  </si>
  <si>
    <t>UDP-N-acetylmannosamine 2-epimerase</t>
  </si>
  <si>
    <t>0.13164 (0.05272)</t>
  </si>
  <si>
    <t>0.09315 (0.02519)</t>
  </si>
  <si>
    <t>0.01219 (0.00054)</t>
  </si>
  <si>
    <t>0.03789 (0.00210)</t>
  </si>
  <si>
    <t>0.00484 (0.00023)</t>
  </si>
  <si>
    <t>gtaB</t>
  </si>
  <si>
    <t>UTP-glucose-1-phosphate uridylyltransferase</t>
  </si>
  <si>
    <t>0.06175 (0.04780)</t>
  </si>
  <si>
    <t>0.06405 (0.04264)</t>
  </si>
  <si>
    <t>0.01770 (0.00100)</t>
  </si>
  <si>
    <t>0.06682 (0.00377)</t>
  </si>
  <si>
    <t>0.00402 (0.00032)</t>
  </si>
  <si>
    <t>tagH</t>
  </si>
  <si>
    <t>ATP-binding teichoic acid precursor transportercomponent</t>
  </si>
  <si>
    <t>ref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 , GCA_002142595.1_ASM214259v1_genomic</t>
  </si>
  <si>
    <t>0.10773 (0.05433)</t>
  </si>
  <si>
    <t>0.07318 (0.03348)</t>
  </si>
  <si>
    <t>0.03425 (0.00298)</t>
  </si>
  <si>
    <t>0.12930 (0.01195)</t>
  </si>
  <si>
    <t>0.01140 (0.00113)</t>
  </si>
  <si>
    <t>tagG</t>
  </si>
  <si>
    <t>teichoic acid precursors permease</t>
  </si>
  <si>
    <t>0.09269 (0.14424)</t>
  </si>
  <si>
    <t>0.00566 (0.00074)</t>
  </si>
  <si>
    <t>0.02065 (0.00174)</t>
  </si>
  <si>
    <t>0.00155 (0.00063)</t>
  </si>
  <si>
    <t>tagF</t>
  </si>
  <si>
    <t>CDP-glycerol:polyglycerol phosphateglycero-phosphotransferase (poly(glycerol phosphate)polymerase)</t>
  </si>
  <si>
    <t>0.06077 (0.01691)</t>
  </si>
  <si>
    <t>0.53787 (0.76066)</t>
  </si>
  <si>
    <t>0.00608 (0.00052)</t>
  </si>
  <si>
    <t>0.02052 (0.00194)</t>
  </si>
  <si>
    <t>tagE</t>
  </si>
  <si>
    <t>UDP-glucose:polyglycerol phosphatealpha-glucosyltransferase</t>
  </si>
  <si>
    <t>0.18815 (0.39547)</t>
  </si>
  <si>
    <t>0.00916 (0.00230)</t>
  </si>
  <si>
    <t>0.02682 (0.00790)</t>
  </si>
  <si>
    <t>0.00483 (0.00097)</t>
  </si>
  <si>
    <t>tagB</t>
  </si>
  <si>
    <t>teichoic acid primase,CDP-glycerol:N-acetyl-beta-d-mannosaminyl-1,4-N-acetyl-d-glucosaminyldiphosphoundecaprenylglycerophosphotransferase</t>
  </si>
  <si>
    <t>0.90930 (0.08409)</t>
  </si>
  <si>
    <t>0.36523 (0.54784)</t>
  </si>
  <si>
    <t>0.00298 (0.00049)</t>
  </si>
  <si>
    <t>0.00848 (0.00214)</t>
  </si>
  <si>
    <t>0.00149 (0.00017)</t>
  </si>
  <si>
    <t>tagC</t>
  </si>
  <si>
    <t>putative polyglycerol phosphate assembly andexport protein (teichoic acid biosynthesis)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</si>
  <si>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</si>
  <si>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0.12051 (0.04803)</t>
  </si>
  <si>
    <t>0.27404 (0.38756)</t>
  </si>
  <si>
    <t>0.00468 (0.00108)</t>
  </si>
  <si>
    <t>0.01421 (0.00339)</t>
  </si>
  <si>
    <t>0.00212 (0.00049)</t>
  </si>
  <si>
    <t>lytD</t>
  </si>
  <si>
    <t>exported N-acetylglucosaminidase (majorautolysin) (CWBP90)</t>
  </si>
  <si>
    <t>0.14577 (0.06178)</t>
  </si>
  <si>
    <t>0.12882 (0.09780)</t>
  </si>
  <si>
    <t>0.01717 (0.00055)</t>
  </si>
  <si>
    <t>0.05174 (0.00163)</t>
  </si>
  <si>
    <t>0.00694 (0.00027)</t>
  </si>
  <si>
    <t>pmiA</t>
  </si>
  <si>
    <t>mannose-6-phosphate isomerase (active on aldosesubstrates with hydroxyl groups oriented in the samedirection at the C-2 and C-3 positions as in mannose)</t>
  </si>
  <si>
    <t>0.21632 (0.17973)</t>
  </si>
  <si>
    <t>0.15384 (0.09798)</t>
  </si>
  <si>
    <t>0.01934 (0.00106)</t>
  </si>
  <si>
    <t>0.05288 (0.00310)</t>
  </si>
  <si>
    <t>0.01018 (0.00066)</t>
  </si>
  <si>
    <t>gerBA</t>
  </si>
  <si>
    <t>component of germinant receptor B</t>
  </si>
  <si>
    <t>ref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GCA_001747445.1_ASM174744v1_genomic , GCA_002055965.1_ASM205596v1_genomic , GCA_002072735.1_ASM207273v1_genomic , GCA_002142595.1_ASM214259v1_genomic , GCA_002173615.1_ASM217361v1_genomic</t>
  </si>
  <si>
    <t>0.09349 (0.06613)</t>
  </si>
  <si>
    <t>0.09103 (0.06569)</t>
  </si>
  <si>
    <t>0.02039 (0.00180)</t>
  </si>
  <si>
    <t>0.06700 (0.00587)</t>
  </si>
  <si>
    <t>0.00701 (0.00071)</t>
  </si>
  <si>
    <t>gerBB</t>
  </si>
  <si>
    <t>0.09416 (0.10311)</t>
  </si>
  <si>
    <t>0.12316 (0.27679)</t>
  </si>
  <si>
    <t>0.02954 (0.00351)</t>
  </si>
  <si>
    <t>0.09957 (0.01217)</t>
  </si>
  <si>
    <t>0.01125 (0.00133)</t>
  </si>
  <si>
    <t>gerBC</t>
  </si>
  <si>
    <t>lipoprotein component of the germinationreceptor B</t>
  </si>
  <si>
    <t>0.17091 (0.04369)</t>
  </si>
  <si>
    <t>0.16773 (0.16462)</t>
  </si>
  <si>
    <t>0.02454 (0.00218)</t>
  </si>
  <si>
    <t>0.07072 (0.00586)</t>
  </si>
  <si>
    <t>0.01294 (0.00135)</t>
  </si>
  <si>
    <t>ywtG</t>
  </si>
  <si>
    <t>putative carbohydrate/proton transporter</t>
  </si>
  <si>
    <t>0.04805 (0.03197)</t>
  </si>
  <si>
    <t>0.07481 (0.03432)</t>
  </si>
  <si>
    <t>0.01741 (0.00090)</t>
  </si>
  <si>
    <t>0.06245 (0.00370)</t>
  </si>
  <si>
    <t>0.00374 (0.00020)</t>
  </si>
  <si>
    <t>tagT</t>
  </si>
  <si>
    <t>teichoic acid-peptidoglycan tethering enzyme(LCP component) with transcription regulator domain ofcapsule synthesis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</si>
  <si>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</t>
  </si>
  <si>
    <t>0.12192 (0.05482)</t>
  </si>
  <si>
    <t>0.06839 (0.10396)</t>
  </si>
  <si>
    <t>0.01232 (0.00108)</t>
  </si>
  <si>
    <t>0.04513 (0.00419)</t>
  </si>
  <si>
    <t>0.00321 (0.00029)</t>
  </si>
  <si>
    <t>ribZB</t>
  </si>
  <si>
    <t>5-amino-6-ribitylamino-2,4(1H,3H)-pyrimidinedione 5'-phosphate phosphatase (promiscuousactivity)</t>
  </si>
  <si>
    <t>0.08289 (0.07319)</t>
  </si>
  <si>
    <t>0.08630 (0.14881)</t>
  </si>
  <si>
    <t>0.02545 (0.00195)</t>
  </si>
  <si>
    <t>0.09274 (0.00755)</t>
  </si>
  <si>
    <t>0.00863 (0.00070)</t>
  </si>
  <si>
    <t>pgdS</t>
  </si>
  <si>
    <t>gamma-DD-glutamyl hydrolase (PGA depolymerase)</t>
  </si>
  <si>
    <t>0.13803 (0.08049)</t>
  </si>
  <si>
    <t>0.01667 (0.04202)</t>
  </si>
  <si>
    <t>0.00931 (0.00039)</t>
  </si>
  <si>
    <t>0.03205 (0.00121)</t>
  </si>
  <si>
    <t>0.00232 (0.00021)</t>
  </si>
  <si>
    <t>edmS</t>
  </si>
  <si>
    <t>factor required extrachromosomal elementsmaintenance</t>
  </si>
  <si>
    <t>0.09823 (0.06382)</t>
  </si>
  <si>
    <t>0.13361 (0.20658)</t>
  </si>
  <si>
    <t>0.03192 (0.00261)</t>
  </si>
  <si>
    <t>0.12505 (0.01051)</t>
  </si>
  <si>
    <t>0.01555 (0.00196)</t>
  </si>
  <si>
    <t>capA</t>
  </si>
  <si>
    <t>capsular polyglutamate synthetase (acidresistance)</t>
  </si>
  <si>
    <t>0.02519 (0.02508)</t>
  </si>
  <si>
    <t>0.01737 (0.04111)</t>
  </si>
  <si>
    <t>0.03824 (0.00200)</t>
  </si>
  <si>
    <t>0.00072 (0.00009)</t>
  </si>
  <si>
    <t>capC</t>
  </si>
  <si>
    <t>capsular polyglutamate amide ligase/translocasesubunit</t>
  </si>
  <si>
    <t>0.01701 (0.05837)</t>
  </si>
  <si>
    <t>0.01862 (0.00095)</t>
  </si>
  <si>
    <t>0.07699 (0.00416)</t>
  </si>
  <si>
    <t>capB</t>
  </si>
  <si>
    <t>capsular polyglutamate synthetase (ATP-dependentamide ligase)</t>
  </si>
  <si>
    <t>0.00716 (0.02305)</t>
  </si>
  <si>
    <t>0.01713 (0.03025)</t>
  </si>
  <si>
    <t>0.01839 (0.00134)</t>
  </si>
  <si>
    <t>0.08271 (0.00621)</t>
  </si>
  <si>
    <t>rbsR</t>
  </si>
  <si>
    <t>ribose operon repressor (LacI family, D-ribose)</t>
  </si>
  <si>
    <t>0.40136 (0.12111)</t>
  </si>
  <si>
    <t>0.10218 (0.07558)</t>
  </si>
  <si>
    <t>0.09612 (0.03664)</t>
  </si>
  <si>
    <t>0.01477 (0.00058)</t>
  </si>
  <si>
    <t>0.04737 (0.00202)</t>
  </si>
  <si>
    <t>0.00479 (0.00026)</t>
  </si>
  <si>
    <t>rbsK</t>
  </si>
  <si>
    <t>ribokinase</t>
  </si>
  <si>
    <t>0.14504 (0.09372)</t>
  </si>
  <si>
    <t>0.05112 (0.02346)</t>
  </si>
  <si>
    <t>0.01807 (0.00081)</t>
  </si>
  <si>
    <t>0.06024 (0.00284)</t>
  </si>
  <si>
    <t>rbsD</t>
  </si>
  <si>
    <t>D-ribose pyranase</t>
  </si>
  <si>
    <t>0.27918 (0.07410)</t>
  </si>
  <si>
    <t>0.20202 (0.18625)</t>
  </si>
  <si>
    <t>0.02584 (0.00156)</t>
  </si>
  <si>
    <t>0.07173 (0.00453)</t>
  </si>
  <si>
    <t>0.01308 (0.00099)</t>
  </si>
  <si>
    <t>rbsA</t>
  </si>
  <si>
    <t>ribose ABC transporter (ATP-binding protein)</t>
  </si>
  <si>
    <t>0.02611 (0.01103)</t>
  </si>
  <si>
    <t>0.03701 (0.03642)</t>
  </si>
  <si>
    <t>0.01722 (0.00065)</t>
  </si>
  <si>
    <t>0.07007 (0.00269)</t>
  </si>
  <si>
    <t>0.00266 (0.00015)</t>
  </si>
  <si>
    <t>rbsC</t>
  </si>
  <si>
    <t>ribose ABC transporter (permease)</t>
  </si>
  <si>
    <t>0.06803 (0.08237)</t>
  </si>
  <si>
    <t>0.02926 (0.03339)</t>
  </si>
  <si>
    <t>0.01966 (0.00110)</t>
  </si>
  <si>
    <t>0.07184 (0.00470)</t>
  </si>
  <si>
    <t>0.00281 (0.00016)</t>
  </si>
  <si>
    <t>rbsB</t>
  </si>
  <si>
    <t>ribose ABC transporter (ribose-bindinglipoprotein)</t>
  </si>
  <si>
    <t>0.06333 (0.03833)</t>
  </si>
  <si>
    <t>0.08730 (0.04802)</t>
  </si>
  <si>
    <t>0.01500 (0.00058)</t>
  </si>
  <si>
    <t>0.05259 (0.00215)</t>
  </si>
  <si>
    <t>0.00410 (0.00022)</t>
  </si>
  <si>
    <t>ywsB</t>
  </si>
  <si>
    <t>putative cell wall binding enzyme</t>
  </si>
  <si>
    <t>0.17343 (0.08324)</t>
  </si>
  <si>
    <t>0.10264 (0.04557)</t>
  </si>
  <si>
    <t>0.02785 (0.00102)</t>
  </si>
  <si>
    <t>0.08736 (0.00365)</t>
  </si>
  <si>
    <t>0.01101 (0.00056)</t>
  </si>
  <si>
    <t>ywsA</t>
  </si>
  <si>
    <t>0.10522 (0.13934)</t>
  </si>
  <si>
    <t>0.14574 (0.10306)</t>
  </si>
  <si>
    <t>0.01701 (0.00316)</t>
  </si>
  <si>
    <t>0.05499 (0.01077)</t>
  </si>
  <si>
    <t>0.00680 (0.00138)</t>
  </si>
  <si>
    <t>ywrO</t>
  </si>
  <si>
    <t>nitroreductase (unknown substrate)</t>
  </si>
  <si>
    <t>0.12358 (0.05998)</t>
  </si>
  <si>
    <t>0.05885 (0.10528)</t>
  </si>
  <si>
    <t>0.01465 (0.00089)</t>
  </si>
  <si>
    <t>0.04821 (0.00331)</t>
  </si>
  <si>
    <t>0.00532 (0.00037)</t>
  </si>
  <si>
    <t>alsD</t>
  </si>
  <si>
    <t>alpha-acetolactate decarboxylase</t>
  </si>
  <si>
    <t>0.06518 (0.02423)</t>
  </si>
  <si>
    <t>0.02094 (0.03929)</t>
  </si>
  <si>
    <t>0.02938 (0.00155)</t>
  </si>
  <si>
    <t>0.12870 (0.00744)</t>
  </si>
  <si>
    <t>0.00486 (0.00027)</t>
  </si>
  <si>
    <t>alsS</t>
  </si>
  <si>
    <t>alpha-acetolactate synthase</t>
  </si>
  <si>
    <t>0.04541 (0.08582)</t>
  </si>
  <si>
    <t>0.00849 (0.02714)</t>
  </si>
  <si>
    <t>0.01428 (0.00126)</t>
  </si>
  <si>
    <t>0.05870 (0.00563)</t>
  </si>
  <si>
    <t>0.00198 (0.00020)</t>
  </si>
  <si>
    <t>alsR</t>
  </si>
  <si>
    <t>transcriptional regulator controlling alsSD,ictEP expression (LysR family)</t>
  </si>
  <si>
    <t>0.03597 (0.04167)</t>
  </si>
  <si>
    <t>0.00670 (0.00065)</t>
  </si>
  <si>
    <t>0.02785 (0.00279)</t>
  </si>
  <si>
    <t>ywrK</t>
  </si>
  <si>
    <t>putative Na+/H+ antiporter</t>
  </si>
  <si>
    <t>0.15114 (0.20512)</t>
  </si>
  <si>
    <t>0.33864 (0.14068)</t>
  </si>
  <si>
    <t>0.00890 (0.00049)</t>
  </si>
  <si>
    <t>0.02564 (0.00159)</t>
  </si>
  <si>
    <t>0.00398 (0.00023)</t>
  </si>
  <si>
    <t>ywrJ</t>
  </si>
  <si>
    <t>0.19845 (0.09054)</t>
  </si>
  <si>
    <t>0.17639 (0.08540)</t>
  </si>
  <si>
    <t>0.01238 (0.00055)</t>
  </si>
  <si>
    <t>0.03397 (0.00163)</t>
  </si>
  <si>
    <t>0.00652 (0.00040)</t>
  </si>
  <si>
    <t>cotB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</si>
  <si>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</t>
  </si>
  <si>
    <t>0.16344 (0.03106)</t>
  </si>
  <si>
    <t>0.18792 (0.14775)</t>
  </si>
  <si>
    <t>0.00935 (0.00117)</t>
  </si>
  <si>
    <t>0.02697 (0.00359)</t>
  </si>
  <si>
    <t>0.00454 (0.00068)</t>
  </si>
  <si>
    <t>cotH</t>
  </si>
  <si>
    <t>spore coat protein kinase</t>
  </si>
  <si>
    <t>0.06556 (0.04588)</t>
  </si>
  <si>
    <t>0.07147 (0.05535)</t>
  </si>
  <si>
    <t>0.02108 (0.00122)</t>
  </si>
  <si>
    <t>0.08074 (0.00463)</t>
  </si>
  <si>
    <t>0.00593 (0.00046)</t>
  </si>
  <si>
    <t>cotG</t>
  </si>
  <si>
    <t>spore morphogenetic protein</t>
  </si>
  <si>
    <t>ref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</si>
  <si>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0.06309 (0.06439)</t>
  </si>
  <si>
    <t>0.21037 (0.17255)</t>
  </si>
  <si>
    <t>0.01215 (0.00114)</t>
  </si>
  <si>
    <t>0.03781 (0.00366)</t>
  </si>
  <si>
    <t>0.00597 (0.00068)</t>
  </si>
  <si>
    <t>BSU_36079</t>
  </si>
  <si>
    <t>doubtful CDS (putative in frame frameshift)ATKNHTALTRNLAATKNRTVLTKNLAAIKNLTVLTKNLVAIKNLAVLTKNLAATKSLTVLTRKNLAAIRSHAAHTKNLIVPIRNTTKNRTTTATTTKDTMIMTAKKNTGKTAIAGgene            3717999..3718616CDS             3717999..3718616computational evidences; Product type e: enzyme</t>
  </si>
  <si>
    <t>ref , GCA_000227485.1_ASM22748v1_genomic , GCA_000293765.1_ASM29376v1_genomic , GCA_000321395.1_ASM32139v1_genomic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GCA_002055965.1_ASM205596v1_genomic , GCA_002072735.1_ASM207273v1_genomic , GCA_002142595.1_ASM214259v1_genomic , GCA_002173615.1_ASM217361v1_genomic</t>
  </si>
  <si>
    <t>1.68083 (3.10670)</t>
  </si>
  <si>
    <t>1.49681 (2.87722)</t>
  </si>
  <si>
    <t>0.01964 (0.00212)</t>
  </si>
  <si>
    <t>0.01343 (0.00188)</t>
  </si>
  <si>
    <t>0.02229 (0.00238)</t>
  </si>
  <si>
    <t>ywrE</t>
  </si>
  <si>
    <t>0.22658 (0.10070)</t>
  </si>
  <si>
    <t>0.01428 (0.00098)</t>
  </si>
  <si>
    <t>0.02320 (0.00175)</t>
  </si>
  <si>
    <t>0.01221 (0.00126)</t>
  </si>
  <si>
    <t>hpxW</t>
  </si>
  <si>
    <t>oxamate amidohydrolase</t>
  </si>
  <si>
    <t>0.15948 (0.12268)</t>
  </si>
  <si>
    <t>0.18961 (0.13861)</t>
  </si>
  <si>
    <t>0.02111 (0.00115)</t>
  </si>
  <si>
    <t>0.05930 (0.00370)</t>
  </si>
  <si>
    <t>0.01015 (0.00050)</t>
  </si>
  <si>
    <t>chrS</t>
  </si>
  <si>
    <t>transcriptional negative regulator of chromate</t>
  </si>
  <si>
    <t>0.06197 (0.08053)</t>
  </si>
  <si>
    <t>0.00738 (0.00075)</t>
  </si>
  <si>
    <t>0.03000 (0.00356)</t>
  </si>
  <si>
    <t>0.00121 (0.00025)</t>
  </si>
  <si>
    <t>chrB</t>
  </si>
  <si>
    <t>chromate transporter subunit N</t>
  </si>
  <si>
    <t>0.12353 (0.06375)</t>
  </si>
  <si>
    <t>0.09555 (0.07672)</t>
  </si>
  <si>
    <t>0.01456 (0.00072)</t>
  </si>
  <si>
    <t>0.04646 (0.00257)</t>
  </si>
  <si>
    <t>0.00489 (0.00032)</t>
  </si>
  <si>
    <t>chrA</t>
  </si>
  <si>
    <t>chromate transporter subunit C</t>
  </si>
  <si>
    <t>0.15207 (0.22009)</t>
  </si>
  <si>
    <t>0.12608 (0.15275)</t>
  </si>
  <si>
    <t>0.01372 (0.00109)</t>
  </si>
  <si>
    <t>0.04104 (0.00484)</t>
  </si>
  <si>
    <t>0.00522 (0.00040)</t>
  </si>
  <si>
    <t>ywqO</t>
  </si>
  <si>
    <t>0.02174 (0.00194)</t>
  </si>
  <si>
    <t>0.02896 (0.00262)</t>
  </si>
  <si>
    <t>ywqN</t>
  </si>
  <si>
    <t>2.07292 (2.54434)</t>
  </si>
  <si>
    <t>0.41288 (0.20571)</t>
  </si>
  <si>
    <t>0.01453 (0.00085)</t>
  </si>
  <si>
    <t>0.02000 (0.00160)</t>
  </si>
  <si>
    <t>0.01317 (0.00081)</t>
  </si>
  <si>
    <t>ywqM</t>
  </si>
  <si>
    <t>ref , GCA_000186745.1_ASM18674v1_genomic , GCA_000209795.2_ASM20979v2_genomic , GCA_000227465.1_ASM22746v1_genomic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</si>
  <si>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0.17278 (0.09021)</t>
  </si>
  <si>
    <t>0.14638 (0.37950)</t>
  </si>
  <si>
    <t>0.01724 (0.00216)</t>
  </si>
  <si>
    <t>0.05442 (0.00710)</t>
  </si>
  <si>
    <t>0.00801 (0.00101)</t>
  </si>
  <si>
    <t>ywqI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</si>
  <si>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GCA_001747445.1_ASM174744v1_genomic , GCA_001808235.1_ASM180823v1_genomic , GCA_001889625.1_ASM188962v1_genomic , GCA_001890405.1_ASM189040v1_genomic , GCA_001902555.1_ASM190255v1_genomic , GCA_002055965.1_ASM205596v1_genomic , GCA_002096095.1_ASM209609v1_genomic , GCA_002173615.1_ASM217361v1_genomic</t>
  </si>
  <si>
    <t>0.04987 (0.03283)</t>
  </si>
  <si>
    <t>0.02888 (0.06472)</t>
  </si>
  <si>
    <t>0.04048 (0.00240)</t>
  </si>
  <si>
    <t>0.18286 (0.01246)</t>
  </si>
  <si>
    <t>0.00829 (0.00090)</t>
  </si>
  <si>
    <t>BSU_36215</t>
  </si>
  <si>
    <t>hypothetical proteingene            complement(3728511..3729296)CDS             complement(3728511..3729296)organisms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</si>
  <si>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GCA_002055965.1_ASM205596v1_genomic , GCA_002072735.1_ASM207273v1_genomic</t>
  </si>
  <si>
    <t>0.78543 (1.21070)</t>
  </si>
  <si>
    <t>0.01833 (0.00284)</t>
  </si>
  <si>
    <t>0.01631 (0.00565)</t>
  </si>
  <si>
    <t>0.01934 (0.00401)</t>
  </si>
  <si>
    <t>uglF</t>
  </si>
  <si>
    <t>UDP-glucose dehydrogenase</t>
  </si>
  <si>
    <t>0.10423 (0.03542)</t>
  </si>
  <si>
    <t>0.15401 (0.10986)</t>
  </si>
  <si>
    <t>0.01321 (0.00037)</t>
  </si>
  <si>
    <t>0.04024 (0.00116)</t>
  </si>
  <si>
    <t>0.00523 (0.00022)</t>
  </si>
  <si>
    <t>ptkA</t>
  </si>
  <si>
    <t>maintenance protein tyrosine kinase involved inbiofilm formation</t>
  </si>
  <si>
    <t>0.09116 (0.06719)</t>
  </si>
  <si>
    <t>0.10810 (0.12875)</t>
  </si>
  <si>
    <t>0.01293 (0.00060)</t>
  </si>
  <si>
    <t>0.04158 (0.00274)</t>
  </si>
  <si>
    <t>0.00473 (0.00037)</t>
  </si>
  <si>
    <t>tkmA</t>
  </si>
  <si>
    <t>modulator of PtkA protein tyrosine kinaseactivity; modulation of biofilm formation</t>
  </si>
  <si>
    <t>0.17447 (0.12100)</t>
  </si>
  <si>
    <t>0.06104 (0.20337)</t>
  </si>
  <si>
    <t>0.01527 (0.00145)</t>
  </si>
  <si>
    <t>0.05238 (0.00497)</t>
  </si>
  <si>
    <t>0.00514 (0.00057)</t>
  </si>
  <si>
    <t>ywzD</t>
  </si>
  <si>
    <t>0.11076 (0.15987)</t>
  </si>
  <si>
    <t>0.01537 (0.00199)</t>
  </si>
  <si>
    <t>0.03985 (0.00689)</t>
  </si>
  <si>
    <t>0.01024 (0.00247)</t>
  </si>
  <si>
    <t>ywqB</t>
  </si>
  <si>
    <t>putative replication initiation protein</t>
  </si>
  <si>
    <t>0.10287 (0.03471)</t>
  </si>
  <si>
    <t>0.07876 (0.12091)</t>
  </si>
  <si>
    <t>0.01877 (0.00105)</t>
  </si>
  <si>
    <t>0.06772 (0.00419)</t>
  </si>
  <si>
    <t>0.00599 (0.00031)</t>
  </si>
  <si>
    <t>hepA</t>
  </si>
  <si>
    <t>ATPase involved in RNA remodelling DNArecombination and repair</t>
  </si>
  <si>
    <t>0.03819 (0.01727)</t>
  </si>
  <si>
    <t>0.04458 (0.02021)</t>
  </si>
  <si>
    <t>0.01197 (0.00029)</t>
  </si>
  <si>
    <t>0.04760 (0.00118)</t>
  </si>
  <si>
    <t>0.00221 (0.00009)</t>
  </si>
  <si>
    <t>ywpJ</t>
  </si>
  <si>
    <t>phosphatase of unidentified specificity(possibly promiscuous)</t>
  </si>
  <si>
    <t>0.18562 (0.04867)</t>
  </si>
  <si>
    <t>0.10830 (0.05408)</t>
  </si>
  <si>
    <t>0.01425 (0.00045)</t>
  </si>
  <si>
    <t>0.04453 (0.00172)</t>
  </si>
  <si>
    <t>0.00590 (0.00022)</t>
  </si>
  <si>
    <t>glcR</t>
  </si>
  <si>
    <t>transcriptional regulator (glucose repression ofcatabolic operons)</t>
  </si>
  <si>
    <t>0.06820 (0.04346)</t>
  </si>
  <si>
    <t>0.01166 (0.00052)</t>
  </si>
  <si>
    <t>0.04624 (0.00208)</t>
  </si>
  <si>
    <t>0.00158 (0.00014)</t>
  </si>
  <si>
    <t>ssbB</t>
  </si>
  <si>
    <t>single-strand DNA-binding protein</t>
  </si>
  <si>
    <t>0.08921 (0.05456)</t>
  </si>
  <si>
    <t>0.05415 (0.04051)</t>
  </si>
  <si>
    <t>0.03092 (0.00204)</t>
  </si>
  <si>
    <t>0.11837 (0.00891)</t>
  </si>
  <si>
    <t>0.00721 (0.00051)</t>
  </si>
  <si>
    <t>ywpG</t>
  </si>
  <si>
    <t>interaction partner of DynA</t>
  </si>
  <si>
    <t>0.07422 (0.10067)</t>
  </si>
  <si>
    <t>0.22711 (0.00000)</t>
  </si>
  <si>
    <t>0.00857 (0.00097)</t>
  </si>
  <si>
    <t>0.03225 (0.00577)</t>
  </si>
  <si>
    <t>0.00342 (0.00047)</t>
  </si>
  <si>
    <t>ywpF</t>
  </si>
  <si>
    <t>0.08962 (0.16312)</t>
  </si>
  <si>
    <t>0.14422 (0.13601)</t>
  </si>
  <si>
    <t>0.02475 (0.00176)</t>
  </si>
  <si>
    <t>0.08619 (0.00621)</t>
  </si>
  <si>
    <t>0.00990 (0.00090)</t>
  </si>
  <si>
    <t>ywpE</t>
  </si>
  <si>
    <t>putative sortase</t>
  </si>
  <si>
    <t>0.08566 (0.05775)</t>
  </si>
  <si>
    <t>0.06926 (0.06020)</t>
  </si>
  <si>
    <t>0.02097 (0.00099)</t>
  </si>
  <si>
    <t>0.07818 (0.00377)</t>
  </si>
  <si>
    <t>0.00620 (0.00051)</t>
  </si>
  <si>
    <t>ywpD</t>
  </si>
  <si>
    <t>putative two-component sensor histidine kinase</t>
  </si>
  <si>
    <t>0.16218 (0.05448)</t>
  </si>
  <si>
    <t>0.23789 (0.13902)</t>
  </si>
  <si>
    <t>0.02130 (0.00095)</t>
  </si>
  <si>
    <t>0.05533 (0.00305)</t>
  </si>
  <si>
    <t>0.01285 (0.00075)</t>
  </si>
  <si>
    <t>fabZ</t>
  </si>
  <si>
    <t>beta-hydroxyacyl-[acyl carrier protein]dehydratase</t>
  </si>
  <si>
    <t>0.02321 (0.00376)</t>
  </si>
  <si>
    <t>0.11566 (0.01941)</t>
  </si>
  <si>
    <t>rapD</t>
  </si>
  <si>
    <t>0.14368 (0.06853)</t>
  </si>
  <si>
    <t>0.08983 (0.05941)</t>
  </si>
  <si>
    <t>0.00863 (0.00032)</t>
  </si>
  <si>
    <t>0.03064 (0.00129)</t>
  </si>
  <si>
    <t>flhP</t>
  </si>
  <si>
    <t>flagellar hook-basal body accessory protein</t>
  </si>
  <si>
    <t>0.16066 (0.10004)</t>
  </si>
  <si>
    <t>0.04595 (0.05161)</t>
  </si>
  <si>
    <t>0.02296 (0.00176)</t>
  </si>
  <si>
    <t>0.09131 (0.00757)</t>
  </si>
  <si>
    <t>0.00527 (0.00039)</t>
  </si>
  <si>
    <t>flhO</t>
  </si>
  <si>
    <t>flagellar basal-body accessory rod protein</t>
  </si>
  <si>
    <t>0.10858 (0.07329)</t>
  </si>
  <si>
    <t>0.03764 (0.04581)</t>
  </si>
  <si>
    <t>0.01361 (0.00086)</t>
  </si>
  <si>
    <t>0.04808 (0.00350)</t>
  </si>
  <si>
    <t>0.00379 (0.00024)</t>
  </si>
  <si>
    <t>mbl</t>
  </si>
  <si>
    <t>MreB-like morphogen</t>
  </si>
  <si>
    <t>0.32526 (0.09016)</t>
  </si>
  <si>
    <t>0.02304 (0.04090)</t>
  </si>
  <si>
    <t>0.01128 (0.03317)</t>
  </si>
  <si>
    <t>0.01627 (0.00101)</t>
  </si>
  <si>
    <t>0.07055 (0.00450)</t>
  </si>
  <si>
    <t>0.00084 (0.00009)</t>
  </si>
  <si>
    <t>spoIIID</t>
  </si>
  <si>
    <t>transcriptional regulator (stage IIIsporulation)</t>
  </si>
  <si>
    <t>0.01087 (0.00191)</t>
  </si>
  <si>
    <t>0.05106 (0.00923)</t>
  </si>
  <si>
    <t>usd</t>
  </si>
  <si>
    <t>putative factor required for translation ofspoIIID</t>
  </si>
  <si>
    <t>0.95654 (0.04199)</t>
  </si>
  <si>
    <t>0.51212 (0.73918)</t>
  </si>
  <si>
    <t>0.01389 (0.00189)</t>
  </si>
  <si>
    <t>0.02300 (0.00939)</t>
  </si>
  <si>
    <t>0.01181 (0.00280)</t>
  </si>
  <si>
    <t>ywoH</t>
  </si>
  <si>
    <t>0.04703 (0.06937)</t>
  </si>
  <si>
    <t>0.02398 (0.05960)</t>
  </si>
  <si>
    <t>0.01711 (0.00110)</t>
  </si>
  <si>
    <t>0.07533 (0.00497)</t>
  </si>
  <si>
    <t>0.00270 (0.00030)</t>
  </si>
  <si>
    <t>ywoG</t>
  </si>
  <si>
    <t>0.03394 (0.03251)</t>
  </si>
  <si>
    <t>0.01646 (0.04841)</t>
  </si>
  <si>
    <t>0.00864 (0.00031)</t>
  </si>
  <si>
    <t>0.03322 (0.00120)</t>
  </si>
  <si>
    <t>ywoF</t>
  </si>
  <si>
    <t>putative pectin lyase</t>
  </si>
  <si>
    <t>0.23296 (0.11730)</t>
  </si>
  <si>
    <t>0.16071 (0.18584)</t>
  </si>
  <si>
    <t>0.02137 (0.00121)</t>
  </si>
  <si>
    <t>0.05901 (0.00351)</t>
  </si>
  <si>
    <t>0.01104 (0.00063)</t>
  </si>
  <si>
    <t>pucI</t>
  </si>
  <si>
    <t>allantoin permease</t>
  </si>
  <si>
    <t>0.06618 (0.02925)</t>
  </si>
  <si>
    <t>0.04086 (0.03701)</t>
  </si>
  <si>
    <t>0.01485 (0.00051)</t>
  </si>
  <si>
    <t>0.05408 (0.00216)</t>
  </si>
  <si>
    <t>0.00297 (0.00013)</t>
  </si>
  <si>
    <t>ywoD</t>
  </si>
  <si>
    <t>0.11675 (0.04435)</t>
  </si>
  <si>
    <t>0.05739 (0.02431)</t>
  </si>
  <si>
    <t>0.01407 (0.00038)</t>
  </si>
  <si>
    <t>0.04587 (0.00146)</t>
  </si>
  <si>
    <t>0.00409 (0.00013)</t>
  </si>
  <si>
    <t>ywoC</t>
  </si>
  <si>
    <t>putative enzyme of isochorismatase family</t>
  </si>
  <si>
    <t>0.18565 (0.05333)</t>
  </si>
  <si>
    <t>0.10477 (0.05620)</t>
  </si>
  <si>
    <t>0.01256 (0.00049)</t>
  </si>
  <si>
    <t>0.03785 (0.00164)</t>
  </si>
  <si>
    <t>0.00579 (0.00030)</t>
  </si>
  <si>
    <t>ywoB</t>
  </si>
  <si>
    <t>0.54259 (0.25680)</t>
  </si>
  <si>
    <t>0.26357 (0.16131)</t>
  </si>
  <si>
    <t>0.01654 (0.00070)</t>
  </si>
  <si>
    <t>0.03097 (0.00173)</t>
  </si>
  <si>
    <t>amtB</t>
  </si>
  <si>
    <t>ammonium transporter</t>
  </si>
  <si>
    <t>0.08322 (0.05117)</t>
  </si>
  <si>
    <t>0.01144 (0.03423)</t>
  </si>
  <si>
    <t>0.00945 (0.00038)</t>
  </si>
  <si>
    <t>0.03518 (0.00152)</t>
  </si>
  <si>
    <t>glnK</t>
  </si>
  <si>
    <t>nitrogen-regulated PII-like regulator protein</t>
  </si>
  <si>
    <t>0.01957 (0.05657)</t>
  </si>
  <si>
    <t>0.02609 (0.00279)</t>
  </si>
  <si>
    <t>0.12427 (0.01380)</t>
  </si>
  <si>
    <t>0.00076 (0.00021)</t>
  </si>
  <si>
    <t>bcrC</t>
  </si>
  <si>
    <t>undecaprenyl pyrophosphate phosphatase(bacitracin resistance)</t>
  </si>
  <si>
    <t>0.13493 (0.11117)</t>
  </si>
  <si>
    <t>0.26019 (0.11309)</t>
  </si>
  <si>
    <t>0.00912 (0.00042)</t>
  </si>
  <si>
    <t>0.02424 (0.00133)</t>
  </si>
  <si>
    <t>0.00436 (0.00031)</t>
  </si>
  <si>
    <t>ywnJ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</si>
  <si>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</si>
  <si>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0.16045 (0.09206)</t>
  </si>
  <si>
    <t>0.02685 (0.04945)</t>
  </si>
  <si>
    <t>0.03080 (0.00225)</t>
  </si>
  <si>
    <t>0.10526 (0.00799)</t>
  </si>
  <si>
    <t>0.01121 (0.00118)</t>
  </si>
  <si>
    <t>ywnH</t>
  </si>
  <si>
    <t>putative aminoacid analogs (phosphinothricin)N-acetyltransferase</t>
  </si>
  <si>
    <t>0.03106 (0.05178)</t>
  </si>
  <si>
    <t>0.15012 (0.00887)</t>
  </si>
  <si>
    <t>0.01974 (0.00107)</t>
  </si>
  <si>
    <t>0.06809 (0.00434)</t>
  </si>
  <si>
    <t>0.00621 (0.00038)</t>
  </si>
  <si>
    <t>ywnG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</si>
  <si>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</si>
  <si>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0.29226 (0.33142)</t>
  </si>
  <si>
    <t>0.27679 (0.18857)</t>
  </si>
  <si>
    <t>0.02218 (0.00181)</t>
  </si>
  <si>
    <t>0.05630 (0.00619)</t>
  </si>
  <si>
    <t>0.01237 (0.00073)</t>
  </si>
  <si>
    <t>BSU_36575</t>
  </si>
  <si>
    <t>hypothetical proteingene            complement(3761987..3762421)CDS             complement(3761987..3762421)organisms</t>
  </si>
  <si>
    <t>ref , GCA_000186745.1_ASM18674v1_genomic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GCA_001808235.1_ASM180823v1_genomic , GCA_002055965.1_ASM205596v1_genomic , GCA_002142595.1_ASM214259v1_genomic</t>
  </si>
  <si>
    <t>0.03111 (0.00396)</t>
  </si>
  <si>
    <t>0.04135 (0.00542)</t>
  </si>
  <si>
    <t>clsA</t>
  </si>
  <si>
    <t>cardiolipin synthase (major)</t>
  </si>
  <si>
    <t>0.02736 (0.03715)</t>
  </si>
  <si>
    <t>0.01415 (0.04140)</t>
  </si>
  <si>
    <t>0.00800 (0.00036)</t>
  </si>
  <si>
    <t>0.03331 (0.00146)</t>
  </si>
  <si>
    <t>0.00070 (0.00008)</t>
  </si>
  <si>
    <t>mta</t>
  </si>
  <si>
    <t>transcriptional regulator regulating effluxtransporters synthesis (Fur-independent bacillibactinexport)</t>
  </si>
  <si>
    <t>0.28560 (0.14464)</t>
  </si>
  <si>
    <t>0.08180 (0.07605)</t>
  </si>
  <si>
    <t>0.01283 (0.00052)</t>
  </si>
  <si>
    <t>0.03670 (0.00173)</t>
  </si>
  <si>
    <t>0.00661 (0.00043)</t>
  </si>
  <si>
    <t>ywnC</t>
  </si>
  <si>
    <t>0.05093 (0.12665)</t>
  </si>
  <si>
    <t>0.03365 (0.01943)</t>
  </si>
  <si>
    <t>0.03259 (0.00430)</t>
  </si>
  <si>
    <t>0.14392 (0.02039)</t>
  </si>
  <si>
    <t>0.00620 (0.00101)</t>
  </si>
  <si>
    <t>ywnB</t>
  </si>
  <si>
    <t>0.12278 (0.07115)</t>
  </si>
  <si>
    <t>0.18241 (0.06305)</t>
  </si>
  <si>
    <t>0.01560 (0.00049)</t>
  </si>
  <si>
    <t>0.04389 (0.00182)</t>
  </si>
  <si>
    <t>0.00777 (0.00033)</t>
  </si>
  <si>
    <t>ywnA</t>
  </si>
  <si>
    <t>0.09732 (0.10824)</t>
  </si>
  <si>
    <t>0.01231 (0.03845)</t>
  </si>
  <si>
    <t>0.02689 (0.00209)</t>
  </si>
  <si>
    <t>0.11690 (0.00971)</t>
  </si>
  <si>
    <t>0.00457 (0.00045)</t>
  </si>
  <si>
    <t>ureC</t>
  </si>
  <si>
    <t>urease (alpha subunit)</t>
  </si>
  <si>
    <t>0.03120 (0.02036)</t>
  </si>
  <si>
    <t>0.02397 (0.02172)</t>
  </si>
  <si>
    <t>0.01415 (0.00057)</t>
  </si>
  <si>
    <t>0.05770 (0.00258)</t>
  </si>
  <si>
    <t>0.00158 (0.00010)</t>
  </si>
  <si>
    <t>ureB</t>
  </si>
  <si>
    <t>urease (beta subunit)</t>
  </si>
  <si>
    <t>0.12613 (0.09218)</t>
  </si>
  <si>
    <t>0.12316 (0.11062)</t>
  </si>
  <si>
    <t>0.01205 (0.00063)</t>
  </si>
  <si>
    <t>0.03607 (0.00247)</t>
  </si>
  <si>
    <t>0.00501 (0.00029)</t>
  </si>
  <si>
    <t>ureA</t>
  </si>
  <si>
    <t>urease (gamma subunit)</t>
  </si>
  <si>
    <t>0.06812 (0.04604)</t>
  </si>
  <si>
    <t>0.01491 (0.03804)</t>
  </si>
  <si>
    <t>0.02745 (0.00166)</t>
  </si>
  <si>
    <t>0.11724 (0.00805)</t>
  </si>
  <si>
    <t>0.00342 (0.00027)</t>
  </si>
  <si>
    <t>csbD</t>
  </si>
  <si>
    <t>stress response protein</t>
  </si>
  <si>
    <t>0.62718 (0.10783)</t>
  </si>
  <si>
    <t>0.05180 (0.09846)</t>
  </si>
  <si>
    <t>0.41441 (0.59815)</t>
  </si>
  <si>
    <t>0.01184 (0.00079)</t>
  </si>
  <si>
    <t>0.03802 (0.00443)</t>
  </si>
  <si>
    <t>0.00666 (0.00072)</t>
  </si>
  <si>
    <t>ywmF</t>
  </si>
  <si>
    <t>0.07705 (0.08024)</t>
  </si>
  <si>
    <t>0.10354 (0.17256)</t>
  </si>
  <si>
    <t>0.00820 (0.00040)</t>
  </si>
  <si>
    <t>0.02768 (0.00180)</t>
  </si>
  <si>
    <t>0.00234 (0.00025)</t>
  </si>
  <si>
    <t>rapB</t>
  </si>
  <si>
    <t>0.08378 (0.15414)</t>
  </si>
  <si>
    <t>0.07068 (0.03761)</t>
  </si>
  <si>
    <t>0.01484 (0.00128)</t>
  </si>
  <si>
    <t>0.05699 (0.00541)</t>
  </si>
  <si>
    <t>0.00435 (0.00038)</t>
  </si>
  <si>
    <t>moaA</t>
  </si>
  <si>
    <t>GTP 3',8-cyclase</t>
  </si>
  <si>
    <t>0.02986 (0.05707)</t>
  </si>
  <si>
    <t>0.04559 (0.05440)</t>
  </si>
  <si>
    <t>0.01438 (0.00177)</t>
  </si>
  <si>
    <t>0.06077 (0.00819)</t>
  </si>
  <si>
    <t>0.00205 (0.00023)</t>
  </si>
  <si>
    <t>fdhD</t>
  </si>
  <si>
    <t>protein sulfur transferase involved inmolybdenum cofactor synthesis</t>
  </si>
  <si>
    <t>0.18994 (0.25478)</t>
  </si>
  <si>
    <t>0.04686 (0.04313)</t>
  </si>
  <si>
    <t>0.02154 (0.00206)</t>
  </si>
  <si>
    <t>0.08457 (0.00909)</t>
  </si>
  <si>
    <t>0.00551 (0.00048)</t>
  </si>
  <si>
    <t>ywmE</t>
  </si>
  <si>
    <t>0.23685 (0.27447)</t>
  </si>
  <si>
    <t>0.31457 (0.44488)</t>
  </si>
  <si>
    <t>0.01489 (0.00101)</t>
  </si>
  <si>
    <t>0.03724 (0.00333)</t>
  </si>
  <si>
    <t>0.00821 (0.00113)</t>
  </si>
  <si>
    <t>ywmD</t>
  </si>
  <si>
    <t>0.10982 (0.07770)</t>
  </si>
  <si>
    <t>0.02246 (0.05938)</t>
  </si>
  <si>
    <t>0.00935 (0.00052)</t>
  </si>
  <si>
    <t>0.03734 (0.00211)</t>
  </si>
  <si>
    <t>0.00144 (0.00018)</t>
  </si>
  <si>
    <t>BSU_36739</t>
  </si>
  <si>
    <t>hypothetical proteinLAgene            complement(3775653..3776336)CDS             complement(3775653..3776336)computational evidences; Product type f: factor</t>
  </si>
  <si>
    <t>0.01353 (0.00134)</t>
  </si>
  <si>
    <t>0.01710 (0.00172)</t>
  </si>
  <si>
    <t>spoIID</t>
  </si>
  <si>
    <t>lytic transglycosylase; autolysin required forcomplete dissolution of the asymmetric septum (stage IIsporulation)</t>
  </si>
  <si>
    <t>0.16197 (0.05524)</t>
  </si>
  <si>
    <t>0.10742 (0.06888)</t>
  </si>
  <si>
    <t>0.01091 (0.00041)</t>
  </si>
  <si>
    <t>0.03274 (0.00128)</t>
  </si>
  <si>
    <t>0.00443 (0.00023)</t>
  </si>
  <si>
    <t>murAA</t>
  </si>
  <si>
    <t>UDP-N-acetylglucosamine1-carboxyvinyltransferase</t>
  </si>
  <si>
    <t>0.05180 (0.06920)</t>
  </si>
  <si>
    <t>0.01839 (0.02281)</t>
  </si>
  <si>
    <t>0.01656 (0.00115)</t>
  </si>
  <si>
    <t>0.06913 (0.00505)</t>
  </si>
  <si>
    <t>0.00170 (0.00011)</t>
  </si>
  <si>
    <t>ywmB</t>
  </si>
  <si>
    <t>0.52860 (0.19042)</t>
  </si>
  <si>
    <t>0.23385 (0.21148)</t>
  </si>
  <si>
    <t>0.02454 (0.00145)</t>
  </si>
  <si>
    <t>0.06577 (0.00498)</t>
  </si>
  <si>
    <t>0.01496 (0.00074)</t>
  </si>
  <si>
    <t>ywzB</t>
  </si>
  <si>
    <t>0.25308 (0.19403)</t>
  </si>
  <si>
    <t>0.03357 (0.06699)</t>
  </si>
  <si>
    <t>0.02329 (0.00234)</t>
  </si>
  <si>
    <t>0.08429 (0.00873)</t>
  </si>
  <si>
    <t>0.00615 (0.00090)</t>
  </si>
  <si>
    <t>ywmA</t>
  </si>
  <si>
    <t>1.36502 (1.71118)</t>
  </si>
  <si>
    <t>0.03018 (0.06299)</t>
  </si>
  <si>
    <t>0.01171 (0.00053)</t>
  </si>
  <si>
    <t>0.03651 (0.00220)</t>
  </si>
  <si>
    <t>0.00526 (0.00027)</t>
  </si>
  <si>
    <t>atpC</t>
  </si>
  <si>
    <t>ATP synthase (subunit epsilon, F1 subunit)</t>
  </si>
  <si>
    <t>0.21265 (0.20605)</t>
  </si>
  <si>
    <t>0.08611 (0.11665)</t>
  </si>
  <si>
    <t>0.01649 (0.00136)</t>
  </si>
  <si>
    <t>0.05326 (0.00488)</t>
  </si>
  <si>
    <t>0.00564 (0.00043)</t>
  </si>
  <si>
    <t>atpD</t>
  </si>
  <si>
    <t>ATP synthase (subunit beta, component F1)</t>
  </si>
  <si>
    <t>0.01394 (0.02485)</t>
  </si>
  <si>
    <t>0.01772 (0.04371)</t>
  </si>
  <si>
    <t>0.01819 (0.00106)</t>
  </si>
  <si>
    <t>0.07656 (0.00453)</t>
  </si>
  <si>
    <t>0.00160 (0.00013)</t>
  </si>
  <si>
    <t>atpG</t>
  </si>
  <si>
    <t>ATP synthase (subunit gamma, component F1)</t>
  </si>
  <si>
    <t>0.04731 (0.04521)</t>
  </si>
  <si>
    <t>0.01339 (0.04150)</t>
  </si>
  <si>
    <t>0.01915 (0.00116)</t>
  </si>
  <si>
    <t>0.08233 (0.00508)</t>
  </si>
  <si>
    <t>0.00196 (0.00016)</t>
  </si>
  <si>
    <t>atpA</t>
  </si>
  <si>
    <t>ATP synthase (subunit alpha, component F1)</t>
  </si>
  <si>
    <t>0.06701 (0.02268)</t>
  </si>
  <si>
    <t>0.02526 (0.04139)</t>
  </si>
  <si>
    <t>0.01627 (0.00077)</t>
  </si>
  <si>
    <t>0.06363 (0.00321)</t>
  </si>
  <si>
    <t>0.00185 (0.00010)</t>
  </si>
  <si>
    <t>atpH</t>
  </si>
  <si>
    <t>ATP synthase (subunit delta, component F1)</t>
  </si>
  <si>
    <t>0.13057 (0.10192)</t>
  </si>
  <si>
    <t>0.13650 (0.08583)</t>
  </si>
  <si>
    <t>0.02307 (0.00154)</t>
  </si>
  <si>
    <t>0.07461 (0.00531)</t>
  </si>
  <si>
    <t>0.00877 (0.00061)</t>
  </si>
  <si>
    <t>atpF</t>
  </si>
  <si>
    <t>ATP synthase (subunit b, component F0)</t>
  </si>
  <si>
    <t>0.56815 (0.82006)</t>
  </si>
  <si>
    <t>0.00614 (0.00043)</t>
  </si>
  <si>
    <t>0.00253 (0.00032)</t>
  </si>
  <si>
    <t>atpE</t>
  </si>
  <si>
    <t>ATP synthase (subunit c, component F0)</t>
  </si>
  <si>
    <t>0.00794 (0.00145)</t>
  </si>
  <si>
    <t>0.03181 (0.00594)</t>
  </si>
  <si>
    <t>atpB</t>
  </si>
  <si>
    <t>ATP synthase (subunit a, component F0)</t>
  </si>
  <si>
    <t>0.05301 (0.06889)</t>
  </si>
  <si>
    <t>0.04764 (0.05054)</t>
  </si>
  <si>
    <t>0.02135 (0.00203)</t>
  </si>
  <si>
    <t>0.08307 (0.00816)</t>
  </si>
  <si>
    <t>0.00371 (0.00038)</t>
  </si>
  <si>
    <t>atpI</t>
  </si>
  <si>
    <t>ATP synthase (subunit i)</t>
  </si>
  <si>
    <t>0.17362 (0.12491)</t>
  </si>
  <si>
    <t>0.06723 (0.11235)</t>
  </si>
  <si>
    <t>0.01896 (0.00166)</t>
  </si>
  <si>
    <t>0.06698 (0.00654)</t>
  </si>
  <si>
    <t>0.00544 (0.00049)</t>
  </si>
  <si>
    <t>upp</t>
  </si>
  <si>
    <t>uracil phosphoribosyltransferase</t>
  </si>
  <si>
    <t>0.02380 (0.05806)</t>
  </si>
  <si>
    <t>0.00840 (0.00060)</t>
  </si>
  <si>
    <t>0.03476 (0.00261)</t>
  </si>
  <si>
    <t>0.00047 (0.00013)</t>
  </si>
  <si>
    <t>glyA</t>
  </si>
  <si>
    <t>serine hydroxymethyltransferase</t>
  </si>
  <si>
    <t>0.04379 (0.03036)</t>
  </si>
  <si>
    <t>0.01801 (0.02365)</t>
  </si>
  <si>
    <t>0.02019 (0.00109)</t>
  </si>
  <si>
    <t>0.08813 (0.00503)</t>
  </si>
  <si>
    <t>ywlG</t>
  </si>
  <si>
    <t>0.24330 (0.14914)</t>
  </si>
  <si>
    <t>0.00982 (0.00057)</t>
  </si>
  <si>
    <t>0.03293 (0.00206)</t>
  </si>
  <si>
    <t>0.00285 (0.00035)</t>
  </si>
  <si>
    <t>rpiB</t>
  </si>
  <si>
    <t>D-ribose 5-phosphate epimerase (promiscuous)</t>
  </si>
  <si>
    <t>0.04049 (0.07532)</t>
  </si>
  <si>
    <t>0.09598 (0.15997)</t>
  </si>
  <si>
    <t>0.01390 (0.00198)</t>
  </si>
  <si>
    <t>0.05819 (0.00942)</t>
  </si>
  <si>
    <t>0.00272 (0.00031)</t>
  </si>
  <si>
    <t>prpB</t>
  </si>
  <si>
    <t>protein-arginine(tyrosine moonlighting)phosphatase (oxidative stress)</t>
  </si>
  <si>
    <t>0.39689 (0.38171)</t>
  </si>
  <si>
    <t>0.14804 (0.17838)</t>
  </si>
  <si>
    <t>0.02396 (0.00170)</t>
  </si>
  <si>
    <t>0.06654 (0.00426)</t>
  </si>
  <si>
    <t>0.01255 (0.00120)</t>
  </si>
  <si>
    <t>mntP</t>
  </si>
  <si>
    <t>manganese efflux pump</t>
  </si>
  <si>
    <t>0.08049 (0.07068)</t>
  </si>
  <si>
    <t>0.01069 (0.00111)</t>
  </si>
  <si>
    <t>0.03720 (0.00337)</t>
  </si>
  <si>
    <t>0.00240 (0.00060)</t>
  </si>
  <si>
    <t>tsaC</t>
  </si>
  <si>
    <t>tRNA(NNU) t(6)A37 threonylcarbamoyladenosinemodification; threonine-dependent ADP-forming ATPase</t>
  </si>
  <si>
    <t>0.10247 (0.03452)</t>
  </si>
  <si>
    <t>0.06306 (0.04411)</t>
  </si>
  <si>
    <t>0.01855 (0.00068)</t>
  </si>
  <si>
    <t>0.06403 (0.00247)</t>
  </si>
  <si>
    <t>0.00467 (0.00022)</t>
  </si>
  <si>
    <t>ywlB</t>
  </si>
  <si>
    <t>0.09216 (0.07569)</t>
  </si>
  <si>
    <t>0.06978 (0.13263)</t>
  </si>
  <si>
    <t>0.00814 (0.00050)</t>
  </si>
  <si>
    <t>0.02962 (0.00211)</t>
  </si>
  <si>
    <t>spoIIR</t>
  </si>
  <si>
    <t>regulator signal of pro-sigma(E) spoIIGAendopeptidase (stage II sporulation)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</si>
  <si>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</si>
  <si>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0.04494 (0.02402)</t>
  </si>
  <si>
    <t>0.03011 (0.05954)</t>
  </si>
  <si>
    <t>0.01053 (0.00046)</t>
  </si>
  <si>
    <t>0.04296 (0.00234)</t>
  </si>
  <si>
    <t>0.00204 (0.00021)</t>
  </si>
  <si>
    <t>ywlA</t>
  </si>
  <si>
    <t>0.52975 (1.12459)</t>
  </si>
  <si>
    <t>0.06437 (0.12677)</t>
  </si>
  <si>
    <t>0.00997 (0.00057)</t>
  </si>
  <si>
    <t>0.02918 (0.00222)</t>
  </si>
  <si>
    <t>0.00401 (0.00036)</t>
  </si>
  <si>
    <t>ywkF</t>
  </si>
  <si>
    <t>0.59401 (0.24002)</t>
  </si>
  <si>
    <t>0.11936 (0.00000)</t>
  </si>
  <si>
    <t>0.02190 (0.00283)</t>
  </si>
  <si>
    <t>0.05559 (0.00911)</t>
  </si>
  <si>
    <t>0.01199 (0.00106)</t>
  </si>
  <si>
    <t>prmC</t>
  </si>
  <si>
    <t>glutamine methylase of release factor 1 (andperhaps others) at a GGQ site</t>
  </si>
  <si>
    <t>0.15200 (0.13265)</t>
  </si>
  <si>
    <t>0.06527 (0.03846)</t>
  </si>
  <si>
    <t>0.01156 (0.00053)</t>
  </si>
  <si>
    <t>0.03884 (0.00146)</t>
  </si>
  <si>
    <t>0.00385 (0.00039)</t>
  </si>
  <si>
    <t>prfA</t>
  </si>
  <si>
    <t>peptide chain release factor 1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</si>
  <si>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</si>
  <si>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0.00599 (0.02033)</t>
  </si>
  <si>
    <t>0.01150 (0.01147)</t>
  </si>
  <si>
    <t>0.02375 (0.00087)</t>
  </si>
  <si>
    <t>0.11012 (0.00420)</t>
  </si>
  <si>
    <t>0.00079 (0.00010)</t>
  </si>
  <si>
    <t>ywkD</t>
  </si>
  <si>
    <t>0.21962 (0.15221)</t>
  </si>
  <si>
    <t>0.08777 (0.04662)</t>
  </si>
  <si>
    <t>0.01505 (0.00084)</t>
  </si>
  <si>
    <t>0.04351 (0.00267)</t>
  </si>
  <si>
    <t>0.00669 (0.00062)</t>
  </si>
  <si>
    <t>racA</t>
  </si>
  <si>
    <t>chromosome-pole-anchoring protein RacA</t>
  </si>
  <si>
    <t>0.08607 (0.04457)</t>
  </si>
  <si>
    <t>1.44668 (2.72149)</t>
  </si>
  <si>
    <t>0.01126 (0.00066)</t>
  </si>
  <si>
    <t>0.02632 (0.00145)</t>
  </si>
  <si>
    <t>0.00711 (0.00072)</t>
  </si>
  <si>
    <t>ywkB</t>
  </si>
  <si>
    <t>putative metabolite transporter</t>
  </si>
  <si>
    <t>0.01803 (0.05913)</t>
  </si>
  <si>
    <t>0.05355 (0.09754)</t>
  </si>
  <si>
    <t>0.01611 (0.00143)</t>
  </si>
  <si>
    <t>0.06218 (0.00546)</t>
  </si>
  <si>
    <t>0.00256 (0.00032)</t>
  </si>
  <si>
    <t>maeA</t>
  </si>
  <si>
    <t>0.03736 (0.01980)</t>
  </si>
  <si>
    <t>0.04208 (0.04747)</t>
  </si>
  <si>
    <t>0.02047 (0.00116)</t>
  </si>
  <si>
    <t>0.08458 (0.00501)</t>
  </si>
  <si>
    <t>tdk</t>
  </si>
  <si>
    <t>thymidine kinase</t>
  </si>
  <si>
    <t>0.08887 (0.06639)</t>
  </si>
  <si>
    <t>0.39526 (0.45793)</t>
  </si>
  <si>
    <t>0.00709 (0.00032)</t>
  </si>
  <si>
    <t>0.02140 (0.00140)</t>
  </si>
  <si>
    <t>rho</t>
  </si>
  <si>
    <t>transcriptional terminator Rho</t>
  </si>
  <si>
    <t>0.02336 (0.00131)</t>
  </si>
  <si>
    <t>0.11360 (0.00668)</t>
  </si>
  <si>
    <t>glpX</t>
  </si>
  <si>
    <t>fructose 1,6-bisphosphatase class II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</si>
  <si>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</si>
  <si>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0.29412 (0.08560)</t>
  </si>
  <si>
    <t>0.00512 (0.02032)</t>
  </si>
  <si>
    <t>0.01107 (0.01706)</t>
  </si>
  <si>
    <t>0.02065 (0.00137)</t>
  </si>
  <si>
    <t>0.09376 (0.00671)</t>
  </si>
  <si>
    <t>murAB</t>
  </si>
  <si>
    <t>0.01256 (0.01567)</t>
  </si>
  <si>
    <t>0.00702 (0.01414)</t>
  </si>
  <si>
    <t>0.02138 (0.00135)</t>
  </si>
  <si>
    <t>0.09763 (0.00642)</t>
  </si>
  <si>
    <t>0.00098 (0.00009)</t>
  </si>
  <si>
    <t>tal</t>
  </si>
  <si>
    <t>transaldolase</t>
  </si>
  <si>
    <t>0.04469 (0.04387)</t>
  </si>
  <si>
    <t>0.02498 (0.00144)</t>
  </si>
  <si>
    <t>0.10241 (0.00575)</t>
  </si>
  <si>
    <t>0.00410 (0.00037)</t>
  </si>
  <si>
    <t>fbaA</t>
  </si>
  <si>
    <t>fructose-1,6-bisphosphate aldolase</t>
  </si>
  <si>
    <t>0.05166 (0.08424)</t>
  </si>
  <si>
    <t>0.05469 (0.08374)</t>
  </si>
  <si>
    <t>0.00840 (0.00040)</t>
  </si>
  <si>
    <t>0.03091 (0.00122)</t>
  </si>
  <si>
    <t>0.00163 (0.00018)</t>
  </si>
  <si>
    <t>spo0F</t>
  </si>
  <si>
    <t>two-component response regulator of sporulationinitiation</t>
  </si>
  <si>
    <t>0.02571 (0.00241)</t>
  </si>
  <si>
    <t>0.13731 (0.01348)</t>
  </si>
  <si>
    <t>ywjG</t>
  </si>
  <si>
    <t>0.17171 (0.11246)</t>
  </si>
  <si>
    <t>0.05664 (0.06029)</t>
  </si>
  <si>
    <t>0.02095 (0.00120)</t>
  </si>
  <si>
    <t>0.07252 (0.00539)</t>
  </si>
  <si>
    <t>0.00690 (0.00032)</t>
  </si>
  <si>
    <t>pyrG</t>
  </si>
  <si>
    <t>CTP synthetase</t>
  </si>
  <si>
    <t>0.01541 (0.03216)</t>
  </si>
  <si>
    <t>0.02447 (0.08375)</t>
  </si>
  <si>
    <t>0.01591 (0.00119)</t>
  </si>
  <si>
    <t>0.06875 (0.00515)</t>
  </si>
  <si>
    <t>0.00156 (0.00021)</t>
  </si>
  <si>
    <t>rpoE</t>
  </si>
  <si>
    <t>RNA polymerase (delta subunit) andtranscriptional repressor</t>
  </si>
  <si>
    <t>ref , GCA_000146565.1_ASM14656v1_genomic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GCA_002163815.1_ASM216381v1_genomic</t>
  </si>
  <si>
    <t>0.17234 (0.04695)</t>
  </si>
  <si>
    <t>0.14641 (0.10948)</t>
  </si>
  <si>
    <t>0.02263 (0.00152)</t>
  </si>
  <si>
    <t>0.07853 (0.00539)</t>
  </si>
  <si>
    <t>0.01088 (0.00079)</t>
  </si>
  <si>
    <t>acdA</t>
  </si>
  <si>
    <t>acyl-CoA dehydrogenase</t>
  </si>
  <si>
    <t>0.06838 (0.02850)</t>
  </si>
  <si>
    <t>0.06527 (0.07151)</t>
  </si>
  <si>
    <t>0.01678 (0.00048)</t>
  </si>
  <si>
    <t>0.05967 (0.00171)</t>
  </si>
  <si>
    <t>0.00429 (0.00021)</t>
  </si>
  <si>
    <t>fadF</t>
  </si>
  <si>
    <t>putative iron-sulphur-binding reductase</t>
  </si>
  <si>
    <t>0.05979 (0.03374)</t>
  </si>
  <si>
    <t>0.05306 (0.02526)</t>
  </si>
  <si>
    <t>0.01474 (0.00062)</t>
  </si>
  <si>
    <t>0.05616 (0.00252)</t>
  </si>
  <si>
    <t>0.00326 (0.00018)</t>
  </si>
  <si>
    <t>clsB</t>
  </si>
  <si>
    <t>minor cardiolipin synthetase (phospholipase Dfamily)</t>
  </si>
  <si>
    <t>0.12408 (0.19631)</t>
  </si>
  <si>
    <t>0.10277 (0.04844)</t>
  </si>
  <si>
    <t>0.01744 (0.00113)</t>
  </si>
  <si>
    <t>0.05806 (0.00341)</t>
  </si>
  <si>
    <t>0.00667 (0.00062)</t>
  </si>
  <si>
    <t>uvsE</t>
  </si>
  <si>
    <t>UV DNA damage repair endonuclease</t>
  </si>
  <si>
    <t>0.23110 (0.05643)</t>
  </si>
  <si>
    <t>0.15393 (0.07120)</t>
  </si>
  <si>
    <t>0.01080 (0.00035)</t>
  </si>
  <si>
    <t>0.03293 (0.00121)</t>
  </si>
  <si>
    <t>0.00469 (0.00022)</t>
  </si>
  <si>
    <t>ywjC</t>
  </si>
  <si>
    <t>0.11534 (0.15473)</t>
  </si>
  <si>
    <t>0.01962 (0.00355)</t>
  </si>
  <si>
    <t>0.08027 (0.01550)</t>
  </si>
  <si>
    <t>0.00585 (0.00113)</t>
  </si>
  <si>
    <t>ywjB</t>
  </si>
  <si>
    <t>ref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</si>
  <si>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0.25853 (0.07128)</t>
  </si>
  <si>
    <t>0.22054 (0.15242)</t>
  </si>
  <si>
    <t>0.01609 (0.00089)</t>
  </si>
  <si>
    <t>0.03773 (0.00216)</t>
  </si>
  <si>
    <t>0.01009 (0.00067)</t>
  </si>
  <si>
    <t>ywjA</t>
  </si>
  <si>
    <t>putative ABC lipid transporter (ATP-bindingprotein)</t>
  </si>
  <si>
    <t>0.07733 (0.03027)</t>
  </si>
  <si>
    <t>0.07527 (0.03314)</t>
  </si>
  <si>
    <t>0.01373 (0.00052)</t>
  </si>
  <si>
    <t>0.05067 (0.00218)</t>
  </si>
  <si>
    <t>0.00311 (0.00013)</t>
  </si>
  <si>
    <t>clsC</t>
  </si>
  <si>
    <t>minor cardiolipin synthetase</t>
  </si>
  <si>
    <t>0.07420 (0.02529)</t>
  </si>
  <si>
    <t>0.07319 (0.04207)</t>
  </si>
  <si>
    <t>0.00957 (0.00028)</t>
  </si>
  <si>
    <t>0.03506 (0.00105)</t>
  </si>
  <si>
    <t>0.00258 (0.00013)</t>
  </si>
  <si>
    <t>narI</t>
  </si>
  <si>
    <t>nitrate reductase (gamma subunit)</t>
  </si>
  <si>
    <t>0.10227 (0.04571)</t>
  </si>
  <si>
    <t>0.03421 (0.05491)</t>
  </si>
  <si>
    <t>0.01848 (0.00062)</t>
  </si>
  <si>
    <t>0.06596 (0.00233)</t>
  </si>
  <si>
    <t>0.00412 (0.00022)</t>
  </si>
  <si>
    <t>narJ</t>
  </si>
  <si>
    <t>nitrate reductase molybdenum cofactor assemblychaperone NarJ</t>
  </si>
  <si>
    <t>0.16958 (0.15626)</t>
  </si>
  <si>
    <t>0.31020 (0.06936)</t>
  </si>
  <si>
    <t>0.01449 (0.00103)</t>
  </si>
  <si>
    <t>0.03469 (0.00218)</t>
  </si>
  <si>
    <t>0.00857 (0.00091)</t>
  </si>
  <si>
    <t>narH</t>
  </si>
  <si>
    <t>nitrate reductase (beta subunit)</t>
  </si>
  <si>
    <t>0.05668 (0.03283)</t>
  </si>
  <si>
    <t>0.01460 (0.02015)</t>
  </si>
  <si>
    <t>0.01417 (0.00045)</t>
  </si>
  <si>
    <t>0.05934 (0.00189)</t>
  </si>
  <si>
    <t>0.00221 (0.00016)</t>
  </si>
  <si>
    <t>narG</t>
  </si>
  <si>
    <t>nitrate reductase (alpha subunit)</t>
  </si>
  <si>
    <t>0.04543 (0.02463)</t>
  </si>
  <si>
    <t>0.03468 (0.00937)</t>
  </si>
  <si>
    <t>0.01808 (0.00046)</t>
  </si>
  <si>
    <t>0.07273 (0.00190)</t>
  </si>
  <si>
    <t>0.00314 (0.00012)</t>
  </si>
  <si>
    <t>arfM</t>
  </si>
  <si>
    <t>0.08667 (0.07558)</t>
  </si>
  <si>
    <t>0.07236 (0.06420)</t>
  </si>
  <si>
    <t>0.01049 (0.00078)</t>
  </si>
  <si>
    <t>0.03647 (0.00304)</t>
  </si>
  <si>
    <t>0.00319 (0.00037)</t>
  </si>
  <si>
    <t>ywiC</t>
  </si>
  <si>
    <t>0.18906 (0.09205)</t>
  </si>
  <si>
    <t>0.13057 (0.04592)</t>
  </si>
  <si>
    <t>0.01465 (0.00063)</t>
  </si>
  <si>
    <t>0.04969 (0.00228)</t>
  </si>
  <si>
    <t>0.00487 (0.00028)</t>
  </si>
  <si>
    <t>fnr</t>
  </si>
  <si>
    <t>transcriptional regulator of anaerobic</t>
  </si>
  <si>
    <t>0.07336 (0.05980)</t>
  </si>
  <si>
    <t>0.02547 (0.06416)</t>
  </si>
  <si>
    <t>0.01055 (0.00042)</t>
  </si>
  <si>
    <t>0.04174 (0.00183)</t>
  </si>
  <si>
    <t>0.00213 (0.00017)</t>
  </si>
  <si>
    <t>narK</t>
  </si>
  <si>
    <t>nitrite extrusion permease</t>
  </si>
  <si>
    <t>0.02899 (0.01370)</t>
  </si>
  <si>
    <t>0.03504 (0.02983)</t>
  </si>
  <si>
    <t>0.01412 (0.00041)</t>
  </si>
  <si>
    <t>0.05335 (0.00158)</t>
  </si>
  <si>
    <t>0.00185 (0.00013)</t>
  </si>
  <si>
    <t>argS</t>
  </si>
  <si>
    <t>arginyl-tRNA synthetase</t>
  </si>
  <si>
    <t>0.02286 (0.05825)</t>
  </si>
  <si>
    <t>0.02167 (0.02562)</t>
  </si>
  <si>
    <t>0.01712 (0.00110)</t>
  </si>
  <si>
    <t>0.07312 (0.00504)</t>
  </si>
  <si>
    <t>0.00185 (0.00017)</t>
  </si>
  <si>
    <t>ywiB</t>
  </si>
  <si>
    <t>0.20214 (0.36457)</t>
  </si>
  <si>
    <t>0.11221 (0.08263)</t>
  </si>
  <si>
    <t>0.02115 (0.00258)</t>
  </si>
  <si>
    <t>0.06089 (0.00675)</t>
  </si>
  <si>
    <t>0.01095 (0.00171)</t>
  </si>
  <si>
    <t>sboA</t>
  </si>
  <si>
    <t>subtilosin A</t>
  </si>
  <si>
    <t>0.01323 (0.00242)</t>
  </si>
  <si>
    <t>0.05624 (0.01070)</t>
  </si>
  <si>
    <t>albA</t>
  </si>
  <si>
    <t>subtilosin A thioether formation enzyme</t>
  </si>
  <si>
    <t>0.03130 (0.05215)</t>
  </si>
  <si>
    <t>0.05922 (0.02249)</t>
  </si>
  <si>
    <t>0.01433 (0.00119)</t>
  </si>
  <si>
    <t>0.06474 (0.00618)</t>
  </si>
  <si>
    <t>0.00253 (0.00017)</t>
  </si>
  <si>
    <t>albB</t>
  </si>
  <si>
    <t>membrane component involved in subtilosinproduction</t>
  </si>
  <si>
    <t>0.17040 (0.18181)</t>
  </si>
  <si>
    <t>0.06828 (0.13460)</t>
  </si>
  <si>
    <t>0.02201 (0.00147)</t>
  </si>
  <si>
    <t>0.06897 (0.00626)</t>
  </si>
  <si>
    <t>0.00713 (0.00119)</t>
  </si>
  <si>
    <t>albC</t>
  </si>
  <si>
    <t>putative transporter involved in subtilosinproduction</t>
  </si>
  <si>
    <t>0.11023 (0.05872)</t>
  </si>
  <si>
    <t>0.03326 (0.03810)</t>
  </si>
  <si>
    <t>0.04580 (0.00154)</t>
  </si>
  <si>
    <t>0.00279 (0.00020)</t>
  </si>
  <si>
    <t>albD</t>
  </si>
  <si>
    <t>integral membrane protein involved in subtilosinproduction and immunity</t>
  </si>
  <si>
    <t>0.17500 (0.07951)</t>
  </si>
  <si>
    <t>0.38003 (0.12474)</t>
  </si>
  <si>
    <t>0.01457 (0.00044)</t>
  </si>
  <si>
    <t>0.03602 (0.00112)</t>
  </si>
  <si>
    <t>0.00828 (0.00030)</t>
  </si>
  <si>
    <t>albE</t>
  </si>
  <si>
    <t>peptidase involved in subtilosin A production</t>
  </si>
  <si>
    <t>0.35815 (0.14838)</t>
  </si>
  <si>
    <t>0.36051 (0.24881)</t>
  </si>
  <si>
    <t>0.01042 (0.00036)</t>
  </si>
  <si>
    <t>0.02177 (0.00088)</t>
  </si>
  <si>
    <t>0.00704 (0.00028)</t>
  </si>
  <si>
    <t>albF</t>
  </si>
  <si>
    <t>putative peptidase involved in subtilosinproduction</t>
  </si>
  <si>
    <t>0.27552 (0.09008)</t>
  </si>
  <si>
    <t>0.20074 (0.16032)</t>
  </si>
  <si>
    <t>0.01195 (0.00042)</t>
  </si>
  <si>
    <t>0.03188 (0.00096)</t>
  </si>
  <si>
    <t>0.00640 (0.00033)</t>
  </si>
  <si>
    <t>albG</t>
  </si>
  <si>
    <t>putative integral membrane protein involved insubtilosin production and immunity</t>
  </si>
  <si>
    <t>0.22368 (0.07819)</t>
  </si>
  <si>
    <t>0.22153 (0.12128)</t>
  </si>
  <si>
    <t>0.01553 (0.00051)</t>
  </si>
  <si>
    <t>0.03920 (0.00147)</t>
  </si>
  <si>
    <t>0.00841 (0.00043)</t>
  </si>
  <si>
    <t>ywhL</t>
  </si>
  <si>
    <t>0.22064 (0.14922)</t>
  </si>
  <si>
    <t>0.16975 (0.03614)</t>
  </si>
  <si>
    <t>0.02378 (0.00097)</t>
  </si>
  <si>
    <t>0.06494 (0.00294)</t>
  </si>
  <si>
    <t>0.01167 (0.00050)</t>
  </si>
  <si>
    <t>ywhK</t>
  </si>
  <si>
    <t>factor interacting with DNA helicase PcrA</t>
  </si>
  <si>
    <t>0.28891 (0.27674)</t>
  </si>
  <si>
    <t>0.26732 (0.26674)</t>
  </si>
  <si>
    <t>0.03700 (0.00227)</t>
  </si>
  <si>
    <t>0.08510 (0.00532)</t>
  </si>
  <si>
    <t>0.02406 (0.00159)</t>
  </si>
  <si>
    <t>rapF</t>
  </si>
  <si>
    <t>response regulator aspartate phosphataseanti-activator of ComA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</si>
  <si>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GCA_001889625.1_ASM188962v1_genomic , GCA_001890405.1_ASM189040v1_genomic , GCA_001902555.1_ASM190255v1_genomic , GCA_002055965.1_ASM205596v1_genomic , GCA_002096095.1_ASM209609v1_genomic , GCA_002142595.1_ASM214259v1_genomic , GCA_002173615.1_ASM217361v1_genomic</t>
  </si>
  <si>
    <t>0.20007 (0.09925)</t>
  </si>
  <si>
    <t>0.07904 (0.13151)</t>
  </si>
  <si>
    <t>0.01672 (0.00153)</t>
  </si>
  <si>
    <t>0.06138 (0.00630)</t>
  </si>
  <si>
    <t>speB</t>
  </si>
  <si>
    <t>agmatinase</t>
  </si>
  <si>
    <t>0.02414 (0.03407)</t>
  </si>
  <si>
    <t>0.00941 (0.00036)</t>
  </si>
  <si>
    <t>0.04025 (0.00163)</t>
  </si>
  <si>
    <t>0.00041 (0.00007)</t>
  </si>
  <si>
    <t>speE</t>
  </si>
  <si>
    <t>spermidine synthase; polyamine metabolism</t>
  </si>
  <si>
    <t>0.00511 (0.01843)</t>
  </si>
  <si>
    <t>0.00824 (0.01647)</t>
  </si>
  <si>
    <t>0.02426 (0.00110)</t>
  </si>
  <si>
    <t>0.11837 (0.00563)</t>
  </si>
  <si>
    <t>pbpG</t>
  </si>
  <si>
    <t>sporulation specific penicillin-binding protein2D</t>
  </si>
  <si>
    <t>0.05302 (0.02078)</t>
  </si>
  <si>
    <t>0.03415 (0.01869)</t>
  </si>
  <si>
    <t>0.01327 (0.00038)</t>
  </si>
  <si>
    <t>0.05100 (0.00153)</t>
  </si>
  <si>
    <t>ywhD</t>
  </si>
  <si>
    <t>0.08881 (0.05825)</t>
  </si>
  <si>
    <t>0.06237 (0.04089)</t>
  </si>
  <si>
    <t>0.01197 (0.00062)</t>
  </si>
  <si>
    <t>0.05135 (0.00289)</t>
  </si>
  <si>
    <t>0.00180 (0.00018)</t>
  </si>
  <si>
    <t>ywhC</t>
  </si>
  <si>
    <t>putative metal-dependent hydrolase; integralmembrane protein</t>
  </si>
  <si>
    <t>0.02964 (0.04039)</t>
  </si>
  <si>
    <t>0.03003 (0.07059)</t>
  </si>
  <si>
    <t>0.01141 (0.00062)</t>
  </si>
  <si>
    <t>0.04293 (0.00257)</t>
  </si>
  <si>
    <t>0.00144 (0.00013)</t>
  </si>
  <si>
    <t>hmtB</t>
  </si>
  <si>
    <t>2-hydroxymuconate tautomerase (promiscuous)</t>
  </si>
  <si>
    <t>0.18307 (0.28266)</t>
  </si>
  <si>
    <t>0.01613 (0.00215)</t>
  </si>
  <si>
    <t>0.05659 (0.00576)</t>
  </si>
  <si>
    <t>0.00556 (0.00215)</t>
  </si>
  <si>
    <t>ywhA</t>
  </si>
  <si>
    <t>0.14331 (0.11216)</t>
  </si>
  <si>
    <t>0.00927 (0.00051)</t>
  </si>
  <si>
    <t>0.03650 (0.00211)</t>
  </si>
  <si>
    <t>thrZ</t>
  </si>
  <si>
    <t>0.18964 (0.11861)</t>
  </si>
  <si>
    <t>0.09149 (0.02298)</t>
  </si>
  <si>
    <t>0.01851 (0.00061)</t>
  </si>
  <si>
    <t>0.05944 (0.00211)</t>
  </si>
  <si>
    <t>0.00761 (0.00029)</t>
  </si>
  <si>
    <t>BSU_37569</t>
  </si>
  <si>
    <t>hypothetical proteinKPIIMCNgene            complement(3857017..3858417)CDS             complement(3857017..3858417)PMID:11104814,15849754,16850406in the studied strain; PubMedId: 11104814, 15849754,16850406; Product type t: transporterhomoserine)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</si>
  <si>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</si>
  <si>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0.29479 (0.41689)</t>
  </si>
  <si>
    <t>0.01158 (0.00401)</t>
  </si>
  <si>
    <t>0.01375 (0.00251)</t>
  </si>
  <si>
    <t>ywgB</t>
  </si>
  <si>
    <t>0.05711 (0.02616)</t>
  </si>
  <si>
    <t>0.11629 (0.09990)</t>
  </si>
  <si>
    <t>0.02252 (0.00099)</t>
  </si>
  <si>
    <t>0.07802 (0.00396)</t>
  </si>
  <si>
    <t>0.00702 (0.00050)</t>
  </si>
  <si>
    <t>ywgA</t>
  </si>
  <si>
    <t>0.01212 (0.03614)</t>
  </si>
  <si>
    <t>0.03334 (0.09097)</t>
  </si>
  <si>
    <t>0.01812 (0.00109)</t>
  </si>
  <si>
    <t>0.08059 (0.00472)</t>
  </si>
  <si>
    <t>0.00262 (0.00026)</t>
  </si>
  <si>
    <t>ywfO</t>
  </si>
  <si>
    <t>putative metal-dependent nucleotide(pyro)phosphohydrolase</t>
  </si>
  <si>
    <t>0.04194 (0.03648)</t>
  </si>
  <si>
    <t>0.04282 (0.04082)</t>
  </si>
  <si>
    <t>0.02074 (0.00100)</t>
  </si>
  <si>
    <t>0.08955 (0.00465)</t>
  </si>
  <si>
    <t>0.00308 (0.00013)</t>
  </si>
  <si>
    <t>ywzC</t>
  </si>
  <si>
    <t>0.01435 (0.00142)</t>
  </si>
  <si>
    <t>0.06822 (0.00702)</t>
  </si>
  <si>
    <t>psrF</t>
  </si>
  <si>
    <t>prespore-specific transcription regulatory gene</t>
  </si>
  <si>
    <t>0.15359 (0.05613)</t>
  </si>
  <si>
    <t>0.13064 (0.11049)</t>
  </si>
  <si>
    <t>0.00892 (0.00038)</t>
  </si>
  <si>
    <t>0.03146 (0.00146)</t>
  </si>
  <si>
    <t>0.00322 (0.00019)</t>
  </si>
  <si>
    <t>ywfM</t>
  </si>
  <si>
    <t>putative toxic excess metabolite exporter</t>
  </si>
  <si>
    <t>0.20771 (0.09693)</t>
  </si>
  <si>
    <t>0.09161 (0.09255)</t>
  </si>
  <si>
    <t>0.01813 (0.00090)</t>
  </si>
  <si>
    <t>0.05470 (0.00318)</t>
  </si>
  <si>
    <t>0.00654 (0.00032)</t>
  </si>
  <si>
    <t>lipL</t>
  </si>
  <si>
    <t>amidotransferase of the octanoyl moiety fromoctanoyl-GcvH to the E2 subunit of pyruvate dehydrogenase</t>
  </si>
  <si>
    <t>0.11335 (0.03457)</t>
  </si>
  <si>
    <t>0.06694 (0.04316)</t>
  </si>
  <si>
    <t>0.01104 (0.00039)</t>
  </si>
  <si>
    <t>0.04115 (0.00171)</t>
  </si>
  <si>
    <t>0.00262 (0.00015)</t>
  </si>
  <si>
    <t>cysL</t>
  </si>
  <si>
    <t>regulator of sulfur assimilation CysL, activatescysJI expression</t>
  </si>
  <si>
    <t>0.06106 (0.06190)</t>
  </si>
  <si>
    <t>0.06820 (0.08932)</t>
  </si>
  <si>
    <t>0.01208 (0.00048)</t>
  </si>
  <si>
    <t>0.04508 (0.00187)</t>
  </si>
  <si>
    <t>0.00301 (0.00026)</t>
  </si>
  <si>
    <t>pta</t>
  </si>
  <si>
    <t>phosphotransacetylase</t>
  </si>
  <si>
    <t>0.03788 (0.02412)</t>
  </si>
  <si>
    <t>0.02411 (0.07714)</t>
  </si>
  <si>
    <t>0.01536 (0.00080)</t>
  </si>
  <si>
    <t>0.06426 (0.00335)</t>
  </si>
  <si>
    <t>hemQ</t>
  </si>
  <si>
    <t>iron-coproporphyrin (coproheme) decarboxylase</t>
  </si>
  <si>
    <t>0.04215 (0.02489)</t>
  </si>
  <si>
    <t>0.03292 (0.05028)</t>
  </si>
  <si>
    <t>0.01222 (0.00036)</t>
  </si>
  <si>
    <t>0.05164 (0.00170)</t>
  </si>
  <si>
    <t>bacG</t>
  </si>
  <si>
    <t>cyclohexenol-containingtetrahydro-4-hydroxyphenylpyruvate H(4)HPP in bacilysinsynthesis</t>
  </si>
  <si>
    <t>0.10445 (0.03816)</t>
  </si>
  <si>
    <t>0.11179 (0.17130)</t>
  </si>
  <si>
    <t>0.02055 (0.00126)</t>
  </si>
  <si>
    <t>0.07022 (0.00539)</t>
  </si>
  <si>
    <t>0.00811 (0.00039)</t>
  </si>
  <si>
    <t>bacF</t>
  </si>
  <si>
    <t>phenylalanine aminotransferase formingtetrahydrotyrosine in bacilysin synthesis</t>
  </si>
  <si>
    <t>0.13959 (0.11541)</t>
  </si>
  <si>
    <t>0.10447 (0.03018)</t>
  </si>
  <si>
    <t>0.01594 (0.00056)</t>
  </si>
  <si>
    <t>0.05403 (0.00192)</t>
  </si>
  <si>
    <t>bacE</t>
  </si>
  <si>
    <t>efflux protein for bacilysin excretion,self-protection against bacilysin</t>
  </si>
  <si>
    <t>0.03436 (0.02380)</t>
  </si>
  <si>
    <t>0.02265 (0.02165)</t>
  </si>
  <si>
    <t>0.01408 (0.00044)</t>
  </si>
  <si>
    <t>0.05570 (0.00190)</t>
  </si>
  <si>
    <t>0.00147 (0.00010)</t>
  </si>
  <si>
    <t>bacD</t>
  </si>
  <si>
    <t>alanine-anticapsin ligase</t>
  </si>
  <si>
    <t>0.04178 (0.01179)</t>
  </si>
  <si>
    <t>0.04428 (0.03484)</t>
  </si>
  <si>
    <t>0.01214 (0.00027)</t>
  </si>
  <si>
    <t>0.04963 (0.00124)</t>
  </si>
  <si>
    <t>0.00178 (0.00009)</t>
  </si>
  <si>
    <t>bacC</t>
  </si>
  <si>
    <t>dihydroanticapsin 7-dehydrogenase</t>
  </si>
  <si>
    <t>0.09779 (0.04620)</t>
  </si>
  <si>
    <t>0.12165 (0.01933)</t>
  </si>
  <si>
    <t>0.01558 (0.00054)</t>
  </si>
  <si>
    <t>0.05373 (0.00233)</t>
  </si>
  <si>
    <t>0.00487 (0.00024)</t>
  </si>
  <si>
    <t>bacB</t>
  </si>
  <si>
    <t>3-((4R)-4-hydroxycyclohexa-1,5-dien-1-yl)-2-oxopropanoate isomerase</t>
  </si>
  <si>
    <t>0.04521 (0.05175)</t>
  </si>
  <si>
    <t>0.00960 (0.00049)</t>
  </si>
  <si>
    <t>0.04208 (0.00228)</t>
  </si>
  <si>
    <t>bacA</t>
  </si>
  <si>
    <t>prephenate decarboxylase</t>
  </si>
  <si>
    <t>0.24490 (0.18074)</t>
  </si>
  <si>
    <t>0.02598 (0.08558)</t>
  </si>
  <si>
    <t>0.01620 (0.00183)</t>
  </si>
  <si>
    <t>0.06827 (0.00817)</t>
  </si>
  <si>
    <t>0.00328 (0.00035)</t>
  </si>
  <si>
    <t>ywfA</t>
  </si>
  <si>
    <t>0.10463 (0.02848)</t>
  </si>
  <si>
    <t>0.10938 (0.02653)</t>
  </si>
  <si>
    <t>0.01341 (0.00042)</t>
  </si>
  <si>
    <t>0.04245 (0.00161)</t>
  </si>
  <si>
    <t>0.00427 (0.00018)</t>
  </si>
  <si>
    <t>rocC</t>
  </si>
  <si>
    <t>basic aminoacid permease</t>
  </si>
  <si>
    <t>0.11010 (0.03757)</t>
  </si>
  <si>
    <t>0.01249 (0.00049)</t>
  </si>
  <si>
    <t>0.04581 (0.00179)</t>
  </si>
  <si>
    <t>0.00262 (0.00017)</t>
  </si>
  <si>
    <t>rocB</t>
  </si>
  <si>
    <t>putative N-deacylase involved in arginine andornithine utilization</t>
  </si>
  <si>
    <t>0.20126 (0.10377)</t>
  </si>
  <si>
    <t>0.11654 (0.02988)</t>
  </si>
  <si>
    <t>0.01224 (0.00041)</t>
  </si>
  <si>
    <t>0.03815 (0.00121)</t>
  </si>
  <si>
    <t>0.00524 (0.00025)</t>
  </si>
  <si>
    <t>rocA</t>
  </si>
  <si>
    <t>delta-1-pyrroline-5 carboxylate dehydrogenase</t>
  </si>
  <si>
    <t>0.04576 (0.03518)</t>
  </si>
  <si>
    <t>0.05581 (0.02539)</t>
  </si>
  <si>
    <t>0.01004 (0.00029)</t>
  </si>
  <si>
    <t>0.03851 (0.00115)</t>
  </si>
  <si>
    <t>0.00159 (0.00010)</t>
  </si>
  <si>
    <t>rocG</t>
  </si>
  <si>
    <t>glutamate dehydrogenase</t>
  </si>
  <si>
    <t>ref , GCA_000186745.1_ASM18674v1_genomic , GCA_000209795.2_ASM20979v2_genomic , GCA_000227485.1_ASM22748v1_genomic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</si>
  <si>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0.04279 (0.02545)</t>
  </si>
  <si>
    <t>0.00945 (0.02829)</t>
  </si>
  <si>
    <t>0.01339 (0.00055)</t>
  </si>
  <si>
    <t>0.05389 (0.00247)</t>
  </si>
  <si>
    <t>0.00171 (0.00011)</t>
  </si>
  <si>
    <t>bslB</t>
  </si>
  <si>
    <t>biofilm protein, member of the processedsecretome contributing to biofilm hydrophobicity</t>
  </si>
  <si>
    <t>0.39010 (0.16676)</t>
  </si>
  <si>
    <t>0.06586 (0.14834)</t>
  </si>
  <si>
    <t>0.01588 (0.00130)</t>
  </si>
  <si>
    <t>0.04871 (0.00451)</t>
  </si>
  <si>
    <t>0.00564 (0.00053)</t>
  </si>
  <si>
    <t>spsL</t>
  </si>
  <si>
    <t>putative dTDP-4-deoxyrhamnose-3,5-epimerase(cell surface and spore coat)</t>
  </si>
  <si>
    <t>0.17220 (0.08561)</t>
  </si>
  <si>
    <t>0.00824 (0.00047)</t>
  </si>
  <si>
    <t>0.03014 (0.00231)</t>
  </si>
  <si>
    <t>0.00238 (0.00025)</t>
  </si>
  <si>
    <t>spsK</t>
  </si>
  <si>
    <t>putative dTDP-4-dehydrorhamnose reductase</t>
  </si>
  <si>
    <t>0.23018 (0.07200)</t>
  </si>
  <si>
    <t>0.14190 (0.13012)</t>
  </si>
  <si>
    <t>0.00994 (0.00030)</t>
  </si>
  <si>
    <t>0.02829 (0.00089)</t>
  </si>
  <si>
    <t>0.00449 (0.00028)</t>
  </si>
  <si>
    <t>spsJ</t>
  </si>
  <si>
    <t>dTDP-glucose 4,6-dehydratase</t>
  </si>
  <si>
    <t>0.10376 (0.04870)</t>
  </si>
  <si>
    <t>0.07117 (0.06192)</t>
  </si>
  <si>
    <t>0.01362 (0.00046)</t>
  </si>
  <si>
    <t>0.04776 (0.00165)</t>
  </si>
  <si>
    <t>spsI</t>
  </si>
  <si>
    <t>glucose-1-phosphate thymidylyltransferase</t>
  </si>
  <si>
    <t>0.05176 (0.04241)</t>
  </si>
  <si>
    <t>0.01865 (0.05185)</t>
  </si>
  <si>
    <t>0.00986 (0.00039)</t>
  </si>
  <si>
    <t>0.03968 (0.00171)</t>
  </si>
  <si>
    <t>spsG</t>
  </si>
  <si>
    <t>0.43094 (0.15081)</t>
  </si>
  <si>
    <t>0.14462 (0.07581)</t>
  </si>
  <si>
    <t>0.01828 (0.00056)</t>
  </si>
  <si>
    <t>0.04573 (0.00149)</t>
  </si>
  <si>
    <t>0.01079 (0.00039)</t>
  </si>
  <si>
    <t>spsF</t>
  </si>
  <si>
    <t>0.34112 (0.17991)</t>
  </si>
  <si>
    <t>0.17028 (0.07673)</t>
  </si>
  <si>
    <t>0.01670 (0.00063)</t>
  </si>
  <si>
    <t>0.03768 (0.00160)</t>
  </si>
  <si>
    <t>0.01066 (0.00046)</t>
  </si>
  <si>
    <t>spsE</t>
  </si>
  <si>
    <t>putative phosphoenolpyruvate-sugarpyruvyltransferase</t>
  </si>
  <si>
    <t>0.11295 (0.04406)</t>
  </si>
  <si>
    <t>0.11941 (0.05273)</t>
  </si>
  <si>
    <t>0.01119 (0.00041)</t>
  </si>
  <si>
    <t>0.03669 (0.00153)</t>
  </si>
  <si>
    <t>0.00385 (0.00019)</t>
  </si>
  <si>
    <t>spsD</t>
  </si>
  <si>
    <t>putative TDP-glycosamine N-acetyltransferase</t>
  </si>
  <si>
    <t>0.09465 (0.04057)</t>
  </si>
  <si>
    <t>0.14761 (0.10447)</t>
  </si>
  <si>
    <t>0.01182 (0.00034)</t>
  </si>
  <si>
    <t>0.03737 (0.00132)</t>
  </si>
  <si>
    <t>0.00457 (0.00025)</t>
  </si>
  <si>
    <t>putative glutamine-dependent sugar transaminase</t>
  </si>
  <si>
    <t>0.14995 (0.05138)</t>
  </si>
  <si>
    <t>0.16727 (0.08497)</t>
  </si>
  <si>
    <t>0.00741 (0.00025)</t>
  </si>
  <si>
    <t>0.01928 (0.00085)</t>
  </si>
  <si>
    <t>0.00393 (0.00018)</t>
  </si>
  <si>
    <t>spsB</t>
  </si>
  <si>
    <t>putative dTDP glycosyl/glycerophosphatetransferase or transport</t>
  </si>
  <si>
    <t>0.22864 (0.09711)</t>
  </si>
  <si>
    <t>0.16017 (0.09469)</t>
  </si>
  <si>
    <t>0.01096 (0.00039)</t>
  </si>
  <si>
    <t>0.02902 (0.00117)</t>
  </si>
  <si>
    <t>0.00585 (0.00022)</t>
  </si>
  <si>
    <t>spsA</t>
  </si>
  <si>
    <t>spore coat dTDP-glycosyltransferase</t>
  </si>
  <si>
    <t>0.09352 (0.09499)</t>
  </si>
  <si>
    <t>0.07783 (0.06389)</t>
  </si>
  <si>
    <t>0.02245 (0.00124)</t>
  </si>
  <si>
    <t>0.08436 (0.00538)</t>
  </si>
  <si>
    <t>0.00724 (0.00032)</t>
  </si>
  <si>
    <t>gerQ</t>
  </si>
  <si>
    <t>0.14614 (0.11929)</t>
  </si>
  <si>
    <t>0.58658 (0.84666)</t>
  </si>
  <si>
    <t>0.00644 (0.00041)</t>
  </si>
  <si>
    <t>0.01607 (0.00135)</t>
  </si>
  <si>
    <t>0.00369 (0.00035)</t>
  </si>
  <si>
    <t>ywdK</t>
  </si>
  <si>
    <t>0.01026 (0.00067)</t>
  </si>
  <si>
    <t>0.03845 (0.00242)</t>
  </si>
  <si>
    <t>0.00098 (0.00024)</t>
  </si>
  <si>
    <t>ywdJ</t>
  </si>
  <si>
    <t>putative purine/pyrimidine permease</t>
  </si>
  <si>
    <t>0.04944 (0.01935)</t>
  </si>
  <si>
    <t>0.01447 (0.02512)</t>
  </si>
  <si>
    <t>0.01246 (0.00030)</t>
  </si>
  <si>
    <t>0.04773 (0.00122)</t>
  </si>
  <si>
    <t>0.00144 (0.00006)</t>
  </si>
  <si>
    <t>ywdI</t>
  </si>
  <si>
    <t>0.19054 (0.11851)</t>
  </si>
  <si>
    <t>0.19665 (0.18799)</t>
  </si>
  <si>
    <t>0.02053 (0.00081)</t>
  </si>
  <si>
    <t>0.06276 (0.00424)</t>
  </si>
  <si>
    <t>0.01029 (0.00048)</t>
  </si>
  <si>
    <t>ywdH</t>
  </si>
  <si>
    <t>putative aldehyde dehydrogenase</t>
  </si>
  <si>
    <t>0.21134 (0.09787)</t>
  </si>
  <si>
    <t>0.08504 (0.02763)</t>
  </si>
  <si>
    <t>0.02119 (0.00051)</t>
  </si>
  <si>
    <t>0.06485 (0.00167)</t>
  </si>
  <si>
    <t>0.00864 (0.00028)</t>
  </si>
  <si>
    <t>ung</t>
  </si>
  <si>
    <t>uracil-DNA glycosylase</t>
  </si>
  <si>
    <t>0.03281 (0.01560)</t>
  </si>
  <si>
    <t>0.00952 (0.02626)</t>
  </si>
  <si>
    <t>0.01933 (0.00059)</t>
  </si>
  <si>
    <t>0.08625 (0.00289)</t>
  </si>
  <si>
    <t>0.00203 (0.00013)</t>
  </si>
  <si>
    <t>ywdF</t>
  </si>
  <si>
    <t>0.13101 (0.07027)</t>
  </si>
  <si>
    <t>0.07717 (0.06604)</t>
  </si>
  <si>
    <t>0.01418 (0.00056)</t>
  </si>
  <si>
    <t>0.04936 (0.00191)</t>
  </si>
  <si>
    <t>0.00433 (0.00029)</t>
  </si>
  <si>
    <t>ywdE</t>
  </si>
  <si>
    <t>ref , GCA_000227465.1_ASM22746v1_genomic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GCA_001808235.1_ASM180823v1_genomic , GCA_001889625.1_ASM188962v1_genomic , GCA_002055965.1_ASM205596v1_genomic , GCA_002072735.1_ASM207273v1_genomic</t>
  </si>
  <si>
    <t>0.12865 (0.13242)</t>
  </si>
  <si>
    <t>0.31177 (0.34019)</t>
  </si>
  <si>
    <t>0.02814 (0.00398)</t>
  </si>
  <si>
    <t>0.06300 (0.01071)</t>
  </si>
  <si>
    <t>0.01845 (0.00211)</t>
  </si>
  <si>
    <t>ywdD</t>
  </si>
  <si>
    <t>ref , GCA_000293765.1_ASM29376v1_genomic , GCA_000321395.1_ASM32139v1_genomic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GCA_001808235.1_ASM180823v1_genomic , GCA_002055965.1_ASM205596v1_genomic , GCA_002072735.1_ASM207273v1_genomic</t>
  </si>
  <si>
    <t>0.04160 (0.05200)</t>
  </si>
  <si>
    <t>0.00603 (0.00105)</t>
  </si>
  <si>
    <t>0.01989 (0.00377)</t>
  </si>
  <si>
    <t>0.00206 (0.00050)</t>
  </si>
  <si>
    <t>ywzG</t>
  </si>
  <si>
    <t>putative transcriptional regulator, PadR family</t>
  </si>
  <si>
    <t>0.28388 (0.40147)</t>
  </si>
  <si>
    <t>0.00893 (0.00186)</t>
  </si>
  <si>
    <t>0.03454 (0.00628)</t>
  </si>
  <si>
    <t>0.00192 (0.00078)</t>
  </si>
  <si>
    <t>pdxK</t>
  </si>
  <si>
    <t>pyridoxine, pyridoxal, and pyridoxamine kinase</t>
  </si>
  <si>
    <t>0.04254 (0.03556)</t>
  </si>
  <si>
    <t>0.01303 (0.02484)</t>
  </si>
  <si>
    <t>0.02393 (0.00163)</t>
  </si>
  <si>
    <t>0.10616 (0.00770)</t>
  </si>
  <si>
    <t>0.00228 (0.00015)</t>
  </si>
  <si>
    <t>ywdA</t>
  </si>
  <si>
    <t>0.16994 (0.20367)</t>
  </si>
  <si>
    <t>0.02323 (0.00349)</t>
  </si>
  <si>
    <t>0.08533 (0.01237)</t>
  </si>
  <si>
    <t>0.00843 (0.00150)</t>
  </si>
  <si>
    <t>sacA</t>
  </si>
  <si>
    <t>sucrose-6-phosphate hydrolase</t>
  </si>
  <si>
    <t>0.10938 (0.04059)</t>
  </si>
  <si>
    <t>0.18472 (0.06908)</t>
  </si>
  <si>
    <t>0.14438 (0.06840)</t>
  </si>
  <si>
    <t>0.02576 (0.00092)</t>
  </si>
  <si>
    <t>0.08056 (0.00300)</t>
  </si>
  <si>
    <t>0.01159 (0.00048)</t>
  </si>
  <si>
    <t>sacP</t>
  </si>
  <si>
    <t>phosphotransferase system (PTS) sucrose-specificenzyme IIBC component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</si>
  <si>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GCA_000523045.1_ASM52304v1_genomic , GCA_000706705.1_ASM70670v1_genomic , GCA_000737405.1_ASM73740v1_genomic , GCA_000782835.1_ASM78283v1_genomic , GCA_000789275.1_ASM78927v1_genomic , GCA_000827065.1_ASM82706v1_genomic , GCA_000953615.1_BS49Ch_genomic , GCA_000971925.1_ASM97192v1_genomic , GCA_000973605.1_ASM97360v1_genomic , GCA_001015095.1_ASM101509v1_genomic , GCA_001037985.1_ASM103798v1_genomic , GCA_001465815.1_ASM146581v1_genomic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</si>
  <si>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0.03995 (0.03362)</t>
  </si>
  <si>
    <t>0.04589 (0.02516)</t>
  </si>
  <si>
    <t>0.02615 (0.00102)</t>
  </si>
  <si>
    <t>0.10313 (0.00447)</t>
  </si>
  <si>
    <t>0.00427 (0.00021)</t>
  </si>
  <si>
    <t>nirC</t>
  </si>
  <si>
    <t>nitrite transporter</t>
  </si>
  <si>
    <t>ref , GCA_000186745.1_ASM18674v1_genomic , GCA_000209795.2_ASM20979v2_genomic , GCA_000227485.1_ASM22748v1_genomic , GCA_000293765.1_ASM29376v1_genomic , GCA_000321395.1_ASM32139v1_genomic , GCA_000344745.1_ASM34474v1_genomic , GCA_000523045.1_ASM52304v1_genomic , GCA_000706705.1_ASM70670v1_genomic , GCA_000737405.1_ASM73740v1_genomic , GCA_000782835.1_ASM78283v1_genomic , GCA_000789275.1_ASM78927v1_genomic , GCA_000827065.1_ASM82706v1_genomic , GCA_000953615.1_BS49Ch_genomic , GCA_000971925.1_ASM97192v1_genomic , GCA_001015095.1_ASM101509v1_genomic , GCA_001037985.1_ASM103798v1_genomic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</si>
  <si>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0.46032 (0.12736)</t>
  </si>
  <si>
    <t>0.08509 (0.05035)</t>
  </si>
  <si>
    <t>0.29849 (0.22453)</t>
  </si>
  <si>
    <t>0.01175 (0.00063)</t>
  </si>
  <si>
    <t>0.03549 (0.00235)</t>
  </si>
  <si>
    <t>0.00501 (0.00033)</t>
  </si>
  <si>
    <t>sacT</t>
  </si>
  <si>
    <t>transcriptional antiterminator of sacAPexpression</t>
  </si>
  <si>
    <t>ref , GCA_000146565.1_ASM14656v1_genomic , GCA_000186745.1_ASM18674v1_genomic , GCA_000227465.1_ASM22746v1_genomic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GCA_002055965.1_ASM205596v1_genomic , GCA_002072735.1_ASM207273v1_genomic , GCA_002142595.1_ASM214259v1_genomic , GCA_002163815.1_ASM216381v1_genomic , GCA_002173615.1_ASM217361v1_genomic</t>
  </si>
  <si>
    <t>0.02982 (0.03557)</t>
  </si>
  <si>
    <t>0.06472 (0.04937)</t>
  </si>
  <si>
    <t>0.01677 (0.00092)</t>
  </si>
  <si>
    <t>0.06850 (0.00382)</t>
  </si>
  <si>
    <t>0.00390 (0.00025)</t>
  </si>
  <si>
    <t>ywcI</t>
  </si>
  <si>
    <t>0.09724 (0.14236)</t>
  </si>
  <si>
    <t>0.02637 (0.06434)</t>
  </si>
  <si>
    <t>0.02068 (0.00119)</t>
  </si>
  <si>
    <t>0.08625 (0.00609)</t>
  </si>
  <si>
    <t>0.00323 (0.00050)</t>
  </si>
  <si>
    <t>vpr</t>
  </si>
  <si>
    <t>extracellular serine protease</t>
  </si>
  <si>
    <t>0.10476 (0.03424)</t>
  </si>
  <si>
    <t>0.07640 (0.01304)</t>
  </si>
  <si>
    <t>0.01159 (0.00027)</t>
  </si>
  <si>
    <t>0.03827 (0.00089)</t>
  </si>
  <si>
    <t>0.00348 (0.00011)</t>
  </si>
  <si>
    <t>ywcH</t>
  </si>
  <si>
    <t>putative monooxygenase</t>
  </si>
  <si>
    <t>0.17439 (0.07697)</t>
  </si>
  <si>
    <t>0.01630 (0.02470)</t>
  </si>
  <si>
    <t>0.01575 (0.00062)</t>
  </si>
  <si>
    <t>0.05442 (0.00232)</t>
  </si>
  <si>
    <t>0.00398 (0.00027)</t>
  </si>
  <si>
    <t>nfrAA</t>
  </si>
  <si>
    <t>FMN-containing NADPH-linked nitro/flavinreductase</t>
  </si>
  <si>
    <t>0.06161 (0.05647)</t>
  </si>
  <si>
    <t>0.14314 (0.13609)</t>
  </si>
  <si>
    <t>0.00829 (0.00043)</t>
  </si>
  <si>
    <t>0.02706 (0.00152)</t>
  </si>
  <si>
    <t>0.00304 (0.00020)</t>
  </si>
  <si>
    <t>rodA</t>
  </si>
  <si>
    <t>glycosyltransferase involved in extension of thelateral walls of the cell</t>
  </si>
  <si>
    <t>0.02964 (0.04629)</t>
  </si>
  <si>
    <t>0.02833 (0.03766)</t>
  </si>
  <si>
    <t>0.00878 (0.00035)</t>
  </si>
  <si>
    <t>0.03486 (0.00145)</t>
  </si>
  <si>
    <t>0.00124 (0.00010)</t>
  </si>
  <si>
    <t>ywcE</t>
  </si>
  <si>
    <t>holin-like protein required for proper sporemorphogenesis and germination</t>
  </si>
  <si>
    <t>0.01945 (0.00110)</t>
  </si>
  <si>
    <t>0.09130 (0.00543)</t>
  </si>
  <si>
    <t>qoxD</t>
  </si>
  <si>
    <t>cytochrome aa3-600 quinol oxidase (subunit IV)</t>
  </si>
  <si>
    <t>0.56875 (0.09927)</t>
  </si>
  <si>
    <t>0.03173 (0.09147)</t>
  </si>
  <si>
    <t>0.08167 (0.07880)</t>
  </si>
  <si>
    <t>0.02876 (0.00181)</t>
  </si>
  <si>
    <t>0.11012 (0.00693)</t>
  </si>
  <si>
    <t>0.00785 (0.00070)</t>
  </si>
  <si>
    <t>qoxC</t>
  </si>
  <si>
    <t>cytochrome aa3-600 quinol oxidase (subunit III)</t>
  </si>
  <si>
    <t>0.63007 (0.09522)</t>
  </si>
  <si>
    <t>0.09861 (0.06108)</t>
  </si>
  <si>
    <t>0.01635 (0.00134)</t>
  </si>
  <si>
    <t>0.05963 (0.00476)</t>
  </si>
  <si>
    <t>0.00415 (0.00047)</t>
  </si>
  <si>
    <t>qoxB</t>
  </si>
  <si>
    <t>cytochrome aa3-600 quinol oxidase (subunit I)</t>
  </si>
  <si>
    <t>0.00506 (0.02062)</t>
  </si>
  <si>
    <t>0.01901 (0.03842)</t>
  </si>
  <si>
    <t>0.01828 (0.00115)</t>
  </si>
  <si>
    <t>0.08335 (0.00535)</t>
  </si>
  <si>
    <t>0.00163 (0.00013)</t>
  </si>
  <si>
    <t>qoxA</t>
  </si>
  <si>
    <t>cytochrome aa3-600 quinol oxidase (subunit II)</t>
  </si>
  <si>
    <t>0.04118 (0.05338)</t>
  </si>
  <si>
    <t>0.03208 (0.05634)</t>
  </si>
  <si>
    <t>0.01717 (0.00172)</t>
  </si>
  <si>
    <t>0.07246 (0.00722)</t>
  </si>
  <si>
    <t>0.00279 (0.00034)</t>
  </si>
  <si>
    <t>ywzA</t>
  </si>
  <si>
    <t>0.69907 (0.10007)</t>
  </si>
  <si>
    <t>0.08867 (0.13962)</t>
  </si>
  <si>
    <t>0.02126 (0.00304)</t>
  </si>
  <si>
    <t>0.07368 (0.01000)</t>
  </si>
  <si>
    <t>0.00498 (0.00118)</t>
  </si>
  <si>
    <t>galT</t>
  </si>
  <si>
    <t>galactose-1-phosphate uridyltransferase</t>
  </si>
  <si>
    <t>0.17982 (0.05327)</t>
  </si>
  <si>
    <t>0.12535 (0.02926)</t>
  </si>
  <si>
    <t>0.01686 (0.00061)</t>
  </si>
  <si>
    <t>0.05177 (0.00203)</t>
  </si>
  <si>
    <t>0.00719 (0.00030)</t>
  </si>
  <si>
    <t>galK</t>
  </si>
  <si>
    <t>galactokinase</t>
  </si>
  <si>
    <t>0.09067 (0.08758)</t>
  </si>
  <si>
    <t>0.14939 (0.10073)</t>
  </si>
  <si>
    <t>0.01165 (0.00045)</t>
  </si>
  <si>
    <t>0.03855 (0.00148)</t>
  </si>
  <si>
    <t>0.00426 (0.00025)</t>
  </si>
  <si>
    <t>ywcD</t>
  </si>
  <si>
    <t>putative cell wall glycosylation protein</t>
  </si>
  <si>
    <t>0.07363 (0.09596)</t>
  </si>
  <si>
    <t>0.10623 (0.12481)</t>
  </si>
  <si>
    <t>0.01489 (0.00148)</t>
  </si>
  <si>
    <t>0.05016 (0.00535)</t>
  </si>
  <si>
    <t>0.00523 (0.00058)</t>
  </si>
  <si>
    <t>slrC</t>
  </si>
  <si>
    <t>transcriptional regulator of slrA (biofilmformation)</t>
  </si>
  <si>
    <t>0.09161 (0.06647)</t>
  </si>
  <si>
    <t>0.04608 (0.08476)</t>
  </si>
  <si>
    <t>0.00912 (0.00061)</t>
  </si>
  <si>
    <t>0.03489 (0.00233)</t>
  </si>
  <si>
    <t>0.00224 (0.00026)</t>
  </si>
  <si>
    <t>slrA</t>
  </si>
  <si>
    <t>anti-repressor of SlrR</t>
  </si>
  <si>
    <t>0.03517 (0.00843)</t>
  </si>
  <si>
    <t>0.00529 (0.00125)</t>
  </si>
  <si>
    <t>vbfB</t>
  </si>
  <si>
    <t>subunit of acetate transporter as a volatilesignal for biofilm formation</t>
  </si>
  <si>
    <t>0.22614 (0.20840)</t>
  </si>
  <si>
    <t>0.30298 (0.17493)</t>
  </si>
  <si>
    <t>0.01210 (0.00095)</t>
  </si>
  <si>
    <t>0.02816 (0.00265)</t>
  </si>
  <si>
    <t>0.00747 (0.00070)</t>
  </si>
  <si>
    <t>vbfA</t>
  </si>
  <si>
    <t>acetate Na+-dependent symporter subunit involvedin volatile signal for biofilm formation</t>
  </si>
  <si>
    <t>0.08961 (0.06238)</t>
  </si>
  <si>
    <t>0.00773 (0.02597)</t>
  </si>
  <si>
    <t>0.01196 (0.00043)</t>
  </si>
  <si>
    <t>0.04362 (0.00175)</t>
  </si>
  <si>
    <t>0.00160 (0.00009)</t>
  </si>
  <si>
    <t>ywbO</t>
  </si>
  <si>
    <t>putative sulfur oxido-reductase</t>
  </si>
  <si>
    <t>0.10738 (0.03914)</t>
  </si>
  <si>
    <t>0.05592 (0.08692)</t>
  </si>
  <si>
    <t>0.01697 (0.00044)</t>
  </si>
  <si>
    <t>0.06204 (0.00191)</t>
  </si>
  <si>
    <t>0.00506 (0.00037)</t>
  </si>
  <si>
    <t>efeB</t>
  </si>
  <si>
    <t>peroxidase converting ferric iron into ferrousiron</t>
  </si>
  <si>
    <t>0.05785 (0.05234)</t>
  </si>
  <si>
    <t>0.03951 (0.03215)</t>
  </si>
  <si>
    <t>0.01831 (0.00082)</t>
  </si>
  <si>
    <t>0.07463 (0.00352)</t>
  </si>
  <si>
    <t>0.00331 (0.00024)</t>
  </si>
  <si>
    <t>efeM</t>
  </si>
  <si>
    <t>lipoprotein binding ferrous or ferric iron fortransport</t>
  </si>
  <si>
    <t>0.08707 (0.02939)</t>
  </si>
  <si>
    <t>0.05555 (0.03099)</t>
  </si>
  <si>
    <t>0.01690 (0.00052)</t>
  </si>
  <si>
    <t>0.06077 (0.00212)</t>
  </si>
  <si>
    <t>0.00529 (0.00022)</t>
  </si>
  <si>
    <t>efeU</t>
  </si>
  <si>
    <t>ferrous ion permease</t>
  </si>
  <si>
    <t>0.14986 (0.07216)</t>
  </si>
  <si>
    <t>0.15197 (0.05986)</t>
  </si>
  <si>
    <t>0.01669 (0.00063)</t>
  </si>
  <si>
    <t>0.04843 (0.00200)</t>
  </si>
  <si>
    <t>0.00732 (0.00030)</t>
  </si>
  <si>
    <t>thiE</t>
  </si>
  <si>
    <t>thiamine-phosphate pyrophosphorylase (thiaminephosphate synthase)</t>
  </si>
  <si>
    <t>0.10203 (0.07058)</t>
  </si>
  <si>
    <t>0.11982 (0.06222)</t>
  </si>
  <si>
    <t>0.02036 (0.00099)</t>
  </si>
  <si>
    <t>0.06902 (0.00357)</t>
  </si>
  <si>
    <t>0.00644 (0.00043)</t>
  </si>
  <si>
    <t>thiM</t>
  </si>
  <si>
    <t>5-(2-hydroxyethyl)-4-methylthiazole kinase</t>
  </si>
  <si>
    <t>0.09873 (0.04438)</t>
  </si>
  <si>
    <t>0.05251 (0.04465)</t>
  </si>
  <si>
    <t>0.01699 (0.00072)</t>
  </si>
  <si>
    <t>0.05646 (0.00267)</t>
  </si>
  <si>
    <t>0.00428 (0.00022)</t>
  </si>
  <si>
    <t>cidR</t>
  </si>
  <si>
    <t>transcriptional regulator (LysR family, cidABexpression)</t>
  </si>
  <si>
    <t>0.04469 (0.11278)</t>
  </si>
  <si>
    <t>0.08385 (0.08915)</t>
  </si>
  <si>
    <t>0.01565 (0.00133)</t>
  </si>
  <si>
    <t>0.06242 (0.00583)</t>
  </si>
  <si>
    <t>0.00357 (0.00036)</t>
  </si>
  <si>
    <t>cidA</t>
  </si>
  <si>
    <t>metabolic regulator of murein hydrolases</t>
  </si>
  <si>
    <t>0.04122 (0.05143)</t>
  </si>
  <si>
    <t>0.03845 (0.03937)</t>
  </si>
  <si>
    <t>0.01930 (0.00125)</t>
  </si>
  <si>
    <t>0.07128 (0.00481)</t>
  </si>
  <si>
    <t>0.00440 (0.00035)</t>
  </si>
  <si>
    <t>cidB</t>
  </si>
  <si>
    <t>metabolic regulator controlling activity ofmurein hydrolases</t>
  </si>
  <si>
    <t>0.03113 (0.03050)</t>
  </si>
  <si>
    <t>0.01902 (0.02087)</t>
  </si>
  <si>
    <t>0.02583 (0.00090)</t>
  </si>
  <si>
    <t>0.09840 (0.00342)</t>
  </si>
  <si>
    <t>0.00230 (0.00017)</t>
  </si>
  <si>
    <t>ywbE</t>
  </si>
  <si>
    <t>0.36093 (0.17425)</t>
  </si>
  <si>
    <t>0.07149 (0.12539)</t>
  </si>
  <si>
    <t>0.01983 (0.00158)</t>
  </si>
  <si>
    <t>0.06071 (0.00674)</t>
  </si>
  <si>
    <t>0.00906 (0.00102)</t>
  </si>
  <si>
    <t>rlmI</t>
  </si>
  <si>
    <t>large subunit ribosomal RNA m5C1962methyltransferase</t>
  </si>
  <si>
    <t>0.12209 (0.04316)</t>
  </si>
  <si>
    <t>0.01924 (0.06174)</t>
  </si>
  <si>
    <t>0.01554 (0.00049)</t>
  </si>
  <si>
    <t>0.05275 (0.00200)</t>
  </si>
  <si>
    <t>0.00499 (0.00023)</t>
  </si>
  <si>
    <t>glxA</t>
  </si>
  <si>
    <t>glyoxalase I; hemithioacetal-bacillithiollactoyl-bacillithiol formation</t>
  </si>
  <si>
    <t>0.03632 (0.04159)</t>
  </si>
  <si>
    <t>0.06890 (0.05197)</t>
  </si>
  <si>
    <t>0.02216 (0.00202)</t>
  </si>
  <si>
    <t>0.09020 (0.00987)</t>
  </si>
  <si>
    <t>0.00519 (0.00044)</t>
  </si>
  <si>
    <t>ywbB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</si>
  <si>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</si>
  <si>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0.25307 (0.10785)</t>
  </si>
  <si>
    <t>0.20186 (0.16042)</t>
  </si>
  <si>
    <t>0.02700 (0.00163)</t>
  </si>
  <si>
    <t>0.06852 (0.00343)</t>
  </si>
  <si>
    <t>0.01690 (0.00131)</t>
  </si>
  <si>
    <t>ywbA</t>
  </si>
  <si>
    <t>putative cellobiose phosphotransferase systemenzyme IIC permease component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</si>
  <si>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GCA_002055965.1_ASM205596v1_genomic , GCA_002072735.1_ASM207273v1_genomic , GCA_002142595.1_ASM214259v1_genomic</t>
  </si>
  <si>
    <t>0.16009 (0.08726)</t>
  </si>
  <si>
    <t>0.05403 (0.02545)</t>
  </si>
  <si>
    <t>0.02247 (0.00152)</t>
  </si>
  <si>
    <t>0.07670 (0.00581)</t>
  </si>
  <si>
    <t>0.00613 (0.00042)</t>
  </si>
  <si>
    <t>epr</t>
  </si>
  <si>
    <t>0.24293 (0.06658)</t>
  </si>
  <si>
    <t>0.15712 (0.02703)</t>
  </si>
  <si>
    <t>0.01436 (0.00031)</t>
  </si>
  <si>
    <t>0.03818 (0.00089)</t>
  </si>
  <si>
    <t>0.00760 (0.00022)</t>
  </si>
  <si>
    <t>sacX</t>
  </si>
  <si>
    <t>negative regulator of SacY</t>
  </si>
  <si>
    <t>0.09016 (0.04685)</t>
  </si>
  <si>
    <t>0.09851 (0.04587)</t>
  </si>
  <si>
    <t>0.01578 (0.00062)</t>
  </si>
  <si>
    <t>0.05468 (0.00247)</t>
  </si>
  <si>
    <t>sacY</t>
  </si>
  <si>
    <t>transcriptional antiterminator</t>
  </si>
  <si>
    <t>0.06596 (0.03444)</t>
  </si>
  <si>
    <t>0.06753 (0.08654)</t>
  </si>
  <si>
    <t>0.02184 (0.00148)</t>
  </si>
  <si>
    <t>0.09440 (0.00719)</t>
  </si>
  <si>
    <t>0.00529 (0.00035)</t>
  </si>
  <si>
    <t>gspA</t>
  </si>
  <si>
    <t>putative glycosyl transferase (general stressprotein)</t>
  </si>
  <si>
    <t>0.12484 (0.25215)</t>
  </si>
  <si>
    <t>0.16317 (0.06148)</t>
  </si>
  <si>
    <t>0.01049 (0.00073)</t>
  </si>
  <si>
    <t>0.03533 (0.00244)</t>
  </si>
  <si>
    <t>0.00422 (0.00035)</t>
  </si>
  <si>
    <t>ywaF</t>
  </si>
  <si>
    <t>0.48535 (0.32242)</t>
  </si>
  <si>
    <t>0.09648 (0.02655)</t>
  </si>
  <si>
    <t>0.01485 (0.00056)</t>
  </si>
  <si>
    <t>0.03935 (0.00190)</t>
  </si>
  <si>
    <t>0.00735 (0.00043)</t>
  </si>
  <si>
    <t>tyrZR</t>
  </si>
  <si>
    <t>transcriptional regulator controlling expressionof tyrZ</t>
  </si>
  <si>
    <t>0.11486 (0.05595)</t>
  </si>
  <si>
    <t>0.07525 (0.14303)</t>
  </si>
  <si>
    <t>0.00825 (0.00038)</t>
  </si>
  <si>
    <t>0.02509 (0.00150)</t>
  </si>
  <si>
    <t>0.00333 (0.00024)</t>
  </si>
  <si>
    <t>tyrZ</t>
  </si>
  <si>
    <t>0.14152 (0.05027)</t>
  </si>
  <si>
    <t>0.09783 (0.23848)</t>
  </si>
  <si>
    <t>0.01906 (0.00089)</t>
  </si>
  <si>
    <t>0.06231 (0.00308)</t>
  </si>
  <si>
    <t>0.00795 (0.00039)</t>
  </si>
  <si>
    <t>eapD</t>
  </si>
  <si>
    <t>exported double-zinc aminopeptidase</t>
  </si>
  <si>
    <t>0.14913 (0.05455)</t>
  </si>
  <si>
    <t>0.13304 (0.13088)</t>
  </si>
  <si>
    <t>0.01764 (0.00053)</t>
  </si>
  <si>
    <t>0.05522 (0.00166)</t>
  </si>
  <si>
    <t>0.00680 (0.00030)</t>
  </si>
  <si>
    <t>relQ</t>
  </si>
  <si>
    <t>0.00694 (0.01954)</t>
  </si>
  <si>
    <t>0.01146 (0.03251)</t>
  </si>
  <si>
    <t>0.01967 (0.00228)</t>
  </si>
  <si>
    <t>0.10646 (0.01278)</t>
  </si>
  <si>
    <t>menA</t>
  </si>
  <si>
    <t>1,4-dihydroxy-2-naphthoateoctaprenyltransferase</t>
  </si>
  <si>
    <t>0.02138 (0.02244)</t>
  </si>
  <si>
    <t>0.05104 (0.02766)</t>
  </si>
  <si>
    <t>0.02132 (0.00092)</t>
  </si>
  <si>
    <t>0.08398 (0.00388)</t>
  </si>
  <si>
    <t>BSU_38495</t>
  </si>
  <si>
    <t>hypothetical proteingene            3952108..3952257CDS             3952108..3952257organisms</t>
  </si>
  <si>
    <t>0.70636 (0.09827)</t>
  </si>
  <si>
    <t>0.65529 (1.20547)</t>
  </si>
  <si>
    <t>0.02742 (0.00291)</t>
  </si>
  <si>
    <t>0.02457 (0.00848)</t>
  </si>
  <si>
    <t>0.02903 (0.00264)</t>
  </si>
  <si>
    <t>dltA</t>
  </si>
  <si>
    <t>D-alanine:D-alanyl-carrier protein ligasesubunit</t>
  </si>
  <si>
    <t>0.11766 (0.04661)</t>
  </si>
  <si>
    <t>0.07717 (0.04733)</t>
  </si>
  <si>
    <t>0.01058 (0.00028)</t>
  </si>
  <si>
    <t>0.03518 (0.00093)</t>
  </si>
  <si>
    <t>0.00347 (0.00016)</t>
  </si>
  <si>
    <t>dltB</t>
  </si>
  <si>
    <t>putative D-alanine transferase from DCP toundecaprenylphosphate for lipoteichoic acid and wallteichoic acid</t>
  </si>
  <si>
    <t>0.04603 (0.01932)</t>
  </si>
  <si>
    <t>0.03369 (0.05424)</t>
  </si>
  <si>
    <t>0.02333 (0.00137)</t>
  </si>
  <si>
    <t>0.10582 (0.00660)</t>
  </si>
  <si>
    <t>0.00245 (0.00016)</t>
  </si>
  <si>
    <t>dltC</t>
  </si>
  <si>
    <t>D-alanyl carrier protein</t>
  </si>
  <si>
    <t>0.05007 (0.09869)</t>
  </si>
  <si>
    <t>0.01628 (0.00143)</t>
  </si>
  <si>
    <t>0.07897 (0.00757)</t>
  </si>
  <si>
    <t>dltD</t>
  </si>
  <si>
    <t>putative D-alanine from undecaprenylphosphate tothe polyglycerolphosphate chain for lipoteichoic acid andwall teichoic acid synthesis</t>
  </si>
  <si>
    <t>0.02734 (0.04528)</t>
  </si>
  <si>
    <t>0.00648 (0.00033)</t>
  </si>
  <si>
    <t>0.02819 (0.00144)</t>
  </si>
  <si>
    <t>0.00034 (0.00006)</t>
  </si>
  <si>
    <t>dltE</t>
  </si>
  <si>
    <t>0.12705 (0.07061)</t>
  </si>
  <si>
    <t>0.09792 (0.15131)</t>
  </si>
  <si>
    <t>0.02050 (0.00148)</t>
  </si>
  <si>
    <t>0.07184 (0.00611)</t>
  </si>
  <si>
    <t>0.00700 (0.00039)</t>
  </si>
  <si>
    <t>ilvK</t>
  </si>
  <si>
    <t>branched-chain amino acid aminotransferase</t>
  </si>
  <si>
    <t>0.05418 (0.03254)</t>
  </si>
  <si>
    <t>0.01764 (0.03838)</t>
  </si>
  <si>
    <t>0.02157 (0.00106)</t>
  </si>
  <si>
    <t>0.09218 (0.00471)</t>
  </si>
  <si>
    <t>0.00245 (0.00017)</t>
  </si>
  <si>
    <t>licH</t>
  </si>
  <si>
    <t>6-phospho-beta-glucosidase</t>
  </si>
  <si>
    <t>0.01729 (0.01444)</t>
  </si>
  <si>
    <t>0.00598 (0.01958)</t>
  </si>
  <si>
    <t>0.01684 (0.00052)</t>
  </si>
  <si>
    <t>0.07265 (0.00235)</t>
  </si>
  <si>
    <t>0.00077 (0.00006)</t>
  </si>
  <si>
    <t>licA</t>
  </si>
  <si>
    <t>phosphotransferase system (PTS)lichenan-specific enzyme IIA component</t>
  </si>
  <si>
    <t>0.02301 (0.05912)</t>
  </si>
  <si>
    <t>0.05496 (0.06494)</t>
  </si>
  <si>
    <t>0.02277 (0.00246)</t>
  </si>
  <si>
    <t>0.10222 (0.01288)</t>
  </si>
  <si>
    <t>0.00569 (0.00045)</t>
  </si>
  <si>
    <t>licC</t>
  </si>
  <si>
    <t>phosphotransferase system (PTS)lichenan-specific enzyme IIC component</t>
  </si>
  <si>
    <t>0.06467 (0.02921)</t>
  </si>
  <si>
    <t>0.01104 (0.03393)</t>
  </si>
  <si>
    <t>0.04119 (0.00156)</t>
  </si>
  <si>
    <t>0.00142 (0.00009)</t>
  </si>
  <si>
    <t>licB</t>
  </si>
  <si>
    <t>phosphotransferase system (PTS)lichenan-specific enzyme IIB component</t>
  </si>
  <si>
    <t>0.41333 (0.10558)</t>
  </si>
  <si>
    <t>0.01306 (0.02854)</t>
  </si>
  <si>
    <t>0.02780 (0.00195)</t>
  </si>
  <si>
    <t>0.12973 (0.00929)</t>
  </si>
  <si>
    <t>0.00130 (0.00024)</t>
  </si>
  <si>
    <t>licR</t>
  </si>
  <si>
    <t>transcriptional activator of the lichenanoperon</t>
  </si>
  <si>
    <t>0.11015 (0.03908)</t>
  </si>
  <si>
    <t>0.12196 (0.09362)</t>
  </si>
  <si>
    <t>0.01278 (0.00047)</t>
  </si>
  <si>
    <t>0.04128 (0.00182)</t>
  </si>
  <si>
    <t>0.00479 (0.00019)</t>
  </si>
  <si>
    <t>yxzF</t>
  </si>
  <si>
    <t>0.15866 (0.19638)</t>
  </si>
  <si>
    <t>0.04397 (0.08100)</t>
  </si>
  <si>
    <t>0.03345 (0.00213)</t>
  </si>
  <si>
    <t>0.13803 (0.01127)</t>
  </si>
  <si>
    <t>0.00923 (0.00154)</t>
  </si>
  <si>
    <t>aag</t>
  </si>
  <si>
    <t>3-alkylated purines and hypoxanthine DNAglycosidase</t>
  </si>
  <si>
    <t>0.08422 (0.02990)</t>
  </si>
  <si>
    <t>0.01255 (0.00055)</t>
  </si>
  <si>
    <t>0.04677 (0.00223)</t>
  </si>
  <si>
    <t>0.00197 (0.00020)</t>
  </si>
  <si>
    <t>katX</t>
  </si>
  <si>
    <t>major catalase in spores</t>
  </si>
  <si>
    <t>0.03682 (0.03045)</t>
  </si>
  <si>
    <t>0.01671 (0.01586)</t>
  </si>
  <si>
    <t>0.01213 (0.00045)</t>
  </si>
  <si>
    <t>0.05278 (0.00210)</t>
  </si>
  <si>
    <t>0.00126 (0.00010)</t>
  </si>
  <si>
    <t>yxlH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</si>
  <si>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</si>
  <si>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0.14168 (0.05222)</t>
  </si>
  <si>
    <t>0.19777 (0.07298)</t>
  </si>
  <si>
    <t>0.01874 (0.00086)</t>
  </si>
  <si>
    <t>0.05061 (0.00269)</t>
  </si>
  <si>
    <t>0.00911 (0.00041)</t>
  </si>
  <si>
    <t>yxlG</t>
  </si>
  <si>
    <t>putative ABC-transporter (permease)</t>
  </si>
  <si>
    <t>0.18093 (0.16682)</t>
  </si>
  <si>
    <t>0.17390 (0.18080)</t>
  </si>
  <si>
    <t>0.01591 (0.00126)</t>
  </si>
  <si>
    <t>0.04513 (0.00390)</t>
  </si>
  <si>
    <t>0.00729 (0.00058)</t>
  </si>
  <si>
    <t>yxlF</t>
  </si>
  <si>
    <t>putative ABC transporter component (ATP-bindingprotein)</t>
  </si>
  <si>
    <t>0.29988 (0.22629)</t>
  </si>
  <si>
    <t>0.12009 (0.05600)</t>
  </si>
  <si>
    <t>0.02541 (0.00107)</t>
  </si>
  <si>
    <t>0.08094 (0.00333)</t>
  </si>
  <si>
    <t>0.01024 (0.00041)</t>
  </si>
  <si>
    <t>yxlE</t>
  </si>
  <si>
    <t>negative regulator of sigma-Y activity</t>
  </si>
  <si>
    <t>0.07097 (0.05500)</t>
  </si>
  <si>
    <t>0.02631 (0.00243)</t>
  </si>
  <si>
    <t>0.11519 (0.01242)</t>
  </si>
  <si>
    <t>0.00516 (0.00083)</t>
  </si>
  <si>
    <t>yxlD</t>
  </si>
  <si>
    <t>putative sigma-Y antisigma factor component</t>
  </si>
  <si>
    <t>0.24518 (0.12554)</t>
  </si>
  <si>
    <t>0.03627 (0.00524)</t>
  </si>
  <si>
    <t>0.08532 (0.01752)</t>
  </si>
  <si>
    <t>0.02446 (0.00330)</t>
  </si>
  <si>
    <t>yxlC</t>
  </si>
  <si>
    <t>sigma-Y antisigma factor</t>
  </si>
  <si>
    <t>0.07660 (0.03521)</t>
  </si>
  <si>
    <t>0.02913 (0.00451)</t>
  </si>
  <si>
    <t>0.10718 (0.02054)</t>
  </si>
  <si>
    <t>0.00974 (0.00128)</t>
  </si>
  <si>
    <t>sigY</t>
  </si>
  <si>
    <t>RNA polymerase ECF (extracytoplasmicfunction)-type sigma factor (sigma-Y)</t>
  </si>
  <si>
    <t>0.13915 (0.17175)</t>
  </si>
  <si>
    <t>0.09793 (0.08437)</t>
  </si>
  <si>
    <t>0.01376 (0.00116)</t>
  </si>
  <si>
    <t>0.04567 (0.00476)</t>
  </si>
  <si>
    <t>0.00541 (0.00037)</t>
  </si>
  <si>
    <t>yxlA</t>
  </si>
  <si>
    <t>putative purine-cytosine (pyridoxine) permease</t>
  </si>
  <si>
    <t>0.06422 (0.03400)</t>
  </si>
  <si>
    <t>0.04187 (0.09162)</t>
  </si>
  <si>
    <t>0.01683 (0.00166)</t>
  </si>
  <si>
    <t>0.06626 (0.00702)</t>
  </si>
  <si>
    <t>0.00297 (0.00026)</t>
  </si>
  <si>
    <t>nnrA</t>
  </si>
  <si>
    <t>NAD(P)H dehydratase</t>
  </si>
  <si>
    <t>0.26721 (0.13693)</t>
  </si>
  <si>
    <t>0.28328 (0.31399)</t>
  </si>
  <si>
    <t>0.01167 (0.00067)</t>
  </si>
  <si>
    <t>0.02535 (0.00183)</t>
  </si>
  <si>
    <t>0.00750 (0.00041)</t>
  </si>
  <si>
    <t>cydD</t>
  </si>
  <si>
    <t>ABC membrane transporter (ATP-binding protein)required for cytochrome bb' function (reductant effluxpump)</t>
  </si>
  <si>
    <t>0.07422 (0.03950)</t>
  </si>
  <si>
    <t>0.08094 (0.03813)</t>
  </si>
  <si>
    <t>0.02092 (0.00090)</t>
  </si>
  <si>
    <t>0.07179 (0.00343)</t>
  </si>
  <si>
    <t>0.00609 (0.00027)</t>
  </si>
  <si>
    <t>cydC</t>
  </si>
  <si>
    <t>0.06626 (0.09523)</t>
  </si>
  <si>
    <t>0.17125 (0.12579)</t>
  </si>
  <si>
    <t>0.02465 (0.00138)</t>
  </si>
  <si>
    <t>0.07833 (0.00514)</t>
  </si>
  <si>
    <t>0.00924 (0.00048)</t>
  </si>
  <si>
    <t>cydB</t>
  </si>
  <si>
    <t>cytochrome bb' ubiquinol oxidase (subunit II)</t>
  </si>
  <si>
    <t>0.05769 (0.03560)</t>
  </si>
  <si>
    <t>0.04484 (0.05729)</t>
  </si>
  <si>
    <t>0.02188 (0.00142)</t>
  </si>
  <si>
    <t>0.08661 (0.00618)</t>
  </si>
  <si>
    <t>0.00406 (0.00025)</t>
  </si>
  <si>
    <t>cydA</t>
  </si>
  <si>
    <t>cytochrome bb' ubiquinol oxidase (subunit I)</t>
  </si>
  <si>
    <t>0.00880 (0.01808)</t>
  </si>
  <si>
    <t>0.01512 (0.02543)</t>
  </si>
  <si>
    <t>0.02254 (0.00119)</t>
  </si>
  <si>
    <t>0.10233 (0.00588)</t>
  </si>
  <si>
    <t>0.00233 (0.00017)</t>
  </si>
  <si>
    <t>cimH</t>
  </si>
  <si>
    <t>citrate/malate/H+ symporter</t>
  </si>
  <si>
    <t>0.04228 (0.03517)</t>
  </si>
  <si>
    <t>0.02307 (0.02638)</t>
  </si>
  <si>
    <t>0.01736 (0.00046)</t>
  </si>
  <si>
    <t>0.06719 (0.00199)</t>
  </si>
  <si>
    <t>0.00190 (0.00012)</t>
  </si>
  <si>
    <t>yxkI</t>
  </si>
  <si>
    <t>0.15250 (0.03827)</t>
  </si>
  <si>
    <t>0.12379 (0.04716)</t>
  </si>
  <si>
    <t>0.02164 (0.00058)</t>
  </si>
  <si>
    <t>0.06557 (0.00193)</t>
  </si>
  <si>
    <t>0.00893 (0.00026)</t>
  </si>
  <si>
    <t>yxzE</t>
  </si>
  <si>
    <t>ref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</si>
  <si>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0.38435 (0.16057)</t>
  </si>
  <si>
    <t>0.19061 (0.15038)</t>
  </si>
  <si>
    <t>0.02929 (0.00356)</t>
  </si>
  <si>
    <t>0.07102 (0.00549)</t>
  </si>
  <si>
    <t>0.01853 (0.00264)</t>
  </si>
  <si>
    <t>yxkH</t>
  </si>
  <si>
    <t>putative exported polysaccharide deacetylase,lipoprotein</t>
  </si>
  <si>
    <t>0.20773 (0.12379)</t>
  </si>
  <si>
    <t>0.15431 (0.10811)</t>
  </si>
  <si>
    <t>0.01283 (0.00068)</t>
  </si>
  <si>
    <t>0.03892 (0.00245)</t>
  </si>
  <si>
    <t>0.00609 (0.00034)</t>
  </si>
  <si>
    <t>msmX</t>
  </si>
  <si>
    <t>multiple sugar (maltodextrins) transporterATP-binding protein</t>
  </si>
  <si>
    <t>0.00824 (0.02331)</t>
  </si>
  <si>
    <t>0.01345 (0.00049)</t>
  </si>
  <si>
    <t>0.06155 (0.00234)</t>
  </si>
  <si>
    <t>yxkF</t>
  </si>
  <si>
    <t>transcriptional regulator (regulates yxkF-msmXexpression)</t>
  </si>
  <si>
    <t>0.17394 (0.08033)</t>
  </si>
  <si>
    <t>0.13095 (0.03854)</t>
  </si>
  <si>
    <t>0.01241 (0.00052)</t>
  </si>
  <si>
    <t>0.03470 (0.00145)</t>
  </si>
  <si>
    <t>0.00631 (0.00047)</t>
  </si>
  <si>
    <t>aldY</t>
  </si>
  <si>
    <t>0.18451 (0.05149)</t>
  </si>
  <si>
    <t>0.08077 (0.06917)</t>
  </si>
  <si>
    <t>0.02349 (0.00087)</t>
  </si>
  <si>
    <t>0.07659 (0.00285)</t>
  </si>
  <si>
    <t>0.00891 (0.00041)</t>
  </si>
  <si>
    <t>gdnE</t>
  </si>
  <si>
    <t>guanidinium exporter</t>
  </si>
  <si>
    <t>0.05736 (0.04034)</t>
  </si>
  <si>
    <t>0.01185 (0.00048)</t>
  </si>
  <si>
    <t>0.04850 (0.00217)</t>
  </si>
  <si>
    <t>0.00134 (0.00014)</t>
  </si>
  <si>
    <t>yxkC</t>
  </si>
  <si>
    <t>ref , GCA_000146565.1_ASM14656v1_genomic , GCA_000227465.1_ASM22746v1_genomic , GCA_000227485.1_ASM22748v1_genomic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GCA_002142595.1_ASM214259v1_genomic</t>
  </si>
  <si>
    <t>0.05383 (0.11354)</t>
  </si>
  <si>
    <t>0.06428 (0.03723)</t>
  </si>
  <si>
    <t>0.02558 (0.00219)</t>
  </si>
  <si>
    <t>0.09947 (0.00874)</t>
  </si>
  <si>
    <t>0.00550 (0.00083)</t>
  </si>
  <si>
    <t>galE</t>
  </si>
  <si>
    <t>UDP-glucose 4-epimerase</t>
  </si>
  <si>
    <t>0.04394 (0.02564)</t>
  </si>
  <si>
    <t>0.05095 (0.02515)</t>
  </si>
  <si>
    <t>0.01724 (0.00068)</t>
  </si>
  <si>
    <t>0.06673 (0.00286)</t>
  </si>
  <si>
    <t>yxkA</t>
  </si>
  <si>
    <t>putative phospholipid binding protein</t>
  </si>
  <si>
    <t>ref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GCA_000973605.1_ASM97360v1_genomic , GCA_001015095.1_ASM101509v1_genomic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GCA_002055965.1_ASM205596v1_genomic</t>
  </si>
  <si>
    <t>0.17671 (0.05019)</t>
  </si>
  <si>
    <t>0.01111 (0.00132)</t>
  </si>
  <si>
    <t>0.03295 (0.00376)</t>
  </si>
  <si>
    <t>0.00512 (0.00089)</t>
  </si>
  <si>
    <t>yxjO</t>
  </si>
  <si>
    <t>0.24280 (0.18402)</t>
  </si>
  <si>
    <t>0.33807 (0.28038)</t>
  </si>
  <si>
    <t>0.01550 (0.00145)</t>
  </si>
  <si>
    <t>0.03556 (0.00373)</t>
  </si>
  <si>
    <t>0.01004 (0.00123)</t>
  </si>
  <si>
    <t>yxjN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</si>
  <si>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GCA_002142595.1_ASM214259v1_genomic , GCA_002173615.1_ASM217361v1_genomic</t>
  </si>
  <si>
    <t>0.10884 (0.05389)</t>
  </si>
  <si>
    <t>0.04406 (0.09661)</t>
  </si>
  <si>
    <t>0.02688 (0.00164)</t>
  </si>
  <si>
    <t>0.09277 (0.00642)</t>
  </si>
  <si>
    <t>0.00710 (0.00047)</t>
  </si>
  <si>
    <t>yxjM</t>
  </si>
  <si>
    <t>two-component sensor histidine kinase [YxjL]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</si>
  <si>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GCA_002055965.1_ASM205596v1_genomic , GCA_002072735.1_ASM207273v1_genomic , GCA_002142595.1_ASM214259v1_genomic , GCA_002173615.1_ASM217361v1_genomic</t>
  </si>
  <si>
    <t>0.29701 (0.06712)</t>
  </si>
  <si>
    <t>0.12520 (0.02069)</t>
  </si>
  <si>
    <t>0.01861 (0.00097)</t>
  </si>
  <si>
    <t>0.04990 (0.00292)</t>
  </si>
  <si>
    <t>0.00954 (0.00053)</t>
  </si>
  <si>
    <t>yxjL</t>
  </si>
  <si>
    <t>two-component response regulator [YxjM]</t>
  </si>
  <si>
    <t>0.16603 (0.07919)</t>
  </si>
  <si>
    <t>0.12246 (0.07568)</t>
  </si>
  <si>
    <t>0.01884 (0.00076)</t>
  </si>
  <si>
    <t>0.05935 (0.00256)</t>
  </si>
  <si>
    <t>0.00752 (0.00044)</t>
  </si>
  <si>
    <t>pepT</t>
  </si>
  <si>
    <t>peptidase T (tripeptidase)</t>
  </si>
  <si>
    <t>0.07882 (0.02558)</t>
  </si>
  <si>
    <t>0.01035 (0.03438)</t>
  </si>
  <si>
    <t>0.01371 (0.00046)</t>
  </si>
  <si>
    <t>0.05457 (0.00191)</t>
  </si>
  <si>
    <t>0.00241 (0.00014)</t>
  </si>
  <si>
    <t>yxjJ</t>
  </si>
  <si>
    <t>0.45466 (0.31221)</t>
  </si>
  <si>
    <t>0.17445 (0.20906)</t>
  </si>
  <si>
    <t>0.02172 (0.00229)</t>
  </si>
  <si>
    <t>0.05896 (0.00847)</t>
  </si>
  <si>
    <t>0.01267 (0.00116)</t>
  </si>
  <si>
    <t>yxjI</t>
  </si>
  <si>
    <t>0.18891 (0.08502)</t>
  </si>
  <si>
    <t>0.16969 (0.16442)</t>
  </si>
  <si>
    <t>0.01137 (0.00075)</t>
  </si>
  <si>
    <t>0.03246 (0.00319)</t>
  </si>
  <si>
    <t>0.00627 (0.00031)</t>
  </si>
  <si>
    <t>yxjH</t>
  </si>
  <si>
    <t>putative methyl-tetrahydrofolatemethyltransferase (biofilm formation)</t>
  </si>
  <si>
    <t>0.12250 (0.06960)</t>
  </si>
  <si>
    <t>0.08837 (0.09381)</t>
  </si>
  <si>
    <t>0.01458 (0.00069)</t>
  </si>
  <si>
    <t>0.04891 (0.00230)</t>
  </si>
  <si>
    <t>0.00521 (0.00033)</t>
  </si>
  <si>
    <t>yxjG</t>
  </si>
  <si>
    <t>putative methyltetrahydrofolatemethyltransferase (biofilm formation)</t>
  </si>
  <si>
    <t>0.08912 (0.02498)</t>
  </si>
  <si>
    <t>0.03115 (0.00723)</t>
  </si>
  <si>
    <t>0.03350 (0.00119)</t>
  </si>
  <si>
    <t>0.14598 (0.00603)</t>
  </si>
  <si>
    <t>0.00590 (0.00018)</t>
  </si>
  <si>
    <t>yxjF</t>
  </si>
  <si>
    <t>putative hydroxyacid dehydrogenase</t>
  </si>
  <si>
    <t>0.13936 (0.16535)</t>
  </si>
  <si>
    <t>0.08563 (0.12355)</t>
  </si>
  <si>
    <t>0.01305 (0.00069)</t>
  </si>
  <si>
    <t>0.04021 (0.00206)</t>
  </si>
  <si>
    <t>0.00472 (0.00038)</t>
  </si>
  <si>
    <t>scoB</t>
  </si>
  <si>
    <t>acetoacetyl CoA-transferase (subunit B)</t>
  </si>
  <si>
    <t>0.11003 (0.10669)</t>
  </si>
  <si>
    <t>0.02103 (0.05681)</t>
  </si>
  <si>
    <t>0.01064 (0.00048)</t>
  </si>
  <si>
    <t>0.03983 (0.00198)</t>
  </si>
  <si>
    <t>0.00237 (0.00025)</t>
  </si>
  <si>
    <t>scoA</t>
  </si>
  <si>
    <t>acetoacetyl CoA-transferase (subunit A)</t>
  </si>
  <si>
    <t>0.09428 (0.03558)</t>
  </si>
  <si>
    <t>0.00959 (0.00036)</t>
  </si>
  <si>
    <t>0.03482 (0.00126)</t>
  </si>
  <si>
    <t>0.00198 (0.00018)</t>
  </si>
  <si>
    <t>yxjC</t>
  </si>
  <si>
    <t>putative acid metabolite permease</t>
  </si>
  <si>
    <t>0.04817 (0.02718)</t>
  </si>
  <si>
    <t>0.04981 (0.05725)</t>
  </si>
  <si>
    <t>0.01392 (0.00045)</t>
  </si>
  <si>
    <t>0.04955 (0.00170)</t>
  </si>
  <si>
    <t>0.00243 (0.00012)</t>
  </si>
  <si>
    <t>rlmA</t>
  </si>
  <si>
    <t>23S rRNA m(1)G748 methyltransferase (class II)</t>
  </si>
  <si>
    <t>0.36322 (0.12038)</t>
  </si>
  <si>
    <t>0.28619 (0.14903)</t>
  </si>
  <si>
    <t>0.01959 (0.00082)</t>
  </si>
  <si>
    <t>0.04452 (0.00256)</t>
  </si>
  <si>
    <t>0.01266 (0.00045)</t>
  </si>
  <si>
    <t>nupG</t>
  </si>
  <si>
    <t>purine nucleoside transporter</t>
  </si>
  <si>
    <t>0.03266 (0.02911)</t>
  </si>
  <si>
    <t>0.03142 (0.03208)</t>
  </si>
  <si>
    <t>0.02337 (0.00126)</t>
  </si>
  <si>
    <t>0.09864 (0.00580)</t>
  </si>
  <si>
    <t>0.00316 (0.00016)</t>
  </si>
  <si>
    <t>yxiS</t>
  </si>
  <si>
    <t>0.13907 (0.06580)</t>
  </si>
  <si>
    <t>0.16671 (0.19250)</t>
  </si>
  <si>
    <t>0.01675 (0.00081)</t>
  </si>
  <si>
    <t>0.05525 (0.00294)</t>
  </si>
  <si>
    <t>0.00775 (0.00060)</t>
  </si>
  <si>
    <t>katE</t>
  </si>
  <si>
    <t>catalase 2</t>
  </si>
  <si>
    <t>0.09877 (0.02628)</t>
  </si>
  <si>
    <t>0.03754 (0.00660)</t>
  </si>
  <si>
    <t>0.02197 (0.00043)</t>
  </si>
  <si>
    <t>0.08809 (0.00191)</t>
  </si>
  <si>
    <t>0.00461 (0.00012)</t>
  </si>
  <si>
    <t>citH</t>
  </si>
  <si>
    <t>secondary transporter of divalent metal</t>
  </si>
  <si>
    <t>0.03605 (0.02958)</t>
  </si>
  <si>
    <t>0.01311 (0.00047)</t>
  </si>
  <si>
    <t>0.05076 (0.00196)</t>
  </si>
  <si>
    <t>bglS</t>
  </si>
  <si>
    <t>endo-beta-1,3-1,4 glucanase</t>
  </si>
  <si>
    <t>0.07418 (0.06027)</t>
  </si>
  <si>
    <t>0.11174 (0.08821)</t>
  </si>
  <si>
    <t>0.01126 (0.00046)</t>
  </si>
  <si>
    <t>0.03844 (0.00183)</t>
  </si>
  <si>
    <t>0.00347 (0.00024)</t>
  </si>
  <si>
    <t>licT</t>
  </si>
  <si>
    <t>0.05422 (0.04368)</t>
  </si>
  <si>
    <t>0.03806 (0.08021)</t>
  </si>
  <si>
    <t>0.02015 (0.00153)</t>
  </si>
  <si>
    <t>0.09151 (0.00726)</t>
  </si>
  <si>
    <t>0.00382 (0.00037)</t>
  </si>
  <si>
    <t>yxiP</t>
  </si>
  <si>
    <t>0.41504 (0.21039)</t>
  </si>
  <si>
    <t>0.41363 (0.15988)</t>
  </si>
  <si>
    <t>0.01594 (0.00044)</t>
  </si>
  <si>
    <t>0.03899 (0.00169)</t>
  </si>
  <si>
    <t>0.01048 (0.00034)</t>
  </si>
  <si>
    <t>yxiO</t>
  </si>
  <si>
    <t>0.08382 (0.01867)</t>
  </si>
  <si>
    <t>0.06653 (0.03442)</t>
  </si>
  <si>
    <t>0.01973 (0.00052)</t>
  </si>
  <si>
    <t>0.06768 (0.00207)</t>
  </si>
  <si>
    <t>0.00508 (0.00016)</t>
  </si>
  <si>
    <t>deaD</t>
  </si>
  <si>
    <t>ATP-dependent RNA helicase for 23S ribosomal RNAmaturation</t>
  </si>
  <si>
    <t>0.08642 (0.03492)</t>
  </si>
  <si>
    <t>0.06719 (0.02850)</t>
  </si>
  <si>
    <t>0.01850 (0.00060)</t>
  </si>
  <si>
    <t>0.07218 (0.00264)</t>
  </si>
  <si>
    <t>0.00439 (0.00015)</t>
  </si>
  <si>
    <t>yxiM</t>
  </si>
  <si>
    <t>esterase (lipoprotein)</t>
  </si>
  <si>
    <t>0.13392 (0.03119)</t>
  </si>
  <si>
    <t>0.10517 (0.02702)</t>
  </si>
  <si>
    <t>0.03202 (0.00069)</t>
  </si>
  <si>
    <t>0.10552 (0.00236)</t>
  </si>
  <si>
    <t>0.01208 (0.00038)</t>
  </si>
  <si>
    <t>yxzJ</t>
  </si>
  <si>
    <t>0.48115 (0.21351)</t>
  </si>
  <si>
    <t>0.35990 (0.23993)</t>
  </si>
  <si>
    <t>0.03215 (0.00145)</t>
  </si>
  <si>
    <t>0.06158 (0.00505)</t>
  </si>
  <si>
    <t>0.02638 (0.00129)</t>
  </si>
  <si>
    <t>yxiK</t>
  </si>
  <si>
    <t>ref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GCA_002055965.1_ASM205596v1_genomic , GCA_002072735.1_ASM207273v1_genomic , GCA_002142595.1_ASM214259v1_genomic</t>
  </si>
  <si>
    <t>0.54792 (0.33343)</t>
  </si>
  <si>
    <t>0.55093 (0.48753)</t>
  </si>
  <si>
    <t>0.03107 (0.00429)</t>
  </si>
  <si>
    <t>0.05023 (0.01004)</t>
  </si>
  <si>
    <t>0.02691 (0.00312)</t>
  </si>
  <si>
    <t>yxiJ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</si>
  <si>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GCA_002096095.1_ASM209609v1_genomic , GCA_002173615.1_ASM217361v1_genomic</t>
  </si>
  <si>
    <t>0.49900 (0.29082)</t>
  </si>
  <si>
    <t>0.45378 (0.02127)</t>
  </si>
  <si>
    <t>0.04563 (0.00445)</t>
  </si>
  <si>
    <t>0.07449 (0.00960)</t>
  </si>
  <si>
    <t>0.04009 (0.00388)</t>
  </si>
  <si>
    <t>yxiI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</si>
  <si>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GCA_001890405.1_ASM189040v1_genomic , GCA_001902555.1_ASM190255v1_genomic , GCA_002055965.1_ASM205596v1_genomic , GCA_002072735.1_ASM207273v1_genomic , GCA_002096095.1_ASM209609v1_genomic</t>
  </si>
  <si>
    <t>0.45590 (0.50300)</t>
  </si>
  <si>
    <t>0.02070 (0.00359)</t>
  </si>
  <si>
    <t>0.03739 (0.01263)</t>
  </si>
  <si>
    <t>0.01707 (0.00163)</t>
  </si>
  <si>
    <t>yxzG</t>
  </si>
  <si>
    <t>ref , GCA_000146565.1_ASM14656v1_genomic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GCA_002163815.1_ASM216381v1_genomic , GCA_002173615.1_ASM217361v1_genomic</t>
  </si>
  <si>
    <t>0.17490 (0.11805)</t>
  </si>
  <si>
    <t>0.19933 (0.10043)</t>
  </si>
  <si>
    <t>0.03256 (0.00190)</t>
  </si>
  <si>
    <t>0.09235 (0.00590)</t>
  </si>
  <si>
    <t>0.01736 (0.00121)</t>
  </si>
  <si>
    <t>yxiH</t>
  </si>
  <si>
    <t>ref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GCA_001604995.1_ASM160499v1_genomic , GCA_001660525.1_ASM166052v1_genomic , GCA_001697265.1_ASM169726v1_genomic , GCA_001703495.1_ASM170349v1_genomic , GCA_001704095.1_ASM170409v1_genomic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GCA_002173615.1_ASM217361v1_genomic</t>
  </si>
  <si>
    <t>0.49757 (0.26691)</t>
  </si>
  <si>
    <t>2.04348 (1.47503)</t>
  </si>
  <si>
    <t>0.03819 (0.00541)</t>
  </si>
  <si>
    <t>0.05071 (0.00720)</t>
  </si>
  <si>
    <t>0.03616 (0.00542)</t>
  </si>
  <si>
    <t>yxiG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</si>
  <si>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GCA_001720505.1_ASM172050v1_genomic , GCA_002055965.1_ASM205596v1_genomic , GCA_002072735.1_ASM207273v1_genomic , GCA_002142595.1_ASM214259v1_genomic , GCA_002163815.1_ASM216381v1_genomic</t>
  </si>
  <si>
    <t>0.28018 (0.12183)</t>
  </si>
  <si>
    <t>0.28536 (0.30545)</t>
  </si>
  <si>
    <t>0.03454 (0.00473)</t>
  </si>
  <si>
    <t>0.08295 (0.01349)</t>
  </si>
  <si>
    <t>0.02409 (0.00333)</t>
  </si>
  <si>
    <t>yxzC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</si>
  <si>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GCA_001889625.1_ASM188962v1_genomic , GCA_002055965.1_ASM205596v1_genomic , GCA_002142595.1_ASM214259v1_genomic</t>
  </si>
  <si>
    <t>0.18795 (0.10079)</t>
  </si>
  <si>
    <t>0.55041 (0.00000)</t>
  </si>
  <si>
    <t>0.03472 (0.00617)</t>
  </si>
  <si>
    <t>0.08680 (0.01612)</t>
  </si>
  <si>
    <t>0.02227 (0.00412)</t>
  </si>
  <si>
    <t>yxiF</t>
  </si>
  <si>
    <t>ref , GCA_000186745.1_ASM18674v1_genomic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GCA_001704095.1_ASM170409v1_genomic , GCA_002055965.1_ASM205596v1_genomic , GCA_002142595.1_ASM214259v1_genomic</t>
  </si>
  <si>
    <t>0.53795 (0.77646)</t>
  </si>
  <si>
    <t>0.00321 (0.00044)</t>
  </si>
  <si>
    <t>0.00505 (0.00146)</t>
  </si>
  <si>
    <t>0.00272 (0.00064)</t>
  </si>
  <si>
    <t>wapA</t>
  </si>
  <si>
    <t>cell wall-associated tRNA nuclease precursor;intercellular growth inhibitor</t>
  </si>
  <si>
    <t>ref , GCA_000146565.1_ASM14656v1_genomic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GCA_001604995.1_ASM160499v1_genomic , GCA_001660525.1_ASM166052v1_genomic , GCA_001697265.1_ASM169726v1_genomic , GCA_001703495.1_ASM170349v1_genomic , GCA_001704095.1_ASM170409v1_genomic , GCA_002055965.1_ASM205596v1_genomic , GCA_002142595.1_ASM214259v1_genomic , GCA_002163815.1_ASM216381v1_genomic</t>
  </si>
  <si>
    <t>0.05694 (0.00560)</t>
  </si>
  <si>
    <t>0.04195 (0.00975)</t>
  </si>
  <si>
    <t>0.03806 (0.00209)</t>
  </si>
  <si>
    <t>0.15394 (0.00928)</t>
  </si>
  <si>
    <t>0.00838 (0.00049)</t>
  </si>
  <si>
    <t>yxxF</t>
  </si>
  <si>
    <t>0.11283 (0.03519)</t>
  </si>
  <si>
    <t>0.14672 (0.05938)</t>
  </si>
  <si>
    <t>0.01330 (0.00055)</t>
  </si>
  <si>
    <t>0.04226 (0.00218)</t>
  </si>
  <si>
    <t>0.00440 (0.00019)</t>
  </si>
  <si>
    <t>yxiE</t>
  </si>
  <si>
    <t>phosphate starvation protein (universal stressprotein A family)</t>
  </si>
  <si>
    <t>0.08070 (0.11149)</t>
  </si>
  <si>
    <t>0.05875 (0.12473)</t>
  </si>
  <si>
    <t>0.01550 (0.00122)</t>
  </si>
  <si>
    <t>0.05778 (0.00459)</t>
  </si>
  <si>
    <t>0.00403 (0.00049)</t>
  </si>
  <si>
    <t>bglH</t>
  </si>
  <si>
    <t>ref , GCA_000186745.1_ASM18674v1_genomic , GCA_000209795.2_ASM20979v2_genomic , GCA_000227465.1_ASM22746v1_genomic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GCA_001890405.1_ASM189040v1_genomic , GCA_001902555.1_ASM190255v1_genomic , GCA_002055965.1_ASM205596v1_genomic , GCA_002072735.1_ASM207273v1_genomic , GCA_002096095.1_ASM209609v1_genomic , GCA_002142595.1_ASM214259v1_genomic</t>
  </si>
  <si>
    <t>0.05988 (0.02661)</t>
  </si>
  <si>
    <t>0.04842 (0.02253)</t>
  </si>
  <si>
    <t>0.02107 (0.00091)</t>
  </si>
  <si>
    <t>0.08393 (0.00384)</t>
  </si>
  <si>
    <t>0.00458 (0.00023)</t>
  </si>
  <si>
    <t>bglP</t>
  </si>
  <si>
    <t>phosphotransferase system (PTS)beta-glucoside-specific enzyme IIBCA component</t>
  </si>
  <si>
    <t>ref , GCA_000186745.1_ASM18674v1_genomic , GCA_000209795.2_ASM20979v2_genomic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GCA_001890405.1_ASM189040v1_genomic , GCA_001902555.1_ASM190255v1_genomic , GCA_002055965.1_ASM205596v1_genomic , GCA_002072735.1_ASM207273v1_genomic , GCA_002096095.1_ASM209609v1_genomic</t>
  </si>
  <si>
    <t>0.09381 (0.02565)</t>
  </si>
  <si>
    <t>0.06032 (0.02213)</t>
  </si>
  <si>
    <t>0.01637 (0.00052)</t>
  </si>
  <si>
    <t>0.05512 (0.00187)</t>
  </si>
  <si>
    <t>0.00445 (0.00016)</t>
  </si>
  <si>
    <t>rtbD</t>
  </si>
  <si>
    <t>ribonuclease toxin of the RtbD-RtbEtoxin-antitoxin system</t>
  </si>
  <si>
    <t>ref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GCA_001747445.1_ASM174744v1_genomic , GCA_002055965.1_ASM205596v1_genomic , GCA_002173615.1_ASM217361v1_genomic</t>
  </si>
  <si>
    <t>0.04666 (0.05149)</t>
  </si>
  <si>
    <t>0.16284 (0.16357)</t>
  </si>
  <si>
    <t>0.01667 (0.00215)</t>
  </si>
  <si>
    <t>0.05720 (0.00672)</t>
  </si>
  <si>
    <t>0.00654 (0.00104)</t>
  </si>
  <si>
    <t>yxiC</t>
  </si>
  <si>
    <t>0.27351 (0.21190)</t>
  </si>
  <si>
    <t>0.02272 (0.00204)</t>
  </si>
  <si>
    <t>0.07534 (0.00836)</t>
  </si>
  <si>
    <t>0.00948 (0.00084)</t>
  </si>
  <si>
    <t>yxiB</t>
  </si>
  <si>
    <t>0.09541 (0.07991)</t>
  </si>
  <si>
    <t>0.09218 (0.04099)</t>
  </si>
  <si>
    <t>0.03155 (0.00152)</t>
  </si>
  <si>
    <t>0.12784 (0.00684)</t>
  </si>
  <si>
    <t>0.01244 (0.00069)</t>
  </si>
  <si>
    <t>abnB</t>
  </si>
  <si>
    <t>arabinan endo-1,5-alpha-L-arabinosidase([Ca(2+)-dependent]</t>
  </si>
  <si>
    <t>0.09983 (0.04019)</t>
  </si>
  <si>
    <t>0.11034 (0.01646)</t>
  </si>
  <si>
    <t>0.02976 (0.00069)</t>
  </si>
  <si>
    <t>0.10013 (0.00274)</t>
  </si>
  <si>
    <t>0.01077 (0.00025)</t>
  </si>
  <si>
    <t>yxzL</t>
  </si>
  <si>
    <t>ref , GCA_000186745.1_ASM18674v1_genomic , GCA_000227485.1_ASM22748v1_genomic , GCA_000293765.1_ASM29376v1_genomic , GCA_000344745.1_ASM34474v1_genomic , GCA_000497485.1_ASM49748v1_genomic , GCA_000523045.1_ASM52304v1_genomic , GCA_000699465.1_ASM69946v1_genomic , GCA_000699525.1_ASM69952v1_genomic , GCA_000706705.1_ASM70670v1_genomic , GCA_000789275.1_ASM78927v1_genomic , GCA_000789295.1_ASM78929v1_genomic , GCA_000827065.1_ASM82706v1_genomic , GCA_000953615.1_BS49Ch_genomic , GCA_000971925.1_ASM97192v1_genomic , GCA_001541905.1_ASM154190v1_genomic , GCA_001604995.1_ASM160499v1_genomic , GCA_001660525.1_ASM166052v1_genomic , GCA_001697265.1_ASM169726v1_genomic , GCA_001703495.1_ASM170349v1_genomic , GCA_001704095.1_ASM170409v1_genomic , GCA_002055965.1_ASM205596v1_genomic , GCA_002142595.1_ASM214259v1_genomic</t>
  </si>
  <si>
    <t>0.39089 (0.26060)</t>
  </si>
  <si>
    <t>0.02457 (0.00279)</t>
  </si>
  <si>
    <t>0.03182 (0.00761)</t>
  </si>
  <si>
    <t>0.02361 (0.00367)</t>
  </si>
  <si>
    <t>hutP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</si>
  <si>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GCA_002142595.1_ASM214259v1_genomic , GCA_002163815.1_ASM216381v1_genomic</t>
  </si>
  <si>
    <t>0.02732 (0.10020)</t>
  </si>
  <si>
    <t>0.00914 (0.02766)</t>
  </si>
  <si>
    <t>0.02733 (0.00137)</t>
  </si>
  <si>
    <t>0.11766 (0.00625)</t>
  </si>
  <si>
    <t>hutH</t>
  </si>
  <si>
    <t>histidine ammonia-lyase (histidase)</t>
  </si>
  <si>
    <t>0.04224 (0.01967)</t>
  </si>
  <si>
    <t>0.02120 (0.01699)</t>
  </si>
  <si>
    <t>0.01892 (0.00068)</t>
  </si>
  <si>
    <t>0.07490 (0.00287)</t>
  </si>
  <si>
    <t>0.00261 (0.00016)</t>
  </si>
  <si>
    <t>hutU</t>
  </si>
  <si>
    <t>urocanase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</si>
  <si>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GCA_002055965.1_ASM205596v1_genomic , GCA_002072735.1_ASM207273v1_genomic , GCA_002142595.1_ASM214259v1_genomic</t>
  </si>
  <si>
    <t>0.06709 (0.03746)</t>
  </si>
  <si>
    <t>0.02151 (0.03231)</t>
  </si>
  <si>
    <t>0.02089 (0.00133)</t>
  </si>
  <si>
    <t>0.08760 (0.00627)</t>
  </si>
  <si>
    <t>0.00286 (0.00016)</t>
  </si>
  <si>
    <t>hutI</t>
  </si>
  <si>
    <t>imidazolone-5-propionate hydrolase</t>
  </si>
  <si>
    <t>0.20425 (0.12195)</t>
  </si>
  <si>
    <t>0.09858 (0.04363)</t>
  </si>
  <si>
    <t>0.01504 (0.00054)</t>
  </si>
  <si>
    <t>0.04508 (0.00209)</t>
  </si>
  <si>
    <t>0.00633 (0.00022)</t>
  </si>
  <si>
    <t>hutG</t>
  </si>
  <si>
    <t>formiminoglutamate hydrolase</t>
  </si>
  <si>
    <t>0.12229 (0.11294)</t>
  </si>
  <si>
    <t>0.16555 (0.11183)</t>
  </si>
  <si>
    <t>0.01713 (0.00076)</t>
  </si>
  <si>
    <t>0.05054 (0.00225)</t>
  </si>
  <si>
    <t>0.00769 (0.00042)</t>
  </si>
  <si>
    <t>hutM</t>
  </si>
  <si>
    <t>histidine degradation metabolites permease</t>
  </si>
  <si>
    <t>0.03306 (0.01498)</t>
  </si>
  <si>
    <t>0.04357 (0.03254)</t>
  </si>
  <si>
    <t>0.01453 (0.00048)</t>
  </si>
  <si>
    <t>0.05773 (0.00211)</t>
  </si>
  <si>
    <t>pdp</t>
  </si>
  <si>
    <t>pyrimidine-nucleoside phosphorylase</t>
  </si>
  <si>
    <t>0.04179 (0.02381)</t>
  </si>
  <si>
    <t>0.02211 (0.01841)</t>
  </si>
  <si>
    <t>0.01441 (0.00037)</t>
  </si>
  <si>
    <t>0.05706 (0.00153)</t>
  </si>
  <si>
    <t>0.00212 (0.00012)</t>
  </si>
  <si>
    <t>nupC</t>
  </si>
  <si>
    <t>pyrimidine-nucleoside Na+(H+) cotransporter</t>
  </si>
  <si>
    <t>0.00907 (0.03217)</t>
  </si>
  <si>
    <t>0.01040 (0.00030)</t>
  </si>
  <si>
    <t>0.04345 (0.00133)</t>
  </si>
  <si>
    <t>0.00028 (0.00005)</t>
  </si>
  <si>
    <t>deoC</t>
  </si>
  <si>
    <t>deoxyribose-phosphate aldolase</t>
  </si>
  <si>
    <t>0.13193 (0.10386)</t>
  </si>
  <si>
    <t>0.09456 (0.07727)</t>
  </si>
  <si>
    <t>0.02839 (0.00140)</t>
  </si>
  <si>
    <t>0.00364 (0.00024)</t>
  </si>
  <si>
    <t>deoR</t>
  </si>
  <si>
    <t>transcriptional regulator of pyrmidinedeoxyribonucleosides degradation (DeoR-dR5P)</t>
  </si>
  <si>
    <t>0.02805 (0.02965)</t>
  </si>
  <si>
    <t>0.04272 (0.02461)</t>
  </si>
  <si>
    <t>0.01417 (0.00049)</t>
  </si>
  <si>
    <t>0.05853 (0.00227)</t>
  </si>
  <si>
    <t>0.00150 (0.00010)</t>
  </si>
  <si>
    <t>yxxB</t>
  </si>
  <si>
    <t>0.08210 (0.07368)</t>
  </si>
  <si>
    <t>0.05527 (0.11255)</t>
  </si>
  <si>
    <t>0.02257 (0.00084)</t>
  </si>
  <si>
    <t>0.08106 (0.00275)</t>
  </si>
  <si>
    <t>0.00584 (0.00051)</t>
  </si>
  <si>
    <t>yxeR</t>
  </si>
  <si>
    <t>putative ethanolamine permease</t>
  </si>
  <si>
    <t>0.15927 (0.08803)</t>
  </si>
  <si>
    <t>0.10676 (0.03426)</t>
  </si>
  <si>
    <t>0.02546 (0.00090)</t>
  </si>
  <si>
    <t>0.07623 (0.00301)</t>
  </si>
  <si>
    <t>0.01021 (0.00040)</t>
  </si>
  <si>
    <t>yxeQ</t>
  </si>
  <si>
    <t>putative catabolic enzyme</t>
  </si>
  <si>
    <t>0.22552 (0.20479)</t>
  </si>
  <si>
    <t>0.29619 (0.06785)</t>
  </si>
  <si>
    <t>0.02436 (0.00091)</t>
  </si>
  <si>
    <t>0.05745 (0.00243)</t>
  </si>
  <si>
    <t>0.01463 (0.00055)</t>
  </si>
  <si>
    <t>sndB</t>
  </si>
  <si>
    <t>N-acetyl-sulfur-metabolite deacetylase</t>
  </si>
  <si>
    <t>0.18675 (0.03955)</t>
  </si>
  <si>
    <t>0.08628 (0.04851)</t>
  </si>
  <si>
    <t>0.01698 (0.00038)</t>
  </si>
  <si>
    <t>0.05239 (0.00137)</t>
  </si>
  <si>
    <t>0.00682 (0.00021)</t>
  </si>
  <si>
    <t>yxeO</t>
  </si>
  <si>
    <t>0.09004 (0.04878)</t>
  </si>
  <si>
    <t>0.06650 (0.04385)</t>
  </si>
  <si>
    <t>0.02441 (0.00114)</t>
  </si>
  <si>
    <t>0.09098 (0.00468)</t>
  </si>
  <si>
    <t>0.00647 (0.00034)</t>
  </si>
  <si>
    <t>yxeN</t>
  </si>
  <si>
    <t>0.04167 (0.03068)</t>
  </si>
  <si>
    <t>0.06533 (0.04559)</t>
  </si>
  <si>
    <t>0.03166 (0.00135)</t>
  </si>
  <si>
    <t>0.12496 (0.00577)</t>
  </si>
  <si>
    <t>0.00610 (0.00032)</t>
  </si>
  <si>
    <t>yxeM</t>
  </si>
  <si>
    <t>0.01700 (0.03037)</t>
  </si>
  <si>
    <t>0.00980 (0.02691)</t>
  </si>
  <si>
    <t>0.01526 (0.00075)</t>
  </si>
  <si>
    <t>0.06896 (0.00371)</t>
  </si>
  <si>
    <t>0.00090 (0.00013)</t>
  </si>
  <si>
    <t>snaB</t>
  </si>
  <si>
    <t>sulfur-containing aminoacid acetyltransferase</t>
  </si>
  <si>
    <t>0.10729 (0.06001)</t>
  </si>
  <si>
    <t>0.02098 (0.00099)</t>
  </si>
  <si>
    <t>0.07382 (0.00368)</t>
  </si>
  <si>
    <t>0.00593 (0.00041)</t>
  </si>
  <si>
    <t>yxeK</t>
  </si>
  <si>
    <t>0.05835 (0.03620)</t>
  </si>
  <si>
    <t>0.03336 (0.01693)</t>
  </si>
  <si>
    <t>0.01867 (0.00057)</t>
  </si>
  <si>
    <t>0.07273 (0.00240)</t>
  </si>
  <si>
    <t>0.00376 (0.00020)</t>
  </si>
  <si>
    <t>yxeJ</t>
  </si>
  <si>
    <t>0.56097 (0.39666)</t>
  </si>
  <si>
    <t>0.01259 (0.00244)</t>
  </si>
  <si>
    <t>0.01027 (0.00383)</t>
  </si>
  <si>
    <t>0.01355 (0.00264)</t>
  </si>
  <si>
    <t>yxeI</t>
  </si>
  <si>
    <t>penicillin V amidase</t>
  </si>
  <si>
    <t>0.17635 (0.08253)</t>
  </si>
  <si>
    <t>0.12526 (0.05418)</t>
  </si>
  <si>
    <t>0.02575 (0.00083)</t>
  </si>
  <si>
    <t>0.08128 (0.00299)</t>
  </si>
  <si>
    <t>0.01080 (0.00037)</t>
  </si>
  <si>
    <t>hadM</t>
  </si>
  <si>
    <t>sugar-phosphate hydrolase (promiscuous)</t>
  </si>
  <si>
    <t>0.05413 (0.04222)</t>
  </si>
  <si>
    <t>0.09719 (0.09429)</t>
  </si>
  <si>
    <t>0.02350 (0.00119)</t>
  </si>
  <si>
    <t>0.08696 (0.00464)</t>
  </si>
  <si>
    <t>0.00665 (0.00039)</t>
  </si>
  <si>
    <t>yxeG</t>
  </si>
  <si>
    <t>0.16541 (0.05720)</t>
  </si>
  <si>
    <t>0.11755 (0.08328)</t>
  </si>
  <si>
    <t>0.01915 (0.00083)</t>
  </si>
  <si>
    <t>0.05910 (0.00243)</t>
  </si>
  <si>
    <t>0.00785 (0.00056)</t>
  </si>
  <si>
    <t>yxeF</t>
  </si>
  <si>
    <t>lipocalin-like lipoprotein</t>
  </si>
  <si>
    <t>1.07278 (1.26113)</t>
  </si>
  <si>
    <t>0.43776 (0.47349)</t>
  </si>
  <si>
    <t>0.02102 (0.00159)</t>
  </si>
  <si>
    <t>0.03769 (0.00314)</t>
  </si>
  <si>
    <t>0.01681 (0.00135)</t>
  </si>
  <si>
    <t>cotNE</t>
  </si>
  <si>
    <t>0.05467 (0.08977)</t>
  </si>
  <si>
    <t>0.03464 (0.04787)</t>
  </si>
  <si>
    <t>0.02685 (0.00178)</t>
  </si>
  <si>
    <t>0.10890 (0.00809)</t>
  </si>
  <si>
    <t>0.00513 (0.00043)</t>
  </si>
  <si>
    <t>yxeD</t>
  </si>
  <si>
    <t>0.11799 (0.02538)</t>
  </si>
  <si>
    <t>0.01380 (0.03400)</t>
  </si>
  <si>
    <t>0.02893 (0.00159)</t>
  </si>
  <si>
    <t>0.14878 (0.00965)</t>
  </si>
  <si>
    <t>0.00580 (0.00034)</t>
  </si>
  <si>
    <t>yxeC</t>
  </si>
  <si>
    <t>0.12900 (0.15538)</t>
  </si>
  <si>
    <t>0.03338 (0.08559)</t>
  </si>
  <si>
    <t>0.01460 (0.00113)</t>
  </si>
  <si>
    <t>0.05521 (0.00530)</t>
  </si>
  <si>
    <t>0.00464 (0.00041)</t>
  </si>
  <si>
    <t>frxB</t>
  </si>
  <si>
    <t>desferrioxamine-and ferrichrome-bindingtransporter lipoprotein (shuttle system)</t>
  </si>
  <si>
    <t>0.11889 (0.04700)</t>
  </si>
  <si>
    <t>0.07848 (0.16605)</t>
  </si>
  <si>
    <t>0.01665 (0.00111)</t>
  </si>
  <si>
    <t>0.06279 (0.00497)</t>
  </si>
  <si>
    <t>0.00518 (0.00024)</t>
  </si>
  <si>
    <t>yxeA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</si>
  <si>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</si>
  <si>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0.18588 (0.27476)</t>
  </si>
  <si>
    <t>0.12636 (0.09148)</t>
  </si>
  <si>
    <t>0.02281 (0.00132)</t>
  </si>
  <si>
    <t>0.07238 (0.00445)</t>
  </si>
  <si>
    <t>0.01018 (0.00072)</t>
  </si>
  <si>
    <t>tpeM</t>
  </si>
  <si>
    <t>ABC transporter (permease); efflux of cationicpeptides</t>
  </si>
  <si>
    <t>ref , GCA_000146565.1_ASM14656v1_genomic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GCA_001889625.1_ASM188962v1_genomic , GCA_002055965.1_ASM205596v1_genomic , GCA_002072735.1_ASM207273v1_genomic , GCA_002142595.1_ASM214259v1_genomic , GCA_002173615.1_ASM217361v1_genomic</t>
  </si>
  <si>
    <t>0.05952 (0.06037)</t>
  </si>
  <si>
    <t>0.14354 (0.12193)</t>
  </si>
  <si>
    <t>0.02345 (0.00101)</t>
  </si>
  <si>
    <t>0.07806 (0.00319)</t>
  </si>
  <si>
    <t>0.00842 (0.00048)</t>
  </si>
  <si>
    <t>tpeL</t>
  </si>
  <si>
    <t>ABC transporter (ATP-binding protein); efflux ofcationic peptides</t>
  </si>
  <si>
    <t>ref , GCA_000186745.1_ASM18674v1_genomic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GCA_000772205.1_ASM77220v1_genomic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GCA_001889625.1_ASM188962v1_genomic , GCA_002055965.1_ASM205596v1_genomic , GCA_002072735.1_ASM207273v1_genomic , GCA_002142595.1_ASM214259v1_genomic , GCA_002173615.1_ASM217361v1_genomic</t>
  </si>
  <si>
    <t>0.06976 (0.04355)</t>
  </si>
  <si>
    <t>0.06475 (0.05634)</t>
  </si>
  <si>
    <t>0.02631 (0.00093)</t>
  </si>
  <si>
    <t>0.09349 (0.00329)</t>
  </si>
  <si>
    <t>0.00779 (0.00039)</t>
  </si>
  <si>
    <t>tpeK</t>
  </si>
  <si>
    <t>two-component sensor histidine kinase [YxdJ]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</si>
  <si>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GCA_001889385.1_ASM188938v1_genomic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</si>
  <si>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0.07188 (0.06595)</t>
  </si>
  <si>
    <t>0.08923 (0.04638)</t>
  </si>
  <si>
    <t>0.01992 (0.00094)</t>
  </si>
  <si>
    <t>0.07087 (0.00394)</t>
  </si>
  <si>
    <t>0.00577 (0.00028)</t>
  </si>
  <si>
    <t>tpeJ</t>
  </si>
  <si>
    <t>two-component response regulator [TpeK(YxdK)]</t>
  </si>
  <si>
    <t>ref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GCA_001747445.1_ASM174744v1_genomic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</si>
  <si>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0.09808 (0.07162)</t>
  </si>
  <si>
    <t>0.06061 (0.11423)</t>
  </si>
  <si>
    <t>0.01944 (0.00152)</t>
  </si>
  <si>
    <t>0.07553 (0.00614)</t>
  </si>
  <si>
    <t>0.00473 (0.00041)</t>
  </si>
  <si>
    <t>iolJ</t>
  </si>
  <si>
    <t>2-deoxy-5-keto-D-gluconic acid 6-phosphatealdolase</t>
  </si>
  <si>
    <t>0.11179 (0.08446)</t>
  </si>
  <si>
    <t>0.04744 (0.04834)</t>
  </si>
  <si>
    <t>0.01882 (0.00091)</t>
  </si>
  <si>
    <t>0.06747 (0.00313)</t>
  </si>
  <si>
    <t>0.00541 (0.00041)</t>
  </si>
  <si>
    <t>iolI</t>
  </si>
  <si>
    <t>inosose isomerase</t>
  </si>
  <si>
    <t>0.02636 (0.02814)</t>
  </si>
  <si>
    <t>0.05273 (0.02029)</t>
  </si>
  <si>
    <t>0.02050 (0.00110)</t>
  </si>
  <si>
    <t>0.08768 (0.00535)</t>
  </si>
  <si>
    <t>0.00368 (0.00021)</t>
  </si>
  <si>
    <t>iolH</t>
  </si>
  <si>
    <t>0.02650 (0.04412)</t>
  </si>
  <si>
    <t>0.01986 (0.02026)</t>
  </si>
  <si>
    <t>0.02753 (0.00134)</t>
  </si>
  <si>
    <t>0.13080 (0.00681)</t>
  </si>
  <si>
    <t>0.00334 (0.00021)</t>
  </si>
  <si>
    <t>iolG</t>
  </si>
  <si>
    <t>myo-inositol 2-dehydrogenase/D-chiro-inositol3-dehydrogenase</t>
  </si>
  <si>
    <t>0.03454 (0.01558)</t>
  </si>
  <si>
    <t>0.01329 (0.02064)</t>
  </si>
  <si>
    <t>0.02144 (0.00072)</t>
  </si>
  <si>
    <t>0.09442 (0.00356)</t>
  </si>
  <si>
    <t>iolF</t>
  </si>
  <si>
    <t>inositol transport protein</t>
  </si>
  <si>
    <t>0.06862 (0.02769)</t>
  </si>
  <si>
    <t>0.11345 (0.07217)</t>
  </si>
  <si>
    <t>0.01223 (0.00030)</t>
  </si>
  <si>
    <t>0.03877 (0.00100)</t>
  </si>
  <si>
    <t>0.00386 (0.00019)</t>
  </si>
  <si>
    <t>iolE</t>
  </si>
  <si>
    <t>scyllo-inosose dehydratase</t>
  </si>
  <si>
    <t>0.18138 (0.08306)</t>
  </si>
  <si>
    <t>0.14330 (0.07918)</t>
  </si>
  <si>
    <t>0.00856 (0.00031)</t>
  </si>
  <si>
    <t>0.02495 (0.00101)</t>
  </si>
  <si>
    <t>0.00400 (0.00020)</t>
  </si>
  <si>
    <t>iolD</t>
  </si>
  <si>
    <t>3D-(3,5/4)-trihydroxycyclohexane-1,2-dionehydrolase</t>
  </si>
  <si>
    <t>0.05296 (0.03467)</t>
  </si>
  <si>
    <t>0.05662 (0.03764)</t>
  </si>
  <si>
    <t>0.01078 (0.00023)</t>
  </si>
  <si>
    <t>0.04072 (0.00096)</t>
  </si>
  <si>
    <t>0.00209 (0.00011)</t>
  </si>
  <si>
    <t>iolC</t>
  </si>
  <si>
    <t>2-deoxy-5-keto-D-gluconic acid kinase</t>
  </si>
  <si>
    <t>0.09321 (0.05834)</t>
  </si>
  <si>
    <t>0.03723 (0.02583)</t>
  </si>
  <si>
    <t>0.02591 (0.00090)</t>
  </si>
  <si>
    <t>0.10034 (0.00369)</t>
  </si>
  <si>
    <t>0.00555 (0.00024)</t>
  </si>
  <si>
    <t>iolB</t>
  </si>
  <si>
    <t>5-deoxy-D-glucuronic acid isomerase</t>
  </si>
  <si>
    <t>0.10592 (0.09412)</t>
  </si>
  <si>
    <t>0.10514 (0.03492)</t>
  </si>
  <si>
    <t>0.01485 (0.00118)</t>
  </si>
  <si>
    <t>0.05051 (0.00467)</t>
  </si>
  <si>
    <t>0.00511 (0.00035)</t>
  </si>
  <si>
    <t>iolA</t>
  </si>
  <si>
    <t>methylmalonate-semialdehyde dehydrogenase</t>
  </si>
  <si>
    <t>0.04721 (0.02572)</t>
  </si>
  <si>
    <t>0.01922 (0.06258)</t>
  </si>
  <si>
    <t>0.01528 (0.00041)</t>
  </si>
  <si>
    <t>0.06050 (0.00162)</t>
  </si>
  <si>
    <t>iolR</t>
  </si>
  <si>
    <t>transcriptional regulator of the iol operon(DeoR family)</t>
  </si>
  <si>
    <t>0.06940 (0.10028)</t>
  </si>
  <si>
    <t>0.01722 (0.02428)</t>
  </si>
  <si>
    <t>0.01917 (0.00125)</t>
  </si>
  <si>
    <t>0.08590 (0.00586)</t>
  </si>
  <si>
    <t>0.00213 (0.00019)</t>
  </si>
  <si>
    <t>iolS</t>
  </si>
  <si>
    <t>0.05200 (0.02514)</t>
  </si>
  <si>
    <t>0.02032 (0.04020)</t>
  </si>
  <si>
    <t>0.01842 (0.00120)</t>
  </si>
  <si>
    <t>0.08165 (0.00590)</t>
  </si>
  <si>
    <t>0.00237 (0.00013)</t>
  </si>
  <si>
    <t>yxcE</t>
  </si>
  <si>
    <t>0.09583 (0.08277)</t>
  </si>
  <si>
    <t>0.06597 (0.02713)</t>
  </si>
  <si>
    <t>0.02287 (0.00099)</t>
  </si>
  <si>
    <t>0.07689 (0.00369)</t>
  </si>
  <si>
    <t>0.00638 (0.00034)</t>
  </si>
  <si>
    <t>yxcD</t>
  </si>
  <si>
    <t>0.35734 (0.33325)</t>
  </si>
  <si>
    <t>0.01970 (0.00180)</t>
  </si>
  <si>
    <t>0.06544 (0.00631)</t>
  </si>
  <si>
    <t>0.00899 (0.00122)</t>
  </si>
  <si>
    <t>csbC</t>
  </si>
  <si>
    <t>0.05944 (0.03271)</t>
  </si>
  <si>
    <t>0.01717 (0.00935)</t>
  </si>
  <si>
    <t>0.02464 (0.00114)</t>
  </si>
  <si>
    <t>0.09780 (0.00508)</t>
  </si>
  <si>
    <t>0.00284 (0.00018)</t>
  </si>
  <si>
    <t>htpG</t>
  </si>
  <si>
    <t>class III heat-shock protein (ATP-dependentmolecular chaperone HSP90)</t>
  </si>
  <si>
    <t>0.05134 (0.04170)</t>
  </si>
  <si>
    <t>0.02322 (0.02552)</t>
  </si>
  <si>
    <t>0.01095 (0.00040)</t>
  </si>
  <si>
    <t>0.04675 (0.00169)</t>
  </si>
  <si>
    <t>0.00173 (0.00013)</t>
  </si>
  <si>
    <t>yxcA</t>
  </si>
  <si>
    <t>0.07920 (0.14395)</t>
  </si>
  <si>
    <t>0.10925 (0.09314)</t>
  </si>
  <si>
    <t>0.01953 (0.00142)</t>
  </si>
  <si>
    <t>0.06597 (0.00658)</t>
  </si>
  <si>
    <t>0.00791 (0.00096)</t>
  </si>
  <si>
    <t>yxbG</t>
  </si>
  <si>
    <t>0.03038 (0.01741)</t>
  </si>
  <si>
    <t>0.04284 (0.02558)</t>
  </si>
  <si>
    <t>0.03021 (0.00207)</t>
  </si>
  <si>
    <t>0.12523 (0.00934)</t>
  </si>
  <si>
    <t>0.00521 (0.00039)</t>
  </si>
  <si>
    <t>yxbF</t>
  </si>
  <si>
    <t>ref , GCA_000186745.1_ASM18674v1_genomic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GCA_001747445.1_ASM174744v1_genomic , GCA_001808235.1_ASM180823v1_genomic , GCA_002055965.1_ASM205596v1_genomic , GCA_002072735.1_ASM207273v1_genomic , GCA_002142595.1_ASM214259v1_genomic , GCA_002173615.1_ASM217361v1_genomic</t>
  </si>
  <si>
    <t>0.25326 (0.06088)</t>
  </si>
  <si>
    <t>0.13911 (0.16411)</t>
  </si>
  <si>
    <t>0.02512 (0.00131)</t>
  </si>
  <si>
    <t>0.07337 (0.00506)</t>
  </si>
  <si>
    <t>0.01247 (0.00047)</t>
  </si>
  <si>
    <t>aldX</t>
  </si>
  <si>
    <t>0.07808 (0.04594)</t>
  </si>
  <si>
    <t>0.06452 (0.04868)</t>
  </si>
  <si>
    <t>0.01780 (0.00105)</t>
  </si>
  <si>
    <t>0.06837 (0.00499)</t>
  </si>
  <si>
    <t>0.00482 (0.00023)</t>
  </si>
  <si>
    <t>yxaL</t>
  </si>
  <si>
    <t>membrane associated protein kinase withbeta-propeller domain</t>
  </si>
  <si>
    <t>0.08600 (0.02852)</t>
  </si>
  <si>
    <t>0.06925 (0.11445)</t>
  </si>
  <si>
    <t>0.01988 (0.00148)</t>
  </si>
  <si>
    <t>0.06873 (0.00577)</t>
  </si>
  <si>
    <t>0.00539 (0.00033)</t>
  </si>
  <si>
    <t>yxaJ</t>
  </si>
  <si>
    <t>0.25356 (0.09575)</t>
  </si>
  <si>
    <t>0.39044 (0.35478)</t>
  </si>
  <si>
    <t>0.02381 (0.00110)</t>
  </si>
  <si>
    <t>0.05411 (0.00292)</t>
  </si>
  <si>
    <t>0.01490 (0.00077)</t>
  </si>
  <si>
    <t>yxaI</t>
  </si>
  <si>
    <t>0.20247 (0.11356)</t>
  </si>
  <si>
    <t>0.10609 (0.11264)</t>
  </si>
  <si>
    <t>0.01573 (0.00108)</t>
  </si>
  <si>
    <t>0.04735 (0.00293)</t>
  </si>
  <si>
    <t>0.00619 (0.00067)</t>
  </si>
  <si>
    <t>yxaH</t>
  </si>
  <si>
    <t>integral inner membrane protein involved inresponse to flavonoids</t>
  </si>
  <si>
    <t>0.18361 (0.07800)</t>
  </si>
  <si>
    <t>0.08197 (0.05681)</t>
  </si>
  <si>
    <t>0.01963 (0.00088)</t>
  </si>
  <si>
    <t>0.05695 (0.00307)</t>
  </si>
  <si>
    <t>0.00918 (0.00040)</t>
  </si>
  <si>
    <t>qdoI</t>
  </si>
  <si>
    <t>quercetin dioxygenase</t>
  </si>
  <si>
    <t>0.20739 (0.09934)</t>
  </si>
  <si>
    <t>0.11339 (0.08452)</t>
  </si>
  <si>
    <t>0.01354 (0.00067)</t>
  </si>
  <si>
    <t>0.04040 (0.00216)</t>
  </si>
  <si>
    <t>0.00566 (0.00031)</t>
  </si>
  <si>
    <t>qdoR</t>
  </si>
  <si>
    <t>transcriptional regulator of qdoI</t>
  </si>
  <si>
    <t>0.10438 (0.04651)</t>
  </si>
  <si>
    <t>0.21143 (0.09206)</t>
  </si>
  <si>
    <t>0.02583 (0.00132)</t>
  </si>
  <si>
    <t>0.07659 (0.00429)</t>
  </si>
  <si>
    <t>yxnA</t>
  </si>
  <si>
    <t>0.10479 (0.03583)</t>
  </si>
  <si>
    <t>0.11584 (0.04055)</t>
  </si>
  <si>
    <t>0.02234 (0.00073)</t>
  </si>
  <si>
    <t>0.07602 (0.00232)</t>
  </si>
  <si>
    <t>0.00713 (0.00033)</t>
  </si>
  <si>
    <t>yxaD</t>
  </si>
  <si>
    <t>0.02972 (0.03440)</t>
  </si>
  <si>
    <t>0.07016 (0.10311)</t>
  </si>
  <si>
    <t>0.02368 (0.00185)</t>
  </si>
  <si>
    <t>0.09740 (0.00751)</t>
  </si>
  <si>
    <t>0.00506 (0.00056)</t>
  </si>
  <si>
    <t>yxzK</t>
  </si>
  <si>
    <t>putative integral inner membrane proteininvolved in export murein hydrolases</t>
  </si>
  <si>
    <t>0.19071 (0.11493)</t>
  </si>
  <si>
    <t>0.10728 (0.17880)</t>
  </si>
  <si>
    <t>0.01292 (0.00103)</t>
  </si>
  <si>
    <t>0.03656 (0.00369)</t>
  </si>
  <si>
    <t>0.00570 (0.00076)</t>
  </si>
  <si>
    <t>yxaC</t>
  </si>
  <si>
    <t>putative murein hydrolase export regulator</t>
  </si>
  <si>
    <t>0.03657 (0.06982)</t>
  </si>
  <si>
    <t>0.04086 (0.03110)</t>
  </si>
  <si>
    <t>0.01836 (0.00065)</t>
  </si>
  <si>
    <t>0.06971 (0.00251)</t>
  </si>
  <si>
    <t>0.00191 (0.00026)</t>
  </si>
  <si>
    <t>yxaB</t>
  </si>
  <si>
    <t>putative exopolysaccharide pyruvyl transferase(biofilm formation)</t>
  </si>
  <si>
    <t>0.07318 (0.07760)</t>
  </si>
  <si>
    <t>0.11491 (0.08707)</t>
  </si>
  <si>
    <t>0.01151 (0.00071)</t>
  </si>
  <si>
    <t>0.04189 (0.00262)</t>
  </si>
  <si>
    <t>0.00353 (0.00027)</t>
  </si>
  <si>
    <t>glxK</t>
  </si>
  <si>
    <t>D-glycerate kinase</t>
  </si>
  <si>
    <t>0.18594 (0.08023)</t>
  </si>
  <si>
    <t>0.13932 (0.03036)</t>
  </si>
  <si>
    <t>0.02230 (0.00072)</t>
  </si>
  <si>
    <t>0.06447 (0.00237)</t>
  </si>
  <si>
    <t>0.00941 (0.00034)</t>
  </si>
  <si>
    <t>gntR</t>
  </si>
  <si>
    <t>transcriptional regulator (GntR-gluconate)</t>
  </si>
  <si>
    <t>0.20490 (0.05755)</t>
  </si>
  <si>
    <t>0.00627 (0.00026)</t>
  </si>
  <si>
    <t>0.02206 (0.00104)</t>
  </si>
  <si>
    <t>0.00190 (0.00013)</t>
  </si>
  <si>
    <t>gntK</t>
  </si>
  <si>
    <t>D-gluconate kinase</t>
  </si>
  <si>
    <t>0.08054 (0.04032)</t>
  </si>
  <si>
    <t>0.07024 (0.02009)</t>
  </si>
  <si>
    <t>0.01251 (0.00034)</t>
  </si>
  <si>
    <t>0.04502 (0.00138)</t>
  </si>
  <si>
    <t>0.00331 (0.00013)</t>
  </si>
  <si>
    <t>gntP</t>
  </si>
  <si>
    <t>gluconate/proton permease</t>
  </si>
  <si>
    <t>0.38265 (0.10548)</t>
  </si>
  <si>
    <t>0.03781 (0.01768)</t>
  </si>
  <si>
    <t>0.01068 (0.03466)</t>
  </si>
  <si>
    <t>0.00968 (0.00025)</t>
  </si>
  <si>
    <t>0.03645 (0.00101)</t>
  </si>
  <si>
    <t>0.00081 (0.00005)</t>
  </si>
  <si>
    <t>gntZ</t>
  </si>
  <si>
    <t>6-phosphogluconate dehydrogenase(NAD+-dependent)</t>
  </si>
  <si>
    <t>0.05112 (0.06627)</t>
  </si>
  <si>
    <t>0.10422 (0.05399)</t>
  </si>
  <si>
    <t>0.01557 (0.00077)</t>
  </si>
  <si>
    <t>0.05706 (0.00336)</t>
  </si>
  <si>
    <t>ahpC</t>
  </si>
  <si>
    <t>alkyl hydroperoxide reductase (small subunit)</t>
  </si>
  <si>
    <t>0.01969 (0.03500)</t>
  </si>
  <si>
    <t>0.06841 (0.11207)</t>
  </si>
  <si>
    <t>0.02521 (0.00123)</t>
  </si>
  <si>
    <t>0.09765 (0.00546)</t>
  </si>
  <si>
    <t>0.00711 (0.00049)</t>
  </si>
  <si>
    <t>ahpF</t>
  </si>
  <si>
    <t>alkyl hydroperoxide reductase (large subunit)</t>
  </si>
  <si>
    <t>0.03962 (0.02106)</t>
  </si>
  <si>
    <t>0.02035 (0.01434)</t>
  </si>
  <si>
    <t>0.02577 (0.00093)</t>
  </si>
  <si>
    <t>0.11028 (0.00415)</t>
  </si>
  <si>
    <t>0.00313 (0.00018)</t>
  </si>
  <si>
    <t>bglA</t>
  </si>
  <si>
    <t>aryl-6-phospho-beta-glucosidase</t>
  </si>
  <si>
    <t>0.04903 (0.02221)</t>
  </si>
  <si>
    <t>0.07795 (0.01455)</t>
  </si>
  <si>
    <t>0.01653 (0.00054)</t>
  </si>
  <si>
    <t>0.06602 (0.00234)</t>
  </si>
  <si>
    <t>0.00364 (0.00015)</t>
  </si>
  <si>
    <t>ptsJ</t>
  </si>
  <si>
    <t>glucose phosphotransferase system enzyme IIAcomponent</t>
  </si>
  <si>
    <t>ref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GCA_001720505.1_ASM172050v1_genomic , GCA_001808235.1_ASM180823v1_genomic , GCA_002055965.1_ASM205596v1_genomic , GCA_002072735.1_ASM207273v1_genomic , GCA_002142595.1_ASM214259v1_genomic</t>
  </si>
  <si>
    <t>0.50672 (0.34241)</t>
  </si>
  <si>
    <t>0.40714 (0.36479)</t>
  </si>
  <si>
    <t>0.02392 (0.00219)</t>
  </si>
  <si>
    <t>0.04205 (0.00594)</t>
  </si>
  <si>
    <t>0.01918 (0.00209)</t>
  </si>
  <si>
    <t>yydK</t>
  </si>
  <si>
    <t>0.09692 (0.05586)</t>
  </si>
  <si>
    <t>0.13527 (0.08684)</t>
  </si>
  <si>
    <t>0.02241 (0.00089)</t>
  </si>
  <si>
    <t>0.07566 (0.00347)</t>
  </si>
  <si>
    <t>yyzN</t>
  </si>
  <si>
    <t>ref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GCA_001808235.1_ASM180823v1_genomic , GCA_002055965.1_ASM205596v1_genomic , GCA_002072735.1_ASM207273v1_genomic , GCA_002142595.1_ASM214259v1_genomic</t>
  </si>
  <si>
    <t>0.24253 (0.16047)</t>
  </si>
  <si>
    <t>0.08084 (0.06357)</t>
  </si>
  <si>
    <t>0.03590 (0.00183)</t>
  </si>
  <si>
    <t>0.11570 (0.01112)</t>
  </si>
  <si>
    <t>0.01890 (0.00172)</t>
  </si>
  <si>
    <t>liaM</t>
  </si>
  <si>
    <t>permease for export of regulatory peptide LiaD*</t>
  </si>
  <si>
    <t>ref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GCA_001604995.1_ASM160499v1_genomic , GCA_001660525.1_ASM166052v1_genomic , GCA_001697265.1_ASM169726v1_genomic , GCA_001703495.1_ASM170349v1_genomic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GCA_002142595.1_ASM214259v1_genomic , GCA_002173615.1_ASM217361v1_genomic</t>
  </si>
  <si>
    <t>0.19281 (0.07875)</t>
  </si>
  <si>
    <t>0.02134 (0.03967)</t>
  </si>
  <si>
    <t>0.01172 (0.00065)</t>
  </si>
  <si>
    <t>0.04349 (0.00306)</t>
  </si>
  <si>
    <t>0.00322 (0.00026)</t>
  </si>
  <si>
    <t>liaL</t>
  </si>
  <si>
    <t>ABC transporter for regulatory peptide LiaD*(ATP-binding protein)</t>
  </si>
  <si>
    <t>0.07276 (0.03190)</t>
  </si>
  <si>
    <t>0.06083 (0.09897)</t>
  </si>
  <si>
    <t>0.01038 (0.00069)</t>
  </si>
  <si>
    <t>0.04297 (0.00314)</t>
  </si>
  <si>
    <t>0.00275 (0.00026)</t>
  </si>
  <si>
    <t>liaK</t>
  </si>
  <si>
    <t>membrane metalloprotease acting on modifiedfactor LiaD</t>
  </si>
  <si>
    <t>ref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GCA_001604995.1_ASM160499v1_genomic , GCA_001660525.1_ASM166052v1_genomic , GCA_001697265.1_ASM169726v1_genomic , GCA_001703495.1_ASM170349v1_genomic , GCA_002055965.1_ASM205596v1_genomic</t>
  </si>
  <si>
    <t>0.19590 (0.14134)</t>
  </si>
  <si>
    <t>0.01190 (0.00195)</t>
  </si>
  <si>
    <t>0.03910 (0.00695)</t>
  </si>
  <si>
    <t>0.00504 (0.00089)</t>
  </si>
  <si>
    <t>liaE</t>
  </si>
  <si>
    <t>AdoMet radical amino acid epimerase modifyingfactor LiaD</t>
  </si>
  <si>
    <t>0.05098 (0.09588)</t>
  </si>
  <si>
    <t>0.01271 (0.00406)</t>
  </si>
  <si>
    <t>0.05550 (0.01849)</t>
  </si>
  <si>
    <t>0.00263 (0.00076)</t>
  </si>
  <si>
    <t>liaD</t>
  </si>
  <si>
    <t>precursor of exported modified peptide(epipeptide) controlling LiaRS activity</t>
  </si>
  <si>
    <t>0.11504 (0.16604)</t>
  </si>
  <si>
    <t>0.01020 (0.00139)</t>
  </si>
  <si>
    <t>0.03702 (0.00638)</t>
  </si>
  <si>
    <t>0.00422 (0.00172)</t>
  </si>
  <si>
    <t>fbp</t>
  </si>
  <si>
    <t>fructose-1,6-bisphosphatase</t>
  </si>
  <si>
    <t>0.02457 (0.00607)</t>
  </si>
  <si>
    <t>0.01914 (0.01285)</t>
  </si>
  <si>
    <t>0.03835 (0.00049)</t>
  </si>
  <si>
    <t>0.17955 (0.00245)</t>
  </si>
  <si>
    <t>0.00396 (0.00011)</t>
  </si>
  <si>
    <t>rlmH</t>
  </si>
  <si>
    <t>23S rRNA(pseudouridine1915-N3)-methyltransferase</t>
  </si>
  <si>
    <t>0.03238 (0.01480)</t>
  </si>
  <si>
    <t>0.02467 (0.04733)</t>
  </si>
  <si>
    <t>0.03246 (0.00056)</t>
  </si>
  <si>
    <t>0.14129 (0.00293)</t>
  </si>
  <si>
    <t>0.00444 (0.00028)</t>
  </si>
  <si>
    <t>yyzF</t>
  </si>
  <si>
    <t>0.17586 (0.11330)</t>
  </si>
  <si>
    <t>0.06616 (0.11611)</t>
  </si>
  <si>
    <t>0.02143 (0.00119)</t>
  </si>
  <si>
    <t>0.07682 (0.00530)</t>
  </si>
  <si>
    <t>0.00777 (0.00080)</t>
  </si>
  <si>
    <t>yycS</t>
  </si>
  <si>
    <t>ref , GCA_000186745.1_ASM18674v1_genomic , GCA_000209795.2_ASM20979v2_genomic , GCA_000293765.1_ASM29376v1_genomic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GCA_001037985.1_ASM103798v1_genomic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GCA_002096095.1_ASM209609v1_genomic , GCA_002173615.1_ASM217361v1_genomic</t>
  </si>
  <si>
    <t>0.38386 (0.16176)</t>
  </si>
  <si>
    <t>0.20978 (0.15306)</t>
  </si>
  <si>
    <t>0.02920 (0.00359)</t>
  </si>
  <si>
    <t>0.07574 (0.01039)</t>
  </si>
  <si>
    <t>0.01801 (0.00203)</t>
  </si>
  <si>
    <t>yycR</t>
  </si>
  <si>
    <t>0.02466 (0.01264)</t>
  </si>
  <si>
    <t>0.01741 (0.04656)</t>
  </si>
  <si>
    <t>0.03126 (0.00079)</t>
  </si>
  <si>
    <t>0.13125 (0.00354)</t>
  </si>
  <si>
    <t>0.00280 (0.00019)</t>
  </si>
  <si>
    <t>yyzG</t>
  </si>
  <si>
    <t>ref , GCA_000186745.1_ASM18674v1_genomic , GCA_000209795.2_ASM20979v2_genomic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</si>
  <si>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0.47405 (0.23446)</t>
  </si>
  <si>
    <t>0.15578 (0.10652)</t>
  </si>
  <si>
    <t>0.03124 (0.00181)</t>
  </si>
  <si>
    <t>0.07804 (0.00530)</t>
  </si>
  <si>
    <t>0.01813 (0.00139)</t>
  </si>
  <si>
    <t>yycQ</t>
  </si>
  <si>
    <t>ref , GCA_000209795.2_ASM20979v2_genomic , GCA_000227485.1_ASM22748v1_genomic , GCA_000293765.1_ASM29376v1_genomic , GCA_000344745.1_ASM34474v1_genomic , GCA_000497485.1_ASM49748v1_genomic , GCA_000523045.1_ASM52304v1_genomic , GCA_000699465.1_ASM69946v1_genomic , GCA_000699525.1_ASM69952v1_genomic , GCA_000737405.1_ASM73740v1_genomic , GCA_000782835.1_ASM78283v1_genomic , GCA_000789275.1_ASM78927v1_genomic , GCA_000789295.1_ASM78929v1_genomic , GCA_000827065.1_ASM82706v1_genomic , GCA_000953615.1_BS49Ch_genomic , GCA_000971925.1_ASM97192v1_genomic , GCA_001015095.1_ASM101509v1_genomic , GCA_001037985.1_ASM103798v1_genomic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GCA_001747445.1_ASM174744v1_genomic , GCA_001890405.1_ASM189040v1_genomic , GCA_001902555.1_ASM190255v1_genomic , GCA_002055965.1_ASM205596v1_genomic , GCA_002072735.1_ASM207273v1_genomic , GCA_002096095.1_ASM209609v1_genomic , GCA_002142595.1_ASM214259v1_genomic , GCA_002173615.1_ASM217361v1_genomic</t>
  </si>
  <si>
    <t>0.13718 (0.16359)</t>
  </si>
  <si>
    <t>0.40331 (0.16533)</t>
  </si>
  <si>
    <t>0.03057 (0.00225)</t>
  </si>
  <si>
    <t>0.07629 (0.00707)</t>
  </si>
  <si>
    <t>0.01832 (0.00189)</t>
  </si>
  <si>
    <t>yycP</t>
  </si>
  <si>
    <t>ref , GCA_000186745.1_ASM18674v1_genomic , GCA_000227485.1_ASM22748v1_genomic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GCA_002055965.1_ASM205596v1_genomic , GCA_002072735.1_ASM207273v1_genomic , GCA_002142595.1_ASM214259v1_genomic</t>
  </si>
  <si>
    <t>0.23623 (0.06346)</t>
  </si>
  <si>
    <t>0.19101 (0.02979)</t>
  </si>
  <si>
    <t>0.03449 (0.00109)</t>
  </si>
  <si>
    <t>0.09377 (0.00297)</t>
  </si>
  <si>
    <t>0.01975 (0.00076)</t>
  </si>
  <si>
    <t>yycO</t>
  </si>
  <si>
    <t>conserved exported protein</t>
  </si>
  <si>
    <t>0.12337 (0.05795)</t>
  </si>
  <si>
    <t>0.02909 (0.05295)</t>
  </si>
  <si>
    <t>0.01733 (0.00064)</t>
  </si>
  <si>
    <t>0.06073 (0.00260)</t>
  </si>
  <si>
    <t>0.00480 (0.00025)</t>
  </si>
  <si>
    <t>yycN</t>
  </si>
  <si>
    <t>0.25712 (0.05641)</t>
  </si>
  <si>
    <t>0.10988 (0.05204)</t>
  </si>
  <si>
    <t>0.02800 (0.00121)</t>
  </si>
  <si>
    <t>0.08284 (0.00439)</t>
  </si>
  <si>
    <t>0.01386 (0.00061)</t>
  </si>
  <si>
    <t>rapG</t>
  </si>
  <si>
    <t>0.07448 (0.03573)</t>
  </si>
  <si>
    <t>0.07615 (0.06859)</t>
  </si>
  <si>
    <t>0.01584 (0.00045)</t>
  </si>
  <si>
    <t>0.06071 (0.00181)</t>
  </si>
  <si>
    <t>0.00428 (0.00023)</t>
  </si>
  <si>
    <t>phrG</t>
  </si>
  <si>
    <t>secreted regulator of the activity ofphosphatase RapG</t>
  </si>
  <si>
    <t>0.03756 (0.07840)</t>
  </si>
  <si>
    <t>0.02256 (0.00233)</t>
  </si>
  <si>
    <t>0.10187 (0.00965)</t>
  </si>
  <si>
    <t>0.00321 (0.00111)</t>
  </si>
  <si>
    <t>argI</t>
  </si>
  <si>
    <t>arginase</t>
  </si>
  <si>
    <t>0.00696 (0.02486)</t>
  </si>
  <si>
    <t>0.01175 (0.00028)</t>
  </si>
  <si>
    <t>0.05079 (0.00127)</t>
  </si>
  <si>
    <t>0.00020 (0.00005)</t>
  </si>
  <si>
    <t>rocE</t>
  </si>
  <si>
    <t>arginine/ornithine/gamma-aminobutyrate permease</t>
  </si>
  <si>
    <t>0.02712 (0.01391)</t>
  </si>
  <si>
    <t>0.04733 (0.06698)</t>
  </si>
  <si>
    <t>0.02592 (0.00101)</t>
  </si>
  <si>
    <t>0.09957 (0.00358)</t>
  </si>
  <si>
    <t>0.00500 (0.00040)</t>
  </si>
  <si>
    <t>rocD</t>
  </si>
  <si>
    <t>ornithine aminotransferase</t>
  </si>
  <si>
    <t>0.04180 (0.02572)</t>
  </si>
  <si>
    <t>0.03889 (0.01512)</t>
  </si>
  <si>
    <t>0.02118 (0.00092)</t>
  </si>
  <si>
    <t>0.08673 (0.00445)</t>
  </si>
  <si>
    <t>0.00292 (0.00011)</t>
  </si>
  <si>
    <t>rocR</t>
  </si>
  <si>
    <t>transcriptional regulator (NtrC/NifA family)</t>
  </si>
  <si>
    <t>0.03893 (0.03324)</t>
  </si>
  <si>
    <t>0.01494 (0.02151)</t>
  </si>
  <si>
    <t>0.01881 (0.00097)</t>
  </si>
  <si>
    <t>0.08242 (0.00439)</t>
  </si>
  <si>
    <t>0.00257 (0.00023)</t>
  </si>
  <si>
    <t>BSU_40358</t>
  </si>
  <si>
    <t>hypothetical proteingene            complement(4147567..4148769)CDS             complement(4147567..4148769)PMID:10692364,11133960,16030236,25384476in the studied strain; PubMedId: 10692364, 11133960,16030236, 25384476; Product type e: enzyme</t>
  </si>
  <si>
    <t>ref , GCA_000293765.1_ASM29376v1_genomic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GCA_000973605.1_ASM97360v1_genomic , GCA_001465815.1_ASM146581v1_genomic , GCA_001541905.1_ASM154190v1_genomic , GCA_001604995.1_ASM160499v1_genomic , GCA_001660525.1_ASM166052v1_genomic , GCA_001697265.1_ASM169726v1_genomic , GCA_001703495.1_ASM170349v1_genomic , GCA_001808235.1_ASM180823v1_genomic , GCA_002055965.1_ASM205596v1_genomic , GCA_002142595.1_ASM214259v1_genomic</t>
  </si>
  <si>
    <t>0.53968 (0.77896)</t>
  </si>
  <si>
    <t>0.01282 (0.00174)</t>
  </si>
  <si>
    <t>0.02034 (0.00587)</t>
  </si>
  <si>
    <t>0.01101 (0.00261)</t>
  </si>
  <si>
    <t>walJ</t>
  </si>
  <si>
    <t>0.82313 (0.10981)</t>
  </si>
  <si>
    <t>0.02689 (0.03244)</t>
  </si>
  <si>
    <t>0.00953 (0.01994)</t>
  </si>
  <si>
    <t>0.02362 (0.00152)</t>
  </si>
  <si>
    <t>0.11424 (0.00828)</t>
  </si>
  <si>
    <t>0.00167 (0.00013)</t>
  </si>
  <si>
    <t>walI</t>
  </si>
  <si>
    <t>regulator of WalRK</t>
  </si>
  <si>
    <t>0.05048 (0.13390)</t>
  </si>
  <si>
    <t>0.08068 (0.05176)</t>
  </si>
  <si>
    <t>0.02017 (0.00143)</t>
  </si>
  <si>
    <t>0.08386 (0.00585)</t>
  </si>
  <si>
    <t>0.00523 (0.00051)</t>
  </si>
  <si>
    <t>walH</t>
  </si>
  <si>
    <t>regulator of WalRK(YycFG)</t>
  </si>
  <si>
    <t>0.03824 (0.01815)</t>
  </si>
  <si>
    <t>0.04713 (0.01669)</t>
  </si>
  <si>
    <t>0.01603 (0.00042)</t>
  </si>
  <si>
    <t>0.06694 (0.00185)</t>
  </si>
  <si>
    <t>0.00329 (0.00013)</t>
  </si>
  <si>
    <t>walK</t>
  </si>
  <si>
    <t>two-component sensor histidine kinase [YycG]</t>
  </si>
  <si>
    <t>0.01413 (0.01472)</t>
  </si>
  <si>
    <t>0.01422 (0.03098)</t>
  </si>
  <si>
    <t>0.02044 (0.00119)</t>
  </si>
  <si>
    <t>0.09683 (0.00591)</t>
  </si>
  <si>
    <t>walR</t>
  </si>
  <si>
    <t>two-component response regulator [YycF]</t>
  </si>
  <si>
    <t>0.01022 (0.04374)</t>
  </si>
  <si>
    <t>0.00611 (0.02224)</t>
  </si>
  <si>
    <t>0.01875 (0.00092)</t>
  </si>
  <si>
    <t>0.08906 (0.00457)</t>
  </si>
  <si>
    <t>0.00053 (0.00006)</t>
  </si>
  <si>
    <t>purA</t>
  </si>
  <si>
    <t>adenylosuccinate synthetase</t>
  </si>
  <si>
    <t>0.05870 (0.04413)</t>
  </si>
  <si>
    <t>0.01892 (0.02868)</t>
  </si>
  <si>
    <t>0.02064 (0.00119)</t>
  </si>
  <si>
    <t>0.08560 (0.00513)</t>
  </si>
  <si>
    <t>0.00236 (0.00014)</t>
  </si>
  <si>
    <t>yycE</t>
  </si>
  <si>
    <t>0.25891 (0.08922)</t>
  </si>
  <si>
    <t>0.29928 (0.16967)</t>
  </si>
  <si>
    <t>0.01804 (0.00073)</t>
  </si>
  <si>
    <t>0.04157 (0.00306)</t>
  </si>
  <si>
    <t>0.01152 (0.00048)</t>
  </si>
  <si>
    <t>dnaC</t>
  </si>
  <si>
    <t>replicative DNA helicase</t>
  </si>
  <si>
    <t>0.03074 (0.03488)</t>
  </si>
  <si>
    <t>0.01049 (0.01197)</t>
  </si>
  <si>
    <t>0.02557 (0.00135)</t>
  </si>
  <si>
    <t>0.11971 (0.00676)</t>
  </si>
  <si>
    <t>0.00101 (0.00007)</t>
  </si>
  <si>
    <t>yycD</t>
  </si>
  <si>
    <t>0.06597 (0.11572)</t>
  </si>
  <si>
    <t>0.01010 (0.00143)</t>
  </si>
  <si>
    <t>0.03928 (0.00530)</t>
  </si>
  <si>
    <t>0.00258 (0.00089)</t>
  </si>
  <si>
    <t>yyzB</t>
  </si>
  <si>
    <t>0.35781 (0.34671)</t>
  </si>
  <si>
    <t>0.11717 (0.16570)</t>
  </si>
  <si>
    <t>0.01315 (0.00113)</t>
  </si>
  <si>
    <t>0.03628 (0.00644)</t>
  </si>
  <si>
    <t>0.00800 (0.00089)</t>
  </si>
  <si>
    <t>yycC</t>
  </si>
  <si>
    <t>0.05123 (0.06950)</t>
  </si>
  <si>
    <t>0.02667 (0.00422)</t>
  </si>
  <si>
    <t>0.12335 (0.01802)</t>
  </si>
  <si>
    <t>0.00378 (0.00147)</t>
  </si>
  <si>
    <t>yycB</t>
  </si>
  <si>
    <t>putative anion ABC transporter (permease)</t>
  </si>
  <si>
    <t>0.09279 (0.07270)</t>
  </si>
  <si>
    <t>0.04537 (0.03569)</t>
  </si>
  <si>
    <t>0.01396 (0.00046)</t>
  </si>
  <si>
    <t>0.04693 (0.00160)</t>
  </si>
  <si>
    <t>0.00336 (0.00017)</t>
  </si>
  <si>
    <t>yycA</t>
  </si>
  <si>
    <t>putative glycosyl transferase</t>
  </si>
  <si>
    <t>0.21223 (0.04043)</t>
  </si>
  <si>
    <t>0.19785 (0.02287)</t>
  </si>
  <si>
    <t>0.02226 (0.00052)</t>
  </si>
  <si>
    <t>0.05540 (0.00134)</t>
  </si>
  <si>
    <t>0.01217 (0.00034)</t>
  </si>
  <si>
    <t>rplI</t>
  </si>
  <si>
    <t>ribosomal protein L9</t>
  </si>
  <si>
    <t>0.04305 (0.06106)</t>
  </si>
  <si>
    <t>0.01937 (0.02262)</t>
  </si>
  <si>
    <t>0.02458 (0.00174)</t>
  </si>
  <si>
    <t>0.11444 (0.00851)</t>
  </si>
  <si>
    <t>0.00272 (0.00024)</t>
  </si>
  <si>
    <t>gdpP</t>
  </si>
  <si>
    <t>phosphodiesterase acting on cyclicdinucleotides</t>
  </si>
  <si>
    <t>0.02565 (0.01711)</t>
  </si>
  <si>
    <t>0.03105 (0.04294)</t>
  </si>
  <si>
    <t>0.02176 (0.00133)</t>
  </si>
  <si>
    <t>0.09407 (0.00598)</t>
  </si>
  <si>
    <t>0.00252 (0.00016)</t>
  </si>
  <si>
    <t>yybS</t>
  </si>
  <si>
    <t>ref , GCA_000146565.1_ASM14656v1_genomic , GCA_000186745.1_ASM18674v1_genomic , GCA_000209795.2_ASM20979v2_genomic , GCA_000227465.1_ASM22746v1_genomic , GCA_000227485.1_ASM22748v1_genomic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GCA_001534785.1_ASM153478v1_genomic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GCA_001808235.1_ASM180823v1_genomic , GCA_001889625.1_ASM188962v1_genomic , GCA_001890405.1_ASM189040v1_genomic , GCA_001902555.1_ASM190255v1_genomic , GCA_002055965.1_ASM205596v1_genomic , GCA_002072735.1_ASM207273v1_genomic , GCA_002096095.1_ASM209609v1_genomic , GCA_002142595.1_ASM214259v1_genomic , GCA_002163815.1_ASM216381v1_genomic</t>
  </si>
  <si>
    <t>0.24338 (0.09669)</t>
  </si>
  <si>
    <t>0.21178 (0.16988)</t>
  </si>
  <si>
    <t>0.02657 (0.00175)</t>
  </si>
  <si>
    <t>0.07378 (0.00510)</t>
  </si>
  <si>
    <t>0.01395 (0.00091)</t>
  </si>
  <si>
    <t>yyzH</t>
  </si>
  <si>
    <t>0.05687 (0.08531)</t>
  </si>
  <si>
    <t>0.45497 (0.32171)</t>
  </si>
  <si>
    <t>0.02008 (0.00207)</t>
  </si>
  <si>
    <t>0.06157 (0.00676)</t>
  </si>
  <si>
    <t>0.01129 (0.00146)</t>
  </si>
  <si>
    <t>cotF</t>
  </si>
  <si>
    <t>0.43897 (0.28129)</t>
  </si>
  <si>
    <t>0.09743 (0.11251)</t>
  </si>
  <si>
    <t>0.00718 (0.00040)</t>
  </si>
  <si>
    <t>0.01760 (0.00112)</t>
  </si>
  <si>
    <t>0.00421 (0.00041)</t>
  </si>
  <si>
    <t>hypR</t>
  </si>
  <si>
    <t>transcriptional regulator (Cys-activated byoxidative stress)</t>
  </si>
  <si>
    <t>0.04237 (0.03025)</t>
  </si>
  <si>
    <t>0.16639 (0.09581)</t>
  </si>
  <si>
    <t>0.01743 (0.00137)</t>
  </si>
  <si>
    <t>0.06431 (0.00521)</t>
  </si>
  <si>
    <t>0.00515 (0.00066)</t>
  </si>
  <si>
    <t>ppaC</t>
  </si>
  <si>
    <t>inorganic pyrophosphatase (Mn2+-dependent)</t>
  </si>
  <si>
    <t>0.02959 (0.02776)</t>
  </si>
  <si>
    <t>0.03253 (0.03641)</t>
  </si>
  <si>
    <t>0.02146 (0.00137)</t>
  </si>
  <si>
    <t>0.09543 (0.00690)</t>
  </si>
  <si>
    <t>0.00278 (0.00016)</t>
  </si>
  <si>
    <t>yybP</t>
  </si>
  <si>
    <t>putative manganese-binding lipoprotein</t>
  </si>
  <si>
    <t>0.07809 (0.07481)</t>
  </si>
  <si>
    <t>0.38220 (0.18167)</t>
  </si>
  <si>
    <t>0.01916 (0.00113)</t>
  </si>
  <si>
    <t>0.05664 (0.00434)</t>
  </si>
  <si>
    <t>0.00983 (0.00060)</t>
  </si>
  <si>
    <t>yybO</t>
  </si>
  <si>
    <t>0.02663 (0.06012)</t>
  </si>
  <si>
    <t>0.01159 (0.00094)</t>
  </si>
  <si>
    <t>0.04648 (0.00398)</t>
  </si>
  <si>
    <t>0.00074 (0.00013)</t>
  </si>
  <si>
    <t>ictI</t>
  </si>
  <si>
    <t>ref , GCA_000186745.1_ASM18674v1_genomic , GCA_000209795.2_ASM20979v2_genomic , GCA_000293765.1_ASM29376v1_genomic , GCA_000321395.1_ASM32139v1_genomic , GCA_000338735.1_ASM33873v1_genomic , GCA_000344745.1_ASM34474v1_genomic , GCA_000349795.1_ASM34979v1_genomic , GCA_000497485.1_ASM49748v1_genomic , GCA_000523045.1_ASM52304v1_genomic , GCA_000699465.1_ASM69946v1_genomic , GCA_000699525.1_ASM69952v1_genomic , GCA_000706705.1_ASM70670v1_genomic , GCA_000737405.1_ASM73740v1_genomic , GCA_000789275.1_ASM78927v1_genomic , GCA_000789295.1_ASM78929v1_genomic , GCA_000827065.1_ASM82706v1_genomic , GCA_000953615.1_BS49Ch_genomic , GCA_000971925.1_ASM97192v1_genomic , GCA_000973605.1_ASM97360v1_genomic , GCA_001015095.1_ASM101509v1_genomic , GCA_001037985.1_ASM103798v1_genomic , GCA_001465815.1_ASM146581v1_genomic , GCA_001541905.1_ASM154190v1_genomic , GCA_001565875.1_ASM156587v1_genomic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GCA_001747445.1_ASM174744v1_genomic , GCA_001808235.1_ASM180823v1_genomic , GCA_001890405.1_ASM189040v1_genomic , GCA_001902555.1_ASM190255v1_genomic , GCA_002055965.1_ASM205596v1_genomic , GCA_002072735.1_ASM207273v1_genomic , GCA_002096095.1_ASM209609v1_genomic , GCA_002173615.1_ASM217361v1_genomic</t>
  </si>
  <si>
    <t>0.36798 (0.22576)</t>
  </si>
  <si>
    <t>0.09958 (0.17718)</t>
  </si>
  <si>
    <t>0.01612 (0.00144)</t>
  </si>
  <si>
    <t>0.03752 (0.00273)</t>
  </si>
  <si>
    <t>0.01010 (0.00128)</t>
  </si>
  <si>
    <t>yybH</t>
  </si>
  <si>
    <t>0.15956 (0.07526)</t>
  </si>
  <si>
    <t>0.27917 (0.09091)</t>
  </si>
  <si>
    <t>0.02202 (0.00081)</t>
  </si>
  <si>
    <t>0.06739 (0.00327)</t>
  </si>
  <si>
    <t>0.01029 (0.00049)</t>
  </si>
  <si>
    <t>yybG</t>
  </si>
  <si>
    <t>0.27800 (0.19872)</t>
  </si>
  <si>
    <t>0.22870 (0.09363)</t>
  </si>
  <si>
    <t>0.01671 (0.00083)</t>
  </si>
  <si>
    <t>0.04403 (0.00245)</t>
  </si>
  <si>
    <t>0.00922 (0.00052)</t>
  </si>
  <si>
    <t>yybF</t>
  </si>
  <si>
    <t>0.16575 (0.03417)</t>
  </si>
  <si>
    <t>0.20799 (0.05710)</t>
  </si>
  <si>
    <t>0.02143 (0.00088)</t>
  </si>
  <si>
    <t>0.05877 (0.00302)</t>
  </si>
  <si>
    <t>0.01032 (0.00048)</t>
  </si>
  <si>
    <t>yybE</t>
  </si>
  <si>
    <t>0.17706 (0.09907)</t>
  </si>
  <si>
    <t>0.04129 (0.06366)</t>
  </si>
  <si>
    <t>0.01750 (0.00102)</t>
  </si>
  <si>
    <t>0.06604 (0.00443)</t>
  </si>
  <si>
    <t>0.00431 (0.00032)</t>
  </si>
  <si>
    <t>yybD</t>
  </si>
  <si>
    <t>0.22556 (0.06607)</t>
  </si>
  <si>
    <t>0.28374 (0.42844)</t>
  </si>
  <si>
    <t>0.01655 (0.00121)</t>
  </si>
  <si>
    <t>0.04120 (0.00420)</t>
  </si>
  <si>
    <t>0.00991 (0.00058)</t>
  </si>
  <si>
    <t>yybC</t>
  </si>
  <si>
    <t>0.78749 (0.57531)</t>
  </si>
  <si>
    <t>0.20465 (0.20370)</t>
  </si>
  <si>
    <t>0.01863 (0.00136)</t>
  </si>
  <si>
    <t>0.03658 (0.00419)</t>
  </si>
  <si>
    <t>0.01394 (0.00081)</t>
  </si>
  <si>
    <t>yybB</t>
  </si>
  <si>
    <t>0.15608 (0.05483)</t>
  </si>
  <si>
    <t>0.07940 (0.06568)</t>
  </si>
  <si>
    <t>0.02545 (0.00164)</t>
  </si>
  <si>
    <t>0.08575 (0.00599)</t>
  </si>
  <si>
    <t>yybA</t>
  </si>
  <si>
    <t>transcriptional regulator (MarR family,polyamine export and degradation)</t>
  </si>
  <si>
    <t>0.01206 (0.00177)</t>
  </si>
  <si>
    <t>0.06020 (0.00925)</t>
  </si>
  <si>
    <t>yyaS</t>
  </si>
  <si>
    <t>0.14775 (0.11740)</t>
  </si>
  <si>
    <t>0.39218 (0.14920)</t>
  </si>
  <si>
    <t>0.02955 (0.00173)</t>
  </si>
  <si>
    <t>0.07581 (0.00501)</t>
  </si>
  <si>
    <t>0.01574 (0.00103)</t>
  </si>
  <si>
    <t>yyaQ</t>
  </si>
  <si>
    <t>1.55136 (2.85287)</t>
  </si>
  <si>
    <t>0.18680 (0.28687)</t>
  </si>
  <si>
    <t>0.02371 (0.00354)</t>
  </si>
  <si>
    <t>0.05952 (0.01191)</t>
  </si>
  <si>
    <t>0.01586 (0.00172)</t>
  </si>
  <si>
    <t>yyaP</t>
  </si>
  <si>
    <t>0.28855 (0.16067)</t>
  </si>
  <si>
    <t>0.20724 (0.30030)</t>
  </si>
  <si>
    <t>0.02237 (0.00173)</t>
  </si>
  <si>
    <t>0.06102 (0.00599)</t>
  </si>
  <si>
    <t>0.01368 (0.00088)</t>
  </si>
  <si>
    <t>tetB</t>
  </si>
  <si>
    <t>multifunctional tetracycline-metal/H+ antiporter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</si>
  <si>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GCA_000706705.1_ASM70670v1_genomic , GCA_000737405.1_ASM73740v1_genomic , GCA_000782835.1_ASM78283v1_genomic , GCA_000789275.1_ASM78927v1_genomic , GCA_000789295.1_ASM78929v1_genomic , GCA_000827065.1_ASM82706v1_genomic , GCA_000953615.1_BS49Ch_genomic , GCA_000971925.1_ASM97192v1_genomic , GCA_001037985.1_ASM103798v1_genomic , GCA_001541905.1_ASM154190v1_genomic , GCA_001596535.1_ASM159653v1_genomic , GCA_001604995.1_ASM160499v1_genomic , GCA_001660525.1_ASM166052v1_genomic , GCA_001697265.1_ASM169726v1_genomic , GCA_001703495.1_ASM170349v1_genomic , GCA_001704095.1_ASM170409v1_genomic , GCA_001720505.1_ASM172050v1_genomic , GCA_001746575.1_ASM174657v1_genomic , GCA_002055965.1_ASM205596v1_genomic , GCA_002072735.1_ASM207273v1_genomic , GCA_002142595.1_ASM214259v1_genomic</t>
  </si>
  <si>
    <t>0.27316 (0.14075)</t>
  </si>
  <si>
    <t>0.12039 (0.02669)</t>
  </si>
  <si>
    <t>0.01190 (0.00101)</t>
  </si>
  <si>
    <t>0.03383 (0.00303)</t>
  </si>
  <si>
    <t>0.00521 (0.00042)</t>
  </si>
  <si>
    <t>yyaN</t>
  </si>
  <si>
    <t>putative transcriptional regulator (MerRfamily)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</si>
  <si>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GCA_002055965.1_ASM205596v1_genomic , GCA_002072735.1_ASM207273v1_genomic , GCA_002142595.1_ASM214259v1_genomic</t>
  </si>
  <si>
    <t>0.17371 (0.12283)</t>
  </si>
  <si>
    <t>0.00770 (0.00194)</t>
  </si>
  <si>
    <t>0.02574 (0.00769)</t>
  </si>
  <si>
    <t>0.00309 (0.00073)</t>
  </si>
  <si>
    <t>yyaM</t>
  </si>
  <si>
    <t>ref , GCA_000186745.1_ASM18674v1_genomic , GCA_000293765.1_ASM29376v1_genomic , GCA_000321395.1_ASM32139v1_genomic , GCA_000344745.1_ASM34474v1_genomic , GCA_000497485.1_ASM49748v1_genomic , GCA_000523045.1_ASM52304v1_genomic , GCA_000699465.1_ASM69946v1_genomic , GCA_000699525.1_ASM69952v1_genomic , GCA_000789275.1_ASM78927v1_genomic , GCA_000789295.1_ASM78929v1_genomic , GCA_000827065.1_ASM82706v1_genomic , GCA_000953615.1_BS49Ch_genomic , GCA_000971925.1_ASM97192v1_genomic , GCA_001541905.1_ASM154190v1_genomic , GCA_001596535.1_ASM159653v1_genomic , GCA_001604995.1_ASM160499v1_genomic , GCA_001660525.1_ASM166052v1_genomic , GCA_001697265.1_ASM169726v1_genomic , GCA_001703495.1_ASM170349v1_genomic , GCA_002055965.1_ASM205596v1_genomic , GCA_002072735.1_ASM207273v1_genomic , GCA_002142595.1_ASM214259v1_genomic , GCA_002163815.1_ASM216381v1_genomic</t>
  </si>
  <si>
    <t>0.17782 (0.27708)</t>
  </si>
  <si>
    <t>0.04616 (0.03874)</t>
  </si>
  <si>
    <t>0.02412 (0.00539)</t>
  </si>
  <si>
    <t>0.07336 (0.01724)</t>
  </si>
  <si>
    <t>0.00984 (0.00218)</t>
  </si>
  <si>
    <t>yyaL</t>
  </si>
  <si>
    <t>0.08546 (0.04091)</t>
  </si>
  <si>
    <t>0.09264 (0.03130)</t>
  </si>
  <si>
    <t>0.02933 (0.00083)</t>
  </si>
  <si>
    <t>0.10566 (0.00305)</t>
  </si>
  <si>
    <t>0.00989 (0.00040)</t>
  </si>
  <si>
    <t>yyaK</t>
  </si>
  <si>
    <t>putative integral inner membrane protease</t>
  </si>
  <si>
    <t>0.10539 (0.05363)</t>
  </si>
  <si>
    <t>0.06488 (0.07015)</t>
  </si>
  <si>
    <t>0.01786 (0.00091)</t>
  </si>
  <si>
    <t>0.05969 (0.00301)</t>
  </si>
  <si>
    <t>0.00616 (0.00045)</t>
  </si>
  <si>
    <t>yyaJ</t>
  </si>
  <si>
    <t>0.49716 (0.12514)</t>
  </si>
  <si>
    <t>0.07294 (0.09872)</t>
  </si>
  <si>
    <t>0.05509 (0.03325)</t>
  </si>
  <si>
    <t>0.01823 (0.00096)</t>
  </si>
  <si>
    <t>0.06483 (0.00345)</t>
  </si>
  <si>
    <t>0.00434 (0.00033)</t>
  </si>
  <si>
    <t>maa</t>
  </si>
  <si>
    <t>maltose O-acetyltransferase</t>
  </si>
  <si>
    <t>0.17655 (0.06396)</t>
  </si>
  <si>
    <t>0.20743 (0.07076)</t>
  </si>
  <si>
    <t>0.01637 (0.00075)</t>
  </si>
  <si>
    <t>0.04399 (0.00202)</t>
  </si>
  <si>
    <t>0.00823 (0.00055)</t>
  </si>
  <si>
    <t>yyaH</t>
  </si>
  <si>
    <t>0.11234 (0.08949)</t>
  </si>
  <si>
    <t>0.23624 (0.13464)</t>
  </si>
  <si>
    <t>0.02140 (0.00143)</t>
  </si>
  <si>
    <t>0.06376 (0.00571)</t>
  </si>
  <si>
    <t>0.01099 (0.00059)</t>
  </si>
  <si>
    <t>ccpB</t>
  </si>
  <si>
    <t>transcriptional repressor of carbon supply (LacIfamily)</t>
  </si>
  <si>
    <t>0.21301 (0.05694)</t>
  </si>
  <si>
    <t>0.24182 (0.10077)</t>
  </si>
  <si>
    <t>0.01459 (0.00047)</t>
  </si>
  <si>
    <t>0.03755 (0.00128)</t>
  </si>
  <si>
    <t>0.00826 (0.00032)</t>
  </si>
  <si>
    <t>exoA</t>
  </si>
  <si>
    <t>apurinic/apyrimidinic endonuclease</t>
  </si>
  <si>
    <t>0.11897 (0.09086)</t>
  </si>
  <si>
    <t>0.10680 (0.05511)</t>
  </si>
  <si>
    <t>0.01250 (0.00056)</t>
  </si>
  <si>
    <t>0.03983 (0.00211)</t>
  </si>
  <si>
    <t>0.00522 (0.00026)</t>
  </si>
  <si>
    <t>rpsR</t>
  </si>
  <si>
    <t>ribosomal protein S18</t>
  </si>
  <si>
    <t>0.01190 (0.00085)</t>
  </si>
  <si>
    <t>0.04966 (0.00366)</t>
  </si>
  <si>
    <t>ssbA</t>
  </si>
  <si>
    <t>0.03635 (0.07886)</t>
  </si>
  <si>
    <t>0.01024 (0.00091)</t>
  </si>
  <si>
    <t>0.04426 (0.00433)</t>
  </si>
  <si>
    <t>0.00072 (0.00025)</t>
  </si>
  <si>
    <t>rpsF</t>
  </si>
  <si>
    <t>ribosomal protein S6 (BS9)</t>
  </si>
  <si>
    <t>0.54979 (0.43028)</t>
  </si>
  <si>
    <t>0.01053 (0.00099)</t>
  </si>
  <si>
    <t>0.01092 (0.00253)</t>
  </si>
  <si>
    <t>0.01054 (0.00102)</t>
  </si>
  <si>
    <t>engD</t>
  </si>
  <si>
    <t>potassium-dependent informational ATPaseinteracting with 70S ribosome; ROS stress regulator</t>
  </si>
  <si>
    <t>0.01673 (0.04854)</t>
  </si>
  <si>
    <t>0.02716 (0.03797)</t>
  </si>
  <si>
    <t>0.00517 (0.00038)</t>
  </si>
  <si>
    <t>0.02082 (0.00152)</t>
  </si>
  <si>
    <t>yyaE</t>
  </si>
  <si>
    <t>putative oxidoreductase (molybdoenzyme)</t>
  </si>
  <si>
    <t>0.16623 (0.02854)</t>
  </si>
  <si>
    <t>0.06118 (0.01722)</t>
  </si>
  <si>
    <t>0.01479 (0.00042)</t>
  </si>
  <si>
    <t>0.05133 (0.00177)</t>
  </si>
  <si>
    <t>0.00475 (0.00015)</t>
  </si>
  <si>
    <t>yyzM</t>
  </si>
  <si>
    <t>0.23605 (0.00000)</t>
  </si>
  <si>
    <t>0.01294 (0.00201)</t>
  </si>
  <si>
    <t>0.05392 (0.00886)</t>
  </si>
  <si>
    <t>0.00371 (0.00088)</t>
  </si>
  <si>
    <t>yyaD</t>
  </si>
  <si>
    <t>0.06262 (0.18042)</t>
  </si>
  <si>
    <t>0.03448 (0.07616)</t>
  </si>
  <si>
    <t>0.01176 (0.00137)</t>
  </si>
  <si>
    <t>0.04464 (0.00531)</t>
  </si>
  <si>
    <t>sprC</t>
  </si>
  <si>
    <t>spore-specific protease</t>
  </si>
  <si>
    <t>0.02182 (0.03504)</t>
  </si>
  <si>
    <t>0.01558 (0.03689)</t>
  </si>
  <si>
    <t>0.01676 (0.00069)</t>
  </si>
  <si>
    <t>0.07085 (0.00321)</t>
  </si>
  <si>
    <t>0.00165 (0.00015)</t>
  </si>
  <si>
    <t>parB</t>
  </si>
  <si>
    <t>site-specific DNA-binding protein</t>
  </si>
  <si>
    <t>0.04794 (0.07327)</t>
  </si>
  <si>
    <t>0.01316 (0.03776)</t>
  </si>
  <si>
    <t>0.01672 (0.00126)</t>
  </si>
  <si>
    <t>0.07155 (0.00579)</t>
  </si>
  <si>
    <t>0.00223 (0.00021)</t>
  </si>
  <si>
    <t>parA</t>
  </si>
  <si>
    <t>chromosome partitioning protein; transcriptionalregulator</t>
  </si>
  <si>
    <t>0.02203 (0.00207)</t>
  </si>
  <si>
    <t>0.10072 (0.00968)</t>
  </si>
  <si>
    <t>yyaB</t>
  </si>
  <si>
    <t>putative antibiotic immunity protein</t>
  </si>
  <si>
    <t>0.24456 (0.20094)</t>
  </si>
  <si>
    <t>0.04426 (0.05383)</t>
  </si>
  <si>
    <t>0.01839 (0.00105)</t>
  </si>
  <si>
    <t>0.06260 (0.00416)</t>
  </si>
  <si>
    <t>0.00644 (0.00040)</t>
  </si>
  <si>
    <t>nocA</t>
  </si>
  <si>
    <t>DNA-binding protein Spo0J-like</t>
  </si>
  <si>
    <t>0.02392 (0.06118)</t>
  </si>
  <si>
    <t>0.01594 (0.00096)</t>
  </si>
  <si>
    <t>0.07160 (0.00444)</t>
  </si>
  <si>
    <t>0.00179 (0.00011)</t>
  </si>
  <si>
    <t>rsmG</t>
  </si>
  <si>
    <t>7-methylguanosine methyltransferase (16S rRNA,nucleotide G527)</t>
  </si>
  <si>
    <t>0.08287 (0.04780)</t>
  </si>
  <si>
    <t>0.03148 (0.05618)</t>
  </si>
  <si>
    <t>0.02800 (0.00148)</t>
  </si>
  <si>
    <t>0.12199 (0.00699)</t>
  </si>
  <si>
    <t>0.00469 (0.00023)</t>
  </si>
  <si>
    <t>trmF</t>
  </si>
  <si>
    <t>tRNA uridine 5-carboxymethylaminomethylmodification enzyme</t>
  </si>
  <si>
    <t>0.01845 (0.02698)</t>
  </si>
  <si>
    <t>0.00446 (0.01866)</t>
  </si>
  <si>
    <t>0.02336 (0.00112)</t>
  </si>
  <si>
    <t>0.10472 (0.00526)</t>
  </si>
  <si>
    <t>mnmE</t>
  </si>
  <si>
    <t>tRNA modification GTPase and tRNA-U345-formylation enzyme</t>
  </si>
  <si>
    <t>0.02662 (0.02358)</t>
  </si>
  <si>
    <t>0.02048 (0.02708)</t>
  </si>
  <si>
    <t>0.02484 (0.00115)</t>
  </si>
  <si>
    <t>0.10885 (0.00540)</t>
  </si>
  <si>
    <t>0.00228 (0.00012)</t>
  </si>
  <si>
    <t>jag</t>
  </si>
  <si>
    <t>SpoIIIJ-associated RNA/ssDNA-binding protein</t>
  </si>
  <si>
    <t>0.03844 (0.06694)</t>
  </si>
  <si>
    <t>0.06005 (0.14212)</t>
  </si>
  <si>
    <t>0.01259 (0.00085)</t>
  </si>
  <si>
    <t>0.04875 (0.00340)</t>
  </si>
  <si>
    <t>0.00232 (0.00027)</t>
  </si>
  <si>
    <t>oxaAA</t>
  </si>
  <si>
    <t>0.01538 (0.02899)</t>
  </si>
  <si>
    <t>0.01570 (0.02281)</t>
  </si>
  <si>
    <t>0.01696 (0.00082)</t>
  </si>
  <si>
    <t>0.08021 (0.00402)</t>
  </si>
  <si>
    <t>0.00130 (0.00010)</t>
  </si>
  <si>
    <t>rnpA</t>
  </si>
  <si>
    <t>protein component of ribonuclease P (RNase P)(substrate specificity)</t>
  </si>
  <si>
    <t>0.13835 (0.06131)</t>
  </si>
  <si>
    <t>0.01890 (0.02520)</t>
  </si>
  <si>
    <t>0.02605 (0.00229)</t>
  </si>
  <si>
    <t>0.11607 (0.01137)</t>
  </si>
  <si>
    <t>rpmH</t>
  </si>
  <si>
    <t>ribosomal protein L34</t>
  </si>
  <si>
    <t>0.01136 (0.00155)</t>
  </si>
  <si>
    <t>0.05196 (0.00729)</t>
  </si>
  <si>
    <t>Orientation</t>
  </si>
  <si>
    <t>Start</t>
  </si>
  <si>
    <t>Stop</t>
  </si>
  <si>
    <t>HO</t>
  </si>
  <si>
    <t>CD</t>
  </si>
  <si>
    <t>Gene_number</t>
  </si>
  <si>
    <t>Position</t>
  </si>
  <si>
    <t>Convergent</t>
  </si>
  <si>
    <t>Parallel</t>
  </si>
  <si>
    <t>Coincidental</t>
  </si>
  <si>
    <t>dN</t>
  </si>
  <si>
    <t>dS</t>
  </si>
  <si>
    <t>dN/dS&gt;1</t>
  </si>
  <si>
    <t>Total</t>
  </si>
  <si>
    <t>chi sq</t>
  </si>
  <si>
    <t>C+P</t>
  </si>
  <si>
    <t>HO/CD</t>
  </si>
  <si>
    <t>Number</t>
  </si>
  <si>
    <t>Fraction</t>
  </si>
  <si>
    <t>Total Muts</t>
  </si>
  <si>
    <t>Total Genes</t>
  </si>
  <si>
    <t>p-value</t>
  </si>
  <si>
    <t>Genes with at least one Convergent mutation</t>
  </si>
  <si>
    <t>Total Genes w/</t>
  </si>
  <si>
    <t>Total-inf</t>
  </si>
  <si>
    <t>Fraction &gt;=1 (-inf)</t>
  </si>
  <si>
    <t>dN/dS &gt;1</t>
  </si>
  <si>
    <t># &gt;= 1</t>
  </si>
  <si>
    <t>Total-Inf</t>
  </si>
  <si>
    <t>Percent</t>
  </si>
  <si>
    <t>All</t>
  </si>
  <si>
    <t> .534186</t>
  </si>
  <si>
    <t>B. subtilis 100</t>
  </si>
  <si>
    <t>B. subtilis 100 + Mtb 100</t>
  </si>
  <si>
    <t>BS</t>
  </si>
  <si>
    <t>Mtb</t>
  </si>
  <si>
    <t>dN/dS &gt;= 1</t>
  </si>
  <si>
    <t>All genes</t>
  </si>
  <si>
    <t>Only genes 200 AA or greater</t>
  </si>
  <si>
    <t>B. subtilis 50</t>
  </si>
  <si>
    <t> .000082</t>
  </si>
  <si>
    <t># &gt;1</t>
  </si>
  <si>
    <t>Numbers</t>
  </si>
  <si>
    <t># Genes</t>
  </si>
  <si>
    <t># dN/dS &gt;= 1</t>
  </si>
  <si>
    <t>&lt; 0.00001</t>
  </si>
  <si>
    <t>Chi Sq p-value</t>
  </si>
  <si>
    <t>Conv</t>
  </si>
  <si>
    <t>Total # Genes</t>
  </si>
  <si>
    <t>Chisq</t>
  </si>
  <si>
    <t># dN/dS &gt;1</t>
  </si>
  <si>
    <t>#Conv</t>
  </si>
  <si>
    <t>#Parallel</t>
  </si>
  <si>
    <t>#C+P</t>
  </si>
  <si>
    <t>#Coincidental</t>
  </si>
  <si>
    <t>#All</t>
  </si>
  <si>
    <t>#TotalGenes</t>
  </si>
  <si>
    <t>B. subtilis "10" ten strains</t>
  </si>
  <si>
    <t>B. subtilis "3" Ten strains</t>
  </si>
  <si>
    <t> .009084</t>
  </si>
  <si>
    <t> .030897</t>
  </si>
  <si>
    <t> .00017</t>
  </si>
  <si>
    <t>Length</t>
  </si>
  <si>
    <t>Nonsyn</t>
  </si>
  <si>
    <t>HSmut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</si>
</sst>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1"/>
      <color rgb="FFFF0000"/>
      <name val="Open Sans"/>
      <family val="2"/>
    </font>
    <font>
      <b/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8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/>
    <xf numFmtId="1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16" fillId="0" borderId="13" xfId="0" applyFont="1" applyBorder="1"/>
    <xf numFmtId="0" fontId="16" fillId="0" borderId="0" xfId="0" applyFont="1" applyBorder="1"/>
    <xf numFmtId="0" fontId="16" fillId="0" borderId="15" xfId="0" applyFont="1" applyBorder="1"/>
    <xf numFmtId="0" fontId="16" fillId="0" borderId="16" xfId="0" applyFont="1" applyBorder="1"/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164" fontId="0" fillId="0" borderId="0" xfId="0" applyNumberFormat="1" applyBorder="1"/>
    <xf numFmtId="0" fontId="20" fillId="0" borderId="16" xfId="0" applyFont="1" applyBorder="1"/>
    <xf numFmtId="0" fontId="14" fillId="0" borderId="16" xfId="0" applyFont="1" applyBorder="1"/>
    <xf numFmtId="0" fontId="16" fillId="0" borderId="18" xfId="0" applyFont="1" applyBorder="1"/>
    <xf numFmtId="0" fontId="16" fillId="0" borderId="19" xfId="0" applyFont="1" applyBorder="1"/>
    <xf numFmtId="0" fontId="16" fillId="0" borderId="20" xfId="0" applyFont="1" applyBorder="1"/>
    <xf numFmtId="0" fontId="16" fillId="0" borderId="21" xfId="0" applyFont="1" applyBorder="1"/>
    <xf numFmtId="0" fontId="0" fillId="0" borderId="22" xfId="0" applyBorder="1"/>
    <xf numFmtId="0" fontId="16" fillId="0" borderId="23" xfId="0" applyFont="1" applyBorder="1"/>
    <xf numFmtId="0" fontId="0" fillId="0" borderId="24" xfId="0" applyBorder="1"/>
    <xf numFmtId="0" fontId="0" fillId="0" borderId="25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3" xfId="0" applyBorder="1"/>
    <xf numFmtId="0" fontId="19" fillId="0" borderId="10" xfId="0" applyFont="1" applyBorder="1"/>
    <xf numFmtId="0" fontId="21" fillId="0" borderId="0" xfId="0" applyFont="1"/>
    <xf numFmtId="0" fontId="20" fillId="0" borderId="0" xfId="0" applyFont="1"/>
    <xf numFmtId="0" fontId="16" fillId="0" borderId="0" xfId="0" applyFont="1" applyFill="1" applyBorder="1"/>
    <xf numFmtId="0" fontId="16" fillId="0" borderId="16" xfId="0" applyFont="1" applyFill="1" applyBorder="1"/>
    <xf numFmtId="0" fontId="22" fillId="0" borderId="16" xfId="0" applyFont="1" applyBorder="1"/>
    <xf numFmtId="0" fontId="23" fillId="0" borderId="0" xfId="0" applyFont="1"/>
    <xf numFmtId="0" fontId="22" fillId="0" borderId="0" xfId="0" applyFon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Convergent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Convergent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HO!$BU$4:$BU$5</c:f>
              <c:strCache>
                <c:ptCount val="2"/>
                <c:pt idx="0">
                  <c:v>CD</c:v>
                </c:pt>
                <c:pt idx="1">
                  <c:v>HO</c:v>
                </c:pt>
              </c:strCache>
            </c:strRef>
          </c:cat>
          <c:val>
            <c:numRef>
              <c:f>(HO!$BV$7,HO!$BV$8)</c:f>
              <c:numCache>
                <c:formatCode>General</c:formatCode>
                <c:ptCount val="2"/>
                <c:pt idx="0">
                  <c:v>6.261376046596287E-2</c:v>
                </c:pt>
                <c:pt idx="1">
                  <c:v>7.7679449360865294E-2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6-4E08-AECF-E9C8FC67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956671"/>
        <c:axId val="1103448239"/>
      </c:barChart>
      <c:catAx>
        <c:axId val="11029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48239"/>
        <c:crosses val="autoZero"/>
        <c:auto val="1"/>
        <c:lblAlgn val="ctr"/>
        <c:lblOffset val="100"/>
        <c:noMultiLvlLbl val="0"/>
      </c:catAx>
      <c:valAx>
        <c:axId val="110344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5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Parallel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Parallel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HO!$BU$4:$BU$5</c:f>
              <c:strCache>
                <c:ptCount val="2"/>
                <c:pt idx="0">
                  <c:v>CD</c:v>
                </c:pt>
                <c:pt idx="1">
                  <c:v>HO</c:v>
                </c:pt>
              </c:strCache>
            </c:strRef>
          </c:cat>
          <c:val>
            <c:numRef>
              <c:f>(HO!$BW$7,HO!$BW$8)</c:f>
              <c:numCache>
                <c:formatCode>General</c:formatCode>
                <c:ptCount val="2"/>
                <c:pt idx="0">
                  <c:v>5.1423370950127412</c:v>
                </c:pt>
                <c:pt idx="1">
                  <c:v>5.705998033431662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0-4F85-86CF-40EAFC24C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956671"/>
        <c:axId val="1103448239"/>
      </c:barChart>
      <c:catAx>
        <c:axId val="11029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48239"/>
        <c:crosses val="autoZero"/>
        <c:auto val="1"/>
        <c:lblAlgn val="ctr"/>
        <c:lblOffset val="100"/>
        <c:noMultiLvlLbl val="0"/>
      </c:catAx>
      <c:valAx>
        <c:axId val="11034482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5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Coincidental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Convergent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HO!$BU$4:$BU$5</c:f>
              <c:strCache>
                <c:ptCount val="2"/>
                <c:pt idx="0">
                  <c:v>CD</c:v>
                </c:pt>
                <c:pt idx="1">
                  <c:v>HO</c:v>
                </c:pt>
              </c:strCache>
            </c:strRef>
          </c:cat>
          <c:val>
            <c:numRef>
              <c:f>HO!$BY$7:$BY$8</c:f>
              <c:numCache>
                <c:formatCode>General</c:formatCode>
                <c:ptCount val="2"/>
                <c:pt idx="0">
                  <c:v>0.88787768474699669</c:v>
                </c:pt>
                <c:pt idx="1">
                  <c:v>1.0403146509341199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A-476A-9659-FCFE27BC8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956671"/>
        <c:axId val="1103448239"/>
      </c:barChart>
      <c:catAx>
        <c:axId val="11029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48239"/>
        <c:crosses val="autoZero"/>
        <c:auto val="1"/>
        <c:lblAlgn val="ctr"/>
        <c:lblOffset val="100"/>
        <c:noMultiLvlLbl val="0"/>
      </c:catAx>
      <c:valAx>
        <c:axId val="11034482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5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Convergent + Parallel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Convergent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HO!$BU$4:$BU$5</c:f>
              <c:strCache>
                <c:ptCount val="2"/>
                <c:pt idx="0">
                  <c:v>CD</c:v>
                </c:pt>
                <c:pt idx="1">
                  <c:v>HO</c:v>
                </c:pt>
              </c:strCache>
            </c:strRef>
          </c:cat>
          <c:val>
            <c:numRef>
              <c:f>HO!$BX$7:$BX$8</c:f>
              <c:numCache>
                <c:formatCode>General</c:formatCode>
                <c:ptCount val="2"/>
                <c:pt idx="0">
                  <c:v>5.2049508554787041</c:v>
                </c:pt>
                <c:pt idx="1">
                  <c:v>5.7836774827925268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2-4A80-BA66-325A7FCC2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956671"/>
        <c:axId val="1103448239"/>
      </c:barChart>
      <c:catAx>
        <c:axId val="11029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48239"/>
        <c:crosses val="autoZero"/>
        <c:auto val="1"/>
        <c:lblAlgn val="ctr"/>
        <c:lblOffset val="100"/>
        <c:noMultiLvlLbl val="0"/>
      </c:catAx>
      <c:valAx>
        <c:axId val="1103448239"/>
        <c:scaling>
          <c:orientation val="minMax"/>
          <c:max val="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5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dN/dS &gt;= 1 Bs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dN/dS &gt;=1 BS50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HO!$BU$4:$BU$5</c:f>
              <c:strCache>
                <c:ptCount val="2"/>
                <c:pt idx="0">
                  <c:v>CD</c:v>
                </c:pt>
                <c:pt idx="1">
                  <c:v>HO</c:v>
                </c:pt>
              </c:strCache>
            </c:strRef>
          </c:cat>
          <c:val>
            <c:numRef>
              <c:f>HO!$BR$4:$BR$5</c:f>
              <c:numCache>
                <c:formatCode>0.00%</c:formatCode>
                <c:ptCount val="2"/>
                <c:pt idx="0">
                  <c:v>5.1039008384979948E-3</c:v>
                </c:pt>
                <c:pt idx="1">
                  <c:v>7.874015748031496E-3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5-45BC-B284-9649BFF27C6F}"/>
            </c:ext>
          </c:extLst>
        </c:ser>
        <c:ser>
          <c:idx val="1"/>
          <c:order val="1"/>
          <c:tx>
            <c:v>dN/dS &gt;=1 Bs 100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HO!$CA$33:$CA$34</c:f>
              <c:numCache>
                <c:formatCode>General</c:formatCode>
                <c:ptCount val="2"/>
                <c:pt idx="0">
                  <c:v>5.244755244755245E-3</c:v>
                </c:pt>
                <c:pt idx="1">
                  <c:v>1.0446343779677113E-2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B9-4BCC-9E9C-25E6E678B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956671"/>
        <c:axId val="1103448239"/>
      </c:barChart>
      <c:catAx>
        <c:axId val="110295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448239"/>
        <c:crosses val="autoZero"/>
        <c:auto val="1"/>
        <c:lblAlgn val="ctr"/>
        <c:lblOffset val="100"/>
        <c:noMultiLvlLbl val="0"/>
      </c:catAx>
      <c:valAx>
        <c:axId val="110344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5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Convergent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200 AA+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Analysis!$X$33:$X$34</c:f>
              <c:numCache>
                <c:formatCode>General</c:formatCode>
                <c:ptCount val="2"/>
                <c:pt idx="0">
                  <c:v>8.5573230938014264E-2</c:v>
                </c:pt>
                <c:pt idx="1">
                  <c:v>0.11833333333333333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F-4482-84B9-571B556791E4}"/>
            </c:ext>
          </c:extLst>
        </c:ser>
        <c:ser>
          <c:idx val="1"/>
          <c:order val="1"/>
          <c:tx>
            <c:v>All AAs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Analysis!$X$24:$X$25</c:f>
              <c:numCache>
                <c:formatCode>General</c:formatCode>
                <c:ptCount val="2"/>
                <c:pt idx="0">
                  <c:v>6.261376046596287E-2</c:v>
                </c:pt>
                <c:pt idx="1">
                  <c:v>7.7679449360865294E-2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F-4482-84B9-571B55679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013696"/>
        <c:axId val="239408352"/>
      </c:barChart>
      <c:catAx>
        <c:axId val="3410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408352"/>
        <c:crosses val="autoZero"/>
        <c:auto val="1"/>
        <c:lblAlgn val="ctr"/>
        <c:lblOffset val="100"/>
        <c:noMultiLvlLbl val="0"/>
      </c:catAx>
      <c:valAx>
        <c:axId val="23940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Parallel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200 AA+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Analysis!$Y$33:$Y$34</c:f>
              <c:numCache>
                <c:formatCode>General</c:formatCode>
                <c:ptCount val="2"/>
                <c:pt idx="0">
                  <c:v>7.0049369171695011</c:v>
                </c:pt>
                <c:pt idx="1">
                  <c:v>8.5083333333333329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7-416B-95BF-15087E0076DC}"/>
            </c:ext>
          </c:extLst>
        </c:ser>
        <c:ser>
          <c:idx val="1"/>
          <c:order val="1"/>
          <c:tx>
            <c:v>All AAs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Analysis!$Y$24:$Y$25</c:f>
              <c:numCache>
                <c:formatCode>General</c:formatCode>
                <c:ptCount val="2"/>
                <c:pt idx="0">
                  <c:v>5.1423370950127412</c:v>
                </c:pt>
                <c:pt idx="1">
                  <c:v>5.705998033431662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7-416B-95BF-15087E007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013696"/>
        <c:axId val="239408352"/>
      </c:barChart>
      <c:catAx>
        <c:axId val="3410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408352"/>
        <c:crosses val="autoZero"/>
        <c:auto val="1"/>
        <c:lblAlgn val="ctr"/>
        <c:lblOffset val="100"/>
        <c:noMultiLvlLbl val="0"/>
      </c:catAx>
      <c:valAx>
        <c:axId val="23940835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dS</a:t>
            </a:r>
            <a:r>
              <a:rPr lang="en-US" baseline="0"/>
              <a:t> - 200 AA +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Analysis!$AN$30</c:f>
              <c:numCache>
                <c:formatCode>General</c:formatCode>
                <c:ptCount val="1"/>
                <c:pt idx="0">
                  <c:v>5.8136306256860559E-2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C-455A-AD00-EAA5482973AD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Analysis!$AN$31</c:f>
              <c:numCache>
                <c:formatCode>General</c:formatCode>
                <c:ptCount val="1"/>
                <c:pt idx="0">
                  <c:v>5.3764433333333271E-2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C-455A-AD00-EAA548297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dN</a:t>
            </a:r>
            <a:r>
              <a:rPr lang="en-US" baseline="0"/>
              <a:t> - 200 AA +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Analysis!$AO$30</c:f>
              <c:numCache>
                <c:formatCode>General</c:formatCode>
                <c:ptCount val="1"/>
                <c:pt idx="0">
                  <c:v>4.2135400658616842E-3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D-47AD-B541-C379174CD028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Analysis!$AO$31</c:f>
              <c:numCache>
                <c:formatCode>General</c:formatCode>
                <c:ptCount val="1"/>
                <c:pt idx="0">
                  <c:v>4.8541500000000041E-3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D-47AD-B541-C379174CD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dN/dS</a:t>
            </a:r>
            <a:r>
              <a:rPr lang="en-US" baseline="0"/>
              <a:t> - 200 AA +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Analysis!$AP$30</c:f>
              <c:numCache>
                <c:formatCode>General</c:formatCode>
                <c:ptCount val="1"/>
                <c:pt idx="0">
                  <c:v>8.5899835255354176E-2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C-488E-A0D6-BA3289D150A0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Analysis!$AP$31</c:f>
              <c:numCache>
                <c:formatCode>General</c:formatCode>
                <c:ptCount val="1"/>
                <c:pt idx="0">
                  <c:v>0.1020098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C-488E-A0D6-BA3289D15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dS</a:t>
            </a:r>
            <a:r>
              <a:rPr lang="en-US" baseline="0"/>
              <a:t> - 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Analysis!$AN$21</c:f>
              <c:numCache>
                <c:formatCode>General</c:formatCode>
                <c:ptCount val="1"/>
                <c:pt idx="0">
                  <c:v>6.0975620677102306E-2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D-434C-A066-6C2F0F9930B2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Analysis!$AN$22</c:f>
              <c:numCache>
                <c:formatCode>General</c:formatCode>
                <c:ptCount val="1"/>
                <c:pt idx="0">
                  <c:v>5.8235594886922329E-2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D-434C-A066-6C2F0F993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dN</a:t>
            </a:r>
            <a:r>
              <a:rPr lang="en-US" baseline="0"/>
              <a:t> - 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Analysis!$AO$21</c:f>
              <c:numCache>
                <c:formatCode>General</c:formatCode>
                <c:ptCount val="1"/>
                <c:pt idx="0">
                  <c:v>5.0698762286130418E-3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EF-4489-8E04-F03ACAEE663D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Analysis!$AO$22</c:f>
              <c:numCache>
                <c:formatCode>General</c:formatCode>
                <c:ptCount val="1"/>
                <c:pt idx="0">
                  <c:v>6.0043067846607626E-3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F-4489-8E04-F03ACAEE6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dN/dS</a:t>
            </a:r>
            <a:r>
              <a:rPr lang="en-US" baseline="0"/>
              <a:t> - 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Analysis!$AP$21</c:f>
              <c:numCache>
                <c:formatCode>General</c:formatCode>
                <c:ptCount val="1"/>
                <c:pt idx="0">
                  <c:v>0.10873081297849094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F-427B-AF70-06C1CB535FB8}"/>
            </c:ext>
          </c:extLst>
        </c:ser>
        <c:ser>
          <c:idx val="1"/>
          <c:order val="1"/>
          <c:tx>
            <c:v>HO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dS</c:v>
              </c:pt>
            </c:strLit>
          </c:cat>
          <c:val>
            <c:numRef>
              <c:f>Analysis!$AP$22</c:f>
              <c:numCache>
                <c:formatCode>General</c:formatCode>
                <c:ptCount val="1"/>
                <c:pt idx="0">
                  <c:v>0.13368354330708657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F-427B-AF70-06C1CB535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199231"/>
        <c:axId val="1687329679"/>
      </c:barChart>
      <c:catAx>
        <c:axId val="18071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29679"/>
        <c:crosses val="autoZero"/>
        <c:auto val="1"/>
        <c:lblAlgn val="ctr"/>
        <c:lblOffset val="100"/>
        <c:noMultiLvlLbl val="0"/>
      </c:catAx>
      <c:valAx>
        <c:axId val="1687329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Coincidental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200 AA+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Analysis!$AA$33:$AA$34</c:f>
              <c:numCache>
                <c:formatCode>General</c:formatCode>
                <c:ptCount val="2"/>
                <c:pt idx="0">
                  <c:v>1.0822819528250136</c:v>
                </c:pt>
                <c:pt idx="1">
                  <c:v>1.37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F-48F4-8A12-64965C8DE369}"/>
            </c:ext>
          </c:extLst>
        </c:ser>
        <c:ser>
          <c:idx val="1"/>
          <c:order val="1"/>
          <c:tx>
            <c:v>All AAs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CD</c:v>
              </c:pt>
              <c:pt idx="1">
                <c:v>HO</c:v>
              </c:pt>
            </c:strLit>
          </c:cat>
          <c:val>
            <c:numRef>
              <c:f>Analysis!$AA$24:$AA$25</c:f>
              <c:numCache>
                <c:formatCode>General</c:formatCode>
                <c:ptCount val="2"/>
                <c:pt idx="0">
                  <c:v>0.88787768474699669</c:v>
                </c:pt>
                <c:pt idx="1">
                  <c:v>1.0403146509341199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F-48F4-8A12-64965C8DE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013696"/>
        <c:axId val="239408352"/>
      </c:barChart>
      <c:catAx>
        <c:axId val="3410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408352"/>
        <c:crosses val="autoZero"/>
        <c:auto val="1"/>
        <c:lblAlgn val="ctr"/>
        <c:lblOffset val="100"/>
        <c:noMultiLvlLbl val="0"/>
      </c:catAx>
      <c:valAx>
        <c:axId val="239408352"/>
        <c:scaling>
          <c:orientation val="minMax"/>
          <c:max val="1.65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235744</xdr:colOff>
      <xdr:row>25</xdr:row>
      <xdr:rowOff>121444</xdr:rowOff>
    </xdr:from>
    <xdr:to>
      <xdr:col>73</xdr:col>
      <xdr:colOff>235744</xdr:colOff>
      <xdr:row>40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89C402-8E42-47ED-8938-54F02D0B4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73</xdr:col>
      <xdr:colOff>302419</xdr:colOff>
      <xdr:row>25</xdr:row>
      <xdr:rowOff>121444</xdr:rowOff>
    </xdr:from>
    <xdr:to>
      <xdr:col>76</xdr:col>
      <xdr:colOff>721519</xdr:colOff>
      <xdr:row>40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37EBF4-1C21-45A1-BCFD-D20F21BAF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76</xdr:col>
      <xdr:colOff>797719</xdr:colOff>
      <xdr:row>25</xdr:row>
      <xdr:rowOff>121444</xdr:rowOff>
    </xdr:from>
    <xdr:to>
      <xdr:col>80</xdr:col>
      <xdr:colOff>350044</xdr:colOff>
      <xdr:row>40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EEB449-16EF-4224-9145-658BD95F1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69</xdr:col>
      <xdr:colOff>264319</xdr:colOff>
      <xdr:row>40</xdr:row>
      <xdr:rowOff>114300</xdr:rowOff>
    </xdr:from>
    <xdr:to>
      <xdr:col>73</xdr:col>
      <xdr:colOff>264319</xdr:colOff>
      <xdr:row>55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988059-B5DC-429B-A6D9-EB875623A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73</xdr:col>
      <xdr:colOff>342900</xdr:colOff>
      <xdr:row>40</xdr:row>
      <xdr:rowOff>133350</xdr:rowOff>
    </xdr:from>
    <xdr:to>
      <xdr:col>79</xdr:col>
      <xdr:colOff>190501</xdr:colOff>
      <xdr:row>55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B365F33-9E21-4C19-A979-5324579BE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0.73828</cdr:x>
      <cdr:y>0.13715</cdr:y>
    </cdr:from>
    <cdr:to>
      <cdr:x>1</cdr:x>
      <cdr:y>0.23437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F88A4AB-42C2-4638-9C48-C2F5026EC2B2}"/>
            </a:ext>
          </a:extLst>
        </cdr:cNvPr>
        <cdr:cNvSpPr txBox="1"/>
      </cdr:nvSpPr>
      <cdr:spPr>
        <a:xfrm xmlns:a="http://schemas.openxmlformats.org/drawingml/2006/main">
          <a:off x="1800222" y="376242"/>
          <a:ext cx="638178" cy="2666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p=0.13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0.70052</cdr:x>
      <cdr:y>0.10533</cdr:y>
    </cdr:from>
    <cdr:to>
      <cdr:x>0.96224</cdr:x>
      <cdr:y>0.20255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A0A593D-EF86-4B8B-A639-C6AEA42C7701}"/>
            </a:ext>
          </a:extLst>
        </cdr:cNvPr>
        <cdr:cNvSpPr txBox="1"/>
      </cdr:nvSpPr>
      <cdr:spPr>
        <a:xfrm xmlns:a="http://schemas.openxmlformats.org/drawingml/2006/main">
          <a:off x="1708148" y="288929"/>
          <a:ext cx="638178" cy="2666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p = 0.009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0.69141</cdr:x>
      <cdr:y>0.11112</cdr:y>
    </cdr:from>
    <cdr:to>
      <cdr:x>0.99219</cdr:x>
      <cdr:y>0.21181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36C333D-EEED-4580-9551-C7FF21A45D7B}"/>
            </a:ext>
          </a:extLst>
        </cdr:cNvPr>
        <cdr:cNvSpPr txBox="1"/>
      </cdr:nvSpPr>
      <cdr:spPr>
        <a:xfrm xmlns:a="http://schemas.openxmlformats.org/drawingml/2006/main">
          <a:off x="1685922" y="304812"/>
          <a:ext cx="733422" cy="276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p = 0.002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0.42578</cdr:x>
      <cdr:y>0.16146</cdr:y>
    </cdr:from>
    <cdr:to>
      <cdr:x>0.6875</cdr:x>
      <cdr:y>0.25868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F88A4AB-42C2-4638-9C48-C2F5026EC2B2}"/>
            </a:ext>
          </a:extLst>
        </cdr:cNvPr>
        <cdr:cNvSpPr txBox="1"/>
      </cdr:nvSpPr>
      <cdr:spPr>
        <a:xfrm xmlns:a="http://schemas.openxmlformats.org/drawingml/2006/main">
          <a:off x="1038225" y="442913"/>
          <a:ext cx="63817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p = 0.008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27214</xdr:colOff>
      <xdr:row>38</xdr:row>
      <xdr:rowOff>20580</xdr:rowOff>
    </xdr:from>
    <xdr:to>
      <xdr:col>24</xdr:col>
      <xdr:colOff>409916</xdr:colOff>
      <xdr:row>52</xdr:row>
      <xdr:rowOff>1530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36625-072A-4E25-8F6A-62792CC19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494959</xdr:colOff>
      <xdr:row>38</xdr:row>
      <xdr:rowOff>44224</xdr:rowOff>
    </xdr:from>
    <xdr:to>
      <xdr:col>28</xdr:col>
      <xdr:colOff>285749</xdr:colOff>
      <xdr:row>52</xdr:row>
      <xdr:rowOff>25174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93C9C-9F36-48D5-8D3D-548FBC3AC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506016</xdr:colOff>
      <xdr:row>28</xdr:row>
      <xdr:rowOff>39289</xdr:rowOff>
    </xdr:from>
    <xdr:to>
      <xdr:col>46</xdr:col>
      <xdr:colOff>357187</xdr:colOff>
      <xdr:row>45</xdr:row>
      <xdr:rowOff>71436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C095FF-0E77-46DC-B5AE-13B2C7BDA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404812</xdr:colOff>
      <xdr:row>28</xdr:row>
      <xdr:rowOff>23812</xdr:rowOff>
    </xdr:from>
    <xdr:to>
      <xdr:col>50</xdr:col>
      <xdr:colOff>255983</xdr:colOff>
      <xdr:row>45</xdr:row>
      <xdr:rowOff>55959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5190A78-49EA-4FDE-95A6-BC1CD1BF1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309563</xdr:colOff>
      <xdr:row>28</xdr:row>
      <xdr:rowOff>23813</xdr:rowOff>
    </xdr:from>
    <xdr:to>
      <xdr:col>54</xdr:col>
      <xdr:colOff>160734</xdr:colOff>
      <xdr:row>45</xdr:row>
      <xdr:rowOff>55960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5639429-2A1A-4B04-88CE-E2D793175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5</xdr:row>
      <xdr:rowOff>134540</xdr:rowOff>
    </xdr:from>
    <xdr:to>
      <xdr:col>46</xdr:col>
      <xdr:colOff>458390</xdr:colOff>
      <xdr:row>22</xdr:row>
      <xdr:rowOff>178593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6B58F45-1CF3-4238-A31D-F1046374B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506015</xdr:colOff>
      <xdr:row>5</xdr:row>
      <xdr:rowOff>119063</xdr:rowOff>
    </xdr:from>
    <xdr:to>
      <xdr:col>50</xdr:col>
      <xdr:colOff>357186</xdr:colOff>
      <xdr:row>22</xdr:row>
      <xdr:rowOff>163116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2C6C768-92CA-41EE-B6AE-94544758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410766</xdr:colOff>
      <xdr:row>5</xdr:row>
      <xdr:rowOff>119064</xdr:rowOff>
    </xdr:from>
    <xdr:to>
      <xdr:col>54</xdr:col>
      <xdr:colOff>261937</xdr:colOff>
      <xdr:row>22</xdr:row>
      <xdr:rowOff>163117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1264FE8-3825-44CF-A43B-47C88018F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363991</xdr:colOff>
      <xdr:row>38</xdr:row>
      <xdr:rowOff>42523</xdr:rowOff>
    </xdr:from>
    <xdr:to>
      <xdr:col>32</xdr:col>
      <xdr:colOff>734786</xdr:colOff>
      <xdr:row>52</xdr:row>
      <xdr:rowOff>23473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518131-370A-4210-B933-64D04E242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0.24985</cdr:x>
      <cdr:y>0.19091</cdr:y>
    </cdr:from>
    <cdr:to>
      <cdr:x>0.34114</cdr:x>
      <cdr:y>0.38436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7049C6E-7C5C-46F0-8030-002C11CDCDFA}"/>
            </a:ext>
          </a:extLst>
        </cdr:cNvPr>
        <cdr:cNvSpPr txBox="1"/>
      </cdr:nvSpPr>
      <cdr:spPr>
        <a:xfrm xmlns:a="http://schemas.openxmlformats.org/drawingml/2006/main" rot="16200000">
          <a:off x="571500" y="659778"/>
          <a:ext cx="530678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accent1"/>
              </a:solidFill>
            </a:rPr>
            <a:t>p = 0.125</a:t>
          </a:r>
        </a:p>
      </cdr:txBody>
    </cdr:sp>
  </cdr:relSizeAnchor>
  <cdr:relSizeAnchor xmlns:cdr="http://schemas.openxmlformats.org/drawingml/2006/chartDrawing">
    <cdr:from>
      <cdr:x>0.33025</cdr:x>
      <cdr:y>0.18717</cdr:y>
    </cdr:from>
    <cdr:to>
      <cdr:x>0.42154</cdr:x>
      <cdr:y>0.38062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A749E108-7956-4EDD-B32C-94F0239A842A}"/>
            </a:ext>
          </a:extLst>
        </cdr:cNvPr>
        <cdr:cNvSpPr txBox="1"/>
      </cdr:nvSpPr>
      <cdr:spPr>
        <a:xfrm xmlns:a="http://schemas.openxmlformats.org/drawingml/2006/main" rot="16200000">
          <a:off x="799193" y="649514"/>
          <a:ext cx="530678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2"/>
              </a:solidFill>
            </a:rPr>
            <a:t>p = 0.309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N3766"/>
  <sheetViews>
    <sheetView topLeftCell="Y1" workbookViewId="0">
      <selection activeCell="I7" sqref="I7"/>
    </sheetView>
  </sheetViews>
  <sheetFormatPr baseColWidth="10" defaultColWidth="8.83203125" defaultRowHeight="15"/>
  <cols>
    <col min="2" max="2" width="13.83203125" bestFit="1" customWidth="1"/>
    <col min="10" max="10" width="9.83203125" bestFit="1" customWidth="1"/>
    <col min="12" max="12" width="10.83203125" bestFit="1" customWidth="1"/>
    <col min="13" max="13" width="11.33203125" bestFit="1" customWidth="1"/>
  </cols>
  <sheetData>
    <row r="1" spans="2:66">
      <c r="B1" t="s">
        <v>25023</v>
      </c>
      <c r="C1" t="s">
        <v>25024</v>
      </c>
      <c r="D1" t="s">
        <v>25025</v>
      </c>
      <c r="E1" t="s">
        <v>25026</v>
      </c>
      <c r="F1" t="s">
        <v>25027</v>
      </c>
      <c r="O1" t="s">
        <v>0</v>
      </c>
      <c r="W1" t="s">
        <v>1</v>
      </c>
      <c r="AG1" t="s">
        <v>2</v>
      </c>
      <c r="AU1" t="s">
        <v>3</v>
      </c>
      <c r="BE1" t="s">
        <v>4</v>
      </c>
    </row>
    <row r="2" spans="2:66">
      <c r="B2">
        <v>2</v>
      </c>
      <c r="C2">
        <v>317</v>
      </c>
      <c r="D2">
        <v>0</v>
      </c>
      <c r="E2">
        <v>4</v>
      </c>
      <c r="F2">
        <v>1</v>
      </c>
      <c r="J2" t="s">
        <v>25025</v>
      </c>
      <c r="K2" t="s">
        <v>25026</v>
      </c>
      <c r="L2" t="s">
        <v>25027</v>
      </c>
      <c r="M2" t="s">
        <v>25018</v>
      </c>
      <c r="N2" t="s">
        <v>5</v>
      </c>
      <c r="O2" t="s">
        <v>6</v>
      </c>
      <c r="P2" t="s">
        <v>7</v>
      </c>
      <c r="Q2" t="s">
        <v>25019</v>
      </c>
      <c r="R2" t="s">
        <v>25020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  <c r="AH2" t="s">
        <v>23</v>
      </c>
      <c r="AI2" t="s">
        <v>24</v>
      </c>
      <c r="AJ2" t="s">
        <v>25</v>
      </c>
      <c r="AK2" t="s">
        <v>26</v>
      </c>
      <c r="AL2" t="s">
        <v>27</v>
      </c>
      <c r="AM2" t="s">
        <v>28</v>
      </c>
      <c r="AN2" t="s">
        <v>29</v>
      </c>
      <c r="AO2" t="s">
        <v>30</v>
      </c>
      <c r="AP2" t="s">
        <v>31</v>
      </c>
      <c r="AQ2" t="s">
        <v>32</v>
      </c>
      <c r="AR2" t="s">
        <v>33</v>
      </c>
      <c r="AS2" t="s">
        <v>34</v>
      </c>
      <c r="AT2" t="s">
        <v>35</v>
      </c>
      <c r="AU2" t="s">
        <v>36</v>
      </c>
      <c r="AV2" t="s">
        <v>37</v>
      </c>
      <c r="AW2" t="s">
        <v>38</v>
      </c>
      <c r="AX2" t="s">
        <v>39</v>
      </c>
      <c r="AY2" t="s">
        <v>40</v>
      </c>
      <c r="AZ2" t="s">
        <v>41</v>
      </c>
      <c r="BA2" t="s">
        <v>42</v>
      </c>
      <c r="BB2" t="s">
        <v>43</v>
      </c>
      <c r="BC2" t="s">
        <v>44</v>
      </c>
      <c r="BD2" t="s">
        <v>45</v>
      </c>
      <c r="BE2" t="s">
        <v>46</v>
      </c>
      <c r="BF2" t="s">
        <v>47</v>
      </c>
      <c r="BG2" t="s">
        <v>48</v>
      </c>
      <c r="BH2" t="s">
        <v>49</v>
      </c>
      <c r="BI2" t="s">
        <v>50</v>
      </c>
      <c r="BJ2" t="s">
        <v>51</v>
      </c>
      <c r="BK2" t="s">
        <v>52</v>
      </c>
      <c r="BL2" t="s">
        <v>53</v>
      </c>
      <c r="BM2" t="s">
        <v>54</v>
      </c>
      <c r="BN2" t="s">
        <v>55</v>
      </c>
    </row>
    <row r="3" spans="2:66">
      <c r="B3">
        <v>3</v>
      </c>
      <c r="C3">
        <v>43</v>
      </c>
      <c r="D3">
        <v>0</v>
      </c>
      <c r="E3">
        <v>0</v>
      </c>
      <c r="F3">
        <v>2</v>
      </c>
      <c r="J3">
        <v>0</v>
      </c>
      <c r="K3">
        <v>2</v>
      </c>
      <c r="L3">
        <v>0</v>
      </c>
      <c r="M3" t="s">
        <v>25022</v>
      </c>
      <c r="N3">
        <v>1919</v>
      </c>
      <c r="O3" t="s">
        <v>12020</v>
      </c>
      <c r="P3" t="s">
        <v>62</v>
      </c>
      <c r="Q3">
        <v>2018557</v>
      </c>
      <c r="R3">
        <v>2019270</v>
      </c>
      <c r="S3" t="s">
        <v>12021</v>
      </c>
      <c r="T3">
        <v>238</v>
      </c>
      <c r="U3" t="s">
        <v>108</v>
      </c>
      <c r="V3">
        <v>44</v>
      </c>
      <c r="W3" t="str">
        <f>HYPERLINK("Gene1919-zp_tree_all.dnd", "Gene1919-tree")</f>
        <v>Gene1919-tree</v>
      </c>
      <c r="X3">
        <v>11</v>
      </c>
      <c r="Y3">
        <v>3</v>
      </c>
      <c r="Z3">
        <v>11</v>
      </c>
      <c r="AA3">
        <v>3</v>
      </c>
      <c r="AB3">
        <v>0.21429000000000001</v>
      </c>
      <c r="AC3" t="s">
        <v>73</v>
      </c>
      <c r="AD3" t="s">
        <v>324</v>
      </c>
      <c r="AE3" t="s">
        <v>62</v>
      </c>
      <c r="AF3" t="s">
        <v>62</v>
      </c>
      <c r="AG3">
        <v>1</v>
      </c>
      <c r="AH3">
        <v>2</v>
      </c>
      <c r="AI3">
        <v>5</v>
      </c>
      <c r="AJ3">
        <v>0.28571000000000002</v>
      </c>
      <c r="AK3">
        <v>0</v>
      </c>
      <c r="AL3">
        <v>0</v>
      </c>
      <c r="AM3">
        <v>0</v>
      </c>
      <c r="AN3">
        <v>2</v>
      </c>
      <c r="AO3">
        <v>0</v>
      </c>
      <c r="AP3">
        <v>0</v>
      </c>
      <c r="AQ3">
        <v>0</v>
      </c>
      <c r="AR3">
        <v>0</v>
      </c>
      <c r="AS3">
        <v>3</v>
      </c>
      <c r="AT3">
        <v>0</v>
      </c>
      <c r="AU3">
        <v>10</v>
      </c>
      <c r="AV3">
        <v>10</v>
      </c>
      <c r="AW3">
        <v>40</v>
      </c>
      <c r="AX3">
        <v>3</v>
      </c>
      <c r="AY3">
        <v>41</v>
      </c>
      <c r="AZ3">
        <v>4</v>
      </c>
      <c r="BA3" t="s">
        <v>12022</v>
      </c>
      <c r="BB3" t="s">
        <v>12023</v>
      </c>
      <c r="BC3">
        <v>0.152</v>
      </c>
      <c r="BD3" t="s">
        <v>65</v>
      </c>
      <c r="BE3">
        <v>81</v>
      </c>
      <c r="BF3">
        <v>7</v>
      </c>
      <c r="BG3" t="s">
        <v>12024</v>
      </c>
      <c r="BH3" t="s">
        <v>12025</v>
      </c>
      <c r="BI3" t="s">
        <v>12026</v>
      </c>
      <c r="BJ3">
        <v>3.1780000000000003E-2</v>
      </c>
      <c r="BK3">
        <v>1</v>
      </c>
      <c r="BL3" t="s">
        <v>69</v>
      </c>
      <c r="BM3">
        <v>0.53800000000000003</v>
      </c>
      <c r="BN3">
        <v>-0.82499999999999996</v>
      </c>
    </row>
    <row r="4" spans="2:66">
      <c r="B4">
        <v>4</v>
      </c>
      <c r="C4">
        <v>229</v>
      </c>
      <c r="D4">
        <v>0</v>
      </c>
      <c r="E4">
        <v>2</v>
      </c>
      <c r="F4">
        <v>2</v>
      </c>
      <c r="J4">
        <v>0</v>
      </c>
      <c r="K4">
        <v>11</v>
      </c>
      <c r="L4">
        <v>0</v>
      </c>
      <c r="M4" t="s">
        <v>25022</v>
      </c>
      <c r="N4">
        <v>1923</v>
      </c>
      <c r="O4" t="s">
        <v>12048</v>
      </c>
      <c r="P4" t="s">
        <v>62</v>
      </c>
      <c r="Q4">
        <v>2021226</v>
      </c>
      <c r="R4">
        <v>2022467</v>
      </c>
      <c r="S4" t="s">
        <v>12049</v>
      </c>
      <c r="T4">
        <v>414</v>
      </c>
      <c r="U4" t="s">
        <v>108</v>
      </c>
      <c r="V4">
        <v>44</v>
      </c>
      <c r="W4" t="str">
        <f>HYPERLINK("Gene1923-zp_tree_all.dnd", "Gene1923-tree")</f>
        <v>Gene1923-tree</v>
      </c>
      <c r="X4">
        <v>3</v>
      </c>
      <c r="Y4">
        <v>12</v>
      </c>
      <c r="Z4">
        <v>3</v>
      </c>
      <c r="AA4">
        <v>12</v>
      </c>
      <c r="AB4">
        <v>0.8</v>
      </c>
      <c r="AC4" t="s">
        <v>324</v>
      </c>
      <c r="AD4" t="s">
        <v>109</v>
      </c>
      <c r="AE4" t="s">
        <v>62</v>
      </c>
      <c r="AF4" t="s">
        <v>62</v>
      </c>
      <c r="AG4">
        <v>5</v>
      </c>
      <c r="AH4">
        <v>11</v>
      </c>
      <c r="AI4">
        <v>14</v>
      </c>
      <c r="AJ4">
        <v>0.44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0</v>
      </c>
      <c r="AR4">
        <v>6</v>
      </c>
      <c r="AS4">
        <v>16</v>
      </c>
      <c r="AT4">
        <v>0.27272999999999997</v>
      </c>
      <c r="AU4">
        <v>13</v>
      </c>
      <c r="AV4">
        <v>11</v>
      </c>
      <c r="AW4">
        <v>52</v>
      </c>
      <c r="AX4">
        <v>19</v>
      </c>
      <c r="AY4">
        <v>29</v>
      </c>
      <c r="AZ4">
        <v>6</v>
      </c>
      <c r="BA4" t="s">
        <v>12050</v>
      </c>
      <c r="BB4" t="s">
        <v>12051</v>
      </c>
      <c r="BC4">
        <v>0.502</v>
      </c>
      <c r="BD4" t="s">
        <v>65</v>
      </c>
      <c r="BE4">
        <v>81</v>
      </c>
      <c r="BF4">
        <v>25</v>
      </c>
      <c r="BG4" t="s">
        <v>12052</v>
      </c>
      <c r="BH4" t="s">
        <v>12053</v>
      </c>
      <c r="BI4" t="s">
        <v>12054</v>
      </c>
      <c r="BJ4">
        <v>9.3740000000000004E-2</v>
      </c>
      <c r="BK4">
        <v>1</v>
      </c>
      <c r="BL4" t="s">
        <v>69</v>
      </c>
      <c r="BM4">
        <v>-1.252</v>
      </c>
      <c r="BN4">
        <v>-1.921</v>
      </c>
    </row>
    <row r="5" spans="2:66">
      <c r="B5">
        <v>6</v>
      </c>
      <c r="C5">
        <v>154</v>
      </c>
      <c r="D5">
        <v>0</v>
      </c>
      <c r="E5">
        <v>0</v>
      </c>
      <c r="F5">
        <v>4</v>
      </c>
      <c r="J5">
        <v>0</v>
      </c>
      <c r="K5">
        <v>18</v>
      </c>
      <c r="L5">
        <v>2</v>
      </c>
      <c r="M5" t="s">
        <v>25022</v>
      </c>
      <c r="N5">
        <v>1924</v>
      </c>
      <c r="O5" t="s">
        <v>12055</v>
      </c>
      <c r="P5" t="s">
        <v>62</v>
      </c>
      <c r="Q5">
        <v>2022564</v>
      </c>
      <c r="R5">
        <v>2024024</v>
      </c>
      <c r="S5" t="s">
        <v>12056</v>
      </c>
      <c r="T5">
        <v>487</v>
      </c>
      <c r="U5" t="s">
        <v>2078</v>
      </c>
      <c r="V5">
        <v>36</v>
      </c>
      <c r="W5" t="str">
        <f>HYPERLINK("Gene1924-zp_tree_all.dnd", "Gene1924-tree")</f>
        <v>Gene1924-tree</v>
      </c>
      <c r="X5">
        <v>1</v>
      </c>
      <c r="Y5">
        <v>12</v>
      </c>
      <c r="Z5">
        <v>1</v>
      </c>
      <c r="AA5">
        <v>12</v>
      </c>
      <c r="AB5">
        <v>0.92308000000000001</v>
      </c>
      <c r="AC5" t="s">
        <v>175</v>
      </c>
      <c r="AD5" t="s">
        <v>109</v>
      </c>
      <c r="AE5" t="s">
        <v>62</v>
      </c>
      <c r="AF5" t="s">
        <v>62</v>
      </c>
      <c r="AG5">
        <v>8</v>
      </c>
      <c r="AH5">
        <v>20</v>
      </c>
      <c r="AI5">
        <v>31</v>
      </c>
      <c r="AJ5">
        <v>0.39216000000000001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3</v>
      </c>
      <c r="AR5">
        <v>10</v>
      </c>
      <c r="AS5">
        <v>26</v>
      </c>
      <c r="AT5">
        <v>0.27778000000000003</v>
      </c>
      <c r="AU5">
        <v>13</v>
      </c>
      <c r="AV5">
        <v>10</v>
      </c>
      <c r="AW5">
        <v>48</v>
      </c>
      <c r="AX5">
        <v>37</v>
      </c>
      <c r="AY5">
        <v>37</v>
      </c>
      <c r="AZ5">
        <v>15</v>
      </c>
      <c r="BA5" t="s">
        <v>12057</v>
      </c>
      <c r="BB5" t="s">
        <v>12058</v>
      </c>
      <c r="BC5">
        <v>0.92800000000000005</v>
      </c>
      <c r="BD5" t="s">
        <v>65</v>
      </c>
      <c r="BE5">
        <v>85</v>
      </c>
      <c r="BF5">
        <v>52</v>
      </c>
      <c r="BG5" t="s">
        <v>12059</v>
      </c>
      <c r="BH5" t="s">
        <v>12060</v>
      </c>
      <c r="BI5" t="s">
        <v>12061</v>
      </c>
      <c r="BJ5">
        <v>0.17931</v>
      </c>
      <c r="BK5">
        <v>1</v>
      </c>
      <c r="BL5" t="s">
        <v>69</v>
      </c>
      <c r="BM5">
        <v>-0.84299999999999997</v>
      </c>
      <c r="BN5">
        <v>-1.7649999999999999</v>
      </c>
    </row>
    <row r="6" spans="2:66">
      <c r="B6">
        <v>7</v>
      </c>
      <c r="C6">
        <v>642</v>
      </c>
      <c r="D6">
        <v>0</v>
      </c>
      <c r="E6">
        <v>3</v>
      </c>
      <c r="F6">
        <v>0</v>
      </c>
      <c r="J6">
        <v>0</v>
      </c>
      <c r="K6">
        <v>12</v>
      </c>
      <c r="L6">
        <v>3</v>
      </c>
      <c r="M6" t="s">
        <v>25022</v>
      </c>
      <c r="N6">
        <v>1925</v>
      </c>
      <c r="O6" t="s">
        <v>12062</v>
      </c>
      <c r="P6" t="s">
        <v>62</v>
      </c>
      <c r="Q6">
        <v>2024045</v>
      </c>
      <c r="R6">
        <v>2025076</v>
      </c>
      <c r="S6" t="s">
        <v>12063</v>
      </c>
      <c r="T6">
        <v>344</v>
      </c>
      <c r="U6" t="s">
        <v>12064</v>
      </c>
      <c r="V6">
        <v>33</v>
      </c>
      <c r="W6" t="str">
        <f>HYPERLINK("Gene1925-zp_tree_all.dnd", "Gene1925-tree")</f>
        <v>Gene1925-tree</v>
      </c>
      <c r="X6">
        <v>2</v>
      </c>
      <c r="Y6">
        <v>8</v>
      </c>
      <c r="Z6">
        <v>2</v>
      </c>
      <c r="AA6">
        <v>8</v>
      </c>
      <c r="AB6">
        <v>0.8</v>
      </c>
      <c r="AC6" t="s">
        <v>81</v>
      </c>
      <c r="AD6" t="s">
        <v>136</v>
      </c>
      <c r="AE6" t="s">
        <v>62</v>
      </c>
      <c r="AF6" t="s">
        <v>62</v>
      </c>
      <c r="AG6">
        <v>7</v>
      </c>
      <c r="AH6">
        <v>15</v>
      </c>
      <c r="AI6">
        <v>20</v>
      </c>
      <c r="AJ6">
        <v>0.42857000000000001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9</v>
      </c>
      <c r="AS6">
        <v>16</v>
      </c>
      <c r="AT6">
        <v>0.36</v>
      </c>
      <c r="AU6">
        <v>9</v>
      </c>
      <c r="AV6">
        <v>7</v>
      </c>
      <c r="AW6">
        <v>22</v>
      </c>
      <c r="AX6">
        <v>23</v>
      </c>
      <c r="AY6">
        <v>30</v>
      </c>
      <c r="AZ6">
        <v>12</v>
      </c>
      <c r="BA6" t="s">
        <v>12065</v>
      </c>
      <c r="BB6" t="s">
        <v>12066</v>
      </c>
      <c r="BC6">
        <v>0.748</v>
      </c>
      <c r="BD6" t="s">
        <v>65</v>
      </c>
      <c r="BE6">
        <v>52</v>
      </c>
      <c r="BF6">
        <v>35</v>
      </c>
      <c r="BG6" t="s">
        <v>12067</v>
      </c>
      <c r="BH6" t="s">
        <v>12068</v>
      </c>
      <c r="BI6" t="s">
        <v>12069</v>
      </c>
      <c r="BJ6">
        <v>0.1913</v>
      </c>
      <c r="BK6">
        <v>1</v>
      </c>
      <c r="BL6" t="s">
        <v>69</v>
      </c>
      <c r="BM6">
        <v>1.6180000000000001</v>
      </c>
      <c r="BN6">
        <v>0.99199999999999999</v>
      </c>
    </row>
    <row r="7" spans="2:66">
      <c r="B7">
        <v>8</v>
      </c>
      <c r="C7">
        <v>27</v>
      </c>
      <c r="D7">
        <v>0</v>
      </c>
      <c r="E7">
        <v>11</v>
      </c>
      <c r="F7">
        <v>2</v>
      </c>
      <c r="J7">
        <v>0</v>
      </c>
      <c r="K7">
        <v>0</v>
      </c>
      <c r="L7">
        <v>0</v>
      </c>
      <c r="M7" t="s">
        <v>25022</v>
      </c>
      <c r="N7">
        <v>1928</v>
      </c>
      <c r="O7" t="s">
        <v>12084</v>
      </c>
      <c r="P7" t="s">
        <v>62</v>
      </c>
      <c r="Q7">
        <v>2028178</v>
      </c>
      <c r="R7">
        <v>2028579</v>
      </c>
      <c r="S7" t="s">
        <v>12085</v>
      </c>
      <c r="T7">
        <v>134</v>
      </c>
      <c r="U7" t="s">
        <v>12086</v>
      </c>
      <c r="V7">
        <v>35</v>
      </c>
      <c r="W7" t="str">
        <f>HYPERLINK("Gene1928-zp_tree_all.dnd", "Gene1928-tree")</f>
        <v>Gene1928-tree</v>
      </c>
      <c r="X7">
        <v>7</v>
      </c>
      <c r="Y7">
        <v>2</v>
      </c>
      <c r="Z7">
        <v>7</v>
      </c>
      <c r="AA7">
        <v>2</v>
      </c>
      <c r="AB7">
        <v>0.22222</v>
      </c>
      <c r="AC7" t="s">
        <v>152</v>
      </c>
      <c r="AD7" t="s">
        <v>81</v>
      </c>
      <c r="AE7" t="s">
        <v>62</v>
      </c>
      <c r="AF7" t="s">
        <v>62</v>
      </c>
      <c r="AG7">
        <v>0</v>
      </c>
      <c r="AH7">
        <v>0</v>
      </c>
      <c r="AI7">
        <v>9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8</v>
      </c>
      <c r="AT7">
        <v>0</v>
      </c>
      <c r="AU7">
        <v>4</v>
      </c>
      <c r="AV7">
        <v>4</v>
      </c>
      <c r="AW7">
        <v>13</v>
      </c>
      <c r="AX7">
        <v>6</v>
      </c>
      <c r="AY7">
        <v>4</v>
      </c>
      <c r="AZ7">
        <v>3</v>
      </c>
      <c r="BA7" t="s">
        <v>12087</v>
      </c>
      <c r="BB7" t="s">
        <v>12088</v>
      </c>
      <c r="BC7">
        <v>0.27800000000000002</v>
      </c>
      <c r="BD7" t="s">
        <v>65</v>
      </c>
      <c r="BE7">
        <v>17</v>
      </c>
      <c r="BF7">
        <v>9</v>
      </c>
      <c r="BG7" t="s">
        <v>12089</v>
      </c>
      <c r="BH7" t="s">
        <v>12090</v>
      </c>
      <c r="BI7" t="s">
        <v>12091</v>
      </c>
      <c r="BJ7">
        <v>0.18315999999999999</v>
      </c>
      <c r="BK7">
        <v>1</v>
      </c>
      <c r="BL7" t="s">
        <v>69</v>
      </c>
      <c r="BM7">
        <v>-0.86099999999999999</v>
      </c>
      <c r="BN7">
        <v>-0.56699999999999995</v>
      </c>
    </row>
    <row r="8" spans="2:66">
      <c r="B8">
        <v>10</v>
      </c>
      <c r="C8">
        <v>202</v>
      </c>
      <c r="D8">
        <v>0</v>
      </c>
      <c r="E8">
        <v>7</v>
      </c>
      <c r="F8">
        <v>0</v>
      </c>
      <c r="J8">
        <v>0</v>
      </c>
      <c r="K8">
        <v>23</v>
      </c>
      <c r="L8">
        <v>0</v>
      </c>
      <c r="M8" t="s">
        <v>25022</v>
      </c>
      <c r="N8">
        <v>1931</v>
      </c>
      <c r="O8" t="s">
        <v>12099</v>
      </c>
      <c r="P8" t="s">
        <v>62</v>
      </c>
      <c r="Q8">
        <v>2029432</v>
      </c>
      <c r="R8">
        <v>2031114</v>
      </c>
      <c r="S8" t="s">
        <v>12100</v>
      </c>
      <c r="T8">
        <v>561</v>
      </c>
      <c r="U8" t="s">
        <v>12101</v>
      </c>
      <c r="V8">
        <v>35</v>
      </c>
      <c r="W8" t="str">
        <f>HYPERLINK("Gene1931-zp_tree_all.dnd", "Gene1931-tree")</f>
        <v>Gene1931-tree</v>
      </c>
      <c r="X8">
        <v>2</v>
      </c>
      <c r="Y8">
        <v>9</v>
      </c>
      <c r="Z8">
        <v>2</v>
      </c>
      <c r="AA8">
        <v>9</v>
      </c>
      <c r="AB8">
        <v>0.81818000000000002</v>
      </c>
      <c r="AC8" t="s">
        <v>81</v>
      </c>
      <c r="AD8" t="s">
        <v>135</v>
      </c>
      <c r="AE8" t="s">
        <v>62</v>
      </c>
      <c r="AF8" t="s">
        <v>62</v>
      </c>
      <c r="AG8">
        <v>9</v>
      </c>
      <c r="AH8">
        <v>23</v>
      </c>
      <c r="AI8">
        <v>26</v>
      </c>
      <c r="AJ8">
        <v>0.46938999999999997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2</v>
      </c>
      <c r="AR8">
        <v>6</v>
      </c>
      <c r="AS8">
        <v>22</v>
      </c>
      <c r="AT8">
        <v>0.21429000000000001</v>
      </c>
      <c r="AU8">
        <v>11</v>
      </c>
      <c r="AV8">
        <v>8</v>
      </c>
      <c r="AW8">
        <v>68</v>
      </c>
      <c r="AX8">
        <v>28</v>
      </c>
      <c r="AY8">
        <v>76</v>
      </c>
      <c r="AZ8">
        <v>21</v>
      </c>
      <c r="BA8" t="s">
        <v>12102</v>
      </c>
      <c r="BB8" t="s">
        <v>12103</v>
      </c>
      <c r="BC8">
        <v>0.77900000000000003</v>
      </c>
      <c r="BD8" t="s">
        <v>65</v>
      </c>
      <c r="BE8">
        <v>144</v>
      </c>
      <c r="BF8">
        <v>49</v>
      </c>
      <c r="BG8" t="s">
        <v>12104</v>
      </c>
      <c r="BH8" t="s">
        <v>12105</v>
      </c>
      <c r="BI8" t="s">
        <v>12106</v>
      </c>
      <c r="BJ8">
        <v>9.2350000000000002E-2</v>
      </c>
      <c r="BK8">
        <v>1</v>
      </c>
      <c r="BL8" t="s">
        <v>69</v>
      </c>
      <c r="BM8">
        <v>-0.32600000000000001</v>
      </c>
      <c r="BN8">
        <v>0.11700000000000001</v>
      </c>
    </row>
    <row r="9" spans="2:66">
      <c r="B9">
        <v>13</v>
      </c>
      <c r="C9">
        <v>423</v>
      </c>
      <c r="D9">
        <v>0</v>
      </c>
      <c r="E9">
        <v>7</v>
      </c>
      <c r="F9">
        <v>0</v>
      </c>
      <c r="J9">
        <v>0</v>
      </c>
      <c r="K9">
        <v>4</v>
      </c>
      <c r="L9">
        <v>1</v>
      </c>
      <c r="M9" t="s">
        <v>25022</v>
      </c>
      <c r="N9">
        <v>1933</v>
      </c>
      <c r="O9" t="s">
        <v>12114</v>
      </c>
      <c r="P9" t="s">
        <v>62</v>
      </c>
      <c r="Q9">
        <v>2032930</v>
      </c>
      <c r="R9">
        <v>2033625</v>
      </c>
      <c r="S9" t="s">
        <v>12115</v>
      </c>
      <c r="T9">
        <v>232</v>
      </c>
      <c r="U9" t="s">
        <v>1907</v>
      </c>
      <c r="V9">
        <v>38</v>
      </c>
      <c r="W9" t="str">
        <f>HYPERLINK("Gene1933-zp_tree_all.dnd", "Gene1933-tree")</f>
        <v>Gene1933-tree</v>
      </c>
      <c r="X9">
        <v>4</v>
      </c>
      <c r="Y9">
        <v>7</v>
      </c>
      <c r="Z9">
        <v>4</v>
      </c>
      <c r="AA9">
        <v>7</v>
      </c>
      <c r="AB9">
        <v>0.63636000000000004</v>
      </c>
      <c r="AC9" t="s">
        <v>61</v>
      </c>
      <c r="AD9" t="s">
        <v>152</v>
      </c>
      <c r="AE9" t="s">
        <v>62</v>
      </c>
      <c r="AF9" t="s">
        <v>62</v>
      </c>
      <c r="AG9">
        <v>1</v>
      </c>
      <c r="AH9">
        <v>5</v>
      </c>
      <c r="AI9">
        <v>9</v>
      </c>
      <c r="AJ9">
        <v>0.35714000000000001</v>
      </c>
      <c r="AK9">
        <v>0</v>
      </c>
      <c r="AL9">
        <v>0</v>
      </c>
      <c r="AM9">
        <v>0</v>
      </c>
      <c r="AN9">
        <v>1</v>
      </c>
      <c r="AO9">
        <v>0</v>
      </c>
      <c r="AP9">
        <v>2</v>
      </c>
      <c r="AQ9">
        <v>1</v>
      </c>
      <c r="AR9">
        <v>3</v>
      </c>
      <c r="AS9">
        <v>9</v>
      </c>
      <c r="AT9">
        <v>0.25</v>
      </c>
      <c r="AU9">
        <v>10</v>
      </c>
      <c r="AV9">
        <v>5</v>
      </c>
      <c r="AW9">
        <v>18</v>
      </c>
      <c r="AX9">
        <v>12</v>
      </c>
      <c r="AY9">
        <v>5</v>
      </c>
      <c r="AZ9">
        <v>2</v>
      </c>
      <c r="BA9" t="s">
        <v>12116</v>
      </c>
      <c r="BB9" t="s">
        <v>12117</v>
      </c>
      <c r="BC9">
        <v>0.76600000000000001</v>
      </c>
      <c r="BD9" t="s">
        <v>65</v>
      </c>
      <c r="BE9">
        <v>23</v>
      </c>
      <c r="BF9">
        <v>14</v>
      </c>
      <c r="BG9" t="s">
        <v>12118</v>
      </c>
      <c r="BH9" t="s">
        <v>12119</v>
      </c>
      <c r="BI9" t="s">
        <v>12120</v>
      </c>
      <c r="BJ9">
        <v>0.12105</v>
      </c>
      <c r="BK9">
        <v>1</v>
      </c>
      <c r="BL9" t="s">
        <v>69</v>
      </c>
      <c r="BM9">
        <v>-1.3919999999999999</v>
      </c>
      <c r="BN9">
        <v>-1.9730000000000001</v>
      </c>
    </row>
    <row r="10" spans="2:66">
      <c r="B10">
        <v>14</v>
      </c>
      <c r="C10">
        <v>202</v>
      </c>
      <c r="D10">
        <v>0</v>
      </c>
      <c r="E10">
        <v>3</v>
      </c>
      <c r="F10">
        <v>0</v>
      </c>
      <c r="J10">
        <v>0</v>
      </c>
      <c r="K10">
        <v>2</v>
      </c>
      <c r="L10">
        <v>0</v>
      </c>
      <c r="M10" t="s">
        <v>25022</v>
      </c>
      <c r="N10">
        <v>1934</v>
      </c>
      <c r="O10" t="s">
        <v>12121</v>
      </c>
      <c r="P10" t="s">
        <v>62</v>
      </c>
      <c r="Q10">
        <v>2033898</v>
      </c>
      <c r="R10">
        <v>2034572</v>
      </c>
      <c r="S10" t="s">
        <v>4095</v>
      </c>
      <c r="T10">
        <v>225</v>
      </c>
      <c r="U10" t="s">
        <v>1907</v>
      </c>
      <c r="V10">
        <v>38</v>
      </c>
      <c r="W10" t="str">
        <f>HYPERLINK("Gene1934-zp_tree_all.dnd", "Gene1934-tree")</f>
        <v>Gene1934-tree</v>
      </c>
      <c r="X10">
        <v>29</v>
      </c>
      <c r="Y10">
        <v>4</v>
      </c>
      <c r="Z10">
        <v>5</v>
      </c>
      <c r="AA10">
        <v>4</v>
      </c>
      <c r="AB10">
        <v>0.44444</v>
      </c>
      <c r="AC10" t="s">
        <v>5692</v>
      </c>
      <c r="AD10" t="s">
        <v>61</v>
      </c>
      <c r="AE10" t="s">
        <v>62</v>
      </c>
      <c r="AF10" t="s">
        <v>62</v>
      </c>
      <c r="AG10">
        <v>1</v>
      </c>
      <c r="AH10">
        <v>2</v>
      </c>
      <c r="AI10">
        <v>5</v>
      </c>
      <c r="AJ10">
        <v>0.28571000000000002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2</v>
      </c>
      <c r="AQ10">
        <v>0</v>
      </c>
      <c r="AR10">
        <v>2</v>
      </c>
      <c r="AS10">
        <v>4</v>
      </c>
      <c r="AT10">
        <v>0.33333000000000002</v>
      </c>
      <c r="AU10">
        <v>7</v>
      </c>
      <c r="AV10">
        <v>6</v>
      </c>
      <c r="AW10">
        <v>11</v>
      </c>
      <c r="AX10">
        <v>6</v>
      </c>
      <c r="AY10">
        <v>11</v>
      </c>
      <c r="AZ10">
        <v>1</v>
      </c>
      <c r="BA10" t="s">
        <v>12122</v>
      </c>
      <c r="BB10" t="s">
        <v>12123</v>
      </c>
      <c r="BC10">
        <v>1.2410000000000001</v>
      </c>
      <c r="BD10" t="s">
        <v>65</v>
      </c>
      <c r="BE10">
        <v>22</v>
      </c>
      <c r="BF10">
        <v>7</v>
      </c>
      <c r="BG10" t="s">
        <v>12124</v>
      </c>
      <c r="BH10" t="s">
        <v>12125</v>
      </c>
      <c r="BI10" t="s">
        <v>12126</v>
      </c>
      <c r="BJ10">
        <v>8.4360000000000004E-2</v>
      </c>
      <c r="BK10">
        <v>1</v>
      </c>
      <c r="BL10" t="s">
        <v>69</v>
      </c>
      <c r="BM10">
        <v>-0.69799999999999995</v>
      </c>
      <c r="BN10">
        <v>-0.71899999999999997</v>
      </c>
    </row>
    <row r="11" spans="2:66">
      <c r="B11">
        <v>16</v>
      </c>
      <c r="C11">
        <v>19</v>
      </c>
      <c r="D11">
        <v>0</v>
      </c>
      <c r="E11">
        <v>6</v>
      </c>
      <c r="F11">
        <v>1</v>
      </c>
      <c r="J11">
        <v>0</v>
      </c>
      <c r="K11">
        <v>0</v>
      </c>
      <c r="L11">
        <v>0</v>
      </c>
      <c r="M11" t="s">
        <v>25022</v>
      </c>
      <c r="N11">
        <v>1937</v>
      </c>
      <c r="O11" t="s">
        <v>12141</v>
      </c>
      <c r="P11" t="s">
        <v>62</v>
      </c>
      <c r="Q11">
        <v>2037066</v>
      </c>
      <c r="R11">
        <v>2037368</v>
      </c>
      <c r="S11" t="s">
        <v>12142</v>
      </c>
      <c r="T11">
        <v>101</v>
      </c>
      <c r="U11" t="s">
        <v>12143</v>
      </c>
      <c r="V11">
        <v>32</v>
      </c>
      <c r="W11" t="str">
        <f>HYPERLINK("Gene1937-zp_tree_all.dnd", "Gene1937-tree")</f>
        <v>Gene1937-tree</v>
      </c>
      <c r="X11">
        <v>3</v>
      </c>
      <c r="Y11">
        <v>5</v>
      </c>
      <c r="Z11">
        <v>3</v>
      </c>
      <c r="AA11">
        <v>5</v>
      </c>
      <c r="AB11">
        <v>0.625</v>
      </c>
      <c r="AC11" t="s">
        <v>324</v>
      </c>
      <c r="AD11" t="s">
        <v>199</v>
      </c>
      <c r="AE11" t="s">
        <v>62</v>
      </c>
      <c r="AF11" t="s">
        <v>62</v>
      </c>
      <c r="AG11">
        <v>0</v>
      </c>
      <c r="AH11">
        <v>0</v>
      </c>
      <c r="AI11">
        <v>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6</v>
      </c>
      <c r="AT11">
        <v>0</v>
      </c>
      <c r="AU11">
        <v>6</v>
      </c>
      <c r="AV11">
        <v>3</v>
      </c>
      <c r="AW11">
        <v>5</v>
      </c>
      <c r="AX11">
        <v>6</v>
      </c>
      <c r="AY11">
        <v>4</v>
      </c>
      <c r="AZ11">
        <v>0</v>
      </c>
      <c r="BA11" t="s">
        <v>12144</v>
      </c>
      <c r="BB11" t="s">
        <v>193</v>
      </c>
      <c r="BC11">
        <v>1.226</v>
      </c>
      <c r="BD11" t="s">
        <v>65</v>
      </c>
      <c r="BE11">
        <v>9</v>
      </c>
      <c r="BF11">
        <v>6</v>
      </c>
      <c r="BG11" t="s">
        <v>12145</v>
      </c>
      <c r="BH11" t="s">
        <v>12146</v>
      </c>
      <c r="BI11" t="s">
        <v>12147</v>
      </c>
      <c r="BJ11">
        <v>0.15223</v>
      </c>
      <c r="BK11">
        <v>1</v>
      </c>
      <c r="BL11" t="s">
        <v>69</v>
      </c>
      <c r="BM11">
        <v>-1.85</v>
      </c>
      <c r="BN11">
        <v>-2.298</v>
      </c>
    </row>
    <row r="12" spans="2:66">
      <c r="B12">
        <v>17</v>
      </c>
      <c r="C12">
        <v>86</v>
      </c>
      <c r="D12">
        <v>0</v>
      </c>
      <c r="E12">
        <v>0</v>
      </c>
      <c r="F12">
        <v>2</v>
      </c>
      <c r="J12">
        <v>0</v>
      </c>
      <c r="K12">
        <v>7</v>
      </c>
      <c r="L12">
        <v>4</v>
      </c>
      <c r="M12" t="s">
        <v>25022</v>
      </c>
      <c r="N12">
        <v>1938</v>
      </c>
      <c r="O12" t="s">
        <v>12148</v>
      </c>
      <c r="P12" t="s">
        <v>62</v>
      </c>
      <c r="Q12">
        <v>2037604</v>
      </c>
      <c r="R12">
        <v>2038779</v>
      </c>
      <c r="S12" t="s">
        <v>12149</v>
      </c>
      <c r="T12">
        <v>392</v>
      </c>
      <c r="U12" t="s">
        <v>2078</v>
      </c>
      <c r="V12">
        <v>36</v>
      </c>
      <c r="W12" t="str">
        <f>HYPERLINK("Gene1938-zp_tree_all.dnd", "Gene1938-tree")</f>
        <v>Gene1938-tree</v>
      </c>
      <c r="X12">
        <v>3</v>
      </c>
      <c r="Y12">
        <v>8</v>
      </c>
      <c r="Z12">
        <v>3</v>
      </c>
      <c r="AA12">
        <v>8</v>
      </c>
      <c r="AB12">
        <v>0.72726999999999997</v>
      </c>
      <c r="AC12" t="s">
        <v>324</v>
      </c>
      <c r="AD12" t="s">
        <v>136</v>
      </c>
      <c r="AE12" t="s">
        <v>62</v>
      </c>
      <c r="AF12" t="s">
        <v>62</v>
      </c>
      <c r="AG12">
        <v>5</v>
      </c>
      <c r="AH12">
        <v>11</v>
      </c>
      <c r="AI12">
        <v>13</v>
      </c>
      <c r="AJ12">
        <v>0.45833000000000002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2</v>
      </c>
      <c r="AQ12">
        <v>2</v>
      </c>
      <c r="AR12">
        <v>4</v>
      </c>
      <c r="AS12">
        <v>14</v>
      </c>
      <c r="AT12">
        <v>0.22222</v>
      </c>
      <c r="AU12">
        <v>9</v>
      </c>
      <c r="AV12">
        <v>8</v>
      </c>
      <c r="AW12">
        <v>59</v>
      </c>
      <c r="AX12">
        <v>16</v>
      </c>
      <c r="AY12">
        <v>32</v>
      </c>
      <c r="AZ12">
        <v>8</v>
      </c>
      <c r="BA12" t="s">
        <v>12150</v>
      </c>
      <c r="BB12" t="s">
        <v>12151</v>
      </c>
      <c r="BC12">
        <v>0.1</v>
      </c>
      <c r="BD12" t="s">
        <v>65</v>
      </c>
      <c r="BE12">
        <v>91</v>
      </c>
      <c r="BF12">
        <v>24</v>
      </c>
      <c r="BG12" t="s">
        <v>12152</v>
      </c>
      <c r="BH12" t="s">
        <v>12153</v>
      </c>
      <c r="BI12" t="s">
        <v>1743</v>
      </c>
      <c r="BJ12">
        <v>7.5439999999999993E-2</v>
      </c>
      <c r="BK12">
        <v>1</v>
      </c>
      <c r="BL12" t="s">
        <v>69</v>
      </c>
      <c r="BM12">
        <v>-1.45</v>
      </c>
      <c r="BN12">
        <v>-2.86</v>
      </c>
    </row>
    <row r="13" spans="2:66">
      <c r="B13">
        <v>19</v>
      </c>
      <c r="C13">
        <v>234</v>
      </c>
      <c r="D13">
        <v>0</v>
      </c>
      <c r="E13">
        <v>4</v>
      </c>
      <c r="F13">
        <v>0</v>
      </c>
      <c r="J13">
        <v>0</v>
      </c>
      <c r="K13">
        <v>3</v>
      </c>
      <c r="L13">
        <v>0</v>
      </c>
      <c r="M13" t="s">
        <v>25022</v>
      </c>
      <c r="N13">
        <v>1939</v>
      </c>
      <c r="O13" t="s">
        <v>12154</v>
      </c>
      <c r="P13" t="s">
        <v>62</v>
      </c>
      <c r="Q13">
        <v>2038905</v>
      </c>
      <c r="R13">
        <v>2039390</v>
      </c>
      <c r="S13" t="s">
        <v>116</v>
      </c>
      <c r="T13">
        <v>162</v>
      </c>
      <c r="U13" t="s">
        <v>12155</v>
      </c>
      <c r="V13">
        <v>30</v>
      </c>
      <c r="W13" t="str">
        <f>HYPERLINK("Gene1939-zp_tree_all.dnd", "Gene1939-tree")</f>
        <v>Gene1939-tree</v>
      </c>
      <c r="X13">
        <v>21</v>
      </c>
      <c r="Y13">
        <v>6</v>
      </c>
      <c r="Z13">
        <v>1</v>
      </c>
      <c r="AA13">
        <v>6</v>
      </c>
      <c r="AB13">
        <v>0.85714000000000001</v>
      </c>
      <c r="AC13" t="s">
        <v>175</v>
      </c>
      <c r="AD13" t="s">
        <v>90</v>
      </c>
      <c r="AE13" t="s">
        <v>62</v>
      </c>
      <c r="AF13" t="s">
        <v>62</v>
      </c>
      <c r="AG13">
        <v>1</v>
      </c>
      <c r="AH13">
        <v>3</v>
      </c>
      <c r="AI13">
        <v>15</v>
      </c>
      <c r="AJ13">
        <v>0.16667000000000001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0</v>
      </c>
      <c r="AR13">
        <v>2</v>
      </c>
      <c r="AS13">
        <v>12</v>
      </c>
      <c r="AT13">
        <v>0.14285999999999999</v>
      </c>
      <c r="AU13">
        <v>6</v>
      </c>
      <c r="AV13">
        <v>4</v>
      </c>
      <c r="AW13">
        <v>5</v>
      </c>
      <c r="AX13">
        <v>11</v>
      </c>
      <c r="AY13">
        <v>8</v>
      </c>
      <c r="AZ13">
        <v>7</v>
      </c>
      <c r="BA13" t="s">
        <v>12156</v>
      </c>
      <c r="BB13" t="s">
        <v>12157</v>
      </c>
      <c r="BC13">
        <v>0.84099999999999997</v>
      </c>
      <c r="BD13" t="s">
        <v>65</v>
      </c>
      <c r="BE13">
        <v>13</v>
      </c>
      <c r="BF13">
        <v>18</v>
      </c>
      <c r="BG13" t="s">
        <v>12158</v>
      </c>
      <c r="BH13" t="s">
        <v>12159</v>
      </c>
      <c r="BI13" t="s">
        <v>12160</v>
      </c>
      <c r="BJ13">
        <v>0.26484999999999997</v>
      </c>
      <c r="BK13">
        <v>0.97</v>
      </c>
      <c r="BL13" t="s">
        <v>69</v>
      </c>
      <c r="BM13">
        <v>-0.60199999999999998</v>
      </c>
      <c r="BN13">
        <v>-1.0069999999999999</v>
      </c>
    </row>
    <row r="14" spans="2:66">
      <c r="B14">
        <v>22</v>
      </c>
      <c r="C14">
        <v>18</v>
      </c>
      <c r="D14">
        <v>0</v>
      </c>
      <c r="E14">
        <v>0</v>
      </c>
      <c r="F14">
        <v>2</v>
      </c>
      <c r="J14">
        <v>0</v>
      </c>
      <c r="K14">
        <v>0</v>
      </c>
      <c r="L14">
        <v>0</v>
      </c>
      <c r="M14" t="s">
        <v>25022</v>
      </c>
      <c r="N14">
        <v>1940</v>
      </c>
      <c r="O14" t="s">
        <v>12161</v>
      </c>
      <c r="P14" t="s">
        <v>62</v>
      </c>
      <c r="Q14">
        <v>2039418</v>
      </c>
      <c r="R14">
        <v>2039570</v>
      </c>
      <c r="S14" t="s">
        <v>12162</v>
      </c>
      <c r="T14">
        <v>51</v>
      </c>
      <c r="U14" t="s">
        <v>12163</v>
      </c>
      <c r="V14">
        <v>29</v>
      </c>
      <c r="W14" t="str">
        <f>HYPERLINK("Gene1940-zp_tree_all.dnd", "Gene1940-tree")</f>
        <v>Gene1940-tree</v>
      </c>
      <c r="X14">
        <v>0</v>
      </c>
      <c r="Y14">
        <v>25</v>
      </c>
      <c r="Z14">
        <v>0</v>
      </c>
      <c r="AA14">
        <v>5</v>
      </c>
      <c r="AB14">
        <v>1</v>
      </c>
      <c r="AC14" t="s">
        <v>62</v>
      </c>
      <c r="AD14" t="s">
        <v>4839</v>
      </c>
      <c r="AE14">
        <v>6.069</v>
      </c>
      <c r="AF14" t="s">
        <v>65</v>
      </c>
      <c r="AG14">
        <v>0</v>
      </c>
      <c r="AH14">
        <v>0</v>
      </c>
      <c r="AI14">
        <v>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4</v>
      </c>
      <c r="AT14">
        <v>0</v>
      </c>
      <c r="AU14">
        <v>2</v>
      </c>
      <c r="AV14">
        <v>2</v>
      </c>
      <c r="AW14">
        <v>0</v>
      </c>
      <c r="AX14">
        <v>2</v>
      </c>
      <c r="AY14">
        <v>0</v>
      </c>
      <c r="AZ14">
        <v>2</v>
      </c>
      <c r="BA14" t="s">
        <v>193</v>
      </c>
      <c r="BB14" t="s">
        <v>193</v>
      </c>
      <c r="BC14">
        <v>0</v>
      </c>
      <c r="BD14" t="s">
        <v>65</v>
      </c>
      <c r="BE14">
        <v>0</v>
      </c>
      <c r="BF14">
        <v>4</v>
      </c>
      <c r="BG14" t="s">
        <v>12164</v>
      </c>
      <c r="BH14" t="s">
        <v>193</v>
      </c>
      <c r="BI14" t="s">
        <v>12165</v>
      </c>
      <c r="BJ14" t="s">
        <v>1346</v>
      </c>
      <c r="BK14">
        <v>1</v>
      </c>
      <c r="BL14" t="s">
        <v>69</v>
      </c>
      <c r="BM14">
        <v>1.0429999999999999</v>
      </c>
      <c r="BN14">
        <v>1.0620000000000001</v>
      </c>
    </row>
    <row r="15" spans="2:66">
      <c r="B15">
        <v>25</v>
      </c>
      <c r="C15">
        <v>49</v>
      </c>
      <c r="D15">
        <v>0</v>
      </c>
      <c r="E15">
        <v>2</v>
      </c>
      <c r="F15">
        <v>0</v>
      </c>
      <c r="J15">
        <v>0</v>
      </c>
      <c r="K15">
        <v>4</v>
      </c>
      <c r="L15">
        <v>0</v>
      </c>
      <c r="M15" t="s">
        <v>25022</v>
      </c>
      <c r="N15">
        <v>1943</v>
      </c>
      <c r="O15" t="s">
        <v>12173</v>
      </c>
      <c r="P15" t="s">
        <v>62</v>
      </c>
      <c r="Q15">
        <v>2041333</v>
      </c>
      <c r="R15">
        <v>2041827</v>
      </c>
      <c r="S15" t="s">
        <v>1523</v>
      </c>
      <c r="T15">
        <v>165</v>
      </c>
      <c r="U15" t="s">
        <v>12174</v>
      </c>
      <c r="V15">
        <v>35</v>
      </c>
      <c r="W15" t="str">
        <f>HYPERLINK("Gene1943-zp_tree_all.dnd", "Gene1943-tree")</f>
        <v>Gene1943-tree</v>
      </c>
      <c r="X15">
        <v>3</v>
      </c>
      <c r="Y15">
        <v>8</v>
      </c>
      <c r="Z15">
        <v>3</v>
      </c>
      <c r="AA15">
        <v>8</v>
      </c>
      <c r="AB15">
        <v>0.72726999999999997</v>
      </c>
      <c r="AC15" t="s">
        <v>324</v>
      </c>
      <c r="AD15" t="s">
        <v>136</v>
      </c>
      <c r="AE15" t="s">
        <v>62</v>
      </c>
      <c r="AF15" t="s">
        <v>62</v>
      </c>
      <c r="AG15">
        <v>2</v>
      </c>
      <c r="AH15">
        <v>4</v>
      </c>
      <c r="AI15">
        <v>19</v>
      </c>
      <c r="AJ15">
        <v>0.17391000000000001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</v>
      </c>
      <c r="AQ15">
        <v>0</v>
      </c>
      <c r="AR15">
        <v>2</v>
      </c>
      <c r="AS15">
        <v>15</v>
      </c>
      <c r="AT15">
        <v>0.11765</v>
      </c>
      <c r="AU15">
        <v>10</v>
      </c>
      <c r="AV15">
        <v>6</v>
      </c>
      <c r="AW15">
        <v>15</v>
      </c>
      <c r="AX15">
        <v>17</v>
      </c>
      <c r="AY15">
        <v>6</v>
      </c>
      <c r="AZ15">
        <v>6</v>
      </c>
      <c r="BA15" t="s">
        <v>12175</v>
      </c>
      <c r="BB15" t="s">
        <v>12176</v>
      </c>
      <c r="BC15">
        <v>6.8000000000000005E-2</v>
      </c>
      <c r="BD15" t="s">
        <v>65</v>
      </c>
      <c r="BE15">
        <v>21</v>
      </c>
      <c r="BF15">
        <v>23</v>
      </c>
      <c r="BG15" t="s">
        <v>12177</v>
      </c>
      <c r="BH15" t="s">
        <v>12178</v>
      </c>
      <c r="BI15" t="s">
        <v>12179</v>
      </c>
      <c r="BJ15">
        <v>0.27750999999999998</v>
      </c>
      <c r="BK15">
        <v>1</v>
      </c>
      <c r="BL15" t="s">
        <v>69</v>
      </c>
      <c r="BM15">
        <v>-1.117</v>
      </c>
      <c r="BN15">
        <v>-1.9159999999999999</v>
      </c>
    </row>
    <row r="16" spans="2:66">
      <c r="B16">
        <v>26</v>
      </c>
      <c r="C16">
        <v>150</v>
      </c>
      <c r="D16">
        <v>0</v>
      </c>
      <c r="E16">
        <v>6</v>
      </c>
      <c r="F16">
        <v>0</v>
      </c>
      <c r="J16">
        <v>0</v>
      </c>
      <c r="K16">
        <v>0</v>
      </c>
      <c r="L16">
        <v>0</v>
      </c>
      <c r="M16" t="s">
        <v>25022</v>
      </c>
      <c r="N16">
        <v>1944</v>
      </c>
      <c r="O16" t="s">
        <v>12180</v>
      </c>
      <c r="P16" t="s">
        <v>62</v>
      </c>
      <c r="Q16">
        <v>2041931</v>
      </c>
      <c r="R16">
        <v>2042839</v>
      </c>
      <c r="S16" t="s">
        <v>12181</v>
      </c>
      <c r="T16">
        <v>303</v>
      </c>
      <c r="U16" t="s">
        <v>12182</v>
      </c>
      <c r="V16">
        <v>36</v>
      </c>
      <c r="W16" t="str">
        <f>HYPERLINK("Gene1944-zp_tree_all.dnd", "Gene1944-tree")</f>
        <v>Gene1944-tree</v>
      </c>
      <c r="X16">
        <v>5</v>
      </c>
      <c r="Y16">
        <v>7</v>
      </c>
      <c r="Z16">
        <v>5</v>
      </c>
      <c r="AA16">
        <v>7</v>
      </c>
      <c r="AB16">
        <v>0.58333000000000002</v>
      </c>
      <c r="AC16" t="s">
        <v>199</v>
      </c>
      <c r="AD16" t="s">
        <v>152</v>
      </c>
      <c r="AE16" t="s">
        <v>62</v>
      </c>
      <c r="AF16" t="s">
        <v>62</v>
      </c>
      <c r="AG16">
        <v>0</v>
      </c>
      <c r="AH16">
        <v>0</v>
      </c>
      <c r="AI16">
        <v>16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14</v>
      </c>
      <c r="AT16">
        <v>0</v>
      </c>
      <c r="AU16">
        <v>10</v>
      </c>
      <c r="AV16">
        <v>5</v>
      </c>
      <c r="AW16">
        <v>19</v>
      </c>
      <c r="AX16">
        <v>14</v>
      </c>
      <c r="AY16">
        <v>12</v>
      </c>
      <c r="AZ16">
        <v>2</v>
      </c>
      <c r="BA16" t="s">
        <v>12183</v>
      </c>
      <c r="BB16" t="s">
        <v>12184</v>
      </c>
      <c r="BC16">
        <v>0.84</v>
      </c>
      <c r="BD16" t="s">
        <v>65</v>
      </c>
      <c r="BE16">
        <v>31</v>
      </c>
      <c r="BF16">
        <v>16</v>
      </c>
      <c r="BG16" t="s">
        <v>12185</v>
      </c>
      <c r="BH16" t="s">
        <v>12186</v>
      </c>
      <c r="BI16" t="s">
        <v>5079</v>
      </c>
      <c r="BJ16">
        <v>0.14088000000000001</v>
      </c>
      <c r="BK16">
        <v>1</v>
      </c>
      <c r="BL16" t="s">
        <v>69</v>
      </c>
      <c r="BM16">
        <v>-1.1539999999999999</v>
      </c>
      <c r="BN16">
        <v>-1.385</v>
      </c>
    </row>
    <row r="17" spans="2:66">
      <c r="B17">
        <v>27</v>
      </c>
      <c r="C17">
        <v>77</v>
      </c>
      <c r="D17">
        <v>0</v>
      </c>
      <c r="E17">
        <v>24</v>
      </c>
      <c r="F17">
        <v>1</v>
      </c>
      <c r="J17">
        <v>0</v>
      </c>
      <c r="K17">
        <v>2</v>
      </c>
      <c r="L17">
        <v>0</v>
      </c>
      <c r="M17" t="s">
        <v>25022</v>
      </c>
      <c r="N17">
        <v>1948</v>
      </c>
      <c r="O17" t="s">
        <v>12201</v>
      </c>
      <c r="P17" t="s">
        <v>62</v>
      </c>
      <c r="Q17">
        <v>2044959</v>
      </c>
      <c r="R17">
        <v>2045828</v>
      </c>
      <c r="S17" t="s">
        <v>2170</v>
      </c>
      <c r="T17">
        <v>290</v>
      </c>
      <c r="U17" t="s">
        <v>12189</v>
      </c>
      <c r="V17">
        <v>37</v>
      </c>
      <c r="W17" t="str">
        <f>HYPERLINK("Gene1948-zp_tree_all.dnd", "Gene1948-tree")</f>
        <v>Gene1948-tree</v>
      </c>
      <c r="X17">
        <v>7</v>
      </c>
      <c r="Y17">
        <v>5</v>
      </c>
      <c r="Z17">
        <v>7</v>
      </c>
      <c r="AA17">
        <v>5</v>
      </c>
      <c r="AB17">
        <v>0.41666999999999998</v>
      </c>
      <c r="AC17" t="s">
        <v>152</v>
      </c>
      <c r="AD17" t="s">
        <v>199</v>
      </c>
      <c r="AE17" t="s">
        <v>62</v>
      </c>
      <c r="AF17" t="s">
        <v>62</v>
      </c>
      <c r="AG17">
        <v>1</v>
      </c>
      <c r="AH17">
        <v>2</v>
      </c>
      <c r="AI17">
        <v>7</v>
      </c>
      <c r="AJ17">
        <v>0.22222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6</v>
      </c>
      <c r="AT17">
        <v>0</v>
      </c>
      <c r="AU17">
        <v>12</v>
      </c>
      <c r="AV17">
        <v>7</v>
      </c>
      <c r="AW17">
        <v>28</v>
      </c>
      <c r="AX17">
        <v>6</v>
      </c>
      <c r="AY17">
        <v>18</v>
      </c>
      <c r="AZ17">
        <v>3</v>
      </c>
      <c r="BA17" t="s">
        <v>12202</v>
      </c>
      <c r="BB17" t="s">
        <v>12203</v>
      </c>
      <c r="BC17">
        <v>0.20100000000000001</v>
      </c>
      <c r="BD17" t="s">
        <v>65</v>
      </c>
      <c r="BE17">
        <v>46</v>
      </c>
      <c r="BF17">
        <v>9</v>
      </c>
      <c r="BG17" t="s">
        <v>12204</v>
      </c>
      <c r="BH17" t="s">
        <v>12205</v>
      </c>
      <c r="BI17" t="s">
        <v>12206</v>
      </c>
      <c r="BJ17">
        <v>5.1290000000000002E-2</v>
      </c>
      <c r="BK17">
        <v>1</v>
      </c>
      <c r="BL17" t="s">
        <v>69</v>
      </c>
      <c r="BM17">
        <v>-1.204</v>
      </c>
      <c r="BN17">
        <v>-1.1930000000000001</v>
      </c>
    </row>
    <row r="18" spans="2:66">
      <c r="B18">
        <v>28</v>
      </c>
      <c r="C18">
        <v>59</v>
      </c>
      <c r="D18">
        <v>0</v>
      </c>
      <c r="E18">
        <v>2</v>
      </c>
      <c r="F18">
        <v>0</v>
      </c>
      <c r="J18">
        <v>0</v>
      </c>
      <c r="K18">
        <v>2</v>
      </c>
      <c r="L18">
        <v>0</v>
      </c>
      <c r="M18" t="s">
        <v>25022</v>
      </c>
      <c r="N18">
        <v>1950</v>
      </c>
      <c r="O18" t="s">
        <v>12214</v>
      </c>
      <c r="P18" t="s">
        <v>62</v>
      </c>
      <c r="Q18">
        <v>2046983</v>
      </c>
      <c r="R18">
        <v>2047411</v>
      </c>
      <c r="S18" t="s">
        <v>12215</v>
      </c>
      <c r="T18">
        <v>143</v>
      </c>
      <c r="U18" t="s">
        <v>1907</v>
      </c>
      <c r="V18">
        <v>38</v>
      </c>
      <c r="W18" t="str">
        <f>HYPERLINK("Gene1950-zp_tree_all.dnd", "Gene1950-tree")</f>
        <v>Gene1950-tree</v>
      </c>
      <c r="X18">
        <v>1</v>
      </c>
      <c r="Y18">
        <v>11</v>
      </c>
      <c r="Z18">
        <v>1</v>
      </c>
      <c r="AA18">
        <v>11</v>
      </c>
      <c r="AB18">
        <v>0.91666999999999998</v>
      </c>
      <c r="AC18" t="s">
        <v>175</v>
      </c>
      <c r="AD18" t="s">
        <v>73</v>
      </c>
      <c r="AE18">
        <v>1144612630.289</v>
      </c>
      <c r="AF18" t="s">
        <v>267</v>
      </c>
      <c r="AG18">
        <v>1</v>
      </c>
      <c r="AH18">
        <v>2</v>
      </c>
      <c r="AI18">
        <v>13</v>
      </c>
      <c r="AJ18">
        <v>0.13333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2</v>
      </c>
      <c r="AQ18">
        <v>0</v>
      </c>
      <c r="AR18">
        <v>2</v>
      </c>
      <c r="AS18">
        <v>12</v>
      </c>
      <c r="AT18">
        <v>0.14285999999999999</v>
      </c>
      <c r="AU18">
        <v>9</v>
      </c>
      <c r="AV18">
        <v>7</v>
      </c>
      <c r="AW18">
        <v>9</v>
      </c>
      <c r="AX18">
        <v>12</v>
      </c>
      <c r="AY18">
        <v>4</v>
      </c>
      <c r="AZ18">
        <v>3</v>
      </c>
      <c r="BA18" t="s">
        <v>12216</v>
      </c>
      <c r="BB18" t="s">
        <v>12217</v>
      </c>
      <c r="BC18">
        <v>0.59499999999999997</v>
      </c>
      <c r="BD18" t="s">
        <v>65</v>
      </c>
      <c r="BE18">
        <v>13</v>
      </c>
      <c r="BF18">
        <v>15</v>
      </c>
      <c r="BG18" t="s">
        <v>11536</v>
      </c>
      <c r="BH18" t="s">
        <v>12218</v>
      </c>
      <c r="BI18" t="s">
        <v>12219</v>
      </c>
      <c r="BJ18">
        <v>0.24589</v>
      </c>
      <c r="BK18">
        <v>0.99</v>
      </c>
      <c r="BL18" t="s">
        <v>69</v>
      </c>
      <c r="BM18">
        <v>-1.2170000000000001</v>
      </c>
      <c r="BN18">
        <v>-1.946</v>
      </c>
    </row>
    <row r="19" spans="2:66">
      <c r="B19">
        <v>30</v>
      </c>
      <c r="C19">
        <v>26</v>
      </c>
      <c r="D19">
        <v>0</v>
      </c>
      <c r="E19">
        <v>2</v>
      </c>
      <c r="F19">
        <v>2</v>
      </c>
      <c r="J19">
        <v>0</v>
      </c>
      <c r="K19">
        <v>16</v>
      </c>
      <c r="L19">
        <v>3</v>
      </c>
      <c r="M19" t="s">
        <v>25022</v>
      </c>
      <c r="N19">
        <v>1951</v>
      </c>
      <c r="O19" t="s">
        <v>12220</v>
      </c>
      <c r="P19" t="s">
        <v>62</v>
      </c>
      <c r="Q19">
        <v>2047678</v>
      </c>
      <c r="R19">
        <v>2048307</v>
      </c>
      <c r="S19" t="s">
        <v>12221</v>
      </c>
      <c r="T19">
        <v>210</v>
      </c>
      <c r="U19" t="s">
        <v>12222</v>
      </c>
      <c r="V19">
        <v>37</v>
      </c>
      <c r="W19" t="str">
        <f>HYPERLINK("Gene1951-zp_tree_all.dnd", "Gene1951-tree")</f>
        <v>Gene1951-tree</v>
      </c>
      <c r="X19">
        <v>2</v>
      </c>
      <c r="Y19">
        <v>9</v>
      </c>
      <c r="Z19">
        <v>2</v>
      </c>
      <c r="AA19">
        <v>9</v>
      </c>
      <c r="AB19">
        <v>0.81818000000000002</v>
      </c>
      <c r="AC19" t="s">
        <v>81</v>
      </c>
      <c r="AD19" t="s">
        <v>135</v>
      </c>
      <c r="AE19" t="s">
        <v>62</v>
      </c>
      <c r="AF19" t="s">
        <v>62</v>
      </c>
      <c r="AG19">
        <v>7</v>
      </c>
      <c r="AH19">
        <v>19</v>
      </c>
      <c r="AI19">
        <v>12</v>
      </c>
      <c r="AJ19">
        <v>0.6129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5</v>
      </c>
      <c r="AQ19">
        <v>4</v>
      </c>
      <c r="AR19">
        <v>9</v>
      </c>
      <c r="AS19">
        <v>13</v>
      </c>
      <c r="AT19">
        <v>0.40909000000000001</v>
      </c>
      <c r="AU19">
        <v>11</v>
      </c>
      <c r="AV19">
        <v>8</v>
      </c>
      <c r="AW19">
        <v>24</v>
      </c>
      <c r="AX19">
        <v>23</v>
      </c>
      <c r="AY19">
        <v>19</v>
      </c>
      <c r="AZ19">
        <v>9</v>
      </c>
      <c r="BA19" t="s">
        <v>12223</v>
      </c>
      <c r="BB19" t="s">
        <v>12224</v>
      </c>
      <c r="BC19">
        <v>0.93799999999999994</v>
      </c>
      <c r="BD19" t="s">
        <v>65</v>
      </c>
      <c r="BE19">
        <v>43</v>
      </c>
      <c r="BF19">
        <v>32</v>
      </c>
      <c r="BG19" t="s">
        <v>12225</v>
      </c>
      <c r="BH19" t="s">
        <v>12226</v>
      </c>
      <c r="BI19" t="s">
        <v>12227</v>
      </c>
      <c r="BJ19">
        <v>0.19725000000000001</v>
      </c>
      <c r="BK19">
        <v>1</v>
      </c>
      <c r="BL19" t="s">
        <v>69</v>
      </c>
      <c r="BM19">
        <v>-0.34300000000000003</v>
      </c>
      <c r="BN19">
        <v>-0.36799999999999999</v>
      </c>
    </row>
    <row r="20" spans="2:66">
      <c r="B20">
        <v>32</v>
      </c>
      <c r="C20">
        <v>27</v>
      </c>
      <c r="D20">
        <v>0</v>
      </c>
      <c r="E20">
        <v>2</v>
      </c>
      <c r="F20">
        <v>0</v>
      </c>
      <c r="J20">
        <v>0</v>
      </c>
      <c r="K20">
        <v>5</v>
      </c>
      <c r="L20">
        <v>0</v>
      </c>
      <c r="M20" t="s">
        <v>25022</v>
      </c>
      <c r="N20">
        <v>1953</v>
      </c>
      <c r="O20" t="s">
        <v>12235</v>
      </c>
      <c r="P20" t="s">
        <v>62</v>
      </c>
      <c r="Q20">
        <v>2049953</v>
      </c>
      <c r="R20">
        <v>2050312</v>
      </c>
      <c r="S20" t="s">
        <v>2302</v>
      </c>
      <c r="T20">
        <v>120</v>
      </c>
      <c r="U20" t="s">
        <v>12236</v>
      </c>
      <c r="V20">
        <v>34</v>
      </c>
      <c r="W20" t="str">
        <f>HYPERLINK("Gene1953-zp_tree_all.dnd", "Gene1953-tree")</f>
        <v>Gene1953-tree</v>
      </c>
      <c r="X20">
        <v>2</v>
      </c>
      <c r="Y20">
        <v>7</v>
      </c>
      <c r="Z20">
        <v>2</v>
      </c>
      <c r="AA20">
        <v>7</v>
      </c>
      <c r="AB20">
        <v>0.77778000000000003</v>
      </c>
      <c r="AC20" t="s">
        <v>81</v>
      </c>
      <c r="AD20" t="s">
        <v>152</v>
      </c>
      <c r="AE20" t="s">
        <v>62</v>
      </c>
      <c r="AF20" t="s">
        <v>62</v>
      </c>
      <c r="AG20">
        <v>2</v>
      </c>
      <c r="AH20">
        <v>5</v>
      </c>
      <c r="AI20">
        <v>14</v>
      </c>
      <c r="AJ20">
        <v>0.26316000000000001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</v>
      </c>
      <c r="AQ20">
        <v>0</v>
      </c>
      <c r="AR20">
        <v>2</v>
      </c>
      <c r="AS20">
        <v>9</v>
      </c>
      <c r="AT20">
        <v>0.18182000000000001</v>
      </c>
      <c r="AU20">
        <v>7</v>
      </c>
      <c r="AV20">
        <v>6</v>
      </c>
      <c r="AW20">
        <v>5</v>
      </c>
      <c r="AX20">
        <v>11</v>
      </c>
      <c r="AY20">
        <v>1</v>
      </c>
      <c r="AZ20">
        <v>10</v>
      </c>
      <c r="BA20" t="s">
        <v>12237</v>
      </c>
      <c r="BB20" t="s">
        <v>12238</v>
      </c>
      <c r="BC20">
        <v>0.34899999999999998</v>
      </c>
      <c r="BD20" t="s">
        <v>65</v>
      </c>
      <c r="BE20">
        <v>6</v>
      </c>
      <c r="BF20">
        <v>21</v>
      </c>
      <c r="BG20" t="s">
        <v>12239</v>
      </c>
      <c r="BH20" t="s">
        <v>12240</v>
      </c>
      <c r="BI20" t="s">
        <v>12241</v>
      </c>
      <c r="BJ20">
        <v>1.1141799999999999</v>
      </c>
      <c r="BK20">
        <v>0.45500000000000002</v>
      </c>
      <c r="BL20" t="s">
        <v>635</v>
      </c>
      <c r="BM20">
        <v>-1.016</v>
      </c>
      <c r="BN20">
        <v>-1.5449999999999999</v>
      </c>
    </row>
    <row r="21" spans="2:66">
      <c r="B21">
        <v>34</v>
      </c>
      <c r="C21">
        <v>98</v>
      </c>
      <c r="D21">
        <v>0</v>
      </c>
      <c r="E21">
        <v>2</v>
      </c>
      <c r="F21">
        <v>0</v>
      </c>
      <c r="J21">
        <v>0</v>
      </c>
      <c r="K21">
        <v>31</v>
      </c>
      <c r="L21">
        <v>4</v>
      </c>
      <c r="M21" t="s">
        <v>25022</v>
      </c>
      <c r="N21">
        <v>1956</v>
      </c>
      <c r="O21" t="s">
        <v>12250</v>
      </c>
      <c r="P21" t="s">
        <v>62</v>
      </c>
      <c r="Q21">
        <v>2051332</v>
      </c>
      <c r="R21">
        <v>2053929</v>
      </c>
      <c r="S21" t="s">
        <v>12251</v>
      </c>
      <c r="T21">
        <v>866</v>
      </c>
      <c r="U21" t="s">
        <v>12252</v>
      </c>
      <c r="V21">
        <v>36</v>
      </c>
      <c r="W21" t="str">
        <f>HYPERLINK("Gene1956-zp_tree_all.dnd", "Gene1956-tree")</f>
        <v>Gene1956-tree</v>
      </c>
      <c r="X21">
        <v>0</v>
      </c>
      <c r="Y21">
        <v>11</v>
      </c>
      <c r="Z21">
        <v>0</v>
      </c>
      <c r="AA21">
        <v>11</v>
      </c>
      <c r="AB21">
        <v>1</v>
      </c>
      <c r="AC21" t="s">
        <v>62</v>
      </c>
      <c r="AD21" t="s">
        <v>73</v>
      </c>
      <c r="AE21">
        <v>114461263.029</v>
      </c>
      <c r="AF21" t="s">
        <v>65</v>
      </c>
      <c r="AG21">
        <v>16</v>
      </c>
      <c r="AH21">
        <v>35</v>
      </c>
      <c r="AI21">
        <v>61</v>
      </c>
      <c r="AJ21">
        <v>0.36458000000000002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</v>
      </c>
      <c r="AQ21">
        <v>4</v>
      </c>
      <c r="AR21">
        <v>10</v>
      </c>
      <c r="AS21">
        <v>57</v>
      </c>
      <c r="AT21">
        <v>0.14924999999999999</v>
      </c>
      <c r="AU21">
        <v>11</v>
      </c>
      <c r="AV21">
        <v>8</v>
      </c>
      <c r="AW21">
        <v>107</v>
      </c>
      <c r="AX21">
        <v>68</v>
      </c>
      <c r="AY21">
        <v>36</v>
      </c>
      <c r="AZ21">
        <v>30</v>
      </c>
      <c r="BA21" t="s">
        <v>12253</v>
      </c>
      <c r="BB21" t="s">
        <v>12254</v>
      </c>
      <c r="BC21">
        <v>0.58499999999999996</v>
      </c>
      <c r="BD21" t="s">
        <v>65</v>
      </c>
      <c r="BE21">
        <v>143</v>
      </c>
      <c r="BF21">
        <v>98</v>
      </c>
      <c r="BG21" t="s">
        <v>12255</v>
      </c>
      <c r="BH21" t="s">
        <v>12256</v>
      </c>
      <c r="BI21" t="s">
        <v>12257</v>
      </c>
      <c r="BJ21">
        <v>0.20188999999999999</v>
      </c>
      <c r="BK21">
        <v>1</v>
      </c>
      <c r="BL21" t="s">
        <v>69</v>
      </c>
      <c r="BM21">
        <v>-0.88400000000000001</v>
      </c>
      <c r="BN21">
        <v>-1.752</v>
      </c>
    </row>
    <row r="22" spans="2:66">
      <c r="B22">
        <v>35</v>
      </c>
      <c r="C22">
        <v>87</v>
      </c>
      <c r="D22">
        <v>0</v>
      </c>
      <c r="E22">
        <v>0</v>
      </c>
      <c r="F22">
        <v>2</v>
      </c>
      <c r="J22">
        <v>0</v>
      </c>
      <c r="K22">
        <v>7</v>
      </c>
      <c r="L22">
        <v>1</v>
      </c>
      <c r="M22" t="s">
        <v>25022</v>
      </c>
      <c r="N22">
        <v>1957</v>
      </c>
      <c r="O22" t="s">
        <v>12258</v>
      </c>
      <c r="P22" t="s">
        <v>62</v>
      </c>
      <c r="Q22">
        <v>2054602</v>
      </c>
      <c r="R22">
        <v>2055240</v>
      </c>
      <c r="S22" t="s">
        <v>12259</v>
      </c>
      <c r="T22">
        <v>213</v>
      </c>
      <c r="U22" t="s">
        <v>12260</v>
      </c>
      <c r="V22">
        <v>42</v>
      </c>
      <c r="W22" t="str">
        <f>HYPERLINK("Gene1957-zp_tree_all.dnd", "Gene1957-tree")</f>
        <v>Gene1957-tree</v>
      </c>
      <c r="X22">
        <v>7</v>
      </c>
      <c r="Y22">
        <v>7</v>
      </c>
      <c r="Z22">
        <v>7</v>
      </c>
      <c r="AA22">
        <v>7</v>
      </c>
      <c r="AB22">
        <v>0.5</v>
      </c>
      <c r="AC22" t="s">
        <v>152</v>
      </c>
      <c r="AD22" t="s">
        <v>152</v>
      </c>
      <c r="AE22" t="s">
        <v>62</v>
      </c>
      <c r="AF22" t="s">
        <v>62</v>
      </c>
      <c r="AG22">
        <v>3</v>
      </c>
      <c r="AH22">
        <v>8</v>
      </c>
      <c r="AI22">
        <v>8</v>
      </c>
      <c r="AJ22">
        <v>0.5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2</v>
      </c>
      <c r="AQ22">
        <v>1</v>
      </c>
      <c r="AR22">
        <v>3</v>
      </c>
      <c r="AS22">
        <v>5</v>
      </c>
      <c r="AT22">
        <v>0.375</v>
      </c>
      <c r="AU22">
        <v>13</v>
      </c>
      <c r="AV22">
        <v>8</v>
      </c>
      <c r="AW22">
        <v>36</v>
      </c>
      <c r="AX22">
        <v>8</v>
      </c>
      <c r="AY22">
        <v>33</v>
      </c>
      <c r="AZ22">
        <v>9</v>
      </c>
      <c r="BA22" t="s">
        <v>12261</v>
      </c>
      <c r="BB22" t="s">
        <v>12262</v>
      </c>
      <c r="BC22">
        <v>0.112</v>
      </c>
      <c r="BD22" t="s">
        <v>65</v>
      </c>
      <c r="BE22">
        <v>69</v>
      </c>
      <c r="BF22">
        <v>17</v>
      </c>
      <c r="BG22" t="s">
        <v>12263</v>
      </c>
      <c r="BH22" t="s">
        <v>12264</v>
      </c>
      <c r="BI22" t="s">
        <v>12265</v>
      </c>
      <c r="BJ22">
        <v>8.097E-2</v>
      </c>
      <c r="BK22">
        <v>1</v>
      </c>
      <c r="BL22" t="s">
        <v>69</v>
      </c>
      <c r="BM22">
        <v>-0.443</v>
      </c>
      <c r="BN22">
        <v>-0.432</v>
      </c>
    </row>
    <row r="23" spans="2:66">
      <c r="B23">
        <v>36</v>
      </c>
      <c r="C23">
        <v>166</v>
      </c>
      <c r="D23">
        <v>0</v>
      </c>
      <c r="E23">
        <v>2</v>
      </c>
      <c r="F23">
        <v>2</v>
      </c>
      <c r="J23">
        <v>0</v>
      </c>
      <c r="K23">
        <v>0</v>
      </c>
      <c r="L23">
        <v>0</v>
      </c>
      <c r="M23" t="s">
        <v>25022</v>
      </c>
      <c r="N23">
        <v>1958</v>
      </c>
      <c r="O23" t="s">
        <v>12266</v>
      </c>
      <c r="P23" t="s">
        <v>62</v>
      </c>
      <c r="Q23">
        <v>2055871</v>
      </c>
      <c r="R23">
        <v>2056107</v>
      </c>
      <c r="S23" t="s">
        <v>12267</v>
      </c>
      <c r="T23">
        <v>79</v>
      </c>
      <c r="U23" t="s">
        <v>12268</v>
      </c>
      <c r="V23">
        <v>33</v>
      </c>
      <c r="W23" t="str">
        <f>HYPERLINK("Gene1958-zp_tree_all.dnd", "Gene1958-tree")</f>
        <v>Gene1958-tree</v>
      </c>
      <c r="X23">
        <v>3</v>
      </c>
      <c r="Y23">
        <v>2</v>
      </c>
      <c r="Z23">
        <v>3</v>
      </c>
      <c r="AA23">
        <v>2</v>
      </c>
      <c r="AB23">
        <v>0.4</v>
      </c>
      <c r="AC23" t="s">
        <v>324</v>
      </c>
      <c r="AD23" t="s">
        <v>81</v>
      </c>
      <c r="AE23" t="s">
        <v>62</v>
      </c>
      <c r="AF23" t="s">
        <v>62</v>
      </c>
      <c r="AG23">
        <v>0</v>
      </c>
      <c r="AH23">
        <v>0</v>
      </c>
      <c r="AI23">
        <v>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</v>
      </c>
      <c r="AT23">
        <v>0</v>
      </c>
      <c r="AU23">
        <v>3</v>
      </c>
      <c r="AV23">
        <v>1</v>
      </c>
      <c r="AW23">
        <v>7</v>
      </c>
      <c r="AX23">
        <v>3</v>
      </c>
      <c r="AY23">
        <v>1</v>
      </c>
      <c r="AZ23">
        <v>0</v>
      </c>
      <c r="BA23" t="s">
        <v>12269</v>
      </c>
      <c r="BB23" t="s">
        <v>193</v>
      </c>
      <c r="BC23">
        <v>1.18</v>
      </c>
      <c r="BD23" t="s">
        <v>65</v>
      </c>
      <c r="BE23">
        <v>8</v>
      </c>
      <c r="BF23">
        <v>3</v>
      </c>
      <c r="BG23" t="s">
        <v>12270</v>
      </c>
      <c r="BH23" t="s">
        <v>12271</v>
      </c>
      <c r="BI23" t="s">
        <v>12272</v>
      </c>
      <c r="BJ23">
        <v>8.8279999999999997E-2</v>
      </c>
      <c r="BK23">
        <v>1</v>
      </c>
      <c r="BL23" t="s">
        <v>69</v>
      </c>
      <c r="BM23">
        <v>-0.89700000000000002</v>
      </c>
      <c r="BN23">
        <v>-1.1359999999999999</v>
      </c>
    </row>
    <row r="24" spans="2:66">
      <c r="B24">
        <v>38</v>
      </c>
      <c r="C24">
        <v>504</v>
      </c>
      <c r="D24">
        <v>0</v>
      </c>
      <c r="E24">
        <v>7</v>
      </c>
      <c r="F24">
        <v>0</v>
      </c>
      <c r="J24">
        <v>0</v>
      </c>
      <c r="K24">
        <v>4</v>
      </c>
      <c r="L24">
        <v>2</v>
      </c>
      <c r="M24" t="s">
        <v>25022</v>
      </c>
      <c r="N24">
        <v>1960</v>
      </c>
      <c r="O24" t="s">
        <v>12281</v>
      </c>
      <c r="P24" t="s">
        <v>62</v>
      </c>
      <c r="Q24">
        <v>2056653</v>
      </c>
      <c r="R24">
        <v>2057006</v>
      </c>
      <c r="S24" t="s">
        <v>12282</v>
      </c>
      <c r="T24">
        <v>118</v>
      </c>
      <c r="U24" t="s">
        <v>12283</v>
      </c>
      <c r="V24">
        <v>27</v>
      </c>
      <c r="W24" t="str">
        <f>HYPERLINK("Gene1960-zp_tree_all.dnd", "Gene1960-tree")</f>
        <v>Gene1960-tree</v>
      </c>
      <c r="X24">
        <v>2</v>
      </c>
      <c r="Y24">
        <v>4</v>
      </c>
      <c r="Z24">
        <v>2</v>
      </c>
      <c r="AA24">
        <v>4</v>
      </c>
      <c r="AB24">
        <v>0.66666999999999998</v>
      </c>
      <c r="AC24" t="s">
        <v>81</v>
      </c>
      <c r="AD24" t="s">
        <v>61</v>
      </c>
      <c r="AE24" t="s">
        <v>62</v>
      </c>
      <c r="AF24" t="s">
        <v>62</v>
      </c>
      <c r="AG24">
        <v>3</v>
      </c>
      <c r="AH24">
        <v>6</v>
      </c>
      <c r="AI24">
        <v>14</v>
      </c>
      <c r="AJ24">
        <v>0.3</v>
      </c>
      <c r="AK24">
        <v>0</v>
      </c>
      <c r="AL24">
        <v>0</v>
      </c>
      <c r="AM24">
        <v>0</v>
      </c>
      <c r="AN24">
        <v>3</v>
      </c>
      <c r="AO24">
        <v>0</v>
      </c>
      <c r="AP24">
        <v>2</v>
      </c>
      <c r="AQ24">
        <v>0</v>
      </c>
      <c r="AR24">
        <v>2</v>
      </c>
      <c r="AS24">
        <v>10</v>
      </c>
      <c r="AT24">
        <v>0.16667000000000001</v>
      </c>
      <c r="AU24">
        <v>4</v>
      </c>
      <c r="AV24">
        <v>3</v>
      </c>
      <c r="AW24">
        <v>5</v>
      </c>
      <c r="AX24">
        <v>13</v>
      </c>
      <c r="AY24">
        <v>4</v>
      </c>
      <c r="AZ24">
        <v>8</v>
      </c>
      <c r="BA24" t="s">
        <v>12284</v>
      </c>
      <c r="BB24" t="s">
        <v>12285</v>
      </c>
      <c r="BC24">
        <v>0.23499999999999999</v>
      </c>
      <c r="BD24" t="s">
        <v>65</v>
      </c>
      <c r="BE24">
        <v>9</v>
      </c>
      <c r="BF24">
        <v>21</v>
      </c>
      <c r="BG24" t="s">
        <v>12286</v>
      </c>
      <c r="BH24" t="s">
        <v>12287</v>
      </c>
      <c r="BI24" t="s">
        <v>12288</v>
      </c>
      <c r="BJ24">
        <v>0.68723000000000001</v>
      </c>
      <c r="BK24">
        <v>0.5</v>
      </c>
      <c r="BL24" t="s">
        <v>635</v>
      </c>
      <c r="BM24">
        <v>-1.3049999999999999</v>
      </c>
      <c r="BN24">
        <v>0.72</v>
      </c>
    </row>
    <row r="25" spans="2:66">
      <c r="B25">
        <v>40</v>
      </c>
      <c r="C25">
        <v>322</v>
      </c>
      <c r="D25">
        <v>0</v>
      </c>
      <c r="E25">
        <v>2</v>
      </c>
      <c r="F25">
        <v>3</v>
      </c>
      <c r="J25">
        <v>0</v>
      </c>
      <c r="K25">
        <v>4</v>
      </c>
      <c r="L25">
        <v>0</v>
      </c>
      <c r="M25" t="s">
        <v>25022</v>
      </c>
      <c r="N25">
        <v>1978</v>
      </c>
      <c r="O25" t="s">
        <v>12311</v>
      </c>
      <c r="P25" t="s">
        <v>62</v>
      </c>
      <c r="Q25">
        <v>2071289</v>
      </c>
      <c r="R25">
        <v>2071744</v>
      </c>
      <c r="S25" t="s">
        <v>12312</v>
      </c>
      <c r="T25">
        <v>152</v>
      </c>
      <c r="U25" t="s">
        <v>12313</v>
      </c>
      <c r="V25">
        <v>38</v>
      </c>
      <c r="W25" t="str">
        <f>HYPERLINK("Gene1978-zp_tree_all.dnd", "Gene1978-tree")</f>
        <v>Gene1978-tree</v>
      </c>
      <c r="X25">
        <v>2</v>
      </c>
      <c r="Y25">
        <v>4</v>
      </c>
      <c r="Z25">
        <v>2</v>
      </c>
      <c r="AA25">
        <v>4</v>
      </c>
      <c r="AB25">
        <v>0.66666999999999998</v>
      </c>
      <c r="AC25" t="s">
        <v>81</v>
      </c>
      <c r="AD25" t="s">
        <v>61</v>
      </c>
      <c r="AE25" t="s">
        <v>62</v>
      </c>
      <c r="AF25" t="s">
        <v>62</v>
      </c>
      <c r="AG25">
        <v>2</v>
      </c>
      <c r="AH25">
        <v>4</v>
      </c>
      <c r="AI25">
        <v>9</v>
      </c>
      <c r="AJ25">
        <v>0.30769000000000002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2</v>
      </c>
      <c r="AQ25">
        <v>0</v>
      </c>
      <c r="AR25">
        <v>2</v>
      </c>
      <c r="AS25">
        <v>10</v>
      </c>
      <c r="AT25">
        <v>0.16667000000000001</v>
      </c>
      <c r="AU25">
        <v>5</v>
      </c>
      <c r="AV25">
        <v>3</v>
      </c>
      <c r="AW25">
        <v>15</v>
      </c>
      <c r="AX25">
        <v>12</v>
      </c>
      <c r="AY25">
        <v>6</v>
      </c>
      <c r="AZ25">
        <v>1</v>
      </c>
      <c r="BA25" t="s">
        <v>12314</v>
      </c>
      <c r="BB25" t="s">
        <v>12315</v>
      </c>
      <c r="BC25">
        <v>1.2210000000000001</v>
      </c>
      <c r="BD25" t="s">
        <v>65</v>
      </c>
      <c r="BE25">
        <v>21</v>
      </c>
      <c r="BF25">
        <v>13</v>
      </c>
      <c r="BG25" t="s">
        <v>12316</v>
      </c>
      <c r="BH25" t="s">
        <v>12317</v>
      </c>
      <c r="BI25" t="s">
        <v>12318</v>
      </c>
      <c r="BJ25">
        <v>0.12551000000000001</v>
      </c>
      <c r="BK25">
        <v>1</v>
      </c>
      <c r="BL25" t="s">
        <v>69</v>
      </c>
      <c r="BM25">
        <v>-0.754</v>
      </c>
      <c r="BN25">
        <v>-1.373</v>
      </c>
    </row>
    <row r="26" spans="2:66">
      <c r="B26">
        <v>41</v>
      </c>
      <c r="C26">
        <v>135</v>
      </c>
      <c r="D26">
        <v>0</v>
      </c>
      <c r="E26">
        <v>0</v>
      </c>
      <c r="F26">
        <v>3</v>
      </c>
      <c r="J26">
        <v>0</v>
      </c>
      <c r="K26">
        <v>0</v>
      </c>
      <c r="L26">
        <v>0</v>
      </c>
      <c r="M26" t="s">
        <v>25022</v>
      </c>
      <c r="N26">
        <v>1979</v>
      </c>
      <c r="O26" t="s">
        <v>12319</v>
      </c>
      <c r="P26" t="s">
        <v>62</v>
      </c>
      <c r="Q26">
        <v>2071757</v>
      </c>
      <c r="R26">
        <v>2073556</v>
      </c>
      <c r="S26" t="s">
        <v>12320</v>
      </c>
      <c r="T26">
        <v>600</v>
      </c>
      <c r="U26" t="s">
        <v>12321</v>
      </c>
      <c r="V26">
        <v>29</v>
      </c>
      <c r="W26" t="str">
        <f>HYPERLINK("Gene1979-zp_tree_all.dnd", "Gene1979-tree")</f>
        <v>Gene1979-tree</v>
      </c>
      <c r="X26">
        <v>0</v>
      </c>
      <c r="Y26">
        <v>4</v>
      </c>
      <c r="Z26">
        <v>0</v>
      </c>
      <c r="AA26">
        <v>4</v>
      </c>
      <c r="AB26">
        <v>1</v>
      </c>
      <c r="AC26" t="s">
        <v>62</v>
      </c>
      <c r="AD26" t="s">
        <v>61</v>
      </c>
      <c r="AE26" t="s">
        <v>62</v>
      </c>
      <c r="AF26" t="s">
        <v>62</v>
      </c>
      <c r="AG26">
        <v>0</v>
      </c>
      <c r="AH26">
        <v>0</v>
      </c>
      <c r="AI26">
        <v>27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24</v>
      </c>
      <c r="AT26">
        <v>0</v>
      </c>
      <c r="AU26">
        <v>4</v>
      </c>
      <c r="AV26">
        <v>1</v>
      </c>
      <c r="AW26">
        <v>82</v>
      </c>
      <c r="AX26">
        <v>27</v>
      </c>
      <c r="AY26">
        <v>9</v>
      </c>
      <c r="AZ26">
        <v>3</v>
      </c>
      <c r="BA26" t="s">
        <v>12322</v>
      </c>
      <c r="BB26" t="s">
        <v>12323</v>
      </c>
      <c r="BC26">
        <v>0.13</v>
      </c>
      <c r="BD26" t="s">
        <v>65</v>
      </c>
      <c r="BE26">
        <v>91</v>
      </c>
      <c r="BF26">
        <v>30</v>
      </c>
      <c r="BG26" t="s">
        <v>12324</v>
      </c>
      <c r="BH26" t="s">
        <v>12325</v>
      </c>
      <c r="BI26" t="s">
        <v>12326</v>
      </c>
      <c r="BJ26">
        <v>8.4760000000000002E-2</v>
      </c>
      <c r="BK26">
        <v>1</v>
      </c>
      <c r="BL26" t="s">
        <v>69</v>
      </c>
      <c r="BM26">
        <v>0.88100000000000001</v>
      </c>
      <c r="BN26">
        <v>0.27300000000000002</v>
      </c>
    </row>
    <row r="27" spans="2:66">
      <c r="B27">
        <v>42</v>
      </c>
      <c r="C27">
        <v>260</v>
      </c>
      <c r="D27">
        <v>0</v>
      </c>
      <c r="E27">
        <v>5</v>
      </c>
      <c r="F27">
        <v>0</v>
      </c>
      <c r="J27">
        <v>0</v>
      </c>
      <c r="K27">
        <v>8</v>
      </c>
      <c r="L27">
        <v>1</v>
      </c>
      <c r="M27" t="s">
        <v>25022</v>
      </c>
      <c r="N27">
        <v>1980</v>
      </c>
      <c r="O27" t="s">
        <v>12327</v>
      </c>
      <c r="P27" t="s">
        <v>62</v>
      </c>
      <c r="Q27">
        <v>2073661</v>
      </c>
      <c r="R27">
        <v>2074215</v>
      </c>
      <c r="S27" t="s">
        <v>12267</v>
      </c>
      <c r="T27">
        <v>185</v>
      </c>
      <c r="U27" t="s">
        <v>12328</v>
      </c>
      <c r="V27">
        <v>39</v>
      </c>
      <c r="W27" t="str">
        <f>HYPERLINK("Gene1980-zp_tree_all.dnd", "Gene1980-tree")</f>
        <v>Gene1980-tree</v>
      </c>
      <c r="X27">
        <v>0</v>
      </c>
      <c r="Y27">
        <v>7</v>
      </c>
      <c r="Z27">
        <v>0</v>
      </c>
      <c r="AA27">
        <v>7</v>
      </c>
      <c r="AB27">
        <v>1</v>
      </c>
      <c r="AC27" t="s">
        <v>62</v>
      </c>
      <c r="AD27" t="s">
        <v>152</v>
      </c>
      <c r="AE27" t="s">
        <v>62</v>
      </c>
      <c r="AF27" t="s">
        <v>62</v>
      </c>
      <c r="AG27">
        <v>4</v>
      </c>
      <c r="AH27">
        <v>9</v>
      </c>
      <c r="AI27">
        <v>8</v>
      </c>
      <c r="AJ27">
        <v>0.52941000000000005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6</v>
      </c>
      <c r="AQ27">
        <v>1</v>
      </c>
      <c r="AR27">
        <v>7</v>
      </c>
      <c r="AS27">
        <v>6</v>
      </c>
      <c r="AT27">
        <v>0.53846000000000005</v>
      </c>
      <c r="AU27">
        <v>5</v>
      </c>
      <c r="AV27">
        <v>3</v>
      </c>
      <c r="AW27">
        <v>7</v>
      </c>
      <c r="AX27">
        <v>9</v>
      </c>
      <c r="AY27">
        <v>14</v>
      </c>
      <c r="AZ27">
        <v>8</v>
      </c>
      <c r="BA27" t="s">
        <v>12329</v>
      </c>
      <c r="BB27" t="s">
        <v>12330</v>
      </c>
      <c r="BC27">
        <v>1.026</v>
      </c>
      <c r="BD27" t="s">
        <v>65</v>
      </c>
      <c r="BE27">
        <v>21</v>
      </c>
      <c r="BF27">
        <v>17</v>
      </c>
      <c r="BG27" t="s">
        <v>12331</v>
      </c>
      <c r="BH27" t="s">
        <v>12332</v>
      </c>
      <c r="BI27" t="s">
        <v>12333</v>
      </c>
      <c r="BJ27">
        <v>0.16857</v>
      </c>
      <c r="BK27">
        <v>1</v>
      </c>
      <c r="BL27" t="s">
        <v>69</v>
      </c>
      <c r="BM27">
        <v>1.379</v>
      </c>
      <c r="BN27">
        <v>-0.113</v>
      </c>
    </row>
    <row r="28" spans="2:66">
      <c r="B28">
        <v>43</v>
      </c>
      <c r="C28">
        <v>24</v>
      </c>
      <c r="D28">
        <v>0</v>
      </c>
      <c r="E28">
        <v>2</v>
      </c>
      <c r="F28">
        <v>0</v>
      </c>
      <c r="J28">
        <v>2</v>
      </c>
      <c r="K28">
        <v>6</v>
      </c>
      <c r="L28">
        <v>0</v>
      </c>
      <c r="M28" t="s">
        <v>25022</v>
      </c>
      <c r="N28">
        <v>1983</v>
      </c>
      <c r="O28" t="s">
        <v>12349</v>
      </c>
      <c r="P28" t="s">
        <v>62</v>
      </c>
      <c r="Q28">
        <v>2079217</v>
      </c>
      <c r="R28">
        <v>2079546</v>
      </c>
      <c r="S28" t="s">
        <v>12350</v>
      </c>
      <c r="T28">
        <v>110</v>
      </c>
      <c r="U28" t="s">
        <v>108</v>
      </c>
      <c r="V28">
        <v>44</v>
      </c>
      <c r="W28" t="str">
        <f>HYPERLINK("Gene1983-zp_tree_all.dnd", "Gene1983-tree")</f>
        <v>Gene1983-tree</v>
      </c>
      <c r="X28">
        <v>5</v>
      </c>
      <c r="Y28">
        <v>8</v>
      </c>
      <c r="Z28">
        <v>5</v>
      </c>
      <c r="AA28">
        <v>8</v>
      </c>
      <c r="AB28">
        <v>0.61538000000000004</v>
      </c>
      <c r="AC28" t="s">
        <v>199</v>
      </c>
      <c r="AD28" t="s">
        <v>136</v>
      </c>
      <c r="AE28" t="s">
        <v>62</v>
      </c>
      <c r="AF28" t="s">
        <v>62</v>
      </c>
      <c r="AG28">
        <v>3</v>
      </c>
      <c r="AH28">
        <v>8</v>
      </c>
      <c r="AI28">
        <v>7</v>
      </c>
      <c r="AJ28">
        <v>0.53332999999999997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</v>
      </c>
      <c r="AQ28">
        <v>0</v>
      </c>
      <c r="AR28">
        <v>2</v>
      </c>
      <c r="AS28">
        <v>7</v>
      </c>
      <c r="AT28">
        <v>0.22222</v>
      </c>
      <c r="AU28">
        <v>11</v>
      </c>
      <c r="AV28">
        <v>8</v>
      </c>
      <c r="AW28">
        <v>21</v>
      </c>
      <c r="AX28">
        <v>9</v>
      </c>
      <c r="AY28">
        <v>13</v>
      </c>
      <c r="AZ28">
        <v>6</v>
      </c>
      <c r="BA28" t="s">
        <v>12351</v>
      </c>
      <c r="BB28" t="s">
        <v>12352</v>
      </c>
      <c r="BC28">
        <v>0.10199999999999999</v>
      </c>
      <c r="BD28" t="s">
        <v>65</v>
      </c>
      <c r="BE28">
        <v>34</v>
      </c>
      <c r="BF28">
        <v>15</v>
      </c>
      <c r="BG28" t="s">
        <v>12353</v>
      </c>
      <c r="BH28" t="s">
        <v>12354</v>
      </c>
      <c r="BI28" t="s">
        <v>12355</v>
      </c>
      <c r="BJ28">
        <v>0.14194000000000001</v>
      </c>
      <c r="BK28">
        <v>1</v>
      </c>
      <c r="BL28" t="s">
        <v>69</v>
      </c>
      <c r="BM28">
        <v>-1.1539999999999999</v>
      </c>
      <c r="BN28">
        <v>-0.99399999999999999</v>
      </c>
    </row>
    <row r="29" spans="2:66">
      <c r="B29">
        <v>50</v>
      </c>
      <c r="C29">
        <v>186</v>
      </c>
      <c r="D29">
        <v>0</v>
      </c>
      <c r="E29">
        <v>2</v>
      </c>
      <c r="F29">
        <v>4</v>
      </c>
      <c r="J29">
        <v>0</v>
      </c>
      <c r="K29">
        <v>9</v>
      </c>
      <c r="L29">
        <v>0</v>
      </c>
      <c r="M29" t="s">
        <v>25022</v>
      </c>
      <c r="N29">
        <v>1984</v>
      </c>
      <c r="O29" t="s">
        <v>12356</v>
      </c>
      <c r="P29" t="s">
        <v>62</v>
      </c>
      <c r="Q29">
        <v>2079614</v>
      </c>
      <c r="R29">
        <v>2080336</v>
      </c>
      <c r="S29" t="s">
        <v>1572</v>
      </c>
      <c r="T29">
        <v>241</v>
      </c>
      <c r="U29" t="s">
        <v>108</v>
      </c>
      <c r="V29">
        <v>44</v>
      </c>
      <c r="W29" t="str">
        <f>HYPERLINK("Gene1984-zp_tree_all.dnd", "Gene1984-tree")</f>
        <v>Gene1984-tree</v>
      </c>
      <c r="X29">
        <v>5</v>
      </c>
      <c r="Y29">
        <v>8</v>
      </c>
      <c r="Z29">
        <v>5</v>
      </c>
      <c r="AA29">
        <v>8</v>
      </c>
      <c r="AB29">
        <v>0.61538000000000004</v>
      </c>
      <c r="AC29" t="s">
        <v>199</v>
      </c>
      <c r="AD29" t="s">
        <v>136</v>
      </c>
      <c r="AE29" t="s">
        <v>62</v>
      </c>
      <c r="AF29" t="s">
        <v>62</v>
      </c>
      <c r="AG29">
        <v>4</v>
      </c>
      <c r="AH29">
        <v>9</v>
      </c>
      <c r="AI29">
        <v>12</v>
      </c>
      <c r="AJ29">
        <v>0.42857000000000001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6</v>
      </c>
      <c r="AQ29">
        <v>0</v>
      </c>
      <c r="AR29">
        <v>6</v>
      </c>
      <c r="AS29">
        <v>10</v>
      </c>
      <c r="AT29">
        <v>0.375</v>
      </c>
      <c r="AU29">
        <v>11</v>
      </c>
      <c r="AV29">
        <v>9</v>
      </c>
      <c r="AW29">
        <v>20</v>
      </c>
      <c r="AX29">
        <v>14</v>
      </c>
      <c r="AY29">
        <v>17</v>
      </c>
      <c r="AZ29">
        <v>7</v>
      </c>
      <c r="BA29" t="s">
        <v>12357</v>
      </c>
      <c r="BB29" t="s">
        <v>12358</v>
      </c>
      <c r="BC29">
        <v>0.78900000000000003</v>
      </c>
      <c r="BD29" t="s">
        <v>65</v>
      </c>
      <c r="BE29">
        <v>37</v>
      </c>
      <c r="BF29">
        <v>21</v>
      </c>
      <c r="BG29" t="s">
        <v>12359</v>
      </c>
      <c r="BH29" t="s">
        <v>12360</v>
      </c>
      <c r="BI29" t="s">
        <v>12361</v>
      </c>
      <c r="BJ29">
        <v>0.16744000000000001</v>
      </c>
      <c r="BK29">
        <v>1</v>
      </c>
      <c r="BL29" t="s">
        <v>69</v>
      </c>
      <c r="BM29">
        <v>0.36399999999999999</v>
      </c>
      <c r="BN29">
        <v>-2.3E-2</v>
      </c>
    </row>
    <row r="30" spans="2:66">
      <c r="B30">
        <v>51</v>
      </c>
      <c r="C30">
        <v>206</v>
      </c>
      <c r="D30">
        <v>0</v>
      </c>
      <c r="E30">
        <v>2</v>
      </c>
      <c r="F30">
        <v>0</v>
      </c>
      <c r="J30">
        <v>0</v>
      </c>
      <c r="K30">
        <v>5</v>
      </c>
      <c r="L30">
        <v>0</v>
      </c>
      <c r="M30" t="s">
        <v>25022</v>
      </c>
      <c r="N30">
        <v>1985</v>
      </c>
      <c r="O30" t="s">
        <v>12362</v>
      </c>
      <c r="P30" t="s">
        <v>62</v>
      </c>
      <c r="Q30">
        <v>2080354</v>
      </c>
      <c r="R30">
        <v>2081094</v>
      </c>
      <c r="S30" t="s">
        <v>3537</v>
      </c>
      <c r="T30">
        <v>247</v>
      </c>
      <c r="U30" t="s">
        <v>1196</v>
      </c>
      <c r="V30">
        <v>39</v>
      </c>
      <c r="W30" t="str">
        <f>HYPERLINK("Gene1985-zp_tree_all.dnd", "Gene1985-tree")</f>
        <v>Gene1985-tree</v>
      </c>
      <c r="X30">
        <v>2</v>
      </c>
      <c r="Y30">
        <v>8</v>
      </c>
      <c r="Z30">
        <v>2</v>
      </c>
      <c r="AA30">
        <v>8</v>
      </c>
      <c r="AB30">
        <v>0.8</v>
      </c>
      <c r="AC30" t="s">
        <v>81</v>
      </c>
      <c r="AD30" t="s">
        <v>136</v>
      </c>
      <c r="AE30" t="s">
        <v>62</v>
      </c>
      <c r="AF30" t="s">
        <v>62</v>
      </c>
      <c r="AG30">
        <v>2</v>
      </c>
      <c r="AH30">
        <v>5</v>
      </c>
      <c r="AI30">
        <v>14</v>
      </c>
      <c r="AJ30">
        <v>0.26316000000000001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5</v>
      </c>
      <c r="AQ30">
        <v>0</v>
      </c>
      <c r="AR30">
        <v>5</v>
      </c>
      <c r="AS30">
        <v>12</v>
      </c>
      <c r="AT30">
        <v>0.29411999999999999</v>
      </c>
      <c r="AU30">
        <v>9</v>
      </c>
      <c r="AV30">
        <v>6</v>
      </c>
      <c r="AW30">
        <v>14</v>
      </c>
      <c r="AX30">
        <v>17</v>
      </c>
      <c r="AY30">
        <v>8</v>
      </c>
      <c r="AZ30">
        <v>2</v>
      </c>
      <c r="BA30" t="s">
        <v>12363</v>
      </c>
      <c r="BB30" t="s">
        <v>12364</v>
      </c>
      <c r="BC30">
        <v>2.262</v>
      </c>
      <c r="BD30" t="s">
        <v>267</v>
      </c>
      <c r="BE30">
        <v>22</v>
      </c>
      <c r="BF30">
        <v>19</v>
      </c>
      <c r="BG30" t="s">
        <v>12365</v>
      </c>
      <c r="BH30" t="s">
        <v>12366</v>
      </c>
      <c r="BI30" t="s">
        <v>12367</v>
      </c>
      <c r="BJ30">
        <v>0.19461999999999999</v>
      </c>
      <c r="BK30">
        <v>1</v>
      </c>
      <c r="BL30" t="s">
        <v>69</v>
      </c>
      <c r="BM30">
        <v>-0.28399999999999997</v>
      </c>
      <c r="BN30">
        <v>-0.38400000000000001</v>
      </c>
    </row>
    <row r="31" spans="2:66">
      <c r="B31">
        <v>52</v>
      </c>
      <c r="C31">
        <v>167</v>
      </c>
      <c r="D31">
        <v>0</v>
      </c>
      <c r="E31">
        <v>2</v>
      </c>
      <c r="F31">
        <v>2</v>
      </c>
      <c r="J31">
        <v>0</v>
      </c>
      <c r="K31">
        <v>0</v>
      </c>
      <c r="L31">
        <v>2</v>
      </c>
      <c r="M31" t="s">
        <v>25022</v>
      </c>
      <c r="N31">
        <v>1986</v>
      </c>
      <c r="O31" t="s">
        <v>12368</v>
      </c>
      <c r="P31" t="s">
        <v>62</v>
      </c>
      <c r="Q31">
        <v>2081175</v>
      </c>
      <c r="R31">
        <v>2081747</v>
      </c>
      <c r="S31" t="s">
        <v>637</v>
      </c>
      <c r="T31">
        <v>191</v>
      </c>
      <c r="U31" t="s">
        <v>1196</v>
      </c>
      <c r="V31">
        <v>39</v>
      </c>
      <c r="W31" t="str">
        <f>HYPERLINK("Gene1986-zp_tree_all.dnd", "Gene1986-tree")</f>
        <v>Gene1986-tree</v>
      </c>
      <c r="X31">
        <v>4</v>
      </c>
      <c r="Y31">
        <v>7</v>
      </c>
      <c r="Z31">
        <v>4</v>
      </c>
      <c r="AA31">
        <v>7</v>
      </c>
      <c r="AB31">
        <v>0.63636000000000004</v>
      </c>
      <c r="AC31" t="s">
        <v>61</v>
      </c>
      <c r="AD31" t="s">
        <v>152</v>
      </c>
      <c r="AE31" t="s">
        <v>62</v>
      </c>
      <c r="AF31" t="s">
        <v>62</v>
      </c>
      <c r="AG31">
        <v>1</v>
      </c>
      <c r="AH31">
        <v>2</v>
      </c>
      <c r="AI31">
        <v>14</v>
      </c>
      <c r="AJ31">
        <v>0.125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15</v>
      </c>
      <c r="AT31">
        <v>0</v>
      </c>
      <c r="AU31">
        <v>9</v>
      </c>
      <c r="AV31">
        <v>7</v>
      </c>
      <c r="AW31">
        <v>14</v>
      </c>
      <c r="AX31">
        <v>8</v>
      </c>
      <c r="AY31">
        <v>17</v>
      </c>
      <c r="AZ31">
        <v>8</v>
      </c>
      <c r="BA31" t="s">
        <v>12369</v>
      </c>
      <c r="BB31" t="s">
        <v>12370</v>
      </c>
      <c r="BC31">
        <v>0.115</v>
      </c>
      <c r="BD31" t="s">
        <v>65</v>
      </c>
      <c r="BE31">
        <v>31</v>
      </c>
      <c r="BF31">
        <v>16</v>
      </c>
      <c r="BG31" t="s">
        <v>12371</v>
      </c>
      <c r="BH31" t="s">
        <v>12372</v>
      </c>
      <c r="BI31" t="s">
        <v>12373</v>
      </c>
      <c r="BJ31">
        <v>0.15013000000000001</v>
      </c>
      <c r="BK31">
        <v>1</v>
      </c>
      <c r="BL31" t="s">
        <v>69</v>
      </c>
      <c r="BM31">
        <v>-0.44900000000000001</v>
      </c>
      <c r="BN31">
        <v>0.13600000000000001</v>
      </c>
    </row>
    <row r="32" spans="2:66">
      <c r="B32">
        <v>53</v>
      </c>
      <c r="C32">
        <v>160</v>
      </c>
      <c r="D32">
        <v>0</v>
      </c>
      <c r="E32">
        <v>2</v>
      </c>
      <c r="F32">
        <v>0</v>
      </c>
      <c r="J32">
        <v>0</v>
      </c>
      <c r="K32">
        <v>7</v>
      </c>
      <c r="L32">
        <v>0</v>
      </c>
      <c r="M32" t="s">
        <v>25022</v>
      </c>
      <c r="N32">
        <v>1987</v>
      </c>
      <c r="O32" t="s">
        <v>12374</v>
      </c>
      <c r="P32" t="s">
        <v>62</v>
      </c>
      <c r="Q32">
        <v>2081756</v>
      </c>
      <c r="R32">
        <v>2082454</v>
      </c>
      <c r="S32" t="s">
        <v>3354</v>
      </c>
      <c r="T32">
        <v>233</v>
      </c>
      <c r="U32" t="s">
        <v>1196</v>
      </c>
      <c r="V32">
        <v>39</v>
      </c>
      <c r="W32" t="str">
        <f>HYPERLINK("Gene1987-zp_tree_all.dnd", "Gene1987-tree")</f>
        <v>Gene1987-tree</v>
      </c>
      <c r="X32">
        <v>5</v>
      </c>
      <c r="Y32">
        <v>6</v>
      </c>
      <c r="Z32">
        <v>5</v>
      </c>
      <c r="AA32">
        <v>6</v>
      </c>
      <c r="AB32">
        <v>0.54544999999999999</v>
      </c>
      <c r="AC32" t="s">
        <v>199</v>
      </c>
      <c r="AD32" t="s">
        <v>90</v>
      </c>
      <c r="AE32" t="s">
        <v>62</v>
      </c>
      <c r="AF32" t="s">
        <v>62</v>
      </c>
      <c r="AG32">
        <v>3</v>
      </c>
      <c r="AH32">
        <v>7</v>
      </c>
      <c r="AI32">
        <v>6</v>
      </c>
      <c r="AJ32">
        <v>0.53846000000000005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4</v>
      </c>
      <c r="AQ32">
        <v>0</v>
      </c>
      <c r="AR32">
        <v>4</v>
      </c>
      <c r="AS32">
        <v>7</v>
      </c>
      <c r="AT32">
        <v>0.36364000000000002</v>
      </c>
      <c r="AU32">
        <v>9</v>
      </c>
      <c r="AV32">
        <v>6</v>
      </c>
      <c r="AW32">
        <v>12</v>
      </c>
      <c r="AX32">
        <v>11</v>
      </c>
      <c r="AY32">
        <v>9</v>
      </c>
      <c r="AZ32">
        <v>3</v>
      </c>
      <c r="BA32" t="s">
        <v>12375</v>
      </c>
      <c r="BB32" t="s">
        <v>12376</v>
      </c>
      <c r="BC32">
        <v>1.2110000000000001</v>
      </c>
      <c r="BD32" t="s">
        <v>65</v>
      </c>
      <c r="BE32">
        <v>21</v>
      </c>
      <c r="BF32">
        <v>14</v>
      </c>
      <c r="BG32" t="s">
        <v>12377</v>
      </c>
      <c r="BH32" t="s">
        <v>12378</v>
      </c>
      <c r="BI32" t="s">
        <v>12379</v>
      </c>
      <c r="BJ32">
        <v>0.16087000000000001</v>
      </c>
      <c r="BK32">
        <v>1</v>
      </c>
      <c r="BL32" t="s">
        <v>69</v>
      </c>
      <c r="BM32">
        <v>-0.57499999999999996</v>
      </c>
      <c r="BN32">
        <v>-0.92200000000000004</v>
      </c>
    </row>
    <row r="33" spans="2:66">
      <c r="B33">
        <v>54</v>
      </c>
      <c r="C33">
        <v>71</v>
      </c>
      <c r="D33">
        <v>0</v>
      </c>
      <c r="E33">
        <v>0</v>
      </c>
      <c r="F33">
        <v>2</v>
      </c>
      <c r="J33">
        <v>0</v>
      </c>
      <c r="K33">
        <v>0</v>
      </c>
      <c r="L33">
        <v>0</v>
      </c>
      <c r="M33" t="s">
        <v>25022</v>
      </c>
      <c r="N33">
        <v>1988</v>
      </c>
      <c r="O33" t="s">
        <v>12380</v>
      </c>
      <c r="P33" t="s">
        <v>62</v>
      </c>
      <c r="Q33">
        <v>2082534</v>
      </c>
      <c r="R33">
        <v>2083013</v>
      </c>
      <c r="S33" t="s">
        <v>12381</v>
      </c>
      <c r="T33">
        <v>160</v>
      </c>
      <c r="U33" t="s">
        <v>1392</v>
      </c>
      <c r="V33">
        <v>43</v>
      </c>
      <c r="W33" t="str">
        <f>HYPERLINK("Gene1988-zp_tree_all.dnd", "Gene1988-tree")</f>
        <v>Gene1988-tree</v>
      </c>
      <c r="X33">
        <v>6</v>
      </c>
      <c r="Y33">
        <v>3</v>
      </c>
      <c r="Z33">
        <v>6</v>
      </c>
      <c r="AA33">
        <v>3</v>
      </c>
      <c r="AB33">
        <v>0.33333000000000002</v>
      </c>
      <c r="AC33" t="s">
        <v>90</v>
      </c>
      <c r="AD33" t="s">
        <v>324</v>
      </c>
      <c r="AE33" t="s">
        <v>62</v>
      </c>
      <c r="AF33" t="s">
        <v>62</v>
      </c>
      <c r="AG33">
        <v>0</v>
      </c>
      <c r="AH33">
        <v>0</v>
      </c>
      <c r="AI33">
        <v>13</v>
      </c>
      <c r="AJ33">
        <v>0</v>
      </c>
      <c r="AK33">
        <v>0</v>
      </c>
      <c r="AL33">
        <v>0</v>
      </c>
      <c r="AM33">
        <v>0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10</v>
      </c>
      <c r="AT33">
        <v>0</v>
      </c>
      <c r="AU33">
        <v>6</v>
      </c>
      <c r="AV33">
        <v>4</v>
      </c>
      <c r="AW33">
        <v>8</v>
      </c>
      <c r="AX33">
        <v>12</v>
      </c>
      <c r="AY33">
        <v>12</v>
      </c>
      <c r="AZ33">
        <v>3</v>
      </c>
      <c r="BA33" t="s">
        <v>12382</v>
      </c>
      <c r="BB33" t="s">
        <v>12383</v>
      </c>
      <c r="BC33">
        <v>0.86399999999999999</v>
      </c>
      <c r="BD33" t="s">
        <v>65</v>
      </c>
      <c r="BE33">
        <v>20</v>
      </c>
      <c r="BF33">
        <v>15</v>
      </c>
      <c r="BG33" t="s">
        <v>12384</v>
      </c>
      <c r="BH33" t="s">
        <v>12385</v>
      </c>
      <c r="BI33" t="s">
        <v>12386</v>
      </c>
      <c r="BJ33">
        <v>0.17397000000000001</v>
      </c>
      <c r="BK33">
        <v>1</v>
      </c>
      <c r="BL33" t="s">
        <v>69</v>
      </c>
      <c r="BM33">
        <v>-0.153</v>
      </c>
      <c r="BN33">
        <v>-0.34300000000000003</v>
      </c>
    </row>
    <row r="34" spans="2:66">
      <c r="B34">
        <v>55</v>
      </c>
      <c r="C34">
        <v>1127</v>
      </c>
      <c r="D34">
        <v>0</v>
      </c>
      <c r="E34">
        <v>11</v>
      </c>
      <c r="F34">
        <v>0</v>
      </c>
      <c r="J34">
        <v>0</v>
      </c>
      <c r="K34">
        <v>14</v>
      </c>
      <c r="L34">
        <v>0</v>
      </c>
      <c r="M34" t="s">
        <v>25022</v>
      </c>
      <c r="N34">
        <v>1989</v>
      </c>
      <c r="O34" t="s">
        <v>12387</v>
      </c>
      <c r="P34" t="s">
        <v>62</v>
      </c>
      <c r="Q34">
        <v>2083070</v>
      </c>
      <c r="R34">
        <v>2084008</v>
      </c>
      <c r="S34" t="s">
        <v>637</v>
      </c>
      <c r="T34">
        <v>313</v>
      </c>
      <c r="U34" t="s">
        <v>108</v>
      </c>
      <c r="V34">
        <v>44</v>
      </c>
      <c r="W34" t="str">
        <f>HYPERLINK("Gene1989-zp_tree_all.dnd", "Gene1989-tree")</f>
        <v>Gene1989-tree</v>
      </c>
      <c r="X34">
        <v>1</v>
      </c>
      <c r="Y34">
        <v>12</v>
      </c>
      <c r="Z34">
        <v>1</v>
      </c>
      <c r="AA34">
        <v>12</v>
      </c>
      <c r="AB34">
        <v>0.92308000000000001</v>
      </c>
      <c r="AC34" t="s">
        <v>175</v>
      </c>
      <c r="AD34" t="s">
        <v>109</v>
      </c>
      <c r="AE34" t="s">
        <v>62</v>
      </c>
      <c r="AF34" t="s">
        <v>62</v>
      </c>
      <c r="AG34">
        <v>6</v>
      </c>
      <c r="AH34">
        <v>14</v>
      </c>
      <c r="AI34">
        <v>27</v>
      </c>
      <c r="AJ34">
        <v>0.34145999999999999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2</v>
      </c>
      <c r="AQ34">
        <v>0</v>
      </c>
      <c r="AR34">
        <v>2</v>
      </c>
      <c r="AS34">
        <v>23</v>
      </c>
      <c r="AT34">
        <v>0.08</v>
      </c>
      <c r="AU34">
        <v>13</v>
      </c>
      <c r="AV34">
        <v>10</v>
      </c>
      <c r="AW34">
        <v>60</v>
      </c>
      <c r="AX34">
        <v>25</v>
      </c>
      <c r="AY34">
        <v>41</v>
      </c>
      <c r="AZ34">
        <v>16</v>
      </c>
      <c r="BA34" t="s">
        <v>12388</v>
      </c>
      <c r="BB34" t="s">
        <v>12389</v>
      </c>
      <c r="BC34">
        <v>8.2000000000000003E-2</v>
      </c>
      <c r="BD34" t="s">
        <v>65</v>
      </c>
      <c r="BE34">
        <v>101</v>
      </c>
      <c r="BF34">
        <v>41</v>
      </c>
      <c r="BG34" t="s">
        <v>12390</v>
      </c>
      <c r="BH34" t="s">
        <v>12391</v>
      </c>
      <c r="BI34" t="s">
        <v>12392</v>
      </c>
      <c r="BJ34">
        <v>0.10811</v>
      </c>
      <c r="BK34">
        <v>1</v>
      </c>
      <c r="BL34" t="s">
        <v>69</v>
      </c>
      <c r="BM34">
        <v>-0.158</v>
      </c>
      <c r="BN34">
        <v>5.2999999999999999E-2</v>
      </c>
    </row>
    <row r="35" spans="2:66">
      <c r="B35">
        <v>57</v>
      </c>
      <c r="C35">
        <v>480</v>
      </c>
      <c r="D35">
        <v>4</v>
      </c>
      <c r="E35">
        <v>32</v>
      </c>
      <c r="F35">
        <v>3</v>
      </c>
      <c r="J35">
        <v>0</v>
      </c>
      <c r="K35">
        <v>0</v>
      </c>
      <c r="L35">
        <v>0</v>
      </c>
      <c r="M35" t="s">
        <v>25022</v>
      </c>
      <c r="N35">
        <v>1991</v>
      </c>
      <c r="O35" t="s">
        <v>12400</v>
      </c>
      <c r="P35" t="s">
        <v>62</v>
      </c>
      <c r="Q35">
        <v>2084789</v>
      </c>
      <c r="R35">
        <v>2085109</v>
      </c>
      <c r="S35" t="s">
        <v>12401</v>
      </c>
      <c r="T35">
        <v>107</v>
      </c>
      <c r="U35" t="s">
        <v>108</v>
      </c>
      <c r="V35">
        <v>44</v>
      </c>
      <c r="W35" t="str">
        <f>HYPERLINK("Gene1991-zp_tree_all.dnd", "Gene1991-tree")</f>
        <v>Gene1991-tree</v>
      </c>
      <c r="X35">
        <v>11</v>
      </c>
      <c r="Y35">
        <v>0</v>
      </c>
      <c r="Z35">
        <v>11</v>
      </c>
      <c r="AA35">
        <v>0</v>
      </c>
      <c r="AB35">
        <v>0</v>
      </c>
      <c r="AC35" t="s">
        <v>73</v>
      </c>
      <c r="AD35" t="s">
        <v>62</v>
      </c>
      <c r="AE35" t="s">
        <v>62</v>
      </c>
      <c r="AF35" t="s">
        <v>62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</v>
      </c>
      <c r="AV35">
        <v>7</v>
      </c>
      <c r="AW35">
        <v>10</v>
      </c>
      <c r="AX35">
        <v>0</v>
      </c>
      <c r="AY35">
        <v>11</v>
      </c>
      <c r="AZ35">
        <v>0</v>
      </c>
      <c r="BA35" t="s">
        <v>193</v>
      </c>
      <c r="BB35" t="s">
        <v>193</v>
      </c>
      <c r="BC35">
        <v>0</v>
      </c>
      <c r="BD35" t="s">
        <v>65</v>
      </c>
      <c r="BE35">
        <v>21</v>
      </c>
      <c r="BF35">
        <v>0</v>
      </c>
      <c r="BG35" t="s">
        <v>12402</v>
      </c>
      <c r="BH35" t="s">
        <v>12403</v>
      </c>
      <c r="BI35" t="s">
        <v>193</v>
      </c>
      <c r="BJ35">
        <v>0</v>
      </c>
      <c r="BK35">
        <v>1</v>
      </c>
      <c r="BL35" t="s">
        <v>69</v>
      </c>
      <c r="BM35">
        <v>1.006</v>
      </c>
      <c r="BN35">
        <v>-0.1</v>
      </c>
    </row>
    <row r="36" spans="2:66">
      <c r="B36">
        <v>58</v>
      </c>
      <c r="C36">
        <v>442</v>
      </c>
      <c r="D36">
        <v>0</v>
      </c>
      <c r="E36">
        <v>6</v>
      </c>
      <c r="F36">
        <v>2</v>
      </c>
      <c r="J36">
        <v>0</v>
      </c>
      <c r="K36">
        <v>0</v>
      </c>
      <c r="L36">
        <v>0</v>
      </c>
      <c r="M36" t="s">
        <v>25022</v>
      </c>
      <c r="N36">
        <v>1993</v>
      </c>
      <c r="O36" t="s">
        <v>12411</v>
      </c>
      <c r="P36" t="s">
        <v>62</v>
      </c>
      <c r="Q36">
        <v>2086073</v>
      </c>
      <c r="R36">
        <v>2086606</v>
      </c>
      <c r="S36" t="s">
        <v>3095</v>
      </c>
      <c r="T36">
        <v>178</v>
      </c>
      <c r="U36" t="s">
        <v>289</v>
      </c>
      <c r="V36">
        <v>46</v>
      </c>
      <c r="W36" t="str">
        <f>HYPERLINK("Gene1993-zp_tree_all.dnd", "Gene1993-tree")</f>
        <v>Gene1993-tree</v>
      </c>
      <c r="X36">
        <v>11</v>
      </c>
      <c r="Y36">
        <v>2</v>
      </c>
      <c r="Z36">
        <v>11</v>
      </c>
      <c r="AA36">
        <v>2</v>
      </c>
      <c r="AB36">
        <v>0.15384999999999999</v>
      </c>
      <c r="AC36" t="s">
        <v>73</v>
      </c>
      <c r="AD36" t="s">
        <v>81</v>
      </c>
      <c r="AE36" t="s">
        <v>62</v>
      </c>
      <c r="AF36" t="s">
        <v>62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0</v>
      </c>
      <c r="AU36">
        <v>8</v>
      </c>
      <c r="AV36">
        <v>9</v>
      </c>
      <c r="AW36">
        <v>13</v>
      </c>
      <c r="AX36">
        <v>2</v>
      </c>
      <c r="AY36">
        <v>30</v>
      </c>
      <c r="AZ36">
        <v>0</v>
      </c>
      <c r="BA36" t="s">
        <v>12412</v>
      </c>
      <c r="BB36" t="s">
        <v>193</v>
      </c>
      <c r="BC36">
        <v>0.88700000000000001</v>
      </c>
      <c r="BD36" t="s">
        <v>65</v>
      </c>
      <c r="BE36">
        <v>43</v>
      </c>
      <c r="BF36">
        <v>2</v>
      </c>
      <c r="BG36" t="s">
        <v>12413</v>
      </c>
      <c r="BH36" t="s">
        <v>12414</v>
      </c>
      <c r="BI36" t="s">
        <v>12415</v>
      </c>
      <c r="BJ36">
        <v>8.3099999999999997E-3</v>
      </c>
      <c r="BK36">
        <v>1</v>
      </c>
      <c r="BL36" t="s">
        <v>69</v>
      </c>
      <c r="BM36">
        <v>-0.82599999999999996</v>
      </c>
      <c r="BN36">
        <v>-2.1999999999999999E-2</v>
      </c>
    </row>
    <row r="37" spans="2:66">
      <c r="B37">
        <v>61</v>
      </c>
      <c r="C37">
        <v>139</v>
      </c>
      <c r="D37">
        <v>0</v>
      </c>
      <c r="E37">
        <v>13</v>
      </c>
      <c r="F37">
        <v>5</v>
      </c>
      <c r="J37">
        <v>0</v>
      </c>
      <c r="K37">
        <v>2</v>
      </c>
      <c r="L37">
        <v>4</v>
      </c>
      <c r="M37" t="s">
        <v>25022</v>
      </c>
      <c r="N37">
        <v>1994</v>
      </c>
      <c r="O37" t="s">
        <v>12416</v>
      </c>
      <c r="P37" t="s">
        <v>62</v>
      </c>
      <c r="Q37">
        <v>2086746</v>
      </c>
      <c r="R37">
        <v>2087525</v>
      </c>
      <c r="S37" t="s">
        <v>116</v>
      </c>
      <c r="T37">
        <v>260</v>
      </c>
      <c r="U37" t="s">
        <v>3401</v>
      </c>
      <c r="V37">
        <v>42</v>
      </c>
      <c r="W37" t="str">
        <f>HYPERLINK("Gene1994-zp_tree_all.dnd", "Gene1994-tree")</f>
        <v>Gene1994-tree</v>
      </c>
      <c r="X37">
        <v>5</v>
      </c>
      <c r="Y37">
        <v>9</v>
      </c>
      <c r="Z37">
        <v>5</v>
      </c>
      <c r="AA37">
        <v>9</v>
      </c>
      <c r="AB37">
        <v>0.64285999999999999</v>
      </c>
      <c r="AC37" t="s">
        <v>199</v>
      </c>
      <c r="AD37" t="s">
        <v>135</v>
      </c>
      <c r="AE37" t="s">
        <v>62</v>
      </c>
      <c r="AF37" t="s">
        <v>62</v>
      </c>
      <c r="AG37">
        <v>3</v>
      </c>
      <c r="AH37">
        <v>6</v>
      </c>
      <c r="AI37">
        <v>16</v>
      </c>
      <c r="AJ37">
        <v>0.27272999999999997</v>
      </c>
      <c r="AK37">
        <v>0</v>
      </c>
      <c r="AL37">
        <v>0</v>
      </c>
      <c r="AM37">
        <v>0</v>
      </c>
      <c r="AN37">
        <v>2</v>
      </c>
      <c r="AO37">
        <v>0</v>
      </c>
      <c r="AP37">
        <v>0</v>
      </c>
      <c r="AQ37">
        <v>2</v>
      </c>
      <c r="AR37">
        <v>2</v>
      </c>
      <c r="AS37">
        <v>11</v>
      </c>
      <c r="AT37">
        <v>0.15384999999999999</v>
      </c>
      <c r="AU37">
        <v>10</v>
      </c>
      <c r="AV37">
        <v>9</v>
      </c>
      <c r="AW37">
        <v>14</v>
      </c>
      <c r="AX37">
        <v>13</v>
      </c>
      <c r="AY37">
        <v>14</v>
      </c>
      <c r="AZ37">
        <v>9</v>
      </c>
      <c r="BA37" t="s">
        <v>12417</v>
      </c>
      <c r="BB37" t="s">
        <v>12418</v>
      </c>
      <c r="BC37">
        <v>0.38200000000000001</v>
      </c>
      <c r="BD37" t="s">
        <v>65</v>
      </c>
      <c r="BE37">
        <v>28</v>
      </c>
      <c r="BF37">
        <v>22</v>
      </c>
      <c r="BG37" t="s">
        <v>12419</v>
      </c>
      <c r="BH37" t="s">
        <v>12420</v>
      </c>
      <c r="BI37" t="s">
        <v>12421</v>
      </c>
      <c r="BJ37">
        <v>0.21945999999999999</v>
      </c>
      <c r="BK37">
        <v>1</v>
      </c>
      <c r="BL37" t="s">
        <v>69</v>
      </c>
      <c r="BM37">
        <v>-1.0009999999999999</v>
      </c>
      <c r="BN37">
        <v>-0.88100000000000001</v>
      </c>
    </row>
    <row r="38" spans="2:66">
      <c r="B38">
        <v>64</v>
      </c>
      <c r="C38">
        <v>445</v>
      </c>
      <c r="D38">
        <v>0</v>
      </c>
      <c r="E38">
        <v>2</v>
      </c>
      <c r="F38">
        <v>0</v>
      </c>
      <c r="J38">
        <v>0</v>
      </c>
      <c r="K38">
        <v>4</v>
      </c>
      <c r="L38">
        <v>0</v>
      </c>
      <c r="M38" t="s">
        <v>25022</v>
      </c>
      <c r="N38">
        <v>2000</v>
      </c>
      <c r="O38" t="s">
        <v>12454</v>
      </c>
      <c r="P38" t="s">
        <v>62</v>
      </c>
      <c r="Q38">
        <v>2092902</v>
      </c>
      <c r="R38">
        <v>2093762</v>
      </c>
      <c r="S38" t="s">
        <v>12455</v>
      </c>
      <c r="T38">
        <v>287</v>
      </c>
      <c r="U38" t="s">
        <v>289</v>
      </c>
      <c r="V38">
        <v>46</v>
      </c>
      <c r="W38" t="str">
        <f>HYPERLINK("Gene2000-zp_tree_all.dnd", "Gene2000-tree")</f>
        <v>Gene2000-tree</v>
      </c>
      <c r="X38">
        <v>10</v>
      </c>
      <c r="Y38">
        <v>4</v>
      </c>
      <c r="Z38">
        <v>10</v>
      </c>
      <c r="AA38">
        <v>4</v>
      </c>
      <c r="AB38">
        <v>0.28571000000000002</v>
      </c>
      <c r="AC38" t="s">
        <v>117</v>
      </c>
      <c r="AD38" t="s">
        <v>61</v>
      </c>
      <c r="AE38" t="s">
        <v>62</v>
      </c>
      <c r="AF38" t="s">
        <v>62</v>
      </c>
      <c r="AG38">
        <v>2</v>
      </c>
      <c r="AH38">
        <v>4</v>
      </c>
      <c r="AI38">
        <v>10</v>
      </c>
      <c r="AJ38">
        <v>0.28571000000000002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4</v>
      </c>
      <c r="AT38">
        <v>0</v>
      </c>
      <c r="AU38">
        <v>11</v>
      </c>
      <c r="AV38">
        <v>7</v>
      </c>
      <c r="AW38">
        <v>14</v>
      </c>
      <c r="AX38">
        <v>3</v>
      </c>
      <c r="AY38">
        <v>26</v>
      </c>
      <c r="AZ38">
        <v>12</v>
      </c>
      <c r="BA38" t="s">
        <v>12456</v>
      </c>
      <c r="BB38" t="s">
        <v>12457</v>
      </c>
      <c r="BC38">
        <v>0.502</v>
      </c>
      <c r="BD38" t="s">
        <v>65</v>
      </c>
      <c r="BE38">
        <v>40</v>
      </c>
      <c r="BF38">
        <v>15</v>
      </c>
      <c r="BG38" t="s">
        <v>12458</v>
      </c>
      <c r="BH38" t="s">
        <v>12459</v>
      </c>
      <c r="BI38" t="s">
        <v>12460</v>
      </c>
      <c r="BJ38">
        <v>0.13642000000000001</v>
      </c>
      <c r="BK38">
        <v>1</v>
      </c>
      <c r="BL38" t="s">
        <v>69</v>
      </c>
      <c r="BM38">
        <v>-1.2430000000000001</v>
      </c>
      <c r="BN38">
        <v>-0.46700000000000003</v>
      </c>
    </row>
    <row r="39" spans="2:66">
      <c r="B39">
        <v>65</v>
      </c>
      <c r="C39">
        <v>221</v>
      </c>
      <c r="D39">
        <v>0</v>
      </c>
      <c r="E39">
        <v>0</v>
      </c>
      <c r="F39">
        <v>2</v>
      </c>
      <c r="J39">
        <v>0</v>
      </c>
      <c r="K39">
        <v>4</v>
      </c>
      <c r="L39">
        <v>3</v>
      </c>
      <c r="M39" t="s">
        <v>25022</v>
      </c>
      <c r="N39">
        <v>2001</v>
      </c>
      <c r="O39" t="s">
        <v>12461</v>
      </c>
      <c r="P39" t="s">
        <v>62</v>
      </c>
      <c r="Q39">
        <v>2094013</v>
      </c>
      <c r="R39">
        <v>2095785</v>
      </c>
      <c r="S39" t="s">
        <v>12462</v>
      </c>
      <c r="T39">
        <v>591</v>
      </c>
      <c r="U39" t="s">
        <v>72</v>
      </c>
      <c r="V39">
        <v>45</v>
      </c>
      <c r="W39" t="str">
        <f>HYPERLINK("Gene2001-zp_tree_all.dnd", "Gene2001-tree")</f>
        <v>Gene2001-tree</v>
      </c>
      <c r="X39">
        <v>5</v>
      </c>
      <c r="Y39">
        <v>31</v>
      </c>
      <c r="Z39">
        <v>5</v>
      </c>
      <c r="AA39">
        <v>11</v>
      </c>
      <c r="AB39">
        <v>0.6875</v>
      </c>
      <c r="AC39" t="s">
        <v>199</v>
      </c>
      <c r="AD39" t="s">
        <v>2860</v>
      </c>
      <c r="AE39">
        <v>2.4860000000000002</v>
      </c>
      <c r="AF39" t="s">
        <v>65</v>
      </c>
      <c r="AG39">
        <v>3</v>
      </c>
      <c r="AH39">
        <v>7</v>
      </c>
      <c r="AI39">
        <v>16</v>
      </c>
      <c r="AJ39">
        <v>0.30435000000000001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</v>
      </c>
      <c r="AR39">
        <v>3</v>
      </c>
      <c r="AS39">
        <v>12</v>
      </c>
      <c r="AT39">
        <v>0.2</v>
      </c>
      <c r="AU39">
        <v>14</v>
      </c>
      <c r="AV39">
        <v>12</v>
      </c>
      <c r="AW39">
        <v>41</v>
      </c>
      <c r="AX39">
        <v>15</v>
      </c>
      <c r="AY39">
        <v>34</v>
      </c>
      <c r="AZ39">
        <v>9</v>
      </c>
      <c r="BA39" t="s">
        <v>12463</v>
      </c>
      <c r="BB39" t="s">
        <v>12464</v>
      </c>
      <c r="BC39">
        <v>0.64300000000000002</v>
      </c>
      <c r="BD39" t="s">
        <v>65</v>
      </c>
      <c r="BE39">
        <v>75</v>
      </c>
      <c r="BF39">
        <v>24</v>
      </c>
      <c r="BG39" t="s">
        <v>12465</v>
      </c>
      <c r="BH39" t="s">
        <v>12466</v>
      </c>
      <c r="BI39" t="s">
        <v>12467</v>
      </c>
      <c r="BJ39">
        <v>8.5510000000000003E-2</v>
      </c>
      <c r="BK39">
        <v>1</v>
      </c>
      <c r="BL39" t="s">
        <v>69</v>
      </c>
      <c r="BM39">
        <v>-0.73699999999999999</v>
      </c>
      <c r="BN39">
        <v>-0.9</v>
      </c>
    </row>
    <row r="40" spans="2:66">
      <c r="B40">
        <v>66</v>
      </c>
      <c r="C40">
        <v>271</v>
      </c>
      <c r="D40">
        <v>0</v>
      </c>
      <c r="E40">
        <v>10</v>
      </c>
      <c r="F40">
        <v>6</v>
      </c>
      <c r="J40">
        <v>0</v>
      </c>
      <c r="K40">
        <v>0</v>
      </c>
      <c r="L40">
        <v>0</v>
      </c>
      <c r="M40" t="s">
        <v>25022</v>
      </c>
      <c r="N40">
        <v>2002</v>
      </c>
      <c r="O40" t="s">
        <v>12468</v>
      </c>
      <c r="P40" t="s">
        <v>62</v>
      </c>
      <c r="Q40">
        <v>2096353</v>
      </c>
      <c r="R40">
        <v>2096976</v>
      </c>
      <c r="S40" t="s">
        <v>12469</v>
      </c>
      <c r="T40">
        <v>208</v>
      </c>
      <c r="U40" t="s">
        <v>59</v>
      </c>
      <c r="V40">
        <v>49</v>
      </c>
      <c r="W40" t="str">
        <f>HYPERLINK("Gene2002-zp_tree_all.dnd", "Gene2002-tree")</f>
        <v>Gene2002-tree</v>
      </c>
      <c r="X40">
        <v>7</v>
      </c>
      <c r="Y40">
        <v>3</v>
      </c>
      <c r="Z40">
        <v>7</v>
      </c>
      <c r="AA40">
        <v>3</v>
      </c>
      <c r="AB40">
        <v>0.3</v>
      </c>
      <c r="AC40" t="s">
        <v>152</v>
      </c>
      <c r="AD40" t="s">
        <v>324</v>
      </c>
      <c r="AE40" t="s">
        <v>62</v>
      </c>
      <c r="AF40" t="s">
        <v>62</v>
      </c>
      <c r="AG40">
        <v>0</v>
      </c>
      <c r="AH40">
        <v>0</v>
      </c>
      <c r="AI40">
        <v>8</v>
      </c>
      <c r="AJ40">
        <v>0</v>
      </c>
      <c r="AK40">
        <v>0</v>
      </c>
      <c r="AL40">
        <v>0</v>
      </c>
      <c r="AM40">
        <v>0</v>
      </c>
      <c r="AN40">
        <v>2</v>
      </c>
      <c r="AO40">
        <v>0</v>
      </c>
      <c r="AP40">
        <v>0</v>
      </c>
      <c r="AQ40">
        <v>0</v>
      </c>
      <c r="AR40">
        <v>0</v>
      </c>
      <c r="AS40">
        <v>3</v>
      </c>
      <c r="AT40">
        <v>0</v>
      </c>
      <c r="AU40">
        <v>9</v>
      </c>
      <c r="AV40">
        <v>4</v>
      </c>
      <c r="AW40">
        <v>17</v>
      </c>
      <c r="AX40">
        <v>3</v>
      </c>
      <c r="AY40">
        <v>22</v>
      </c>
      <c r="AZ40">
        <v>6</v>
      </c>
      <c r="BA40" t="s">
        <v>12470</v>
      </c>
      <c r="BB40" t="s">
        <v>12471</v>
      </c>
      <c r="BC40">
        <v>0.33700000000000002</v>
      </c>
      <c r="BD40" t="s">
        <v>65</v>
      </c>
      <c r="BE40">
        <v>39</v>
      </c>
      <c r="BF40">
        <v>9</v>
      </c>
      <c r="BG40" t="s">
        <v>12472</v>
      </c>
      <c r="BH40" t="s">
        <v>12473</v>
      </c>
      <c r="BI40" t="s">
        <v>12474</v>
      </c>
      <c r="BJ40">
        <v>7.1080000000000004E-2</v>
      </c>
      <c r="BK40">
        <v>1</v>
      </c>
      <c r="BL40" t="s">
        <v>69</v>
      </c>
      <c r="BM40">
        <v>-1.6759999999999999</v>
      </c>
      <c r="BN40">
        <v>-0.879</v>
      </c>
    </row>
    <row r="41" spans="2:66">
      <c r="B41">
        <v>67</v>
      </c>
      <c r="C41">
        <v>181</v>
      </c>
      <c r="D41">
        <v>0</v>
      </c>
      <c r="E41">
        <v>16</v>
      </c>
      <c r="F41">
        <v>6</v>
      </c>
      <c r="J41">
        <v>0</v>
      </c>
      <c r="K41">
        <v>0</v>
      </c>
      <c r="L41">
        <v>0</v>
      </c>
      <c r="M41" t="s">
        <v>25022</v>
      </c>
      <c r="N41">
        <v>2003</v>
      </c>
      <c r="O41" t="s">
        <v>12475</v>
      </c>
      <c r="P41" t="s">
        <v>62</v>
      </c>
      <c r="Q41">
        <v>2097129</v>
      </c>
      <c r="R41">
        <v>2097617</v>
      </c>
      <c r="S41" t="s">
        <v>2921</v>
      </c>
      <c r="T41">
        <v>163</v>
      </c>
      <c r="U41" t="s">
        <v>108</v>
      </c>
      <c r="V41">
        <v>44</v>
      </c>
      <c r="W41" t="str">
        <f>HYPERLINK("Gene2003-zp_tree_all.dnd", "Gene2003-tree")</f>
        <v>Gene2003-tree</v>
      </c>
      <c r="X41">
        <v>28</v>
      </c>
      <c r="Y41">
        <v>2</v>
      </c>
      <c r="Z41">
        <v>8</v>
      </c>
      <c r="AA41">
        <v>2</v>
      </c>
      <c r="AB41">
        <v>0.2</v>
      </c>
      <c r="AC41" t="s">
        <v>3778</v>
      </c>
      <c r="AD41" t="s">
        <v>81</v>
      </c>
      <c r="AE41" t="s">
        <v>62</v>
      </c>
      <c r="AF41" t="s">
        <v>62</v>
      </c>
      <c r="AG41">
        <v>0</v>
      </c>
      <c r="AH41">
        <v>0</v>
      </c>
      <c r="AI41">
        <v>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0</v>
      </c>
      <c r="AU41">
        <v>6</v>
      </c>
      <c r="AV41">
        <v>4</v>
      </c>
      <c r="AW41">
        <v>5</v>
      </c>
      <c r="AX41">
        <v>2</v>
      </c>
      <c r="AY41">
        <v>5</v>
      </c>
      <c r="AZ41">
        <v>1</v>
      </c>
      <c r="BA41" t="s">
        <v>12476</v>
      </c>
      <c r="BB41" t="s">
        <v>12477</v>
      </c>
      <c r="BC41">
        <v>0.38900000000000001</v>
      </c>
      <c r="BD41" t="s">
        <v>65</v>
      </c>
      <c r="BE41">
        <v>10</v>
      </c>
      <c r="BF41">
        <v>3</v>
      </c>
      <c r="BG41" t="s">
        <v>12478</v>
      </c>
      <c r="BH41" t="s">
        <v>12479</v>
      </c>
      <c r="BI41" t="s">
        <v>12480</v>
      </c>
      <c r="BJ41">
        <v>8.1540000000000001E-2</v>
      </c>
      <c r="BK41">
        <v>1</v>
      </c>
      <c r="BL41" t="s">
        <v>69</v>
      </c>
      <c r="BM41">
        <v>-0.94299999999999995</v>
      </c>
      <c r="BN41">
        <v>-0.46500000000000002</v>
      </c>
    </row>
    <row r="42" spans="2:66">
      <c r="B42">
        <v>72</v>
      </c>
      <c r="C42">
        <v>237</v>
      </c>
      <c r="D42">
        <v>0</v>
      </c>
      <c r="E42">
        <v>7</v>
      </c>
      <c r="F42">
        <v>2</v>
      </c>
      <c r="J42">
        <v>0</v>
      </c>
      <c r="K42">
        <v>0</v>
      </c>
      <c r="L42">
        <v>0</v>
      </c>
      <c r="M42" t="s">
        <v>25022</v>
      </c>
      <c r="N42">
        <v>2004</v>
      </c>
      <c r="O42" t="s">
        <v>12481</v>
      </c>
      <c r="P42" t="s">
        <v>62</v>
      </c>
      <c r="Q42">
        <v>2097695</v>
      </c>
      <c r="R42">
        <v>2098024</v>
      </c>
      <c r="S42" t="s">
        <v>116</v>
      </c>
      <c r="T42">
        <v>110</v>
      </c>
      <c r="U42" t="s">
        <v>108</v>
      </c>
      <c r="V42">
        <v>44</v>
      </c>
      <c r="W42" t="str">
        <f>HYPERLINK("Gene2004-zp_tree_all.dnd", "Gene2004-tree")</f>
        <v>Gene2004-tree</v>
      </c>
      <c r="X42">
        <v>2</v>
      </c>
      <c r="Y42">
        <v>4</v>
      </c>
      <c r="Z42">
        <v>2</v>
      </c>
      <c r="AA42">
        <v>4</v>
      </c>
      <c r="AB42">
        <v>0.66666999999999998</v>
      </c>
      <c r="AC42" t="s">
        <v>81</v>
      </c>
      <c r="AD42" t="s">
        <v>61</v>
      </c>
      <c r="AE42" t="s">
        <v>62</v>
      </c>
      <c r="AF42" t="s">
        <v>62</v>
      </c>
      <c r="AG42">
        <v>0</v>
      </c>
      <c r="AH42">
        <v>0</v>
      </c>
      <c r="AI42">
        <v>6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5</v>
      </c>
      <c r="AT42">
        <v>0</v>
      </c>
      <c r="AU42">
        <v>4</v>
      </c>
      <c r="AV42">
        <v>1</v>
      </c>
      <c r="AW42">
        <v>4</v>
      </c>
      <c r="AX42">
        <v>5</v>
      </c>
      <c r="AY42">
        <v>1</v>
      </c>
      <c r="AZ42">
        <v>1</v>
      </c>
      <c r="BA42" t="s">
        <v>12482</v>
      </c>
      <c r="BB42" t="s">
        <v>12483</v>
      </c>
      <c r="BC42">
        <v>0.19400000000000001</v>
      </c>
      <c r="BD42" t="s">
        <v>65</v>
      </c>
      <c r="BE42">
        <v>5</v>
      </c>
      <c r="BF42">
        <v>6</v>
      </c>
      <c r="BG42" t="s">
        <v>12484</v>
      </c>
      <c r="BH42" t="s">
        <v>12485</v>
      </c>
      <c r="BI42" t="s">
        <v>12486</v>
      </c>
      <c r="BJ42">
        <v>0.32124999999999998</v>
      </c>
      <c r="BK42">
        <v>0.95899999999999996</v>
      </c>
      <c r="BL42" t="s">
        <v>69</v>
      </c>
      <c r="BM42">
        <v>-1.165</v>
      </c>
      <c r="BN42">
        <v>-3.0129999999999999</v>
      </c>
    </row>
    <row r="43" spans="2:66">
      <c r="B43">
        <v>73</v>
      </c>
      <c r="C43">
        <v>171</v>
      </c>
      <c r="D43">
        <v>0</v>
      </c>
      <c r="E43">
        <v>0</v>
      </c>
      <c r="F43">
        <v>2</v>
      </c>
      <c r="J43">
        <v>0</v>
      </c>
      <c r="K43">
        <v>0</v>
      </c>
      <c r="L43">
        <v>0</v>
      </c>
      <c r="M43" t="s">
        <v>25022</v>
      </c>
      <c r="N43">
        <v>2006</v>
      </c>
      <c r="O43" t="s">
        <v>12492</v>
      </c>
      <c r="P43" t="s">
        <v>62</v>
      </c>
      <c r="Q43">
        <v>2098319</v>
      </c>
      <c r="R43">
        <v>2098792</v>
      </c>
      <c r="S43" t="s">
        <v>12493</v>
      </c>
      <c r="T43">
        <v>158</v>
      </c>
      <c r="U43" t="s">
        <v>108</v>
      </c>
      <c r="V43">
        <v>44</v>
      </c>
      <c r="W43" t="str">
        <f>HYPERLINK("Gene2006-zp_tree_all.dnd", "Gene2006-tree")</f>
        <v>Gene2006-tree</v>
      </c>
      <c r="X43">
        <v>4</v>
      </c>
      <c r="Y43">
        <v>3</v>
      </c>
      <c r="Z43">
        <v>4</v>
      </c>
      <c r="AA43">
        <v>3</v>
      </c>
      <c r="AB43">
        <v>0.42857000000000001</v>
      </c>
      <c r="AC43" t="s">
        <v>61</v>
      </c>
      <c r="AD43" t="s">
        <v>324</v>
      </c>
      <c r="AE43" t="s">
        <v>62</v>
      </c>
      <c r="AF43" t="s">
        <v>62</v>
      </c>
      <c r="AG43">
        <v>0</v>
      </c>
      <c r="AH43">
        <v>0</v>
      </c>
      <c r="AI43">
        <v>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0</v>
      </c>
      <c r="AU43">
        <v>6</v>
      </c>
      <c r="AV43">
        <v>1</v>
      </c>
      <c r="AW43">
        <v>7</v>
      </c>
      <c r="AX43">
        <v>4</v>
      </c>
      <c r="AY43">
        <v>0</v>
      </c>
      <c r="AZ43">
        <v>1</v>
      </c>
      <c r="BA43" t="s">
        <v>12494</v>
      </c>
      <c r="BB43" t="s">
        <v>193</v>
      </c>
      <c r="BC43">
        <v>1.1679999999999999</v>
      </c>
      <c r="BD43" t="s">
        <v>65</v>
      </c>
      <c r="BE43">
        <v>7</v>
      </c>
      <c r="BF43">
        <v>5</v>
      </c>
      <c r="BG43" t="s">
        <v>12495</v>
      </c>
      <c r="BH43" t="s">
        <v>12496</v>
      </c>
      <c r="BI43" t="s">
        <v>12497</v>
      </c>
      <c r="BJ43">
        <v>0.21851999999999999</v>
      </c>
      <c r="BK43">
        <v>0.92700000000000005</v>
      </c>
      <c r="BL43" t="s">
        <v>635</v>
      </c>
      <c r="BM43">
        <v>-0.45700000000000002</v>
      </c>
      <c r="BN43">
        <v>-1.343</v>
      </c>
    </row>
    <row r="44" spans="2:66">
      <c r="B44">
        <v>74</v>
      </c>
      <c r="C44">
        <v>11</v>
      </c>
      <c r="D44">
        <v>0</v>
      </c>
      <c r="E44">
        <v>10</v>
      </c>
      <c r="F44">
        <v>0</v>
      </c>
      <c r="J44">
        <v>0</v>
      </c>
      <c r="K44">
        <v>0</v>
      </c>
      <c r="L44">
        <v>0</v>
      </c>
      <c r="M44" t="s">
        <v>25022</v>
      </c>
      <c r="N44">
        <v>2009</v>
      </c>
      <c r="O44" t="s">
        <v>12502</v>
      </c>
      <c r="P44" t="s">
        <v>62</v>
      </c>
      <c r="Q44">
        <v>2099449</v>
      </c>
      <c r="R44">
        <v>2099790</v>
      </c>
      <c r="S44" t="s">
        <v>12503</v>
      </c>
      <c r="T44">
        <v>114</v>
      </c>
      <c r="U44" t="s">
        <v>59</v>
      </c>
      <c r="V44">
        <v>49</v>
      </c>
      <c r="W44" t="str">
        <f>HYPERLINK("Gene2009-zp_tree_all.dnd", "Gene2009-tree")</f>
        <v>Gene2009-tree</v>
      </c>
      <c r="X44">
        <v>12</v>
      </c>
      <c r="Y44">
        <v>0</v>
      </c>
      <c r="Z44">
        <v>12</v>
      </c>
      <c r="AA44">
        <v>0</v>
      </c>
      <c r="AB44">
        <v>0</v>
      </c>
      <c r="AC44" t="s">
        <v>109</v>
      </c>
      <c r="AD44" t="s">
        <v>62</v>
      </c>
      <c r="AE44" t="s">
        <v>62</v>
      </c>
      <c r="AF44" t="s">
        <v>62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7</v>
      </c>
      <c r="AV44">
        <v>5</v>
      </c>
      <c r="AW44">
        <v>15</v>
      </c>
      <c r="AX44">
        <v>0</v>
      </c>
      <c r="AY44">
        <v>12</v>
      </c>
      <c r="AZ44">
        <v>0</v>
      </c>
      <c r="BA44" t="s">
        <v>193</v>
      </c>
      <c r="BB44" t="s">
        <v>193</v>
      </c>
      <c r="BC44">
        <v>0</v>
      </c>
      <c r="BD44" t="s">
        <v>65</v>
      </c>
      <c r="BE44">
        <v>27</v>
      </c>
      <c r="BF44">
        <v>0</v>
      </c>
      <c r="BG44" t="s">
        <v>12504</v>
      </c>
      <c r="BH44" t="s">
        <v>12505</v>
      </c>
      <c r="BI44" t="s">
        <v>193</v>
      </c>
      <c r="BJ44">
        <v>0</v>
      </c>
      <c r="BK44">
        <v>1</v>
      </c>
      <c r="BL44" t="s">
        <v>69</v>
      </c>
      <c r="BM44">
        <v>-0.81899999999999995</v>
      </c>
      <c r="BN44">
        <v>1.0369999999999999</v>
      </c>
    </row>
    <row r="45" spans="2:66">
      <c r="B45">
        <v>75</v>
      </c>
      <c r="C45">
        <v>139</v>
      </c>
      <c r="D45">
        <v>0</v>
      </c>
      <c r="E45">
        <v>3</v>
      </c>
      <c r="F45">
        <v>2</v>
      </c>
      <c r="J45">
        <v>0</v>
      </c>
      <c r="K45">
        <v>2</v>
      </c>
      <c r="L45">
        <v>0</v>
      </c>
      <c r="M45" t="s">
        <v>25022</v>
      </c>
      <c r="N45">
        <v>2014</v>
      </c>
      <c r="O45" t="s">
        <v>12527</v>
      </c>
      <c r="P45" t="s">
        <v>62</v>
      </c>
      <c r="Q45">
        <v>2104937</v>
      </c>
      <c r="R45">
        <v>2106271</v>
      </c>
      <c r="S45" t="s">
        <v>6158</v>
      </c>
      <c r="T45">
        <v>445</v>
      </c>
      <c r="U45" t="s">
        <v>108</v>
      </c>
      <c r="V45">
        <v>44</v>
      </c>
      <c r="W45" t="str">
        <f>HYPERLINK("Gene2014-zp_tree_all.dnd", "Gene2014-tree")</f>
        <v>Gene2014-tree</v>
      </c>
      <c r="X45">
        <v>9</v>
      </c>
      <c r="Y45">
        <v>4</v>
      </c>
      <c r="Z45">
        <v>9</v>
      </c>
      <c r="AA45">
        <v>4</v>
      </c>
      <c r="AB45">
        <v>0.30769000000000002</v>
      </c>
      <c r="AC45" t="s">
        <v>135</v>
      </c>
      <c r="AD45" t="s">
        <v>61</v>
      </c>
      <c r="AE45" t="s">
        <v>62</v>
      </c>
      <c r="AF45" t="s">
        <v>62</v>
      </c>
      <c r="AG45">
        <v>1</v>
      </c>
      <c r="AH45">
        <v>2</v>
      </c>
      <c r="AI45">
        <v>6</v>
      </c>
      <c r="AJ45">
        <v>0.25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</v>
      </c>
      <c r="AT45">
        <v>0</v>
      </c>
      <c r="AU45">
        <v>12</v>
      </c>
      <c r="AV45">
        <v>10</v>
      </c>
      <c r="AW45">
        <v>29</v>
      </c>
      <c r="AX45">
        <v>4</v>
      </c>
      <c r="AY45">
        <v>24</v>
      </c>
      <c r="AZ45">
        <v>4</v>
      </c>
      <c r="BA45" t="s">
        <v>12528</v>
      </c>
      <c r="BB45" t="s">
        <v>12529</v>
      </c>
      <c r="BC45">
        <v>9.0999999999999998E-2</v>
      </c>
      <c r="BD45" t="s">
        <v>65</v>
      </c>
      <c r="BE45">
        <v>53</v>
      </c>
      <c r="BF45">
        <v>8</v>
      </c>
      <c r="BG45" t="s">
        <v>12530</v>
      </c>
      <c r="BH45" t="s">
        <v>12531</v>
      </c>
      <c r="BI45" t="s">
        <v>12532</v>
      </c>
      <c r="BJ45">
        <v>4.6789999999999998E-2</v>
      </c>
      <c r="BK45">
        <v>1</v>
      </c>
      <c r="BL45" t="s">
        <v>69</v>
      </c>
      <c r="BM45">
        <v>-7.9000000000000001E-2</v>
      </c>
      <c r="BN45">
        <v>-1.2549999999999999</v>
      </c>
    </row>
    <row r="46" spans="2:66">
      <c r="B46">
        <v>76</v>
      </c>
      <c r="C46">
        <v>280</v>
      </c>
      <c r="D46">
        <v>2</v>
      </c>
      <c r="E46">
        <v>11</v>
      </c>
      <c r="F46">
        <v>0</v>
      </c>
      <c r="J46">
        <v>0</v>
      </c>
      <c r="K46">
        <v>2</v>
      </c>
      <c r="L46">
        <v>0</v>
      </c>
      <c r="M46" t="s">
        <v>25022</v>
      </c>
      <c r="N46">
        <v>2016</v>
      </c>
      <c r="O46" t="s">
        <v>12539</v>
      </c>
      <c r="P46" t="s">
        <v>62</v>
      </c>
      <c r="Q46">
        <v>2107508</v>
      </c>
      <c r="R46">
        <v>2108758</v>
      </c>
      <c r="S46" t="s">
        <v>12540</v>
      </c>
      <c r="T46">
        <v>417</v>
      </c>
      <c r="U46" t="s">
        <v>108</v>
      </c>
      <c r="V46">
        <v>44</v>
      </c>
      <c r="W46" t="str">
        <f>HYPERLINK("Gene2016-zp_tree_all.dnd", "Gene2016-tree")</f>
        <v>Gene2016-tree</v>
      </c>
      <c r="X46">
        <v>8</v>
      </c>
      <c r="Y46">
        <v>6</v>
      </c>
      <c r="Z46">
        <v>8</v>
      </c>
      <c r="AA46">
        <v>6</v>
      </c>
      <c r="AB46">
        <v>0.42857000000000001</v>
      </c>
      <c r="AC46" t="s">
        <v>136</v>
      </c>
      <c r="AD46" t="s">
        <v>90</v>
      </c>
      <c r="AE46" t="s">
        <v>62</v>
      </c>
      <c r="AF46" t="s">
        <v>62</v>
      </c>
      <c r="AG46">
        <v>1</v>
      </c>
      <c r="AH46">
        <v>2</v>
      </c>
      <c r="AI46">
        <v>9</v>
      </c>
      <c r="AJ46">
        <v>0.18182000000000001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7</v>
      </c>
      <c r="AT46">
        <v>0</v>
      </c>
      <c r="AU46">
        <v>12</v>
      </c>
      <c r="AV46">
        <v>10</v>
      </c>
      <c r="AW46">
        <v>42</v>
      </c>
      <c r="AX46">
        <v>7</v>
      </c>
      <c r="AY46">
        <v>23</v>
      </c>
      <c r="AZ46">
        <v>4</v>
      </c>
      <c r="BA46" t="s">
        <v>12541</v>
      </c>
      <c r="BB46" t="s">
        <v>12542</v>
      </c>
      <c r="BC46">
        <v>5.5E-2</v>
      </c>
      <c r="BD46" t="s">
        <v>65</v>
      </c>
      <c r="BE46">
        <v>65</v>
      </c>
      <c r="BF46">
        <v>11</v>
      </c>
      <c r="BG46" t="s">
        <v>12543</v>
      </c>
      <c r="BH46" t="s">
        <v>12544</v>
      </c>
      <c r="BI46" t="s">
        <v>12545</v>
      </c>
      <c r="BJ46">
        <v>4.614E-2</v>
      </c>
      <c r="BK46">
        <v>1</v>
      </c>
      <c r="BL46" t="s">
        <v>69</v>
      </c>
      <c r="BM46">
        <v>-1.155</v>
      </c>
      <c r="BN46">
        <v>-1.3320000000000001</v>
      </c>
    </row>
    <row r="47" spans="2:66">
      <c r="B47">
        <v>77</v>
      </c>
      <c r="C47">
        <v>55</v>
      </c>
      <c r="D47">
        <v>0</v>
      </c>
      <c r="E47">
        <v>10</v>
      </c>
      <c r="F47">
        <v>0</v>
      </c>
      <c r="J47">
        <v>0</v>
      </c>
      <c r="K47">
        <v>8</v>
      </c>
      <c r="L47">
        <v>2</v>
      </c>
      <c r="M47" t="s">
        <v>25022</v>
      </c>
      <c r="N47">
        <v>2017</v>
      </c>
      <c r="O47" t="s">
        <v>12546</v>
      </c>
      <c r="P47" t="s">
        <v>62</v>
      </c>
      <c r="Q47">
        <v>2108777</v>
      </c>
      <c r="R47">
        <v>2111608</v>
      </c>
      <c r="S47" t="s">
        <v>12547</v>
      </c>
      <c r="T47">
        <v>944</v>
      </c>
      <c r="U47" t="s">
        <v>749</v>
      </c>
      <c r="V47">
        <v>47</v>
      </c>
      <c r="W47" t="str">
        <f>HYPERLINK("Gene2017-zp_tree_all.dnd", "Gene2017-tree")</f>
        <v>Gene2017-tree</v>
      </c>
      <c r="X47">
        <v>7</v>
      </c>
      <c r="Y47">
        <v>10</v>
      </c>
      <c r="Z47">
        <v>7</v>
      </c>
      <c r="AA47">
        <v>10</v>
      </c>
      <c r="AB47">
        <v>0.58823999999999999</v>
      </c>
      <c r="AC47" t="s">
        <v>152</v>
      </c>
      <c r="AD47" t="s">
        <v>117</v>
      </c>
      <c r="AE47" t="s">
        <v>62</v>
      </c>
      <c r="AF47" t="s">
        <v>62</v>
      </c>
      <c r="AG47">
        <v>4</v>
      </c>
      <c r="AH47">
        <v>10</v>
      </c>
      <c r="AI47">
        <v>20</v>
      </c>
      <c r="AJ47">
        <v>0.33333000000000002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</v>
      </c>
      <c r="AR47">
        <v>2</v>
      </c>
      <c r="AS47">
        <v>15</v>
      </c>
      <c r="AT47">
        <v>0.11765</v>
      </c>
      <c r="AU47">
        <v>16</v>
      </c>
      <c r="AV47">
        <v>14</v>
      </c>
      <c r="AW47">
        <v>165</v>
      </c>
      <c r="AX47">
        <v>17</v>
      </c>
      <c r="AY47">
        <v>144</v>
      </c>
      <c r="AZ47">
        <v>13</v>
      </c>
      <c r="BA47" t="s">
        <v>12548</v>
      </c>
      <c r="BB47" t="s">
        <v>12549</v>
      </c>
      <c r="BC47">
        <v>0.09</v>
      </c>
      <c r="BD47" t="s">
        <v>65</v>
      </c>
      <c r="BE47">
        <v>309</v>
      </c>
      <c r="BF47">
        <v>30</v>
      </c>
      <c r="BG47" t="s">
        <v>12550</v>
      </c>
      <c r="BH47" t="s">
        <v>12551</v>
      </c>
      <c r="BI47" t="s">
        <v>2218</v>
      </c>
      <c r="BJ47">
        <v>2.7529999999999999E-2</v>
      </c>
      <c r="BK47">
        <v>1</v>
      </c>
      <c r="BL47" t="s">
        <v>69</v>
      </c>
      <c r="BM47">
        <v>-1.5820000000000001</v>
      </c>
      <c r="BN47">
        <v>-1.2589999999999999</v>
      </c>
    </row>
    <row r="48" spans="2:66">
      <c r="B48">
        <v>78</v>
      </c>
      <c r="C48">
        <v>85</v>
      </c>
      <c r="D48">
        <v>0</v>
      </c>
      <c r="E48">
        <v>0</v>
      </c>
      <c r="F48">
        <v>2</v>
      </c>
      <c r="J48">
        <v>0</v>
      </c>
      <c r="K48">
        <v>13</v>
      </c>
      <c r="L48">
        <v>0</v>
      </c>
      <c r="M48" t="s">
        <v>25022</v>
      </c>
      <c r="N48">
        <v>2018</v>
      </c>
      <c r="O48" t="s">
        <v>12552</v>
      </c>
      <c r="P48" t="s">
        <v>62</v>
      </c>
      <c r="Q48">
        <v>2111840</v>
      </c>
      <c r="R48">
        <v>2113753</v>
      </c>
      <c r="S48" t="s">
        <v>12553</v>
      </c>
      <c r="T48">
        <v>638</v>
      </c>
      <c r="U48" t="s">
        <v>108</v>
      </c>
      <c r="V48">
        <v>44</v>
      </c>
      <c r="W48" t="str">
        <f>HYPERLINK("Gene2018-zp_tree_all.dnd", "Gene2018-tree")</f>
        <v>Gene2018-tree</v>
      </c>
      <c r="X48">
        <v>2</v>
      </c>
      <c r="Y48">
        <v>14</v>
      </c>
      <c r="Z48">
        <v>2</v>
      </c>
      <c r="AA48">
        <v>14</v>
      </c>
      <c r="AB48">
        <v>0.875</v>
      </c>
      <c r="AC48" t="s">
        <v>81</v>
      </c>
      <c r="AD48" t="s">
        <v>543</v>
      </c>
      <c r="AE48">
        <v>860908720.12699997</v>
      </c>
      <c r="AF48" t="s">
        <v>267</v>
      </c>
      <c r="AG48">
        <v>5</v>
      </c>
      <c r="AH48">
        <v>13</v>
      </c>
      <c r="AI48">
        <v>21</v>
      </c>
      <c r="AJ48">
        <v>0.38235000000000002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3</v>
      </c>
      <c r="AQ48">
        <v>0</v>
      </c>
      <c r="AR48">
        <v>3</v>
      </c>
      <c r="AS48">
        <v>17</v>
      </c>
      <c r="AT48">
        <v>0.15</v>
      </c>
      <c r="AU48">
        <v>15</v>
      </c>
      <c r="AV48">
        <v>13</v>
      </c>
      <c r="AW48">
        <v>67</v>
      </c>
      <c r="AX48">
        <v>21</v>
      </c>
      <c r="AY48">
        <v>61</v>
      </c>
      <c r="AZ48">
        <v>14</v>
      </c>
      <c r="BA48" t="s">
        <v>12554</v>
      </c>
      <c r="BB48" t="s">
        <v>12555</v>
      </c>
      <c r="BC48">
        <v>0.73499999999999999</v>
      </c>
      <c r="BD48" t="s">
        <v>65</v>
      </c>
      <c r="BE48">
        <v>128</v>
      </c>
      <c r="BF48">
        <v>35</v>
      </c>
      <c r="BG48" t="s">
        <v>12556</v>
      </c>
      <c r="BH48" t="s">
        <v>12557</v>
      </c>
      <c r="BI48" t="s">
        <v>12558</v>
      </c>
      <c r="BJ48">
        <v>6.726E-2</v>
      </c>
      <c r="BK48">
        <v>1</v>
      </c>
      <c r="BL48" t="s">
        <v>69</v>
      </c>
      <c r="BM48">
        <v>-0.60299999999999998</v>
      </c>
      <c r="BN48">
        <v>-0.88900000000000001</v>
      </c>
    </row>
    <row r="49" spans="2:66">
      <c r="B49">
        <v>79</v>
      </c>
      <c r="C49">
        <v>26</v>
      </c>
      <c r="D49">
        <v>0</v>
      </c>
      <c r="E49">
        <v>3</v>
      </c>
      <c r="F49">
        <v>0</v>
      </c>
      <c r="J49">
        <v>0</v>
      </c>
      <c r="K49">
        <v>2</v>
      </c>
      <c r="L49">
        <v>0</v>
      </c>
      <c r="M49" t="s">
        <v>25022</v>
      </c>
      <c r="N49">
        <v>2019</v>
      </c>
      <c r="O49" t="s">
        <v>12559</v>
      </c>
      <c r="P49" t="s">
        <v>62</v>
      </c>
      <c r="Q49">
        <v>2113767</v>
      </c>
      <c r="R49">
        <v>2114678</v>
      </c>
      <c r="S49" t="s">
        <v>12560</v>
      </c>
      <c r="T49">
        <v>304</v>
      </c>
      <c r="U49" t="s">
        <v>108</v>
      </c>
      <c r="V49">
        <v>44</v>
      </c>
      <c r="W49" t="str">
        <f>HYPERLINK("Gene2019-zp_tree_all.dnd", "Gene2019-tree")</f>
        <v>Gene2019-tree</v>
      </c>
      <c r="X49">
        <v>9</v>
      </c>
      <c r="Y49">
        <v>6</v>
      </c>
      <c r="Z49">
        <v>9</v>
      </c>
      <c r="AA49">
        <v>6</v>
      </c>
      <c r="AB49">
        <v>0.4</v>
      </c>
      <c r="AC49" t="s">
        <v>135</v>
      </c>
      <c r="AD49" t="s">
        <v>90</v>
      </c>
      <c r="AE49" t="s">
        <v>62</v>
      </c>
      <c r="AF49" t="s">
        <v>62</v>
      </c>
      <c r="AG49">
        <v>1</v>
      </c>
      <c r="AH49">
        <v>2</v>
      </c>
      <c r="AI49">
        <v>8</v>
      </c>
      <c r="AJ49">
        <v>0.2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2</v>
      </c>
      <c r="AS49">
        <v>7</v>
      </c>
      <c r="AT49">
        <v>0.22222</v>
      </c>
      <c r="AU49">
        <v>13</v>
      </c>
      <c r="AV49">
        <v>7</v>
      </c>
      <c r="AW49">
        <v>32</v>
      </c>
      <c r="AX49">
        <v>9</v>
      </c>
      <c r="AY49">
        <v>10</v>
      </c>
      <c r="AZ49">
        <v>1</v>
      </c>
      <c r="BA49" t="s">
        <v>12561</v>
      </c>
      <c r="BB49" t="s">
        <v>12562</v>
      </c>
      <c r="BC49">
        <v>0.624</v>
      </c>
      <c r="BD49" t="s">
        <v>65</v>
      </c>
      <c r="BE49">
        <v>42</v>
      </c>
      <c r="BF49">
        <v>10</v>
      </c>
      <c r="BG49" t="s">
        <v>12563</v>
      </c>
      <c r="BH49" t="s">
        <v>12564</v>
      </c>
      <c r="BI49" t="s">
        <v>12565</v>
      </c>
      <c r="BJ49">
        <v>5.8590000000000003E-2</v>
      </c>
      <c r="BK49">
        <v>1</v>
      </c>
      <c r="BL49" t="s">
        <v>69</v>
      </c>
      <c r="BM49">
        <v>-1.1379999999999999</v>
      </c>
      <c r="BN49">
        <v>-1.296</v>
      </c>
    </row>
    <row r="50" spans="2:66">
      <c r="B50">
        <v>80</v>
      </c>
      <c r="C50">
        <v>52</v>
      </c>
      <c r="D50">
        <v>0</v>
      </c>
      <c r="E50">
        <v>2</v>
      </c>
      <c r="F50">
        <v>0</v>
      </c>
      <c r="J50">
        <v>0</v>
      </c>
      <c r="K50">
        <v>5</v>
      </c>
      <c r="L50">
        <v>0</v>
      </c>
      <c r="M50" t="s">
        <v>25022</v>
      </c>
      <c r="N50">
        <v>2020</v>
      </c>
      <c r="O50" t="s">
        <v>12566</v>
      </c>
      <c r="P50" t="s">
        <v>62</v>
      </c>
      <c r="Q50">
        <v>2114745</v>
      </c>
      <c r="R50">
        <v>2115332</v>
      </c>
      <c r="S50" t="s">
        <v>12567</v>
      </c>
      <c r="T50">
        <v>196</v>
      </c>
      <c r="U50" t="s">
        <v>108</v>
      </c>
      <c r="V50">
        <v>44</v>
      </c>
      <c r="W50" t="str">
        <f>HYPERLINK("Gene2020-zp_tree_all.dnd", "Gene2020-tree")</f>
        <v>Gene2020-tree</v>
      </c>
      <c r="X50">
        <v>8</v>
      </c>
      <c r="Y50">
        <v>6</v>
      </c>
      <c r="Z50">
        <v>8</v>
      </c>
      <c r="AA50">
        <v>6</v>
      </c>
      <c r="AB50">
        <v>0.42857000000000001</v>
      </c>
      <c r="AC50" t="s">
        <v>136</v>
      </c>
      <c r="AD50" t="s">
        <v>90</v>
      </c>
      <c r="AE50" t="s">
        <v>62</v>
      </c>
      <c r="AF50" t="s">
        <v>62</v>
      </c>
      <c r="AG50">
        <v>2</v>
      </c>
      <c r="AH50">
        <v>5</v>
      </c>
      <c r="AI50">
        <v>5</v>
      </c>
      <c r="AJ50">
        <v>0.5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3</v>
      </c>
      <c r="AQ50">
        <v>0</v>
      </c>
      <c r="AR50">
        <v>3</v>
      </c>
      <c r="AS50">
        <v>6</v>
      </c>
      <c r="AT50">
        <v>0.33333000000000002</v>
      </c>
      <c r="AU50">
        <v>12</v>
      </c>
      <c r="AV50">
        <v>7</v>
      </c>
      <c r="AW50">
        <v>19</v>
      </c>
      <c r="AX50">
        <v>9</v>
      </c>
      <c r="AY50">
        <v>8</v>
      </c>
      <c r="AZ50">
        <v>1</v>
      </c>
      <c r="BA50" t="s">
        <v>12568</v>
      </c>
      <c r="BB50" t="s">
        <v>12569</v>
      </c>
      <c r="BC50">
        <v>0.95699999999999996</v>
      </c>
      <c r="BD50" t="s">
        <v>65</v>
      </c>
      <c r="BE50">
        <v>27</v>
      </c>
      <c r="BF50">
        <v>10</v>
      </c>
      <c r="BG50" t="s">
        <v>12570</v>
      </c>
      <c r="BH50" t="s">
        <v>12571</v>
      </c>
      <c r="BI50" t="s">
        <v>12572</v>
      </c>
      <c r="BJ50">
        <v>8.5989999999999997E-2</v>
      </c>
      <c r="BK50">
        <v>1</v>
      </c>
      <c r="BL50" t="s">
        <v>69</v>
      </c>
      <c r="BM50">
        <v>-1.3839999999999999</v>
      </c>
      <c r="BN50">
        <v>-1.2649999999999999</v>
      </c>
    </row>
    <row r="51" spans="2:66">
      <c r="B51">
        <v>86</v>
      </c>
      <c r="C51">
        <v>58</v>
      </c>
      <c r="D51">
        <v>0</v>
      </c>
      <c r="E51">
        <v>2</v>
      </c>
      <c r="F51">
        <v>0</v>
      </c>
      <c r="J51">
        <v>0</v>
      </c>
      <c r="K51">
        <v>0</v>
      </c>
      <c r="L51">
        <v>0</v>
      </c>
      <c r="M51" t="s">
        <v>25022</v>
      </c>
      <c r="N51">
        <v>2021</v>
      </c>
      <c r="O51" t="s">
        <v>12573</v>
      </c>
      <c r="P51" t="s">
        <v>62</v>
      </c>
      <c r="Q51">
        <v>2115428</v>
      </c>
      <c r="R51">
        <v>2116669</v>
      </c>
      <c r="S51" t="s">
        <v>12574</v>
      </c>
      <c r="T51">
        <v>414</v>
      </c>
      <c r="U51" t="s">
        <v>629</v>
      </c>
      <c r="V51">
        <v>43</v>
      </c>
      <c r="W51" t="str">
        <f>HYPERLINK("Gene2021-zp_tree_all.dnd", "Gene2021-tree")</f>
        <v>Gene2021-tree</v>
      </c>
      <c r="X51">
        <v>6</v>
      </c>
      <c r="Y51">
        <v>8</v>
      </c>
      <c r="Z51">
        <v>6</v>
      </c>
      <c r="AA51">
        <v>8</v>
      </c>
      <c r="AB51">
        <v>0.57142999999999999</v>
      </c>
      <c r="AC51" t="s">
        <v>90</v>
      </c>
      <c r="AD51" t="s">
        <v>136</v>
      </c>
      <c r="AE51" t="s">
        <v>62</v>
      </c>
      <c r="AF51" t="s">
        <v>62</v>
      </c>
      <c r="AG51">
        <v>0</v>
      </c>
      <c r="AH51">
        <v>0</v>
      </c>
      <c r="AI51">
        <v>12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11</v>
      </c>
      <c r="AT51">
        <v>0</v>
      </c>
      <c r="AU51">
        <v>12</v>
      </c>
      <c r="AV51">
        <v>10</v>
      </c>
      <c r="AW51">
        <v>34</v>
      </c>
      <c r="AX51">
        <v>11</v>
      </c>
      <c r="AY51">
        <v>23</v>
      </c>
      <c r="AZ51">
        <v>1</v>
      </c>
      <c r="BA51" t="s">
        <v>12575</v>
      </c>
      <c r="BB51" t="s">
        <v>12576</v>
      </c>
      <c r="BC51">
        <v>1.409</v>
      </c>
      <c r="BD51" t="s">
        <v>65</v>
      </c>
      <c r="BE51">
        <v>57</v>
      </c>
      <c r="BF51">
        <v>12</v>
      </c>
      <c r="BG51" t="s">
        <v>12577</v>
      </c>
      <c r="BH51" t="s">
        <v>12578</v>
      </c>
      <c r="BI51" t="s">
        <v>12579</v>
      </c>
      <c r="BJ51">
        <v>5.4190000000000002E-2</v>
      </c>
      <c r="BK51">
        <v>1</v>
      </c>
      <c r="BL51" t="s">
        <v>69</v>
      </c>
      <c r="BM51">
        <v>-0.85499999999999998</v>
      </c>
      <c r="BN51">
        <v>0.13600000000000001</v>
      </c>
    </row>
    <row r="52" spans="2:66">
      <c r="B52">
        <v>87</v>
      </c>
      <c r="C52">
        <v>166</v>
      </c>
      <c r="D52">
        <v>0</v>
      </c>
      <c r="E52">
        <v>2</v>
      </c>
      <c r="F52">
        <v>0</v>
      </c>
      <c r="J52">
        <v>0</v>
      </c>
      <c r="K52">
        <v>2</v>
      </c>
      <c r="L52">
        <v>0</v>
      </c>
      <c r="M52" t="s">
        <v>25022</v>
      </c>
      <c r="N52">
        <v>2022</v>
      </c>
      <c r="O52" t="s">
        <v>12580</v>
      </c>
      <c r="P52" t="s">
        <v>62</v>
      </c>
      <c r="Q52">
        <v>2117054</v>
      </c>
      <c r="R52">
        <v>2118268</v>
      </c>
      <c r="S52" t="s">
        <v>12581</v>
      </c>
      <c r="T52">
        <v>405</v>
      </c>
      <c r="U52" t="s">
        <v>108</v>
      </c>
      <c r="V52">
        <v>44</v>
      </c>
      <c r="W52" t="str">
        <f>HYPERLINK("Gene2022-zp_tree_all.dnd", "Gene2022-tree")</f>
        <v>Gene2022-tree</v>
      </c>
      <c r="X52">
        <v>24</v>
      </c>
      <c r="Y52">
        <v>8</v>
      </c>
      <c r="Z52">
        <v>7</v>
      </c>
      <c r="AA52">
        <v>8</v>
      </c>
      <c r="AB52">
        <v>0.53332999999999997</v>
      </c>
      <c r="AC52" t="s">
        <v>638</v>
      </c>
      <c r="AD52" t="s">
        <v>136</v>
      </c>
      <c r="AE52" t="s">
        <v>62</v>
      </c>
      <c r="AF52" t="s">
        <v>62</v>
      </c>
      <c r="AG52">
        <v>1</v>
      </c>
      <c r="AH52">
        <v>2</v>
      </c>
      <c r="AI52">
        <v>13</v>
      </c>
      <c r="AJ52">
        <v>0.13333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2</v>
      </c>
      <c r="AQ52">
        <v>0</v>
      </c>
      <c r="AR52">
        <v>2</v>
      </c>
      <c r="AS52">
        <v>11</v>
      </c>
      <c r="AT52">
        <v>0.15384999999999999</v>
      </c>
      <c r="AU52">
        <v>13</v>
      </c>
      <c r="AV52">
        <v>9</v>
      </c>
      <c r="AW52">
        <v>47</v>
      </c>
      <c r="AX52">
        <v>15</v>
      </c>
      <c r="AY52">
        <v>25</v>
      </c>
      <c r="AZ52">
        <v>2</v>
      </c>
      <c r="BA52" t="s">
        <v>12582</v>
      </c>
      <c r="BB52" t="s">
        <v>12583</v>
      </c>
      <c r="BC52">
        <v>1.341</v>
      </c>
      <c r="BD52" t="s">
        <v>65</v>
      </c>
      <c r="BE52">
        <v>72</v>
      </c>
      <c r="BF52">
        <v>17</v>
      </c>
      <c r="BG52" t="s">
        <v>12584</v>
      </c>
      <c r="BH52" t="s">
        <v>12585</v>
      </c>
      <c r="BI52" t="s">
        <v>12586</v>
      </c>
      <c r="BJ52">
        <v>6.5640000000000004E-2</v>
      </c>
      <c r="BK52">
        <v>1</v>
      </c>
      <c r="BL52" t="s">
        <v>69</v>
      </c>
      <c r="BM52">
        <v>3.9E-2</v>
      </c>
      <c r="BN52">
        <v>0.378</v>
      </c>
    </row>
    <row r="53" spans="2:66">
      <c r="B53">
        <v>89</v>
      </c>
      <c r="C53">
        <v>192</v>
      </c>
      <c r="D53">
        <v>0</v>
      </c>
      <c r="E53">
        <v>4</v>
      </c>
      <c r="F53">
        <v>0</v>
      </c>
      <c r="J53">
        <v>0</v>
      </c>
      <c r="K53">
        <v>2</v>
      </c>
      <c r="L53">
        <v>0</v>
      </c>
      <c r="M53" t="s">
        <v>25022</v>
      </c>
      <c r="N53">
        <v>2023</v>
      </c>
      <c r="O53" t="s">
        <v>12587</v>
      </c>
      <c r="P53" t="s">
        <v>62</v>
      </c>
      <c r="Q53">
        <v>2118507</v>
      </c>
      <c r="R53">
        <v>2119127</v>
      </c>
      <c r="S53" t="s">
        <v>12588</v>
      </c>
      <c r="T53">
        <v>207</v>
      </c>
      <c r="U53" t="s">
        <v>108</v>
      </c>
      <c r="V53">
        <v>44</v>
      </c>
      <c r="W53" t="str">
        <f>HYPERLINK("Gene2023-zp_tree_all.dnd", "Gene2023-tree")</f>
        <v>Gene2023-tree</v>
      </c>
      <c r="X53">
        <v>10</v>
      </c>
      <c r="Y53">
        <v>3</v>
      </c>
      <c r="Z53">
        <v>10</v>
      </c>
      <c r="AA53">
        <v>3</v>
      </c>
      <c r="AB53">
        <v>0.23077</v>
      </c>
      <c r="AC53" t="s">
        <v>117</v>
      </c>
      <c r="AD53" t="s">
        <v>324</v>
      </c>
      <c r="AE53" t="s">
        <v>62</v>
      </c>
      <c r="AF53" t="s">
        <v>62</v>
      </c>
      <c r="AG53">
        <v>1</v>
      </c>
      <c r="AH53">
        <v>2</v>
      </c>
      <c r="AI53">
        <v>5</v>
      </c>
      <c r="AJ53">
        <v>0.28571000000000002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3</v>
      </c>
      <c r="AT53">
        <v>0</v>
      </c>
      <c r="AU53">
        <v>10</v>
      </c>
      <c r="AV53">
        <v>9</v>
      </c>
      <c r="AW53">
        <v>17</v>
      </c>
      <c r="AX53">
        <v>2</v>
      </c>
      <c r="AY53">
        <v>16</v>
      </c>
      <c r="AZ53">
        <v>6</v>
      </c>
      <c r="BA53" t="s">
        <v>12589</v>
      </c>
      <c r="BB53" t="s">
        <v>12590</v>
      </c>
      <c r="BC53">
        <v>0.97499999999999998</v>
      </c>
      <c r="BD53" t="s">
        <v>65</v>
      </c>
      <c r="BE53">
        <v>33</v>
      </c>
      <c r="BF53">
        <v>8</v>
      </c>
      <c r="BG53" t="s">
        <v>12591</v>
      </c>
      <c r="BH53" t="s">
        <v>12592</v>
      </c>
      <c r="BI53" t="s">
        <v>12593</v>
      </c>
      <c r="BJ53">
        <v>0.1052</v>
      </c>
      <c r="BK53">
        <v>1</v>
      </c>
      <c r="BL53" t="s">
        <v>69</v>
      </c>
      <c r="BM53">
        <v>-0.371</v>
      </c>
      <c r="BN53">
        <v>0.128</v>
      </c>
    </row>
    <row r="54" spans="2:66">
      <c r="B54">
        <v>90</v>
      </c>
      <c r="C54">
        <v>63</v>
      </c>
      <c r="D54">
        <v>0</v>
      </c>
      <c r="E54">
        <v>4</v>
      </c>
      <c r="F54">
        <v>3</v>
      </c>
      <c r="J54">
        <v>0</v>
      </c>
      <c r="K54">
        <v>2</v>
      </c>
      <c r="L54">
        <v>0</v>
      </c>
      <c r="M54" t="s">
        <v>25022</v>
      </c>
      <c r="N54">
        <v>2026</v>
      </c>
      <c r="O54" t="s">
        <v>12608</v>
      </c>
      <c r="P54" t="s">
        <v>62</v>
      </c>
      <c r="Q54">
        <v>2121644</v>
      </c>
      <c r="R54">
        <v>2122306</v>
      </c>
      <c r="S54" t="s">
        <v>12609</v>
      </c>
      <c r="T54">
        <v>221</v>
      </c>
      <c r="U54" t="s">
        <v>59</v>
      </c>
      <c r="V54">
        <v>49</v>
      </c>
      <c r="W54" t="str">
        <f>HYPERLINK("Gene2026-zp_tree_all.dnd", "Gene2026-tree")</f>
        <v>Gene2026-tree</v>
      </c>
      <c r="X54">
        <v>14</v>
      </c>
      <c r="Y54">
        <v>2</v>
      </c>
      <c r="Z54">
        <v>14</v>
      </c>
      <c r="AA54">
        <v>2</v>
      </c>
      <c r="AB54">
        <v>0.125</v>
      </c>
      <c r="AC54" t="s">
        <v>543</v>
      </c>
      <c r="AD54" t="s">
        <v>81</v>
      </c>
      <c r="AE54" t="s">
        <v>62</v>
      </c>
      <c r="AF54" t="s">
        <v>62</v>
      </c>
      <c r="AG54">
        <v>1</v>
      </c>
      <c r="AH54">
        <v>2</v>
      </c>
      <c r="AI54">
        <v>2</v>
      </c>
      <c r="AJ54">
        <v>0.5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  <c r="AU54">
        <v>11</v>
      </c>
      <c r="AV54">
        <v>12</v>
      </c>
      <c r="AW54">
        <v>28</v>
      </c>
      <c r="AX54">
        <v>2</v>
      </c>
      <c r="AY54">
        <v>56</v>
      </c>
      <c r="AZ54">
        <v>2</v>
      </c>
      <c r="BA54" t="s">
        <v>12610</v>
      </c>
      <c r="BB54" t="s">
        <v>12611</v>
      </c>
      <c r="BC54">
        <v>0.22500000000000001</v>
      </c>
      <c r="BD54" t="s">
        <v>65</v>
      </c>
      <c r="BE54">
        <v>84</v>
      </c>
      <c r="BF54">
        <v>4</v>
      </c>
      <c r="BG54" t="s">
        <v>12612</v>
      </c>
      <c r="BH54" t="s">
        <v>12613</v>
      </c>
      <c r="BI54" t="s">
        <v>12614</v>
      </c>
      <c r="BJ54">
        <v>1.486E-2</v>
      </c>
      <c r="BK54">
        <v>1</v>
      </c>
      <c r="BL54" t="s">
        <v>69</v>
      </c>
      <c r="BM54">
        <v>-0.96799999999999997</v>
      </c>
      <c r="BN54">
        <v>0.373</v>
      </c>
    </row>
    <row r="55" spans="2:66">
      <c r="B55">
        <v>91</v>
      </c>
      <c r="C55">
        <v>124</v>
      </c>
      <c r="D55">
        <v>0</v>
      </c>
      <c r="E55">
        <v>2</v>
      </c>
      <c r="F55">
        <v>0</v>
      </c>
      <c r="J55">
        <v>0</v>
      </c>
      <c r="K55">
        <v>0</v>
      </c>
      <c r="L55">
        <v>0</v>
      </c>
      <c r="M55" t="s">
        <v>25022</v>
      </c>
      <c r="N55">
        <v>2027</v>
      </c>
      <c r="O55" t="s">
        <v>12615</v>
      </c>
      <c r="P55" t="s">
        <v>62</v>
      </c>
      <c r="Q55">
        <v>2122328</v>
      </c>
      <c r="R55">
        <v>2122675</v>
      </c>
      <c r="S55" t="s">
        <v>12616</v>
      </c>
      <c r="T55">
        <v>116</v>
      </c>
      <c r="U55" t="s">
        <v>409</v>
      </c>
      <c r="V55">
        <v>45</v>
      </c>
      <c r="W55" t="str">
        <f>HYPERLINK("Gene2027-zp_tree_all.dnd", "Gene2027-tree")</f>
        <v>Gene2027-tree</v>
      </c>
      <c r="X55">
        <v>9</v>
      </c>
      <c r="Y55">
        <v>3</v>
      </c>
      <c r="Z55">
        <v>9</v>
      </c>
      <c r="AA55">
        <v>3</v>
      </c>
      <c r="AB55">
        <v>0.25</v>
      </c>
      <c r="AC55" t="s">
        <v>135</v>
      </c>
      <c r="AD55" t="s">
        <v>324</v>
      </c>
      <c r="AE55" t="s">
        <v>62</v>
      </c>
      <c r="AF55" t="s">
        <v>62</v>
      </c>
      <c r="AG55">
        <v>0</v>
      </c>
      <c r="AH55">
        <v>0</v>
      </c>
      <c r="AI55">
        <v>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5</v>
      </c>
      <c r="AT55">
        <v>0</v>
      </c>
      <c r="AU55">
        <v>8</v>
      </c>
      <c r="AV55">
        <v>5</v>
      </c>
      <c r="AW55">
        <v>20</v>
      </c>
      <c r="AX55">
        <v>5</v>
      </c>
      <c r="AY55">
        <v>7</v>
      </c>
      <c r="AZ55">
        <v>0</v>
      </c>
      <c r="BA55" t="s">
        <v>12617</v>
      </c>
      <c r="BB55" t="s">
        <v>193</v>
      </c>
      <c r="BC55">
        <v>0.67500000000000004</v>
      </c>
      <c r="BD55" t="s">
        <v>65</v>
      </c>
      <c r="BE55">
        <v>27</v>
      </c>
      <c r="BF55">
        <v>5</v>
      </c>
      <c r="BG55" t="s">
        <v>12618</v>
      </c>
      <c r="BH55" t="s">
        <v>12619</v>
      </c>
      <c r="BI55" t="s">
        <v>12620</v>
      </c>
      <c r="BJ55">
        <v>4.6920000000000003E-2</v>
      </c>
      <c r="BK55">
        <v>1</v>
      </c>
      <c r="BL55" t="s">
        <v>69</v>
      </c>
      <c r="BM55">
        <v>-1.4350000000000001</v>
      </c>
      <c r="BN55">
        <v>-3.343</v>
      </c>
    </row>
    <row r="56" spans="2:66">
      <c r="B56">
        <v>92</v>
      </c>
      <c r="C56">
        <v>353</v>
      </c>
      <c r="D56">
        <v>0</v>
      </c>
      <c r="E56">
        <v>5</v>
      </c>
      <c r="F56">
        <v>0</v>
      </c>
      <c r="J56">
        <v>0</v>
      </c>
      <c r="K56">
        <v>0</v>
      </c>
      <c r="L56">
        <v>0</v>
      </c>
      <c r="M56" t="s">
        <v>25022</v>
      </c>
      <c r="N56">
        <v>2028</v>
      </c>
      <c r="O56" t="s">
        <v>12621</v>
      </c>
      <c r="P56" t="s">
        <v>62</v>
      </c>
      <c r="Q56">
        <v>2122675</v>
      </c>
      <c r="R56">
        <v>2122950</v>
      </c>
      <c r="S56" t="s">
        <v>116</v>
      </c>
      <c r="T56">
        <v>92</v>
      </c>
      <c r="U56" t="s">
        <v>572</v>
      </c>
      <c r="V56">
        <v>48</v>
      </c>
      <c r="W56" t="str">
        <f>HYPERLINK("Gene2028-zp_tree_all.dnd", "Gene2028-tree")</f>
        <v>Gene2028-tree</v>
      </c>
      <c r="X56">
        <v>5</v>
      </c>
      <c r="Y56">
        <v>4</v>
      </c>
      <c r="Z56">
        <v>5</v>
      </c>
      <c r="AA56">
        <v>4</v>
      </c>
      <c r="AB56">
        <v>0.44444</v>
      </c>
      <c r="AC56" t="s">
        <v>199</v>
      </c>
      <c r="AD56" t="s">
        <v>61</v>
      </c>
      <c r="AE56" t="s">
        <v>62</v>
      </c>
      <c r="AF56" t="s">
        <v>62</v>
      </c>
      <c r="AG56">
        <v>0</v>
      </c>
      <c r="AH56">
        <v>0</v>
      </c>
      <c r="AI56">
        <v>7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4</v>
      </c>
      <c r="AT56">
        <v>0</v>
      </c>
      <c r="AU56">
        <v>7</v>
      </c>
      <c r="AV56">
        <v>3</v>
      </c>
      <c r="AW56">
        <v>8</v>
      </c>
      <c r="AX56">
        <v>3</v>
      </c>
      <c r="AY56">
        <v>6</v>
      </c>
      <c r="AZ56">
        <v>5</v>
      </c>
      <c r="BA56" t="s">
        <v>12622</v>
      </c>
      <c r="BB56" t="s">
        <v>12623</v>
      </c>
      <c r="BC56">
        <v>0.57599999999999996</v>
      </c>
      <c r="BD56" t="s">
        <v>65</v>
      </c>
      <c r="BE56">
        <v>14</v>
      </c>
      <c r="BF56">
        <v>8</v>
      </c>
      <c r="BG56" t="s">
        <v>12624</v>
      </c>
      <c r="BH56" t="s">
        <v>12625</v>
      </c>
      <c r="BI56" t="s">
        <v>12626</v>
      </c>
      <c r="BJ56">
        <v>0.20036999999999999</v>
      </c>
      <c r="BK56">
        <v>1</v>
      </c>
      <c r="BL56" t="s">
        <v>69</v>
      </c>
      <c r="BM56">
        <v>-1.5029999999999999</v>
      </c>
      <c r="BN56">
        <v>0.22</v>
      </c>
    </row>
    <row r="57" spans="2:66">
      <c r="B57">
        <v>94</v>
      </c>
      <c r="C57">
        <v>344</v>
      </c>
      <c r="D57">
        <v>0</v>
      </c>
      <c r="E57">
        <v>3</v>
      </c>
      <c r="F57">
        <v>2</v>
      </c>
      <c r="J57">
        <v>0</v>
      </c>
      <c r="K57">
        <v>4</v>
      </c>
      <c r="L57">
        <v>3</v>
      </c>
      <c r="M57" t="s">
        <v>25022</v>
      </c>
      <c r="N57">
        <v>2029</v>
      </c>
      <c r="O57" t="s">
        <v>12627</v>
      </c>
      <c r="P57" t="s">
        <v>62</v>
      </c>
      <c r="Q57">
        <v>2123029</v>
      </c>
      <c r="R57">
        <v>2123922</v>
      </c>
      <c r="S57" t="s">
        <v>12628</v>
      </c>
      <c r="T57">
        <v>298</v>
      </c>
      <c r="U57" t="s">
        <v>108</v>
      </c>
      <c r="V57">
        <v>44</v>
      </c>
      <c r="W57" t="str">
        <f>HYPERLINK("Gene2029-zp_tree_all.dnd", "Gene2029-tree")</f>
        <v>Gene2029-tree</v>
      </c>
      <c r="X57">
        <v>6</v>
      </c>
      <c r="Y57">
        <v>27</v>
      </c>
      <c r="Z57">
        <v>6</v>
      </c>
      <c r="AA57">
        <v>8</v>
      </c>
      <c r="AB57">
        <v>0.57142999999999999</v>
      </c>
      <c r="AC57" t="s">
        <v>90</v>
      </c>
      <c r="AD57" t="s">
        <v>282</v>
      </c>
      <c r="AE57">
        <v>3.2989999999999999</v>
      </c>
      <c r="AF57" t="s">
        <v>65</v>
      </c>
      <c r="AG57">
        <v>3</v>
      </c>
      <c r="AH57">
        <v>7</v>
      </c>
      <c r="AI57">
        <v>10</v>
      </c>
      <c r="AJ57">
        <v>0.41176000000000001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2</v>
      </c>
      <c r="AR57">
        <v>2</v>
      </c>
      <c r="AS57">
        <v>8</v>
      </c>
      <c r="AT57">
        <v>0.2</v>
      </c>
      <c r="AU57">
        <v>11</v>
      </c>
      <c r="AV57">
        <v>10</v>
      </c>
      <c r="AW57">
        <v>27</v>
      </c>
      <c r="AX57">
        <v>9</v>
      </c>
      <c r="AY57">
        <v>18</v>
      </c>
      <c r="AZ57">
        <v>8</v>
      </c>
      <c r="BA57" t="s">
        <v>12629</v>
      </c>
      <c r="BB57" t="s">
        <v>12630</v>
      </c>
      <c r="BC57">
        <v>0.39600000000000002</v>
      </c>
      <c r="BD57" t="s">
        <v>65</v>
      </c>
      <c r="BE57">
        <v>45</v>
      </c>
      <c r="BF57">
        <v>17</v>
      </c>
      <c r="BG57" t="s">
        <v>12631</v>
      </c>
      <c r="BH57" t="s">
        <v>12632</v>
      </c>
      <c r="BI57" t="s">
        <v>12633</v>
      </c>
      <c r="BJ57">
        <v>0.13561999999999999</v>
      </c>
      <c r="BK57">
        <v>1</v>
      </c>
      <c r="BL57" t="s">
        <v>69</v>
      </c>
      <c r="BM57">
        <v>-0.57199999999999995</v>
      </c>
      <c r="BN57">
        <v>-1.1080000000000001</v>
      </c>
    </row>
    <row r="58" spans="2:66">
      <c r="B58">
        <v>95</v>
      </c>
      <c r="C58">
        <v>90</v>
      </c>
      <c r="D58">
        <v>0</v>
      </c>
      <c r="E58">
        <v>3</v>
      </c>
      <c r="F58">
        <v>0</v>
      </c>
      <c r="J58">
        <v>0</v>
      </c>
      <c r="K58">
        <v>0</v>
      </c>
      <c r="L58">
        <v>0</v>
      </c>
      <c r="M58" t="s">
        <v>25022</v>
      </c>
      <c r="N58">
        <v>2031</v>
      </c>
      <c r="O58" t="s">
        <v>12641</v>
      </c>
      <c r="P58" t="s">
        <v>62</v>
      </c>
      <c r="Q58">
        <v>2124532</v>
      </c>
      <c r="R58">
        <v>2124765</v>
      </c>
      <c r="S58" t="s">
        <v>288</v>
      </c>
      <c r="T58">
        <v>78</v>
      </c>
      <c r="U58" t="s">
        <v>108</v>
      </c>
      <c r="V58">
        <v>44</v>
      </c>
      <c r="W58" t="str">
        <f>HYPERLINK("Gene2031-zp_tree_all.dnd", "Gene2031-tree")</f>
        <v>Gene2031-tree</v>
      </c>
      <c r="X58">
        <v>29</v>
      </c>
      <c r="Y58">
        <v>4</v>
      </c>
      <c r="Z58">
        <v>6</v>
      </c>
      <c r="AA58">
        <v>4</v>
      </c>
      <c r="AB58">
        <v>0.4</v>
      </c>
      <c r="AC58" t="s">
        <v>3696</v>
      </c>
      <c r="AD58" t="s">
        <v>61</v>
      </c>
      <c r="AE58" t="s">
        <v>62</v>
      </c>
      <c r="AF58" t="s">
        <v>62</v>
      </c>
      <c r="AG58">
        <v>0</v>
      </c>
      <c r="AH58">
        <v>0</v>
      </c>
      <c r="AI58">
        <v>7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5</v>
      </c>
      <c r="AT58">
        <v>0</v>
      </c>
      <c r="AU58">
        <v>7</v>
      </c>
      <c r="AV58">
        <v>3</v>
      </c>
      <c r="AW58">
        <v>8</v>
      </c>
      <c r="AX58">
        <v>5</v>
      </c>
      <c r="AY58">
        <v>1</v>
      </c>
      <c r="AZ58">
        <v>3</v>
      </c>
      <c r="BA58" t="s">
        <v>12642</v>
      </c>
      <c r="BB58" t="s">
        <v>12643</v>
      </c>
      <c r="BC58">
        <v>0.51300000000000001</v>
      </c>
      <c r="BD58" t="s">
        <v>65</v>
      </c>
      <c r="BE58">
        <v>9</v>
      </c>
      <c r="BF58">
        <v>8</v>
      </c>
      <c r="BG58" t="s">
        <v>12644</v>
      </c>
      <c r="BH58" t="s">
        <v>12645</v>
      </c>
      <c r="BI58" t="s">
        <v>12646</v>
      </c>
      <c r="BJ58">
        <v>0.50039999999999996</v>
      </c>
      <c r="BK58">
        <v>0.80800000000000005</v>
      </c>
      <c r="BL58" t="s">
        <v>635</v>
      </c>
      <c r="BM58">
        <v>-0.97199999999999998</v>
      </c>
      <c r="BN58">
        <v>-1.3680000000000001</v>
      </c>
    </row>
    <row r="59" spans="2:66">
      <c r="B59">
        <v>97</v>
      </c>
      <c r="C59">
        <v>94</v>
      </c>
      <c r="D59">
        <v>0</v>
      </c>
      <c r="E59">
        <v>2</v>
      </c>
      <c r="F59">
        <v>0</v>
      </c>
      <c r="J59">
        <v>0</v>
      </c>
      <c r="K59">
        <v>11</v>
      </c>
      <c r="L59">
        <v>2</v>
      </c>
      <c r="M59" t="s">
        <v>25022</v>
      </c>
      <c r="N59">
        <v>2032</v>
      </c>
      <c r="O59" t="s">
        <v>12647</v>
      </c>
      <c r="P59" t="s">
        <v>62</v>
      </c>
      <c r="Q59">
        <v>2124853</v>
      </c>
      <c r="R59">
        <v>2126184</v>
      </c>
      <c r="S59" t="s">
        <v>12648</v>
      </c>
      <c r="T59">
        <v>444</v>
      </c>
      <c r="U59" t="s">
        <v>5228</v>
      </c>
      <c r="V59">
        <v>43</v>
      </c>
      <c r="W59" t="str">
        <f>HYPERLINK("Gene2032-zp_tree_all.dnd", "Gene2032-tree")</f>
        <v>Gene2032-tree</v>
      </c>
      <c r="X59">
        <v>4</v>
      </c>
      <c r="Y59">
        <v>8</v>
      </c>
      <c r="Z59">
        <v>4</v>
      </c>
      <c r="AA59">
        <v>8</v>
      </c>
      <c r="AB59">
        <v>0.66666999999999998</v>
      </c>
      <c r="AC59" t="s">
        <v>61</v>
      </c>
      <c r="AD59" t="s">
        <v>136</v>
      </c>
      <c r="AE59" t="s">
        <v>62</v>
      </c>
      <c r="AF59" t="s">
        <v>62</v>
      </c>
      <c r="AG59">
        <v>5</v>
      </c>
      <c r="AH59">
        <v>13</v>
      </c>
      <c r="AI59">
        <v>17</v>
      </c>
      <c r="AJ59">
        <v>0.43332999999999999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</v>
      </c>
      <c r="AQ59">
        <v>2</v>
      </c>
      <c r="AR59">
        <v>5</v>
      </c>
      <c r="AS59">
        <v>17</v>
      </c>
      <c r="AT59">
        <v>0.22727</v>
      </c>
      <c r="AU59">
        <v>12</v>
      </c>
      <c r="AV59">
        <v>9</v>
      </c>
      <c r="AW59">
        <v>41</v>
      </c>
      <c r="AX59">
        <v>22</v>
      </c>
      <c r="AY59">
        <v>19</v>
      </c>
      <c r="AZ59">
        <v>8</v>
      </c>
      <c r="BA59" t="s">
        <v>12649</v>
      </c>
      <c r="BB59" t="s">
        <v>12650</v>
      </c>
      <c r="BC59">
        <v>0.4</v>
      </c>
      <c r="BD59" t="s">
        <v>65</v>
      </c>
      <c r="BE59">
        <v>60</v>
      </c>
      <c r="BF59">
        <v>30</v>
      </c>
      <c r="BG59" t="s">
        <v>12651</v>
      </c>
      <c r="BH59" t="s">
        <v>12652</v>
      </c>
      <c r="BI59" t="s">
        <v>12653</v>
      </c>
      <c r="BJ59">
        <v>0.16205</v>
      </c>
      <c r="BK59">
        <v>1</v>
      </c>
      <c r="BL59" t="s">
        <v>69</v>
      </c>
      <c r="BM59">
        <v>-0.19</v>
      </c>
      <c r="BN59">
        <v>-0.55800000000000005</v>
      </c>
    </row>
    <row r="60" spans="2:66">
      <c r="B60">
        <v>100</v>
      </c>
      <c r="C60">
        <v>5</v>
      </c>
      <c r="D60">
        <v>0</v>
      </c>
      <c r="E60">
        <v>2</v>
      </c>
      <c r="F60">
        <v>0</v>
      </c>
      <c r="J60">
        <v>0</v>
      </c>
      <c r="K60">
        <v>0</v>
      </c>
      <c r="L60">
        <v>0</v>
      </c>
      <c r="M60" t="s">
        <v>25022</v>
      </c>
      <c r="N60">
        <v>2034</v>
      </c>
      <c r="O60" t="s">
        <v>12661</v>
      </c>
      <c r="P60" t="s">
        <v>62</v>
      </c>
      <c r="Q60">
        <v>2127348</v>
      </c>
      <c r="R60">
        <v>2127683</v>
      </c>
      <c r="S60" t="s">
        <v>12662</v>
      </c>
      <c r="T60">
        <v>112</v>
      </c>
      <c r="U60" t="s">
        <v>465</v>
      </c>
      <c r="V60">
        <v>46</v>
      </c>
      <c r="W60" t="str">
        <f>HYPERLINK("Gene2034-zp_tree_all.dnd", "Gene2034-tree")</f>
        <v>Gene2034-tree</v>
      </c>
      <c r="X60">
        <v>8</v>
      </c>
      <c r="Y60">
        <v>2</v>
      </c>
      <c r="Z60">
        <v>8</v>
      </c>
      <c r="AA60">
        <v>2</v>
      </c>
      <c r="AB60">
        <v>0.2</v>
      </c>
      <c r="AC60" t="s">
        <v>136</v>
      </c>
      <c r="AD60" t="s">
        <v>81</v>
      </c>
      <c r="AE60" t="s">
        <v>62</v>
      </c>
      <c r="AF60" t="s">
        <v>62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0</v>
      </c>
      <c r="AU60">
        <v>6</v>
      </c>
      <c r="AV60">
        <v>3</v>
      </c>
      <c r="AW60">
        <v>17</v>
      </c>
      <c r="AX60">
        <v>3</v>
      </c>
      <c r="AY60">
        <v>4</v>
      </c>
      <c r="AZ60">
        <v>0</v>
      </c>
      <c r="BA60" t="s">
        <v>12663</v>
      </c>
      <c r="BB60" t="s">
        <v>193</v>
      </c>
      <c r="BC60">
        <v>0.52700000000000002</v>
      </c>
      <c r="BD60" t="s">
        <v>65</v>
      </c>
      <c r="BE60">
        <v>21</v>
      </c>
      <c r="BF60">
        <v>3</v>
      </c>
      <c r="BG60" t="s">
        <v>12664</v>
      </c>
      <c r="BH60" t="s">
        <v>12665</v>
      </c>
      <c r="BI60" t="s">
        <v>12666</v>
      </c>
      <c r="BJ60">
        <v>3.2559999999999999E-2</v>
      </c>
      <c r="BK60">
        <v>1</v>
      </c>
      <c r="BL60" t="s">
        <v>69</v>
      </c>
      <c r="BM60">
        <v>-1.4139999999999999</v>
      </c>
      <c r="BN60">
        <v>1.3480000000000001</v>
      </c>
    </row>
    <row r="61" spans="2:66">
      <c r="B61">
        <v>106</v>
      </c>
      <c r="C61">
        <v>104</v>
      </c>
      <c r="D61">
        <v>0</v>
      </c>
      <c r="E61">
        <v>7</v>
      </c>
      <c r="F61">
        <v>1</v>
      </c>
      <c r="J61">
        <v>0</v>
      </c>
      <c r="K61">
        <v>2</v>
      </c>
      <c r="L61">
        <v>0</v>
      </c>
      <c r="M61" t="s">
        <v>25022</v>
      </c>
      <c r="N61">
        <v>2036</v>
      </c>
      <c r="O61" t="s">
        <v>12674</v>
      </c>
      <c r="P61" t="s">
        <v>62</v>
      </c>
      <c r="Q61">
        <v>2128467</v>
      </c>
      <c r="R61">
        <v>2129066</v>
      </c>
      <c r="S61" t="s">
        <v>2512</v>
      </c>
      <c r="T61">
        <v>200</v>
      </c>
      <c r="U61" t="s">
        <v>108</v>
      </c>
      <c r="V61">
        <v>44</v>
      </c>
      <c r="W61" t="str">
        <f>HYPERLINK("Gene2036-zp_tree_all.dnd", "Gene2036-tree")</f>
        <v>Gene2036-tree</v>
      </c>
      <c r="X61">
        <v>6</v>
      </c>
      <c r="Y61">
        <v>5</v>
      </c>
      <c r="Z61">
        <v>6</v>
      </c>
      <c r="AA61">
        <v>5</v>
      </c>
      <c r="AB61">
        <v>0.45455000000000001</v>
      </c>
      <c r="AC61" t="s">
        <v>90</v>
      </c>
      <c r="AD61" t="s">
        <v>199</v>
      </c>
      <c r="AE61" t="s">
        <v>62</v>
      </c>
      <c r="AF61" t="s">
        <v>62</v>
      </c>
      <c r="AG61">
        <v>1</v>
      </c>
      <c r="AH61">
        <v>2</v>
      </c>
      <c r="AI61">
        <v>10</v>
      </c>
      <c r="AJ61">
        <v>0.16667000000000001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8</v>
      </c>
      <c r="AT61">
        <v>0</v>
      </c>
      <c r="AU61">
        <v>8</v>
      </c>
      <c r="AV61">
        <v>6</v>
      </c>
      <c r="AW61">
        <v>18</v>
      </c>
      <c r="AX61">
        <v>6</v>
      </c>
      <c r="AY61">
        <v>5</v>
      </c>
      <c r="AZ61">
        <v>7</v>
      </c>
      <c r="BA61" t="s">
        <v>12675</v>
      </c>
      <c r="BB61" t="s">
        <v>12676</v>
      </c>
      <c r="BC61">
        <v>1.7050000000000001</v>
      </c>
      <c r="BD61" t="s">
        <v>65</v>
      </c>
      <c r="BE61">
        <v>23</v>
      </c>
      <c r="BF61">
        <v>13</v>
      </c>
      <c r="BG61" t="s">
        <v>12677</v>
      </c>
      <c r="BH61" t="s">
        <v>12678</v>
      </c>
      <c r="BI61" t="s">
        <v>12679</v>
      </c>
      <c r="BJ61">
        <v>0.24593999999999999</v>
      </c>
      <c r="BK61">
        <v>1</v>
      </c>
      <c r="BL61" t="s">
        <v>69</v>
      </c>
      <c r="BM61">
        <v>-0.496</v>
      </c>
      <c r="BN61">
        <v>-0.83699999999999997</v>
      </c>
    </row>
    <row r="62" spans="2:66">
      <c r="B62">
        <v>113</v>
      </c>
      <c r="C62">
        <v>251</v>
      </c>
      <c r="D62">
        <v>0</v>
      </c>
      <c r="E62">
        <v>6</v>
      </c>
      <c r="F62">
        <v>0</v>
      </c>
      <c r="J62">
        <v>2</v>
      </c>
      <c r="K62">
        <v>10</v>
      </c>
      <c r="L62">
        <v>5</v>
      </c>
      <c r="M62" t="s">
        <v>25022</v>
      </c>
      <c r="N62">
        <v>2037</v>
      </c>
      <c r="O62" t="s">
        <v>12680</v>
      </c>
      <c r="P62" t="s">
        <v>62</v>
      </c>
      <c r="Q62">
        <v>2129085</v>
      </c>
      <c r="R62">
        <v>2129993</v>
      </c>
      <c r="S62" t="s">
        <v>12681</v>
      </c>
      <c r="T62">
        <v>303</v>
      </c>
      <c r="U62" t="s">
        <v>108</v>
      </c>
      <c r="V62">
        <v>44</v>
      </c>
      <c r="W62" t="str">
        <f>HYPERLINK("Gene2037-zp_tree_all.dnd", "Gene2037-tree")</f>
        <v>Gene2037-tree</v>
      </c>
      <c r="X62">
        <v>1</v>
      </c>
      <c r="Y62">
        <v>13</v>
      </c>
      <c r="Z62">
        <v>1</v>
      </c>
      <c r="AA62">
        <v>13</v>
      </c>
      <c r="AB62">
        <v>0.92857000000000001</v>
      </c>
      <c r="AC62" t="s">
        <v>175</v>
      </c>
      <c r="AD62" t="s">
        <v>507</v>
      </c>
      <c r="AE62" t="s">
        <v>62</v>
      </c>
      <c r="AF62" t="s">
        <v>62</v>
      </c>
      <c r="AG62">
        <v>6</v>
      </c>
      <c r="AH62">
        <v>17</v>
      </c>
      <c r="AI62">
        <v>13</v>
      </c>
      <c r="AJ62">
        <v>0.56667000000000001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5</v>
      </c>
      <c r="AQ62">
        <v>4</v>
      </c>
      <c r="AR62">
        <v>9</v>
      </c>
      <c r="AS62">
        <v>13</v>
      </c>
      <c r="AT62">
        <v>0.40909000000000001</v>
      </c>
      <c r="AU62">
        <v>11</v>
      </c>
      <c r="AV62">
        <v>10</v>
      </c>
      <c r="AW62">
        <v>31</v>
      </c>
      <c r="AX62">
        <v>20</v>
      </c>
      <c r="AY62">
        <v>9</v>
      </c>
      <c r="AZ62">
        <v>11</v>
      </c>
      <c r="BA62" t="s">
        <v>12682</v>
      </c>
      <c r="BB62" t="s">
        <v>12683</v>
      </c>
      <c r="BC62">
        <v>1.202</v>
      </c>
      <c r="BD62" t="s">
        <v>65</v>
      </c>
      <c r="BE62">
        <v>40</v>
      </c>
      <c r="BF62">
        <v>31</v>
      </c>
      <c r="BG62" t="s">
        <v>12684</v>
      </c>
      <c r="BH62" t="s">
        <v>12685</v>
      </c>
      <c r="BI62" t="s">
        <v>12686</v>
      </c>
      <c r="BJ62">
        <v>0.20354</v>
      </c>
      <c r="BK62">
        <v>1</v>
      </c>
      <c r="BL62" t="s">
        <v>69</v>
      </c>
      <c r="BM62">
        <v>-0.97699999999999998</v>
      </c>
      <c r="BN62">
        <v>-1.7629999999999999</v>
      </c>
    </row>
    <row r="63" spans="2:66">
      <c r="B63">
        <v>114</v>
      </c>
      <c r="C63">
        <v>170</v>
      </c>
      <c r="D63">
        <v>0</v>
      </c>
      <c r="E63">
        <v>10</v>
      </c>
      <c r="F63">
        <v>7</v>
      </c>
      <c r="J63">
        <v>0</v>
      </c>
      <c r="K63">
        <v>7</v>
      </c>
      <c r="L63">
        <v>0</v>
      </c>
      <c r="M63" t="s">
        <v>25022</v>
      </c>
      <c r="N63">
        <v>2040</v>
      </c>
      <c r="O63" t="s">
        <v>12701</v>
      </c>
      <c r="P63" t="s">
        <v>62</v>
      </c>
      <c r="Q63">
        <v>2131905</v>
      </c>
      <c r="R63">
        <v>2133302</v>
      </c>
      <c r="S63" t="s">
        <v>12702</v>
      </c>
      <c r="T63">
        <v>466</v>
      </c>
      <c r="U63" t="s">
        <v>108</v>
      </c>
      <c r="V63">
        <v>44</v>
      </c>
      <c r="W63" t="str">
        <f>HYPERLINK("Gene2040-zp_tree_all.dnd", "Gene2040-tree")</f>
        <v>Gene2040-tree</v>
      </c>
      <c r="X63">
        <v>7</v>
      </c>
      <c r="Y63">
        <v>7</v>
      </c>
      <c r="Z63">
        <v>7</v>
      </c>
      <c r="AA63">
        <v>7</v>
      </c>
      <c r="AB63">
        <v>0.5</v>
      </c>
      <c r="AC63" t="s">
        <v>152</v>
      </c>
      <c r="AD63" t="s">
        <v>152</v>
      </c>
      <c r="AE63" t="s">
        <v>62</v>
      </c>
      <c r="AF63" t="s">
        <v>62</v>
      </c>
      <c r="AG63">
        <v>3</v>
      </c>
      <c r="AH63">
        <v>7</v>
      </c>
      <c r="AI63">
        <v>11</v>
      </c>
      <c r="AJ63">
        <v>0.38889000000000001</v>
      </c>
      <c r="AK63">
        <v>0</v>
      </c>
      <c r="AL63">
        <v>0</v>
      </c>
      <c r="AM63">
        <v>0</v>
      </c>
      <c r="AN63">
        <v>2</v>
      </c>
      <c r="AO63">
        <v>0</v>
      </c>
      <c r="AP63">
        <v>2</v>
      </c>
      <c r="AQ63">
        <v>0</v>
      </c>
      <c r="AR63">
        <v>2</v>
      </c>
      <c r="AS63">
        <v>7</v>
      </c>
      <c r="AT63">
        <v>0.22222</v>
      </c>
      <c r="AU63">
        <v>11</v>
      </c>
      <c r="AV63">
        <v>10</v>
      </c>
      <c r="AW63">
        <v>30</v>
      </c>
      <c r="AX63">
        <v>9</v>
      </c>
      <c r="AY63">
        <v>18</v>
      </c>
      <c r="AZ63">
        <v>9</v>
      </c>
      <c r="BA63" t="s">
        <v>12703</v>
      </c>
      <c r="BB63" t="s">
        <v>12704</v>
      </c>
      <c r="BC63">
        <v>0.65200000000000002</v>
      </c>
      <c r="BD63" t="s">
        <v>65</v>
      </c>
      <c r="BE63">
        <v>48</v>
      </c>
      <c r="BF63">
        <v>18</v>
      </c>
      <c r="BG63" t="s">
        <v>12705</v>
      </c>
      <c r="BH63" t="s">
        <v>12706</v>
      </c>
      <c r="BI63" t="s">
        <v>12707</v>
      </c>
      <c r="BJ63">
        <v>0.11230999999999999</v>
      </c>
      <c r="BK63">
        <v>1</v>
      </c>
      <c r="BL63" t="s">
        <v>69</v>
      </c>
      <c r="BM63">
        <v>-0.63700000000000001</v>
      </c>
      <c r="BN63">
        <v>-1.194</v>
      </c>
    </row>
    <row r="64" spans="2:66">
      <c r="B64">
        <v>117</v>
      </c>
      <c r="C64">
        <v>48</v>
      </c>
      <c r="D64">
        <v>0</v>
      </c>
      <c r="E64">
        <v>2</v>
      </c>
      <c r="F64">
        <v>0</v>
      </c>
      <c r="J64">
        <v>0</v>
      </c>
      <c r="K64">
        <v>4</v>
      </c>
      <c r="L64">
        <v>2</v>
      </c>
      <c r="M64" t="s">
        <v>25022</v>
      </c>
      <c r="N64">
        <v>2043</v>
      </c>
      <c r="O64" t="s">
        <v>12722</v>
      </c>
      <c r="P64" t="s">
        <v>62</v>
      </c>
      <c r="Q64">
        <v>2134569</v>
      </c>
      <c r="R64">
        <v>2135387</v>
      </c>
      <c r="S64" t="s">
        <v>12723</v>
      </c>
      <c r="T64">
        <v>273</v>
      </c>
      <c r="U64" t="s">
        <v>698</v>
      </c>
      <c r="V64">
        <v>47</v>
      </c>
      <c r="W64" t="str">
        <f>HYPERLINK("Gene2043-zp_tree_all.dnd", "Gene2043-tree")</f>
        <v>Gene2043-tree</v>
      </c>
      <c r="X64">
        <v>8</v>
      </c>
      <c r="Y64">
        <v>11</v>
      </c>
      <c r="Z64">
        <v>8</v>
      </c>
      <c r="AA64">
        <v>11</v>
      </c>
      <c r="AB64">
        <v>0.57894999999999996</v>
      </c>
      <c r="AC64" t="s">
        <v>136</v>
      </c>
      <c r="AD64" t="s">
        <v>73</v>
      </c>
      <c r="AE64">
        <v>42922973.636</v>
      </c>
      <c r="AF64" t="s">
        <v>267</v>
      </c>
      <c r="AG64">
        <v>3</v>
      </c>
      <c r="AH64">
        <v>6</v>
      </c>
      <c r="AI64">
        <v>17</v>
      </c>
      <c r="AJ64">
        <v>0.26086999999999999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2</v>
      </c>
      <c r="AR64">
        <v>2</v>
      </c>
      <c r="AS64">
        <v>13</v>
      </c>
      <c r="AT64">
        <v>0.13333</v>
      </c>
      <c r="AU64">
        <v>15</v>
      </c>
      <c r="AV64">
        <v>10</v>
      </c>
      <c r="AW64">
        <v>34</v>
      </c>
      <c r="AX64">
        <v>15</v>
      </c>
      <c r="AY64">
        <v>36</v>
      </c>
      <c r="AZ64">
        <v>8</v>
      </c>
      <c r="BA64" t="s">
        <v>12724</v>
      </c>
      <c r="BB64" t="s">
        <v>12725</v>
      </c>
      <c r="BC64">
        <v>0.46</v>
      </c>
      <c r="BD64" t="s">
        <v>65</v>
      </c>
      <c r="BE64">
        <v>70</v>
      </c>
      <c r="BF64">
        <v>23</v>
      </c>
      <c r="BG64" t="s">
        <v>12726</v>
      </c>
      <c r="BH64" t="s">
        <v>12727</v>
      </c>
      <c r="BI64" t="s">
        <v>12728</v>
      </c>
      <c r="BJ64">
        <v>7.7729999999999994E-2</v>
      </c>
      <c r="BK64">
        <v>1</v>
      </c>
      <c r="BL64" t="s">
        <v>69</v>
      </c>
      <c r="BM64">
        <v>-1.7629999999999999</v>
      </c>
      <c r="BN64">
        <v>-1.4279999999999999</v>
      </c>
    </row>
    <row r="65" spans="2:66">
      <c r="B65">
        <v>137</v>
      </c>
      <c r="C65">
        <v>119</v>
      </c>
      <c r="D65">
        <v>0</v>
      </c>
      <c r="E65">
        <v>2</v>
      </c>
      <c r="F65">
        <v>0</v>
      </c>
      <c r="J65">
        <v>0</v>
      </c>
      <c r="K65">
        <v>2</v>
      </c>
      <c r="L65">
        <v>0</v>
      </c>
      <c r="M65" t="s">
        <v>25022</v>
      </c>
      <c r="N65">
        <v>2044</v>
      </c>
      <c r="O65" t="s">
        <v>12729</v>
      </c>
      <c r="P65" t="s">
        <v>62</v>
      </c>
      <c r="Q65">
        <v>2135473</v>
      </c>
      <c r="R65">
        <v>2136171</v>
      </c>
      <c r="S65" t="s">
        <v>12730</v>
      </c>
      <c r="T65">
        <v>233</v>
      </c>
      <c r="U65" t="s">
        <v>59</v>
      </c>
      <c r="V65">
        <v>49</v>
      </c>
      <c r="W65" t="str">
        <f>HYPERLINK("Gene2044-zp_tree_all.dnd", "Gene2044-tree")</f>
        <v>Gene2044-tree</v>
      </c>
      <c r="X65">
        <v>11</v>
      </c>
      <c r="Y65">
        <v>6</v>
      </c>
      <c r="Z65">
        <v>11</v>
      </c>
      <c r="AA65">
        <v>6</v>
      </c>
      <c r="AB65">
        <v>0.35293999999999998</v>
      </c>
      <c r="AC65" t="s">
        <v>73</v>
      </c>
      <c r="AD65" t="s">
        <v>90</v>
      </c>
      <c r="AE65" t="s">
        <v>62</v>
      </c>
      <c r="AF65" t="s">
        <v>62</v>
      </c>
      <c r="AG65">
        <v>1</v>
      </c>
      <c r="AH65">
        <v>2</v>
      </c>
      <c r="AI65">
        <v>6</v>
      </c>
      <c r="AJ65">
        <v>0.25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2</v>
      </c>
      <c r="AQ65">
        <v>0</v>
      </c>
      <c r="AR65">
        <v>2</v>
      </c>
      <c r="AS65">
        <v>4</v>
      </c>
      <c r="AT65">
        <v>0.33333000000000002</v>
      </c>
      <c r="AU65">
        <v>14</v>
      </c>
      <c r="AV65">
        <v>8</v>
      </c>
      <c r="AW65">
        <v>29</v>
      </c>
      <c r="AX65">
        <v>6</v>
      </c>
      <c r="AY65">
        <v>43</v>
      </c>
      <c r="AZ65">
        <v>2</v>
      </c>
      <c r="BA65" t="s">
        <v>12731</v>
      </c>
      <c r="BB65" t="s">
        <v>12732</v>
      </c>
      <c r="BC65">
        <v>0.91200000000000003</v>
      </c>
      <c r="BD65" t="s">
        <v>65</v>
      </c>
      <c r="BE65">
        <v>72</v>
      </c>
      <c r="BF65">
        <v>8</v>
      </c>
      <c r="BG65" t="s">
        <v>12733</v>
      </c>
      <c r="BH65" t="s">
        <v>12734</v>
      </c>
      <c r="BI65" t="s">
        <v>3093</v>
      </c>
      <c r="BJ65">
        <v>2.1069999999999998E-2</v>
      </c>
      <c r="BK65">
        <v>1</v>
      </c>
      <c r="BL65" t="s">
        <v>69</v>
      </c>
      <c r="BM65">
        <v>-1.26</v>
      </c>
      <c r="BN65">
        <v>-0.61899999999999999</v>
      </c>
    </row>
    <row r="66" spans="2:66">
      <c r="B66">
        <v>146</v>
      </c>
      <c r="C66">
        <v>227</v>
      </c>
      <c r="D66">
        <v>0</v>
      </c>
      <c r="E66">
        <v>5</v>
      </c>
      <c r="F66">
        <v>0</v>
      </c>
      <c r="J66">
        <v>0</v>
      </c>
      <c r="K66">
        <v>0</v>
      </c>
      <c r="L66">
        <v>0</v>
      </c>
      <c r="M66" t="s">
        <v>25022</v>
      </c>
      <c r="N66">
        <v>2046</v>
      </c>
      <c r="O66" t="s">
        <v>12738</v>
      </c>
      <c r="P66" t="s">
        <v>62</v>
      </c>
      <c r="Q66">
        <v>2136541</v>
      </c>
      <c r="R66">
        <v>2136852</v>
      </c>
      <c r="S66" t="s">
        <v>12739</v>
      </c>
      <c r="T66">
        <v>104</v>
      </c>
      <c r="U66" t="s">
        <v>749</v>
      </c>
      <c r="V66">
        <v>47</v>
      </c>
      <c r="W66" t="str">
        <f>HYPERLINK("Gene2046-zp_tree_all.dnd", "Gene2046-tree")</f>
        <v>Gene2046-tree</v>
      </c>
      <c r="X66">
        <v>11</v>
      </c>
      <c r="Y66">
        <v>1</v>
      </c>
      <c r="Z66">
        <v>11</v>
      </c>
      <c r="AA66">
        <v>1</v>
      </c>
      <c r="AB66">
        <v>8.3330000000000001E-2</v>
      </c>
      <c r="AC66" t="s">
        <v>73</v>
      </c>
      <c r="AD66" t="s">
        <v>175</v>
      </c>
      <c r="AE66" t="s">
        <v>62</v>
      </c>
      <c r="AF66" t="s">
        <v>62</v>
      </c>
      <c r="AG66">
        <v>0</v>
      </c>
      <c r="AH66">
        <v>0</v>
      </c>
      <c r="AI66">
        <v>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0</v>
      </c>
      <c r="AU66">
        <v>8</v>
      </c>
      <c r="AV66">
        <v>5</v>
      </c>
      <c r="AW66">
        <v>11</v>
      </c>
      <c r="AX66">
        <v>2</v>
      </c>
      <c r="AY66">
        <v>11</v>
      </c>
      <c r="AZ66">
        <v>1</v>
      </c>
      <c r="BA66" t="s">
        <v>12740</v>
      </c>
      <c r="BB66" t="s">
        <v>12741</v>
      </c>
      <c r="BC66">
        <v>0.16600000000000001</v>
      </c>
      <c r="BD66" t="s">
        <v>65</v>
      </c>
      <c r="BE66">
        <v>22</v>
      </c>
      <c r="BF66">
        <v>3</v>
      </c>
      <c r="BG66" t="s">
        <v>12742</v>
      </c>
      <c r="BH66" t="s">
        <v>12743</v>
      </c>
      <c r="BI66" t="s">
        <v>12744</v>
      </c>
      <c r="BJ66">
        <v>3.5000000000000003E-2</v>
      </c>
      <c r="BK66">
        <v>1</v>
      </c>
      <c r="BL66" t="s">
        <v>69</v>
      </c>
      <c r="BM66">
        <v>-1.774</v>
      </c>
      <c r="BN66">
        <v>-1.3979999999999999</v>
      </c>
    </row>
    <row r="67" spans="2:66">
      <c r="B67">
        <v>147</v>
      </c>
      <c r="C67">
        <v>245</v>
      </c>
      <c r="D67">
        <v>0</v>
      </c>
      <c r="E67">
        <v>0</v>
      </c>
      <c r="F67">
        <v>2</v>
      </c>
      <c r="J67">
        <v>0</v>
      </c>
      <c r="K67">
        <v>7</v>
      </c>
      <c r="L67">
        <v>0</v>
      </c>
      <c r="M67" t="s">
        <v>25022</v>
      </c>
      <c r="N67">
        <v>2047</v>
      </c>
      <c r="O67" t="s">
        <v>12745</v>
      </c>
      <c r="P67" t="s">
        <v>62</v>
      </c>
      <c r="Q67">
        <v>2136916</v>
      </c>
      <c r="R67">
        <v>2137524</v>
      </c>
      <c r="S67" t="s">
        <v>12746</v>
      </c>
      <c r="T67">
        <v>203</v>
      </c>
      <c r="U67" t="s">
        <v>108</v>
      </c>
      <c r="V67">
        <v>44</v>
      </c>
      <c r="W67" t="str">
        <f>HYPERLINK("Gene2047-zp_tree_all.dnd", "Gene2047-tree")</f>
        <v>Gene2047-tree</v>
      </c>
      <c r="X67">
        <v>2</v>
      </c>
      <c r="Y67">
        <v>12</v>
      </c>
      <c r="Z67">
        <v>2</v>
      </c>
      <c r="AA67">
        <v>12</v>
      </c>
      <c r="AB67">
        <v>0.85714000000000001</v>
      </c>
      <c r="AC67" t="s">
        <v>81</v>
      </c>
      <c r="AD67" t="s">
        <v>109</v>
      </c>
      <c r="AE67" t="s">
        <v>62</v>
      </c>
      <c r="AF67" t="s">
        <v>62</v>
      </c>
      <c r="AG67">
        <v>3</v>
      </c>
      <c r="AH67">
        <v>7</v>
      </c>
      <c r="AI67">
        <v>14</v>
      </c>
      <c r="AJ67">
        <v>0.33333000000000002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2</v>
      </c>
      <c r="AQ67">
        <v>0</v>
      </c>
      <c r="AR67">
        <v>2</v>
      </c>
      <c r="AS67">
        <v>15</v>
      </c>
      <c r="AT67">
        <v>0.11765</v>
      </c>
      <c r="AU67">
        <v>10</v>
      </c>
      <c r="AV67">
        <v>8</v>
      </c>
      <c r="AW67">
        <v>17</v>
      </c>
      <c r="AX67">
        <v>14</v>
      </c>
      <c r="AY67">
        <v>16</v>
      </c>
      <c r="AZ67">
        <v>8</v>
      </c>
      <c r="BA67" t="s">
        <v>12747</v>
      </c>
      <c r="BB67" t="s">
        <v>12748</v>
      </c>
      <c r="BC67">
        <v>0.85</v>
      </c>
      <c r="BD67" t="s">
        <v>65</v>
      </c>
      <c r="BE67">
        <v>33</v>
      </c>
      <c r="BF67">
        <v>22</v>
      </c>
      <c r="BG67" t="s">
        <v>12749</v>
      </c>
      <c r="BH67" t="s">
        <v>12750</v>
      </c>
      <c r="BI67" t="s">
        <v>12751</v>
      </c>
      <c r="BJ67">
        <v>0.18506</v>
      </c>
      <c r="BK67">
        <v>1</v>
      </c>
      <c r="BL67" t="s">
        <v>69</v>
      </c>
      <c r="BM67">
        <v>-0.91300000000000003</v>
      </c>
      <c r="BN67">
        <v>-1.2470000000000001</v>
      </c>
    </row>
    <row r="68" spans="2:66">
      <c r="B68">
        <v>148</v>
      </c>
      <c r="C68">
        <v>196</v>
      </c>
      <c r="D68">
        <v>0</v>
      </c>
      <c r="E68">
        <v>9</v>
      </c>
      <c r="F68">
        <v>0</v>
      </c>
      <c r="J68">
        <v>0</v>
      </c>
      <c r="K68">
        <v>0</v>
      </c>
      <c r="L68">
        <v>0</v>
      </c>
      <c r="M68" t="s">
        <v>25022</v>
      </c>
      <c r="N68">
        <v>2048</v>
      </c>
      <c r="O68" t="s">
        <v>12752</v>
      </c>
      <c r="P68" t="s">
        <v>62</v>
      </c>
      <c r="Q68">
        <v>2137605</v>
      </c>
      <c r="R68">
        <v>2137778</v>
      </c>
      <c r="S68" t="s">
        <v>288</v>
      </c>
      <c r="T68">
        <v>58</v>
      </c>
      <c r="U68" t="s">
        <v>59</v>
      </c>
      <c r="V68">
        <v>49</v>
      </c>
      <c r="W68" t="str">
        <f>HYPERLINK("Gene2048-zp_tree_all.dnd", "Gene2048-tree")</f>
        <v>Gene2048-tree</v>
      </c>
      <c r="X68">
        <v>41</v>
      </c>
      <c r="Y68">
        <v>3</v>
      </c>
      <c r="Z68">
        <v>5</v>
      </c>
      <c r="AA68">
        <v>3</v>
      </c>
      <c r="AB68">
        <v>0.375</v>
      </c>
      <c r="AC68" t="s">
        <v>12753</v>
      </c>
      <c r="AD68" t="s">
        <v>324</v>
      </c>
      <c r="AE68" t="s">
        <v>62</v>
      </c>
      <c r="AF68" t="s">
        <v>62</v>
      </c>
      <c r="AG68">
        <v>0</v>
      </c>
      <c r="AH68">
        <v>0</v>
      </c>
      <c r="AI68">
        <v>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</v>
      </c>
      <c r="AT68">
        <v>0</v>
      </c>
      <c r="AU68">
        <v>5</v>
      </c>
      <c r="AV68">
        <v>2</v>
      </c>
      <c r="AW68">
        <v>2</v>
      </c>
      <c r="AX68">
        <v>3</v>
      </c>
      <c r="AY68">
        <v>2</v>
      </c>
      <c r="AZ68">
        <v>0</v>
      </c>
      <c r="BA68" t="s">
        <v>12754</v>
      </c>
      <c r="BB68" t="s">
        <v>193</v>
      </c>
      <c r="BC68">
        <v>1.032</v>
      </c>
      <c r="BD68" t="s">
        <v>65</v>
      </c>
      <c r="BE68">
        <v>4</v>
      </c>
      <c r="BF68">
        <v>3</v>
      </c>
      <c r="BG68" t="s">
        <v>12755</v>
      </c>
      <c r="BH68" t="s">
        <v>12756</v>
      </c>
      <c r="BI68" t="s">
        <v>12757</v>
      </c>
      <c r="BJ68">
        <v>0.12964000000000001</v>
      </c>
      <c r="BK68">
        <v>0.97799999999999998</v>
      </c>
      <c r="BL68" t="s">
        <v>69</v>
      </c>
      <c r="BM68">
        <v>-1.4910000000000001</v>
      </c>
      <c r="BN68">
        <v>-1.0840000000000001</v>
      </c>
    </row>
    <row r="69" spans="2:66">
      <c r="B69">
        <v>149</v>
      </c>
      <c r="C69">
        <v>214</v>
      </c>
      <c r="D69">
        <v>0</v>
      </c>
      <c r="E69">
        <v>6</v>
      </c>
      <c r="F69">
        <v>3</v>
      </c>
      <c r="J69">
        <v>0</v>
      </c>
      <c r="K69">
        <v>2</v>
      </c>
      <c r="L69">
        <v>1</v>
      </c>
      <c r="M69" t="s">
        <v>25022</v>
      </c>
      <c r="N69">
        <v>2050</v>
      </c>
      <c r="O69" t="s">
        <v>12765</v>
      </c>
      <c r="P69" t="s">
        <v>62</v>
      </c>
      <c r="Q69">
        <v>2138040</v>
      </c>
      <c r="R69">
        <v>2138717</v>
      </c>
      <c r="S69" t="s">
        <v>288</v>
      </c>
      <c r="T69">
        <v>226</v>
      </c>
      <c r="U69" t="s">
        <v>59</v>
      </c>
      <c r="V69">
        <v>49</v>
      </c>
      <c r="W69" t="str">
        <f>HYPERLINK("Gene2050-zp_tree_all.dnd", "Gene2050-tree")</f>
        <v>Gene2050-tree</v>
      </c>
      <c r="X69">
        <v>13</v>
      </c>
      <c r="Y69">
        <v>23</v>
      </c>
      <c r="Z69">
        <v>13</v>
      </c>
      <c r="AA69">
        <v>3</v>
      </c>
      <c r="AB69">
        <v>0.1875</v>
      </c>
      <c r="AC69" t="s">
        <v>507</v>
      </c>
      <c r="AD69" t="s">
        <v>1725</v>
      </c>
      <c r="AE69">
        <v>7.4429999999999996</v>
      </c>
      <c r="AF69" t="s">
        <v>65</v>
      </c>
      <c r="AG69">
        <v>1</v>
      </c>
      <c r="AH69">
        <v>3</v>
      </c>
      <c r="AI69">
        <v>6</v>
      </c>
      <c r="AJ69">
        <v>0.33333000000000002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5</v>
      </c>
      <c r="AT69">
        <v>0</v>
      </c>
      <c r="AU69">
        <v>12</v>
      </c>
      <c r="AV69">
        <v>10</v>
      </c>
      <c r="AW69">
        <v>20</v>
      </c>
      <c r="AX69">
        <v>5</v>
      </c>
      <c r="AY69">
        <v>35</v>
      </c>
      <c r="AZ69">
        <v>4</v>
      </c>
      <c r="BA69" t="s">
        <v>12766</v>
      </c>
      <c r="BB69" t="s">
        <v>12767</v>
      </c>
      <c r="BC69">
        <v>0.39900000000000002</v>
      </c>
      <c r="BD69" t="s">
        <v>65</v>
      </c>
      <c r="BE69">
        <v>55</v>
      </c>
      <c r="BF69">
        <v>9</v>
      </c>
      <c r="BG69" t="s">
        <v>12768</v>
      </c>
      <c r="BH69" t="s">
        <v>12769</v>
      </c>
      <c r="BI69" t="s">
        <v>12770</v>
      </c>
      <c r="BJ69">
        <v>3.0929999999999999E-2</v>
      </c>
      <c r="BK69">
        <v>1</v>
      </c>
      <c r="BL69" t="s">
        <v>69</v>
      </c>
      <c r="BM69">
        <v>-1.38</v>
      </c>
      <c r="BN69">
        <v>-0.90100000000000002</v>
      </c>
    </row>
    <row r="70" spans="2:66">
      <c r="B70">
        <v>152</v>
      </c>
      <c r="C70">
        <v>155</v>
      </c>
      <c r="D70">
        <v>0</v>
      </c>
      <c r="E70">
        <v>11</v>
      </c>
      <c r="F70">
        <v>0</v>
      </c>
      <c r="J70">
        <v>0</v>
      </c>
      <c r="K70">
        <v>0</v>
      </c>
      <c r="L70">
        <v>0</v>
      </c>
      <c r="M70" t="s">
        <v>25022</v>
      </c>
      <c r="N70">
        <v>2051</v>
      </c>
      <c r="O70" t="s">
        <v>12771</v>
      </c>
      <c r="P70" t="s">
        <v>62</v>
      </c>
      <c r="Q70">
        <v>2138871</v>
      </c>
      <c r="R70">
        <v>2139092</v>
      </c>
      <c r="S70" t="s">
        <v>116</v>
      </c>
      <c r="T70">
        <v>74</v>
      </c>
      <c r="U70" t="s">
        <v>289</v>
      </c>
      <c r="V70">
        <v>46</v>
      </c>
      <c r="W70" t="str">
        <f>HYPERLINK("Gene2051-zp_tree_all.dnd", "Gene2051-tree")</f>
        <v>Gene2051-tree</v>
      </c>
      <c r="X70">
        <v>5</v>
      </c>
      <c r="Y70">
        <v>1</v>
      </c>
      <c r="Z70">
        <v>5</v>
      </c>
      <c r="AA70">
        <v>1</v>
      </c>
      <c r="AB70">
        <v>0.16667000000000001</v>
      </c>
      <c r="AC70" t="s">
        <v>199</v>
      </c>
      <c r="AD70" t="s">
        <v>175</v>
      </c>
      <c r="AE70" t="s">
        <v>62</v>
      </c>
      <c r="AF70" t="s">
        <v>62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4</v>
      </c>
      <c r="AV70">
        <v>2</v>
      </c>
      <c r="AW70">
        <v>4</v>
      </c>
      <c r="AX70">
        <v>1</v>
      </c>
      <c r="AY70">
        <v>6</v>
      </c>
      <c r="AZ70">
        <v>1</v>
      </c>
      <c r="BA70" t="s">
        <v>12772</v>
      </c>
      <c r="BB70" t="s">
        <v>12773</v>
      </c>
      <c r="BC70">
        <v>0.19400000000000001</v>
      </c>
      <c r="BD70" t="s">
        <v>65</v>
      </c>
      <c r="BE70">
        <v>10</v>
      </c>
      <c r="BF70">
        <v>2</v>
      </c>
      <c r="BG70" t="s">
        <v>12774</v>
      </c>
      <c r="BH70" t="s">
        <v>12775</v>
      </c>
      <c r="BI70" t="s">
        <v>12776</v>
      </c>
      <c r="BJ70">
        <v>4.7809999999999998E-2</v>
      </c>
      <c r="BK70">
        <v>1</v>
      </c>
      <c r="BL70" t="s">
        <v>69</v>
      </c>
      <c r="BM70">
        <v>-1.6339999999999999</v>
      </c>
      <c r="BN70">
        <v>0.79800000000000004</v>
      </c>
    </row>
    <row r="71" spans="2:66">
      <c r="B71">
        <v>153</v>
      </c>
      <c r="C71">
        <v>112</v>
      </c>
      <c r="D71">
        <v>0</v>
      </c>
      <c r="E71">
        <v>4</v>
      </c>
      <c r="F71">
        <v>1</v>
      </c>
      <c r="J71">
        <v>0</v>
      </c>
      <c r="K71">
        <v>0</v>
      </c>
      <c r="L71">
        <v>0</v>
      </c>
      <c r="M71" t="s">
        <v>25022</v>
      </c>
      <c r="N71">
        <v>2052</v>
      </c>
      <c r="O71" t="s">
        <v>12777</v>
      </c>
      <c r="P71" t="s">
        <v>62</v>
      </c>
      <c r="Q71">
        <v>2139182</v>
      </c>
      <c r="R71">
        <v>2139457</v>
      </c>
      <c r="S71" t="s">
        <v>116</v>
      </c>
      <c r="T71">
        <v>92</v>
      </c>
      <c r="U71" t="s">
        <v>108</v>
      </c>
      <c r="V71">
        <v>44</v>
      </c>
      <c r="W71" t="str">
        <f>HYPERLINK("Gene2052-zp_tree_all.dnd", "Gene2052-tree")</f>
        <v>Gene2052-tree</v>
      </c>
      <c r="X71">
        <v>4</v>
      </c>
      <c r="Y71">
        <v>5</v>
      </c>
      <c r="Z71">
        <v>4</v>
      </c>
      <c r="AA71">
        <v>5</v>
      </c>
      <c r="AB71">
        <v>0.55556000000000005</v>
      </c>
      <c r="AC71" t="s">
        <v>61</v>
      </c>
      <c r="AD71" t="s">
        <v>199</v>
      </c>
      <c r="AE71" t="s">
        <v>62</v>
      </c>
      <c r="AF71" t="s">
        <v>62</v>
      </c>
      <c r="AG71">
        <v>0</v>
      </c>
      <c r="AH71">
        <v>0</v>
      </c>
      <c r="AI71">
        <v>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6</v>
      </c>
      <c r="AT71">
        <v>0</v>
      </c>
      <c r="AU71">
        <v>8</v>
      </c>
      <c r="AV71">
        <v>1</v>
      </c>
      <c r="AW71">
        <v>15</v>
      </c>
      <c r="AX71">
        <v>6</v>
      </c>
      <c r="AY71">
        <v>1</v>
      </c>
      <c r="AZ71">
        <v>0</v>
      </c>
      <c r="BA71" t="s">
        <v>12778</v>
      </c>
      <c r="BB71" t="s">
        <v>193</v>
      </c>
      <c r="BC71">
        <v>2.145</v>
      </c>
      <c r="BD71" t="s">
        <v>267</v>
      </c>
      <c r="BE71">
        <v>16</v>
      </c>
      <c r="BF71">
        <v>6</v>
      </c>
      <c r="BG71" t="s">
        <v>12779</v>
      </c>
      <c r="BH71" t="s">
        <v>12780</v>
      </c>
      <c r="BI71" t="s">
        <v>12781</v>
      </c>
      <c r="BJ71">
        <v>9.2789999999999997E-2</v>
      </c>
      <c r="BK71">
        <v>1</v>
      </c>
      <c r="BL71" t="s">
        <v>69</v>
      </c>
      <c r="BM71">
        <v>-1.4690000000000001</v>
      </c>
      <c r="BN71">
        <v>-2.758</v>
      </c>
    </row>
    <row r="72" spans="2:66">
      <c r="B72">
        <v>158</v>
      </c>
      <c r="C72">
        <v>136</v>
      </c>
      <c r="D72">
        <v>0</v>
      </c>
      <c r="E72">
        <v>0</v>
      </c>
      <c r="F72">
        <v>2</v>
      </c>
      <c r="J72">
        <v>0</v>
      </c>
      <c r="K72">
        <v>4</v>
      </c>
      <c r="L72">
        <v>2</v>
      </c>
      <c r="M72" t="s">
        <v>25022</v>
      </c>
      <c r="N72">
        <v>2053</v>
      </c>
      <c r="O72" t="s">
        <v>12782</v>
      </c>
      <c r="P72" t="s">
        <v>62</v>
      </c>
      <c r="Q72">
        <v>2139457</v>
      </c>
      <c r="R72">
        <v>2140869</v>
      </c>
      <c r="S72" t="s">
        <v>12783</v>
      </c>
      <c r="T72">
        <v>471</v>
      </c>
      <c r="U72" t="s">
        <v>12784</v>
      </c>
      <c r="V72">
        <v>42</v>
      </c>
      <c r="W72" t="str">
        <f>HYPERLINK("Gene2053-zp_tree_all.dnd", "Gene2053-tree")</f>
        <v>Gene2053-tree</v>
      </c>
      <c r="X72">
        <v>7</v>
      </c>
      <c r="Y72">
        <v>7</v>
      </c>
      <c r="Z72">
        <v>7</v>
      </c>
      <c r="AA72">
        <v>7</v>
      </c>
      <c r="AB72">
        <v>0.5</v>
      </c>
      <c r="AC72" t="s">
        <v>152</v>
      </c>
      <c r="AD72" t="s">
        <v>152</v>
      </c>
      <c r="AE72" t="s">
        <v>62</v>
      </c>
      <c r="AF72" t="s">
        <v>62</v>
      </c>
      <c r="AG72">
        <v>3</v>
      </c>
      <c r="AH72">
        <v>6</v>
      </c>
      <c r="AI72">
        <v>5</v>
      </c>
      <c r="AJ72">
        <v>0.54544999999999999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</v>
      </c>
      <c r="AQ72">
        <v>2</v>
      </c>
      <c r="AR72">
        <v>6</v>
      </c>
      <c r="AS72">
        <v>5</v>
      </c>
      <c r="AT72">
        <v>0.54544999999999999</v>
      </c>
      <c r="AU72">
        <v>12</v>
      </c>
      <c r="AV72">
        <v>9</v>
      </c>
      <c r="AW72">
        <v>46</v>
      </c>
      <c r="AX72">
        <v>11</v>
      </c>
      <c r="AY72">
        <v>23</v>
      </c>
      <c r="AZ72">
        <v>0</v>
      </c>
      <c r="BA72" t="s">
        <v>12785</v>
      </c>
      <c r="BB72" t="s">
        <v>193</v>
      </c>
      <c r="BC72">
        <v>1.7949999999999999</v>
      </c>
      <c r="BD72" t="s">
        <v>65</v>
      </c>
      <c r="BE72">
        <v>69</v>
      </c>
      <c r="BF72">
        <v>11</v>
      </c>
      <c r="BG72" t="s">
        <v>12786</v>
      </c>
      <c r="BH72" t="s">
        <v>12787</v>
      </c>
      <c r="BI72" t="s">
        <v>5732</v>
      </c>
      <c r="BJ72">
        <v>3.4950000000000002E-2</v>
      </c>
      <c r="BK72">
        <v>1</v>
      </c>
      <c r="BL72" t="s">
        <v>69</v>
      </c>
      <c r="BM72">
        <v>-0.75</v>
      </c>
      <c r="BN72">
        <v>-1.2869999999999999</v>
      </c>
    </row>
    <row r="73" spans="2:66">
      <c r="B73">
        <v>159</v>
      </c>
      <c r="C73">
        <v>396</v>
      </c>
      <c r="D73">
        <v>0</v>
      </c>
      <c r="E73">
        <v>0</v>
      </c>
      <c r="F73">
        <v>6</v>
      </c>
      <c r="J73">
        <v>0</v>
      </c>
      <c r="K73">
        <v>2</v>
      </c>
      <c r="L73">
        <v>4</v>
      </c>
      <c r="M73" t="s">
        <v>25022</v>
      </c>
      <c r="N73">
        <v>2054</v>
      </c>
      <c r="O73" t="s">
        <v>12788</v>
      </c>
      <c r="P73" t="s">
        <v>62</v>
      </c>
      <c r="Q73">
        <v>2140901</v>
      </c>
      <c r="R73">
        <v>2141725</v>
      </c>
      <c r="S73" t="s">
        <v>12789</v>
      </c>
      <c r="T73">
        <v>275</v>
      </c>
      <c r="U73" t="s">
        <v>108</v>
      </c>
      <c r="V73">
        <v>44</v>
      </c>
      <c r="W73" t="str">
        <f>HYPERLINK("Gene2054-zp_tree_all.dnd", "Gene2054-tree")</f>
        <v>Gene2054-tree</v>
      </c>
      <c r="X73">
        <v>8</v>
      </c>
      <c r="Y73">
        <v>7</v>
      </c>
      <c r="Z73">
        <v>8</v>
      </c>
      <c r="AA73">
        <v>7</v>
      </c>
      <c r="AB73">
        <v>0.46666999999999997</v>
      </c>
      <c r="AC73" t="s">
        <v>136</v>
      </c>
      <c r="AD73" t="s">
        <v>152</v>
      </c>
      <c r="AE73" t="s">
        <v>62</v>
      </c>
      <c r="AF73" t="s">
        <v>62</v>
      </c>
      <c r="AG73">
        <v>3</v>
      </c>
      <c r="AH73">
        <v>6</v>
      </c>
      <c r="AI73">
        <v>18</v>
      </c>
      <c r="AJ73">
        <v>0.25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</v>
      </c>
      <c r="AQ73">
        <v>4</v>
      </c>
      <c r="AR73">
        <v>6</v>
      </c>
      <c r="AS73">
        <v>13</v>
      </c>
      <c r="AT73">
        <v>0.31579000000000002</v>
      </c>
      <c r="AU73">
        <v>12</v>
      </c>
      <c r="AV73">
        <v>8</v>
      </c>
      <c r="AW73">
        <v>23</v>
      </c>
      <c r="AX73">
        <v>19</v>
      </c>
      <c r="AY73">
        <v>16</v>
      </c>
      <c r="AZ73">
        <v>5</v>
      </c>
      <c r="BA73" t="s">
        <v>12790</v>
      </c>
      <c r="BB73" t="s">
        <v>12791</v>
      </c>
      <c r="BC73">
        <v>0.88600000000000001</v>
      </c>
      <c r="BD73" t="s">
        <v>65</v>
      </c>
      <c r="BE73">
        <v>39</v>
      </c>
      <c r="BF73">
        <v>24</v>
      </c>
      <c r="BG73" t="s">
        <v>12792</v>
      </c>
      <c r="BH73" t="s">
        <v>12793</v>
      </c>
      <c r="BI73" t="s">
        <v>12794</v>
      </c>
      <c r="BJ73">
        <v>0.18242</v>
      </c>
      <c r="BK73">
        <v>1</v>
      </c>
      <c r="BL73" t="s">
        <v>69</v>
      </c>
      <c r="BM73">
        <v>-0.69499999999999995</v>
      </c>
      <c r="BN73">
        <v>-1.7829999999999999</v>
      </c>
    </row>
    <row r="74" spans="2:66">
      <c r="B74">
        <v>160</v>
      </c>
      <c r="C74">
        <v>208</v>
      </c>
      <c r="D74">
        <v>0</v>
      </c>
      <c r="E74">
        <v>4</v>
      </c>
      <c r="F74">
        <v>0</v>
      </c>
      <c r="J74">
        <v>0</v>
      </c>
      <c r="K74">
        <v>9</v>
      </c>
      <c r="L74">
        <v>0</v>
      </c>
      <c r="M74" t="s">
        <v>25022</v>
      </c>
      <c r="N74">
        <v>2055</v>
      </c>
      <c r="O74" t="s">
        <v>12795</v>
      </c>
      <c r="P74" t="s">
        <v>62</v>
      </c>
      <c r="Q74">
        <v>2141706</v>
      </c>
      <c r="R74">
        <v>2143013</v>
      </c>
      <c r="S74" t="s">
        <v>12796</v>
      </c>
      <c r="T74">
        <v>436</v>
      </c>
      <c r="U74" t="s">
        <v>108</v>
      </c>
      <c r="V74">
        <v>44</v>
      </c>
      <c r="W74" t="str">
        <f>HYPERLINK("Gene2055-zp_tree_all.dnd", "Gene2055-tree")</f>
        <v>Gene2055-tree</v>
      </c>
      <c r="X74">
        <v>4</v>
      </c>
      <c r="Y74">
        <v>9</v>
      </c>
      <c r="Z74">
        <v>4</v>
      </c>
      <c r="AA74">
        <v>9</v>
      </c>
      <c r="AB74">
        <v>0.69230999999999998</v>
      </c>
      <c r="AC74" t="s">
        <v>61</v>
      </c>
      <c r="AD74" t="s">
        <v>135</v>
      </c>
      <c r="AE74" t="s">
        <v>62</v>
      </c>
      <c r="AF74" t="s">
        <v>62</v>
      </c>
      <c r="AG74">
        <v>4</v>
      </c>
      <c r="AH74">
        <v>9</v>
      </c>
      <c r="AI74">
        <v>9</v>
      </c>
      <c r="AJ74">
        <v>0.5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8</v>
      </c>
      <c r="AQ74">
        <v>0</v>
      </c>
      <c r="AR74">
        <v>8</v>
      </c>
      <c r="AS74">
        <v>8</v>
      </c>
      <c r="AT74">
        <v>0.5</v>
      </c>
      <c r="AU74">
        <v>10</v>
      </c>
      <c r="AV74">
        <v>9</v>
      </c>
      <c r="AW74">
        <v>21</v>
      </c>
      <c r="AX74">
        <v>15</v>
      </c>
      <c r="AY74">
        <v>11</v>
      </c>
      <c r="AZ74">
        <v>3</v>
      </c>
      <c r="BA74" t="s">
        <v>12797</v>
      </c>
      <c r="BB74" t="s">
        <v>12798</v>
      </c>
      <c r="BC74">
        <v>1.282</v>
      </c>
      <c r="BD74" t="s">
        <v>65</v>
      </c>
      <c r="BE74">
        <v>32</v>
      </c>
      <c r="BF74">
        <v>18</v>
      </c>
      <c r="BG74" t="s">
        <v>12799</v>
      </c>
      <c r="BH74" t="s">
        <v>12800</v>
      </c>
      <c r="BI74" t="s">
        <v>12801</v>
      </c>
      <c r="BJ74">
        <v>0.12279</v>
      </c>
      <c r="BK74">
        <v>1</v>
      </c>
      <c r="BL74" t="s">
        <v>69</v>
      </c>
      <c r="BM74">
        <v>-0.52900000000000003</v>
      </c>
      <c r="BN74">
        <v>-1.321</v>
      </c>
    </row>
    <row r="75" spans="2:66">
      <c r="B75">
        <v>161</v>
      </c>
      <c r="C75">
        <v>53</v>
      </c>
      <c r="D75">
        <v>0</v>
      </c>
      <c r="E75">
        <v>9</v>
      </c>
      <c r="F75">
        <v>0</v>
      </c>
      <c r="J75">
        <v>0</v>
      </c>
      <c r="K75">
        <v>2</v>
      </c>
      <c r="L75">
        <v>0</v>
      </c>
      <c r="M75" t="s">
        <v>25022</v>
      </c>
      <c r="N75">
        <v>2056</v>
      </c>
      <c r="O75" t="s">
        <v>12802</v>
      </c>
      <c r="P75" t="s">
        <v>62</v>
      </c>
      <c r="Q75">
        <v>2143025</v>
      </c>
      <c r="R75">
        <v>2143675</v>
      </c>
      <c r="S75" t="s">
        <v>12803</v>
      </c>
      <c r="T75">
        <v>217</v>
      </c>
      <c r="U75" t="s">
        <v>108</v>
      </c>
      <c r="V75">
        <v>44</v>
      </c>
      <c r="W75" t="str">
        <f>HYPERLINK("Gene2056-zp_tree_all.dnd", "Gene2056-tree")</f>
        <v>Gene2056-tree</v>
      </c>
      <c r="X75">
        <v>9</v>
      </c>
      <c r="Y75">
        <v>3</v>
      </c>
      <c r="Z75">
        <v>9</v>
      </c>
      <c r="AA75">
        <v>3</v>
      </c>
      <c r="AB75">
        <v>0.25</v>
      </c>
      <c r="AC75" t="s">
        <v>135</v>
      </c>
      <c r="AD75" t="s">
        <v>324</v>
      </c>
      <c r="AE75" t="s">
        <v>62</v>
      </c>
      <c r="AF75" t="s">
        <v>62</v>
      </c>
      <c r="AG75">
        <v>1</v>
      </c>
      <c r="AH75">
        <v>2</v>
      </c>
      <c r="AI75">
        <v>3</v>
      </c>
      <c r="AJ75">
        <v>0.4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0</v>
      </c>
      <c r="AU75">
        <v>8</v>
      </c>
      <c r="AV75">
        <v>7</v>
      </c>
      <c r="AW75">
        <v>10</v>
      </c>
      <c r="AX75">
        <v>3</v>
      </c>
      <c r="AY75">
        <v>10</v>
      </c>
      <c r="AZ75">
        <v>3</v>
      </c>
      <c r="BA75" t="s">
        <v>12804</v>
      </c>
      <c r="BB75" t="s">
        <v>12805</v>
      </c>
      <c r="BC75">
        <v>3.0000000000000001E-3</v>
      </c>
      <c r="BD75" t="s">
        <v>65</v>
      </c>
      <c r="BE75">
        <v>20</v>
      </c>
      <c r="BF75">
        <v>6</v>
      </c>
      <c r="BG75" t="s">
        <v>12806</v>
      </c>
      <c r="BH75" t="s">
        <v>12807</v>
      </c>
      <c r="BI75" t="s">
        <v>12808</v>
      </c>
      <c r="BJ75">
        <v>0.12427000000000001</v>
      </c>
      <c r="BK75">
        <v>1</v>
      </c>
      <c r="BL75" t="s">
        <v>69</v>
      </c>
      <c r="BM75">
        <v>-0.28399999999999997</v>
      </c>
      <c r="BN75">
        <v>-0.36299999999999999</v>
      </c>
    </row>
    <row r="76" spans="2:66">
      <c r="B76">
        <v>162</v>
      </c>
      <c r="C76">
        <v>9</v>
      </c>
      <c r="D76">
        <v>0</v>
      </c>
      <c r="E76">
        <v>2</v>
      </c>
      <c r="F76">
        <v>0</v>
      </c>
      <c r="J76">
        <v>0</v>
      </c>
      <c r="K76">
        <v>4</v>
      </c>
      <c r="L76">
        <v>4</v>
      </c>
      <c r="M76" t="s">
        <v>25022</v>
      </c>
      <c r="N76">
        <v>2057</v>
      </c>
      <c r="O76" t="s">
        <v>12809</v>
      </c>
      <c r="P76" t="s">
        <v>62</v>
      </c>
      <c r="Q76">
        <v>2143663</v>
      </c>
      <c r="R76">
        <v>2144349</v>
      </c>
      <c r="S76" t="s">
        <v>12810</v>
      </c>
      <c r="T76">
        <v>229</v>
      </c>
      <c r="U76" t="s">
        <v>108</v>
      </c>
      <c r="V76">
        <v>44</v>
      </c>
      <c r="W76" t="str">
        <f>HYPERLINK("Gene2057-zp_tree_all.dnd", "Gene2057-tree")</f>
        <v>Gene2057-tree</v>
      </c>
      <c r="X76">
        <v>6</v>
      </c>
      <c r="Y76">
        <v>7</v>
      </c>
      <c r="Z76">
        <v>6</v>
      </c>
      <c r="AA76">
        <v>7</v>
      </c>
      <c r="AB76">
        <v>0.53846000000000005</v>
      </c>
      <c r="AC76" t="s">
        <v>90</v>
      </c>
      <c r="AD76" t="s">
        <v>152</v>
      </c>
      <c r="AE76" t="s">
        <v>62</v>
      </c>
      <c r="AF76" t="s">
        <v>62</v>
      </c>
      <c r="AG76">
        <v>3</v>
      </c>
      <c r="AH76">
        <v>8</v>
      </c>
      <c r="AI76">
        <v>8</v>
      </c>
      <c r="AJ76">
        <v>0.5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4</v>
      </c>
      <c r="AR76">
        <v>4</v>
      </c>
      <c r="AS76">
        <v>7</v>
      </c>
      <c r="AT76">
        <v>0.36364000000000002</v>
      </c>
      <c r="AU76">
        <v>11</v>
      </c>
      <c r="AV76">
        <v>9</v>
      </c>
      <c r="AW76">
        <v>16</v>
      </c>
      <c r="AX76">
        <v>11</v>
      </c>
      <c r="AY76">
        <v>13</v>
      </c>
      <c r="AZ76">
        <v>5</v>
      </c>
      <c r="BA76" t="s">
        <v>12811</v>
      </c>
      <c r="BB76" t="s">
        <v>12812</v>
      </c>
      <c r="BC76">
        <v>0.54200000000000004</v>
      </c>
      <c r="BD76" t="s">
        <v>65</v>
      </c>
      <c r="BE76">
        <v>29</v>
      </c>
      <c r="BF76">
        <v>16</v>
      </c>
      <c r="BG76" t="s">
        <v>12813</v>
      </c>
      <c r="BH76" t="s">
        <v>12814</v>
      </c>
      <c r="BI76" t="s">
        <v>12815</v>
      </c>
      <c r="BJ76">
        <v>0.14741000000000001</v>
      </c>
      <c r="BK76">
        <v>1</v>
      </c>
      <c r="BL76" t="s">
        <v>69</v>
      </c>
      <c r="BM76">
        <v>0.14499999999999999</v>
      </c>
      <c r="BN76">
        <v>-0.39700000000000002</v>
      </c>
    </row>
    <row r="77" spans="2:66">
      <c r="B77">
        <v>163</v>
      </c>
      <c r="C77">
        <v>19</v>
      </c>
      <c r="D77">
        <v>0</v>
      </c>
      <c r="E77">
        <v>2</v>
      </c>
      <c r="F77">
        <v>0</v>
      </c>
      <c r="J77">
        <v>0</v>
      </c>
      <c r="K77">
        <v>14</v>
      </c>
      <c r="L77">
        <v>2</v>
      </c>
      <c r="M77" t="s">
        <v>25022</v>
      </c>
      <c r="N77">
        <v>2058</v>
      </c>
      <c r="O77" t="s">
        <v>12816</v>
      </c>
      <c r="P77" t="s">
        <v>62</v>
      </c>
      <c r="Q77">
        <v>2144359</v>
      </c>
      <c r="R77">
        <v>2145690</v>
      </c>
      <c r="S77" t="s">
        <v>12817</v>
      </c>
      <c r="T77">
        <v>444</v>
      </c>
      <c r="U77" t="s">
        <v>108</v>
      </c>
      <c r="V77">
        <v>44</v>
      </c>
      <c r="W77" t="str">
        <f>HYPERLINK("Gene2058-zp_tree_all.dnd", "Gene2058-tree")</f>
        <v>Gene2058-tree</v>
      </c>
      <c r="X77">
        <v>4</v>
      </c>
      <c r="Y77">
        <v>9</v>
      </c>
      <c r="Z77">
        <v>4</v>
      </c>
      <c r="AA77">
        <v>9</v>
      </c>
      <c r="AB77">
        <v>0.69230999999999998</v>
      </c>
      <c r="AC77" t="s">
        <v>61</v>
      </c>
      <c r="AD77" t="s">
        <v>135</v>
      </c>
      <c r="AE77" t="s">
        <v>62</v>
      </c>
      <c r="AF77" t="s">
        <v>62</v>
      </c>
      <c r="AG77">
        <v>6</v>
      </c>
      <c r="AH77">
        <v>16</v>
      </c>
      <c r="AI77">
        <v>16</v>
      </c>
      <c r="AJ77">
        <v>0.5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2</v>
      </c>
      <c r="AQ77">
        <v>2</v>
      </c>
      <c r="AR77">
        <v>4</v>
      </c>
      <c r="AS77">
        <v>13</v>
      </c>
      <c r="AT77">
        <v>0.23529</v>
      </c>
      <c r="AU77">
        <v>12</v>
      </c>
      <c r="AV77">
        <v>10</v>
      </c>
      <c r="AW77">
        <v>32</v>
      </c>
      <c r="AX77">
        <v>17</v>
      </c>
      <c r="AY77">
        <v>25</v>
      </c>
      <c r="AZ77">
        <v>15</v>
      </c>
      <c r="BA77" t="s">
        <v>12818</v>
      </c>
      <c r="BB77" t="s">
        <v>12819</v>
      </c>
      <c r="BC77">
        <v>0.317</v>
      </c>
      <c r="BD77" t="s">
        <v>65</v>
      </c>
      <c r="BE77">
        <v>57</v>
      </c>
      <c r="BF77">
        <v>32</v>
      </c>
      <c r="BG77" t="s">
        <v>12820</v>
      </c>
      <c r="BH77" t="s">
        <v>12821</v>
      </c>
      <c r="BI77" t="s">
        <v>12822</v>
      </c>
      <c r="BJ77">
        <v>0.15809000000000001</v>
      </c>
      <c r="BK77">
        <v>1</v>
      </c>
      <c r="BL77" t="s">
        <v>69</v>
      </c>
      <c r="BM77">
        <v>-0.49</v>
      </c>
      <c r="BN77">
        <v>-1.2450000000000001</v>
      </c>
    </row>
    <row r="78" spans="2:66">
      <c r="B78">
        <v>164</v>
      </c>
      <c r="C78">
        <v>310</v>
      </c>
      <c r="D78">
        <v>0</v>
      </c>
      <c r="E78">
        <v>9</v>
      </c>
      <c r="F78">
        <v>2</v>
      </c>
      <c r="J78">
        <v>0</v>
      </c>
      <c r="K78">
        <v>0</v>
      </c>
      <c r="L78">
        <v>0</v>
      </c>
      <c r="M78" t="s">
        <v>25022</v>
      </c>
      <c r="N78">
        <v>2059</v>
      </c>
      <c r="O78" t="s">
        <v>12823</v>
      </c>
      <c r="P78" t="s">
        <v>62</v>
      </c>
      <c r="Q78">
        <v>2145674</v>
      </c>
      <c r="R78">
        <v>2145826</v>
      </c>
      <c r="S78" t="s">
        <v>12824</v>
      </c>
      <c r="T78">
        <v>51</v>
      </c>
      <c r="U78" t="s">
        <v>108</v>
      </c>
      <c r="V78">
        <v>44</v>
      </c>
      <c r="W78" t="str">
        <f>HYPERLINK("Gene2059-zp_tree_all.dnd", "Gene2059-tree")</f>
        <v>Gene2059-tree</v>
      </c>
      <c r="X78">
        <v>22</v>
      </c>
      <c r="Y78">
        <v>3</v>
      </c>
      <c r="Z78">
        <v>2</v>
      </c>
      <c r="AA78">
        <v>3</v>
      </c>
      <c r="AB78">
        <v>0.6</v>
      </c>
      <c r="AC78" t="s">
        <v>2847</v>
      </c>
      <c r="AD78" t="s">
        <v>324</v>
      </c>
      <c r="AE78" t="s">
        <v>62</v>
      </c>
      <c r="AF78" t="s">
        <v>62</v>
      </c>
      <c r="AG78">
        <v>0</v>
      </c>
      <c r="AH78">
        <v>0</v>
      </c>
      <c r="AI78">
        <v>3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0</v>
      </c>
      <c r="AU78">
        <v>3</v>
      </c>
      <c r="AV78">
        <v>1</v>
      </c>
      <c r="AW78">
        <v>1</v>
      </c>
      <c r="AX78">
        <v>2</v>
      </c>
      <c r="AY78">
        <v>0</v>
      </c>
      <c r="AZ78">
        <v>1</v>
      </c>
      <c r="BA78" t="s">
        <v>12825</v>
      </c>
      <c r="BB78" t="s">
        <v>193</v>
      </c>
      <c r="BC78">
        <v>0.69299999999999995</v>
      </c>
      <c r="BD78" t="s">
        <v>65</v>
      </c>
      <c r="BE78">
        <v>1</v>
      </c>
      <c r="BF78">
        <v>3</v>
      </c>
      <c r="BG78" t="s">
        <v>12826</v>
      </c>
      <c r="BH78" t="s">
        <v>12827</v>
      </c>
      <c r="BI78" t="s">
        <v>12828</v>
      </c>
      <c r="BJ78">
        <v>0.93461000000000005</v>
      </c>
      <c r="BK78">
        <v>0.19</v>
      </c>
      <c r="BL78" t="s">
        <v>635</v>
      </c>
      <c r="BM78">
        <v>0.68200000000000005</v>
      </c>
      <c r="BN78">
        <v>-6.4000000000000001E-2</v>
      </c>
    </row>
    <row r="79" spans="2:66">
      <c r="B79">
        <v>165</v>
      </c>
      <c r="C79">
        <v>494</v>
      </c>
      <c r="D79">
        <v>0</v>
      </c>
      <c r="E79">
        <v>13</v>
      </c>
      <c r="F79">
        <v>0</v>
      </c>
      <c r="J79">
        <v>0</v>
      </c>
      <c r="K79">
        <v>5</v>
      </c>
      <c r="L79">
        <v>1</v>
      </c>
      <c r="M79" t="s">
        <v>25022</v>
      </c>
      <c r="N79">
        <v>2060</v>
      </c>
      <c r="O79" t="s">
        <v>12829</v>
      </c>
      <c r="P79" t="s">
        <v>62</v>
      </c>
      <c r="Q79">
        <v>2146016</v>
      </c>
      <c r="R79">
        <v>2146792</v>
      </c>
      <c r="S79" t="s">
        <v>12830</v>
      </c>
      <c r="T79">
        <v>259</v>
      </c>
      <c r="U79" t="s">
        <v>108</v>
      </c>
      <c r="V79">
        <v>44</v>
      </c>
      <c r="W79" t="str">
        <f>HYPERLINK("Gene2060-zp_tree_all.dnd", "Gene2060-tree")</f>
        <v>Gene2060-tree</v>
      </c>
      <c r="X79">
        <v>4</v>
      </c>
      <c r="Y79">
        <v>8</v>
      </c>
      <c r="Z79">
        <v>4</v>
      </c>
      <c r="AA79">
        <v>8</v>
      </c>
      <c r="AB79">
        <v>0.66666999999999998</v>
      </c>
      <c r="AC79" t="s">
        <v>61</v>
      </c>
      <c r="AD79" t="s">
        <v>136</v>
      </c>
      <c r="AE79" t="s">
        <v>62</v>
      </c>
      <c r="AF79" t="s">
        <v>62</v>
      </c>
      <c r="AG79">
        <v>2</v>
      </c>
      <c r="AH79">
        <v>6</v>
      </c>
      <c r="AI79">
        <v>6</v>
      </c>
      <c r="AJ79">
        <v>0.5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2</v>
      </c>
      <c r="AQ79">
        <v>2</v>
      </c>
      <c r="AR79">
        <v>4</v>
      </c>
      <c r="AS79">
        <v>6</v>
      </c>
      <c r="AT79">
        <v>0.4</v>
      </c>
      <c r="AU79">
        <v>9</v>
      </c>
      <c r="AV79">
        <v>5</v>
      </c>
      <c r="AW79">
        <v>7</v>
      </c>
      <c r="AX79">
        <v>9</v>
      </c>
      <c r="AY79">
        <v>8</v>
      </c>
      <c r="AZ79">
        <v>4</v>
      </c>
      <c r="BA79" t="s">
        <v>12831</v>
      </c>
      <c r="BB79" t="s">
        <v>12832</v>
      </c>
      <c r="BC79">
        <v>1.3340000000000001</v>
      </c>
      <c r="BD79" t="s">
        <v>65</v>
      </c>
      <c r="BE79">
        <v>15</v>
      </c>
      <c r="BF79">
        <v>13</v>
      </c>
      <c r="BG79" t="s">
        <v>12833</v>
      </c>
      <c r="BH79" t="s">
        <v>12834</v>
      </c>
      <c r="BI79" t="s">
        <v>12835</v>
      </c>
      <c r="BJ79">
        <v>0.20201</v>
      </c>
      <c r="BK79">
        <v>1</v>
      </c>
      <c r="BL79" t="s">
        <v>69</v>
      </c>
      <c r="BM79">
        <v>-0.65800000000000003</v>
      </c>
      <c r="BN79">
        <v>0.32200000000000001</v>
      </c>
    </row>
    <row r="80" spans="2:66">
      <c r="B80">
        <v>166</v>
      </c>
      <c r="C80">
        <v>385</v>
      </c>
      <c r="D80">
        <v>0</v>
      </c>
      <c r="E80">
        <v>11</v>
      </c>
      <c r="F80">
        <v>3</v>
      </c>
      <c r="J80">
        <v>0</v>
      </c>
      <c r="K80">
        <v>3</v>
      </c>
      <c r="L80">
        <v>1</v>
      </c>
      <c r="M80" t="s">
        <v>25022</v>
      </c>
      <c r="N80">
        <v>2061</v>
      </c>
      <c r="O80" t="s">
        <v>12836</v>
      </c>
      <c r="P80" t="s">
        <v>62</v>
      </c>
      <c r="Q80">
        <v>2146824</v>
      </c>
      <c r="R80">
        <v>2148101</v>
      </c>
      <c r="S80" t="s">
        <v>12837</v>
      </c>
      <c r="T80">
        <v>426</v>
      </c>
      <c r="U80" t="s">
        <v>108</v>
      </c>
      <c r="V80">
        <v>44</v>
      </c>
      <c r="W80" t="str">
        <f>HYPERLINK("Gene2061-zp_tree_all.dnd", "Gene2061-tree")</f>
        <v>Gene2061-tree</v>
      </c>
      <c r="X80">
        <v>6</v>
      </c>
      <c r="Y80">
        <v>7</v>
      </c>
      <c r="Z80">
        <v>6</v>
      </c>
      <c r="AA80">
        <v>7</v>
      </c>
      <c r="AB80">
        <v>0.53846000000000005</v>
      </c>
      <c r="AC80" t="s">
        <v>90</v>
      </c>
      <c r="AD80" t="s">
        <v>152</v>
      </c>
      <c r="AE80" t="s">
        <v>62</v>
      </c>
      <c r="AF80" t="s">
        <v>62</v>
      </c>
      <c r="AG80">
        <v>1</v>
      </c>
      <c r="AH80">
        <v>4</v>
      </c>
      <c r="AI80">
        <v>30</v>
      </c>
      <c r="AJ80">
        <v>0.11765</v>
      </c>
      <c r="AK80">
        <v>0</v>
      </c>
      <c r="AL80">
        <v>0</v>
      </c>
      <c r="AM80">
        <v>0</v>
      </c>
      <c r="AN80">
        <v>2</v>
      </c>
      <c r="AO80">
        <v>0</v>
      </c>
      <c r="AP80">
        <v>2</v>
      </c>
      <c r="AQ80">
        <v>0</v>
      </c>
      <c r="AR80">
        <v>2</v>
      </c>
      <c r="AS80">
        <v>25</v>
      </c>
      <c r="AT80">
        <v>7.4069999999999997E-2</v>
      </c>
      <c r="AU80">
        <v>12</v>
      </c>
      <c r="AV80">
        <v>8</v>
      </c>
      <c r="AW80">
        <v>48</v>
      </c>
      <c r="AX80">
        <v>29</v>
      </c>
      <c r="AY80">
        <v>11</v>
      </c>
      <c r="AZ80">
        <v>7</v>
      </c>
      <c r="BA80" t="s">
        <v>12838</v>
      </c>
      <c r="BB80" t="s">
        <v>12839</v>
      </c>
      <c r="BC80">
        <v>6.0999999999999999E-2</v>
      </c>
      <c r="BD80" t="s">
        <v>65</v>
      </c>
      <c r="BE80">
        <v>59</v>
      </c>
      <c r="BF80">
        <v>36</v>
      </c>
      <c r="BG80" t="s">
        <v>12840</v>
      </c>
      <c r="BH80" t="s">
        <v>12841</v>
      </c>
      <c r="BI80" t="s">
        <v>12842</v>
      </c>
      <c r="BJ80">
        <v>0.16764999999999999</v>
      </c>
      <c r="BK80">
        <v>1</v>
      </c>
      <c r="BL80" t="s">
        <v>69</v>
      </c>
      <c r="BM80">
        <v>-1.859</v>
      </c>
      <c r="BN80">
        <v>-2.863</v>
      </c>
    </row>
    <row r="81" spans="2:66">
      <c r="B81">
        <v>167</v>
      </c>
      <c r="C81">
        <v>184</v>
      </c>
      <c r="D81">
        <v>0</v>
      </c>
      <c r="E81">
        <v>51</v>
      </c>
      <c r="F81">
        <v>3</v>
      </c>
      <c r="J81">
        <v>0</v>
      </c>
      <c r="K81">
        <v>3</v>
      </c>
      <c r="L81">
        <v>0</v>
      </c>
      <c r="M81" t="s">
        <v>25022</v>
      </c>
      <c r="N81">
        <v>2062</v>
      </c>
      <c r="O81" t="s">
        <v>12843</v>
      </c>
      <c r="P81" t="s">
        <v>62</v>
      </c>
      <c r="Q81">
        <v>2148169</v>
      </c>
      <c r="R81">
        <v>2148471</v>
      </c>
      <c r="S81" t="s">
        <v>12830</v>
      </c>
      <c r="T81">
        <v>101</v>
      </c>
      <c r="U81" t="s">
        <v>7422</v>
      </c>
      <c r="V81">
        <v>42</v>
      </c>
      <c r="W81" t="str">
        <f>HYPERLINK("Gene2062-zp_tree_all.dnd", "Gene2062-tree")</f>
        <v>Gene2062-tree</v>
      </c>
      <c r="X81">
        <v>6</v>
      </c>
      <c r="Y81">
        <v>4</v>
      </c>
      <c r="Z81">
        <v>6</v>
      </c>
      <c r="AA81">
        <v>4</v>
      </c>
      <c r="AB81">
        <v>0.4</v>
      </c>
      <c r="AC81" t="s">
        <v>90</v>
      </c>
      <c r="AD81" t="s">
        <v>61</v>
      </c>
      <c r="AE81" t="s">
        <v>62</v>
      </c>
      <c r="AF81" t="s">
        <v>62</v>
      </c>
      <c r="AG81">
        <v>1</v>
      </c>
      <c r="AH81">
        <v>3</v>
      </c>
      <c r="AI81">
        <v>2</v>
      </c>
      <c r="AJ81">
        <v>0.6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3</v>
      </c>
      <c r="AQ81">
        <v>0</v>
      </c>
      <c r="AR81">
        <v>3</v>
      </c>
      <c r="AS81">
        <v>1</v>
      </c>
      <c r="AT81">
        <v>0.75</v>
      </c>
      <c r="AU81">
        <v>6</v>
      </c>
      <c r="AV81">
        <v>3</v>
      </c>
      <c r="AW81">
        <v>4</v>
      </c>
      <c r="AX81">
        <v>3</v>
      </c>
      <c r="AY81">
        <v>1</v>
      </c>
      <c r="AZ81">
        <v>2</v>
      </c>
      <c r="BA81" t="s">
        <v>12844</v>
      </c>
      <c r="BB81" t="s">
        <v>12845</v>
      </c>
      <c r="BC81">
        <v>0.42199999999999999</v>
      </c>
      <c r="BD81" t="s">
        <v>65</v>
      </c>
      <c r="BE81">
        <v>5</v>
      </c>
      <c r="BF81">
        <v>5</v>
      </c>
      <c r="BG81" t="s">
        <v>5300</v>
      </c>
      <c r="BH81" t="s">
        <v>12846</v>
      </c>
      <c r="BI81" t="s">
        <v>12847</v>
      </c>
      <c r="BJ81">
        <v>0.36713000000000001</v>
      </c>
      <c r="BK81">
        <v>0.91900000000000004</v>
      </c>
      <c r="BL81" t="s">
        <v>635</v>
      </c>
      <c r="BM81">
        <v>-4.2000000000000003E-2</v>
      </c>
      <c r="BN81">
        <v>-0.251</v>
      </c>
    </row>
    <row r="82" spans="2:66">
      <c r="B82">
        <v>168</v>
      </c>
      <c r="C82">
        <v>286</v>
      </c>
      <c r="D82">
        <v>0</v>
      </c>
      <c r="E82">
        <v>17</v>
      </c>
      <c r="F82">
        <v>2</v>
      </c>
      <c r="J82">
        <v>0</v>
      </c>
      <c r="K82">
        <v>16</v>
      </c>
      <c r="L82">
        <v>2</v>
      </c>
      <c r="M82" t="s">
        <v>25022</v>
      </c>
      <c r="N82">
        <v>2065</v>
      </c>
      <c r="O82" t="s">
        <v>12863</v>
      </c>
      <c r="P82" t="s">
        <v>62</v>
      </c>
      <c r="Q82">
        <v>2150111</v>
      </c>
      <c r="R82">
        <v>2151256</v>
      </c>
      <c r="S82" t="s">
        <v>12864</v>
      </c>
      <c r="T82">
        <v>382</v>
      </c>
      <c r="U82" t="s">
        <v>108</v>
      </c>
      <c r="V82">
        <v>44</v>
      </c>
      <c r="W82" t="str">
        <f>HYPERLINK("Gene2065-zp_tree_all.dnd", "Gene2065-tree")</f>
        <v>Gene2065-tree</v>
      </c>
      <c r="X82">
        <v>5</v>
      </c>
      <c r="Y82">
        <v>11</v>
      </c>
      <c r="Z82">
        <v>5</v>
      </c>
      <c r="AA82">
        <v>11</v>
      </c>
      <c r="AB82">
        <v>0.6875</v>
      </c>
      <c r="AC82" t="s">
        <v>199</v>
      </c>
      <c r="AD82" t="s">
        <v>73</v>
      </c>
      <c r="AE82">
        <v>137353515.63499999</v>
      </c>
      <c r="AF82" t="s">
        <v>267</v>
      </c>
      <c r="AG82">
        <v>5</v>
      </c>
      <c r="AH82">
        <v>18</v>
      </c>
      <c r="AI82">
        <v>14</v>
      </c>
      <c r="AJ82">
        <v>0.5625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7</v>
      </c>
      <c r="AQ82">
        <v>2</v>
      </c>
      <c r="AR82">
        <v>9</v>
      </c>
      <c r="AS82">
        <v>14</v>
      </c>
      <c r="AT82">
        <v>0.39129999999999998</v>
      </c>
      <c r="AU82">
        <v>15</v>
      </c>
      <c r="AV82">
        <v>12</v>
      </c>
      <c r="AW82">
        <v>42</v>
      </c>
      <c r="AX82">
        <v>23</v>
      </c>
      <c r="AY82">
        <v>22</v>
      </c>
      <c r="AZ82">
        <v>9</v>
      </c>
      <c r="BA82" t="s">
        <v>12865</v>
      </c>
      <c r="BB82" t="s">
        <v>12866</v>
      </c>
      <c r="BC82">
        <v>0.50600000000000001</v>
      </c>
      <c r="BD82" t="s">
        <v>65</v>
      </c>
      <c r="BE82">
        <v>64</v>
      </c>
      <c r="BF82">
        <v>32</v>
      </c>
      <c r="BG82" t="s">
        <v>12867</v>
      </c>
      <c r="BH82" t="s">
        <v>12868</v>
      </c>
      <c r="BI82" t="s">
        <v>12869</v>
      </c>
      <c r="BJ82">
        <v>0.11354</v>
      </c>
      <c r="BK82">
        <v>1</v>
      </c>
      <c r="BL82" t="s">
        <v>69</v>
      </c>
      <c r="BM82">
        <v>-1.046</v>
      </c>
      <c r="BN82">
        <v>-2.504</v>
      </c>
    </row>
    <row r="83" spans="2:66">
      <c r="B83">
        <v>169</v>
      </c>
      <c r="C83">
        <v>156</v>
      </c>
      <c r="D83">
        <v>0</v>
      </c>
      <c r="E83">
        <v>9</v>
      </c>
      <c r="F83">
        <v>0</v>
      </c>
      <c r="J83">
        <v>0</v>
      </c>
      <c r="K83">
        <v>4</v>
      </c>
      <c r="L83">
        <v>0</v>
      </c>
      <c r="M83" t="s">
        <v>25022</v>
      </c>
      <c r="N83">
        <v>2079</v>
      </c>
      <c r="O83" t="s">
        <v>12881</v>
      </c>
      <c r="P83" t="s">
        <v>62</v>
      </c>
      <c r="Q83">
        <v>2155296</v>
      </c>
      <c r="R83">
        <v>2156120</v>
      </c>
      <c r="S83" t="s">
        <v>12882</v>
      </c>
      <c r="T83">
        <v>275</v>
      </c>
      <c r="U83" t="s">
        <v>12883</v>
      </c>
      <c r="V83">
        <v>17</v>
      </c>
      <c r="W83" t="str">
        <f>HYPERLINK("Gene2079-zp_tree_all.dnd", "Gene2079-tree")</f>
        <v>Gene2079-tree</v>
      </c>
      <c r="X83">
        <v>0</v>
      </c>
      <c r="Y83">
        <v>17</v>
      </c>
      <c r="Z83">
        <v>0</v>
      </c>
      <c r="AA83">
        <v>4</v>
      </c>
      <c r="AB83">
        <v>1</v>
      </c>
      <c r="AC83" t="s">
        <v>62</v>
      </c>
      <c r="AD83" t="s">
        <v>12884</v>
      </c>
      <c r="AE83">
        <v>4.8689999999999998</v>
      </c>
      <c r="AF83" t="s">
        <v>65</v>
      </c>
      <c r="AG83">
        <v>2</v>
      </c>
      <c r="AH83">
        <v>4</v>
      </c>
      <c r="AI83">
        <v>17</v>
      </c>
      <c r="AJ83">
        <v>0.19048000000000001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</v>
      </c>
      <c r="AQ83">
        <v>0</v>
      </c>
      <c r="AR83">
        <v>4</v>
      </c>
      <c r="AS83">
        <v>17</v>
      </c>
      <c r="AT83">
        <v>0.19048000000000001</v>
      </c>
      <c r="AU83">
        <v>4</v>
      </c>
      <c r="AV83">
        <v>1</v>
      </c>
      <c r="AW83">
        <v>47</v>
      </c>
      <c r="AX83">
        <v>21</v>
      </c>
      <c r="AY83">
        <v>4</v>
      </c>
      <c r="AZ83">
        <v>0</v>
      </c>
      <c r="BA83" t="s">
        <v>12885</v>
      </c>
      <c r="BB83" t="s">
        <v>193</v>
      </c>
      <c r="BC83">
        <v>3.9529999999999998</v>
      </c>
      <c r="BD83" t="s">
        <v>267</v>
      </c>
      <c r="BE83">
        <v>51</v>
      </c>
      <c r="BF83">
        <v>21</v>
      </c>
      <c r="BG83" t="s">
        <v>12886</v>
      </c>
      <c r="BH83" t="s">
        <v>12887</v>
      </c>
      <c r="BI83" t="s">
        <v>12888</v>
      </c>
      <c r="BJ83">
        <v>9.9890000000000007E-2</v>
      </c>
      <c r="BK83">
        <v>1</v>
      </c>
      <c r="BL83" t="s">
        <v>69</v>
      </c>
      <c r="BM83">
        <v>-2.2400000000000002</v>
      </c>
      <c r="BN83">
        <v>-3.008</v>
      </c>
    </row>
    <row r="84" spans="2:66">
      <c r="B84">
        <v>170</v>
      </c>
      <c r="C84">
        <v>281</v>
      </c>
      <c r="D84">
        <v>0</v>
      </c>
      <c r="E84">
        <v>4</v>
      </c>
      <c r="F84">
        <v>0</v>
      </c>
      <c r="J84">
        <v>0</v>
      </c>
      <c r="K84">
        <v>0</v>
      </c>
      <c r="L84">
        <v>0</v>
      </c>
      <c r="M84" t="s">
        <v>25022</v>
      </c>
      <c r="N84">
        <v>2089</v>
      </c>
      <c r="O84" t="s">
        <v>12892</v>
      </c>
      <c r="P84" t="s">
        <v>62</v>
      </c>
      <c r="Q84">
        <v>2160568</v>
      </c>
      <c r="R84">
        <v>2161086</v>
      </c>
      <c r="S84" t="s">
        <v>12893</v>
      </c>
      <c r="T84">
        <v>173</v>
      </c>
      <c r="U84" t="s">
        <v>12894</v>
      </c>
      <c r="V84">
        <v>17</v>
      </c>
      <c r="W84" t="str">
        <f>HYPERLINK("Gene2089-zp_tree_all.dnd", "Gene2089-tree")</f>
        <v>Gene2089-tree</v>
      </c>
      <c r="X84">
        <v>0</v>
      </c>
      <c r="Y84">
        <v>17</v>
      </c>
      <c r="Z84">
        <v>0</v>
      </c>
      <c r="AA84">
        <v>4</v>
      </c>
      <c r="AB84">
        <v>1</v>
      </c>
      <c r="AC84" t="s">
        <v>62</v>
      </c>
      <c r="AD84" t="s">
        <v>12884</v>
      </c>
      <c r="AE84">
        <v>4.8689999999999998</v>
      </c>
      <c r="AF84" t="s">
        <v>65</v>
      </c>
      <c r="AG84">
        <v>0</v>
      </c>
      <c r="AH84">
        <v>0</v>
      </c>
      <c r="AI84">
        <v>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7</v>
      </c>
      <c r="AT84">
        <v>0</v>
      </c>
      <c r="AU84">
        <v>3</v>
      </c>
      <c r="AV84">
        <v>1</v>
      </c>
      <c r="AW84">
        <v>12</v>
      </c>
      <c r="AX84">
        <v>8</v>
      </c>
      <c r="AY84">
        <v>1</v>
      </c>
      <c r="AZ84">
        <v>2</v>
      </c>
      <c r="BA84" t="s">
        <v>12895</v>
      </c>
      <c r="BB84" t="s">
        <v>12896</v>
      </c>
      <c r="BC84">
        <v>3.7919999999999998</v>
      </c>
      <c r="BD84" t="s">
        <v>65</v>
      </c>
      <c r="BE84">
        <v>13</v>
      </c>
      <c r="BF84">
        <v>10</v>
      </c>
      <c r="BG84" t="s">
        <v>12897</v>
      </c>
      <c r="BH84" t="s">
        <v>12898</v>
      </c>
      <c r="BI84" t="s">
        <v>12899</v>
      </c>
      <c r="BJ84">
        <v>0.20987</v>
      </c>
      <c r="BK84">
        <v>1</v>
      </c>
      <c r="BL84" t="s">
        <v>69</v>
      </c>
      <c r="BM84">
        <v>-2.1160000000000001</v>
      </c>
      <c r="BN84">
        <v>-2.5920000000000001</v>
      </c>
    </row>
    <row r="85" spans="2:66">
      <c r="B85">
        <v>171</v>
      </c>
      <c r="C85">
        <v>108</v>
      </c>
      <c r="D85">
        <v>0</v>
      </c>
      <c r="E85">
        <v>2</v>
      </c>
      <c r="F85">
        <v>0</v>
      </c>
      <c r="J85">
        <v>0</v>
      </c>
      <c r="K85">
        <v>0</v>
      </c>
      <c r="L85">
        <v>0</v>
      </c>
      <c r="M85" t="s">
        <v>25022</v>
      </c>
      <c r="N85">
        <v>2113</v>
      </c>
      <c r="O85" t="s">
        <v>12902</v>
      </c>
      <c r="P85" t="s">
        <v>62</v>
      </c>
      <c r="Q85">
        <v>2174107</v>
      </c>
      <c r="R85">
        <v>2174319</v>
      </c>
      <c r="S85" t="s">
        <v>12880</v>
      </c>
      <c r="T85">
        <v>71</v>
      </c>
      <c r="U85" t="s">
        <v>12901</v>
      </c>
      <c r="V85">
        <v>17</v>
      </c>
      <c r="W85" t="str">
        <f>HYPERLINK("Gene2113-zp_tree_all.dnd", "Gene2113-tree")</f>
        <v>Gene2113-tree</v>
      </c>
      <c r="X85">
        <v>3</v>
      </c>
      <c r="Y85">
        <v>14</v>
      </c>
      <c r="Z85">
        <v>3</v>
      </c>
      <c r="AA85">
        <v>1</v>
      </c>
      <c r="AB85">
        <v>0.25</v>
      </c>
      <c r="AC85" t="s">
        <v>324</v>
      </c>
      <c r="AD85" t="s">
        <v>175</v>
      </c>
      <c r="AE85" t="s">
        <v>62</v>
      </c>
      <c r="AF85" t="s">
        <v>62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3</v>
      </c>
      <c r="AV85">
        <v>1</v>
      </c>
      <c r="AW85">
        <v>4</v>
      </c>
      <c r="AX85">
        <v>1</v>
      </c>
      <c r="AY85">
        <v>2</v>
      </c>
      <c r="AZ85">
        <v>0</v>
      </c>
      <c r="BA85" t="s">
        <v>12903</v>
      </c>
      <c r="BB85" t="s">
        <v>193</v>
      </c>
      <c r="BC85">
        <v>0.81299999999999994</v>
      </c>
      <c r="BD85" t="s">
        <v>65</v>
      </c>
      <c r="BE85">
        <v>6</v>
      </c>
      <c r="BF85">
        <v>1</v>
      </c>
      <c r="BG85" t="s">
        <v>12904</v>
      </c>
      <c r="BH85" t="s">
        <v>12905</v>
      </c>
      <c r="BI85" t="s">
        <v>12906</v>
      </c>
      <c r="BJ85">
        <v>4.5010000000000001E-2</v>
      </c>
      <c r="BK85">
        <v>1</v>
      </c>
      <c r="BL85" t="s">
        <v>69</v>
      </c>
      <c r="BM85">
        <v>-0.78</v>
      </c>
      <c r="BN85">
        <v>0.11899999999999999</v>
      </c>
    </row>
    <row r="86" spans="2:66">
      <c r="B86">
        <v>173</v>
      </c>
      <c r="C86">
        <v>146</v>
      </c>
      <c r="D86">
        <v>0</v>
      </c>
      <c r="E86">
        <v>3</v>
      </c>
      <c r="F86">
        <v>0</v>
      </c>
      <c r="J86">
        <v>0</v>
      </c>
      <c r="K86">
        <v>0</v>
      </c>
      <c r="L86">
        <v>0</v>
      </c>
      <c r="M86" t="s">
        <v>25022</v>
      </c>
      <c r="N86">
        <v>2114</v>
      </c>
      <c r="O86" t="s">
        <v>12907</v>
      </c>
      <c r="P86" t="s">
        <v>62</v>
      </c>
      <c r="Q86">
        <v>2174355</v>
      </c>
      <c r="R86">
        <v>2174549</v>
      </c>
      <c r="S86" t="s">
        <v>12880</v>
      </c>
      <c r="T86">
        <v>65</v>
      </c>
      <c r="U86" t="s">
        <v>12901</v>
      </c>
      <c r="V86">
        <v>17</v>
      </c>
      <c r="W86" t="str">
        <f>HYPERLINK("Gene2114-zp_tree_all.dnd", "Gene2114-tree")</f>
        <v>Gene2114-tree</v>
      </c>
      <c r="X86">
        <v>3</v>
      </c>
      <c r="Y86">
        <v>14</v>
      </c>
      <c r="Z86">
        <v>3</v>
      </c>
      <c r="AA86">
        <v>2</v>
      </c>
      <c r="AB86">
        <v>0.4</v>
      </c>
      <c r="AC86" t="s">
        <v>324</v>
      </c>
      <c r="AD86" t="s">
        <v>12908</v>
      </c>
      <c r="AE86">
        <v>4.5259999999999998</v>
      </c>
      <c r="AF86" t="s">
        <v>65</v>
      </c>
      <c r="AG86">
        <v>0</v>
      </c>
      <c r="AH86">
        <v>0</v>
      </c>
      <c r="AI86">
        <v>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0</v>
      </c>
      <c r="AU86">
        <v>3</v>
      </c>
      <c r="AV86">
        <v>2</v>
      </c>
      <c r="AW86">
        <v>1</v>
      </c>
      <c r="AX86">
        <v>2</v>
      </c>
      <c r="AY86">
        <v>3</v>
      </c>
      <c r="AZ86">
        <v>1</v>
      </c>
      <c r="BA86" t="s">
        <v>12909</v>
      </c>
      <c r="BB86" t="s">
        <v>12910</v>
      </c>
      <c r="BC86">
        <v>0.57599999999999996</v>
      </c>
      <c r="BD86" t="s">
        <v>65</v>
      </c>
      <c r="BE86">
        <v>4</v>
      </c>
      <c r="BF86">
        <v>3</v>
      </c>
      <c r="BG86" t="s">
        <v>12911</v>
      </c>
      <c r="BH86" t="s">
        <v>12912</v>
      </c>
      <c r="BI86" t="s">
        <v>12913</v>
      </c>
      <c r="BJ86">
        <v>0.15928999999999999</v>
      </c>
      <c r="BK86">
        <v>0.96699999999999997</v>
      </c>
      <c r="BL86" t="s">
        <v>69</v>
      </c>
      <c r="BM86">
        <v>-0.65800000000000003</v>
      </c>
      <c r="BN86">
        <v>0.11899999999999999</v>
      </c>
    </row>
    <row r="87" spans="2:66">
      <c r="B87">
        <v>174</v>
      </c>
      <c r="C87">
        <v>18</v>
      </c>
      <c r="D87">
        <v>0</v>
      </c>
      <c r="E87">
        <v>2</v>
      </c>
      <c r="F87">
        <v>0</v>
      </c>
      <c r="J87">
        <v>0</v>
      </c>
      <c r="K87">
        <v>0</v>
      </c>
      <c r="L87">
        <v>0</v>
      </c>
      <c r="M87" t="s">
        <v>25022</v>
      </c>
      <c r="N87">
        <v>2163</v>
      </c>
      <c r="O87" t="s">
        <v>12914</v>
      </c>
      <c r="P87" t="s">
        <v>62</v>
      </c>
      <c r="Q87">
        <v>2205196</v>
      </c>
      <c r="R87">
        <v>2206575</v>
      </c>
      <c r="S87" t="s">
        <v>12880</v>
      </c>
      <c r="T87">
        <v>460</v>
      </c>
      <c r="U87" t="s">
        <v>12901</v>
      </c>
      <c r="V87">
        <v>17</v>
      </c>
      <c r="W87" t="str">
        <f>HYPERLINK("Gene2163-zp_tree_all.dnd", "Gene2163-tree")</f>
        <v>Gene2163-tree</v>
      </c>
      <c r="X87">
        <v>15</v>
      </c>
      <c r="Y87">
        <v>2</v>
      </c>
      <c r="Z87">
        <v>2</v>
      </c>
      <c r="AA87">
        <v>2</v>
      </c>
      <c r="AB87">
        <v>0.5</v>
      </c>
      <c r="AC87" t="s">
        <v>12915</v>
      </c>
      <c r="AD87" t="s">
        <v>81</v>
      </c>
      <c r="AE87" t="s">
        <v>62</v>
      </c>
      <c r="AF87" t="s">
        <v>62</v>
      </c>
      <c r="AG87">
        <v>0</v>
      </c>
      <c r="AH87">
        <v>0</v>
      </c>
      <c r="AI87">
        <v>5</v>
      </c>
      <c r="AJ87">
        <v>0</v>
      </c>
      <c r="AK87">
        <v>0</v>
      </c>
      <c r="AL87">
        <v>0</v>
      </c>
      <c r="AM87">
        <v>0</v>
      </c>
      <c r="AN87">
        <v>3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0</v>
      </c>
      <c r="AU87">
        <v>4</v>
      </c>
      <c r="AV87">
        <v>1</v>
      </c>
      <c r="AW87">
        <v>11</v>
      </c>
      <c r="AX87">
        <v>2</v>
      </c>
      <c r="AY87">
        <v>32</v>
      </c>
      <c r="AZ87">
        <v>3</v>
      </c>
      <c r="BA87" t="s">
        <v>12916</v>
      </c>
      <c r="BB87" t="s">
        <v>12917</v>
      </c>
      <c r="BC87">
        <v>0.61499999999999999</v>
      </c>
      <c r="BD87" t="s">
        <v>65</v>
      </c>
      <c r="BE87">
        <v>43</v>
      </c>
      <c r="BF87">
        <v>5</v>
      </c>
      <c r="BG87" t="s">
        <v>12918</v>
      </c>
      <c r="BH87" t="s">
        <v>12919</v>
      </c>
      <c r="BI87" t="s">
        <v>12920</v>
      </c>
      <c r="BJ87">
        <v>2.6040000000000001E-2</v>
      </c>
      <c r="BK87">
        <v>1</v>
      </c>
      <c r="BL87" t="s">
        <v>69</v>
      </c>
      <c r="BM87">
        <v>-1.1719999999999999</v>
      </c>
      <c r="BN87">
        <v>0.79100000000000004</v>
      </c>
    </row>
    <row r="88" spans="2:66">
      <c r="B88">
        <v>175</v>
      </c>
      <c r="C88">
        <v>29</v>
      </c>
      <c r="D88">
        <v>0</v>
      </c>
      <c r="E88">
        <v>9</v>
      </c>
      <c r="F88">
        <v>4</v>
      </c>
      <c r="J88">
        <v>0</v>
      </c>
      <c r="K88">
        <v>0</v>
      </c>
      <c r="L88">
        <v>0</v>
      </c>
      <c r="M88" t="s">
        <v>25022</v>
      </c>
      <c r="N88">
        <v>2164</v>
      </c>
      <c r="O88" t="s">
        <v>12921</v>
      </c>
      <c r="P88" t="s">
        <v>62</v>
      </c>
      <c r="Q88">
        <v>2206685</v>
      </c>
      <c r="R88">
        <v>2207758</v>
      </c>
      <c r="S88" t="s">
        <v>12922</v>
      </c>
      <c r="T88">
        <v>358</v>
      </c>
      <c r="U88" t="s">
        <v>12901</v>
      </c>
      <c r="V88">
        <v>17</v>
      </c>
      <c r="W88" t="str">
        <f>HYPERLINK("Gene2164-zp_tree_all.dnd", "Gene2164-tree")</f>
        <v>Gene2164-tree</v>
      </c>
      <c r="X88">
        <v>1</v>
      </c>
      <c r="Y88">
        <v>16</v>
      </c>
      <c r="Z88">
        <v>1</v>
      </c>
      <c r="AA88">
        <v>3</v>
      </c>
      <c r="AB88">
        <v>0.75</v>
      </c>
      <c r="AC88" t="s">
        <v>175</v>
      </c>
      <c r="AD88" t="s">
        <v>12874</v>
      </c>
      <c r="AE88">
        <v>1.6859999999999999</v>
      </c>
      <c r="AF88" t="s">
        <v>65</v>
      </c>
      <c r="AG88">
        <v>0</v>
      </c>
      <c r="AH88">
        <v>0</v>
      </c>
      <c r="AI88">
        <v>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5</v>
      </c>
      <c r="AT88">
        <v>0</v>
      </c>
      <c r="AU88">
        <v>4</v>
      </c>
      <c r="AV88">
        <v>0</v>
      </c>
      <c r="AW88">
        <v>3</v>
      </c>
      <c r="AX88">
        <v>5</v>
      </c>
      <c r="AY88">
        <v>0</v>
      </c>
      <c r="AZ88">
        <v>0</v>
      </c>
      <c r="BA88" t="s">
        <v>12923</v>
      </c>
      <c r="BB88" t="s">
        <v>193</v>
      </c>
      <c r="BC88">
        <v>2.5859999999999999</v>
      </c>
      <c r="BD88" t="s">
        <v>267</v>
      </c>
      <c r="BE88">
        <v>3</v>
      </c>
      <c r="BF88">
        <v>5</v>
      </c>
      <c r="BG88" t="s">
        <v>12924</v>
      </c>
      <c r="BH88" t="s">
        <v>1007</v>
      </c>
      <c r="BI88" t="s">
        <v>12925</v>
      </c>
      <c r="BJ88">
        <v>0.43595</v>
      </c>
      <c r="BK88">
        <v>0.755</v>
      </c>
      <c r="BL88" t="s">
        <v>635</v>
      </c>
      <c r="BM88">
        <v>-1.5589999999999999</v>
      </c>
      <c r="BN88">
        <v>-1.8740000000000001</v>
      </c>
    </row>
    <row r="89" spans="2:66">
      <c r="B89">
        <v>178</v>
      </c>
      <c r="C89">
        <v>182</v>
      </c>
      <c r="D89">
        <v>0</v>
      </c>
      <c r="E89">
        <v>3</v>
      </c>
      <c r="F89">
        <v>0</v>
      </c>
      <c r="J89">
        <v>0</v>
      </c>
      <c r="K89">
        <v>0</v>
      </c>
      <c r="L89">
        <v>0</v>
      </c>
      <c r="M89" t="s">
        <v>25022</v>
      </c>
      <c r="N89">
        <v>2166</v>
      </c>
      <c r="O89" t="s">
        <v>12926</v>
      </c>
      <c r="P89" t="s">
        <v>62</v>
      </c>
      <c r="Q89">
        <v>2208011</v>
      </c>
      <c r="R89">
        <v>2208325</v>
      </c>
      <c r="S89" t="s">
        <v>12870</v>
      </c>
      <c r="T89">
        <v>105</v>
      </c>
      <c r="U89" t="s">
        <v>12901</v>
      </c>
      <c r="V89">
        <v>17</v>
      </c>
      <c r="W89" t="str">
        <f>HYPERLINK("Gene2166-zp_tree_all.dnd", "Gene2166-tree")</f>
        <v>Gene2166-tree</v>
      </c>
      <c r="X89">
        <v>14</v>
      </c>
      <c r="Y89">
        <v>3</v>
      </c>
      <c r="Z89">
        <v>1</v>
      </c>
      <c r="AA89">
        <v>3</v>
      </c>
      <c r="AB89">
        <v>0.75</v>
      </c>
      <c r="AC89" t="s">
        <v>175</v>
      </c>
      <c r="AD89" t="s">
        <v>324</v>
      </c>
      <c r="AE89" t="s">
        <v>62</v>
      </c>
      <c r="AF89" t="s">
        <v>62</v>
      </c>
      <c r="AG89">
        <v>0</v>
      </c>
      <c r="AH89">
        <v>0</v>
      </c>
      <c r="AI89">
        <v>3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0</v>
      </c>
      <c r="AU89">
        <v>3</v>
      </c>
      <c r="AV89">
        <v>1</v>
      </c>
      <c r="AW89">
        <v>1</v>
      </c>
      <c r="AX89">
        <v>2</v>
      </c>
      <c r="AY89">
        <v>0</v>
      </c>
      <c r="AZ89">
        <v>1</v>
      </c>
      <c r="BA89" t="s">
        <v>12927</v>
      </c>
      <c r="BB89" t="s">
        <v>193</v>
      </c>
      <c r="BC89">
        <v>0.69299999999999995</v>
      </c>
      <c r="BD89" t="s">
        <v>65</v>
      </c>
      <c r="BE89">
        <v>1</v>
      </c>
      <c r="BF89">
        <v>3</v>
      </c>
      <c r="BG89" t="s">
        <v>12928</v>
      </c>
      <c r="BH89" t="s">
        <v>12929</v>
      </c>
      <c r="BI89" t="s">
        <v>12930</v>
      </c>
      <c r="BJ89">
        <v>0.86939999999999995</v>
      </c>
      <c r="BK89">
        <v>0.40799999999999997</v>
      </c>
      <c r="BL89" t="s">
        <v>635</v>
      </c>
      <c r="BM89">
        <v>-1.0820000000000001</v>
      </c>
      <c r="BN89">
        <v>-0.66900000000000004</v>
      </c>
    </row>
    <row r="90" spans="2:66">
      <c r="B90">
        <v>180</v>
      </c>
      <c r="C90">
        <v>27</v>
      </c>
      <c r="D90">
        <v>0</v>
      </c>
      <c r="E90">
        <v>2</v>
      </c>
      <c r="F90">
        <v>0</v>
      </c>
      <c r="J90">
        <v>0</v>
      </c>
      <c r="K90">
        <v>0</v>
      </c>
      <c r="L90">
        <v>0</v>
      </c>
      <c r="M90" t="s">
        <v>25022</v>
      </c>
      <c r="N90">
        <v>2169</v>
      </c>
      <c r="O90" t="s">
        <v>12931</v>
      </c>
      <c r="P90" t="s">
        <v>62</v>
      </c>
      <c r="Q90">
        <v>2208997</v>
      </c>
      <c r="R90">
        <v>2210154</v>
      </c>
      <c r="S90" t="s">
        <v>12932</v>
      </c>
      <c r="T90">
        <v>386</v>
      </c>
      <c r="U90" t="s">
        <v>12901</v>
      </c>
      <c r="V90">
        <v>17</v>
      </c>
      <c r="W90" t="str">
        <f>HYPERLINK("Gene2169-zp_tree_all.dnd", "Gene2169-tree")</f>
        <v>Gene2169-tree</v>
      </c>
      <c r="X90">
        <v>0</v>
      </c>
      <c r="Y90">
        <v>17</v>
      </c>
      <c r="Z90">
        <v>0</v>
      </c>
      <c r="AA90">
        <v>4</v>
      </c>
      <c r="AB90">
        <v>1</v>
      </c>
      <c r="AC90" t="s">
        <v>62</v>
      </c>
      <c r="AD90" t="s">
        <v>12884</v>
      </c>
      <c r="AE90">
        <v>4.8689999999999998</v>
      </c>
      <c r="AF90" t="s">
        <v>65</v>
      </c>
      <c r="AG90">
        <v>0</v>
      </c>
      <c r="AH90">
        <v>0</v>
      </c>
      <c r="AI90">
        <v>4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4</v>
      </c>
      <c r="AT90">
        <v>0</v>
      </c>
      <c r="AU90">
        <v>4</v>
      </c>
      <c r="AV90">
        <v>0</v>
      </c>
      <c r="AW90">
        <v>6</v>
      </c>
      <c r="AX90">
        <v>4</v>
      </c>
      <c r="AY90">
        <v>0</v>
      </c>
      <c r="AZ90">
        <v>0</v>
      </c>
      <c r="BA90" t="s">
        <v>12933</v>
      </c>
      <c r="BB90" t="s">
        <v>193</v>
      </c>
      <c r="BC90">
        <v>2</v>
      </c>
      <c r="BD90" t="s">
        <v>267</v>
      </c>
      <c r="BE90">
        <v>6</v>
      </c>
      <c r="BF90">
        <v>4</v>
      </c>
      <c r="BG90" t="s">
        <v>12934</v>
      </c>
      <c r="BH90" t="s">
        <v>12935</v>
      </c>
      <c r="BI90" t="s">
        <v>12936</v>
      </c>
      <c r="BJ90">
        <v>0.16488</v>
      </c>
      <c r="BK90">
        <v>0.98899999999999999</v>
      </c>
      <c r="BL90" t="s">
        <v>69</v>
      </c>
      <c r="BM90">
        <v>-1.9690000000000001</v>
      </c>
      <c r="BN90">
        <v>-2.6349999999999998</v>
      </c>
    </row>
    <row r="91" spans="2:66">
      <c r="B91">
        <v>181</v>
      </c>
      <c r="C91">
        <v>155</v>
      </c>
      <c r="D91">
        <v>0</v>
      </c>
      <c r="E91">
        <v>9</v>
      </c>
      <c r="F91">
        <v>2</v>
      </c>
      <c r="J91">
        <v>0</v>
      </c>
      <c r="K91">
        <v>0</v>
      </c>
      <c r="L91">
        <v>0</v>
      </c>
      <c r="M91" t="s">
        <v>25022</v>
      </c>
      <c r="N91">
        <v>2175</v>
      </c>
      <c r="O91" t="s">
        <v>12937</v>
      </c>
      <c r="P91" t="s">
        <v>62</v>
      </c>
      <c r="Q91">
        <v>2212248</v>
      </c>
      <c r="R91">
        <v>2212496</v>
      </c>
      <c r="S91" t="s">
        <v>12938</v>
      </c>
      <c r="T91">
        <v>83</v>
      </c>
      <c r="U91" t="s">
        <v>12939</v>
      </c>
      <c r="V91">
        <v>18</v>
      </c>
      <c r="W91" t="str">
        <f>HYPERLINK("Gene2175-zp_tree_all.dnd", "Gene2175-tree")</f>
        <v>Gene2175-tree</v>
      </c>
      <c r="X91">
        <v>14</v>
      </c>
      <c r="Y91">
        <v>3</v>
      </c>
      <c r="Z91">
        <v>1</v>
      </c>
      <c r="AA91">
        <v>3</v>
      </c>
      <c r="AB91">
        <v>0.75</v>
      </c>
      <c r="AC91" t="s">
        <v>175</v>
      </c>
      <c r="AD91" t="s">
        <v>324</v>
      </c>
      <c r="AE91" t="s">
        <v>62</v>
      </c>
      <c r="AF91" t="s">
        <v>62</v>
      </c>
      <c r="AG91">
        <v>0</v>
      </c>
      <c r="AH91">
        <v>0</v>
      </c>
      <c r="AI91">
        <v>5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5</v>
      </c>
      <c r="AT91">
        <v>0</v>
      </c>
      <c r="AU91">
        <v>4</v>
      </c>
      <c r="AV91">
        <v>1</v>
      </c>
      <c r="AW91">
        <v>9</v>
      </c>
      <c r="AX91">
        <v>5</v>
      </c>
      <c r="AY91">
        <v>3</v>
      </c>
      <c r="AZ91">
        <v>0</v>
      </c>
      <c r="BA91" t="s">
        <v>12940</v>
      </c>
      <c r="BB91" t="s">
        <v>193</v>
      </c>
      <c r="BC91">
        <v>3.4340000000000002</v>
      </c>
      <c r="BD91" t="s">
        <v>267</v>
      </c>
      <c r="BE91">
        <v>12</v>
      </c>
      <c r="BF91">
        <v>5</v>
      </c>
      <c r="BG91" t="s">
        <v>12941</v>
      </c>
      <c r="BH91" t="s">
        <v>12942</v>
      </c>
      <c r="BI91" t="s">
        <v>12943</v>
      </c>
      <c r="BJ91">
        <v>9.3880000000000005E-2</v>
      </c>
      <c r="BK91">
        <v>1</v>
      </c>
      <c r="BL91" t="s">
        <v>69</v>
      </c>
      <c r="BM91">
        <v>-1.6479999999999999</v>
      </c>
      <c r="BN91">
        <v>-1.5289999999999999</v>
      </c>
    </row>
    <row r="92" spans="2:66">
      <c r="B92">
        <v>182</v>
      </c>
      <c r="C92">
        <v>17</v>
      </c>
      <c r="D92">
        <v>0</v>
      </c>
      <c r="E92">
        <v>2</v>
      </c>
      <c r="F92">
        <v>1</v>
      </c>
      <c r="J92">
        <v>0</v>
      </c>
      <c r="K92">
        <v>0</v>
      </c>
      <c r="L92">
        <v>0</v>
      </c>
      <c r="M92" t="s">
        <v>25022</v>
      </c>
      <c r="N92">
        <v>2186</v>
      </c>
      <c r="O92" t="s">
        <v>12950</v>
      </c>
      <c r="P92" t="s">
        <v>62</v>
      </c>
      <c r="Q92">
        <v>2219787</v>
      </c>
      <c r="R92">
        <v>2219960</v>
      </c>
      <c r="S92" t="s">
        <v>12951</v>
      </c>
      <c r="T92">
        <v>58</v>
      </c>
      <c r="U92" t="s">
        <v>12873</v>
      </c>
      <c r="V92">
        <v>18</v>
      </c>
      <c r="W92" t="str">
        <f>HYPERLINK("Gene2186-zp_tree_all.dnd", "Gene2186-tree")</f>
        <v>Gene2186-tree</v>
      </c>
      <c r="X92">
        <v>2</v>
      </c>
      <c r="Y92">
        <v>15</v>
      </c>
      <c r="Z92">
        <v>2</v>
      </c>
      <c r="AA92">
        <v>2</v>
      </c>
      <c r="AB92">
        <v>0.5</v>
      </c>
      <c r="AC92" t="s">
        <v>81</v>
      </c>
      <c r="AD92" t="s">
        <v>12915</v>
      </c>
      <c r="AE92">
        <v>3.3639999999999999</v>
      </c>
      <c r="AF92" t="s">
        <v>65</v>
      </c>
      <c r="AG92">
        <v>0</v>
      </c>
      <c r="AH92">
        <v>0</v>
      </c>
      <c r="AI92">
        <v>4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3</v>
      </c>
      <c r="AT92">
        <v>0</v>
      </c>
      <c r="AU92">
        <v>3</v>
      </c>
      <c r="AV92">
        <v>1</v>
      </c>
      <c r="AW92">
        <v>2</v>
      </c>
      <c r="AX92">
        <v>3</v>
      </c>
      <c r="AY92">
        <v>0</v>
      </c>
      <c r="AZ92">
        <v>1</v>
      </c>
      <c r="BA92" t="s">
        <v>12952</v>
      </c>
      <c r="BB92" t="s">
        <v>193</v>
      </c>
      <c r="BC92">
        <v>0.64900000000000002</v>
      </c>
      <c r="BD92" t="s">
        <v>65</v>
      </c>
      <c r="BE92">
        <v>2</v>
      </c>
      <c r="BF92">
        <v>4</v>
      </c>
      <c r="BG92" t="s">
        <v>12953</v>
      </c>
      <c r="BH92" t="s">
        <v>12954</v>
      </c>
      <c r="BI92" t="s">
        <v>12955</v>
      </c>
      <c r="BJ92">
        <v>0.68015999999999999</v>
      </c>
      <c r="BK92">
        <v>0.442</v>
      </c>
      <c r="BL92" t="s">
        <v>635</v>
      </c>
      <c r="BM92">
        <v>-0.72699999999999998</v>
      </c>
      <c r="BN92">
        <v>-0.78600000000000003</v>
      </c>
    </row>
    <row r="93" spans="2:66">
      <c r="B93">
        <v>183</v>
      </c>
      <c r="C93">
        <v>194</v>
      </c>
      <c r="D93">
        <v>2</v>
      </c>
      <c r="E93">
        <v>14</v>
      </c>
      <c r="F93">
        <v>4</v>
      </c>
      <c r="J93">
        <v>0</v>
      </c>
      <c r="K93">
        <v>0</v>
      </c>
      <c r="L93">
        <v>0</v>
      </c>
      <c r="M93" t="s">
        <v>25022</v>
      </c>
      <c r="N93">
        <v>2219</v>
      </c>
      <c r="O93" t="s">
        <v>13027</v>
      </c>
      <c r="P93" t="s">
        <v>62</v>
      </c>
      <c r="Q93">
        <v>2246659</v>
      </c>
      <c r="R93">
        <v>2247342</v>
      </c>
      <c r="S93" t="s">
        <v>13028</v>
      </c>
      <c r="T93">
        <v>228</v>
      </c>
      <c r="U93" t="s">
        <v>3368</v>
      </c>
      <c r="V93">
        <v>36</v>
      </c>
      <c r="W93" t="str">
        <f>HYPERLINK("Gene2219-zp_tree_all.dnd", "Gene2219-tree")</f>
        <v>Gene2219-tree</v>
      </c>
      <c r="X93">
        <v>0</v>
      </c>
      <c r="Y93">
        <v>19</v>
      </c>
      <c r="Z93">
        <v>0</v>
      </c>
      <c r="AA93">
        <v>6</v>
      </c>
      <c r="AB93">
        <v>1</v>
      </c>
      <c r="AC93" t="s">
        <v>62</v>
      </c>
      <c r="AD93" t="s">
        <v>13029</v>
      </c>
      <c r="AE93">
        <v>4.0279999999999996</v>
      </c>
      <c r="AF93" t="s">
        <v>65</v>
      </c>
      <c r="AG93">
        <v>0</v>
      </c>
      <c r="AH93">
        <v>0</v>
      </c>
      <c r="AI93">
        <v>12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11</v>
      </c>
      <c r="AT93">
        <v>0</v>
      </c>
      <c r="AU93">
        <v>4</v>
      </c>
      <c r="AV93">
        <v>2</v>
      </c>
      <c r="AW93">
        <v>15</v>
      </c>
      <c r="AX93">
        <v>10</v>
      </c>
      <c r="AY93">
        <v>4</v>
      </c>
      <c r="AZ93">
        <v>2</v>
      </c>
      <c r="BA93" t="s">
        <v>13030</v>
      </c>
      <c r="BB93" t="s">
        <v>13031</v>
      </c>
      <c r="BC93">
        <v>0.122</v>
      </c>
      <c r="BD93" t="s">
        <v>65</v>
      </c>
      <c r="BE93">
        <v>19</v>
      </c>
      <c r="BF93">
        <v>12</v>
      </c>
      <c r="BG93" t="s">
        <v>13032</v>
      </c>
      <c r="BH93" t="s">
        <v>13033</v>
      </c>
      <c r="BI93" t="s">
        <v>13034</v>
      </c>
      <c r="BJ93">
        <v>0.16392999999999999</v>
      </c>
      <c r="BK93">
        <v>1</v>
      </c>
      <c r="BL93" t="s">
        <v>69</v>
      </c>
      <c r="BM93">
        <v>-0.84099999999999997</v>
      </c>
      <c r="BN93">
        <v>-2.6110000000000002</v>
      </c>
    </row>
    <row r="94" spans="2:66">
      <c r="B94">
        <v>184</v>
      </c>
      <c r="C94">
        <v>326</v>
      </c>
      <c r="D94">
        <v>2</v>
      </c>
      <c r="E94">
        <v>35</v>
      </c>
      <c r="F94">
        <v>7</v>
      </c>
      <c r="J94">
        <v>0</v>
      </c>
      <c r="K94">
        <v>0</v>
      </c>
      <c r="L94">
        <v>0</v>
      </c>
      <c r="M94" t="s">
        <v>25022</v>
      </c>
      <c r="N94">
        <v>2220</v>
      </c>
      <c r="O94" t="s">
        <v>13035</v>
      </c>
      <c r="P94" t="s">
        <v>62</v>
      </c>
      <c r="Q94">
        <v>2247370</v>
      </c>
      <c r="R94">
        <v>2247543</v>
      </c>
      <c r="S94" t="s">
        <v>13026</v>
      </c>
      <c r="T94">
        <v>58</v>
      </c>
      <c r="U94" t="s">
        <v>3368</v>
      </c>
      <c r="V94">
        <v>36</v>
      </c>
      <c r="W94" t="str">
        <f>HYPERLINK("Gene2220-zp_tree_all.dnd", "Gene2220-tree")</f>
        <v>Gene2220-tree</v>
      </c>
      <c r="X94">
        <v>18</v>
      </c>
      <c r="Y94">
        <v>0</v>
      </c>
      <c r="Z94">
        <v>4</v>
      </c>
      <c r="AA94">
        <v>0</v>
      </c>
      <c r="AB94">
        <v>0</v>
      </c>
      <c r="AC94" t="s">
        <v>13012</v>
      </c>
      <c r="AD94" t="s">
        <v>62</v>
      </c>
      <c r="AE94" t="s">
        <v>62</v>
      </c>
      <c r="AF94" t="s">
        <v>62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2</v>
      </c>
      <c r="AV94">
        <v>1</v>
      </c>
      <c r="AW94">
        <v>2</v>
      </c>
      <c r="AX94">
        <v>0</v>
      </c>
      <c r="AY94">
        <v>1</v>
      </c>
      <c r="AZ94">
        <v>0</v>
      </c>
      <c r="BA94" t="s">
        <v>193</v>
      </c>
      <c r="BB94" t="s">
        <v>193</v>
      </c>
      <c r="BC94">
        <v>0</v>
      </c>
      <c r="BD94" t="s">
        <v>65</v>
      </c>
      <c r="BE94">
        <v>3</v>
      </c>
      <c r="BF94">
        <v>0</v>
      </c>
      <c r="BG94" t="s">
        <v>3370</v>
      </c>
      <c r="BH94" t="s">
        <v>3371</v>
      </c>
      <c r="BI94" t="s">
        <v>193</v>
      </c>
      <c r="BJ94">
        <v>0</v>
      </c>
      <c r="BK94">
        <v>1</v>
      </c>
      <c r="BL94" t="s">
        <v>69</v>
      </c>
      <c r="BM94">
        <v>1.0920000000000001</v>
      </c>
      <c r="BN94">
        <v>-0.31900000000000001</v>
      </c>
    </row>
    <row r="95" spans="2:66">
      <c r="B95">
        <v>185</v>
      </c>
      <c r="C95">
        <v>157</v>
      </c>
      <c r="D95">
        <v>0</v>
      </c>
      <c r="E95">
        <v>15</v>
      </c>
      <c r="F95">
        <v>4</v>
      </c>
      <c r="J95">
        <v>0</v>
      </c>
      <c r="K95">
        <v>0</v>
      </c>
      <c r="L95">
        <v>0</v>
      </c>
      <c r="M95" t="s">
        <v>25022</v>
      </c>
      <c r="N95">
        <v>2241</v>
      </c>
      <c r="O95" t="s">
        <v>13036</v>
      </c>
      <c r="P95" t="s">
        <v>62</v>
      </c>
      <c r="Q95">
        <v>2272537</v>
      </c>
      <c r="R95">
        <v>2272890</v>
      </c>
      <c r="S95" t="s">
        <v>12900</v>
      </c>
      <c r="T95">
        <v>118</v>
      </c>
      <c r="U95" t="s">
        <v>13037</v>
      </c>
      <c r="V95">
        <v>17</v>
      </c>
      <c r="W95" t="str">
        <f>HYPERLINK("Gene2241-zp_tree_all.dnd", "Gene2241-tree")</f>
        <v>Gene2241-tree</v>
      </c>
      <c r="X95">
        <v>1</v>
      </c>
      <c r="Y95">
        <v>16</v>
      </c>
      <c r="Z95">
        <v>1</v>
      </c>
      <c r="AA95">
        <v>3</v>
      </c>
      <c r="AB95">
        <v>0.75</v>
      </c>
      <c r="AC95" t="s">
        <v>175</v>
      </c>
      <c r="AD95" t="s">
        <v>12874</v>
      </c>
      <c r="AE95">
        <v>1.6859999999999999</v>
      </c>
      <c r="AF95" t="s">
        <v>65</v>
      </c>
      <c r="AG95">
        <v>0</v>
      </c>
      <c r="AH95">
        <v>0</v>
      </c>
      <c r="AI95">
        <v>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3</v>
      </c>
      <c r="AT95">
        <v>0</v>
      </c>
      <c r="AU95">
        <v>3</v>
      </c>
      <c r="AV95">
        <v>1</v>
      </c>
      <c r="AW95">
        <v>3</v>
      </c>
      <c r="AX95">
        <v>3</v>
      </c>
      <c r="AY95">
        <v>5</v>
      </c>
      <c r="AZ95">
        <v>0</v>
      </c>
      <c r="BA95" t="s">
        <v>13038</v>
      </c>
      <c r="BB95" t="s">
        <v>193</v>
      </c>
      <c r="BC95">
        <v>2.5819999999999999</v>
      </c>
      <c r="BD95" t="s">
        <v>267</v>
      </c>
      <c r="BE95">
        <v>8</v>
      </c>
      <c r="BF95">
        <v>3</v>
      </c>
      <c r="BG95" t="s">
        <v>13039</v>
      </c>
      <c r="BH95" t="s">
        <v>13040</v>
      </c>
      <c r="BI95" t="s">
        <v>13041</v>
      </c>
      <c r="BJ95">
        <v>7.5689999999999993E-2</v>
      </c>
      <c r="BK95">
        <v>0.98899999999999999</v>
      </c>
      <c r="BL95" t="s">
        <v>69</v>
      </c>
      <c r="BM95">
        <v>-1.0009999999999999</v>
      </c>
      <c r="BN95">
        <v>0.29899999999999999</v>
      </c>
    </row>
    <row r="96" spans="2:66">
      <c r="B96">
        <v>186</v>
      </c>
      <c r="C96">
        <v>15</v>
      </c>
      <c r="D96">
        <v>0</v>
      </c>
      <c r="E96">
        <v>2</v>
      </c>
      <c r="F96">
        <v>0</v>
      </c>
      <c r="J96">
        <v>0</v>
      </c>
      <c r="K96">
        <v>0</v>
      </c>
      <c r="L96">
        <v>0</v>
      </c>
      <c r="M96" t="s">
        <v>25022</v>
      </c>
      <c r="N96">
        <v>2242</v>
      </c>
      <c r="O96" t="s">
        <v>13042</v>
      </c>
      <c r="P96" t="s">
        <v>62</v>
      </c>
      <c r="Q96">
        <v>2272899</v>
      </c>
      <c r="R96">
        <v>2273363</v>
      </c>
      <c r="S96" t="s">
        <v>13043</v>
      </c>
      <c r="T96">
        <v>155</v>
      </c>
      <c r="U96" t="s">
        <v>13037</v>
      </c>
      <c r="V96">
        <v>17</v>
      </c>
      <c r="W96" t="str">
        <f>HYPERLINK("Gene2242-zp_tree_all.dnd", "Gene2242-tree")</f>
        <v>Gene2242-tree</v>
      </c>
      <c r="X96">
        <v>1</v>
      </c>
      <c r="Y96">
        <v>16</v>
      </c>
      <c r="Z96">
        <v>1</v>
      </c>
      <c r="AA96">
        <v>3</v>
      </c>
      <c r="AB96">
        <v>0.75</v>
      </c>
      <c r="AC96" t="s">
        <v>175</v>
      </c>
      <c r="AD96" t="s">
        <v>12874</v>
      </c>
      <c r="AE96">
        <v>1.6859999999999999</v>
      </c>
      <c r="AF96" t="s">
        <v>65</v>
      </c>
      <c r="AG96">
        <v>0</v>
      </c>
      <c r="AH96">
        <v>0</v>
      </c>
      <c r="AI96">
        <v>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3</v>
      </c>
      <c r="AT96">
        <v>0</v>
      </c>
      <c r="AU96">
        <v>4</v>
      </c>
      <c r="AV96">
        <v>0</v>
      </c>
      <c r="AW96">
        <v>7</v>
      </c>
      <c r="AX96">
        <v>3</v>
      </c>
      <c r="AY96">
        <v>0</v>
      </c>
      <c r="AZ96">
        <v>0</v>
      </c>
      <c r="BA96" t="s">
        <v>13044</v>
      </c>
      <c r="BB96" t="s">
        <v>193</v>
      </c>
      <c r="BC96">
        <v>3.5529999999999999</v>
      </c>
      <c r="BD96" t="s">
        <v>267</v>
      </c>
      <c r="BE96">
        <v>7</v>
      </c>
      <c r="BF96">
        <v>3</v>
      </c>
      <c r="BG96" t="s">
        <v>13045</v>
      </c>
      <c r="BH96" t="s">
        <v>13046</v>
      </c>
      <c r="BI96" t="s">
        <v>13047</v>
      </c>
      <c r="BJ96">
        <v>0.1273</v>
      </c>
      <c r="BK96">
        <v>1</v>
      </c>
      <c r="BL96" t="s">
        <v>69</v>
      </c>
      <c r="BM96">
        <v>-1.4950000000000001</v>
      </c>
      <c r="BN96">
        <v>-1.7350000000000001</v>
      </c>
    </row>
    <row r="97" spans="2:66">
      <c r="B97">
        <v>188</v>
      </c>
      <c r="C97">
        <v>95</v>
      </c>
      <c r="D97">
        <v>0</v>
      </c>
      <c r="E97">
        <v>2</v>
      </c>
      <c r="F97">
        <v>0</v>
      </c>
      <c r="J97">
        <v>0</v>
      </c>
      <c r="K97">
        <v>0</v>
      </c>
      <c r="L97">
        <v>0</v>
      </c>
      <c r="M97" t="s">
        <v>25022</v>
      </c>
      <c r="N97">
        <v>2244</v>
      </c>
      <c r="O97" t="s">
        <v>13048</v>
      </c>
      <c r="P97" t="s">
        <v>62</v>
      </c>
      <c r="Q97">
        <v>2273992</v>
      </c>
      <c r="R97">
        <v>2274522</v>
      </c>
      <c r="S97" t="s">
        <v>13049</v>
      </c>
      <c r="T97">
        <v>177</v>
      </c>
      <c r="U97" t="s">
        <v>13050</v>
      </c>
      <c r="V97">
        <v>24</v>
      </c>
      <c r="W97" t="str">
        <f>HYPERLINK("Gene2244-zp_tree_all.dnd", "Gene2244-tree")</f>
        <v>Gene2244-tree</v>
      </c>
      <c r="X97">
        <v>1</v>
      </c>
      <c r="Y97">
        <v>3</v>
      </c>
      <c r="Z97">
        <v>1</v>
      </c>
      <c r="AA97">
        <v>3</v>
      </c>
      <c r="AB97">
        <v>0.75</v>
      </c>
      <c r="AC97" t="s">
        <v>175</v>
      </c>
      <c r="AD97" t="s">
        <v>324</v>
      </c>
      <c r="AE97" t="s">
        <v>62</v>
      </c>
      <c r="AF97" t="s">
        <v>62</v>
      </c>
      <c r="AG97">
        <v>0</v>
      </c>
      <c r="AH97">
        <v>0</v>
      </c>
      <c r="AI97">
        <v>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0</v>
      </c>
      <c r="AU97">
        <v>3</v>
      </c>
      <c r="AV97">
        <v>1</v>
      </c>
      <c r="AW97">
        <v>5</v>
      </c>
      <c r="AX97">
        <v>4</v>
      </c>
      <c r="AY97">
        <v>2</v>
      </c>
      <c r="AZ97">
        <v>1</v>
      </c>
      <c r="BA97" t="s">
        <v>13051</v>
      </c>
      <c r="BB97" t="s">
        <v>13052</v>
      </c>
      <c r="BC97">
        <v>0.33300000000000002</v>
      </c>
      <c r="BD97" t="s">
        <v>65</v>
      </c>
      <c r="BE97">
        <v>7</v>
      </c>
      <c r="BF97">
        <v>5</v>
      </c>
      <c r="BG97" t="s">
        <v>13053</v>
      </c>
      <c r="BH97" t="s">
        <v>13054</v>
      </c>
      <c r="BI97" t="s">
        <v>13055</v>
      </c>
      <c r="BJ97">
        <v>0.17993999999999999</v>
      </c>
      <c r="BK97">
        <v>1</v>
      </c>
      <c r="BL97" t="s">
        <v>69</v>
      </c>
      <c r="BM97">
        <v>0.70399999999999996</v>
      </c>
      <c r="BN97">
        <v>-0.28199999999999997</v>
      </c>
    </row>
    <row r="98" spans="2:66">
      <c r="B98">
        <v>189</v>
      </c>
      <c r="C98">
        <v>182</v>
      </c>
      <c r="D98">
        <v>0</v>
      </c>
      <c r="E98">
        <v>18</v>
      </c>
      <c r="F98">
        <v>5</v>
      </c>
      <c r="J98">
        <v>0</v>
      </c>
      <c r="K98">
        <v>8</v>
      </c>
      <c r="L98">
        <v>0</v>
      </c>
      <c r="M98" t="s">
        <v>25022</v>
      </c>
      <c r="N98">
        <v>2248</v>
      </c>
      <c r="O98" t="s">
        <v>13056</v>
      </c>
      <c r="P98" t="s">
        <v>62</v>
      </c>
      <c r="Q98">
        <v>2277524</v>
      </c>
      <c r="R98">
        <v>2278078</v>
      </c>
      <c r="S98" t="s">
        <v>12900</v>
      </c>
      <c r="T98">
        <v>185</v>
      </c>
      <c r="U98" t="s">
        <v>13057</v>
      </c>
      <c r="V98">
        <v>38</v>
      </c>
      <c r="W98" t="str">
        <f>HYPERLINK("Gene2248-zp_tree_all.dnd", "Gene2248-tree")</f>
        <v>Gene2248-tree</v>
      </c>
      <c r="X98">
        <v>0</v>
      </c>
      <c r="Y98">
        <v>7</v>
      </c>
      <c r="Z98">
        <v>0</v>
      </c>
      <c r="AA98">
        <v>7</v>
      </c>
      <c r="AB98">
        <v>1</v>
      </c>
      <c r="AC98" t="s">
        <v>62</v>
      </c>
      <c r="AD98" t="s">
        <v>152</v>
      </c>
      <c r="AE98" t="s">
        <v>62</v>
      </c>
      <c r="AF98" t="s">
        <v>62</v>
      </c>
      <c r="AG98">
        <v>4</v>
      </c>
      <c r="AH98">
        <v>8</v>
      </c>
      <c r="AI98">
        <v>11</v>
      </c>
      <c r="AJ98">
        <v>0.42104999999999998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4</v>
      </c>
      <c r="AQ98">
        <v>0</v>
      </c>
      <c r="AR98">
        <v>4</v>
      </c>
      <c r="AS98">
        <v>10</v>
      </c>
      <c r="AT98">
        <v>0.28571000000000002</v>
      </c>
      <c r="AU98">
        <v>5</v>
      </c>
      <c r="AV98">
        <v>3</v>
      </c>
      <c r="AW98">
        <v>10</v>
      </c>
      <c r="AX98">
        <v>12</v>
      </c>
      <c r="AY98">
        <v>14</v>
      </c>
      <c r="AZ98">
        <v>7</v>
      </c>
      <c r="BA98" t="s">
        <v>13058</v>
      </c>
      <c r="BB98" t="s">
        <v>13059</v>
      </c>
      <c r="BC98">
        <v>0.63300000000000001</v>
      </c>
      <c r="BD98" t="s">
        <v>65</v>
      </c>
      <c r="BE98">
        <v>24</v>
      </c>
      <c r="BF98">
        <v>19</v>
      </c>
      <c r="BG98" t="s">
        <v>13060</v>
      </c>
      <c r="BH98" t="s">
        <v>13061</v>
      </c>
      <c r="BI98" t="s">
        <v>13062</v>
      </c>
      <c r="BJ98">
        <v>0.15894</v>
      </c>
      <c r="BK98">
        <v>1</v>
      </c>
      <c r="BL98" t="s">
        <v>69</v>
      </c>
      <c r="BM98">
        <v>2.5870000000000002</v>
      </c>
      <c r="BN98">
        <v>1.409</v>
      </c>
    </row>
    <row r="99" spans="2:66">
      <c r="B99">
        <v>198</v>
      </c>
      <c r="C99">
        <v>47</v>
      </c>
      <c r="D99">
        <v>0</v>
      </c>
      <c r="E99">
        <v>2</v>
      </c>
      <c r="F99">
        <v>0</v>
      </c>
      <c r="J99">
        <v>0</v>
      </c>
      <c r="K99">
        <v>4</v>
      </c>
      <c r="L99">
        <v>0</v>
      </c>
      <c r="M99" t="s">
        <v>25022</v>
      </c>
      <c r="N99">
        <v>2260</v>
      </c>
      <c r="O99" t="s">
        <v>13063</v>
      </c>
      <c r="P99" t="s">
        <v>62</v>
      </c>
      <c r="Q99">
        <v>2287532</v>
      </c>
      <c r="R99">
        <v>2288062</v>
      </c>
      <c r="S99" t="s">
        <v>13064</v>
      </c>
      <c r="T99">
        <v>177</v>
      </c>
      <c r="U99" t="s">
        <v>13065</v>
      </c>
      <c r="V99">
        <v>46</v>
      </c>
      <c r="W99" t="str">
        <f>HYPERLINK("Gene2260-zp_tree_all.dnd", "Gene2260-tree")</f>
        <v>Gene2260-tree</v>
      </c>
      <c r="X99">
        <v>10</v>
      </c>
      <c r="Y99">
        <v>5</v>
      </c>
      <c r="Z99">
        <v>10</v>
      </c>
      <c r="AA99">
        <v>5</v>
      </c>
      <c r="AB99">
        <v>0.33333000000000002</v>
      </c>
      <c r="AC99" t="s">
        <v>117</v>
      </c>
      <c r="AD99" t="s">
        <v>199</v>
      </c>
      <c r="AE99" t="s">
        <v>62</v>
      </c>
      <c r="AF99" t="s">
        <v>62</v>
      </c>
      <c r="AG99">
        <v>2</v>
      </c>
      <c r="AH99">
        <v>4</v>
      </c>
      <c r="AI99">
        <v>6</v>
      </c>
      <c r="AJ99">
        <v>0.4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2</v>
      </c>
      <c r="AQ99">
        <v>0</v>
      </c>
      <c r="AR99">
        <v>2</v>
      </c>
      <c r="AS99">
        <v>6</v>
      </c>
      <c r="AT99">
        <v>0.25</v>
      </c>
      <c r="AU99">
        <v>12</v>
      </c>
      <c r="AV99">
        <v>4</v>
      </c>
      <c r="AW99">
        <v>24</v>
      </c>
      <c r="AX99">
        <v>8</v>
      </c>
      <c r="AY99">
        <v>23</v>
      </c>
      <c r="AZ99">
        <v>2</v>
      </c>
      <c r="BA99" t="s">
        <v>13066</v>
      </c>
      <c r="BB99" t="s">
        <v>13067</v>
      </c>
      <c r="BC99">
        <v>0.73699999999999999</v>
      </c>
      <c r="BD99" t="s">
        <v>65</v>
      </c>
      <c r="BE99">
        <v>47</v>
      </c>
      <c r="BF99">
        <v>10</v>
      </c>
      <c r="BG99" t="s">
        <v>13068</v>
      </c>
      <c r="BH99" t="s">
        <v>13069</v>
      </c>
      <c r="BI99" t="s">
        <v>13070</v>
      </c>
      <c r="BJ99">
        <v>4.3240000000000001E-2</v>
      </c>
      <c r="BK99">
        <v>1</v>
      </c>
      <c r="BL99" t="s">
        <v>69</v>
      </c>
      <c r="BM99">
        <v>-1.123</v>
      </c>
      <c r="BN99">
        <v>-1.0229999999999999</v>
      </c>
    </row>
    <row r="100" spans="2:66">
      <c r="B100">
        <v>199</v>
      </c>
      <c r="C100">
        <v>69</v>
      </c>
      <c r="D100">
        <v>0</v>
      </c>
      <c r="E100">
        <v>2</v>
      </c>
      <c r="F100">
        <v>0</v>
      </c>
      <c r="J100">
        <v>2</v>
      </c>
      <c r="K100">
        <v>5</v>
      </c>
      <c r="L100">
        <v>1</v>
      </c>
      <c r="M100" t="s">
        <v>25022</v>
      </c>
      <c r="N100">
        <v>2262</v>
      </c>
      <c r="O100" t="s">
        <v>13077</v>
      </c>
      <c r="P100" t="s">
        <v>62</v>
      </c>
      <c r="Q100">
        <v>2288672</v>
      </c>
      <c r="R100">
        <v>2290006</v>
      </c>
      <c r="S100" t="s">
        <v>13078</v>
      </c>
      <c r="T100">
        <v>445</v>
      </c>
      <c r="U100" t="s">
        <v>108</v>
      </c>
      <c r="V100">
        <v>44</v>
      </c>
      <c r="W100" t="str">
        <f>HYPERLINK("Gene2262-zp_tree_all.dnd", "Gene2262-tree")</f>
        <v>Gene2262-tree</v>
      </c>
      <c r="X100">
        <v>6</v>
      </c>
      <c r="Y100">
        <v>9</v>
      </c>
      <c r="Z100">
        <v>6</v>
      </c>
      <c r="AA100">
        <v>9</v>
      </c>
      <c r="AB100">
        <v>0.6</v>
      </c>
      <c r="AC100" t="s">
        <v>90</v>
      </c>
      <c r="AD100" t="s">
        <v>135</v>
      </c>
      <c r="AE100" t="s">
        <v>62</v>
      </c>
      <c r="AF100" t="s">
        <v>62</v>
      </c>
      <c r="AG100">
        <v>3</v>
      </c>
      <c r="AH100">
        <v>8</v>
      </c>
      <c r="AI100">
        <v>11</v>
      </c>
      <c r="AJ100">
        <v>0.42104999999999998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11</v>
      </c>
      <c r="AT100">
        <v>0</v>
      </c>
      <c r="AU100">
        <v>15</v>
      </c>
      <c r="AV100">
        <v>12</v>
      </c>
      <c r="AW100">
        <v>47</v>
      </c>
      <c r="AX100">
        <v>11</v>
      </c>
      <c r="AY100">
        <v>28</v>
      </c>
      <c r="AZ100">
        <v>8</v>
      </c>
      <c r="BA100" t="s">
        <v>13079</v>
      </c>
      <c r="BB100" t="s">
        <v>13080</v>
      </c>
      <c r="BC100">
        <v>0.432</v>
      </c>
      <c r="BD100" t="s">
        <v>65</v>
      </c>
      <c r="BE100">
        <v>75</v>
      </c>
      <c r="BF100">
        <v>19</v>
      </c>
      <c r="BG100" t="s">
        <v>13081</v>
      </c>
      <c r="BH100" t="s">
        <v>13082</v>
      </c>
      <c r="BI100" t="s">
        <v>13083</v>
      </c>
      <c r="BJ100">
        <v>8.2100000000000006E-2</v>
      </c>
      <c r="BK100">
        <v>1</v>
      </c>
      <c r="BL100" t="s">
        <v>69</v>
      </c>
      <c r="BM100">
        <v>-0.82199999999999995</v>
      </c>
      <c r="BN100">
        <v>-0.96099999999999997</v>
      </c>
    </row>
    <row r="101" spans="2:66">
      <c r="B101">
        <v>200</v>
      </c>
      <c r="C101">
        <v>150</v>
      </c>
      <c r="D101">
        <v>0</v>
      </c>
      <c r="E101">
        <v>16</v>
      </c>
      <c r="F101">
        <v>1</v>
      </c>
      <c r="J101">
        <v>0</v>
      </c>
      <c r="K101">
        <v>0</v>
      </c>
      <c r="L101">
        <v>2</v>
      </c>
      <c r="M101" t="s">
        <v>25022</v>
      </c>
      <c r="N101">
        <v>2263</v>
      </c>
      <c r="O101" t="s">
        <v>13084</v>
      </c>
      <c r="P101" t="s">
        <v>62</v>
      </c>
      <c r="Q101">
        <v>2290081</v>
      </c>
      <c r="R101">
        <v>2290272</v>
      </c>
      <c r="S101" t="s">
        <v>288</v>
      </c>
      <c r="T101">
        <v>64</v>
      </c>
      <c r="U101" t="s">
        <v>13085</v>
      </c>
      <c r="V101">
        <v>46</v>
      </c>
      <c r="W101" t="str">
        <f>HYPERLINK("Gene2263-zp_tree_all.dnd", "Gene2263-tree")</f>
        <v>Gene2263-tree</v>
      </c>
      <c r="X101">
        <v>9</v>
      </c>
      <c r="Y101">
        <v>3</v>
      </c>
      <c r="Z101">
        <v>9</v>
      </c>
      <c r="AA101">
        <v>3</v>
      </c>
      <c r="AB101">
        <v>0.25</v>
      </c>
      <c r="AC101" t="s">
        <v>135</v>
      </c>
      <c r="AD101" t="s">
        <v>324</v>
      </c>
      <c r="AE101" t="s">
        <v>62</v>
      </c>
      <c r="AF101" t="s">
        <v>62</v>
      </c>
      <c r="AG101">
        <v>1</v>
      </c>
      <c r="AH101">
        <v>2</v>
      </c>
      <c r="AI101">
        <v>4</v>
      </c>
      <c r="AJ101">
        <v>0.33333000000000002</v>
      </c>
      <c r="AK101">
        <v>0</v>
      </c>
      <c r="AL101">
        <v>0</v>
      </c>
      <c r="AM101">
        <v>0</v>
      </c>
      <c r="AN101">
        <v>2</v>
      </c>
      <c r="AO101">
        <v>0</v>
      </c>
      <c r="AP101">
        <v>0</v>
      </c>
      <c r="AQ101">
        <v>0</v>
      </c>
      <c r="AR101">
        <v>0</v>
      </c>
      <c r="AS101">
        <v>4</v>
      </c>
      <c r="AT101">
        <v>0</v>
      </c>
      <c r="AU101">
        <v>8</v>
      </c>
      <c r="AV101">
        <v>5</v>
      </c>
      <c r="AW101">
        <v>11</v>
      </c>
      <c r="AX101">
        <v>4</v>
      </c>
      <c r="AY101">
        <v>8</v>
      </c>
      <c r="AZ101">
        <v>2</v>
      </c>
      <c r="BA101" t="s">
        <v>13086</v>
      </c>
      <c r="BB101" t="s">
        <v>13087</v>
      </c>
      <c r="BC101">
        <v>0.32700000000000001</v>
      </c>
      <c r="BD101" t="s">
        <v>65</v>
      </c>
      <c r="BE101">
        <v>19</v>
      </c>
      <c r="BF101">
        <v>6</v>
      </c>
      <c r="BG101" t="s">
        <v>13088</v>
      </c>
      <c r="BH101" t="s">
        <v>13089</v>
      </c>
      <c r="BI101" t="s">
        <v>13090</v>
      </c>
      <c r="BJ101">
        <v>8.8999999999999996E-2</v>
      </c>
      <c r="BK101">
        <v>1</v>
      </c>
      <c r="BL101" t="s">
        <v>69</v>
      </c>
      <c r="BM101">
        <v>-1.522</v>
      </c>
      <c r="BN101">
        <v>-1.929</v>
      </c>
    </row>
    <row r="102" spans="2:66">
      <c r="B102">
        <v>202</v>
      </c>
      <c r="C102">
        <v>78</v>
      </c>
      <c r="D102">
        <v>0</v>
      </c>
      <c r="E102">
        <v>4</v>
      </c>
      <c r="F102">
        <v>4</v>
      </c>
      <c r="J102">
        <v>0</v>
      </c>
      <c r="K102">
        <v>0</v>
      </c>
      <c r="L102">
        <v>0</v>
      </c>
      <c r="M102" t="s">
        <v>25022</v>
      </c>
      <c r="N102">
        <v>2264</v>
      </c>
      <c r="O102" t="s">
        <v>13091</v>
      </c>
      <c r="P102" t="s">
        <v>62</v>
      </c>
      <c r="Q102">
        <v>2290288</v>
      </c>
      <c r="R102">
        <v>2290848</v>
      </c>
      <c r="S102" t="s">
        <v>116</v>
      </c>
      <c r="T102">
        <v>187</v>
      </c>
      <c r="U102" t="s">
        <v>108</v>
      </c>
      <c r="V102">
        <v>44</v>
      </c>
      <c r="W102" t="str">
        <f>HYPERLINK("Gene2264-zp_tree_all.dnd", "Gene2264-tree")</f>
        <v>Gene2264-tree</v>
      </c>
      <c r="X102">
        <v>7</v>
      </c>
      <c r="Y102">
        <v>7</v>
      </c>
      <c r="Z102">
        <v>7</v>
      </c>
      <c r="AA102">
        <v>7</v>
      </c>
      <c r="AB102">
        <v>0.5</v>
      </c>
      <c r="AC102" t="s">
        <v>152</v>
      </c>
      <c r="AD102" t="s">
        <v>152</v>
      </c>
      <c r="AE102" t="s">
        <v>62</v>
      </c>
      <c r="AF102" t="s">
        <v>62</v>
      </c>
      <c r="AG102">
        <v>0</v>
      </c>
      <c r="AH102">
        <v>0</v>
      </c>
      <c r="AI102">
        <v>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6</v>
      </c>
      <c r="AT102">
        <v>0</v>
      </c>
      <c r="AU102">
        <v>11</v>
      </c>
      <c r="AV102">
        <v>5</v>
      </c>
      <c r="AW102">
        <v>11</v>
      </c>
      <c r="AX102">
        <v>6</v>
      </c>
      <c r="AY102">
        <v>4</v>
      </c>
      <c r="AZ102">
        <v>1</v>
      </c>
      <c r="BA102" t="s">
        <v>13092</v>
      </c>
      <c r="BB102" t="s">
        <v>13093</v>
      </c>
      <c r="BC102">
        <v>0.495</v>
      </c>
      <c r="BD102" t="s">
        <v>65</v>
      </c>
      <c r="BE102">
        <v>15</v>
      </c>
      <c r="BF102">
        <v>7</v>
      </c>
      <c r="BG102" t="s">
        <v>13094</v>
      </c>
      <c r="BH102" t="s">
        <v>13095</v>
      </c>
      <c r="BI102" t="s">
        <v>13096</v>
      </c>
      <c r="BJ102">
        <v>0.11776</v>
      </c>
      <c r="BK102">
        <v>1</v>
      </c>
      <c r="BL102" t="s">
        <v>69</v>
      </c>
      <c r="BM102">
        <v>-0.89300000000000002</v>
      </c>
      <c r="BN102">
        <v>-1.3069999999999999</v>
      </c>
    </row>
    <row r="103" spans="2:66">
      <c r="B103">
        <v>203</v>
      </c>
      <c r="C103">
        <v>26</v>
      </c>
      <c r="D103">
        <v>0</v>
      </c>
      <c r="E103">
        <v>4</v>
      </c>
      <c r="F103">
        <v>0</v>
      </c>
      <c r="J103">
        <v>0</v>
      </c>
      <c r="K103">
        <v>2</v>
      </c>
      <c r="L103">
        <v>1</v>
      </c>
      <c r="M103" t="s">
        <v>25022</v>
      </c>
      <c r="N103">
        <v>2265</v>
      </c>
      <c r="O103" t="s">
        <v>13097</v>
      </c>
      <c r="P103" t="s">
        <v>62</v>
      </c>
      <c r="Q103">
        <v>2290861</v>
      </c>
      <c r="R103">
        <v>2291625</v>
      </c>
      <c r="S103" t="s">
        <v>13098</v>
      </c>
      <c r="T103">
        <v>255</v>
      </c>
      <c r="U103" t="s">
        <v>108</v>
      </c>
      <c r="V103">
        <v>44</v>
      </c>
      <c r="W103" t="str">
        <f>HYPERLINK("Gene2265-zp_tree_all.dnd", "Gene2265-tree")</f>
        <v>Gene2265-tree</v>
      </c>
      <c r="X103">
        <v>27</v>
      </c>
      <c r="Y103">
        <v>7</v>
      </c>
      <c r="Z103">
        <v>6</v>
      </c>
      <c r="AA103">
        <v>7</v>
      </c>
      <c r="AB103">
        <v>0.53846000000000005</v>
      </c>
      <c r="AC103" t="s">
        <v>1055</v>
      </c>
      <c r="AD103" t="s">
        <v>152</v>
      </c>
      <c r="AE103" t="s">
        <v>62</v>
      </c>
      <c r="AF103" t="s">
        <v>62</v>
      </c>
      <c r="AG103">
        <v>1</v>
      </c>
      <c r="AH103">
        <v>3</v>
      </c>
      <c r="AI103">
        <v>9</v>
      </c>
      <c r="AJ103">
        <v>0.25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</v>
      </c>
      <c r="AQ103">
        <v>1</v>
      </c>
      <c r="AR103">
        <v>3</v>
      </c>
      <c r="AS103">
        <v>9</v>
      </c>
      <c r="AT103">
        <v>0.25</v>
      </c>
      <c r="AU103">
        <v>11</v>
      </c>
      <c r="AV103">
        <v>2</v>
      </c>
      <c r="AW103">
        <v>10</v>
      </c>
      <c r="AX103">
        <v>12</v>
      </c>
      <c r="AY103">
        <v>2</v>
      </c>
      <c r="AZ103">
        <v>0</v>
      </c>
      <c r="BA103" t="s">
        <v>13099</v>
      </c>
      <c r="BB103" t="s">
        <v>193</v>
      </c>
      <c r="BC103">
        <v>1.821</v>
      </c>
      <c r="BD103" t="s">
        <v>65</v>
      </c>
      <c r="BE103">
        <v>12</v>
      </c>
      <c r="BF103">
        <v>12</v>
      </c>
      <c r="BG103" t="s">
        <v>13100</v>
      </c>
      <c r="BH103" t="s">
        <v>13101</v>
      </c>
      <c r="BI103" t="s">
        <v>13102</v>
      </c>
      <c r="BJ103">
        <v>0.21127000000000001</v>
      </c>
      <c r="BK103">
        <v>0.99</v>
      </c>
      <c r="BL103" t="s">
        <v>69</v>
      </c>
      <c r="BM103">
        <v>-1.371</v>
      </c>
      <c r="BN103">
        <v>-2.58</v>
      </c>
    </row>
    <row r="104" spans="2:66">
      <c r="B104">
        <v>204</v>
      </c>
      <c r="C104">
        <v>61</v>
      </c>
      <c r="D104">
        <v>0</v>
      </c>
      <c r="E104">
        <v>18</v>
      </c>
      <c r="F104">
        <v>3</v>
      </c>
      <c r="J104">
        <v>0</v>
      </c>
      <c r="K104">
        <v>7</v>
      </c>
      <c r="L104">
        <v>2</v>
      </c>
      <c r="M104" t="s">
        <v>25022</v>
      </c>
      <c r="N104">
        <v>2266</v>
      </c>
      <c r="O104" t="s">
        <v>13103</v>
      </c>
      <c r="P104" t="s">
        <v>62</v>
      </c>
      <c r="Q104">
        <v>2291706</v>
      </c>
      <c r="R104">
        <v>2292284</v>
      </c>
      <c r="S104" t="s">
        <v>13104</v>
      </c>
      <c r="T104">
        <v>193</v>
      </c>
      <c r="U104" t="s">
        <v>5451</v>
      </c>
      <c r="V104">
        <v>43</v>
      </c>
      <c r="W104" t="str">
        <f>HYPERLINK("Gene2266-zp_tree_all.dnd", "Gene2266-tree")</f>
        <v>Gene2266-tree</v>
      </c>
      <c r="X104">
        <v>6</v>
      </c>
      <c r="Y104">
        <v>5</v>
      </c>
      <c r="Z104">
        <v>6</v>
      </c>
      <c r="AA104">
        <v>5</v>
      </c>
      <c r="AB104">
        <v>0.45455000000000001</v>
      </c>
      <c r="AC104" t="s">
        <v>90</v>
      </c>
      <c r="AD104" t="s">
        <v>199</v>
      </c>
      <c r="AE104" t="s">
        <v>62</v>
      </c>
      <c r="AF104" t="s">
        <v>62</v>
      </c>
      <c r="AG104">
        <v>4</v>
      </c>
      <c r="AH104">
        <v>9</v>
      </c>
      <c r="AI104">
        <v>7</v>
      </c>
      <c r="AJ104">
        <v>0.5625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</v>
      </c>
      <c r="AQ104">
        <v>2</v>
      </c>
      <c r="AR104">
        <v>6</v>
      </c>
      <c r="AS104">
        <v>8</v>
      </c>
      <c r="AT104">
        <v>0.42857000000000001</v>
      </c>
      <c r="AU104">
        <v>7</v>
      </c>
      <c r="AV104">
        <v>6</v>
      </c>
      <c r="AW104">
        <v>15</v>
      </c>
      <c r="AX104">
        <v>7</v>
      </c>
      <c r="AY104">
        <v>16</v>
      </c>
      <c r="AZ104">
        <v>10</v>
      </c>
      <c r="BA104" t="s">
        <v>13105</v>
      </c>
      <c r="BB104" t="s">
        <v>13106</v>
      </c>
      <c r="BC104">
        <v>0.11899999999999999</v>
      </c>
      <c r="BD104" t="s">
        <v>65</v>
      </c>
      <c r="BE104">
        <v>31</v>
      </c>
      <c r="BF104">
        <v>17</v>
      </c>
      <c r="BG104" t="s">
        <v>13107</v>
      </c>
      <c r="BH104" t="s">
        <v>13108</v>
      </c>
      <c r="BI104" t="s">
        <v>13109</v>
      </c>
      <c r="BJ104">
        <v>0.13467999999999999</v>
      </c>
      <c r="BK104">
        <v>1</v>
      </c>
      <c r="BL104" t="s">
        <v>69</v>
      </c>
      <c r="BM104">
        <v>-0.17899999999999999</v>
      </c>
      <c r="BN104">
        <v>9.1999999999999998E-2</v>
      </c>
    </row>
    <row r="105" spans="2:66">
      <c r="B105">
        <v>205</v>
      </c>
      <c r="C105">
        <v>113</v>
      </c>
      <c r="D105">
        <v>0</v>
      </c>
      <c r="E105">
        <v>3</v>
      </c>
      <c r="F105">
        <v>0</v>
      </c>
      <c r="J105">
        <v>0</v>
      </c>
      <c r="K105">
        <v>2</v>
      </c>
      <c r="L105">
        <v>1</v>
      </c>
      <c r="M105" t="s">
        <v>25022</v>
      </c>
      <c r="N105">
        <v>2267</v>
      </c>
      <c r="O105" t="s">
        <v>13110</v>
      </c>
      <c r="P105" t="s">
        <v>62</v>
      </c>
      <c r="Q105">
        <v>2292435</v>
      </c>
      <c r="R105">
        <v>2292683</v>
      </c>
      <c r="S105" t="s">
        <v>288</v>
      </c>
      <c r="T105">
        <v>83</v>
      </c>
      <c r="U105" t="s">
        <v>59</v>
      </c>
      <c r="V105">
        <v>49</v>
      </c>
      <c r="W105" t="str">
        <f>HYPERLINK("Gene2267-zp_tree_all.dnd", "Gene2267-tree")</f>
        <v>Gene2267-tree</v>
      </c>
      <c r="X105">
        <v>4</v>
      </c>
      <c r="Y105">
        <v>4</v>
      </c>
      <c r="Z105">
        <v>4</v>
      </c>
      <c r="AA105">
        <v>4</v>
      </c>
      <c r="AB105">
        <v>0.5</v>
      </c>
      <c r="AC105" t="s">
        <v>61</v>
      </c>
      <c r="AD105" t="s">
        <v>61</v>
      </c>
      <c r="AE105" t="s">
        <v>62</v>
      </c>
      <c r="AF105" t="s">
        <v>62</v>
      </c>
      <c r="AG105">
        <v>1</v>
      </c>
      <c r="AH105">
        <v>3</v>
      </c>
      <c r="AI105">
        <v>2</v>
      </c>
      <c r="AJ105">
        <v>0.6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2</v>
      </c>
      <c r="AQ105">
        <v>0</v>
      </c>
      <c r="AR105">
        <v>2</v>
      </c>
      <c r="AS105">
        <v>2</v>
      </c>
      <c r="AT105">
        <v>0.5</v>
      </c>
      <c r="AU105">
        <v>6</v>
      </c>
      <c r="AV105">
        <v>2</v>
      </c>
      <c r="AW105">
        <v>3</v>
      </c>
      <c r="AX105">
        <v>4</v>
      </c>
      <c r="AY105">
        <v>2</v>
      </c>
      <c r="AZ105">
        <v>1</v>
      </c>
      <c r="BA105" t="s">
        <v>13111</v>
      </c>
      <c r="BB105" t="s">
        <v>13112</v>
      </c>
      <c r="BC105">
        <v>0.52100000000000002</v>
      </c>
      <c r="BD105" t="s">
        <v>65</v>
      </c>
      <c r="BE105">
        <v>5</v>
      </c>
      <c r="BF105">
        <v>5</v>
      </c>
      <c r="BG105" t="s">
        <v>13113</v>
      </c>
      <c r="BH105" t="s">
        <v>13114</v>
      </c>
      <c r="BI105" t="s">
        <v>13115</v>
      </c>
      <c r="BJ105">
        <v>0.1865</v>
      </c>
      <c r="BK105">
        <v>0.98899999999999999</v>
      </c>
      <c r="BL105" t="s">
        <v>69</v>
      </c>
      <c r="BM105">
        <v>-0.50900000000000001</v>
      </c>
      <c r="BN105">
        <v>0.04</v>
      </c>
    </row>
    <row r="106" spans="2:66">
      <c r="B106">
        <v>206</v>
      </c>
      <c r="C106">
        <v>34</v>
      </c>
      <c r="D106">
        <v>0</v>
      </c>
      <c r="E106">
        <v>0</v>
      </c>
      <c r="F106">
        <v>2</v>
      </c>
      <c r="J106">
        <v>0</v>
      </c>
      <c r="K106">
        <v>7</v>
      </c>
      <c r="L106">
        <v>0</v>
      </c>
      <c r="M106" t="s">
        <v>25022</v>
      </c>
      <c r="N106">
        <v>2268</v>
      </c>
      <c r="O106" t="s">
        <v>13116</v>
      </c>
      <c r="P106" t="s">
        <v>62</v>
      </c>
      <c r="Q106">
        <v>2292772</v>
      </c>
      <c r="R106">
        <v>2294037</v>
      </c>
      <c r="S106" t="s">
        <v>13117</v>
      </c>
      <c r="T106">
        <v>422</v>
      </c>
      <c r="U106" t="s">
        <v>13118</v>
      </c>
      <c r="V106">
        <v>46</v>
      </c>
      <c r="W106" t="str">
        <f>HYPERLINK("Gene2268-zp_tree_all.dnd", "Gene2268-tree")</f>
        <v>Gene2268-tree</v>
      </c>
      <c r="X106">
        <v>9</v>
      </c>
      <c r="Y106">
        <v>6</v>
      </c>
      <c r="Z106">
        <v>9</v>
      </c>
      <c r="AA106">
        <v>6</v>
      </c>
      <c r="AB106">
        <v>0.4</v>
      </c>
      <c r="AC106" t="s">
        <v>135</v>
      </c>
      <c r="AD106" t="s">
        <v>90</v>
      </c>
      <c r="AE106" t="s">
        <v>62</v>
      </c>
      <c r="AF106" t="s">
        <v>62</v>
      </c>
      <c r="AG106">
        <v>3</v>
      </c>
      <c r="AH106">
        <v>7</v>
      </c>
      <c r="AI106">
        <v>14</v>
      </c>
      <c r="AJ106">
        <v>0.33333000000000002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9</v>
      </c>
      <c r="AT106">
        <v>0</v>
      </c>
      <c r="AU106">
        <v>13</v>
      </c>
      <c r="AV106">
        <v>9</v>
      </c>
      <c r="AW106">
        <v>53</v>
      </c>
      <c r="AX106">
        <v>10</v>
      </c>
      <c r="AY106">
        <v>67</v>
      </c>
      <c r="AZ106">
        <v>13</v>
      </c>
      <c r="BA106" t="s">
        <v>13119</v>
      </c>
      <c r="BB106" t="s">
        <v>13120</v>
      </c>
      <c r="BC106">
        <v>3.0000000000000001E-3</v>
      </c>
      <c r="BD106" t="s">
        <v>65</v>
      </c>
      <c r="BE106">
        <v>120</v>
      </c>
      <c r="BF106">
        <v>23</v>
      </c>
      <c r="BG106" t="s">
        <v>13121</v>
      </c>
      <c r="BH106" t="s">
        <v>13122</v>
      </c>
      <c r="BI106" t="s">
        <v>13123</v>
      </c>
      <c r="BJ106">
        <v>5.4809999999999998E-2</v>
      </c>
      <c r="BK106">
        <v>1</v>
      </c>
      <c r="BL106" t="s">
        <v>69</v>
      </c>
      <c r="BM106">
        <v>-1.367</v>
      </c>
      <c r="BN106">
        <v>-1.202</v>
      </c>
    </row>
    <row r="107" spans="2:66">
      <c r="B107">
        <v>208</v>
      </c>
      <c r="C107">
        <v>143</v>
      </c>
      <c r="D107">
        <v>0</v>
      </c>
      <c r="E107">
        <v>10</v>
      </c>
      <c r="F107">
        <v>3</v>
      </c>
      <c r="J107">
        <v>0</v>
      </c>
      <c r="K107">
        <v>0</v>
      </c>
      <c r="L107">
        <v>4</v>
      </c>
      <c r="M107" t="s">
        <v>25022</v>
      </c>
      <c r="N107">
        <v>2271</v>
      </c>
      <c r="O107" t="s">
        <v>13136</v>
      </c>
      <c r="P107" t="s">
        <v>62</v>
      </c>
      <c r="Q107">
        <v>2295985</v>
      </c>
      <c r="R107">
        <v>2296602</v>
      </c>
      <c r="S107" t="s">
        <v>13137</v>
      </c>
      <c r="T107">
        <v>206</v>
      </c>
      <c r="U107" t="s">
        <v>108</v>
      </c>
      <c r="V107">
        <v>44</v>
      </c>
      <c r="W107" t="str">
        <f>HYPERLINK("Gene2271-zp_tree_all.dnd", "Gene2271-tree")</f>
        <v>Gene2271-tree</v>
      </c>
      <c r="X107">
        <v>6</v>
      </c>
      <c r="Y107">
        <v>6</v>
      </c>
      <c r="Z107">
        <v>6</v>
      </c>
      <c r="AA107">
        <v>6</v>
      </c>
      <c r="AB107">
        <v>0.5</v>
      </c>
      <c r="AC107" t="s">
        <v>90</v>
      </c>
      <c r="AD107" t="s">
        <v>90</v>
      </c>
      <c r="AE107" t="s">
        <v>62</v>
      </c>
      <c r="AF107" t="s">
        <v>62</v>
      </c>
      <c r="AG107">
        <v>2</v>
      </c>
      <c r="AH107">
        <v>4</v>
      </c>
      <c r="AI107">
        <v>7</v>
      </c>
      <c r="AJ107">
        <v>0.36364000000000002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4</v>
      </c>
      <c r="AR107">
        <v>4</v>
      </c>
      <c r="AS107">
        <v>6</v>
      </c>
      <c r="AT107">
        <v>0.4</v>
      </c>
      <c r="AU107">
        <v>8</v>
      </c>
      <c r="AV107">
        <v>4</v>
      </c>
      <c r="AW107">
        <v>14</v>
      </c>
      <c r="AX107">
        <v>9</v>
      </c>
      <c r="AY107">
        <v>4</v>
      </c>
      <c r="AZ107">
        <v>2</v>
      </c>
      <c r="BA107" t="s">
        <v>13138</v>
      </c>
      <c r="BB107" t="s">
        <v>13139</v>
      </c>
      <c r="BC107">
        <v>0.41299999999999998</v>
      </c>
      <c r="BD107" t="s">
        <v>65</v>
      </c>
      <c r="BE107">
        <v>18</v>
      </c>
      <c r="BF107">
        <v>11</v>
      </c>
      <c r="BG107" t="s">
        <v>13140</v>
      </c>
      <c r="BH107" t="s">
        <v>13141</v>
      </c>
      <c r="BI107" t="s">
        <v>13142</v>
      </c>
      <c r="BJ107">
        <v>0.17543</v>
      </c>
      <c r="BK107">
        <v>1</v>
      </c>
      <c r="BL107" t="s">
        <v>69</v>
      </c>
      <c r="BM107">
        <v>-0.70199999999999996</v>
      </c>
      <c r="BN107">
        <v>-1.738</v>
      </c>
    </row>
    <row r="108" spans="2:66">
      <c r="B108">
        <v>209</v>
      </c>
      <c r="C108">
        <v>120</v>
      </c>
      <c r="D108">
        <v>0</v>
      </c>
      <c r="E108">
        <v>6</v>
      </c>
      <c r="F108">
        <v>0</v>
      </c>
      <c r="J108">
        <v>0</v>
      </c>
      <c r="K108">
        <v>6</v>
      </c>
      <c r="L108">
        <v>2</v>
      </c>
      <c r="M108" t="s">
        <v>25022</v>
      </c>
      <c r="N108">
        <v>2272</v>
      </c>
      <c r="O108" t="s">
        <v>13143</v>
      </c>
      <c r="P108" t="s">
        <v>62</v>
      </c>
      <c r="Q108">
        <v>2296606</v>
      </c>
      <c r="R108">
        <v>2297109</v>
      </c>
      <c r="S108" t="s">
        <v>13144</v>
      </c>
      <c r="T108">
        <v>168</v>
      </c>
      <c r="U108" t="s">
        <v>108</v>
      </c>
      <c r="V108">
        <v>44</v>
      </c>
      <c r="W108" t="str">
        <f>HYPERLINK("Gene2272-zp_tree_all.dnd", "Gene2272-tree")</f>
        <v>Gene2272-tree</v>
      </c>
      <c r="X108">
        <v>6</v>
      </c>
      <c r="Y108">
        <v>5</v>
      </c>
      <c r="Z108">
        <v>6</v>
      </c>
      <c r="AA108">
        <v>5</v>
      </c>
      <c r="AB108">
        <v>0.45455000000000001</v>
      </c>
      <c r="AC108" t="s">
        <v>90</v>
      </c>
      <c r="AD108" t="s">
        <v>199</v>
      </c>
      <c r="AE108" t="s">
        <v>62</v>
      </c>
      <c r="AF108" t="s">
        <v>62</v>
      </c>
      <c r="AG108">
        <v>4</v>
      </c>
      <c r="AH108">
        <v>8</v>
      </c>
      <c r="AI108">
        <v>4</v>
      </c>
      <c r="AJ108">
        <v>0.66666999999999998</v>
      </c>
      <c r="AK108">
        <v>0</v>
      </c>
      <c r="AL108">
        <v>0</v>
      </c>
      <c r="AM108">
        <v>0</v>
      </c>
      <c r="AN108">
        <v>2</v>
      </c>
      <c r="AO108">
        <v>0</v>
      </c>
      <c r="AP108">
        <v>0</v>
      </c>
      <c r="AQ108">
        <v>0</v>
      </c>
      <c r="AR108">
        <v>0</v>
      </c>
      <c r="AS108">
        <v>7</v>
      </c>
      <c r="AT108">
        <v>0</v>
      </c>
      <c r="AU108">
        <v>8</v>
      </c>
      <c r="AV108">
        <v>8</v>
      </c>
      <c r="AW108">
        <v>9</v>
      </c>
      <c r="AX108">
        <v>7</v>
      </c>
      <c r="AY108">
        <v>6</v>
      </c>
      <c r="AZ108">
        <v>5</v>
      </c>
      <c r="BA108" t="s">
        <v>13145</v>
      </c>
      <c r="BB108" t="s">
        <v>13146</v>
      </c>
      <c r="BC108">
        <v>6.8000000000000005E-2</v>
      </c>
      <c r="BD108" t="s">
        <v>65</v>
      </c>
      <c r="BE108">
        <v>15</v>
      </c>
      <c r="BF108">
        <v>12</v>
      </c>
      <c r="BG108" t="s">
        <v>13147</v>
      </c>
      <c r="BH108" t="s">
        <v>13148</v>
      </c>
      <c r="BI108" t="s">
        <v>13149</v>
      </c>
      <c r="BJ108">
        <v>0.21909000000000001</v>
      </c>
      <c r="BK108">
        <v>1</v>
      </c>
      <c r="BL108" t="s">
        <v>69</v>
      </c>
      <c r="BM108">
        <v>0.222</v>
      </c>
      <c r="BN108">
        <v>-0.70499999999999996</v>
      </c>
    </row>
    <row r="109" spans="2:66">
      <c r="B109">
        <v>211</v>
      </c>
      <c r="C109">
        <v>191</v>
      </c>
      <c r="D109">
        <v>0</v>
      </c>
      <c r="E109">
        <v>2</v>
      </c>
      <c r="F109">
        <v>0</v>
      </c>
      <c r="J109">
        <v>0</v>
      </c>
      <c r="K109">
        <v>2</v>
      </c>
      <c r="L109">
        <v>0</v>
      </c>
      <c r="M109" t="s">
        <v>25022</v>
      </c>
      <c r="N109">
        <v>2273</v>
      </c>
      <c r="O109" t="s">
        <v>13150</v>
      </c>
      <c r="P109" t="s">
        <v>62</v>
      </c>
      <c r="Q109">
        <v>2297109</v>
      </c>
      <c r="R109">
        <v>2297900</v>
      </c>
      <c r="S109" t="s">
        <v>13151</v>
      </c>
      <c r="T109">
        <v>264</v>
      </c>
      <c r="U109" t="s">
        <v>2555</v>
      </c>
      <c r="V109">
        <v>34</v>
      </c>
      <c r="W109" t="str">
        <f>HYPERLINK("Gene2273-zp_tree_all.dnd", "Gene2273-tree")</f>
        <v>Gene2273-tree</v>
      </c>
      <c r="X109">
        <v>3</v>
      </c>
      <c r="Y109">
        <v>6</v>
      </c>
      <c r="Z109">
        <v>3</v>
      </c>
      <c r="AA109">
        <v>6</v>
      </c>
      <c r="AB109">
        <v>0.66666999999999998</v>
      </c>
      <c r="AC109" t="s">
        <v>324</v>
      </c>
      <c r="AD109" t="s">
        <v>90</v>
      </c>
      <c r="AE109" t="s">
        <v>62</v>
      </c>
      <c r="AF109" t="s">
        <v>62</v>
      </c>
      <c r="AG109">
        <v>1</v>
      </c>
      <c r="AH109">
        <v>2</v>
      </c>
      <c r="AI109">
        <v>11</v>
      </c>
      <c r="AJ109">
        <v>0.15384999999999999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2</v>
      </c>
      <c r="AQ109">
        <v>0</v>
      </c>
      <c r="AR109">
        <v>2</v>
      </c>
      <c r="AS109">
        <v>9</v>
      </c>
      <c r="AT109">
        <v>0.18182000000000001</v>
      </c>
      <c r="AU109">
        <v>8</v>
      </c>
      <c r="AV109">
        <v>6</v>
      </c>
      <c r="AW109">
        <v>10</v>
      </c>
      <c r="AX109">
        <v>8</v>
      </c>
      <c r="AY109">
        <v>7</v>
      </c>
      <c r="AZ109">
        <v>5</v>
      </c>
      <c r="BA109" t="s">
        <v>13152</v>
      </c>
      <c r="BB109" t="s">
        <v>13153</v>
      </c>
      <c r="BC109">
        <v>0.11600000000000001</v>
      </c>
      <c r="BD109" t="s">
        <v>65</v>
      </c>
      <c r="BE109">
        <v>17</v>
      </c>
      <c r="BF109">
        <v>13</v>
      </c>
      <c r="BG109" t="s">
        <v>13154</v>
      </c>
      <c r="BH109" t="s">
        <v>13155</v>
      </c>
      <c r="BI109" t="s">
        <v>13156</v>
      </c>
      <c r="BJ109">
        <v>0.20849000000000001</v>
      </c>
      <c r="BK109">
        <v>0.99</v>
      </c>
      <c r="BL109" t="s">
        <v>69</v>
      </c>
      <c r="BM109">
        <v>-0.104</v>
      </c>
      <c r="BN109">
        <v>-0.30399999999999999</v>
      </c>
    </row>
    <row r="110" spans="2:66">
      <c r="B110">
        <v>212</v>
      </c>
      <c r="C110">
        <v>200</v>
      </c>
      <c r="D110">
        <v>0</v>
      </c>
      <c r="E110">
        <v>4</v>
      </c>
      <c r="F110">
        <v>2</v>
      </c>
      <c r="J110">
        <v>0</v>
      </c>
      <c r="K110">
        <v>0</v>
      </c>
      <c r="L110">
        <v>0</v>
      </c>
      <c r="M110" t="s">
        <v>25022</v>
      </c>
      <c r="N110">
        <v>2274</v>
      </c>
      <c r="O110" t="s">
        <v>13157</v>
      </c>
      <c r="P110" t="s">
        <v>62</v>
      </c>
      <c r="Q110">
        <v>2297987</v>
      </c>
      <c r="R110">
        <v>2298517</v>
      </c>
      <c r="S110" t="s">
        <v>13158</v>
      </c>
      <c r="T110">
        <v>177</v>
      </c>
      <c r="U110" t="s">
        <v>108</v>
      </c>
      <c r="V110">
        <v>44</v>
      </c>
      <c r="W110" t="str">
        <f>HYPERLINK("Gene2274-zp_tree_all.dnd", "Gene2274-tree")</f>
        <v>Gene2274-tree</v>
      </c>
      <c r="X110">
        <v>6</v>
      </c>
      <c r="Y110">
        <v>4</v>
      </c>
      <c r="Z110">
        <v>6</v>
      </c>
      <c r="AA110">
        <v>4</v>
      </c>
      <c r="AB110">
        <v>0.4</v>
      </c>
      <c r="AC110" t="s">
        <v>90</v>
      </c>
      <c r="AD110" t="s">
        <v>61</v>
      </c>
      <c r="AE110" t="s">
        <v>62</v>
      </c>
      <c r="AF110" t="s">
        <v>62</v>
      </c>
      <c r="AG110">
        <v>0</v>
      </c>
      <c r="AH110">
        <v>0</v>
      </c>
      <c r="AI110">
        <v>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4</v>
      </c>
      <c r="AT110">
        <v>0</v>
      </c>
      <c r="AU110">
        <v>9</v>
      </c>
      <c r="AV110">
        <v>4</v>
      </c>
      <c r="AW110">
        <v>14</v>
      </c>
      <c r="AX110">
        <v>4</v>
      </c>
      <c r="AY110">
        <v>7</v>
      </c>
      <c r="AZ110">
        <v>0</v>
      </c>
      <c r="BA110" t="s">
        <v>13159</v>
      </c>
      <c r="BB110" t="s">
        <v>193</v>
      </c>
      <c r="BC110">
        <v>1.37</v>
      </c>
      <c r="BD110" t="s">
        <v>65</v>
      </c>
      <c r="BE110">
        <v>21</v>
      </c>
      <c r="BF110">
        <v>4</v>
      </c>
      <c r="BG110" t="s">
        <v>13160</v>
      </c>
      <c r="BH110" t="s">
        <v>13161</v>
      </c>
      <c r="BI110" t="s">
        <v>13162</v>
      </c>
      <c r="BJ110">
        <v>4.7160000000000001E-2</v>
      </c>
      <c r="BK110">
        <v>1</v>
      </c>
      <c r="BL110" t="s">
        <v>69</v>
      </c>
      <c r="BM110">
        <v>-1.1020000000000001</v>
      </c>
      <c r="BN110">
        <v>-1.0469999999999999</v>
      </c>
    </row>
    <row r="111" spans="2:66">
      <c r="B111">
        <v>215</v>
      </c>
      <c r="C111">
        <v>150</v>
      </c>
      <c r="D111">
        <v>0</v>
      </c>
      <c r="E111">
        <v>7</v>
      </c>
      <c r="F111">
        <v>4</v>
      </c>
      <c r="J111">
        <v>0</v>
      </c>
      <c r="K111">
        <v>0</v>
      </c>
      <c r="L111">
        <v>0</v>
      </c>
      <c r="M111" t="s">
        <v>25022</v>
      </c>
      <c r="N111">
        <v>2275</v>
      </c>
      <c r="O111" t="s">
        <v>13163</v>
      </c>
      <c r="P111" t="s">
        <v>62</v>
      </c>
      <c r="Q111">
        <v>2298538</v>
      </c>
      <c r="R111">
        <v>2299146</v>
      </c>
      <c r="S111" t="s">
        <v>288</v>
      </c>
      <c r="T111">
        <v>203</v>
      </c>
      <c r="U111" t="s">
        <v>108</v>
      </c>
      <c r="V111">
        <v>44</v>
      </c>
      <c r="W111" t="str">
        <f>HYPERLINK("Gene2275-zp_tree_all.dnd", "Gene2275-tree")</f>
        <v>Gene2275-tree</v>
      </c>
      <c r="X111">
        <v>28</v>
      </c>
      <c r="Y111">
        <v>2</v>
      </c>
      <c r="Z111">
        <v>7</v>
      </c>
      <c r="AA111">
        <v>2</v>
      </c>
      <c r="AB111">
        <v>0.22222</v>
      </c>
      <c r="AC111" t="s">
        <v>4142</v>
      </c>
      <c r="AD111" t="s">
        <v>81</v>
      </c>
      <c r="AE111" t="s">
        <v>62</v>
      </c>
      <c r="AF111" t="s">
        <v>62</v>
      </c>
      <c r="AG111">
        <v>0</v>
      </c>
      <c r="AH111">
        <v>0</v>
      </c>
      <c r="AI111">
        <v>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0</v>
      </c>
      <c r="AU111">
        <v>6</v>
      </c>
      <c r="AV111">
        <v>4</v>
      </c>
      <c r="AW111">
        <v>8</v>
      </c>
      <c r="AX111">
        <v>2</v>
      </c>
      <c r="AY111">
        <v>2</v>
      </c>
      <c r="AZ111">
        <v>3</v>
      </c>
      <c r="BA111" t="s">
        <v>13164</v>
      </c>
      <c r="BB111" t="s">
        <v>13165</v>
      </c>
      <c r="BC111">
        <v>0.74299999999999999</v>
      </c>
      <c r="BD111" t="s">
        <v>65</v>
      </c>
      <c r="BE111">
        <v>10</v>
      </c>
      <c r="BF111">
        <v>5</v>
      </c>
      <c r="BG111" t="s">
        <v>13166</v>
      </c>
      <c r="BH111" t="s">
        <v>13167</v>
      </c>
      <c r="BI111" t="s">
        <v>13168</v>
      </c>
      <c r="BJ111">
        <v>0.19796</v>
      </c>
      <c r="BK111">
        <v>1</v>
      </c>
      <c r="BL111" t="s">
        <v>69</v>
      </c>
      <c r="BM111">
        <v>-0.92800000000000005</v>
      </c>
      <c r="BN111">
        <v>0.13700000000000001</v>
      </c>
    </row>
    <row r="112" spans="2:66">
      <c r="B112">
        <v>216</v>
      </c>
      <c r="C112">
        <v>9</v>
      </c>
      <c r="D112">
        <v>0</v>
      </c>
      <c r="E112">
        <v>9</v>
      </c>
      <c r="F112">
        <v>2</v>
      </c>
      <c r="J112">
        <v>0</v>
      </c>
      <c r="K112">
        <v>8</v>
      </c>
      <c r="L112">
        <v>3</v>
      </c>
      <c r="M112" t="s">
        <v>25022</v>
      </c>
      <c r="N112">
        <v>2276</v>
      </c>
      <c r="O112" t="s">
        <v>13169</v>
      </c>
      <c r="P112" t="s">
        <v>62</v>
      </c>
      <c r="Q112">
        <v>2299409</v>
      </c>
      <c r="R112">
        <v>2300179</v>
      </c>
      <c r="S112" t="s">
        <v>13170</v>
      </c>
      <c r="T112">
        <v>257</v>
      </c>
      <c r="U112" t="s">
        <v>108</v>
      </c>
      <c r="V112">
        <v>44</v>
      </c>
      <c r="W112" t="str">
        <f>HYPERLINK("Gene2276-zp_tree_all.dnd", "Gene2276-tree")</f>
        <v>Gene2276-tree</v>
      </c>
      <c r="X112">
        <v>5</v>
      </c>
      <c r="Y112">
        <v>8</v>
      </c>
      <c r="Z112">
        <v>5</v>
      </c>
      <c r="AA112">
        <v>8</v>
      </c>
      <c r="AB112">
        <v>0.61538000000000004</v>
      </c>
      <c r="AC112" t="s">
        <v>199</v>
      </c>
      <c r="AD112" t="s">
        <v>136</v>
      </c>
      <c r="AE112" t="s">
        <v>62</v>
      </c>
      <c r="AF112" t="s">
        <v>62</v>
      </c>
      <c r="AG112">
        <v>4</v>
      </c>
      <c r="AH112">
        <v>11</v>
      </c>
      <c r="AI112">
        <v>10</v>
      </c>
      <c r="AJ112">
        <v>0.52381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2</v>
      </c>
      <c r="AQ112">
        <v>2</v>
      </c>
      <c r="AR112">
        <v>4</v>
      </c>
      <c r="AS112">
        <v>9</v>
      </c>
      <c r="AT112">
        <v>0.30769000000000002</v>
      </c>
      <c r="AU112">
        <v>10</v>
      </c>
      <c r="AV112">
        <v>10</v>
      </c>
      <c r="AW112">
        <v>22</v>
      </c>
      <c r="AX112">
        <v>10</v>
      </c>
      <c r="AY112">
        <v>20</v>
      </c>
      <c r="AZ112">
        <v>11</v>
      </c>
      <c r="BA112" t="s">
        <v>13171</v>
      </c>
      <c r="BB112" t="s">
        <v>13172</v>
      </c>
      <c r="BC112">
        <v>0.41499999999999998</v>
      </c>
      <c r="BD112" t="s">
        <v>65</v>
      </c>
      <c r="BE112">
        <v>42</v>
      </c>
      <c r="BF112">
        <v>21</v>
      </c>
      <c r="BG112" t="s">
        <v>13173</v>
      </c>
      <c r="BH112" t="s">
        <v>13174</v>
      </c>
      <c r="BI112" t="s">
        <v>13175</v>
      </c>
      <c r="BJ112">
        <v>0.14837</v>
      </c>
      <c r="BK112">
        <v>1</v>
      </c>
      <c r="BL112" t="s">
        <v>69</v>
      </c>
      <c r="BM112">
        <v>0.182</v>
      </c>
      <c r="BN112">
        <v>0.28699999999999998</v>
      </c>
    </row>
    <row r="113" spans="2:66">
      <c r="B113">
        <v>219</v>
      </c>
      <c r="C113">
        <v>205</v>
      </c>
      <c r="D113">
        <v>0</v>
      </c>
      <c r="E113">
        <v>2</v>
      </c>
      <c r="F113">
        <v>0</v>
      </c>
      <c r="J113">
        <v>0</v>
      </c>
      <c r="K113">
        <v>0</v>
      </c>
      <c r="L113">
        <v>0</v>
      </c>
      <c r="M113" t="s">
        <v>25022</v>
      </c>
      <c r="N113">
        <v>2277</v>
      </c>
      <c r="O113" t="s">
        <v>13176</v>
      </c>
      <c r="P113" t="s">
        <v>62</v>
      </c>
      <c r="Q113">
        <v>2300224</v>
      </c>
      <c r="R113">
        <v>2300655</v>
      </c>
      <c r="S113" t="s">
        <v>13177</v>
      </c>
      <c r="T113">
        <v>144</v>
      </c>
      <c r="U113" t="s">
        <v>1607</v>
      </c>
      <c r="V113">
        <v>47</v>
      </c>
      <c r="W113" t="str">
        <f>HYPERLINK("Gene2277-zp_tree_all.dnd", "Gene2277-tree")</f>
        <v>Gene2277-tree</v>
      </c>
      <c r="X113">
        <v>32</v>
      </c>
      <c r="Y113">
        <v>3</v>
      </c>
      <c r="Z113">
        <v>7</v>
      </c>
      <c r="AA113">
        <v>3</v>
      </c>
      <c r="AB113">
        <v>0.3</v>
      </c>
      <c r="AC113" t="s">
        <v>5517</v>
      </c>
      <c r="AD113" t="s">
        <v>324</v>
      </c>
      <c r="AE113" t="s">
        <v>62</v>
      </c>
      <c r="AF113" t="s">
        <v>62</v>
      </c>
      <c r="AG113">
        <v>0</v>
      </c>
      <c r="AH113">
        <v>0</v>
      </c>
      <c r="AI113">
        <v>5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3</v>
      </c>
      <c r="AT113">
        <v>0</v>
      </c>
      <c r="AU113">
        <v>6</v>
      </c>
      <c r="AV113">
        <v>5</v>
      </c>
      <c r="AW113">
        <v>14</v>
      </c>
      <c r="AX113">
        <v>3</v>
      </c>
      <c r="AY113">
        <v>16</v>
      </c>
      <c r="AZ113">
        <v>2</v>
      </c>
      <c r="BA113" t="s">
        <v>13178</v>
      </c>
      <c r="BB113" t="s">
        <v>13179</v>
      </c>
      <c r="BC113">
        <v>0.32</v>
      </c>
      <c r="BD113" t="s">
        <v>65</v>
      </c>
      <c r="BE113">
        <v>30</v>
      </c>
      <c r="BF113">
        <v>5</v>
      </c>
      <c r="BG113" t="s">
        <v>13180</v>
      </c>
      <c r="BH113" t="s">
        <v>13181</v>
      </c>
      <c r="BI113" t="s">
        <v>13182</v>
      </c>
      <c r="BJ113">
        <v>4.1540000000000001E-2</v>
      </c>
      <c r="BK113">
        <v>1</v>
      </c>
      <c r="BL113" t="s">
        <v>69</v>
      </c>
      <c r="BM113">
        <v>-1.5409999999999999</v>
      </c>
      <c r="BN113">
        <v>-1.1419999999999999</v>
      </c>
    </row>
    <row r="114" spans="2:66">
      <c r="B114">
        <v>220</v>
      </c>
      <c r="C114">
        <v>286</v>
      </c>
      <c r="D114">
        <v>0</v>
      </c>
      <c r="E114">
        <v>4</v>
      </c>
      <c r="F114">
        <v>0</v>
      </c>
      <c r="J114">
        <v>0</v>
      </c>
      <c r="K114">
        <v>0</v>
      </c>
      <c r="L114">
        <v>0</v>
      </c>
      <c r="M114" t="s">
        <v>25022</v>
      </c>
      <c r="N114">
        <v>2278</v>
      </c>
      <c r="O114" t="s">
        <v>13183</v>
      </c>
      <c r="P114" t="s">
        <v>62</v>
      </c>
      <c r="Q114">
        <v>2300765</v>
      </c>
      <c r="R114">
        <v>2302438</v>
      </c>
      <c r="S114" t="s">
        <v>13184</v>
      </c>
      <c r="T114">
        <v>558</v>
      </c>
      <c r="U114" t="s">
        <v>108</v>
      </c>
      <c r="V114">
        <v>44</v>
      </c>
      <c r="W114" t="str">
        <f>HYPERLINK("Gene2278-zp_tree_all.dnd", "Gene2278-tree")</f>
        <v>Gene2278-tree</v>
      </c>
      <c r="X114">
        <v>10</v>
      </c>
      <c r="Y114">
        <v>2</v>
      </c>
      <c r="Z114">
        <v>10</v>
      </c>
      <c r="AA114">
        <v>2</v>
      </c>
      <c r="AB114">
        <v>0.16667000000000001</v>
      </c>
      <c r="AC114" t="s">
        <v>117</v>
      </c>
      <c r="AD114" t="s">
        <v>81</v>
      </c>
      <c r="AE114" t="s">
        <v>62</v>
      </c>
      <c r="AF114" t="s">
        <v>62</v>
      </c>
      <c r="AG114">
        <v>0</v>
      </c>
      <c r="AH114">
        <v>0</v>
      </c>
      <c r="AI114">
        <v>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</v>
      </c>
      <c r="AT114">
        <v>0</v>
      </c>
      <c r="AU114">
        <v>9</v>
      </c>
      <c r="AV114">
        <v>9</v>
      </c>
      <c r="AW114">
        <v>34</v>
      </c>
      <c r="AX114">
        <v>3</v>
      </c>
      <c r="AY114">
        <v>28</v>
      </c>
      <c r="AZ114">
        <v>0</v>
      </c>
      <c r="BA114" t="s">
        <v>13185</v>
      </c>
      <c r="BB114" t="s">
        <v>193</v>
      </c>
      <c r="BC114">
        <v>0.67500000000000004</v>
      </c>
      <c r="BD114" t="s">
        <v>65</v>
      </c>
      <c r="BE114">
        <v>62</v>
      </c>
      <c r="BF114">
        <v>3</v>
      </c>
      <c r="BG114" t="s">
        <v>13186</v>
      </c>
      <c r="BH114" t="s">
        <v>13187</v>
      </c>
      <c r="BI114" t="s">
        <v>13188</v>
      </c>
      <c r="BJ114">
        <v>1.116E-2</v>
      </c>
      <c r="BK114">
        <v>1</v>
      </c>
      <c r="BL114" t="s">
        <v>69</v>
      </c>
      <c r="BM114">
        <v>-0.36199999999999999</v>
      </c>
      <c r="BN114">
        <v>-1.3580000000000001</v>
      </c>
    </row>
    <row r="115" spans="2:66">
      <c r="B115">
        <v>221</v>
      </c>
      <c r="C115">
        <v>45</v>
      </c>
      <c r="D115">
        <v>0</v>
      </c>
      <c r="E115">
        <v>13</v>
      </c>
      <c r="F115">
        <v>6</v>
      </c>
      <c r="J115">
        <v>0</v>
      </c>
      <c r="K115">
        <v>4</v>
      </c>
      <c r="L115">
        <v>0</v>
      </c>
      <c r="M115" t="s">
        <v>25022</v>
      </c>
      <c r="N115">
        <v>2279</v>
      </c>
      <c r="O115" t="s">
        <v>13189</v>
      </c>
      <c r="P115" t="s">
        <v>62</v>
      </c>
      <c r="Q115">
        <v>2302730</v>
      </c>
      <c r="R115">
        <v>2303860</v>
      </c>
      <c r="S115" t="s">
        <v>13190</v>
      </c>
      <c r="T115">
        <v>377</v>
      </c>
      <c r="U115" t="s">
        <v>108</v>
      </c>
      <c r="V115">
        <v>44</v>
      </c>
      <c r="W115" t="str">
        <f>HYPERLINK("Gene2279-zp_tree_all.dnd", "Gene2279-tree")</f>
        <v>Gene2279-tree</v>
      </c>
      <c r="X115">
        <v>24</v>
      </c>
      <c r="Y115">
        <v>9</v>
      </c>
      <c r="Z115">
        <v>5</v>
      </c>
      <c r="AA115">
        <v>9</v>
      </c>
      <c r="AB115">
        <v>0.64285999999999999</v>
      </c>
      <c r="AC115" t="s">
        <v>2668</v>
      </c>
      <c r="AD115" t="s">
        <v>135</v>
      </c>
      <c r="AE115" t="s">
        <v>62</v>
      </c>
      <c r="AF115" t="s">
        <v>62</v>
      </c>
      <c r="AG115">
        <v>2</v>
      </c>
      <c r="AH115">
        <v>4</v>
      </c>
      <c r="AI115">
        <v>10</v>
      </c>
      <c r="AJ115">
        <v>0.28571000000000002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10</v>
      </c>
      <c r="AT115">
        <v>0</v>
      </c>
      <c r="AU115">
        <v>12</v>
      </c>
      <c r="AV115">
        <v>7</v>
      </c>
      <c r="AW115">
        <v>35</v>
      </c>
      <c r="AX115">
        <v>10</v>
      </c>
      <c r="AY115">
        <v>17</v>
      </c>
      <c r="AZ115">
        <v>4</v>
      </c>
      <c r="BA115" t="s">
        <v>13191</v>
      </c>
      <c r="BB115" t="s">
        <v>13192</v>
      </c>
      <c r="BC115">
        <v>0.25800000000000001</v>
      </c>
      <c r="BD115" t="s">
        <v>65</v>
      </c>
      <c r="BE115">
        <v>52</v>
      </c>
      <c r="BF115">
        <v>14</v>
      </c>
      <c r="BG115" t="s">
        <v>13193</v>
      </c>
      <c r="BH115" t="s">
        <v>13194</v>
      </c>
      <c r="BI115" t="s">
        <v>13195</v>
      </c>
      <c r="BJ115">
        <v>7.4800000000000005E-2</v>
      </c>
      <c r="BK115">
        <v>1</v>
      </c>
      <c r="BL115" t="s">
        <v>69</v>
      </c>
      <c r="BM115">
        <v>-1.0189999999999999</v>
      </c>
      <c r="BN115">
        <v>-2.254</v>
      </c>
    </row>
    <row r="116" spans="2:66">
      <c r="B116">
        <v>222</v>
      </c>
      <c r="C116">
        <v>116</v>
      </c>
      <c r="D116">
        <v>0</v>
      </c>
      <c r="E116">
        <v>2</v>
      </c>
      <c r="F116">
        <v>2</v>
      </c>
      <c r="J116">
        <v>0</v>
      </c>
      <c r="K116">
        <v>18</v>
      </c>
      <c r="L116">
        <v>2</v>
      </c>
      <c r="M116" t="s">
        <v>25022</v>
      </c>
      <c r="N116">
        <v>2280</v>
      </c>
      <c r="O116" t="s">
        <v>13196</v>
      </c>
      <c r="P116" t="s">
        <v>62</v>
      </c>
      <c r="Q116">
        <v>2303923</v>
      </c>
      <c r="R116">
        <v>2304537</v>
      </c>
      <c r="S116" t="s">
        <v>13197</v>
      </c>
      <c r="T116">
        <v>205</v>
      </c>
      <c r="U116" t="s">
        <v>108</v>
      </c>
      <c r="V116">
        <v>44</v>
      </c>
      <c r="W116" t="str">
        <f>HYPERLINK("Gene2280-zp_tree_all.dnd", "Gene2280-tree")</f>
        <v>Gene2280-tree</v>
      </c>
      <c r="X116">
        <v>2</v>
      </c>
      <c r="Y116">
        <v>10</v>
      </c>
      <c r="Z116">
        <v>2</v>
      </c>
      <c r="AA116">
        <v>10</v>
      </c>
      <c r="AB116">
        <v>0.83333000000000002</v>
      </c>
      <c r="AC116" t="s">
        <v>81</v>
      </c>
      <c r="AD116" t="s">
        <v>117</v>
      </c>
      <c r="AE116" t="s">
        <v>62</v>
      </c>
      <c r="AF116" t="s">
        <v>62</v>
      </c>
      <c r="AG116">
        <v>8</v>
      </c>
      <c r="AH116">
        <v>20</v>
      </c>
      <c r="AI116">
        <v>15</v>
      </c>
      <c r="AJ116">
        <v>0.57142999999999999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5</v>
      </c>
      <c r="AQ116">
        <v>3</v>
      </c>
      <c r="AR116">
        <v>8</v>
      </c>
      <c r="AS116">
        <v>18</v>
      </c>
      <c r="AT116">
        <v>0.30769000000000002</v>
      </c>
      <c r="AU116">
        <v>11</v>
      </c>
      <c r="AV116">
        <v>7</v>
      </c>
      <c r="AW116">
        <v>11</v>
      </c>
      <c r="AX116">
        <v>26</v>
      </c>
      <c r="AY116">
        <v>9</v>
      </c>
      <c r="AZ116">
        <v>11</v>
      </c>
      <c r="BA116" t="s">
        <v>13198</v>
      </c>
      <c r="BB116" t="s">
        <v>13199</v>
      </c>
      <c r="BC116">
        <v>0.94599999999999995</v>
      </c>
      <c r="BD116" t="s">
        <v>65</v>
      </c>
      <c r="BE116">
        <v>20</v>
      </c>
      <c r="BF116">
        <v>37</v>
      </c>
      <c r="BG116" t="s">
        <v>13200</v>
      </c>
      <c r="BH116" t="s">
        <v>13201</v>
      </c>
      <c r="BI116" t="s">
        <v>13202</v>
      </c>
      <c r="BJ116">
        <v>0.37132999999999999</v>
      </c>
      <c r="BK116">
        <v>0.98</v>
      </c>
      <c r="BL116" t="s">
        <v>69</v>
      </c>
      <c r="BM116">
        <v>-0.20100000000000001</v>
      </c>
      <c r="BN116">
        <v>-1.296</v>
      </c>
    </row>
    <row r="117" spans="2:66">
      <c r="B117">
        <v>223</v>
      </c>
      <c r="C117">
        <v>365</v>
      </c>
      <c r="D117">
        <v>0</v>
      </c>
      <c r="E117">
        <v>9</v>
      </c>
      <c r="F117">
        <v>0</v>
      </c>
      <c r="J117">
        <v>0</v>
      </c>
      <c r="K117">
        <v>0</v>
      </c>
      <c r="L117">
        <v>0</v>
      </c>
      <c r="M117" t="s">
        <v>25022</v>
      </c>
      <c r="N117">
        <v>2281</v>
      </c>
      <c r="O117" t="s">
        <v>13203</v>
      </c>
      <c r="P117" t="s">
        <v>62</v>
      </c>
      <c r="Q117">
        <v>2304556</v>
      </c>
      <c r="R117">
        <v>2305035</v>
      </c>
      <c r="S117" t="s">
        <v>13204</v>
      </c>
      <c r="T117">
        <v>160</v>
      </c>
      <c r="U117" t="s">
        <v>108</v>
      </c>
      <c r="V117">
        <v>44</v>
      </c>
      <c r="W117" t="str">
        <f>HYPERLINK("Gene2281-zp_tree_all.dnd", "Gene2281-tree")</f>
        <v>Gene2281-tree</v>
      </c>
      <c r="X117">
        <v>8</v>
      </c>
      <c r="Y117">
        <v>5</v>
      </c>
      <c r="Z117">
        <v>8</v>
      </c>
      <c r="AA117">
        <v>5</v>
      </c>
      <c r="AB117">
        <v>0.38462000000000002</v>
      </c>
      <c r="AC117" t="s">
        <v>136</v>
      </c>
      <c r="AD117" t="s">
        <v>199</v>
      </c>
      <c r="AE117" t="s">
        <v>62</v>
      </c>
      <c r="AF117" t="s">
        <v>62</v>
      </c>
      <c r="AG117">
        <v>0</v>
      </c>
      <c r="AH117">
        <v>0</v>
      </c>
      <c r="AI117">
        <v>8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6</v>
      </c>
      <c r="AT117">
        <v>0</v>
      </c>
      <c r="AU117">
        <v>11</v>
      </c>
      <c r="AV117">
        <v>6</v>
      </c>
      <c r="AW117">
        <v>17</v>
      </c>
      <c r="AX117">
        <v>6</v>
      </c>
      <c r="AY117">
        <v>5</v>
      </c>
      <c r="AZ117">
        <v>2</v>
      </c>
      <c r="BA117" t="s">
        <v>13205</v>
      </c>
      <c r="BB117" t="s">
        <v>13206</v>
      </c>
      <c r="BC117">
        <v>0.10100000000000001</v>
      </c>
      <c r="BD117" t="s">
        <v>65</v>
      </c>
      <c r="BE117">
        <v>22</v>
      </c>
      <c r="BF117">
        <v>8</v>
      </c>
      <c r="BG117" t="s">
        <v>13207</v>
      </c>
      <c r="BH117" t="s">
        <v>13208</v>
      </c>
      <c r="BI117" t="s">
        <v>13209</v>
      </c>
      <c r="BJ117">
        <v>0.1056</v>
      </c>
      <c r="BK117">
        <v>1</v>
      </c>
      <c r="BL117" t="s">
        <v>69</v>
      </c>
      <c r="BM117">
        <v>-0.93400000000000005</v>
      </c>
      <c r="BN117">
        <v>-2.2709999999999999</v>
      </c>
    </row>
    <row r="118" spans="2:66">
      <c r="B118">
        <v>224</v>
      </c>
      <c r="C118">
        <v>60</v>
      </c>
      <c r="D118">
        <v>0</v>
      </c>
      <c r="E118">
        <v>2</v>
      </c>
      <c r="F118">
        <v>0</v>
      </c>
      <c r="J118">
        <v>0</v>
      </c>
      <c r="K118">
        <v>0</v>
      </c>
      <c r="L118">
        <v>0</v>
      </c>
      <c r="M118" t="s">
        <v>25022</v>
      </c>
      <c r="N118">
        <v>2285</v>
      </c>
      <c r="O118" t="s">
        <v>13232</v>
      </c>
      <c r="P118" t="s">
        <v>62</v>
      </c>
      <c r="Q118">
        <v>2308160</v>
      </c>
      <c r="R118">
        <v>2308339</v>
      </c>
      <c r="S118" t="s">
        <v>13233</v>
      </c>
      <c r="T118">
        <v>60</v>
      </c>
      <c r="U118" t="s">
        <v>108</v>
      </c>
      <c r="V118">
        <v>44</v>
      </c>
      <c r="W118" t="str">
        <f>HYPERLINK("Gene2285-zp_tree_all.dnd", "Gene2285-tree")</f>
        <v>Gene2285-tree</v>
      </c>
      <c r="X118">
        <v>5</v>
      </c>
      <c r="Y118">
        <v>0</v>
      </c>
      <c r="Z118">
        <v>5</v>
      </c>
      <c r="AA118">
        <v>0</v>
      </c>
      <c r="AB118">
        <v>0</v>
      </c>
      <c r="AC118" t="s">
        <v>199</v>
      </c>
      <c r="AD118" t="s">
        <v>62</v>
      </c>
      <c r="AE118" t="s">
        <v>62</v>
      </c>
      <c r="AF118" t="s">
        <v>62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</v>
      </c>
      <c r="AV118">
        <v>2</v>
      </c>
      <c r="AW118">
        <v>2</v>
      </c>
      <c r="AX118">
        <v>0</v>
      </c>
      <c r="AY118">
        <v>2</v>
      </c>
      <c r="AZ118">
        <v>0</v>
      </c>
      <c r="BA118" t="s">
        <v>193</v>
      </c>
      <c r="BB118" t="s">
        <v>193</v>
      </c>
      <c r="BC118">
        <v>0</v>
      </c>
      <c r="BD118" t="s">
        <v>65</v>
      </c>
      <c r="BE118">
        <v>4</v>
      </c>
      <c r="BF118">
        <v>0</v>
      </c>
      <c r="BG118" t="s">
        <v>13234</v>
      </c>
      <c r="BH118" t="s">
        <v>13235</v>
      </c>
      <c r="BI118" t="s">
        <v>193</v>
      </c>
      <c r="BJ118">
        <v>0</v>
      </c>
      <c r="BK118">
        <v>1</v>
      </c>
      <c r="BL118" t="s">
        <v>69</v>
      </c>
      <c r="BM118">
        <v>1.012</v>
      </c>
      <c r="BN118">
        <v>-6.4000000000000001E-2</v>
      </c>
    </row>
    <row r="119" spans="2:66">
      <c r="B119">
        <v>225</v>
      </c>
      <c r="C119">
        <v>37</v>
      </c>
      <c r="D119">
        <v>0</v>
      </c>
      <c r="E119">
        <v>2</v>
      </c>
      <c r="F119">
        <v>0</v>
      </c>
      <c r="J119">
        <v>0</v>
      </c>
      <c r="K119">
        <v>0</v>
      </c>
      <c r="L119">
        <v>0</v>
      </c>
      <c r="M119" t="s">
        <v>25022</v>
      </c>
      <c r="N119">
        <v>2287</v>
      </c>
      <c r="O119" t="s">
        <v>13242</v>
      </c>
      <c r="P119" t="s">
        <v>62</v>
      </c>
      <c r="Q119">
        <v>2308795</v>
      </c>
      <c r="R119">
        <v>2308974</v>
      </c>
      <c r="S119" t="s">
        <v>116</v>
      </c>
      <c r="T119">
        <v>60</v>
      </c>
      <c r="U119" t="s">
        <v>698</v>
      </c>
      <c r="V119">
        <v>47</v>
      </c>
      <c r="W119" t="str">
        <f>HYPERLINK("Gene2287-zp_tree_all.dnd", "Gene2287-tree")</f>
        <v>Gene2287-tree</v>
      </c>
      <c r="X119">
        <v>4</v>
      </c>
      <c r="Y119">
        <v>3</v>
      </c>
      <c r="Z119">
        <v>4</v>
      </c>
      <c r="AA119">
        <v>3</v>
      </c>
      <c r="AB119">
        <v>0.42857000000000001</v>
      </c>
      <c r="AC119" t="s">
        <v>61</v>
      </c>
      <c r="AD119" t="s">
        <v>324</v>
      </c>
      <c r="AE119" t="s">
        <v>62</v>
      </c>
      <c r="AF119" t="s">
        <v>62</v>
      </c>
      <c r="AG119">
        <v>0</v>
      </c>
      <c r="AH119">
        <v>0</v>
      </c>
      <c r="AI119">
        <v>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3</v>
      </c>
      <c r="AT119">
        <v>0</v>
      </c>
      <c r="AU119">
        <v>5</v>
      </c>
      <c r="AV119">
        <v>1</v>
      </c>
      <c r="AW119">
        <v>5</v>
      </c>
      <c r="AX119">
        <v>2</v>
      </c>
      <c r="AY119">
        <v>2</v>
      </c>
      <c r="AZ119">
        <v>2</v>
      </c>
      <c r="BA119" t="s">
        <v>13243</v>
      </c>
      <c r="BB119" t="s">
        <v>13244</v>
      </c>
      <c r="BC119">
        <v>1.734</v>
      </c>
      <c r="BD119" t="s">
        <v>65</v>
      </c>
      <c r="BE119">
        <v>7</v>
      </c>
      <c r="BF119">
        <v>4</v>
      </c>
      <c r="BG119" t="s">
        <v>13245</v>
      </c>
      <c r="BH119" t="s">
        <v>13246</v>
      </c>
      <c r="BI119" t="s">
        <v>13247</v>
      </c>
      <c r="BJ119">
        <v>0.14604</v>
      </c>
      <c r="BK119">
        <v>0.95899999999999996</v>
      </c>
      <c r="BL119" t="s">
        <v>69</v>
      </c>
      <c r="BM119">
        <v>-1.256</v>
      </c>
      <c r="BN119">
        <v>-1.39</v>
      </c>
    </row>
    <row r="120" spans="2:66">
      <c r="B120">
        <v>226</v>
      </c>
      <c r="C120">
        <v>207</v>
      </c>
      <c r="D120">
        <v>0</v>
      </c>
      <c r="E120">
        <v>16</v>
      </c>
      <c r="F120">
        <v>1</v>
      </c>
      <c r="J120">
        <v>0</v>
      </c>
      <c r="K120">
        <v>4</v>
      </c>
      <c r="L120">
        <v>4</v>
      </c>
      <c r="M120" t="s">
        <v>25022</v>
      </c>
      <c r="N120">
        <v>2288</v>
      </c>
      <c r="O120" t="s">
        <v>13248</v>
      </c>
      <c r="P120" t="s">
        <v>62</v>
      </c>
      <c r="Q120">
        <v>2308970</v>
      </c>
      <c r="R120">
        <v>2309647</v>
      </c>
      <c r="S120" t="s">
        <v>13249</v>
      </c>
      <c r="T120">
        <v>226</v>
      </c>
      <c r="U120" t="s">
        <v>6390</v>
      </c>
      <c r="V120">
        <v>45</v>
      </c>
      <c r="W120" t="str">
        <f>HYPERLINK("Gene2288-zp_tree_all.dnd", "Gene2288-tree")</f>
        <v>Gene2288-tree</v>
      </c>
      <c r="X120">
        <v>10</v>
      </c>
      <c r="Y120">
        <v>4</v>
      </c>
      <c r="Z120">
        <v>10</v>
      </c>
      <c r="AA120">
        <v>4</v>
      </c>
      <c r="AB120">
        <v>0.28571000000000002</v>
      </c>
      <c r="AC120" t="s">
        <v>117</v>
      </c>
      <c r="AD120" t="s">
        <v>61</v>
      </c>
      <c r="AE120" t="s">
        <v>62</v>
      </c>
      <c r="AF120" t="s">
        <v>62</v>
      </c>
      <c r="AG120">
        <v>4</v>
      </c>
      <c r="AH120">
        <v>8</v>
      </c>
      <c r="AI120">
        <v>9</v>
      </c>
      <c r="AJ120">
        <v>0.47059000000000001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2</v>
      </c>
      <c r="AR120">
        <v>2</v>
      </c>
      <c r="AS120">
        <v>11</v>
      </c>
      <c r="AT120">
        <v>0.15384999999999999</v>
      </c>
      <c r="AU120">
        <v>12</v>
      </c>
      <c r="AV120">
        <v>9</v>
      </c>
      <c r="AW120">
        <v>36</v>
      </c>
      <c r="AX120">
        <v>13</v>
      </c>
      <c r="AY120">
        <v>13</v>
      </c>
      <c r="AZ120">
        <v>4</v>
      </c>
      <c r="BA120" t="s">
        <v>13250</v>
      </c>
      <c r="BB120" t="s">
        <v>13251</v>
      </c>
      <c r="BC120">
        <v>4.4999999999999998E-2</v>
      </c>
      <c r="BD120" t="s">
        <v>65</v>
      </c>
      <c r="BE120">
        <v>49</v>
      </c>
      <c r="BF120">
        <v>17</v>
      </c>
      <c r="BG120" t="s">
        <v>13252</v>
      </c>
      <c r="BH120" t="s">
        <v>13253</v>
      </c>
      <c r="BI120" t="s">
        <v>13254</v>
      </c>
      <c r="BJ120">
        <v>9.2499999999999999E-2</v>
      </c>
      <c r="BK120">
        <v>1</v>
      </c>
      <c r="BL120" t="s">
        <v>69</v>
      </c>
      <c r="BM120">
        <v>-1.232</v>
      </c>
      <c r="BN120">
        <v>-3.31</v>
      </c>
    </row>
    <row r="121" spans="2:66">
      <c r="B121">
        <v>229</v>
      </c>
      <c r="C121">
        <v>246</v>
      </c>
      <c r="D121">
        <v>0</v>
      </c>
      <c r="E121">
        <v>9</v>
      </c>
      <c r="F121">
        <v>0</v>
      </c>
      <c r="J121">
        <v>0</v>
      </c>
      <c r="K121">
        <v>0</v>
      </c>
      <c r="L121">
        <v>0</v>
      </c>
      <c r="M121" t="s">
        <v>25022</v>
      </c>
      <c r="N121">
        <v>2292</v>
      </c>
      <c r="O121" t="s">
        <v>13276</v>
      </c>
      <c r="P121" t="s">
        <v>62</v>
      </c>
      <c r="Q121">
        <v>2310998</v>
      </c>
      <c r="R121">
        <v>2311885</v>
      </c>
      <c r="S121" t="s">
        <v>13277</v>
      </c>
      <c r="T121">
        <v>296</v>
      </c>
      <c r="U121" t="s">
        <v>108</v>
      </c>
      <c r="V121">
        <v>44</v>
      </c>
      <c r="W121" t="str">
        <f>HYPERLINK("Gene2292-zp_tree_all.dnd", "Gene2292-tree")</f>
        <v>Gene2292-tree</v>
      </c>
      <c r="X121">
        <v>10</v>
      </c>
      <c r="Y121">
        <v>3</v>
      </c>
      <c r="Z121">
        <v>10</v>
      </c>
      <c r="AA121">
        <v>3</v>
      </c>
      <c r="AB121">
        <v>0.23077</v>
      </c>
      <c r="AC121" t="s">
        <v>117</v>
      </c>
      <c r="AD121" t="s">
        <v>324</v>
      </c>
      <c r="AE121" t="s">
        <v>62</v>
      </c>
      <c r="AF121" t="s">
        <v>62</v>
      </c>
      <c r="AG121">
        <v>0</v>
      </c>
      <c r="AH121">
        <v>0</v>
      </c>
      <c r="AI121">
        <v>7</v>
      </c>
      <c r="AJ121">
        <v>0</v>
      </c>
      <c r="AK121">
        <v>0</v>
      </c>
      <c r="AL121">
        <v>0</v>
      </c>
      <c r="AM121">
        <v>0</v>
      </c>
      <c r="AN121">
        <v>3</v>
      </c>
      <c r="AO121">
        <v>0</v>
      </c>
      <c r="AP121">
        <v>0</v>
      </c>
      <c r="AQ121">
        <v>0</v>
      </c>
      <c r="AR121">
        <v>0</v>
      </c>
      <c r="AS121">
        <v>4</v>
      </c>
      <c r="AT121">
        <v>0</v>
      </c>
      <c r="AU121">
        <v>9</v>
      </c>
      <c r="AV121">
        <v>7</v>
      </c>
      <c r="AW121">
        <v>16</v>
      </c>
      <c r="AX121">
        <v>3</v>
      </c>
      <c r="AY121">
        <v>9</v>
      </c>
      <c r="AZ121">
        <v>4</v>
      </c>
      <c r="BA121" t="s">
        <v>13278</v>
      </c>
      <c r="BB121" t="s">
        <v>13279</v>
      </c>
      <c r="BC121">
        <v>0.34899999999999998</v>
      </c>
      <c r="BD121" t="s">
        <v>65</v>
      </c>
      <c r="BE121">
        <v>25</v>
      </c>
      <c r="BF121">
        <v>7</v>
      </c>
      <c r="BG121" t="s">
        <v>13280</v>
      </c>
      <c r="BH121" t="s">
        <v>13281</v>
      </c>
      <c r="BI121" t="s">
        <v>13282</v>
      </c>
      <c r="BJ121">
        <v>8.09E-2</v>
      </c>
      <c r="BK121">
        <v>1</v>
      </c>
      <c r="BL121" t="s">
        <v>69</v>
      </c>
      <c r="BM121">
        <v>-1.0549999999999999</v>
      </c>
      <c r="BN121">
        <v>-1.92</v>
      </c>
    </row>
    <row r="122" spans="2:66">
      <c r="B122">
        <v>230</v>
      </c>
      <c r="C122">
        <v>37</v>
      </c>
      <c r="D122">
        <v>0</v>
      </c>
      <c r="E122">
        <v>2</v>
      </c>
      <c r="F122">
        <v>2</v>
      </c>
      <c r="J122">
        <v>0</v>
      </c>
      <c r="K122">
        <v>0</v>
      </c>
      <c r="L122">
        <v>0</v>
      </c>
      <c r="M122" t="s">
        <v>25022</v>
      </c>
      <c r="N122">
        <v>2293</v>
      </c>
      <c r="O122" t="s">
        <v>13283</v>
      </c>
      <c r="P122" t="s">
        <v>62</v>
      </c>
      <c r="Q122">
        <v>2311989</v>
      </c>
      <c r="R122">
        <v>2312132</v>
      </c>
      <c r="S122" t="s">
        <v>2302</v>
      </c>
      <c r="T122">
        <v>48</v>
      </c>
      <c r="U122" t="s">
        <v>59</v>
      </c>
      <c r="V122">
        <v>49</v>
      </c>
      <c r="W122" t="str">
        <f>HYPERLINK("Gene2293-zp_tree_all.dnd", "Gene2293-tree")</f>
        <v>Gene2293-tree</v>
      </c>
      <c r="X122">
        <v>24</v>
      </c>
      <c r="Y122">
        <v>0</v>
      </c>
      <c r="Z122">
        <v>5</v>
      </c>
      <c r="AA122">
        <v>0</v>
      </c>
      <c r="AB122">
        <v>0</v>
      </c>
      <c r="AC122" t="s">
        <v>2668</v>
      </c>
      <c r="AD122" t="s">
        <v>62</v>
      </c>
      <c r="AE122" t="s">
        <v>62</v>
      </c>
      <c r="AF122" t="s">
        <v>62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2</v>
      </c>
      <c r="AV122">
        <v>2</v>
      </c>
      <c r="AW122">
        <v>3</v>
      </c>
      <c r="AX122">
        <v>0</v>
      </c>
      <c r="AY122">
        <v>2</v>
      </c>
      <c r="AZ122">
        <v>0</v>
      </c>
      <c r="BA122" t="s">
        <v>193</v>
      </c>
      <c r="BB122" t="s">
        <v>193</v>
      </c>
      <c r="BC122">
        <v>0</v>
      </c>
      <c r="BD122" t="s">
        <v>65</v>
      </c>
      <c r="BE122">
        <v>5</v>
      </c>
      <c r="BF122">
        <v>0</v>
      </c>
      <c r="BG122" t="s">
        <v>13284</v>
      </c>
      <c r="BH122" t="s">
        <v>13285</v>
      </c>
      <c r="BI122" t="s">
        <v>193</v>
      </c>
      <c r="BJ122">
        <v>0</v>
      </c>
      <c r="BK122">
        <v>1</v>
      </c>
      <c r="BL122" t="s">
        <v>69</v>
      </c>
      <c r="BM122">
        <v>-0.52500000000000002</v>
      </c>
      <c r="BN122">
        <v>-0.82099999999999995</v>
      </c>
    </row>
    <row r="123" spans="2:66">
      <c r="B123">
        <v>231</v>
      </c>
      <c r="C123">
        <v>36</v>
      </c>
      <c r="D123">
        <v>0</v>
      </c>
      <c r="E123">
        <v>21</v>
      </c>
      <c r="F123">
        <v>8</v>
      </c>
      <c r="J123">
        <v>0</v>
      </c>
      <c r="K123">
        <v>0</v>
      </c>
      <c r="L123">
        <v>0</v>
      </c>
      <c r="M123" t="s">
        <v>25022</v>
      </c>
      <c r="N123">
        <v>2294</v>
      </c>
      <c r="O123" t="s">
        <v>13286</v>
      </c>
      <c r="P123" t="s">
        <v>62</v>
      </c>
      <c r="Q123">
        <v>2312210</v>
      </c>
      <c r="R123">
        <v>2312464</v>
      </c>
      <c r="S123" t="s">
        <v>13287</v>
      </c>
      <c r="T123">
        <v>85</v>
      </c>
      <c r="U123" t="s">
        <v>108</v>
      </c>
      <c r="V123">
        <v>44</v>
      </c>
      <c r="W123" t="str">
        <f>HYPERLINK("Gene2294-zp_tree_all.dnd", "Gene2294-tree")</f>
        <v>Gene2294-tree</v>
      </c>
      <c r="X123">
        <v>2</v>
      </c>
      <c r="Y123">
        <v>6</v>
      </c>
      <c r="Z123">
        <v>2</v>
      </c>
      <c r="AA123">
        <v>6</v>
      </c>
      <c r="AB123">
        <v>0.75</v>
      </c>
      <c r="AC123" t="s">
        <v>81</v>
      </c>
      <c r="AD123" t="s">
        <v>90</v>
      </c>
      <c r="AE123" t="s">
        <v>62</v>
      </c>
      <c r="AF123" t="s">
        <v>62</v>
      </c>
      <c r="AG123">
        <v>0</v>
      </c>
      <c r="AH123">
        <v>0</v>
      </c>
      <c r="AI123">
        <v>8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6</v>
      </c>
      <c r="AT123">
        <v>0</v>
      </c>
      <c r="AU123">
        <v>5</v>
      </c>
      <c r="AV123">
        <v>4</v>
      </c>
      <c r="AW123">
        <v>4</v>
      </c>
      <c r="AX123">
        <v>5</v>
      </c>
      <c r="AY123">
        <v>2</v>
      </c>
      <c r="AZ123">
        <v>3</v>
      </c>
      <c r="BA123" t="s">
        <v>13288</v>
      </c>
      <c r="BB123" t="s">
        <v>13289</v>
      </c>
      <c r="BC123">
        <v>0.159</v>
      </c>
      <c r="BD123" t="s">
        <v>65</v>
      </c>
      <c r="BE123">
        <v>6</v>
      </c>
      <c r="BF123">
        <v>8</v>
      </c>
      <c r="BG123" t="s">
        <v>13290</v>
      </c>
      <c r="BH123" t="s">
        <v>13291</v>
      </c>
      <c r="BI123" t="s">
        <v>13292</v>
      </c>
      <c r="BJ123">
        <v>0.40309</v>
      </c>
      <c r="BK123">
        <v>0.89400000000000002</v>
      </c>
      <c r="BL123" t="s">
        <v>635</v>
      </c>
      <c r="BM123">
        <v>-1.5489999999999999</v>
      </c>
      <c r="BN123">
        <v>-1.9450000000000001</v>
      </c>
    </row>
    <row r="124" spans="2:66">
      <c r="B124">
        <v>233</v>
      </c>
      <c r="C124">
        <v>317</v>
      </c>
      <c r="D124">
        <v>0</v>
      </c>
      <c r="E124">
        <v>2</v>
      </c>
      <c r="F124">
        <v>2</v>
      </c>
      <c r="J124">
        <v>0</v>
      </c>
      <c r="K124">
        <v>73</v>
      </c>
      <c r="L124">
        <v>1</v>
      </c>
      <c r="M124" t="s">
        <v>25022</v>
      </c>
      <c r="N124">
        <v>2295</v>
      </c>
      <c r="O124" t="s">
        <v>13293</v>
      </c>
      <c r="P124" t="s">
        <v>62</v>
      </c>
      <c r="Q124">
        <v>2312532</v>
      </c>
      <c r="R124">
        <v>2316110</v>
      </c>
      <c r="S124" t="s">
        <v>13294</v>
      </c>
      <c r="T124">
        <v>1193</v>
      </c>
      <c r="U124" t="s">
        <v>108</v>
      </c>
      <c r="V124">
        <v>44</v>
      </c>
      <c r="W124" t="str">
        <f>HYPERLINK("Gene2295-zp_tree_all.dnd", "Gene2295-tree")</f>
        <v>Gene2295-tree</v>
      </c>
      <c r="X124">
        <v>2</v>
      </c>
      <c r="Y124">
        <v>14</v>
      </c>
      <c r="Z124">
        <v>2</v>
      </c>
      <c r="AA124">
        <v>14</v>
      </c>
      <c r="AB124">
        <v>0.875</v>
      </c>
      <c r="AC124" t="s">
        <v>81</v>
      </c>
      <c r="AD124" t="s">
        <v>543</v>
      </c>
      <c r="AE124">
        <v>860908720.12699997</v>
      </c>
      <c r="AF124" t="s">
        <v>267</v>
      </c>
      <c r="AG124">
        <v>25</v>
      </c>
      <c r="AH124">
        <v>74</v>
      </c>
      <c r="AI124">
        <v>55</v>
      </c>
      <c r="AJ124">
        <v>0.57364000000000004</v>
      </c>
      <c r="AK124">
        <v>0</v>
      </c>
      <c r="AL124">
        <v>0</v>
      </c>
      <c r="AM124">
        <v>0</v>
      </c>
      <c r="AN124">
        <v>8</v>
      </c>
      <c r="AO124">
        <v>0</v>
      </c>
      <c r="AP124">
        <v>27</v>
      </c>
      <c r="AQ124">
        <v>7</v>
      </c>
      <c r="AR124">
        <v>34</v>
      </c>
      <c r="AS124">
        <v>53</v>
      </c>
      <c r="AT124">
        <v>0.39079999999999998</v>
      </c>
      <c r="AU124">
        <v>14</v>
      </c>
      <c r="AV124">
        <v>13</v>
      </c>
      <c r="AW124">
        <v>122</v>
      </c>
      <c r="AX124">
        <v>83</v>
      </c>
      <c r="AY124">
        <v>64</v>
      </c>
      <c r="AZ124">
        <v>46</v>
      </c>
      <c r="BA124" t="s">
        <v>13295</v>
      </c>
      <c r="BB124" t="s">
        <v>13296</v>
      </c>
      <c r="BC124">
        <v>0.20200000000000001</v>
      </c>
      <c r="BD124" t="s">
        <v>65</v>
      </c>
      <c r="BE124">
        <v>186</v>
      </c>
      <c r="BF124">
        <v>129</v>
      </c>
      <c r="BG124" t="s">
        <v>13297</v>
      </c>
      <c r="BH124" t="s">
        <v>13298</v>
      </c>
      <c r="BI124" t="s">
        <v>13299</v>
      </c>
      <c r="BJ124">
        <v>0.19716</v>
      </c>
      <c r="BK124">
        <v>1</v>
      </c>
      <c r="BL124" t="s">
        <v>69</v>
      </c>
      <c r="BM124">
        <v>-0.74199999999999999</v>
      </c>
      <c r="BN124">
        <v>-1.4810000000000001</v>
      </c>
    </row>
    <row r="125" spans="2:66">
      <c r="B125">
        <v>234</v>
      </c>
      <c r="C125">
        <v>128</v>
      </c>
      <c r="D125">
        <v>0</v>
      </c>
      <c r="E125">
        <v>2</v>
      </c>
      <c r="F125">
        <v>0</v>
      </c>
      <c r="J125">
        <v>0</v>
      </c>
      <c r="K125">
        <v>0</v>
      </c>
      <c r="L125">
        <v>0</v>
      </c>
      <c r="M125" t="s">
        <v>25022</v>
      </c>
      <c r="N125">
        <v>2296</v>
      </c>
      <c r="O125" t="s">
        <v>13300</v>
      </c>
      <c r="P125" t="s">
        <v>62</v>
      </c>
      <c r="Q125">
        <v>2316289</v>
      </c>
      <c r="R125">
        <v>2316375</v>
      </c>
      <c r="S125" t="s">
        <v>3129</v>
      </c>
      <c r="T125">
        <v>29</v>
      </c>
      <c r="U125" t="s">
        <v>59</v>
      </c>
      <c r="V125">
        <v>49</v>
      </c>
      <c r="W125" t="str">
        <f>HYPERLINK("Gene2296-zp_tree_all.dnd", "Gene2296-tree")</f>
        <v>Gene2296-tree</v>
      </c>
      <c r="X125">
        <v>4</v>
      </c>
      <c r="Y125">
        <v>1</v>
      </c>
      <c r="Z125">
        <v>4</v>
      </c>
      <c r="AA125">
        <v>1</v>
      </c>
      <c r="AB125">
        <v>0.2</v>
      </c>
      <c r="AC125" t="s">
        <v>61</v>
      </c>
      <c r="AD125" t="s">
        <v>175</v>
      </c>
      <c r="AE125" t="s">
        <v>62</v>
      </c>
      <c r="AF125" t="s">
        <v>62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3</v>
      </c>
      <c r="AV125">
        <v>1</v>
      </c>
      <c r="AW125">
        <v>2</v>
      </c>
      <c r="AX125">
        <v>1</v>
      </c>
      <c r="AY125">
        <v>1</v>
      </c>
      <c r="AZ125">
        <v>0</v>
      </c>
      <c r="BA125" t="s">
        <v>13301</v>
      </c>
      <c r="BB125" t="s">
        <v>193</v>
      </c>
      <c r="BC125">
        <v>0.69299999999999995</v>
      </c>
      <c r="BD125" t="s">
        <v>65</v>
      </c>
      <c r="BE125">
        <v>3</v>
      </c>
      <c r="BF125">
        <v>1</v>
      </c>
      <c r="BG125" t="s">
        <v>13302</v>
      </c>
      <c r="BH125" t="s">
        <v>13303</v>
      </c>
      <c r="BI125" t="s">
        <v>13304</v>
      </c>
      <c r="BJ125">
        <v>8.5849999999999996E-2</v>
      </c>
      <c r="BK125">
        <v>0.98399999999999999</v>
      </c>
      <c r="BL125" t="s">
        <v>69</v>
      </c>
      <c r="BM125">
        <v>-1.1990000000000001</v>
      </c>
      <c r="BN125">
        <v>-9.2999999999999999E-2</v>
      </c>
    </row>
    <row r="126" spans="2:66">
      <c r="B126">
        <v>235</v>
      </c>
      <c r="C126">
        <v>482</v>
      </c>
      <c r="D126">
        <v>0</v>
      </c>
      <c r="E126">
        <v>23</v>
      </c>
      <c r="F126">
        <v>7</v>
      </c>
      <c r="J126">
        <v>0</v>
      </c>
      <c r="K126">
        <v>2</v>
      </c>
      <c r="L126">
        <v>0</v>
      </c>
      <c r="M126" t="s">
        <v>25022</v>
      </c>
      <c r="N126">
        <v>2297</v>
      </c>
      <c r="O126" t="s">
        <v>13305</v>
      </c>
      <c r="P126" t="s">
        <v>62</v>
      </c>
      <c r="Q126">
        <v>2316449</v>
      </c>
      <c r="R126">
        <v>2316952</v>
      </c>
      <c r="S126" t="s">
        <v>13306</v>
      </c>
      <c r="T126">
        <v>168</v>
      </c>
      <c r="U126" t="s">
        <v>108</v>
      </c>
      <c r="V126">
        <v>44</v>
      </c>
      <c r="W126" t="str">
        <f>HYPERLINK("Gene2297-zp_tree_all.dnd", "Gene2297-tree")</f>
        <v>Gene2297-tree</v>
      </c>
      <c r="X126">
        <v>9</v>
      </c>
      <c r="Y126">
        <v>5</v>
      </c>
      <c r="Z126">
        <v>9</v>
      </c>
      <c r="AA126">
        <v>5</v>
      </c>
      <c r="AB126">
        <v>0.35714000000000001</v>
      </c>
      <c r="AC126" t="s">
        <v>135</v>
      </c>
      <c r="AD126" t="s">
        <v>199</v>
      </c>
      <c r="AE126" t="s">
        <v>62</v>
      </c>
      <c r="AF126" t="s">
        <v>62</v>
      </c>
      <c r="AG126">
        <v>1</v>
      </c>
      <c r="AH126">
        <v>2</v>
      </c>
      <c r="AI126">
        <v>6</v>
      </c>
      <c r="AJ126">
        <v>0.25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2</v>
      </c>
      <c r="AQ126">
        <v>0</v>
      </c>
      <c r="AR126">
        <v>2</v>
      </c>
      <c r="AS126">
        <v>5</v>
      </c>
      <c r="AT126">
        <v>0.28571000000000002</v>
      </c>
      <c r="AU126">
        <v>10</v>
      </c>
      <c r="AV126">
        <v>8</v>
      </c>
      <c r="AW126">
        <v>10</v>
      </c>
      <c r="AX126">
        <v>7</v>
      </c>
      <c r="AY126">
        <v>7</v>
      </c>
      <c r="AZ126">
        <v>1</v>
      </c>
      <c r="BA126" t="s">
        <v>13307</v>
      </c>
      <c r="BB126" t="s">
        <v>13308</v>
      </c>
      <c r="BC126">
        <v>0.95699999999999996</v>
      </c>
      <c r="BD126" t="s">
        <v>65</v>
      </c>
      <c r="BE126">
        <v>17</v>
      </c>
      <c r="BF126">
        <v>8</v>
      </c>
      <c r="BG126" t="s">
        <v>13309</v>
      </c>
      <c r="BH126" t="s">
        <v>13310</v>
      </c>
      <c r="BI126" t="s">
        <v>5963</v>
      </c>
      <c r="BJ126">
        <v>0.1206</v>
      </c>
      <c r="BK126">
        <v>1</v>
      </c>
      <c r="BL126" t="s">
        <v>69</v>
      </c>
      <c r="BM126">
        <v>-0.83299999999999996</v>
      </c>
      <c r="BN126">
        <v>-1.389</v>
      </c>
    </row>
    <row r="127" spans="2:66">
      <c r="B127">
        <v>236</v>
      </c>
      <c r="C127">
        <v>28</v>
      </c>
      <c r="D127">
        <v>0</v>
      </c>
      <c r="E127">
        <v>17</v>
      </c>
      <c r="F127">
        <v>8</v>
      </c>
      <c r="J127">
        <v>0</v>
      </c>
      <c r="K127">
        <v>6</v>
      </c>
      <c r="L127">
        <v>2</v>
      </c>
      <c r="M127" t="s">
        <v>25022</v>
      </c>
      <c r="N127">
        <v>2298</v>
      </c>
      <c r="O127" t="s">
        <v>13311</v>
      </c>
      <c r="P127" t="s">
        <v>62</v>
      </c>
      <c r="Q127">
        <v>2316959</v>
      </c>
      <c r="R127">
        <v>2318053</v>
      </c>
      <c r="S127" t="s">
        <v>13312</v>
      </c>
      <c r="T127">
        <v>365</v>
      </c>
      <c r="U127" t="s">
        <v>108</v>
      </c>
      <c r="V127">
        <v>44</v>
      </c>
      <c r="W127" t="str">
        <f>HYPERLINK("Gene2298-zp_tree_all.dnd", "Gene2298-tree")</f>
        <v>Gene2298-tree</v>
      </c>
      <c r="X127">
        <v>3</v>
      </c>
      <c r="Y127">
        <v>11</v>
      </c>
      <c r="Z127">
        <v>3</v>
      </c>
      <c r="AA127">
        <v>11</v>
      </c>
      <c r="AB127">
        <v>0.78571000000000002</v>
      </c>
      <c r="AC127" t="s">
        <v>324</v>
      </c>
      <c r="AD127" t="s">
        <v>73</v>
      </c>
      <c r="AE127">
        <v>305230034.74400002</v>
      </c>
      <c r="AF127" t="s">
        <v>267</v>
      </c>
      <c r="AG127">
        <v>4</v>
      </c>
      <c r="AH127">
        <v>8</v>
      </c>
      <c r="AI127">
        <v>10</v>
      </c>
      <c r="AJ127">
        <v>0.44444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4</v>
      </c>
      <c r="AQ127">
        <v>0</v>
      </c>
      <c r="AR127">
        <v>4</v>
      </c>
      <c r="AS127">
        <v>10</v>
      </c>
      <c r="AT127">
        <v>0.28571000000000002</v>
      </c>
      <c r="AU127">
        <v>12</v>
      </c>
      <c r="AV127">
        <v>9</v>
      </c>
      <c r="AW127">
        <v>20</v>
      </c>
      <c r="AX127">
        <v>12</v>
      </c>
      <c r="AY127">
        <v>18</v>
      </c>
      <c r="AZ127">
        <v>6</v>
      </c>
      <c r="BA127" t="s">
        <v>13313</v>
      </c>
      <c r="BB127" t="s">
        <v>13314</v>
      </c>
      <c r="BC127">
        <v>0.92500000000000004</v>
      </c>
      <c r="BD127" t="s">
        <v>65</v>
      </c>
      <c r="BE127">
        <v>38</v>
      </c>
      <c r="BF127">
        <v>18</v>
      </c>
      <c r="BG127" t="s">
        <v>13315</v>
      </c>
      <c r="BH127" t="s">
        <v>13316</v>
      </c>
      <c r="BI127" t="s">
        <v>13317</v>
      </c>
      <c r="BJ127">
        <v>0.13589999999999999</v>
      </c>
      <c r="BK127">
        <v>1</v>
      </c>
      <c r="BL127" t="s">
        <v>69</v>
      </c>
      <c r="BM127">
        <v>-0.47299999999999998</v>
      </c>
      <c r="BN127">
        <v>-0.16700000000000001</v>
      </c>
    </row>
    <row r="128" spans="2:66">
      <c r="B128">
        <v>238</v>
      </c>
      <c r="C128">
        <v>20</v>
      </c>
      <c r="D128">
        <v>0</v>
      </c>
      <c r="E128">
        <v>2</v>
      </c>
      <c r="F128">
        <v>0</v>
      </c>
      <c r="J128">
        <v>0</v>
      </c>
      <c r="K128">
        <v>9</v>
      </c>
      <c r="L128">
        <v>0</v>
      </c>
      <c r="M128" t="s">
        <v>25022</v>
      </c>
      <c r="N128">
        <v>2299</v>
      </c>
      <c r="O128" t="s">
        <v>13318</v>
      </c>
      <c r="P128" t="s">
        <v>62</v>
      </c>
      <c r="Q128">
        <v>2318130</v>
      </c>
      <c r="R128">
        <v>2319443</v>
      </c>
      <c r="S128" t="s">
        <v>13319</v>
      </c>
      <c r="T128">
        <v>438</v>
      </c>
      <c r="U128" t="s">
        <v>265</v>
      </c>
      <c r="V128">
        <v>43</v>
      </c>
      <c r="W128" t="str">
        <f>HYPERLINK("Gene2299-zp_tree_all.dnd", "Gene2299-tree")</f>
        <v>Gene2299-tree</v>
      </c>
      <c r="X128">
        <v>8</v>
      </c>
      <c r="Y128">
        <v>7</v>
      </c>
      <c r="Z128">
        <v>8</v>
      </c>
      <c r="AA128">
        <v>7</v>
      </c>
      <c r="AB128">
        <v>0.46666999999999997</v>
      </c>
      <c r="AC128" t="s">
        <v>136</v>
      </c>
      <c r="AD128" t="s">
        <v>152</v>
      </c>
      <c r="AE128" t="s">
        <v>62</v>
      </c>
      <c r="AF128" t="s">
        <v>62</v>
      </c>
      <c r="AG128">
        <v>3</v>
      </c>
      <c r="AH128">
        <v>9</v>
      </c>
      <c r="AI128">
        <v>11</v>
      </c>
      <c r="AJ128">
        <v>0.45</v>
      </c>
      <c r="AK128">
        <v>0</v>
      </c>
      <c r="AL128">
        <v>0</v>
      </c>
      <c r="AM128">
        <v>0</v>
      </c>
      <c r="AN128">
        <v>3</v>
      </c>
      <c r="AO128">
        <v>0</v>
      </c>
      <c r="AP128">
        <v>4</v>
      </c>
      <c r="AQ128">
        <v>1</v>
      </c>
      <c r="AR128">
        <v>5</v>
      </c>
      <c r="AS128">
        <v>7</v>
      </c>
      <c r="AT128">
        <v>0.41666999999999998</v>
      </c>
      <c r="AU128">
        <v>14</v>
      </c>
      <c r="AV128">
        <v>12</v>
      </c>
      <c r="AW128">
        <v>64</v>
      </c>
      <c r="AX128">
        <v>12</v>
      </c>
      <c r="AY128">
        <v>40</v>
      </c>
      <c r="AZ128">
        <v>8</v>
      </c>
      <c r="BA128" t="s">
        <v>13320</v>
      </c>
      <c r="BB128" t="s">
        <v>13321</v>
      </c>
      <c r="BC128">
        <v>7.3999999999999996E-2</v>
      </c>
      <c r="BD128" t="s">
        <v>65</v>
      </c>
      <c r="BE128">
        <v>104</v>
      </c>
      <c r="BF128">
        <v>20</v>
      </c>
      <c r="BG128" t="s">
        <v>13322</v>
      </c>
      <c r="BH128" t="s">
        <v>13323</v>
      </c>
      <c r="BI128" t="s">
        <v>13324</v>
      </c>
      <c r="BJ128">
        <v>6.3659999999999994E-2</v>
      </c>
      <c r="BK128">
        <v>1</v>
      </c>
      <c r="BL128" t="s">
        <v>69</v>
      </c>
      <c r="BM128">
        <v>-0.215</v>
      </c>
      <c r="BN128">
        <v>-0.93799999999999994</v>
      </c>
    </row>
    <row r="129" spans="2:66">
      <c r="B129">
        <v>239</v>
      </c>
      <c r="C129">
        <v>328</v>
      </c>
      <c r="D129">
        <v>0</v>
      </c>
      <c r="E129">
        <v>8</v>
      </c>
      <c r="F129">
        <v>0</v>
      </c>
      <c r="J129">
        <v>0</v>
      </c>
      <c r="K129">
        <v>2</v>
      </c>
      <c r="L129">
        <v>2</v>
      </c>
      <c r="M129" t="s">
        <v>25022</v>
      </c>
      <c r="N129">
        <v>2300</v>
      </c>
      <c r="O129" t="s">
        <v>13325</v>
      </c>
      <c r="P129" t="s">
        <v>62</v>
      </c>
      <c r="Q129">
        <v>2319443</v>
      </c>
      <c r="R129">
        <v>2320024</v>
      </c>
      <c r="S129" t="s">
        <v>13326</v>
      </c>
      <c r="T129">
        <v>194</v>
      </c>
      <c r="U129" t="s">
        <v>108</v>
      </c>
      <c r="V129">
        <v>44</v>
      </c>
      <c r="W129" t="str">
        <f>HYPERLINK("Gene2300-zp_tree_all.dnd", "Gene2300-tree")</f>
        <v>Gene2300-tree</v>
      </c>
      <c r="X129">
        <v>6</v>
      </c>
      <c r="Y129">
        <v>6</v>
      </c>
      <c r="Z129">
        <v>6</v>
      </c>
      <c r="AA129">
        <v>6</v>
      </c>
      <c r="AB129">
        <v>0.5</v>
      </c>
      <c r="AC129" t="s">
        <v>90</v>
      </c>
      <c r="AD129" t="s">
        <v>90</v>
      </c>
      <c r="AE129" t="s">
        <v>62</v>
      </c>
      <c r="AF129" t="s">
        <v>62</v>
      </c>
      <c r="AG129">
        <v>2</v>
      </c>
      <c r="AH129">
        <v>4</v>
      </c>
      <c r="AI129">
        <v>8</v>
      </c>
      <c r="AJ129">
        <v>0.33333000000000002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9</v>
      </c>
      <c r="AT129">
        <v>0</v>
      </c>
      <c r="AU129">
        <v>9</v>
      </c>
      <c r="AV129">
        <v>8</v>
      </c>
      <c r="AW129">
        <v>9</v>
      </c>
      <c r="AX129">
        <v>9</v>
      </c>
      <c r="AY129">
        <v>12</v>
      </c>
      <c r="AZ129">
        <v>3</v>
      </c>
      <c r="BA129" t="s">
        <v>13327</v>
      </c>
      <c r="BB129" t="s">
        <v>13328</v>
      </c>
      <c r="BC129">
        <v>1.101</v>
      </c>
      <c r="BD129" t="s">
        <v>65</v>
      </c>
      <c r="BE129">
        <v>21</v>
      </c>
      <c r="BF129">
        <v>12</v>
      </c>
      <c r="BG129" t="s">
        <v>13329</v>
      </c>
      <c r="BH129" t="s">
        <v>13330</v>
      </c>
      <c r="BI129" t="s">
        <v>13331</v>
      </c>
      <c r="BJ129">
        <v>0.14574999999999999</v>
      </c>
      <c r="BK129">
        <v>1</v>
      </c>
      <c r="BL129" t="s">
        <v>69</v>
      </c>
      <c r="BM129">
        <v>-0.19800000000000001</v>
      </c>
      <c r="BN129">
        <v>-0.112</v>
      </c>
    </row>
    <row r="130" spans="2:66">
      <c r="B130">
        <v>240</v>
      </c>
      <c r="C130">
        <v>460</v>
      </c>
      <c r="D130">
        <v>2</v>
      </c>
      <c r="E130">
        <v>13</v>
      </c>
      <c r="F130">
        <v>5</v>
      </c>
      <c r="J130">
        <v>0</v>
      </c>
      <c r="K130">
        <v>6</v>
      </c>
      <c r="L130">
        <v>0</v>
      </c>
      <c r="M130" t="s">
        <v>25022</v>
      </c>
      <c r="N130">
        <v>2301</v>
      </c>
      <c r="O130" t="s">
        <v>13332</v>
      </c>
      <c r="P130" t="s">
        <v>62</v>
      </c>
      <c r="Q130">
        <v>2320358</v>
      </c>
      <c r="R130">
        <v>2321860</v>
      </c>
      <c r="S130" t="s">
        <v>13333</v>
      </c>
      <c r="T130">
        <v>501</v>
      </c>
      <c r="U130" t="s">
        <v>108</v>
      </c>
      <c r="V130">
        <v>44</v>
      </c>
      <c r="W130" t="str">
        <f>HYPERLINK("Gene2301-zp_tree_all.dnd", "Gene2301-tree")</f>
        <v>Gene2301-tree</v>
      </c>
      <c r="X130">
        <v>6</v>
      </c>
      <c r="Y130">
        <v>8</v>
      </c>
      <c r="Z130">
        <v>6</v>
      </c>
      <c r="AA130">
        <v>8</v>
      </c>
      <c r="AB130">
        <v>0.57142999999999999</v>
      </c>
      <c r="AC130" t="s">
        <v>90</v>
      </c>
      <c r="AD130" t="s">
        <v>136</v>
      </c>
      <c r="AE130" t="s">
        <v>62</v>
      </c>
      <c r="AF130" t="s">
        <v>62</v>
      </c>
      <c r="AG130">
        <v>3</v>
      </c>
      <c r="AH130">
        <v>6</v>
      </c>
      <c r="AI130">
        <v>14</v>
      </c>
      <c r="AJ130">
        <v>0.3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13</v>
      </c>
      <c r="AT130">
        <v>0</v>
      </c>
      <c r="AU130">
        <v>13</v>
      </c>
      <c r="AV130">
        <v>11</v>
      </c>
      <c r="AW130">
        <v>30</v>
      </c>
      <c r="AX130">
        <v>13</v>
      </c>
      <c r="AY130">
        <v>14</v>
      </c>
      <c r="AZ130">
        <v>7</v>
      </c>
      <c r="BA130" t="s">
        <v>13334</v>
      </c>
      <c r="BB130" t="s">
        <v>13335</v>
      </c>
      <c r="BC130">
        <v>0.16600000000000001</v>
      </c>
      <c r="BD130" t="s">
        <v>65</v>
      </c>
      <c r="BE130">
        <v>44</v>
      </c>
      <c r="BF130">
        <v>20</v>
      </c>
      <c r="BG130" t="s">
        <v>13336</v>
      </c>
      <c r="BH130" t="s">
        <v>13337</v>
      </c>
      <c r="BI130" t="s">
        <v>13338</v>
      </c>
      <c r="BJ130">
        <v>0.12296</v>
      </c>
      <c r="BK130">
        <v>1</v>
      </c>
      <c r="BL130" t="s">
        <v>69</v>
      </c>
      <c r="BM130">
        <v>-0.376</v>
      </c>
      <c r="BN130">
        <v>-2.1930000000000001</v>
      </c>
    </row>
    <row r="131" spans="2:66">
      <c r="B131">
        <v>241</v>
      </c>
      <c r="C131">
        <v>46</v>
      </c>
      <c r="D131">
        <v>0</v>
      </c>
      <c r="E131">
        <v>9</v>
      </c>
      <c r="F131">
        <v>0</v>
      </c>
      <c r="J131">
        <v>0</v>
      </c>
      <c r="K131">
        <v>6</v>
      </c>
      <c r="L131">
        <v>0</v>
      </c>
      <c r="M131" t="s">
        <v>25022</v>
      </c>
      <c r="N131">
        <v>2302</v>
      </c>
      <c r="O131" t="s">
        <v>13339</v>
      </c>
      <c r="P131" t="s">
        <v>62</v>
      </c>
      <c r="Q131">
        <v>2321975</v>
      </c>
      <c r="R131">
        <v>2322964</v>
      </c>
      <c r="S131" t="s">
        <v>13340</v>
      </c>
      <c r="T131">
        <v>330</v>
      </c>
      <c r="U131" t="s">
        <v>108</v>
      </c>
      <c r="V131">
        <v>44</v>
      </c>
      <c r="W131" t="str">
        <f>HYPERLINK("Gene2302-zp_tree_all.dnd", "Gene2302-tree")</f>
        <v>Gene2302-tree</v>
      </c>
      <c r="X131">
        <v>4</v>
      </c>
      <c r="Y131">
        <v>29</v>
      </c>
      <c r="Z131">
        <v>4</v>
      </c>
      <c r="AA131">
        <v>9</v>
      </c>
      <c r="AB131">
        <v>0.69230999999999998</v>
      </c>
      <c r="AC131" t="s">
        <v>61</v>
      </c>
      <c r="AD131" t="s">
        <v>234</v>
      </c>
      <c r="AE131">
        <v>2.48</v>
      </c>
      <c r="AF131" t="s">
        <v>65</v>
      </c>
      <c r="AG131">
        <v>2</v>
      </c>
      <c r="AH131">
        <v>6</v>
      </c>
      <c r="AI131">
        <v>9</v>
      </c>
      <c r="AJ131">
        <v>0.4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</v>
      </c>
      <c r="AQ131">
        <v>0</v>
      </c>
      <c r="AR131">
        <v>4</v>
      </c>
      <c r="AS131">
        <v>7</v>
      </c>
      <c r="AT131">
        <v>0.36364000000000002</v>
      </c>
      <c r="AU131">
        <v>12</v>
      </c>
      <c r="AV131">
        <v>8</v>
      </c>
      <c r="AW131">
        <v>33</v>
      </c>
      <c r="AX131">
        <v>11</v>
      </c>
      <c r="AY131">
        <v>23</v>
      </c>
      <c r="AZ131">
        <v>4</v>
      </c>
      <c r="BA131" t="s">
        <v>13341</v>
      </c>
      <c r="BB131" t="s">
        <v>13342</v>
      </c>
      <c r="BC131">
        <v>0.69899999999999995</v>
      </c>
      <c r="BD131" t="s">
        <v>65</v>
      </c>
      <c r="BE131">
        <v>56</v>
      </c>
      <c r="BF131">
        <v>15</v>
      </c>
      <c r="BG131" t="s">
        <v>13343</v>
      </c>
      <c r="BH131" t="s">
        <v>13344</v>
      </c>
      <c r="BI131" t="s">
        <v>13345</v>
      </c>
      <c r="BJ131">
        <v>6.9699999999999998E-2</v>
      </c>
      <c r="BK131">
        <v>1</v>
      </c>
      <c r="BL131" t="s">
        <v>69</v>
      </c>
      <c r="BM131">
        <v>-1.3169999999999999</v>
      </c>
      <c r="BN131">
        <v>-1.827</v>
      </c>
    </row>
    <row r="132" spans="2:66">
      <c r="B132">
        <v>242</v>
      </c>
      <c r="C132">
        <v>62</v>
      </c>
      <c r="D132">
        <v>0</v>
      </c>
      <c r="E132">
        <v>10</v>
      </c>
      <c r="F132">
        <v>1</v>
      </c>
      <c r="J132">
        <v>0</v>
      </c>
      <c r="K132">
        <v>2</v>
      </c>
      <c r="L132">
        <v>2</v>
      </c>
      <c r="M132" t="s">
        <v>25022</v>
      </c>
      <c r="N132">
        <v>2303</v>
      </c>
      <c r="O132" t="s">
        <v>13346</v>
      </c>
      <c r="P132" t="s">
        <v>62</v>
      </c>
      <c r="Q132">
        <v>2323012</v>
      </c>
      <c r="R132">
        <v>2323599</v>
      </c>
      <c r="S132" t="s">
        <v>13347</v>
      </c>
      <c r="T132">
        <v>196</v>
      </c>
      <c r="U132" t="s">
        <v>108</v>
      </c>
      <c r="V132">
        <v>44</v>
      </c>
      <c r="W132" t="str">
        <f>HYPERLINK("Gene2303-zp_tree_all.dnd", "Gene2303-tree")</f>
        <v>Gene2303-tree</v>
      </c>
      <c r="X132">
        <v>7</v>
      </c>
      <c r="Y132">
        <v>4</v>
      </c>
      <c r="Z132">
        <v>7</v>
      </c>
      <c r="AA132">
        <v>4</v>
      </c>
      <c r="AB132">
        <v>0.36364000000000002</v>
      </c>
      <c r="AC132" t="s">
        <v>152</v>
      </c>
      <c r="AD132" t="s">
        <v>61</v>
      </c>
      <c r="AE132" t="s">
        <v>62</v>
      </c>
      <c r="AF132" t="s">
        <v>62</v>
      </c>
      <c r="AG132">
        <v>2</v>
      </c>
      <c r="AH132">
        <v>4</v>
      </c>
      <c r="AI132">
        <v>4</v>
      </c>
      <c r="AJ132">
        <v>0.5</v>
      </c>
      <c r="AK132">
        <v>0</v>
      </c>
      <c r="AL132">
        <v>0</v>
      </c>
      <c r="AM132">
        <v>0</v>
      </c>
      <c r="AN132">
        <v>3</v>
      </c>
      <c r="AO132">
        <v>0</v>
      </c>
      <c r="AP132">
        <v>0</v>
      </c>
      <c r="AQ132">
        <v>0</v>
      </c>
      <c r="AR132">
        <v>0</v>
      </c>
      <c r="AS132">
        <v>5</v>
      </c>
      <c r="AT132">
        <v>0</v>
      </c>
      <c r="AU132">
        <v>7</v>
      </c>
      <c r="AV132">
        <v>7</v>
      </c>
      <c r="AW132">
        <v>12</v>
      </c>
      <c r="AX132">
        <v>5</v>
      </c>
      <c r="AY132">
        <v>11</v>
      </c>
      <c r="AZ132">
        <v>3</v>
      </c>
      <c r="BA132" t="s">
        <v>13348</v>
      </c>
      <c r="BB132" t="s">
        <v>13349</v>
      </c>
      <c r="BC132">
        <v>0.34499999999999997</v>
      </c>
      <c r="BD132" t="s">
        <v>65</v>
      </c>
      <c r="BE132">
        <v>23</v>
      </c>
      <c r="BF132">
        <v>8</v>
      </c>
      <c r="BG132" t="s">
        <v>13350</v>
      </c>
      <c r="BH132" t="s">
        <v>13351</v>
      </c>
      <c r="BI132" t="s">
        <v>13352</v>
      </c>
      <c r="BJ132">
        <v>9.2960000000000001E-2</v>
      </c>
      <c r="BK132">
        <v>1</v>
      </c>
      <c r="BL132" t="s">
        <v>69</v>
      </c>
      <c r="BM132">
        <v>0.46700000000000003</v>
      </c>
      <c r="BN132">
        <v>-1.2250000000000001</v>
      </c>
    </row>
    <row r="133" spans="2:66">
      <c r="B133">
        <v>244</v>
      </c>
      <c r="C133">
        <v>38</v>
      </c>
      <c r="D133">
        <v>0</v>
      </c>
      <c r="E133">
        <v>2</v>
      </c>
      <c r="F133">
        <v>0</v>
      </c>
      <c r="J133">
        <v>0</v>
      </c>
      <c r="K133">
        <v>0</v>
      </c>
      <c r="L133">
        <v>0</v>
      </c>
      <c r="M133" t="s">
        <v>25022</v>
      </c>
      <c r="N133">
        <v>2304</v>
      </c>
      <c r="O133" t="s">
        <v>13353</v>
      </c>
      <c r="P133" t="s">
        <v>62</v>
      </c>
      <c r="Q133">
        <v>2323604</v>
      </c>
      <c r="R133">
        <v>2324575</v>
      </c>
      <c r="S133" t="s">
        <v>13354</v>
      </c>
      <c r="T133">
        <v>324</v>
      </c>
      <c r="U133" t="s">
        <v>108</v>
      </c>
      <c r="V133">
        <v>44</v>
      </c>
      <c r="W133" t="str">
        <f>HYPERLINK("Gene2304-zp_tree_all.dnd", "Gene2304-tree")</f>
        <v>Gene2304-tree</v>
      </c>
      <c r="X133">
        <v>9</v>
      </c>
      <c r="Y133">
        <v>4</v>
      </c>
      <c r="Z133">
        <v>9</v>
      </c>
      <c r="AA133">
        <v>4</v>
      </c>
      <c r="AB133">
        <v>0.30769000000000002</v>
      </c>
      <c r="AC133" t="s">
        <v>135</v>
      </c>
      <c r="AD133" t="s">
        <v>61</v>
      </c>
      <c r="AE133" t="s">
        <v>62</v>
      </c>
      <c r="AF133" t="s">
        <v>62</v>
      </c>
      <c r="AG133">
        <v>0</v>
      </c>
      <c r="AH133">
        <v>0</v>
      </c>
      <c r="AI133">
        <v>7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5</v>
      </c>
      <c r="AT133">
        <v>0</v>
      </c>
      <c r="AU133">
        <v>10</v>
      </c>
      <c r="AV133">
        <v>8</v>
      </c>
      <c r="AW133">
        <v>27</v>
      </c>
      <c r="AX133">
        <v>5</v>
      </c>
      <c r="AY133">
        <v>21</v>
      </c>
      <c r="AZ133">
        <v>2</v>
      </c>
      <c r="BA133" t="s">
        <v>13355</v>
      </c>
      <c r="BB133" t="s">
        <v>13356</v>
      </c>
      <c r="BC133">
        <v>0.49299999999999999</v>
      </c>
      <c r="BD133" t="s">
        <v>65</v>
      </c>
      <c r="BE133">
        <v>48</v>
      </c>
      <c r="BF133">
        <v>7</v>
      </c>
      <c r="BG133" t="s">
        <v>13357</v>
      </c>
      <c r="BH133" t="s">
        <v>13358</v>
      </c>
      <c r="BI133" t="s">
        <v>13359</v>
      </c>
      <c r="BJ133">
        <v>4.3619999999999999E-2</v>
      </c>
      <c r="BK133">
        <v>1</v>
      </c>
      <c r="BL133" t="s">
        <v>69</v>
      </c>
      <c r="BM133">
        <v>-0.54200000000000004</v>
      </c>
      <c r="BN133">
        <v>-1.56</v>
      </c>
    </row>
    <row r="134" spans="2:66">
      <c r="B134">
        <v>245</v>
      </c>
      <c r="C134">
        <v>214</v>
      </c>
      <c r="D134">
        <v>0</v>
      </c>
      <c r="E134">
        <v>2</v>
      </c>
      <c r="F134">
        <v>0</v>
      </c>
      <c r="J134">
        <v>0</v>
      </c>
      <c r="K134">
        <v>0</v>
      </c>
      <c r="L134">
        <v>0</v>
      </c>
      <c r="M134" t="s">
        <v>25022</v>
      </c>
      <c r="N134">
        <v>2305</v>
      </c>
      <c r="O134" t="s">
        <v>13360</v>
      </c>
      <c r="P134" t="s">
        <v>62</v>
      </c>
      <c r="Q134">
        <v>2324616</v>
      </c>
      <c r="R134">
        <v>2325632</v>
      </c>
      <c r="S134" t="s">
        <v>13361</v>
      </c>
      <c r="T134">
        <v>339</v>
      </c>
      <c r="U134" t="s">
        <v>108</v>
      </c>
      <c r="V134">
        <v>44</v>
      </c>
      <c r="W134" t="str">
        <f>HYPERLINK("Gene2305-zp_tree_all.dnd", "Gene2305-tree")</f>
        <v>Gene2305-tree</v>
      </c>
      <c r="X134">
        <v>5</v>
      </c>
      <c r="Y134">
        <v>9</v>
      </c>
      <c r="Z134">
        <v>5</v>
      </c>
      <c r="AA134">
        <v>9</v>
      </c>
      <c r="AB134">
        <v>0.64285999999999999</v>
      </c>
      <c r="AC134" t="s">
        <v>199</v>
      </c>
      <c r="AD134" t="s">
        <v>135</v>
      </c>
      <c r="AE134" t="s">
        <v>62</v>
      </c>
      <c r="AF134" t="s">
        <v>62</v>
      </c>
      <c r="AG134">
        <v>0</v>
      </c>
      <c r="AH134">
        <v>0</v>
      </c>
      <c r="AI134">
        <v>10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9</v>
      </c>
      <c r="AT134">
        <v>0</v>
      </c>
      <c r="AU134">
        <v>11</v>
      </c>
      <c r="AV134">
        <v>7</v>
      </c>
      <c r="AW134">
        <v>24</v>
      </c>
      <c r="AX134">
        <v>8</v>
      </c>
      <c r="AY134">
        <v>15</v>
      </c>
      <c r="AZ134">
        <v>2</v>
      </c>
      <c r="BA134" t="s">
        <v>13362</v>
      </c>
      <c r="BB134" t="s">
        <v>13363</v>
      </c>
      <c r="BC134">
        <v>1.25</v>
      </c>
      <c r="BD134" t="s">
        <v>65</v>
      </c>
      <c r="BE134">
        <v>39</v>
      </c>
      <c r="BF134">
        <v>10</v>
      </c>
      <c r="BG134" t="s">
        <v>13364</v>
      </c>
      <c r="BH134" t="s">
        <v>13365</v>
      </c>
      <c r="BI134" t="s">
        <v>13366</v>
      </c>
      <c r="BJ134">
        <v>7.1029999999999996E-2</v>
      </c>
      <c r="BK134">
        <v>1</v>
      </c>
      <c r="BL134" t="s">
        <v>69</v>
      </c>
      <c r="BM134">
        <v>-0.83299999999999996</v>
      </c>
      <c r="BN134">
        <v>-1.613</v>
      </c>
    </row>
    <row r="135" spans="2:66">
      <c r="B135">
        <v>247</v>
      </c>
      <c r="C135">
        <v>55</v>
      </c>
      <c r="D135">
        <v>0</v>
      </c>
      <c r="E135">
        <v>10</v>
      </c>
      <c r="F135">
        <v>2</v>
      </c>
      <c r="J135">
        <v>0</v>
      </c>
      <c r="K135">
        <v>2</v>
      </c>
      <c r="L135">
        <v>0</v>
      </c>
      <c r="M135" t="s">
        <v>25022</v>
      </c>
      <c r="N135">
        <v>2308</v>
      </c>
      <c r="O135" t="s">
        <v>13381</v>
      </c>
      <c r="P135" t="s">
        <v>62</v>
      </c>
      <c r="Q135">
        <v>2327491</v>
      </c>
      <c r="R135">
        <v>2329413</v>
      </c>
      <c r="S135" t="s">
        <v>13382</v>
      </c>
      <c r="T135">
        <v>641</v>
      </c>
      <c r="U135" t="s">
        <v>108</v>
      </c>
      <c r="V135">
        <v>44</v>
      </c>
      <c r="W135" t="str">
        <f>HYPERLINK("Gene2308-zp_tree_all.dnd", "Gene2308-tree")</f>
        <v>Gene2308-tree</v>
      </c>
      <c r="X135">
        <v>11</v>
      </c>
      <c r="Y135">
        <v>2</v>
      </c>
      <c r="Z135">
        <v>11</v>
      </c>
      <c r="AA135">
        <v>2</v>
      </c>
      <c r="AB135">
        <v>0.15384999999999999</v>
      </c>
      <c r="AC135" t="s">
        <v>73</v>
      </c>
      <c r="AD135" t="s">
        <v>81</v>
      </c>
      <c r="AE135" t="s">
        <v>62</v>
      </c>
      <c r="AF135" t="s">
        <v>62</v>
      </c>
      <c r="AG135">
        <v>1</v>
      </c>
      <c r="AH135">
        <v>2</v>
      </c>
      <c r="AI135">
        <v>2</v>
      </c>
      <c r="AJ135">
        <v>0.5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</v>
      </c>
      <c r="AQ135">
        <v>0</v>
      </c>
      <c r="AR135">
        <v>2</v>
      </c>
      <c r="AS135">
        <v>1</v>
      </c>
      <c r="AT135">
        <v>0.66666999999999998</v>
      </c>
      <c r="AU135">
        <v>9</v>
      </c>
      <c r="AV135">
        <v>10</v>
      </c>
      <c r="AW135">
        <v>42</v>
      </c>
      <c r="AX135">
        <v>3</v>
      </c>
      <c r="AY135">
        <v>31</v>
      </c>
      <c r="AZ135">
        <v>1</v>
      </c>
      <c r="BA135" t="s">
        <v>13383</v>
      </c>
      <c r="BB135" t="s">
        <v>13384</v>
      </c>
      <c r="BC135">
        <v>0.27700000000000002</v>
      </c>
      <c r="BD135" t="s">
        <v>65</v>
      </c>
      <c r="BE135">
        <v>73</v>
      </c>
      <c r="BF135">
        <v>4</v>
      </c>
      <c r="BG135" t="s">
        <v>13385</v>
      </c>
      <c r="BH135" t="s">
        <v>13386</v>
      </c>
      <c r="BI135" t="s">
        <v>13387</v>
      </c>
      <c r="BJ135">
        <v>1.9060000000000001E-2</v>
      </c>
      <c r="BK135">
        <v>1</v>
      </c>
      <c r="BL135" t="s">
        <v>69</v>
      </c>
      <c r="BM135">
        <v>0.11</v>
      </c>
      <c r="BN135">
        <v>-0.751</v>
      </c>
    </row>
    <row r="136" spans="2:66">
      <c r="B136">
        <v>248</v>
      </c>
      <c r="C136">
        <v>7</v>
      </c>
      <c r="D136">
        <v>0</v>
      </c>
      <c r="E136">
        <v>3</v>
      </c>
      <c r="F136">
        <v>0</v>
      </c>
      <c r="J136">
        <v>0</v>
      </c>
      <c r="K136">
        <v>0</v>
      </c>
      <c r="L136">
        <v>0</v>
      </c>
      <c r="M136" t="s">
        <v>25022</v>
      </c>
      <c r="N136">
        <v>2309</v>
      </c>
      <c r="O136" t="s">
        <v>13388</v>
      </c>
      <c r="P136" t="s">
        <v>62</v>
      </c>
      <c r="Q136">
        <v>2329518</v>
      </c>
      <c r="R136">
        <v>2329706</v>
      </c>
      <c r="S136" t="s">
        <v>2302</v>
      </c>
      <c r="T136">
        <v>63</v>
      </c>
      <c r="U136" t="s">
        <v>289</v>
      </c>
      <c r="V136">
        <v>46</v>
      </c>
      <c r="W136" t="str">
        <f>HYPERLINK("Gene2309-zp_tree_all.dnd", "Gene2309-tree")</f>
        <v>Gene2309-tree</v>
      </c>
      <c r="X136">
        <v>39</v>
      </c>
      <c r="Y136">
        <v>3</v>
      </c>
      <c r="Z136">
        <v>2</v>
      </c>
      <c r="AA136">
        <v>3</v>
      </c>
      <c r="AB136">
        <v>0.6</v>
      </c>
      <c r="AC136" t="s">
        <v>13389</v>
      </c>
      <c r="AD136" t="s">
        <v>324</v>
      </c>
      <c r="AE136" t="s">
        <v>62</v>
      </c>
      <c r="AF136" t="s">
        <v>62</v>
      </c>
      <c r="AG136">
        <v>0</v>
      </c>
      <c r="AH136">
        <v>0</v>
      </c>
      <c r="AI136">
        <v>7</v>
      </c>
      <c r="AJ136">
        <v>0</v>
      </c>
      <c r="AK136">
        <v>0</v>
      </c>
      <c r="AL136">
        <v>0</v>
      </c>
      <c r="AM136">
        <v>0</v>
      </c>
      <c r="AN136">
        <v>3</v>
      </c>
      <c r="AO136">
        <v>0</v>
      </c>
      <c r="AP136">
        <v>0</v>
      </c>
      <c r="AQ136">
        <v>0</v>
      </c>
      <c r="AR136">
        <v>0</v>
      </c>
      <c r="AS136">
        <v>4</v>
      </c>
      <c r="AT136">
        <v>0</v>
      </c>
      <c r="AU136">
        <v>3</v>
      </c>
      <c r="AV136">
        <v>1</v>
      </c>
      <c r="AW136">
        <v>5</v>
      </c>
      <c r="AX136">
        <v>4</v>
      </c>
      <c r="AY136">
        <v>0</v>
      </c>
      <c r="AZ136">
        <v>3</v>
      </c>
      <c r="BA136" t="s">
        <v>13390</v>
      </c>
      <c r="BB136" t="s">
        <v>193</v>
      </c>
      <c r="BC136">
        <v>1.42</v>
      </c>
      <c r="BD136" t="s">
        <v>65</v>
      </c>
      <c r="BE136">
        <v>5</v>
      </c>
      <c r="BF136">
        <v>7</v>
      </c>
      <c r="BG136" t="s">
        <v>13391</v>
      </c>
      <c r="BH136" t="s">
        <v>13392</v>
      </c>
      <c r="BI136" t="s">
        <v>13393</v>
      </c>
      <c r="BJ136">
        <v>0.47748000000000002</v>
      </c>
      <c r="BK136">
        <v>0.78900000000000003</v>
      </c>
      <c r="BL136" t="s">
        <v>635</v>
      </c>
      <c r="BM136">
        <v>-1.706</v>
      </c>
      <c r="BN136">
        <v>1.4770000000000001</v>
      </c>
    </row>
    <row r="137" spans="2:66">
      <c r="B137">
        <v>249</v>
      </c>
      <c r="C137">
        <v>21</v>
      </c>
      <c r="D137">
        <v>0</v>
      </c>
      <c r="E137">
        <v>8</v>
      </c>
      <c r="F137">
        <v>0</v>
      </c>
      <c r="J137">
        <v>0</v>
      </c>
      <c r="K137">
        <v>6</v>
      </c>
      <c r="L137">
        <v>2</v>
      </c>
      <c r="M137" t="s">
        <v>25022</v>
      </c>
      <c r="N137">
        <v>2311</v>
      </c>
      <c r="O137" t="s">
        <v>13397</v>
      </c>
      <c r="P137" t="s">
        <v>62</v>
      </c>
      <c r="Q137">
        <v>2330078</v>
      </c>
      <c r="R137">
        <v>2331232</v>
      </c>
      <c r="S137" t="s">
        <v>13398</v>
      </c>
      <c r="T137">
        <v>385</v>
      </c>
      <c r="U137" t="s">
        <v>108</v>
      </c>
      <c r="V137">
        <v>44</v>
      </c>
      <c r="W137" t="str">
        <f>HYPERLINK("Gene2311-zp_tree_all.dnd", "Gene2311-tree")</f>
        <v>Gene2311-tree</v>
      </c>
      <c r="X137">
        <v>7</v>
      </c>
      <c r="Y137">
        <v>7</v>
      </c>
      <c r="Z137">
        <v>7</v>
      </c>
      <c r="AA137">
        <v>7</v>
      </c>
      <c r="AB137">
        <v>0.5</v>
      </c>
      <c r="AC137" t="s">
        <v>152</v>
      </c>
      <c r="AD137" t="s">
        <v>152</v>
      </c>
      <c r="AE137" t="s">
        <v>62</v>
      </c>
      <c r="AF137" t="s">
        <v>62</v>
      </c>
      <c r="AG137">
        <v>3</v>
      </c>
      <c r="AH137">
        <v>8</v>
      </c>
      <c r="AI137">
        <v>4</v>
      </c>
      <c r="AJ137">
        <v>0.66666999999999998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</v>
      </c>
      <c r="AQ137">
        <v>2</v>
      </c>
      <c r="AR137">
        <v>4</v>
      </c>
      <c r="AS137">
        <v>5</v>
      </c>
      <c r="AT137">
        <v>0.44444</v>
      </c>
      <c r="AU137">
        <v>14</v>
      </c>
      <c r="AV137">
        <v>9</v>
      </c>
      <c r="AW137">
        <v>45</v>
      </c>
      <c r="AX137">
        <v>9</v>
      </c>
      <c r="AY137">
        <v>28</v>
      </c>
      <c r="AZ137">
        <v>3</v>
      </c>
      <c r="BA137" t="s">
        <v>13399</v>
      </c>
      <c r="BB137" t="s">
        <v>13400</v>
      </c>
      <c r="BC137">
        <v>0.72399999999999998</v>
      </c>
      <c r="BD137" t="s">
        <v>65</v>
      </c>
      <c r="BE137">
        <v>73</v>
      </c>
      <c r="BF137">
        <v>12</v>
      </c>
      <c r="BG137" t="s">
        <v>13401</v>
      </c>
      <c r="BH137" t="s">
        <v>13402</v>
      </c>
      <c r="BI137" t="s">
        <v>5005</v>
      </c>
      <c r="BJ137">
        <v>3.8679999999999999E-2</v>
      </c>
      <c r="BK137">
        <v>1</v>
      </c>
      <c r="BL137" t="s">
        <v>69</v>
      </c>
      <c r="BM137">
        <v>-3.2000000000000001E-2</v>
      </c>
      <c r="BN137">
        <v>-0.24</v>
      </c>
    </row>
    <row r="138" spans="2:66">
      <c r="B138">
        <v>251</v>
      </c>
      <c r="C138">
        <v>87</v>
      </c>
      <c r="D138">
        <v>0</v>
      </c>
      <c r="E138">
        <v>2</v>
      </c>
      <c r="F138">
        <v>4</v>
      </c>
      <c r="J138">
        <v>0</v>
      </c>
      <c r="K138">
        <v>0</v>
      </c>
      <c r="L138">
        <v>0</v>
      </c>
      <c r="M138" t="s">
        <v>25022</v>
      </c>
      <c r="N138">
        <v>2312</v>
      </c>
      <c r="O138" t="s">
        <v>13403</v>
      </c>
      <c r="P138" t="s">
        <v>62</v>
      </c>
      <c r="Q138">
        <v>2331782</v>
      </c>
      <c r="R138">
        <v>2332075</v>
      </c>
      <c r="S138" t="s">
        <v>13404</v>
      </c>
      <c r="T138">
        <v>98</v>
      </c>
      <c r="U138" t="s">
        <v>59</v>
      </c>
      <c r="V138">
        <v>49</v>
      </c>
      <c r="W138" t="str">
        <f>HYPERLINK("Gene2312-zp_tree_all.dnd", "Gene2312-tree")</f>
        <v>Gene2312-tree</v>
      </c>
      <c r="X138">
        <v>42</v>
      </c>
      <c r="Y138">
        <v>0</v>
      </c>
      <c r="Z138">
        <v>10</v>
      </c>
      <c r="AA138">
        <v>0</v>
      </c>
      <c r="AB138">
        <v>0</v>
      </c>
      <c r="AC138" t="s">
        <v>13405</v>
      </c>
      <c r="AD138" t="s">
        <v>62</v>
      </c>
      <c r="AE138" t="s">
        <v>62</v>
      </c>
      <c r="AF138" t="s">
        <v>62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</v>
      </c>
      <c r="AV138">
        <v>5</v>
      </c>
      <c r="AW138">
        <v>5</v>
      </c>
      <c r="AX138">
        <v>0</v>
      </c>
      <c r="AY138">
        <v>8</v>
      </c>
      <c r="AZ138">
        <v>0</v>
      </c>
      <c r="BA138" t="s">
        <v>193</v>
      </c>
      <c r="BB138" t="s">
        <v>193</v>
      </c>
      <c r="BC138">
        <v>0</v>
      </c>
      <c r="BD138" t="s">
        <v>65</v>
      </c>
      <c r="BE138">
        <v>13</v>
      </c>
      <c r="BF138">
        <v>0</v>
      </c>
      <c r="BG138" t="s">
        <v>13406</v>
      </c>
      <c r="BH138" t="s">
        <v>13407</v>
      </c>
      <c r="BI138" t="s">
        <v>193</v>
      </c>
      <c r="BJ138">
        <v>0</v>
      </c>
      <c r="BK138">
        <v>1</v>
      </c>
      <c r="BL138" t="s">
        <v>69</v>
      </c>
      <c r="BM138">
        <v>-1.151</v>
      </c>
      <c r="BN138">
        <v>-0.67400000000000004</v>
      </c>
    </row>
    <row r="139" spans="2:66">
      <c r="B139">
        <v>252</v>
      </c>
      <c r="C139">
        <v>188</v>
      </c>
      <c r="D139">
        <v>0</v>
      </c>
      <c r="E139">
        <v>14</v>
      </c>
      <c r="F139">
        <v>3</v>
      </c>
      <c r="J139">
        <v>0</v>
      </c>
      <c r="K139">
        <v>8</v>
      </c>
      <c r="L139">
        <v>0</v>
      </c>
      <c r="M139" t="s">
        <v>25022</v>
      </c>
      <c r="N139">
        <v>2313</v>
      </c>
      <c r="O139" t="s">
        <v>13408</v>
      </c>
      <c r="P139" t="s">
        <v>62</v>
      </c>
      <c r="Q139">
        <v>2332156</v>
      </c>
      <c r="R139">
        <v>2332782</v>
      </c>
      <c r="S139" t="s">
        <v>116</v>
      </c>
      <c r="T139">
        <v>209</v>
      </c>
      <c r="U139" t="s">
        <v>108</v>
      </c>
      <c r="V139">
        <v>44</v>
      </c>
      <c r="W139" t="str">
        <f>HYPERLINK("Gene2313-zp_tree_all.dnd", "Gene2313-tree")</f>
        <v>Gene2313-tree</v>
      </c>
      <c r="X139">
        <v>3</v>
      </c>
      <c r="Y139">
        <v>11</v>
      </c>
      <c r="Z139">
        <v>3</v>
      </c>
      <c r="AA139">
        <v>11</v>
      </c>
      <c r="AB139">
        <v>0.78571000000000002</v>
      </c>
      <c r="AC139" t="s">
        <v>324</v>
      </c>
      <c r="AD139" t="s">
        <v>73</v>
      </c>
      <c r="AE139">
        <v>305230034.74400002</v>
      </c>
      <c r="AF139" t="s">
        <v>267</v>
      </c>
      <c r="AG139">
        <v>3</v>
      </c>
      <c r="AH139">
        <v>8</v>
      </c>
      <c r="AI139">
        <v>14</v>
      </c>
      <c r="AJ139">
        <v>0.36364000000000002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6</v>
      </c>
      <c r="AQ139">
        <v>0</v>
      </c>
      <c r="AR139">
        <v>6</v>
      </c>
      <c r="AS139">
        <v>12</v>
      </c>
      <c r="AT139">
        <v>0.33333000000000002</v>
      </c>
      <c r="AU139">
        <v>12</v>
      </c>
      <c r="AV139">
        <v>6</v>
      </c>
      <c r="AW139">
        <v>14</v>
      </c>
      <c r="AX139">
        <v>14</v>
      </c>
      <c r="AY139">
        <v>9</v>
      </c>
      <c r="AZ139">
        <v>8</v>
      </c>
      <c r="BA139" t="s">
        <v>13409</v>
      </c>
      <c r="BB139" t="s">
        <v>13410</v>
      </c>
      <c r="BC139">
        <v>0.222</v>
      </c>
      <c r="BD139" t="s">
        <v>65</v>
      </c>
      <c r="BE139">
        <v>23</v>
      </c>
      <c r="BF139">
        <v>22</v>
      </c>
      <c r="BG139" t="s">
        <v>13411</v>
      </c>
      <c r="BH139" t="s">
        <v>13412</v>
      </c>
      <c r="BI139" t="s">
        <v>13413</v>
      </c>
      <c r="BJ139">
        <v>0.27782000000000001</v>
      </c>
      <c r="BK139">
        <v>1</v>
      </c>
      <c r="BL139" t="s">
        <v>69</v>
      </c>
      <c r="BM139">
        <v>-0.68</v>
      </c>
      <c r="BN139">
        <v>-0.6</v>
      </c>
    </row>
    <row r="140" spans="2:66">
      <c r="B140">
        <v>254</v>
      </c>
      <c r="C140">
        <v>299</v>
      </c>
      <c r="D140">
        <v>0</v>
      </c>
      <c r="E140">
        <v>8</v>
      </c>
      <c r="F140">
        <v>2</v>
      </c>
      <c r="J140">
        <v>0</v>
      </c>
      <c r="K140">
        <v>0</v>
      </c>
      <c r="L140">
        <v>0</v>
      </c>
      <c r="M140" t="s">
        <v>25022</v>
      </c>
      <c r="N140">
        <v>2314</v>
      </c>
      <c r="O140" t="s">
        <v>13414</v>
      </c>
      <c r="P140" t="s">
        <v>62</v>
      </c>
      <c r="Q140">
        <v>2332787</v>
      </c>
      <c r="R140">
        <v>2333011</v>
      </c>
      <c r="S140" t="s">
        <v>13415</v>
      </c>
      <c r="T140">
        <v>75</v>
      </c>
      <c r="U140" t="s">
        <v>59</v>
      </c>
      <c r="V140">
        <v>49</v>
      </c>
      <c r="W140" t="str">
        <f>HYPERLINK("Gene2314-zp_tree_all.dnd", "Gene2314-tree")</f>
        <v>Gene2314-tree</v>
      </c>
      <c r="X140">
        <v>37</v>
      </c>
      <c r="Y140">
        <v>3</v>
      </c>
      <c r="Z140">
        <v>1</v>
      </c>
      <c r="AA140">
        <v>3</v>
      </c>
      <c r="AB140">
        <v>0.75</v>
      </c>
      <c r="AC140" t="s">
        <v>175</v>
      </c>
      <c r="AD140" t="s">
        <v>324</v>
      </c>
      <c r="AE140" t="s">
        <v>62</v>
      </c>
      <c r="AF140" t="s">
        <v>62</v>
      </c>
      <c r="AG140">
        <v>0</v>
      </c>
      <c r="AH140">
        <v>0</v>
      </c>
      <c r="AI140">
        <v>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3</v>
      </c>
      <c r="AT140">
        <v>0</v>
      </c>
      <c r="AU140">
        <v>3</v>
      </c>
      <c r="AV140">
        <v>1</v>
      </c>
      <c r="AW140">
        <v>9</v>
      </c>
      <c r="AX140">
        <v>3</v>
      </c>
      <c r="AY140">
        <v>1</v>
      </c>
      <c r="AZ140">
        <v>0</v>
      </c>
      <c r="BA140" t="s">
        <v>13416</v>
      </c>
      <c r="BB140" t="s">
        <v>193</v>
      </c>
      <c r="BC140">
        <v>1.1850000000000001</v>
      </c>
      <c r="BD140" t="s">
        <v>65</v>
      </c>
      <c r="BE140">
        <v>10</v>
      </c>
      <c r="BF140">
        <v>3</v>
      </c>
      <c r="BG140" t="s">
        <v>13417</v>
      </c>
      <c r="BH140" t="s">
        <v>13418</v>
      </c>
      <c r="BI140" t="s">
        <v>13419</v>
      </c>
      <c r="BJ140">
        <v>6.1289999999999997E-2</v>
      </c>
      <c r="BK140">
        <v>1</v>
      </c>
      <c r="BL140" t="s">
        <v>69</v>
      </c>
      <c r="BM140">
        <v>-1.3029999999999999</v>
      </c>
      <c r="BN140">
        <v>1.5109999999999999</v>
      </c>
    </row>
    <row r="141" spans="2:66">
      <c r="B141">
        <v>255</v>
      </c>
      <c r="C141">
        <v>40</v>
      </c>
      <c r="D141">
        <v>0</v>
      </c>
      <c r="E141">
        <v>4</v>
      </c>
      <c r="F141">
        <v>0</v>
      </c>
      <c r="J141">
        <v>0</v>
      </c>
      <c r="K141">
        <v>0</v>
      </c>
      <c r="L141">
        <v>0</v>
      </c>
      <c r="M141" t="s">
        <v>25022</v>
      </c>
      <c r="N141">
        <v>2315</v>
      </c>
      <c r="O141" t="s">
        <v>13420</v>
      </c>
      <c r="P141" t="s">
        <v>62</v>
      </c>
      <c r="Q141">
        <v>2333098</v>
      </c>
      <c r="R141">
        <v>2333223</v>
      </c>
      <c r="S141" t="s">
        <v>13421</v>
      </c>
      <c r="T141">
        <v>42</v>
      </c>
      <c r="U141" t="s">
        <v>59</v>
      </c>
      <c r="V141">
        <v>49</v>
      </c>
      <c r="W141" t="str">
        <f>HYPERLINK("Gene2315-zp_tree_all.dnd", "Gene2315-tree")</f>
        <v>Gene2315-tree</v>
      </c>
      <c r="X141">
        <v>3</v>
      </c>
      <c r="Y141">
        <v>1</v>
      </c>
      <c r="Z141">
        <v>3</v>
      </c>
      <c r="AA141">
        <v>1</v>
      </c>
      <c r="AB141">
        <v>0.25</v>
      </c>
      <c r="AC141" t="s">
        <v>324</v>
      </c>
      <c r="AD141" t="s">
        <v>175</v>
      </c>
      <c r="AE141" t="s">
        <v>62</v>
      </c>
      <c r="AF141" t="s">
        <v>62</v>
      </c>
      <c r="AG141">
        <v>0</v>
      </c>
      <c r="AH141">
        <v>0</v>
      </c>
      <c r="AI141">
        <v>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0</v>
      </c>
      <c r="AU141">
        <v>3</v>
      </c>
      <c r="AV141">
        <v>0</v>
      </c>
      <c r="AW141">
        <v>5</v>
      </c>
      <c r="AX141">
        <v>2</v>
      </c>
      <c r="AY141">
        <v>0</v>
      </c>
      <c r="AZ141">
        <v>0</v>
      </c>
      <c r="BA141" t="s">
        <v>13422</v>
      </c>
      <c r="BB141" t="s">
        <v>193</v>
      </c>
      <c r="BC141">
        <v>0.83099999999999996</v>
      </c>
      <c r="BD141" t="s">
        <v>65</v>
      </c>
      <c r="BE141">
        <v>5</v>
      </c>
      <c r="BF141">
        <v>2</v>
      </c>
      <c r="BG141" t="s">
        <v>13423</v>
      </c>
      <c r="BH141" t="s">
        <v>13424</v>
      </c>
      <c r="BI141" t="s">
        <v>13425</v>
      </c>
      <c r="BJ141">
        <v>0.10119</v>
      </c>
      <c r="BK141">
        <v>0.98799999999999999</v>
      </c>
      <c r="BL141" t="s">
        <v>69</v>
      </c>
      <c r="BM141">
        <v>-1.0760000000000001</v>
      </c>
      <c r="BN141">
        <v>-0.308</v>
      </c>
    </row>
    <row r="142" spans="2:66">
      <c r="B142">
        <v>256</v>
      </c>
      <c r="C142">
        <v>60</v>
      </c>
      <c r="D142">
        <v>0</v>
      </c>
      <c r="E142">
        <v>15</v>
      </c>
      <c r="F142">
        <v>3</v>
      </c>
      <c r="J142">
        <v>0</v>
      </c>
      <c r="K142">
        <v>0</v>
      </c>
      <c r="L142">
        <v>0</v>
      </c>
      <c r="M142" t="s">
        <v>25022</v>
      </c>
      <c r="N142">
        <v>2316</v>
      </c>
      <c r="O142" t="s">
        <v>13426</v>
      </c>
      <c r="P142" t="s">
        <v>62</v>
      </c>
      <c r="Q142">
        <v>2334584</v>
      </c>
      <c r="R142">
        <v>2336830</v>
      </c>
      <c r="S142" t="s">
        <v>4851</v>
      </c>
      <c r="T142">
        <v>749</v>
      </c>
      <c r="U142" t="s">
        <v>108</v>
      </c>
      <c r="V142">
        <v>44</v>
      </c>
      <c r="W142" t="str">
        <f>HYPERLINK("Gene2316-zp_tree_all.dnd", "Gene2316-tree")</f>
        <v>Gene2316-tree</v>
      </c>
      <c r="X142">
        <v>7</v>
      </c>
      <c r="Y142">
        <v>7</v>
      </c>
      <c r="Z142">
        <v>7</v>
      </c>
      <c r="AA142">
        <v>7</v>
      </c>
      <c r="AB142">
        <v>0.5</v>
      </c>
      <c r="AC142" t="s">
        <v>152</v>
      </c>
      <c r="AD142" t="s">
        <v>152</v>
      </c>
      <c r="AE142" t="s">
        <v>62</v>
      </c>
      <c r="AF142" t="s">
        <v>62</v>
      </c>
      <c r="AG142">
        <v>0</v>
      </c>
      <c r="AH142">
        <v>0</v>
      </c>
      <c r="AI142">
        <v>17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14</v>
      </c>
      <c r="AT142">
        <v>0</v>
      </c>
      <c r="AU142">
        <v>13</v>
      </c>
      <c r="AV142">
        <v>9</v>
      </c>
      <c r="AW142">
        <v>66</v>
      </c>
      <c r="AX142">
        <v>14</v>
      </c>
      <c r="AY142">
        <v>19</v>
      </c>
      <c r="AZ142">
        <v>3</v>
      </c>
      <c r="BA142" t="s">
        <v>13427</v>
      </c>
      <c r="BB142" t="s">
        <v>13428</v>
      </c>
      <c r="BC142">
        <v>0.214</v>
      </c>
      <c r="BD142" t="s">
        <v>65</v>
      </c>
      <c r="BE142">
        <v>85</v>
      </c>
      <c r="BF142">
        <v>17</v>
      </c>
      <c r="BG142" t="s">
        <v>13429</v>
      </c>
      <c r="BH142" t="s">
        <v>13430</v>
      </c>
      <c r="BI142" t="s">
        <v>13431</v>
      </c>
      <c r="BJ142">
        <v>7.3529999999999998E-2</v>
      </c>
      <c r="BK142">
        <v>1</v>
      </c>
      <c r="BL142" t="s">
        <v>69</v>
      </c>
      <c r="BM142">
        <v>-1.123</v>
      </c>
      <c r="BN142">
        <v>-1.871</v>
      </c>
    </row>
    <row r="143" spans="2:66">
      <c r="B143">
        <v>257</v>
      </c>
      <c r="C143">
        <v>166</v>
      </c>
      <c r="D143">
        <v>0</v>
      </c>
      <c r="E143">
        <v>12</v>
      </c>
      <c r="F143">
        <v>3</v>
      </c>
      <c r="J143">
        <v>0</v>
      </c>
      <c r="K143">
        <v>0</v>
      </c>
      <c r="L143">
        <v>0</v>
      </c>
      <c r="M143" t="s">
        <v>25022</v>
      </c>
      <c r="N143">
        <v>2317</v>
      </c>
      <c r="O143" t="s">
        <v>13432</v>
      </c>
      <c r="P143" t="s">
        <v>62</v>
      </c>
      <c r="Q143">
        <v>2336936</v>
      </c>
      <c r="R143">
        <v>2337439</v>
      </c>
      <c r="S143" t="s">
        <v>13433</v>
      </c>
      <c r="T143">
        <v>168</v>
      </c>
      <c r="U143" t="s">
        <v>108</v>
      </c>
      <c r="V143">
        <v>44</v>
      </c>
      <c r="W143" t="str">
        <f>HYPERLINK("Gene2317-zp_tree_all.dnd", "Gene2317-tree")</f>
        <v>Gene2317-tree</v>
      </c>
      <c r="X143">
        <v>4</v>
      </c>
      <c r="Y143">
        <v>5</v>
      </c>
      <c r="Z143">
        <v>4</v>
      </c>
      <c r="AA143">
        <v>5</v>
      </c>
      <c r="AB143">
        <v>0.55556000000000005</v>
      </c>
      <c r="AC143" t="s">
        <v>61</v>
      </c>
      <c r="AD143" t="s">
        <v>199</v>
      </c>
      <c r="AE143" t="s">
        <v>62</v>
      </c>
      <c r="AF143" t="s">
        <v>62</v>
      </c>
      <c r="AG143">
        <v>0</v>
      </c>
      <c r="AH143">
        <v>0</v>
      </c>
      <c r="AI143">
        <v>7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7</v>
      </c>
      <c r="AT143">
        <v>0</v>
      </c>
      <c r="AU143">
        <v>5</v>
      </c>
      <c r="AV143">
        <v>5</v>
      </c>
      <c r="AW143">
        <v>8</v>
      </c>
      <c r="AX143">
        <v>4</v>
      </c>
      <c r="AY143">
        <v>3</v>
      </c>
      <c r="AZ143">
        <v>3</v>
      </c>
      <c r="BA143" t="s">
        <v>13434</v>
      </c>
      <c r="BB143" t="s">
        <v>13435</v>
      </c>
      <c r="BC143">
        <v>0.61199999999999999</v>
      </c>
      <c r="BD143" t="s">
        <v>65</v>
      </c>
      <c r="BE143">
        <v>11</v>
      </c>
      <c r="BF143">
        <v>7</v>
      </c>
      <c r="BG143" t="s">
        <v>13436</v>
      </c>
      <c r="BH143" t="s">
        <v>13437</v>
      </c>
      <c r="BI143" t="s">
        <v>13438</v>
      </c>
      <c r="BJ143">
        <v>0.24623999999999999</v>
      </c>
      <c r="BK143">
        <v>0.96899999999999997</v>
      </c>
      <c r="BL143" t="s">
        <v>69</v>
      </c>
      <c r="BM143">
        <v>-0.51500000000000001</v>
      </c>
      <c r="BN143">
        <v>-2.0179999999999998</v>
      </c>
    </row>
    <row r="144" spans="2:66">
      <c r="B144">
        <v>258</v>
      </c>
      <c r="C144">
        <v>224</v>
      </c>
      <c r="D144">
        <v>0</v>
      </c>
      <c r="E144">
        <v>8</v>
      </c>
      <c r="F144">
        <v>1</v>
      </c>
      <c r="J144">
        <v>0</v>
      </c>
      <c r="K144">
        <v>0</v>
      </c>
      <c r="L144">
        <v>0</v>
      </c>
      <c r="M144" t="s">
        <v>25022</v>
      </c>
      <c r="N144">
        <v>2319</v>
      </c>
      <c r="O144" t="s">
        <v>13445</v>
      </c>
      <c r="P144" t="s">
        <v>62</v>
      </c>
      <c r="Q144">
        <v>2338020</v>
      </c>
      <c r="R144">
        <v>2338394</v>
      </c>
      <c r="S144" t="s">
        <v>13446</v>
      </c>
      <c r="T144">
        <v>125</v>
      </c>
      <c r="U144" t="s">
        <v>108</v>
      </c>
      <c r="V144">
        <v>44</v>
      </c>
      <c r="W144" t="str">
        <f>HYPERLINK("Gene2319-zp_tree_all.dnd", "Gene2319-tree")</f>
        <v>Gene2319-tree</v>
      </c>
      <c r="X144">
        <v>4</v>
      </c>
      <c r="Y144">
        <v>2</v>
      </c>
      <c r="Z144">
        <v>4</v>
      </c>
      <c r="AA144">
        <v>2</v>
      </c>
      <c r="AB144">
        <v>0.33333000000000002</v>
      </c>
      <c r="AC144" t="s">
        <v>61</v>
      </c>
      <c r="AD144" t="s">
        <v>81</v>
      </c>
      <c r="AE144" t="s">
        <v>62</v>
      </c>
      <c r="AF144" t="s">
        <v>62</v>
      </c>
      <c r="AG144">
        <v>0</v>
      </c>
      <c r="AH144">
        <v>0</v>
      </c>
      <c r="AI144">
        <v>3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0</v>
      </c>
      <c r="AU144">
        <v>3</v>
      </c>
      <c r="AV144">
        <v>2</v>
      </c>
      <c r="AW144">
        <v>3</v>
      </c>
      <c r="AX144">
        <v>1</v>
      </c>
      <c r="AY144">
        <v>1</v>
      </c>
      <c r="AZ144">
        <v>2</v>
      </c>
      <c r="BA144" t="s">
        <v>13447</v>
      </c>
      <c r="BB144" t="s">
        <v>13448</v>
      </c>
      <c r="BC144">
        <v>1.1100000000000001</v>
      </c>
      <c r="BD144" t="s">
        <v>65</v>
      </c>
      <c r="BE144">
        <v>4</v>
      </c>
      <c r="BF144">
        <v>3</v>
      </c>
      <c r="BG144" t="s">
        <v>13449</v>
      </c>
      <c r="BH144" t="s">
        <v>13450</v>
      </c>
      <c r="BI144" t="s">
        <v>13451</v>
      </c>
      <c r="BJ144">
        <v>0.23491000000000001</v>
      </c>
      <c r="BK144">
        <v>0.89200000000000002</v>
      </c>
      <c r="BL144" t="s">
        <v>635</v>
      </c>
      <c r="BM144">
        <v>0.57199999999999995</v>
      </c>
      <c r="BN144">
        <v>1.25</v>
      </c>
    </row>
    <row r="145" spans="2:66">
      <c r="B145">
        <v>260</v>
      </c>
      <c r="C145">
        <v>5</v>
      </c>
      <c r="D145">
        <v>0</v>
      </c>
      <c r="E145">
        <v>2</v>
      </c>
      <c r="F145">
        <v>0</v>
      </c>
      <c r="J145">
        <v>0</v>
      </c>
      <c r="K145">
        <v>2</v>
      </c>
      <c r="L145">
        <v>0</v>
      </c>
      <c r="M145" t="s">
        <v>25022</v>
      </c>
      <c r="N145">
        <v>2321</v>
      </c>
      <c r="O145" t="s">
        <v>13457</v>
      </c>
      <c r="P145" t="s">
        <v>62</v>
      </c>
      <c r="Q145">
        <v>2338812</v>
      </c>
      <c r="R145">
        <v>2339180</v>
      </c>
      <c r="S145" t="s">
        <v>116</v>
      </c>
      <c r="T145">
        <v>123</v>
      </c>
      <c r="U145" t="s">
        <v>108</v>
      </c>
      <c r="V145">
        <v>44</v>
      </c>
      <c r="W145" t="str">
        <f>HYPERLINK("Gene2321-zp_tree_all.dnd", "Gene2321-tree")</f>
        <v>Gene2321-tree</v>
      </c>
      <c r="X145">
        <v>7</v>
      </c>
      <c r="Y145">
        <v>3</v>
      </c>
      <c r="Z145">
        <v>7</v>
      </c>
      <c r="AA145">
        <v>3</v>
      </c>
      <c r="AB145">
        <v>0.3</v>
      </c>
      <c r="AC145" t="s">
        <v>152</v>
      </c>
      <c r="AD145" t="s">
        <v>324</v>
      </c>
      <c r="AE145" t="s">
        <v>62</v>
      </c>
      <c r="AF145" t="s">
        <v>62</v>
      </c>
      <c r="AG145">
        <v>1</v>
      </c>
      <c r="AH145">
        <v>2</v>
      </c>
      <c r="AI145">
        <v>6</v>
      </c>
      <c r="AJ145">
        <v>0.25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</v>
      </c>
      <c r="AT145">
        <v>0</v>
      </c>
      <c r="AU145">
        <v>6</v>
      </c>
      <c r="AV145">
        <v>5</v>
      </c>
      <c r="AW145">
        <v>9</v>
      </c>
      <c r="AX145">
        <v>6</v>
      </c>
      <c r="AY145">
        <v>7</v>
      </c>
      <c r="AZ145">
        <v>3</v>
      </c>
      <c r="BA145" t="s">
        <v>13458</v>
      </c>
      <c r="BB145" t="s">
        <v>13459</v>
      </c>
      <c r="BC145">
        <v>0.33100000000000002</v>
      </c>
      <c r="BD145" t="s">
        <v>65</v>
      </c>
      <c r="BE145">
        <v>16</v>
      </c>
      <c r="BF145">
        <v>9</v>
      </c>
      <c r="BG145" t="s">
        <v>13460</v>
      </c>
      <c r="BH145" t="s">
        <v>13461</v>
      </c>
      <c r="BI145" t="s">
        <v>13462</v>
      </c>
      <c r="BJ145">
        <v>0.1353</v>
      </c>
      <c r="BK145">
        <v>1</v>
      </c>
      <c r="BL145" t="s">
        <v>69</v>
      </c>
      <c r="BM145">
        <v>-0.57599999999999996</v>
      </c>
      <c r="BN145">
        <v>0.91400000000000003</v>
      </c>
    </row>
    <row r="146" spans="2:66">
      <c r="B146">
        <v>261</v>
      </c>
      <c r="C146">
        <v>181</v>
      </c>
      <c r="D146">
        <v>0</v>
      </c>
      <c r="E146">
        <v>4</v>
      </c>
      <c r="F146">
        <v>1</v>
      </c>
      <c r="J146">
        <v>0</v>
      </c>
      <c r="K146">
        <v>0</v>
      </c>
      <c r="L146">
        <v>0</v>
      </c>
      <c r="M146" t="s">
        <v>25022</v>
      </c>
      <c r="N146">
        <v>2322</v>
      </c>
      <c r="O146" t="s">
        <v>13463</v>
      </c>
      <c r="P146" t="s">
        <v>62</v>
      </c>
      <c r="Q146">
        <v>2339229</v>
      </c>
      <c r="R146">
        <v>2339471</v>
      </c>
      <c r="S146" t="s">
        <v>12093</v>
      </c>
      <c r="T146">
        <v>81</v>
      </c>
      <c r="U146" t="s">
        <v>108</v>
      </c>
      <c r="V146">
        <v>44</v>
      </c>
      <c r="W146" t="str">
        <f>HYPERLINK("Gene2322-zp_tree_all.dnd", "Gene2322-tree")</f>
        <v>Gene2322-tree</v>
      </c>
      <c r="X146">
        <v>7</v>
      </c>
      <c r="Y146">
        <v>2</v>
      </c>
      <c r="Z146">
        <v>7</v>
      </c>
      <c r="AA146">
        <v>2</v>
      </c>
      <c r="AB146">
        <v>0.22222</v>
      </c>
      <c r="AC146" t="s">
        <v>152</v>
      </c>
      <c r="AD146" t="s">
        <v>81</v>
      </c>
      <c r="AE146" t="s">
        <v>62</v>
      </c>
      <c r="AF146" t="s">
        <v>62</v>
      </c>
      <c r="AG146">
        <v>0</v>
      </c>
      <c r="AH146">
        <v>0</v>
      </c>
      <c r="AI146">
        <v>3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5</v>
      </c>
      <c r="AV146">
        <v>3</v>
      </c>
      <c r="AW146">
        <v>6</v>
      </c>
      <c r="AX146">
        <v>1</v>
      </c>
      <c r="AY146">
        <v>3</v>
      </c>
      <c r="AZ146">
        <v>2</v>
      </c>
      <c r="BA146" t="s">
        <v>13464</v>
      </c>
      <c r="BB146" t="s">
        <v>13465</v>
      </c>
      <c r="BC146">
        <v>0.89700000000000002</v>
      </c>
      <c r="BD146" t="s">
        <v>65</v>
      </c>
      <c r="BE146">
        <v>9</v>
      </c>
      <c r="BF146">
        <v>3</v>
      </c>
      <c r="BG146" t="s">
        <v>13466</v>
      </c>
      <c r="BH146" t="s">
        <v>13467</v>
      </c>
      <c r="BI146" t="s">
        <v>13468</v>
      </c>
      <c r="BJ146">
        <v>0.11336</v>
      </c>
      <c r="BK146">
        <v>1</v>
      </c>
      <c r="BL146" t="s">
        <v>69</v>
      </c>
      <c r="BM146">
        <v>0.20599999999999999</v>
      </c>
      <c r="BN146">
        <v>0.21</v>
      </c>
    </row>
    <row r="147" spans="2:66">
      <c r="B147">
        <v>262</v>
      </c>
      <c r="C147">
        <v>40</v>
      </c>
      <c r="D147">
        <v>0</v>
      </c>
      <c r="E147">
        <v>2</v>
      </c>
      <c r="F147">
        <v>0</v>
      </c>
      <c r="J147">
        <v>0</v>
      </c>
      <c r="K147">
        <v>12</v>
      </c>
      <c r="L147">
        <v>0</v>
      </c>
      <c r="M147" t="s">
        <v>25022</v>
      </c>
      <c r="N147">
        <v>2324</v>
      </c>
      <c r="O147" t="s">
        <v>13472</v>
      </c>
      <c r="P147" t="s">
        <v>62</v>
      </c>
      <c r="Q147">
        <v>2339802</v>
      </c>
      <c r="R147">
        <v>2340761</v>
      </c>
      <c r="S147" t="s">
        <v>116</v>
      </c>
      <c r="T147">
        <v>320</v>
      </c>
      <c r="U147" t="s">
        <v>108</v>
      </c>
      <c r="V147">
        <v>44</v>
      </c>
      <c r="W147" t="str">
        <f>HYPERLINK("Gene2324-zp_tree_all.dnd", "Gene2324-tree")</f>
        <v>Gene2324-tree</v>
      </c>
      <c r="X147">
        <v>5</v>
      </c>
      <c r="Y147">
        <v>8</v>
      </c>
      <c r="Z147">
        <v>5</v>
      </c>
      <c r="AA147">
        <v>8</v>
      </c>
      <c r="AB147">
        <v>0.61538000000000004</v>
      </c>
      <c r="AC147" t="s">
        <v>199</v>
      </c>
      <c r="AD147" t="s">
        <v>136</v>
      </c>
      <c r="AE147" t="s">
        <v>62</v>
      </c>
      <c r="AF147" t="s">
        <v>62</v>
      </c>
      <c r="AG147">
        <v>6</v>
      </c>
      <c r="AH147">
        <v>12</v>
      </c>
      <c r="AI147">
        <v>9</v>
      </c>
      <c r="AJ147">
        <v>0.57142999999999999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4</v>
      </c>
      <c r="AQ147">
        <v>0</v>
      </c>
      <c r="AR147">
        <v>4</v>
      </c>
      <c r="AS147">
        <v>12</v>
      </c>
      <c r="AT147">
        <v>0.25</v>
      </c>
      <c r="AU147">
        <v>11</v>
      </c>
      <c r="AV147">
        <v>9</v>
      </c>
      <c r="AW147">
        <v>18</v>
      </c>
      <c r="AX147">
        <v>17</v>
      </c>
      <c r="AY147">
        <v>24</v>
      </c>
      <c r="AZ147">
        <v>5</v>
      </c>
      <c r="BA147" t="s">
        <v>13473</v>
      </c>
      <c r="BB147" t="s">
        <v>13474</v>
      </c>
      <c r="BC147">
        <v>1.992</v>
      </c>
      <c r="BD147" t="s">
        <v>267</v>
      </c>
      <c r="BE147">
        <v>42</v>
      </c>
      <c r="BF147">
        <v>22</v>
      </c>
      <c r="BG147" t="s">
        <v>13475</v>
      </c>
      <c r="BH147" t="s">
        <v>13476</v>
      </c>
      <c r="BI147" t="s">
        <v>13477</v>
      </c>
      <c r="BJ147">
        <v>0.13492999999999999</v>
      </c>
      <c r="BK147">
        <v>1</v>
      </c>
      <c r="BL147" t="s">
        <v>69</v>
      </c>
      <c r="BM147">
        <v>-0.51800000000000002</v>
      </c>
      <c r="BN147">
        <v>-1.3979999999999999</v>
      </c>
    </row>
    <row r="148" spans="2:66">
      <c r="B148">
        <v>263</v>
      </c>
      <c r="C148">
        <v>171</v>
      </c>
      <c r="D148">
        <v>0</v>
      </c>
      <c r="E148">
        <v>0</v>
      </c>
      <c r="F148">
        <v>2</v>
      </c>
      <c r="J148">
        <v>0</v>
      </c>
      <c r="K148">
        <v>6</v>
      </c>
      <c r="L148">
        <v>0</v>
      </c>
      <c r="M148" t="s">
        <v>25022</v>
      </c>
      <c r="N148">
        <v>2327</v>
      </c>
      <c r="O148" t="s">
        <v>13493</v>
      </c>
      <c r="P148" t="s">
        <v>62</v>
      </c>
      <c r="Q148">
        <v>2344267</v>
      </c>
      <c r="R148">
        <v>2344758</v>
      </c>
      <c r="S148" t="s">
        <v>116</v>
      </c>
      <c r="T148">
        <v>164</v>
      </c>
      <c r="U148" t="s">
        <v>108</v>
      </c>
      <c r="V148">
        <v>44</v>
      </c>
      <c r="W148" t="str">
        <f>HYPERLINK("Gene2327-zp_tree_all.dnd", "Gene2327-tree")</f>
        <v>Gene2327-tree</v>
      </c>
      <c r="X148">
        <v>5</v>
      </c>
      <c r="Y148">
        <v>6</v>
      </c>
      <c r="Z148">
        <v>5</v>
      </c>
      <c r="AA148">
        <v>6</v>
      </c>
      <c r="AB148">
        <v>0.54544999999999999</v>
      </c>
      <c r="AC148" t="s">
        <v>199</v>
      </c>
      <c r="AD148" t="s">
        <v>90</v>
      </c>
      <c r="AE148" t="s">
        <v>62</v>
      </c>
      <c r="AF148" t="s">
        <v>62</v>
      </c>
      <c r="AG148">
        <v>1</v>
      </c>
      <c r="AH148">
        <v>6</v>
      </c>
      <c r="AI148">
        <v>4</v>
      </c>
      <c r="AJ148">
        <v>0.6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5</v>
      </c>
      <c r="AQ148">
        <v>0</v>
      </c>
      <c r="AR148">
        <v>5</v>
      </c>
      <c r="AS148">
        <v>3</v>
      </c>
      <c r="AT148">
        <v>0.625</v>
      </c>
      <c r="AU148">
        <v>10</v>
      </c>
      <c r="AV148">
        <v>2</v>
      </c>
      <c r="AW148">
        <v>17</v>
      </c>
      <c r="AX148">
        <v>8</v>
      </c>
      <c r="AY148">
        <v>3</v>
      </c>
      <c r="AZ148">
        <v>2</v>
      </c>
      <c r="BA148" t="s">
        <v>13494</v>
      </c>
      <c r="BB148" t="s">
        <v>13495</v>
      </c>
      <c r="BC148">
        <v>0.34899999999999998</v>
      </c>
      <c r="BD148" t="s">
        <v>65</v>
      </c>
      <c r="BE148">
        <v>20</v>
      </c>
      <c r="BF148">
        <v>10</v>
      </c>
      <c r="BG148" t="s">
        <v>13496</v>
      </c>
      <c r="BH148" t="s">
        <v>13497</v>
      </c>
      <c r="BI148" t="s">
        <v>13498</v>
      </c>
      <c r="BJ148">
        <v>8.3979999999999999E-2</v>
      </c>
      <c r="BK148">
        <v>1</v>
      </c>
      <c r="BL148" t="s">
        <v>69</v>
      </c>
      <c r="BM148">
        <v>-2.0910000000000002</v>
      </c>
      <c r="BN148">
        <v>-3.6880000000000002</v>
      </c>
    </row>
    <row r="149" spans="2:66">
      <c r="B149">
        <v>265</v>
      </c>
      <c r="C149">
        <v>94</v>
      </c>
      <c r="D149">
        <v>0</v>
      </c>
      <c r="E149">
        <v>2</v>
      </c>
      <c r="F149">
        <v>0</v>
      </c>
      <c r="J149">
        <v>0</v>
      </c>
      <c r="K149">
        <v>0</v>
      </c>
      <c r="L149">
        <v>0</v>
      </c>
      <c r="M149" t="s">
        <v>25022</v>
      </c>
      <c r="N149">
        <v>2328</v>
      </c>
      <c r="O149" t="s">
        <v>13499</v>
      </c>
      <c r="P149" t="s">
        <v>62</v>
      </c>
      <c r="Q149">
        <v>2344758</v>
      </c>
      <c r="R149">
        <v>2345414</v>
      </c>
      <c r="S149" t="s">
        <v>13500</v>
      </c>
      <c r="T149">
        <v>219</v>
      </c>
      <c r="U149" t="s">
        <v>108</v>
      </c>
      <c r="V149">
        <v>44</v>
      </c>
      <c r="W149" t="str">
        <f>HYPERLINK("Gene2328-zp_tree_all.dnd", "Gene2328-tree")</f>
        <v>Gene2328-tree</v>
      </c>
      <c r="X149">
        <v>6</v>
      </c>
      <c r="Y149">
        <v>3</v>
      </c>
      <c r="Z149">
        <v>6</v>
      </c>
      <c r="AA149">
        <v>3</v>
      </c>
      <c r="AB149">
        <v>0.33333000000000002</v>
      </c>
      <c r="AC149" t="s">
        <v>90</v>
      </c>
      <c r="AD149" t="s">
        <v>324</v>
      </c>
      <c r="AE149" t="s">
        <v>62</v>
      </c>
      <c r="AF149" t="s">
        <v>62</v>
      </c>
      <c r="AG149">
        <v>0</v>
      </c>
      <c r="AH149">
        <v>0</v>
      </c>
      <c r="AI149">
        <v>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</v>
      </c>
      <c r="AT149">
        <v>0</v>
      </c>
      <c r="AU149">
        <v>6</v>
      </c>
      <c r="AV149">
        <v>4</v>
      </c>
      <c r="AW149">
        <v>17</v>
      </c>
      <c r="AX149">
        <v>3</v>
      </c>
      <c r="AY149">
        <v>4</v>
      </c>
      <c r="AZ149">
        <v>0</v>
      </c>
      <c r="BA149" t="s">
        <v>13501</v>
      </c>
      <c r="BB149" t="s">
        <v>193</v>
      </c>
      <c r="BC149">
        <v>1.089</v>
      </c>
      <c r="BD149" t="s">
        <v>65</v>
      </c>
      <c r="BE149">
        <v>21</v>
      </c>
      <c r="BF149">
        <v>3</v>
      </c>
      <c r="BG149" t="s">
        <v>13502</v>
      </c>
      <c r="BH149" t="s">
        <v>13503</v>
      </c>
      <c r="BI149" t="s">
        <v>13504</v>
      </c>
      <c r="BJ149">
        <v>3.5400000000000001E-2</v>
      </c>
      <c r="BK149">
        <v>1</v>
      </c>
      <c r="BL149" t="s">
        <v>69</v>
      </c>
      <c r="BM149">
        <v>-1.4219999999999999</v>
      </c>
      <c r="BN149">
        <v>-2.415</v>
      </c>
    </row>
    <row r="150" spans="2:66">
      <c r="B150">
        <v>266</v>
      </c>
      <c r="C150">
        <v>116</v>
      </c>
      <c r="D150">
        <v>0</v>
      </c>
      <c r="E150">
        <v>8</v>
      </c>
      <c r="F150">
        <v>0</v>
      </c>
      <c r="J150">
        <v>0</v>
      </c>
      <c r="K150">
        <v>0</v>
      </c>
      <c r="L150">
        <v>0</v>
      </c>
      <c r="M150" t="s">
        <v>25022</v>
      </c>
      <c r="N150">
        <v>2329</v>
      </c>
      <c r="O150" t="s">
        <v>13505</v>
      </c>
      <c r="P150" t="s">
        <v>62</v>
      </c>
      <c r="Q150">
        <v>2345436</v>
      </c>
      <c r="R150">
        <v>2346131</v>
      </c>
      <c r="S150" t="s">
        <v>13506</v>
      </c>
      <c r="T150">
        <v>232</v>
      </c>
      <c r="U150" t="s">
        <v>108</v>
      </c>
      <c r="V150">
        <v>44</v>
      </c>
      <c r="W150" t="str">
        <f>HYPERLINK("Gene2329-zp_tree_all.dnd", "Gene2329-tree")</f>
        <v>Gene2329-tree</v>
      </c>
      <c r="X150">
        <v>11</v>
      </c>
      <c r="Y150">
        <v>1</v>
      </c>
      <c r="Z150">
        <v>11</v>
      </c>
      <c r="AA150">
        <v>1</v>
      </c>
      <c r="AB150">
        <v>8.3330000000000001E-2</v>
      </c>
      <c r="AC150" t="s">
        <v>73</v>
      </c>
      <c r="AD150" t="s">
        <v>175</v>
      </c>
      <c r="AE150" t="s">
        <v>62</v>
      </c>
      <c r="AF150" t="s">
        <v>62</v>
      </c>
      <c r="AG150">
        <v>0</v>
      </c>
      <c r="AH150">
        <v>0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8</v>
      </c>
      <c r="AV150">
        <v>6</v>
      </c>
      <c r="AW150">
        <v>18</v>
      </c>
      <c r="AX150">
        <v>1</v>
      </c>
      <c r="AY150">
        <v>7</v>
      </c>
      <c r="AZ150">
        <v>1</v>
      </c>
      <c r="BA150" t="s">
        <v>13507</v>
      </c>
      <c r="BB150" t="s">
        <v>13508</v>
      </c>
      <c r="BC150">
        <v>0.26500000000000001</v>
      </c>
      <c r="BD150" t="s">
        <v>65</v>
      </c>
      <c r="BE150">
        <v>25</v>
      </c>
      <c r="BF150">
        <v>2</v>
      </c>
      <c r="BG150" t="s">
        <v>13509</v>
      </c>
      <c r="BH150" t="s">
        <v>13510</v>
      </c>
      <c r="BI150" t="s">
        <v>13511</v>
      </c>
      <c r="BJ150">
        <v>2.4840000000000001E-2</v>
      </c>
      <c r="BK150">
        <v>1</v>
      </c>
      <c r="BL150" t="s">
        <v>69</v>
      </c>
      <c r="BM150">
        <v>-0.112</v>
      </c>
      <c r="BN150">
        <v>-0.72399999999999998</v>
      </c>
    </row>
    <row r="151" spans="2:66">
      <c r="B151">
        <v>267</v>
      </c>
      <c r="C151">
        <v>353</v>
      </c>
      <c r="D151">
        <v>3</v>
      </c>
      <c r="E151">
        <v>20</v>
      </c>
      <c r="F151">
        <v>4</v>
      </c>
      <c r="J151">
        <v>0</v>
      </c>
      <c r="K151">
        <v>0</v>
      </c>
      <c r="L151">
        <v>0</v>
      </c>
      <c r="M151" t="s">
        <v>25022</v>
      </c>
      <c r="N151">
        <v>2330</v>
      </c>
      <c r="O151" t="s">
        <v>13512</v>
      </c>
      <c r="P151" t="s">
        <v>62</v>
      </c>
      <c r="Q151">
        <v>2346227</v>
      </c>
      <c r="R151">
        <v>2347516</v>
      </c>
      <c r="S151" t="s">
        <v>13513</v>
      </c>
      <c r="T151">
        <v>430</v>
      </c>
      <c r="U151" t="s">
        <v>59</v>
      </c>
      <c r="V151">
        <v>49</v>
      </c>
      <c r="W151" t="str">
        <f>HYPERLINK("Gene2330-zp_tree_all.dnd", "Gene2330-tree")</f>
        <v>Gene2330-tree</v>
      </c>
      <c r="X151">
        <v>14</v>
      </c>
      <c r="Y151">
        <v>3</v>
      </c>
      <c r="Z151">
        <v>14</v>
      </c>
      <c r="AA151">
        <v>3</v>
      </c>
      <c r="AB151">
        <v>0.17646999999999999</v>
      </c>
      <c r="AC151" t="s">
        <v>543</v>
      </c>
      <c r="AD151" t="s">
        <v>324</v>
      </c>
      <c r="AE151" t="s">
        <v>62</v>
      </c>
      <c r="AF151" t="s">
        <v>62</v>
      </c>
      <c r="AG151">
        <v>0</v>
      </c>
      <c r="AH151">
        <v>0</v>
      </c>
      <c r="AI151">
        <v>11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6</v>
      </c>
      <c r="AT151">
        <v>0</v>
      </c>
      <c r="AU151">
        <v>14</v>
      </c>
      <c r="AV151">
        <v>13</v>
      </c>
      <c r="AW151">
        <v>46</v>
      </c>
      <c r="AX151">
        <v>6</v>
      </c>
      <c r="AY151">
        <v>79</v>
      </c>
      <c r="AZ151">
        <v>5</v>
      </c>
      <c r="BA151" t="s">
        <v>13514</v>
      </c>
      <c r="BB151" t="s">
        <v>13515</v>
      </c>
      <c r="BC151">
        <v>0.29799999999999999</v>
      </c>
      <c r="BD151" t="s">
        <v>65</v>
      </c>
      <c r="BE151">
        <v>125</v>
      </c>
      <c r="BF151">
        <v>11</v>
      </c>
      <c r="BG151" t="s">
        <v>13516</v>
      </c>
      <c r="BH151" t="s">
        <v>13517</v>
      </c>
      <c r="BI151" t="s">
        <v>13518</v>
      </c>
      <c r="BJ151">
        <v>2.35E-2</v>
      </c>
      <c r="BK151">
        <v>1</v>
      </c>
      <c r="BL151" t="s">
        <v>69</v>
      </c>
      <c r="BM151">
        <v>-1.333</v>
      </c>
      <c r="BN151">
        <v>-1.2130000000000001</v>
      </c>
    </row>
    <row r="152" spans="2:66">
      <c r="B152">
        <v>268</v>
      </c>
      <c r="C152">
        <v>359</v>
      </c>
      <c r="D152">
        <v>0</v>
      </c>
      <c r="E152">
        <v>2</v>
      </c>
      <c r="F152">
        <v>0</v>
      </c>
      <c r="J152">
        <v>0</v>
      </c>
      <c r="K152">
        <v>0</v>
      </c>
      <c r="L152">
        <v>0</v>
      </c>
      <c r="M152" t="s">
        <v>25022</v>
      </c>
      <c r="N152">
        <v>2331</v>
      </c>
      <c r="O152" t="s">
        <v>13519</v>
      </c>
      <c r="P152" t="s">
        <v>62</v>
      </c>
      <c r="Q152">
        <v>2347663</v>
      </c>
      <c r="R152">
        <v>2348841</v>
      </c>
      <c r="S152" t="s">
        <v>13520</v>
      </c>
      <c r="T152">
        <v>393</v>
      </c>
      <c r="U152" t="s">
        <v>108</v>
      </c>
      <c r="V152">
        <v>44</v>
      </c>
      <c r="W152" t="str">
        <f>HYPERLINK("Gene2331-zp_tree_all.dnd", "Gene2331-tree")</f>
        <v>Gene2331-tree</v>
      </c>
      <c r="X152">
        <v>7</v>
      </c>
      <c r="Y152">
        <v>6</v>
      </c>
      <c r="Z152">
        <v>7</v>
      </c>
      <c r="AA152">
        <v>6</v>
      </c>
      <c r="AB152">
        <v>0.46154000000000001</v>
      </c>
      <c r="AC152" t="s">
        <v>152</v>
      </c>
      <c r="AD152" t="s">
        <v>90</v>
      </c>
      <c r="AE152" t="s">
        <v>62</v>
      </c>
      <c r="AF152" t="s">
        <v>62</v>
      </c>
      <c r="AG152">
        <v>0</v>
      </c>
      <c r="AH152">
        <v>0</v>
      </c>
      <c r="AI152">
        <v>8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7</v>
      </c>
      <c r="AT152">
        <v>0</v>
      </c>
      <c r="AU152">
        <v>12</v>
      </c>
      <c r="AV152">
        <v>6</v>
      </c>
      <c r="AW152">
        <v>29</v>
      </c>
      <c r="AX152">
        <v>7</v>
      </c>
      <c r="AY152">
        <v>10</v>
      </c>
      <c r="AZ152">
        <v>1</v>
      </c>
      <c r="BA152" t="s">
        <v>13521</v>
      </c>
      <c r="BB152" t="s">
        <v>13522</v>
      </c>
      <c r="BC152">
        <v>0.55800000000000005</v>
      </c>
      <c r="BD152" t="s">
        <v>65</v>
      </c>
      <c r="BE152">
        <v>39</v>
      </c>
      <c r="BF152">
        <v>8</v>
      </c>
      <c r="BG152" t="s">
        <v>13523</v>
      </c>
      <c r="BH152" t="s">
        <v>13524</v>
      </c>
      <c r="BI152" t="s">
        <v>13525</v>
      </c>
      <c r="BJ152">
        <v>5.5449999999999999E-2</v>
      </c>
      <c r="BK152">
        <v>1</v>
      </c>
      <c r="BL152" t="s">
        <v>69</v>
      </c>
      <c r="BM152">
        <v>-1.129</v>
      </c>
      <c r="BN152">
        <v>-1.5640000000000001</v>
      </c>
    </row>
    <row r="153" spans="2:66">
      <c r="B153">
        <v>269</v>
      </c>
      <c r="C153">
        <v>146</v>
      </c>
      <c r="D153">
        <v>0</v>
      </c>
      <c r="E153">
        <v>7</v>
      </c>
      <c r="F153">
        <v>1</v>
      </c>
      <c r="J153">
        <v>0</v>
      </c>
      <c r="K153">
        <v>2</v>
      </c>
      <c r="L153">
        <v>4</v>
      </c>
      <c r="M153" t="s">
        <v>25022</v>
      </c>
      <c r="N153">
        <v>2332</v>
      </c>
      <c r="O153" t="s">
        <v>13526</v>
      </c>
      <c r="P153" t="s">
        <v>62</v>
      </c>
      <c r="Q153">
        <v>2348867</v>
      </c>
      <c r="R153">
        <v>2349349</v>
      </c>
      <c r="S153" t="s">
        <v>13527</v>
      </c>
      <c r="T153">
        <v>161</v>
      </c>
      <c r="U153" t="s">
        <v>59</v>
      </c>
      <c r="V153">
        <v>49</v>
      </c>
      <c r="W153" t="str">
        <f>HYPERLINK("Gene2332-zp_tree_all.dnd", "Gene2332-tree")</f>
        <v>Gene2332-tree</v>
      </c>
      <c r="X153">
        <v>9</v>
      </c>
      <c r="Y153">
        <v>3</v>
      </c>
      <c r="Z153">
        <v>9</v>
      </c>
      <c r="AA153">
        <v>3</v>
      </c>
      <c r="AB153">
        <v>0.25</v>
      </c>
      <c r="AC153" t="s">
        <v>135</v>
      </c>
      <c r="AD153" t="s">
        <v>324</v>
      </c>
      <c r="AE153" t="s">
        <v>62</v>
      </c>
      <c r="AF153" t="s">
        <v>62</v>
      </c>
      <c r="AG153">
        <v>3</v>
      </c>
      <c r="AH153">
        <v>6</v>
      </c>
      <c r="AI153">
        <v>6</v>
      </c>
      <c r="AJ153">
        <v>0.5</v>
      </c>
      <c r="AK153">
        <v>0</v>
      </c>
      <c r="AL153">
        <v>0</v>
      </c>
      <c r="AM153">
        <v>0</v>
      </c>
      <c r="AN153">
        <v>2</v>
      </c>
      <c r="AO153">
        <v>0</v>
      </c>
      <c r="AP153">
        <v>2</v>
      </c>
      <c r="AQ153">
        <v>0</v>
      </c>
      <c r="AR153">
        <v>2</v>
      </c>
      <c r="AS153">
        <v>1</v>
      </c>
      <c r="AT153">
        <v>0.66666999999999998</v>
      </c>
      <c r="AU153">
        <v>9</v>
      </c>
      <c r="AV153">
        <v>5</v>
      </c>
      <c r="AW153">
        <v>11</v>
      </c>
      <c r="AX153">
        <v>3</v>
      </c>
      <c r="AY153">
        <v>15</v>
      </c>
      <c r="AZ153">
        <v>9</v>
      </c>
      <c r="BA153" t="s">
        <v>13528</v>
      </c>
      <c r="BB153" t="s">
        <v>13529</v>
      </c>
      <c r="BC153">
        <v>0.77400000000000002</v>
      </c>
      <c r="BD153" t="s">
        <v>65</v>
      </c>
      <c r="BE153">
        <v>26</v>
      </c>
      <c r="BF153">
        <v>12</v>
      </c>
      <c r="BG153" t="s">
        <v>13530</v>
      </c>
      <c r="BH153" t="s">
        <v>13531</v>
      </c>
      <c r="BI153" t="s">
        <v>13532</v>
      </c>
      <c r="BJ153">
        <v>0.13444999999999999</v>
      </c>
      <c r="BK153">
        <v>1</v>
      </c>
      <c r="BL153" t="s">
        <v>69</v>
      </c>
      <c r="BM153">
        <v>-1.246</v>
      </c>
      <c r="BN153">
        <v>0.66800000000000004</v>
      </c>
    </row>
    <row r="154" spans="2:66">
      <c r="B154">
        <v>270</v>
      </c>
      <c r="C154">
        <v>125</v>
      </c>
      <c r="D154">
        <v>0</v>
      </c>
      <c r="E154">
        <v>6</v>
      </c>
      <c r="F154">
        <v>2</v>
      </c>
      <c r="J154">
        <v>0</v>
      </c>
      <c r="K154">
        <v>0</v>
      </c>
      <c r="L154">
        <v>0</v>
      </c>
      <c r="M154" t="s">
        <v>25022</v>
      </c>
      <c r="N154">
        <v>2333</v>
      </c>
      <c r="O154" t="s">
        <v>13533</v>
      </c>
      <c r="P154" t="s">
        <v>62</v>
      </c>
      <c r="Q154">
        <v>2349361</v>
      </c>
      <c r="R154">
        <v>2349528</v>
      </c>
      <c r="S154" t="s">
        <v>116</v>
      </c>
      <c r="T154">
        <v>56</v>
      </c>
      <c r="U154" t="s">
        <v>214</v>
      </c>
      <c r="V154">
        <v>48</v>
      </c>
      <c r="W154" t="str">
        <f>HYPERLINK("Gene2333-zp_tree_all.dnd", "Gene2333-tree")</f>
        <v>Gene2333-tree</v>
      </c>
      <c r="X154">
        <v>8</v>
      </c>
      <c r="Y154">
        <v>1</v>
      </c>
      <c r="Z154">
        <v>8</v>
      </c>
      <c r="AA154">
        <v>1</v>
      </c>
      <c r="AB154">
        <v>0.11111</v>
      </c>
      <c r="AC154" t="s">
        <v>136</v>
      </c>
      <c r="AD154" t="s">
        <v>175</v>
      </c>
      <c r="AE154" t="s">
        <v>62</v>
      </c>
      <c r="AF154" t="s">
        <v>62</v>
      </c>
      <c r="AG154">
        <v>0</v>
      </c>
      <c r="AH154">
        <v>0</v>
      </c>
      <c r="AI154">
        <v>2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6</v>
      </c>
      <c r="AV154">
        <v>2</v>
      </c>
      <c r="AW154">
        <v>7</v>
      </c>
      <c r="AX154">
        <v>1</v>
      </c>
      <c r="AY154">
        <v>5</v>
      </c>
      <c r="AZ154">
        <v>1</v>
      </c>
      <c r="BA154" t="s">
        <v>13534</v>
      </c>
      <c r="BB154" t="s">
        <v>13535</v>
      </c>
      <c r="BC154">
        <v>0.107</v>
      </c>
      <c r="BD154" t="s">
        <v>65</v>
      </c>
      <c r="BE154">
        <v>12</v>
      </c>
      <c r="BF154">
        <v>2</v>
      </c>
      <c r="BG154" t="s">
        <v>13536</v>
      </c>
      <c r="BH154" t="s">
        <v>13537</v>
      </c>
      <c r="BI154" t="s">
        <v>13538</v>
      </c>
      <c r="BJ154">
        <v>3.644E-2</v>
      </c>
      <c r="BK154">
        <v>1</v>
      </c>
      <c r="BL154" t="s">
        <v>69</v>
      </c>
      <c r="BM154">
        <v>-1.3620000000000001</v>
      </c>
      <c r="BN154">
        <v>-1.732</v>
      </c>
    </row>
    <row r="155" spans="2:66">
      <c r="B155">
        <v>271</v>
      </c>
      <c r="C155">
        <v>127</v>
      </c>
      <c r="D155">
        <v>0</v>
      </c>
      <c r="E155">
        <v>4</v>
      </c>
      <c r="F155">
        <v>0</v>
      </c>
      <c r="J155">
        <v>0</v>
      </c>
      <c r="K155">
        <v>5</v>
      </c>
      <c r="L155">
        <v>4</v>
      </c>
      <c r="M155" t="s">
        <v>25022</v>
      </c>
      <c r="N155">
        <v>2334</v>
      </c>
      <c r="O155" t="s">
        <v>13539</v>
      </c>
      <c r="P155" t="s">
        <v>62</v>
      </c>
      <c r="Q155">
        <v>2349674</v>
      </c>
      <c r="R155">
        <v>2352466</v>
      </c>
      <c r="S155" t="s">
        <v>13540</v>
      </c>
      <c r="T155">
        <v>931</v>
      </c>
      <c r="U155" t="s">
        <v>108</v>
      </c>
      <c r="V155">
        <v>44</v>
      </c>
      <c r="W155" t="str">
        <f>HYPERLINK("Gene2334-zp_tree_all.dnd", "Gene2334-tree")</f>
        <v>Gene2334-tree</v>
      </c>
      <c r="X155">
        <v>5</v>
      </c>
      <c r="Y155">
        <v>9</v>
      </c>
      <c r="Z155">
        <v>5</v>
      </c>
      <c r="AA155">
        <v>9</v>
      </c>
      <c r="AB155">
        <v>0.64285999999999999</v>
      </c>
      <c r="AC155" t="s">
        <v>199</v>
      </c>
      <c r="AD155" t="s">
        <v>135</v>
      </c>
      <c r="AE155" t="s">
        <v>62</v>
      </c>
      <c r="AF155" t="s">
        <v>62</v>
      </c>
      <c r="AG155">
        <v>4</v>
      </c>
      <c r="AH155">
        <v>9</v>
      </c>
      <c r="AI155">
        <v>16</v>
      </c>
      <c r="AJ155">
        <v>0.36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5</v>
      </c>
      <c r="AQ155">
        <v>2</v>
      </c>
      <c r="AR155">
        <v>7</v>
      </c>
      <c r="AS155">
        <v>14</v>
      </c>
      <c r="AT155">
        <v>0.33333000000000002</v>
      </c>
      <c r="AU155">
        <v>12</v>
      </c>
      <c r="AV155">
        <v>11</v>
      </c>
      <c r="AW155">
        <v>54</v>
      </c>
      <c r="AX155">
        <v>20</v>
      </c>
      <c r="AY155">
        <v>42</v>
      </c>
      <c r="AZ155">
        <v>5</v>
      </c>
      <c r="BA155" t="s">
        <v>13541</v>
      </c>
      <c r="BB155" t="s">
        <v>13542</v>
      </c>
      <c r="BC155">
        <v>1.7390000000000001</v>
      </c>
      <c r="BD155" t="s">
        <v>65</v>
      </c>
      <c r="BE155">
        <v>96</v>
      </c>
      <c r="BF155">
        <v>25</v>
      </c>
      <c r="BG155" t="s">
        <v>13543</v>
      </c>
      <c r="BH155" t="s">
        <v>13544</v>
      </c>
      <c r="BI155" t="s">
        <v>13545</v>
      </c>
      <c r="BJ155">
        <v>6.2039999999999998E-2</v>
      </c>
      <c r="BK155">
        <v>1</v>
      </c>
      <c r="BL155" t="s">
        <v>69</v>
      </c>
      <c r="BM155">
        <v>-0.79400000000000004</v>
      </c>
      <c r="BN155">
        <v>-1.6830000000000001</v>
      </c>
    </row>
    <row r="156" spans="2:66">
      <c r="B156">
        <v>272</v>
      </c>
      <c r="C156">
        <v>14</v>
      </c>
      <c r="D156">
        <v>0</v>
      </c>
      <c r="E156">
        <v>3</v>
      </c>
      <c r="F156">
        <v>0</v>
      </c>
      <c r="J156">
        <v>0</v>
      </c>
      <c r="K156">
        <v>0</v>
      </c>
      <c r="L156">
        <v>0</v>
      </c>
      <c r="M156" t="s">
        <v>25022</v>
      </c>
      <c r="N156">
        <v>2335</v>
      </c>
      <c r="O156" t="s">
        <v>13546</v>
      </c>
      <c r="P156" t="s">
        <v>62</v>
      </c>
      <c r="Q156">
        <v>2352595</v>
      </c>
      <c r="R156">
        <v>2352975</v>
      </c>
      <c r="S156" t="s">
        <v>13547</v>
      </c>
      <c r="T156">
        <v>127</v>
      </c>
      <c r="U156" t="s">
        <v>572</v>
      </c>
      <c r="V156">
        <v>48</v>
      </c>
      <c r="W156" t="str">
        <f>HYPERLINK("Gene2335-zp_tree_all.dnd", "Gene2335-tree")</f>
        <v>Gene2335-tree</v>
      </c>
      <c r="X156">
        <v>12</v>
      </c>
      <c r="Y156">
        <v>1</v>
      </c>
      <c r="Z156">
        <v>12</v>
      </c>
      <c r="AA156">
        <v>1</v>
      </c>
      <c r="AB156">
        <v>7.6920000000000002E-2</v>
      </c>
      <c r="AC156" t="s">
        <v>109</v>
      </c>
      <c r="AD156" t="s">
        <v>175</v>
      </c>
      <c r="AE156" t="s">
        <v>62</v>
      </c>
      <c r="AF156" t="s">
        <v>62</v>
      </c>
      <c r="AG156">
        <v>0</v>
      </c>
      <c r="AH156">
        <v>0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0</v>
      </c>
      <c r="AU156">
        <v>6</v>
      </c>
      <c r="AV156">
        <v>8</v>
      </c>
      <c r="AW156">
        <v>20</v>
      </c>
      <c r="AX156">
        <v>2</v>
      </c>
      <c r="AY156">
        <v>19</v>
      </c>
      <c r="AZ156">
        <v>0</v>
      </c>
      <c r="BA156" t="s">
        <v>13548</v>
      </c>
      <c r="BB156" t="s">
        <v>193</v>
      </c>
      <c r="BC156">
        <v>0.438</v>
      </c>
      <c r="BD156" t="s">
        <v>65</v>
      </c>
      <c r="BE156">
        <v>39</v>
      </c>
      <c r="BF156">
        <v>2</v>
      </c>
      <c r="BG156" t="s">
        <v>13549</v>
      </c>
      <c r="BH156" t="s">
        <v>13550</v>
      </c>
      <c r="BI156" t="s">
        <v>13551</v>
      </c>
      <c r="BJ156">
        <v>8.3199999999999993E-3</v>
      </c>
      <c r="BK156">
        <v>1</v>
      </c>
      <c r="BL156" t="s">
        <v>69</v>
      </c>
      <c r="BM156">
        <v>-1.5780000000000001</v>
      </c>
      <c r="BN156">
        <v>-1.8069999999999999</v>
      </c>
    </row>
    <row r="157" spans="2:66">
      <c r="B157">
        <v>273</v>
      </c>
      <c r="C157">
        <v>211</v>
      </c>
      <c r="D157">
        <v>0</v>
      </c>
      <c r="E157">
        <v>2</v>
      </c>
      <c r="F157">
        <v>0</v>
      </c>
      <c r="J157">
        <v>0</v>
      </c>
      <c r="K157">
        <v>2</v>
      </c>
      <c r="L157">
        <v>0</v>
      </c>
      <c r="M157" t="s">
        <v>25022</v>
      </c>
      <c r="N157">
        <v>2336</v>
      </c>
      <c r="O157" t="s">
        <v>13552</v>
      </c>
      <c r="P157" t="s">
        <v>62</v>
      </c>
      <c r="Q157">
        <v>2352980</v>
      </c>
      <c r="R157">
        <v>2353837</v>
      </c>
      <c r="S157" t="s">
        <v>13553</v>
      </c>
      <c r="T157">
        <v>286</v>
      </c>
      <c r="U157" t="s">
        <v>108</v>
      </c>
      <c r="V157">
        <v>44</v>
      </c>
      <c r="W157" t="str">
        <f>HYPERLINK("Gene2336-zp_tree_all.dnd", "Gene2336-tree")</f>
        <v>Gene2336-tree</v>
      </c>
      <c r="X157">
        <v>4</v>
      </c>
      <c r="Y157">
        <v>9</v>
      </c>
      <c r="Z157">
        <v>4</v>
      </c>
      <c r="AA157">
        <v>9</v>
      </c>
      <c r="AB157">
        <v>0.69230999999999998</v>
      </c>
      <c r="AC157" t="s">
        <v>61</v>
      </c>
      <c r="AD157" t="s">
        <v>135</v>
      </c>
      <c r="AE157" t="s">
        <v>62</v>
      </c>
      <c r="AF157" t="s">
        <v>62</v>
      </c>
      <c r="AG157">
        <v>1</v>
      </c>
      <c r="AH157">
        <v>2</v>
      </c>
      <c r="AI157">
        <v>12</v>
      </c>
      <c r="AJ157">
        <v>0.14285999999999999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11</v>
      </c>
      <c r="AT157">
        <v>0</v>
      </c>
      <c r="AU157">
        <v>12</v>
      </c>
      <c r="AV157">
        <v>9</v>
      </c>
      <c r="AW157">
        <v>22</v>
      </c>
      <c r="AX157">
        <v>11</v>
      </c>
      <c r="AY157">
        <v>13</v>
      </c>
      <c r="AZ157">
        <v>5</v>
      </c>
      <c r="BA157" t="s">
        <v>13554</v>
      </c>
      <c r="BB157" t="s">
        <v>13555</v>
      </c>
      <c r="BC157">
        <v>0.29599999999999999</v>
      </c>
      <c r="BD157" t="s">
        <v>65</v>
      </c>
      <c r="BE157">
        <v>35</v>
      </c>
      <c r="BF157">
        <v>16</v>
      </c>
      <c r="BG157" t="s">
        <v>13556</v>
      </c>
      <c r="BH157" t="s">
        <v>13557</v>
      </c>
      <c r="BI157" t="s">
        <v>13558</v>
      </c>
      <c r="BJ157">
        <v>0.14174</v>
      </c>
      <c r="BK157">
        <v>1</v>
      </c>
      <c r="BL157" t="s">
        <v>69</v>
      </c>
      <c r="BM157">
        <v>-0.42</v>
      </c>
      <c r="BN157">
        <v>-1.3979999999999999</v>
      </c>
    </row>
    <row r="158" spans="2:66">
      <c r="B158">
        <v>274</v>
      </c>
      <c r="C158">
        <v>24</v>
      </c>
      <c r="D158">
        <v>0</v>
      </c>
      <c r="E158">
        <v>27</v>
      </c>
      <c r="F158">
        <v>4</v>
      </c>
      <c r="J158">
        <v>0</v>
      </c>
      <c r="K158">
        <v>6</v>
      </c>
      <c r="L158">
        <v>0</v>
      </c>
      <c r="M158" t="s">
        <v>25022</v>
      </c>
      <c r="N158">
        <v>2337</v>
      </c>
      <c r="O158" t="s">
        <v>13559</v>
      </c>
      <c r="P158" t="s">
        <v>62</v>
      </c>
      <c r="Q158">
        <v>2353842</v>
      </c>
      <c r="R158">
        <v>2354672</v>
      </c>
      <c r="S158" t="s">
        <v>13560</v>
      </c>
      <c r="T158">
        <v>277</v>
      </c>
      <c r="U158" t="s">
        <v>572</v>
      </c>
      <c r="V158">
        <v>48</v>
      </c>
      <c r="W158" t="str">
        <f>HYPERLINK("Gene2337-zp_tree_all.dnd", "Gene2337-tree")</f>
        <v>Gene2337-tree</v>
      </c>
      <c r="X158">
        <v>10</v>
      </c>
      <c r="Y158">
        <v>9</v>
      </c>
      <c r="Z158">
        <v>10</v>
      </c>
      <c r="AA158">
        <v>9</v>
      </c>
      <c r="AB158">
        <v>0.47367999999999999</v>
      </c>
      <c r="AC158" t="s">
        <v>117</v>
      </c>
      <c r="AD158" t="s">
        <v>135</v>
      </c>
      <c r="AE158" t="s">
        <v>62</v>
      </c>
      <c r="AF158" t="s">
        <v>62</v>
      </c>
      <c r="AG158">
        <v>3</v>
      </c>
      <c r="AH158">
        <v>6</v>
      </c>
      <c r="AI158">
        <v>10</v>
      </c>
      <c r="AJ158">
        <v>0.375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4</v>
      </c>
      <c r="AQ158">
        <v>0</v>
      </c>
      <c r="AR158">
        <v>4</v>
      </c>
      <c r="AS158">
        <v>9</v>
      </c>
      <c r="AT158">
        <v>0.30769000000000002</v>
      </c>
      <c r="AU158">
        <v>12</v>
      </c>
      <c r="AV158">
        <v>13</v>
      </c>
      <c r="AW158">
        <v>37</v>
      </c>
      <c r="AX158">
        <v>9</v>
      </c>
      <c r="AY158">
        <v>52</v>
      </c>
      <c r="AZ158">
        <v>9</v>
      </c>
      <c r="BA158" t="s">
        <v>13561</v>
      </c>
      <c r="BB158" t="s">
        <v>13562</v>
      </c>
      <c r="BC158">
        <v>0.16400000000000001</v>
      </c>
      <c r="BD158" t="s">
        <v>65</v>
      </c>
      <c r="BE158">
        <v>89</v>
      </c>
      <c r="BF158">
        <v>18</v>
      </c>
      <c r="BG158" t="s">
        <v>13563</v>
      </c>
      <c r="BH158" t="s">
        <v>13564</v>
      </c>
      <c r="BI158" t="s">
        <v>13565</v>
      </c>
      <c r="BJ158">
        <v>4.8500000000000001E-2</v>
      </c>
      <c r="BK158">
        <v>1</v>
      </c>
      <c r="BL158" t="s">
        <v>69</v>
      </c>
      <c r="BM158">
        <v>-0.98299999999999998</v>
      </c>
      <c r="BN158">
        <v>-1.97</v>
      </c>
    </row>
    <row r="159" spans="2:66">
      <c r="B159">
        <v>276</v>
      </c>
      <c r="C159">
        <v>63</v>
      </c>
      <c r="D159">
        <v>0</v>
      </c>
      <c r="E159">
        <v>0</v>
      </c>
      <c r="F159">
        <v>2</v>
      </c>
      <c r="J159">
        <v>0</v>
      </c>
      <c r="K159">
        <v>0</v>
      </c>
      <c r="L159">
        <v>0</v>
      </c>
      <c r="M159" t="s">
        <v>25022</v>
      </c>
      <c r="N159">
        <v>2338</v>
      </c>
      <c r="O159" t="s">
        <v>13566</v>
      </c>
      <c r="P159" t="s">
        <v>62</v>
      </c>
      <c r="Q159">
        <v>2354921</v>
      </c>
      <c r="R159">
        <v>2355895</v>
      </c>
      <c r="S159" t="s">
        <v>13567</v>
      </c>
      <c r="T159">
        <v>325</v>
      </c>
      <c r="U159" t="s">
        <v>13568</v>
      </c>
      <c r="V159">
        <v>40</v>
      </c>
      <c r="W159" t="str">
        <f>HYPERLINK("Gene2338-zp_tree_all.dnd", "Gene2338-tree")</f>
        <v>Gene2338-tree</v>
      </c>
      <c r="X159">
        <v>23</v>
      </c>
      <c r="Y159">
        <v>7</v>
      </c>
      <c r="Z159">
        <v>7</v>
      </c>
      <c r="AA159">
        <v>7</v>
      </c>
      <c r="AB159">
        <v>0.5</v>
      </c>
      <c r="AC159" t="s">
        <v>8350</v>
      </c>
      <c r="AD159" t="s">
        <v>152</v>
      </c>
      <c r="AE159" t="s">
        <v>62</v>
      </c>
      <c r="AF159" t="s">
        <v>62</v>
      </c>
      <c r="AG159">
        <v>0</v>
      </c>
      <c r="AH159">
        <v>0</v>
      </c>
      <c r="AI159">
        <v>12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10</v>
      </c>
      <c r="AT159">
        <v>0</v>
      </c>
      <c r="AU159">
        <v>11</v>
      </c>
      <c r="AV159">
        <v>8</v>
      </c>
      <c r="AW159">
        <v>25</v>
      </c>
      <c r="AX159">
        <v>10</v>
      </c>
      <c r="AY159">
        <v>14</v>
      </c>
      <c r="AZ159">
        <v>2</v>
      </c>
      <c r="BA159" t="s">
        <v>13569</v>
      </c>
      <c r="BB159" t="s">
        <v>13570</v>
      </c>
      <c r="BC159">
        <v>0.77900000000000003</v>
      </c>
      <c r="BD159" t="s">
        <v>65</v>
      </c>
      <c r="BE159">
        <v>39</v>
      </c>
      <c r="BF159">
        <v>12</v>
      </c>
      <c r="BG159" t="s">
        <v>13571</v>
      </c>
      <c r="BH159" t="s">
        <v>13572</v>
      </c>
      <c r="BI159" t="s">
        <v>12600</v>
      </c>
      <c r="BJ159">
        <v>9.7420000000000007E-2</v>
      </c>
      <c r="BK159">
        <v>1</v>
      </c>
      <c r="BL159" t="s">
        <v>69</v>
      </c>
      <c r="BM159">
        <v>-1.212</v>
      </c>
      <c r="BN159">
        <v>-2.6659999999999999</v>
      </c>
    </row>
    <row r="160" spans="2:66">
      <c r="B160">
        <v>277</v>
      </c>
      <c r="C160">
        <v>357</v>
      </c>
      <c r="D160">
        <v>0</v>
      </c>
      <c r="E160">
        <v>14</v>
      </c>
      <c r="F160">
        <v>0</v>
      </c>
      <c r="J160">
        <v>0</v>
      </c>
      <c r="K160">
        <v>9</v>
      </c>
      <c r="L160">
        <v>0</v>
      </c>
      <c r="M160" t="s">
        <v>25022</v>
      </c>
      <c r="N160">
        <v>2339</v>
      </c>
      <c r="O160" t="s">
        <v>13573</v>
      </c>
      <c r="P160" t="s">
        <v>62</v>
      </c>
      <c r="Q160">
        <v>2355883</v>
      </c>
      <c r="R160">
        <v>2357073</v>
      </c>
      <c r="S160" t="s">
        <v>13574</v>
      </c>
      <c r="T160">
        <v>397</v>
      </c>
      <c r="U160" t="s">
        <v>13568</v>
      </c>
      <c r="V160">
        <v>40</v>
      </c>
      <c r="W160" t="str">
        <f>HYPERLINK("Gene2339-zp_tree_all.dnd", "Gene2339-tree")</f>
        <v>Gene2339-tree</v>
      </c>
      <c r="X160">
        <v>4</v>
      </c>
      <c r="Y160">
        <v>9</v>
      </c>
      <c r="Z160">
        <v>4</v>
      </c>
      <c r="AA160">
        <v>9</v>
      </c>
      <c r="AB160">
        <v>0.69230999999999998</v>
      </c>
      <c r="AC160" t="s">
        <v>61</v>
      </c>
      <c r="AD160" t="s">
        <v>135</v>
      </c>
      <c r="AE160" t="s">
        <v>62</v>
      </c>
      <c r="AF160" t="s">
        <v>62</v>
      </c>
      <c r="AG160">
        <v>4</v>
      </c>
      <c r="AH160">
        <v>9</v>
      </c>
      <c r="AI160">
        <v>14</v>
      </c>
      <c r="AJ160">
        <v>0.39129999999999998</v>
      </c>
      <c r="AK160">
        <v>0</v>
      </c>
      <c r="AL160">
        <v>0</v>
      </c>
      <c r="AM160">
        <v>0</v>
      </c>
      <c r="AN160">
        <v>2</v>
      </c>
      <c r="AO160">
        <v>0</v>
      </c>
      <c r="AP160">
        <v>0</v>
      </c>
      <c r="AQ160">
        <v>2</v>
      </c>
      <c r="AR160">
        <v>2</v>
      </c>
      <c r="AS160">
        <v>14</v>
      </c>
      <c r="AT160">
        <v>0.125</v>
      </c>
      <c r="AU160">
        <v>11</v>
      </c>
      <c r="AV160">
        <v>8</v>
      </c>
      <c r="AW160">
        <v>27</v>
      </c>
      <c r="AX160">
        <v>15</v>
      </c>
      <c r="AY160">
        <v>9</v>
      </c>
      <c r="AZ160">
        <v>8</v>
      </c>
      <c r="BA160" t="s">
        <v>13575</v>
      </c>
      <c r="BB160" t="s">
        <v>13576</v>
      </c>
      <c r="BC160">
        <v>0.68200000000000005</v>
      </c>
      <c r="BD160" t="s">
        <v>65</v>
      </c>
      <c r="BE160">
        <v>36</v>
      </c>
      <c r="BF160">
        <v>23</v>
      </c>
      <c r="BG160" t="s">
        <v>13577</v>
      </c>
      <c r="BH160" t="s">
        <v>13578</v>
      </c>
      <c r="BI160" t="s">
        <v>13579</v>
      </c>
      <c r="BJ160">
        <v>0.19040000000000001</v>
      </c>
      <c r="BK160">
        <v>1</v>
      </c>
      <c r="BL160" t="s">
        <v>69</v>
      </c>
      <c r="BM160">
        <v>-0.92100000000000004</v>
      </c>
      <c r="BN160">
        <v>-2.121</v>
      </c>
    </row>
    <row r="161" spans="2:66">
      <c r="B161">
        <v>278</v>
      </c>
      <c r="C161">
        <v>84</v>
      </c>
      <c r="D161">
        <v>0</v>
      </c>
      <c r="E161">
        <v>9</v>
      </c>
      <c r="F161">
        <v>2</v>
      </c>
      <c r="J161">
        <v>0</v>
      </c>
      <c r="K161">
        <v>4</v>
      </c>
      <c r="L161">
        <v>4</v>
      </c>
      <c r="M161" t="s">
        <v>25022</v>
      </c>
      <c r="N161">
        <v>2340</v>
      </c>
      <c r="O161" t="s">
        <v>13580</v>
      </c>
      <c r="P161" t="s">
        <v>62</v>
      </c>
      <c r="Q161">
        <v>2357081</v>
      </c>
      <c r="R161">
        <v>2358211</v>
      </c>
      <c r="S161" t="s">
        <v>13581</v>
      </c>
      <c r="T161">
        <v>377</v>
      </c>
      <c r="U161" t="s">
        <v>13568</v>
      </c>
      <c r="V161">
        <v>40</v>
      </c>
      <c r="W161" t="str">
        <f>HYPERLINK("Gene2340-zp_tree_all.dnd", "Gene2340-tree")</f>
        <v>Gene2340-tree</v>
      </c>
      <c r="X161">
        <v>7</v>
      </c>
      <c r="Y161">
        <v>7</v>
      </c>
      <c r="Z161">
        <v>7</v>
      </c>
      <c r="AA161">
        <v>7</v>
      </c>
      <c r="AB161">
        <v>0.5</v>
      </c>
      <c r="AC161" t="s">
        <v>152</v>
      </c>
      <c r="AD161" t="s">
        <v>152</v>
      </c>
      <c r="AE161" t="s">
        <v>62</v>
      </c>
      <c r="AF161" t="s">
        <v>62</v>
      </c>
      <c r="AG161">
        <v>3</v>
      </c>
      <c r="AH161">
        <v>8</v>
      </c>
      <c r="AI161">
        <v>5</v>
      </c>
      <c r="AJ161">
        <v>0.61538000000000004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4</v>
      </c>
      <c r="AR161">
        <v>4</v>
      </c>
      <c r="AS161">
        <v>5</v>
      </c>
      <c r="AT161">
        <v>0.44444</v>
      </c>
      <c r="AU161">
        <v>13</v>
      </c>
      <c r="AV161">
        <v>10</v>
      </c>
      <c r="AW161">
        <v>47</v>
      </c>
      <c r="AX161">
        <v>9</v>
      </c>
      <c r="AY161">
        <v>20</v>
      </c>
      <c r="AZ161">
        <v>4</v>
      </c>
      <c r="BA161" t="s">
        <v>13582</v>
      </c>
      <c r="BB161" t="s">
        <v>13583</v>
      </c>
      <c r="BC161">
        <v>6.4000000000000001E-2</v>
      </c>
      <c r="BD161" t="s">
        <v>65</v>
      </c>
      <c r="BE161">
        <v>67</v>
      </c>
      <c r="BF161">
        <v>13</v>
      </c>
      <c r="BG161" t="s">
        <v>13584</v>
      </c>
      <c r="BH161" t="s">
        <v>13585</v>
      </c>
      <c r="BI161" t="s">
        <v>6591</v>
      </c>
      <c r="BJ161">
        <v>6.658E-2</v>
      </c>
      <c r="BK161">
        <v>1</v>
      </c>
      <c r="BL161" t="s">
        <v>69</v>
      </c>
      <c r="BM161">
        <v>-1.034</v>
      </c>
      <c r="BN161">
        <v>-2.8959999999999999</v>
      </c>
    </row>
    <row r="162" spans="2:66">
      <c r="B162">
        <v>281</v>
      </c>
      <c r="C162">
        <v>310</v>
      </c>
      <c r="D162">
        <v>0</v>
      </c>
      <c r="E162">
        <v>17</v>
      </c>
      <c r="F162">
        <v>5</v>
      </c>
      <c r="J162">
        <v>0</v>
      </c>
      <c r="K162">
        <v>2</v>
      </c>
      <c r="L162">
        <v>2</v>
      </c>
      <c r="M162" t="s">
        <v>25022</v>
      </c>
      <c r="N162">
        <v>2341</v>
      </c>
      <c r="O162" t="s">
        <v>13586</v>
      </c>
      <c r="P162" t="s">
        <v>62</v>
      </c>
      <c r="Q162">
        <v>2358211</v>
      </c>
      <c r="R162">
        <v>2358918</v>
      </c>
      <c r="S162" t="s">
        <v>13587</v>
      </c>
      <c r="T162">
        <v>236</v>
      </c>
      <c r="U162" t="s">
        <v>13568</v>
      </c>
      <c r="V162">
        <v>40</v>
      </c>
      <c r="W162" t="str">
        <f>HYPERLINK("Gene2341-zp_tree_all.dnd", "Gene2341-tree")</f>
        <v>Gene2341-tree</v>
      </c>
      <c r="X162">
        <v>22</v>
      </c>
      <c r="Y162">
        <v>5</v>
      </c>
      <c r="Z162">
        <v>6</v>
      </c>
      <c r="AA162">
        <v>5</v>
      </c>
      <c r="AB162">
        <v>0.45455000000000001</v>
      </c>
      <c r="AC162" t="s">
        <v>13588</v>
      </c>
      <c r="AD162" t="s">
        <v>199</v>
      </c>
      <c r="AE162" t="s">
        <v>62</v>
      </c>
      <c r="AF162" t="s">
        <v>62</v>
      </c>
      <c r="AG162">
        <v>2</v>
      </c>
      <c r="AH162">
        <v>4</v>
      </c>
      <c r="AI162">
        <v>6</v>
      </c>
      <c r="AJ162">
        <v>0.4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7</v>
      </c>
      <c r="AT162">
        <v>0</v>
      </c>
      <c r="AU162">
        <v>8</v>
      </c>
      <c r="AV162">
        <v>6</v>
      </c>
      <c r="AW162">
        <v>18</v>
      </c>
      <c r="AX162">
        <v>7</v>
      </c>
      <c r="AY162">
        <v>13</v>
      </c>
      <c r="AZ162">
        <v>3</v>
      </c>
      <c r="BA162" t="s">
        <v>13589</v>
      </c>
      <c r="BB162" t="s">
        <v>13590</v>
      </c>
      <c r="BC162">
        <v>0.46600000000000003</v>
      </c>
      <c r="BD162" t="s">
        <v>65</v>
      </c>
      <c r="BE162">
        <v>31</v>
      </c>
      <c r="BF162">
        <v>10</v>
      </c>
      <c r="BG162" t="s">
        <v>13591</v>
      </c>
      <c r="BH162" t="s">
        <v>13592</v>
      </c>
      <c r="BI162" t="s">
        <v>13593</v>
      </c>
      <c r="BJ162">
        <v>7.3109999999999994E-2</v>
      </c>
      <c r="BK162">
        <v>1</v>
      </c>
      <c r="BL162" t="s">
        <v>69</v>
      </c>
      <c r="BM162">
        <v>-0.46600000000000003</v>
      </c>
      <c r="BN162">
        <v>-2.2879999999999998</v>
      </c>
    </row>
    <row r="163" spans="2:66">
      <c r="B163">
        <v>282</v>
      </c>
      <c r="C163">
        <v>2</v>
      </c>
      <c r="D163">
        <v>0</v>
      </c>
      <c r="E163">
        <v>2</v>
      </c>
      <c r="F163">
        <v>2</v>
      </c>
      <c r="J163">
        <v>0</v>
      </c>
      <c r="K163">
        <v>0</v>
      </c>
      <c r="L163">
        <v>2</v>
      </c>
      <c r="M163" t="s">
        <v>25022</v>
      </c>
      <c r="N163">
        <v>2342</v>
      </c>
      <c r="O163" t="s">
        <v>13594</v>
      </c>
      <c r="P163" t="s">
        <v>62</v>
      </c>
      <c r="Q163">
        <v>2358914</v>
      </c>
      <c r="R163">
        <v>2359324</v>
      </c>
      <c r="S163" t="s">
        <v>13595</v>
      </c>
      <c r="T163">
        <v>137</v>
      </c>
      <c r="U163" t="s">
        <v>59</v>
      </c>
      <c r="V163">
        <v>49</v>
      </c>
      <c r="W163" t="str">
        <f>HYPERLINK("Gene2342-zp_tree_all.dnd", "Gene2342-tree")</f>
        <v>Gene2342-tree</v>
      </c>
      <c r="X163">
        <v>12</v>
      </c>
      <c r="Y163">
        <v>4</v>
      </c>
      <c r="Z163">
        <v>12</v>
      </c>
      <c r="AA163">
        <v>4</v>
      </c>
      <c r="AB163">
        <v>0.25</v>
      </c>
      <c r="AC163" t="s">
        <v>109</v>
      </c>
      <c r="AD163" t="s">
        <v>61</v>
      </c>
      <c r="AE163" t="s">
        <v>62</v>
      </c>
      <c r="AF163" t="s">
        <v>62</v>
      </c>
      <c r="AG163">
        <v>1</v>
      </c>
      <c r="AH163">
        <v>2</v>
      </c>
      <c r="AI163">
        <v>7</v>
      </c>
      <c r="AJ163">
        <v>0.22222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0</v>
      </c>
      <c r="AU163">
        <v>13</v>
      </c>
      <c r="AV163">
        <v>7</v>
      </c>
      <c r="AW163">
        <v>18</v>
      </c>
      <c r="AX163">
        <v>3</v>
      </c>
      <c r="AY163">
        <v>23</v>
      </c>
      <c r="AZ163">
        <v>6</v>
      </c>
      <c r="BA163" t="s">
        <v>13596</v>
      </c>
      <c r="BB163" t="s">
        <v>13597</v>
      </c>
      <c r="BC163">
        <v>0.312</v>
      </c>
      <c r="BD163" t="s">
        <v>65</v>
      </c>
      <c r="BE163">
        <v>41</v>
      </c>
      <c r="BF163">
        <v>9</v>
      </c>
      <c r="BG163" t="s">
        <v>13598</v>
      </c>
      <c r="BH163" t="s">
        <v>13599</v>
      </c>
      <c r="BI163" t="s">
        <v>13600</v>
      </c>
      <c r="BJ163">
        <v>7.6200000000000004E-2</v>
      </c>
      <c r="BK163">
        <v>1</v>
      </c>
      <c r="BL163" t="s">
        <v>69</v>
      </c>
      <c r="BM163">
        <v>-0.68700000000000006</v>
      </c>
      <c r="BN163">
        <v>-0.17599999999999999</v>
      </c>
    </row>
    <row r="164" spans="2:66">
      <c r="B164">
        <v>283</v>
      </c>
      <c r="C164">
        <v>279</v>
      </c>
      <c r="D164">
        <v>0</v>
      </c>
      <c r="E164">
        <v>4</v>
      </c>
      <c r="F164">
        <v>0</v>
      </c>
      <c r="J164">
        <v>0</v>
      </c>
      <c r="K164">
        <v>4</v>
      </c>
      <c r="L164">
        <v>0</v>
      </c>
      <c r="M164" t="s">
        <v>25022</v>
      </c>
      <c r="N164">
        <v>2343</v>
      </c>
      <c r="O164" t="s">
        <v>13601</v>
      </c>
      <c r="P164" t="s">
        <v>62</v>
      </c>
      <c r="Q164">
        <v>2359343</v>
      </c>
      <c r="R164">
        <v>2360143</v>
      </c>
      <c r="S164" t="s">
        <v>13602</v>
      </c>
      <c r="T164">
        <v>267</v>
      </c>
      <c r="U164" t="s">
        <v>13568</v>
      </c>
      <c r="V164">
        <v>40</v>
      </c>
      <c r="W164" t="str">
        <f>HYPERLINK("Gene2343-zp_tree_all.dnd", "Gene2343-tree")</f>
        <v>Gene2343-tree</v>
      </c>
      <c r="X164">
        <v>9</v>
      </c>
      <c r="Y164">
        <v>19</v>
      </c>
      <c r="Z164">
        <v>9</v>
      </c>
      <c r="AA164">
        <v>6</v>
      </c>
      <c r="AB164">
        <v>0.4</v>
      </c>
      <c r="AC164" t="s">
        <v>135</v>
      </c>
      <c r="AD164" t="s">
        <v>13029</v>
      </c>
      <c r="AE164">
        <v>3.2240000000000002</v>
      </c>
      <c r="AF164" t="s">
        <v>65</v>
      </c>
      <c r="AG164">
        <v>1</v>
      </c>
      <c r="AH164">
        <v>4</v>
      </c>
      <c r="AI164">
        <v>4</v>
      </c>
      <c r="AJ164">
        <v>0.5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</v>
      </c>
      <c r="AQ164">
        <v>1</v>
      </c>
      <c r="AR164">
        <v>3</v>
      </c>
      <c r="AS164">
        <v>3</v>
      </c>
      <c r="AT164">
        <v>0.5</v>
      </c>
      <c r="AU164">
        <v>12</v>
      </c>
      <c r="AV164">
        <v>9</v>
      </c>
      <c r="AW164">
        <v>21</v>
      </c>
      <c r="AX164">
        <v>5</v>
      </c>
      <c r="AY164">
        <v>13</v>
      </c>
      <c r="AZ164">
        <v>3</v>
      </c>
      <c r="BA164" t="s">
        <v>13603</v>
      </c>
      <c r="BB164" t="s">
        <v>13604</v>
      </c>
      <c r="BC164">
        <v>2.9000000000000001E-2</v>
      </c>
      <c r="BD164" t="s">
        <v>65</v>
      </c>
      <c r="BE164">
        <v>34</v>
      </c>
      <c r="BF164">
        <v>8</v>
      </c>
      <c r="BG164" t="s">
        <v>13605</v>
      </c>
      <c r="BH164" t="s">
        <v>13606</v>
      </c>
      <c r="BI164" t="s">
        <v>13607</v>
      </c>
      <c r="BJ164">
        <v>5.3940000000000002E-2</v>
      </c>
      <c r="BK164">
        <v>1</v>
      </c>
      <c r="BL164" t="s">
        <v>69</v>
      </c>
      <c r="BM164">
        <v>-0.18099999999999999</v>
      </c>
      <c r="BN164">
        <v>-2E-3</v>
      </c>
    </row>
    <row r="165" spans="2:66">
      <c r="B165">
        <v>284</v>
      </c>
      <c r="C165">
        <v>242</v>
      </c>
      <c r="D165">
        <v>0</v>
      </c>
      <c r="E165">
        <v>2</v>
      </c>
      <c r="F165">
        <v>0</v>
      </c>
      <c r="J165">
        <v>0</v>
      </c>
      <c r="K165">
        <v>0</v>
      </c>
      <c r="L165">
        <v>0</v>
      </c>
      <c r="M165" t="s">
        <v>25022</v>
      </c>
      <c r="N165">
        <v>2344</v>
      </c>
      <c r="O165" t="s">
        <v>13608</v>
      </c>
      <c r="P165" t="s">
        <v>62</v>
      </c>
      <c r="Q165">
        <v>2360158</v>
      </c>
      <c r="R165">
        <v>2360490</v>
      </c>
      <c r="S165" t="s">
        <v>13609</v>
      </c>
      <c r="T165">
        <v>111</v>
      </c>
      <c r="U165" t="s">
        <v>59</v>
      </c>
      <c r="V165">
        <v>49</v>
      </c>
      <c r="W165" t="str">
        <f>HYPERLINK("Gene2344-zp_tree_all.dnd", "Gene2344-tree")</f>
        <v>Gene2344-tree</v>
      </c>
      <c r="X165">
        <v>14</v>
      </c>
      <c r="Y165">
        <v>2</v>
      </c>
      <c r="Z165">
        <v>14</v>
      </c>
      <c r="AA165">
        <v>2</v>
      </c>
      <c r="AB165">
        <v>0.125</v>
      </c>
      <c r="AC165" t="s">
        <v>543</v>
      </c>
      <c r="AD165" t="s">
        <v>81</v>
      </c>
      <c r="AE165" t="s">
        <v>62</v>
      </c>
      <c r="AF165" t="s">
        <v>62</v>
      </c>
      <c r="AG165">
        <v>0</v>
      </c>
      <c r="AH165">
        <v>0</v>
      </c>
      <c r="AI165">
        <v>4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0</v>
      </c>
      <c r="AU165">
        <v>10</v>
      </c>
      <c r="AV165">
        <v>8</v>
      </c>
      <c r="AW165">
        <v>14</v>
      </c>
      <c r="AX165">
        <v>2</v>
      </c>
      <c r="AY165">
        <v>15</v>
      </c>
      <c r="AZ165">
        <v>3</v>
      </c>
      <c r="BA165" t="s">
        <v>13610</v>
      </c>
      <c r="BB165" t="s">
        <v>13611</v>
      </c>
      <c r="BC165">
        <v>0.21</v>
      </c>
      <c r="BD165" t="s">
        <v>65</v>
      </c>
      <c r="BE165">
        <v>29</v>
      </c>
      <c r="BF165">
        <v>5</v>
      </c>
      <c r="BG165" t="s">
        <v>13612</v>
      </c>
      <c r="BH165" t="s">
        <v>13613</v>
      </c>
      <c r="BI165" t="s">
        <v>13614</v>
      </c>
      <c r="BJ165">
        <v>3.8309999999999997E-2</v>
      </c>
      <c r="BK165">
        <v>1</v>
      </c>
      <c r="BL165" t="s">
        <v>69</v>
      </c>
      <c r="BM165">
        <v>-4.2999999999999997E-2</v>
      </c>
      <c r="BN165">
        <v>0.34300000000000003</v>
      </c>
    </row>
    <row r="166" spans="2:66">
      <c r="B166">
        <v>285</v>
      </c>
      <c r="C166">
        <v>354</v>
      </c>
      <c r="D166">
        <v>0</v>
      </c>
      <c r="E166">
        <v>25</v>
      </c>
      <c r="F166">
        <v>1</v>
      </c>
      <c r="J166">
        <v>0</v>
      </c>
      <c r="K166">
        <v>0</v>
      </c>
      <c r="L166">
        <v>0</v>
      </c>
      <c r="M166" t="s">
        <v>25022</v>
      </c>
      <c r="N166">
        <v>2346</v>
      </c>
      <c r="O166" t="s">
        <v>13619</v>
      </c>
      <c r="P166" t="s">
        <v>62</v>
      </c>
      <c r="Q166">
        <v>2361547</v>
      </c>
      <c r="R166">
        <v>2362338</v>
      </c>
      <c r="S166" t="s">
        <v>13620</v>
      </c>
      <c r="T166">
        <v>264</v>
      </c>
      <c r="U166" t="s">
        <v>13568</v>
      </c>
      <c r="V166">
        <v>40</v>
      </c>
      <c r="W166" t="str">
        <f>HYPERLINK("Gene2346-zp_tree_all.dnd", "Gene2346-tree")</f>
        <v>Gene2346-tree</v>
      </c>
      <c r="X166">
        <v>8</v>
      </c>
      <c r="Y166">
        <v>6</v>
      </c>
      <c r="Z166">
        <v>8</v>
      </c>
      <c r="AA166">
        <v>6</v>
      </c>
      <c r="AB166">
        <v>0.42857000000000001</v>
      </c>
      <c r="AC166" t="s">
        <v>136</v>
      </c>
      <c r="AD166" t="s">
        <v>90</v>
      </c>
      <c r="AE166" t="s">
        <v>62</v>
      </c>
      <c r="AF166" t="s">
        <v>62</v>
      </c>
      <c r="AG166">
        <v>0</v>
      </c>
      <c r="AH166">
        <v>0</v>
      </c>
      <c r="AI166">
        <v>9</v>
      </c>
      <c r="AJ166">
        <v>0</v>
      </c>
      <c r="AK166">
        <v>0</v>
      </c>
      <c r="AL166">
        <v>0</v>
      </c>
      <c r="AM166">
        <v>0</v>
      </c>
      <c r="AN166">
        <v>2</v>
      </c>
      <c r="AO166">
        <v>0</v>
      </c>
      <c r="AP166">
        <v>0</v>
      </c>
      <c r="AQ166">
        <v>0</v>
      </c>
      <c r="AR166">
        <v>0</v>
      </c>
      <c r="AS166">
        <v>6</v>
      </c>
      <c r="AT166">
        <v>0</v>
      </c>
      <c r="AU166">
        <v>12</v>
      </c>
      <c r="AV166">
        <v>7</v>
      </c>
      <c r="AW166">
        <v>21</v>
      </c>
      <c r="AX166">
        <v>6</v>
      </c>
      <c r="AY166">
        <v>9</v>
      </c>
      <c r="AZ166">
        <v>3</v>
      </c>
      <c r="BA166" t="s">
        <v>13621</v>
      </c>
      <c r="BB166" t="s">
        <v>13622</v>
      </c>
      <c r="BC166">
        <v>0.11600000000000001</v>
      </c>
      <c r="BD166" t="s">
        <v>65</v>
      </c>
      <c r="BE166">
        <v>30</v>
      </c>
      <c r="BF166">
        <v>9</v>
      </c>
      <c r="BG166" t="s">
        <v>13623</v>
      </c>
      <c r="BH166" t="s">
        <v>13624</v>
      </c>
      <c r="BI166" t="s">
        <v>5533</v>
      </c>
      <c r="BJ166">
        <v>9.6479999999999996E-2</v>
      </c>
      <c r="BK166">
        <v>1</v>
      </c>
      <c r="BL166" t="s">
        <v>69</v>
      </c>
      <c r="BM166">
        <v>-1.0900000000000001</v>
      </c>
      <c r="BN166">
        <v>-1.833</v>
      </c>
    </row>
    <row r="167" spans="2:66">
      <c r="B167">
        <v>289</v>
      </c>
      <c r="C167">
        <v>299</v>
      </c>
      <c r="D167">
        <v>0</v>
      </c>
      <c r="E167">
        <v>16</v>
      </c>
      <c r="F167">
        <v>3</v>
      </c>
      <c r="J167">
        <v>0</v>
      </c>
      <c r="K167">
        <v>2</v>
      </c>
      <c r="L167">
        <v>0</v>
      </c>
      <c r="M167" t="s">
        <v>25022</v>
      </c>
      <c r="N167">
        <v>2347</v>
      </c>
      <c r="O167" t="s">
        <v>13625</v>
      </c>
      <c r="P167" t="s">
        <v>62</v>
      </c>
      <c r="Q167">
        <v>2362410</v>
      </c>
      <c r="R167">
        <v>2362964</v>
      </c>
      <c r="S167" t="s">
        <v>13626</v>
      </c>
      <c r="T167">
        <v>185</v>
      </c>
      <c r="U167" t="s">
        <v>13627</v>
      </c>
      <c r="V167">
        <v>39</v>
      </c>
      <c r="W167" t="str">
        <f>HYPERLINK("Gene2347-zp_tree_all.dnd", "Gene2347-tree")</f>
        <v>Gene2347-tree</v>
      </c>
      <c r="X167">
        <v>6</v>
      </c>
      <c r="Y167">
        <v>6</v>
      </c>
      <c r="Z167">
        <v>6</v>
      </c>
      <c r="AA167">
        <v>6</v>
      </c>
      <c r="AB167">
        <v>0.5</v>
      </c>
      <c r="AC167" t="s">
        <v>90</v>
      </c>
      <c r="AD167" t="s">
        <v>90</v>
      </c>
      <c r="AE167" t="s">
        <v>62</v>
      </c>
      <c r="AF167" t="s">
        <v>62</v>
      </c>
      <c r="AG167">
        <v>1</v>
      </c>
      <c r="AH167">
        <v>2</v>
      </c>
      <c r="AI167">
        <v>9</v>
      </c>
      <c r="AJ167">
        <v>0.18182000000000001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</v>
      </c>
      <c r="AQ167">
        <v>0</v>
      </c>
      <c r="AR167">
        <v>2</v>
      </c>
      <c r="AS167">
        <v>5</v>
      </c>
      <c r="AT167">
        <v>0.28571000000000002</v>
      </c>
      <c r="AU167">
        <v>11</v>
      </c>
      <c r="AV167">
        <v>7</v>
      </c>
      <c r="AW167">
        <v>21</v>
      </c>
      <c r="AX167">
        <v>7</v>
      </c>
      <c r="AY167">
        <v>10</v>
      </c>
      <c r="AZ167">
        <v>4</v>
      </c>
      <c r="BA167" t="s">
        <v>13628</v>
      </c>
      <c r="BB167" t="s">
        <v>13629</v>
      </c>
      <c r="BC167">
        <v>0.31</v>
      </c>
      <c r="BD167" t="s">
        <v>65</v>
      </c>
      <c r="BE167">
        <v>31</v>
      </c>
      <c r="BF167">
        <v>11</v>
      </c>
      <c r="BG167" t="s">
        <v>13630</v>
      </c>
      <c r="BH167" t="s">
        <v>13631</v>
      </c>
      <c r="BI167" t="s">
        <v>13632</v>
      </c>
      <c r="BJ167">
        <v>0.13406000000000001</v>
      </c>
      <c r="BK167">
        <v>1</v>
      </c>
      <c r="BL167" t="s">
        <v>69</v>
      </c>
      <c r="BM167">
        <v>-0.39900000000000002</v>
      </c>
      <c r="BN167">
        <v>-0.61699999999999999</v>
      </c>
    </row>
    <row r="168" spans="2:66">
      <c r="B168">
        <v>290</v>
      </c>
      <c r="C168">
        <v>66</v>
      </c>
      <c r="D168">
        <v>0</v>
      </c>
      <c r="E168">
        <v>4</v>
      </c>
      <c r="F168">
        <v>0</v>
      </c>
      <c r="J168">
        <v>0</v>
      </c>
      <c r="K168">
        <v>2</v>
      </c>
      <c r="L168">
        <v>0</v>
      </c>
      <c r="M168" t="s">
        <v>25022</v>
      </c>
      <c r="N168">
        <v>2348</v>
      </c>
      <c r="O168" t="s">
        <v>13633</v>
      </c>
      <c r="P168" t="s">
        <v>62</v>
      </c>
      <c r="Q168">
        <v>2363114</v>
      </c>
      <c r="R168">
        <v>2363878</v>
      </c>
      <c r="S168" t="s">
        <v>13634</v>
      </c>
      <c r="T168">
        <v>255</v>
      </c>
      <c r="U168" t="s">
        <v>214</v>
      </c>
      <c r="V168">
        <v>48</v>
      </c>
      <c r="W168" t="str">
        <f>HYPERLINK("Gene2348-zp_tree_all.dnd", "Gene2348-tree")</f>
        <v>Gene2348-tree</v>
      </c>
      <c r="X168">
        <v>14</v>
      </c>
      <c r="Y168">
        <v>2</v>
      </c>
      <c r="Z168">
        <v>14</v>
      </c>
      <c r="AA168">
        <v>2</v>
      </c>
      <c r="AB168">
        <v>0.125</v>
      </c>
      <c r="AC168" t="s">
        <v>543</v>
      </c>
      <c r="AD168" t="s">
        <v>81</v>
      </c>
      <c r="AE168" t="s">
        <v>62</v>
      </c>
      <c r="AF168" t="s">
        <v>62</v>
      </c>
      <c r="AG168">
        <v>1</v>
      </c>
      <c r="AH168">
        <v>2</v>
      </c>
      <c r="AI168">
        <v>3</v>
      </c>
      <c r="AJ168">
        <v>0.4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</v>
      </c>
      <c r="AT168">
        <v>0</v>
      </c>
      <c r="AU168">
        <v>15</v>
      </c>
      <c r="AV168">
        <v>9</v>
      </c>
      <c r="AW168">
        <v>39</v>
      </c>
      <c r="AX168">
        <v>3</v>
      </c>
      <c r="AY168">
        <v>54</v>
      </c>
      <c r="AZ168">
        <v>2</v>
      </c>
      <c r="BA168" t="s">
        <v>13635</v>
      </c>
      <c r="BB168" t="s">
        <v>13636</v>
      </c>
      <c r="BC168">
        <v>0.24399999999999999</v>
      </c>
      <c r="BD168" t="s">
        <v>65</v>
      </c>
      <c r="BE168">
        <v>93</v>
      </c>
      <c r="BF168">
        <v>5</v>
      </c>
      <c r="BG168" t="s">
        <v>13637</v>
      </c>
      <c r="BH168" t="s">
        <v>13638</v>
      </c>
      <c r="BI168" t="s">
        <v>13639</v>
      </c>
      <c r="BJ168">
        <v>1.2500000000000001E-2</v>
      </c>
      <c r="BK168">
        <v>1</v>
      </c>
      <c r="BL168" t="s">
        <v>69</v>
      </c>
      <c r="BM168">
        <v>-0.377</v>
      </c>
      <c r="BN168">
        <v>-2.4E-2</v>
      </c>
    </row>
    <row r="169" spans="2:66">
      <c r="B169">
        <v>292</v>
      </c>
      <c r="C169">
        <v>38</v>
      </c>
      <c r="D169">
        <v>0</v>
      </c>
      <c r="E169">
        <v>0</v>
      </c>
      <c r="F169">
        <v>2</v>
      </c>
      <c r="J169">
        <v>0</v>
      </c>
      <c r="K169">
        <v>0</v>
      </c>
      <c r="L169">
        <v>0</v>
      </c>
      <c r="M169" t="s">
        <v>25022</v>
      </c>
      <c r="N169">
        <v>2349</v>
      </c>
      <c r="O169" t="s">
        <v>13640</v>
      </c>
      <c r="P169" t="s">
        <v>62</v>
      </c>
      <c r="Q169">
        <v>2363916</v>
      </c>
      <c r="R169">
        <v>2364587</v>
      </c>
      <c r="S169" t="s">
        <v>13641</v>
      </c>
      <c r="T169">
        <v>224</v>
      </c>
      <c r="U169" t="s">
        <v>59</v>
      </c>
      <c r="V169">
        <v>49</v>
      </c>
      <c r="W169" t="str">
        <f>HYPERLINK("Gene2349-zp_tree_all.dnd", "Gene2349-tree")</f>
        <v>Gene2349-tree</v>
      </c>
      <c r="X169">
        <v>15</v>
      </c>
      <c r="Y169">
        <v>0</v>
      </c>
      <c r="Z169">
        <v>15</v>
      </c>
      <c r="AA169">
        <v>0</v>
      </c>
      <c r="AB169">
        <v>0</v>
      </c>
      <c r="AC169" t="s">
        <v>100</v>
      </c>
      <c r="AD169" t="s">
        <v>62</v>
      </c>
      <c r="AE169" t="s">
        <v>62</v>
      </c>
      <c r="AF169" t="s">
        <v>62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12</v>
      </c>
      <c r="AV169">
        <v>6</v>
      </c>
      <c r="AW169">
        <v>19</v>
      </c>
      <c r="AX169">
        <v>0</v>
      </c>
      <c r="AY169">
        <v>21</v>
      </c>
      <c r="AZ169">
        <v>0</v>
      </c>
      <c r="BA169" t="s">
        <v>193</v>
      </c>
      <c r="BB169" t="s">
        <v>193</v>
      </c>
      <c r="BC169">
        <v>0</v>
      </c>
      <c r="BD169" t="s">
        <v>65</v>
      </c>
      <c r="BE169">
        <v>40</v>
      </c>
      <c r="BF169">
        <v>0</v>
      </c>
      <c r="BG169" t="s">
        <v>13642</v>
      </c>
      <c r="BH169" t="s">
        <v>13643</v>
      </c>
      <c r="BI169" t="s">
        <v>193</v>
      </c>
      <c r="BJ169">
        <v>0</v>
      </c>
      <c r="BK169">
        <v>1</v>
      </c>
      <c r="BL169" t="s">
        <v>69</v>
      </c>
      <c r="BM169">
        <v>-0.14699999999999999</v>
      </c>
      <c r="BN169">
        <v>-0.11799999999999999</v>
      </c>
    </row>
    <row r="170" spans="2:66">
      <c r="B170">
        <v>293</v>
      </c>
      <c r="C170">
        <v>122</v>
      </c>
      <c r="D170">
        <v>0</v>
      </c>
      <c r="E170">
        <v>2</v>
      </c>
      <c r="F170">
        <v>0</v>
      </c>
      <c r="J170">
        <v>0</v>
      </c>
      <c r="K170">
        <v>0</v>
      </c>
      <c r="L170">
        <v>0</v>
      </c>
      <c r="M170" t="s">
        <v>25022</v>
      </c>
      <c r="N170">
        <v>2350</v>
      </c>
      <c r="O170" t="s">
        <v>13644</v>
      </c>
      <c r="P170" t="s">
        <v>62</v>
      </c>
      <c r="Q170">
        <v>2364592</v>
      </c>
      <c r="R170">
        <v>2365092</v>
      </c>
      <c r="S170" t="s">
        <v>13645</v>
      </c>
      <c r="T170">
        <v>167</v>
      </c>
      <c r="U170" t="s">
        <v>59</v>
      </c>
      <c r="V170">
        <v>49</v>
      </c>
      <c r="W170" t="str">
        <f>HYPERLINK("Gene2350-zp_tree_all.dnd", "Gene2350-tree")</f>
        <v>Gene2350-tree</v>
      </c>
      <c r="X170">
        <v>12</v>
      </c>
      <c r="Y170">
        <v>0</v>
      </c>
      <c r="Z170">
        <v>12</v>
      </c>
      <c r="AA170">
        <v>0</v>
      </c>
      <c r="AB170">
        <v>0</v>
      </c>
      <c r="AC170" t="s">
        <v>109</v>
      </c>
      <c r="AD170" t="s">
        <v>62</v>
      </c>
      <c r="AE170" t="s">
        <v>62</v>
      </c>
      <c r="AF170" t="s">
        <v>62</v>
      </c>
      <c r="AG170">
        <v>0</v>
      </c>
      <c r="AH170">
        <v>0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8</v>
      </c>
      <c r="AV170">
        <v>5</v>
      </c>
      <c r="AW170">
        <v>12</v>
      </c>
      <c r="AX170">
        <v>0</v>
      </c>
      <c r="AY170">
        <v>14</v>
      </c>
      <c r="AZ170">
        <v>2</v>
      </c>
      <c r="BA170" t="s">
        <v>193</v>
      </c>
      <c r="BB170" t="s">
        <v>13646</v>
      </c>
      <c r="BC170">
        <v>1.034</v>
      </c>
      <c r="BD170" t="s">
        <v>65</v>
      </c>
      <c r="BE170">
        <v>26</v>
      </c>
      <c r="BF170">
        <v>2</v>
      </c>
      <c r="BG170" t="s">
        <v>13647</v>
      </c>
      <c r="BH170" t="s">
        <v>13648</v>
      </c>
      <c r="BI170" t="s">
        <v>13649</v>
      </c>
      <c r="BJ170">
        <v>2.6239999999999999E-2</v>
      </c>
      <c r="BK170">
        <v>1</v>
      </c>
      <c r="BL170" t="s">
        <v>69</v>
      </c>
      <c r="BM170">
        <v>3.7999999999999999E-2</v>
      </c>
      <c r="BN170">
        <v>1.4570000000000001</v>
      </c>
    </row>
    <row r="171" spans="2:66">
      <c r="B171">
        <v>294</v>
      </c>
      <c r="C171">
        <v>526</v>
      </c>
      <c r="D171">
        <v>0</v>
      </c>
      <c r="E171">
        <v>13</v>
      </c>
      <c r="F171">
        <v>0</v>
      </c>
      <c r="J171">
        <v>0</v>
      </c>
      <c r="K171">
        <v>0</v>
      </c>
      <c r="L171">
        <v>0</v>
      </c>
      <c r="M171" t="s">
        <v>25022</v>
      </c>
      <c r="N171">
        <v>2351</v>
      </c>
      <c r="O171" t="s">
        <v>13650</v>
      </c>
      <c r="P171" t="s">
        <v>62</v>
      </c>
      <c r="Q171">
        <v>2365238</v>
      </c>
      <c r="R171">
        <v>2365681</v>
      </c>
      <c r="S171" t="s">
        <v>116</v>
      </c>
      <c r="T171">
        <v>148</v>
      </c>
      <c r="U171" t="s">
        <v>13568</v>
      </c>
      <c r="V171">
        <v>40</v>
      </c>
      <c r="W171" t="str">
        <f>HYPERLINK("Gene2351-zp_tree_all.dnd", "Gene2351-tree")</f>
        <v>Gene2351-tree</v>
      </c>
      <c r="X171">
        <v>5</v>
      </c>
      <c r="Y171">
        <v>4</v>
      </c>
      <c r="Z171">
        <v>5</v>
      </c>
      <c r="AA171">
        <v>4</v>
      </c>
      <c r="AB171">
        <v>0.44444</v>
      </c>
      <c r="AC171" t="s">
        <v>199</v>
      </c>
      <c r="AD171" t="s">
        <v>61</v>
      </c>
      <c r="AE171" t="s">
        <v>62</v>
      </c>
      <c r="AF171" t="s">
        <v>62</v>
      </c>
      <c r="AG171">
        <v>0</v>
      </c>
      <c r="AH171">
        <v>0</v>
      </c>
      <c r="AI171">
        <v>7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6</v>
      </c>
      <c r="AT171">
        <v>0</v>
      </c>
      <c r="AU171">
        <v>7</v>
      </c>
      <c r="AV171">
        <v>3</v>
      </c>
      <c r="AW171">
        <v>3</v>
      </c>
      <c r="AX171">
        <v>6</v>
      </c>
      <c r="AY171">
        <v>2</v>
      </c>
      <c r="AZ171">
        <v>1</v>
      </c>
      <c r="BA171" t="s">
        <v>13651</v>
      </c>
      <c r="BB171" t="s">
        <v>13652</v>
      </c>
      <c r="BC171">
        <v>0.80400000000000005</v>
      </c>
      <c r="BD171" t="s">
        <v>65</v>
      </c>
      <c r="BE171">
        <v>5</v>
      </c>
      <c r="BF171">
        <v>7</v>
      </c>
      <c r="BG171" t="s">
        <v>13653</v>
      </c>
      <c r="BH171" t="s">
        <v>13654</v>
      </c>
      <c r="BI171" t="s">
        <v>13655</v>
      </c>
      <c r="BJ171">
        <v>0.29164000000000001</v>
      </c>
      <c r="BK171">
        <v>0.95799999999999996</v>
      </c>
      <c r="BL171" t="s">
        <v>69</v>
      </c>
      <c r="BM171">
        <v>-0.77900000000000003</v>
      </c>
      <c r="BN171">
        <v>-1.8180000000000001</v>
      </c>
    </row>
    <row r="172" spans="2:66">
      <c r="B172">
        <v>295</v>
      </c>
      <c r="C172">
        <v>59</v>
      </c>
      <c r="D172">
        <v>0</v>
      </c>
      <c r="E172">
        <v>2</v>
      </c>
      <c r="F172">
        <v>0</v>
      </c>
      <c r="J172">
        <v>0</v>
      </c>
      <c r="K172">
        <v>2</v>
      </c>
      <c r="L172">
        <v>0</v>
      </c>
      <c r="M172" t="s">
        <v>25022</v>
      </c>
      <c r="N172">
        <v>2352</v>
      </c>
      <c r="O172" t="s">
        <v>13656</v>
      </c>
      <c r="P172" t="s">
        <v>62</v>
      </c>
      <c r="Q172">
        <v>2365739</v>
      </c>
      <c r="R172">
        <v>2366275</v>
      </c>
      <c r="S172" t="s">
        <v>116</v>
      </c>
      <c r="T172">
        <v>179</v>
      </c>
      <c r="U172" t="s">
        <v>289</v>
      </c>
      <c r="V172">
        <v>46</v>
      </c>
      <c r="W172" t="str">
        <f>HYPERLINK("Gene2352-zp_tree_all.dnd", "Gene2352-tree")</f>
        <v>Gene2352-tree</v>
      </c>
      <c r="X172">
        <v>39</v>
      </c>
      <c r="Y172">
        <v>1</v>
      </c>
      <c r="Z172">
        <v>7</v>
      </c>
      <c r="AA172">
        <v>1</v>
      </c>
      <c r="AB172">
        <v>0.125</v>
      </c>
      <c r="AC172" t="s">
        <v>13657</v>
      </c>
      <c r="AD172" t="s">
        <v>175</v>
      </c>
      <c r="AE172" t="s">
        <v>62</v>
      </c>
      <c r="AF172" t="s">
        <v>62</v>
      </c>
      <c r="AG172">
        <v>1</v>
      </c>
      <c r="AH172">
        <v>2</v>
      </c>
      <c r="AI172">
        <v>1</v>
      </c>
      <c r="AJ172">
        <v>0.66666999999999998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6</v>
      </c>
      <c r="AV172">
        <v>3</v>
      </c>
      <c r="AW172">
        <v>8</v>
      </c>
      <c r="AX172">
        <v>1</v>
      </c>
      <c r="AY172">
        <v>18</v>
      </c>
      <c r="AZ172">
        <v>2</v>
      </c>
      <c r="BA172" t="s">
        <v>13658</v>
      </c>
      <c r="BB172" t="s">
        <v>13659</v>
      </c>
      <c r="BC172">
        <v>8.2000000000000003E-2</v>
      </c>
      <c r="BD172" t="s">
        <v>65</v>
      </c>
      <c r="BE172">
        <v>26</v>
      </c>
      <c r="BF172">
        <v>3</v>
      </c>
      <c r="BG172" t="s">
        <v>13660</v>
      </c>
      <c r="BH172" t="s">
        <v>13661</v>
      </c>
      <c r="BI172" t="s">
        <v>13662</v>
      </c>
      <c r="BJ172">
        <v>2.469E-2</v>
      </c>
      <c r="BK172">
        <v>1</v>
      </c>
      <c r="BL172" t="s">
        <v>69</v>
      </c>
      <c r="BM172">
        <v>-1.8120000000000001</v>
      </c>
      <c r="BN172">
        <v>0.93</v>
      </c>
    </row>
    <row r="173" spans="2:66">
      <c r="B173">
        <v>296</v>
      </c>
      <c r="C173">
        <v>222</v>
      </c>
      <c r="D173">
        <v>0</v>
      </c>
      <c r="E173">
        <v>4</v>
      </c>
      <c r="F173">
        <v>0</v>
      </c>
      <c r="J173">
        <v>0</v>
      </c>
      <c r="K173">
        <v>0</v>
      </c>
      <c r="L173">
        <v>0</v>
      </c>
      <c r="M173" t="s">
        <v>25022</v>
      </c>
      <c r="N173">
        <v>2353</v>
      </c>
      <c r="O173" t="s">
        <v>13663</v>
      </c>
      <c r="P173" t="s">
        <v>62</v>
      </c>
      <c r="Q173">
        <v>2366350</v>
      </c>
      <c r="R173">
        <v>2367618</v>
      </c>
      <c r="S173" t="s">
        <v>116</v>
      </c>
      <c r="T173">
        <v>423</v>
      </c>
      <c r="U173" t="s">
        <v>13664</v>
      </c>
      <c r="V173">
        <v>41</v>
      </c>
      <c r="W173" t="str">
        <f>HYPERLINK("Gene2353-zp_tree_all.dnd", "Gene2353-tree")</f>
        <v>Gene2353-tree</v>
      </c>
      <c r="X173">
        <v>6</v>
      </c>
      <c r="Y173">
        <v>7</v>
      </c>
      <c r="Z173">
        <v>6</v>
      </c>
      <c r="AA173">
        <v>7</v>
      </c>
      <c r="AB173">
        <v>0.53846000000000005</v>
      </c>
      <c r="AC173" t="s">
        <v>90</v>
      </c>
      <c r="AD173" t="s">
        <v>152</v>
      </c>
      <c r="AE173" t="s">
        <v>62</v>
      </c>
      <c r="AF173" t="s">
        <v>62</v>
      </c>
      <c r="AG173">
        <v>0</v>
      </c>
      <c r="AH173">
        <v>0</v>
      </c>
      <c r="AI173">
        <v>17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13</v>
      </c>
      <c r="AT173">
        <v>0</v>
      </c>
      <c r="AU173">
        <v>10</v>
      </c>
      <c r="AV173">
        <v>9</v>
      </c>
      <c r="AW173">
        <v>61</v>
      </c>
      <c r="AX173">
        <v>13</v>
      </c>
      <c r="AY173">
        <v>13</v>
      </c>
      <c r="AZ173">
        <v>4</v>
      </c>
      <c r="BA173" t="s">
        <v>13665</v>
      </c>
      <c r="BB173" t="s">
        <v>13666</v>
      </c>
      <c r="BC173">
        <v>0.20899999999999999</v>
      </c>
      <c r="BD173" t="s">
        <v>65</v>
      </c>
      <c r="BE173">
        <v>74</v>
      </c>
      <c r="BF173">
        <v>17</v>
      </c>
      <c r="BG173" t="s">
        <v>13667</v>
      </c>
      <c r="BH173" t="s">
        <v>13668</v>
      </c>
      <c r="BI173" t="s">
        <v>13669</v>
      </c>
      <c r="BJ173">
        <v>6.6019999999999995E-2</v>
      </c>
      <c r="BK173">
        <v>1</v>
      </c>
      <c r="BL173" t="s">
        <v>69</v>
      </c>
      <c r="BM173">
        <v>-1.7569999999999999</v>
      </c>
      <c r="BN173">
        <v>-4.4740000000000002</v>
      </c>
    </row>
    <row r="174" spans="2:66">
      <c r="B174">
        <v>297</v>
      </c>
      <c r="C174">
        <v>222</v>
      </c>
      <c r="D174">
        <v>0</v>
      </c>
      <c r="E174">
        <v>11</v>
      </c>
      <c r="F174">
        <v>7</v>
      </c>
      <c r="J174">
        <v>0</v>
      </c>
      <c r="K174">
        <v>3</v>
      </c>
      <c r="L174">
        <v>2</v>
      </c>
      <c r="M174" t="s">
        <v>25022</v>
      </c>
      <c r="N174">
        <v>2354</v>
      </c>
      <c r="O174" t="s">
        <v>13670</v>
      </c>
      <c r="P174" t="s">
        <v>62</v>
      </c>
      <c r="Q174">
        <v>2367957</v>
      </c>
      <c r="R174">
        <v>2369240</v>
      </c>
      <c r="S174" t="s">
        <v>13671</v>
      </c>
      <c r="T174">
        <v>428</v>
      </c>
      <c r="U174" t="s">
        <v>13568</v>
      </c>
      <c r="V174">
        <v>40</v>
      </c>
      <c r="W174" t="str">
        <f>HYPERLINK("Gene2354-zp_tree_all.dnd", "Gene2354-tree")</f>
        <v>Gene2354-tree</v>
      </c>
      <c r="X174">
        <v>6</v>
      </c>
      <c r="Y174">
        <v>8</v>
      </c>
      <c r="Z174">
        <v>6</v>
      </c>
      <c r="AA174">
        <v>8</v>
      </c>
      <c r="AB174">
        <v>0.57142999999999999</v>
      </c>
      <c r="AC174" t="s">
        <v>90</v>
      </c>
      <c r="AD174" t="s">
        <v>136</v>
      </c>
      <c r="AE174" t="s">
        <v>62</v>
      </c>
      <c r="AF174" t="s">
        <v>62</v>
      </c>
      <c r="AG174">
        <v>2</v>
      </c>
      <c r="AH174">
        <v>5</v>
      </c>
      <c r="AI174">
        <v>20</v>
      </c>
      <c r="AJ174">
        <v>0.2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2</v>
      </c>
      <c r="AQ174">
        <v>2</v>
      </c>
      <c r="AR174">
        <v>4</v>
      </c>
      <c r="AS174">
        <v>17</v>
      </c>
      <c r="AT174">
        <v>0.19048000000000001</v>
      </c>
      <c r="AU174">
        <v>12</v>
      </c>
      <c r="AV174">
        <v>9</v>
      </c>
      <c r="AW174">
        <v>44</v>
      </c>
      <c r="AX174">
        <v>19</v>
      </c>
      <c r="AY174">
        <v>24</v>
      </c>
      <c r="AZ174">
        <v>8</v>
      </c>
      <c r="BA174" t="s">
        <v>13672</v>
      </c>
      <c r="BB174" t="s">
        <v>13673</v>
      </c>
      <c r="BC174">
        <v>9.7000000000000003E-2</v>
      </c>
      <c r="BD174" t="s">
        <v>65</v>
      </c>
      <c r="BE174">
        <v>68</v>
      </c>
      <c r="BF174">
        <v>27</v>
      </c>
      <c r="BG174" t="s">
        <v>13674</v>
      </c>
      <c r="BH174" t="s">
        <v>13675</v>
      </c>
      <c r="BI174" t="s">
        <v>13676</v>
      </c>
      <c r="BJ174">
        <v>0.11636000000000001</v>
      </c>
      <c r="BK174">
        <v>1</v>
      </c>
      <c r="BL174" t="s">
        <v>69</v>
      </c>
      <c r="BM174">
        <v>-1.2769999999999999</v>
      </c>
      <c r="BN174">
        <v>-2.7029999999999998</v>
      </c>
    </row>
    <row r="175" spans="2:66">
      <c r="B175">
        <v>298</v>
      </c>
      <c r="C175">
        <v>10</v>
      </c>
      <c r="D175">
        <v>0</v>
      </c>
      <c r="E175">
        <v>2</v>
      </c>
      <c r="F175">
        <v>2</v>
      </c>
      <c r="J175">
        <v>0</v>
      </c>
      <c r="K175">
        <v>2</v>
      </c>
      <c r="L175">
        <v>0</v>
      </c>
      <c r="M175" t="s">
        <v>25022</v>
      </c>
      <c r="N175">
        <v>2355</v>
      </c>
      <c r="O175" t="s">
        <v>13677</v>
      </c>
      <c r="P175" t="s">
        <v>62</v>
      </c>
      <c r="Q175">
        <v>2369254</v>
      </c>
      <c r="R175">
        <v>2370366</v>
      </c>
      <c r="S175" t="s">
        <v>13678</v>
      </c>
      <c r="T175">
        <v>371</v>
      </c>
      <c r="U175" t="s">
        <v>13679</v>
      </c>
      <c r="V175">
        <v>39</v>
      </c>
      <c r="W175" t="str">
        <f>HYPERLINK("Gene2355-zp_tree_all.dnd", "Gene2355-tree")</f>
        <v>Gene2355-tree</v>
      </c>
      <c r="X175">
        <v>11</v>
      </c>
      <c r="Y175">
        <v>2</v>
      </c>
      <c r="Z175">
        <v>11</v>
      </c>
      <c r="AA175">
        <v>2</v>
      </c>
      <c r="AB175">
        <v>0.15384999999999999</v>
      </c>
      <c r="AC175" t="s">
        <v>73</v>
      </c>
      <c r="AD175" t="s">
        <v>81</v>
      </c>
      <c r="AE175" t="s">
        <v>62</v>
      </c>
      <c r="AF175" t="s">
        <v>62</v>
      </c>
      <c r="AG175">
        <v>1</v>
      </c>
      <c r="AH175">
        <v>2</v>
      </c>
      <c r="AI175">
        <v>3</v>
      </c>
      <c r="AJ175">
        <v>0.4</v>
      </c>
      <c r="AK175">
        <v>2</v>
      </c>
      <c r="AL175">
        <v>0</v>
      </c>
      <c r="AM175">
        <v>2</v>
      </c>
      <c r="AN175">
        <v>1</v>
      </c>
      <c r="AO175">
        <v>0.66666999999999998</v>
      </c>
      <c r="AP175">
        <v>0</v>
      </c>
      <c r="AQ175">
        <v>0</v>
      </c>
      <c r="AR175">
        <v>0</v>
      </c>
      <c r="AS175">
        <v>2</v>
      </c>
      <c r="AT175">
        <v>0</v>
      </c>
      <c r="AU175">
        <v>10</v>
      </c>
      <c r="AV175">
        <v>10</v>
      </c>
      <c r="AW175">
        <v>26</v>
      </c>
      <c r="AX175">
        <v>2</v>
      </c>
      <c r="AY175">
        <v>26</v>
      </c>
      <c r="AZ175">
        <v>3</v>
      </c>
      <c r="BA175" t="s">
        <v>13680</v>
      </c>
      <c r="BB175" t="s">
        <v>13681</v>
      </c>
      <c r="BC175">
        <v>0.184</v>
      </c>
      <c r="BD175" t="s">
        <v>65</v>
      </c>
      <c r="BE175">
        <v>52</v>
      </c>
      <c r="BF175">
        <v>5</v>
      </c>
      <c r="BG175" t="s">
        <v>13682</v>
      </c>
      <c r="BH175" t="s">
        <v>13683</v>
      </c>
      <c r="BI175" t="s">
        <v>13684</v>
      </c>
      <c r="BJ175">
        <v>2.776E-2</v>
      </c>
      <c r="BK175">
        <v>1</v>
      </c>
      <c r="BL175" t="s">
        <v>69</v>
      </c>
      <c r="BM175">
        <v>-0.14099999999999999</v>
      </c>
      <c r="BN175">
        <v>-0.55500000000000005</v>
      </c>
    </row>
    <row r="176" spans="2:66">
      <c r="B176">
        <v>299</v>
      </c>
      <c r="C176">
        <v>413</v>
      </c>
      <c r="D176">
        <v>0</v>
      </c>
      <c r="E176">
        <v>8</v>
      </c>
      <c r="F176">
        <v>2</v>
      </c>
      <c r="J176">
        <v>0</v>
      </c>
      <c r="K176">
        <v>2</v>
      </c>
      <c r="L176">
        <v>0</v>
      </c>
      <c r="M176" t="s">
        <v>25022</v>
      </c>
      <c r="N176">
        <v>2356</v>
      </c>
      <c r="O176" t="s">
        <v>13685</v>
      </c>
      <c r="P176" t="s">
        <v>62</v>
      </c>
      <c r="Q176">
        <v>2370418</v>
      </c>
      <c r="R176">
        <v>2371497</v>
      </c>
      <c r="S176" t="s">
        <v>13686</v>
      </c>
      <c r="T176">
        <v>360</v>
      </c>
      <c r="U176" t="s">
        <v>13679</v>
      </c>
      <c r="V176">
        <v>39</v>
      </c>
      <c r="W176" t="str">
        <f>HYPERLINK("Gene2356-zp_tree_all.dnd", "Gene2356-tree")</f>
        <v>Gene2356-tree</v>
      </c>
      <c r="X176">
        <v>5</v>
      </c>
      <c r="Y176">
        <v>7</v>
      </c>
      <c r="Z176">
        <v>5</v>
      </c>
      <c r="AA176">
        <v>7</v>
      </c>
      <c r="AB176">
        <v>0.58333000000000002</v>
      </c>
      <c r="AC176" t="s">
        <v>199</v>
      </c>
      <c r="AD176" t="s">
        <v>152</v>
      </c>
      <c r="AE176" t="s">
        <v>62</v>
      </c>
      <c r="AF176" t="s">
        <v>62</v>
      </c>
      <c r="AG176">
        <v>1</v>
      </c>
      <c r="AH176">
        <v>2</v>
      </c>
      <c r="AI176">
        <v>8</v>
      </c>
      <c r="AJ176">
        <v>0.2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7</v>
      </c>
      <c r="AT176">
        <v>0</v>
      </c>
      <c r="AU176">
        <v>9</v>
      </c>
      <c r="AV176">
        <v>6</v>
      </c>
      <c r="AW176">
        <v>23</v>
      </c>
      <c r="AX176">
        <v>6</v>
      </c>
      <c r="AY176">
        <v>20</v>
      </c>
      <c r="AZ176">
        <v>4</v>
      </c>
      <c r="BA176" t="s">
        <v>13687</v>
      </c>
      <c r="BB176" t="s">
        <v>13688</v>
      </c>
      <c r="BC176">
        <v>0.21299999999999999</v>
      </c>
      <c r="BD176" t="s">
        <v>65</v>
      </c>
      <c r="BE176">
        <v>43</v>
      </c>
      <c r="BF176">
        <v>10</v>
      </c>
      <c r="BG176" t="s">
        <v>13689</v>
      </c>
      <c r="BH176" t="s">
        <v>13690</v>
      </c>
      <c r="BI176" t="s">
        <v>13691</v>
      </c>
      <c r="BJ176">
        <v>7.5700000000000003E-2</v>
      </c>
      <c r="BK176">
        <v>1</v>
      </c>
      <c r="BL176" t="s">
        <v>69</v>
      </c>
      <c r="BM176">
        <v>-0.17799999999999999</v>
      </c>
      <c r="BN176">
        <v>-1.177</v>
      </c>
    </row>
    <row r="177" spans="2:66">
      <c r="B177">
        <v>300</v>
      </c>
      <c r="C177">
        <v>22</v>
      </c>
      <c r="D177">
        <v>0</v>
      </c>
      <c r="E177">
        <v>2</v>
      </c>
      <c r="F177">
        <v>0</v>
      </c>
      <c r="J177">
        <v>0</v>
      </c>
      <c r="K177">
        <v>5</v>
      </c>
      <c r="L177">
        <v>2</v>
      </c>
      <c r="M177" t="s">
        <v>25022</v>
      </c>
      <c r="N177">
        <v>2357</v>
      </c>
      <c r="O177" t="s">
        <v>13692</v>
      </c>
      <c r="P177" t="s">
        <v>62</v>
      </c>
      <c r="Q177">
        <v>2371511</v>
      </c>
      <c r="R177">
        <v>2372311</v>
      </c>
      <c r="S177" t="s">
        <v>13693</v>
      </c>
      <c r="T177">
        <v>267</v>
      </c>
      <c r="U177" t="s">
        <v>13694</v>
      </c>
      <c r="V177">
        <v>40</v>
      </c>
      <c r="W177" t="str">
        <f>HYPERLINK("Gene2357-zp_tree_all.dnd", "Gene2357-tree")</f>
        <v>Gene2357-tree</v>
      </c>
      <c r="X177">
        <v>7</v>
      </c>
      <c r="Y177">
        <v>7</v>
      </c>
      <c r="Z177">
        <v>7</v>
      </c>
      <c r="AA177">
        <v>7</v>
      </c>
      <c r="AB177">
        <v>0.5</v>
      </c>
      <c r="AC177" t="s">
        <v>152</v>
      </c>
      <c r="AD177" t="s">
        <v>152</v>
      </c>
      <c r="AE177" t="s">
        <v>62</v>
      </c>
      <c r="AF177" t="s">
        <v>62</v>
      </c>
      <c r="AG177">
        <v>3</v>
      </c>
      <c r="AH177">
        <v>7</v>
      </c>
      <c r="AI177">
        <v>16</v>
      </c>
      <c r="AJ177">
        <v>0.30435000000000001</v>
      </c>
      <c r="AK177">
        <v>0</v>
      </c>
      <c r="AL177">
        <v>0</v>
      </c>
      <c r="AM177">
        <v>0</v>
      </c>
      <c r="AN177">
        <v>2</v>
      </c>
      <c r="AO177">
        <v>0</v>
      </c>
      <c r="AP177">
        <v>2</v>
      </c>
      <c r="AQ177">
        <v>0</v>
      </c>
      <c r="AR177">
        <v>2</v>
      </c>
      <c r="AS177">
        <v>15</v>
      </c>
      <c r="AT177">
        <v>0.11765</v>
      </c>
      <c r="AU177">
        <v>12</v>
      </c>
      <c r="AV177">
        <v>9</v>
      </c>
      <c r="AW177">
        <v>34</v>
      </c>
      <c r="AX177">
        <v>18</v>
      </c>
      <c r="AY177">
        <v>19</v>
      </c>
      <c r="AZ177">
        <v>7</v>
      </c>
      <c r="BA177" t="s">
        <v>13695</v>
      </c>
      <c r="BB177" t="s">
        <v>13696</v>
      </c>
      <c r="BC177">
        <v>0.111</v>
      </c>
      <c r="BD177" t="s">
        <v>65</v>
      </c>
      <c r="BE177">
        <v>53</v>
      </c>
      <c r="BF177">
        <v>25</v>
      </c>
      <c r="BG177" t="s">
        <v>13697</v>
      </c>
      <c r="BH177" t="s">
        <v>13698</v>
      </c>
      <c r="BI177" t="s">
        <v>13699</v>
      </c>
      <c r="BJ177">
        <v>0.14598</v>
      </c>
      <c r="BK177">
        <v>1</v>
      </c>
      <c r="BL177" t="s">
        <v>69</v>
      </c>
      <c r="BM177">
        <v>-1.173</v>
      </c>
      <c r="BN177">
        <v>-2.9740000000000002</v>
      </c>
    </row>
    <row r="178" spans="2:66">
      <c r="B178">
        <v>301</v>
      </c>
      <c r="C178">
        <v>26</v>
      </c>
      <c r="D178">
        <v>0</v>
      </c>
      <c r="E178">
        <v>2</v>
      </c>
      <c r="F178">
        <v>0</v>
      </c>
      <c r="J178">
        <v>0</v>
      </c>
      <c r="K178">
        <v>3</v>
      </c>
      <c r="L178">
        <v>0</v>
      </c>
      <c r="M178" t="s">
        <v>25022</v>
      </c>
      <c r="N178">
        <v>2358</v>
      </c>
      <c r="O178" t="s">
        <v>13700</v>
      </c>
      <c r="P178" t="s">
        <v>62</v>
      </c>
      <c r="Q178">
        <v>2372307</v>
      </c>
      <c r="R178">
        <v>2373506</v>
      </c>
      <c r="S178" t="s">
        <v>13701</v>
      </c>
      <c r="T178">
        <v>400</v>
      </c>
      <c r="U178" t="s">
        <v>13679</v>
      </c>
      <c r="V178">
        <v>39</v>
      </c>
      <c r="W178" t="str">
        <f>HYPERLINK("Gene2358-zp_tree_all.dnd", "Gene2358-tree")</f>
        <v>Gene2358-tree</v>
      </c>
      <c r="X178">
        <v>10</v>
      </c>
      <c r="Y178">
        <v>4</v>
      </c>
      <c r="Z178">
        <v>10</v>
      </c>
      <c r="AA178">
        <v>4</v>
      </c>
      <c r="AB178">
        <v>0.28571000000000002</v>
      </c>
      <c r="AC178" t="s">
        <v>117</v>
      </c>
      <c r="AD178" t="s">
        <v>61</v>
      </c>
      <c r="AE178" t="s">
        <v>62</v>
      </c>
      <c r="AF178" t="s">
        <v>62</v>
      </c>
      <c r="AG178">
        <v>1</v>
      </c>
      <c r="AH178">
        <v>3</v>
      </c>
      <c r="AI178">
        <v>4</v>
      </c>
      <c r="AJ178">
        <v>0.42857000000000001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</v>
      </c>
      <c r="AQ178">
        <v>0</v>
      </c>
      <c r="AR178">
        <v>2</v>
      </c>
      <c r="AS178">
        <v>3</v>
      </c>
      <c r="AT178">
        <v>0.4</v>
      </c>
      <c r="AU178">
        <v>13</v>
      </c>
      <c r="AV178">
        <v>6</v>
      </c>
      <c r="AW178">
        <v>34</v>
      </c>
      <c r="AX178">
        <v>5</v>
      </c>
      <c r="AY178">
        <v>9</v>
      </c>
      <c r="AZ178">
        <v>2</v>
      </c>
      <c r="BA178" t="s">
        <v>13702</v>
      </c>
      <c r="BB178" t="s">
        <v>13703</v>
      </c>
      <c r="BC178">
        <v>0.314</v>
      </c>
      <c r="BD178" t="s">
        <v>65</v>
      </c>
      <c r="BE178">
        <v>43</v>
      </c>
      <c r="BF178">
        <v>7</v>
      </c>
      <c r="BG178" t="s">
        <v>13704</v>
      </c>
      <c r="BH178" t="s">
        <v>13705</v>
      </c>
      <c r="BI178" t="s">
        <v>13706</v>
      </c>
      <c r="BJ178">
        <v>5.423E-2</v>
      </c>
      <c r="BK178">
        <v>1</v>
      </c>
      <c r="BL178" t="s">
        <v>69</v>
      </c>
      <c r="BM178">
        <v>-0.21099999999999999</v>
      </c>
      <c r="BN178">
        <v>-1.181</v>
      </c>
    </row>
    <row r="179" spans="2:66">
      <c r="B179">
        <v>302</v>
      </c>
      <c r="C179">
        <v>7</v>
      </c>
      <c r="D179">
        <v>0</v>
      </c>
      <c r="E179">
        <v>6</v>
      </c>
      <c r="F179">
        <v>0</v>
      </c>
      <c r="J179">
        <v>0</v>
      </c>
      <c r="K179">
        <v>7</v>
      </c>
      <c r="L179">
        <v>3</v>
      </c>
      <c r="M179" t="s">
        <v>25022</v>
      </c>
      <c r="N179">
        <v>2359</v>
      </c>
      <c r="O179" t="s">
        <v>13707</v>
      </c>
      <c r="P179" t="s">
        <v>62</v>
      </c>
      <c r="Q179">
        <v>2373490</v>
      </c>
      <c r="R179">
        <v>2374134</v>
      </c>
      <c r="S179" t="s">
        <v>13708</v>
      </c>
      <c r="T179">
        <v>215</v>
      </c>
      <c r="U179" t="s">
        <v>13709</v>
      </c>
      <c r="V179">
        <v>41</v>
      </c>
      <c r="W179" t="str">
        <f>HYPERLINK("Gene2359-zp_tree_all.dnd", "Gene2359-tree")</f>
        <v>Gene2359-tree</v>
      </c>
      <c r="X179">
        <v>5</v>
      </c>
      <c r="Y179">
        <v>9</v>
      </c>
      <c r="Z179">
        <v>5</v>
      </c>
      <c r="AA179">
        <v>9</v>
      </c>
      <c r="AB179">
        <v>0.64285999999999999</v>
      </c>
      <c r="AC179" t="s">
        <v>199</v>
      </c>
      <c r="AD179" t="s">
        <v>135</v>
      </c>
      <c r="AE179" t="s">
        <v>62</v>
      </c>
      <c r="AF179" t="s">
        <v>62</v>
      </c>
      <c r="AG179">
        <v>4</v>
      </c>
      <c r="AH179">
        <v>10</v>
      </c>
      <c r="AI179">
        <v>15</v>
      </c>
      <c r="AJ179">
        <v>0.4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4</v>
      </c>
      <c r="AQ179">
        <v>2</v>
      </c>
      <c r="AR179">
        <v>6</v>
      </c>
      <c r="AS179">
        <v>12</v>
      </c>
      <c r="AT179">
        <v>0.33333000000000002</v>
      </c>
      <c r="AU179">
        <v>12</v>
      </c>
      <c r="AV179">
        <v>8</v>
      </c>
      <c r="AW179">
        <v>17</v>
      </c>
      <c r="AX179">
        <v>19</v>
      </c>
      <c r="AY179">
        <v>8</v>
      </c>
      <c r="AZ179">
        <v>7</v>
      </c>
      <c r="BA179" t="s">
        <v>13710</v>
      </c>
      <c r="BB179" t="s">
        <v>13711</v>
      </c>
      <c r="BC179">
        <v>0.254</v>
      </c>
      <c r="BD179" t="s">
        <v>65</v>
      </c>
      <c r="BE179">
        <v>25</v>
      </c>
      <c r="BF179">
        <v>26</v>
      </c>
      <c r="BG179" t="s">
        <v>13712</v>
      </c>
      <c r="BH179" t="s">
        <v>13713</v>
      </c>
      <c r="BI179" t="s">
        <v>13714</v>
      </c>
      <c r="BJ179">
        <v>0.33722000000000002</v>
      </c>
      <c r="BK179">
        <v>1</v>
      </c>
      <c r="BL179" t="s">
        <v>69</v>
      </c>
      <c r="BM179">
        <v>-1.123</v>
      </c>
      <c r="BN179">
        <v>-2.5070000000000001</v>
      </c>
    </row>
    <row r="180" spans="2:66">
      <c r="B180">
        <v>303</v>
      </c>
      <c r="C180">
        <v>310</v>
      </c>
      <c r="D180">
        <v>0</v>
      </c>
      <c r="E180">
        <v>7</v>
      </c>
      <c r="F180">
        <v>0</v>
      </c>
      <c r="J180">
        <v>0</v>
      </c>
      <c r="K180">
        <v>4</v>
      </c>
      <c r="L180">
        <v>2</v>
      </c>
      <c r="M180" t="s">
        <v>25022</v>
      </c>
      <c r="N180">
        <v>2361</v>
      </c>
      <c r="O180" t="s">
        <v>13715</v>
      </c>
      <c r="P180" t="s">
        <v>62</v>
      </c>
      <c r="Q180">
        <v>2374884</v>
      </c>
      <c r="R180">
        <v>2375897</v>
      </c>
      <c r="S180" t="s">
        <v>13716</v>
      </c>
      <c r="T180">
        <v>338</v>
      </c>
      <c r="U180" t="s">
        <v>13717</v>
      </c>
      <c r="V180">
        <v>40</v>
      </c>
      <c r="W180" t="str">
        <f>HYPERLINK("Gene2361-zp_tree_all.dnd", "Gene2361-tree")</f>
        <v>Gene2361-tree</v>
      </c>
      <c r="X180">
        <v>23</v>
      </c>
      <c r="Y180">
        <v>7</v>
      </c>
      <c r="Z180">
        <v>9</v>
      </c>
      <c r="AA180">
        <v>7</v>
      </c>
      <c r="AB180">
        <v>0.4375</v>
      </c>
      <c r="AC180" t="s">
        <v>13718</v>
      </c>
      <c r="AD180" t="s">
        <v>152</v>
      </c>
      <c r="AE180" t="s">
        <v>62</v>
      </c>
      <c r="AF180" t="s">
        <v>62</v>
      </c>
      <c r="AG180">
        <v>3</v>
      </c>
      <c r="AH180">
        <v>6</v>
      </c>
      <c r="AI180">
        <v>10</v>
      </c>
      <c r="AJ180">
        <v>0.375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2</v>
      </c>
      <c r="AQ180">
        <v>0</v>
      </c>
      <c r="AR180">
        <v>2</v>
      </c>
      <c r="AS180">
        <v>11</v>
      </c>
      <c r="AT180">
        <v>0.15384999999999999</v>
      </c>
      <c r="AU180">
        <v>14</v>
      </c>
      <c r="AV180">
        <v>11</v>
      </c>
      <c r="AW180">
        <v>38</v>
      </c>
      <c r="AX180">
        <v>13</v>
      </c>
      <c r="AY180">
        <v>21</v>
      </c>
      <c r="AZ180">
        <v>3</v>
      </c>
      <c r="BA180" t="s">
        <v>13719</v>
      </c>
      <c r="BB180" t="s">
        <v>13720</v>
      </c>
      <c r="BC180">
        <v>0.88600000000000001</v>
      </c>
      <c r="BD180" t="s">
        <v>65</v>
      </c>
      <c r="BE180">
        <v>59</v>
      </c>
      <c r="BF180">
        <v>16</v>
      </c>
      <c r="BG180" t="s">
        <v>13721</v>
      </c>
      <c r="BH180" t="s">
        <v>13722</v>
      </c>
      <c r="BI180" t="s">
        <v>13723</v>
      </c>
      <c r="BJ180">
        <v>7.9699999999999993E-2</v>
      </c>
      <c r="BK180">
        <v>1</v>
      </c>
      <c r="BL180" t="s">
        <v>69</v>
      </c>
      <c r="BM180">
        <v>-0.95799999999999996</v>
      </c>
      <c r="BN180">
        <v>-1.2370000000000001</v>
      </c>
    </row>
    <row r="181" spans="2:66">
      <c r="B181">
        <v>305</v>
      </c>
      <c r="C181">
        <v>587</v>
      </c>
      <c r="D181">
        <v>0</v>
      </c>
      <c r="E181">
        <v>17</v>
      </c>
      <c r="F181">
        <v>1</v>
      </c>
      <c r="J181">
        <v>0</v>
      </c>
      <c r="K181">
        <v>20</v>
      </c>
      <c r="L181">
        <v>2</v>
      </c>
      <c r="M181" t="s">
        <v>25022</v>
      </c>
      <c r="N181">
        <v>2362</v>
      </c>
      <c r="O181" t="s">
        <v>13724</v>
      </c>
      <c r="P181" t="s">
        <v>62</v>
      </c>
      <c r="Q181">
        <v>2375872</v>
      </c>
      <c r="R181">
        <v>2377416</v>
      </c>
      <c r="S181" t="s">
        <v>13725</v>
      </c>
      <c r="T181">
        <v>515</v>
      </c>
      <c r="U181" t="s">
        <v>13717</v>
      </c>
      <c r="V181">
        <v>40</v>
      </c>
      <c r="W181" t="str">
        <f>HYPERLINK("Gene2362-zp_tree_all.dnd", "Gene2362-tree")</f>
        <v>Gene2362-tree</v>
      </c>
      <c r="X181">
        <v>0</v>
      </c>
      <c r="Y181">
        <v>17</v>
      </c>
      <c r="Z181">
        <v>0</v>
      </c>
      <c r="AA181">
        <v>17</v>
      </c>
      <c r="AB181">
        <v>1</v>
      </c>
      <c r="AC181" t="s">
        <v>62</v>
      </c>
      <c r="AD181" t="s">
        <v>266</v>
      </c>
      <c r="AE181">
        <v>69600344.844999999</v>
      </c>
      <c r="AF181" t="s">
        <v>65</v>
      </c>
      <c r="AG181">
        <v>8</v>
      </c>
      <c r="AH181">
        <v>22</v>
      </c>
      <c r="AI181">
        <v>20</v>
      </c>
      <c r="AJ181">
        <v>0.52381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12</v>
      </c>
      <c r="AQ181">
        <v>2</v>
      </c>
      <c r="AR181">
        <v>14</v>
      </c>
      <c r="AS181">
        <v>17</v>
      </c>
      <c r="AT181">
        <v>0.45161000000000001</v>
      </c>
      <c r="AU181">
        <v>16</v>
      </c>
      <c r="AV181">
        <v>12</v>
      </c>
      <c r="AW181">
        <v>52</v>
      </c>
      <c r="AX181">
        <v>30</v>
      </c>
      <c r="AY181">
        <v>50</v>
      </c>
      <c r="AZ181">
        <v>12</v>
      </c>
      <c r="BA181" t="s">
        <v>13726</v>
      </c>
      <c r="BB181" t="s">
        <v>13727</v>
      </c>
      <c r="BC181">
        <v>2.1269999999999998</v>
      </c>
      <c r="BD181" t="s">
        <v>267</v>
      </c>
      <c r="BE181">
        <v>102</v>
      </c>
      <c r="BF181">
        <v>42</v>
      </c>
      <c r="BG181" t="s">
        <v>13728</v>
      </c>
      <c r="BH181" t="s">
        <v>13729</v>
      </c>
      <c r="BI181" t="s">
        <v>13730</v>
      </c>
      <c r="BJ181">
        <v>9.6049999999999996E-2</v>
      </c>
      <c r="BK181">
        <v>1</v>
      </c>
      <c r="BL181" t="s">
        <v>69</v>
      </c>
      <c r="BM181">
        <v>-0.93500000000000005</v>
      </c>
      <c r="BN181">
        <v>-0.56999999999999995</v>
      </c>
    </row>
    <row r="182" spans="2:66">
      <c r="B182">
        <v>306</v>
      </c>
      <c r="C182">
        <v>39</v>
      </c>
      <c r="D182">
        <v>0</v>
      </c>
      <c r="E182">
        <v>6</v>
      </c>
      <c r="F182">
        <v>0</v>
      </c>
      <c r="J182">
        <v>0</v>
      </c>
      <c r="K182">
        <v>0</v>
      </c>
      <c r="L182">
        <v>0</v>
      </c>
      <c r="M182" t="s">
        <v>25022</v>
      </c>
      <c r="N182">
        <v>2363</v>
      </c>
      <c r="O182" t="s">
        <v>13731</v>
      </c>
      <c r="P182" t="s">
        <v>62</v>
      </c>
      <c r="Q182">
        <v>2377635</v>
      </c>
      <c r="R182">
        <v>2378015</v>
      </c>
      <c r="S182" t="s">
        <v>13732</v>
      </c>
      <c r="T182">
        <v>127</v>
      </c>
      <c r="U182" t="s">
        <v>13717</v>
      </c>
      <c r="V182">
        <v>40</v>
      </c>
      <c r="W182" t="str">
        <f>HYPERLINK("Gene2363-zp_tree_all.dnd", "Gene2363-tree")</f>
        <v>Gene2363-tree</v>
      </c>
      <c r="X182">
        <v>6</v>
      </c>
      <c r="Y182">
        <v>12</v>
      </c>
      <c r="Z182">
        <v>6</v>
      </c>
      <c r="AA182">
        <v>4</v>
      </c>
      <c r="AB182">
        <v>0.4</v>
      </c>
      <c r="AC182" t="s">
        <v>90</v>
      </c>
      <c r="AD182" t="s">
        <v>13733</v>
      </c>
      <c r="AE182">
        <v>2.5</v>
      </c>
      <c r="AF182" t="s">
        <v>65</v>
      </c>
      <c r="AG182">
        <v>0</v>
      </c>
      <c r="AH182">
        <v>0</v>
      </c>
      <c r="AI182">
        <v>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4</v>
      </c>
      <c r="AT182">
        <v>0</v>
      </c>
      <c r="AU182">
        <v>9</v>
      </c>
      <c r="AV182">
        <v>2</v>
      </c>
      <c r="AW182">
        <v>11</v>
      </c>
      <c r="AX182">
        <v>4</v>
      </c>
      <c r="AY182">
        <v>4</v>
      </c>
      <c r="AZ182">
        <v>0</v>
      </c>
      <c r="BA182" t="s">
        <v>13734</v>
      </c>
      <c r="BB182" t="s">
        <v>193</v>
      </c>
      <c r="BC182">
        <v>1.0900000000000001</v>
      </c>
      <c r="BD182" t="s">
        <v>65</v>
      </c>
      <c r="BE182">
        <v>15</v>
      </c>
      <c r="BF182">
        <v>4</v>
      </c>
      <c r="BG182" t="s">
        <v>13735</v>
      </c>
      <c r="BH182" t="s">
        <v>13736</v>
      </c>
      <c r="BI182" t="s">
        <v>13737</v>
      </c>
      <c r="BJ182">
        <v>6.0429999999999998E-2</v>
      </c>
      <c r="BK182">
        <v>1</v>
      </c>
      <c r="BL182" t="s">
        <v>69</v>
      </c>
      <c r="BM182">
        <v>-0.42599999999999999</v>
      </c>
      <c r="BN182">
        <v>-1.1930000000000001</v>
      </c>
    </row>
    <row r="183" spans="2:66">
      <c r="B183">
        <v>307</v>
      </c>
      <c r="C183">
        <v>536</v>
      </c>
      <c r="D183">
        <v>0</v>
      </c>
      <c r="E183">
        <v>14</v>
      </c>
      <c r="F183">
        <v>3</v>
      </c>
      <c r="J183">
        <v>0</v>
      </c>
      <c r="K183">
        <v>8</v>
      </c>
      <c r="L183">
        <v>3</v>
      </c>
      <c r="M183" t="s">
        <v>25022</v>
      </c>
      <c r="N183">
        <v>2364</v>
      </c>
      <c r="O183" t="s">
        <v>13738</v>
      </c>
      <c r="P183" t="s">
        <v>62</v>
      </c>
      <c r="Q183">
        <v>2378015</v>
      </c>
      <c r="R183">
        <v>2379100</v>
      </c>
      <c r="S183" t="s">
        <v>13739</v>
      </c>
      <c r="T183">
        <v>362</v>
      </c>
      <c r="U183" t="s">
        <v>13740</v>
      </c>
      <c r="V183">
        <v>41</v>
      </c>
      <c r="W183" t="str">
        <f>HYPERLINK("Gene2364-zp_tree_all.dnd", "Gene2364-tree")</f>
        <v>Gene2364-tree</v>
      </c>
      <c r="X183">
        <v>4</v>
      </c>
      <c r="Y183">
        <v>10</v>
      </c>
      <c r="Z183">
        <v>4</v>
      </c>
      <c r="AA183">
        <v>10</v>
      </c>
      <c r="AB183">
        <v>0.71428999999999998</v>
      </c>
      <c r="AC183" t="s">
        <v>61</v>
      </c>
      <c r="AD183" t="s">
        <v>117</v>
      </c>
      <c r="AE183" t="s">
        <v>62</v>
      </c>
      <c r="AF183" t="s">
        <v>62</v>
      </c>
      <c r="AG183">
        <v>5</v>
      </c>
      <c r="AH183">
        <v>11</v>
      </c>
      <c r="AI183">
        <v>19</v>
      </c>
      <c r="AJ183">
        <v>0.36667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</v>
      </c>
      <c r="AQ183">
        <v>4</v>
      </c>
      <c r="AR183">
        <v>6</v>
      </c>
      <c r="AS183">
        <v>16</v>
      </c>
      <c r="AT183">
        <v>0.27272999999999997</v>
      </c>
      <c r="AU183">
        <v>13</v>
      </c>
      <c r="AV183">
        <v>9</v>
      </c>
      <c r="AW183">
        <v>77</v>
      </c>
      <c r="AX183">
        <v>22</v>
      </c>
      <c r="AY183">
        <v>60</v>
      </c>
      <c r="AZ183">
        <v>8</v>
      </c>
      <c r="BA183" t="s">
        <v>13741</v>
      </c>
      <c r="BB183" t="s">
        <v>13742</v>
      </c>
      <c r="BC183">
        <v>0.75800000000000001</v>
      </c>
      <c r="BD183" t="s">
        <v>65</v>
      </c>
      <c r="BE183">
        <v>137</v>
      </c>
      <c r="BF183">
        <v>30</v>
      </c>
      <c r="BG183" t="s">
        <v>13743</v>
      </c>
      <c r="BH183" t="s">
        <v>13744</v>
      </c>
      <c r="BI183" t="s">
        <v>13745</v>
      </c>
      <c r="BJ183">
        <v>6.3649999999999998E-2</v>
      </c>
      <c r="BK183">
        <v>1</v>
      </c>
      <c r="BL183" t="s">
        <v>69</v>
      </c>
      <c r="BM183">
        <v>-1.25</v>
      </c>
      <c r="BN183">
        <v>-2.6230000000000002</v>
      </c>
    </row>
    <row r="184" spans="2:66">
      <c r="B184">
        <v>308</v>
      </c>
      <c r="C184">
        <v>428</v>
      </c>
      <c r="D184">
        <v>2</v>
      </c>
      <c r="E184">
        <v>3</v>
      </c>
      <c r="F184">
        <v>8</v>
      </c>
      <c r="J184">
        <v>0</v>
      </c>
      <c r="K184">
        <v>3</v>
      </c>
      <c r="L184">
        <v>0</v>
      </c>
      <c r="M184" t="s">
        <v>25022</v>
      </c>
      <c r="N184">
        <v>2365</v>
      </c>
      <c r="O184" t="s">
        <v>13746</v>
      </c>
      <c r="P184" t="s">
        <v>62</v>
      </c>
      <c r="Q184">
        <v>2379103</v>
      </c>
      <c r="R184">
        <v>2380272</v>
      </c>
      <c r="S184" t="s">
        <v>13747</v>
      </c>
      <c r="T184">
        <v>390</v>
      </c>
      <c r="U184" t="s">
        <v>13748</v>
      </c>
      <c r="V184">
        <v>41</v>
      </c>
      <c r="W184" t="str">
        <f>HYPERLINK("Gene2365-zp_tree_all.dnd", "Gene2365-tree")</f>
        <v>Gene2365-tree</v>
      </c>
      <c r="X184">
        <v>12</v>
      </c>
      <c r="Y184">
        <v>3</v>
      </c>
      <c r="Z184">
        <v>12</v>
      </c>
      <c r="AA184">
        <v>3</v>
      </c>
      <c r="AB184">
        <v>0.2</v>
      </c>
      <c r="AC184" t="s">
        <v>109</v>
      </c>
      <c r="AD184" t="s">
        <v>324</v>
      </c>
      <c r="AE184" t="s">
        <v>62</v>
      </c>
      <c r="AF184" t="s">
        <v>62</v>
      </c>
      <c r="AG184">
        <v>1</v>
      </c>
      <c r="AH184">
        <v>3</v>
      </c>
      <c r="AI184">
        <v>3</v>
      </c>
      <c r="AJ184">
        <v>0.5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0</v>
      </c>
      <c r="AU184">
        <v>13</v>
      </c>
      <c r="AV184">
        <v>10</v>
      </c>
      <c r="AW184">
        <v>54</v>
      </c>
      <c r="AX184">
        <v>3</v>
      </c>
      <c r="AY184">
        <v>65</v>
      </c>
      <c r="AZ184">
        <v>3</v>
      </c>
      <c r="BA184" t="s">
        <v>13749</v>
      </c>
      <c r="BB184" t="s">
        <v>13750</v>
      </c>
      <c r="BC184">
        <v>0.111</v>
      </c>
      <c r="BD184" t="s">
        <v>65</v>
      </c>
      <c r="BE184">
        <v>119</v>
      </c>
      <c r="BF184">
        <v>6</v>
      </c>
      <c r="BG184" t="s">
        <v>13751</v>
      </c>
      <c r="BH184" t="s">
        <v>13752</v>
      </c>
      <c r="BI184" t="s">
        <v>13753</v>
      </c>
      <c r="BJ184">
        <v>8.6300000000000005E-3</v>
      </c>
      <c r="BK184">
        <v>1</v>
      </c>
      <c r="BL184" t="s">
        <v>69</v>
      </c>
      <c r="BM184">
        <v>-0.98399999999999999</v>
      </c>
      <c r="BN184">
        <v>0.29799999999999999</v>
      </c>
    </row>
    <row r="185" spans="2:66">
      <c r="B185">
        <v>311</v>
      </c>
      <c r="C185">
        <v>173</v>
      </c>
      <c r="D185">
        <v>0</v>
      </c>
      <c r="E185">
        <v>5</v>
      </c>
      <c r="F185">
        <v>0</v>
      </c>
      <c r="J185">
        <v>0</v>
      </c>
      <c r="K185">
        <v>4</v>
      </c>
      <c r="L185">
        <v>1</v>
      </c>
      <c r="M185" t="s">
        <v>25022</v>
      </c>
      <c r="N185">
        <v>2366</v>
      </c>
      <c r="O185" t="s">
        <v>13754</v>
      </c>
      <c r="P185" t="s">
        <v>62</v>
      </c>
      <c r="Q185">
        <v>2380350</v>
      </c>
      <c r="R185">
        <v>2381117</v>
      </c>
      <c r="S185" t="s">
        <v>13755</v>
      </c>
      <c r="T185">
        <v>256</v>
      </c>
      <c r="U185" t="s">
        <v>13568</v>
      </c>
      <c r="V185">
        <v>40</v>
      </c>
      <c r="W185" t="str">
        <f>HYPERLINK("Gene2366-zp_tree_all.dnd", "Gene2366-tree")</f>
        <v>Gene2366-tree</v>
      </c>
      <c r="X185">
        <v>9</v>
      </c>
      <c r="Y185">
        <v>7</v>
      </c>
      <c r="Z185">
        <v>9</v>
      </c>
      <c r="AA185">
        <v>7</v>
      </c>
      <c r="AB185">
        <v>0.4375</v>
      </c>
      <c r="AC185" t="s">
        <v>135</v>
      </c>
      <c r="AD185" t="s">
        <v>152</v>
      </c>
      <c r="AE185" t="s">
        <v>62</v>
      </c>
      <c r="AF185" t="s">
        <v>62</v>
      </c>
      <c r="AG185">
        <v>2</v>
      </c>
      <c r="AH185">
        <v>5</v>
      </c>
      <c r="AI185">
        <v>6</v>
      </c>
      <c r="AJ185">
        <v>0.45455000000000001</v>
      </c>
      <c r="AK185">
        <v>0</v>
      </c>
      <c r="AL185">
        <v>0</v>
      </c>
      <c r="AM185">
        <v>0</v>
      </c>
      <c r="AN185">
        <v>2</v>
      </c>
      <c r="AO185">
        <v>0</v>
      </c>
      <c r="AP185">
        <v>2</v>
      </c>
      <c r="AQ185">
        <v>2</v>
      </c>
      <c r="AR185">
        <v>4</v>
      </c>
      <c r="AS185">
        <v>4</v>
      </c>
      <c r="AT185">
        <v>0.5</v>
      </c>
      <c r="AU185">
        <v>12</v>
      </c>
      <c r="AV185">
        <v>9</v>
      </c>
      <c r="AW185">
        <v>38</v>
      </c>
      <c r="AX185">
        <v>7</v>
      </c>
      <c r="AY185">
        <v>16</v>
      </c>
      <c r="AZ185">
        <v>4</v>
      </c>
      <c r="BA185" t="s">
        <v>13756</v>
      </c>
      <c r="BB185" t="s">
        <v>13757</v>
      </c>
      <c r="BC185">
        <v>0.25600000000000001</v>
      </c>
      <c r="BD185" t="s">
        <v>65</v>
      </c>
      <c r="BE185">
        <v>54</v>
      </c>
      <c r="BF185">
        <v>11</v>
      </c>
      <c r="BG185" t="s">
        <v>13758</v>
      </c>
      <c r="BH185" t="s">
        <v>13759</v>
      </c>
      <c r="BI185" t="s">
        <v>13760</v>
      </c>
      <c r="BJ185">
        <v>5.4239999999999997E-2</v>
      </c>
      <c r="BK185">
        <v>1</v>
      </c>
      <c r="BL185" t="s">
        <v>69</v>
      </c>
      <c r="BM185">
        <v>-1.413</v>
      </c>
      <c r="BN185">
        <v>-2.371</v>
      </c>
    </row>
    <row r="186" spans="2:66">
      <c r="B186">
        <v>312</v>
      </c>
      <c r="C186">
        <v>260</v>
      </c>
      <c r="D186">
        <v>0</v>
      </c>
      <c r="E186">
        <v>0</v>
      </c>
      <c r="F186">
        <v>4</v>
      </c>
      <c r="J186">
        <v>0</v>
      </c>
      <c r="K186">
        <v>0</v>
      </c>
      <c r="L186">
        <v>0</v>
      </c>
      <c r="M186" t="s">
        <v>25022</v>
      </c>
      <c r="N186">
        <v>2367</v>
      </c>
      <c r="O186" t="s">
        <v>13761</v>
      </c>
      <c r="P186" t="s">
        <v>62</v>
      </c>
      <c r="Q186">
        <v>2381357</v>
      </c>
      <c r="R186">
        <v>2381803</v>
      </c>
      <c r="S186" t="s">
        <v>13762</v>
      </c>
      <c r="T186">
        <v>149</v>
      </c>
      <c r="U186" t="s">
        <v>59</v>
      </c>
      <c r="V186">
        <v>49</v>
      </c>
      <c r="W186" t="str">
        <f>HYPERLINK("Gene2367-zp_tree_all.dnd", "Gene2367-tree")</f>
        <v>Gene2367-tree</v>
      </c>
      <c r="X186">
        <v>14</v>
      </c>
      <c r="Y186">
        <v>4</v>
      </c>
      <c r="Z186">
        <v>14</v>
      </c>
      <c r="AA186">
        <v>4</v>
      </c>
      <c r="AB186">
        <v>0.22222</v>
      </c>
      <c r="AC186" t="s">
        <v>543</v>
      </c>
      <c r="AD186" t="s">
        <v>61</v>
      </c>
      <c r="AE186" t="s">
        <v>62</v>
      </c>
      <c r="AF186" t="s">
        <v>62</v>
      </c>
      <c r="AG186">
        <v>0</v>
      </c>
      <c r="AH186">
        <v>0</v>
      </c>
      <c r="AI186">
        <v>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4</v>
      </c>
      <c r="AT186">
        <v>0</v>
      </c>
      <c r="AU186">
        <v>12</v>
      </c>
      <c r="AV186">
        <v>8</v>
      </c>
      <c r="AW186">
        <v>11</v>
      </c>
      <c r="AX186">
        <v>3</v>
      </c>
      <c r="AY186">
        <v>27</v>
      </c>
      <c r="AZ186">
        <v>1</v>
      </c>
      <c r="BA186" t="s">
        <v>13763</v>
      </c>
      <c r="BB186" t="s">
        <v>13764</v>
      </c>
      <c r="BC186">
        <v>0.80800000000000005</v>
      </c>
      <c r="BD186" t="s">
        <v>65</v>
      </c>
      <c r="BE186">
        <v>38</v>
      </c>
      <c r="BF186">
        <v>4</v>
      </c>
      <c r="BG186" t="s">
        <v>13765</v>
      </c>
      <c r="BH186" t="s">
        <v>13766</v>
      </c>
      <c r="BI186" t="s">
        <v>13767</v>
      </c>
      <c r="BJ186">
        <v>1.9290000000000002E-2</v>
      </c>
      <c r="BK186">
        <v>1</v>
      </c>
      <c r="BL186" t="s">
        <v>69</v>
      </c>
      <c r="BM186">
        <v>-0.40600000000000003</v>
      </c>
      <c r="BN186">
        <v>0.628</v>
      </c>
    </row>
    <row r="187" spans="2:66">
      <c r="B187">
        <v>314</v>
      </c>
      <c r="C187">
        <v>117</v>
      </c>
      <c r="D187">
        <v>0</v>
      </c>
      <c r="E187">
        <v>2</v>
      </c>
      <c r="F187">
        <v>0</v>
      </c>
      <c r="J187">
        <v>0</v>
      </c>
      <c r="K187">
        <v>2</v>
      </c>
      <c r="L187">
        <v>0</v>
      </c>
      <c r="M187" t="s">
        <v>25022</v>
      </c>
      <c r="N187">
        <v>2368</v>
      </c>
      <c r="O187" t="s">
        <v>13768</v>
      </c>
      <c r="P187" t="s">
        <v>62</v>
      </c>
      <c r="Q187">
        <v>2381922</v>
      </c>
      <c r="R187">
        <v>2382965</v>
      </c>
      <c r="S187" t="s">
        <v>13769</v>
      </c>
      <c r="T187">
        <v>348</v>
      </c>
      <c r="U187" t="s">
        <v>59</v>
      </c>
      <c r="V187">
        <v>49</v>
      </c>
      <c r="W187" t="str">
        <f>HYPERLINK("Gene2368-zp_tree_all.dnd", "Gene2368-tree")</f>
        <v>Gene2368-tree</v>
      </c>
      <c r="X187">
        <v>16</v>
      </c>
      <c r="Y187">
        <v>5</v>
      </c>
      <c r="Z187">
        <v>16</v>
      </c>
      <c r="AA187">
        <v>5</v>
      </c>
      <c r="AB187">
        <v>0.23810000000000001</v>
      </c>
      <c r="AC187" t="s">
        <v>60</v>
      </c>
      <c r="AD187" t="s">
        <v>199</v>
      </c>
      <c r="AE187" t="s">
        <v>62</v>
      </c>
      <c r="AF187" t="s">
        <v>62</v>
      </c>
      <c r="AG187">
        <v>1</v>
      </c>
      <c r="AH187">
        <v>2</v>
      </c>
      <c r="AI187">
        <v>7</v>
      </c>
      <c r="AJ187">
        <v>0.22222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7</v>
      </c>
      <c r="AT187">
        <v>0</v>
      </c>
      <c r="AU187">
        <v>16</v>
      </c>
      <c r="AV187">
        <v>16</v>
      </c>
      <c r="AW187">
        <v>32</v>
      </c>
      <c r="AX187">
        <v>5</v>
      </c>
      <c r="AY187">
        <v>88</v>
      </c>
      <c r="AZ187">
        <v>4</v>
      </c>
      <c r="BA187" t="s">
        <v>13770</v>
      </c>
      <c r="BB187" t="s">
        <v>13771</v>
      </c>
      <c r="BC187">
        <v>0.65</v>
      </c>
      <c r="BD187" t="s">
        <v>65</v>
      </c>
      <c r="BE187">
        <v>120</v>
      </c>
      <c r="BF187">
        <v>9</v>
      </c>
      <c r="BG187" t="s">
        <v>13772</v>
      </c>
      <c r="BH187" t="s">
        <v>13773</v>
      </c>
      <c r="BI187" t="s">
        <v>13774</v>
      </c>
      <c r="BJ187">
        <v>1.345E-2</v>
      </c>
      <c r="BK187">
        <v>1</v>
      </c>
      <c r="BL187" t="s">
        <v>69</v>
      </c>
      <c r="BM187">
        <v>-0.14399999999999999</v>
      </c>
      <c r="BN187">
        <v>0.91400000000000003</v>
      </c>
    </row>
    <row r="188" spans="2:66">
      <c r="B188">
        <v>315</v>
      </c>
      <c r="C188">
        <v>25</v>
      </c>
      <c r="D188">
        <v>0</v>
      </c>
      <c r="E188">
        <v>6</v>
      </c>
      <c r="F188">
        <v>1</v>
      </c>
      <c r="J188">
        <v>0</v>
      </c>
      <c r="K188">
        <v>2</v>
      </c>
      <c r="L188">
        <v>0</v>
      </c>
      <c r="M188" t="s">
        <v>25022</v>
      </c>
      <c r="N188">
        <v>2369</v>
      </c>
      <c r="O188" t="s">
        <v>13775</v>
      </c>
      <c r="P188" t="s">
        <v>62</v>
      </c>
      <c r="Q188">
        <v>2382910</v>
      </c>
      <c r="R188">
        <v>2383608</v>
      </c>
      <c r="S188" t="s">
        <v>13776</v>
      </c>
      <c r="T188">
        <v>233</v>
      </c>
      <c r="U188" t="s">
        <v>59</v>
      </c>
      <c r="V188">
        <v>49</v>
      </c>
      <c r="W188" t="str">
        <f>HYPERLINK("Gene2369-zp_tree_all.dnd", "Gene2369-tree")</f>
        <v>Gene2369-tree</v>
      </c>
      <c r="X188">
        <v>11</v>
      </c>
      <c r="Y188">
        <v>5</v>
      </c>
      <c r="Z188">
        <v>11</v>
      </c>
      <c r="AA188">
        <v>5</v>
      </c>
      <c r="AB188">
        <v>0.3125</v>
      </c>
      <c r="AC188" t="s">
        <v>73</v>
      </c>
      <c r="AD188" t="s">
        <v>199</v>
      </c>
      <c r="AE188" t="s">
        <v>62</v>
      </c>
      <c r="AF188" t="s">
        <v>62</v>
      </c>
      <c r="AG188">
        <v>1</v>
      </c>
      <c r="AH188">
        <v>2</v>
      </c>
      <c r="AI188">
        <v>14</v>
      </c>
      <c r="AJ188">
        <v>0.125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6</v>
      </c>
      <c r="AT188">
        <v>0</v>
      </c>
      <c r="AU188">
        <v>12</v>
      </c>
      <c r="AV188">
        <v>8</v>
      </c>
      <c r="AW188">
        <v>31</v>
      </c>
      <c r="AX188">
        <v>6</v>
      </c>
      <c r="AY188">
        <v>36</v>
      </c>
      <c r="AZ188">
        <v>10</v>
      </c>
      <c r="BA188" t="s">
        <v>13777</v>
      </c>
      <c r="BB188" t="s">
        <v>13778</v>
      </c>
      <c r="BC188">
        <v>0.39800000000000002</v>
      </c>
      <c r="BD188" t="s">
        <v>65</v>
      </c>
      <c r="BE188">
        <v>67</v>
      </c>
      <c r="BF188">
        <v>16</v>
      </c>
      <c r="BG188" t="s">
        <v>13779</v>
      </c>
      <c r="BH188" t="s">
        <v>13780</v>
      </c>
      <c r="BI188" t="s">
        <v>13781</v>
      </c>
      <c r="BJ188">
        <v>8.0799999999999997E-2</v>
      </c>
      <c r="BK188">
        <v>1</v>
      </c>
      <c r="BL188" t="s">
        <v>69</v>
      </c>
      <c r="BM188">
        <v>-1.47</v>
      </c>
      <c r="BN188">
        <v>-0.878</v>
      </c>
    </row>
    <row r="189" spans="2:66">
      <c r="B189">
        <v>316</v>
      </c>
      <c r="C189">
        <v>53</v>
      </c>
      <c r="D189">
        <v>0</v>
      </c>
      <c r="E189">
        <v>4</v>
      </c>
      <c r="F189">
        <v>0</v>
      </c>
      <c r="J189">
        <v>0</v>
      </c>
      <c r="K189">
        <v>0</v>
      </c>
      <c r="L189">
        <v>0</v>
      </c>
      <c r="M189" t="s">
        <v>25022</v>
      </c>
      <c r="N189">
        <v>2370</v>
      </c>
      <c r="O189" t="s">
        <v>13782</v>
      </c>
      <c r="P189" t="s">
        <v>62</v>
      </c>
      <c r="Q189">
        <v>2383618</v>
      </c>
      <c r="R189">
        <v>2384370</v>
      </c>
      <c r="S189" t="s">
        <v>13783</v>
      </c>
      <c r="T189">
        <v>251</v>
      </c>
      <c r="U189" t="s">
        <v>59</v>
      </c>
      <c r="V189">
        <v>49</v>
      </c>
      <c r="W189" t="str">
        <f>HYPERLINK("Gene2370-zp_tree_all.dnd", "Gene2370-tree")</f>
        <v>Gene2370-tree</v>
      </c>
      <c r="X189">
        <v>13</v>
      </c>
      <c r="Y189">
        <v>2</v>
      </c>
      <c r="Z189">
        <v>13</v>
      </c>
      <c r="AA189">
        <v>2</v>
      </c>
      <c r="AB189">
        <v>0.13333</v>
      </c>
      <c r="AC189" t="s">
        <v>507</v>
      </c>
      <c r="AD189" t="s">
        <v>81</v>
      </c>
      <c r="AE189" t="s">
        <v>62</v>
      </c>
      <c r="AF189" t="s">
        <v>62</v>
      </c>
      <c r="AG189">
        <v>0</v>
      </c>
      <c r="AH189">
        <v>0</v>
      </c>
      <c r="AI189">
        <v>9</v>
      </c>
      <c r="AJ189">
        <v>0</v>
      </c>
      <c r="AK189">
        <v>0</v>
      </c>
      <c r="AL189">
        <v>0</v>
      </c>
      <c r="AM189">
        <v>0</v>
      </c>
      <c r="AN189">
        <v>2</v>
      </c>
      <c r="AO189">
        <v>0</v>
      </c>
      <c r="AP189">
        <v>0</v>
      </c>
      <c r="AQ189">
        <v>0</v>
      </c>
      <c r="AR189">
        <v>0</v>
      </c>
      <c r="AS189">
        <v>4</v>
      </c>
      <c r="AT189">
        <v>0</v>
      </c>
      <c r="AU189">
        <v>9</v>
      </c>
      <c r="AV189">
        <v>10</v>
      </c>
      <c r="AW189">
        <v>13</v>
      </c>
      <c r="AX189">
        <v>1</v>
      </c>
      <c r="AY189">
        <v>22</v>
      </c>
      <c r="AZ189">
        <v>9</v>
      </c>
      <c r="BA189" t="s">
        <v>13784</v>
      </c>
      <c r="BB189" t="s">
        <v>13785</v>
      </c>
      <c r="BC189">
        <v>0.77600000000000002</v>
      </c>
      <c r="BD189" t="s">
        <v>65</v>
      </c>
      <c r="BE189">
        <v>35</v>
      </c>
      <c r="BF189">
        <v>10</v>
      </c>
      <c r="BG189" t="s">
        <v>13786</v>
      </c>
      <c r="BH189" t="s">
        <v>13787</v>
      </c>
      <c r="BI189" t="s">
        <v>13788</v>
      </c>
      <c r="BJ189">
        <v>0.11053</v>
      </c>
      <c r="BK189">
        <v>1</v>
      </c>
      <c r="BL189" t="s">
        <v>69</v>
      </c>
      <c r="BM189">
        <v>-1.181</v>
      </c>
      <c r="BN189">
        <v>0.41199999999999998</v>
      </c>
    </row>
    <row r="190" spans="2:66">
      <c r="B190">
        <v>317</v>
      </c>
      <c r="C190">
        <v>175</v>
      </c>
      <c r="D190">
        <v>0</v>
      </c>
      <c r="E190">
        <v>13</v>
      </c>
      <c r="F190">
        <v>8</v>
      </c>
      <c r="J190">
        <v>0</v>
      </c>
      <c r="K190">
        <v>0</v>
      </c>
      <c r="L190">
        <v>0</v>
      </c>
      <c r="M190" t="s">
        <v>25022</v>
      </c>
      <c r="N190">
        <v>2371</v>
      </c>
      <c r="O190" t="s">
        <v>13789</v>
      </c>
      <c r="P190" t="s">
        <v>62</v>
      </c>
      <c r="Q190">
        <v>2384537</v>
      </c>
      <c r="R190">
        <v>2384761</v>
      </c>
      <c r="S190" t="s">
        <v>13790</v>
      </c>
      <c r="T190">
        <v>75</v>
      </c>
      <c r="U190" t="s">
        <v>59</v>
      </c>
      <c r="V190">
        <v>49</v>
      </c>
      <c r="W190" t="str">
        <f>HYPERLINK("Gene2371-zp_tree_all.dnd", "Gene2371-tree")</f>
        <v>Gene2371-tree</v>
      </c>
      <c r="X190">
        <v>45</v>
      </c>
      <c r="Y190">
        <v>1</v>
      </c>
      <c r="Z190">
        <v>9</v>
      </c>
      <c r="AA190">
        <v>1</v>
      </c>
      <c r="AB190">
        <v>0.1</v>
      </c>
      <c r="AC190" t="s">
        <v>13791</v>
      </c>
      <c r="AD190" t="s">
        <v>175</v>
      </c>
      <c r="AE190" t="s">
        <v>62</v>
      </c>
      <c r="AF190" t="s">
        <v>62</v>
      </c>
      <c r="AG190">
        <v>0</v>
      </c>
      <c r="AH190">
        <v>0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7</v>
      </c>
      <c r="AV190">
        <v>3</v>
      </c>
      <c r="AW190">
        <v>10</v>
      </c>
      <c r="AX190">
        <v>1</v>
      </c>
      <c r="AY190">
        <v>6</v>
      </c>
      <c r="AZ190">
        <v>1</v>
      </c>
      <c r="BA190" t="s">
        <v>13792</v>
      </c>
      <c r="BB190" t="s">
        <v>13793</v>
      </c>
      <c r="BC190">
        <v>0.19</v>
      </c>
      <c r="BD190" t="s">
        <v>65</v>
      </c>
      <c r="BE190">
        <v>16</v>
      </c>
      <c r="BF190">
        <v>2</v>
      </c>
      <c r="BG190" t="s">
        <v>13794</v>
      </c>
      <c r="BH190" t="s">
        <v>13795</v>
      </c>
      <c r="BI190" t="s">
        <v>13796</v>
      </c>
      <c r="BJ190">
        <v>3.918E-2</v>
      </c>
      <c r="BK190">
        <v>1</v>
      </c>
      <c r="BL190" t="s">
        <v>69</v>
      </c>
      <c r="BM190">
        <v>-1.71</v>
      </c>
      <c r="BN190">
        <v>-1.7110000000000001</v>
      </c>
    </row>
    <row r="191" spans="2:66">
      <c r="B191">
        <v>318</v>
      </c>
      <c r="C191">
        <v>46</v>
      </c>
      <c r="D191">
        <v>0</v>
      </c>
      <c r="E191">
        <v>21</v>
      </c>
      <c r="F191">
        <v>1</v>
      </c>
      <c r="J191">
        <v>0</v>
      </c>
      <c r="K191">
        <v>0</v>
      </c>
      <c r="L191">
        <v>0</v>
      </c>
      <c r="M191" t="s">
        <v>25022</v>
      </c>
      <c r="N191">
        <v>2372</v>
      </c>
      <c r="O191" t="s">
        <v>13797</v>
      </c>
      <c r="P191" t="s">
        <v>62</v>
      </c>
      <c r="Q191">
        <v>2384786</v>
      </c>
      <c r="R191">
        <v>2385355</v>
      </c>
      <c r="S191" t="s">
        <v>2288</v>
      </c>
      <c r="T191">
        <v>190</v>
      </c>
      <c r="U191" t="s">
        <v>59</v>
      </c>
      <c r="V191">
        <v>49</v>
      </c>
      <c r="W191" t="str">
        <f>HYPERLINK("Gene2372-zp_tree_all.dnd", "Gene2372-tree")</f>
        <v>Gene2372-tree</v>
      </c>
      <c r="X191">
        <v>13</v>
      </c>
      <c r="Y191">
        <v>2</v>
      </c>
      <c r="Z191">
        <v>13</v>
      </c>
      <c r="AA191">
        <v>2</v>
      </c>
      <c r="AB191">
        <v>0.13333</v>
      </c>
      <c r="AC191" t="s">
        <v>507</v>
      </c>
      <c r="AD191" t="s">
        <v>81</v>
      </c>
      <c r="AE191" t="s">
        <v>62</v>
      </c>
      <c r="AF191" t="s">
        <v>62</v>
      </c>
      <c r="AG191">
        <v>0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0</v>
      </c>
      <c r="AU191">
        <v>10</v>
      </c>
      <c r="AV191">
        <v>7</v>
      </c>
      <c r="AW191">
        <v>13</v>
      </c>
      <c r="AX191">
        <v>2</v>
      </c>
      <c r="AY191">
        <v>25</v>
      </c>
      <c r="AZ191">
        <v>0</v>
      </c>
      <c r="BA191" t="s">
        <v>13798</v>
      </c>
      <c r="BB191" t="s">
        <v>193</v>
      </c>
      <c r="BC191">
        <v>0.76600000000000001</v>
      </c>
      <c r="BD191" t="s">
        <v>65</v>
      </c>
      <c r="BE191">
        <v>38</v>
      </c>
      <c r="BF191">
        <v>2</v>
      </c>
      <c r="BG191" t="s">
        <v>13799</v>
      </c>
      <c r="BH191" t="s">
        <v>13800</v>
      </c>
      <c r="BI191" t="s">
        <v>13801</v>
      </c>
      <c r="BJ191">
        <v>7.3000000000000001E-3</v>
      </c>
      <c r="BK191">
        <v>1</v>
      </c>
      <c r="BL191" t="s">
        <v>69</v>
      </c>
      <c r="BM191">
        <v>-1.6459999999999999</v>
      </c>
      <c r="BN191">
        <v>-1.401</v>
      </c>
    </row>
    <row r="192" spans="2:66">
      <c r="B192">
        <v>319</v>
      </c>
      <c r="C192">
        <v>111</v>
      </c>
      <c r="D192">
        <v>0</v>
      </c>
      <c r="E192">
        <v>7</v>
      </c>
      <c r="F192">
        <v>2</v>
      </c>
      <c r="J192">
        <v>0</v>
      </c>
      <c r="K192">
        <v>0</v>
      </c>
      <c r="L192">
        <v>0</v>
      </c>
      <c r="M192" t="s">
        <v>25022</v>
      </c>
      <c r="N192">
        <v>2373</v>
      </c>
      <c r="O192" t="s">
        <v>13802</v>
      </c>
      <c r="P192" t="s">
        <v>62</v>
      </c>
      <c r="Q192">
        <v>2385546</v>
      </c>
      <c r="R192">
        <v>2385821</v>
      </c>
      <c r="S192" t="s">
        <v>13803</v>
      </c>
      <c r="T192">
        <v>92</v>
      </c>
      <c r="U192" t="s">
        <v>59</v>
      </c>
      <c r="V192">
        <v>49</v>
      </c>
      <c r="W192" t="str">
        <f>HYPERLINK("Gene2373-zp_tree_all.dnd", "Gene2373-tree")</f>
        <v>Gene2373-tree</v>
      </c>
      <c r="X192">
        <v>7</v>
      </c>
      <c r="Y192">
        <v>0</v>
      </c>
      <c r="Z192">
        <v>7</v>
      </c>
      <c r="AA192">
        <v>0</v>
      </c>
      <c r="AB192">
        <v>0</v>
      </c>
      <c r="AC192" t="s">
        <v>152</v>
      </c>
      <c r="AD192" t="s">
        <v>62</v>
      </c>
      <c r="AE192" t="s">
        <v>62</v>
      </c>
      <c r="AF192" t="s">
        <v>62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</v>
      </c>
      <c r="AV192">
        <v>2</v>
      </c>
      <c r="AW192">
        <v>4</v>
      </c>
      <c r="AX192">
        <v>0</v>
      </c>
      <c r="AY192">
        <v>2</v>
      </c>
      <c r="AZ192">
        <v>0</v>
      </c>
      <c r="BA192" t="s">
        <v>193</v>
      </c>
      <c r="BB192" t="s">
        <v>193</v>
      </c>
      <c r="BC192">
        <v>0</v>
      </c>
      <c r="BD192" t="s">
        <v>65</v>
      </c>
      <c r="BE192">
        <v>6</v>
      </c>
      <c r="BF192">
        <v>0</v>
      </c>
      <c r="BG192" t="s">
        <v>13804</v>
      </c>
      <c r="BH192" t="s">
        <v>13805</v>
      </c>
      <c r="BI192" t="s">
        <v>193</v>
      </c>
      <c r="BJ192">
        <v>0</v>
      </c>
      <c r="BK192">
        <v>1</v>
      </c>
      <c r="BL192" t="s">
        <v>69</v>
      </c>
      <c r="BM192">
        <v>-0.79600000000000004</v>
      </c>
      <c r="BN192">
        <v>-1.393</v>
      </c>
    </row>
    <row r="193" spans="2:66">
      <c r="B193">
        <v>320</v>
      </c>
      <c r="C193">
        <v>184</v>
      </c>
      <c r="D193">
        <v>0</v>
      </c>
      <c r="E193">
        <v>2</v>
      </c>
      <c r="F193">
        <v>2</v>
      </c>
      <c r="J193">
        <v>0</v>
      </c>
      <c r="K193">
        <v>0</v>
      </c>
      <c r="L193">
        <v>0</v>
      </c>
      <c r="M193" t="s">
        <v>25022</v>
      </c>
      <c r="N193">
        <v>2374</v>
      </c>
      <c r="O193" t="s">
        <v>13806</v>
      </c>
      <c r="P193" t="s">
        <v>62</v>
      </c>
      <c r="Q193">
        <v>2386198</v>
      </c>
      <c r="R193">
        <v>2387673</v>
      </c>
      <c r="S193" t="s">
        <v>13807</v>
      </c>
      <c r="T193">
        <v>492</v>
      </c>
      <c r="U193" t="s">
        <v>59</v>
      </c>
      <c r="V193">
        <v>49</v>
      </c>
      <c r="W193" t="str">
        <f>HYPERLINK("Gene2374-zp_tree_all.dnd", "Gene2374-tree")</f>
        <v>Gene2374-tree</v>
      </c>
      <c r="X193">
        <v>19</v>
      </c>
      <c r="Y193">
        <v>1</v>
      </c>
      <c r="Z193">
        <v>19</v>
      </c>
      <c r="AA193">
        <v>1</v>
      </c>
      <c r="AB193">
        <v>0.05</v>
      </c>
      <c r="AC193" t="s">
        <v>587</v>
      </c>
      <c r="AD193" t="s">
        <v>175</v>
      </c>
      <c r="AE193" t="s">
        <v>62</v>
      </c>
      <c r="AF193" t="s">
        <v>62</v>
      </c>
      <c r="AG193">
        <v>0</v>
      </c>
      <c r="AH193">
        <v>0</v>
      </c>
      <c r="AI193">
        <v>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16</v>
      </c>
      <c r="AV193">
        <v>16</v>
      </c>
      <c r="AW193">
        <v>54</v>
      </c>
      <c r="AX193">
        <v>1</v>
      </c>
      <c r="AY193">
        <v>98</v>
      </c>
      <c r="AZ193">
        <v>4</v>
      </c>
      <c r="BA193" t="s">
        <v>13808</v>
      </c>
      <c r="BB193" t="s">
        <v>13809</v>
      </c>
      <c r="BC193">
        <v>0.20899999999999999</v>
      </c>
      <c r="BD193" t="s">
        <v>65</v>
      </c>
      <c r="BE193">
        <v>152</v>
      </c>
      <c r="BF193">
        <v>5</v>
      </c>
      <c r="BG193" t="s">
        <v>13810</v>
      </c>
      <c r="BH193" t="s">
        <v>13811</v>
      </c>
      <c r="BI193" t="s">
        <v>13812</v>
      </c>
      <c r="BJ193">
        <v>1.346E-2</v>
      </c>
      <c r="BK193">
        <v>1</v>
      </c>
      <c r="BL193" t="s">
        <v>69</v>
      </c>
      <c r="BM193">
        <v>-1.171</v>
      </c>
      <c r="BN193">
        <v>-0.67</v>
      </c>
    </row>
    <row r="194" spans="2:66">
      <c r="B194">
        <v>321</v>
      </c>
      <c r="C194">
        <v>149</v>
      </c>
      <c r="D194">
        <v>0</v>
      </c>
      <c r="E194">
        <v>4</v>
      </c>
      <c r="F194">
        <v>0</v>
      </c>
      <c r="J194">
        <v>0</v>
      </c>
      <c r="K194">
        <v>5</v>
      </c>
      <c r="L194">
        <v>2</v>
      </c>
      <c r="M194" t="s">
        <v>25022</v>
      </c>
      <c r="N194">
        <v>2375</v>
      </c>
      <c r="O194" t="s">
        <v>13813</v>
      </c>
      <c r="P194" t="s">
        <v>62</v>
      </c>
      <c r="Q194">
        <v>2387857</v>
      </c>
      <c r="R194">
        <v>2388588</v>
      </c>
      <c r="S194" t="s">
        <v>13814</v>
      </c>
      <c r="T194">
        <v>244</v>
      </c>
      <c r="U194" t="s">
        <v>108</v>
      </c>
      <c r="V194">
        <v>44</v>
      </c>
      <c r="W194" t="str">
        <f>HYPERLINK("Gene2375-zp_tree_all.dnd", "Gene2375-tree")</f>
        <v>Gene2375-tree</v>
      </c>
      <c r="X194">
        <v>4</v>
      </c>
      <c r="Y194">
        <v>9</v>
      </c>
      <c r="Z194">
        <v>4</v>
      </c>
      <c r="AA194">
        <v>9</v>
      </c>
      <c r="AB194">
        <v>0.69230999999999998</v>
      </c>
      <c r="AC194" t="s">
        <v>61</v>
      </c>
      <c r="AD194" t="s">
        <v>135</v>
      </c>
      <c r="AE194" t="s">
        <v>62</v>
      </c>
      <c r="AF194" t="s">
        <v>62</v>
      </c>
      <c r="AG194">
        <v>3</v>
      </c>
      <c r="AH194">
        <v>7</v>
      </c>
      <c r="AI194">
        <v>8</v>
      </c>
      <c r="AJ194">
        <v>0.46666999999999997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2</v>
      </c>
      <c r="AQ194">
        <v>0</v>
      </c>
      <c r="AR194">
        <v>2</v>
      </c>
      <c r="AS194">
        <v>10</v>
      </c>
      <c r="AT194">
        <v>0.16667000000000001</v>
      </c>
      <c r="AU194">
        <v>11</v>
      </c>
      <c r="AV194">
        <v>8</v>
      </c>
      <c r="AW194">
        <v>16</v>
      </c>
      <c r="AX194">
        <v>11</v>
      </c>
      <c r="AY194">
        <v>8</v>
      </c>
      <c r="AZ194">
        <v>4</v>
      </c>
      <c r="BA194" t="s">
        <v>13815</v>
      </c>
      <c r="BB194" t="s">
        <v>13816</v>
      </c>
      <c r="BC194">
        <v>0.53700000000000003</v>
      </c>
      <c r="BD194" t="s">
        <v>65</v>
      </c>
      <c r="BE194">
        <v>24</v>
      </c>
      <c r="BF194">
        <v>15</v>
      </c>
      <c r="BG194" t="s">
        <v>13817</v>
      </c>
      <c r="BH194" t="s">
        <v>13818</v>
      </c>
      <c r="BI194" t="s">
        <v>13819</v>
      </c>
      <c r="BJ194">
        <v>0.13005</v>
      </c>
      <c r="BK194">
        <v>1</v>
      </c>
      <c r="BL194" t="s">
        <v>69</v>
      </c>
      <c r="BM194">
        <v>-0.98299999999999998</v>
      </c>
      <c r="BN194">
        <v>-1.8440000000000001</v>
      </c>
    </row>
    <row r="195" spans="2:66">
      <c r="B195">
        <v>325</v>
      </c>
      <c r="C195">
        <v>192</v>
      </c>
      <c r="D195">
        <v>0</v>
      </c>
      <c r="E195">
        <v>6</v>
      </c>
      <c r="F195">
        <v>1</v>
      </c>
      <c r="J195">
        <v>0</v>
      </c>
      <c r="K195">
        <v>2</v>
      </c>
      <c r="L195">
        <v>0</v>
      </c>
      <c r="M195" t="s">
        <v>25022</v>
      </c>
      <c r="N195">
        <v>2376</v>
      </c>
      <c r="O195" t="s">
        <v>13820</v>
      </c>
      <c r="P195" t="s">
        <v>62</v>
      </c>
      <c r="Q195">
        <v>2388613</v>
      </c>
      <c r="R195">
        <v>2388813</v>
      </c>
      <c r="S195" t="s">
        <v>116</v>
      </c>
      <c r="T195">
        <v>67</v>
      </c>
      <c r="U195" t="s">
        <v>698</v>
      </c>
      <c r="V195">
        <v>47</v>
      </c>
      <c r="W195" t="str">
        <f>HYPERLINK("Gene2376-zp_tree_all.dnd", "Gene2376-tree")</f>
        <v>Gene2376-tree</v>
      </c>
      <c r="X195">
        <v>8</v>
      </c>
      <c r="Y195">
        <v>3</v>
      </c>
      <c r="Z195">
        <v>8</v>
      </c>
      <c r="AA195">
        <v>3</v>
      </c>
      <c r="AB195">
        <v>0.27272999999999997</v>
      </c>
      <c r="AC195" t="s">
        <v>136</v>
      </c>
      <c r="AD195" t="s">
        <v>324</v>
      </c>
      <c r="AE195" t="s">
        <v>62</v>
      </c>
      <c r="AF195" t="s">
        <v>62</v>
      </c>
      <c r="AG195">
        <v>1</v>
      </c>
      <c r="AH195">
        <v>2</v>
      </c>
      <c r="AI195">
        <v>4</v>
      </c>
      <c r="AJ195">
        <v>0.33333000000000002</v>
      </c>
      <c r="AK195">
        <v>0</v>
      </c>
      <c r="AL195">
        <v>0</v>
      </c>
      <c r="AM195">
        <v>0</v>
      </c>
      <c r="AN195">
        <v>3</v>
      </c>
      <c r="AO195">
        <v>0</v>
      </c>
      <c r="AP195">
        <v>2</v>
      </c>
      <c r="AQ195">
        <v>0</v>
      </c>
      <c r="AR195">
        <v>2</v>
      </c>
      <c r="AS195">
        <v>1</v>
      </c>
      <c r="AT195">
        <v>0.66666999999999998</v>
      </c>
      <c r="AU195">
        <v>8</v>
      </c>
      <c r="AV195">
        <v>4</v>
      </c>
      <c r="AW195">
        <v>8</v>
      </c>
      <c r="AX195">
        <v>3</v>
      </c>
      <c r="AY195">
        <v>7</v>
      </c>
      <c r="AZ195">
        <v>3</v>
      </c>
      <c r="BA195" t="s">
        <v>13821</v>
      </c>
      <c r="BB195" t="s">
        <v>13822</v>
      </c>
      <c r="BC195">
        <v>6.3E-2</v>
      </c>
      <c r="BD195" t="s">
        <v>65</v>
      </c>
      <c r="BE195">
        <v>15</v>
      </c>
      <c r="BF195">
        <v>6</v>
      </c>
      <c r="BG195" t="s">
        <v>13823</v>
      </c>
      <c r="BH195" t="s">
        <v>13824</v>
      </c>
      <c r="BI195" t="s">
        <v>13825</v>
      </c>
      <c r="BJ195">
        <v>0.11508</v>
      </c>
      <c r="BK195">
        <v>1</v>
      </c>
      <c r="BL195" t="s">
        <v>69</v>
      </c>
      <c r="BM195">
        <v>-1.3480000000000001</v>
      </c>
      <c r="BN195">
        <v>-1.117</v>
      </c>
    </row>
    <row r="196" spans="2:66">
      <c r="B196">
        <v>326</v>
      </c>
      <c r="C196">
        <v>135</v>
      </c>
      <c r="D196">
        <v>0</v>
      </c>
      <c r="E196">
        <v>2</v>
      </c>
      <c r="F196">
        <v>0</v>
      </c>
      <c r="J196">
        <v>0</v>
      </c>
      <c r="K196">
        <v>7</v>
      </c>
      <c r="L196">
        <v>0</v>
      </c>
      <c r="M196" t="s">
        <v>25022</v>
      </c>
      <c r="N196">
        <v>2377</v>
      </c>
      <c r="O196" t="s">
        <v>13826</v>
      </c>
      <c r="P196" t="s">
        <v>62</v>
      </c>
      <c r="Q196">
        <v>2389154</v>
      </c>
      <c r="R196">
        <v>2390188</v>
      </c>
      <c r="S196" t="s">
        <v>13827</v>
      </c>
      <c r="T196">
        <v>345</v>
      </c>
      <c r="U196" t="s">
        <v>1124</v>
      </c>
      <c r="V196">
        <v>43</v>
      </c>
      <c r="W196" t="str">
        <f>HYPERLINK("Gene2377-zp_tree_all.dnd", "Gene2377-tree")</f>
        <v>Gene2377-tree</v>
      </c>
      <c r="X196">
        <v>5</v>
      </c>
      <c r="Y196">
        <v>6</v>
      </c>
      <c r="Z196">
        <v>5</v>
      </c>
      <c r="AA196">
        <v>6</v>
      </c>
      <c r="AB196">
        <v>0.54544999999999999</v>
      </c>
      <c r="AC196" t="s">
        <v>199</v>
      </c>
      <c r="AD196" t="s">
        <v>90</v>
      </c>
      <c r="AE196" t="s">
        <v>62</v>
      </c>
      <c r="AF196" t="s">
        <v>62</v>
      </c>
      <c r="AG196">
        <v>3</v>
      </c>
      <c r="AH196">
        <v>7</v>
      </c>
      <c r="AI196">
        <v>17</v>
      </c>
      <c r="AJ196">
        <v>0.29166999999999998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3</v>
      </c>
      <c r="AQ196">
        <v>0</v>
      </c>
      <c r="AR196">
        <v>3</v>
      </c>
      <c r="AS196">
        <v>6</v>
      </c>
      <c r="AT196">
        <v>0.33333000000000002</v>
      </c>
      <c r="AU196">
        <v>11</v>
      </c>
      <c r="AV196">
        <v>7</v>
      </c>
      <c r="AW196">
        <v>42</v>
      </c>
      <c r="AX196">
        <v>10</v>
      </c>
      <c r="AY196">
        <v>34</v>
      </c>
      <c r="AZ196">
        <v>20</v>
      </c>
      <c r="BA196" t="s">
        <v>13828</v>
      </c>
      <c r="BB196" t="s">
        <v>13829</v>
      </c>
      <c r="BC196">
        <v>0.19900000000000001</v>
      </c>
      <c r="BD196" t="s">
        <v>65</v>
      </c>
      <c r="BE196">
        <v>76</v>
      </c>
      <c r="BF196">
        <v>30</v>
      </c>
      <c r="BG196" t="s">
        <v>13830</v>
      </c>
      <c r="BH196" t="s">
        <v>13831</v>
      </c>
      <c r="BI196" t="s">
        <v>13832</v>
      </c>
      <c r="BJ196">
        <v>0.14851</v>
      </c>
      <c r="BK196">
        <v>1</v>
      </c>
      <c r="BL196" t="s">
        <v>69</v>
      </c>
      <c r="BM196">
        <v>0.378</v>
      </c>
      <c r="BN196">
        <v>-0.39200000000000002</v>
      </c>
    </row>
    <row r="197" spans="2:66">
      <c r="B197">
        <v>327</v>
      </c>
      <c r="C197">
        <v>280</v>
      </c>
      <c r="D197">
        <v>0</v>
      </c>
      <c r="E197">
        <v>18</v>
      </c>
      <c r="F197">
        <v>10</v>
      </c>
      <c r="J197">
        <v>0</v>
      </c>
      <c r="K197">
        <v>2</v>
      </c>
      <c r="L197">
        <v>0</v>
      </c>
      <c r="M197" t="s">
        <v>25022</v>
      </c>
      <c r="N197">
        <v>2378</v>
      </c>
      <c r="O197" t="s">
        <v>13833</v>
      </c>
      <c r="P197" t="s">
        <v>62</v>
      </c>
      <c r="Q197">
        <v>2390209</v>
      </c>
      <c r="R197">
        <v>2391516</v>
      </c>
      <c r="S197" t="s">
        <v>13834</v>
      </c>
      <c r="T197">
        <v>436</v>
      </c>
      <c r="U197" t="s">
        <v>108</v>
      </c>
      <c r="V197">
        <v>44</v>
      </c>
      <c r="W197" t="str">
        <f>HYPERLINK("Gene2378-zp_tree_all.dnd", "Gene2378-tree")</f>
        <v>Gene2378-tree</v>
      </c>
      <c r="X197">
        <v>7</v>
      </c>
      <c r="Y197">
        <v>5</v>
      </c>
      <c r="Z197">
        <v>7</v>
      </c>
      <c r="AA197">
        <v>5</v>
      </c>
      <c r="AB197">
        <v>0.41666999999999998</v>
      </c>
      <c r="AC197" t="s">
        <v>152</v>
      </c>
      <c r="AD197" t="s">
        <v>199</v>
      </c>
      <c r="AE197" t="s">
        <v>62</v>
      </c>
      <c r="AF197" t="s">
        <v>62</v>
      </c>
      <c r="AG197">
        <v>1</v>
      </c>
      <c r="AH197">
        <v>2</v>
      </c>
      <c r="AI197">
        <v>6</v>
      </c>
      <c r="AJ197">
        <v>0.25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0</v>
      </c>
      <c r="AR197">
        <v>2</v>
      </c>
      <c r="AS197">
        <v>5</v>
      </c>
      <c r="AT197">
        <v>0.28571000000000002</v>
      </c>
      <c r="AU197">
        <v>10</v>
      </c>
      <c r="AV197">
        <v>8</v>
      </c>
      <c r="AW197">
        <v>36</v>
      </c>
      <c r="AX197">
        <v>7</v>
      </c>
      <c r="AY197">
        <v>32</v>
      </c>
      <c r="AZ197">
        <v>1</v>
      </c>
      <c r="BA197" t="s">
        <v>13835</v>
      </c>
      <c r="BB197" t="s">
        <v>13836</v>
      </c>
      <c r="BC197">
        <v>1.2969999999999999</v>
      </c>
      <c r="BD197" t="s">
        <v>65</v>
      </c>
      <c r="BE197">
        <v>68</v>
      </c>
      <c r="BF197">
        <v>8</v>
      </c>
      <c r="BG197" t="s">
        <v>13837</v>
      </c>
      <c r="BH197" t="s">
        <v>13838</v>
      </c>
      <c r="BI197" t="s">
        <v>13839</v>
      </c>
      <c r="BJ197">
        <v>3.2390000000000002E-2</v>
      </c>
      <c r="BK197">
        <v>1</v>
      </c>
      <c r="BL197" t="s">
        <v>69</v>
      </c>
      <c r="BM197">
        <v>0.18</v>
      </c>
      <c r="BN197">
        <v>-1.0289999999999999</v>
      </c>
    </row>
    <row r="198" spans="2:66">
      <c r="B198">
        <v>328</v>
      </c>
      <c r="C198">
        <v>92</v>
      </c>
      <c r="D198">
        <v>0</v>
      </c>
      <c r="E198">
        <v>25</v>
      </c>
      <c r="F198">
        <v>0</v>
      </c>
      <c r="J198">
        <v>0</v>
      </c>
      <c r="K198">
        <v>0</v>
      </c>
      <c r="L198">
        <v>2</v>
      </c>
      <c r="M198" t="s">
        <v>25022</v>
      </c>
      <c r="N198">
        <v>2379</v>
      </c>
      <c r="O198" t="s">
        <v>13840</v>
      </c>
      <c r="P198" t="s">
        <v>62</v>
      </c>
      <c r="Q198">
        <v>2391673</v>
      </c>
      <c r="R198">
        <v>2391864</v>
      </c>
      <c r="S198" t="s">
        <v>116</v>
      </c>
      <c r="T198">
        <v>64</v>
      </c>
      <c r="U198" t="s">
        <v>265</v>
      </c>
      <c r="V198">
        <v>43</v>
      </c>
      <c r="W198" t="str">
        <f>HYPERLINK("Gene2379-zp_tree_all.dnd", "Gene2379-tree")</f>
        <v>Gene2379-tree</v>
      </c>
      <c r="X198">
        <v>6</v>
      </c>
      <c r="Y198">
        <v>4</v>
      </c>
      <c r="Z198">
        <v>6</v>
      </c>
      <c r="AA198">
        <v>4</v>
      </c>
      <c r="AB198">
        <v>0.4</v>
      </c>
      <c r="AC198" t="s">
        <v>90</v>
      </c>
      <c r="AD198" t="s">
        <v>61</v>
      </c>
      <c r="AE198" t="s">
        <v>62</v>
      </c>
      <c r="AF198" t="s">
        <v>62</v>
      </c>
      <c r="AG198">
        <v>1</v>
      </c>
      <c r="AH198">
        <v>2</v>
      </c>
      <c r="AI198">
        <v>3</v>
      </c>
      <c r="AJ198">
        <v>0.4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4</v>
      </c>
      <c r="AT198">
        <v>0</v>
      </c>
      <c r="AU198">
        <v>6</v>
      </c>
      <c r="AV198">
        <v>3</v>
      </c>
      <c r="AW198">
        <v>4</v>
      </c>
      <c r="AX198">
        <v>4</v>
      </c>
      <c r="AY198">
        <v>2</v>
      </c>
      <c r="AZ198">
        <v>1</v>
      </c>
      <c r="BA198" t="s">
        <v>13841</v>
      </c>
      <c r="BB198" t="s">
        <v>13842</v>
      </c>
      <c r="BC198">
        <v>0.60299999999999998</v>
      </c>
      <c r="BD198" t="s">
        <v>65</v>
      </c>
      <c r="BE198">
        <v>6</v>
      </c>
      <c r="BF198">
        <v>5</v>
      </c>
      <c r="BG198" t="s">
        <v>13843</v>
      </c>
      <c r="BH198" t="s">
        <v>13844</v>
      </c>
      <c r="BI198" t="s">
        <v>13845</v>
      </c>
      <c r="BJ198">
        <v>0.24671999999999999</v>
      </c>
      <c r="BK198">
        <v>0.95699999999999996</v>
      </c>
      <c r="BL198" t="s">
        <v>69</v>
      </c>
      <c r="BM198">
        <v>-0.55100000000000005</v>
      </c>
      <c r="BN198">
        <v>-0.96799999999999997</v>
      </c>
    </row>
    <row r="199" spans="2:66">
      <c r="B199">
        <v>329</v>
      </c>
      <c r="C199">
        <v>30</v>
      </c>
      <c r="D199">
        <v>0</v>
      </c>
      <c r="E199">
        <v>36</v>
      </c>
      <c r="F199">
        <v>0</v>
      </c>
      <c r="J199">
        <v>0</v>
      </c>
      <c r="K199">
        <v>0</v>
      </c>
      <c r="L199">
        <v>0</v>
      </c>
      <c r="M199" t="s">
        <v>25022</v>
      </c>
      <c r="N199">
        <v>2380</v>
      </c>
      <c r="O199" t="s">
        <v>13846</v>
      </c>
      <c r="P199" t="s">
        <v>62</v>
      </c>
      <c r="Q199">
        <v>2391864</v>
      </c>
      <c r="R199">
        <v>2392754</v>
      </c>
      <c r="S199" t="s">
        <v>3674</v>
      </c>
      <c r="T199">
        <v>297</v>
      </c>
      <c r="U199" t="s">
        <v>108</v>
      </c>
      <c r="V199">
        <v>44</v>
      </c>
      <c r="W199" t="str">
        <f>HYPERLINK("Gene2380-zp_tree_all.dnd", "Gene2380-tree")</f>
        <v>Gene2380-tree</v>
      </c>
      <c r="X199">
        <v>7</v>
      </c>
      <c r="Y199">
        <v>3</v>
      </c>
      <c r="Z199">
        <v>7</v>
      </c>
      <c r="AA199">
        <v>3</v>
      </c>
      <c r="AB199">
        <v>0.3</v>
      </c>
      <c r="AC199" t="s">
        <v>152</v>
      </c>
      <c r="AD199" t="s">
        <v>324</v>
      </c>
      <c r="AE199" t="s">
        <v>62</v>
      </c>
      <c r="AF199" t="s">
        <v>62</v>
      </c>
      <c r="AG199">
        <v>0</v>
      </c>
      <c r="AH199">
        <v>0</v>
      </c>
      <c r="AI199">
        <v>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0</v>
      </c>
      <c r="AU199">
        <v>8</v>
      </c>
      <c r="AV199">
        <v>5</v>
      </c>
      <c r="AW199">
        <v>27</v>
      </c>
      <c r="AX199">
        <v>3</v>
      </c>
      <c r="AY199">
        <v>8</v>
      </c>
      <c r="AZ199">
        <v>0</v>
      </c>
      <c r="BA199" t="s">
        <v>13847</v>
      </c>
      <c r="BB199" t="s">
        <v>193</v>
      </c>
      <c r="BC199">
        <v>1.5720000000000001</v>
      </c>
      <c r="BD199" t="s">
        <v>65</v>
      </c>
      <c r="BE199">
        <v>35</v>
      </c>
      <c r="BF199">
        <v>3</v>
      </c>
      <c r="BG199" t="s">
        <v>13848</v>
      </c>
      <c r="BH199" t="s">
        <v>13849</v>
      </c>
      <c r="BI199" t="s">
        <v>13850</v>
      </c>
      <c r="BJ199">
        <v>2.222E-2</v>
      </c>
      <c r="BK199">
        <v>1</v>
      </c>
      <c r="BL199" t="s">
        <v>69</v>
      </c>
      <c r="BM199">
        <v>-0.94199999999999995</v>
      </c>
      <c r="BN199">
        <v>-1.627</v>
      </c>
    </row>
    <row r="200" spans="2:66">
      <c r="B200">
        <v>331</v>
      </c>
      <c r="C200">
        <v>112</v>
      </c>
      <c r="D200">
        <v>0</v>
      </c>
      <c r="E200">
        <v>17</v>
      </c>
      <c r="F200">
        <v>3</v>
      </c>
      <c r="J200">
        <v>0</v>
      </c>
      <c r="K200">
        <v>0</v>
      </c>
      <c r="L200">
        <v>0</v>
      </c>
      <c r="M200" t="s">
        <v>25022</v>
      </c>
      <c r="N200">
        <v>2381</v>
      </c>
      <c r="O200" t="s">
        <v>13851</v>
      </c>
      <c r="P200" t="s">
        <v>62</v>
      </c>
      <c r="Q200">
        <v>2392754</v>
      </c>
      <c r="R200">
        <v>2393350</v>
      </c>
      <c r="S200" t="s">
        <v>3674</v>
      </c>
      <c r="T200">
        <v>199</v>
      </c>
      <c r="U200" t="s">
        <v>108</v>
      </c>
      <c r="V200">
        <v>44</v>
      </c>
      <c r="W200" t="str">
        <f>HYPERLINK("Gene2381-zp_tree_all.dnd", "Gene2381-tree")</f>
        <v>Gene2381-tree</v>
      </c>
      <c r="X200">
        <v>26</v>
      </c>
      <c r="Y200">
        <v>5</v>
      </c>
      <c r="Z200">
        <v>3</v>
      </c>
      <c r="AA200">
        <v>5</v>
      </c>
      <c r="AB200">
        <v>0.625</v>
      </c>
      <c r="AC200" t="s">
        <v>7285</v>
      </c>
      <c r="AD200" t="s">
        <v>199</v>
      </c>
      <c r="AE200" t="s">
        <v>62</v>
      </c>
      <c r="AF200" t="s">
        <v>62</v>
      </c>
      <c r="AG200">
        <v>0</v>
      </c>
      <c r="AH200">
        <v>0</v>
      </c>
      <c r="AI200">
        <v>9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8</v>
      </c>
      <c r="AT200">
        <v>0</v>
      </c>
      <c r="AU200">
        <v>6</v>
      </c>
      <c r="AV200">
        <v>3</v>
      </c>
      <c r="AW200">
        <v>9</v>
      </c>
      <c r="AX200">
        <v>8</v>
      </c>
      <c r="AY200">
        <v>2</v>
      </c>
      <c r="AZ200">
        <v>1</v>
      </c>
      <c r="BA200" t="s">
        <v>13852</v>
      </c>
      <c r="BB200" t="s">
        <v>13853</v>
      </c>
      <c r="BC200">
        <v>0.48599999999999999</v>
      </c>
      <c r="BD200" t="s">
        <v>65</v>
      </c>
      <c r="BE200">
        <v>11</v>
      </c>
      <c r="BF200">
        <v>9</v>
      </c>
      <c r="BG200" t="s">
        <v>13854</v>
      </c>
      <c r="BH200" t="s">
        <v>13855</v>
      </c>
      <c r="BI200" t="s">
        <v>13856</v>
      </c>
      <c r="BJ200">
        <v>0.25557000000000002</v>
      </c>
      <c r="BK200">
        <v>0.99</v>
      </c>
      <c r="BL200" t="s">
        <v>69</v>
      </c>
      <c r="BM200">
        <v>-0.93200000000000005</v>
      </c>
      <c r="BN200">
        <v>-1.0680000000000001</v>
      </c>
    </row>
    <row r="201" spans="2:66">
      <c r="B201">
        <v>332</v>
      </c>
      <c r="C201">
        <v>339</v>
      </c>
      <c r="D201">
        <v>0</v>
      </c>
      <c r="E201">
        <v>45</v>
      </c>
      <c r="F201">
        <v>4</v>
      </c>
      <c r="J201">
        <v>0</v>
      </c>
      <c r="K201">
        <v>17</v>
      </c>
      <c r="L201">
        <v>1</v>
      </c>
      <c r="M201" t="s">
        <v>25022</v>
      </c>
      <c r="N201">
        <v>2383</v>
      </c>
      <c r="O201" t="s">
        <v>13863</v>
      </c>
      <c r="P201" t="s">
        <v>62</v>
      </c>
      <c r="Q201">
        <v>2393605</v>
      </c>
      <c r="R201">
        <v>2394651</v>
      </c>
      <c r="S201" t="s">
        <v>13864</v>
      </c>
      <c r="T201">
        <v>349</v>
      </c>
      <c r="U201" t="s">
        <v>108</v>
      </c>
      <c r="V201">
        <v>44</v>
      </c>
      <c r="W201" t="str">
        <f>HYPERLINK("Gene2383-zp_tree_all.dnd", "Gene2383-tree")</f>
        <v>Gene2383-tree</v>
      </c>
      <c r="X201">
        <v>4</v>
      </c>
      <c r="Y201">
        <v>30</v>
      </c>
      <c r="Z201">
        <v>4</v>
      </c>
      <c r="AA201">
        <v>9</v>
      </c>
      <c r="AB201">
        <v>0.69230999999999998</v>
      </c>
      <c r="AC201" t="s">
        <v>61</v>
      </c>
      <c r="AD201" t="s">
        <v>2142</v>
      </c>
      <c r="AE201">
        <v>2.625</v>
      </c>
      <c r="AF201" t="s">
        <v>65</v>
      </c>
      <c r="AG201">
        <v>8</v>
      </c>
      <c r="AH201">
        <v>18</v>
      </c>
      <c r="AI201">
        <v>14</v>
      </c>
      <c r="AJ201">
        <v>0.5625</v>
      </c>
      <c r="AK201">
        <v>0</v>
      </c>
      <c r="AL201">
        <v>0</v>
      </c>
      <c r="AM201">
        <v>0</v>
      </c>
      <c r="AN201">
        <v>2</v>
      </c>
      <c r="AO201">
        <v>0</v>
      </c>
      <c r="AP201">
        <v>8</v>
      </c>
      <c r="AQ201">
        <v>1</v>
      </c>
      <c r="AR201">
        <v>9</v>
      </c>
      <c r="AS201">
        <v>13</v>
      </c>
      <c r="AT201">
        <v>0.40909000000000001</v>
      </c>
      <c r="AU201">
        <v>12</v>
      </c>
      <c r="AV201">
        <v>10</v>
      </c>
      <c r="AW201">
        <v>51</v>
      </c>
      <c r="AX201">
        <v>22</v>
      </c>
      <c r="AY201">
        <v>29</v>
      </c>
      <c r="AZ201">
        <v>10</v>
      </c>
      <c r="BA201" t="s">
        <v>13865</v>
      </c>
      <c r="BB201" t="s">
        <v>13866</v>
      </c>
      <c r="BC201">
        <v>0.28399999999999997</v>
      </c>
      <c r="BD201" t="s">
        <v>65</v>
      </c>
      <c r="BE201">
        <v>80</v>
      </c>
      <c r="BF201">
        <v>32</v>
      </c>
      <c r="BG201" t="s">
        <v>13867</v>
      </c>
      <c r="BH201" t="s">
        <v>13868</v>
      </c>
      <c r="BI201" t="s">
        <v>13869</v>
      </c>
      <c r="BJ201">
        <v>0.11307</v>
      </c>
      <c r="BK201">
        <v>1</v>
      </c>
      <c r="BL201" t="s">
        <v>69</v>
      </c>
      <c r="BM201">
        <v>-0.307</v>
      </c>
      <c r="BN201">
        <v>-0.46600000000000003</v>
      </c>
    </row>
    <row r="202" spans="2:66">
      <c r="B202">
        <v>333</v>
      </c>
      <c r="C202">
        <v>169</v>
      </c>
      <c r="D202">
        <v>0</v>
      </c>
      <c r="E202">
        <v>73</v>
      </c>
      <c r="F202">
        <v>6</v>
      </c>
      <c r="J202">
        <v>0</v>
      </c>
      <c r="K202">
        <v>0</v>
      </c>
      <c r="L202">
        <v>0</v>
      </c>
      <c r="M202" t="s">
        <v>25022</v>
      </c>
      <c r="N202">
        <v>2384</v>
      </c>
      <c r="O202" t="s">
        <v>13870</v>
      </c>
      <c r="P202" t="s">
        <v>62</v>
      </c>
      <c r="Q202">
        <v>2394667</v>
      </c>
      <c r="R202">
        <v>2395812</v>
      </c>
      <c r="S202" t="s">
        <v>13871</v>
      </c>
      <c r="T202">
        <v>382</v>
      </c>
      <c r="U202" t="s">
        <v>59</v>
      </c>
      <c r="V202">
        <v>49</v>
      </c>
      <c r="W202" t="str">
        <f>HYPERLINK("Gene2384-zp_tree_all.dnd", "Gene2384-tree")</f>
        <v>Gene2384-tree</v>
      </c>
      <c r="X202">
        <v>15</v>
      </c>
      <c r="Y202">
        <v>3</v>
      </c>
      <c r="Z202">
        <v>15</v>
      </c>
      <c r="AA202">
        <v>3</v>
      </c>
      <c r="AB202">
        <v>0.16667000000000001</v>
      </c>
      <c r="AC202" t="s">
        <v>100</v>
      </c>
      <c r="AD202" t="s">
        <v>324</v>
      </c>
      <c r="AE202" t="s">
        <v>62</v>
      </c>
      <c r="AF202" t="s">
        <v>62</v>
      </c>
      <c r="AG202">
        <v>0</v>
      </c>
      <c r="AH202">
        <v>0</v>
      </c>
      <c r="AI202">
        <v>5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3</v>
      </c>
      <c r="AT202">
        <v>0</v>
      </c>
      <c r="AU202">
        <v>15</v>
      </c>
      <c r="AV202">
        <v>13</v>
      </c>
      <c r="AW202">
        <v>36</v>
      </c>
      <c r="AX202">
        <v>3</v>
      </c>
      <c r="AY202">
        <v>69</v>
      </c>
      <c r="AZ202">
        <v>2</v>
      </c>
      <c r="BA202" t="s">
        <v>13872</v>
      </c>
      <c r="BB202" t="s">
        <v>13873</v>
      </c>
      <c r="BC202">
        <v>0.51200000000000001</v>
      </c>
      <c r="BD202" t="s">
        <v>65</v>
      </c>
      <c r="BE202">
        <v>105</v>
      </c>
      <c r="BF202">
        <v>5</v>
      </c>
      <c r="BG202" t="s">
        <v>13874</v>
      </c>
      <c r="BH202" t="s">
        <v>13875</v>
      </c>
      <c r="BI202" t="s">
        <v>13876</v>
      </c>
      <c r="BJ202">
        <v>1.2279999999999999E-2</v>
      </c>
      <c r="BK202">
        <v>1</v>
      </c>
      <c r="BL202" t="s">
        <v>69</v>
      </c>
      <c r="BM202">
        <v>-1.246</v>
      </c>
      <c r="BN202">
        <v>-0.46700000000000003</v>
      </c>
    </row>
    <row r="203" spans="2:66">
      <c r="B203">
        <v>334</v>
      </c>
      <c r="C203">
        <v>193</v>
      </c>
      <c r="D203">
        <v>0</v>
      </c>
      <c r="E203">
        <v>2</v>
      </c>
      <c r="F203">
        <v>0</v>
      </c>
      <c r="J203">
        <v>0</v>
      </c>
      <c r="K203">
        <v>0</v>
      </c>
      <c r="L203">
        <v>0</v>
      </c>
      <c r="M203" t="s">
        <v>25022</v>
      </c>
      <c r="N203">
        <v>2385</v>
      </c>
      <c r="O203" t="s">
        <v>13877</v>
      </c>
      <c r="P203" t="s">
        <v>62</v>
      </c>
      <c r="Q203">
        <v>2396048</v>
      </c>
      <c r="R203">
        <v>2396719</v>
      </c>
      <c r="S203" t="s">
        <v>13878</v>
      </c>
      <c r="T203">
        <v>224</v>
      </c>
      <c r="U203" t="s">
        <v>289</v>
      </c>
      <c r="V203">
        <v>46</v>
      </c>
      <c r="W203" t="str">
        <f>HYPERLINK("Gene2385-zp_tree_all.dnd", "Gene2385-tree")</f>
        <v>Gene2385-tree</v>
      </c>
      <c r="X203">
        <v>8</v>
      </c>
      <c r="Y203">
        <v>5</v>
      </c>
      <c r="Z203">
        <v>8</v>
      </c>
      <c r="AA203">
        <v>5</v>
      </c>
      <c r="AB203">
        <v>0.38462000000000002</v>
      </c>
      <c r="AC203" t="s">
        <v>136</v>
      </c>
      <c r="AD203" t="s">
        <v>199</v>
      </c>
      <c r="AE203" t="s">
        <v>62</v>
      </c>
      <c r="AF203" t="s">
        <v>62</v>
      </c>
      <c r="AG203">
        <v>0</v>
      </c>
      <c r="AH203">
        <v>0</v>
      </c>
      <c r="AI203">
        <v>12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7</v>
      </c>
      <c r="AT203">
        <v>0</v>
      </c>
      <c r="AU203">
        <v>8</v>
      </c>
      <c r="AV203">
        <v>8</v>
      </c>
      <c r="AW203">
        <v>13</v>
      </c>
      <c r="AX203">
        <v>5</v>
      </c>
      <c r="AY203">
        <v>34</v>
      </c>
      <c r="AZ203">
        <v>7</v>
      </c>
      <c r="BA203" t="s">
        <v>13879</v>
      </c>
      <c r="BB203" t="s">
        <v>13880</v>
      </c>
      <c r="BC203">
        <v>0.48099999999999998</v>
      </c>
      <c r="BD203" t="s">
        <v>65</v>
      </c>
      <c r="BE203">
        <v>47</v>
      </c>
      <c r="BF203">
        <v>12</v>
      </c>
      <c r="BG203" t="s">
        <v>13881</v>
      </c>
      <c r="BH203" t="s">
        <v>13882</v>
      </c>
      <c r="BI203" t="s">
        <v>13883</v>
      </c>
      <c r="BJ203">
        <v>7.0900000000000005E-2</v>
      </c>
      <c r="BK203">
        <v>1</v>
      </c>
      <c r="BL203" t="s">
        <v>69</v>
      </c>
      <c r="BM203">
        <v>-1.3140000000000001</v>
      </c>
      <c r="BN203">
        <v>0.156</v>
      </c>
    </row>
    <row r="204" spans="2:66">
      <c r="B204">
        <v>335</v>
      </c>
      <c r="C204">
        <v>107</v>
      </c>
      <c r="D204">
        <v>0</v>
      </c>
      <c r="E204">
        <v>10</v>
      </c>
      <c r="F204">
        <v>3</v>
      </c>
      <c r="J204">
        <v>0</v>
      </c>
      <c r="K204">
        <v>0</v>
      </c>
      <c r="L204">
        <v>0</v>
      </c>
      <c r="M204" t="s">
        <v>25022</v>
      </c>
      <c r="N204">
        <v>2386</v>
      </c>
      <c r="O204" t="s">
        <v>13884</v>
      </c>
      <c r="P204" t="s">
        <v>62</v>
      </c>
      <c r="Q204">
        <v>2396801</v>
      </c>
      <c r="R204">
        <v>2396974</v>
      </c>
      <c r="S204" t="s">
        <v>288</v>
      </c>
      <c r="T204">
        <v>58</v>
      </c>
      <c r="U204" t="s">
        <v>698</v>
      </c>
      <c r="V204">
        <v>47</v>
      </c>
      <c r="W204" t="str">
        <f>HYPERLINK("Gene2386-zp_tree_all.dnd", "Gene2386-tree")</f>
        <v>Gene2386-tree</v>
      </c>
      <c r="X204">
        <v>5</v>
      </c>
      <c r="Y204">
        <v>3</v>
      </c>
      <c r="Z204">
        <v>5</v>
      </c>
      <c r="AA204">
        <v>3</v>
      </c>
      <c r="AB204">
        <v>0.375</v>
      </c>
      <c r="AC204" t="s">
        <v>199</v>
      </c>
      <c r="AD204" t="s">
        <v>324</v>
      </c>
      <c r="AE204" t="s">
        <v>62</v>
      </c>
      <c r="AF204" t="s">
        <v>62</v>
      </c>
      <c r="AG204">
        <v>0</v>
      </c>
      <c r="AH204">
        <v>0</v>
      </c>
      <c r="AI204">
        <v>7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6</v>
      </c>
      <c r="AT204">
        <v>0</v>
      </c>
      <c r="AU204">
        <v>6</v>
      </c>
      <c r="AV204">
        <v>2</v>
      </c>
      <c r="AW204">
        <v>5</v>
      </c>
      <c r="AX204">
        <v>6</v>
      </c>
      <c r="AY204">
        <v>5</v>
      </c>
      <c r="AZ204">
        <v>1</v>
      </c>
      <c r="BA204" t="s">
        <v>13885</v>
      </c>
      <c r="BB204" t="s">
        <v>13886</v>
      </c>
      <c r="BC204">
        <v>0.753</v>
      </c>
      <c r="BD204" t="s">
        <v>65</v>
      </c>
      <c r="BE204">
        <v>10</v>
      </c>
      <c r="BF204">
        <v>7</v>
      </c>
      <c r="BG204" t="s">
        <v>13887</v>
      </c>
      <c r="BH204" t="s">
        <v>13888</v>
      </c>
      <c r="BI204" t="s">
        <v>13889</v>
      </c>
      <c r="BJ204">
        <v>0.13123000000000001</v>
      </c>
      <c r="BK204">
        <v>1</v>
      </c>
      <c r="BL204" t="s">
        <v>69</v>
      </c>
      <c r="BM204">
        <v>-1.2669999999999999</v>
      </c>
      <c r="BN204">
        <v>-0.55900000000000005</v>
      </c>
    </row>
    <row r="205" spans="2:66">
      <c r="B205">
        <v>336</v>
      </c>
      <c r="C205">
        <v>8</v>
      </c>
      <c r="D205">
        <v>0</v>
      </c>
      <c r="E205">
        <v>9</v>
      </c>
      <c r="F205">
        <v>5</v>
      </c>
      <c r="J205">
        <v>0</v>
      </c>
      <c r="K205">
        <v>5</v>
      </c>
      <c r="L205">
        <v>6</v>
      </c>
      <c r="M205" t="s">
        <v>25022</v>
      </c>
      <c r="N205">
        <v>2387</v>
      </c>
      <c r="O205" t="s">
        <v>13890</v>
      </c>
      <c r="P205" t="s">
        <v>62</v>
      </c>
      <c r="Q205">
        <v>2397022</v>
      </c>
      <c r="R205">
        <v>2397672</v>
      </c>
      <c r="S205" t="s">
        <v>13891</v>
      </c>
      <c r="T205">
        <v>217</v>
      </c>
      <c r="U205" t="s">
        <v>108</v>
      </c>
      <c r="V205">
        <v>44</v>
      </c>
      <c r="W205" t="str">
        <f>HYPERLINK("Gene2387-zp_tree_all.dnd", "Gene2387-tree")</f>
        <v>Gene2387-tree</v>
      </c>
      <c r="X205">
        <v>3</v>
      </c>
      <c r="Y205">
        <v>11</v>
      </c>
      <c r="Z205">
        <v>3</v>
      </c>
      <c r="AA205">
        <v>11</v>
      </c>
      <c r="AB205">
        <v>0.78571000000000002</v>
      </c>
      <c r="AC205" t="s">
        <v>324</v>
      </c>
      <c r="AD205" t="s">
        <v>73</v>
      </c>
      <c r="AE205">
        <v>305230034.74400002</v>
      </c>
      <c r="AF205" t="s">
        <v>267</v>
      </c>
      <c r="AG205">
        <v>5</v>
      </c>
      <c r="AH205">
        <v>11</v>
      </c>
      <c r="AI205">
        <v>12</v>
      </c>
      <c r="AJ205">
        <v>0.47826000000000002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</v>
      </c>
      <c r="AQ205">
        <v>4</v>
      </c>
      <c r="AR205">
        <v>6</v>
      </c>
      <c r="AS205">
        <v>10</v>
      </c>
      <c r="AT205">
        <v>0.375</v>
      </c>
      <c r="AU205">
        <v>10</v>
      </c>
      <c r="AV205">
        <v>9</v>
      </c>
      <c r="AW205">
        <v>17</v>
      </c>
      <c r="AX205">
        <v>12</v>
      </c>
      <c r="AY205">
        <v>7</v>
      </c>
      <c r="AZ205">
        <v>11</v>
      </c>
      <c r="BA205" t="s">
        <v>13892</v>
      </c>
      <c r="BB205" t="s">
        <v>13893</v>
      </c>
      <c r="BC205">
        <v>0.69699999999999995</v>
      </c>
      <c r="BD205" t="s">
        <v>65</v>
      </c>
      <c r="BE205">
        <v>24</v>
      </c>
      <c r="BF205">
        <v>23</v>
      </c>
      <c r="BG205" t="s">
        <v>13894</v>
      </c>
      <c r="BH205" t="s">
        <v>13895</v>
      </c>
      <c r="BI205" t="s">
        <v>13896</v>
      </c>
      <c r="BJ205">
        <v>0.34501999999999999</v>
      </c>
      <c r="BK205">
        <v>1</v>
      </c>
      <c r="BL205" t="s">
        <v>69</v>
      </c>
      <c r="BM205">
        <v>-0.92500000000000004</v>
      </c>
      <c r="BN205">
        <v>-1.35</v>
      </c>
    </row>
    <row r="206" spans="2:66">
      <c r="B206">
        <v>338</v>
      </c>
      <c r="C206">
        <v>276</v>
      </c>
      <c r="D206">
        <v>0</v>
      </c>
      <c r="E206">
        <v>7</v>
      </c>
      <c r="F206">
        <v>4</v>
      </c>
      <c r="J206">
        <v>0</v>
      </c>
      <c r="K206">
        <v>4</v>
      </c>
      <c r="L206">
        <v>0</v>
      </c>
      <c r="M206" t="s">
        <v>25022</v>
      </c>
      <c r="N206">
        <v>2388</v>
      </c>
      <c r="O206" t="s">
        <v>13897</v>
      </c>
      <c r="P206" t="s">
        <v>62</v>
      </c>
      <c r="Q206">
        <v>2397768</v>
      </c>
      <c r="R206">
        <v>2399117</v>
      </c>
      <c r="S206" t="s">
        <v>13898</v>
      </c>
      <c r="T206">
        <v>450</v>
      </c>
      <c r="U206" t="s">
        <v>108</v>
      </c>
      <c r="V206">
        <v>44</v>
      </c>
      <c r="W206" t="str">
        <f>HYPERLINK("Gene2388-zp_tree_all.dnd", "Gene2388-tree")</f>
        <v>Gene2388-tree</v>
      </c>
      <c r="X206">
        <v>8</v>
      </c>
      <c r="Y206">
        <v>5</v>
      </c>
      <c r="Z206">
        <v>8</v>
      </c>
      <c r="AA206">
        <v>5</v>
      </c>
      <c r="AB206">
        <v>0.38462000000000002</v>
      </c>
      <c r="AC206" t="s">
        <v>136</v>
      </c>
      <c r="AD206" t="s">
        <v>199</v>
      </c>
      <c r="AE206" t="s">
        <v>62</v>
      </c>
      <c r="AF206" t="s">
        <v>62</v>
      </c>
      <c r="AG206">
        <v>2</v>
      </c>
      <c r="AH206">
        <v>4</v>
      </c>
      <c r="AI206">
        <v>4</v>
      </c>
      <c r="AJ206">
        <v>0.5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5</v>
      </c>
      <c r="AT206">
        <v>0</v>
      </c>
      <c r="AU206">
        <v>11</v>
      </c>
      <c r="AV206">
        <v>8</v>
      </c>
      <c r="AW206">
        <v>34</v>
      </c>
      <c r="AX206">
        <v>5</v>
      </c>
      <c r="AY206">
        <v>19</v>
      </c>
      <c r="AZ206">
        <v>3</v>
      </c>
      <c r="BA206" t="s">
        <v>13899</v>
      </c>
      <c r="BB206" t="s">
        <v>13900</v>
      </c>
      <c r="BC206">
        <v>6.9000000000000006E-2</v>
      </c>
      <c r="BD206" t="s">
        <v>65</v>
      </c>
      <c r="BE206">
        <v>53</v>
      </c>
      <c r="BF206">
        <v>8</v>
      </c>
      <c r="BG206" t="s">
        <v>13901</v>
      </c>
      <c r="BH206" t="s">
        <v>13902</v>
      </c>
      <c r="BI206" t="s">
        <v>13903</v>
      </c>
      <c r="BJ206">
        <v>4.2270000000000002E-2</v>
      </c>
      <c r="BK206">
        <v>1</v>
      </c>
      <c r="BL206" t="s">
        <v>69</v>
      </c>
      <c r="BM206">
        <v>-0.88500000000000001</v>
      </c>
      <c r="BN206">
        <v>-1.4430000000000001</v>
      </c>
    </row>
    <row r="207" spans="2:66">
      <c r="B207">
        <v>340</v>
      </c>
      <c r="C207">
        <v>6</v>
      </c>
      <c r="D207">
        <v>0</v>
      </c>
      <c r="E207">
        <v>8</v>
      </c>
      <c r="F207">
        <v>1</v>
      </c>
      <c r="J207">
        <v>0</v>
      </c>
      <c r="K207">
        <v>0</v>
      </c>
      <c r="L207">
        <v>0</v>
      </c>
      <c r="M207" t="s">
        <v>25022</v>
      </c>
      <c r="N207">
        <v>2389</v>
      </c>
      <c r="O207" t="s">
        <v>13904</v>
      </c>
      <c r="P207" t="s">
        <v>62</v>
      </c>
      <c r="Q207">
        <v>2399155</v>
      </c>
      <c r="R207">
        <v>2400069</v>
      </c>
      <c r="S207" t="s">
        <v>13905</v>
      </c>
      <c r="T207">
        <v>305</v>
      </c>
      <c r="U207" t="s">
        <v>108</v>
      </c>
      <c r="V207">
        <v>44</v>
      </c>
      <c r="W207" t="str">
        <f>HYPERLINK("Gene2389-zp_tree_all.dnd", "Gene2389-tree")</f>
        <v>Gene2389-tree</v>
      </c>
      <c r="X207">
        <v>7</v>
      </c>
      <c r="Y207">
        <v>5</v>
      </c>
      <c r="Z207">
        <v>7</v>
      </c>
      <c r="AA207">
        <v>5</v>
      </c>
      <c r="AB207">
        <v>0.41666999999999998</v>
      </c>
      <c r="AC207" t="s">
        <v>152</v>
      </c>
      <c r="AD207" t="s">
        <v>199</v>
      </c>
      <c r="AE207" t="s">
        <v>62</v>
      </c>
      <c r="AF207" t="s">
        <v>62</v>
      </c>
      <c r="AG207">
        <v>0</v>
      </c>
      <c r="AH207">
        <v>0</v>
      </c>
      <c r="AI207">
        <v>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8</v>
      </c>
      <c r="AT207">
        <v>0</v>
      </c>
      <c r="AU207">
        <v>11</v>
      </c>
      <c r="AV207">
        <v>6</v>
      </c>
      <c r="AW207">
        <v>31</v>
      </c>
      <c r="AX207">
        <v>7</v>
      </c>
      <c r="AY207">
        <v>23</v>
      </c>
      <c r="AZ207">
        <v>2</v>
      </c>
      <c r="BA207" t="s">
        <v>13906</v>
      </c>
      <c r="BB207" t="s">
        <v>13907</v>
      </c>
      <c r="BC207">
        <v>0.36599999999999999</v>
      </c>
      <c r="BD207" t="s">
        <v>65</v>
      </c>
      <c r="BE207">
        <v>54</v>
      </c>
      <c r="BF207">
        <v>9</v>
      </c>
      <c r="BG207" t="s">
        <v>13908</v>
      </c>
      <c r="BH207" t="s">
        <v>13909</v>
      </c>
      <c r="BI207" t="s">
        <v>13910</v>
      </c>
      <c r="BJ207">
        <v>4.7280000000000003E-2</v>
      </c>
      <c r="BK207">
        <v>1</v>
      </c>
      <c r="BL207" t="s">
        <v>69</v>
      </c>
      <c r="BM207">
        <v>-1.159</v>
      </c>
      <c r="BN207">
        <v>-2.0019999999999998</v>
      </c>
    </row>
    <row r="208" spans="2:66">
      <c r="B208">
        <v>342</v>
      </c>
      <c r="C208">
        <v>15</v>
      </c>
      <c r="D208">
        <v>0</v>
      </c>
      <c r="E208">
        <v>2</v>
      </c>
      <c r="F208">
        <v>0</v>
      </c>
      <c r="J208">
        <v>0</v>
      </c>
      <c r="K208">
        <v>3</v>
      </c>
      <c r="L208">
        <v>0</v>
      </c>
      <c r="M208" t="s">
        <v>25022</v>
      </c>
      <c r="N208">
        <v>2390</v>
      </c>
      <c r="O208" t="s">
        <v>13911</v>
      </c>
      <c r="P208" t="s">
        <v>62</v>
      </c>
      <c r="Q208">
        <v>2400211</v>
      </c>
      <c r="R208">
        <v>2400864</v>
      </c>
      <c r="S208" t="s">
        <v>13912</v>
      </c>
      <c r="T208">
        <v>218</v>
      </c>
      <c r="U208" t="s">
        <v>108</v>
      </c>
      <c r="V208">
        <v>44</v>
      </c>
      <c r="W208" t="str">
        <f>HYPERLINK("Gene2390-zp_tree_all.dnd", "Gene2390-tree")</f>
        <v>Gene2390-tree</v>
      </c>
      <c r="X208">
        <v>8</v>
      </c>
      <c r="Y208">
        <v>2</v>
      </c>
      <c r="Z208">
        <v>8</v>
      </c>
      <c r="AA208">
        <v>2</v>
      </c>
      <c r="AB208">
        <v>0.2</v>
      </c>
      <c r="AC208" t="s">
        <v>136</v>
      </c>
      <c r="AD208" t="s">
        <v>81</v>
      </c>
      <c r="AE208" t="s">
        <v>62</v>
      </c>
      <c r="AF208" t="s">
        <v>62</v>
      </c>
      <c r="AG208">
        <v>1</v>
      </c>
      <c r="AH208">
        <v>3</v>
      </c>
      <c r="AI208">
        <v>1</v>
      </c>
      <c r="AJ208">
        <v>0.75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2</v>
      </c>
      <c r="AQ208">
        <v>0</v>
      </c>
      <c r="AR208">
        <v>2</v>
      </c>
      <c r="AS208">
        <v>1</v>
      </c>
      <c r="AT208">
        <v>0.66666999999999998</v>
      </c>
      <c r="AU208">
        <v>7</v>
      </c>
      <c r="AV208">
        <v>5</v>
      </c>
      <c r="AW208">
        <v>11</v>
      </c>
      <c r="AX208">
        <v>3</v>
      </c>
      <c r="AY208">
        <v>4</v>
      </c>
      <c r="AZ208">
        <v>1</v>
      </c>
      <c r="BA208" t="s">
        <v>13913</v>
      </c>
      <c r="BB208" t="s">
        <v>13914</v>
      </c>
      <c r="BC208">
        <v>3.6999999999999998E-2</v>
      </c>
      <c r="BD208" t="s">
        <v>65</v>
      </c>
      <c r="BE208">
        <v>15</v>
      </c>
      <c r="BF208">
        <v>4</v>
      </c>
      <c r="BG208" t="s">
        <v>13915</v>
      </c>
      <c r="BH208" t="s">
        <v>13916</v>
      </c>
      <c r="BI208" t="s">
        <v>13917</v>
      </c>
      <c r="BJ208">
        <v>5.7320000000000003E-2</v>
      </c>
      <c r="BK208">
        <v>1</v>
      </c>
      <c r="BL208" t="s">
        <v>69</v>
      </c>
      <c r="BM208">
        <v>-0.48</v>
      </c>
      <c r="BN208">
        <v>-1.3680000000000001</v>
      </c>
    </row>
    <row r="209" spans="2:66">
      <c r="B209">
        <v>343</v>
      </c>
      <c r="C209">
        <v>343</v>
      </c>
      <c r="D209">
        <v>0</v>
      </c>
      <c r="E209">
        <v>20</v>
      </c>
      <c r="F209">
        <v>1</v>
      </c>
      <c r="J209">
        <v>0</v>
      </c>
      <c r="K209">
        <v>15</v>
      </c>
      <c r="L209">
        <v>0</v>
      </c>
      <c r="M209" t="s">
        <v>25022</v>
      </c>
      <c r="N209">
        <v>2391</v>
      </c>
      <c r="O209" t="s">
        <v>13918</v>
      </c>
      <c r="P209" t="s">
        <v>62</v>
      </c>
      <c r="Q209">
        <v>2400987</v>
      </c>
      <c r="R209">
        <v>2401958</v>
      </c>
      <c r="S209" t="s">
        <v>13919</v>
      </c>
      <c r="T209">
        <v>324</v>
      </c>
      <c r="U209" t="s">
        <v>108</v>
      </c>
      <c r="V209">
        <v>44</v>
      </c>
      <c r="W209" t="str">
        <f>HYPERLINK("Gene2391-zp_tree_all.dnd", "Gene2391-tree")</f>
        <v>Gene2391-tree</v>
      </c>
      <c r="X209">
        <v>4</v>
      </c>
      <c r="Y209">
        <v>9</v>
      </c>
      <c r="Z209">
        <v>4</v>
      </c>
      <c r="AA209">
        <v>9</v>
      </c>
      <c r="AB209">
        <v>0.69230999999999998</v>
      </c>
      <c r="AC209" t="s">
        <v>61</v>
      </c>
      <c r="AD209" t="s">
        <v>135</v>
      </c>
      <c r="AE209" t="s">
        <v>62</v>
      </c>
      <c r="AF209" t="s">
        <v>62</v>
      </c>
      <c r="AG209">
        <v>6</v>
      </c>
      <c r="AH209">
        <v>15</v>
      </c>
      <c r="AI209">
        <v>11</v>
      </c>
      <c r="AJ209">
        <v>0.57691999999999999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6</v>
      </c>
      <c r="AQ209">
        <v>0</v>
      </c>
      <c r="AR209">
        <v>6</v>
      </c>
      <c r="AS209">
        <v>10</v>
      </c>
      <c r="AT209">
        <v>0.375</v>
      </c>
      <c r="AU209">
        <v>12</v>
      </c>
      <c r="AV209">
        <v>10</v>
      </c>
      <c r="AW209">
        <v>40</v>
      </c>
      <c r="AX209">
        <v>16</v>
      </c>
      <c r="AY209">
        <v>33</v>
      </c>
      <c r="AZ209">
        <v>12</v>
      </c>
      <c r="BA209" t="s">
        <v>13920</v>
      </c>
      <c r="BB209" t="s">
        <v>13921</v>
      </c>
      <c r="BC209">
        <v>0.13300000000000001</v>
      </c>
      <c r="BD209" t="s">
        <v>65</v>
      </c>
      <c r="BE209">
        <v>73</v>
      </c>
      <c r="BF209">
        <v>28</v>
      </c>
      <c r="BG209" t="s">
        <v>13922</v>
      </c>
      <c r="BH209" t="s">
        <v>13923</v>
      </c>
      <c r="BI209" t="s">
        <v>13924</v>
      </c>
      <c r="BJ209">
        <v>0.1021</v>
      </c>
      <c r="BK209">
        <v>1</v>
      </c>
      <c r="BL209" t="s">
        <v>69</v>
      </c>
      <c r="BM209">
        <v>0.66300000000000003</v>
      </c>
      <c r="BN209">
        <v>-6.0999999999999999E-2</v>
      </c>
    </row>
    <row r="210" spans="2:66">
      <c r="B210">
        <v>344</v>
      </c>
      <c r="C210">
        <v>70</v>
      </c>
      <c r="D210">
        <v>0</v>
      </c>
      <c r="E210">
        <v>2</v>
      </c>
      <c r="F210">
        <v>0</v>
      </c>
      <c r="J210">
        <v>0</v>
      </c>
      <c r="K210">
        <v>0</v>
      </c>
      <c r="L210">
        <v>0</v>
      </c>
      <c r="M210" t="s">
        <v>25022</v>
      </c>
      <c r="N210">
        <v>2392</v>
      </c>
      <c r="O210" t="s">
        <v>13925</v>
      </c>
      <c r="P210" t="s">
        <v>62</v>
      </c>
      <c r="Q210">
        <v>2402070</v>
      </c>
      <c r="R210">
        <v>2403350</v>
      </c>
      <c r="S210" t="s">
        <v>13926</v>
      </c>
      <c r="T210">
        <v>427</v>
      </c>
      <c r="U210" t="s">
        <v>9492</v>
      </c>
      <c r="V210">
        <v>48</v>
      </c>
      <c r="W210" t="str">
        <f>HYPERLINK("Gene2392-zp_tree_all.dnd", "Gene2392-tree")</f>
        <v>Gene2392-tree</v>
      </c>
      <c r="X210">
        <v>12</v>
      </c>
      <c r="Y210">
        <v>1</v>
      </c>
      <c r="Z210">
        <v>12</v>
      </c>
      <c r="AA210">
        <v>1</v>
      </c>
      <c r="AB210">
        <v>7.6920000000000002E-2</v>
      </c>
      <c r="AC210" t="s">
        <v>109</v>
      </c>
      <c r="AD210" t="s">
        <v>175</v>
      </c>
      <c r="AE210" t="s">
        <v>62</v>
      </c>
      <c r="AF210" t="s">
        <v>62</v>
      </c>
      <c r="AG210">
        <v>0</v>
      </c>
      <c r="AH210">
        <v>0</v>
      </c>
      <c r="AI210">
        <v>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12</v>
      </c>
      <c r="AV210">
        <v>8</v>
      </c>
      <c r="AW210">
        <v>39</v>
      </c>
      <c r="AX210">
        <v>1</v>
      </c>
      <c r="AY210">
        <v>57</v>
      </c>
      <c r="AZ210">
        <v>5</v>
      </c>
      <c r="BA210" t="s">
        <v>13927</v>
      </c>
      <c r="BB210" t="s">
        <v>13928</v>
      </c>
      <c r="BC210">
        <v>0.44600000000000001</v>
      </c>
      <c r="BD210" t="s">
        <v>65</v>
      </c>
      <c r="BE210">
        <v>96</v>
      </c>
      <c r="BF210">
        <v>6</v>
      </c>
      <c r="BG210" t="s">
        <v>13929</v>
      </c>
      <c r="BH210" t="s">
        <v>13930</v>
      </c>
      <c r="BI210" t="s">
        <v>8886</v>
      </c>
      <c r="BJ210">
        <v>2.103E-2</v>
      </c>
      <c r="BK210">
        <v>1</v>
      </c>
      <c r="BL210" t="s">
        <v>69</v>
      </c>
      <c r="BM210">
        <v>-1.4930000000000001</v>
      </c>
      <c r="BN210">
        <v>-1.0009999999999999</v>
      </c>
    </row>
    <row r="211" spans="2:66">
      <c r="B211">
        <v>345</v>
      </c>
      <c r="C211">
        <v>23</v>
      </c>
      <c r="D211">
        <v>0</v>
      </c>
      <c r="E211">
        <v>0</v>
      </c>
      <c r="F211">
        <v>2</v>
      </c>
      <c r="J211">
        <v>0</v>
      </c>
      <c r="K211">
        <v>2</v>
      </c>
      <c r="L211">
        <v>0</v>
      </c>
      <c r="M211" t="s">
        <v>25022</v>
      </c>
      <c r="N211">
        <v>2393</v>
      </c>
      <c r="O211" t="s">
        <v>13931</v>
      </c>
      <c r="P211" t="s">
        <v>62</v>
      </c>
      <c r="Q211">
        <v>2403509</v>
      </c>
      <c r="R211">
        <v>2404090</v>
      </c>
      <c r="S211" t="s">
        <v>13932</v>
      </c>
      <c r="T211">
        <v>194</v>
      </c>
      <c r="U211" t="s">
        <v>59</v>
      </c>
      <c r="V211">
        <v>49</v>
      </c>
      <c r="W211" t="str">
        <f>HYPERLINK("Gene2393-zp_tree_all.dnd", "Gene2393-tree")</f>
        <v>Gene2393-tree</v>
      </c>
      <c r="X211">
        <v>6</v>
      </c>
      <c r="Y211">
        <v>5</v>
      </c>
      <c r="Z211">
        <v>6</v>
      </c>
      <c r="AA211">
        <v>5</v>
      </c>
      <c r="AB211">
        <v>0.45455000000000001</v>
      </c>
      <c r="AC211" t="s">
        <v>90</v>
      </c>
      <c r="AD211" t="s">
        <v>199</v>
      </c>
      <c r="AE211" t="s">
        <v>62</v>
      </c>
      <c r="AF211" t="s">
        <v>62</v>
      </c>
      <c r="AG211">
        <v>1</v>
      </c>
      <c r="AH211">
        <v>2</v>
      </c>
      <c r="AI211">
        <v>7</v>
      </c>
      <c r="AJ211">
        <v>0.22222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2</v>
      </c>
      <c r="AS211">
        <v>7</v>
      </c>
      <c r="AT211">
        <v>0.22222</v>
      </c>
      <c r="AU211">
        <v>6</v>
      </c>
      <c r="AV211">
        <v>6</v>
      </c>
      <c r="AW211">
        <v>7</v>
      </c>
      <c r="AX211">
        <v>9</v>
      </c>
      <c r="AY211">
        <v>23</v>
      </c>
      <c r="AZ211">
        <v>1</v>
      </c>
      <c r="BA211" t="s">
        <v>13933</v>
      </c>
      <c r="BB211" t="s">
        <v>13934</v>
      </c>
      <c r="BC211">
        <v>1.1000000000000001</v>
      </c>
      <c r="BD211" t="s">
        <v>65</v>
      </c>
      <c r="BE211">
        <v>30</v>
      </c>
      <c r="BF211">
        <v>10</v>
      </c>
      <c r="BG211" t="s">
        <v>13935</v>
      </c>
      <c r="BH211" t="s">
        <v>13936</v>
      </c>
      <c r="BI211" t="s">
        <v>13937</v>
      </c>
      <c r="BJ211">
        <v>5.296E-2</v>
      </c>
      <c r="BK211">
        <v>1</v>
      </c>
      <c r="BL211" t="s">
        <v>69</v>
      </c>
      <c r="BM211">
        <v>-1.478</v>
      </c>
      <c r="BN211">
        <v>0.13600000000000001</v>
      </c>
    </row>
    <row r="212" spans="2:66">
      <c r="B212">
        <v>346</v>
      </c>
      <c r="C212">
        <v>6</v>
      </c>
      <c r="D212">
        <v>0</v>
      </c>
      <c r="E212">
        <v>15</v>
      </c>
      <c r="F212">
        <v>4</v>
      </c>
      <c r="J212">
        <v>0</v>
      </c>
      <c r="K212">
        <v>2</v>
      </c>
      <c r="L212">
        <v>0</v>
      </c>
      <c r="M212" t="s">
        <v>25022</v>
      </c>
      <c r="N212">
        <v>2394</v>
      </c>
      <c r="O212" t="s">
        <v>13938</v>
      </c>
      <c r="P212" t="s">
        <v>62</v>
      </c>
      <c r="Q212">
        <v>2404252</v>
      </c>
      <c r="R212">
        <v>2405028</v>
      </c>
      <c r="S212" t="s">
        <v>13939</v>
      </c>
      <c r="T212">
        <v>259</v>
      </c>
      <c r="U212" t="s">
        <v>108</v>
      </c>
      <c r="V212">
        <v>44</v>
      </c>
      <c r="W212" t="str">
        <f>HYPERLINK("Gene2394-zp_tree_all.dnd", "Gene2394-tree")</f>
        <v>Gene2394-tree</v>
      </c>
      <c r="X212">
        <v>5</v>
      </c>
      <c r="Y212">
        <v>7</v>
      </c>
      <c r="Z212">
        <v>5</v>
      </c>
      <c r="AA212">
        <v>7</v>
      </c>
      <c r="AB212">
        <v>0.58333000000000002</v>
      </c>
      <c r="AC212" t="s">
        <v>199</v>
      </c>
      <c r="AD212" t="s">
        <v>152</v>
      </c>
      <c r="AE212" t="s">
        <v>62</v>
      </c>
      <c r="AF212" t="s">
        <v>62</v>
      </c>
      <c r="AG212">
        <v>1</v>
      </c>
      <c r="AH212">
        <v>2</v>
      </c>
      <c r="AI212">
        <v>10</v>
      </c>
      <c r="AJ212">
        <v>0.16667000000000001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10</v>
      </c>
      <c r="AT212">
        <v>0</v>
      </c>
      <c r="AU212">
        <v>11</v>
      </c>
      <c r="AV212">
        <v>5</v>
      </c>
      <c r="AW212">
        <v>14</v>
      </c>
      <c r="AX212">
        <v>10</v>
      </c>
      <c r="AY212">
        <v>6</v>
      </c>
      <c r="AZ212">
        <v>2</v>
      </c>
      <c r="BA212" t="s">
        <v>13940</v>
      </c>
      <c r="BB212" t="s">
        <v>13941</v>
      </c>
      <c r="BC212">
        <v>0.91400000000000003</v>
      </c>
      <c r="BD212" t="s">
        <v>65</v>
      </c>
      <c r="BE212">
        <v>20</v>
      </c>
      <c r="BF212">
        <v>12</v>
      </c>
      <c r="BG212" t="s">
        <v>13942</v>
      </c>
      <c r="BH212" t="s">
        <v>13943</v>
      </c>
      <c r="BI212" t="s">
        <v>13944</v>
      </c>
      <c r="BJ212">
        <v>0.16123999999999999</v>
      </c>
      <c r="BK212">
        <v>1</v>
      </c>
      <c r="BL212" t="s">
        <v>69</v>
      </c>
      <c r="BM212">
        <v>-1.1639999999999999</v>
      </c>
      <c r="BN212">
        <v>-0.74</v>
      </c>
    </row>
    <row r="213" spans="2:66">
      <c r="B213">
        <v>347</v>
      </c>
      <c r="C213">
        <v>18</v>
      </c>
      <c r="D213">
        <v>0</v>
      </c>
      <c r="E213">
        <v>2</v>
      </c>
      <c r="F213">
        <v>0</v>
      </c>
      <c r="J213">
        <v>0</v>
      </c>
      <c r="K213">
        <v>0</v>
      </c>
      <c r="L213">
        <v>2</v>
      </c>
      <c r="M213" t="s">
        <v>25022</v>
      </c>
      <c r="N213">
        <v>2395</v>
      </c>
      <c r="O213" t="s">
        <v>13945</v>
      </c>
      <c r="P213" t="s">
        <v>62</v>
      </c>
      <c r="Q213">
        <v>2405117</v>
      </c>
      <c r="R213">
        <v>2405557</v>
      </c>
      <c r="S213" t="s">
        <v>116</v>
      </c>
      <c r="T213">
        <v>147</v>
      </c>
      <c r="U213" t="s">
        <v>108</v>
      </c>
      <c r="V213">
        <v>44</v>
      </c>
      <c r="W213" t="str">
        <f>HYPERLINK("Gene2395-zp_tree_all.dnd", "Gene2395-tree")</f>
        <v>Gene2395-tree</v>
      </c>
      <c r="X213">
        <v>29</v>
      </c>
      <c r="Y213">
        <v>3</v>
      </c>
      <c r="Z213">
        <v>4</v>
      </c>
      <c r="AA213">
        <v>3</v>
      </c>
      <c r="AB213">
        <v>0.42857000000000001</v>
      </c>
      <c r="AC213" t="s">
        <v>13946</v>
      </c>
      <c r="AD213" t="s">
        <v>324</v>
      </c>
      <c r="AE213" t="s">
        <v>62</v>
      </c>
      <c r="AF213" t="s">
        <v>62</v>
      </c>
      <c r="AG213">
        <v>1</v>
      </c>
      <c r="AH213">
        <v>2</v>
      </c>
      <c r="AI213">
        <v>1</v>
      </c>
      <c r="AJ213">
        <v>0.66666999999999998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2</v>
      </c>
      <c r="AR213">
        <v>2</v>
      </c>
      <c r="AS213">
        <v>1</v>
      </c>
      <c r="AT213">
        <v>0.66666999999999998</v>
      </c>
      <c r="AU213">
        <v>5</v>
      </c>
      <c r="AV213">
        <v>2</v>
      </c>
      <c r="AW213">
        <v>5</v>
      </c>
      <c r="AX213">
        <v>3</v>
      </c>
      <c r="AY213">
        <v>2</v>
      </c>
      <c r="AZ213">
        <v>0</v>
      </c>
      <c r="BA213" t="s">
        <v>13947</v>
      </c>
      <c r="BB213" t="s">
        <v>193</v>
      </c>
      <c r="BC213">
        <v>1.1879999999999999</v>
      </c>
      <c r="BD213" t="s">
        <v>65</v>
      </c>
      <c r="BE213">
        <v>7</v>
      </c>
      <c r="BF213">
        <v>3</v>
      </c>
      <c r="BG213" t="s">
        <v>13948</v>
      </c>
      <c r="BH213" t="s">
        <v>13949</v>
      </c>
      <c r="BI213" t="s">
        <v>13950</v>
      </c>
      <c r="BJ213">
        <v>8.2059999999999994E-2</v>
      </c>
      <c r="BK213">
        <v>0.99</v>
      </c>
      <c r="BL213" t="s">
        <v>69</v>
      </c>
      <c r="BM213">
        <v>-0.13800000000000001</v>
      </c>
      <c r="BN213">
        <v>-0.38600000000000001</v>
      </c>
    </row>
    <row r="214" spans="2:66">
      <c r="B214">
        <v>348</v>
      </c>
      <c r="C214">
        <v>178</v>
      </c>
      <c r="D214">
        <v>0</v>
      </c>
      <c r="E214">
        <v>6</v>
      </c>
      <c r="F214">
        <v>0</v>
      </c>
      <c r="J214">
        <v>0</v>
      </c>
      <c r="K214">
        <v>0</v>
      </c>
      <c r="L214">
        <v>0</v>
      </c>
      <c r="M214" t="s">
        <v>25022</v>
      </c>
      <c r="N214">
        <v>2397</v>
      </c>
      <c r="O214" t="s">
        <v>13951</v>
      </c>
      <c r="P214" t="s">
        <v>62</v>
      </c>
      <c r="Q214">
        <v>2406296</v>
      </c>
      <c r="R214">
        <v>2406862</v>
      </c>
      <c r="S214" t="s">
        <v>3674</v>
      </c>
      <c r="T214">
        <v>189</v>
      </c>
      <c r="U214" t="s">
        <v>108</v>
      </c>
      <c r="V214">
        <v>44</v>
      </c>
      <c r="W214" t="str">
        <f>HYPERLINK("Gene2397-zp_tree_all.dnd", "Gene2397-tree")</f>
        <v>Gene2397-tree</v>
      </c>
      <c r="X214">
        <v>3</v>
      </c>
      <c r="Y214">
        <v>28</v>
      </c>
      <c r="Z214">
        <v>3</v>
      </c>
      <c r="AA214">
        <v>4</v>
      </c>
      <c r="AB214">
        <v>0.57142999999999999</v>
      </c>
      <c r="AC214" t="s">
        <v>324</v>
      </c>
      <c r="AD214" t="s">
        <v>13952</v>
      </c>
      <c r="AE214">
        <v>4.6669999999999998</v>
      </c>
      <c r="AF214" t="s">
        <v>65</v>
      </c>
      <c r="AG214">
        <v>0</v>
      </c>
      <c r="AH214">
        <v>0</v>
      </c>
      <c r="AI214">
        <v>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5</v>
      </c>
      <c r="AT214">
        <v>0</v>
      </c>
      <c r="AU214">
        <v>5</v>
      </c>
      <c r="AV214">
        <v>1</v>
      </c>
      <c r="AW214">
        <v>5</v>
      </c>
      <c r="AX214">
        <v>4</v>
      </c>
      <c r="AY214">
        <v>0</v>
      </c>
      <c r="AZ214">
        <v>1</v>
      </c>
      <c r="BA214" t="s">
        <v>13953</v>
      </c>
      <c r="BB214" t="s">
        <v>193</v>
      </c>
      <c r="BC214">
        <v>1.333</v>
      </c>
      <c r="BD214" t="s">
        <v>65</v>
      </c>
      <c r="BE214">
        <v>5</v>
      </c>
      <c r="BF214">
        <v>5</v>
      </c>
      <c r="BG214" t="s">
        <v>13954</v>
      </c>
      <c r="BH214" t="s">
        <v>13955</v>
      </c>
      <c r="BI214" t="s">
        <v>13956</v>
      </c>
      <c r="BJ214">
        <v>0.31356000000000001</v>
      </c>
      <c r="BK214">
        <v>0.871</v>
      </c>
      <c r="BL214" t="s">
        <v>635</v>
      </c>
      <c r="BM214">
        <v>-1.508</v>
      </c>
      <c r="BN214">
        <v>-2.7679999999999998</v>
      </c>
    </row>
    <row r="215" spans="2:66">
      <c r="B215">
        <v>350</v>
      </c>
      <c r="C215">
        <v>412</v>
      </c>
      <c r="D215">
        <v>2</v>
      </c>
      <c r="E215">
        <v>140</v>
      </c>
      <c r="F215">
        <v>13</v>
      </c>
      <c r="J215">
        <v>0</v>
      </c>
      <c r="K215">
        <v>0</v>
      </c>
      <c r="L215">
        <v>0</v>
      </c>
      <c r="M215" t="s">
        <v>25022</v>
      </c>
      <c r="N215">
        <v>2398</v>
      </c>
      <c r="O215" t="s">
        <v>13957</v>
      </c>
      <c r="P215" t="s">
        <v>62</v>
      </c>
      <c r="Q215">
        <v>2406925</v>
      </c>
      <c r="R215">
        <v>2408412</v>
      </c>
      <c r="S215" t="s">
        <v>4355</v>
      </c>
      <c r="T215">
        <v>496</v>
      </c>
      <c r="U215" t="s">
        <v>108</v>
      </c>
      <c r="V215">
        <v>44</v>
      </c>
      <c r="W215" t="str">
        <f>HYPERLINK("Gene2398-zp_tree_all.dnd", "Gene2398-tree")</f>
        <v>Gene2398-tree</v>
      </c>
      <c r="X215">
        <v>5</v>
      </c>
      <c r="Y215">
        <v>6</v>
      </c>
      <c r="Z215">
        <v>5</v>
      </c>
      <c r="AA215">
        <v>6</v>
      </c>
      <c r="AB215">
        <v>0.54544999999999999</v>
      </c>
      <c r="AC215" t="s">
        <v>199</v>
      </c>
      <c r="AD215" t="s">
        <v>90</v>
      </c>
      <c r="AE215" t="s">
        <v>62</v>
      </c>
      <c r="AF215" t="s">
        <v>62</v>
      </c>
      <c r="AG215">
        <v>0</v>
      </c>
      <c r="AH215">
        <v>0</v>
      </c>
      <c r="AI215">
        <v>11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10</v>
      </c>
      <c r="AT215">
        <v>0</v>
      </c>
      <c r="AU215">
        <v>10</v>
      </c>
      <c r="AV215">
        <v>7</v>
      </c>
      <c r="AW215">
        <v>41</v>
      </c>
      <c r="AX215">
        <v>10</v>
      </c>
      <c r="AY215">
        <v>16</v>
      </c>
      <c r="AZ215">
        <v>1</v>
      </c>
      <c r="BA215" t="s">
        <v>13958</v>
      </c>
      <c r="BB215" t="s">
        <v>13959</v>
      </c>
      <c r="BC215">
        <v>0.93100000000000005</v>
      </c>
      <c r="BD215" t="s">
        <v>65</v>
      </c>
      <c r="BE215">
        <v>57</v>
      </c>
      <c r="BF215">
        <v>11</v>
      </c>
      <c r="BG215" t="s">
        <v>13960</v>
      </c>
      <c r="BH215" t="s">
        <v>13961</v>
      </c>
      <c r="BI215" t="s">
        <v>13962</v>
      </c>
      <c r="BJ215">
        <v>4.9540000000000001E-2</v>
      </c>
      <c r="BK215">
        <v>1</v>
      </c>
      <c r="BL215" t="s">
        <v>69</v>
      </c>
      <c r="BM215">
        <v>-0.108</v>
      </c>
      <c r="BN215">
        <v>-1.8939999999999999</v>
      </c>
    </row>
    <row r="216" spans="2:66">
      <c r="B216">
        <v>351</v>
      </c>
      <c r="C216">
        <v>132</v>
      </c>
      <c r="D216">
        <v>4</v>
      </c>
      <c r="E216">
        <v>162</v>
      </c>
      <c r="F216">
        <v>12</v>
      </c>
      <c r="J216">
        <v>0</v>
      </c>
      <c r="K216">
        <v>6</v>
      </c>
      <c r="L216">
        <v>0</v>
      </c>
      <c r="M216" t="s">
        <v>25022</v>
      </c>
      <c r="N216">
        <v>2399</v>
      </c>
      <c r="O216" t="s">
        <v>13963</v>
      </c>
      <c r="P216" t="s">
        <v>62</v>
      </c>
      <c r="Q216">
        <v>2408408</v>
      </c>
      <c r="R216">
        <v>2409463</v>
      </c>
      <c r="S216" t="s">
        <v>13964</v>
      </c>
      <c r="T216">
        <v>352</v>
      </c>
      <c r="U216" t="s">
        <v>108</v>
      </c>
      <c r="V216">
        <v>44</v>
      </c>
      <c r="W216" t="str">
        <f>HYPERLINK("Gene2399-zp_tree_all.dnd", "Gene2399-tree")</f>
        <v>Gene2399-tree</v>
      </c>
      <c r="X216">
        <v>5</v>
      </c>
      <c r="Y216">
        <v>6</v>
      </c>
      <c r="Z216">
        <v>5</v>
      </c>
      <c r="AA216">
        <v>6</v>
      </c>
      <c r="AB216">
        <v>0.54544999999999999</v>
      </c>
      <c r="AC216" t="s">
        <v>199</v>
      </c>
      <c r="AD216" t="s">
        <v>90</v>
      </c>
      <c r="AE216" t="s">
        <v>62</v>
      </c>
      <c r="AF216" t="s">
        <v>62</v>
      </c>
      <c r="AG216">
        <v>3</v>
      </c>
      <c r="AH216">
        <v>6</v>
      </c>
      <c r="AI216">
        <v>12</v>
      </c>
      <c r="AJ216">
        <v>0.33333000000000002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8</v>
      </c>
      <c r="AT216">
        <v>0</v>
      </c>
      <c r="AU216">
        <v>7</v>
      </c>
      <c r="AV216">
        <v>7</v>
      </c>
      <c r="AW216">
        <v>10</v>
      </c>
      <c r="AX216">
        <v>5</v>
      </c>
      <c r="AY216">
        <v>18</v>
      </c>
      <c r="AZ216">
        <v>13</v>
      </c>
      <c r="BA216" t="s">
        <v>13965</v>
      </c>
      <c r="BB216" t="s">
        <v>13966</v>
      </c>
      <c r="BC216">
        <v>0.55400000000000005</v>
      </c>
      <c r="BD216" t="s">
        <v>65</v>
      </c>
      <c r="BE216">
        <v>28</v>
      </c>
      <c r="BF216">
        <v>18</v>
      </c>
      <c r="BG216" t="s">
        <v>13967</v>
      </c>
      <c r="BH216" t="s">
        <v>13968</v>
      </c>
      <c r="BI216" t="s">
        <v>13969</v>
      </c>
      <c r="BJ216">
        <v>0.18265999999999999</v>
      </c>
      <c r="BK216">
        <v>1</v>
      </c>
      <c r="BL216" t="s">
        <v>69</v>
      </c>
      <c r="BM216">
        <v>0.19600000000000001</v>
      </c>
      <c r="BN216">
        <v>0.19700000000000001</v>
      </c>
    </row>
    <row r="217" spans="2:66">
      <c r="B217">
        <v>353</v>
      </c>
      <c r="C217">
        <v>89</v>
      </c>
      <c r="D217">
        <v>0</v>
      </c>
      <c r="E217">
        <v>36</v>
      </c>
      <c r="F217">
        <v>10</v>
      </c>
      <c r="J217">
        <v>0</v>
      </c>
      <c r="K217">
        <v>0</v>
      </c>
      <c r="L217">
        <v>0</v>
      </c>
      <c r="M217" t="s">
        <v>25022</v>
      </c>
      <c r="N217">
        <v>2401</v>
      </c>
      <c r="O217" t="s">
        <v>13976</v>
      </c>
      <c r="P217" t="s">
        <v>62</v>
      </c>
      <c r="Q217">
        <v>2410020</v>
      </c>
      <c r="R217">
        <v>2410589</v>
      </c>
      <c r="S217" t="s">
        <v>13977</v>
      </c>
      <c r="T217">
        <v>190</v>
      </c>
      <c r="U217" t="s">
        <v>108</v>
      </c>
      <c r="V217">
        <v>44</v>
      </c>
      <c r="W217" t="str">
        <f>HYPERLINK("Gene2401-zp_tree_all.dnd", "Gene2401-tree")</f>
        <v>Gene2401-tree</v>
      </c>
      <c r="X217">
        <v>6</v>
      </c>
      <c r="Y217">
        <v>5</v>
      </c>
      <c r="Z217">
        <v>6</v>
      </c>
      <c r="AA217">
        <v>5</v>
      </c>
      <c r="AB217">
        <v>0.45455000000000001</v>
      </c>
      <c r="AC217" t="s">
        <v>90</v>
      </c>
      <c r="AD217" t="s">
        <v>199</v>
      </c>
      <c r="AE217" t="s">
        <v>62</v>
      </c>
      <c r="AF217" t="s">
        <v>62</v>
      </c>
      <c r="AG217">
        <v>0</v>
      </c>
      <c r="AH217">
        <v>0</v>
      </c>
      <c r="AI217">
        <v>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5</v>
      </c>
      <c r="AT217">
        <v>0</v>
      </c>
      <c r="AU217">
        <v>9</v>
      </c>
      <c r="AV217">
        <v>5</v>
      </c>
      <c r="AW217">
        <v>7</v>
      </c>
      <c r="AX217">
        <v>5</v>
      </c>
      <c r="AY217">
        <v>6</v>
      </c>
      <c r="AZ217">
        <v>0</v>
      </c>
      <c r="BA217" t="s">
        <v>13978</v>
      </c>
      <c r="BB217" t="s">
        <v>193</v>
      </c>
      <c r="BC217">
        <v>1.645</v>
      </c>
      <c r="BD217" t="s">
        <v>65</v>
      </c>
      <c r="BE217">
        <v>13</v>
      </c>
      <c r="BF217">
        <v>5</v>
      </c>
      <c r="BG217" t="s">
        <v>13979</v>
      </c>
      <c r="BH217" t="s">
        <v>13980</v>
      </c>
      <c r="BI217" t="s">
        <v>13981</v>
      </c>
      <c r="BJ217">
        <v>8.3659999999999998E-2</v>
      </c>
      <c r="BK217">
        <v>1</v>
      </c>
      <c r="BL217" t="s">
        <v>69</v>
      </c>
      <c r="BM217">
        <v>-1.0660000000000001</v>
      </c>
      <c r="BN217">
        <v>-2.0179999999999998</v>
      </c>
    </row>
    <row r="218" spans="2:66">
      <c r="B218">
        <v>354</v>
      </c>
      <c r="C218">
        <v>126</v>
      </c>
      <c r="D218">
        <v>0</v>
      </c>
      <c r="E218">
        <v>3</v>
      </c>
      <c r="F218">
        <v>2</v>
      </c>
      <c r="J218">
        <v>0</v>
      </c>
      <c r="K218">
        <v>9</v>
      </c>
      <c r="L218">
        <v>0</v>
      </c>
      <c r="M218" t="s">
        <v>25022</v>
      </c>
      <c r="N218">
        <v>2403</v>
      </c>
      <c r="O218" t="s">
        <v>13989</v>
      </c>
      <c r="P218" t="s">
        <v>62</v>
      </c>
      <c r="Q218">
        <v>2412709</v>
      </c>
      <c r="R218">
        <v>2413473</v>
      </c>
      <c r="S218" t="s">
        <v>13990</v>
      </c>
      <c r="T218">
        <v>255</v>
      </c>
      <c r="U218" t="s">
        <v>13991</v>
      </c>
      <c r="V218">
        <v>41</v>
      </c>
      <c r="W218" t="str">
        <f>HYPERLINK("Gene2403-zp_tree_all.dnd", "Gene2403-tree")</f>
        <v>Gene2403-tree</v>
      </c>
      <c r="X218">
        <v>3</v>
      </c>
      <c r="Y218">
        <v>9</v>
      </c>
      <c r="Z218">
        <v>3</v>
      </c>
      <c r="AA218">
        <v>9</v>
      </c>
      <c r="AB218">
        <v>0.75</v>
      </c>
      <c r="AC218" t="s">
        <v>324</v>
      </c>
      <c r="AD218" t="s">
        <v>135</v>
      </c>
      <c r="AE218" t="s">
        <v>62</v>
      </c>
      <c r="AF218" t="s">
        <v>62</v>
      </c>
      <c r="AG218">
        <v>4</v>
      </c>
      <c r="AH218">
        <v>9</v>
      </c>
      <c r="AI218">
        <v>10</v>
      </c>
      <c r="AJ218">
        <v>0.47367999999999999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</v>
      </c>
      <c r="AQ218">
        <v>0</v>
      </c>
      <c r="AR218">
        <v>4</v>
      </c>
      <c r="AS218">
        <v>9</v>
      </c>
      <c r="AT218">
        <v>0.30769000000000002</v>
      </c>
      <c r="AU218">
        <v>10</v>
      </c>
      <c r="AV218">
        <v>8</v>
      </c>
      <c r="AW218">
        <v>30</v>
      </c>
      <c r="AX218">
        <v>13</v>
      </c>
      <c r="AY218">
        <v>28</v>
      </c>
      <c r="AZ218">
        <v>7</v>
      </c>
      <c r="BA218" t="s">
        <v>13992</v>
      </c>
      <c r="BB218" t="s">
        <v>13993</v>
      </c>
      <c r="BC218">
        <v>1.0960000000000001</v>
      </c>
      <c r="BD218" t="s">
        <v>65</v>
      </c>
      <c r="BE218">
        <v>58</v>
      </c>
      <c r="BF218">
        <v>20</v>
      </c>
      <c r="BG218" t="s">
        <v>13994</v>
      </c>
      <c r="BH218" t="s">
        <v>13995</v>
      </c>
      <c r="BI218" t="s">
        <v>13996</v>
      </c>
      <c r="BJ218">
        <v>9.6960000000000005E-2</v>
      </c>
      <c r="BK218">
        <v>1</v>
      </c>
      <c r="BL218" t="s">
        <v>69</v>
      </c>
      <c r="BM218">
        <v>-0.26100000000000001</v>
      </c>
      <c r="BN218">
        <v>-3.0000000000000001E-3</v>
      </c>
    </row>
    <row r="219" spans="2:66">
      <c r="B219">
        <v>355</v>
      </c>
      <c r="C219">
        <v>197</v>
      </c>
      <c r="D219">
        <v>0</v>
      </c>
      <c r="E219">
        <v>10</v>
      </c>
      <c r="F219">
        <v>0</v>
      </c>
      <c r="J219">
        <v>0</v>
      </c>
      <c r="K219">
        <v>13</v>
      </c>
      <c r="L219">
        <v>3</v>
      </c>
      <c r="M219" t="s">
        <v>25022</v>
      </c>
      <c r="N219">
        <v>2404</v>
      </c>
      <c r="O219" t="s">
        <v>13997</v>
      </c>
      <c r="P219" t="s">
        <v>62</v>
      </c>
      <c r="Q219">
        <v>2413588</v>
      </c>
      <c r="R219">
        <v>2414691</v>
      </c>
      <c r="S219" t="s">
        <v>13998</v>
      </c>
      <c r="T219">
        <v>368</v>
      </c>
      <c r="U219" t="s">
        <v>13999</v>
      </c>
      <c r="V219">
        <v>40</v>
      </c>
      <c r="W219" t="str">
        <f>HYPERLINK("Gene2404-zp_tree_all.dnd", "Gene2404-tree")</f>
        <v>Gene2404-tree</v>
      </c>
      <c r="X219">
        <v>1</v>
      </c>
      <c r="Y219">
        <v>10</v>
      </c>
      <c r="Z219">
        <v>1</v>
      </c>
      <c r="AA219">
        <v>10</v>
      </c>
      <c r="AB219">
        <v>0.90908999999999995</v>
      </c>
      <c r="AC219" t="s">
        <v>175</v>
      </c>
      <c r="AD219" t="s">
        <v>117</v>
      </c>
      <c r="AE219" t="s">
        <v>62</v>
      </c>
      <c r="AF219" t="s">
        <v>62</v>
      </c>
      <c r="AG219">
        <v>7</v>
      </c>
      <c r="AH219">
        <v>16</v>
      </c>
      <c r="AI219">
        <v>22</v>
      </c>
      <c r="AJ219">
        <v>0.42104999999999998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</v>
      </c>
      <c r="AR219">
        <v>2</v>
      </c>
      <c r="AS219">
        <v>10</v>
      </c>
      <c r="AT219">
        <v>0.16667000000000001</v>
      </c>
      <c r="AU219">
        <v>8</v>
      </c>
      <c r="AV219">
        <v>8</v>
      </c>
      <c r="AW219">
        <v>18</v>
      </c>
      <c r="AX219">
        <v>8</v>
      </c>
      <c r="AY219">
        <v>41</v>
      </c>
      <c r="AZ219">
        <v>34</v>
      </c>
      <c r="BA219" t="s">
        <v>14000</v>
      </c>
      <c r="BB219" t="s">
        <v>14001</v>
      </c>
      <c r="BC219">
        <v>1.177</v>
      </c>
      <c r="BD219" t="s">
        <v>65</v>
      </c>
      <c r="BE219">
        <v>59</v>
      </c>
      <c r="BF219">
        <v>42</v>
      </c>
      <c r="BG219" t="s">
        <v>14002</v>
      </c>
      <c r="BH219" t="s">
        <v>14003</v>
      </c>
      <c r="BI219" t="s">
        <v>14004</v>
      </c>
      <c r="BJ219">
        <v>0.22943</v>
      </c>
      <c r="BK219">
        <v>1</v>
      </c>
      <c r="BL219" t="s">
        <v>69</v>
      </c>
      <c r="BM219">
        <v>0.95799999999999996</v>
      </c>
      <c r="BN219">
        <v>1.0369999999999999</v>
      </c>
    </row>
    <row r="220" spans="2:66">
      <c r="B220">
        <v>356</v>
      </c>
      <c r="C220">
        <v>102</v>
      </c>
      <c r="D220">
        <v>0</v>
      </c>
      <c r="E220">
        <v>20</v>
      </c>
      <c r="F220">
        <v>8</v>
      </c>
      <c r="J220">
        <v>0</v>
      </c>
      <c r="K220">
        <v>0</v>
      </c>
      <c r="L220">
        <v>0</v>
      </c>
      <c r="M220" t="s">
        <v>25022</v>
      </c>
      <c r="N220">
        <v>2405</v>
      </c>
      <c r="O220" t="s">
        <v>14005</v>
      </c>
      <c r="P220" t="s">
        <v>62</v>
      </c>
      <c r="Q220">
        <v>2414630</v>
      </c>
      <c r="R220">
        <v>2415211</v>
      </c>
      <c r="S220" t="s">
        <v>14006</v>
      </c>
      <c r="T220">
        <v>194</v>
      </c>
      <c r="U220" t="s">
        <v>59</v>
      </c>
      <c r="V220">
        <v>49</v>
      </c>
      <c r="W220" t="str">
        <f>HYPERLINK("Gene2405-zp_tree_all.dnd", "Gene2405-tree")</f>
        <v>Gene2405-tree</v>
      </c>
      <c r="X220">
        <v>12</v>
      </c>
      <c r="Y220">
        <v>0</v>
      </c>
      <c r="Z220">
        <v>12</v>
      </c>
      <c r="AA220">
        <v>0</v>
      </c>
      <c r="AB220">
        <v>0</v>
      </c>
      <c r="AC220" t="s">
        <v>109</v>
      </c>
      <c r="AD220" t="s">
        <v>62</v>
      </c>
      <c r="AE220" t="s">
        <v>62</v>
      </c>
      <c r="AF220" t="s">
        <v>62</v>
      </c>
      <c r="AG220">
        <v>0</v>
      </c>
      <c r="AH220">
        <v>0</v>
      </c>
      <c r="AI220">
        <v>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9</v>
      </c>
      <c r="AV220">
        <v>6</v>
      </c>
      <c r="AW220">
        <v>17</v>
      </c>
      <c r="AX220">
        <v>0</v>
      </c>
      <c r="AY220">
        <v>21</v>
      </c>
      <c r="AZ220">
        <v>5</v>
      </c>
      <c r="BA220" t="s">
        <v>193</v>
      </c>
      <c r="BB220" t="s">
        <v>14007</v>
      </c>
      <c r="BC220">
        <v>0.71599999999999997</v>
      </c>
      <c r="BD220" t="s">
        <v>65</v>
      </c>
      <c r="BE220">
        <v>38</v>
      </c>
      <c r="BF220">
        <v>5</v>
      </c>
      <c r="BG220" t="s">
        <v>14008</v>
      </c>
      <c r="BH220" t="s">
        <v>14009</v>
      </c>
      <c r="BI220" t="s">
        <v>14010</v>
      </c>
      <c r="BJ220">
        <v>4.777E-2</v>
      </c>
      <c r="BK220">
        <v>1</v>
      </c>
      <c r="BL220" t="s">
        <v>69</v>
      </c>
      <c r="BM220">
        <v>-1.0760000000000001</v>
      </c>
      <c r="BN220">
        <v>-0.46500000000000002</v>
      </c>
    </row>
    <row r="221" spans="2:66">
      <c r="B221">
        <v>357</v>
      </c>
      <c r="C221">
        <v>7</v>
      </c>
      <c r="D221">
        <v>0</v>
      </c>
      <c r="E221">
        <v>10</v>
      </c>
      <c r="F221">
        <v>4</v>
      </c>
      <c r="J221">
        <v>0</v>
      </c>
      <c r="K221">
        <v>4</v>
      </c>
      <c r="L221">
        <v>2</v>
      </c>
      <c r="M221" t="s">
        <v>25022</v>
      </c>
      <c r="N221">
        <v>2406</v>
      </c>
      <c r="O221" t="s">
        <v>14011</v>
      </c>
      <c r="P221" t="s">
        <v>62</v>
      </c>
      <c r="Q221">
        <v>2415418</v>
      </c>
      <c r="R221">
        <v>2417184</v>
      </c>
      <c r="S221" t="s">
        <v>14012</v>
      </c>
      <c r="T221">
        <v>589</v>
      </c>
      <c r="U221" t="s">
        <v>108</v>
      </c>
      <c r="V221">
        <v>44</v>
      </c>
      <c r="W221" t="str">
        <f>HYPERLINK("Gene2406-zp_tree_all.dnd", "Gene2406-tree")</f>
        <v>Gene2406-tree</v>
      </c>
      <c r="X221">
        <v>6</v>
      </c>
      <c r="Y221">
        <v>8</v>
      </c>
      <c r="Z221">
        <v>6</v>
      </c>
      <c r="AA221">
        <v>8</v>
      </c>
      <c r="AB221">
        <v>0.57142999999999999</v>
      </c>
      <c r="AC221" t="s">
        <v>90</v>
      </c>
      <c r="AD221" t="s">
        <v>136</v>
      </c>
      <c r="AE221" t="s">
        <v>62</v>
      </c>
      <c r="AF221" t="s">
        <v>62</v>
      </c>
      <c r="AG221">
        <v>3</v>
      </c>
      <c r="AH221">
        <v>6</v>
      </c>
      <c r="AI221">
        <v>7</v>
      </c>
      <c r="AJ221">
        <v>0.46154000000000001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2</v>
      </c>
      <c r="AQ221">
        <v>0</v>
      </c>
      <c r="AR221">
        <v>2</v>
      </c>
      <c r="AS221">
        <v>8</v>
      </c>
      <c r="AT221">
        <v>0.2</v>
      </c>
      <c r="AU221">
        <v>12</v>
      </c>
      <c r="AV221">
        <v>9</v>
      </c>
      <c r="AW221">
        <v>49</v>
      </c>
      <c r="AX221">
        <v>10</v>
      </c>
      <c r="AY221">
        <v>25</v>
      </c>
      <c r="AZ221">
        <v>3</v>
      </c>
      <c r="BA221" t="s">
        <v>14013</v>
      </c>
      <c r="BB221" t="s">
        <v>14014</v>
      </c>
      <c r="BC221">
        <v>0.54700000000000004</v>
      </c>
      <c r="BD221" t="s">
        <v>65</v>
      </c>
      <c r="BE221">
        <v>74</v>
      </c>
      <c r="BF221">
        <v>13</v>
      </c>
      <c r="BG221" t="s">
        <v>14015</v>
      </c>
      <c r="BH221" t="s">
        <v>14016</v>
      </c>
      <c r="BI221" t="s">
        <v>14017</v>
      </c>
      <c r="BJ221">
        <v>5.5320000000000001E-2</v>
      </c>
      <c r="BK221">
        <v>1</v>
      </c>
      <c r="BL221" t="s">
        <v>69</v>
      </c>
      <c r="BM221">
        <v>-0.53300000000000003</v>
      </c>
      <c r="BN221">
        <v>-1.7110000000000001</v>
      </c>
    </row>
    <row r="222" spans="2:66">
      <c r="B222">
        <v>358</v>
      </c>
      <c r="C222">
        <v>74</v>
      </c>
      <c r="D222">
        <v>5</v>
      </c>
      <c r="E222">
        <v>35</v>
      </c>
      <c r="F222">
        <v>4</v>
      </c>
      <c r="J222">
        <v>0</v>
      </c>
      <c r="K222">
        <v>0</v>
      </c>
      <c r="L222">
        <v>0</v>
      </c>
      <c r="M222" t="s">
        <v>25022</v>
      </c>
      <c r="N222">
        <v>2407</v>
      </c>
      <c r="O222" t="s">
        <v>14018</v>
      </c>
      <c r="P222" t="s">
        <v>62</v>
      </c>
      <c r="Q222">
        <v>2417184</v>
      </c>
      <c r="R222">
        <v>2417903</v>
      </c>
      <c r="S222" t="s">
        <v>14019</v>
      </c>
      <c r="T222">
        <v>240</v>
      </c>
      <c r="U222" t="s">
        <v>289</v>
      </c>
      <c r="V222">
        <v>46</v>
      </c>
      <c r="W222" t="str">
        <f>HYPERLINK("Gene2407-zp_tree_all.dnd", "Gene2407-tree")</f>
        <v>Gene2407-tree</v>
      </c>
      <c r="X222">
        <v>10</v>
      </c>
      <c r="Y222">
        <v>3</v>
      </c>
      <c r="Z222">
        <v>10</v>
      </c>
      <c r="AA222">
        <v>3</v>
      </c>
      <c r="AB222">
        <v>0.23077</v>
      </c>
      <c r="AC222" t="s">
        <v>117</v>
      </c>
      <c r="AD222" t="s">
        <v>324</v>
      </c>
      <c r="AE222" t="s">
        <v>62</v>
      </c>
      <c r="AF222" t="s">
        <v>62</v>
      </c>
      <c r="AG222">
        <v>0</v>
      </c>
      <c r="AH222">
        <v>0</v>
      </c>
      <c r="AI222">
        <v>6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3</v>
      </c>
      <c r="AT222">
        <v>0</v>
      </c>
      <c r="AU222">
        <v>9</v>
      </c>
      <c r="AV222">
        <v>6</v>
      </c>
      <c r="AW222">
        <v>21</v>
      </c>
      <c r="AX222">
        <v>3</v>
      </c>
      <c r="AY222">
        <v>36</v>
      </c>
      <c r="AZ222">
        <v>3</v>
      </c>
      <c r="BA222" t="s">
        <v>14020</v>
      </c>
      <c r="BB222" t="s">
        <v>14021</v>
      </c>
      <c r="BC222">
        <v>0.33900000000000002</v>
      </c>
      <c r="BD222" t="s">
        <v>65</v>
      </c>
      <c r="BE222">
        <v>57</v>
      </c>
      <c r="BF222">
        <v>6</v>
      </c>
      <c r="BG222" t="s">
        <v>14022</v>
      </c>
      <c r="BH222" t="s">
        <v>14023</v>
      </c>
      <c r="BI222" t="s">
        <v>14024</v>
      </c>
      <c r="BJ222">
        <v>2.7019999999999999E-2</v>
      </c>
      <c r="BK222">
        <v>1</v>
      </c>
      <c r="BL222" t="s">
        <v>69</v>
      </c>
      <c r="BM222">
        <v>-1.643</v>
      </c>
      <c r="BN222">
        <v>0.156</v>
      </c>
    </row>
    <row r="223" spans="2:66">
      <c r="B223">
        <v>361</v>
      </c>
      <c r="C223">
        <v>158</v>
      </c>
      <c r="D223">
        <v>0</v>
      </c>
      <c r="E223">
        <v>2</v>
      </c>
      <c r="F223">
        <v>0</v>
      </c>
      <c r="J223">
        <v>0</v>
      </c>
      <c r="K223">
        <v>2</v>
      </c>
      <c r="L223">
        <v>2</v>
      </c>
      <c r="M223" t="s">
        <v>25022</v>
      </c>
      <c r="N223">
        <v>2408</v>
      </c>
      <c r="O223" t="s">
        <v>14025</v>
      </c>
      <c r="P223" t="s">
        <v>62</v>
      </c>
      <c r="Q223">
        <v>2417987</v>
      </c>
      <c r="R223">
        <v>2419159</v>
      </c>
      <c r="S223" t="s">
        <v>14026</v>
      </c>
      <c r="T223">
        <v>391</v>
      </c>
      <c r="U223" t="s">
        <v>108</v>
      </c>
      <c r="V223">
        <v>44</v>
      </c>
      <c r="W223" t="str">
        <f>HYPERLINK("Gene2408-zp_tree_all.dnd", "Gene2408-tree")</f>
        <v>Gene2408-tree</v>
      </c>
      <c r="X223">
        <v>4</v>
      </c>
      <c r="Y223">
        <v>9</v>
      </c>
      <c r="Z223">
        <v>4</v>
      </c>
      <c r="AA223">
        <v>9</v>
      </c>
      <c r="AB223">
        <v>0.69230999999999998</v>
      </c>
      <c r="AC223" t="s">
        <v>61</v>
      </c>
      <c r="AD223" t="s">
        <v>135</v>
      </c>
      <c r="AE223" t="s">
        <v>62</v>
      </c>
      <c r="AF223" t="s">
        <v>62</v>
      </c>
      <c r="AG223">
        <v>2</v>
      </c>
      <c r="AH223">
        <v>4</v>
      </c>
      <c r="AI223">
        <v>8</v>
      </c>
      <c r="AJ223">
        <v>0.33333000000000002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</v>
      </c>
      <c r="AR223">
        <v>2</v>
      </c>
      <c r="AS223">
        <v>8</v>
      </c>
      <c r="AT223">
        <v>0.2</v>
      </c>
      <c r="AU223">
        <v>10</v>
      </c>
      <c r="AV223">
        <v>9</v>
      </c>
      <c r="AW223">
        <v>20</v>
      </c>
      <c r="AX223">
        <v>9</v>
      </c>
      <c r="AY223">
        <v>17</v>
      </c>
      <c r="AZ223">
        <v>3</v>
      </c>
      <c r="BA223" t="s">
        <v>14027</v>
      </c>
      <c r="BB223" t="s">
        <v>14028</v>
      </c>
      <c r="BC223">
        <v>1.532</v>
      </c>
      <c r="BD223" t="s">
        <v>65</v>
      </c>
      <c r="BE223">
        <v>37</v>
      </c>
      <c r="BF223">
        <v>12</v>
      </c>
      <c r="BG223" t="s">
        <v>14029</v>
      </c>
      <c r="BH223" t="s">
        <v>14030</v>
      </c>
      <c r="BI223" t="s">
        <v>14031</v>
      </c>
      <c r="BJ223">
        <v>8.9459999999999998E-2</v>
      </c>
      <c r="BK223">
        <v>1</v>
      </c>
      <c r="BL223" t="s">
        <v>69</v>
      </c>
      <c r="BM223">
        <v>-0.22500000000000001</v>
      </c>
      <c r="BN223">
        <v>-0.72</v>
      </c>
    </row>
    <row r="224" spans="2:66">
      <c r="B224">
        <v>362</v>
      </c>
      <c r="C224">
        <v>185</v>
      </c>
      <c r="D224">
        <v>0</v>
      </c>
      <c r="E224">
        <v>4</v>
      </c>
      <c r="F224">
        <v>2</v>
      </c>
      <c r="J224">
        <v>0</v>
      </c>
      <c r="K224">
        <v>4</v>
      </c>
      <c r="L224">
        <v>2</v>
      </c>
      <c r="M224" t="s">
        <v>25022</v>
      </c>
      <c r="N224">
        <v>2409</v>
      </c>
      <c r="O224" t="s">
        <v>14032</v>
      </c>
      <c r="P224" t="s">
        <v>62</v>
      </c>
      <c r="Q224">
        <v>2419182</v>
      </c>
      <c r="R224">
        <v>2420807</v>
      </c>
      <c r="S224" t="s">
        <v>14026</v>
      </c>
      <c r="T224">
        <v>542</v>
      </c>
      <c r="U224" t="s">
        <v>108</v>
      </c>
      <c r="V224">
        <v>44</v>
      </c>
      <c r="W224" t="str">
        <f>HYPERLINK("Gene2409-zp_tree_all.dnd", "Gene2409-tree")</f>
        <v>Gene2409-tree</v>
      </c>
      <c r="X224">
        <v>7</v>
      </c>
      <c r="Y224">
        <v>7</v>
      </c>
      <c r="Z224">
        <v>7</v>
      </c>
      <c r="AA224">
        <v>7</v>
      </c>
      <c r="AB224">
        <v>0.5</v>
      </c>
      <c r="AC224" t="s">
        <v>152</v>
      </c>
      <c r="AD224" t="s">
        <v>152</v>
      </c>
      <c r="AE224" t="s">
        <v>62</v>
      </c>
      <c r="AF224" t="s">
        <v>62</v>
      </c>
      <c r="AG224">
        <v>3</v>
      </c>
      <c r="AH224">
        <v>6</v>
      </c>
      <c r="AI224">
        <v>6</v>
      </c>
      <c r="AJ224">
        <v>0.5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</v>
      </c>
      <c r="AQ224">
        <v>0</v>
      </c>
      <c r="AR224">
        <v>2</v>
      </c>
      <c r="AS224">
        <v>6</v>
      </c>
      <c r="AT224">
        <v>0.25</v>
      </c>
      <c r="AU224">
        <v>14</v>
      </c>
      <c r="AV224">
        <v>8</v>
      </c>
      <c r="AW224">
        <v>62</v>
      </c>
      <c r="AX224">
        <v>8</v>
      </c>
      <c r="AY224">
        <v>28</v>
      </c>
      <c r="AZ224">
        <v>4</v>
      </c>
      <c r="BA224" t="s">
        <v>14033</v>
      </c>
      <c r="BB224" t="s">
        <v>14034</v>
      </c>
      <c r="BC224">
        <v>0.11600000000000001</v>
      </c>
      <c r="BD224" t="s">
        <v>65</v>
      </c>
      <c r="BE224">
        <v>90</v>
      </c>
      <c r="BF224">
        <v>12</v>
      </c>
      <c r="BG224" t="s">
        <v>14035</v>
      </c>
      <c r="BH224" t="s">
        <v>14036</v>
      </c>
      <c r="BI224" t="s">
        <v>14037</v>
      </c>
      <c r="BJ224">
        <v>4.5240000000000002E-2</v>
      </c>
      <c r="BK224">
        <v>1</v>
      </c>
      <c r="BL224" t="s">
        <v>69</v>
      </c>
      <c r="BM224">
        <v>-0.38900000000000001</v>
      </c>
      <c r="BN224">
        <v>-1.9610000000000001</v>
      </c>
    </row>
    <row r="225" spans="2:66">
      <c r="B225">
        <v>363</v>
      </c>
      <c r="C225">
        <v>212</v>
      </c>
      <c r="D225">
        <v>0</v>
      </c>
      <c r="E225">
        <v>2</v>
      </c>
      <c r="F225">
        <v>0</v>
      </c>
      <c r="J225">
        <v>0</v>
      </c>
      <c r="K225">
        <v>0</v>
      </c>
      <c r="L225">
        <v>0</v>
      </c>
      <c r="M225" t="s">
        <v>25022</v>
      </c>
      <c r="N225">
        <v>2410</v>
      </c>
      <c r="O225" t="s">
        <v>14038</v>
      </c>
      <c r="P225" t="s">
        <v>62</v>
      </c>
      <c r="Q225">
        <v>2420807</v>
      </c>
      <c r="R225">
        <v>2421343</v>
      </c>
      <c r="S225" t="s">
        <v>14039</v>
      </c>
      <c r="T225">
        <v>179</v>
      </c>
      <c r="U225" t="s">
        <v>59</v>
      </c>
      <c r="V225">
        <v>49</v>
      </c>
      <c r="W225" t="str">
        <f>HYPERLINK("Gene2410-zp_tree_all.dnd", "Gene2410-tree")</f>
        <v>Gene2410-tree</v>
      </c>
      <c r="X225">
        <v>14</v>
      </c>
      <c r="Y225">
        <v>1</v>
      </c>
      <c r="Z225">
        <v>14</v>
      </c>
      <c r="AA225">
        <v>1</v>
      </c>
      <c r="AB225">
        <v>6.6669999999999993E-2</v>
      </c>
      <c r="AC225" t="s">
        <v>543</v>
      </c>
      <c r="AD225" t="s">
        <v>175</v>
      </c>
      <c r="AE225" t="s">
        <v>62</v>
      </c>
      <c r="AF225" t="s">
        <v>62</v>
      </c>
      <c r="AG225">
        <v>0</v>
      </c>
      <c r="AH225">
        <v>0</v>
      </c>
      <c r="AI225">
        <v>6</v>
      </c>
      <c r="AJ225">
        <v>0</v>
      </c>
      <c r="AK225">
        <v>0</v>
      </c>
      <c r="AL225">
        <v>0</v>
      </c>
      <c r="AM225">
        <v>0</v>
      </c>
      <c r="AN225">
        <v>4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9</v>
      </c>
      <c r="AV225">
        <v>9</v>
      </c>
      <c r="AW225">
        <v>10</v>
      </c>
      <c r="AX225">
        <v>1</v>
      </c>
      <c r="AY225">
        <v>22</v>
      </c>
      <c r="AZ225">
        <v>6</v>
      </c>
      <c r="BA225" t="s">
        <v>14040</v>
      </c>
      <c r="BB225" t="s">
        <v>14041</v>
      </c>
      <c r="BC225">
        <v>0.499</v>
      </c>
      <c r="BD225" t="s">
        <v>65</v>
      </c>
      <c r="BE225">
        <v>32</v>
      </c>
      <c r="BF225">
        <v>7</v>
      </c>
      <c r="BG225" t="s">
        <v>14042</v>
      </c>
      <c r="BH225" t="s">
        <v>14043</v>
      </c>
      <c r="BI225" t="s">
        <v>14044</v>
      </c>
      <c r="BJ225">
        <v>7.4010000000000006E-2</v>
      </c>
      <c r="BK225">
        <v>1</v>
      </c>
      <c r="BL225" t="s">
        <v>69</v>
      </c>
      <c r="BM225">
        <v>-1.1120000000000001</v>
      </c>
      <c r="BN225">
        <v>8.2000000000000003E-2</v>
      </c>
    </row>
    <row r="226" spans="2:66">
      <c r="B226">
        <v>364</v>
      </c>
      <c r="C226">
        <v>222</v>
      </c>
      <c r="D226">
        <v>0</v>
      </c>
      <c r="E226">
        <v>4</v>
      </c>
      <c r="F226">
        <v>0</v>
      </c>
      <c r="J226">
        <v>0</v>
      </c>
      <c r="K226">
        <v>0</v>
      </c>
      <c r="L226">
        <v>0</v>
      </c>
      <c r="M226" t="s">
        <v>25022</v>
      </c>
      <c r="N226">
        <v>2411</v>
      </c>
      <c r="O226" t="s">
        <v>14045</v>
      </c>
      <c r="P226" t="s">
        <v>62</v>
      </c>
      <c r="Q226">
        <v>2421441</v>
      </c>
      <c r="R226">
        <v>2422172</v>
      </c>
      <c r="S226" t="s">
        <v>14046</v>
      </c>
      <c r="T226">
        <v>244</v>
      </c>
      <c r="U226" t="s">
        <v>108</v>
      </c>
      <c r="V226">
        <v>44</v>
      </c>
      <c r="W226" t="str">
        <f>HYPERLINK("Gene2411-zp_tree_all.dnd", "Gene2411-tree")</f>
        <v>Gene2411-tree</v>
      </c>
      <c r="X226">
        <v>14</v>
      </c>
      <c r="Y226">
        <v>1</v>
      </c>
      <c r="Z226">
        <v>10</v>
      </c>
      <c r="AA226">
        <v>1</v>
      </c>
      <c r="AB226">
        <v>9.0910000000000005E-2</v>
      </c>
      <c r="AC226" t="s">
        <v>14047</v>
      </c>
      <c r="AD226" t="s">
        <v>175</v>
      </c>
      <c r="AE226" t="s">
        <v>62</v>
      </c>
      <c r="AF226" t="s">
        <v>62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9</v>
      </c>
      <c r="AV226">
        <v>5</v>
      </c>
      <c r="AW226">
        <v>17</v>
      </c>
      <c r="AX226">
        <v>1</v>
      </c>
      <c r="AY226">
        <v>10</v>
      </c>
      <c r="AZ226">
        <v>0</v>
      </c>
      <c r="BA226" t="s">
        <v>14048</v>
      </c>
      <c r="BB226" t="s">
        <v>193</v>
      </c>
      <c r="BC226">
        <v>0.36</v>
      </c>
      <c r="BD226" t="s">
        <v>65</v>
      </c>
      <c r="BE226">
        <v>27</v>
      </c>
      <c r="BF226">
        <v>1</v>
      </c>
      <c r="BG226" t="s">
        <v>14049</v>
      </c>
      <c r="BH226" t="s">
        <v>14050</v>
      </c>
      <c r="BI226" t="s">
        <v>10748</v>
      </c>
      <c r="BJ226">
        <v>8.9999999999999993E-3</v>
      </c>
      <c r="BK226">
        <v>1</v>
      </c>
      <c r="BL226" t="s">
        <v>69</v>
      </c>
      <c r="BM226">
        <v>-0.71599999999999997</v>
      </c>
      <c r="BN226">
        <v>-1.2609999999999999</v>
      </c>
    </row>
    <row r="227" spans="2:66">
      <c r="B227">
        <v>365</v>
      </c>
      <c r="C227">
        <v>184</v>
      </c>
      <c r="D227">
        <v>0</v>
      </c>
      <c r="E227">
        <v>2</v>
      </c>
      <c r="F227">
        <v>0</v>
      </c>
      <c r="J227">
        <v>0</v>
      </c>
      <c r="K227">
        <v>0</v>
      </c>
      <c r="L227">
        <v>0</v>
      </c>
      <c r="M227" t="s">
        <v>25022</v>
      </c>
      <c r="N227">
        <v>2412</v>
      </c>
      <c r="O227" t="s">
        <v>14051</v>
      </c>
      <c r="P227" t="s">
        <v>62</v>
      </c>
      <c r="Q227">
        <v>2422267</v>
      </c>
      <c r="R227">
        <v>2422800</v>
      </c>
      <c r="S227" t="s">
        <v>14052</v>
      </c>
      <c r="T227">
        <v>178</v>
      </c>
      <c r="U227" t="s">
        <v>2803</v>
      </c>
      <c r="V227">
        <v>45</v>
      </c>
      <c r="W227" t="str">
        <f>HYPERLINK("Gene2412-zp_tree_all.dnd", "Gene2412-tree")</f>
        <v>Gene2412-tree</v>
      </c>
      <c r="X227">
        <v>33</v>
      </c>
      <c r="Y227">
        <v>2</v>
      </c>
      <c r="Z227">
        <v>10</v>
      </c>
      <c r="AA227">
        <v>2</v>
      </c>
      <c r="AB227">
        <v>0.16667000000000001</v>
      </c>
      <c r="AC227" t="s">
        <v>14053</v>
      </c>
      <c r="AD227" t="s">
        <v>81</v>
      </c>
      <c r="AE227" t="s">
        <v>62</v>
      </c>
      <c r="AF227" t="s">
        <v>62</v>
      </c>
      <c r="AG227">
        <v>0</v>
      </c>
      <c r="AH227">
        <v>0</v>
      </c>
      <c r="AI227">
        <v>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0</v>
      </c>
      <c r="AU227">
        <v>9</v>
      </c>
      <c r="AV227">
        <v>6</v>
      </c>
      <c r="AW227">
        <v>34</v>
      </c>
      <c r="AX227">
        <v>2</v>
      </c>
      <c r="AY227">
        <v>5</v>
      </c>
      <c r="AZ227">
        <v>1</v>
      </c>
      <c r="BA227" t="s">
        <v>14054</v>
      </c>
      <c r="BB227" t="s">
        <v>14055</v>
      </c>
      <c r="BC227">
        <v>0.32900000000000001</v>
      </c>
      <c r="BD227" t="s">
        <v>65</v>
      </c>
      <c r="BE227">
        <v>39</v>
      </c>
      <c r="BF227">
        <v>3</v>
      </c>
      <c r="BG227" t="s">
        <v>14056</v>
      </c>
      <c r="BH227" t="s">
        <v>14057</v>
      </c>
      <c r="BI227" t="s">
        <v>14058</v>
      </c>
      <c r="BJ227">
        <v>2.8400000000000002E-2</v>
      </c>
      <c r="BK227">
        <v>1</v>
      </c>
      <c r="BL227" t="s">
        <v>69</v>
      </c>
      <c r="BM227">
        <v>-1.823</v>
      </c>
      <c r="BN227">
        <v>-3.75</v>
      </c>
    </row>
    <row r="228" spans="2:66">
      <c r="B228">
        <v>366</v>
      </c>
      <c r="C228">
        <v>38</v>
      </c>
      <c r="D228">
        <v>0</v>
      </c>
      <c r="E228">
        <v>5</v>
      </c>
      <c r="F228">
        <v>1</v>
      </c>
      <c r="J228">
        <v>0</v>
      </c>
      <c r="K228">
        <v>0</v>
      </c>
      <c r="L228">
        <v>0</v>
      </c>
      <c r="M228" t="s">
        <v>25022</v>
      </c>
      <c r="N228">
        <v>2413</v>
      </c>
      <c r="O228" t="s">
        <v>14059</v>
      </c>
      <c r="P228" t="s">
        <v>62</v>
      </c>
      <c r="Q228">
        <v>2422808</v>
      </c>
      <c r="R228">
        <v>2423395</v>
      </c>
      <c r="S228" t="s">
        <v>14052</v>
      </c>
      <c r="T228">
        <v>196</v>
      </c>
      <c r="U228" t="s">
        <v>108</v>
      </c>
      <c r="V228">
        <v>44</v>
      </c>
      <c r="W228" t="str">
        <f>HYPERLINK("Gene2413-zp_tree_all.dnd", "Gene2413-tree")</f>
        <v>Gene2413-tree</v>
      </c>
      <c r="X228">
        <v>12</v>
      </c>
      <c r="Y228">
        <v>1</v>
      </c>
      <c r="Z228">
        <v>12</v>
      </c>
      <c r="AA228">
        <v>1</v>
      </c>
      <c r="AB228">
        <v>7.6920000000000002E-2</v>
      </c>
      <c r="AC228" t="s">
        <v>109</v>
      </c>
      <c r="AD228" t="s">
        <v>175</v>
      </c>
      <c r="AE228" t="s">
        <v>62</v>
      </c>
      <c r="AF228" t="s">
        <v>62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7</v>
      </c>
      <c r="AV228">
        <v>5</v>
      </c>
      <c r="AW228">
        <v>16</v>
      </c>
      <c r="AX228">
        <v>1</v>
      </c>
      <c r="AY228">
        <v>6</v>
      </c>
      <c r="AZ228">
        <v>0</v>
      </c>
      <c r="BA228" t="s">
        <v>14060</v>
      </c>
      <c r="BB228" t="s">
        <v>193</v>
      </c>
      <c r="BC228">
        <v>0.41899999999999998</v>
      </c>
      <c r="BD228" t="s">
        <v>65</v>
      </c>
      <c r="BE228">
        <v>22</v>
      </c>
      <c r="BF228">
        <v>1</v>
      </c>
      <c r="BG228" t="s">
        <v>14061</v>
      </c>
      <c r="BH228" t="s">
        <v>14062</v>
      </c>
      <c r="BI228" t="s">
        <v>14063</v>
      </c>
      <c r="BJ228">
        <v>9.8600000000000007E-3</v>
      </c>
      <c r="BK228">
        <v>1</v>
      </c>
      <c r="BL228" t="s">
        <v>69</v>
      </c>
      <c r="BM228">
        <v>-0.89</v>
      </c>
      <c r="BN228">
        <v>-0.81599999999999995</v>
      </c>
    </row>
    <row r="229" spans="2:66">
      <c r="B229">
        <v>367</v>
      </c>
      <c r="C229">
        <v>61</v>
      </c>
      <c r="D229">
        <v>0</v>
      </c>
      <c r="E229">
        <v>2</v>
      </c>
      <c r="F229">
        <v>0</v>
      </c>
      <c r="J229">
        <v>0</v>
      </c>
      <c r="K229">
        <v>2</v>
      </c>
      <c r="L229">
        <v>0</v>
      </c>
      <c r="M229" t="s">
        <v>25022</v>
      </c>
      <c r="N229">
        <v>2414</v>
      </c>
      <c r="O229" t="s">
        <v>14064</v>
      </c>
      <c r="P229" t="s">
        <v>62</v>
      </c>
      <c r="Q229">
        <v>2423386</v>
      </c>
      <c r="R229">
        <v>2424531</v>
      </c>
      <c r="S229" t="s">
        <v>14065</v>
      </c>
      <c r="T229">
        <v>382</v>
      </c>
      <c r="U229" t="s">
        <v>108</v>
      </c>
      <c r="V229">
        <v>44</v>
      </c>
      <c r="W229" t="str">
        <f>HYPERLINK("Gene2414-zp_tree_all.dnd", "Gene2414-tree")</f>
        <v>Gene2414-tree</v>
      </c>
      <c r="X229">
        <v>5</v>
      </c>
      <c r="Y229">
        <v>7</v>
      </c>
      <c r="Z229">
        <v>5</v>
      </c>
      <c r="AA229">
        <v>7</v>
      </c>
      <c r="AB229">
        <v>0.58333000000000002</v>
      </c>
      <c r="AC229" t="s">
        <v>199</v>
      </c>
      <c r="AD229" t="s">
        <v>152</v>
      </c>
      <c r="AE229" t="s">
        <v>62</v>
      </c>
      <c r="AF229" t="s">
        <v>62</v>
      </c>
      <c r="AG229">
        <v>1</v>
      </c>
      <c r="AH229">
        <v>2</v>
      </c>
      <c r="AI229">
        <v>7</v>
      </c>
      <c r="AJ229">
        <v>0.22222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</v>
      </c>
      <c r="AQ229">
        <v>0</v>
      </c>
      <c r="AR229">
        <v>2</v>
      </c>
      <c r="AS229">
        <v>7</v>
      </c>
      <c r="AT229">
        <v>0.22222</v>
      </c>
      <c r="AU229">
        <v>9</v>
      </c>
      <c r="AV229">
        <v>7</v>
      </c>
      <c r="AW229">
        <v>19</v>
      </c>
      <c r="AX229">
        <v>9</v>
      </c>
      <c r="AY229">
        <v>16</v>
      </c>
      <c r="AZ229">
        <v>0</v>
      </c>
      <c r="BA229" t="s">
        <v>14066</v>
      </c>
      <c r="BB229" t="s">
        <v>193</v>
      </c>
      <c r="BC229">
        <v>2.359</v>
      </c>
      <c r="BD229" t="s">
        <v>267</v>
      </c>
      <c r="BE229">
        <v>35</v>
      </c>
      <c r="BF229">
        <v>9</v>
      </c>
      <c r="BG229" t="s">
        <v>14067</v>
      </c>
      <c r="BH229" t="s">
        <v>14068</v>
      </c>
      <c r="BI229" t="s">
        <v>14069</v>
      </c>
      <c r="BJ229">
        <v>5.722E-2</v>
      </c>
      <c r="BK229">
        <v>1</v>
      </c>
      <c r="BL229" t="s">
        <v>69</v>
      </c>
      <c r="BM229">
        <v>-0.25</v>
      </c>
      <c r="BN229">
        <v>-1.1719999999999999</v>
      </c>
    </row>
    <row r="230" spans="2:66">
      <c r="B230">
        <v>368</v>
      </c>
      <c r="C230">
        <v>48</v>
      </c>
      <c r="D230">
        <v>0</v>
      </c>
      <c r="E230">
        <v>0</v>
      </c>
      <c r="F230">
        <v>2</v>
      </c>
      <c r="J230">
        <v>0</v>
      </c>
      <c r="K230">
        <v>0</v>
      </c>
      <c r="L230">
        <v>0</v>
      </c>
      <c r="M230" t="s">
        <v>25022</v>
      </c>
      <c r="N230">
        <v>2415</v>
      </c>
      <c r="O230" t="s">
        <v>14070</v>
      </c>
      <c r="P230" t="s">
        <v>62</v>
      </c>
      <c r="Q230">
        <v>2424657</v>
      </c>
      <c r="R230">
        <v>2425193</v>
      </c>
      <c r="S230" t="s">
        <v>116</v>
      </c>
      <c r="T230">
        <v>179</v>
      </c>
      <c r="U230" t="s">
        <v>59</v>
      </c>
      <c r="V230">
        <v>49</v>
      </c>
      <c r="W230" t="str">
        <f>HYPERLINK("Gene2415-zp_tree_all.dnd", "Gene2415-tree")</f>
        <v>Gene2415-tree</v>
      </c>
      <c r="X230">
        <v>10</v>
      </c>
      <c r="Y230">
        <v>1</v>
      </c>
      <c r="Z230">
        <v>10</v>
      </c>
      <c r="AA230">
        <v>1</v>
      </c>
      <c r="AB230">
        <v>9.0910000000000005E-2</v>
      </c>
      <c r="AC230" t="s">
        <v>117</v>
      </c>
      <c r="AD230" t="s">
        <v>175</v>
      </c>
      <c r="AE230" t="s">
        <v>62</v>
      </c>
      <c r="AF230" t="s">
        <v>62</v>
      </c>
      <c r="AG230">
        <v>0</v>
      </c>
      <c r="AH230">
        <v>0</v>
      </c>
      <c r="AI230">
        <v>7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9</v>
      </c>
      <c r="AV230">
        <v>5</v>
      </c>
      <c r="AW230">
        <v>16</v>
      </c>
      <c r="AX230">
        <v>1</v>
      </c>
      <c r="AY230">
        <v>18</v>
      </c>
      <c r="AZ230">
        <v>6</v>
      </c>
      <c r="BA230" t="s">
        <v>14071</v>
      </c>
      <c r="BB230" t="s">
        <v>14072</v>
      </c>
      <c r="BC230">
        <v>1.419</v>
      </c>
      <c r="BD230" t="s">
        <v>65</v>
      </c>
      <c r="BE230">
        <v>34</v>
      </c>
      <c r="BF230">
        <v>7</v>
      </c>
      <c r="BG230" t="s">
        <v>14073</v>
      </c>
      <c r="BH230" t="s">
        <v>14074</v>
      </c>
      <c r="BI230" t="s">
        <v>14075</v>
      </c>
      <c r="BJ230">
        <v>6.8470000000000003E-2</v>
      </c>
      <c r="BK230">
        <v>1</v>
      </c>
      <c r="BL230" t="s">
        <v>69</v>
      </c>
      <c r="BM230">
        <v>-1.2430000000000001</v>
      </c>
      <c r="BN230">
        <v>-0.46500000000000002</v>
      </c>
    </row>
    <row r="231" spans="2:66">
      <c r="B231">
        <v>369</v>
      </c>
      <c r="C231">
        <v>145</v>
      </c>
      <c r="D231">
        <v>0</v>
      </c>
      <c r="E231">
        <v>12</v>
      </c>
      <c r="F231">
        <v>4</v>
      </c>
      <c r="J231">
        <v>0</v>
      </c>
      <c r="K231">
        <v>0</v>
      </c>
      <c r="L231">
        <v>0</v>
      </c>
      <c r="M231" t="s">
        <v>25022</v>
      </c>
      <c r="N231">
        <v>2416</v>
      </c>
      <c r="O231" t="s">
        <v>14076</v>
      </c>
      <c r="P231" t="s">
        <v>62</v>
      </c>
      <c r="Q231">
        <v>2425251</v>
      </c>
      <c r="R231">
        <v>2425841</v>
      </c>
      <c r="S231" t="s">
        <v>14077</v>
      </c>
      <c r="T231">
        <v>197</v>
      </c>
      <c r="U231" t="s">
        <v>2803</v>
      </c>
      <c r="V231">
        <v>45</v>
      </c>
      <c r="W231" t="str">
        <f>HYPERLINK("Gene2416-zp_tree_all.dnd", "Gene2416-tree")</f>
        <v>Gene2416-tree</v>
      </c>
      <c r="X231">
        <v>5</v>
      </c>
      <c r="Y231">
        <v>2</v>
      </c>
      <c r="Z231">
        <v>5</v>
      </c>
      <c r="AA231">
        <v>2</v>
      </c>
      <c r="AB231">
        <v>0.28571000000000002</v>
      </c>
      <c r="AC231" t="s">
        <v>199</v>
      </c>
      <c r="AD231" t="s">
        <v>81</v>
      </c>
      <c r="AE231" t="s">
        <v>62</v>
      </c>
      <c r="AF231" t="s">
        <v>62</v>
      </c>
      <c r="AG231">
        <v>0</v>
      </c>
      <c r="AH231">
        <v>0</v>
      </c>
      <c r="AI231">
        <v>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0</v>
      </c>
      <c r="AU231">
        <v>4</v>
      </c>
      <c r="AV231">
        <v>2</v>
      </c>
      <c r="AW231">
        <v>29</v>
      </c>
      <c r="AX231">
        <v>2</v>
      </c>
      <c r="AY231">
        <v>2</v>
      </c>
      <c r="AZ231">
        <v>0</v>
      </c>
      <c r="BA231" t="s">
        <v>14078</v>
      </c>
      <c r="BB231" t="s">
        <v>193</v>
      </c>
      <c r="BC231">
        <v>0.53100000000000003</v>
      </c>
      <c r="BD231" t="s">
        <v>65</v>
      </c>
      <c r="BE231">
        <v>31</v>
      </c>
      <c r="BF231">
        <v>2</v>
      </c>
      <c r="BG231" t="s">
        <v>14079</v>
      </c>
      <c r="BH231" t="s">
        <v>14080</v>
      </c>
      <c r="BI231" t="s">
        <v>14081</v>
      </c>
      <c r="BJ231">
        <v>1.6830000000000001E-2</v>
      </c>
      <c r="BK231">
        <v>1</v>
      </c>
      <c r="BL231" t="s">
        <v>69</v>
      </c>
      <c r="BM231">
        <v>-2.5289999999999999</v>
      </c>
      <c r="BN231">
        <v>-5.5049999999999999</v>
      </c>
    </row>
    <row r="232" spans="2:66">
      <c r="B232">
        <v>370</v>
      </c>
      <c r="C232">
        <v>51</v>
      </c>
      <c r="D232">
        <v>0</v>
      </c>
      <c r="E232">
        <v>20</v>
      </c>
      <c r="F232">
        <v>0</v>
      </c>
      <c r="J232">
        <v>0</v>
      </c>
      <c r="K232">
        <v>2</v>
      </c>
      <c r="L232">
        <v>0</v>
      </c>
      <c r="M232" t="s">
        <v>25022</v>
      </c>
      <c r="N232">
        <v>2417</v>
      </c>
      <c r="O232" t="s">
        <v>14082</v>
      </c>
      <c r="P232" t="s">
        <v>62</v>
      </c>
      <c r="Q232">
        <v>2425834</v>
      </c>
      <c r="R232">
        <v>2426586</v>
      </c>
      <c r="S232" t="s">
        <v>14083</v>
      </c>
      <c r="T232">
        <v>251</v>
      </c>
      <c r="U232" t="s">
        <v>59</v>
      </c>
      <c r="V232">
        <v>49</v>
      </c>
      <c r="W232" t="str">
        <f>HYPERLINK("Gene2417-zp_tree_all.dnd", "Gene2417-tree")</f>
        <v>Gene2417-tree</v>
      </c>
      <c r="X232">
        <v>8</v>
      </c>
      <c r="Y232">
        <v>6</v>
      </c>
      <c r="Z232">
        <v>8</v>
      </c>
      <c r="AA232">
        <v>6</v>
      </c>
      <c r="AB232">
        <v>0.42857000000000001</v>
      </c>
      <c r="AC232" t="s">
        <v>136</v>
      </c>
      <c r="AD232" t="s">
        <v>90</v>
      </c>
      <c r="AE232" t="s">
        <v>62</v>
      </c>
      <c r="AF232" t="s">
        <v>62</v>
      </c>
      <c r="AG232">
        <v>1</v>
      </c>
      <c r="AH232">
        <v>2</v>
      </c>
      <c r="AI232">
        <v>10</v>
      </c>
      <c r="AJ232">
        <v>0.16667000000000001</v>
      </c>
      <c r="AK232">
        <v>0</v>
      </c>
      <c r="AL232">
        <v>0</v>
      </c>
      <c r="AM232">
        <v>0</v>
      </c>
      <c r="AN232">
        <v>2</v>
      </c>
      <c r="AO232">
        <v>0</v>
      </c>
      <c r="AP232">
        <v>0</v>
      </c>
      <c r="AQ232">
        <v>0</v>
      </c>
      <c r="AR232">
        <v>0</v>
      </c>
      <c r="AS232">
        <v>6</v>
      </c>
      <c r="AT232">
        <v>0</v>
      </c>
      <c r="AU232">
        <v>10</v>
      </c>
      <c r="AV232">
        <v>9</v>
      </c>
      <c r="AW232">
        <v>10</v>
      </c>
      <c r="AX232">
        <v>6</v>
      </c>
      <c r="AY232">
        <v>34</v>
      </c>
      <c r="AZ232">
        <v>6</v>
      </c>
      <c r="BA232" t="s">
        <v>14084</v>
      </c>
      <c r="BB232" t="s">
        <v>14085</v>
      </c>
      <c r="BC232">
        <v>1.423</v>
      </c>
      <c r="BD232" t="s">
        <v>65</v>
      </c>
      <c r="BE232">
        <v>44</v>
      </c>
      <c r="BF232">
        <v>12</v>
      </c>
      <c r="BG232" t="s">
        <v>14086</v>
      </c>
      <c r="BH232" t="s">
        <v>14087</v>
      </c>
      <c r="BI232" t="s">
        <v>14088</v>
      </c>
      <c r="BJ232">
        <v>6.0679999999999998E-2</v>
      </c>
      <c r="BK232">
        <v>1</v>
      </c>
      <c r="BL232" t="s">
        <v>69</v>
      </c>
      <c r="BM232">
        <v>-0.83299999999999996</v>
      </c>
      <c r="BN232">
        <v>0.114</v>
      </c>
    </row>
    <row r="233" spans="2:66">
      <c r="B233">
        <v>371</v>
      </c>
      <c r="C233">
        <v>242</v>
      </c>
      <c r="D233">
        <v>0</v>
      </c>
      <c r="E233">
        <v>16</v>
      </c>
      <c r="F233">
        <v>1</v>
      </c>
      <c r="J233">
        <v>0</v>
      </c>
      <c r="K233">
        <v>0</v>
      </c>
      <c r="L233">
        <v>0</v>
      </c>
      <c r="M233" t="s">
        <v>25022</v>
      </c>
      <c r="N233">
        <v>2419</v>
      </c>
      <c r="O233" t="s">
        <v>14095</v>
      </c>
      <c r="P233" t="s">
        <v>62</v>
      </c>
      <c r="Q233">
        <v>2427408</v>
      </c>
      <c r="R233">
        <v>2427779</v>
      </c>
      <c r="S233" t="s">
        <v>14096</v>
      </c>
      <c r="T233">
        <v>124</v>
      </c>
      <c r="U233" t="s">
        <v>59</v>
      </c>
      <c r="V233">
        <v>49</v>
      </c>
      <c r="W233" t="str">
        <f>HYPERLINK("Gene2419-zp_tree_all.dnd", "Gene2419-tree")</f>
        <v>Gene2419-tree</v>
      </c>
      <c r="X233">
        <v>6</v>
      </c>
      <c r="Y233">
        <v>0</v>
      </c>
      <c r="Z233">
        <v>6</v>
      </c>
      <c r="AA233">
        <v>0</v>
      </c>
      <c r="AB233">
        <v>0</v>
      </c>
      <c r="AC233" t="s">
        <v>90</v>
      </c>
      <c r="AD233" t="s">
        <v>62</v>
      </c>
      <c r="AE233" t="s">
        <v>62</v>
      </c>
      <c r="AF233" t="s">
        <v>62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4</v>
      </c>
      <c r="AV233">
        <v>2</v>
      </c>
      <c r="AW233">
        <v>7</v>
      </c>
      <c r="AX233">
        <v>0</v>
      </c>
      <c r="AY233">
        <v>5</v>
      </c>
      <c r="AZ233">
        <v>0</v>
      </c>
      <c r="BA233" t="s">
        <v>193</v>
      </c>
      <c r="BB233" t="s">
        <v>193</v>
      </c>
      <c r="BC233">
        <v>0</v>
      </c>
      <c r="BD233" t="s">
        <v>65</v>
      </c>
      <c r="BE233">
        <v>12</v>
      </c>
      <c r="BF233">
        <v>0</v>
      </c>
      <c r="BG233" t="s">
        <v>14097</v>
      </c>
      <c r="BH233" t="s">
        <v>14098</v>
      </c>
      <c r="BI233" t="s">
        <v>193</v>
      </c>
      <c r="BJ233">
        <v>0</v>
      </c>
      <c r="BK233">
        <v>1</v>
      </c>
      <c r="BL233" t="s">
        <v>69</v>
      </c>
      <c r="BM233">
        <v>-1.728</v>
      </c>
      <c r="BN233">
        <v>-0.67400000000000004</v>
      </c>
    </row>
    <row r="234" spans="2:66">
      <c r="B234">
        <v>372</v>
      </c>
      <c r="C234">
        <v>50</v>
      </c>
      <c r="D234">
        <v>0</v>
      </c>
      <c r="E234">
        <v>15</v>
      </c>
      <c r="F234">
        <v>3</v>
      </c>
      <c r="J234">
        <v>0</v>
      </c>
      <c r="K234">
        <v>0</v>
      </c>
      <c r="L234">
        <v>0</v>
      </c>
      <c r="M234" t="s">
        <v>25022</v>
      </c>
      <c r="N234">
        <v>2420</v>
      </c>
      <c r="O234" t="s">
        <v>14099</v>
      </c>
      <c r="P234" t="s">
        <v>62</v>
      </c>
      <c r="Q234">
        <v>2427895</v>
      </c>
      <c r="R234">
        <v>2428356</v>
      </c>
      <c r="S234" t="s">
        <v>14100</v>
      </c>
      <c r="T234">
        <v>154</v>
      </c>
      <c r="U234" t="s">
        <v>59</v>
      </c>
      <c r="V234">
        <v>49</v>
      </c>
      <c r="W234" t="str">
        <f>HYPERLINK("Gene2420-zp_tree_all.dnd", "Gene2420-tree")</f>
        <v>Gene2420-tree</v>
      </c>
      <c r="X234">
        <v>14</v>
      </c>
      <c r="Y234">
        <v>0</v>
      </c>
      <c r="Z234">
        <v>14</v>
      </c>
      <c r="AA234">
        <v>0</v>
      </c>
      <c r="AB234">
        <v>0</v>
      </c>
      <c r="AC234" t="s">
        <v>543</v>
      </c>
      <c r="AD234" t="s">
        <v>62</v>
      </c>
      <c r="AE234" t="s">
        <v>62</v>
      </c>
      <c r="AF234" t="s">
        <v>62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7</v>
      </c>
      <c r="AV234">
        <v>9</v>
      </c>
      <c r="AW234">
        <v>15</v>
      </c>
      <c r="AX234">
        <v>0</v>
      </c>
      <c r="AY234">
        <v>30</v>
      </c>
      <c r="AZ234">
        <v>0</v>
      </c>
      <c r="BA234" t="s">
        <v>193</v>
      </c>
      <c r="BB234" t="s">
        <v>193</v>
      </c>
      <c r="BC234">
        <v>0</v>
      </c>
      <c r="BD234" t="s">
        <v>65</v>
      </c>
      <c r="BE234">
        <v>45</v>
      </c>
      <c r="BF234">
        <v>0</v>
      </c>
      <c r="BG234" t="s">
        <v>14101</v>
      </c>
      <c r="BH234" t="s">
        <v>14102</v>
      </c>
      <c r="BI234" t="s">
        <v>193</v>
      </c>
      <c r="BJ234">
        <v>0</v>
      </c>
      <c r="BK234">
        <v>1</v>
      </c>
      <c r="BL234" t="s">
        <v>69</v>
      </c>
      <c r="BM234">
        <v>-1.4359999999999999</v>
      </c>
      <c r="BN234">
        <v>-0.28399999999999997</v>
      </c>
    </row>
    <row r="235" spans="2:66">
      <c r="B235">
        <v>373</v>
      </c>
      <c r="C235">
        <v>33</v>
      </c>
      <c r="D235">
        <v>0</v>
      </c>
      <c r="E235">
        <v>2</v>
      </c>
      <c r="F235">
        <v>0</v>
      </c>
      <c r="J235">
        <v>0</v>
      </c>
      <c r="K235">
        <v>9</v>
      </c>
      <c r="L235">
        <v>0</v>
      </c>
      <c r="M235" t="s">
        <v>25022</v>
      </c>
      <c r="N235">
        <v>2421</v>
      </c>
      <c r="O235" t="s">
        <v>14103</v>
      </c>
      <c r="P235" t="s">
        <v>62</v>
      </c>
      <c r="Q235">
        <v>2428392</v>
      </c>
      <c r="R235">
        <v>2429585</v>
      </c>
      <c r="S235" t="s">
        <v>14104</v>
      </c>
      <c r="T235">
        <v>398</v>
      </c>
      <c r="U235" t="s">
        <v>465</v>
      </c>
      <c r="V235">
        <v>46</v>
      </c>
      <c r="W235" t="str">
        <f>HYPERLINK("Gene2421-zp_tree_all.dnd", "Gene2421-tree")</f>
        <v>Gene2421-tree</v>
      </c>
      <c r="X235">
        <v>9</v>
      </c>
      <c r="Y235">
        <v>7</v>
      </c>
      <c r="Z235">
        <v>9</v>
      </c>
      <c r="AA235">
        <v>7</v>
      </c>
      <c r="AB235">
        <v>0.4375</v>
      </c>
      <c r="AC235" t="s">
        <v>135</v>
      </c>
      <c r="AD235" t="s">
        <v>152</v>
      </c>
      <c r="AE235" t="s">
        <v>62</v>
      </c>
      <c r="AF235" t="s">
        <v>62</v>
      </c>
      <c r="AG235">
        <v>3</v>
      </c>
      <c r="AH235">
        <v>9</v>
      </c>
      <c r="AI235">
        <v>9</v>
      </c>
      <c r="AJ235">
        <v>0.5</v>
      </c>
      <c r="AK235">
        <v>0</v>
      </c>
      <c r="AL235">
        <v>0</v>
      </c>
      <c r="AM235">
        <v>0</v>
      </c>
      <c r="AN235">
        <v>5</v>
      </c>
      <c r="AO235">
        <v>0</v>
      </c>
      <c r="AP235">
        <v>3</v>
      </c>
      <c r="AQ235">
        <v>0</v>
      </c>
      <c r="AR235">
        <v>3</v>
      </c>
      <c r="AS235">
        <v>6</v>
      </c>
      <c r="AT235">
        <v>0.33333000000000002</v>
      </c>
      <c r="AU235">
        <v>13</v>
      </c>
      <c r="AV235">
        <v>13</v>
      </c>
      <c r="AW235">
        <v>26</v>
      </c>
      <c r="AX235">
        <v>9</v>
      </c>
      <c r="AY235">
        <v>75</v>
      </c>
      <c r="AZ235">
        <v>9</v>
      </c>
      <c r="BA235" t="s">
        <v>14105</v>
      </c>
      <c r="BB235" t="s">
        <v>14106</v>
      </c>
      <c r="BC235">
        <v>0.71799999999999997</v>
      </c>
      <c r="BD235" t="s">
        <v>65</v>
      </c>
      <c r="BE235">
        <v>101</v>
      </c>
      <c r="BF235">
        <v>18</v>
      </c>
      <c r="BG235" t="s">
        <v>14107</v>
      </c>
      <c r="BH235" t="s">
        <v>14108</v>
      </c>
      <c r="BI235" t="s">
        <v>14109</v>
      </c>
      <c r="BJ235">
        <v>4.1390000000000003E-2</v>
      </c>
      <c r="BK235">
        <v>1</v>
      </c>
      <c r="BL235" t="s">
        <v>69</v>
      </c>
      <c r="BM235">
        <v>-1.25</v>
      </c>
      <c r="BN235">
        <v>0.73599999999999999</v>
      </c>
    </row>
    <row r="236" spans="2:66">
      <c r="B236">
        <v>374</v>
      </c>
      <c r="C236">
        <v>497</v>
      </c>
      <c r="D236">
        <v>2</v>
      </c>
      <c r="E236">
        <v>15</v>
      </c>
      <c r="F236">
        <v>0</v>
      </c>
      <c r="J236">
        <v>0</v>
      </c>
      <c r="K236">
        <v>2</v>
      </c>
      <c r="L236">
        <v>4</v>
      </c>
      <c r="M236" t="s">
        <v>25022</v>
      </c>
      <c r="N236">
        <v>2422</v>
      </c>
      <c r="O236" t="s">
        <v>14110</v>
      </c>
      <c r="P236" t="s">
        <v>62</v>
      </c>
      <c r="Q236">
        <v>2429603</v>
      </c>
      <c r="R236">
        <v>2430247</v>
      </c>
      <c r="S236" t="s">
        <v>14111</v>
      </c>
      <c r="T236">
        <v>215</v>
      </c>
      <c r="U236" t="s">
        <v>59</v>
      </c>
      <c r="V236">
        <v>49</v>
      </c>
      <c r="W236" t="str">
        <f>HYPERLINK("Gene2422-zp_tree_all.dnd", "Gene2422-tree")</f>
        <v>Gene2422-tree</v>
      </c>
      <c r="X236">
        <v>11</v>
      </c>
      <c r="Y236">
        <v>9</v>
      </c>
      <c r="Z236">
        <v>11</v>
      </c>
      <c r="AA236">
        <v>9</v>
      </c>
      <c r="AB236">
        <v>0.45</v>
      </c>
      <c r="AC236" t="s">
        <v>73</v>
      </c>
      <c r="AD236" t="s">
        <v>135</v>
      </c>
      <c r="AE236" t="s">
        <v>62</v>
      </c>
      <c r="AF236" t="s">
        <v>62</v>
      </c>
      <c r="AG236">
        <v>3</v>
      </c>
      <c r="AH236">
        <v>6</v>
      </c>
      <c r="AI236">
        <v>13</v>
      </c>
      <c r="AJ236">
        <v>0.31579000000000002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2</v>
      </c>
      <c r="AQ236">
        <v>4</v>
      </c>
      <c r="AR236">
        <v>6</v>
      </c>
      <c r="AS236">
        <v>8</v>
      </c>
      <c r="AT236">
        <v>0.42857000000000001</v>
      </c>
      <c r="AU236">
        <v>15</v>
      </c>
      <c r="AV236">
        <v>13</v>
      </c>
      <c r="AW236">
        <v>26</v>
      </c>
      <c r="AX236">
        <v>12</v>
      </c>
      <c r="AY236">
        <v>50</v>
      </c>
      <c r="AZ236">
        <v>7</v>
      </c>
      <c r="BA236" t="s">
        <v>14112</v>
      </c>
      <c r="BB236" t="s">
        <v>14113</v>
      </c>
      <c r="BC236">
        <v>1.0620000000000001</v>
      </c>
      <c r="BD236" t="s">
        <v>65</v>
      </c>
      <c r="BE236">
        <v>76</v>
      </c>
      <c r="BF236">
        <v>19</v>
      </c>
      <c r="BG236" t="s">
        <v>14114</v>
      </c>
      <c r="BH236" t="s">
        <v>14115</v>
      </c>
      <c r="BI236" t="s">
        <v>14116</v>
      </c>
      <c r="BJ236">
        <v>4.6949999999999999E-2</v>
      </c>
      <c r="BK236">
        <v>1</v>
      </c>
      <c r="BL236" t="s">
        <v>69</v>
      </c>
      <c r="BM236">
        <v>-1.2549999999999999</v>
      </c>
      <c r="BN236">
        <v>-0.57899999999999996</v>
      </c>
    </row>
    <row r="237" spans="2:66">
      <c r="B237">
        <v>375</v>
      </c>
      <c r="C237">
        <v>67</v>
      </c>
      <c r="D237">
        <v>0</v>
      </c>
      <c r="E237">
        <v>0</v>
      </c>
      <c r="F237">
        <v>2</v>
      </c>
      <c r="J237">
        <v>0</v>
      </c>
      <c r="K237">
        <v>6</v>
      </c>
      <c r="L237">
        <v>0</v>
      </c>
      <c r="M237" t="s">
        <v>25022</v>
      </c>
      <c r="N237">
        <v>2423</v>
      </c>
      <c r="O237" t="s">
        <v>14117</v>
      </c>
      <c r="P237" t="s">
        <v>62</v>
      </c>
      <c r="Q237">
        <v>2430261</v>
      </c>
      <c r="R237">
        <v>2431343</v>
      </c>
      <c r="S237" t="s">
        <v>14118</v>
      </c>
      <c r="T237">
        <v>361</v>
      </c>
      <c r="U237" t="s">
        <v>108</v>
      </c>
      <c r="V237">
        <v>44</v>
      </c>
      <c r="W237" t="str">
        <f>HYPERLINK("Gene2423-zp_tree_all.dnd", "Gene2423-tree")</f>
        <v>Gene2423-tree</v>
      </c>
      <c r="X237">
        <v>8</v>
      </c>
      <c r="Y237">
        <v>7</v>
      </c>
      <c r="Z237">
        <v>8</v>
      </c>
      <c r="AA237">
        <v>7</v>
      </c>
      <c r="AB237">
        <v>0.46666999999999997</v>
      </c>
      <c r="AC237" t="s">
        <v>136</v>
      </c>
      <c r="AD237" t="s">
        <v>152</v>
      </c>
      <c r="AE237" t="s">
        <v>62</v>
      </c>
      <c r="AF237" t="s">
        <v>62</v>
      </c>
      <c r="AG237">
        <v>3</v>
      </c>
      <c r="AH237">
        <v>6</v>
      </c>
      <c r="AI237">
        <v>8</v>
      </c>
      <c r="AJ237">
        <v>0.42857000000000001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2</v>
      </c>
      <c r="AS237">
        <v>7</v>
      </c>
      <c r="AT237">
        <v>0.22222</v>
      </c>
      <c r="AU237">
        <v>15</v>
      </c>
      <c r="AV237">
        <v>7</v>
      </c>
      <c r="AW237">
        <v>27</v>
      </c>
      <c r="AX237">
        <v>9</v>
      </c>
      <c r="AY237">
        <v>9</v>
      </c>
      <c r="AZ237">
        <v>5</v>
      </c>
      <c r="BA237" t="s">
        <v>14119</v>
      </c>
      <c r="BB237" t="s">
        <v>14120</v>
      </c>
      <c r="BC237">
        <v>1.0609999999999999</v>
      </c>
      <c r="BD237" t="s">
        <v>65</v>
      </c>
      <c r="BE237">
        <v>36</v>
      </c>
      <c r="BF237">
        <v>14</v>
      </c>
      <c r="BG237" t="s">
        <v>14121</v>
      </c>
      <c r="BH237" t="s">
        <v>14122</v>
      </c>
      <c r="BI237" t="s">
        <v>14123</v>
      </c>
      <c r="BJ237">
        <v>0.14871000000000001</v>
      </c>
      <c r="BK237">
        <v>1</v>
      </c>
      <c r="BL237" t="s">
        <v>69</v>
      </c>
      <c r="BM237">
        <v>-1.0620000000000001</v>
      </c>
      <c r="BN237">
        <v>-0.99399999999999999</v>
      </c>
    </row>
    <row r="238" spans="2:66">
      <c r="B238">
        <v>376</v>
      </c>
      <c r="C238">
        <v>227</v>
      </c>
      <c r="D238">
        <v>2</v>
      </c>
      <c r="E238">
        <v>8</v>
      </c>
      <c r="F238">
        <v>0</v>
      </c>
      <c r="J238">
        <v>0</v>
      </c>
      <c r="K238">
        <v>2</v>
      </c>
      <c r="L238">
        <v>3</v>
      </c>
      <c r="M238" t="s">
        <v>25022</v>
      </c>
      <c r="N238">
        <v>2424</v>
      </c>
      <c r="O238" t="s">
        <v>14124</v>
      </c>
      <c r="P238" t="s">
        <v>62</v>
      </c>
      <c r="Q238">
        <v>2431740</v>
      </c>
      <c r="R238">
        <v>2432081</v>
      </c>
      <c r="S238" t="s">
        <v>116</v>
      </c>
      <c r="T238">
        <v>114</v>
      </c>
      <c r="U238" t="s">
        <v>59</v>
      </c>
      <c r="V238">
        <v>49</v>
      </c>
      <c r="W238" t="str">
        <f>HYPERLINK("Gene2424-zp_tree_all.dnd", "Gene2424-tree")</f>
        <v>Gene2424-tree</v>
      </c>
      <c r="X238">
        <v>12</v>
      </c>
      <c r="Y238">
        <v>23</v>
      </c>
      <c r="Z238">
        <v>12</v>
      </c>
      <c r="AA238">
        <v>3</v>
      </c>
      <c r="AB238">
        <v>0.2</v>
      </c>
      <c r="AC238" t="s">
        <v>109</v>
      </c>
      <c r="AD238" t="s">
        <v>1725</v>
      </c>
      <c r="AE238">
        <v>7.38</v>
      </c>
      <c r="AF238" t="s">
        <v>65</v>
      </c>
      <c r="AG238">
        <v>2</v>
      </c>
      <c r="AH238">
        <v>5</v>
      </c>
      <c r="AI238">
        <v>3</v>
      </c>
      <c r="AJ238">
        <v>0.625</v>
      </c>
      <c r="AK238">
        <v>0</v>
      </c>
      <c r="AL238">
        <v>0</v>
      </c>
      <c r="AM238">
        <v>0</v>
      </c>
      <c r="AN238">
        <v>2</v>
      </c>
      <c r="AO238">
        <v>0</v>
      </c>
      <c r="AP238">
        <v>2</v>
      </c>
      <c r="AQ238">
        <v>0</v>
      </c>
      <c r="AR238">
        <v>2</v>
      </c>
      <c r="AS238">
        <v>1</v>
      </c>
      <c r="AT238">
        <v>0.66666999999999998</v>
      </c>
      <c r="AU238">
        <v>12</v>
      </c>
      <c r="AV238">
        <v>6</v>
      </c>
      <c r="AW238">
        <v>9</v>
      </c>
      <c r="AX238">
        <v>3</v>
      </c>
      <c r="AY238">
        <v>11</v>
      </c>
      <c r="AZ238">
        <v>5</v>
      </c>
      <c r="BA238" t="s">
        <v>14125</v>
      </c>
      <c r="BB238" t="s">
        <v>14126</v>
      </c>
      <c r="BC238">
        <v>0.25600000000000001</v>
      </c>
      <c r="BD238" t="s">
        <v>65</v>
      </c>
      <c r="BE238">
        <v>20</v>
      </c>
      <c r="BF238">
        <v>8</v>
      </c>
      <c r="BG238" t="s">
        <v>14127</v>
      </c>
      <c r="BH238" t="s">
        <v>14128</v>
      </c>
      <c r="BI238" t="s">
        <v>14129</v>
      </c>
      <c r="BJ238">
        <v>0.11165</v>
      </c>
      <c r="BK238">
        <v>1</v>
      </c>
      <c r="BL238" t="s">
        <v>69</v>
      </c>
      <c r="BM238">
        <v>-1.1759999999999999</v>
      </c>
      <c r="BN238">
        <v>-0.79900000000000004</v>
      </c>
    </row>
    <row r="239" spans="2:66">
      <c r="B239">
        <v>377</v>
      </c>
      <c r="C239">
        <v>5</v>
      </c>
      <c r="D239">
        <v>0</v>
      </c>
      <c r="E239">
        <v>11</v>
      </c>
      <c r="F239">
        <v>1</v>
      </c>
      <c r="J239">
        <v>0</v>
      </c>
      <c r="K239">
        <v>12</v>
      </c>
      <c r="L239">
        <v>2</v>
      </c>
      <c r="M239" t="s">
        <v>25022</v>
      </c>
      <c r="N239">
        <v>2425</v>
      </c>
      <c r="O239" t="s">
        <v>14130</v>
      </c>
      <c r="P239" t="s">
        <v>62</v>
      </c>
      <c r="Q239">
        <v>2432319</v>
      </c>
      <c r="R239">
        <v>2432870</v>
      </c>
      <c r="S239" t="s">
        <v>2768</v>
      </c>
      <c r="T239">
        <v>184</v>
      </c>
      <c r="U239" t="s">
        <v>5762</v>
      </c>
      <c r="V239">
        <v>43</v>
      </c>
      <c r="W239" t="str">
        <f>HYPERLINK("Gene2425-zp_tree_all.dnd", "Gene2425-tree")</f>
        <v>Gene2425-tree</v>
      </c>
      <c r="X239">
        <v>7</v>
      </c>
      <c r="Y239">
        <v>5</v>
      </c>
      <c r="Z239">
        <v>7</v>
      </c>
      <c r="AA239">
        <v>5</v>
      </c>
      <c r="AB239">
        <v>0.41666999999999998</v>
      </c>
      <c r="AC239" t="s">
        <v>152</v>
      </c>
      <c r="AD239" t="s">
        <v>199</v>
      </c>
      <c r="AE239" t="s">
        <v>62</v>
      </c>
      <c r="AF239" t="s">
        <v>62</v>
      </c>
      <c r="AG239">
        <v>5</v>
      </c>
      <c r="AH239">
        <v>14</v>
      </c>
      <c r="AI239">
        <v>4</v>
      </c>
      <c r="AJ239">
        <v>0.77778000000000003</v>
      </c>
      <c r="AK239">
        <v>2</v>
      </c>
      <c r="AL239">
        <v>0</v>
      </c>
      <c r="AM239">
        <v>2</v>
      </c>
      <c r="AN239">
        <v>4</v>
      </c>
      <c r="AO239">
        <v>0.33333000000000002</v>
      </c>
      <c r="AP239">
        <v>4</v>
      </c>
      <c r="AQ239">
        <v>0</v>
      </c>
      <c r="AR239">
        <v>4</v>
      </c>
      <c r="AS239">
        <v>4</v>
      </c>
      <c r="AT239">
        <v>0.5</v>
      </c>
      <c r="AU239">
        <v>9</v>
      </c>
      <c r="AV239">
        <v>6</v>
      </c>
      <c r="AW239">
        <v>23</v>
      </c>
      <c r="AX239">
        <v>9</v>
      </c>
      <c r="AY239">
        <v>15</v>
      </c>
      <c r="AZ239">
        <v>12</v>
      </c>
      <c r="BA239" t="s">
        <v>14131</v>
      </c>
      <c r="BB239" t="s">
        <v>14132</v>
      </c>
      <c r="BC239">
        <v>0.94199999999999995</v>
      </c>
      <c r="BD239" t="s">
        <v>65</v>
      </c>
      <c r="BE239">
        <v>38</v>
      </c>
      <c r="BF239">
        <v>21</v>
      </c>
      <c r="BG239" t="s">
        <v>14133</v>
      </c>
      <c r="BH239" t="s">
        <v>14134</v>
      </c>
      <c r="BI239" t="s">
        <v>14135</v>
      </c>
      <c r="BJ239">
        <v>0.15889</v>
      </c>
      <c r="BK239">
        <v>1</v>
      </c>
      <c r="BL239" t="s">
        <v>69</v>
      </c>
      <c r="BM239">
        <v>0.46100000000000002</v>
      </c>
      <c r="BN239">
        <v>0.72</v>
      </c>
    </row>
    <row r="240" spans="2:66">
      <c r="B240">
        <v>378</v>
      </c>
      <c r="C240">
        <v>283</v>
      </c>
      <c r="D240">
        <v>0</v>
      </c>
      <c r="E240">
        <v>4</v>
      </c>
      <c r="F240">
        <v>2</v>
      </c>
      <c r="J240">
        <v>0</v>
      </c>
      <c r="K240">
        <v>0</v>
      </c>
      <c r="L240">
        <v>0</v>
      </c>
      <c r="M240" t="s">
        <v>25022</v>
      </c>
      <c r="N240">
        <v>2427</v>
      </c>
      <c r="O240" t="s">
        <v>14143</v>
      </c>
      <c r="P240" t="s">
        <v>62</v>
      </c>
      <c r="Q240">
        <v>2433319</v>
      </c>
      <c r="R240">
        <v>2433522</v>
      </c>
      <c r="S240" t="s">
        <v>288</v>
      </c>
      <c r="T240">
        <v>68</v>
      </c>
      <c r="U240" t="s">
        <v>108</v>
      </c>
      <c r="V240">
        <v>44</v>
      </c>
      <c r="W240" t="str">
        <f>HYPERLINK("Gene2427-zp_tree_all.dnd", "Gene2427-tree")</f>
        <v>Gene2427-tree</v>
      </c>
      <c r="X240">
        <v>7</v>
      </c>
      <c r="Y240">
        <v>4</v>
      </c>
      <c r="Z240">
        <v>7</v>
      </c>
      <c r="AA240">
        <v>4</v>
      </c>
      <c r="AB240">
        <v>0.36364000000000002</v>
      </c>
      <c r="AC240" t="s">
        <v>152</v>
      </c>
      <c r="AD240" t="s">
        <v>61</v>
      </c>
      <c r="AE240" t="s">
        <v>62</v>
      </c>
      <c r="AF240" t="s">
        <v>62</v>
      </c>
      <c r="AG240">
        <v>0</v>
      </c>
      <c r="AH240">
        <v>0</v>
      </c>
      <c r="AI240">
        <v>5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4</v>
      </c>
      <c r="AT240">
        <v>0</v>
      </c>
      <c r="AU240">
        <v>7</v>
      </c>
      <c r="AV240">
        <v>3</v>
      </c>
      <c r="AW240">
        <v>5</v>
      </c>
      <c r="AX240">
        <v>4</v>
      </c>
      <c r="AY240">
        <v>2</v>
      </c>
      <c r="AZ240">
        <v>1</v>
      </c>
      <c r="BA240" t="s">
        <v>14144</v>
      </c>
      <c r="BB240" t="s">
        <v>14145</v>
      </c>
      <c r="BC240">
        <v>0.33200000000000002</v>
      </c>
      <c r="BD240" t="s">
        <v>65</v>
      </c>
      <c r="BE240">
        <v>7</v>
      </c>
      <c r="BF240">
        <v>5</v>
      </c>
      <c r="BG240" t="s">
        <v>14146</v>
      </c>
      <c r="BH240" t="s">
        <v>14147</v>
      </c>
      <c r="BI240" t="s">
        <v>14148</v>
      </c>
      <c r="BJ240">
        <v>0.18345</v>
      </c>
      <c r="BK240">
        <v>0.94399999999999995</v>
      </c>
      <c r="BL240" t="s">
        <v>635</v>
      </c>
      <c r="BM240">
        <v>0.252</v>
      </c>
      <c r="BN240">
        <v>-0.38600000000000001</v>
      </c>
    </row>
    <row r="241" spans="2:66">
      <c r="B241">
        <v>380</v>
      </c>
      <c r="C241">
        <v>72</v>
      </c>
      <c r="D241">
        <v>0</v>
      </c>
      <c r="E241">
        <v>15</v>
      </c>
      <c r="F241">
        <v>2</v>
      </c>
      <c r="J241">
        <v>0</v>
      </c>
      <c r="K241">
        <v>0</v>
      </c>
      <c r="L241">
        <v>2</v>
      </c>
      <c r="M241" t="s">
        <v>25022</v>
      </c>
      <c r="N241">
        <v>2430</v>
      </c>
      <c r="O241" t="s">
        <v>14149</v>
      </c>
      <c r="P241" t="s">
        <v>62</v>
      </c>
      <c r="Q241">
        <v>2434146</v>
      </c>
      <c r="R241">
        <v>2434346</v>
      </c>
      <c r="S241" t="s">
        <v>2302</v>
      </c>
      <c r="T241">
        <v>67</v>
      </c>
      <c r="U241" t="s">
        <v>14150</v>
      </c>
      <c r="V241">
        <v>24</v>
      </c>
      <c r="W241" t="str">
        <f>HYPERLINK("Gene2430-zp_tree_all.dnd", "Gene2430-tree")</f>
        <v>Gene2430-tree</v>
      </c>
      <c r="X241">
        <v>2</v>
      </c>
      <c r="Y241">
        <v>3</v>
      </c>
      <c r="Z241">
        <v>2</v>
      </c>
      <c r="AA241">
        <v>3</v>
      </c>
      <c r="AB241">
        <v>0.6</v>
      </c>
      <c r="AC241" t="s">
        <v>81</v>
      </c>
      <c r="AD241" t="s">
        <v>324</v>
      </c>
      <c r="AE241" t="s">
        <v>62</v>
      </c>
      <c r="AF241" t="s">
        <v>62</v>
      </c>
      <c r="AG241">
        <v>1</v>
      </c>
      <c r="AH241">
        <v>2</v>
      </c>
      <c r="AI241">
        <v>4</v>
      </c>
      <c r="AJ241">
        <v>0.33333000000000002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2</v>
      </c>
      <c r="AR241">
        <v>2</v>
      </c>
      <c r="AS241">
        <v>4</v>
      </c>
      <c r="AT241">
        <v>0.33333000000000002</v>
      </c>
      <c r="AU241">
        <v>3</v>
      </c>
      <c r="AV241">
        <v>1</v>
      </c>
      <c r="AW241">
        <v>4</v>
      </c>
      <c r="AX241">
        <v>2</v>
      </c>
      <c r="AY241">
        <v>2</v>
      </c>
      <c r="AZ241">
        <v>4</v>
      </c>
      <c r="BA241" t="s">
        <v>14151</v>
      </c>
      <c r="BB241" t="s">
        <v>14152</v>
      </c>
      <c r="BC241">
        <v>8.3140000000000001</v>
      </c>
      <c r="BD241" t="s">
        <v>65</v>
      </c>
      <c r="BE241">
        <v>6</v>
      </c>
      <c r="BF241">
        <v>6</v>
      </c>
      <c r="BG241" t="s">
        <v>14153</v>
      </c>
      <c r="BH241" t="s">
        <v>14154</v>
      </c>
      <c r="BI241" t="s">
        <v>14155</v>
      </c>
      <c r="BJ241">
        <v>0.33498</v>
      </c>
      <c r="BK241">
        <v>0.99</v>
      </c>
      <c r="BL241" t="s">
        <v>69</v>
      </c>
      <c r="BM241">
        <v>-0.32900000000000001</v>
      </c>
      <c r="BN241">
        <v>3.4000000000000002E-2</v>
      </c>
    </row>
    <row r="242" spans="2:66">
      <c r="B242">
        <v>381</v>
      </c>
      <c r="C242">
        <v>20</v>
      </c>
      <c r="D242">
        <v>0</v>
      </c>
      <c r="E242">
        <v>8</v>
      </c>
      <c r="F242">
        <v>2</v>
      </c>
      <c r="J242">
        <v>0</v>
      </c>
      <c r="K242">
        <v>0</v>
      </c>
      <c r="L242">
        <v>0</v>
      </c>
      <c r="M242" t="s">
        <v>25022</v>
      </c>
      <c r="N242">
        <v>2433</v>
      </c>
      <c r="O242" t="s">
        <v>14160</v>
      </c>
      <c r="P242" t="s">
        <v>62</v>
      </c>
      <c r="Q242">
        <v>2435363</v>
      </c>
      <c r="R242">
        <v>2435791</v>
      </c>
      <c r="S242" t="s">
        <v>14161</v>
      </c>
      <c r="T242">
        <v>143</v>
      </c>
      <c r="U242" t="s">
        <v>14162</v>
      </c>
      <c r="V242">
        <v>37</v>
      </c>
      <c r="W242" t="str">
        <f>HYPERLINK("Gene2433-zp_tree_all.dnd", "Gene2433-tree")</f>
        <v>Gene2433-tree</v>
      </c>
      <c r="X242">
        <v>11</v>
      </c>
      <c r="Y242">
        <v>1</v>
      </c>
      <c r="Z242">
        <v>11</v>
      </c>
      <c r="AA242">
        <v>1</v>
      </c>
      <c r="AB242">
        <v>8.3330000000000001E-2</v>
      </c>
      <c r="AC242" t="s">
        <v>73</v>
      </c>
      <c r="AD242" t="s">
        <v>175</v>
      </c>
      <c r="AE242" t="s">
        <v>62</v>
      </c>
      <c r="AF242" t="s">
        <v>62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8</v>
      </c>
      <c r="AV242">
        <v>8</v>
      </c>
      <c r="AW242">
        <v>14</v>
      </c>
      <c r="AX242">
        <v>1</v>
      </c>
      <c r="AY242">
        <v>27</v>
      </c>
      <c r="AZ242">
        <v>0</v>
      </c>
      <c r="BA242" t="s">
        <v>14163</v>
      </c>
      <c r="BB242" t="s">
        <v>193</v>
      </c>
      <c r="BC242">
        <v>0.36599999999999999</v>
      </c>
      <c r="BD242" t="s">
        <v>65</v>
      </c>
      <c r="BE242">
        <v>41</v>
      </c>
      <c r="BF242">
        <v>1</v>
      </c>
      <c r="BG242" t="s">
        <v>14164</v>
      </c>
      <c r="BH242" t="s">
        <v>14165</v>
      </c>
      <c r="BI242" t="s">
        <v>14166</v>
      </c>
      <c r="BJ242">
        <v>4.5900000000000003E-3</v>
      </c>
      <c r="BK242">
        <v>1</v>
      </c>
      <c r="BL242" t="s">
        <v>69</v>
      </c>
      <c r="BM242">
        <v>-1.095</v>
      </c>
      <c r="BN242">
        <v>-0.48199999999999998</v>
      </c>
    </row>
    <row r="243" spans="2:66">
      <c r="B243">
        <v>385</v>
      </c>
      <c r="C243">
        <v>62</v>
      </c>
      <c r="D243">
        <v>0</v>
      </c>
      <c r="E243">
        <v>9</v>
      </c>
      <c r="F243">
        <v>2</v>
      </c>
      <c r="J243">
        <v>0</v>
      </c>
      <c r="K243">
        <v>0</v>
      </c>
      <c r="L243">
        <v>2</v>
      </c>
      <c r="M243" t="s">
        <v>25022</v>
      </c>
      <c r="N243">
        <v>2435</v>
      </c>
      <c r="O243" t="s">
        <v>14173</v>
      </c>
      <c r="P243" t="s">
        <v>62</v>
      </c>
      <c r="Q243">
        <v>2436950</v>
      </c>
      <c r="R243">
        <v>2438266</v>
      </c>
      <c r="S243" t="s">
        <v>14174</v>
      </c>
      <c r="T243">
        <v>439</v>
      </c>
      <c r="U243" t="s">
        <v>108</v>
      </c>
      <c r="V243">
        <v>44</v>
      </c>
      <c r="W243" t="str">
        <f>HYPERLINK("Gene2435-zp_tree_all.dnd", "Gene2435-tree")</f>
        <v>Gene2435-tree</v>
      </c>
      <c r="X243">
        <v>7</v>
      </c>
      <c r="Y243">
        <v>6</v>
      </c>
      <c r="Z243">
        <v>7</v>
      </c>
      <c r="AA243">
        <v>6</v>
      </c>
      <c r="AB243">
        <v>0.46154000000000001</v>
      </c>
      <c r="AC243" t="s">
        <v>152</v>
      </c>
      <c r="AD243" t="s">
        <v>90</v>
      </c>
      <c r="AE243" t="s">
        <v>62</v>
      </c>
      <c r="AF243" t="s">
        <v>62</v>
      </c>
      <c r="AG243">
        <v>1</v>
      </c>
      <c r="AH243">
        <v>2</v>
      </c>
      <c r="AI243">
        <v>6</v>
      </c>
      <c r="AJ243">
        <v>0.25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2</v>
      </c>
      <c r="AR243">
        <v>2</v>
      </c>
      <c r="AS243">
        <v>6</v>
      </c>
      <c r="AT243">
        <v>0.25</v>
      </c>
      <c r="AU243">
        <v>11</v>
      </c>
      <c r="AV243">
        <v>8</v>
      </c>
      <c r="AW243">
        <v>44</v>
      </c>
      <c r="AX243">
        <v>8</v>
      </c>
      <c r="AY243">
        <v>16</v>
      </c>
      <c r="AZ243">
        <v>0</v>
      </c>
      <c r="BA243" t="s">
        <v>14175</v>
      </c>
      <c r="BB243" t="s">
        <v>193</v>
      </c>
      <c r="BC243">
        <v>2.3929999999999998</v>
      </c>
      <c r="BD243" t="s">
        <v>267</v>
      </c>
      <c r="BE243">
        <v>60</v>
      </c>
      <c r="BF243">
        <v>8</v>
      </c>
      <c r="BG243" t="s">
        <v>14176</v>
      </c>
      <c r="BH243" t="s">
        <v>14177</v>
      </c>
      <c r="BI243" t="s">
        <v>14178</v>
      </c>
      <c r="BJ243">
        <v>3.1280000000000002E-2</v>
      </c>
      <c r="BK243">
        <v>1</v>
      </c>
      <c r="BL243" t="s">
        <v>69</v>
      </c>
      <c r="BM243">
        <v>-0.82199999999999995</v>
      </c>
      <c r="BN243">
        <v>-1.929</v>
      </c>
    </row>
    <row r="244" spans="2:66">
      <c r="B244">
        <v>386</v>
      </c>
      <c r="C244">
        <v>194</v>
      </c>
      <c r="D244">
        <v>0</v>
      </c>
      <c r="E244">
        <v>0</v>
      </c>
      <c r="F244">
        <v>2</v>
      </c>
      <c r="J244">
        <v>0</v>
      </c>
      <c r="K244">
        <v>3</v>
      </c>
      <c r="L244">
        <v>0</v>
      </c>
      <c r="M244" t="s">
        <v>25022</v>
      </c>
      <c r="N244">
        <v>2436</v>
      </c>
      <c r="O244" t="s">
        <v>14179</v>
      </c>
      <c r="P244" t="s">
        <v>62</v>
      </c>
      <c r="Q244">
        <v>2438375</v>
      </c>
      <c r="R244">
        <v>2439853</v>
      </c>
      <c r="S244" t="s">
        <v>14180</v>
      </c>
      <c r="T244">
        <v>493</v>
      </c>
      <c r="U244" t="s">
        <v>108</v>
      </c>
      <c r="V244">
        <v>44</v>
      </c>
      <c r="W244" t="str">
        <f>HYPERLINK("Gene2436-zp_tree_all.dnd", "Gene2436-tree")</f>
        <v>Gene2436-tree</v>
      </c>
      <c r="X244">
        <v>8</v>
      </c>
      <c r="Y244">
        <v>4</v>
      </c>
      <c r="Z244">
        <v>8</v>
      </c>
      <c r="AA244">
        <v>4</v>
      </c>
      <c r="AB244">
        <v>0.33333000000000002</v>
      </c>
      <c r="AC244" t="s">
        <v>136</v>
      </c>
      <c r="AD244" t="s">
        <v>61</v>
      </c>
      <c r="AE244" t="s">
        <v>62</v>
      </c>
      <c r="AF244" t="s">
        <v>62</v>
      </c>
      <c r="AG244">
        <v>1</v>
      </c>
      <c r="AH244">
        <v>3</v>
      </c>
      <c r="AI244">
        <v>4</v>
      </c>
      <c r="AJ244">
        <v>0.42857000000000001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3</v>
      </c>
      <c r="AQ244">
        <v>0</v>
      </c>
      <c r="AR244">
        <v>3</v>
      </c>
      <c r="AS244">
        <v>4</v>
      </c>
      <c r="AT244">
        <v>0.42857000000000001</v>
      </c>
      <c r="AU244">
        <v>10</v>
      </c>
      <c r="AV244">
        <v>7</v>
      </c>
      <c r="AW244">
        <v>62</v>
      </c>
      <c r="AX244">
        <v>7</v>
      </c>
      <c r="AY244">
        <v>17</v>
      </c>
      <c r="AZ244">
        <v>0</v>
      </c>
      <c r="BA244" t="s">
        <v>14181</v>
      </c>
      <c r="BB244" t="s">
        <v>193</v>
      </c>
      <c r="BC244">
        <v>0.96099999999999997</v>
      </c>
      <c r="BD244" t="s">
        <v>65</v>
      </c>
      <c r="BE244">
        <v>79</v>
      </c>
      <c r="BF244">
        <v>7</v>
      </c>
      <c r="BG244" t="s">
        <v>14182</v>
      </c>
      <c r="BH244" t="s">
        <v>14183</v>
      </c>
      <c r="BI244" t="s">
        <v>14184</v>
      </c>
      <c r="BJ244">
        <v>2.2349999999999998E-2</v>
      </c>
      <c r="BK244">
        <v>1</v>
      </c>
      <c r="BL244" t="s">
        <v>69</v>
      </c>
      <c r="BM244">
        <v>-1.0149999999999999</v>
      </c>
      <c r="BN244">
        <v>-2.1859999999999999</v>
      </c>
    </row>
    <row r="245" spans="2:66">
      <c r="B245">
        <v>387</v>
      </c>
      <c r="C245">
        <v>4</v>
      </c>
      <c r="D245">
        <v>0</v>
      </c>
      <c r="E245">
        <v>4</v>
      </c>
      <c r="F245">
        <v>0</v>
      </c>
      <c r="J245">
        <v>0</v>
      </c>
      <c r="K245">
        <v>0</v>
      </c>
      <c r="L245">
        <v>0</v>
      </c>
      <c r="M245" t="s">
        <v>25022</v>
      </c>
      <c r="N245">
        <v>2437</v>
      </c>
      <c r="O245" t="s">
        <v>14185</v>
      </c>
      <c r="P245" t="s">
        <v>62</v>
      </c>
      <c r="Q245">
        <v>2439807</v>
      </c>
      <c r="R245">
        <v>2440415</v>
      </c>
      <c r="S245" t="s">
        <v>14186</v>
      </c>
      <c r="T245">
        <v>203</v>
      </c>
      <c r="U245" t="s">
        <v>465</v>
      </c>
      <c r="V245">
        <v>46</v>
      </c>
      <c r="W245" t="str">
        <f>HYPERLINK("Gene2437-zp_tree_all.dnd", "Gene2437-tree")</f>
        <v>Gene2437-tree</v>
      </c>
      <c r="X245">
        <v>36</v>
      </c>
      <c r="Y245">
        <v>0</v>
      </c>
      <c r="Z245">
        <v>13</v>
      </c>
      <c r="AA245">
        <v>0</v>
      </c>
      <c r="AB245">
        <v>0</v>
      </c>
      <c r="AC245" t="s">
        <v>14187</v>
      </c>
      <c r="AD245" t="s">
        <v>62</v>
      </c>
      <c r="AE245" t="s">
        <v>62</v>
      </c>
      <c r="AF245" t="s">
        <v>62</v>
      </c>
      <c r="AG245">
        <v>0</v>
      </c>
      <c r="AH245">
        <v>0</v>
      </c>
      <c r="AI245">
        <v>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9</v>
      </c>
      <c r="AV245">
        <v>6</v>
      </c>
      <c r="AW245">
        <v>9</v>
      </c>
      <c r="AX245">
        <v>0</v>
      </c>
      <c r="AY245">
        <v>27</v>
      </c>
      <c r="AZ245">
        <v>8</v>
      </c>
      <c r="BA245" t="s">
        <v>193</v>
      </c>
      <c r="BB245" t="s">
        <v>14188</v>
      </c>
      <c r="BC245">
        <v>0.32500000000000001</v>
      </c>
      <c r="BD245" t="s">
        <v>65</v>
      </c>
      <c r="BE245">
        <v>36</v>
      </c>
      <c r="BF245">
        <v>8</v>
      </c>
      <c r="BG245" t="s">
        <v>14189</v>
      </c>
      <c r="BH245" t="s">
        <v>14190</v>
      </c>
      <c r="BI245" t="s">
        <v>14191</v>
      </c>
      <c r="BJ245">
        <v>7.3289999999999994E-2</v>
      </c>
      <c r="BK245">
        <v>1</v>
      </c>
      <c r="BL245" t="s">
        <v>69</v>
      </c>
      <c r="BM245">
        <v>-1.655</v>
      </c>
      <c r="BN245">
        <v>0.50600000000000001</v>
      </c>
    </row>
    <row r="246" spans="2:66">
      <c r="B246">
        <v>389</v>
      </c>
      <c r="C246">
        <v>223</v>
      </c>
      <c r="D246">
        <v>0</v>
      </c>
      <c r="E246">
        <v>6</v>
      </c>
      <c r="F246">
        <v>0</v>
      </c>
      <c r="J246">
        <v>0</v>
      </c>
      <c r="K246">
        <v>0</v>
      </c>
      <c r="L246">
        <v>0</v>
      </c>
      <c r="M246" t="s">
        <v>25022</v>
      </c>
      <c r="N246">
        <v>2438</v>
      </c>
      <c r="O246" t="s">
        <v>14192</v>
      </c>
      <c r="P246" t="s">
        <v>62</v>
      </c>
      <c r="Q246">
        <v>2440426</v>
      </c>
      <c r="R246">
        <v>2440773</v>
      </c>
      <c r="S246" t="s">
        <v>14193</v>
      </c>
      <c r="T246">
        <v>116</v>
      </c>
      <c r="U246" t="s">
        <v>108</v>
      </c>
      <c r="V246">
        <v>44</v>
      </c>
      <c r="W246" t="str">
        <f>HYPERLINK("Gene2438-zp_tree_all.dnd", "Gene2438-tree")</f>
        <v>Gene2438-tree</v>
      </c>
      <c r="X246">
        <v>5</v>
      </c>
      <c r="Y246">
        <v>0</v>
      </c>
      <c r="Z246">
        <v>5</v>
      </c>
      <c r="AA246">
        <v>0</v>
      </c>
      <c r="AB246">
        <v>0</v>
      </c>
      <c r="AC246" t="s">
        <v>199</v>
      </c>
      <c r="AD246" t="s">
        <v>62</v>
      </c>
      <c r="AE246" t="s">
        <v>62</v>
      </c>
      <c r="AF246" t="s">
        <v>62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2</v>
      </c>
      <c r="AW246">
        <v>6</v>
      </c>
      <c r="AX246">
        <v>0</v>
      </c>
      <c r="AY246">
        <v>2</v>
      </c>
      <c r="AZ246">
        <v>0</v>
      </c>
      <c r="BA246" t="s">
        <v>193</v>
      </c>
      <c r="BB246" t="s">
        <v>193</v>
      </c>
      <c r="BC246">
        <v>0</v>
      </c>
      <c r="BD246" t="s">
        <v>65</v>
      </c>
      <c r="BE246">
        <v>8</v>
      </c>
      <c r="BF246">
        <v>0</v>
      </c>
      <c r="BG246" t="s">
        <v>14194</v>
      </c>
      <c r="BH246" t="s">
        <v>14195</v>
      </c>
      <c r="BI246" t="s">
        <v>193</v>
      </c>
      <c r="BJ246">
        <v>0</v>
      </c>
      <c r="BK246">
        <v>1</v>
      </c>
      <c r="BL246" t="s">
        <v>69</v>
      </c>
      <c r="BM246">
        <v>-0.78400000000000003</v>
      </c>
      <c r="BN246">
        <v>-1.4710000000000001</v>
      </c>
    </row>
    <row r="247" spans="2:66">
      <c r="B247">
        <v>390</v>
      </c>
      <c r="C247">
        <v>267</v>
      </c>
      <c r="D247">
        <v>0</v>
      </c>
      <c r="E247">
        <v>0</v>
      </c>
      <c r="F247">
        <v>2</v>
      </c>
      <c r="J247">
        <v>0</v>
      </c>
      <c r="K247">
        <v>0</v>
      </c>
      <c r="L247">
        <v>0</v>
      </c>
      <c r="M247" t="s">
        <v>25022</v>
      </c>
      <c r="N247">
        <v>2439</v>
      </c>
      <c r="O247" t="s">
        <v>14196</v>
      </c>
      <c r="P247" t="s">
        <v>62</v>
      </c>
      <c r="Q247">
        <v>2440778</v>
      </c>
      <c r="R247">
        <v>2441791</v>
      </c>
      <c r="S247" t="s">
        <v>14197</v>
      </c>
      <c r="T247">
        <v>338</v>
      </c>
      <c r="U247" t="s">
        <v>5451</v>
      </c>
      <c r="V247">
        <v>43</v>
      </c>
      <c r="W247" t="str">
        <f>HYPERLINK("Gene2439-zp_tree_all.dnd", "Gene2439-tree")</f>
        <v>Gene2439-tree</v>
      </c>
      <c r="X247">
        <v>11</v>
      </c>
      <c r="Y247">
        <v>3</v>
      </c>
      <c r="Z247">
        <v>11</v>
      </c>
      <c r="AA247">
        <v>3</v>
      </c>
      <c r="AB247">
        <v>0.21429000000000001</v>
      </c>
      <c r="AC247" t="s">
        <v>73</v>
      </c>
      <c r="AD247" t="s">
        <v>324</v>
      </c>
      <c r="AE247" t="s">
        <v>62</v>
      </c>
      <c r="AF247" t="s">
        <v>62</v>
      </c>
      <c r="AG247">
        <v>0</v>
      </c>
      <c r="AH247">
        <v>0</v>
      </c>
      <c r="AI247">
        <v>7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6</v>
      </c>
      <c r="AT247">
        <v>0</v>
      </c>
      <c r="AU247">
        <v>9</v>
      </c>
      <c r="AV247">
        <v>11</v>
      </c>
      <c r="AW247">
        <v>29</v>
      </c>
      <c r="AX247">
        <v>6</v>
      </c>
      <c r="AY247">
        <v>24</v>
      </c>
      <c r="AZ247">
        <v>1</v>
      </c>
      <c r="BA247" t="s">
        <v>14198</v>
      </c>
      <c r="BB247" t="s">
        <v>14199</v>
      </c>
      <c r="BC247">
        <v>0.53100000000000003</v>
      </c>
      <c r="BD247" t="s">
        <v>65</v>
      </c>
      <c r="BE247">
        <v>53</v>
      </c>
      <c r="BF247">
        <v>7</v>
      </c>
      <c r="BG247" t="s">
        <v>14200</v>
      </c>
      <c r="BH247" t="s">
        <v>14201</v>
      </c>
      <c r="BI247" t="s">
        <v>14202</v>
      </c>
      <c r="BJ247">
        <v>3.3450000000000001E-2</v>
      </c>
      <c r="BK247">
        <v>1</v>
      </c>
      <c r="BL247" t="s">
        <v>69</v>
      </c>
      <c r="BM247">
        <v>-0.83399999999999996</v>
      </c>
      <c r="BN247">
        <v>-1.8560000000000001</v>
      </c>
    </row>
    <row r="248" spans="2:66">
      <c r="B248">
        <v>391</v>
      </c>
      <c r="C248">
        <v>187</v>
      </c>
      <c r="D248">
        <v>0</v>
      </c>
      <c r="E248">
        <v>14</v>
      </c>
      <c r="F248">
        <v>3</v>
      </c>
      <c r="J248">
        <v>0</v>
      </c>
      <c r="K248">
        <v>0</v>
      </c>
      <c r="L248">
        <v>0</v>
      </c>
      <c r="M248" t="s">
        <v>25022</v>
      </c>
      <c r="N248">
        <v>2440</v>
      </c>
      <c r="O248" t="s">
        <v>14203</v>
      </c>
      <c r="P248" t="s">
        <v>62</v>
      </c>
      <c r="Q248">
        <v>2441807</v>
      </c>
      <c r="R248">
        <v>2442256</v>
      </c>
      <c r="S248" t="s">
        <v>14204</v>
      </c>
      <c r="T248">
        <v>150</v>
      </c>
      <c r="U248" t="s">
        <v>108</v>
      </c>
      <c r="V248">
        <v>44</v>
      </c>
      <c r="W248" t="str">
        <f>HYPERLINK("Gene2440-zp_tree_all.dnd", "Gene2440-tree")</f>
        <v>Gene2440-tree</v>
      </c>
      <c r="X248">
        <v>12</v>
      </c>
      <c r="Y248">
        <v>1</v>
      </c>
      <c r="Z248">
        <v>12</v>
      </c>
      <c r="AA248">
        <v>1</v>
      </c>
      <c r="AB248">
        <v>7.6920000000000002E-2</v>
      </c>
      <c r="AC248" t="s">
        <v>109</v>
      </c>
      <c r="AD248" t="s">
        <v>175</v>
      </c>
      <c r="AE248" t="s">
        <v>62</v>
      </c>
      <c r="AF248" t="s">
        <v>62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11</v>
      </c>
      <c r="AV248">
        <v>4</v>
      </c>
      <c r="AW248">
        <v>19</v>
      </c>
      <c r="AX248">
        <v>1</v>
      </c>
      <c r="AY248">
        <v>7</v>
      </c>
      <c r="AZ248">
        <v>0</v>
      </c>
      <c r="BA248" t="s">
        <v>14205</v>
      </c>
      <c r="BB248" t="s">
        <v>193</v>
      </c>
      <c r="BC248">
        <v>0.317</v>
      </c>
      <c r="BD248" t="s">
        <v>65</v>
      </c>
      <c r="BE248">
        <v>26</v>
      </c>
      <c r="BF248">
        <v>1</v>
      </c>
      <c r="BG248" t="s">
        <v>14206</v>
      </c>
      <c r="BH248" t="s">
        <v>14207</v>
      </c>
      <c r="BI248" t="s">
        <v>14208</v>
      </c>
      <c r="BJ248">
        <v>1.021E-2</v>
      </c>
      <c r="BK248">
        <v>1</v>
      </c>
      <c r="BL248" t="s">
        <v>69</v>
      </c>
      <c r="BM248">
        <v>-1.038</v>
      </c>
      <c r="BN248">
        <v>-1.921</v>
      </c>
    </row>
    <row r="249" spans="2:66">
      <c r="B249">
        <v>392</v>
      </c>
      <c r="C249">
        <v>9</v>
      </c>
      <c r="D249">
        <v>0</v>
      </c>
      <c r="E249">
        <v>2</v>
      </c>
      <c r="F249">
        <v>0</v>
      </c>
      <c r="J249">
        <v>0</v>
      </c>
      <c r="K249">
        <v>0</v>
      </c>
      <c r="L249">
        <v>0</v>
      </c>
      <c r="M249" t="s">
        <v>25022</v>
      </c>
      <c r="N249">
        <v>2441</v>
      </c>
      <c r="O249" t="s">
        <v>14209</v>
      </c>
      <c r="P249" t="s">
        <v>62</v>
      </c>
      <c r="Q249">
        <v>2442272</v>
      </c>
      <c r="R249">
        <v>2442694</v>
      </c>
      <c r="S249" t="s">
        <v>14210</v>
      </c>
      <c r="T249">
        <v>141</v>
      </c>
      <c r="U249" t="s">
        <v>108</v>
      </c>
      <c r="V249">
        <v>44</v>
      </c>
      <c r="W249" t="str">
        <f>HYPERLINK("Gene2441-zp_tree_all.dnd", "Gene2441-tree")</f>
        <v>Gene2441-tree</v>
      </c>
      <c r="X249">
        <v>30</v>
      </c>
      <c r="Y249">
        <v>1</v>
      </c>
      <c r="Z249">
        <v>10</v>
      </c>
      <c r="AA249">
        <v>1</v>
      </c>
      <c r="AB249">
        <v>9.0910000000000005E-2</v>
      </c>
      <c r="AC249" t="s">
        <v>250</v>
      </c>
      <c r="AD249" t="s">
        <v>175</v>
      </c>
      <c r="AE249" t="s">
        <v>62</v>
      </c>
      <c r="AF249" t="s">
        <v>62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8</v>
      </c>
      <c r="AV249">
        <v>4</v>
      </c>
      <c r="AW249">
        <v>13</v>
      </c>
      <c r="AX249">
        <v>1</v>
      </c>
      <c r="AY249">
        <v>6</v>
      </c>
      <c r="AZ249">
        <v>0</v>
      </c>
      <c r="BA249" t="s">
        <v>14211</v>
      </c>
      <c r="BB249" t="s">
        <v>193</v>
      </c>
      <c r="BC249">
        <v>0.373</v>
      </c>
      <c r="BD249" t="s">
        <v>65</v>
      </c>
      <c r="BE249">
        <v>19</v>
      </c>
      <c r="BF249">
        <v>1</v>
      </c>
      <c r="BG249" t="s">
        <v>14212</v>
      </c>
      <c r="BH249" t="s">
        <v>14213</v>
      </c>
      <c r="BI249" t="s">
        <v>8545</v>
      </c>
      <c r="BJ249">
        <v>1.294E-2</v>
      </c>
      <c r="BK249">
        <v>1</v>
      </c>
      <c r="BL249" t="s">
        <v>69</v>
      </c>
      <c r="BM249">
        <v>-0.69199999999999995</v>
      </c>
      <c r="BN249">
        <v>-2.6349999999999998</v>
      </c>
    </row>
    <row r="250" spans="2:66">
      <c r="B250">
        <v>395</v>
      </c>
      <c r="C250">
        <v>194</v>
      </c>
      <c r="D250">
        <v>0</v>
      </c>
      <c r="E250">
        <v>0</v>
      </c>
      <c r="F250">
        <v>4</v>
      </c>
      <c r="J250">
        <v>0</v>
      </c>
      <c r="K250">
        <v>0</v>
      </c>
      <c r="L250">
        <v>0</v>
      </c>
      <c r="M250" t="s">
        <v>25022</v>
      </c>
      <c r="N250">
        <v>2442</v>
      </c>
      <c r="O250" t="s">
        <v>14214</v>
      </c>
      <c r="P250" t="s">
        <v>62</v>
      </c>
      <c r="Q250">
        <v>2442687</v>
      </c>
      <c r="R250">
        <v>2443304</v>
      </c>
      <c r="S250" t="s">
        <v>14215</v>
      </c>
      <c r="T250">
        <v>206</v>
      </c>
      <c r="U250" t="s">
        <v>108</v>
      </c>
      <c r="V250">
        <v>44</v>
      </c>
      <c r="W250" t="str">
        <f>HYPERLINK("Gene2442-zp_tree_all.dnd", "Gene2442-tree")</f>
        <v>Gene2442-tree</v>
      </c>
      <c r="X250">
        <v>5</v>
      </c>
      <c r="Y250">
        <v>4</v>
      </c>
      <c r="Z250">
        <v>5</v>
      </c>
      <c r="AA250">
        <v>4</v>
      </c>
      <c r="AB250">
        <v>0.44444</v>
      </c>
      <c r="AC250" t="s">
        <v>199</v>
      </c>
      <c r="AD250" t="s">
        <v>61</v>
      </c>
      <c r="AE250" t="s">
        <v>62</v>
      </c>
      <c r="AF250" t="s">
        <v>62</v>
      </c>
      <c r="AG250">
        <v>0</v>
      </c>
      <c r="AH250">
        <v>0</v>
      </c>
      <c r="AI250">
        <v>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4</v>
      </c>
      <c r="AT250">
        <v>0</v>
      </c>
      <c r="AU250">
        <v>7</v>
      </c>
      <c r="AV250">
        <v>3</v>
      </c>
      <c r="AW250">
        <v>9</v>
      </c>
      <c r="AX250">
        <v>3</v>
      </c>
      <c r="AY250">
        <v>2</v>
      </c>
      <c r="AZ250">
        <v>2</v>
      </c>
      <c r="BA250" t="s">
        <v>14216</v>
      </c>
      <c r="BB250" t="s">
        <v>14217</v>
      </c>
      <c r="BC250">
        <v>1.1020000000000001</v>
      </c>
      <c r="BD250" t="s">
        <v>65</v>
      </c>
      <c r="BE250">
        <v>11</v>
      </c>
      <c r="BF250">
        <v>5</v>
      </c>
      <c r="BG250" t="s">
        <v>14218</v>
      </c>
      <c r="BH250" t="s">
        <v>14219</v>
      </c>
      <c r="BI250" t="s">
        <v>14220</v>
      </c>
      <c r="BJ250">
        <v>0.16335</v>
      </c>
      <c r="BK250">
        <v>0.99</v>
      </c>
      <c r="BL250" t="s">
        <v>69</v>
      </c>
      <c r="BM250">
        <v>-0.55500000000000005</v>
      </c>
      <c r="BN250">
        <v>-1.097</v>
      </c>
    </row>
    <row r="251" spans="2:66">
      <c r="B251">
        <v>396</v>
      </c>
      <c r="C251">
        <v>384</v>
      </c>
      <c r="D251">
        <v>0</v>
      </c>
      <c r="E251">
        <v>5</v>
      </c>
      <c r="F251">
        <v>1</v>
      </c>
      <c r="J251">
        <v>0</v>
      </c>
      <c r="K251">
        <v>2</v>
      </c>
      <c r="L251">
        <v>0</v>
      </c>
      <c r="M251" t="s">
        <v>25022</v>
      </c>
      <c r="N251">
        <v>2443</v>
      </c>
      <c r="O251" t="s">
        <v>14221</v>
      </c>
      <c r="P251" t="s">
        <v>62</v>
      </c>
      <c r="Q251">
        <v>2443432</v>
      </c>
      <c r="R251">
        <v>2444196</v>
      </c>
      <c r="S251" t="s">
        <v>14222</v>
      </c>
      <c r="T251">
        <v>255</v>
      </c>
      <c r="U251" t="s">
        <v>59</v>
      </c>
      <c r="V251">
        <v>49</v>
      </c>
      <c r="W251" t="str">
        <f>HYPERLINK("Gene2443-zp_tree_all.dnd", "Gene2443-tree")</f>
        <v>Gene2443-tree</v>
      </c>
      <c r="X251">
        <v>15</v>
      </c>
      <c r="Y251">
        <v>1</v>
      </c>
      <c r="Z251">
        <v>15</v>
      </c>
      <c r="AA251">
        <v>1</v>
      </c>
      <c r="AB251">
        <v>6.25E-2</v>
      </c>
      <c r="AC251" t="s">
        <v>100</v>
      </c>
      <c r="AD251" t="s">
        <v>175</v>
      </c>
      <c r="AE251" t="s">
        <v>62</v>
      </c>
      <c r="AF251" t="s">
        <v>62</v>
      </c>
      <c r="AG251">
        <v>1</v>
      </c>
      <c r="AH251">
        <v>2</v>
      </c>
      <c r="AI251">
        <v>2</v>
      </c>
      <c r="AJ251">
        <v>0.5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11</v>
      </c>
      <c r="AV251">
        <v>10</v>
      </c>
      <c r="AW251">
        <v>18</v>
      </c>
      <c r="AX251">
        <v>1</v>
      </c>
      <c r="AY251">
        <v>56</v>
      </c>
      <c r="AZ251">
        <v>3</v>
      </c>
      <c r="BA251" t="s">
        <v>14223</v>
      </c>
      <c r="BB251" t="s">
        <v>14224</v>
      </c>
      <c r="BC251">
        <v>1.9E-2</v>
      </c>
      <c r="BD251" t="s">
        <v>65</v>
      </c>
      <c r="BE251">
        <v>74</v>
      </c>
      <c r="BF251">
        <v>4</v>
      </c>
      <c r="BG251" t="s">
        <v>14225</v>
      </c>
      <c r="BH251" t="s">
        <v>14226</v>
      </c>
      <c r="BI251" t="s">
        <v>14227</v>
      </c>
      <c r="BJ251">
        <v>1.0070000000000001E-2</v>
      </c>
      <c r="BK251">
        <v>1</v>
      </c>
      <c r="BL251" t="s">
        <v>69</v>
      </c>
      <c r="BM251">
        <v>-1.266</v>
      </c>
      <c r="BN251">
        <v>0.45500000000000002</v>
      </c>
    </row>
    <row r="252" spans="2:66">
      <c r="B252">
        <v>397</v>
      </c>
      <c r="C252">
        <v>25</v>
      </c>
      <c r="D252">
        <v>0</v>
      </c>
      <c r="E252">
        <v>7</v>
      </c>
      <c r="F252">
        <v>2</v>
      </c>
      <c r="J252">
        <v>0</v>
      </c>
      <c r="K252">
        <v>0</v>
      </c>
      <c r="L252">
        <v>0</v>
      </c>
      <c r="M252" t="s">
        <v>25022</v>
      </c>
      <c r="N252">
        <v>2444</v>
      </c>
      <c r="O252" t="s">
        <v>14228</v>
      </c>
      <c r="P252" t="s">
        <v>62</v>
      </c>
      <c r="Q252">
        <v>2444211</v>
      </c>
      <c r="R252">
        <v>2444648</v>
      </c>
      <c r="S252" t="s">
        <v>14229</v>
      </c>
      <c r="T252">
        <v>146</v>
      </c>
      <c r="U252" t="s">
        <v>108</v>
      </c>
      <c r="V252">
        <v>44</v>
      </c>
      <c r="W252" t="str">
        <f>HYPERLINK("Gene2444-zp_tree_all.dnd", "Gene2444-tree")</f>
        <v>Gene2444-tree</v>
      </c>
      <c r="X252">
        <v>30</v>
      </c>
      <c r="Y252">
        <v>0</v>
      </c>
      <c r="Z252">
        <v>8</v>
      </c>
      <c r="AA252">
        <v>0</v>
      </c>
      <c r="AB252">
        <v>0</v>
      </c>
      <c r="AC252" t="s">
        <v>9781</v>
      </c>
      <c r="AD252" t="s">
        <v>62</v>
      </c>
      <c r="AE252" t="s">
        <v>62</v>
      </c>
      <c r="AF252" t="s">
        <v>62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</v>
      </c>
      <c r="AV252">
        <v>4</v>
      </c>
      <c r="AW252">
        <v>9</v>
      </c>
      <c r="AX252">
        <v>0</v>
      </c>
      <c r="AY252">
        <v>3</v>
      </c>
      <c r="AZ252">
        <v>1</v>
      </c>
      <c r="BA252" t="s">
        <v>193</v>
      </c>
      <c r="BB252" t="s">
        <v>14230</v>
      </c>
      <c r="BC252">
        <v>0.6</v>
      </c>
      <c r="BD252" t="s">
        <v>65</v>
      </c>
      <c r="BE252">
        <v>12</v>
      </c>
      <c r="BF252">
        <v>1</v>
      </c>
      <c r="BG252" t="s">
        <v>14231</v>
      </c>
      <c r="BH252" t="s">
        <v>14232</v>
      </c>
      <c r="BI252" t="s">
        <v>14233</v>
      </c>
      <c r="BJ252">
        <v>4.342E-2</v>
      </c>
      <c r="BK252">
        <v>1</v>
      </c>
      <c r="BL252" t="s">
        <v>69</v>
      </c>
      <c r="BM252">
        <v>-0.69199999999999995</v>
      </c>
      <c r="BN252">
        <v>-1.343</v>
      </c>
    </row>
    <row r="253" spans="2:66">
      <c r="B253">
        <v>400</v>
      </c>
      <c r="C253">
        <v>45</v>
      </c>
      <c r="D253">
        <v>0</v>
      </c>
      <c r="E253">
        <v>5</v>
      </c>
      <c r="F253">
        <v>0</v>
      </c>
      <c r="J253">
        <v>0</v>
      </c>
      <c r="K253">
        <v>0</v>
      </c>
      <c r="L253">
        <v>0</v>
      </c>
      <c r="M253" t="s">
        <v>25022</v>
      </c>
      <c r="N253">
        <v>2445</v>
      </c>
      <c r="O253" t="s">
        <v>14234</v>
      </c>
      <c r="P253" t="s">
        <v>62</v>
      </c>
      <c r="Q253">
        <v>2444648</v>
      </c>
      <c r="R253">
        <v>2444998</v>
      </c>
      <c r="S253" t="s">
        <v>14235</v>
      </c>
      <c r="T253">
        <v>117</v>
      </c>
      <c r="U253" t="s">
        <v>59</v>
      </c>
      <c r="V253">
        <v>49</v>
      </c>
      <c r="W253" t="str">
        <f>HYPERLINK("Gene2445-zp_tree_all.dnd", "Gene2445-tree")</f>
        <v>Gene2445-tree</v>
      </c>
      <c r="X253">
        <v>36</v>
      </c>
      <c r="Y253">
        <v>1</v>
      </c>
      <c r="Z253">
        <v>15</v>
      </c>
      <c r="AA253">
        <v>1</v>
      </c>
      <c r="AB253">
        <v>6.25E-2</v>
      </c>
      <c r="AC253" t="s">
        <v>14236</v>
      </c>
      <c r="AD253" t="s">
        <v>175</v>
      </c>
      <c r="AE253" t="s">
        <v>62</v>
      </c>
      <c r="AF253" t="s">
        <v>62</v>
      </c>
      <c r="AG253">
        <v>0</v>
      </c>
      <c r="AH253">
        <v>0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11</v>
      </c>
      <c r="AV253">
        <v>7</v>
      </c>
      <c r="AW253">
        <v>15</v>
      </c>
      <c r="AX253">
        <v>1</v>
      </c>
      <c r="AY253">
        <v>15</v>
      </c>
      <c r="AZ253">
        <v>1</v>
      </c>
      <c r="BA253" t="s">
        <v>14237</v>
      </c>
      <c r="BB253" t="s">
        <v>14238</v>
      </c>
      <c r="BC253">
        <v>5.0000000000000001E-3</v>
      </c>
      <c r="BD253" t="s">
        <v>65</v>
      </c>
      <c r="BE253">
        <v>30</v>
      </c>
      <c r="BF253">
        <v>2</v>
      </c>
      <c r="BG253" t="s">
        <v>14239</v>
      </c>
      <c r="BH253" t="s">
        <v>14240</v>
      </c>
      <c r="BI253" t="s">
        <v>14241</v>
      </c>
      <c r="BJ253">
        <v>2.5260000000000001E-2</v>
      </c>
      <c r="BK253">
        <v>1</v>
      </c>
      <c r="BL253" t="s">
        <v>69</v>
      </c>
      <c r="BM253">
        <v>-0.98099999999999998</v>
      </c>
      <c r="BN253">
        <v>-1.573</v>
      </c>
    </row>
    <row r="254" spans="2:66">
      <c r="B254">
        <v>401</v>
      </c>
      <c r="C254">
        <v>78</v>
      </c>
      <c r="D254">
        <v>0</v>
      </c>
      <c r="E254">
        <v>4</v>
      </c>
      <c r="F254">
        <v>0</v>
      </c>
      <c r="J254">
        <v>0</v>
      </c>
      <c r="K254">
        <v>6</v>
      </c>
      <c r="L254">
        <v>0</v>
      </c>
      <c r="M254" t="s">
        <v>25022</v>
      </c>
      <c r="N254">
        <v>2446</v>
      </c>
      <c r="O254" t="s">
        <v>14242</v>
      </c>
      <c r="P254" t="s">
        <v>62</v>
      </c>
      <c r="Q254">
        <v>2445097</v>
      </c>
      <c r="R254">
        <v>2446263</v>
      </c>
      <c r="S254" t="s">
        <v>14243</v>
      </c>
      <c r="T254">
        <v>389</v>
      </c>
      <c r="U254" t="s">
        <v>265</v>
      </c>
      <c r="V254">
        <v>43</v>
      </c>
      <c r="W254" t="str">
        <f>HYPERLINK("Gene2446-zp_tree_all.dnd", "Gene2446-tree")</f>
        <v>Gene2446-tree</v>
      </c>
      <c r="X254">
        <v>5</v>
      </c>
      <c r="Y254">
        <v>7</v>
      </c>
      <c r="Z254">
        <v>5</v>
      </c>
      <c r="AA254">
        <v>7</v>
      </c>
      <c r="AB254">
        <v>0.58333000000000002</v>
      </c>
      <c r="AC254" t="s">
        <v>199</v>
      </c>
      <c r="AD254" t="s">
        <v>152</v>
      </c>
      <c r="AE254" t="s">
        <v>62</v>
      </c>
      <c r="AF254" t="s">
        <v>62</v>
      </c>
      <c r="AG254">
        <v>2</v>
      </c>
      <c r="AH254">
        <v>6</v>
      </c>
      <c r="AI254">
        <v>9</v>
      </c>
      <c r="AJ254">
        <v>0.4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3</v>
      </c>
      <c r="AQ254">
        <v>0</v>
      </c>
      <c r="AR254">
        <v>3</v>
      </c>
      <c r="AS254">
        <v>9</v>
      </c>
      <c r="AT254">
        <v>0.25</v>
      </c>
      <c r="AU254">
        <v>11</v>
      </c>
      <c r="AV254">
        <v>9</v>
      </c>
      <c r="AW254">
        <v>26</v>
      </c>
      <c r="AX254">
        <v>13</v>
      </c>
      <c r="AY254">
        <v>20</v>
      </c>
      <c r="AZ254">
        <v>3</v>
      </c>
      <c r="BA254" t="s">
        <v>14244</v>
      </c>
      <c r="BB254" t="s">
        <v>14245</v>
      </c>
      <c r="BC254">
        <v>0.871</v>
      </c>
      <c r="BD254" t="s">
        <v>65</v>
      </c>
      <c r="BE254">
        <v>46</v>
      </c>
      <c r="BF254">
        <v>16</v>
      </c>
      <c r="BG254" t="s">
        <v>14246</v>
      </c>
      <c r="BH254" t="s">
        <v>14247</v>
      </c>
      <c r="BI254" t="s">
        <v>14248</v>
      </c>
      <c r="BJ254">
        <v>6.8440000000000001E-2</v>
      </c>
      <c r="BK254">
        <v>1</v>
      </c>
      <c r="BL254" t="s">
        <v>69</v>
      </c>
      <c r="BM254">
        <v>-1.0680000000000001</v>
      </c>
      <c r="BN254">
        <v>-0.72399999999999998</v>
      </c>
    </row>
    <row r="255" spans="2:66">
      <c r="B255">
        <v>402</v>
      </c>
      <c r="C255">
        <v>168</v>
      </c>
      <c r="D255">
        <v>0</v>
      </c>
      <c r="E255">
        <v>2</v>
      </c>
      <c r="F255">
        <v>0</v>
      </c>
      <c r="J255">
        <v>0</v>
      </c>
      <c r="K255">
        <v>0</v>
      </c>
      <c r="L255">
        <v>0</v>
      </c>
      <c r="M255" t="s">
        <v>25022</v>
      </c>
      <c r="N255">
        <v>2447</v>
      </c>
      <c r="O255" t="s">
        <v>14249</v>
      </c>
      <c r="P255" t="s">
        <v>62</v>
      </c>
      <c r="Q255">
        <v>2446421</v>
      </c>
      <c r="R255">
        <v>2447233</v>
      </c>
      <c r="S255" t="s">
        <v>12730</v>
      </c>
      <c r="T255">
        <v>271</v>
      </c>
      <c r="U255" t="s">
        <v>108</v>
      </c>
      <c r="V255">
        <v>44</v>
      </c>
      <c r="W255" t="str">
        <f>HYPERLINK("Gene2447-zp_tree_all.dnd", "Gene2447-tree")</f>
        <v>Gene2447-tree</v>
      </c>
      <c r="X255">
        <v>9</v>
      </c>
      <c r="Y255">
        <v>3</v>
      </c>
      <c r="Z255">
        <v>9</v>
      </c>
      <c r="AA255">
        <v>3</v>
      </c>
      <c r="AB255">
        <v>0.25</v>
      </c>
      <c r="AC255" t="s">
        <v>135</v>
      </c>
      <c r="AD255" t="s">
        <v>324</v>
      </c>
      <c r="AE255" t="s">
        <v>62</v>
      </c>
      <c r="AF255" t="s">
        <v>62</v>
      </c>
      <c r="AG255">
        <v>0</v>
      </c>
      <c r="AH255">
        <v>0</v>
      </c>
      <c r="AI255">
        <v>4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0</v>
      </c>
      <c r="AU255">
        <v>12</v>
      </c>
      <c r="AV255">
        <v>7</v>
      </c>
      <c r="AW255">
        <v>23</v>
      </c>
      <c r="AX255">
        <v>3</v>
      </c>
      <c r="AY255">
        <v>13</v>
      </c>
      <c r="AZ255">
        <v>1</v>
      </c>
      <c r="BA255" t="s">
        <v>14250</v>
      </c>
      <c r="BB255" t="s">
        <v>14251</v>
      </c>
      <c r="BC255">
        <v>0.24199999999999999</v>
      </c>
      <c r="BD255" t="s">
        <v>65</v>
      </c>
      <c r="BE255">
        <v>36</v>
      </c>
      <c r="BF255">
        <v>4</v>
      </c>
      <c r="BG255" t="s">
        <v>14252</v>
      </c>
      <c r="BH255" t="s">
        <v>14253</v>
      </c>
      <c r="BI255" t="s">
        <v>14254</v>
      </c>
      <c r="BJ255">
        <v>3.0280000000000001E-2</v>
      </c>
      <c r="BK255">
        <v>1</v>
      </c>
      <c r="BL255" t="s">
        <v>69</v>
      </c>
      <c r="BM255">
        <v>-0.629</v>
      </c>
      <c r="BN255">
        <v>-0.42499999999999999</v>
      </c>
    </row>
    <row r="256" spans="2:66">
      <c r="B256">
        <v>404</v>
      </c>
      <c r="C256">
        <v>182</v>
      </c>
      <c r="D256">
        <v>0</v>
      </c>
      <c r="E256">
        <v>3</v>
      </c>
      <c r="F256">
        <v>0</v>
      </c>
      <c r="J256">
        <v>0</v>
      </c>
      <c r="K256">
        <v>2</v>
      </c>
      <c r="L256">
        <v>0</v>
      </c>
      <c r="M256" t="s">
        <v>25022</v>
      </c>
      <c r="N256">
        <v>2448</v>
      </c>
      <c r="O256" t="s">
        <v>14255</v>
      </c>
      <c r="P256" t="s">
        <v>62</v>
      </c>
      <c r="Q256">
        <v>2447249</v>
      </c>
      <c r="R256">
        <v>2448430</v>
      </c>
      <c r="S256" t="s">
        <v>14256</v>
      </c>
      <c r="T256">
        <v>394</v>
      </c>
      <c r="U256" t="s">
        <v>108</v>
      </c>
      <c r="V256">
        <v>44</v>
      </c>
      <c r="W256" t="str">
        <f>HYPERLINK("Gene2448-zp_tree_all.dnd", "Gene2448-tree")</f>
        <v>Gene2448-tree</v>
      </c>
      <c r="X256">
        <v>5</v>
      </c>
      <c r="Y256">
        <v>9</v>
      </c>
      <c r="Z256">
        <v>5</v>
      </c>
      <c r="AA256">
        <v>9</v>
      </c>
      <c r="AB256">
        <v>0.64285999999999999</v>
      </c>
      <c r="AC256" t="s">
        <v>199</v>
      </c>
      <c r="AD256" t="s">
        <v>135</v>
      </c>
      <c r="AE256" t="s">
        <v>62</v>
      </c>
      <c r="AF256" t="s">
        <v>62</v>
      </c>
      <c r="AG256">
        <v>1</v>
      </c>
      <c r="AH256">
        <v>2</v>
      </c>
      <c r="AI256">
        <v>9</v>
      </c>
      <c r="AJ256">
        <v>0.18182000000000001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</v>
      </c>
      <c r="AQ256">
        <v>0</v>
      </c>
      <c r="AR256">
        <v>2</v>
      </c>
      <c r="AS256">
        <v>9</v>
      </c>
      <c r="AT256">
        <v>0.18182000000000001</v>
      </c>
      <c r="AU256">
        <v>13</v>
      </c>
      <c r="AV256">
        <v>10</v>
      </c>
      <c r="AW256">
        <v>43</v>
      </c>
      <c r="AX256">
        <v>9</v>
      </c>
      <c r="AY256">
        <v>20</v>
      </c>
      <c r="AZ256">
        <v>2</v>
      </c>
      <c r="BA256" t="s">
        <v>14257</v>
      </c>
      <c r="BB256" t="s">
        <v>14258</v>
      </c>
      <c r="BC256">
        <v>0.36199999999999999</v>
      </c>
      <c r="BD256" t="s">
        <v>65</v>
      </c>
      <c r="BE256">
        <v>63</v>
      </c>
      <c r="BF256">
        <v>11</v>
      </c>
      <c r="BG256" t="s">
        <v>14259</v>
      </c>
      <c r="BH256" t="s">
        <v>14260</v>
      </c>
      <c r="BI256" t="s">
        <v>14261</v>
      </c>
      <c r="BJ256">
        <v>4.6219999999999997E-2</v>
      </c>
      <c r="BK256">
        <v>1</v>
      </c>
      <c r="BL256" t="s">
        <v>69</v>
      </c>
      <c r="BM256">
        <v>-0.107</v>
      </c>
      <c r="BN256">
        <v>-0.58299999999999996</v>
      </c>
    </row>
    <row r="257" spans="2:66">
      <c r="B257">
        <v>405</v>
      </c>
      <c r="C257">
        <v>131</v>
      </c>
      <c r="D257">
        <v>0</v>
      </c>
      <c r="E257">
        <v>0</v>
      </c>
      <c r="F257">
        <v>2</v>
      </c>
      <c r="J257">
        <v>0</v>
      </c>
      <c r="K257">
        <v>0</v>
      </c>
      <c r="L257">
        <v>0</v>
      </c>
      <c r="M257" t="s">
        <v>25022</v>
      </c>
      <c r="N257">
        <v>2449</v>
      </c>
      <c r="O257" t="s">
        <v>14262</v>
      </c>
      <c r="P257" t="s">
        <v>62</v>
      </c>
      <c r="Q257">
        <v>2448594</v>
      </c>
      <c r="R257">
        <v>2449481</v>
      </c>
      <c r="S257" t="s">
        <v>10493</v>
      </c>
      <c r="T257">
        <v>296</v>
      </c>
      <c r="U257" t="s">
        <v>108</v>
      </c>
      <c r="V257">
        <v>44</v>
      </c>
      <c r="W257" t="str">
        <f>HYPERLINK("Gene2449-zp_tree_all.dnd", "Gene2449-tree")</f>
        <v>Gene2449-tree</v>
      </c>
      <c r="X257">
        <v>8</v>
      </c>
      <c r="Y257">
        <v>5</v>
      </c>
      <c r="Z257">
        <v>8</v>
      </c>
      <c r="AA257">
        <v>5</v>
      </c>
      <c r="AB257">
        <v>0.38462000000000002</v>
      </c>
      <c r="AC257" t="s">
        <v>136</v>
      </c>
      <c r="AD257" t="s">
        <v>199</v>
      </c>
      <c r="AE257" t="s">
        <v>62</v>
      </c>
      <c r="AF257" t="s">
        <v>62</v>
      </c>
      <c r="AG257">
        <v>0</v>
      </c>
      <c r="AH257">
        <v>0</v>
      </c>
      <c r="AI257">
        <v>6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6</v>
      </c>
      <c r="AT257">
        <v>0</v>
      </c>
      <c r="AU257">
        <v>10</v>
      </c>
      <c r="AV257">
        <v>9</v>
      </c>
      <c r="AW257">
        <v>19</v>
      </c>
      <c r="AX257">
        <v>4</v>
      </c>
      <c r="AY257">
        <v>24</v>
      </c>
      <c r="AZ257">
        <v>2</v>
      </c>
      <c r="BA257" t="s">
        <v>14263</v>
      </c>
      <c r="BB257" t="s">
        <v>14264</v>
      </c>
      <c r="BC257">
        <v>0.48199999999999998</v>
      </c>
      <c r="BD257" t="s">
        <v>65</v>
      </c>
      <c r="BE257">
        <v>43</v>
      </c>
      <c r="BF257">
        <v>6</v>
      </c>
      <c r="BG257" t="s">
        <v>14265</v>
      </c>
      <c r="BH257" t="s">
        <v>14266</v>
      </c>
      <c r="BI257" t="s">
        <v>14267</v>
      </c>
      <c r="BJ257">
        <v>3.0020000000000002E-2</v>
      </c>
      <c r="BK257">
        <v>1</v>
      </c>
      <c r="BL257" t="s">
        <v>69</v>
      </c>
      <c r="BM257">
        <v>0.57899999999999996</v>
      </c>
      <c r="BN257">
        <v>0.27700000000000002</v>
      </c>
    </row>
    <row r="258" spans="2:66">
      <c r="B258">
        <v>406</v>
      </c>
      <c r="C258">
        <v>34</v>
      </c>
      <c r="D258">
        <v>0</v>
      </c>
      <c r="E258">
        <v>9</v>
      </c>
      <c r="F258">
        <v>0</v>
      </c>
      <c r="J258">
        <v>0</v>
      </c>
      <c r="K258">
        <v>0</v>
      </c>
      <c r="L258">
        <v>0</v>
      </c>
      <c r="M258" t="s">
        <v>25022</v>
      </c>
      <c r="N258">
        <v>2450</v>
      </c>
      <c r="O258" t="s">
        <v>14268</v>
      </c>
      <c r="P258" t="s">
        <v>62</v>
      </c>
      <c r="Q258">
        <v>2449492</v>
      </c>
      <c r="R258">
        <v>2449716</v>
      </c>
      <c r="S258" t="s">
        <v>116</v>
      </c>
      <c r="T258">
        <v>75</v>
      </c>
      <c r="U258" t="s">
        <v>59</v>
      </c>
      <c r="V258">
        <v>49</v>
      </c>
      <c r="W258" t="str">
        <f>HYPERLINK("Gene2450-zp_tree_all.dnd", "Gene2450-tree")</f>
        <v>Gene2450-tree</v>
      </c>
      <c r="X258">
        <v>2</v>
      </c>
      <c r="Y258">
        <v>4</v>
      </c>
      <c r="Z258">
        <v>2</v>
      </c>
      <c r="AA258">
        <v>4</v>
      </c>
      <c r="AB258">
        <v>0.66666999999999998</v>
      </c>
      <c r="AC258" t="s">
        <v>81</v>
      </c>
      <c r="AD258" t="s">
        <v>61</v>
      </c>
      <c r="AE258" t="s">
        <v>62</v>
      </c>
      <c r="AF258" t="s">
        <v>62</v>
      </c>
      <c r="AG258">
        <v>0</v>
      </c>
      <c r="AH258">
        <v>0</v>
      </c>
      <c r="AI258">
        <v>4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4</v>
      </c>
      <c r="AT258">
        <v>0</v>
      </c>
      <c r="AU258">
        <v>4</v>
      </c>
      <c r="AV258">
        <v>2</v>
      </c>
      <c r="AW258">
        <v>2</v>
      </c>
      <c r="AX258">
        <v>2</v>
      </c>
      <c r="AY258">
        <v>5</v>
      </c>
      <c r="AZ258">
        <v>2</v>
      </c>
      <c r="BA258" t="s">
        <v>14269</v>
      </c>
      <c r="BB258" t="s">
        <v>14270</v>
      </c>
      <c r="BC258">
        <v>0.60899999999999999</v>
      </c>
      <c r="BD258" t="s">
        <v>65</v>
      </c>
      <c r="BE258">
        <v>7</v>
      </c>
      <c r="BF258">
        <v>4</v>
      </c>
      <c r="BG258" t="s">
        <v>14271</v>
      </c>
      <c r="BH258" t="s">
        <v>14272</v>
      </c>
      <c r="BI258" t="s">
        <v>14273</v>
      </c>
      <c r="BJ258">
        <v>0.13235</v>
      </c>
      <c r="BK258">
        <v>0.97899999999999998</v>
      </c>
      <c r="BL258" t="s">
        <v>69</v>
      </c>
      <c r="BM258">
        <v>-1.347</v>
      </c>
      <c r="BN258">
        <v>-0.27500000000000002</v>
      </c>
    </row>
    <row r="259" spans="2:66">
      <c r="B259">
        <v>407</v>
      </c>
      <c r="C259">
        <v>128</v>
      </c>
      <c r="D259">
        <v>0</v>
      </c>
      <c r="E259">
        <v>4</v>
      </c>
      <c r="F259">
        <v>0</v>
      </c>
      <c r="J259">
        <v>0</v>
      </c>
      <c r="K259">
        <v>0</v>
      </c>
      <c r="L259">
        <v>0</v>
      </c>
      <c r="M259" t="s">
        <v>25022</v>
      </c>
      <c r="N259">
        <v>2451</v>
      </c>
      <c r="O259" t="s">
        <v>14274</v>
      </c>
      <c r="P259" t="s">
        <v>62</v>
      </c>
      <c r="Q259">
        <v>2449844</v>
      </c>
      <c r="R259">
        <v>2450290</v>
      </c>
      <c r="S259" t="s">
        <v>14275</v>
      </c>
      <c r="T259">
        <v>149</v>
      </c>
      <c r="U259" t="s">
        <v>59</v>
      </c>
      <c r="V259">
        <v>49</v>
      </c>
      <c r="W259" t="str">
        <f>HYPERLINK("Gene2451-zp_tree_all.dnd", "Gene2451-tree")</f>
        <v>Gene2451-tree</v>
      </c>
      <c r="X259">
        <v>29</v>
      </c>
      <c r="Y259">
        <v>2</v>
      </c>
      <c r="Z259">
        <v>11</v>
      </c>
      <c r="AA259">
        <v>2</v>
      </c>
      <c r="AB259">
        <v>0.15384999999999999</v>
      </c>
      <c r="AC259" t="s">
        <v>2086</v>
      </c>
      <c r="AD259" t="s">
        <v>81</v>
      </c>
      <c r="AE259" t="s">
        <v>62</v>
      </c>
      <c r="AF259" t="s">
        <v>62</v>
      </c>
      <c r="AG259">
        <v>0</v>
      </c>
      <c r="AH259">
        <v>0</v>
      </c>
      <c r="AI259">
        <v>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7</v>
      </c>
      <c r="AV259">
        <v>5</v>
      </c>
      <c r="AW259">
        <v>6</v>
      </c>
      <c r="AX259">
        <v>2</v>
      </c>
      <c r="AY259">
        <v>17</v>
      </c>
      <c r="AZ259">
        <v>0</v>
      </c>
      <c r="BA259" t="s">
        <v>14276</v>
      </c>
      <c r="BB259" t="s">
        <v>193</v>
      </c>
      <c r="BC259">
        <v>0.86499999999999999</v>
      </c>
      <c r="BD259" t="s">
        <v>65</v>
      </c>
      <c r="BE259">
        <v>23</v>
      </c>
      <c r="BF259">
        <v>2</v>
      </c>
      <c r="BG259" t="s">
        <v>14277</v>
      </c>
      <c r="BH259" t="s">
        <v>14278</v>
      </c>
      <c r="BI259" t="s">
        <v>7374</v>
      </c>
      <c r="BJ259">
        <v>1.116E-2</v>
      </c>
      <c r="BK259">
        <v>1</v>
      </c>
      <c r="BL259" t="s">
        <v>69</v>
      </c>
      <c r="BM259">
        <v>-1.413</v>
      </c>
      <c r="BN259">
        <v>-0.70199999999999996</v>
      </c>
    </row>
    <row r="260" spans="2:66">
      <c r="B260">
        <v>408</v>
      </c>
      <c r="C260">
        <v>19</v>
      </c>
      <c r="D260">
        <v>0</v>
      </c>
      <c r="E260">
        <v>2</v>
      </c>
      <c r="F260">
        <v>2</v>
      </c>
      <c r="J260">
        <v>0</v>
      </c>
      <c r="K260">
        <v>2</v>
      </c>
      <c r="L260">
        <v>0</v>
      </c>
      <c r="M260" t="s">
        <v>25022</v>
      </c>
      <c r="N260">
        <v>2452</v>
      </c>
      <c r="O260" t="s">
        <v>14279</v>
      </c>
      <c r="P260" t="s">
        <v>62</v>
      </c>
      <c r="Q260">
        <v>2450406</v>
      </c>
      <c r="R260">
        <v>2451047</v>
      </c>
      <c r="S260" t="s">
        <v>14280</v>
      </c>
      <c r="T260">
        <v>214</v>
      </c>
      <c r="U260" t="s">
        <v>108</v>
      </c>
      <c r="V260">
        <v>44</v>
      </c>
      <c r="W260" t="str">
        <f>HYPERLINK("Gene2452-zp_tree_all.dnd", "Gene2452-tree")</f>
        <v>Gene2452-tree</v>
      </c>
      <c r="X260">
        <v>29</v>
      </c>
      <c r="Y260">
        <v>2</v>
      </c>
      <c r="Z260">
        <v>11</v>
      </c>
      <c r="AA260">
        <v>2</v>
      </c>
      <c r="AB260">
        <v>0.15384999999999999</v>
      </c>
      <c r="AC260" t="s">
        <v>2086</v>
      </c>
      <c r="AD260" t="s">
        <v>81</v>
      </c>
      <c r="AE260" t="s">
        <v>62</v>
      </c>
      <c r="AF260" t="s">
        <v>62</v>
      </c>
      <c r="AG260">
        <v>1</v>
      </c>
      <c r="AH260">
        <v>2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2</v>
      </c>
      <c r="AQ260">
        <v>0</v>
      </c>
      <c r="AR260">
        <v>2</v>
      </c>
      <c r="AS260">
        <v>0</v>
      </c>
      <c r="AT260">
        <v>1</v>
      </c>
      <c r="AU260">
        <v>11</v>
      </c>
      <c r="AV260">
        <v>8</v>
      </c>
      <c r="AW260">
        <v>33</v>
      </c>
      <c r="AX260">
        <v>2</v>
      </c>
      <c r="AY260">
        <v>13</v>
      </c>
      <c r="AZ260">
        <v>0</v>
      </c>
      <c r="BA260" t="s">
        <v>14281</v>
      </c>
      <c r="BB260" t="s">
        <v>193</v>
      </c>
      <c r="BC260">
        <v>0.47899999999999998</v>
      </c>
      <c r="BD260" t="s">
        <v>65</v>
      </c>
      <c r="BE260">
        <v>46</v>
      </c>
      <c r="BF260">
        <v>2</v>
      </c>
      <c r="BG260" t="s">
        <v>14282</v>
      </c>
      <c r="BH260" t="s">
        <v>14283</v>
      </c>
      <c r="BI260" t="s">
        <v>14284</v>
      </c>
      <c r="BJ260">
        <v>1.1089999999999999E-2</v>
      </c>
      <c r="BK260">
        <v>1</v>
      </c>
      <c r="BL260" t="s">
        <v>69</v>
      </c>
      <c r="BM260">
        <v>-1.377</v>
      </c>
      <c r="BN260">
        <v>-3.319</v>
      </c>
    </row>
    <row r="261" spans="2:66">
      <c r="B261">
        <v>409</v>
      </c>
      <c r="C261">
        <v>10</v>
      </c>
      <c r="D261">
        <v>0</v>
      </c>
      <c r="E261">
        <v>2</v>
      </c>
      <c r="F261">
        <v>0</v>
      </c>
      <c r="J261">
        <v>0</v>
      </c>
      <c r="K261">
        <v>4</v>
      </c>
      <c r="L261">
        <v>0</v>
      </c>
      <c r="M261" t="s">
        <v>25022</v>
      </c>
      <c r="N261">
        <v>2453</v>
      </c>
      <c r="O261" t="s">
        <v>14285</v>
      </c>
      <c r="P261" t="s">
        <v>62</v>
      </c>
      <c r="Q261">
        <v>2451151</v>
      </c>
      <c r="R261">
        <v>2451363</v>
      </c>
      <c r="S261" t="s">
        <v>116</v>
      </c>
      <c r="T261">
        <v>71</v>
      </c>
      <c r="U261" t="s">
        <v>1392</v>
      </c>
      <c r="V261">
        <v>43</v>
      </c>
      <c r="W261" t="str">
        <f>HYPERLINK("Gene2453-zp_tree_all.dnd", "Gene2453-tree")</f>
        <v>Gene2453-tree</v>
      </c>
      <c r="X261">
        <v>2</v>
      </c>
      <c r="Y261">
        <v>26</v>
      </c>
      <c r="Z261">
        <v>2</v>
      </c>
      <c r="AA261">
        <v>8</v>
      </c>
      <c r="AB261">
        <v>0.8</v>
      </c>
      <c r="AC261" t="s">
        <v>81</v>
      </c>
      <c r="AD261" t="s">
        <v>1616</v>
      </c>
      <c r="AE261">
        <v>0.36799999999999999</v>
      </c>
      <c r="AF261" t="s">
        <v>65</v>
      </c>
      <c r="AG261">
        <v>2</v>
      </c>
      <c r="AH261">
        <v>4</v>
      </c>
      <c r="AI261">
        <v>6</v>
      </c>
      <c r="AJ261">
        <v>0.4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</v>
      </c>
      <c r="AQ261">
        <v>0</v>
      </c>
      <c r="AR261">
        <v>2</v>
      </c>
      <c r="AS261">
        <v>7</v>
      </c>
      <c r="AT261">
        <v>0.22222</v>
      </c>
      <c r="AU261">
        <v>7</v>
      </c>
      <c r="AV261">
        <v>3</v>
      </c>
      <c r="AW261">
        <v>2</v>
      </c>
      <c r="AX261">
        <v>8</v>
      </c>
      <c r="AY261">
        <v>1</v>
      </c>
      <c r="AZ261">
        <v>2</v>
      </c>
      <c r="BA261" t="s">
        <v>14286</v>
      </c>
      <c r="BB261" t="s">
        <v>14287</v>
      </c>
      <c r="BC261">
        <v>0.39</v>
      </c>
      <c r="BD261" t="s">
        <v>65</v>
      </c>
      <c r="BE261">
        <v>3</v>
      </c>
      <c r="BF261">
        <v>10</v>
      </c>
      <c r="BG261" t="s">
        <v>14288</v>
      </c>
      <c r="BH261" t="s">
        <v>14289</v>
      </c>
      <c r="BI261" t="s">
        <v>14290</v>
      </c>
      <c r="BJ261">
        <v>0.622</v>
      </c>
      <c r="BK261">
        <v>0.54700000000000004</v>
      </c>
      <c r="BL261" t="s">
        <v>635</v>
      </c>
      <c r="BM261">
        <v>-5.3999999999999999E-2</v>
      </c>
      <c r="BN261">
        <v>0.33400000000000002</v>
      </c>
    </row>
    <row r="262" spans="2:66">
      <c r="B262">
        <v>413</v>
      </c>
      <c r="C262">
        <v>254</v>
      </c>
      <c r="D262">
        <v>0</v>
      </c>
      <c r="E262">
        <v>5</v>
      </c>
      <c r="F262">
        <v>2</v>
      </c>
      <c r="J262">
        <v>0</v>
      </c>
      <c r="K262">
        <v>0</v>
      </c>
      <c r="L262">
        <v>2</v>
      </c>
      <c r="M262" t="s">
        <v>25022</v>
      </c>
      <c r="N262">
        <v>2454</v>
      </c>
      <c r="O262" t="s">
        <v>14291</v>
      </c>
      <c r="P262" t="s">
        <v>62</v>
      </c>
      <c r="Q262">
        <v>2451466</v>
      </c>
      <c r="R262">
        <v>2452782</v>
      </c>
      <c r="S262" t="s">
        <v>14292</v>
      </c>
      <c r="T262">
        <v>439</v>
      </c>
      <c r="U262" t="s">
        <v>108</v>
      </c>
      <c r="V262">
        <v>44</v>
      </c>
      <c r="W262" t="str">
        <f>HYPERLINK("Gene2454-zp_tree_all.dnd", "Gene2454-tree")</f>
        <v>Gene2454-tree</v>
      </c>
      <c r="X262">
        <v>10</v>
      </c>
      <c r="Y262">
        <v>4</v>
      </c>
      <c r="Z262">
        <v>10</v>
      </c>
      <c r="AA262">
        <v>4</v>
      </c>
      <c r="AB262">
        <v>0.28571000000000002</v>
      </c>
      <c r="AC262" t="s">
        <v>117</v>
      </c>
      <c r="AD262" t="s">
        <v>61</v>
      </c>
      <c r="AE262" t="s">
        <v>62</v>
      </c>
      <c r="AF262" t="s">
        <v>62</v>
      </c>
      <c r="AG262">
        <v>1</v>
      </c>
      <c r="AH262">
        <v>2</v>
      </c>
      <c r="AI262">
        <v>6</v>
      </c>
      <c r="AJ262">
        <v>0.25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6</v>
      </c>
      <c r="AT262">
        <v>0</v>
      </c>
      <c r="AU262">
        <v>11</v>
      </c>
      <c r="AV262">
        <v>9</v>
      </c>
      <c r="AW262">
        <v>32</v>
      </c>
      <c r="AX262">
        <v>6</v>
      </c>
      <c r="AY262">
        <v>37</v>
      </c>
      <c r="AZ262">
        <v>2</v>
      </c>
      <c r="BA262" t="s">
        <v>14293</v>
      </c>
      <c r="BB262" t="s">
        <v>14294</v>
      </c>
      <c r="BC262">
        <v>0.82199999999999995</v>
      </c>
      <c r="BD262" t="s">
        <v>65</v>
      </c>
      <c r="BE262">
        <v>69</v>
      </c>
      <c r="BF262">
        <v>8</v>
      </c>
      <c r="BG262" t="s">
        <v>14295</v>
      </c>
      <c r="BH262" t="s">
        <v>14296</v>
      </c>
      <c r="BI262" t="s">
        <v>14297</v>
      </c>
      <c r="BJ262">
        <v>3.3079999999999998E-2</v>
      </c>
      <c r="BK262">
        <v>1</v>
      </c>
      <c r="BL262" t="s">
        <v>69</v>
      </c>
      <c r="BM262">
        <v>-0.42599999999999999</v>
      </c>
      <c r="BN262">
        <v>-0.56999999999999995</v>
      </c>
    </row>
    <row r="263" spans="2:66">
      <c r="B263">
        <v>414</v>
      </c>
      <c r="C263">
        <v>396</v>
      </c>
      <c r="D263">
        <v>0</v>
      </c>
      <c r="E263">
        <v>2</v>
      </c>
      <c r="F263">
        <v>0</v>
      </c>
      <c r="J263">
        <v>0</v>
      </c>
      <c r="K263">
        <v>0</v>
      </c>
      <c r="L263">
        <v>0</v>
      </c>
      <c r="M263" t="s">
        <v>25022</v>
      </c>
      <c r="N263">
        <v>2455</v>
      </c>
      <c r="O263" t="s">
        <v>14298</v>
      </c>
      <c r="P263" t="s">
        <v>62</v>
      </c>
      <c r="Q263">
        <v>2452803</v>
      </c>
      <c r="R263">
        <v>2454206</v>
      </c>
      <c r="S263" t="s">
        <v>14299</v>
      </c>
      <c r="T263">
        <v>468</v>
      </c>
      <c r="U263" t="s">
        <v>1392</v>
      </c>
      <c r="V263">
        <v>43</v>
      </c>
      <c r="W263" t="str">
        <f>HYPERLINK("Gene2455-zp_tree_all.dnd", "Gene2455-tree")</f>
        <v>Gene2455-tree</v>
      </c>
      <c r="X263">
        <v>10</v>
      </c>
      <c r="Y263">
        <v>1</v>
      </c>
      <c r="Z263">
        <v>10</v>
      </c>
      <c r="AA263">
        <v>1</v>
      </c>
      <c r="AB263">
        <v>9.0910000000000005E-2</v>
      </c>
      <c r="AC263" t="s">
        <v>117</v>
      </c>
      <c r="AD263" t="s">
        <v>175</v>
      </c>
      <c r="AE263" t="s">
        <v>62</v>
      </c>
      <c r="AF263" t="s">
        <v>62</v>
      </c>
      <c r="AG263">
        <v>0</v>
      </c>
      <c r="AH263">
        <v>0</v>
      </c>
      <c r="AI263">
        <v>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8</v>
      </c>
      <c r="AV263">
        <v>6</v>
      </c>
      <c r="AW263">
        <v>44</v>
      </c>
      <c r="AX263">
        <v>1</v>
      </c>
      <c r="AY263">
        <v>9</v>
      </c>
      <c r="AZ263">
        <v>1</v>
      </c>
      <c r="BA263" t="s">
        <v>14300</v>
      </c>
      <c r="BB263" t="s">
        <v>14301</v>
      </c>
      <c r="BC263">
        <v>0.37</v>
      </c>
      <c r="BD263" t="s">
        <v>65</v>
      </c>
      <c r="BE263">
        <v>53</v>
      </c>
      <c r="BF263">
        <v>2</v>
      </c>
      <c r="BG263" t="s">
        <v>14302</v>
      </c>
      <c r="BH263" t="s">
        <v>14303</v>
      </c>
      <c r="BI263" t="s">
        <v>14304</v>
      </c>
      <c r="BJ263">
        <v>2.222E-2</v>
      </c>
      <c r="BK263">
        <v>1</v>
      </c>
      <c r="BL263" t="s">
        <v>69</v>
      </c>
      <c r="BM263">
        <v>-0.76200000000000001</v>
      </c>
      <c r="BN263">
        <v>-1.7789999999999999</v>
      </c>
    </row>
    <row r="264" spans="2:66">
      <c r="B264">
        <v>415</v>
      </c>
      <c r="C264">
        <v>14</v>
      </c>
      <c r="D264">
        <v>0</v>
      </c>
      <c r="E264">
        <v>6</v>
      </c>
      <c r="F264">
        <v>0</v>
      </c>
      <c r="J264">
        <v>0</v>
      </c>
      <c r="K264">
        <v>2</v>
      </c>
      <c r="L264">
        <v>0</v>
      </c>
      <c r="M264" t="s">
        <v>25022</v>
      </c>
      <c r="N264">
        <v>2456</v>
      </c>
      <c r="O264" t="s">
        <v>14305</v>
      </c>
      <c r="P264" t="s">
        <v>62</v>
      </c>
      <c r="Q264">
        <v>2454350</v>
      </c>
      <c r="R264">
        <v>2455774</v>
      </c>
      <c r="S264" t="s">
        <v>14306</v>
      </c>
      <c r="T264">
        <v>475</v>
      </c>
      <c r="U264" t="s">
        <v>108</v>
      </c>
      <c r="V264">
        <v>44</v>
      </c>
      <c r="W264" t="str">
        <f>HYPERLINK("Gene2456-zp_tree_all.dnd", "Gene2456-tree")</f>
        <v>Gene2456-tree</v>
      </c>
      <c r="X264">
        <v>13</v>
      </c>
      <c r="Y264">
        <v>2</v>
      </c>
      <c r="Z264">
        <v>13</v>
      </c>
      <c r="AA264">
        <v>2</v>
      </c>
      <c r="AB264">
        <v>0.13333</v>
      </c>
      <c r="AC264" t="s">
        <v>507</v>
      </c>
      <c r="AD264" t="s">
        <v>81</v>
      </c>
      <c r="AE264" t="s">
        <v>62</v>
      </c>
      <c r="AF264" t="s">
        <v>62</v>
      </c>
      <c r="AG264">
        <v>1</v>
      </c>
      <c r="AH264">
        <v>2</v>
      </c>
      <c r="AI264">
        <v>2</v>
      </c>
      <c r="AJ264">
        <v>0.5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0</v>
      </c>
      <c r="AU264">
        <v>14</v>
      </c>
      <c r="AV264">
        <v>12</v>
      </c>
      <c r="AW264">
        <v>43</v>
      </c>
      <c r="AX264">
        <v>2</v>
      </c>
      <c r="AY264">
        <v>38</v>
      </c>
      <c r="AZ264">
        <v>2</v>
      </c>
      <c r="BA264" t="s">
        <v>14307</v>
      </c>
      <c r="BB264" t="s">
        <v>14308</v>
      </c>
      <c r="BC264">
        <v>5.2999999999999999E-2</v>
      </c>
      <c r="BD264" t="s">
        <v>65</v>
      </c>
      <c r="BE264">
        <v>81</v>
      </c>
      <c r="BF264">
        <v>4</v>
      </c>
      <c r="BG264" t="s">
        <v>14309</v>
      </c>
      <c r="BH264" t="s">
        <v>14310</v>
      </c>
      <c r="BI264" t="s">
        <v>68</v>
      </c>
      <c r="BJ264">
        <v>1.3520000000000001E-2</v>
      </c>
      <c r="BK264">
        <v>1</v>
      </c>
      <c r="BL264" t="s">
        <v>69</v>
      </c>
      <c r="BM264">
        <v>0.20399999999999999</v>
      </c>
      <c r="BN264">
        <v>0.32400000000000001</v>
      </c>
    </row>
    <row r="265" spans="2:66">
      <c r="B265">
        <v>416</v>
      </c>
      <c r="C265">
        <v>221</v>
      </c>
      <c r="D265">
        <v>0</v>
      </c>
      <c r="E265">
        <v>5</v>
      </c>
      <c r="F265">
        <v>0</v>
      </c>
      <c r="J265">
        <v>0</v>
      </c>
      <c r="K265">
        <v>0</v>
      </c>
      <c r="L265">
        <v>0</v>
      </c>
      <c r="M265" t="s">
        <v>25022</v>
      </c>
      <c r="N265">
        <v>2457</v>
      </c>
      <c r="O265" t="s">
        <v>14311</v>
      </c>
      <c r="P265" t="s">
        <v>62</v>
      </c>
      <c r="Q265">
        <v>2455822</v>
      </c>
      <c r="R265">
        <v>2456808</v>
      </c>
      <c r="S265" t="s">
        <v>14312</v>
      </c>
      <c r="T265">
        <v>329</v>
      </c>
      <c r="U265" t="s">
        <v>59</v>
      </c>
      <c r="V265">
        <v>49</v>
      </c>
      <c r="W265" t="str">
        <f>HYPERLINK("Gene2457-zp_tree_all.dnd", "Gene2457-tree")</f>
        <v>Gene2457-tree</v>
      </c>
      <c r="X265">
        <v>13</v>
      </c>
      <c r="Y265">
        <v>5</v>
      </c>
      <c r="Z265">
        <v>13</v>
      </c>
      <c r="AA265">
        <v>5</v>
      </c>
      <c r="AB265">
        <v>0.27778000000000003</v>
      </c>
      <c r="AC265" t="s">
        <v>507</v>
      </c>
      <c r="AD265" t="s">
        <v>199</v>
      </c>
      <c r="AE265" t="s">
        <v>62</v>
      </c>
      <c r="AF265" t="s">
        <v>62</v>
      </c>
      <c r="AG265">
        <v>0</v>
      </c>
      <c r="AH265">
        <v>0</v>
      </c>
      <c r="AI265">
        <v>7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5</v>
      </c>
      <c r="AT265">
        <v>0</v>
      </c>
      <c r="AU265">
        <v>14</v>
      </c>
      <c r="AV265">
        <v>13</v>
      </c>
      <c r="AW265">
        <v>31</v>
      </c>
      <c r="AX265">
        <v>5</v>
      </c>
      <c r="AY265">
        <v>74</v>
      </c>
      <c r="AZ265">
        <v>2</v>
      </c>
      <c r="BA265" t="s">
        <v>14313</v>
      </c>
      <c r="BB265" t="s">
        <v>14314</v>
      </c>
      <c r="BC265">
        <v>0.86199999999999999</v>
      </c>
      <c r="BD265" t="s">
        <v>65</v>
      </c>
      <c r="BE265">
        <v>105</v>
      </c>
      <c r="BF265">
        <v>7</v>
      </c>
      <c r="BG265" t="s">
        <v>14315</v>
      </c>
      <c r="BH265" t="s">
        <v>14316</v>
      </c>
      <c r="BI265" t="s">
        <v>14317</v>
      </c>
      <c r="BJ265">
        <v>1.304E-2</v>
      </c>
      <c r="BK265">
        <v>1</v>
      </c>
      <c r="BL265" t="s">
        <v>69</v>
      </c>
      <c r="BM265">
        <v>-1.21</v>
      </c>
      <c r="BN265">
        <v>-0.45600000000000002</v>
      </c>
    </row>
    <row r="266" spans="2:66">
      <c r="B266">
        <v>417</v>
      </c>
      <c r="C266">
        <v>135</v>
      </c>
      <c r="D266">
        <v>0</v>
      </c>
      <c r="E266">
        <v>4</v>
      </c>
      <c r="F266">
        <v>0</v>
      </c>
      <c r="J266">
        <v>0</v>
      </c>
      <c r="K266">
        <v>10</v>
      </c>
      <c r="L266">
        <v>2</v>
      </c>
      <c r="M266" t="s">
        <v>25022</v>
      </c>
      <c r="N266">
        <v>2459</v>
      </c>
      <c r="O266" t="s">
        <v>14324</v>
      </c>
      <c r="P266" t="s">
        <v>62</v>
      </c>
      <c r="Q266">
        <v>2457352</v>
      </c>
      <c r="R266">
        <v>2458512</v>
      </c>
      <c r="S266" t="s">
        <v>14325</v>
      </c>
      <c r="T266">
        <v>387</v>
      </c>
      <c r="U266" t="s">
        <v>265</v>
      </c>
      <c r="V266">
        <v>43</v>
      </c>
      <c r="W266" t="str">
        <f>HYPERLINK("Gene2459-zp_tree_all.dnd", "Gene2459-tree")</f>
        <v>Gene2459-tree</v>
      </c>
      <c r="X266">
        <v>4</v>
      </c>
      <c r="Y266">
        <v>11</v>
      </c>
      <c r="Z266">
        <v>4</v>
      </c>
      <c r="AA266">
        <v>11</v>
      </c>
      <c r="AB266">
        <v>0.73333000000000004</v>
      </c>
      <c r="AC266" t="s">
        <v>61</v>
      </c>
      <c r="AD266" t="s">
        <v>73</v>
      </c>
      <c r="AE266">
        <v>200307210.301</v>
      </c>
      <c r="AF266" t="s">
        <v>267</v>
      </c>
      <c r="AG266">
        <v>5</v>
      </c>
      <c r="AH266">
        <v>12</v>
      </c>
      <c r="AI266">
        <v>16</v>
      </c>
      <c r="AJ266">
        <v>0.42857000000000001</v>
      </c>
      <c r="AK266">
        <v>0</v>
      </c>
      <c r="AL266">
        <v>0</v>
      </c>
      <c r="AM266">
        <v>0</v>
      </c>
      <c r="AN266">
        <v>2</v>
      </c>
      <c r="AO266">
        <v>0</v>
      </c>
      <c r="AP266">
        <v>4</v>
      </c>
      <c r="AQ266">
        <v>0</v>
      </c>
      <c r="AR266">
        <v>4</v>
      </c>
      <c r="AS266">
        <v>12</v>
      </c>
      <c r="AT266">
        <v>0.25</v>
      </c>
      <c r="AU266">
        <v>13</v>
      </c>
      <c r="AV266">
        <v>11</v>
      </c>
      <c r="AW266">
        <v>36</v>
      </c>
      <c r="AX266">
        <v>15</v>
      </c>
      <c r="AY266">
        <v>15</v>
      </c>
      <c r="AZ266">
        <v>14</v>
      </c>
      <c r="BA266" t="s">
        <v>14326</v>
      </c>
      <c r="BB266" t="s">
        <v>14327</v>
      </c>
      <c r="BC266">
        <v>1.357</v>
      </c>
      <c r="BD266" t="s">
        <v>65</v>
      </c>
      <c r="BE266">
        <v>51</v>
      </c>
      <c r="BF266">
        <v>29</v>
      </c>
      <c r="BG266" t="s">
        <v>14328</v>
      </c>
      <c r="BH266" t="s">
        <v>14329</v>
      </c>
      <c r="BI266" t="s">
        <v>14330</v>
      </c>
      <c r="BJ266">
        <v>0.20049</v>
      </c>
      <c r="BK266">
        <v>1</v>
      </c>
      <c r="BL266" t="s">
        <v>69</v>
      </c>
      <c r="BM266">
        <v>-1.006</v>
      </c>
      <c r="BN266">
        <v>-1.756</v>
      </c>
    </row>
    <row r="267" spans="2:66">
      <c r="B267">
        <v>419</v>
      </c>
      <c r="C267">
        <v>144</v>
      </c>
      <c r="D267">
        <v>0</v>
      </c>
      <c r="E267">
        <v>4</v>
      </c>
      <c r="F267">
        <v>0</v>
      </c>
      <c r="J267">
        <v>0</v>
      </c>
      <c r="K267">
        <v>0</v>
      </c>
      <c r="L267">
        <v>0</v>
      </c>
      <c r="M267" t="s">
        <v>25022</v>
      </c>
      <c r="N267">
        <v>2460</v>
      </c>
      <c r="O267" t="s">
        <v>14331</v>
      </c>
      <c r="P267" t="s">
        <v>62</v>
      </c>
      <c r="Q267">
        <v>2458512</v>
      </c>
      <c r="R267">
        <v>2459066</v>
      </c>
      <c r="S267" t="s">
        <v>14332</v>
      </c>
      <c r="T267">
        <v>185</v>
      </c>
      <c r="U267" t="s">
        <v>108</v>
      </c>
      <c r="V267">
        <v>44</v>
      </c>
      <c r="W267" t="str">
        <f>HYPERLINK("Gene2460-zp_tree_all.dnd", "Gene2460-tree")</f>
        <v>Gene2460-tree</v>
      </c>
      <c r="X267">
        <v>6</v>
      </c>
      <c r="Y267">
        <v>5</v>
      </c>
      <c r="Z267">
        <v>6</v>
      </c>
      <c r="AA267">
        <v>5</v>
      </c>
      <c r="AB267">
        <v>0.45455000000000001</v>
      </c>
      <c r="AC267" t="s">
        <v>90</v>
      </c>
      <c r="AD267" t="s">
        <v>199</v>
      </c>
      <c r="AE267" t="s">
        <v>62</v>
      </c>
      <c r="AF267" t="s">
        <v>62</v>
      </c>
      <c r="AG267">
        <v>0</v>
      </c>
      <c r="AH267">
        <v>0</v>
      </c>
      <c r="AI267">
        <v>6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6</v>
      </c>
      <c r="AT267">
        <v>0</v>
      </c>
      <c r="AU267">
        <v>11</v>
      </c>
      <c r="AV267">
        <v>4</v>
      </c>
      <c r="AW267">
        <v>13</v>
      </c>
      <c r="AX267">
        <v>6</v>
      </c>
      <c r="AY267">
        <v>6</v>
      </c>
      <c r="AZ267">
        <v>0</v>
      </c>
      <c r="BA267" t="s">
        <v>14333</v>
      </c>
      <c r="BB267" t="s">
        <v>193</v>
      </c>
      <c r="BC267">
        <v>1.706</v>
      </c>
      <c r="BD267" t="s">
        <v>65</v>
      </c>
      <c r="BE267">
        <v>19</v>
      </c>
      <c r="BF267">
        <v>6</v>
      </c>
      <c r="BG267" t="s">
        <v>14334</v>
      </c>
      <c r="BH267" t="s">
        <v>14335</v>
      </c>
      <c r="BI267" t="s">
        <v>14336</v>
      </c>
      <c r="BJ267">
        <v>9.1039999999999996E-2</v>
      </c>
      <c r="BK267">
        <v>1</v>
      </c>
      <c r="BL267" t="s">
        <v>69</v>
      </c>
      <c r="BM267">
        <v>-1.1020000000000001</v>
      </c>
      <c r="BN267">
        <v>-1.5269999999999999</v>
      </c>
    </row>
    <row r="268" spans="2:66">
      <c r="B268">
        <v>422</v>
      </c>
      <c r="C268">
        <v>28</v>
      </c>
      <c r="D268">
        <v>0</v>
      </c>
      <c r="E268">
        <v>6</v>
      </c>
      <c r="F268">
        <v>0</v>
      </c>
      <c r="J268">
        <v>0</v>
      </c>
      <c r="K268">
        <v>0</v>
      </c>
      <c r="L268">
        <v>0</v>
      </c>
      <c r="M268" t="s">
        <v>25022</v>
      </c>
      <c r="N268">
        <v>2463</v>
      </c>
      <c r="O268" t="s">
        <v>14349</v>
      </c>
      <c r="P268" t="s">
        <v>62</v>
      </c>
      <c r="Q268">
        <v>2460281</v>
      </c>
      <c r="R268">
        <v>2460502</v>
      </c>
      <c r="S268" t="s">
        <v>116</v>
      </c>
      <c r="T268">
        <v>74</v>
      </c>
      <c r="U268" t="s">
        <v>160</v>
      </c>
      <c r="V268">
        <v>45</v>
      </c>
      <c r="W268" t="str">
        <f>HYPERLINK("Gene2463-zp_tree_all.dnd", "Gene2463-tree")</f>
        <v>Gene2463-tree</v>
      </c>
      <c r="X268">
        <v>4</v>
      </c>
      <c r="Y268">
        <v>5</v>
      </c>
      <c r="Z268">
        <v>4</v>
      </c>
      <c r="AA268">
        <v>5</v>
      </c>
      <c r="AB268">
        <v>0.55556000000000005</v>
      </c>
      <c r="AC268" t="s">
        <v>61</v>
      </c>
      <c r="AD268" t="s">
        <v>199</v>
      </c>
      <c r="AE268" t="s">
        <v>62</v>
      </c>
      <c r="AF268" t="s">
        <v>62</v>
      </c>
      <c r="AG268">
        <v>0</v>
      </c>
      <c r="AH268">
        <v>0</v>
      </c>
      <c r="AI268">
        <v>5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4</v>
      </c>
      <c r="AT268">
        <v>0</v>
      </c>
      <c r="AU268">
        <v>5</v>
      </c>
      <c r="AV268">
        <v>4</v>
      </c>
      <c r="AW268">
        <v>9</v>
      </c>
      <c r="AX268">
        <v>3</v>
      </c>
      <c r="AY268">
        <v>2</v>
      </c>
      <c r="AZ268">
        <v>3</v>
      </c>
      <c r="BA268" t="s">
        <v>14350</v>
      </c>
      <c r="BB268" t="s">
        <v>14351</v>
      </c>
      <c r="BC268">
        <v>0.70299999999999996</v>
      </c>
      <c r="BD268" t="s">
        <v>65</v>
      </c>
      <c r="BE268">
        <v>11</v>
      </c>
      <c r="BF268">
        <v>6</v>
      </c>
      <c r="BG268" t="s">
        <v>14352</v>
      </c>
      <c r="BH268" t="s">
        <v>14353</v>
      </c>
      <c r="BI268" t="s">
        <v>14354</v>
      </c>
      <c r="BJ268">
        <v>0.12828000000000001</v>
      </c>
      <c r="BK268">
        <v>0.99</v>
      </c>
      <c r="BL268" t="s">
        <v>69</v>
      </c>
      <c r="BM268">
        <v>-0.44800000000000001</v>
      </c>
      <c r="BN268">
        <v>-2.2370000000000001</v>
      </c>
    </row>
    <row r="269" spans="2:66">
      <c r="B269">
        <v>423</v>
      </c>
      <c r="C269">
        <v>124</v>
      </c>
      <c r="D269">
        <v>0</v>
      </c>
      <c r="E269">
        <v>16</v>
      </c>
      <c r="F269">
        <v>0</v>
      </c>
      <c r="J269">
        <v>0</v>
      </c>
      <c r="K269">
        <v>0</v>
      </c>
      <c r="L269">
        <v>0</v>
      </c>
      <c r="M269" t="s">
        <v>25022</v>
      </c>
      <c r="N269">
        <v>2465</v>
      </c>
      <c r="O269" t="s">
        <v>14361</v>
      </c>
      <c r="P269" t="s">
        <v>62</v>
      </c>
      <c r="Q269">
        <v>2461624</v>
      </c>
      <c r="R269">
        <v>2461860</v>
      </c>
      <c r="S269" t="s">
        <v>116</v>
      </c>
      <c r="T269">
        <v>79</v>
      </c>
      <c r="U269" t="s">
        <v>59</v>
      </c>
      <c r="V269">
        <v>49</v>
      </c>
      <c r="W269" t="str">
        <f>HYPERLINK("Gene2465-zp_tree_all.dnd", "Gene2465-tree")</f>
        <v>Gene2465-tree</v>
      </c>
      <c r="X269">
        <v>7</v>
      </c>
      <c r="Y269">
        <v>1</v>
      </c>
      <c r="Z269">
        <v>7</v>
      </c>
      <c r="AA269">
        <v>1</v>
      </c>
      <c r="AB269">
        <v>0.125</v>
      </c>
      <c r="AC269" t="s">
        <v>152</v>
      </c>
      <c r="AD269" t="s">
        <v>175</v>
      </c>
      <c r="AE269" t="s">
        <v>62</v>
      </c>
      <c r="AF269" t="s">
        <v>62</v>
      </c>
      <c r="AG269">
        <v>0</v>
      </c>
      <c r="AH269">
        <v>0</v>
      </c>
      <c r="AI269">
        <v>2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5</v>
      </c>
      <c r="AV269">
        <v>3</v>
      </c>
      <c r="AW269">
        <v>10</v>
      </c>
      <c r="AX269">
        <v>1</v>
      </c>
      <c r="AY269">
        <v>8</v>
      </c>
      <c r="AZ269">
        <v>1</v>
      </c>
      <c r="BA269" t="s">
        <v>14362</v>
      </c>
      <c r="BB269" t="s">
        <v>14363</v>
      </c>
      <c r="BC269">
        <v>7.4999999999999997E-2</v>
      </c>
      <c r="BD269" t="s">
        <v>65</v>
      </c>
      <c r="BE269">
        <v>18</v>
      </c>
      <c r="BF269">
        <v>2</v>
      </c>
      <c r="BG269" t="s">
        <v>14364</v>
      </c>
      <c r="BH269" t="s">
        <v>14365</v>
      </c>
      <c r="BI269" t="s">
        <v>14366</v>
      </c>
      <c r="BJ269">
        <v>2.5409999999999999E-2</v>
      </c>
      <c r="BK269">
        <v>1</v>
      </c>
      <c r="BL269" t="s">
        <v>69</v>
      </c>
      <c r="BM269">
        <v>-0.76100000000000001</v>
      </c>
      <c r="BN269">
        <v>0.72499999999999998</v>
      </c>
    </row>
    <row r="270" spans="2:66">
      <c r="B270">
        <v>424</v>
      </c>
      <c r="C270">
        <v>617</v>
      </c>
      <c r="D270">
        <v>0</v>
      </c>
      <c r="E270">
        <v>19</v>
      </c>
      <c r="F270">
        <v>4</v>
      </c>
      <c r="J270">
        <v>0</v>
      </c>
      <c r="K270">
        <v>0</v>
      </c>
      <c r="L270">
        <v>0</v>
      </c>
      <c r="M270" t="s">
        <v>25022</v>
      </c>
      <c r="N270">
        <v>2466</v>
      </c>
      <c r="O270" t="s">
        <v>14367</v>
      </c>
      <c r="P270" t="s">
        <v>62</v>
      </c>
      <c r="Q270">
        <v>2461876</v>
      </c>
      <c r="R270">
        <v>2462196</v>
      </c>
      <c r="S270" t="s">
        <v>116</v>
      </c>
      <c r="T270">
        <v>107</v>
      </c>
      <c r="U270" t="s">
        <v>59</v>
      </c>
      <c r="V270">
        <v>49</v>
      </c>
      <c r="W270" t="str">
        <f>HYPERLINK("Gene2466-zp_tree_all.dnd", "Gene2466-tree")</f>
        <v>Gene2466-tree</v>
      </c>
      <c r="X270">
        <v>12</v>
      </c>
      <c r="Y270">
        <v>1</v>
      </c>
      <c r="Z270">
        <v>12</v>
      </c>
      <c r="AA270">
        <v>1</v>
      </c>
      <c r="AB270">
        <v>7.6920000000000002E-2</v>
      </c>
      <c r="AC270" t="s">
        <v>109</v>
      </c>
      <c r="AD270" t="s">
        <v>175</v>
      </c>
      <c r="AE270" t="s">
        <v>62</v>
      </c>
      <c r="AF270" t="s">
        <v>62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9</v>
      </c>
      <c r="AV270">
        <v>5</v>
      </c>
      <c r="AW270">
        <v>11</v>
      </c>
      <c r="AX270">
        <v>1</v>
      </c>
      <c r="AY270">
        <v>13</v>
      </c>
      <c r="AZ270">
        <v>0</v>
      </c>
      <c r="BA270" t="s">
        <v>14368</v>
      </c>
      <c r="BB270" t="s">
        <v>193</v>
      </c>
      <c r="BC270">
        <v>0.36899999999999999</v>
      </c>
      <c r="BD270" t="s">
        <v>65</v>
      </c>
      <c r="BE270">
        <v>24</v>
      </c>
      <c r="BF270">
        <v>1</v>
      </c>
      <c r="BG270" t="s">
        <v>14369</v>
      </c>
      <c r="BH270" t="s">
        <v>14370</v>
      </c>
      <c r="BI270" t="s">
        <v>14371</v>
      </c>
      <c r="BJ270">
        <v>6.4000000000000003E-3</v>
      </c>
      <c r="BK270">
        <v>1</v>
      </c>
      <c r="BL270" t="s">
        <v>69</v>
      </c>
      <c r="BM270">
        <v>-1.3140000000000001</v>
      </c>
      <c r="BN270">
        <v>-0.155</v>
      </c>
    </row>
    <row r="271" spans="2:66">
      <c r="B271">
        <v>425</v>
      </c>
      <c r="C271">
        <v>458</v>
      </c>
      <c r="D271">
        <v>0</v>
      </c>
      <c r="E271">
        <v>12</v>
      </c>
      <c r="F271">
        <v>2</v>
      </c>
      <c r="J271">
        <v>0</v>
      </c>
      <c r="K271">
        <v>28</v>
      </c>
      <c r="L271">
        <v>0</v>
      </c>
      <c r="M271" t="s">
        <v>25022</v>
      </c>
      <c r="N271">
        <v>2467</v>
      </c>
      <c r="O271" t="s">
        <v>14372</v>
      </c>
      <c r="P271" t="s">
        <v>62</v>
      </c>
      <c r="Q271">
        <v>2462196</v>
      </c>
      <c r="R271">
        <v>2463224</v>
      </c>
      <c r="S271" t="s">
        <v>116</v>
      </c>
      <c r="T271">
        <v>343</v>
      </c>
      <c r="U271" t="s">
        <v>108</v>
      </c>
      <c r="V271">
        <v>44</v>
      </c>
      <c r="W271" t="str">
        <f>HYPERLINK("Gene2467-zp_tree_all.dnd", "Gene2467-tree")</f>
        <v>Gene2467-tree</v>
      </c>
      <c r="X271">
        <v>1</v>
      </c>
      <c r="Y271">
        <v>13</v>
      </c>
      <c r="Z271">
        <v>1</v>
      </c>
      <c r="AA271">
        <v>13</v>
      </c>
      <c r="AB271">
        <v>0.92857000000000001</v>
      </c>
      <c r="AC271" t="s">
        <v>175</v>
      </c>
      <c r="AD271" t="s">
        <v>507</v>
      </c>
      <c r="AE271" t="s">
        <v>62</v>
      </c>
      <c r="AF271" t="s">
        <v>62</v>
      </c>
      <c r="AG271">
        <v>10</v>
      </c>
      <c r="AH271">
        <v>28</v>
      </c>
      <c r="AI271">
        <v>13</v>
      </c>
      <c r="AJ271">
        <v>0.68293000000000004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20</v>
      </c>
      <c r="AQ271">
        <v>1</v>
      </c>
      <c r="AR271">
        <v>21</v>
      </c>
      <c r="AS271">
        <v>10</v>
      </c>
      <c r="AT271">
        <v>0.67742000000000002</v>
      </c>
      <c r="AU271">
        <v>14</v>
      </c>
      <c r="AV271">
        <v>9</v>
      </c>
      <c r="AW271">
        <v>28</v>
      </c>
      <c r="AX271">
        <v>31</v>
      </c>
      <c r="AY271">
        <v>13</v>
      </c>
      <c r="AZ271">
        <v>10</v>
      </c>
      <c r="BA271" t="s">
        <v>14373</v>
      </c>
      <c r="BB271" t="s">
        <v>14374</v>
      </c>
      <c r="BC271">
        <v>0.40100000000000002</v>
      </c>
      <c r="BD271" t="s">
        <v>65</v>
      </c>
      <c r="BE271">
        <v>41</v>
      </c>
      <c r="BF271">
        <v>41</v>
      </c>
      <c r="BG271" t="s">
        <v>14375</v>
      </c>
      <c r="BH271" t="s">
        <v>14376</v>
      </c>
      <c r="BI271" t="s">
        <v>14377</v>
      </c>
      <c r="BJ271">
        <v>0.23497999999999999</v>
      </c>
      <c r="BK271">
        <v>1</v>
      </c>
      <c r="BL271" t="s">
        <v>69</v>
      </c>
      <c r="BM271">
        <v>-0.13200000000000001</v>
      </c>
      <c r="BN271">
        <v>-0.36899999999999999</v>
      </c>
    </row>
    <row r="272" spans="2:66">
      <c r="B272">
        <v>426</v>
      </c>
      <c r="C272">
        <v>162</v>
      </c>
      <c r="D272">
        <v>0</v>
      </c>
      <c r="E272">
        <v>6</v>
      </c>
      <c r="F272">
        <v>1</v>
      </c>
      <c r="J272">
        <v>0</v>
      </c>
      <c r="K272">
        <v>0</v>
      </c>
      <c r="L272">
        <v>0</v>
      </c>
      <c r="M272" t="s">
        <v>25022</v>
      </c>
      <c r="N272">
        <v>2468</v>
      </c>
      <c r="O272" t="s">
        <v>14378</v>
      </c>
      <c r="P272" t="s">
        <v>62</v>
      </c>
      <c r="Q272">
        <v>2463220</v>
      </c>
      <c r="R272">
        <v>2463561</v>
      </c>
      <c r="S272" t="s">
        <v>14379</v>
      </c>
      <c r="T272">
        <v>114</v>
      </c>
      <c r="U272" t="s">
        <v>14380</v>
      </c>
      <c r="V272">
        <v>41</v>
      </c>
      <c r="W272" t="str">
        <f>HYPERLINK("Gene2468-zp_tree_all.dnd", "Gene2468-tree")</f>
        <v>Gene2468-tree</v>
      </c>
      <c r="X272">
        <v>5</v>
      </c>
      <c r="Y272">
        <v>4</v>
      </c>
      <c r="Z272">
        <v>5</v>
      </c>
      <c r="AA272">
        <v>4</v>
      </c>
      <c r="AB272">
        <v>0.44444</v>
      </c>
      <c r="AC272" t="s">
        <v>199</v>
      </c>
      <c r="AD272" t="s">
        <v>61</v>
      </c>
      <c r="AE272" t="s">
        <v>62</v>
      </c>
      <c r="AF272" t="s">
        <v>62</v>
      </c>
      <c r="AG272">
        <v>0</v>
      </c>
      <c r="AH272">
        <v>0</v>
      </c>
      <c r="AI272">
        <v>8</v>
      </c>
      <c r="AJ272">
        <v>0</v>
      </c>
      <c r="AK272">
        <v>0</v>
      </c>
      <c r="AL272">
        <v>0</v>
      </c>
      <c r="AM272">
        <v>0</v>
      </c>
      <c r="AN272">
        <v>3</v>
      </c>
      <c r="AO272">
        <v>0</v>
      </c>
      <c r="AP272">
        <v>0</v>
      </c>
      <c r="AQ272">
        <v>0</v>
      </c>
      <c r="AR272">
        <v>0</v>
      </c>
      <c r="AS272">
        <v>4</v>
      </c>
      <c r="AT272">
        <v>0</v>
      </c>
      <c r="AU272">
        <v>5</v>
      </c>
      <c r="AV272">
        <v>5</v>
      </c>
      <c r="AW272">
        <v>3</v>
      </c>
      <c r="AX272">
        <v>4</v>
      </c>
      <c r="AY272">
        <v>2</v>
      </c>
      <c r="AZ272">
        <v>4</v>
      </c>
      <c r="BA272" t="s">
        <v>14381</v>
      </c>
      <c r="BB272" t="s">
        <v>14382</v>
      </c>
      <c r="BC272">
        <v>0.30499999999999999</v>
      </c>
      <c r="BD272" t="s">
        <v>65</v>
      </c>
      <c r="BE272">
        <v>5</v>
      </c>
      <c r="BF272">
        <v>8</v>
      </c>
      <c r="BG272" t="s">
        <v>14383</v>
      </c>
      <c r="BH272" t="s">
        <v>14384</v>
      </c>
      <c r="BI272" t="s">
        <v>14385</v>
      </c>
      <c r="BJ272">
        <v>0.70604</v>
      </c>
      <c r="BK272">
        <v>0.59299999999999997</v>
      </c>
      <c r="BL272" t="s">
        <v>635</v>
      </c>
      <c r="BM272">
        <v>0.55600000000000005</v>
      </c>
      <c r="BN272">
        <v>0.34699999999999998</v>
      </c>
    </row>
    <row r="273" spans="2:66">
      <c r="B273">
        <v>427</v>
      </c>
      <c r="C273">
        <v>139</v>
      </c>
      <c r="D273">
        <v>0</v>
      </c>
      <c r="E273">
        <v>2</v>
      </c>
      <c r="F273">
        <v>0</v>
      </c>
      <c r="J273">
        <v>0</v>
      </c>
      <c r="K273">
        <v>7</v>
      </c>
      <c r="L273">
        <v>0</v>
      </c>
      <c r="M273" t="s">
        <v>25022</v>
      </c>
      <c r="N273">
        <v>2469</v>
      </c>
      <c r="O273" t="s">
        <v>14386</v>
      </c>
      <c r="P273" t="s">
        <v>62</v>
      </c>
      <c r="Q273">
        <v>2463574</v>
      </c>
      <c r="R273">
        <v>2464041</v>
      </c>
      <c r="S273" t="s">
        <v>3718</v>
      </c>
      <c r="T273">
        <v>156</v>
      </c>
      <c r="U273" t="s">
        <v>13085</v>
      </c>
      <c r="V273">
        <v>46</v>
      </c>
      <c r="W273" t="str">
        <f>HYPERLINK("Gene2469-zp_tree_all.dnd", "Gene2469-tree")</f>
        <v>Gene2469-tree</v>
      </c>
      <c r="X273">
        <v>5</v>
      </c>
      <c r="Y273">
        <v>10</v>
      </c>
      <c r="Z273">
        <v>5</v>
      </c>
      <c r="AA273">
        <v>10</v>
      </c>
      <c r="AB273">
        <v>0.66666999999999998</v>
      </c>
      <c r="AC273" t="s">
        <v>199</v>
      </c>
      <c r="AD273" t="s">
        <v>117</v>
      </c>
      <c r="AE273" t="s">
        <v>62</v>
      </c>
      <c r="AF273" t="s">
        <v>62</v>
      </c>
      <c r="AG273">
        <v>3</v>
      </c>
      <c r="AH273">
        <v>7</v>
      </c>
      <c r="AI273">
        <v>8</v>
      </c>
      <c r="AJ273">
        <v>0.46666999999999997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6</v>
      </c>
      <c r="AQ273">
        <v>0</v>
      </c>
      <c r="AR273">
        <v>6</v>
      </c>
      <c r="AS273">
        <v>6</v>
      </c>
      <c r="AT273">
        <v>0.5</v>
      </c>
      <c r="AU273">
        <v>12</v>
      </c>
      <c r="AV273">
        <v>8</v>
      </c>
      <c r="AW273">
        <v>14</v>
      </c>
      <c r="AX273">
        <v>12</v>
      </c>
      <c r="AY273">
        <v>20</v>
      </c>
      <c r="AZ273">
        <v>3</v>
      </c>
      <c r="BA273" t="s">
        <v>14387</v>
      </c>
      <c r="BB273" t="s">
        <v>14388</v>
      </c>
      <c r="BC273">
        <v>0.98499999999999999</v>
      </c>
      <c r="BD273" t="s">
        <v>65</v>
      </c>
      <c r="BE273">
        <v>34</v>
      </c>
      <c r="BF273">
        <v>15</v>
      </c>
      <c r="BG273" t="s">
        <v>14389</v>
      </c>
      <c r="BH273" t="s">
        <v>14390</v>
      </c>
      <c r="BI273" t="s">
        <v>14391</v>
      </c>
      <c r="BJ273">
        <v>8.1170000000000006E-2</v>
      </c>
      <c r="BK273">
        <v>1</v>
      </c>
      <c r="BL273" t="s">
        <v>69</v>
      </c>
      <c r="BM273">
        <v>-0.83799999999999997</v>
      </c>
      <c r="BN273">
        <v>-1.861</v>
      </c>
    </row>
    <row r="274" spans="2:66">
      <c r="B274">
        <v>429</v>
      </c>
      <c r="C274">
        <v>148</v>
      </c>
      <c r="D274">
        <v>0</v>
      </c>
      <c r="E274">
        <v>9</v>
      </c>
      <c r="F274">
        <v>2</v>
      </c>
      <c r="J274">
        <v>0</v>
      </c>
      <c r="K274">
        <v>6</v>
      </c>
      <c r="L274">
        <v>2</v>
      </c>
      <c r="M274" t="s">
        <v>25022</v>
      </c>
      <c r="N274">
        <v>2470</v>
      </c>
      <c r="O274" t="s">
        <v>14392</v>
      </c>
      <c r="P274" t="s">
        <v>62</v>
      </c>
      <c r="Q274">
        <v>2464230</v>
      </c>
      <c r="R274">
        <v>2464565</v>
      </c>
      <c r="S274" t="s">
        <v>116</v>
      </c>
      <c r="T274">
        <v>112</v>
      </c>
      <c r="U274" t="s">
        <v>160</v>
      </c>
      <c r="V274">
        <v>45</v>
      </c>
      <c r="W274" t="str">
        <f>HYPERLINK("Gene2470-zp_tree_all.dnd", "Gene2470-tree")</f>
        <v>Gene2470-tree</v>
      </c>
      <c r="X274">
        <v>5</v>
      </c>
      <c r="Y274">
        <v>7</v>
      </c>
      <c r="Z274">
        <v>5</v>
      </c>
      <c r="AA274">
        <v>7</v>
      </c>
      <c r="AB274">
        <v>0.58333000000000002</v>
      </c>
      <c r="AC274" t="s">
        <v>199</v>
      </c>
      <c r="AD274" t="s">
        <v>152</v>
      </c>
      <c r="AE274" t="s">
        <v>62</v>
      </c>
      <c r="AF274" t="s">
        <v>62</v>
      </c>
      <c r="AG274">
        <v>4</v>
      </c>
      <c r="AH274">
        <v>8</v>
      </c>
      <c r="AI274">
        <v>7</v>
      </c>
      <c r="AJ274">
        <v>0.53332999999999997</v>
      </c>
      <c r="AK274">
        <v>0</v>
      </c>
      <c r="AL274">
        <v>0</v>
      </c>
      <c r="AM274">
        <v>0</v>
      </c>
      <c r="AN274">
        <v>2</v>
      </c>
      <c r="AO274">
        <v>0</v>
      </c>
      <c r="AP274">
        <v>4</v>
      </c>
      <c r="AQ274">
        <v>2</v>
      </c>
      <c r="AR274">
        <v>6</v>
      </c>
      <c r="AS274">
        <v>6</v>
      </c>
      <c r="AT274">
        <v>0.5</v>
      </c>
      <c r="AU274">
        <v>10</v>
      </c>
      <c r="AV274">
        <v>9</v>
      </c>
      <c r="AW274">
        <v>17</v>
      </c>
      <c r="AX274">
        <v>11</v>
      </c>
      <c r="AY274">
        <v>12</v>
      </c>
      <c r="AZ274">
        <v>4</v>
      </c>
      <c r="BA274" t="s">
        <v>14393</v>
      </c>
      <c r="BB274" t="s">
        <v>14394</v>
      </c>
      <c r="BC274">
        <v>0.308</v>
      </c>
      <c r="BD274" t="s">
        <v>65</v>
      </c>
      <c r="BE274">
        <v>29</v>
      </c>
      <c r="BF274">
        <v>15</v>
      </c>
      <c r="BG274" t="s">
        <v>14395</v>
      </c>
      <c r="BH274" t="s">
        <v>14396</v>
      </c>
      <c r="BI274" t="s">
        <v>14397</v>
      </c>
      <c r="BJ274">
        <v>0.10149</v>
      </c>
      <c r="BK274">
        <v>1</v>
      </c>
      <c r="BL274" t="s">
        <v>69</v>
      </c>
      <c r="BM274">
        <v>-0.96399999999999997</v>
      </c>
      <c r="BN274">
        <v>-1.349</v>
      </c>
    </row>
    <row r="275" spans="2:66">
      <c r="B275">
        <v>430</v>
      </c>
      <c r="C275">
        <v>83</v>
      </c>
      <c r="D275">
        <v>0</v>
      </c>
      <c r="E275">
        <v>0</v>
      </c>
      <c r="F275">
        <v>2</v>
      </c>
      <c r="J275">
        <v>0</v>
      </c>
      <c r="K275">
        <v>5</v>
      </c>
      <c r="L275">
        <v>0</v>
      </c>
      <c r="M275" t="s">
        <v>25022</v>
      </c>
      <c r="N275">
        <v>2471</v>
      </c>
      <c r="O275" t="s">
        <v>14398</v>
      </c>
      <c r="P275" t="s">
        <v>62</v>
      </c>
      <c r="Q275">
        <v>2464565</v>
      </c>
      <c r="R275">
        <v>2465800</v>
      </c>
      <c r="S275" t="s">
        <v>14399</v>
      </c>
      <c r="T275">
        <v>412</v>
      </c>
      <c r="U275" t="s">
        <v>14400</v>
      </c>
      <c r="V275">
        <v>45</v>
      </c>
      <c r="W275" t="str">
        <f>HYPERLINK("Gene2471-zp_tree_all.dnd", "Gene2471-tree")</f>
        <v>Gene2471-tree</v>
      </c>
      <c r="X275">
        <v>10</v>
      </c>
      <c r="Y275">
        <v>5</v>
      </c>
      <c r="Z275">
        <v>10</v>
      </c>
      <c r="AA275">
        <v>5</v>
      </c>
      <c r="AB275">
        <v>0.33333000000000002</v>
      </c>
      <c r="AC275" t="s">
        <v>117</v>
      </c>
      <c r="AD275" t="s">
        <v>199</v>
      </c>
      <c r="AE275" t="s">
        <v>62</v>
      </c>
      <c r="AF275" t="s">
        <v>62</v>
      </c>
      <c r="AG275">
        <v>2</v>
      </c>
      <c r="AH275">
        <v>5</v>
      </c>
      <c r="AI275">
        <v>12</v>
      </c>
      <c r="AJ275">
        <v>0.29411999999999999</v>
      </c>
      <c r="AK275">
        <v>0</v>
      </c>
      <c r="AL275">
        <v>0</v>
      </c>
      <c r="AM275">
        <v>0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6</v>
      </c>
      <c r="AT275">
        <v>0</v>
      </c>
      <c r="AU275">
        <v>14</v>
      </c>
      <c r="AV275">
        <v>12</v>
      </c>
      <c r="AW275">
        <v>38</v>
      </c>
      <c r="AX275">
        <v>6</v>
      </c>
      <c r="AY275">
        <v>73</v>
      </c>
      <c r="AZ275">
        <v>12</v>
      </c>
      <c r="BA275" t="s">
        <v>14401</v>
      </c>
      <c r="BB275" t="s">
        <v>14402</v>
      </c>
      <c r="BC275">
        <v>4.0000000000000001E-3</v>
      </c>
      <c r="BD275" t="s">
        <v>65</v>
      </c>
      <c r="BE275">
        <v>111</v>
      </c>
      <c r="BF275">
        <v>18</v>
      </c>
      <c r="BG275" t="s">
        <v>14403</v>
      </c>
      <c r="BH275" t="s">
        <v>14404</v>
      </c>
      <c r="BI275" t="s">
        <v>14405</v>
      </c>
      <c r="BJ275">
        <v>4.7030000000000002E-2</v>
      </c>
      <c r="BK275">
        <v>1</v>
      </c>
      <c r="BL275" t="s">
        <v>69</v>
      </c>
      <c r="BM275">
        <v>-0.996</v>
      </c>
      <c r="BN275">
        <v>5.0000000000000001E-3</v>
      </c>
    </row>
    <row r="276" spans="2:66">
      <c r="B276">
        <v>431</v>
      </c>
      <c r="C276">
        <v>231</v>
      </c>
      <c r="D276">
        <v>0</v>
      </c>
      <c r="E276">
        <v>6</v>
      </c>
      <c r="F276">
        <v>1</v>
      </c>
      <c r="J276">
        <v>0</v>
      </c>
      <c r="K276">
        <v>2</v>
      </c>
      <c r="L276">
        <v>0</v>
      </c>
      <c r="M276" t="s">
        <v>25022</v>
      </c>
      <c r="N276">
        <v>2475</v>
      </c>
      <c r="O276" t="s">
        <v>14424</v>
      </c>
      <c r="P276" t="s">
        <v>62</v>
      </c>
      <c r="Q276">
        <v>2468162</v>
      </c>
      <c r="R276">
        <v>2468545</v>
      </c>
      <c r="S276" t="s">
        <v>14425</v>
      </c>
      <c r="T276">
        <v>128</v>
      </c>
      <c r="U276" t="s">
        <v>108</v>
      </c>
      <c r="V276">
        <v>44</v>
      </c>
      <c r="W276" t="str">
        <f>HYPERLINK("Gene2475-zp_tree_all.dnd", "Gene2475-tree")</f>
        <v>Gene2475-tree</v>
      </c>
      <c r="X276">
        <v>5</v>
      </c>
      <c r="Y276">
        <v>6</v>
      </c>
      <c r="Z276">
        <v>5</v>
      </c>
      <c r="AA276">
        <v>6</v>
      </c>
      <c r="AB276">
        <v>0.54544999999999999</v>
      </c>
      <c r="AC276" t="s">
        <v>199</v>
      </c>
      <c r="AD276" t="s">
        <v>90</v>
      </c>
      <c r="AE276" t="s">
        <v>62</v>
      </c>
      <c r="AF276" t="s">
        <v>62</v>
      </c>
      <c r="AG276">
        <v>1</v>
      </c>
      <c r="AH276">
        <v>2</v>
      </c>
      <c r="AI276">
        <v>7</v>
      </c>
      <c r="AJ276">
        <v>0.22222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6</v>
      </c>
      <c r="AT276">
        <v>0</v>
      </c>
      <c r="AU276">
        <v>10</v>
      </c>
      <c r="AV276">
        <v>6</v>
      </c>
      <c r="AW276">
        <v>11</v>
      </c>
      <c r="AX276">
        <v>7</v>
      </c>
      <c r="AY276">
        <v>5</v>
      </c>
      <c r="AZ276">
        <v>3</v>
      </c>
      <c r="BA276" t="s">
        <v>14426</v>
      </c>
      <c r="BB276" t="s">
        <v>14427</v>
      </c>
      <c r="BC276">
        <v>4.1000000000000002E-2</v>
      </c>
      <c r="BD276" t="s">
        <v>65</v>
      </c>
      <c r="BE276">
        <v>16</v>
      </c>
      <c r="BF276">
        <v>10</v>
      </c>
      <c r="BG276" t="s">
        <v>14428</v>
      </c>
      <c r="BH276" t="s">
        <v>14429</v>
      </c>
      <c r="BI276" t="s">
        <v>14430</v>
      </c>
      <c r="BJ276">
        <v>0.19600000000000001</v>
      </c>
      <c r="BK276">
        <v>1</v>
      </c>
      <c r="BL276" t="s">
        <v>69</v>
      </c>
      <c r="BM276">
        <v>-7.6999999999999999E-2</v>
      </c>
      <c r="BN276">
        <v>-1.3069999999999999</v>
      </c>
    </row>
    <row r="277" spans="2:66">
      <c r="B277">
        <v>432</v>
      </c>
      <c r="C277">
        <v>3</v>
      </c>
      <c r="D277">
        <v>0</v>
      </c>
      <c r="E277">
        <v>2</v>
      </c>
      <c r="F277">
        <v>0</v>
      </c>
      <c r="J277">
        <v>0</v>
      </c>
      <c r="K277">
        <v>0</v>
      </c>
      <c r="L277">
        <v>0</v>
      </c>
      <c r="M277" t="s">
        <v>25022</v>
      </c>
      <c r="N277">
        <v>2476</v>
      </c>
      <c r="O277" t="s">
        <v>14431</v>
      </c>
      <c r="P277" t="s">
        <v>62</v>
      </c>
      <c r="Q277">
        <v>2468552</v>
      </c>
      <c r="R277">
        <v>2469508</v>
      </c>
      <c r="S277" t="s">
        <v>14432</v>
      </c>
      <c r="T277">
        <v>319</v>
      </c>
      <c r="U277" t="s">
        <v>14433</v>
      </c>
      <c r="V277">
        <v>43</v>
      </c>
      <c r="W277" t="str">
        <f>HYPERLINK("Gene2476-zp_tree_all.dnd", "Gene2476-tree")</f>
        <v>Gene2476-tree</v>
      </c>
      <c r="X277">
        <v>11</v>
      </c>
      <c r="Y277">
        <v>2</v>
      </c>
      <c r="Z277">
        <v>11</v>
      </c>
      <c r="AA277">
        <v>2</v>
      </c>
      <c r="AB277">
        <v>0.15384999999999999</v>
      </c>
      <c r="AC277" t="s">
        <v>73</v>
      </c>
      <c r="AD277" t="s">
        <v>81</v>
      </c>
      <c r="AE277" t="s">
        <v>62</v>
      </c>
      <c r="AF277" t="s">
        <v>62</v>
      </c>
      <c r="AG277">
        <v>0</v>
      </c>
      <c r="AH277">
        <v>0</v>
      </c>
      <c r="AI277">
        <v>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0</v>
      </c>
      <c r="AU277">
        <v>11</v>
      </c>
      <c r="AV277">
        <v>6</v>
      </c>
      <c r="AW277">
        <v>24</v>
      </c>
      <c r="AX277">
        <v>2</v>
      </c>
      <c r="AY277">
        <v>12</v>
      </c>
      <c r="AZ277">
        <v>1</v>
      </c>
      <c r="BA277" t="s">
        <v>14434</v>
      </c>
      <c r="BB277" t="s">
        <v>14435</v>
      </c>
      <c r="BC277">
        <v>1E-3</v>
      </c>
      <c r="BD277" t="s">
        <v>65</v>
      </c>
      <c r="BE277">
        <v>36</v>
      </c>
      <c r="BF277">
        <v>3</v>
      </c>
      <c r="BG277" t="s">
        <v>14436</v>
      </c>
      <c r="BH277" t="s">
        <v>14437</v>
      </c>
      <c r="BI277" t="s">
        <v>14438</v>
      </c>
      <c r="BJ277">
        <v>3.3640000000000003E-2</v>
      </c>
      <c r="BK277">
        <v>1</v>
      </c>
      <c r="BL277" t="s">
        <v>69</v>
      </c>
      <c r="BM277">
        <v>-0.13800000000000001</v>
      </c>
      <c r="BN277">
        <v>-0.61499999999999999</v>
      </c>
    </row>
    <row r="278" spans="2:66">
      <c r="B278">
        <v>434</v>
      </c>
      <c r="C278">
        <v>501</v>
      </c>
      <c r="D278">
        <v>0</v>
      </c>
      <c r="E278">
        <v>6</v>
      </c>
      <c r="F278">
        <v>0</v>
      </c>
      <c r="J278">
        <v>0</v>
      </c>
      <c r="K278">
        <v>25</v>
      </c>
      <c r="L278">
        <v>0</v>
      </c>
      <c r="M278" t="s">
        <v>25022</v>
      </c>
      <c r="N278">
        <v>2477</v>
      </c>
      <c r="O278" t="s">
        <v>14439</v>
      </c>
      <c r="P278" t="s">
        <v>62</v>
      </c>
      <c r="Q278">
        <v>2469583</v>
      </c>
      <c r="R278">
        <v>2470926</v>
      </c>
      <c r="S278" t="s">
        <v>14440</v>
      </c>
      <c r="T278">
        <v>448</v>
      </c>
      <c r="U278" t="s">
        <v>108</v>
      </c>
      <c r="V278">
        <v>44</v>
      </c>
      <c r="W278" t="str">
        <f>HYPERLINK("Gene2477-zp_tree_all.dnd", "Gene2477-tree")</f>
        <v>Gene2477-tree</v>
      </c>
      <c r="X278">
        <v>3</v>
      </c>
      <c r="Y278">
        <v>12</v>
      </c>
      <c r="Z278">
        <v>3</v>
      </c>
      <c r="AA278">
        <v>12</v>
      </c>
      <c r="AB278">
        <v>0.8</v>
      </c>
      <c r="AC278" t="s">
        <v>324</v>
      </c>
      <c r="AD278" t="s">
        <v>109</v>
      </c>
      <c r="AE278" t="s">
        <v>62</v>
      </c>
      <c r="AF278" t="s">
        <v>62</v>
      </c>
      <c r="AG278">
        <v>9</v>
      </c>
      <c r="AH278">
        <v>25</v>
      </c>
      <c r="AI278">
        <v>24</v>
      </c>
      <c r="AJ278">
        <v>0.51019999999999999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5</v>
      </c>
      <c r="AQ278">
        <v>0</v>
      </c>
      <c r="AR278">
        <v>5</v>
      </c>
      <c r="AS278">
        <v>26</v>
      </c>
      <c r="AT278">
        <v>0.16128999999999999</v>
      </c>
      <c r="AU278">
        <v>15</v>
      </c>
      <c r="AV278">
        <v>11</v>
      </c>
      <c r="AW278">
        <v>55</v>
      </c>
      <c r="AX278">
        <v>32</v>
      </c>
      <c r="AY278">
        <v>31</v>
      </c>
      <c r="AZ278">
        <v>18</v>
      </c>
      <c r="BA278" t="s">
        <v>14441</v>
      </c>
      <c r="BB278" t="s">
        <v>14442</v>
      </c>
      <c r="BC278">
        <v>1.7000000000000001E-2</v>
      </c>
      <c r="BD278" t="s">
        <v>65</v>
      </c>
      <c r="BE278">
        <v>86</v>
      </c>
      <c r="BF278">
        <v>50</v>
      </c>
      <c r="BG278" t="s">
        <v>14443</v>
      </c>
      <c r="BH278" t="s">
        <v>14444</v>
      </c>
      <c r="BI278" t="s">
        <v>14445</v>
      </c>
      <c r="BJ278">
        <v>0.16932</v>
      </c>
      <c r="BK278">
        <v>1</v>
      </c>
      <c r="BL278" t="s">
        <v>69</v>
      </c>
      <c r="BM278">
        <v>-0.84299999999999997</v>
      </c>
      <c r="BN278">
        <v>-1.7929999999999999</v>
      </c>
    </row>
    <row r="279" spans="2:66">
      <c r="B279">
        <v>435</v>
      </c>
      <c r="C279">
        <v>245</v>
      </c>
      <c r="D279">
        <v>0</v>
      </c>
      <c r="E279">
        <v>8</v>
      </c>
      <c r="F279">
        <v>1</v>
      </c>
      <c r="J279">
        <v>0</v>
      </c>
      <c r="K279">
        <v>6</v>
      </c>
      <c r="L279">
        <v>0</v>
      </c>
      <c r="M279" t="s">
        <v>25022</v>
      </c>
      <c r="N279">
        <v>2478</v>
      </c>
      <c r="O279" t="s">
        <v>14446</v>
      </c>
      <c r="P279" t="s">
        <v>62</v>
      </c>
      <c r="Q279">
        <v>2471005</v>
      </c>
      <c r="R279">
        <v>2471781</v>
      </c>
      <c r="S279" t="s">
        <v>14447</v>
      </c>
      <c r="T279">
        <v>259</v>
      </c>
      <c r="U279" t="s">
        <v>108</v>
      </c>
      <c r="V279">
        <v>44</v>
      </c>
      <c r="W279" t="str">
        <f>HYPERLINK("Gene2478-zp_tree_all.dnd", "Gene2478-tree")</f>
        <v>Gene2478-tree</v>
      </c>
      <c r="X279">
        <v>8</v>
      </c>
      <c r="Y279">
        <v>6</v>
      </c>
      <c r="Z279">
        <v>8</v>
      </c>
      <c r="AA279">
        <v>6</v>
      </c>
      <c r="AB279">
        <v>0.42857000000000001</v>
      </c>
      <c r="AC279" t="s">
        <v>136</v>
      </c>
      <c r="AD279" t="s">
        <v>90</v>
      </c>
      <c r="AE279" t="s">
        <v>62</v>
      </c>
      <c r="AF279" t="s">
        <v>62</v>
      </c>
      <c r="AG279">
        <v>3</v>
      </c>
      <c r="AH279">
        <v>6</v>
      </c>
      <c r="AI279">
        <v>5</v>
      </c>
      <c r="AJ279">
        <v>0.54544999999999999</v>
      </c>
      <c r="AK279">
        <v>0</v>
      </c>
      <c r="AL279">
        <v>0</v>
      </c>
      <c r="AM279">
        <v>0</v>
      </c>
      <c r="AN279">
        <v>2</v>
      </c>
      <c r="AO279">
        <v>0</v>
      </c>
      <c r="AP279">
        <v>4</v>
      </c>
      <c r="AQ279">
        <v>0</v>
      </c>
      <c r="AR279">
        <v>4</v>
      </c>
      <c r="AS279">
        <v>4</v>
      </c>
      <c r="AT279">
        <v>0.5</v>
      </c>
      <c r="AU279">
        <v>12</v>
      </c>
      <c r="AV279">
        <v>8</v>
      </c>
      <c r="AW279">
        <v>27</v>
      </c>
      <c r="AX279">
        <v>9</v>
      </c>
      <c r="AY279">
        <v>11</v>
      </c>
      <c r="AZ279">
        <v>3</v>
      </c>
      <c r="BA279" t="s">
        <v>14448</v>
      </c>
      <c r="BB279" t="s">
        <v>14449</v>
      </c>
      <c r="BC279">
        <v>0.22600000000000001</v>
      </c>
      <c r="BD279" t="s">
        <v>65</v>
      </c>
      <c r="BE279">
        <v>38</v>
      </c>
      <c r="BF279">
        <v>12</v>
      </c>
      <c r="BG279" t="s">
        <v>14450</v>
      </c>
      <c r="BH279" t="s">
        <v>14451</v>
      </c>
      <c r="BI279" t="s">
        <v>14452</v>
      </c>
      <c r="BJ279">
        <v>0.10036</v>
      </c>
      <c r="BK279">
        <v>1</v>
      </c>
      <c r="BL279" t="s">
        <v>69</v>
      </c>
      <c r="BM279">
        <v>-0.42</v>
      </c>
      <c r="BN279">
        <v>-0.55600000000000005</v>
      </c>
    </row>
    <row r="280" spans="2:66">
      <c r="B280">
        <v>436</v>
      </c>
      <c r="C280">
        <v>45</v>
      </c>
      <c r="D280">
        <v>0</v>
      </c>
      <c r="E280">
        <v>8</v>
      </c>
      <c r="F280">
        <v>2</v>
      </c>
      <c r="J280">
        <v>0</v>
      </c>
      <c r="K280">
        <v>10</v>
      </c>
      <c r="L280">
        <v>2</v>
      </c>
      <c r="M280" t="s">
        <v>25022</v>
      </c>
      <c r="N280">
        <v>2479</v>
      </c>
      <c r="O280" t="s">
        <v>14453</v>
      </c>
      <c r="P280" t="s">
        <v>62</v>
      </c>
      <c r="Q280">
        <v>2471790</v>
      </c>
      <c r="R280">
        <v>2472746</v>
      </c>
      <c r="S280" t="s">
        <v>3354</v>
      </c>
      <c r="T280">
        <v>319</v>
      </c>
      <c r="U280" t="s">
        <v>108</v>
      </c>
      <c r="V280">
        <v>44</v>
      </c>
      <c r="W280" t="str">
        <f>HYPERLINK("Gene2479-zp_tree_all.dnd", "Gene2479-tree")</f>
        <v>Gene2479-tree</v>
      </c>
      <c r="X280">
        <v>6</v>
      </c>
      <c r="Y280">
        <v>9</v>
      </c>
      <c r="Z280">
        <v>6</v>
      </c>
      <c r="AA280">
        <v>9</v>
      </c>
      <c r="AB280">
        <v>0.6</v>
      </c>
      <c r="AC280" t="s">
        <v>90</v>
      </c>
      <c r="AD280" t="s">
        <v>135</v>
      </c>
      <c r="AE280" t="s">
        <v>62</v>
      </c>
      <c r="AF280" t="s">
        <v>62</v>
      </c>
      <c r="AG280">
        <v>5</v>
      </c>
      <c r="AH280">
        <v>12</v>
      </c>
      <c r="AI280">
        <v>8</v>
      </c>
      <c r="AJ280">
        <v>0.6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2</v>
      </c>
      <c r="AQ280">
        <v>4</v>
      </c>
      <c r="AR280">
        <v>6</v>
      </c>
      <c r="AS280">
        <v>8</v>
      </c>
      <c r="AT280">
        <v>0.42857000000000001</v>
      </c>
      <c r="AU280">
        <v>12</v>
      </c>
      <c r="AV280">
        <v>12</v>
      </c>
      <c r="AW280">
        <v>26</v>
      </c>
      <c r="AX280">
        <v>11</v>
      </c>
      <c r="AY280">
        <v>17</v>
      </c>
      <c r="AZ280">
        <v>9</v>
      </c>
      <c r="BA280" t="s">
        <v>14454</v>
      </c>
      <c r="BB280" t="s">
        <v>14455</v>
      </c>
      <c r="BC280">
        <v>0.38100000000000001</v>
      </c>
      <c r="BD280" t="s">
        <v>65</v>
      </c>
      <c r="BE280">
        <v>43</v>
      </c>
      <c r="BF280">
        <v>20</v>
      </c>
      <c r="BG280" t="s">
        <v>14456</v>
      </c>
      <c r="BH280" t="s">
        <v>14457</v>
      </c>
      <c r="BI280" t="s">
        <v>14458</v>
      </c>
      <c r="BJ280">
        <v>0.14332</v>
      </c>
      <c r="BK280">
        <v>1</v>
      </c>
      <c r="BL280" t="s">
        <v>69</v>
      </c>
      <c r="BM280">
        <v>-0.73199999999999998</v>
      </c>
      <c r="BN280">
        <v>-1.2090000000000001</v>
      </c>
    </row>
    <row r="281" spans="2:66">
      <c r="B281">
        <v>437</v>
      </c>
      <c r="C281">
        <v>373</v>
      </c>
      <c r="D281">
        <v>0</v>
      </c>
      <c r="E281">
        <v>16</v>
      </c>
      <c r="F281">
        <v>2</v>
      </c>
      <c r="J281">
        <v>0</v>
      </c>
      <c r="K281">
        <v>2</v>
      </c>
      <c r="L281">
        <v>2</v>
      </c>
      <c r="M281" t="s">
        <v>25022</v>
      </c>
      <c r="N281">
        <v>2481</v>
      </c>
      <c r="O281" t="s">
        <v>14466</v>
      </c>
      <c r="P281" t="s">
        <v>62</v>
      </c>
      <c r="Q281">
        <v>2474031</v>
      </c>
      <c r="R281">
        <v>2475671</v>
      </c>
      <c r="S281" t="s">
        <v>14467</v>
      </c>
      <c r="T281">
        <v>547</v>
      </c>
      <c r="U281" t="s">
        <v>108</v>
      </c>
      <c r="V281">
        <v>44</v>
      </c>
      <c r="W281" t="str">
        <f>HYPERLINK("Gene2481-zp_tree_all.dnd", "Gene2481-tree")</f>
        <v>Gene2481-tree</v>
      </c>
      <c r="X281">
        <v>4</v>
      </c>
      <c r="Y281">
        <v>11</v>
      </c>
      <c r="Z281">
        <v>4</v>
      </c>
      <c r="AA281">
        <v>11</v>
      </c>
      <c r="AB281">
        <v>0.73333000000000004</v>
      </c>
      <c r="AC281" t="s">
        <v>61</v>
      </c>
      <c r="AD281" t="s">
        <v>73</v>
      </c>
      <c r="AE281">
        <v>200307210.301</v>
      </c>
      <c r="AF281" t="s">
        <v>267</v>
      </c>
      <c r="AG281">
        <v>2</v>
      </c>
      <c r="AH281">
        <v>4</v>
      </c>
      <c r="AI281">
        <v>30</v>
      </c>
      <c r="AJ281">
        <v>0.11765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2</v>
      </c>
      <c r="AR281">
        <v>2</v>
      </c>
      <c r="AS281">
        <v>24</v>
      </c>
      <c r="AT281">
        <v>7.6920000000000002E-2</v>
      </c>
      <c r="AU281">
        <v>13</v>
      </c>
      <c r="AV281">
        <v>12</v>
      </c>
      <c r="AW281">
        <v>46</v>
      </c>
      <c r="AX281">
        <v>27</v>
      </c>
      <c r="AY281">
        <v>31</v>
      </c>
      <c r="AZ281">
        <v>9</v>
      </c>
      <c r="BA281" t="s">
        <v>14468</v>
      </c>
      <c r="BB281" t="s">
        <v>14469</v>
      </c>
      <c r="BC281">
        <v>0.77800000000000002</v>
      </c>
      <c r="BD281" t="s">
        <v>65</v>
      </c>
      <c r="BE281">
        <v>77</v>
      </c>
      <c r="BF281">
        <v>36</v>
      </c>
      <c r="BG281" t="s">
        <v>14470</v>
      </c>
      <c r="BH281" t="s">
        <v>14471</v>
      </c>
      <c r="BI281" t="s">
        <v>14472</v>
      </c>
      <c r="BJ281">
        <v>0.12833</v>
      </c>
      <c r="BK281">
        <v>1</v>
      </c>
      <c r="BL281" t="s">
        <v>69</v>
      </c>
      <c r="BM281">
        <v>-1.155</v>
      </c>
      <c r="BN281">
        <v>-1.7789999999999999</v>
      </c>
    </row>
    <row r="282" spans="2:66">
      <c r="B282">
        <v>438</v>
      </c>
      <c r="C282">
        <v>322</v>
      </c>
      <c r="D282">
        <v>0</v>
      </c>
      <c r="E282">
        <v>2</v>
      </c>
      <c r="F282">
        <v>0</v>
      </c>
      <c r="J282">
        <v>0</v>
      </c>
      <c r="K282">
        <v>2</v>
      </c>
      <c r="L282">
        <v>0</v>
      </c>
      <c r="M282" t="s">
        <v>25022</v>
      </c>
      <c r="N282">
        <v>2486</v>
      </c>
      <c r="O282" t="s">
        <v>14485</v>
      </c>
      <c r="P282" t="s">
        <v>62</v>
      </c>
      <c r="Q282">
        <v>2478009</v>
      </c>
      <c r="R282">
        <v>2478929</v>
      </c>
      <c r="S282" t="s">
        <v>14486</v>
      </c>
      <c r="T282">
        <v>307</v>
      </c>
      <c r="U282" t="s">
        <v>108</v>
      </c>
      <c r="V282">
        <v>44</v>
      </c>
      <c r="W282" t="str">
        <f>HYPERLINK("Gene2486-zp_tree_all.dnd", "Gene2486-tree")</f>
        <v>Gene2486-tree</v>
      </c>
      <c r="X282">
        <v>6</v>
      </c>
      <c r="Y282">
        <v>4</v>
      </c>
      <c r="Z282">
        <v>6</v>
      </c>
      <c r="AA282">
        <v>4</v>
      </c>
      <c r="AB282">
        <v>0.4</v>
      </c>
      <c r="AC282" t="s">
        <v>90</v>
      </c>
      <c r="AD282" t="s">
        <v>61</v>
      </c>
      <c r="AE282" t="s">
        <v>62</v>
      </c>
      <c r="AF282" t="s">
        <v>62</v>
      </c>
      <c r="AG282">
        <v>1</v>
      </c>
      <c r="AH282">
        <v>2</v>
      </c>
      <c r="AI282">
        <v>3</v>
      </c>
      <c r="AJ282">
        <v>0.4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2</v>
      </c>
      <c r="AQ282">
        <v>0</v>
      </c>
      <c r="AR282">
        <v>2</v>
      </c>
      <c r="AS282">
        <v>3</v>
      </c>
      <c r="AT282">
        <v>0.4</v>
      </c>
      <c r="AU282">
        <v>8</v>
      </c>
      <c r="AV282">
        <v>4</v>
      </c>
      <c r="AW282">
        <v>21</v>
      </c>
      <c r="AX282">
        <v>5</v>
      </c>
      <c r="AY282">
        <v>13</v>
      </c>
      <c r="AZ282">
        <v>0</v>
      </c>
      <c r="BA282" t="s">
        <v>14487</v>
      </c>
      <c r="BB282" t="s">
        <v>193</v>
      </c>
      <c r="BC282">
        <v>1.488</v>
      </c>
      <c r="BD282" t="s">
        <v>65</v>
      </c>
      <c r="BE282">
        <v>34</v>
      </c>
      <c r="BF282">
        <v>5</v>
      </c>
      <c r="BG282" t="s">
        <v>14488</v>
      </c>
      <c r="BH282" t="s">
        <v>14489</v>
      </c>
      <c r="BI282" t="s">
        <v>14490</v>
      </c>
      <c r="BJ282">
        <v>3.4110000000000001E-2</v>
      </c>
      <c r="BK282">
        <v>1</v>
      </c>
      <c r="BL282" t="s">
        <v>69</v>
      </c>
      <c r="BM282">
        <v>-0.92200000000000004</v>
      </c>
      <c r="BN282">
        <v>-1.57</v>
      </c>
    </row>
    <row r="283" spans="2:66">
      <c r="B283">
        <v>439</v>
      </c>
      <c r="C283">
        <v>617</v>
      </c>
      <c r="D283">
        <v>0</v>
      </c>
      <c r="E283">
        <v>20</v>
      </c>
      <c r="F283">
        <v>5</v>
      </c>
      <c r="J283">
        <v>0</v>
      </c>
      <c r="K283">
        <v>0</v>
      </c>
      <c r="L283">
        <v>0</v>
      </c>
      <c r="M283" t="s">
        <v>25022</v>
      </c>
      <c r="N283">
        <v>2488</v>
      </c>
      <c r="O283" t="s">
        <v>14497</v>
      </c>
      <c r="P283" t="s">
        <v>62</v>
      </c>
      <c r="Q283">
        <v>2480753</v>
      </c>
      <c r="R283">
        <v>2482159</v>
      </c>
      <c r="S283" t="s">
        <v>14498</v>
      </c>
      <c r="T283">
        <v>469</v>
      </c>
      <c r="U283" t="s">
        <v>59</v>
      </c>
      <c r="V283">
        <v>49</v>
      </c>
      <c r="W283" t="str">
        <f>HYPERLINK("Gene2488-zp_tree_all.dnd", "Gene2488-tree")</f>
        <v>Gene2488-tree</v>
      </c>
      <c r="X283">
        <v>16</v>
      </c>
      <c r="Y283">
        <v>3</v>
      </c>
      <c r="Z283">
        <v>16</v>
      </c>
      <c r="AA283">
        <v>3</v>
      </c>
      <c r="AB283">
        <v>0.15789</v>
      </c>
      <c r="AC283" t="s">
        <v>60</v>
      </c>
      <c r="AD283" t="s">
        <v>324</v>
      </c>
      <c r="AE283" t="s">
        <v>62</v>
      </c>
      <c r="AF283" t="s">
        <v>62</v>
      </c>
      <c r="AG283">
        <v>0</v>
      </c>
      <c r="AH283">
        <v>0</v>
      </c>
      <c r="AI283">
        <v>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</v>
      </c>
      <c r="AT283">
        <v>0</v>
      </c>
      <c r="AU283">
        <v>17</v>
      </c>
      <c r="AV283">
        <v>14</v>
      </c>
      <c r="AW283">
        <v>69</v>
      </c>
      <c r="AX283">
        <v>3</v>
      </c>
      <c r="AY283">
        <v>108</v>
      </c>
      <c r="AZ283">
        <v>3</v>
      </c>
      <c r="BA283" t="s">
        <v>14499</v>
      </c>
      <c r="BB283" t="s">
        <v>14500</v>
      </c>
      <c r="BC283">
        <v>0.216</v>
      </c>
      <c r="BD283" t="s">
        <v>65</v>
      </c>
      <c r="BE283">
        <v>177</v>
      </c>
      <c r="BF283">
        <v>6</v>
      </c>
      <c r="BG283" t="s">
        <v>14501</v>
      </c>
      <c r="BH283" t="s">
        <v>14502</v>
      </c>
      <c r="BI283" t="s">
        <v>14503</v>
      </c>
      <c r="BJ283">
        <v>7.3800000000000003E-3</v>
      </c>
      <c r="BK283">
        <v>1</v>
      </c>
      <c r="BL283" t="s">
        <v>69</v>
      </c>
      <c r="BM283">
        <v>-1.016</v>
      </c>
      <c r="BN283">
        <v>-0.106</v>
      </c>
    </row>
    <row r="284" spans="2:66">
      <c r="B284">
        <v>440</v>
      </c>
      <c r="C284">
        <v>96</v>
      </c>
      <c r="D284">
        <v>0</v>
      </c>
      <c r="E284">
        <v>2</v>
      </c>
      <c r="F284">
        <v>0</v>
      </c>
      <c r="J284">
        <v>2</v>
      </c>
      <c r="K284">
        <v>9</v>
      </c>
      <c r="L284">
        <v>3</v>
      </c>
      <c r="M284" t="s">
        <v>25022</v>
      </c>
      <c r="N284">
        <v>2489</v>
      </c>
      <c r="O284" t="s">
        <v>14504</v>
      </c>
      <c r="P284" t="s">
        <v>62</v>
      </c>
      <c r="Q284">
        <v>2482272</v>
      </c>
      <c r="R284">
        <v>2483513</v>
      </c>
      <c r="S284" t="s">
        <v>14505</v>
      </c>
      <c r="T284">
        <v>414</v>
      </c>
      <c r="U284" t="s">
        <v>2803</v>
      </c>
      <c r="V284">
        <v>45</v>
      </c>
      <c r="W284" t="str">
        <f>HYPERLINK("Gene2489-zp_tree_all.dnd", "Gene2489-tree")</f>
        <v>Gene2489-tree</v>
      </c>
      <c r="X284">
        <v>7</v>
      </c>
      <c r="Y284">
        <v>26</v>
      </c>
      <c r="Z284">
        <v>7</v>
      </c>
      <c r="AA284">
        <v>8</v>
      </c>
      <c r="AB284">
        <v>0.53332999999999997</v>
      </c>
      <c r="AC284" t="s">
        <v>152</v>
      </c>
      <c r="AD284" t="s">
        <v>1616</v>
      </c>
      <c r="AE284">
        <v>3.3340000000000001</v>
      </c>
      <c r="AF284" t="s">
        <v>65</v>
      </c>
      <c r="AG284">
        <v>5</v>
      </c>
      <c r="AH284">
        <v>14</v>
      </c>
      <c r="AI284">
        <v>22</v>
      </c>
      <c r="AJ284">
        <v>0.38889000000000001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6</v>
      </c>
      <c r="AQ284">
        <v>3</v>
      </c>
      <c r="AR284">
        <v>9</v>
      </c>
      <c r="AS284">
        <v>17</v>
      </c>
      <c r="AT284">
        <v>0.34615000000000001</v>
      </c>
      <c r="AU284">
        <v>13</v>
      </c>
      <c r="AV284">
        <v>11</v>
      </c>
      <c r="AW284">
        <v>101</v>
      </c>
      <c r="AX284">
        <v>26</v>
      </c>
      <c r="AY284">
        <v>57</v>
      </c>
      <c r="AZ284">
        <v>10</v>
      </c>
      <c r="BA284" t="s">
        <v>14506</v>
      </c>
      <c r="BB284" t="s">
        <v>14507</v>
      </c>
      <c r="BC284">
        <v>0.249</v>
      </c>
      <c r="BD284" t="s">
        <v>65</v>
      </c>
      <c r="BE284">
        <v>158</v>
      </c>
      <c r="BF284">
        <v>36</v>
      </c>
      <c r="BG284" t="s">
        <v>14508</v>
      </c>
      <c r="BH284" t="s">
        <v>14509</v>
      </c>
      <c r="BI284" t="s">
        <v>14510</v>
      </c>
      <c r="BJ284">
        <v>6.2390000000000001E-2</v>
      </c>
      <c r="BK284">
        <v>1</v>
      </c>
      <c r="BL284" t="s">
        <v>69</v>
      </c>
      <c r="BM284">
        <v>-1.042</v>
      </c>
      <c r="BN284">
        <v>-1.347</v>
      </c>
    </row>
    <row r="285" spans="2:66">
      <c r="B285">
        <v>441</v>
      </c>
      <c r="C285">
        <v>8</v>
      </c>
      <c r="D285">
        <v>0</v>
      </c>
      <c r="E285">
        <v>2</v>
      </c>
      <c r="F285">
        <v>2</v>
      </c>
      <c r="J285">
        <v>0</v>
      </c>
      <c r="K285">
        <v>0</v>
      </c>
      <c r="L285">
        <v>0</v>
      </c>
      <c r="M285" t="s">
        <v>25022</v>
      </c>
      <c r="N285">
        <v>2493</v>
      </c>
      <c r="O285" t="s">
        <v>14531</v>
      </c>
      <c r="P285" t="s">
        <v>62</v>
      </c>
      <c r="Q285">
        <v>2485683</v>
      </c>
      <c r="R285">
        <v>2486795</v>
      </c>
      <c r="S285" t="s">
        <v>14532</v>
      </c>
      <c r="T285">
        <v>371</v>
      </c>
      <c r="U285" t="s">
        <v>108</v>
      </c>
      <c r="V285">
        <v>44</v>
      </c>
      <c r="W285" t="str">
        <f>HYPERLINK("Gene2493-zp_tree_all.dnd", "Gene2493-tree")</f>
        <v>Gene2493-tree</v>
      </c>
      <c r="X285">
        <v>9</v>
      </c>
      <c r="Y285">
        <v>5</v>
      </c>
      <c r="Z285">
        <v>9</v>
      </c>
      <c r="AA285">
        <v>5</v>
      </c>
      <c r="AB285">
        <v>0.35714000000000001</v>
      </c>
      <c r="AC285" t="s">
        <v>135</v>
      </c>
      <c r="AD285" t="s">
        <v>199</v>
      </c>
      <c r="AE285" t="s">
        <v>62</v>
      </c>
      <c r="AF285" t="s">
        <v>62</v>
      </c>
      <c r="AG285">
        <v>0</v>
      </c>
      <c r="AH285">
        <v>0</v>
      </c>
      <c r="AI285">
        <v>10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9</v>
      </c>
      <c r="AT285">
        <v>0</v>
      </c>
      <c r="AU285">
        <v>9</v>
      </c>
      <c r="AV285">
        <v>7</v>
      </c>
      <c r="AW285">
        <v>17</v>
      </c>
      <c r="AX285">
        <v>9</v>
      </c>
      <c r="AY285">
        <v>13</v>
      </c>
      <c r="AZ285">
        <v>1</v>
      </c>
      <c r="BA285" t="s">
        <v>14533</v>
      </c>
      <c r="BB285" t="s">
        <v>14534</v>
      </c>
      <c r="BC285">
        <v>1.0680000000000001</v>
      </c>
      <c r="BD285" t="s">
        <v>65</v>
      </c>
      <c r="BE285">
        <v>30</v>
      </c>
      <c r="BF285">
        <v>10</v>
      </c>
      <c r="BG285" t="s">
        <v>14535</v>
      </c>
      <c r="BH285" t="s">
        <v>14536</v>
      </c>
      <c r="BI285" t="s">
        <v>14537</v>
      </c>
      <c r="BJ285">
        <v>6.5909999999999996E-2</v>
      </c>
      <c r="BK285">
        <v>1</v>
      </c>
      <c r="BL285" t="s">
        <v>69</v>
      </c>
      <c r="BM285">
        <v>-0.89900000000000002</v>
      </c>
      <c r="BN285">
        <v>-1.778</v>
      </c>
    </row>
    <row r="286" spans="2:66">
      <c r="B286">
        <v>442</v>
      </c>
      <c r="C286">
        <v>69</v>
      </c>
      <c r="D286">
        <v>0</v>
      </c>
      <c r="E286">
        <v>5</v>
      </c>
      <c r="F286">
        <v>0</v>
      </c>
      <c r="J286">
        <v>0</v>
      </c>
      <c r="K286">
        <v>13</v>
      </c>
      <c r="L286">
        <v>0</v>
      </c>
      <c r="M286" t="s">
        <v>25022</v>
      </c>
      <c r="N286">
        <v>2494</v>
      </c>
      <c r="O286" t="s">
        <v>14538</v>
      </c>
      <c r="P286" t="s">
        <v>62</v>
      </c>
      <c r="Q286">
        <v>2486816</v>
      </c>
      <c r="R286">
        <v>2488336</v>
      </c>
      <c r="S286" t="s">
        <v>14539</v>
      </c>
      <c r="T286">
        <v>507</v>
      </c>
      <c r="U286" t="s">
        <v>1933</v>
      </c>
      <c r="V286">
        <v>39</v>
      </c>
      <c r="W286" t="str">
        <f>HYPERLINK("Gene2494-zp_tree_all.dnd", "Gene2494-tree")</f>
        <v>Gene2494-tree</v>
      </c>
      <c r="X286">
        <v>6</v>
      </c>
      <c r="Y286">
        <v>9</v>
      </c>
      <c r="Z286">
        <v>6</v>
      </c>
      <c r="AA286">
        <v>9</v>
      </c>
      <c r="AB286">
        <v>0.6</v>
      </c>
      <c r="AC286" t="s">
        <v>90</v>
      </c>
      <c r="AD286" t="s">
        <v>135</v>
      </c>
      <c r="AE286" t="s">
        <v>62</v>
      </c>
      <c r="AF286" t="s">
        <v>62</v>
      </c>
      <c r="AG286">
        <v>6</v>
      </c>
      <c r="AH286">
        <v>13</v>
      </c>
      <c r="AI286">
        <v>11</v>
      </c>
      <c r="AJ286">
        <v>0.54166999999999998</v>
      </c>
      <c r="AK286">
        <v>0</v>
      </c>
      <c r="AL286">
        <v>0</v>
      </c>
      <c r="AM286">
        <v>0</v>
      </c>
      <c r="AN286">
        <v>2</v>
      </c>
      <c r="AO286">
        <v>0</v>
      </c>
      <c r="AP286">
        <v>4</v>
      </c>
      <c r="AQ286">
        <v>0</v>
      </c>
      <c r="AR286">
        <v>4</v>
      </c>
      <c r="AS286">
        <v>8</v>
      </c>
      <c r="AT286">
        <v>0.33333000000000002</v>
      </c>
      <c r="AU286">
        <v>12</v>
      </c>
      <c r="AV286">
        <v>12</v>
      </c>
      <c r="AW286">
        <v>35</v>
      </c>
      <c r="AX286">
        <v>10</v>
      </c>
      <c r="AY286">
        <v>36</v>
      </c>
      <c r="AZ286">
        <v>14</v>
      </c>
      <c r="BA286" t="s">
        <v>14540</v>
      </c>
      <c r="BB286" t="s">
        <v>14541</v>
      </c>
      <c r="BC286">
        <v>0.51</v>
      </c>
      <c r="BD286" t="s">
        <v>65</v>
      </c>
      <c r="BE286">
        <v>71</v>
      </c>
      <c r="BF286">
        <v>24</v>
      </c>
      <c r="BG286" t="s">
        <v>14542</v>
      </c>
      <c r="BH286" t="s">
        <v>14543</v>
      </c>
      <c r="BI286" t="s">
        <v>14544</v>
      </c>
      <c r="BJ286">
        <v>0.12313</v>
      </c>
      <c r="BK286">
        <v>1</v>
      </c>
      <c r="BL286" t="s">
        <v>69</v>
      </c>
      <c r="BM286">
        <v>-0.41099999999999998</v>
      </c>
      <c r="BN286">
        <v>-0.38100000000000001</v>
      </c>
    </row>
    <row r="287" spans="2:66">
      <c r="B287">
        <v>444</v>
      </c>
      <c r="C287">
        <v>401</v>
      </c>
      <c r="D287">
        <v>0</v>
      </c>
      <c r="E287">
        <v>5</v>
      </c>
      <c r="F287">
        <v>0</v>
      </c>
      <c r="J287">
        <v>0</v>
      </c>
      <c r="K287">
        <v>4</v>
      </c>
      <c r="L287">
        <v>0</v>
      </c>
      <c r="M287" t="s">
        <v>25022</v>
      </c>
      <c r="N287">
        <v>2495</v>
      </c>
      <c r="O287" t="s">
        <v>14545</v>
      </c>
      <c r="P287" t="s">
        <v>62</v>
      </c>
      <c r="Q287">
        <v>2488332</v>
      </c>
      <c r="R287">
        <v>2488751</v>
      </c>
      <c r="S287" t="s">
        <v>14546</v>
      </c>
      <c r="T287">
        <v>140</v>
      </c>
      <c r="U287" t="s">
        <v>108</v>
      </c>
      <c r="V287">
        <v>44</v>
      </c>
      <c r="W287" t="str">
        <f>HYPERLINK("Gene2495-zp_tree_all.dnd", "Gene2495-tree")</f>
        <v>Gene2495-tree</v>
      </c>
      <c r="X287">
        <v>12</v>
      </c>
      <c r="Y287">
        <v>2</v>
      </c>
      <c r="Z287">
        <v>12</v>
      </c>
      <c r="AA287">
        <v>2</v>
      </c>
      <c r="AB287">
        <v>0.14285999999999999</v>
      </c>
      <c r="AC287" t="s">
        <v>109</v>
      </c>
      <c r="AD287" t="s">
        <v>81</v>
      </c>
      <c r="AE287" t="s">
        <v>62</v>
      </c>
      <c r="AF287" t="s">
        <v>62</v>
      </c>
      <c r="AG287">
        <v>2</v>
      </c>
      <c r="AH287">
        <v>4</v>
      </c>
      <c r="AI287">
        <v>6</v>
      </c>
      <c r="AJ287">
        <v>0.4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3</v>
      </c>
      <c r="AT287">
        <v>0</v>
      </c>
      <c r="AU287">
        <v>10</v>
      </c>
      <c r="AV287">
        <v>10</v>
      </c>
      <c r="AW287">
        <v>11</v>
      </c>
      <c r="AX287">
        <v>1</v>
      </c>
      <c r="AY287">
        <v>10</v>
      </c>
      <c r="AZ287">
        <v>9</v>
      </c>
      <c r="BA287" t="s">
        <v>14547</v>
      </c>
      <c r="BB287" t="s">
        <v>14548</v>
      </c>
      <c r="BC287">
        <v>1.665</v>
      </c>
      <c r="BD287" t="s">
        <v>65</v>
      </c>
      <c r="BE287">
        <v>21</v>
      </c>
      <c r="BF287">
        <v>10</v>
      </c>
      <c r="BG287" t="s">
        <v>14549</v>
      </c>
      <c r="BH287" t="s">
        <v>14550</v>
      </c>
      <c r="BI287" t="s">
        <v>14551</v>
      </c>
      <c r="BJ287">
        <v>0.18551999999999999</v>
      </c>
      <c r="BK287">
        <v>1</v>
      </c>
      <c r="BL287" t="s">
        <v>69</v>
      </c>
      <c r="BM287">
        <v>0.39600000000000002</v>
      </c>
      <c r="BN287">
        <v>0.26200000000000001</v>
      </c>
    </row>
    <row r="288" spans="2:66">
      <c r="B288">
        <v>447</v>
      </c>
      <c r="C288">
        <v>79</v>
      </c>
      <c r="D288">
        <v>0</v>
      </c>
      <c r="E288">
        <v>6</v>
      </c>
      <c r="F288">
        <v>2</v>
      </c>
      <c r="J288">
        <v>0</v>
      </c>
      <c r="K288">
        <v>4</v>
      </c>
      <c r="L288">
        <v>0</v>
      </c>
      <c r="M288" t="s">
        <v>25022</v>
      </c>
      <c r="N288">
        <v>2496</v>
      </c>
      <c r="O288" t="s">
        <v>14552</v>
      </c>
      <c r="P288" t="s">
        <v>62</v>
      </c>
      <c r="Q288">
        <v>2488956</v>
      </c>
      <c r="R288">
        <v>2489483</v>
      </c>
      <c r="S288" t="s">
        <v>14553</v>
      </c>
      <c r="T288">
        <v>176</v>
      </c>
      <c r="U288" t="s">
        <v>108</v>
      </c>
      <c r="V288">
        <v>44</v>
      </c>
      <c r="W288" t="str">
        <f>HYPERLINK("Gene2496-zp_tree_all.dnd", "Gene2496-tree")</f>
        <v>Gene2496-tree</v>
      </c>
      <c r="X288">
        <v>9</v>
      </c>
      <c r="Y288">
        <v>5</v>
      </c>
      <c r="Z288">
        <v>9</v>
      </c>
      <c r="AA288">
        <v>5</v>
      </c>
      <c r="AB288">
        <v>0.35714000000000001</v>
      </c>
      <c r="AC288" t="s">
        <v>135</v>
      </c>
      <c r="AD288" t="s">
        <v>199</v>
      </c>
      <c r="AE288" t="s">
        <v>62</v>
      </c>
      <c r="AF288" t="s">
        <v>62</v>
      </c>
      <c r="AG288">
        <v>2</v>
      </c>
      <c r="AH288">
        <v>4</v>
      </c>
      <c r="AI288">
        <v>4</v>
      </c>
      <c r="AJ288">
        <v>0.5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2</v>
      </c>
      <c r="AQ288">
        <v>0</v>
      </c>
      <c r="AR288">
        <v>2</v>
      </c>
      <c r="AS288">
        <v>4</v>
      </c>
      <c r="AT288">
        <v>0.33333000000000002</v>
      </c>
      <c r="AU288">
        <v>10</v>
      </c>
      <c r="AV288">
        <v>8</v>
      </c>
      <c r="AW288">
        <v>12</v>
      </c>
      <c r="AX288">
        <v>6</v>
      </c>
      <c r="AY288">
        <v>10</v>
      </c>
      <c r="AZ288">
        <v>2</v>
      </c>
      <c r="BA288" t="s">
        <v>14554</v>
      </c>
      <c r="BB288" t="s">
        <v>14555</v>
      </c>
      <c r="BC288">
        <v>0.67900000000000005</v>
      </c>
      <c r="BD288" t="s">
        <v>65</v>
      </c>
      <c r="BE288">
        <v>22</v>
      </c>
      <c r="BF288">
        <v>8</v>
      </c>
      <c r="BG288" t="s">
        <v>14556</v>
      </c>
      <c r="BH288" t="s">
        <v>14557</v>
      </c>
      <c r="BI288" t="s">
        <v>14558</v>
      </c>
      <c r="BJ288">
        <v>7.7490000000000003E-2</v>
      </c>
      <c r="BK288">
        <v>1</v>
      </c>
      <c r="BL288" t="s">
        <v>69</v>
      </c>
      <c r="BM288">
        <v>-0.61699999999999999</v>
      </c>
      <c r="BN288">
        <v>-1.46</v>
      </c>
    </row>
    <row r="289" spans="2:66">
      <c r="B289">
        <v>448</v>
      </c>
      <c r="C289">
        <v>62</v>
      </c>
      <c r="D289">
        <v>0</v>
      </c>
      <c r="E289">
        <v>0</v>
      </c>
      <c r="F289">
        <v>3</v>
      </c>
      <c r="J289">
        <v>0</v>
      </c>
      <c r="K289">
        <v>6</v>
      </c>
      <c r="L289">
        <v>0</v>
      </c>
      <c r="M289" t="s">
        <v>25022</v>
      </c>
      <c r="N289">
        <v>2497</v>
      </c>
      <c r="O289" t="s">
        <v>14559</v>
      </c>
      <c r="P289" t="s">
        <v>62</v>
      </c>
      <c r="Q289">
        <v>2489538</v>
      </c>
      <c r="R289">
        <v>2490503</v>
      </c>
      <c r="S289" t="s">
        <v>116</v>
      </c>
      <c r="T289">
        <v>322</v>
      </c>
      <c r="U289" t="s">
        <v>108</v>
      </c>
      <c r="V289">
        <v>44</v>
      </c>
      <c r="W289" t="str">
        <f>HYPERLINK("Gene2497-zp_tree_all.dnd", "Gene2497-tree")</f>
        <v>Gene2497-tree</v>
      </c>
      <c r="X289">
        <v>11</v>
      </c>
      <c r="Y289">
        <v>4</v>
      </c>
      <c r="Z289">
        <v>11</v>
      </c>
      <c r="AA289">
        <v>4</v>
      </c>
      <c r="AB289">
        <v>0.26667000000000002</v>
      </c>
      <c r="AC289" t="s">
        <v>73</v>
      </c>
      <c r="AD289" t="s">
        <v>61</v>
      </c>
      <c r="AE289" t="s">
        <v>62</v>
      </c>
      <c r="AF289" t="s">
        <v>62</v>
      </c>
      <c r="AG289">
        <v>3</v>
      </c>
      <c r="AH289">
        <v>6</v>
      </c>
      <c r="AI289">
        <v>4</v>
      </c>
      <c r="AJ289">
        <v>0.6</v>
      </c>
      <c r="AK289">
        <v>0</v>
      </c>
      <c r="AL289">
        <v>0</v>
      </c>
      <c r="AM289">
        <v>0</v>
      </c>
      <c r="AN289">
        <v>2</v>
      </c>
      <c r="AO289">
        <v>0</v>
      </c>
      <c r="AP289">
        <v>0</v>
      </c>
      <c r="AQ289">
        <v>0</v>
      </c>
      <c r="AR289">
        <v>0</v>
      </c>
      <c r="AS289">
        <v>6</v>
      </c>
      <c r="AT289">
        <v>0</v>
      </c>
      <c r="AU289">
        <v>12</v>
      </c>
      <c r="AV289">
        <v>9</v>
      </c>
      <c r="AW289">
        <v>26</v>
      </c>
      <c r="AX289">
        <v>6</v>
      </c>
      <c r="AY289">
        <v>22</v>
      </c>
      <c r="AZ289">
        <v>4</v>
      </c>
      <c r="BA289" t="s">
        <v>14560</v>
      </c>
      <c r="BB289" t="s">
        <v>14561</v>
      </c>
      <c r="BC289">
        <v>0.17</v>
      </c>
      <c r="BD289" t="s">
        <v>65</v>
      </c>
      <c r="BE289">
        <v>48</v>
      </c>
      <c r="BF289">
        <v>10</v>
      </c>
      <c r="BG289" t="s">
        <v>14562</v>
      </c>
      <c r="BH289" t="s">
        <v>14563</v>
      </c>
      <c r="BI289" t="s">
        <v>11329</v>
      </c>
      <c r="BJ289">
        <v>5.0950000000000002E-2</v>
      </c>
      <c r="BK289">
        <v>1</v>
      </c>
      <c r="BL289" t="s">
        <v>69</v>
      </c>
      <c r="BM289">
        <v>0.67100000000000004</v>
      </c>
      <c r="BN289">
        <v>-7.0000000000000007E-2</v>
      </c>
    </row>
    <row r="290" spans="2:66">
      <c r="B290">
        <v>450</v>
      </c>
      <c r="C290">
        <v>6</v>
      </c>
      <c r="D290">
        <v>0</v>
      </c>
      <c r="E290">
        <v>4</v>
      </c>
      <c r="F290">
        <v>1</v>
      </c>
      <c r="J290">
        <v>0</v>
      </c>
      <c r="K290">
        <v>0</v>
      </c>
      <c r="L290">
        <v>0</v>
      </c>
      <c r="M290" t="s">
        <v>25022</v>
      </c>
      <c r="N290">
        <v>2498</v>
      </c>
      <c r="O290" t="s">
        <v>14564</v>
      </c>
      <c r="P290" t="s">
        <v>62</v>
      </c>
      <c r="Q290">
        <v>2490577</v>
      </c>
      <c r="R290">
        <v>2491296</v>
      </c>
      <c r="S290" t="s">
        <v>14565</v>
      </c>
      <c r="T290">
        <v>240</v>
      </c>
      <c r="U290" t="s">
        <v>108</v>
      </c>
      <c r="V290">
        <v>44</v>
      </c>
      <c r="W290" t="str">
        <f>HYPERLINK("Gene2498-zp_tree_all.dnd", "Gene2498-tree")</f>
        <v>Gene2498-tree</v>
      </c>
      <c r="X290">
        <v>7</v>
      </c>
      <c r="Y290">
        <v>2</v>
      </c>
      <c r="Z290">
        <v>7</v>
      </c>
      <c r="AA290">
        <v>2</v>
      </c>
      <c r="AB290">
        <v>0.22222</v>
      </c>
      <c r="AC290" t="s">
        <v>152</v>
      </c>
      <c r="AD290" t="s">
        <v>81</v>
      </c>
      <c r="AE290" t="s">
        <v>62</v>
      </c>
      <c r="AF290" t="s">
        <v>62</v>
      </c>
      <c r="AG290">
        <v>0</v>
      </c>
      <c r="AH290">
        <v>0</v>
      </c>
      <c r="AI290">
        <v>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</v>
      </c>
      <c r="AT290">
        <v>0</v>
      </c>
      <c r="AU290">
        <v>8</v>
      </c>
      <c r="AV290">
        <v>5</v>
      </c>
      <c r="AW290">
        <v>16</v>
      </c>
      <c r="AX290">
        <v>2</v>
      </c>
      <c r="AY290">
        <v>7</v>
      </c>
      <c r="AZ290">
        <v>1</v>
      </c>
      <c r="BA290" t="s">
        <v>14566</v>
      </c>
      <c r="BB290" t="s">
        <v>14567</v>
      </c>
      <c r="BC290">
        <v>5.8000000000000003E-2</v>
      </c>
      <c r="BD290" t="s">
        <v>65</v>
      </c>
      <c r="BE290">
        <v>23</v>
      </c>
      <c r="BF290">
        <v>3</v>
      </c>
      <c r="BG290" t="s">
        <v>14568</v>
      </c>
      <c r="BH290" t="s">
        <v>14569</v>
      </c>
      <c r="BI290" t="s">
        <v>14570</v>
      </c>
      <c r="BJ290">
        <v>4.4670000000000001E-2</v>
      </c>
      <c r="BK290">
        <v>1</v>
      </c>
      <c r="BL290" t="s">
        <v>69</v>
      </c>
      <c r="BM290">
        <v>-0.33300000000000002</v>
      </c>
      <c r="BN290">
        <v>-0.70499999999999996</v>
      </c>
    </row>
    <row r="291" spans="2:66">
      <c r="B291">
        <v>451</v>
      </c>
      <c r="C291">
        <v>264</v>
      </c>
      <c r="D291">
        <v>2</v>
      </c>
      <c r="E291">
        <v>3</v>
      </c>
      <c r="F291">
        <v>2</v>
      </c>
      <c r="J291">
        <v>0</v>
      </c>
      <c r="K291">
        <v>2</v>
      </c>
      <c r="L291">
        <v>0</v>
      </c>
      <c r="M291" t="s">
        <v>25022</v>
      </c>
      <c r="N291">
        <v>2499</v>
      </c>
      <c r="O291" t="s">
        <v>14571</v>
      </c>
      <c r="P291" t="s">
        <v>62</v>
      </c>
      <c r="Q291">
        <v>2491292</v>
      </c>
      <c r="R291">
        <v>2491948</v>
      </c>
      <c r="S291" t="s">
        <v>14572</v>
      </c>
      <c r="T291">
        <v>219</v>
      </c>
      <c r="U291" t="s">
        <v>125</v>
      </c>
      <c r="V291">
        <v>48</v>
      </c>
      <c r="W291" t="str">
        <f>HYPERLINK("Gene2499-zp_tree_all.dnd", "Gene2499-tree")</f>
        <v>Gene2499-tree</v>
      </c>
      <c r="X291">
        <v>11</v>
      </c>
      <c r="Y291">
        <v>1</v>
      </c>
      <c r="Z291">
        <v>11</v>
      </c>
      <c r="AA291">
        <v>1</v>
      </c>
      <c r="AB291">
        <v>8.3330000000000001E-2</v>
      </c>
      <c r="AC291" t="s">
        <v>73</v>
      </c>
      <c r="AD291" t="s">
        <v>175</v>
      </c>
      <c r="AE291" t="s">
        <v>62</v>
      </c>
      <c r="AF291" t="s">
        <v>62</v>
      </c>
      <c r="AG291">
        <v>1</v>
      </c>
      <c r="AH291">
        <v>2</v>
      </c>
      <c r="AI291">
        <v>2</v>
      </c>
      <c r="AJ291">
        <v>0.5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9</v>
      </c>
      <c r="AV291">
        <v>4</v>
      </c>
      <c r="AW291">
        <v>18</v>
      </c>
      <c r="AX291">
        <v>1</v>
      </c>
      <c r="AY291">
        <v>34</v>
      </c>
      <c r="AZ291">
        <v>3</v>
      </c>
      <c r="BA291" t="s">
        <v>14573</v>
      </c>
      <c r="BB291" t="s">
        <v>14574</v>
      </c>
      <c r="BC291">
        <v>0.15</v>
      </c>
      <c r="BD291" t="s">
        <v>65</v>
      </c>
      <c r="BE291">
        <v>52</v>
      </c>
      <c r="BF291">
        <v>4</v>
      </c>
      <c r="BG291" t="s">
        <v>14575</v>
      </c>
      <c r="BH291" t="s">
        <v>14576</v>
      </c>
      <c r="BI291" t="s">
        <v>14577</v>
      </c>
      <c r="BJ291">
        <v>2.1059999999999999E-2</v>
      </c>
      <c r="BK291">
        <v>1</v>
      </c>
      <c r="BL291" t="s">
        <v>69</v>
      </c>
      <c r="BM291">
        <v>-1.569</v>
      </c>
      <c r="BN291">
        <v>-0.255</v>
      </c>
    </row>
    <row r="292" spans="2:66">
      <c r="B292">
        <v>452</v>
      </c>
      <c r="C292">
        <v>337</v>
      </c>
      <c r="D292">
        <v>0</v>
      </c>
      <c r="E292">
        <v>3</v>
      </c>
      <c r="F292">
        <v>2</v>
      </c>
      <c r="J292">
        <v>0</v>
      </c>
      <c r="K292">
        <v>2</v>
      </c>
      <c r="L292">
        <v>2</v>
      </c>
      <c r="M292" t="s">
        <v>25022</v>
      </c>
      <c r="N292">
        <v>2500</v>
      </c>
      <c r="O292" t="s">
        <v>14578</v>
      </c>
      <c r="P292" t="s">
        <v>62</v>
      </c>
      <c r="Q292">
        <v>2492032</v>
      </c>
      <c r="R292">
        <v>2492796</v>
      </c>
      <c r="S292" t="s">
        <v>14579</v>
      </c>
      <c r="T292">
        <v>255</v>
      </c>
      <c r="U292" t="s">
        <v>698</v>
      </c>
      <c r="V292">
        <v>47</v>
      </c>
      <c r="W292" t="str">
        <f>HYPERLINK("Gene2500-zp_tree_all.dnd", "Gene2500-tree")</f>
        <v>Gene2500-tree</v>
      </c>
      <c r="X292">
        <v>7</v>
      </c>
      <c r="Y292">
        <v>6</v>
      </c>
      <c r="Z292">
        <v>7</v>
      </c>
      <c r="AA292">
        <v>6</v>
      </c>
      <c r="AB292">
        <v>0.46154000000000001</v>
      </c>
      <c r="AC292" t="s">
        <v>152</v>
      </c>
      <c r="AD292" t="s">
        <v>90</v>
      </c>
      <c r="AE292" t="s">
        <v>62</v>
      </c>
      <c r="AF292" t="s">
        <v>62</v>
      </c>
      <c r="AG292">
        <v>2</v>
      </c>
      <c r="AH292">
        <v>4</v>
      </c>
      <c r="AI292">
        <v>14</v>
      </c>
      <c r="AJ292">
        <v>0.22222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2</v>
      </c>
      <c r="AR292">
        <v>2</v>
      </c>
      <c r="AS292">
        <v>11</v>
      </c>
      <c r="AT292">
        <v>0.15384999999999999</v>
      </c>
      <c r="AU292">
        <v>12</v>
      </c>
      <c r="AV292">
        <v>9</v>
      </c>
      <c r="AW292">
        <v>28</v>
      </c>
      <c r="AX292">
        <v>13</v>
      </c>
      <c r="AY292">
        <v>32</v>
      </c>
      <c r="AZ292">
        <v>6</v>
      </c>
      <c r="BA292" t="s">
        <v>14580</v>
      </c>
      <c r="BB292" t="s">
        <v>14581</v>
      </c>
      <c r="BC292">
        <v>0.56699999999999995</v>
      </c>
      <c r="BD292" t="s">
        <v>65</v>
      </c>
      <c r="BE292">
        <v>60</v>
      </c>
      <c r="BF292">
        <v>19</v>
      </c>
      <c r="BG292" t="s">
        <v>14582</v>
      </c>
      <c r="BH292" t="s">
        <v>14583</v>
      </c>
      <c r="BI292" t="s">
        <v>14584</v>
      </c>
      <c r="BJ292">
        <v>7.4779999999999999E-2</v>
      </c>
      <c r="BK292">
        <v>1</v>
      </c>
      <c r="BL292" t="s">
        <v>69</v>
      </c>
      <c r="BM292">
        <v>-0.89700000000000002</v>
      </c>
      <c r="BN292">
        <v>-0.93300000000000005</v>
      </c>
    </row>
    <row r="293" spans="2:66">
      <c r="B293">
        <v>453</v>
      </c>
      <c r="C293">
        <v>234</v>
      </c>
      <c r="D293">
        <v>0</v>
      </c>
      <c r="E293">
        <v>10</v>
      </c>
      <c r="F293">
        <v>0</v>
      </c>
      <c r="J293">
        <v>0</v>
      </c>
      <c r="K293">
        <v>0</v>
      </c>
      <c r="L293">
        <v>0</v>
      </c>
      <c r="M293" t="s">
        <v>25022</v>
      </c>
      <c r="N293">
        <v>2501</v>
      </c>
      <c r="O293" t="s">
        <v>14585</v>
      </c>
      <c r="P293" t="s">
        <v>62</v>
      </c>
      <c r="Q293">
        <v>2493067</v>
      </c>
      <c r="R293">
        <v>2493501</v>
      </c>
      <c r="S293" t="s">
        <v>14586</v>
      </c>
      <c r="T293">
        <v>145</v>
      </c>
      <c r="U293" t="s">
        <v>6390</v>
      </c>
      <c r="V293">
        <v>45</v>
      </c>
      <c r="W293" t="str">
        <f>HYPERLINK("Gene2501-zp_tree_all.dnd", "Gene2501-tree")</f>
        <v>Gene2501-tree</v>
      </c>
      <c r="X293">
        <v>11</v>
      </c>
      <c r="Y293">
        <v>2</v>
      </c>
      <c r="Z293">
        <v>11</v>
      </c>
      <c r="AA293">
        <v>2</v>
      </c>
      <c r="AB293">
        <v>0.15384999999999999</v>
      </c>
      <c r="AC293" t="s">
        <v>73</v>
      </c>
      <c r="AD293" t="s">
        <v>81</v>
      </c>
      <c r="AE293" t="s">
        <v>62</v>
      </c>
      <c r="AF293" t="s">
        <v>62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0</v>
      </c>
      <c r="AU293">
        <v>9</v>
      </c>
      <c r="AV293">
        <v>6</v>
      </c>
      <c r="AW293">
        <v>23</v>
      </c>
      <c r="AX293">
        <v>2</v>
      </c>
      <c r="AY293">
        <v>13</v>
      </c>
      <c r="AZ293">
        <v>0</v>
      </c>
      <c r="BA293" t="s">
        <v>14587</v>
      </c>
      <c r="BB293" t="s">
        <v>193</v>
      </c>
      <c r="BC293">
        <v>0.47799999999999998</v>
      </c>
      <c r="BD293" t="s">
        <v>65</v>
      </c>
      <c r="BE293">
        <v>36</v>
      </c>
      <c r="BF293">
        <v>2</v>
      </c>
      <c r="BG293" t="s">
        <v>14588</v>
      </c>
      <c r="BH293" t="s">
        <v>14589</v>
      </c>
      <c r="BI293" t="s">
        <v>14590</v>
      </c>
      <c r="BJ293">
        <v>1.1650000000000001E-2</v>
      </c>
      <c r="BK293">
        <v>1</v>
      </c>
      <c r="BL293" t="s">
        <v>69</v>
      </c>
      <c r="BM293">
        <v>-0.35699999999999998</v>
      </c>
      <c r="BN293">
        <v>-2.7120000000000002</v>
      </c>
    </row>
    <row r="294" spans="2:66">
      <c r="B294">
        <v>454</v>
      </c>
      <c r="C294">
        <v>205</v>
      </c>
      <c r="D294">
        <v>0</v>
      </c>
      <c r="E294">
        <v>0</v>
      </c>
      <c r="F294">
        <v>2</v>
      </c>
      <c r="J294">
        <v>0</v>
      </c>
      <c r="K294">
        <v>17</v>
      </c>
      <c r="L294">
        <v>4</v>
      </c>
      <c r="M294" t="s">
        <v>25022</v>
      </c>
      <c r="N294">
        <v>2505</v>
      </c>
      <c r="O294" t="s">
        <v>14612</v>
      </c>
      <c r="P294" t="s">
        <v>62</v>
      </c>
      <c r="Q294">
        <v>2496799</v>
      </c>
      <c r="R294">
        <v>2498070</v>
      </c>
      <c r="S294" t="s">
        <v>14613</v>
      </c>
      <c r="T294">
        <v>424</v>
      </c>
      <c r="U294" t="s">
        <v>1124</v>
      </c>
      <c r="V294">
        <v>43</v>
      </c>
      <c r="W294" t="str">
        <f>HYPERLINK("Gene2505-zp_tree_all.dnd", "Gene2505-tree")</f>
        <v>Gene2505-tree</v>
      </c>
      <c r="X294">
        <v>1</v>
      </c>
      <c r="Y294">
        <v>13</v>
      </c>
      <c r="Z294">
        <v>1</v>
      </c>
      <c r="AA294">
        <v>13</v>
      </c>
      <c r="AB294">
        <v>0.92857000000000001</v>
      </c>
      <c r="AC294" t="s">
        <v>175</v>
      </c>
      <c r="AD294" t="s">
        <v>507</v>
      </c>
      <c r="AE294" t="s">
        <v>62</v>
      </c>
      <c r="AF294" t="s">
        <v>62</v>
      </c>
      <c r="AG294">
        <v>8</v>
      </c>
      <c r="AH294">
        <v>21</v>
      </c>
      <c r="AI294">
        <v>18</v>
      </c>
      <c r="AJ294">
        <v>0.53846000000000005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9</v>
      </c>
      <c r="AQ294">
        <v>5</v>
      </c>
      <c r="AR294">
        <v>14</v>
      </c>
      <c r="AS294">
        <v>18</v>
      </c>
      <c r="AT294">
        <v>0.4375</v>
      </c>
      <c r="AU294">
        <v>13</v>
      </c>
      <c r="AV294">
        <v>9</v>
      </c>
      <c r="AW294">
        <v>66</v>
      </c>
      <c r="AX294">
        <v>26</v>
      </c>
      <c r="AY294">
        <v>33</v>
      </c>
      <c r="AZ294">
        <v>13</v>
      </c>
      <c r="BA294" t="s">
        <v>14614</v>
      </c>
      <c r="BB294" t="s">
        <v>14615</v>
      </c>
      <c r="BC294">
        <v>1.7000000000000001E-2</v>
      </c>
      <c r="BD294" t="s">
        <v>65</v>
      </c>
      <c r="BE294">
        <v>99</v>
      </c>
      <c r="BF294">
        <v>39</v>
      </c>
      <c r="BG294" t="s">
        <v>14616</v>
      </c>
      <c r="BH294" t="s">
        <v>14617</v>
      </c>
      <c r="BI294" t="s">
        <v>14618</v>
      </c>
      <c r="BJ294">
        <v>0.13355</v>
      </c>
      <c r="BK294">
        <v>1</v>
      </c>
      <c r="BL294" t="s">
        <v>69</v>
      </c>
      <c r="BM294">
        <v>-2.1999999999999999E-2</v>
      </c>
      <c r="BN294">
        <v>-1.522</v>
      </c>
    </row>
    <row r="295" spans="2:66">
      <c r="B295">
        <v>455</v>
      </c>
      <c r="C295">
        <v>130</v>
      </c>
      <c r="D295">
        <v>0</v>
      </c>
      <c r="E295">
        <v>4</v>
      </c>
      <c r="F295">
        <v>2</v>
      </c>
      <c r="J295">
        <v>0</v>
      </c>
      <c r="K295">
        <v>0</v>
      </c>
      <c r="L295">
        <v>0</v>
      </c>
      <c r="M295" t="s">
        <v>25022</v>
      </c>
      <c r="N295">
        <v>2506</v>
      </c>
      <c r="O295" t="s">
        <v>14619</v>
      </c>
      <c r="P295" t="s">
        <v>62</v>
      </c>
      <c r="Q295">
        <v>2498096</v>
      </c>
      <c r="R295">
        <v>2499076</v>
      </c>
      <c r="S295" t="s">
        <v>14620</v>
      </c>
      <c r="T295">
        <v>327</v>
      </c>
      <c r="U295" t="s">
        <v>1124</v>
      </c>
      <c r="V295">
        <v>43</v>
      </c>
      <c r="W295" t="str">
        <f>HYPERLINK("Gene2506-zp_tree_all.dnd", "Gene2506-tree")</f>
        <v>Gene2506-tree</v>
      </c>
      <c r="X295">
        <v>12</v>
      </c>
      <c r="Y295">
        <v>2</v>
      </c>
      <c r="Z295">
        <v>12</v>
      </c>
      <c r="AA295">
        <v>2</v>
      </c>
      <c r="AB295">
        <v>0.14285999999999999</v>
      </c>
      <c r="AC295" t="s">
        <v>109</v>
      </c>
      <c r="AD295" t="s">
        <v>81</v>
      </c>
      <c r="AE295" t="s">
        <v>62</v>
      </c>
      <c r="AF295" t="s">
        <v>62</v>
      </c>
      <c r="AG295">
        <v>0</v>
      </c>
      <c r="AH295">
        <v>0</v>
      </c>
      <c r="AI295">
        <v>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</v>
      </c>
      <c r="AT295">
        <v>0</v>
      </c>
      <c r="AU295">
        <v>12</v>
      </c>
      <c r="AV295">
        <v>11</v>
      </c>
      <c r="AW295">
        <v>39</v>
      </c>
      <c r="AX295">
        <v>2</v>
      </c>
      <c r="AY295">
        <v>29</v>
      </c>
      <c r="AZ295">
        <v>0</v>
      </c>
      <c r="BA295" t="s">
        <v>14621</v>
      </c>
      <c r="BB295" t="s">
        <v>193</v>
      </c>
      <c r="BC295">
        <v>0.64100000000000001</v>
      </c>
      <c r="BD295" t="s">
        <v>65</v>
      </c>
      <c r="BE295">
        <v>68</v>
      </c>
      <c r="BF295">
        <v>2</v>
      </c>
      <c r="BG295" t="s">
        <v>14622</v>
      </c>
      <c r="BH295" t="s">
        <v>14623</v>
      </c>
      <c r="BI295" t="s">
        <v>14624</v>
      </c>
      <c r="BJ295">
        <v>6.1500000000000001E-3</v>
      </c>
      <c r="BK295">
        <v>1</v>
      </c>
      <c r="BL295" t="s">
        <v>69</v>
      </c>
      <c r="BM295">
        <v>-0.14299999999999999</v>
      </c>
      <c r="BN295">
        <v>-1.427</v>
      </c>
    </row>
    <row r="296" spans="2:66">
      <c r="B296">
        <v>457</v>
      </c>
      <c r="C296">
        <v>222</v>
      </c>
      <c r="D296">
        <v>0</v>
      </c>
      <c r="E296">
        <v>4</v>
      </c>
      <c r="F296">
        <v>0</v>
      </c>
      <c r="J296">
        <v>0</v>
      </c>
      <c r="K296">
        <v>5</v>
      </c>
      <c r="L296">
        <v>1</v>
      </c>
      <c r="M296" t="s">
        <v>25022</v>
      </c>
      <c r="N296">
        <v>2507</v>
      </c>
      <c r="O296" t="s">
        <v>14625</v>
      </c>
      <c r="P296" t="s">
        <v>62</v>
      </c>
      <c r="Q296">
        <v>2499093</v>
      </c>
      <c r="R296">
        <v>2500082</v>
      </c>
      <c r="S296" t="s">
        <v>14620</v>
      </c>
      <c r="T296">
        <v>330</v>
      </c>
      <c r="U296" t="s">
        <v>14626</v>
      </c>
      <c r="V296">
        <v>46</v>
      </c>
      <c r="W296" t="str">
        <f>HYPERLINK("Gene2507-zp_tree_all.dnd", "Gene2507-tree")</f>
        <v>Gene2507-tree</v>
      </c>
      <c r="X296">
        <v>12</v>
      </c>
      <c r="Y296">
        <v>5</v>
      </c>
      <c r="Z296">
        <v>12</v>
      </c>
      <c r="AA296">
        <v>5</v>
      </c>
      <c r="AB296">
        <v>0.29411999999999999</v>
      </c>
      <c r="AC296" t="s">
        <v>109</v>
      </c>
      <c r="AD296" t="s">
        <v>199</v>
      </c>
      <c r="AE296" t="s">
        <v>62</v>
      </c>
      <c r="AF296" t="s">
        <v>62</v>
      </c>
      <c r="AG296">
        <v>2</v>
      </c>
      <c r="AH296">
        <v>6</v>
      </c>
      <c r="AI296">
        <v>4</v>
      </c>
      <c r="AJ296">
        <v>0.6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4</v>
      </c>
      <c r="AQ296">
        <v>0</v>
      </c>
      <c r="AR296">
        <v>4</v>
      </c>
      <c r="AS296">
        <v>2</v>
      </c>
      <c r="AT296">
        <v>0.66666999999999998</v>
      </c>
      <c r="AU296">
        <v>14</v>
      </c>
      <c r="AV296">
        <v>11</v>
      </c>
      <c r="AW296">
        <v>56</v>
      </c>
      <c r="AX296">
        <v>6</v>
      </c>
      <c r="AY296">
        <v>43</v>
      </c>
      <c r="AZ296">
        <v>4</v>
      </c>
      <c r="BA296" t="s">
        <v>14627</v>
      </c>
      <c r="BB296" t="s">
        <v>14628</v>
      </c>
      <c r="BC296">
        <v>7.3999999999999996E-2</v>
      </c>
      <c r="BD296" t="s">
        <v>65</v>
      </c>
      <c r="BE296">
        <v>99</v>
      </c>
      <c r="BF296">
        <v>10</v>
      </c>
      <c r="BG296" t="s">
        <v>14629</v>
      </c>
      <c r="BH296" t="s">
        <v>14630</v>
      </c>
      <c r="BI296" t="s">
        <v>14631</v>
      </c>
      <c r="BJ296">
        <v>2.8920000000000001E-2</v>
      </c>
      <c r="BK296">
        <v>1</v>
      </c>
      <c r="BL296" t="s">
        <v>69</v>
      </c>
      <c r="BM296">
        <v>-1.6779999999999999</v>
      </c>
      <c r="BN296">
        <v>-2.2679999999999998</v>
      </c>
    </row>
    <row r="297" spans="2:66">
      <c r="B297">
        <v>460</v>
      </c>
      <c r="C297">
        <v>369</v>
      </c>
      <c r="D297">
        <v>0</v>
      </c>
      <c r="E297">
        <v>6</v>
      </c>
      <c r="F297">
        <v>2</v>
      </c>
      <c r="J297">
        <v>0</v>
      </c>
      <c r="K297">
        <v>0</v>
      </c>
      <c r="L297">
        <v>2</v>
      </c>
      <c r="M297" t="s">
        <v>25022</v>
      </c>
      <c r="N297">
        <v>2508</v>
      </c>
      <c r="O297" t="s">
        <v>14632</v>
      </c>
      <c r="P297" t="s">
        <v>62</v>
      </c>
      <c r="Q297">
        <v>2500107</v>
      </c>
      <c r="R297">
        <v>2501528</v>
      </c>
      <c r="S297" t="s">
        <v>14633</v>
      </c>
      <c r="T297">
        <v>474</v>
      </c>
      <c r="U297" t="s">
        <v>265</v>
      </c>
      <c r="V297">
        <v>43</v>
      </c>
      <c r="W297" t="str">
        <f>HYPERLINK("Gene2508-zp_tree_all.dnd", "Gene2508-tree")</f>
        <v>Gene2508-tree</v>
      </c>
      <c r="X297">
        <v>5</v>
      </c>
      <c r="Y297">
        <v>10</v>
      </c>
      <c r="Z297">
        <v>5</v>
      </c>
      <c r="AA297">
        <v>10</v>
      </c>
      <c r="AB297">
        <v>0.66666999999999998</v>
      </c>
      <c r="AC297" t="s">
        <v>199</v>
      </c>
      <c r="AD297" t="s">
        <v>117</v>
      </c>
      <c r="AE297" t="s">
        <v>62</v>
      </c>
      <c r="AF297" t="s">
        <v>62</v>
      </c>
      <c r="AG297">
        <v>1</v>
      </c>
      <c r="AH297">
        <v>2</v>
      </c>
      <c r="AI297">
        <v>12</v>
      </c>
      <c r="AJ297">
        <v>0.14285999999999999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2</v>
      </c>
      <c r="AR297">
        <v>2</v>
      </c>
      <c r="AS297">
        <v>10</v>
      </c>
      <c r="AT297">
        <v>0.16667000000000001</v>
      </c>
      <c r="AU297">
        <v>11</v>
      </c>
      <c r="AV297">
        <v>9</v>
      </c>
      <c r="AW297">
        <v>44</v>
      </c>
      <c r="AX297">
        <v>13</v>
      </c>
      <c r="AY297">
        <v>23</v>
      </c>
      <c r="AZ297">
        <v>2</v>
      </c>
      <c r="BA297" t="s">
        <v>14634</v>
      </c>
      <c r="BB297" t="s">
        <v>14635</v>
      </c>
      <c r="BC297">
        <v>1.425</v>
      </c>
      <c r="BD297" t="s">
        <v>65</v>
      </c>
      <c r="BE297">
        <v>67</v>
      </c>
      <c r="BF297">
        <v>15</v>
      </c>
      <c r="BG297" t="s">
        <v>14636</v>
      </c>
      <c r="BH297" t="s">
        <v>14637</v>
      </c>
      <c r="BI297" t="s">
        <v>14638</v>
      </c>
      <c r="BJ297">
        <v>5.7829999999999999E-2</v>
      </c>
      <c r="BK297">
        <v>1</v>
      </c>
      <c r="BL297" t="s">
        <v>69</v>
      </c>
      <c r="BM297">
        <v>-0.61199999999999999</v>
      </c>
      <c r="BN297">
        <v>-1.028</v>
      </c>
    </row>
    <row r="298" spans="2:66">
      <c r="B298">
        <v>461</v>
      </c>
      <c r="C298">
        <v>4</v>
      </c>
      <c r="D298">
        <v>0</v>
      </c>
      <c r="E298">
        <v>5</v>
      </c>
      <c r="F298">
        <v>1</v>
      </c>
      <c r="J298">
        <v>0</v>
      </c>
      <c r="K298">
        <v>4</v>
      </c>
      <c r="L298">
        <v>0</v>
      </c>
      <c r="M298" t="s">
        <v>25022</v>
      </c>
      <c r="N298">
        <v>2509</v>
      </c>
      <c r="O298" t="s">
        <v>14639</v>
      </c>
      <c r="P298" t="s">
        <v>62</v>
      </c>
      <c r="Q298">
        <v>2501552</v>
      </c>
      <c r="R298">
        <v>2502640</v>
      </c>
      <c r="S298" t="s">
        <v>14640</v>
      </c>
      <c r="T298">
        <v>363</v>
      </c>
      <c r="U298" t="s">
        <v>108</v>
      </c>
      <c r="V298">
        <v>44</v>
      </c>
      <c r="W298" t="str">
        <f>HYPERLINK("Gene2509-zp_tree_all.dnd", "Gene2509-tree")</f>
        <v>Gene2509-tree</v>
      </c>
      <c r="X298">
        <v>28</v>
      </c>
      <c r="Y298">
        <v>7</v>
      </c>
      <c r="Z298">
        <v>7</v>
      </c>
      <c r="AA298">
        <v>7</v>
      </c>
      <c r="AB298">
        <v>0.5</v>
      </c>
      <c r="AC298" t="s">
        <v>4142</v>
      </c>
      <c r="AD298" t="s">
        <v>152</v>
      </c>
      <c r="AE298" t="s">
        <v>62</v>
      </c>
      <c r="AF298" t="s">
        <v>62</v>
      </c>
      <c r="AG298">
        <v>2</v>
      </c>
      <c r="AH298">
        <v>4</v>
      </c>
      <c r="AI298">
        <v>5</v>
      </c>
      <c r="AJ298">
        <v>0.44444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7</v>
      </c>
      <c r="AT298">
        <v>0</v>
      </c>
      <c r="AU298">
        <v>13</v>
      </c>
      <c r="AV298">
        <v>10</v>
      </c>
      <c r="AW298">
        <v>39</v>
      </c>
      <c r="AX298">
        <v>7</v>
      </c>
      <c r="AY298">
        <v>29</v>
      </c>
      <c r="AZ298">
        <v>2</v>
      </c>
      <c r="BA298" t="s">
        <v>14641</v>
      </c>
      <c r="BB298" t="s">
        <v>14642</v>
      </c>
      <c r="BC298">
        <v>0.85199999999999998</v>
      </c>
      <c r="BD298" t="s">
        <v>65</v>
      </c>
      <c r="BE298">
        <v>68</v>
      </c>
      <c r="BF298">
        <v>9</v>
      </c>
      <c r="BG298" t="s">
        <v>14643</v>
      </c>
      <c r="BH298" t="s">
        <v>14644</v>
      </c>
      <c r="BI298" t="s">
        <v>14645</v>
      </c>
      <c r="BJ298">
        <v>3.4729999999999997E-2</v>
      </c>
      <c r="BK298">
        <v>1</v>
      </c>
      <c r="BL298" t="s">
        <v>69</v>
      </c>
      <c r="BM298">
        <v>-0.51700000000000002</v>
      </c>
      <c r="BN298">
        <v>-8.3000000000000004E-2</v>
      </c>
    </row>
    <row r="299" spans="2:66">
      <c r="B299">
        <v>465</v>
      </c>
      <c r="C299">
        <v>265</v>
      </c>
      <c r="D299">
        <v>0</v>
      </c>
      <c r="E299">
        <v>9</v>
      </c>
      <c r="F299">
        <v>2</v>
      </c>
      <c r="J299">
        <v>0</v>
      </c>
      <c r="K299">
        <v>0</v>
      </c>
      <c r="L299">
        <v>0</v>
      </c>
      <c r="M299" t="s">
        <v>25022</v>
      </c>
      <c r="N299">
        <v>2510</v>
      </c>
      <c r="O299" t="s">
        <v>14646</v>
      </c>
      <c r="P299" t="s">
        <v>62</v>
      </c>
      <c r="Q299">
        <v>2502662</v>
      </c>
      <c r="R299">
        <v>2503753</v>
      </c>
      <c r="S299" t="s">
        <v>14647</v>
      </c>
      <c r="T299">
        <v>364</v>
      </c>
      <c r="U299" t="s">
        <v>108</v>
      </c>
      <c r="V299">
        <v>44</v>
      </c>
      <c r="W299" t="str">
        <f>HYPERLINK("Gene2510-zp_tree_all.dnd", "Gene2510-tree")</f>
        <v>Gene2510-tree</v>
      </c>
      <c r="X299">
        <v>13</v>
      </c>
      <c r="Y299">
        <v>3</v>
      </c>
      <c r="Z299">
        <v>13</v>
      </c>
      <c r="AA299">
        <v>3</v>
      </c>
      <c r="AB299">
        <v>0.1875</v>
      </c>
      <c r="AC299" t="s">
        <v>507</v>
      </c>
      <c r="AD299" t="s">
        <v>324</v>
      </c>
      <c r="AE299" t="s">
        <v>62</v>
      </c>
      <c r="AF299" t="s">
        <v>62</v>
      </c>
      <c r="AG299">
        <v>0</v>
      </c>
      <c r="AH299">
        <v>0</v>
      </c>
      <c r="AI299">
        <v>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3</v>
      </c>
      <c r="AT299">
        <v>0</v>
      </c>
      <c r="AU299">
        <v>12</v>
      </c>
      <c r="AV299">
        <v>10</v>
      </c>
      <c r="AW299">
        <v>49</v>
      </c>
      <c r="AX299">
        <v>3</v>
      </c>
      <c r="AY299">
        <v>37</v>
      </c>
      <c r="AZ299">
        <v>0</v>
      </c>
      <c r="BA299" t="s">
        <v>14648</v>
      </c>
      <c r="BB299" t="s">
        <v>193</v>
      </c>
      <c r="BC299">
        <v>0.98</v>
      </c>
      <c r="BD299" t="s">
        <v>65</v>
      </c>
      <c r="BE299">
        <v>86</v>
      </c>
      <c r="BF299">
        <v>3</v>
      </c>
      <c r="BG299" t="s">
        <v>14649</v>
      </c>
      <c r="BH299" t="s">
        <v>14650</v>
      </c>
      <c r="BI299" t="s">
        <v>9635</v>
      </c>
      <c r="BJ299">
        <v>8.1200000000000005E-3</v>
      </c>
      <c r="BK299">
        <v>1</v>
      </c>
      <c r="BL299" t="s">
        <v>69</v>
      </c>
      <c r="BM299">
        <v>-1.9E-2</v>
      </c>
      <c r="BN299">
        <v>-0.16300000000000001</v>
      </c>
    </row>
    <row r="300" spans="2:66">
      <c r="B300">
        <v>466</v>
      </c>
      <c r="C300">
        <v>270</v>
      </c>
      <c r="D300">
        <v>0</v>
      </c>
      <c r="E300">
        <v>25</v>
      </c>
      <c r="F300">
        <v>7</v>
      </c>
      <c r="J300">
        <v>0</v>
      </c>
      <c r="K300">
        <v>12</v>
      </c>
      <c r="L300">
        <v>0</v>
      </c>
      <c r="M300" t="s">
        <v>25022</v>
      </c>
      <c r="N300">
        <v>2511</v>
      </c>
      <c r="O300" t="s">
        <v>14651</v>
      </c>
      <c r="P300" t="s">
        <v>62</v>
      </c>
      <c r="Q300">
        <v>2503768</v>
      </c>
      <c r="R300">
        <v>2504664</v>
      </c>
      <c r="S300" t="s">
        <v>14652</v>
      </c>
      <c r="T300">
        <v>299</v>
      </c>
      <c r="U300" t="s">
        <v>108</v>
      </c>
      <c r="V300">
        <v>44</v>
      </c>
      <c r="W300" t="str">
        <f>HYPERLINK("Gene2511-zp_tree_all.dnd", "Gene2511-tree")</f>
        <v>Gene2511-tree</v>
      </c>
      <c r="X300">
        <v>2</v>
      </c>
      <c r="Y300">
        <v>12</v>
      </c>
      <c r="Z300">
        <v>2</v>
      </c>
      <c r="AA300">
        <v>12</v>
      </c>
      <c r="AB300">
        <v>0.85714000000000001</v>
      </c>
      <c r="AC300" t="s">
        <v>81</v>
      </c>
      <c r="AD300" t="s">
        <v>109</v>
      </c>
      <c r="AE300" t="s">
        <v>62</v>
      </c>
      <c r="AF300" t="s">
        <v>62</v>
      </c>
      <c r="AG300">
        <v>4</v>
      </c>
      <c r="AH300">
        <v>12</v>
      </c>
      <c r="AI300">
        <v>9</v>
      </c>
      <c r="AJ300">
        <v>0.57142999999999999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5</v>
      </c>
      <c r="AQ300">
        <v>0</v>
      </c>
      <c r="AR300">
        <v>5</v>
      </c>
      <c r="AS300">
        <v>10</v>
      </c>
      <c r="AT300">
        <v>0.33333000000000002</v>
      </c>
      <c r="AU300">
        <v>13</v>
      </c>
      <c r="AV300">
        <v>9</v>
      </c>
      <c r="AW300">
        <v>32</v>
      </c>
      <c r="AX300">
        <v>14</v>
      </c>
      <c r="AY300">
        <v>34</v>
      </c>
      <c r="AZ300">
        <v>7</v>
      </c>
      <c r="BA300" t="s">
        <v>14653</v>
      </c>
      <c r="BB300" t="s">
        <v>14654</v>
      </c>
      <c r="BC300">
        <v>0.90400000000000003</v>
      </c>
      <c r="BD300" t="s">
        <v>65</v>
      </c>
      <c r="BE300">
        <v>66</v>
      </c>
      <c r="BF300">
        <v>21</v>
      </c>
      <c r="BG300" t="s">
        <v>14655</v>
      </c>
      <c r="BH300" t="s">
        <v>14656</v>
      </c>
      <c r="BI300" t="s">
        <v>14657</v>
      </c>
      <c r="BJ300">
        <v>7.6369999999999993E-2</v>
      </c>
      <c r="BK300">
        <v>1</v>
      </c>
      <c r="BL300" t="s">
        <v>69</v>
      </c>
      <c r="BM300">
        <v>-0.23300000000000001</v>
      </c>
      <c r="BN300">
        <v>-0.72</v>
      </c>
    </row>
    <row r="301" spans="2:66">
      <c r="B301">
        <v>467</v>
      </c>
      <c r="C301">
        <v>468</v>
      </c>
      <c r="D301">
        <v>0</v>
      </c>
      <c r="E301">
        <v>2</v>
      </c>
      <c r="F301">
        <v>0</v>
      </c>
      <c r="J301">
        <v>0</v>
      </c>
      <c r="K301">
        <v>0</v>
      </c>
      <c r="L301">
        <v>0</v>
      </c>
      <c r="M301" t="s">
        <v>25022</v>
      </c>
      <c r="N301">
        <v>2512</v>
      </c>
      <c r="O301" t="s">
        <v>14658</v>
      </c>
      <c r="P301" t="s">
        <v>62</v>
      </c>
      <c r="Q301">
        <v>2504792</v>
      </c>
      <c r="R301">
        <v>2506867</v>
      </c>
      <c r="S301" t="s">
        <v>9411</v>
      </c>
      <c r="T301">
        <v>692</v>
      </c>
      <c r="U301" t="s">
        <v>108</v>
      </c>
      <c r="V301">
        <v>44</v>
      </c>
      <c r="W301" t="str">
        <f>HYPERLINK("Gene2512-zp_tree_all.dnd", "Gene2512-tree")</f>
        <v>Gene2512-tree</v>
      </c>
      <c r="X301">
        <v>9</v>
      </c>
      <c r="Y301">
        <v>11</v>
      </c>
      <c r="Z301">
        <v>9</v>
      </c>
      <c r="AA301">
        <v>11</v>
      </c>
      <c r="AB301">
        <v>0.55000000000000004</v>
      </c>
      <c r="AC301" t="s">
        <v>135</v>
      </c>
      <c r="AD301" t="s">
        <v>73</v>
      </c>
      <c r="AE301">
        <v>25435836.228999998</v>
      </c>
      <c r="AF301" t="s">
        <v>267</v>
      </c>
      <c r="AG301">
        <v>0</v>
      </c>
      <c r="AH301">
        <v>0</v>
      </c>
      <c r="AI301">
        <v>15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12</v>
      </c>
      <c r="AT301">
        <v>0</v>
      </c>
      <c r="AU301">
        <v>15</v>
      </c>
      <c r="AV301">
        <v>14</v>
      </c>
      <c r="AW301">
        <v>45</v>
      </c>
      <c r="AX301">
        <v>8</v>
      </c>
      <c r="AY301">
        <v>67</v>
      </c>
      <c r="AZ301">
        <v>7</v>
      </c>
      <c r="BA301" t="s">
        <v>14659</v>
      </c>
      <c r="BB301" t="s">
        <v>14660</v>
      </c>
      <c r="BC301">
        <v>0.60399999999999998</v>
      </c>
      <c r="BD301" t="s">
        <v>65</v>
      </c>
      <c r="BE301">
        <v>112</v>
      </c>
      <c r="BF301">
        <v>15</v>
      </c>
      <c r="BG301" t="s">
        <v>14661</v>
      </c>
      <c r="BH301" t="s">
        <v>14662</v>
      </c>
      <c r="BI301" t="s">
        <v>14663</v>
      </c>
      <c r="BJ301">
        <v>3.8670000000000003E-2</v>
      </c>
      <c r="BK301">
        <v>1</v>
      </c>
      <c r="BL301" t="s">
        <v>69</v>
      </c>
      <c r="BM301">
        <v>-0.67</v>
      </c>
      <c r="BN301">
        <v>-0.88400000000000001</v>
      </c>
    </row>
    <row r="302" spans="2:66">
      <c r="B302">
        <v>469</v>
      </c>
      <c r="C302">
        <v>390</v>
      </c>
      <c r="D302">
        <v>0</v>
      </c>
      <c r="E302">
        <v>10</v>
      </c>
      <c r="F302">
        <v>4</v>
      </c>
      <c r="J302">
        <v>0</v>
      </c>
      <c r="K302">
        <v>8</v>
      </c>
      <c r="L302">
        <v>0</v>
      </c>
      <c r="M302" t="s">
        <v>25022</v>
      </c>
      <c r="N302">
        <v>2514</v>
      </c>
      <c r="O302" t="s">
        <v>14667</v>
      </c>
      <c r="P302" t="s">
        <v>62</v>
      </c>
      <c r="Q302">
        <v>2507301</v>
      </c>
      <c r="R302">
        <v>2508203</v>
      </c>
      <c r="S302" t="s">
        <v>14668</v>
      </c>
      <c r="T302">
        <v>301</v>
      </c>
      <c r="U302" t="s">
        <v>108</v>
      </c>
      <c r="V302">
        <v>44</v>
      </c>
      <c r="W302" t="str">
        <f>HYPERLINK("Gene2514-zp_tree_all.dnd", "Gene2514-tree")</f>
        <v>Gene2514-tree</v>
      </c>
      <c r="X302">
        <v>6</v>
      </c>
      <c r="Y302">
        <v>8</v>
      </c>
      <c r="Z302">
        <v>6</v>
      </c>
      <c r="AA302">
        <v>8</v>
      </c>
      <c r="AB302">
        <v>0.57142999999999999</v>
      </c>
      <c r="AC302" t="s">
        <v>90</v>
      </c>
      <c r="AD302" t="s">
        <v>136</v>
      </c>
      <c r="AE302" t="s">
        <v>62</v>
      </c>
      <c r="AF302" t="s">
        <v>62</v>
      </c>
      <c r="AG302">
        <v>3</v>
      </c>
      <c r="AH302">
        <v>8</v>
      </c>
      <c r="AI302">
        <v>10</v>
      </c>
      <c r="AJ302">
        <v>0.44444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2</v>
      </c>
      <c r="AQ302">
        <v>0</v>
      </c>
      <c r="AR302">
        <v>2</v>
      </c>
      <c r="AS302">
        <v>11</v>
      </c>
      <c r="AT302">
        <v>0.15384999999999999</v>
      </c>
      <c r="AU302">
        <v>9</v>
      </c>
      <c r="AV302">
        <v>10</v>
      </c>
      <c r="AW302">
        <v>20</v>
      </c>
      <c r="AX302">
        <v>12</v>
      </c>
      <c r="AY302">
        <v>14</v>
      </c>
      <c r="AZ302">
        <v>6</v>
      </c>
      <c r="BA302" t="s">
        <v>14669</v>
      </c>
      <c r="BB302" t="s">
        <v>14670</v>
      </c>
      <c r="BC302">
        <v>0.51400000000000001</v>
      </c>
      <c r="BD302" t="s">
        <v>65</v>
      </c>
      <c r="BE302">
        <v>34</v>
      </c>
      <c r="BF302">
        <v>18</v>
      </c>
      <c r="BG302" t="s">
        <v>14671</v>
      </c>
      <c r="BH302" t="s">
        <v>14672</v>
      </c>
      <c r="BI302" t="s">
        <v>14673</v>
      </c>
      <c r="BJ302">
        <v>0.13775999999999999</v>
      </c>
      <c r="BK302">
        <v>1</v>
      </c>
      <c r="BL302" t="s">
        <v>69</v>
      </c>
      <c r="BM302">
        <v>-1.06</v>
      </c>
      <c r="BN302">
        <v>-2.9249999999999998</v>
      </c>
    </row>
    <row r="303" spans="2:66">
      <c r="B303">
        <v>470</v>
      </c>
      <c r="C303">
        <v>95</v>
      </c>
      <c r="D303">
        <v>0</v>
      </c>
      <c r="E303">
        <v>0</v>
      </c>
      <c r="F303">
        <v>2</v>
      </c>
      <c r="J303">
        <v>0</v>
      </c>
      <c r="K303">
        <v>3</v>
      </c>
      <c r="L303">
        <v>2</v>
      </c>
      <c r="M303" t="s">
        <v>25022</v>
      </c>
      <c r="N303">
        <v>2515</v>
      </c>
      <c r="O303" t="s">
        <v>14674</v>
      </c>
      <c r="P303" t="s">
        <v>62</v>
      </c>
      <c r="Q303">
        <v>2508224</v>
      </c>
      <c r="R303">
        <v>2509639</v>
      </c>
      <c r="S303" t="s">
        <v>14675</v>
      </c>
      <c r="T303">
        <v>472</v>
      </c>
      <c r="U303" t="s">
        <v>108</v>
      </c>
      <c r="V303">
        <v>44</v>
      </c>
      <c r="W303" t="str">
        <f>HYPERLINK("Gene2515-zp_tree_all.dnd", "Gene2515-tree")</f>
        <v>Gene2515-tree</v>
      </c>
      <c r="X303">
        <v>5</v>
      </c>
      <c r="Y303">
        <v>11</v>
      </c>
      <c r="Z303">
        <v>5</v>
      </c>
      <c r="AA303">
        <v>11</v>
      </c>
      <c r="AB303">
        <v>0.6875</v>
      </c>
      <c r="AC303" t="s">
        <v>199</v>
      </c>
      <c r="AD303" t="s">
        <v>73</v>
      </c>
      <c r="AE303">
        <v>137353515.63499999</v>
      </c>
      <c r="AF303" t="s">
        <v>267</v>
      </c>
      <c r="AG303">
        <v>2</v>
      </c>
      <c r="AH303">
        <v>5</v>
      </c>
      <c r="AI303">
        <v>15</v>
      </c>
      <c r="AJ303">
        <v>0.25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</v>
      </c>
      <c r="AQ303">
        <v>2</v>
      </c>
      <c r="AR303">
        <v>5</v>
      </c>
      <c r="AS303">
        <v>10</v>
      </c>
      <c r="AT303">
        <v>0.33333000000000002</v>
      </c>
      <c r="AU303">
        <v>14</v>
      </c>
      <c r="AV303">
        <v>13</v>
      </c>
      <c r="AW303">
        <v>49</v>
      </c>
      <c r="AX303">
        <v>14</v>
      </c>
      <c r="AY303">
        <v>40</v>
      </c>
      <c r="AZ303">
        <v>6</v>
      </c>
      <c r="BA303" t="s">
        <v>14676</v>
      </c>
      <c r="BB303" t="s">
        <v>14677</v>
      </c>
      <c r="BC303">
        <v>0.91300000000000003</v>
      </c>
      <c r="BD303" t="s">
        <v>65</v>
      </c>
      <c r="BE303">
        <v>89</v>
      </c>
      <c r="BF303">
        <v>20</v>
      </c>
      <c r="BG303" t="s">
        <v>14678</v>
      </c>
      <c r="BH303" t="s">
        <v>14679</v>
      </c>
      <c r="BI303" t="s">
        <v>14680</v>
      </c>
      <c r="BJ303">
        <v>6.6449999999999995E-2</v>
      </c>
      <c r="BK303">
        <v>1</v>
      </c>
      <c r="BL303" t="s">
        <v>69</v>
      </c>
      <c r="BM303">
        <v>-0.75800000000000001</v>
      </c>
      <c r="BN303">
        <v>-1.5960000000000001</v>
      </c>
    </row>
    <row r="304" spans="2:66">
      <c r="B304">
        <v>472</v>
      </c>
      <c r="C304">
        <v>248</v>
      </c>
      <c r="D304">
        <v>0</v>
      </c>
      <c r="E304">
        <v>2</v>
      </c>
      <c r="F304">
        <v>0</v>
      </c>
      <c r="J304">
        <v>0</v>
      </c>
      <c r="K304">
        <v>15</v>
      </c>
      <c r="L304">
        <v>0</v>
      </c>
      <c r="M304" t="s">
        <v>25022</v>
      </c>
      <c r="N304">
        <v>2516</v>
      </c>
      <c r="O304" t="s">
        <v>14681</v>
      </c>
      <c r="P304" t="s">
        <v>62</v>
      </c>
      <c r="Q304">
        <v>2509657</v>
      </c>
      <c r="R304">
        <v>2510772</v>
      </c>
      <c r="S304" t="s">
        <v>14682</v>
      </c>
      <c r="T304">
        <v>372</v>
      </c>
      <c r="U304" t="s">
        <v>108</v>
      </c>
      <c r="V304">
        <v>44</v>
      </c>
      <c r="W304" t="str">
        <f>HYPERLINK("Gene2516-zp_tree_all.dnd", "Gene2516-tree")</f>
        <v>Gene2516-tree</v>
      </c>
      <c r="X304">
        <v>24</v>
      </c>
      <c r="Y304">
        <v>11</v>
      </c>
      <c r="Z304">
        <v>3</v>
      </c>
      <c r="AA304">
        <v>11</v>
      </c>
      <c r="AB304">
        <v>0.78571000000000002</v>
      </c>
      <c r="AC304" t="s">
        <v>14683</v>
      </c>
      <c r="AD304" t="s">
        <v>73</v>
      </c>
      <c r="AE304">
        <v>7.625</v>
      </c>
      <c r="AF304" t="s">
        <v>267</v>
      </c>
      <c r="AG304">
        <v>6</v>
      </c>
      <c r="AH304">
        <v>15</v>
      </c>
      <c r="AI304">
        <v>12</v>
      </c>
      <c r="AJ304">
        <v>0.55556000000000005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2</v>
      </c>
      <c r="AQ304">
        <v>0</v>
      </c>
      <c r="AR304">
        <v>2</v>
      </c>
      <c r="AS304">
        <v>15</v>
      </c>
      <c r="AT304">
        <v>0.11765</v>
      </c>
      <c r="AU304">
        <v>11</v>
      </c>
      <c r="AV304">
        <v>8</v>
      </c>
      <c r="AW304">
        <v>31</v>
      </c>
      <c r="AX304">
        <v>16</v>
      </c>
      <c r="AY304">
        <v>12</v>
      </c>
      <c r="AZ304">
        <v>11</v>
      </c>
      <c r="BA304" t="s">
        <v>14684</v>
      </c>
      <c r="BB304" t="s">
        <v>14685</v>
      </c>
      <c r="BC304">
        <v>0.86599999999999999</v>
      </c>
      <c r="BD304" t="s">
        <v>65</v>
      </c>
      <c r="BE304">
        <v>43</v>
      </c>
      <c r="BF304">
        <v>27</v>
      </c>
      <c r="BG304" t="s">
        <v>14686</v>
      </c>
      <c r="BH304" t="s">
        <v>14687</v>
      </c>
      <c r="BI304" t="s">
        <v>14688</v>
      </c>
      <c r="BJ304">
        <v>0.16789999999999999</v>
      </c>
      <c r="BK304">
        <v>1</v>
      </c>
      <c r="BL304" t="s">
        <v>69</v>
      </c>
      <c r="BM304">
        <v>-1.2889999999999999</v>
      </c>
      <c r="BN304">
        <v>-2.0179999999999998</v>
      </c>
    </row>
    <row r="305" spans="2:66">
      <c r="B305">
        <v>473</v>
      </c>
      <c r="C305">
        <v>5</v>
      </c>
      <c r="D305">
        <v>0</v>
      </c>
      <c r="E305">
        <v>6</v>
      </c>
      <c r="F305">
        <v>0</v>
      </c>
      <c r="J305">
        <v>0</v>
      </c>
      <c r="K305">
        <v>13</v>
      </c>
      <c r="L305">
        <v>0</v>
      </c>
      <c r="M305" t="s">
        <v>25022</v>
      </c>
      <c r="N305">
        <v>2517</v>
      </c>
      <c r="O305" t="s">
        <v>14689</v>
      </c>
      <c r="P305" t="s">
        <v>62</v>
      </c>
      <c r="Q305">
        <v>2510809</v>
      </c>
      <c r="R305">
        <v>2511945</v>
      </c>
      <c r="S305" t="s">
        <v>14690</v>
      </c>
      <c r="T305">
        <v>379</v>
      </c>
      <c r="U305" t="s">
        <v>108</v>
      </c>
      <c r="V305">
        <v>44</v>
      </c>
      <c r="W305" t="str">
        <f>HYPERLINK("Gene2517-zp_tree_all.dnd", "Gene2517-tree")</f>
        <v>Gene2517-tree</v>
      </c>
      <c r="X305">
        <v>5</v>
      </c>
      <c r="Y305">
        <v>9</v>
      </c>
      <c r="Z305">
        <v>5</v>
      </c>
      <c r="AA305">
        <v>9</v>
      </c>
      <c r="AB305">
        <v>0.64285999999999999</v>
      </c>
      <c r="AC305" t="s">
        <v>199</v>
      </c>
      <c r="AD305" t="s">
        <v>135</v>
      </c>
      <c r="AE305" t="s">
        <v>62</v>
      </c>
      <c r="AF305" t="s">
        <v>62</v>
      </c>
      <c r="AG305">
        <v>6</v>
      </c>
      <c r="AH305">
        <v>13</v>
      </c>
      <c r="AI305">
        <v>12</v>
      </c>
      <c r="AJ305">
        <v>0.52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6</v>
      </c>
      <c r="AQ305">
        <v>0</v>
      </c>
      <c r="AR305">
        <v>6</v>
      </c>
      <c r="AS305">
        <v>11</v>
      </c>
      <c r="AT305">
        <v>0.35293999999999998</v>
      </c>
      <c r="AU305">
        <v>12</v>
      </c>
      <c r="AV305">
        <v>10</v>
      </c>
      <c r="AW305">
        <v>58</v>
      </c>
      <c r="AX305">
        <v>17</v>
      </c>
      <c r="AY305">
        <v>51</v>
      </c>
      <c r="AZ305">
        <v>8</v>
      </c>
      <c r="BA305" t="s">
        <v>14691</v>
      </c>
      <c r="BB305" t="s">
        <v>14692</v>
      </c>
      <c r="BC305">
        <v>0.55100000000000005</v>
      </c>
      <c r="BD305" t="s">
        <v>65</v>
      </c>
      <c r="BE305">
        <v>109</v>
      </c>
      <c r="BF305">
        <v>25</v>
      </c>
      <c r="BG305" t="s">
        <v>14693</v>
      </c>
      <c r="BH305" t="s">
        <v>14694</v>
      </c>
      <c r="BI305" t="s">
        <v>14695</v>
      </c>
      <c r="BJ305">
        <v>6.6909999999999997E-2</v>
      </c>
      <c r="BK305">
        <v>1</v>
      </c>
      <c r="BL305" t="s">
        <v>69</v>
      </c>
      <c r="BM305">
        <v>-0.77</v>
      </c>
      <c r="BN305">
        <v>-1.7070000000000001</v>
      </c>
    </row>
    <row r="306" spans="2:66">
      <c r="B306">
        <v>476</v>
      </c>
      <c r="C306">
        <v>81</v>
      </c>
      <c r="D306">
        <v>0</v>
      </c>
      <c r="E306">
        <v>2</v>
      </c>
      <c r="F306">
        <v>0</v>
      </c>
      <c r="J306">
        <v>0</v>
      </c>
      <c r="K306">
        <v>12</v>
      </c>
      <c r="L306">
        <v>2</v>
      </c>
      <c r="M306" t="s">
        <v>25022</v>
      </c>
      <c r="N306">
        <v>2518</v>
      </c>
      <c r="O306" t="s">
        <v>14696</v>
      </c>
      <c r="P306" t="s">
        <v>62</v>
      </c>
      <c r="Q306">
        <v>2511976</v>
      </c>
      <c r="R306">
        <v>2512836</v>
      </c>
      <c r="S306" t="s">
        <v>14697</v>
      </c>
      <c r="T306">
        <v>287</v>
      </c>
      <c r="U306" t="s">
        <v>108</v>
      </c>
      <c r="V306">
        <v>44</v>
      </c>
      <c r="W306" t="str">
        <f>HYPERLINK("Gene2518-zp_tree_all.dnd", "Gene2518-tree")</f>
        <v>Gene2518-tree</v>
      </c>
      <c r="X306">
        <v>26</v>
      </c>
      <c r="Y306">
        <v>8</v>
      </c>
      <c r="Z306">
        <v>6</v>
      </c>
      <c r="AA306">
        <v>8</v>
      </c>
      <c r="AB306">
        <v>0.57142999999999999</v>
      </c>
      <c r="AC306" t="s">
        <v>1030</v>
      </c>
      <c r="AD306" t="s">
        <v>136</v>
      </c>
      <c r="AE306" t="s">
        <v>62</v>
      </c>
      <c r="AF306" t="s">
        <v>62</v>
      </c>
      <c r="AG306">
        <v>6</v>
      </c>
      <c r="AH306">
        <v>14</v>
      </c>
      <c r="AI306">
        <v>13</v>
      </c>
      <c r="AJ306">
        <v>0.51851999999999998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4</v>
      </c>
      <c r="AQ306">
        <v>4</v>
      </c>
      <c r="AR306">
        <v>8</v>
      </c>
      <c r="AS306">
        <v>14</v>
      </c>
      <c r="AT306">
        <v>0.36364000000000002</v>
      </c>
      <c r="AU306">
        <v>13</v>
      </c>
      <c r="AV306">
        <v>7</v>
      </c>
      <c r="AW306">
        <v>29</v>
      </c>
      <c r="AX306">
        <v>23</v>
      </c>
      <c r="AY306">
        <v>15</v>
      </c>
      <c r="AZ306">
        <v>6</v>
      </c>
      <c r="BA306" t="s">
        <v>14698</v>
      </c>
      <c r="BB306" t="s">
        <v>14699</v>
      </c>
      <c r="BC306">
        <v>0.42599999999999999</v>
      </c>
      <c r="BD306" t="s">
        <v>65</v>
      </c>
      <c r="BE306">
        <v>44</v>
      </c>
      <c r="BF306">
        <v>29</v>
      </c>
      <c r="BG306" t="s">
        <v>14700</v>
      </c>
      <c r="BH306" t="s">
        <v>14701</v>
      </c>
      <c r="BI306" t="s">
        <v>14702</v>
      </c>
      <c r="BJ306">
        <v>0.17815</v>
      </c>
      <c r="BK306">
        <v>1</v>
      </c>
      <c r="BL306" t="s">
        <v>69</v>
      </c>
      <c r="BM306">
        <v>-1.1419999999999999</v>
      </c>
      <c r="BN306">
        <v>-2.282</v>
      </c>
    </row>
    <row r="307" spans="2:66">
      <c r="B307">
        <v>478</v>
      </c>
      <c r="C307">
        <v>120</v>
      </c>
      <c r="D307">
        <v>0</v>
      </c>
      <c r="E307">
        <v>2</v>
      </c>
      <c r="F307">
        <v>3</v>
      </c>
      <c r="J307">
        <v>0</v>
      </c>
      <c r="K307">
        <v>11</v>
      </c>
      <c r="L307">
        <v>0</v>
      </c>
      <c r="M307" t="s">
        <v>25022</v>
      </c>
      <c r="N307">
        <v>2519</v>
      </c>
      <c r="O307" t="s">
        <v>14703</v>
      </c>
      <c r="P307" t="s">
        <v>62</v>
      </c>
      <c r="Q307">
        <v>2512864</v>
      </c>
      <c r="R307">
        <v>2514042</v>
      </c>
      <c r="S307" t="s">
        <v>14704</v>
      </c>
      <c r="T307">
        <v>393</v>
      </c>
      <c r="U307" t="s">
        <v>108</v>
      </c>
      <c r="V307">
        <v>44</v>
      </c>
      <c r="W307" t="str">
        <f>HYPERLINK("Gene2519-zp_tree_all.dnd", "Gene2519-tree")</f>
        <v>Gene2519-tree</v>
      </c>
      <c r="X307">
        <v>4</v>
      </c>
      <c r="Y307">
        <v>10</v>
      </c>
      <c r="Z307">
        <v>4</v>
      </c>
      <c r="AA307">
        <v>10</v>
      </c>
      <c r="AB307">
        <v>0.71428999999999998</v>
      </c>
      <c r="AC307" t="s">
        <v>61</v>
      </c>
      <c r="AD307" t="s">
        <v>117</v>
      </c>
      <c r="AE307" t="s">
        <v>62</v>
      </c>
      <c r="AF307" t="s">
        <v>62</v>
      </c>
      <c r="AG307">
        <v>3</v>
      </c>
      <c r="AH307">
        <v>11</v>
      </c>
      <c r="AI307">
        <v>15</v>
      </c>
      <c r="AJ307">
        <v>0.42308000000000001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4</v>
      </c>
      <c r="AQ307">
        <v>0</v>
      </c>
      <c r="AR307">
        <v>4</v>
      </c>
      <c r="AS307">
        <v>16</v>
      </c>
      <c r="AT307">
        <v>0.2</v>
      </c>
      <c r="AU307">
        <v>14</v>
      </c>
      <c r="AV307">
        <v>9</v>
      </c>
      <c r="AW307">
        <v>47</v>
      </c>
      <c r="AX307">
        <v>21</v>
      </c>
      <c r="AY307">
        <v>22</v>
      </c>
      <c r="AZ307">
        <v>6</v>
      </c>
      <c r="BA307" t="s">
        <v>14705</v>
      </c>
      <c r="BB307" t="s">
        <v>14706</v>
      </c>
      <c r="BC307">
        <v>0.73199999999999998</v>
      </c>
      <c r="BD307" t="s">
        <v>65</v>
      </c>
      <c r="BE307">
        <v>69</v>
      </c>
      <c r="BF307">
        <v>27</v>
      </c>
      <c r="BG307" t="s">
        <v>14707</v>
      </c>
      <c r="BH307" t="s">
        <v>14708</v>
      </c>
      <c r="BI307" t="s">
        <v>14709</v>
      </c>
      <c r="BJ307">
        <v>8.7730000000000002E-2</v>
      </c>
      <c r="BK307">
        <v>1</v>
      </c>
      <c r="BL307" t="s">
        <v>69</v>
      </c>
      <c r="BM307">
        <v>-0.51600000000000001</v>
      </c>
      <c r="BN307">
        <v>-0.40400000000000003</v>
      </c>
    </row>
    <row r="308" spans="2:66">
      <c r="B308">
        <v>480</v>
      </c>
      <c r="C308">
        <v>83</v>
      </c>
      <c r="D308">
        <v>0</v>
      </c>
      <c r="E308">
        <v>2</v>
      </c>
      <c r="F308">
        <v>0</v>
      </c>
      <c r="J308">
        <v>0</v>
      </c>
      <c r="K308">
        <v>5</v>
      </c>
      <c r="L308">
        <v>2</v>
      </c>
      <c r="M308" t="s">
        <v>25022</v>
      </c>
      <c r="N308">
        <v>2520</v>
      </c>
      <c r="O308" t="s">
        <v>14710</v>
      </c>
      <c r="P308" t="s">
        <v>62</v>
      </c>
      <c r="Q308">
        <v>2514172</v>
      </c>
      <c r="R308">
        <v>2514900</v>
      </c>
      <c r="S308" t="s">
        <v>14711</v>
      </c>
      <c r="T308">
        <v>243</v>
      </c>
      <c r="U308" t="s">
        <v>108</v>
      </c>
      <c r="V308">
        <v>44</v>
      </c>
      <c r="W308" t="str">
        <f>HYPERLINK("Gene2520-zp_tree_all.dnd", "Gene2520-tree")</f>
        <v>Gene2520-tree</v>
      </c>
      <c r="X308">
        <v>3</v>
      </c>
      <c r="Y308">
        <v>10</v>
      </c>
      <c r="Z308">
        <v>3</v>
      </c>
      <c r="AA308">
        <v>10</v>
      </c>
      <c r="AB308">
        <v>0.76922999999999997</v>
      </c>
      <c r="AC308" t="s">
        <v>324</v>
      </c>
      <c r="AD308" t="s">
        <v>117</v>
      </c>
      <c r="AE308" t="s">
        <v>62</v>
      </c>
      <c r="AF308" t="s">
        <v>62</v>
      </c>
      <c r="AG308">
        <v>3</v>
      </c>
      <c r="AH308">
        <v>7</v>
      </c>
      <c r="AI308">
        <v>12</v>
      </c>
      <c r="AJ308">
        <v>0.36842000000000003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2</v>
      </c>
      <c r="AQ308">
        <v>2</v>
      </c>
      <c r="AR308">
        <v>4</v>
      </c>
      <c r="AS308">
        <v>9</v>
      </c>
      <c r="AT308">
        <v>0.30769000000000002</v>
      </c>
      <c r="AU308">
        <v>11</v>
      </c>
      <c r="AV308">
        <v>8</v>
      </c>
      <c r="AW308">
        <v>18</v>
      </c>
      <c r="AX308">
        <v>12</v>
      </c>
      <c r="AY308">
        <v>16</v>
      </c>
      <c r="AZ308">
        <v>8</v>
      </c>
      <c r="BA308" t="s">
        <v>14712</v>
      </c>
      <c r="BB308" t="s">
        <v>14713</v>
      </c>
      <c r="BC308">
        <v>0.47</v>
      </c>
      <c r="BD308" t="s">
        <v>65</v>
      </c>
      <c r="BE308">
        <v>34</v>
      </c>
      <c r="BF308">
        <v>20</v>
      </c>
      <c r="BG308" t="s">
        <v>14714</v>
      </c>
      <c r="BH308" t="s">
        <v>14715</v>
      </c>
      <c r="BI308" t="s">
        <v>14716</v>
      </c>
      <c r="BJ308">
        <v>0.20374</v>
      </c>
      <c r="BK308">
        <v>1</v>
      </c>
      <c r="BL308" t="s">
        <v>69</v>
      </c>
      <c r="BM308">
        <v>-0.47299999999999998</v>
      </c>
      <c r="BN308">
        <v>-0.92100000000000004</v>
      </c>
    </row>
    <row r="309" spans="2:66">
      <c r="B309">
        <v>481</v>
      </c>
      <c r="C309">
        <v>80</v>
      </c>
      <c r="D309">
        <v>0</v>
      </c>
      <c r="E309">
        <v>4</v>
      </c>
      <c r="F309">
        <v>0</v>
      </c>
      <c r="J309">
        <v>0</v>
      </c>
      <c r="K309">
        <v>0</v>
      </c>
      <c r="L309">
        <v>0</v>
      </c>
      <c r="M309" t="s">
        <v>25022</v>
      </c>
      <c r="N309">
        <v>2521</v>
      </c>
      <c r="O309" t="s">
        <v>14717</v>
      </c>
      <c r="P309" t="s">
        <v>62</v>
      </c>
      <c r="Q309">
        <v>2514982</v>
      </c>
      <c r="R309">
        <v>2515599</v>
      </c>
      <c r="S309" t="s">
        <v>1088</v>
      </c>
      <c r="T309">
        <v>206</v>
      </c>
      <c r="U309" t="s">
        <v>108</v>
      </c>
      <c r="V309">
        <v>44</v>
      </c>
      <c r="W309" t="str">
        <f>HYPERLINK("Gene2521-zp_tree_all.dnd", "Gene2521-tree")</f>
        <v>Gene2521-tree</v>
      </c>
      <c r="X309">
        <v>8</v>
      </c>
      <c r="Y309">
        <v>2</v>
      </c>
      <c r="Z309">
        <v>8</v>
      </c>
      <c r="AA309">
        <v>2</v>
      </c>
      <c r="AB309">
        <v>0.2</v>
      </c>
      <c r="AC309" t="s">
        <v>136</v>
      </c>
      <c r="AD309" t="s">
        <v>81</v>
      </c>
      <c r="AE309" t="s">
        <v>62</v>
      </c>
      <c r="AF309" t="s">
        <v>62</v>
      </c>
      <c r="AG309">
        <v>0</v>
      </c>
      <c r="AH309">
        <v>0</v>
      </c>
      <c r="AI309">
        <v>7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4</v>
      </c>
      <c r="AT309">
        <v>0</v>
      </c>
      <c r="AU309">
        <v>8</v>
      </c>
      <c r="AV309">
        <v>6</v>
      </c>
      <c r="AW309">
        <v>18</v>
      </c>
      <c r="AX309">
        <v>4</v>
      </c>
      <c r="AY309">
        <v>9</v>
      </c>
      <c r="AZ309">
        <v>3</v>
      </c>
      <c r="BA309" t="s">
        <v>14718</v>
      </c>
      <c r="BB309" t="s">
        <v>14719</v>
      </c>
      <c r="BC309">
        <v>0.247</v>
      </c>
      <c r="BD309" t="s">
        <v>65</v>
      </c>
      <c r="BE309">
        <v>27</v>
      </c>
      <c r="BF309">
        <v>7</v>
      </c>
      <c r="BG309" t="s">
        <v>14720</v>
      </c>
      <c r="BH309" t="s">
        <v>14721</v>
      </c>
      <c r="BI309" t="s">
        <v>14722</v>
      </c>
      <c r="BJ309">
        <v>0.10689</v>
      </c>
      <c r="BK309">
        <v>1</v>
      </c>
      <c r="BL309" t="s">
        <v>69</v>
      </c>
      <c r="BM309">
        <v>-0.54800000000000004</v>
      </c>
      <c r="BN309">
        <v>-2.569</v>
      </c>
    </row>
    <row r="310" spans="2:66">
      <c r="B310">
        <v>482</v>
      </c>
      <c r="C310">
        <v>36</v>
      </c>
      <c r="D310">
        <v>0</v>
      </c>
      <c r="E310">
        <v>0</v>
      </c>
      <c r="F310">
        <v>2</v>
      </c>
      <c r="J310">
        <v>0</v>
      </c>
      <c r="K310">
        <v>0</v>
      </c>
      <c r="L310">
        <v>0</v>
      </c>
      <c r="M310" t="s">
        <v>25022</v>
      </c>
      <c r="N310">
        <v>2522</v>
      </c>
      <c r="O310" t="s">
        <v>14723</v>
      </c>
      <c r="P310" t="s">
        <v>62</v>
      </c>
      <c r="Q310">
        <v>2515617</v>
      </c>
      <c r="R310">
        <v>2515907</v>
      </c>
      <c r="S310" t="s">
        <v>1523</v>
      </c>
      <c r="T310">
        <v>97</v>
      </c>
      <c r="U310" t="s">
        <v>409</v>
      </c>
      <c r="V310">
        <v>45</v>
      </c>
      <c r="W310" t="str">
        <f>HYPERLINK("Gene2522-zp_tree_all.dnd", "Gene2522-tree")</f>
        <v>Gene2522-tree</v>
      </c>
      <c r="X310">
        <v>24</v>
      </c>
      <c r="Y310">
        <v>5</v>
      </c>
      <c r="Z310">
        <v>3</v>
      </c>
      <c r="AA310">
        <v>5</v>
      </c>
      <c r="AB310">
        <v>0.625</v>
      </c>
      <c r="AC310" t="s">
        <v>14683</v>
      </c>
      <c r="AD310" t="s">
        <v>199</v>
      </c>
      <c r="AE310" t="s">
        <v>62</v>
      </c>
      <c r="AF310" t="s">
        <v>62</v>
      </c>
      <c r="AG310">
        <v>0</v>
      </c>
      <c r="AH310">
        <v>0</v>
      </c>
      <c r="AI310">
        <v>11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11</v>
      </c>
      <c r="AT310">
        <v>0</v>
      </c>
      <c r="AU310">
        <v>7</v>
      </c>
      <c r="AV310">
        <v>0</v>
      </c>
      <c r="AW310">
        <v>11</v>
      </c>
      <c r="AX310">
        <v>11</v>
      </c>
      <c r="AY310">
        <v>0</v>
      </c>
      <c r="AZ310">
        <v>0</v>
      </c>
      <c r="BA310" t="s">
        <v>14724</v>
      </c>
      <c r="BB310" t="s">
        <v>193</v>
      </c>
      <c r="BC310">
        <v>0.69899999999999995</v>
      </c>
      <c r="BD310" t="s">
        <v>65</v>
      </c>
      <c r="BE310">
        <v>11</v>
      </c>
      <c r="BF310">
        <v>11</v>
      </c>
      <c r="BG310" t="s">
        <v>14725</v>
      </c>
      <c r="BH310" t="s">
        <v>14726</v>
      </c>
      <c r="BI310" t="s">
        <v>14727</v>
      </c>
      <c r="BJ310">
        <v>0.29687999999999998</v>
      </c>
      <c r="BK310">
        <v>1</v>
      </c>
      <c r="BL310" t="s">
        <v>69</v>
      </c>
      <c r="BM310">
        <v>-2.0880000000000001</v>
      </c>
      <c r="BN310">
        <v>-4.5110000000000001</v>
      </c>
    </row>
    <row r="311" spans="2:66">
      <c r="B311">
        <v>483</v>
      </c>
      <c r="C311">
        <v>175</v>
      </c>
      <c r="D311">
        <v>0</v>
      </c>
      <c r="E311">
        <v>2</v>
      </c>
      <c r="F311">
        <v>0</v>
      </c>
      <c r="J311">
        <v>0</v>
      </c>
      <c r="K311">
        <v>0</v>
      </c>
      <c r="L311">
        <v>0</v>
      </c>
      <c r="M311" t="s">
        <v>25022</v>
      </c>
      <c r="N311">
        <v>2524</v>
      </c>
      <c r="O311" t="s">
        <v>14734</v>
      </c>
      <c r="P311" t="s">
        <v>62</v>
      </c>
      <c r="Q311">
        <v>2518026</v>
      </c>
      <c r="R311">
        <v>2518826</v>
      </c>
      <c r="S311" t="s">
        <v>14735</v>
      </c>
      <c r="T311">
        <v>267</v>
      </c>
      <c r="U311" t="s">
        <v>572</v>
      </c>
      <c r="V311">
        <v>48</v>
      </c>
      <c r="W311" t="str">
        <f>HYPERLINK("Gene2524-zp_tree_all.dnd", "Gene2524-tree")</f>
        <v>Gene2524-tree</v>
      </c>
      <c r="X311">
        <v>14</v>
      </c>
      <c r="Y311">
        <v>1</v>
      </c>
      <c r="Z311">
        <v>14</v>
      </c>
      <c r="AA311">
        <v>1</v>
      </c>
      <c r="AB311">
        <v>6.6669999999999993E-2</v>
      </c>
      <c r="AC311" t="s">
        <v>543</v>
      </c>
      <c r="AD311" t="s">
        <v>175</v>
      </c>
      <c r="AE311" t="s">
        <v>62</v>
      </c>
      <c r="AF311" t="s">
        <v>62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15</v>
      </c>
      <c r="AV311">
        <v>10</v>
      </c>
      <c r="AW311">
        <v>52</v>
      </c>
      <c r="AX311">
        <v>2</v>
      </c>
      <c r="AY311">
        <v>40</v>
      </c>
      <c r="AZ311">
        <v>2</v>
      </c>
      <c r="BA311" t="s">
        <v>14736</v>
      </c>
      <c r="BB311" t="s">
        <v>14737</v>
      </c>
      <c r="BC311">
        <v>5.5E-2</v>
      </c>
      <c r="BD311" t="s">
        <v>65</v>
      </c>
      <c r="BE311">
        <v>92</v>
      </c>
      <c r="BF311">
        <v>4</v>
      </c>
      <c r="BG311" t="s">
        <v>14738</v>
      </c>
      <c r="BH311" t="s">
        <v>14739</v>
      </c>
      <c r="BI311" t="s">
        <v>14740</v>
      </c>
      <c r="BJ311">
        <v>1.4959999999999999E-2</v>
      </c>
      <c r="BK311">
        <v>1</v>
      </c>
      <c r="BL311" t="s">
        <v>69</v>
      </c>
      <c r="BM311">
        <v>-1.0029999999999999</v>
      </c>
      <c r="BN311">
        <v>-1.919</v>
      </c>
    </row>
    <row r="312" spans="2:66">
      <c r="B312">
        <v>487</v>
      </c>
      <c r="C312">
        <v>241</v>
      </c>
      <c r="D312">
        <v>0</v>
      </c>
      <c r="E312">
        <v>17</v>
      </c>
      <c r="F312">
        <v>0</v>
      </c>
      <c r="J312">
        <v>0</v>
      </c>
      <c r="K312">
        <v>3</v>
      </c>
      <c r="L312">
        <v>0</v>
      </c>
      <c r="M312" t="s">
        <v>25022</v>
      </c>
      <c r="N312">
        <v>2525</v>
      </c>
      <c r="O312" t="s">
        <v>14741</v>
      </c>
      <c r="P312" t="s">
        <v>62</v>
      </c>
      <c r="Q312">
        <v>2519105</v>
      </c>
      <c r="R312">
        <v>2520382</v>
      </c>
      <c r="S312" t="s">
        <v>14742</v>
      </c>
      <c r="T312">
        <v>426</v>
      </c>
      <c r="U312" t="s">
        <v>108</v>
      </c>
      <c r="V312">
        <v>44</v>
      </c>
      <c r="W312" t="str">
        <f>HYPERLINK("Gene2525-zp_tree_all.dnd", "Gene2525-tree")</f>
        <v>Gene2525-tree</v>
      </c>
      <c r="X312">
        <v>8</v>
      </c>
      <c r="Y312">
        <v>5</v>
      </c>
      <c r="Z312">
        <v>8</v>
      </c>
      <c r="AA312">
        <v>5</v>
      </c>
      <c r="AB312">
        <v>0.38462000000000002</v>
      </c>
      <c r="AC312" t="s">
        <v>136</v>
      </c>
      <c r="AD312" t="s">
        <v>199</v>
      </c>
      <c r="AE312" t="s">
        <v>62</v>
      </c>
      <c r="AF312" t="s">
        <v>62</v>
      </c>
      <c r="AG312">
        <v>1</v>
      </c>
      <c r="AH312">
        <v>3</v>
      </c>
      <c r="AI312">
        <v>4</v>
      </c>
      <c r="AJ312">
        <v>0.42857000000000001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3</v>
      </c>
      <c r="AQ312">
        <v>0</v>
      </c>
      <c r="AR312">
        <v>3</v>
      </c>
      <c r="AS312">
        <v>4</v>
      </c>
      <c r="AT312">
        <v>0.42857000000000001</v>
      </c>
      <c r="AU312">
        <v>10</v>
      </c>
      <c r="AV312">
        <v>8</v>
      </c>
      <c r="AW312">
        <v>34</v>
      </c>
      <c r="AX312">
        <v>7</v>
      </c>
      <c r="AY312">
        <v>31</v>
      </c>
      <c r="AZ312">
        <v>0</v>
      </c>
      <c r="BA312" t="s">
        <v>14743</v>
      </c>
      <c r="BB312" t="s">
        <v>193</v>
      </c>
      <c r="BC312">
        <v>1.9590000000000001</v>
      </c>
      <c r="BD312" t="s">
        <v>65</v>
      </c>
      <c r="BE312">
        <v>65</v>
      </c>
      <c r="BF312">
        <v>7</v>
      </c>
      <c r="BG312" t="s">
        <v>14744</v>
      </c>
      <c r="BH312" t="s">
        <v>14745</v>
      </c>
      <c r="BI312" t="s">
        <v>14746</v>
      </c>
      <c r="BJ312">
        <v>2.053E-2</v>
      </c>
      <c r="BK312">
        <v>1</v>
      </c>
      <c r="BL312" t="s">
        <v>69</v>
      </c>
      <c r="BM312">
        <v>-0.29799999999999999</v>
      </c>
      <c r="BN312">
        <v>-0.64900000000000002</v>
      </c>
    </row>
    <row r="313" spans="2:66">
      <c r="B313">
        <v>497</v>
      </c>
      <c r="C313">
        <v>274</v>
      </c>
      <c r="D313">
        <v>0</v>
      </c>
      <c r="E313">
        <v>8</v>
      </c>
      <c r="F313">
        <v>2</v>
      </c>
      <c r="J313">
        <v>0</v>
      </c>
      <c r="K313">
        <v>7</v>
      </c>
      <c r="L313">
        <v>0</v>
      </c>
      <c r="M313" t="s">
        <v>25022</v>
      </c>
      <c r="N313">
        <v>2526</v>
      </c>
      <c r="O313" t="s">
        <v>14747</v>
      </c>
      <c r="P313" t="s">
        <v>62</v>
      </c>
      <c r="Q313">
        <v>2520560</v>
      </c>
      <c r="R313">
        <v>2522287</v>
      </c>
      <c r="S313" t="s">
        <v>14748</v>
      </c>
      <c r="T313">
        <v>576</v>
      </c>
      <c r="U313" t="s">
        <v>108</v>
      </c>
      <c r="V313">
        <v>44</v>
      </c>
      <c r="W313" t="str">
        <f>HYPERLINK("Gene2526-zp_tree_all.dnd", "Gene2526-tree")</f>
        <v>Gene2526-tree</v>
      </c>
      <c r="X313">
        <v>4</v>
      </c>
      <c r="Y313">
        <v>9</v>
      </c>
      <c r="Z313">
        <v>4</v>
      </c>
      <c r="AA313">
        <v>9</v>
      </c>
      <c r="AB313">
        <v>0.69230999999999998</v>
      </c>
      <c r="AC313" t="s">
        <v>61</v>
      </c>
      <c r="AD313" t="s">
        <v>135</v>
      </c>
      <c r="AE313" t="s">
        <v>62</v>
      </c>
      <c r="AF313" t="s">
        <v>62</v>
      </c>
      <c r="AG313">
        <v>3</v>
      </c>
      <c r="AH313">
        <v>7</v>
      </c>
      <c r="AI313">
        <v>6</v>
      </c>
      <c r="AJ313">
        <v>0.53846000000000005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5</v>
      </c>
      <c r="AQ313">
        <v>0</v>
      </c>
      <c r="AR313">
        <v>5</v>
      </c>
      <c r="AS313">
        <v>7</v>
      </c>
      <c r="AT313">
        <v>0.41666999999999998</v>
      </c>
      <c r="AU313">
        <v>12</v>
      </c>
      <c r="AV313">
        <v>8</v>
      </c>
      <c r="AW313">
        <v>52</v>
      </c>
      <c r="AX313">
        <v>12</v>
      </c>
      <c r="AY313">
        <v>23</v>
      </c>
      <c r="AZ313">
        <v>1</v>
      </c>
      <c r="BA313" t="s">
        <v>14749</v>
      </c>
      <c r="BB313" t="s">
        <v>14750</v>
      </c>
      <c r="BC313">
        <v>1.121</v>
      </c>
      <c r="BD313" t="s">
        <v>65</v>
      </c>
      <c r="BE313">
        <v>75</v>
      </c>
      <c r="BF313">
        <v>13</v>
      </c>
      <c r="BG313" t="s">
        <v>14751</v>
      </c>
      <c r="BH313" t="s">
        <v>14752</v>
      </c>
      <c r="BI313" t="s">
        <v>14753</v>
      </c>
      <c r="BJ313">
        <v>4.1209999999999997E-2</v>
      </c>
      <c r="BK313">
        <v>1</v>
      </c>
      <c r="BL313" t="s">
        <v>69</v>
      </c>
      <c r="BM313">
        <v>-0.94199999999999995</v>
      </c>
      <c r="BN313">
        <v>-1.3460000000000001</v>
      </c>
    </row>
    <row r="314" spans="2:66">
      <c r="B314">
        <v>504</v>
      </c>
      <c r="C314">
        <v>88</v>
      </c>
      <c r="D314">
        <v>0</v>
      </c>
      <c r="E314">
        <v>0</v>
      </c>
      <c r="F314">
        <v>2</v>
      </c>
      <c r="J314">
        <v>0</v>
      </c>
      <c r="K314">
        <v>2</v>
      </c>
      <c r="L314">
        <v>0</v>
      </c>
      <c r="M314" t="s">
        <v>25022</v>
      </c>
      <c r="N314">
        <v>2527</v>
      </c>
      <c r="O314" t="s">
        <v>14754</v>
      </c>
      <c r="P314" t="s">
        <v>62</v>
      </c>
      <c r="Q314">
        <v>2522327</v>
      </c>
      <c r="R314">
        <v>2522773</v>
      </c>
      <c r="S314" t="s">
        <v>14755</v>
      </c>
      <c r="T314">
        <v>149</v>
      </c>
      <c r="U314" t="s">
        <v>11803</v>
      </c>
      <c r="V314">
        <v>47</v>
      </c>
      <c r="W314" t="str">
        <f>HYPERLINK("Gene2527-zp_tree_all.dnd", "Gene2527-tree")</f>
        <v>Gene2527-tree</v>
      </c>
      <c r="X314">
        <v>10</v>
      </c>
      <c r="Y314">
        <v>3</v>
      </c>
      <c r="Z314">
        <v>10</v>
      </c>
      <c r="AA314">
        <v>3</v>
      </c>
      <c r="AB314">
        <v>0.23077</v>
      </c>
      <c r="AC314" t="s">
        <v>117</v>
      </c>
      <c r="AD314" t="s">
        <v>324</v>
      </c>
      <c r="AE314" t="s">
        <v>62</v>
      </c>
      <c r="AF314" t="s">
        <v>62</v>
      </c>
      <c r="AG314">
        <v>1</v>
      </c>
      <c r="AH314">
        <v>2</v>
      </c>
      <c r="AI314">
        <v>4</v>
      </c>
      <c r="AJ314">
        <v>0.33333000000000002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</v>
      </c>
      <c r="AQ314">
        <v>0</v>
      </c>
      <c r="AR314">
        <v>2</v>
      </c>
      <c r="AS314">
        <v>1</v>
      </c>
      <c r="AT314">
        <v>0.66666999999999998</v>
      </c>
      <c r="AU314">
        <v>13</v>
      </c>
      <c r="AV314">
        <v>7</v>
      </c>
      <c r="AW314">
        <v>24</v>
      </c>
      <c r="AX314">
        <v>3</v>
      </c>
      <c r="AY314">
        <v>27</v>
      </c>
      <c r="AZ314">
        <v>3</v>
      </c>
      <c r="BA314" t="s">
        <v>14756</v>
      </c>
      <c r="BB314" t="s">
        <v>14757</v>
      </c>
      <c r="BC314">
        <v>8.2000000000000003E-2</v>
      </c>
      <c r="BD314" t="s">
        <v>65</v>
      </c>
      <c r="BE314">
        <v>51</v>
      </c>
      <c r="BF314">
        <v>6</v>
      </c>
      <c r="BG314" t="s">
        <v>14758</v>
      </c>
      <c r="BH314" t="s">
        <v>14759</v>
      </c>
      <c r="BI314" t="s">
        <v>14760</v>
      </c>
      <c r="BJ314">
        <v>3.8539999999999998E-2</v>
      </c>
      <c r="BK314">
        <v>1</v>
      </c>
      <c r="BL314" t="s">
        <v>69</v>
      </c>
      <c r="BM314">
        <v>-1.012</v>
      </c>
      <c r="BN314">
        <v>-0.35899999999999999</v>
      </c>
    </row>
    <row r="315" spans="2:66">
      <c r="B315">
        <v>507</v>
      </c>
      <c r="C315">
        <v>297</v>
      </c>
      <c r="D315">
        <v>0</v>
      </c>
      <c r="E315">
        <v>2</v>
      </c>
      <c r="F315">
        <v>0</v>
      </c>
      <c r="J315">
        <v>0</v>
      </c>
      <c r="K315">
        <v>2</v>
      </c>
      <c r="L315">
        <v>0</v>
      </c>
      <c r="M315" t="s">
        <v>25022</v>
      </c>
      <c r="N315">
        <v>2528</v>
      </c>
      <c r="O315" t="s">
        <v>14761</v>
      </c>
      <c r="P315" t="s">
        <v>62</v>
      </c>
      <c r="Q315">
        <v>2522874</v>
      </c>
      <c r="R315">
        <v>2523716</v>
      </c>
      <c r="S315" t="s">
        <v>14762</v>
      </c>
      <c r="T315">
        <v>281</v>
      </c>
      <c r="U315" t="s">
        <v>14763</v>
      </c>
      <c r="V315">
        <v>44</v>
      </c>
      <c r="W315" t="str">
        <f>HYPERLINK("Gene2528-zp_tree_all.dnd", "Gene2528-tree")</f>
        <v>Gene2528-tree</v>
      </c>
      <c r="X315">
        <v>7</v>
      </c>
      <c r="Y315">
        <v>5</v>
      </c>
      <c r="Z315">
        <v>7</v>
      </c>
      <c r="AA315">
        <v>5</v>
      </c>
      <c r="AB315">
        <v>0.41666999999999998</v>
      </c>
      <c r="AC315" t="s">
        <v>152</v>
      </c>
      <c r="AD315" t="s">
        <v>199</v>
      </c>
      <c r="AE315" t="s">
        <v>62</v>
      </c>
      <c r="AF315" t="s">
        <v>62</v>
      </c>
      <c r="AG315">
        <v>1</v>
      </c>
      <c r="AH315">
        <v>2</v>
      </c>
      <c r="AI315">
        <v>8</v>
      </c>
      <c r="AJ315">
        <v>0.2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2</v>
      </c>
      <c r="AQ315">
        <v>0</v>
      </c>
      <c r="AR315">
        <v>2</v>
      </c>
      <c r="AS315">
        <v>7</v>
      </c>
      <c r="AT315">
        <v>0.22222</v>
      </c>
      <c r="AU315">
        <v>11</v>
      </c>
      <c r="AV315">
        <v>7</v>
      </c>
      <c r="AW315">
        <v>38</v>
      </c>
      <c r="AX315">
        <v>9</v>
      </c>
      <c r="AY315">
        <v>15</v>
      </c>
      <c r="AZ315">
        <v>1</v>
      </c>
      <c r="BA315" t="s">
        <v>14764</v>
      </c>
      <c r="BB315" t="s">
        <v>14765</v>
      </c>
      <c r="BC315">
        <v>0.45300000000000001</v>
      </c>
      <c r="BD315" t="s">
        <v>65</v>
      </c>
      <c r="BE315">
        <v>53</v>
      </c>
      <c r="BF315">
        <v>10</v>
      </c>
      <c r="BG315" t="s">
        <v>14766</v>
      </c>
      <c r="BH315" t="s">
        <v>14767</v>
      </c>
      <c r="BI315" t="s">
        <v>14768</v>
      </c>
      <c r="BJ315">
        <v>4.8340000000000001E-2</v>
      </c>
      <c r="BK315">
        <v>1</v>
      </c>
      <c r="BL315" t="s">
        <v>69</v>
      </c>
      <c r="BM315">
        <v>-1.0569999999999999</v>
      </c>
      <c r="BN315">
        <v>-2.7549999999999999</v>
      </c>
    </row>
    <row r="316" spans="2:66">
      <c r="B316">
        <v>514</v>
      </c>
      <c r="C316">
        <v>286</v>
      </c>
      <c r="D316">
        <v>0</v>
      </c>
      <c r="E316">
        <v>0</v>
      </c>
      <c r="F316">
        <v>2</v>
      </c>
      <c r="J316">
        <v>0</v>
      </c>
      <c r="K316">
        <v>4</v>
      </c>
      <c r="L316">
        <v>0</v>
      </c>
      <c r="M316" t="s">
        <v>25022</v>
      </c>
      <c r="N316">
        <v>2529</v>
      </c>
      <c r="O316" t="s">
        <v>14769</v>
      </c>
      <c r="P316" t="s">
        <v>62</v>
      </c>
      <c r="Q316">
        <v>2523716</v>
      </c>
      <c r="R316">
        <v>2525614</v>
      </c>
      <c r="S316" t="s">
        <v>14770</v>
      </c>
      <c r="T316">
        <v>633</v>
      </c>
      <c r="U316" t="s">
        <v>2803</v>
      </c>
      <c r="V316">
        <v>45</v>
      </c>
      <c r="W316" t="str">
        <f>HYPERLINK("Gene2529-zp_tree_all.dnd", "Gene2529-tree")</f>
        <v>Gene2529-tree</v>
      </c>
      <c r="X316">
        <v>8</v>
      </c>
      <c r="Y316">
        <v>7</v>
      </c>
      <c r="Z316">
        <v>8</v>
      </c>
      <c r="AA316">
        <v>7</v>
      </c>
      <c r="AB316">
        <v>0.46666999999999997</v>
      </c>
      <c r="AC316" t="s">
        <v>136</v>
      </c>
      <c r="AD316" t="s">
        <v>152</v>
      </c>
      <c r="AE316" t="s">
        <v>62</v>
      </c>
      <c r="AF316" t="s">
        <v>62</v>
      </c>
      <c r="AG316">
        <v>2</v>
      </c>
      <c r="AH316">
        <v>4</v>
      </c>
      <c r="AI316">
        <v>12</v>
      </c>
      <c r="AJ316">
        <v>0.25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13</v>
      </c>
      <c r="AT316">
        <v>0</v>
      </c>
      <c r="AU316">
        <v>13</v>
      </c>
      <c r="AV316">
        <v>11</v>
      </c>
      <c r="AW316">
        <v>118</v>
      </c>
      <c r="AX316">
        <v>13</v>
      </c>
      <c r="AY316">
        <v>35</v>
      </c>
      <c r="AZ316">
        <v>4</v>
      </c>
      <c r="BA316" t="s">
        <v>14771</v>
      </c>
      <c r="BB316" t="s">
        <v>14772</v>
      </c>
      <c r="BC316">
        <v>5.5E-2</v>
      </c>
      <c r="BD316" t="s">
        <v>65</v>
      </c>
      <c r="BE316">
        <v>153</v>
      </c>
      <c r="BF316">
        <v>17</v>
      </c>
      <c r="BG316" t="s">
        <v>14773</v>
      </c>
      <c r="BH316" t="s">
        <v>14774</v>
      </c>
      <c r="BI316" t="s">
        <v>14775</v>
      </c>
      <c r="BJ316">
        <v>2.7459999999999998E-2</v>
      </c>
      <c r="BK316">
        <v>1</v>
      </c>
      <c r="BL316" t="s">
        <v>69</v>
      </c>
      <c r="BM316">
        <v>-1.74</v>
      </c>
      <c r="BN316">
        <v>-4.7939999999999996</v>
      </c>
    </row>
    <row r="317" spans="2:66">
      <c r="B317">
        <v>516</v>
      </c>
      <c r="C317">
        <v>77</v>
      </c>
      <c r="D317">
        <v>0</v>
      </c>
      <c r="E317">
        <v>0</v>
      </c>
      <c r="F317">
        <v>2</v>
      </c>
      <c r="J317">
        <v>0</v>
      </c>
      <c r="K317">
        <v>0</v>
      </c>
      <c r="L317">
        <v>0</v>
      </c>
      <c r="M317" t="s">
        <v>25022</v>
      </c>
      <c r="N317">
        <v>2530</v>
      </c>
      <c r="O317" t="s">
        <v>8572</v>
      </c>
      <c r="P317" t="s">
        <v>62</v>
      </c>
      <c r="Q317">
        <v>2525792</v>
      </c>
      <c r="R317">
        <v>2526679</v>
      </c>
      <c r="S317" t="s">
        <v>14776</v>
      </c>
      <c r="T317">
        <v>296</v>
      </c>
      <c r="U317" t="s">
        <v>108</v>
      </c>
      <c r="V317">
        <v>44</v>
      </c>
      <c r="W317" t="str">
        <f>HYPERLINK("Gene2530-zp_tree_all.dnd", "Gene2530-tree")</f>
        <v>Gene2530-tree</v>
      </c>
      <c r="X317">
        <v>6</v>
      </c>
      <c r="Y317">
        <v>5</v>
      </c>
      <c r="Z317">
        <v>6</v>
      </c>
      <c r="AA317">
        <v>5</v>
      </c>
      <c r="AB317">
        <v>0.45455000000000001</v>
      </c>
      <c r="AC317" t="s">
        <v>90</v>
      </c>
      <c r="AD317" t="s">
        <v>199</v>
      </c>
      <c r="AE317" t="s">
        <v>62</v>
      </c>
      <c r="AF317" t="s">
        <v>62</v>
      </c>
      <c r="AG317">
        <v>0</v>
      </c>
      <c r="AH317">
        <v>0</v>
      </c>
      <c r="AI317">
        <v>8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7</v>
      </c>
      <c r="AT317">
        <v>0</v>
      </c>
      <c r="AU317">
        <v>10</v>
      </c>
      <c r="AV317">
        <v>7</v>
      </c>
      <c r="AW317">
        <v>18</v>
      </c>
      <c r="AX317">
        <v>7</v>
      </c>
      <c r="AY317">
        <v>11</v>
      </c>
      <c r="AZ317">
        <v>1</v>
      </c>
      <c r="BA317" t="s">
        <v>14777</v>
      </c>
      <c r="BB317" t="s">
        <v>14778</v>
      </c>
      <c r="BC317">
        <v>0.79500000000000004</v>
      </c>
      <c r="BD317" t="s">
        <v>65</v>
      </c>
      <c r="BE317">
        <v>29</v>
      </c>
      <c r="BF317">
        <v>8</v>
      </c>
      <c r="BG317" t="s">
        <v>14779</v>
      </c>
      <c r="BH317" t="s">
        <v>14780</v>
      </c>
      <c r="BI317" t="s">
        <v>14781</v>
      </c>
      <c r="BJ317">
        <v>8.4449999999999997E-2</v>
      </c>
      <c r="BK317">
        <v>1</v>
      </c>
      <c r="BL317" t="s">
        <v>69</v>
      </c>
      <c r="BM317">
        <v>-1.504</v>
      </c>
      <c r="BN317">
        <v>-1.5209999999999999</v>
      </c>
    </row>
    <row r="318" spans="2:66">
      <c r="B318">
        <v>524</v>
      </c>
      <c r="C318">
        <v>35</v>
      </c>
      <c r="D318">
        <v>0</v>
      </c>
      <c r="E318">
        <v>2</v>
      </c>
      <c r="F318">
        <v>0</v>
      </c>
      <c r="J318">
        <v>0</v>
      </c>
      <c r="K318">
        <v>0</v>
      </c>
      <c r="L318">
        <v>0</v>
      </c>
      <c r="M318" t="s">
        <v>25022</v>
      </c>
      <c r="N318">
        <v>2531</v>
      </c>
      <c r="O318" t="s">
        <v>14782</v>
      </c>
      <c r="P318" t="s">
        <v>62</v>
      </c>
      <c r="Q318">
        <v>2526672</v>
      </c>
      <c r="R318">
        <v>2526923</v>
      </c>
      <c r="S318" t="s">
        <v>14783</v>
      </c>
      <c r="T318">
        <v>84</v>
      </c>
      <c r="U318" t="s">
        <v>59</v>
      </c>
      <c r="V318">
        <v>49</v>
      </c>
      <c r="W318" t="str">
        <f>HYPERLINK("Gene2531-zp_tree_all.dnd", "Gene2531-tree")</f>
        <v>Gene2531-tree</v>
      </c>
      <c r="X318">
        <v>7</v>
      </c>
      <c r="Y318">
        <v>3</v>
      </c>
      <c r="Z318">
        <v>7</v>
      </c>
      <c r="AA318">
        <v>3</v>
      </c>
      <c r="AB318">
        <v>0.3</v>
      </c>
      <c r="AC318" t="s">
        <v>152</v>
      </c>
      <c r="AD318" t="s">
        <v>324</v>
      </c>
      <c r="AE318" t="s">
        <v>62</v>
      </c>
      <c r="AF318" t="s">
        <v>62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</v>
      </c>
      <c r="AT318">
        <v>0</v>
      </c>
      <c r="AU318">
        <v>7</v>
      </c>
      <c r="AV318">
        <v>4</v>
      </c>
      <c r="AW318">
        <v>11</v>
      </c>
      <c r="AX318">
        <v>4</v>
      </c>
      <c r="AY318">
        <v>11</v>
      </c>
      <c r="AZ318">
        <v>0</v>
      </c>
      <c r="BA318" t="s">
        <v>14784</v>
      </c>
      <c r="BB318" t="s">
        <v>193</v>
      </c>
      <c r="BC318">
        <v>1.0820000000000001</v>
      </c>
      <c r="BD318" t="s">
        <v>65</v>
      </c>
      <c r="BE318">
        <v>22</v>
      </c>
      <c r="BF318">
        <v>4</v>
      </c>
      <c r="BG318" t="s">
        <v>14785</v>
      </c>
      <c r="BH318" t="s">
        <v>14786</v>
      </c>
      <c r="BI318" t="s">
        <v>14787</v>
      </c>
      <c r="BJ318">
        <v>2.197E-2</v>
      </c>
      <c r="BK318">
        <v>1</v>
      </c>
      <c r="BL318" t="s">
        <v>69</v>
      </c>
      <c r="BM318">
        <v>-1.581</v>
      </c>
      <c r="BN318">
        <v>-1.6950000000000001</v>
      </c>
    </row>
    <row r="319" spans="2:66">
      <c r="B319">
        <v>526</v>
      </c>
      <c r="C319">
        <v>71</v>
      </c>
      <c r="D319">
        <v>0</v>
      </c>
      <c r="E319">
        <v>2</v>
      </c>
      <c r="F319">
        <v>0</v>
      </c>
      <c r="J319">
        <v>0</v>
      </c>
      <c r="K319">
        <v>0</v>
      </c>
      <c r="L319">
        <v>0</v>
      </c>
      <c r="M319" t="s">
        <v>25022</v>
      </c>
      <c r="N319">
        <v>2532</v>
      </c>
      <c r="O319" t="s">
        <v>14788</v>
      </c>
      <c r="P319" t="s">
        <v>62</v>
      </c>
      <c r="Q319">
        <v>2526923</v>
      </c>
      <c r="R319">
        <v>2528266</v>
      </c>
      <c r="S319" t="s">
        <v>14789</v>
      </c>
      <c r="T319">
        <v>448</v>
      </c>
      <c r="U319" t="s">
        <v>108</v>
      </c>
      <c r="V319">
        <v>44</v>
      </c>
      <c r="W319" t="str">
        <f>HYPERLINK("Gene2532-zp_tree_all.dnd", "Gene2532-tree")</f>
        <v>Gene2532-tree</v>
      </c>
      <c r="X319">
        <v>7</v>
      </c>
      <c r="Y319">
        <v>7</v>
      </c>
      <c r="Z319">
        <v>7</v>
      </c>
      <c r="AA319">
        <v>7</v>
      </c>
      <c r="AB319">
        <v>0.5</v>
      </c>
      <c r="AC319" t="s">
        <v>152</v>
      </c>
      <c r="AD319" t="s">
        <v>152</v>
      </c>
      <c r="AE319" t="s">
        <v>62</v>
      </c>
      <c r="AF319" t="s">
        <v>62</v>
      </c>
      <c r="AG319">
        <v>0</v>
      </c>
      <c r="AH319">
        <v>0</v>
      </c>
      <c r="AI319">
        <v>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9</v>
      </c>
      <c r="AT319">
        <v>0</v>
      </c>
      <c r="AU319">
        <v>11</v>
      </c>
      <c r="AV319">
        <v>10</v>
      </c>
      <c r="AW319">
        <v>22</v>
      </c>
      <c r="AX319">
        <v>8</v>
      </c>
      <c r="AY319">
        <v>15</v>
      </c>
      <c r="AZ319">
        <v>1</v>
      </c>
      <c r="BA319" t="s">
        <v>14790</v>
      </c>
      <c r="BB319" t="s">
        <v>14791</v>
      </c>
      <c r="BC319">
        <v>0.91100000000000003</v>
      </c>
      <c r="BD319" t="s">
        <v>65</v>
      </c>
      <c r="BE319">
        <v>37</v>
      </c>
      <c r="BF319">
        <v>9</v>
      </c>
      <c r="BG319" t="s">
        <v>14792</v>
      </c>
      <c r="BH319" t="s">
        <v>14793</v>
      </c>
      <c r="BI319" t="s">
        <v>14794</v>
      </c>
      <c r="BJ319">
        <v>5.4390000000000001E-2</v>
      </c>
      <c r="BK319">
        <v>1</v>
      </c>
      <c r="BL319" t="s">
        <v>69</v>
      </c>
      <c r="BM319">
        <v>-1.02</v>
      </c>
      <c r="BN319">
        <v>-2.423</v>
      </c>
    </row>
    <row r="320" spans="2:66">
      <c r="B320">
        <v>527</v>
      </c>
      <c r="C320">
        <v>5</v>
      </c>
      <c r="D320">
        <v>0</v>
      </c>
      <c r="E320">
        <v>10</v>
      </c>
      <c r="F320">
        <v>0</v>
      </c>
      <c r="J320">
        <v>0</v>
      </c>
      <c r="K320">
        <v>0</v>
      </c>
      <c r="L320">
        <v>0</v>
      </c>
      <c r="M320" t="s">
        <v>25022</v>
      </c>
      <c r="N320">
        <v>2533</v>
      </c>
      <c r="O320" t="s">
        <v>14795</v>
      </c>
      <c r="P320" t="s">
        <v>62</v>
      </c>
      <c r="Q320">
        <v>2528407</v>
      </c>
      <c r="R320">
        <v>2529255</v>
      </c>
      <c r="S320" t="s">
        <v>14796</v>
      </c>
      <c r="T320">
        <v>283</v>
      </c>
      <c r="U320" t="s">
        <v>59</v>
      </c>
      <c r="V320">
        <v>49</v>
      </c>
      <c r="W320" t="str">
        <f>HYPERLINK("Gene2533-zp_tree_all.dnd", "Gene2533-tree")</f>
        <v>Gene2533-tree</v>
      </c>
      <c r="X320">
        <v>10</v>
      </c>
      <c r="Y320">
        <v>5</v>
      </c>
      <c r="Z320">
        <v>10</v>
      </c>
      <c r="AA320">
        <v>5</v>
      </c>
      <c r="AB320">
        <v>0.33333000000000002</v>
      </c>
      <c r="AC320" t="s">
        <v>117</v>
      </c>
      <c r="AD320" t="s">
        <v>199</v>
      </c>
      <c r="AE320" t="s">
        <v>62</v>
      </c>
      <c r="AF320" t="s">
        <v>62</v>
      </c>
      <c r="AG320">
        <v>0</v>
      </c>
      <c r="AH320">
        <v>0</v>
      </c>
      <c r="AI320">
        <v>7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5</v>
      </c>
      <c r="AT320">
        <v>0</v>
      </c>
      <c r="AU320">
        <v>10</v>
      </c>
      <c r="AV320">
        <v>8</v>
      </c>
      <c r="AW320">
        <v>17</v>
      </c>
      <c r="AX320">
        <v>4</v>
      </c>
      <c r="AY320">
        <v>35</v>
      </c>
      <c r="AZ320">
        <v>3</v>
      </c>
      <c r="BA320" t="s">
        <v>14797</v>
      </c>
      <c r="BB320" t="s">
        <v>14798</v>
      </c>
      <c r="BC320">
        <v>0.78800000000000003</v>
      </c>
      <c r="BD320" t="s">
        <v>65</v>
      </c>
      <c r="BE320">
        <v>52</v>
      </c>
      <c r="BF320">
        <v>7</v>
      </c>
      <c r="BG320" t="s">
        <v>14799</v>
      </c>
      <c r="BH320" t="s">
        <v>14800</v>
      </c>
      <c r="BI320" t="s">
        <v>14801</v>
      </c>
      <c r="BJ320">
        <v>3.1469999999999998E-2</v>
      </c>
      <c r="BK320">
        <v>1</v>
      </c>
      <c r="BL320" t="s">
        <v>69</v>
      </c>
      <c r="BM320">
        <v>-1.498</v>
      </c>
      <c r="BN320">
        <v>-0.58499999999999996</v>
      </c>
    </row>
    <row r="321" spans="2:66">
      <c r="B321">
        <v>528</v>
      </c>
      <c r="C321">
        <v>71</v>
      </c>
      <c r="D321">
        <v>0</v>
      </c>
      <c r="E321">
        <v>5</v>
      </c>
      <c r="F321">
        <v>7</v>
      </c>
      <c r="J321">
        <v>0</v>
      </c>
      <c r="K321">
        <v>0</v>
      </c>
      <c r="L321">
        <v>2</v>
      </c>
      <c r="M321" t="s">
        <v>25022</v>
      </c>
      <c r="N321">
        <v>2534</v>
      </c>
      <c r="O321" t="s">
        <v>14802</v>
      </c>
      <c r="P321" t="s">
        <v>62</v>
      </c>
      <c r="Q321">
        <v>2529270</v>
      </c>
      <c r="R321">
        <v>2529662</v>
      </c>
      <c r="S321" t="s">
        <v>14803</v>
      </c>
      <c r="T321">
        <v>131</v>
      </c>
      <c r="U321" t="s">
        <v>59</v>
      </c>
      <c r="V321">
        <v>49</v>
      </c>
      <c r="W321" t="str">
        <f>HYPERLINK("Gene2534-zp_tree_all.dnd", "Gene2534-tree")</f>
        <v>Gene2534-tree</v>
      </c>
      <c r="X321">
        <v>7</v>
      </c>
      <c r="Y321">
        <v>2</v>
      </c>
      <c r="Z321">
        <v>7</v>
      </c>
      <c r="AA321">
        <v>2</v>
      </c>
      <c r="AB321">
        <v>0.22222</v>
      </c>
      <c r="AC321" t="s">
        <v>152</v>
      </c>
      <c r="AD321" t="s">
        <v>81</v>
      </c>
      <c r="AE321" t="s">
        <v>62</v>
      </c>
      <c r="AF321" t="s">
        <v>62</v>
      </c>
      <c r="AG321">
        <v>1</v>
      </c>
      <c r="AH321">
        <v>2</v>
      </c>
      <c r="AI321">
        <v>2</v>
      </c>
      <c r="AJ321">
        <v>0.5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7</v>
      </c>
      <c r="AV321">
        <v>5</v>
      </c>
      <c r="AW321">
        <v>10</v>
      </c>
      <c r="AX321">
        <v>2</v>
      </c>
      <c r="AY321">
        <v>12</v>
      </c>
      <c r="AZ321">
        <v>2</v>
      </c>
      <c r="BA321" t="s">
        <v>14804</v>
      </c>
      <c r="BB321" t="s">
        <v>14805</v>
      </c>
      <c r="BC321">
        <v>0.123</v>
      </c>
      <c r="BD321" t="s">
        <v>65</v>
      </c>
      <c r="BE321">
        <v>22</v>
      </c>
      <c r="BF321">
        <v>4</v>
      </c>
      <c r="BG321" t="s">
        <v>14806</v>
      </c>
      <c r="BH321" t="s">
        <v>14807</v>
      </c>
      <c r="BI321" t="s">
        <v>14808</v>
      </c>
      <c r="BJ321">
        <v>4.8520000000000001E-2</v>
      </c>
      <c r="BK321">
        <v>1</v>
      </c>
      <c r="BL321" t="s">
        <v>69</v>
      </c>
      <c r="BM321">
        <v>-1.833</v>
      </c>
      <c r="BN321">
        <v>-0.57199999999999995</v>
      </c>
    </row>
    <row r="322" spans="2:66">
      <c r="B322">
        <v>529</v>
      </c>
      <c r="C322">
        <v>70</v>
      </c>
      <c r="D322">
        <v>0</v>
      </c>
      <c r="E322">
        <v>6</v>
      </c>
      <c r="F322">
        <v>4</v>
      </c>
      <c r="J322">
        <v>0</v>
      </c>
      <c r="K322">
        <v>0</v>
      </c>
      <c r="L322">
        <v>0</v>
      </c>
      <c r="M322" t="s">
        <v>25022</v>
      </c>
      <c r="N322">
        <v>2535</v>
      </c>
      <c r="O322" t="s">
        <v>14809</v>
      </c>
      <c r="P322" t="s">
        <v>62</v>
      </c>
      <c r="Q322">
        <v>2529929</v>
      </c>
      <c r="R322">
        <v>2530333</v>
      </c>
      <c r="S322" t="s">
        <v>14810</v>
      </c>
      <c r="T322">
        <v>135</v>
      </c>
      <c r="U322" t="s">
        <v>59</v>
      </c>
      <c r="V322">
        <v>49</v>
      </c>
      <c r="W322" t="str">
        <f>HYPERLINK("Gene2535-zp_tree_all.dnd", "Gene2535-tree")</f>
        <v>Gene2535-tree</v>
      </c>
      <c r="X322">
        <v>31</v>
      </c>
      <c r="Y322">
        <v>3</v>
      </c>
      <c r="Z322">
        <v>11</v>
      </c>
      <c r="AA322">
        <v>3</v>
      </c>
      <c r="AB322">
        <v>0.21429000000000001</v>
      </c>
      <c r="AC322" t="s">
        <v>2860</v>
      </c>
      <c r="AD322" t="s">
        <v>324</v>
      </c>
      <c r="AE322" t="s">
        <v>62</v>
      </c>
      <c r="AF322" t="s">
        <v>62</v>
      </c>
      <c r="AG322">
        <v>0</v>
      </c>
      <c r="AH322">
        <v>0</v>
      </c>
      <c r="AI322">
        <v>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3</v>
      </c>
      <c r="AT322">
        <v>0</v>
      </c>
      <c r="AU322">
        <v>10</v>
      </c>
      <c r="AV322">
        <v>7</v>
      </c>
      <c r="AW322">
        <v>9</v>
      </c>
      <c r="AX322">
        <v>3</v>
      </c>
      <c r="AY322">
        <v>23</v>
      </c>
      <c r="AZ322">
        <v>1</v>
      </c>
      <c r="BA322" t="s">
        <v>14811</v>
      </c>
      <c r="BB322" t="s">
        <v>14812</v>
      </c>
      <c r="BC322">
        <v>0.96399999999999997</v>
      </c>
      <c r="BD322" t="s">
        <v>65</v>
      </c>
      <c r="BE322">
        <v>32</v>
      </c>
      <c r="BF322">
        <v>4</v>
      </c>
      <c r="BG322" t="s">
        <v>14813</v>
      </c>
      <c r="BH322" t="s">
        <v>14814</v>
      </c>
      <c r="BI322" t="s">
        <v>14815</v>
      </c>
      <c r="BJ322">
        <v>2.7519999999999999E-2</v>
      </c>
      <c r="BK322">
        <v>1</v>
      </c>
      <c r="BL322" t="s">
        <v>69</v>
      </c>
      <c r="BM322">
        <v>-1.0620000000000001</v>
      </c>
      <c r="BN322">
        <v>0.67900000000000005</v>
      </c>
    </row>
    <row r="323" spans="2:66">
      <c r="B323">
        <v>530</v>
      </c>
      <c r="C323">
        <v>131</v>
      </c>
      <c r="D323">
        <v>0</v>
      </c>
      <c r="E323">
        <v>20</v>
      </c>
      <c r="F323">
        <v>1</v>
      </c>
      <c r="J323">
        <v>0</v>
      </c>
      <c r="K323">
        <v>6</v>
      </c>
      <c r="L323">
        <v>0</v>
      </c>
      <c r="M323" t="s">
        <v>25022</v>
      </c>
      <c r="N323">
        <v>2536</v>
      </c>
      <c r="O323" t="s">
        <v>14816</v>
      </c>
      <c r="P323" t="s">
        <v>62</v>
      </c>
      <c r="Q323">
        <v>2530357</v>
      </c>
      <c r="R323">
        <v>2531706</v>
      </c>
      <c r="S323" t="s">
        <v>14817</v>
      </c>
      <c r="T323">
        <v>450</v>
      </c>
      <c r="U323" t="s">
        <v>394</v>
      </c>
      <c r="V323">
        <v>48</v>
      </c>
      <c r="W323" t="str">
        <f>HYPERLINK("Gene2536-zp_tree_all.dnd", "Gene2536-tree")</f>
        <v>Gene2536-tree</v>
      </c>
      <c r="X323">
        <v>11</v>
      </c>
      <c r="Y323">
        <v>5</v>
      </c>
      <c r="Z323">
        <v>11</v>
      </c>
      <c r="AA323">
        <v>5</v>
      </c>
      <c r="AB323">
        <v>0.3125</v>
      </c>
      <c r="AC323" t="s">
        <v>73</v>
      </c>
      <c r="AD323" t="s">
        <v>199</v>
      </c>
      <c r="AE323" t="s">
        <v>62</v>
      </c>
      <c r="AF323" t="s">
        <v>62</v>
      </c>
      <c r="AG323">
        <v>3</v>
      </c>
      <c r="AH323">
        <v>6</v>
      </c>
      <c r="AI323">
        <v>7</v>
      </c>
      <c r="AJ323">
        <v>0.46154000000000001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2</v>
      </c>
      <c r="AQ323">
        <v>0</v>
      </c>
      <c r="AR323">
        <v>2</v>
      </c>
      <c r="AS323">
        <v>6</v>
      </c>
      <c r="AT323">
        <v>0.25</v>
      </c>
      <c r="AU323">
        <v>14</v>
      </c>
      <c r="AV323">
        <v>12</v>
      </c>
      <c r="AW323">
        <v>88</v>
      </c>
      <c r="AX323">
        <v>8</v>
      </c>
      <c r="AY323">
        <v>61</v>
      </c>
      <c r="AZ323">
        <v>5</v>
      </c>
      <c r="BA323" t="s">
        <v>14818</v>
      </c>
      <c r="BB323" t="s">
        <v>14819</v>
      </c>
      <c r="BC323">
        <v>0.05</v>
      </c>
      <c r="BD323" t="s">
        <v>65</v>
      </c>
      <c r="BE323">
        <v>149</v>
      </c>
      <c r="BF323">
        <v>13</v>
      </c>
      <c r="BG323" t="s">
        <v>14820</v>
      </c>
      <c r="BH323" t="s">
        <v>14821</v>
      </c>
      <c r="BI323" t="s">
        <v>14822</v>
      </c>
      <c r="BJ323">
        <v>1.932E-2</v>
      </c>
      <c r="BK323">
        <v>1</v>
      </c>
      <c r="BL323" t="s">
        <v>69</v>
      </c>
      <c r="BM323">
        <v>-1.5680000000000001</v>
      </c>
      <c r="BN323">
        <v>-2.7149999999999999</v>
      </c>
    </row>
    <row r="324" spans="2:66">
      <c r="B324">
        <v>531</v>
      </c>
      <c r="C324">
        <v>13</v>
      </c>
      <c r="D324">
        <v>0</v>
      </c>
      <c r="E324">
        <v>13</v>
      </c>
      <c r="F324">
        <v>2</v>
      </c>
      <c r="J324">
        <v>0</v>
      </c>
      <c r="K324">
        <v>0</v>
      </c>
      <c r="L324">
        <v>0</v>
      </c>
      <c r="M324" t="s">
        <v>25022</v>
      </c>
      <c r="N324">
        <v>2537</v>
      </c>
      <c r="O324" t="s">
        <v>14823</v>
      </c>
      <c r="P324" t="s">
        <v>62</v>
      </c>
      <c r="Q324">
        <v>2531721</v>
      </c>
      <c r="R324">
        <v>2532197</v>
      </c>
      <c r="S324" t="s">
        <v>14824</v>
      </c>
      <c r="T324">
        <v>159</v>
      </c>
      <c r="U324" t="s">
        <v>108</v>
      </c>
      <c r="V324">
        <v>44</v>
      </c>
      <c r="W324" t="str">
        <f>HYPERLINK("Gene2537-zp_tree_all.dnd", "Gene2537-tree")</f>
        <v>Gene2537-tree</v>
      </c>
      <c r="X324">
        <v>35</v>
      </c>
      <c r="Y324">
        <v>2</v>
      </c>
      <c r="Z324">
        <v>8</v>
      </c>
      <c r="AA324">
        <v>2</v>
      </c>
      <c r="AB324">
        <v>0.2</v>
      </c>
      <c r="AC324" t="s">
        <v>14825</v>
      </c>
      <c r="AD324" t="s">
        <v>81</v>
      </c>
      <c r="AE324" t="s">
        <v>62</v>
      </c>
      <c r="AF324" t="s">
        <v>62</v>
      </c>
      <c r="AG324">
        <v>0</v>
      </c>
      <c r="AH324">
        <v>0</v>
      </c>
      <c r="AI324">
        <v>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0</v>
      </c>
      <c r="AU324">
        <v>7</v>
      </c>
      <c r="AV324">
        <v>2</v>
      </c>
      <c r="AW324">
        <v>9</v>
      </c>
      <c r="AX324">
        <v>2</v>
      </c>
      <c r="AY324">
        <v>2</v>
      </c>
      <c r="AZ324">
        <v>0</v>
      </c>
      <c r="BA324" t="s">
        <v>14826</v>
      </c>
      <c r="BB324" t="s">
        <v>193</v>
      </c>
      <c r="BC324">
        <v>0.65400000000000003</v>
      </c>
      <c r="BD324" t="s">
        <v>65</v>
      </c>
      <c r="BE324">
        <v>11</v>
      </c>
      <c r="BF324">
        <v>2</v>
      </c>
      <c r="BG324" t="s">
        <v>14827</v>
      </c>
      <c r="BH324" t="s">
        <v>14828</v>
      </c>
      <c r="BI324" t="s">
        <v>14829</v>
      </c>
      <c r="BJ324">
        <v>4.4920000000000002E-2</v>
      </c>
      <c r="BK324">
        <v>1</v>
      </c>
      <c r="BL324" t="s">
        <v>69</v>
      </c>
      <c r="BM324">
        <v>-2.0369999999999999</v>
      </c>
      <c r="BN324">
        <v>-2.9319999999999999</v>
      </c>
    </row>
    <row r="325" spans="2:66">
      <c r="B325">
        <v>532</v>
      </c>
      <c r="C325">
        <v>60</v>
      </c>
      <c r="D325">
        <v>0</v>
      </c>
      <c r="E325">
        <v>2</v>
      </c>
      <c r="F325">
        <v>0</v>
      </c>
      <c r="J325">
        <v>0</v>
      </c>
      <c r="K325">
        <v>0</v>
      </c>
      <c r="L325">
        <v>0</v>
      </c>
      <c r="M325" t="s">
        <v>25022</v>
      </c>
      <c r="N325">
        <v>2538</v>
      </c>
      <c r="O325" t="s">
        <v>14830</v>
      </c>
      <c r="P325" t="s">
        <v>62</v>
      </c>
      <c r="Q325">
        <v>2532356</v>
      </c>
      <c r="R325">
        <v>2533009</v>
      </c>
      <c r="S325" t="s">
        <v>14831</v>
      </c>
      <c r="T325">
        <v>218</v>
      </c>
      <c r="U325" t="s">
        <v>2803</v>
      </c>
      <c r="V325">
        <v>45</v>
      </c>
      <c r="W325" t="str">
        <f>HYPERLINK("Gene2538-zp_tree_all.dnd", "Gene2538-tree")</f>
        <v>Gene2538-tree</v>
      </c>
      <c r="X325">
        <v>9</v>
      </c>
      <c r="Y325">
        <v>4</v>
      </c>
      <c r="Z325">
        <v>9</v>
      </c>
      <c r="AA325">
        <v>4</v>
      </c>
      <c r="AB325">
        <v>0.30769000000000002</v>
      </c>
      <c r="AC325" t="s">
        <v>135</v>
      </c>
      <c r="AD325" t="s">
        <v>61</v>
      </c>
      <c r="AE325" t="s">
        <v>62</v>
      </c>
      <c r="AF325" t="s">
        <v>62</v>
      </c>
      <c r="AG325">
        <v>0</v>
      </c>
      <c r="AH325">
        <v>0</v>
      </c>
      <c r="AI325">
        <v>8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8</v>
      </c>
      <c r="AT325">
        <v>0</v>
      </c>
      <c r="AU325">
        <v>9</v>
      </c>
      <c r="AV325">
        <v>6</v>
      </c>
      <c r="AW325">
        <v>36</v>
      </c>
      <c r="AX325">
        <v>8</v>
      </c>
      <c r="AY325">
        <v>6</v>
      </c>
      <c r="AZ325">
        <v>0</v>
      </c>
      <c r="BA325" t="s">
        <v>14832</v>
      </c>
      <c r="BB325" t="s">
        <v>193</v>
      </c>
      <c r="BC325">
        <v>0.48099999999999998</v>
      </c>
      <c r="BD325" t="s">
        <v>65</v>
      </c>
      <c r="BE325">
        <v>42</v>
      </c>
      <c r="BF325">
        <v>8</v>
      </c>
      <c r="BG325" t="s">
        <v>14833</v>
      </c>
      <c r="BH325" t="s">
        <v>14834</v>
      </c>
      <c r="BI325" t="s">
        <v>14835</v>
      </c>
      <c r="BJ325">
        <v>4.2709999999999998E-2</v>
      </c>
      <c r="BK325">
        <v>1</v>
      </c>
      <c r="BL325" t="s">
        <v>69</v>
      </c>
      <c r="BM325">
        <v>-1.994</v>
      </c>
      <c r="BN325">
        <v>-4.0419999999999998</v>
      </c>
    </row>
    <row r="326" spans="2:66">
      <c r="B326">
        <v>533</v>
      </c>
      <c r="C326">
        <v>77</v>
      </c>
      <c r="D326">
        <v>0</v>
      </c>
      <c r="E326">
        <v>11</v>
      </c>
      <c r="F326">
        <v>0</v>
      </c>
      <c r="J326">
        <v>0</v>
      </c>
      <c r="K326">
        <v>2</v>
      </c>
      <c r="L326">
        <v>2</v>
      </c>
      <c r="M326" t="s">
        <v>25022</v>
      </c>
      <c r="N326">
        <v>2539</v>
      </c>
      <c r="O326" t="s">
        <v>14836</v>
      </c>
      <c r="P326" t="s">
        <v>62</v>
      </c>
      <c r="Q326">
        <v>2533013</v>
      </c>
      <c r="R326">
        <v>2533699</v>
      </c>
      <c r="S326" t="s">
        <v>14837</v>
      </c>
      <c r="T326">
        <v>229</v>
      </c>
      <c r="U326" t="s">
        <v>59</v>
      </c>
      <c r="V326">
        <v>49</v>
      </c>
      <c r="W326" t="str">
        <f>HYPERLINK("Gene2539-zp_tree_all.dnd", "Gene2539-tree")</f>
        <v>Gene2539-tree</v>
      </c>
      <c r="X326">
        <v>10</v>
      </c>
      <c r="Y326">
        <v>6</v>
      </c>
      <c r="Z326">
        <v>10</v>
      </c>
      <c r="AA326">
        <v>6</v>
      </c>
      <c r="AB326">
        <v>0.375</v>
      </c>
      <c r="AC326" t="s">
        <v>117</v>
      </c>
      <c r="AD326" t="s">
        <v>90</v>
      </c>
      <c r="AE326" t="s">
        <v>62</v>
      </c>
      <c r="AF326" t="s">
        <v>62</v>
      </c>
      <c r="AG326">
        <v>2</v>
      </c>
      <c r="AH326">
        <v>4</v>
      </c>
      <c r="AI326">
        <v>11</v>
      </c>
      <c r="AJ326">
        <v>0.26667000000000002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</v>
      </c>
      <c r="AQ326">
        <v>2</v>
      </c>
      <c r="AR326">
        <v>4</v>
      </c>
      <c r="AS326">
        <v>4</v>
      </c>
      <c r="AT326">
        <v>0.5</v>
      </c>
      <c r="AU326">
        <v>12</v>
      </c>
      <c r="AV326">
        <v>11</v>
      </c>
      <c r="AW326">
        <v>21</v>
      </c>
      <c r="AX326">
        <v>7</v>
      </c>
      <c r="AY326">
        <v>29</v>
      </c>
      <c r="AZ326">
        <v>9</v>
      </c>
      <c r="BA326" t="s">
        <v>14838</v>
      </c>
      <c r="BB326" t="s">
        <v>14839</v>
      </c>
      <c r="BC326">
        <v>5.0999999999999997E-2</v>
      </c>
      <c r="BD326" t="s">
        <v>65</v>
      </c>
      <c r="BE326">
        <v>50</v>
      </c>
      <c r="BF326">
        <v>16</v>
      </c>
      <c r="BG326" t="s">
        <v>14840</v>
      </c>
      <c r="BH326" t="s">
        <v>14841</v>
      </c>
      <c r="BI326" t="s">
        <v>14842</v>
      </c>
      <c r="BJ326">
        <v>8.8830000000000006E-2</v>
      </c>
      <c r="BK326">
        <v>1</v>
      </c>
      <c r="BL326" t="s">
        <v>69</v>
      </c>
      <c r="BM326">
        <v>-0.878</v>
      </c>
      <c r="BN326">
        <v>9.4E-2</v>
      </c>
    </row>
    <row r="327" spans="2:66">
      <c r="B327">
        <v>534</v>
      </c>
      <c r="C327">
        <v>11</v>
      </c>
      <c r="D327">
        <v>2</v>
      </c>
      <c r="E327">
        <v>31</v>
      </c>
      <c r="F327">
        <v>7</v>
      </c>
      <c r="J327">
        <v>0</v>
      </c>
      <c r="K327">
        <v>7</v>
      </c>
      <c r="L327">
        <v>4</v>
      </c>
      <c r="M327" t="s">
        <v>25022</v>
      </c>
      <c r="N327">
        <v>2540</v>
      </c>
      <c r="O327" t="s">
        <v>14843</v>
      </c>
      <c r="P327" t="s">
        <v>62</v>
      </c>
      <c r="Q327">
        <v>2533695</v>
      </c>
      <c r="R327">
        <v>2534312</v>
      </c>
      <c r="S327" t="s">
        <v>14844</v>
      </c>
      <c r="T327">
        <v>206</v>
      </c>
      <c r="U327" t="s">
        <v>59</v>
      </c>
      <c r="V327">
        <v>49</v>
      </c>
      <c r="W327" t="str">
        <f>HYPERLINK("Gene2540-zp_tree_all.dnd", "Gene2540-tree")</f>
        <v>Gene2540-tree</v>
      </c>
      <c r="X327">
        <v>7</v>
      </c>
      <c r="Y327">
        <v>8</v>
      </c>
      <c r="Z327">
        <v>7</v>
      </c>
      <c r="AA327">
        <v>8</v>
      </c>
      <c r="AB327">
        <v>0.53332999999999997</v>
      </c>
      <c r="AC327" t="s">
        <v>152</v>
      </c>
      <c r="AD327" t="s">
        <v>136</v>
      </c>
      <c r="AE327" t="s">
        <v>62</v>
      </c>
      <c r="AF327" t="s">
        <v>62</v>
      </c>
      <c r="AG327">
        <v>4</v>
      </c>
      <c r="AH327">
        <v>11</v>
      </c>
      <c r="AI327">
        <v>12</v>
      </c>
      <c r="AJ327">
        <v>0.47826000000000002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5</v>
      </c>
      <c r="AQ327">
        <v>0</v>
      </c>
      <c r="AR327">
        <v>5</v>
      </c>
      <c r="AS327">
        <v>7</v>
      </c>
      <c r="AT327">
        <v>0.41666999999999998</v>
      </c>
      <c r="AU327">
        <v>12</v>
      </c>
      <c r="AV327">
        <v>8</v>
      </c>
      <c r="AW327">
        <v>19</v>
      </c>
      <c r="AX327">
        <v>10</v>
      </c>
      <c r="AY327">
        <v>16</v>
      </c>
      <c r="AZ327">
        <v>13</v>
      </c>
      <c r="BA327" t="s">
        <v>14845</v>
      </c>
      <c r="BB327" t="s">
        <v>14846</v>
      </c>
      <c r="BC327">
        <v>0.245</v>
      </c>
      <c r="BD327" t="s">
        <v>65</v>
      </c>
      <c r="BE327">
        <v>35</v>
      </c>
      <c r="BF327">
        <v>23</v>
      </c>
      <c r="BG327" t="s">
        <v>14847</v>
      </c>
      <c r="BH327" t="s">
        <v>14848</v>
      </c>
      <c r="BI327" t="s">
        <v>14849</v>
      </c>
      <c r="BJ327">
        <v>0.15065000000000001</v>
      </c>
      <c r="BK327">
        <v>1</v>
      </c>
      <c r="BL327" t="s">
        <v>69</v>
      </c>
      <c r="BM327">
        <v>-1.5589999999999999</v>
      </c>
      <c r="BN327">
        <v>-0.66300000000000003</v>
      </c>
    </row>
    <row r="328" spans="2:66">
      <c r="B328">
        <v>535</v>
      </c>
      <c r="C328">
        <v>202</v>
      </c>
      <c r="D328">
        <v>0</v>
      </c>
      <c r="E328">
        <v>10</v>
      </c>
      <c r="F328">
        <v>1</v>
      </c>
      <c r="J328">
        <v>0</v>
      </c>
      <c r="K328">
        <v>0</v>
      </c>
      <c r="L328">
        <v>0</v>
      </c>
      <c r="M328" t="s">
        <v>25022</v>
      </c>
      <c r="N328">
        <v>2541</v>
      </c>
      <c r="O328" t="s">
        <v>14850</v>
      </c>
      <c r="P328" t="s">
        <v>62</v>
      </c>
      <c r="Q328">
        <v>2534329</v>
      </c>
      <c r="R328">
        <v>2535525</v>
      </c>
      <c r="S328" t="s">
        <v>14844</v>
      </c>
      <c r="T328">
        <v>399</v>
      </c>
      <c r="U328" t="s">
        <v>265</v>
      </c>
      <c r="V328">
        <v>43</v>
      </c>
      <c r="W328" t="str">
        <f>HYPERLINK("Gene2541-zp_tree_all.dnd", "Gene2541-tree")</f>
        <v>Gene2541-tree</v>
      </c>
      <c r="X328">
        <v>9</v>
      </c>
      <c r="Y328">
        <v>5</v>
      </c>
      <c r="Z328">
        <v>9</v>
      </c>
      <c r="AA328">
        <v>5</v>
      </c>
      <c r="AB328">
        <v>0.35714000000000001</v>
      </c>
      <c r="AC328" t="s">
        <v>135</v>
      </c>
      <c r="AD328" t="s">
        <v>199</v>
      </c>
      <c r="AE328" t="s">
        <v>62</v>
      </c>
      <c r="AF328" t="s">
        <v>62</v>
      </c>
      <c r="AG328">
        <v>0</v>
      </c>
      <c r="AH328">
        <v>0</v>
      </c>
      <c r="AI328">
        <v>6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5</v>
      </c>
      <c r="AT328">
        <v>0</v>
      </c>
      <c r="AU328">
        <v>11</v>
      </c>
      <c r="AV328">
        <v>9</v>
      </c>
      <c r="AW328">
        <v>51</v>
      </c>
      <c r="AX328">
        <v>5</v>
      </c>
      <c r="AY328">
        <v>24</v>
      </c>
      <c r="AZ328">
        <v>1</v>
      </c>
      <c r="BA328" t="s">
        <v>14851</v>
      </c>
      <c r="BB328" t="s">
        <v>14852</v>
      </c>
      <c r="BC328">
        <v>0.41299999999999998</v>
      </c>
      <c r="BD328" t="s">
        <v>65</v>
      </c>
      <c r="BE328">
        <v>75</v>
      </c>
      <c r="BF328">
        <v>6</v>
      </c>
      <c r="BG328" t="s">
        <v>14853</v>
      </c>
      <c r="BH328" t="s">
        <v>14854</v>
      </c>
      <c r="BI328" t="s">
        <v>14855</v>
      </c>
      <c r="BJ328">
        <v>2.376E-2</v>
      </c>
      <c r="BK328">
        <v>1</v>
      </c>
      <c r="BL328" t="s">
        <v>69</v>
      </c>
      <c r="BM328">
        <v>-1.3919999999999999</v>
      </c>
      <c r="BN328">
        <v>-2.331</v>
      </c>
    </row>
    <row r="329" spans="2:66">
      <c r="B329">
        <v>536</v>
      </c>
      <c r="C329">
        <v>426</v>
      </c>
      <c r="D329">
        <v>0</v>
      </c>
      <c r="E329">
        <v>17</v>
      </c>
      <c r="F329">
        <v>1</v>
      </c>
      <c r="J329">
        <v>0</v>
      </c>
      <c r="K329">
        <v>0</v>
      </c>
      <c r="L329">
        <v>0</v>
      </c>
      <c r="M329" t="s">
        <v>25022</v>
      </c>
      <c r="N329">
        <v>2542</v>
      </c>
      <c r="O329" t="s">
        <v>14856</v>
      </c>
      <c r="P329" t="s">
        <v>62</v>
      </c>
      <c r="Q329">
        <v>2535547</v>
      </c>
      <c r="R329">
        <v>2535945</v>
      </c>
      <c r="S329" t="s">
        <v>14844</v>
      </c>
      <c r="T329">
        <v>133</v>
      </c>
      <c r="U329" t="s">
        <v>59</v>
      </c>
      <c r="V329">
        <v>49</v>
      </c>
      <c r="W329" t="str">
        <f>HYPERLINK("Gene2542-zp_tree_all.dnd", "Gene2542-tree")</f>
        <v>Gene2542-tree</v>
      </c>
      <c r="X329">
        <v>12</v>
      </c>
      <c r="Y329">
        <v>1</v>
      </c>
      <c r="Z329">
        <v>12</v>
      </c>
      <c r="AA329">
        <v>1</v>
      </c>
      <c r="AB329">
        <v>7.6920000000000002E-2</v>
      </c>
      <c r="AC329" t="s">
        <v>109</v>
      </c>
      <c r="AD329" t="s">
        <v>175</v>
      </c>
      <c r="AE329" t="s">
        <v>62</v>
      </c>
      <c r="AF329" t="s">
        <v>62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10</v>
      </c>
      <c r="AV329">
        <v>6</v>
      </c>
      <c r="AW329">
        <v>19</v>
      </c>
      <c r="AX329">
        <v>1</v>
      </c>
      <c r="AY329">
        <v>20</v>
      </c>
      <c r="AZ329">
        <v>0</v>
      </c>
      <c r="BA329" t="s">
        <v>14857</v>
      </c>
      <c r="BB329" t="s">
        <v>193</v>
      </c>
      <c r="BC329">
        <v>0.33100000000000002</v>
      </c>
      <c r="BD329" t="s">
        <v>65</v>
      </c>
      <c r="BE329">
        <v>39</v>
      </c>
      <c r="BF329">
        <v>1</v>
      </c>
      <c r="BG329" t="s">
        <v>14858</v>
      </c>
      <c r="BH329" t="s">
        <v>14859</v>
      </c>
      <c r="BI329" t="s">
        <v>14860</v>
      </c>
      <c r="BJ329">
        <v>5.1399999999999996E-3</v>
      </c>
      <c r="BK329">
        <v>1</v>
      </c>
      <c r="BL329" t="s">
        <v>69</v>
      </c>
      <c r="BM329">
        <v>-1.4950000000000001</v>
      </c>
      <c r="BN329">
        <v>-0.752</v>
      </c>
    </row>
    <row r="330" spans="2:66">
      <c r="B330">
        <v>537</v>
      </c>
      <c r="C330">
        <v>19</v>
      </c>
      <c r="D330">
        <v>0</v>
      </c>
      <c r="E330">
        <v>2</v>
      </c>
      <c r="F330">
        <v>0</v>
      </c>
      <c r="J330">
        <v>0</v>
      </c>
      <c r="K330">
        <v>0</v>
      </c>
      <c r="L330">
        <v>0</v>
      </c>
      <c r="M330" t="s">
        <v>25022</v>
      </c>
      <c r="N330">
        <v>2543</v>
      </c>
      <c r="O330" t="s">
        <v>14861</v>
      </c>
      <c r="P330" t="s">
        <v>62</v>
      </c>
      <c r="Q330">
        <v>2535955</v>
      </c>
      <c r="R330">
        <v>2536158</v>
      </c>
      <c r="S330" t="s">
        <v>14844</v>
      </c>
      <c r="T330">
        <v>68</v>
      </c>
      <c r="U330" t="s">
        <v>59</v>
      </c>
      <c r="V330">
        <v>49</v>
      </c>
      <c r="W330" t="str">
        <f>HYPERLINK("Gene2543-zp_tree_all.dnd", "Gene2543-tree")</f>
        <v>Gene2543-tree</v>
      </c>
      <c r="X330">
        <v>7</v>
      </c>
      <c r="Y330">
        <v>0</v>
      </c>
      <c r="Z330">
        <v>7</v>
      </c>
      <c r="AA330">
        <v>0</v>
      </c>
      <c r="AB330">
        <v>0</v>
      </c>
      <c r="AC330" t="s">
        <v>152</v>
      </c>
      <c r="AD330" t="s">
        <v>62</v>
      </c>
      <c r="AE330" t="s">
        <v>62</v>
      </c>
      <c r="AF330" t="s">
        <v>62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</v>
      </c>
      <c r="AV330">
        <v>3</v>
      </c>
      <c r="AW330">
        <v>6</v>
      </c>
      <c r="AX330">
        <v>0</v>
      </c>
      <c r="AY330">
        <v>7</v>
      </c>
      <c r="AZ330">
        <v>0</v>
      </c>
      <c r="BA330" t="s">
        <v>193</v>
      </c>
      <c r="BB330" t="s">
        <v>193</v>
      </c>
      <c r="BC330">
        <v>0</v>
      </c>
      <c r="BD330" t="s">
        <v>65</v>
      </c>
      <c r="BE330">
        <v>13</v>
      </c>
      <c r="BF330">
        <v>0</v>
      </c>
      <c r="BG330" t="s">
        <v>14862</v>
      </c>
      <c r="BH330" t="s">
        <v>14863</v>
      </c>
      <c r="BI330" t="s">
        <v>193</v>
      </c>
      <c r="BJ330">
        <v>0</v>
      </c>
      <c r="BK330">
        <v>1</v>
      </c>
      <c r="BL330" t="s">
        <v>69</v>
      </c>
      <c r="BM330">
        <v>-0.54700000000000004</v>
      </c>
      <c r="BN330">
        <v>1.44</v>
      </c>
    </row>
    <row r="331" spans="2:66">
      <c r="B331">
        <v>538</v>
      </c>
      <c r="C331">
        <v>2</v>
      </c>
      <c r="D331">
        <v>0</v>
      </c>
      <c r="E331">
        <v>28</v>
      </c>
      <c r="F331">
        <v>3</v>
      </c>
      <c r="J331">
        <v>0</v>
      </c>
      <c r="K331">
        <v>0</v>
      </c>
      <c r="L331">
        <v>0</v>
      </c>
      <c r="M331" t="s">
        <v>25022</v>
      </c>
      <c r="N331">
        <v>2544</v>
      </c>
      <c r="O331" t="s">
        <v>14864</v>
      </c>
      <c r="P331" t="s">
        <v>62</v>
      </c>
      <c r="Q331">
        <v>2536184</v>
      </c>
      <c r="R331">
        <v>2536696</v>
      </c>
      <c r="S331" t="s">
        <v>14844</v>
      </c>
      <c r="T331">
        <v>171</v>
      </c>
      <c r="U331" t="s">
        <v>3274</v>
      </c>
      <c r="V331">
        <v>46</v>
      </c>
      <c r="W331" t="str">
        <f>HYPERLINK("Gene2544-zp_tree_all.dnd", "Gene2544-tree")</f>
        <v>Gene2544-tree</v>
      </c>
      <c r="X331">
        <v>11</v>
      </c>
      <c r="Y331">
        <v>3</v>
      </c>
      <c r="Z331">
        <v>11</v>
      </c>
      <c r="AA331">
        <v>3</v>
      </c>
      <c r="AB331">
        <v>0.21429000000000001</v>
      </c>
      <c r="AC331" t="s">
        <v>73</v>
      </c>
      <c r="AD331" t="s">
        <v>324</v>
      </c>
      <c r="AE331" t="s">
        <v>62</v>
      </c>
      <c r="AF331" t="s">
        <v>62</v>
      </c>
      <c r="AG331">
        <v>0</v>
      </c>
      <c r="AH331">
        <v>0</v>
      </c>
      <c r="AI331">
        <v>8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3</v>
      </c>
      <c r="AT331">
        <v>0</v>
      </c>
      <c r="AU331">
        <v>10</v>
      </c>
      <c r="AV331">
        <v>5</v>
      </c>
      <c r="AW331">
        <v>13</v>
      </c>
      <c r="AX331">
        <v>3</v>
      </c>
      <c r="AY331">
        <v>18</v>
      </c>
      <c r="AZ331">
        <v>6</v>
      </c>
      <c r="BA331" t="s">
        <v>14865</v>
      </c>
      <c r="BB331" t="s">
        <v>14866</v>
      </c>
      <c r="BC331">
        <v>0.13300000000000001</v>
      </c>
      <c r="BD331" t="s">
        <v>65</v>
      </c>
      <c r="BE331">
        <v>31</v>
      </c>
      <c r="BF331">
        <v>9</v>
      </c>
      <c r="BG331" t="s">
        <v>14867</v>
      </c>
      <c r="BH331" t="s">
        <v>14868</v>
      </c>
      <c r="BI331" t="s">
        <v>14869</v>
      </c>
      <c r="BJ331">
        <v>8.7470000000000006E-2</v>
      </c>
      <c r="BK331">
        <v>1</v>
      </c>
      <c r="BL331" t="s">
        <v>69</v>
      </c>
      <c r="BM331">
        <v>-1.167</v>
      </c>
      <c r="BN331">
        <v>-0.25600000000000001</v>
      </c>
    </row>
    <row r="332" spans="2:66">
      <c r="B332">
        <v>539</v>
      </c>
      <c r="C332">
        <v>47</v>
      </c>
      <c r="D332">
        <v>0</v>
      </c>
      <c r="E332">
        <v>9</v>
      </c>
      <c r="F332">
        <v>7</v>
      </c>
      <c r="J332">
        <v>3</v>
      </c>
      <c r="K332">
        <v>1</v>
      </c>
      <c r="L332">
        <v>4</v>
      </c>
      <c r="M332" t="s">
        <v>25022</v>
      </c>
      <c r="N332">
        <v>2545</v>
      </c>
      <c r="O332" t="s">
        <v>14870</v>
      </c>
      <c r="P332" t="s">
        <v>62</v>
      </c>
      <c r="Q332">
        <v>2536693</v>
      </c>
      <c r="R332">
        <v>2537613</v>
      </c>
      <c r="S332" t="s">
        <v>14871</v>
      </c>
      <c r="T332">
        <v>307</v>
      </c>
      <c r="U332" t="s">
        <v>108</v>
      </c>
      <c r="V332">
        <v>44</v>
      </c>
      <c r="W332" t="str">
        <f>HYPERLINK("Gene2545-zp_tree_all.dnd", "Gene2545-tree")</f>
        <v>Gene2545-tree</v>
      </c>
      <c r="X332">
        <v>8</v>
      </c>
      <c r="Y332">
        <v>26</v>
      </c>
      <c r="Z332">
        <v>8</v>
      </c>
      <c r="AA332">
        <v>7</v>
      </c>
      <c r="AB332">
        <v>0.46666999999999997</v>
      </c>
      <c r="AC332" t="s">
        <v>136</v>
      </c>
      <c r="AD332" t="s">
        <v>191</v>
      </c>
      <c r="AE332">
        <v>3.9380000000000002</v>
      </c>
      <c r="AF332" t="s">
        <v>65</v>
      </c>
      <c r="AG332">
        <v>2</v>
      </c>
      <c r="AH332">
        <v>8</v>
      </c>
      <c r="AI332">
        <v>6</v>
      </c>
      <c r="AJ332">
        <v>0.57142999999999999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2</v>
      </c>
      <c r="AR332">
        <v>2</v>
      </c>
      <c r="AS332">
        <v>5</v>
      </c>
      <c r="AT332">
        <v>0.28571000000000002</v>
      </c>
      <c r="AU332">
        <v>11</v>
      </c>
      <c r="AV332">
        <v>11</v>
      </c>
      <c r="AW332">
        <v>17</v>
      </c>
      <c r="AX332">
        <v>6</v>
      </c>
      <c r="AY332">
        <v>21</v>
      </c>
      <c r="AZ332">
        <v>9</v>
      </c>
      <c r="BA332" t="s">
        <v>14872</v>
      </c>
      <c r="BB332" t="s">
        <v>14873</v>
      </c>
      <c r="BC332">
        <v>0.36399999999999999</v>
      </c>
      <c r="BD332" t="s">
        <v>65</v>
      </c>
      <c r="BE332">
        <v>38</v>
      </c>
      <c r="BF332">
        <v>15</v>
      </c>
      <c r="BG332" t="s">
        <v>14874</v>
      </c>
      <c r="BH332" t="s">
        <v>14875</v>
      </c>
      <c r="BI332" t="s">
        <v>14876</v>
      </c>
      <c r="BJ332">
        <v>0.10580000000000001</v>
      </c>
      <c r="BK332">
        <v>1</v>
      </c>
      <c r="BL332" t="s">
        <v>69</v>
      </c>
      <c r="BM332">
        <v>-0.68400000000000005</v>
      </c>
      <c r="BN332">
        <v>-0.374</v>
      </c>
    </row>
    <row r="333" spans="2:66">
      <c r="B333">
        <v>540</v>
      </c>
      <c r="C333">
        <v>286</v>
      </c>
      <c r="D333">
        <v>0</v>
      </c>
      <c r="E333">
        <v>8</v>
      </c>
      <c r="F333">
        <v>0</v>
      </c>
      <c r="J333">
        <v>0</v>
      </c>
      <c r="K333">
        <v>0</v>
      </c>
      <c r="L333">
        <v>0</v>
      </c>
      <c r="M333" t="s">
        <v>25022</v>
      </c>
      <c r="N333">
        <v>2546</v>
      </c>
      <c r="O333" t="s">
        <v>14877</v>
      </c>
      <c r="P333" t="s">
        <v>62</v>
      </c>
      <c r="Q333">
        <v>2537692</v>
      </c>
      <c r="R333">
        <v>2537970</v>
      </c>
      <c r="S333" t="s">
        <v>116</v>
      </c>
      <c r="T333">
        <v>93</v>
      </c>
      <c r="U333" t="s">
        <v>265</v>
      </c>
      <c r="V333">
        <v>43</v>
      </c>
      <c r="W333" t="str">
        <f>HYPERLINK("Gene2546-zp_tree_all.dnd", "Gene2546-tree")</f>
        <v>Gene2546-tree</v>
      </c>
      <c r="X333">
        <v>6</v>
      </c>
      <c r="Y333">
        <v>1</v>
      </c>
      <c r="Z333">
        <v>6</v>
      </c>
      <c r="AA333">
        <v>1</v>
      </c>
      <c r="AB333">
        <v>0.14285999999999999</v>
      </c>
      <c r="AC333" t="s">
        <v>90</v>
      </c>
      <c r="AD333" t="s">
        <v>175</v>
      </c>
      <c r="AE333" t="s">
        <v>62</v>
      </c>
      <c r="AF333" t="s">
        <v>62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4</v>
      </c>
      <c r="AV333">
        <v>2</v>
      </c>
      <c r="AW333">
        <v>3</v>
      </c>
      <c r="AX333">
        <v>1</v>
      </c>
      <c r="AY333">
        <v>2</v>
      </c>
      <c r="AZ333">
        <v>0</v>
      </c>
      <c r="BA333" t="s">
        <v>14878</v>
      </c>
      <c r="BB333" t="s">
        <v>193</v>
      </c>
      <c r="BC333">
        <v>0.6</v>
      </c>
      <c r="BD333" t="s">
        <v>65</v>
      </c>
      <c r="BE333">
        <v>5</v>
      </c>
      <c r="BF333">
        <v>1</v>
      </c>
      <c r="BG333" t="s">
        <v>14879</v>
      </c>
      <c r="BH333" t="s">
        <v>14880</v>
      </c>
      <c r="BI333" t="s">
        <v>14881</v>
      </c>
      <c r="BJ333">
        <v>5.015E-2</v>
      </c>
      <c r="BK333">
        <v>0.98699999999999999</v>
      </c>
      <c r="BL333" t="s">
        <v>69</v>
      </c>
      <c r="BM333">
        <v>-0.39100000000000001</v>
      </c>
      <c r="BN333">
        <v>-1.32</v>
      </c>
    </row>
    <row r="334" spans="2:66">
      <c r="B334">
        <v>543</v>
      </c>
      <c r="C334">
        <v>289</v>
      </c>
      <c r="D334">
        <v>0</v>
      </c>
      <c r="E334">
        <v>6</v>
      </c>
      <c r="F334">
        <v>8</v>
      </c>
      <c r="J334">
        <v>0</v>
      </c>
      <c r="K334">
        <v>0</v>
      </c>
      <c r="L334">
        <v>0</v>
      </c>
      <c r="M334" t="s">
        <v>25022</v>
      </c>
      <c r="N334">
        <v>2547</v>
      </c>
      <c r="O334" t="s">
        <v>14882</v>
      </c>
      <c r="P334" t="s">
        <v>62</v>
      </c>
      <c r="Q334">
        <v>2538118</v>
      </c>
      <c r="R334">
        <v>2538672</v>
      </c>
      <c r="S334" t="s">
        <v>14883</v>
      </c>
      <c r="T334">
        <v>185</v>
      </c>
      <c r="U334" t="s">
        <v>59</v>
      </c>
      <c r="V334">
        <v>49</v>
      </c>
      <c r="W334" t="str">
        <f>HYPERLINK("Gene2547-zp_tree_all.dnd", "Gene2547-tree")</f>
        <v>Gene2547-tree</v>
      </c>
      <c r="X334">
        <v>11</v>
      </c>
      <c r="Y334">
        <v>1</v>
      </c>
      <c r="Z334">
        <v>11</v>
      </c>
      <c r="AA334">
        <v>1</v>
      </c>
      <c r="AB334">
        <v>8.3330000000000001E-2</v>
      </c>
      <c r="AC334" t="s">
        <v>73</v>
      </c>
      <c r="AD334" t="s">
        <v>175</v>
      </c>
      <c r="AE334" t="s">
        <v>62</v>
      </c>
      <c r="AF334" t="s">
        <v>62</v>
      </c>
      <c r="AG334">
        <v>0</v>
      </c>
      <c r="AH334">
        <v>0</v>
      </c>
      <c r="AI334">
        <v>4</v>
      </c>
      <c r="AJ334">
        <v>0</v>
      </c>
      <c r="AK334">
        <v>0</v>
      </c>
      <c r="AL334">
        <v>0</v>
      </c>
      <c r="AM334">
        <v>0</v>
      </c>
      <c r="AN334">
        <v>3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7</v>
      </c>
      <c r="AV334">
        <v>6</v>
      </c>
      <c r="AW334">
        <v>20</v>
      </c>
      <c r="AX334">
        <v>1</v>
      </c>
      <c r="AY334">
        <v>26</v>
      </c>
      <c r="AZ334">
        <v>3</v>
      </c>
      <c r="BA334" t="s">
        <v>14884</v>
      </c>
      <c r="BB334" t="s">
        <v>14885</v>
      </c>
      <c r="BC334">
        <v>0.20300000000000001</v>
      </c>
      <c r="BD334" t="s">
        <v>65</v>
      </c>
      <c r="BE334">
        <v>46</v>
      </c>
      <c r="BF334">
        <v>4</v>
      </c>
      <c r="BG334" t="s">
        <v>14886</v>
      </c>
      <c r="BH334" t="s">
        <v>14887</v>
      </c>
      <c r="BI334" t="s">
        <v>14888</v>
      </c>
      <c r="BJ334">
        <v>2.214E-2</v>
      </c>
      <c r="BK334">
        <v>1</v>
      </c>
      <c r="BL334" t="s">
        <v>69</v>
      </c>
      <c r="BM334">
        <v>-1.901</v>
      </c>
      <c r="BN334">
        <v>-1.498</v>
      </c>
    </row>
    <row r="335" spans="2:66">
      <c r="B335">
        <v>544</v>
      </c>
      <c r="C335">
        <v>23</v>
      </c>
      <c r="D335">
        <v>0</v>
      </c>
      <c r="E335">
        <v>4</v>
      </c>
      <c r="F335">
        <v>0</v>
      </c>
      <c r="J335">
        <v>0</v>
      </c>
      <c r="K335">
        <v>5</v>
      </c>
      <c r="L335">
        <v>0</v>
      </c>
      <c r="M335" t="s">
        <v>25022</v>
      </c>
      <c r="N335">
        <v>2548</v>
      </c>
      <c r="O335" t="s">
        <v>14889</v>
      </c>
      <c r="P335" t="s">
        <v>62</v>
      </c>
      <c r="Q335">
        <v>2538700</v>
      </c>
      <c r="R335">
        <v>2539758</v>
      </c>
      <c r="S335" t="s">
        <v>14890</v>
      </c>
      <c r="T335">
        <v>353</v>
      </c>
      <c r="U335" t="s">
        <v>99</v>
      </c>
      <c r="V335">
        <v>47</v>
      </c>
      <c r="W335" t="str">
        <f>HYPERLINK("Gene2548-zp_tree_all.dnd", "Gene2548-tree")</f>
        <v>Gene2548-tree</v>
      </c>
      <c r="X335">
        <v>10</v>
      </c>
      <c r="Y335">
        <v>8</v>
      </c>
      <c r="Z335">
        <v>10</v>
      </c>
      <c r="AA335">
        <v>8</v>
      </c>
      <c r="AB335">
        <v>0.44444</v>
      </c>
      <c r="AC335" t="s">
        <v>117</v>
      </c>
      <c r="AD335" t="s">
        <v>136</v>
      </c>
      <c r="AE335" t="s">
        <v>62</v>
      </c>
      <c r="AF335" t="s">
        <v>62</v>
      </c>
      <c r="AG335">
        <v>2</v>
      </c>
      <c r="AH335">
        <v>5</v>
      </c>
      <c r="AI335">
        <v>16</v>
      </c>
      <c r="AJ335">
        <v>0.23810000000000001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3</v>
      </c>
      <c r="AQ335">
        <v>0</v>
      </c>
      <c r="AR335">
        <v>3</v>
      </c>
      <c r="AS335">
        <v>12</v>
      </c>
      <c r="AT335">
        <v>0.2</v>
      </c>
      <c r="AU335">
        <v>14</v>
      </c>
      <c r="AV335">
        <v>8</v>
      </c>
      <c r="AW335">
        <v>43</v>
      </c>
      <c r="AX335">
        <v>13</v>
      </c>
      <c r="AY335">
        <v>37</v>
      </c>
      <c r="AZ335">
        <v>8</v>
      </c>
      <c r="BA335" t="s">
        <v>14891</v>
      </c>
      <c r="BB335" t="s">
        <v>14892</v>
      </c>
      <c r="BC335">
        <v>0.185</v>
      </c>
      <c r="BD335" t="s">
        <v>65</v>
      </c>
      <c r="BE335">
        <v>80</v>
      </c>
      <c r="BF335">
        <v>21</v>
      </c>
      <c r="BG335" t="s">
        <v>14893</v>
      </c>
      <c r="BH335" t="s">
        <v>14894</v>
      </c>
      <c r="BI335" t="s">
        <v>14895</v>
      </c>
      <c r="BJ335">
        <v>6.6559999999999994E-2</v>
      </c>
      <c r="BK335">
        <v>1</v>
      </c>
      <c r="BL335" t="s">
        <v>69</v>
      </c>
      <c r="BM335">
        <v>-1.742</v>
      </c>
      <c r="BN335">
        <v>-0.77</v>
      </c>
    </row>
    <row r="336" spans="2:66">
      <c r="B336">
        <v>550</v>
      </c>
      <c r="C336">
        <v>19</v>
      </c>
      <c r="D336">
        <v>0</v>
      </c>
      <c r="E336">
        <v>8</v>
      </c>
      <c r="F336">
        <v>3</v>
      </c>
      <c r="J336">
        <v>0</v>
      </c>
      <c r="K336">
        <v>0</v>
      </c>
      <c r="L336">
        <v>0</v>
      </c>
      <c r="M336" t="s">
        <v>25022</v>
      </c>
      <c r="N336">
        <v>2549</v>
      </c>
      <c r="O336" t="s">
        <v>14896</v>
      </c>
      <c r="P336" t="s">
        <v>62</v>
      </c>
      <c r="Q336">
        <v>2539758</v>
      </c>
      <c r="R336">
        <v>2540201</v>
      </c>
      <c r="S336" t="s">
        <v>14897</v>
      </c>
      <c r="T336">
        <v>148</v>
      </c>
      <c r="U336" t="s">
        <v>698</v>
      </c>
      <c r="V336">
        <v>47</v>
      </c>
      <c r="W336" t="str">
        <f>HYPERLINK("Gene2549-zp_tree_all.dnd", "Gene2549-tree")</f>
        <v>Gene2549-tree</v>
      </c>
      <c r="X336">
        <v>5</v>
      </c>
      <c r="Y336">
        <v>6</v>
      </c>
      <c r="Z336">
        <v>5</v>
      </c>
      <c r="AA336">
        <v>6</v>
      </c>
      <c r="AB336">
        <v>0.54544999999999999</v>
      </c>
      <c r="AC336" t="s">
        <v>199</v>
      </c>
      <c r="AD336" t="s">
        <v>90</v>
      </c>
      <c r="AE336" t="s">
        <v>62</v>
      </c>
      <c r="AF336" t="s">
        <v>62</v>
      </c>
      <c r="AG336">
        <v>0</v>
      </c>
      <c r="AH336">
        <v>0</v>
      </c>
      <c r="AI336">
        <v>8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6</v>
      </c>
      <c r="AT336">
        <v>0</v>
      </c>
      <c r="AU336">
        <v>8</v>
      </c>
      <c r="AV336">
        <v>5</v>
      </c>
      <c r="AW336">
        <v>15</v>
      </c>
      <c r="AX336">
        <v>6</v>
      </c>
      <c r="AY336">
        <v>19</v>
      </c>
      <c r="AZ336">
        <v>3</v>
      </c>
      <c r="BA336" t="s">
        <v>14898</v>
      </c>
      <c r="BB336" t="s">
        <v>14899</v>
      </c>
      <c r="BC336">
        <v>1.038</v>
      </c>
      <c r="BD336" t="s">
        <v>65</v>
      </c>
      <c r="BE336">
        <v>34</v>
      </c>
      <c r="BF336">
        <v>9</v>
      </c>
      <c r="BG336" t="s">
        <v>14900</v>
      </c>
      <c r="BH336" t="s">
        <v>14901</v>
      </c>
      <c r="BI336" t="s">
        <v>14902</v>
      </c>
      <c r="BJ336">
        <v>8.6989999999999998E-2</v>
      </c>
      <c r="BK336">
        <v>1</v>
      </c>
      <c r="BL336" t="s">
        <v>69</v>
      </c>
      <c r="BM336">
        <v>-1.508</v>
      </c>
      <c r="BN336">
        <v>-0.60099999999999998</v>
      </c>
    </row>
    <row r="337" spans="2:66">
      <c r="B337">
        <v>551</v>
      </c>
      <c r="C337">
        <v>9</v>
      </c>
      <c r="D337">
        <v>0</v>
      </c>
      <c r="E337">
        <v>9</v>
      </c>
      <c r="F337">
        <v>1</v>
      </c>
      <c r="J337">
        <v>0</v>
      </c>
      <c r="K337">
        <v>0</v>
      </c>
      <c r="L337">
        <v>2</v>
      </c>
      <c r="M337" t="s">
        <v>25022</v>
      </c>
      <c r="N337">
        <v>2550</v>
      </c>
      <c r="O337" t="s">
        <v>14903</v>
      </c>
      <c r="P337" t="s">
        <v>62</v>
      </c>
      <c r="Q337">
        <v>2540291</v>
      </c>
      <c r="R337">
        <v>2540824</v>
      </c>
      <c r="S337" t="s">
        <v>3095</v>
      </c>
      <c r="T337">
        <v>178</v>
      </c>
      <c r="U337" t="s">
        <v>108</v>
      </c>
      <c r="V337">
        <v>44</v>
      </c>
      <c r="W337" t="str">
        <f>HYPERLINK("Gene2550-zp_tree_all.dnd", "Gene2550-tree")</f>
        <v>Gene2550-tree</v>
      </c>
      <c r="X337">
        <v>11</v>
      </c>
      <c r="Y337">
        <v>4</v>
      </c>
      <c r="Z337">
        <v>11</v>
      </c>
      <c r="AA337">
        <v>4</v>
      </c>
      <c r="AB337">
        <v>0.26667000000000002</v>
      </c>
      <c r="AC337" t="s">
        <v>73</v>
      </c>
      <c r="AD337" t="s">
        <v>61</v>
      </c>
      <c r="AE337" t="s">
        <v>62</v>
      </c>
      <c r="AF337" t="s">
        <v>62</v>
      </c>
      <c r="AG337">
        <v>1</v>
      </c>
      <c r="AH337">
        <v>2</v>
      </c>
      <c r="AI337">
        <v>3</v>
      </c>
      <c r="AJ337">
        <v>0.4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4</v>
      </c>
      <c r="AT337">
        <v>0</v>
      </c>
      <c r="AU337">
        <v>11</v>
      </c>
      <c r="AV337">
        <v>6</v>
      </c>
      <c r="AW337">
        <v>16</v>
      </c>
      <c r="AX337">
        <v>4</v>
      </c>
      <c r="AY337">
        <v>7</v>
      </c>
      <c r="AZ337">
        <v>2</v>
      </c>
      <c r="BA337" t="s">
        <v>14904</v>
      </c>
      <c r="BB337" t="s">
        <v>14905</v>
      </c>
      <c r="BC337">
        <v>5.7000000000000002E-2</v>
      </c>
      <c r="BD337" t="s">
        <v>65</v>
      </c>
      <c r="BE337">
        <v>23</v>
      </c>
      <c r="BF337">
        <v>6</v>
      </c>
      <c r="BG337" t="s">
        <v>14906</v>
      </c>
      <c r="BH337" t="s">
        <v>14907</v>
      </c>
      <c r="BI337" t="s">
        <v>14908</v>
      </c>
      <c r="BJ337">
        <v>7.9530000000000003E-2</v>
      </c>
      <c r="BK337">
        <v>1</v>
      </c>
      <c r="BL337" t="s">
        <v>69</v>
      </c>
      <c r="BM337">
        <v>-1.329</v>
      </c>
      <c r="BN337">
        <v>-2.58</v>
      </c>
    </row>
    <row r="338" spans="2:66">
      <c r="B338">
        <v>552</v>
      </c>
      <c r="C338">
        <v>144</v>
      </c>
      <c r="D338">
        <v>0</v>
      </c>
      <c r="E338">
        <v>10</v>
      </c>
      <c r="F338">
        <v>2</v>
      </c>
      <c r="J338">
        <v>0</v>
      </c>
      <c r="K338">
        <v>7</v>
      </c>
      <c r="L338">
        <v>0</v>
      </c>
      <c r="M338" t="s">
        <v>25022</v>
      </c>
      <c r="N338">
        <v>2553</v>
      </c>
      <c r="O338" t="s">
        <v>14921</v>
      </c>
      <c r="P338" t="s">
        <v>62</v>
      </c>
      <c r="Q338">
        <v>2542442</v>
      </c>
      <c r="R338">
        <v>2543314</v>
      </c>
      <c r="S338" t="s">
        <v>14922</v>
      </c>
      <c r="T338">
        <v>291</v>
      </c>
      <c r="U338" t="s">
        <v>59</v>
      </c>
      <c r="V338">
        <v>49</v>
      </c>
      <c r="W338" t="str">
        <f>HYPERLINK("Gene2553-zp_tree_all.dnd", "Gene2553-tree")</f>
        <v>Gene2553-tree</v>
      </c>
      <c r="X338">
        <v>9</v>
      </c>
      <c r="Y338">
        <v>8</v>
      </c>
      <c r="Z338">
        <v>9</v>
      </c>
      <c r="AA338">
        <v>8</v>
      </c>
      <c r="AB338">
        <v>0.47059000000000001</v>
      </c>
      <c r="AC338" t="s">
        <v>135</v>
      </c>
      <c r="AD338" t="s">
        <v>136</v>
      </c>
      <c r="AE338" t="s">
        <v>62</v>
      </c>
      <c r="AF338" t="s">
        <v>62</v>
      </c>
      <c r="AG338">
        <v>3</v>
      </c>
      <c r="AH338">
        <v>7</v>
      </c>
      <c r="AI338">
        <v>13</v>
      </c>
      <c r="AJ338">
        <v>0.35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2</v>
      </c>
      <c r="AQ338">
        <v>0</v>
      </c>
      <c r="AR338">
        <v>2</v>
      </c>
      <c r="AS338">
        <v>11</v>
      </c>
      <c r="AT338">
        <v>0.15384999999999999</v>
      </c>
      <c r="AU338">
        <v>15</v>
      </c>
      <c r="AV338">
        <v>14</v>
      </c>
      <c r="AW338">
        <v>43</v>
      </c>
      <c r="AX338">
        <v>13</v>
      </c>
      <c r="AY338">
        <v>73</v>
      </c>
      <c r="AZ338">
        <v>7</v>
      </c>
      <c r="BA338" t="s">
        <v>14923</v>
      </c>
      <c r="BB338" t="s">
        <v>14924</v>
      </c>
      <c r="BC338">
        <v>1.3520000000000001</v>
      </c>
      <c r="BD338" t="s">
        <v>65</v>
      </c>
      <c r="BE338">
        <v>116</v>
      </c>
      <c r="BF338">
        <v>20</v>
      </c>
      <c r="BG338" t="s">
        <v>14925</v>
      </c>
      <c r="BH338" t="s">
        <v>14926</v>
      </c>
      <c r="BI338" t="s">
        <v>14927</v>
      </c>
      <c r="BJ338">
        <v>3.9230000000000001E-2</v>
      </c>
      <c r="BK338">
        <v>1</v>
      </c>
      <c r="BL338" t="s">
        <v>69</v>
      </c>
      <c r="BM338">
        <v>-0.91500000000000004</v>
      </c>
      <c r="BN338">
        <v>-0.92600000000000005</v>
      </c>
    </row>
    <row r="339" spans="2:66">
      <c r="B339">
        <v>553</v>
      </c>
      <c r="C339">
        <v>107</v>
      </c>
      <c r="D339">
        <v>0</v>
      </c>
      <c r="E339">
        <v>15</v>
      </c>
      <c r="F339">
        <v>2</v>
      </c>
      <c r="J339">
        <v>0</v>
      </c>
      <c r="K339">
        <v>0</v>
      </c>
      <c r="L339">
        <v>0</v>
      </c>
      <c r="M339" t="s">
        <v>25022</v>
      </c>
      <c r="N339">
        <v>2554</v>
      </c>
      <c r="O339" t="s">
        <v>14928</v>
      </c>
      <c r="P339" t="s">
        <v>62</v>
      </c>
      <c r="Q339">
        <v>2543443</v>
      </c>
      <c r="R339">
        <v>2543868</v>
      </c>
      <c r="S339" t="s">
        <v>14929</v>
      </c>
      <c r="T339">
        <v>142</v>
      </c>
      <c r="U339" t="s">
        <v>59</v>
      </c>
      <c r="V339">
        <v>49</v>
      </c>
      <c r="W339" t="str">
        <f>HYPERLINK("Gene2554-zp_tree_all.dnd", "Gene2554-tree")</f>
        <v>Gene2554-tree</v>
      </c>
      <c r="X339">
        <v>6</v>
      </c>
      <c r="Y339">
        <v>2</v>
      </c>
      <c r="Z339">
        <v>6</v>
      </c>
      <c r="AA339">
        <v>2</v>
      </c>
      <c r="AB339">
        <v>0.25</v>
      </c>
      <c r="AC339" t="s">
        <v>90</v>
      </c>
      <c r="AD339" t="s">
        <v>81</v>
      </c>
      <c r="AE339" t="s">
        <v>62</v>
      </c>
      <c r="AF339" t="s">
        <v>62</v>
      </c>
      <c r="AG339">
        <v>0</v>
      </c>
      <c r="AH339">
        <v>0</v>
      </c>
      <c r="AI339">
        <v>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0</v>
      </c>
      <c r="AU339">
        <v>6</v>
      </c>
      <c r="AV339">
        <v>3</v>
      </c>
      <c r="AW339">
        <v>9</v>
      </c>
      <c r="AX339">
        <v>2</v>
      </c>
      <c r="AY339">
        <v>6</v>
      </c>
      <c r="AZ339">
        <v>0</v>
      </c>
      <c r="BA339" t="s">
        <v>14930</v>
      </c>
      <c r="BB339" t="s">
        <v>193</v>
      </c>
      <c r="BC339">
        <v>1.08</v>
      </c>
      <c r="BD339" t="s">
        <v>65</v>
      </c>
      <c r="BE339">
        <v>15</v>
      </c>
      <c r="BF339">
        <v>2</v>
      </c>
      <c r="BG339" t="s">
        <v>14931</v>
      </c>
      <c r="BH339" t="s">
        <v>14932</v>
      </c>
      <c r="BI339" t="s">
        <v>14933</v>
      </c>
      <c r="BJ339">
        <v>2.809E-2</v>
      </c>
      <c r="BK339">
        <v>1</v>
      </c>
      <c r="BL339" t="s">
        <v>69</v>
      </c>
      <c r="BM339">
        <v>-1.8819999999999999</v>
      </c>
      <c r="BN339">
        <v>-1.631</v>
      </c>
    </row>
    <row r="340" spans="2:66">
      <c r="B340">
        <v>554</v>
      </c>
      <c r="C340">
        <v>191</v>
      </c>
      <c r="D340">
        <v>0</v>
      </c>
      <c r="E340">
        <v>2</v>
      </c>
      <c r="F340">
        <v>3</v>
      </c>
      <c r="J340">
        <v>0</v>
      </c>
      <c r="K340">
        <v>0</v>
      </c>
      <c r="L340">
        <v>2</v>
      </c>
      <c r="M340" t="s">
        <v>25022</v>
      </c>
      <c r="N340">
        <v>2555</v>
      </c>
      <c r="O340" t="s">
        <v>14934</v>
      </c>
      <c r="P340" t="s">
        <v>62</v>
      </c>
      <c r="Q340">
        <v>2543971</v>
      </c>
      <c r="R340">
        <v>2544804</v>
      </c>
      <c r="S340" t="s">
        <v>14935</v>
      </c>
      <c r="T340">
        <v>278</v>
      </c>
      <c r="U340" t="s">
        <v>2803</v>
      </c>
      <c r="V340">
        <v>45</v>
      </c>
      <c r="W340" t="str">
        <f>HYPERLINK("Gene2555-zp_tree_all.dnd", "Gene2555-tree")</f>
        <v>Gene2555-tree</v>
      </c>
      <c r="X340">
        <v>11</v>
      </c>
      <c r="Y340">
        <v>5</v>
      </c>
      <c r="Z340">
        <v>11</v>
      </c>
      <c r="AA340">
        <v>5</v>
      </c>
      <c r="AB340">
        <v>0.3125</v>
      </c>
      <c r="AC340" t="s">
        <v>73</v>
      </c>
      <c r="AD340" t="s">
        <v>199</v>
      </c>
      <c r="AE340" t="s">
        <v>62</v>
      </c>
      <c r="AF340" t="s">
        <v>62</v>
      </c>
      <c r="AG340">
        <v>1</v>
      </c>
      <c r="AH340">
        <v>2</v>
      </c>
      <c r="AI340">
        <v>8</v>
      </c>
      <c r="AJ340">
        <v>0.2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8</v>
      </c>
      <c r="AT340">
        <v>0</v>
      </c>
      <c r="AU340">
        <v>14</v>
      </c>
      <c r="AV340">
        <v>8</v>
      </c>
      <c r="AW340">
        <v>55</v>
      </c>
      <c r="AX340">
        <v>8</v>
      </c>
      <c r="AY340">
        <v>21</v>
      </c>
      <c r="AZ340">
        <v>2</v>
      </c>
      <c r="BA340" t="s">
        <v>14936</v>
      </c>
      <c r="BB340" t="s">
        <v>14937</v>
      </c>
      <c r="BC340">
        <v>0.13900000000000001</v>
      </c>
      <c r="BD340" t="s">
        <v>65</v>
      </c>
      <c r="BE340">
        <v>76</v>
      </c>
      <c r="BF340">
        <v>10</v>
      </c>
      <c r="BG340" t="s">
        <v>14938</v>
      </c>
      <c r="BH340" t="s">
        <v>14939</v>
      </c>
      <c r="BI340" t="s">
        <v>14940</v>
      </c>
      <c r="BJ340">
        <v>3.5740000000000001E-2</v>
      </c>
      <c r="BK340">
        <v>1</v>
      </c>
      <c r="BL340" t="s">
        <v>69</v>
      </c>
      <c r="BM340">
        <v>-1.756</v>
      </c>
      <c r="BN340">
        <v>-3.0579999999999998</v>
      </c>
    </row>
    <row r="341" spans="2:66">
      <c r="B341">
        <v>555</v>
      </c>
      <c r="C341">
        <v>50</v>
      </c>
      <c r="D341">
        <v>0</v>
      </c>
      <c r="E341">
        <v>2</v>
      </c>
      <c r="F341">
        <v>0</v>
      </c>
      <c r="J341">
        <v>0</v>
      </c>
      <c r="K341">
        <v>12</v>
      </c>
      <c r="L341">
        <v>2</v>
      </c>
      <c r="M341" t="s">
        <v>25022</v>
      </c>
      <c r="N341">
        <v>2557</v>
      </c>
      <c r="O341" t="s">
        <v>14948</v>
      </c>
      <c r="P341" t="s">
        <v>62</v>
      </c>
      <c r="Q341">
        <v>2545413</v>
      </c>
      <c r="R341">
        <v>2546876</v>
      </c>
      <c r="S341" t="s">
        <v>14949</v>
      </c>
      <c r="T341">
        <v>488</v>
      </c>
      <c r="U341" t="s">
        <v>108</v>
      </c>
      <c r="V341">
        <v>44</v>
      </c>
      <c r="W341" t="str">
        <f>HYPERLINK("Gene2557-zp_tree_all.dnd", "Gene2557-tree")</f>
        <v>Gene2557-tree</v>
      </c>
      <c r="X341">
        <v>6</v>
      </c>
      <c r="Y341">
        <v>8</v>
      </c>
      <c r="Z341">
        <v>6</v>
      </c>
      <c r="AA341">
        <v>8</v>
      </c>
      <c r="AB341">
        <v>0.57142999999999999</v>
      </c>
      <c r="AC341" t="s">
        <v>90</v>
      </c>
      <c r="AD341" t="s">
        <v>136</v>
      </c>
      <c r="AE341" t="s">
        <v>62</v>
      </c>
      <c r="AF341" t="s">
        <v>62</v>
      </c>
      <c r="AG341">
        <v>5</v>
      </c>
      <c r="AH341">
        <v>14</v>
      </c>
      <c r="AI341">
        <v>7</v>
      </c>
      <c r="AJ341">
        <v>0.66666999999999998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8</v>
      </c>
      <c r="AQ341">
        <v>0</v>
      </c>
      <c r="AR341">
        <v>8</v>
      </c>
      <c r="AS341">
        <v>5</v>
      </c>
      <c r="AT341">
        <v>0.61538000000000004</v>
      </c>
      <c r="AU341">
        <v>14</v>
      </c>
      <c r="AV341">
        <v>10</v>
      </c>
      <c r="AW341">
        <v>50</v>
      </c>
      <c r="AX341">
        <v>13</v>
      </c>
      <c r="AY341">
        <v>30</v>
      </c>
      <c r="AZ341">
        <v>8</v>
      </c>
      <c r="BA341" t="s">
        <v>14950</v>
      </c>
      <c r="BB341" t="s">
        <v>14951</v>
      </c>
      <c r="BC341">
        <v>3.7999999999999999E-2</v>
      </c>
      <c r="BD341" t="s">
        <v>65</v>
      </c>
      <c r="BE341">
        <v>80</v>
      </c>
      <c r="BF341">
        <v>21</v>
      </c>
      <c r="BG341" t="s">
        <v>14952</v>
      </c>
      <c r="BH341" t="s">
        <v>14953</v>
      </c>
      <c r="BI341" t="s">
        <v>14954</v>
      </c>
      <c r="BJ341">
        <v>6.9809999999999997E-2</v>
      </c>
      <c r="BK341">
        <v>1</v>
      </c>
      <c r="BL341" t="s">
        <v>69</v>
      </c>
      <c r="BM341">
        <v>-0.63200000000000001</v>
      </c>
      <c r="BN341">
        <v>-0.501</v>
      </c>
    </row>
    <row r="342" spans="2:66">
      <c r="B342">
        <v>558</v>
      </c>
      <c r="C342">
        <v>79</v>
      </c>
      <c r="D342">
        <v>0</v>
      </c>
      <c r="E342">
        <v>15</v>
      </c>
      <c r="F342">
        <v>0</v>
      </c>
      <c r="J342">
        <v>0</v>
      </c>
      <c r="K342">
        <v>7</v>
      </c>
      <c r="L342">
        <v>0</v>
      </c>
      <c r="M342" t="s">
        <v>25022</v>
      </c>
      <c r="N342">
        <v>2558</v>
      </c>
      <c r="O342" t="s">
        <v>14955</v>
      </c>
      <c r="P342" t="s">
        <v>62</v>
      </c>
      <c r="Q342">
        <v>2546872</v>
      </c>
      <c r="R342">
        <v>2548215</v>
      </c>
      <c r="S342" t="s">
        <v>14956</v>
      </c>
      <c r="T342">
        <v>448</v>
      </c>
      <c r="U342" t="s">
        <v>108</v>
      </c>
      <c r="V342">
        <v>44</v>
      </c>
      <c r="W342" t="str">
        <f>HYPERLINK("Gene2558-zp_tree_all.dnd", "Gene2558-tree")</f>
        <v>Gene2558-tree</v>
      </c>
      <c r="X342">
        <v>7</v>
      </c>
      <c r="Y342">
        <v>8</v>
      </c>
      <c r="Z342">
        <v>7</v>
      </c>
      <c r="AA342">
        <v>8</v>
      </c>
      <c r="AB342">
        <v>0.53332999999999997</v>
      </c>
      <c r="AC342" t="s">
        <v>152</v>
      </c>
      <c r="AD342" t="s">
        <v>136</v>
      </c>
      <c r="AE342" t="s">
        <v>62</v>
      </c>
      <c r="AF342" t="s">
        <v>62</v>
      </c>
      <c r="AG342">
        <v>3</v>
      </c>
      <c r="AH342">
        <v>7</v>
      </c>
      <c r="AI342">
        <v>11</v>
      </c>
      <c r="AJ342">
        <v>0.38889000000000001</v>
      </c>
      <c r="AK342">
        <v>0</v>
      </c>
      <c r="AL342">
        <v>0</v>
      </c>
      <c r="AM342">
        <v>0</v>
      </c>
      <c r="AN342">
        <v>2</v>
      </c>
      <c r="AO342">
        <v>0</v>
      </c>
      <c r="AP342">
        <v>7</v>
      </c>
      <c r="AQ342">
        <v>0</v>
      </c>
      <c r="AR342">
        <v>7</v>
      </c>
      <c r="AS342">
        <v>8</v>
      </c>
      <c r="AT342">
        <v>0.46666999999999997</v>
      </c>
      <c r="AU342">
        <v>13</v>
      </c>
      <c r="AV342">
        <v>9</v>
      </c>
      <c r="AW342">
        <v>33</v>
      </c>
      <c r="AX342">
        <v>15</v>
      </c>
      <c r="AY342">
        <v>24</v>
      </c>
      <c r="AZ342">
        <v>3</v>
      </c>
      <c r="BA342" t="s">
        <v>14957</v>
      </c>
      <c r="BB342" t="s">
        <v>14958</v>
      </c>
      <c r="BC342">
        <v>0.95499999999999996</v>
      </c>
      <c r="BD342" t="s">
        <v>65</v>
      </c>
      <c r="BE342">
        <v>57</v>
      </c>
      <c r="BF342">
        <v>18</v>
      </c>
      <c r="BG342" t="s">
        <v>14959</v>
      </c>
      <c r="BH342" t="s">
        <v>14960</v>
      </c>
      <c r="BI342" t="s">
        <v>14961</v>
      </c>
      <c r="BJ342">
        <v>8.0420000000000005E-2</v>
      </c>
      <c r="BK342">
        <v>1</v>
      </c>
      <c r="BL342" t="s">
        <v>69</v>
      </c>
      <c r="BM342">
        <v>-0.71</v>
      </c>
      <c r="BN342">
        <v>-0.312</v>
      </c>
    </row>
    <row r="343" spans="2:66">
      <c r="B343">
        <v>559</v>
      </c>
      <c r="C343">
        <v>75</v>
      </c>
      <c r="D343">
        <v>0</v>
      </c>
      <c r="E343">
        <v>4</v>
      </c>
      <c r="F343">
        <v>0</v>
      </c>
      <c r="J343">
        <v>0</v>
      </c>
      <c r="K343">
        <v>12</v>
      </c>
      <c r="L343">
        <v>0</v>
      </c>
      <c r="M343" t="s">
        <v>25022</v>
      </c>
      <c r="N343">
        <v>2559</v>
      </c>
      <c r="O343" t="s">
        <v>14962</v>
      </c>
      <c r="P343" t="s">
        <v>62</v>
      </c>
      <c r="Q343">
        <v>2548248</v>
      </c>
      <c r="R343">
        <v>2549333</v>
      </c>
      <c r="S343" t="s">
        <v>14963</v>
      </c>
      <c r="T343">
        <v>362</v>
      </c>
      <c r="U343" t="s">
        <v>108</v>
      </c>
      <c r="V343">
        <v>44</v>
      </c>
      <c r="W343" t="str">
        <f>HYPERLINK("Gene2559-zp_tree_all.dnd", "Gene2559-tree")</f>
        <v>Gene2559-tree</v>
      </c>
      <c r="X343">
        <v>6</v>
      </c>
      <c r="Y343">
        <v>26</v>
      </c>
      <c r="Z343">
        <v>6</v>
      </c>
      <c r="AA343">
        <v>9</v>
      </c>
      <c r="AB343">
        <v>0.6</v>
      </c>
      <c r="AC343" t="s">
        <v>90</v>
      </c>
      <c r="AD343" t="s">
        <v>4723</v>
      </c>
      <c r="AE343">
        <v>2.7410000000000001</v>
      </c>
      <c r="AF343" t="s">
        <v>65</v>
      </c>
      <c r="AG343">
        <v>5</v>
      </c>
      <c r="AH343">
        <v>12</v>
      </c>
      <c r="AI343">
        <v>8</v>
      </c>
      <c r="AJ343">
        <v>0.6</v>
      </c>
      <c r="AK343">
        <v>0</v>
      </c>
      <c r="AL343">
        <v>0</v>
      </c>
      <c r="AM343">
        <v>0</v>
      </c>
      <c r="AN343">
        <v>3</v>
      </c>
      <c r="AO343">
        <v>0</v>
      </c>
      <c r="AP343">
        <v>6</v>
      </c>
      <c r="AQ343">
        <v>0</v>
      </c>
      <c r="AR343">
        <v>6</v>
      </c>
      <c r="AS343">
        <v>6</v>
      </c>
      <c r="AT343">
        <v>0.5</v>
      </c>
      <c r="AU343">
        <v>12</v>
      </c>
      <c r="AV343">
        <v>12</v>
      </c>
      <c r="AW343">
        <v>23</v>
      </c>
      <c r="AX343">
        <v>12</v>
      </c>
      <c r="AY343">
        <v>17</v>
      </c>
      <c r="AZ343">
        <v>8</v>
      </c>
      <c r="BA343" t="s">
        <v>14964</v>
      </c>
      <c r="BB343" t="s">
        <v>14965</v>
      </c>
      <c r="BC343">
        <v>0.13500000000000001</v>
      </c>
      <c r="BD343" t="s">
        <v>65</v>
      </c>
      <c r="BE343">
        <v>40</v>
      </c>
      <c r="BF343">
        <v>20</v>
      </c>
      <c r="BG343" t="s">
        <v>14966</v>
      </c>
      <c r="BH343" t="s">
        <v>14967</v>
      </c>
      <c r="BI343" t="s">
        <v>14968</v>
      </c>
      <c r="BJ343">
        <v>0.15118999999999999</v>
      </c>
      <c r="BK343">
        <v>1</v>
      </c>
      <c r="BL343" t="s">
        <v>69</v>
      </c>
      <c r="BM343">
        <v>-0.35399999999999998</v>
      </c>
      <c r="BN343">
        <v>-0.46200000000000002</v>
      </c>
    </row>
    <row r="344" spans="2:66">
      <c r="B344">
        <v>560</v>
      </c>
      <c r="C344">
        <v>89</v>
      </c>
      <c r="D344">
        <v>0</v>
      </c>
      <c r="E344">
        <v>23</v>
      </c>
      <c r="F344">
        <v>4</v>
      </c>
      <c r="J344">
        <v>0</v>
      </c>
      <c r="K344">
        <v>6</v>
      </c>
      <c r="L344">
        <v>0</v>
      </c>
      <c r="M344" t="s">
        <v>25022</v>
      </c>
      <c r="N344">
        <v>2564</v>
      </c>
      <c r="O344" t="s">
        <v>14996</v>
      </c>
      <c r="P344" t="s">
        <v>62</v>
      </c>
      <c r="Q344">
        <v>2553084</v>
      </c>
      <c r="R344">
        <v>2553866</v>
      </c>
      <c r="S344" t="s">
        <v>14997</v>
      </c>
      <c r="T344">
        <v>261</v>
      </c>
      <c r="U344" t="s">
        <v>108</v>
      </c>
      <c r="V344">
        <v>44</v>
      </c>
      <c r="W344" t="str">
        <f>HYPERLINK("Gene2564-zp_tree_all.dnd", "Gene2564-tree")</f>
        <v>Gene2564-tree</v>
      </c>
      <c r="X344">
        <v>8</v>
      </c>
      <c r="Y344">
        <v>5</v>
      </c>
      <c r="Z344">
        <v>8</v>
      </c>
      <c r="AA344">
        <v>5</v>
      </c>
      <c r="AB344">
        <v>0.38462000000000002</v>
      </c>
      <c r="AC344" t="s">
        <v>136</v>
      </c>
      <c r="AD344" t="s">
        <v>199</v>
      </c>
      <c r="AE344" t="s">
        <v>62</v>
      </c>
      <c r="AF344" t="s">
        <v>62</v>
      </c>
      <c r="AG344">
        <v>2</v>
      </c>
      <c r="AH344">
        <v>6</v>
      </c>
      <c r="AI344">
        <v>3</v>
      </c>
      <c r="AJ344">
        <v>0.66666999999999998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4</v>
      </c>
      <c r="AQ344">
        <v>0</v>
      </c>
      <c r="AR344">
        <v>4</v>
      </c>
      <c r="AS344">
        <v>3</v>
      </c>
      <c r="AT344">
        <v>0.57142999999999999</v>
      </c>
      <c r="AU344">
        <v>8</v>
      </c>
      <c r="AV344">
        <v>9</v>
      </c>
      <c r="AW344">
        <v>13</v>
      </c>
      <c r="AX344">
        <v>7</v>
      </c>
      <c r="AY344">
        <v>13</v>
      </c>
      <c r="AZ344">
        <v>2</v>
      </c>
      <c r="BA344" t="s">
        <v>14998</v>
      </c>
      <c r="BB344" t="s">
        <v>14999</v>
      </c>
      <c r="BC344">
        <v>0.72799999999999998</v>
      </c>
      <c r="BD344" t="s">
        <v>65</v>
      </c>
      <c r="BE344">
        <v>26</v>
      </c>
      <c r="BF344">
        <v>9</v>
      </c>
      <c r="BG344" t="s">
        <v>15000</v>
      </c>
      <c r="BH344" t="s">
        <v>15001</v>
      </c>
      <c r="BI344" t="s">
        <v>10138</v>
      </c>
      <c r="BJ344">
        <v>5.9859999999999997E-2</v>
      </c>
      <c r="BK344">
        <v>1</v>
      </c>
      <c r="BL344" t="s">
        <v>69</v>
      </c>
      <c r="BM344">
        <v>0.38900000000000001</v>
      </c>
      <c r="BN344">
        <v>-1.738</v>
      </c>
    </row>
    <row r="345" spans="2:66">
      <c r="B345">
        <v>561</v>
      </c>
      <c r="C345">
        <v>181</v>
      </c>
      <c r="D345">
        <v>0</v>
      </c>
      <c r="E345">
        <v>16</v>
      </c>
      <c r="F345">
        <v>1</v>
      </c>
      <c r="J345">
        <v>0</v>
      </c>
      <c r="K345">
        <v>2</v>
      </c>
      <c r="L345">
        <v>0</v>
      </c>
      <c r="M345" t="s">
        <v>25022</v>
      </c>
      <c r="N345">
        <v>2565</v>
      </c>
      <c r="O345" t="s">
        <v>15002</v>
      </c>
      <c r="P345" t="s">
        <v>62</v>
      </c>
      <c r="Q345">
        <v>2553933</v>
      </c>
      <c r="R345">
        <v>2554502</v>
      </c>
      <c r="S345" t="s">
        <v>2768</v>
      </c>
      <c r="T345">
        <v>190</v>
      </c>
      <c r="U345" t="s">
        <v>108</v>
      </c>
      <c r="V345">
        <v>44</v>
      </c>
      <c r="W345" t="str">
        <f>HYPERLINK("Gene2565-zp_tree_all.dnd", "Gene2565-tree")</f>
        <v>Gene2565-tree</v>
      </c>
      <c r="X345">
        <v>7</v>
      </c>
      <c r="Y345">
        <v>4</v>
      </c>
      <c r="Z345">
        <v>7</v>
      </c>
      <c r="AA345">
        <v>4</v>
      </c>
      <c r="AB345">
        <v>0.36364000000000002</v>
      </c>
      <c r="AC345" t="s">
        <v>152</v>
      </c>
      <c r="AD345" t="s">
        <v>61</v>
      </c>
      <c r="AE345" t="s">
        <v>62</v>
      </c>
      <c r="AF345" t="s">
        <v>62</v>
      </c>
      <c r="AG345">
        <v>1</v>
      </c>
      <c r="AH345">
        <v>2</v>
      </c>
      <c r="AI345">
        <v>5</v>
      </c>
      <c r="AJ345">
        <v>0.28571000000000002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5</v>
      </c>
      <c r="AT345">
        <v>0</v>
      </c>
      <c r="AU345">
        <v>10</v>
      </c>
      <c r="AV345">
        <v>7</v>
      </c>
      <c r="AW345">
        <v>15</v>
      </c>
      <c r="AX345">
        <v>5</v>
      </c>
      <c r="AY345">
        <v>13</v>
      </c>
      <c r="AZ345">
        <v>2</v>
      </c>
      <c r="BA345" t="s">
        <v>15003</v>
      </c>
      <c r="BB345" t="s">
        <v>15004</v>
      </c>
      <c r="BC345">
        <v>0.65100000000000002</v>
      </c>
      <c r="BD345" t="s">
        <v>65</v>
      </c>
      <c r="BE345">
        <v>28</v>
      </c>
      <c r="BF345">
        <v>7</v>
      </c>
      <c r="BG345" t="s">
        <v>15005</v>
      </c>
      <c r="BH345" t="s">
        <v>15006</v>
      </c>
      <c r="BI345" t="s">
        <v>15007</v>
      </c>
      <c r="BJ345">
        <v>8.0680000000000002E-2</v>
      </c>
      <c r="BK345">
        <v>1</v>
      </c>
      <c r="BL345" t="s">
        <v>69</v>
      </c>
      <c r="BM345">
        <v>0.2</v>
      </c>
      <c r="BN345">
        <v>0.13100000000000001</v>
      </c>
    </row>
    <row r="346" spans="2:66">
      <c r="B346">
        <v>562</v>
      </c>
      <c r="C346">
        <v>158</v>
      </c>
      <c r="D346">
        <v>0</v>
      </c>
      <c r="E346">
        <v>0</v>
      </c>
      <c r="F346">
        <v>2</v>
      </c>
      <c r="J346">
        <v>0</v>
      </c>
      <c r="K346">
        <v>2</v>
      </c>
      <c r="L346">
        <v>2</v>
      </c>
      <c r="M346" t="s">
        <v>25022</v>
      </c>
      <c r="N346">
        <v>2566</v>
      </c>
      <c r="O346" t="s">
        <v>15008</v>
      </c>
      <c r="P346" t="s">
        <v>62</v>
      </c>
      <c r="Q346">
        <v>2554489</v>
      </c>
      <c r="R346">
        <v>2555247</v>
      </c>
      <c r="S346" t="s">
        <v>15009</v>
      </c>
      <c r="T346">
        <v>253</v>
      </c>
      <c r="U346" t="s">
        <v>108</v>
      </c>
      <c r="V346">
        <v>44</v>
      </c>
      <c r="W346" t="str">
        <f>HYPERLINK("Gene2566-zp_tree_all.dnd", "Gene2566-tree")</f>
        <v>Gene2566-tree</v>
      </c>
      <c r="X346">
        <v>3</v>
      </c>
      <c r="Y346">
        <v>10</v>
      </c>
      <c r="Z346">
        <v>3</v>
      </c>
      <c r="AA346">
        <v>10</v>
      </c>
      <c r="AB346">
        <v>0.76922999999999997</v>
      </c>
      <c r="AC346" t="s">
        <v>324</v>
      </c>
      <c r="AD346" t="s">
        <v>117</v>
      </c>
      <c r="AE346" t="s">
        <v>62</v>
      </c>
      <c r="AF346" t="s">
        <v>62</v>
      </c>
      <c r="AG346">
        <v>2</v>
      </c>
      <c r="AH346">
        <v>4</v>
      </c>
      <c r="AI346">
        <v>20</v>
      </c>
      <c r="AJ346">
        <v>0.16667000000000001</v>
      </c>
      <c r="AK346">
        <v>0</v>
      </c>
      <c r="AL346">
        <v>0</v>
      </c>
      <c r="AM346">
        <v>0</v>
      </c>
      <c r="AN346">
        <v>3</v>
      </c>
      <c r="AO346">
        <v>0</v>
      </c>
      <c r="AP346">
        <v>0</v>
      </c>
      <c r="AQ346">
        <v>0</v>
      </c>
      <c r="AR346">
        <v>0</v>
      </c>
      <c r="AS346">
        <v>13</v>
      </c>
      <c r="AT346">
        <v>0</v>
      </c>
      <c r="AU346">
        <v>9</v>
      </c>
      <c r="AV346">
        <v>7</v>
      </c>
      <c r="AW346">
        <v>12</v>
      </c>
      <c r="AX346">
        <v>12</v>
      </c>
      <c r="AY346">
        <v>7</v>
      </c>
      <c r="AZ346">
        <v>12</v>
      </c>
      <c r="BA346" t="s">
        <v>15010</v>
      </c>
      <c r="BB346" t="s">
        <v>15011</v>
      </c>
      <c r="BC346">
        <v>1.05</v>
      </c>
      <c r="BD346" t="s">
        <v>65</v>
      </c>
      <c r="BE346">
        <v>19</v>
      </c>
      <c r="BF346">
        <v>24</v>
      </c>
      <c r="BG346" t="s">
        <v>15012</v>
      </c>
      <c r="BH346" t="s">
        <v>15013</v>
      </c>
      <c r="BI346" t="s">
        <v>15014</v>
      </c>
      <c r="BJ346">
        <v>0.35747000000000001</v>
      </c>
      <c r="BK346">
        <v>0.99</v>
      </c>
      <c r="BL346" t="s">
        <v>69</v>
      </c>
      <c r="BM346">
        <v>-0.86799999999999999</v>
      </c>
      <c r="BN346">
        <v>-0.85099999999999998</v>
      </c>
    </row>
    <row r="347" spans="2:66">
      <c r="B347">
        <v>563</v>
      </c>
      <c r="C347">
        <v>207</v>
      </c>
      <c r="D347">
        <v>0</v>
      </c>
      <c r="E347">
        <v>4</v>
      </c>
      <c r="F347">
        <v>2</v>
      </c>
      <c r="J347">
        <v>0</v>
      </c>
      <c r="K347">
        <v>0</v>
      </c>
      <c r="L347">
        <v>0</v>
      </c>
      <c r="M347" t="s">
        <v>25022</v>
      </c>
      <c r="N347">
        <v>2568</v>
      </c>
      <c r="O347" t="s">
        <v>15021</v>
      </c>
      <c r="P347" t="s">
        <v>62</v>
      </c>
      <c r="Q347">
        <v>2555890</v>
      </c>
      <c r="R347">
        <v>2556066</v>
      </c>
      <c r="S347" t="s">
        <v>15022</v>
      </c>
      <c r="T347">
        <v>59</v>
      </c>
      <c r="U347" t="s">
        <v>265</v>
      </c>
      <c r="V347">
        <v>43</v>
      </c>
      <c r="W347" t="str">
        <f>HYPERLINK("Gene2568-zp_tree_all.dnd", "Gene2568-tree")</f>
        <v>Gene2568-tree</v>
      </c>
      <c r="X347">
        <v>3</v>
      </c>
      <c r="Y347">
        <v>29</v>
      </c>
      <c r="Z347">
        <v>3</v>
      </c>
      <c r="AA347">
        <v>3</v>
      </c>
      <c r="AB347">
        <v>0.5</v>
      </c>
      <c r="AC347" t="s">
        <v>324</v>
      </c>
      <c r="AD347" t="s">
        <v>10668</v>
      </c>
      <c r="AE347">
        <v>6.351</v>
      </c>
      <c r="AF347" t="s">
        <v>65</v>
      </c>
      <c r="AG347">
        <v>0</v>
      </c>
      <c r="AH347">
        <v>0</v>
      </c>
      <c r="AI347">
        <v>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0</v>
      </c>
      <c r="AU347">
        <v>2</v>
      </c>
      <c r="AV347">
        <v>3</v>
      </c>
      <c r="AW347">
        <v>1</v>
      </c>
      <c r="AX347">
        <v>2</v>
      </c>
      <c r="AY347">
        <v>3</v>
      </c>
      <c r="AZ347">
        <v>1</v>
      </c>
      <c r="BA347" t="s">
        <v>15023</v>
      </c>
      <c r="BB347" t="s">
        <v>15024</v>
      </c>
      <c r="BC347">
        <v>1.1120000000000001</v>
      </c>
      <c r="BD347" t="s">
        <v>65</v>
      </c>
      <c r="BE347">
        <v>4</v>
      </c>
      <c r="BF347">
        <v>3</v>
      </c>
      <c r="BG347" t="s">
        <v>15025</v>
      </c>
      <c r="BH347" t="s">
        <v>15026</v>
      </c>
      <c r="BI347" t="s">
        <v>15027</v>
      </c>
      <c r="BJ347">
        <v>0.15956000000000001</v>
      </c>
      <c r="BK347">
        <v>0.97599999999999998</v>
      </c>
      <c r="BL347" t="s">
        <v>69</v>
      </c>
      <c r="BM347">
        <v>-0.55100000000000005</v>
      </c>
      <c r="BN347">
        <v>0.496</v>
      </c>
    </row>
    <row r="348" spans="2:66">
      <c r="B348">
        <v>564</v>
      </c>
      <c r="C348">
        <v>139</v>
      </c>
      <c r="D348">
        <v>0</v>
      </c>
      <c r="E348">
        <v>7</v>
      </c>
      <c r="F348">
        <v>2</v>
      </c>
      <c r="J348">
        <v>0</v>
      </c>
      <c r="K348">
        <v>4</v>
      </c>
      <c r="L348">
        <v>5</v>
      </c>
      <c r="M348" t="s">
        <v>25022</v>
      </c>
      <c r="N348">
        <v>2569</v>
      </c>
      <c r="O348" t="s">
        <v>15028</v>
      </c>
      <c r="P348" t="s">
        <v>62</v>
      </c>
      <c r="Q348">
        <v>2556140</v>
      </c>
      <c r="R348">
        <v>2556511</v>
      </c>
      <c r="S348" t="s">
        <v>15029</v>
      </c>
      <c r="T348">
        <v>124</v>
      </c>
      <c r="U348" t="s">
        <v>108</v>
      </c>
      <c r="V348">
        <v>44</v>
      </c>
      <c r="W348" t="str">
        <f>HYPERLINK("Gene2569-zp_tree_all.dnd", "Gene2569-tree")</f>
        <v>Gene2569-tree</v>
      </c>
      <c r="X348">
        <v>3</v>
      </c>
      <c r="Y348">
        <v>9</v>
      </c>
      <c r="Z348">
        <v>3</v>
      </c>
      <c r="AA348">
        <v>9</v>
      </c>
      <c r="AB348">
        <v>0.75</v>
      </c>
      <c r="AC348" t="s">
        <v>324</v>
      </c>
      <c r="AD348" t="s">
        <v>135</v>
      </c>
      <c r="AE348" t="s">
        <v>62</v>
      </c>
      <c r="AF348" t="s">
        <v>62</v>
      </c>
      <c r="AG348">
        <v>4</v>
      </c>
      <c r="AH348">
        <v>9</v>
      </c>
      <c r="AI348">
        <v>9</v>
      </c>
      <c r="AJ348">
        <v>0.5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</v>
      </c>
      <c r="AQ348">
        <v>5</v>
      </c>
      <c r="AR348">
        <v>7</v>
      </c>
      <c r="AS348">
        <v>8</v>
      </c>
      <c r="AT348">
        <v>0.46666999999999997</v>
      </c>
      <c r="AU348">
        <v>10</v>
      </c>
      <c r="AV348">
        <v>8</v>
      </c>
      <c r="AW348">
        <v>12</v>
      </c>
      <c r="AX348">
        <v>15</v>
      </c>
      <c r="AY348">
        <v>7</v>
      </c>
      <c r="AZ348">
        <v>4</v>
      </c>
      <c r="BA348" t="s">
        <v>15030</v>
      </c>
      <c r="BB348" t="s">
        <v>15031</v>
      </c>
      <c r="BC348">
        <v>0.66100000000000003</v>
      </c>
      <c r="BD348" t="s">
        <v>65</v>
      </c>
      <c r="BE348">
        <v>19</v>
      </c>
      <c r="BF348">
        <v>19</v>
      </c>
      <c r="BG348" t="s">
        <v>15032</v>
      </c>
      <c r="BH348" t="s">
        <v>15033</v>
      </c>
      <c r="BI348" t="s">
        <v>15034</v>
      </c>
      <c r="BJ348">
        <v>0.24684</v>
      </c>
      <c r="BK348">
        <v>0.99</v>
      </c>
      <c r="BL348" t="s">
        <v>69</v>
      </c>
      <c r="BM348">
        <v>-0.80900000000000005</v>
      </c>
      <c r="BN348">
        <v>0.128</v>
      </c>
    </row>
    <row r="349" spans="2:66">
      <c r="B349">
        <v>565</v>
      </c>
      <c r="C349">
        <v>91</v>
      </c>
      <c r="D349">
        <v>0</v>
      </c>
      <c r="E349">
        <v>9</v>
      </c>
      <c r="F349">
        <v>2</v>
      </c>
      <c r="J349">
        <v>0</v>
      </c>
      <c r="K349">
        <v>9</v>
      </c>
      <c r="L349">
        <v>0</v>
      </c>
      <c r="M349" t="s">
        <v>25022</v>
      </c>
      <c r="N349">
        <v>2570</v>
      </c>
      <c r="O349" t="s">
        <v>15035</v>
      </c>
      <c r="P349" t="s">
        <v>62</v>
      </c>
      <c r="Q349">
        <v>2556515</v>
      </c>
      <c r="R349">
        <v>2556895</v>
      </c>
      <c r="S349" t="s">
        <v>15029</v>
      </c>
      <c r="T349">
        <v>127</v>
      </c>
      <c r="U349" t="s">
        <v>108</v>
      </c>
      <c r="V349">
        <v>44</v>
      </c>
      <c r="W349" t="str">
        <f>HYPERLINK("Gene2570-zp_tree_all.dnd", "Gene2570-tree")</f>
        <v>Gene2570-tree</v>
      </c>
      <c r="X349">
        <v>6</v>
      </c>
      <c r="Y349">
        <v>7</v>
      </c>
      <c r="Z349">
        <v>6</v>
      </c>
      <c r="AA349">
        <v>7</v>
      </c>
      <c r="AB349">
        <v>0.53846000000000005</v>
      </c>
      <c r="AC349" t="s">
        <v>90</v>
      </c>
      <c r="AD349" t="s">
        <v>152</v>
      </c>
      <c r="AE349" t="s">
        <v>62</v>
      </c>
      <c r="AF349" t="s">
        <v>62</v>
      </c>
      <c r="AG349">
        <v>3</v>
      </c>
      <c r="AH349">
        <v>9</v>
      </c>
      <c r="AI349">
        <v>8</v>
      </c>
      <c r="AJ349">
        <v>0.52941000000000005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5</v>
      </c>
      <c r="AQ349">
        <v>0</v>
      </c>
      <c r="AR349">
        <v>5</v>
      </c>
      <c r="AS349">
        <v>6</v>
      </c>
      <c r="AT349">
        <v>0.45455000000000001</v>
      </c>
      <c r="AU349">
        <v>10</v>
      </c>
      <c r="AV349">
        <v>6</v>
      </c>
      <c r="AW349">
        <v>14</v>
      </c>
      <c r="AX349">
        <v>11</v>
      </c>
      <c r="AY349">
        <v>5</v>
      </c>
      <c r="AZ349">
        <v>6</v>
      </c>
      <c r="BA349" t="s">
        <v>15036</v>
      </c>
      <c r="BB349" t="s">
        <v>15037</v>
      </c>
      <c r="BC349">
        <v>0.27600000000000002</v>
      </c>
      <c r="BD349" t="s">
        <v>65</v>
      </c>
      <c r="BE349">
        <v>19</v>
      </c>
      <c r="BF349">
        <v>17</v>
      </c>
      <c r="BG349" t="s">
        <v>15038</v>
      </c>
      <c r="BH349" t="s">
        <v>15039</v>
      </c>
      <c r="BI349" t="s">
        <v>15040</v>
      </c>
      <c r="BJ349">
        <v>0.17380999999999999</v>
      </c>
      <c r="BK349">
        <v>0.99</v>
      </c>
      <c r="BL349" t="s">
        <v>69</v>
      </c>
      <c r="BM349">
        <v>-0.41299999999999998</v>
      </c>
      <c r="BN349">
        <v>-0.65400000000000003</v>
      </c>
    </row>
    <row r="350" spans="2:66">
      <c r="B350">
        <v>566</v>
      </c>
      <c r="C350">
        <v>279</v>
      </c>
      <c r="D350">
        <v>0</v>
      </c>
      <c r="E350">
        <v>4</v>
      </c>
      <c r="F350">
        <v>2</v>
      </c>
      <c r="J350">
        <v>0</v>
      </c>
      <c r="K350">
        <v>8</v>
      </c>
      <c r="L350">
        <v>0</v>
      </c>
      <c r="M350" t="s">
        <v>25022</v>
      </c>
      <c r="N350">
        <v>2571</v>
      </c>
      <c r="O350" t="s">
        <v>15041</v>
      </c>
      <c r="P350" t="s">
        <v>62</v>
      </c>
      <c r="Q350">
        <v>2556924</v>
      </c>
      <c r="R350">
        <v>2557268</v>
      </c>
      <c r="S350" t="s">
        <v>15029</v>
      </c>
      <c r="T350">
        <v>115</v>
      </c>
      <c r="U350" t="s">
        <v>108</v>
      </c>
      <c r="V350">
        <v>44</v>
      </c>
      <c r="W350" t="str">
        <f>HYPERLINK("Gene2571-zp_tree_all.dnd", "Gene2571-tree")</f>
        <v>Gene2571-tree</v>
      </c>
      <c r="X350">
        <v>5</v>
      </c>
      <c r="Y350">
        <v>8</v>
      </c>
      <c r="Z350">
        <v>5</v>
      </c>
      <c r="AA350">
        <v>8</v>
      </c>
      <c r="AB350">
        <v>0.61538000000000004</v>
      </c>
      <c r="AC350" t="s">
        <v>199</v>
      </c>
      <c r="AD350" t="s">
        <v>136</v>
      </c>
      <c r="AE350" t="s">
        <v>62</v>
      </c>
      <c r="AF350" t="s">
        <v>62</v>
      </c>
      <c r="AG350">
        <v>4</v>
      </c>
      <c r="AH350">
        <v>8</v>
      </c>
      <c r="AI350">
        <v>10</v>
      </c>
      <c r="AJ350">
        <v>0.44444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11</v>
      </c>
      <c r="AT350">
        <v>0</v>
      </c>
      <c r="AU350">
        <v>9</v>
      </c>
      <c r="AV350">
        <v>10</v>
      </c>
      <c r="AW350">
        <v>5</v>
      </c>
      <c r="AX350">
        <v>10</v>
      </c>
      <c r="AY350">
        <v>7</v>
      </c>
      <c r="AZ350">
        <v>8</v>
      </c>
      <c r="BA350" t="s">
        <v>15042</v>
      </c>
      <c r="BB350" t="s">
        <v>15043</v>
      </c>
      <c r="BC350">
        <v>0.33600000000000002</v>
      </c>
      <c r="BD350" t="s">
        <v>65</v>
      </c>
      <c r="BE350">
        <v>12</v>
      </c>
      <c r="BF350">
        <v>18</v>
      </c>
      <c r="BG350" t="s">
        <v>15044</v>
      </c>
      <c r="BH350" t="s">
        <v>15045</v>
      </c>
      <c r="BI350" t="s">
        <v>15046</v>
      </c>
      <c r="BJ350">
        <v>0.31087999999999999</v>
      </c>
      <c r="BK350">
        <v>0.99</v>
      </c>
      <c r="BL350" t="s">
        <v>69</v>
      </c>
      <c r="BM350">
        <v>-5.0999999999999997E-2</v>
      </c>
      <c r="BN350">
        <v>-0.92800000000000005</v>
      </c>
    </row>
    <row r="351" spans="2:66">
      <c r="B351">
        <v>568</v>
      </c>
      <c r="C351">
        <v>3</v>
      </c>
      <c r="D351">
        <v>0</v>
      </c>
      <c r="E351">
        <v>9</v>
      </c>
      <c r="F351">
        <v>0</v>
      </c>
      <c r="J351">
        <v>0</v>
      </c>
      <c r="K351">
        <v>11</v>
      </c>
      <c r="L351">
        <v>3</v>
      </c>
      <c r="M351" t="s">
        <v>25022</v>
      </c>
      <c r="N351">
        <v>2572</v>
      </c>
      <c r="O351" t="s">
        <v>15047</v>
      </c>
      <c r="P351" t="s">
        <v>62</v>
      </c>
      <c r="Q351">
        <v>2557255</v>
      </c>
      <c r="R351">
        <v>2557683</v>
      </c>
      <c r="S351" t="s">
        <v>15048</v>
      </c>
      <c r="T351">
        <v>143</v>
      </c>
      <c r="U351" t="s">
        <v>108</v>
      </c>
      <c r="V351">
        <v>44</v>
      </c>
      <c r="W351" t="str">
        <f>HYPERLINK("Gene2572-zp_tree_all.dnd", "Gene2572-tree")</f>
        <v>Gene2572-tree</v>
      </c>
      <c r="X351">
        <v>3</v>
      </c>
      <c r="Y351">
        <v>7</v>
      </c>
      <c r="Z351">
        <v>3</v>
      </c>
      <c r="AA351">
        <v>7</v>
      </c>
      <c r="AB351">
        <v>0.7</v>
      </c>
      <c r="AC351" t="s">
        <v>324</v>
      </c>
      <c r="AD351" t="s">
        <v>152</v>
      </c>
      <c r="AE351" t="s">
        <v>62</v>
      </c>
      <c r="AF351" t="s">
        <v>62</v>
      </c>
      <c r="AG351">
        <v>6</v>
      </c>
      <c r="AH351">
        <v>14</v>
      </c>
      <c r="AI351">
        <v>7</v>
      </c>
      <c r="AJ351">
        <v>0.66666999999999998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8</v>
      </c>
      <c r="AQ351">
        <v>0</v>
      </c>
      <c r="AR351">
        <v>8</v>
      </c>
      <c r="AS351">
        <v>7</v>
      </c>
      <c r="AT351">
        <v>0.53332999999999997</v>
      </c>
      <c r="AU351">
        <v>8</v>
      </c>
      <c r="AV351">
        <v>6</v>
      </c>
      <c r="AW351">
        <v>10</v>
      </c>
      <c r="AX351">
        <v>14</v>
      </c>
      <c r="AY351">
        <v>5</v>
      </c>
      <c r="AZ351">
        <v>7</v>
      </c>
      <c r="BA351" t="s">
        <v>15049</v>
      </c>
      <c r="BB351" t="s">
        <v>15050</v>
      </c>
      <c r="BC351">
        <v>7.0000000000000001E-3</v>
      </c>
      <c r="BD351" t="s">
        <v>65</v>
      </c>
      <c r="BE351">
        <v>15</v>
      </c>
      <c r="BF351">
        <v>21</v>
      </c>
      <c r="BG351" t="s">
        <v>15051</v>
      </c>
      <c r="BH351" t="s">
        <v>15052</v>
      </c>
      <c r="BI351" t="s">
        <v>15053</v>
      </c>
      <c r="BJ351">
        <v>0.42923</v>
      </c>
      <c r="BK351">
        <v>0.94</v>
      </c>
      <c r="BL351" t="s">
        <v>635</v>
      </c>
      <c r="BM351">
        <v>-0.76900000000000002</v>
      </c>
      <c r="BN351">
        <v>-1.298</v>
      </c>
    </row>
    <row r="352" spans="2:66">
      <c r="B352">
        <v>569</v>
      </c>
      <c r="C352">
        <v>51</v>
      </c>
      <c r="D352">
        <v>0</v>
      </c>
      <c r="E352">
        <v>2</v>
      </c>
      <c r="F352">
        <v>0</v>
      </c>
      <c r="J352">
        <v>0</v>
      </c>
      <c r="K352">
        <v>2</v>
      </c>
      <c r="L352">
        <v>0</v>
      </c>
      <c r="M352" t="s">
        <v>25022</v>
      </c>
      <c r="N352">
        <v>2573</v>
      </c>
      <c r="O352" t="s">
        <v>15054</v>
      </c>
      <c r="P352" t="s">
        <v>62</v>
      </c>
      <c r="Q352">
        <v>2557676</v>
      </c>
      <c r="R352">
        <v>2557969</v>
      </c>
      <c r="S352" t="s">
        <v>15055</v>
      </c>
      <c r="T352">
        <v>98</v>
      </c>
      <c r="U352" t="s">
        <v>108</v>
      </c>
      <c r="V352">
        <v>44</v>
      </c>
      <c r="W352" t="str">
        <f>HYPERLINK("Gene2573-zp_tree_all.dnd", "Gene2573-tree")</f>
        <v>Gene2573-tree</v>
      </c>
      <c r="X352">
        <v>35</v>
      </c>
      <c r="Y352">
        <v>4</v>
      </c>
      <c r="Z352">
        <v>6</v>
      </c>
      <c r="AA352">
        <v>4</v>
      </c>
      <c r="AB352">
        <v>0.4</v>
      </c>
      <c r="AC352" t="s">
        <v>13270</v>
      </c>
      <c r="AD352" t="s">
        <v>61</v>
      </c>
      <c r="AE352" t="s">
        <v>62</v>
      </c>
      <c r="AF352" t="s">
        <v>62</v>
      </c>
      <c r="AG352">
        <v>1</v>
      </c>
      <c r="AH352">
        <v>2</v>
      </c>
      <c r="AI352">
        <v>3</v>
      </c>
      <c r="AJ352">
        <v>0.4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4</v>
      </c>
      <c r="AT352">
        <v>0</v>
      </c>
      <c r="AU352">
        <v>7</v>
      </c>
      <c r="AV352">
        <v>3</v>
      </c>
      <c r="AW352">
        <v>10</v>
      </c>
      <c r="AX352">
        <v>4</v>
      </c>
      <c r="AY352">
        <v>2</v>
      </c>
      <c r="AZ352">
        <v>1</v>
      </c>
      <c r="BA352" t="s">
        <v>15056</v>
      </c>
      <c r="BB352" t="s">
        <v>15057</v>
      </c>
      <c r="BC352">
        <v>0.14099999999999999</v>
      </c>
      <c r="BD352" t="s">
        <v>65</v>
      </c>
      <c r="BE352">
        <v>12</v>
      </c>
      <c r="BF352">
        <v>5</v>
      </c>
      <c r="BG352" t="s">
        <v>15058</v>
      </c>
      <c r="BH352" t="s">
        <v>15059</v>
      </c>
      <c r="BI352" t="s">
        <v>15060</v>
      </c>
      <c r="BJ352">
        <v>9.7049999999999997E-2</v>
      </c>
      <c r="BK352">
        <v>1</v>
      </c>
      <c r="BL352" t="s">
        <v>69</v>
      </c>
      <c r="BM352">
        <v>-1.482</v>
      </c>
      <c r="BN352">
        <v>-1.79</v>
      </c>
    </row>
    <row r="353" spans="2:66">
      <c r="B353">
        <v>571</v>
      </c>
      <c r="C353">
        <v>31</v>
      </c>
      <c r="D353">
        <v>0</v>
      </c>
      <c r="E353">
        <v>2</v>
      </c>
      <c r="F353">
        <v>0</v>
      </c>
      <c r="J353">
        <v>0</v>
      </c>
      <c r="K353">
        <v>12</v>
      </c>
      <c r="L353">
        <v>1</v>
      </c>
      <c r="M353" t="s">
        <v>25022</v>
      </c>
      <c r="N353">
        <v>2574</v>
      </c>
      <c r="O353" t="s">
        <v>15061</v>
      </c>
      <c r="P353" t="s">
        <v>62</v>
      </c>
      <c r="Q353">
        <v>2557986</v>
      </c>
      <c r="R353">
        <v>2558954</v>
      </c>
      <c r="S353" t="s">
        <v>15062</v>
      </c>
      <c r="T353">
        <v>323</v>
      </c>
      <c r="U353" t="s">
        <v>108</v>
      </c>
      <c r="V353">
        <v>44</v>
      </c>
      <c r="W353" t="str">
        <f>HYPERLINK("Gene2574-zp_tree_all.dnd", "Gene2574-tree")</f>
        <v>Gene2574-tree</v>
      </c>
      <c r="X353">
        <v>5</v>
      </c>
      <c r="Y353">
        <v>9</v>
      </c>
      <c r="Z353">
        <v>5</v>
      </c>
      <c r="AA353">
        <v>9</v>
      </c>
      <c r="AB353">
        <v>0.64285999999999999</v>
      </c>
      <c r="AC353" t="s">
        <v>199</v>
      </c>
      <c r="AD353" t="s">
        <v>135</v>
      </c>
      <c r="AE353" t="s">
        <v>62</v>
      </c>
      <c r="AF353" t="s">
        <v>62</v>
      </c>
      <c r="AG353">
        <v>6</v>
      </c>
      <c r="AH353">
        <v>13</v>
      </c>
      <c r="AI353">
        <v>12</v>
      </c>
      <c r="AJ353">
        <v>0.52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</v>
      </c>
      <c r="AQ353">
        <v>2</v>
      </c>
      <c r="AR353">
        <v>6</v>
      </c>
      <c r="AS353">
        <v>12</v>
      </c>
      <c r="AT353">
        <v>0.33333000000000002</v>
      </c>
      <c r="AU353">
        <v>11</v>
      </c>
      <c r="AV353">
        <v>10</v>
      </c>
      <c r="AW353">
        <v>11</v>
      </c>
      <c r="AX353">
        <v>13</v>
      </c>
      <c r="AY353">
        <v>15</v>
      </c>
      <c r="AZ353">
        <v>13</v>
      </c>
      <c r="BA353" t="s">
        <v>15063</v>
      </c>
      <c r="BB353" t="s">
        <v>15064</v>
      </c>
      <c r="BC353">
        <v>0.27900000000000003</v>
      </c>
      <c r="BD353" t="s">
        <v>65</v>
      </c>
      <c r="BE353">
        <v>26</v>
      </c>
      <c r="BF353">
        <v>26</v>
      </c>
      <c r="BG353" t="s">
        <v>15065</v>
      </c>
      <c r="BH353" t="s">
        <v>15066</v>
      </c>
      <c r="BI353" t="s">
        <v>15067</v>
      </c>
      <c r="BJ353">
        <v>0.26340999999999998</v>
      </c>
      <c r="BK353">
        <v>1</v>
      </c>
      <c r="BL353" t="s">
        <v>69</v>
      </c>
      <c r="BM353">
        <v>-0.44500000000000001</v>
      </c>
      <c r="BN353">
        <v>-0.40699999999999997</v>
      </c>
    </row>
    <row r="354" spans="2:66">
      <c r="B354">
        <v>576</v>
      </c>
      <c r="C354">
        <v>151</v>
      </c>
      <c r="D354">
        <v>0</v>
      </c>
      <c r="E354">
        <v>7</v>
      </c>
      <c r="F354">
        <v>0</v>
      </c>
      <c r="J354">
        <v>0</v>
      </c>
      <c r="K354">
        <v>0</v>
      </c>
      <c r="L354">
        <v>0</v>
      </c>
      <c r="M354" t="s">
        <v>25022</v>
      </c>
      <c r="N354">
        <v>2575</v>
      </c>
      <c r="O354" t="s">
        <v>15068</v>
      </c>
      <c r="P354" t="s">
        <v>62</v>
      </c>
      <c r="Q354">
        <v>2559010</v>
      </c>
      <c r="R354">
        <v>2560077</v>
      </c>
      <c r="S354" t="s">
        <v>15069</v>
      </c>
      <c r="T354">
        <v>356</v>
      </c>
      <c r="U354" t="s">
        <v>108</v>
      </c>
      <c r="V354">
        <v>44</v>
      </c>
      <c r="W354" t="str">
        <f>HYPERLINK("Gene2575-zp_tree_all.dnd", "Gene2575-tree")</f>
        <v>Gene2575-tree</v>
      </c>
      <c r="X354">
        <v>11</v>
      </c>
      <c r="Y354">
        <v>2</v>
      </c>
      <c r="Z354">
        <v>11</v>
      </c>
      <c r="AA354">
        <v>2</v>
      </c>
      <c r="AB354">
        <v>0.15384999999999999</v>
      </c>
      <c r="AC354" t="s">
        <v>73</v>
      </c>
      <c r="AD354" t="s">
        <v>81</v>
      </c>
      <c r="AE354" t="s">
        <v>62</v>
      </c>
      <c r="AF354" t="s">
        <v>62</v>
      </c>
      <c r="AG354">
        <v>0</v>
      </c>
      <c r="AH354">
        <v>0</v>
      </c>
      <c r="AI354">
        <v>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0</v>
      </c>
      <c r="AU354">
        <v>10</v>
      </c>
      <c r="AV354">
        <v>9</v>
      </c>
      <c r="AW354">
        <v>17</v>
      </c>
      <c r="AX354">
        <v>2</v>
      </c>
      <c r="AY354">
        <v>19</v>
      </c>
      <c r="AZ354">
        <v>2</v>
      </c>
      <c r="BA354" t="s">
        <v>15070</v>
      </c>
      <c r="BB354" t="s">
        <v>15071</v>
      </c>
      <c r="BC354">
        <v>5.5E-2</v>
      </c>
      <c r="BD354" t="s">
        <v>65</v>
      </c>
      <c r="BE354">
        <v>36</v>
      </c>
      <c r="BF354">
        <v>4</v>
      </c>
      <c r="BG354" t="s">
        <v>15072</v>
      </c>
      <c r="BH354" t="s">
        <v>15073</v>
      </c>
      <c r="BI354" t="s">
        <v>15074</v>
      </c>
      <c r="BJ354">
        <v>3.2590000000000001E-2</v>
      </c>
      <c r="BK354">
        <v>1</v>
      </c>
      <c r="BL354" t="s">
        <v>69</v>
      </c>
      <c r="BM354">
        <v>0.29299999999999998</v>
      </c>
      <c r="BN354">
        <v>0.216</v>
      </c>
    </row>
    <row r="355" spans="2:66">
      <c r="B355">
        <v>577</v>
      </c>
      <c r="C355">
        <v>6</v>
      </c>
      <c r="D355">
        <v>0</v>
      </c>
      <c r="E355">
        <v>4</v>
      </c>
      <c r="F355">
        <v>1</v>
      </c>
      <c r="J355">
        <v>0</v>
      </c>
      <c r="K355">
        <v>2</v>
      </c>
      <c r="L355">
        <v>0</v>
      </c>
      <c r="M355" t="s">
        <v>25022</v>
      </c>
      <c r="N355">
        <v>2576</v>
      </c>
      <c r="O355" t="s">
        <v>15075</v>
      </c>
      <c r="P355" t="s">
        <v>62</v>
      </c>
      <c r="Q355">
        <v>2560492</v>
      </c>
      <c r="R355">
        <v>2561442</v>
      </c>
      <c r="S355" t="s">
        <v>15076</v>
      </c>
      <c r="T355">
        <v>317</v>
      </c>
      <c r="U355" t="s">
        <v>108</v>
      </c>
      <c r="V355">
        <v>44</v>
      </c>
      <c r="W355" t="str">
        <f>HYPERLINK("Gene2576-zp_tree_all.dnd", "Gene2576-tree")</f>
        <v>Gene2576-tree</v>
      </c>
      <c r="X355">
        <v>9</v>
      </c>
      <c r="Y355">
        <v>5</v>
      </c>
      <c r="Z355">
        <v>9</v>
      </c>
      <c r="AA355">
        <v>5</v>
      </c>
      <c r="AB355">
        <v>0.35714000000000001</v>
      </c>
      <c r="AC355" t="s">
        <v>135</v>
      </c>
      <c r="AD355" t="s">
        <v>199</v>
      </c>
      <c r="AE355" t="s">
        <v>62</v>
      </c>
      <c r="AF355" t="s">
        <v>62</v>
      </c>
      <c r="AG355">
        <v>1</v>
      </c>
      <c r="AH355">
        <v>2</v>
      </c>
      <c r="AI355">
        <v>5</v>
      </c>
      <c r="AJ355">
        <v>0.28571000000000002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6</v>
      </c>
      <c r="AT355">
        <v>0</v>
      </c>
      <c r="AU355">
        <v>14</v>
      </c>
      <c r="AV355">
        <v>10</v>
      </c>
      <c r="AW355">
        <v>56</v>
      </c>
      <c r="AX355">
        <v>6</v>
      </c>
      <c r="AY355">
        <v>29</v>
      </c>
      <c r="AZ355">
        <v>1</v>
      </c>
      <c r="BA355" t="s">
        <v>15077</v>
      </c>
      <c r="BB355" t="s">
        <v>15078</v>
      </c>
      <c r="BC355">
        <v>0.58299999999999996</v>
      </c>
      <c r="BD355" t="s">
        <v>65</v>
      </c>
      <c r="BE355">
        <v>85</v>
      </c>
      <c r="BF355">
        <v>7</v>
      </c>
      <c r="BG355" t="s">
        <v>15079</v>
      </c>
      <c r="BH355" t="s">
        <v>15080</v>
      </c>
      <c r="BI355" t="s">
        <v>15081</v>
      </c>
      <c r="BJ355">
        <v>2.2159999999999999E-2</v>
      </c>
      <c r="BK355">
        <v>1</v>
      </c>
      <c r="BL355" t="s">
        <v>69</v>
      </c>
      <c r="BM355">
        <v>0.77900000000000003</v>
      </c>
      <c r="BN355">
        <v>0.90400000000000003</v>
      </c>
    </row>
    <row r="356" spans="2:66">
      <c r="B356">
        <v>578</v>
      </c>
      <c r="C356">
        <v>3</v>
      </c>
      <c r="D356">
        <v>0</v>
      </c>
      <c r="E356">
        <v>15</v>
      </c>
      <c r="F356">
        <v>0</v>
      </c>
      <c r="J356">
        <v>0</v>
      </c>
      <c r="K356">
        <v>2</v>
      </c>
      <c r="L356">
        <v>2</v>
      </c>
      <c r="M356" t="s">
        <v>25022</v>
      </c>
      <c r="N356">
        <v>2578</v>
      </c>
      <c r="O356" t="s">
        <v>15089</v>
      </c>
      <c r="P356" t="s">
        <v>62</v>
      </c>
      <c r="Q356">
        <v>2562969</v>
      </c>
      <c r="R356">
        <v>2563802</v>
      </c>
      <c r="S356" t="s">
        <v>8580</v>
      </c>
      <c r="T356">
        <v>278</v>
      </c>
      <c r="U356" t="s">
        <v>108</v>
      </c>
      <c r="V356">
        <v>44</v>
      </c>
      <c r="W356" t="str">
        <f>HYPERLINK("Gene2578-zp_tree_all.dnd", "Gene2578-tree")</f>
        <v>Gene2578-tree</v>
      </c>
      <c r="X356">
        <v>4</v>
      </c>
      <c r="Y356">
        <v>6</v>
      </c>
      <c r="Z356">
        <v>4</v>
      </c>
      <c r="AA356">
        <v>6</v>
      </c>
      <c r="AB356">
        <v>0.6</v>
      </c>
      <c r="AC356" t="s">
        <v>61</v>
      </c>
      <c r="AD356" t="s">
        <v>90</v>
      </c>
      <c r="AE356" t="s">
        <v>62</v>
      </c>
      <c r="AF356" t="s">
        <v>62</v>
      </c>
      <c r="AG356">
        <v>2</v>
      </c>
      <c r="AH356">
        <v>4</v>
      </c>
      <c r="AI356">
        <v>9</v>
      </c>
      <c r="AJ356">
        <v>0.30769000000000002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7</v>
      </c>
      <c r="AT356">
        <v>0</v>
      </c>
      <c r="AU356">
        <v>9</v>
      </c>
      <c r="AV356">
        <v>5</v>
      </c>
      <c r="AW356">
        <v>24</v>
      </c>
      <c r="AX356">
        <v>7</v>
      </c>
      <c r="AY356">
        <v>3</v>
      </c>
      <c r="AZ356">
        <v>6</v>
      </c>
      <c r="BA356" t="s">
        <v>15090</v>
      </c>
      <c r="BB356" t="s">
        <v>15091</v>
      </c>
      <c r="BC356">
        <v>1.395</v>
      </c>
      <c r="BD356" t="s">
        <v>65</v>
      </c>
      <c r="BE356">
        <v>27</v>
      </c>
      <c r="BF356">
        <v>13</v>
      </c>
      <c r="BG356" t="s">
        <v>15092</v>
      </c>
      <c r="BH356" t="s">
        <v>15093</v>
      </c>
      <c r="BI356" t="s">
        <v>15094</v>
      </c>
      <c r="BJ356">
        <v>0.13911000000000001</v>
      </c>
      <c r="BK356">
        <v>1</v>
      </c>
      <c r="BL356" t="s">
        <v>69</v>
      </c>
      <c r="BM356">
        <v>-0.69599999999999995</v>
      </c>
      <c r="BN356">
        <v>-2.423</v>
      </c>
    </row>
    <row r="357" spans="2:66">
      <c r="B357">
        <v>579</v>
      </c>
      <c r="C357">
        <v>302</v>
      </c>
      <c r="D357">
        <v>0</v>
      </c>
      <c r="E357">
        <v>12</v>
      </c>
      <c r="F357">
        <v>3</v>
      </c>
      <c r="J357">
        <v>0</v>
      </c>
      <c r="K357">
        <v>0</v>
      </c>
      <c r="L357">
        <v>2</v>
      </c>
      <c r="M357" t="s">
        <v>25022</v>
      </c>
      <c r="N357">
        <v>2579</v>
      </c>
      <c r="O357" t="s">
        <v>15095</v>
      </c>
      <c r="P357" t="s">
        <v>62</v>
      </c>
      <c r="Q357">
        <v>2564029</v>
      </c>
      <c r="R357">
        <v>2564406</v>
      </c>
      <c r="S357" t="s">
        <v>15096</v>
      </c>
      <c r="T357">
        <v>126</v>
      </c>
      <c r="U357" t="s">
        <v>394</v>
      </c>
      <c r="V357">
        <v>48</v>
      </c>
      <c r="W357" t="str">
        <f>HYPERLINK("Gene2579-zp_tree_all.dnd", "Gene2579-tree")</f>
        <v>Gene2579-tree</v>
      </c>
      <c r="X357">
        <v>8</v>
      </c>
      <c r="Y357">
        <v>3</v>
      </c>
      <c r="Z357">
        <v>8</v>
      </c>
      <c r="AA357">
        <v>3</v>
      </c>
      <c r="AB357">
        <v>0.27272999999999997</v>
      </c>
      <c r="AC357" t="s">
        <v>136</v>
      </c>
      <c r="AD357" t="s">
        <v>324</v>
      </c>
      <c r="AE357" t="s">
        <v>62</v>
      </c>
      <c r="AF357" t="s">
        <v>62</v>
      </c>
      <c r="AG357">
        <v>1</v>
      </c>
      <c r="AH357">
        <v>2</v>
      </c>
      <c r="AI357">
        <v>5</v>
      </c>
      <c r="AJ357">
        <v>0.28571000000000002</v>
      </c>
      <c r="AK357">
        <v>0</v>
      </c>
      <c r="AL357">
        <v>0</v>
      </c>
      <c r="AM357">
        <v>0</v>
      </c>
      <c r="AN357">
        <v>2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0</v>
      </c>
      <c r="AU357">
        <v>7</v>
      </c>
      <c r="AV357">
        <v>6</v>
      </c>
      <c r="AW357">
        <v>12</v>
      </c>
      <c r="AX357">
        <v>3</v>
      </c>
      <c r="AY357">
        <v>15</v>
      </c>
      <c r="AZ357">
        <v>4</v>
      </c>
      <c r="BA357" t="s">
        <v>15097</v>
      </c>
      <c r="BB357" t="s">
        <v>15098</v>
      </c>
      <c r="BC357">
        <v>3.4000000000000002E-2</v>
      </c>
      <c r="BD357" t="s">
        <v>65</v>
      </c>
      <c r="BE357">
        <v>27</v>
      </c>
      <c r="BF357">
        <v>7</v>
      </c>
      <c r="BG357" t="s">
        <v>15099</v>
      </c>
      <c r="BH357" t="s">
        <v>15100</v>
      </c>
      <c r="BI357" t="s">
        <v>15101</v>
      </c>
      <c r="BJ357">
        <v>7.3450000000000001E-2</v>
      </c>
      <c r="BK357">
        <v>1</v>
      </c>
      <c r="BL357" t="s">
        <v>69</v>
      </c>
      <c r="BM357">
        <v>-1.752</v>
      </c>
      <c r="BN357">
        <v>-1.5629999999999999</v>
      </c>
    </row>
    <row r="358" spans="2:66">
      <c r="B358">
        <v>581</v>
      </c>
      <c r="C358">
        <v>110</v>
      </c>
      <c r="D358">
        <v>0</v>
      </c>
      <c r="E358">
        <v>9</v>
      </c>
      <c r="F358">
        <v>2</v>
      </c>
      <c r="J358">
        <v>0</v>
      </c>
      <c r="K358">
        <v>8</v>
      </c>
      <c r="L358">
        <v>0</v>
      </c>
      <c r="M358" t="s">
        <v>25022</v>
      </c>
      <c r="N358">
        <v>2581</v>
      </c>
      <c r="O358" t="s">
        <v>15108</v>
      </c>
      <c r="P358" t="s">
        <v>62</v>
      </c>
      <c r="Q358">
        <v>2564926</v>
      </c>
      <c r="R358">
        <v>2565558</v>
      </c>
      <c r="S358" t="s">
        <v>15109</v>
      </c>
      <c r="T358">
        <v>211</v>
      </c>
      <c r="U358" t="s">
        <v>5577</v>
      </c>
      <c r="V358">
        <v>43</v>
      </c>
      <c r="W358" t="str">
        <f>HYPERLINK("Gene2581-zp_tree_all.dnd", "Gene2581-tree")</f>
        <v>Gene2581-tree</v>
      </c>
      <c r="X358">
        <v>2</v>
      </c>
      <c r="Y358">
        <v>11</v>
      </c>
      <c r="Z358">
        <v>2</v>
      </c>
      <c r="AA358">
        <v>11</v>
      </c>
      <c r="AB358">
        <v>0.84614999999999996</v>
      </c>
      <c r="AC358" t="s">
        <v>81</v>
      </c>
      <c r="AD358" t="s">
        <v>73</v>
      </c>
      <c r="AE358">
        <v>515075683.63</v>
      </c>
      <c r="AF358" t="s">
        <v>267</v>
      </c>
      <c r="AG358">
        <v>3</v>
      </c>
      <c r="AH358">
        <v>8</v>
      </c>
      <c r="AI358">
        <v>7</v>
      </c>
      <c r="AJ358">
        <v>0.53332999999999997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8</v>
      </c>
      <c r="AQ358">
        <v>0</v>
      </c>
      <c r="AR358">
        <v>8</v>
      </c>
      <c r="AS358">
        <v>7</v>
      </c>
      <c r="AT358">
        <v>0.53332999999999997</v>
      </c>
      <c r="AU358">
        <v>9</v>
      </c>
      <c r="AV358">
        <v>9</v>
      </c>
      <c r="AW358">
        <v>18</v>
      </c>
      <c r="AX358">
        <v>12</v>
      </c>
      <c r="AY358">
        <v>14</v>
      </c>
      <c r="AZ358">
        <v>3</v>
      </c>
      <c r="BA358" t="s">
        <v>15110</v>
      </c>
      <c r="BB358" t="s">
        <v>15111</v>
      </c>
      <c r="BC358">
        <v>1.81</v>
      </c>
      <c r="BD358" t="s">
        <v>65</v>
      </c>
      <c r="BE358">
        <v>32</v>
      </c>
      <c r="BF358">
        <v>15</v>
      </c>
      <c r="BG358" t="s">
        <v>15112</v>
      </c>
      <c r="BH358" t="s">
        <v>15113</v>
      </c>
      <c r="BI358" t="s">
        <v>15114</v>
      </c>
      <c r="BJ358">
        <v>0.10507</v>
      </c>
      <c r="BK358">
        <v>1</v>
      </c>
      <c r="BL358" t="s">
        <v>69</v>
      </c>
      <c r="BM358">
        <v>-0.16400000000000001</v>
      </c>
      <c r="BN358">
        <v>-0.51300000000000001</v>
      </c>
    </row>
    <row r="359" spans="2:66">
      <c r="B359">
        <v>582</v>
      </c>
      <c r="C359">
        <v>89</v>
      </c>
      <c r="D359">
        <v>0</v>
      </c>
      <c r="E359">
        <v>2</v>
      </c>
      <c r="F359">
        <v>0</v>
      </c>
      <c r="J359">
        <v>0</v>
      </c>
      <c r="K359">
        <v>0</v>
      </c>
      <c r="L359">
        <v>0</v>
      </c>
      <c r="M359" t="s">
        <v>25022</v>
      </c>
      <c r="N359">
        <v>2583</v>
      </c>
      <c r="O359" t="s">
        <v>15121</v>
      </c>
      <c r="P359" t="s">
        <v>62</v>
      </c>
      <c r="Q359">
        <v>2565923</v>
      </c>
      <c r="R359">
        <v>2566234</v>
      </c>
      <c r="S359" t="s">
        <v>116</v>
      </c>
      <c r="T359">
        <v>104</v>
      </c>
      <c r="U359" t="s">
        <v>108</v>
      </c>
      <c r="V359">
        <v>44</v>
      </c>
      <c r="W359" t="str">
        <f>HYPERLINK("Gene2583-zp_tree_all.dnd", "Gene2583-tree")</f>
        <v>Gene2583-tree</v>
      </c>
      <c r="X359">
        <v>22</v>
      </c>
      <c r="Y359">
        <v>3</v>
      </c>
      <c r="Z359">
        <v>5</v>
      </c>
      <c r="AA359">
        <v>3</v>
      </c>
      <c r="AB359">
        <v>0.375</v>
      </c>
      <c r="AC359" t="s">
        <v>1682</v>
      </c>
      <c r="AD359" t="s">
        <v>324</v>
      </c>
      <c r="AE359" t="s">
        <v>62</v>
      </c>
      <c r="AF359" t="s">
        <v>62</v>
      </c>
      <c r="AG359">
        <v>0</v>
      </c>
      <c r="AH359">
        <v>0</v>
      </c>
      <c r="AI359">
        <v>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3</v>
      </c>
      <c r="AT359">
        <v>0</v>
      </c>
      <c r="AU359">
        <v>7</v>
      </c>
      <c r="AV359">
        <v>1</v>
      </c>
      <c r="AW359">
        <v>7</v>
      </c>
      <c r="AX359">
        <v>3</v>
      </c>
      <c r="AY359">
        <v>1</v>
      </c>
      <c r="AZ359">
        <v>0</v>
      </c>
      <c r="BA359" t="s">
        <v>15122</v>
      </c>
      <c r="BB359" t="s">
        <v>193</v>
      </c>
      <c r="BC359">
        <v>1.385</v>
      </c>
      <c r="BD359" t="s">
        <v>65</v>
      </c>
      <c r="BE359">
        <v>8</v>
      </c>
      <c r="BF359">
        <v>3</v>
      </c>
      <c r="BG359" t="s">
        <v>15123</v>
      </c>
      <c r="BH359" t="s">
        <v>15124</v>
      </c>
      <c r="BI359" t="s">
        <v>15125</v>
      </c>
      <c r="BJ359">
        <v>9.2660000000000006E-2</v>
      </c>
      <c r="BK359">
        <v>1</v>
      </c>
      <c r="BL359" t="s">
        <v>69</v>
      </c>
      <c r="BM359">
        <v>-1.762</v>
      </c>
      <c r="BN359">
        <v>-3.57</v>
      </c>
    </row>
    <row r="360" spans="2:66">
      <c r="B360">
        <v>583</v>
      </c>
      <c r="C360">
        <v>594</v>
      </c>
      <c r="D360">
        <v>2</v>
      </c>
      <c r="E360">
        <v>29</v>
      </c>
      <c r="F360">
        <v>2</v>
      </c>
      <c r="J360">
        <v>0</v>
      </c>
      <c r="K360">
        <v>6</v>
      </c>
      <c r="L360">
        <v>0</v>
      </c>
      <c r="M360" t="s">
        <v>25022</v>
      </c>
      <c r="N360">
        <v>2584</v>
      </c>
      <c r="O360" t="s">
        <v>15126</v>
      </c>
      <c r="P360" t="s">
        <v>62</v>
      </c>
      <c r="Q360">
        <v>2566240</v>
      </c>
      <c r="R360">
        <v>2567298</v>
      </c>
      <c r="S360" t="s">
        <v>1523</v>
      </c>
      <c r="T360">
        <v>353</v>
      </c>
      <c r="U360" t="s">
        <v>108</v>
      </c>
      <c r="V360">
        <v>44</v>
      </c>
      <c r="W360" t="str">
        <f>HYPERLINK("Gene2584-zp_tree_all.dnd", "Gene2584-tree")</f>
        <v>Gene2584-tree</v>
      </c>
      <c r="X360">
        <v>4</v>
      </c>
      <c r="Y360">
        <v>9</v>
      </c>
      <c r="Z360">
        <v>4</v>
      </c>
      <c r="AA360">
        <v>9</v>
      </c>
      <c r="AB360">
        <v>0.69230999999999998</v>
      </c>
      <c r="AC360" t="s">
        <v>61</v>
      </c>
      <c r="AD360" t="s">
        <v>135</v>
      </c>
      <c r="AE360" t="s">
        <v>62</v>
      </c>
      <c r="AF360" t="s">
        <v>62</v>
      </c>
      <c r="AG360">
        <v>3</v>
      </c>
      <c r="AH360">
        <v>6</v>
      </c>
      <c r="AI360">
        <v>21</v>
      </c>
      <c r="AJ360">
        <v>0.22222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2</v>
      </c>
      <c r="AQ360">
        <v>0</v>
      </c>
      <c r="AR360">
        <v>2</v>
      </c>
      <c r="AS360">
        <v>19</v>
      </c>
      <c r="AT360">
        <v>9.5240000000000005E-2</v>
      </c>
      <c r="AU360">
        <v>13</v>
      </c>
      <c r="AV360">
        <v>8</v>
      </c>
      <c r="AW360">
        <v>25</v>
      </c>
      <c r="AX360">
        <v>21</v>
      </c>
      <c r="AY360">
        <v>7</v>
      </c>
      <c r="AZ360">
        <v>6</v>
      </c>
      <c r="BA360" t="s">
        <v>15127</v>
      </c>
      <c r="BB360" t="s">
        <v>15128</v>
      </c>
      <c r="BC360">
        <v>2.8000000000000001E-2</v>
      </c>
      <c r="BD360" t="s">
        <v>65</v>
      </c>
      <c r="BE360">
        <v>32</v>
      </c>
      <c r="BF360">
        <v>27</v>
      </c>
      <c r="BG360" t="s">
        <v>15129</v>
      </c>
      <c r="BH360" t="s">
        <v>15130</v>
      </c>
      <c r="BI360" t="s">
        <v>15131</v>
      </c>
      <c r="BJ360">
        <v>0.22638</v>
      </c>
      <c r="BK360">
        <v>1</v>
      </c>
      <c r="BL360" t="s">
        <v>69</v>
      </c>
      <c r="BM360">
        <v>-1.5409999999999999</v>
      </c>
      <c r="BN360">
        <v>-2.9020000000000001</v>
      </c>
    </row>
    <row r="361" spans="2:66">
      <c r="B361">
        <v>584</v>
      </c>
      <c r="C361">
        <v>23</v>
      </c>
      <c r="D361">
        <v>0</v>
      </c>
      <c r="E361">
        <v>2</v>
      </c>
      <c r="F361">
        <v>0</v>
      </c>
      <c r="J361">
        <v>0</v>
      </c>
      <c r="K361">
        <v>8</v>
      </c>
      <c r="L361">
        <v>4</v>
      </c>
      <c r="M361" t="s">
        <v>25022</v>
      </c>
      <c r="N361">
        <v>2585</v>
      </c>
      <c r="O361" t="s">
        <v>15132</v>
      </c>
      <c r="P361" t="s">
        <v>62</v>
      </c>
      <c r="Q361">
        <v>2567363</v>
      </c>
      <c r="R361">
        <v>2568490</v>
      </c>
      <c r="S361" t="s">
        <v>15133</v>
      </c>
      <c r="T361">
        <v>376</v>
      </c>
      <c r="U361" t="s">
        <v>108</v>
      </c>
      <c r="V361">
        <v>44</v>
      </c>
      <c r="W361" t="str">
        <f>HYPERLINK("Gene2585-zp_tree_all.dnd", "Gene2585-tree")</f>
        <v>Gene2585-tree</v>
      </c>
      <c r="X361">
        <v>7</v>
      </c>
      <c r="Y361">
        <v>7</v>
      </c>
      <c r="Z361">
        <v>7</v>
      </c>
      <c r="AA361">
        <v>7</v>
      </c>
      <c r="AB361">
        <v>0.5</v>
      </c>
      <c r="AC361" t="s">
        <v>152</v>
      </c>
      <c r="AD361" t="s">
        <v>152</v>
      </c>
      <c r="AE361" t="s">
        <v>62</v>
      </c>
      <c r="AF361" t="s">
        <v>62</v>
      </c>
      <c r="AG361">
        <v>5</v>
      </c>
      <c r="AH361">
        <v>12</v>
      </c>
      <c r="AI361">
        <v>18</v>
      </c>
      <c r="AJ361">
        <v>0.4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4</v>
      </c>
      <c r="AQ361">
        <v>0</v>
      </c>
      <c r="AR361">
        <v>4</v>
      </c>
      <c r="AS361">
        <v>19</v>
      </c>
      <c r="AT361">
        <v>0.17391000000000001</v>
      </c>
      <c r="AU361">
        <v>12</v>
      </c>
      <c r="AV361">
        <v>7</v>
      </c>
      <c r="AW361">
        <v>27</v>
      </c>
      <c r="AX361">
        <v>24</v>
      </c>
      <c r="AY361">
        <v>8</v>
      </c>
      <c r="AZ361">
        <v>8</v>
      </c>
      <c r="BA361" t="s">
        <v>15134</v>
      </c>
      <c r="BB361" t="s">
        <v>15135</v>
      </c>
      <c r="BC361">
        <v>0.11700000000000001</v>
      </c>
      <c r="BD361" t="s">
        <v>65</v>
      </c>
      <c r="BE361">
        <v>35</v>
      </c>
      <c r="BF361">
        <v>32</v>
      </c>
      <c r="BG361" t="s">
        <v>15136</v>
      </c>
      <c r="BH361" t="s">
        <v>15137</v>
      </c>
      <c r="BI361" t="s">
        <v>15138</v>
      </c>
      <c r="BJ361">
        <v>0.27833999999999998</v>
      </c>
      <c r="BK361">
        <v>1</v>
      </c>
      <c r="BL361" t="s">
        <v>69</v>
      </c>
      <c r="BM361">
        <v>-1.492</v>
      </c>
      <c r="BN361">
        <v>-3.528</v>
      </c>
    </row>
    <row r="362" spans="2:66">
      <c r="B362">
        <v>585</v>
      </c>
      <c r="C362">
        <v>44</v>
      </c>
      <c r="D362">
        <v>0</v>
      </c>
      <c r="E362">
        <v>2</v>
      </c>
      <c r="F362">
        <v>2</v>
      </c>
      <c r="J362">
        <v>0</v>
      </c>
      <c r="K362">
        <v>0</v>
      </c>
      <c r="L362">
        <v>0</v>
      </c>
      <c r="M362" t="s">
        <v>25022</v>
      </c>
      <c r="N362">
        <v>2586</v>
      </c>
      <c r="O362" t="s">
        <v>15139</v>
      </c>
      <c r="P362" t="s">
        <v>62</v>
      </c>
      <c r="Q362">
        <v>2568576</v>
      </c>
      <c r="R362">
        <v>2570489</v>
      </c>
      <c r="S362" t="s">
        <v>5014</v>
      </c>
      <c r="T362">
        <v>638</v>
      </c>
      <c r="U362" t="s">
        <v>108</v>
      </c>
      <c r="V362">
        <v>44</v>
      </c>
      <c r="W362" t="str">
        <f>HYPERLINK("Gene2586-zp_tree_all.dnd", "Gene2586-tree")</f>
        <v>Gene2586-tree</v>
      </c>
      <c r="X362">
        <v>4</v>
      </c>
      <c r="Y362">
        <v>10</v>
      </c>
      <c r="Z362">
        <v>4</v>
      </c>
      <c r="AA362">
        <v>10</v>
      </c>
      <c r="AB362">
        <v>0.71428999999999998</v>
      </c>
      <c r="AC362" t="s">
        <v>61</v>
      </c>
      <c r="AD362" t="s">
        <v>117</v>
      </c>
      <c r="AE362" t="s">
        <v>62</v>
      </c>
      <c r="AF362" t="s">
        <v>62</v>
      </c>
      <c r="AG362">
        <v>0</v>
      </c>
      <c r="AH362">
        <v>0</v>
      </c>
      <c r="AI362">
        <v>13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13</v>
      </c>
      <c r="AT362">
        <v>0</v>
      </c>
      <c r="AU362">
        <v>13</v>
      </c>
      <c r="AV362">
        <v>9</v>
      </c>
      <c r="AW362">
        <v>43</v>
      </c>
      <c r="AX362">
        <v>13</v>
      </c>
      <c r="AY362">
        <v>16</v>
      </c>
      <c r="AZ362">
        <v>0</v>
      </c>
      <c r="BA362" t="s">
        <v>15140</v>
      </c>
      <c r="BB362" t="s">
        <v>193</v>
      </c>
      <c r="BC362">
        <v>1.859</v>
      </c>
      <c r="BD362" t="s">
        <v>65</v>
      </c>
      <c r="BE362">
        <v>59</v>
      </c>
      <c r="BF362">
        <v>13</v>
      </c>
      <c r="BG362" t="s">
        <v>15141</v>
      </c>
      <c r="BH362" t="s">
        <v>15142</v>
      </c>
      <c r="BI362" t="s">
        <v>15143</v>
      </c>
      <c r="BJ362">
        <v>4.863E-2</v>
      </c>
      <c r="BK362">
        <v>1</v>
      </c>
      <c r="BL362" t="s">
        <v>69</v>
      </c>
      <c r="BM362">
        <v>-1.3720000000000001</v>
      </c>
      <c r="BN362">
        <v>-2.6360000000000001</v>
      </c>
    </row>
    <row r="363" spans="2:66">
      <c r="B363">
        <v>586</v>
      </c>
      <c r="C363">
        <v>293</v>
      </c>
      <c r="D363">
        <v>0</v>
      </c>
      <c r="E363">
        <v>4</v>
      </c>
      <c r="F363">
        <v>0</v>
      </c>
      <c r="J363">
        <v>0</v>
      </c>
      <c r="K363">
        <v>2</v>
      </c>
      <c r="L363">
        <v>0</v>
      </c>
      <c r="M363" t="s">
        <v>25022</v>
      </c>
      <c r="N363">
        <v>2587</v>
      </c>
      <c r="O363" t="s">
        <v>15144</v>
      </c>
      <c r="P363" t="s">
        <v>62</v>
      </c>
      <c r="Q363">
        <v>2570609</v>
      </c>
      <c r="R363">
        <v>2571571</v>
      </c>
      <c r="S363" t="s">
        <v>15145</v>
      </c>
      <c r="T363">
        <v>321</v>
      </c>
      <c r="U363" t="s">
        <v>108</v>
      </c>
      <c r="V363">
        <v>44</v>
      </c>
      <c r="W363" t="str">
        <f>HYPERLINK("Gene2587-zp_tree_all.dnd", "Gene2587-tree")</f>
        <v>Gene2587-tree</v>
      </c>
      <c r="X363">
        <v>7</v>
      </c>
      <c r="Y363">
        <v>5</v>
      </c>
      <c r="Z363">
        <v>7</v>
      </c>
      <c r="AA363">
        <v>5</v>
      </c>
      <c r="AB363">
        <v>0.41666999999999998</v>
      </c>
      <c r="AC363" t="s">
        <v>152</v>
      </c>
      <c r="AD363" t="s">
        <v>199</v>
      </c>
      <c r="AE363" t="s">
        <v>62</v>
      </c>
      <c r="AF363" t="s">
        <v>62</v>
      </c>
      <c r="AG363">
        <v>1</v>
      </c>
      <c r="AH363">
        <v>2</v>
      </c>
      <c r="AI363">
        <v>9</v>
      </c>
      <c r="AJ363">
        <v>0.18182000000000001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9</v>
      </c>
      <c r="AT363">
        <v>0</v>
      </c>
      <c r="AU363">
        <v>9</v>
      </c>
      <c r="AV363">
        <v>8</v>
      </c>
      <c r="AW363">
        <v>24</v>
      </c>
      <c r="AX363">
        <v>9</v>
      </c>
      <c r="AY363">
        <v>12</v>
      </c>
      <c r="AZ363">
        <v>2</v>
      </c>
      <c r="BA363" t="s">
        <v>15146</v>
      </c>
      <c r="BB363" t="s">
        <v>15147</v>
      </c>
      <c r="BC363">
        <v>0.60199999999999998</v>
      </c>
      <c r="BD363" t="s">
        <v>65</v>
      </c>
      <c r="BE363">
        <v>36</v>
      </c>
      <c r="BF363">
        <v>11</v>
      </c>
      <c r="BG363" t="s">
        <v>15148</v>
      </c>
      <c r="BH363" t="s">
        <v>15149</v>
      </c>
      <c r="BI363" t="s">
        <v>14815</v>
      </c>
      <c r="BJ363">
        <v>9.579E-2</v>
      </c>
      <c r="BK363">
        <v>1</v>
      </c>
      <c r="BL363" t="s">
        <v>69</v>
      </c>
      <c r="BM363">
        <v>-0.65</v>
      </c>
      <c r="BN363">
        <v>-2.0920000000000001</v>
      </c>
    </row>
    <row r="364" spans="2:66">
      <c r="B364">
        <v>587</v>
      </c>
      <c r="C364">
        <v>141</v>
      </c>
      <c r="D364">
        <v>0</v>
      </c>
      <c r="E364">
        <v>2</v>
      </c>
      <c r="F364">
        <v>0</v>
      </c>
      <c r="J364">
        <v>0</v>
      </c>
      <c r="K364">
        <v>0</v>
      </c>
      <c r="L364">
        <v>0</v>
      </c>
      <c r="M364" t="s">
        <v>25022</v>
      </c>
      <c r="N364">
        <v>2588</v>
      </c>
      <c r="O364" t="s">
        <v>15150</v>
      </c>
      <c r="P364" t="s">
        <v>62</v>
      </c>
      <c r="Q364">
        <v>2571585</v>
      </c>
      <c r="R364">
        <v>2571797</v>
      </c>
      <c r="S364" t="s">
        <v>15151</v>
      </c>
      <c r="T364">
        <v>71</v>
      </c>
      <c r="U364" t="s">
        <v>108</v>
      </c>
      <c r="V364">
        <v>44</v>
      </c>
      <c r="W364" t="str">
        <f>HYPERLINK("Gene2588-zp_tree_all.dnd", "Gene2588-tree")</f>
        <v>Gene2588-tree</v>
      </c>
      <c r="X364">
        <v>4</v>
      </c>
      <c r="Y364">
        <v>1</v>
      </c>
      <c r="Z364">
        <v>4</v>
      </c>
      <c r="AA364">
        <v>1</v>
      </c>
      <c r="AB364">
        <v>0.2</v>
      </c>
      <c r="AC364" t="s">
        <v>61</v>
      </c>
      <c r="AD364" t="s">
        <v>175</v>
      </c>
      <c r="AE364" t="s">
        <v>62</v>
      </c>
      <c r="AF364" t="s">
        <v>62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3</v>
      </c>
      <c r="AV364">
        <v>1</v>
      </c>
      <c r="AW364">
        <v>3</v>
      </c>
      <c r="AX364">
        <v>1</v>
      </c>
      <c r="AY364">
        <v>1</v>
      </c>
      <c r="AZ364">
        <v>0</v>
      </c>
      <c r="BA364" t="s">
        <v>15152</v>
      </c>
      <c r="BB364" t="s">
        <v>193</v>
      </c>
      <c r="BC364">
        <v>0.86599999999999999</v>
      </c>
      <c r="BD364" t="s">
        <v>65</v>
      </c>
      <c r="BE364">
        <v>4</v>
      </c>
      <c r="BF364">
        <v>1</v>
      </c>
      <c r="BG364" t="s">
        <v>15153</v>
      </c>
      <c r="BH364" t="s">
        <v>15154</v>
      </c>
      <c r="BI364" t="s">
        <v>15155</v>
      </c>
      <c r="BJ364">
        <v>5.185E-2</v>
      </c>
      <c r="BK364">
        <v>1</v>
      </c>
      <c r="BL364" t="s">
        <v>69</v>
      </c>
      <c r="BM364">
        <v>-1.3180000000000001</v>
      </c>
      <c r="BN364">
        <v>-2.661</v>
      </c>
    </row>
    <row r="365" spans="2:66">
      <c r="B365">
        <v>588</v>
      </c>
      <c r="C365">
        <v>182</v>
      </c>
      <c r="D365">
        <v>0</v>
      </c>
      <c r="E365">
        <v>3</v>
      </c>
      <c r="F365">
        <v>2</v>
      </c>
      <c r="J365">
        <v>0</v>
      </c>
      <c r="K365">
        <v>22</v>
      </c>
      <c r="L365">
        <v>5</v>
      </c>
      <c r="M365" t="s">
        <v>25022</v>
      </c>
      <c r="N365">
        <v>2589</v>
      </c>
      <c r="O365" t="s">
        <v>15156</v>
      </c>
      <c r="P365" t="s">
        <v>62</v>
      </c>
      <c r="Q365">
        <v>2571910</v>
      </c>
      <c r="R365">
        <v>2573430</v>
      </c>
      <c r="S365" t="s">
        <v>15157</v>
      </c>
      <c r="T365">
        <v>507</v>
      </c>
      <c r="U365" t="s">
        <v>108</v>
      </c>
      <c r="V365">
        <v>44</v>
      </c>
      <c r="W365" t="str">
        <f>HYPERLINK("Gene2589-zp_tree_all.dnd", "Gene2589-tree")</f>
        <v>Gene2589-tree</v>
      </c>
      <c r="X365">
        <v>6</v>
      </c>
      <c r="Y365">
        <v>9</v>
      </c>
      <c r="Z365">
        <v>6</v>
      </c>
      <c r="AA365">
        <v>9</v>
      </c>
      <c r="AB365">
        <v>0.6</v>
      </c>
      <c r="AC365" t="s">
        <v>90</v>
      </c>
      <c r="AD365" t="s">
        <v>135</v>
      </c>
      <c r="AE365" t="s">
        <v>62</v>
      </c>
      <c r="AF365" t="s">
        <v>62</v>
      </c>
      <c r="AG365">
        <v>12</v>
      </c>
      <c r="AH365">
        <v>27</v>
      </c>
      <c r="AI365">
        <v>29</v>
      </c>
      <c r="AJ365">
        <v>0.48214000000000001</v>
      </c>
      <c r="AK365">
        <v>0</v>
      </c>
      <c r="AL365">
        <v>0</v>
      </c>
      <c r="AM365">
        <v>0</v>
      </c>
      <c r="AN365">
        <v>7</v>
      </c>
      <c r="AO365">
        <v>0</v>
      </c>
      <c r="AP365">
        <v>4</v>
      </c>
      <c r="AQ365">
        <v>2</v>
      </c>
      <c r="AR365">
        <v>6</v>
      </c>
      <c r="AS365">
        <v>26</v>
      </c>
      <c r="AT365">
        <v>0.1875</v>
      </c>
      <c r="AU365">
        <v>11</v>
      </c>
      <c r="AV365">
        <v>12</v>
      </c>
      <c r="AW365">
        <v>43</v>
      </c>
      <c r="AX365">
        <v>35</v>
      </c>
      <c r="AY365">
        <v>46</v>
      </c>
      <c r="AZ365">
        <v>27</v>
      </c>
      <c r="BA365" t="s">
        <v>15158</v>
      </c>
      <c r="BB365" t="s">
        <v>15159</v>
      </c>
      <c r="BC365">
        <v>0.52400000000000002</v>
      </c>
      <c r="BD365" t="s">
        <v>65</v>
      </c>
      <c r="BE365">
        <v>89</v>
      </c>
      <c r="BF365">
        <v>62</v>
      </c>
      <c r="BG365" t="s">
        <v>15160</v>
      </c>
      <c r="BH365" t="s">
        <v>15161</v>
      </c>
      <c r="BI365" t="s">
        <v>15162</v>
      </c>
      <c r="BJ365">
        <v>0.22505</v>
      </c>
      <c r="BK365">
        <v>1</v>
      </c>
      <c r="BL365" t="s">
        <v>69</v>
      </c>
      <c r="BM365">
        <v>-0.13</v>
      </c>
      <c r="BN365">
        <v>-1.3720000000000001</v>
      </c>
    </row>
    <row r="366" spans="2:66">
      <c r="B366">
        <v>589</v>
      </c>
      <c r="C366">
        <v>197</v>
      </c>
      <c r="D366">
        <v>0</v>
      </c>
      <c r="E366">
        <v>4</v>
      </c>
      <c r="F366">
        <v>1</v>
      </c>
      <c r="J366">
        <v>0</v>
      </c>
      <c r="K366">
        <v>0</v>
      </c>
      <c r="L366">
        <v>0</v>
      </c>
      <c r="M366" t="s">
        <v>25022</v>
      </c>
      <c r="N366">
        <v>2590</v>
      </c>
      <c r="O366" t="s">
        <v>15163</v>
      </c>
      <c r="P366" t="s">
        <v>62</v>
      </c>
      <c r="Q366">
        <v>2573523</v>
      </c>
      <c r="R366">
        <v>2573693</v>
      </c>
      <c r="S366" t="s">
        <v>116</v>
      </c>
      <c r="T366">
        <v>57</v>
      </c>
      <c r="U366" t="s">
        <v>108</v>
      </c>
      <c r="V366">
        <v>44</v>
      </c>
      <c r="W366" t="str">
        <f>HYPERLINK("Gene2590-zp_tree_all.dnd", "Gene2590-tree")</f>
        <v>Gene2590-tree</v>
      </c>
      <c r="X366">
        <v>4</v>
      </c>
      <c r="Y366">
        <v>1</v>
      </c>
      <c r="Z366">
        <v>4</v>
      </c>
      <c r="AA366">
        <v>1</v>
      </c>
      <c r="AB366">
        <v>0.2</v>
      </c>
      <c r="AC366" t="s">
        <v>61</v>
      </c>
      <c r="AD366" t="s">
        <v>175</v>
      </c>
      <c r="AE366" t="s">
        <v>62</v>
      </c>
      <c r="AF366" t="s">
        <v>62</v>
      </c>
      <c r="AG366">
        <v>0</v>
      </c>
      <c r="AH366">
        <v>0</v>
      </c>
      <c r="AI366">
        <v>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0</v>
      </c>
      <c r="AU366">
        <v>4</v>
      </c>
      <c r="AV366">
        <v>1</v>
      </c>
      <c r="AW366">
        <v>3</v>
      </c>
      <c r="AX366">
        <v>2</v>
      </c>
      <c r="AY366">
        <v>1</v>
      </c>
      <c r="AZ366">
        <v>0</v>
      </c>
      <c r="BA366" t="s">
        <v>15164</v>
      </c>
      <c r="BB366" t="s">
        <v>193</v>
      </c>
      <c r="BC366">
        <v>0.6</v>
      </c>
      <c r="BD366" t="s">
        <v>65</v>
      </c>
      <c r="BE366">
        <v>4</v>
      </c>
      <c r="BF366">
        <v>2</v>
      </c>
      <c r="BG366" t="s">
        <v>15165</v>
      </c>
      <c r="BH366" t="s">
        <v>15166</v>
      </c>
      <c r="BI366" t="s">
        <v>15167</v>
      </c>
      <c r="BJ366">
        <v>0.12060999999999999</v>
      </c>
      <c r="BK366">
        <v>0.98599999999999999</v>
      </c>
      <c r="BL366" t="s">
        <v>69</v>
      </c>
      <c r="BM366">
        <v>-1.855</v>
      </c>
      <c r="BN366">
        <v>-2.173</v>
      </c>
    </row>
    <row r="367" spans="2:66">
      <c r="B367">
        <v>590</v>
      </c>
      <c r="C367">
        <v>363</v>
      </c>
      <c r="D367">
        <v>0</v>
      </c>
      <c r="E367">
        <v>4</v>
      </c>
      <c r="F367">
        <v>2</v>
      </c>
      <c r="J367">
        <v>0</v>
      </c>
      <c r="K367">
        <v>13</v>
      </c>
      <c r="L367">
        <v>0</v>
      </c>
      <c r="M367" t="s">
        <v>25022</v>
      </c>
      <c r="N367">
        <v>2591</v>
      </c>
      <c r="O367" t="s">
        <v>15168</v>
      </c>
      <c r="P367" t="s">
        <v>62</v>
      </c>
      <c r="Q367">
        <v>2573763</v>
      </c>
      <c r="R367">
        <v>2574323</v>
      </c>
      <c r="S367" t="s">
        <v>15169</v>
      </c>
      <c r="T367">
        <v>187</v>
      </c>
      <c r="U367" t="s">
        <v>108</v>
      </c>
      <c r="V367">
        <v>44</v>
      </c>
      <c r="W367" t="str">
        <f>HYPERLINK("Gene2591-zp_tree_all.dnd", "Gene2591-tree")</f>
        <v>Gene2591-tree</v>
      </c>
      <c r="X367">
        <v>2</v>
      </c>
      <c r="Y367">
        <v>11</v>
      </c>
      <c r="Z367">
        <v>2</v>
      </c>
      <c r="AA367">
        <v>11</v>
      </c>
      <c r="AB367">
        <v>0.84614999999999996</v>
      </c>
      <c r="AC367" t="s">
        <v>81</v>
      </c>
      <c r="AD367" t="s">
        <v>73</v>
      </c>
      <c r="AE367">
        <v>515075683.63</v>
      </c>
      <c r="AF367" t="s">
        <v>267</v>
      </c>
      <c r="AG367">
        <v>6</v>
      </c>
      <c r="AH367">
        <v>13</v>
      </c>
      <c r="AI367">
        <v>15</v>
      </c>
      <c r="AJ367">
        <v>0.46428999999999998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10</v>
      </c>
      <c r="AQ367">
        <v>0</v>
      </c>
      <c r="AR367">
        <v>10</v>
      </c>
      <c r="AS367">
        <v>14</v>
      </c>
      <c r="AT367">
        <v>0.41666999999999998</v>
      </c>
      <c r="AU367">
        <v>10</v>
      </c>
      <c r="AV367">
        <v>8</v>
      </c>
      <c r="AW367">
        <v>19</v>
      </c>
      <c r="AX367">
        <v>19</v>
      </c>
      <c r="AY367">
        <v>14</v>
      </c>
      <c r="AZ367">
        <v>9</v>
      </c>
      <c r="BA367" t="s">
        <v>15170</v>
      </c>
      <c r="BB367" t="s">
        <v>15171</v>
      </c>
      <c r="BC367">
        <v>0.75800000000000001</v>
      </c>
      <c r="BD367" t="s">
        <v>65</v>
      </c>
      <c r="BE367">
        <v>33</v>
      </c>
      <c r="BF367">
        <v>28</v>
      </c>
      <c r="BG367" t="s">
        <v>15172</v>
      </c>
      <c r="BH367" t="s">
        <v>15173</v>
      </c>
      <c r="BI367" t="s">
        <v>15174</v>
      </c>
      <c r="BJ367">
        <v>0.20402000000000001</v>
      </c>
      <c r="BK367">
        <v>1</v>
      </c>
      <c r="BL367" t="s">
        <v>69</v>
      </c>
      <c r="BM367">
        <v>-0.90100000000000002</v>
      </c>
      <c r="BN367">
        <v>-1.5580000000000001</v>
      </c>
    </row>
    <row r="368" spans="2:66">
      <c r="B368">
        <v>591</v>
      </c>
      <c r="C368">
        <v>50</v>
      </c>
      <c r="D368">
        <v>0</v>
      </c>
      <c r="E368">
        <v>5</v>
      </c>
      <c r="F368">
        <v>0</v>
      </c>
      <c r="J368">
        <v>0</v>
      </c>
      <c r="K368">
        <v>28</v>
      </c>
      <c r="L368">
        <v>4</v>
      </c>
      <c r="M368" t="s">
        <v>25022</v>
      </c>
      <c r="N368">
        <v>2593</v>
      </c>
      <c r="O368" t="s">
        <v>15175</v>
      </c>
      <c r="P368" t="s">
        <v>62</v>
      </c>
      <c r="Q368">
        <v>2574644</v>
      </c>
      <c r="R368">
        <v>2575720</v>
      </c>
      <c r="S368" t="s">
        <v>3798</v>
      </c>
      <c r="T368">
        <v>359</v>
      </c>
      <c r="U368" t="s">
        <v>3401</v>
      </c>
      <c r="V368">
        <v>42</v>
      </c>
      <c r="W368" t="str">
        <f>HYPERLINK("Gene2593-zp_tree_all.dnd", "Gene2593-tree")</f>
        <v>Gene2593-tree</v>
      </c>
      <c r="X368">
        <v>2</v>
      </c>
      <c r="Y368">
        <v>11</v>
      </c>
      <c r="Z368">
        <v>2</v>
      </c>
      <c r="AA368">
        <v>11</v>
      </c>
      <c r="AB368">
        <v>0.84614999999999996</v>
      </c>
      <c r="AC368" t="s">
        <v>81</v>
      </c>
      <c r="AD368" t="s">
        <v>73</v>
      </c>
      <c r="AE368">
        <v>515075683.63</v>
      </c>
      <c r="AF368" t="s">
        <v>267</v>
      </c>
      <c r="AG368">
        <v>13</v>
      </c>
      <c r="AH368">
        <v>32</v>
      </c>
      <c r="AI368">
        <v>30</v>
      </c>
      <c r="AJ368">
        <v>0.51612999999999998</v>
      </c>
      <c r="AK368">
        <v>0</v>
      </c>
      <c r="AL368">
        <v>0</v>
      </c>
      <c r="AM368">
        <v>0</v>
      </c>
      <c r="AN368">
        <v>3</v>
      </c>
      <c r="AO368">
        <v>0</v>
      </c>
      <c r="AP368">
        <v>10</v>
      </c>
      <c r="AQ368">
        <v>6</v>
      </c>
      <c r="AR368">
        <v>16</v>
      </c>
      <c r="AS368">
        <v>27</v>
      </c>
      <c r="AT368">
        <v>0.37208999999999998</v>
      </c>
      <c r="AU368">
        <v>11</v>
      </c>
      <c r="AV368">
        <v>10</v>
      </c>
      <c r="AW368">
        <v>32</v>
      </c>
      <c r="AX368">
        <v>37</v>
      </c>
      <c r="AY368">
        <v>36</v>
      </c>
      <c r="AZ368">
        <v>25</v>
      </c>
      <c r="BA368" t="s">
        <v>15176</v>
      </c>
      <c r="BB368" t="s">
        <v>15177</v>
      </c>
      <c r="BC368">
        <v>0.64500000000000002</v>
      </c>
      <c r="BD368" t="s">
        <v>65</v>
      </c>
      <c r="BE368">
        <v>68</v>
      </c>
      <c r="BF368">
        <v>62</v>
      </c>
      <c r="BG368" t="s">
        <v>15178</v>
      </c>
      <c r="BH368" t="s">
        <v>15179</v>
      </c>
      <c r="BI368" t="s">
        <v>15180</v>
      </c>
      <c r="BJ368">
        <v>0.25294</v>
      </c>
      <c r="BK368">
        <v>1</v>
      </c>
      <c r="BL368" t="s">
        <v>69</v>
      </c>
      <c r="BM368">
        <v>7.3999999999999996E-2</v>
      </c>
      <c r="BN368">
        <v>-0.63</v>
      </c>
    </row>
    <row r="369" spans="2:66">
      <c r="B369">
        <v>592</v>
      </c>
      <c r="C369">
        <v>40</v>
      </c>
      <c r="D369">
        <v>0</v>
      </c>
      <c r="E369">
        <v>10</v>
      </c>
      <c r="F369">
        <v>0</v>
      </c>
      <c r="J369">
        <v>0</v>
      </c>
      <c r="K369">
        <v>10</v>
      </c>
      <c r="L369">
        <v>3</v>
      </c>
      <c r="M369" t="s">
        <v>25022</v>
      </c>
      <c r="N369">
        <v>2594</v>
      </c>
      <c r="O369" t="s">
        <v>15181</v>
      </c>
      <c r="P369" t="s">
        <v>62</v>
      </c>
      <c r="Q369">
        <v>2575720</v>
      </c>
      <c r="R369">
        <v>2576187</v>
      </c>
      <c r="S369" t="s">
        <v>116</v>
      </c>
      <c r="T369">
        <v>156</v>
      </c>
      <c r="U369" t="s">
        <v>108</v>
      </c>
      <c r="V369">
        <v>44</v>
      </c>
      <c r="W369" t="str">
        <f>HYPERLINK("Gene2594-zp_tree_all.dnd", "Gene2594-tree")</f>
        <v>Gene2594-tree</v>
      </c>
      <c r="X369">
        <v>3</v>
      </c>
      <c r="Y369">
        <v>9</v>
      </c>
      <c r="Z369">
        <v>3</v>
      </c>
      <c r="AA369">
        <v>9</v>
      </c>
      <c r="AB369">
        <v>0.75</v>
      </c>
      <c r="AC369" t="s">
        <v>324</v>
      </c>
      <c r="AD369" t="s">
        <v>135</v>
      </c>
      <c r="AE369" t="s">
        <v>62</v>
      </c>
      <c r="AF369" t="s">
        <v>62</v>
      </c>
      <c r="AG369">
        <v>5</v>
      </c>
      <c r="AH369">
        <v>13</v>
      </c>
      <c r="AI369">
        <v>7</v>
      </c>
      <c r="AJ369">
        <v>0.65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6</v>
      </c>
      <c r="AQ369">
        <v>3</v>
      </c>
      <c r="AR369">
        <v>9</v>
      </c>
      <c r="AS369">
        <v>6</v>
      </c>
      <c r="AT369">
        <v>0.6</v>
      </c>
      <c r="AU369">
        <v>8</v>
      </c>
      <c r="AV369">
        <v>7</v>
      </c>
      <c r="AW369">
        <v>7</v>
      </c>
      <c r="AX369">
        <v>10</v>
      </c>
      <c r="AY369">
        <v>10</v>
      </c>
      <c r="AZ369">
        <v>10</v>
      </c>
      <c r="BA369" t="s">
        <v>15182</v>
      </c>
      <c r="BB369" t="s">
        <v>15183</v>
      </c>
      <c r="BC369">
        <v>0.82</v>
      </c>
      <c r="BD369" t="s">
        <v>65</v>
      </c>
      <c r="BE369">
        <v>17</v>
      </c>
      <c r="BF369">
        <v>20</v>
      </c>
      <c r="BG369" t="s">
        <v>15184</v>
      </c>
      <c r="BH369" t="s">
        <v>15185</v>
      </c>
      <c r="BI369" t="s">
        <v>15186</v>
      </c>
      <c r="BJ369">
        <v>0.25945000000000001</v>
      </c>
      <c r="BK369">
        <v>1</v>
      </c>
      <c r="BL369" t="s">
        <v>69</v>
      </c>
      <c r="BM369">
        <v>-0.14799999999999999</v>
      </c>
      <c r="BN369">
        <v>-0.83099999999999996</v>
      </c>
    </row>
    <row r="370" spans="2:66">
      <c r="B370">
        <v>593</v>
      </c>
      <c r="C370">
        <v>115</v>
      </c>
      <c r="D370">
        <v>0</v>
      </c>
      <c r="E370">
        <v>3</v>
      </c>
      <c r="F370">
        <v>1</v>
      </c>
      <c r="J370">
        <v>0</v>
      </c>
      <c r="K370">
        <v>0</v>
      </c>
      <c r="L370">
        <v>0</v>
      </c>
      <c r="M370" t="s">
        <v>25022</v>
      </c>
      <c r="N370">
        <v>2597</v>
      </c>
      <c r="O370" t="s">
        <v>15200</v>
      </c>
      <c r="P370" t="s">
        <v>62</v>
      </c>
      <c r="Q370">
        <v>2577213</v>
      </c>
      <c r="R370">
        <v>2577992</v>
      </c>
      <c r="S370" t="s">
        <v>15201</v>
      </c>
      <c r="T370">
        <v>260</v>
      </c>
      <c r="U370" t="s">
        <v>108</v>
      </c>
      <c r="V370">
        <v>44</v>
      </c>
      <c r="W370" t="str">
        <f>HYPERLINK("Gene2597-zp_tree_all.dnd", "Gene2597-tree")</f>
        <v>Gene2597-tree</v>
      </c>
      <c r="X370">
        <v>7</v>
      </c>
      <c r="Y370">
        <v>6</v>
      </c>
      <c r="Z370">
        <v>7</v>
      </c>
      <c r="AA370">
        <v>6</v>
      </c>
      <c r="AB370">
        <v>0.46154000000000001</v>
      </c>
      <c r="AC370" t="s">
        <v>152</v>
      </c>
      <c r="AD370" t="s">
        <v>90</v>
      </c>
      <c r="AE370" t="s">
        <v>62</v>
      </c>
      <c r="AF370" t="s">
        <v>62</v>
      </c>
      <c r="AG370">
        <v>0</v>
      </c>
      <c r="AH370">
        <v>0</v>
      </c>
      <c r="AI370">
        <v>11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11</v>
      </c>
      <c r="AT370">
        <v>0</v>
      </c>
      <c r="AU370">
        <v>11</v>
      </c>
      <c r="AV370">
        <v>9</v>
      </c>
      <c r="AW370">
        <v>33</v>
      </c>
      <c r="AX370">
        <v>11</v>
      </c>
      <c r="AY370">
        <v>19</v>
      </c>
      <c r="AZ370">
        <v>0</v>
      </c>
      <c r="BA370" t="s">
        <v>15202</v>
      </c>
      <c r="BB370" t="s">
        <v>193</v>
      </c>
      <c r="BC370">
        <v>0.94399999999999995</v>
      </c>
      <c r="BD370" t="s">
        <v>65</v>
      </c>
      <c r="BE370">
        <v>52</v>
      </c>
      <c r="BF370">
        <v>11</v>
      </c>
      <c r="BG370" t="s">
        <v>15203</v>
      </c>
      <c r="BH370" t="s">
        <v>15204</v>
      </c>
      <c r="BI370" t="s">
        <v>15205</v>
      </c>
      <c r="BJ370">
        <v>4.5260000000000002E-2</v>
      </c>
      <c r="BK370">
        <v>1</v>
      </c>
      <c r="BL370" t="s">
        <v>69</v>
      </c>
      <c r="BM370">
        <v>-1.0820000000000001</v>
      </c>
      <c r="BN370">
        <v>-3.3690000000000002</v>
      </c>
    </row>
    <row r="371" spans="2:66">
      <c r="B371">
        <v>594</v>
      </c>
      <c r="C371">
        <v>75</v>
      </c>
      <c r="D371">
        <v>2</v>
      </c>
      <c r="E371">
        <v>22</v>
      </c>
      <c r="F371">
        <v>7</v>
      </c>
      <c r="J371">
        <v>0</v>
      </c>
      <c r="K371">
        <v>2</v>
      </c>
      <c r="L371">
        <v>0</v>
      </c>
      <c r="M371" t="s">
        <v>25022</v>
      </c>
      <c r="N371">
        <v>2598</v>
      </c>
      <c r="O371" t="s">
        <v>15206</v>
      </c>
      <c r="P371" t="s">
        <v>62</v>
      </c>
      <c r="Q371">
        <v>2578006</v>
      </c>
      <c r="R371">
        <v>2578812</v>
      </c>
      <c r="S371" t="s">
        <v>15201</v>
      </c>
      <c r="T371">
        <v>269</v>
      </c>
      <c r="U371" t="s">
        <v>108</v>
      </c>
      <c r="V371">
        <v>44</v>
      </c>
      <c r="W371" t="str">
        <f>HYPERLINK("Gene2598-zp_tree_all.dnd", "Gene2598-tree")</f>
        <v>Gene2598-tree</v>
      </c>
      <c r="X371">
        <v>10</v>
      </c>
      <c r="Y371">
        <v>5</v>
      </c>
      <c r="Z371">
        <v>10</v>
      </c>
      <c r="AA371">
        <v>5</v>
      </c>
      <c r="AB371">
        <v>0.33333000000000002</v>
      </c>
      <c r="AC371" t="s">
        <v>117</v>
      </c>
      <c r="AD371" t="s">
        <v>199</v>
      </c>
      <c r="AE371" t="s">
        <v>62</v>
      </c>
      <c r="AF371" t="s">
        <v>62</v>
      </c>
      <c r="AG371">
        <v>1</v>
      </c>
      <c r="AH371">
        <v>2</v>
      </c>
      <c r="AI371">
        <v>5</v>
      </c>
      <c r="AJ371">
        <v>0.28571000000000002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5</v>
      </c>
      <c r="AT371">
        <v>0</v>
      </c>
      <c r="AU371">
        <v>12</v>
      </c>
      <c r="AV371">
        <v>10</v>
      </c>
      <c r="AW371">
        <v>28</v>
      </c>
      <c r="AX371">
        <v>5</v>
      </c>
      <c r="AY371">
        <v>16</v>
      </c>
      <c r="AZ371">
        <v>2</v>
      </c>
      <c r="BA371" t="s">
        <v>15207</v>
      </c>
      <c r="BB371" t="s">
        <v>15208</v>
      </c>
      <c r="BC371">
        <v>0.248</v>
      </c>
      <c r="BD371" t="s">
        <v>65</v>
      </c>
      <c r="BE371">
        <v>44</v>
      </c>
      <c r="BF371">
        <v>7</v>
      </c>
      <c r="BG371" t="s">
        <v>15209</v>
      </c>
      <c r="BH371" t="s">
        <v>15210</v>
      </c>
      <c r="BI371" t="s">
        <v>15211</v>
      </c>
      <c r="BJ371">
        <v>3.7260000000000001E-2</v>
      </c>
      <c r="BK371">
        <v>1</v>
      </c>
      <c r="BL371" t="s">
        <v>69</v>
      </c>
      <c r="BM371">
        <v>-0.504</v>
      </c>
      <c r="BN371">
        <v>-1.653</v>
      </c>
    </row>
    <row r="372" spans="2:66">
      <c r="B372">
        <v>595</v>
      </c>
      <c r="C372">
        <v>2</v>
      </c>
      <c r="D372">
        <v>0</v>
      </c>
      <c r="E372">
        <v>15</v>
      </c>
      <c r="F372">
        <v>4</v>
      </c>
      <c r="J372">
        <v>0</v>
      </c>
      <c r="K372">
        <v>2</v>
      </c>
      <c r="L372">
        <v>0</v>
      </c>
      <c r="M372" t="s">
        <v>25022</v>
      </c>
      <c r="N372">
        <v>2599</v>
      </c>
      <c r="O372" t="s">
        <v>15212</v>
      </c>
      <c r="P372" t="s">
        <v>62</v>
      </c>
      <c r="Q372">
        <v>2578836</v>
      </c>
      <c r="R372">
        <v>2579717</v>
      </c>
      <c r="S372" t="s">
        <v>15213</v>
      </c>
      <c r="T372">
        <v>294</v>
      </c>
      <c r="U372" t="s">
        <v>108</v>
      </c>
      <c r="V372">
        <v>44</v>
      </c>
      <c r="W372" t="str">
        <f>HYPERLINK("Gene2599-zp_tree_all.dnd", "Gene2599-tree")</f>
        <v>Gene2599-tree</v>
      </c>
      <c r="X372">
        <v>9</v>
      </c>
      <c r="Y372">
        <v>4</v>
      </c>
      <c r="Z372">
        <v>9</v>
      </c>
      <c r="AA372">
        <v>4</v>
      </c>
      <c r="AB372">
        <v>0.30769000000000002</v>
      </c>
      <c r="AC372" t="s">
        <v>135</v>
      </c>
      <c r="AD372" t="s">
        <v>61</v>
      </c>
      <c r="AE372" t="s">
        <v>62</v>
      </c>
      <c r="AF372" t="s">
        <v>62</v>
      </c>
      <c r="AG372">
        <v>1</v>
      </c>
      <c r="AH372">
        <v>2</v>
      </c>
      <c r="AI372">
        <v>4</v>
      </c>
      <c r="AJ372">
        <v>0.33333000000000002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</v>
      </c>
      <c r="AQ372">
        <v>0</v>
      </c>
      <c r="AR372">
        <v>2</v>
      </c>
      <c r="AS372">
        <v>3</v>
      </c>
      <c r="AT372">
        <v>0.4</v>
      </c>
      <c r="AU372">
        <v>12</v>
      </c>
      <c r="AV372">
        <v>5</v>
      </c>
      <c r="AW372">
        <v>19</v>
      </c>
      <c r="AX372">
        <v>5</v>
      </c>
      <c r="AY372">
        <v>10</v>
      </c>
      <c r="AZ372">
        <v>1</v>
      </c>
      <c r="BA372" t="s">
        <v>15214</v>
      </c>
      <c r="BB372" t="s">
        <v>15215</v>
      </c>
      <c r="BC372">
        <v>0.58399999999999996</v>
      </c>
      <c r="BD372" t="s">
        <v>65</v>
      </c>
      <c r="BE372">
        <v>29</v>
      </c>
      <c r="BF372">
        <v>6</v>
      </c>
      <c r="BG372" t="s">
        <v>15216</v>
      </c>
      <c r="BH372" t="s">
        <v>15217</v>
      </c>
      <c r="BI372" t="s">
        <v>15218</v>
      </c>
      <c r="BJ372">
        <v>5.7489999999999999E-2</v>
      </c>
      <c r="BK372">
        <v>1</v>
      </c>
      <c r="BL372" t="s">
        <v>69</v>
      </c>
      <c r="BM372">
        <v>-0.66800000000000004</v>
      </c>
      <c r="BN372">
        <v>-2.153</v>
      </c>
    </row>
    <row r="373" spans="2:66">
      <c r="B373">
        <v>596</v>
      </c>
      <c r="C373">
        <v>6</v>
      </c>
      <c r="D373">
        <v>0</v>
      </c>
      <c r="E373">
        <v>26</v>
      </c>
      <c r="F373">
        <v>1</v>
      </c>
      <c r="J373">
        <v>0</v>
      </c>
      <c r="K373">
        <v>2</v>
      </c>
      <c r="L373">
        <v>1</v>
      </c>
      <c r="M373" t="s">
        <v>25022</v>
      </c>
      <c r="N373">
        <v>2600</v>
      </c>
      <c r="O373" t="s">
        <v>15219</v>
      </c>
      <c r="P373" t="s">
        <v>62</v>
      </c>
      <c r="Q373">
        <v>2579720</v>
      </c>
      <c r="R373">
        <v>2580646</v>
      </c>
      <c r="S373" t="s">
        <v>15213</v>
      </c>
      <c r="T373">
        <v>309</v>
      </c>
      <c r="U373" t="s">
        <v>72</v>
      </c>
      <c r="V373">
        <v>45</v>
      </c>
      <c r="W373" t="str">
        <f>HYPERLINK("Gene2600-zp_tree_all.dnd", "Gene2600-tree")</f>
        <v>Gene2600-tree</v>
      </c>
      <c r="X373">
        <v>10</v>
      </c>
      <c r="Y373">
        <v>4</v>
      </c>
      <c r="Z373">
        <v>10</v>
      </c>
      <c r="AA373">
        <v>4</v>
      </c>
      <c r="AB373">
        <v>0.28571000000000002</v>
      </c>
      <c r="AC373" t="s">
        <v>117</v>
      </c>
      <c r="AD373" t="s">
        <v>61</v>
      </c>
      <c r="AE373" t="s">
        <v>62</v>
      </c>
      <c r="AF373" t="s">
        <v>62</v>
      </c>
      <c r="AG373">
        <v>1</v>
      </c>
      <c r="AH373">
        <v>3</v>
      </c>
      <c r="AI373">
        <v>3</v>
      </c>
      <c r="AJ373">
        <v>0.5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2</v>
      </c>
      <c r="AR373">
        <v>2</v>
      </c>
      <c r="AS373">
        <v>3</v>
      </c>
      <c r="AT373">
        <v>0.4</v>
      </c>
      <c r="AU373">
        <v>14</v>
      </c>
      <c r="AV373">
        <v>7</v>
      </c>
      <c r="AW373">
        <v>57</v>
      </c>
      <c r="AX373">
        <v>6</v>
      </c>
      <c r="AY373">
        <v>17</v>
      </c>
      <c r="AZ373">
        <v>1</v>
      </c>
      <c r="BA373" t="s">
        <v>15220</v>
      </c>
      <c r="BB373" t="s">
        <v>15221</v>
      </c>
      <c r="BC373">
        <v>0.156</v>
      </c>
      <c r="BD373" t="s">
        <v>65</v>
      </c>
      <c r="BE373">
        <v>74</v>
      </c>
      <c r="BF373">
        <v>7</v>
      </c>
      <c r="BG373" t="s">
        <v>15222</v>
      </c>
      <c r="BH373" t="s">
        <v>15223</v>
      </c>
      <c r="BI373" t="s">
        <v>15224</v>
      </c>
      <c r="BJ373">
        <v>3.3660000000000002E-2</v>
      </c>
      <c r="BK373">
        <v>1</v>
      </c>
      <c r="BL373" t="s">
        <v>69</v>
      </c>
      <c r="BM373">
        <v>-1.0189999999999999</v>
      </c>
      <c r="BN373">
        <v>-3.7759999999999998</v>
      </c>
    </row>
    <row r="374" spans="2:66">
      <c r="B374">
        <v>597</v>
      </c>
      <c r="C374">
        <v>7</v>
      </c>
      <c r="D374">
        <v>0</v>
      </c>
      <c r="E374">
        <v>4</v>
      </c>
      <c r="F374">
        <v>0</v>
      </c>
      <c r="J374">
        <v>0</v>
      </c>
      <c r="K374">
        <v>9</v>
      </c>
      <c r="L374">
        <v>0</v>
      </c>
      <c r="M374" t="s">
        <v>25022</v>
      </c>
      <c r="N374">
        <v>2601</v>
      </c>
      <c r="O374" t="s">
        <v>15225</v>
      </c>
      <c r="P374" t="s">
        <v>62</v>
      </c>
      <c r="Q374">
        <v>2580718</v>
      </c>
      <c r="R374">
        <v>2581617</v>
      </c>
      <c r="S374" t="s">
        <v>15226</v>
      </c>
      <c r="T374">
        <v>300</v>
      </c>
      <c r="U374" t="s">
        <v>59</v>
      </c>
      <c r="V374">
        <v>49</v>
      </c>
      <c r="W374" t="str">
        <f>HYPERLINK("Gene2601-zp_tree_all.dnd", "Gene2601-tree")</f>
        <v>Gene2601-tree</v>
      </c>
      <c r="X374">
        <v>8</v>
      </c>
      <c r="Y374">
        <v>11</v>
      </c>
      <c r="Z374">
        <v>8</v>
      </c>
      <c r="AA374">
        <v>11</v>
      </c>
      <c r="AB374">
        <v>0.57894999999999996</v>
      </c>
      <c r="AC374" t="s">
        <v>136</v>
      </c>
      <c r="AD374" t="s">
        <v>73</v>
      </c>
      <c r="AE374">
        <v>42922973.636</v>
      </c>
      <c r="AF374" t="s">
        <v>267</v>
      </c>
      <c r="AG374">
        <v>3</v>
      </c>
      <c r="AH374">
        <v>9</v>
      </c>
      <c r="AI374">
        <v>14</v>
      </c>
      <c r="AJ374">
        <v>0.39129999999999998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4</v>
      </c>
      <c r="AQ374">
        <v>0</v>
      </c>
      <c r="AR374">
        <v>4</v>
      </c>
      <c r="AS374">
        <v>10</v>
      </c>
      <c r="AT374">
        <v>0.28571000000000002</v>
      </c>
      <c r="AU374">
        <v>13</v>
      </c>
      <c r="AV374">
        <v>14</v>
      </c>
      <c r="AW374">
        <v>38</v>
      </c>
      <c r="AX374">
        <v>10</v>
      </c>
      <c r="AY374">
        <v>51</v>
      </c>
      <c r="AZ374">
        <v>13</v>
      </c>
      <c r="BA374" t="s">
        <v>15227</v>
      </c>
      <c r="BB374" t="s">
        <v>15228</v>
      </c>
      <c r="BC374">
        <v>5.0999999999999997E-2</v>
      </c>
      <c r="BD374" t="s">
        <v>65</v>
      </c>
      <c r="BE374">
        <v>89</v>
      </c>
      <c r="BF374">
        <v>23</v>
      </c>
      <c r="BG374" t="s">
        <v>15229</v>
      </c>
      <c r="BH374" t="s">
        <v>15230</v>
      </c>
      <c r="BI374" t="s">
        <v>15231</v>
      </c>
      <c r="BJ374">
        <v>7.4450000000000002E-2</v>
      </c>
      <c r="BK374">
        <v>1</v>
      </c>
      <c r="BL374" t="s">
        <v>69</v>
      </c>
      <c r="BM374">
        <v>-1.054</v>
      </c>
      <c r="BN374">
        <v>-0.498</v>
      </c>
    </row>
    <row r="375" spans="2:66">
      <c r="B375">
        <v>598</v>
      </c>
      <c r="C375">
        <v>64</v>
      </c>
      <c r="D375">
        <v>0</v>
      </c>
      <c r="E375">
        <v>2</v>
      </c>
      <c r="F375">
        <v>0</v>
      </c>
      <c r="J375">
        <v>0</v>
      </c>
      <c r="K375">
        <v>2</v>
      </c>
      <c r="L375">
        <v>0</v>
      </c>
      <c r="M375" t="s">
        <v>25022</v>
      </c>
      <c r="N375">
        <v>2602</v>
      </c>
      <c r="O375" t="s">
        <v>15232</v>
      </c>
      <c r="P375" t="s">
        <v>62</v>
      </c>
      <c r="Q375">
        <v>2581774</v>
      </c>
      <c r="R375">
        <v>2583921</v>
      </c>
      <c r="S375" t="s">
        <v>15233</v>
      </c>
      <c r="T375">
        <v>716</v>
      </c>
      <c r="U375" t="s">
        <v>15234</v>
      </c>
      <c r="V375">
        <v>30</v>
      </c>
      <c r="W375" t="str">
        <f>HYPERLINK("Gene2602-zp_tree_all.dnd", "Gene2602-tree")</f>
        <v>Gene2602-tree</v>
      </c>
      <c r="X375">
        <v>2</v>
      </c>
      <c r="Y375">
        <v>4</v>
      </c>
      <c r="Z375">
        <v>2</v>
      </c>
      <c r="AA375">
        <v>4</v>
      </c>
      <c r="AB375">
        <v>0.66666999999999998</v>
      </c>
      <c r="AC375" t="s">
        <v>81</v>
      </c>
      <c r="AD375" t="s">
        <v>61</v>
      </c>
      <c r="AE375" t="s">
        <v>62</v>
      </c>
      <c r="AF375" t="s">
        <v>62</v>
      </c>
      <c r="AG375">
        <v>1</v>
      </c>
      <c r="AH375">
        <v>2</v>
      </c>
      <c r="AI375">
        <v>7</v>
      </c>
      <c r="AJ375">
        <v>0.22222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2</v>
      </c>
      <c r="AQ375">
        <v>0</v>
      </c>
      <c r="AR375">
        <v>2</v>
      </c>
      <c r="AS375">
        <v>6</v>
      </c>
      <c r="AT375">
        <v>0.25</v>
      </c>
      <c r="AU375">
        <v>4</v>
      </c>
      <c r="AV375">
        <v>3</v>
      </c>
      <c r="AW375">
        <v>12</v>
      </c>
      <c r="AX375">
        <v>4</v>
      </c>
      <c r="AY375">
        <v>11</v>
      </c>
      <c r="AZ375">
        <v>5</v>
      </c>
      <c r="BA375" t="s">
        <v>15235</v>
      </c>
      <c r="BB375" t="s">
        <v>15236</v>
      </c>
      <c r="BC375">
        <v>0.251</v>
      </c>
      <c r="BD375" t="s">
        <v>65</v>
      </c>
      <c r="BE375">
        <v>23</v>
      </c>
      <c r="BF375">
        <v>9</v>
      </c>
      <c r="BG375" t="s">
        <v>15237</v>
      </c>
      <c r="BH375" t="s">
        <v>15238</v>
      </c>
      <c r="BI375" t="s">
        <v>15239</v>
      </c>
      <c r="BJ375">
        <v>0.11423999999999999</v>
      </c>
      <c r="BK375">
        <v>1</v>
      </c>
      <c r="BL375" t="s">
        <v>69</v>
      </c>
      <c r="BM375">
        <v>1.6819999999999999</v>
      </c>
      <c r="BN375">
        <v>1.4950000000000001</v>
      </c>
    </row>
    <row r="376" spans="2:66">
      <c r="B376">
        <v>601</v>
      </c>
      <c r="C376">
        <v>434</v>
      </c>
      <c r="D376">
        <v>0</v>
      </c>
      <c r="E376">
        <v>4</v>
      </c>
      <c r="F376">
        <v>2</v>
      </c>
      <c r="J376">
        <v>0</v>
      </c>
      <c r="K376">
        <v>0</v>
      </c>
      <c r="L376">
        <v>0</v>
      </c>
      <c r="M376" t="s">
        <v>25022</v>
      </c>
      <c r="N376">
        <v>2603</v>
      </c>
      <c r="O376" t="s">
        <v>15240</v>
      </c>
      <c r="P376" t="s">
        <v>62</v>
      </c>
      <c r="Q376">
        <v>2584038</v>
      </c>
      <c r="R376">
        <v>2585327</v>
      </c>
      <c r="S376" t="s">
        <v>2641</v>
      </c>
      <c r="T376">
        <v>430</v>
      </c>
      <c r="U376" t="s">
        <v>265</v>
      </c>
      <c r="V376">
        <v>43</v>
      </c>
      <c r="W376" t="str">
        <f>HYPERLINK("Gene2603-zp_tree_all.dnd", "Gene2603-tree")</f>
        <v>Gene2603-tree</v>
      </c>
      <c r="X376">
        <v>13</v>
      </c>
      <c r="Y376">
        <v>2</v>
      </c>
      <c r="Z376">
        <v>13</v>
      </c>
      <c r="AA376">
        <v>2</v>
      </c>
      <c r="AB376">
        <v>0.13333</v>
      </c>
      <c r="AC376" t="s">
        <v>507</v>
      </c>
      <c r="AD376" t="s">
        <v>81</v>
      </c>
      <c r="AE376" t="s">
        <v>62</v>
      </c>
      <c r="AF376" t="s">
        <v>62</v>
      </c>
      <c r="AG376">
        <v>0</v>
      </c>
      <c r="AH376">
        <v>0</v>
      </c>
      <c r="AI376">
        <v>4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4</v>
      </c>
      <c r="AT376">
        <v>0</v>
      </c>
      <c r="AU376">
        <v>13</v>
      </c>
      <c r="AV376">
        <v>10</v>
      </c>
      <c r="AW376">
        <v>48</v>
      </c>
      <c r="AX376">
        <v>5</v>
      </c>
      <c r="AY376">
        <v>18</v>
      </c>
      <c r="AZ376">
        <v>0</v>
      </c>
      <c r="BA376" t="s">
        <v>15241</v>
      </c>
      <c r="BB376" t="s">
        <v>193</v>
      </c>
      <c r="BC376">
        <v>0.43</v>
      </c>
      <c r="BD376" t="s">
        <v>65</v>
      </c>
      <c r="BE376">
        <v>66</v>
      </c>
      <c r="BF376">
        <v>5</v>
      </c>
      <c r="BG376" t="s">
        <v>15242</v>
      </c>
      <c r="BH376" t="s">
        <v>15243</v>
      </c>
      <c r="BI376" t="s">
        <v>15244</v>
      </c>
      <c r="BJ376">
        <v>2.171E-2</v>
      </c>
      <c r="BK376">
        <v>1</v>
      </c>
      <c r="BL376" t="s">
        <v>69</v>
      </c>
      <c r="BM376">
        <v>-0.67</v>
      </c>
      <c r="BN376">
        <v>-0.73299999999999998</v>
      </c>
    </row>
    <row r="377" spans="2:66">
      <c r="B377">
        <v>602</v>
      </c>
      <c r="C377">
        <v>103</v>
      </c>
      <c r="D377">
        <v>2</v>
      </c>
      <c r="E377">
        <v>15</v>
      </c>
      <c r="F377">
        <v>3</v>
      </c>
      <c r="J377">
        <v>0</v>
      </c>
      <c r="K377">
        <v>2</v>
      </c>
      <c r="L377">
        <v>0</v>
      </c>
      <c r="M377" t="s">
        <v>25022</v>
      </c>
      <c r="N377">
        <v>2604</v>
      </c>
      <c r="O377" t="s">
        <v>15245</v>
      </c>
      <c r="P377" t="s">
        <v>62</v>
      </c>
      <c r="Q377">
        <v>2585437</v>
      </c>
      <c r="R377">
        <v>2586042</v>
      </c>
      <c r="S377" t="s">
        <v>15246</v>
      </c>
      <c r="T377">
        <v>202</v>
      </c>
      <c r="U377" t="s">
        <v>59</v>
      </c>
      <c r="V377">
        <v>49</v>
      </c>
      <c r="W377" t="str">
        <f>HYPERLINK("Gene2604-zp_tree_all.dnd", "Gene2604-tree")</f>
        <v>Gene2604-tree</v>
      </c>
      <c r="X377">
        <v>12</v>
      </c>
      <c r="Y377">
        <v>4</v>
      </c>
      <c r="Z377">
        <v>12</v>
      </c>
      <c r="AA377">
        <v>4</v>
      </c>
      <c r="AB377">
        <v>0.25</v>
      </c>
      <c r="AC377" t="s">
        <v>109</v>
      </c>
      <c r="AD377" t="s">
        <v>61</v>
      </c>
      <c r="AE377" t="s">
        <v>62</v>
      </c>
      <c r="AF377" t="s">
        <v>62</v>
      </c>
      <c r="AG377">
        <v>1</v>
      </c>
      <c r="AH377">
        <v>2</v>
      </c>
      <c r="AI377">
        <v>6</v>
      </c>
      <c r="AJ377">
        <v>0.25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5</v>
      </c>
      <c r="AT377">
        <v>0</v>
      </c>
      <c r="AU377">
        <v>13</v>
      </c>
      <c r="AV377">
        <v>8</v>
      </c>
      <c r="AW377">
        <v>22</v>
      </c>
      <c r="AX377">
        <v>5</v>
      </c>
      <c r="AY377">
        <v>22</v>
      </c>
      <c r="AZ377">
        <v>3</v>
      </c>
      <c r="BA377" t="s">
        <v>15247</v>
      </c>
      <c r="BB377" t="s">
        <v>15248</v>
      </c>
      <c r="BC377">
        <v>0.35099999999999998</v>
      </c>
      <c r="BD377" t="s">
        <v>65</v>
      </c>
      <c r="BE377">
        <v>44</v>
      </c>
      <c r="BF377">
        <v>8</v>
      </c>
      <c r="BG377" t="s">
        <v>15249</v>
      </c>
      <c r="BH377" t="s">
        <v>15250</v>
      </c>
      <c r="BI377" t="s">
        <v>15251</v>
      </c>
      <c r="BJ377">
        <v>4.6120000000000001E-2</v>
      </c>
      <c r="BK377">
        <v>1</v>
      </c>
      <c r="BL377" t="s">
        <v>69</v>
      </c>
      <c r="BM377">
        <v>-1.6279999999999999</v>
      </c>
      <c r="BN377">
        <v>-1.012</v>
      </c>
    </row>
    <row r="378" spans="2:66">
      <c r="B378">
        <v>603</v>
      </c>
      <c r="C378">
        <v>96</v>
      </c>
      <c r="D378">
        <v>0</v>
      </c>
      <c r="E378">
        <v>3</v>
      </c>
      <c r="F378">
        <v>2</v>
      </c>
      <c r="J378">
        <v>0</v>
      </c>
      <c r="K378">
        <v>2</v>
      </c>
      <c r="L378">
        <v>0</v>
      </c>
      <c r="M378" t="s">
        <v>25022</v>
      </c>
      <c r="N378">
        <v>2605</v>
      </c>
      <c r="O378" t="s">
        <v>15252</v>
      </c>
      <c r="P378" t="s">
        <v>62</v>
      </c>
      <c r="Q378">
        <v>2586224</v>
      </c>
      <c r="R378">
        <v>2586703</v>
      </c>
      <c r="S378" t="s">
        <v>13626</v>
      </c>
      <c r="T378">
        <v>160</v>
      </c>
      <c r="U378" t="s">
        <v>108</v>
      </c>
      <c r="V378">
        <v>44</v>
      </c>
      <c r="W378" t="str">
        <f>HYPERLINK("Gene2605-zp_tree_all.dnd", "Gene2605-tree")</f>
        <v>Gene2605-tree</v>
      </c>
      <c r="X378">
        <v>11</v>
      </c>
      <c r="Y378">
        <v>1</v>
      </c>
      <c r="Z378">
        <v>11</v>
      </c>
      <c r="AA378">
        <v>1</v>
      </c>
      <c r="AB378">
        <v>8.3330000000000001E-2</v>
      </c>
      <c r="AC378" t="s">
        <v>73</v>
      </c>
      <c r="AD378" t="s">
        <v>175</v>
      </c>
      <c r="AE378" t="s">
        <v>62</v>
      </c>
      <c r="AF378" t="s">
        <v>62</v>
      </c>
      <c r="AG378">
        <v>1</v>
      </c>
      <c r="AH378">
        <v>2</v>
      </c>
      <c r="AI378">
        <v>1</v>
      </c>
      <c r="AJ378">
        <v>0.66666999999999998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</v>
      </c>
      <c r="AT378">
        <v>0</v>
      </c>
      <c r="AU378">
        <v>8</v>
      </c>
      <c r="AV378">
        <v>5</v>
      </c>
      <c r="AW378">
        <v>21</v>
      </c>
      <c r="AX378">
        <v>2</v>
      </c>
      <c r="AY378">
        <v>7</v>
      </c>
      <c r="AZ378">
        <v>1</v>
      </c>
      <c r="BA378" t="s">
        <v>15253</v>
      </c>
      <c r="BB378" t="s">
        <v>15254</v>
      </c>
      <c r="BC378">
        <v>0.13400000000000001</v>
      </c>
      <c r="BD378" t="s">
        <v>65</v>
      </c>
      <c r="BE378">
        <v>28</v>
      </c>
      <c r="BF378">
        <v>3</v>
      </c>
      <c r="BG378" t="s">
        <v>15255</v>
      </c>
      <c r="BH378" t="s">
        <v>15256</v>
      </c>
      <c r="BI378" t="s">
        <v>15257</v>
      </c>
      <c r="BJ378">
        <v>3.5119999999999998E-2</v>
      </c>
      <c r="BK378">
        <v>1</v>
      </c>
      <c r="BL378" t="s">
        <v>69</v>
      </c>
      <c r="BM378">
        <v>-0.96199999999999997</v>
      </c>
      <c r="BN378">
        <v>-1.7789999999999999</v>
      </c>
    </row>
    <row r="379" spans="2:66">
      <c r="B379">
        <v>604</v>
      </c>
      <c r="C379">
        <v>139</v>
      </c>
      <c r="D379">
        <v>0</v>
      </c>
      <c r="E379">
        <v>21</v>
      </c>
      <c r="F379">
        <v>5</v>
      </c>
      <c r="J379">
        <v>0</v>
      </c>
      <c r="K379">
        <v>0</v>
      </c>
      <c r="L379">
        <v>0</v>
      </c>
      <c r="M379" t="s">
        <v>25022</v>
      </c>
      <c r="N379">
        <v>2610</v>
      </c>
      <c r="O379" t="s">
        <v>15277</v>
      </c>
      <c r="P379" t="s">
        <v>62</v>
      </c>
      <c r="Q379">
        <v>2590285</v>
      </c>
      <c r="R379">
        <v>2590671</v>
      </c>
      <c r="S379" t="s">
        <v>15278</v>
      </c>
      <c r="T379">
        <v>129</v>
      </c>
      <c r="U379" t="s">
        <v>108</v>
      </c>
      <c r="V379">
        <v>44</v>
      </c>
      <c r="W379" t="str">
        <f>HYPERLINK("Gene2610-zp_tree_all.dnd", "Gene2610-tree")</f>
        <v>Gene2610-tree</v>
      </c>
      <c r="X379">
        <v>9</v>
      </c>
      <c r="Y379">
        <v>2</v>
      </c>
      <c r="Z379">
        <v>9</v>
      </c>
      <c r="AA379">
        <v>2</v>
      </c>
      <c r="AB379">
        <v>0.18182000000000001</v>
      </c>
      <c r="AC379" t="s">
        <v>135</v>
      </c>
      <c r="AD379" t="s">
        <v>81</v>
      </c>
      <c r="AE379" t="s">
        <v>62</v>
      </c>
      <c r="AF379" t="s">
        <v>62</v>
      </c>
      <c r="AG379">
        <v>0</v>
      </c>
      <c r="AH379">
        <v>0</v>
      </c>
      <c r="AI379">
        <v>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0</v>
      </c>
      <c r="AU379">
        <v>7</v>
      </c>
      <c r="AV379">
        <v>5</v>
      </c>
      <c r="AW379">
        <v>8</v>
      </c>
      <c r="AX379">
        <v>2</v>
      </c>
      <c r="AY379">
        <v>6</v>
      </c>
      <c r="AZ379">
        <v>1</v>
      </c>
      <c r="BA379" t="s">
        <v>15279</v>
      </c>
      <c r="BB379" t="s">
        <v>15280</v>
      </c>
      <c r="BC379">
        <v>0.185</v>
      </c>
      <c r="BD379" t="s">
        <v>65</v>
      </c>
      <c r="BE379">
        <v>14</v>
      </c>
      <c r="BF379">
        <v>3</v>
      </c>
      <c r="BG379" t="s">
        <v>15281</v>
      </c>
      <c r="BH379" t="s">
        <v>15282</v>
      </c>
      <c r="BI379" t="s">
        <v>15283</v>
      </c>
      <c r="BJ379">
        <v>8.4360000000000004E-2</v>
      </c>
      <c r="BK379">
        <v>1</v>
      </c>
      <c r="BL379" t="s">
        <v>69</v>
      </c>
      <c r="BM379">
        <v>-0.20399999999999999</v>
      </c>
      <c r="BN379">
        <v>-0.33</v>
      </c>
    </row>
    <row r="380" spans="2:66">
      <c r="B380">
        <v>605</v>
      </c>
      <c r="C380">
        <v>263</v>
      </c>
      <c r="D380">
        <v>0</v>
      </c>
      <c r="E380">
        <v>14</v>
      </c>
      <c r="F380">
        <v>2</v>
      </c>
      <c r="J380">
        <v>0</v>
      </c>
      <c r="K380">
        <v>0</v>
      </c>
      <c r="L380">
        <v>0</v>
      </c>
      <c r="M380" t="s">
        <v>25022</v>
      </c>
      <c r="N380">
        <v>2612</v>
      </c>
      <c r="O380" t="s">
        <v>15291</v>
      </c>
      <c r="P380" t="s">
        <v>62</v>
      </c>
      <c r="Q380">
        <v>2591431</v>
      </c>
      <c r="R380">
        <v>2591865</v>
      </c>
      <c r="S380" t="s">
        <v>15292</v>
      </c>
      <c r="T380">
        <v>145</v>
      </c>
      <c r="U380" t="s">
        <v>108</v>
      </c>
      <c r="V380">
        <v>44</v>
      </c>
      <c r="W380" t="str">
        <f>HYPERLINK("Gene2612-zp_tree_all.dnd", "Gene2612-tree")</f>
        <v>Gene2612-tree</v>
      </c>
      <c r="X380">
        <v>9</v>
      </c>
      <c r="Y380">
        <v>1</v>
      </c>
      <c r="Z380">
        <v>9</v>
      </c>
      <c r="AA380">
        <v>1</v>
      </c>
      <c r="AB380">
        <v>0.1</v>
      </c>
      <c r="AC380" t="s">
        <v>135</v>
      </c>
      <c r="AD380" t="s">
        <v>175</v>
      </c>
      <c r="AE380" t="s">
        <v>62</v>
      </c>
      <c r="AF380" t="s">
        <v>62</v>
      </c>
      <c r="AG380">
        <v>0</v>
      </c>
      <c r="AH380">
        <v>0</v>
      </c>
      <c r="AI380">
        <v>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6</v>
      </c>
      <c r="AV380">
        <v>5</v>
      </c>
      <c r="AW380">
        <v>9</v>
      </c>
      <c r="AX380">
        <v>1</v>
      </c>
      <c r="AY380">
        <v>7</v>
      </c>
      <c r="AZ380">
        <v>1</v>
      </c>
      <c r="BA380" t="s">
        <v>15293</v>
      </c>
      <c r="BB380" t="s">
        <v>15294</v>
      </c>
      <c r="BC380">
        <v>8.6999999999999994E-2</v>
      </c>
      <c r="BD380" t="s">
        <v>65</v>
      </c>
      <c r="BE380">
        <v>16</v>
      </c>
      <c r="BF380">
        <v>2</v>
      </c>
      <c r="BG380" t="s">
        <v>15295</v>
      </c>
      <c r="BH380" t="s">
        <v>15296</v>
      </c>
      <c r="BI380" t="s">
        <v>15297</v>
      </c>
      <c r="BJ380">
        <v>5.0380000000000001E-2</v>
      </c>
      <c r="BK380">
        <v>1</v>
      </c>
      <c r="BL380" t="s">
        <v>69</v>
      </c>
      <c r="BM380">
        <v>-0.153</v>
      </c>
      <c r="BN380">
        <v>-1.452</v>
      </c>
    </row>
    <row r="381" spans="2:66">
      <c r="B381">
        <v>606</v>
      </c>
      <c r="C381">
        <v>238</v>
      </c>
      <c r="D381">
        <v>0</v>
      </c>
      <c r="E381">
        <v>19</v>
      </c>
      <c r="F381">
        <v>3</v>
      </c>
      <c r="J381">
        <v>0</v>
      </c>
      <c r="K381">
        <v>0</v>
      </c>
      <c r="L381">
        <v>0</v>
      </c>
      <c r="M381" t="s">
        <v>25022</v>
      </c>
      <c r="N381">
        <v>2613</v>
      </c>
      <c r="O381" t="s">
        <v>15298</v>
      </c>
      <c r="P381" t="s">
        <v>62</v>
      </c>
      <c r="Q381">
        <v>2592006</v>
      </c>
      <c r="R381">
        <v>2592884</v>
      </c>
      <c r="S381" t="s">
        <v>3095</v>
      </c>
      <c r="T381">
        <v>293</v>
      </c>
      <c r="U381" t="s">
        <v>108</v>
      </c>
      <c r="V381">
        <v>44</v>
      </c>
      <c r="W381" t="str">
        <f>HYPERLINK("Gene2613-zp_tree_all.dnd", "Gene2613-tree")</f>
        <v>Gene2613-tree</v>
      </c>
      <c r="X381">
        <v>15</v>
      </c>
      <c r="Y381">
        <v>1</v>
      </c>
      <c r="Z381">
        <v>15</v>
      </c>
      <c r="AA381">
        <v>1</v>
      </c>
      <c r="AB381">
        <v>6.25E-2</v>
      </c>
      <c r="AC381" t="s">
        <v>100</v>
      </c>
      <c r="AD381" t="s">
        <v>175</v>
      </c>
      <c r="AE381" t="s">
        <v>62</v>
      </c>
      <c r="AF381" t="s">
        <v>62</v>
      </c>
      <c r="AG381">
        <v>0</v>
      </c>
      <c r="AH381">
        <v>0</v>
      </c>
      <c r="AI381">
        <v>10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9</v>
      </c>
      <c r="AT381">
        <v>0</v>
      </c>
      <c r="AU381">
        <v>11</v>
      </c>
      <c r="AV381">
        <v>8</v>
      </c>
      <c r="AW381">
        <v>39</v>
      </c>
      <c r="AX381">
        <v>11</v>
      </c>
      <c r="AY381">
        <v>10</v>
      </c>
      <c r="AZ381">
        <v>1</v>
      </c>
      <c r="BA381" t="s">
        <v>15299</v>
      </c>
      <c r="BB381" t="s">
        <v>15300</v>
      </c>
      <c r="BC381">
        <v>0.161</v>
      </c>
      <c r="BD381" t="s">
        <v>65</v>
      </c>
      <c r="BE381">
        <v>49</v>
      </c>
      <c r="BF381">
        <v>12</v>
      </c>
      <c r="BG381" t="s">
        <v>15301</v>
      </c>
      <c r="BH381" t="s">
        <v>15302</v>
      </c>
      <c r="BI381" t="s">
        <v>15303</v>
      </c>
      <c r="BJ381">
        <v>6.7820000000000005E-2</v>
      </c>
      <c r="BK381">
        <v>1</v>
      </c>
      <c r="BL381" t="s">
        <v>69</v>
      </c>
      <c r="BM381">
        <v>-1.39</v>
      </c>
      <c r="BN381">
        <v>0.62</v>
      </c>
    </row>
    <row r="382" spans="2:66">
      <c r="B382">
        <v>609</v>
      </c>
      <c r="C382">
        <v>207</v>
      </c>
      <c r="D382">
        <v>0</v>
      </c>
      <c r="E382">
        <v>22</v>
      </c>
      <c r="F382">
        <v>3</v>
      </c>
      <c r="J382">
        <v>0</v>
      </c>
      <c r="K382">
        <v>3</v>
      </c>
      <c r="L382">
        <v>0</v>
      </c>
      <c r="M382" t="s">
        <v>25022</v>
      </c>
      <c r="N382">
        <v>2615</v>
      </c>
      <c r="O382" t="s">
        <v>15311</v>
      </c>
      <c r="P382" t="s">
        <v>62</v>
      </c>
      <c r="Q382">
        <v>2593284</v>
      </c>
      <c r="R382">
        <v>2594174</v>
      </c>
      <c r="S382" t="s">
        <v>15312</v>
      </c>
      <c r="T382">
        <v>297</v>
      </c>
      <c r="U382" t="s">
        <v>15313</v>
      </c>
      <c r="V382">
        <v>43</v>
      </c>
      <c r="W382" t="str">
        <f>HYPERLINK("Gene2615-zp_tree_all.dnd", "Gene2615-tree")</f>
        <v>Gene2615-tree</v>
      </c>
      <c r="X382">
        <v>28</v>
      </c>
      <c r="Y382">
        <v>5</v>
      </c>
      <c r="Z382">
        <v>6</v>
      </c>
      <c r="AA382">
        <v>5</v>
      </c>
      <c r="AB382">
        <v>0.45455000000000001</v>
      </c>
      <c r="AC382" t="s">
        <v>5497</v>
      </c>
      <c r="AD382" t="s">
        <v>199</v>
      </c>
      <c r="AE382" t="s">
        <v>62</v>
      </c>
      <c r="AF382" t="s">
        <v>62</v>
      </c>
      <c r="AG382">
        <v>1</v>
      </c>
      <c r="AH382">
        <v>3</v>
      </c>
      <c r="AI382">
        <v>7</v>
      </c>
      <c r="AJ382">
        <v>0.3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3</v>
      </c>
      <c r="AQ382">
        <v>0</v>
      </c>
      <c r="AR382">
        <v>3</v>
      </c>
      <c r="AS382">
        <v>7</v>
      </c>
      <c r="AT382">
        <v>0.3</v>
      </c>
      <c r="AU382">
        <v>9</v>
      </c>
      <c r="AV382">
        <v>6</v>
      </c>
      <c r="AW382">
        <v>55</v>
      </c>
      <c r="AX382">
        <v>9</v>
      </c>
      <c r="AY382">
        <v>11</v>
      </c>
      <c r="AZ382">
        <v>1</v>
      </c>
      <c r="BA382" t="s">
        <v>15314</v>
      </c>
      <c r="BB382" t="s">
        <v>15315</v>
      </c>
      <c r="BC382">
        <v>0.17299999999999999</v>
      </c>
      <c r="BD382" t="s">
        <v>65</v>
      </c>
      <c r="BE382">
        <v>66</v>
      </c>
      <c r="BF382">
        <v>10</v>
      </c>
      <c r="BG382" t="s">
        <v>15316</v>
      </c>
      <c r="BH382" t="s">
        <v>15317</v>
      </c>
      <c r="BI382" t="s">
        <v>15318</v>
      </c>
      <c r="BJ382">
        <v>3.074E-2</v>
      </c>
      <c r="BK382">
        <v>1</v>
      </c>
      <c r="BL382" t="s">
        <v>69</v>
      </c>
      <c r="BM382">
        <v>-2.0009999999999999</v>
      </c>
      <c r="BN382">
        <v>-4.9539999999999997</v>
      </c>
    </row>
    <row r="383" spans="2:66">
      <c r="B383">
        <v>610</v>
      </c>
      <c r="C383">
        <v>21</v>
      </c>
      <c r="D383">
        <v>0</v>
      </c>
      <c r="E383">
        <v>4</v>
      </c>
      <c r="F383">
        <v>0</v>
      </c>
      <c r="J383">
        <v>0</v>
      </c>
      <c r="K383">
        <v>2</v>
      </c>
      <c r="L383">
        <v>0</v>
      </c>
      <c r="M383" t="s">
        <v>25022</v>
      </c>
      <c r="N383">
        <v>2616</v>
      </c>
      <c r="O383" t="s">
        <v>15319</v>
      </c>
      <c r="P383" t="s">
        <v>62</v>
      </c>
      <c r="Q383">
        <v>2594187</v>
      </c>
      <c r="R383">
        <v>2595500</v>
      </c>
      <c r="S383" t="s">
        <v>3170</v>
      </c>
      <c r="T383">
        <v>438</v>
      </c>
      <c r="U383" t="s">
        <v>3859</v>
      </c>
      <c r="V383">
        <v>42</v>
      </c>
      <c r="W383" t="str">
        <f>HYPERLINK("Gene2616-zp_tree_all.dnd", "Gene2616-tree")</f>
        <v>Gene2616-tree</v>
      </c>
      <c r="X383">
        <v>7</v>
      </c>
      <c r="Y383">
        <v>7</v>
      </c>
      <c r="Z383">
        <v>7</v>
      </c>
      <c r="AA383">
        <v>7</v>
      </c>
      <c r="AB383">
        <v>0.5</v>
      </c>
      <c r="AC383" t="s">
        <v>152</v>
      </c>
      <c r="AD383" t="s">
        <v>152</v>
      </c>
      <c r="AE383" t="s">
        <v>62</v>
      </c>
      <c r="AF383" t="s">
        <v>62</v>
      </c>
      <c r="AG383">
        <v>1</v>
      </c>
      <c r="AH383">
        <v>2</v>
      </c>
      <c r="AI383">
        <v>9</v>
      </c>
      <c r="AJ383">
        <v>0.18182000000000001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2</v>
      </c>
      <c r="AQ383">
        <v>0</v>
      </c>
      <c r="AR383">
        <v>2</v>
      </c>
      <c r="AS383">
        <v>7</v>
      </c>
      <c r="AT383">
        <v>0.22222</v>
      </c>
      <c r="AU383">
        <v>14</v>
      </c>
      <c r="AV383">
        <v>9</v>
      </c>
      <c r="AW383">
        <v>54</v>
      </c>
      <c r="AX383">
        <v>9</v>
      </c>
      <c r="AY383">
        <v>10</v>
      </c>
      <c r="AZ383">
        <v>2</v>
      </c>
      <c r="BA383" t="s">
        <v>15320</v>
      </c>
      <c r="BB383" t="s">
        <v>15321</v>
      </c>
      <c r="BC383">
        <v>0.13100000000000001</v>
      </c>
      <c r="BD383" t="s">
        <v>65</v>
      </c>
      <c r="BE383">
        <v>64</v>
      </c>
      <c r="BF383">
        <v>11</v>
      </c>
      <c r="BG383" t="s">
        <v>15322</v>
      </c>
      <c r="BH383" t="s">
        <v>15323</v>
      </c>
      <c r="BI383" t="s">
        <v>15324</v>
      </c>
      <c r="BJ383">
        <v>5.4940000000000003E-2</v>
      </c>
      <c r="BK383">
        <v>1</v>
      </c>
      <c r="BL383" t="s">
        <v>69</v>
      </c>
      <c r="BM383">
        <v>-1.3149999999999999</v>
      </c>
      <c r="BN383">
        <v>-2.431</v>
      </c>
    </row>
    <row r="384" spans="2:66">
      <c r="B384">
        <v>611</v>
      </c>
      <c r="C384">
        <v>155</v>
      </c>
      <c r="D384">
        <v>0</v>
      </c>
      <c r="E384">
        <v>2</v>
      </c>
      <c r="F384">
        <v>1</v>
      </c>
      <c r="J384">
        <v>0</v>
      </c>
      <c r="K384">
        <v>10</v>
      </c>
      <c r="L384">
        <v>2</v>
      </c>
      <c r="M384" t="s">
        <v>25022</v>
      </c>
      <c r="N384">
        <v>2619</v>
      </c>
      <c r="O384" t="s">
        <v>15340</v>
      </c>
      <c r="P384" t="s">
        <v>62</v>
      </c>
      <c r="Q384">
        <v>2597505</v>
      </c>
      <c r="R384">
        <v>2598623</v>
      </c>
      <c r="S384" t="s">
        <v>15341</v>
      </c>
      <c r="T384">
        <v>373</v>
      </c>
      <c r="U384" t="s">
        <v>3859</v>
      </c>
      <c r="V384">
        <v>42</v>
      </c>
      <c r="W384" t="str">
        <f>HYPERLINK("Gene2619-zp_tree_all.dnd", "Gene2619-tree")</f>
        <v>Gene2619-tree</v>
      </c>
      <c r="X384">
        <v>5</v>
      </c>
      <c r="Y384">
        <v>11</v>
      </c>
      <c r="Z384">
        <v>5</v>
      </c>
      <c r="AA384">
        <v>11</v>
      </c>
      <c r="AB384">
        <v>0.6875</v>
      </c>
      <c r="AC384" t="s">
        <v>199</v>
      </c>
      <c r="AD384" t="s">
        <v>73</v>
      </c>
      <c r="AE384">
        <v>137353515.63499999</v>
      </c>
      <c r="AF384" t="s">
        <v>267</v>
      </c>
      <c r="AG384">
        <v>5</v>
      </c>
      <c r="AH384">
        <v>12</v>
      </c>
      <c r="AI384">
        <v>13</v>
      </c>
      <c r="AJ384">
        <v>0.48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4</v>
      </c>
      <c r="AQ384">
        <v>4</v>
      </c>
      <c r="AR384">
        <v>8</v>
      </c>
      <c r="AS384">
        <v>10</v>
      </c>
      <c r="AT384">
        <v>0.44444</v>
      </c>
      <c r="AU384">
        <v>14</v>
      </c>
      <c r="AV384">
        <v>12</v>
      </c>
      <c r="AW384">
        <v>31</v>
      </c>
      <c r="AX384">
        <v>17</v>
      </c>
      <c r="AY384">
        <v>34</v>
      </c>
      <c r="AZ384">
        <v>8</v>
      </c>
      <c r="BA384" t="s">
        <v>15342</v>
      </c>
      <c r="BB384" t="s">
        <v>15343</v>
      </c>
      <c r="BC384">
        <v>0.92100000000000004</v>
      </c>
      <c r="BD384" t="s">
        <v>65</v>
      </c>
      <c r="BE384">
        <v>65</v>
      </c>
      <c r="BF384">
        <v>25</v>
      </c>
      <c r="BG384" t="s">
        <v>15344</v>
      </c>
      <c r="BH384" t="s">
        <v>15345</v>
      </c>
      <c r="BI384" t="s">
        <v>15346</v>
      </c>
      <c r="BJ384">
        <v>8.9279999999999998E-2</v>
      </c>
      <c r="BK384">
        <v>1</v>
      </c>
      <c r="BL384" t="s">
        <v>69</v>
      </c>
      <c r="BM384">
        <v>-0.23899999999999999</v>
      </c>
      <c r="BN384">
        <v>-1.06</v>
      </c>
    </row>
    <row r="385" spans="2:66">
      <c r="B385">
        <v>612</v>
      </c>
      <c r="C385">
        <v>88</v>
      </c>
      <c r="D385">
        <v>0</v>
      </c>
      <c r="E385">
        <v>2</v>
      </c>
      <c r="F385">
        <v>0</v>
      </c>
      <c r="J385">
        <v>0</v>
      </c>
      <c r="K385">
        <v>0</v>
      </c>
      <c r="L385">
        <v>0</v>
      </c>
      <c r="M385" t="s">
        <v>25022</v>
      </c>
      <c r="N385">
        <v>2620</v>
      </c>
      <c r="O385" t="s">
        <v>15347</v>
      </c>
      <c r="P385" t="s">
        <v>62</v>
      </c>
      <c r="Q385">
        <v>2598619</v>
      </c>
      <c r="R385">
        <v>2599266</v>
      </c>
      <c r="S385" t="s">
        <v>15348</v>
      </c>
      <c r="T385">
        <v>216</v>
      </c>
      <c r="U385" t="s">
        <v>3143</v>
      </c>
      <c r="V385">
        <v>41</v>
      </c>
      <c r="W385" t="str">
        <f>HYPERLINK("Gene2620-zp_tree_all.dnd", "Gene2620-tree")</f>
        <v>Gene2620-tree</v>
      </c>
      <c r="X385">
        <v>27</v>
      </c>
      <c r="Y385">
        <v>4</v>
      </c>
      <c r="Z385">
        <v>9</v>
      </c>
      <c r="AA385">
        <v>4</v>
      </c>
      <c r="AB385">
        <v>0.30769000000000002</v>
      </c>
      <c r="AC385" t="s">
        <v>2108</v>
      </c>
      <c r="AD385" t="s">
        <v>61</v>
      </c>
      <c r="AE385" t="s">
        <v>62</v>
      </c>
      <c r="AF385" t="s">
        <v>62</v>
      </c>
      <c r="AG385">
        <v>0</v>
      </c>
      <c r="AH385">
        <v>0</v>
      </c>
      <c r="AI385">
        <v>7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4</v>
      </c>
      <c r="AT385">
        <v>0</v>
      </c>
      <c r="AU385">
        <v>11</v>
      </c>
      <c r="AV385">
        <v>6</v>
      </c>
      <c r="AW385">
        <v>18</v>
      </c>
      <c r="AX385">
        <v>4</v>
      </c>
      <c r="AY385">
        <v>10</v>
      </c>
      <c r="AZ385">
        <v>3</v>
      </c>
      <c r="BA385" t="s">
        <v>15349</v>
      </c>
      <c r="BB385" t="s">
        <v>15350</v>
      </c>
      <c r="BC385">
        <v>0.27700000000000002</v>
      </c>
      <c r="BD385" t="s">
        <v>65</v>
      </c>
      <c r="BE385">
        <v>28</v>
      </c>
      <c r="BF385">
        <v>7</v>
      </c>
      <c r="BG385" t="s">
        <v>15351</v>
      </c>
      <c r="BH385" t="s">
        <v>15352</v>
      </c>
      <c r="BI385" t="s">
        <v>15353</v>
      </c>
      <c r="BJ385">
        <v>8.7900000000000006E-2</v>
      </c>
      <c r="BK385">
        <v>1</v>
      </c>
      <c r="BL385" t="s">
        <v>69</v>
      </c>
      <c r="BM385">
        <v>-0.92300000000000004</v>
      </c>
      <c r="BN385">
        <v>-1.45</v>
      </c>
    </row>
    <row r="386" spans="2:66">
      <c r="B386">
        <v>613</v>
      </c>
      <c r="C386">
        <v>342</v>
      </c>
      <c r="D386">
        <v>0</v>
      </c>
      <c r="E386">
        <v>3</v>
      </c>
      <c r="F386">
        <v>0</v>
      </c>
      <c r="J386">
        <v>0</v>
      </c>
      <c r="K386">
        <v>0</v>
      </c>
      <c r="L386">
        <v>0</v>
      </c>
      <c r="M386" t="s">
        <v>25022</v>
      </c>
      <c r="N386">
        <v>2621</v>
      </c>
      <c r="O386" t="s">
        <v>15354</v>
      </c>
      <c r="P386" t="s">
        <v>62</v>
      </c>
      <c r="Q386">
        <v>2599526</v>
      </c>
      <c r="R386">
        <v>2599885</v>
      </c>
      <c r="S386" t="s">
        <v>15355</v>
      </c>
      <c r="T386">
        <v>120</v>
      </c>
      <c r="U386" t="s">
        <v>3143</v>
      </c>
      <c r="V386">
        <v>41</v>
      </c>
      <c r="W386" t="str">
        <f>HYPERLINK("Gene2621-zp_tree_all.dnd", "Gene2621-tree")</f>
        <v>Gene2621-tree</v>
      </c>
      <c r="X386">
        <v>7</v>
      </c>
      <c r="Y386">
        <v>1</v>
      </c>
      <c r="Z386">
        <v>7</v>
      </c>
      <c r="AA386">
        <v>1</v>
      </c>
      <c r="AB386">
        <v>0.125</v>
      </c>
      <c r="AC386" t="s">
        <v>152</v>
      </c>
      <c r="AD386" t="s">
        <v>175</v>
      </c>
      <c r="AE386" t="s">
        <v>62</v>
      </c>
      <c r="AF386" t="s">
        <v>62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5</v>
      </c>
      <c r="AV386">
        <v>3</v>
      </c>
      <c r="AW386">
        <v>7</v>
      </c>
      <c r="AX386">
        <v>1</v>
      </c>
      <c r="AY386">
        <v>3</v>
      </c>
      <c r="AZ386">
        <v>0</v>
      </c>
      <c r="BA386" t="s">
        <v>15356</v>
      </c>
      <c r="BB386" t="s">
        <v>193</v>
      </c>
      <c r="BC386">
        <v>0.51500000000000001</v>
      </c>
      <c r="BD386" t="s">
        <v>65</v>
      </c>
      <c r="BE386">
        <v>10</v>
      </c>
      <c r="BF386">
        <v>1</v>
      </c>
      <c r="BG386" t="s">
        <v>15357</v>
      </c>
      <c r="BH386" t="s">
        <v>15358</v>
      </c>
      <c r="BI386" t="s">
        <v>11604</v>
      </c>
      <c r="BJ386">
        <v>2.1590000000000002E-2</v>
      </c>
      <c r="BK386">
        <v>1</v>
      </c>
      <c r="BL386" t="s">
        <v>69</v>
      </c>
      <c r="BM386">
        <v>-0.64200000000000002</v>
      </c>
      <c r="BN386">
        <v>-0.19900000000000001</v>
      </c>
    </row>
    <row r="387" spans="2:66">
      <c r="B387">
        <v>614</v>
      </c>
      <c r="C387">
        <v>6</v>
      </c>
      <c r="D387">
        <v>0</v>
      </c>
      <c r="E387">
        <v>16</v>
      </c>
      <c r="F387">
        <v>0</v>
      </c>
      <c r="J387">
        <v>0</v>
      </c>
      <c r="K387">
        <v>0</v>
      </c>
      <c r="L387">
        <v>0</v>
      </c>
      <c r="M387" t="s">
        <v>25022</v>
      </c>
      <c r="N387">
        <v>2622</v>
      </c>
      <c r="O387" t="s">
        <v>15359</v>
      </c>
      <c r="P387" t="s">
        <v>62</v>
      </c>
      <c r="Q387">
        <v>2600217</v>
      </c>
      <c r="R387">
        <v>2601329</v>
      </c>
      <c r="S387" t="s">
        <v>15360</v>
      </c>
      <c r="T387">
        <v>371</v>
      </c>
      <c r="U387" t="s">
        <v>15361</v>
      </c>
      <c r="V387">
        <v>48</v>
      </c>
      <c r="W387" t="str">
        <f>HYPERLINK("Gene2622-zp_tree_all.dnd", "Gene2622-tree")</f>
        <v>Gene2622-tree</v>
      </c>
      <c r="X387">
        <v>14</v>
      </c>
      <c r="Y387">
        <v>0</v>
      </c>
      <c r="Z387">
        <v>14</v>
      </c>
      <c r="AA387">
        <v>0</v>
      </c>
      <c r="AB387">
        <v>0</v>
      </c>
      <c r="AC387" t="s">
        <v>543</v>
      </c>
      <c r="AD387" t="s">
        <v>62</v>
      </c>
      <c r="AE387" t="s">
        <v>62</v>
      </c>
      <c r="AF387" t="s">
        <v>62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10</v>
      </c>
      <c r="AV387">
        <v>10</v>
      </c>
      <c r="AW387">
        <v>34</v>
      </c>
      <c r="AX387">
        <v>0</v>
      </c>
      <c r="AY387">
        <v>34</v>
      </c>
      <c r="AZ387">
        <v>1</v>
      </c>
      <c r="BA387" t="s">
        <v>193</v>
      </c>
      <c r="BB387" t="s">
        <v>15362</v>
      </c>
      <c r="BC387">
        <v>0.29499999999999998</v>
      </c>
      <c r="BD387" t="s">
        <v>65</v>
      </c>
      <c r="BE387">
        <v>68</v>
      </c>
      <c r="BF387">
        <v>1</v>
      </c>
      <c r="BG387" t="s">
        <v>15363</v>
      </c>
      <c r="BH387" t="s">
        <v>15364</v>
      </c>
      <c r="BI387" t="s">
        <v>15365</v>
      </c>
      <c r="BJ387">
        <v>4.3400000000000001E-3</v>
      </c>
      <c r="BK387">
        <v>1</v>
      </c>
      <c r="BL387" t="s">
        <v>69</v>
      </c>
      <c r="BM387">
        <v>-0.499</v>
      </c>
      <c r="BN387">
        <v>0.95099999999999996</v>
      </c>
    </row>
    <row r="388" spans="2:66">
      <c r="B388">
        <v>615</v>
      </c>
      <c r="C388">
        <v>95</v>
      </c>
      <c r="D388">
        <v>0</v>
      </c>
      <c r="E388">
        <v>0</v>
      </c>
      <c r="F388">
        <v>2</v>
      </c>
      <c r="J388">
        <v>0</v>
      </c>
      <c r="K388">
        <v>2</v>
      </c>
      <c r="L388">
        <v>0</v>
      </c>
      <c r="M388" t="s">
        <v>25022</v>
      </c>
      <c r="N388">
        <v>2623</v>
      </c>
      <c r="O388" t="s">
        <v>15366</v>
      </c>
      <c r="P388" t="s">
        <v>62</v>
      </c>
      <c r="Q388">
        <v>2601531</v>
      </c>
      <c r="R388">
        <v>2603339</v>
      </c>
      <c r="S388" t="s">
        <v>15367</v>
      </c>
      <c r="T388">
        <v>603</v>
      </c>
      <c r="U388" t="s">
        <v>465</v>
      </c>
      <c r="V388">
        <v>46</v>
      </c>
      <c r="W388" t="str">
        <f>HYPERLINK("Gene2623-zp_tree_all.dnd", "Gene2623-tree")</f>
        <v>Gene2623-tree</v>
      </c>
      <c r="X388">
        <v>6</v>
      </c>
      <c r="Y388">
        <v>11</v>
      </c>
      <c r="Z388">
        <v>6</v>
      </c>
      <c r="AA388">
        <v>11</v>
      </c>
      <c r="AB388">
        <v>0.64705999999999997</v>
      </c>
      <c r="AC388" t="s">
        <v>90</v>
      </c>
      <c r="AD388" t="s">
        <v>73</v>
      </c>
      <c r="AE388">
        <v>95384385.856999993</v>
      </c>
      <c r="AF388" t="s">
        <v>267</v>
      </c>
      <c r="AG388">
        <v>1</v>
      </c>
      <c r="AH388">
        <v>2</v>
      </c>
      <c r="AI388">
        <v>24</v>
      </c>
      <c r="AJ388">
        <v>7.6920000000000002E-2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2</v>
      </c>
      <c r="AQ388">
        <v>0</v>
      </c>
      <c r="AR388">
        <v>2</v>
      </c>
      <c r="AS388">
        <v>14</v>
      </c>
      <c r="AT388">
        <v>0.125</v>
      </c>
      <c r="AU388">
        <v>13</v>
      </c>
      <c r="AV388">
        <v>12</v>
      </c>
      <c r="AW388">
        <v>32</v>
      </c>
      <c r="AX388">
        <v>16</v>
      </c>
      <c r="AY388">
        <v>76</v>
      </c>
      <c r="AZ388">
        <v>11</v>
      </c>
      <c r="BA388" t="s">
        <v>15368</v>
      </c>
      <c r="BB388" t="s">
        <v>15369</v>
      </c>
      <c r="BC388">
        <v>0.626</v>
      </c>
      <c r="BD388" t="s">
        <v>65</v>
      </c>
      <c r="BE388">
        <v>108</v>
      </c>
      <c r="BF388">
        <v>27</v>
      </c>
      <c r="BG388" t="s">
        <v>15370</v>
      </c>
      <c r="BH388" t="s">
        <v>15371</v>
      </c>
      <c r="BI388" t="s">
        <v>15372</v>
      </c>
      <c r="BJ388">
        <v>5.3440000000000001E-2</v>
      </c>
      <c r="BK388">
        <v>1</v>
      </c>
      <c r="BL388" t="s">
        <v>69</v>
      </c>
      <c r="BM388">
        <v>-1.4339999999999999</v>
      </c>
      <c r="BN388">
        <v>-0.313</v>
      </c>
    </row>
    <row r="389" spans="2:66">
      <c r="B389">
        <v>618</v>
      </c>
      <c r="C389">
        <v>248</v>
      </c>
      <c r="D389">
        <v>0</v>
      </c>
      <c r="E389">
        <v>3</v>
      </c>
      <c r="F389">
        <v>0</v>
      </c>
      <c r="J389">
        <v>0</v>
      </c>
      <c r="K389">
        <v>0</v>
      </c>
      <c r="L389">
        <v>2</v>
      </c>
      <c r="M389" t="s">
        <v>25022</v>
      </c>
      <c r="N389">
        <v>2625</v>
      </c>
      <c r="O389" t="s">
        <v>15378</v>
      </c>
      <c r="P389" t="s">
        <v>62</v>
      </c>
      <c r="Q389">
        <v>2603376</v>
      </c>
      <c r="R389">
        <v>2603867</v>
      </c>
      <c r="S389" t="s">
        <v>116</v>
      </c>
      <c r="T389">
        <v>164</v>
      </c>
      <c r="U389" t="s">
        <v>59</v>
      </c>
      <c r="V389">
        <v>49</v>
      </c>
      <c r="W389" t="str">
        <f>HYPERLINK("Gene2625-zp_tree_all.dnd", "Gene2625-tree")</f>
        <v>Gene2625-tree</v>
      </c>
      <c r="X389">
        <v>13</v>
      </c>
      <c r="Y389">
        <v>4</v>
      </c>
      <c r="Z389">
        <v>13</v>
      </c>
      <c r="AA389">
        <v>4</v>
      </c>
      <c r="AB389">
        <v>0.23529</v>
      </c>
      <c r="AC389" t="s">
        <v>507</v>
      </c>
      <c r="AD389" t="s">
        <v>61</v>
      </c>
      <c r="AE389" t="s">
        <v>62</v>
      </c>
      <c r="AF389" t="s">
        <v>62</v>
      </c>
      <c r="AG389">
        <v>1</v>
      </c>
      <c r="AH389">
        <v>2</v>
      </c>
      <c r="AI389">
        <v>9</v>
      </c>
      <c r="AJ389">
        <v>0.18182000000000001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4</v>
      </c>
      <c r="AT389">
        <v>0</v>
      </c>
      <c r="AU389">
        <v>12</v>
      </c>
      <c r="AV389">
        <v>10</v>
      </c>
      <c r="AW389">
        <v>16</v>
      </c>
      <c r="AX389">
        <v>4</v>
      </c>
      <c r="AY389">
        <v>18</v>
      </c>
      <c r="AZ389">
        <v>7</v>
      </c>
      <c r="BA389" t="s">
        <v>15379</v>
      </c>
      <c r="BB389" t="s">
        <v>15380</v>
      </c>
      <c r="BC389">
        <v>0.38300000000000001</v>
      </c>
      <c r="BD389" t="s">
        <v>65</v>
      </c>
      <c r="BE389">
        <v>34</v>
      </c>
      <c r="BF389">
        <v>11</v>
      </c>
      <c r="BG389" t="s">
        <v>15381</v>
      </c>
      <c r="BH389" t="s">
        <v>15382</v>
      </c>
      <c r="BI389" t="s">
        <v>15383</v>
      </c>
      <c r="BJ389">
        <v>9.3549999999999994E-2</v>
      </c>
      <c r="BK389">
        <v>1</v>
      </c>
      <c r="BL389" t="s">
        <v>69</v>
      </c>
      <c r="BM389">
        <v>-1.194</v>
      </c>
      <c r="BN389">
        <v>-6.5000000000000002E-2</v>
      </c>
    </row>
    <row r="390" spans="2:66">
      <c r="B390">
        <v>620</v>
      </c>
      <c r="C390">
        <v>59</v>
      </c>
      <c r="D390">
        <v>0</v>
      </c>
      <c r="E390">
        <v>5</v>
      </c>
      <c r="F390">
        <v>0</v>
      </c>
      <c r="J390">
        <v>0</v>
      </c>
      <c r="K390">
        <v>0</v>
      </c>
      <c r="L390">
        <v>0</v>
      </c>
      <c r="M390" t="s">
        <v>25022</v>
      </c>
      <c r="N390">
        <v>2626</v>
      </c>
      <c r="O390" t="s">
        <v>15384</v>
      </c>
      <c r="P390" t="s">
        <v>62</v>
      </c>
      <c r="Q390">
        <v>2604124</v>
      </c>
      <c r="R390">
        <v>2604933</v>
      </c>
      <c r="S390" t="s">
        <v>15385</v>
      </c>
      <c r="T390">
        <v>270</v>
      </c>
      <c r="U390" t="s">
        <v>59</v>
      </c>
      <c r="V390">
        <v>49</v>
      </c>
      <c r="W390" t="str">
        <f>HYPERLINK("Gene2626-zp_tree_all.dnd", "Gene2626-tree")</f>
        <v>Gene2626-tree</v>
      </c>
      <c r="X390">
        <v>17</v>
      </c>
      <c r="Y390">
        <v>1</v>
      </c>
      <c r="Z390">
        <v>17</v>
      </c>
      <c r="AA390">
        <v>1</v>
      </c>
      <c r="AB390">
        <v>5.5559999999999998E-2</v>
      </c>
      <c r="AC390" t="s">
        <v>266</v>
      </c>
      <c r="AD390" t="s">
        <v>175</v>
      </c>
      <c r="AE390" t="s">
        <v>62</v>
      </c>
      <c r="AF390" t="s">
        <v>62</v>
      </c>
      <c r="AG390">
        <v>0</v>
      </c>
      <c r="AH390">
        <v>0</v>
      </c>
      <c r="AI390">
        <v>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13</v>
      </c>
      <c r="AV390">
        <v>9</v>
      </c>
      <c r="AW390">
        <v>29</v>
      </c>
      <c r="AX390">
        <v>1</v>
      </c>
      <c r="AY390">
        <v>42</v>
      </c>
      <c r="AZ390">
        <v>1</v>
      </c>
      <c r="BA390" t="s">
        <v>15386</v>
      </c>
      <c r="BB390" t="s">
        <v>15387</v>
      </c>
      <c r="BC390">
        <v>7.8E-2</v>
      </c>
      <c r="BD390" t="s">
        <v>65</v>
      </c>
      <c r="BE390">
        <v>71</v>
      </c>
      <c r="BF390">
        <v>2</v>
      </c>
      <c r="BG390" t="s">
        <v>15388</v>
      </c>
      <c r="BH390" t="s">
        <v>15389</v>
      </c>
      <c r="BI390" t="s">
        <v>1248</v>
      </c>
      <c r="BJ390">
        <v>5.5900000000000004E-3</v>
      </c>
      <c r="BK390">
        <v>1</v>
      </c>
      <c r="BL390" t="s">
        <v>69</v>
      </c>
      <c r="BM390">
        <v>-1.327</v>
      </c>
      <c r="BN390">
        <v>2.8000000000000001E-2</v>
      </c>
    </row>
    <row r="391" spans="2:66">
      <c r="B391">
        <v>622</v>
      </c>
      <c r="C391">
        <v>313</v>
      </c>
      <c r="D391">
        <v>0</v>
      </c>
      <c r="E391">
        <v>4</v>
      </c>
      <c r="F391">
        <v>2</v>
      </c>
      <c r="J391">
        <v>0</v>
      </c>
      <c r="K391">
        <v>0</v>
      </c>
      <c r="L391">
        <v>0</v>
      </c>
      <c r="M391" t="s">
        <v>25022</v>
      </c>
      <c r="N391">
        <v>2627</v>
      </c>
      <c r="O391" t="s">
        <v>15390</v>
      </c>
      <c r="P391" t="s">
        <v>62</v>
      </c>
      <c r="Q391">
        <v>2604962</v>
      </c>
      <c r="R391">
        <v>2605597</v>
      </c>
      <c r="S391" t="s">
        <v>15391</v>
      </c>
      <c r="T391">
        <v>212</v>
      </c>
      <c r="U391" t="s">
        <v>59</v>
      </c>
      <c r="V391">
        <v>49</v>
      </c>
      <c r="W391" t="str">
        <f>HYPERLINK("Gene2627-zp_tree_all.dnd", "Gene2627-tree")</f>
        <v>Gene2627-tree</v>
      </c>
      <c r="X391">
        <v>15</v>
      </c>
      <c r="Y391">
        <v>0</v>
      </c>
      <c r="Z391">
        <v>15</v>
      </c>
      <c r="AA391">
        <v>0</v>
      </c>
      <c r="AB391">
        <v>0</v>
      </c>
      <c r="AC391" t="s">
        <v>100</v>
      </c>
      <c r="AD391" t="s">
        <v>62</v>
      </c>
      <c r="AE391" t="s">
        <v>62</v>
      </c>
      <c r="AF391" t="s">
        <v>62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11</v>
      </c>
      <c r="AV391">
        <v>7</v>
      </c>
      <c r="AW391">
        <v>16</v>
      </c>
      <c r="AX391">
        <v>0</v>
      </c>
      <c r="AY391">
        <v>28</v>
      </c>
      <c r="AZ391">
        <v>0</v>
      </c>
      <c r="BA391" t="s">
        <v>193</v>
      </c>
      <c r="BB391" t="s">
        <v>193</v>
      </c>
      <c r="BC391">
        <v>0</v>
      </c>
      <c r="BD391" t="s">
        <v>65</v>
      </c>
      <c r="BE391">
        <v>44</v>
      </c>
      <c r="BF391">
        <v>0</v>
      </c>
      <c r="BG391" t="s">
        <v>15392</v>
      </c>
      <c r="BH391" t="s">
        <v>15393</v>
      </c>
      <c r="BI391" t="s">
        <v>193</v>
      </c>
      <c r="BJ391">
        <v>0</v>
      </c>
      <c r="BK391">
        <v>1</v>
      </c>
      <c r="BL391" t="s">
        <v>69</v>
      </c>
      <c r="BM391">
        <v>-1.1830000000000001</v>
      </c>
      <c r="BN391">
        <v>-0.84699999999999998</v>
      </c>
    </row>
    <row r="392" spans="2:66">
      <c r="B392">
        <v>646</v>
      </c>
      <c r="C392">
        <v>29</v>
      </c>
      <c r="D392">
        <v>4</v>
      </c>
      <c r="E392">
        <v>73</v>
      </c>
      <c r="F392">
        <v>19</v>
      </c>
      <c r="J392">
        <v>0</v>
      </c>
      <c r="K392">
        <v>12</v>
      </c>
      <c r="L392">
        <v>0</v>
      </c>
      <c r="M392" t="s">
        <v>25022</v>
      </c>
      <c r="N392">
        <v>2628</v>
      </c>
      <c r="O392" t="s">
        <v>15394</v>
      </c>
      <c r="P392" t="s">
        <v>62</v>
      </c>
      <c r="Q392">
        <v>2605733</v>
      </c>
      <c r="R392">
        <v>2607769</v>
      </c>
      <c r="S392" t="s">
        <v>15395</v>
      </c>
      <c r="T392">
        <v>679</v>
      </c>
      <c r="U392" t="s">
        <v>108</v>
      </c>
      <c r="V392">
        <v>44</v>
      </c>
      <c r="W392" t="str">
        <f>HYPERLINK("Gene2628-zp_tree_all.dnd", "Gene2628-tree")</f>
        <v>Gene2628-tree</v>
      </c>
      <c r="X392">
        <v>7</v>
      </c>
      <c r="Y392">
        <v>8</v>
      </c>
      <c r="Z392">
        <v>7</v>
      </c>
      <c r="AA392">
        <v>8</v>
      </c>
      <c r="AB392">
        <v>0.53332999999999997</v>
      </c>
      <c r="AC392" t="s">
        <v>152</v>
      </c>
      <c r="AD392" t="s">
        <v>136</v>
      </c>
      <c r="AE392" t="s">
        <v>62</v>
      </c>
      <c r="AF392" t="s">
        <v>62</v>
      </c>
      <c r="AG392">
        <v>4</v>
      </c>
      <c r="AH392">
        <v>12</v>
      </c>
      <c r="AI392">
        <v>13</v>
      </c>
      <c r="AJ392">
        <v>0.48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2</v>
      </c>
      <c r="AQ392">
        <v>0</v>
      </c>
      <c r="AR392">
        <v>2</v>
      </c>
      <c r="AS392">
        <v>14</v>
      </c>
      <c r="AT392">
        <v>0.125</v>
      </c>
      <c r="AU392">
        <v>13</v>
      </c>
      <c r="AV392">
        <v>11</v>
      </c>
      <c r="AW392">
        <v>52</v>
      </c>
      <c r="AX392">
        <v>15</v>
      </c>
      <c r="AY392">
        <v>23</v>
      </c>
      <c r="AZ392">
        <v>10</v>
      </c>
      <c r="BA392" t="s">
        <v>15396</v>
      </c>
      <c r="BB392" t="s">
        <v>15397</v>
      </c>
      <c r="BC392">
        <v>0.46700000000000003</v>
      </c>
      <c r="BD392" t="s">
        <v>65</v>
      </c>
      <c r="BE392">
        <v>75</v>
      </c>
      <c r="BF392">
        <v>25</v>
      </c>
      <c r="BG392" t="s">
        <v>15398</v>
      </c>
      <c r="BH392" t="s">
        <v>15399</v>
      </c>
      <c r="BI392" t="s">
        <v>15400</v>
      </c>
      <c r="BJ392">
        <v>8.9080000000000006E-2</v>
      </c>
      <c r="BK392">
        <v>1</v>
      </c>
      <c r="BL392" t="s">
        <v>69</v>
      </c>
      <c r="BM392">
        <v>-1.25</v>
      </c>
      <c r="BN392">
        <v>-2.145</v>
      </c>
    </row>
    <row r="393" spans="2:66">
      <c r="B393">
        <v>647</v>
      </c>
      <c r="C393">
        <v>82</v>
      </c>
      <c r="D393">
        <v>0</v>
      </c>
      <c r="E393">
        <v>8</v>
      </c>
      <c r="F393">
        <v>0</v>
      </c>
      <c r="J393">
        <v>0</v>
      </c>
      <c r="K393">
        <v>0</v>
      </c>
      <c r="L393">
        <v>0</v>
      </c>
      <c r="M393" t="s">
        <v>25022</v>
      </c>
      <c r="N393">
        <v>2629</v>
      </c>
      <c r="O393" t="s">
        <v>15401</v>
      </c>
      <c r="P393" t="s">
        <v>62</v>
      </c>
      <c r="Q393">
        <v>2607765</v>
      </c>
      <c r="R393">
        <v>2608649</v>
      </c>
      <c r="S393" t="s">
        <v>15402</v>
      </c>
      <c r="T393">
        <v>295</v>
      </c>
      <c r="U393" t="s">
        <v>465</v>
      </c>
      <c r="V393">
        <v>46</v>
      </c>
      <c r="W393" t="str">
        <f>HYPERLINK("Gene2629-zp_tree_all.dnd", "Gene2629-tree")</f>
        <v>Gene2629-tree</v>
      </c>
      <c r="X393">
        <v>14</v>
      </c>
      <c r="Y393">
        <v>1</v>
      </c>
      <c r="Z393">
        <v>14</v>
      </c>
      <c r="AA393">
        <v>1</v>
      </c>
      <c r="AB393">
        <v>6.6669999999999993E-2</v>
      </c>
      <c r="AC393" t="s">
        <v>543</v>
      </c>
      <c r="AD393" t="s">
        <v>175</v>
      </c>
      <c r="AE393" t="s">
        <v>62</v>
      </c>
      <c r="AF393" t="s">
        <v>62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13</v>
      </c>
      <c r="AV393">
        <v>5</v>
      </c>
      <c r="AW393">
        <v>37</v>
      </c>
      <c r="AX393">
        <v>1</v>
      </c>
      <c r="AY393">
        <v>46</v>
      </c>
      <c r="AZ393">
        <v>0</v>
      </c>
      <c r="BA393" t="s">
        <v>15403</v>
      </c>
      <c r="BB393" t="s">
        <v>193</v>
      </c>
      <c r="BC393">
        <v>0.28999999999999998</v>
      </c>
      <c r="BD393" t="s">
        <v>65</v>
      </c>
      <c r="BE393">
        <v>83</v>
      </c>
      <c r="BF393">
        <v>1</v>
      </c>
      <c r="BG393" t="s">
        <v>15404</v>
      </c>
      <c r="BH393" t="s">
        <v>15405</v>
      </c>
      <c r="BI393" t="s">
        <v>15406</v>
      </c>
      <c r="BJ393">
        <v>2.0999999999999999E-3</v>
      </c>
      <c r="BK393">
        <v>1</v>
      </c>
      <c r="BL393" t="s">
        <v>69</v>
      </c>
      <c r="BM393">
        <v>-1.206</v>
      </c>
      <c r="BN393">
        <v>-1.4999999999999999E-2</v>
      </c>
    </row>
    <row r="394" spans="2:66">
      <c r="B394">
        <v>648</v>
      </c>
      <c r="C394">
        <v>243</v>
      </c>
      <c r="D394">
        <v>0</v>
      </c>
      <c r="E394">
        <v>22</v>
      </c>
      <c r="F394">
        <v>1</v>
      </c>
      <c r="J394">
        <v>0</v>
      </c>
      <c r="K394">
        <v>0</v>
      </c>
      <c r="L394">
        <v>0</v>
      </c>
      <c r="M394" t="s">
        <v>25022</v>
      </c>
      <c r="N394">
        <v>2630</v>
      </c>
      <c r="O394" t="s">
        <v>15407</v>
      </c>
      <c r="P394" t="s">
        <v>62</v>
      </c>
      <c r="Q394">
        <v>2608949</v>
      </c>
      <c r="R394">
        <v>2609713</v>
      </c>
      <c r="S394" t="s">
        <v>15408</v>
      </c>
      <c r="T394">
        <v>255</v>
      </c>
      <c r="U394" t="s">
        <v>108</v>
      </c>
      <c r="V394">
        <v>44</v>
      </c>
      <c r="W394" t="str">
        <f>HYPERLINK("Gene2630-zp_tree_all.dnd", "Gene2630-tree")</f>
        <v>Gene2630-tree</v>
      </c>
      <c r="X394">
        <v>7</v>
      </c>
      <c r="Y394">
        <v>26</v>
      </c>
      <c r="Z394">
        <v>7</v>
      </c>
      <c r="AA394">
        <v>4</v>
      </c>
      <c r="AB394">
        <v>0.36364000000000002</v>
      </c>
      <c r="AC394" t="s">
        <v>152</v>
      </c>
      <c r="AD394" t="s">
        <v>2333</v>
      </c>
      <c r="AE394">
        <v>6.0750000000000002</v>
      </c>
      <c r="AF394" t="s">
        <v>65</v>
      </c>
      <c r="AG394">
        <v>0</v>
      </c>
      <c r="AH394">
        <v>0</v>
      </c>
      <c r="AI394">
        <v>5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4</v>
      </c>
      <c r="AT394">
        <v>0</v>
      </c>
      <c r="AU394">
        <v>9</v>
      </c>
      <c r="AV394">
        <v>5</v>
      </c>
      <c r="AW394">
        <v>20</v>
      </c>
      <c r="AX394">
        <v>4</v>
      </c>
      <c r="AY394">
        <v>5</v>
      </c>
      <c r="AZ394">
        <v>1</v>
      </c>
      <c r="BA394" t="s">
        <v>15409</v>
      </c>
      <c r="BB394" t="s">
        <v>15410</v>
      </c>
      <c r="BC394">
        <v>3.0000000000000001E-3</v>
      </c>
      <c r="BD394" t="s">
        <v>65</v>
      </c>
      <c r="BE394">
        <v>25</v>
      </c>
      <c r="BF394">
        <v>5</v>
      </c>
      <c r="BG394" t="s">
        <v>15411</v>
      </c>
      <c r="BH394" t="s">
        <v>15412</v>
      </c>
      <c r="BI394" t="s">
        <v>15413</v>
      </c>
      <c r="BJ394">
        <v>5.2380000000000003E-2</v>
      </c>
      <c r="BK394">
        <v>1</v>
      </c>
      <c r="BL394" t="s">
        <v>69</v>
      </c>
      <c r="BM394">
        <v>-0.28899999999999998</v>
      </c>
      <c r="BN394">
        <v>-1.407</v>
      </c>
    </row>
    <row r="395" spans="2:66">
      <c r="B395">
        <v>649</v>
      </c>
      <c r="C395">
        <v>151</v>
      </c>
      <c r="D395">
        <v>0</v>
      </c>
      <c r="E395">
        <v>19</v>
      </c>
      <c r="F395">
        <v>0</v>
      </c>
      <c r="J395">
        <v>0</v>
      </c>
      <c r="K395">
        <v>0</v>
      </c>
      <c r="L395">
        <v>4</v>
      </c>
      <c r="M395" t="s">
        <v>25022</v>
      </c>
      <c r="N395">
        <v>2632</v>
      </c>
      <c r="O395" t="s">
        <v>15414</v>
      </c>
      <c r="P395" t="s">
        <v>62</v>
      </c>
      <c r="Q395">
        <v>2610044</v>
      </c>
      <c r="R395">
        <v>2610946</v>
      </c>
      <c r="S395" t="s">
        <v>15415</v>
      </c>
      <c r="T395">
        <v>301</v>
      </c>
      <c r="U395" t="s">
        <v>59</v>
      </c>
      <c r="V395">
        <v>49</v>
      </c>
      <c r="W395" t="str">
        <f>HYPERLINK("Gene2632-zp_tree_all.dnd", "Gene2632-tree")</f>
        <v>Gene2632-tree</v>
      </c>
      <c r="X395">
        <v>16</v>
      </c>
      <c r="Y395">
        <v>1</v>
      </c>
      <c r="Z395">
        <v>16</v>
      </c>
      <c r="AA395">
        <v>1</v>
      </c>
      <c r="AB395">
        <v>5.8819999999999997E-2</v>
      </c>
      <c r="AC395" t="s">
        <v>60</v>
      </c>
      <c r="AD395" t="s">
        <v>175</v>
      </c>
      <c r="AE395" t="s">
        <v>62</v>
      </c>
      <c r="AF395" t="s">
        <v>62</v>
      </c>
      <c r="AG395">
        <v>2</v>
      </c>
      <c r="AH395">
        <v>4</v>
      </c>
      <c r="AI395">
        <v>2</v>
      </c>
      <c r="AJ395">
        <v>0.66666999999999998</v>
      </c>
      <c r="AK395">
        <v>0</v>
      </c>
      <c r="AL395">
        <v>0</v>
      </c>
      <c r="AM395">
        <v>0</v>
      </c>
      <c r="AN395">
        <v>2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12</v>
      </c>
      <c r="AV395">
        <v>11</v>
      </c>
      <c r="AW395">
        <v>30</v>
      </c>
      <c r="AX395">
        <v>1</v>
      </c>
      <c r="AY395">
        <v>59</v>
      </c>
      <c r="AZ395">
        <v>5</v>
      </c>
      <c r="BA395" t="s">
        <v>15416</v>
      </c>
      <c r="BB395" t="s">
        <v>15417</v>
      </c>
      <c r="BC395">
        <v>0.30599999999999999</v>
      </c>
      <c r="BD395" t="s">
        <v>65</v>
      </c>
      <c r="BE395">
        <v>89</v>
      </c>
      <c r="BF395">
        <v>6</v>
      </c>
      <c r="BG395" t="s">
        <v>15418</v>
      </c>
      <c r="BH395" t="s">
        <v>15419</v>
      </c>
      <c r="BI395" t="s">
        <v>15420</v>
      </c>
      <c r="BJ395">
        <v>2.1350000000000001E-2</v>
      </c>
      <c r="BK395">
        <v>1</v>
      </c>
      <c r="BL395" t="s">
        <v>69</v>
      </c>
      <c r="BM395">
        <v>-1.371</v>
      </c>
      <c r="BN395">
        <v>-0.78200000000000003</v>
      </c>
    </row>
    <row r="396" spans="2:66">
      <c r="B396">
        <v>650</v>
      </c>
      <c r="C396">
        <v>29</v>
      </c>
      <c r="D396">
        <v>0</v>
      </c>
      <c r="E396">
        <v>2</v>
      </c>
      <c r="F396">
        <v>0</v>
      </c>
      <c r="J396">
        <v>0</v>
      </c>
      <c r="K396">
        <v>0</v>
      </c>
      <c r="L396">
        <v>0</v>
      </c>
      <c r="M396" t="s">
        <v>25022</v>
      </c>
      <c r="N396">
        <v>2633</v>
      </c>
      <c r="O396" t="s">
        <v>15421</v>
      </c>
      <c r="P396" t="s">
        <v>62</v>
      </c>
      <c r="Q396">
        <v>2610930</v>
      </c>
      <c r="R396">
        <v>2611337</v>
      </c>
      <c r="S396" t="s">
        <v>15422</v>
      </c>
      <c r="T396">
        <v>136</v>
      </c>
      <c r="U396" t="s">
        <v>96</v>
      </c>
      <c r="V396">
        <v>48</v>
      </c>
      <c r="W396" t="str">
        <f>HYPERLINK("Gene2633-zp_tree_all.dnd", "Gene2633-tree")</f>
        <v>Gene2633-tree</v>
      </c>
      <c r="X396">
        <v>12</v>
      </c>
      <c r="Y396">
        <v>2</v>
      </c>
      <c r="Z396">
        <v>12</v>
      </c>
      <c r="AA396">
        <v>2</v>
      </c>
      <c r="AB396">
        <v>0.14285999999999999</v>
      </c>
      <c r="AC396" t="s">
        <v>109</v>
      </c>
      <c r="AD396" t="s">
        <v>81</v>
      </c>
      <c r="AE396" t="s">
        <v>62</v>
      </c>
      <c r="AF396" t="s">
        <v>62</v>
      </c>
      <c r="AG396">
        <v>0</v>
      </c>
      <c r="AH396">
        <v>0</v>
      </c>
      <c r="AI396">
        <v>5</v>
      </c>
      <c r="AJ396">
        <v>0</v>
      </c>
      <c r="AK396">
        <v>0</v>
      </c>
      <c r="AL396">
        <v>0</v>
      </c>
      <c r="AM396">
        <v>0</v>
      </c>
      <c r="AN396">
        <v>3</v>
      </c>
      <c r="AO396">
        <v>0</v>
      </c>
      <c r="AP396">
        <v>0</v>
      </c>
      <c r="AQ396">
        <v>0</v>
      </c>
      <c r="AR396">
        <v>0</v>
      </c>
      <c r="AS396">
        <v>2</v>
      </c>
      <c r="AT396">
        <v>0</v>
      </c>
      <c r="AU396">
        <v>9</v>
      </c>
      <c r="AV396">
        <v>7</v>
      </c>
      <c r="AW396">
        <v>10</v>
      </c>
      <c r="AX396">
        <v>2</v>
      </c>
      <c r="AY396">
        <v>12</v>
      </c>
      <c r="AZ396">
        <v>3</v>
      </c>
      <c r="BA396" t="s">
        <v>15423</v>
      </c>
      <c r="BB396" t="s">
        <v>15424</v>
      </c>
      <c r="BC396">
        <v>0.129</v>
      </c>
      <c r="BD396" t="s">
        <v>65</v>
      </c>
      <c r="BE396">
        <v>22</v>
      </c>
      <c r="BF396">
        <v>5</v>
      </c>
      <c r="BG396" t="s">
        <v>15425</v>
      </c>
      <c r="BH396" t="s">
        <v>15426</v>
      </c>
      <c r="BI396" t="s">
        <v>15427</v>
      </c>
      <c r="BJ396">
        <v>6.6689999999999999E-2</v>
      </c>
      <c r="BK396">
        <v>1</v>
      </c>
      <c r="BL396" t="s">
        <v>69</v>
      </c>
      <c r="BM396">
        <v>-0.28000000000000003</v>
      </c>
      <c r="BN396">
        <v>-0.65700000000000003</v>
      </c>
    </row>
    <row r="397" spans="2:66">
      <c r="B397">
        <v>651</v>
      </c>
      <c r="C397">
        <v>26</v>
      </c>
      <c r="D397">
        <v>0</v>
      </c>
      <c r="E397">
        <v>7</v>
      </c>
      <c r="F397">
        <v>2</v>
      </c>
      <c r="J397">
        <v>0</v>
      </c>
      <c r="K397">
        <v>2</v>
      </c>
      <c r="L397">
        <v>0</v>
      </c>
      <c r="M397" t="s">
        <v>25022</v>
      </c>
      <c r="N397">
        <v>2634</v>
      </c>
      <c r="O397" t="s">
        <v>15428</v>
      </c>
      <c r="P397" t="s">
        <v>62</v>
      </c>
      <c r="Q397">
        <v>2611459</v>
      </c>
      <c r="R397">
        <v>2611827</v>
      </c>
      <c r="S397" t="s">
        <v>15429</v>
      </c>
      <c r="T397">
        <v>123</v>
      </c>
      <c r="U397" t="s">
        <v>1392</v>
      </c>
      <c r="V397">
        <v>43</v>
      </c>
      <c r="W397" t="str">
        <f>HYPERLINK("Gene2634-zp_tree_all.dnd", "Gene2634-tree")</f>
        <v>Gene2634-tree</v>
      </c>
      <c r="X397">
        <v>10</v>
      </c>
      <c r="Y397">
        <v>2</v>
      </c>
      <c r="Z397">
        <v>10</v>
      </c>
      <c r="AA397">
        <v>2</v>
      </c>
      <c r="AB397">
        <v>0.16667000000000001</v>
      </c>
      <c r="AC397" t="s">
        <v>117</v>
      </c>
      <c r="AD397" t="s">
        <v>81</v>
      </c>
      <c r="AE397" t="s">
        <v>62</v>
      </c>
      <c r="AF397" t="s">
        <v>62</v>
      </c>
      <c r="AG397">
        <v>1</v>
      </c>
      <c r="AH397">
        <v>2</v>
      </c>
      <c r="AI397">
        <v>3</v>
      </c>
      <c r="AJ397">
        <v>0.4</v>
      </c>
      <c r="AK397">
        <v>0</v>
      </c>
      <c r="AL397">
        <v>0</v>
      </c>
      <c r="AM397">
        <v>0</v>
      </c>
      <c r="AN397">
        <v>2</v>
      </c>
      <c r="AO397">
        <v>0</v>
      </c>
      <c r="AP397">
        <v>0</v>
      </c>
      <c r="AQ397">
        <v>0</v>
      </c>
      <c r="AR397">
        <v>0</v>
      </c>
      <c r="AS397">
        <v>2</v>
      </c>
      <c r="AT397">
        <v>0</v>
      </c>
      <c r="AU397">
        <v>8</v>
      </c>
      <c r="AV397">
        <v>5</v>
      </c>
      <c r="AW397">
        <v>9</v>
      </c>
      <c r="AX397">
        <v>2</v>
      </c>
      <c r="AY397">
        <v>4</v>
      </c>
      <c r="AZ397">
        <v>3</v>
      </c>
      <c r="BA397" t="s">
        <v>15430</v>
      </c>
      <c r="BB397" t="s">
        <v>15431</v>
      </c>
      <c r="BC397">
        <v>0.73199999999999998</v>
      </c>
      <c r="BD397" t="s">
        <v>65</v>
      </c>
      <c r="BE397">
        <v>13</v>
      </c>
      <c r="BF397">
        <v>5</v>
      </c>
      <c r="BG397" t="s">
        <v>15432</v>
      </c>
      <c r="BH397" t="s">
        <v>15433</v>
      </c>
      <c r="BI397" t="s">
        <v>15434</v>
      </c>
      <c r="BJ397">
        <v>0.11969</v>
      </c>
      <c r="BK397">
        <v>1</v>
      </c>
      <c r="BL397" t="s">
        <v>69</v>
      </c>
      <c r="BM397">
        <v>0.1</v>
      </c>
      <c r="BN397">
        <v>-1.08</v>
      </c>
    </row>
    <row r="398" spans="2:66">
      <c r="B398">
        <v>652</v>
      </c>
      <c r="C398">
        <v>85</v>
      </c>
      <c r="D398">
        <v>0</v>
      </c>
      <c r="E398">
        <v>10</v>
      </c>
      <c r="F398">
        <v>2</v>
      </c>
      <c r="J398">
        <v>0</v>
      </c>
      <c r="K398">
        <v>0</v>
      </c>
      <c r="L398">
        <v>0</v>
      </c>
      <c r="M398" t="s">
        <v>25022</v>
      </c>
      <c r="N398">
        <v>2635</v>
      </c>
      <c r="O398" t="s">
        <v>15435</v>
      </c>
      <c r="P398" t="s">
        <v>62</v>
      </c>
      <c r="Q398">
        <v>2611811</v>
      </c>
      <c r="R398">
        <v>2612281</v>
      </c>
      <c r="S398" t="s">
        <v>15436</v>
      </c>
      <c r="T398">
        <v>157</v>
      </c>
      <c r="U398" t="s">
        <v>108</v>
      </c>
      <c r="V398">
        <v>44</v>
      </c>
      <c r="W398" t="str">
        <f>HYPERLINK("Gene2635-zp_tree_all.dnd", "Gene2635-tree")</f>
        <v>Gene2635-tree</v>
      </c>
      <c r="X398">
        <v>10</v>
      </c>
      <c r="Y398">
        <v>2</v>
      </c>
      <c r="Z398">
        <v>10</v>
      </c>
      <c r="AA398">
        <v>2</v>
      </c>
      <c r="AB398">
        <v>0.16667000000000001</v>
      </c>
      <c r="AC398" t="s">
        <v>117</v>
      </c>
      <c r="AD398" t="s">
        <v>81</v>
      </c>
      <c r="AE398" t="s">
        <v>62</v>
      </c>
      <c r="AF398" t="s">
        <v>62</v>
      </c>
      <c r="AG398">
        <v>0</v>
      </c>
      <c r="AH398">
        <v>0</v>
      </c>
      <c r="AI398">
        <v>3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0</v>
      </c>
      <c r="AU398">
        <v>6</v>
      </c>
      <c r="AV398">
        <v>6</v>
      </c>
      <c r="AW398">
        <v>6</v>
      </c>
      <c r="AX398">
        <v>2</v>
      </c>
      <c r="AY398">
        <v>7</v>
      </c>
      <c r="AZ398">
        <v>1</v>
      </c>
      <c r="BA398" t="s">
        <v>15437</v>
      </c>
      <c r="BB398" t="s">
        <v>15438</v>
      </c>
      <c r="BC398">
        <v>0.437</v>
      </c>
      <c r="BD398" t="s">
        <v>65</v>
      </c>
      <c r="BE398">
        <v>13</v>
      </c>
      <c r="BF398">
        <v>3</v>
      </c>
      <c r="BG398" t="s">
        <v>15439</v>
      </c>
      <c r="BH398" t="s">
        <v>15440</v>
      </c>
      <c r="BI398" t="s">
        <v>15441</v>
      </c>
      <c r="BJ398">
        <v>5.2229999999999999E-2</v>
      </c>
      <c r="BK398">
        <v>1</v>
      </c>
      <c r="BL398" t="s">
        <v>69</v>
      </c>
      <c r="BM398">
        <v>-0.28599999999999998</v>
      </c>
      <c r="BN398">
        <v>-9.2999999999999999E-2</v>
      </c>
    </row>
    <row r="399" spans="2:66">
      <c r="B399">
        <v>654</v>
      </c>
      <c r="C399">
        <v>77</v>
      </c>
      <c r="D399">
        <v>0</v>
      </c>
      <c r="E399">
        <v>4</v>
      </c>
      <c r="F399">
        <v>2</v>
      </c>
      <c r="J399">
        <v>0</v>
      </c>
      <c r="K399">
        <v>0</v>
      </c>
      <c r="L399">
        <v>0</v>
      </c>
      <c r="M399" t="s">
        <v>25022</v>
      </c>
      <c r="N399">
        <v>2636</v>
      </c>
      <c r="O399" t="s">
        <v>15442</v>
      </c>
      <c r="P399" t="s">
        <v>62</v>
      </c>
      <c r="Q399">
        <v>2612285</v>
      </c>
      <c r="R399">
        <v>2614417</v>
      </c>
      <c r="S399" t="s">
        <v>15443</v>
      </c>
      <c r="T399">
        <v>711</v>
      </c>
      <c r="U399" t="s">
        <v>5451</v>
      </c>
      <c r="V399">
        <v>43</v>
      </c>
      <c r="W399" t="str">
        <f>HYPERLINK("Gene2636-zp_tree_all.dnd", "Gene2636-tree")</f>
        <v>Gene2636-tree</v>
      </c>
      <c r="X399">
        <v>10</v>
      </c>
      <c r="Y399">
        <v>6</v>
      </c>
      <c r="Z399">
        <v>10</v>
      </c>
      <c r="AA399">
        <v>6</v>
      </c>
      <c r="AB399">
        <v>0.375</v>
      </c>
      <c r="AC399" t="s">
        <v>117</v>
      </c>
      <c r="AD399" t="s">
        <v>90</v>
      </c>
      <c r="AE399" t="s">
        <v>62</v>
      </c>
      <c r="AF399" t="s">
        <v>62</v>
      </c>
      <c r="AG399">
        <v>0</v>
      </c>
      <c r="AH399">
        <v>0</v>
      </c>
      <c r="AI399">
        <v>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9</v>
      </c>
      <c r="AT399">
        <v>0</v>
      </c>
      <c r="AU399">
        <v>14</v>
      </c>
      <c r="AV399">
        <v>11</v>
      </c>
      <c r="AW399">
        <v>119</v>
      </c>
      <c r="AX399">
        <v>9</v>
      </c>
      <c r="AY399">
        <v>46</v>
      </c>
      <c r="AZ399">
        <v>0</v>
      </c>
      <c r="BA399" t="s">
        <v>15444</v>
      </c>
      <c r="BB399" t="s">
        <v>193</v>
      </c>
      <c r="BC399">
        <v>1.3560000000000001</v>
      </c>
      <c r="BD399" t="s">
        <v>65</v>
      </c>
      <c r="BE399">
        <v>165</v>
      </c>
      <c r="BF399">
        <v>9</v>
      </c>
      <c r="BG399" t="s">
        <v>15445</v>
      </c>
      <c r="BH399" t="s">
        <v>15446</v>
      </c>
      <c r="BI399" t="s">
        <v>9569</v>
      </c>
      <c r="BJ399">
        <v>1.2959999999999999E-2</v>
      </c>
      <c r="BK399">
        <v>1</v>
      </c>
      <c r="BL399" t="s">
        <v>69</v>
      </c>
      <c r="BM399">
        <v>-1.64</v>
      </c>
      <c r="BN399">
        <v>-2.9740000000000002</v>
      </c>
    </row>
    <row r="400" spans="2:66">
      <c r="B400">
        <v>655</v>
      </c>
      <c r="C400">
        <v>461</v>
      </c>
      <c r="D400">
        <v>0</v>
      </c>
      <c r="E400">
        <v>5</v>
      </c>
      <c r="F400">
        <v>0</v>
      </c>
      <c r="J400">
        <v>0</v>
      </c>
      <c r="K400">
        <v>2</v>
      </c>
      <c r="L400">
        <v>0</v>
      </c>
      <c r="M400" t="s">
        <v>25022</v>
      </c>
      <c r="N400">
        <v>2637</v>
      </c>
      <c r="O400" t="s">
        <v>15447</v>
      </c>
      <c r="P400" t="s">
        <v>62</v>
      </c>
      <c r="Q400">
        <v>2614499</v>
      </c>
      <c r="R400">
        <v>2615455</v>
      </c>
      <c r="S400" t="s">
        <v>15448</v>
      </c>
      <c r="T400">
        <v>319</v>
      </c>
      <c r="U400" t="s">
        <v>59</v>
      </c>
      <c r="V400">
        <v>49</v>
      </c>
      <c r="W400" t="str">
        <f>HYPERLINK("Gene2637-zp_tree_all.dnd", "Gene2637-tree")</f>
        <v>Gene2637-tree</v>
      </c>
      <c r="X400">
        <v>11</v>
      </c>
      <c r="Y400">
        <v>4</v>
      </c>
      <c r="Z400">
        <v>11</v>
      </c>
      <c r="AA400">
        <v>4</v>
      </c>
      <c r="AB400">
        <v>0.26667000000000002</v>
      </c>
      <c r="AC400" t="s">
        <v>73</v>
      </c>
      <c r="AD400" t="s">
        <v>61</v>
      </c>
      <c r="AE400" t="s">
        <v>62</v>
      </c>
      <c r="AF400" t="s">
        <v>62</v>
      </c>
      <c r="AG400">
        <v>1</v>
      </c>
      <c r="AH400">
        <v>2</v>
      </c>
      <c r="AI400">
        <v>10</v>
      </c>
      <c r="AJ400">
        <v>0.16667000000000001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2</v>
      </c>
      <c r="AQ400">
        <v>0</v>
      </c>
      <c r="AR400">
        <v>2</v>
      </c>
      <c r="AS400">
        <v>4</v>
      </c>
      <c r="AT400">
        <v>0.33333000000000002</v>
      </c>
      <c r="AU400">
        <v>11</v>
      </c>
      <c r="AV400">
        <v>8</v>
      </c>
      <c r="AW400">
        <v>25</v>
      </c>
      <c r="AX400">
        <v>6</v>
      </c>
      <c r="AY400">
        <v>21</v>
      </c>
      <c r="AZ400">
        <v>6</v>
      </c>
      <c r="BA400" t="s">
        <v>15449</v>
      </c>
      <c r="BB400" t="s">
        <v>15450</v>
      </c>
      <c r="BC400">
        <v>8.6999999999999994E-2</v>
      </c>
      <c r="BD400" t="s">
        <v>65</v>
      </c>
      <c r="BE400">
        <v>46</v>
      </c>
      <c r="BF400">
        <v>12</v>
      </c>
      <c r="BG400" t="s">
        <v>15451</v>
      </c>
      <c r="BH400" t="s">
        <v>15452</v>
      </c>
      <c r="BI400" t="s">
        <v>15453</v>
      </c>
      <c r="BJ400">
        <v>9.9089999999999998E-2</v>
      </c>
      <c r="BK400">
        <v>1</v>
      </c>
      <c r="BL400" t="s">
        <v>69</v>
      </c>
      <c r="BM400">
        <v>-1.5329999999999999</v>
      </c>
      <c r="BN400">
        <v>-1.99</v>
      </c>
    </row>
    <row r="401" spans="2:66">
      <c r="B401">
        <v>657</v>
      </c>
      <c r="C401">
        <v>66</v>
      </c>
      <c r="D401">
        <v>0</v>
      </c>
      <c r="E401">
        <v>2</v>
      </c>
      <c r="F401">
        <v>0</v>
      </c>
      <c r="J401">
        <v>0</v>
      </c>
      <c r="K401">
        <v>2</v>
      </c>
      <c r="L401">
        <v>2</v>
      </c>
      <c r="M401" t="s">
        <v>25022</v>
      </c>
      <c r="N401">
        <v>2638</v>
      </c>
      <c r="O401" t="s">
        <v>15454</v>
      </c>
      <c r="P401" t="s">
        <v>62</v>
      </c>
      <c r="Q401">
        <v>2615455</v>
      </c>
      <c r="R401">
        <v>2616648</v>
      </c>
      <c r="S401" t="s">
        <v>15455</v>
      </c>
      <c r="T401">
        <v>398</v>
      </c>
      <c r="U401" t="s">
        <v>59</v>
      </c>
      <c r="V401">
        <v>49</v>
      </c>
      <c r="W401" t="str">
        <f>HYPERLINK("Gene2638-zp_tree_all.dnd", "Gene2638-tree")</f>
        <v>Gene2638-tree</v>
      </c>
      <c r="X401">
        <v>34</v>
      </c>
      <c r="Y401">
        <v>7</v>
      </c>
      <c r="Z401">
        <v>13</v>
      </c>
      <c r="AA401">
        <v>7</v>
      </c>
      <c r="AB401">
        <v>0.35</v>
      </c>
      <c r="AC401" t="s">
        <v>15456</v>
      </c>
      <c r="AD401" t="s">
        <v>152</v>
      </c>
      <c r="AE401" t="s">
        <v>62</v>
      </c>
      <c r="AF401" t="s">
        <v>62</v>
      </c>
      <c r="AG401">
        <v>2</v>
      </c>
      <c r="AH401">
        <v>4</v>
      </c>
      <c r="AI401">
        <v>23</v>
      </c>
      <c r="AJ401">
        <v>0.14815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9</v>
      </c>
      <c r="AT401">
        <v>0</v>
      </c>
      <c r="AU401">
        <v>16</v>
      </c>
      <c r="AV401">
        <v>15</v>
      </c>
      <c r="AW401">
        <v>59</v>
      </c>
      <c r="AX401">
        <v>9</v>
      </c>
      <c r="AY401">
        <v>57</v>
      </c>
      <c r="AZ401">
        <v>18</v>
      </c>
      <c r="BA401" t="s">
        <v>15457</v>
      </c>
      <c r="BB401" t="s">
        <v>15458</v>
      </c>
      <c r="BC401">
        <v>0.33400000000000002</v>
      </c>
      <c r="BD401" t="s">
        <v>65</v>
      </c>
      <c r="BE401">
        <v>116</v>
      </c>
      <c r="BF401">
        <v>27</v>
      </c>
      <c r="BG401" t="s">
        <v>15459</v>
      </c>
      <c r="BH401" t="s">
        <v>15460</v>
      </c>
      <c r="BI401" t="s">
        <v>15461</v>
      </c>
      <c r="BJ401">
        <v>6.9529999999999995E-2</v>
      </c>
      <c r="BK401">
        <v>1</v>
      </c>
      <c r="BL401" t="s">
        <v>69</v>
      </c>
      <c r="BM401">
        <v>-1.524</v>
      </c>
      <c r="BN401">
        <v>-2.153</v>
      </c>
    </row>
    <row r="402" spans="2:66">
      <c r="B402">
        <v>658</v>
      </c>
      <c r="C402">
        <v>24</v>
      </c>
      <c r="D402">
        <v>0</v>
      </c>
      <c r="E402">
        <v>24</v>
      </c>
      <c r="F402">
        <v>4</v>
      </c>
      <c r="J402">
        <v>0</v>
      </c>
      <c r="K402">
        <v>0</v>
      </c>
      <c r="L402">
        <v>0</v>
      </c>
      <c r="M402" t="s">
        <v>25022</v>
      </c>
      <c r="N402">
        <v>2639</v>
      </c>
      <c r="O402" t="s">
        <v>15462</v>
      </c>
      <c r="P402" t="s">
        <v>62</v>
      </c>
      <c r="Q402">
        <v>2616670</v>
      </c>
      <c r="R402">
        <v>2616948</v>
      </c>
      <c r="S402" t="s">
        <v>15463</v>
      </c>
      <c r="T402">
        <v>93</v>
      </c>
      <c r="U402" t="s">
        <v>59</v>
      </c>
      <c r="V402">
        <v>49</v>
      </c>
      <c r="W402" t="str">
        <f>HYPERLINK("Gene2639-zp_tree_all.dnd", "Gene2639-tree")</f>
        <v>Gene2639-tree</v>
      </c>
      <c r="X402">
        <v>7</v>
      </c>
      <c r="Y402">
        <v>1</v>
      </c>
      <c r="Z402">
        <v>7</v>
      </c>
      <c r="AA402">
        <v>1</v>
      </c>
      <c r="AB402">
        <v>0.125</v>
      </c>
      <c r="AC402" t="s">
        <v>152</v>
      </c>
      <c r="AD402" t="s">
        <v>175</v>
      </c>
      <c r="AE402" t="s">
        <v>62</v>
      </c>
      <c r="AF402" t="s">
        <v>62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5</v>
      </c>
      <c r="AV402">
        <v>4</v>
      </c>
      <c r="AW402">
        <v>9</v>
      </c>
      <c r="AX402">
        <v>1</v>
      </c>
      <c r="AY402">
        <v>7</v>
      </c>
      <c r="AZ402">
        <v>0</v>
      </c>
      <c r="BA402" t="s">
        <v>15464</v>
      </c>
      <c r="BB402" t="s">
        <v>193</v>
      </c>
      <c r="BC402">
        <v>0.53500000000000003</v>
      </c>
      <c r="BD402" t="s">
        <v>65</v>
      </c>
      <c r="BE402">
        <v>16</v>
      </c>
      <c r="BF402">
        <v>1</v>
      </c>
      <c r="BG402" t="s">
        <v>15465</v>
      </c>
      <c r="BH402" t="s">
        <v>15466</v>
      </c>
      <c r="BI402" t="s">
        <v>15467</v>
      </c>
      <c r="BJ402">
        <v>1.504E-2</v>
      </c>
      <c r="BK402">
        <v>1</v>
      </c>
      <c r="BL402" t="s">
        <v>69</v>
      </c>
      <c r="BM402">
        <v>-1.0680000000000001</v>
      </c>
      <c r="BN402">
        <v>-0.71599999999999997</v>
      </c>
    </row>
    <row r="403" spans="2:66">
      <c r="B403">
        <v>661</v>
      </c>
      <c r="C403">
        <v>5</v>
      </c>
      <c r="D403">
        <v>0</v>
      </c>
      <c r="E403">
        <v>6</v>
      </c>
      <c r="F403">
        <v>0</v>
      </c>
      <c r="J403">
        <v>0</v>
      </c>
      <c r="K403">
        <v>0</v>
      </c>
      <c r="L403">
        <v>0</v>
      </c>
      <c r="M403" t="s">
        <v>25022</v>
      </c>
      <c r="N403">
        <v>2640</v>
      </c>
      <c r="O403" t="s">
        <v>15468</v>
      </c>
      <c r="P403" t="s">
        <v>62</v>
      </c>
      <c r="Q403">
        <v>2617008</v>
      </c>
      <c r="R403">
        <v>2617424</v>
      </c>
      <c r="S403" t="s">
        <v>116</v>
      </c>
      <c r="T403">
        <v>139</v>
      </c>
      <c r="U403" t="s">
        <v>108</v>
      </c>
      <c r="V403">
        <v>44</v>
      </c>
      <c r="W403" t="str">
        <f>HYPERLINK("Gene2640-zp_tree_all.dnd", "Gene2640-tree")</f>
        <v>Gene2640-tree</v>
      </c>
      <c r="X403">
        <v>24</v>
      </c>
      <c r="Y403">
        <v>9</v>
      </c>
      <c r="Z403">
        <v>3</v>
      </c>
      <c r="AA403">
        <v>9</v>
      </c>
      <c r="AB403">
        <v>0.75</v>
      </c>
      <c r="AC403" t="s">
        <v>14683</v>
      </c>
      <c r="AD403" t="s">
        <v>135</v>
      </c>
      <c r="AE403" t="s">
        <v>62</v>
      </c>
      <c r="AF403" t="s">
        <v>62</v>
      </c>
      <c r="AG403">
        <v>0</v>
      </c>
      <c r="AH403">
        <v>0</v>
      </c>
      <c r="AI403">
        <v>14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10</v>
      </c>
      <c r="AT403">
        <v>0</v>
      </c>
      <c r="AU403">
        <v>10</v>
      </c>
      <c r="AV403">
        <v>5</v>
      </c>
      <c r="AW403">
        <v>8</v>
      </c>
      <c r="AX403">
        <v>10</v>
      </c>
      <c r="AY403">
        <v>5</v>
      </c>
      <c r="AZ403">
        <v>4</v>
      </c>
      <c r="BA403" t="s">
        <v>15469</v>
      </c>
      <c r="BB403" t="s">
        <v>15470</v>
      </c>
      <c r="BC403">
        <v>0.37</v>
      </c>
      <c r="BD403" t="s">
        <v>65</v>
      </c>
      <c r="BE403">
        <v>13</v>
      </c>
      <c r="BF403">
        <v>14</v>
      </c>
      <c r="BG403" t="s">
        <v>15471</v>
      </c>
      <c r="BH403" t="s">
        <v>15472</v>
      </c>
      <c r="BI403" t="s">
        <v>15473</v>
      </c>
      <c r="BJ403">
        <v>0.28749000000000002</v>
      </c>
      <c r="BK403">
        <v>0.98</v>
      </c>
      <c r="BL403" t="s">
        <v>69</v>
      </c>
      <c r="BM403">
        <v>-1.022</v>
      </c>
      <c r="BN403">
        <v>-1.119</v>
      </c>
    </row>
    <row r="404" spans="2:66">
      <c r="B404">
        <v>662</v>
      </c>
      <c r="C404">
        <v>162</v>
      </c>
      <c r="D404">
        <v>0</v>
      </c>
      <c r="E404">
        <v>23</v>
      </c>
      <c r="F404">
        <v>1</v>
      </c>
      <c r="J404">
        <v>0</v>
      </c>
      <c r="K404">
        <v>2</v>
      </c>
      <c r="L404">
        <v>0</v>
      </c>
      <c r="M404" t="s">
        <v>25022</v>
      </c>
      <c r="N404">
        <v>2641</v>
      </c>
      <c r="O404" t="s">
        <v>15474</v>
      </c>
      <c r="P404" t="s">
        <v>62</v>
      </c>
      <c r="Q404">
        <v>2617452</v>
      </c>
      <c r="R404">
        <v>2618444</v>
      </c>
      <c r="S404" t="s">
        <v>15475</v>
      </c>
      <c r="T404">
        <v>331</v>
      </c>
      <c r="U404" t="s">
        <v>1196</v>
      </c>
      <c r="V404">
        <v>39</v>
      </c>
      <c r="W404" t="str">
        <f>HYPERLINK("Gene2641-zp_tree_all.dnd", "Gene2641-tree")</f>
        <v>Gene2641-tree</v>
      </c>
      <c r="X404">
        <v>10</v>
      </c>
      <c r="Y404">
        <v>1</v>
      </c>
      <c r="Z404">
        <v>10</v>
      </c>
      <c r="AA404">
        <v>1</v>
      </c>
      <c r="AB404">
        <v>9.0910000000000005E-2</v>
      </c>
      <c r="AC404" t="s">
        <v>117</v>
      </c>
      <c r="AD404" t="s">
        <v>175</v>
      </c>
      <c r="AE404" t="s">
        <v>62</v>
      </c>
      <c r="AF404" t="s">
        <v>62</v>
      </c>
      <c r="AG404">
        <v>1</v>
      </c>
      <c r="AH404">
        <v>2</v>
      </c>
      <c r="AI404">
        <v>1</v>
      </c>
      <c r="AJ404">
        <v>0.66666999999999998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9</v>
      </c>
      <c r="AV404">
        <v>7</v>
      </c>
      <c r="AW404">
        <v>32</v>
      </c>
      <c r="AX404">
        <v>1</v>
      </c>
      <c r="AY404">
        <v>17</v>
      </c>
      <c r="AZ404">
        <v>2</v>
      </c>
      <c r="BA404" t="s">
        <v>15476</v>
      </c>
      <c r="BB404" t="s">
        <v>15477</v>
      </c>
      <c r="BC404">
        <v>0.59199999999999997</v>
      </c>
      <c r="BD404" t="s">
        <v>65</v>
      </c>
      <c r="BE404">
        <v>49</v>
      </c>
      <c r="BF404">
        <v>3</v>
      </c>
      <c r="BG404" t="s">
        <v>15478</v>
      </c>
      <c r="BH404" t="s">
        <v>15479</v>
      </c>
      <c r="BI404" t="s">
        <v>15480</v>
      </c>
      <c r="BJ404">
        <v>1.5559999999999999E-2</v>
      </c>
      <c r="BK404">
        <v>1</v>
      </c>
      <c r="BL404" t="s">
        <v>69</v>
      </c>
      <c r="BM404">
        <v>-0.59199999999999997</v>
      </c>
      <c r="BN404">
        <v>-1.484</v>
      </c>
    </row>
    <row r="405" spans="2:66">
      <c r="B405">
        <v>663</v>
      </c>
      <c r="C405">
        <v>276</v>
      </c>
      <c r="D405">
        <v>0</v>
      </c>
      <c r="E405">
        <v>2</v>
      </c>
      <c r="F405">
        <v>0</v>
      </c>
      <c r="J405">
        <v>0</v>
      </c>
      <c r="K405">
        <v>6</v>
      </c>
      <c r="L405">
        <v>2</v>
      </c>
      <c r="M405" t="s">
        <v>25022</v>
      </c>
      <c r="N405">
        <v>2642</v>
      </c>
      <c r="O405" t="s">
        <v>15481</v>
      </c>
      <c r="P405" t="s">
        <v>62</v>
      </c>
      <c r="Q405">
        <v>2618469</v>
      </c>
      <c r="R405">
        <v>2619779</v>
      </c>
      <c r="S405" t="s">
        <v>15482</v>
      </c>
      <c r="T405">
        <v>437</v>
      </c>
      <c r="U405" t="s">
        <v>108</v>
      </c>
      <c r="V405">
        <v>44</v>
      </c>
      <c r="W405" t="str">
        <f>HYPERLINK("Gene2642-zp_tree_all.dnd", "Gene2642-tree")</f>
        <v>Gene2642-tree</v>
      </c>
      <c r="X405">
        <v>7</v>
      </c>
      <c r="Y405">
        <v>8</v>
      </c>
      <c r="Z405">
        <v>7</v>
      </c>
      <c r="AA405">
        <v>8</v>
      </c>
      <c r="AB405">
        <v>0.53332999999999997</v>
      </c>
      <c r="AC405" t="s">
        <v>152</v>
      </c>
      <c r="AD405" t="s">
        <v>136</v>
      </c>
      <c r="AE405" t="s">
        <v>62</v>
      </c>
      <c r="AF405" t="s">
        <v>62</v>
      </c>
      <c r="AG405">
        <v>4</v>
      </c>
      <c r="AH405">
        <v>8</v>
      </c>
      <c r="AI405">
        <v>22</v>
      </c>
      <c r="AJ405">
        <v>0.26667000000000002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4</v>
      </c>
      <c r="AQ405">
        <v>2</v>
      </c>
      <c r="AR405">
        <v>6</v>
      </c>
      <c r="AS405">
        <v>23</v>
      </c>
      <c r="AT405">
        <v>0.2069</v>
      </c>
      <c r="AU405">
        <v>12</v>
      </c>
      <c r="AV405">
        <v>12</v>
      </c>
      <c r="AW405">
        <v>81</v>
      </c>
      <c r="AX405">
        <v>29</v>
      </c>
      <c r="AY405">
        <v>46</v>
      </c>
      <c r="AZ405">
        <v>1</v>
      </c>
      <c r="BA405" t="s">
        <v>15483</v>
      </c>
      <c r="BB405" t="s">
        <v>15484</v>
      </c>
      <c r="BC405">
        <v>0.92400000000000004</v>
      </c>
      <c r="BD405" t="s">
        <v>65</v>
      </c>
      <c r="BE405">
        <v>127</v>
      </c>
      <c r="BF405">
        <v>30</v>
      </c>
      <c r="BG405" t="s">
        <v>15485</v>
      </c>
      <c r="BH405" t="s">
        <v>15486</v>
      </c>
      <c r="BI405" t="s">
        <v>15487</v>
      </c>
      <c r="BJ405">
        <v>6.4119999999999996E-2</v>
      </c>
      <c r="BK405">
        <v>1</v>
      </c>
      <c r="BL405" t="s">
        <v>69</v>
      </c>
      <c r="BM405">
        <v>-1.236</v>
      </c>
      <c r="BN405">
        <v>-3.2029999999999998</v>
      </c>
    </row>
    <row r="406" spans="2:66">
      <c r="B406">
        <v>664</v>
      </c>
      <c r="C406">
        <v>409</v>
      </c>
      <c r="D406">
        <v>0</v>
      </c>
      <c r="E406">
        <v>2</v>
      </c>
      <c r="F406">
        <v>0</v>
      </c>
      <c r="J406">
        <v>0</v>
      </c>
      <c r="K406">
        <v>0</v>
      </c>
      <c r="L406">
        <v>0</v>
      </c>
      <c r="M406" t="s">
        <v>25022</v>
      </c>
      <c r="N406">
        <v>2643</v>
      </c>
      <c r="O406" t="s">
        <v>15488</v>
      </c>
      <c r="P406" t="s">
        <v>62</v>
      </c>
      <c r="Q406">
        <v>2619913</v>
      </c>
      <c r="R406">
        <v>2620356</v>
      </c>
      <c r="S406" t="s">
        <v>15489</v>
      </c>
      <c r="T406">
        <v>148</v>
      </c>
      <c r="U406" t="s">
        <v>59</v>
      </c>
      <c r="V406">
        <v>49</v>
      </c>
      <c r="W406" t="str">
        <f>HYPERLINK("Gene2643-zp_tree_all.dnd", "Gene2643-tree")</f>
        <v>Gene2643-tree</v>
      </c>
      <c r="X406">
        <v>5</v>
      </c>
      <c r="Y406">
        <v>1</v>
      </c>
      <c r="Z406">
        <v>5</v>
      </c>
      <c r="AA406">
        <v>1</v>
      </c>
      <c r="AB406">
        <v>0.16667000000000001</v>
      </c>
      <c r="AC406" t="s">
        <v>199</v>
      </c>
      <c r="AD406" t="s">
        <v>175</v>
      </c>
      <c r="AE406" t="s">
        <v>62</v>
      </c>
      <c r="AF406" t="s">
        <v>62</v>
      </c>
      <c r="AG406">
        <v>0</v>
      </c>
      <c r="AH406">
        <v>0</v>
      </c>
      <c r="AI406">
        <v>2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4</v>
      </c>
      <c r="AV406">
        <v>2</v>
      </c>
      <c r="AW406">
        <v>3</v>
      </c>
      <c r="AX406">
        <v>1</v>
      </c>
      <c r="AY406">
        <v>14</v>
      </c>
      <c r="AZ406">
        <v>1</v>
      </c>
      <c r="BA406" t="s">
        <v>15490</v>
      </c>
      <c r="BB406" t="s">
        <v>15491</v>
      </c>
      <c r="BC406">
        <v>0.47599999999999998</v>
      </c>
      <c r="BD406" t="s">
        <v>65</v>
      </c>
      <c r="BE406">
        <v>17</v>
      </c>
      <c r="BF406">
        <v>2</v>
      </c>
      <c r="BG406" t="s">
        <v>15492</v>
      </c>
      <c r="BH406" t="s">
        <v>15493</v>
      </c>
      <c r="BI406" t="s">
        <v>15494</v>
      </c>
      <c r="BJ406">
        <v>2.6409999999999999E-2</v>
      </c>
      <c r="BK406">
        <v>1</v>
      </c>
      <c r="BL406" t="s">
        <v>69</v>
      </c>
      <c r="BM406">
        <v>-1.222</v>
      </c>
      <c r="BN406">
        <v>0.84599999999999997</v>
      </c>
    </row>
    <row r="407" spans="2:66">
      <c r="B407">
        <v>665</v>
      </c>
      <c r="C407">
        <v>28</v>
      </c>
      <c r="D407">
        <v>0</v>
      </c>
      <c r="E407">
        <v>4</v>
      </c>
      <c r="F407">
        <v>0</v>
      </c>
      <c r="J407">
        <v>0</v>
      </c>
      <c r="K407">
        <v>0</v>
      </c>
      <c r="L407">
        <v>0</v>
      </c>
      <c r="M407" t="s">
        <v>25022</v>
      </c>
      <c r="N407">
        <v>2646</v>
      </c>
      <c r="O407" t="s">
        <v>15502</v>
      </c>
      <c r="P407" t="s">
        <v>62</v>
      </c>
      <c r="Q407">
        <v>2621680</v>
      </c>
      <c r="R407">
        <v>2623032</v>
      </c>
      <c r="S407" t="s">
        <v>15503</v>
      </c>
      <c r="T407">
        <v>451</v>
      </c>
      <c r="U407" t="s">
        <v>1392</v>
      </c>
      <c r="V407">
        <v>43</v>
      </c>
      <c r="W407" t="str">
        <f>HYPERLINK("Gene2646-zp_tree_all.dnd", "Gene2646-tree")</f>
        <v>Gene2646-tree</v>
      </c>
      <c r="X407">
        <v>9</v>
      </c>
      <c r="Y407">
        <v>1</v>
      </c>
      <c r="Z407">
        <v>9</v>
      </c>
      <c r="AA407">
        <v>1</v>
      </c>
      <c r="AB407">
        <v>0.1</v>
      </c>
      <c r="AC407" t="s">
        <v>135</v>
      </c>
      <c r="AD407" t="s">
        <v>175</v>
      </c>
      <c r="AE407" t="s">
        <v>62</v>
      </c>
      <c r="AF407" t="s">
        <v>62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8</v>
      </c>
      <c r="AV407">
        <v>6</v>
      </c>
      <c r="AW407">
        <v>23</v>
      </c>
      <c r="AX407">
        <v>1</v>
      </c>
      <c r="AY407">
        <v>21</v>
      </c>
      <c r="AZ407">
        <v>2</v>
      </c>
      <c r="BA407" t="s">
        <v>15504</v>
      </c>
      <c r="BB407" t="s">
        <v>15505</v>
      </c>
      <c r="BC407">
        <v>0.34399999999999997</v>
      </c>
      <c r="BD407" t="s">
        <v>65</v>
      </c>
      <c r="BE407">
        <v>44</v>
      </c>
      <c r="BF407">
        <v>3</v>
      </c>
      <c r="BG407" t="s">
        <v>15506</v>
      </c>
      <c r="BH407" t="s">
        <v>15507</v>
      </c>
      <c r="BI407" t="s">
        <v>15508</v>
      </c>
      <c r="BJ407">
        <v>2.8799999999999999E-2</v>
      </c>
      <c r="BK407">
        <v>1</v>
      </c>
      <c r="BL407" t="s">
        <v>69</v>
      </c>
      <c r="BM407">
        <v>1.9E-2</v>
      </c>
      <c r="BN407">
        <v>0.189</v>
      </c>
    </row>
    <row r="408" spans="2:66">
      <c r="B408">
        <v>666</v>
      </c>
      <c r="C408">
        <v>212</v>
      </c>
      <c r="D408">
        <v>0</v>
      </c>
      <c r="E408">
        <v>4</v>
      </c>
      <c r="F408">
        <v>0</v>
      </c>
      <c r="J408">
        <v>0</v>
      </c>
      <c r="K408">
        <v>2</v>
      </c>
      <c r="L408">
        <v>1</v>
      </c>
      <c r="M408" t="s">
        <v>25022</v>
      </c>
      <c r="N408">
        <v>2647</v>
      </c>
      <c r="O408" t="s">
        <v>15509</v>
      </c>
      <c r="P408" t="s">
        <v>62</v>
      </c>
      <c r="Q408">
        <v>2623035</v>
      </c>
      <c r="R408">
        <v>2623802</v>
      </c>
      <c r="S408" t="s">
        <v>15510</v>
      </c>
      <c r="T408">
        <v>256</v>
      </c>
      <c r="U408" t="s">
        <v>59</v>
      </c>
      <c r="V408">
        <v>49</v>
      </c>
      <c r="W408" t="str">
        <f>HYPERLINK("Gene2647-zp_tree_all.dnd", "Gene2647-tree")</f>
        <v>Gene2647-tree</v>
      </c>
      <c r="X408">
        <v>9</v>
      </c>
      <c r="Y408">
        <v>8</v>
      </c>
      <c r="Z408">
        <v>9</v>
      </c>
      <c r="AA408">
        <v>8</v>
      </c>
      <c r="AB408">
        <v>0.47059000000000001</v>
      </c>
      <c r="AC408" t="s">
        <v>135</v>
      </c>
      <c r="AD408" t="s">
        <v>136</v>
      </c>
      <c r="AE408" t="s">
        <v>62</v>
      </c>
      <c r="AF408" t="s">
        <v>62</v>
      </c>
      <c r="AG408">
        <v>1</v>
      </c>
      <c r="AH408">
        <v>3</v>
      </c>
      <c r="AI408">
        <v>22</v>
      </c>
      <c r="AJ408">
        <v>0.12</v>
      </c>
      <c r="AK408">
        <v>0</v>
      </c>
      <c r="AL408">
        <v>0</v>
      </c>
      <c r="AM408">
        <v>0</v>
      </c>
      <c r="AN408">
        <v>6</v>
      </c>
      <c r="AO408">
        <v>0</v>
      </c>
      <c r="AP408">
        <v>0</v>
      </c>
      <c r="AQ408">
        <v>2</v>
      </c>
      <c r="AR408">
        <v>2</v>
      </c>
      <c r="AS408">
        <v>9</v>
      </c>
      <c r="AT408">
        <v>0.18182000000000001</v>
      </c>
      <c r="AU408">
        <v>14</v>
      </c>
      <c r="AV408">
        <v>10</v>
      </c>
      <c r="AW408">
        <v>35</v>
      </c>
      <c r="AX408">
        <v>11</v>
      </c>
      <c r="AY408">
        <v>26</v>
      </c>
      <c r="AZ408">
        <v>14</v>
      </c>
      <c r="BA408" t="s">
        <v>15511</v>
      </c>
      <c r="BB408" t="s">
        <v>15512</v>
      </c>
      <c r="BC408">
        <v>0.42099999999999999</v>
      </c>
      <c r="BD408" t="s">
        <v>65</v>
      </c>
      <c r="BE408">
        <v>61</v>
      </c>
      <c r="BF408">
        <v>25</v>
      </c>
      <c r="BG408" t="s">
        <v>15513</v>
      </c>
      <c r="BH408" t="s">
        <v>15514</v>
      </c>
      <c r="BI408" t="s">
        <v>15515</v>
      </c>
      <c r="BJ408">
        <v>0.15279000000000001</v>
      </c>
      <c r="BK408">
        <v>1</v>
      </c>
      <c r="BL408" t="s">
        <v>69</v>
      </c>
      <c r="BM408">
        <v>-1.425</v>
      </c>
      <c r="BN408">
        <v>-1.806</v>
      </c>
    </row>
    <row r="409" spans="2:66">
      <c r="B409">
        <v>667</v>
      </c>
      <c r="C409">
        <v>142</v>
      </c>
      <c r="D409">
        <v>2</v>
      </c>
      <c r="E409">
        <v>6</v>
      </c>
      <c r="F409">
        <v>1</v>
      </c>
      <c r="J409">
        <v>0</v>
      </c>
      <c r="K409">
        <v>0</v>
      </c>
      <c r="L409">
        <v>0</v>
      </c>
      <c r="M409" t="s">
        <v>25022</v>
      </c>
      <c r="N409">
        <v>2648</v>
      </c>
      <c r="O409" t="s">
        <v>15516</v>
      </c>
      <c r="P409" t="s">
        <v>62</v>
      </c>
      <c r="Q409">
        <v>2623828</v>
      </c>
      <c r="R409">
        <v>2624760</v>
      </c>
      <c r="S409" t="s">
        <v>15517</v>
      </c>
      <c r="T409">
        <v>311</v>
      </c>
      <c r="U409" t="s">
        <v>125</v>
      </c>
      <c r="V409">
        <v>48</v>
      </c>
      <c r="W409" t="str">
        <f>HYPERLINK("Gene2648-zp_tree_all.dnd", "Gene2648-tree")</f>
        <v>Gene2648-tree</v>
      </c>
      <c r="X409">
        <v>12</v>
      </c>
      <c r="Y409">
        <v>3</v>
      </c>
      <c r="Z409">
        <v>12</v>
      </c>
      <c r="AA409">
        <v>3</v>
      </c>
      <c r="AB409">
        <v>0.2</v>
      </c>
      <c r="AC409" t="s">
        <v>109</v>
      </c>
      <c r="AD409" t="s">
        <v>324</v>
      </c>
      <c r="AE409" t="s">
        <v>62</v>
      </c>
      <c r="AF409" t="s">
        <v>62</v>
      </c>
      <c r="AG409">
        <v>0</v>
      </c>
      <c r="AH409">
        <v>0</v>
      </c>
      <c r="AI409">
        <v>5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4</v>
      </c>
      <c r="AT409">
        <v>0</v>
      </c>
      <c r="AU409">
        <v>10</v>
      </c>
      <c r="AV409">
        <v>7</v>
      </c>
      <c r="AW409">
        <v>16</v>
      </c>
      <c r="AX409">
        <v>2</v>
      </c>
      <c r="AY409">
        <v>51</v>
      </c>
      <c r="AZ409">
        <v>3</v>
      </c>
      <c r="BA409" t="s">
        <v>15518</v>
      </c>
      <c r="BB409" t="s">
        <v>15519</v>
      </c>
      <c r="BC409">
        <v>0.34899999999999998</v>
      </c>
      <c r="BD409" t="s">
        <v>65</v>
      </c>
      <c r="BE409">
        <v>67</v>
      </c>
      <c r="BF409">
        <v>5</v>
      </c>
      <c r="BG409" t="s">
        <v>15520</v>
      </c>
      <c r="BH409" t="s">
        <v>15521</v>
      </c>
      <c r="BI409" t="s">
        <v>15522</v>
      </c>
      <c r="BJ409">
        <v>1.521E-2</v>
      </c>
      <c r="BK409">
        <v>1</v>
      </c>
      <c r="BL409" t="s">
        <v>69</v>
      </c>
      <c r="BM409">
        <v>-1.6830000000000001</v>
      </c>
      <c r="BN409">
        <v>0.51100000000000001</v>
      </c>
    </row>
    <row r="410" spans="2:66">
      <c r="B410">
        <v>668</v>
      </c>
      <c r="C410">
        <v>374</v>
      </c>
      <c r="D410">
        <v>0</v>
      </c>
      <c r="E410">
        <v>16</v>
      </c>
      <c r="F410">
        <v>0</v>
      </c>
      <c r="J410">
        <v>0</v>
      </c>
      <c r="K410">
        <v>0</v>
      </c>
      <c r="L410">
        <v>0</v>
      </c>
      <c r="M410" t="s">
        <v>25022</v>
      </c>
      <c r="N410">
        <v>2649</v>
      </c>
      <c r="O410" t="s">
        <v>15523</v>
      </c>
      <c r="P410" t="s">
        <v>62</v>
      </c>
      <c r="Q410">
        <v>2624788</v>
      </c>
      <c r="R410">
        <v>2625912</v>
      </c>
      <c r="S410" t="s">
        <v>15524</v>
      </c>
      <c r="T410">
        <v>375</v>
      </c>
      <c r="U410" t="s">
        <v>125</v>
      </c>
      <c r="V410">
        <v>48</v>
      </c>
      <c r="W410" t="str">
        <f>HYPERLINK("Gene2649-zp_tree_all.dnd", "Gene2649-tree")</f>
        <v>Gene2649-tree</v>
      </c>
      <c r="X410">
        <v>16</v>
      </c>
      <c r="Y410">
        <v>3</v>
      </c>
      <c r="Z410">
        <v>16</v>
      </c>
      <c r="AA410">
        <v>3</v>
      </c>
      <c r="AB410">
        <v>0.15789</v>
      </c>
      <c r="AC410" t="s">
        <v>60</v>
      </c>
      <c r="AD410" t="s">
        <v>324</v>
      </c>
      <c r="AE410" t="s">
        <v>62</v>
      </c>
      <c r="AF410" t="s">
        <v>62</v>
      </c>
      <c r="AG410">
        <v>0</v>
      </c>
      <c r="AH410">
        <v>0</v>
      </c>
      <c r="AI410">
        <v>9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3</v>
      </c>
      <c r="AT410">
        <v>0</v>
      </c>
      <c r="AU410">
        <v>17</v>
      </c>
      <c r="AV410">
        <v>13</v>
      </c>
      <c r="AW410">
        <v>45</v>
      </c>
      <c r="AX410">
        <v>3</v>
      </c>
      <c r="AY410">
        <v>68</v>
      </c>
      <c r="AZ410">
        <v>6</v>
      </c>
      <c r="BA410" t="s">
        <v>15525</v>
      </c>
      <c r="BB410" t="s">
        <v>15526</v>
      </c>
      <c r="BC410">
        <v>9.2999999999999999E-2</v>
      </c>
      <c r="BD410" t="s">
        <v>65</v>
      </c>
      <c r="BE410">
        <v>113</v>
      </c>
      <c r="BF410">
        <v>9</v>
      </c>
      <c r="BG410" t="s">
        <v>15527</v>
      </c>
      <c r="BH410" t="s">
        <v>15528</v>
      </c>
      <c r="BI410" t="s">
        <v>15529</v>
      </c>
      <c r="BJ410">
        <v>2.214E-2</v>
      </c>
      <c r="BK410">
        <v>1</v>
      </c>
      <c r="BL410" t="s">
        <v>69</v>
      </c>
      <c r="BM410">
        <v>-1.3069999999999999</v>
      </c>
      <c r="BN410">
        <v>-0.44800000000000001</v>
      </c>
    </row>
    <row r="411" spans="2:66">
      <c r="B411">
        <v>669</v>
      </c>
      <c r="C411">
        <v>147</v>
      </c>
      <c r="D411">
        <v>0</v>
      </c>
      <c r="E411">
        <v>21</v>
      </c>
      <c r="F411">
        <v>4</v>
      </c>
      <c r="J411">
        <v>0</v>
      </c>
      <c r="K411">
        <v>0</v>
      </c>
      <c r="L411">
        <v>0</v>
      </c>
      <c r="M411" t="s">
        <v>25022</v>
      </c>
      <c r="N411">
        <v>2650</v>
      </c>
      <c r="O411" t="s">
        <v>15530</v>
      </c>
      <c r="P411" t="s">
        <v>62</v>
      </c>
      <c r="Q411">
        <v>2626115</v>
      </c>
      <c r="R411">
        <v>2627947</v>
      </c>
      <c r="S411" t="s">
        <v>15531</v>
      </c>
      <c r="T411">
        <v>611</v>
      </c>
      <c r="U411" t="s">
        <v>59</v>
      </c>
      <c r="V411">
        <v>49</v>
      </c>
      <c r="W411" t="str">
        <f>HYPERLINK("Gene2650-zp_tree_all.dnd", "Gene2650-tree")</f>
        <v>Gene2650-tree</v>
      </c>
      <c r="X411">
        <v>12</v>
      </c>
      <c r="Y411">
        <v>5</v>
      </c>
      <c r="Z411">
        <v>12</v>
      </c>
      <c r="AA411">
        <v>5</v>
      </c>
      <c r="AB411">
        <v>0.29411999999999999</v>
      </c>
      <c r="AC411" t="s">
        <v>109</v>
      </c>
      <c r="AD411" t="s">
        <v>199</v>
      </c>
      <c r="AE411" t="s">
        <v>62</v>
      </c>
      <c r="AF411" t="s">
        <v>62</v>
      </c>
      <c r="AG411">
        <v>0</v>
      </c>
      <c r="AH411">
        <v>0</v>
      </c>
      <c r="AI411">
        <v>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5</v>
      </c>
      <c r="AT411">
        <v>0</v>
      </c>
      <c r="AU411">
        <v>15</v>
      </c>
      <c r="AV411">
        <v>14</v>
      </c>
      <c r="AW411">
        <v>85</v>
      </c>
      <c r="AX411">
        <v>5</v>
      </c>
      <c r="AY411">
        <v>74</v>
      </c>
      <c r="AZ411">
        <v>3</v>
      </c>
      <c r="BA411" t="s">
        <v>15532</v>
      </c>
      <c r="BB411" t="s">
        <v>15533</v>
      </c>
      <c r="BC411">
        <v>0.25700000000000001</v>
      </c>
      <c r="BD411" t="s">
        <v>65</v>
      </c>
      <c r="BE411">
        <v>159</v>
      </c>
      <c r="BF411">
        <v>8</v>
      </c>
      <c r="BG411" t="s">
        <v>15534</v>
      </c>
      <c r="BH411" t="s">
        <v>15535</v>
      </c>
      <c r="BI411" t="s">
        <v>15536</v>
      </c>
      <c r="BJ411">
        <v>1.8339999999999999E-2</v>
      </c>
      <c r="BK411">
        <v>1</v>
      </c>
      <c r="BL411" t="s">
        <v>69</v>
      </c>
      <c r="BM411">
        <v>-1.4019999999999999</v>
      </c>
      <c r="BN411">
        <v>-1.643</v>
      </c>
    </row>
    <row r="412" spans="2:66">
      <c r="B412">
        <v>670</v>
      </c>
      <c r="C412">
        <v>113</v>
      </c>
      <c r="D412">
        <v>0</v>
      </c>
      <c r="E412">
        <v>5</v>
      </c>
      <c r="F412">
        <v>0</v>
      </c>
      <c r="J412">
        <v>0</v>
      </c>
      <c r="K412">
        <v>0</v>
      </c>
      <c r="L412">
        <v>2</v>
      </c>
      <c r="M412" t="s">
        <v>25022</v>
      </c>
      <c r="N412">
        <v>2651</v>
      </c>
      <c r="O412" t="s">
        <v>15537</v>
      </c>
      <c r="P412" t="s">
        <v>62</v>
      </c>
      <c r="Q412">
        <v>2627974</v>
      </c>
      <c r="R412">
        <v>2628534</v>
      </c>
      <c r="S412" t="s">
        <v>15538</v>
      </c>
      <c r="T412">
        <v>187</v>
      </c>
      <c r="U412" t="s">
        <v>59</v>
      </c>
      <c r="V412">
        <v>49</v>
      </c>
      <c r="W412" t="str">
        <f>HYPERLINK("Gene2651-zp_tree_all.dnd", "Gene2651-tree")</f>
        <v>Gene2651-tree</v>
      </c>
      <c r="X412">
        <v>9</v>
      </c>
      <c r="Y412">
        <v>3</v>
      </c>
      <c r="Z412">
        <v>9</v>
      </c>
      <c r="AA412">
        <v>3</v>
      </c>
      <c r="AB412">
        <v>0.25</v>
      </c>
      <c r="AC412" t="s">
        <v>135</v>
      </c>
      <c r="AD412" t="s">
        <v>324</v>
      </c>
      <c r="AE412" t="s">
        <v>62</v>
      </c>
      <c r="AF412" t="s">
        <v>62</v>
      </c>
      <c r="AG412">
        <v>1</v>
      </c>
      <c r="AH412">
        <v>2</v>
      </c>
      <c r="AI412">
        <v>5</v>
      </c>
      <c r="AJ412">
        <v>0.28571000000000002</v>
      </c>
      <c r="AK412">
        <v>0</v>
      </c>
      <c r="AL412">
        <v>0</v>
      </c>
      <c r="AM412">
        <v>0</v>
      </c>
      <c r="AN412">
        <v>2</v>
      </c>
      <c r="AO412">
        <v>0</v>
      </c>
      <c r="AP412">
        <v>0</v>
      </c>
      <c r="AQ412">
        <v>0</v>
      </c>
      <c r="AR412">
        <v>0</v>
      </c>
      <c r="AS412">
        <v>4</v>
      </c>
      <c r="AT412">
        <v>0</v>
      </c>
      <c r="AU412">
        <v>10</v>
      </c>
      <c r="AV412">
        <v>5</v>
      </c>
      <c r="AW412">
        <v>31</v>
      </c>
      <c r="AX412">
        <v>4</v>
      </c>
      <c r="AY412">
        <v>17</v>
      </c>
      <c r="AZ412">
        <v>3</v>
      </c>
      <c r="BA412" t="s">
        <v>15539</v>
      </c>
      <c r="BB412" t="s">
        <v>15540</v>
      </c>
      <c r="BC412">
        <v>0.20799999999999999</v>
      </c>
      <c r="BD412" t="s">
        <v>65</v>
      </c>
      <c r="BE412">
        <v>48</v>
      </c>
      <c r="BF412">
        <v>7</v>
      </c>
      <c r="BG412" t="s">
        <v>15541</v>
      </c>
      <c r="BH412" t="s">
        <v>15542</v>
      </c>
      <c r="BI412" t="s">
        <v>15543</v>
      </c>
      <c r="BJ412">
        <v>5.2580000000000002E-2</v>
      </c>
      <c r="BK412">
        <v>1</v>
      </c>
      <c r="BL412" t="s">
        <v>69</v>
      </c>
      <c r="BM412">
        <v>-1.948</v>
      </c>
      <c r="BN412">
        <v>-3.4510000000000001</v>
      </c>
    </row>
    <row r="413" spans="2:66">
      <c r="B413">
        <v>671</v>
      </c>
      <c r="C413">
        <v>430</v>
      </c>
      <c r="D413">
        <v>0</v>
      </c>
      <c r="E413">
        <v>13</v>
      </c>
      <c r="F413">
        <v>2</v>
      </c>
      <c r="J413">
        <v>0</v>
      </c>
      <c r="K413">
        <v>0</v>
      </c>
      <c r="L413">
        <v>0</v>
      </c>
      <c r="M413" t="s">
        <v>25022</v>
      </c>
      <c r="N413">
        <v>2652</v>
      </c>
      <c r="O413" t="s">
        <v>15544</v>
      </c>
      <c r="P413" t="s">
        <v>62</v>
      </c>
      <c r="Q413">
        <v>2628609</v>
      </c>
      <c r="R413">
        <v>2629637</v>
      </c>
      <c r="S413" t="s">
        <v>15545</v>
      </c>
      <c r="T413">
        <v>343</v>
      </c>
      <c r="U413" t="s">
        <v>572</v>
      </c>
      <c r="V413">
        <v>48</v>
      </c>
      <c r="W413" t="str">
        <f>HYPERLINK("Gene2652-zp_tree_all.dnd", "Gene2652-tree")</f>
        <v>Gene2652-tree</v>
      </c>
      <c r="X413">
        <v>12</v>
      </c>
      <c r="Y413">
        <v>3</v>
      </c>
      <c r="Z413">
        <v>12</v>
      </c>
      <c r="AA413">
        <v>3</v>
      </c>
      <c r="AB413">
        <v>0.2</v>
      </c>
      <c r="AC413" t="s">
        <v>109</v>
      </c>
      <c r="AD413" t="s">
        <v>324</v>
      </c>
      <c r="AE413" t="s">
        <v>62</v>
      </c>
      <c r="AF413" t="s">
        <v>62</v>
      </c>
      <c r="AG413">
        <v>0</v>
      </c>
      <c r="AH413">
        <v>0</v>
      </c>
      <c r="AI413">
        <v>6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5</v>
      </c>
      <c r="AT413">
        <v>0</v>
      </c>
      <c r="AU413">
        <v>14</v>
      </c>
      <c r="AV413">
        <v>8</v>
      </c>
      <c r="AW413">
        <v>55</v>
      </c>
      <c r="AX413">
        <v>6</v>
      </c>
      <c r="AY413">
        <v>42</v>
      </c>
      <c r="AZ413">
        <v>1</v>
      </c>
      <c r="BA413" t="s">
        <v>15546</v>
      </c>
      <c r="BB413" t="s">
        <v>15547</v>
      </c>
      <c r="BC413">
        <v>0.442</v>
      </c>
      <c r="BD413" t="s">
        <v>65</v>
      </c>
      <c r="BE413">
        <v>97</v>
      </c>
      <c r="BF413">
        <v>7</v>
      </c>
      <c r="BG413" t="s">
        <v>15548</v>
      </c>
      <c r="BH413" t="s">
        <v>15549</v>
      </c>
      <c r="BI413" t="s">
        <v>15522</v>
      </c>
      <c r="BJ413">
        <v>1.366E-2</v>
      </c>
      <c r="BK413">
        <v>1</v>
      </c>
      <c r="BL413" t="s">
        <v>69</v>
      </c>
      <c r="BM413">
        <v>-1.623</v>
      </c>
      <c r="BN413">
        <v>-1.847</v>
      </c>
    </row>
    <row r="414" spans="2:66">
      <c r="B414">
        <v>672</v>
      </c>
      <c r="C414">
        <v>164</v>
      </c>
      <c r="D414">
        <v>0</v>
      </c>
      <c r="E414">
        <v>6</v>
      </c>
      <c r="F414">
        <v>0</v>
      </c>
      <c r="J414">
        <v>0</v>
      </c>
      <c r="K414">
        <v>5</v>
      </c>
      <c r="L414">
        <v>0</v>
      </c>
      <c r="M414" t="s">
        <v>25022</v>
      </c>
      <c r="N414">
        <v>2653</v>
      </c>
      <c r="O414" t="s">
        <v>15550</v>
      </c>
      <c r="P414" t="s">
        <v>62</v>
      </c>
      <c r="Q414">
        <v>2629721</v>
      </c>
      <c r="R414">
        <v>2630857</v>
      </c>
      <c r="S414" t="s">
        <v>6389</v>
      </c>
      <c r="T414">
        <v>379</v>
      </c>
      <c r="U414" t="s">
        <v>108</v>
      </c>
      <c r="V414">
        <v>44</v>
      </c>
      <c r="W414" t="str">
        <f>HYPERLINK("Gene2653-zp_tree_all.dnd", "Gene2653-tree")</f>
        <v>Gene2653-tree</v>
      </c>
      <c r="X414">
        <v>7</v>
      </c>
      <c r="Y414">
        <v>8</v>
      </c>
      <c r="Z414">
        <v>7</v>
      </c>
      <c r="AA414">
        <v>8</v>
      </c>
      <c r="AB414">
        <v>0.53332999999999997</v>
      </c>
      <c r="AC414" t="s">
        <v>152</v>
      </c>
      <c r="AD414" t="s">
        <v>136</v>
      </c>
      <c r="AE414" t="s">
        <v>62</v>
      </c>
      <c r="AF414" t="s">
        <v>62</v>
      </c>
      <c r="AG414">
        <v>2</v>
      </c>
      <c r="AH414">
        <v>5</v>
      </c>
      <c r="AI414">
        <v>7</v>
      </c>
      <c r="AJ414">
        <v>0.41666999999999998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2</v>
      </c>
      <c r="AQ414">
        <v>0</v>
      </c>
      <c r="AR414">
        <v>2</v>
      </c>
      <c r="AS414">
        <v>7</v>
      </c>
      <c r="AT414">
        <v>0.22222</v>
      </c>
      <c r="AU414">
        <v>12</v>
      </c>
      <c r="AV414">
        <v>10</v>
      </c>
      <c r="AW414">
        <v>34</v>
      </c>
      <c r="AX414">
        <v>8</v>
      </c>
      <c r="AY414">
        <v>21</v>
      </c>
      <c r="AZ414">
        <v>4</v>
      </c>
      <c r="BA414" t="s">
        <v>15551</v>
      </c>
      <c r="BB414" t="s">
        <v>15552</v>
      </c>
      <c r="BC414">
        <v>0.28199999999999997</v>
      </c>
      <c r="BD414" t="s">
        <v>65</v>
      </c>
      <c r="BE414">
        <v>55</v>
      </c>
      <c r="BF414">
        <v>12</v>
      </c>
      <c r="BG414" t="s">
        <v>15553</v>
      </c>
      <c r="BH414" t="s">
        <v>15554</v>
      </c>
      <c r="BI414" t="s">
        <v>15555</v>
      </c>
      <c r="BJ414">
        <v>5.5509999999999997E-2</v>
      </c>
      <c r="BK414">
        <v>1</v>
      </c>
      <c r="BL414" t="s">
        <v>69</v>
      </c>
      <c r="BM414">
        <v>-0.13600000000000001</v>
      </c>
      <c r="BN414">
        <v>-1.383</v>
      </c>
    </row>
    <row r="415" spans="2:66">
      <c r="B415">
        <v>674</v>
      </c>
      <c r="C415">
        <v>142</v>
      </c>
      <c r="D415">
        <v>0</v>
      </c>
      <c r="E415">
        <v>4</v>
      </c>
      <c r="F415">
        <v>0</v>
      </c>
      <c r="J415">
        <v>0</v>
      </c>
      <c r="K415">
        <v>0</v>
      </c>
      <c r="L415">
        <v>0</v>
      </c>
      <c r="M415" t="s">
        <v>25022</v>
      </c>
      <c r="N415">
        <v>2654</v>
      </c>
      <c r="O415" t="s">
        <v>15556</v>
      </c>
      <c r="P415" t="s">
        <v>62</v>
      </c>
      <c r="Q415">
        <v>2630913</v>
      </c>
      <c r="R415">
        <v>2632748</v>
      </c>
      <c r="S415" t="s">
        <v>15557</v>
      </c>
      <c r="T415">
        <v>612</v>
      </c>
      <c r="U415" t="s">
        <v>289</v>
      </c>
      <c r="V415">
        <v>46</v>
      </c>
      <c r="W415" t="str">
        <f>HYPERLINK("Gene2654-zp_tree_all.dnd", "Gene2654-tree")</f>
        <v>Gene2654-tree</v>
      </c>
      <c r="X415">
        <v>15</v>
      </c>
      <c r="Y415">
        <v>1</v>
      </c>
      <c r="Z415">
        <v>15</v>
      </c>
      <c r="AA415">
        <v>1</v>
      </c>
      <c r="AB415">
        <v>6.25E-2</v>
      </c>
      <c r="AC415" t="s">
        <v>100</v>
      </c>
      <c r="AD415" t="s">
        <v>175</v>
      </c>
      <c r="AE415" t="s">
        <v>62</v>
      </c>
      <c r="AF415" t="s">
        <v>62</v>
      </c>
      <c r="AG415">
        <v>0</v>
      </c>
      <c r="AH415">
        <v>0</v>
      </c>
      <c r="AI415">
        <v>4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15</v>
      </c>
      <c r="AV415">
        <v>10</v>
      </c>
      <c r="AW415">
        <v>75</v>
      </c>
      <c r="AX415">
        <v>1</v>
      </c>
      <c r="AY415">
        <v>80</v>
      </c>
      <c r="AZ415">
        <v>3</v>
      </c>
      <c r="BA415" t="s">
        <v>15558</v>
      </c>
      <c r="BB415" t="s">
        <v>15559</v>
      </c>
      <c r="BC415">
        <v>0.13200000000000001</v>
      </c>
      <c r="BD415" t="s">
        <v>65</v>
      </c>
      <c r="BE415">
        <v>155</v>
      </c>
      <c r="BF415">
        <v>4</v>
      </c>
      <c r="BG415" t="s">
        <v>15560</v>
      </c>
      <c r="BH415" t="s">
        <v>15561</v>
      </c>
      <c r="BI415" t="s">
        <v>15562</v>
      </c>
      <c r="BJ415">
        <v>8.2299999999999995E-3</v>
      </c>
      <c r="BK415">
        <v>1</v>
      </c>
      <c r="BL415" t="s">
        <v>69</v>
      </c>
      <c r="BM415">
        <v>-2.0510000000000002</v>
      </c>
      <c r="BN415">
        <v>-1.3109999999999999</v>
      </c>
    </row>
    <row r="416" spans="2:66">
      <c r="B416">
        <v>676</v>
      </c>
      <c r="C416">
        <v>138</v>
      </c>
      <c r="D416">
        <v>0</v>
      </c>
      <c r="E416">
        <v>3</v>
      </c>
      <c r="F416">
        <v>0</v>
      </c>
      <c r="J416">
        <v>0</v>
      </c>
      <c r="K416">
        <v>2</v>
      </c>
      <c r="L416">
        <v>0</v>
      </c>
      <c r="M416" t="s">
        <v>25022</v>
      </c>
      <c r="N416">
        <v>2655</v>
      </c>
      <c r="O416" t="s">
        <v>15563</v>
      </c>
      <c r="P416" t="s">
        <v>62</v>
      </c>
      <c r="Q416">
        <v>2632885</v>
      </c>
      <c r="R416">
        <v>2633220</v>
      </c>
      <c r="S416" t="s">
        <v>116</v>
      </c>
      <c r="T416">
        <v>112</v>
      </c>
      <c r="U416" t="s">
        <v>108</v>
      </c>
      <c r="V416">
        <v>44</v>
      </c>
      <c r="W416" t="str">
        <f>HYPERLINK("Gene2655-zp_tree_all.dnd", "Gene2655-tree")</f>
        <v>Gene2655-tree</v>
      </c>
      <c r="X416">
        <v>3</v>
      </c>
      <c r="Y416">
        <v>5</v>
      </c>
      <c r="Z416">
        <v>3</v>
      </c>
      <c r="AA416">
        <v>5</v>
      </c>
      <c r="AB416">
        <v>0.625</v>
      </c>
      <c r="AC416" t="s">
        <v>324</v>
      </c>
      <c r="AD416" t="s">
        <v>199</v>
      </c>
      <c r="AE416" t="s">
        <v>62</v>
      </c>
      <c r="AF416" t="s">
        <v>62</v>
      </c>
      <c r="AG416">
        <v>1</v>
      </c>
      <c r="AH416">
        <v>2</v>
      </c>
      <c r="AI416">
        <v>6</v>
      </c>
      <c r="AJ416">
        <v>0.25</v>
      </c>
      <c r="AK416">
        <v>0</v>
      </c>
      <c r="AL416">
        <v>0</v>
      </c>
      <c r="AM416">
        <v>0</v>
      </c>
      <c r="AN416">
        <v>3</v>
      </c>
      <c r="AO416">
        <v>0</v>
      </c>
      <c r="AP416">
        <v>0</v>
      </c>
      <c r="AQ416">
        <v>0</v>
      </c>
      <c r="AR416">
        <v>0</v>
      </c>
      <c r="AS416">
        <v>5</v>
      </c>
      <c r="AT416">
        <v>0</v>
      </c>
      <c r="AU416">
        <v>4</v>
      </c>
      <c r="AV416">
        <v>4</v>
      </c>
      <c r="AW416">
        <v>6</v>
      </c>
      <c r="AX416">
        <v>4</v>
      </c>
      <c r="AY416">
        <v>2</v>
      </c>
      <c r="AZ416">
        <v>4</v>
      </c>
      <c r="BA416" t="s">
        <v>15564</v>
      </c>
      <c r="BB416" t="s">
        <v>15565</v>
      </c>
      <c r="BC416">
        <v>0.499</v>
      </c>
      <c r="BD416" t="s">
        <v>65</v>
      </c>
      <c r="BE416">
        <v>8</v>
      </c>
      <c r="BF416">
        <v>8</v>
      </c>
      <c r="BG416" t="s">
        <v>15566</v>
      </c>
      <c r="BH416" t="s">
        <v>15567</v>
      </c>
      <c r="BI416" t="s">
        <v>15568</v>
      </c>
      <c r="BJ416">
        <v>0.30003000000000002</v>
      </c>
      <c r="BK416">
        <v>0.94899999999999995</v>
      </c>
      <c r="BL416" t="s">
        <v>635</v>
      </c>
      <c r="BM416">
        <v>0.79100000000000004</v>
      </c>
      <c r="BN416">
        <v>1.538</v>
      </c>
    </row>
    <row r="417" spans="2:66">
      <c r="B417">
        <v>677</v>
      </c>
      <c r="C417">
        <v>66</v>
      </c>
      <c r="D417">
        <v>0</v>
      </c>
      <c r="E417">
        <v>9</v>
      </c>
      <c r="F417">
        <v>7</v>
      </c>
      <c r="J417">
        <v>0</v>
      </c>
      <c r="K417">
        <v>0</v>
      </c>
      <c r="L417">
        <v>0</v>
      </c>
      <c r="M417" t="s">
        <v>25022</v>
      </c>
      <c r="N417">
        <v>2656</v>
      </c>
      <c r="O417" t="s">
        <v>15569</v>
      </c>
      <c r="P417" t="s">
        <v>62</v>
      </c>
      <c r="Q417">
        <v>2633240</v>
      </c>
      <c r="R417">
        <v>2634442</v>
      </c>
      <c r="S417" t="s">
        <v>15570</v>
      </c>
      <c r="T417">
        <v>401</v>
      </c>
      <c r="U417" t="s">
        <v>265</v>
      </c>
      <c r="V417">
        <v>43</v>
      </c>
      <c r="W417" t="str">
        <f>HYPERLINK("Gene2656-zp_tree_all.dnd", "Gene2656-tree")</f>
        <v>Gene2656-tree</v>
      </c>
      <c r="X417">
        <v>10</v>
      </c>
      <c r="Y417">
        <v>3</v>
      </c>
      <c r="Z417">
        <v>10</v>
      </c>
      <c r="AA417">
        <v>3</v>
      </c>
      <c r="AB417">
        <v>0.23077</v>
      </c>
      <c r="AC417" t="s">
        <v>117</v>
      </c>
      <c r="AD417" t="s">
        <v>324</v>
      </c>
      <c r="AE417" t="s">
        <v>62</v>
      </c>
      <c r="AF417" t="s">
        <v>62</v>
      </c>
      <c r="AG417">
        <v>0</v>
      </c>
      <c r="AH417">
        <v>0</v>
      </c>
      <c r="AI417">
        <v>4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3</v>
      </c>
      <c r="AT417">
        <v>0</v>
      </c>
      <c r="AU417">
        <v>11</v>
      </c>
      <c r="AV417">
        <v>8</v>
      </c>
      <c r="AW417">
        <v>36</v>
      </c>
      <c r="AX417">
        <v>3</v>
      </c>
      <c r="AY417">
        <v>34</v>
      </c>
      <c r="AZ417">
        <v>1</v>
      </c>
      <c r="BA417" t="s">
        <v>15571</v>
      </c>
      <c r="BB417" t="s">
        <v>15572</v>
      </c>
      <c r="BC417">
        <v>0.50800000000000001</v>
      </c>
      <c r="BD417" t="s">
        <v>65</v>
      </c>
      <c r="BE417">
        <v>70</v>
      </c>
      <c r="BF417">
        <v>4</v>
      </c>
      <c r="BG417" t="s">
        <v>15573</v>
      </c>
      <c r="BH417" t="s">
        <v>15574</v>
      </c>
      <c r="BI417" t="s">
        <v>15575</v>
      </c>
      <c r="BJ417">
        <v>1.7160000000000002E-2</v>
      </c>
      <c r="BK417">
        <v>1</v>
      </c>
      <c r="BL417" t="s">
        <v>69</v>
      </c>
      <c r="BM417">
        <v>0.13600000000000001</v>
      </c>
      <c r="BN417">
        <v>0.36899999999999999</v>
      </c>
    </row>
    <row r="418" spans="2:66">
      <c r="B418">
        <v>678</v>
      </c>
      <c r="C418">
        <v>64</v>
      </c>
      <c r="D418">
        <v>0</v>
      </c>
      <c r="E418">
        <v>9</v>
      </c>
      <c r="F418">
        <v>0</v>
      </c>
      <c r="J418">
        <v>0</v>
      </c>
      <c r="K418">
        <v>0</v>
      </c>
      <c r="L418">
        <v>0</v>
      </c>
      <c r="M418" t="s">
        <v>25022</v>
      </c>
      <c r="N418">
        <v>2657</v>
      </c>
      <c r="O418" t="s">
        <v>15576</v>
      </c>
      <c r="P418" t="s">
        <v>62</v>
      </c>
      <c r="Q418">
        <v>2634508</v>
      </c>
      <c r="R418">
        <v>2635611</v>
      </c>
      <c r="S418" t="s">
        <v>15577</v>
      </c>
      <c r="T418">
        <v>368</v>
      </c>
      <c r="U418" t="s">
        <v>108</v>
      </c>
      <c r="V418">
        <v>44</v>
      </c>
      <c r="W418" t="str">
        <f>HYPERLINK("Gene2657-zp_tree_all.dnd", "Gene2657-tree")</f>
        <v>Gene2657-tree</v>
      </c>
      <c r="X418">
        <v>10</v>
      </c>
      <c r="Y418">
        <v>3</v>
      </c>
      <c r="Z418">
        <v>10</v>
      </c>
      <c r="AA418">
        <v>3</v>
      </c>
      <c r="AB418">
        <v>0.23077</v>
      </c>
      <c r="AC418" t="s">
        <v>117</v>
      </c>
      <c r="AD418" t="s">
        <v>324</v>
      </c>
      <c r="AE418" t="s">
        <v>62</v>
      </c>
      <c r="AF418" t="s">
        <v>62</v>
      </c>
      <c r="AG418">
        <v>0</v>
      </c>
      <c r="AH418">
        <v>0</v>
      </c>
      <c r="AI418">
        <v>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4</v>
      </c>
      <c r="AT418">
        <v>0</v>
      </c>
      <c r="AU418">
        <v>11</v>
      </c>
      <c r="AV418">
        <v>9</v>
      </c>
      <c r="AW418">
        <v>28</v>
      </c>
      <c r="AX418">
        <v>3</v>
      </c>
      <c r="AY418">
        <v>14</v>
      </c>
      <c r="AZ418">
        <v>1</v>
      </c>
      <c r="BA418" t="s">
        <v>15578</v>
      </c>
      <c r="BB418" t="s">
        <v>15579</v>
      </c>
      <c r="BC418">
        <v>0.127</v>
      </c>
      <c r="BD418" t="s">
        <v>65</v>
      </c>
      <c r="BE418">
        <v>42</v>
      </c>
      <c r="BF418">
        <v>4</v>
      </c>
      <c r="BG418" t="s">
        <v>15580</v>
      </c>
      <c r="BH418" t="s">
        <v>15581</v>
      </c>
      <c r="BI418" t="s">
        <v>13850</v>
      </c>
      <c r="BJ418">
        <v>2.6270000000000002E-2</v>
      </c>
      <c r="BK418">
        <v>1</v>
      </c>
      <c r="BL418" t="s">
        <v>69</v>
      </c>
      <c r="BM418">
        <v>-1.121</v>
      </c>
      <c r="BN418">
        <v>-2.5310000000000001</v>
      </c>
    </row>
    <row r="419" spans="2:66">
      <c r="B419">
        <v>679</v>
      </c>
      <c r="C419">
        <v>65</v>
      </c>
      <c r="D419">
        <v>0</v>
      </c>
      <c r="E419">
        <v>10</v>
      </c>
      <c r="F419">
        <v>3</v>
      </c>
      <c r="J419">
        <v>0</v>
      </c>
      <c r="K419">
        <v>4</v>
      </c>
      <c r="L419">
        <v>2</v>
      </c>
      <c r="M419" t="s">
        <v>25022</v>
      </c>
      <c r="N419">
        <v>2659</v>
      </c>
      <c r="O419" t="s">
        <v>15589</v>
      </c>
      <c r="P419" t="s">
        <v>62</v>
      </c>
      <c r="Q419">
        <v>2636099</v>
      </c>
      <c r="R419">
        <v>2637139</v>
      </c>
      <c r="S419" t="s">
        <v>15590</v>
      </c>
      <c r="T419">
        <v>347</v>
      </c>
      <c r="U419" t="s">
        <v>59</v>
      </c>
      <c r="V419">
        <v>49</v>
      </c>
      <c r="W419" t="str">
        <f>HYPERLINK("Gene2659-zp_tree_all.dnd", "Gene2659-tree")</f>
        <v>Gene2659-tree</v>
      </c>
      <c r="X419">
        <v>5</v>
      </c>
      <c r="Y419">
        <v>13</v>
      </c>
      <c r="Z419">
        <v>5</v>
      </c>
      <c r="AA419">
        <v>13</v>
      </c>
      <c r="AB419">
        <v>0.72221999999999997</v>
      </c>
      <c r="AC419" t="s">
        <v>199</v>
      </c>
      <c r="AD419" t="s">
        <v>507</v>
      </c>
      <c r="AE419" t="s">
        <v>62</v>
      </c>
      <c r="AF419" t="s">
        <v>62</v>
      </c>
      <c r="AG419">
        <v>2</v>
      </c>
      <c r="AH419">
        <v>6</v>
      </c>
      <c r="AI419">
        <v>15</v>
      </c>
      <c r="AJ419">
        <v>0.28571000000000002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3</v>
      </c>
      <c r="AQ419">
        <v>0</v>
      </c>
      <c r="AR419">
        <v>3</v>
      </c>
      <c r="AS419">
        <v>13</v>
      </c>
      <c r="AT419">
        <v>0.1875</v>
      </c>
      <c r="AU419">
        <v>17</v>
      </c>
      <c r="AV419">
        <v>12</v>
      </c>
      <c r="AW419">
        <v>66</v>
      </c>
      <c r="AX419">
        <v>16</v>
      </c>
      <c r="AY419">
        <v>74</v>
      </c>
      <c r="AZ419">
        <v>5</v>
      </c>
      <c r="BA419" t="s">
        <v>15591</v>
      </c>
      <c r="BB419" t="s">
        <v>15592</v>
      </c>
      <c r="BC419">
        <v>1.353</v>
      </c>
      <c r="BD419" t="s">
        <v>65</v>
      </c>
      <c r="BE419">
        <v>140</v>
      </c>
      <c r="BF419">
        <v>21</v>
      </c>
      <c r="BG419" t="s">
        <v>15593</v>
      </c>
      <c r="BH419" t="s">
        <v>15594</v>
      </c>
      <c r="BI419" t="s">
        <v>15595</v>
      </c>
      <c r="BJ419">
        <v>3.3210000000000003E-2</v>
      </c>
      <c r="BK419">
        <v>1</v>
      </c>
      <c r="BL419" t="s">
        <v>69</v>
      </c>
      <c r="BM419">
        <v>-1.3680000000000001</v>
      </c>
      <c r="BN419">
        <v>-1.5880000000000001</v>
      </c>
    </row>
    <row r="420" spans="2:66">
      <c r="B420">
        <v>681</v>
      </c>
      <c r="C420">
        <v>134</v>
      </c>
      <c r="D420">
        <v>0</v>
      </c>
      <c r="E420">
        <v>4</v>
      </c>
      <c r="F420">
        <v>2</v>
      </c>
      <c r="J420">
        <v>0</v>
      </c>
      <c r="K420">
        <v>0</v>
      </c>
      <c r="L420">
        <v>0</v>
      </c>
      <c r="M420" t="s">
        <v>25022</v>
      </c>
      <c r="N420">
        <v>2660</v>
      </c>
      <c r="O420" t="s">
        <v>15596</v>
      </c>
      <c r="P420" t="s">
        <v>62</v>
      </c>
      <c r="Q420">
        <v>2637182</v>
      </c>
      <c r="R420">
        <v>2637328</v>
      </c>
      <c r="S420" t="s">
        <v>15597</v>
      </c>
      <c r="T420">
        <v>49</v>
      </c>
      <c r="U420" t="s">
        <v>59</v>
      </c>
      <c r="V420">
        <v>49</v>
      </c>
      <c r="W420" t="str">
        <f>HYPERLINK("Gene2660-zp_tree_all.dnd", "Gene2660-tree")</f>
        <v>Gene2660-tree</v>
      </c>
      <c r="X420">
        <v>2</v>
      </c>
      <c r="Y420">
        <v>3</v>
      </c>
      <c r="Z420">
        <v>2</v>
      </c>
      <c r="AA420">
        <v>3</v>
      </c>
      <c r="AB420">
        <v>0.6</v>
      </c>
      <c r="AC420" t="s">
        <v>81</v>
      </c>
      <c r="AD420" t="s">
        <v>324</v>
      </c>
      <c r="AE420" t="s">
        <v>62</v>
      </c>
      <c r="AF420" t="s">
        <v>62</v>
      </c>
      <c r="AG420">
        <v>0</v>
      </c>
      <c r="AH420">
        <v>0</v>
      </c>
      <c r="AI420">
        <v>3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3</v>
      </c>
      <c r="AT420">
        <v>0</v>
      </c>
      <c r="AU420">
        <v>4</v>
      </c>
      <c r="AV420">
        <v>0</v>
      </c>
      <c r="AW420">
        <v>2</v>
      </c>
      <c r="AX420">
        <v>3</v>
      </c>
      <c r="AY420">
        <v>0</v>
      </c>
      <c r="AZ420">
        <v>0</v>
      </c>
      <c r="BA420" t="s">
        <v>15598</v>
      </c>
      <c r="BB420" t="s">
        <v>193</v>
      </c>
      <c r="BC420">
        <v>1.5</v>
      </c>
      <c r="BD420" t="s">
        <v>65</v>
      </c>
      <c r="BE420">
        <v>2</v>
      </c>
      <c r="BF420">
        <v>3</v>
      </c>
      <c r="BG420" t="s">
        <v>15599</v>
      </c>
      <c r="BH420" t="s">
        <v>15600</v>
      </c>
      <c r="BI420" t="s">
        <v>15601</v>
      </c>
      <c r="BJ420">
        <v>0.49543999999999999</v>
      </c>
      <c r="BK420">
        <v>0.72199999999999998</v>
      </c>
      <c r="BL420" t="s">
        <v>635</v>
      </c>
      <c r="BM420">
        <v>-1.736</v>
      </c>
      <c r="BN420">
        <v>-0.82099999999999995</v>
      </c>
    </row>
    <row r="421" spans="2:66">
      <c r="B421">
        <v>682</v>
      </c>
      <c r="C421">
        <v>309</v>
      </c>
      <c r="D421">
        <v>0</v>
      </c>
      <c r="E421">
        <v>10</v>
      </c>
      <c r="F421">
        <v>1</v>
      </c>
      <c r="J421">
        <v>0</v>
      </c>
      <c r="K421">
        <v>40</v>
      </c>
      <c r="L421">
        <v>2</v>
      </c>
      <c r="M421" t="s">
        <v>25022</v>
      </c>
      <c r="N421">
        <v>2661</v>
      </c>
      <c r="O421" t="s">
        <v>15602</v>
      </c>
      <c r="P421" t="s">
        <v>62</v>
      </c>
      <c r="Q421">
        <v>2637546</v>
      </c>
      <c r="R421">
        <v>2639873</v>
      </c>
      <c r="S421" t="s">
        <v>15603</v>
      </c>
      <c r="T421">
        <v>776</v>
      </c>
      <c r="U421" t="s">
        <v>108</v>
      </c>
      <c r="V421">
        <v>44</v>
      </c>
      <c r="W421" t="str">
        <f>HYPERLINK("Gene2661-zp_tree_all.dnd", "Gene2661-tree")</f>
        <v>Gene2661-tree</v>
      </c>
      <c r="X421">
        <v>0</v>
      </c>
      <c r="Y421">
        <v>35</v>
      </c>
      <c r="Z421">
        <v>0</v>
      </c>
      <c r="AA421">
        <v>14</v>
      </c>
      <c r="AB421">
        <v>1</v>
      </c>
      <c r="AC421" t="s">
        <v>62</v>
      </c>
      <c r="AD421" t="s">
        <v>15604</v>
      </c>
      <c r="AE421">
        <v>4.1399999999999997</v>
      </c>
      <c r="AF421" t="s">
        <v>65</v>
      </c>
      <c r="AG421">
        <v>18</v>
      </c>
      <c r="AH421">
        <v>42</v>
      </c>
      <c r="AI421">
        <v>53</v>
      </c>
      <c r="AJ421">
        <v>0.44211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16</v>
      </c>
      <c r="AQ421">
        <v>2</v>
      </c>
      <c r="AR421">
        <v>18</v>
      </c>
      <c r="AS421">
        <v>56</v>
      </c>
      <c r="AT421">
        <v>0.24324000000000001</v>
      </c>
      <c r="AU421">
        <v>13</v>
      </c>
      <c r="AV421">
        <v>11</v>
      </c>
      <c r="AW421">
        <v>88</v>
      </c>
      <c r="AX421">
        <v>68</v>
      </c>
      <c r="AY421">
        <v>48</v>
      </c>
      <c r="AZ421">
        <v>27</v>
      </c>
      <c r="BA421" t="s">
        <v>15605</v>
      </c>
      <c r="BB421" t="s">
        <v>15606</v>
      </c>
      <c r="BC421">
        <v>0.60599999999999998</v>
      </c>
      <c r="BD421" t="s">
        <v>65</v>
      </c>
      <c r="BE421">
        <v>136</v>
      </c>
      <c r="BF421">
        <v>95</v>
      </c>
      <c r="BG421" t="s">
        <v>15607</v>
      </c>
      <c r="BH421" t="s">
        <v>15608</v>
      </c>
      <c r="BI421" t="s">
        <v>15609</v>
      </c>
      <c r="BJ421">
        <v>0.21682999999999999</v>
      </c>
      <c r="BK421">
        <v>1</v>
      </c>
      <c r="BL421" t="s">
        <v>69</v>
      </c>
      <c r="BM421">
        <v>-0.78700000000000003</v>
      </c>
      <c r="BN421">
        <v>-1.833</v>
      </c>
    </row>
    <row r="422" spans="2:66">
      <c r="B422">
        <v>685</v>
      </c>
      <c r="C422">
        <v>70</v>
      </c>
      <c r="D422">
        <v>0</v>
      </c>
      <c r="E422">
        <v>2</v>
      </c>
      <c r="F422">
        <v>0</v>
      </c>
      <c r="J422">
        <v>0</v>
      </c>
      <c r="K422">
        <v>0</v>
      </c>
      <c r="L422">
        <v>0</v>
      </c>
      <c r="M422" t="s">
        <v>25022</v>
      </c>
      <c r="N422">
        <v>2662</v>
      </c>
      <c r="O422" t="s">
        <v>15610</v>
      </c>
      <c r="P422" t="s">
        <v>62</v>
      </c>
      <c r="Q422">
        <v>2639880</v>
      </c>
      <c r="R422">
        <v>2640446</v>
      </c>
      <c r="S422" t="s">
        <v>15611</v>
      </c>
      <c r="T422">
        <v>189</v>
      </c>
      <c r="U422" t="s">
        <v>108</v>
      </c>
      <c r="V422">
        <v>44</v>
      </c>
      <c r="W422" t="str">
        <f>HYPERLINK("Gene2662-zp_tree_all.dnd", "Gene2662-tree")</f>
        <v>Gene2662-tree</v>
      </c>
      <c r="X422">
        <v>9</v>
      </c>
      <c r="Y422">
        <v>2</v>
      </c>
      <c r="Z422">
        <v>9</v>
      </c>
      <c r="AA422">
        <v>2</v>
      </c>
      <c r="AB422">
        <v>0.18182000000000001</v>
      </c>
      <c r="AC422" t="s">
        <v>135</v>
      </c>
      <c r="AD422" t="s">
        <v>81</v>
      </c>
      <c r="AE422" t="s">
        <v>62</v>
      </c>
      <c r="AF422" t="s">
        <v>62</v>
      </c>
      <c r="AG422">
        <v>0</v>
      </c>
      <c r="AH422">
        <v>0</v>
      </c>
      <c r="AI422">
        <v>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2</v>
      </c>
      <c r="AT422">
        <v>0</v>
      </c>
      <c r="AU422">
        <v>7</v>
      </c>
      <c r="AV422">
        <v>8</v>
      </c>
      <c r="AW422">
        <v>11</v>
      </c>
      <c r="AX422">
        <v>2</v>
      </c>
      <c r="AY422">
        <v>13</v>
      </c>
      <c r="AZ422">
        <v>0</v>
      </c>
      <c r="BA422" t="s">
        <v>15612</v>
      </c>
      <c r="BB422" t="s">
        <v>193</v>
      </c>
      <c r="BC422">
        <v>0.97299999999999998</v>
      </c>
      <c r="BD422" t="s">
        <v>65</v>
      </c>
      <c r="BE422">
        <v>24</v>
      </c>
      <c r="BF422">
        <v>2</v>
      </c>
      <c r="BG422" t="s">
        <v>15613</v>
      </c>
      <c r="BH422" t="s">
        <v>15614</v>
      </c>
      <c r="BI422" t="s">
        <v>15615</v>
      </c>
      <c r="BJ422">
        <v>1.7270000000000001E-2</v>
      </c>
      <c r="BK422">
        <v>1</v>
      </c>
      <c r="BL422" t="s">
        <v>69</v>
      </c>
      <c r="BM422">
        <v>-9.6000000000000002E-2</v>
      </c>
      <c r="BN422">
        <v>-0.68200000000000005</v>
      </c>
    </row>
    <row r="423" spans="2:66">
      <c r="B423">
        <v>686</v>
      </c>
      <c r="C423">
        <v>90</v>
      </c>
      <c r="D423">
        <v>0</v>
      </c>
      <c r="E423">
        <v>7</v>
      </c>
      <c r="F423">
        <v>2</v>
      </c>
      <c r="J423">
        <v>0</v>
      </c>
      <c r="K423">
        <v>10</v>
      </c>
      <c r="L423">
        <v>1</v>
      </c>
      <c r="M423" t="s">
        <v>25022</v>
      </c>
      <c r="N423">
        <v>2663</v>
      </c>
      <c r="O423" t="s">
        <v>15616</v>
      </c>
      <c r="P423" t="s">
        <v>62</v>
      </c>
      <c r="Q423">
        <v>2640516</v>
      </c>
      <c r="R423">
        <v>2641130</v>
      </c>
      <c r="S423" t="s">
        <v>15617</v>
      </c>
      <c r="T423">
        <v>205</v>
      </c>
      <c r="U423" t="s">
        <v>15618</v>
      </c>
      <c r="V423">
        <v>43</v>
      </c>
      <c r="W423" t="str">
        <f>HYPERLINK("Gene2663-zp_tree_all.dnd", "Gene2663-tree")</f>
        <v>Gene2663-tree</v>
      </c>
      <c r="X423">
        <v>3</v>
      </c>
      <c r="Y423">
        <v>9</v>
      </c>
      <c r="Z423">
        <v>3</v>
      </c>
      <c r="AA423">
        <v>9</v>
      </c>
      <c r="AB423">
        <v>0.75</v>
      </c>
      <c r="AC423" t="s">
        <v>324</v>
      </c>
      <c r="AD423" t="s">
        <v>135</v>
      </c>
      <c r="AE423" t="s">
        <v>62</v>
      </c>
      <c r="AF423" t="s">
        <v>62</v>
      </c>
      <c r="AG423">
        <v>4</v>
      </c>
      <c r="AH423">
        <v>11</v>
      </c>
      <c r="AI423">
        <v>22</v>
      </c>
      <c r="AJ423">
        <v>0.33333000000000002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2</v>
      </c>
      <c r="AQ423">
        <v>2</v>
      </c>
      <c r="AR423">
        <v>4</v>
      </c>
      <c r="AS423">
        <v>21</v>
      </c>
      <c r="AT423">
        <v>0.16</v>
      </c>
      <c r="AU423">
        <v>11</v>
      </c>
      <c r="AV423">
        <v>6</v>
      </c>
      <c r="AW423">
        <v>17</v>
      </c>
      <c r="AX423">
        <v>25</v>
      </c>
      <c r="AY423">
        <v>7</v>
      </c>
      <c r="AZ423">
        <v>9</v>
      </c>
      <c r="BA423" t="s">
        <v>15619</v>
      </c>
      <c r="BB423" t="s">
        <v>15620</v>
      </c>
      <c r="BC423">
        <v>0.26200000000000001</v>
      </c>
      <c r="BD423" t="s">
        <v>65</v>
      </c>
      <c r="BE423">
        <v>24</v>
      </c>
      <c r="BF423">
        <v>34</v>
      </c>
      <c r="BG423" t="s">
        <v>15621</v>
      </c>
      <c r="BH423" t="s">
        <v>15622</v>
      </c>
      <c r="BI423" t="s">
        <v>15623</v>
      </c>
      <c r="BJ423">
        <v>0.36397000000000002</v>
      </c>
      <c r="BK423">
        <v>0.96</v>
      </c>
      <c r="BL423" t="s">
        <v>69</v>
      </c>
      <c r="BM423">
        <v>-1.6930000000000001</v>
      </c>
      <c r="BN423">
        <v>-2.5619999999999998</v>
      </c>
    </row>
    <row r="424" spans="2:66">
      <c r="B424">
        <v>687</v>
      </c>
      <c r="C424">
        <v>386</v>
      </c>
      <c r="D424">
        <v>0</v>
      </c>
      <c r="E424">
        <v>20</v>
      </c>
      <c r="F424">
        <v>3</v>
      </c>
      <c r="J424">
        <v>0</v>
      </c>
      <c r="K424">
        <v>4</v>
      </c>
      <c r="L424">
        <v>4</v>
      </c>
      <c r="M424" t="s">
        <v>25022</v>
      </c>
      <c r="N424">
        <v>2665</v>
      </c>
      <c r="O424" t="s">
        <v>15631</v>
      </c>
      <c r="P424" t="s">
        <v>62</v>
      </c>
      <c r="Q424">
        <v>2642104</v>
      </c>
      <c r="R424">
        <v>2642844</v>
      </c>
      <c r="S424" t="s">
        <v>1075</v>
      </c>
      <c r="T424">
        <v>247</v>
      </c>
      <c r="U424" t="s">
        <v>108</v>
      </c>
      <c r="V424">
        <v>44</v>
      </c>
      <c r="W424" t="str">
        <f>HYPERLINK("Gene2665-zp_tree_all.dnd", "Gene2665-tree")</f>
        <v>Gene2665-tree</v>
      </c>
      <c r="X424">
        <v>6</v>
      </c>
      <c r="Y424">
        <v>8</v>
      </c>
      <c r="Z424">
        <v>6</v>
      </c>
      <c r="AA424">
        <v>8</v>
      </c>
      <c r="AB424">
        <v>0.57142999999999999</v>
      </c>
      <c r="AC424" t="s">
        <v>90</v>
      </c>
      <c r="AD424" t="s">
        <v>136</v>
      </c>
      <c r="AE424" t="s">
        <v>62</v>
      </c>
      <c r="AF424" t="s">
        <v>62</v>
      </c>
      <c r="AG424">
        <v>3</v>
      </c>
      <c r="AH424">
        <v>8</v>
      </c>
      <c r="AI424">
        <v>8</v>
      </c>
      <c r="AJ424">
        <v>0.5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5</v>
      </c>
      <c r="AR424">
        <v>5</v>
      </c>
      <c r="AS424">
        <v>6</v>
      </c>
      <c r="AT424">
        <v>0.45455000000000001</v>
      </c>
      <c r="AU424">
        <v>12</v>
      </c>
      <c r="AV424">
        <v>8</v>
      </c>
      <c r="AW424">
        <v>28</v>
      </c>
      <c r="AX424">
        <v>9</v>
      </c>
      <c r="AY424">
        <v>10</v>
      </c>
      <c r="AZ424">
        <v>7</v>
      </c>
      <c r="BA424" t="s">
        <v>15632</v>
      </c>
      <c r="BB424" t="s">
        <v>15633</v>
      </c>
      <c r="BC424">
        <v>1.369</v>
      </c>
      <c r="BD424" t="s">
        <v>65</v>
      </c>
      <c r="BE424">
        <v>38</v>
      </c>
      <c r="BF424">
        <v>16</v>
      </c>
      <c r="BG424" t="s">
        <v>15634</v>
      </c>
      <c r="BH424" t="s">
        <v>15635</v>
      </c>
      <c r="BI424" t="s">
        <v>15636</v>
      </c>
      <c r="BJ424">
        <v>0.1565</v>
      </c>
      <c r="BK424">
        <v>1</v>
      </c>
      <c r="BL424" t="s">
        <v>69</v>
      </c>
      <c r="BM424">
        <v>-0.75700000000000001</v>
      </c>
      <c r="BN424">
        <v>-2.218</v>
      </c>
    </row>
    <row r="425" spans="2:66">
      <c r="B425">
        <v>689</v>
      </c>
      <c r="C425">
        <v>151</v>
      </c>
      <c r="D425">
        <v>0</v>
      </c>
      <c r="E425">
        <v>45</v>
      </c>
      <c r="F425">
        <v>7</v>
      </c>
      <c r="J425">
        <v>0</v>
      </c>
      <c r="K425">
        <v>2</v>
      </c>
      <c r="L425">
        <v>0</v>
      </c>
      <c r="M425" t="s">
        <v>25022</v>
      </c>
      <c r="N425">
        <v>2666</v>
      </c>
      <c r="O425" t="s">
        <v>15637</v>
      </c>
      <c r="P425" t="s">
        <v>62</v>
      </c>
      <c r="Q425">
        <v>2642844</v>
      </c>
      <c r="R425">
        <v>2643197</v>
      </c>
      <c r="S425" t="s">
        <v>15638</v>
      </c>
      <c r="T425">
        <v>118</v>
      </c>
      <c r="U425" t="s">
        <v>11803</v>
      </c>
      <c r="V425">
        <v>47</v>
      </c>
      <c r="W425" t="str">
        <f>HYPERLINK("Gene2666-zp_tree_all.dnd", "Gene2666-tree")</f>
        <v>Gene2666-tree</v>
      </c>
      <c r="X425">
        <v>11</v>
      </c>
      <c r="Y425">
        <v>3</v>
      </c>
      <c r="Z425">
        <v>11</v>
      </c>
      <c r="AA425">
        <v>3</v>
      </c>
      <c r="AB425">
        <v>0.21429000000000001</v>
      </c>
      <c r="AC425" t="s">
        <v>73</v>
      </c>
      <c r="AD425" t="s">
        <v>324</v>
      </c>
      <c r="AE425" t="s">
        <v>62</v>
      </c>
      <c r="AF425" t="s">
        <v>62</v>
      </c>
      <c r="AG425">
        <v>1</v>
      </c>
      <c r="AH425">
        <v>2</v>
      </c>
      <c r="AI425">
        <v>4</v>
      </c>
      <c r="AJ425">
        <v>0.33333000000000002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2</v>
      </c>
      <c r="AQ425">
        <v>0</v>
      </c>
      <c r="AR425">
        <v>2</v>
      </c>
      <c r="AS425">
        <v>2</v>
      </c>
      <c r="AT425">
        <v>0.5</v>
      </c>
      <c r="AU425">
        <v>13</v>
      </c>
      <c r="AV425">
        <v>8</v>
      </c>
      <c r="AW425">
        <v>17</v>
      </c>
      <c r="AX425">
        <v>4</v>
      </c>
      <c r="AY425">
        <v>19</v>
      </c>
      <c r="AZ425">
        <v>2</v>
      </c>
      <c r="BA425" t="s">
        <v>15639</v>
      </c>
      <c r="BB425" t="s">
        <v>15640</v>
      </c>
      <c r="BC425">
        <v>0.34100000000000003</v>
      </c>
      <c r="BD425" t="s">
        <v>65</v>
      </c>
      <c r="BE425">
        <v>36</v>
      </c>
      <c r="BF425">
        <v>6</v>
      </c>
      <c r="BG425" t="s">
        <v>15641</v>
      </c>
      <c r="BH425" t="s">
        <v>15642</v>
      </c>
      <c r="BI425" t="s">
        <v>15643</v>
      </c>
      <c r="BJ425">
        <v>4.0009999999999997E-2</v>
      </c>
      <c r="BK425">
        <v>1</v>
      </c>
      <c r="BL425" t="s">
        <v>69</v>
      </c>
      <c r="BM425">
        <v>-0.38</v>
      </c>
      <c r="BN425">
        <v>-7.9000000000000001E-2</v>
      </c>
    </row>
    <row r="426" spans="2:66">
      <c r="B426">
        <v>690</v>
      </c>
      <c r="C426">
        <v>72</v>
      </c>
      <c r="D426">
        <v>0</v>
      </c>
      <c r="E426">
        <v>0</v>
      </c>
      <c r="F426">
        <v>2</v>
      </c>
      <c r="J426">
        <v>0</v>
      </c>
      <c r="K426">
        <v>0</v>
      </c>
      <c r="L426">
        <v>2</v>
      </c>
      <c r="M426" t="s">
        <v>25022</v>
      </c>
      <c r="N426">
        <v>2667</v>
      </c>
      <c r="O426" t="s">
        <v>15644</v>
      </c>
      <c r="P426" t="s">
        <v>62</v>
      </c>
      <c r="Q426">
        <v>2643218</v>
      </c>
      <c r="R426">
        <v>2643775</v>
      </c>
      <c r="S426" t="s">
        <v>2512</v>
      </c>
      <c r="T426">
        <v>186</v>
      </c>
      <c r="U426" t="s">
        <v>160</v>
      </c>
      <c r="V426">
        <v>45</v>
      </c>
      <c r="W426" t="str">
        <f>HYPERLINK("Gene2667-zp_tree_all.dnd", "Gene2667-tree")</f>
        <v>Gene2667-tree</v>
      </c>
      <c r="X426">
        <v>4</v>
      </c>
      <c r="Y426">
        <v>29</v>
      </c>
      <c r="Z426">
        <v>4</v>
      </c>
      <c r="AA426">
        <v>6</v>
      </c>
      <c r="AB426">
        <v>0.6</v>
      </c>
      <c r="AC426" t="s">
        <v>61</v>
      </c>
      <c r="AD426" t="s">
        <v>3696</v>
      </c>
      <c r="AE426">
        <v>3.9620000000000002</v>
      </c>
      <c r="AF426" t="s">
        <v>65</v>
      </c>
      <c r="AG426">
        <v>1</v>
      </c>
      <c r="AH426">
        <v>2</v>
      </c>
      <c r="AI426">
        <v>7</v>
      </c>
      <c r="AJ426">
        <v>0.22222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2</v>
      </c>
      <c r="AS426">
        <v>6</v>
      </c>
      <c r="AT426">
        <v>0.25</v>
      </c>
      <c r="AU426">
        <v>6</v>
      </c>
      <c r="AV426">
        <v>6</v>
      </c>
      <c r="AW426">
        <v>24</v>
      </c>
      <c r="AX426">
        <v>7</v>
      </c>
      <c r="AY426">
        <v>10</v>
      </c>
      <c r="AZ426">
        <v>2</v>
      </c>
      <c r="BA426" t="s">
        <v>15645</v>
      </c>
      <c r="BB426" t="s">
        <v>15646</v>
      </c>
      <c r="BC426">
        <v>0.155</v>
      </c>
      <c r="BD426" t="s">
        <v>65</v>
      </c>
      <c r="BE426">
        <v>34</v>
      </c>
      <c r="BF426">
        <v>9</v>
      </c>
      <c r="BG426" t="s">
        <v>15647</v>
      </c>
      <c r="BH426" t="s">
        <v>15648</v>
      </c>
      <c r="BI426" t="s">
        <v>15649</v>
      </c>
      <c r="BJ426">
        <v>6.8159999999999998E-2</v>
      </c>
      <c r="BK426">
        <v>1</v>
      </c>
      <c r="BL426" t="s">
        <v>69</v>
      </c>
      <c r="BM426">
        <v>-1.71</v>
      </c>
      <c r="BN426">
        <v>-4.4619999999999997</v>
      </c>
    </row>
    <row r="427" spans="2:66">
      <c r="B427">
        <v>691</v>
      </c>
      <c r="C427">
        <v>280</v>
      </c>
      <c r="D427">
        <v>0</v>
      </c>
      <c r="E427">
        <v>12</v>
      </c>
      <c r="F427">
        <v>3</v>
      </c>
      <c r="J427">
        <v>0</v>
      </c>
      <c r="K427">
        <v>0</v>
      </c>
      <c r="L427">
        <v>0</v>
      </c>
      <c r="M427" t="s">
        <v>25022</v>
      </c>
      <c r="N427">
        <v>2668</v>
      </c>
      <c r="O427" t="s">
        <v>15650</v>
      </c>
      <c r="P427" t="s">
        <v>62</v>
      </c>
      <c r="Q427">
        <v>2643768</v>
      </c>
      <c r="R427">
        <v>2644334</v>
      </c>
      <c r="S427" t="s">
        <v>15651</v>
      </c>
      <c r="T427">
        <v>189</v>
      </c>
      <c r="U427" t="s">
        <v>59</v>
      </c>
      <c r="V427">
        <v>49</v>
      </c>
      <c r="W427" t="str">
        <f>HYPERLINK("Gene2668-zp_tree_all.dnd", "Gene2668-tree")</f>
        <v>Gene2668-tree</v>
      </c>
      <c r="X427">
        <v>14</v>
      </c>
      <c r="Y427">
        <v>1</v>
      </c>
      <c r="Z427">
        <v>14</v>
      </c>
      <c r="AA427">
        <v>1</v>
      </c>
      <c r="AB427">
        <v>6.6669999999999993E-2</v>
      </c>
      <c r="AC427" t="s">
        <v>543</v>
      </c>
      <c r="AD427" t="s">
        <v>175</v>
      </c>
      <c r="AE427" t="s">
        <v>62</v>
      </c>
      <c r="AF427" t="s">
        <v>62</v>
      </c>
      <c r="AG427">
        <v>0</v>
      </c>
      <c r="AH427">
        <v>0</v>
      </c>
      <c r="AI427">
        <v>5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10</v>
      </c>
      <c r="AV427">
        <v>9</v>
      </c>
      <c r="AW427">
        <v>14</v>
      </c>
      <c r="AX427">
        <v>1</v>
      </c>
      <c r="AY427">
        <v>24</v>
      </c>
      <c r="AZ427">
        <v>4</v>
      </c>
      <c r="BA427" t="s">
        <v>15652</v>
      </c>
      <c r="BB427" t="s">
        <v>15653</v>
      </c>
      <c r="BC427">
        <v>0.35699999999999998</v>
      </c>
      <c r="BD427" t="s">
        <v>65</v>
      </c>
      <c r="BE427">
        <v>38</v>
      </c>
      <c r="BF427">
        <v>5</v>
      </c>
      <c r="BG427" t="s">
        <v>15654</v>
      </c>
      <c r="BH427" t="s">
        <v>15655</v>
      </c>
      <c r="BI427" t="s">
        <v>15656</v>
      </c>
      <c r="BJ427">
        <v>4.5589999999999999E-2</v>
      </c>
      <c r="BK427">
        <v>1</v>
      </c>
      <c r="BL427" t="s">
        <v>69</v>
      </c>
      <c r="BM427">
        <v>-1.0009999999999999</v>
      </c>
      <c r="BN427">
        <v>0.42799999999999999</v>
      </c>
    </row>
    <row r="428" spans="2:66">
      <c r="B428">
        <v>692</v>
      </c>
      <c r="C428">
        <v>41</v>
      </c>
      <c r="D428">
        <v>0</v>
      </c>
      <c r="E428">
        <v>16</v>
      </c>
      <c r="F428">
        <v>9</v>
      </c>
      <c r="J428">
        <v>0</v>
      </c>
      <c r="K428">
        <v>0</v>
      </c>
      <c r="L428">
        <v>0</v>
      </c>
      <c r="M428" t="s">
        <v>25022</v>
      </c>
      <c r="N428">
        <v>2669</v>
      </c>
      <c r="O428" t="s">
        <v>15657</v>
      </c>
      <c r="P428" t="s">
        <v>62</v>
      </c>
      <c r="Q428">
        <v>2644349</v>
      </c>
      <c r="R428">
        <v>2644636</v>
      </c>
      <c r="S428" t="s">
        <v>15658</v>
      </c>
      <c r="T428">
        <v>96</v>
      </c>
      <c r="U428" t="s">
        <v>59</v>
      </c>
      <c r="V428">
        <v>49</v>
      </c>
      <c r="W428" t="str">
        <f>HYPERLINK("Gene2669-zp_tree_all.dnd", "Gene2669-tree")</f>
        <v>Gene2669-tree</v>
      </c>
      <c r="X428">
        <v>8</v>
      </c>
      <c r="Y428">
        <v>3</v>
      </c>
      <c r="Z428">
        <v>8</v>
      </c>
      <c r="AA428">
        <v>3</v>
      </c>
      <c r="AB428">
        <v>0.27272999999999997</v>
      </c>
      <c r="AC428" t="s">
        <v>136</v>
      </c>
      <c r="AD428" t="s">
        <v>324</v>
      </c>
      <c r="AE428" t="s">
        <v>62</v>
      </c>
      <c r="AF428" t="s">
        <v>62</v>
      </c>
      <c r="AG428">
        <v>0</v>
      </c>
      <c r="AH428">
        <v>0</v>
      </c>
      <c r="AI428">
        <v>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3</v>
      </c>
      <c r="AT428">
        <v>0</v>
      </c>
      <c r="AU428">
        <v>7</v>
      </c>
      <c r="AV428">
        <v>6</v>
      </c>
      <c r="AW428">
        <v>5</v>
      </c>
      <c r="AX428">
        <v>3</v>
      </c>
      <c r="AY428">
        <v>14</v>
      </c>
      <c r="AZ428">
        <v>0</v>
      </c>
      <c r="BA428" t="s">
        <v>15659</v>
      </c>
      <c r="BB428" t="s">
        <v>193</v>
      </c>
      <c r="BC428">
        <v>1.526</v>
      </c>
      <c r="BD428" t="s">
        <v>65</v>
      </c>
      <c r="BE428">
        <v>19</v>
      </c>
      <c r="BF428">
        <v>3</v>
      </c>
      <c r="BG428" t="s">
        <v>15660</v>
      </c>
      <c r="BH428" t="s">
        <v>15661</v>
      </c>
      <c r="BI428" t="s">
        <v>15662</v>
      </c>
      <c r="BJ428">
        <v>2.4750000000000001E-2</v>
      </c>
      <c r="BK428">
        <v>1</v>
      </c>
      <c r="BL428" t="s">
        <v>69</v>
      </c>
      <c r="BM428">
        <v>-1.722</v>
      </c>
      <c r="BN428">
        <v>-1.1479999999999999</v>
      </c>
    </row>
    <row r="429" spans="2:66">
      <c r="B429">
        <v>694</v>
      </c>
      <c r="C429">
        <v>513</v>
      </c>
      <c r="D429">
        <v>0</v>
      </c>
      <c r="E429">
        <v>15</v>
      </c>
      <c r="F429">
        <v>0</v>
      </c>
      <c r="J429">
        <v>0</v>
      </c>
      <c r="K429">
        <v>0</v>
      </c>
      <c r="L429">
        <v>0</v>
      </c>
      <c r="M429" t="s">
        <v>25022</v>
      </c>
      <c r="N429">
        <v>2670</v>
      </c>
      <c r="O429" t="s">
        <v>15663</v>
      </c>
      <c r="P429" t="s">
        <v>62</v>
      </c>
      <c r="Q429">
        <v>2644633</v>
      </c>
      <c r="R429">
        <v>2645472</v>
      </c>
      <c r="S429" t="s">
        <v>15664</v>
      </c>
      <c r="T429">
        <v>280</v>
      </c>
      <c r="U429" t="s">
        <v>108</v>
      </c>
      <c r="V429">
        <v>44</v>
      </c>
      <c r="W429" t="str">
        <f>HYPERLINK("Gene2670-zp_tree_all.dnd", "Gene2670-tree")</f>
        <v>Gene2670-tree</v>
      </c>
      <c r="X429">
        <v>7</v>
      </c>
      <c r="Y429">
        <v>5</v>
      </c>
      <c r="Z429">
        <v>7</v>
      </c>
      <c r="AA429">
        <v>5</v>
      </c>
      <c r="AB429">
        <v>0.41666999999999998</v>
      </c>
      <c r="AC429" t="s">
        <v>152</v>
      </c>
      <c r="AD429" t="s">
        <v>199</v>
      </c>
      <c r="AE429" t="s">
        <v>62</v>
      </c>
      <c r="AF429" t="s">
        <v>62</v>
      </c>
      <c r="AG429">
        <v>0</v>
      </c>
      <c r="AH429">
        <v>0</v>
      </c>
      <c r="AI429">
        <v>10</v>
      </c>
      <c r="AJ429">
        <v>0</v>
      </c>
      <c r="AK429">
        <v>0</v>
      </c>
      <c r="AL429">
        <v>0</v>
      </c>
      <c r="AM429">
        <v>0</v>
      </c>
      <c r="AN429">
        <v>2</v>
      </c>
      <c r="AO429">
        <v>0</v>
      </c>
      <c r="AP429">
        <v>0</v>
      </c>
      <c r="AQ429">
        <v>0</v>
      </c>
      <c r="AR429">
        <v>0</v>
      </c>
      <c r="AS429">
        <v>5</v>
      </c>
      <c r="AT429">
        <v>0</v>
      </c>
      <c r="AU429">
        <v>9</v>
      </c>
      <c r="AV429">
        <v>8</v>
      </c>
      <c r="AW429">
        <v>10</v>
      </c>
      <c r="AX429">
        <v>5</v>
      </c>
      <c r="AY429">
        <v>9</v>
      </c>
      <c r="AZ429">
        <v>5</v>
      </c>
      <c r="BA429" t="s">
        <v>15665</v>
      </c>
      <c r="BB429" t="s">
        <v>15666</v>
      </c>
      <c r="BC429">
        <v>0.14599999999999999</v>
      </c>
      <c r="BD429" t="s">
        <v>65</v>
      </c>
      <c r="BE429">
        <v>19</v>
      </c>
      <c r="BF429">
        <v>10</v>
      </c>
      <c r="BG429" t="s">
        <v>15667</v>
      </c>
      <c r="BH429" t="s">
        <v>15668</v>
      </c>
      <c r="BI429" t="s">
        <v>9984</v>
      </c>
      <c r="BJ429">
        <v>0.17508000000000001</v>
      </c>
      <c r="BK429">
        <v>1</v>
      </c>
      <c r="BL429" t="s">
        <v>69</v>
      </c>
      <c r="BM429">
        <v>4.3999999999999997E-2</v>
      </c>
      <c r="BN429">
        <v>-1.0309999999999999</v>
      </c>
    </row>
    <row r="430" spans="2:66">
      <c r="B430">
        <v>695</v>
      </c>
      <c r="C430">
        <v>196</v>
      </c>
      <c r="D430">
        <v>0</v>
      </c>
      <c r="E430">
        <v>7</v>
      </c>
      <c r="F430">
        <v>0</v>
      </c>
      <c r="J430">
        <v>0</v>
      </c>
      <c r="K430">
        <v>0</v>
      </c>
      <c r="L430">
        <v>0</v>
      </c>
      <c r="M430" t="s">
        <v>25022</v>
      </c>
      <c r="N430">
        <v>2671</v>
      </c>
      <c r="O430" t="s">
        <v>15669</v>
      </c>
      <c r="P430" t="s">
        <v>62</v>
      </c>
      <c r="Q430">
        <v>2645493</v>
      </c>
      <c r="R430">
        <v>2646590</v>
      </c>
      <c r="S430" t="s">
        <v>15670</v>
      </c>
      <c r="T430">
        <v>366</v>
      </c>
      <c r="U430" t="s">
        <v>108</v>
      </c>
      <c r="V430">
        <v>44</v>
      </c>
      <c r="W430" t="str">
        <f>HYPERLINK("Gene2671-zp_tree_all.dnd", "Gene2671-tree")</f>
        <v>Gene2671-tree</v>
      </c>
      <c r="X430">
        <v>8</v>
      </c>
      <c r="Y430">
        <v>3</v>
      </c>
      <c r="Z430">
        <v>8</v>
      </c>
      <c r="AA430">
        <v>3</v>
      </c>
      <c r="AB430">
        <v>0.27272999999999997</v>
      </c>
      <c r="AC430" t="s">
        <v>136</v>
      </c>
      <c r="AD430" t="s">
        <v>324</v>
      </c>
      <c r="AE430" t="s">
        <v>62</v>
      </c>
      <c r="AF430" t="s">
        <v>62</v>
      </c>
      <c r="AG430">
        <v>0</v>
      </c>
      <c r="AH430">
        <v>0</v>
      </c>
      <c r="AI430">
        <v>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3</v>
      </c>
      <c r="AT430">
        <v>0</v>
      </c>
      <c r="AU430">
        <v>9</v>
      </c>
      <c r="AV430">
        <v>5</v>
      </c>
      <c r="AW430">
        <v>16</v>
      </c>
      <c r="AX430">
        <v>3</v>
      </c>
      <c r="AY430">
        <v>8</v>
      </c>
      <c r="AZ430">
        <v>0</v>
      </c>
      <c r="BA430" t="s">
        <v>15671</v>
      </c>
      <c r="BB430" t="s">
        <v>193</v>
      </c>
      <c r="BC430">
        <v>1.244</v>
      </c>
      <c r="BD430" t="s">
        <v>65</v>
      </c>
      <c r="BE430">
        <v>24</v>
      </c>
      <c r="BF430">
        <v>3</v>
      </c>
      <c r="BG430" t="s">
        <v>15672</v>
      </c>
      <c r="BH430" t="s">
        <v>15673</v>
      </c>
      <c r="BI430" t="s">
        <v>4085</v>
      </c>
      <c r="BJ430">
        <v>2.743E-2</v>
      </c>
      <c r="BK430">
        <v>1</v>
      </c>
      <c r="BL430" t="s">
        <v>69</v>
      </c>
      <c r="BM430">
        <v>-0.89300000000000002</v>
      </c>
      <c r="BN430">
        <v>-2.1360000000000001</v>
      </c>
    </row>
    <row r="431" spans="2:66">
      <c r="B431">
        <v>696</v>
      </c>
      <c r="C431">
        <v>346</v>
      </c>
      <c r="D431">
        <v>0</v>
      </c>
      <c r="E431">
        <v>5</v>
      </c>
      <c r="F431">
        <v>0</v>
      </c>
      <c r="J431">
        <v>0</v>
      </c>
      <c r="K431">
        <v>0</v>
      </c>
      <c r="L431">
        <v>0</v>
      </c>
      <c r="M431" t="s">
        <v>25022</v>
      </c>
      <c r="N431">
        <v>2672</v>
      </c>
      <c r="O431" t="s">
        <v>15674</v>
      </c>
      <c r="P431" t="s">
        <v>62</v>
      </c>
      <c r="Q431">
        <v>2646597</v>
      </c>
      <c r="R431">
        <v>2647112</v>
      </c>
      <c r="S431" t="s">
        <v>15675</v>
      </c>
      <c r="T431">
        <v>172</v>
      </c>
      <c r="U431" t="s">
        <v>59</v>
      </c>
      <c r="V431">
        <v>49</v>
      </c>
      <c r="W431" t="str">
        <f>HYPERLINK("Gene2672-zp_tree_all.dnd", "Gene2672-tree")</f>
        <v>Gene2672-tree</v>
      </c>
      <c r="X431">
        <v>14</v>
      </c>
      <c r="Y431">
        <v>1</v>
      </c>
      <c r="Z431">
        <v>14</v>
      </c>
      <c r="AA431">
        <v>1</v>
      </c>
      <c r="AB431">
        <v>6.6669999999999993E-2</v>
      </c>
      <c r="AC431" t="s">
        <v>543</v>
      </c>
      <c r="AD431" t="s">
        <v>175</v>
      </c>
      <c r="AE431" t="s">
        <v>62</v>
      </c>
      <c r="AF431" t="s">
        <v>62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14</v>
      </c>
      <c r="AV431">
        <v>7</v>
      </c>
      <c r="AW431">
        <v>26</v>
      </c>
      <c r="AX431">
        <v>1</v>
      </c>
      <c r="AY431">
        <v>25</v>
      </c>
      <c r="AZ431">
        <v>0</v>
      </c>
      <c r="BA431" t="s">
        <v>15676</v>
      </c>
      <c r="BB431" t="s">
        <v>193</v>
      </c>
      <c r="BC431">
        <v>0.27400000000000002</v>
      </c>
      <c r="BD431" t="s">
        <v>65</v>
      </c>
      <c r="BE431">
        <v>51</v>
      </c>
      <c r="BF431">
        <v>1</v>
      </c>
      <c r="BG431" t="s">
        <v>15677</v>
      </c>
      <c r="BH431" t="s">
        <v>15678</v>
      </c>
      <c r="BI431" t="s">
        <v>15679</v>
      </c>
      <c r="BJ431">
        <v>3.2399999999999998E-3</v>
      </c>
      <c r="BK431">
        <v>1</v>
      </c>
      <c r="BL431" t="s">
        <v>69</v>
      </c>
      <c r="BM431">
        <v>-1.524</v>
      </c>
      <c r="BN431">
        <v>-2.081</v>
      </c>
    </row>
    <row r="432" spans="2:66">
      <c r="B432">
        <v>697</v>
      </c>
      <c r="C432">
        <v>103</v>
      </c>
      <c r="D432">
        <v>0</v>
      </c>
      <c r="E432">
        <v>4</v>
      </c>
      <c r="F432">
        <v>0</v>
      </c>
      <c r="J432">
        <v>0</v>
      </c>
      <c r="K432">
        <v>0</v>
      </c>
      <c r="L432">
        <v>0</v>
      </c>
      <c r="M432" t="s">
        <v>25022</v>
      </c>
      <c r="N432">
        <v>2674</v>
      </c>
      <c r="O432" t="s">
        <v>15684</v>
      </c>
      <c r="P432" t="s">
        <v>62</v>
      </c>
      <c r="Q432">
        <v>2647923</v>
      </c>
      <c r="R432">
        <v>2648651</v>
      </c>
      <c r="S432" t="s">
        <v>15685</v>
      </c>
      <c r="T432">
        <v>243</v>
      </c>
      <c r="U432" t="s">
        <v>108</v>
      </c>
      <c r="V432">
        <v>44</v>
      </c>
      <c r="W432" t="str">
        <f>HYPERLINK("Gene2674-zp_tree_all.dnd", "Gene2674-tree")</f>
        <v>Gene2674-tree</v>
      </c>
      <c r="X432">
        <v>10</v>
      </c>
      <c r="Y432">
        <v>2</v>
      </c>
      <c r="Z432">
        <v>10</v>
      </c>
      <c r="AA432">
        <v>2</v>
      </c>
      <c r="AB432">
        <v>0.16667000000000001</v>
      </c>
      <c r="AC432" t="s">
        <v>117</v>
      </c>
      <c r="AD432" t="s">
        <v>81</v>
      </c>
      <c r="AE432" t="s">
        <v>62</v>
      </c>
      <c r="AF432" t="s">
        <v>62</v>
      </c>
      <c r="AG432">
        <v>0</v>
      </c>
      <c r="AH432">
        <v>0</v>
      </c>
      <c r="AI432">
        <v>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3</v>
      </c>
      <c r="AT432">
        <v>0</v>
      </c>
      <c r="AU432">
        <v>9</v>
      </c>
      <c r="AV432">
        <v>6</v>
      </c>
      <c r="AW432">
        <v>17</v>
      </c>
      <c r="AX432">
        <v>3</v>
      </c>
      <c r="AY432">
        <v>9</v>
      </c>
      <c r="AZ432">
        <v>2</v>
      </c>
      <c r="BA432" t="s">
        <v>15686</v>
      </c>
      <c r="BB432" t="s">
        <v>15687</v>
      </c>
      <c r="BC432">
        <v>0.14199999999999999</v>
      </c>
      <c r="BD432" t="s">
        <v>65</v>
      </c>
      <c r="BE432">
        <v>26</v>
      </c>
      <c r="BF432">
        <v>5</v>
      </c>
      <c r="BG432" t="s">
        <v>15688</v>
      </c>
      <c r="BH432" t="s">
        <v>15689</v>
      </c>
      <c r="BI432" t="s">
        <v>15690</v>
      </c>
      <c r="BJ432">
        <v>6.8519999999999998E-2</v>
      </c>
      <c r="BK432">
        <v>1</v>
      </c>
      <c r="BL432" t="s">
        <v>69</v>
      </c>
      <c r="BM432">
        <v>7.6999999999999999E-2</v>
      </c>
      <c r="BN432">
        <v>0.13100000000000001</v>
      </c>
    </row>
    <row r="433" spans="2:66">
      <c r="B433">
        <v>698</v>
      </c>
      <c r="C433">
        <v>323</v>
      </c>
      <c r="D433">
        <v>0</v>
      </c>
      <c r="E433">
        <v>4</v>
      </c>
      <c r="F433">
        <v>0</v>
      </c>
      <c r="J433">
        <v>0</v>
      </c>
      <c r="K433">
        <v>21</v>
      </c>
      <c r="L433">
        <v>1</v>
      </c>
      <c r="M433" t="s">
        <v>25022</v>
      </c>
      <c r="N433">
        <v>2675</v>
      </c>
      <c r="O433" t="s">
        <v>15691</v>
      </c>
      <c r="P433" t="s">
        <v>62</v>
      </c>
      <c r="Q433">
        <v>2648906</v>
      </c>
      <c r="R433">
        <v>2649655</v>
      </c>
      <c r="S433" t="s">
        <v>1088</v>
      </c>
      <c r="T433">
        <v>250</v>
      </c>
      <c r="U433" t="s">
        <v>108</v>
      </c>
      <c r="V433">
        <v>44</v>
      </c>
      <c r="W433" t="str">
        <f>HYPERLINK("Gene2675-zp_tree_all.dnd", "Gene2675-tree")</f>
        <v>Gene2675-tree</v>
      </c>
      <c r="X433">
        <v>2</v>
      </c>
      <c r="Y433">
        <v>12</v>
      </c>
      <c r="Z433">
        <v>2</v>
      </c>
      <c r="AA433">
        <v>12</v>
      </c>
      <c r="AB433">
        <v>0.85714000000000001</v>
      </c>
      <c r="AC433" t="s">
        <v>81</v>
      </c>
      <c r="AD433" t="s">
        <v>109</v>
      </c>
      <c r="AE433" t="s">
        <v>62</v>
      </c>
      <c r="AF433" t="s">
        <v>62</v>
      </c>
      <c r="AG433">
        <v>8</v>
      </c>
      <c r="AH433">
        <v>22</v>
      </c>
      <c r="AI433">
        <v>11</v>
      </c>
      <c r="AJ433">
        <v>0.66666999999999998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9</v>
      </c>
      <c r="AQ433">
        <v>3</v>
      </c>
      <c r="AR433">
        <v>12</v>
      </c>
      <c r="AS433">
        <v>11</v>
      </c>
      <c r="AT433">
        <v>0.52173999999999998</v>
      </c>
      <c r="AU433">
        <v>14</v>
      </c>
      <c r="AV433">
        <v>11</v>
      </c>
      <c r="AW433">
        <v>12</v>
      </c>
      <c r="AX433">
        <v>23</v>
      </c>
      <c r="AY433">
        <v>7</v>
      </c>
      <c r="AZ433">
        <v>10</v>
      </c>
      <c r="BA433" t="s">
        <v>15692</v>
      </c>
      <c r="BB433" t="s">
        <v>15693</v>
      </c>
      <c r="BC433">
        <v>0.48499999999999999</v>
      </c>
      <c r="BD433" t="s">
        <v>65</v>
      </c>
      <c r="BE433">
        <v>19</v>
      </c>
      <c r="BF433">
        <v>33</v>
      </c>
      <c r="BG433" t="s">
        <v>15694</v>
      </c>
      <c r="BH433" t="s">
        <v>15695</v>
      </c>
      <c r="BI433" t="s">
        <v>15696</v>
      </c>
      <c r="BJ433">
        <v>0.48465999999999998</v>
      </c>
      <c r="BK433">
        <v>0.87</v>
      </c>
      <c r="BL433" t="s">
        <v>635</v>
      </c>
      <c r="BM433">
        <v>0.56100000000000005</v>
      </c>
      <c r="BN433">
        <v>-0.76500000000000001</v>
      </c>
    </row>
    <row r="434" spans="2:66">
      <c r="B434">
        <v>699</v>
      </c>
      <c r="C434">
        <v>24</v>
      </c>
      <c r="D434">
        <v>0</v>
      </c>
      <c r="E434">
        <v>11</v>
      </c>
      <c r="F434">
        <v>0</v>
      </c>
      <c r="J434">
        <v>0</v>
      </c>
      <c r="K434">
        <v>7</v>
      </c>
      <c r="L434">
        <v>0</v>
      </c>
      <c r="M434" t="s">
        <v>25022</v>
      </c>
      <c r="N434">
        <v>2677</v>
      </c>
      <c r="O434" t="s">
        <v>15703</v>
      </c>
      <c r="P434" t="s">
        <v>62</v>
      </c>
      <c r="Q434">
        <v>2650490</v>
      </c>
      <c r="R434">
        <v>2651380</v>
      </c>
      <c r="S434" t="s">
        <v>15704</v>
      </c>
      <c r="T434">
        <v>297</v>
      </c>
      <c r="U434" t="s">
        <v>108</v>
      </c>
      <c r="V434">
        <v>44</v>
      </c>
      <c r="W434" t="str">
        <f>HYPERLINK("Gene2677-zp_tree_all.dnd", "Gene2677-tree")</f>
        <v>Gene2677-tree</v>
      </c>
      <c r="X434">
        <v>5</v>
      </c>
      <c r="Y434">
        <v>11</v>
      </c>
      <c r="Z434">
        <v>5</v>
      </c>
      <c r="AA434">
        <v>11</v>
      </c>
      <c r="AB434">
        <v>0.6875</v>
      </c>
      <c r="AC434" t="s">
        <v>199</v>
      </c>
      <c r="AD434" t="s">
        <v>73</v>
      </c>
      <c r="AE434">
        <v>137353515.63499999</v>
      </c>
      <c r="AF434" t="s">
        <v>267</v>
      </c>
      <c r="AG434">
        <v>3</v>
      </c>
      <c r="AH434">
        <v>7</v>
      </c>
      <c r="AI434">
        <v>17</v>
      </c>
      <c r="AJ434">
        <v>0.29166999999999998</v>
      </c>
      <c r="AK434">
        <v>0</v>
      </c>
      <c r="AL434">
        <v>0</v>
      </c>
      <c r="AM434">
        <v>0</v>
      </c>
      <c r="AN434">
        <v>2</v>
      </c>
      <c r="AO434">
        <v>0</v>
      </c>
      <c r="AP434">
        <v>4</v>
      </c>
      <c r="AQ434">
        <v>0</v>
      </c>
      <c r="AR434">
        <v>4</v>
      </c>
      <c r="AS434">
        <v>16</v>
      </c>
      <c r="AT434">
        <v>0.2</v>
      </c>
      <c r="AU434">
        <v>11</v>
      </c>
      <c r="AV434">
        <v>10</v>
      </c>
      <c r="AW434">
        <v>15</v>
      </c>
      <c r="AX434">
        <v>15</v>
      </c>
      <c r="AY434">
        <v>19</v>
      </c>
      <c r="AZ434">
        <v>9</v>
      </c>
      <c r="BA434" t="s">
        <v>15705</v>
      </c>
      <c r="BB434" t="s">
        <v>15706</v>
      </c>
      <c r="BC434">
        <v>0.66500000000000004</v>
      </c>
      <c r="BD434" t="s">
        <v>65</v>
      </c>
      <c r="BE434">
        <v>34</v>
      </c>
      <c r="BF434">
        <v>24</v>
      </c>
      <c r="BG434" t="s">
        <v>15707</v>
      </c>
      <c r="BH434" t="s">
        <v>15708</v>
      </c>
      <c r="BI434" t="s">
        <v>14218</v>
      </c>
      <c r="BJ434">
        <v>0.15684000000000001</v>
      </c>
      <c r="BK434">
        <v>1</v>
      </c>
      <c r="BL434" t="s">
        <v>69</v>
      </c>
      <c r="BM434">
        <v>2.3E-2</v>
      </c>
      <c r="BN434">
        <v>-0.437</v>
      </c>
    </row>
    <row r="435" spans="2:66">
      <c r="B435">
        <v>700</v>
      </c>
      <c r="C435">
        <v>182</v>
      </c>
      <c r="D435">
        <v>0</v>
      </c>
      <c r="E435">
        <v>2</v>
      </c>
      <c r="F435">
        <v>0</v>
      </c>
      <c r="J435">
        <v>0</v>
      </c>
      <c r="K435">
        <v>0</v>
      </c>
      <c r="L435">
        <v>0</v>
      </c>
      <c r="M435" t="s">
        <v>25022</v>
      </c>
      <c r="N435">
        <v>2679</v>
      </c>
      <c r="O435" t="s">
        <v>15715</v>
      </c>
      <c r="P435" t="s">
        <v>62</v>
      </c>
      <c r="Q435">
        <v>2652390</v>
      </c>
      <c r="R435">
        <v>2652797</v>
      </c>
      <c r="S435" t="s">
        <v>15716</v>
      </c>
      <c r="T435">
        <v>136</v>
      </c>
      <c r="U435" t="s">
        <v>108</v>
      </c>
      <c r="V435">
        <v>44</v>
      </c>
      <c r="W435" t="str">
        <f>HYPERLINK("Gene2679-zp_tree_all.dnd", "Gene2679-tree")</f>
        <v>Gene2679-tree</v>
      </c>
      <c r="X435">
        <v>10</v>
      </c>
      <c r="Y435">
        <v>3</v>
      </c>
      <c r="Z435">
        <v>10</v>
      </c>
      <c r="AA435">
        <v>3</v>
      </c>
      <c r="AB435">
        <v>0.23077</v>
      </c>
      <c r="AC435" t="s">
        <v>117</v>
      </c>
      <c r="AD435" t="s">
        <v>324</v>
      </c>
      <c r="AE435" t="s">
        <v>62</v>
      </c>
      <c r="AF435" t="s">
        <v>62</v>
      </c>
      <c r="AG435">
        <v>0</v>
      </c>
      <c r="AH435">
        <v>0</v>
      </c>
      <c r="AI435">
        <v>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4</v>
      </c>
      <c r="AT435">
        <v>0</v>
      </c>
      <c r="AU435">
        <v>9</v>
      </c>
      <c r="AV435">
        <v>7</v>
      </c>
      <c r="AW435">
        <v>13</v>
      </c>
      <c r="AX435">
        <v>4</v>
      </c>
      <c r="AY435">
        <v>8</v>
      </c>
      <c r="AZ435">
        <v>0</v>
      </c>
      <c r="BA435" t="s">
        <v>15717</v>
      </c>
      <c r="BB435" t="s">
        <v>193</v>
      </c>
      <c r="BC435">
        <v>0.89</v>
      </c>
      <c r="BD435" t="s">
        <v>65</v>
      </c>
      <c r="BE435">
        <v>21</v>
      </c>
      <c r="BF435">
        <v>4</v>
      </c>
      <c r="BG435" t="s">
        <v>15718</v>
      </c>
      <c r="BH435" t="s">
        <v>15719</v>
      </c>
      <c r="BI435" t="s">
        <v>15720</v>
      </c>
      <c r="BJ435">
        <v>3.918E-2</v>
      </c>
      <c r="BK435">
        <v>1</v>
      </c>
      <c r="BL435" t="s">
        <v>69</v>
      </c>
      <c r="BM435">
        <v>-1.1970000000000001</v>
      </c>
      <c r="BN435">
        <v>-1.591</v>
      </c>
    </row>
    <row r="436" spans="2:66">
      <c r="B436">
        <v>701</v>
      </c>
      <c r="C436">
        <v>214</v>
      </c>
      <c r="D436">
        <v>0</v>
      </c>
      <c r="E436">
        <v>2</v>
      </c>
      <c r="F436">
        <v>4</v>
      </c>
      <c r="J436">
        <v>0</v>
      </c>
      <c r="K436">
        <v>4</v>
      </c>
      <c r="L436">
        <v>4</v>
      </c>
      <c r="M436" t="s">
        <v>25022</v>
      </c>
      <c r="N436">
        <v>2681</v>
      </c>
      <c r="O436" t="s">
        <v>15721</v>
      </c>
      <c r="P436" t="s">
        <v>62</v>
      </c>
      <c r="Q436">
        <v>2653374</v>
      </c>
      <c r="R436">
        <v>2654873</v>
      </c>
      <c r="S436" t="s">
        <v>15722</v>
      </c>
      <c r="T436">
        <v>500</v>
      </c>
      <c r="U436" t="s">
        <v>15723</v>
      </c>
      <c r="V436">
        <v>25</v>
      </c>
      <c r="W436" t="str">
        <f>HYPERLINK("Gene2681-zp_tree_all.dnd", "Gene2681-tree")</f>
        <v>Gene2681-tree</v>
      </c>
      <c r="X436">
        <v>1</v>
      </c>
      <c r="Y436">
        <v>5</v>
      </c>
      <c r="Z436">
        <v>1</v>
      </c>
      <c r="AA436">
        <v>5</v>
      </c>
      <c r="AB436">
        <v>0.83333000000000002</v>
      </c>
      <c r="AC436" t="s">
        <v>175</v>
      </c>
      <c r="AD436" t="s">
        <v>199</v>
      </c>
      <c r="AE436" t="s">
        <v>62</v>
      </c>
      <c r="AF436" t="s">
        <v>62</v>
      </c>
      <c r="AG436">
        <v>4</v>
      </c>
      <c r="AH436">
        <v>8</v>
      </c>
      <c r="AI436">
        <v>14</v>
      </c>
      <c r="AJ436">
        <v>0.36364000000000002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</v>
      </c>
      <c r="AR436">
        <v>2</v>
      </c>
      <c r="AS436">
        <v>16</v>
      </c>
      <c r="AT436">
        <v>0.11111</v>
      </c>
      <c r="AU436">
        <v>6</v>
      </c>
      <c r="AV436">
        <v>3</v>
      </c>
      <c r="AW436">
        <v>103</v>
      </c>
      <c r="AX436">
        <v>19</v>
      </c>
      <c r="AY436">
        <v>43</v>
      </c>
      <c r="AZ436">
        <v>5</v>
      </c>
      <c r="BA436" t="s">
        <v>15724</v>
      </c>
      <c r="BB436" t="s">
        <v>15725</v>
      </c>
      <c r="BC436">
        <v>0.80500000000000005</v>
      </c>
      <c r="BD436" t="s">
        <v>65</v>
      </c>
      <c r="BE436">
        <v>146</v>
      </c>
      <c r="BF436">
        <v>24</v>
      </c>
      <c r="BG436" t="s">
        <v>15726</v>
      </c>
      <c r="BH436" t="s">
        <v>15727</v>
      </c>
      <c r="BI436" t="s">
        <v>15728</v>
      </c>
      <c r="BJ436">
        <v>3.8890000000000001E-2</v>
      </c>
      <c r="BK436">
        <v>1</v>
      </c>
      <c r="BL436" t="s">
        <v>69</v>
      </c>
      <c r="BM436">
        <v>-1.577</v>
      </c>
      <c r="BN436">
        <v>-1.4950000000000001</v>
      </c>
    </row>
    <row r="437" spans="2:66">
      <c r="B437">
        <v>703</v>
      </c>
      <c r="C437">
        <v>147</v>
      </c>
      <c r="D437">
        <v>0</v>
      </c>
      <c r="E437">
        <v>2</v>
      </c>
      <c r="F437">
        <v>1</v>
      </c>
      <c r="J437">
        <v>0</v>
      </c>
      <c r="K437">
        <v>0</v>
      </c>
      <c r="L437">
        <v>0</v>
      </c>
      <c r="M437" t="s">
        <v>25022</v>
      </c>
      <c r="N437">
        <v>2695</v>
      </c>
      <c r="O437" t="s">
        <v>15753</v>
      </c>
      <c r="P437" t="s">
        <v>62</v>
      </c>
      <c r="Q437">
        <v>2665439</v>
      </c>
      <c r="R437">
        <v>2665858</v>
      </c>
      <c r="S437" t="s">
        <v>15754</v>
      </c>
      <c r="T437">
        <v>140</v>
      </c>
      <c r="U437" t="s">
        <v>15755</v>
      </c>
      <c r="V437">
        <v>26</v>
      </c>
      <c r="W437" t="str">
        <f>HYPERLINK("Gene2695-zp_tree_all.dnd", "Gene2695-tree")</f>
        <v>Gene2695-tree</v>
      </c>
      <c r="X437">
        <v>19</v>
      </c>
      <c r="Y437">
        <v>4</v>
      </c>
      <c r="Z437">
        <v>1</v>
      </c>
      <c r="AA437">
        <v>4</v>
      </c>
      <c r="AB437">
        <v>0.8</v>
      </c>
      <c r="AC437" t="s">
        <v>175</v>
      </c>
      <c r="AD437" t="s">
        <v>61</v>
      </c>
      <c r="AE437" t="s">
        <v>62</v>
      </c>
      <c r="AF437" t="s">
        <v>62</v>
      </c>
      <c r="AG437">
        <v>0</v>
      </c>
      <c r="AH437">
        <v>0</v>
      </c>
      <c r="AI437">
        <v>12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11</v>
      </c>
      <c r="AT437">
        <v>0</v>
      </c>
      <c r="AU437">
        <v>5</v>
      </c>
      <c r="AV437">
        <v>2</v>
      </c>
      <c r="AW437">
        <v>25</v>
      </c>
      <c r="AX437">
        <v>11</v>
      </c>
      <c r="AY437">
        <v>10</v>
      </c>
      <c r="AZ437">
        <v>1</v>
      </c>
      <c r="BA437" t="s">
        <v>15756</v>
      </c>
      <c r="BB437" t="s">
        <v>15757</v>
      </c>
      <c r="BC437">
        <v>2.1779999999999999</v>
      </c>
      <c r="BD437" t="s">
        <v>267</v>
      </c>
      <c r="BE437">
        <v>35</v>
      </c>
      <c r="BF437">
        <v>12</v>
      </c>
      <c r="BG437" t="s">
        <v>15758</v>
      </c>
      <c r="BH437" t="s">
        <v>15759</v>
      </c>
      <c r="BI437" t="s">
        <v>15760</v>
      </c>
      <c r="BJ437">
        <v>9.536E-2</v>
      </c>
      <c r="BK437">
        <v>1</v>
      </c>
      <c r="BL437" t="s">
        <v>69</v>
      </c>
      <c r="BM437">
        <v>-1.069</v>
      </c>
      <c r="BN437">
        <v>-1.389</v>
      </c>
    </row>
    <row r="438" spans="2:66">
      <c r="B438">
        <v>706</v>
      </c>
      <c r="C438">
        <v>277</v>
      </c>
      <c r="D438">
        <v>0</v>
      </c>
      <c r="E438">
        <v>14</v>
      </c>
      <c r="F438">
        <v>2</v>
      </c>
      <c r="J438">
        <v>0</v>
      </c>
      <c r="K438">
        <v>0</v>
      </c>
      <c r="L438">
        <v>0</v>
      </c>
      <c r="M438" t="s">
        <v>25022</v>
      </c>
      <c r="N438">
        <v>2733</v>
      </c>
      <c r="O438" t="s">
        <v>15761</v>
      </c>
      <c r="P438" t="s">
        <v>62</v>
      </c>
      <c r="Q438">
        <v>2694423</v>
      </c>
      <c r="R438">
        <v>2695097</v>
      </c>
      <c r="S438" t="s">
        <v>15762</v>
      </c>
      <c r="T438">
        <v>225</v>
      </c>
      <c r="U438" t="s">
        <v>15729</v>
      </c>
      <c r="V438">
        <v>20</v>
      </c>
      <c r="W438" t="str">
        <f>HYPERLINK("Gene2733-zp_tree_all.dnd", "Gene2733-tree")</f>
        <v>Gene2733-tree</v>
      </c>
      <c r="X438">
        <v>0</v>
      </c>
      <c r="Y438">
        <v>4</v>
      </c>
      <c r="Z438">
        <v>0</v>
      </c>
      <c r="AA438">
        <v>4</v>
      </c>
      <c r="AB438">
        <v>1</v>
      </c>
      <c r="AC438" t="s">
        <v>62</v>
      </c>
      <c r="AD438" t="s">
        <v>61</v>
      </c>
      <c r="AE438" t="s">
        <v>62</v>
      </c>
      <c r="AF438" t="s">
        <v>62</v>
      </c>
      <c r="AG438">
        <v>0</v>
      </c>
      <c r="AH438">
        <v>0</v>
      </c>
      <c r="AI438">
        <v>11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11</v>
      </c>
      <c r="AT438">
        <v>0</v>
      </c>
      <c r="AU438">
        <v>3</v>
      </c>
      <c r="AV438">
        <v>1</v>
      </c>
      <c r="AW438">
        <v>8</v>
      </c>
      <c r="AX438">
        <v>7</v>
      </c>
      <c r="AY438">
        <v>13</v>
      </c>
      <c r="AZ438">
        <v>4</v>
      </c>
      <c r="BA438" t="s">
        <v>15763</v>
      </c>
      <c r="BB438" t="s">
        <v>15764</v>
      </c>
      <c r="BC438">
        <v>0.99299999999999999</v>
      </c>
      <c r="BD438" t="s">
        <v>65</v>
      </c>
      <c r="BE438">
        <v>21</v>
      </c>
      <c r="BF438">
        <v>11</v>
      </c>
      <c r="BG438" t="s">
        <v>15765</v>
      </c>
      <c r="BH438" t="s">
        <v>15766</v>
      </c>
      <c r="BI438" t="s">
        <v>15767</v>
      </c>
      <c r="BJ438">
        <v>0.13847000000000001</v>
      </c>
      <c r="BK438">
        <v>1</v>
      </c>
      <c r="BL438" t="s">
        <v>69</v>
      </c>
      <c r="BM438">
        <v>-1.772</v>
      </c>
      <c r="BN438">
        <v>-0.79</v>
      </c>
    </row>
    <row r="439" spans="2:66">
      <c r="B439">
        <v>708</v>
      </c>
      <c r="C439">
        <v>224</v>
      </c>
      <c r="D439">
        <v>0</v>
      </c>
      <c r="E439">
        <v>4</v>
      </c>
      <c r="F439">
        <v>2</v>
      </c>
      <c r="J439">
        <v>0</v>
      </c>
      <c r="K439">
        <v>0</v>
      </c>
      <c r="L439">
        <v>2</v>
      </c>
      <c r="M439" t="s">
        <v>25022</v>
      </c>
      <c r="N439">
        <v>2743</v>
      </c>
      <c r="O439" t="s">
        <v>15768</v>
      </c>
      <c r="P439" t="s">
        <v>62</v>
      </c>
      <c r="Q439">
        <v>2700036</v>
      </c>
      <c r="R439">
        <v>2700569</v>
      </c>
      <c r="S439" t="s">
        <v>15769</v>
      </c>
      <c r="T439">
        <v>178</v>
      </c>
      <c r="U439" t="s">
        <v>15770</v>
      </c>
      <c r="V439">
        <v>29</v>
      </c>
      <c r="W439" t="str">
        <f>HYPERLINK("Gene2743-zp_tree_all.dnd", "Gene2743-tree")</f>
        <v>Gene2743-tree</v>
      </c>
      <c r="X439">
        <v>1</v>
      </c>
      <c r="Y439">
        <v>24</v>
      </c>
      <c r="Z439">
        <v>1</v>
      </c>
      <c r="AA439">
        <v>6</v>
      </c>
      <c r="AB439">
        <v>0.85714000000000001</v>
      </c>
      <c r="AC439" t="s">
        <v>175</v>
      </c>
      <c r="AD439" t="s">
        <v>2675</v>
      </c>
      <c r="AE439">
        <v>2.9319999999999999</v>
      </c>
      <c r="AF439" t="s">
        <v>267</v>
      </c>
      <c r="AG439">
        <v>1</v>
      </c>
      <c r="AH439">
        <v>2</v>
      </c>
      <c r="AI439">
        <v>16</v>
      </c>
      <c r="AJ439">
        <v>0.11111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7</v>
      </c>
      <c r="AT439">
        <v>0</v>
      </c>
      <c r="AU439">
        <v>7</v>
      </c>
      <c r="AV439">
        <v>4</v>
      </c>
      <c r="AW439">
        <v>4</v>
      </c>
      <c r="AX439">
        <v>7</v>
      </c>
      <c r="AY439">
        <v>17</v>
      </c>
      <c r="AZ439">
        <v>11</v>
      </c>
      <c r="BA439" t="s">
        <v>15771</v>
      </c>
      <c r="BB439" t="s">
        <v>15772</v>
      </c>
      <c r="BC439">
        <v>0.85399999999999998</v>
      </c>
      <c r="BD439" t="s">
        <v>65</v>
      </c>
      <c r="BE439">
        <v>21</v>
      </c>
      <c r="BF439">
        <v>18</v>
      </c>
      <c r="BG439" t="s">
        <v>15773</v>
      </c>
      <c r="BH439" t="s">
        <v>15774</v>
      </c>
      <c r="BI439" t="s">
        <v>15775</v>
      </c>
      <c r="BJ439">
        <v>0.19023000000000001</v>
      </c>
      <c r="BK439">
        <v>1</v>
      </c>
      <c r="BL439" t="s">
        <v>69</v>
      </c>
      <c r="BM439">
        <v>0.14599999999999999</v>
      </c>
      <c r="BN439">
        <v>0.88800000000000001</v>
      </c>
    </row>
    <row r="440" spans="2:66">
      <c r="B440">
        <v>717</v>
      </c>
      <c r="C440">
        <v>428</v>
      </c>
      <c r="D440">
        <v>0</v>
      </c>
      <c r="E440">
        <v>12</v>
      </c>
      <c r="F440">
        <v>10</v>
      </c>
      <c r="J440">
        <v>0</v>
      </c>
      <c r="K440">
        <v>0</v>
      </c>
      <c r="L440">
        <v>0</v>
      </c>
      <c r="M440" t="s">
        <v>25022</v>
      </c>
      <c r="N440">
        <v>2748</v>
      </c>
      <c r="O440" t="s">
        <v>15776</v>
      </c>
      <c r="P440" t="s">
        <v>62</v>
      </c>
      <c r="Q440">
        <v>2703153</v>
      </c>
      <c r="R440">
        <v>2704448</v>
      </c>
      <c r="S440" t="s">
        <v>15777</v>
      </c>
      <c r="T440">
        <v>432</v>
      </c>
      <c r="U440" t="s">
        <v>15778</v>
      </c>
      <c r="V440">
        <v>29</v>
      </c>
      <c r="W440" t="str">
        <f>HYPERLINK("Gene2748-zp_tree_all.dnd", "Gene2748-tree")</f>
        <v>Gene2748-tree</v>
      </c>
      <c r="X440">
        <v>0</v>
      </c>
      <c r="Y440">
        <v>26</v>
      </c>
      <c r="Z440">
        <v>0</v>
      </c>
      <c r="AA440">
        <v>4</v>
      </c>
      <c r="AB440">
        <v>1</v>
      </c>
      <c r="AC440" t="s">
        <v>62</v>
      </c>
      <c r="AD440" t="s">
        <v>2333</v>
      </c>
      <c r="AE440">
        <v>7.4219999999999997</v>
      </c>
      <c r="AF440" t="s">
        <v>65</v>
      </c>
      <c r="AG440">
        <v>0</v>
      </c>
      <c r="AH440">
        <v>0</v>
      </c>
      <c r="AI440">
        <v>9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8</v>
      </c>
      <c r="AT440">
        <v>0</v>
      </c>
      <c r="AU440">
        <v>3</v>
      </c>
      <c r="AV440">
        <v>1</v>
      </c>
      <c r="AW440">
        <v>5</v>
      </c>
      <c r="AX440">
        <v>8</v>
      </c>
      <c r="AY440">
        <v>1</v>
      </c>
      <c r="AZ440">
        <v>1</v>
      </c>
      <c r="BA440" t="s">
        <v>15779</v>
      </c>
      <c r="BB440" t="s">
        <v>15780</v>
      </c>
      <c r="BC440">
        <v>0.26600000000000001</v>
      </c>
      <c r="BD440" t="s">
        <v>65</v>
      </c>
      <c r="BE440">
        <v>6</v>
      </c>
      <c r="BF440">
        <v>9</v>
      </c>
      <c r="BG440" t="s">
        <v>15781</v>
      </c>
      <c r="BH440" t="s">
        <v>15782</v>
      </c>
      <c r="BI440" t="s">
        <v>15783</v>
      </c>
      <c r="BJ440">
        <v>0.42271999999999998</v>
      </c>
      <c r="BK440">
        <v>0.79</v>
      </c>
      <c r="BL440" t="s">
        <v>635</v>
      </c>
      <c r="BM440">
        <v>-0.496</v>
      </c>
      <c r="BN440">
        <v>0.372</v>
      </c>
    </row>
    <row r="441" spans="2:66">
      <c r="B441">
        <v>718</v>
      </c>
      <c r="C441">
        <v>178</v>
      </c>
      <c r="D441">
        <v>0</v>
      </c>
      <c r="E441">
        <v>0</v>
      </c>
      <c r="F441">
        <v>4</v>
      </c>
      <c r="J441">
        <v>0</v>
      </c>
      <c r="K441">
        <v>0</v>
      </c>
      <c r="L441">
        <v>0</v>
      </c>
      <c r="M441" t="s">
        <v>25022</v>
      </c>
      <c r="N441">
        <v>2749</v>
      </c>
      <c r="O441" t="s">
        <v>15784</v>
      </c>
      <c r="P441" t="s">
        <v>62</v>
      </c>
      <c r="Q441">
        <v>2704438</v>
      </c>
      <c r="R441">
        <v>2705130</v>
      </c>
      <c r="S441" t="s">
        <v>15785</v>
      </c>
      <c r="T441">
        <v>231</v>
      </c>
      <c r="U441" t="s">
        <v>15778</v>
      </c>
      <c r="V441">
        <v>29</v>
      </c>
      <c r="W441" t="str">
        <f>HYPERLINK("Gene2749-zp_tree_all.dnd", "Gene2749-tree")</f>
        <v>Gene2749-tree</v>
      </c>
      <c r="X441">
        <v>0</v>
      </c>
      <c r="Y441">
        <v>4</v>
      </c>
      <c r="Z441">
        <v>0</v>
      </c>
      <c r="AA441">
        <v>4</v>
      </c>
      <c r="AB441">
        <v>1</v>
      </c>
      <c r="AC441" t="s">
        <v>62</v>
      </c>
      <c r="AD441" t="s">
        <v>61</v>
      </c>
      <c r="AE441" t="s">
        <v>62</v>
      </c>
      <c r="AF441" t="s">
        <v>62</v>
      </c>
      <c r="AG441">
        <v>0</v>
      </c>
      <c r="AH441">
        <v>0</v>
      </c>
      <c r="AI441">
        <v>7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6</v>
      </c>
      <c r="AT441">
        <v>0</v>
      </c>
      <c r="AU441">
        <v>3</v>
      </c>
      <c r="AV441">
        <v>1</v>
      </c>
      <c r="AW441">
        <v>2</v>
      </c>
      <c r="AX441">
        <v>6</v>
      </c>
      <c r="AY441">
        <v>1</v>
      </c>
      <c r="AZ441">
        <v>1</v>
      </c>
      <c r="BA441" t="s">
        <v>15786</v>
      </c>
      <c r="BB441" t="s">
        <v>15787</v>
      </c>
      <c r="BC441">
        <v>0.53200000000000003</v>
      </c>
      <c r="BD441" t="s">
        <v>65</v>
      </c>
      <c r="BE441">
        <v>3</v>
      </c>
      <c r="BF441">
        <v>7</v>
      </c>
      <c r="BG441" t="s">
        <v>15788</v>
      </c>
      <c r="BH441" t="s">
        <v>15789</v>
      </c>
      <c r="BI441" t="s">
        <v>15790</v>
      </c>
      <c r="BJ441">
        <v>0.63807999999999998</v>
      </c>
      <c r="BK441">
        <v>0.61099999999999999</v>
      </c>
      <c r="BL441" t="s">
        <v>635</v>
      </c>
      <c r="BM441">
        <v>-0.64800000000000002</v>
      </c>
      <c r="BN441">
        <v>-0.193</v>
      </c>
    </row>
    <row r="442" spans="2:66">
      <c r="B442">
        <v>719</v>
      </c>
      <c r="C442">
        <v>208</v>
      </c>
      <c r="D442">
        <v>0</v>
      </c>
      <c r="E442">
        <v>18</v>
      </c>
      <c r="F442">
        <v>4</v>
      </c>
      <c r="J442">
        <v>0</v>
      </c>
      <c r="K442">
        <v>0</v>
      </c>
      <c r="L442">
        <v>0</v>
      </c>
      <c r="M442" t="s">
        <v>25022</v>
      </c>
      <c r="N442">
        <v>2752</v>
      </c>
      <c r="O442" t="s">
        <v>15803</v>
      </c>
      <c r="P442" t="s">
        <v>62</v>
      </c>
      <c r="Q442">
        <v>2708178</v>
      </c>
      <c r="R442">
        <v>2708699</v>
      </c>
      <c r="S442" t="s">
        <v>15804</v>
      </c>
      <c r="T442">
        <v>174</v>
      </c>
      <c r="U442" t="s">
        <v>15805</v>
      </c>
      <c r="V442">
        <v>33</v>
      </c>
      <c r="W442" t="str">
        <f>HYPERLINK("Gene2752-zp_tree_all.dnd", "Gene2752-tree")</f>
        <v>Gene2752-tree</v>
      </c>
      <c r="X442">
        <v>2</v>
      </c>
      <c r="Y442">
        <v>6</v>
      </c>
      <c r="Z442">
        <v>2</v>
      </c>
      <c r="AA442">
        <v>6</v>
      </c>
      <c r="AB442">
        <v>0.75</v>
      </c>
      <c r="AC442" t="s">
        <v>81</v>
      </c>
      <c r="AD442" t="s">
        <v>90</v>
      </c>
      <c r="AE442" t="s">
        <v>62</v>
      </c>
      <c r="AF442" t="s">
        <v>62</v>
      </c>
      <c r="AG442">
        <v>0</v>
      </c>
      <c r="AH442">
        <v>0</v>
      </c>
      <c r="AI442">
        <v>9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8</v>
      </c>
      <c r="AT442">
        <v>0</v>
      </c>
      <c r="AU442">
        <v>5</v>
      </c>
      <c r="AV442">
        <v>4</v>
      </c>
      <c r="AW442">
        <v>1</v>
      </c>
      <c r="AX442">
        <v>8</v>
      </c>
      <c r="AY442">
        <v>9</v>
      </c>
      <c r="AZ442">
        <v>2</v>
      </c>
      <c r="BA442" t="s">
        <v>15806</v>
      </c>
      <c r="BB442" t="s">
        <v>15807</v>
      </c>
      <c r="BC442">
        <v>0.51200000000000001</v>
      </c>
      <c r="BD442" t="s">
        <v>65</v>
      </c>
      <c r="BE442">
        <v>10</v>
      </c>
      <c r="BF442">
        <v>10</v>
      </c>
      <c r="BG442" t="s">
        <v>15808</v>
      </c>
      <c r="BH442" t="s">
        <v>15809</v>
      </c>
      <c r="BI442" t="s">
        <v>15810</v>
      </c>
      <c r="BJ442">
        <v>0.21213000000000001</v>
      </c>
      <c r="BK442">
        <v>1</v>
      </c>
      <c r="BL442" t="s">
        <v>69</v>
      </c>
      <c r="BM442">
        <v>-1.5329999999999999</v>
      </c>
      <c r="BN442">
        <v>-1.0669999999999999</v>
      </c>
    </row>
    <row r="443" spans="2:66">
      <c r="B443">
        <v>720</v>
      </c>
      <c r="C443">
        <v>17</v>
      </c>
      <c r="D443">
        <v>0</v>
      </c>
      <c r="E443">
        <v>3</v>
      </c>
      <c r="F443">
        <v>0</v>
      </c>
      <c r="J443">
        <v>0</v>
      </c>
      <c r="K443">
        <v>0</v>
      </c>
      <c r="L443">
        <v>0</v>
      </c>
      <c r="M443" t="s">
        <v>25022</v>
      </c>
      <c r="N443">
        <v>2753</v>
      </c>
      <c r="O443" t="s">
        <v>15811</v>
      </c>
      <c r="P443" t="s">
        <v>62</v>
      </c>
      <c r="Q443">
        <v>2708946</v>
      </c>
      <c r="R443">
        <v>2709419</v>
      </c>
      <c r="S443" t="s">
        <v>3095</v>
      </c>
      <c r="T443">
        <v>158</v>
      </c>
      <c r="U443" t="s">
        <v>15812</v>
      </c>
      <c r="V443">
        <v>30</v>
      </c>
      <c r="W443" t="str">
        <f>HYPERLINK("Gene2753-zp_tree_all.dnd", "Gene2753-tree")</f>
        <v>Gene2753-tree</v>
      </c>
      <c r="X443">
        <v>2</v>
      </c>
      <c r="Y443">
        <v>3</v>
      </c>
      <c r="Z443">
        <v>2</v>
      </c>
      <c r="AA443">
        <v>3</v>
      </c>
      <c r="AB443">
        <v>0.6</v>
      </c>
      <c r="AC443" t="s">
        <v>81</v>
      </c>
      <c r="AD443" t="s">
        <v>324</v>
      </c>
      <c r="AE443" t="s">
        <v>62</v>
      </c>
      <c r="AF443" t="s">
        <v>62</v>
      </c>
      <c r="AG443">
        <v>0</v>
      </c>
      <c r="AH443">
        <v>0</v>
      </c>
      <c r="AI443">
        <v>13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13</v>
      </c>
      <c r="AT443">
        <v>0</v>
      </c>
      <c r="AU443">
        <v>3</v>
      </c>
      <c r="AV443">
        <v>1</v>
      </c>
      <c r="AW443">
        <v>8</v>
      </c>
      <c r="AX443">
        <v>13</v>
      </c>
      <c r="AY443">
        <v>1</v>
      </c>
      <c r="AZ443">
        <v>0</v>
      </c>
      <c r="BA443" t="s">
        <v>15813</v>
      </c>
      <c r="BB443" t="s">
        <v>193</v>
      </c>
      <c r="BC443">
        <v>0.98199999999999998</v>
      </c>
      <c r="BD443" t="s">
        <v>65</v>
      </c>
      <c r="BE443">
        <v>9</v>
      </c>
      <c r="BF443">
        <v>13</v>
      </c>
      <c r="BG443" t="s">
        <v>15814</v>
      </c>
      <c r="BH443" t="s">
        <v>15815</v>
      </c>
      <c r="BI443" t="s">
        <v>15816</v>
      </c>
      <c r="BJ443">
        <v>0.39345999999999998</v>
      </c>
      <c r="BK443">
        <v>0.96</v>
      </c>
      <c r="BL443" t="s">
        <v>69</v>
      </c>
      <c r="BM443">
        <v>-1.9850000000000001</v>
      </c>
      <c r="BN443">
        <v>-3.242</v>
      </c>
    </row>
    <row r="444" spans="2:66">
      <c r="B444">
        <v>723</v>
      </c>
      <c r="C444">
        <v>137</v>
      </c>
      <c r="D444">
        <v>0</v>
      </c>
      <c r="E444">
        <v>7</v>
      </c>
      <c r="F444">
        <v>8</v>
      </c>
      <c r="J444">
        <v>0</v>
      </c>
      <c r="K444">
        <v>6</v>
      </c>
      <c r="L444">
        <v>0</v>
      </c>
      <c r="M444" t="s">
        <v>25022</v>
      </c>
      <c r="N444">
        <v>2754</v>
      </c>
      <c r="O444" t="s">
        <v>15817</v>
      </c>
      <c r="P444" t="s">
        <v>62</v>
      </c>
      <c r="Q444">
        <v>2710005</v>
      </c>
      <c r="R444">
        <v>2710787</v>
      </c>
      <c r="S444" t="s">
        <v>1123</v>
      </c>
      <c r="T444">
        <v>261</v>
      </c>
      <c r="U444" t="s">
        <v>15818</v>
      </c>
      <c r="V444">
        <v>24</v>
      </c>
      <c r="W444" t="str">
        <f>HYPERLINK("Gene2754-zp_tree_all.dnd", "Gene2754-tree")</f>
        <v>Gene2754-tree</v>
      </c>
      <c r="X444">
        <v>0</v>
      </c>
      <c r="Y444">
        <v>24</v>
      </c>
      <c r="Z444">
        <v>0</v>
      </c>
      <c r="AA444">
        <v>5</v>
      </c>
      <c r="AB444">
        <v>1</v>
      </c>
      <c r="AC444" t="s">
        <v>62</v>
      </c>
      <c r="AD444" t="s">
        <v>2668</v>
      </c>
      <c r="AE444">
        <v>5.8230000000000004</v>
      </c>
      <c r="AF444" t="s">
        <v>65</v>
      </c>
      <c r="AG444">
        <v>3</v>
      </c>
      <c r="AH444">
        <v>6</v>
      </c>
      <c r="AI444">
        <v>13</v>
      </c>
      <c r="AJ444">
        <v>0.31579000000000002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4</v>
      </c>
      <c r="AQ444">
        <v>2</v>
      </c>
      <c r="AR444">
        <v>6</v>
      </c>
      <c r="AS444">
        <v>8</v>
      </c>
      <c r="AT444">
        <v>0.42857000000000001</v>
      </c>
      <c r="AU444">
        <v>5</v>
      </c>
      <c r="AV444">
        <v>2</v>
      </c>
      <c r="AW444">
        <v>4</v>
      </c>
      <c r="AX444">
        <v>14</v>
      </c>
      <c r="AY444">
        <v>12</v>
      </c>
      <c r="AZ444">
        <v>5</v>
      </c>
      <c r="BA444" t="s">
        <v>15819</v>
      </c>
      <c r="BB444" t="s">
        <v>15820</v>
      </c>
      <c r="BC444">
        <v>1.968</v>
      </c>
      <c r="BD444" t="s">
        <v>267</v>
      </c>
      <c r="BE444">
        <v>16</v>
      </c>
      <c r="BF444">
        <v>19</v>
      </c>
      <c r="BG444" t="s">
        <v>15821</v>
      </c>
      <c r="BH444" t="s">
        <v>15822</v>
      </c>
      <c r="BI444" t="s">
        <v>15823</v>
      </c>
      <c r="BJ444">
        <v>0.30031000000000002</v>
      </c>
      <c r="BK444">
        <v>1</v>
      </c>
      <c r="BL444" t="s">
        <v>69</v>
      </c>
      <c r="BM444">
        <v>-1.4410000000000001</v>
      </c>
      <c r="BN444">
        <v>-1.0999999999999999E-2</v>
      </c>
    </row>
    <row r="445" spans="2:66">
      <c r="B445">
        <v>724</v>
      </c>
      <c r="C445">
        <v>50</v>
      </c>
      <c r="D445">
        <v>2</v>
      </c>
      <c r="E445">
        <v>9</v>
      </c>
      <c r="F445">
        <v>1</v>
      </c>
      <c r="J445">
        <v>0</v>
      </c>
      <c r="K445">
        <v>4</v>
      </c>
      <c r="L445">
        <v>2</v>
      </c>
      <c r="M445" t="s">
        <v>25022</v>
      </c>
      <c r="N445">
        <v>2757</v>
      </c>
      <c r="O445" t="s">
        <v>15824</v>
      </c>
      <c r="P445" t="s">
        <v>62</v>
      </c>
      <c r="Q445">
        <v>2712580</v>
      </c>
      <c r="R445">
        <v>2713134</v>
      </c>
      <c r="S445" t="s">
        <v>15825</v>
      </c>
      <c r="T445">
        <v>185</v>
      </c>
      <c r="U445" t="s">
        <v>15826</v>
      </c>
      <c r="V445">
        <v>30</v>
      </c>
      <c r="W445" t="str">
        <f>HYPERLINK("Gene2757-zp_tree_all.dnd", "Gene2757-tree")</f>
        <v>Gene2757-tree</v>
      </c>
      <c r="X445">
        <v>1</v>
      </c>
      <c r="Y445">
        <v>7</v>
      </c>
      <c r="Z445">
        <v>1</v>
      </c>
      <c r="AA445">
        <v>7</v>
      </c>
      <c r="AB445">
        <v>0.875</v>
      </c>
      <c r="AC445" t="s">
        <v>175</v>
      </c>
      <c r="AD445" t="s">
        <v>152</v>
      </c>
      <c r="AE445" t="s">
        <v>62</v>
      </c>
      <c r="AF445" t="s">
        <v>62</v>
      </c>
      <c r="AG445">
        <v>3</v>
      </c>
      <c r="AH445">
        <v>6</v>
      </c>
      <c r="AI445">
        <v>9</v>
      </c>
      <c r="AJ445">
        <v>0.4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10</v>
      </c>
      <c r="AT445">
        <v>0</v>
      </c>
      <c r="AU445">
        <v>6</v>
      </c>
      <c r="AV445">
        <v>5</v>
      </c>
      <c r="AW445">
        <v>9</v>
      </c>
      <c r="AX445">
        <v>8</v>
      </c>
      <c r="AY445">
        <v>12</v>
      </c>
      <c r="AZ445">
        <v>7</v>
      </c>
      <c r="BA445" t="s">
        <v>15827</v>
      </c>
      <c r="BB445" t="s">
        <v>15828</v>
      </c>
      <c r="BC445">
        <v>0.52400000000000002</v>
      </c>
      <c r="BD445" t="s">
        <v>65</v>
      </c>
      <c r="BE445">
        <v>21</v>
      </c>
      <c r="BF445">
        <v>15</v>
      </c>
      <c r="BG445" t="s">
        <v>15829</v>
      </c>
      <c r="BH445" t="s">
        <v>15830</v>
      </c>
      <c r="BI445" t="s">
        <v>15831</v>
      </c>
      <c r="BJ445">
        <v>0.18129999999999999</v>
      </c>
      <c r="BK445">
        <v>1</v>
      </c>
      <c r="BL445" t="s">
        <v>69</v>
      </c>
      <c r="BM445">
        <v>0.192</v>
      </c>
      <c r="BN445">
        <v>0.40500000000000003</v>
      </c>
    </row>
    <row r="446" spans="2:66">
      <c r="B446">
        <v>728</v>
      </c>
      <c r="C446">
        <v>111</v>
      </c>
      <c r="D446">
        <v>0</v>
      </c>
      <c r="E446">
        <v>2</v>
      </c>
      <c r="F446">
        <v>0</v>
      </c>
      <c r="J446">
        <v>0</v>
      </c>
      <c r="K446">
        <v>2</v>
      </c>
      <c r="L446">
        <v>0</v>
      </c>
      <c r="M446" t="s">
        <v>25022</v>
      </c>
      <c r="N446">
        <v>2758</v>
      </c>
      <c r="O446" t="s">
        <v>15832</v>
      </c>
      <c r="P446" t="s">
        <v>62</v>
      </c>
      <c r="Q446">
        <v>2713323</v>
      </c>
      <c r="R446">
        <v>2713802</v>
      </c>
      <c r="S446" t="s">
        <v>15833</v>
      </c>
      <c r="T446">
        <v>160</v>
      </c>
      <c r="U446" t="s">
        <v>15834</v>
      </c>
      <c r="V446">
        <v>31</v>
      </c>
      <c r="W446" t="str">
        <f>HYPERLINK("Gene2758-zp_tree_all.dnd", "Gene2758-tree")</f>
        <v>Gene2758-tree</v>
      </c>
      <c r="X446">
        <v>5</v>
      </c>
      <c r="Y446">
        <v>6</v>
      </c>
      <c r="Z446">
        <v>5</v>
      </c>
      <c r="AA446">
        <v>6</v>
      </c>
      <c r="AB446">
        <v>0.54544999999999999</v>
      </c>
      <c r="AC446" t="s">
        <v>199</v>
      </c>
      <c r="AD446" t="s">
        <v>90</v>
      </c>
      <c r="AE446" t="s">
        <v>62</v>
      </c>
      <c r="AF446" t="s">
        <v>62</v>
      </c>
      <c r="AG446">
        <v>1</v>
      </c>
      <c r="AH446">
        <v>2</v>
      </c>
      <c r="AI446">
        <v>9</v>
      </c>
      <c r="AJ446">
        <v>0.18182000000000001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9</v>
      </c>
      <c r="AT446">
        <v>0</v>
      </c>
      <c r="AU446">
        <v>7</v>
      </c>
      <c r="AV446">
        <v>6</v>
      </c>
      <c r="AW446">
        <v>16</v>
      </c>
      <c r="AX446">
        <v>8</v>
      </c>
      <c r="AY446">
        <v>9</v>
      </c>
      <c r="AZ446">
        <v>3</v>
      </c>
      <c r="BA446" t="s">
        <v>15835</v>
      </c>
      <c r="BB446" t="s">
        <v>15836</v>
      </c>
      <c r="BC446">
        <v>0.14799999999999999</v>
      </c>
      <c r="BD446" t="s">
        <v>65</v>
      </c>
      <c r="BE446">
        <v>25</v>
      </c>
      <c r="BF446">
        <v>11</v>
      </c>
      <c r="BG446" t="s">
        <v>15837</v>
      </c>
      <c r="BH446" t="s">
        <v>15838</v>
      </c>
      <c r="BI446" t="s">
        <v>15839</v>
      </c>
      <c r="BJ446">
        <v>0.1084</v>
      </c>
      <c r="BK446">
        <v>1</v>
      </c>
      <c r="BL446" t="s">
        <v>69</v>
      </c>
      <c r="BM446">
        <v>-1.673</v>
      </c>
      <c r="BN446">
        <v>-3.1120000000000001</v>
      </c>
    </row>
    <row r="447" spans="2:66">
      <c r="B447">
        <v>729</v>
      </c>
      <c r="C447">
        <v>86</v>
      </c>
      <c r="D447">
        <v>0</v>
      </c>
      <c r="E447">
        <v>2</v>
      </c>
      <c r="F447">
        <v>0</v>
      </c>
      <c r="J447">
        <v>0</v>
      </c>
      <c r="K447">
        <v>0</v>
      </c>
      <c r="L447">
        <v>0</v>
      </c>
      <c r="M447" t="s">
        <v>25022</v>
      </c>
      <c r="N447">
        <v>2759</v>
      </c>
      <c r="O447" t="s">
        <v>15840</v>
      </c>
      <c r="P447" t="s">
        <v>62</v>
      </c>
      <c r="Q447">
        <v>2713952</v>
      </c>
      <c r="R447">
        <v>2714140</v>
      </c>
      <c r="S447" t="s">
        <v>15841</v>
      </c>
      <c r="T447">
        <v>63</v>
      </c>
      <c r="U447" t="s">
        <v>15842</v>
      </c>
      <c r="V447">
        <v>32</v>
      </c>
      <c r="W447" t="str">
        <f>HYPERLINK("Gene2759-zp_tree_all.dnd", "Gene2759-tree")</f>
        <v>Gene2759-tree</v>
      </c>
      <c r="X447">
        <v>30</v>
      </c>
      <c r="Y447">
        <v>0</v>
      </c>
      <c r="Z447">
        <v>4</v>
      </c>
      <c r="AA447">
        <v>0</v>
      </c>
      <c r="AB447">
        <v>0</v>
      </c>
      <c r="AC447" t="s">
        <v>3663</v>
      </c>
      <c r="AD447" t="s">
        <v>62</v>
      </c>
      <c r="AE447" t="s">
        <v>62</v>
      </c>
      <c r="AF447" t="s">
        <v>62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3</v>
      </c>
      <c r="AV447">
        <v>0</v>
      </c>
      <c r="AW447">
        <v>9</v>
      </c>
      <c r="AX447">
        <v>0</v>
      </c>
      <c r="AY447">
        <v>0</v>
      </c>
      <c r="AZ447">
        <v>0</v>
      </c>
      <c r="BA447" t="s">
        <v>193</v>
      </c>
      <c r="BB447" t="s">
        <v>193</v>
      </c>
      <c r="BC447">
        <v>0</v>
      </c>
      <c r="BD447" t="s">
        <v>65</v>
      </c>
      <c r="BE447">
        <v>9</v>
      </c>
      <c r="BF447">
        <v>0</v>
      </c>
      <c r="BG447" t="s">
        <v>15843</v>
      </c>
      <c r="BH447" t="s">
        <v>15844</v>
      </c>
      <c r="BI447" t="s">
        <v>193</v>
      </c>
      <c r="BJ447">
        <v>0</v>
      </c>
      <c r="BK447">
        <v>1</v>
      </c>
      <c r="BL447" t="s">
        <v>69</v>
      </c>
      <c r="BM447">
        <v>-1.651</v>
      </c>
      <c r="BN447">
        <v>0.77400000000000002</v>
      </c>
    </row>
    <row r="448" spans="2:66">
      <c r="B448">
        <v>730</v>
      </c>
      <c r="C448">
        <v>13</v>
      </c>
      <c r="D448">
        <v>0</v>
      </c>
      <c r="E448">
        <v>4</v>
      </c>
      <c r="F448">
        <v>3</v>
      </c>
      <c r="J448">
        <v>0</v>
      </c>
      <c r="K448">
        <v>0</v>
      </c>
      <c r="L448">
        <v>0</v>
      </c>
      <c r="M448" t="s">
        <v>25022</v>
      </c>
      <c r="N448">
        <v>2762</v>
      </c>
      <c r="O448" t="s">
        <v>15845</v>
      </c>
      <c r="P448" t="s">
        <v>62</v>
      </c>
      <c r="Q448">
        <v>2714936</v>
      </c>
      <c r="R448">
        <v>2715493</v>
      </c>
      <c r="S448" t="s">
        <v>3048</v>
      </c>
      <c r="T448">
        <v>186</v>
      </c>
      <c r="U448" t="s">
        <v>15826</v>
      </c>
      <c r="V448">
        <v>30</v>
      </c>
      <c r="W448" t="str">
        <f>HYPERLINK("Gene2762-zp_tree_all.dnd", "Gene2762-tree")</f>
        <v>Gene2762-tree</v>
      </c>
      <c r="X448">
        <v>3</v>
      </c>
      <c r="Y448">
        <v>6</v>
      </c>
      <c r="Z448">
        <v>3</v>
      </c>
      <c r="AA448">
        <v>6</v>
      </c>
      <c r="AB448">
        <v>0.66666999999999998</v>
      </c>
      <c r="AC448" t="s">
        <v>324</v>
      </c>
      <c r="AD448" t="s">
        <v>90</v>
      </c>
      <c r="AE448" t="s">
        <v>62</v>
      </c>
      <c r="AF448" t="s">
        <v>62</v>
      </c>
      <c r="AG448">
        <v>0</v>
      </c>
      <c r="AH448">
        <v>0</v>
      </c>
      <c r="AI448">
        <v>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7</v>
      </c>
      <c r="AT448">
        <v>0</v>
      </c>
      <c r="AU448">
        <v>8</v>
      </c>
      <c r="AV448">
        <v>5</v>
      </c>
      <c r="AW448">
        <v>8</v>
      </c>
      <c r="AX448">
        <v>7</v>
      </c>
      <c r="AY448">
        <v>11</v>
      </c>
      <c r="AZ448">
        <v>2</v>
      </c>
      <c r="BA448" t="s">
        <v>15846</v>
      </c>
      <c r="BB448" t="s">
        <v>15847</v>
      </c>
      <c r="BC448">
        <v>1.403</v>
      </c>
      <c r="BD448" t="s">
        <v>65</v>
      </c>
      <c r="BE448">
        <v>19</v>
      </c>
      <c r="BF448">
        <v>9</v>
      </c>
      <c r="BG448" t="s">
        <v>15848</v>
      </c>
      <c r="BH448" t="s">
        <v>15849</v>
      </c>
      <c r="BI448" t="s">
        <v>15850</v>
      </c>
      <c r="BJ448">
        <v>0.11605</v>
      </c>
      <c r="BK448">
        <v>1</v>
      </c>
      <c r="BL448" t="s">
        <v>69</v>
      </c>
      <c r="BM448">
        <v>-0.78100000000000003</v>
      </c>
      <c r="BN448">
        <v>-0.27600000000000002</v>
      </c>
    </row>
    <row r="449" spans="2:66">
      <c r="B449">
        <v>731</v>
      </c>
      <c r="C449">
        <v>7</v>
      </c>
      <c r="D449">
        <v>0</v>
      </c>
      <c r="E449">
        <v>3</v>
      </c>
      <c r="F449">
        <v>4</v>
      </c>
      <c r="J449">
        <v>0</v>
      </c>
      <c r="K449">
        <v>2</v>
      </c>
      <c r="L449">
        <v>0</v>
      </c>
      <c r="M449" t="s">
        <v>25022</v>
      </c>
      <c r="N449">
        <v>2763</v>
      </c>
      <c r="O449" t="s">
        <v>15851</v>
      </c>
      <c r="P449" t="s">
        <v>62</v>
      </c>
      <c r="Q449">
        <v>2715513</v>
      </c>
      <c r="R449">
        <v>2715686</v>
      </c>
      <c r="S449" t="s">
        <v>15852</v>
      </c>
      <c r="T449">
        <v>58</v>
      </c>
      <c r="U449" t="s">
        <v>15826</v>
      </c>
      <c r="V449">
        <v>30</v>
      </c>
      <c r="W449" t="str">
        <f>HYPERLINK("Gene2763-zp_tree_all.dnd", "Gene2763-tree")</f>
        <v>Gene2763-tree</v>
      </c>
      <c r="X449">
        <v>3</v>
      </c>
      <c r="Y449">
        <v>5</v>
      </c>
      <c r="Z449">
        <v>3</v>
      </c>
      <c r="AA449">
        <v>5</v>
      </c>
      <c r="AB449">
        <v>0.625</v>
      </c>
      <c r="AC449" t="s">
        <v>324</v>
      </c>
      <c r="AD449" t="s">
        <v>199</v>
      </c>
      <c r="AE449" t="s">
        <v>62</v>
      </c>
      <c r="AF449" t="s">
        <v>62</v>
      </c>
      <c r="AG449">
        <v>1</v>
      </c>
      <c r="AH449">
        <v>2</v>
      </c>
      <c r="AI449">
        <v>4</v>
      </c>
      <c r="AJ449">
        <v>0.33333000000000002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2</v>
      </c>
      <c r="AQ449">
        <v>0</v>
      </c>
      <c r="AR449">
        <v>2</v>
      </c>
      <c r="AS449">
        <v>2</v>
      </c>
      <c r="AT449">
        <v>0.5</v>
      </c>
      <c r="AU449">
        <v>6</v>
      </c>
      <c r="AV449">
        <v>2</v>
      </c>
      <c r="AW449">
        <v>2</v>
      </c>
      <c r="AX449">
        <v>4</v>
      </c>
      <c r="AY449">
        <v>0</v>
      </c>
      <c r="AZ449">
        <v>2</v>
      </c>
      <c r="BA449" t="s">
        <v>15853</v>
      </c>
      <c r="BB449" t="s">
        <v>193</v>
      </c>
      <c r="BC449">
        <v>0.98</v>
      </c>
      <c r="BD449" t="s">
        <v>65</v>
      </c>
      <c r="BE449">
        <v>2</v>
      </c>
      <c r="BF449">
        <v>6</v>
      </c>
      <c r="BG449" t="s">
        <v>15854</v>
      </c>
      <c r="BH449" t="s">
        <v>15855</v>
      </c>
      <c r="BI449" t="s">
        <v>15856</v>
      </c>
      <c r="BJ449">
        <v>0.92300000000000004</v>
      </c>
      <c r="BK449">
        <v>0.5</v>
      </c>
      <c r="BL449" t="s">
        <v>635</v>
      </c>
      <c r="BM449">
        <v>-1.161</v>
      </c>
      <c r="BN449">
        <v>-1.2110000000000001</v>
      </c>
    </row>
    <row r="450" spans="2:66">
      <c r="B450">
        <v>732</v>
      </c>
      <c r="C450">
        <v>143</v>
      </c>
      <c r="D450">
        <v>0</v>
      </c>
      <c r="E450">
        <v>8</v>
      </c>
      <c r="F450">
        <v>0</v>
      </c>
      <c r="J450">
        <v>0</v>
      </c>
      <c r="K450">
        <v>2</v>
      </c>
      <c r="L450">
        <v>0</v>
      </c>
      <c r="M450" t="s">
        <v>25022</v>
      </c>
      <c r="N450">
        <v>2764</v>
      </c>
      <c r="O450" t="s">
        <v>15857</v>
      </c>
      <c r="P450" t="s">
        <v>62</v>
      </c>
      <c r="Q450">
        <v>2716038</v>
      </c>
      <c r="R450">
        <v>2716856</v>
      </c>
      <c r="S450" t="s">
        <v>15858</v>
      </c>
      <c r="T450">
        <v>273</v>
      </c>
      <c r="U450" t="s">
        <v>108</v>
      </c>
      <c r="V450">
        <v>44</v>
      </c>
      <c r="W450" t="str">
        <f>HYPERLINK("Gene2764-zp_tree_all.dnd", "Gene2764-tree")</f>
        <v>Gene2764-tree</v>
      </c>
      <c r="X450">
        <v>5</v>
      </c>
      <c r="Y450">
        <v>7</v>
      </c>
      <c r="Z450">
        <v>5</v>
      </c>
      <c r="AA450">
        <v>7</v>
      </c>
      <c r="AB450">
        <v>0.58333000000000002</v>
      </c>
      <c r="AC450" t="s">
        <v>199</v>
      </c>
      <c r="AD450" t="s">
        <v>152</v>
      </c>
      <c r="AE450" t="s">
        <v>62</v>
      </c>
      <c r="AF450" t="s">
        <v>62</v>
      </c>
      <c r="AG450">
        <v>1</v>
      </c>
      <c r="AH450">
        <v>2</v>
      </c>
      <c r="AI450">
        <v>14</v>
      </c>
      <c r="AJ450">
        <v>0.125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0</v>
      </c>
      <c r="AR450">
        <v>2</v>
      </c>
      <c r="AS450">
        <v>11</v>
      </c>
      <c r="AT450">
        <v>0.15384999999999999</v>
      </c>
      <c r="AU450">
        <v>8</v>
      </c>
      <c r="AV450">
        <v>7</v>
      </c>
      <c r="AW450">
        <v>18</v>
      </c>
      <c r="AX450">
        <v>11</v>
      </c>
      <c r="AY450">
        <v>9</v>
      </c>
      <c r="AZ450">
        <v>5</v>
      </c>
      <c r="BA450" t="s">
        <v>15859</v>
      </c>
      <c r="BB450" t="s">
        <v>15860</v>
      </c>
      <c r="BC450">
        <v>8.6999999999999994E-2</v>
      </c>
      <c r="BD450" t="s">
        <v>65</v>
      </c>
      <c r="BE450">
        <v>27</v>
      </c>
      <c r="BF450">
        <v>16</v>
      </c>
      <c r="BG450" t="s">
        <v>15861</v>
      </c>
      <c r="BH450" t="s">
        <v>15862</v>
      </c>
      <c r="BI450" t="s">
        <v>15863</v>
      </c>
      <c r="BJ450">
        <v>0.17493</v>
      </c>
      <c r="BK450">
        <v>1</v>
      </c>
      <c r="BL450" t="s">
        <v>69</v>
      </c>
      <c r="BM450">
        <v>-1.1559999999999999</v>
      </c>
      <c r="BN450">
        <v>-1.9710000000000001</v>
      </c>
    </row>
    <row r="451" spans="2:66">
      <c r="B451">
        <v>733</v>
      </c>
      <c r="C451">
        <v>308</v>
      </c>
      <c r="D451">
        <v>2</v>
      </c>
      <c r="E451">
        <v>8</v>
      </c>
      <c r="F451">
        <v>0</v>
      </c>
      <c r="J451">
        <v>0</v>
      </c>
      <c r="K451">
        <v>12</v>
      </c>
      <c r="L451">
        <v>1</v>
      </c>
      <c r="M451" t="s">
        <v>25022</v>
      </c>
      <c r="N451">
        <v>2767</v>
      </c>
      <c r="O451" t="s">
        <v>15878</v>
      </c>
      <c r="P451" t="s">
        <v>62</v>
      </c>
      <c r="Q451">
        <v>2718962</v>
      </c>
      <c r="R451">
        <v>2720263</v>
      </c>
      <c r="S451" t="s">
        <v>15879</v>
      </c>
      <c r="T451">
        <v>434</v>
      </c>
      <c r="U451" t="s">
        <v>108</v>
      </c>
      <c r="V451">
        <v>44</v>
      </c>
      <c r="W451" t="str">
        <f>HYPERLINK("Gene2767-zp_tree_all.dnd", "Gene2767-tree")</f>
        <v>Gene2767-tree</v>
      </c>
      <c r="X451">
        <v>4</v>
      </c>
      <c r="Y451">
        <v>13</v>
      </c>
      <c r="Z451">
        <v>4</v>
      </c>
      <c r="AA451">
        <v>13</v>
      </c>
      <c r="AB451">
        <v>0.76471</v>
      </c>
      <c r="AC451" t="s">
        <v>61</v>
      </c>
      <c r="AD451" t="s">
        <v>507</v>
      </c>
      <c r="AE451" t="s">
        <v>62</v>
      </c>
      <c r="AF451" t="s">
        <v>62</v>
      </c>
      <c r="AG451">
        <v>5</v>
      </c>
      <c r="AH451">
        <v>13</v>
      </c>
      <c r="AI451">
        <v>24</v>
      </c>
      <c r="AJ451">
        <v>0.35135</v>
      </c>
      <c r="AK451">
        <v>0</v>
      </c>
      <c r="AL451">
        <v>0</v>
      </c>
      <c r="AM451">
        <v>0</v>
      </c>
      <c r="AN451">
        <v>2</v>
      </c>
      <c r="AO451">
        <v>0</v>
      </c>
      <c r="AP451">
        <v>6</v>
      </c>
      <c r="AQ451">
        <v>1</v>
      </c>
      <c r="AR451">
        <v>7</v>
      </c>
      <c r="AS451">
        <v>21</v>
      </c>
      <c r="AT451">
        <v>0.25</v>
      </c>
      <c r="AU451">
        <v>13</v>
      </c>
      <c r="AV451">
        <v>10</v>
      </c>
      <c r="AW451">
        <v>33</v>
      </c>
      <c r="AX451">
        <v>28</v>
      </c>
      <c r="AY451">
        <v>16</v>
      </c>
      <c r="AZ451">
        <v>9</v>
      </c>
      <c r="BA451" t="s">
        <v>15880</v>
      </c>
      <c r="BB451" t="s">
        <v>15881</v>
      </c>
      <c r="BC451">
        <v>0.41099999999999998</v>
      </c>
      <c r="BD451" t="s">
        <v>65</v>
      </c>
      <c r="BE451">
        <v>49</v>
      </c>
      <c r="BF451">
        <v>37</v>
      </c>
      <c r="BG451" t="s">
        <v>15882</v>
      </c>
      <c r="BH451" t="s">
        <v>15883</v>
      </c>
      <c r="BI451" t="s">
        <v>15884</v>
      </c>
      <c r="BJ451">
        <v>0.19772999999999999</v>
      </c>
      <c r="BK451">
        <v>1</v>
      </c>
      <c r="BL451" t="s">
        <v>69</v>
      </c>
      <c r="BM451">
        <v>-1.1499999999999999</v>
      </c>
      <c r="BN451">
        <v>-3.0950000000000002</v>
      </c>
    </row>
    <row r="452" spans="2:66">
      <c r="B452">
        <v>734</v>
      </c>
      <c r="C452">
        <v>363</v>
      </c>
      <c r="D452">
        <v>0</v>
      </c>
      <c r="E452">
        <v>10</v>
      </c>
      <c r="F452">
        <v>0</v>
      </c>
      <c r="J452">
        <v>0</v>
      </c>
      <c r="K452">
        <v>0</v>
      </c>
      <c r="L452">
        <v>0</v>
      </c>
      <c r="M452" t="s">
        <v>25022</v>
      </c>
      <c r="N452">
        <v>2768</v>
      </c>
      <c r="O452" t="s">
        <v>15885</v>
      </c>
      <c r="P452" t="s">
        <v>62</v>
      </c>
      <c r="Q452">
        <v>2720529</v>
      </c>
      <c r="R452">
        <v>2720669</v>
      </c>
      <c r="S452" t="s">
        <v>116</v>
      </c>
      <c r="T452">
        <v>47</v>
      </c>
      <c r="U452" t="s">
        <v>108</v>
      </c>
      <c r="V452">
        <v>44</v>
      </c>
      <c r="W452" t="str">
        <f>HYPERLINK("Gene2768-zp_tree_all.dnd", "Gene2768-tree")</f>
        <v>Gene2768-tree</v>
      </c>
      <c r="X452">
        <v>3</v>
      </c>
      <c r="Y452">
        <v>2</v>
      </c>
      <c r="Z452">
        <v>3</v>
      </c>
      <c r="AA452">
        <v>2</v>
      </c>
      <c r="AB452">
        <v>0.4</v>
      </c>
      <c r="AC452" t="s">
        <v>324</v>
      </c>
      <c r="AD452" t="s">
        <v>81</v>
      </c>
      <c r="AE452" t="s">
        <v>62</v>
      </c>
      <c r="AF452" t="s">
        <v>62</v>
      </c>
      <c r="AG452">
        <v>0</v>
      </c>
      <c r="AH452">
        <v>0</v>
      </c>
      <c r="AI452">
        <v>2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</v>
      </c>
      <c r="AT452">
        <v>0</v>
      </c>
      <c r="AU452">
        <v>4</v>
      </c>
      <c r="AV452">
        <v>1</v>
      </c>
      <c r="AW452">
        <v>6</v>
      </c>
      <c r="AX452">
        <v>2</v>
      </c>
      <c r="AY452">
        <v>1</v>
      </c>
      <c r="AZ452">
        <v>0</v>
      </c>
      <c r="BA452" t="s">
        <v>15886</v>
      </c>
      <c r="BB452" t="s">
        <v>193</v>
      </c>
      <c r="BC452">
        <v>1.788</v>
      </c>
      <c r="BD452" t="s">
        <v>65</v>
      </c>
      <c r="BE452">
        <v>7</v>
      </c>
      <c r="BF452">
        <v>2</v>
      </c>
      <c r="BG452" t="s">
        <v>15887</v>
      </c>
      <c r="BH452" t="s">
        <v>15888</v>
      </c>
      <c r="BI452" t="s">
        <v>15889</v>
      </c>
      <c r="BJ452">
        <v>6.241E-2</v>
      </c>
      <c r="BK452">
        <v>1</v>
      </c>
      <c r="BL452" t="s">
        <v>69</v>
      </c>
      <c r="BM452">
        <v>0.21099999999999999</v>
      </c>
      <c r="BN452">
        <v>-1.4710000000000001</v>
      </c>
    </row>
    <row r="453" spans="2:66">
      <c r="B453">
        <v>735</v>
      </c>
      <c r="C453">
        <v>283</v>
      </c>
      <c r="D453">
        <v>0</v>
      </c>
      <c r="E453">
        <v>0</v>
      </c>
      <c r="F453">
        <v>2</v>
      </c>
      <c r="J453">
        <v>0</v>
      </c>
      <c r="K453">
        <v>12</v>
      </c>
      <c r="L453">
        <v>0</v>
      </c>
      <c r="M453" t="s">
        <v>25022</v>
      </c>
      <c r="N453">
        <v>2769</v>
      </c>
      <c r="O453" t="s">
        <v>15890</v>
      </c>
      <c r="P453" t="s">
        <v>62</v>
      </c>
      <c r="Q453">
        <v>2720690</v>
      </c>
      <c r="R453">
        <v>2721652</v>
      </c>
      <c r="S453" t="s">
        <v>2641</v>
      </c>
      <c r="T453">
        <v>321</v>
      </c>
      <c r="U453" t="s">
        <v>108</v>
      </c>
      <c r="V453">
        <v>44</v>
      </c>
      <c r="W453" t="str">
        <f>HYPERLINK("Gene2769-zp_tree_all.dnd", "Gene2769-tree")</f>
        <v>Gene2769-tree</v>
      </c>
      <c r="X453">
        <v>2</v>
      </c>
      <c r="Y453">
        <v>10</v>
      </c>
      <c r="Z453">
        <v>2</v>
      </c>
      <c r="AA453">
        <v>10</v>
      </c>
      <c r="AB453">
        <v>0.83333000000000002</v>
      </c>
      <c r="AC453" t="s">
        <v>81</v>
      </c>
      <c r="AD453" t="s">
        <v>117</v>
      </c>
      <c r="AE453" t="s">
        <v>62</v>
      </c>
      <c r="AF453" t="s">
        <v>62</v>
      </c>
      <c r="AG453">
        <v>6</v>
      </c>
      <c r="AH453">
        <v>12</v>
      </c>
      <c r="AI453">
        <v>10</v>
      </c>
      <c r="AJ453">
        <v>0.54544999999999999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4</v>
      </c>
      <c r="AQ453">
        <v>2</v>
      </c>
      <c r="AR453">
        <v>6</v>
      </c>
      <c r="AS453">
        <v>8</v>
      </c>
      <c r="AT453">
        <v>0.42857000000000001</v>
      </c>
      <c r="AU453">
        <v>11</v>
      </c>
      <c r="AV453">
        <v>9</v>
      </c>
      <c r="AW453">
        <v>17</v>
      </c>
      <c r="AX453">
        <v>13</v>
      </c>
      <c r="AY453">
        <v>17</v>
      </c>
      <c r="AZ453">
        <v>9</v>
      </c>
      <c r="BA453" t="s">
        <v>15891</v>
      </c>
      <c r="BB453" t="s">
        <v>15892</v>
      </c>
      <c r="BC453">
        <v>0.68700000000000006</v>
      </c>
      <c r="BD453" t="s">
        <v>65</v>
      </c>
      <c r="BE453">
        <v>34</v>
      </c>
      <c r="BF453">
        <v>22</v>
      </c>
      <c r="BG453" t="s">
        <v>15893</v>
      </c>
      <c r="BH453" t="s">
        <v>15894</v>
      </c>
      <c r="BI453" t="s">
        <v>15895</v>
      </c>
      <c r="BJ453">
        <v>0.20401</v>
      </c>
      <c r="BK453">
        <v>1</v>
      </c>
      <c r="BL453" t="s">
        <v>69</v>
      </c>
      <c r="BM453">
        <v>0.58799999999999997</v>
      </c>
      <c r="BN453">
        <v>0.61599999999999999</v>
      </c>
    </row>
    <row r="454" spans="2:66">
      <c r="B454">
        <v>736</v>
      </c>
      <c r="C454">
        <v>32</v>
      </c>
      <c r="D454">
        <v>0</v>
      </c>
      <c r="E454">
        <v>13</v>
      </c>
      <c r="F454">
        <v>2</v>
      </c>
      <c r="J454">
        <v>0</v>
      </c>
      <c r="K454">
        <v>4</v>
      </c>
      <c r="L454">
        <v>5</v>
      </c>
      <c r="M454" t="s">
        <v>25022</v>
      </c>
      <c r="N454">
        <v>2771</v>
      </c>
      <c r="O454" t="s">
        <v>15902</v>
      </c>
      <c r="P454" t="s">
        <v>62</v>
      </c>
      <c r="Q454">
        <v>2722770</v>
      </c>
      <c r="R454">
        <v>2723804</v>
      </c>
      <c r="S454" t="s">
        <v>1940</v>
      </c>
      <c r="T454">
        <v>345</v>
      </c>
      <c r="U454" t="s">
        <v>1392</v>
      </c>
      <c r="V454">
        <v>43</v>
      </c>
      <c r="W454" t="str">
        <f>HYPERLINK("Gene2771-zp_tree_all.dnd", "Gene2771-tree")</f>
        <v>Gene2771-tree</v>
      </c>
      <c r="X454">
        <v>7</v>
      </c>
      <c r="Y454">
        <v>8</v>
      </c>
      <c r="Z454">
        <v>7</v>
      </c>
      <c r="AA454">
        <v>8</v>
      </c>
      <c r="AB454">
        <v>0.53332999999999997</v>
      </c>
      <c r="AC454" t="s">
        <v>152</v>
      </c>
      <c r="AD454" t="s">
        <v>136</v>
      </c>
      <c r="AE454" t="s">
        <v>62</v>
      </c>
      <c r="AF454" t="s">
        <v>62</v>
      </c>
      <c r="AG454">
        <v>4</v>
      </c>
      <c r="AH454">
        <v>9</v>
      </c>
      <c r="AI454">
        <v>19</v>
      </c>
      <c r="AJ454">
        <v>0.32142999999999999</v>
      </c>
      <c r="AK454">
        <v>0</v>
      </c>
      <c r="AL454">
        <v>0</v>
      </c>
      <c r="AM454">
        <v>0</v>
      </c>
      <c r="AN454">
        <v>2</v>
      </c>
      <c r="AO454">
        <v>0</v>
      </c>
      <c r="AP454">
        <v>0</v>
      </c>
      <c r="AQ454">
        <v>2</v>
      </c>
      <c r="AR454">
        <v>2</v>
      </c>
      <c r="AS454">
        <v>15</v>
      </c>
      <c r="AT454">
        <v>0.11765</v>
      </c>
      <c r="AU454">
        <v>11</v>
      </c>
      <c r="AV454">
        <v>12</v>
      </c>
      <c r="AW454">
        <v>18</v>
      </c>
      <c r="AX454">
        <v>8</v>
      </c>
      <c r="AY454">
        <v>23</v>
      </c>
      <c r="AZ454">
        <v>21</v>
      </c>
      <c r="BA454" t="s">
        <v>15903</v>
      </c>
      <c r="BB454" t="s">
        <v>15904</v>
      </c>
      <c r="BC454">
        <v>0.68400000000000005</v>
      </c>
      <c r="BD454" t="s">
        <v>65</v>
      </c>
      <c r="BE454">
        <v>41</v>
      </c>
      <c r="BF454">
        <v>29</v>
      </c>
      <c r="BG454" t="s">
        <v>15905</v>
      </c>
      <c r="BH454" t="s">
        <v>15906</v>
      </c>
      <c r="BI454" t="s">
        <v>15907</v>
      </c>
      <c r="BJ454">
        <v>0.22774</v>
      </c>
      <c r="BK454">
        <v>1</v>
      </c>
      <c r="BL454" t="s">
        <v>69</v>
      </c>
      <c r="BM454">
        <v>-5.7000000000000002E-2</v>
      </c>
      <c r="BN454">
        <v>0.78900000000000003</v>
      </c>
    </row>
    <row r="455" spans="2:66">
      <c r="B455">
        <v>737</v>
      </c>
      <c r="C455">
        <v>269</v>
      </c>
      <c r="D455">
        <v>0</v>
      </c>
      <c r="E455">
        <v>10</v>
      </c>
      <c r="F455">
        <v>0</v>
      </c>
      <c r="J455">
        <v>0</v>
      </c>
      <c r="K455">
        <v>2</v>
      </c>
      <c r="L455">
        <v>0</v>
      </c>
      <c r="M455" t="s">
        <v>25022</v>
      </c>
      <c r="N455">
        <v>2772</v>
      </c>
      <c r="O455" t="s">
        <v>15908</v>
      </c>
      <c r="P455" t="s">
        <v>62</v>
      </c>
      <c r="Q455">
        <v>2723895</v>
      </c>
      <c r="R455">
        <v>2724827</v>
      </c>
      <c r="S455" t="s">
        <v>15909</v>
      </c>
      <c r="T455">
        <v>311</v>
      </c>
      <c r="U455" t="s">
        <v>1392</v>
      </c>
      <c r="V455">
        <v>43</v>
      </c>
      <c r="W455" t="str">
        <f>HYPERLINK("Gene2772-zp_tree_all.dnd", "Gene2772-tree")</f>
        <v>Gene2772-tree</v>
      </c>
      <c r="X455">
        <v>8</v>
      </c>
      <c r="Y455">
        <v>6</v>
      </c>
      <c r="Z455">
        <v>8</v>
      </c>
      <c r="AA455">
        <v>6</v>
      </c>
      <c r="AB455">
        <v>0.42857000000000001</v>
      </c>
      <c r="AC455" t="s">
        <v>136</v>
      </c>
      <c r="AD455" t="s">
        <v>90</v>
      </c>
      <c r="AE455" t="s">
        <v>62</v>
      </c>
      <c r="AF455" t="s">
        <v>62</v>
      </c>
      <c r="AG455">
        <v>1</v>
      </c>
      <c r="AH455">
        <v>2</v>
      </c>
      <c r="AI455">
        <v>11</v>
      </c>
      <c r="AJ455">
        <v>0.15384999999999999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7</v>
      </c>
      <c r="AT455">
        <v>0</v>
      </c>
      <c r="AU455">
        <v>12</v>
      </c>
      <c r="AV455">
        <v>9</v>
      </c>
      <c r="AW455">
        <v>15</v>
      </c>
      <c r="AX455">
        <v>7</v>
      </c>
      <c r="AY455">
        <v>15</v>
      </c>
      <c r="AZ455">
        <v>6</v>
      </c>
      <c r="BA455" t="s">
        <v>15910</v>
      </c>
      <c r="BB455" t="s">
        <v>15911</v>
      </c>
      <c r="BC455">
        <v>0.20300000000000001</v>
      </c>
      <c r="BD455" t="s">
        <v>65</v>
      </c>
      <c r="BE455">
        <v>30</v>
      </c>
      <c r="BF455">
        <v>13</v>
      </c>
      <c r="BG455" t="s">
        <v>15912</v>
      </c>
      <c r="BH455" t="s">
        <v>15913</v>
      </c>
      <c r="BI455" t="s">
        <v>15914</v>
      </c>
      <c r="BJ455">
        <v>0.11811000000000001</v>
      </c>
      <c r="BK455">
        <v>1</v>
      </c>
      <c r="BL455" t="s">
        <v>69</v>
      </c>
      <c r="BM455">
        <v>7.0999999999999994E-2</v>
      </c>
      <c r="BN455">
        <v>-0.27900000000000003</v>
      </c>
    </row>
    <row r="456" spans="2:66">
      <c r="B456">
        <v>738</v>
      </c>
      <c r="C456">
        <v>245</v>
      </c>
      <c r="D456">
        <v>0</v>
      </c>
      <c r="E456">
        <v>80</v>
      </c>
      <c r="F456">
        <v>14</v>
      </c>
      <c r="J456">
        <v>0</v>
      </c>
      <c r="K456">
        <v>0</v>
      </c>
      <c r="L456">
        <v>0</v>
      </c>
      <c r="M456" t="s">
        <v>25022</v>
      </c>
      <c r="N456">
        <v>2773</v>
      </c>
      <c r="O456" t="s">
        <v>15915</v>
      </c>
      <c r="P456" t="s">
        <v>62</v>
      </c>
      <c r="Q456">
        <v>2725117</v>
      </c>
      <c r="R456">
        <v>2725503</v>
      </c>
      <c r="S456" t="s">
        <v>12655</v>
      </c>
      <c r="T456">
        <v>129</v>
      </c>
      <c r="U456" t="s">
        <v>15916</v>
      </c>
      <c r="V456">
        <v>33</v>
      </c>
      <c r="W456" t="str">
        <f>HYPERLINK("Gene2773-zp_tree_all.dnd", "Gene2773-tree")</f>
        <v>Gene2773-tree</v>
      </c>
      <c r="X456">
        <v>0</v>
      </c>
      <c r="Y456">
        <v>5</v>
      </c>
      <c r="Z456">
        <v>0</v>
      </c>
      <c r="AA456">
        <v>5</v>
      </c>
      <c r="AB456">
        <v>1</v>
      </c>
      <c r="AC456" t="s">
        <v>62</v>
      </c>
      <c r="AD456" t="s">
        <v>199</v>
      </c>
      <c r="AE456" t="s">
        <v>62</v>
      </c>
      <c r="AF456" t="s">
        <v>62</v>
      </c>
      <c r="AG456">
        <v>0</v>
      </c>
      <c r="AH456">
        <v>0</v>
      </c>
      <c r="AI456">
        <v>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4</v>
      </c>
      <c r="AT456">
        <v>0</v>
      </c>
      <c r="AU456">
        <v>3</v>
      </c>
      <c r="AV456">
        <v>1</v>
      </c>
      <c r="AW456">
        <v>11</v>
      </c>
      <c r="AX456">
        <v>3</v>
      </c>
      <c r="AY456">
        <v>0</v>
      </c>
      <c r="AZ456">
        <v>1</v>
      </c>
      <c r="BA456" t="s">
        <v>15917</v>
      </c>
      <c r="BB456" t="s">
        <v>193</v>
      </c>
      <c r="BC456">
        <v>2.0779999999999998</v>
      </c>
      <c r="BD456" t="s">
        <v>267</v>
      </c>
      <c r="BE456">
        <v>11</v>
      </c>
      <c r="BF456">
        <v>4</v>
      </c>
      <c r="BG456" t="s">
        <v>15918</v>
      </c>
      <c r="BH456" t="s">
        <v>15919</v>
      </c>
      <c r="BI456" t="s">
        <v>15920</v>
      </c>
      <c r="BJ456">
        <v>0.11351</v>
      </c>
      <c r="BK456">
        <v>1</v>
      </c>
      <c r="BL456" t="s">
        <v>69</v>
      </c>
      <c r="BM456">
        <v>-1.544</v>
      </c>
      <c r="BN456">
        <v>-1.905</v>
      </c>
    </row>
    <row r="457" spans="2:66">
      <c r="B457">
        <v>739</v>
      </c>
      <c r="C457">
        <v>40</v>
      </c>
      <c r="D457">
        <v>2</v>
      </c>
      <c r="E457">
        <v>17</v>
      </c>
      <c r="F457">
        <v>5</v>
      </c>
      <c r="J457">
        <v>0</v>
      </c>
      <c r="K457">
        <v>2</v>
      </c>
      <c r="L457">
        <v>0</v>
      </c>
      <c r="M457" t="s">
        <v>25022</v>
      </c>
      <c r="N457">
        <v>2775</v>
      </c>
      <c r="O457" t="s">
        <v>15928</v>
      </c>
      <c r="P457" t="s">
        <v>62</v>
      </c>
      <c r="Q457">
        <v>2726888</v>
      </c>
      <c r="R457">
        <v>2727202</v>
      </c>
      <c r="S457" t="s">
        <v>2302</v>
      </c>
      <c r="T457">
        <v>105</v>
      </c>
      <c r="U457" t="s">
        <v>15929</v>
      </c>
      <c r="V457">
        <v>26</v>
      </c>
      <c r="W457" t="str">
        <f>HYPERLINK("Gene2775-zp_tree_all.dnd", "Gene2775-tree")</f>
        <v>Gene2775-tree</v>
      </c>
      <c r="X457">
        <v>1</v>
      </c>
      <c r="Y457">
        <v>22</v>
      </c>
      <c r="Z457">
        <v>1</v>
      </c>
      <c r="AA457">
        <v>4</v>
      </c>
      <c r="AB457">
        <v>0.8</v>
      </c>
      <c r="AC457" t="s">
        <v>175</v>
      </c>
      <c r="AD457" t="s">
        <v>2634</v>
      </c>
      <c r="AE457">
        <v>2.0710000000000002</v>
      </c>
      <c r="AF457" t="s">
        <v>267</v>
      </c>
      <c r="AG457">
        <v>1</v>
      </c>
      <c r="AH457">
        <v>2</v>
      </c>
      <c r="AI457">
        <v>6</v>
      </c>
      <c r="AJ457">
        <v>0.25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2</v>
      </c>
      <c r="AQ457">
        <v>0</v>
      </c>
      <c r="AR457">
        <v>2</v>
      </c>
      <c r="AS457">
        <v>4</v>
      </c>
      <c r="AT457">
        <v>0.33333000000000002</v>
      </c>
      <c r="AU457">
        <v>4</v>
      </c>
      <c r="AV457">
        <v>2</v>
      </c>
      <c r="AW457">
        <v>1</v>
      </c>
      <c r="AX457">
        <v>3</v>
      </c>
      <c r="AY457">
        <v>0</v>
      </c>
      <c r="AZ457">
        <v>5</v>
      </c>
      <c r="BA457" t="s">
        <v>15930</v>
      </c>
      <c r="BB457" t="s">
        <v>193</v>
      </c>
      <c r="BC457">
        <v>0.6</v>
      </c>
      <c r="BD457" t="s">
        <v>65</v>
      </c>
      <c r="BE457">
        <v>1</v>
      </c>
      <c r="BF457">
        <v>8</v>
      </c>
      <c r="BG457" t="s">
        <v>15931</v>
      </c>
      <c r="BH457" t="s">
        <v>15932</v>
      </c>
      <c r="BI457" t="s">
        <v>15933</v>
      </c>
      <c r="BJ457">
        <v>2.80932</v>
      </c>
      <c r="BK457">
        <v>4.3999999999999997E-2</v>
      </c>
      <c r="BL457" t="s">
        <v>15934</v>
      </c>
      <c r="BM457">
        <v>-0.45400000000000001</v>
      </c>
      <c r="BN457">
        <v>0.11</v>
      </c>
    </row>
    <row r="458" spans="2:66">
      <c r="B458">
        <v>740</v>
      </c>
      <c r="C458">
        <v>207</v>
      </c>
      <c r="D458">
        <v>0</v>
      </c>
      <c r="E458">
        <v>21</v>
      </c>
      <c r="F458">
        <v>2</v>
      </c>
      <c r="J458">
        <v>0</v>
      </c>
      <c r="K458">
        <v>22</v>
      </c>
      <c r="L458">
        <v>3</v>
      </c>
      <c r="M458" t="s">
        <v>25022</v>
      </c>
      <c r="N458">
        <v>2776</v>
      </c>
      <c r="O458" t="s">
        <v>15935</v>
      </c>
      <c r="P458" t="s">
        <v>62</v>
      </c>
      <c r="Q458">
        <v>2727163</v>
      </c>
      <c r="R458">
        <v>2728482</v>
      </c>
      <c r="S458" t="s">
        <v>15936</v>
      </c>
      <c r="T458">
        <v>440</v>
      </c>
      <c r="U458" t="s">
        <v>1392</v>
      </c>
      <c r="V458">
        <v>43</v>
      </c>
      <c r="W458" t="str">
        <f>HYPERLINK("Gene2776-zp_tree_all.dnd", "Gene2776-tree")</f>
        <v>Gene2776-tree</v>
      </c>
      <c r="X458">
        <v>6</v>
      </c>
      <c r="Y458">
        <v>9</v>
      </c>
      <c r="Z458">
        <v>6</v>
      </c>
      <c r="AA458">
        <v>9</v>
      </c>
      <c r="AB458">
        <v>0.6</v>
      </c>
      <c r="AC458" t="s">
        <v>90</v>
      </c>
      <c r="AD458" t="s">
        <v>135</v>
      </c>
      <c r="AE458" t="s">
        <v>62</v>
      </c>
      <c r="AF458" t="s">
        <v>62</v>
      </c>
      <c r="AG458">
        <v>10</v>
      </c>
      <c r="AH458">
        <v>25</v>
      </c>
      <c r="AI458">
        <v>11</v>
      </c>
      <c r="AJ458">
        <v>0.69443999999999995</v>
      </c>
      <c r="AK458">
        <v>2</v>
      </c>
      <c r="AL458">
        <v>0</v>
      </c>
      <c r="AM458">
        <v>2</v>
      </c>
      <c r="AN458">
        <v>1</v>
      </c>
      <c r="AO458">
        <v>0.66666999999999998</v>
      </c>
      <c r="AP458">
        <v>12</v>
      </c>
      <c r="AQ458">
        <v>1</v>
      </c>
      <c r="AR458">
        <v>13</v>
      </c>
      <c r="AS458">
        <v>9</v>
      </c>
      <c r="AT458">
        <v>0.59091000000000005</v>
      </c>
      <c r="AU458">
        <v>12</v>
      </c>
      <c r="AV458">
        <v>12</v>
      </c>
      <c r="AW458">
        <v>35</v>
      </c>
      <c r="AX458">
        <v>20</v>
      </c>
      <c r="AY458">
        <v>29</v>
      </c>
      <c r="AZ458">
        <v>16</v>
      </c>
      <c r="BA458" t="s">
        <v>15937</v>
      </c>
      <c r="BB458" t="s">
        <v>15938</v>
      </c>
      <c r="BC458">
        <v>7.0000000000000007E-2</v>
      </c>
      <c r="BD458" t="s">
        <v>65</v>
      </c>
      <c r="BE458">
        <v>64</v>
      </c>
      <c r="BF458">
        <v>36</v>
      </c>
      <c r="BG458" t="s">
        <v>15939</v>
      </c>
      <c r="BH458" t="s">
        <v>15940</v>
      </c>
      <c r="BI458" t="s">
        <v>15941</v>
      </c>
      <c r="BJ458">
        <v>0.17627000000000001</v>
      </c>
      <c r="BK458">
        <v>1</v>
      </c>
      <c r="BL458" t="s">
        <v>69</v>
      </c>
      <c r="BM458">
        <v>0.69599999999999995</v>
      </c>
      <c r="BN458">
        <v>0.879</v>
      </c>
    </row>
    <row r="459" spans="2:66">
      <c r="B459">
        <v>741</v>
      </c>
      <c r="C459">
        <v>103</v>
      </c>
      <c r="D459">
        <v>0</v>
      </c>
      <c r="E459">
        <v>15</v>
      </c>
      <c r="F459">
        <v>3</v>
      </c>
      <c r="J459">
        <v>0</v>
      </c>
      <c r="K459">
        <v>0</v>
      </c>
      <c r="L459">
        <v>0</v>
      </c>
      <c r="M459" t="s">
        <v>25022</v>
      </c>
      <c r="N459">
        <v>2777</v>
      </c>
      <c r="O459" t="s">
        <v>15942</v>
      </c>
      <c r="P459" t="s">
        <v>62</v>
      </c>
      <c r="Q459">
        <v>2728650</v>
      </c>
      <c r="R459">
        <v>2728979</v>
      </c>
      <c r="S459" t="s">
        <v>15943</v>
      </c>
      <c r="T459">
        <v>110</v>
      </c>
      <c r="U459" t="s">
        <v>1392</v>
      </c>
      <c r="V459">
        <v>43</v>
      </c>
      <c r="W459" t="str">
        <f>HYPERLINK("Gene2777-zp_tree_all.dnd", "Gene2777-tree")</f>
        <v>Gene2777-tree</v>
      </c>
      <c r="X459">
        <v>7</v>
      </c>
      <c r="Y459">
        <v>4</v>
      </c>
      <c r="Z459">
        <v>7</v>
      </c>
      <c r="AA459">
        <v>4</v>
      </c>
      <c r="AB459">
        <v>0.36364000000000002</v>
      </c>
      <c r="AC459" t="s">
        <v>152</v>
      </c>
      <c r="AD459" t="s">
        <v>61</v>
      </c>
      <c r="AE459" t="s">
        <v>62</v>
      </c>
      <c r="AF459" t="s">
        <v>62</v>
      </c>
      <c r="AG459">
        <v>0</v>
      </c>
      <c r="AH459">
        <v>0</v>
      </c>
      <c r="AI459">
        <v>4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4</v>
      </c>
      <c r="AT459">
        <v>0</v>
      </c>
      <c r="AU459">
        <v>6</v>
      </c>
      <c r="AV459">
        <v>5</v>
      </c>
      <c r="AW459">
        <v>8</v>
      </c>
      <c r="AX459">
        <v>3</v>
      </c>
      <c r="AY459">
        <v>8</v>
      </c>
      <c r="AZ459">
        <v>1</v>
      </c>
      <c r="BA459" t="s">
        <v>15944</v>
      </c>
      <c r="BB459" t="s">
        <v>15945</v>
      </c>
      <c r="BC459">
        <v>0.754</v>
      </c>
      <c r="BD459" t="s">
        <v>65</v>
      </c>
      <c r="BE459">
        <v>16</v>
      </c>
      <c r="BF459">
        <v>4</v>
      </c>
      <c r="BG459" t="s">
        <v>15946</v>
      </c>
      <c r="BH459" t="s">
        <v>15947</v>
      </c>
      <c r="BI459" t="s">
        <v>15948</v>
      </c>
      <c r="BJ459">
        <v>6.4390000000000003E-2</v>
      </c>
      <c r="BK459">
        <v>1</v>
      </c>
      <c r="BL459" t="s">
        <v>69</v>
      </c>
      <c r="BM459">
        <v>0.59899999999999998</v>
      </c>
      <c r="BN459">
        <v>-0.28399999999999997</v>
      </c>
    </row>
    <row r="460" spans="2:66">
      <c r="B460">
        <v>742</v>
      </c>
      <c r="C460">
        <v>13</v>
      </c>
      <c r="D460">
        <v>0</v>
      </c>
      <c r="E460">
        <v>10</v>
      </c>
      <c r="F460">
        <v>3</v>
      </c>
      <c r="J460">
        <v>0</v>
      </c>
      <c r="K460">
        <v>2</v>
      </c>
      <c r="L460">
        <v>0</v>
      </c>
      <c r="M460" t="s">
        <v>25022</v>
      </c>
      <c r="N460">
        <v>2778</v>
      </c>
      <c r="O460" t="s">
        <v>15949</v>
      </c>
      <c r="P460" t="s">
        <v>62</v>
      </c>
      <c r="Q460">
        <v>2728979</v>
      </c>
      <c r="R460">
        <v>2729740</v>
      </c>
      <c r="S460" t="s">
        <v>15943</v>
      </c>
      <c r="T460">
        <v>254</v>
      </c>
      <c r="U460" t="s">
        <v>7189</v>
      </c>
      <c r="V460">
        <v>38</v>
      </c>
      <c r="W460" t="str">
        <f>HYPERLINK("Gene2778-zp_tree_all.dnd", "Gene2778-tree")</f>
        <v>Gene2778-tree</v>
      </c>
      <c r="X460">
        <v>6</v>
      </c>
      <c r="Y460">
        <v>5</v>
      </c>
      <c r="Z460">
        <v>6</v>
      </c>
      <c r="AA460">
        <v>5</v>
      </c>
      <c r="AB460">
        <v>0.45455000000000001</v>
      </c>
      <c r="AC460" t="s">
        <v>90</v>
      </c>
      <c r="AD460" t="s">
        <v>199</v>
      </c>
      <c r="AE460" t="s">
        <v>62</v>
      </c>
      <c r="AF460" t="s">
        <v>62</v>
      </c>
      <c r="AG460">
        <v>1</v>
      </c>
      <c r="AH460">
        <v>2</v>
      </c>
      <c r="AI460">
        <v>7</v>
      </c>
      <c r="AJ460">
        <v>0.22222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6</v>
      </c>
      <c r="AT460">
        <v>0</v>
      </c>
      <c r="AU460">
        <v>9</v>
      </c>
      <c r="AV460">
        <v>7</v>
      </c>
      <c r="AW460">
        <v>14</v>
      </c>
      <c r="AX460">
        <v>5</v>
      </c>
      <c r="AY460">
        <v>9</v>
      </c>
      <c r="AZ460">
        <v>4</v>
      </c>
      <c r="BA460" t="s">
        <v>15950</v>
      </c>
      <c r="BB460" t="s">
        <v>15951</v>
      </c>
      <c r="BC460">
        <v>0.251</v>
      </c>
      <c r="BD460" t="s">
        <v>65</v>
      </c>
      <c r="BE460">
        <v>23</v>
      </c>
      <c r="BF460">
        <v>9</v>
      </c>
      <c r="BG460" t="s">
        <v>15952</v>
      </c>
      <c r="BH460" t="s">
        <v>15953</v>
      </c>
      <c r="BI460" t="s">
        <v>15954</v>
      </c>
      <c r="BJ460">
        <v>0.12126000000000001</v>
      </c>
      <c r="BK460">
        <v>1</v>
      </c>
      <c r="BL460" t="s">
        <v>69</v>
      </c>
      <c r="BM460">
        <v>-0.34499999999999997</v>
      </c>
      <c r="BN460">
        <v>-0.88900000000000001</v>
      </c>
    </row>
    <row r="461" spans="2:66">
      <c r="B461">
        <v>743</v>
      </c>
      <c r="C461">
        <v>462</v>
      </c>
      <c r="D461">
        <v>0</v>
      </c>
      <c r="E461">
        <v>31</v>
      </c>
      <c r="F461">
        <v>5</v>
      </c>
      <c r="J461">
        <v>0</v>
      </c>
      <c r="K461">
        <v>2</v>
      </c>
      <c r="L461">
        <v>0</v>
      </c>
      <c r="M461" t="s">
        <v>25022</v>
      </c>
      <c r="N461">
        <v>2779</v>
      </c>
      <c r="O461" t="s">
        <v>15955</v>
      </c>
      <c r="P461" t="s">
        <v>62</v>
      </c>
      <c r="Q461">
        <v>2729756</v>
      </c>
      <c r="R461">
        <v>2730226</v>
      </c>
      <c r="S461" t="s">
        <v>15956</v>
      </c>
      <c r="T461">
        <v>157</v>
      </c>
      <c r="U461" t="s">
        <v>1392</v>
      </c>
      <c r="V461">
        <v>43</v>
      </c>
      <c r="W461" t="str">
        <f>HYPERLINK("Gene2779-zp_tree_all.dnd", "Gene2779-tree")</f>
        <v>Gene2779-tree</v>
      </c>
      <c r="X461">
        <v>12</v>
      </c>
      <c r="Y461">
        <v>2</v>
      </c>
      <c r="Z461">
        <v>12</v>
      </c>
      <c r="AA461">
        <v>2</v>
      </c>
      <c r="AB461">
        <v>0.14285999999999999</v>
      </c>
      <c r="AC461" t="s">
        <v>109</v>
      </c>
      <c r="AD461" t="s">
        <v>81</v>
      </c>
      <c r="AE461" t="s">
        <v>62</v>
      </c>
      <c r="AF461" t="s">
        <v>62</v>
      </c>
      <c r="AG461">
        <v>1</v>
      </c>
      <c r="AH461">
        <v>2</v>
      </c>
      <c r="AI461">
        <v>6</v>
      </c>
      <c r="AJ461">
        <v>0.25</v>
      </c>
      <c r="AK461">
        <v>0</v>
      </c>
      <c r="AL461">
        <v>0</v>
      </c>
      <c r="AM461">
        <v>0</v>
      </c>
      <c r="AN461">
        <v>4</v>
      </c>
      <c r="AO461">
        <v>0</v>
      </c>
      <c r="AP461">
        <v>0</v>
      </c>
      <c r="AQ461">
        <v>0</v>
      </c>
      <c r="AR461">
        <v>0</v>
      </c>
      <c r="AS461">
        <v>4</v>
      </c>
      <c r="AT461">
        <v>0</v>
      </c>
      <c r="AU461">
        <v>8</v>
      </c>
      <c r="AV461">
        <v>6</v>
      </c>
      <c r="AW461">
        <v>11</v>
      </c>
      <c r="AX461">
        <v>4</v>
      </c>
      <c r="AY461">
        <v>6</v>
      </c>
      <c r="AZ461">
        <v>4</v>
      </c>
      <c r="BA461" t="s">
        <v>15957</v>
      </c>
      <c r="BB461" t="s">
        <v>15958</v>
      </c>
      <c r="BC461">
        <v>0.35299999999999998</v>
      </c>
      <c r="BD461" t="s">
        <v>65</v>
      </c>
      <c r="BE461">
        <v>17</v>
      </c>
      <c r="BF461">
        <v>8</v>
      </c>
      <c r="BG461" t="s">
        <v>15959</v>
      </c>
      <c r="BH461" t="s">
        <v>15960</v>
      </c>
      <c r="BI461" t="s">
        <v>15961</v>
      </c>
      <c r="BJ461">
        <v>0.13735</v>
      </c>
      <c r="BK461">
        <v>1</v>
      </c>
      <c r="BL461" t="s">
        <v>69</v>
      </c>
      <c r="BM461">
        <v>-0.36299999999999999</v>
      </c>
      <c r="BN461">
        <v>1.3180000000000001</v>
      </c>
    </row>
    <row r="462" spans="2:66">
      <c r="B462">
        <v>744</v>
      </c>
      <c r="C462">
        <v>128</v>
      </c>
      <c r="D462">
        <v>0</v>
      </c>
      <c r="E462">
        <v>4</v>
      </c>
      <c r="F462">
        <v>2</v>
      </c>
      <c r="J462">
        <v>0</v>
      </c>
      <c r="K462">
        <v>0</v>
      </c>
      <c r="L462">
        <v>0</v>
      </c>
      <c r="M462" t="s">
        <v>25022</v>
      </c>
      <c r="N462">
        <v>2780</v>
      </c>
      <c r="O462" t="s">
        <v>15962</v>
      </c>
      <c r="P462" t="s">
        <v>62</v>
      </c>
      <c r="Q462">
        <v>2730563</v>
      </c>
      <c r="R462">
        <v>2730835</v>
      </c>
      <c r="S462" t="s">
        <v>15963</v>
      </c>
      <c r="T462">
        <v>91</v>
      </c>
      <c r="U462" t="s">
        <v>15964</v>
      </c>
      <c r="V462">
        <v>28</v>
      </c>
      <c r="W462" t="str">
        <f>HYPERLINK("Gene2780-zp_tree_all.dnd", "Gene2780-tree")</f>
        <v>Gene2780-tree</v>
      </c>
      <c r="X462">
        <v>0</v>
      </c>
      <c r="Y462">
        <v>23</v>
      </c>
      <c r="Z462">
        <v>0</v>
      </c>
      <c r="AA462">
        <v>4</v>
      </c>
      <c r="AB462">
        <v>1</v>
      </c>
      <c r="AC462" t="s">
        <v>62</v>
      </c>
      <c r="AD462" t="s">
        <v>690</v>
      </c>
      <c r="AE462">
        <v>6.5659999999999998</v>
      </c>
      <c r="AF462" t="s">
        <v>65</v>
      </c>
      <c r="AG462">
        <v>0</v>
      </c>
      <c r="AH462">
        <v>0</v>
      </c>
      <c r="AI462">
        <v>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9</v>
      </c>
      <c r="AT462">
        <v>0</v>
      </c>
      <c r="AU462">
        <v>4</v>
      </c>
      <c r="AV462">
        <v>0</v>
      </c>
      <c r="AW462">
        <v>5</v>
      </c>
      <c r="AX462">
        <v>9</v>
      </c>
      <c r="AY462">
        <v>0</v>
      </c>
      <c r="AZ462">
        <v>0</v>
      </c>
      <c r="BA462" t="s">
        <v>15965</v>
      </c>
      <c r="BB462" t="s">
        <v>193</v>
      </c>
      <c r="BC462">
        <v>2.5630000000000002</v>
      </c>
      <c r="BD462" t="s">
        <v>267</v>
      </c>
      <c r="BE462">
        <v>5</v>
      </c>
      <c r="BF462">
        <v>9</v>
      </c>
      <c r="BG462" t="s">
        <v>15966</v>
      </c>
      <c r="BH462" t="s">
        <v>15967</v>
      </c>
      <c r="BI462" t="s">
        <v>15968</v>
      </c>
      <c r="BJ462">
        <v>0.42842000000000002</v>
      </c>
      <c r="BK462">
        <v>0.85699999999999998</v>
      </c>
      <c r="BL462" t="s">
        <v>635</v>
      </c>
      <c r="BM462">
        <v>0.65</v>
      </c>
      <c r="BN462">
        <v>1.111</v>
      </c>
    </row>
    <row r="463" spans="2:66">
      <c r="B463">
        <v>745</v>
      </c>
      <c r="C463">
        <v>64</v>
      </c>
      <c r="D463">
        <v>0</v>
      </c>
      <c r="E463">
        <v>26</v>
      </c>
      <c r="F463">
        <v>4</v>
      </c>
      <c r="J463">
        <v>0</v>
      </c>
      <c r="K463">
        <v>3</v>
      </c>
      <c r="L463">
        <v>2</v>
      </c>
      <c r="M463" t="s">
        <v>25022</v>
      </c>
      <c r="N463">
        <v>2781</v>
      </c>
      <c r="O463" t="s">
        <v>15969</v>
      </c>
      <c r="P463" t="s">
        <v>62</v>
      </c>
      <c r="Q463">
        <v>2731110</v>
      </c>
      <c r="R463">
        <v>2732339</v>
      </c>
      <c r="S463" t="s">
        <v>15970</v>
      </c>
      <c r="T463">
        <v>410</v>
      </c>
      <c r="U463" t="s">
        <v>15971</v>
      </c>
      <c r="V463">
        <v>36</v>
      </c>
      <c r="W463" t="str">
        <f>HYPERLINK("Gene2781-zp_tree_all.dnd", "Gene2781-tree")</f>
        <v>Gene2781-tree</v>
      </c>
      <c r="X463">
        <v>2</v>
      </c>
      <c r="Y463">
        <v>9</v>
      </c>
      <c r="Z463">
        <v>2</v>
      </c>
      <c r="AA463">
        <v>9</v>
      </c>
      <c r="AB463">
        <v>0.81818000000000002</v>
      </c>
      <c r="AC463" t="s">
        <v>81</v>
      </c>
      <c r="AD463" t="s">
        <v>135</v>
      </c>
      <c r="AE463" t="s">
        <v>62</v>
      </c>
      <c r="AF463" t="s">
        <v>62</v>
      </c>
      <c r="AG463">
        <v>2</v>
      </c>
      <c r="AH463">
        <v>5</v>
      </c>
      <c r="AI463">
        <v>23</v>
      </c>
      <c r="AJ463">
        <v>0.17857000000000001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</v>
      </c>
      <c r="AQ463">
        <v>1</v>
      </c>
      <c r="AR463">
        <v>3</v>
      </c>
      <c r="AS463">
        <v>14</v>
      </c>
      <c r="AT463">
        <v>0.17646999999999999</v>
      </c>
      <c r="AU463">
        <v>11</v>
      </c>
      <c r="AV463">
        <v>7</v>
      </c>
      <c r="AW463">
        <v>26</v>
      </c>
      <c r="AX463">
        <v>18</v>
      </c>
      <c r="AY463">
        <v>18</v>
      </c>
      <c r="AZ463">
        <v>13</v>
      </c>
      <c r="BA463" t="s">
        <v>15972</v>
      </c>
      <c r="BB463" t="s">
        <v>15973</v>
      </c>
      <c r="BC463">
        <v>0.04</v>
      </c>
      <c r="BD463" t="s">
        <v>65</v>
      </c>
      <c r="BE463">
        <v>44</v>
      </c>
      <c r="BF463">
        <v>31</v>
      </c>
      <c r="BG463" t="s">
        <v>15974</v>
      </c>
      <c r="BH463" t="s">
        <v>15975</v>
      </c>
      <c r="BI463" t="s">
        <v>15976</v>
      </c>
      <c r="BJ463">
        <v>0.20080000000000001</v>
      </c>
      <c r="BK463">
        <v>1</v>
      </c>
      <c r="BL463" t="s">
        <v>69</v>
      </c>
      <c r="BM463">
        <v>-0.55500000000000005</v>
      </c>
      <c r="BN463">
        <v>-0.90600000000000003</v>
      </c>
    </row>
    <row r="464" spans="2:66">
      <c r="B464">
        <v>746</v>
      </c>
      <c r="C464">
        <v>13</v>
      </c>
      <c r="D464">
        <v>9</v>
      </c>
      <c r="E464">
        <v>73</v>
      </c>
      <c r="F464">
        <v>9</v>
      </c>
      <c r="J464">
        <v>0</v>
      </c>
      <c r="K464">
        <v>8</v>
      </c>
      <c r="L464">
        <v>0</v>
      </c>
      <c r="M464" t="s">
        <v>25022</v>
      </c>
      <c r="N464">
        <v>2786</v>
      </c>
      <c r="O464" t="s">
        <v>15977</v>
      </c>
      <c r="P464" t="s">
        <v>62</v>
      </c>
      <c r="Q464">
        <v>2733775</v>
      </c>
      <c r="R464">
        <v>2734143</v>
      </c>
      <c r="S464" t="s">
        <v>3095</v>
      </c>
      <c r="T464">
        <v>123</v>
      </c>
      <c r="U464" t="s">
        <v>5762</v>
      </c>
      <c r="V464">
        <v>43</v>
      </c>
      <c r="W464" t="str">
        <f>HYPERLINK("Gene2786-zp_tree_all.dnd", "Gene2786-tree")</f>
        <v>Gene2786-tree</v>
      </c>
      <c r="X464">
        <v>2</v>
      </c>
      <c r="Y464">
        <v>10</v>
      </c>
      <c r="Z464">
        <v>2</v>
      </c>
      <c r="AA464">
        <v>10</v>
      </c>
      <c r="AB464">
        <v>0.83333000000000002</v>
      </c>
      <c r="AC464" t="s">
        <v>81</v>
      </c>
      <c r="AD464" t="s">
        <v>117</v>
      </c>
      <c r="AE464" t="s">
        <v>62</v>
      </c>
      <c r="AF464" t="s">
        <v>62</v>
      </c>
      <c r="AG464">
        <v>4</v>
      </c>
      <c r="AH464">
        <v>8</v>
      </c>
      <c r="AI464">
        <v>11</v>
      </c>
      <c r="AJ464">
        <v>0.42104999999999998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6</v>
      </c>
      <c r="AQ464">
        <v>0</v>
      </c>
      <c r="AR464">
        <v>6</v>
      </c>
      <c r="AS464">
        <v>9</v>
      </c>
      <c r="AT464">
        <v>0.4</v>
      </c>
      <c r="AU464">
        <v>9</v>
      </c>
      <c r="AV464">
        <v>6</v>
      </c>
      <c r="AW464">
        <v>8</v>
      </c>
      <c r="AX464">
        <v>11</v>
      </c>
      <c r="AY464">
        <v>5</v>
      </c>
      <c r="AZ464">
        <v>8</v>
      </c>
      <c r="BA464" t="s">
        <v>15978</v>
      </c>
      <c r="BB464" t="s">
        <v>15979</v>
      </c>
      <c r="BC464">
        <v>0.13900000000000001</v>
      </c>
      <c r="BD464" t="s">
        <v>65</v>
      </c>
      <c r="BE464">
        <v>13</v>
      </c>
      <c r="BF464">
        <v>19</v>
      </c>
      <c r="BG464" t="s">
        <v>15980</v>
      </c>
      <c r="BH464" t="s">
        <v>15981</v>
      </c>
      <c r="BI464" t="s">
        <v>15982</v>
      </c>
      <c r="BJ464">
        <v>0.49375000000000002</v>
      </c>
      <c r="BK464">
        <v>0.93</v>
      </c>
      <c r="BL464" t="s">
        <v>635</v>
      </c>
      <c r="BM464">
        <v>0.24</v>
      </c>
      <c r="BN464">
        <v>-0.80800000000000005</v>
      </c>
    </row>
    <row r="465" spans="2:66">
      <c r="B465">
        <v>747</v>
      </c>
      <c r="C465">
        <v>489</v>
      </c>
      <c r="D465">
        <v>2</v>
      </c>
      <c r="E465">
        <v>19</v>
      </c>
      <c r="F465">
        <v>4</v>
      </c>
      <c r="J465">
        <v>0</v>
      </c>
      <c r="K465">
        <v>9</v>
      </c>
      <c r="L465">
        <v>2</v>
      </c>
      <c r="M465" t="s">
        <v>25022</v>
      </c>
      <c r="N465">
        <v>2787</v>
      </c>
      <c r="O465" t="s">
        <v>15983</v>
      </c>
      <c r="P465" t="s">
        <v>62</v>
      </c>
      <c r="Q465">
        <v>2734956</v>
      </c>
      <c r="R465">
        <v>2735456</v>
      </c>
      <c r="S465" t="s">
        <v>116</v>
      </c>
      <c r="T465">
        <v>167</v>
      </c>
      <c r="U465" t="s">
        <v>5762</v>
      </c>
      <c r="V465">
        <v>43</v>
      </c>
      <c r="W465" t="str">
        <f>HYPERLINK("Gene2787-zp_tree_all.dnd", "Gene2787-tree")</f>
        <v>Gene2787-tree</v>
      </c>
      <c r="X465">
        <v>2</v>
      </c>
      <c r="Y465">
        <v>10</v>
      </c>
      <c r="Z465">
        <v>2</v>
      </c>
      <c r="AA465">
        <v>10</v>
      </c>
      <c r="AB465">
        <v>0.83333000000000002</v>
      </c>
      <c r="AC465" t="s">
        <v>81</v>
      </c>
      <c r="AD465" t="s">
        <v>117</v>
      </c>
      <c r="AE465" t="s">
        <v>62</v>
      </c>
      <c r="AF465" t="s">
        <v>62</v>
      </c>
      <c r="AG465">
        <v>4</v>
      </c>
      <c r="AH465">
        <v>11</v>
      </c>
      <c r="AI465">
        <v>8</v>
      </c>
      <c r="AJ465">
        <v>0.57894999999999996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7</v>
      </c>
      <c r="AQ465">
        <v>2</v>
      </c>
      <c r="AR465">
        <v>9</v>
      </c>
      <c r="AS465">
        <v>6</v>
      </c>
      <c r="AT465">
        <v>0.6</v>
      </c>
      <c r="AU465">
        <v>10</v>
      </c>
      <c r="AV465">
        <v>6</v>
      </c>
      <c r="AW465">
        <v>11</v>
      </c>
      <c r="AX465">
        <v>15</v>
      </c>
      <c r="AY465">
        <v>14</v>
      </c>
      <c r="AZ465">
        <v>4</v>
      </c>
      <c r="BA465" t="s">
        <v>15984</v>
      </c>
      <c r="BB465" t="s">
        <v>15985</v>
      </c>
      <c r="BC465">
        <v>1.6839999999999999</v>
      </c>
      <c r="BD465" t="s">
        <v>65</v>
      </c>
      <c r="BE465">
        <v>25</v>
      </c>
      <c r="BF465">
        <v>19</v>
      </c>
      <c r="BG465" t="s">
        <v>15986</v>
      </c>
      <c r="BH465" t="s">
        <v>15987</v>
      </c>
      <c r="BI465" t="s">
        <v>15988</v>
      </c>
      <c r="BJ465">
        <v>0.15923000000000001</v>
      </c>
      <c r="BK465">
        <v>1</v>
      </c>
      <c r="BL465" t="s">
        <v>69</v>
      </c>
      <c r="BM465">
        <v>-0.315</v>
      </c>
      <c r="BN465">
        <v>-0.90700000000000003</v>
      </c>
    </row>
    <row r="466" spans="2:66">
      <c r="B466">
        <v>748</v>
      </c>
      <c r="C466">
        <v>9</v>
      </c>
      <c r="D466">
        <v>0</v>
      </c>
      <c r="E466">
        <v>9</v>
      </c>
      <c r="F466">
        <v>0</v>
      </c>
      <c r="J466">
        <v>0</v>
      </c>
      <c r="K466">
        <v>7</v>
      </c>
      <c r="L466">
        <v>0</v>
      </c>
      <c r="M466" t="s">
        <v>25022</v>
      </c>
      <c r="N466">
        <v>2788</v>
      </c>
      <c r="O466" t="s">
        <v>15989</v>
      </c>
      <c r="P466" t="s">
        <v>62</v>
      </c>
      <c r="Q466">
        <v>2735685</v>
      </c>
      <c r="R466">
        <v>2736536</v>
      </c>
      <c r="S466" t="s">
        <v>15990</v>
      </c>
      <c r="T466">
        <v>284</v>
      </c>
      <c r="U466" t="s">
        <v>5762</v>
      </c>
      <c r="V466">
        <v>43</v>
      </c>
      <c r="W466" t="str">
        <f>HYPERLINK("Gene2788-zp_tree_all.dnd", "Gene2788-tree")</f>
        <v>Gene2788-tree</v>
      </c>
      <c r="X466">
        <v>5</v>
      </c>
      <c r="Y466">
        <v>9</v>
      </c>
      <c r="Z466">
        <v>5</v>
      </c>
      <c r="AA466">
        <v>9</v>
      </c>
      <c r="AB466">
        <v>0.64285999999999999</v>
      </c>
      <c r="AC466" t="s">
        <v>199</v>
      </c>
      <c r="AD466" t="s">
        <v>135</v>
      </c>
      <c r="AE466" t="s">
        <v>62</v>
      </c>
      <c r="AF466" t="s">
        <v>62</v>
      </c>
      <c r="AG466">
        <v>3</v>
      </c>
      <c r="AH466">
        <v>7</v>
      </c>
      <c r="AI466">
        <v>14</v>
      </c>
      <c r="AJ466">
        <v>0.33333000000000002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2</v>
      </c>
      <c r="AQ466">
        <v>0</v>
      </c>
      <c r="AR466">
        <v>2</v>
      </c>
      <c r="AS466">
        <v>15</v>
      </c>
      <c r="AT466">
        <v>0.11765</v>
      </c>
      <c r="AU466">
        <v>13</v>
      </c>
      <c r="AV466">
        <v>11</v>
      </c>
      <c r="AW466">
        <v>13</v>
      </c>
      <c r="AX466">
        <v>16</v>
      </c>
      <c r="AY466">
        <v>11</v>
      </c>
      <c r="AZ466">
        <v>5</v>
      </c>
      <c r="BA466" t="s">
        <v>15991</v>
      </c>
      <c r="BB466" t="s">
        <v>15992</v>
      </c>
      <c r="BC466">
        <v>0.92</v>
      </c>
      <c r="BD466" t="s">
        <v>65</v>
      </c>
      <c r="BE466">
        <v>24</v>
      </c>
      <c r="BF466">
        <v>21</v>
      </c>
      <c r="BG466" t="s">
        <v>15993</v>
      </c>
      <c r="BH466" t="s">
        <v>15994</v>
      </c>
      <c r="BI466" t="s">
        <v>15995</v>
      </c>
      <c r="BJ466">
        <v>0.15312000000000001</v>
      </c>
      <c r="BK466">
        <v>1</v>
      </c>
      <c r="BL466" t="s">
        <v>69</v>
      </c>
      <c r="BM466">
        <v>0.15</v>
      </c>
      <c r="BN466">
        <v>-0.67500000000000004</v>
      </c>
    </row>
    <row r="467" spans="2:66">
      <c r="B467">
        <v>749</v>
      </c>
      <c r="C467">
        <v>132</v>
      </c>
      <c r="D467">
        <v>0</v>
      </c>
      <c r="E467">
        <v>2</v>
      </c>
      <c r="F467">
        <v>0</v>
      </c>
      <c r="J467">
        <v>0</v>
      </c>
      <c r="K467">
        <v>5</v>
      </c>
      <c r="L467">
        <v>0</v>
      </c>
      <c r="M467" t="s">
        <v>25022</v>
      </c>
      <c r="N467">
        <v>2795</v>
      </c>
      <c r="O467" t="s">
        <v>16015</v>
      </c>
      <c r="P467" t="s">
        <v>62</v>
      </c>
      <c r="Q467">
        <v>2742247</v>
      </c>
      <c r="R467">
        <v>2742774</v>
      </c>
      <c r="S467" t="s">
        <v>16016</v>
      </c>
      <c r="T467">
        <v>176</v>
      </c>
      <c r="U467" t="s">
        <v>5762</v>
      </c>
      <c r="V467">
        <v>43</v>
      </c>
      <c r="W467" t="str">
        <f>HYPERLINK("Gene2795-zp_tree_all.dnd", "Gene2795-tree")</f>
        <v>Gene2795-tree</v>
      </c>
      <c r="X467">
        <v>6</v>
      </c>
      <c r="Y467">
        <v>7</v>
      </c>
      <c r="Z467">
        <v>6</v>
      </c>
      <c r="AA467">
        <v>7</v>
      </c>
      <c r="AB467">
        <v>0.53846000000000005</v>
      </c>
      <c r="AC467" t="s">
        <v>90</v>
      </c>
      <c r="AD467" t="s">
        <v>152</v>
      </c>
      <c r="AE467" t="s">
        <v>62</v>
      </c>
      <c r="AF467" t="s">
        <v>62</v>
      </c>
      <c r="AG467">
        <v>2</v>
      </c>
      <c r="AH467">
        <v>5</v>
      </c>
      <c r="AI467">
        <v>10</v>
      </c>
      <c r="AJ467">
        <v>0.33333000000000002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2</v>
      </c>
      <c r="AQ467">
        <v>0</v>
      </c>
      <c r="AR467">
        <v>2</v>
      </c>
      <c r="AS467">
        <v>10</v>
      </c>
      <c r="AT467">
        <v>0.16667000000000001</v>
      </c>
      <c r="AU467">
        <v>8</v>
      </c>
      <c r="AV467">
        <v>8</v>
      </c>
      <c r="AW467">
        <v>7</v>
      </c>
      <c r="AX467">
        <v>8</v>
      </c>
      <c r="AY467">
        <v>6</v>
      </c>
      <c r="AZ467">
        <v>8</v>
      </c>
      <c r="BA467" t="s">
        <v>16017</v>
      </c>
      <c r="BB467" t="s">
        <v>16018</v>
      </c>
      <c r="BC467">
        <v>0.13500000000000001</v>
      </c>
      <c r="BD467" t="s">
        <v>65</v>
      </c>
      <c r="BE467">
        <v>13</v>
      </c>
      <c r="BF467">
        <v>16</v>
      </c>
      <c r="BG467" t="s">
        <v>16019</v>
      </c>
      <c r="BH467" t="s">
        <v>16020</v>
      </c>
      <c r="BI467" t="s">
        <v>16021</v>
      </c>
      <c r="BJ467">
        <v>0.26145000000000002</v>
      </c>
      <c r="BK467">
        <v>1</v>
      </c>
      <c r="BL467" t="s">
        <v>69</v>
      </c>
      <c r="BM467">
        <v>-0.193</v>
      </c>
      <c r="BN467">
        <v>0.20699999999999999</v>
      </c>
    </row>
    <row r="468" spans="2:66">
      <c r="B468">
        <v>750</v>
      </c>
      <c r="C468">
        <v>147</v>
      </c>
      <c r="D468">
        <v>0</v>
      </c>
      <c r="E468">
        <v>9</v>
      </c>
      <c r="F468">
        <v>3</v>
      </c>
      <c r="J468">
        <v>0</v>
      </c>
      <c r="K468">
        <v>4</v>
      </c>
      <c r="L468">
        <v>0</v>
      </c>
      <c r="M468" t="s">
        <v>25022</v>
      </c>
      <c r="N468">
        <v>2797</v>
      </c>
      <c r="O468" t="s">
        <v>16030</v>
      </c>
      <c r="P468" t="s">
        <v>62</v>
      </c>
      <c r="Q468">
        <v>2744166</v>
      </c>
      <c r="R468">
        <v>2745479</v>
      </c>
      <c r="S468" t="s">
        <v>16031</v>
      </c>
      <c r="T468">
        <v>438</v>
      </c>
      <c r="U468" t="s">
        <v>16032</v>
      </c>
      <c r="V468">
        <v>29</v>
      </c>
      <c r="W468" t="str">
        <f>HYPERLINK("Gene2797-zp_tree_all.dnd", "Gene2797-tree")</f>
        <v>Gene2797-tree</v>
      </c>
      <c r="X468">
        <v>3</v>
      </c>
      <c r="Y468">
        <v>6</v>
      </c>
      <c r="Z468">
        <v>3</v>
      </c>
      <c r="AA468">
        <v>6</v>
      </c>
      <c r="AB468">
        <v>0.66666999999999998</v>
      </c>
      <c r="AC468" t="s">
        <v>324</v>
      </c>
      <c r="AD468" t="s">
        <v>90</v>
      </c>
      <c r="AE468" t="s">
        <v>62</v>
      </c>
      <c r="AF468" t="s">
        <v>62</v>
      </c>
      <c r="AG468">
        <v>2</v>
      </c>
      <c r="AH468">
        <v>4</v>
      </c>
      <c r="AI468">
        <v>8</v>
      </c>
      <c r="AJ468">
        <v>0.33333000000000002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2</v>
      </c>
      <c r="AQ468">
        <v>0</v>
      </c>
      <c r="AR468">
        <v>2</v>
      </c>
      <c r="AS468">
        <v>5</v>
      </c>
      <c r="AT468">
        <v>0.28571000000000002</v>
      </c>
      <c r="AU468">
        <v>5</v>
      </c>
      <c r="AV468">
        <v>6</v>
      </c>
      <c r="AW468">
        <v>12</v>
      </c>
      <c r="AX468">
        <v>5</v>
      </c>
      <c r="AY468">
        <v>15</v>
      </c>
      <c r="AZ468">
        <v>7</v>
      </c>
      <c r="BA468" t="s">
        <v>16033</v>
      </c>
      <c r="BB468" t="s">
        <v>16034</v>
      </c>
      <c r="BC468">
        <v>0.108</v>
      </c>
      <c r="BD468" t="s">
        <v>65</v>
      </c>
      <c r="BE468">
        <v>27</v>
      </c>
      <c r="BF468">
        <v>12</v>
      </c>
      <c r="BG468" t="s">
        <v>16035</v>
      </c>
      <c r="BH468" t="s">
        <v>16036</v>
      </c>
      <c r="BI468" t="s">
        <v>16037</v>
      </c>
      <c r="BJ468">
        <v>0.15498000000000001</v>
      </c>
      <c r="BK468">
        <v>1</v>
      </c>
      <c r="BL468" t="s">
        <v>69</v>
      </c>
      <c r="BM468">
        <v>-0.78700000000000003</v>
      </c>
      <c r="BN468">
        <v>0.63400000000000001</v>
      </c>
    </row>
    <row r="469" spans="2:66">
      <c r="B469">
        <v>751</v>
      </c>
      <c r="C469">
        <v>179</v>
      </c>
      <c r="D469">
        <v>0</v>
      </c>
      <c r="E469">
        <v>2</v>
      </c>
      <c r="F469">
        <v>1</v>
      </c>
      <c r="J469">
        <v>0</v>
      </c>
      <c r="K469">
        <v>2</v>
      </c>
      <c r="L469">
        <v>1</v>
      </c>
      <c r="M469" t="s">
        <v>25022</v>
      </c>
      <c r="N469">
        <v>2798</v>
      </c>
      <c r="O469" t="s">
        <v>16038</v>
      </c>
      <c r="P469" t="s">
        <v>62</v>
      </c>
      <c r="Q469">
        <v>2745597</v>
      </c>
      <c r="R469">
        <v>2746463</v>
      </c>
      <c r="S469" t="s">
        <v>16039</v>
      </c>
      <c r="T469">
        <v>289</v>
      </c>
      <c r="U469" t="s">
        <v>16040</v>
      </c>
      <c r="V469">
        <v>30</v>
      </c>
      <c r="W469" t="str">
        <f>HYPERLINK("Gene2798-zp_tree_all.dnd", "Gene2798-tree")</f>
        <v>Gene2798-tree</v>
      </c>
      <c r="X469">
        <v>3</v>
      </c>
      <c r="Y469">
        <v>4</v>
      </c>
      <c r="Z469">
        <v>3</v>
      </c>
      <c r="AA469">
        <v>4</v>
      </c>
      <c r="AB469">
        <v>0.57142999999999999</v>
      </c>
      <c r="AC469" t="s">
        <v>324</v>
      </c>
      <c r="AD469" t="s">
        <v>61</v>
      </c>
      <c r="AE469" t="s">
        <v>62</v>
      </c>
      <c r="AF469" t="s">
        <v>62</v>
      </c>
      <c r="AG469">
        <v>1</v>
      </c>
      <c r="AH469">
        <v>3</v>
      </c>
      <c r="AI469">
        <v>11</v>
      </c>
      <c r="AJ469">
        <v>0.21429000000000001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2</v>
      </c>
      <c r="AQ469">
        <v>1</v>
      </c>
      <c r="AR469">
        <v>3</v>
      </c>
      <c r="AS469">
        <v>11</v>
      </c>
      <c r="AT469">
        <v>0.21429000000000001</v>
      </c>
      <c r="AU469">
        <v>5</v>
      </c>
      <c r="AV469">
        <v>3</v>
      </c>
      <c r="AW469">
        <v>20</v>
      </c>
      <c r="AX469">
        <v>14</v>
      </c>
      <c r="AY469">
        <v>3</v>
      </c>
      <c r="AZ469">
        <v>0</v>
      </c>
      <c r="BA469" t="s">
        <v>16041</v>
      </c>
      <c r="BB469" t="s">
        <v>193</v>
      </c>
      <c r="BC469">
        <v>0.39</v>
      </c>
      <c r="BD469" t="s">
        <v>65</v>
      </c>
      <c r="BE469">
        <v>23</v>
      </c>
      <c r="BF469">
        <v>14</v>
      </c>
      <c r="BG469" t="s">
        <v>16042</v>
      </c>
      <c r="BH469" t="s">
        <v>16043</v>
      </c>
      <c r="BI469" t="s">
        <v>16044</v>
      </c>
      <c r="BJ469">
        <v>0.13705999999999999</v>
      </c>
      <c r="BK469">
        <v>1</v>
      </c>
      <c r="BL469" t="s">
        <v>69</v>
      </c>
      <c r="BM469">
        <v>-2.2999999999999998</v>
      </c>
      <c r="BN469">
        <v>-4.0640000000000001</v>
      </c>
    </row>
    <row r="470" spans="2:66">
      <c r="B470">
        <v>752</v>
      </c>
      <c r="C470">
        <v>62</v>
      </c>
      <c r="D470">
        <v>0</v>
      </c>
      <c r="E470">
        <v>2</v>
      </c>
      <c r="F470">
        <v>0</v>
      </c>
      <c r="J470">
        <v>0</v>
      </c>
      <c r="K470">
        <v>5</v>
      </c>
      <c r="L470">
        <v>0</v>
      </c>
      <c r="M470" t="s">
        <v>25022</v>
      </c>
      <c r="N470">
        <v>2800</v>
      </c>
      <c r="O470" t="s">
        <v>16052</v>
      </c>
      <c r="P470" t="s">
        <v>62</v>
      </c>
      <c r="Q470">
        <v>2747987</v>
      </c>
      <c r="R470">
        <v>2748817</v>
      </c>
      <c r="S470" t="s">
        <v>16053</v>
      </c>
      <c r="T470">
        <v>277</v>
      </c>
      <c r="U470" t="s">
        <v>5762</v>
      </c>
      <c r="V470">
        <v>43</v>
      </c>
      <c r="W470" t="str">
        <f>HYPERLINK("Gene2800-zp_tree_all.dnd", "Gene2800-tree")</f>
        <v>Gene2800-tree</v>
      </c>
      <c r="X470">
        <v>6</v>
      </c>
      <c r="Y470">
        <v>8</v>
      </c>
      <c r="Z470">
        <v>6</v>
      </c>
      <c r="AA470">
        <v>8</v>
      </c>
      <c r="AB470">
        <v>0.57142999999999999</v>
      </c>
      <c r="AC470" t="s">
        <v>90</v>
      </c>
      <c r="AD470" t="s">
        <v>136</v>
      </c>
      <c r="AE470" t="s">
        <v>62</v>
      </c>
      <c r="AF470" t="s">
        <v>62</v>
      </c>
      <c r="AG470">
        <v>1</v>
      </c>
      <c r="AH470">
        <v>5</v>
      </c>
      <c r="AI470">
        <v>7</v>
      </c>
      <c r="AJ470">
        <v>0.41666999999999998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2</v>
      </c>
      <c r="AQ470">
        <v>0</v>
      </c>
      <c r="AR470">
        <v>2</v>
      </c>
      <c r="AS470">
        <v>6</v>
      </c>
      <c r="AT470">
        <v>0.25</v>
      </c>
      <c r="AU470">
        <v>11</v>
      </c>
      <c r="AV470">
        <v>7</v>
      </c>
      <c r="AW470">
        <v>16</v>
      </c>
      <c r="AX470">
        <v>8</v>
      </c>
      <c r="AY470">
        <v>13</v>
      </c>
      <c r="AZ470">
        <v>4</v>
      </c>
      <c r="BA470" t="s">
        <v>16054</v>
      </c>
      <c r="BB470" t="s">
        <v>16055</v>
      </c>
      <c r="BC470">
        <v>0.873</v>
      </c>
      <c r="BD470" t="s">
        <v>65</v>
      </c>
      <c r="BE470">
        <v>29</v>
      </c>
      <c r="BF470">
        <v>12</v>
      </c>
      <c r="BG470" t="s">
        <v>16056</v>
      </c>
      <c r="BH470" t="s">
        <v>16057</v>
      </c>
      <c r="BI470" t="s">
        <v>16058</v>
      </c>
      <c r="BJ470">
        <v>6.9440000000000002E-2</v>
      </c>
      <c r="BK470">
        <v>1</v>
      </c>
      <c r="BL470" t="s">
        <v>69</v>
      </c>
      <c r="BM470">
        <v>-1.214</v>
      </c>
      <c r="BN470">
        <v>-0.90300000000000002</v>
      </c>
    </row>
    <row r="471" spans="2:66">
      <c r="B471">
        <v>756</v>
      </c>
      <c r="C471">
        <v>27</v>
      </c>
      <c r="D471">
        <v>0</v>
      </c>
      <c r="E471">
        <v>4</v>
      </c>
      <c r="F471">
        <v>0</v>
      </c>
      <c r="J471">
        <v>0</v>
      </c>
      <c r="K471">
        <v>0</v>
      </c>
      <c r="L471">
        <v>0</v>
      </c>
      <c r="M471" t="s">
        <v>25022</v>
      </c>
      <c r="N471">
        <v>2803</v>
      </c>
      <c r="O471" t="s">
        <v>16073</v>
      </c>
      <c r="P471" t="s">
        <v>62</v>
      </c>
      <c r="Q471">
        <v>2750886</v>
      </c>
      <c r="R471">
        <v>2751239</v>
      </c>
      <c r="S471" t="s">
        <v>116</v>
      </c>
      <c r="T471">
        <v>118</v>
      </c>
      <c r="U471" t="s">
        <v>16074</v>
      </c>
      <c r="V471">
        <v>45</v>
      </c>
      <c r="W471" t="str">
        <f>HYPERLINK("Gene2803-zp_tree_all.dnd", "Gene2803-tree")</f>
        <v>Gene2803-tree</v>
      </c>
      <c r="X471">
        <v>11</v>
      </c>
      <c r="Y471">
        <v>2</v>
      </c>
      <c r="Z471">
        <v>11</v>
      </c>
      <c r="AA471">
        <v>2</v>
      </c>
      <c r="AB471">
        <v>0.15384999999999999</v>
      </c>
      <c r="AC471" t="s">
        <v>73</v>
      </c>
      <c r="AD471" t="s">
        <v>81</v>
      </c>
      <c r="AE471" t="s">
        <v>62</v>
      </c>
      <c r="AF471" t="s">
        <v>62</v>
      </c>
      <c r="AG471">
        <v>0</v>
      </c>
      <c r="AH471">
        <v>0</v>
      </c>
      <c r="AI471">
        <v>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0</v>
      </c>
      <c r="AU471">
        <v>9</v>
      </c>
      <c r="AV471">
        <v>7</v>
      </c>
      <c r="AW471">
        <v>16</v>
      </c>
      <c r="AX471">
        <v>2</v>
      </c>
      <c r="AY471">
        <v>16</v>
      </c>
      <c r="AZ471">
        <v>1</v>
      </c>
      <c r="BA471" t="s">
        <v>16075</v>
      </c>
      <c r="BB471" t="s">
        <v>16076</v>
      </c>
      <c r="BC471">
        <v>0.27700000000000002</v>
      </c>
      <c r="BD471" t="s">
        <v>65</v>
      </c>
      <c r="BE471">
        <v>32</v>
      </c>
      <c r="BF471">
        <v>3</v>
      </c>
      <c r="BG471" t="s">
        <v>16077</v>
      </c>
      <c r="BH471" t="s">
        <v>16078</v>
      </c>
      <c r="BI471" t="s">
        <v>16079</v>
      </c>
      <c r="BJ471">
        <v>3.5200000000000002E-2</v>
      </c>
      <c r="BK471">
        <v>1</v>
      </c>
      <c r="BL471" t="s">
        <v>69</v>
      </c>
      <c r="BM471">
        <v>-1.125</v>
      </c>
      <c r="BN471">
        <v>-0.55700000000000005</v>
      </c>
    </row>
    <row r="472" spans="2:66">
      <c r="B472">
        <v>757</v>
      </c>
      <c r="C472">
        <v>39</v>
      </c>
      <c r="D472">
        <v>0</v>
      </c>
      <c r="E472">
        <v>3</v>
      </c>
      <c r="F472">
        <v>0</v>
      </c>
      <c r="J472">
        <v>0</v>
      </c>
      <c r="K472">
        <v>3</v>
      </c>
      <c r="L472">
        <v>2</v>
      </c>
      <c r="M472" t="s">
        <v>25022</v>
      </c>
      <c r="N472">
        <v>2804</v>
      </c>
      <c r="O472" t="s">
        <v>16080</v>
      </c>
      <c r="P472" t="s">
        <v>62</v>
      </c>
      <c r="Q472">
        <v>2751295</v>
      </c>
      <c r="R472">
        <v>2751651</v>
      </c>
      <c r="S472" t="s">
        <v>116</v>
      </c>
      <c r="T472">
        <v>119</v>
      </c>
      <c r="U472" t="s">
        <v>16074</v>
      </c>
      <c r="V472">
        <v>45</v>
      </c>
      <c r="W472" t="str">
        <f>HYPERLINK("Gene2804-zp_tree_all.dnd", "Gene2804-tree")</f>
        <v>Gene2804-tree</v>
      </c>
      <c r="X472">
        <v>8</v>
      </c>
      <c r="Y472">
        <v>5</v>
      </c>
      <c r="Z472">
        <v>8</v>
      </c>
      <c r="AA472">
        <v>5</v>
      </c>
      <c r="AB472">
        <v>0.38462000000000002</v>
      </c>
      <c r="AC472" t="s">
        <v>136</v>
      </c>
      <c r="AD472" t="s">
        <v>199</v>
      </c>
      <c r="AE472" t="s">
        <v>62</v>
      </c>
      <c r="AF472" t="s">
        <v>62</v>
      </c>
      <c r="AG472">
        <v>2</v>
      </c>
      <c r="AH472">
        <v>5</v>
      </c>
      <c r="AI472">
        <v>4</v>
      </c>
      <c r="AJ472">
        <v>0.55556000000000005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</v>
      </c>
      <c r="AQ472">
        <v>2</v>
      </c>
      <c r="AR472">
        <v>4</v>
      </c>
      <c r="AS472">
        <v>4</v>
      </c>
      <c r="AT472">
        <v>0.5</v>
      </c>
      <c r="AU472">
        <v>9</v>
      </c>
      <c r="AV472">
        <v>7</v>
      </c>
      <c r="AW472">
        <v>9</v>
      </c>
      <c r="AX472">
        <v>4</v>
      </c>
      <c r="AY472">
        <v>14</v>
      </c>
      <c r="AZ472">
        <v>5</v>
      </c>
      <c r="BA472" t="s">
        <v>16081</v>
      </c>
      <c r="BB472" t="s">
        <v>16082</v>
      </c>
      <c r="BC472">
        <v>0.125</v>
      </c>
      <c r="BD472" t="s">
        <v>65</v>
      </c>
      <c r="BE472">
        <v>23</v>
      </c>
      <c r="BF472">
        <v>9</v>
      </c>
      <c r="BG472" t="s">
        <v>16083</v>
      </c>
      <c r="BH472" t="s">
        <v>16084</v>
      </c>
      <c r="BI472" t="s">
        <v>16085</v>
      </c>
      <c r="BJ472">
        <v>0.11144</v>
      </c>
      <c r="BK472">
        <v>1</v>
      </c>
      <c r="BL472" t="s">
        <v>69</v>
      </c>
      <c r="BM472">
        <v>-1.1639999999999999</v>
      </c>
      <c r="BN472">
        <v>-0.26700000000000002</v>
      </c>
    </row>
    <row r="473" spans="2:66">
      <c r="B473">
        <v>759</v>
      </c>
      <c r="C473">
        <v>126</v>
      </c>
      <c r="D473">
        <v>0</v>
      </c>
      <c r="E473">
        <v>4</v>
      </c>
      <c r="F473">
        <v>0</v>
      </c>
      <c r="J473">
        <v>0</v>
      </c>
      <c r="K473">
        <v>2</v>
      </c>
      <c r="L473">
        <v>0</v>
      </c>
      <c r="M473" t="s">
        <v>25022</v>
      </c>
      <c r="N473">
        <v>2805</v>
      </c>
      <c r="O473" t="s">
        <v>16086</v>
      </c>
      <c r="P473" t="s">
        <v>62</v>
      </c>
      <c r="Q473">
        <v>2751926</v>
      </c>
      <c r="R473">
        <v>2752024</v>
      </c>
      <c r="S473" t="s">
        <v>16087</v>
      </c>
      <c r="T473">
        <v>33</v>
      </c>
      <c r="U473" t="s">
        <v>16088</v>
      </c>
      <c r="V473">
        <v>40</v>
      </c>
      <c r="W473" t="str">
        <f>HYPERLINK("Gene2805-zp_tree_all.dnd", "Gene2805-tree")</f>
        <v>Gene2805-tree</v>
      </c>
      <c r="X473">
        <v>1</v>
      </c>
      <c r="Y473">
        <v>5</v>
      </c>
      <c r="Z473">
        <v>1</v>
      </c>
      <c r="AA473">
        <v>5</v>
      </c>
      <c r="AB473">
        <v>0.83333000000000002</v>
      </c>
      <c r="AC473" t="s">
        <v>175</v>
      </c>
      <c r="AD473" t="s">
        <v>199</v>
      </c>
      <c r="AE473" t="s">
        <v>62</v>
      </c>
      <c r="AF473" t="s">
        <v>62</v>
      </c>
      <c r="AG473">
        <v>1</v>
      </c>
      <c r="AH473">
        <v>2</v>
      </c>
      <c r="AI473">
        <v>5</v>
      </c>
      <c r="AJ473">
        <v>0.28571000000000002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5</v>
      </c>
      <c r="AT473">
        <v>0</v>
      </c>
      <c r="AU473">
        <v>4</v>
      </c>
      <c r="AV473">
        <v>2</v>
      </c>
      <c r="AW473">
        <v>1</v>
      </c>
      <c r="AX473">
        <v>4</v>
      </c>
      <c r="AY473">
        <v>2</v>
      </c>
      <c r="AZ473">
        <v>3</v>
      </c>
      <c r="BA473" t="s">
        <v>16089</v>
      </c>
      <c r="BB473" t="s">
        <v>16090</v>
      </c>
      <c r="BC473">
        <v>0.35599999999999998</v>
      </c>
      <c r="BD473" t="s">
        <v>65</v>
      </c>
      <c r="BE473">
        <v>3</v>
      </c>
      <c r="BF473">
        <v>7</v>
      </c>
      <c r="BG473" t="s">
        <v>16091</v>
      </c>
      <c r="BH473" t="s">
        <v>16092</v>
      </c>
      <c r="BI473" t="s">
        <v>16093</v>
      </c>
      <c r="BJ473">
        <v>0.53595999999999999</v>
      </c>
      <c r="BK473">
        <v>0.68799999999999994</v>
      </c>
      <c r="BL473" t="s">
        <v>635</v>
      </c>
      <c r="BM473">
        <v>-0.17199999999999999</v>
      </c>
      <c r="BN473">
        <v>0.107</v>
      </c>
    </row>
    <row r="474" spans="2:66">
      <c r="B474">
        <v>760</v>
      </c>
      <c r="C474">
        <v>61</v>
      </c>
      <c r="D474">
        <v>0</v>
      </c>
      <c r="E474">
        <v>9</v>
      </c>
      <c r="F474">
        <v>2</v>
      </c>
      <c r="J474">
        <v>0</v>
      </c>
      <c r="K474">
        <v>0</v>
      </c>
      <c r="L474">
        <v>0</v>
      </c>
      <c r="M474" t="s">
        <v>25022</v>
      </c>
      <c r="N474">
        <v>2811</v>
      </c>
      <c r="O474" t="s">
        <v>16121</v>
      </c>
      <c r="P474" t="s">
        <v>62</v>
      </c>
      <c r="Q474">
        <v>2755385</v>
      </c>
      <c r="R474">
        <v>2755804</v>
      </c>
      <c r="S474" t="s">
        <v>16122</v>
      </c>
      <c r="T474">
        <v>140</v>
      </c>
      <c r="U474" t="s">
        <v>108</v>
      </c>
      <c r="V474">
        <v>44</v>
      </c>
      <c r="W474" t="str">
        <f>HYPERLINK("Gene2811-zp_tree_all.dnd", "Gene2811-tree")</f>
        <v>Gene2811-tree</v>
      </c>
      <c r="X474">
        <v>6</v>
      </c>
      <c r="Y474">
        <v>5</v>
      </c>
      <c r="Z474">
        <v>6</v>
      </c>
      <c r="AA474">
        <v>5</v>
      </c>
      <c r="AB474">
        <v>0.45455000000000001</v>
      </c>
      <c r="AC474" t="s">
        <v>90</v>
      </c>
      <c r="AD474" t="s">
        <v>199</v>
      </c>
      <c r="AE474" t="s">
        <v>62</v>
      </c>
      <c r="AF474" t="s">
        <v>62</v>
      </c>
      <c r="AG474">
        <v>0</v>
      </c>
      <c r="AH474">
        <v>0</v>
      </c>
      <c r="AI474">
        <v>10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9</v>
      </c>
      <c r="AT474">
        <v>0</v>
      </c>
      <c r="AU474">
        <v>10</v>
      </c>
      <c r="AV474">
        <v>4</v>
      </c>
      <c r="AW474">
        <v>21</v>
      </c>
      <c r="AX474">
        <v>9</v>
      </c>
      <c r="AY474">
        <v>5</v>
      </c>
      <c r="AZ474">
        <v>1</v>
      </c>
      <c r="BA474" t="s">
        <v>16123</v>
      </c>
      <c r="BB474" t="s">
        <v>16124</v>
      </c>
      <c r="BC474">
        <v>0.29699999999999999</v>
      </c>
      <c r="BD474" t="s">
        <v>65</v>
      </c>
      <c r="BE474">
        <v>26</v>
      </c>
      <c r="BF474">
        <v>10</v>
      </c>
      <c r="BG474" t="s">
        <v>16125</v>
      </c>
      <c r="BH474" t="s">
        <v>16126</v>
      </c>
      <c r="BI474" t="s">
        <v>16127</v>
      </c>
      <c r="BJ474">
        <v>0.10696</v>
      </c>
      <c r="BK474">
        <v>1</v>
      </c>
      <c r="BL474" t="s">
        <v>69</v>
      </c>
      <c r="BM474">
        <v>-1.383</v>
      </c>
      <c r="BN474">
        <v>-2.6669999999999998</v>
      </c>
    </row>
    <row r="475" spans="2:66">
      <c r="B475">
        <v>762</v>
      </c>
      <c r="C475">
        <v>724</v>
      </c>
      <c r="D475">
        <v>0</v>
      </c>
      <c r="E475">
        <v>56</v>
      </c>
      <c r="F475">
        <v>0</v>
      </c>
      <c r="J475">
        <v>0</v>
      </c>
      <c r="K475">
        <v>28</v>
      </c>
      <c r="L475">
        <v>2</v>
      </c>
      <c r="M475" t="s">
        <v>25022</v>
      </c>
      <c r="N475">
        <v>2815</v>
      </c>
      <c r="O475" t="s">
        <v>16148</v>
      </c>
      <c r="P475" t="s">
        <v>62</v>
      </c>
      <c r="Q475">
        <v>2758046</v>
      </c>
      <c r="R475">
        <v>2760076</v>
      </c>
      <c r="S475" t="s">
        <v>16149</v>
      </c>
      <c r="T475">
        <v>677</v>
      </c>
      <c r="U475" t="s">
        <v>108</v>
      </c>
      <c r="V475">
        <v>44</v>
      </c>
      <c r="W475" t="str">
        <f>HYPERLINK("Gene2815-zp_tree_all.dnd", "Gene2815-tree")</f>
        <v>Gene2815-tree</v>
      </c>
      <c r="X475">
        <v>2</v>
      </c>
      <c r="Y475">
        <v>13</v>
      </c>
      <c r="Z475">
        <v>2</v>
      </c>
      <c r="AA475">
        <v>13</v>
      </c>
      <c r="AB475">
        <v>0.86667000000000005</v>
      </c>
      <c r="AC475" t="s">
        <v>81</v>
      </c>
      <c r="AD475" t="s">
        <v>507</v>
      </c>
      <c r="AE475" t="s">
        <v>62</v>
      </c>
      <c r="AF475" t="s">
        <v>62</v>
      </c>
      <c r="AG475">
        <v>12</v>
      </c>
      <c r="AH475">
        <v>30</v>
      </c>
      <c r="AI475">
        <v>35</v>
      </c>
      <c r="AJ475">
        <v>0.46154000000000001</v>
      </c>
      <c r="AK475">
        <v>0</v>
      </c>
      <c r="AL475">
        <v>0</v>
      </c>
      <c r="AM475">
        <v>0</v>
      </c>
      <c r="AN475">
        <v>4</v>
      </c>
      <c r="AO475">
        <v>0</v>
      </c>
      <c r="AP475">
        <v>4</v>
      </c>
      <c r="AQ475">
        <v>0</v>
      </c>
      <c r="AR475">
        <v>4</v>
      </c>
      <c r="AS475">
        <v>36</v>
      </c>
      <c r="AT475">
        <v>0.1</v>
      </c>
      <c r="AU475">
        <v>12</v>
      </c>
      <c r="AV475">
        <v>12</v>
      </c>
      <c r="AW475">
        <v>59</v>
      </c>
      <c r="AX475">
        <v>41</v>
      </c>
      <c r="AY475">
        <v>50</v>
      </c>
      <c r="AZ475">
        <v>25</v>
      </c>
      <c r="BA475" t="s">
        <v>16150</v>
      </c>
      <c r="BB475" t="s">
        <v>16151</v>
      </c>
      <c r="BC475">
        <v>0.51700000000000002</v>
      </c>
      <c r="BD475" t="s">
        <v>65</v>
      </c>
      <c r="BE475">
        <v>109</v>
      </c>
      <c r="BF475">
        <v>66</v>
      </c>
      <c r="BG475" t="s">
        <v>16152</v>
      </c>
      <c r="BH475" t="s">
        <v>16153</v>
      </c>
      <c r="BI475" t="s">
        <v>16154</v>
      </c>
      <c r="BJ475">
        <v>0.15781000000000001</v>
      </c>
      <c r="BK475">
        <v>1</v>
      </c>
      <c r="BL475" t="s">
        <v>69</v>
      </c>
      <c r="BM475">
        <v>-0.60699999999999998</v>
      </c>
      <c r="BN475">
        <v>-2.077</v>
      </c>
    </row>
    <row r="476" spans="2:66">
      <c r="B476">
        <v>763</v>
      </c>
      <c r="C476">
        <v>575</v>
      </c>
      <c r="D476">
        <v>0</v>
      </c>
      <c r="E476">
        <v>4</v>
      </c>
      <c r="F476">
        <v>0</v>
      </c>
      <c r="J476">
        <v>0</v>
      </c>
      <c r="K476">
        <v>0</v>
      </c>
      <c r="L476">
        <v>0</v>
      </c>
      <c r="M476" t="s">
        <v>25022</v>
      </c>
      <c r="N476">
        <v>2816</v>
      </c>
      <c r="O476" t="s">
        <v>16155</v>
      </c>
      <c r="P476" t="s">
        <v>62</v>
      </c>
      <c r="Q476">
        <v>2759988</v>
      </c>
      <c r="R476">
        <v>2760152</v>
      </c>
      <c r="S476" t="s">
        <v>16156</v>
      </c>
      <c r="T476">
        <v>55</v>
      </c>
      <c r="U476" t="s">
        <v>108</v>
      </c>
      <c r="V476">
        <v>44</v>
      </c>
      <c r="W476" t="str">
        <f>HYPERLINK("Gene2816-zp_tree_all.dnd", "Gene2816-tree")</f>
        <v>Gene2816-tree</v>
      </c>
      <c r="X476">
        <v>2</v>
      </c>
      <c r="Y476">
        <v>7</v>
      </c>
      <c r="Z476">
        <v>2</v>
      </c>
      <c r="AA476">
        <v>7</v>
      </c>
      <c r="AB476">
        <v>0.77778000000000003</v>
      </c>
      <c r="AC476" t="s">
        <v>81</v>
      </c>
      <c r="AD476" t="s">
        <v>152</v>
      </c>
      <c r="AE476" t="s">
        <v>62</v>
      </c>
      <c r="AF476" t="s">
        <v>62</v>
      </c>
      <c r="AG476">
        <v>0</v>
      </c>
      <c r="AH476">
        <v>0</v>
      </c>
      <c r="AI476">
        <v>7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6</v>
      </c>
      <c r="AT476">
        <v>0</v>
      </c>
      <c r="AU476">
        <v>4</v>
      </c>
      <c r="AV476">
        <v>4</v>
      </c>
      <c r="AW476">
        <v>2</v>
      </c>
      <c r="AX476">
        <v>3</v>
      </c>
      <c r="AY476">
        <v>1</v>
      </c>
      <c r="AZ476">
        <v>4</v>
      </c>
      <c r="BA476" t="s">
        <v>16157</v>
      </c>
      <c r="BB476" t="s">
        <v>16158</v>
      </c>
      <c r="BC476">
        <v>0.41099999999999998</v>
      </c>
      <c r="BD476" t="s">
        <v>65</v>
      </c>
      <c r="BE476">
        <v>3</v>
      </c>
      <c r="BF476">
        <v>7</v>
      </c>
      <c r="BG476" t="s">
        <v>16159</v>
      </c>
      <c r="BH476" t="s">
        <v>16160</v>
      </c>
      <c r="BI476" t="s">
        <v>16161</v>
      </c>
      <c r="BJ476">
        <v>0.70387999999999995</v>
      </c>
      <c r="BK476">
        <v>0.65900000000000003</v>
      </c>
      <c r="BL476" t="s">
        <v>635</v>
      </c>
      <c r="BM476">
        <v>0.54800000000000004</v>
      </c>
      <c r="BN476">
        <v>0.21</v>
      </c>
    </row>
    <row r="477" spans="2:66">
      <c r="B477">
        <v>764</v>
      </c>
      <c r="C477">
        <v>80</v>
      </c>
      <c r="D477">
        <v>0</v>
      </c>
      <c r="E477">
        <v>4</v>
      </c>
      <c r="F477">
        <v>2</v>
      </c>
      <c r="J477">
        <v>0</v>
      </c>
      <c r="K477">
        <v>2</v>
      </c>
      <c r="L477">
        <v>0</v>
      </c>
      <c r="M477" t="s">
        <v>25022</v>
      </c>
      <c r="N477">
        <v>2817</v>
      </c>
      <c r="O477" t="s">
        <v>16162</v>
      </c>
      <c r="P477" t="s">
        <v>62</v>
      </c>
      <c r="Q477">
        <v>2761084</v>
      </c>
      <c r="R477">
        <v>2761890</v>
      </c>
      <c r="S477" t="s">
        <v>16163</v>
      </c>
      <c r="T477">
        <v>269</v>
      </c>
      <c r="U477" t="s">
        <v>108</v>
      </c>
      <c r="V477">
        <v>44</v>
      </c>
      <c r="W477" t="str">
        <f>HYPERLINK("Gene2817-zp_tree_all.dnd", "Gene2817-tree")</f>
        <v>Gene2817-tree</v>
      </c>
      <c r="X477">
        <v>30</v>
      </c>
      <c r="Y477">
        <v>4</v>
      </c>
      <c r="Z477">
        <v>9</v>
      </c>
      <c r="AA477">
        <v>4</v>
      </c>
      <c r="AB477">
        <v>0.30769000000000002</v>
      </c>
      <c r="AC477" t="s">
        <v>2142</v>
      </c>
      <c r="AD477" t="s">
        <v>61</v>
      </c>
      <c r="AE477" t="s">
        <v>62</v>
      </c>
      <c r="AF477" t="s">
        <v>62</v>
      </c>
      <c r="AG477">
        <v>1</v>
      </c>
      <c r="AH477">
        <v>2</v>
      </c>
      <c r="AI477">
        <v>2</v>
      </c>
      <c r="AJ477">
        <v>0.5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2</v>
      </c>
      <c r="AQ477">
        <v>0</v>
      </c>
      <c r="AR477">
        <v>2</v>
      </c>
      <c r="AS477">
        <v>2</v>
      </c>
      <c r="AT477">
        <v>0.5</v>
      </c>
      <c r="AU477">
        <v>11</v>
      </c>
      <c r="AV477">
        <v>4</v>
      </c>
      <c r="AW477">
        <v>14</v>
      </c>
      <c r="AX477">
        <v>4</v>
      </c>
      <c r="AY477">
        <v>5</v>
      </c>
      <c r="AZ477">
        <v>0</v>
      </c>
      <c r="BA477" t="s">
        <v>16164</v>
      </c>
      <c r="BB477" t="s">
        <v>193</v>
      </c>
      <c r="BC477">
        <v>1.581</v>
      </c>
      <c r="BD477" t="s">
        <v>65</v>
      </c>
      <c r="BE477">
        <v>19</v>
      </c>
      <c r="BF477">
        <v>4</v>
      </c>
      <c r="BG477" t="s">
        <v>16165</v>
      </c>
      <c r="BH477" t="s">
        <v>16166</v>
      </c>
      <c r="BI477" t="s">
        <v>16167</v>
      </c>
      <c r="BJ477">
        <v>4.8689999999999997E-2</v>
      </c>
      <c r="BK477">
        <v>1</v>
      </c>
      <c r="BL477" t="s">
        <v>69</v>
      </c>
      <c r="BM477">
        <v>-0.94199999999999995</v>
      </c>
      <c r="BN477">
        <v>-2.2389999999999999</v>
      </c>
    </row>
    <row r="478" spans="2:66">
      <c r="B478">
        <v>766</v>
      </c>
      <c r="C478">
        <v>26</v>
      </c>
      <c r="D478">
        <v>0</v>
      </c>
      <c r="E478">
        <v>8</v>
      </c>
      <c r="F478">
        <v>0</v>
      </c>
      <c r="J478">
        <v>0</v>
      </c>
      <c r="K478">
        <v>0</v>
      </c>
      <c r="L478">
        <v>0</v>
      </c>
      <c r="M478" t="s">
        <v>25022</v>
      </c>
      <c r="N478">
        <v>2818</v>
      </c>
      <c r="O478" t="s">
        <v>16168</v>
      </c>
      <c r="P478" t="s">
        <v>62</v>
      </c>
      <c r="Q478">
        <v>2761910</v>
      </c>
      <c r="R478">
        <v>2762395</v>
      </c>
      <c r="S478" t="s">
        <v>16169</v>
      </c>
      <c r="T478">
        <v>162</v>
      </c>
      <c r="U478" t="s">
        <v>160</v>
      </c>
      <c r="V478">
        <v>45</v>
      </c>
      <c r="W478" t="str">
        <f>HYPERLINK("Gene2818-zp_tree_all.dnd", "Gene2818-tree")</f>
        <v>Gene2818-tree</v>
      </c>
      <c r="X478">
        <v>8</v>
      </c>
      <c r="Y478">
        <v>3</v>
      </c>
      <c r="Z478">
        <v>8</v>
      </c>
      <c r="AA478">
        <v>3</v>
      </c>
      <c r="AB478">
        <v>0.27272999999999997</v>
      </c>
      <c r="AC478" t="s">
        <v>136</v>
      </c>
      <c r="AD478" t="s">
        <v>324</v>
      </c>
      <c r="AE478" t="s">
        <v>62</v>
      </c>
      <c r="AF478" t="s">
        <v>62</v>
      </c>
      <c r="AG478">
        <v>0</v>
      </c>
      <c r="AH478">
        <v>0</v>
      </c>
      <c r="AI478">
        <v>4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4</v>
      </c>
      <c r="AT478">
        <v>0</v>
      </c>
      <c r="AU478">
        <v>7</v>
      </c>
      <c r="AV478">
        <v>4</v>
      </c>
      <c r="AW478">
        <v>29</v>
      </c>
      <c r="AX478">
        <v>5</v>
      </c>
      <c r="AY478">
        <v>4</v>
      </c>
      <c r="AZ478">
        <v>0</v>
      </c>
      <c r="BA478" t="s">
        <v>16170</v>
      </c>
      <c r="BB478" t="s">
        <v>193</v>
      </c>
      <c r="BC478">
        <v>0.63100000000000001</v>
      </c>
      <c r="BD478" t="s">
        <v>65</v>
      </c>
      <c r="BE478">
        <v>33</v>
      </c>
      <c r="BF478">
        <v>5</v>
      </c>
      <c r="BG478" t="s">
        <v>16171</v>
      </c>
      <c r="BH478" t="s">
        <v>16172</v>
      </c>
      <c r="BI478" t="s">
        <v>16173</v>
      </c>
      <c r="BJ478">
        <v>3.7229999999999999E-2</v>
      </c>
      <c r="BK478">
        <v>1</v>
      </c>
      <c r="BL478" t="s">
        <v>69</v>
      </c>
      <c r="BM478">
        <v>-2.0019999999999998</v>
      </c>
      <c r="BN478">
        <v>-3.585</v>
      </c>
    </row>
    <row r="479" spans="2:66">
      <c r="B479">
        <v>767</v>
      </c>
      <c r="C479">
        <v>143</v>
      </c>
      <c r="D479">
        <v>0</v>
      </c>
      <c r="E479">
        <v>2</v>
      </c>
      <c r="F479">
        <v>0</v>
      </c>
      <c r="J479">
        <v>0</v>
      </c>
      <c r="K479">
        <v>4</v>
      </c>
      <c r="L479">
        <v>0</v>
      </c>
      <c r="M479" t="s">
        <v>25022</v>
      </c>
      <c r="N479">
        <v>2819</v>
      </c>
      <c r="O479" t="s">
        <v>16174</v>
      </c>
      <c r="P479" t="s">
        <v>62</v>
      </c>
      <c r="Q479">
        <v>2762398</v>
      </c>
      <c r="R479">
        <v>2762835</v>
      </c>
      <c r="S479" t="s">
        <v>16175</v>
      </c>
      <c r="T479">
        <v>146</v>
      </c>
      <c r="U479" t="s">
        <v>698</v>
      </c>
      <c r="V479">
        <v>47</v>
      </c>
      <c r="W479" t="str">
        <f>HYPERLINK("Gene2819-zp_tree_all.dnd", "Gene2819-tree")</f>
        <v>Gene2819-tree</v>
      </c>
      <c r="X479">
        <v>23</v>
      </c>
      <c r="Y479">
        <v>7</v>
      </c>
      <c r="Z479">
        <v>5</v>
      </c>
      <c r="AA479">
        <v>7</v>
      </c>
      <c r="AB479">
        <v>0.58333000000000002</v>
      </c>
      <c r="AC479" t="s">
        <v>1652</v>
      </c>
      <c r="AD479" t="s">
        <v>152</v>
      </c>
      <c r="AE479" t="s">
        <v>62</v>
      </c>
      <c r="AF479" t="s">
        <v>62</v>
      </c>
      <c r="AG479">
        <v>2</v>
      </c>
      <c r="AH479">
        <v>4</v>
      </c>
      <c r="AI479">
        <v>14</v>
      </c>
      <c r="AJ479">
        <v>0.22222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</v>
      </c>
      <c r="AQ479">
        <v>0</v>
      </c>
      <c r="AR479">
        <v>2</v>
      </c>
      <c r="AS479">
        <v>11</v>
      </c>
      <c r="AT479">
        <v>0.15384999999999999</v>
      </c>
      <c r="AU479">
        <v>8</v>
      </c>
      <c r="AV479">
        <v>5</v>
      </c>
      <c r="AW479">
        <v>7</v>
      </c>
      <c r="AX479">
        <v>14</v>
      </c>
      <c r="AY479">
        <v>15</v>
      </c>
      <c r="AZ479">
        <v>5</v>
      </c>
      <c r="BA479" t="s">
        <v>16176</v>
      </c>
      <c r="BB479" t="s">
        <v>16177</v>
      </c>
      <c r="BC479">
        <v>0.82199999999999995</v>
      </c>
      <c r="BD479" t="s">
        <v>65</v>
      </c>
      <c r="BE479">
        <v>22</v>
      </c>
      <c r="BF479">
        <v>19</v>
      </c>
      <c r="BG479" t="s">
        <v>16178</v>
      </c>
      <c r="BH479" t="s">
        <v>16179</v>
      </c>
      <c r="BI479" t="s">
        <v>16180</v>
      </c>
      <c r="BJ479">
        <v>0.16298000000000001</v>
      </c>
      <c r="BK479">
        <v>1</v>
      </c>
      <c r="BL479" t="s">
        <v>69</v>
      </c>
      <c r="BM479">
        <v>-1.409</v>
      </c>
      <c r="BN479">
        <v>-0.90400000000000003</v>
      </c>
    </row>
    <row r="480" spans="2:66">
      <c r="B480">
        <v>768</v>
      </c>
      <c r="C480">
        <v>198</v>
      </c>
      <c r="D480">
        <v>0</v>
      </c>
      <c r="E480">
        <v>2</v>
      </c>
      <c r="F480">
        <v>0</v>
      </c>
      <c r="J480">
        <v>0</v>
      </c>
      <c r="K480">
        <v>31</v>
      </c>
      <c r="L480">
        <v>0</v>
      </c>
      <c r="M480" t="s">
        <v>25022</v>
      </c>
      <c r="N480">
        <v>2820</v>
      </c>
      <c r="O480" t="s">
        <v>16181</v>
      </c>
      <c r="P480" t="s">
        <v>62</v>
      </c>
      <c r="Q480">
        <v>2763028</v>
      </c>
      <c r="R480">
        <v>2765832</v>
      </c>
      <c r="S480" t="s">
        <v>16182</v>
      </c>
      <c r="T480">
        <v>935</v>
      </c>
      <c r="U480" t="s">
        <v>108</v>
      </c>
      <c r="V480">
        <v>44</v>
      </c>
      <c r="W480" t="str">
        <f>HYPERLINK("Gene2820-zp_tree_all.dnd", "Gene2820-tree")</f>
        <v>Gene2820-tree</v>
      </c>
      <c r="X480">
        <v>1</v>
      </c>
      <c r="Y480">
        <v>15</v>
      </c>
      <c r="Z480">
        <v>1</v>
      </c>
      <c r="AA480">
        <v>15</v>
      </c>
      <c r="AB480">
        <v>0.9375</v>
      </c>
      <c r="AC480" t="s">
        <v>175</v>
      </c>
      <c r="AD480" t="s">
        <v>100</v>
      </c>
      <c r="AE480" t="s">
        <v>62</v>
      </c>
      <c r="AF480" t="s">
        <v>62</v>
      </c>
      <c r="AG480">
        <v>10</v>
      </c>
      <c r="AH480">
        <v>31</v>
      </c>
      <c r="AI480">
        <v>21</v>
      </c>
      <c r="AJ480">
        <v>0.59614999999999996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20</v>
      </c>
      <c r="AQ480">
        <v>0</v>
      </c>
      <c r="AR480">
        <v>20</v>
      </c>
      <c r="AS480">
        <v>22</v>
      </c>
      <c r="AT480">
        <v>0.47619</v>
      </c>
      <c r="AU480">
        <v>14</v>
      </c>
      <c r="AV480">
        <v>13</v>
      </c>
      <c r="AW480">
        <v>107</v>
      </c>
      <c r="AX480">
        <v>38</v>
      </c>
      <c r="AY480">
        <v>62</v>
      </c>
      <c r="AZ480">
        <v>14</v>
      </c>
      <c r="BA480" t="s">
        <v>16183</v>
      </c>
      <c r="BB480" t="s">
        <v>16184</v>
      </c>
      <c r="BC480">
        <v>1.2949999999999999</v>
      </c>
      <c r="BD480" t="s">
        <v>65</v>
      </c>
      <c r="BE480">
        <v>169</v>
      </c>
      <c r="BF480">
        <v>52</v>
      </c>
      <c r="BG480" t="s">
        <v>16185</v>
      </c>
      <c r="BH480" t="s">
        <v>16186</v>
      </c>
      <c r="BI480" t="s">
        <v>16187</v>
      </c>
      <c r="BJ480">
        <v>7.1190000000000003E-2</v>
      </c>
      <c r="BK480">
        <v>1</v>
      </c>
      <c r="BL480" t="s">
        <v>69</v>
      </c>
      <c r="BM480">
        <v>-0.49</v>
      </c>
      <c r="BN480">
        <v>-0.69199999999999995</v>
      </c>
    </row>
    <row r="481" spans="2:66">
      <c r="B481">
        <v>769</v>
      </c>
      <c r="C481">
        <v>228</v>
      </c>
      <c r="D481">
        <v>0</v>
      </c>
      <c r="E481">
        <v>2</v>
      </c>
      <c r="F481">
        <v>2</v>
      </c>
      <c r="J481">
        <v>0</v>
      </c>
      <c r="K481">
        <v>4</v>
      </c>
      <c r="L481">
        <v>0</v>
      </c>
      <c r="M481" t="s">
        <v>25022</v>
      </c>
      <c r="N481">
        <v>2822</v>
      </c>
      <c r="O481" t="s">
        <v>16194</v>
      </c>
      <c r="P481" t="s">
        <v>62</v>
      </c>
      <c r="Q481">
        <v>2768045</v>
      </c>
      <c r="R481">
        <v>2768674</v>
      </c>
      <c r="S481" t="s">
        <v>4307</v>
      </c>
      <c r="T481">
        <v>210</v>
      </c>
      <c r="U481" t="s">
        <v>108</v>
      </c>
      <c r="V481">
        <v>44</v>
      </c>
      <c r="W481" t="str">
        <f>HYPERLINK("Gene2822-zp_tree_all.dnd", "Gene2822-tree")</f>
        <v>Gene2822-tree</v>
      </c>
      <c r="X481">
        <v>10</v>
      </c>
      <c r="Y481">
        <v>3</v>
      </c>
      <c r="Z481">
        <v>10</v>
      </c>
      <c r="AA481">
        <v>3</v>
      </c>
      <c r="AB481">
        <v>0.23077</v>
      </c>
      <c r="AC481" t="s">
        <v>117</v>
      </c>
      <c r="AD481" t="s">
        <v>324</v>
      </c>
      <c r="AE481" t="s">
        <v>62</v>
      </c>
      <c r="AF481" t="s">
        <v>62</v>
      </c>
      <c r="AG481">
        <v>1</v>
      </c>
      <c r="AH481">
        <v>4</v>
      </c>
      <c r="AI481">
        <v>1</v>
      </c>
      <c r="AJ481">
        <v>0.8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2</v>
      </c>
      <c r="AQ481">
        <v>0</v>
      </c>
      <c r="AR481">
        <v>2</v>
      </c>
      <c r="AS481">
        <v>1</v>
      </c>
      <c r="AT481">
        <v>0.66666999999999998</v>
      </c>
      <c r="AU481">
        <v>10</v>
      </c>
      <c r="AV481">
        <v>8</v>
      </c>
      <c r="AW481">
        <v>23</v>
      </c>
      <c r="AX481">
        <v>3</v>
      </c>
      <c r="AY481">
        <v>12</v>
      </c>
      <c r="AZ481">
        <v>2</v>
      </c>
      <c r="BA481" t="s">
        <v>16195</v>
      </c>
      <c r="BB481" t="s">
        <v>16196</v>
      </c>
      <c r="BC481">
        <v>0.14199999999999999</v>
      </c>
      <c r="BD481" t="s">
        <v>65</v>
      </c>
      <c r="BE481">
        <v>35</v>
      </c>
      <c r="BF481">
        <v>5</v>
      </c>
      <c r="BG481" t="s">
        <v>16197</v>
      </c>
      <c r="BH481" t="s">
        <v>16198</v>
      </c>
      <c r="BI481" t="s">
        <v>6043</v>
      </c>
      <c r="BJ481">
        <v>2.7570000000000001E-2</v>
      </c>
      <c r="BK481">
        <v>1</v>
      </c>
      <c r="BL481" t="s">
        <v>69</v>
      </c>
      <c r="BM481">
        <v>-0.67800000000000005</v>
      </c>
      <c r="BN481">
        <v>-0.83699999999999997</v>
      </c>
    </row>
    <row r="482" spans="2:66">
      <c r="B482">
        <v>770</v>
      </c>
      <c r="C482">
        <v>85</v>
      </c>
      <c r="D482">
        <v>0</v>
      </c>
      <c r="E482">
        <v>6</v>
      </c>
      <c r="F482">
        <v>0</v>
      </c>
      <c r="J482">
        <v>0</v>
      </c>
      <c r="K482">
        <v>59</v>
      </c>
      <c r="L482">
        <v>4</v>
      </c>
      <c r="M482" t="s">
        <v>25022</v>
      </c>
      <c r="N482">
        <v>2828</v>
      </c>
      <c r="O482" t="s">
        <v>16236</v>
      </c>
      <c r="P482" t="s">
        <v>62</v>
      </c>
      <c r="Q482">
        <v>2773893</v>
      </c>
      <c r="R482">
        <v>2777054</v>
      </c>
      <c r="S482" t="s">
        <v>16237</v>
      </c>
      <c r="T482">
        <v>1054</v>
      </c>
      <c r="U482" t="s">
        <v>108</v>
      </c>
      <c r="V482">
        <v>44</v>
      </c>
      <c r="W482" t="str">
        <f>HYPERLINK("Gene2828-zp_tree_all.dnd", "Gene2828-tree")</f>
        <v>Gene2828-tree</v>
      </c>
      <c r="X482">
        <v>1</v>
      </c>
      <c r="Y482">
        <v>16</v>
      </c>
      <c r="Z482">
        <v>1</v>
      </c>
      <c r="AA482">
        <v>16</v>
      </c>
      <c r="AB482">
        <v>0.94118000000000002</v>
      </c>
      <c r="AC482" t="s">
        <v>175</v>
      </c>
      <c r="AD482" t="s">
        <v>60</v>
      </c>
      <c r="AE482" t="s">
        <v>62</v>
      </c>
      <c r="AF482" t="s">
        <v>62</v>
      </c>
      <c r="AG482">
        <v>25</v>
      </c>
      <c r="AH482">
        <v>63</v>
      </c>
      <c r="AI482">
        <v>39</v>
      </c>
      <c r="AJ482">
        <v>0.61765000000000003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19</v>
      </c>
      <c r="AQ482">
        <v>8</v>
      </c>
      <c r="AR482">
        <v>27</v>
      </c>
      <c r="AS482">
        <v>31</v>
      </c>
      <c r="AT482">
        <v>0.46551999999999999</v>
      </c>
      <c r="AU482">
        <v>14</v>
      </c>
      <c r="AV482">
        <v>14</v>
      </c>
      <c r="AW482">
        <v>107</v>
      </c>
      <c r="AX482">
        <v>52</v>
      </c>
      <c r="AY482">
        <v>87</v>
      </c>
      <c r="AZ482">
        <v>52</v>
      </c>
      <c r="BA482" t="s">
        <v>16238</v>
      </c>
      <c r="BB482" t="s">
        <v>16239</v>
      </c>
      <c r="BC482">
        <v>0.46800000000000003</v>
      </c>
      <c r="BD482" t="s">
        <v>65</v>
      </c>
      <c r="BE482">
        <v>194</v>
      </c>
      <c r="BF482">
        <v>104</v>
      </c>
      <c r="BG482" t="s">
        <v>16240</v>
      </c>
      <c r="BH482" t="s">
        <v>16241</v>
      </c>
      <c r="BI482" t="s">
        <v>16242</v>
      </c>
      <c r="BJ482">
        <v>0.14376</v>
      </c>
      <c r="BK482">
        <v>1</v>
      </c>
      <c r="BL482" t="s">
        <v>69</v>
      </c>
      <c r="BM482">
        <v>0.08</v>
      </c>
      <c r="BN482">
        <v>-0.222</v>
      </c>
    </row>
    <row r="483" spans="2:66">
      <c r="B483">
        <v>771</v>
      </c>
      <c r="C483">
        <v>153</v>
      </c>
      <c r="D483">
        <v>0</v>
      </c>
      <c r="E483">
        <v>8</v>
      </c>
      <c r="F483">
        <v>0</v>
      </c>
      <c r="J483">
        <v>0</v>
      </c>
      <c r="K483">
        <v>0</v>
      </c>
      <c r="L483">
        <v>0</v>
      </c>
      <c r="M483" t="s">
        <v>25022</v>
      </c>
      <c r="N483">
        <v>2829</v>
      </c>
      <c r="O483" t="s">
        <v>16243</v>
      </c>
      <c r="P483" t="s">
        <v>62</v>
      </c>
      <c r="Q483">
        <v>2777073</v>
      </c>
      <c r="R483">
        <v>2777654</v>
      </c>
      <c r="S483" t="s">
        <v>16244</v>
      </c>
      <c r="T483">
        <v>194</v>
      </c>
      <c r="U483" t="s">
        <v>108</v>
      </c>
      <c r="V483">
        <v>44</v>
      </c>
      <c r="W483" t="str">
        <f>HYPERLINK("Gene2829-zp_tree_all.dnd", "Gene2829-tree")</f>
        <v>Gene2829-tree</v>
      </c>
      <c r="X483">
        <v>8</v>
      </c>
      <c r="Y483">
        <v>3</v>
      </c>
      <c r="Z483">
        <v>8</v>
      </c>
      <c r="AA483">
        <v>3</v>
      </c>
      <c r="AB483">
        <v>0.27272999999999997</v>
      </c>
      <c r="AC483" t="s">
        <v>136</v>
      </c>
      <c r="AD483" t="s">
        <v>324</v>
      </c>
      <c r="AE483" t="s">
        <v>62</v>
      </c>
      <c r="AF483" t="s">
        <v>62</v>
      </c>
      <c r="AG483">
        <v>0</v>
      </c>
      <c r="AH483">
        <v>0</v>
      </c>
      <c r="AI483">
        <v>4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0</v>
      </c>
      <c r="AU483">
        <v>7</v>
      </c>
      <c r="AV483">
        <v>6</v>
      </c>
      <c r="AW483">
        <v>6</v>
      </c>
      <c r="AX483">
        <v>3</v>
      </c>
      <c r="AY483">
        <v>8</v>
      </c>
      <c r="AZ483">
        <v>1</v>
      </c>
      <c r="BA483" t="s">
        <v>16245</v>
      </c>
      <c r="BB483" t="s">
        <v>16246</v>
      </c>
      <c r="BC483">
        <v>0.97399999999999998</v>
      </c>
      <c r="BD483" t="s">
        <v>65</v>
      </c>
      <c r="BE483">
        <v>14</v>
      </c>
      <c r="BF483">
        <v>4</v>
      </c>
      <c r="BG483" t="s">
        <v>16247</v>
      </c>
      <c r="BH483" t="s">
        <v>16248</v>
      </c>
      <c r="BI483" t="s">
        <v>7469</v>
      </c>
      <c r="BJ483">
        <v>6.6710000000000005E-2</v>
      </c>
      <c r="BK483">
        <v>1</v>
      </c>
      <c r="BL483" t="s">
        <v>69</v>
      </c>
      <c r="BM483">
        <v>0.62</v>
      </c>
      <c r="BN483">
        <v>0.43</v>
      </c>
    </row>
    <row r="484" spans="2:66">
      <c r="B484">
        <v>772</v>
      </c>
      <c r="C484">
        <v>201</v>
      </c>
      <c r="D484">
        <v>0</v>
      </c>
      <c r="E484">
        <v>5</v>
      </c>
      <c r="F484">
        <v>0</v>
      </c>
      <c r="J484">
        <v>0</v>
      </c>
      <c r="K484">
        <v>2</v>
      </c>
      <c r="L484">
        <v>2</v>
      </c>
      <c r="M484" t="s">
        <v>25022</v>
      </c>
      <c r="N484">
        <v>2830</v>
      </c>
      <c r="O484" t="s">
        <v>16249</v>
      </c>
      <c r="P484" t="s">
        <v>62</v>
      </c>
      <c r="Q484">
        <v>2777880</v>
      </c>
      <c r="R484">
        <v>2778419</v>
      </c>
      <c r="S484" t="s">
        <v>1075</v>
      </c>
      <c r="T484">
        <v>180</v>
      </c>
      <c r="U484" t="s">
        <v>108</v>
      </c>
      <c r="V484">
        <v>44</v>
      </c>
      <c r="W484" t="str">
        <f>HYPERLINK("Gene2830-zp_tree_all.dnd", "Gene2830-tree")</f>
        <v>Gene2830-tree</v>
      </c>
      <c r="X484">
        <v>3</v>
      </c>
      <c r="Y484">
        <v>8</v>
      </c>
      <c r="Z484">
        <v>3</v>
      </c>
      <c r="AA484">
        <v>8</v>
      </c>
      <c r="AB484">
        <v>0.72726999999999997</v>
      </c>
      <c r="AC484" t="s">
        <v>324</v>
      </c>
      <c r="AD484" t="s">
        <v>136</v>
      </c>
      <c r="AE484" t="s">
        <v>62</v>
      </c>
      <c r="AF484" t="s">
        <v>62</v>
      </c>
      <c r="AG484">
        <v>2</v>
      </c>
      <c r="AH484">
        <v>4</v>
      </c>
      <c r="AI484">
        <v>13</v>
      </c>
      <c r="AJ484">
        <v>0.23529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2</v>
      </c>
      <c r="AR484">
        <v>2</v>
      </c>
      <c r="AS484">
        <v>12</v>
      </c>
      <c r="AT484">
        <v>0.14285999999999999</v>
      </c>
      <c r="AU484">
        <v>9</v>
      </c>
      <c r="AV484">
        <v>6</v>
      </c>
      <c r="AW484">
        <v>10</v>
      </c>
      <c r="AX484">
        <v>14</v>
      </c>
      <c r="AY484">
        <v>8</v>
      </c>
      <c r="AZ484">
        <v>3</v>
      </c>
      <c r="BA484" t="s">
        <v>16250</v>
      </c>
      <c r="BB484" t="s">
        <v>16251</v>
      </c>
      <c r="BC484">
        <v>1.6</v>
      </c>
      <c r="BD484" t="s">
        <v>65</v>
      </c>
      <c r="BE484">
        <v>18</v>
      </c>
      <c r="BF484">
        <v>17</v>
      </c>
      <c r="BG484" t="s">
        <v>16252</v>
      </c>
      <c r="BH484" t="s">
        <v>16253</v>
      </c>
      <c r="BI484" t="s">
        <v>16254</v>
      </c>
      <c r="BJ484">
        <v>0.18440000000000001</v>
      </c>
      <c r="BK484">
        <v>0.99</v>
      </c>
      <c r="BL484" t="s">
        <v>69</v>
      </c>
      <c r="BM484">
        <v>-0.96899999999999997</v>
      </c>
      <c r="BN484">
        <v>-1.2370000000000001</v>
      </c>
    </row>
    <row r="485" spans="2:66">
      <c r="B485">
        <v>774</v>
      </c>
      <c r="C485">
        <v>329</v>
      </c>
      <c r="D485">
        <v>0</v>
      </c>
      <c r="E485">
        <v>16</v>
      </c>
      <c r="F485">
        <v>1</v>
      </c>
      <c r="J485">
        <v>0</v>
      </c>
      <c r="K485">
        <v>0</v>
      </c>
      <c r="L485">
        <v>0</v>
      </c>
      <c r="M485" t="s">
        <v>25022</v>
      </c>
      <c r="N485">
        <v>2831</v>
      </c>
      <c r="O485" t="s">
        <v>16255</v>
      </c>
      <c r="P485" t="s">
        <v>62</v>
      </c>
      <c r="Q485">
        <v>2778611</v>
      </c>
      <c r="R485">
        <v>2778766</v>
      </c>
      <c r="S485" t="s">
        <v>16256</v>
      </c>
      <c r="T485">
        <v>52</v>
      </c>
      <c r="U485" t="s">
        <v>59</v>
      </c>
      <c r="V485">
        <v>49</v>
      </c>
      <c r="W485" t="str">
        <f>HYPERLINK("Gene2831-zp_tree_all.dnd", "Gene2831-tree")</f>
        <v>Gene2831-tree</v>
      </c>
      <c r="X485">
        <v>7</v>
      </c>
      <c r="Y485">
        <v>1</v>
      </c>
      <c r="Z485">
        <v>7</v>
      </c>
      <c r="AA485">
        <v>1</v>
      </c>
      <c r="AB485">
        <v>0.125</v>
      </c>
      <c r="AC485" t="s">
        <v>152</v>
      </c>
      <c r="AD485" t="s">
        <v>175</v>
      </c>
      <c r="AE485" t="s">
        <v>62</v>
      </c>
      <c r="AF485" t="s">
        <v>62</v>
      </c>
      <c r="AG485">
        <v>0</v>
      </c>
      <c r="AH485">
        <v>0</v>
      </c>
      <c r="AI485">
        <v>4</v>
      </c>
      <c r="AJ485">
        <v>0</v>
      </c>
      <c r="AK485">
        <v>0</v>
      </c>
      <c r="AL485">
        <v>0</v>
      </c>
      <c r="AM485">
        <v>0</v>
      </c>
      <c r="AN485">
        <v>2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5</v>
      </c>
      <c r="AV485">
        <v>3</v>
      </c>
      <c r="AW485">
        <v>4</v>
      </c>
      <c r="AX485">
        <v>1</v>
      </c>
      <c r="AY485">
        <v>3</v>
      </c>
      <c r="AZ485">
        <v>3</v>
      </c>
      <c r="BA485" t="s">
        <v>16257</v>
      </c>
      <c r="BB485" t="s">
        <v>16258</v>
      </c>
      <c r="BC485">
        <v>0.81799999999999995</v>
      </c>
      <c r="BD485" t="s">
        <v>65</v>
      </c>
      <c r="BE485">
        <v>7</v>
      </c>
      <c r="BF485">
        <v>4</v>
      </c>
      <c r="BG485" t="s">
        <v>16259</v>
      </c>
      <c r="BH485" t="s">
        <v>16260</v>
      </c>
      <c r="BI485" t="s">
        <v>16261</v>
      </c>
      <c r="BJ485">
        <v>0.21143000000000001</v>
      </c>
      <c r="BK485">
        <v>1</v>
      </c>
      <c r="BL485" t="s">
        <v>69</v>
      </c>
      <c r="BM485">
        <v>-0.62</v>
      </c>
      <c r="BN485">
        <v>0.69599999999999995</v>
      </c>
    </row>
    <row r="486" spans="2:66">
      <c r="B486">
        <v>775</v>
      </c>
      <c r="C486">
        <v>69</v>
      </c>
      <c r="D486">
        <v>0</v>
      </c>
      <c r="E486">
        <v>8</v>
      </c>
      <c r="F486">
        <v>0</v>
      </c>
      <c r="J486">
        <v>0</v>
      </c>
      <c r="K486">
        <v>2</v>
      </c>
      <c r="L486">
        <v>0</v>
      </c>
      <c r="M486" t="s">
        <v>25022</v>
      </c>
      <c r="N486">
        <v>2832</v>
      </c>
      <c r="O486" t="s">
        <v>16262</v>
      </c>
      <c r="P486" t="s">
        <v>62</v>
      </c>
      <c r="Q486">
        <v>2779465</v>
      </c>
      <c r="R486">
        <v>2780262</v>
      </c>
      <c r="S486" t="s">
        <v>16263</v>
      </c>
      <c r="T486">
        <v>266</v>
      </c>
      <c r="U486" t="s">
        <v>108</v>
      </c>
      <c r="V486">
        <v>44</v>
      </c>
      <c r="W486" t="str">
        <f>HYPERLINK("Gene2832-zp_tree_all.dnd", "Gene2832-tree")</f>
        <v>Gene2832-tree</v>
      </c>
      <c r="X486">
        <v>6</v>
      </c>
      <c r="Y486">
        <v>6</v>
      </c>
      <c r="Z486">
        <v>6</v>
      </c>
      <c r="AA486">
        <v>6</v>
      </c>
      <c r="AB486">
        <v>0.5</v>
      </c>
      <c r="AC486" t="s">
        <v>90</v>
      </c>
      <c r="AD486" t="s">
        <v>90</v>
      </c>
      <c r="AE486" t="s">
        <v>62</v>
      </c>
      <c r="AF486" t="s">
        <v>62</v>
      </c>
      <c r="AG486">
        <v>1</v>
      </c>
      <c r="AH486">
        <v>2</v>
      </c>
      <c r="AI486">
        <v>8</v>
      </c>
      <c r="AJ486">
        <v>0.2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2</v>
      </c>
      <c r="AQ486">
        <v>0</v>
      </c>
      <c r="AR486">
        <v>2</v>
      </c>
      <c r="AS486">
        <v>8</v>
      </c>
      <c r="AT486">
        <v>0.2</v>
      </c>
      <c r="AU486">
        <v>10</v>
      </c>
      <c r="AV486">
        <v>6</v>
      </c>
      <c r="AW486">
        <v>25</v>
      </c>
      <c r="AX486">
        <v>11</v>
      </c>
      <c r="AY486">
        <v>9</v>
      </c>
      <c r="AZ486">
        <v>0</v>
      </c>
      <c r="BA486" t="s">
        <v>16264</v>
      </c>
      <c r="BB486" t="s">
        <v>193</v>
      </c>
      <c r="BC486">
        <v>2.0219999999999998</v>
      </c>
      <c r="BD486" t="s">
        <v>267</v>
      </c>
      <c r="BE486">
        <v>34</v>
      </c>
      <c r="BF486">
        <v>11</v>
      </c>
      <c r="BG486" t="s">
        <v>16265</v>
      </c>
      <c r="BH486" t="s">
        <v>16266</v>
      </c>
      <c r="BI486" t="s">
        <v>16267</v>
      </c>
      <c r="BJ486">
        <v>8.9840000000000003E-2</v>
      </c>
      <c r="BK486">
        <v>1</v>
      </c>
      <c r="BL486" t="s">
        <v>69</v>
      </c>
      <c r="BM486">
        <v>-1.399</v>
      </c>
      <c r="BN486">
        <v>-2.87</v>
      </c>
    </row>
    <row r="487" spans="2:66">
      <c r="B487">
        <v>776</v>
      </c>
      <c r="C487">
        <v>130</v>
      </c>
      <c r="D487">
        <v>0</v>
      </c>
      <c r="E487">
        <v>0</v>
      </c>
      <c r="F487">
        <v>2</v>
      </c>
      <c r="J487">
        <v>0</v>
      </c>
      <c r="K487">
        <v>2</v>
      </c>
      <c r="L487">
        <v>0</v>
      </c>
      <c r="M487" t="s">
        <v>25022</v>
      </c>
      <c r="N487">
        <v>2833</v>
      </c>
      <c r="O487" t="s">
        <v>16268</v>
      </c>
      <c r="P487" t="s">
        <v>62</v>
      </c>
      <c r="Q487">
        <v>2780528</v>
      </c>
      <c r="R487">
        <v>2780893</v>
      </c>
      <c r="S487" t="s">
        <v>116</v>
      </c>
      <c r="T487">
        <v>122</v>
      </c>
      <c r="U487" t="s">
        <v>108</v>
      </c>
      <c r="V487">
        <v>44</v>
      </c>
      <c r="W487" t="str">
        <f>HYPERLINK("Gene2833-zp_tree_all.dnd", "Gene2833-tree")</f>
        <v>Gene2833-tree</v>
      </c>
      <c r="X487">
        <v>11</v>
      </c>
      <c r="Y487">
        <v>1</v>
      </c>
      <c r="Z487">
        <v>11</v>
      </c>
      <c r="AA487">
        <v>1</v>
      </c>
      <c r="AB487">
        <v>8.3330000000000001E-2</v>
      </c>
      <c r="AC487" t="s">
        <v>73</v>
      </c>
      <c r="AD487" t="s">
        <v>175</v>
      </c>
      <c r="AE487" t="s">
        <v>62</v>
      </c>
      <c r="AF487" t="s">
        <v>62</v>
      </c>
      <c r="AG487">
        <v>1</v>
      </c>
      <c r="AH487">
        <v>2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8</v>
      </c>
      <c r="AV487">
        <v>4</v>
      </c>
      <c r="AW487">
        <v>13</v>
      </c>
      <c r="AX487">
        <v>1</v>
      </c>
      <c r="AY487">
        <v>8</v>
      </c>
      <c r="AZ487">
        <v>1</v>
      </c>
      <c r="BA487" t="s">
        <v>16269</v>
      </c>
      <c r="BB487" t="s">
        <v>16270</v>
      </c>
      <c r="BC487">
        <v>0.14899999999999999</v>
      </c>
      <c r="BD487" t="s">
        <v>65</v>
      </c>
      <c r="BE487">
        <v>21</v>
      </c>
      <c r="BF487">
        <v>2</v>
      </c>
      <c r="BG487" t="s">
        <v>16271</v>
      </c>
      <c r="BH487" t="s">
        <v>16272</v>
      </c>
      <c r="BI487" t="s">
        <v>16273</v>
      </c>
      <c r="BJ487">
        <v>2.6599999999999999E-2</v>
      </c>
      <c r="BK487">
        <v>1</v>
      </c>
      <c r="BL487" t="s">
        <v>69</v>
      </c>
      <c r="BM487">
        <v>0.66500000000000004</v>
      </c>
      <c r="BN487">
        <v>0.32300000000000001</v>
      </c>
    </row>
    <row r="488" spans="2:66">
      <c r="B488">
        <v>777</v>
      </c>
      <c r="C488">
        <v>5</v>
      </c>
      <c r="D488">
        <v>0</v>
      </c>
      <c r="E488">
        <v>7</v>
      </c>
      <c r="F488">
        <v>2</v>
      </c>
      <c r="J488">
        <v>0</v>
      </c>
      <c r="K488">
        <v>0</v>
      </c>
      <c r="L488">
        <v>2</v>
      </c>
      <c r="M488" t="s">
        <v>25022</v>
      </c>
      <c r="N488">
        <v>2836</v>
      </c>
      <c r="O488" t="s">
        <v>16286</v>
      </c>
      <c r="P488" t="s">
        <v>62</v>
      </c>
      <c r="Q488">
        <v>2784691</v>
      </c>
      <c r="R488">
        <v>2784918</v>
      </c>
      <c r="S488" t="s">
        <v>116</v>
      </c>
      <c r="T488">
        <v>76</v>
      </c>
      <c r="U488" t="s">
        <v>289</v>
      </c>
      <c r="V488">
        <v>46</v>
      </c>
      <c r="W488" t="str">
        <f>HYPERLINK("Gene2836-zp_tree_all.dnd", "Gene2836-tree")</f>
        <v>Gene2836-tree</v>
      </c>
      <c r="X488">
        <v>12</v>
      </c>
      <c r="Y488">
        <v>3</v>
      </c>
      <c r="Z488">
        <v>12</v>
      </c>
      <c r="AA488">
        <v>3</v>
      </c>
      <c r="AB488">
        <v>0.2</v>
      </c>
      <c r="AC488" t="s">
        <v>109</v>
      </c>
      <c r="AD488" t="s">
        <v>324</v>
      </c>
      <c r="AE488" t="s">
        <v>62</v>
      </c>
      <c r="AF488" t="s">
        <v>62</v>
      </c>
      <c r="AG488">
        <v>1</v>
      </c>
      <c r="AH488">
        <v>2</v>
      </c>
      <c r="AI488">
        <v>2</v>
      </c>
      <c r="AJ488">
        <v>0.5</v>
      </c>
      <c r="AK488">
        <v>0</v>
      </c>
      <c r="AL488">
        <v>0</v>
      </c>
      <c r="AM488">
        <v>0</v>
      </c>
      <c r="AN488">
        <v>2</v>
      </c>
      <c r="AO488">
        <v>0</v>
      </c>
      <c r="AP488">
        <v>0</v>
      </c>
      <c r="AQ488">
        <v>0</v>
      </c>
      <c r="AR488">
        <v>0</v>
      </c>
      <c r="AS488">
        <v>3</v>
      </c>
      <c r="AT488">
        <v>0</v>
      </c>
      <c r="AU488">
        <v>10</v>
      </c>
      <c r="AV488">
        <v>5</v>
      </c>
      <c r="AW488">
        <v>9</v>
      </c>
      <c r="AX488">
        <v>3</v>
      </c>
      <c r="AY488">
        <v>10</v>
      </c>
      <c r="AZ488">
        <v>2</v>
      </c>
      <c r="BA488" t="s">
        <v>16287</v>
      </c>
      <c r="BB488" t="s">
        <v>16288</v>
      </c>
      <c r="BC488">
        <v>0.41799999999999998</v>
      </c>
      <c r="BD488" t="s">
        <v>65</v>
      </c>
      <c r="BE488">
        <v>19</v>
      </c>
      <c r="BF488">
        <v>5</v>
      </c>
      <c r="BG488" t="s">
        <v>16289</v>
      </c>
      <c r="BH488" t="s">
        <v>16290</v>
      </c>
      <c r="BI488" t="s">
        <v>16291</v>
      </c>
      <c r="BJ488">
        <v>5.7169999999999999E-2</v>
      </c>
      <c r="BK488">
        <v>1</v>
      </c>
      <c r="BL488" t="s">
        <v>69</v>
      </c>
      <c r="BM488">
        <v>-1.3660000000000001</v>
      </c>
      <c r="BN488">
        <v>-0.04</v>
      </c>
    </row>
    <row r="489" spans="2:66">
      <c r="B489">
        <v>778</v>
      </c>
      <c r="C489">
        <v>38</v>
      </c>
      <c r="D489">
        <v>0</v>
      </c>
      <c r="E489">
        <v>2</v>
      </c>
      <c r="F489">
        <v>1</v>
      </c>
      <c r="J489">
        <v>0</v>
      </c>
      <c r="K489">
        <v>2</v>
      </c>
      <c r="L489">
        <v>0</v>
      </c>
      <c r="M489" t="s">
        <v>25022</v>
      </c>
      <c r="N489">
        <v>2837</v>
      </c>
      <c r="O489" t="s">
        <v>16292</v>
      </c>
      <c r="P489" t="s">
        <v>62</v>
      </c>
      <c r="Q489">
        <v>2785004</v>
      </c>
      <c r="R489">
        <v>2786140</v>
      </c>
      <c r="S489" t="s">
        <v>16293</v>
      </c>
      <c r="T489">
        <v>379</v>
      </c>
      <c r="U489" t="s">
        <v>108</v>
      </c>
      <c r="V489">
        <v>44</v>
      </c>
      <c r="W489" t="str">
        <f>HYPERLINK("Gene2837-zp_tree_all.dnd", "Gene2837-tree")</f>
        <v>Gene2837-tree</v>
      </c>
      <c r="X489">
        <v>5</v>
      </c>
      <c r="Y489">
        <v>9</v>
      </c>
      <c r="Z489">
        <v>5</v>
      </c>
      <c r="AA489">
        <v>9</v>
      </c>
      <c r="AB489">
        <v>0.64285999999999999</v>
      </c>
      <c r="AC489" t="s">
        <v>199</v>
      </c>
      <c r="AD489" t="s">
        <v>135</v>
      </c>
      <c r="AE489" t="s">
        <v>62</v>
      </c>
      <c r="AF489" t="s">
        <v>62</v>
      </c>
      <c r="AG489">
        <v>1</v>
      </c>
      <c r="AH489">
        <v>2</v>
      </c>
      <c r="AI489">
        <v>16</v>
      </c>
      <c r="AJ489">
        <v>0.11111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13</v>
      </c>
      <c r="AT489">
        <v>0</v>
      </c>
      <c r="AU489">
        <v>13</v>
      </c>
      <c r="AV489">
        <v>11</v>
      </c>
      <c r="AW489">
        <v>48</v>
      </c>
      <c r="AX489">
        <v>13</v>
      </c>
      <c r="AY489">
        <v>30</v>
      </c>
      <c r="AZ489">
        <v>5</v>
      </c>
      <c r="BA489" t="s">
        <v>16294</v>
      </c>
      <c r="BB489" t="s">
        <v>16295</v>
      </c>
      <c r="BC489">
        <v>0.45300000000000001</v>
      </c>
      <c r="BD489" t="s">
        <v>65</v>
      </c>
      <c r="BE489">
        <v>78</v>
      </c>
      <c r="BF489">
        <v>18</v>
      </c>
      <c r="BG489" t="s">
        <v>16296</v>
      </c>
      <c r="BH489" t="s">
        <v>16297</v>
      </c>
      <c r="BI489" t="s">
        <v>13614</v>
      </c>
      <c r="BJ489">
        <v>6.7449999999999996E-2</v>
      </c>
      <c r="BK489">
        <v>1</v>
      </c>
      <c r="BL489" t="s">
        <v>69</v>
      </c>
      <c r="BM489">
        <v>-0.94099999999999995</v>
      </c>
      <c r="BN489">
        <v>-1.72</v>
      </c>
    </row>
    <row r="490" spans="2:66">
      <c r="B490">
        <v>779</v>
      </c>
      <c r="C490">
        <v>473</v>
      </c>
      <c r="D490">
        <v>0</v>
      </c>
      <c r="E490">
        <v>2</v>
      </c>
      <c r="F490">
        <v>0</v>
      </c>
      <c r="J490">
        <v>0</v>
      </c>
      <c r="K490">
        <v>7</v>
      </c>
      <c r="L490">
        <v>0</v>
      </c>
      <c r="M490" t="s">
        <v>25022</v>
      </c>
      <c r="N490">
        <v>2838</v>
      </c>
      <c r="O490" t="s">
        <v>16298</v>
      </c>
      <c r="P490" t="s">
        <v>62</v>
      </c>
      <c r="Q490">
        <v>2786145</v>
      </c>
      <c r="R490">
        <v>2787065</v>
      </c>
      <c r="S490" t="s">
        <v>16299</v>
      </c>
      <c r="T490">
        <v>307</v>
      </c>
      <c r="U490" t="s">
        <v>108</v>
      </c>
      <c r="V490">
        <v>44</v>
      </c>
      <c r="W490" t="str">
        <f>HYPERLINK("Gene2838-zp_tree_all.dnd", "Gene2838-tree")</f>
        <v>Gene2838-tree</v>
      </c>
      <c r="X490">
        <v>7</v>
      </c>
      <c r="Y490">
        <v>8</v>
      </c>
      <c r="Z490">
        <v>7</v>
      </c>
      <c r="AA490">
        <v>8</v>
      </c>
      <c r="AB490">
        <v>0.53332999999999997</v>
      </c>
      <c r="AC490" t="s">
        <v>152</v>
      </c>
      <c r="AD490" t="s">
        <v>136</v>
      </c>
      <c r="AE490" t="s">
        <v>62</v>
      </c>
      <c r="AF490" t="s">
        <v>62</v>
      </c>
      <c r="AG490">
        <v>3</v>
      </c>
      <c r="AH490">
        <v>7</v>
      </c>
      <c r="AI490">
        <v>8</v>
      </c>
      <c r="AJ490">
        <v>0.46666999999999997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</v>
      </c>
      <c r="AQ490">
        <v>0</v>
      </c>
      <c r="AR490">
        <v>4</v>
      </c>
      <c r="AS490">
        <v>8</v>
      </c>
      <c r="AT490">
        <v>0.33333000000000002</v>
      </c>
      <c r="AU490">
        <v>15</v>
      </c>
      <c r="AV490">
        <v>10</v>
      </c>
      <c r="AW490">
        <v>43</v>
      </c>
      <c r="AX490">
        <v>12</v>
      </c>
      <c r="AY490">
        <v>26</v>
      </c>
      <c r="AZ490">
        <v>3</v>
      </c>
      <c r="BA490" t="s">
        <v>16300</v>
      </c>
      <c r="BB490" t="s">
        <v>16301</v>
      </c>
      <c r="BC490">
        <v>0.94699999999999995</v>
      </c>
      <c r="BD490" t="s">
        <v>65</v>
      </c>
      <c r="BE490">
        <v>69</v>
      </c>
      <c r="BF490">
        <v>15</v>
      </c>
      <c r="BG490" t="s">
        <v>16302</v>
      </c>
      <c r="BH490" t="s">
        <v>16303</v>
      </c>
      <c r="BI490" t="s">
        <v>16304</v>
      </c>
      <c r="BJ490">
        <v>5.6079999999999998E-2</v>
      </c>
      <c r="BK490">
        <v>1</v>
      </c>
      <c r="BL490" t="s">
        <v>69</v>
      </c>
      <c r="BM490">
        <v>-0.22500000000000001</v>
      </c>
      <c r="BN490">
        <v>-0.2</v>
      </c>
    </row>
    <row r="491" spans="2:66">
      <c r="B491">
        <v>780</v>
      </c>
      <c r="C491">
        <v>212</v>
      </c>
      <c r="D491">
        <v>0</v>
      </c>
      <c r="E491">
        <v>10</v>
      </c>
      <c r="F491">
        <v>2</v>
      </c>
      <c r="J491">
        <v>0</v>
      </c>
      <c r="K491">
        <v>7</v>
      </c>
      <c r="L491">
        <v>1</v>
      </c>
      <c r="M491" t="s">
        <v>25022</v>
      </c>
      <c r="N491">
        <v>2839</v>
      </c>
      <c r="O491" t="s">
        <v>16305</v>
      </c>
      <c r="P491" t="s">
        <v>62</v>
      </c>
      <c r="Q491">
        <v>2787133</v>
      </c>
      <c r="R491">
        <v>2787825</v>
      </c>
      <c r="S491" t="s">
        <v>16306</v>
      </c>
      <c r="T491">
        <v>231</v>
      </c>
      <c r="U491" t="s">
        <v>160</v>
      </c>
      <c r="V491">
        <v>45</v>
      </c>
      <c r="W491" t="str">
        <f>HYPERLINK("Gene2839-zp_tree_all.dnd", "Gene2839-tree")</f>
        <v>Gene2839-tree</v>
      </c>
      <c r="X491">
        <v>5</v>
      </c>
      <c r="Y491">
        <v>9</v>
      </c>
      <c r="Z491">
        <v>5</v>
      </c>
      <c r="AA491">
        <v>9</v>
      </c>
      <c r="AB491">
        <v>0.64285999999999999</v>
      </c>
      <c r="AC491" t="s">
        <v>199</v>
      </c>
      <c r="AD491" t="s">
        <v>135</v>
      </c>
      <c r="AE491" t="s">
        <v>62</v>
      </c>
      <c r="AF491" t="s">
        <v>62</v>
      </c>
      <c r="AG491">
        <v>3</v>
      </c>
      <c r="AH491">
        <v>8</v>
      </c>
      <c r="AI491">
        <v>7</v>
      </c>
      <c r="AJ491">
        <v>0.53332999999999997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5</v>
      </c>
      <c r="AQ491">
        <v>1</v>
      </c>
      <c r="AR491">
        <v>6</v>
      </c>
      <c r="AS491">
        <v>7</v>
      </c>
      <c r="AT491">
        <v>0.46154000000000001</v>
      </c>
      <c r="AU491">
        <v>13</v>
      </c>
      <c r="AV491">
        <v>7</v>
      </c>
      <c r="AW491">
        <v>43</v>
      </c>
      <c r="AX491">
        <v>13</v>
      </c>
      <c r="AY491">
        <v>15</v>
      </c>
      <c r="AZ491">
        <v>2</v>
      </c>
      <c r="BA491" t="s">
        <v>16307</v>
      </c>
      <c r="BB491" t="s">
        <v>16308</v>
      </c>
      <c r="BC491">
        <v>0.436</v>
      </c>
      <c r="BD491" t="s">
        <v>65</v>
      </c>
      <c r="BE491">
        <v>58</v>
      </c>
      <c r="BF491">
        <v>15</v>
      </c>
      <c r="BG491" t="s">
        <v>16309</v>
      </c>
      <c r="BH491" t="s">
        <v>16310</v>
      </c>
      <c r="BI491" t="s">
        <v>16311</v>
      </c>
      <c r="BJ491">
        <v>5.8130000000000001E-2</v>
      </c>
      <c r="BK491">
        <v>1</v>
      </c>
      <c r="BL491" t="s">
        <v>69</v>
      </c>
      <c r="BM491">
        <v>-1.3879999999999999</v>
      </c>
      <c r="BN491">
        <v>-3.2090000000000001</v>
      </c>
    </row>
    <row r="492" spans="2:66">
      <c r="B492">
        <v>781</v>
      </c>
      <c r="C492">
        <v>19</v>
      </c>
      <c r="D492">
        <v>0</v>
      </c>
      <c r="E492">
        <v>2</v>
      </c>
      <c r="F492">
        <v>6</v>
      </c>
      <c r="J492">
        <v>0</v>
      </c>
      <c r="K492">
        <v>5</v>
      </c>
      <c r="L492">
        <v>0</v>
      </c>
      <c r="M492" t="s">
        <v>25022</v>
      </c>
      <c r="N492">
        <v>2840</v>
      </c>
      <c r="O492" t="s">
        <v>16312</v>
      </c>
      <c r="P492" t="s">
        <v>62</v>
      </c>
      <c r="Q492">
        <v>2787849</v>
      </c>
      <c r="R492">
        <v>2788487</v>
      </c>
      <c r="S492" t="s">
        <v>9557</v>
      </c>
      <c r="T492">
        <v>213</v>
      </c>
      <c r="U492" t="s">
        <v>108</v>
      </c>
      <c r="V492">
        <v>44</v>
      </c>
      <c r="W492" t="str">
        <f>HYPERLINK("Gene2840-zp_tree_all.dnd", "Gene2840-tree")</f>
        <v>Gene2840-tree</v>
      </c>
      <c r="X492">
        <v>8</v>
      </c>
      <c r="Y492">
        <v>5</v>
      </c>
      <c r="Z492">
        <v>8</v>
      </c>
      <c r="AA492">
        <v>5</v>
      </c>
      <c r="AB492">
        <v>0.38462000000000002</v>
      </c>
      <c r="AC492" t="s">
        <v>136</v>
      </c>
      <c r="AD492" t="s">
        <v>199</v>
      </c>
      <c r="AE492" t="s">
        <v>62</v>
      </c>
      <c r="AF492" t="s">
        <v>62</v>
      </c>
      <c r="AG492">
        <v>2</v>
      </c>
      <c r="AH492">
        <v>5</v>
      </c>
      <c r="AI492">
        <v>7</v>
      </c>
      <c r="AJ492">
        <v>0.41666999999999998</v>
      </c>
      <c r="AK492">
        <v>0</v>
      </c>
      <c r="AL492">
        <v>0</v>
      </c>
      <c r="AM492">
        <v>0</v>
      </c>
      <c r="AN492">
        <v>2</v>
      </c>
      <c r="AO492">
        <v>0</v>
      </c>
      <c r="AP492">
        <v>0</v>
      </c>
      <c r="AQ492">
        <v>0</v>
      </c>
      <c r="AR492">
        <v>0</v>
      </c>
      <c r="AS492">
        <v>6</v>
      </c>
      <c r="AT492">
        <v>0</v>
      </c>
      <c r="AU492">
        <v>9</v>
      </c>
      <c r="AV492">
        <v>7</v>
      </c>
      <c r="AW492">
        <v>11</v>
      </c>
      <c r="AX492">
        <v>5</v>
      </c>
      <c r="AY492">
        <v>14</v>
      </c>
      <c r="AZ492">
        <v>7</v>
      </c>
      <c r="BA492" t="s">
        <v>16313</v>
      </c>
      <c r="BB492" t="s">
        <v>16314</v>
      </c>
      <c r="BC492">
        <v>0.13100000000000001</v>
      </c>
      <c r="BD492" t="s">
        <v>65</v>
      </c>
      <c r="BE492">
        <v>25</v>
      </c>
      <c r="BF492">
        <v>12</v>
      </c>
      <c r="BG492" t="s">
        <v>16315</v>
      </c>
      <c r="BH492" t="s">
        <v>16316</v>
      </c>
      <c r="BI492" t="s">
        <v>16317</v>
      </c>
      <c r="BJ492">
        <v>0.12565000000000001</v>
      </c>
      <c r="BK492">
        <v>1</v>
      </c>
      <c r="BL492" t="s">
        <v>69</v>
      </c>
      <c r="BM492">
        <v>-0.27100000000000002</v>
      </c>
      <c r="BN492">
        <v>-1.363</v>
      </c>
    </row>
    <row r="493" spans="2:66">
      <c r="B493">
        <v>782</v>
      </c>
      <c r="C493">
        <v>253</v>
      </c>
      <c r="D493">
        <v>0</v>
      </c>
      <c r="E493">
        <v>2</v>
      </c>
      <c r="F493">
        <v>2</v>
      </c>
      <c r="J493">
        <v>0</v>
      </c>
      <c r="K493">
        <v>2</v>
      </c>
      <c r="L493">
        <v>2</v>
      </c>
      <c r="M493" t="s">
        <v>25022</v>
      </c>
      <c r="N493">
        <v>2842</v>
      </c>
      <c r="O493" t="s">
        <v>16324</v>
      </c>
      <c r="P493" t="s">
        <v>62</v>
      </c>
      <c r="Q493">
        <v>2788923</v>
      </c>
      <c r="R493">
        <v>2789621</v>
      </c>
      <c r="S493" t="s">
        <v>288</v>
      </c>
      <c r="T493">
        <v>233</v>
      </c>
      <c r="U493" t="s">
        <v>1392</v>
      </c>
      <c r="V493">
        <v>43</v>
      </c>
      <c r="W493" t="str">
        <f>HYPERLINK("Gene2842-zp_tree_all.dnd", "Gene2842-tree")</f>
        <v>Gene2842-tree</v>
      </c>
      <c r="X493">
        <v>3</v>
      </c>
      <c r="Y493">
        <v>8</v>
      </c>
      <c r="Z493">
        <v>3</v>
      </c>
      <c r="AA493">
        <v>8</v>
      </c>
      <c r="AB493">
        <v>0.72726999999999997</v>
      </c>
      <c r="AC493" t="s">
        <v>324</v>
      </c>
      <c r="AD493" t="s">
        <v>136</v>
      </c>
      <c r="AE493" t="s">
        <v>62</v>
      </c>
      <c r="AF493" t="s">
        <v>62</v>
      </c>
      <c r="AG493">
        <v>2</v>
      </c>
      <c r="AH493">
        <v>4</v>
      </c>
      <c r="AI493">
        <v>5</v>
      </c>
      <c r="AJ493">
        <v>0.44444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2</v>
      </c>
      <c r="AQ493">
        <v>2</v>
      </c>
      <c r="AR493">
        <v>4</v>
      </c>
      <c r="AS493">
        <v>5</v>
      </c>
      <c r="AT493">
        <v>0.44444</v>
      </c>
      <c r="AU493">
        <v>10</v>
      </c>
      <c r="AV493">
        <v>5</v>
      </c>
      <c r="AW493">
        <v>12</v>
      </c>
      <c r="AX493">
        <v>9</v>
      </c>
      <c r="AY493">
        <v>10</v>
      </c>
      <c r="AZ493">
        <v>0</v>
      </c>
      <c r="BA493" t="s">
        <v>16325</v>
      </c>
      <c r="BB493" t="s">
        <v>193</v>
      </c>
      <c r="BC493">
        <v>3.5489999999999999</v>
      </c>
      <c r="BD493" t="s">
        <v>267</v>
      </c>
      <c r="BE493">
        <v>22</v>
      </c>
      <c r="BF493">
        <v>9</v>
      </c>
      <c r="BG493" t="s">
        <v>16326</v>
      </c>
      <c r="BH493" t="s">
        <v>16327</v>
      </c>
      <c r="BI493" t="s">
        <v>16328</v>
      </c>
      <c r="BJ493">
        <v>7.8539999999999999E-2</v>
      </c>
      <c r="BK493">
        <v>1</v>
      </c>
      <c r="BL493" t="s">
        <v>69</v>
      </c>
      <c r="BM493">
        <v>-0.94</v>
      </c>
      <c r="BN493">
        <v>-0.37</v>
      </c>
    </row>
    <row r="494" spans="2:66">
      <c r="B494">
        <v>785</v>
      </c>
      <c r="C494">
        <v>125</v>
      </c>
      <c r="D494">
        <v>0</v>
      </c>
      <c r="E494">
        <v>0</v>
      </c>
      <c r="F494">
        <v>2</v>
      </c>
      <c r="J494">
        <v>0</v>
      </c>
      <c r="K494">
        <v>8</v>
      </c>
      <c r="L494">
        <v>0</v>
      </c>
      <c r="M494" t="s">
        <v>25022</v>
      </c>
      <c r="N494">
        <v>2843</v>
      </c>
      <c r="O494" t="s">
        <v>16329</v>
      </c>
      <c r="P494" t="s">
        <v>62</v>
      </c>
      <c r="Q494">
        <v>2789689</v>
      </c>
      <c r="R494">
        <v>2791440</v>
      </c>
      <c r="S494" t="s">
        <v>16330</v>
      </c>
      <c r="T494">
        <v>584</v>
      </c>
      <c r="U494" t="s">
        <v>108</v>
      </c>
      <c r="V494">
        <v>44</v>
      </c>
      <c r="W494" t="str">
        <f>HYPERLINK("Gene2843-zp_tree_all.dnd", "Gene2843-tree")</f>
        <v>Gene2843-tree</v>
      </c>
      <c r="X494">
        <v>2</v>
      </c>
      <c r="Y494">
        <v>13</v>
      </c>
      <c r="Z494">
        <v>2</v>
      </c>
      <c r="AA494">
        <v>13</v>
      </c>
      <c r="AB494">
        <v>0.86667000000000005</v>
      </c>
      <c r="AC494" t="s">
        <v>81</v>
      </c>
      <c r="AD494" t="s">
        <v>507</v>
      </c>
      <c r="AE494" t="s">
        <v>62</v>
      </c>
      <c r="AF494" t="s">
        <v>62</v>
      </c>
      <c r="AG494">
        <v>3</v>
      </c>
      <c r="AH494">
        <v>8</v>
      </c>
      <c r="AI494">
        <v>17</v>
      </c>
      <c r="AJ494">
        <v>0.32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5</v>
      </c>
      <c r="AQ494">
        <v>0</v>
      </c>
      <c r="AR494">
        <v>5</v>
      </c>
      <c r="AS494">
        <v>16</v>
      </c>
      <c r="AT494">
        <v>0.23810000000000001</v>
      </c>
      <c r="AU494">
        <v>14</v>
      </c>
      <c r="AV494">
        <v>9</v>
      </c>
      <c r="AW494">
        <v>60</v>
      </c>
      <c r="AX494">
        <v>19</v>
      </c>
      <c r="AY494">
        <v>19</v>
      </c>
      <c r="AZ494">
        <v>6</v>
      </c>
      <c r="BA494" t="s">
        <v>16331</v>
      </c>
      <c r="BB494" t="s">
        <v>16332</v>
      </c>
      <c r="BC494">
        <v>5.0000000000000001E-3</v>
      </c>
      <c r="BD494" t="s">
        <v>65</v>
      </c>
      <c r="BE494">
        <v>79</v>
      </c>
      <c r="BF494">
        <v>25</v>
      </c>
      <c r="BG494" t="s">
        <v>16333</v>
      </c>
      <c r="BH494" t="s">
        <v>16334</v>
      </c>
      <c r="BI494" t="s">
        <v>16335</v>
      </c>
      <c r="BJ494">
        <v>8.5569999999999993E-2</v>
      </c>
      <c r="BK494">
        <v>1</v>
      </c>
      <c r="BL494" t="s">
        <v>69</v>
      </c>
      <c r="BM494">
        <v>-0.83399999999999996</v>
      </c>
      <c r="BN494">
        <v>-0.44900000000000001</v>
      </c>
    </row>
    <row r="495" spans="2:66">
      <c r="B495">
        <v>787</v>
      </c>
      <c r="C495">
        <v>329</v>
      </c>
      <c r="D495">
        <v>0</v>
      </c>
      <c r="E495">
        <v>2</v>
      </c>
      <c r="F495">
        <v>0</v>
      </c>
      <c r="J495">
        <v>0</v>
      </c>
      <c r="K495">
        <v>0</v>
      </c>
      <c r="L495">
        <v>0</v>
      </c>
      <c r="M495" t="s">
        <v>25022</v>
      </c>
      <c r="N495">
        <v>2844</v>
      </c>
      <c r="O495" t="s">
        <v>16336</v>
      </c>
      <c r="P495" t="s">
        <v>62</v>
      </c>
      <c r="Q495">
        <v>2791497</v>
      </c>
      <c r="R495">
        <v>2791967</v>
      </c>
      <c r="S495" t="s">
        <v>16337</v>
      </c>
      <c r="T495">
        <v>157</v>
      </c>
      <c r="U495" t="s">
        <v>59</v>
      </c>
      <c r="V495">
        <v>49</v>
      </c>
      <c r="W495" t="str">
        <f>HYPERLINK("Gene2844-zp_tree_all.dnd", "Gene2844-tree")</f>
        <v>Gene2844-tree</v>
      </c>
      <c r="X495">
        <v>12</v>
      </c>
      <c r="Y495">
        <v>0</v>
      </c>
      <c r="Z495">
        <v>12</v>
      </c>
      <c r="AA495">
        <v>0</v>
      </c>
      <c r="AB495">
        <v>0</v>
      </c>
      <c r="AC495" t="s">
        <v>109</v>
      </c>
      <c r="AD495" t="s">
        <v>62</v>
      </c>
      <c r="AE495" t="s">
        <v>62</v>
      </c>
      <c r="AF495" t="s">
        <v>62</v>
      </c>
      <c r="AG495">
        <v>0</v>
      </c>
      <c r="AH495">
        <v>0</v>
      </c>
      <c r="AI495">
        <v>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8</v>
      </c>
      <c r="AV495">
        <v>7</v>
      </c>
      <c r="AW495">
        <v>14</v>
      </c>
      <c r="AX495">
        <v>0</v>
      </c>
      <c r="AY495">
        <v>23</v>
      </c>
      <c r="AZ495">
        <v>2</v>
      </c>
      <c r="BA495" t="s">
        <v>193</v>
      </c>
      <c r="BB495" t="s">
        <v>16338</v>
      </c>
      <c r="BC495">
        <v>0.745</v>
      </c>
      <c r="BD495" t="s">
        <v>65</v>
      </c>
      <c r="BE495">
        <v>37</v>
      </c>
      <c r="BF495">
        <v>2</v>
      </c>
      <c r="BG495" t="s">
        <v>16339</v>
      </c>
      <c r="BH495" t="s">
        <v>16340</v>
      </c>
      <c r="BI495" t="s">
        <v>16341</v>
      </c>
      <c r="BJ495">
        <v>1.8200000000000001E-2</v>
      </c>
      <c r="BK495">
        <v>1</v>
      </c>
      <c r="BL495" t="s">
        <v>69</v>
      </c>
      <c r="BM495">
        <v>-1.2410000000000001</v>
      </c>
      <c r="BN495">
        <v>-0.35499999999999998</v>
      </c>
    </row>
    <row r="496" spans="2:66">
      <c r="B496">
        <v>788</v>
      </c>
      <c r="C496">
        <v>36</v>
      </c>
      <c r="D496">
        <v>0</v>
      </c>
      <c r="E496">
        <v>8</v>
      </c>
      <c r="F496">
        <v>0</v>
      </c>
      <c r="J496">
        <v>0</v>
      </c>
      <c r="K496">
        <v>0</v>
      </c>
      <c r="L496">
        <v>0</v>
      </c>
      <c r="M496" t="s">
        <v>25022</v>
      </c>
      <c r="N496">
        <v>2845</v>
      </c>
      <c r="O496" t="s">
        <v>16342</v>
      </c>
      <c r="P496" t="s">
        <v>62</v>
      </c>
      <c r="Q496">
        <v>2792221</v>
      </c>
      <c r="R496">
        <v>2792853</v>
      </c>
      <c r="S496" t="s">
        <v>16343</v>
      </c>
      <c r="T496">
        <v>211</v>
      </c>
      <c r="U496" t="s">
        <v>59</v>
      </c>
      <c r="V496">
        <v>49</v>
      </c>
      <c r="W496" t="str">
        <f>HYPERLINK("Gene2845-zp_tree_all.dnd", "Gene2845-tree")</f>
        <v>Gene2845-tree</v>
      </c>
      <c r="X496">
        <v>13</v>
      </c>
      <c r="Y496">
        <v>1</v>
      </c>
      <c r="Z496">
        <v>13</v>
      </c>
      <c r="AA496">
        <v>1</v>
      </c>
      <c r="AB496">
        <v>7.1429999999999993E-2</v>
      </c>
      <c r="AC496" t="s">
        <v>507</v>
      </c>
      <c r="AD496" t="s">
        <v>175</v>
      </c>
      <c r="AE496" t="s">
        <v>62</v>
      </c>
      <c r="AF496" t="s">
        <v>62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11</v>
      </c>
      <c r="AV496">
        <v>6</v>
      </c>
      <c r="AW496">
        <v>32</v>
      </c>
      <c r="AX496">
        <v>1</v>
      </c>
      <c r="AY496">
        <v>21</v>
      </c>
      <c r="AZ496">
        <v>0</v>
      </c>
      <c r="BA496" t="s">
        <v>16344</v>
      </c>
      <c r="BB496" t="s">
        <v>193</v>
      </c>
      <c r="BC496">
        <v>0.313</v>
      </c>
      <c r="BD496" t="s">
        <v>65</v>
      </c>
      <c r="BE496">
        <v>53</v>
      </c>
      <c r="BF496">
        <v>1</v>
      </c>
      <c r="BG496" t="s">
        <v>16345</v>
      </c>
      <c r="BH496" t="s">
        <v>16346</v>
      </c>
      <c r="BI496" t="s">
        <v>16347</v>
      </c>
      <c r="BJ496">
        <v>3.0000000000000001E-3</v>
      </c>
      <c r="BK496">
        <v>1</v>
      </c>
      <c r="BL496" t="s">
        <v>69</v>
      </c>
      <c r="BM496">
        <v>-1.5920000000000001</v>
      </c>
      <c r="BN496">
        <v>-1.1890000000000001</v>
      </c>
    </row>
    <row r="497" spans="2:66">
      <c r="B497">
        <v>792</v>
      </c>
      <c r="C497">
        <v>307</v>
      </c>
      <c r="D497">
        <v>0</v>
      </c>
      <c r="E497">
        <v>5</v>
      </c>
      <c r="F497">
        <v>0</v>
      </c>
      <c r="J497">
        <v>0</v>
      </c>
      <c r="K497">
        <v>0</v>
      </c>
      <c r="L497">
        <v>0</v>
      </c>
      <c r="M497" t="s">
        <v>25022</v>
      </c>
      <c r="N497">
        <v>2846</v>
      </c>
      <c r="O497" t="s">
        <v>16348</v>
      </c>
      <c r="P497" t="s">
        <v>62</v>
      </c>
      <c r="Q497">
        <v>2792863</v>
      </c>
      <c r="R497">
        <v>2794128</v>
      </c>
      <c r="S497" t="s">
        <v>16349</v>
      </c>
      <c r="T497">
        <v>422</v>
      </c>
      <c r="U497" t="s">
        <v>125</v>
      </c>
      <c r="V497">
        <v>48</v>
      </c>
      <c r="W497" t="str">
        <f>HYPERLINK("Gene2846-zp_tree_all.dnd", "Gene2846-tree")</f>
        <v>Gene2846-tree</v>
      </c>
      <c r="X497">
        <v>15</v>
      </c>
      <c r="Y497">
        <v>2</v>
      </c>
      <c r="Z497">
        <v>15</v>
      </c>
      <c r="AA497">
        <v>2</v>
      </c>
      <c r="AB497">
        <v>0.11765</v>
      </c>
      <c r="AC497" t="s">
        <v>100</v>
      </c>
      <c r="AD497" t="s">
        <v>81</v>
      </c>
      <c r="AE497" t="s">
        <v>62</v>
      </c>
      <c r="AF497" t="s">
        <v>62</v>
      </c>
      <c r="AG497">
        <v>0</v>
      </c>
      <c r="AH497">
        <v>0</v>
      </c>
      <c r="AI497">
        <v>8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3</v>
      </c>
      <c r="AT497">
        <v>0</v>
      </c>
      <c r="AU497">
        <v>14</v>
      </c>
      <c r="AV497">
        <v>13</v>
      </c>
      <c r="AW497">
        <v>50</v>
      </c>
      <c r="AX497">
        <v>4</v>
      </c>
      <c r="AY497">
        <v>88</v>
      </c>
      <c r="AZ497">
        <v>5</v>
      </c>
      <c r="BA497" t="s">
        <v>16350</v>
      </c>
      <c r="BB497" t="s">
        <v>16351</v>
      </c>
      <c r="BC497">
        <v>0.109</v>
      </c>
      <c r="BD497" t="s">
        <v>65</v>
      </c>
      <c r="BE497">
        <v>138</v>
      </c>
      <c r="BF497">
        <v>9</v>
      </c>
      <c r="BG497" t="s">
        <v>16352</v>
      </c>
      <c r="BH497" t="s">
        <v>16353</v>
      </c>
      <c r="BI497" t="s">
        <v>16354</v>
      </c>
      <c r="BJ497">
        <v>1.992E-2</v>
      </c>
      <c r="BK497">
        <v>1</v>
      </c>
      <c r="BL497" t="s">
        <v>69</v>
      </c>
      <c r="BM497">
        <v>-1.2430000000000001</v>
      </c>
      <c r="BN497">
        <v>-0.16</v>
      </c>
    </row>
    <row r="498" spans="2:66">
      <c r="B498">
        <v>793</v>
      </c>
      <c r="C498">
        <v>477</v>
      </c>
      <c r="D498">
        <v>0</v>
      </c>
      <c r="E498">
        <v>12</v>
      </c>
      <c r="F498">
        <v>6</v>
      </c>
      <c r="J498">
        <v>0</v>
      </c>
      <c r="K498">
        <v>2</v>
      </c>
      <c r="L498">
        <v>2</v>
      </c>
      <c r="M498" t="s">
        <v>25022</v>
      </c>
      <c r="N498">
        <v>2847</v>
      </c>
      <c r="O498" t="s">
        <v>16355</v>
      </c>
      <c r="P498" t="s">
        <v>62</v>
      </c>
      <c r="Q498">
        <v>2794150</v>
      </c>
      <c r="R498">
        <v>2795076</v>
      </c>
      <c r="S498" t="s">
        <v>16356</v>
      </c>
      <c r="T498">
        <v>309</v>
      </c>
      <c r="U498" t="s">
        <v>698</v>
      </c>
      <c r="V498">
        <v>47</v>
      </c>
      <c r="W498" t="str">
        <f>HYPERLINK("Gene2847-zp_tree_all.dnd", "Gene2847-tree")</f>
        <v>Gene2847-tree</v>
      </c>
      <c r="X498">
        <v>7</v>
      </c>
      <c r="Y498">
        <v>7</v>
      </c>
      <c r="Z498">
        <v>7</v>
      </c>
      <c r="AA498">
        <v>7</v>
      </c>
      <c r="AB498">
        <v>0.5</v>
      </c>
      <c r="AC498" t="s">
        <v>152</v>
      </c>
      <c r="AD498" t="s">
        <v>152</v>
      </c>
      <c r="AE498" t="s">
        <v>62</v>
      </c>
      <c r="AF498" t="s">
        <v>62</v>
      </c>
      <c r="AG498">
        <v>2</v>
      </c>
      <c r="AH498">
        <v>4</v>
      </c>
      <c r="AI498">
        <v>10</v>
      </c>
      <c r="AJ498">
        <v>0.28571000000000002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8</v>
      </c>
      <c r="AT498">
        <v>0</v>
      </c>
      <c r="AU498">
        <v>12</v>
      </c>
      <c r="AV498">
        <v>9</v>
      </c>
      <c r="AW498">
        <v>37</v>
      </c>
      <c r="AX498">
        <v>8</v>
      </c>
      <c r="AY498">
        <v>52</v>
      </c>
      <c r="AZ498">
        <v>6</v>
      </c>
      <c r="BA498" t="s">
        <v>16357</v>
      </c>
      <c r="BB498" t="s">
        <v>16358</v>
      </c>
      <c r="BC498">
        <v>0.50800000000000001</v>
      </c>
      <c r="BD498" t="s">
        <v>65</v>
      </c>
      <c r="BE498">
        <v>89</v>
      </c>
      <c r="BF498">
        <v>14</v>
      </c>
      <c r="BG498" t="s">
        <v>16359</v>
      </c>
      <c r="BH498" t="s">
        <v>16360</v>
      </c>
      <c r="BI498" t="s">
        <v>16361</v>
      </c>
      <c r="BJ498">
        <v>3.7280000000000001E-2</v>
      </c>
      <c r="BK498">
        <v>1</v>
      </c>
      <c r="BL498" t="s">
        <v>69</v>
      </c>
      <c r="BM498">
        <v>-1.3109999999999999</v>
      </c>
      <c r="BN498">
        <v>-0.379</v>
      </c>
    </row>
    <row r="499" spans="2:66">
      <c r="B499">
        <v>794</v>
      </c>
      <c r="C499">
        <v>143</v>
      </c>
      <c r="D499">
        <v>0</v>
      </c>
      <c r="E499">
        <v>7</v>
      </c>
      <c r="F499">
        <v>0</v>
      </c>
      <c r="J499">
        <v>0</v>
      </c>
      <c r="K499">
        <v>4</v>
      </c>
      <c r="L499">
        <v>0</v>
      </c>
      <c r="M499" t="s">
        <v>25022</v>
      </c>
      <c r="N499">
        <v>2848</v>
      </c>
      <c r="O499" t="s">
        <v>16362</v>
      </c>
      <c r="P499" t="s">
        <v>62</v>
      </c>
      <c r="Q499">
        <v>2795085</v>
      </c>
      <c r="R499">
        <v>2795735</v>
      </c>
      <c r="S499" t="s">
        <v>16363</v>
      </c>
      <c r="T499">
        <v>217</v>
      </c>
      <c r="U499" t="s">
        <v>59</v>
      </c>
      <c r="V499">
        <v>49</v>
      </c>
      <c r="W499" t="str">
        <f>HYPERLINK("Gene2848-zp_tree_all.dnd", "Gene2848-tree")</f>
        <v>Gene2848-tree</v>
      </c>
      <c r="X499">
        <v>11</v>
      </c>
      <c r="Y499">
        <v>4</v>
      </c>
      <c r="Z499">
        <v>11</v>
      </c>
      <c r="AA499">
        <v>4</v>
      </c>
      <c r="AB499">
        <v>0.26667000000000002</v>
      </c>
      <c r="AC499" t="s">
        <v>73</v>
      </c>
      <c r="AD499" t="s">
        <v>61</v>
      </c>
      <c r="AE499" t="s">
        <v>62</v>
      </c>
      <c r="AF499" t="s">
        <v>62</v>
      </c>
      <c r="AG499">
        <v>2</v>
      </c>
      <c r="AH499">
        <v>4</v>
      </c>
      <c r="AI499">
        <v>7</v>
      </c>
      <c r="AJ499">
        <v>0.36364000000000002</v>
      </c>
      <c r="AK499">
        <v>0</v>
      </c>
      <c r="AL499">
        <v>0</v>
      </c>
      <c r="AM499">
        <v>0</v>
      </c>
      <c r="AN499">
        <v>2</v>
      </c>
      <c r="AO499">
        <v>0</v>
      </c>
      <c r="AP499">
        <v>0</v>
      </c>
      <c r="AQ499">
        <v>0</v>
      </c>
      <c r="AR499">
        <v>0</v>
      </c>
      <c r="AS499">
        <v>6</v>
      </c>
      <c r="AT499">
        <v>0</v>
      </c>
      <c r="AU499">
        <v>10</v>
      </c>
      <c r="AV499">
        <v>8</v>
      </c>
      <c r="AW499">
        <v>26</v>
      </c>
      <c r="AX499">
        <v>6</v>
      </c>
      <c r="AY499">
        <v>14</v>
      </c>
      <c r="AZ499">
        <v>5</v>
      </c>
      <c r="BA499" t="s">
        <v>16364</v>
      </c>
      <c r="BB499" t="s">
        <v>16365</v>
      </c>
      <c r="BC499">
        <v>0.42499999999999999</v>
      </c>
      <c r="BD499" t="s">
        <v>65</v>
      </c>
      <c r="BE499">
        <v>40</v>
      </c>
      <c r="BF499">
        <v>11</v>
      </c>
      <c r="BG499" t="s">
        <v>16366</v>
      </c>
      <c r="BH499" t="s">
        <v>16367</v>
      </c>
      <c r="BI499" t="s">
        <v>16368</v>
      </c>
      <c r="BJ499">
        <v>9.0340000000000004E-2</v>
      </c>
      <c r="BK499">
        <v>1</v>
      </c>
      <c r="BL499" t="s">
        <v>69</v>
      </c>
      <c r="BM499">
        <v>-0.499</v>
      </c>
      <c r="BN499">
        <v>-1.012</v>
      </c>
    </row>
    <row r="500" spans="2:66">
      <c r="B500">
        <v>795</v>
      </c>
      <c r="C500">
        <v>152</v>
      </c>
      <c r="D500">
        <v>0</v>
      </c>
      <c r="E500">
        <v>9</v>
      </c>
      <c r="F500">
        <v>1</v>
      </c>
      <c r="J500">
        <v>0</v>
      </c>
      <c r="K500">
        <v>2</v>
      </c>
      <c r="L500">
        <v>0</v>
      </c>
      <c r="M500" t="s">
        <v>25022</v>
      </c>
      <c r="N500">
        <v>2849</v>
      </c>
      <c r="O500" t="s">
        <v>16369</v>
      </c>
      <c r="P500" t="s">
        <v>62</v>
      </c>
      <c r="Q500">
        <v>2795890</v>
      </c>
      <c r="R500">
        <v>2796969</v>
      </c>
      <c r="S500" t="s">
        <v>16370</v>
      </c>
      <c r="T500">
        <v>360</v>
      </c>
      <c r="U500" t="s">
        <v>108</v>
      </c>
      <c r="V500">
        <v>44</v>
      </c>
      <c r="W500" t="str">
        <f>HYPERLINK("Gene2849-zp_tree_all.dnd", "Gene2849-tree")</f>
        <v>Gene2849-tree</v>
      </c>
      <c r="X500">
        <v>5</v>
      </c>
      <c r="Y500">
        <v>8</v>
      </c>
      <c r="Z500">
        <v>5</v>
      </c>
      <c r="AA500">
        <v>8</v>
      </c>
      <c r="AB500">
        <v>0.61538000000000004</v>
      </c>
      <c r="AC500" t="s">
        <v>199</v>
      </c>
      <c r="AD500" t="s">
        <v>136</v>
      </c>
      <c r="AE500" t="s">
        <v>62</v>
      </c>
      <c r="AF500" t="s">
        <v>62</v>
      </c>
      <c r="AG500">
        <v>1</v>
      </c>
      <c r="AH500">
        <v>2</v>
      </c>
      <c r="AI500">
        <v>8</v>
      </c>
      <c r="AJ500">
        <v>0.2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0</v>
      </c>
      <c r="AR500">
        <v>2</v>
      </c>
      <c r="AS500">
        <v>7</v>
      </c>
      <c r="AT500">
        <v>0.22222</v>
      </c>
      <c r="AU500">
        <v>13</v>
      </c>
      <c r="AV500">
        <v>4</v>
      </c>
      <c r="AW500">
        <v>25</v>
      </c>
      <c r="AX500">
        <v>9</v>
      </c>
      <c r="AY500">
        <v>10</v>
      </c>
      <c r="AZ500">
        <v>1</v>
      </c>
      <c r="BA500" t="s">
        <v>16371</v>
      </c>
      <c r="BB500" t="s">
        <v>16372</v>
      </c>
      <c r="BC500">
        <v>1.133</v>
      </c>
      <c r="BD500" t="s">
        <v>65</v>
      </c>
      <c r="BE500">
        <v>35</v>
      </c>
      <c r="BF500">
        <v>10</v>
      </c>
      <c r="BG500" t="s">
        <v>16373</v>
      </c>
      <c r="BH500" t="s">
        <v>16374</v>
      </c>
      <c r="BI500" t="s">
        <v>16375</v>
      </c>
      <c r="BJ500">
        <v>8.9480000000000004E-2</v>
      </c>
      <c r="BK500">
        <v>1</v>
      </c>
      <c r="BL500" t="s">
        <v>69</v>
      </c>
      <c r="BM500">
        <v>-1.008</v>
      </c>
      <c r="BN500">
        <v>-1.474</v>
      </c>
    </row>
    <row r="501" spans="2:66">
      <c r="B501">
        <v>797</v>
      </c>
      <c r="C501">
        <v>11</v>
      </c>
      <c r="D501">
        <v>0</v>
      </c>
      <c r="E501">
        <v>4</v>
      </c>
      <c r="F501">
        <v>2</v>
      </c>
      <c r="J501">
        <v>0</v>
      </c>
      <c r="K501">
        <v>0</v>
      </c>
      <c r="L501">
        <v>2</v>
      </c>
      <c r="M501" t="s">
        <v>25022</v>
      </c>
      <c r="N501">
        <v>2850</v>
      </c>
      <c r="O501" t="s">
        <v>16376</v>
      </c>
      <c r="P501" t="s">
        <v>62</v>
      </c>
      <c r="Q501">
        <v>2797103</v>
      </c>
      <c r="R501">
        <v>2797381</v>
      </c>
      <c r="S501" t="s">
        <v>16377</v>
      </c>
      <c r="T501">
        <v>93</v>
      </c>
      <c r="U501" t="s">
        <v>59</v>
      </c>
      <c r="V501">
        <v>49</v>
      </c>
      <c r="W501" t="str">
        <f>HYPERLINK("Gene2850-zp_tree_all.dnd", "Gene2850-tree")</f>
        <v>Gene2850-tree</v>
      </c>
      <c r="X501">
        <v>10</v>
      </c>
      <c r="Y501">
        <v>2</v>
      </c>
      <c r="Z501">
        <v>10</v>
      </c>
      <c r="AA501">
        <v>2</v>
      </c>
      <c r="AB501">
        <v>0.16667000000000001</v>
      </c>
      <c r="AC501" t="s">
        <v>117</v>
      </c>
      <c r="AD501" t="s">
        <v>81</v>
      </c>
      <c r="AE501" t="s">
        <v>62</v>
      </c>
      <c r="AF501" t="s">
        <v>62</v>
      </c>
      <c r="AG501">
        <v>1</v>
      </c>
      <c r="AH501">
        <v>2</v>
      </c>
      <c r="AI501">
        <v>3</v>
      </c>
      <c r="AJ501">
        <v>0.4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0</v>
      </c>
      <c r="AU501">
        <v>8</v>
      </c>
      <c r="AV501">
        <v>6</v>
      </c>
      <c r="AW501">
        <v>9</v>
      </c>
      <c r="AX501">
        <v>2</v>
      </c>
      <c r="AY501">
        <v>11</v>
      </c>
      <c r="AZ501">
        <v>3</v>
      </c>
      <c r="BA501" t="s">
        <v>16378</v>
      </c>
      <c r="BB501" t="s">
        <v>16379</v>
      </c>
      <c r="BC501">
        <v>0.10199999999999999</v>
      </c>
      <c r="BD501" t="s">
        <v>65</v>
      </c>
      <c r="BE501">
        <v>20</v>
      </c>
      <c r="BF501">
        <v>5</v>
      </c>
      <c r="BG501" t="s">
        <v>16380</v>
      </c>
      <c r="BH501" t="s">
        <v>16381</v>
      </c>
      <c r="BI501" t="s">
        <v>16382</v>
      </c>
      <c r="BJ501">
        <v>6.4530000000000004E-2</v>
      </c>
      <c r="BK501">
        <v>1</v>
      </c>
      <c r="BL501" t="s">
        <v>69</v>
      </c>
      <c r="BM501">
        <v>-0.78900000000000003</v>
      </c>
      <c r="BN501">
        <v>-1.014</v>
      </c>
    </row>
    <row r="502" spans="2:66">
      <c r="B502">
        <v>798</v>
      </c>
      <c r="C502">
        <v>180</v>
      </c>
      <c r="D502">
        <v>0</v>
      </c>
      <c r="E502">
        <v>4</v>
      </c>
      <c r="F502">
        <v>0</v>
      </c>
      <c r="J502">
        <v>0</v>
      </c>
      <c r="K502">
        <v>0</v>
      </c>
      <c r="L502">
        <v>0</v>
      </c>
      <c r="M502" t="s">
        <v>25022</v>
      </c>
      <c r="N502">
        <v>2851</v>
      </c>
      <c r="O502" t="s">
        <v>16383</v>
      </c>
      <c r="P502" t="s">
        <v>62</v>
      </c>
      <c r="Q502">
        <v>2797402</v>
      </c>
      <c r="R502">
        <v>2797815</v>
      </c>
      <c r="S502" t="s">
        <v>16384</v>
      </c>
      <c r="T502">
        <v>138</v>
      </c>
      <c r="U502" t="s">
        <v>59</v>
      </c>
      <c r="V502">
        <v>49</v>
      </c>
      <c r="W502" t="str">
        <f>HYPERLINK("Gene2851-zp_tree_all.dnd", "Gene2851-tree")</f>
        <v>Gene2851-tree</v>
      </c>
      <c r="X502">
        <v>8</v>
      </c>
      <c r="Y502">
        <v>0</v>
      </c>
      <c r="Z502">
        <v>8</v>
      </c>
      <c r="AA502">
        <v>0</v>
      </c>
      <c r="AB502">
        <v>0</v>
      </c>
      <c r="AC502" t="s">
        <v>136</v>
      </c>
      <c r="AD502" t="s">
        <v>62</v>
      </c>
      <c r="AE502" t="s">
        <v>62</v>
      </c>
      <c r="AF502" t="s">
        <v>62</v>
      </c>
      <c r="AG502">
        <v>0</v>
      </c>
      <c r="AH502">
        <v>0</v>
      </c>
      <c r="AI502">
        <v>2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6</v>
      </c>
      <c r="AV502">
        <v>4</v>
      </c>
      <c r="AW502">
        <v>12</v>
      </c>
      <c r="AX502">
        <v>0</v>
      </c>
      <c r="AY502">
        <v>9</v>
      </c>
      <c r="AZ502">
        <v>2</v>
      </c>
      <c r="BA502" t="s">
        <v>193</v>
      </c>
      <c r="BB502" t="s">
        <v>16385</v>
      </c>
      <c r="BC502">
        <v>1.2889999999999999</v>
      </c>
      <c r="BD502" t="s">
        <v>65</v>
      </c>
      <c r="BE502">
        <v>21</v>
      </c>
      <c r="BF502">
        <v>2</v>
      </c>
      <c r="BG502" t="s">
        <v>16386</v>
      </c>
      <c r="BH502" t="s">
        <v>16387</v>
      </c>
      <c r="BI502" t="s">
        <v>16388</v>
      </c>
      <c r="BJ502">
        <v>3.3989999999999999E-2</v>
      </c>
      <c r="BK502">
        <v>1</v>
      </c>
      <c r="BL502" t="s">
        <v>69</v>
      </c>
      <c r="BM502">
        <v>-1.169</v>
      </c>
      <c r="BN502">
        <v>0.94899999999999995</v>
      </c>
    </row>
    <row r="503" spans="2:66">
      <c r="B503">
        <v>799</v>
      </c>
      <c r="C503">
        <v>9</v>
      </c>
      <c r="D503">
        <v>0</v>
      </c>
      <c r="E503">
        <v>2</v>
      </c>
      <c r="F503">
        <v>0</v>
      </c>
      <c r="J503">
        <v>0</v>
      </c>
      <c r="K503">
        <v>0</v>
      </c>
      <c r="L503">
        <v>0</v>
      </c>
      <c r="M503" t="s">
        <v>25022</v>
      </c>
      <c r="N503">
        <v>2852</v>
      </c>
      <c r="O503" t="s">
        <v>16389</v>
      </c>
      <c r="P503" t="s">
        <v>62</v>
      </c>
      <c r="Q503">
        <v>2797826</v>
      </c>
      <c r="R503">
        <v>2798089</v>
      </c>
      <c r="S503" t="s">
        <v>116</v>
      </c>
      <c r="T503">
        <v>88</v>
      </c>
      <c r="U503" t="s">
        <v>59</v>
      </c>
      <c r="V503">
        <v>49</v>
      </c>
      <c r="W503" t="str">
        <f>HYPERLINK("Gene2852-zp_tree_all.dnd", "Gene2852-tree")</f>
        <v>Gene2852-tree</v>
      </c>
      <c r="X503">
        <v>6</v>
      </c>
      <c r="Y503">
        <v>0</v>
      </c>
      <c r="Z503">
        <v>6</v>
      </c>
      <c r="AA503">
        <v>0</v>
      </c>
      <c r="AB503">
        <v>0</v>
      </c>
      <c r="AC503" t="s">
        <v>90</v>
      </c>
      <c r="AD503" t="s">
        <v>62</v>
      </c>
      <c r="AE503" t="s">
        <v>62</v>
      </c>
      <c r="AF503" t="s">
        <v>62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2</v>
      </c>
      <c r="AV503">
        <v>3</v>
      </c>
      <c r="AW503">
        <v>3</v>
      </c>
      <c r="AX503">
        <v>0</v>
      </c>
      <c r="AY503">
        <v>3</v>
      </c>
      <c r="AZ503">
        <v>0</v>
      </c>
      <c r="BA503" t="s">
        <v>193</v>
      </c>
      <c r="BB503" t="s">
        <v>193</v>
      </c>
      <c r="BC503">
        <v>0</v>
      </c>
      <c r="BD503" t="s">
        <v>65</v>
      </c>
      <c r="BE503">
        <v>6</v>
      </c>
      <c r="BF503">
        <v>0</v>
      </c>
      <c r="BG503" t="s">
        <v>16390</v>
      </c>
      <c r="BH503" t="s">
        <v>16391</v>
      </c>
      <c r="BI503" t="s">
        <v>193</v>
      </c>
      <c r="BJ503">
        <v>0</v>
      </c>
      <c r="BK503">
        <v>1</v>
      </c>
      <c r="BL503" t="s">
        <v>69</v>
      </c>
      <c r="BM503">
        <v>-0.52200000000000002</v>
      </c>
      <c r="BN503">
        <v>0.13900000000000001</v>
      </c>
    </row>
    <row r="504" spans="2:66">
      <c r="B504">
        <v>800</v>
      </c>
      <c r="C504">
        <v>195</v>
      </c>
      <c r="D504">
        <v>0</v>
      </c>
      <c r="E504">
        <v>2</v>
      </c>
      <c r="F504">
        <v>0</v>
      </c>
      <c r="J504">
        <v>0</v>
      </c>
      <c r="K504">
        <v>12</v>
      </c>
      <c r="L504">
        <v>0</v>
      </c>
      <c r="M504" t="s">
        <v>25022</v>
      </c>
      <c r="N504">
        <v>2853</v>
      </c>
      <c r="O504" t="s">
        <v>16392</v>
      </c>
      <c r="P504" t="s">
        <v>62</v>
      </c>
      <c r="Q504">
        <v>2798177</v>
      </c>
      <c r="R504">
        <v>2800810</v>
      </c>
      <c r="S504" t="s">
        <v>16393</v>
      </c>
      <c r="T504">
        <v>878</v>
      </c>
      <c r="U504" t="s">
        <v>108</v>
      </c>
      <c r="V504">
        <v>44</v>
      </c>
      <c r="W504" t="str">
        <f>HYPERLINK("Gene2853-zp_tree_all.dnd", "Gene2853-tree")</f>
        <v>Gene2853-tree</v>
      </c>
      <c r="X504">
        <v>4</v>
      </c>
      <c r="Y504">
        <v>9</v>
      </c>
      <c r="Z504">
        <v>4</v>
      </c>
      <c r="AA504">
        <v>9</v>
      </c>
      <c r="AB504">
        <v>0.69230999999999998</v>
      </c>
      <c r="AC504" t="s">
        <v>61</v>
      </c>
      <c r="AD504" t="s">
        <v>135</v>
      </c>
      <c r="AE504" t="s">
        <v>62</v>
      </c>
      <c r="AF504" t="s">
        <v>62</v>
      </c>
      <c r="AG504">
        <v>4</v>
      </c>
      <c r="AH504">
        <v>12</v>
      </c>
      <c r="AI504">
        <v>15</v>
      </c>
      <c r="AJ504">
        <v>0.44444</v>
      </c>
      <c r="AK504">
        <v>0</v>
      </c>
      <c r="AL504">
        <v>0</v>
      </c>
      <c r="AM504">
        <v>0</v>
      </c>
      <c r="AN504">
        <v>4</v>
      </c>
      <c r="AO504">
        <v>0</v>
      </c>
      <c r="AP504">
        <v>9</v>
      </c>
      <c r="AQ504">
        <v>0</v>
      </c>
      <c r="AR504">
        <v>9</v>
      </c>
      <c r="AS504">
        <v>8</v>
      </c>
      <c r="AT504">
        <v>0.52941000000000005</v>
      </c>
      <c r="AU504">
        <v>12</v>
      </c>
      <c r="AV504">
        <v>8</v>
      </c>
      <c r="AW504">
        <v>62</v>
      </c>
      <c r="AX504">
        <v>17</v>
      </c>
      <c r="AY504">
        <v>28</v>
      </c>
      <c r="AZ504">
        <v>10</v>
      </c>
      <c r="BA504" t="s">
        <v>16394</v>
      </c>
      <c r="BB504" t="s">
        <v>16395</v>
      </c>
      <c r="BC504">
        <v>0.45600000000000002</v>
      </c>
      <c r="BD504" t="s">
        <v>65</v>
      </c>
      <c r="BE504">
        <v>90</v>
      </c>
      <c r="BF504">
        <v>27</v>
      </c>
      <c r="BG504" t="s">
        <v>16396</v>
      </c>
      <c r="BH504" t="s">
        <v>16397</v>
      </c>
      <c r="BI504" t="s">
        <v>16398</v>
      </c>
      <c r="BJ504">
        <v>9.239E-2</v>
      </c>
      <c r="BK504">
        <v>1</v>
      </c>
      <c r="BL504" t="s">
        <v>69</v>
      </c>
      <c r="BM504">
        <v>-0.76700000000000002</v>
      </c>
      <c r="BN504">
        <v>-0.32600000000000001</v>
      </c>
    </row>
    <row r="505" spans="2:66">
      <c r="B505">
        <v>803</v>
      </c>
      <c r="C505">
        <v>30</v>
      </c>
      <c r="D505">
        <v>0</v>
      </c>
      <c r="E505">
        <v>4</v>
      </c>
      <c r="F505">
        <v>0</v>
      </c>
      <c r="J505">
        <v>0</v>
      </c>
      <c r="K505">
        <v>4</v>
      </c>
      <c r="L505">
        <v>0</v>
      </c>
      <c r="M505" t="s">
        <v>25022</v>
      </c>
      <c r="N505">
        <v>2854</v>
      </c>
      <c r="O505" t="s">
        <v>16399</v>
      </c>
      <c r="P505" t="s">
        <v>62</v>
      </c>
      <c r="Q505">
        <v>2801144</v>
      </c>
      <c r="R505">
        <v>2802202</v>
      </c>
      <c r="S505" t="s">
        <v>7478</v>
      </c>
      <c r="T505">
        <v>353</v>
      </c>
      <c r="U505" t="s">
        <v>108</v>
      </c>
      <c r="V505">
        <v>44</v>
      </c>
      <c r="W505" t="str">
        <f>HYPERLINK("Gene2854-zp_tree_all.dnd", "Gene2854-tree")</f>
        <v>Gene2854-tree</v>
      </c>
      <c r="X505">
        <v>6</v>
      </c>
      <c r="Y505">
        <v>5</v>
      </c>
      <c r="Z505">
        <v>6</v>
      </c>
      <c r="AA505">
        <v>5</v>
      </c>
      <c r="AB505">
        <v>0.45455000000000001</v>
      </c>
      <c r="AC505" t="s">
        <v>90</v>
      </c>
      <c r="AD505" t="s">
        <v>199</v>
      </c>
      <c r="AE505" t="s">
        <v>62</v>
      </c>
      <c r="AF505" t="s">
        <v>62</v>
      </c>
      <c r="AG505">
        <v>2</v>
      </c>
      <c r="AH505">
        <v>4</v>
      </c>
      <c r="AI505">
        <v>3</v>
      </c>
      <c r="AJ505">
        <v>0.57142999999999999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2</v>
      </c>
      <c r="AQ505">
        <v>0</v>
      </c>
      <c r="AR505">
        <v>2</v>
      </c>
      <c r="AS505">
        <v>4</v>
      </c>
      <c r="AT505">
        <v>0.33333000000000002</v>
      </c>
      <c r="AU505">
        <v>10</v>
      </c>
      <c r="AV505">
        <v>6</v>
      </c>
      <c r="AW505">
        <v>27</v>
      </c>
      <c r="AX505">
        <v>6</v>
      </c>
      <c r="AY505">
        <v>7</v>
      </c>
      <c r="AZ505">
        <v>1</v>
      </c>
      <c r="BA505" t="s">
        <v>16400</v>
      </c>
      <c r="BB505" t="s">
        <v>16401</v>
      </c>
      <c r="BC505">
        <v>0.23100000000000001</v>
      </c>
      <c r="BD505" t="s">
        <v>65</v>
      </c>
      <c r="BE505">
        <v>34</v>
      </c>
      <c r="BF505">
        <v>7</v>
      </c>
      <c r="BG505" t="s">
        <v>16402</v>
      </c>
      <c r="BH505" t="s">
        <v>16403</v>
      </c>
      <c r="BI505" t="s">
        <v>16404</v>
      </c>
      <c r="BJ505">
        <v>5.6189999999999997E-2</v>
      </c>
      <c r="BK505">
        <v>1</v>
      </c>
      <c r="BL505" t="s">
        <v>69</v>
      </c>
      <c r="BM505">
        <v>-0.56899999999999995</v>
      </c>
      <c r="BN505">
        <v>-0.753</v>
      </c>
    </row>
    <row r="506" spans="2:66">
      <c r="B506">
        <v>805</v>
      </c>
      <c r="C506">
        <v>134</v>
      </c>
      <c r="D506">
        <v>0</v>
      </c>
      <c r="E506">
        <v>2</v>
      </c>
      <c r="F506">
        <v>0</v>
      </c>
      <c r="J506">
        <v>0</v>
      </c>
      <c r="K506">
        <v>0</v>
      </c>
      <c r="L506">
        <v>0</v>
      </c>
      <c r="M506" t="s">
        <v>25022</v>
      </c>
      <c r="N506">
        <v>2859</v>
      </c>
      <c r="O506" t="s">
        <v>16431</v>
      </c>
      <c r="P506" t="s">
        <v>62</v>
      </c>
      <c r="Q506">
        <v>2805351</v>
      </c>
      <c r="R506">
        <v>2805479</v>
      </c>
      <c r="S506" t="s">
        <v>116</v>
      </c>
      <c r="T506">
        <v>43</v>
      </c>
      <c r="U506" t="s">
        <v>59</v>
      </c>
      <c r="V506">
        <v>49</v>
      </c>
      <c r="W506" t="str">
        <f>HYPERLINK("Gene2859-zp_tree_all.dnd", "Gene2859-tree")</f>
        <v>Gene2859-tree</v>
      </c>
      <c r="X506">
        <v>5</v>
      </c>
      <c r="Y506">
        <v>1</v>
      </c>
      <c r="Z506">
        <v>5</v>
      </c>
      <c r="AA506">
        <v>1</v>
      </c>
      <c r="AB506">
        <v>0.16667000000000001</v>
      </c>
      <c r="AC506" t="s">
        <v>199</v>
      </c>
      <c r="AD506" t="s">
        <v>175</v>
      </c>
      <c r="AE506" t="s">
        <v>62</v>
      </c>
      <c r="AF506" t="s">
        <v>62</v>
      </c>
      <c r="AG506">
        <v>0</v>
      </c>
      <c r="AH506">
        <v>0</v>
      </c>
      <c r="AI506">
        <v>2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2</v>
      </c>
      <c r="AV506">
        <v>3</v>
      </c>
      <c r="AW506">
        <v>2</v>
      </c>
      <c r="AX506">
        <v>0</v>
      </c>
      <c r="AY506">
        <v>4</v>
      </c>
      <c r="AZ506">
        <v>2</v>
      </c>
      <c r="BA506" t="s">
        <v>193</v>
      </c>
      <c r="BB506" t="s">
        <v>16432</v>
      </c>
      <c r="BC506">
        <v>1.732</v>
      </c>
      <c r="BD506" t="s">
        <v>65</v>
      </c>
      <c r="BE506">
        <v>6</v>
      </c>
      <c r="BF506">
        <v>2</v>
      </c>
      <c r="BG506" t="s">
        <v>16433</v>
      </c>
      <c r="BH506" t="s">
        <v>16434</v>
      </c>
      <c r="BI506" t="s">
        <v>16435</v>
      </c>
      <c r="BJ506">
        <v>9.7430000000000003E-2</v>
      </c>
      <c r="BK506">
        <v>1</v>
      </c>
      <c r="BL506" t="s">
        <v>69</v>
      </c>
      <c r="BM506">
        <v>-1.161</v>
      </c>
      <c r="BN506">
        <v>0.59099999999999997</v>
      </c>
    </row>
    <row r="507" spans="2:66">
      <c r="B507">
        <v>806</v>
      </c>
      <c r="C507">
        <v>635</v>
      </c>
      <c r="D507">
        <v>0</v>
      </c>
      <c r="E507">
        <v>5</v>
      </c>
      <c r="F507">
        <v>0</v>
      </c>
      <c r="J507">
        <v>0</v>
      </c>
      <c r="K507">
        <v>0</v>
      </c>
      <c r="L507">
        <v>0</v>
      </c>
      <c r="M507" t="s">
        <v>25022</v>
      </c>
      <c r="N507">
        <v>2860</v>
      </c>
      <c r="O507" t="s">
        <v>16436</v>
      </c>
      <c r="P507" t="s">
        <v>62</v>
      </c>
      <c r="Q507">
        <v>2805504</v>
      </c>
      <c r="R507">
        <v>2805692</v>
      </c>
      <c r="S507" t="s">
        <v>116</v>
      </c>
      <c r="T507">
        <v>63</v>
      </c>
      <c r="U507" t="s">
        <v>59</v>
      </c>
      <c r="V507">
        <v>49</v>
      </c>
      <c r="W507" t="str">
        <f>HYPERLINK("Gene2860-zp_tree_all.dnd", "Gene2860-tree")</f>
        <v>Gene2860-tree</v>
      </c>
      <c r="X507">
        <v>42</v>
      </c>
      <c r="Y507">
        <v>1</v>
      </c>
      <c r="Z507">
        <v>6</v>
      </c>
      <c r="AA507">
        <v>1</v>
      </c>
      <c r="AB507">
        <v>0.14285999999999999</v>
      </c>
      <c r="AC507" t="s">
        <v>5604</v>
      </c>
      <c r="AD507" t="s">
        <v>175</v>
      </c>
      <c r="AE507" t="s">
        <v>62</v>
      </c>
      <c r="AF507" t="s">
        <v>62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5</v>
      </c>
      <c r="AV507">
        <v>3</v>
      </c>
      <c r="AW507">
        <v>4</v>
      </c>
      <c r="AX507">
        <v>1</v>
      </c>
      <c r="AY507">
        <v>6</v>
      </c>
      <c r="AZ507">
        <v>0</v>
      </c>
      <c r="BA507" t="s">
        <v>16437</v>
      </c>
      <c r="BB507" t="s">
        <v>193</v>
      </c>
      <c r="BC507">
        <v>0.52600000000000002</v>
      </c>
      <c r="BD507" t="s">
        <v>65</v>
      </c>
      <c r="BE507">
        <v>10</v>
      </c>
      <c r="BF507">
        <v>1</v>
      </c>
      <c r="BG507" t="s">
        <v>16438</v>
      </c>
      <c r="BH507" t="s">
        <v>16439</v>
      </c>
      <c r="BI507" t="s">
        <v>16440</v>
      </c>
      <c r="BJ507">
        <v>1.4619999999999999E-2</v>
      </c>
      <c r="BK507">
        <v>1</v>
      </c>
      <c r="BL507" t="s">
        <v>69</v>
      </c>
      <c r="BM507">
        <v>-1.556</v>
      </c>
      <c r="BN507">
        <v>-0.27500000000000002</v>
      </c>
    </row>
    <row r="508" spans="2:66">
      <c r="B508">
        <v>807</v>
      </c>
      <c r="C508">
        <v>2</v>
      </c>
      <c r="D508">
        <v>0</v>
      </c>
      <c r="E508">
        <v>2</v>
      </c>
      <c r="F508">
        <v>2</v>
      </c>
      <c r="J508">
        <v>2</v>
      </c>
      <c r="K508">
        <v>4</v>
      </c>
      <c r="L508">
        <v>8</v>
      </c>
      <c r="M508" t="s">
        <v>25022</v>
      </c>
      <c r="N508">
        <v>2861</v>
      </c>
      <c r="O508" t="s">
        <v>16441</v>
      </c>
      <c r="P508" t="s">
        <v>62</v>
      </c>
      <c r="Q508">
        <v>2805707</v>
      </c>
      <c r="R508">
        <v>2806228</v>
      </c>
      <c r="S508" t="s">
        <v>116</v>
      </c>
      <c r="T508">
        <v>174</v>
      </c>
      <c r="U508" t="s">
        <v>59</v>
      </c>
      <c r="V508">
        <v>49</v>
      </c>
      <c r="W508" t="str">
        <f>HYPERLINK("Gene2861-zp_tree_all.dnd", "Gene2861-tree")</f>
        <v>Gene2861-tree</v>
      </c>
      <c r="X508">
        <v>8</v>
      </c>
      <c r="Y508">
        <v>11</v>
      </c>
      <c r="Z508">
        <v>8</v>
      </c>
      <c r="AA508">
        <v>11</v>
      </c>
      <c r="AB508">
        <v>0.57894999999999996</v>
      </c>
      <c r="AC508" t="s">
        <v>136</v>
      </c>
      <c r="AD508" t="s">
        <v>73</v>
      </c>
      <c r="AE508">
        <v>42922973.636</v>
      </c>
      <c r="AF508" t="s">
        <v>267</v>
      </c>
      <c r="AG508">
        <v>6</v>
      </c>
      <c r="AH508">
        <v>14</v>
      </c>
      <c r="AI508">
        <v>9</v>
      </c>
      <c r="AJ508">
        <v>0.60870000000000002</v>
      </c>
      <c r="AK508">
        <v>0</v>
      </c>
      <c r="AL508">
        <v>0</v>
      </c>
      <c r="AM508">
        <v>0</v>
      </c>
      <c r="AN508">
        <v>2</v>
      </c>
      <c r="AO508">
        <v>0</v>
      </c>
      <c r="AP508">
        <v>0</v>
      </c>
      <c r="AQ508">
        <v>6</v>
      </c>
      <c r="AR508">
        <v>6</v>
      </c>
      <c r="AS508">
        <v>6</v>
      </c>
      <c r="AT508">
        <v>0.5</v>
      </c>
      <c r="AU508">
        <v>12</v>
      </c>
      <c r="AV508">
        <v>12</v>
      </c>
      <c r="AW508">
        <v>19</v>
      </c>
      <c r="AX508">
        <v>9</v>
      </c>
      <c r="AY508">
        <v>29</v>
      </c>
      <c r="AZ508">
        <v>14</v>
      </c>
      <c r="BA508" t="s">
        <v>16442</v>
      </c>
      <c r="BB508" t="s">
        <v>16443</v>
      </c>
      <c r="BC508">
        <v>1.4999999999999999E-2</v>
      </c>
      <c r="BD508" t="s">
        <v>65</v>
      </c>
      <c r="BE508">
        <v>48</v>
      </c>
      <c r="BF508">
        <v>23</v>
      </c>
      <c r="BG508" t="s">
        <v>16444</v>
      </c>
      <c r="BH508" t="s">
        <v>16445</v>
      </c>
      <c r="BI508" t="s">
        <v>4531</v>
      </c>
      <c r="BJ508">
        <v>0.15564</v>
      </c>
      <c r="BK508">
        <v>1</v>
      </c>
      <c r="BL508" t="s">
        <v>69</v>
      </c>
      <c r="BM508">
        <v>-0.94599999999999995</v>
      </c>
      <c r="BN508">
        <v>-1.181</v>
      </c>
    </row>
    <row r="509" spans="2:66">
      <c r="B509">
        <v>809</v>
      </c>
      <c r="C509">
        <v>241</v>
      </c>
      <c r="D509">
        <v>0</v>
      </c>
      <c r="E509">
        <v>5</v>
      </c>
      <c r="F509">
        <v>0</v>
      </c>
      <c r="J509">
        <v>0</v>
      </c>
      <c r="K509">
        <v>0</v>
      </c>
      <c r="L509">
        <v>0</v>
      </c>
      <c r="M509" t="s">
        <v>25022</v>
      </c>
      <c r="N509">
        <v>2862</v>
      </c>
      <c r="O509" t="s">
        <v>16446</v>
      </c>
      <c r="P509" t="s">
        <v>62</v>
      </c>
      <c r="Q509">
        <v>2806289</v>
      </c>
      <c r="R509">
        <v>2808682</v>
      </c>
      <c r="S509" t="s">
        <v>16447</v>
      </c>
      <c r="T509">
        <v>798</v>
      </c>
      <c r="U509" t="s">
        <v>108</v>
      </c>
      <c r="V509">
        <v>44</v>
      </c>
      <c r="W509" t="str">
        <f>HYPERLINK("Gene2862-zp_tree_all.dnd", "Gene2862-tree")</f>
        <v>Gene2862-tree</v>
      </c>
      <c r="X509">
        <v>8</v>
      </c>
      <c r="Y509">
        <v>7</v>
      </c>
      <c r="Z509">
        <v>8</v>
      </c>
      <c r="AA509">
        <v>7</v>
      </c>
      <c r="AB509">
        <v>0.46666999999999997</v>
      </c>
      <c r="AC509" t="s">
        <v>136</v>
      </c>
      <c r="AD509" t="s">
        <v>152</v>
      </c>
      <c r="AE509" t="s">
        <v>62</v>
      </c>
      <c r="AF509" t="s">
        <v>62</v>
      </c>
      <c r="AG509">
        <v>0</v>
      </c>
      <c r="AH509">
        <v>0</v>
      </c>
      <c r="AI509">
        <v>12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11</v>
      </c>
      <c r="AT509">
        <v>0</v>
      </c>
      <c r="AU509">
        <v>14</v>
      </c>
      <c r="AV509">
        <v>12</v>
      </c>
      <c r="AW509">
        <v>83</v>
      </c>
      <c r="AX509">
        <v>12</v>
      </c>
      <c r="AY509">
        <v>72</v>
      </c>
      <c r="AZ509">
        <v>4</v>
      </c>
      <c r="BA509" t="s">
        <v>16448</v>
      </c>
      <c r="BB509" t="s">
        <v>16449</v>
      </c>
      <c r="BC509">
        <v>1.1200000000000001</v>
      </c>
      <c r="BD509" t="s">
        <v>65</v>
      </c>
      <c r="BE509">
        <v>155</v>
      </c>
      <c r="BF509">
        <v>16</v>
      </c>
      <c r="BG509" t="s">
        <v>16450</v>
      </c>
      <c r="BH509" t="s">
        <v>16451</v>
      </c>
      <c r="BI509" t="s">
        <v>16452</v>
      </c>
      <c r="BJ509">
        <v>2.7969999999999998E-2</v>
      </c>
      <c r="BK509">
        <v>1</v>
      </c>
      <c r="BL509" t="s">
        <v>69</v>
      </c>
      <c r="BM509">
        <v>-0.377</v>
      </c>
      <c r="BN509">
        <v>-0.26800000000000002</v>
      </c>
    </row>
    <row r="510" spans="2:66">
      <c r="B510">
        <v>810</v>
      </c>
      <c r="C510">
        <v>302</v>
      </c>
      <c r="D510">
        <v>0</v>
      </c>
      <c r="E510">
        <v>8</v>
      </c>
      <c r="F510">
        <v>0</v>
      </c>
      <c r="J510">
        <v>0</v>
      </c>
      <c r="K510">
        <v>6</v>
      </c>
      <c r="L510">
        <v>0</v>
      </c>
      <c r="M510" t="s">
        <v>25022</v>
      </c>
      <c r="N510">
        <v>2863</v>
      </c>
      <c r="O510" t="s">
        <v>16453</v>
      </c>
      <c r="P510" t="s">
        <v>62</v>
      </c>
      <c r="Q510">
        <v>2808710</v>
      </c>
      <c r="R510">
        <v>2809327</v>
      </c>
      <c r="S510" t="s">
        <v>16454</v>
      </c>
      <c r="T510">
        <v>206</v>
      </c>
      <c r="U510" t="s">
        <v>108</v>
      </c>
      <c r="V510">
        <v>44</v>
      </c>
      <c r="W510" t="str">
        <f>HYPERLINK("Gene2863-zp_tree_all.dnd", "Gene2863-tree")</f>
        <v>Gene2863-tree</v>
      </c>
      <c r="X510">
        <v>9</v>
      </c>
      <c r="Y510">
        <v>6</v>
      </c>
      <c r="Z510">
        <v>9</v>
      </c>
      <c r="AA510">
        <v>6</v>
      </c>
      <c r="AB510">
        <v>0.4</v>
      </c>
      <c r="AC510" t="s">
        <v>135</v>
      </c>
      <c r="AD510" t="s">
        <v>90</v>
      </c>
      <c r="AE510" t="s">
        <v>62</v>
      </c>
      <c r="AF510" t="s">
        <v>62</v>
      </c>
      <c r="AG510">
        <v>3</v>
      </c>
      <c r="AH510">
        <v>6</v>
      </c>
      <c r="AI510">
        <v>4</v>
      </c>
      <c r="AJ510">
        <v>0.6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2</v>
      </c>
      <c r="AQ510">
        <v>0</v>
      </c>
      <c r="AR510">
        <v>2</v>
      </c>
      <c r="AS510">
        <v>6</v>
      </c>
      <c r="AT510">
        <v>0.25</v>
      </c>
      <c r="AU510">
        <v>11</v>
      </c>
      <c r="AV510">
        <v>10</v>
      </c>
      <c r="AW510">
        <v>19</v>
      </c>
      <c r="AX510">
        <v>8</v>
      </c>
      <c r="AY510">
        <v>14</v>
      </c>
      <c r="AZ510">
        <v>2</v>
      </c>
      <c r="BA510" t="s">
        <v>16455</v>
      </c>
      <c r="BB510" t="s">
        <v>16456</v>
      </c>
      <c r="BC510">
        <v>0.98499999999999999</v>
      </c>
      <c r="BD510" t="s">
        <v>65</v>
      </c>
      <c r="BE510">
        <v>33</v>
      </c>
      <c r="BF510">
        <v>10</v>
      </c>
      <c r="BG510" t="s">
        <v>16457</v>
      </c>
      <c r="BH510" t="s">
        <v>16458</v>
      </c>
      <c r="BI510" t="s">
        <v>16459</v>
      </c>
      <c r="BJ510">
        <v>7.4190000000000006E-2</v>
      </c>
      <c r="BK510">
        <v>1</v>
      </c>
      <c r="BL510" t="s">
        <v>69</v>
      </c>
      <c r="BM510">
        <v>-0.34699999999999998</v>
      </c>
      <c r="BN510">
        <v>-0.46100000000000002</v>
      </c>
    </row>
    <row r="511" spans="2:66">
      <c r="B511">
        <v>812</v>
      </c>
      <c r="C511">
        <v>266</v>
      </c>
      <c r="D511">
        <v>0</v>
      </c>
      <c r="E511">
        <v>4</v>
      </c>
      <c r="F511">
        <v>2</v>
      </c>
      <c r="J511">
        <v>0</v>
      </c>
      <c r="K511">
        <v>4</v>
      </c>
      <c r="L511">
        <v>2</v>
      </c>
      <c r="M511" t="s">
        <v>25022</v>
      </c>
      <c r="N511">
        <v>2864</v>
      </c>
      <c r="O511" t="s">
        <v>16460</v>
      </c>
      <c r="P511" t="s">
        <v>62</v>
      </c>
      <c r="Q511">
        <v>2809416</v>
      </c>
      <c r="R511">
        <v>2810528</v>
      </c>
      <c r="S511" t="s">
        <v>16461</v>
      </c>
      <c r="T511">
        <v>371</v>
      </c>
      <c r="U511" t="s">
        <v>59</v>
      </c>
      <c r="V511">
        <v>49</v>
      </c>
      <c r="W511" t="str">
        <f>HYPERLINK("Gene2864-zp_tree_all.dnd", "Gene2864-tree")</f>
        <v>Gene2864-tree</v>
      </c>
      <c r="X511">
        <v>9</v>
      </c>
      <c r="Y511">
        <v>28</v>
      </c>
      <c r="Z511">
        <v>9</v>
      </c>
      <c r="AA511">
        <v>10</v>
      </c>
      <c r="AB511">
        <v>0.52632000000000001</v>
      </c>
      <c r="AC511" t="s">
        <v>135</v>
      </c>
      <c r="AD511" t="s">
        <v>7613</v>
      </c>
      <c r="AE511">
        <v>3.18</v>
      </c>
      <c r="AF511" t="s">
        <v>65</v>
      </c>
      <c r="AG511">
        <v>3</v>
      </c>
      <c r="AH511">
        <v>6</v>
      </c>
      <c r="AI511">
        <v>12</v>
      </c>
      <c r="AJ511">
        <v>0.33333000000000002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2</v>
      </c>
      <c r="AQ511">
        <v>0</v>
      </c>
      <c r="AR511">
        <v>2</v>
      </c>
      <c r="AS511">
        <v>12</v>
      </c>
      <c r="AT511">
        <v>0.14285999999999999</v>
      </c>
      <c r="AU511">
        <v>16</v>
      </c>
      <c r="AV511">
        <v>16</v>
      </c>
      <c r="AW511">
        <v>68</v>
      </c>
      <c r="AX511">
        <v>14</v>
      </c>
      <c r="AY511">
        <v>73</v>
      </c>
      <c r="AZ511">
        <v>5</v>
      </c>
      <c r="BA511" t="s">
        <v>16462</v>
      </c>
      <c r="BB511" t="s">
        <v>16463</v>
      </c>
      <c r="BC511">
        <v>1.131</v>
      </c>
      <c r="BD511" t="s">
        <v>65</v>
      </c>
      <c r="BE511">
        <v>141</v>
      </c>
      <c r="BF511">
        <v>19</v>
      </c>
      <c r="BG511" t="s">
        <v>16464</v>
      </c>
      <c r="BH511" t="s">
        <v>16465</v>
      </c>
      <c r="BI511" t="s">
        <v>11828</v>
      </c>
      <c r="BJ511">
        <v>3.0210000000000001E-2</v>
      </c>
      <c r="BK511">
        <v>1</v>
      </c>
      <c r="BL511" t="s">
        <v>69</v>
      </c>
      <c r="BM511">
        <v>-1.23</v>
      </c>
      <c r="BN511">
        <v>-1.236</v>
      </c>
    </row>
    <row r="512" spans="2:66">
      <c r="B512">
        <v>813</v>
      </c>
      <c r="C512">
        <v>102</v>
      </c>
      <c r="D512">
        <v>0</v>
      </c>
      <c r="E512">
        <v>8</v>
      </c>
      <c r="F512">
        <v>0</v>
      </c>
      <c r="J512">
        <v>0</v>
      </c>
      <c r="K512">
        <v>9</v>
      </c>
      <c r="L512">
        <v>0</v>
      </c>
      <c r="M512" t="s">
        <v>25022</v>
      </c>
      <c r="N512">
        <v>2865</v>
      </c>
      <c r="O512" t="s">
        <v>16466</v>
      </c>
      <c r="P512" t="s">
        <v>62</v>
      </c>
      <c r="Q512">
        <v>2810562</v>
      </c>
      <c r="R512">
        <v>2811698</v>
      </c>
      <c r="S512" t="s">
        <v>16467</v>
      </c>
      <c r="T512">
        <v>379</v>
      </c>
      <c r="U512" t="s">
        <v>108</v>
      </c>
      <c r="V512">
        <v>44</v>
      </c>
      <c r="W512" t="str">
        <f>HYPERLINK("Gene2865-zp_tree_all.dnd", "Gene2865-tree")</f>
        <v>Gene2865-tree</v>
      </c>
      <c r="X512">
        <v>4</v>
      </c>
      <c r="Y512">
        <v>9</v>
      </c>
      <c r="Z512">
        <v>4</v>
      </c>
      <c r="AA512">
        <v>9</v>
      </c>
      <c r="AB512">
        <v>0.69230999999999998</v>
      </c>
      <c r="AC512" t="s">
        <v>61</v>
      </c>
      <c r="AD512" t="s">
        <v>135</v>
      </c>
      <c r="AE512" t="s">
        <v>62</v>
      </c>
      <c r="AF512" t="s">
        <v>62</v>
      </c>
      <c r="AG512">
        <v>4</v>
      </c>
      <c r="AH512">
        <v>9</v>
      </c>
      <c r="AI512">
        <v>9</v>
      </c>
      <c r="AJ512">
        <v>0.5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4</v>
      </c>
      <c r="AQ512">
        <v>0</v>
      </c>
      <c r="AR512">
        <v>4</v>
      </c>
      <c r="AS512">
        <v>11</v>
      </c>
      <c r="AT512">
        <v>0.26667000000000002</v>
      </c>
      <c r="AU512">
        <v>10</v>
      </c>
      <c r="AV512">
        <v>8</v>
      </c>
      <c r="AW512">
        <v>21</v>
      </c>
      <c r="AX512">
        <v>13</v>
      </c>
      <c r="AY512">
        <v>13</v>
      </c>
      <c r="AZ512">
        <v>5</v>
      </c>
      <c r="BA512" t="s">
        <v>16468</v>
      </c>
      <c r="BB512" t="s">
        <v>16469</v>
      </c>
      <c r="BC512">
        <v>0.65900000000000003</v>
      </c>
      <c r="BD512" t="s">
        <v>65</v>
      </c>
      <c r="BE512">
        <v>34</v>
      </c>
      <c r="BF512">
        <v>18</v>
      </c>
      <c r="BG512" t="s">
        <v>16470</v>
      </c>
      <c r="BH512" t="s">
        <v>16471</v>
      </c>
      <c r="BI512" t="s">
        <v>13345</v>
      </c>
      <c r="BJ512">
        <v>0.13743</v>
      </c>
      <c r="BK512">
        <v>1</v>
      </c>
      <c r="BL512" t="s">
        <v>69</v>
      </c>
      <c r="BM512">
        <v>-0.46700000000000003</v>
      </c>
      <c r="BN512">
        <v>-1.8979999999999999</v>
      </c>
    </row>
    <row r="513" spans="2:66">
      <c r="B513">
        <v>814</v>
      </c>
      <c r="C513">
        <v>307</v>
      </c>
      <c r="D513">
        <v>0</v>
      </c>
      <c r="E513">
        <v>2</v>
      </c>
      <c r="F513">
        <v>0</v>
      </c>
      <c r="J513">
        <v>0</v>
      </c>
      <c r="K513">
        <v>0</v>
      </c>
      <c r="L513">
        <v>0</v>
      </c>
      <c r="M513" t="s">
        <v>25022</v>
      </c>
      <c r="N513">
        <v>2866</v>
      </c>
      <c r="O513" t="s">
        <v>16472</v>
      </c>
      <c r="P513" t="s">
        <v>62</v>
      </c>
      <c r="Q513">
        <v>2811720</v>
      </c>
      <c r="R513">
        <v>2812133</v>
      </c>
      <c r="S513" t="s">
        <v>16473</v>
      </c>
      <c r="T513">
        <v>138</v>
      </c>
      <c r="U513" t="s">
        <v>59</v>
      </c>
      <c r="V513">
        <v>49</v>
      </c>
      <c r="W513" t="str">
        <f>HYPERLINK("Gene2866-zp_tree_all.dnd", "Gene2866-tree")</f>
        <v>Gene2866-tree</v>
      </c>
      <c r="X513">
        <v>10</v>
      </c>
      <c r="Y513">
        <v>1</v>
      </c>
      <c r="Z513">
        <v>10</v>
      </c>
      <c r="AA513">
        <v>1</v>
      </c>
      <c r="AB513">
        <v>9.0910000000000005E-2</v>
      </c>
      <c r="AC513" t="s">
        <v>117</v>
      </c>
      <c r="AD513" t="s">
        <v>175</v>
      </c>
      <c r="AE513" t="s">
        <v>62</v>
      </c>
      <c r="AF513" t="s">
        <v>62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8</v>
      </c>
      <c r="AV513">
        <v>5</v>
      </c>
      <c r="AW513">
        <v>17</v>
      </c>
      <c r="AX513">
        <v>1</v>
      </c>
      <c r="AY513">
        <v>19</v>
      </c>
      <c r="AZ513">
        <v>0</v>
      </c>
      <c r="BA513" t="s">
        <v>16474</v>
      </c>
      <c r="BB513" t="s">
        <v>193</v>
      </c>
      <c r="BC513">
        <v>0.35099999999999998</v>
      </c>
      <c r="BD513" t="s">
        <v>65</v>
      </c>
      <c r="BE513">
        <v>36</v>
      </c>
      <c r="BF513">
        <v>1</v>
      </c>
      <c r="BG513" t="s">
        <v>16475</v>
      </c>
      <c r="BH513" t="s">
        <v>16476</v>
      </c>
      <c r="BI513" t="s">
        <v>16477</v>
      </c>
      <c r="BJ513">
        <v>5.0499999999999998E-3</v>
      </c>
      <c r="BK513">
        <v>1</v>
      </c>
      <c r="BL513" t="s">
        <v>69</v>
      </c>
      <c r="BM513">
        <v>-1.5529999999999999</v>
      </c>
      <c r="BN513">
        <v>-2.0459999999999998</v>
      </c>
    </row>
    <row r="514" spans="2:66">
      <c r="B514">
        <v>817</v>
      </c>
      <c r="C514">
        <v>60</v>
      </c>
      <c r="D514">
        <v>0</v>
      </c>
      <c r="E514">
        <v>2</v>
      </c>
      <c r="F514">
        <v>0</v>
      </c>
      <c r="J514">
        <v>0</v>
      </c>
      <c r="K514">
        <v>4</v>
      </c>
      <c r="L514">
        <v>3</v>
      </c>
      <c r="M514" t="s">
        <v>25022</v>
      </c>
      <c r="N514">
        <v>2868</v>
      </c>
      <c r="O514" t="s">
        <v>16485</v>
      </c>
      <c r="P514" t="s">
        <v>62</v>
      </c>
      <c r="Q514">
        <v>2813646</v>
      </c>
      <c r="R514">
        <v>2814407</v>
      </c>
      <c r="S514" t="s">
        <v>16486</v>
      </c>
      <c r="T514">
        <v>254</v>
      </c>
      <c r="U514" t="s">
        <v>108</v>
      </c>
      <c r="V514">
        <v>44</v>
      </c>
      <c r="W514" t="str">
        <f>HYPERLINK("Gene2868-zp_tree_all.dnd", "Gene2868-tree")</f>
        <v>Gene2868-tree</v>
      </c>
      <c r="X514">
        <v>6</v>
      </c>
      <c r="Y514">
        <v>23</v>
      </c>
      <c r="Z514">
        <v>6</v>
      </c>
      <c r="AA514">
        <v>6</v>
      </c>
      <c r="AB514">
        <v>0.5</v>
      </c>
      <c r="AC514" t="s">
        <v>90</v>
      </c>
      <c r="AD514" t="s">
        <v>3589</v>
      </c>
      <c r="AE514">
        <v>3.581</v>
      </c>
      <c r="AF514" t="s">
        <v>65</v>
      </c>
      <c r="AG514">
        <v>3</v>
      </c>
      <c r="AH514">
        <v>7</v>
      </c>
      <c r="AI514">
        <v>2</v>
      </c>
      <c r="AJ514">
        <v>0.77778000000000003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4</v>
      </c>
      <c r="AR514">
        <v>4</v>
      </c>
      <c r="AS514">
        <v>3</v>
      </c>
      <c r="AT514">
        <v>0.57142999999999999</v>
      </c>
      <c r="AU514">
        <v>11</v>
      </c>
      <c r="AV514">
        <v>8</v>
      </c>
      <c r="AW514">
        <v>31</v>
      </c>
      <c r="AX514">
        <v>8</v>
      </c>
      <c r="AY514">
        <v>17</v>
      </c>
      <c r="AZ514">
        <v>2</v>
      </c>
      <c r="BA514" t="s">
        <v>16487</v>
      </c>
      <c r="BB514" t="s">
        <v>16488</v>
      </c>
      <c r="BC514">
        <v>0.63</v>
      </c>
      <c r="BD514" t="s">
        <v>65</v>
      </c>
      <c r="BE514">
        <v>48</v>
      </c>
      <c r="BF514">
        <v>10</v>
      </c>
      <c r="BG514" t="s">
        <v>16489</v>
      </c>
      <c r="BH514" t="s">
        <v>16490</v>
      </c>
      <c r="BI514" t="s">
        <v>16491</v>
      </c>
      <c r="BJ514">
        <v>4.326E-2</v>
      </c>
      <c r="BK514">
        <v>1</v>
      </c>
      <c r="BL514" t="s">
        <v>69</v>
      </c>
      <c r="BM514">
        <v>-0.34100000000000003</v>
      </c>
      <c r="BN514">
        <v>-1.9650000000000001</v>
      </c>
    </row>
    <row r="515" spans="2:66">
      <c r="B515">
        <v>818</v>
      </c>
      <c r="C515">
        <v>120</v>
      </c>
      <c r="D515">
        <v>0</v>
      </c>
      <c r="E515">
        <v>45</v>
      </c>
      <c r="F515">
        <v>11</v>
      </c>
      <c r="J515">
        <v>0</v>
      </c>
      <c r="K515">
        <v>4</v>
      </c>
      <c r="L515">
        <v>0</v>
      </c>
      <c r="M515" t="s">
        <v>25022</v>
      </c>
      <c r="N515">
        <v>2869</v>
      </c>
      <c r="O515" t="s">
        <v>16492</v>
      </c>
      <c r="P515" t="s">
        <v>62</v>
      </c>
      <c r="Q515">
        <v>2814746</v>
      </c>
      <c r="R515">
        <v>2816521</v>
      </c>
      <c r="S515" t="s">
        <v>16493</v>
      </c>
      <c r="T515">
        <v>592</v>
      </c>
      <c r="U515" t="s">
        <v>108</v>
      </c>
      <c r="V515">
        <v>44</v>
      </c>
      <c r="W515" t="str">
        <f>HYPERLINK("Gene2869-zp_tree_all.dnd", "Gene2869-tree")</f>
        <v>Gene2869-tree</v>
      </c>
      <c r="X515">
        <v>11</v>
      </c>
      <c r="Y515">
        <v>4</v>
      </c>
      <c r="Z515">
        <v>11</v>
      </c>
      <c r="AA515">
        <v>4</v>
      </c>
      <c r="AB515">
        <v>0.26667000000000002</v>
      </c>
      <c r="AC515" t="s">
        <v>73</v>
      </c>
      <c r="AD515" t="s">
        <v>61</v>
      </c>
      <c r="AE515" t="s">
        <v>62</v>
      </c>
      <c r="AF515" t="s">
        <v>62</v>
      </c>
      <c r="AG515">
        <v>1</v>
      </c>
      <c r="AH515">
        <v>4</v>
      </c>
      <c r="AI515">
        <v>16</v>
      </c>
      <c r="AJ515">
        <v>0.2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5</v>
      </c>
      <c r="AT515">
        <v>0</v>
      </c>
      <c r="AU515">
        <v>13</v>
      </c>
      <c r="AV515">
        <v>11</v>
      </c>
      <c r="AW515">
        <v>69</v>
      </c>
      <c r="AX515">
        <v>5</v>
      </c>
      <c r="AY515">
        <v>78</v>
      </c>
      <c r="AZ515">
        <v>16</v>
      </c>
      <c r="BA515" t="s">
        <v>16494</v>
      </c>
      <c r="BB515" t="s">
        <v>16495</v>
      </c>
      <c r="BC515">
        <v>0.36899999999999999</v>
      </c>
      <c r="BD515" t="s">
        <v>65</v>
      </c>
      <c r="BE515">
        <v>147</v>
      </c>
      <c r="BF515">
        <v>21</v>
      </c>
      <c r="BG515" t="s">
        <v>16496</v>
      </c>
      <c r="BH515" t="s">
        <v>16497</v>
      </c>
      <c r="BI515" t="s">
        <v>16498</v>
      </c>
      <c r="BJ515">
        <v>4.9829999999999999E-2</v>
      </c>
      <c r="BK515">
        <v>1</v>
      </c>
      <c r="BL515" t="s">
        <v>69</v>
      </c>
      <c r="BM515">
        <v>0.44</v>
      </c>
      <c r="BN515">
        <v>-0.30199999999999999</v>
      </c>
    </row>
    <row r="516" spans="2:66">
      <c r="B516">
        <v>819</v>
      </c>
      <c r="C516">
        <v>49</v>
      </c>
      <c r="D516">
        <v>0</v>
      </c>
      <c r="E516">
        <v>2</v>
      </c>
      <c r="F516">
        <v>4</v>
      </c>
      <c r="J516">
        <v>0</v>
      </c>
      <c r="K516">
        <v>8</v>
      </c>
      <c r="L516">
        <v>0</v>
      </c>
      <c r="M516" t="s">
        <v>25022</v>
      </c>
      <c r="N516">
        <v>2870</v>
      </c>
      <c r="O516" t="s">
        <v>16499</v>
      </c>
      <c r="P516" t="s">
        <v>62</v>
      </c>
      <c r="Q516">
        <v>2816538</v>
      </c>
      <c r="R516">
        <v>2817809</v>
      </c>
      <c r="S516" t="s">
        <v>16500</v>
      </c>
      <c r="T516">
        <v>424</v>
      </c>
      <c r="U516" t="s">
        <v>1607</v>
      </c>
      <c r="V516">
        <v>47</v>
      </c>
      <c r="W516" t="str">
        <f>HYPERLINK("Gene2870-zp_tree_all.dnd", "Gene2870-tree")</f>
        <v>Gene2870-tree</v>
      </c>
      <c r="X516">
        <v>6</v>
      </c>
      <c r="Y516">
        <v>8</v>
      </c>
      <c r="Z516">
        <v>6</v>
      </c>
      <c r="AA516">
        <v>8</v>
      </c>
      <c r="AB516">
        <v>0.57142999999999999</v>
      </c>
      <c r="AC516" t="s">
        <v>90</v>
      </c>
      <c r="AD516" t="s">
        <v>136</v>
      </c>
      <c r="AE516" t="s">
        <v>62</v>
      </c>
      <c r="AF516" t="s">
        <v>62</v>
      </c>
      <c r="AG516">
        <v>4</v>
      </c>
      <c r="AH516">
        <v>8</v>
      </c>
      <c r="AI516">
        <v>17</v>
      </c>
      <c r="AJ516">
        <v>0.32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2</v>
      </c>
      <c r="AQ516">
        <v>0</v>
      </c>
      <c r="AR516">
        <v>2</v>
      </c>
      <c r="AS516">
        <v>11</v>
      </c>
      <c r="AT516">
        <v>0.15384999999999999</v>
      </c>
      <c r="AU516">
        <v>11</v>
      </c>
      <c r="AV516">
        <v>11</v>
      </c>
      <c r="AW516">
        <v>64</v>
      </c>
      <c r="AX516">
        <v>13</v>
      </c>
      <c r="AY516">
        <v>79</v>
      </c>
      <c r="AZ516">
        <v>12</v>
      </c>
      <c r="BA516" t="s">
        <v>16501</v>
      </c>
      <c r="BB516" t="s">
        <v>16502</v>
      </c>
      <c r="BC516">
        <v>0.35599999999999998</v>
      </c>
      <c r="BD516" t="s">
        <v>65</v>
      </c>
      <c r="BE516">
        <v>143</v>
      </c>
      <c r="BF516">
        <v>25</v>
      </c>
      <c r="BG516" t="s">
        <v>16503</v>
      </c>
      <c r="BH516" t="s">
        <v>16504</v>
      </c>
      <c r="BI516" t="s">
        <v>16505</v>
      </c>
      <c r="BJ516">
        <v>5.3370000000000001E-2</v>
      </c>
      <c r="BK516">
        <v>1</v>
      </c>
      <c r="BL516" t="s">
        <v>69</v>
      </c>
      <c r="BM516">
        <v>-1.5049999999999999</v>
      </c>
      <c r="BN516">
        <v>-1.5860000000000001</v>
      </c>
    </row>
    <row r="517" spans="2:66">
      <c r="B517">
        <v>820</v>
      </c>
      <c r="C517">
        <v>372</v>
      </c>
      <c r="D517">
        <v>0</v>
      </c>
      <c r="E517">
        <v>0</v>
      </c>
      <c r="F517">
        <v>2</v>
      </c>
      <c r="J517">
        <v>0</v>
      </c>
      <c r="K517">
        <v>0</v>
      </c>
      <c r="L517">
        <v>0</v>
      </c>
      <c r="M517" t="s">
        <v>25022</v>
      </c>
      <c r="N517">
        <v>2871</v>
      </c>
      <c r="O517" t="s">
        <v>16506</v>
      </c>
      <c r="P517" t="s">
        <v>62</v>
      </c>
      <c r="Q517">
        <v>2818194</v>
      </c>
      <c r="R517">
        <v>2818361</v>
      </c>
      <c r="S517" t="s">
        <v>116</v>
      </c>
      <c r="T517">
        <v>56</v>
      </c>
      <c r="U517" t="s">
        <v>59</v>
      </c>
      <c r="V517">
        <v>49</v>
      </c>
      <c r="W517" t="str">
        <f>HYPERLINK("Gene2871-zp_tree_all.dnd", "Gene2871-tree")</f>
        <v>Gene2871-tree</v>
      </c>
      <c r="X517">
        <v>7</v>
      </c>
      <c r="Y517">
        <v>2</v>
      </c>
      <c r="Z517">
        <v>7</v>
      </c>
      <c r="AA517">
        <v>2</v>
      </c>
      <c r="AB517">
        <v>0.22222</v>
      </c>
      <c r="AC517" t="s">
        <v>152</v>
      </c>
      <c r="AD517" t="s">
        <v>81</v>
      </c>
      <c r="AE517" t="s">
        <v>62</v>
      </c>
      <c r="AF517" t="s">
        <v>62</v>
      </c>
      <c r="AG517">
        <v>0</v>
      </c>
      <c r="AH517">
        <v>0</v>
      </c>
      <c r="AI517">
        <v>4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0</v>
      </c>
      <c r="AU517">
        <v>5</v>
      </c>
      <c r="AV517">
        <v>4</v>
      </c>
      <c r="AW517">
        <v>7</v>
      </c>
      <c r="AX517">
        <v>2</v>
      </c>
      <c r="AY517">
        <v>8</v>
      </c>
      <c r="AZ517">
        <v>2</v>
      </c>
      <c r="BA517" t="s">
        <v>16507</v>
      </c>
      <c r="BB517" t="s">
        <v>16508</v>
      </c>
      <c r="BC517">
        <v>0.123</v>
      </c>
      <c r="BD517" t="s">
        <v>65</v>
      </c>
      <c r="BE517">
        <v>15</v>
      </c>
      <c r="BF517">
        <v>4</v>
      </c>
      <c r="BG517" t="s">
        <v>16509</v>
      </c>
      <c r="BH517" t="s">
        <v>16510</v>
      </c>
      <c r="BI517" t="s">
        <v>16511</v>
      </c>
      <c r="BJ517">
        <v>7.6340000000000005E-2</v>
      </c>
      <c r="BK517">
        <v>1</v>
      </c>
      <c r="BL517" t="s">
        <v>69</v>
      </c>
      <c r="BM517">
        <v>-1.8879999999999999</v>
      </c>
      <c r="BN517">
        <v>-1.946</v>
      </c>
    </row>
    <row r="518" spans="2:66">
      <c r="B518">
        <v>822</v>
      </c>
      <c r="C518">
        <v>33</v>
      </c>
      <c r="D518">
        <v>0</v>
      </c>
      <c r="E518">
        <v>2</v>
      </c>
      <c r="F518">
        <v>0</v>
      </c>
      <c r="J518">
        <v>0</v>
      </c>
      <c r="K518">
        <v>0</v>
      </c>
      <c r="L518">
        <v>0</v>
      </c>
      <c r="M518" t="s">
        <v>25022</v>
      </c>
      <c r="N518">
        <v>2873</v>
      </c>
      <c r="O518" t="s">
        <v>16519</v>
      </c>
      <c r="P518" t="s">
        <v>62</v>
      </c>
      <c r="Q518">
        <v>2820080</v>
      </c>
      <c r="R518">
        <v>2820475</v>
      </c>
      <c r="S518" t="s">
        <v>16520</v>
      </c>
      <c r="T518">
        <v>132</v>
      </c>
      <c r="U518" t="s">
        <v>59</v>
      </c>
      <c r="V518">
        <v>49</v>
      </c>
      <c r="W518" t="str">
        <f>HYPERLINK("Gene2873-zp_tree_all.dnd", "Gene2873-tree")</f>
        <v>Gene2873-tree</v>
      </c>
      <c r="X518">
        <v>14</v>
      </c>
      <c r="Y518">
        <v>3</v>
      </c>
      <c r="Z518">
        <v>14</v>
      </c>
      <c r="AA518">
        <v>3</v>
      </c>
      <c r="AB518">
        <v>0.17646999999999999</v>
      </c>
      <c r="AC518" t="s">
        <v>543</v>
      </c>
      <c r="AD518" t="s">
        <v>324</v>
      </c>
      <c r="AE518" t="s">
        <v>62</v>
      </c>
      <c r="AF518" t="s">
        <v>62</v>
      </c>
      <c r="AG518">
        <v>0</v>
      </c>
      <c r="AH518">
        <v>0</v>
      </c>
      <c r="AI518">
        <v>10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6</v>
      </c>
      <c r="AT518">
        <v>0</v>
      </c>
      <c r="AU518">
        <v>11</v>
      </c>
      <c r="AV518">
        <v>10</v>
      </c>
      <c r="AW518">
        <v>24</v>
      </c>
      <c r="AX518">
        <v>5</v>
      </c>
      <c r="AY518">
        <v>25</v>
      </c>
      <c r="AZ518">
        <v>5</v>
      </c>
      <c r="BA518" t="s">
        <v>16521</v>
      </c>
      <c r="BB518" t="s">
        <v>16522</v>
      </c>
      <c r="BC518">
        <v>1.7999999999999999E-2</v>
      </c>
      <c r="BD518" t="s">
        <v>65</v>
      </c>
      <c r="BE518">
        <v>49</v>
      </c>
      <c r="BF518">
        <v>10</v>
      </c>
      <c r="BG518" t="s">
        <v>16523</v>
      </c>
      <c r="BH518" t="s">
        <v>16524</v>
      </c>
      <c r="BI518" t="s">
        <v>16525</v>
      </c>
      <c r="BJ518">
        <v>7.5109999999999996E-2</v>
      </c>
      <c r="BK518">
        <v>1</v>
      </c>
      <c r="BL518" t="s">
        <v>69</v>
      </c>
      <c r="BM518">
        <v>-1.347</v>
      </c>
      <c r="BN518">
        <v>-1.333</v>
      </c>
    </row>
    <row r="519" spans="2:66">
      <c r="B519">
        <v>824</v>
      </c>
      <c r="C519">
        <v>211</v>
      </c>
      <c r="D519">
        <v>0</v>
      </c>
      <c r="E519">
        <v>3</v>
      </c>
      <c r="F519">
        <v>0</v>
      </c>
      <c r="J519">
        <v>0</v>
      </c>
      <c r="K519">
        <v>0</v>
      </c>
      <c r="L519">
        <v>0</v>
      </c>
      <c r="M519" t="s">
        <v>25022</v>
      </c>
      <c r="N519">
        <v>2874</v>
      </c>
      <c r="O519" t="s">
        <v>16526</v>
      </c>
      <c r="P519" t="s">
        <v>62</v>
      </c>
      <c r="Q519">
        <v>2820532</v>
      </c>
      <c r="R519">
        <v>2822733</v>
      </c>
      <c r="S519" t="s">
        <v>16527</v>
      </c>
      <c r="T519">
        <v>734</v>
      </c>
      <c r="U519" t="s">
        <v>59</v>
      </c>
      <c r="V519">
        <v>49</v>
      </c>
      <c r="W519" t="str">
        <f>HYPERLINK("Gene2874-zp_tree_all.dnd", "Gene2874-tree")</f>
        <v>Gene2874-tree</v>
      </c>
      <c r="X519">
        <v>19</v>
      </c>
      <c r="Y519">
        <v>1</v>
      </c>
      <c r="Z519">
        <v>19</v>
      </c>
      <c r="AA519">
        <v>1</v>
      </c>
      <c r="AB519">
        <v>0.05</v>
      </c>
      <c r="AC519" t="s">
        <v>587</v>
      </c>
      <c r="AD519" t="s">
        <v>175</v>
      </c>
      <c r="AE519" t="s">
        <v>62</v>
      </c>
      <c r="AF519" t="s">
        <v>62</v>
      </c>
      <c r="AG519">
        <v>0</v>
      </c>
      <c r="AH519">
        <v>0</v>
      </c>
      <c r="AI519">
        <v>14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6</v>
      </c>
      <c r="AT519">
        <v>0</v>
      </c>
      <c r="AU519">
        <v>19</v>
      </c>
      <c r="AV519">
        <v>15</v>
      </c>
      <c r="AW519">
        <v>117</v>
      </c>
      <c r="AX519">
        <v>6</v>
      </c>
      <c r="AY519">
        <v>153</v>
      </c>
      <c r="AZ519">
        <v>8</v>
      </c>
      <c r="BA519" t="s">
        <v>16528</v>
      </c>
      <c r="BB519" t="s">
        <v>16529</v>
      </c>
      <c r="BC519">
        <v>1E-3</v>
      </c>
      <c r="BD519" t="s">
        <v>65</v>
      </c>
      <c r="BE519">
        <v>270</v>
      </c>
      <c r="BF519">
        <v>14</v>
      </c>
      <c r="BG519" t="s">
        <v>16530</v>
      </c>
      <c r="BH519" t="s">
        <v>16531</v>
      </c>
      <c r="BI519" t="s">
        <v>16532</v>
      </c>
      <c r="BJ519">
        <v>1.353E-2</v>
      </c>
      <c r="BK519">
        <v>1</v>
      </c>
      <c r="BL519" t="s">
        <v>69</v>
      </c>
      <c r="BM519">
        <v>-0.878</v>
      </c>
      <c r="BN519">
        <v>-0.56200000000000006</v>
      </c>
    </row>
    <row r="520" spans="2:66">
      <c r="B520">
        <v>825</v>
      </c>
      <c r="C520">
        <v>344</v>
      </c>
      <c r="D520">
        <v>0</v>
      </c>
      <c r="E520">
        <v>2</v>
      </c>
      <c r="F520">
        <v>2</v>
      </c>
      <c r="J520">
        <v>0</v>
      </c>
      <c r="K520">
        <v>4</v>
      </c>
      <c r="L520">
        <v>2</v>
      </c>
      <c r="M520" t="s">
        <v>25022</v>
      </c>
      <c r="N520">
        <v>2875</v>
      </c>
      <c r="O520" t="s">
        <v>16533</v>
      </c>
      <c r="P520" t="s">
        <v>62</v>
      </c>
      <c r="Q520">
        <v>2822904</v>
      </c>
      <c r="R520">
        <v>2823413</v>
      </c>
      <c r="S520" t="s">
        <v>16534</v>
      </c>
      <c r="T520">
        <v>170</v>
      </c>
      <c r="U520" t="s">
        <v>59</v>
      </c>
      <c r="V520">
        <v>49</v>
      </c>
      <c r="W520" t="str">
        <f>HYPERLINK("Gene2875-zp_tree_all.dnd", "Gene2875-tree")</f>
        <v>Gene2875-tree</v>
      </c>
      <c r="X520">
        <v>4</v>
      </c>
      <c r="Y520">
        <v>31</v>
      </c>
      <c r="Z520">
        <v>4</v>
      </c>
      <c r="AA520">
        <v>6</v>
      </c>
      <c r="AB520">
        <v>0.6</v>
      </c>
      <c r="AC520" t="s">
        <v>61</v>
      </c>
      <c r="AD520" t="s">
        <v>16535</v>
      </c>
      <c r="AE520">
        <v>4.3049999999999997</v>
      </c>
      <c r="AF520" t="s">
        <v>65</v>
      </c>
      <c r="AG520">
        <v>1</v>
      </c>
      <c r="AH520">
        <v>6</v>
      </c>
      <c r="AI520">
        <v>5</v>
      </c>
      <c r="AJ520">
        <v>0.54544999999999999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4</v>
      </c>
      <c r="AQ520">
        <v>0</v>
      </c>
      <c r="AR520">
        <v>4</v>
      </c>
      <c r="AS520">
        <v>2</v>
      </c>
      <c r="AT520">
        <v>0.66666999999999998</v>
      </c>
      <c r="AU520">
        <v>10</v>
      </c>
      <c r="AV520">
        <v>4</v>
      </c>
      <c r="AW520">
        <v>15</v>
      </c>
      <c r="AX520">
        <v>6</v>
      </c>
      <c r="AY520">
        <v>26</v>
      </c>
      <c r="AZ520">
        <v>5</v>
      </c>
      <c r="BA520" t="s">
        <v>16536</v>
      </c>
      <c r="BB520" t="s">
        <v>16537</v>
      </c>
      <c r="BC520">
        <v>1.675</v>
      </c>
      <c r="BD520" t="s">
        <v>65</v>
      </c>
      <c r="BE520">
        <v>41</v>
      </c>
      <c r="BF520">
        <v>11</v>
      </c>
      <c r="BG520" t="s">
        <v>16538</v>
      </c>
      <c r="BH520" t="s">
        <v>16539</v>
      </c>
      <c r="BI520" t="s">
        <v>16540</v>
      </c>
      <c r="BJ520">
        <v>6.0539999999999997E-2</v>
      </c>
      <c r="BK520">
        <v>1</v>
      </c>
      <c r="BL520" t="s">
        <v>69</v>
      </c>
      <c r="BM520">
        <v>-1.4419999999999999</v>
      </c>
      <c r="BN520">
        <v>0.28399999999999997</v>
      </c>
    </row>
    <row r="521" spans="2:66">
      <c r="B521">
        <v>826</v>
      </c>
      <c r="C521">
        <v>192</v>
      </c>
      <c r="D521">
        <v>0</v>
      </c>
      <c r="E521">
        <v>0</v>
      </c>
      <c r="F521">
        <v>2</v>
      </c>
      <c r="J521">
        <v>0</v>
      </c>
      <c r="K521">
        <v>7</v>
      </c>
      <c r="L521">
        <v>0</v>
      </c>
      <c r="M521" t="s">
        <v>25022</v>
      </c>
      <c r="N521">
        <v>2876</v>
      </c>
      <c r="O521" t="s">
        <v>16541</v>
      </c>
      <c r="P521" t="s">
        <v>62</v>
      </c>
      <c r="Q521">
        <v>2823422</v>
      </c>
      <c r="R521">
        <v>2825779</v>
      </c>
      <c r="S521" t="s">
        <v>16542</v>
      </c>
      <c r="T521">
        <v>786</v>
      </c>
      <c r="U521" t="s">
        <v>108</v>
      </c>
      <c r="V521">
        <v>44</v>
      </c>
      <c r="W521" t="str">
        <f>HYPERLINK("Gene2876-zp_tree_all.dnd", "Gene2876-tree")</f>
        <v>Gene2876-tree</v>
      </c>
      <c r="X521">
        <v>1</v>
      </c>
      <c r="Y521">
        <v>13</v>
      </c>
      <c r="Z521">
        <v>1</v>
      </c>
      <c r="AA521">
        <v>13</v>
      </c>
      <c r="AB521">
        <v>0.92857000000000001</v>
      </c>
      <c r="AC521" t="s">
        <v>175</v>
      </c>
      <c r="AD521" t="s">
        <v>507</v>
      </c>
      <c r="AE521" t="s">
        <v>62</v>
      </c>
      <c r="AF521" t="s">
        <v>62</v>
      </c>
      <c r="AG521">
        <v>3</v>
      </c>
      <c r="AH521">
        <v>7</v>
      </c>
      <c r="AI521">
        <v>29</v>
      </c>
      <c r="AJ521">
        <v>0.19444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</v>
      </c>
      <c r="AQ521">
        <v>0</v>
      </c>
      <c r="AR521">
        <v>2</v>
      </c>
      <c r="AS521">
        <v>26</v>
      </c>
      <c r="AT521">
        <v>7.1429999999999993E-2</v>
      </c>
      <c r="AU521">
        <v>14</v>
      </c>
      <c r="AV521">
        <v>9</v>
      </c>
      <c r="AW521">
        <v>67</v>
      </c>
      <c r="AX521">
        <v>28</v>
      </c>
      <c r="AY521">
        <v>26</v>
      </c>
      <c r="AZ521">
        <v>8</v>
      </c>
      <c r="BA521" t="s">
        <v>16543</v>
      </c>
      <c r="BB521" t="s">
        <v>16544</v>
      </c>
      <c r="BC521">
        <v>0.54500000000000004</v>
      </c>
      <c r="BD521" t="s">
        <v>65</v>
      </c>
      <c r="BE521">
        <v>93</v>
      </c>
      <c r="BF521">
        <v>36</v>
      </c>
      <c r="BG521" t="s">
        <v>16545</v>
      </c>
      <c r="BH521" t="s">
        <v>16546</v>
      </c>
      <c r="BI521" t="s">
        <v>16547</v>
      </c>
      <c r="BJ521">
        <v>0.1173</v>
      </c>
      <c r="BK521">
        <v>1</v>
      </c>
      <c r="BL521" t="s">
        <v>69</v>
      </c>
      <c r="BM521">
        <v>-1.3839999999999999</v>
      </c>
      <c r="BN521">
        <v>-2.1040000000000001</v>
      </c>
    </row>
    <row r="522" spans="2:66">
      <c r="B522">
        <v>832</v>
      </c>
      <c r="C522">
        <v>267</v>
      </c>
      <c r="D522">
        <v>0</v>
      </c>
      <c r="E522">
        <v>12</v>
      </c>
      <c r="F522">
        <v>2</v>
      </c>
      <c r="J522">
        <v>0</v>
      </c>
      <c r="K522">
        <v>0</v>
      </c>
      <c r="L522">
        <v>0</v>
      </c>
      <c r="M522" t="s">
        <v>25022</v>
      </c>
      <c r="N522">
        <v>2877</v>
      </c>
      <c r="O522" t="s">
        <v>16548</v>
      </c>
      <c r="P522" t="s">
        <v>62</v>
      </c>
      <c r="Q522">
        <v>2825849</v>
      </c>
      <c r="R522">
        <v>2826169</v>
      </c>
      <c r="S522" t="s">
        <v>116</v>
      </c>
      <c r="T522">
        <v>107</v>
      </c>
      <c r="U522" t="s">
        <v>108</v>
      </c>
      <c r="V522">
        <v>44</v>
      </c>
      <c r="W522" t="str">
        <f>HYPERLINK("Gene2877-zp_tree_all.dnd", "Gene2877-tree")</f>
        <v>Gene2877-tree</v>
      </c>
      <c r="X522">
        <v>28</v>
      </c>
      <c r="Y522">
        <v>1</v>
      </c>
      <c r="Z522">
        <v>6</v>
      </c>
      <c r="AA522">
        <v>1</v>
      </c>
      <c r="AB522">
        <v>0.14285999999999999</v>
      </c>
      <c r="AC522" t="s">
        <v>5497</v>
      </c>
      <c r="AD522" t="s">
        <v>175</v>
      </c>
      <c r="AE522" t="s">
        <v>62</v>
      </c>
      <c r="AF522" t="s">
        <v>62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6</v>
      </c>
      <c r="AV522">
        <v>1</v>
      </c>
      <c r="AW522">
        <v>8</v>
      </c>
      <c r="AX522">
        <v>1</v>
      </c>
      <c r="AY522">
        <v>1</v>
      </c>
      <c r="AZ522">
        <v>0</v>
      </c>
      <c r="BA522" t="s">
        <v>16549</v>
      </c>
      <c r="BB522" t="s">
        <v>193</v>
      </c>
      <c r="BC522">
        <v>0.41499999999999998</v>
      </c>
      <c r="BD522" t="s">
        <v>65</v>
      </c>
      <c r="BE522">
        <v>9</v>
      </c>
      <c r="BF522">
        <v>1</v>
      </c>
      <c r="BG522" t="s">
        <v>16550</v>
      </c>
      <c r="BH522" t="s">
        <v>16551</v>
      </c>
      <c r="BI522" t="s">
        <v>16552</v>
      </c>
      <c r="BJ522">
        <v>2.845E-2</v>
      </c>
      <c r="BK522">
        <v>1</v>
      </c>
      <c r="BL522" t="s">
        <v>69</v>
      </c>
      <c r="BM522">
        <v>-1.3939999999999999</v>
      </c>
      <c r="BN522">
        <v>-2.7679999999999998</v>
      </c>
    </row>
    <row r="523" spans="2:66">
      <c r="B523">
        <v>833</v>
      </c>
      <c r="C523">
        <v>288</v>
      </c>
      <c r="D523">
        <v>0</v>
      </c>
      <c r="E523">
        <v>2</v>
      </c>
      <c r="F523">
        <v>0</v>
      </c>
      <c r="J523">
        <v>0</v>
      </c>
      <c r="K523">
        <v>8</v>
      </c>
      <c r="L523">
        <v>2</v>
      </c>
      <c r="M523" t="s">
        <v>25022</v>
      </c>
      <c r="N523">
        <v>2878</v>
      </c>
      <c r="O523" t="s">
        <v>16553</v>
      </c>
      <c r="P523" t="s">
        <v>62</v>
      </c>
      <c r="Q523">
        <v>2826248</v>
      </c>
      <c r="R523">
        <v>2826742</v>
      </c>
      <c r="S523" t="s">
        <v>16554</v>
      </c>
      <c r="T523">
        <v>165</v>
      </c>
      <c r="U523" t="s">
        <v>108</v>
      </c>
      <c r="V523">
        <v>44</v>
      </c>
      <c r="W523" t="str">
        <f>HYPERLINK("Gene2878-zp_tree_all.dnd", "Gene2878-tree")</f>
        <v>Gene2878-tree</v>
      </c>
      <c r="X523">
        <v>4</v>
      </c>
      <c r="Y523">
        <v>7</v>
      </c>
      <c r="Z523">
        <v>4</v>
      </c>
      <c r="AA523">
        <v>7</v>
      </c>
      <c r="AB523">
        <v>0.63636000000000004</v>
      </c>
      <c r="AC523" t="s">
        <v>61</v>
      </c>
      <c r="AD523" t="s">
        <v>152</v>
      </c>
      <c r="AE523" t="s">
        <v>62</v>
      </c>
      <c r="AF523" t="s">
        <v>62</v>
      </c>
      <c r="AG523">
        <v>4</v>
      </c>
      <c r="AH523">
        <v>10</v>
      </c>
      <c r="AI523">
        <v>3</v>
      </c>
      <c r="AJ523">
        <v>0.76922999999999997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6</v>
      </c>
      <c r="AQ523">
        <v>2</v>
      </c>
      <c r="AR523">
        <v>8</v>
      </c>
      <c r="AS523">
        <v>3</v>
      </c>
      <c r="AT523">
        <v>0.72726999999999997</v>
      </c>
      <c r="AU523">
        <v>9</v>
      </c>
      <c r="AV523">
        <v>5</v>
      </c>
      <c r="AW523">
        <v>13</v>
      </c>
      <c r="AX523">
        <v>11</v>
      </c>
      <c r="AY523">
        <v>7</v>
      </c>
      <c r="AZ523">
        <v>2</v>
      </c>
      <c r="BA523" t="s">
        <v>16555</v>
      </c>
      <c r="BB523" t="s">
        <v>16556</v>
      </c>
      <c r="BC523">
        <v>0.88700000000000001</v>
      </c>
      <c r="BD523" t="s">
        <v>65</v>
      </c>
      <c r="BE523">
        <v>20</v>
      </c>
      <c r="BF523">
        <v>13</v>
      </c>
      <c r="BG523" t="s">
        <v>16557</v>
      </c>
      <c r="BH523" t="s">
        <v>16558</v>
      </c>
      <c r="BI523" t="s">
        <v>16559</v>
      </c>
      <c r="BJ523">
        <v>0.14860999999999999</v>
      </c>
      <c r="BK523">
        <v>0.99</v>
      </c>
      <c r="BL523" t="s">
        <v>69</v>
      </c>
      <c r="BM523">
        <v>-1.222</v>
      </c>
      <c r="BN523">
        <v>-1.119</v>
      </c>
    </row>
    <row r="524" spans="2:66">
      <c r="B524">
        <v>834</v>
      </c>
      <c r="C524">
        <v>60</v>
      </c>
      <c r="D524">
        <v>0</v>
      </c>
      <c r="E524">
        <v>5</v>
      </c>
      <c r="F524">
        <v>0</v>
      </c>
      <c r="J524">
        <v>0</v>
      </c>
      <c r="K524">
        <v>2</v>
      </c>
      <c r="L524">
        <v>0</v>
      </c>
      <c r="M524" t="s">
        <v>25022</v>
      </c>
      <c r="N524">
        <v>2879</v>
      </c>
      <c r="O524" t="s">
        <v>16560</v>
      </c>
      <c r="P524" t="s">
        <v>62</v>
      </c>
      <c r="Q524">
        <v>2826903</v>
      </c>
      <c r="R524">
        <v>2829113</v>
      </c>
      <c r="S524" t="s">
        <v>16561</v>
      </c>
      <c r="T524">
        <v>737</v>
      </c>
      <c r="U524" t="s">
        <v>108</v>
      </c>
      <c r="V524">
        <v>44</v>
      </c>
      <c r="W524" t="str">
        <f>HYPERLINK("Gene2879-zp_tree_all.dnd", "Gene2879-tree")</f>
        <v>Gene2879-tree</v>
      </c>
      <c r="X524">
        <v>8</v>
      </c>
      <c r="Y524">
        <v>4</v>
      </c>
      <c r="Z524">
        <v>8</v>
      </c>
      <c r="AA524">
        <v>4</v>
      </c>
      <c r="AB524">
        <v>0.33333000000000002</v>
      </c>
      <c r="AC524" t="s">
        <v>136</v>
      </c>
      <c r="AD524" t="s">
        <v>61</v>
      </c>
      <c r="AE524" t="s">
        <v>62</v>
      </c>
      <c r="AF524" t="s">
        <v>62</v>
      </c>
      <c r="AG524">
        <v>1</v>
      </c>
      <c r="AH524">
        <v>2</v>
      </c>
      <c r="AI524">
        <v>17</v>
      </c>
      <c r="AJ524">
        <v>0.10526000000000001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6</v>
      </c>
      <c r="AT524">
        <v>0</v>
      </c>
      <c r="AU524">
        <v>12</v>
      </c>
      <c r="AV524">
        <v>9</v>
      </c>
      <c r="AW524">
        <v>103</v>
      </c>
      <c r="AX524">
        <v>6</v>
      </c>
      <c r="AY524">
        <v>69</v>
      </c>
      <c r="AZ524">
        <v>14</v>
      </c>
      <c r="BA524" t="s">
        <v>16562</v>
      </c>
      <c r="BB524" t="s">
        <v>16563</v>
      </c>
      <c r="BC524">
        <v>0.27600000000000002</v>
      </c>
      <c r="BD524" t="s">
        <v>65</v>
      </c>
      <c r="BE524">
        <v>172</v>
      </c>
      <c r="BF524">
        <v>20</v>
      </c>
      <c r="BG524" t="s">
        <v>16564</v>
      </c>
      <c r="BH524" t="s">
        <v>16565</v>
      </c>
      <c r="BI524" t="s">
        <v>16566</v>
      </c>
      <c r="BJ524">
        <v>5.7610000000000001E-2</v>
      </c>
      <c r="BK524">
        <v>1</v>
      </c>
      <c r="BL524" t="s">
        <v>69</v>
      </c>
      <c r="BM524">
        <v>0.64400000000000002</v>
      </c>
      <c r="BN524">
        <v>-1.0489999999999999</v>
      </c>
    </row>
    <row r="525" spans="2:66">
      <c r="B525">
        <v>835</v>
      </c>
      <c r="C525">
        <v>382</v>
      </c>
      <c r="D525">
        <v>0</v>
      </c>
      <c r="E525">
        <v>5</v>
      </c>
      <c r="F525">
        <v>2</v>
      </c>
      <c r="J525">
        <v>0</v>
      </c>
      <c r="K525">
        <v>2</v>
      </c>
      <c r="L525">
        <v>2</v>
      </c>
      <c r="M525" t="s">
        <v>25022</v>
      </c>
      <c r="N525">
        <v>2880</v>
      </c>
      <c r="O525" t="s">
        <v>16567</v>
      </c>
      <c r="P525" t="s">
        <v>62</v>
      </c>
      <c r="Q525">
        <v>2829155</v>
      </c>
      <c r="R525">
        <v>2829448</v>
      </c>
      <c r="S525" t="s">
        <v>16568</v>
      </c>
      <c r="T525">
        <v>98</v>
      </c>
      <c r="U525" t="s">
        <v>59</v>
      </c>
      <c r="V525">
        <v>49</v>
      </c>
      <c r="W525" t="str">
        <f>HYPERLINK("Gene2880-zp_tree_all.dnd", "Gene2880-tree")</f>
        <v>Gene2880-tree</v>
      </c>
      <c r="X525">
        <v>5</v>
      </c>
      <c r="Y525">
        <v>4</v>
      </c>
      <c r="Z525">
        <v>5</v>
      </c>
      <c r="AA525">
        <v>4</v>
      </c>
      <c r="AB525">
        <v>0.44444</v>
      </c>
      <c r="AC525" t="s">
        <v>199</v>
      </c>
      <c r="AD525" t="s">
        <v>61</v>
      </c>
      <c r="AE525" t="s">
        <v>62</v>
      </c>
      <c r="AF525" t="s">
        <v>62</v>
      </c>
      <c r="AG525">
        <v>2</v>
      </c>
      <c r="AH525">
        <v>4</v>
      </c>
      <c r="AI525">
        <v>3</v>
      </c>
      <c r="AJ525">
        <v>0.57142999999999999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2</v>
      </c>
      <c r="AQ525">
        <v>0</v>
      </c>
      <c r="AR525">
        <v>2</v>
      </c>
      <c r="AS525">
        <v>2</v>
      </c>
      <c r="AT525">
        <v>0.5</v>
      </c>
      <c r="AU525">
        <v>6</v>
      </c>
      <c r="AV525">
        <v>4</v>
      </c>
      <c r="AW525">
        <v>5</v>
      </c>
      <c r="AX525">
        <v>3</v>
      </c>
      <c r="AY525">
        <v>8</v>
      </c>
      <c r="AZ525">
        <v>4</v>
      </c>
      <c r="BA525" t="s">
        <v>16569</v>
      </c>
      <c r="BB525" t="s">
        <v>16570</v>
      </c>
      <c r="BC525">
        <v>0.123</v>
      </c>
      <c r="BD525" t="s">
        <v>65</v>
      </c>
      <c r="BE525">
        <v>13</v>
      </c>
      <c r="BF525">
        <v>7</v>
      </c>
      <c r="BG525" t="s">
        <v>16571</v>
      </c>
      <c r="BH525" t="s">
        <v>16572</v>
      </c>
      <c r="BI525" t="s">
        <v>16573</v>
      </c>
      <c r="BJ525">
        <v>0.15245</v>
      </c>
      <c r="BK525">
        <v>0.99</v>
      </c>
      <c r="BL525" t="s">
        <v>69</v>
      </c>
      <c r="BM525">
        <v>-1.19</v>
      </c>
      <c r="BN525">
        <v>-0.35099999999999998</v>
      </c>
    </row>
    <row r="526" spans="2:66">
      <c r="B526">
        <v>837</v>
      </c>
      <c r="C526">
        <v>323</v>
      </c>
      <c r="D526">
        <v>0</v>
      </c>
      <c r="E526">
        <v>5</v>
      </c>
      <c r="F526">
        <v>0</v>
      </c>
      <c r="J526">
        <v>0</v>
      </c>
      <c r="K526">
        <v>2</v>
      </c>
      <c r="L526">
        <v>0</v>
      </c>
      <c r="M526" t="s">
        <v>25022</v>
      </c>
      <c r="N526">
        <v>2882</v>
      </c>
      <c r="O526" t="s">
        <v>16580</v>
      </c>
      <c r="P526" t="s">
        <v>62</v>
      </c>
      <c r="Q526">
        <v>2831127</v>
      </c>
      <c r="R526">
        <v>2831780</v>
      </c>
      <c r="S526" t="s">
        <v>288</v>
      </c>
      <c r="T526">
        <v>218</v>
      </c>
      <c r="U526" t="s">
        <v>108</v>
      </c>
      <c r="V526">
        <v>44</v>
      </c>
      <c r="W526" t="str">
        <f>HYPERLINK("Gene2882-zp_tree_all.dnd", "Gene2882-tree")</f>
        <v>Gene2882-tree</v>
      </c>
      <c r="X526">
        <v>5</v>
      </c>
      <c r="Y526">
        <v>5</v>
      </c>
      <c r="Z526">
        <v>5</v>
      </c>
      <c r="AA526">
        <v>5</v>
      </c>
      <c r="AB526">
        <v>0.5</v>
      </c>
      <c r="AC526" t="s">
        <v>199</v>
      </c>
      <c r="AD526" t="s">
        <v>199</v>
      </c>
      <c r="AE526" t="s">
        <v>62</v>
      </c>
      <c r="AF526" t="s">
        <v>62</v>
      </c>
      <c r="AG526">
        <v>1</v>
      </c>
      <c r="AH526">
        <v>2</v>
      </c>
      <c r="AI526">
        <v>11</v>
      </c>
      <c r="AJ526">
        <v>0.15384999999999999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5</v>
      </c>
      <c r="AT526">
        <v>0</v>
      </c>
      <c r="AU526">
        <v>7</v>
      </c>
      <c r="AV526">
        <v>7</v>
      </c>
      <c r="AW526">
        <v>12</v>
      </c>
      <c r="AX526">
        <v>5</v>
      </c>
      <c r="AY526">
        <v>15</v>
      </c>
      <c r="AZ526">
        <v>8</v>
      </c>
      <c r="BA526" t="s">
        <v>16581</v>
      </c>
      <c r="BB526" t="s">
        <v>16582</v>
      </c>
      <c r="BC526">
        <v>0.26400000000000001</v>
      </c>
      <c r="BD526" t="s">
        <v>65</v>
      </c>
      <c r="BE526">
        <v>27</v>
      </c>
      <c r="BF526">
        <v>13</v>
      </c>
      <c r="BG526" t="s">
        <v>16583</v>
      </c>
      <c r="BH526" t="s">
        <v>16584</v>
      </c>
      <c r="BI526" t="s">
        <v>16585</v>
      </c>
      <c r="BJ526">
        <v>0.15758</v>
      </c>
      <c r="BK526">
        <v>1</v>
      </c>
      <c r="BL526" t="s">
        <v>69</v>
      </c>
      <c r="BM526">
        <v>0.61399999999999999</v>
      </c>
      <c r="BN526">
        <v>-0.115</v>
      </c>
    </row>
    <row r="527" spans="2:66">
      <c r="B527">
        <v>838</v>
      </c>
      <c r="C527">
        <v>62</v>
      </c>
      <c r="D527">
        <v>4</v>
      </c>
      <c r="E527">
        <v>6</v>
      </c>
      <c r="F527">
        <v>2</v>
      </c>
      <c r="J527">
        <v>0</v>
      </c>
      <c r="K527">
        <v>0</v>
      </c>
      <c r="L527">
        <v>0</v>
      </c>
      <c r="M527" t="s">
        <v>25022</v>
      </c>
      <c r="N527">
        <v>2884</v>
      </c>
      <c r="O527" t="s">
        <v>16592</v>
      </c>
      <c r="P527" t="s">
        <v>62</v>
      </c>
      <c r="Q527">
        <v>2832427</v>
      </c>
      <c r="R527">
        <v>2832690</v>
      </c>
      <c r="S527" t="s">
        <v>16593</v>
      </c>
      <c r="T527">
        <v>88</v>
      </c>
      <c r="U527" t="s">
        <v>59</v>
      </c>
      <c r="V527">
        <v>49</v>
      </c>
      <c r="W527" t="str">
        <f>HYPERLINK("Gene2884-zp_tree_all.dnd", "Gene2884-tree")</f>
        <v>Gene2884-tree</v>
      </c>
      <c r="X527">
        <v>6</v>
      </c>
      <c r="Y527">
        <v>1</v>
      </c>
      <c r="Z527">
        <v>6</v>
      </c>
      <c r="AA527">
        <v>1</v>
      </c>
      <c r="AB527">
        <v>0.14285999999999999</v>
      </c>
      <c r="AC527" t="s">
        <v>90</v>
      </c>
      <c r="AD527" t="s">
        <v>175</v>
      </c>
      <c r="AE527" t="s">
        <v>62</v>
      </c>
      <c r="AF527" t="s">
        <v>62</v>
      </c>
      <c r="AG527">
        <v>0</v>
      </c>
      <c r="AH527">
        <v>0</v>
      </c>
      <c r="AI527">
        <v>3</v>
      </c>
      <c r="AJ527">
        <v>0</v>
      </c>
      <c r="AK527">
        <v>0</v>
      </c>
      <c r="AL527">
        <v>0</v>
      </c>
      <c r="AM527">
        <v>0</v>
      </c>
      <c r="AN527">
        <v>2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4</v>
      </c>
      <c r="AV527">
        <v>3</v>
      </c>
      <c r="AW527">
        <v>3</v>
      </c>
      <c r="AX527">
        <v>1</v>
      </c>
      <c r="AY527">
        <v>4</v>
      </c>
      <c r="AZ527">
        <v>2</v>
      </c>
      <c r="BA527" t="s">
        <v>16594</v>
      </c>
      <c r="BB527" t="s">
        <v>16595</v>
      </c>
      <c r="BC527">
        <v>0.23300000000000001</v>
      </c>
      <c r="BD527" t="s">
        <v>65</v>
      </c>
      <c r="BE527">
        <v>7</v>
      </c>
      <c r="BF527">
        <v>3</v>
      </c>
      <c r="BG527" t="s">
        <v>16596</v>
      </c>
      <c r="BH527" t="s">
        <v>16597</v>
      </c>
      <c r="BI527" t="s">
        <v>16598</v>
      </c>
      <c r="BJ527">
        <v>0.15654999999999999</v>
      </c>
      <c r="BK527">
        <v>0.98899999999999999</v>
      </c>
      <c r="BL527" t="s">
        <v>69</v>
      </c>
      <c r="BM527">
        <v>-1.022</v>
      </c>
      <c r="BN527">
        <v>0.04</v>
      </c>
    </row>
    <row r="528" spans="2:66">
      <c r="B528">
        <v>839</v>
      </c>
      <c r="C528">
        <v>201</v>
      </c>
      <c r="D528">
        <v>0</v>
      </c>
      <c r="E528">
        <v>0</v>
      </c>
      <c r="F528">
        <v>2</v>
      </c>
      <c r="J528">
        <v>0</v>
      </c>
      <c r="K528">
        <v>0</v>
      </c>
      <c r="L528">
        <v>0</v>
      </c>
      <c r="M528" t="s">
        <v>25022</v>
      </c>
      <c r="N528">
        <v>2885</v>
      </c>
      <c r="O528" t="s">
        <v>16599</v>
      </c>
      <c r="P528" t="s">
        <v>62</v>
      </c>
      <c r="Q528">
        <v>2832730</v>
      </c>
      <c r="R528">
        <v>2833872</v>
      </c>
      <c r="S528" t="s">
        <v>16600</v>
      </c>
      <c r="T528">
        <v>381</v>
      </c>
      <c r="U528" t="s">
        <v>465</v>
      </c>
      <c r="V528">
        <v>46</v>
      </c>
      <c r="W528" t="str">
        <f>HYPERLINK("Gene2885-zp_tree_all.dnd", "Gene2885-tree")</f>
        <v>Gene2885-tree</v>
      </c>
      <c r="X528">
        <v>13</v>
      </c>
      <c r="Y528">
        <v>0</v>
      </c>
      <c r="Z528">
        <v>13</v>
      </c>
      <c r="AA528">
        <v>0</v>
      </c>
      <c r="AB528">
        <v>0</v>
      </c>
      <c r="AC528" t="s">
        <v>507</v>
      </c>
      <c r="AD528" t="s">
        <v>62</v>
      </c>
      <c r="AE528" t="s">
        <v>62</v>
      </c>
      <c r="AF528" t="s">
        <v>62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11</v>
      </c>
      <c r="AV528">
        <v>7</v>
      </c>
      <c r="AW528">
        <v>28</v>
      </c>
      <c r="AX528">
        <v>0</v>
      </c>
      <c r="AY528">
        <v>61</v>
      </c>
      <c r="AZ528">
        <v>1</v>
      </c>
      <c r="BA528" t="s">
        <v>193</v>
      </c>
      <c r="BB528" t="s">
        <v>16601</v>
      </c>
      <c r="BC528">
        <v>0.30099999999999999</v>
      </c>
      <c r="BD528" t="s">
        <v>65</v>
      </c>
      <c r="BE528">
        <v>89</v>
      </c>
      <c r="BF528">
        <v>1</v>
      </c>
      <c r="BG528" t="s">
        <v>16602</v>
      </c>
      <c r="BH528" t="s">
        <v>16603</v>
      </c>
      <c r="BI528" t="s">
        <v>16604</v>
      </c>
      <c r="BJ528">
        <v>3.4099999999999998E-3</v>
      </c>
      <c r="BK528">
        <v>1</v>
      </c>
      <c r="BL528" t="s">
        <v>69</v>
      </c>
      <c r="BM528">
        <v>-1.7749999999999999</v>
      </c>
      <c r="BN528">
        <v>-0.124</v>
      </c>
    </row>
    <row r="529" spans="2:66">
      <c r="B529">
        <v>840</v>
      </c>
      <c r="C529">
        <v>2</v>
      </c>
      <c r="D529">
        <v>0</v>
      </c>
      <c r="E529">
        <v>7</v>
      </c>
      <c r="F529">
        <v>0</v>
      </c>
      <c r="J529">
        <v>0</v>
      </c>
      <c r="K529">
        <v>3</v>
      </c>
      <c r="L529">
        <v>0</v>
      </c>
      <c r="M529" t="s">
        <v>25022</v>
      </c>
      <c r="N529">
        <v>2886</v>
      </c>
      <c r="O529" t="s">
        <v>16605</v>
      </c>
      <c r="P529" t="s">
        <v>62</v>
      </c>
      <c r="Q529">
        <v>2833902</v>
      </c>
      <c r="R529">
        <v>2834927</v>
      </c>
      <c r="S529" t="s">
        <v>16606</v>
      </c>
      <c r="T529">
        <v>342</v>
      </c>
      <c r="U529" t="s">
        <v>108</v>
      </c>
      <c r="V529">
        <v>44</v>
      </c>
      <c r="W529" t="str">
        <f>HYPERLINK("Gene2886-zp_tree_all.dnd", "Gene2886-tree")</f>
        <v>Gene2886-tree</v>
      </c>
      <c r="X529">
        <v>32</v>
      </c>
      <c r="Y529">
        <v>2</v>
      </c>
      <c r="Z529">
        <v>10</v>
      </c>
      <c r="AA529">
        <v>2</v>
      </c>
      <c r="AB529">
        <v>0.16667000000000001</v>
      </c>
      <c r="AC529" t="s">
        <v>16607</v>
      </c>
      <c r="AD529" t="s">
        <v>81</v>
      </c>
      <c r="AE529" t="s">
        <v>62</v>
      </c>
      <c r="AF529" t="s">
        <v>62</v>
      </c>
      <c r="AG529">
        <v>1</v>
      </c>
      <c r="AH529">
        <v>3</v>
      </c>
      <c r="AI529">
        <v>3</v>
      </c>
      <c r="AJ529">
        <v>0.5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0</v>
      </c>
      <c r="AU529">
        <v>9</v>
      </c>
      <c r="AV529">
        <v>5</v>
      </c>
      <c r="AW529">
        <v>24</v>
      </c>
      <c r="AX529">
        <v>3</v>
      </c>
      <c r="AY529">
        <v>13</v>
      </c>
      <c r="AZ529">
        <v>3</v>
      </c>
      <c r="BA529" t="s">
        <v>16608</v>
      </c>
      <c r="BB529" t="s">
        <v>16609</v>
      </c>
      <c r="BC529">
        <v>0.34399999999999997</v>
      </c>
      <c r="BD529" t="s">
        <v>65</v>
      </c>
      <c r="BE529">
        <v>37</v>
      </c>
      <c r="BF529">
        <v>6</v>
      </c>
      <c r="BG529" t="s">
        <v>16610</v>
      </c>
      <c r="BH529" t="s">
        <v>16611</v>
      </c>
      <c r="BI529" t="s">
        <v>16612</v>
      </c>
      <c r="BJ529">
        <v>3.7560000000000003E-2</v>
      </c>
      <c r="BK529">
        <v>1</v>
      </c>
      <c r="BL529" t="s">
        <v>69</v>
      </c>
      <c r="BM529">
        <v>-1.629</v>
      </c>
      <c r="BN529">
        <v>-3.0939999999999999</v>
      </c>
    </row>
    <row r="530" spans="2:66">
      <c r="B530">
        <v>841</v>
      </c>
      <c r="C530">
        <v>21</v>
      </c>
      <c r="D530">
        <v>0</v>
      </c>
      <c r="E530">
        <v>16</v>
      </c>
      <c r="F530">
        <v>0</v>
      </c>
      <c r="J530">
        <v>0</v>
      </c>
      <c r="K530">
        <v>0</v>
      </c>
      <c r="L530">
        <v>0</v>
      </c>
      <c r="M530" t="s">
        <v>25022</v>
      </c>
      <c r="N530">
        <v>2887</v>
      </c>
      <c r="O530" t="s">
        <v>16613</v>
      </c>
      <c r="P530" t="s">
        <v>62</v>
      </c>
      <c r="Q530">
        <v>2834960</v>
      </c>
      <c r="R530">
        <v>2835157</v>
      </c>
      <c r="S530" t="s">
        <v>3674</v>
      </c>
      <c r="T530">
        <v>66</v>
      </c>
      <c r="U530" t="s">
        <v>59</v>
      </c>
      <c r="V530">
        <v>49</v>
      </c>
      <c r="W530" t="str">
        <f>HYPERLINK("Gene2887-zp_tree_all.dnd", "Gene2887-tree")</f>
        <v>Gene2887-tree</v>
      </c>
      <c r="X530">
        <v>35</v>
      </c>
      <c r="Y530">
        <v>2</v>
      </c>
      <c r="Z530">
        <v>11</v>
      </c>
      <c r="AA530">
        <v>2</v>
      </c>
      <c r="AB530">
        <v>0.15384999999999999</v>
      </c>
      <c r="AC530" t="s">
        <v>16614</v>
      </c>
      <c r="AD530" t="s">
        <v>81</v>
      </c>
      <c r="AE530" t="s">
        <v>62</v>
      </c>
      <c r="AF530" t="s">
        <v>62</v>
      </c>
      <c r="AG530">
        <v>0</v>
      </c>
      <c r="AH530">
        <v>0</v>
      </c>
      <c r="AI530">
        <v>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0</v>
      </c>
      <c r="AU530">
        <v>7</v>
      </c>
      <c r="AV530">
        <v>7</v>
      </c>
      <c r="AW530">
        <v>5</v>
      </c>
      <c r="AX530">
        <v>2</v>
      </c>
      <c r="AY530">
        <v>14</v>
      </c>
      <c r="AZ530">
        <v>0</v>
      </c>
      <c r="BA530" t="s">
        <v>16615</v>
      </c>
      <c r="BB530" t="s">
        <v>193</v>
      </c>
      <c r="BC530">
        <v>0.91200000000000003</v>
      </c>
      <c r="BD530" t="s">
        <v>65</v>
      </c>
      <c r="BE530">
        <v>19</v>
      </c>
      <c r="BF530">
        <v>2</v>
      </c>
      <c r="BG530" t="s">
        <v>16616</v>
      </c>
      <c r="BH530" t="s">
        <v>16617</v>
      </c>
      <c r="BI530" t="s">
        <v>16618</v>
      </c>
      <c r="BJ530">
        <v>1.4829999999999999E-2</v>
      </c>
      <c r="BK530">
        <v>1</v>
      </c>
      <c r="BL530" t="s">
        <v>69</v>
      </c>
      <c r="BM530">
        <v>-1.1779999999999999</v>
      </c>
      <c r="BN530">
        <v>-0.878</v>
      </c>
    </row>
    <row r="531" spans="2:66">
      <c r="B531">
        <v>842</v>
      </c>
      <c r="C531">
        <v>185</v>
      </c>
      <c r="D531">
        <v>0</v>
      </c>
      <c r="E531">
        <v>19</v>
      </c>
      <c r="F531">
        <v>4</v>
      </c>
      <c r="J531">
        <v>0</v>
      </c>
      <c r="K531">
        <v>0</v>
      </c>
      <c r="L531">
        <v>0</v>
      </c>
      <c r="M531" t="s">
        <v>25022</v>
      </c>
      <c r="N531">
        <v>2888</v>
      </c>
      <c r="O531" t="s">
        <v>16619</v>
      </c>
      <c r="P531" t="s">
        <v>62</v>
      </c>
      <c r="Q531">
        <v>2835153</v>
      </c>
      <c r="R531">
        <v>2836154</v>
      </c>
      <c r="S531" t="s">
        <v>16620</v>
      </c>
      <c r="T531">
        <v>334</v>
      </c>
      <c r="U531" t="s">
        <v>108</v>
      </c>
      <c r="V531">
        <v>44</v>
      </c>
      <c r="W531" t="str">
        <f>HYPERLINK("Gene2888-zp_tree_all.dnd", "Gene2888-tree")</f>
        <v>Gene2888-tree</v>
      </c>
      <c r="X531">
        <v>10</v>
      </c>
      <c r="Y531">
        <v>1</v>
      </c>
      <c r="Z531">
        <v>10</v>
      </c>
      <c r="AA531">
        <v>1</v>
      </c>
      <c r="AB531">
        <v>9.0910000000000005E-2</v>
      </c>
      <c r="AC531" t="s">
        <v>117</v>
      </c>
      <c r="AD531" t="s">
        <v>175</v>
      </c>
      <c r="AE531" t="s">
        <v>62</v>
      </c>
      <c r="AF531" t="s">
        <v>62</v>
      </c>
      <c r="AG531">
        <v>0</v>
      </c>
      <c r="AH531">
        <v>0</v>
      </c>
      <c r="AI531">
        <v>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0</v>
      </c>
      <c r="AU531">
        <v>8</v>
      </c>
      <c r="AV531">
        <v>5</v>
      </c>
      <c r="AW531">
        <v>23</v>
      </c>
      <c r="AX531">
        <v>2</v>
      </c>
      <c r="AY531">
        <v>9</v>
      </c>
      <c r="AZ531">
        <v>0</v>
      </c>
      <c r="BA531" t="s">
        <v>16621</v>
      </c>
      <c r="BB531" t="s">
        <v>193</v>
      </c>
      <c r="BC531">
        <v>0.33200000000000002</v>
      </c>
      <c r="BD531" t="s">
        <v>65</v>
      </c>
      <c r="BE531">
        <v>32</v>
      </c>
      <c r="BF531">
        <v>2</v>
      </c>
      <c r="BG531" t="s">
        <v>16622</v>
      </c>
      <c r="BH531" t="s">
        <v>16623</v>
      </c>
      <c r="BI531" t="s">
        <v>16624</v>
      </c>
      <c r="BJ531">
        <v>1.6129999999999999E-2</v>
      </c>
      <c r="BK531">
        <v>1</v>
      </c>
      <c r="BL531" t="s">
        <v>69</v>
      </c>
      <c r="BM531">
        <v>-1.6850000000000001</v>
      </c>
      <c r="BN531">
        <v>-2.4159999999999999</v>
      </c>
    </row>
    <row r="532" spans="2:66">
      <c r="B532">
        <v>843</v>
      </c>
      <c r="C532">
        <v>125</v>
      </c>
      <c r="D532">
        <v>0</v>
      </c>
      <c r="E532">
        <v>16</v>
      </c>
      <c r="F532">
        <v>0</v>
      </c>
      <c r="J532">
        <v>0</v>
      </c>
      <c r="K532">
        <v>0</v>
      </c>
      <c r="L532">
        <v>0</v>
      </c>
      <c r="M532" t="s">
        <v>25022</v>
      </c>
      <c r="N532">
        <v>2889</v>
      </c>
      <c r="O532" t="s">
        <v>16625</v>
      </c>
      <c r="P532" t="s">
        <v>62</v>
      </c>
      <c r="Q532">
        <v>2836168</v>
      </c>
      <c r="R532">
        <v>2836770</v>
      </c>
      <c r="S532" t="s">
        <v>16626</v>
      </c>
      <c r="T532">
        <v>201</v>
      </c>
      <c r="U532" t="s">
        <v>108</v>
      </c>
      <c r="V532">
        <v>44</v>
      </c>
      <c r="W532" t="str">
        <f>HYPERLINK("Gene2889-zp_tree_all.dnd", "Gene2889-tree")</f>
        <v>Gene2889-tree</v>
      </c>
      <c r="X532">
        <v>6</v>
      </c>
      <c r="Y532">
        <v>1</v>
      </c>
      <c r="Z532">
        <v>6</v>
      </c>
      <c r="AA532">
        <v>1</v>
      </c>
      <c r="AB532">
        <v>0.14285999999999999</v>
      </c>
      <c r="AC532" t="s">
        <v>90</v>
      </c>
      <c r="AD532" t="s">
        <v>175</v>
      </c>
      <c r="AE532" t="s">
        <v>62</v>
      </c>
      <c r="AF532" t="s">
        <v>62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3</v>
      </c>
      <c r="AV532">
        <v>3</v>
      </c>
      <c r="AW532">
        <v>4</v>
      </c>
      <c r="AX532">
        <v>1</v>
      </c>
      <c r="AY532">
        <v>3</v>
      </c>
      <c r="AZ532">
        <v>0</v>
      </c>
      <c r="BA532" t="s">
        <v>16627</v>
      </c>
      <c r="BB532" t="s">
        <v>193</v>
      </c>
      <c r="BC532">
        <v>0.81399999999999995</v>
      </c>
      <c r="BD532" t="s">
        <v>65</v>
      </c>
      <c r="BE532">
        <v>7</v>
      </c>
      <c r="BF532">
        <v>1</v>
      </c>
      <c r="BG532" t="s">
        <v>16628</v>
      </c>
      <c r="BH532" t="s">
        <v>16629</v>
      </c>
      <c r="BI532" t="s">
        <v>16630</v>
      </c>
      <c r="BJ532">
        <v>3.456E-2</v>
      </c>
      <c r="BK532">
        <v>1</v>
      </c>
      <c r="BL532" t="s">
        <v>69</v>
      </c>
      <c r="BM532">
        <v>-0.28899999999999998</v>
      </c>
      <c r="BN532">
        <v>-1.0269999999999999</v>
      </c>
    </row>
    <row r="533" spans="2:66">
      <c r="B533">
        <v>844</v>
      </c>
      <c r="C533">
        <v>232</v>
      </c>
      <c r="D533">
        <v>2</v>
      </c>
      <c r="E533">
        <v>16</v>
      </c>
      <c r="F533">
        <v>3</v>
      </c>
      <c r="J533">
        <v>0</v>
      </c>
      <c r="K533">
        <v>0</v>
      </c>
      <c r="L533">
        <v>0</v>
      </c>
      <c r="M533" t="s">
        <v>25022</v>
      </c>
      <c r="N533">
        <v>2890</v>
      </c>
      <c r="O533" t="s">
        <v>16631</v>
      </c>
      <c r="P533" t="s">
        <v>62</v>
      </c>
      <c r="Q533">
        <v>2836912</v>
      </c>
      <c r="R533">
        <v>2837421</v>
      </c>
      <c r="S533" t="s">
        <v>16632</v>
      </c>
      <c r="T533">
        <v>170</v>
      </c>
      <c r="U533" t="s">
        <v>289</v>
      </c>
      <c r="V533">
        <v>46</v>
      </c>
      <c r="W533" t="str">
        <f>HYPERLINK("Gene2890-zp_tree_all.dnd", "Gene2890-tree")</f>
        <v>Gene2890-tree</v>
      </c>
      <c r="X533">
        <v>8</v>
      </c>
      <c r="Y533">
        <v>3</v>
      </c>
      <c r="Z533">
        <v>8</v>
      </c>
      <c r="AA533">
        <v>3</v>
      </c>
      <c r="AB533">
        <v>0.27272999999999997</v>
      </c>
      <c r="AC533" t="s">
        <v>136</v>
      </c>
      <c r="AD533" t="s">
        <v>324</v>
      </c>
      <c r="AE533" t="s">
        <v>62</v>
      </c>
      <c r="AF533" t="s">
        <v>62</v>
      </c>
      <c r="AG533">
        <v>0</v>
      </c>
      <c r="AH533">
        <v>0</v>
      </c>
      <c r="AI533">
        <v>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3</v>
      </c>
      <c r="AT533">
        <v>0</v>
      </c>
      <c r="AU533">
        <v>9</v>
      </c>
      <c r="AV533">
        <v>3</v>
      </c>
      <c r="AW533">
        <v>8</v>
      </c>
      <c r="AX533">
        <v>3</v>
      </c>
      <c r="AY533">
        <v>21</v>
      </c>
      <c r="AZ533">
        <v>5</v>
      </c>
      <c r="BA533" t="s">
        <v>16633</v>
      </c>
      <c r="BB533" t="s">
        <v>16634</v>
      </c>
      <c r="BC533">
        <v>0.30499999999999999</v>
      </c>
      <c r="BD533" t="s">
        <v>65</v>
      </c>
      <c r="BE533">
        <v>29</v>
      </c>
      <c r="BF533">
        <v>8</v>
      </c>
      <c r="BG533" t="s">
        <v>16635</v>
      </c>
      <c r="BH533" t="s">
        <v>16636</v>
      </c>
      <c r="BI533" t="s">
        <v>16637</v>
      </c>
      <c r="BJ533">
        <v>7.4639999999999998E-2</v>
      </c>
      <c r="BK533">
        <v>1</v>
      </c>
      <c r="BL533" t="s">
        <v>69</v>
      </c>
      <c r="BM533">
        <v>-1.661</v>
      </c>
      <c r="BN533">
        <v>0.35599999999999998</v>
      </c>
    </row>
    <row r="534" spans="2:66">
      <c r="B534">
        <v>845</v>
      </c>
      <c r="C534">
        <v>34</v>
      </c>
      <c r="D534">
        <v>0</v>
      </c>
      <c r="E534">
        <v>2</v>
      </c>
      <c r="F534">
        <v>0</v>
      </c>
      <c r="J534">
        <v>0</v>
      </c>
      <c r="K534">
        <v>4</v>
      </c>
      <c r="L534">
        <v>0</v>
      </c>
      <c r="M534" t="s">
        <v>25022</v>
      </c>
      <c r="N534">
        <v>2891</v>
      </c>
      <c r="O534" t="s">
        <v>16638</v>
      </c>
      <c r="P534" t="s">
        <v>62</v>
      </c>
      <c r="Q534">
        <v>2837472</v>
      </c>
      <c r="R534">
        <v>2838776</v>
      </c>
      <c r="S534" t="s">
        <v>16639</v>
      </c>
      <c r="T534">
        <v>435</v>
      </c>
      <c r="U534" t="s">
        <v>108</v>
      </c>
      <c r="V534">
        <v>44</v>
      </c>
      <c r="W534" t="str">
        <f>HYPERLINK("Gene2891-zp_tree_all.dnd", "Gene2891-tree")</f>
        <v>Gene2891-tree</v>
      </c>
      <c r="X534">
        <v>5</v>
      </c>
      <c r="Y534">
        <v>6</v>
      </c>
      <c r="Z534">
        <v>5</v>
      </c>
      <c r="AA534">
        <v>6</v>
      </c>
      <c r="AB534">
        <v>0.54544999999999999</v>
      </c>
      <c r="AC534" t="s">
        <v>199</v>
      </c>
      <c r="AD534" t="s">
        <v>90</v>
      </c>
      <c r="AE534" t="s">
        <v>62</v>
      </c>
      <c r="AF534" t="s">
        <v>62</v>
      </c>
      <c r="AG534">
        <v>2</v>
      </c>
      <c r="AH534">
        <v>4</v>
      </c>
      <c r="AI534">
        <v>8</v>
      </c>
      <c r="AJ534">
        <v>0.33333000000000002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2</v>
      </c>
      <c r="AQ534">
        <v>0</v>
      </c>
      <c r="AR534">
        <v>2</v>
      </c>
      <c r="AS534">
        <v>9</v>
      </c>
      <c r="AT534">
        <v>0.18182000000000001</v>
      </c>
      <c r="AU534">
        <v>10</v>
      </c>
      <c r="AV534">
        <v>6</v>
      </c>
      <c r="AW534">
        <v>35</v>
      </c>
      <c r="AX534">
        <v>11</v>
      </c>
      <c r="AY534">
        <v>11</v>
      </c>
      <c r="AZ534">
        <v>1</v>
      </c>
      <c r="BA534" t="s">
        <v>16640</v>
      </c>
      <c r="BB534" t="s">
        <v>16641</v>
      </c>
      <c r="BC534">
        <v>0.71699999999999997</v>
      </c>
      <c r="BD534" t="s">
        <v>65</v>
      </c>
      <c r="BE534">
        <v>46</v>
      </c>
      <c r="BF534">
        <v>12</v>
      </c>
      <c r="BG534" t="s">
        <v>16642</v>
      </c>
      <c r="BH534" t="s">
        <v>16643</v>
      </c>
      <c r="BI534" t="s">
        <v>16644</v>
      </c>
      <c r="BJ534">
        <v>7.2319999999999995E-2</v>
      </c>
      <c r="BK534">
        <v>1</v>
      </c>
      <c r="BL534" t="s">
        <v>69</v>
      </c>
      <c r="BM534">
        <v>-1.272</v>
      </c>
      <c r="BN534">
        <v>-3.0270000000000001</v>
      </c>
    </row>
    <row r="535" spans="2:66">
      <c r="B535">
        <v>847</v>
      </c>
      <c r="C535">
        <v>106</v>
      </c>
      <c r="D535">
        <v>0</v>
      </c>
      <c r="E535">
        <v>0</v>
      </c>
      <c r="F535">
        <v>2</v>
      </c>
      <c r="J535">
        <v>0</v>
      </c>
      <c r="K535">
        <v>4</v>
      </c>
      <c r="L535">
        <v>0</v>
      </c>
      <c r="M535" t="s">
        <v>25022</v>
      </c>
      <c r="N535">
        <v>2892</v>
      </c>
      <c r="O535" t="s">
        <v>16645</v>
      </c>
      <c r="P535" t="s">
        <v>62</v>
      </c>
      <c r="Q535">
        <v>2838850</v>
      </c>
      <c r="R535">
        <v>2839872</v>
      </c>
      <c r="S535" t="s">
        <v>16646</v>
      </c>
      <c r="T535">
        <v>341</v>
      </c>
      <c r="U535" t="s">
        <v>108</v>
      </c>
      <c r="V535">
        <v>44</v>
      </c>
      <c r="W535" t="str">
        <f>HYPERLINK("Gene2892-zp_tree_all.dnd", "Gene2892-tree")</f>
        <v>Gene2892-tree</v>
      </c>
      <c r="X535">
        <v>6</v>
      </c>
      <c r="Y535">
        <v>7</v>
      </c>
      <c r="Z535">
        <v>6</v>
      </c>
      <c r="AA535">
        <v>7</v>
      </c>
      <c r="AB535">
        <v>0.53846000000000005</v>
      </c>
      <c r="AC535" t="s">
        <v>90</v>
      </c>
      <c r="AD535" t="s">
        <v>152</v>
      </c>
      <c r="AE535" t="s">
        <v>62</v>
      </c>
      <c r="AF535" t="s">
        <v>62</v>
      </c>
      <c r="AG535">
        <v>2</v>
      </c>
      <c r="AH535">
        <v>4</v>
      </c>
      <c r="AI535">
        <v>15</v>
      </c>
      <c r="AJ535">
        <v>0.21052999999999999</v>
      </c>
      <c r="AK535">
        <v>0</v>
      </c>
      <c r="AL535">
        <v>0</v>
      </c>
      <c r="AM535">
        <v>0</v>
      </c>
      <c r="AN535">
        <v>2</v>
      </c>
      <c r="AO535">
        <v>0</v>
      </c>
      <c r="AP535">
        <v>2</v>
      </c>
      <c r="AQ535">
        <v>0</v>
      </c>
      <c r="AR535">
        <v>2</v>
      </c>
      <c r="AS535">
        <v>13</v>
      </c>
      <c r="AT535">
        <v>0.13333</v>
      </c>
      <c r="AU535">
        <v>11</v>
      </c>
      <c r="AV535">
        <v>7</v>
      </c>
      <c r="AW535">
        <v>28</v>
      </c>
      <c r="AX535">
        <v>16</v>
      </c>
      <c r="AY535">
        <v>8</v>
      </c>
      <c r="AZ535">
        <v>4</v>
      </c>
      <c r="BA535" t="s">
        <v>16647</v>
      </c>
      <c r="BB535" t="s">
        <v>16648</v>
      </c>
      <c r="BC535">
        <v>0.10199999999999999</v>
      </c>
      <c r="BD535" t="s">
        <v>65</v>
      </c>
      <c r="BE535">
        <v>36</v>
      </c>
      <c r="BF535">
        <v>20</v>
      </c>
      <c r="BG535" t="s">
        <v>16649</v>
      </c>
      <c r="BH535" t="s">
        <v>16650</v>
      </c>
      <c r="BI535" t="s">
        <v>16651</v>
      </c>
      <c r="BJ535">
        <v>0.15540999999999999</v>
      </c>
      <c r="BK535">
        <v>1</v>
      </c>
      <c r="BL535" t="s">
        <v>69</v>
      </c>
      <c r="BM535">
        <v>-1.419</v>
      </c>
      <c r="BN535">
        <v>-3.125</v>
      </c>
    </row>
    <row r="536" spans="2:66">
      <c r="B536">
        <v>852</v>
      </c>
      <c r="C536">
        <v>310</v>
      </c>
      <c r="D536">
        <v>0</v>
      </c>
      <c r="E536">
        <v>2</v>
      </c>
      <c r="F536">
        <v>0</v>
      </c>
      <c r="J536">
        <v>0</v>
      </c>
      <c r="K536">
        <v>0</v>
      </c>
      <c r="L536">
        <v>2</v>
      </c>
      <c r="M536" t="s">
        <v>25022</v>
      </c>
      <c r="N536">
        <v>2894</v>
      </c>
      <c r="O536" t="s">
        <v>16659</v>
      </c>
      <c r="P536" t="s">
        <v>62</v>
      </c>
      <c r="Q536">
        <v>2840806</v>
      </c>
      <c r="R536">
        <v>2840925</v>
      </c>
      <c r="S536" t="s">
        <v>2302</v>
      </c>
      <c r="T536">
        <v>40</v>
      </c>
      <c r="U536" t="s">
        <v>409</v>
      </c>
      <c r="V536">
        <v>45</v>
      </c>
      <c r="W536" t="str">
        <f>HYPERLINK("Gene2894-zp_tree_all.dnd", "Gene2894-tree")</f>
        <v>Gene2894-tree</v>
      </c>
      <c r="X536">
        <v>4</v>
      </c>
      <c r="Y536">
        <v>3</v>
      </c>
      <c r="Z536">
        <v>4</v>
      </c>
      <c r="AA536">
        <v>3</v>
      </c>
      <c r="AB536">
        <v>0.42857000000000001</v>
      </c>
      <c r="AC536" t="s">
        <v>61</v>
      </c>
      <c r="AD536" t="s">
        <v>324</v>
      </c>
      <c r="AE536" t="s">
        <v>62</v>
      </c>
      <c r="AF536" t="s">
        <v>62</v>
      </c>
      <c r="AG536">
        <v>1</v>
      </c>
      <c r="AH536">
        <v>2</v>
      </c>
      <c r="AI536">
        <v>3</v>
      </c>
      <c r="AJ536">
        <v>0.4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2</v>
      </c>
      <c r="AR536">
        <v>2</v>
      </c>
      <c r="AS536">
        <v>3</v>
      </c>
      <c r="AT536">
        <v>0.4</v>
      </c>
      <c r="AU536">
        <v>5</v>
      </c>
      <c r="AV536">
        <v>1</v>
      </c>
      <c r="AW536">
        <v>6</v>
      </c>
      <c r="AX536">
        <v>5</v>
      </c>
      <c r="AY536">
        <v>1</v>
      </c>
      <c r="AZ536">
        <v>0</v>
      </c>
      <c r="BA536" t="s">
        <v>16660</v>
      </c>
      <c r="BB536" t="s">
        <v>193</v>
      </c>
      <c r="BC536">
        <v>1.387</v>
      </c>
      <c r="BD536" t="s">
        <v>65</v>
      </c>
      <c r="BE536">
        <v>7</v>
      </c>
      <c r="BF536">
        <v>5</v>
      </c>
      <c r="BG536" t="s">
        <v>16661</v>
      </c>
      <c r="BH536" t="s">
        <v>16662</v>
      </c>
      <c r="BI536" t="s">
        <v>16663</v>
      </c>
      <c r="BJ536">
        <v>0.1837</v>
      </c>
      <c r="BK536">
        <v>0.96899999999999997</v>
      </c>
      <c r="BL536" t="s">
        <v>69</v>
      </c>
      <c r="BM536">
        <v>-1.9390000000000001</v>
      </c>
      <c r="BN536">
        <v>-3.5990000000000002</v>
      </c>
    </row>
    <row r="537" spans="2:66">
      <c r="B537">
        <v>853</v>
      </c>
      <c r="C537">
        <v>81</v>
      </c>
      <c r="D537">
        <v>0</v>
      </c>
      <c r="E537">
        <v>7</v>
      </c>
      <c r="F537">
        <v>1</v>
      </c>
      <c r="J537">
        <v>0</v>
      </c>
      <c r="K537">
        <v>2</v>
      </c>
      <c r="L537">
        <v>0</v>
      </c>
      <c r="M537" t="s">
        <v>25022</v>
      </c>
      <c r="N537">
        <v>2898</v>
      </c>
      <c r="O537" t="s">
        <v>16677</v>
      </c>
      <c r="P537" t="s">
        <v>62</v>
      </c>
      <c r="Q537">
        <v>2843109</v>
      </c>
      <c r="R537">
        <v>2843828</v>
      </c>
      <c r="S537" t="s">
        <v>16678</v>
      </c>
      <c r="T537">
        <v>240</v>
      </c>
      <c r="U537" t="s">
        <v>108</v>
      </c>
      <c r="V537">
        <v>44</v>
      </c>
      <c r="W537" t="str">
        <f>HYPERLINK("Gene2898-zp_tree_all.dnd", "Gene2898-tree")</f>
        <v>Gene2898-tree</v>
      </c>
      <c r="X537">
        <v>5</v>
      </c>
      <c r="Y537">
        <v>6</v>
      </c>
      <c r="Z537">
        <v>5</v>
      </c>
      <c r="AA537">
        <v>6</v>
      </c>
      <c r="AB537">
        <v>0.54544999999999999</v>
      </c>
      <c r="AC537" t="s">
        <v>199</v>
      </c>
      <c r="AD537" t="s">
        <v>90</v>
      </c>
      <c r="AE537" t="s">
        <v>62</v>
      </c>
      <c r="AF537" t="s">
        <v>62</v>
      </c>
      <c r="AG537">
        <v>1</v>
      </c>
      <c r="AH537">
        <v>2</v>
      </c>
      <c r="AI537">
        <v>13</v>
      </c>
      <c r="AJ537">
        <v>0.13333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9</v>
      </c>
      <c r="AT537">
        <v>0</v>
      </c>
      <c r="AU537">
        <v>8</v>
      </c>
      <c r="AV537">
        <v>8</v>
      </c>
      <c r="AW537">
        <v>17</v>
      </c>
      <c r="AX537">
        <v>8</v>
      </c>
      <c r="AY537">
        <v>12</v>
      </c>
      <c r="AZ537">
        <v>7</v>
      </c>
      <c r="BA537" t="s">
        <v>16679</v>
      </c>
      <c r="BB537" t="s">
        <v>16680</v>
      </c>
      <c r="BC537">
        <v>0.23499999999999999</v>
      </c>
      <c r="BD537" t="s">
        <v>65</v>
      </c>
      <c r="BE537">
        <v>29</v>
      </c>
      <c r="BF537">
        <v>15</v>
      </c>
      <c r="BG537" t="s">
        <v>16681</v>
      </c>
      <c r="BH537" t="s">
        <v>16682</v>
      </c>
      <c r="BI537" t="s">
        <v>16683</v>
      </c>
      <c r="BJ537">
        <v>0.17319999999999999</v>
      </c>
      <c r="BK537">
        <v>1</v>
      </c>
      <c r="BL537" t="s">
        <v>69</v>
      </c>
      <c r="BM537">
        <v>-1.099</v>
      </c>
      <c r="BN537">
        <v>-1.653</v>
      </c>
    </row>
    <row r="538" spans="2:66">
      <c r="B538">
        <v>854</v>
      </c>
      <c r="C538">
        <v>489</v>
      </c>
      <c r="D538">
        <v>0</v>
      </c>
      <c r="E538">
        <v>2</v>
      </c>
      <c r="F538">
        <v>0</v>
      </c>
      <c r="J538">
        <v>0</v>
      </c>
      <c r="K538">
        <v>0</v>
      </c>
      <c r="L538">
        <v>0</v>
      </c>
      <c r="M538" t="s">
        <v>25022</v>
      </c>
      <c r="N538">
        <v>2899</v>
      </c>
      <c r="O538" t="s">
        <v>16684</v>
      </c>
      <c r="P538" t="s">
        <v>62</v>
      </c>
      <c r="Q538">
        <v>2843934</v>
      </c>
      <c r="R538">
        <v>2844527</v>
      </c>
      <c r="S538" t="s">
        <v>6937</v>
      </c>
      <c r="T538">
        <v>198</v>
      </c>
      <c r="U538" t="s">
        <v>108</v>
      </c>
      <c r="V538">
        <v>44</v>
      </c>
      <c r="W538" t="str">
        <f>HYPERLINK("Gene2899-zp_tree_all.dnd", "Gene2899-tree")</f>
        <v>Gene2899-tree</v>
      </c>
      <c r="X538">
        <v>7</v>
      </c>
      <c r="Y538">
        <v>4</v>
      </c>
      <c r="Z538">
        <v>7</v>
      </c>
      <c r="AA538">
        <v>4</v>
      </c>
      <c r="AB538">
        <v>0.36364000000000002</v>
      </c>
      <c r="AC538" t="s">
        <v>152</v>
      </c>
      <c r="AD538" t="s">
        <v>61</v>
      </c>
      <c r="AE538" t="s">
        <v>62</v>
      </c>
      <c r="AF538" t="s">
        <v>62</v>
      </c>
      <c r="AG538">
        <v>0</v>
      </c>
      <c r="AH538">
        <v>0</v>
      </c>
      <c r="AI538">
        <v>8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6</v>
      </c>
      <c r="AT538">
        <v>0</v>
      </c>
      <c r="AU538">
        <v>9</v>
      </c>
      <c r="AV538">
        <v>5</v>
      </c>
      <c r="AW538">
        <v>13</v>
      </c>
      <c r="AX538">
        <v>6</v>
      </c>
      <c r="AY538">
        <v>3</v>
      </c>
      <c r="AZ538">
        <v>2</v>
      </c>
      <c r="BA538" t="s">
        <v>16685</v>
      </c>
      <c r="BB538" t="s">
        <v>16686</v>
      </c>
      <c r="BC538">
        <v>0.29799999999999999</v>
      </c>
      <c r="BD538" t="s">
        <v>65</v>
      </c>
      <c r="BE538">
        <v>16</v>
      </c>
      <c r="BF538">
        <v>8</v>
      </c>
      <c r="BG538" t="s">
        <v>16687</v>
      </c>
      <c r="BH538" t="s">
        <v>16688</v>
      </c>
      <c r="BI538" t="s">
        <v>16689</v>
      </c>
      <c r="BJ538">
        <v>0.13466</v>
      </c>
      <c r="BK538">
        <v>1</v>
      </c>
      <c r="BL538" t="s">
        <v>69</v>
      </c>
      <c r="BM538">
        <v>-1.028</v>
      </c>
      <c r="BN538">
        <v>-1.2609999999999999</v>
      </c>
    </row>
    <row r="539" spans="2:66">
      <c r="B539">
        <v>855</v>
      </c>
      <c r="C539">
        <v>321</v>
      </c>
      <c r="D539">
        <v>0</v>
      </c>
      <c r="E539">
        <v>19</v>
      </c>
      <c r="F539">
        <v>1</v>
      </c>
      <c r="J539">
        <v>0</v>
      </c>
      <c r="K539">
        <v>2</v>
      </c>
      <c r="L539">
        <v>0</v>
      </c>
      <c r="M539" t="s">
        <v>25022</v>
      </c>
      <c r="N539">
        <v>2900</v>
      </c>
      <c r="O539" t="s">
        <v>16690</v>
      </c>
      <c r="P539" t="s">
        <v>62</v>
      </c>
      <c r="Q539">
        <v>2844678</v>
      </c>
      <c r="R539">
        <v>2845838</v>
      </c>
      <c r="S539" t="s">
        <v>16691</v>
      </c>
      <c r="T539">
        <v>387</v>
      </c>
      <c r="U539" t="s">
        <v>108</v>
      </c>
      <c r="V539">
        <v>44</v>
      </c>
      <c r="W539" t="str">
        <f>HYPERLINK("Gene2900-zp_tree_all.dnd", "Gene2900-tree")</f>
        <v>Gene2900-tree</v>
      </c>
      <c r="X539">
        <v>6</v>
      </c>
      <c r="Y539">
        <v>7</v>
      </c>
      <c r="Z539">
        <v>6</v>
      </c>
      <c r="AA539">
        <v>7</v>
      </c>
      <c r="AB539">
        <v>0.53846000000000005</v>
      </c>
      <c r="AC539" t="s">
        <v>90</v>
      </c>
      <c r="AD539" t="s">
        <v>152</v>
      </c>
      <c r="AE539" t="s">
        <v>62</v>
      </c>
      <c r="AF539" t="s">
        <v>62</v>
      </c>
      <c r="AG539">
        <v>1</v>
      </c>
      <c r="AH539">
        <v>2</v>
      </c>
      <c r="AI539">
        <v>8</v>
      </c>
      <c r="AJ539">
        <v>0.2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2</v>
      </c>
      <c r="AQ539">
        <v>0</v>
      </c>
      <c r="AR539">
        <v>2</v>
      </c>
      <c r="AS539">
        <v>7</v>
      </c>
      <c r="AT539">
        <v>0.22222</v>
      </c>
      <c r="AU539">
        <v>10</v>
      </c>
      <c r="AV539">
        <v>5</v>
      </c>
      <c r="AW539">
        <v>21</v>
      </c>
      <c r="AX539">
        <v>7</v>
      </c>
      <c r="AY539">
        <v>9</v>
      </c>
      <c r="AZ539">
        <v>3</v>
      </c>
      <c r="BA539" t="s">
        <v>16692</v>
      </c>
      <c r="BB539" t="s">
        <v>16693</v>
      </c>
      <c r="BC539">
        <v>4.0000000000000001E-3</v>
      </c>
      <c r="BD539" t="s">
        <v>65</v>
      </c>
      <c r="BE539">
        <v>30</v>
      </c>
      <c r="BF539">
        <v>10</v>
      </c>
      <c r="BG539" t="s">
        <v>16694</v>
      </c>
      <c r="BH539" t="s">
        <v>16695</v>
      </c>
      <c r="BI539" t="s">
        <v>16696</v>
      </c>
      <c r="BJ539">
        <v>0.10831</v>
      </c>
      <c r="BK539">
        <v>1</v>
      </c>
      <c r="BL539" t="s">
        <v>69</v>
      </c>
      <c r="BM539">
        <v>-0.86399999999999999</v>
      </c>
      <c r="BN539">
        <v>-1.1719999999999999</v>
      </c>
    </row>
    <row r="540" spans="2:66">
      <c r="B540">
        <v>856</v>
      </c>
      <c r="C540">
        <v>21</v>
      </c>
      <c r="D540">
        <v>2</v>
      </c>
      <c r="E540">
        <v>6</v>
      </c>
      <c r="F540">
        <v>1</v>
      </c>
      <c r="J540">
        <v>0</v>
      </c>
      <c r="K540">
        <v>2</v>
      </c>
      <c r="L540">
        <v>2</v>
      </c>
      <c r="M540" t="s">
        <v>25022</v>
      </c>
      <c r="N540">
        <v>2901</v>
      </c>
      <c r="O540" t="s">
        <v>16697</v>
      </c>
      <c r="P540" t="s">
        <v>62</v>
      </c>
      <c r="Q540">
        <v>2845958</v>
      </c>
      <c r="R540">
        <v>2847061</v>
      </c>
      <c r="S540" t="s">
        <v>16698</v>
      </c>
      <c r="T540">
        <v>368</v>
      </c>
      <c r="U540" t="s">
        <v>108</v>
      </c>
      <c r="V540">
        <v>44</v>
      </c>
      <c r="W540" t="str">
        <f>HYPERLINK("Gene2901-zp_tree_all.dnd", "Gene2901-tree")</f>
        <v>Gene2901-tree</v>
      </c>
      <c r="X540">
        <v>5</v>
      </c>
      <c r="Y540">
        <v>8</v>
      </c>
      <c r="Z540">
        <v>5</v>
      </c>
      <c r="AA540">
        <v>8</v>
      </c>
      <c r="AB540">
        <v>0.61538000000000004</v>
      </c>
      <c r="AC540" t="s">
        <v>199</v>
      </c>
      <c r="AD540" t="s">
        <v>136</v>
      </c>
      <c r="AE540" t="s">
        <v>62</v>
      </c>
      <c r="AF540" t="s">
        <v>62</v>
      </c>
      <c r="AG540">
        <v>2</v>
      </c>
      <c r="AH540">
        <v>4</v>
      </c>
      <c r="AI540">
        <v>10</v>
      </c>
      <c r="AJ540">
        <v>0.28571000000000002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11</v>
      </c>
      <c r="AT540">
        <v>0</v>
      </c>
      <c r="AU540">
        <v>11</v>
      </c>
      <c r="AV540">
        <v>8</v>
      </c>
      <c r="AW540">
        <v>25</v>
      </c>
      <c r="AX540">
        <v>11</v>
      </c>
      <c r="AY540">
        <v>9</v>
      </c>
      <c r="AZ540">
        <v>3</v>
      </c>
      <c r="BA540" t="s">
        <v>16699</v>
      </c>
      <c r="BB540" t="s">
        <v>16700</v>
      </c>
      <c r="BC540">
        <v>0.42799999999999999</v>
      </c>
      <c r="BD540" t="s">
        <v>65</v>
      </c>
      <c r="BE540">
        <v>34</v>
      </c>
      <c r="BF540">
        <v>14</v>
      </c>
      <c r="BG540" t="s">
        <v>16701</v>
      </c>
      <c r="BH540" t="s">
        <v>16702</v>
      </c>
      <c r="BI540" t="s">
        <v>16703</v>
      </c>
      <c r="BJ540">
        <v>0.10102999999999999</v>
      </c>
      <c r="BK540">
        <v>1</v>
      </c>
      <c r="BL540" t="s">
        <v>69</v>
      </c>
      <c r="BM540">
        <v>-1.157</v>
      </c>
      <c r="BN540">
        <v>-1.9219999999999999</v>
      </c>
    </row>
    <row r="541" spans="2:66">
      <c r="B541">
        <v>857</v>
      </c>
      <c r="C541">
        <v>130</v>
      </c>
      <c r="D541">
        <v>0</v>
      </c>
      <c r="E541">
        <v>0</v>
      </c>
      <c r="F541">
        <v>2</v>
      </c>
      <c r="J541">
        <v>0</v>
      </c>
      <c r="K541">
        <v>4</v>
      </c>
      <c r="L541">
        <v>9</v>
      </c>
      <c r="M541" t="s">
        <v>25022</v>
      </c>
      <c r="N541">
        <v>2902</v>
      </c>
      <c r="O541" t="s">
        <v>16704</v>
      </c>
      <c r="P541" t="s">
        <v>62</v>
      </c>
      <c r="Q541">
        <v>2847051</v>
      </c>
      <c r="R541">
        <v>2847917</v>
      </c>
      <c r="S541" t="s">
        <v>16705</v>
      </c>
      <c r="T541">
        <v>289</v>
      </c>
      <c r="U541" t="s">
        <v>108</v>
      </c>
      <c r="V541">
        <v>44</v>
      </c>
      <c r="W541" t="str">
        <f>HYPERLINK("Gene2902-zp_tree_all.dnd", "Gene2902-tree")</f>
        <v>Gene2902-tree</v>
      </c>
      <c r="X541">
        <v>4</v>
      </c>
      <c r="Y541">
        <v>10</v>
      </c>
      <c r="Z541">
        <v>4</v>
      </c>
      <c r="AA541">
        <v>10</v>
      </c>
      <c r="AB541">
        <v>0.71428999999999998</v>
      </c>
      <c r="AC541" t="s">
        <v>61</v>
      </c>
      <c r="AD541" t="s">
        <v>117</v>
      </c>
      <c r="AE541" t="s">
        <v>62</v>
      </c>
      <c r="AF541" t="s">
        <v>62</v>
      </c>
      <c r="AG541">
        <v>6</v>
      </c>
      <c r="AH541">
        <v>13</v>
      </c>
      <c r="AI541">
        <v>15</v>
      </c>
      <c r="AJ541">
        <v>0.46428999999999998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</v>
      </c>
      <c r="AQ541">
        <v>4</v>
      </c>
      <c r="AR541">
        <v>6</v>
      </c>
      <c r="AS541">
        <v>14</v>
      </c>
      <c r="AT541">
        <v>0.3</v>
      </c>
      <c r="AU541">
        <v>13</v>
      </c>
      <c r="AV541">
        <v>8</v>
      </c>
      <c r="AW541">
        <v>31</v>
      </c>
      <c r="AX541">
        <v>18</v>
      </c>
      <c r="AY541">
        <v>11</v>
      </c>
      <c r="AZ541">
        <v>11</v>
      </c>
      <c r="BA541" t="s">
        <v>16706</v>
      </c>
      <c r="BB541" t="s">
        <v>16707</v>
      </c>
      <c r="BC541">
        <v>0.80300000000000005</v>
      </c>
      <c r="BD541" t="s">
        <v>65</v>
      </c>
      <c r="BE541">
        <v>42</v>
      </c>
      <c r="BF541">
        <v>29</v>
      </c>
      <c r="BG541" t="s">
        <v>16708</v>
      </c>
      <c r="BH541" t="s">
        <v>16709</v>
      </c>
      <c r="BI541" t="s">
        <v>16710</v>
      </c>
      <c r="BJ541">
        <v>0.26003999999999999</v>
      </c>
      <c r="BK541">
        <v>1</v>
      </c>
      <c r="BL541" t="s">
        <v>69</v>
      </c>
      <c r="BM541">
        <v>-1.133</v>
      </c>
      <c r="BN541">
        <v>-2.8740000000000001</v>
      </c>
    </row>
    <row r="542" spans="2:66">
      <c r="B542">
        <v>858</v>
      </c>
      <c r="C542">
        <v>266</v>
      </c>
      <c r="D542">
        <v>0</v>
      </c>
      <c r="E542">
        <v>8</v>
      </c>
      <c r="F542">
        <v>1</v>
      </c>
      <c r="J542">
        <v>0</v>
      </c>
      <c r="K542">
        <v>18</v>
      </c>
      <c r="L542">
        <v>2</v>
      </c>
      <c r="M542" t="s">
        <v>25022</v>
      </c>
      <c r="N542">
        <v>2903</v>
      </c>
      <c r="O542" t="s">
        <v>16711</v>
      </c>
      <c r="P542" t="s">
        <v>62</v>
      </c>
      <c r="Q542">
        <v>2847874</v>
      </c>
      <c r="R542">
        <v>2849466</v>
      </c>
      <c r="S542" t="s">
        <v>16712</v>
      </c>
      <c r="T542">
        <v>531</v>
      </c>
      <c r="U542" t="s">
        <v>108</v>
      </c>
      <c r="V542">
        <v>44</v>
      </c>
      <c r="W542" t="str">
        <f>HYPERLINK("Gene2903-zp_tree_all.dnd", "Gene2903-tree")</f>
        <v>Gene2903-tree</v>
      </c>
      <c r="X542">
        <v>2</v>
      </c>
      <c r="Y542">
        <v>11</v>
      </c>
      <c r="Z542">
        <v>2</v>
      </c>
      <c r="AA542">
        <v>11</v>
      </c>
      <c r="AB542">
        <v>0.84614999999999996</v>
      </c>
      <c r="AC542" t="s">
        <v>81</v>
      </c>
      <c r="AD542" t="s">
        <v>73</v>
      </c>
      <c r="AE542">
        <v>515075683.63</v>
      </c>
      <c r="AF542" t="s">
        <v>267</v>
      </c>
      <c r="AG542">
        <v>7</v>
      </c>
      <c r="AH542">
        <v>20</v>
      </c>
      <c r="AI542">
        <v>43</v>
      </c>
      <c r="AJ542">
        <v>0.31746000000000002</v>
      </c>
      <c r="AK542">
        <v>0</v>
      </c>
      <c r="AL542">
        <v>0</v>
      </c>
      <c r="AM542">
        <v>0</v>
      </c>
      <c r="AN542">
        <v>3</v>
      </c>
      <c r="AO542">
        <v>0</v>
      </c>
      <c r="AP542">
        <v>5</v>
      </c>
      <c r="AQ542">
        <v>2</v>
      </c>
      <c r="AR542">
        <v>7</v>
      </c>
      <c r="AS542">
        <v>37</v>
      </c>
      <c r="AT542">
        <v>0.15909000000000001</v>
      </c>
      <c r="AU542">
        <v>11</v>
      </c>
      <c r="AV542">
        <v>10</v>
      </c>
      <c r="AW542">
        <v>38</v>
      </c>
      <c r="AX542">
        <v>44</v>
      </c>
      <c r="AY542">
        <v>16</v>
      </c>
      <c r="AZ542">
        <v>19</v>
      </c>
      <c r="BA542" t="s">
        <v>16713</v>
      </c>
      <c r="BB542" t="s">
        <v>16714</v>
      </c>
      <c r="BC542">
        <v>3.9E-2</v>
      </c>
      <c r="BD542" t="s">
        <v>65</v>
      </c>
      <c r="BE542">
        <v>54</v>
      </c>
      <c r="BF542">
        <v>63</v>
      </c>
      <c r="BG542" t="s">
        <v>16715</v>
      </c>
      <c r="BH542" t="s">
        <v>16716</v>
      </c>
      <c r="BI542" t="s">
        <v>16717</v>
      </c>
      <c r="BJ542">
        <v>0.35577999999999999</v>
      </c>
      <c r="BK542">
        <v>1</v>
      </c>
      <c r="BL542" t="s">
        <v>69</v>
      </c>
      <c r="BM542">
        <v>-1.45</v>
      </c>
      <c r="BN542">
        <v>-2.7360000000000002</v>
      </c>
    </row>
    <row r="543" spans="2:66">
      <c r="B543">
        <v>863</v>
      </c>
      <c r="C543">
        <v>318</v>
      </c>
      <c r="D543">
        <v>0</v>
      </c>
      <c r="E543">
        <v>11</v>
      </c>
      <c r="F543">
        <v>1</v>
      </c>
      <c r="J543">
        <v>0</v>
      </c>
      <c r="K543">
        <v>2</v>
      </c>
      <c r="L543">
        <v>2</v>
      </c>
      <c r="M543" t="s">
        <v>25022</v>
      </c>
      <c r="N543">
        <v>2906</v>
      </c>
      <c r="O543" t="s">
        <v>16732</v>
      </c>
      <c r="P543" t="s">
        <v>62</v>
      </c>
      <c r="Q543">
        <v>2851286</v>
      </c>
      <c r="R543">
        <v>2852140</v>
      </c>
      <c r="S543" t="s">
        <v>16733</v>
      </c>
      <c r="T543">
        <v>285</v>
      </c>
      <c r="U543" t="s">
        <v>108</v>
      </c>
      <c r="V543">
        <v>44</v>
      </c>
      <c r="W543" t="str">
        <f>HYPERLINK("Gene2906-zp_tree_all.dnd", "Gene2906-tree")</f>
        <v>Gene2906-tree</v>
      </c>
      <c r="X543">
        <v>6</v>
      </c>
      <c r="Y543">
        <v>8</v>
      </c>
      <c r="Z543">
        <v>6</v>
      </c>
      <c r="AA543">
        <v>8</v>
      </c>
      <c r="AB543">
        <v>0.57142999999999999</v>
      </c>
      <c r="AC543" t="s">
        <v>90</v>
      </c>
      <c r="AD543" t="s">
        <v>136</v>
      </c>
      <c r="AE543" t="s">
        <v>62</v>
      </c>
      <c r="AF543" t="s">
        <v>62</v>
      </c>
      <c r="AG543">
        <v>2</v>
      </c>
      <c r="AH543">
        <v>4</v>
      </c>
      <c r="AI543">
        <v>7</v>
      </c>
      <c r="AJ543">
        <v>0.36364000000000002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2</v>
      </c>
      <c r="AR543">
        <v>2</v>
      </c>
      <c r="AS543">
        <v>7</v>
      </c>
      <c r="AT543">
        <v>0.22222</v>
      </c>
      <c r="AU543">
        <v>12</v>
      </c>
      <c r="AV543">
        <v>9</v>
      </c>
      <c r="AW543">
        <v>21</v>
      </c>
      <c r="AX543">
        <v>8</v>
      </c>
      <c r="AY543">
        <v>27</v>
      </c>
      <c r="AZ543">
        <v>3</v>
      </c>
      <c r="BA543" t="s">
        <v>16734</v>
      </c>
      <c r="BB543" t="s">
        <v>16735</v>
      </c>
      <c r="BC543">
        <v>1.355</v>
      </c>
      <c r="BD543" t="s">
        <v>65</v>
      </c>
      <c r="BE543">
        <v>48</v>
      </c>
      <c r="BF543">
        <v>11</v>
      </c>
      <c r="BG543" t="s">
        <v>16736</v>
      </c>
      <c r="BH543" t="s">
        <v>16737</v>
      </c>
      <c r="BI543" t="s">
        <v>16738</v>
      </c>
      <c r="BJ543">
        <v>6.7000000000000004E-2</v>
      </c>
      <c r="BK543">
        <v>1</v>
      </c>
      <c r="BL543" t="s">
        <v>69</v>
      </c>
      <c r="BM543">
        <v>-0.71899999999999997</v>
      </c>
      <c r="BN543">
        <v>-0.92</v>
      </c>
    </row>
    <row r="544" spans="2:66">
      <c r="B544">
        <v>864</v>
      </c>
      <c r="C544">
        <v>153</v>
      </c>
      <c r="D544">
        <v>0</v>
      </c>
      <c r="E544">
        <v>9</v>
      </c>
      <c r="F544">
        <v>0</v>
      </c>
      <c r="J544">
        <v>0</v>
      </c>
      <c r="K544">
        <v>0</v>
      </c>
      <c r="L544">
        <v>0</v>
      </c>
      <c r="M544" t="s">
        <v>25022</v>
      </c>
      <c r="N544">
        <v>2907</v>
      </c>
      <c r="O544" t="s">
        <v>16739</v>
      </c>
      <c r="P544" t="s">
        <v>62</v>
      </c>
      <c r="Q544">
        <v>2852160</v>
      </c>
      <c r="R544">
        <v>2852600</v>
      </c>
      <c r="S544" t="s">
        <v>16740</v>
      </c>
      <c r="T544">
        <v>147</v>
      </c>
      <c r="U544" t="s">
        <v>59</v>
      </c>
      <c r="V544">
        <v>49</v>
      </c>
      <c r="W544" t="str">
        <f>HYPERLINK("Gene2907-zp_tree_all.dnd", "Gene2907-tree")</f>
        <v>Gene2907-tree</v>
      </c>
      <c r="X544">
        <v>12</v>
      </c>
      <c r="Y544">
        <v>0</v>
      </c>
      <c r="Z544">
        <v>12</v>
      </c>
      <c r="AA544">
        <v>0</v>
      </c>
      <c r="AB544">
        <v>0</v>
      </c>
      <c r="AC544" t="s">
        <v>109</v>
      </c>
      <c r="AD544" t="s">
        <v>62</v>
      </c>
      <c r="AE544" t="s">
        <v>62</v>
      </c>
      <c r="AF544" t="s">
        <v>62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9</v>
      </c>
      <c r="AV544">
        <v>6</v>
      </c>
      <c r="AW544">
        <v>22</v>
      </c>
      <c r="AX544">
        <v>0</v>
      </c>
      <c r="AY544">
        <v>22</v>
      </c>
      <c r="AZ544">
        <v>0</v>
      </c>
      <c r="BA544" t="s">
        <v>193</v>
      </c>
      <c r="BB544" t="s">
        <v>193</v>
      </c>
      <c r="BC544">
        <v>0</v>
      </c>
      <c r="BD544" t="s">
        <v>65</v>
      </c>
      <c r="BE544">
        <v>44</v>
      </c>
      <c r="BF544">
        <v>0</v>
      </c>
      <c r="BG544" t="s">
        <v>16741</v>
      </c>
      <c r="BH544" t="s">
        <v>16742</v>
      </c>
      <c r="BI544" t="s">
        <v>193</v>
      </c>
      <c r="BJ544">
        <v>0</v>
      </c>
      <c r="BK544">
        <v>1</v>
      </c>
      <c r="BL544" t="s">
        <v>69</v>
      </c>
      <c r="BM544">
        <v>-1.4850000000000001</v>
      </c>
      <c r="BN544">
        <v>-1.087</v>
      </c>
    </row>
    <row r="545" spans="2:66">
      <c r="B545">
        <v>865</v>
      </c>
      <c r="C545">
        <v>264</v>
      </c>
      <c r="D545">
        <v>0</v>
      </c>
      <c r="E545">
        <v>13</v>
      </c>
      <c r="F545">
        <v>2</v>
      </c>
      <c r="J545">
        <v>0</v>
      </c>
      <c r="K545">
        <v>4</v>
      </c>
      <c r="L545">
        <v>0</v>
      </c>
      <c r="M545" t="s">
        <v>25022</v>
      </c>
      <c r="N545">
        <v>2908</v>
      </c>
      <c r="O545" t="s">
        <v>16743</v>
      </c>
      <c r="P545" t="s">
        <v>62</v>
      </c>
      <c r="Q545">
        <v>2852664</v>
      </c>
      <c r="R545">
        <v>2853947</v>
      </c>
      <c r="S545" t="s">
        <v>16744</v>
      </c>
      <c r="T545">
        <v>428</v>
      </c>
      <c r="U545" t="s">
        <v>59</v>
      </c>
      <c r="V545">
        <v>49</v>
      </c>
      <c r="W545" t="str">
        <f>HYPERLINK("Gene2908-zp_tree_all.dnd", "Gene2908-tree")</f>
        <v>Gene2908-tree</v>
      </c>
      <c r="X545">
        <v>15</v>
      </c>
      <c r="Y545">
        <v>3</v>
      </c>
      <c r="Z545">
        <v>15</v>
      </c>
      <c r="AA545">
        <v>3</v>
      </c>
      <c r="AB545">
        <v>0.16667000000000001</v>
      </c>
      <c r="AC545" t="s">
        <v>100</v>
      </c>
      <c r="AD545" t="s">
        <v>324</v>
      </c>
      <c r="AE545" t="s">
        <v>62</v>
      </c>
      <c r="AF545" t="s">
        <v>62</v>
      </c>
      <c r="AG545">
        <v>2</v>
      </c>
      <c r="AH545">
        <v>4</v>
      </c>
      <c r="AI545">
        <v>8</v>
      </c>
      <c r="AJ545">
        <v>0.33333000000000002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5</v>
      </c>
      <c r="AT545">
        <v>0</v>
      </c>
      <c r="AU545">
        <v>14</v>
      </c>
      <c r="AV545">
        <v>14</v>
      </c>
      <c r="AW545">
        <v>78</v>
      </c>
      <c r="AX545">
        <v>5</v>
      </c>
      <c r="AY545">
        <v>84</v>
      </c>
      <c r="AZ545">
        <v>9</v>
      </c>
      <c r="BA545" t="s">
        <v>16745</v>
      </c>
      <c r="BB545" t="s">
        <v>16746</v>
      </c>
      <c r="BC545">
        <v>0.252</v>
      </c>
      <c r="BD545" t="s">
        <v>65</v>
      </c>
      <c r="BE545">
        <v>162</v>
      </c>
      <c r="BF545">
        <v>14</v>
      </c>
      <c r="BG545" t="s">
        <v>16747</v>
      </c>
      <c r="BH545" t="s">
        <v>16748</v>
      </c>
      <c r="BI545" t="s">
        <v>16749</v>
      </c>
      <c r="BJ545">
        <v>3.7589999999999998E-2</v>
      </c>
      <c r="BK545">
        <v>1</v>
      </c>
      <c r="BL545" t="s">
        <v>69</v>
      </c>
      <c r="BM545">
        <v>-1.34</v>
      </c>
      <c r="BN545">
        <v>-1.123</v>
      </c>
    </row>
    <row r="546" spans="2:66">
      <c r="B546">
        <v>866</v>
      </c>
      <c r="C546">
        <v>220</v>
      </c>
      <c r="D546">
        <v>0</v>
      </c>
      <c r="E546">
        <v>32</v>
      </c>
      <c r="F546">
        <v>1</v>
      </c>
      <c r="J546">
        <v>0</v>
      </c>
      <c r="K546">
        <v>0</v>
      </c>
      <c r="L546">
        <v>0</v>
      </c>
      <c r="M546" t="s">
        <v>25022</v>
      </c>
      <c r="N546">
        <v>2909</v>
      </c>
      <c r="O546" t="s">
        <v>16750</v>
      </c>
      <c r="P546" t="s">
        <v>62</v>
      </c>
      <c r="Q546">
        <v>2853984</v>
      </c>
      <c r="R546">
        <v>2854559</v>
      </c>
      <c r="S546" t="s">
        <v>16751</v>
      </c>
      <c r="T546">
        <v>192</v>
      </c>
      <c r="U546" t="s">
        <v>16752</v>
      </c>
      <c r="V546">
        <v>44</v>
      </c>
      <c r="W546" t="str">
        <f>HYPERLINK("Gene2909-zp_tree_all.dnd", "Gene2909-tree")</f>
        <v>Gene2909-tree</v>
      </c>
      <c r="X546">
        <v>32</v>
      </c>
      <c r="Y546">
        <v>3</v>
      </c>
      <c r="Z546">
        <v>10</v>
      </c>
      <c r="AA546">
        <v>3</v>
      </c>
      <c r="AB546">
        <v>0.23077</v>
      </c>
      <c r="AC546" t="s">
        <v>16607</v>
      </c>
      <c r="AD546" t="s">
        <v>324</v>
      </c>
      <c r="AE546" t="s">
        <v>62</v>
      </c>
      <c r="AF546" t="s">
        <v>62</v>
      </c>
      <c r="AG546">
        <v>0</v>
      </c>
      <c r="AH546">
        <v>0</v>
      </c>
      <c r="AI546">
        <v>7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4</v>
      </c>
      <c r="AT546">
        <v>0</v>
      </c>
      <c r="AU546">
        <v>8</v>
      </c>
      <c r="AV546">
        <v>8</v>
      </c>
      <c r="AW546">
        <v>19</v>
      </c>
      <c r="AX546">
        <v>4</v>
      </c>
      <c r="AY546">
        <v>15</v>
      </c>
      <c r="AZ546">
        <v>3</v>
      </c>
      <c r="BA546" t="s">
        <v>16753</v>
      </c>
      <c r="BB546" t="s">
        <v>16754</v>
      </c>
      <c r="BC546">
        <v>4.5999999999999999E-2</v>
      </c>
      <c r="BD546" t="s">
        <v>65</v>
      </c>
      <c r="BE546">
        <v>34</v>
      </c>
      <c r="BF546">
        <v>7</v>
      </c>
      <c r="BG546" t="s">
        <v>16755</v>
      </c>
      <c r="BH546" t="s">
        <v>16756</v>
      </c>
      <c r="BI546" t="s">
        <v>16757</v>
      </c>
      <c r="BJ546">
        <v>5.0549999999999998E-2</v>
      </c>
      <c r="BK546">
        <v>1</v>
      </c>
      <c r="BL546" t="s">
        <v>69</v>
      </c>
      <c r="BM546">
        <v>-1.744</v>
      </c>
      <c r="BN546">
        <v>-2.5270000000000001</v>
      </c>
    </row>
    <row r="547" spans="2:66">
      <c r="B547">
        <v>867</v>
      </c>
      <c r="C547">
        <v>127</v>
      </c>
      <c r="D547">
        <v>2</v>
      </c>
      <c r="E547">
        <v>40</v>
      </c>
      <c r="F547">
        <v>7</v>
      </c>
      <c r="J547">
        <v>0</v>
      </c>
      <c r="K547">
        <v>0</v>
      </c>
      <c r="L547">
        <v>0</v>
      </c>
      <c r="M547" t="s">
        <v>25022</v>
      </c>
      <c r="N547">
        <v>2911</v>
      </c>
      <c r="O547" t="s">
        <v>16758</v>
      </c>
      <c r="P547" t="s">
        <v>62</v>
      </c>
      <c r="Q547">
        <v>2855180</v>
      </c>
      <c r="R547">
        <v>2855515</v>
      </c>
      <c r="S547" t="s">
        <v>16759</v>
      </c>
      <c r="T547">
        <v>112</v>
      </c>
      <c r="U547" t="s">
        <v>125</v>
      </c>
      <c r="V547">
        <v>48</v>
      </c>
      <c r="W547" t="str">
        <f>HYPERLINK("Gene2911-zp_tree_all.dnd", "Gene2911-tree")</f>
        <v>Gene2911-tree</v>
      </c>
      <c r="X547">
        <v>7</v>
      </c>
      <c r="Y547">
        <v>5</v>
      </c>
      <c r="Z547">
        <v>7</v>
      </c>
      <c r="AA547">
        <v>5</v>
      </c>
      <c r="AB547">
        <v>0.41666999999999998</v>
      </c>
      <c r="AC547" t="s">
        <v>152</v>
      </c>
      <c r="AD547" t="s">
        <v>199</v>
      </c>
      <c r="AE547" t="s">
        <v>62</v>
      </c>
      <c r="AF547" t="s">
        <v>62</v>
      </c>
      <c r="AG547">
        <v>0</v>
      </c>
      <c r="AH547">
        <v>0</v>
      </c>
      <c r="AI547">
        <v>7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5</v>
      </c>
      <c r="AT547">
        <v>0</v>
      </c>
      <c r="AU547">
        <v>7</v>
      </c>
      <c r="AV547">
        <v>6</v>
      </c>
      <c r="AW547">
        <v>5</v>
      </c>
      <c r="AX547">
        <v>4</v>
      </c>
      <c r="AY547">
        <v>12</v>
      </c>
      <c r="AZ547">
        <v>3</v>
      </c>
      <c r="BA547" t="s">
        <v>16760</v>
      </c>
      <c r="BB547" t="s">
        <v>16761</v>
      </c>
      <c r="BC547">
        <v>0.96</v>
      </c>
      <c r="BD547" t="s">
        <v>65</v>
      </c>
      <c r="BE547">
        <v>17</v>
      </c>
      <c r="BF547">
        <v>7</v>
      </c>
      <c r="BG547" t="s">
        <v>16762</v>
      </c>
      <c r="BH547" t="s">
        <v>16763</v>
      </c>
      <c r="BI547" t="s">
        <v>16764</v>
      </c>
      <c r="BJ547">
        <v>9.1160000000000005E-2</v>
      </c>
      <c r="BK547">
        <v>1</v>
      </c>
      <c r="BL547" t="s">
        <v>69</v>
      </c>
      <c r="BM547">
        <v>-1.3360000000000001</v>
      </c>
      <c r="BN547">
        <v>-0.23200000000000001</v>
      </c>
    </row>
    <row r="548" spans="2:66">
      <c r="B548">
        <v>869</v>
      </c>
      <c r="C548">
        <v>5</v>
      </c>
      <c r="D548">
        <v>0</v>
      </c>
      <c r="E548">
        <v>0</v>
      </c>
      <c r="F548">
        <v>2</v>
      </c>
      <c r="J548">
        <v>0</v>
      </c>
      <c r="K548">
        <v>0</v>
      </c>
      <c r="L548">
        <v>0</v>
      </c>
      <c r="M548" t="s">
        <v>25022</v>
      </c>
      <c r="N548">
        <v>2912</v>
      </c>
      <c r="O548" t="s">
        <v>16765</v>
      </c>
      <c r="P548" t="s">
        <v>62</v>
      </c>
      <c r="Q548">
        <v>2855521</v>
      </c>
      <c r="R548">
        <v>2855826</v>
      </c>
      <c r="S548" t="s">
        <v>16766</v>
      </c>
      <c r="T548">
        <v>102</v>
      </c>
      <c r="U548" t="s">
        <v>59</v>
      </c>
      <c r="V548">
        <v>49</v>
      </c>
      <c r="W548" t="str">
        <f>HYPERLINK("Gene2912-zp_tree_all.dnd", "Gene2912-tree")</f>
        <v>Gene2912-tree</v>
      </c>
      <c r="X548">
        <v>4</v>
      </c>
      <c r="Y548">
        <v>3</v>
      </c>
      <c r="Z548">
        <v>4</v>
      </c>
      <c r="AA548">
        <v>3</v>
      </c>
      <c r="AB548">
        <v>0.42857000000000001</v>
      </c>
      <c r="AC548" t="s">
        <v>61</v>
      </c>
      <c r="AD548" t="s">
        <v>324</v>
      </c>
      <c r="AE548" t="s">
        <v>62</v>
      </c>
      <c r="AF548" t="s">
        <v>62</v>
      </c>
      <c r="AG548">
        <v>0</v>
      </c>
      <c r="AH548">
        <v>0</v>
      </c>
      <c r="AI548">
        <v>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0</v>
      </c>
      <c r="AU548">
        <v>4</v>
      </c>
      <c r="AV548">
        <v>2</v>
      </c>
      <c r="AW548">
        <v>5</v>
      </c>
      <c r="AX548">
        <v>3</v>
      </c>
      <c r="AY548">
        <v>2</v>
      </c>
      <c r="AZ548">
        <v>0</v>
      </c>
      <c r="BA548" t="s">
        <v>16767</v>
      </c>
      <c r="BB548" t="s">
        <v>193</v>
      </c>
      <c r="BC548">
        <v>0.96299999999999997</v>
      </c>
      <c r="BD548" t="s">
        <v>65</v>
      </c>
      <c r="BE548">
        <v>7</v>
      </c>
      <c r="BF548">
        <v>3</v>
      </c>
      <c r="BG548" t="s">
        <v>16768</v>
      </c>
      <c r="BH548" t="s">
        <v>16769</v>
      </c>
      <c r="BI548" t="s">
        <v>16770</v>
      </c>
      <c r="BJ548">
        <v>0.10446999999999999</v>
      </c>
      <c r="BK548">
        <v>0.98899999999999999</v>
      </c>
      <c r="BL548" t="s">
        <v>69</v>
      </c>
      <c r="BM548">
        <v>-2.2480000000000002</v>
      </c>
      <c r="BN548">
        <v>-3.4889999999999999</v>
      </c>
    </row>
    <row r="549" spans="2:66">
      <c r="B549">
        <v>870</v>
      </c>
      <c r="C549">
        <v>12</v>
      </c>
      <c r="D549">
        <v>0</v>
      </c>
      <c r="E549">
        <v>10</v>
      </c>
      <c r="F549">
        <v>2</v>
      </c>
      <c r="J549">
        <v>0</v>
      </c>
      <c r="K549">
        <v>2</v>
      </c>
      <c r="L549">
        <v>0</v>
      </c>
      <c r="M549" t="s">
        <v>25022</v>
      </c>
      <c r="N549">
        <v>2913</v>
      </c>
      <c r="O549" t="s">
        <v>16771</v>
      </c>
      <c r="P549" t="s">
        <v>62</v>
      </c>
      <c r="Q549">
        <v>2855976</v>
      </c>
      <c r="R549">
        <v>2856839</v>
      </c>
      <c r="S549" t="s">
        <v>16772</v>
      </c>
      <c r="T549">
        <v>288</v>
      </c>
      <c r="U549" t="s">
        <v>108</v>
      </c>
      <c r="V549">
        <v>44</v>
      </c>
      <c r="W549" t="str">
        <f>HYPERLINK("Gene2913-zp_tree_all.dnd", "Gene2913-tree")</f>
        <v>Gene2913-tree</v>
      </c>
      <c r="X549">
        <v>9</v>
      </c>
      <c r="Y549">
        <v>2</v>
      </c>
      <c r="Z549">
        <v>9</v>
      </c>
      <c r="AA549">
        <v>2</v>
      </c>
      <c r="AB549">
        <v>0.18182000000000001</v>
      </c>
      <c r="AC549" t="s">
        <v>135</v>
      </c>
      <c r="AD549" t="s">
        <v>81</v>
      </c>
      <c r="AE549" t="s">
        <v>62</v>
      </c>
      <c r="AF549" t="s">
        <v>62</v>
      </c>
      <c r="AG549">
        <v>1</v>
      </c>
      <c r="AH549">
        <v>2</v>
      </c>
      <c r="AI549">
        <v>3</v>
      </c>
      <c r="AJ549">
        <v>0.4</v>
      </c>
      <c r="AK549">
        <v>0</v>
      </c>
      <c r="AL549">
        <v>0</v>
      </c>
      <c r="AM549">
        <v>0</v>
      </c>
      <c r="AN549">
        <v>3</v>
      </c>
      <c r="AO549">
        <v>0</v>
      </c>
      <c r="AP549">
        <v>0</v>
      </c>
      <c r="AQ549">
        <v>0</v>
      </c>
      <c r="AR549">
        <v>0</v>
      </c>
      <c r="AS549">
        <v>2</v>
      </c>
      <c r="AT549">
        <v>0</v>
      </c>
      <c r="AU549">
        <v>9</v>
      </c>
      <c r="AV549">
        <v>6</v>
      </c>
      <c r="AW549">
        <v>27</v>
      </c>
      <c r="AX549">
        <v>2</v>
      </c>
      <c r="AY549">
        <v>12</v>
      </c>
      <c r="AZ549">
        <v>3</v>
      </c>
      <c r="BA549" t="s">
        <v>16773</v>
      </c>
      <c r="BB549" t="s">
        <v>16774</v>
      </c>
      <c r="BC549">
        <v>0.55500000000000005</v>
      </c>
      <c r="BD549" t="s">
        <v>65</v>
      </c>
      <c r="BE549">
        <v>39</v>
      </c>
      <c r="BF549">
        <v>5</v>
      </c>
      <c r="BG549" t="s">
        <v>16775</v>
      </c>
      <c r="BH549" t="s">
        <v>16776</v>
      </c>
      <c r="BI549" t="s">
        <v>16777</v>
      </c>
      <c r="BJ549">
        <v>5.0360000000000002E-2</v>
      </c>
      <c r="BK549">
        <v>1</v>
      </c>
      <c r="BL549" t="s">
        <v>69</v>
      </c>
      <c r="BM549">
        <v>-0.86099999999999999</v>
      </c>
      <c r="BN549">
        <v>-2.1949999999999998</v>
      </c>
    </row>
    <row r="550" spans="2:66">
      <c r="B550">
        <v>871</v>
      </c>
      <c r="C550">
        <v>140</v>
      </c>
      <c r="D550">
        <v>0</v>
      </c>
      <c r="E550">
        <v>2</v>
      </c>
      <c r="F550">
        <v>2</v>
      </c>
      <c r="J550">
        <v>0</v>
      </c>
      <c r="K550">
        <v>2</v>
      </c>
      <c r="L550">
        <v>0</v>
      </c>
      <c r="M550" t="s">
        <v>25022</v>
      </c>
      <c r="N550">
        <v>2914</v>
      </c>
      <c r="O550" t="s">
        <v>16778</v>
      </c>
      <c r="P550" t="s">
        <v>62</v>
      </c>
      <c r="Q550">
        <v>2856835</v>
      </c>
      <c r="R550">
        <v>2857626</v>
      </c>
      <c r="S550" t="s">
        <v>16779</v>
      </c>
      <c r="T550">
        <v>264</v>
      </c>
      <c r="U550" t="s">
        <v>108</v>
      </c>
      <c r="V550">
        <v>44</v>
      </c>
      <c r="W550" t="str">
        <f>HYPERLINK("Gene2914-zp_tree_all.dnd", "Gene2914-tree")</f>
        <v>Gene2914-tree</v>
      </c>
      <c r="X550">
        <v>4</v>
      </c>
      <c r="Y550">
        <v>6</v>
      </c>
      <c r="Z550">
        <v>4</v>
      </c>
      <c r="AA550">
        <v>6</v>
      </c>
      <c r="AB550">
        <v>0.6</v>
      </c>
      <c r="AC550" t="s">
        <v>61</v>
      </c>
      <c r="AD550" t="s">
        <v>90</v>
      </c>
      <c r="AE550" t="s">
        <v>62</v>
      </c>
      <c r="AF550" t="s">
        <v>62</v>
      </c>
      <c r="AG550">
        <v>1</v>
      </c>
      <c r="AH550">
        <v>2</v>
      </c>
      <c r="AI550">
        <v>9</v>
      </c>
      <c r="AJ550">
        <v>0.18182000000000001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2</v>
      </c>
      <c r="AQ550">
        <v>0</v>
      </c>
      <c r="AR550">
        <v>2</v>
      </c>
      <c r="AS550">
        <v>9</v>
      </c>
      <c r="AT550">
        <v>0.18182000000000001</v>
      </c>
      <c r="AU550">
        <v>9</v>
      </c>
      <c r="AV550">
        <v>5</v>
      </c>
      <c r="AW550">
        <v>26</v>
      </c>
      <c r="AX550">
        <v>11</v>
      </c>
      <c r="AY550">
        <v>10</v>
      </c>
      <c r="AZ550">
        <v>0</v>
      </c>
      <c r="BA550" t="s">
        <v>16780</v>
      </c>
      <c r="BB550" t="s">
        <v>193</v>
      </c>
      <c r="BC550">
        <v>0.64300000000000002</v>
      </c>
      <c r="BD550" t="s">
        <v>65</v>
      </c>
      <c r="BE550">
        <v>36</v>
      </c>
      <c r="BF550">
        <v>11</v>
      </c>
      <c r="BG550" t="s">
        <v>16781</v>
      </c>
      <c r="BH550" t="s">
        <v>16782</v>
      </c>
      <c r="BI550" t="s">
        <v>16783</v>
      </c>
      <c r="BJ550">
        <v>6.8140000000000006E-2</v>
      </c>
      <c r="BK550">
        <v>1</v>
      </c>
      <c r="BL550" t="s">
        <v>69</v>
      </c>
      <c r="BM550">
        <v>-1.369</v>
      </c>
      <c r="BN550">
        <v>-3.8570000000000002</v>
      </c>
    </row>
    <row r="551" spans="2:66">
      <c r="B551">
        <v>873</v>
      </c>
      <c r="C551">
        <v>15</v>
      </c>
      <c r="D551">
        <v>0</v>
      </c>
      <c r="E551">
        <v>4</v>
      </c>
      <c r="F551">
        <v>4</v>
      </c>
      <c r="J551">
        <v>0</v>
      </c>
      <c r="K551">
        <v>5</v>
      </c>
      <c r="L551">
        <v>0</v>
      </c>
      <c r="M551" t="s">
        <v>25022</v>
      </c>
      <c r="N551">
        <v>2915</v>
      </c>
      <c r="O551" t="s">
        <v>16784</v>
      </c>
      <c r="P551" t="s">
        <v>62</v>
      </c>
      <c r="Q551">
        <v>2857779</v>
      </c>
      <c r="R551">
        <v>2858582</v>
      </c>
      <c r="S551" t="s">
        <v>16785</v>
      </c>
      <c r="T551">
        <v>268</v>
      </c>
      <c r="U551" t="s">
        <v>59</v>
      </c>
      <c r="V551">
        <v>49</v>
      </c>
      <c r="W551" t="str">
        <f>HYPERLINK("Gene2915-zp_tree_all.dnd", "Gene2915-tree")</f>
        <v>Gene2915-tree</v>
      </c>
      <c r="X551">
        <v>13</v>
      </c>
      <c r="Y551">
        <v>2</v>
      </c>
      <c r="Z551">
        <v>13</v>
      </c>
      <c r="AA551">
        <v>2</v>
      </c>
      <c r="AB551">
        <v>0.13333</v>
      </c>
      <c r="AC551" t="s">
        <v>507</v>
      </c>
      <c r="AD551" t="s">
        <v>81</v>
      </c>
      <c r="AE551" t="s">
        <v>62</v>
      </c>
      <c r="AF551" t="s">
        <v>62</v>
      </c>
      <c r="AG551">
        <v>2</v>
      </c>
      <c r="AH551">
        <v>5</v>
      </c>
      <c r="AI551">
        <v>5</v>
      </c>
      <c r="AJ551">
        <v>0.5</v>
      </c>
      <c r="AK551">
        <v>0</v>
      </c>
      <c r="AL551">
        <v>0</v>
      </c>
      <c r="AM551">
        <v>0</v>
      </c>
      <c r="AN551">
        <v>2</v>
      </c>
      <c r="AO551">
        <v>0</v>
      </c>
      <c r="AP551">
        <v>0</v>
      </c>
      <c r="AQ551">
        <v>0</v>
      </c>
      <c r="AR551">
        <v>0</v>
      </c>
      <c r="AS551">
        <v>3</v>
      </c>
      <c r="AT551">
        <v>0</v>
      </c>
      <c r="AU551">
        <v>12</v>
      </c>
      <c r="AV551">
        <v>11</v>
      </c>
      <c r="AW551">
        <v>30</v>
      </c>
      <c r="AX551">
        <v>3</v>
      </c>
      <c r="AY551">
        <v>44</v>
      </c>
      <c r="AZ551">
        <v>7</v>
      </c>
      <c r="BA551" t="s">
        <v>16786</v>
      </c>
      <c r="BB551" t="s">
        <v>16787</v>
      </c>
      <c r="BC551">
        <v>0.27600000000000002</v>
      </c>
      <c r="BD551" t="s">
        <v>65</v>
      </c>
      <c r="BE551">
        <v>74</v>
      </c>
      <c r="BF551">
        <v>10</v>
      </c>
      <c r="BG551" t="s">
        <v>16788</v>
      </c>
      <c r="BH551" t="s">
        <v>16789</v>
      </c>
      <c r="BI551" t="s">
        <v>16790</v>
      </c>
      <c r="BJ551">
        <v>3.3849999999999998E-2</v>
      </c>
      <c r="BK551">
        <v>1</v>
      </c>
      <c r="BL551" t="s">
        <v>69</v>
      </c>
      <c r="BM551">
        <v>-0.99199999999999999</v>
      </c>
      <c r="BN551">
        <v>-0.68400000000000005</v>
      </c>
    </row>
    <row r="552" spans="2:66">
      <c r="B552">
        <v>874</v>
      </c>
      <c r="C552">
        <v>201</v>
      </c>
      <c r="D552">
        <v>2</v>
      </c>
      <c r="E552">
        <v>24</v>
      </c>
      <c r="F552">
        <v>7</v>
      </c>
      <c r="J552">
        <v>0</v>
      </c>
      <c r="K552">
        <v>0</v>
      </c>
      <c r="L552">
        <v>2</v>
      </c>
      <c r="M552" t="s">
        <v>25022</v>
      </c>
      <c r="N552">
        <v>2916</v>
      </c>
      <c r="O552" t="s">
        <v>16791</v>
      </c>
      <c r="P552" t="s">
        <v>62</v>
      </c>
      <c r="Q552">
        <v>2858587</v>
      </c>
      <c r="R552">
        <v>2859264</v>
      </c>
      <c r="S552" t="s">
        <v>16792</v>
      </c>
      <c r="T552">
        <v>226</v>
      </c>
      <c r="U552" t="s">
        <v>59</v>
      </c>
      <c r="V552">
        <v>49</v>
      </c>
      <c r="W552" t="str">
        <f>HYPERLINK("Gene2916-zp_tree_all.dnd", "Gene2916-tree")</f>
        <v>Gene2916-tree</v>
      </c>
      <c r="X552">
        <v>11</v>
      </c>
      <c r="Y552">
        <v>3</v>
      </c>
      <c r="Z552">
        <v>11</v>
      </c>
      <c r="AA552">
        <v>3</v>
      </c>
      <c r="AB552">
        <v>0.21429000000000001</v>
      </c>
      <c r="AC552" t="s">
        <v>73</v>
      </c>
      <c r="AD552" t="s">
        <v>324</v>
      </c>
      <c r="AE552" t="s">
        <v>62</v>
      </c>
      <c r="AF552" t="s">
        <v>62</v>
      </c>
      <c r="AG552">
        <v>1</v>
      </c>
      <c r="AH552">
        <v>2</v>
      </c>
      <c r="AI552">
        <v>5</v>
      </c>
      <c r="AJ552">
        <v>0.28571000000000002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3</v>
      </c>
      <c r="AT552">
        <v>0</v>
      </c>
      <c r="AU552">
        <v>11</v>
      </c>
      <c r="AV552">
        <v>8</v>
      </c>
      <c r="AW552">
        <v>24</v>
      </c>
      <c r="AX552">
        <v>3</v>
      </c>
      <c r="AY552">
        <v>19</v>
      </c>
      <c r="AZ552">
        <v>4</v>
      </c>
      <c r="BA552" t="s">
        <v>16793</v>
      </c>
      <c r="BB552" t="s">
        <v>16794</v>
      </c>
      <c r="BC552">
        <v>0.20300000000000001</v>
      </c>
      <c r="BD552" t="s">
        <v>65</v>
      </c>
      <c r="BE552">
        <v>43</v>
      </c>
      <c r="BF552">
        <v>7</v>
      </c>
      <c r="BG552" t="s">
        <v>16795</v>
      </c>
      <c r="BH552" t="s">
        <v>16796</v>
      </c>
      <c r="BI552" t="s">
        <v>16797</v>
      </c>
      <c r="BJ552">
        <v>5.3800000000000001E-2</v>
      </c>
      <c r="BK552">
        <v>1</v>
      </c>
      <c r="BL552" t="s">
        <v>69</v>
      </c>
      <c r="BM552">
        <v>-1.151</v>
      </c>
      <c r="BN552">
        <v>-1.1479999999999999</v>
      </c>
    </row>
    <row r="553" spans="2:66">
      <c r="B553">
        <v>875</v>
      </c>
      <c r="C553">
        <v>115</v>
      </c>
      <c r="D553">
        <v>0</v>
      </c>
      <c r="E553">
        <v>4</v>
      </c>
      <c r="F553">
        <v>0</v>
      </c>
      <c r="J553">
        <v>0</v>
      </c>
      <c r="K553">
        <v>0</v>
      </c>
      <c r="L553">
        <v>0</v>
      </c>
      <c r="M553" t="s">
        <v>25022</v>
      </c>
      <c r="N553">
        <v>2917</v>
      </c>
      <c r="O553" t="s">
        <v>16798</v>
      </c>
      <c r="P553" t="s">
        <v>62</v>
      </c>
      <c r="Q553">
        <v>2859320</v>
      </c>
      <c r="R553">
        <v>2859835</v>
      </c>
      <c r="S553" t="s">
        <v>9407</v>
      </c>
      <c r="T553">
        <v>172</v>
      </c>
      <c r="U553" t="s">
        <v>108</v>
      </c>
      <c r="V553">
        <v>44</v>
      </c>
      <c r="W553" t="str">
        <f>HYPERLINK("Gene2917-zp_tree_all.dnd", "Gene2917-tree")</f>
        <v>Gene2917-tree</v>
      </c>
      <c r="X553">
        <v>8</v>
      </c>
      <c r="Y553">
        <v>1</v>
      </c>
      <c r="Z553">
        <v>8</v>
      </c>
      <c r="AA553">
        <v>1</v>
      </c>
      <c r="AB553">
        <v>0.11111</v>
      </c>
      <c r="AC553" t="s">
        <v>136</v>
      </c>
      <c r="AD553" t="s">
        <v>175</v>
      </c>
      <c r="AE553" t="s">
        <v>62</v>
      </c>
      <c r="AF553" t="s">
        <v>62</v>
      </c>
      <c r="AG553">
        <v>0</v>
      </c>
      <c r="AH553">
        <v>0</v>
      </c>
      <c r="AI553">
        <v>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0</v>
      </c>
      <c r="AU553">
        <v>6</v>
      </c>
      <c r="AV553">
        <v>3</v>
      </c>
      <c r="AW553">
        <v>8</v>
      </c>
      <c r="AX553">
        <v>2</v>
      </c>
      <c r="AY553">
        <v>3</v>
      </c>
      <c r="AZ553">
        <v>0</v>
      </c>
      <c r="BA553" t="s">
        <v>16799</v>
      </c>
      <c r="BB553" t="s">
        <v>193</v>
      </c>
      <c r="BC553">
        <v>0.47799999999999998</v>
      </c>
      <c r="BD553" t="s">
        <v>65</v>
      </c>
      <c r="BE553">
        <v>11</v>
      </c>
      <c r="BF553">
        <v>2</v>
      </c>
      <c r="BG553" t="s">
        <v>16800</v>
      </c>
      <c r="BH553" t="s">
        <v>16801</v>
      </c>
      <c r="BI553" t="s">
        <v>16802</v>
      </c>
      <c r="BJ553">
        <v>4.3270000000000003E-2</v>
      </c>
      <c r="BK553">
        <v>1</v>
      </c>
      <c r="BL553" t="s">
        <v>69</v>
      </c>
      <c r="BM553">
        <v>-0.88</v>
      </c>
      <c r="BN553">
        <v>-0.78600000000000003</v>
      </c>
    </row>
    <row r="554" spans="2:66">
      <c r="B554">
        <v>876</v>
      </c>
      <c r="C554">
        <v>112</v>
      </c>
      <c r="D554">
        <v>0</v>
      </c>
      <c r="E554">
        <v>13</v>
      </c>
      <c r="F554">
        <v>1</v>
      </c>
      <c r="J554">
        <v>0</v>
      </c>
      <c r="K554">
        <v>2</v>
      </c>
      <c r="L554">
        <v>0</v>
      </c>
      <c r="M554" t="s">
        <v>25022</v>
      </c>
      <c r="N554">
        <v>2918</v>
      </c>
      <c r="O554" t="s">
        <v>16803</v>
      </c>
      <c r="P554" t="s">
        <v>62</v>
      </c>
      <c r="Q554">
        <v>2859835</v>
      </c>
      <c r="R554">
        <v>2860704</v>
      </c>
      <c r="S554" t="s">
        <v>9407</v>
      </c>
      <c r="T554">
        <v>290</v>
      </c>
      <c r="U554" t="s">
        <v>59</v>
      </c>
      <c r="V554">
        <v>49</v>
      </c>
      <c r="W554" t="str">
        <f>HYPERLINK("Gene2918-zp_tree_all.dnd", "Gene2918-tree")</f>
        <v>Gene2918-tree</v>
      </c>
      <c r="X554">
        <v>12</v>
      </c>
      <c r="Y554">
        <v>2</v>
      </c>
      <c r="Z554">
        <v>12</v>
      </c>
      <c r="AA554">
        <v>2</v>
      </c>
      <c r="AB554">
        <v>0.14285999999999999</v>
      </c>
      <c r="AC554" t="s">
        <v>109</v>
      </c>
      <c r="AD554" t="s">
        <v>81</v>
      </c>
      <c r="AE554" t="s">
        <v>62</v>
      </c>
      <c r="AF554" t="s">
        <v>62</v>
      </c>
      <c r="AG554">
        <v>1</v>
      </c>
      <c r="AH554">
        <v>2</v>
      </c>
      <c r="AI554">
        <v>3</v>
      </c>
      <c r="AJ554">
        <v>0.4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2</v>
      </c>
      <c r="AQ554">
        <v>0</v>
      </c>
      <c r="AR554">
        <v>2</v>
      </c>
      <c r="AS554">
        <v>0</v>
      </c>
      <c r="AT554">
        <v>1</v>
      </c>
      <c r="AU554">
        <v>12</v>
      </c>
      <c r="AV554">
        <v>8</v>
      </c>
      <c r="AW554">
        <v>34</v>
      </c>
      <c r="AX554">
        <v>2</v>
      </c>
      <c r="AY554">
        <v>46</v>
      </c>
      <c r="AZ554">
        <v>3</v>
      </c>
      <c r="BA554" t="s">
        <v>16804</v>
      </c>
      <c r="BB554" t="s">
        <v>16805</v>
      </c>
      <c r="BC554">
        <v>2.7E-2</v>
      </c>
      <c r="BD554" t="s">
        <v>65</v>
      </c>
      <c r="BE554">
        <v>80</v>
      </c>
      <c r="BF554">
        <v>5</v>
      </c>
      <c r="BG554" t="s">
        <v>16806</v>
      </c>
      <c r="BH554" t="s">
        <v>16807</v>
      </c>
      <c r="BI554" t="s">
        <v>7746</v>
      </c>
      <c r="BJ554">
        <v>1.431E-2</v>
      </c>
      <c r="BK554">
        <v>1</v>
      </c>
      <c r="BL554" t="s">
        <v>69</v>
      </c>
      <c r="BM554">
        <v>-1.238</v>
      </c>
      <c r="BN554">
        <v>0.10299999999999999</v>
      </c>
    </row>
    <row r="555" spans="2:66">
      <c r="B555">
        <v>877</v>
      </c>
      <c r="C555">
        <v>167</v>
      </c>
      <c r="D555">
        <v>0</v>
      </c>
      <c r="E555">
        <v>6</v>
      </c>
      <c r="F555">
        <v>0</v>
      </c>
      <c r="J555">
        <v>0</v>
      </c>
      <c r="K555">
        <v>0</v>
      </c>
      <c r="L555">
        <v>0</v>
      </c>
      <c r="M555" t="s">
        <v>25022</v>
      </c>
      <c r="N555">
        <v>2919</v>
      </c>
      <c r="O555" t="s">
        <v>16808</v>
      </c>
      <c r="P555" t="s">
        <v>62</v>
      </c>
      <c r="Q555">
        <v>2860738</v>
      </c>
      <c r="R555">
        <v>2861748</v>
      </c>
      <c r="S555" t="s">
        <v>9407</v>
      </c>
      <c r="T555">
        <v>337</v>
      </c>
      <c r="U555" t="s">
        <v>394</v>
      </c>
      <c r="V555">
        <v>48</v>
      </c>
      <c r="W555" t="str">
        <f>HYPERLINK("Gene2919-zp_tree_all.dnd", "Gene2919-tree")</f>
        <v>Gene2919-tree</v>
      </c>
      <c r="X555">
        <v>12</v>
      </c>
      <c r="Y555">
        <v>2</v>
      </c>
      <c r="Z555">
        <v>12</v>
      </c>
      <c r="AA555">
        <v>2</v>
      </c>
      <c r="AB555">
        <v>0.14285999999999999</v>
      </c>
      <c r="AC555" t="s">
        <v>109</v>
      </c>
      <c r="AD555" t="s">
        <v>81</v>
      </c>
      <c r="AE555" t="s">
        <v>62</v>
      </c>
      <c r="AF555" t="s">
        <v>62</v>
      </c>
      <c r="AG555">
        <v>0</v>
      </c>
      <c r="AH555">
        <v>0</v>
      </c>
      <c r="AI555">
        <v>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0</v>
      </c>
      <c r="AU555">
        <v>13</v>
      </c>
      <c r="AV555">
        <v>8</v>
      </c>
      <c r="AW555">
        <v>63</v>
      </c>
      <c r="AX555">
        <v>2</v>
      </c>
      <c r="AY555">
        <v>60</v>
      </c>
      <c r="AZ555">
        <v>2</v>
      </c>
      <c r="BA555" t="s">
        <v>16809</v>
      </c>
      <c r="BB555" t="s">
        <v>16810</v>
      </c>
      <c r="BC555">
        <v>8.9999999999999993E-3</v>
      </c>
      <c r="BD555" t="s">
        <v>65</v>
      </c>
      <c r="BE555">
        <v>123</v>
      </c>
      <c r="BF555">
        <v>4</v>
      </c>
      <c r="BG555" t="s">
        <v>16811</v>
      </c>
      <c r="BH555" t="s">
        <v>16812</v>
      </c>
      <c r="BI555" t="s">
        <v>16813</v>
      </c>
      <c r="BJ555">
        <v>1.081E-2</v>
      </c>
      <c r="BK555">
        <v>1</v>
      </c>
      <c r="BL555" t="s">
        <v>69</v>
      </c>
      <c r="BM555">
        <v>-1.276</v>
      </c>
      <c r="BN555">
        <v>-1.2989999999999999</v>
      </c>
    </row>
    <row r="556" spans="2:66">
      <c r="B556">
        <v>879</v>
      </c>
      <c r="C556">
        <v>20</v>
      </c>
      <c r="D556">
        <v>0</v>
      </c>
      <c r="E556">
        <v>7</v>
      </c>
      <c r="F556">
        <v>0</v>
      </c>
      <c r="J556">
        <v>0</v>
      </c>
      <c r="K556">
        <v>2</v>
      </c>
      <c r="L556">
        <v>2</v>
      </c>
      <c r="M556" t="s">
        <v>25022</v>
      </c>
      <c r="N556">
        <v>2920</v>
      </c>
      <c r="O556" t="s">
        <v>16814</v>
      </c>
      <c r="P556" t="s">
        <v>62</v>
      </c>
      <c r="Q556">
        <v>2861843</v>
      </c>
      <c r="R556">
        <v>2862535</v>
      </c>
      <c r="S556" t="s">
        <v>16815</v>
      </c>
      <c r="T556">
        <v>231</v>
      </c>
      <c r="U556" t="s">
        <v>16816</v>
      </c>
      <c r="V556">
        <v>47</v>
      </c>
      <c r="W556" t="str">
        <f>HYPERLINK("Gene2920-zp_tree_all.dnd", "Gene2920-tree")</f>
        <v>Gene2920-tree</v>
      </c>
      <c r="X556">
        <v>11</v>
      </c>
      <c r="Y556">
        <v>3</v>
      </c>
      <c r="Z556">
        <v>11</v>
      </c>
      <c r="AA556">
        <v>3</v>
      </c>
      <c r="AB556">
        <v>0.21429000000000001</v>
      </c>
      <c r="AC556" t="s">
        <v>73</v>
      </c>
      <c r="AD556" t="s">
        <v>324</v>
      </c>
      <c r="AE556" t="s">
        <v>62</v>
      </c>
      <c r="AF556" t="s">
        <v>62</v>
      </c>
      <c r="AG556">
        <v>2</v>
      </c>
      <c r="AH556">
        <v>4</v>
      </c>
      <c r="AI556">
        <v>7</v>
      </c>
      <c r="AJ556">
        <v>0.36364000000000002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3</v>
      </c>
      <c r="AT556">
        <v>0</v>
      </c>
      <c r="AU556">
        <v>10</v>
      </c>
      <c r="AV556">
        <v>7</v>
      </c>
      <c r="AW556">
        <v>38</v>
      </c>
      <c r="AX556">
        <v>3</v>
      </c>
      <c r="AY556">
        <v>25</v>
      </c>
      <c r="AZ556">
        <v>8</v>
      </c>
      <c r="BA556" t="s">
        <v>16817</v>
      </c>
      <c r="BB556" t="s">
        <v>16818</v>
      </c>
      <c r="BC556">
        <v>0.54100000000000004</v>
      </c>
      <c r="BD556" t="s">
        <v>65</v>
      </c>
      <c r="BE556">
        <v>63</v>
      </c>
      <c r="BF556">
        <v>11</v>
      </c>
      <c r="BG556" t="s">
        <v>16819</v>
      </c>
      <c r="BH556" t="s">
        <v>16820</v>
      </c>
      <c r="BI556" t="s">
        <v>16821</v>
      </c>
      <c r="BJ556">
        <v>6.1559999999999997E-2</v>
      </c>
      <c r="BK556">
        <v>1</v>
      </c>
      <c r="BL556" t="s">
        <v>69</v>
      </c>
      <c r="BM556">
        <v>-1.649</v>
      </c>
      <c r="BN556">
        <v>-1.3</v>
      </c>
    </row>
    <row r="557" spans="2:66">
      <c r="B557">
        <v>880</v>
      </c>
      <c r="C557">
        <v>135</v>
      </c>
      <c r="D557">
        <v>0</v>
      </c>
      <c r="E557">
        <v>12</v>
      </c>
      <c r="F557">
        <v>3</v>
      </c>
      <c r="J557">
        <v>0</v>
      </c>
      <c r="K557">
        <v>2</v>
      </c>
      <c r="L557">
        <v>1</v>
      </c>
      <c r="M557" t="s">
        <v>25022</v>
      </c>
      <c r="N557">
        <v>2921</v>
      </c>
      <c r="O557" t="s">
        <v>16822</v>
      </c>
      <c r="P557" t="s">
        <v>62</v>
      </c>
      <c r="Q557">
        <v>2862575</v>
      </c>
      <c r="R557">
        <v>2863141</v>
      </c>
      <c r="S557" t="s">
        <v>16823</v>
      </c>
      <c r="T557">
        <v>189</v>
      </c>
      <c r="U557" t="s">
        <v>698</v>
      </c>
      <c r="V557">
        <v>47</v>
      </c>
      <c r="W557" t="str">
        <f>HYPERLINK("Gene2921-zp_tree_all.dnd", "Gene2921-tree")</f>
        <v>Gene2921-tree</v>
      </c>
      <c r="X557">
        <v>9</v>
      </c>
      <c r="Y557">
        <v>3</v>
      </c>
      <c r="Z557">
        <v>9</v>
      </c>
      <c r="AA557">
        <v>3</v>
      </c>
      <c r="AB557">
        <v>0.25</v>
      </c>
      <c r="AC557" t="s">
        <v>135</v>
      </c>
      <c r="AD557" t="s">
        <v>324</v>
      </c>
      <c r="AE557" t="s">
        <v>62</v>
      </c>
      <c r="AF557" t="s">
        <v>62</v>
      </c>
      <c r="AG557">
        <v>1</v>
      </c>
      <c r="AH557">
        <v>3</v>
      </c>
      <c r="AI557">
        <v>10</v>
      </c>
      <c r="AJ557">
        <v>0.23077</v>
      </c>
      <c r="AK557">
        <v>0</v>
      </c>
      <c r="AL557">
        <v>0</v>
      </c>
      <c r="AM557">
        <v>0</v>
      </c>
      <c r="AN557">
        <v>4</v>
      </c>
      <c r="AO557">
        <v>0</v>
      </c>
      <c r="AP557">
        <v>0</v>
      </c>
      <c r="AQ557">
        <v>0</v>
      </c>
      <c r="AR557">
        <v>0</v>
      </c>
      <c r="AS557">
        <v>7</v>
      </c>
      <c r="AT557">
        <v>0</v>
      </c>
      <c r="AU557">
        <v>8</v>
      </c>
      <c r="AV557">
        <v>5</v>
      </c>
      <c r="AW557">
        <v>11</v>
      </c>
      <c r="AX557">
        <v>7</v>
      </c>
      <c r="AY557">
        <v>18</v>
      </c>
      <c r="AZ557">
        <v>6</v>
      </c>
      <c r="BA557" t="s">
        <v>16824</v>
      </c>
      <c r="BB557" t="s">
        <v>16825</v>
      </c>
      <c r="BC557">
        <v>0.313</v>
      </c>
      <c r="BD557" t="s">
        <v>65</v>
      </c>
      <c r="BE557">
        <v>29</v>
      </c>
      <c r="BF557">
        <v>13</v>
      </c>
      <c r="BG557" t="s">
        <v>16826</v>
      </c>
      <c r="BH557" t="s">
        <v>16827</v>
      </c>
      <c r="BI557" t="s">
        <v>16828</v>
      </c>
      <c r="BJ557">
        <v>0.10843999999999999</v>
      </c>
      <c r="BK557">
        <v>1</v>
      </c>
      <c r="BL557" t="s">
        <v>69</v>
      </c>
      <c r="BM557">
        <v>-1.4750000000000001</v>
      </c>
      <c r="BN557">
        <v>-0.97599999999999998</v>
      </c>
    </row>
    <row r="558" spans="2:66">
      <c r="B558">
        <v>881</v>
      </c>
      <c r="C558">
        <v>78</v>
      </c>
      <c r="D558">
        <v>0</v>
      </c>
      <c r="E558">
        <v>7</v>
      </c>
      <c r="F558">
        <v>0</v>
      </c>
      <c r="J558">
        <v>0</v>
      </c>
      <c r="K558">
        <v>21</v>
      </c>
      <c r="L558">
        <v>2</v>
      </c>
      <c r="M558" t="s">
        <v>25022</v>
      </c>
      <c r="N558">
        <v>2922</v>
      </c>
      <c r="O558" t="s">
        <v>16829</v>
      </c>
      <c r="P558" t="s">
        <v>62</v>
      </c>
      <c r="Q558">
        <v>2863297</v>
      </c>
      <c r="R558">
        <v>2864292</v>
      </c>
      <c r="S558" t="s">
        <v>16830</v>
      </c>
      <c r="T558">
        <v>332</v>
      </c>
      <c r="U558" t="s">
        <v>108</v>
      </c>
      <c r="V558">
        <v>44</v>
      </c>
      <c r="W558" t="str">
        <f>HYPERLINK("Gene2922-zp_tree_all.dnd", "Gene2922-tree")</f>
        <v>Gene2922-tree</v>
      </c>
      <c r="X558">
        <v>1</v>
      </c>
      <c r="Y558">
        <v>11</v>
      </c>
      <c r="Z558">
        <v>1</v>
      </c>
      <c r="AA558">
        <v>11</v>
      </c>
      <c r="AB558">
        <v>0.91666999999999998</v>
      </c>
      <c r="AC558" t="s">
        <v>175</v>
      </c>
      <c r="AD558" t="s">
        <v>73</v>
      </c>
      <c r="AE558">
        <v>1144612630.289</v>
      </c>
      <c r="AF558" t="s">
        <v>267</v>
      </c>
      <c r="AG558">
        <v>10</v>
      </c>
      <c r="AH558">
        <v>23</v>
      </c>
      <c r="AI558">
        <v>7</v>
      </c>
      <c r="AJ558">
        <v>0.76666999999999996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8</v>
      </c>
      <c r="AQ558">
        <v>0</v>
      </c>
      <c r="AR558">
        <v>8</v>
      </c>
      <c r="AS558">
        <v>11</v>
      </c>
      <c r="AT558">
        <v>0.42104999999999998</v>
      </c>
      <c r="AU558">
        <v>8</v>
      </c>
      <c r="AV558">
        <v>9</v>
      </c>
      <c r="AW558">
        <v>24</v>
      </c>
      <c r="AX558">
        <v>15</v>
      </c>
      <c r="AY558">
        <v>38</v>
      </c>
      <c r="AZ558">
        <v>18</v>
      </c>
      <c r="BA558" t="s">
        <v>16831</v>
      </c>
      <c r="BB558" t="s">
        <v>16832</v>
      </c>
      <c r="BC558">
        <v>0.56699999999999995</v>
      </c>
      <c r="BD558" t="s">
        <v>65</v>
      </c>
      <c r="BE558">
        <v>62</v>
      </c>
      <c r="BF558">
        <v>33</v>
      </c>
      <c r="BG558" t="s">
        <v>16833</v>
      </c>
      <c r="BH558" t="s">
        <v>16834</v>
      </c>
      <c r="BI558" t="s">
        <v>16835</v>
      </c>
      <c r="BJ558">
        <v>0.12493</v>
      </c>
      <c r="BK558">
        <v>1</v>
      </c>
      <c r="BL558" t="s">
        <v>69</v>
      </c>
      <c r="BM558">
        <v>1.109</v>
      </c>
      <c r="BN558">
        <v>0.48799999999999999</v>
      </c>
    </row>
    <row r="559" spans="2:66">
      <c r="B559">
        <v>882</v>
      </c>
      <c r="C559">
        <v>37</v>
      </c>
      <c r="D559">
        <v>0</v>
      </c>
      <c r="E559">
        <v>4</v>
      </c>
      <c r="F559">
        <v>0</v>
      </c>
      <c r="J559">
        <v>0</v>
      </c>
      <c r="K559">
        <v>2</v>
      </c>
      <c r="L559">
        <v>4</v>
      </c>
      <c r="M559" t="s">
        <v>25022</v>
      </c>
      <c r="N559">
        <v>2923</v>
      </c>
      <c r="O559" t="s">
        <v>16836</v>
      </c>
      <c r="P559" t="s">
        <v>62</v>
      </c>
      <c r="Q559">
        <v>2864429</v>
      </c>
      <c r="R559">
        <v>2865172</v>
      </c>
      <c r="S559" t="s">
        <v>16837</v>
      </c>
      <c r="T559">
        <v>248</v>
      </c>
      <c r="U559" t="s">
        <v>108</v>
      </c>
      <c r="V559">
        <v>44</v>
      </c>
      <c r="W559" t="str">
        <f>HYPERLINK("Gene2923-zp_tree_all.dnd", "Gene2923-tree")</f>
        <v>Gene2923-tree</v>
      </c>
      <c r="X559">
        <v>3</v>
      </c>
      <c r="Y559">
        <v>7</v>
      </c>
      <c r="Z559">
        <v>3</v>
      </c>
      <c r="AA559">
        <v>7</v>
      </c>
      <c r="AB559">
        <v>0.7</v>
      </c>
      <c r="AC559" t="s">
        <v>324</v>
      </c>
      <c r="AD559" t="s">
        <v>152</v>
      </c>
      <c r="AE559" t="s">
        <v>62</v>
      </c>
      <c r="AF559" t="s">
        <v>62</v>
      </c>
      <c r="AG559">
        <v>3</v>
      </c>
      <c r="AH559">
        <v>6</v>
      </c>
      <c r="AI559">
        <v>8</v>
      </c>
      <c r="AJ559">
        <v>0.42857000000000001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2</v>
      </c>
      <c r="AQ559">
        <v>4</v>
      </c>
      <c r="AR559">
        <v>6</v>
      </c>
      <c r="AS559">
        <v>8</v>
      </c>
      <c r="AT559">
        <v>0.42857000000000001</v>
      </c>
      <c r="AU559">
        <v>7</v>
      </c>
      <c r="AV559">
        <v>7</v>
      </c>
      <c r="AW559">
        <v>15</v>
      </c>
      <c r="AX559">
        <v>11</v>
      </c>
      <c r="AY559">
        <v>14</v>
      </c>
      <c r="AZ559">
        <v>3</v>
      </c>
      <c r="BA559" t="s">
        <v>16838</v>
      </c>
      <c r="BB559" t="s">
        <v>16839</v>
      </c>
      <c r="BC559">
        <v>0.79500000000000004</v>
      </c>
      <c r="BD559" t="s">
        <v>65</v>
      </c>
      <c r="BE559">
        <v>29</v>
      </c>
      <c r="BF559">
        <v>14</v>
      </c>
      <c r="BG559" t="s">
        <v>16840</v>
      </c>
      <c r="BH559" t="s">
        <v>16841</v>
      </c>
      <c r="BI559" t="s">
        <v>16842</v>
      </c>
      <c r="BJ559">
        <v>0.14018</v>
      </c>
      <c r="BK559">
        <v>1</v>
      </c>
      <c r="BL559" t="s">
        <v>69</v>
      </c>
      <c r="BM559">
        <v>-0.54300000000000004</v>
      </c>
      <c r="BN559">
        <v>-1.071</v>
      </c>
    </row>
    <row r="560" spans="2:66">
      <c r="B560">
        <v>884</v>
      </c>
      <c r="C560">
        <v>21</v>
      </c>
      <c r="D560">
        <v>0</v>
      </c>
      <c r="E560">
        <v>14</v>
      </c>
      <c r="F560">
        <v>3</v>
      </c>
      <c r="J560">
        <v>0</v>
      </c>
      <c r="K560">
        <v>9</v>
      </c>
      <c r="L560">
        <v>0</v>
      </c>
      <c r="M560" t="s">
        <v>25022</v>
      </c>
      <c r="N560">
        <v>2924</v>
      </c>
      <c r="O560" t="s">
        <v>16843</v>
      </c>
      <c r="P560" t="s">
        <v>62</v>
      </c>
      <c r="Q560">
        <v>2865315</v>
      </c>
      <c r="R560">
        <v>2866604</v>
      </c>
      <c r="S560" t="s">
        <v>16844</v>
      </c>
      <c r="T560">
        <v>430</v>
      </c>
      <c r="U560" t="s">
        <v>108</v>
      </c>
      <c r="V560">
        <v>44</v>
      </c>
      <c r="W560" t="str">
        <f>HYPERLINK("Gene2924-zp_tree_all.dnd", "Gene2924-tree")</f>
        <v>Gene2924-tree</v>
      </c>
      <c r="X560">
        <v>4</v>
      </c>
      <c r="Y560">
        <v>8</v>
      </c>
      <c r="Z560">
        <v>4</v>
      </c>
      <c r="AA560">
        <v>8</v>
      </c>
      <c r="AB560">
        <v>0.66666999999999998</v>
      </c>
      <c r="AC560" t="s">
        <v>61</v>
      </c>
      <c r="AD560" t="s">
        <v>136</v>
      </c>
      <c r="AE560" t="s">
        <v>62</v>
      </c>
      <c r="AF560" t="s">
        <v>62</v>
      </c>
      <c r="AG560">
        <v>2</v>
      </c>
      <c r="AH560">
        <v>9</v>
      </c>
      <c r="AI560">
        <v>20</v>
      </c>
      <c r="AJ560">
        <v>0.31034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5</v>
      </c>
      <c r="AQ560">
        <v>1</v>
      </c>
      <c r="AR560">
        <v>6</v>
      </c>
      <c r="AS560">
        <v>17</v>
      </c>
      <c r="AT560">
        <v>0.26086999999999999</v>
      </c>
      <c r="AU560">
        <v>8</v>
      </c>
      <c r="AV560">
        <v>7</v>
      </c>
      <c r="AW560">
        <v>22</v>
      </c>
      <c r="AX560">
        <v>23</v>
      </c>
      <c r="AY560">
        <v>27</v>
      </c>
      <c r="AZ560">
        <v>6</v>
      </c>
      <c r="BA560" t="s">
        <v>16845</v>
      </c>
      <c r="BB560" t="s">
        <v>16846</v>
      </c>
      <c r="BC560">
        <v>0.872</v>
      </c>
      <c r="BD560" t="s">
        <v>65</v>
      </c>
      <c r="BE560">
        <v>49</v>
      </c>
      <c r="BF560">
        <v>29</v>
      </c>
      <c r="BG560" t="s">
        <v>16847</v>
      </c>
      <c r="BH560" t="s">
        <v>16848</v>
      </c>
      <c r="BI560" t="s">
        <v>16849</v>
      </c>
      <c r="BJ560">
        <v>0.12856999999999999</v>
      </c>
      <c r="BK560">
        <v>1</v>
      </c>
      <c r="BL560" t="s">
        <v>69</v>
      </c>
      <c r="BM560">
        <v>-0.71899999999999997</v>
      </c>
      <c r="BN560">
        <v>-1.5529999999999999</v>
      </c>
    </row>
    <row r="561" spans="2:66">
      <c r="B561">
        <v>886</v>
      </c>
      <c r="C561">
        <v>66</v>
      </c>
      <c r="D561">
        <v>0</v>
      </c>
      <c r="E561">
        <v>2</v>
      </c>
      <c r="F561">
        <v>0</v>
      </c>
      <c r="J561">
        <v>0</v>
      </c>
      <c r="K561">
        <v>0</v>
      </c>
      <c r="L561">
        <v>0</v>
      </c>
      <c r="M561" t="s">
        <v>25022</v>
      </c>
      <c r="N561">
        <v>2925</v>
      </c>
      <c r="O561" t="s">
        <v>16850</v>
      </c>
      <c r="P561" t="s">
        <v>62</v>
      </c>
      <c r="Q561">
        <v>2866667</v>
      </c>
      <c r="R561">
        <v>2869306</v>
      </c>
      <c r="S561" t="s">
        <v>16851</v>
      </c>
      <c r="T561">
        <v>880</v>
      </c>
      <c r="U561" t="s">
        <v>108</v>
      </c>
      <c r="V561">
        <v>44</v>
      </c>
      <c r="W561" t="str">
        <f>HYPERLINK("Gene2925-zp_tree_all.dnd", "Gene2925-tree")</f>
        <v>Gene2925-tree</v>
      </c>
      <c r="X561">
        <v>10</v>
      </c>
      <c r="Y561">
        <v>5</v>
      </c>
      <c r="Z561">
        <v>10</v>
      </c>
      <c r="AA561">
        <v>5</v>
      </c>
      <c r="AB561">
        <v>0.33333000000000002</v>
      </c>
      <c r="AC561" t="s">
        <v>117</v>
      </c>
      <c r="AD561" t="s">
        <v>199</v>
      </c>
      <c r="AE561" t="s">
        <v>62</v>
      </c>
      <c r="AF561" t="s">
        <v>62</v>
      </c>
      <c r="AG561">
        <v>0</v>
      </c>
      <c r="AH561">
        <v>0</v>
      </c>
      <c r="AI561">
        <v>17</v>
      </c>
      <c r="AJ561">
        <v>0</v>
      </c>
      <c r="AK561">
        <v>0</v>
      </c>
      <c r="AL561">
        <v>0</v>
      </c>
      <c r="AM561">
        <v>0</v>
      </c>
      <c r="AN561">
        <v>4</v>
      </c>
      <c r="AO561">
        <v>0</v>
      </c>
      <c r="AP561">
        <v>0</v>
      </c>
      <c r="AQ561">
        <v>0</v>
      </c>
      <c r="AR561">
        <v>0</v>
      </c>
      <c r="AS561">
        <v>11</v>
      </c>
      <c r="AT561">
        <v>0</v>
      </c>
      <c r="AU561">
        <v>12</v>
      </c>
      <c r="AV561">
        <v>10</v>
      </c>
      <c r="AW561">
        <v>64</v>
      </c>
      <c r="AX561">
        <v>12</v>
      </c>
      <c r="AY561">
        <v>37</v>
      </c>
      <c r="AZ561">
        <v>6</v>
      </c>
      <c r="BA561" t="s">
        <v>16852</v>
      </c>
      <c r="BB561" t="s">
        <v>16853</v>
      </c>
      <c r="BC561">
        <v>0.122</v>
      </c>
      <c r="BD561" t="s">
        <v>65</v>
      </c>
      <c r="BE561">
        <v>101</v>
      </c>
      <c r="BF561">
        <v>18</v>
      </c>
      <c r="BG561" t="s">
        <v>16854</v>
      </c>
      <c r="BH561" t="s">
        <v>16855</v>
      </c>
      <c r="BI561" t="s">
        <v>16856</v>
      </c>
      <c r="BJ561">
        <v>4.8619999999999997E-2</v>
      </c>
      <c r="BK561">
        <v>1</v>
      </c>
      <c r="BL561" t="s">
        <v>69</v>
      </c>
      <c r="BM561">
        <v>-0.67400000000000004</v>
      </c>
      <c r="BN561">
        <v>-2.048</v>
      </c>
    </row>
    <row r="562" spans="2:66">
      <c r="B562">
        <v>890</v>
      </c>
      <c r="C562">
        <v>88</v>
      </c>
      <c r="D562">
        <v>0</v>
      </c>
      <c r="E562">
        <v>8</v>
      </c>
      <c r="F562">
        <v>0</v>
      </c>
      <c r="J562">
        <v>0</v>
      </c>
      <c r="K562">
        <v>9</v>
      </c>
      <c r="L562">
        <v>0</v>
      </c>
      <c r="M562" t="s">
        <v>25022</v>
      </c>
      <c r="N562">
        <v>2927</v>
      </c>
      <c r="O562" t="s">
        <v>16862</v>
      </c>
      <c r="P562" t="s">
        <v>62</v>
      </c>
      <c r="Q562">
        <v>2869967</v>
      </c>
      <c r="R562">
        <v>2870989</v>
      </c>
      <c r="S562" t="s">
        <v>3688</v>
      </c>
      <c r="T562">
        <v>341</v>
      </c>
      <c r="U562" t="s">
        <v>108</v>
      </c>
      <c r="V562">
        <v>44</v>
      </c>
      <c r="W562" t="str">
        <f>HYPERLINK("Gene2927-zp_tree_all.dnd", "Gene2927-tree")</f>
        <v>Gene2927-tree</v>
      </c>
      <c r="X562">
        <v>5</v>
      </c>
      <c r="Y562">
        <v>28</v>
      </c>
      <c r="Z562">
        <v>5</v>
      </c>
      <c r="AA562">
        <v>9</v>
      </c>
      <c r="AB562">
        <v>0.64285999999999999</v>
      </c>
      <c r="AC562" t="s">
        <v>199</v>
      </c>
      <c r="AD562" t="s">
        <v>2825</v>
      </c>
      <c r="AE562">
        <v>2.7650000000000001</v>
      </c>
      <c r="AF562" t="s">
        <v>65</v>
      </c>
      <c r="AG562">
        <v>4</v>
      </c>
      <c r="AH562">
        <v>9</v>
      </c>
      <c r="AI562">
        <v>10</v>
      </c>
      <c r="AJ562">
        <v>0.47367999999999999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6</v>
      </c>
      <c r="AQ562">
        <v>0</v>
      </c>
      <c r="AR562">
        <v>6</v>
      </c>
      <c r="AS562">
        <v>11</v>
      </c>
      <c r="AT562">
        <v>0.35293999999999998</v>
      </c>
      <c r="AU562">
        <v>11</v>
      </c>
      <c r="AV562">
        <v>10</v>
      </c>
      <c r="AW562">
        <v>40</v>
      </c>
      <c r="AX562">
        <v>16</v>
      </c>
      <c r="AY562">
        <v>18</v>
      </c>
      <c r="AZ562">
        <v>3</v>
      </c>
      <c r="BA562" t="s">
        <v>16863</v>
      </c>
      <c r="BB562" t="s">
        <v>16864</v>
      </c>
      <c r="BC562">
        <v>1.2849999999999999</v>
      </c>
      <c r="BD562" t="s">
        <v>65</v>
      </c>
      <c r="BE562">
        <v>58</v>
      </c>
      <c r="BF562">
        <v>19</v>
      </c>
      <c r="BG562" t="s">
        <v>16865</v>
      </c>
      <c r="BH562" t="s">
        <v>16866</v>
      </c>
      <c r="BI562" t="s">
        <v>16867</v>
      </c>
      <c r="BJ562">
        <v>6.6650000000000001E-2</v>
      </c>
      <c r="BK562">
        <v>1</v>
      </c>
      <c r="BL562" t="s">
        <v>69</v>
      </c>
      <c r="BM562">
        <v>-0.78400000000000003</v>
      </c>
      <c r="BN562">
        <v>-1.5229999999999999</v>
      </c>
    </row>
    <row r="563" spans="2:66">
      <c r="B563">
        <v>892</v>
      </c>
      <c r="C563">
        <v>23</v>
      </c>
      <c r="D563">
        <v>0</v>
      </c>
      <c r="E563">
        <v>2</v>
      </c>
      <c r="F563">
        <v>2</v>
      </c>
      <c r="J563">
        <v>0</v>
      </c>
      <c r="K563">
        <v>25</v>
      </c>
      <c r="L563">
        <v>4</v>
      </c>
      <c r="M563" t="s">
        <v>25022</v>
      </c>
      <c r="N563">
        <v>2928</v>
      </c>
      <c r="O563" t="s">
        <v>16868</v>
      </c>
      <c r="P563" t="s">
        <v>62</v>
      </c>
      <c r="Q563">
        <v>2871025</v>
      </c>
      <c r="R563">
        <v>2872749</v>
      </c>
      <c r="S563" t="s">
        <v>16869</v>
      </c>
      <c r="T563">
        <v>575</v>
      </c>
      <c r="U563" t="s">
        <v>108</v>
      </c>
      <c r="V563">
        <v>44</v>
      </c>
      <c r="W563" t="str">
        <f>HYPERLINK("Gene2928-zp_tree_all.dnd", "Gene2928-tree")</f>
        <v>Gene2928-tree</v>
      </c>
      <c r="X563">
        <v>0</v>
      </c>
      <c r="Y563">
        <v>14</v>
      </c>
      <c r="Z563">
        <v>0</v>
      </c>
      <c r="AA563">
        <v>14</v>
      </c>
      <c r="AB563">
        <v>1</v>
      </c>
      <c r="AC563" t="s">
        <v>62</v>
      </c>
      <c r="AD563" t="s">
        <v>543</v>
      </c>
      <c r="AE563">
        <v>143484786.68799999</v>
      </c>
      <c r="AF563" t="s">
        <v>65</v>
      </c>
      <c r="AG563">
        <v>13</v>
      </c>
      <c r="AH563">
        <v>29</v>
      </c>
      <c r="AI563">
        <v>30</v>
      </c>
      <c r="AJ563">
        <v>0.49153000000000002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16</v>
      </c>
      <c r="AQ563">
        <v>0</v>
      </c>
      <c r="AR563">
        <v>16</v>
      </c>
      <c r="AS563">
        <v>22</v>
      </c>
      <c r="AT563">
        <v>0.42104999999999998</v>
      </c>
      <c r="AU563">
        <v>14</v>
      </c>
      <c r="AV563">
        <v>9</v>
      </c>
      <c r="AW563">
        <v>36</v>
      </c>
      <c r="AX563">
        <v>39</v>
      </c>
      <c r="AY563">
        <v>24</v>
      </c>
      <c r="AZ563">
        <v>22</v>
      </c>
      <c r="BA563" t="s">
        <v>16870</v>
      </c>
      <c r="BB563" t="s">
        <v>16871</v>
      </c>
      <c r="BC563">
        <v>0.41299999999999998</v>
      </c>
      <c r="BD563" t="s">
        <v>65</v>
      </c>
      <c r="BE563">
        <v>60</v>
      </c>
      <c r="BF563">
        <v>61</v>
      </c>
      <c r="BG563" t="s">
        <v>16872</v>
      </c>
      <c r="BH563" t="s">
        <v>16873</v>
      </c>
      <c r="BI563" t="s">
        <v>16874</v>
      </c>
      <c r="BJ563">
        <v>0.32201000000000002</v>
      </c>
      <c r="BK563">
        <v>1</v>
      </c>
      <c r="BL563" t="s">
        <v>69</v>
      </c>
      <c r="BM563">
        <v>-1.109</v>
      </c>
      <c r="BN563">
        <v>-0.85099999999999998</v>
      </c>
    </row>
    <row r="564" spans="2:66">
      <c r="B564">
        <v>894</v>
      </c>
      <c r="C564">
        <v>631</v>
      </c>
      <c r="D564">
        <v>0</v>
      </c>
      <c r="E564">
        <v>25</v>
      </c>
      <c r="F564">
        <v>3</v>
      </c>
      <c r="J564">
        <v>0</v>
      </c>
      <c r="K564">
        <v>0</v>
      </c>
      <c r="L564">
        <v>0</v>
      </c>
      <c r="M564" t="s">
        <v>25022</v>
      </c>
      <c r="N564">
        <v>2929</v>
      </c>
      <c r="O564" t="s">
        <v>16875</v>
      </c>
      <c r="P564" t="s">
        <v>62</v>
      </c>
      <c r="Q564">
        <v>2872883</v>
      </c>
      <c r="R564">
        <v>2874172</v>
      </c>
      <c r="S564" t="s">
        <v>16876</v>
      </c>
      <c r="T564">
        <v>430</v>
      </c>
      <c r="U564" t="s">
        <v>108</v>
      </c>
      <c r="V564">
        <v>44</v>
      </c>
      <c r="W564" t="str">
        <f>HYPERLINK("Gene2929-zp_tree_all.dnd", "Gene2929-tree")</f>
        <v>Gene2929-tree</v>
      </c>
      <c r="X564">
        <v>10</v>
      </c>
      <c r="Y564">
        <v>5</v>
      </c>
      <c r="Z564">
        <v>10</v>
      </c>
      <c r="AA564">
        <v>5</v>
      </c>
      <c r="AB564">
        <v>0.33333000000000002</v>
      </c>
      <c r="AC564" t="s">
        <v>117</v>
      </c>
      <c r="AD564" t="s">
        <v>199</v>
      </c>
      <c r="AE564" t="s">
        <v>62</v>
      </c>
      <c r="AF564" t="s">
        <v>62</v>
      </c>
      <c r="AG564">
        <v>0</v>
      </c>
      <c r="AH564">
        <v>0</v>
      </c>
      <c r="AI564">
        <v>10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7</v>
      </c>
      <c r="AT564">
        <v>0</v>
      </c>
      <c r="AU564">
        <v>12</v>
      </c>
      <c r="AV564">
        <v>11</v>
      </c>
      <c r="AW564">
        <v>38</v>
      </c>
      <c r="AX564">
        <v>6</v>
      </c>
      <c r="AY564">
        <v>31</v>
      </c>
      <c r="AZ564">
        <v>4</v>
      </c>
      <c r="BA564" t="s">
        <v>16877</v>
      </c>
      <c r="BB564" t="s">
        <v>16878</v>
      </c>
      <c r="BC564">
        <v>0.14899999999999999</v>
      </c>
      <c r="BD564" t="s">
        <v>65</v>
      </c>
      <c r="BE564">
        <v>69</v>
      </c>
      <c r="BF564">
        <v>10</v>
      </c>
      <c r="BG564" t="s">
        <v>16879</v>
      </c>
      <c r="BH564" t="s">
        <v>16880</v>
      </c>
      <c r="BI564" t="s">
        <v>3981</v>
      </c>
      <c r="BJ564">
        <v>5.2290000000000003E-2</v>
      </c>
      <c r="BK564">
        <v>1</v>
      </c>
      <c r="BL564" t="s">
        <v>69</v>
      </c>
      <c r="BM564">
        <v>-0.88800000000000001</v>
      </c>
      <c r="BN564">
        <v>-1.5249999999999999</v>
      </c>
    </row>
    <row r="565" spans="2:66">
      <c r="B565">
        <v>895</v>
      </c>
      <c r="C565">
        <v>169</v>
      </c>
      <c r="D565">
        <v>0</v>
      </c>
      <c r="E565">
        <v>3</v>
      </c>
      <c r="F565">
        <v>0</v>
      </c>
      <c r="J565">
        <v>0</v>
      </c>
      <c r="K565">
        <v>7</v>
      </c>
      <c r="L565">
        <v>1</v>
      </c>
      <c r="M565" t="s">
        <v>25022</v>
      </c>
      <c r="N565">
        <v>2930</v>
      </c>
      <c r="O565" t="s">
        <v>16881</v>
      </c>
      <c r="P565" t="s">
        <v>62</v>
      </c>
      <c r="Q565">
        <v>2874205</v>
      </c>
      <c r="R565">
        <v>2875176</v>
      </c>
      <c r="S565" t="s">
        <v>16882</v>
      </c>
      <c r="T565">
        <v>324</v>
      </c>
      <c r="U565" t="s">
        <v>125</v>
      </c>
      <c r="V565">
        <v>48</v>
      </c>
      <c r="W565" t="str">
        <f>HYPERLINK("Gene2930-zp_tree_all.dnd", "Gene2930-tree")</f>
        <v>Gene2930-tree</v>
      </c>
      <c r="X565">
        <v>9</v>
      </c>
      <c r="Y565">
        <v>8</v>
      </c>
      <c r="Z565">
        <v>9</v>
      </c>
      <c r="AA565">
        <v>8</v>
      </c>
      <c r="AB565">
        <v>0.47059000000000001</v>
      </c>
      <c r="AC565" t="s">
        <v>135</v>
      </c>
      <c r="AD565" t="s">
        <v>136</v>
      </c>
      <c r="AE565" t="s">
        <v>62</v>
      </c>
      <c r="AF565" t="s">
        <v>62</v>
      </c>
      <c r="AG565">
        <v>3</v>
      </c>
      <c r="AH565">
        <v>8</v>
      </c>
      <c r="AI565">
        <v>8</v>
      </c>
      <c r="AJ565">
        <v>0.5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4</v>
      </c>
      <c r="AQ565">
        <v>0</v>
      </c>
      <c r="AR565">
        <v>4</v>
      </c>
      <c r="AS565">
        <v>7</v>
      </c>
      <c r="AT565">
        <v>0.36364000000000002</v>
      </c>
      <c r="AU565">
        <v>15</v>
      </c>
      <c r="AV565">
        <v>11</v>
      </c>
      <c r="AW565">
        <v>33</v>
      </c>
      <c r="AX565">
        <v>11</v>
      </c>
      <c r="AY565">
        <v>66</v>
      </c>
      <c r="AZ565">
        <v>5</v>
      </c>
      <c r="BA565" t="s">
        <v>16883</v>
      </c>
      <c r="BB565" t="s">
        <v>16884</v>
      </c>
      <c r="BC565">
        <v>1.512</v>
      </c>
      <c r="BD565" t="s">
        <v>65</v>
      </c>
      <c r="BE565">
        <v>99</v>
      </c>
      <c r="BF565">
        <v>16</v>
      </c>
      <c r="BG565" t="s">
        <v>16885</v>
      </c>
      <c r="BH565" t="s">
        <v>16886</v>
      </c>
      <c r="BI565" t="s">
        <v>15901</v>
      </c>
      <c r="BJ565">
        <v>3.3250000000000002E-2</v>
      </c>
      <c r="BK565">
        <v>1</v>
      </c>
      <c r="BL565" t="s">
        <v>69</v>
      </c>
      <c r="BM565">
        <v>-1.228</v>
      </c>
      <c r="BN565">
        <v>0.11899999999999999</v>
      </c>
    </row>
    <row r="566" spans="2:66">
      <c r="B566">
        <v>896</v>
      </c>
      <c r="C566">
        <v>334</v>
      </c>
      <c r="D566">
        <v>0</v>
      </c>
      <c r="E566">
        <v>2</v>
      </c>
      <c r="F566">
        <v>0</v>
      </c>
      <c r="J566">
        <v>0</v>
      </c>
      <c r="K566">
        <v>2</v>
      </c>
      <c r="L566">
        <v>0</v>
      </c>
      <c r="M566" t="s">
        <v>25022</v>
      </c>
      <c r="N566">
        <v>2931</v>
      </c>
      <c r="O566" t="s">
        <v>16887</v>
      </c>
      <c r="P566" t="s">
        <v>62</v>
      </c>
      <c r="Q566">
        <v>2875176</v>
      </c>
      <c r="R566">
        <v>2875961</v>
      </c>
      <c r="S566" t="s">
        <v>16888</v>
      </c>
      <c r="T566">
        <v>262</v>
      </c>
      <c r="U566" t="s">
        <v>108</v>
      </c>
      <c r="V566">
        <v>44</v>
      </c>
      <c r="W566" t="str">
        <f>HYPERLINK("Gene2931-zp_tree_all.dnd", "Gene2931-tree")</f>
        <v>Gene2931-tree</v>
      </c>
      <c r="X566">
        <v>3</v>
      </c>
      <c r="Y566">
        <v>10</v>
      </c>
      <c r="Z566">
        <v>3</v>
      </c>
      <c r="AA566">
        <v>10</v>
      </c>
      <c r="AB566">
        <v>0.76922999999999997</v>
      </c>
      <c r="AC566" t="s">
        <v>324</v>
      </c>
      <c r="AD566" t="s">
        <v>117</v>
      </c>
      <c r="AE566" t="s">
        <v>62</v>
      </c>
      <c r="AF566" t="s">
        <v>62</v>
      </c>
      <c r="AG566">
        <v>1</v>
      </c>
      <c r="AH566">
        <v>2</v>
      </c>
      <c r="AI566">
        <v>19</v>
      </c>
      <c r="AJ566">
        <v>9.5240000000000005E-2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2</v>
      </c>
      <c r="AQ566">
        <v>0</v>
      </c>
      <c r="AR566">
        <v>2</v>
      </c>
      <c r="AS566">
        <v>15</v>
      </c>
      <c r="AT566">
        <v>0.11765</v>
      </c>
      <c r="AU566">
        <v>10</v>
      </c>
      <c r="AV566">
        <v>7</v>
      </c>
      <c r="AW566">
        <v>21</v>
      </c>
      <c r="AX566">
        <v>16</v>
      </c>
      <c r="AY566">
        <v>11</v>
      </c>
      <c r="AZ566">
        <v>5</v>
      </c>
      <c r="BA566" t="s">
        <v>16889</v>
      </c>
      <c r="BB566" t="s">
        <v>16890</v>
      </c>
      <c r="BC566">
        <v>0.57199999999999995</v>
      </c>
      <c r="BD566" t="s">
        <v>65</v>
      </c>
      <c r="BE566">
        <v>32</v>
      </c>
      <c r="BF566">
        <v>21</v>
      </c>
      <c r="BG566" t="s">
        <v>16891</v>
      </c>
      <c r="BH566" t="s">
        <v>16892</v>
      </c>
      <c r="BI566" t="s">
        <v>16893</v>
      </c>
      <c r="BJ566">
        <v>0.20674000000000001</v>
      </c>
      <c r="BK566">
        <v>1</v>
      </c>
      <c r="BL566" t="s">
        <v>69</v>
      </c>
      <c r="BM566">
        <v>-0.4</v>
      </c>
      <c r="BN566">
        <v>-1.1759999999999999</v>
      </c>
    </row>
    <row r="567" spans="2:66">
      <c r="B567">
        <v>900</v>
      </c>
      <c r="C567">
        <v>77</v>
      </c>
      <c r="D567">
        <v>0</v>
      </c>
      <c r="E567">
        <v>0</v>
      </c>
      <c r="F567">
        <v>4</v>
      </c>
      <c r="J567">
        <v>0</v>
      </c>
      <c r="K567">
        <v>0</v>
      </c>
      <c r="L567">
        <v>0</v>
      </c>
      <c r="M567" t="s">
        <v>25022</v>
      </c>
      <c r="N567">
        <v>2932</v>
      </c>
      <c r="O567" t="s">
        <v>16894</v>
      </c>
      <c r="P567" t="s">
        <v>62</v>
      </c>
      <c r="Q567">
        <v>2875954</v>
      </c>
      <c r="R567">
        <v>2876895</v>
      </c>
      <c r="S567" t="s">
        <v>16895</v>
      </c>
      <c r="T567">
        <v>314</v>
      </c>
      <c r="U567" t="s">
        <v>108</v>
      </c>
      <c r="V567">
        <v>44</v>
      </c>
      <c r="W567" t="str">
        <f>HYPERLINK("Gene2932-zp_tree_all.dnd", "Gene2932-tree")</f>
        <v>Gene2932-tree</v>
      </c>
      <c r="X567">
        <v>4</v>
      </c>
      <c r="Y567">
        <v>9</v>
      </c>
      <c r="Z567">
        <v>4</v>
      </c>
      <c r="AA567">
        <v>9</v>
      </c>
      <c r="AB567">
        <v>0.69230999999999998</v>
      </c>
      <c r="AC567" t="s">
        <v>61</v>
      </c>
      <c r="AD567" t="s">
        <v>135</v>
      </c>
      <c r="AE567" t="s">
        <v>62</v>
      </c>
      <c r="AF567" t="s">
        <v>62</v>
      </c>
      <c r="AG567">
        <v>0</v>
      </c>
      <c r="AH567">
        <v>0</v>
      </c>
      <c r="AI567">
        <v>13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10</v>
      </c>
      <c r="AT567">
        <v>0</v>
      </c>
      <c r="AU567">
        <v>11</v>
      </c>
      <c r="AV567">
        <v>10</v>
      </c>
      <c r="AW567">
        <v>21</v>
      </c>
      <c r="AX567">
        <v>9</v>
      </c>
      <c r="AY567">
        <v>16</v>
      </c>
      <c r="AZ567">
        <v>4</v>
      </c>
      <c r="BA567" t="s">
        <v>16896</v>
      </c>
      <c r="BB567" t="s">
        <v>16897</v>
      </c>
      <c r="BC567">
        <v>0.72899999999999998</v>
      </c>
      <c r="BD567" t="s">
        <v>65</v>
      </c>
      <c r="BE567">
        <v>37</v>
      </c>
      <c r="BF567">
        <v>13</v>
      </c>
      <c r="BG567" t="s">
        <v>16898</v>
      </c>
      <c r="BH567" t="s">
        <v>16899</v>
      </c>
      <c r="BI567" t="s">
        <v>16900</v>
      </c>
      <c r="BJ567">
        <v>9.1069999999999998E-2</v>
      </c>
      <c r="BK567">
        <v>1</v>
      </c>
      <c r="BL567" t="s">
        <v>69</v>
      </c>
      <c r="BM567">
        <v>-4.2000000000000003E-2</v>
      </c>
      <c r="BN567">
        <v>-1.35</v>
      </c>
    </row>
    <row r="568" spans="2:66">
      <c r="B568">
        <v>902</v>
      </c>
      <c r="C568">
        <v>403</v>
      </c>
      <c r="D568">
        <v>0</v>
      </c>
      <c r="E568">
        <v>2</v>
      </c>
      <c r="F568">
        <v>2</v>
      </c>
      <c r="J568">
        <v>0</v>
      </c>
      <c r="K568">
        <v>0</v>
      </c>
      <c r="L568">
        <v>0</v>
      </c>
      <c r="M568" t="s">
        <v>25022</v>
      </c>
      <c r="N568">
        <v>2933</v>
      </c>
      <c r="O568" t="s">
        <v>16901</v>
      </c>
      <c r="P568" t="s">
        <v>62</v>
      </c>
      <c r="Q568">
        <v>2876931</v>
      </c>
      <c r="R568">
        <v>2877758</v>
      </c>
      <c r="S568" t="s">
        <v>16902</v>
      </c>
      <c r="T568">
        <v>276</v>
      </c>
      <c r="U568" t="s">
        <v>59</v>
      </c>
      <c r="V568">
        <v>49</v>
      </c>
      <c r="W568" t="str">
        <f>HYPERLINK("Gene2933-zp_tree_all.dnd", "Gene2933-tree")</f>
        <v>Gene2933-tree</v>
      </c>
      <c r="X568">
        <v>15</v>
      </c>
      <c r="Y568">
        <v>1</v>
      </c>
      <c r="Z568">
        <v>15</v>
      </c>
      <c r="AA568">
        <v>1</v>
      </c>
      <c r="AB568">
        <v>6.25E-2</v>
      </c>
      <c r="AC568" t="s">
        <v>100</v>
      </c>
      <c r="AD568" t="s">
        <v>175</v>
      </c>
      <c r="AE568" t="s">
        <v>62</v>
      </c>
      <c r="AF568" t="s">
        <v>62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10</v>
      </c>
      <c r="AV568">
        <v>11</v>
      </c>
      <c r="AW568">
        <v>22</v>
      </c>
      <c r="AX568">
        <v>1</v>
      </c>
      <c r="AY568">
        <v>56</v>
      </c>
      <c r="AZ568">
        <v>0</v>
      </c>
      <c r="BA568" t="s">
        <v>16903</v>
      </c>
      <c r="BB568" t="s">
        <v>193</v>
      </c>
      <c r="BC568">
        <v>0.33700000000000002</v>
      </c>
      <c r="BD568" t="s">
        <v>65</v>
      </c>
      <c r="BE568">
        <v>78</v>
      </c>
      <c r="BF568">
        <v>1</v>
      </c>
      <c r="BG568" t="s">
        <v>16885</v>
      </c>
      <c r="BH568" t="s">
        <v>16904</v>
      </c>
      <c r="BI568" t="s">
        <v>16905</v>
      </c>
      <c r="BJ568">
        <v>3.8500000000000001E-3</v>
      </c>
      <c r="BK568">
        <v>1</v>
      </c>
      <c r="BL568" t="s">
        <v>69</v>
      </c>
      <c r="BM568">
        <v>-1.149</v>
      </c>
      <c r="BN568">
        <v>0.2</v>
      </c>
    </row>
    <row r="569" spans="2:66">
      <c r="B569">
        <v>903</v>
      </c>
      <c r="C569">
        <v>290</v>
      </c>
      <c r="D569">
        <v>0</v>
      </c>
      <c r="E569">
        <v>4</v>
      </c>
      <c r="F569">
        <v>0</v>
      </c>
      <c r="J569">
        <v>0</v>
      </c>
      <c r="K569">
        <v>0</v>
      </c>
      <c r="L569">
        <v>2</v>
      </c>
      <c r="M569" t="s">
        <v>25022</v>
      </c>
      <c r="N569">
        <v>2934</v>
      </c>
      <c r="O569" t="s">
        <v>16906</v>
      </c>
      <c r="P569" t="s">
        <v>62</v>
      </c>
      <c r="Q569">
        <v>2877769</v>
      </c>
      <c r="R569">
        <v>2879133</v>
      </c>
      <c r="S569" t="s">
        <v>16907</v>
      </c>
      <c r="T569">
        <v>455</v>
      </c>
      <c r="U569" t="s">
        <v>698</v>
      </c>
      <c r="V569">
        <v>47</v>
      </c>
      <c r="W569" t="str">
        <f>HYPERLINK("Gene2934-zp_tree_all.dnd", "Gene2934-tree")</f>
        <v>Gene2934-tree</v>
      </c>
      <c r="X569">
        <v>8</v>
      </c>
      <c r="Y569">
        <v>7</v>
      </c>
      <c r="Z569">
        <v>8</v>
      </c>
      <c r="AA569">
        <v>7</v>
      </c>
      <c r="AB569">
        <v>0.46666999999999997</v>
      </c>
      <c r="AC569" t="s">
        <v>136</v>
      </c>
      <c r="AD569" t="s">
        <v>152</v>
      </c>
      <c r="AE569" t="s">
        <v>62</v>
      </c>
      <c r="AF569" t="s">
        <v>62</v>
      </c>
      <c r="AG569">
        <v>1</v>
      </c>
      <c r="AH569">
        <v>2</v>
      </c>
      <c r="AI569">
        <v>10</v>
      </c>
      <c r="AJ569">
        <v>0.16667000000000001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9</v>
      </c>
      <c r="AT569">
        <v>0</v>
      </c>
      <c r="AU569">
        <v>13</v>
      </c>
      <c r="AV569">
        <v>9</v>
      </c>
      <c r="AW569">
        <v>43</v>
      </c>
      <c r="AX569">
        <v>9</v>
      </c>
      <c r="AY569">
        <v>63</v>
      </c>
      <c r="AZ569">
        <v>4</v>
      </c>
      <c r="BA569" t="s">
        <v>16908</v>
      </c>
      <c r="BB569" t="s">
        <v>16909</v>
      </c>
      <c r="BC569">
        <v>0.55000000000000004</v>
      </c>
      <c r="BD569" t="s">
        <v>65</v>
      </c>
      <c r="BE569">
        <v>106</v>
      </c>
      <c r="BF569">
        <v>13</v>
      </c>
      <c r="BG569" t="s">
        <v>16910</v>
      </c>
      <c r="BH569" t="s">
        <v>16911</v>
      </c>
      <c r="BI569" t="s">
        <v>6149</v>
      </c>
      <c r="BJ569">
        <v>2.622E-2</v>
      </c>
      <c r="BK569">
        <v>1</v>
      </c>
      <c r="BL569" t="s">
        <v>69</v>
      </c>
      <c r="BM569">
        <v>-1.532</v>
      </c>
      <c r="BN569">
        <v>-1.3759999999999999</v>
      </c>
    </row>
    <row r="570" spans="2:66">
      <c r="B570">
        <v>904</v>
      </c>
      <c r="C570">
        <v>418</v>
      </c>
      <c r="D570">
        <v>0</v>
      </c>
      <c r="E570">
        <v>5</v>
      </c>
      <c r="F570">
        <v>0</v>
      </c>
      <c r="J570">
        <v>0</v>
      </c>
      <c r="K570">
        <v>2</v>
      </c>
      <c r="L570">
        <v>0</v>
      </c>
      <c r="M570" t="s">
        <v>25022</v>
      </c>
      <c r="N570">
        <v>2936</v>
      </c>
      <c r="O570" t="s">
        <v>16918</v>
      </c>
      <c r="P570" t="s">
        <v>62</v>
      </c>
      <c r="Q570">
        <v>2879885</v>
      </c>
      <c r="R570">
        <v>2880469</v>
      </c>
      <c r="S570" t="s">
        <v>16919</v>
      </c>
      <c r="T570">
        <v>195</v>
      </c>
      <c r="U570" t="s">
        <v>108</v>
      </c>
      <c r="V570">
        <v>44</v>
      </c>
      <c r="W570" t="str">
        <f>HYPERLINK("Gene2936-zp_tree_all.dnd", "Gene2936-tree")</f>
        <v>Gene2936-tree</v>
      </c>
      <c r="X570">
        <v>9</v>
      </c>
      <c r="Y570">
        <v>3</v>
      </c>
      <c r="Z570">
        <v>9</v>
      </c>
      <c r="AA570">
        <v>3</v>
      </c>
      <c r="AB570">
        <v>0.25</v>
      </c>
      <c r="AC570" t="s">
        <v>135</v>
      </c>
      <c r="AD570" t="s">
        <v>324</v>
      </c>
      <c r="AE570" t="s">
        <v>62</v>
      </c>
      <c r="AF570" t="s">
        <v>62</v>
      </c>
      <c r="AG570">
        <v>1</v>
      </c>
      <c r="AH570">
        <v>2</v>
      </c>
      <c r="AI570">
        <v>1</v>
      </c>
      <c r="AJ570">
        <v>0.66666999999999998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2</v>
      </c>
      <c r="AQ570">
        <v>0</v>
      </c>
      <c r="AR570">
        <v>2</v>
      </c>
      <c r="AS570">
        <v>1</v>
      </c>
      <c r="AT570">
        <v>0.66666999999999998</v>
      </c>
      <c r="AU570">
        <v>10</v>
      </c>
      <c r="AV570">
        <v>4</v>
      </c>
      <c r="AW570">
        <v>35</v>
      </c>
      <c r="AX570">
        <v>3</v>
      </c>
      <c r="AY570">
        <v>8</v>
      </c>
      <c r="AZ570">
        <v>0</v>
      </c>
      <c r="BA570" t="s">
        <v>16920</v>
      </c>
      <c r="BB570" t="s">
        <v>193</v>
      </c>
      <c r="BC570">
        <v>0.78500000000000003</v>
      </c>
      <c r="BD570" t="s">
        <v>65</v>
      </c>
      <c r="BE570">
        <v>43</v>
      </c>
      <c r="BF570">
        <v>3</v>
      </c>
      <c r="BG570" t="s">
        <v>16921</v>
      </c>
      <c r="BH570" t="s">
        <v>16922</v>
      </c>
      <c r="BI570" t="s">
        <v>9702</v>
      </c>
      <c r="BJ570">
        <v>1.6150000000000001E-2</v>
      </c>
      <c r="BK570">
        <v>1</v>
      </c>
      <c r="BL570" t="s">
        <v>69</v>
      </c>
      <c r="BM570">
        <v>-1.1719999999999999</v>
      </c>
      <c r="BN570">
        <v>-1.2370000000000001</v>
      </c>
    </row>
    <row r="571" spans="2:66">
      <c r="B571">
        <v>905</v>
      </c>
      <c r="C571">
        <v>97</v>
      </c>
      <c r="D571">
        <v>0</v>
      </c>
      <c r="E571">
        <v>2</v>
      </c>
      <c r="F571">
        <v>0</v>
      </c>
      <c r="J571">
        <v>0</v>
      </c>
      <c r="K571">
        <v>2</v>
      </c>
      <c r="L571">
        <v>0</v>
      </c>
      <c r="M571" t="s">
        <v>25022</v>
      </c>
      <c r="N571">
        <v>2937</v>
      </c>
      <c r="O571" t="s">
        <v>16923</v>
      </c>
      <c r="P571" t="s">
        <v>62</v>
      </c>
      <c r="Q571">
        <v>2880469</v>
      </c>
      <c r="R571">
        <v>2882790</v>
      </c>
      <c r="S571" t="s">
        <v>16924</v>
      </c>
      <c r="T571">
        <v>774</v>
      </c>
      <c r="U571" t="s">
        <v>108</v>
      </c>
      <c r="V571">
        <v>44</v>
      </c>
      <c r="W571" t="str">
        <f>HYPERLINK("Gene2937-zp_tree_all.dnd", "Gene2937-tree")</f>
        <v>Gene2937-tree</v>
      </c>
      <c r="X571">
        <v>8</v>
      </c>
      <c r="Y571">
        <v>6</v>
      </c>
      <c r="Z571">
        <v>8</v>
      </c>
      <c r="AA571">
        <v>6</v>
      </c>
      <c r="AB571">
        <v>0.42857000000000001</v>
      </c>
      <c r="AC571" t="s">
        <v>136</v>
      </c>
      <c r="AD571" t="s">
        <v>90</v>
      </c>
      <c r="AE571" t="s">
        <v>62</v>
      </c>
      <c r="AF571" t="s">
        <v>62</v>
      </c>
      <c r="AG571">
        <v>1</v>
      </c>
      <c r="AH571">
        <v>2</v>
      </c>
      <c r="AI571">
        <v>6</v>
      </c>
      <c r="AJ571">
        <v>0.25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6</v>
      </c>
      <c r="AT571">
        <v>0</v>
      </c>
      <c r="AU571">
        <v>12</v>
      </c>
      <c r="AV571">
        <v>10</v>
      </c>
      <c r="AW571">
        <v>84</v>
      </c>
      <c r="AX571">
        <v>6</v>
      </c>
      <c r="AY571">
        <v>46</v>
      </c>
      <c r="AZ571">
        <v>3</v>
      </c>
      <c r="BA571" t="s">
        <v>16925</v>
      </c>
      <c r="BB571" t="s">
        <v>16926</v>
      </c>
      <c r="BC571">
        <v>5.8000000000000003E-2</v>
      </c>
      <c r="BD571" t="s">
        <v>65</v>
      </c>
      <c r="BE571">
        <v>130</v>
      </c>
      <c r="BF571">
        <v>9</v>
      </c>
      <c r="BG571" t="s">
        <v>16927</v>
      </c>
      <c r="BH571" t="s">
        <v>16928</v>
      </c>
      <c r="BI571" t="s">
        <v>16929</v>
      </c>
      <c r="BJ571">
        <v>2.027E-2</v>
      </c>
      <c r="BK571">
        <v>1</v>
      </c>
      <c r="BL571" t="s">
        <v>69</v>
      </c>
      <c r="BM571">
        <v>-0.36899999999999999</v>
      </c>
      <c r="BN571">
        <v>-2.0489999999999999</v>
      </c>
    </row>
    <row r="572" spans="2:66">
      <c r="B572">
        <v>909</v>
      </c>
      <c r="C572">
        <v>34</v>
      </c>
      <c r="D572">
        <v>0</v>
      </c>
      <c r="E572">
        <v>0</v>
      </c>
      <c r="F572">
        <v>2</v>
      </c>
      <c r="J572">
        <v>0</v>
      </c>
      <c r="K572">
        <v>3</v>
      </c>
      <c r="L572">
        <v>0</v>
      </c>
      <c r="M572" t="s">
        <v>25022</v>
      </c>
      <c r="N572">
        <v>2938</v>
      </c>
      <c r="O572" t="s">
        <v>16930</v>
      </c>
      <c r="P572" t="s">
        <v>62</v>
      </c>
      <c r="Q572">
        <v>2882974</v>
      </c>
      <c r="R572">
        <v>2884629</v>
      </c>
      <c r="S572" t="s">
        <v>16931</v>
      </c>
      <c r="T572">
        <v>552</v>
      </c>
      <c r="U572" t="s">
        <v>108</v>
      </c>
      <c r="V572">
        <v>44</v>
      </c>
      <c r="W572" t="str">
        <f>HYPERLINK("Gene2938-zp_tree_all.dnd", "Gene2938-tree")</f>
        <v>Gene2938-tree</v>
      </c>
      <c r="X572">
        <v>9</v>
      </c>
      <c r="Y572">
        <v>5</v>
      </c>
      <c r="Z572">
        <v>9</v>
      </c>
      <c r="AA572">
        <v>5</v>
      </c>
      <c r="AB572">
        <v>0.35714000000000001</v>
      </c>
      <c r="AC572" t="s">
        <v>135</v>
      </c>
      <c r="AD572" t="s">
        <v>199</v>
      </c>
      <c r="AE572" t="s">
        <v>62</v>
      </c>
      <c r="AF572" t="s">
        <v>62</v>
      </c>
      <c r="AG572">
        <v>1</v>
      </c>
      <c r="AH572">
        <v>3</v>
      </c>
      <c r="AI572">
        <v>5</v>
      </c>
      <c r="AJ572">
        <v>0.375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5</v>
      </c>
      <c r="AT572">
        <v>0</v>
      </c>
      <c r="AU572">
        <v>12</v>
      </c>
      <c r="AV572">
        <v>11</v>
      </c>
      <c r="AW572">
        <v>53</v>
      </c>
      <c r="AX572">
        <v>5</v>
      </c>
      <c r="AY572">
        <v>33</v>
      </c>
      <c r="AZ572">
        <v>4</v>
      </c>
      <c r="BA572" t="s">
        <v>16932</v>
      </c>
      <c r="BB572" t="s">
        <v>16933</v>
      </c>
      <c r="BC572">
        <v>0.19500000000000001</v>
      </c>
      <c r="BD572" t="s">
        <v>65</v>
      </c>
      <c r="BE572">
        <v>86</v>
      </c>
      <c r="BF572">
        <v>9</v>
      </c>
      <c r="BG572" t="s">
        <v>16934</v>
      </c>
      <c r="BH572" t="s">
        <v>16935</v>
      </c>
      <c r="BI572" t="s">
        <v>16936</v>
      </c>
      <c r="BJ572">
        <v>3.0089999999999999E-2</v>
      </c>
      <c r="BK572">
        <v>1</v>
      </c>
      <c r="BL572" t="s">
        <v>69</v>
      </c>
      <c r="BM572">
        <v>-0.42899999999999999</v>
      </c>
      <c r="BN572">
        <v>-0.74399999999999999</v>
      </c>
    </row>
    <row r="573" spans="2:66">
      <c r="B573">
        <v>911</v>
      </c>
      <c r="C573">
        <v>72</v>
      </c>
      <c r="D573">
        <v>0</v>
      </c>
      <c r="E573">
        <v>6</v>
      </c>
      <c r="F573">
        <v>0</v>
      </c>
      <c r="J573">
        <v>0</v>
      </c>
      <c r="K573">
        <v>0</v>
      </c>
      <c r="L573">
        <v>0</v>
      </c>
      <c r="M573" t="s">
        <v>25022</v>
      </c>
      <c r="N573">
        <v>2939</v>
      </c>
      <c r="O573" t="s">
        <v>16937</v>
      </c>
      <c r="P573" t="s">
        <v>62</v>
      </c>
      <c r="Q573">
        <v>2884784</v>
      </c>
      <c r="R573">
        <v>2886043</v>
      </c>
      <c r="S573" t="s">
        <v>16938</v>
      </c>
      <c r="T573">
        <v>420</v>
      </c>
      <c r="U573" t="s">
        <v>59</v>
      </c>
      <c r="V573">
        <v>49</v>
      </c>
      <c r="W573" t="str">
        <f>HYPERLINK("Gene2939-zp_tree_all.dnd", "Gene2939-tree")</f>
        <v>Gene2939-tree</v>
      </c>
      <c r="X573">
        <v>44</v>
      </c>
      <c r="Y573">
        <v>0</v>
      </c>
      <c r="Z573">
        <v>16</v>
      </c>
      <c r="AA573">
        <v>0</v>
      </c>
      <c r="AB573">
        <v>0</v>
      </c>
      <c r="AC573" t="s">
        <v>16939</v>
      </c>
      <c r="AD573" t="s">
        <v>62</v>
      </c>
      <c r="AE573" t="s">
        <v>62</v>
      </c>
      <c r="AF573" t="s">
        <v>62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13</v>
      </c>
      <c r="AV573">
        <v>11</v>
      </c>
      <c r="AW573">
        <v>44</v>
      </c>
      <c r="AX573">
        <v>0</v>
      </c>
      <c r="AY573">
        <v>76</v>
      </c>
      <c r="AZ573">
        <v>1</v>
      </c>
      <c r="BA573" t="s">
        <v>193</v>
      </c>
      <c r="BB573" t="s">
        <v>16940</v>
      </c>
      <c r="BC573">
        <v>0.29499999999999998</v>
      </c>
      <c r="BD573" t="s">
        <v>65</v>
      </c>
      <c r="BE573">
        <v>120</v>
      </c>
      <c r="BF573">
        <v>1</v>
      </c>
      <c r="BG573" t="s">
        <v>16941</v>
      </c>
      <c r="BH573" t="s">
        <v>16942</v>
      </c>
      <c r="BI573" t="s">
        <v>16943</v>
      </c>
      <c r="BJ573">
        <v>4.28E-3</v>
      </c>
      <c r="BK573">
        <v>1</v>
      </c>
      <c r="BL573" t="s">
        <v>69</v>
      </c>
      <c r="BM573">
        <v>-1.5149999999999999</v>
      </c>
      <c r="BN573">
        <v>-0.92600000000000005</v>
      </c>
    </row>
    <row r="574" spans="2:66">
      <c r="B574">
        <v>912</v>
      </c>
      <c r="C574">
        <v>77</v>
      </c>
      <c r="D574">
        <v>0</v>
      </c>
      <c r="E574">
        <v>0</v>
      </c>
      <c r="F574">
        <v>7</v>
      </c>
      <c r="J574">
        <v>0</v>
      </c>
      <c r="K574">
        <v>8</v>
      </c>
      <c r="L574">
        <v>0</v>
      </c>
      <c r="M574" t="s">
        <v>25022</v>
      </c>
      <c r="N574">
        <v>2940</v>
      </c>
      <c r="O574" t="s">
        <v>16944</v>
      </c>
      <c r="P574" t="s">
        <v>62</v>
      </c>
      <c r="Q574">
        <v>2886318</v>
      </c>
      <c r="R574">
        <v>2887589</v>
      </c>
      <c r="S574" t="s">
        <v>16945</v>
      </c>
      <c r="T574">
        <v>424</v>
      </c>
      <c r="U574" t="s">
        <v>59</v>
      </c>
      <c r="V574">
        <v>49</v>
      </c>
      <c r="W574" t="str">
        <f>HYPERLINK("Gene2940-zp_tree_all.dnd", "Gene2940-tree")</f>
        <v>Gene2940-tree</v>
      </c>
      <c r="X574">
        <v>10</v>
      </c>
      <c r="Y574">
        <v>7</v>
      </c>
      <c r="Z574">
        <v>10</v>
      </c>
      <c r="AA574">
        <v>7</v>
      </c>
      <c r="AB574">
        <v>0.41176000000000001</v>
      </c>
      <c r="AC574" t="s">
        <v>117</v>
      </c>
      <c r="AD574" t="s">
        <v>152</v>
      </c>
      <c r="AE574" t="s">
        <v>62</v>
      </c>
      <c r="AF574" t="s">
        <v>62</v>
      </c>
      <c r="AG574">
        <v>3</v>
      </c>
      <c r="AH574">
        <v>8</v>
      </c>
      <c r="AI574">
        <v>11</v>
      </c>
      <c r="AJ574">
        <v>0.42104999999999998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2</v>
      </c>
      <c r="AQ574">
        <v>0</v>
      </c>
      <c r="AR574">
        <v>2</v>
      </c>
      <c r="AS574">
        <v>7</v>
      </c>
      <c r="AT574">
        <v>0.22222</v>
      </c>
      <c r="AU574">
        <v>14</v>
      </c>
      <c r="AV574">
        <v>14</v>
      </c>
      <c r="AW574">
        <v>49</v>
      </c>
      <c r="AX574">
        <v>8</v>
      </c>
      <c r="AY574">
        <v>57</v>
      </c>
      <c r="AZ574">
        <v>12</v>
      </c>
      <c r="BA574" t="s">
        <v>16946</v>
      </c>
      <c r="BB574" t="s">
        <v>16947</v>
      </c>
      <c r="BC574">
        <v>0.28199999999999997</v>
      </c>
      <c r="BD574" t="s">
        <v>65</v>
      </c>
      <c r="BE574">
        <v>106</v>
      </c>
      <c r="BF574">
        <v>20</v>
      </c>
      <c r="BG574" t="s">
        <v>16948</v>
      </c>
      <c r="BH574" t="s">
        <v>16949</v>
      </c>
      <c r="BI574" t="s">
        <v>6835</v>
      </c>
      <c r="BJ574">
        <v>5.1470000000000002E-2</v>
      </c>
      <c r="BK574">
        <v>1</v>
      </c>
      <c r="BL574" t="s">
        <v>69</v>
      </c>
      <c r="BM574">
        <v>-0.94</v>
      </c>
      <c r="BN574">
        <v>-0.39900000000000002</v>
      </c>
    </row>
    <row r="575" spans="2:66">
      <c r="B575">
        <v>913</v>
      </c>
      <c r="C575">
        <v>117</v>
      </c>
      <c r="D575">
        <v>0</v>
      </c>
      <c r="E575">
        <v>2</v>
      </c>
      <c r="F575">
        <v>0</v>
      </c>
      <c r="J575">
        <v>0</v>
      </c>
      <c r="K575">
        <v>4</v>
      </c>
      <c r="L575">
        <v>0</v>
      </c>
      <c r="M575" t="s">
        <v>25022</v>
      </c>
      <c r="N575">
        <v>2941</v>
      </c>
      <c r="O575" t="s">
        <v>16950</v>
      </c>
      <c r="P575" t="s">
        <v>62</v>
      </c>
      <c r="Q575">
        <v>2887820</v>
      </c>
      <c r="R575">
        <v>2888821</v>
      </c>
      <c r="S575" t="s">
        <v>2512</v>
      </c>
      <c r="T575">
        <v>334</v>
      </c>
      <c r="U575" t="s">
        <v>108</v>
      </c>
      <c r="V575">
        <v>44</v>
      </c>
      <c r="W575" t="str">
        <f>HYPERLINK("Gene2941-zp_tree_all.dnd", "Gene2941-tree")</f>
        <v>Gene2941-tree</v>
      </c>
      <c r="X575">
        <v>10</v>
      </c>
      <c r="Y575">
        <v>5</v>
      </c>
      <c r="Z575">
        <v>10</v>
      </c>
      <c r="AA575">
        <v>5</v>
      </c>
      <c r="AB575">
        <v>0.33333000000000002</v>
      </c>
      <c r="AC575" t="s">
        <v>117</v>
      </c>
      <c r="AD575" t="s">
        <v>199</v>
      </c>
      <c r="AE575" t="s">
        <v>62</v>
      </c>
      <c r="AF575" t="s">
        <v>62</v>
      </c>
      <c r="AG575">
        <v>2</v>
      </c>
      <c r="AH575">
        <v>4</v>
      </c>
      <c r="AI575">
        <v>7</v>
      </c>
      <c r="AJ575">
        <v>0.36364000000000002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7</v>
      </c>
      <c r="AT575">
        <v>0</v>
      </c>
      <c r="AU575">
        <v>13</v>
      </c>
      <c r="AV575">
        <v>12</v>
      </c>
      <c r="AW575">
        <v>45</v>
      </c>
      <c r="AX575">
        <v>8</v>
      </c>
      <c r="AY575">
        <v>26</v>
      </c>
      <c r="AZ575">
        <v>4</v>
      </c>
      <c r="BA575" t="s">
        <v>16951</v>
      </c>
      <c r="BB575" t="s">
        <v>16952</v>
      </c>
      <c r="BC575">
        <v>0.14799999999999999</v>
      </c>
      <c r="BD575" t="s">
        <v>65</v>
      </c>
      <c r="BE575">
        <v>71</v>
      </c>
      <c r="BF575">
        <v>12</v>
      </c>
      <c r="BG575" t="s">
        <v>16953</v>
      </c>
      <c r="BH575" t="s">
        <v>16954</v>
      </c>
      <c r="BI575" t="s">
        <v>16955</v>
      </c>
      <c r="BJ575">
        <v>4.9329999999999999E-2</v>
      </c>
      <c r="BK575">
        <v>1</v>
      </c>
      <c r="BL575" t="s">
        <v>69</v>
      </c>
      <c r="BM575">
        <v>-0.504</v>
      </c>
      <c r="BN575">
        <v>-1.407</v>
      </c>
    </row>
    <row r="576" spans="2:66">
      <c r="B576">
        <v>917</v>
      </c>
      <c r="C576">
        <v>218</v>
      </c>
      <c r="D576">
        <v>0</v>
      </c>
      <c r="E576">
        <v>2</v>
      </c>
      <c r="F576">
        <v>0</v>
      </c>
      <c r="J576">
        <v>0</v>
      </c>
      <c r="K576">
        <v>7</v>
      </c>
      <c r="L576">
        <v>0</v>
      </c>
      <c r="M576" t="s">
        <v>25022</v>
      </c>
      <c r="N576">
        <v>2942</v>
      </c>
      <c r="O576" t="s">
        <v>16956</v>
      </c>
      <c r="P576" t="s">
        <v>62</v>
      </c>
      <c r="Q576">
        <v>2888943</v>
      </c>
      <c r="R576">
        <v>2889539</v>
      </c>
      <c r="S576" t="s">
        <v>16957</v>
      </c>
      <c r="T576">
        <v>199</v>
      </c>
      <c r="U576" t="s">
        <v>465</v>
      </c>
      <c r="V576">
        <v>46</v>
      </c>
      <c r="W576" t="str">
        <f>HYPERLINK("Gene2942-zp_tree_all.dnd", "Gene2942-tree")</f>
        <v>Gene2942-tree</v>
      </c>
      <c r="X576">
        <v>2</v>
      </c>
      <c r="Y576">
        <v>10</v>
      </c>
      <c r="Z576">
        <v>2</v>
      </c>
      <c r="AA576">
        <v>10</v>
      </c>
      <c r="AB576">
        <v>0.83333000000000002</v>
      </c>
      <c r="AC576" t="s">
        <v>81</v>
      </c>
      <c r="AD576" t="s">
        <v>117</v>
      </c>
      <c r="AE576" t="s">
        <v>62</v>
      </c>
      <c r="AF576" t="s">
        <v>62</v>
      </c>
      <c r="AG576">
        <v>3</v>
      </c>
      <c r="AH576">
        <v>7</v>
      </c>
      <c r="AI576">
        <v>9</v>
      </c>
      <c r="AJ576">
        <v>0.4375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</v>
      </c>
      <c r="AQ576">
        <v>0</v>
      </c>
      <c r="AR576">
        <v>2</v>
      </c>
      <c r="AS576">
        <v>11</v>
      </c>
      <c r="AT576">
        <v>0.15384999999999999</v>
      </c>
      <c r="AU576">
        <v>10</v>
      </c>
      <c r="AV576">
        <v>8</v>
      </c>
      <c r="AW576">
        <v>39</v>
      </c>
      <c r="AX576">
        <v>12</v>
      </c>
      <c r="AY576">
        <v>9</v>
      </c>
      <c r="AZ576">
        <v>4</v>
      </c>
      <c r="BA576" t="s">
        <v>16958</v>
      </c>
      <c r="BB576" t="s">
        <v>16959</v>
      </c>
      <c r="BC576">
        <v>0.36799999999999999</v>
      </c>
      <c r="BD576" t="s">
        <v>65</v>
      </c>
      <c r="BE576">
        <v>48</v>
      </c>
      <c r="BF576">
        <v>16</v>
      </c>
      <c r="BG576" t="s">
        <v>16960</v>
      </c>
      <c r="BH576" t="s">
        <v>16961</v>
      </c>
      <c r="BI576" t="s">
        <v>16962</v>
      </c>
      <c r="BJ576">
        <v>7.8659999999999994E-2</v>
      </c>
      <c r="BK576">
        <v>1</v>
      </c>
      <c r="BL576" t="s">
        <v>69</v>
      </c>
      <c r="BM576">
        <v>-0.98599999999999999</v>
      </c>
      <c r="BN576">
        <v>0.752</v>
      </c>
    </row>
    <row r="577" spans="2:66">
      <c r="B577">
        <v>918</v>
      </c>
      <c r="C577">
        <v>320</v>
      </c>
      <c r="D577">
        <v>0</v>
      </c>
      <c r="E577">
        <v>7</v>
      </c>
      <c r="F577">
        <v>0</v>
      </c>
      <c r="J577">
        <v>0</v>
      </c>
      <c r="K577">
        <v>2</v>
      </c>
      <c r="L577">
        <v>2</v>
      </c>
      <c r="M577" t="s">
        <v>25022</v>
      </c>
      <c r="N577">
        <v>2943</v>
      </c>
      <c r="O577" t="s">
        <v>16963</v>
      </c>
      <c r="P577" t="s">
        <v>62</v>
      </c>
      <c r="Q577">
        <v>2889555</v>
      </c>
      <c r="R577">
        <v>2890970</v>
      </c>
      <c r="S577" t="s">
        <v>16964</v>
      </c>
      <c r="T577">
        <v>472</v>
      </c>
      <c r="U577" t="s">
        <v>698</v>
      </c>
      <c r="V577">
        <v>47</v>
      </c>
      <c r="W577" t="str">
        <f>HYPERLINK("Gene2943-zp_tree_all.dnd", "Gene2943-tree")</f>
        <v>Gene2943-tree</v>
      </c>
      <c r="X577">
        <v>9</v>
      </c>
      <c r="Y577">
        <v>7</v>
      </c>
      <c r="Z577">
        <v>9</v>
      </c>
      <c r="AA577">
        <v>7</v>
      </c>
      <c r="AB577">
        <v>0.4375</v>
      </c>
      <c r="AC577" t="s">
        <v>135</v>
      </c>
      <c r="AD577" t="s">
        <v>152</v>
      </c>
      <c r="AE577" t="s">
        <v>62</v>
      </c>
      <c r="AF577" t="s">
        <v>62</v>
      </c>
      <c r="AG577">
        <v>2</v>
      </c>
      <c r="AH577">
        <v>4</v>
      </c>
      <c r="AI577">
        <v>11</v>
      </c>
      <c r="AJ577">
        <v>0.26667000000000002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2</v>
      </c>
      <c r="AQ577">
        <v>0</v>
      </c>
      <c r="AR577">
        <v>2</v>
      </c>
      <c r="AS577">
        <v>8</v>
      </c>
      <c r="AT577">
        <v>0.2</v>
      </c>
      <c r="AU577">
        <v>15</v>
      </c>
      <c r="AV577">
        <v>10</v>
      </c>
      <c r="AW577">
        <v>74</v>
      </c>
      <c r="AX577">
        <v>10</v>
      </c>
      <c r="AY577">
        <v>77</v>
      </c>
      <c r="AZ577">
        <v>5</v>
      </c>
      <c r="BA577" t="s">
        <v>16965</v>
      </c>
      <c r="BB577" t="s">
        <v>16966</v>
      </c>
      <c r="BC577">
        <v>0.48099999999999998</v>
      </c>
      <c r="BD577" t="s">
        <v>65</v>
      </c>
      <c r="BE577">
        <v>151</v>
      </c>
      <c r="BF577">
        <v>15</v>
      </c>
      <c r="BG577" t="s">
        <v>16967</v>
      </c>
      <c r="BH577" t="s">
        <v>16968</v>
      </c>
      <c r="BI577" t="s">
        <v>16969</v>
      </c>
      <c r="BJ577">
        <v>2.5180000000000001E-2</v>
      </c>
      <c r="BK577">
        <v>1</v>
      </c>
      <c r="BL577" t="s">
        <v>69</v>
      </c>
      <c r="BM577">
        <v>-1.151</v>
      </c>
      <c r="BN577">
        <v>-0.44900000000000001</v>
      </c>
    </row>
    <row r="578" spans="2:66">
      <c r="B578">
        <v>919</v>
      </c>
      <c r="C578">
        <v>89</v>
      </c>
      <c r="D578">
        <v>0</v>
      </c>
      <c r="E578">
        <v>4</v>
      </c>
      <c r="F578">
        <v>2</v>
      </c>
      <c r="J578">
        <v>0</v>
      </c>
      <c r="K578">
        <v>4</v>
      </c>
      <c r="L578">
        <v>0</v>
      </c>
      <c r="M578" t="s">
        <v>25022</v>
      </c>
      <c r="N578">
        <v>2944</v>
      </c>
      <c r="O578" t="s">
        <v>16970</v>
      </c>
      <c r="P578" t="s">
        <v>62</v>
      </c>
      <c r="Q578">
        <v>2891023</v>
      </c>
      <c r="R578">
        <v>2892117</v>
      </c>
      <c r="S578" t="s">
        <v>16971</v>
      </c>
      <c r="T578">
        <v>365</v>
      </c>
      <c r="U578" t="s">
        <v>160</v>
      </c>
      <c r="V578">
        <v>45</v>
      </c>
      <c r="W578" t="str">
        <f>HYPERLINK("Gene2944-zp_tree_all.dnd", "Gene2944-tree")</f>
        <v>Gene2944-tree</v>
      </c>
      <c r="X578">
        <v>5</v>
      </c>
      <c r="Y578">
        <v>9</v>
      </c>
      <c r="Z578">
        <v>5</v>
      </c>
      <c r="AA578">
        <v>9</v>
      </c>
      <c r="AB578">
        <v>0.64285999999999999</v>
      </c>
      <c r="AC578" t="s">
        <v>199</v>
      </c>
      <c r="AD578" t="s">
        <v>135</v>
      </c>
      <c r="AE578" t="s">
        <v>62</v>
      </c>
      <c r="AF578" t="s">
        <v>62</v>
      </c>
      <c r="AG578">
        <v>2</v>
      </c>
      <c r="AH578">
        <v>4</v>
      </c>
      <c r="AI578">
        <v>10</v>
      </c>
      <c r="AJ578">
        <v>0.28571000000000002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2</v>
      </c>
      <c r="AQ578">
        <v>0</v>
      </c>
      <c r="AR578">
        <v>2</v>
      </c>
      <c r="AS578">
        <v>10</v>
      </c>
      <c r="AT578">
        <v>0.16667000000000001</v>
      </c>
      <c r="AU578">
        <v>10</v>
      </c>
      <c r="AV578">
        <v>10</v>
      </c>
      <c r="AW578">
        <v>61</v>
      </c>
      <c r="AX578">
        <v>10</v>
      </c>
      <c r="AY578">
        <v>16</v>
      </c>
      <c r="AZ578">
        <v>4</v>
      </c>
      <c r="BA578" t="s">
        <v>16972</v>
      </c>
      <c r="BB578" t="s">
        <v>16973</v>
      </c>
      <c r="BC578">
        <v>0.30299999999999999</v>
      </c>
      <c r="BD578" t="s">
        <v>65</v>
      </c>
      <c r="BE578">
        <v>77</v>
      </c>
      <c r="BF578">
        <v>14</v>
      </c>
      <c r="BG578" t="s">
        <v>16974</v>
      </c>
      <c r="BH578" t="s">
        <v>16975</v>
      </c>
      <c r="BI578" t="s">
        <v>16976</v>
      </c>
      <c r="BJ578">
        <v>5.5050000000000002E-2</v>
      </c>
      <c r="BK578">
        <v>1</v>
      </c>
      <c r="BL578" t="s">
        <v>69</v>
      </c>
      <c r="BM578">
        <v>-1.5449999999999999</v>
      </c>
      <c r="BN578">
        <v>-4.2539999999999996</v>
      </c>
    </row>
    <row r="579" spans="2:66">
      <c r="B579">
        <v>920</v>
      </c>
      <c r="C579">
        <v>214</v>
      </c>
      <c r="D579">
        <v>0</v>
      </c>
      <c r="E579">
        <v>2</v>
      </c>
      <c r="F579">
        <v>0</v>
      </c>
      <c r="J579">
        <v>0</v>
      </c>
      <c r="K579">
        <v>12</v>
      </c>
      <c r="L579">
        <v>3</v>
      </c>
      <c r="M579" t="s">
        <v>25022</v>
      </c>
      <c r="N579">
        <v>2945</v>
      </c>
      <c r="O579" t="s">
        <v>16977</v>
      </c>
      <c r="P579" t="s">
        <v>62</v>
      </c>
      <c r="Q579">
        <v>2892141</v>
      </c>
      <c r="R579">
        <v>2893694</v>
      </c>
      <c r="S579" t="s">
        <v>16978</v>
      </c>
      <c r="T579">
        <v>518</v>
      </c>
      <c r="U579" t="s">
        <v>108</v>
      </c>
      <c r="V579">
        <v>44</v>
      </c>
      <c r="W579" t="str">
        <f>HYPERLINK("Gene2945-zp_tree_all.dnd", "Gene2945-tree")</f>
        <v>Gene2945-tree</v>
      </c>
      <c r="X579">
        <v>3</v>
      </c>
      <c r="Y579">
        <v>12</v>
      </c>
      <c r="Z579">
        <v>3</v>
      </c>
      <c r="AA579">
        <v>12</v>
      </c>
      <c r="AB579">
        <v>0.8</v>
      </c>
      <c r="AC579" t="s">
        <v>324</v>
      </c>
      <c r="AD579" t="s">
        <v>109</v>
      </c>
      <c r="AE579" t="s">
        <v>62</v>
      </c>
      <c r="AF579" t="s">
        <v>62</v>
      </c>
      <c r="AG579">
        <v>6</v>
      </c>
      <c r="AH579">
        <v>15</v>
      </c>
      <c r="AI579">
        <v>8</v>
      </c>
      <c r="AJ579">
        <v>0.65217000000000003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</v>
      </c>
      <c r="AQ579">
        <v>5</v>
      </c>
      <c r="AR579">
        <v>7</v>
      </c>
      <c r="AS579">
        <v>9</v>
      </c>
      <c r="AT579">
        <v>0.4375</v>
      </c>
      <c r="AU579">
        <v>12</v>
      </c>
      <c r="AV579">
        <v>10</v>
      </c>
      <c r="AW579">
        <v>51</v>
      </c>
      <c r="AX579">
        <v>11</v>
      </c>
      <c r="AY579">
        <v>42</v>
      </c>
      <c r="AZ579">
        <v>12</v>
      </c>
      <c r="BA579" t="s">
        <v>16979</v>
      </c>
      <c r="BB579" t="s">
        <v>16980</v>
      </c>
      <c r="BC579">
        <v>0.54600000000000004</v>
      </c>
      <c r="BD579" t="s">
        <v>65</v>
      </c>
      <c r="BE579">
        <v>93</v>
      </c>
      <c r="BF579">
        <v>23</v>
      </c>
      <c r="BG579" t="s">
        <v>16981</v>
      </c>
      <c r="BH579" t="s">
        <v>16982</v>
      </c>
      <c r="BI579" t="s">
        <v>16983</v>
      </c>
      <c r="BJ579">
        <v>8.1189999999999998E-2</v>
      </c>
      <c r="BK579">
        <v>1</v>
      </c>
      <c r="BL579" t="s">
        <v>69</v>
      </c>
      <c r="BM579">
        <v>0.41899999999999998</v>
      </c>
      <c r="BN579">
        <v>-0.61299999999999999</v>
      </c>
    </row>
    <row r="580" spans="2:66">
      <c r="B580">
        <v>921</v>
      </c>
      <c r="C580">
        <v>89</v>
      </c>
      <c r="D580">
        <v>0</v>
      </c>
      <c r="E580">
        <v>3</v>
      </c>
      <c r="F580">
        <v>4</v>
      </c>
      <c r="J580">
        <v>0</v>
      </c>
      <c r="K580">
        <v>0</v>
      </c>
      <c r="L580">
        <v>0</v>
      </c>
      <c r="M580" t="s">
        <v>25022</v>
      </c>
      <c r="N580">
        <v>2946</v>
      </c>
      <c r="O580" t="s">
        <v>16984</v>
      </c>
      <c r="P580" t="s">
        <v>62</v>
      </c>
      <c r="Q580">
        <v>2893684</v>
      </c>
      <c r="R580">
        <v>2894709</v>
      </c>
      <c r="S580" t="s">
        <v>16985</v>
      </c>
      <c r="T580">
        <v>342</v>
      </c>
      <c r="U580" t="s">
        <v>214</v>
      </c>
      <c r="V580">
        <v>48</v>
      </c>
      <c r="W580" t="str">
        <f>HYPERLINK("Gene2946-zp_tree_all.dnd", "Gene2946-tree")</f>
        <v>Gene2946-tree</v>
      </c>
      <c r="X580">
        <v>19</v>
      </c>
      <c r="Y580">
        <v>4</v>
      </c>
      <c r="Z580">
        <v>15</v>
      </c>
      <c r="AA580">
        <v>4</v>
      </c>
      <c r="AB580">
        <v>0.21052999999999999</v>
      </c>
      <c r="AC580" t="s">
        <v>16986</v>
      </c>
      <c r="AD580" t="s">
        <v>61</v>
      </c>
      <c r="AE580" t="s">
        <v>62</v>
      </c>
      <c r="AF580" t="s">
        <v>62</v>
      </c>
      <c r="AG580">
        <v>0</v>
      </c>
      <c r="AH580">
        <v>0</v>
      </c>
      <c r="AI580">
        <v>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4</v>
      </c>
      <c r="AT580">
        <v>0</v>
      </c>
      <c r="AU580">
        <v>16</v>
      </c>
      <c r="AV580">
        <v>15</v>
      </c>
      <c r="AW580">
        <v>64</v>
      </c>
      <c r="AX580">
        <v>4</v>
      </c>
      <c r="AY580">
        <v>83</v>
      </c>
      <c r="AZ580">
        <v>1</v>
      </c>
      <c r="BA580" t="s">
        <v>16987</v>
      </c>
      <c r="BB580" t="s">
        <v>16988</v>
      </c>
      <c r="BC580">
        <v>0.66800000000000004</v>
      </c>
      <c r="BD580" t="s">
        <v>65</v>
      </c>
      <c r="BE580">
        <v>147</v>
      </c>
      <c r="BF580">
        <v>5</v>
      </c>
      <c r="BG580" t="s">
        <v>16989</v>
      </c>
      <c r="BH580" t="s">
        <v>16990</v>
      </c>
      <c r="BI580" t="s">
        <v>16991</v>
      </c>
      <c r="BJ580">
        <v>7.3899999999999999E-3</v>
      </c>
      <c r="BK580">
        <v>1</v>
      </c>
      <c r="BL580" t="s">
        <v>69</v>
      </c>
      <c r="BM580">
        <v>-0.745</v>
      </c>
      <c r="BN580">
        <v>-1.4450000000000001</v>
      </c>
    </row>
    <row r="581" spans="2:66">
      <c r="B581">
        <v>922</v>
      </c>
      <c r="C581">
        <v>21</v>
      </c>
      <c r="D581">
        <v>0</v>
      </c>
      <c r="E581">
        <v>2</v>
      </c>
      <c r="F581">
        <v>0</v>
      </c>
      <c r="J581">
        <v>0</v>
      </c>
      <c r="K581">
        <v>0</v>
      </c>
      <c r="L581">
        <v>0</v>
      </c>
      <c r="M581" t="s">
        <v>25022</v>
      </c>
      <c r="N581">
        <v>2947</v>
      </c>
      <c r="O581" t="s">
        <v>16992</v>
      </c>
      <c r="P581" t="s">
        <v>62</v>
      </c>
      <c r="Q581">
        <v>2894736</v>
      </c>
      <c r="R581">
        <v>2895251</v>
      </c>
      <c r="S581" t="s">
        <v>16993</v>
      </c>
      <c r="T581">
        <v>172</v>
      </c>
      <c r="U581" t="s">
        <v>16816</v>
      </c>
      <c r="V581">
        <v>47</v>
      </c>
      <c r="W581" t="str">
        <f>HYPERLINK("Gene2947-zp_tree_all.dnd", "Gene2947-tree")</f>
        <v>Gene2947-tree</v>
      </c>
      <c r="X581">
        <v>13</v>
      </c>
      <c r="Y581">
        <v>3</v>
      </c>
      <c r="Z581">
        <v>13</v>
      </c>
      <c r="AA581">
        <v>3</v>
      </c>
      <c r="AB581">
        <v>0.1875</v>
      </c>
      <c r="AC581" t="s">
        <v>507</v>
      </c>
      <c r="AD581" t="s">
        <v>324</v>
      </c>
      <c r="AE581" t="s">
        <v>62</v>
      </c>
      <c r="AF581" t="s">
        <v>62</v>
      </c>
      <c r="AG581">
        <v>0</v>
      </c>
      <c r="AH581">
        <v>0</v>
      </c>
      <c r="AI581">
        <v>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3</v>
      </c>
      <c r="AT581">
        <v>0</v>
      </c>
      <c r="AU581">
        <v>13</v>
      </c>
      <c r="AV581">
        <v>9</v>
      </c>
      <c r="AW581">
        <v>34</v>
      </c>
      <c r="AX581">
        <v>3</v>
      </c>
      <c r="AY581">
        <v>28</v>
      </c>
      <c r="AZ581">
        <v>2</v>
      </c>
      <c r="BA581" t="s">
        <v>16994</v>
      </c>
      <c r="BB581" t="s">
        <v>16995</v>
      </c>
      <c r="BC581">
        <v>0.11799999999999999</v>
      </c>
      <c r="BD581" t="s">
        <v>65</v>
      </c>
      <c r="BE581">
        <v>62</v>
      </c>
      <c r="BF581">
        <v>5</v>
      </c>
      <c r="BG581" t="s">
        <v>16996</v>
      </c>
      <c r="BH581" t="s">
        <v>16997</v>
      </c>
      <c r="BI581" t="s">
        <v>16998</v>
      </c>
      <c r="BJ581">
        <v>2.513E-2</v>
      </c>
      <c r="BK581">
        <v>1</v>
      </c>
      <c r="BL581" t="s">
        <v>69</v>
      </c>
      <c r="BM581">
        <v>-1.37</v>
      </c>
      <c r="BN581">
        <v>-2.5299999999999998</v>
      </c>
    </row>
    <row r="582" spans="2:66">
      <c r="B582">
        <v>923</v>
      </c>
      <c r="C582">
        <v>69</v>
      </c>
      <c r="D582">
        <v>0</v>
      </c>
      <c r="E582">
        <v>4</v>
      </c>
      <c r="F582">
        <v>2</v>
      </c>
      <c r="J582">
        <v>0</v>
      </c>
      <c r="K582">
        <v>7</v>
      </c>
      <c r="L582">
        <v>0</v>
      </c>
      <c r="M582" t="s">
        <v>25022</v>
      </c>
      <c r="N582">
        <v>2948</v>
      </c>
      <c r="O582" t="s">
        <v>16999</v>
      </c>
      <c r="P582" t="s">
        <v>62</v>
      </c>
      <c r="Q582">
        <v>2895251</v>
      </c>
      <c r="R582">
        <v>2896972</v>
      </c>
      <c r="S582" t="s">
        <v>17000</v>
      </c>
      <c r="T582">
        <v>574</v>
      </c>
      <c r="U582" t="s">
        <v>108</v>
      </c>
      <c r="V582">
        <v>44</v>
      </c>
      <c r="W582" t="str">
        <f>HYPERLINK("Gene2948-zp_tree_all.dnd", "Gene2948-tree")</f>
        <v>Gene2948-tree</v>
      </c>
      <c r="X582">
        <v>10</v>
      </c>
      <c r="Y582">
        <v>8</v>
      </c>
      <c r="Z582">
        <v>10</v>
      </c>
      <c r="AA582">
        <v>8</v>
      </c>
      <c r="AB582">
        <v>0.44444</v>
      </c>
      <c r="AC582" t="s">
        <v>117</v>
      </c>
      <c r="AD582" t="s">
        <v>136</v>
      </c>
      <c r="AE582" t="s">
        <v>62</v>
      </c>
      <c r="AF582" t="s">
        <v>62</v>
      </c>
      <c r="AG582">
        <v>3</v>
      </c>
      <c r="AH582">
        <v>7</v>
      </c>
      <c r="AI582">
        <v>7</v>
      </c>
      <c r="AJ582">
        <v>0.5</v>
      </c>
      <c r="AK582">
        <v>0</v>
      </c>
      <c r="AL582">
        <v>0</v>
      </c>
      <c r="AM582">
        <v>0</v>
      </c>
      <c r="AN582">
        <v>2</v>
      </c>
      <c r="AO582">
        <v>0</v>
      </c>
      <c r="AP582">
        <v>2</v>
      </c>
      <c r="AQ582">
        <v>0</v>
      </c>
      <c r="AR582">
        <v>2</v>
      </c>
      <c r="AS582">
        <v>8</v>
      </c>
      <c r="AT582">
        <v>0.2</v>
      </c>
      <c r="AU582">
        <v>15</v>
      </c>
      <c r="AV582">
        <v>11</v>
      </c>
      <c r="AW582">
        <v>47</v>
      </c>
      <c r="AX582">
        <v>11</v>
      </c>
      <c r="AY582">
        <v>31</v>
      </c>
      <c r="AZ582">
        <v>4</v>
      </c>
      <c r="BA582" t="s">
        <v>17001</v>
      </c>
      <c r="BB582" t="s">
        <v>17002</v>
      </c>
      <c r="BC582">
        <v>0.499</v>
      </c>
      <c r="BD582" t="s">
        <v>65</v>
      </c>
      <c r="BE582">
        <v>78</v>
      </c>
      <c r="BF582">
        <v>15</v>
      </c>
      <c r="BG582" t="s">
        <v>17003</v>
      </c>
      <c r="BH582" t="s">
        <v>17004</v>
      </c>
      <c r="BI582" t="s">
        <v>17005</v>
      </c>
      <c r="BJ582">
        <v>4.9919999999999999E-2</v>
      </c>
      <c r="BK582">
        <v>1</v>
      </c>
      <c r="BL582" t="s">
        <v>69</v>
      </c>
      <c r="BM582">
        <v>-1.169</v>
      </c>
      <c r="BN582">
        <v>-1.901</v>
      </c>
    </row>
    <row r="583" spans="2:66">
      <c r="B583">
        <v>926</v>
      </c>
      <c r="C583">
        <v>277</v>
      </c>
      <c r="D583">
        <v>0</v>
      </c>
      <c r="E583">
        <v>2</v>
      </c>
      <c r="F583">
        <v>0</v>
      </c>
      <c r="J583">
        <v>0</v>
      </c>
      <c r="K583">
        <v>4</v>
      </c>
      <c r="L583">
        <v>2</v>
      </c>
      <c r="M583" t="s">
        <v>25022</v>
      </c>
      <c r="N583">
        <v>2952</v>
      </c>
      <c r="O583" t="s">
        <v>17030</v>
      </c>
      <c r="P583" t="s">
        <v>62</v>
      </c>
      <c r="Q583">
        <v>2900023</v>
      </c>
      <c r="R583">
        <v>2900529</v>
      </c>
      <c r="S583" t="s">
        <v>13939</v>
      </c>
      <c r="T583">
        <v>169</v>
      </c>
      <c r="U583" t="s">
        <v>409</v>
      </c>
      <c r="V583">
        <v>45</v>
      </c>
      <c r="W583" t="str">
        <f>HYPERLINK("Gene2952-zp_tree_all.dnd", "Gene2952-tree")</f>
        <v>Gene2952-tree</v>
      </c>
      <c r="X583">
        <v>4</v>
      </c>
      <c r="Y583">
        <v>7</v>
      </c>
      <c r="Z583">
        <v>4</v>
      </c>
      <c r="AA583">
        <v>7</v>
      </c>
      <c r="AB583">
        <v>0.63636000000000004</v>
      </c>
      <c r="AC583" t="s">
        <v>61</v>
      </c>
      <c r="AD583" t="s">
        <v>152</v>
      </c>
      <c r="AE583" t="s">
        <v>62</v>
      </c>
      <c r="AF583" t="s">
        <v>62</v>
      </c>
      <c r="AG583">
        <v>3</v>
      </c>
      <c r="AH583">
        <v>6</v>
      </c>
      <c r="AI583">
        <v>12</v>
      </c>
      <c r="AJ583">
        <v>0.33333000000000002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2</v>
      </c>
      <c r="AQ583">
        <v>2</v>
      </c>
      <c r="AR583">
        <v>4</v>
      </c>
      <c r="AS583">
        <v>13</v>
      </c>
      <c r="AT583">
        <v>0.23529</v>
      </c>
      <c r="AU583">
        <v>9</v>
      </c>
      <c r="AV583">
        <v>7</v>
      </c>
      <c r="AW583">
        <v>23</v>
      </c>
      <c r="AX583">
        <v>17</v>
      </c>
      <c r="AY583">
        <v>7</v>
      </c>
      <c r="AZ583">
        <v>1</v>
      </c>
      <c r="BA583" t="s">
        <v>17031</v>
      </c>
      <c r="BB583" t="s">
        <v>17032</v>
      </c>
      <c r="BC583">
        <v>0.67800000000000005</v>
      </c>
      <c r="BD583" t="s">
        <v>65</v>
      </c>
      <c r="BE583">
        <v>30</v>
      </c>
      <c r="BF583">
        <v>18</v>
      </c>
      <c r="BG583" t="s">
        <v>17033</v>
      </c>
      <c r="BH583" t="s">
        <v>17034</v>
      </c>
      <c r="BI583" t="s">
        <v>3140</v>
      </c>
      <c r="BJ583">
        <v>0.15003</v>
      </c>
      <c r="BK583">
        <v>1</v>
      </c>
      <c r="BL583" t="s">
        <v>69</v>
      </c>
      <c r="BM583">
        <v>-1.395</v>
      </c>
      <c r="BN583">
        <v>-4.04</v>
      </c>
    </row>
    <row r="584" spans="2:66">
      <c r="B584">
        <v>927</v>
      </c>
      <c r="C584">
        <v>9</v>
      </c>
      <c r="D584">
        <v>0</v>
      </c>
      <c r="E584">
        <v>4</v>
      </c>
      <c r="F584">
        <v>0</v>
      </c>
      <c r="J584">
        <v>0</v>
      </c>
      <c r="K584">
        <v>0</v>
      </c>
      <c r="L584">
        <v>0</v>
      </c>
      <c r="M584" t="s">
        <v>25022</v>
      </c>
      <c r="N584">
        <v>2953</v>
      </c>
      <c r="O584" t="s">
        <v>17035</v>
      </c>
      <c r="P584" t="s">
        <v>62</v>
      </c>
      <c r="Q584">
        <v>2900548</v>
      </c>
      <c r="R584">
        <v>2901141</v>
      </c>
      <c r="S584" t="s">
        <v>17036</v>
      </c>
      <c r="T584">
        <v>198</v>
      </c>
      <c r="U584" t="s">
        <v>108</v>
      </c>
      <c r="V584">
        <v>44</v>
      </c>
      <c r="W584" t="str">
        <f>HYPERLINK("Gene2953-zp_tree_all.dnd", "Gene2953-tree")</f>
        <v>Gene2953-tree</v>
      </c>
      <c r="X584">
        <v>10</v>
      </c>
      <c r="Y584">
        <v>3</v>
      </c>
      <c r="Z584">
        <v>10</v>
      </c>
      <c r="AA584">
        <v>3</v>
      </c>
      <c r="AB584">
        <v>0.23077</v>
      </c>
      <c r="AC584" t="s">
        <v>117</v>
      </c>
      <c r="AD584" t="s">
        <v>324</v>
      </c>
      <c r="AE584" t="s">
        <v>62</v>
      </c>
      <c r="AF584" t="s">
        <v>62</v>
      </c>
      <c r="AG584">
        <v>0</v>
      </c>
      <c r="AH584">
        <v>0</v>
      </c>
      <c r="AI584">
        <v>4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0</v>
      </c>
      <c r="AU584">
        <v>9</v>
      </c>
      <c r="AV584">
        <v>6</v>
      </c>
      <c r="AW584">
        <v>16</v>
      </c>
      <c r="AX584">
        <v>3</v>
      </c>
      <c r="AY584">
        <v>9</v>
      </c>
      <c r="AZ584">
        <v>1</v>
      </c>
      <c r="BA584" t="s">
        <v>17037</v>
      </c>
      <c r="BB584" t="s">
        <v>17038</v>
      </c>
      <c r="BC584">
        <v>0.27900000000000003</v>
      </c>
      <c r="BD584" t="s">
        <v>65</v>
      </c>
      <c r="BE584">
        <v>25</v>
      </c>
      <c r="BF584">
        <v>4</v>
      </c>
      <c r="BG584" t="s">
        <v>17039</v>
      </c>
      <c r="BH584" t="s">
        <v>17040</v>
      </c>
      <c r="BI584" t="s">
        <v>17041</v>
      </c>
      <c r="BJ584">
        <v>3.7350000000000001E-2</v>
      </c>
      <c r="BK584">
        <v>1</v>
      </c>
      <c r="BL584" t="s">
        <v>69</v>
      </c>
      <c r="BM584">
        <v>7.8E-2</v>
      </c>
      <c r="BN584">
        <v>-1.5229999999999999</v>
      </c>
    </row>
    <row r="585" spans="2:66">
      <c r="B585">
        <v>928</v>
      </c>
      <c r="C585">
        <v>75</v>
      </c>
      <c r="D585">
        <v>0</v>
      </c>
      <c r="E585">
        <v>0</v>
      </c>
      <c r="F585">
        <v>2</v>
      </c>
      <c r="J585">
        <v>0</v>
      </c>
      <c r="K585">
        <v>0</v>
      </c>
      <c r="L585">
        <v>0</v>
      </c>
      <c r="M585" t="s">
        <v>25022</v>
      </c>
      <c r="N585">
        <v>2954</v>
      </c>
      <c r="O585" t="s">
        <v>17042</v>
      </c>
      <c r="P585" t="s">
        <v>62</v>
      </c>
      <c r="Q585">
        <v>2901157</v>
      </c>
      <c r="R585">
        <v>2901891</v>
      </c>
      <c r="S585" t="s">
        <v>17043</v>
      </c>
      <c r="T585">
        <v>245</v>
      </c>
      <c r="U585" t="s">
        <v>108</v>
      </c>
      <c r="V585">
        <v>44</v>
      </c>
      <c r="W585" t="str">
        <f>HYPERLINK("Gene2954-zp_tree_all.dnd", "Gene2954-tree")</f>
        <v>Gene2954-tree</v>
      </c>
      <c r="X585">
        <v>9</v>
      </c>
      <c r="Y585">
        <v>2</v>
      </c>
      <c r="Z585">
        <v>9</v>
      </c>
      <c r="AA585">
        <v>2</v>
      </c>
      <c r="AB585">
        <v>0.18182000000000001</v>
      </c>
      <c r="AC585" t="s">
        <v>135</v>
      </c>
      <c r="AD585" t="s">
        <v>81</v>
      </c>
      <c r="AE585" t="s">
        <v>62</v>
      </c>
      <c r="AF585" t="s">
        <v>62</v>
      </c>
      <c r="AG585">
        <v>0</v>
      </c>
      <c r="AH585">
        <v>0</v>
      </c>
      <c r="AI585">
        <v>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</v>
      </c>
      <c r="AT585">
        <v>0</v>
      </c>
      <c r="AU585">
        <v>11</v>
      </c>
      <c r="AV585">
        <v>6</v>
      </c>
      <c r="AW585">
        <v>32</v>
      </c>
      <c r="AX585">
        <v>3</v>
      </c>
      <c r="AY585">
        <v>9</v>
      </c>
      <c r="AZ585">
        <v>0</v>
      </c>
      <c r="BA585" t="s">
        <v>17044</v>
      </c>
      <c r="BB585" t="s">
        <v>193</v>
      </c>
      <c r="BC585">
        <v>0.53400000000000003</v>
      </c>
      <c r="BD585" t="s">
        <v>65</v>
      </c>
      <c r="BE585">
        <v>41</v>
      </c>
      <c r="BF585">
        <v>3</v>
      </c>
      <c r="BG585" t="s">
        <v>17045</v>
      </c>
      <c r="BH585" t="s">
        <v>17046</v>
      </c>
      <c r="BI585" t="s">
        <v>17047</v>
      </c>
      <c r="BJ585">
        <v>1.907E-2</v>
      </c>
      <c r="BK585">
        <v>1</v>
      </c>
      <c r="BL585" t="s">
        <v>69</v>
      </c>
      <c r="BM585">
        <v>-0.73499999999999999</v>
      </c>
      <c r="BN585">
        <v>-1.8720000000000001</v>
      </c>
    </row>
    <row r="586" spans="2:66">
      <c r="B586">
        <v>929</v>
      </c>
      <c r="C586">
        <v>19</v>
      </c>
      <c r="D586">
        <v>0</v>
      </c>
      <c r="E586">
        <v>4</v>
      </c>
      <c r="F586">
        <v>2</v>
      </c>
      <c r="J586">
        <v>0</v>
      </c>
      <c r="K586">
        <v>4</v>
      </c>
      <c r="L586">
        <v>2</v>
      </c>
      <c r="M586" t="s">
        <v>25022</v>
      </c>
      <c r="N586">
        <v>2955</v>
      </c>
      <c r="O586" t="s">
        <v>17048</v>
      </c>
      <c r="P586" t="s">
        <v>62</v>
      </c>
      <c r="Q586">
        <v>2902005</v>
      </c>
      <c r="R586">
        <v>2903102</v>
      </c>
      <c r="S586" t="s">
        <v>17049</v>
      </c>
      <c r="T586">
        <v>366</v>
      </c>
      <c r="U586" t="s">
        <v>108</v>
      </c>
      <c r="V586">
        <v>44</v>
      </c>
      <c r="W586" t="str">
        <f>HYPERLINK("Gene2955-zp_tree_all.dnd", "Gene2955-tree")</f>
        <v>Gene2955-tree</v>
      </c>
      <c r="X586">
        <v>7</v>
      </c>
      <c r="Y586">
        <v>6</v>
      </c>
      <c r="Z586">
        <v>7</v>
      </c>
      <c r="AA586">
        <v>6</v>
      </c>
      <c r="AB586">
        <v>0.46154000000000001</v>
      </c>
      <c r="AC586" t="s">
        <v>152</v>
      </c>
      <c r="AD586" t="s">
        <v>90</v>
      </c>
      <c r="AE586" t="s">
        <v>62</v>
      </c>
      <c r="AF586" t="s">
        <v>62</v>
      </c>
      <c r="AG586">
        <v>3</v>
      </c>
      <c r="AH586">
        <v>6</v>
      </c>
      <c r="AI586">
        <v>9</v>
      </c>
      <c r="AJ586">
        <v>0.4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2</v>
      </c>
      <c r="AQ586">
        <v>2</v>
      </c>
      <c r="AR586">
        <v>4</v>
      </c>
      <c r="AS586">
        <v>8</v>
      </c>
      <c r="AT586">
        <v>0.33333000000000002</v>
      </c>
      <c r="AU586">
        <v>13</v>
      </c>
      <c r="AV586">
        <v>8</v>
      </c>
      <c r="AW586">
        <v>58</v>
      </c>
      <c r="AX586">
        <v>12</v>
      </c>
      <c r="AY586">
        <v>29</v>
      </c>
      <c r="AZ586">
        <v>3</v>
      </c>
      <c r="BA586" t="s">
        <v>17050</v>
      </c>
      <c r="BB586" t="s">
        <v>17051</v>
      </c>
      <c r="BC586">
        <v>0.45300000000000001</v>
      </c>
      <c r="BD586" t="s">
        <v>65</v>
      </c>
      <c r="BE586">
        <v>87</v>
      </c>
      <c r="BF586">
        <v>15</v>
      </c>
      <c r="BG586" t="s">
        <v>17052</v>
      </c>
      <c r="BH586" t="s">
        <v>17053</v>
      </c>
      <c r="BI586" t="s">
        <v>17054</v>
      </c>
      <c r="BJ586">
        <v>6.1530000000000001E-2</v>
      </c>
      <c r="BK586">
        <v>1</v>
      </c>
      <c r="BL586" t="s">
        <v>69</v>
      </c>
      <c r="BM586">
        <v>-1.22</v>
      </c>
      <c r="BN586">
        <v>-3.1459999999999999</v>
      </c>
    </row>
    <row r="587" spans="2:66">
      <c r="B587">
        <v>930</v>
      </c>
      <c r="C587">
        <v>80</v>
      </c>
      <c r="D587">
        <v>0</v>
      </c>
      <c r="E587">
        <v>7</v>
      </c>
      <c r="F587">
        <v>3</v>
      </c>
      <c r="J587">
        <v>0</v>
      </c>
      <c r="K587">
        <v>0</v>
      </c>
      <c r="L587">
        <v>0</v>
      </c>
      <c r="M587" t="s">
        <v>25022</v>
      </c>
      <c r="N587">
        <v>2956</v>
      </c>
      <c r="O587" t="s">
        <v>17055</v>
      </c>
      <c r="P587" t="s">
        <v>62</v>
      </c>
      <c r="Q587">
        <v>2903220</v>
      </c>
      <c r="R587">
        <v>2904035</v>
      </c>
      <c r="S587" t="s">
        <v>16003</v>
      </c>
      <c r="T587">
        <v>272</v>
      </c>
      <c r="U587" t="s">
        <v>108</v>
      </c>
      <c r="V587">
        <v>44</v>
      </c>
      <c r="W587" t="str">
        <f>HYPERLINK("Gene2956-zp_tree_all.dnd", "Gene2956-tree")</f>
        <v>Gene2956-tree</v>
      </c>
      <c r="X587">
        <v>13</v>
      </c>
      <c r="Y587">
        <v>0</v>
      </c>
      <c r="Z587">
        <v>13</v>
      </c>
      <c r="AA587">
        <v>0</v>
      </c>
      <c r="AB587">
        <v>0</v>
      </c>
      <c r="AC587" t="s">
        <v>507</v>
      </c>
      <c r="AD587" t="s">
        <v>62</v>
      </c>
      <c r="AE587" t="s">
        <v>62</v>
      </c>
      <c r="AF587" t="s">
        <v>62</v>
      </c>
      <c r="AG587">
        <v>0</v>
      </c>
      <c r="AH587">
        <v>0</v>
      </c>
      <c r="AI587">
        <v>4</v>
      </c>
      <c r="AJ587">
        <v>0</v>
      </c>
      <c r="AK587">
        <v>0</v>
      </c>
      <c r="AL587">
        <v>0</v>
      </c>
      <c r="AM587">
        <v>0</v>
      </c>
      <c r="AN587">
        <v>4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10</v>
      </c>
      <c r="AV587">
        <v>10</v>
      </c>
      <c r="AW587">
        <v>33</v>
      </c>
      <c r="AX587">
        <v>0</v>
      </c>
      <c r="AY587">
        <v>41</v>
      </c>
      <c r="AZ587">
        <v>4</v>
      </c>
      <c r="BA587" t="s">
        <v>193</v>
      </c>
      <c r="BB587" t="s">
        <v>17056</v>
      </c>
      <c r="BC587">
        <v>0.48099999999999998</v>
      </c>
      <c r="BD587" t="s">
        <v>65</v>
      </c>
      <c r="BE587">
        <v>74</v>
      </c>
      <c r="BF587">
        <v>4</v>
      </c>
      <c r="BG587" t="s">
        <v>17057</v>
      </c>
      <c r="BH587" t="s">
        <v>17058</v>
      </c>
      <c r="BI587" t="s">
        <v>17059</v>
      </c>
      <c r="BJ587">
        <v>1.9560000000000001E-2</v>
      </c>
      <c r="BK587">
        <v>1</v>
      </c>
      <c r="BL587" t="s">
        <v>69</v>
      </c>
      <c r="BM587">
        <v>1.204</v>
      </c>
      <c r="BN587">
        <v>0.78500000000000003</v>
      </c>
    </row>
    <row r="588" spans="2:66">
      <c r="B588">
        <v>931</v>
      </c>
      <c r="C588">
        <v>177</v>
      </c>
      <c r="D588">
        <v>0</v>
      </c>
      <c r="E588">
        <v>12</v>
      </c>
      <c r="F588">
        <v>0</v>
      </c>
      <c r="J588">
        <v>0</v>
      </c>
      <c r="K588">
        <v>2</v>
      </c>
      <c r="L588">
        <v>1</v>
      </c>
      <c r="M588" t="s">
        <v>25022</v>
      </c>
      <c r="N588">
        <v>2957</v>
      </c>
      <c r="O588" t="s">
        <v>17060</v>
      </c>
      <c r="P588" t="s">
        <v>62</v>
      </c>
      <c r="Q588">
        <v>2904046</v>
      </c>
      <c r="R588">
        <v>2904483</v>
      </c>
      <c r="S588" t="s">
        <v>17061</v>
      </c>
      <c r="T588">
        <v>146</v>
      </c>
      <c r="U588" t="s">
        <v>59</v>
      </c>
      <c r="V588">
        <v>49</v>
      </c>
      <c r="W588" t="str">
        <f>HYPERLINK("Gene2957-zp_tree_all.dnd", "Gene2957-tree")</f>
        <v>Gene2957-tree</v>
      </c>
      <c r="X588">
        <v>12</v>
      </c>
      <c r="Y588">
        <v>1</v>
      </c>
      <c r="Z588">
        <v>12</v>
      </c>
      <c r="AA588">
        <v>1</v>
      </c>
      <c r="AB588">
        <v>7.6920000000000002E-2</v>
      </c>
      <c r="AC588" t="s">
        <v>109</v>
      </c>
      <c r="AD588" t="s">
        <v>175</v>
      </c>
      <c r="AE588" t="s">
        <v>62</v>
      </c>
      <c r="AF588" t="s">
        <v>62</v>
      </c>
      <c r="AG588">
        <v>1</v>
      </c>
      <c r="AH588">
        <v>3</v>
      </c>
      <c r="AI588">
        <v>1</v>
      </c>
      <c r="AJ588">
        <v>0.75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9</v>
      </c>
      <c r="AV588">
        <v>6</v>
      </c>
      <c r="AW588">
        <v>12</v>
      </c>
      <c r="AX588">
        <v>1</v>
      </c>
      <c r="AY588">
        <v>15</v>
      </c>
      <c r="AZ588">
        <v>3</v>
      </c>
      <c r="BA588" t="s">
        <v>17062</v>
      </c>
      <c r="BB588" t="s">
        <v>17063</v>
      </c>
      <c r="BC588">
        <v>0.35299999999999998</v>
      </c>
      <c r="BD588" t="s">
        <v>65</v>
      </c>
      <c r="BE588">
        <v>27</v>
      </c>
      <c r="BF588">
        <v>4</v>
      </c>
      <c r="BG588" t="s">
        <v>17064</v>
      </c>
      <c r="BH588" t="s">
        <v>17065</v>
      </c>
      <c r="BI588" t="s">
        <v>17066</v>
      </c>
      <c r="BJ588">
        <v>3.6179999999999997E-2</v>
      </c>
      <c r="BK588">
        <v>1</v>
      </c>
      <c r="BL588" t="s">
        <v>69</v>
      </c>
      <c r="BM588">
        <v>-1.4079999999999999</v>
      </c>
      <c r="BN588">
        <v>-0.81699999999999995</v>
      </c>
    </row>
    <row r="589" spans="2:66">
      <c r="B589">
        <v>932</v>
      </c>
      <c r="C589">
        <v>9</v>
      </c>
      <c r="D589">
        <v>0</v>
      </c>
      <c r="E589">
        <v>5</v>
      </c>
      <c r="F589">
        <v>0</v>
      </c>
      <c r="J589">
        <v>0</v>
      </c>
      <c r="K589">
        <v>0</v>
      </c>
      <c r="L589">
        <v>2</v>
      </c>
      <c r="M589" t="s">
        <v>25022</v>
      </c>
      <c r="N589">
        <v>2959</v>
      </c>
      <c r="O589" t="s">
        <v>17067</v>
      </c>
      <c r="P589" t="s">
        <v>62</v>
      </c>
      <c r="Q589">
        <v>2905070</v>
      </c>
      <c r="R589">
        <v>2905510</v>
      </c>
      <c r="S589" t="s">
        <v>116</v>
      </c>
      <c r="T589">
        <v>147</v>
      </c>
      <c r="U589" t="s">
        <v>108</v>
      </c>
      <c r="V589">
        <v>44</v>
      </c>
      <c r="W589" t="str">
        <f>HYPERLINK("Gene2959-zp_tree_all.dnd", "Gene2959-tree")</f>
        <v>Gene2959-tree</v>
      </c>
      <c r="X589">
        <v>8</v>
      </c>
      <c r="Y589">
        <v>6</v>
      </c>
      <c r="Z589">
        <v>8</v>
      </c>
      <c r="AA589">
        <v>6</v>
      </c>
      <c r="AB589">
        <v>0.42857000000000001</v>
      </c>
      <c r="AC589" t="s">
        <v>136</v>
      </c>
      <c r="AD589" t="s">
        <v>90</v>
      </c>
      <c r="AE589" t="s">
        <v>62</v>
      </c>
      <c r="AF589" t="s">
        <v>62</v>
      </c>
      <c r="AG589">
        <v>1</v>
      </c>
      <c r="AH589">
        <v>2</v>
      </c>
      <c r="AI589">
        <v>11</v>
      </c>
      <c r="AJ589">
        <v>0.15384999999999999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10</v>
      </c>
      <c r="AT589">
        <v>0</v>
      </c>
      <c r="AU589">
        <v>11</v>
      </c>
      <c r="AV589">
        <v>7</v>
      </c>
      <c r="AW589">
        <v>12</v>
      </c>
      <c r="AX589">
        <v>10</v>
      </c>
      <c r="AY589">
        <v>8</v>
      </c>
      <c r="AZ589">
        <v>3</v>
      </c>
      <c r="BA589" t="s">
        <v>17068</v>
      </c>
      <c r="BB589" t="s">
        <v>17069</v>
      </c>
      <c r="BC589">
        <v>0.69899999999999995</v>
      </c>
      <c r="BD589" t="s">
        <v>65</v>
      </c>
      <c r="BE589">
        <v>20</v>
      </c>
      <c r="BF589">
        <v>13</v>
      </c>
      <c r="BG589" t="s">
        <v>17070</v>
      </c>
      <c r="BH589" t="s">
        <v>17071</v>
      </c>
      <c r="BI589" t="s">
        <v>17072</v>
      </c>
      <c r="BJ589">
        <v>0.15340999999999999</v>
      </c>
      <c r="BK589">
        <v>1</v>
      </c>
      <c r="BL589" t="s">
        <v>69</v>
      </c>
      <c r="BM589">
        <v>-0.875</v>
      </c>
      <c r="BN589">
        <v>-1.196</v>
      </c>
    </row>
    <row r="590" spans="2:66">
      <c r="B590">
        <v>935</v>
      </c>
      <c r="C590">
        <v>196</v>
      </c>
      <c r="D590">
        <v>0</v>
      </c>
      <c r="E590">
        <v>3</v>
      </c>
      <c r="F590">
        <v>0</v>
      </c>
      <c r="J590">
        <v>0</v>
      </c>
      <c r="K590">
        <v>2</v>
      </c>
      <c r="L590">
        <v>0</v>
      </c>
      <c r="M590" t="s">
        <v>25022</v>
      </c>
      <c r="N590">
        <v>2960</v>
      </c>
      <c r="O590" t="s">
        <v>17073</v>
      </c>
      <c r="P590" t="s">
        <v>62</v>
      </c>
      <c r="Q590">
        <v>2905574</v>
      </c>
      <c r="R590">
        <v>2906332</v>
      </c>
      <c r="S590" t="s">
        <v>17074</v>
      </c>
      <c r="T590">
        <v>253</v>
      </c>
      <c r="U590" t="s">
        <v>108</v>
      </c>
      <c r="V590">
        <v>44</v>
      </c>
      <c r="W590" t="str">
        <f>HYPERLINK("Gene2960-zp_tree_all.dnd", "Gene2960-tree")</f>
        <v>Gene2960-tree</v>
      </c>
      <c r="X590">
        <v>10</v>
      </c>
      <c r="Y590">
        <v>2</v>
      </c>
      <c r="Z590">
        <v>10</v>
      </c>
      <c r="AA590">
        <v>2</v>
      </c>
      <c r="AB590">
        <v>0.16667000000000001</v>
      </c>
      <c r="AC590" t="s">
        <v>117</v>
      </c>
      <c r="AD590" t="s">
        <v>81</v>
      </c>
      <c r="AE590" t="s">
        <v>62</v>
      </c>
      <c r="AF590" t="s">
        <v>62</v>
      </c>
      <c r="AG590">
        <v>1</v>
      </c>
      <c r="AH590">
        <v>2</v>
      </c>
      <c r="AI590">
        <v>1</v>
      </c>
      <c r="AJ590">
        <v>0.66666999999999998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0</v>
      </c>
      <c r="AU590">
        <v>11</v>
      </c>
      <c r="AV590">
        <v>8</v>
      </c>
      <c r="AW590">
        <v>20</v>
      </c>
      <c r="AX590">
        <v>3</v>
      </c>
      <c r="AY590">
        <v>16</v>
      </c>
      <c r="AZ590">
        <v>2</v>
      </c>
      <c r="BA590" t="s">
        <v>17075</v>
      </c>
      <c r="BB590" t="s">
        <v>17076</v>
      </c>
      <c r="BC590">
        <v>6.0999999999999999E-2</v>
      </c>
      <c r="BD590" t="s">
        <v>65</v>
      </c>
      <c r="BE590">
        <v>36</v>
      </c>
      <c r="BF590">
        <v>5</v>
      </c>
      <c r="BG590" t="s">
        <v>17077</v>
      </c>
      <c r="BH590" t="s">
        <v>17078</v>
      </c>
      <c r="BI590" t="s">
        <v>17079</v>
      </c>
      <c r="BJ590">
        <v>3.4410000000000003E-2</v>
      </c>
      <c r="BK590">
        <v>1</v>
      </c>
      <c r="BL590" t="s">
        <v>69</v>
      </c>
      <c r="BM590">
        <v>3.5999999999999997E-2</v>
      </c>
      <c r="BN590">
        <v>-0.112</v>
      </c>
    </row>
    <row r="591" spans="2:66">
      <c r="B591">
        <v>936</v>
      </c>
      <c r="C591">
        <v>9</v>
      </c>
      <c r="D591">
        <v>0</v>
      </c>
      <c r="E591">
        <v>6</v>
      </c>
      <c r="F591">
        <v>0</v>
      </c>
      <c r="J591">
        <v>0</v>
      </c>
      <c r="K591">
        <v>0</v>
      </c>
      <c r="L591">
        <v>0</v>
      </c>
      <c r="M591" t="s">
        <v>25022</v>
      </c>
      <c r="N591">
        <v>2961</v>
      </c>
      <c r="O591" t="s">
        <v>17080</v>
      </c>
      <c r="P591" t="s">
        <v>62</v>
      </c>
      <c r="Q591">
        <v>2906338</v>
      </c>
      <c r="R591">
        <v>2908095</v>
      </c>
      <c r="S591" t="s">
        <v>17081</v>
      </c>
      <c r="T591">
        <v>586</v>
      </c>
      <c r="U591" t="s">
        <v>59</v>
      </c>
      <c r="V591">
        <v>49</v>
      </c>
      <c r="W591" t="str">
        <f>HYPERLINK("Gene2961-zp_tree_all.dnd", "Gene2961-tree")</f>
        <v>Gene2961-tree</v>
      </c>
      <c r="X591">
        <v>17</v>
      </c>
      <c r="Y591">
        <v>3</v>
      </c>
      <c r="Z591">
        <v>17</v>
      </c>
      <c r="AA591">
        <v>3</v>
      </c>
      <c r="AB591">
        <v>0.15</v>
      </c>
      <c r="AC591" t="s">
        <v>266</v>
      </c>
      <c r="AD591" t="s">
        <v>324</v>
      </c>
      <c r="AE591" t="s">
        <v>62</v>
      </c>
      <c r="AF591" t="s">
        <v>62</v>
      </c>
      <c r="AG591">
        <v>0</v>
      </c>
      <c r="AH591">
        <v>0</v>
      </c>
      <c r="AI591">
        <v>7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5</v>
      </c>
      <c r="AT591">
        <v>0</v>
      </c>
      <c r="AU591">
        <v>18</v>
      </c>
      <c r="AV591">
        <v>16</v>
      </c>
      <c r="AW591">
        <v>74</v>
      </c>
      <c r="AX591">
        <v>5</v>
      </c>
      <c r="AY591">
        <v>130</v>
      </c>
      <c r="AZ591">
        <v>2</v>
      </c>
      <c r="BA591" t="s">
        <v>17082</v>
      </c>
      <c r="BB591" t="s">
        <v>17083</v>
      </c>
      <c r="BC591">
        <v>0.40699999999999997</v>
      </c>
      <c r="BD591" t="s">
        <v>65</v>
      </c>
      <c r="BE591">
        <v>204</v>
      </c>
      <c r="BF591">
        <v>7</v>
      </c>
      <c r="BG591" t="s">
        <v>17084</v>
      </c>
      <c r="BH591" t="s">
        <v>17085</v>
      </c>
      <c r="BI591" t="s">
        <v>17086</v>
      </c>
      <c r="BJ591">
        <v>7.2899999999999996E-3</v>
      </c>
      <c r="BK591">
        <v>1</v>
      </c>
      <c r="BL591" t="s">
        <v>69</v>
      </c>
      <c r="BM591">
        <v>-1.0960000000000001</v>
      </c>
      <c r="BN591">
        <v>-0.76200000000000001</v>
      </c>
    </row>
    <row r="592" spans="2:66">
      <c r="B592">
        <v>938</v>
      </c>
      <c r="C592">
        <v>24</v>
      </c>
      <c r="D592">
        <v>0</v>
      </c>
      <c r="E592">
        <v>2</v>
      </c>
      <c r="F592">
        <v>2</v>
      </c>
      <c r="J592">
        <v>0</v>
      </c>
      <c r="K592">
        <v>0</v>
      </c>
      <c r="L592">
        <v>0</v>
      </c>
      <c r="M592" t="s">
        <v>25022</v>
      </c>
      <c r="N592">
        <v>2962</v>
      </c>
      <c r="O592" t="s">
        <v>17087</v>
      </c>
      <c r="P592" t="s">
        <v>62</v>
      </c>
      <c r="Q592">
        <v>2908132</v>
      </c>
      <c r="R592">
        <v>2908737</v>
      </c>
      <c r="S592" t="s">
        <v>17088</v>
      </c>
      <c r="T592">
        <v>202</v>
      </c>
      <c r="U592" t="s">
        <v>59</v>
      </c>
      <c r="V592">
        <v>49</v>
      </c>
      <c r="W592" t="str">
        <f>HYPERLINK("Gene2962-zp_tree_all.dnd", "Gene2962-tree")</f>
        <v>Gene2962-tree</v>
      </c>
      <c r="X592">
        <v>31</v>
      </c>
      <c r="Y592">
        <v>1</v>
      </c>
      <c r="Z592">
        <v>14</v>
      </c>
      <c r="AA592">
        <v>1</v>
      </c>
      <c r="AB592">
        <v>6.6669999999999993E-2</v>
      </c>
      <c r="AC592" t="s">
        <v>4627</v>
      </c>
      <c r="AD592" t="s">
        <v>175</v>
      </c>
      <c r="AE592" t="s">
        <v>62</v>
      </c>
      <c r="AF592" t="s">
        <v>62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8</v>
      </c>
      <c r="AV592">
        <v>12</v>
      </c>
      <c r="AW592">
        <v>10</v>
      </c>
      <c r="AX592">
        <v>1</v>
      </c>
      <c r="AY592">
        <v>23</v>
      </c>
      <c r="AZ592">
        <v>0</v>
      </c>
      <c r="BA592" t="s">
        <v>17089</v>
      </c>
      <c r="BB592" t="s">
        <v>193</v>
      </c>
      <c r="BC592">
        <v>0.36399999999999999</v>
      </c>
      <c r="BD592" t="s">
        <v>65</v>
      </c>
      <c r="BE592">
        <v>33</v>
      </c>
      <c r="BF592">
        <v>1</v>
      </c>
      <c r="BG592" t="s">
        <v>17090</v>
      </c>
      <c r="BH592" t="s">
        <v>17091</v>
      </c>
      <c r="BI592" t="s">
        <v>17092</v>
      </c>
      <c r="BJ592">
        <v>4.6800000000000001E-3</v>
      </c>
      <c r="BK592">
        <v>1</v>
      </c>
      <c r="BL592" t="s">
        <v>69</v>
      </c>
      <c r="BM592">
        <v>0.129</v>
      </c>
      <c r="BN592">
        <v>8.7999999999999995E-2</v>
      </c>
    </row>
    <row r="593" spans="2:66">
      <c r="B593">
        <v>940</v>
      </c>
      <c r="C593">
        <v>230</v>
      </c>
      <c r="D593">
        <v>0</v>
      </c>
      <c r="E593">
        <v>6</v>
      </c>
      <c r="F593">
        <v>0</v>
      </c>
      <c r="J593">
        <v>0</v>
      </c>
      <c r="K593">
        <v>0</v>
      </c>
      <c r="L593">
        <v>0</v>
      </c>
      <c r="M593" t="s">
        <v>25022</v>
      </c>
      <c r="N593">
        <v>2964</v>
      </c>
      <c r="O593" t="s">
        <v>17098</v>
      </c>
      <c r="P593" t="s">
        <v>62</v>
      </c>
      <c r="Q593">
        <v>2909523</v>
      </c>
      <c r="R593">
        <v>2910746</v>
      </c>
      <c r="S593" t="s">
        <v>17099</v>
      </c>
      <c r="T593">
        <v>408</v>
      </c>
      <c r="U593" t="s">
        <v>108</v>
      </c>
      <c r="V593">
        <v>44</v>
      </c>
      <c r="W593" t="str">
        <f>HYPERLINK("Gene2964-zp_tree_all.dnd", "Gene2964-tree")</f>
        <v>Gene2964-tree</v>
      </c>
      <c r="X593">
        <v>25</v>
      </c>
      <c r="Y593">
        <v>8</v>
      </c>
      <c r="Z593">
        <v>7</v>
      </c>
      <c r="AA593">
        <v>8</v>
      </c>
      <c r="AB593">
        <v>0.53332999999999997</v>
      </c>
      <c r="AC593" t="s">
        <v>2683</v>
      </c>
      <c r="AD593" t="s">
        <v>136</v>
      </c>
      <c r="AE593" t="s">
        <v>62</v>
      </c>
      <c r="AF593" t="s">
        <v>62</v>
      </c>
      <c r="AG593">
        <v>0</v>
      </c>
      <c r="AH593">
        <v>0</v>
      </c>
      <c r="AI593">
        <v>12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10</v>
      </c>
      <c r="AT593">
        <v>0</v>
      </c>
      <c r="AU593">
        <v>13</v>
      </c>
      <c r="AV593">
        <v>9</v>
      </c>
      <c r="AW593">
        <v>34</v>
      </c>
      <c r="AX593">
        <v>9</v>
      </c>
      <c r="AY593">
        <v>13</v>
      </c>
      <c r="AZ593">
        <v>3</v>
      </c>
      <c r="BA593" t="s">
        <v>17100</v>
      </c>
      <c r="BB593" t="s">
        <v>17101</v>
      </c>
      <c r="BC593">
        <v>0.12</v>
      </c>
      <c r="BD593" t="s">
        <v>65</v>
      </c>
      <c r="BE593">
        <v>47</v>
      </c>
      <c r="BF593">
        <v>12</v>
      </c>
      <c r="BG593" t="s">
        <v>17102</v>
      </c>
      <c r="BH593" t="s">
        <v>17103</v>
      </c>
      <c r="BI593" t="s">
        <v>17104</v>
      </c>
      <c r="BJ593">
        <v>7.782E-2</v>
      </c>
      <c r="BK593">
        <v>1</v>
      </c>
      <c r="BL593" t="s">
        <v>69</v>
      </c>
      <c r="BM593">
        <v>-1.359</v>
      </c>
      <c r="BN593">
        <v>-2.5129999999999999</v>
      </c>
    </row>
    <row r="594" spans="2:66">
      <c r="B594">
        <v>943</v>
      </c>
      <c r="C594">
        <v>240</v>
      </c>
      <c r="D594">
        <v>0</v>
      </c>
      <c r="E594">
        <v>6</v>
      </c>
      <c r="F594">
        <v>0</v>
      </c>
      <c r="J594">
        <v>0</v>
      </c>
      <c r="K594">
        <v>0</v>
      </c>
      <c r="L594">
        <v>0</v>
      </c>
      <c r="M594" t="s">
        <v>25022</v>
      </c>
      <c r="N594">
        <v>2965</v>
      </c>
      <c r="O594" t="s">
        <v>17105</v>
      </c>
      <c r="P594" t="s">
        <v>62</v>
      </c>
      <c r="Q594">
        <v>2909523</v>
      </c>
      <c r="R594">
        <v>2910011</v>
      </c>
      <c r="S594" t="s">
        <v>17106</v>
      </c>
      <c r="T594">
        <v>163</v>
      </c>
      <c r="U594" t="s">
        <v>108</v>
      </c>
      <c r="V594">
        <v>44</v>
      </c>
      <c r="W594" t="str">
        <f>HYPERLINK("Gene2965-zp_tree_all.dnd", "Gene2965-tree")</f>
        <v>Gene2965-tree</v>
      </c>
      <c r="X594">
        <v>9</v>
      </c>
      <c r="Y594">
        <v>1</v>
      </c>
      <c r="Z594">
        <v>9</v>
      </c>
      <c r="AA594">
        <v>1</v>
      </c>
      <c r="AB594">
        <v>0.1</v>
      </c>
      <c r="AC594" t="s">
        <v>135</v>
      </c>
      <c r="AD594" t="s">
        <v>175</v>
      </c>
      <c r="AE594" t="s">
        <v>62</v>
      </c>
      <c r="AF594" t="s">
        <v>62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9</v>
      </c>
      <c r="AV594">
        <v>3</v>
      </c>
      <c r="AW594">
        <v>17</v>
      </c>
      <c r="AX594">
        <v>1</v>
      </c>
      <c r="AY594">
        <v>3</v>
      </c>
      <c r="AZ594">
        <v>0</v>
      </c>
      <c r="BA594" t="s">
        <v>17107</v>
      </c>
      <c r="BB594" t="s">
        <v>193</v>
      </c>
      <c r="BC594">
        <v>0.36199999999999999</v>
      </c>
      <c r="BD594" t="s">
        <v>65</v>
      </c>
      <c r="BE594">
        <v>20</v>
      </c>
      <c r="BF594">
        <v>1</v>
      </c>
      <c r="BG594" t="s">
        <v>17108</v>
      </c>
      <c r="BH594" t="s">
        <v>17109</v>
      </c>
      <c r="BI594" t="s">
        <v>17110</v>
      </c>
      <c r="BJ594">
        <v>1.226E-2</v>
      </c>
      <c r="BK594">
        <v>1</v>
      </c>
      <c r="BL594" t="s">
        <v>69</v>
      </c>
      <c r="BM594">
        <v>-0.86199999999999999</v>
      </c>
      <c r="BN594">
        <v>-2.4180000000000001</v>
      </c>
    </row>
    <row r="595" spans="2:66">
      <c r="B595">
        <v>944</v>
      </c>
      <c r="C595">
        <v>95</v>
      </c>
      <c r="D595">
        <v>0</v>
      </c>
      <c r="E595">
        <v>3</v>
      </c>
      <c r="F595">
        <v>0</v>
      </c>
      <c r="J595">
        <v>0</v>
      </c>
      <c r="K595">
        <v>0</v>
      </c>
      <c r="L595">
        <v>0</v>
      </c>
      <c r="M595" t="s">
        <v>25022</v>
      </c>
      <c r="N595">
        <v>2966</v>
      </c>
      <c r="O595" t="s">
        <v>17111</v>
      </c>
      <c r="P595" t="s">
        <v>62</v>
      </c>
      <c r="Q595">
        <v>2913027</v>
      </c>
      <c r="R595">
        <v>2913338</v>
      </c>
      <c r="S595" t="s">
        <v>17112</v>
      </c>
      <c r="T595">
        <v>104</v>
      </c>
      <c r="U595" t="s">
        <v>125</v>
      </c>
      <c r="V595">
        <v>48</v>
      </c>
      <c r="W595" t="str">
        <f>HYPERLINK("Gene2966-zp_tree_all.dnd", "Gene2966-tree")</f>
        <v>Gene2966-tree</v>
      </c>
      <c r="X595">
        <v>7</v>
      </c>
      <c r="Y595">
        <v>0</v>
      </c>
      <c r="Z595">
        <v>7</v>
      </c>
      <c r="AA595">
        <v>0</v>
      </c>
      <c r="AB595">
        <v>0</v>
      </c>
      <c r="AC595" t="s">
        <v>152</v>
      </c>
      <c r="AD595" t="s">
        <v>62</v>
      </c>
      <c r="AE595" t="s">
        <v>62</v>
      </c>
      <c r="AF595" t="s">
        <v>62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4</v>
      </c>
      <c r="AV595">
        <v>3</v>
      </c>
      <c r="AW595">
        <v>10</v>
      </c>
      <c r="AX595">
        <v>0</v>
      </c>
      <c r="AY595">
        <v>10</v>
      </c>
      <c r="AZ595">
        <v>0</v>
      </c>
      <c r="BA595" t="s">
        <v>193</v>
      </c>
      <c r="BB595" t="s">
        <v>193</v>
      </c>
      <c r="BC595">
        <v>0</v>
      </c>
      <c r="BD595" t="s">
        <v>65</v>
      </c>
      <c r="BE595">
        <v>20</v>
      </c>
      <c r="BF595">
        <v>0</v>
      </c>
      <c r="BG595" t="s">
        <v>17113</v>
      </c>
      <c r="BH595" t="s">
        <v>17114</v>
      </c>
      <c r="BI595" t="s">
        <v>193</v>
      </c>
      <c r="BJ595">
        <v>0</v>
      </c>
      <c r="BK595">
        <v>1</v>
      </c>
      <c r="BL595" t="s">
        <v>69</v>
      </c>
      <c r="BM595">
        <v>-1.6319999999999999</v>
      </c>
      <c r="BN595">
        <v>5.6000000000000001E-2</v>
      </c>
    </row>
    <row r="596" spans="2:66">
      <c r="B596">
        <v>946</v>
      </c>
      <c r="C596">
        <v>122</v>
      </c>
      <c r="D596">
        <v>0</v>
      </c>
      <c r="E596">
        <v>0</v>
      </c>
      <c r="F596">
        <v>4</v>
      </c>
      <c r="J596">
        <v>0</v>
      </c>
      <c r="K596">
        <v>5</v>
      </c>
      <c r="L596">
        <v>0</v>
      </c>
      <c r="M596" t="s">
        <v>25022</v>
      </c>
      <c r="N596">
        <v>2968</v>
      </c>
      <c r="O596" t="s">
        <v>17115</v>
      </c>
      <c r="P596" t="s">
        <v>62</v>
      </c>
      <c r="Q596">
        <v>2913664</v>
      </c>
      <c r="R596">
        <v>2915148</v>
      </c>
      <c r="S596" t="s">
        <v>17116</v>
      </c>
      <c r="T596">
        <v>495</v>
      </c>
      <c r="U596" t="s">
        <v>108</v>
      </c>
      <c r="V596">
        <v>44</v>
      </c>
      <c r="W596" t="str">
        <f>HYPERLINK("Gene2968-zp_tree_all.dnd", "Gene2968-tree")</f>
        <v>Gene2968-tree</v>
      </c>
      <c r="X596">
        <v>5</v>
      </c>
      <c r="Y596">
        <v>10</v>
      </c>
      <c r="Z596">
        <v>5</v>
      </c>
      <c r="AA596">
        <v>10</v>
      </c>
      <c r="AB596">
        <v>0.66666999999999998</v>
      </c>
      <c r="AC596" t="s">
        <v>199</v>
      </c>
      <c r="AD596" t="s">
        <v>117</v>
      </c>
      <c r="AE596" t="s">
        <v>62</v>
      </c>
      <c r="AF596" t="s">
        <v>62</v>
      </c>
      <c r="AG596">
        <v>2</v>
      </c>
      <c r="AH596">
        <v>5</v>
      </c>
      <c r="AI596">
        <v>21</v>
      </c>
      <c r="AJ596">
        <v>0.19231000000000001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2</v>
      </c>
      <c r="AQ596">
        <v>0</v>
      </c>
      <c r="AR596">
        <v>2</v>
      </c>
      <c r="AS596">
        <v>16</v>
      </c>
      <c r="AT596">
        <v>0.11111</v>
      </c>
      <c r="AU596">
        <v>13</v>
      </c>
      <c r="AV596">
        <v>12</v>
      </c>
      <c r="AW596">
        <v>48</v>
      </c>
      <c r="AX596">
        <v>18</v>
      </c>
      <c r="AY596">
        <v>39</v>
      </c>
      <c r="AZ596">
        <v>8</v>
      </c>
      <c r="BA596" t="s">
        <v>17117</v>
      </c>
      <c r="BB596" t="s">
        <v>17118</v>
      </c>
      <c r="BC596">
        <v>0.76200000000000001</v>
      </c>
      <c r="BD596" t="s">
        <v>65</v>
      </c>
      <c r="BE596">
        <v>87</v>
      </c>
      <c r="BF596">
        <v>26</v>
      </c>
      <c r="BG596" t="s">
        <v>17119</v>
      </c>
      <c r="BH596" t="s">
        <v>17120</v>
      </c>
      <c r="BI596" t="s">
        <v>17121</v>
      </c>
      <c r="BJ596">
        <v>7.7850000000000003E-2</v>
      </c>
      <c r="BK596">
        <v>1</v>
      </c>
      <c r="BL596" t="s">
        <v>69</v>
      </c>
      <c r="BM596">
        <v>-0.61499999999999999</v>
      </c>
      <c r="BN596">
        <v>-1.8660000000000001</v>
      </c>
    </row>
    <row r="597" spans="2:66">
      <c r="B597">
        <v>947</v>
      </c>
      <c r="C597">
        <v>309</v>
      </c>
      <c r="D597">
        <v>0</v>
      </c>
      <c r="E597">
        <v>4</v>
      </c>
      <c r="F597">
        <v>0</v>
      </c>
      <c r="J597">
        <v>0</v>
      </c>
      <c r="K597">
        <v>6</v>
      </c>
      <c r="L597">
        <v>0</v>
      </c>
      <c r="M597" t="s">
        <v>25022</v>
      </c>
      <c r="N597">
        <v>2969</v>
      </c>
      <c r="O597" t="s">
        <v>17122</v>
      </c>
      <c r="P597" t="s">
        <v>62</v>
      </c>
      <c r="Q597">
        <v>2915368</v>
      </c>
      <c r="R597">
        <v>2916342</v>
      </c>
      <c r="S597" t="s">
        <v>17123</v>
      </c>
      <c r="T597">
        <v>325</v>
      </c>
      <c r="U597" t="s">
        <v>108</v>
      </c>
      <c r="V597">
        <v>44</v>
      </c>
      <c r="W597" t="str">
        <f>HYPERLINK("Gene2969-zp_tree_all.dnd", "Gene2969-tree")</f>
        <v>Gene2969-tree</v>
      </c>
      <c r="X597">
        <v>6</v>
      </c>
      <c r="Y597">
        <v>7</v>
      </c>
      <c r="Z597">
        <v>6</v>
      </c>
      <c r="AA597">
        <v>7</v>
      </c>
      <c r="AB597">
        <v>0.53846000000000005</v>
      </c>
      <c r="AC597" t="s">
        <v>90</v>
      </c>
      <c r="AD597" t="s">
        <v>152</v>
      </c>
      <c r="AE597" t="s">
        <v>62</v>
      </c>
      <c r="AF597" t="s">
        <v>62</v>
      </c>
      <c r="AG597">
        <v>2</v>
      </c>
      <c r="AH597">
        <v>6</v>
      </c>
      <c r="AI597">
        <v>9</v>
      </c>
      <c r="AJ597">
        <v>0.4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9</v>
      </c>
      <c r="AT597">
        <v>0</v>
      </c>
      <c r="AU597">
        <v>11</v>
      </c>
      <c r="AV597">
        <v>10</v>
      </c>
      <c r="AW597">
        <v>35</v>
      </c>
      <c r="AX597">
        <v>9</v>
      </c>
      <c r="AY597">
        <v>34</v>
      </c>
      <c r="AZ597">
        <v>6</v>
      </c>
      <c r="BA597" t="s">
        <v>17124</v>
      </c>
      <c r="BB597" t="s">
        <v>17125</v>
      </c>
      <c r="BC597">
        <v>0.36799999999999999</v>
      </c>
      <c r="BD597" t="s">
        <v>65</v>
      </c>
      <c r="BE597">
        <v>69</v>
      </c>
      <c r="BF597">
        <v>15</v>
      </c>
      <c r="BG597" t="s">
        <v>17126</v>
      </c>
      <c r="BH597" t="s">
        <v>17127</v>
      </c>
      <c r="BI597" t="s">
        <v>17128</v>
      </c>
      <c r="BJ597">
        <v>4.9020000000000001E-2</v>
      </c>
      <c r="BK597">
        <v>1</v>
      </c>
      <c r="BL597" t="s">
        <v>69</v>
      </c>
      <c r="BM597">
        <v>0.42199999999999999</v>
      </c>
      <c r="BN597">
        <v>-0.39700000000000002</v>
      </c>
    </row>
    <row r="598" spans="2:66">
      <c r="B598">
        <v>948</v>
      </c>
      <c r="C598">
        <v>290</v>
      </c>
      <c r="D598">
        <v>0</v>
      </c>
      <c r="E598">
        <v>2</v>
      </c>
      <c r="F598">
        <v>0</v>
      </c>
      <c r="J598">
        <v>0</v>
      </c>
      <c r="K598">
        <v>0</v>
      </c>
      <c r="L598">
        <v>0</v>
      </c>
      <c r="M598" t="s">
        <v>25022</v>
      </c>
      <c r="N598">
        <v>2970</v>
      </c>
      <c r="O598" t="s">
        <v>17129</v>
      </c>
      <c r="P598" t="s">
        <v>62</v>
      </c>
      <c r="Q598">
        <v>2916381</v>
      </c>
      <c r="R598">
        <v>2917151</v>
      </c>
      <c r="S598" t="s">
        <v>17130</v>
      </c>
      <c r="T598">
        <v>257</v>
      </c>
      <c r="U598" t="s">
        <v>59</v>
      </c>
      <c r="V598">
        <v>49</v>
      </c>
      <c r="W598" t="str">
        <f>HYPERLINK("Gene2970-zp_tree_all.dnd", "Gene2970-tree")</f>
        <v>Gene2970-tree</v>
      </c>
      <c r="X598">
        <v>11</v>
      </c>
      <c r="Y598">
        <v>7</v>
      </c>
      <c r="Z598">
        <v>11</v>
      </c>
      <c r="AA598">
        <v>7</v>
      </c>
      <c r="AB598">
        <v>0.38889000000000001</v>
      </c>
      <c r="AC598" t="s">
        <v>73</v>
      </c>
      <c r="AD598" t="s">
        <v>152</v>
      </c>
      <c r="AE598" t="s">
        <v>62</v>
      </c>
      <c r="AF598" t="s">
        <v>62</v>
      </c>
      <c r="AG598">
        <v>0</v>
      </c>
      <c r="AH598">
        <v>0</v>
      </c>
      <c r="AI598">
        <v>15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10</v>
      </c>
      <c r="AT598">
        <v>0</v>
      </c>
      <c r="AU598">
        <v>15</v>
      </c>
      <c r="AV598">
        <v>10</v>
      </c>
      <c r="AW598">
        <v>31</v>
      </c>
      <c r="AX598">
        <v>10</v>
      </c>
      <c r="AY598">
        <v>42</v>
      </c>
      <c r="AZ598">
        <v>5</v>
      </c>
      <c r="BA598" t="s">
        <v>17131</v>
      </c>
      <c r="BB598" t="s">
        <v>17132</v>
      </c>
      <c r="BC598">
        <v>0.621</v>
      </c>
      <c r="BD598" t="s">
        <v>65</v>
      </c>
      <c r="BE598">
        <v>73</v>
      </c>
      <c r="BF598">
        <v>15</v>
      </c>
      <c r="BG598" t="s">
        <v>17133</v>
      </c>
      <c r="BH598" t="s">
        <v>17134</v>
      </c>
      <c r="BI598" t="s">
        <v>17135</v>
      </c>
      <c r="BJ598">
        <v>4.3779999999999999E-2</v>
      </c>
      <c r="BK598">
        <v>1</v>
      </c>
      <c r="BL598" t="s">
        <v>69</v>
      </c>
      <c r="BM598">
        <v>-1.579</v>
      </c>
      <c r="BN598">
        <v>-1.611</v>
      </c>
    </row>
    <row r="599" spans="2:66">
      <c r="B599">
        <v>949</v>
      </c>
      <c r="C599">
        <v>31</v>
      </c>
      <c r="D599">
        <v>0</v>
      </c>
      <c r="E599">
        <v>16</v>
      </c>
      <c r="F599">
        <v>2</v>
      </c>
      <c r="J599">
        <v>0</v>
      </c>
      <c r="K599">
        <v>2</v>
      </c>
      <c r="L599">
        <v>2</v>
      </c>
      <c r="M599" t="s">
        <v>25022</v>
      </c>
      <c r="N599">
        <v>2971</v>
      </c>
      <c r="O599" t="s">
        <v>17136</v>
      </c>
      <c r="P599" t="s">
        <v>62</v>
      </c>
      <c r="Q599">
        <v>2917169</v>
      </c>
      <c r="R599">
        <v>2917942</v>
      </c>
      <c r="S599" t="s">
        <v>17137</v>
      </c>
      <c r="T599">
        <v>258</v>
      </c>
      <c r="U599" t="s">
        <v>108</v>
      </c>
      <c r="V599">
        <v>44</v>
      </c>
      <c r="W599" t="str">
        <f>HYPERLINK("Gene2971-zp_tree_all.dnd", "Gene2971-tree")</f>
        <v>Gene2971-tree</v>
      </c>
      <c r="X599">
        <v>7</v>
      </c>
      <c r="Y599">
        <v>4</v>
      </c>
      <c r="Z599">
        <v>7</v>
      </c>
      <c r="AA599">
        <v>4</v>
      </c>
      <c r="AB599">
        <v>0.36364000000000002</v>
      </c>
      <c r="AC599" t="s">
        <v>152</v>
      </c>
      <c r="AD599" t="s">
        <v>61</v>
      </c>
      <c r="AE599" t="s">
        <v>62</v>
      </c>
      <c r="AF599" t="s">
        <v>62</v>
      </c>
      <c r="AG599">
        <v>2</v>
      </c>
      <c r="AH599">
        <v>4</v>
      </c>
      <c r="AI599">
        <v>4</v>
      </c>
      <c r="AJ599">
        <v>0.5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5</v>
      </c>
      <c r="AT599">
        <v>0</v>
      </c>
      <c r="AU599">
        <v>9</v>
      </c>
      <c r="AV599">
        <v>8</v>
      </c>
      <c r="AW599">
        <v>26</v>
      </c>
      <c r="AX599">
        <v>5</v>
      </c>
      <c r="AY599">
        <v>23</v>
      </c>
      <c r="AZ599">
        <v>3</v>
      </c>
      <c r="BA599" t="s">
        <v>17138</v>
      </c>
      <c r="BB599" t="s">
        <v>17139</v>
      </c>
      <c r="BC599">
        <v>0.22</v>
      </c>
      <c r="BD599" t="s">
        <v>65</v>
      </c>
      <c r="BE599">
        <v>49</v>
      </c>
      <c r="BF599">
        <v>8</v>
      </c>
      <c r="BG599" t="s">
        <v>17140</v>
      </c>
      <c r="BH599" t="s">
        <v>17141</v>
      </c>
      <c r="BI599" t="s">
        <v>17142</v>
      </c>
      <c r="BJ599">
        <v>3.9780000000000003E-2</v>
      </c>
      <c r="BK599">
        <v>1</v>
      </c>
      <c r="BL599" t="s">
        <v>69</v>
      </c>
      <c r="BM599">
        <v>0.224</v>
      </c>
      <c r="BN599">
        <v>0.35799999999999998</v>
      </c>
    </row>
    <row r="600" spans="2:66">
      <c r="B600">
        <v>950</v>
      </c>
      <c r="C600">
        <v>11</v>
      </c>
      <c r="D600">
        <v>0</v>
      </c>
      <c r="E600">
        <v>4</v>
      </c>
      <c r="F600">
        <v>0</v>
      </c>
      <c r="J600">
        <v>0</v>
      </c>
      <c r="K600">
        <v>0</v>
      </c>
      <c r="L600">
        <v>0</v>
      </c>
      <c r="M600" t="s">
        <v>25022</v>
      </c>
      <c r="N600">
        <v>2972</v>
      </c>
      <c r="O600" t="s">
        <v>17143</v>
      </c>
      <c r="P600" t="s">
        <v>62</v>
      </c>
      <c r="Q600">
        <v>2917960</v>
      </c>
      <c r="R600">
        <v>2918541</v>
      </c>
      <c r="S600" t="s">
        <v>17144</v>
      </c>
      <c r="T600">
        <v>194</v>
      </c>
      <c r="U600" t="s">
        <v>108</v>
      </c>
      <c r="V600">
        <v>44</v>
      </c>
      <c r="W600" t="str">
        <f>HYPERLINK("Gene2972-zp_tree_all.dnd", "Gene2972-tree")</f>
        <v>Gene2972-tree</v>
      </c>
      <c r="X600">
        <v>7</v>
      </c>
      <c r="Y600">
        <v>3</v>
      </c>
      <c r="Z600">
        <v>7</v>
      </c>
      <c r="AA600">
        <v>3</v>
      </c>
      <c r="AB600">
        <v>0.3</v>
      </c>
      <c r="AC600" t="s">
        <v>152</v>
      </c>
      <c r="AD600" t="s">
        <v>324</v>
      </c>
      <c r="AE600" t="s">
        <v>62</v>
      </c>
      <c r="AF600" t="s">
        <v>62</v>
      </c>
      <c r="AG600">
        <v>0</v>
      </c>
      <c r="AH600">
        <v>0</v>
      </c>
      <c r="AI600">
        <v>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0</v>
      </c>
      <c r="AU600">
        <v>7</v>
      </c>
      <c r="AV600">
        <v>4</v>
      </c>
      <c r="AW600">
        <v>19</v>
      </c>
      <c r="AX600">
        <v>2</v>
      </c>
      <c r="AY600">
        <v>7</v>
      </c>
      <c r="AZ600">
        <v>3</v>
      </c>
      <c r="BA600" t="s">
        <v>17145</v>
      </c>
      <c r="BB600" t="s">
        <v>17146</v>
      </c>
      <c r="BC600">
        <v>0.81200000000000006</v>
      </c>
      <c r="BD600" t="s">
        <v>65</v>
      </c>
      <c r="BE600">
        <v>26</v>
      </c>
      <c r="BF600">
        <v>5</v>
      </c>
      <c r="BG600" t="s">
        <v>17147</v>
      </c>
      <c r="BH600" t="s">
        <v>17148</v>
      </c>
      <c r="BI600" t="s">
        <v>17149</v>
      </c>
      <c r="BJ600">
        <v>8.2100000000000006E-2</v>
      </c>
      <c r="BK600">
        <v>1</v>
      </c>
      <c r="BL600" t="s">
        <v>69</v>
      </c>
      <c r="BM600">
        <v>0.42699999999999999</v>
      </c>
      <c r="BN600">
        <v>0.32200000000000001</v>
      </c>
    </row>
    <row r="601" spans="2:66">
      <c r="B601">
        <v>951</v>
      </c>
      <c r="C601">
        <v>224</v>
      </c>
      <c r="D601">
        <v>0</v>
      </c>
      <c r="E601">
        <v>7</v>
      </c>
      <c r="F601">
        <v>4</v>
      </c>
      <c r="J601">
        <v>0</v>
      </c>
      <c r="K601">
        <v>2</v>
      </c>
      <c r="L601">
        <v>4</v>
      </c>
      <c r="M601" t="s">
        <v>25022</v>
      </c>
      <c r="N601">
        <v>2973</v>
      </c>
      <c r="O601" t="s">
        <v>17150</v>
      </c>
      <c r="P601" t="s">
        <v>62</v>
      </c>
      <c r="Q601">
        <v>2918649</v>
      </c>
      <c r="R601">
        <v>2920328</v>
      </c>
      <c r="S601" t="s">
        <v>17151</v>
      </c>
      <c r="T601">
        <v>560</v>
      </c>
      <c r="U601" t="s">
        <v>108</v>
      </c>
      <c r="V601">
        <v>44</v>
      </c>
      <c r="W601" t="str">
        <f>HYPERLINK("Gene2973-zp_tree_all.dnd", "Gene2973-tree")</f>
        <v>Gene2973-tree</v>
      </c>
      <c r="X601">
        <v>3</v>
      </c>
      <c r="Y601">
        <v>9</v>
      </c>
      <c r="Z601">
        <v>3</v>
      </c>
      <c r="AA601">
        <v>9</v>
      </c>
      <c r="AB601">
        <v>0.75</v>
      </c>
      <c r="AC601" t="s">
        <v>324</v>
      </c>
      <c r="AD601" t="s">
        <v>135</v>
      </c>
      <c r="AE601" t="s">
        <v>62</v>
      </c>
      <c r="AF601" t="s">
        <v>62</v>
      </c>
      <c r="AG601">
        <v>3</v>
      </c>
      <c r="AH601">
        <v>6</v>
      </c>
      <c r="AI601">
        <v>13</v>
      </c>
      <c r="AJ601">
        <v>0.31579000000000002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2</v>
      </c>
      <c r="AR601">
        <v>2</v>
      </c>
      <c r="AS601">
        <v>13</v>
      </c>
      <c r="AT601">
        <v>0.13333</v>
      </c>
      <c r="AU601">
        <v>12</v>
      </c>
      <c r="AV601">
        <v>7</v>
      </c>
      <c r="AW601">
        <v>53</v>
      </c>
      <c r="AX601">
        <v>16</v>
      </c>
      <c r="AY601">
        <v>23</v>
      </c>
      <c r="AZ601">
        <v>4</v>
      </c>
      <c r="BA601" t="s">
        <v>17152</v>
      </c>
      <c r="BB601" t="s">
        <v>17153</v>
      </c>
      <c r="BC601">
        <v>0.75800000000000001</v>
      </c>
      <c r="BD601" t="s">
        <v>65</v>
      </c>
      <c r="BE601">
        <v>76</v>
      </c>
      <c r="BF601">
        <v>20</v>
      </c>
      <c r="BG601" t="s">
        <v>17154</v>
      </c>
      <c r="BH601" t="s">
        <v>17155</v>
      </c>
      <c r="BI601" t="s">
        <v>10145</v>
      </c>
      <c r="BJ601">
        <v>7.9769999999999994E-2</v>
      </c>
      <c r="BK601">
        <v>1</v>
      </c>
      <c r="BL601" t="s">
        <v>69</v>
      </c>
      <c r="BM601">
        <v>-0.84299999999999997</v>
      </c>
      <c r="BN601">
        <v>-1.07</v>
      </c>
    </row>
    <row r="602" spans="2:66">
      <c r="B602">
        <v>953</v>
      </c>
      <c r="C602">
        <v>1192</v>
      </c>
      <c r="D602">
        <v>0</v>
      </c>
      <c r="E602">
        <v>20</v>
      </c>
      <c r="F602">
        <v>4</v>
      </c>
      <c r="J602">
        <v>0</v>
      </c>
      <c r="K602">
        <v>0</v>
      </c>
      <c r="L602">
        <v>0</v>
      </c>
      <c r="M602" t="s">
        <v>25022</v>
      </c>
      <c r="N602">
        <v>2974</v>
      </c>
      <c r="O602" t="s">
        <v>17156</v>
      </c>
      <c r="P602" t="s">
        <v>62</v>
      </c>
      <c r="Q602">
        <v>2920520</v>
      </c>
      <c r="R602">
        <v>2920921</v>
      </c>
      <c r="S602" t="s">
        <v>3095</v>
      </c>
      <c r="T602">
        <v>134</v>
      </c>
      <c r="U602" t="s">
        <v>59</v>
      </c>
      <c r="V602">
        <v>49</v>
      </c>
      <c r="W602" t="str">
        <f>HYPERLINK("Gene2974-zp_tree_all.dnd", "Gene2974-tree")</f>
        <v>Gene2974-tree</v>
      </c>
      <c r="X602">
        <v>12</v>
      </c>
      <c r="Y602">
        <v>1</v>
      </c>
      <c r="Z602">
        <v>12</v>
      </c>
      <c r="AA602">
        <v>1</v>
      </c>
      <c r="AB602">
        <v>7.6920000000000002E-2</v>
      </c>
      <c r="AC602" t="s">
        <v>109</v>
      </c>
      <c r="AD602" t="s">
        <v>175</v>
      </c>
      <c r="AE602" t="s">
        <v>62</v>
      </c>
      <c r="AF602" t="s">
        <v>62</v>
      </c>
      <c r="AG602">
        <v>0</v>
      </c>
      <c r="AH602">
        <v>0</v>
      </c>
      <c r="AI602">
        <v>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8</v>
      </c>
      <c r="AV602">
        <v>7</v>
      </c>
      <c r="AW602">
        <v>13</v>
      </c>
      <c r="AX602">
        <v>1</v>
      </c>
      <c r="AY602">
        <v>14</v>
      </c>
      <c r="AZ602">
        <v>2</v>
      </c>
      <c r="BA602" t="s">
        <v>17157</v>
      </c>
      <c r="BB602" t="s">
        <v>17158</v>
      </c>
      <c r="BC602">
        <v>0.16800000000000001</v>
      </c>
      <c r="BD602" t="s">
        <v>65</v>
      </c>
      <c r="BE602">
        <v>27</v>
      </c>
      <c r="BF602">
        <v>3</v>
      </c>
      <c r="BG602" t="s">
        <v>17159</v>
      </c>
      <c r="BH602" t="s">
        <v>17160</v>
      </c>
      <c r="BI602" t="s">
        <v>17161</v>
      </c>
      <c r="BJ602">
        <v>3.8469999999999997E-2</v>
      </c>
      <c r="BK602">
        <v>1</v>
      </c>
      <c r="BL602" t="s">
        <v>69</v>
      </c>
      <c r="BM602">
        <v>-1.538</v>
      </c>
      <c r="BN602">
        <v>-1.6279999999999999</v>
      </c>
    </row>
    <row r="603" spans="2:66">
      <c r="B603">
        <v>954</v>
      </c>
      <c r="C603">
        <v>49</v>
      </c>
      <c r="D603">
        <v>0</v>
      </c>
      <c r="E603">
        <v>13</v>
      </c>
      <c r="F603">
        <v>3</v>
      </c>
      <c r="J603">
        <v>0</v>
      </c>
      <c r="K603">
        <v>11</v>
      </c>
      <c r="L603">
        <v>0</v>
      </c>
      <c r="M603" t="s">
        <v>25022</v>
      </c>
      <c r="N603">
        <v>2975</v>
      </c>
      <c r="O603" t="s">
        <v>17162</v>
      </c>
      <c r="P603" t="s">
        <v>62</v>
      </c>
      <c r="Q603">
        <v>2920939</v>
      </c>
      <c r="R603">
        <v>2923293</v>
      </c>
      <c r="S603" t="s">
        <v>17163</v>
      </c>
      <c r="T603">
        <v>785</v>
      </c>
      <c r="U603" t="s">
        <v>108</v>
      </c>
      <c r="V603">
        <v>44</v>
      </c>
      <c r="W603" t="str">
        <f>HYPERLINK("Gene2975-zp_tree_all.dnd", "Gene2975-tree")</f>
        <v>Gene2975-tree</v>
      </c>
      <c r="X603">
        <v>5</v>
      </c>
      <c r="Y603">
        <v>8</v>
      </c>
      <c r="Z603">
        <v>5</v>
      </c>
      <c r="AA603">
        <v>8</v>
      </c>
      <c r="AB603">
        <v>0.61538000000000004</v>
      </c>
      <c r="AC603" t="s">
        <v>199</v>
      </c>
      <c r="AD603" t="s">
        <v>136</v>
      </c>
      <c r="AE603" t="s">
        <v>62</v>
      </c>
      <c r="AF603" t="s">
        <v>62</v>
      </c>
      <c r="AG603">
        <v>5</v>
      </c>
      <c r="AH603">
        <v>11</v>
      </c>
      <c r="AI603">
        <v>9</v>
      </c>
      <c r="AJ603">
        <v>0.55000000000000004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2</v>
      </c>
      <c r="AQ603">
        <v>0</v>
      </c>
      <c r="AR603">
        <v>2</v>
      </c>
      <c r="AS603">
        <v>13</v>
      </c>
      <c r="AT603">
        <v>0.13333</v>
      </c>
      <c r="AU603">
        <v>11</v>
      </c>
      <c r="AV603">
        <v>10</v>
      </c>
      <c r="AW603">
        <v>62</v>
      </c>
      <c r="AX603">
        <v>15</v>
      </c>
      <c r="AY603">
        <v>27</v>
      </c>
      <c r="AZ603">
        <v>5</v>
      </c>
      <c r="BA603" t="s">
        <v>17164</v>
      </c>
      <c r="BB603" t="s">
        <v>17165</v>
      </c>
      <c r="BC603">
        <v>0.248</v>
      </c>
      <c r="BD603" t="s">
        <v>65</v>
      </c>
      <c r="BE603">
        <v>89</v>
      </c>
      <c r="BF603">
        <v>20</v>
      </c>
      <c r="BG603" t="s">
        <v>6133</v>
      </c>
      <c r="BH603" t="s">
        <v>17166</v>
      </c>
      <c r="BI603" t="s">
        <v>14172</v>
      </c>
      <c r="BJ603">
        <v>6.1260000000000002E-2</v>
      </c>
      <c r="BK603">
        <v>1</v>
      </c>
      <c r="BL603" t="s">
        <v>69</v>
      </c>
      <c r="BM603">
        <v>-1.155</v>
      </c>
      <c r="BN603">
        <v>-2.339</v>
      </c>
    </row>
    <row r="604" spans="2:66">
      <c r="B604">
        <v>955</v>
      </c>
      <c r="C604">
        <v>71</v>
      </c>
      <c r="D604">
        <v>0</v>
      </c>
      <c r="E604">
        <v>9</v>
      </c>
      <c r="F604">
        <v>2</v>
      </c>
      <c r="J604">
        <v>0</v>
      </c>
      <c r="K604">
        <v>6</v>
      </c>
      <c r="L604">
        <v>1</v>
      </c>
      <c r="M604" t="s">
        <v>25022</v>
      </c>
      <c r="N604">
        <v>2976</v>
      </c>
      <c r="O604" t="s">
        <v>17167</v>
      </c>
      <c r="P604" t="s">
        <v>62</v>
      </c>
      <c r="Q604">
        <v>2923317</v>
      </c>
      <c r="R604">
        <v>2925026</v>
      </c>
      <c r="S604" t="s">
        <v>17168</v>
      </c>
      <c r="T604">
        <v>570</v>
      </c>
      <c r="U604" t="s">
        <v>108</v>
      </c>
      <c r="V604">
        <v>44</v>
      </c>
      <c r="W604" t="str">
        <f>HYPERLINK("Gene2976-zp_tree_all.dnd", "Gene2976-tree")</f>
        <v>Gene2976-tree</v>
      </c>
      <c r="X604">
        <v>5</v>
      </c>
      <c r="Y604">
        <v>7</v>
      </c>
      <c r="Z604">
        <v>5</v>
      </c>
      <c r="AA604">
        <v>7</v>
      </c>
      <c r="AB604">
        <v>0.58333000000000002</v>
      </c>
      <c r="AC604" t="s">
        <v>199</v>
      </c>
      <c r="AD604" t="s">
        <v>152</v>
      </c>
      <c r="AE604" t="s">
        <v>62</v>
      </c>
      <c r="AF604" t="s">
        <v>62</v>
      </c>
      <c r="AG604">
        <v>2</v>
      </c>
      <c r="AH604">
        <v>7</v>
      </c>
      <c r="AI604">
        <v>6</v>
      </c>
      <c r="AJ604">
        <v>0.53846000000000005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5</v>
      </c>
      <c r="AQ604">
        <v>1</v>
      </c>
      <c r="AR604">
        <v>6</v>
      </c>
      <c r="AS604">
        <v>4</v>
      </c>
      <c r="AT604">
        <v>0.6</v>
      </c>
      <c r="AU604">
        <v>12</v>
      </c>
      <c r="AV604">
        <v>8</v>
      </c>
      <c r="AW604">
        <v>59</v>
      </c>
      <c r="AX604">
        <v>10</v>
      </c>
      <c r="AY604">
        <v>20</v>
      </c>
      <c r="AZ604">
        <v>3</v>
      </c>
      <c r="BA604" t="s">
        <v>17169</v>
      </c>
      <c r="BB604" t="s">
        <v>17170</v>
      </c>
      <c r="BC604">
        <v>8.6999999999999994E-2</v>
      </c>
      <c r="BD604" t="s">
        <v>65</v>
      </c>
      <c r="BE604">
        <v>79</v>
      </c>
      <c r="BF604">
        <v>13</v>
      </c>
      <c r="BG604" t="s">
        <v>17171</v>
      </c>
      <c r="BH604" t="s">
        <v>17172</v>
      </c>
      <c r="BI604" t="s">
        <v>17173</v>
      </c>
      <c r="BJ604">
        <v>4.0899999999999999E-2</v>
      </c>
      <c r="BK604">
        <v>1</v>
      </c>
      <c r="BL604" t="s">
        <v>69</v>
      </c>
      <c r="BM604">
        <v>-1.147</v>
      </c>
      <c r="BN604">
        <v>-2.1179999999999999</v>
      </c>
    </row>
    <row r="605" spans="2:66">
      <c r="B605">
        <v>956</v>
      </c>
      <c r="C605">
        <v>87</v>
      </c>
      <c r="D605">
        <v>0</v>
      </c>
      <c r="E605">
        <v>7</v>
      </c>
      <c r="F605">
        <v>5</v>
      </c>
      <c r="J605">
        <v>0</v>
      </c>
      <c r="K605">
        <v>0</v>
      </c>
      <c r="L605">
        <v>2</v>
      </c>
      <c r="M605" t="s">
        <v>25022</v>
      </c>
      <c r="N605">
        <v>2977</v>
      </c>
      <c r="O605" t="s">
        <v>17174</v>
      </c>
      <c r="P605" t="s">
        <v>62</v>
      </c>
      <c r="Q605">
        <v>2925103</v>
      </c>
      <c r="R605">
        <v>2925633</v>
      </c>
      <c r="S605" t="s">
        <v>6103</v>
      </c>
      <c r="T605">
        <v>177</v>
      </c>
      <c r="U605" t="s">
        <v>698</v>
      </c>
      <c r="V605">
        <v>47</v>
      </c>
      <c r="W605" t="str">
        <f>HYPERLINK("Gene2977-zp_tree_all.dnd", "Gene2977-tree")</f>
        <v>Gene2977-tree</v>
      </c>
      <c r="X605">
        <v>11</v>
      </c>
      <c r="Y605">
        <v>2</v>
      </c>
      <c r="Z605">
        <v>11</v>
      </c>
      <c r="AA605">
        <v>2</v>
      </c>
      <c r="AB605">
        <v>0.15384999999999999</v>
      </c>
      <c r="AC605" t="s">
        <v>73</v>
      </c>
      <c r="AD605" t="s">
        <v>81</v>
      </c>
      <c r="AE605" t="s">
        <v>62</v>
      </c>
      <c r="AF605" t="s">
        <v>62</v>
      </c>
      <c r="AG605">
        <v>1</v>
      </c>
      <c r="AH605">
        <v>2</v>
      </c>
      <c r="AI605">
        <v>4</v>
      </c>
      <c r="AJ605">
        <v>0.33333000000000002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</v>
      </c>
      <c r="AT605">
        <v>0</v>
      </c>
      <c r="AU605">
        <v>10</v>
      </c>
      <c r="AV605">
        <v>7</v>
      </c>
      <c r="AW605">
        <v>23</v>
      </c>
      <c r="AX605">
        <v>2</v>
      </c>
      <c r="AY605">
        <v>26</v>
      </c>
      <c r="AZ605">
        <v>5</v>
      </c>
      <c r="BA605" t="s">
        <v>17175</v>
      </c>
      <c r="BB605" t="s">
        <v>17176</v>
      </c>
      <c r="BC605">
        <v>0.23200000000000001</v>
      </c>
      <c r="BD605" t="s">
        <v>65</v>
      </c>
      <c r="BE605">
        <v>49</v>
      </c>
      <c r="BF605">
        <v>7</v>
      </c>
      <c r="BG605" t="s">
        <v>17177</v>
      </c>
      <c r="BH605" t="s">
        <v>17178</v>
      </c>
      <c r="BI605" t="s">
        <v>17179</v>
      </c>
      <c r="BJ605">
        <v>5.5500000000000001E-2</v>
      </c>
      <c r="BK605">
        <v>1</v>
      </c>
      <c r="BL605" t="s">
        <v>69</v>
      </c>
      <c r="BM605">
        <v>-0.58199999999999996</v>
      </c>
      <c r="BN605">
        <v>0.25800000000000001</v>
      </c>
    </row>
    <row r="606" spans="2:66">
      <c r="B606">
        <v>957</v>
      </c>
      <c r="C606">
        <v>35</v>
      </c>
      <c r="D606">
        <v>0</v>
      </c>
      <c r="E606">
        <v>2</v>
      </c>
      <c r="F606">
        <v>0</v>
      </c>
      <c r="J606">
        <v>0</v>
      </c>
      <c r="K606">
        <v>0</v>
      </c>
      <c r="L606">
        <v>0</v>
      </c>
      <c r="M606" t="s">
        <v>25022</v>
      </c>
      <c r="N606">
        <v>2978</v>
      </c>
      <c r="O606" t="s">
        <v>17180</v>
      </c>
      <c r="P606" t="s">
        <v>62</v>
      </c>
      <c r="Q606">
        <v>2925643</v>
      </c>
      <c r="R606">
        <v>2925897</v>
      </c>
      <c r="S606" t="s">
        <v>17181</v>
      </c>
      <c r="T606">
        <v>85</v>
      </c>
      <c r="U606" t="s">
        <v>59</v>
      </c>
      <c r="V606">
        <v>49</v>
      </c>
      <c r="W606" t="str">
        <f>HYPERLINK("Gene2978-zp_tree_all.dnd", "Gene2978-tree")</f>
        <v>Gene2978-tree</v>
      </c>
      <c r="X606">
        <v>4</v>
      </c>
      <c r="Y606">
        <v>1</v>
      </c>
      <c r="Z606">
        <v>4</v>
      </c>
      <c r="AA606">
        <v>1</v>
      </c>
      <c r="AB606">
        <v>0.2</v>
      </c>
      <c r="AC606" t="s">
        <v>61</v>
      </c>
      <c r="AD606" t="s">
        <v>175</v>
      </c>
      <c r="AE606" t="s">
        <v>62</v>
      </c>
      <c r="AF606" t="s">
        <v>62</v>
      </c>
      <c r="AG606">
        <v>0</v>
      </c>
      <c r="AH606">
        <v>0</v>
      </c>
      <c r="AI606">
        <v>2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4</v>
      </c>
      <c r="AV606">
        <v>1</v>
      </c>
      <c r="AW606">
        <v>3</v>
      </c>
      <c r="AX606">
        <v>1</v>
      </c>
      <c r="AY606">
        <v>1</v>
      </c>
      <c r="AZ606">
        <v>1</v>
      </c>
      <c r="BA606" t="s">
        <v>17182</v>
      </c>
      <c r="BB606" t="s">
        <v>17183</v>
      </c>
      <c r="BC606">
        <v>1.2</v>
      </c>
      <c r="BD606" t="s">
        <v>65</v>
      </c>
      <c r="BE606">
        <v>4</v>
      </c>
      <c r="BF606">
        <v>2</v>
      </c>
      <c r="BG606" t="s">
        <v>17184</v>
      </c>
      <c r="BH606" t="s">
        <v>17185</v>
      </c>
      <c r="BI606" t="s">
        <v>17186</v>
      </c>
      <c r="BJ606">
        <v>0.15676999999999999</v>
      </c>
      <c r="BK606">
        <v>0.96099999999999997</v>
      </c>
      <c r="BL606" t="s">
        <v>69</v>
      </c>
      <c r="BM606">
        <v>-0.71599999999999997</v>
      </c>
      <c r="BN606">
        <v>-0.82099999999999995</v>
      </c>
    </row>
    <row r="607" spans="2:66">
      <c r="B607">
        <v>958</v>
      </c>
      <c r="C607">
        <v>54</v>
      </c>
      <c r="D607">
        <v>0</v>
      </c>
      <c r="E607">
        <v>9</v>
      </c>
      <c r="F607">
        <v>0</v>
      </c>
      <c r="J607">
        <v>0</v>
      </c>
      <c r="K607">
        <v>10</v>
      </c>
      <c r="L607">
        <v>0</v>
      </c>
      <c r="M607" t="s">
        <v>25022</v>
      </c>
      <c r="N607">
        <v>2980</v>
      </c>
      <c r="O607" t="s">
        <v>17194</v>
      </c>
      <c r="P607" t="s">
        <v>62</v>
      </c>
      <c r="Q607">
        <v>2927011</v>
      </c>
      <c r="R607">
        <v>2929422</v>
      </c>
      <c r="S607" t="s">
        <v>17195</v>
      </c>
      <c r="T607">
        <v>804</v>
      </c>
      <c r="U607" t="s">
        <v>108</v>
      </c>
      <c r="V607">
        <v>44</v>
      </c>
      <c r="W607" t="str">
        <f>HYPERLINK("Gene2980-zp_tree_all.dnd", "Gene2980-tree")</f>
        <v>Gene2980-tree</v>
      </c>
      <c r="X607">
        <v>8</v>
      </c>
      <c r="Y607">
        <v>9</v>
      </c>
      <c r="Z607">
        <v>8</v>
      </c>
      <c r="AA607">
        <v>9</v>
      </c>
      <c r="AB607">
        <v>0.52941000000000005</v>
      </c>
      <c r="AC607" t="s">
        <v>136</v>
      </c>
      <c r="AD607" t="s">
        <v>135</v>
      </c>
      <c r="AE607" t="s">
        <v>62</v>
      </c>
      <c r="AF607" t="s">
        <v>62</v>
      </c>
      <c r="AG607">
        <v>4</v>
      </c>
      <c r="AH607">
        <v>10</v>
      </c>
      <c r="AI607">
        <v>27</v>
      </c>
      <c r="AJ607">
        <v>0.27027000000000001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4</v>
      </c>
      <c r="AQ607">
        <v>0</v>
      </c>
      <c r="AR607">
        <v>4</v>
      </c>
      <c r="AS607">
        <v>22</v>
      </c>
      <c r="AT607">
        <v>0.15384999999999999</v>
      </c>
      <c r="AU607">
        <v>15</v>
      </c>
      <c r="AV607">
        <v>13</v>
      </c>
      <c r="AW607">
        <v>138</v>
      </c>
      <c r="AX607">
        <v>26</v>
      </c>
      <c r="AY607">
        <v>81</v>
      </c>
      <c r="AZ607">
        <v>11</v>
      </c>
      <c r="BA607" t="s">
        <v>17196</v>
      </c>
      <c r="BB607" t="s">
        <v>17197</v>
      </c>
      <c r="BC607">
        <v>0.39900000000000002</v>
      </c>
      <c r="BD607" t="s">
        <v>65</v>
      </c>
      <c r="BE607">
        <v>219</v>
      </c>
      <c r="BF607">
        <v>37</v>
      </c>
      <c r="BG607" t="s">
        <v>17198</v>
      </c>
      <c r="BH607" t="s">
        <v>17199</v>
      </c>
      <c r="BI607" t="s">
        <v>17200</v>
      </c>
      <c r="BJ607">
        <v>5.5559999999999998E-2</v>
      </c>
      <c r="BK607">
        <v>1</v>
      </c>
      <c r="BL607" t="s">
        <v>69</v>
      </c>
      <c r="BM607">
        <v>-9.4E-2</v>
      </c>
      <c r="BN607">
        <v>-0.56200000000000006</v>
      </c>
    </row>
    <row r="608" spans="2:66">
      <c r="B608">
        <v>959</v>
      </c>
      <c r="C608">
        <v>155</v>
      </c>
      <c r="D608">
        <v>0</v>
      </c>
      <c r="E608">
        <v>2</v>
      </c>
      <c r="F608">
        <v>0</v>
      </c>
      <c r="J608">
        <v>0</v>
      </c>
      <c r="K608">
        <v>4</v>
      </c>
      <c r="L608">
        <v>3</v>
      </c>
      <c r="M608" t="s">
        <v>25022</v>
      </c>
      <c r="N608">
        <v>2981</v>
      </c>
      <c r="O608" t="s">
        <v>17201</v>
      </c>
      <c r="P608" t="s">
        <v>62</v>
      </c>
      <c r="Q608">
        <v>2929441</v>
      </c>
      <c r="R608">
        <v>2930472</v>
      </c>
      <c r="S608" t="s">
        <v>17202</v>
      </c>
      <c r="T608">
        <v>344</v>
      </c>
      <c r="U608" t="s">
        <v>59</v>
      </c>
      <c r="V608">
        <v>49</v>
      </c>
      <c r="W608" t="str">
        <f>HYPERLINK("Gene2981-zp_tree_all.dnd", "Gene2981-tree")</f>
        <v>Gene2981-tree</v>
      </c>
      <c r="X608">
        <v>15</v>
      </c>
      <c r="Y608">
        <v>5</v>
      </c>
      <c r="Z608">
        <v>15</v>
      </c>
      <c r="AA608">
        <v>5</v>
      </c>
      <c r="AB608">
        <v>0.25</v>
      </c>
      <c r="AC608" t="s">
        <v>100</v>
      </c>
      <c r="AD608" t="s">
        <v>199</v>
      </c>
      <c r="AE608" t="s">
        <v>62</v>
      </c>
      <c r="AF608" t="s">
        <v>62</v>
      </c>
      <c r="AG608">
        <v>3</v>
      </c>
      <c r="AH608">
        <v>7</v>
      </c>
      <c r="AI608">
        <v>7</v>
      </c>
      <c r="AJ608">
        <v>0.5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6</v>
      </c>
      <c r="AT608">
        <v>0</v>
      </c>
      <c r="AU608">
        <v>17</v>
      </c>
      <c r="AV608">
        <v>17</v>
      </c>
      <c r="AW608">
        <v>56</v>
      </c>
      <c r="AX608">
        <v>6</v>
      </c>
      <c r="AY608">
        <v>69</v>
      </c>
      <c r="AZ608">
        <v>8</v>
      </c>
      <c r="BA608" t="s">
        <v>17203</v>
      </c>
      <c r="BB608" t="s">
        <v>17204</v>
      </c>
      <c r="BC608">
        <v>3.1E-2</v>
      </c>
      <c r="BD608" t="s">
        <v>65</v>
      </c>
      <c r="BE608">
        <v>125</v>
      </c>
      <c r="BF608">
        <v>14</v>
      </c>
      <c r="BG608" t="s">
        <v>17205</v>
      </c>
      <c r="BH608" t="s">
        <v>17206</v>
      </c>
      <c r="BI608" t="s">
        <v>17207</v>
      </c>
      <c r="BJ608">
        <v>2.8060000000000002E-2</v>
      </c>
      <c r="BK608">
        <v>1</v>
      </c>
      <c r="BL608" t="s">
        <v>69</v>
      </c>
      <c r="BM608">
        <v>-1.131</v>
      </c>
      <c r="BN608">
        <v>-0.26200000000000001</v>
      </c>
    </row>
    <row r="609" spans="2:66">
      <c r="B609">
        <v>961</v>
      </c>
      <c r="C609">
        <v>359</v>
      </c>
      <c r="D609">
        <v>0</v>
      </c>
      <c r="E609">
        <v>0</v>
      </c>
      <c r="F609">
        <v>2</v>
      </c>
      <c r="J609">
        <v>0</v>
      </c>
      <c r="K609">
        <v>0</v>
      </c>
      <c r="L609">
        <v>0</v>
      </c>
      <c r="M609" t="s">
        <v>25022</v>
      </c>
      <c r="N609">
        <v>2987</v>
      </c>
      <c r="O609" t="s">
        <v>17241</v>
      </c>
      <c r="P609" t="s">
        <v>62</v>
      </c>
      <c r="Q609">
        <v>2935970</v>
      </c>
      <c r="R609">
        <v>2936209</v>
      </c>
      <c r="S609" t="s">
        <v>116</v>
      </c>
      <c r="T609">
        <v>80</v>
      </c>
      <c r="U609" t="s">
        <v>108</v>
      </c>
      <c r="V609">
        <v>44</v>
      </c>
      <c r="W609" t="str">
        <f>HYPERLINK("Gene2987-zp_tree_all.dnd", "Gene2987-tree")</f>
        <v>Gene2987-tree</v>
      </c>
      <c r="X609">
        <v>25</v>
      </c>
      <c r="Y609">
        <v>2</v>
      </c>
      <c r="Z609">
        <v>6</v>
      </c>
      <c r="AA609">
        <v>2</v>
      </c>
      <c r="AB609">
        <v>0.25</v>
      </c>
      <c r="AC609" t="s">
        <v>965</v>
      </c>
      <c r="AD609" t="s">
        <v>81</v>
      </c>
      <c r="AE609" t="s">
        <v>62</v>
      </c>
      <c r="AF609" t="s">
        <v>62</v>
      </c>
      <c r="AG609">
        <v>0</v>
      </c>
      <c r="AH609">
        <v>0</v>
      </c>
      <c r="AI609">
        <v>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0</v>
      </c>
      <c r="AU609">
        <v>5</v>
      </c>
      <c r="AV609">
        <v>2</v>
      </c>
      <c r="AW609">
        <v>3</v>
      </c>
      <c r="AX609">
        <v>2</v>
      </c>
      <c r="AY609">
        <v>2</v>
      </c>
      <c r="AZ609">
        <v>0</v>
      </c>
      <c r="BA609" t="s">
        <v>17242</v>
      </c>
      <c r="BB609" t="s">
        <v>193</v>
      </c>
      <c r="BC609">
        <v>1.032</v>
      </c>
      <c r="BD609" t="s">
        <v>65</v>
      </c>
      <c r="BE609">
        <v>5</v>
      </c>
      <c r="BF609">
        <v>2</v>
      </c>
      <c r="BG609" t="s">
        <v>17243</v>
      </c>
      <c r="BH609" t="s">
        <v>17244</v>
      </c>
      <c r="BI609" t="s">
        <v>17245</v>
      </c>
      <c r="BJ609">
        <v>0.10836</v>
      </c>
      <c r="BK609">
        <v>0.98699999999999999</v>
      </c>
      <c r="BL609" t="s">
        <v>69</v>
      </c>
      <c r="BM609">
        <v>-0.66900000000000004</v>
      </c>
      <c r="BN609">
        <v>-0.49399999999999999</v>
      </c>
    </row>
    <row r="610" spans="2:66">
      <c r="B610">
        <v>962</v>
      </c>
      <c r="C610">
        <v>137</v>
      </c>
      <c r="D610">
        <v>0</v>
      </c>
      <c r="E610">
        <v>2</v>
      </c>
      <c r="F610">
        <v>0</v>
      </c>
      <c r="J610">
        <v>0</v>
      </c>
      <c r="K610">
        <v>0</v>
      </c>
      <c r="L610">
        <v>0</v>
      </c>
      <c r="M610" t="s">
        <v>25022</v>
      </c>
      <c r="N610">
        <v>2988</v>
      </c>
      <c r="O610" t="s">
        <v>17246</v>
      </c>
      <c r="P610" t="s">
        <v>62</v>
      </c>
      <c r="Q610">
        <v>2936272</v>
      </c>
      <c r="R610">
        <v>2936439</v>
      </c>
      <c r="S610" t="s">
        <v>17247</v>
      </c>
      <c r="T610">
        <v>56</v>
      </c>
      <c r="U610" t="s">
        <v>17248</v>
      </c>
      <c r="V610">
        <v>36</v>
      </c>
      <c r="W610" t="str">
        <f>HYPERLINK("Gene2988-zp_tree_all.dnd", "Gene2988-tree")</f>
        <v>Gene2988-tree</v>
      </c>
      <c r="X610">
        <v>0</v>
      </c>
      <c r="Y610">
        <v>5</v>
      </c>
      <c r="Z610">
        <v>0</v>
      </c>
      <c r="AA610">
        <v>5</v>
      </c>
      <c r="AB610">
        <v>1</v>
      </c>
      <c r="AC610" t="s">
        <v>62</v>
      </c>
      <c r="AD610" t="s">
        <v>199</v>
      </c>
      <c r="AE610" t="s">
        <v>62</v>
      </c>
      <c r="AF610" t="s">
        <v>62</v>
      </c>
      <c r="AG610">
        <v>0</v>
      </c>
      <c r="AH610">
        <v>0</v>
      </c>
      <c r="AI610">
        <v>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5</v>
      </c>
      <c r="AT610">
        <v>0</v>
      </c>
      <c r="AU610">
        <v>3</v>
      </c>
      <c r="AV610">
        <v>1</v>
      </c>
      <c r="AW610">
        <v>0</v>
      </c>
      <c r="AX610">
        <v>4</v>
      </c>
      <c r="AY610">
        <v>1</v>
      </c>
      <c r="AZ610">
        <v>2</v>
      </c>
      <c r="BA610" t="s">
        <v>193</v>
      </c>
      <c r="BB610" t="s">
        <v>17249</v>
      </c>
      <c r="BC610">
        <v>0</v>
      </c>
      <c r="BD610" t="s">
        <v>65</v>
      </c>
      <c r="BE610">
        <v>1</v>
      </c>
      <c r="BF610">
        <v>6</v>
      </c>
      <c r="BG610" t="s">
        <v>17250</v>
      </c>
      <c r="BH610" t="s">
        <v>17251</v>
      </c>
      <c r="BI610" t="s">
        <v>17252</v>
      </c>
      <c r="BJ610">
        <v>1.5086999999999999</v>
      </c>
      <c r="BK610">
        <v>0.24099999999999999</v>
      </c>
      <c r="BL610" t="s">
        <v>635</v>
      </c>
      <c r="BM610">
        <v>0.23</v>
      </c>
      <c r="BN610">
        <v>0.65300000000000002</v>
      </c>
    </row>
    <row r="611" spans="2:66">
      <c r="B611">
        <v>963</v>
      </c>
      <c r="C611">
        <v>258</v>
      </c>
      <c r="D611">
        <v>0</v>
      </c>
      <c r="E611">
        <v>2</v>
      </c>
      <c r="F611">
        <v>0</v>
      </c>
      <c r="J611">
        <v>0</v>
      </c>
      <c r="K611">
        <v>5</v>
      </c>
      <c r="L611">
        <v>0</v>
      </c>
      <c r="M611" t="s">
        <v>25022</v>
      </c>
      <c r="N611">
        <v>2989</v>
      </c>
      <c r="O611" t="s">
        <v>17253</v>
      </c>
      <c r="P611" t="s">
        <v>62</v>
      </c>
      <c r="Q611">
        <v>2938333</v>
      </c>
      <c r="R611">
        <v>2939832</v>
      </c>
      <c r="S611" t="s">
        <v>17254</v>
      </c>
      <c r="T611">
        <v>500</v>
      </c>
      <c r="U611" t="s">
        <v>108</v>
      </c>
      <c r="V611">
        <v>44</v>
      </c>
      <c r="W611" t="str">
        <f>HYPERLINK("Gene2989-zp_tree_all.dnd", "Gene2989-tree")</f>
        <v>Gene2989-tree</v>
      </c>
      <c r="X611">
        <v>8</v>
      </c>
      <c r="Y611">
        <v>8</v>
      </c>
      <c r="Z611">
        <v>8</v>
      </c>
      <c r="AA611">
        <v>8</v>
      </c>
      <c r="AB611">
        <v>0.5</v>
      </c>
      <c r="AC611" t="s">
        <v>136</v>
      </c>
      <c r="AD611" t="s">
        <v>136</v>
      </c>
      <c r="AE611" t="s">
        <v>62</v>
      </c>
      <c r="AF611" t="s">
        <v>62</v>
      </c>
      <c r="AG611">
        <v>2</v>
      </c>
      <c r="AH611">
        <v>5</v>
      </c>
      <c r="AI611">
        <v>7</v>
      </c>
      <c r="AJ611">
        <v>0.41666999999999998</v>
      </c>
      <c r="AK611">
        <v>0</v>
      </c>
      <c r="AL611">
        <v>0</v>
      </c>
      <c r="AM611">
        <v>0</v>
      </c>
      <c r="AN611">
        <v>2</v>
      </c>
      <c r="AO611">
        <v>0</v>
      </c>
      <c r="AP611">
        <v>3</v>
      </c>
      <c r="AQ611">
        <v>0</v>
      </c>
      <c r="AR611">
        <v>3</v>
      </c>
      <c r="AS611">
        <v>6</v>
      </c>
      <c r="AT611">
        <v>0.33333000000000002</v>
      </c>
      <c r="AU611">
        <v>14</v>
      </c>
      <c r="AV611">
        <v>12</v>
      </c>
      <c r="AW611">
        <v>42</v>
      </c>
      <c r="AX611">
        <v>8</v>
      </c>
      <c r="AY611">
        <v>61</v>
      </c>
      <c r="AZ611">
        <v>4</v>
      </c>
      <c r="BA611" t="s">
        <v>17255</v>
      </c>
      <c r="BB611" t="s">
        <v>17256</v>
      </c>
      <c r="BC611">
        <v>0.90100000000000002</v>
      </c>
      <c r="BD611" t="s">
        <v>65</v>
      </c>
      <c r="BE611">
        <v>103</v>
      </c>
      <c r="BF611">
        <v>12</v>
      </c>
      <c r="BG611" t="s">
        <v>17257</v>
      </c>
      <c r="BH611" t="s">
        <v>17258</v>
      </c>
      <c r="BI611" t="s">
        <v>17259</v>
      </c>
      <c r="BJ611">
        <v>2.5600000000000001E-2</v>
      </c>
      <c r="BK611">
        <v>1</v>
      </c>
      <c r="BL611" t="s">
        <v>69</v>
      </c>
      <c r="BM611">
        <v>-0.15</v>
      </c>
      <c r="BN611">
        <v>0.188</v>
      </c>
    </row>
    <row r="612" spans="2:66">
      <c r="B612">
        <v>965</v>
      </c>
      <c r="C612">
        <v>318</v>
      </c>
      <c r="D612">
        <v>0</v>
      </c>
      <c r="E612">
        <v>4</v>
      </c>
      <c r="F612">
        <v>0</v>
      </c>
      <c r="J612">
        <v>0</v>
      </c>
      <c r="K612">
        <v>8</v>
      </c>
      <c r="L612">
        <v>0</v>
      </c>
      <c r="M612" t="s">
        <v>25022</v>
      </c>
      <c r="N612">
        <v>2990</v>
      </c>
      <c r="O612" t="s">
        <v>17260</v>
      </c>
      <c r="P612" t="s">
        <v>62</v>
      </c>
      <c r="Q612">
        <v>2939854</v>
      </c>
      <c r="R612">
        <v>2940696</v>
      </c>
      <c r="S612" t="s">
        <v>17261</v>
      </c>
      <c r="T612">
        <v>281</v>
      </c>
      <c r="U612" t="s">
        <v>394</v>
      </c>
      <c r="V612">
        <v>48</v>
      </c>
      <c r="W612" t="str">
        <f>HYPERLINK("Gene2990-zp_tree_all.dnd", "Gene2990-tree")</f>
        <v>Gene2990-tree</v>
      </c>
      <c r="X612">
        <v>13</v>
      </c>
      <c r="Y612">
        <v>6</v>
      </c>
      <c r="Z612">
        <v>13</v>
      </c>
      <c r="AA612">
        <v>6</v>
      </c>
      <c r="AB612">
        <v>0.31579000000000002</v>
      </c>
      <c r="AC612" t="s">
        <v>507</v>
      </c>
      <c r="AD612" t="s">
        <v>90</v>
      </c>
      <c r="AE612" t="s">
        <v>62</v>
      </c>
      <c r="AF612" t="s">
        <v>62</v>
      </c>
      <c r="AG612">
        <v>3</v>
      </c>
      <c r="AH612">
        <v>8</v>
      </c>
      <c r="AI612">
        <v>5</v>
      </c>
      <c r="AJ612">
        <v>0.61538000000000004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2</v>
      </c>
      <c r="AQ612">
        <v>0</v>
      </c>
      <c r="AR612">
        <v>2</v>
      </c>
      <c r="AS612">
        <v>5</v>
      </c>
      <c r="AT612">
        <v>0.28571000000000002</v>
      </c>
      <c r="AU612">
        <v>15</v>
      </c>
      <c r="AV612">
        <v>16</v>
      </c>
      <c r="AW612">
        <v>64</v>
      </c>
      <c r="AX612">
        <v>7</v>
      </c>
      <c r="AY612">
        <v>90</v>
      </c>
      <c r="AZ612">
        <v>6</v>
      </c>
      <c r="BA612" t="s">
        <v>17262</v>
      </c>
      <c r="BB612" t="s">
        <v>17263</v>
      </c>
      <c r="BC612">
        <v>0.44400000000000001</v>
      </c>
      <c r="BD612" t="s">
        <v>65</v>
      </c>
      <c r="BE612">
        <v>154</v>
      </c>
      <c r="BF612">
        <v>13</v>
      </c>
      <c r="BG612" t="s">
        <v>17264</v>
      </c>
      <c r="BH612" t="s">
        <v>17265</v>
      </c>
      <c r="BI612" t="s">
        <v>17266</v>
      </c>
      <c r="BJ612">
        <v>2.5499999999999998E-2</v>
      </c>
      <c r="BK612">
        <v>1</v>
      </c>
      <c r="BL612" t="s">
        <v>69</v>
      </c>
      <c r="BM612">
        <v>0.308</v>
      </c>
      <c r="BN612">
        <v>-0.30399999999999999</v>
      </c>
    </row>
    <row r="613" spans="2:66">
      <c r="B613">
        <v>966</v>
      </c>
      <c r="C613">
        <v>562</v>
      </c>
      <c r="D613">
        <v>6</v>
      </c>
      <c r="E613">
        <v>15</v>
      </c>
      <c r="F613">
        <v>0</v>
      </c>
      <c r="J613">
        <v>0</v>
      </c>
      <c r="K613">
        <v>2</v>
      </c>
      <c r="L613">
        <v>1</v>
      </c>
      <c r="M613" t="s">
        <v>25022</v>
      </c>
      <c r="N613">
        <v>2991</v>
      </c>
      <c r="O613" t="s">
        <v>17267</v>
      </c>
      <c r="P613" t="s">
        <v>62</v>
      </c>
      <c r="Q613">
        <v>2940700</v>
      </c>
      <c r="R613">
        <v>2941638</v>
      </c>
      <c r="S613" t="s">
        <v>17261</v>
      </c>
      <c r="T613">
        <v>313</v>
      </c>
      <c r="U613" t="s">
        <v>572</v>
      </c>
      <c r="V613">
        <v>48</v>
      </c>
      <c r="W613" t="str">
        <f>HYPERLINK("Gene2991-zp_tree_all.dnd", "Gene2991-tree")</f>
        <v>Gene2991-tree</v>
      </c>
      <c r="X613">
        <v>13</v>
      </c>
      <c r="Y613">
        <v>5</v>
      </c>
      <c r="Z613">
        <v>13</v>
      </c>
      <c r="AA613">
        <v>5</v>
      </c>
      <c r="AB613">
        <v>0.27778000000000003</v>
      </c>
      <c r="AC613" t="s">
        <v>507</v>
      </c>
      <c r="AD613" t="s">
        <v>199</v>
      </c>
      <c r="AE613" t="s">
        <v>62</v>
      </c>
      <c r="AF613" t="s">
        <v>62</v>
      </c>
      <c r="AG613">
        <v>1</v>
      </c>
      <c r="AH613">
        <v>3</v>
      </c>
      <c r="AI613">
        <v>10</v>
      </c>
      <c r="AJ613">
        <v>0.23077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8</v>
      </c>
      <c r="AT613">
        <v>0</v>
      </c>
      <c r="AU613">
        <v>17</v>
      </c>
      <c r="AV613">
        <v>14</v>
      </c>
      <c r="AW613">
        <v>52</v>
      </c>
      <c r="AX613">
        <v>8</v>
      </c>
      <c r="AY613">
        <v>69</v>
      </c>
      <c r="AZ613">
        <v>6</v>
      </c>
      <c r="BA613" t="s">
        <v>17268</v>
      </c>
      <c r="BB613" t="s">
        <v>17269</v>
      </c>
      <c r="BC613">
        <v>0.35699999999999998</v>
      </c>
      <c r="BD613" t="s">
        <v>65</v>
      </c>
      <c r="BE613">
        <v>121</v>
      </c>
      <c r="BF613">
        <v>14</v>
      </c>
      <c r="BG613" t="s">
        <v>17270</v>
      </c>
      <c r="BH613" t="s">
        <v>17271</v>
      </c>
      <c r="BI613" t="s">
        <v>6226</v>
      </c>
      <c r="BJ613">
        <v>2.9559999999999999E-2</v>
      </c>
      <c r="BK613">
        <v>1</v>
      </c>
      <c r="BL613" t="s">
        <v>69</v>
      </c>
      <c r="BM613">
        <v>-0.63700000000000001</v>
      </c>
      <c r="BN613">
        <v>-1.0009999999999999</v>
      </c>
    </row>
    <row r="614" spans="2:66">
      <c r="B614">
        <v>967</v>
      </c>
      <c r="C614">
        <v>14</v>
      </c>
      <c r="D614">
        <v>0</v>
      </c>
      <c r="E614">
        <v>10</v>
      </c>
      <c r="F614">
        <v>0</v>
      </c>
      <c r="J614">
        <v>0</v>
      </c>
      <c r="K614">
        <v>11</v>
      </c>
      <c r="L614">
        <v>0</v>
      </c>
      <c r="M614" t="s">
        <v>25022</v>
      </c>
      <c r="N614">
        <v>2992</v>
      </c>
      <c r="O614" t="s">
        <v>17272</v>
      </c>
      <c r="P614" t="s">
        <v>62</v>
      </c>
      <c r="Q614">
        <v>2941677</v>
      </c>
      <c r="R614">
        <v>2942975</v>
      </c>
      <c r="S614" t="s">
        <v>17273</v>
      </c>
      <c r="T614">
        <v>433</v>
      </c>
      <c r="U614" t="s">
        <v>5451</v>
      </c>
      <c r="V614">
        <v>43</v>
      </c>
      <c r="W614" t="str">
        <f>HYPERLINK("Gene2992-zp_tree_all.dnd", "Gene2992-tree")</f>
        <v>Gene2992-tree</v>
      </c>
      <c r="X614">
        <v>3</v>
      </c>
      <c r="Y614">
        <v>11</v>
      </c>
      <c r="Z614">
        <v>3</v>
      </c>
      <c r="AA614">
        <v>11</v>
      </c>
      <c r="AB614">
        <v>0.78571000000000002</v>
      </c>
      <c r="AC614" t="s">
        <v>324</v>
      </c>
      <c r="AD614" t="s">
        <v>73</v>
      </c>
      <c r="AE614">
        <v>305230034.74400002</v>
      </c>
      <c r="AF614" t="s">
        <v>267</v>
      </c>
      <c r="AG614">
        <v>4</v>
      </c>
      <c r="AH614">
        <v>11</v>
      </c>
      <c r="AI614">
        <v>12</v>
      </c>
      <c r="AJ614">
        <v>0.47826000000000002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9</v>
      </c>
      <c r="AQ614">
        <v>0</v>
      </c>
      <c r="AR614">
        <v>9</v>
      </c>
      <c r="AS614">
        <v>9</v>
      </c>
      <c r="AT614">
        <v>0.5</v>
      </c>
      <c r="AU614">
        <v>10</v>
      </c>
      <c r="AV614">
        <v>11</v>
      </c>
      <c r="AW614">
        <v>41</v>
      </c>
      <c r="AX614">
        <v>13</v>
      </c>
      <c r="AY614">
        <v>64</v>
      </c>
      <c r="AZ614">
        <v>10</v>
      </c>
      <c r="BA614" t="s">
        <v>17274</v>
      </c>
      <c r="BB614" t="s">
        <v>17275</v>
      </c>
      <c r="BC614">
        <v>1.371</v>
      </c>
      <c r="BD614" t="s">
        <v>65</v>
      </c>
      <c r="BE614">
        <v>105</v>
      </c>
      <c r="BF614">
        <v>23</v>
      </c>
      <c r="BG614" t="s">
        <v>17276</v>
      </c>
      <c r="BH614" t="s">
        <v>17277</v>
      </c>
      <c r="BI614" t="s">
        <v>17278</v>
      </c>
      <c r="BJ614">
        <v>5.2659999999999998E-2</v>
      </c>
      <c r="BK614">
        <v>1</v>
      </c>
      <c r="BL614" t="s">
        <v>69</v>
      </c>
      <c r="BM614">
        <v>1.7809999999999999</v>
      </c>
      <c r="BN614">
        <v>1.1919999999999999</v>
      </c>
    </row>
    <row r="615" spans="2:66">
      <c r="B615">
        <v>969</v>
      </c>
      <c r="C615">
        <v>145</v>
      </c>
      <c r="D615">
        <v>0</v>
      </c>
      <c r="E615">
        <v>10</v>
      </c>
      <c r="F615">
        <v>1</v>
      </c>
      <c r="J615">
        <v>0</v>
      </c>
      <c r="K615">
        <v>28</v>
      </c>
      <c r="L615">
        <v>2</v>
      </c>
      <c r="M615" t="s">
        <v>25022</v>
      </c>
      <c r="N615">
        <v>2993</v>
      </c>
      <c r="O615" t="s">
        <v>17279</v>
      </c>
      <c r="P615" t="s">
        <v>62</v>
      </c>
      <c r="Q615">
        <v>2943009</v>
      </c>
      <c r="R615">
        <v>2944190</v>
      </c>
      <c r="S615" t="s">
        <v>17280</v>
      </c>
      <c r="T615">
        <v>394</v>
      </c>
      <c r="U615" t="s">
        <v>108</v>
      </c>
      <c r="V615">
        <v>44</v>
      </c>
      <c r="W615" t="str">
        <f>HYPERLINK("Gene2993-zp_tree_all.dnd", "Gene2993-tree")</f>
        <v>Gene2993-tree</v>
      </c>
      <c r="X615">
        <v>2</v>
      </c>
      <c r="Y615">
        <v>32</v>
      </c>
      <c r="Z615">
        <v>2</v>
      </c>
      <c r="AA615">
        <v>13</v>
      </c>
      <c r="AB615">
        <v>0.86667000000000005</v>
      </c>
      <c r="AC615" t="s">
        <v>81</v>
      </c>
      <c r="AD615" t="s">
        <v>10857</v>
      </c>
      <c r="AE615">
        <v>0.96099999999999997</v>
      </c>
      <c r="AF615" t="s">
        <v>65</v>
      </c>
      <c r="AG615">
        <v>11</v>
      </c>
      <c r="AH615">
        <v>30</v>
      </c>
      <c r="AI615">
        <v>23</v>
      </c>
      <c r="AJ615">
        <v>0.56603999999999999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11</v>
      </c>
      <c r="AQ615">
        <v>2</v>
      </c>
      <c r="AR615">
        <v>13</v>
      </c>
      <c r="AS615">
        <v>19</v>
      </c>
      <c r="AT615">
        <v>0.40625</v>
      </c>
      <c r="AU615">
        <v>14</v>
      </c>
      <c r="AV615">
        <v>11</v>
      </c>
      <c r="AW615">
        <v>80</v>
      </c>
      <c r="AX615">
        <v>34</v>
      </c>
      <c r="AY615">
        <v>50</v>
      </c>
      <c r="AZ615">
        <v>22</v>
      </c>
      <c r="BA615" t="s">
        <v>17281</v>
      </c>
      <c r="BB615" t="s">
        <v>17282</v>
      </c>
      <c r="BC615">
        <v>0.11</v>
      </c>
      <c r="BD615" t="s">
        <v>65</v>
      </c>
      <c r="BE615">
        <v>130</v>
      </c>
      <c r="BF615">
        <v>56</v>
      </c>
      <c r="BG615" t="s">
        <v>17283</v>
      </c>
      <c r="BH615" t="s">
        <v>17284</v>
      </c>
      <c r="BI615" t="s">
        <v>4378</v>
      </c>
      <c r="BJ615">
        <v>0.12114</v>
      </c>
      <c r="BK615">
        <v>1</v>
      </c>
      <c r="BL615" t="s">
        <v>69</v>
      </c>
      <c r="BM615">
        <v>0.56499999999999995</v>
      </c>
      <c r="BN615">
        <v>-0.66200000000000003</v>
      </c>
    </row>
    <row r="616" spans="2:66">
      <c r="B616">
        <v>970</v>
      </c>
      <c r="C616">
        <v>76</v>
      </c>
      <c r="D616">
        <v>0</v>
      </c>
      <c r="E616">
        <v>2</v>
      </c>
      <c r="F616">
        <v>0</v>
      </c>
      <c r="J616">
        <v>0</v>
      </c>
      <c r="K616">
        <v>9</v>
      </c>
      <c r="L616">
        <v>0</v>
      </c>
      <c r="M616" t="s">
        <v>25022</v>
      </c>
      <c r="N616">
        <v>2994</v>
      </c>
      <c r="O616" t="s">
        <v>17285</v>
      </c>
      <c r="P616" t="s">
        <v>62</v>
      </c>
      <c r="Q616">
        <v>2944190</v>
      </c>
      <c r="R616">
        <v>2945005</v>
      </c>
      <c r="S616" t="s">
        <v>17286</v>
      </c>
      <c r="T616">
        <v>272</v>
      </c>
      <c r="U616" t="s">
        <v>108</v>
      </c>
      <c r="V616">
        <v>44</v>
      </c>
      <c r="W616" t="str">
        <f>HYPERLINK("Gene2994-zp_tree_all.dnd", "Gene2994-tree")</f>
        <v>Gene2994-tree</v>
      </c>
      <c r="X616">
        <v>4</v>
      </c>
      <c r="Y616">
        <v>9</v>
      </c>
      <c r="Z616">
        <v>4</v>
      </c>
      <c r="AA616">
        <v>9</v>
      </c>
      <c r="AB616">
        <v>0.69230999999999998</v>
      </c>
      <c r="AC616" t="s">
        <v>61</v>
      </c>
      <c r="AD616" t="s">
        <v>135</v>
      </c>
      <c r="AE616" t="s">
        <v>62</v>
      </c>
      <c r="AF616" t="s">
        <v>62</v>
      </c>
      <c r="AG616">
        <v>4</v>
      </c>
      <c r="AH616">
        <v>9</v>
      </c>
      <c r="AI616">
        <v>8</v>
      </c>
      <c r="AJ616">
        <v>0.52941000000000005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4</v>
      </c>
      <c r="AQ616">
        <v>0</v>
      </c>
      <c r="AR616">
        <v>4</v>
      </c>
      <c r="AS616">
        <v>10</v>
      </c>
      <c r="AT616">
        <v>0.28571000000000002</v>
      </c>
      <c r="AU616">
        <v>10</v>
      </c>
      <c r="AV616">
        <v>8</v>
      </c>
      <c r="AW616">
        <v>28</v>
      </c>
      <c r="AX616">
        <v>13</v>
      </c>
      <c r="AY616">
        <v>18</v>
      </c>
      <c r="AZ616">
        <v>4</v>
      </c>
      <c r="BA616" t="s">
        <v>17287</v>
      </c>
      <c r="BB616" t="s">
        <v>17288</v>
      </c>
      <c r="BC616">
        <v>1.056</v>
      </c>
      <c r="BD616" t="s">
        <v>65</v>
      </c>
      <c r="BE616">
        <v>46</v>
      </c>
      <c r="BF616">
        <v>17</v>
      </c>
      <c r="BG616" t="s">
        <v>17289</v>
      </c>
      <c r="BH616" t="s">
        <v>17290</v>
      </c>
      <c r="BI616" t="s">
        <v>5746</v>
      </c>
      <c r="BJ616">
        <v>9.6610000000000001E-2</v>
      </c>
      <c r="BK616">
        <v>1</v>
      </c>
      <c r="BL616" t="s">
        <v>69</v>
      </c>
      <c r="BM616">
        <v>-1.9E-2</v>
      </c>
      <c r="BN616">
        <v>-0.26600000000000001</v>
      </c>
    </row>
    <row r="617" spans="2:66">
      <c r="B617">
        <v>972</v>
      </c>
      <c r="C617">
        <v>287</v>
      </c>
      <c r="D617">
        <v>0</v>
      </c>
      <c r="E617">
        <v>12</v>
      </c>
      <c r="F617">
        <v>0</v>
      </c>
      <c r="J617">
        <v>0</v>
      </c>
      <c r="K617">
        <v>0</v>
      </c>
      <c r="L617">
        <v>0</v>
      </c>
      <c r="M617" t="s">
        <v>25022</v>
      </c>
      <c r="N617">
        <v>2995</v>
      </c>
      <c r="O617" t="s">
        <v>17291</v>
      </c>
      <c r="P617" t="s">
        <v>62</v>
      </c>
      <c r="Q617">
        <v>2944986</v>
      </c>
      <c r="R617">
        <v>2945672</v>
      </c>
      <c r="S617" t="s">
        <v>17292</v>
      </c>
      <c r="T617">
        <v>229</v>
      </c>
      <c r="U617" t="s">
        <v>289</v>
      </c>
      <c r="V617">
        <v>46</v>
      </c>
      <c r="W617" t="str">
        <f>HYPERLINK("Gene2995-zp_tree_all.dnd", "Gene2995-tree")</f>
        <v>Gene2995-tree</v>
      </c>
      <c r="X617">
        <v>10</v>
      </c>
      <c r="Y617">
        <v>6</v>
      </c>
      <c r="Z617">
        <v>10</v>
      </c>
      <c r="AA617">
        <v>6</v>
      </c>
      <c r="AB617">
        <v>0.375</v>
      </c>
      <c r="AC617" t="s">
        <v>117</v>
      </c>
      <c r="AD617" t="s">
        <v>90</v>
      </c>
      <c r="AE617" t="s">
        <v>62</v>
      </c>
      <c r="AF617" t="s">
        <v>62</v>
      </c>
      <c r="AG617">
        <v>0</v>
      </c>
      <c r="AH617">
        <v>0</v>
      </c>
      <c r="AI617">
        <v>9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6</v>
      </c>
      <c r="AT617">
        <v>0</v>
      </c>
      <c r="AU617">
        <v>14</v>
      </c>
      <c r="AV617">
        <v>8</v>
      </c>
      <c r="AW617">
        <v>54</v>
      </c>
      <c r="AX617">
        <v>6</v>
      </c>
      <c r="AY617">
        <v>20</v>
      </c>
      <c r="AZ617">
        <v>3</v>
      </c>
      <c r="BA617" t="s">
        <v>17293</v>
      </c>
      <c r="BB617" t="s">
        <v>17294</v>
      </c>
      <c r="BC617">
        <v>0.13800000000000001</v>
      </c>
      <c r="BD617" t="s">
        <v>65</v>
      </c>
      <c r="BE617">
        <v>74</v>
      </c>
      <c r="BF617">
        <v>9</v>
      </c>
      <c r="BG617" t="s">
        <v>17295</v>
      </c>
      <c r="BH617" t="s">
        <v>17296</v>
      </c>
      <c r="BI617" t="s">
        <v>17297</v>
      </c>
      <c r="BJ617">
        <v>3.8240000000000003E-2</v>
      </c>
      <c r="BK617">
        <v>1</v>
      </c>
      <c r="BL617" t="s">
        <v>69</v>
      </c>
      <c r="BM617">
        <v>-1.6639999999999999</v>
      </c>
      <c r="BN617">
        <v>-3.13</v>
      </c>
    </row>
    <row r="618" spans="2:66">
      <c r="B618">
        <v>973</v>
      </c>
      <c r="C618">
        <v>70</v>
      </c>
      <c r="D618">
        <v>0</v>
      </c>
      <c r="E618">
        <v>2</v>
      </c>
      <c r="F618">
        <v>0</v>
      </c>
      <c r="J618">
        <v>0</v>
      </c>
      <c r="K618">
        <v>21</v>
      </c>
      <c r="L618">
        <v>2</v>
      </c>
      <c r="M618" t="s">
        <v>25022</v>
      </c>
      <c r="N618">
        <v>2996</v>
      </c>
      <c r="O618" t="s">
        <v>17298</v>
      </c>
      <c r="P618" t="s">
        <v>62</v>
      </c>
      <c r="Q618">
        <v>2945692</v>
      </c>
      <c r="R618">
        <v>2947371</v>
      </c>
      <c r="S618" t="s">
        <v>17299</v>
      </c>
      <c r="T618">
        <v>560</v>
      </c>
      <c r="U618" t="s">
        <v>108</v>
      </c>
      <c r="V618">
        <v>44</v>
      </c>
      <c r="W618" t="str">
        <f>HYPERLINK("Gene2996-zp_tree_all.dnd", "Gene2996-tree")</f>
        <v>Gene2996-tree</v>
      </c>
      <c r="X618">
        <v>2</v>
      </c>
      <c r="Y618">
        <v>12</v>
      </c>
      <c r="Z618">
        <v>2</v>
      </c>
      <c r="AA618">
        <v>12</v>
      </c>
      <c r="AB618">
        <v>0.85714000000000001</v>
      </c>
      <c r="AC618" t="s">
        <v>81</v>
      </c>
      <c r="AD618" t="s">
        <v>109</v>
      </c>
      <c r="AE618" t="s">
        <v>62</v>
      </c>
      <c r="AF618" t="s">
        <v>62</v>
      </c>
      <c r="AG618">
        <v>8</v>
      </c>
      <c r="AH618">
        <v>23</v>
      </c>
      <c r="AI618">
        <v>12</v>
      </c>
      <c r="AJ618">
        <v>0.65713999999999995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8</v>
      </c>
      <c r="AQ618">
        <v>2</v>
      </c>
      <c r="AR618">
        <v>10</v>
      </c>
      <c r="AS618">
        <v>13</v>
      </c>
      <c r="AT618">
        <v>0.43478</v>
      </c>
      <c r="AU618">
        <v>14</v>
      </c>
      <c r="AV618">
        <v>10</v>
      </c>
      <c r="AW618">
        <v>67</v>
      </c>
      <c r="AX618">
        <v>23</v>
      </c>
      <c r="AY618">
        <v>29</v>
      </c>
      <c r="AZ618">
        <v>12</v>
      </c>
      <c r="BA618" t="s">
        <v>17300</v>
      </c>
      <c r="BB618" t="s">
        <v>17301</v>
      </c>
      <c r="BC618">
        <v>0.25800000000000001</v>
      </c>
      <c r="BD618" t="s">
        <v>65</v>
      </c>
      <c r="BE618">
        <v>96</v>
      </c>
      <c r="BF618">
        <v>35</v>
      </c>
      <c r="BG618" t="s">
        <v>17302</v>
      </c>
      <c r="BH618" t="s">
        <v>17303</v>
      </c>
      <c r="BI618" t="s">
        <v>17304</v>
      </c>
      <c r="BJ618">
        <v>8.5370000000000001E-2</v>
      </c>
      <c r="BK618">
        <v>1</v>
      </c>
      <c r="BL618" t="s">
        <v>69</v>
      </c>
      <c r="BM618">
        <v>-1.165</v>
      </c>
      <c r="BN618">
        <v>-2.65</v>
      </c>
    </row>
    <row r="619" spans="2:66">
      <c r="B619">
        <v>974</v>
      </c>
      <c r="C619">
        <v>30</v>
      </c>
      <c r="D619">
        <v>0</v>
      </c>
      <c r="E619">
        <v>17</v>
      </c>
      <c r="F619">
        <v>2</v>
      </c>
      <c r="J619">
        <v>0</v>
      </c>
      <c r="K619">
        <v>4</v>
      </c>
      <c r="L619">
        <v>0</v>
      </c>
      <c r="M619" t="s">
        <v>25022</v>
      </c>
      <c r="N619">
        <v>2997</v>
      </c>
      <c r="O619" t="s">
        <v>17305</v>
      </c>
      <c r="P619" t="s">
        <v>62</v>
      </c>
      <c r="Q619">
        <v>2947388</v>
      </c>
      <c r="R619">
        <v>2948875</v>
      </c>
      <c r="S619" t="s">
        <v>17306</v>
      </c>
      <c r="T619">
        <v>496</v>
      </c>
      <c r="U619" t="s">
        <v>108</v>
      </c>
      <c r="V619">
        <v>44</v>
      </c>
      <c r="W619" t="str">
        <f>HYPERLINK("Gene2997-zp_tree_all.dnd", "Gene2997-tree")</f>
        <v>Gene2997-tree</v>
      </c>
      <c r="X619">
        <v>8</v>
      </c>
      <c r="Y619">
        <v>7</v>
      </c>
      <c r="Z619">
        <v>8</v>
      </c>
      <c r="AA619">
        <v>7</v>
      </c>
      <c r="AB619">
        <v>0.46666999999999997</v>
      </c>
      <c r="AC619" t="s">
        <v>136</v>
      </c>
      <c r="AD619" t="s">
        <v>152</v>
      </c>
      <c r="AE619" t="s">
        <v>62</v>
      </c>
      <c r="AF619" t="s">
        <v>62</v>
      </c>
      <c r="AG619">
        <v>1</v>
      </c>
      <c r="AH619">
        <v>4</v>
      </c>
      <c r="AI619">
        <v>12</v>
      </c>
      <c r="AJ619">
        <v>0.25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3</v>
      </c>
      <c r="AQ619">
        <v>0</v>
      </c>
      <c r="AR619">
        <v>3</v>
      </c>
      <c r="AS619">
        <v>8</v>
      </c>
      <c r="AT619">
        <v>0.27272999999999997</v>
      </c>
      <c r="AU619">
        <v>14</v>
      </c>
      <c r="AV619">
        <v>10</v>
      </c>
      <c r="AW619">
        <v>36</v>
      </c>
      <c r="AX619">
        <v>11</v>
      </c>
      <c r="AY619">
        <v>19</v>
      </c>
      <c r="AZ619">
        <v>5</v>
      </c>
      <c r="BA619" t="s">
        <v>17307</v>
      </c>
      <c r="BB619" t="s">
        <v>17308</v>
      </c>
      <c r="BC619">
        <v>0.16200000000000001</v>
      </c>
      <c r="BD619" t="s">
        <v>65</v>
      </c>
      <c r="BE619">
        <v>55</v>
      </c>
      <c r="BF619">
        <v>16</v>
      </c>
      <c r="BG619" t="s">
        <v>17309</v>
      </c>
      <c r="BH619" t="s">
        <v>17310</v>
      </c>
      <c r="BI619" t="s">
        <v>17311</v>
      </c>
      <c r="BJ619">
        <v>8.6540000000000006E-2</v>
      </c>
      <c r="BK619">
        <v>1</v>
      </c>
      <c r="BL619" t="s">
        <v>69</v>
      </c>
      <c r="BM619">
        <v>-1.032</v>
      </c>
      <c r="BN619">
        <v>-1.2210000000000001</v>
      </c>
    </row>
    <row r="620" spans="2:66">
      <c r="B620">
        <v>975</v>
      </c>
      <c r="C620">
        <v>313</v>
      </c>
      <c r="D620">
        <v>0</v>
      </c>
      <c r="E620">
        <v>2</v>
      </c>
      <c r="F620">
        <v>0</v>
      </c>
      <c r="J620">
        <v>0</v>
      </c>
      <c r="K620">
        <v>7</v>
      </c>
      <c r="L620">
        <v>0</v>
      </c>
      <c r="M620" t="s">
        <v>25022</v>
      </c>
      <c r="N620">
        <v>2998</v>
      </c>
      <c r="O620" t="s">
        <v>17312</v>
      </c>
      <c r="P620" t="s">
        <v>62</v>
      </c>
      <c r="Q620">
        <v>2949056</v>
      </c>
      <c r="R620">
        <v>2950024</v>
      </c>
      <c r="S620" t="s">
        <v>17313</v>
      </c>
      <c r="T620">
        <v>323</v>
      </c>
      <c r="U620" t="s">
        <v>1196</v>
      </c>
      <c r="V620">
        <v>39</v>
      </c>
      <c r="W620" t="str">
        <f>HYPERLINK("Gene2998-zp_tree_all.dnd", "Gene2998-tree")</f>
        <v>Gene2998-tree</v>
      </c>
      <c r="X620">
        <v>8</v>
      </c>
      <c r="Y620">
        <v>5</v>
      </c>
      <c r="Z620">
        <v>8</v>
      </c>
      <c r="AA620">
        <v>5</v>
      </c>
      <c r="AB620">
        <v>0.38462000000000002</v>
      </c>
      <c r="AC620" t="s">
        <v>136</v>
      </c>
      <c r="AD620" t="s">
        <v>199</v>
      </c>
      <c r="AE620" t="s">
        <v>62</v>
      </c>
      <c r="AF620" t="s">
        <v>62</v>
      </c>
      <c r="AG620">
        <v>3</v>
      </c>
      <c r="AH620">
        <v>7</v>
      </c>
      <c r="AI620">
        <v>10</v>
      </c>
      <c r="AJ620">
        <v>0.41176000000000001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5</v>
      </c>
      <c r="AQ620">
        <v>2</v>
      </c>
      <c r="AR620">
        <v>7</v>
      </c>
      <c r="AS620">
        <v>8</v>
      </c>
      <c r="AT620">
        <v>0.46666999999999997</v>
      </c>
      <c r="AU620">
        <v>13</v>
      </c>
      <c r="AV620">
        <v>10</v>
      </c>
      <c r="AW620">
        <v>61</v>
      </c>
      <c r="AX620">
        <v>16</v>
      </c>
      <c r="AY620">
        <v>32</v>
      </c>
      <c r="AZ620">
        <v>2</v>
      </c>
      <c r="BA620" t="s">
        <v>17314</v>
      </c>
      <c r="BB620" t="s">
        <v>17315</v>
      </c>
      <c r="BC620">
        <v>0.46500000000000002</v>
      </c>
      <c r="BD620" t="s">
        <v>65</v>
      </c>
      <c r="BE620">
        <v>93</v>
      </c>
      <c r="BF620">
        <v>18</v>
      </c>
      <c r="BG620" t="s">
        <v>17316</v>
      </c>
      <c r="BH620" t="s">
        <v>17317</v>
      </c>
      <c r="BI620" t="s">
        <v>17318</v>
      </c>
      <c r="BJ620">
        <v>5.2650000000000002E-2</v>
      </c>
      <c r="BK620">
        <v>1</v>
      </c>
      <c r="BL620" t="s">
        <v>69</v>
      </c>
      <c r="BM620">
        <v>-0.86</v>
      </c>
      <c r="BN620">
        <v>-1.514</v>
      </c>
    </row>
    <row r="621" spans="2:66">
      <c r="B621">
        <v>976</v>
      </c>
      <c r="C621">
        <v>368</v>
      </c>
      <c r="D621">
        <v>0</v>
      </c>
      <c r="E621">
        <v>23</v>
      </c>
      <c r="F621">
        <v>1</v>
      </c>
      <c r="J621">
        <v>0</v>
      </c>
      <c r="K621">
        <v>0</v>
      </c>
      <c r="L621">
        <v>0</v>
      </c>
      <c r="M621" t="s">
        <v>25022</v>
      </c>
      <c r="N621">
        <v>2999</v>
      </c>
      <c r="O621" t="s">
        <v>17319</v>
      </c>
      <c r="P621" t="s">
        <v>62</v>
      </c>
      <c r="Q621">
        <v>2950224</v>
      </c>
      <c r="R621">
        <v>2951306</v>
      </c>
      <c r="S621" t="s">
        <v>17320</v>
      </c>
      <c r="T621">
        <v>361</v>
      </c>
      <c r="U621" t="s">
        <v>108</v>
      </c>
      <c r="V621">
        <v>44</v>
      </c>
      <c r="W621" t="str">
        <f>HYPERLINK("Gene2999-zp_tree_all.dnd", "Gene2999-tree")</f>
        <v>Gene2999-tree</v>
      </c>
      <c r="X621">
        <v>8</v>
      </c>
      <c r="Y621">
        <v>6</v>
      </c>
      <c r="Z621">
        <v>8</v>
      </c>
      <c r="AA621">
        <v>6</v>
      </c>
      <c r="AB621">
        <v>0.42857000000000001</v>
      </c>
      <c r="AC621" t="s">
        <v>136</v>
      </c>
      <c r="AD621" t="s">
        <v>90</v>
      </c>
      <c r="AE621" t="s">
        <v>62</v>
      </c>
      <c r="AF621" t="s">
        <v>62</v>
      </c>
      <c r="AG621">
        <v>0</v>
      </c>
      <c r="AH621">
        <v>0</v>
      </c>
      <c r="AI621">
        <v>9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7</v>
      </c>
      <c r="AT621">
        <v>0</v>
      </c>
      <c r="AU621">
        <v>11</v>
      </c>
      <c r="AV621">
        <v>11</v>
      </c>
      <c r="AW621">
        <v>31</v>
      </c>
      <c r="AX621">
        <v>7</v>
      </c>
      <c r="AY621">
        <v>31</v>
      </c>
      <c r="AZ621">
        <v>2</v>
      </c>
      <c r="BA621" t="s">
        <v>17321</v>
      </c>
      <c r="BB621" t="s">
        <v>17322</v>
      </c>
      <c r="BC621">
        <v>1.03</v>
      </c>
      <c r="BD621" t="s">
        <v>65</v>
      </c>
      <c r="BE621">
        <v>62</v>
      </c>
      <c r="BF621">
        <v>9</v>
      </c>
      <c r="BG621" t="s">
        <v>17323</v>
      </c>
      <c r="BH621" t="s">
        <v>17324</v>
      </c>
      <c r="BI621" t="s">
        <v>17325</v>
      </c>
      <c r="BJ621">
        <v>3.6159999999999998E-2</v>
      </c>
      <c r="BK621">
        <v>1</v>
      </c>
      <c r="BL621" t="s">
        <v>69</v>
      </c>
      <c r="BM621">
        <v>-0.40699999999999997</v>
      </c>
      <c r="BN621">
        <v>-0.81100000000000005</v>
      </c>
    </row>
    <row r="622" spans="2:66">
      <c r="B622">
        <v>979</v>
      </c>
      <c r="C622">
        <v>65</v>
      </c>
      <c r="D622">
        <v>0</v>
      </c>
      <c r="E622">
        <v>13</v>
      </c>
      <c r="F622">
        <v>0</v>
      </c>
      <c r="J622">
        <v>0</v>
      </c>
      <c r="K622">
        <v>0</v>
      </c>
      <c r="L622">
        <v>0</v>
      </c>
      <c r="M622" t="s">
        <v>25022</v>
      </c>
      <c r="N622">
        <v>3001</v>
      </c>
      <c r="O622" t="s">
        <v>17332</v>
      </c>
      <c r="P622" t="s">
        <v>62</v>
      </c>
      <c r="Q622">
        <v>2951901</v>
      </c>
      <c r="R622">
        <v>2952167</v>
      </c>
      <c r="S622" t="s">
        <v>3752</v>
      </c>
      <c r="T622">
        <v>89</v>
      </c>
      <c r="U622" t="s">
        <v>108</v>
      </c>
      <c r="V622">
        <v>44</v>
      </c>
      <c r="W622" t="str">
        <f>HYPERLINK("Gene3001-zp_tree_all.dnd", "Gene3001-tree")</f>
        <v>Gene3001-tree</v>
      </c>
      <c r="X622">
        <v>6</v>
      </c>
      <c r="Y622">
        <v>3</v>
      </c>
      <c r="Z622">
        <v>6</v>
      </c>
      <c r="AA622">
        <v>3</v>
      </c>
      <c r="AB622">
        <v>0.33333000000000002</v>
      </c>
      <c r="AC622" t="s">
        <v>90</v>
      </c>
      <c r="AD622" t="s">
        <v>324</v>
      </c>
      <c r="AE622" t="s">
        <v>62</v>
      </c>
      <c r="AF622" t="s">
        <v>62</v>
      </c>
      <c r="AG622">
        <v>0</v>
      </c>
      <c r="AH622">
        <v>0</v>
      </c>
      <c r="AI622">
        <v>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3</v>
      </c>
      <c r="AT622">
        <v>0</v>
      </c>
      <c r="AU622">
        <v>5</v>
      </c>
      <c r="AV622">
        <v>5</v>
      </c>
      <c r="AW622">
        <v>4</v>
      </c>
      <c r="AX622">
        <v>3</v>
      </c>
      <c r="AY622">
        <v>5</v>
      </c>
      <c r="AZ622">
        <v>0</v>
      </c>
      <c r="BA622" t="s">
        <v>17333</v>
      </c>
      <c r="BB622" t="s">
        <v>193</v>
      </c>
      <c r="BC622">
        <v>2.4390000000000001</v>
      </c>
      <c r="BD622" t="s">
        <v>267</v>
      </c>
      <c r="BE622">
        <v>9</v>
      </c>
      <c r="BF622">
        <v>3</v>
      </c>
      <c r="BG622" t="s">
        <v>17334</v>
      </c>
      <c r="BH622" t="s">
        <v>17335</v>
      </c>
      <c r="BI622" t="s">
        <v>17336</v>
      </c>
      <c r="BJ622">
        <v>6.5140000000000003E-2</v>
      </c>
      <c r="BK622">
        <v>1</v>
      </c>
      <c r="BL622" t="s">
        <v>69</v>
      </c>
      <c r="BM622">
        <v>0.34699999999999998</v>
      </c>
      <c r="BN622">
        <v>-0.23</v>
      </c>
    </row>
    <row r="623" spans="2:66">
      <c r="B623">
        <v>981</v>
      </c>
      <c r="C623">
        <v>417</v>
      </c>
      <c r="D623">
        <v>0</v>
      </c>
      <c r="E623">
        <v>2</v>
      </c>
      <c r="F623">
        <v>0</v>
      </c>
      <c r="J623">
        <v>0</v>
      </c>
      <c r="K623">
        <v>0</v>
      </c>
      <c r="L623">
        <v>0</v>
      </c>
      <c r="M623" t="s">
        <v>25022</v>
      </c>
      <c r="N623">
        <v>3002</v>
      </c>
      <c r="O623" t="s">
        <v>17337</v>
      </c>
      <c r="P623" t="s">
        <v>62</v>
      </c>
      <c r="Q623">
        <v>2952227</v>
      </c>
      <c r="R623">
        <v>2952583</v>
      </c>
      <c r="S623" t="s">
        <v>17338</v>
      </c>
      <c r="T623">
        <v>119</v>
      </c>
      <c r="U623" t="s">
        <v>17339</v>
      </c>
      <c r="V623">
        <v>50</v>
      </c>
      <c r="W623" t="str">
        <f>HYPERLINK("Gene3002-zp_tree_all.dnd", "Gene3002-tree")</f>
        <v>Gene3002-tree</v>
      </c>
      <c r="X623">
        <v>7</v>
      </c>
      <c r="Y623">
        <v>2</v>
      </c>
      <c r="Z623">
        <v>7</v>
      </c>
      <c r="AA623">
        <v>2</v>
      </c>
      <c r="AB623">
        <v>0.22222</v>
      </c>
      <c r="AC623" t="s">
        <v>152</v>
      </c>
      <c r="AD623" t="s">
        <v>81</v>
      </c>
      <c r="AE623" t="s">
        <v>62</v>
      </c>
      <c r="AF623" t="s">
        <v>62</v>
      </c>
      <c r="AG623">
        <v>0</v>
      </c>
      <c r="AH623">
        <v>0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0</v>
      </c>
      <c r="AU623">
        <v>6</v>
      </c>
      <c r="AV623">
        <v>3</v>
      </c>
      <c r="AW623">
        <v>17</v>
      </c>
      <c r="AX623">
        <v>2</v>
      </c>
      <c r="AY623">
        <v>3</v>
      </c>
      <c r="AZ623">
        <v>0</v>
      </c>
      <c r="BA623" t="s">
        <v>17340</v>
      </c>
      <c r="BB623" t="s">
        <v>193</v>
      </c>
      <c r="BC623">
        <v>0.64200000000000002</v>
      </c>
      <c r="BD623" t="s">
        <v>65</v>
      </c>
      <c r="BE623">
        <v>20</v>
      </c>
      <c r="BF623">
        <v>2</v>
      </c>
      <c r="BG623" t="s">
        <v>17341</v>
      </c>
      <c r="BH623" t="s">
        <v>17342</v>
      </c>
      <c r="BI623" t="s">
        <v>17343</v>
      </c>
      <c r="BJ623">
        <v>2.3259999999999999E-2</v>
      </c>
      <c r="BK623">
        <v>1</v>
      </c>
      <c r="BL623" t="s">
        <v>69</v>
      </c>
      <c r="BM623">
        <v>-2.2240000000000002</v>
      </c>
      <c r="BN623">
        <v>-3.4329999999999998</v>
      </c>
    </row>
    <row r="624" spans="2:66">
      <c r="B624">
        <v>983</v>
      </c>
      <c r="C624">
        <v>101</v>
      </c>
      <c r="D624">
        <v>0</v>
      </c>
      <c r="E624">
        <v>33</v>
      </c>
      <c r="F624">
        <v>6</v>
      </c>
      <c r="J624">
        <v>0</v>
      </c>
      <c r="K624">
        <v>0</v>
      </c>
      <c r="L624">
        <v>0</v>
      </c>
      <c r="M624" t="s">
        <v>25022</v>
      </c>
      <c r="N624">
        <v>3003</v>
      </c>
      <c r="O624" t="s">
        <v>17344</v>
      </c>
      <c r="P624" t="s">
        <v>62</v>
      </c>
      <c r="Q624">
        <v>2952618</v>
      </c>
      <c r="R624">
        <v>2952815</v>
      </c>
      <c r="S624" t="s">
        <v>17345</v>
      </c>
      <c r="T624">
        <v>66</v>
      </c>
      <c r="U624" t="s">
        <v>59</v>
      </c>
      <c r="V624">
        <v>49</v>
      </c>
      <c r="W624" t="str">
        <f>HYPERLINK("Gene3003-zp_tree_all.dnd", "Gene3003-tree")</f>
        <v>Gene3003-tree</v>
      </c>
      <c r="X624">
        <v>46</v>
      </c>
      <c r="Y624">
        <v>0</v>
      </c>
      <c r="Z624">
        <v>5</v>
      </c>
      <c r="AA624">
        <v>0</v>
      </c>
      <c r="AB624">
        <v>0</v>
      </c>
      <c r="AC624" t="s">
        <v>17346</v>
      </c>
      <c r="AD624" t="s">
        <v>62</v>
      </c>
      <c r="AE624" t="s">
        <v>62</v>
      </c>
      <c r="AF624" t="s">
        <v>62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2</v>
      </c>
      <c r="AV624">
        <v>2</v>
      </c>
      <c r="AW624">
        <v>3</v>
      </c>
      <c r="AX624">
        <v>0</v>
      </c>
      <c r="AY624">
        <v>2</v>
      </c>
      <c r="AZ624">
        <v>0</v>
      </c>
      <c r="BA624" t="s">
        <v>193</v>
      </c>
      <c r="BB624" t="s">
        <v>193</v>
      </c>
      <c r="BC624">
        <v>0</v>
      </c>
      <c r="BD624" t="s">
        <v>65</v>
      </c>
      <c r="BE624">
        <v>5</v>
      </c>
      <c r="BF624">
        <v>0</v>
      </c>
      <c r="BG624" t="s">
        <v>17347</v>
      </c>
      <c r="BH624" t="s">
        <v>17348</v>
      </c>
      <c r="BI624" t="s">
        <v>193</v>
      </c>
      <c r="BJ624">
        <v>0</v>
      </c>
      <c r="BK624">
        <v>1</v>
      </c>
      <c r="BL624" t="s">
        <v>69</v>
      </c>
      <c r="BM624">
        <v>-1.3260000000000001</v>
      </c>
      <c r="BN624">
        <v>1.099</v>
      </c>
    </row>
    <row r="625" spans="2:66">
      <c r="B625">
        <v>984</v>
      </c>
      <c r="C625">
        <v>52</v>
      </c>
      <c r="D625">
        <v>0</v>
      </c>
      <c r="E625">
        <v>3</v>
      </c>
      <c r="F625">
        <v>0</v>
      </c>
      <c r="J625">
        <v>0</v>
      </c>
      <c r="K625">
        <v>0</v>
      </c>
      <c r="L625">
        <v>0</v>
      </c>
      <c r="M625" t="s">
        <v>25022</v>
      </c>
      <c r="N625">
        <v>3004</v>
      </c>
      <c r="O625" t="s">
        <v>17349</v>
      </c>
      <c r="P625" t="s">
        <v>62</v>
      </c>
      <c r="Q625">
        <v>2952831</v>
      </c>
      <c r="R625">
        <v>2953349</v>
      </c>
      <c r="S625" t="s">
        <v>17350</v>
      </c>
      <c r="T625">
        <v>173</v>
      </c>
      <c r="U625" t="s">
        <v>515</v>
      </c>
      <c r="V625">
        <v>51</v>
      </c>
      <c r="W625" t="str">
        <f>HYPERLINK("Gene3004-zp_tree_all.dnd", "Gene3004-tree")</f>
        <v>Gene3004-tree</v>
      </c>
      <c r="X625">
        <v>7</v>
      </c>
      <c r="Y625">
        <v>1</v>
      </c>
      <c r="Z625">
        <v>7</v>
      </c>
      <c r="AA625">
        <v>1</v>
      </c>
      <c r="AB625">
        <v>0.125</v>
      </c>
      <c r="AC625" t="s">
        <v>152</v>
      </c>
      <c r="AD625" t="s">
        <v>175</v>
      </c>
      <c r="AE625" t="s">
        <v>62</v>
      </c>
      <c r="AF625" t="s">
        <v>62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7</v>
      </c>
      <c r="AV625">
        <v>4</v>
      </c>
      <c r="AW625">
        <v>29</v>
      </c>
      <c r="AX625">
        <v>1</v>
      </c>
      <c r="AY625">
        <v>6</v>
      </c>
      <c r="AZ625">
        <v>0</v>
      </c>
      <c r="BA625" t="s">
        <v>17351</v>
      </c>
      <c r="BB625" t="s">
        <v>193</v>
      </c>
      <c r="BC625">
        <v>0.29299999999999998</v>
      </c>
      <c r="BD625" t="s">
        <v>65</v>
      </c>
      <c r="BE625">
        <v>35</v>
      </c>
      <c r="BF625">
        <v>1</v>
      </c>
      <c r="BG625" t="s">
        <v>17352</v>
      </c>
      <c r="BH625" t="s">
        <v>17353</v>
      </c>
      <c r="BI625" t="s">
        <v>17354</v>
      </c>
      <c r="BJ625">
        <v>6.2100000000000002E-3</v>
      </c>
      <c r="BK625">
        <v>1</v>
      </c>
      <c r="BL625" t="s">
        <v>69</v>
      </c>
      <c r="BM625">
        <v>-1.819</v>
      </c>
      <c r="BN625">
        <v>1.0580000000000001</v>
      </c>
    </row>
    <row r="626" spans="2:66">
      <c r="B626">
        <v>986</v>
      </c>
      <c r="C626">
        <v>41</v>
      </c>
      <c r="D626">
        <v>0</v>
      </c>
      <c r="E626">
        <v>2</v>
      </c>
      <c r="F626">
        <v>0</v>
      </c>
      <c r="J626">
        <v>0</v>
      </c>
      <c r="K626">
        <v>0</v>
      </c>
      <c r="L626">
        <v>0</v>
      </c>
      <c r="M626" t="s">
        <v>25022</v>
      </c>
      <c r="N626">
        <v>3006</v>
      </c>
      <c r="O626" t="s">
        <v>17361</v>
      </c>
      <c r="P626" t="s">
        <v>62</v>
      </c>
      <c r="Q626">
        <v>2954495</v>
      </c>
      <c r="R626">
        <v>2955187</v>
      </c>
      <c r="S626" t="s">
        <v>17362</v>
      </c>
      <c r="T626">
        <v>231</v>
      </c>
      <c r="U626" t="s">
        <v>108</v>
      </c>
      <c r="V626">
        <v>44</v>
      </c>
      <c r="W626" t="str">
        <f>HYPERLINK("Gene3006-zp_tree_all.dnd", "Gene3006-tree")</f>
        <v>Gene3006-tree</v>
      </c>
      <c r="X626">
        <v>12</v>
      </c>
      <c r="Y626">
        <v>1</v>
      </c>
      <c r="Z626">
        <v>12</v>
      </c>
      <c r="AA626">
        <v>1</v>
      </c>
      <c r="AB626">
        <v>7.6920000000000002E-2</v>
      </c>
      <c r="AC626" t="s">
        <v>109</v>
      </c>
      <c r="AD626" t="s">
        <v>175</v>
      </c>
      <c r="AE626" t="s">
        <v>62</v>
      </c>
      <c r="AF626" t="s">
        <v>62</v>
      </c>
      <c r="AG626">
        <v>0</v>
      </c>
      <c r="AH626">
        <v>0</v>
      </c>
      <c r="AI626">
        <v>2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2</v>
      </c>
      <c r="AT626">
        <v>0</v>
      </c>
      <c r="AU626">
        <v>10</v>
      </c>
      <c r="AV626">
        <v>6</v>
      </c>
      <c r="AW626">
        <v>17</v>
      </c>
      <c r="AX626">
        <v>2</v>
      </c>
      <c r="AY626">
        <v>7</v>
      </c>
      <c r="AZ626">
        <v>0</v>
      </c>
      <c r="BA626" t="s">
        <v>17363</v>
      </c>
      <c r="BB626" t="s">
        <v>193</v>
      </c>
      <c r="BC626">
        <v>0.33300000000000002</v>
      </c>
      <c r="BD626" t="s">
        <v>65</v>
      </c>
      <c r="BE626">
        <v>24</v>
      </c>
      <c r="BF626">
        <v>2</v>
      </c>
      <c r="BG626" t="s">
        <v>17364</v>
      </c>
      <c r="BH626" t="s">
        <v>17365</v>
      </c>
      <c r="BI626" t="s">
        <v>17366</v>
      </c>
      <c r="BJ626">
        <v>1.9959999999999999E-2</v>
      </c>
      <c r="BK626">
        <v>1</v>
      </c>
      <c r="BL626" t="s">
        <v>69</v>
      </c>
      <c r="BM626">
        <v>-1.0389999999999999</v>
      </c>
      <c r="BN626">
        <v>-1.46</v>
      </c>
    </row>
    <row r="627" spans="2:66">
      <c r="B627">
        <v>990</v>
      </c>
      <c r="C627">
        <v>84</v>
      </c>
      <c r="D627">
        <v>0</v>
      </c>
      <c r="E627">
        <v>2</v>
      </c>
      <c r="F627">
        <v>0</v>
      </c>
      <c r="J627">
        <v>0</v>
      </c>
      <c r="K627">
        <v>0</v>
      </c>
      <c r="L627">
        <v>0</v>
      </c>
      <c r="M627" t="s">
        <v>25022</v>
      </c>
      <c r="N627">
        <v>3007</v>
      </c>
      <c r="O627" t="s">
        <v>17367</v>
      </c>
      <c r="P627" t="s">
        <v>62</v>
      </c>
      <c r="Q627">
        <v>2955212</v>
      </c>
      <c r="R627">
        <v>2955649</v>
      </c>
      <c r="S627" t="s">
        <v>17368</v>
      </c>
      <c r="T627">
        <v>146</v>
      </c>
      <c r="U627" t="s">
        <v>125</v>
      </c>
      <c r="V627">
        <v>48</v>
      </c>
      <c r="W627" t="str">
        <f>HYPERLINK("Gene3007-zp_tree_all.dnd", "Gene3007-tree")</f>
        <v>Gene3007-tree</v>
      </c>
      <c r="X627">
        <v>11</v>
      </c>
      <c r="Y627">
        <v>1</v>
      </c>
      <c r="Z627">
        <v>11</v>
      </c>
      <c r="AA627">
        <v>1</v>
      </c>
      <c r="AB627">
        <v>8.3330000000000001E-2</v>
      </c>
      <c r="AC627" t="s">
        <v>73</v>
      </c>
      <c r="AD627" t="s">
        <v>175</v>
      </c>
      <c r="AE627" t="s">
        <v>62</v>
      </c>
      <c r="AF627" t="s">
        <v>62</v>
      </c>
      <c r="AG627">
        <v>0</v>
      </c>
      <c r="AH627">
        <v>0</v>
      </c>
      <c r="AI627">
        <v>5</v>
      </c>
      <c r="AJ627">
        <v>0</v>
      </c>
      <c r="AK627">
        <v>0</v>
      </c>
      <c r="AL627">
        <v>0</v>
      </c>
      <c r="AM627">
        <v>0</v>
      </c>
      <c r="AN627">
        <v>2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10</v>
      </c>
      <c r="AV627">
        <v>5</v>
      </c>
      <c r="AW627">
        <v>16</v>
      </c>
      <c r="AX627">
        <v>1</v>
      </c>
      <c r="AY627">
        <v>20</v>
      </c>
      <c r="AZ627">
        <v>4</v>
      </c>
      <c r="BA627" t="s">
        <v>17369</v>
      </c>
      <c r="BB627" t="s">
        <v>17370</v>
      </c>
      <c r="BC627">
        <v>0.66</v>
      </c>
      <c r="BD627" t="s">
        <v>65</v>
      </c>
      <c r="BE627">
        <v>36</v>
      </c>
      <c r="BF627">
        <v>5</v>
      </c>
      <c r="BG627" t="s">
        <v>17371</v>
      </c>
      <c r="BH627" t="s">
        <v>17372</v>
      </c>
      <c r="BI627" t="s">
        <v>17373</v>
      </c>
      <c r="BJ627">
        <v>5.9740000000000001E-2</v>
      </c>
      <c r="BK627">
        <v>1</v>
      </c>
      <c r="BL627" t="s">
        <v>69</v>
      </c>
      <c r="BM627">
        <v>-1.212</v>
      </c>
      <c r="BN627">
        <v>0.29099999999999998</v>
      </c>
    </row>
    <row r="628" spans="2:66">
      <c r="B628">
        <v>992</v>
      </c>
      <c r="C628">
        <v>144</v>
      </c>
      <c r="D628">
        <v>0</v>
      </c>
      <c r="E628">
        <v>2</v>
      </c>
      <c r="F628">
        <v>4</v>
      </c>
      <c r="J628">
        <v>0</v>
      </c>
      <c r="K628">
        <v>2</v>
      </c>
      <c r="L628">
        <v>0</v>
      </c>
      <c r="M628" t="s">
        <v>25022</v>
      </c>
      <c r="N628">
        <v>3008</v>
      </c>
      <c r="O628" t="s">
        <v>17374</v>
      </c>
      <c r="P628" t="s">
        <v>62</v>
      </c>
      <c r="Q628">
        <v>2955786</v>
      </c>
      <c r="R628">
        <v>2956508</v>
      </c>
      <c r="S628" t="s">
        <v>17375</v>
      </c>
      <c r="T628">
        <v>241</v>
      </c>
      <c r="U628" t="s">
        <v>108</v>
      </c>
      <c r="V628">
        <v>44</v>
      </c>
      <c r="W628" t="str">
        <f>HYPERLINK("Gene3008-zp_tree_all.dnd", "Gene3008-tree")</f>
        <v>Gene3008-tree</v>
      </c>
      <c r="X628">
        <v>4</v>
      </c>
      <c r="Y628">
        <v>8</v>
      </c>
      <c r="Z628">
        <v>4</v>
      </c>
      <c r="AA628">
        <v>8</v>
      </c>
      <c r="AB628">
        <v>0.66666999999999998</v>
      </c>
      <c r="AC628" t="s">
        <v>61</v>
      </c>
      <c r="AD628" t="s">
        <v>136</v>
      </c>
      <c r="AE628" t="s">
        <v>62</v>
      </c>
      <c r="AF628" t="s">
        <v>62</v>
      </c>
      <c r="AG628">
        <v>1</v>
      </c>
      <c r="AH628">
        <v>2</v>
      </c>
      <c r="AI628">
        <v>10</v>
      </c>
      <c r="AJ628">
        <v>0.16667000000000001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2</v>
      </c>
      <c r="AQ628">
        <v>0</v>
      </c>
      <c r="AR628">
        <v>2</v>
      </c>
      <c r="AS628">
        <v>9</v>
      </c>
      <c r="AT628">
        <v>0.18182000000000001</v>
      </c>
      <c r="AU628">
        <v>8</v>
      </c>
      <c r="AV628">
        <v>5</v>
      </c>
      <c r="AW628">
        <v>11</v>
      </c>
      <c r="AX628">
        <v>11</v>
      </c>
      <c r="AY628">
        <v>8</v>
      </c>
      <c r="AZ628">
        <v>1</v>
      </c>
      <c r="BA628" t="s">
        <v>17376</v>
      </c>
      <c r="BB628" t="s">
        <v>17377</v>
      </c>
      <c r="BC628">
        <v>1.984</v>
      </c>
      <c r="BD628" t="s">
        <v>267</v>
      </c>
      <c r="BE628">
        <v>19</v>
      </c>
      <c r="BF628">
        <v>12</v>
      </c>
      <c r="BG628" t="s">
        <v>17378</v>
      </c>
      <c r="BH628" t="s">
        <v>17379</v>
      </c>
      <c r="BI628" t="s">
        <v>17380</v>
      </c>
      <c r="BJ628">
        <v>0.13705999999999999</v>
      </c>
      <c r="BK628">
        <v>1</v>
      </c>
      <c r="BL628" t="s">
        <v>69</v>
      </c>
      <c r="BM628">
        <v>-0.53700000000000003</v>
      </c>
      <c r="BN628">
        <v>-1.9830000000000001</v>
      </c>
    </row>
    <row r="629" spans="2:66">
      <c r="B629">
        <v>993</v>
      </c>
      <c r="C629">
        <v>163</v>
      </c>
      <c r="D629">
        <v>0</v>
      </c>
      <c r="E629">
        <v>13</v>
      </c>
      <c r="F629">
        <v>0</v>
      </c>
      <c r="J629">
        <v>0</v>
      </c>
      <c r="K629">
        <v>4</v>
      </c>
      <c r="L629">
        <v>0</v>
      </c>
      <c r="M629" t="s">
        <v>25022</v>
      </c>
      <c r="N629">
        <v>3009</v>
      </c>
      <c r="O629" t="s">
        <v>17381</v>
      </c>
      <c r="P629" t="s">
        <v>62</v>
      </c>
      <c r="Q629">
        <v>2956489</v>
      </c>
      <c r="R629">
        <v>2958267</v>
      </c>
      <c r="S629" t="s">
        <v>17382</v>
      </c>
      <c r="T629">
        <v>593</v>
      </c>
      <c r="U629" t="s">
        <v>108</v>
      </c>
      <c r="V629">
        <v>44</v>
      </c>
      <c r="W629" t="str">
        <f>HYPERLINK("Gene3009-zp_tree_all.dnd", "Gene3009-tree")</f>
        <v>Gene3009-tree</v>
      </c>
      <c r="X629">
        <v>7</v>
      </c>
      <c r="Y629">
        <v>7</v>
      </c>
      <c r="Z629">
        <v>7</v>
      </c>
      <c r="AA629">
        <v>7</v>
      </c>
      <c r="AB629">
        <v>0.5</v>
      </c>
      <c r="AC629" t="s">
        <v>152</v>
      </c>
      <c r="AD629" t="s">
        <v>152</v>
      </c>
      <c r="AE629" t="s">
        <v>62</v>
      </c>
      <c r="AF629" t="s">
        <v>62</v>
      </c>
      <c r="AG629">
        <v>2</v>
      </c>
      <c r="AH629">
        <v>4</v>
      </c>
      <c r="AI629">
        <v>13</v>
      </c>
      <c r="AJ629">
        <v>0.23529</v>
      </c>
      <c r="AK629">
        <v>0</v>
      </c>
      <c r="AL629">
        <v>0</v>
      </c>
      <c r="AM629">
        <v>0</v>
      </c>
      <c r="AN629">
        <v>2</v>
      </c>
      <c r="AO629">
        <v>0</v>
      </c>
      <c r="AP629">
        <v>2</v>
      </c>
      <c r="AQ629">
        <v>0</v>
      </c>
      <c r="AR629">
        <v>2</v>
      </c>
      <c r="AS629">
        <v>10</v>
      </c>
      <c r="AT629">
        <v>0.16667000000000001</v>
      </c>
      <c r="AU629">
        <v>12</v>
      </c>
      <c r="AV629">
        <v>10</v>
      </c>
      <c r="AW629">
        <v>57</v>
      </c>
      <c r="AX629">
        <v>12</v>
      </c>
      <c r="AY629">
        <v>18</v>
      </c>
      <c r="AZ629">
        <v>5</v>
      </c>
      <c r="BA629" t="s">
        <v>17383</v>
      </c>
      <c r="BB629" t="s">
        <v>17384</v>
      </c>
      <c r="BC629">
        <v>0.33100000000000002</v>
      </c>
      <c r="BD629" t="s">
        <v>65</v>
      </c>
      <c r="BE629">
        <v>75</v>
      </c>
      <c r="BF629">
        <v>17</v>
      </c>
      <c r="BG629" t="s">
        <v>17385</v>
      </c>
      <c r="BH629" t="s">
        <v>17386</v>
      </c>
      <c r="BI629" t="s">
        <v>17387</v>
      </c>
      <c r="BJ629">
        <v>6.9129999999999997E-2</v>
      </c>
      <c r="BK629">
        <v>1</v>
      </c>
      <c r="BL629" t="s">
        <v>69</v>
      </c>
      <c r="BM629">
        <v>-1.246</v>
      </c>
      <c r="BN629">
        <v>-2.5590000000000002</v>
      </c>
    </row>
    <row r="630" spans="2:66">
      <c r="B630">
        <v>994</v>
      </c>
      <c r="C630">
        <v>83</v>
      </c>
      <c r="D630">
        <v>0</v>
      </c>
      <c r="E630">
        <v>0</v>
      </c>
      <c r="F630">
        <v>2</v>
      </c>
      <c r="J630">
        <v>0</v>
      </c>
      <c r="K630">
        <v>0</v>
      </c>
      <c r="L630">
        <v>0</v>
      </c>
      <c r="M630" t="s">
        <v>25022</v>
      </c>
      <c r="N630">
        <v>3011</v>
      </c>
      <c r="O630" t="s">
        <v>17395</v>
      </c>
      <c r="P630" t="s">
        <v>62</v>
      </c>
      <c r="Q630">
        <v>2959260</v>
      </c>
      <c r="R630">
        <v>2961188</v>
      </c>
      <c r="S630" t="s">
        <v>17396</v>
      </c>
      <c r="T630">
        <v>643</v>
      </c>
      <c r="U630" t="s">
        <v>698</v>
      </c>
      <c r="V630">
        <v>47</v>
      </c>
      <c r="W630" t="str">
        <f>HYPERLINK("Gene3011-zp_tree_all.dnd", "Gene3011-tree")</f>
        <v>Gene3011-tree</v>
      </c>
      <c r="X630">
        <v>15</v>
      </c>
      <c r="Y630">
        <v>4</v>
      </c>
      <c r="Z630">
        <v>15</v>
      </c>
      <c r="AA630">
        <v>4</v>
      </c>
      <c r="AB630">
        <v>0.21052999999999999</v>
      </c>
      <c r="AC630" t="s">
        <v>100</v>
      </c>
      <c r="AD630" t="s">
        <v>61</v>
      </c>
      <c r="AE630" t="s">
        <v>62</v>
      </c>
      <c r="AF630" t="s">
        <v>62</v>
      </c>
      <c r="AG630">
        <v>0</v>
      </c>
      <c r="AH630">
        <v>0</v>
      </c>
      <c r="AI630">
        <v>12</v>
      </c>
      <c r="AJ630">
        <v>0</v>
      </c>
      <c r="AK630">
        <v>0</v>
      </c>
      <c r="AL630">
        <v>0</v>
      </c>
      <c r="AM630">
        <v>0</v>
      </c>
      <c r="AN630">
        <v>2</v>
      </c>
      <c r="AO630">
        <v>0</v>
      </c>
      <c r="AP630">
        <v>0</v>
      </c>
      <c r="AQ630">
        <v>0</v>
      </c>
      <c r="AR630">
        <v>0</v>
      </c>
      <c r="AS630">
        <v>6</v>
      </c>
      <c r="AT630">
        <v>0</v>
      </c>
      <c r="AU630">
        <v>15</v>
      </c>
      <c r="AV630">
        <v>16</v>
      </c>
      <c r="AW630">
        <v>92</v>
      </c>
      <c r="AX630">
        <v>6</v>
      </c>
      <c r="AY630">
        <v>119</v>
      </c>
      <c r="AZ630">
        <v>6</v>
      </c>
      <c r="BA630" t="s">
        <v>17397</v>
      </c>
      <c r="BB630" t="s">
        <v>17398</v>
      </c>
      <c r="BC630">
        <v>0.158</v>
      </c>
      <c r="BD630" t="s">
        <v>65</v>
      </c>
      <c r="BE630">
        <v>211</v>
      </c>
      <c r="BF630">
        <v>12</v>
      </c>
      <c r="BG630" t="s">
        <v>17399</v>
      </c>
      <c r="BH630" t="s">
        <v>17400</v>
      </c>
      <c r="BI630" t="s">
        <v>17401</v>
      </c>
      <c r="BJ630">
        <v>1.651E-2</v>
      </c>
      <c r="BK630">
        <v>1</v>
      </c>
      <c r="BL630" t="s">
        <v>69</v>
      </c>
      <c r="BM630">
        <v>-0.93100000000000005</v>
      </c>
      <c r="BN630">
        <v>-0.90600000000000003</v>
      </c>
    </row>
    <row r="631" spans="2:66">
      <c r="B631">
        <v>996</v>
      </c>
      <c r="C631">
        <v>198</v>
      </c>
      <c r="D631">
        <v>0</v>
      </c>
      <c r="E631">
        <v>2</v>
      </c>
      <c r="F631">
        <v>0</v>
      </c>
      <c r="J631">
        <v>0</v>
      </c>
      <c r="K631">
        <v>2</v>
      </c>
      <c r="L631">
        <v>0</v>
      </c>
      <c r="M631" t="s">
        <v>25022</v>
      </c>
      <c r="N631">
        <v>3012</v>
      </c>
      <c r="O631" t="s">
        <v>17402</v>
      </c>
      <c r="P631" t="s">
        <v>62</v>
      </c>
      <c r="Q631">
        <v>2961589</v>
      </c>
      <c r="R631">
        <v>2962431</v>
      </c>
      <c r="S631" t="s">
        <v>17403</v>
      </c>
      <c r="T631">
        <v>281</v>
      </c>
      <c r="U631" t="s">
        <v>108</v>
      </c>
      <c r="V631">
        <v>44</v>
      </c>
      <c r="W631" t="str">
        <f>HYPERLINK("Gene3012-zp_tree_all.dnd", "Gene3012-tree")</f>
        <v>Gene3012-tree</v>
      </c>
      <c r="X631">
        <v>7</v>
      </c>
      <c r="Y631">
        <v>4</v>
      </c>
      <c r="Z631">
        <v>7</v>
      </c>
      <c r="AA631">
        <v>4</v>
      </c>
      <c r="AB631">
        <v>0.36364000000000002</v>
      </c>
      <c r="AC631" t="s">
        <v>152</v>
      </c>
      <c r="AD631" t="s">
        <v>61</v>
      </c>
      <c r="AE631" t="s">
        <v>62</v>
      </c>
      <c r="AF631" t="s">
        <v>62</v>
      </c>
      <c r="AG631">
        <v>1</v>
      </c>
      <c r="AH631">
        <v>2</v>
      </c>
      <c r="AI631">
        <v>8</v>
      </c>
      <c r="AJ631">
        <v>0.2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7</v>
      </c>
      <c r="AT631">
        <v>0</v>
      </c>
      <c r="AU631">
        <v>8</v>
      </c>
      <c r="AV631">
        <v>7</v>
      </c>
      <c r="AW631">
        <v>13</v>
      </c>
      <c r="AX631">
        <v>6</v>
      </c>
      <c r="AY631">
        <v>8</v>
      </c>
      <c r="AZ631">
        <v>4</v>
      </c>
      <c r="BA631" t="s">
        <v>17404</v>
      </c>
      <c r="BB631" t="s">
        <v>17405</v>
      </c>
      <c r="BC631">
        <v>9.0999999999999998E-2</v>
      </c>
      <c r="BD631" t="s">
        <v>65</v>
      </c>
      <c r="BE631">
        <v>21</v>
      </c>
      <c r="BF631">
        <v>10</v>
      </c>
      <c r="BG631" t="s">
        <v>7631</v>
      </c>
      <c r="BH631" t="s">
        <v>17406</v>
      </c>
      <c r="BI631" t="s">
        <v>17407</v>
      </c>
      <c r="BJ631">
        <v>0.12922</v>
      </c>
      <c r="BK631">
        <v>1</v>
      </c>
      <c r="BL631" t="s">
        <v>69</v>
      </c>
      <c r="BM631">
        <v>-0.44600000000000001</v>
      </c>
      <c r="BN631">
        <v>-1.0309999999999999</v>
      </c>
    </row>
    <row r="632" spans="2:66">
      <c r="B632">
        <v>999</v>
      </c>
      <c r="C632">
        <v>6</v>
      </c>
      <c r="D632">
        <v>0</v>
      </c>
      <c r="E632">
        <v>7</v>
      </c>
      <c r="F632">
        <v>0</v>
      </c>
      <c r="J632">
        <v>0</v>
      </c>
      <c r="K632">
        <v>0</v>
      </c>
      <c r="L632">
        <v>0</v>
      </c>
      <c r="M632" t="s">
        <v>25022</v>
      </c>
      <c r="N632">
        <v>3013</v>
      </c>
      <c r="O632" t="s">
        <v>17408</v>
      </c>
      <c r="P632" t="s">
        <v>62</v>
      </c>
      <c r="Q632">
        <v>2962513</v>
      </c>
      <c r="R632">
        <v>2963151</v>
      </c>
      <c r="S632" t="s">
        <v>17409</v>
      </c>
      <c r="T632">
        <v>213</v>
      </c>
      <c r="U632" t="s">
        <v>2914</v>
      </c>
      <c r="V632">
        <v>38</v>
      </c>
      <c r="W632" t="str">
        <f>HYPERLINK("Gene3013-zp_tree_all.dnd", "Gene3013-tree")</f>
        <v>Gene3013-tree</v>
      </c>
      <c r="X632">
        <v>5</v>
      </c>
      <c r="Y632">
        <v>4</v>
      </c>
      <c r="Z632">
        <v>5</v>
      </c>
      <c r="AA632">
        <v>4</v>
      </c>
      <c r="AB632">
        <v>0.44444</v>
      </c>
      <c r="AC632" t="s">
        <v>199</v>
      </c>
      <c r="AD632" t="s">
        <v>61</v>
      </c>
      <c r="AE632" t="s">
        <v>62</v>
      </c>
      <c r="AF632" t="s">
        <v>62</v>
      </c>
      <c r="AG632">
        <v>0</v>
      </c>
      <c r="AH632">
        <v>0</v>
      </c>
      <c r="AI632">
        <v>12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11</v>
      </c>
      <c r="AT632">
        <v>0</v>
      </c>
      <c r="AU632">
        <v>6</v>
      </c>
      <c r="AV632">
        <v>3</v>
      </c>
      <c r="AW632">
        <v>29</v>
      </c>
      <c r="AX632">
        <v>11</v>
      </c>
      <c r="AY632">
        <v>8</v>
      </c>
      <c r="AZ632">
        <v>1</v>
      </c>
      <c r="BA632" t="s">
        <v>17410</v>
      </c>
      <c r="BB632" t="s">
        <v>17411</v>
      </c>
      <c r="BC632">
        <v>0.58599999999999997</v>
      </c>
      <c r="BD632" t="s">
        <v>65</v>
      </c>
      <c r="BE632">
        <v>37</v>
      </c>
      <c r="BF632">
        <v>12</v>
      </c>
      <c r="BG632" t="s">
        <v>17412</v>
      </c>
      <c r="BH632" t="s">
        <v>17413</v>
      </c>
      <c r="BI632" t="s">
        <v>17414</v>
      </c>
      <c r="BJ632">
        <v>9.2189999999999994E-2</v>
      </c>
      <c r="BK632">
        <v>1</v>
      </c>
      <c r="BL632" t="s">
        <v>69</v>
      </c>
      <c r="BM632">
        <v>-2.2090000000000001</v>
      </c>
      <c r="BN632">
        <v>-3.9689999999999999</v>
      </c>
    </row>
    <row r="633" spans="2:66">
      <c r="B633">
        <v>1000</v>
      </c>
      <c r="C633">
        <v>154</v>
      </c>
      <c r="D633">
        <v>0</v>
      </c>
      <c r="E633">
        <v>12</v>
      </c>
      <c r="F633">
        <v>2</v>
      </c>
      <c r="J633">
        <v>0</v>
      </c>
      <c r="K633">
        <v>2</v>
      </c>
      <c r="L633">
        <v>0</v>
      </c>
      <c r="M633" t="s">
        <v>25022</v>
      </c>
      <c r="N633">
        <v>3014</v>
      </c>
      <c r="O633" t="s">
        <v>17415</v>
      </c>
      <c r="P633" t="s">
        <v>62</v>
      </c>
      <c r="Q633">
        <v>2963188</v>
      </c>
      <c r="R633">
        <v>2964120</v>
      </c>
      <c r="S633" t="s">
        <v>17416</v>
      </c>
      <c r="T633">
        <v>311</v>
      </c>
      <c r="U633" t="s">
        <v>108</v>
      </c>
      <c r="V633">
        <v>44</v>
      </c>
      <c r="W633" t="str">
        <f>HYPERLINK("Gene3014-zp_tree_all.dnd", "Gene3014-tree")</f>
        <v>Gene3014-tree</v>
      </c>
      <c r="X633">
        <v>11</v>
      </c>
      <c r="Y633">
        <v>3</v>
      </c>
      <c r="Z633">
        <v>11</v>
      </c>
      <c r="AA633">
        <v>3</v>
      </c>
      <c r="AB633">
        <v>0.21429000000000001</v>
      </c>
      <c r="AC633" t="s">
        <v>73</v>
      </c>
      <c r="AD633" t="s">
        <v>324</v>
      </c>
      <c r="AE633" t="s">
        <v>62</v>
      </c>
      <c r="AF633" t="s">
        <v>62</v>
      </c>
      <c r="AG633">
        <v>1</v>
      </c>
      <c r="AH633">
        <v>2</v>
      </c>
      <c r="AI633">
        <v>5</v>
      </c>
      <c r="AJ633">
        <v>0.28571000000000002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5</v>
      </c>
      <c r="AT633">
        <v>0</v>
      </c>
      <c r="AU633">
        <v>10</v>
      </c>
      <c r="AV633">
        <v>8</v>
      </c>
      <c r="AW633">
        <v>28</v>
      </c>
      <c r="AX633">
        <v>4</v>
      </c>
      <c r="AY633">
        <v>30</v>
      </c>
      <c r="AZ633">
        <v>3</v>
      </c>
      <c r="BA633" t="s">
        <v>17417</v>
      </c>
      <c r="BB633" t="s">
        <v>17418</v>
      </c>
      <c r="BC633">
        <v>0.16300000000000001</v>
      </c>
      <c r="BD633" t="s">
        <v>65</v>
      </c>
      <c r="BE633">
        <v>58</v>
      </c>
      <c r="BF633">
        <v>7</v>
      </c>
      <c r="BG633" t="s">
        <v>17419</v>
      </c>
      <c r="BH633" t="s">
        <v>17420</v>
      </c>
      <c r="BI633" t="s">
        <v>17421</v>
      </c>
      <c r="BJ633">
        <v>2.759E-2</v>
      </c>
      <c r="BK633">
        <v>1</v>
      </c>
      <c r="BL633" t="s">
        <v>69</v>
      </c>
      <c r="BM633">
        <v>0.23</v>
      </c>
      <c r="BN633">
        <v>-0.33900000000000002</v>
      </c>
    </row>
    <row r="634" spans="2:66">
      <c r="B634">
        <v>1001</v>
      </c>
      <c r="C634">
        <v>8</v>
      </c>
      <c r="D634">
        <v>0</v>
      </c>
      <c r="E634">
        <v>4</v>
      </c>
      <c r="F634">
        <v>0</v>
      </c>
      <c r="J634">
        <v>0</v>
      </c>
      <c r="K634">
        <v>0</v>
      </c>
      <c r="L634">
        <v>0</v>
      </c>
      <c r="M634" t="s">
        <v>25022</v>
      </c>
      <c r="N634">
        <v>3015</v>
      </c>
      <c r="O634" t="s">
        <v>17422</v>
      </c>
      <c r="P634" t="s">
        <v>62</v>
      </c>
      <c r="Q634">
        <v>2964151</v>
      </c>
      <c r="R634">
        <v>2965566</v>
      </c>
      <c r="S634" t="s">
        <v>17423</v>
      </c>
      <c r="T634">
        <v>472</v>
      </c>
      <c r="U634" t="s">
        <v>108</v>
      </c>
      <c r="V634">
        <v>44</v>
      </c>
      <c r="W634" t="str">
        <f>HYPERLINK("Gene3015-zp_tree_all.dnd", "Gene3015-tree")</f>
        <v>Gene3015-tree</v>
      </c>
      <c r="X634">
        <v>6</v>
      </c>
      <c r="Y634">
        <v>8</v>
      </c>
      <c r="Z634">
        <v>6</v>
      </c>
      <c r="AA634">
        <v>8</v>
      </c>
      <c r="AB634">
        <v>0.57142999999999999</v>
      </c>
      <c r="AC634" t="s">
        <v>90</v>
      </c>
      <c r="AD634" t="s">
        <v>136</v>
      </c>
      <c r="AE634" t="s">
        <v>62</v>
      </c>
      <c r="AF634" t="s">
        <v>62</v>
      </c>
      <c r="AG634">
        <v>0</v>
      </c>
      <c r="AH634">
        <v>0</v>
      </c>
      <c r="AI634">
        <v>11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8</v>
      </c>
      <c r="AT634">
        <v>0</v>
      </c>
      <c r="AU634">
        <v>12</v>
      </c>
      <c r="AV634">
        <v>10</v>
      </c>
      <c r="AW634">
        <v>36</v>
      </c>
      <c r="AX634">
        <v>7</v>
      </c>
      <c r="AY634">
        <v>35</v>
      </c>
      <c r="AZ634">
        <v>4</v>
      </c>
      <c r="BA634" t="s">
        <v>17424</v>
      </c>
      <c r="BB634" t="s">
        <v>17425</v>
      </c>
      <c r="BC634">
        <v>0.63300000000000001</v>
      </c>
      <c r="BD634" t="s">
        <v>65</v>
      </c>
      <c r="BE634">
        <v>71</v>
      </c>
      <c r="BF634">
        <v>11</v>
      </c>
      <c r="BG634" t="s">
        <v>17426</v>
      </c>
      <c r="BH634" t="s">
        <v>17427</v>
      </c>
      <c r="BI634" t="s">
        <v>17428</v>
      </c>
      <c r="BJ634">
        <v>5.1310000000000001E-2</v>
      </c>
      <c r="BK634">
        <v>1</v>
      </c>
      <c r="BL634" t="s">
        <v>69</v>
      </c>
      <c r="BM634">
        <v>-1.012</v>
      </c>
      <c r="BN634">
        <v>-1.2070000000000001</v>
      </c>
    </row>
    <row r="635" spans="2:66">
      <c r="B635">
        <v>1002</v>
      </c>
      <c r="C635">
        <v>18</v>
      </c>
      <c r="D635">
        <v>0</v>
      </c>
      <c r="E635">
        <v>13</v>
      </c>
      <c r="F635">
        <v>2</v>
      </c>
      <c r="J635">
        <v>0</v>
      </c>
      <c r="K635">
        <v>0</v>
      </c>
      <c r="L635">
        <v>0</v>
      </c>
      <c r="M635" t="s">
        <v>25022</v>
      </c>
      <c r="N635">
        <v>3016</v>
      </c>
      <c r="O635" t="s">
        <v>17429</v>
      </c>
      <c r="P635" t="s">
        <v>62</v>
      </c>
      <c r="Q635">
        <v>2965684</v>
      </c>
      <c r="R635">
        <v>2966139</v>
      </c>
      <c r="S635" t="s">
        <v>17430</v>
      </c>
      <c r="T635">
        <v>152</v>
      </c>
      <c r="U635" t="s">
        <v>59</v>
      </c>
      <c r="V635">
        <v>49</v>
      </c>
      <c r="W635" t="str">
        <f>HYPERLINK("Gene3016-zp_tree_all.dnd", "Gene3016-tree")</f>
        <v>Gene3016-tree</v>
      </c>
      <c r="X635">
        <v>15</v>
      </c>
      <c r="Y635">
        <v>2</v>
      </c>
      <c r="Z635">
        <v>15</v>
      </c>
      <c r="AA635">
        <v>2</v>
      </c>
      <c r="AB635">
        <v>0.11765</v>
      </c>
      <c r="AC635" t="s">
        <v>100</v>
      </c>
      <c r="AD635" t="s">
        <v>81</v>
      </c>
      <c r="AE635" t="s">
        <v>62</v>
      </c>
      <c r="AF635" t="s">
        <v>62</v>
      </c>
      <c r="AG635">
        <v>0</v>
      </c>
      <c r="AH635">
        <v>0</v>
      </c>
      <c r="AI635">
        <v>3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3</v>
      </c>
      <c r="AT635">
        <v>0</v>
      </c>
      <c r="AU635">
        <v>11</v>
      </c>
      <c r="AV635">
        <v>10</v>
      </c>
      <c r="AW635">
        <v>17</v>
      </c>
      <c r="AX635">
        <v>3</v>
      </c>
      <c r="AY635">
        <v>26</v>
      </c>
      <c r="AZ635">
        <v>0</v>
      </c>
      <c r="BA635" t="s">
        <v>17431</v>
      </c>
      <c r="BB635" t="s">
        <v>193</v>
      </c>
      <c r="BC635">
        <v>0.54500000000000004</v>
      </c>
      <c r="BD635" t="s">
        <v>65</v>
      </c>
      <c r="BE635">
        <v>43</v>
      </c>
      <c r="BF635">
        <v>3</v>
      </c>
      <c r="BG635" t="s">
        <v>17432</v>
      </c>
      <c r="BH635" t="s">
        <v>17433</v>
      </c>
      <c r="BI635" t="s">
        <v>17434</v>
      </c>
      <c r="BJ635">
        <v>8.5800000000000008E-3</v>
      </c>
      <c r="BK635">
        <v>1</v>
      </c>
      <c r="BL635" t="s">
        <v>69</v>
      </c>
      <c r="BM635">
        <v>-1.4339999999999999</v>
      </c>
      <c r="BN635">
        <v>-1.083</v>
      </c>
    </row>
    <row r="636" spans="2:66">
      <c r="B636">
        <v>1005</v>
      </c>
      <c r="C636">
        <v>49</v>
      </c>
      <c r="D636">
        <v>0</v>
      </c>
      <c r="E636">
        <v>5</v>
      </c>
      <c r="F636">
        <v>2</v>
      </c>
      <c r="J636">
        <v>0</v>
      </c>
      <c r="K636">
        <v>0</v>
      </c>
      <c r="L636">
        <v>0</v>
      </c>
      <c r="M636" t="s">
        <v>25022</v>
      </c>
      <c r="N636">
        <v>3017</v>
      </c>
      <c r="O636" t="s">
        <v>17435</v>
      </c>
      <c r="P636" t="s">
        <v>62</v>
      </c>
      <c r="Q636">
        <v>2966416</v>
      </c>
      <c r="R636">
        <v>2966793</v>
      </c>
      <c r="S636" t="s">
        <v>17436</v>
      </c>
      <c r="T636">
        <v>126</v>
      </c>
      <c r="U636" t="s">
        <v>59</v>
      </c>
      <c r="V636">
        <v>49</v>
      </c>
      <c r="W636" t="str">
        <f>HYPERLINK("Gene3017-zp_tree_all.dnd", "Gene3017-tree")</f>
        <v>Gene3017-tree</v>
      </c>
      <c r="X636">
        <v>7</v>
      </c>
      <c r="Y636">
        <v>0</v>
      </c>
      <c r="Z636">
        <v>7</v>
      </c>
      <c r="AA636">
        <v>0</v>
      </c>
      <c r="AB636">
        <v>0</v>
      </c>
      <c r="AC636" t="s">
        <v>152</v>
      </c>
      <c r="AD636" t="s">
        <v>62</v>
      </c>
      <c r="AE636" t="s">
        <v>62</v>
      </c>
      <c r="AF636" t="s">
        <v>62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3</v>
      </c>
      <c r="AV636">
        <v>4</v>
      </c>
      <c r="AW636">
        <v>3</v>
      </c>
      <c r="AX636">
        <v>0</v>
      </c>
      <c r="AY636">
        <v>4</v>
      </c>
      <c r="AZ636">
        <v>0</v>
      </c>
      <c r="BA636" t="s">
        <v>193</v>
      </c>
      <c r="BB636" t="s">
        <v>193</v>
      </c>
      <c r="BC636">
        <v>0</v>
      </c>
      <c r="BD636" t="s">
        <v>65</v>
      </c>
      <c r="BE636">
        <v>7</v>
      </c>
      <c r="BF636">
        <v>0</v>
      </c>
      <c r="BG636" t="s">
        <v>17437</v>
      </c>
      <c r="BH636" t="s">
        <v>17438</v>
      </c>
      <c r="BI636" t="s">
        <v>193</v>
      </c>
      <c r="BJ636">
        <v>0</v>
      </c>
      <c r="BK636">
        <v>1</v>
      </c>
      <c r="BL636" t="s">
        <v>69</v>
      </c>
      <c r="BM636">
        <v>-1.18</v>
      </c>
      <c r="BN636">
        <v>-0.308</v>
      </c>
    </row>
    <row r="637" spans="2:66">
      <c r="B637">
        <v>1006</v>
      </c>
      <c r="C637">
        <v>486</v>
      </c>
      <c r="D637">
        <v>0</v>
      </c>
      <c r="E637">
        <v>10</v>
      </c>
      <c r="F637">
        <v>2</v>
      </c>
      <c r="J637">
        <v>0</v>
      </c>
      <c r="K637">
        <v>0</v>
      </c>
      <c r="L637">
        <v>0</v>
      </c>
      <c r="M637" t="s">
        <v>25022</v>
      </c>
      <c r="N637">
        <v>3018</v>
      </c>
      <c r="O637" t="s">
        <v>17439</v>
      </c>
      <c r="P637" t="s">
        <v>62</v>
      </c>
      <c r="Q637">
        <v>2967035</v>
      </c>
      <c r="R637">
        <v>2968054</v>
      </c>
      <c r="S637" t="s">
        <v>17440</v>
      </c>
      <c r="T637">
        <v>340</v>
      </c>
      <c r="U637" t="s">
        <v>108</v>
      </c>
      <c r="V637">
        <v>44</v>
      </c>
      <c r="W637" t="str">
        <f>HYPERLINK("Gene3018-zp_tree_all.dnd", "Gene3018-tree")</f>
        <v>Gene3018-tree</v>
      </c>
      <c r="X637">
        <v>12</v>
      </c>
      <c r="Y637">
        <v>1</v>
      </c>
      <c r="Z637">
        <v>12</v>
      </c>
      <c r="AA637">
        <v>1</v>
      </c>
      <c r="AB637">
        <v>7.6920000000000002E-2</v>
      </c>
      <c r="AC637" t="s">
        <v>109</v>
      </c>
      <c r="AD637" t="s">
        <v>175</v>
      </c>
      <c r="AE637" t="s">
        <v>62</v>
      </c>
      <c r="AF637" t="s">
        <v>62</v>
      </c>
      <c r="AG637">
        <v>0</v>
      </c>
      <c r="AH637">
        <v>0</v>
      </c>
      <c r="AI637">
        <v>2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9</v>
      </c>
      <c r="AV637">
        <v>7</v>
      </c>
      <c r="AW637">
        <v>14</v>
      </c>
      <c r="AX637">
        <v>1</v>
      </c>
      <c r="AY637">
        <v>18</v>
      </c>
      <c r="AZ637">
        <v>1</v>
      </c>
      <c r="BA637" t="s">
        <v>17441</v>
      </c>
      <c r="BB637" t="s">
        <v>17442</v>
      </c>
      <c r="BC637">
        <v>6.6000000000000003E-2</v>
      </c>
      <c r="BD637" t="s">
        <v>65</v>
      </c>
      <c r="BE637">
        <v>32</v>
      </c>
      <c r="BF637">
        <v>2</v>
      </c>
      <c r="BG637" t="s">
        <v>16283</v>
      </c>
      <c r="BH637" t="s">
        <v>17443</v>
      </c>
      <c r="BI637" t="s">
        <v>17444</v>
      </c>
      <c r="BJ637">
        <v>1.8020000000000001E-2</v>
      </c>
      <c r="BK637">
        <v>1</v>
      </c>
      <c r="BL637" t="s">
        <v>69</v>
      </c>
      <c r="BM637">
        <v>-0.33</v>
      </c>
      <c r="BN637">
        <v>0.55900000000000005</v>
      </c>
    </row>
    <row r="638" spans="2:66">
      <c r="B638">
        <v>1007</v>
      </c>
      <c r="C638">
        <v>89</v>
      </c>
      <c r="D638">
        <v>2</v>
      </c>
      <c r="E638">
        <v>9</v>
      </c>
      <c r="F638">
        <v>2</v>
      </c>
      <c r="J638">
        <v>0</v>
      </c>
      <c r="K638">
        <v>0</v>
      </c>
      <c r="L638">
        <v>0</v>
      </c>
      <c r="M638" t="s">
        <v>25022</v>
      </c>
      <c r="N638">
        <v>3019</v>
      </c>
      <c r="O638" t="s">
        <v>17445</v>
      </c>
      <c r="P638" t="s">
        <v>62</v>
      </c>
      <c r="Q638">
        <v>2968263</v>
      </c>
      <c r="R638">
        <v>2968640</v>
      </c>
      <c r="S638" t="s">
        <v>17446</v>
      </c>
      <c r="T638">
        <v>126</v>
      </c>
      <c r="U638" t="s">
        <v>1607</v>
      </c>
      <c r="V638">
        <v>47</v>
      </c>
      <c r="W638" t="str">
        <f>HYPERLINK("Gene3019-zp_tree_all.dnd", "Gene3019-tree")</f>
        <v>Gene3019-tree</v>
      </c>
      <c r="X638">
        <v>11</v>
      </c>
      <c r="Y638">
        <v>4</v>
      </c>
      <c r="Z638">
        <v>11</v>
      </c>
      <c r="AA638">
        <v>4</v>
      </c>
      <c r="AB638">
        <v>0.26667000000000002</v>
      </c>
      <c r="AC638" t="s">
        <v>73</v>
      </c>
      <c r="AD638" t="s">
        <v>61</v>
      </c>
      <c r="AE638" t="s">
        <v>62</v>
      </c>
      <c r="AF638" t="s">
        <v>62</v>
      </c>
      <c r="AG638">
        <v>0</v>
      </c>
      <c r="AH638">
        <v>0</v>
      </c>
      <c r="AI638">
        <v>6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5</v>
      </c>
      <c r="AT638">
        <v>0</v>
      </c>
      <c r="AU638">
        <v>10</v>
      </c>
      <c r="AV638">
        <v>10</v>
      </c>
      <c r="AW638">
        <v>15</v>
      </c>
      <c r="AX638">
        <v>5</v>
      </c>
      <c r="AY638">
        <v>25</v>
      </c>
      <c r="AZ638">
        <v>1</v>
      </c>
      <c r="BA638" t="s">
        <v>17447</v>
      </c>
      <c r="BB638" t="s">
        <v>17448</v>
      </c>
      <c r="BC638">
        <v>1.1060000000000001</v>
      </c>
      <c r="BD638" t="s">
        <v>65</v>
      </c>
      <c r="BE638">
        <v>40</v>
      </c>
      <c r="BF638">
        <v>6</v>
      </c>
      <c r="BG638" t="s">
        <v>17449</v>
      </c>
      <c r="BH638" t="s">
        <v>17450</v>
      </c>
      <c r="BI638" t="s">
        <v>17451</v>
      </c>
      <c r="BJ638">
        <v>2.623E-2</v>
      </c>
      <c r="BK638">
        <v>1</v>
      </c>
      <c r="BL638" t="s">
        <v>69</v>
      </c>
      <c r="BM638">
        <v>-1.2929999999999999</v>
      </c>
      <c r="BN638">
        <v>-0.69</v>
      </c>
    </row>
    <row r="639" spans="2:66">
      <c r="B639">
        <v>1008</v>
      </c>
      <c r="C639">
        <v>2</v>
      </c>
      <c r="D639">
        <v>2</v>
      </c>
      <c r="E639">
        <v>2</v>
      </c>
      <c r="F639">
        <v>1</v>
      </c>
      <c r="J639">
        <v>0</v>
      </c>
      <c r="K639">
        <v>5</v>
      </c>
      <c r="L639">
        <v>2</v>
      </c>
      <c r="M639" t="s">
        <v>25022</v>
      </c>
      <c r="N639">
        <v>3022</v>
      </c>
      <c r="O639" t="s">
        <v>17465</v>
      </c>
      <c r="P639" t="s">
        <v>62</v>
      </c>
      <c r="Q639">
        <v>2970925</v>
      </c>
      <c r="R639">
        <v>2971515</v>
      </c>
      <c r="S639" t="s">
        <v>17466</v>
      </c>
      <c r="T639">
        <v>197</v>
      </c>
      <c r="U639" t="s">
        <v>108</v>
      </c>
      <c r="V639">
        <v>44</v>
      </c>
      <c r="W639" t="str">
        <f>HYPERLINK("Gene3022-zp_tree_all.dnd", "Gene3022-tree")</f>
        <v>Gene3022-tree</v>
      </c>
      <c r="X639">
        <v>2</v>
      </c>
      <c r="Y639">
        <v>9</v>
      </c>
      <c r="Z639">
        <v>2</v>
      </c>
      <c r="AA639">
        <v>9</v>
      </c>
      <c r="AB639">
        <v>0.81818000000000002</v>
      </c>
      <c r="AC639" t="s">
        <v>81</v>
      </c>
      <c r="AD639" t="s">
        <v>135</v>
      </c>
      <c r="AE639" t="s">
        <v>62</v>
      </c>
      <c r="AF639" t="s">
        <v>62</v>
      </c>
      <c r="AG639">
        <v>3</v>
      </c>
      <c r="AH639">
        <v>7</v>
      </c>
      <c r="AI639">
        <v>10</v>
      </c>
      <c r="AJ639">
        <v>0.41176000000000001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</v>
      </c>
      <c r="AR639">
        <v>2</v>
      </c>
      <c r="AS639">
        <v>10</v>
      </c>
      <c r="AT639">
        <v>0.16667000000000001</v>
      </c>
      <c r="AU639">
        <v>10</v>
      </c>
      <c r="AV639">
        <v>6</v>
      </c>
      <c r="AW639">
        <v>9</v>
      </c>
      <c r="AX639">
        <v>12</v>
      </c>
      <c r="AY639">
        <v>9</v>
      </c>
      <c r="AZ639">
        <v>5</v>
      </c>
      <c r="BA639" t="s">
        <v>17467</v>
      </c>
      <c r="BB639" t="s">
        <v>17468</v>
      </c>
      <c r="BC639">
        <v>0.82299999999999995</v>
      </c>
      <c r="BD639" t="s">
        <v>65</v>
      </c>
      <c r="BE639">
        <v>18</v>
      </c>
      <c r="BF639">
        <v>17</v>
      </c>
      <c r="BG639" t="s">
        <v>17469</v>
      </c>
      <c r="BH639" t="s">
        <v>17470</v>
      </c>
      <c r="BI639" t="s">
        <v>17471</v>
      </c>
      <c r="BJ639">
        <v>0.21199000000000001</v>
      </c>
      <c r="BK639">
        <v>1</v>
      </c>
      <c r="BL639" t="s">
        <v>69</v>
      </c>
      <c r="BM639">
        <v>-0.98</v>
      </c>
      <c r="BN639">
        <v>-1.363</v>
      </c>
    </row>
    <row r="640" spans="2:66">
      <c r="B640">
        <v>1010</v>
      </c>
      <c r="C640">
        <v>40</v>
      </c>
      <c r="D640">
        <v>0</v>
      </c>
      <c r="E640">
        <v>0</v>
      </c>
      <c r="F640">
        <v>2</v>
      </c>
      <c r="J640">
        <v>0</v>
      </c>
      <c r="K640">
        <v>0</v>
      </c>
      <c r="L640">
        <v>2</v>
      </c>
      <c r="M640" t="s">
        <v>25022</v>
      </c>
      <c r="N640">
        <v>3023</v>
      </c>
      <c r="O640" t="s">
        <v>17472</v>
      </c>
      <c r="P640" t="s">
        <v>62</v>
      </c>
      <c r="Q640">
        <v>2971534</v>
      </c>
      <c r="R640">
        <v>2972163</v>
      </c>
      <c r="S640" t="s">
        <v>17473</v>
      </c>
      <c r="T640">
        <v>210</v>
      </c>
      <c r="U640" t="s">
        <v>59</v>
      </c>
      <c r="V640">
        <v>49</v>
      </c>
      <c r="W640" t="str">
        <f>HYPERLINK("Gene3023-zp_tree_all.dnd", "Gene3023-tree")</f>
        <v>Gene3023-tree</v>
      </c>
      <c r="X640">
        <v>9</v>
      </c>
      <c r="Y640">
        <v>3</v>
      </c>
      <c r="Z640">
        <v>9</v>
      </c>
      <c r="AA640">
        <v>3</v>
      </c>
      <c r="AB640">
        <v>0.25</v>
      </c>
      <c r="AC640" t="s">
        <v>135</v>
      </c>
      <c r="AD640" t="s">
        <v>324</v>
      </c>
      <c r="AE640" t="s">
        <v>62</v>
      </c>
      <c r="AF640" t="s">
        <v>62</v>
      </c>
      <c r="AG640">
        <v>1</v>
      </c>
      <c r="AH640">
        <v>2</v>
      </c>
      <c r="AI640">
        <v>5</v>
      </c>
      <c r="AJ640">
        <v>0.28571000000000002</v>
      </c>
      <c r="AK640">
        <v>0</v>
      </c>
      <c r="AL640">
        <v>0</v>
      </c>
      <c r="AM640">
        <v>0</v>
      </c>
      <c r="AN640">
        <v>2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0</v>
      </c>
      <c r="AU640">
        <v>9</v>
      </c>
      <c r="AV640">
        <v>8</v>
      </c>
      <c r="AW640">
        <v>17</v>
      </c>
      <c r="AX640">
        <v>2</v>
      </c>
      <c r="AY640">
        <v>29</v>
      </c>
      <c r="AZ640">
        <v>5</v>
      </c>
      <c r="BA640" t="s">
        <v>17474</v>
      </c>
      <c r="BB640" t="s">
        <v>17475</v>
      </c>
      <c r="BC640">
        <v>0.24199999999999999</v>
      </c>
      <c r="BD640" t="s">
        <v>65</v>
      </c>
      <c r="BE640">
        <v>46</v>
      </c>
      <c r="BF640">
        <v>7</v>
      </c>
      <c r="BG640" t="s">
        <v>17476</v>
      </c>
      <c r="BH640" t="s">
        <v>17477</v>
      </c>
      <c r="BI640" t="s">
        <v>17478</v>
      </c>
      <c r="BJ640">
        <v>4.1450000000000001E-2</v>
      </c>
      <c r="BK640">
        <v>1</v>
      </c>
      <c r="BL640" t="s">
        <v>69</v>
      </c>
      <c r="BM640">
        <v>-1.3180000000000001</v>
      </c>
      <c r="BN640">
        <v>-9.5000000000000001E-2</v>
      </c>
    </row>
    <row r="641" spans="2:66">
      <c r="B641">
        <v>1011</v>
      </c>
      <c r="C641">
        <v>445</v>
      </c>
      <c r="D641">
        <v>0</v>
      </c>
      <c r="E641">
        <v>5</v>
      </c>
      <c r="F641">
        <v>0</v>
      </c>
      <c r="J641">
        <v>0</v>
      </c>
      <c r="K641">
        <v>4</v>
      </c>
      <c r="L641">
        <v>0</v>
      </c>
      <c r="M641" t="s">
        <v>25022</v>
      </c>
      <c r="N641">
        <v>3024</v>
      </c>
      <c r="O641" t="s">
        <v>17479</v>
      </c>
      <c r="P641" t="s">
        <v>62</v>
      </c>
      <c r="Q641">
        <v>2972332</v>
      </c>
      <c r="R641">
        <v>2973159</v>
      </c>
      <c r="S641" t="s">
        <v>17480</v>
      </c>
      <c r="T641">
        <v>276</v>
      </c>
      <c r="U641" t="s">
        <v>108</v>
      </c>
      <c r="V641">
        <v>44</v>
      </c>
      <c r="W641" t="str">
        <f>HYPERLINK("Gene3024-zp_tree_all.dnd", "Gene3024-tree")</f>
        <v>Gene3024-tree</v>
      </c>
      <c r="X641">
        <v>7</v>
      </c>
      <c r="Y641">
        <v>6</v>
      </c>
      <c r="Z641">
        <v>7</v>
      </c>
      <c r="AA641">
        <v>6</v>
      </c>
      <c r="AB641">
        <v>0.46154000000000001</v>
      </c>
      <c r="AC641" t="s">
        <v>152</v>
      </c>
      <c r="AD641" t="s">
        <v>90</v>
      </c>
      <c r="AE641" t="s">
        <v>62</v>
      </c>
      <c r="AF641" t="s">
        <v>62</v>
      </c>
      <c r="AG641">
        <v>2</v>
      </c>
      <c r="AH641">
        <v>4</v>
      </c>
      <c r="AI641">
        <v>7</v>
      </c>
      <c r="AJ641">
        <v>0.36364000000000002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8</v>
      </c>
      <c r="AT641">
        <v>0</v>
      </c>
      <c r="AU641">
        <v>10</v>
      </c>
      <c r="AV641">
        <v>9</v>
      </c>
      <c r="AW641">
        <v>20</v>
      </c>
      <c r="AX641">
        <v>7</v>
      </c>
      <c r="AY641">
        <v>14</v>
      </c>
      <c r="AZ641">
        <v>4</v>
      </c>
      <c r="BA641" t="s">
        <v>17481</v>
      </c>
      <c r="BB641" t="s">
        <v>17482</v>
      </c>
      <c r="BC641">
        <v>0.125</v>
      </c>
      <c r="BD641" t="s">
        <v>65</v>
      </c>
      <c r="BE641">
        <v>34</v>
      </c>
      <c r="BF641">
        <v>11</v>
      </c>
      <c r="BG641" t="s">
        <v>17483</v>
      </c>
      <c r="BH641" t="s">
        <v>17484</v>
      </c>
      <c r="BI641" t="s">
        <v>17485</v>
      </c>
      <c r="BJ641">
        <v>9.5740000000000006E-2</v>
      </c>
      <c r="BK641">
        <v>1</v>
      </c>
      <c r="BL641" t="s">
        <v>69</v>
      </c>
      <c r="BM641">
        <v>-1.046</v>
      </c>
      <c r="BN641">
        <v>-2.1949999999999998</v>
      </c>
    </row>
    <row r="642" spans="2:66">
      <c r="B642">
        <v>1012</v>
      </c>
      <c r="C642">
        <v>132</v>
      </c>
      <c r="D642">
        <v>0</v>
      </c>
      <c r="E642">
        <v>4</v>
      </c>
      <c r="F642">
        <v>0</v>
      </c>
      <c r="J642">
        <v>0</v>
      </c>
      <c r="K642">
        <v>6</v>
      </c>
      <c r="L642">
        <v>0</v>
      </c>
      <c r="M642" t="s">
        <v>25022</v>
      </c>
      <c r="N642">
        <v>3025</v>
      </c>
      <c r="O642" t="s">
        <v>17486</v>
      </c>
      <c r="P642" t="s">
        <v>62</v>
      </c>
      <c r="Q642">
        <v>2973185</v>
      </c>
      <c r="R642">
        <v>2975824</v>
      </c>
      <c r="S642" t="s">
        <v>17487</v>
      </c>
      <c r="T642">
        <v>880</v>
      </c>
      <c r="U642" t="s">
        <v>108</v>
      </c>
      <c r="V642">
        <v>44</v>
      </c>
      <c r="W642" t="str">
        <f>HYPERLINK("Gene3025-zp_tree_all.dnd", "Gene3025-tree")</f>
        <v>Gene3025-tree</v>
      </c>
      <c r="X642">
        <v>6</v>
      </c>
      <c r="Y642">
        <v>7</v>
      </c>
      <c r="Z642">
        <v>6</v>
      </c>
      <c r="AA642">
        <v>7</v>
      </c>
      <c r="AB642">
        <v>0.53846000000000005</v>
      </c>
      <c r="AC642" t="s">
        <v>90</v>
      </c>
      <c r="AD642" t="s">
        <v>152</v>
      </c>
      <c r="AE642" t="s">
        <v>62</v>
      </c>
      <c r="AF642" t="s">
        <v>62</v>
      </c>
      <c r="AG642">
        <v>3</v>
      </c>
      <c r="AH642">
        <v>6</v>
      </c>
      <c r="AI642">
        <v>9</v>
      </c>
      <c r="AJ642">
        <v>0.4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11</v>
      </c>
      <c r="AT642">
        <v>0</v>
      </c>
      <c r="AU642">
        <v>13</v>
      </c>
      <c r="AV642">
        <v>10</v>
      </c>
      <c r="AW642">
        <v>62</v>
      </c>
      <c r="AX642">
        <v>12</v>
      </c>
      <c r="AY642">
        <v>23</v>
      </c>
      <c r="AZ642">
        <v>4</v>
      </c>
      <c r="BA642" t="s">
        <v>17488</v>
      </c>
      <c r="BB642" t="s">
        <v>17489</v>
      </c>
      <c r="BC642">
        <v>8.5999999999999993E-2</v>
      </c>
      <c r="BD642" t="s">
        <v>65</v>
      </c>
      <c r="BE642">
        <v>85</v>
      </c>
      <c r="BF642">
        <v>16</v>
      </c>
      <c r="BG642" t="s">
        <v>17490</v>
      </c>
      <c r="BH642" t="s">
        <v>17491</v>
      </c>
      <c r="BI642" t="s">
        <v>17492</v>
      </c>
      <c r="BJ642">
        <v>6.5479999999999997E-2</v>
      </c>
      <c r="BK642">
        <v>1</v>
      </c>
      <c r="BL642" t="s">
        <v>69</v>
      </c>
      <c r="BM642">
        <v>-1.125</v>
      </c>
      <c r="BN642">
        <v>-2.3769999999999998</v>
      </c>
    </row>
    <row r="643" spans="2:66">
      <c r="B643">
        <v>1013</v>
      </c>
      <c r="C643">
        <v>365</v>
      </c>
      <c r="D643">
        <v>0</v>
      </c>
      <c r="E643">
        <v>6</v>
      </c>
      <c r="F643">
        <v>0</v>
      </c>
      <c r="J643">
        <v>0</v>
      </c>
      <c r="K643">
        <v>18</v>
      </c>
      <c r="L643">
        <v>1</v>
      </c>
      <c r="M643" t="s">
        <v>25022</v>
      </c>
      <c r="N643">
        <v>3026</v>
      </c>
      <c r="O643" t="s">
        <v>17493</v>
      </c>
      <c r="P643" t="s">
        <v>62</v>
      </c>
      <c r="Q643">
        <v>2976071</v>
      </c>
      <c r="R643">
        <v>2977807</v>
      </c>
      <c r="S643" t="s">
        <v>3074</v>
      </c>
      <c r="T643">
        <v>579</v>
      </c>
      <c r="U643" t="s">
        <v>108</v>
      </c>
      <c r="V643">
        <v>44</v>
      </c>
      <c r="W643" t="str">
        <f>HYPERLINK("Gene3026-zp_tree_all.dnd", "Gene3026-tree")</f>
        <v>Gene3026-tree</v>
      </c>
      <c r="X643">
        <v>3</v>
      </c>
      <c r="Y643">
        <v>11</v>
      </c>
      <c r="Z643">
        <v>3</v>
      </c>
      <c r="AA643">
        <v>11</v>
      </c>
      <c r="AB643">
        <v>0.78571000000000002</v>
      </c>
      <c r="AC643" t="s">
        <v>324</v>
      </c>
      <c r="AD643" t="s">
        <v>73</v>
      </c>
      <c r="AE643">
        <v>305230034.74400002</v>
      </c>
      <c r="AF643" t="s">
        <v>267</v>
      </c>
      <c r="AG643">
        <v>6</v>
      </c>
      <c r="AH643">
        <v>19</v>
      </c>
      <c r="AI643">
        <v>13</v>
      </c>
      <c r="AJ643">
        <v>0.59375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5</v>
      </c>
      <c r="AQ643">
        <v>0</v>
      </c>
      <c r="AR643">
        <v>5</v>
      </c>
      <c r="AS643">
        <v>15</v>
      </c>
      <c r="AT643">
        <v>0.25</v>
      </c>
      <c r="AU643">
        <v>13</v>
      </c>
      <c r="AV643">
        <v>11</v>
      </c>
      <c r="AW643">
        <v>55</v>
      </c>
      <c r="AX643">
        <v>20</v>
      </c>
      <c r="AY643">
        <v>34</v>
      </c>
      <c r="AZ643">
        <v>12</v>
      </c>
      <c r="BA643" t="s">
        <v>17494</v>
      </c>
      <c r="BB643" t="s">
        <v>17495</v>
      </c>
      <c r="BC643">
        <v>0.06</v>
      </c>
      <c r="BD643" t="s">
        <v>65</v>
      </c>
      <c r="BE643">
        <v>89</v>
      </c>
      <c r="BF643">
        <v>32</v>
      </c>
      <c r="BG643" t="s">
        <v>17496</v>
      </c>
      <c r="BH643" t="s">
        <v>17497</v>
      </c>
      <c r="BI643" t="s">
        <v>17498</v>
      </c>
      <c r="BJ643">
        <v>9.4270000000000007E-2</v>
      </c>
      <c r="BK643">
        <v>1</v>
      </c>
      <c r="BL643" t="s">
        <v>69</v>
      </c>
      <c r="BM643">
        <v>-0.55000000000000004</v>
      </c>
      <c r="BN643">
        <v>-1.621</v>
      </c>
    </row>
    <row r="644" spans="2:66">
      <c r="B644">
        <v>1015</v>
      </c>
      <c r="C644">
        <v>70</v>
      </c>
      <c r="D644">
        <v>0</v>
      </c>
      <c r="E644">
        <v>8</v>
      </c>
      <c r="F644">
        <v>2</v>
      </c>
      <c r="J644">
        <v>0</v>
      </c>
      <c r="K644">
        <v>0</v>
      </c>
      <c r="L644">
        <v>0</v>
      </c>
      <c r="M644" t="s">
        <v>25022</v>
      </c>
      <c r="N644">
        <v>3027</v>
      </c>
      <c r="O644" t="s">
        <v>17499</v>
      </c>
      <c r="P644" t="s">
        <v>62</v>
      </c>
      <c r="Q644">
        <v>2977803</v>
      </c>
      <c r="R644">
        <v>2978522</v>
      </c>
      <c r="S644" t="s">
        <v>3081</v>
      </c>
      <c r="T644">
        <v>240</v>
      </c>
      <c r="U644" t="s">
        <v>59</v>
      </c>
      <c r="V644">
        <v>49</v>
      </c>
      <c r="W644" t="str">
        <f>HYPERLINK("Gene3027-zp_tree_all.dnd", "Gene3027-tree")</f>
        <v>Gene3027-tree</v>
      </c>
      <c r="X644">
        <v>14</v>
      </c>
      <c r="Y644">
        <v>2</v>
      </c>
      <c r="Z644">
        <v>14</v>
      </c>
      <c r="AA644">
        <v>2</v>
      </c>
      <c r="AB644">
        <v>0.125</v>
      </c>
      <c r="AC644" t="s">
        <v>543</v>
      </c>
      <c r="AD644" t="s">
        <v>81</v>
      </c>
      <c r="AE644" t="s">
        <v>62</v>
      </c>
      <c r="AF644" t="s">
        <v>62</v>
      </c>
      <c r="AG644">
        <v>0</v>
      </c>
      <c r="AH644">
        <v>0</v>
      </c>
      <c r="AI644">
        <v>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0</v>
      </c>
      <c r="AU644">
        <v>11</v>
      </c>
      <c r="AV644">
        <v>9</v>
      </c>
      <c r="AW644">
        <v>27</v>
      </c>
      <c r="AX644">
        <v>2</v>
      </c>
      <c r="AY644">
        <v>33</v>
      </c>
      <c r="AZ644">
        <v>3</v>
      </c>
      <c r="BA644" t="s">
        <v>17500</v>
      </c>
      <c r="BB644" t="s">
        <v>17501</v>
      </c>
      <c r="BC644">
        <v>9.9000000000000005E-2</v>
      </c>
      <c r="BD644" t="s">
        <v>65</v>
      </c>
      <c r="BE644">
        <v>60</v>
      </c>
      <c r="BF644">
        <v>5</v>
      </c>
      <c r="BG644" t="s">
        <v>17502</v>
      </c>
      <c r="BH644" t="s">
        <v>17503</v>
      </c>
      <c r="BI644" t="s">
        <v>17504</v>
      </c>
      <c r="BJ644">
        <v>2.6970000000000001E-2</v>
      </c>
      <c r="BK644">
        <v>1</v>
      </c>
      <c r="BL644" t="s">
        <v>69</v>
      </c>
      <c r="BM644">
        <v>-1.357</v>
      </c>
      <c r="BN644">
        <v>-0.71299999999999997</v>
      </c>
    </row>
    <row r="645" spans="2:66">
      <c r="B645">
        <v>1017</v>
      </c>
      <c r="C645">
        <v>71</v>
      </c>
      <c r="D645">
        <v>0</v>
      </c>
      <c r="E645">
        <v>4</v>
      </c>
      <c r="F645">
        <v>1</v>
      </c>
      <c r="J645">
        <v>0</v>
      </c>
      <c r="K645">
        <v>0</v>
      </c>
      <c r="L645">
        <v>0</v>
      </c>
      <c r="M645" t="s">
        <v>25022</v>
      </c>
      <c r="N645">
        <v>3028</v>
      </c>
      <c r="O645" t="s">
        <v>17505</v>
      </c>
      <c r="P645" t="s">
        <v>62</v>
      </c>
      <c r="Q645">
        <v>2978737</v>
      </c>
      <c r="R645">
        <v>2979672</v>
      </c>
      <c r="S645" t="s">
        <v>17506</v>
      </c>
      <c r="T645">
        <v>312</v>
      </c>
      <c r="U645" t="s">
        <v>59</v>
      </c>
      <c r="V645">
        <v>49</v>
      </c>
      <c r="W645" t="str">
        <f>HYPERLINK("Gene3028-zp_tree_all.dnd", "Gene3028-tree")</f>
        <v>Gene3028-tree</v>
      </c>
      <c r="X645">
        <v>11</v>
      </c>
      <c r="Y645">
        <v>27</v>
      </c>
      <c r="Z645">
        <v>11</v>
      </c>
      <c r="AA645">
        <v>8</v>
      </c>
      <c r="AB645">
        <v>0.42104999999999998</v>
      </c>
      <c r="AC645" t="s">
        <v>73</v>
      </c>
      <c r="AD645" t="s">
        <v>282</v>
      </c>
      <c r="AE645">
        <v>3.9380000000000002</v>
      </c>
      <c r="AF645" t="s">
        <v>65</v>
      </c>
      <c r="AG645">
        <v>0</v>
      </c>
      <c r="AH645">
        <v>0</v>
      </c>
      <c r="AI645">
        <v>11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10</v>
      </c>
      <c r="AT645">
        <v>0</v>
      </c>
      <c r="AU645">
        <v>17</v>
      </c>
      <c r="AV645">
        <v>11</v>
      </c>
      <c r="AW645">
        <v>27</v>
      </c>
      <c r="AX645">
        <v>10</v>
      </c>
      <c r="AY645">
        <v>45</v>
      </c>
      <c r="AZ645">
        <v>1</v>
      </c>
      <c r="BA645" t="s">
        <v>17507</v>
      </c>
      <c r="BB645" t="s">
        <v>17508</v>
      </c>
      <c r="BC645">
        <v>1.8360000000000001</v>
      </c>
      <c r="BD645" t="s">
        <v>65</v>
      </c>
      <c r="BE645">
        <v>72</v>
      </c>
      <c r="BF645">
        <v>11</v>
      </c>
      <c r="BG645" t="s">
        <v>17509</v>
      </c>
      <c r="BH645" t="s">
        <v>17510</v>
      </c>
      <c r="BI645" t="s">
        <v>17511</v>
      </c>
      <c r="BJ645">
        <v>2.8660000000000001E-2</v>
      </c>
      <c r="BK645">
        <v>1</v>
      </c>
      <c r="BL645" t="s">
        <v>69</v>
      </c>
      <c r="BM645">
        <v>-1.353</v>
      </c>
      <c r="BN645">
        <v>-0.54300000000000004</v>
      </c>
    </row>
    <row r="646" spans="2:66">
      <c r="B646">
        <v>1018</v>
      </c>
      <c r="C646">
        <v>176</v>
      </c>
      <c r="D646">
        <v>0</v>
      </c>
      <c r="E646">
        <v>6</v>
      </c>
      <c r="F646">
        <v>2</v>
      </c>
      <c r="J646">
        <v>0</v>
      </c>
      <c r="K646">
        <v>2</v>
      </c>
      <c r="L646">
        <v>0</v>
      </c>
      <c r="M646" t="s">
        <v>25022</v>
      </c>
      <c r="N646">
        <v>3029</v>
      </c>
      <c r="O646" t="s">
        <v>17512</v>
      </c>
      <c r="P646" t="s">
        <v>62</v>
      </c>
      <c r="Q646">
        <v>2979719</v>
      </c>
      <c r="R646">
        <v>2980987</v>
      </c>
      <c r="S646" t="s">
        <v>17513</v>
      </c>
      <c r="T646">
        <v>423</v>
      </c>
      <c r="U646" t="s">
        <v>59</v>
      </c>
      <c r="V646">
        <v>49</v>
      </c>
      <c r="W646" t="str">
        <f>HYPERLINK("Gene3029-zp_tree_all.dnd", "Gene3029-tree")</f>
        <v>Gene3029-tree</v>
      </c>
      <c r="X646">
        <v>37</v>
      </c>
      <c r="Y646">
        <v>2</v>
      </c>
      <c r="Z646">
        <v>18</v>
      </c>
      <c r="AA646">
        <v>2</v>
      </c>
      <c r="AB646">
        <v>0.1</v>
      </c>
      <c r="AC646" t="s">
        <v>9478</v>
      </c>
      <c r="AD646" t="s">
        <v>81</v>
      </c>
      <c r="AE646" t="s">
        <v>62</v>
      </c>
      <c r="AF646" t="s">
        <v>62</v>
      </c>
      <c r="AG646">
        <v>1</v>
      </c>
      <c r="AH646">
        <v>2</v>
      </c>
      <c r="AI646">
        <v>5</v>
      </c>
      <c r="AJ646">
        <v>0.28571000000000002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</v>
      </c>
      <c r="AT646">
        <v>0</v>
      </c>
      <c r="AU646">
        <v>17</v>
      </c>
      <c r="AV646">
        <v>12</v>
      </c>
      <c r="AW646">
        <v>48</v>
      </c>
      <c r="AX646">
        <v>2</v>
      </c>
      <c r="AY646">
        <v>62</v>
      </c>
      <c r="AZ646">
        <v>5</v>
      </c>
      <c r="BA646" t="s">
        <v>17514</v>
      </c>
      <c r="BB646" t="s">
        <v>17515</v>
      </c>
      <c r="BC646">
        <v>0.29199999999999998</v>
      </c>
      <c r="BD646" t="s">
        <v>65</v>
      </c>
      <c r="BE646">
        <v>110</v>
      </c>
      <c r="BF646">
        <v>7</v>
      </c>
      <c r="BG646" t="s">
        <v>17516</v>
      </c>
      <c r="BH646" t="s">
        <v>17517</v>
      </c>
      <c r="BI646" t="s">
        <v>5005</v>
      </c>
      <c r="BJ646">
        <v>2.7009999999999999E-2</v>
      </c>
      <c r="BK646">
        <v>1</v>
      </c>
      <c r="BL646" t="s">
        <v>69</v>
      </c>
      <c r="BM646">
        <v>-1.516</v>
      </c>
      <c r="BN646">
        <v>-0.85699999999999998</v>
      </c>
    </row>
    <row r="647" spans="2:66">
      <c r="B647">
        <v>1020</v>
      </c>
      <c r="C647">
        <v>98</v>
      </c>
      <c r="D647">
        <v>2</v>
      </c>
      <c r="E647">
        <v>1</v>
      </c>
      <c r="F647">
        <v>0</v>
      </c>
      <c r="J647">
        <v>0</v>
      </c>
      <c r="K647">
        <v>3</v>
      </c>
      <c r="L647">
        <v>0</v>
      </c>
      <c r="M647" t="s">
        <v>25022</v>
      </c>
      <c r="N647">
        <v>3030</v>
      </c>
      <c r="O647" t="s">
        <v>17518</v>
      </c>
      <c r="P647" t="s">
        <v>62</v>
      </c>
      <c r="Q647">
        <v>2981154</v>
      </c>
      <c r="R647">
        <v>2982269</v>
      </c>
      <c r="S647" t="s">
        <v>17519</v>
      </c>
      <c r="T647">
        <v>372</v>
      </c>
      <c r="U647" t="s">
        <v>59</v>
      </c>
      <c r="V647">
        <v>49</v>
      </c>
      <c r="W647" t="str">
        <f>HYPERLINK("Gene3030-zp_tree_all.dnd", "Gene3030-tree")</f>
        <v>Gene3030-tree</v>
      </c>
      <c r="X647">
        <v>12</v>
      </c>
      <c r="Y647">
        <v>5</v>
      </c>
      <c r="Z647">
        <v>12</v>
      </c>
      <c r="AA647">
        <v>5</v>
      </c>
      <c r="AB647">
        <v>0.29411999999999999</v>
      </c>
      <c r="AC647" t="s">
        <v>109</v>
      </c>
      <c r="AD647" t="s">
        <v>199</v>
      </c>
      <c r="AE647" t="s">
        <v>62</v>
      </c>
      <c r="AF647" t="s">
        <v>62</v>
      </c>
      <c r="AG647">
        <v>1</v>
      </c>
      <c r="AH647">
        <v>3</v>
      </c>
      <c r="AI647">
        <v>13</v>
      </c>
      <c r="AJ647">
        <v>0.1875</v>
      </c>
      <c r="AK647">
        <v>0</v>
      </c>
      <c r="AL647">
        <v>0</v>
      </c>
      <c r="AM647">
        <v>0</v>
      </c>
      <c r="AN647">
        <v>3</v>
      </c>
      <c r="AO647">
        <v>0</v>
      </c>
      <c r="AP647">
        <v>3</v>
      </c>
      <c r="AQ647">
        <v>0</v>
      </c>
      <c r="AR647">
        <v>3</v>
      </c>
      <c r="AS647">
        <v>4</v>
      </c>
      <c r="AT647">
        <v>0.42857000000000001</v>
      </c>
      <c r="AU647">
        <v>13</v>
      </c>
      <c r="AV647">
        <v>8</v>
      </c>
      <c r="AW647">
        <v>31</v>
      </c>
      <c r="AX647">
        <v>7</v>
      </c>
      <c r="AY647">
        <v>64</v>
      </c>
      <c r="AZ647">
        <v>10</v>
      </c>
      <c r="BA647" t="s">
        <v>17520</v>
      </c>
      <c r="BB647" t="s">
        <v>17521</v>
      </c>
      <c r="BC647">
        <v>0.34399999999999997</v>
      </c>
      <c r="BD647" t="s">
        <v>65</v>
      </c>
      <c r="BE647">
        <v>95</v>
      </c>
      <c r="BF647">
        <v>17</v>
      </c>
      <c r="BG647" t="s">
        <v>17522</v>
      </c>
      <c r="BH647" t="s">
        <v>17523</v>
      </c>
      <c r="BI647" t="s">
        <v>17524</v>
      </c>
      <c r="BJ647">
        <v>4.6249999999999999E-2</v>
      </c>
      <c r="BK647">
        <v>1</v>
      </c>
      <c r="BL647" t="s">
        <v>69</v>
      </c>
      <c r="BM647">
        <v>-1.542</v>
      </c>
      <c r="BN647">
        <v>0.246</v>
      </c>
    </row>
    <row r="648" spans="2:66">
      <c r="B648">
        <v>1023</v>
      </c>
      <c r="C648">
        <v>89</v>
      </c>
      <c r="D648">
        <v>0</v>
      </c>
      <c r="E648">
        <v>2</v>
      </c>
      <c r="F648">
        <v>0</v>
      </c>
      <c r="J648">
        <v>0</v>
      </c>
      <c r="K648">
        <v>0</v>
      </c>
      <c r="L648">
        <v>2</v>
      </c>
      <c r="M648" t="s">
        <v>25022</v>
      </c>
      <c r="N648">
        <v>3031</v>
      </c>
      <c r="O648" t="s">
        <v>17525</v>
      </c>
      <c r="P648" t="s">
        <v>62</v>
      </c>
      <c r="Q648">
        <v>2982606</v>
      </c>
      <c r="R648">
        <v>2983067</v>
      </c>
      <c r="S648" t="s">
        <v>6103</v>
      </c>
      <c r="T648">
        <v>154</v>
      </c>
      <c r="U648" t="s">
        <v>108</v>
      </c>
      <c r="V648">
        <v>44</v>
      </c>
      <c r="W648" t="str">
        <f>HYPERLINK("Gene3031-zp_tree_all.dnd", "Gene3031-tree")</f>
        <v>Gene3031-tree</v>
      </c>
      <c r="X648">
        <v>9</v>
      </c>
      <c r="Y648">
        <v>2</v>
      </c>
      <c r="Z648">
        <v>9</v>
      </c>
      <c r="AA648">
        <v>2</v>
      </c>
      <c r="AB648">
        <v>0.18182000000000001</v>
      </c>
      <c r="AC648" t="s">
        <v>135</v>
      </c>
      <c r="AD648" t="s">
        <v>81</v>
      </c>
      <c r="AE648" t="s">
        <v>62</v>
      </c>
      <c r="AF648" t="s">
        <v>62</v>
      </c>
      <c r="AG648">
        <v>1</v>
      </c>
      <c r="AH648">
        <v>2</v>
      </c>
      <c r="AI648">
        <v>2</v>
      </c>
      <c r="AJ648">
        <v>0.5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2</v>
      </c>
      <c r="AT648">
        <v>0</v>
      </c>
      <c r="AU648">
        <v>8</v>
      </c>
      <c r="AV648">
        <v>6</v>
      </c>
      <c r="AW648">
        <v>13</v>
      </c>
      <c r="AX648">
        <v>2</v>
      </c>
      <c r="AY648">
        <v>6</v>
      </c>
      <c r="AZ648">
        <v>2</v>
      </c>
      <c r="BA648" t="s">
        <v>17526</v>
      </c>
      <c r="BB648" t="s">
        <v>17527</v>
      </c>
      <c r="BC648">
        <v>0.55100000000000005</v>
      </c>
      <c r="BD648" t="s">
        <v>65</v>
      </c>
      <c r="BE648">
        <v>19</v>
      </c>
      <c r="BF648">
        <v>4</v>
      </c>
      <c r="BG648" t="s">
        <v>17528</v>
      </c>
      <c r="BH648" t="s">
        <v>17529</v>
      </c>
      <c r="BI648" t="s">
        <v>17530</v>
      </c>
      <c r="BJ648">
        <v>0.1149</v>
      </c>
      <c r="BK648">
        <v>1</v>
      </c>
      <c r="BL648" t="s">
        <v>69</v>
      </c>
      <c r="BM648">
        <v>-0.35399999999999998</v>
      </c>
      <c r="BN648">
        <v>-0.1</v>
      </c>
    </row>
    <row r="649" spans="2:66">
      <c r="B649">
        <v>1025</v>
      </c>
      <c r="C649">
        <v>401</v>
      </c>
      <c r="D649">
        <v>0</v>
      </c>
      <c r="E649">
        <v>13</v>
      </c>
      <c r="F649">
        <v>4</v>
      </c>
      <c r="J649">
        <v>0</v>
      </c>
      <c r="K649">
        <v>0</v>
      </c>
      <c r="L649">
        <v>0</v>
      </c>
      <c r="M649" t="s">
        <v>25022</v>
      </c>
      <c r="N649">
        <v>3033</v>
      </c>
      <c r="O649" t="s">
        <v>17538</v>
      </c>
      <c r="P649" t="s">
        <v>62</v>
      </c>
      <c r="Q649">
        <v>2984315</v>
      </c>
      <c r="R649">
        <v>2984695</v>
      </c>
      <c r="S649" t="s">
        <v>3095</v>
      </c>
      <c r="T649">
        <v>127</v>
      </c>
      <c r="U649" t="s">
        <v>108</v>
      </c>
      <c r="V649">
        <v>44</v>
      </c>
      <c r="W649" t="str">
        <f>HYPERLINK("Gene3033-zp_tree_all.dnd", "Gene3033-tree")</f>
        <v>Gene3033-tree</v>
      </c>
      <c r="X649">
        <v>6</v>
      </c>
      <c r="Y649">
        <v>5</v>
      </c>
      <c r="Z649">
        <v>6</v>
      </c>
      <c r="AA649">
        <v>5</v>
      </c>
      <c r="AB649">
        <v>0.45455000000000001</v>
      </c>
      <c r="AC649" t="s">
        <v>90</v>
      </c>
      <c r="AD649" t="s">
        <v>199</v>
      </c>
      <c r="AE649" t="s">
        <v>62</v>
      </c>
      <c r="AF649" t="s">
        <v>62</v>
      </c>
      <c r="AG649">
        <v>0</v>
      </c>
      <c r="AH649">
        <v>0</v>
      </c>
      <c r="AI649">
        <v>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5</v>
      </c>
      <c r="AT649">
        <v>0</v>
      </c>
      <c r="AU649">
        <v>9</v>
      </c>
      <c r="AV649">
        <v>6</v>
      </c>
      <c r="AW649">
        <v>7</v>
      </c>
      <c r="AX649">
        <v>5</v>
      </c>
      <c r="AY649">
        <v>12</v>
      </c>
      <c r="AZ649">
        <v>1</v>
      </c>
      <c r="BA649" t="s">
        <v>17539</v>
      </c>
      <c r="BB649" t="s">
        <v>17540</v>
      </c>
      <c r="BC649">
        <v>1.6080000000000001</v>
      </c>
      <c r="BD649" t="s">
        <v>65</v>
      </c>
      <c r="BE649">
        <v>19</v>
      </c>
      <c r="BF649">
        <v>6</v>
      </c>
      <c r="BG649" t="s">
        <v>17541</v>
      </c>
      <c r="BH649" t="s">
        <v>17542</v>
      </c>
      <c r="BI649" t="s">
        <v>17543</v>
      </c>
      <c r="BJ649">
        <v>7.7429999999999999E-2</v>
      </c>
      <c r="BK649">
        <v>1</v>
      </c>
      <c r="BL649" t="s">
        <v>69</v>
      </c>
      <c r="BM649">
        <v>0.36199999999999999</v>
      </c>
      <c r="BN649">
        <v>-0.46100000000000002</v>
      </c>
    </row>
    <row r="650" spans="2:66">
      <c r="B650">
        <v>1026</v>
      </c>
      <c r="C650">
        <v>871</v>
      </c>
      <c r="D650">
        <v>0</v>
      </c>
      <c r="E650">
        <v>40</v>
      </c>
      <c r="F650">
        <v>6</v>
      </c>
      <c r="J650">
        <v>0</v>
      </c>
      <c r="K650">
        <v>0</v>
      </c>
      <c r="L650">
        <v>0</v>
      </c>
      <c r="M650" t="s">
        <v>25022</v>
      </c>
      <c r="N650">
        <v>3034</v>
      </c>
      <c r="O650" t="s">
        <v>17544</v>
      </c>
      <c r="P650" t="s">
        <v>62</v>
      </c>
      <c r="Q650">
        <v>2984791</v>
      </c>
      <c r="R650">
        <v>2986545</v>
      </c>
      <c r="S650" t="s">
        <v>17545</v>
      </c>
      <c r="T650">
        <v>585</v>
      </c>
      <c r="U650" t="s">
        <v>108</v>
      </c>
      <c r="V650">
        <v>44</v>
      </c>
      <c r="W650" t="str">
        <f>HYPERLINK("Gene3034-zp_tree_all.dnd", "Gene3034-tree")</f>
        <v>Gene3034-tree</v>
      </c>
      <c r="X650">
        <v>10</v>
      </c>
      <c r="Y650">
        <v>1</v>
      </c>
      <c r="Z650">
        <v>10</v>
      </c>
      <c r="AA650">
        <v>1</v>
      </c>
      <c r="AB650">
        <v>9.0910000000000005E-2</v>
      </c>
      <c r="AC650" t="s">
        <v>117</v>
      </c>
      <c r="AD650" t="s">
        <v>175</v>
      </c>
      <c r="AE650" t="s">
        <v>62</v>
      </c>
      <c r="AF650" t="s">
        <v>62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10</v>
      </c>
      <c r="AV650">
        <v>8</v>
      </c>
      <c r="AW650">
        <v>47</v>
      </c>
      <c r="AX650">
        <v>1</v>
      </c>
      <c r="AY650">
        <v>30</v>
      </c>
      <c r="AZ650">
        <v>2</v>
      </c>
      <c r="BA650" t="s">
        <v>17546</v>
      </c>
      <c r="BB650" t="s">
        <v>17547</v>
      </c>
      <c r="BC650">
        <v>0.432</v>
      </c>
      <c r="BD650" t="s">
        <v>65</v>
      </c>
      <c r="BE650">
        <v>77</v>
      </c>
      <c r="BF650">
        <v>3</v>
      </c>
      <c r="BG650" t="s">
        <v>17548</v>
      </c>
      <c r="BH650" t="s">
        <v>17549</v>
      </c>
      <c r="BI650" t="s">
        <v>10471</v>
      </c>
      <c r="BJ650">
        <v>1.512E-2</v>
      </c>
      <c r="BK650">
        <v>1</v>
      </c>
      <c r="BL650" t="s">
        <v>69</v>
      </c>
      <c r="BM650">
        <v>-0.54400000000000004</v>
      </c>
      <c r="BN650">
        <v>-0.91800000000000004</v>
      </c>
    </row>
    <row r="651" spans="2:66">
      <c r="B651">
        <v>1029</v>
      </c>
      <c r="C651">
        <v>287</v>
      </c>
      <c r="D651">
        <v>0</v>
      </c>
      <c r="E651">
        <v>2</v>
      </c>
      <c r="F651">
        <v>0</v>
      </c>
      <c r="J651">
        <v>0</v>
      </c>
      <c r="K651">
        <v>0</v>
      </c>
      <c r="L651">
        <v>0</v>
      </c>
      <c r="M651" t="s">
        <v>25022</v>
      </c>
      <c r="N651">
        <v>3035</v>
      </c>
      <c r="O651" t="s">
        <v>17550</v>
      </c>
      <c r="P651" t="s">
        <v>62</v>
      </c>
      <c r="Q651">
        <v>2986591</v>
      </c>
      <c r="R651">
        <v>2987547</v>
      </c>
      <c r="S651" t="s">
        <v>17551</v>
      </c>
      <c r="T651">
        <v>319</v>
      </c>
      <c r="U651" t="s">
        <v>59</v>
      </c>
      <c r="V651">
        <v>49</v>
      </c>
      <c r="W651" t="str">
        <f>HYPERLINK("Gene3035-zp_tree_all.dnd", "Gene3035-tree")</f>
        <v>Gene3035-tree</v>
      </c>
      <c r="X651">
        <v>16</v>
      </c>
      <c r="Y651">
        <v>1</v>
      </c>
      <c r="Z651">
        <v>16</v>
      </c>
      <c r="AA651">
        <v>1</v>
      </c>
      <c r="AB651">
        <v>5.8819999999999997E-2</v>
      </c>
      <c r="AC651" t="s">
        <v>60</v>
      </c>
      <c r="AD651" t="s">
        <v>175</v>
      </c>
      <c r="AE651" t="s">
        <v>62</v>
      </c>
      <c r="AF651" t="s">
        <v>62</v>
      </c>
      <c r="AG651">
        <v>0</v>
      </c>
      <c r="AH651">
        <v>0</v>
      </c>
      <c r="AI651">
        <v>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13</v>
      </c>
      <c r="AV651">
        <v>11</v>
      </c>
      <c r="AW651">
        <v>25</v>
      </c>
      <c r="AX651">
        <v>1</v>
      </c>
      <c r="AY651">
        <v>51</v>
      </c>
      <c r="AZ651">
        <v>2</v>
      </c>
      <c r="BA651" t="s">
        <v>17552</v>
      </c>
      <c r="BB651" t="s">
        <v>17553</v>
      </c>
      <c r="BC651">
        <v>8.9999999999999993E-3</v>
      </c>
      <c r="BD651" t="s">
        <v>65</v>
      </c>
      <c r="BE651">
        <v>76</v>
      </c>
      <c r="BF651">
        <v>3</v>
      </c>
      <c r="BG651" t="s">
        <v>17554</v>
      </c>
      <c r="BH651" t="s">
        <v>17555</v>
      </c>
      <c r="BI651" t="s">
        <v>17556</v>
      </c>
      <c r="BJ651">
        <v>1.5270000000000001E-2</v>
      </c>
      <c r="BK651">
        <v>1</v>
      </c>
      <c r="BL651" t="s">
        <v>69</v>
      </c>
      <c r="BM651">
        <v>-0.84099999999999997</v>
      </c>
      <c r="BN651">
        <v>-0.38900000000000001</v>
      </c>
    </row>
    <row r="652" spans="2:66">
      <c r="B652">
        <v>1034</v>
      </c>
      <c r="C652">
        <v>177</v>
      </c>
      <c r="D652">
        <v>0</v>
      </c>
      <c r="E652">
        <v>2</v>
      </c>
      <c r="F652">
        <v>0</v>
      </c>
      <c r="J652">
        <v>0</v>
      </c>
      <c r="K652">
        <v>0</v>
      </c>
      <c r="L652">
        <v>0</v>
      </c>
      <c r="M652" t="s">
        <v>25022</v>
      </c>
      <c r="N652">
        <v>3036</v>
      </c>
      <c r="O652" t="s">
        <v>17557</v>
      </c>
      <c r="P652" t="s">
        <v>62</v>
      </c>
      <c r="Q652">
        <v>2987734</v>
      </c>
      <c r="R652">
        <v>2988708</v>
      </c>
      <c r="S652" t="s">
        <v>17558</v>
      </c>
      <c r="T652">
        <v>325</v>
      </c>
      <c r="U652" t="s">
        <v>59</v>
      </c>
      <c r="V652">
        <v>49</v>
      </c>
      <c r="W652" t="str">
        <f>HYPERLINK("Gene3036-zp_tree_all.dnd", "Gene3036-tree")</f>
        <v>Gene3036-tree</v>
      </c>
      <c r="X652">
        <v>14</v>
      </c>
      <c r="Y652">
        <v>4</v>
      </c>
      <c r="Z652">
        <v>14</v>
      </c>
      <c r="AA652">
        <v>4</v>
      </c>
      <c r="AB652">
        <v>0.22222</v>
      </c>
      <c r="AC652" t="s">
        <v>543</v>
      </c>
      <c r="AD652" t="s">
        <v>61</v>
      </c>
      <c r="AE652" t="s">
        <v>62</v>
      </c>
      <c r="AF652" t="s">
        <v>62</v>
      </c>
      <c r="AG652">
        <v>0</v>
      </c>
      <c r="AH652">
        <v>0</v>
      </c>
      <c r="AI652">
        <v>10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6</v>
      </c>
      <c r="AT652">
        <v>0</v>
      </c>
      <c r="AU652">
        <v>16</v>
      </c>
      <c r="AV652">
        <v>14</v>
      </c>
      <c r="AW652">
        <v>43</v>
      </c>
      <c r="AX652">
        <v>6</v>
      </c>
      <c r="AY652">
        <v>53</v>
      </c>
      <c r="AZ652">
        <v>4</v>
      </c>
      <c r="BA652" t="s">
        <v>17559</v>
      </c>
      <c r="BB652" t="s">
        <v>17560</v>
      </c>
      <c r="BC652">
        <v>0.33100000000000002</v>
      </c>
      <c r="BD652" t="s">
        <v>65</v>
      </c>
      <c r="BE652">
        <v>96</v>
      </c>
      <c r="BF652">
        <v>10</v>
      </c>
      <c r="BG652" t="s">
        <v>17561</v>
      </c>
      <c r="BH652" t="s">
        <v>17562</v>
      </c>
      <c r="BI652" t="s">
        <v>17563</v>
      </c>
      <c r="BJ652">
        <v>2.3949999999999999E-2</v>
      </c>
      <c r="BK652">
        <v>1</v>
      </c>
      <c r="BL652" t="s">
        <v>69</v>
      </c>
      <c r="BM652">
        <v>-1.3660000000000001</v>
      </c>
      <c r="BN652">
        <v>-0.95</v>
      </c>
    </row>
    <row r="653" spans="2:66">
      <c r="B653">
        <v>1036</v>
      </c>
      <c r="C653">
        <v>36</v>
      </c>
      <c r="D653">
        <v>0</v>
      </c>
      <c r="E653">
        <v>6</v>
      </c>
      <c r="F653">
        <v>0</v>
      </c>
      <c r="J653">
        <v>0</v>
      </c>
      <c r="K653">
        <v>2</v>
      </c>
      <c r="L653">
        <v>2</v>
      </c>
      <c r="M653" t="s">
        <v>25022</v>
      </c>
      <c r="N653">
        <v>3037</v>
      </c>
      <c r="O653" t="s">
        <v>17564</v>
      </c>
      <c r="P653" t="s">
        <v>62</v>
      </c>
      <c r="Q653">
        <v>2988696</v>
      </c>
      <c r="R653">
        <v>2989565</v>
      </c>
      <c r="S653" t="s">
        <v>17565</v>
      </c>
      <c r="T653">
        <v>290</v>
      </c>
      <c r="U653" t="s">
        <v>572</v>
      </c>
      <c r="V653">
        <v>48</v>
      </c>
      <c r="W653" t="str">
        <f>HYPERLINK("Gene3037-zp_tree_all.dnd", "Gene3037-tree")</f>
        <v>Gene3037-tree</v>
      </c>
      <c r="X653">
        <v>8</v>
      </c>
      <c r="Y653">
        <v>7</v>
      </c>
      <c r="Z653">
        <v>8</v>
      </c>
      <c r="AA653">
        <v>7</v>
      </c>
      <c r="AB653">
        <v>0.46666999999999997</v>
      </c>
      <c r="AC653" t="s">
        <v>136</v>
      </c>
      <c r="AD653" t="s">
        <v>152</v>
      </c>
      <c r="AE653" t="s">
        <v>62</v>
      </c>
      <c r="AF653" t="s">
        <v>62</v>
      </c>
      <c r="AG653">
        <v>2</v>
      </c>
      <c r="AH653">
        <v>4</v>
      </c>
      <c r="AI653">
        <v>9</v>
      </c>
      <c r="AJ653">
        <v>0.30769000000000002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2</v>
      </c>
      <c r="AQ653">
        <v>2</v>
      </c>
      <c r="AR653">
        <v>4</v>
      </c>
      <c r="AS653">
        <v>7</v>
      </c>
      <c r="AT653">
        <v>0.36364000000000002</v>
      </c>
      <c r="AU653">
        <v>11</v>
      </c>
      <c r="AV653">
        <v>8</v>
      </c>
      <c r="AW653">
        <v>36</v>
      </c>
      <c r="AX653">
        <v>11</v>
      </c>
      <c r="AY653">
        <v>30</v>
      </c>
      <c r="AZ653">
        <v>3</v>
      </c>
      <c r="BA653" t="s">
        <v>17566</v>
      </c>
      <c r="BB653" t="s">
        <v>17567</v>
      </c>
      <c r="BC653">
        <v>0.40899999999999997</v>
      </c>
      <c r="BD653" t="s">
        <v>65</v>
      </c>
      <c r="BE653">
        <v>66</v>
      </c>
      <c r="BF653">
        <v>14</v>
      </c>
      <c r="BG653" t="s">
        <v>17568</v>
      </c>
      <c r="BH653" t="s">
        <v>17569</v>
      </c>
      <c r="BI653" t="s">
        <v>17570</v>
      </c>
      <c r="BJ653">
        <v>4.3380000000000002E-2</v>
      </c>
      <c r="BK653">
        <v>1</v>
      </c>
      <c r="BL653" t="s">
        <v>69</v>
      </c>
      <c r="BM653">
        <v>-1.615</v>
      </c>
      <c r="BN653">
        <v>-2.972</v>
      </c>
    </row>
    <row r="654" spans="2:66">
      <c r="B654">
        <v>1038</v>
      </c>
      <c r="C654">
        <v>209</v>
      </c>
      <c r="D654">
        <v>0</v>
      </c>
      <c r="E654">
        <v>12</v>
      </c>
      <c r="F654">
        <v>0</v>
      </c>
      <c r="J654">
        <v>0</v>
      </c>
      <c r="K654">
        <v>0</v>
      </c>
      <c r="L654">
        <v>0</v>
      </c>
      <c r="M654" t="s">
        <v>25022</v>
      </c>
      <c r="N654">
        <v>3038</v>
      </c>
      <c r="O654" t="s">
        <v>17571</v>
      </c>
      <c r="P654" t="s">
        <v>62</v>
      </c>
      <c r="Q654">
        <v>2989903</v>
      </c>
      <c r="R654">
        <v>2991132</v>
      </c>
      <c r="S654" t="s">
        <v>17572</v>
      </c>
      <c r="T654">
        <v>410</v>
      </c>
      <c r="U654" t="s">
        <v>108</v>
      </c>
      <c r="V654">
        <v>44</v>
      </c>
      <c r="W654" t="str">
        <f>HYPERLINK("Gene3038-zp_tree_all.dnd", "Gene3038-tree")</f>
        <v>Gene3038-tree</v>
      </c>
      <c r="X654">
        <v>11</v>
      </c>
      <c r="Y654">
        <v>3</v>
      </c>
      <c r="Z654">
        <v>11</v>
      </c>
      <c r="AA654">
        <v>3</v>
      </c>
      <c r="AB654">
        <v>0.21429000000000001</v>
      </c>
      <c r="AC654" t="s">
        <v>73</v>
      </c>
      <c r="AD654" t="s">
        <v>324</v>
      </c>
      <c r="AE654" t="s">
        <v>62</v>
      </c>
      <c r="AF654" t="s">
        <v>62</v>
      </c>
      <c r="AG654">
        <v>0</v>
      </c>
      <c r="AH654">
        <v>0</v>
      </c>
      <c r="AI654">
        <v>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3</v>
      </c>
      <c r="AT654">
        <v>0</v>
      </c>
      <c r="AU654">
        <v>12</v>
      </c>
      <c r="AV654">
        <v>8</v>
      </c>
      <c r="AW654">
        <v>40</v>
      </c>
      <c r="AX654">
        <v>3</v>
      </c>
      <c r="AY654">
        <v>12</v>
      </c>
      <c r="AZ654">
        <v>1</v>
      </c>
      <c r="BA654" t="s">
        <v>17573</v>
      </c>
      <c r="BB654" t="s">
        <v>17574</v>
      </c>
      <c r="BC654">
        <v>4.1000000000000002E-2</v>
      </c>
      <c r="BD654" t="s">
        <v>65</v>
      </c>
      <c r="BE654">
        <v>52</v>
      </c>
      <c r="BF654">
        <v>4</v>
      </c>
      <c r="BG654" t="s">
        <v>17575</v>
      </c>
      <c r="BH654" t="s">
        <v>17576</v>
      </c>
      <c r="BI654" t="s">
        <v>17577</v>
      </c>
      <c r="BJ654">
        <v>2.383E-2</v>
      </c>
      <c r="BK654">
        <v>1</v>
      </c>
      <c r="BL654" t="s">
        <v>69</v>
      </c>
      <c r="BM654">
        <v>-1.1140000000000001</v>
      </c>
      <c r="BN654">
        <v>-1.8360000000000001</v>
      </c>
    </row>
    <row r="655" spans="2:66">
      <c r="B655">
        <v>1040</v>
      </c>
      <c r="C655">
        <v>117</v>
      </c>
      <c r="D655">
        <v>0</v>
      </c>
      <c r="E655">
        <v>0</v>
      </c>
      <c r="F655">
        <v>2</v>
      </c>
      <c r="J655">
        <v>0</v>
      </c>
      <c r="K655">
        <v>3</v>
      </c>
      <c r="L655">
        <v>4</v>
      </c>
      <c r="M655" t="s">
        <v>25022</v>
      </c>
      <c r="N655">
        <v>3039</v>
      </c>
      <c r="O655" t="s">
        <v>17578</v>
      </c>
      <c r="P655" t="s">
        <v>62</v>
      </c>
      <c r="Q655">
        <v>2991272</v>
      </c>
      <c r="R655">
        <v>2994616</v>
      </c>
      <c r="S655" t="s">
        <v>17579</v>
      </c>
      <c r="T655">
        <v>1115</v>
      </c>
      <c r="U655" t="s">
        <v>265</v>
      </c>
      <c r="V655">
        <v>43</v>
      </c>
      <c r="W655" t="str">
        <f>HYPERLINK("Gene3039-zp_tree_all.dnd", "Gene3039-tree")</f>
        <v>Gene3039-tree</v>
      </c>
      <c r="X655">
        <v>6</v>
      </c>
      <c r="Y655">
        <v>11</v>
      </c>
      <c r="Z655">
        <v>6</v>
      </c>
      <c r="AA655">
        <v>11</v>
      </c>
      <c r="AB655">
        <v>0.64705999999999997</v>
      </c>
      <c r="AC655" t="s">
        <v>90</v>
      </c>
      <c r="AD655" t="s">
        <v>73</v>
      </c>
      <c r="AE655">
        <v>95384385.856999993</v>
      </c>
      <c r="AF655" t="s">
        <v>267</v>
      </c>
      <c r="AG655">
        <v>3</v>
      </c>
      <c r="AH655">
        <v>7</v>
      </c>
      <c r="AI655">
        <v>29</v>
      </c>
      <c r="AJ655">
        <v>0.19444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2</v>
      </c>
      <c r="AQ655">
        <v>4</v>
      </c>
      <c r="AR655">
        <v>6</v>
      </c>
      <c r="AS655">
        <v>26</v>
      </c>
      <c r="AT655">
        <v>0.1875</v>
      </c>
      <c r="AU655">
        <v>15</v>
      </c>
      <c r="AV655">
        <v>13</v>
      </c>
      <c r="AW655">
        <v>92</v>
      </c>
      <c r="AX655">
        <v>34</v>
      </c>
      <c r="AY655">
        <v>49</v>
      </c>
      <c r="AZ655">
        <v>4</v>
      </c>
      <c r="BA655" t="s">
        <v>17580</v>
      </c>
      <c r="BB655" t="s">
        <v>17581</v>
      </c>
      <c r="BC655">
        <v>1.5920000000000001</v>
      </c>
      <c r="BD655" t="s">
        <v>65</v>
      </c>
      <c r="BE655">
        <v>141</v>
      </c>
      <c r="BF655">
        <v>38</v>
      </c>
      <c r="BG655" t="s">
        <v>17582</v>
      </c>
      <c r="BH655" t="s">
        <v>17583</v>
      </c>
      <c r="BI655" t="s">
        <v>17584</v>
      </c>
      <c r="BJ655">
        <v>6.9320000000000007E-2</v>
      </c>
      <c r="BK655">
        <v>1</v>
      </c>
      <c r="BL655" t="s">
        <v>69</v>
      </c>
      <c r="BM655">
        <v>-1.528</v>
      </c>
      <c r="BN655">
        <v>-3.0449999999999999</v>
      </c>
    </row>
    <row r="656" spans="2:66">
      <c r="B656">
        <v>1041</v>
      </c>
      <c r="C656">
        <v>301</v>
      </c>
      <c r="D656">
        <v>0</v>
      </c>
      <c r="E656">
        <v>4</v>
      </c>
      <c r="F656">
        <v>0</v>
      </c>
      <c r="J656">
        <v>0</v>
      </c>
      <c r="K656">
        <v>2</v>
      </c>
      <c r="L656">
        <v>2</v>
      </c>
      <c r="M656" t="s">
        <v>25022</v>
      </c>
      <c r="N656">
        <v>3043</v>
      </c>
      <c r="O656" t="s">
        <v>17603</v>
      </c>
      <c r="P656" t="s">
        <v>62</v>
      </c>
      <c r="Q656">
        <v>2995911</v>
      </c>
      <c r="R656">
        <v>2996849</v>
      </c>
      <c r="S656" t="s">
        <v>17604</v>
      </c>
      <c r="T656">
        <v>313</v>
      </c>
      <c r="U656" t="s">
        <v>59</v>
      </c>
      <c r="V656">
        <v>49</v>
      </c>
      <c r="W656" t="str">
        <f>HYPERLINK("Gene3043-zp_tree_all.dnd", "Gene3043-tree")</f>
        <v>Gene3043-tree</v>
      </c>
      <c r="X656">
        <v>15</v>
      </c>
      <c r="Y656">
        <v>3</v>
      </c>
      <c r="Z656">
        <v>15</v>
      </c>
      <c r="AA656">
        <v>3</v>
      </c>
      <c r="AB656">
        <v>0.16667000000000001</v>
      </c>
      <c r="AC656" t="s">
        <v>100</v>
      </c>
      <c r="AD656" t="s">
        <v>324</v>
      </c>
      <c r="AE656" t="s">
        <v>62</v>
      </c>
      <c r="AF656" t="s">
        <v>62</v>
      </c>
      <c r="AG656">
        <v>2</v>
      </c>
      <c r="AH656">
        <v>4</v>
      </c>
      <c r="AI656">
        <v>4</v>
      </c>
      <c r="AJ656">
        <v>0.5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2</v>
      </c>
      <c r="AR656">
        <v>2</v>
      </c>
      <c r="AS656">
        <v>3</v>
      </c>
      <c r="AT656">
        <v>0.4</v>
      </c>
      <c r="AU656">
        <v>14</v>
      </c>
      <c r="AV656">
        <v>9</v>
      </c>
      <c r="AW656">
        <v>36</v>
      </c>
      <c r="AX656">
        <v>5</v>
      </c>
      <c r="AY656">
        <v>40</v>
      </c>
      <c r="AZ656">
        <v>3</v>
      </c>
      <c r="BA656" t="s">
        <v>17605</v>
      </c>
      <c r="BB656" t="s">
        <v>17606</v>
      </c>
      <c r="BC656">
        <v>0.25</v>
      </c>
      <c r="BD656" t="s">
        <v>65</v>
      </c>
      <c r="BE656">
        <v>76</v>
      </c>
      <c r="BF656">
        <v>8</v>
      </c>
      <c r="BG656" t="s">
        <v>17607</v>
      </c>
      <c r="BH656" t="s">
        <v>17608</v>
      </c>
      <c r="BI656" t="s">
        <v>17609</v>
      </c>
      <c r="BJ656">
        <v>2.5260000000000001E-2</v>
      </c>
      <c r="BK656">
        <v>1</v>
      </c>
      <c r="BL656" t="s">
        <v>69</v>
      </c>
      <c r="BM656">
        <v>-1.4770000000000001</v>
      </c>
      <c r="BN656">
        <v>-1.331</v>
      </c>
    </row>
    <row r="657" spans="2:66">
      <c r="B657">
        <v>1042</v>
      </c>
      <c r="C657">
        <v>53</v>
      </c>
      <c r="D657">
        <v>0</v>
      </c>
      <c r="E657">
        <v>7</v>
      </c>
      <c r="F657">
        <v>0</v>
      </c>
      <c r="J657">
        <v>0</v>
      </c>
      <c r="K657">
        <v>0</v>
      </c>
      <c r="L657">
        <v>0</v>
      </c>
      <c r="M657" t="s">
        <v>25022</v>
      </c>
      <c r="N657">
        <v>3045</v>
      </c>
      <c r="O657" t="s">
        <v>17616</v>
      </c>
      <c r="P657" t="s">
        <v>62</v>
      </c>
      <c r="Q657">
        <v>2997304</v>
      </c>
      <c r="R657">
        <v>2998620</v>
      </c>
      <c r="S657" t="s">
        <v>116</v>
      </c>
      <c r="T657">
        <v>439</v>
      </c>
      <c r="U657" t="s">
        <v>108</v>
      </c>
      <c r="V657">
        <v>44</v>
      </c>
      <c r="W657" t="str">
        <f>HYPERLINK("Gene3045-zp_tree_all.dnd", "Gene3045-tree")</f>
        <v>Gene3045-tree</v>
      </c>
      <c r="X657">
        <v>9</v>
      </c>
      <c r="Y657">
        <v>4</v>
      </c>
      <c r="Z657">
        <v>9</v>
      </c>
      <c r="AA657">
        <v>4</v>
      </c>
      <c r="AB657">
        <v>0.30769000000000002</v>
      </c>
      <c r="AC657" t="s">
        <v>135</v>
      </c>
      <c r="AD657" t="s">
        <v>61</v>
      </c>
      <c r="AE657" t="s">
        <v>62</v>
      </c>
      <c r="AF657" t="s">
        <v>62</v>
      </c>
      <c r="AG657">
        <v>0</v>
      </c>
      <c r="AH657">
        <v>0</v>
      </c>
      <c r="AI657">
        <v>4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0</v>
      </c>
      <c r="AU657">
        <v>10</v>
      </c>
      <c r="AV657">
        <v>9</v>
      </c>
      <c r="AW657">
        <v>33</v>
      </c>
      <c r="AX657">
        <v>3</v>
      </c>
      <c r="AY657">
        <v>11</v>
      </c>
      <c r="AZ657">
        <v>1</v>
      </c>
      <c r="BA657" t="s">
        <v>17617</v>
      </c>
      <c r="BB657" t="s">
        <v>17618</v>
      </c>
      <c r="BC657">
        <v>3.0000000000000001E-3</v>
      </c>
      <c r="BD657" t="s">
        <v>65</v>
      </c>
      <c r="BE657">
        <v>44</v>
      </c>
      <c r="BF657">
        <v>4</v>
      </c>
      <c r="BG657" t="s">
        <v>17619</v>
      </c>
      <c r="BH657" t="s">
        <v>17620</v>
      </c>
      <c r="BI657" t="s">
        <v>17621</v>
      </c>
      <c r="BJ657">
        <v>2.4150000000000001E-2</v>
      </c>
      <c r="BK657">
        <v>1</v>
      </c>
      <c r="BL657" t="s">
        <v>69</v>
      </c>
      <c r="BM657">
        <v>-1.7509999999999999</v>
      </c>
      <c r="BN657">
        <v>-3.1789999999999998</v>
      </c>
    </row>
    <row r="658" spans="2:66">
      <c r="B658">
        <v>1043</v>
      </c>
      <c r="C658">
        <v>16</v>
      </c>
      <c r="D658">
        <v>0</v>
      </c>
      <c r="E658">
        <v>16</v>
      </c>
      <c r="F658">
        <v>3</v>
      </c>
      <c r="J658">
        <v>0</v>
      </c>
      <c r="K658">
        <v>4</v>
      </c>
      <c r="L658">
        <v>0</v>
      </c>
      <c r="M658" t="s">
        <v>25022</v>
      </c>
      <c r="N658">
        <v>3046</v>
      </c>
      <c r="O658" t="s">
        <v>17622</v>
      </c>
      <c r="P658" t="s">
        <v>62</v>
      </c>
      <c r="Q658">
        <v>2998799</v>
      </c>
      <c r="R658">
        <v>2999698</v>
      </c>
      <c r="S658" t="s">
        <v>2569</v>
      </c>
      <c r="T658">
        <v>300</v>
      </c>
      <c r="U658" t="s">
        <v>2555</v>
      </c>
      <c r="V658">
        <v>34</v>
      </c>
      <c r="W658" t="str">
        <f>HYPERLINK("Gene3046-zp_tree_all.dnd", "Gene3046-tree")</f>
        <v>Gene3046-tree</v>
      </c>
      <c r="X658">
        <v>8</v>
      </c>
      <c r="Y658">
        <v>2</v>
      </c>
      <c r="Z658">
        <v>8</v>
      </c>
      <c r="AA658">
        <v>2</v>
      </c>
      <c r="AB658">
        <v>0.2</v>
      </c>
      <c r="AC658" t="s">
        <v>136</v>
      </c>
      <c r="AD658" t="s">
        <v>81</v>
      </c>
      <c r="AE658" t="s">
        <v>62</v>
      </c>
      <c r="AF658" t="s">
        <v>62</v>
      </c>
      <c r="AG658">
        <v>2</v>
      </c>
      <c r="AH658">
        <v>4</v>
      </c>
      <c r="AI658">
        <v>5</v>
      </c>
      <c r="AJ658">
        <v>0.44444</v>
      </c>
      <c r="AK658">
        <v>0</v>
      </c>
      <c r="AL658">
        <v>0</v>
      </c>
      <c r="AM658">
        <v>0</v>
      </c>
      <c r="AN658">
        <v>3</v>
      </c>
      <c r="AO658">
        <v>0</v>
      </c>
      <c r="AP658">
        <v>4</v>
      </c>
      <c r="AQ658">
        <v>0</v>
      </c>
      <c r="AR658">
        <v>4</v>
      </c>
      <c r="AS658">
        <v>0</v>
      </c>
      <c r="AT658">
        <v>1</v>
      </c>
      <c r="AU658">
        <v>7</v>
      </c>
      <c r="AV658">
        <v>6</v>
      </c>
      <c r="AW658">
        <v>13</v>
      </c>
      <c r="AX658">
        <v>4</v>
      </c>
      <c r="AY658">
        <v>10</v>
      </c>
      <c r="AZ658">
        <v>5</v>
      </c>
      <c r="BA658" t="s">
        <v>17623</v>
      </c>
      <c r="BB658" t="s">
        <v>17624</v>
      </c>
      <c r="BC658">
        <v>0.39</v>
      </c>
      <c r="BD658" t="s">
        <v>65</v>
      </c>
      <c r="BE658">
        <v>23</v>
      </c>
      <c r="BF658">
        <v>9</v>
      </c>
      <c r="BG658" t="s">
        <v>17625</v>
      </c>
      <c r="BH658" t="s">
        <v>17626</v>
      </c>
      <c r="BI658" t="s">
        <v>17627</v>
      </c>
      <c r="BJ658">
        <v>0.14452999999999999</v>
      </c>
      <c r="BK658">
        <v>1</v>
      </c>
      <c r="BL658" t="s">
        <v>69</v>
      </c>
      <c r="BM658">
        <v>-1.081</v>
      </c>
      <c r="BN658">
        <v>-0.72499999999999998</v>
      </c>
    </row>
    <row r="659" spans="2:66">
      <c r="B659">
        <v>1044</v>
      </c>
      <c r="C659">
        <v>402</v>
      </c>
      <c r="D659">
        <v>0</v>
      </c>
      <c r="E659">
        <v>8</v>
      </c>
      <c r="F659">
        <v>0</v>
      </c>
      <c r="J659">
        <v>0</v>
      </c>
      <c r="K659">
        <v>8</v>
      </c>
      <c r="L659">
        <v>0</v>
      </c>
      <c r="M659" t="s">
        <v>25022</v>
      </c>
      <c r="N659">
        <v>3047</v>
      </c>
      <c r="O659" t="s">
        <v>17628</v>
      </c>
      <c r="P659" t="s">
        <v>62</v>
      </c>
      <c r="Q659">
        <v>2999720</v>
      </c>
      <c r="R659">
        <v>3000967</v>
      </c>
      <c r="S659" t="s">
        <v>17629</v>
      </c>
      <c r="T659">
        <v>416</v>
      </c>
      <c r="U659" t="s">
        <v>2555</v>
      </c>
      <c r="V659">
        <v>34</v>
      </c>
      <c r="W659" t="str">
        <f>HYPERLINK("Gene3047-zp_tree_all.dnd", "Gene3047-tree")</f>
        <v>Gene3047-tree</v>
      </c>
      <c r="X659">
        <v>2</v>
      </c>
      <c r="Y659">
        <v>8</v>
      </c>
      <c r="Z659">
        <v>2</v>
      </c>
      <c r="AA659">
        <v>8</v>
      </c>
      <c r="AB659">
        <v>0.8</v>
      </c>
      <c r="AC659" t="s">
        <v>81</v>
      </c>
      <c r="AD659" t="s">
        <v>136</v>
      </c>
      <c r="AE659" t="s">
        <v>62</v>
      </c>
      <c r="AF659" t="s">
        <v>62</v>
      </c>
      <c r="AG659">
        <v>4</v>
      </c>
      <c r="AH659">
        <v>8</v>
      </c>
      <c r="AI659">
        <v>17</v>
      </c>
      <c r="AJ659">
        <v>0.32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4</v>
      </c>
      <c r="AQ659">
        <v>0</v>
      </c>
      <c r="AR659">
        <v>4</v>
      </c>
      <c r="AS659">
        <v>16</v>
      </c>
      <c r="AT659">
        <v>0.2</v>
      </c>
      <c r="AU659">
        <v>7</v>
      </c>
      <c r="AV659">
        <v>6</v>
      </c>
      <c r="AW659">
        <v>15</v>
      </c>
      <c r="AX659">
        <v>15</v>
      </c>
      <c r="AY659">
        <v>14</v>
      </c>
      <c r="AZ659">
        <v>10</v>
      </c>
      <c r="BA659" t="s">
        <v>17630</v>
      </c>
      <c r="BB659" t="s">
        <v>17631</v>
      </c>
      <c r="BC659">
        <v>0.436</v>
      </c>
      <c r="BD659" t="s">
        <v>65</v>
      </c>
      <c r="BE659">
        <v>29</v>
      </c>
      <c r="BF659">
        <v>25</v>
      </c>
      <c r="BG659" t="s">
        <v>17632</v>
      </c>
      <c r="BH659" t="s">
        <v>17633</v>
      </c>
      <c r="BI659" t="s">
        <v>17634</v>
      </c>
      <c r="BJ659">
        <v>0.27174999999999999</v>
      </c>
      <c r="BK659">
        <v>1</v>
      </c>
      <c r="BL659" t="s">
        <v>69</v>
      </c>
      <c r="BM659">
        <v>0.16700000000000001</v>
      </c>
      <c r="BN659">
        <v>-0.19700000000000001</v>
      </c>
    </row>
    <row r="660" spans="2:66">
      <c r="B660">
        <v>1046</v>
      </c>
      <c r="C660">
        <v>108</v>
      </c>
      <c r="D660">
        <v>0</v>
      </c>
      <c r="E660">
        <v>2</v>
      </c>
      <c r="F660">
        <v>0</v>
      </c>
      <c r="J660">
        <v>0</v>
      </c>
      <c r="K660">
        <v>0</v>
      </c>
      <c r="L660">
        <v>0</v>
      </c>
      <c r="M660" t="s">
        <v>25022</v>
      </c>
      <c r="N660">
        <v>3048</v>
      </c>
      <c r="O660" t="s">
        <v>17635</v>
      </c>
      <c r="P660" t="s">
        <v>62</v>
      </c>
      <c r="Q660">
        <v>3000988</v>
      </c>
      <c r="R660">
        <v>3001677</v>
      </c>
      <c r="S660" t="s">
        <v>17636</v>
      </c>
      <c r="T660">
        <v>230</v>
      </c>
      <c r="U660" t="s">
        <v>2555</v>
      </c>
      <c r="V660">
        <v>34</v>
      </c>
      <c r="W660" t="str">
        <f>HYPERLINK("Gene3048-zp_tree_all.dnd", "Gene3048-tree")</f>
        <v>Gene3048-tree</v>
      </c>
      <c r="X660">
        <v>3</v>
      </c>
      <c r="Y660">
        <v>5</v>
      </c>
      <c r="Z660">
        <v>3</v>
      </c>
      <c r="AA660">
        <v>5</v>
      </c>
      <c r="AB660">
        <v>0.625</v>
      </c>
      <c r="AC660" t="s">
        <v>324</v>
      </c>
      <c r="AD660" t="s">
        <v>199</v>
      </c>
      <c r="AE660" t="s">
        <v>62</v>
      </c>
      <c r="AF660" t="s">
        <v>62</v>
      </c>
      <c r="AG660">
        <v>0</v>
      </c>
      <c r="AH660">
        <v>0</v>
      </c>
      <c r="AI660">
        <v>13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10</v>
      </c>
      <c r="AT660">
        <v>0</v>
      </c>
      <c r="AU660">
        <v>7</v>
      </c>
      <c r="AV660">
        <v>5</v>
      </c>
      <c r="AW660">
        <v>21</v>
      </c>
      <c r="AX660">
        <v>10</v>
      </c>
      <c r="AY660">
        <v>6</v>
      </c>
      <c r="AZ660">
        <v>3</v>
      </c>
      <c r="BA660" t="s">
        <v>17637</v>
      </c>
      <c r="BB660" t="s">
        <v>17638</v>
      </c>
      <c r="BC660">
        <v>0.106</v>
      </c>
      <c r="BD660" t="s">
        <v>65</v>
      </c>
      <c r="BE660">
        <v>27</v>
      </c>
      <c r="BF660">
        <v>13</v>
      </c>
      <c r="BG660" t="s">
        <v>17639</v>
      </c>
      <c r="BH660" t="s">
        <v>17640</v>
      </c>
      <c r="BI660" t="s">
        <v>17641</v>
      </c>
      <c r="BJ660">
        <v>0.16214000000000001</v>
      </c>
      <c r="BK660">
        <v>1</v>
      </c>
      <c r="BL660" t="s">
        <v>69</v>
      </c>
      <c r="BM660">
        <v>-0.73199999999999998</v>
      </c>
      <c r="BN660">
        <v>-0.64500000000000002</v>
      </c>
    </row>
    <row r="661" spans="2:66">
      <c r="B661">
        <v>1047</v>
      </c>
      <c r="C661">
        <v>529</v>
      </c>
      <c r="D661">
        <v>0</v>
      </c>
      <c r="E661">
        <v>7</v>
      </c>
      <c r="F661">
        <v>2</v>
      </c>
      <c r="J661">
        <v>0</v>
      </c>
      <c r="K661">
        <v>4</v>
      </c>
      <c r="L661">
        <v>0</v>
      </c>
      <c r="M661" t="s">
        <v>25022</v>
      </c>
      <c r="N661">
        <v>3049</v>
      </c>
      <c r="O661" t="s">
        <v>17642</v>
      </c>
      <c r="P661" t="s">
        <v>62</v>
      </c>
      <c r="Q661">
        <v>3001727</v>
      </c>
      <c r="R661">
        <v>3003052</v>
      </c>
      <c r="S661" t="s">
        <v>17643</v>
      </c>
      <c r="T661">
        <v>442</v>
      </c>
      <c r="U661" t="s">
        <v>2555</v>
      </c>
      <c r="V661">
        <v>34</v>
      </c>
      <c r="W661" t="str">
        <f>HYPERLINK("Gene3049-zp_tree_all.dnd", "Gene3049-tree")</f>
        <v>Gene3049-tree</v>
      </c>
      <c r="X661">
        <v>6</v>
      </c>
      <c r="Y661">
        <v>4</v>
      </c>
      <c r="Z661">
        <v>6</v>
      </c>
      <c r="AA661">
        <v>4</v>
      </c>
      <c r="AB661">
        <v>0.4</v>
      </c>
      <c r="AC661" t="s">
        <v>90</v>
      </c>
      <c r="AD661" t="s">
        <v>61</v>
      </c>
      <c r="AE661" t="s">
        <v>62</v>
      </c>
      <c r="AF661" t="s">
        <v>62</v>
      </c>
      <c r="AG661">
        <v>2</v>
      </c>
      <c r="AH661">
        <v>4</v>
      </c>
      <c r="AI661">
        <v>11</v>
      </c>
      <c r="AJ661">
        <v>0.26667000000000002</v>
      </c>
      <c r="AK661">
        <v>0</v>
      </c>
      <c r="AL661">
        <v>0</v>
      </c>
      <c r="AM661">
        <v>0</v>
      </c>
      <c r="AN661">
        <v>5</v>
      </c>
      <c r="AO661">
        <v>0</v>
      </c>
      <c r="AP661">
        <v>0</v>
      </c>
      <c r="AQ661">
        <v>0</v>
      </c>
      <c r="AR661">
        <v>0</v>
      </c>
      <c r="AS661">
        <v>6</v>
      </c>
      <c r="AT661">
        <v>0</v>
      </c>
      <c r="AU661">
        <v>8</v>
      </c>
      <c r="AV661">
        <v>7</v>
      </c>
      <c r="AW661">
        <v>20</v>
      </c>
      <c r="AX661">
        <v>6</v>
      </c>
      <c r="AY661">
        <v>32</v>
      </c>
      <c r="AZ661">
        <v>9</v>
      </c>
      <c r="BA661" t="s">
        <v>17644</v>
      </c>
      <c r="BB661" t="s">
        <v>17645</v>
      </c>
      <c r="BC661">
        <v>7.5999999999999998E-2</v>
      </c>
      <c r="BD661" t="s">
        <v>65</v>
      </c>
      <c r="BE661">
        <v>52</v>
      </c>
      <c r="BF661">
        <v>15</v>
      </c>
      <c r="BG661" t="s">
        <v>17646</v>
      </c>
      <c r="BH661" t="s">
        <v>17647</v>
      </c>
      <c r="BI661" t="s">
        <v>17648</v>
      </c>
      <c r="BJ661">
        <v>7.9060000000000005E-2</v>
      </c>
      <c r="BK661">
        <v>1</v>
      </c>
      <c r="BL661" t="s">
        <v>69</v>
      </c>
      <c r="BM661">
        <v>-0.61699999999999999</v>
      </c>
      <c r="BN661">
        <v>1.4999999999999999E-2</v>
      </c>
    </row>
    <row r="662" spans="2:66">
      <c r="B662">
        <v>1048</v>
      </c>
      <c r="C662">
        <v>198</v>
      </c>
      <c r="D662">
        <v>0</v>
      </c>
      <c r="E662">
        <v>4</v>
      </c>
      <c r="F662">
        <v>2</v>
      </c>
      <c r="J662">
        <v>0</v>
      </c>
      <c r="K662">
        <v>0</v>
      </c>
      <c r="L662">
        <v>0</v>
      </c>
      <c r="M662" t="s">
        <v>25022</v>
      </c>
      <c r="N662">
        <v>3050</v>
      </c>
      <c r="O662" t="s">
        <v>17649</v>
      </c>
      <c r="P662" t="s">
        <v>62</v>
      </c>
      <c r="Q662">
        <v>3003052</v>
      </c>
      <c r="R662">
        <v>3003330</v>
      </c>
      <c r="S662" t="s">
        <v>17650</v>
      </c>
      <c r="T662">
        <v>93</v>
      </c>
      <c r="U662" t="s">
        <v>5713</v>
      </c>
      <c r="V662">
        <v>29</v>
      </c>
      <c r="W662" t="str">
        <f>HYPERLINK("Gene3050-zp_tree_all.dnd", "Gene3050-tree")</f>
        <v>Gene3050-tree</v>
      </c>
      <c r="X662">
        <v>0</v>
      </c>
      <c r="Y662">
        <v>4</v>
      </c>
      <c r="Z662">
        <v>0</v>
      </c>
      <c r="AA662">
        <v>4</v>
      </c>
      <c r="AB662">
        <v>1</v>
      </c>
      <c r="AC662" t="s">
        <v>62</v>
      </c>
      <c r="AD662" t="s">
        <v>61</v>
      </c>
      <c r="AE662" t="s">
        <v>62</v>
      </c>
      <c r="AF662" t="s">
        <v>62</v>
      </c>
      <c r="AG662">
        <v>0</v>
      </c>
      <c r="AH662">
        <v>0</v>
      </c>
      <c r="AI662">
        <v>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5</v>
      </c>
      <c r="AT662">
        <v>0</v>
      </c>
      <c r="AU662">
        <v>4</v>
      </c>
      <c r="AV662">
        <v>0</v>
      </c>
      <c r="AW662">
        <v>7</v>
      </c>
      <c r="AX662">
        <v>5</v>
      </c>
      <c r="AY662">
        <v>0</v>
      </c>
      <c r="AZ662">
        <v>0</v>
      </c>
      <c r="BA662" t="s">
        <v>17651</v>
      </c>
      <c r="BB662" t="s">
        <v>193</v>
      </c>
      <c r="BC662">
        <v>1.716</v>
      </c>
      <c r="BD662" t="s">
        <v>65</v>
      </c>
      <c r="BE662">
        <v>7</v>
      </c>
      <c r="BF662">
        <v>5</v>
      </c>
      <c r="BG662" t="s">
        <v>17652</v>
      </c>
      <c r="BH662" t="s">
        <v>17653</v>
      </c>
      <c r="BI662" t="s">
        <v>17654</v>
      </c>
      <c r="BJ662">
        <v>0.184</v>
      </c>
      <c r="BK662">
        <v>1</v>
      </c>
      <c r="BL662" t="s">
        <v>69</v>
      </c>
      <c r="BM662">
        <v>-1.861</v>
      </c>
      <c r="BN662">
        <v>-1.3160000000000001</v>
      </c>
    </row>
    <row r="663" spans="2:66">
      <c r="B663">
        <v>1049</v>
      </c>
      <c r="C663">
        <v>58</v>
      </c>
      <c r="D663">
        <v>0</v>
      </c>
      <c r="E663">
        <v>4</v>
      </c>
      <c r="F663">
        <v>0</v>
      </c>
      <c r="J663">
        <v>0</v>
      </c>
      <c r="K663">
        <v>4</v>
      </c>
      <c r="L663">
        <v>2</v>
      </c>
      <c r="M663" t="s">
        <v>25022</v>
      </c>
      <c r="N663">
        <v>3051</v>
      </c>
      <c r="O663" t="s">
        <v>17655</v>
      </c>
      <c r="P663" t="s">
        <v>62</v>
      </c>
      <c r="Q663">
        <v>3003348</v>
      </c>
      <c r="R663">
        <v>3004349</v>
      </c>
      <c r="S663" t="s">
        <v>17643</v>
      </c>
      <c r="T663">
        <v>334</v>
      </c>
      <c r="U663" t="s">
        <v>2555</v>
      </c>
      <c r="V663">
        <v>34</v>
      </c>
      <c r="W663" t="str">
        <f>HYPERLINK("Gene3051-zp_tree_all.dnd", "Gene3051-tree")</f>
        <v>Gene3051-tree</v>
      </c>
      <c r="X663">
        <v>3</v>
      </c>
      <c r="Y663">
        <v>6</v>
      </c>
      <c r="Z663">
        <v>3</v>
      </c>
      <c r="AA663">
        <v>6</v>
      </c>
      <c r="AB663">
        <v>0.66666999999999998</v>
      </c>
      <c r="AC663" t="s">
        <v>324</v>
      </c>
      <c r="AD663" t="s">
        <v>90</v>
      </c>
      <c r="AE663" t="s">
        <v>62</v>
      </c>
      <c r="AF663" t="s">
        <v>62</v>
      </c>
      <c r="AG663">
        <v>3</v>
      </c>
      <c r="AH663">
        <v>6</v>
      </c>
      <c r="AI663">
        <v>11</v>
      </c>
      <c r="AJ663">
        <v>0.35293999999999998</v>
      </c>
      <c r="AK663">
        <v>0</v>
      </c>
      <c r="AL663">
        <v>0</v>
      </c>
      <c r="AM663">
        <v>0</v>
      </c>
      <c r="AN663">
        <v>2</v>
      </c>
      <c r="AO663">
        <v>0</v>
      </c>
      <c r="AP663">
        <v>0</v>
      </c>
      <c r="AQ663">
        <v>2</v>
      </c>
      <c r="AR663">
        <v>2</v>
      </c>
      <c r="AS663">
        <v>9</v>
      </c>
      <c r="AT663">
        <v>0.18182000000000001</v>
      </c>
      <c r="AU663">
        <v>6</v>
      </c>
      <c r="AV663">
        <v>5</v>
      </c>
      <c r="AW663">
        <v>10</v>
      </c>
      <c r="AX663">
        <v>11</v>
      </c>
      <c r="AY663">
        <v>9</v>
      </c>
      <c r="AZ663">
        <v>6</v>
      </c>
      <c r="BA663" t="s">
        <v>17656</v>
      </c>
      <c r="BB663" t="s">
        <v>17657</v>
      </c>
      <c r="BC663">
        <v>0.32600000000000001</v>
      </c>
      <c r="BD663" t="s">
        <v>65</v>
      </c>
      <c r="BE663">
        <v>19</v>
      </c>
      <c r="BF663">
        <v>17</v>
      </c>
      <c r="BG663" t="s">
        <v>17658</v>
      </c>
      <c r="BH663" t="s">
        <v>17659</v>
      </c>
      <c r="BI663" t="s">
        <v>17660</v>
      </c>
      <c r="BJ663">
        <v>0.24203</v>
      </c>
      <c r="BK663">
        <v>1</v>
      </c>
      <c r="BL663" t="s">
        <v>69</v>
      </c>
      <c r="BM663">
        <v>-1.2589999999999999</v>
      </c>
      <c r="BN663">
        <v>-2.0710000000000002</v>
      </c>
    </row>
    <row r="664" spans="2:66">
      <c r="B664">
        <v>1050</v>
      </c>
      <c r="C664">
        <v>265</v>
      </c>
      <c r="D664">
        <v>0</v>
      </c>
      <c r="E664">
        <v>2</v>
      </c>
      <c r="F664">
        <v>0</v>
      </c>
      <c r="J664">
        <v>0</v>
      </c>
      <c r="K664">
        <v>0</v>
      </c>
      <c r="L664">
        <v>0</v>
      </c>
      <c r="M664" t="s">
        <v>25022</v>
      </c>
      <c r="N664">
        <v>3052</v>
      </c>
      <c r="O664" t="s">
        <v>17661</v>
      </c>
      <c r="P664" t="s">
        <v>62</v>
      </c>
      <c r="Q664">
        <v>3004349</v>
      </c>
      <c r="R664">
        <v>3005125</v>
      </c>
      <c r="S664" t="s">
        <v>17662</v>
      </c>
      <c r="T664">
        <v>259</v>
      </c>
      <c r="U664" t="s">
        <v>17663</v>
      </c>
      <c r="V664">
        <v>32</v>
      </c>
      <c r="W664" t="str">
        <f>HYPERLINK("Gene3052-zp_tree_all.dnd", "Gene3052-tree")</f>
        <v>Gene3052-tree</v>
      </c>
      <c r="X664">
        <v>6</v>
      </c>
      <c r="Y664">
        <v>2</v>
      </c>
      <c r="Z664">
        <v>6</v>
      </c>
      <c r="AA664">
        <v>2</v>
      </c>
      <c r="AB664">
        <v>0.25</v>
      </c>
      <c r="AC664" t="s">
        <v>90</v>
      </c>
      <c r="AD664" t="s">
        <v>81</v>
      </c>
      <c r="AE664" t="s">
        <v>62</v>
      </c>
      <c r="AF664" t="s">
        <v>62</v>
      </c>
      <c r="AG664">
        <v>0</v>
      </c>
      <c r="AH664">
        <v>0</v>
      </c>
      <c r="AI664">
        <v>3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0</v>
      </c>
      <c r="AU664">
        <v>5</v>
      </c>
      <c r="AV664">
        <v>5</v>
      </c>
      <c r="AW664">
        <v>7</v>
      </c>
      <c r="AX664">
        <v>2</v>
      </c>
      <c r="AY664">
        <v>6</v>
      </c>
      <c r="AZ664">
        <v>1</v>
      </c>
      <c r="BA664" t="s">
        <v>17664</v>
      </c>
      <c r="BB664" t="s">
        <v>17665</v>
      </c>
      <c r="BC664">
        <v>0.28399999999999997</v>
      </c>
      <c r="BD664" t="s">
        <v>65</v>
      </c>
      <c r="BE664">
        <v>13</v>
      </c>
      <c r="BF664">
        <v>3</v>
      </c>
      <c r="BG664" t="s">
        <v>17666</v>
      </c>
      <c r="BH664" t="s">
        <v>17667</v>
      </c>
      <c r="BI664" t="s">
        <v>17668</v>
      </c>
      <c r="BJ664">
        <v>6.6159999999999997E-2</v>
      </c>
      <c r="BK664">
        <v>1</v>
      </c>
      <c r="BL664" t="s">
        <v>69</v>
      </c>
      <c r="BM664">
        <v>-0.623</v>
      </c>
      <c r="BN664">
        <v>0.14899999999999999</v>
      </c>
    </row>
    <row r="665" spans="2:66">
      <c r="B665">
        <v>1051</v>
      </c>
      <c r="C665">
        <v>123</v>
      </c>
      <c r="D665">
        <v>0</v>
      </c>
      <c r="E665">
        <v>3</v>
      </c>
      <c r="F665">
        <v>1</v>
      </c>
      <c r="J665">
        <v>0</v>
      </c>
      <c r="K665">
        <v>2</v>
      </c>
      <c r="L665">
        <v>2</v>
      </c>
      <c r="M665" t="s">
        <v>25022</v>
      </c>
      <c r="N665">
        <v>3053</v>
      </c>
      <c r="O665" t="s">
        <v>17669</v>
      </c>
      <c r="P665" t="s">
        <v>62</v>
      </c>
      <c r="Q665">
        <v>3005125</v>
      </c>
      <c r="R665">
        <v>3005829</v>
      </c>
      <c r="S665" t="s">
        <v>17670</v>
      </c>
      <c r="T665">
        <v>235</v>
      </c>
      <c r="U665" t="s">
        <v>2555</v>
      </c>
      <c r="V665">
        <v>34</v>
      </c>
      <c r="W665" t="str">
        <f>HYPERLINK("Gene3053-zp_tree_all.dnd", "Gene3053-tree")</f>
        <v>Gene3053-tree</v>
      </c>
      <c r="X665">
        <v>3</v>
      </c>
      <c r="Y665">
        <v>8</v>
      </c>
      <c r="Z665">
        <v>3</v>
      </c>
      <c r="AA665">
        <v>8</v>
      </c>
      <c r="AB665">
        <v>0.72726999999999997</v>
      </c>
      <c r="AC665" t="s">
        <v>324</v>
      </c>
      <c r="AD665" t="s">
        <v>136</v>
      </c>
      <c r="AE665" t="s">
        <v>62</v>
      </c>
      <c r="AF665" t="s">
        <v>62</v>
      </c>
      <c r="AG665">
        <v>2</v>
      </c>
      <c r="AH665">
        <v>4</v>
      </c>
      <c r="AI665">
        <v>7</v>
      </c>
      <c r="AJ665">
        <v>0.36364000000000002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2</v>
      </c>
      <c r="AR665">
        <v>2</v>
      </c>
      <c r="AS665">
        <v>7</v>
      </c>
      <c r="AT665">
        <v>0.22222</v>
      </c>
      <c r="AU665">
        <v>8</v>
      </c>
      <c r="AV665">
        <v>6</v>
      </c>
      <c r="AW665">
        <v>5</v>
      </c>
      <c r="AX665">
        <v>7</v>
      </c>
      <c r="AY665">
        <v>7</v>
      </c>
      <c r="AZ665">
        <v>4</v>
      </c>
      <c r="BA665" t="s">
        <v>17671</v>
      </c>
      <c r="BB665" t="s">
        <v>17672</v>
      </c>
      <c r="BC665">
        <v>0.93700000000000006</v>
      </c>
      <c r="BD665" t="s">
        <v>65</v>
      </c>
      <c r="BE665">
        <v>12</v>
      </c>
      <c r="BF665">
        <v>11</v>
      </c>
      <c r="BG665" t="s">
        <v>17673</v>
      </c>
      <c r="BH665" t="s">
        <v>17674</v>
      </c>
      <c r="BI665" t="s">
        <v>17675</v>
      </c>
      <c r="BJ665">
        <v>0.24129999999999999</v>
      </c>
      <c r="BK665">
        <v>1</v>
      </c>
      <c r="BL665" t="s">
        <v>69</v>
      </c>
      <c r="BM665">
        <v>-0.40600000000000003</v>
      </c>
      <c r="BN665">
        <v>-1.0920000000000001</v>
      </c>
    </row>
    <row r="666" spans="2:66">
      <c r="B666">
        <v>1052</v>
      </c>
      <c r="C666">
        <v>343</v>
      </c>
      <c r="D666">
        <v>0</v>
      </c>
      <c r="E666">
        <v>28</v>
      </c>
      <c r="F666">
        <v>2</v>
      </c>
      <c r="J666">
        <v>0</v>
      </c>
      <c r="K666">
        <v>2</v>
      </c>
      <c r="L666">
        <v>2</v>
      </c>
      <c r="M666" t="s">
        <v>25022</v>
      </c>
      <c r="N666">
        <v>3054</v>
      </c>
      <c r="O666" t="s">
        <v>17676</v>
      </c>
      <c r="P666" t="s">
        <v>62</v>
      </c>
      <c r="Q666">
        <v>3005862</v>
      </c>
      <c r="R666">
        <v>3006578</v>
      </c>
      <c r="S666" t="s">
        <v>17670</v>
      </c>
      <c r="T666">
        <v>239</v>
      </c>
      <c r="U666" t="s">
        <v>2555</v>
      </c>
      <c r="V666">
        <v>34</v>
      </c>
      <c r="W666" t="str">
        <f>HYPERLINK("Gene3054-zp_tree_all.dnd", "Gene3054-tree")</f>
        <v>Gene3054-tree</v>
      </c>
      <c r="X666">
        <v>6</v>
      </c>
      <c r="Y666">
        <v>5</v>
      </c>
      <c r="Z666">
        <v>6</v>
      </c>
      <c r="AA666">
        <v>5</v>
      </c>
      <c r="AB666">
        <v>0.45455000000000001</v>
      </c>
      <c r="AC666" t="s">
        <v>90</v>
      </c>
      <c r="AD666" t="s">
        <v>199</v>
      </c>
      <c r="AE666" t="s">
        <v>62</v>
      </c>
      <c r="AF666" t="s">
        <v>62</v>
      </c>
      <c r="AG666">
        <v>2</v>
      </c>
      <c r="AH666">
        <v>4</v>
      </c>
      <c r="AI666">
        <v>5</v>
      </c>
      <c r="AJ666">
        <v>0.44444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6</v>
      </c>
      <c r="AT666">
        <v>0</v>
      </c>
      <c r="AU666">
        <v>9</v>
      </c>
      <c r="AV666">
        <v>7</v>
      </c>
      <c r="AW666">
        <v>15</v>
      </c>
      <c r="AX666">
        <v>6</v>
      </c>
      <c r="AY666">
        <v>8</v>
      </c>
      <c r="AZ666">
        <v>3</v>
      </c>
      <c r="BA666" t="s">
        <v>17677</v>
      </c>
      <c r="BB666" t="s">
        <v>17678</v>
      </c>
      <c r="BC666">
        <v>2.3E-2</v>
      </c>
      <c r="BD666" t="s">
        <v>65</v>
      </c>
      <c r="BE666">
        <v>23</v>
      </c>
      <c r="BF666">
        <v>9</v>
      </c>
      <c r="BG666" t="s">
        <v>17679</v>
      </c>
      <c r="BH666" t="s">
        <v>17680</v>
      </c>
      <c r="BI666" t="s">
        <v>17681</v>
      </c>
      <c r="BJ666">
        <v>9.8129999999999995E-2</v>
      </c>
      <c r="BK666">
        <v>1</v>
      </c>
      <c r="BL666" t="s">
        <v>69</v>
      </c>
      <c r="BM666">
        <v>-0.80200000000000005</v>
      </c>
      <c r="BN666">
        <v>-1.464</v>
      </c>
    </row>
    <row r="667" spans="2:66">
      <c r="B667">
        <v>1053</v>
      </c>
      <c r="C667">
        <v>95</v>
      </c>
      <c r="D667">
        <v>0</v>
      </c>
      <c r="E667">
        <v>2</v>
      </c>
      <c r="F667">
        <v>0</v>
      </c>
      <c r="J667">
        <v>0</v>
      </c>
      <c r="K667">
        <v>4</v>
      </c>
      <c r="L667">
        <v>1</v>
      </c>
      <c r="M667" t="s">
        <v>25022</v>
      </c>
      <c r="N667">
        <v>3055</v>
      </c>
      <c r="O667" t="s">
        <v>17682</v>
      </c>
      <c r="P667" t="s">
        <v>62</v>
      </c>
      <c r="Q667">
        <v>3006603</v>
      </c>
      <c r="R667">
        <v>3007412</v>
      </c>
      <c r="S667" t="s">
        <v>17683</v>
      </c>
      <c r="T667">
        <v>270</v>
      </c>
      <c r="U667" t="s">
        <v>2555</v>
      </c>
      <c r="V667">
        <v>34</v>
      </c>
      <c r="W667" t="str">
        <f>HYPERLINK("Gene3055-zp_tree_all.dnd", "Gene3055-tree")</f>
        <v>Gene3055-tree</v>
      </c>
      <c r="X667">
        <v>1</v>
      </c>
      <c r="Y667">
        <v>10</v>
      </c>
      <c r="Z667">
        <v>1</v>
      </c>
      <c r="AA667">
        <v>10</v>
      </c>
      <c r="AB667">
        <v>0.90908999999999995</v>
      </c>
      <c r="AC667" t="s">
        <v>175</v>
      </c>
      <c r="AD667" t="s">
        <v>117</v>
      </c>
      <c r="AE667" t="s">
        <v>62</v>
      </c>
      <c r="AF667" t="s">
        <v>62</v>
      </c>
      <c r="AG667">
        <v>2</v>
      </c>
      <c r="AH667">
        <v>5</v>
      </c>
      <c r="AI667">
        <v>12</v>
      </c>
      <c r="AJ667">
        <v>0.29411999999999999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</v>
      </c>
      <c r="AQ667">
        <v>1</v>
      </c>
      <c r="AR667">
        <v>3</v>
      </c>
      <c r="AS667">
        <v>12</v>
      </c>
      <c r="AT667">
        <v>0.2</v>
      </c>
      <c r="AU667">
        <v>10</v>
      </c>
      <c r="AV667">
        <v>3</v>
      </c>
      <c r="AW667">
        <v>25</v>
      </c>
      <c r="AX667">
        <v>14</v>
      </c>
      <c r="AY667">
        <v>2</v>
      </c>
      <c r="AZ667">
        <v>3</v>
      </c>
      <c r="BA667" t="s">
        <v>17684</v>
      </c>
      <c r="BB667" t="s">
        <v>17685</v>
      </c>
      <c r="BC667">
        <v>1.4279999999999999</v>
      </c>
      <c r="BD667" t="s">
        <v>65</v>
      </c>
      <c r="BE667">
        <v>27</v>
      </c>
      <c r="BF667">
        <v>17</v>
      </c>
      <c r="BG667" t="s">
        <v>17686</v>
      </c>
      <c r="BH667" t="s">
        <v>17687</v>
      </c>
      <c r="BI667" t="s">
        <v>17688</v>
      </c>
      <c r="BJ667">
        <v>0.18265999999999999</v>
      </c>
      <c r="BK667">
        <v>1</v>
      </c>
      <c r="BL667" t="s">
        <v>69</v>
      </c>
      <c r="BM667">
        <v>-1.766</v>
      </c>
      <c r="BN667">
        <v>-3.6709999999999998</v>
      </c>
    </row>
    <row r="668" spans="2:66">
      <c r="B668">
        <v>1054</v>
      </c>
      <c r="C668">
        <v>155</v>
      </c>
      <c r="D668">
        <v>0</v>
      </c>
      <c r="E668">
        <v>8</v>
      </c>
      <c r="F668">
        <v>0</v>
      </c>
      <c r="J668">
        <v>0</v>
      </c>
      <c r="K668">
        <v>2</v>
      </c>
      <c r="L668">
        <v>0</v>
      </c>
      <c r="M668" t="s">
        <v>25022</v>
      </c>
      <c r="N668">
        <v>3056</v>
      </c>
      <c r="O668" t="s">
        <v>17689</v>
      </c>
      <c r="P668" t="s">
        <v>62</v>
      </c>
      <c r="Q668">
        <v>3007429</v>
      </c>
      <c r="R668">
        <v>3008235</v>
      </c>
      <c r="S668" t="s">
        <v>17690</v>
      </c>
      <c r="T668">
        <v>269</v>
      </c>
      <c r="U668" t="s">
        <v>2555</v>
      </c>
      <c r="V668">
        <v>34</v>
      </c>
      <c r="W668" t="str">
        <f>HYPERLINK("Gene3056-zp_tree_all.dnd", "Gene3056-tree")</f>
        <v>Gene3056-tree</v>
      </c>
      <c r="X668">
        <v>2</v>
      </c>
      <c r="Y668">
        <v>8</v>
      </c>
      <c r="Z668">
        <v>2</v>
      </c>
      <c r="AA668">
        <v>8</v>
      </c>
      <c r="AB668">
        <v>0.8</v>
      </c>
      <c r="AC668" t="s">
        <v>81</v>
      </c>
      <c r="AD668" t="s">
        <v>136</v>
      </c>
      <c r="AE668" t="s">
        <v>62</v>
      </c>
      <c r="AF668" t="s">
        <v>62</v>
      </c>
      <c r="AG668">
        <v>1</v>
      </c>
      <c r="AH668">
        <v>2</v>
      </c>
      <c r="AI668">
        <v>12</v>
      </c>
      <c r="AJ668">
        <v>0.14285999999999999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10</v>
      </c>
      <c r="AT668">
        <v>0</v>
      </c>
      <c r="AU668">
        <v>9</v>
      </c>
      <c r="AV668">
        <v>5</v>
      </c>
      <c r="AW668">
        <v>8</v>
      </c>
      <c r="AX668">
        <v>10</v>
      </c>
      <c r="AY668">
        <v>9</v>
      </c>
      <c r="AZ668">
        <v>4</v>
      </c>
      <c r="BA668" t="s">
        <v>17691</v>
      </c>
      <c r="BB668" t="s">
        <v>17692</v>
      </c>
      <c r="BC668">
        <v>1.333</v>
      </c>
      <c r="BD668" t="s">
        <v>65</v>
      </c>
      <c r="BE668">
        <v>17</v>
      </c>
      <c r="BF668">
        <v>14</v>
      </c>
      <c r="BG668" t="s">
        <v>17693</v>
      </c>
      <c r="BH668" t="s">
        <v>17694</v>
      </c>
      <c r="BI668" t="s">
        <v>17695</v>
      </c>
      <c r="BJ668">
        <v>0.27268999999999999</v>
      </c>
      <c r="BK668">
        <v>1</v>
      </c>
      <c r="BL668" t="s">
        <v>69</v>
      </c>
      <c r="BM668">
        <v>-0.89300000000000002</v>
      </c>
      <c r="BN668">
        <v>-0.82799999999999996</v>
      </c>
    </row>
    <row r="669" spans="2:66">
      <c r="B669">
        <v>1055</v>
      </c>
      <c r="C669">
        <v>199</v>
      </c>
      <c r="D669">
        <v>0</v>
      </c>
      <c r="E669">
        <v>3</v>
      </c>
      <c r="F669">
        <v>0</v>
      </c>
      <c r="J669">
        <v>0</v>
      </c>
      <c r="K669">
        <v>2</v>
      </c>
      <c r="L669">
        <v>0</v>
      </c>
      <c r="M669" t="s">
        <v>25022</v>
      </c>
      <c r="N669">
        <v>3057</v>
      </c>
      <c r="O669" t="s">
        <v>17696</v>
      </c>
      <c r="P669" t="s">
        <v>62</v>
      </c>
      <c r="Q669">
        <v>3008252</v>
      </c>
      <c r="R669">
        <v>3008785</v>
      </c>
      <c r="S669" t="s">
        <v>17697</v>
      </c>
      <c r="T669">
        <v>178</v>
      </c>
      <c r="U669" t="s">
        <v>2555</v>
      </c>
      <c r="V669">
        <v>34</v>
      </c>
      <c r="W669" t="str">
        <f>HYPERLINK("Gene3057-zp_tree_all.dnd", "Gene3057-tree")</f>
        <v>Gene3057-tree</v>
      </c>
      <c r="X669">
        <v>6</v>
      </c>
      <c r="Y669">
        <v>3</v>
      </c>
      <c r="Z669">
        <v>6</v>
      </c>
      <c r="AA669">
        <v>3</v>
      </c>
      <c r="AB669">
        <v>0.33333000000000002</v>
      </c>
      <c r="AC669" t="s">
        <v>90</v>
      </c>
      <c r="AD669" t="s">
        <v>324</v>
      </c>
      <c r="AE669" t="s">
        <v>62</v>
      </c>
      <c r="AF669" t="s">
        <v>62</v>
      </c>
      <c r="AG669">
        <v>1</v>
      </c>
      <c r="AH669">
        <v>2</v>
      </c>
      <c r="AI669">
        <v>5</v>
      </c>
      <c r="AJ669">
        <v>0.28571000000000002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2</v>
      </c>
      <c r="AQ669">
        <v>0</v>
      </c>
      <c r="AR669">
        <v>2</v>
      </c>
      <c r="AS669">
        <v>4</v>
      </c>
      <c r="AT669">
        <v>0.33333000000000002</v>
      </c>
      <c r="AU669">
        <v>5</v>
      </c>
      <c r="AV669">
        <v>3</v>
      </c>
      <c r="AW669">
        <v>5</v>
      </c>
      <c r="AX669">
        <v>4</v>
      </c>
      <c r="AY669">
        <v>4</v>
      </c>
      <c r="AZ669">
        <v>3</v>
      </c>
      <c r="BA669" t="s">
        <v>17698</v>
      </c>
      <c r="BB669" t="s">
        <v>17699</v>
      </c>
      <c r="BC669">
        <v>5.2999999999999999E-2</v>
      </c>
      <c r="BD669" t="s">
        <v>65</v>
      </c>
      <c r="BE669">
        <v>9</v>
      </c>
      <c r="BF669">
        <v>7</v>
      </c>
      <c r="BG669" t="s">
        <v>17700</v>
      </c>
      <c r="BH669" t="s">
        <v>17701</v>
      </c>
      <c r="BI669" t="s">
        <v>17702</v>
      </c>
      <c r="BJ669">
        <v>0.20691999999999999</v>
      </c>
      <c r="BK669">
        <v>0.98</v>
      </c>
      <c r="BL669" t="s">
        <v>69</v>
      </c>
      <c r="BM669">
        <v>-0.78400000000000003</v>
      </c>
      <c r="BN669">
        <v>0.22800000000000001</v>
      </c>
    </row>
    <row r="670" spans="2:66">
      <c r="B670">
        <v>1056</v>
      </c>
      <c r="C670">
        <v>79</v>
      </c>
      <c r="D670">
        <v>0</v>
      </c>
      <c r="E670">
        <v>0</v>
      </c>
      <c r="F670">
        <v>4</v>
      </c>
      <c r="J670">
        <v>0</v>
      </c>
      <c r="K670">
        <v>0</v>
      </c>
      <c r="L670">
        <v>0</v>
      </c>
      <c r="M670" t="s">
        <v>25022</v>
      </c>
      <c r="N670">
        <v>3059</v>
      </c>
      <c r="O670" t="s">
        <v>17710</v>
      </c>
      <c r="P670" t="s">
        <v>62</v>
      </c>
      <c r="Q670">
        <v>3009918</v>
      </c>
      <c r="R670">
        <v>3010598</v>
      </c>
      <c r="S670" t="s">
        <v>3354</v>
      </c>
      <c r="T670">
        <v>227</v>
      </c>
      <c r="U670" t="s">
        <v>2803</v>
      </c>
      <c r="V670">
        <v>45</v>
      </c>
      <c r="W670" t="str">
        <f>HYPERLINK("Gene3059-zp_tree_all.dnd", "Gene3059-tree")</f>
        <v>Gene3059-tree</v>
      </c>
      <c r="X670">
        <v>9</v>
      </c>
      <c r="Y670">
        <v>5</v>
      </c>
      <c r="Z670">
        <v>9</v>
      </c>
      <c r="AA670">
        <v>5</v>
      </c>
      <c r="AB670">
        <v>0.35714000000000001</v>
      </c>
      <c r="AC670" t="s">
        <v>135</v>
      </c>
      <c r="AD670" t="s">
        <v>199</v>
      </c>
      <c r="AE670" t="s">
        <v>62</v>
      </c>
      <c r="AF670" t="s">
        <v>62</v>
      </c>
      <c r="AG670">
        <v>0</v>
      </c>
      <c r="AH670">
        <v>0</v>
      </c>
      <c r="AI670">
        <v>7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7</v>
      </c>
      <c r="AT670">
        <v>0</v>
      </c>
      <c r="AU670">
        <v>11</v>
      </c>
      <c r="AV670">
        <v>7</v>
      </c>
      <c r="AW670">
        <v>40</v>
      </c>
      <c r="AX670">
        <v>7</v>
      </c>
      <c r="AY670">
        <v>10</v>
      </c>
      <c r="AZ670">
        <v>0</v>
      </c>
      <c r="BA670" t="s">
        <v>17711</v>
      </c>
      <c r="BB670" t="s">
        <v>193</v>
      </c>
      <c r="BC670">
        <v>0.51100000000000001</v>
      </c>
      <c r="BD670" t="s">
        <v>65</v>
      </c>
      <c r="BE670">
        <v>50</v>
      </c>
      <c r="BF670">
        <v>7</v>
      </c>
      <c r="BG670" t="s">
        <v>17712</v>
      </c>
      <c r="BH670" t="s">
        <v>17713</v>
      </c>
      <c r="BI670" t="s">
        <v>17714</v>
      </c>
      <c r="BJ670">
        <v>3.0040000000000001E-2</v>
      </c>
      <c r="BK670">
        <v>1</v>
      </c>
      <c r="BL670" t="s">
        <v>69</v>
      </c>
      <c r="BM670">
        <v>-1.706</v>
      </c>
      <c r="BN670">
        <v>-4.274</v>
      </c>
    </row>
    <row r="671" spans="2:66">
      <c r="B671">
        <v>1057</v>
      </c>
      <c r="C671">
        <v>219</v>
      </c>
      <c r="D671">
        <v>0</v>
      </c>
      <c r="E671">
        <v>2</v>
      </c>
      <c r="F671">
        <v>0</v>
      </c>
      <c r="J671">
        <v>0</v>
      </c>
      <c r="K671">
        <v>0</v>
      </c>
      <c r="L671">
        <v>2</v>
      </c>
      <c r="M671" t="s">
        <v>25022</v>
      </c>
      <c r="N671">
        <v>3060</v>
      </c>
      <c r="O671" t="s">
        <v>17715</v>
      </c>
      <c r="P671" t="s">
        <v>62</v>
      </c>
      <c r="Q671">
        <v>3010664</v>
      </c>
      <c r="R671">
        <v>3011428</v>
      </c>
      <c r="S671" t="s">
        <v>17716</v>
      </c>
      <c r="T671">
        <v>255</v>
      </c>
      <c r="U671" t="s">
        <v>59</v>
      </c>
      <c r="V671">
        <v>49</v>
      </c>
      <c r="W671" t="str">
        <f>HYPERLINK("Gene3060-zp_tree_all.dnd", "Gene3060-tree")</f>
        <v>Gene3060-tree</v>
      </c>
      <c r="X671">
        <v>13</v>
      </c>
      <c r="Y671">
        <v>5</v>
      </c>
      <c r="Z671">
        <v>13</v>
      </c>
      <c r="AA671">
        <v>5</v>
      </c>
      <c r="AB671">
        <v>0.27778000000000003</v>
      </c>
      <c r="AC671" t="s">
        <v>507</v>
      </c>
      <c r="AD671" t="s">
        <v>199</v>
      </c>
      <c r="AE671" t="s">
        <v>62</v>
      </c>
      <c r="AF671" t="s">
        <v>62</v>
      </c>
      <c r="AG671">
        <v>1</v>
      </c>
      <c r="AH671">
        <v>2</v>
      </c>
      <c r="AI671">
        <v>7</v>
      </c>
      <c r="AJ671">
        <v>0.22222</v>
      </c>
      <c r="AK671">
        <v>0</v>
      </c>
      <c r="AL671">
        <v>0</v>
      </c>
      <c r="AM671">
        <v>0</v>
      </c>
      <c r="AN671">
        <v>2</v>
      </c>
      <c r="AO671">
        <v>0</v>
      </c>
      <c r="AP671">
        <v>0</v>
      </c>
      <c r="AQ671">
        <v>0</v>
      </c>
      <c r="AR671">
        <v>0</v>
      </c>
      <c r="AS671">
        <v>6</v>
      </c>
      <c r="AT671">
        <v>0</v>
      </c>
      <c r="AU671">
        <v>13</v>
      </c>
      <c r="AV671">
        <v>10</v>
      </c>
      <c r="AW671">
        <v>25</v>
      </c>
      <c r="AX671">
        <v>4</v>
      </c>
      <c r="AY671">
        <v>51</v>
      </c>
      <c r="AZ671">
        <v>5</v>
      </c>
      <c r="BA671" t="s">
        <v>17717</v>
      </c>
      <c r="BB671" t="s">
        <v>17718</v>
      </c>
      <c r="BC671">
        <v>0.34599999999999997</v>
      </c>
      <c r="BD671" t="s">
        <v>65</v>
      </c>
      <c r="BE671">
        <v>76</v>
      </c>
      <c r="BF671">
        <v>9</v>
      </c>
      <c r="BG671" t="s">
        <v>17719</v>
      </c>
      <c r="BH671" t="s">
        <v>17720</v>
      </c>
      <c r="BI671" t="s">
        <v>17721</v>
      </c>
      <c r="BJ671">
        <v>3.0290000000000001E-2</v>
      </c>
      <c r="BK671">
        <v>1</v>
      </c>
      <c r="BL671" t="s">
        <v>69</v>
      </c>
      <c r="BM671">
        <v>-1.286</v>
      </c>
      <c r="BN671">
        <v>-0.72399999999999998</v>
      </c>
    </row>
    <row r="672" spans="2:66">
      <c r="B672">
        <v>1059</v>
      </c>
      <c r="C672">
        <v>234</v>
      </c>
      <c r="D672">
        <v>0</v>
      </c>
      <c r="E672">
        <v>2</v>
      </c>
      <c r="F672">
        <v>2</v>
      </c>
      <c r="J672">
        <v>0</v>
      </c>
      <c r="K672">
        <v>0</v>
      </c>
      <c r="L672">
        <v>4</v>
      </c>
      <c r="M672" t="s">
        <v>25022</v>
      </c>
      <c r="N672">
        <v>3061</v>
      </c>
      <c r="O672" t="s">
        <v>17722</v>
      </c>
      <c r="P672" t="s">
        <v>62</v>
      </c>
      <c r="Q672">
        <v>3011558</v>
      </c>
      <c r="R672">
        <v>3011791</v>
      </c>
      <c r="S672" t="s">
        <v>116</v>
      </c>
      <c r="T672">
        <v>78</v>
      </c>
      <c r="U672" t="s">
        <v>17723</v>
      </c>
      <c r="V672">
        <v>48</v>
      </c>
      <c r="W672" t="str">
        <f>HYPERLINK("Gene3061-zp_tree_all.dnd", "Gene3061-tree")</f>
        <v>Gene3061-tree</v>
      </c>
      <c r="X672">
        <v>4</v>
      </c>
      <c r="Y672">
        <v>6</v>
      </c>
      <c r="Z672">
        <v>4</v>
      </c>
      <c r="AA672">
        <v>6</v>
      </c>
      <c r="AB672">
        <v>0.6</v>
      </c>
      <c r="AC672" t="s">
        <v>61</v>
      </c>
      <c r="AD672" t="s">
        <v>90</v>
      </c>
      <c r="AE672" t="s">
        <v>62</v>
      </c>
      <c r="AF672" t="s">
        <v>62</v>
      </c>
      <c r="AG672">
        <v>2</v>
      </c>
      <c r="AH672">
        <v>4</v>
      </c>
      <c r="AI672">
        <v>8</v>
      </c>
      <c r="AJ672">
        <v>0.33333000000000002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7</v>
      </c>
      <c r="AT672">
        <v>0</v>
      </c>
      <c r="AU672">
        <v>6</v>
      </c>
      <c r="AV672">
        <v>5</v>
      </c>
      <c r="AW672">
        <v>2</v>
      </c>
      <c r="AX672">
        <v>6</v>
      </c>
      <c r="AY672">
        <v>4</v>
      </c>
      <c r="AZ672">
        <v>6</v>
      </c>
      <c r="BA672" t="s">
        <v>17724</v>
      </c>
      <c r="BB672" t="s">
        <v>17725</v>
      </c>
      <c r="BC672">
        <v>0.44700000000000001</v>
      </c>
      <c r="BD672" t="s">
        <v>65</v>
      </c>
      <c r="BE672">
        <v>6</v>
      </c>
      <c r="BF672">
        <v>12</v>
      </c>
      <c r="BG672" t="s">
        <v>17726</v>
      </c>
      <c r="BH672" t="s">
        <v>17727</v>
      </c>
      <c r="BI672" t="s">
        <v>17728</v>
      </c>
      <c r="BJ672">
        <v>0.45156000000000002</v>
      </c>
      <c r="BK672">
        <v>0.81799999999999995</v>
      </c>
      <c r="BL672" t="s">
        <v>635</v>
      </c>
      <c r="BM672">
        <v>-1.579</v>
      </c>
      <c r="BN672">
        <v>-1.2789999999999999</v>
      </c>
    </row>
    <row r="673" spans="2:66">
      <c r="B673">
        <v>1060</v>
      </c>
      <c r="C673">
        <v>296</v>
      </c>
      <c r="D673">
        <v>0</v>
      </c>
      <c r="E673">
        <v>0</v>
      </c>
      <c r="F673">
        <v>2</v>
      </c>
      <c r="J673">
        <v>0</v>
      </c>
      <c r="K673">
        <v>12</v>
      </c>
      <c r="L673">
        <v>0</v>
      </c>
      <c r="M673" t="s">
        <v>25022</v>
      </c>
      <c r="N673">
        <v>3062</v>
      </c>
      <c r="O673" t="s">
        <v>17729</v>
      </c>
      <c r="P673" t="s">
        <v>62</v>
      </c>
      <c r="Q673">
        <v>3011754</v>
      </c>
      <c r="R673">
        <v>3013136</v>
      </c>
      <c r="S673" t="s">
        <v>17730</v>
      </c>
      <c r="T673">
        <v>461</v>
      </c>
      <c r="U673" t="s">
        <v>72</v>
      </c>
      <c r="V673">
        <v>45</v>
      </c>
      <c r="W673" t="str">
        <f>HYPERLINK("Gene3062-zp_tree_all.dnd", "Gene3062-tree")</f>
        <v>Gene3062-tree</v>
      </c>
      <c r="X673">
        <v>9</v>
      </c>
      <c r="Y673">
        <v>6</v>
      </c>
      <c r="Z673">
        <v>9</v>
      </c>
      <c r="AA673">
        <v>6</v>
      </c>
      <c r="AB673">
        <v>0.4</v>
      </c>
      <c r="AC673" t="s">
        <v>135</v>
      </c>
      <c r="AD673" t="s">
        <v>90</v>
      </c>
      <c r="AE673" t="s">
        <v>62</v>
      </c>
      <c r="AF673" t="s">
        <v>62</v>
      </c>
      <c r="AG673">
        <v>6</v>
      </c>
      <c r="AH673">
        <v>12</v>
      </c>
      <c r="AI673">
        <v>16</v>
      </c>
      <c r="AJ673">
        <v>0.42857000000000001</v>
      </c>
      <c r="AK673">
        <v>0</v>
      </c>
      <c r="AL673">
        <v>0</v>
      </c>
      <c r="AM673">
        <v>0</v>
      </c>
      <c r="AN673">
        <v>2</v>
      </c>
      <c r="AO673">
        <v>0</v>
      </c>
      <c r="AP673">
        <v>0</v>
      </c>
      <c r="AQ673">
        <v>0</v>
      </c>
      <c r="AR673">
        <v>0</v>
      </c>
      <c r="AS673">
        <v>17</v>
      </c>
      <c r="AT673">
        <v>0</v>
      </c>
      <c r="AU673">
        <v>13</v>
      </c>
      <c r="AV673">
        <v>10</v>
      </c>
      <c r="AW673">
        <v>90</v>
      </c>
      <c r="AX673">
        <v>17</v>
      </c>
      <c r="AY673">
        <v>48</v>
      </c>
      <c r="AZ673">
        <v>11</v>
      </c>
      <c r="BA673" t="s">
        <v>17731</v>
      </c>
      <c r="BB673" t="s">
        <v>17732</v>
      </c>
      <c r="BC673">
        <v>0.13700000000000001</v>
      </c>
      <c r="BD673" t="s">
        <v>65</v>
      </c>
      <c r="BE673">
        <v>138</v>
      </c>
      <c r="BF673">
        <v>28</v>
      </c>
      <c r="BG673" t="s">
        <v>17733</v>
      </c>
      <c r="BH673" t="s">
        <v>17734</v>
      </c>
      <c r="BI673" t="s">
        <v>17735</v>
      </c>
      <c r="BJ673">
        <v>6.053E-2</v>
      </c>
      <c r="BK673">
        <v>1</v>
      </c>
      <c r="BL673" t="s">
        <v>69</v>
      </c>
      <c r="BM673">
        <v>-1.431</v>
      </c>
      <c r="BN673">
        <v>-3.1579999999999999</v>
      </c>
    </row>
    <row r="674" spans="2:66">
      <c r="B674">
        <v>1061</v>
      </c>
      <c r="C674">
        <v>178</v>
      </c>
      <c r="D674">
        <v>0</v>
      </c>
      <c r="E674">
        <v>8</v>
      </c>
      <c r="F674">
        <v>4</v>
      </c>
      <c r="J674">
        <v>0</v>
      </c>
      <c r="K674">
        <v>0</v>
      </c>
      <c r="L674">
        <v>0</v>
      </c>
      <c r="M674" t="s">
        <v>25022</v>
      </c>
      <c r="N674">
        <v>3063</v>
      </c>
      <c r="O674" t="s">
        <v>17736</v>
      </c>
      <c r="P674" t="s">
        <v>62</v>
      </c>
      <c r="Q674">
        <v>3013136</v>
      </c>
      <c r="R674">
        <v>3014344</v>
      </c>
      <c r="S674" t="s">
        <v>17737</v>
      </c>
      <c r="T674">
        <v>403</v>
      </c>
      <c r="U674" t="s">
        <v>4088</v>
      </c>
      <c r="V674">
        <v>48</v>
      </c>
      <c r="W674" t="str">
        <f>HYPERLINK("Gene3063-zp_tree_all.dnd", "Gene3063-tree")</f>
        <v>Gene3063-tree</v>
      </c>
      <c r="X674">
        <v>14</v>
      </c>
      <c r="Y674">
        <v>4</v>
      </c>
      <c r="Z674">
        <v>14</v>
      </c>
      <c r="AA674">
        <v>4</v>
      </c>
      <c r="AB674">
        <v>0.22222</v>
      </c>
      <c r="AC674" t="s">
        <v>543</v>
      </c>
      <c r="AD674" t="s">
        <v>61</v>
      </c>
      <c r="AE674" t="s">
        <v>62</v>
      </c>
      <c r="AF674" t="s">
        <v>62</v>
      </c>
      <c r="AG674">
        <v>0</v>
      </c>
      <c r="AH674">
        <v>0</v>
      </c>
      <c r="AI674">
        <v>8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4</v>
      </c>
      <c r="AT674">
        <v>0</v>
      </c>
      <c r="AU674">
        <v>16</v>
      </c>
      <c r="AV674">
        <v>15</v>
      </c>
      <c r="AW674">
        <v>69</v>
      </c>
      <c r="AX674">
        <v>4</v>
      </c>
      <c r="AY674">
        <v>91</v>
      </c>
      <c r="AZ674">
        <v>4</v>
      </c>
      <c r="BA674" t="s">
        <v>17738</v>
      </c>
      <c r="BB674" t="s">
        <v>17739</v>
      </c>
      <c r="BC674">
        <v>0.121</v>
      </c>
      <c r="BD674" t="s">
        <v>65</v>
      </c>
      <c r="BE674">
        <v>160</v>
      </c>
      <c r="BF674">
        <v>8</v>
      </c>
      <c r="BG674" t="s">
        <v>17740</v>
      </c>
      <c r="BH674" t="s">
        <v>17741</v>
      </c>
      <c r="BI674" t="s">
        <v>308</v>
      </c>
      <c r="BJ674">
        <v>1.158E-2</v>
      </c>
      <c r="BK674">
        <v>1</v>
      </c>
      <c r="BL674" t="s">
        <v>69</v>
      </c>
      <c r="BM674">
        <v>-0.97599999999999998</v>
      </c>
      <c r="BN674">
        <v>-0.60599999999999998</v>
      </c>
    </row>
    <row r="675" spans="2:66">
      <c r="B675">
        <v>1062</v>
      </c>
      <c r="C675">
        <v>35</v>
      </c>
      <c r="D675">
        <v>0</v>
      </c>
      <c r="E675">
        <v>7</v>
      </c>
      <c r="F675">
        <v>4</v>
      </c>
      <c r="J675">
        <v>0</v>
      </c>
      <c r="K675">
        <v>2</v>
      </c>
      <c r="L675">
        <v>0</v>
      </c>
      <c r="M675" t="s">
        <v>25022</v>
      </c>
      <c r="N675">
        <v>3064</v>
      </c>
      <c r="O675" t="s">
        <v>17742</v>
      </c>
      <c r="P675" t="s">
        <v>62</v>
      </c>
      <c r="Q675">
        <v>3014517</v>
      </c>
      <c r="R675">
        <v>3015026</v>
      </c>
      <c r="S675" t="s">
        <v>17743</v>
      </c>
      <c r="T675">
        <v>170</v>
      </c>
      <c r="U675" t="s">
        <v>3143</v>
      </c>
      <c r="V675">
        <v>41</v>
      </c>
      <c r="W675" t="str">
        <f>HYPERLINK("Gene3064-zp_tree_all.dnd", "Gene3064-tree")</f>
        <v>Gene3064-tree</v>
      </c>
      <c r="X675">
        <v>11</v>
      </c>
      <c r="Y675">
        <v>2</v>
      </c>
      <c r="Z675">
        <v>11</v>
      </c>
      <c r="AA675">
        <v>2</v>
      </c>
      <c r="AB675">
        <v>0.15384999999999999</v>
      </c>
      <c r="AC675" t="s">
        <v>73</v>
      </c>
      <c r="AD675" t="s">
        <v>81</v>
      </c>
      <c r="AE675" t="s">
        <v>62</v>
      </c>
      <c r="AF675" t="s">
        <v>62</v>
      </c>
      <c r="AG675">
        <v>1</v>
      </c>
      <c r="AH675">
        <v>2</v>
      </c>
      <c r="AI675">
        <v>3</v>
      </c>
      <c r="AJ675">
        <v>0.4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2</v>
      </c>
      <c r="AT675">
        <v>0</v>
      </c>
      <c r="AU675">
        <v>11</v>
      </c>
      <c r="AV675">
        <v>9</v>
      </c>
      <c r="AW675">
        <v>21</v>
      </c>
      <c r="AX675">
        <v>2</v>
      </c>
      <c r="AY675">
        <v>12</v>
      </c>
      <c r="AZ675">
        <v>3</v>
      </c>
      <c r="BA675" t="s">
        <v>17744</v>
      </c>
      <c r="BB675" t="s">
        <v>17745</v>
      </c>
      <c r="BC675">
        <v>0.58699999999999997</v>
      </c>
      <c r="BD675" t="s">
        <v>65</v>
      </c>
      <c r="BE675">
        <v>33</v>
      </c>
      <c r="BF675">
        <v>5</v>
      </c>
      <c r="BG675" t="s">
        <v>17746</v>
      </c>
      <c r="BH675" t="s">
        <v>17747</v>
      </c>
      <c r="BI675" t="s">
        <v>17748</v>
      </c>
      <c r="BJ675">
        <v>4.7640000000000002E-2</v>
      </c>
      <c r="BK675">
        <v>1</v>
      </c>
      <c r="BL675" t="s">
        <v>69</v>
      </c>
      <c r="BM675">
        <v>-0.80500000000000005</v>
      </c>
      <c r="BN675">
        <v>-0.96199999999999997</v>
      </c>
    </row>
    <row r="676" spans="2:66">
      <c r="B676">
        <v>1063</v>
      </c>
      <c r="C676">
        <v>97</v>
      </c>
      <c r="D676">
        <v>0</v>
      </c>
      <c r="E676">
        <v>2</v>
      </c>
      <c r="F676">
        <v>0</v>
      </c>
      <c r="J676">
        <v>0</v>
      </c>
      <c r="K676">
        <v>0</v>
      </c>
      <c r="L676">
        <v>0</v>
      </c>
      <c r="M676" t="s">
        <v>25022</v>
      </c>
      <c r="N676">
        <v>3065</v>
      </c>
      <c r="O676" t="s">
        <v>17749</v>
      </c>
      <c r="P676" t="s">
        <v>62</v>
      </c>
      <c r="Q676">
        <v>3015114</v>
      </c>
      <c r="R676">
        <v>3016298</v>
      </c>
      <c r="S676" t="s">
        <v>17750</v>
      </c>
      <c r="T676">
        <v>395</v>
      </c>
      <c r="U676" t="s">
        <v>59</v>
      </c>
      <c r="V676">
        <v>49</v>
      </c>
      <c r="W676" t="str">
        <f>HYPERLINK("Gene3065-zp_tree_all.dnd", "Gene3065-tree")</f>
        <v>Gene3065-tree</v>
      </c>
      <c r="X676">
        <v>17</v>
      </c>
      <c r="Y676">
        <v>1</v>
      </c>
      <c r="Z676">
        <v>17</v>
      </c>
      <c r="AA676">
        <v>1</v>
      </c>
      <c r="AB676">
        <v>5.5559999999999998E-2</v>
      </c>
      <c r="AC676" t="s">
        <v>266</v>
      </c>
      <c r="AD676" t="s">
        <v>175</v>
      </c>
      <c r="AE676" t="s">
        <v>62</v>
      </c>
      <c r="AF676" t="s">
        <v>62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15</v>
      </c>
      <c r="AV676">
        <v>14</v>
      </c>
      <c r="AW676">
        <v>38</v>
      </c>
      <c r="AX676">
        <v>1</v>
      </c>
      <c r="AY676">
        <v>79</v>
      </c>
      <c r="AZ676">
        <v>0</v>
      </c>
      <c r="BA676" t="s">
        <v>17751</v>
      </c>
      <c r="BB676" t="s">
        <v>193</v>
      </c>
      <c r="BC676">
        <v>0.26900000000000002</v>
      </c>
      <c r="BD676" t="s">
        <v>65</v>
      </c>
      <c r="BE676">
        <v>117</v>
      </c>
      <c r="BF676">
        <v>1</v>
      </c>
      <c r="BG676" t="s">
        <v>16788</v>
      </c>
      <c r="BH676" t="s">
        <v>17752</v>
      </c>
      <c r="BI676" t="s">
        <v>17753</v>
      </c>
      <c r="BJ676">
        <v>1.09E-3</v>
      </c>
      <c r="BK676">
        <v>1</v>
      </c>
      <c r="BL676" t="s">
        <v>69</v>
      </c>
      <c r="BM676">
        <v>-0.122</v>
      </c>
      <c r="BN676">
        <v>0.39</v>
      </c>
    </row>
    <row r="677" spans="2:66">
      <c r="B677">
        <v>1064</v>
      </c>
      <c r="C677">
        <v>417</v>
      </c>
      <c r="D677">
        <v>0</v>
      </c>
      <c r="E677">
        <v>6</v>
      </c>
      <c r="F677">
        <v>4</v>
      </c>
      <c r="J677">
        <v>0</v>
      </c>
      <c r="K677">
        <v>0</v>
      </c>
      <c r="L677">
        <v>0</v>
      </c>
      <c r="M677" t="s">
        <v>25022</v>
      </c>
      <c r="N677">
        <v>3066</v>
      </c>
      <c r="O677" t="s">
        <v>17754</v>
      </c>
      <c r="P677" t="s">
        <v>62</v>
      </c>
      <c r="Q677">
        <v>3016474</v>
      </c>
      <c r="R677">
        <v>3016674</v>
      </c>
      <c r="S677" t="s">
        <v>17755</v>
      </c>
      <c r="T677">
        <v>67</v>
      </c>
      <c r="U677" t="s">
        <v>1196</v>
      </c>
      <c r="V677">
        <v>39</v>
      </c>
      <c r="W677" t="str">
        <f>HYPERLINK("Gene3066-zp_tree_all.dnd", "Gene3066-tree")</f>
        <v>Gene3066-tree</v>
      </c>
      <c r="X677">
        <v>2</v>
      </c>
      <c r="Y677">
        <v>4</v>
      </c>
      <c r="Z677">
        <v>2</v>
      </c>
      <c r="AA677">
        <v>4</v>
      </c>
      <c r="AB677">
        <v>0.66666999999999998</v>
      </c>
      <c r="AC677" t="s">
        <v>81</v>
      </c>
      <c r="AD677" t="s">
        <v>61</v>
      </c>
      <c r="AE677" t="s">
        <v>62</v>
      </c>
      <c r="AF677" t="s">
        <v>62</v>
      </c>
      <c r="AG677">
        <v>0</v>
      </c>
      <c r="AH677">
        <v>0</v>
      </c>
      <c r="AI677">
        <v>4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0</v>
      </c>
      <c r="AU677">
        <v>4</v>
      </c>
      <c r="AV677">
        <v>1</v>
      </c>
      <c r="AW677">
        <v>1</v>
      </c>
      <c r="AX677">
        <v>3</v>
      </c>
      <c r="AY677">
        <v>0</v>
      </c>
      <c r="AZ677">
        <v>1</v>
      </c>
      <c r="BA677" t="s">
        <v>17756</v>
      </c>
      <c r="BB677" t="s">
        <v>193</v>
      </c>
      <c r="BC677">
        <v>0.6</v>
      </c>
      <c r="BD677" t="s">
        <v>65</v>
      </c>
      <c r="BE677">
        <v>1</v>
      </c>
      <c r="BF677">
        <v>4</v>
      </c>
      <c r="BG677" t="s">
        <v>17757</v>
      </c>
      <c r="BH677" t="s">
        <v>17758</v>
      </c>
      <c r="BI677" t="s">
        <v>17759</v>
      </c>
      <c r="BJ677">
        <v>1.8099000000000001</v>
      </c>
      <c r="BK677">
        <v>9.6000000000000002E-2</v>
      </c>
      <c r="BL677" t="s">
        <v>635</v>
      </c>
      <c r="BM677">
        <v>1.071</v>
      </c>
      <c r="BN677">
        <v>-0.72499999999999998</v>
      </c>
    </row>
    <row r="678" spans="2:66">
      <c r="B678">
        <v>1065</v>
      </c>
      <c r="C678">
        <v>365</v>
      </c>
      <c r="D678">
        <v>0</v>
      </c>
      <c r="E678">
        <v>7</v>
      </c>
      <c r="F678">
        <v>0</v>
      </c>
      <c r="J678">
        <v>0</v>
      </c>
      <c r="K678">
        <v>0</v>
      </c>
      <c r="L678">
        <v>0</v>
      </c>
      <c r="M678" t="s">
        <v>25022</v>
      </c>
      <c r="N678">
        <v>3067</v>
      </c>
      <c r="O678" t="s">
        <v>17760</v>
      </c>
      <c r="P678" t="s">
        <v>62</v>
      </c>
      <c r="Q678">
        <v>3017699</v>
      </c>
      <c r="R678">
        <v>3018199</v>
      </c>
      <c r="S678" t="s">
        <v>17761</v>
      </c>
      <c r="T678">
        <v>167</v>
      </c>
      <c r="U678" t="s">
        <v>59</v>
      </c>
      <c r="V678">
        <v>49</v>
      </c>
      <c r="W678" t="str">
        <f>HYPERLINK("Gene3067-zp_tree_all.dnd", "Gene3067-tree")</f>
        <v>Gene3067-tree</v>
      </c>
      <c r="X678">
        <v>31</v>
      </c>
      <c r="Y678">
        <v>2</v>
      </c>
      <c r="Z678">
        <v>9</v>
      </c>
      <c r="AA678">
        <v>2</v>
      </c>
      <c r="AB678">
        <v>0.18182000000000001</v>
      </c>
      <c r="AC678" t="s">
        <v>7370</v>
      </c>
      <c r="AD678" t="s">
        <v>81</v>
      </c>
      <c r="AE678" t="s">
        <v>62</v>
      </c>
      <c r="AF678" t="s">
        <v>62</v>
      </c>
      <c r="AG678">
        <v>0</v>
      </c>
      <c r="AH678">
        <v>0</v>
      </c>
      <c r="AI678">
        <v>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</v>
      </c>
      <c r="AT678">
        <v>0</v>
      </c>
      <c r="AU678">
        <v>7</v>
      </c>
      <c r="AV678">
        <v>5</v>
      </c>
      <c r="AW678">
        <v>7</v>
      </c>
      <c r="AX678">
        <v>2</v>
      </c>
      <c r="AY678">
        <v>20</v>
      </c>
      <c r="AZ678">
        <v>0</v>
      </c>
      <c r="BA678" t="s">
        <v>17762</v>
      </c>
      <c r="BB678" t="s">
        <v>193</v>
      </c>
      <c r="BC678">
        <v>0.94899999999999995</v>
      </c>
      <c r="BD678" t="s">
        <v>65</v>
      </c>
      <c r="BE678">
        <v>27</v>
      </c>
      <c r="BF678">
        <v>2</v>
      </c>
      <c r="BG678" t="s">
        <v>17763</v>
      </c>
      <c r="BH678" t="s">
        <v>17764</v>
      </c>
      <c r="BI678" t="s">
        <v>17765</v>
      </c>
      <c r="BJ678">
        <v>1.1379999999999999E-2</v>
      </c>
      <c r="BK678">
        <v>1</v>
      </c>
      <c r="BL678" t="s">
        <v>69</v>
      </c>
      <c r="BM678">
        <v>-1.0309999999999999</v>
      </c>
      <c r="BN678">
        <v>0.28499999999999998</v>
      </c>
    </row>
    <row r="679" spans="2:66">
      <c r="B679">
        <v>1066</v>
      </c>
      <c r="C679">
        <v>50</v>
      </c>
      <c r="D679">
        <v>0</v>
      </c>
      <c r="E679">
        <v>18</v>
      </c>
      <c r="F679">
        <v>6</v>
      </c>
      <c r="J679">
        <v>0</v>
      </c>
      <c r="K679">
        <v>2</v>
      </c>
      <c r="L679">
        <v>0</v>
      </c>
      <c r="M679" t="s">
        <v>25022</v>
      </c>
      <c r="N679">
        <v>3068</v>
      </c>
      <c r="O679" t="s">
        <v>17766</v>
      </c>
      <c r="P679" t="s">
        <v>62</v>
      </c>
      <c r="Q679">
        <v>3018312</v>
      </c>
      <c r="R679">
        <v>3018764</v>
      </c>
      <c r="S679" t="s">
        <v>17767</v>
      </c>
      <c r="T679">
        <v>151</v>
      </c>
      <c r="U679" t="s">
        <v>749</v>
      </c>
      <c r="V679">
        <v>47</v>
      </c>
      <c r="W679" t="str">
        <f>HYPERLINK("Gene3068-zp_tree_all.dnd", "Gene3068-tree")</f>
        <v>Gene3068-tree</v>
      </c>
      <c r="X679">
        <v>9</v>
      </c>
      <c r="Y679">
        <v>7</v>
      </c>
      <c r="Z679">
        <v>9</v>
      </c>
      <c r="AA679">
        <v>7</v>
      </c>
      <c r="AB679">
        <v>0.4375</v>
      </c>
      <c r="AC679" t="s">
        <v>135</v>
      </c>
      <c r="AD679" t="s">
        <v>152</v>
      </c>
      <c r="AE679" t="s">
        <v>62</v>
      </c>
      <c r="AF679" t="s">
        <v>62</v>
      </c>
      <c r="AG679">
        <v>1</v>
      </c>
      <c r="AH679">
        <v>2</v>
      </c>
      <c r="AI679">
        <v>7</v>
      </c>
      <c r="AJ679">
        <v>0.22222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7</v>
      </c>
      <c r="AT679">
        <v>0</v>
      </c>
      <c r="AU679">
        <v>15</v>
      </c>
      <c r="AV679">
        <v>4</v>
      </c>
      <c r="AW679">
        <v>22</v>
      </c>
      <c r="AX679">
        <v>7</v>
      </c>
      <c r="AY679">
        <v>15</v>
      </c>
      <c r="AZ679">
        <v>3</v>
      </c>
      <c r="BA679" t="s">
        <v>17768</v>
      </c>
      <c r="BB679" t="s">
        <v>17769</v>
      </c>
      <c r="BC679">
        <v>0.40500000000000003</v>
      </c>
      <c r="BD679" t="s">
        <v>65</v>
      </c>
      <c r="BE679">
        <v>37</v>
      </c>
      <c r="BF679">
        <v>10</v>
      </c>
      <c r="BG679" t="s">
        <v>17770</v>
      </c>
      <c r="BH679" t="s">
        <v>17771</v>
      </c>
      <c r="BI679" t="s">
        <v>17772</v>
      </c>
      <c r="BJ679">
        <v>5.169E-2</v>
      </c>
      <c r="BK679">
        <v>1</v>
      </c>
      <c r="BL679" t="s">
        <v>69</v>
      </c>
      <c r="BM679">
        <v>-1.3129999999999999</v>
      </c>
      <c r="BN679">
        <v>-2.21</v>
      </c>
    </row>
    <row r="680" spans="2:66">
      <c r="B680">
        <v>1069</v>
      </c>
      <c r="C680">
        <v>132</v>
      </c>
      <c r="D680">
        <v>0</v>
      </c>
      <c r="E680">
        <v>3</v>
      </c>
      <c r="F680">
        <v>0</v>
      </c>
      <c r="J680">
        <v>0</v>
      </c>
      <c r="K680">
        <v>2</v>
      </c>
      <c r="L680">
        <v>0</v>
      </c>
      <c r="M680" t="s">
        <v>25022</v>
      </c>
      <c r="N680">
        <v>3069</v>
      </c>
      <c r="O680" t="s">
        <v>17773</v>
      </c>
      <c r="P680" t="s">
        <v>62</v>
      </c>
      <c r="Q680">
        <v>3018781</v>
      </c>
      <c r="R680">
        <v>3019458</v>
      </c>
      <c r="S680" t="s">
        <v>17774</v>
      </c>
      <c r="T680">
        <v>226</v>
      </c>
      <c r="U680" t="s">
        <v>108</v>
      </c>
      <c r="V680">
        <v>44</v>
      </c>
      <c r="W680" t="str">
        <f>HYPERLINK("Gene3069-zp_tree_all.dnd", "Gene3069-tree")</f>
        <v>Gene3069-tree</v>
      </c>
      <c r="X680">
        <v>27</v>
      </c>
      <c r="Y680">
        <v>5</v>
      </c>
      <c r="Z680">
        <v>7</v>
      </c>
      <c r="AA680">
        <v>5</v>
      </c>
      <c r="AB680">
        <v>0.41666999999999998</v>
      </c>
      <c r="AC680" t="s">
        <v>8429</v>
      </c>
      <c r="AD680" t="s">
        <v>199</v>
      </c>
      <c r="AE680" t="s">
        <v>62</v>
      </c>
      <c r="AF680" t="s">
        <v>62</v>
      </c>
      <c r="AG680">
        <v>1</v>
      </c>
      <c r="AH680">
        <v>2</v>
      </c>
      <c r="AI680">
        <v>8</v>
      </c>
      <c r="AJ680">
        <v>0.2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9</v>
      </c>
      <c r="AT680">
        <v>0</v>
      </c>
      <c r="AU680">
        <v>10</v>
      </c>
      <c r="AV680">
        <v>6</v>
      </c>
      <c r="AW680">
        <v>15</v>
      </c>
      <c r="AX680">
        <v>9</v>
      </c>
      <c r="AY680">
        <v>5</v>
      </c>
      <c r="AZ680">
        <v>1</v>
      </c>
      <c r="BA680" t="s">
        <v>17775</v>
      </c>
      <c r="BB680" t="s">
        <v>17776</v>
      </c>
      <c r="BC680">
        <v>0.626</v>
      </c>
      <c r="BD680" t="s">
        <v>65</v>
      </c>
      <c r="BE680">
        <v>20</v>
      </c>
      <c r="BF680">
        <v>10</v>
      </c>
      <c r="BG680" t="s">
        <v>17777</v>
      </c>
      <c r="BH680" t="s">
        <v>17778</v>
      </c>
      <c r="BI680" t="s">
        <v>17779</v>
      </c>
      <c r="BJ680">
        <v>0.13636999999999999</v>
      </c>
      <c r="BK680">
        <v>0.99</v>
      </c>
      <c r="BL680" t="s">
        <v>69</v>
      </c>
      <c r="BM680">
        <v>-1.2050000000000001</v>
      </c>
      <c r="BN680">
        <v>-1.119</v>
      </c>
    </row>
    <row r="681" spans="2:66">
      <c r="B681">
        <v>1070</v>
      </c>
      <c r="C681">
        <v>43</v>
      </c>
      <c r="D681">
        <v>0</v>
      </c>
      <c r="E681">
        <v>30</v>
      </c>
      <c r="F681">
        <v>4</v>
      </c>
      <c r="J681">
        <v>0</v>
      </c>
      <c r="K681">
        <v>4</v>
      </c>
      <c r="L681">
        <v>0</v>
      </c>
      <c r="M681" t="s">
        <v>25022</v>
      </c>
      <c r="N681">
        <v>3070</v>
      </c>
      <c r="O681" t="s">
        <v>17780</v>
      </c>
      <c r="P681" t="s">
        <v>62</v>
      </c>
      <c r="Q681">
        <v>3019536</v>
      </c>
      <c r="R681">
        <v>3020027</v>
      </c>
      <c r="S681" t="s">
        <v>3095</v>
      </c>
      <c r="T681">
        <v>164</v>
      </c>
      <c r="U681" t="s">
        <v>108</v>
      </c>
      <c r="V681">
        <v>44</v>
      </c>
      <c r="W681" t="str">
        <f>HYPERLINK("Gene3070-zp_tree_all.dnd", "Gene3070-tree")</f>
        <v>Gene3070-tree</v>
      </c>
      <c r="X681">
        <v>8</v>
      </c>
      <c r="Y681">
        <v>6</v>
      </c>
      <c r="Z681">
        <v>8</v>
      </c>
      <c r="AA681">
        <v>6</v>
      </c>
      <c r="AB681">
        <v>0.42857000000000001</v>
      </c>
      <c r="AC681" t="s">
        <v>136</v>
      </c>
      <c r="AD681" t="s">
        <v>90</v>
      </c>
      <c r="AE681" t="s">
        <v>62</v>
      </c>
      <c r="AF681" t="s">
        <v>62</v>
      </c>
      <c r="AG681">
        <v>2</v>
      </c>
      <c r="AH681">
        <v>4</v>
      </c>
      <c r="AI681">
        <v>3</v>
      </c>
      <c r="AJ681">
        <v>0.57142999999999999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2</v>
      </c>
      <c r="AQ681">
        <v>0</v>
      </c>
      <c r="AR681">
        <v>2</v>
      </c>
      <c r="AS681">
        <v>4</v>
      </c>
      <c r="AT681">
        <v>0.33333000000000002</v>
      </c>
      <c r="AU681">
        <v>12</v>
      </c>
      <c r="AV681">
        <v>6</v>
      </c>
      <c r="AW681">
        <v>12</v>
      </c>
      <c r="AX681">
        <v>6</v>
      </c>
      <c r="AY681">
        <v>6</v>
      </c>
      <c r="AZ681">
        <v>1</v>
      </c>
      <c r="BA681" t="s">
        <v>17781</v>
      </c>
      <c r="BB681" t="s">
        <v>17782</v>
      </c>
      <c r="BC681">
        <v>0.69099999999999995</v>
      </c>
      <c r="BD681" t="s">
        <v>65</v>
      </c>
      <c r="BE681">
        <v>18</v>
      </c>
      <c r="BF681">
        <v>7</v>
      </c>
      <c r="BG681" t="s">
        <v>17783</v>
      </c>
      <c r="BH681" t="s">
        <v>17784</v>
      </c>
      <c r="BI681" t="s">
        <v>17785</v>
      </c>
      <c r="BJ681">
        <v>7.9600000000000004E-2</v>
      </c>
      <c r="BK681">
        <v>1</v>
      </c>
      <c r="BL681" t="s">
        <v>69</v>
      </c>
      <c r="BM681">
        <v>-0.751</v>
      </c>
      <c r="BN681">
        <v>-1.883</v>
      </c>
    </row>
    <row r="682" spans="2:66">
      <c r="B682">
        <v>1071</v>
      </c>
      <c r="C682">
        <v>30</v>
      </c>
      <c r="D682">
        <v>0</v>
      </c>
      <c r="E682">
        <v>59</v>
      </c>
      <c r="F682">
        <v>2</v>
      </c>
      <c r="J682">
        <v>0</v>
      </c>
      <c r="K682">
        <v>9</v>
      </c>
      <c r="L682">
        <v>0</v>
      </c>
      <c r="M682" t="s">
        <v>25022</v>
      </c>
      <c r="N682">
        <v>3071</v>
      </c>
      <c r="O682" t="s">
        <v>17786</v>
      </c>
      <c r="P682" t="s">
        <v>62</v>
      </c>
      <c r="Q682">
        <v>3020043</v>
      </c>
      <c r="R682">
        <v>3021047</v>
      </c>
      <c r="S682" t="s">
        <v>17787</v>
      </c>
      <c r="T682">
        <v>335</v>
      </c>
      <c r="U682" t="s">
        <v>108</v>
      </c>
      <c r="V682">
        <v>44</v>
      </c>
      <c r="W682" t="str">
        <f>HYPERLINK("Gene3071-zp_tree_all.dnd", "Gene3071-tree")</f>
        <v>Gene3071-tree</v>
      </c>
      <c r="X682">
        <v>2</v>
      </c>
      <c r="Y682">
        <v>12</v>
      </c>
      <c r="Z682">
        <v>2</v>
      </c>
      <c r="AA682">
        <v>12</v>
      </c>
      <c r="AB682">
        <v>0.85714000000000001</v>
      </c>
      <c r="AC682" t="s">
        <v>81</v>
      </c>
      <c r="AD682" t="s">
        <v>109</v>
      </c>
      <c r="AE682" t="s">
        <v>62</v>
      </c>
      <c r="AF682" t="s">
        <v>62</v>
      </c>
      <c r="AG682">
        <v>3</v>
      </c>
      <c r="AH682">
        <v>9</v>
      </c>
      <c r="AI682">
        <v>13</v>
      </c>
      <c r="AJ682">
        <v>0.40909000000000001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6</v>
      </c>
      <c r="AQ682">
        <v>0</v>
      </c>
      <c r="AR682">
        <v>6</v>
      </c>
      <c r="AS682">
        <v>12</v>
      </c>
      <c r="AT682">
        <v>0.33333000000000002</v>
      </c>
      <c r="AU682">
        <v>13</v>
      </c>
      <c r="AV682">
        <v>7</v>
      </c>
      <c r="AW682">
        <v>27</v>
      </c>
      <c r="AX682">
        <v>17</v>
      </c>
      <c r="AY682">
        <v>8</v>
      </c>
      <c r="AZ682">
        <v>5</v>
      </c>
      <c r="BA682" t="s">
        <v>17788</v>
      </c>
      <c r="BB682" t="s">
        <v>17789</v>
      </c>
      <c r="BC682">
        <v>1E-3</v>
      </c>
      <c r="BD682" t="s">
        <v>65</v>
      </c>
      <c r="BE682">
        <v>35</v>
      </c>
      <c r="BF682">
        <v>22</v>
      </c>
      <c r="BG682" t="s">
        <v>17378</v>
      </c>
      <c r="BH682" t="s">
        <v>17790</v>
      </c>
      <c r="BI682" t="s">
        <v>17791</v>
      </c>
      <c r="BJ682">
        <v>0.16891999999999999</v>
      </c>
      <c r="BK682">
        <v>1</v>
      </c>
      <c r="BL682" t="s">
        <v>69</v>
      </c>
      <c r="BM682">
        <v>-1.2809999999999999</v>
      </c>
      <c r="BN682">
        <v>-1.639</v>
      </c>
    </row>
    <row r="683" spans="2:66">
      <c r="B683">
        <v>1072</v>
      </c>
      <c r="C683">
        <v>113</v>
      </c>
      <c r="D683">
        <v>0</v>
      </c>
      <c r="E683">
        <v>2</v>
      </c>
      <c r="F683">
        <v>0</v>
      </c>
      <c r="J683">
        <v>0</v>
      </c>
      <c r="K683">
        <v>20</v>
      </c>
      <c r="L683">
        <v>3</v>
      </c>
      <c r="M683" t="s">
        <v>25022</v>
      </c>
      <c r="N683">
        <v>3073</v>
      </c>
      <c r="O683" t="s">
        <v>17799</v>
      </c>
      <c r="P683" t="s">
        <v>62</v>
      </c>
      <c r="Q683">
        <v>3022071</v>
      </c>
      <c r="R683">
        <v>3023657</v>
      </c>
      <c r="S683" t="s">
        <v>17800</v>
      </c>
      <c r="T683">
        <v>529</v>
      </c>
      <c r="U683" t="s">
        <v>108</v>
      </c>
      <c r="V683">
        <v>44</v>
      </c>
      <c r="W683" t="str">
        <f>HYPERLINK("Gene3073-zp_tree_all.dnd", "Gene3073-tree")</f>
        <v>Gene3073-tree</v>
      </c>
      <c r="X683">
        <v>1</v>
      </c>
      <c r="Y683">
        <v>13</v>
      </c>
      <c r="Z683">
        <v>1</v>
      </c>
      <c r="AA683">
        <v>13</v>
      </c>
      <c r="AB683">
        <v>0.92857000000000001</v>
      </c>
      <c r="AC683" t="s">
        <v>175</v>
      </c>
      <c r="AD683" t="s">
        <v>507</v>
      </c>
      <c r="AE683" t="s">
        <v>62</v>
      </c>
      <c r="AF683" t="s">
        <v>62</v>
      </c>
      <c r="AG683">
        <v>8</v>
      </c>
      <c r="AH683">
        <v>23</v>
      </c>
      <c r="AI683">
        <v>24</v>
      </c>
      <c r="AJ683">
        <v>0.48936000000000002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8</v>
      </c>
      <c r="AQ683">
        <v>4</v>
      </c>
      <c r="AR683">
        <v>12</v>
      </c>
      <c r="AS683">
        <v>24</v>
      </c>
      <c r="AT683">
        <v>0.33333000000000002</v>
      </c>
      <c r="AU683">
        <v>12</v>
      </c>
      <c r="AV683">
        <v>11</v>
      </c>
      <c r="AW683">
        <v>45</v>
      </c>
      <c r="AX683">
        <v>34</v>
      </c>
      <c r="AY683">
        <v>56</v>
      </c>
      <c r="AZ683">
        <v>13</v>
      </c>
      <c r="BA683" t="s">
        <v>17801</v>
      </c>
      <c r="BB683" t="s">
        <v>17802</v>
      </c>
      <c r="BC683">
        <v>3.113</v>
      </c>
      <c r="BD683" t="s">
        <v>267</v>
      </c>
      <c r="BE683">
        <v>101</v>
      </c>
      <c r="BF683">
        <v>47</v>
      </c>
      <c r="BG683" t="s">
        <v>17803</v>
      </c>
      <c r="BH683" t="s">
        <v>17804</v>
      </c>
      <c r="BI683" t="s">
        <v>17805</v>
      </c>
      <c r="BJ683">
        <v>0.11445</v>
      </c>
      <c r="BK683">
        <v>1</v>
      </c>
      <c r="BL683" t="s">
        <v>69</v>
      </c>
      <c r="BM683">
        <v>-0.46200000000000002</v>
      </c>
      <c r="BN683">
        <v>-0.70299999999999996</v>
      </c>
    </row>
    <row r="684" spans="2:66">
      <c r="B684">
        <v>1073</v>
      </c>
      <c r="C684">
        <v>125</v>
      </c>
      <c r="D684">
        <v>0</v>
      </c>
      <c r="E684">
        <v>4</v>
      </c>
      <c r="F684">
        <v>3</v>
      </c>
      <c r="J684">
        <v>0</v>
      </c>
      <c r="K684">
        <v>8</v>
      </c>
      <c r="L684">
        <v>2</v>
      </c>
      <c r="M684" t="s">
        <v>25022</v>
      </c>
      <c r="N684">
        <v>3074</v>
      </c>
      <c r="O684" t="s">
        <v>17806</v>
      </c>
      <c r="P684" t="s">
        <v>62</v>
      </c>
      <c r="Q684">
        <v>3023680</v>
      </c>
      <c r="R684">
        <v>3025266</v>
      </c>
      <c r="S684" t="s">
        <v>17807</v>
      </c>
      <c r="T684">
        <v>529</v>
      </c>
      <c r="U684" t="s">
        <v>108</v>
      </c>
      <c r="V684">
        <v>44</v>
      </c>
      <c r="W684" t="str">
        <f>HYPERLINK("Gene3074-zp_tree_all.dnd", "Gene3074-tree")</f>
        <v>Gene3074-tree</v>
      </c>
      <c r="X684">
        <v>4</v>
      </c>
      <c r="Y684">
        <v>12</v>
      </c>
      <c r="Z684">
        <v>4</v>
      </c>
      <c r="AA684">
        <v>12</v>
      </c>
      <c r="AB684">
        <v>0.75</v>
      </c>
      <c r="AC684" t="s">
        <v>61</v>
      </c>
      <c r="AD684" t="s">
        <v>109</v>
      </c>
      <c r="AE684" t="s">
        <v>62</v>
      </c>
      <c r="AF684" t="s">
        <v>62</v>
      </c>
      <c r="AG684">
        <v>4</v>
      </c>
      <c r="AH684">
        <v>10</v>
      </c>
      <c r="AI684">
        <v>13</v>
      </c>
      <c r="AJ684">
        <v>0.43478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6</v>
      </c>
      <c r="AQ684">
        <v>0</v>
      </c>
      <c r="AR684">
        <v>6</v>
      </c>
      <c r="AS684">
        <v>11</v>
      </c>
      <c r="AT684">
        <v>0.35293999999999998</v>
      </c>
      <c r="AU684">
        <v>14</v>
      </c>
      <c r="AV684">
        <v>12</v>
      </c>
      <c r="AW684">
        <v>58</v>
      </c>
      <c r="AX684">
        <v>16</v>
      </c>
      <c r="AY684">
        <v>28</v>
      </c>
      <c r="AZ684">
        <v>7</v>
      </c>
      <c r="BA684" t="s">
        <v>17808</v>
      </c>
      <c r="BB684" t="s">
        <v>17809</v>
      </c>
      <c r="BC684">
        <v>0.14499999999999999</v>
      </c>
      <c r="BD684" t="s">
        <v>65</v>
      </c>
      <c r="BE684">
        <v>86</v>
      </c>
      <c r="BF684">
        <v>23</v>
      </c>
      <c r="BG684" t="s">
        <v>17810</v>
      </c>
      <c r="BH684" t="s">
        <v>17811</v>
      </c>
      <c r="BI684" t="s">
        <v>17812</v>
      </c>
      <c r="BJ684">
        <v>7.8939999999999996E-2</v>
      </c>
      <c r="BK684">
        <v>1</v>
      </c>
      <c r="BL684" t="s">
        <v>69</v>
      </c>
      <c r="BM684">
        <v>-0.99299999999999999</v>
      </c>
      <c r="BN684">
        <v>-1.3420000000000001</v>
      </c>
    </row>
    <row r="685" spans="2:66">
      <c r="B685">
        <v>1074</v>
      </c>
      <c r="C685">
        <v>439</v>
      </c>
      <c r="D685">
        <v>0</v>
      </c>
      <c r="E685">
        <v>13</v>
      </c>
      <c r="F685">
        <v>0</v>
      </c>
      <c r="J685">
        <v>0</v>
      </c>
      <c r="K685">
        <v>0</v>
      </c>
      <c r="L685">
        <v>0</v>
      </c>
      <c r="M685" t="s">
        <v>25022</v>
      </c>
      <c r="N685">
        <v>3075</v>
      </c>
      <c r="O685" t="s">
        <v>17813</v>
      </c>
      <c r="P685" t="s">
        <v>62</v>
      </c>
      <c r="Q685">
        <v>3025448</v>
      </c>
      <c r="R685">
        <v>3025654</v>
      </c>
      <c r="S685" t="s">
        <v>17814</v>
      </c>
      <c r="T685">
        <v>69</v>
      </c>
      <c r="U685" t="s">
        <v>59</v>
      </c>
      <c r="V685">
        <v>49</v>
      </c>
      <c r="W685" t="str">
        <f>HYPERLINK("Gene3075-zp_tree_all.dnd", "Gene3075-tree")</f>
        <v>Gene3075-tree</v>
      </c>
      <c r="X685">
        <v>44</v>
      </c>
      <c r="Y685">
        <v>2</v>
      </c>
      <c r="Z685">
        <v>2</v>
      </c>
      <c r="AA685">
        <v>2</v>
      </c>
      <c r="AB685">
        <v>0.5</v>
      </c>
      <c r="AC685" t="s">
        <v>17815</v>
      </c>
      <c r="AD685" t="s">
        <v>81</v>
      </c>
      <c r="AE685" t="s">
        <v>62</v>
      </c>
      <c r="AF685" t="s">
        <v>62</v>
      </c>
      <c r="AG685">
        <v>0</v>
      </c>
      <c r="AH685">
        <v>0</v>
      </c>
      <c r="AI685">
        <v>3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3</v>
      </c>
      <c r="AT685">
        <v>0</v>
      </c>
      <c r="AU685">
        <v>3</v>
      </c>
      <c r="AV685">
        <v>0</v>
      </c>
      <c r="AW685">
        <v>7</v>
      </c>
      <c r="AX685">
        <v>5</v>
      </c>
      <c r="AY685">
        <v>0</v>
      </c>
      <c r="AZ685">
        <v>0</v>
      </c>
      <c r="BA685" t="s">
        <v>17816</v>
      </c>
      <c r="BB685" t="s">
        <v>193</v>
      </c>
      <c r="BC685">
        <v>0.73599999999999999</v>
      </c>
      <c r="BD685" t="s">
        <v>65</v>
      </c>
      <c r="BE685">
        <v>7</v>
      </c>
      <c r="BF685">
        <v>5</v>
      </c>
      <c r="BG685" t="s">
        <v>17817</v>
      </c>
      <c r="BH685" t="s">
        <v>17818</v>
      </c>
      <c r="BI685" t="s">
        <v>17819</v>
      </c>
      <c r="BJ685">
        <v>0.1983</v>
      </c>
      <c r="BK685">
        <v>0.96899999999999997</v>
      </c>
      <c r="BL685" t="s">
        <v>69</v>
      </c>
      <c r="BM685">
        <v>-1.91</v>
      </c>
      <c r="BN685">
        <v>1.4770000000000001</v>
      </c>
    </row>
    <row r="686" spans="2:66">
      <c r="B686">
        <v>1076</v>
      </c>
      <c r="C686">
        <v>72</v>
      </c>
      <c r="D686">
        <v>0</v>
      </c>
      <c r="E686">
        <v>2</v>
      </c>
      <c r="F686">
        <v>0</v>
      </c>
      <c r="J686">
        <v>0</v>
      </c>
      <c r="K686">
        <v>0</v>
      </c>
      <c r="L686">
        <v>0</v>
      </c>
      <c r="M686" t="s">
        <v>25022</v>
      </c>
      <c r="N686">
        <v>3076</v>
      </c>
      <c r="O686" t="s">
        <v>17820</v>
      </c>
      <c r="P686" t="s">
        <v>62</v>
      </c>
      <c r="Q686">
        <v>3025751</v>
      </c>
      <c r="R686">
        <v>3026953</v>
      </c>
      <c r="S686" t="s">
        <v>17821</v>
      </c>
      <c r="T686">
        <v>401</v>
      </c>
      <c r="U686" t="s">
        <v>108</v>
      </c>
      <c r="V686">
        <v>44</v>
      </c>
      <c r="W686" t="str">
        <f>HYPERLINK("Gene3076-zp_tree_all.dnd", "Gene3076-tree")</f>
        <v>Gene3076-tree</v>
      </c>
      <c r="X686">
        <v>7</v>
      </c>
      <c r="Y686">
        <v>6</v>
      </c>
      <c r="Z686">
        <v>7</v>
      </c>
      <c r="AA686">
        <v>6</v>
      </c>
      <c r="AB686">
        <v>0.46154000000000001</v>
      </c>
      <c r="AC686" t="s">
        <v>152</v>
      </c>
      <c r="AD686" t="s">
        <v>90</v>
      </c>
      <c r="AE686" t="s">
        <v>62</v>
      </c>
      <c r="AF686" t="s">
        <v>62</v>
      </c>
      <c r="AG686">
        <v>0</v>
      </c>
      <c r="AH686">
        <v>0</v>
      </c>
      <c r="AI686">
        <v>7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7</v>
      </c>
      <c r="AT686">
        <v>0</v>
      </c>
      <c r="AU686">
        <v>12</v>
      </c>
      <c r="AV686">
        <v>8</v>
      </c>
      <c r="AW686">
        <v>36</v>
      </c>
      <c r="AX686">
        <v>7</v>
      </c>
      <c r="AY686">
        <v>17</v>
      </c>
      <c r="AZ686">
        <v>0</v>
      </c>
      <c r="BA686" t="s">
        <v>17822</v>
      </c>
      <c r="BB686" t="s">
        <v>193</v>
      </c>
      <c r="BC686">
        <v>2.09</v>
      </c>
      <c r="BD686" t="s">
        <v>267</v>
      </c>
      <c r="BE686">
        <v>53</v>
      </c>
      <c r="BF686">
        <v>7</v>
      </c>
      <c r="BG686" t="s">
        <v>15609</v>
      </c>
      <c r="BH686" t="s">
        <v>17823</v>
      </c>
      <c r="BI686" t="s">
        <v>17824</v>
      </c>
      <c r="BJ686">
        <v>3.039E-2</v>
      </c>
      <c r="BK686">
        <v>1</v>
      </c>
      <c r="BL686" t="s">
        <v>69</v>
      </c>
      <c r="BM686">
        <v>-0.84299999999999997</v>
      </c>
      <c r="BN686">
        <v>-1.1080000000000001</v>
      </c>
    </row>
    <row r="687" spans="2:66">
      <c r="B687">
        <v>1077</v>
      </c>
      <c r="C687">
        <v>33</v>
      </c>
      <c r="D687">
        <v>0</v>
      </c>
      <c r="E687">
        <v>3</v>
      </c>
      <c r="F687">
        <v>0</v>
      </c>
      <c r="J687">
        <v>0</v>
      </c>
      <c r="K687">
        <v>9</v>
      </c>
      <c r="L687">
        <v>2</v>
      </c>
      <c r="M687" t="s">
        <v>25022</v>
      </c>
      <c r="N687">
        <v>3077</v>
      </c>
      <c r="O687" t="s">
        <v>17825</v>
      </c>
      <c r="P687" t="s">
        <v>62</v>
      </c>
      <c r="Q687">
        <v>3026960</v>
      </c>
      <c r="R687">
        <v>3028102</v>
      </c>
      <c r="S687" t="s">
        <v>17826</v>
      </c>
      <c r="T687">
        <v>381</v>
      </c>
      <c r="U687" t="s">
        <v>108</v>
      </c>
      <c r="V687">
        <v>44</v>
      </c>
      <c r="W687" t="str">
        <f>HYPERLINK("Gene3077-zp_tree_all.dnd", "Gene3077-tree")</f>
        <v>Gene3077-tree</v>
      </c>
      <c r="X687">
        <v>3</v>
      </c>
      <c r="Y687">
        <v>12</v>
      </c>
      <c r="Z687">
        <v>3</v>
      </c>
      <c r="AA687">
        <v>12</v>
      </c>
      <c r="AB687">
        <v>0.8</v>
      </c>
      <c r="AC687" t="s">
        <v>324</v>
      </c>
      <c r="AD687" t="s">
        <v>109</v>
      </c>
      <c r="AE687" t="s">
        <v>62</v>
      </c>
      <c r="AF687" t="s">
        <v>62</v>
      </c>
      <c r="AG687">
        <v>4</v>
      </c>
      <c r="AH687">
        <v>11</v>
      </c>
      <c r="AI687">
        <v>14</v>
      </c>
      <c r="AJ687">
        <v>0.44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3</v>
      </c>
      <c r="AQ687">
        <v>2</v>
      </c>
      <c r="AR687">
        <v>5</v>
      </c>
      <c r="AS687">
        <v>12</v>
      </c>
      <c r="AT687">
        <v>0.29411999999999999</v>
      </c>
      <c r="AU687">
        <v>12</v>
      </c>
      <c r="AV687">
        <v>10</v>
      </c>
      <c r="AW687">
        <v>35</v>
      </c>
      <c r="AX687">
        <v>15</v>
      </c>
      <c r="AY687">
        <v>27</v>
      </c>
      <c r="AZ687">
        <v>10</v>
      </c>
      <c r="BA687" t="s">
        <v>17827</v>
      </c>
      <c r="BB687" t="s">
        <v>17828</v>
      </c>
      <c r="BC687">
        <v>0.33700000000000002</v>
      </c>
      <c r="BD687" t="s">
        <v>65</v>
      </c>
      <c r="BE687">
        <v>62</v>
      </c>
      <c r="BF687">
        <v>25</v>
      </c>
      <c r="BG687" t="s">
        <v>17829</v>
      </c>
      <c r="BH687" t="s">
        <v>17830</v>
      </c>
      <c r="BI687" t="s">
        <v>17831</v>
      </c>
      <c r="BJ687">
        <v>0.11476</v>
      </c>
      <c r="BK687">
        <v>1</v>
      </c>
      <c r="BL687" t="s">
        <v>69</v>
      </c>
      <c r="BM687">
        <v>-6.6000000000000003E-2</v>
      </c>
      <c r="BN687">
        <v>-0.61499999999999999</v>
      </c>
    </row>
    <row r="688" spans="2:66">
      <c r="B688">
        <v>1078</v>
      </c>
      <c r="C688">
        <v>262</v>
      </c>
      <c r="D688">
        <v>0</v>
      </c>
      <c r="E688">
        <v>0</v>
      </c>
      <c r="F688">
        <v>4</v>
      </c>
      <c r="J688">
        <v>0</v>
      </c>
      <c r="K688">
        <v>5</v>
      </c>
      <c r="L688">
        <v>0</v>
      </c>
      <c r="M688" t="s">
        <v>25022</v>
      </c>
      <c r="N688">
        <v>3079</v>
      </c>
      <c r="O688" t="s">
        <v>17838</v>
      </c>
      <c r="P688" t="s">
        <v>62</v>
      </c>
      <c r="Q688">
        <v>3029732</v>
      </c>
      <c r="R688">
        <v>3031417</v>
      </c>
      <c r="S688" t="s">
        <v>17839</v>
      </c>
      <c r="T688">
        <v>562</v>
      </c>
      <c r="U688" t="s">
        <v>108</v>
      </c>
      <c r="V688">
        <v>44</v>
      </c>
      <c r="W688" t="str">
        <f>HYPERLINK("Gene3079-zp_tree_all.dnd", "Gene3079-tree")</f>
        <v>Gene3079-tree</v>
      </c>
      <c r="X688">
        <v>8</v>
      </c>
      <c r="Y688">
        <v>5</v>
      </c>
      <c r="Z688">
        <v>8</v>
      </c>
      <c r="AA688">
        <v>5</v>
      </c>
      <c r="AB688">
        <v>0.38462000000000002</v>
      </c>
      <c r="AC688" t="s">
        <v>136</v>
      </c>
      <c r="AD688" t="s">
        <v>199</v>
      </c>
      <c r="AE688" t="s">
        <v>62</v>
      </c>
      <c r="AF688" t="s">
        <v>62</v>
      </c>
      <c r="AG688">
        <v>2</v>
      </c>
      <c r="AH688">
        <v>5</v>
      </c>
      <c r="AI688">
        <v>7</v>
      </c>
      <c r="AJ688">
        <v>0.41666999999999998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6</v>
      </c>
      <c r="AT688">
        <v>0</v>
      </c>
      <c r="AU688">
        <v>12</v>
      </c>
      <c r="AV688">
        <v>10</v>
      </c>
      <c r="AW688">
        <v>41</v>
      </c>
      <c r="AX688">
        <v>6</v>
      </c>
      <c r="AY688">
        <v>38</v>
      </c>
      <c r="AZ688">
        <v>6</v>
      </c>
      <c r="BA688" t="s">
        <v>17840</v>
      </c>
      <c r="BB688" t="s">
        <v>17841</v>
      </c>
      <c r="BC688">
        <v>0.06</v>
      </c>
      <c r="BD688" t="s">
        <v>65</v>
      </c>
      <c r="BE688">
        <v>79</v>
      </c>
      <c r="BF688">
        <v>12</v>
      </c>
      <c r="BG688" t="s">
        <v>13128</v>
      </c>
      <c r="BH688" t="s">
        <v>17842</v>
      </c>
      <c r="BI688" t="s">
        <v>17843</v>
      </c>
      <c r="BJ688">
        <v>4.727E-2</v>
      </c>
      <c r="BK688">
        <v>1</v>
      </c>
      <c r="BL688" t="s">
        <v>69</v>
      </c>
      <c r="BM688">
        <v>-0.63800000000000001</v>
      </c>
      <c r="BN688">
        <v>-0.82499999999999996</v>
      </c>
    </row>
    <row r="689" spans="2:66">
      <c r="B689">
        <v>1079</v>
      </c>
      <c r="C689">
        <v>54</v>
      </c>
      <c r="D689">
        <v>0</v>
      </c>
      <c r="E689">
        <v>2</v>
      </c>
      <c r="F689">
        <v>0</v>
      </c>
      <c r="J689">
        <v>0</v>
      </c>
      <c r="K689">
        <v>2</v>
      </c>
      <c r="L689">
        <v>0</v>
      </c>
      <c r="M689" t="s">
        <v>25022</v>
      </c>
      <c r="N689">
        <v>3081</v>
      </c>
      <c r="O689" t="s">
        <v>17851</v>
      </c>
      <c r="P689" t="s">
        <v>62</v>
      </c>
      <c r="Q689">
        <v>3032420</v>
      </c>
      <c r="R689">
        <v>3033040</v>
      </c>
      <c r="S689" t="s">
        <v>17852</v>
      </c>
      <c r="T689">
        <v>207</v>
      </c>
      <c r="U689" t="s">
        <v>59</v>
      </c>
      <c r="V689">
        <v>49</v>
      </c>
      <c r="W689" t="str">
        <f>HYPERLINK("Gene3081-zp_tree_all.dnd", "Gene3081-tree")</f>
        <v>Gene3081-tree</v>
      </c>
      <c r="X689">
        <v>8</v>
      </c>
      <c r="Y689">
        <v>5</v>
      </c>
      <c r="Z689">
        <v>8</v>
      </c>
      <c r="AA689">
        <v>5</v>
      </c>
      <c r="AB689">
        <v>0.38462000000000002</v>
      </c>
      <c r="AC689" t="s">
        <v>136</v>
      </c>
      <c r="AD689" t="s">
        <v>199</v>
      </c>
      <c r="AE689" t="s">
        <v>62</v>
      </c>
      <c r="AF689" t="s">
        <v>62</v>
      </c>
      <c r="AG689">
        <v>1</v>
      </c>
      <c r="AH689">
        <v>2</v>
      </c>
      <c r="AI689">
        <v>7</v>
      </c>
      <c r="AJ689">
        <v>0.22222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5</v>
      </c>
      <c r="AT689">
        <v>0</v>
      </c>
      <c r="AU689">
        <v>10</v>
      </c>
      <c r="AV689">
        <v>7</v>
      </c>
      <c r="AW689">
        <v>12</v>
      </c>
      <c r="AX689">
        <v>5</v>
      </c>
      <c r="AY689">
        <v>28</v>
      </c>
      <c r="AZ689">
        <v>4</v>
      </c>
      <c r="BA689" t="s">
        <v>17853</v>
      </c>
      <c r="BB689" t="s">
        <v>17854</v>
      </c>
      <c r="BC689">
        <v>0.91</v>
      </c>
      <c r="BD689" t="s">
        <v>65</v>
      </c>
      <c r="BE689">
        <v>40</v>
      </c>
      <c r="BF689">
        <v>9</v>
      </c>
      <c r="BG689" t="s">
        <v>17855</v>
      </c>
      <c r="BH689" t="s">
        <v>17856</v>
      </c>
      <c r="BI689" t="s">
        <v>17857</v>
      </c>
      <c r="BJ689">
        <v>4.9860000000000002E-2</v>
      </c>
      <c r="BK689">
        <v>1</v>
      </c>
      <c r="BL689" t="s">
        <v>69</v>
      </c>
      <c r="BM689">
        <v>-1.48</v>
      </c>
      <c r="BN689">
        <v>5.7000000000000002E-2</v>
      </c>
    </row>
    <row r="690" spans="2:66">
      <c r="B690">
        <v>1080</v>
      </c>
      <c r="C690">
        <v>165</v>
      </c>
      <c r="D690">
        <v>0</v>
      </c>
      <c r="E690">
        <v>12</v>
      </c>
      <c r="F690">
        <v>2</v>
      </c>
      <c r="J690">
        <v>0</v>
      </c>
      <c r="K690">
        <v>17</v>
      </c>
      <c r="L690">
        <v>2</v>
      </c>
      <c r="M690" t="s">
        <v>25022</v>
      </c>
      <c r="N690">
        <v>3083</v>
      </c>
      <c r="O690" t="s">
        <v>17865</v>
      </c>
      <c r="P690" t="s">
        <v>62</v>
      </c>
      <c r="Q690">
        <v>3033699</v>
      </c>
      <c r="R690">
        <v>3035435</v>
      </c>
      <c r="S690" t="s">
        <v>5937</v>
      </c>
      <c r="T690">
        <v>579</v>
      </c>
      <c r="U690" t="s">
        <v>108</v>
      </c>
      <c r="V690">
        <v>44</v>
      </c>
      <c r="W690" t="str">
        <f>HYPERLINK("Gene3083-zp_tree_all.dnd", "Gene3083-tree")</f>
        <v>Gene3083-tree</v>
      </c>
      <c r="X690">
        <v>3</v>
      </c>
      <c r="Y690">
        <v>11</v>
      </c>
      <c r="Z690">
        <v>3</v>
      </c>
      <c r="AA690">
        <v>11</v>
      </c>
      <c r="AB690">
        <v>0.78571000000000002</v>
      </c>
      <c r="AC690" t="s">
        <v>324</v>
      </c>
      <c r="AD690" t="s">
        <v>73</v>
      </c>
      <c r="AE690">
        <v>305230034.74400002</v>
      </c>
      <c r="AF690" t="s">
        <v>267</v>
      </c>
      <c r="AG690">
        <v>8</v>
      </c>
      <c r="AH690">
        <v>19</v>
      </c>
      <c r="AI690">
        <v>25</v>
      </c>
      <c r="AJ690">
        <v>0.43181999999999998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8</v>
      </c>
      <c r="AQ690">
        <v>2</v>
      </c>
      <c r="AR690">
        <v>10</v>
      </c>
      <c r="AS690">
        <v>28</v>
      </c>
      <c r="AT690">
        <v>0.26316000000000001</v>
      </c>
      <c r="AU690">
        <v>13</v>
      </c>
      <c r="AV690">
        <v>11</v>
      </c>
      <c r="AW690">
        <v>63</v>
      </c>
      <c r="AX690">
        <v>38</v>
      </c>
      <c r="AY690">
        <v>29</v>
      </c>
      <c r="AZ690">
        <v>6</v>
      </c>
      <c r="BA690" t="s">
        <v>17866</v>
      </c>
      <c r="BB690" t="s">
        <v>17867</v>
      </c>
      <c r="BC690">
        <v>1.9</v>
      </c>
      <c r="BD690" t="s">
        <v>65</v>
      </c>
      <c r="BE690">
        <v>92</v>
      </c>
      <c r="BF690">
        <v>44</v>
      </c>
      <c r="BG690" t="s">
        <v>17868</v>
      </c>
      <c r="BH690" t="s">
        <v>17869</v>
      </c>
      <c r="BI690" t="s">
        <v>17870</v>
      </c>
      <c r="BJ690">
        <v>0.12268999999999999</v>
      </c>
      <c r="BK690">
        <v>1</v>
      </c>
      <c r="BL690" t="s">
        <v>69</v>
      </c>
      <c r="BM690">
        <v>-0.99299999999999999</v>
      </c>
      <c r="BN690">
        <v>-1.3009999999999999</v>
      </c>
    </row>
    <row r="691" spans="2:66">
      <c r="B691">
        <v>1083</v>
      </c>
      <c r="C691">
        <v>194</v>
      </c>
      <c r="D691">
        <v>0</v>
      </c>
      <c r="E691">
        <v>4</v>
      </c>
      <c r="F691">
        <v>4</v>
      </c>
      <c r="J691">
        <v>0</v>
      </c>
      <c r="K691">
        <v>2</v>
      </c>
      <c r="L691">
        <v>0</v>
      </c>
      <c r="M691" t="s">
        <v>25022</v>
      </c>
      <c r="N691">
        <v>3085</v>
      </c>
      <c r="O691" t="s">
        <v>17877</v>
      </c>
      <c r="P691" t="s">
        <v>62</v>
      </c>
      <c r="Q691">
        <v>3036606</v>
      </c>
      <c r="R691">
        <v>3037871</v>
      </c>
      <c r="S691" t="s">
        <v>17878</v>
      </c>
      <c r="T691">
        <v>422</v>
      </c>
      <c r="U691" t="s">
        <v>108</v>
      </c>
      <c r="V691">
        <v>44</v>
      </c>
      <c r="W691" t="str">
        <f>HYPERLINK("Gene3085-zp_tree_all.dnd", "Gene3085-tree")</f>
        <v>Gene3085-tree</v>
      </c>
      <c r="X691">
        <v>7</v>
      </c>
      <c r="Y691">
        <v>6</v>
      </c>
      <c r="Z691">
        <v>7</v>
      </c>
      <c r="AA691">
        <v>6</v>
      </c>
      <c r="AB691">
        <v>0.46154000000000001</v>
      </c>
      <c r="AC691" t="s">
        <v>152</v>
      </c>
      <c r="AD691" t="s">
        <v>90</v>
      </c>
      <c r="AE691" t="s">
        <v>62</v>
      </c>
      <c r="AF691" t="s">
        <v>62</v>
      </c>
      <c r="AG691">
        <v>1</v>
      </c>
      <c r="AH691">
        <v>2</v>
      </c>
      <c r="AI691">
        <v>7</v>
      </c>
      <c r="AJ691">
        <v>0.22222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7</v>
      </c>
      <c r="AT691">
        <v>0</v>
      </c>
      <c r="AU691">
        <v>12</v>
      </c>
      <c r="AV691">
        <v>9</v>
      </c>
      <c r="AW691">
        <v>54</v>
      </c>
      <c r="AX691">
        <v>7</v>
      </c>
      <c r="AY691">
        <v>23</v>
      </c>
      <c r="AZ691">
        <v>2</v>
      </c>
      <c r="BA691" t="s">
        <v>17879</v>
      </c>
      <c r="BB691" t="s">
        <v>17880</v>
      </c>
      <c r="BC691">
        <v>0.33800000000000002</v>
      </c>
      <c r="BD691" t="s">
        <v>65</v>
      </c>
      <c r="BE691">
        <v>77</v>
      </c>
      <c r="BF691">
        <v>9</v>
      </c>
      <c r="BG691" t="s">
        <v>17881</v>
      </c>
      <c r="BH691" t="s">
        <v>17882</v>
      </c>
      <c r="BI691" t="s">
        <v>17883</v>
      </c>
      <c r="BJ691">
        <v>3.6569999999999998E-2</v>
      </c>
      <c r="BK691">
        <v>1</v>
      </c>
      <c r="BL691" t="s">
        <v>69</v>
      </c>
      <c r="BM691">
        <v>-0.79500000000000004</v>
      </c>
      <c r="BN691">
        <v>-0.78</v>
      </c>
    </row>
    <row r="692" spans="2:66">
      <c r="B692">
        <v>1085</v>
      </c>
      <c r="C692">
        <v>387</v>
      </c>
      <c r="D692">
        <v>0</v>
      </c>
      <c r="E692">
        <v>24</v>
      </c>
      <c r="F692">
        <v>4</v>
      </c>
      <c r="J692">
        <v>0</v>
      </c>
      <c r="K692">
        <v>0</v>
      </c>
      <c r="L692">
        <v>0</v>
      </c>
      <c r="M692" t="s">
        <v>25022</v>
      </c>
      <c r="N692">
        <v>3086</v>
      </c>
      <c r="O692" t="s">
        <v>17884</v>
      </c>
      <c r="P692" t="s">
        <v>62</v>
      </c>
      <c r="Q692">
        <v>3038216</v>
      </c>
      <c r="R692">
        <v>3039931</v>
      </c>
      <c r="S692" t="s">
        <v>17885</v>
      </c>
      <c r="T692">
        <v>572</v>
      </c>
      <c r="U692" t="s">
        <v>108</v>
      </c>
      <c r="V692">
        <v>44</v>
      </c>
      <c r="W692" t="str">
        <f>HYPERLINK("Gene3086-zp_tree_all.dnd", "Gene3086-tree")</f>
        <v>Gene3086-tree</v>
      </c>
      <c r="X692">
        <v>8</v>
      </c>
      <c r="Y692">
        <v>6</v>
      </c>
      <c r="Z692">
        <v>8</v>
      </c>
      <c r="AA692">
        <v>6</v>
      </c>
      <c r="AB692">
        <v>0.42857000000000001</v>
      </c>
      <c r="AC692" t="s">
        <v>136</v>
      </c>
      <c r="AD692" t="s">
        <v>90</v>
      </c>
      <c r="AE692" t="s">
        <v>62</v>
      </c>
      <c r="AF692" t="s">
        <v>62</v>
      </c>
      <c r="AG692">
        <v>0</v>
      </c>
      <c r="AH692">
        <v>0</v>
      </c>
      <c r="AI692">
        <v>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8</v>
      </c>
      <c r="AT692">
        <v>0</v>
      </c>
      <c r="AU692">
        <v>11</v>
      </c>
      <c r="AV692">
        <v>9</v>
      </c>
      <c r="AW692">
        <v>60</v>
      </c>
      <c r="AX692">
        <v>7</v>
      </c>
      <c r="AY692">
        <v>28</v>
      </c>
      <c r="AZ692">
        <v>2</v>
      </c>
      <c r="BA692" t="s">
        <v>17886</v>
      </c>
      <c r="BB692" t="s">
        <v>17887</v>
      </c>
      <c r="BC692">
        <v>0.33700000000000002</v>
      </c>
      <c r="BD692" t="s">
        <v>65</v>
      </c>
      <c r="BE692">
        <v>88</v>
      </c>
      <c r="BF692">
        <v>9</v>
      </c>
      <c r="BG692" t="s">
        <v>17888</v>
      </c>
      <c r="BH692" t="s">
        <v>17889</v>
      </c>
      <c r="BI692" t="s">
        <v>9400</v>
      </c>
      <c r="BJ692">
        <v>3.0110000000000001E-2</v>
      </c>
      <c r="BK692">
        <v>1</v>
      </c>
      <c r="BL692" t="s">
        <v>69</v>
      </c>
      <c r="BM692">
        <v>-0.84199999999999997</v>
      </c>
      <c r="BN692">
        <v>-2.2080000000000002</v>
      </c>
    </row>
    <row r="693" spans="2:66">
      <c r="B693">
        <v>1087</v>
      </c>
      <c r="C693">
        <v>95</v>
      </c>
      <c r="D693">
        <v>0</v>
      </c>
      <c r="E693">
        <v>9</v>
      </c>
      <c r="F693">
        <v>0</v>
      </c>
      <c r="J693">
        <v>0</v>
      </c>
      <c r="K693">
        <v>0</v>
      </c>
      <c r="L693">
        <v>0</v>
      </c>
      <c r="M693" t="s">
        <v>25022</v>
      </c>
      <c r="N693">
        <v>3090</v>
      </c>
      <c r="O693" t="s">
        <v>17911</v>
      </c>
      <c r="P693" t="s">
        <v>62</v>
      </c>
      <c r="Q693">
        <v>3042569</v>
      </c>
      <c r="R693">
        <v>3043294</v>
      </c>
      <c r="S693" t="s">
        <v>17912</v>
      </c>
      <c r="T693">
        <v>242</v>
      </c>
      <c r="U693" t="s">
        <v>108</v>
      </c>
      <c r="V693">
        <v>44</v>
      </c>
      <c r="W693" t="str">
        <f>HYPERLINK("Gene3090-zp_tree_all.dnd", "Gene3090-tree")</f>
        <v>Gene3090-tree</v>
      </c>
      <c r="X693">
        <v>8</v>
      </c>
      <c r="Y693">
        <v>4</v>
      </c>
      <c r="Z693">
        <v>8</v>
      </c>
      <c r="AA693">
        <v>4</v>
      </c>
      <c r="AB693">
        <v>0.33333000000000002</v>
      </c>
      <c r="AC693" t="s">
        <v>136</v>
      </c>
      <c r="AD693" t="s">
        <v>61</v>
      </c>
      <c r="AE693" t="s">
        <v>62</v>
      </c>
      <c r="AF693" t="s">
        <v>62</v>
      </c>
      <c r="AG693">
        <v>0</v>
      </c>
      <c r="AH693">
        <v>0</v>
      </c>
      <c r="AI693">
        <v>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5</v>
      </c>
      <c r="AT693">
        <v>0</v>
      </c>
      <c r="AU693">
        <v>11</v>
      </c>
      <c r="AV693">
        <v>9</v>
      </c>
      <c r="AW693">
        <v>30</v>
      </c>
      <c r="AX693">
        <v>5</v>
      </c>
      <c r="AY693">
        <v>16</v>
      </c>
      <c r="AZ693">
        <v>0</v>
      </c>
      <c r="BA693" t="s">
        <v>17913</v>
      </c>
      <c r="BB693" t="s">
        <v>193</v>
      </c>
      <c r="BC693">
        <v>1.3089999999999999</v>
      </c>
      <c r="BD693" t="s">
        <v>65</v>
      </c>
      <c r="BE693">
        <v>46</v>
      </c>
      <c r="BF693">
        <v>5</v>
      </c>
      <c r="BG693" t="s">
        <v>17914</v>
      </c>
      <c r="BH693" t="s">
        <v>17915</v>
      </c>
      <c r="BI693" t="s">
        <v>17916</v>
      </c>
      <c r="BJ693">
        <v>2.6700000000000002E-2</v>
      </c>
      <c r="BK693">
        <v>1</v>
      </c>
      <c r="BL693" t="s">
        <v>69</v>
      </c>
      <c r="BM693">
        <v>-0.79500000000000004</v>
      </c>
      <c r="BN693">
        <v>-2.2970000000000002</v>
      </c>
    </row>
    <row r="694" spans="2:66">
      <c r="B694">
        <v>1088</v>
      </c>
      <c r="C694">
        <v>54</v>
      </c>
      <c r="D694">
        <v>0</v>
      </c>
      <c r="E694">
        <v>7</v>
      </c>
      <c r="F694">
        <v>4</v>
      </c>
      <c r="J694">
        <v>0</v>
      </c>
      <c r="K694">
        <v>0</v>
      </c>
      <c r="L694">
        <v>0</v>
      </c>
      <c r="M694" t="s">
        <v>25022</v>
      </c>
      <c r="N694">
        <v>3091</v>
      </c>
      <c r="O694" t="s">
        <v>17917</v>
      </c>
      <c r="P694" t="s">
        <v>62</v>
      </c>
      <c r="Q694">
        <v>3043287</v>
      </c>
      <c r="R694">
        <v>3044102</v>
      </c>
      <c r="S694" t="s">
        <v>17918</v>
      </c>
      <c r="T694">
        <v>272</v>
      </c>
      <c r="U694" t="s">
        <v>108</v>
      </c>
      <c r="V694">
        <v>44</v>
      </c>
      <c r="W694" t="str">
        <f>HYPERLINK("Gene3091-zp_tree_all.dnd", "Gene3091-tree")</f>
        <v>Gene3091-tree</v>
      </c>
      <c r="X694">
        <v>6</v>
      </c>
      <c r="Y694">
        <v>4</v>
      </c>
      <c r="Z694">
        <v>6</v>
      </c>
      <c r="AA694">
        <v>4</v>
      </c>
      <c r="AB694">
        <v>0.4</v>
      </c>
      <c r="AC694" t="s">
        <v>90</v>
      </c>
      <c r="AD694" t="s">
        <v>61</v>
      </c>
      <c r="AE694" t="s">
        <v>62</v>
      </c>
      <c r="AF694" t="s">
        <v>62</v>
      </c>
      <c r="AG694">
        <v>0</v>
      </c>
      <c r="AH694">
        <v>0</v>
      </c>
      <c r="AI694">
        <v>4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4</v>
      </c>
      <c r="AT694">
        <v>0</v>
      </c>
      <c r="AU694">
        <v>9</v>
      </c>
      <c r="AV694">
        <v>6</v>
      </c>
      <c r="AW694">
        <v>14</v>
      </c>
      <c r="AX694">
        <v>4</v>
      </c>
      <c r="AY694">
        <v>10</v>
      </c>
      <c r="AZ694">
        <v>0</v>
      </c>
      <c r="BA694" t="s">
        <v>17919</v>
      </c>
      <c r="BB694" t="s">
        <v>193</v>
      </c>
      <c r="BC694">
        <v>1.742</v>
      </c>
      <c r="BD694" t="s">
        <v>65</v>
      </c>
      <c r="BE694">
        <v>24</v>
      </c>
      <c r="BF694">
        <v>4</v>
      </c>
      <c r="BG694" t="s">
        <v>17920</v>
      </c>
      <c r="BH694" t="s">
        <v>17921</v>
      </c>
      <c r="BI694" t="s">
        <v>17922</v>
      </c>
      <c r="BJ694">
        <v>3.7949999999999998E-2</v>
      </c>
      <c r="BK694">
        <v>1</v>
      </c>
      <c r="BL694" t="s">
        <v>69</v>
      </c>
      <c r="BM694">
        <v>-0.74199999999999999</v>
      </c>
      <c r="BN694">
        <v>-0.27200000000000002</v>
      </c>
    </row>
    <row r="695" spans="2:66">
      <c r="B695">
        <v>1089</v>
      </c>
      <c r="C695">
        <v>261</v>
      </c>
      <c r="D695">
        <v>0</v>
      </c>
      <c r="E695">
        <v>15</v>
      </c>
      <c r="F695">
        <v>0</v>
      </c>
      <c r="J695">
        <v>0</v>
      </c>
      <c r="K695">
        <v>4</v>
      </c>
      <c r="L695">
        <v>2</v>
      </c>
      <c r="M695" t="s">
        <v>25022</v>
      </c>
      <c r="N695">
        <v>3092</v>
      </c>
      <c r="O695" t="s">
        <v>17923</v>
      </c>
      <c r="P695" t="s">
        <v>62</v>
      </c>
      <c r="Q695">
        <v>3044168</v>
      </c>
      <c r="R695">
        <v>3045169</v>
      </c>
      <c r="S695" t="s">
        <v>17924</v>
      </c>
      <c r="T695">
        <v>334</v>
      </c>
      <c r="U695" t="s">
        <v>59</v>
      </c>
      <c r="V695">
        <v>49</v>
      </c>
      <c r="W695" t="str">
        <f>HYPERLINK("Gene3092-zp_tree_all.dnd", "Gene3092-tree")</f>
        <v>Gene3092-tree</v>
      </c>
      <c r="X695">
        <v>12</v>
      </c>
      <c r="Y695">
        <v>6</v>
      </c>
      <c r="Z695">
        <v>12</v>
      </c>
      <c r="AA695">
        <v>6</v>
      </c>
      <c r="AB695">
        <v>0.33333000000000002</v>
      </c>
      <c r="AC695" t="s">
        <v>109</v>
      </c>
      <c r="AD695" t="s">
        <v>90</v>
      </c>
      <c r="AE695" t="s">
        <v>62</v>
      </c>
      <c r="AF695" t="s">
        <v>62</v>
      </c>
      <c r="AG695">
        <v>2</v>
      </c>
      <c r="AH695">
        <v>6</v>
      </c>
      <c r="AI695">
        <v>8</v>
      </c>
      <c r="AJ695">
        <v>0.42857000000000001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2</v>
      </c>
      <c r="AQ695">
        <v>0</v>
      </c>
      <c r="AR695">
        <v>2</v>
      </c>
      <c r="AS695">
        <v>4</v>
      </c>
      <c r="AT695">
        <v>0.33333000000000002</v>
      </c>
      <c r="AU695">
        <v>13</v>
      </c>
      <c r="AV695">
        <v>14</v>
      </c>
      <c r="AW695">
        <v>46</v>
      </c>
      <c r="AX695">
        <v>5</v>
      </c>
      <c r="AY695">
        <v>74</v>
      </c>
      <c r="AZ695">
        <v>9</v>
      </c>
      <c r="BA695" t="s">
        <v>17925</v>
      </c>
      <c r="BB695" t="s">
        <v>17926</v>
      </c>
      <c r="BC695">
        <v>8.5000000000000006E-2</v>
      </c>
      <c r="BD695" t="s">
        <v>65</v>
      </c>
      <c r="BE695">
        <v>120</v>
      </c>
      <c r="BF695">
        <v>14</v>
      </c>
      <c r="BG695" t="s">
        <v>17927</v>
      </c>
      <c r="BH695" t="s">
        <v>17928</v>
      </c>
      <c r="BI695" t="s">
        <v>17929</v>
      </c>
      <c r="BJ695">
        <v>3.4509999999999999E-2</v>
      </c>
      <c r="BK695">
        <v>1</v>
      </c>
      <c r="BL695" t="s">
        <v>69</v>
      </c>
      <c r="BM695">
        <v>-1.431</v>
      </c>
      <c r="BN695">
        <v>-1.0209999999999999</v>
      </c>
    </row>
    <row r="696" spans="2:66">
      <c r="B696">
        <v>1090</v>
      </c>
      <c r="C696">
        <v>40</v>
      </c>
      <c r="D696">
        <v>0</v>
      </c>
      <c r="E696">
        <v>12</v>
      </c>
      <c r="F696">
        <v>4</v>
      </c>
      <c r="J696">
        <v>0</v>
      </c>
      <c r="K696">
        <v>0</v>
      </c>
      <c r="L696">
        <v>0</v>
      </c>
      <c r="M696" t="s">
        <v>25022</v>
      </c>
      <c r="N696">
        <v>3093</v>
      </c>
      <c r="O696" t="s">
        <v>17930</v>
      </c>
      <c r="P696" t="s">
        <v>62</v>
      </c>
      <c r="Q696">
        <v>3045448</v>
      </c>
      <c r="R696">
        <v>3046521</v>
      </c>
      <c r="S696" t="s">
        <v>17931</v>
      </c>
      <c r="T696">
        <v>358</v>
      </c>
      <c r="U696" t="s">
        <v>59</v>
      </c>
      <c r="V696">
        <v>49</v>
      </c>
      <c r="W696" t="str">
        <f>HYPERLINK("Gene3093-zp_tree_all.dnd", "Gene3093-tree")</f>
        <v>Gene3093-tree</v>
      </c>
      <c r="X696">
        <v>18</v>
      </c>
      <c r="Y696">
        <v>1</v>
      </c>
      <c r="Z696">
        <v>18</v>
      </c>
      <c r="AA696">
        <v>1</v>
      </c>
      <c r="AB696">
        <v>5.2630000000000003E-2</v>
      </c>
      <c r="AC696" t="s">
        <v>144</v>
      </c>
      <c r="AD696" t="s">
        <v>175</v>
      </c>
      <c r="AE696" t="s">
        <v>62</v>
      </c>
      <c r="AF696" t="s">
        <v>62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13</v>
      </c>
      <c r="AV696">
        <v>14</v>
      </c>
      <c r="AW696">
        <v>39</v>
      </c>
      <c r="AX696">
        <v>1</v>
      </c>
      <c r="AY696">
        <v>76</v>
      </c>
      <c r="AZ696">
        <v>0</v>
      </c>
      <c r="BA696" t="s">
        <v>17932</v>
      </c>
      <c r="BB696" t="s">
        <v>193</v>
      </c>
      <c r="BC696">
        <v>0.27600000000000002</v>
      </c>
      <c r="BD696" t="s">
        <v>65</v>
      </c>
      <c r="BE696">
        <v>115</v>
      </c>
      <c r="BF696">
        <v>1</v>
      </c>
      <c r="BG696" t="s">
        <v>17933</v>
      </c>
      <c r="BH696" t="s">
        <v>17934</v>
      </c>
      <c r="BI696" t="s">
        <v>17935</v>
      </c>
      <c r="BJ696">
        <v>1.1800000000000001E-3</v>
      </c>
      <c r="BK696">
        <v>1</v>
      </c>
      <c r="BL696" t="s">
        <v>69</v>
      </c>
      <c r="BM696">
        <v>-1.5409999999999999</v>
      </c>
      <c r="BN696">
        <v>-0.75800000000000001</v>
      </c>
    </row>
    <row r="697" spans="2:66">
      <c r="B697">
        <v>1091</v>
      </c>
      <c r="C697">
        <v>129</v>
      </c>
      <c r="D697">
        <v>0</v>
      </c>
      <c r="E697">
        <v>16</v>
      </c>
      <c r="F697">
        <v>7</v>
      </c>
      <c r="J697">
        <v>0</v>
      </c>
      <c r="K697">
        <v>4</v>
      </c>
      <c r="L697">
        <v>0</v>
      </c>
      <c r="M697" t="s">
        <v>25022</v>
      </c>
      <c r="N697">
        <v>3094</v>
      </c>
      <c r="O697" t="s">
        <v>17936</v>
      </c>
      <c r="P697" t="s">
        <v>62</v>
      </c>
      <c r="Q697">
        <v>3046760</v>
      </c>
      <c r="R697">
        <v>3047083</v>
      </c>
      <c r="S697" t="s">
        <v>17937</v>
      </c>
      <c r="T697">
        <v>108</v>
      </c>
      <c r="U697" t="s">
        <v>108</v>
      </c>
      <c r="V697">
        <v>44</v>
      </c>
      <c r="W697" t="str">
        <f>HYPERLINK("Gene3094-zp_tree_all.dnd", "Gene3094-tree")</f>
        <v>Gene3094-tree</v>
      </c>
      <c r="X697">
        <v>25</v>
      </c>
      <c r="Y697">
        <v>4</v>
      </c>
      <c r="Z697">
        <v>5</v>
      </c>
      <c r="AA697">
        <v>4</v>
      </c>
      <c r="AB697">
        <v>0.44444</v>
      </c>
      <c r="AC697" t="s">
        <v>4839</v>
      </c>
      <c r="AD697" t="s">
        <v>61</v>
      </c>
      <c r="AE697" t="s">
        <v>62</v>
      </c>
      <c r="AF697" t="s">
        <v>62</v>
      </c>
      <c r="AG697">
        <v>2</v>
      </c>
      <c r="AH697">
        <v>4</v>
      </c>
      <c r="AI697">
        <v>4</v>
      </c>
      <c r="AJ697">
        <v>0.5</v>
      </c>
      <c r="AK697">
        <v>0</v>
      </c>
      <c r="AL697">
        <v>0</v>
      </c>
      <c r="AM697">
        <v>0</v>
      </c>
      <c r="AN697">
        <v>2</v>
      </c>
      <c r="AO697">
        <v>0</v>
      </c>
      <c r="AP697">
        <v>0</v>
      </c>
      <c r="AQ697">
        <v>0</v>
      </c>
      <c r="AR697">
        <v>0</v>
      </c>
      <c r="AS697">
        <v>5</v>
      </c>
      <c r="AT697">
        <v>0</v>
      </c>
      <c r="AU697">
        <v>6</v>
      </c>
      <c r="AV697">
        <v>4</v>
      </c>
      <c r="AW697">
        <v>4</v>
      </c>
      <c r="AX697">
        <v>5</v>
      </c>
      <c r="AY697">
        <v>1</v>
      </c>
      <c r="AZ697">
        <v>3</v>
      </c>
      <c r="BA697" t="s">
        <v>17938</v>
      </c>
      <c r="BB697" t="s">
        <v>17939</v>
      </c>
      <c r="BC697">
        <v>0.34100000000000003</v>
      </c>
      <c r="BD697" t="s">
        <v>65</v>
      </c>
      <c r="BE697">
        <v>5</v>
      </c>
      <c r="BF697">
        <v>8</v>
      </c>
      <c r="BG697" t="s">
        <v>17940</v>
      </c>
      <c r="BH697" t="s">
        <v>17941</v>
      </c>
      <c r="BI697" t="s">
        <v>17942</v>
      </c>
      <c r="BJ697">
        <v>0.41785</v>
      </c>
      <c r="BK697">
        <v>0.73199999999999998</v>
      </c>
      <c r="BL697" t="s">
        <v>635</v>
      </c>
      <c r="BM697">
        <v>-0.499</v>
      </c>
      <c r="BN697">
        <v>-1.577</v>
      </c>
    </row>
    <row r="698" spans="2:66">
      <c r="B698">
        <v>1092</v>
      </c>
      <c r="C698">
        <v>383</v>
      </c>
      <c r="D698">
        <v>0</v>
      </c>
      <c r="E698">
        <v>3</v>
      </c>
      <c r="F698">
        <v>2</v>
      </c>
      <c r="J698">
        <v>0</v>
      </c>
      <c r="K698">
        <v>0</v>
      </c>
      <c r="L698">
        <v>0</v>
      </c>
      <c r="M698" t="s">
        <v>25022</v>
      </c>
      <c r="N698">
        <v>3095</v>
      </c>
      <c r="O698" t="s">
        <v>17943</v>
      </c>
      <c r="P698" t="s">
        <v>62</v>
      </c>
      <c r="Q698">
        <v>3047110</v>
      </c>
      <c r="R698">
        <v>3047562</v>
      </c>
      <c r="S698" t="s">
        <v>116</v>
      </c>
      <c r="T698">
        <v>151</v>
      </c>
      <c r="U698" t="s">
        <v>108</v>
      </c>
      <c r="V698">
        <v>44</v>
      </c>
      <c r="W698" t="str">
        <f>HYPERLINK("Gene3095-zp_tree_all.dnd", "Gene3095-tree")</f>
        <v>Gene3095-tree</v>
      </c>
      <c r="X698">
        <v>9</v>
      </c>
      <c r="Y698">
        <v>3</v>
      </c>
      <c r="Z698">
        <v>9</v>
      </c>
      <c r="AA698">
        <v>3</v>
      </c>
      <c r="AB698">
        <v>0.25</v>
      </c>
      <c r="AC698" t="s">
        <v>135</v>
      </c>
      <c r="AD698" t="s">
        <v>324</v>
      </c>
      <c r="AE698" t="s">
        <v>62</v>
      </c>
      <c r="AF698" t="s">
        <v>62</v>
      </c>
      <c r="AG698">
        <v>0</v>
      </c>
      <c r="AH698">
        <v>0</v>
      </c>
      <c r="AI698">
        <v>4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0</v>
      </c>
      <c r="AU698">
        <v>9</v>
      </c>
      <c r="AV698">
        <v>7</v>
      </c>
      <c r="AW698">
        <v>14</v>
      </c>
      <c r="AX698">
        <v>4</v>
      </c>
      <c r="AY698">
        <v>10</v>
      </c>
      <c r="AZ698">
        <v>0</v>
      </c>
      <c r="BA698" t="s">
        <v>17944</v>
      </c>
      <c r="BB698" t="s">
        <v>193</v>
      </c>
      <c r="BC698">
        <v>1.165</v>
      </c>
      <c r="BD698" t="s">
        <v>65</v>
      </c>
      <c r="BE698">
        <v>24</v>
      </c>
      <c r="BF698">
        <v>4</v>
      </c>
      <c r="BG698" t="s">
        <v>17945</v>
      </c>
      <c r="BH698" t="s">
        <v>17946</v>
      </c>
      <c r="BI698" t="s">
        <v>17947</v>
      </c>
      <c r="BJ698">
        <v>3.2960000000000003E-2</v>
      </c>
      <c r="BK698">
        <v>1</v>
      </c>
      <c r="BL698" t="s">
        <v>69</v>
      </c>
      <c r="BM698">
        <v>-0.45200000000000001</v>
      </c>
      <c r="BN698">
        <v>-1.2609999999999999</v>
      </c>
    </row>
    <row r="699" spans="2:66">
      <c r="B699">
        <v>1093</v>
      </c>
      <c r="C699">
        <v>72</v>
      </c>
      <c r="D699">
        <v>0</v>
      </c>
      <c r="E699">
        <v>15</v>
      </c>
      <c r="F699">
        <v>0</v>
      </c>
      <c r="J699">
        <v>0</v>
      </c>
      <c r="K699">
        <v>3</v>
      </c>
      <c r="L699">
        <v>0</v>
      </c>
      <c r="M699" t="s">
        <v>25022</v>
      </c>
      <c r="N699">
        <v>3096</v>
      </c>
      <c r="O699" t="s">
        <v>17948</v>
      </c>
      <c r="P699" t="s">
        <v>62</v>
      </c>
      <c r="Q699">
        <v>3047596</v>
      </c>
      <c r="R699">
        <v>3048015</v>
      </c>
      <c r="S699" t="s">
        <v>17949</v>
      </c>
      <c r="T699">
        <v>140</v>
      </c>
      <c r="U699" t="s">
        <v>749</v>
      </c>
      <c r="V699">
        <v>47</v>
      </c>
      <c r="W699" t="str">
        <f>HYPERLINK("Gene3096-zp_tree_all.dnd", "Gene3096-tree")</f>
        <v>Gene3096-tree</v>
      </c>
      <c r="X699">
        <v>9</v>
      </c>
      <c r="Y699">
        <v>3</v>
      </c>
      <c r="Z699">
        <v>9</v>
      </c>
      <c r="AA699">
        <v>3</v>
      </c>
      <c r="AB699">
        <v>0.25</v>
      </c>
      <c r="AC699" t="s">
        <v>135</v>
      </c>
      <c r="AD699" t="s">
        <v>324</v>
      </c>
      <c r="AE699" t="s">
        <v>62</v>
      </c>
      <c r="AF699" t="s">
        <v>62</v>
      </c>
      <c r="AG699">
        <v>1</v>
      </c>
      <c r="AH699">
        <v>3</v>
      </c>
      <c r="AI699">
        <v>3</v>
      </c>
      <c r="AJ699">
        <v>0.5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2</v>
      </c>
      <c r="AQ699">
        <v>0</v>
      </c>
      <c r="AR699">
        <v>2</v>
      </c>
      <c r="AS699">
        <v>1</v>
      </c>
      <c r="AT699">
        <v>0.66666999999999998</v>
      </c>
      <c r="AU699">
        <v>8</v>
      </c>
      <c r="AV699">
        <v>6</v>
      </c>
      <c r="AW699">
        <v>10</v>
      </c>
      <c r="AX699">
        <v>3</v>
      </c>
      <c r="AY699">
        <v>20</v>
      </c>
      <c r="AZ699">
        <v>3</v>
      </c>
      <c r="BA699" t="s">
        <v>17950</v>
      </c>
      <c r="BB699" t="s">
        <v>17951</v>
      </c>
      <c r="BC699">
        <v>0.56699999999999995</v>
      </c>
      <c r="BD699" t="s">
        <v>65</v>
      </c>
      <c r="BE699">
        <v>30</v>
      </c>
      <c r="BF699">
        <v>6</v>
      </c>
      <c r="BG699" t="s">
        <v>17952</v>
      </c>
      <c r="BH699" t="s">
        <v>17953</v>
      </c>
      <c r="BI699" t="s">
        <v>17954</v>
      </c>
      <c r="BJ699">
        <v>4.4850000000000001E-2</v>
      </c>
      <c r="BK699">
        <v>1</v>
      </c>
      <c r="BL699" t="s">
        <v>69</v>
      </c>
      <c r="BM699">
        <v>-1.089</v>
      </c>
      <c r="BN699">
        <v>0.46100000000000002</v>
      </c>
    </row>
    <row r="700" spans="2:66">
      <c r="B700">
        <v>1094</v>
      </c>
      <c r="C700">
        <v>63</v>
      </c>
      <c r="D700">
        <v>2</v>
      </c>
      <c r="E700">
        <v>50</v>
      </c>
      <c r="F700">
        <v>9</v>
      </c>
      <c r="J700">
        <v>0</v>
      </c>
      <c r="K700">
        <v>0</v>
      </c>
      <c r="L700">
        <v>0</v>
      </c>
      <c r="M700" t="s">
        <v>25022</v>
      </c>
      <c r="N700">
        <v>3097</v>
      </c>
      <c r="O700" t="s">
        <v>17955</v>
      </c>
      <c r="P700" t="s">
        <v>62</v>
      </c>
      <c r="Q700">
        <v>3048180</v>
      </c>
      <c r="R700">
        <v>3049475</v>
      </c>
      <c r="S700" t="s">
        <v>17956</v>
      </c>
      <c r="T700">
        <v>432</v>
      </c>
      <c r="U700" t="s">
        <v>2803</v>
      </c>
      <c r="V700">
        <v>45</v>
      </c>
      <c r="W700" t="str">
        <f>HYPERLINK("Gene3097-zp_tree_all.dnd", "Gene3097-tree")</f>
        <v>Gene3097-tree</v>
      </c>
      <c r="X700">
        <v>10</v>
      </c>
      <c r="Y700">
        <v>4</v>
      </c>
      <c r="Z700">
        <v>10</v>
      </c>
      <c r="AA700">
        <v>4</v>
      </c>
      <c r="AB700">
        <v>0.28571000000000002</v>
      </c>
      <c r="AC700" t="s">
        <v>117</v>
      </c>
      <c r="AD700" t="s">
        <v>61</v>
      </c>
      <c r="AE700" t="s">
        <v>62</v>
      </c>
      <c r="AF700" t="s">
        <v>62</v>
      </c>
      <c r="AG700">
        <v>0</v>
      </c>
      <c r="AH700">
        <v>0</v>
      </c>
      <c r="AI700">
        <v>8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7</v>
      </c>
      <c r="AT700">
        <v>0</v>
      </c>
      <c r="AU700">
        <v>13</v>
      </c>
      <c r="AV700">
        <v>9</v>
      </c>
      <c r="AW700">
        <v>77</v>
      </c>
      <c r="AX700">
        <v>7</v>
      </c>
      <c r="AY700">
        <v>23</v>
      </c>
      <c r="AZ700">
        <v>1</v>
      </c>
      <c r="BA700" t="s">
        <v>17957</v>
      </c>
      <c r="BB700" t="s">
        <v>17958</v>
      </c>
      <c r="BC700">
        <v>0.17299999999999999</v>
      </c>
      <c r="BD700" t="s">
        <v>65</v>
      </c>
      <c r="BE700">
        <v>100</v>
      </c>
      <c r="BF700">
        <v>8</v>
      </c>
      <c r="BG700" t="s">
        <v>17959</v>
      </c>
      <c r="BH700" t="s">
        <v>17960</v>
      </c>
      <c r="BI700" t="s">
        <v>17961</v>
      </c>
      <c r="BJ700">
        <v>1.9869999999999999E-2</v>
      </c>
      <c r="BK700">
        <v>1</v>
      </c>
      <c r="BL700" t="s">
        <v>69</v>
      </c>
      <c r="BM700">
        <v>-1.8640000000000001</v>
      </c>
      <c r="BN700">
        <v>-4.3979999999999997</v>
      </c>
    </row>
    <row r="701" spans="2:66">
      <c r="B701">
        <v>1095</v>
      </c>
      <c r="C701">
        <v>91</v>
      </c>
      <c r="D701">
        <v>0</v>
      </c>
      <c r="E701">
        <v>7</v>
      </c>
      <c r="F701">
        <v>0</v>
      </c>
      <c r="J701">
        <v>2</v>
      </c>
      <c r="K701">
        <v>44</v>
      </c>
      <c r="L701">
        <v>6</v>
      </c>
      <c r="M701" t="s">
        <v>25022</v>
      </c>
      <c r="N701">
        <v>3098</v>
      </c>
      <c r="O701" t="s">
        <v>17962</v>
      </c>
      <c r="P701" t="s">
        <v>62</v>
      </c>
      <c r="Q701">
        <v>3049728</v>
      </c>
      <c r="R701">
        <v>3052583</v>
      </c>
      <c r="S701" t="s">
        <v>17963</v>
      </c>
      <c r="T701">
        <v>952</v>
      </c>
      <c r="U701" t="s">
        <v>2513</v>
      </c>
      <c r="V701">
        <v>43</v>
      </c>
      <c r="W701" t="str">
        <f>HYPERLINK("Gene3098-zp_tree_all.dnd", "Gene3098-tree")</f>
        <v>Gene3098-tree</v>
      </c>
      <c r="X701">
        <v>0</v>
      </c>
      <c r="Y701">
        <v>12</v>
      </c>
      <c r="Z701">
        <v>0</v>
      </c>
      <c r="AA701">
        <v>12</v>
      </c>
      <c r="AB701">
        <v>1</v>
      </c>
      <c r="AC701" t="s">
        <v>62</v>
      </c>
      <c r="AD701" t="s">
        <v>109</v>
      </c>
      <c r="AE701" t="s">
        <v>62</v>
      </c>
      <c r="AF701" t="s">
        <v>62</v>
      </c>
      <c r="AG701">
        <v>20</v>
      </c>
      <c r="AH701">
        <v>52</v>
      </c>
      <c r="AI701">
        <v>52</v>
      </c>
      <c r="AJ701">
        <v>0.5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15</v>
      </c>
      <c r="AQ701">
        <v>9</v>
      </c>
      <c r="AR701">
        <v>24</v>
      </c>
      <c r="AS701">
        <v>51</v>
      </c>
      <c r="AT701">
        <v>0.32</v>
      </c>
      <c r="AU701">
        <v>12</v>
      </c>
      <c r="AV701">
        <v>9</v>
      </c>
      <c r="AW701">
        <v>104</v>
      </c>
      <c r="AX701">
        <v>75</v>
      </c>
      <c r="AY701">
        <v>37</v>
      </c>
      <c r="AZ701">
        <v>29</v>
      </c>
      <c r="BA701" t="s">
        <v>17964</v>
      </c>
      <c r="BB701" t="s">
        <v>17965</v>
      </c>
      <c r="BC701">
        <v>0.27800000000000002</v>
      </c>
      <c r="BD701" t="s">
        <v>65</v>
      </c>
      <c r="BE701">
        <v>141</v>
      </c>
      <c r="BF701">
        <v>104</v>
      </c>
      <c r="BG701" t="s">
        <v>17966</v>
      </c>
      <c r="BH701" t="s">
        <v>17967</v>
      </c>
      <c r="BI701" t="s">
        <v>17968</v>
      </c>
      <c r="BJ701">
        <v>0.22681999999999999</v>
      </c>
      <c r="BK701">
        <v>1</v>
      </c>
      <c r="BL701" t="s">
        <v>69</v>
      </c>
      <c r="BM701">
        <v>-1.006</v>
      </c>
      <c r="BN701">
        <v>-1.7030000000000001</v>
      </c>
    </row>
    <row r="702" spans="2:66">
      <c r="B702">
        <v>1097</v>
      </c>
      <c r="C702">
        <v>20</v>
      </c>
      <c r="D702">
        <v>0</v>
      </c>
      <c r="E702">
        <v>25</v>
      </c>
      <c r="F702">
        <v>0</v>
      </c>
      <c r="J702">
        <v>0</v>
      </c>
      <c r="K702">
        <v>0</v>
      </c>
      <c r="L702">
        <v>0</v>
      </c>
      <c r="M702" t="s">
        <v>25022</v>
      </c>
      <c r="N702">
        <v>3099</v>
      </c>
      <c r="O702" t="s">
        <v>17969</v>
      </c>
      <c r="P702" t="s">
        <v>62</v>
      </c>
      <c r="Q702">
        <v>3052746</v>
      </c>
      <c r="R702">
        <v>3053348</v>
      </c>
      <c r="S702" t="s">
        <v>17970</v>
      </c>
      <c r="T702">
        <v>201</v>
      </c>
      <c r="U702" t="s">
        <v>289</v>
      </c>
      <c r="V702">
        <v>46</v>
      </c>
      <c r="W702" t="str">
        <f>HYPERLINK("Gene3099-zp_tree_all.dnd", "Gene3099-tree")</f>
        <v>Gene3099-tree</v>
      </c>
      <c r="X702">
        <v>11</v>
      </c>
      <c r="Y702">
        <v>3</v>
      </c>
      <c r="Z702">
        <v>11</v>
      </c>
      <c r="AA702">
        <v>3</v>
      </c>
      <c r="AB702">
        <v>0.21429000000000001</v>
      </c>
      <c r="AC702" t="s">
        <v>73</v>
      </c>
      <c r="AD702" t="s">
        <v>324</v>
      </c>
      <c r="AE702" t="s">
        <v>62</v>
      </c>
      <c r="AF702" t="s">
        <v>62</v>
      </c>
      <c r="AG702">
        <v>0</v>
      </c>
      <c r="AH702">
        <v>0</v>
      </c>
      <c r="AI702">
        <v>7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4</v>
      </c>
      <c r="AT702">
        <v>0</v>
      </c>
      <c r="AU702">
        <v>11</v>
      </c>
      <c r="AV702">
        <v>6</v>
      </c>
      <c r="AW702">
        <v>20</v>
      </c>
      <c r="AX702">
        <v>4</v>
      </c>
      <c r="AY702">
        <v>21</v>
      </c>
      <c r="AZ702">
        <v>3</v>
      </c>
      <c r="BA702" t="s">
        <v>17971</v>
      </c>
      <c r="BB702" t="s">
        <v>17972</v>
      </c>
      <c r="BC702">
        <v>0.13200000000000001</v>
      </c>
      <c r="BD702" t="s">
        <v>65</v>
      </c>
      <c r="BE702">
        <v>41</v>
      </c>
      <c r="BF702">
        <v>7</v>
      </c>
      <c r="BG702" t="s">
        <v>17973</v>
      </c>
      <c r="BH702" t="s">
        <v>17974</v>
      </c>
      <c r="BI702" t="s">
        <v>17975</v>
      </c>
      <c r="BJ702">
        <v>4.3810000000000002E-2</v>
      </c>
      <c r="BK702">
        <v>1</v>
      </c>
      <c r="BL702" t="s">
        <v>69</v>
      </c>
      <c r="BM702">
        <v>-1.8959999999999999</v>
      </c>
      <c r="BN702">
        <v>-2.1960000000000002</v>
      </c>
    </row>
    <row r="703" spans="2:66">
      <c r="B703">
        <v>1098</v>
      </c>
      <c r="C703">
        <v>1044</v>
      </c>
      <c r="D703">
        <v>0</v>
      </c>
      <c r="E703">
        <v>26</v>
      </c>
      <c r="F703">
        <v>5</v>
      </c>
      <c r="J703">
        <v>0</v>
      </c>
      <c r="K703">
        <v>0</v>
      </c>
      <c r="L703">
        <v>2</v>
      </c>
      <c r="M703" t="s">
        <v>25022</v>
      </c>
      <c r="N703">
        <v>3100</v>
      </c>
      <c r="O703" t="s">
        <v>17976</v>
      </c>
      <c r="P703" t="s">
        <v>62</v>
      </c>
      <c r="Q703">
        <v>3053367</v>
      </c>
      <c r="R703">
        <v>3054173</v>
      </c>
      <c r="S703" t="s">
        <v>17977</v>
      </c>
      <c r="T703">
        <v>269</v>
      </c>
      <c r="U703" t="s">
        <v>59</v>
      </c>
      <c r="V703">
        <v>49</v>
      </c>
      <c r="W703" t="str">
        <f>HYPERLINK("Gene3100-zp_tree_all.dnd", "Gene3100-tree")</f>
        <v>Gene3100-tree</v>
      </c>
      <c r="X703">
        <v>16</v>
      </c>
      <c r="Y703">
        <v>3</v>
      </c>
      <c r="Z703">
        <v>16</v>
      </c>
      <c r="AA703">
        <v>3</v>
      </c>
      <c r="AB703">
        <v>0.15789</v>
      </c>
      <c r="AC703" t="s">
        <v>60</v>
      </c>
      <c r="AD703" t="s">
        <v>324</v>
      </c>
      <c r="AE703" t="s">
        <v>62</v>
      </c>
      <c r="AF703" t="s">
        <v>62</v>
      </c>
      <c r="AG703">
        <v>1</v>
      </c>
      <c r="AH703">
        <v>2</v>
      </c>
      <c r="AI703">
        <v>7</v>
      </c>
      <c r="AJ703">
        <v>0.22222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2</v>
      </c>
      <c r="AR703">
        <v>2</v>
      </c>
      <c r="AS703">
        <v>4</v>
      </c>
      <c r="AT703">
        <v>0.33333000000000002</v>
      </c>
      <c r="AU703">
        <v>16</v>
      </c>
      <c r="AV703">
        <v>13</v>
      </c>
      <c r="AW703">
        <v>33</v>
      </c>
      <c r="AX703">
        <v>6</v>
      </c>
      <c r="AY703">
        <v>53</v>
      </c>
      <c r="AZ703">
        <v>3</v>
      </c>
      <c r="BA703" t="s">
        <v>17978</v>
      </c>
      <c r="BB703" t="s">
        <v>17979</v>
      </c>
      <c r="BC703">
        <v>0.32300000000000001</v>
      </c>
      <c r="BD703" t="s">
        <v>65</v>
      </c>
      <c r="BE703">
        <v>86</v>
      </c>
      <c r="BF703">
        <v>9</v>
      </c>
      <c r="BG703" t="s">
        <v>17980</v>
      </c>
      <c r="BH703" t="s">
        <v>17981</v>
      </c>
      <c r="BI703" t="s">
        <v>17982</v>
      </c>
      <c r="BJ703">
        <v>2.7890000000000002E-2</v>
      </c>
      <c r="BK703">
        <v>1</v>
      </c>
      <c r="BL703" t="s">
        <v>69</v>
      </c>
      <c r="BM703">
        <v>-1.3340000000000001</v>
      </c>
      <c r="BN703">
        <v>-0.89500000000000002</v>
      </c>
    </row>
    <row r="704" spans="2:66">
      <c r="B704">
        <v>1099</v>
      </c>
      <c r="C704">
        <v>31</v>
      </c>
      <c r="D704">
        <v>0</v>
      </c>
      <c r="E704">
        <v>9</v>
      </c>
      <c r="F704">
        <v>2</v>
      </c>
      <c r="J704">
        <v>0</v>
      </c>
      <c r="K704">
        <v>0</v>
      </c>
      <c r="L704">
        <v>0</v>
      </c>
      <c r="M704" t="s">
        <v>25022</v>
      </c>
      <c r="N704">
        <v>3101</v>
      </c>
      <c r="O704" t="s">
        <v>17983</v>
      </c>
      <c r="P704" t="s">
        <v>62</v>
      </c>
      <c r="Q704">
        <v>3054191</v>
      </c>
      <c r="R704">
        <v>3054511</v>
      </c>
      <c r="S704" t="s">
        <v>17984</v>
      </c>
      <c r="T704">
        <v>107</v>
      </c>
      <c r="U704" t="s">
        <v>214</v>
      </c>
      <c r="V704">
        <v>48</v>
      </c>
      <c r="W704" t="str">
        <f>HYPERLINK("Gene3101-zp_tree_all.dnd", "Gene3101-tree")</f>
        <v>Gene3101-tree</v>
      </c>
      <c r="X704">
        <v>6</v>
      </c>
      <c r="Y704">
        <v>4</v>
      </c>
      <c r="Z704">
        <v>6</v>
      </c>
      <c r="AA704">
        <v>4</v>
      </c>
      <c r="AB704">
        <v>0.4</v>
      </c>
      <c r="AC704" t="s">
        <v>90</v>
      </c>
      <c r="AD704" t="s">
        <v>61</v>
      </c>
      <c r="AE704" t="s">
        <v>62</v>
      </c>
      <c r="AF704" t="s">
        <v>62</v>
      </c>
      <c r="AG704">
        <v>0</v>
      </c>
      <c r="AH704">
        <v>0</v>
      </c>
      <c r="AI704">
        <v>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4</v>
      </c>
      <c r="AT704">
        <v>0</v>
      </c>
      <c r="AU704">
        <v>9</v>
      </c>
      <c r="AV704">
        <v>3</v>
      </c>
      <c r="AW704">
        <v>11</v>
      </c>
      <c r="AX704">
        <v>4</v>
      </c>
      <c r="AY704">
        <v>13</v>
      </c>
      <c r="AZ704">
        <v>1</v>
      </c>
      <c r="BA704" t="s">
        <v>17985</v>
      </c>
      <c r="BB704" t="s">
        <v>17986</v>
      </c>
      <c r="BC704">
        <v>1.1759999999999999</v>
      </c>
      <c r="BD704" t="s">
        <v>65</v>
      </c>
      <c r="BE704">
        <v>24</v>
      </c>
      <c r="BF704">
        <v>5</v>
      </c>
      <c r="BG704" t="s">
        <v>17987</v>
      </c>
      <c r="BH704" t="s">
        <v>17988</v>
      </c>
      <c r="BI704" t="s">
        <v>17989</v>
      </c>
      <c r="BJ704">
        <v>3.687E-2</v>
      </c>
      <c r="BK704">
        <v>1</v>
      </c>
      <c r="BL704" t="s">
        <v>69</v>
      </c>
      <c r="BM704">
        <v>-1.347</v>
      </c>
      <c r="BN704">
        <v>-1.4890000000000001</v>
      </c>
    </row>
    <row r="705" spans="2:66">
      <c r="B705">
        <v>1100</v>
      </c>
      <c r="C705">
        <v>618</v>
      </c>
      <c r="D705">
        <v>0</v>
      </c>
      <c r="E705">
        <v>35</v>
      </c>
      <c r="F705">
        <v>6</v>
      </c>
      <c r="J705">
        <v>0</v>
      </c>
      <c r="K705">
        <v>0</v>
      </c>
      <c r="L705">
        <v>2</v>
      </c>
      <c r="M705" t="s">
        <v>25022</v>
      </c>
      <c r="N705">
        <v>3102</v>
      </c>
      <c r="O705" t="s">
        <v>17990</v>
      </c>
      <c r="P705" t="s">
        <v>62</v>
      </c>
      <c r="Q705">
        <v>3054553</v>
      </c>
      <c r="R705">
        <v>3054666</v>
      </c>
      <c r="S705" t="s">
        <v>17991</v>
      </c>
      <c r="T705">
        <v>38</v>
      </c>
      <c r="U705" t="s">
        <v>59</v>
      </c>
      <c r="V705">
        <v>49</v>
      </c>
      <c r="W705" t="str">
        <f>HYPERLINK("Gene3102-zp_tree_all.dnd", "Gene3102-tree")</f>
        <v>Gene3102-tree</v>
      </c>
      <c r="X705">
        <v>41</v>
      </c>
      <c r="Y705">
        <v>5</v>
      </c>
      <c r="Z705">
        <v>2</v>
      </c>
      <c r="AA705">
        <v>5</v>
      </c>
      <c r="AB705">
        <v>0.71428999999999998</v>
      </c>
      <c r="AC705" t="s">
        <v>17992</v>
      </c>
      <c r="AD705" t="s">
        <v>199</v>
      </c>
      <c r="AE705" t="s">
        <v>62</v>
      </c>
      <c r="AF705" t="s">
        <v>62</v>
      </c>
      <c r="AG705">
        <v>1</v>
      </c>
      <c r="AH705">
        <v>2</v>
      </c>
      <c r="AI705">
        <v>4</v>
      </c>
      <c r="AJ705">
        <v>0.33333000000000002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2</v>
      </c>
      <c r="AR705">
        <v>2</v>
      </c>
      <c r="AS705">
        <v>3</v>
      </c>
      <c r="AT705">
        <v>0.4</v>
      </c>
      <c r="AU705">
        <v>4</v>
      </c>
      <c r="AV705">
        <v>3</v>
      </c>
      <c r="AW705">
        <v>1</v>
      </c>
      <c r="AX705">
        <v>3</v>
      </c>
      <c r="AY705">
        <v>0</v>
      </c>
      <c r="AZ705">
        <v>3</v>
      </c>
      <c r="BA705" t="s">
        <v>17993</v>
      </c>
      <c r="BB705" t="s">
        <v>193</v>
      </c>
      <c r="BC705">
        <v>0.6</v>
      </c>
      <c r="BD705" t="s">
        <v>65</v>
      </c>
      <c r="BE705">
        <v>1</v>
      </c>
      <c r="BF705">
        <v>6</v>
      </c>
      <c r="BG705" t="s">
        <v>17994</v>
      </c>
      <c r="BH705" t="s">
        <v>17995</v>
      </c>
      <c r="BI705" t="s">
        <v>17996</v>
      </c>
      <c r="BJ705">
        <v>1.21875</v>
      </c>
      <c r="BK705">
        <v>0.377</v>
      </c>
      <c r="BL705" t="s">
        <v>635</v>
      </c>
      <c r="BM705">
        <v>-1.534</v>
      </c>
      <c r="BN705">
        <v>-0.308</v>
      </c>
    </row>
    <row r="706" spans="2:66">
      <c r="B706">
        <v>1101</v>
      </c>
      <c r="C706">
        <v>16</v>
      </c>
      <c r="D706">
        <v>0</v>
      </c>
      <c r="E706">
        <v>3</v>
      </c>
      <c r="F706">
        <v>0</v>
      </c>
      <c r="J706">
        <v>0</v>
      </c>
      <c r="K706">
        <v>0</v>
      </c>
      <c r="L706">
        <v>0</v>
      </c>
      <c r="M706" t="s">
        <v>25022</v>
      </c>
      <c r="N706">
        <v>3103</v>
      </c>
      <c r="O706" t="s">
        <v>17997</v>
      </c>
      <c r="P706" t="s">
        <v>62</v>
      </c>
      <c r="Q706">
        <v>3055250</v>
      </c>
      <c r="R706">
        <v>3056320</v>
      </c>
      <c r="S706" t="s">
        <v>17998</v>
      </c>
      <c r="T706">
        <v>357</v>
      </c>
      <c r="U706" t="s">
        <v>108</v>
      </c>
      <c r="V706">
        <v>44</v>
      </c>
      <c r="W706" t="str">
        <f>HYPERLINK("Gene3103-zp_tree_all.dnd", "Gene3103-tree")</f>
        <v>Gene3103-tree</v>
      </c>
      <c r="X706">
        <v>10</v>
      </c>
      <c r="Y706">
        <v>3</v>
      </c>
      <c r="Z706">
        <v>10</v>
      </c>
      <c r="AA706">
        <v>3</v>
      </c>
      <c r="AB706">
        <v>0.23077</v>
      </c>
      <c r="AC706" t="s">
        <v>117</v>
      </c>
      <c r="AD706" t="s">
        <v>324</v>
      </c>
      <c r="AE706" t="s">
        <v>62</v>
      </c>
      <c r="AF706" t="s">
        <v>62</v>
      </c>
      <c r="AG706">
        <v>0</v>
      </c>
      <c r="AH706">
        <v>0</v>
      </c>
      <c r="AI706">
        <v>5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3</v>
      </c>
      <c r="AT706">
        <v>0</v>
      </c>
      <c r="AU706">
        <v>12</v>
      </c>
      <c r="AV706">
        <v>5</v>
      </c>
      <c r="AW706">
        <v>31</v>
      </c>
      <c r="AX706">
        <v>3</v>
      </c>
      <c r="AY706">
        <v>8</v>
      </c>
      <c r="AZ706">
        <v>2</v>
      </c>
      <c r="BA706" t="s">
        <v>17999</v>
      </c>
      <c r="BB706" t="s">
        <v>18000</v>
      </c>
      <c r="BC706">
        <v>0.70699999999999996</v>
      </c>
      <c r="BD706" t="s">
        <v>65</v>
      </c>
      <c r="BE706">
        <v>39</v>
      </c>
      <c r="BF706">
        <v>5</v>
      </c>
      <c r="BG706" t="s">
        <v>18001</v>
      </c>
      <c r="BH706" t="s">
        <v>18002</v>
      </c>
      <c r="BI706" t="s">
        <v>18003</v>
      </c>
      <c r="BJ706">
        <v>5.9650000000000002E-2</v>
      </c>
      <c r="BK706">
        <v>1</v>
      </c>
      <c r="BL706" t="s">
        <v>69</v>
      </c>
      <c r="BM706">
        <v>-0.98199999999999998</v>
      </c>
      <c r="BN706">
        <v>-2.9159999999999999</v>
      </c>
    </row>
    <row r="707" spans="2:66">
      <c r="B707">
        <v>1103</v>
      </c>
      <c r="C707">
        <v>43</v>
      </c>
      <c r="D707">
        <v>0</v>
      </c>
      <c r="E707">
        <v>2</v>
      </c>
      <c r="F707">
        <v>0</v>
      </c>
      <c r="J707">
        <v>0</v>
      </c>
      <c r="K707">
        <v>4</v>
      </c>
      <c r="L707">
        <v>0</v>
      </c>
      <c r="M707" t="s">
        <v>25022</v>
      </c>
      <c r="N707">
        <v>3105</v>
      </c>
      <c r="O707" t="s">
        <v>18010</v>
      </c>
      <c r="P707" t="s">
        <v>62</v>
      </c>
      <c r="Q707">
        <v>3056852</v>
      </c>
      <c r="R707">
        <v>3058549</v>
      </c>
      <c r="S707" t="s">
        <v>18011</v>
      </c>
      <c r="T707">
        <v>566</v>
      </c>
      <c r="U707" t="s">
        <v>108</v>
      </c>
      <c r="V707">
        <v>44</v>
      </c>
      <c r="W707" t="str">
        <f>HYPERLINK("Gene3105-zp_tree_all.dnd", "Gene3105-tree")</f>
        <v>Gene3105-tree</v>
      </c>
      <c r="X707">
        <v>8</v>
      </c>
      <c r="Y707">
        <v>6</v>
      </c>
      <c r="Z707">
        <v>8</v>
      </c>
      <c r="AA707">
        <v>6</v>
      </c>
      <c r="AB707">
        <v>0.42857000000000001</v>
      </c>
      <c r="AC707" t="s">
        <v>136</v>
      </c>
      <c r="AD707" t="s">
        <v>90</v>
      </c>
      <c r="AE707" t="s">
        <v>62</v>
      </c>
      <c r="AF707" t="s">
        <v>62</v>
      </c>
      <c r="AG707">
        <v>2</v>
      </c>
      <c r="AH707">
        <v>4</v>
      </c>
      <c r="AI707">
        <v>6</v>
      </c>
      <c r="AJ707">
        <v>0.4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4</v>
      </c>
      <c r="AQ707">
        <v>0</v>
      </c>
      <c r="AR707">
        <v>4</v>
      </c>
      <c r="AS707">
        <v>5</v>
      </c>
      <c r="AT707">
        <v>0.44444</v>
      </c>
      <c r="AU707">
        <v>14</v>
      </c>
      <c r="AV707">
        <v>10</v>
      </c>
      <c r="AW707">
        <v>56</v>
      </c>
      <c r="AX707">
        <v>9</v>
      </c>
      <c r="AY707">
        <v>35</v>
      </c>
      <c r="AZ707">
        <v>1</v>
      </c>
      <c r="BA707" t="s">
        <v>18012</v>
      </c>
      <c r="BB707" t="s">
        <v>18013</v>
      </c>
      <c r="BC707">
        <v>1.1040000000000001</v>
      </c>
      <c r="BD707" t="s">
        <v>65</v>
      </c>
      <c r="BE707">
        <v>91</v>
      </c>
      <c r="BF707">
        <v>10</v>
      </c>
      <c r="BG707" t="s">
        <v>18014</v>
      </c>
      <c r="BH707" t="s">
        <v>18015</v>
      </c>
      <c r="BI707" t="s">
        <v>18016</v>
      </c>
      <c r="BJ707">
        <v>3.0349999999999999E-2</v>
      </c>
      <c r="BK707">
        <v>1</v>
      </c>
      <c r="BL707" t="s">
        <v>69</v>
      </c>
      <c r="BM707">
        <v>-0.40100000000000002</v>
      </c>
      <c r="BN707">
        <v>-0.155</v>
      </c>
    </row>
    <row r="708" spans="2:66">
      <c r="B708">
        <v>1105</v>
      </c>
      <c r="C708">
        <v>84</v>
      </c>
      <c r="D708">
        <v>0</v>
      </c>
      <c r="E708">
        <v>6</v>
      </c>
      <c r="F708">
        <v>0</v>
      </c>
      <c r="J708">
        <v>0</v>
      </c>
      <c r="K708">
        <v>4</v>
      </c>
      <c r="L708">
        <v>0</v>
      </c>
      <c r="M708" t="s">
        <v>25022</v>
      </c>
      <c r="N708">
        <v>3106</v>
      </c>
      <c r="O708" t="s">
        <v>18017</v>
      </c>
      <c r="P708" t="s">
        <v>62</v>
      </c>
      <c r="Q708">
        <v>3058634</v>
      </c>
      <c r="R708">
        <v>3059401</v>
      </c>
      <c r="S708" t="s">
        <v>18018</v>
      </c>
      <c r="T708">
        <v>256</v>
      </c>
      <c r="U708" t="s">
        <v>108</v>
      </c>
      <c r="V708">
        <v>44</v>
      </c>
      <c r="W708" t="str">
        <f>HYPERLINK("Gene3106-zp_tree_all.dnd", "Gene3106-tree")</f>
        <v>Gene3106-tree</v>
      </c>
      <c r="X708">
        <v>6</v>
      </c>
      <c r="Y708">
        <v>8</v>
      </c>
      <c r="Z708">
        <v>6</v>
      </c>
      <c r="AA708">
        <v>8</v>
      </c>
      <c r="AB708">
        <v>0.57142999999999999</v>
      </c>
      <c r="AC708" t="s">
        <v>90</v>
      </c>
      <c r="AD708" t="s">
        <v>136</v>
      </c>
      <c r="AE708" t="s">
        <v>62</v>
      </c>
      <c r="AF708" t="s">
        <v>62</v>
      </c>
      <c r="AG708">
        <v>1</v>
      </c>
      <c r="AH708">
        <v>4</v>
      </c>
      <c r="AI708">
        <v>7</v>
      </c>
      <c r="AJ708">
        <v>0.36364000000000002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2</v>
      </c>
      <c r="AQ708">
        <v>0</v>
      </c>
      <c r="AR708">
        <v>2</v>
      </c>
      <c r="AS708">
        <v>6</v>
      </c>
      <c r="AT708">
        <v>0.25</v>
      </c>
      <c r="AU708">
        <v>13</v>
      </c>
      <c r="AV708">
        <v>10</v>
      </c>
      <c r="AW708">
        <v>26</v>
      </c>
      <c r="AX708">
        <v>8</v>
      </c>
      <c r="AY708">
        <v>14</v>
      </c>
      <c r="AZ708">
        <v>4</v>
      </c>
      <c r="BA708" t="s">
        <v>18019</v>
      </c>
      <c r="BB708" t="s">
        <v>18020</v>
      </c>
      <c r="BC708">
        <v>6.5000000000000002E-2</v>
      </c>
      <c r="BD708" t="s">
        <v>65</v>
      </c>
      <c r="BE708">
        <v>40</v>
      </c>
      <c r="BF708">
        <v>12</v>
      </c>
      <c r="BG708" t="s">
        <v>18021</v>
      </c>
      <c r="BH708" t="s">
        <v>18022</v>
      </c>
      <c r="BI708" t="s">
        <v>18023</v>
      </c>
      <c r="BJ708">
        <v>8.4459999999999993E-2</v>
      </c>
      <c r="BK708">
        <v>1</v>
      </c>
      <c r="BL708" t="s">
        <v>69</v>
      </c>
      <c r="BM708">
        <v>-0.53800000000000003</v>
      </c>
      <c r="BN708">
        <v>-6.4000000000000001E-2</v>
      </c>
    </row>
    <row r="709" spans="2:66">
      <c r="B709">
        <v>1109</v>
      </c>
      <c r="C709">
        <v>89</v>
      </c>
      <c r="D709">
        <v>0</v>
      </c>
      <c r="E709">
        <v>5</v>
      </c>
      <c r="F709">
        <v>0</v>
      </c>
      <c r="J709">
        <v>0</v>
      </c>
      <c r="K709">
        <v>0</v>
      </c>
      <c r="L709">
        <v>0</v>
      </c>
      <c r="M709" t="s">
        <v>25022</v>
      </c>
      <c r="N709">
        <v>3107</v>
      </c>
      <c r="O709" t="s">
        <v>18024</v>
      </c>
      <c r="P709" t="s">
        <v>62</v>
      </c>
      <c r="Q709">
        <v>3059550</v>
      </c>
      <c r="R709">
        <v>3060188</v>
      </c>
      <c r="S709" t="s">
        <v>18025</v>
      </c>
      <c r="T709">
        <v>213</v>
      </c>
      <c r="U709" t="s">
        <v>125</v>
      </c>
      <c r="V709">
        <v>48</v>
      </c>
      <c r="W709" t="str">
        <f>HYPERLINK("Gene3107-zp_tree_all.dnd", "Gene3107-tree")</f>
        <v>Gene3107-tree</v>
      </c>
      <c r="X709">
        <v>12</v>
      </c>
      <c r="Y709">
        <v>4</v>
      </c>
      <c r="Z709">
        <v>12</v>
      </c>
      <c r="AA709">
        <v>4</v>
      </c>
      <c r="AB709">
        <v>0.25</v>
      </c>
      <c r="AC709" t="s">
        <v>109</v>
      </c>
      <c r="AD709" t="s">
        <v>61</v>
      </c>
      <c r="AE709" t="s">
        <v>62</v>
      </c>
      <c r="AF709" t="s">
        <v>62</v>
      </c>
      <c r="AG709">
        <v>0</v>
      </c>
      <c r="AH709">
        <v>0</v>
      </c>
      <c r="AI709">
        <v>8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4</v>
      </c>
      <c r="AT709">
        <v>0</v>
      </c>
      <c r="AU709">
        <v>12</v>
      </c>
      <c r="AV709">
        <v>8</v>
      </c>
      <c r="AW709">
        <v>19</v>
      </c>
      <c r="AX709">
        <v>4</v>
      </c>
      <c r="AY709">
        <v>40</v>
      </c>
      <c r="AZ709">
        <v>4</v>
      </c>
      <c r="BA709" t="s">
        <v>18026</v>
      </c>
      <c r="BB709" t="s">
        <v>18027</v>
      </c>
      <c r="BC709">
        <v>0.66600000000000004</v>
      </c>
      <c r="BD709" t="s">
        <v>65</v>
      </c>
      <c r="BE709">
        <v>59</v>
      </c>
      <c r="BF709">
        <v>8</v>
      </c>
      <c r="BG709" t="s">
        <v>18028</v>
      </c>
      <c r="BH709" t="s">
        <v>18029</v>
      </c>
      <c r="BI709" t="s">
        <v>10953</v>
      </c>
      <c r="BJ709">
        <v>3.8510000000000003E-2</v>
      </c>
      <c r="BK709">
        <v>1</v>
      </c>
      <c r="BL709" t="s">
        <v>69</v>
      </c>
      <c r="BM709">
        <v>-1.5109999999999999</v>
      </c>
      <c r="BN709">
        <v>0.26</v>
      </c>
    </row>
    <row r="710" spans="2:66">
      <c r="B710">
        <v>1110</v>
      </c>
      <c r="C710">
        <v>212</v>
      </c>
      <c r="D710">
        <v>0</v>
      </c>
      <c r="E710">
        <v>2</v>
      </c>
      <c r="F710">
        <v>0</v>
      </c>
      <c r="J710">
        <v>0</v>
      </c>
      <c r="K710">
        <v>0</v>
      </c>
      <c r="L710">
        <v>0</v>
      </c>
      <c r="M710" t="s">
        <v>25022</v>
      </c>
      <c r="N710">
        <v>3109</v>
      </c>
      <c r="O710" t="s">
        <v>18035</v>
      </c>
      <c r="P710" t="s">
        <v>62</v>
      </c>
      <c r="Q710">
        <v>3060677</v>
      </c>
      <c r="R710">
        <v>3061288</v>
      </c>
      <c r="S710" t="s">
        <v>18036</v>
      </c>
      <c r="T710">
        <v>204</v>
      </c>
      <c r="U710" t="s">
        <v>59</v>
      </c>
      <c r="V710">
        <v>49</v>
      </c>
      <c r="W710" t="str">
        <f>HYPERLINK("Gene3109-zp_tree_all.dnd", "Gene3109-tree")</f>
        <v>Gene3109-tree</v>
      </c>
      <c r="X710">
        <v>10</v>
      </c>
      <c r="Y710">
        <v>1</v>
      </c>
      <c r="Z710">
        <v>10</v>
      </c>
      <c r="AA710">
        <v>1</v>
      </c>
      <c r="AB710">
        <v>9.0910000000000005E-2</v>
      </c>
      <c r="AC710" t="s">
        <v>117</v>
      </c>
      <c r="AD710" t="s">
        <v>175</v>
      </c>
      <c r="AE710" t="s">
        <v>62</v>
      </c>
      <c r="AF710" t="s">
        <v>62</v>
      </c>
      <c r="AG710">
        <v>0</v>
      </c>
      <c r="AH710">
        <v>0</v>
      </c>
      <c r="AI710">
        <v>2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6</v>
      </c>
      <c r="AV710">
        <v>6</v>
      </c>
      <c r="AW710">
        <v>10</v>
      </c>
      <c r="AX710">
        <v>1</v>
      </c>
      <c r="AY710">
        <v>29</v>
      </c>
      <c r="AZ710">
        <v>1</v>
      </c>
      <c r="BA710" t="s">
        <v>18037</v>
      </c>
      <c r="BB710" t="s">
        <v>18038</v>
      </c>
      <c r="BC710">
        <v>0.28199999999999997</v>
      </c>
      <c r="BD710" t="s">
        <v>65</v>
      </c>
      <c r="BE710">
        <v>39</v>
      </c>
      <c r="BF710">
        <v>2</v>
      </c>
      <c r="BG710" t="s">
        <v>18039</v>
      </c>
      <c r="BH710" t="s">
        <v>18040</v>
      </c>
      <c r="BI710" t="s">
        <v>18041</v>
      </c>
      <c r="BJ710">
        <v>1.0529999999999999E-2</v>
      </c>
      <c r="BK710">
        <v>1</v>
      </c>
      <c r="BL710" t="s">
        <v>69</v>
      </c>
      <c r="BM710">
        <v>-1.4079999999999999</v>
      </c>
      <c r="BN710">
        <v>0.51200000000000001</v>
      </c>
    </row>
    <row r="711" spans="2:66">
      <c r="B711">
        <v>1111</v>
      </c>
      <c r="C711">
        <v>99</v>
      </c>
      <c r="D711">
        <v>0</v>
      </c>
      <c r="E711">
        <v>4</v>
      </c>
      <c r="F711">
        <v>2</v>
      </c>
      <c r="J711">
        <v>0</v>
      </c>
      <c r="K711">
        <v>40</v>
      </c>
      <c r="L711">
        <v>2</v>
      </c>
      <c r="M711" t="s">
        <v>25022</v>
      </c>
      <c r="N711">
        <v>3110</v>
      </c>
      <c r="O711" t="s">
        <v>18042</v>
      </c>
      <c r="P711" t="s">
        <v>62</v>
      </c>
      <c r="Q711">
        <v>3061654</v>
      </c>
      <c r="R711">
        <v>3063807</v>
      </c>
      <c r="S711" t="s">
        <v>18043</v>
      </c>
      <c r="T711">
        <v>718</v>
      </c>
      <c r="U711" t="s">
        <v>108</v>
      </c>
      <c r="V711">
        <v>44</v>
      </c>
      <c r="W711" t="str">
        <f>HYPERLINK("Gene3110-zp_tree_all.dnd", "Gene3110-tree")</f>
        <v>Gene3110-tree</v>
      </c>
      <c r="X711">
        <v>3</v>
      </c>
      <c r="Y711">
        <v>13</v>
      </c>
      <c r="Z711">
        <v>3</v>
      </c>
      <c r="AA711">
        <v>13</v>
      </c>
      <c r="AB711">
        <v>0.8125</v>
      </c>
      <c r="AC711" t="s">
        <v>324</v>
      </c>
      <c r="AD711" t="s">
        <v>507</v>
      </c>
      <c r="AE711" t="s">
        <v>62</v>
      </c>
      <c r="AF711" t="s">
        <v>62</v>
      </c>
      <c r="AG711">
        <v>16</v>
      </c>
      <c r="AH711">
        <v>42</v>
      </c>
      <c r="AI711">
        <v>44</v>
      </c>
      <c r="AJ711">
        <v>0.48837000000000003</v>
      </c>
      <c r="AK711">
        <v>0</v>
      </c>
      <c r="AL711">
        <v>0</v>
      </c>
      <c r="AM711">
        <v>0</v>
      </c>
      <c r="AN711">
        <v>3</v>
      </c>
      <c r="AO711">
        <v>0</v>
      </c>
      <c r="AP711">
        <v>12</v>
      </c>
      <c r="AQ711">
        <v>5</v>
      </c>
      <c r="AR711">
        <v>17</v>
      </c>
      <c r="AS711">
        <v>41</v>
      </c>
      <c r="AT711">
        <v>0.29310000000000003</v>
      </c>
      <c r="AU711">
        <v>15</v>
      </c>
      <c r="AV711">
        <v>12</v>
      </c>
      <c r="AW711">
        <v>66</v>
      </c>
      <c r="AX711">
        <v>59</v>
      </c>
      <c r="AY711">
        <v>59</v>
      </c>
      <c r="AZ711">
        <v>29</v>
      </c>
      <c r="BA711" t="s">
        <v>18044</v>
      </c>
      <c r="BB711" t="s">
        <v>18045</v>
      </c>
      <c r="BC711">
        <v>1.25</v>
      </c>
      <c r="BD711" t="s">
        <v>65</v>
      </c>
      <c r="BE711">
        <v>125</v>
      </c>
      <c r="BF711">
        <v>88</v>
      </c>
      <c r="BG711" t="s">
        <v>18046</v>
      </c>
      <c r="BH711" t="s">
        <v>18047</v>
      </c>
      <c r="BI711" t="s">
        <v>18048</v>
      </c>
      <c r="BJ711">
        <v>0.18743000000000001</v>
      </c>
      <c r="BK711">
        <v>1</v>
      </c>
      <c r="BL711" t="s">
        <v>69</v>
      </c>
      <c r="BM711">
        <v>-0.42099999999999999</v>
      </c>
      <c r="BN711">
        <v>-0.16400000000000001</v>
      </c>
    </row>
    <row r="712" spans="2:66">
      <c r="B712">
        <v>1112</v>
      </c>
      <c r="C712">
        <v>141</v>
      </c>
      <c r="D712">
        <v>0</v>
      </c>
      <c r="E712">
        <v>22</v>
      </c>
      <c r="F712">
        <v>0</v>
      </c>
      <c r="J712">
        <v>0</v>
      </c>
      <c r="K712">
        <v>0</v>
      </c>
      <c r="L712">
        <v>0</v>
      </c>
      <c r="M712" t="s">
        <v>25022</v>
      </c>
      <c r="N712">
        <v>3111</v>
      </c>
      <c r="O712" t="s">
        <v>18049</v>
      </c>
      <c r="P712" t="s">
        <v>62</v>
      </c>
      <c r="Q712">
        <v>3063836</v>
      </c>
      <c r="R712">
        <v>3064762</v>
      </c>
      <c r="S712" t="s">
        <v>18050</v>
      </c>
      <c r="T712">
        <v>309</v>
      </c>
      <c r="U712" t="s">
        <v>108</v>
      </c>
      <c r="V712">
        <v>44</v>
      </c>
      <c r="W712" t="str">
        <f>HYPERLINK("Gene3111-zp_tree_all.dnd", "Gene3111-tree")</f>
        <v>Gene3111-tree</v>
      </c>
      <c r="X712">
        <v>9</v>
      </c>
      <c r="Y712">
        <v>5</v>
      </c>
      <c r="Z712">
        <v>9</v>
      </c>
      <c r="AA712">
        <v>5</v>
      </c>
      <c r="AB712">
        <v>0.35714000000000001</v>
      </c>
      <c r="AC712" t="s">
        <v>135</v>
      </c>
      <c r="AD712" t="s">
        <v>199</v>
      </c>
      <c r="AE712" t="s">
        <v>62</v>
      </c>
      <c r="AF712" t="s">
        <v>62</v>
      </c>
      <c r="AG712">
        <v>0</v>
      </c>
      <c r="AH712">
        <v>0</v>
      </c>
      <c r="AI712">
        <v>6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6</v>
      </c>
      <c r="AT712">
        <v>0</v>
      </c>
      <c r="AU712">
        <v>11</v>
      </c>
      <c r="AV712">
        <v>9</v>
      </c>
      <c r="AW712">
        <v>30</v>
      </c>
      <c r="AX712">
        <v>6</v>
      </c>
      <c r="AY712">
        <v>12</v>
      </c>
      <c r="AZ712">
        <v>0</v>
      </c>
      <c r="BA712" t="s">
        <v>18051</v>
      </c>
      <c r="BB712" t="s">
        <v>193</v>
      </c>
      <c r="BC712">
        <v>1.5629999999999999</v>
      </c>
      <c r="BD712" t="s">
        <v>65</v>
      </c>
      <c r="BE712">
        <v>42</v>
      </c>
      <c r="BF712">
        <v>6</v>
      </c>
      <c r="BG712" t="s">
        <v>18052</v>
      </c>
      <c r="BH712" t="s">
        <v>18053</v>
      </c>
      <c r="BI712" t="s">
        <v>18054</v>
      </c>
      <c r="BJ712">
        <v>3.1949999999999999E-2</v>
      </c>
      <c r="BK712">
        <v>1</v>
      </c>
      <c r="BL712" t="s">
        <v>69</v>
      </c>
      <c r="BM712">
        <v>-1.508</v>
      </c>
      <c r="BN712">
        <v>-2.8330000000000002</v>
      </c>
    </row>
    <row r="713" spans="2:66">
      <c r="B713">
        <v>1113</v>
      </c>
      <c r="C713">
        <v>56</v>
      </c>
      <c r="D713">
        <v>0</v>
      </c>
      <c r="E713">
        <v>8</v>
      </c>
      <c r="F713">
        <v>0</v>
      </c>
      <c r="J713">
        <v>0</v>
      </c>
      <c r="K713">
        <v>0</v>
      </c>
      <c r="L713">
        <v>0</v>
      </c>
      <c r="M713" t="s">
        <v>25022</v>
      </c>
      <c r="N713">
        <v>3112</v>
      </c>
      <c r="O713" t="s">
        <v>18055</v>
      </c>
      <c r="P713" t="s">
        <v>62</v>
      </c>
      <c r="Q713">
        <v>3064814</v>
      </c>
      <c r="R713">
        <v>3065725</v>
      </c>
      <c r="S713" t="s">
        <v>2512</v>
      </c>
      <c r="T713">
        <v>304</v>
      </c>
      <c r="U713" t="s">
        <v>108</v>
      </c>
      <c r="V713">
        <v>44</v>
      </c>
      <c r="W713" t="str">
        <f>HYPERLINK("Gene3112-zp_tree_all.dnd", "Gene3112-tree")</f>
        <v>Gene3112-tree</v>
      </c>
      <c r="X713">
        <v>11</v>
      </c>
      <c r="Y713">
        <v>5</v>
      </c>
      <c r="Z713">
        <v>11</v>
      </c>
      <c r="AA713">
        <v>5</v>
      </c>
      <c r="AB713">
        <v>0.3125</v>
      </c>
      <c r="AC713" t="s">
        <v>73</v>
      </c>
      <c r="AD713" t="s">
        <v>199</v>
      </c>
      <c r="AE713" t="s">
        <v>62</v>
      </c>
      <c r="AF713" t="s">
        <v>62</v>
      </c>
      <c r="AG713">
        <v>0</v>
      </c>
      <c r="AH713">
        <v>0</v>
      </c>
      <c r="AI713">
        <v>6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0</v>
      </c>
      <c r="AU713">
        <v>13</v>
      </c>
      <c r="AV713">
        <v>7</v>
      </c>
      <c r="AW713">
        <v>19</v>
      </c>
      <c r="AX713">
        <v>5</v>
      </c>
      <c r="AY713">
        <v>8</v>
      </c>
      <c r="AZ713">
        <v>1</v>
      </c>
      <c r="BA713" t="s">
        <v>18056</v>
      </c>
      <c r="BB713" t="s">
        <v>18057</v>
      </c>
      <c r="BC713">
        <v>0.41099999999999998</v>
      </c>
      <c r="BD713" t="s">
        <v>65</v>
      </c>
      <c r="BE713">
        <v>27</v>
      </c>
      <c r="BF713">
        <v>6</v>
      </c>
      <c r="BG713" t="s">
        <v>18058</v>
      </c>
      <c r="BH713" t="s">
        <v>18059</v>
      </c>
      <c r="BI713" t="s">
        <v>18060</v>
      </c>
      <c r="BJ713">
        <v>6.447E-2</v>
      </c>
      <c r="BK713">
        <v>1</v>
      </c>
      <c r="BL713" t="s">
        <v>69</v>
      </c>
      <c r="BM713">
        <v>-0.98299999999999998</v>
      </c>
      <c r="BN713">
        <v>-0.92500000000000004</v>
      </c>
    </row>
    <row r="714" spans="2:66">
      <c r="B714">
        <v>1114</v>
      </c>
      <c r="C714">
        <v>302</v>
      </c>
      <c r="D714">
        <v>0</v>
      </c>
      <c r="E714">
        <v>3</v>
      </c>
      <c r="F714">
        <v>0</v>
      </c>
      <c r="J714">
        <v>0</v>
      </c>
      <c r="K714">
        <v>8</v>
      </c>
      <c r="L714">
        <v>4</v>
      </c>
      <c r="M714" t="s">
        <v>25022</v>
      </c>
      <c r="N714">
        <v>3113</v>
      </c>
      <c r="O714" t="s">
        <v>18061</v>
      </c>
      <c r="P714" t="s">
        <v>62</v>
      </c>
      <c r="Q714">
        <v>3065754</v>
      </c>
      <c r="R714">
        <v>3066302</v>
      </c>
      <c r="S714" t="s">
        <v>18062</v>
      </c>
      <c r="T714">
        <v>183</v>
      </c>
      <c r="U714" t="s">
        <v>108</v>
      </c>
      <c r="V714">
        <v>44</v>
      </c>
      <c r="W714" t="str">
        <f>HYPERLINK("Gene3113-zp_tree_all.dnd", "Gene3113-tree")</f>
        <v>Gene3113-tree</v>
      </c>
      <c r="X714">
        <v>5</v>
      </c>
      <c r="Y714">
        <v>9</v>
      </c>
      <c r="Z714">
        <v>5</v>
      </c>
      <c r="AA714">
        <v>9</v>
      </c>
      <c r="AB714">
        <v>0.64285999999999999</v>
      </c>
      <c r="AC714" t="s">
        <v>199</v>
      </c>
      <c r="AD714" t="s">
        <v>135</v>
      </c>
      <c r="AE714" t="s">
        <v>62</v>
      </c>
      <c r="AF714" t="s">
        <v>62</v>
      </c>
      <c r="AG714">
        <v>5</v>
      </c>
      <c r="AH714">
        <v>12</v>
      </c>
      <c r="AI714">
        <v>11</v>
      </c>
      <c r="AJ714">
        <v>0.52173999999999998</v>
      </c>
      <c r="AK714">
        <v>0</v>
      </c>
      <c r="AL714">
        <v>0</v>
      </c>
      <c r="AM714">
        <v>0</v>
      </c>
      <c r="AN714">
        <v>3</v>
      </c>
      <c r="AO714">
        <v>0</v>
      </c>
      <c r="AP714">
        <v>5</v>
      </c>
      <c r="AQ714">
        <v>2</v>
      </c>
      <c r="AR714">
        <v>7</v>
      </c>
      <c r="AS714">
        <v>7</v>
      </c>
      <c r="AT714">
        <v>0.5</v>
      </c>
      <c r="AU714">
        <v>11</v>
      </c>
      <c r="AV714">
        <v>8</v>
      </c>
      <c r="AW714">
        <v>10</v>
      </c>
      <c r="AX714">
        <v>13</v>
      </c>
      <c r="AY714">
        <v>4</v>
      </c>
      <c r="AZ714">
        <v>10</v>
      </c>
      <c r="BA714" t="s">
        <v>18063</v>
      </c>
      <c r="BB714" t="s">
        <v>18064</v>
      </c>
      <c r="BC714">
        <v>0.69199999999999995</v>
      </c>
      <c r="BD714" t="s">
        <v>65</v>
      </c>
      <c r="BE714">
        <v>14</v>
      </c>
      <c r="BF714">
        <v>23</v>
      </c>
      <c r="BG714" t="s">
        <v>18065</v>
      </c>
      <c r="BH714" t="s">
        <v>18066</v>
      </c>
      <c r="BI714" t="s">
        <v>18067</v>
      </c>
      <c r="BJ714">
        <v>0.65705000000000002</v>
      </c>
      <c r="BK714">
        <v>0.63</v>
      </c>
      <c r="BL714" t="s">
        <v>635</v>
      </c>
      <c r="BM714">
        <v>-0.25700000000000001</v>
      </c>
      <c r="BN714">
        <v>-1.119</v>
      </c>
    </row>
    <row r="715" spans="2:66">
      <c r="B715">
        <v>1117</v>
      </c>
      <c r="C715">
        <v>131</v>
      </c>
      <c r="D715">
        <v>0</v>
      </c>
      <c r="E715">
        <v>3</v>
      </c>
      <c r="F715">
        <v>0</v>
      </c>
      <c r="J715">
        <v>0</v>
      </c>
      <c r="K715">
        <v>8</v>
      </c>
      <c r="L715">
        <v>0</v>
      </c>
      <c r="M715" t="s">
        <v>25022</v>
      </c>
      <c r="N715">
        <v>3115</v>
      </c>
      <c r="O715" t="s">
        <v>18074</v>
      </c>
      <c r="P715" t="s">
        <v>62</v>
      </c>
      <c r="Q715">
        <v>3067423</v>
      </c>
      <c r="R715">
        <v>3068811</v>
      </c>
      <c r="S715" t="s">
        <v>18075</v>
      </c>
      <c r="T715">
        <v>463</v>
      </c>
      <c r="U715" t="s">
        <v>108</v>
      </c>
      <c r="V715">
        <v>44</v>
      </c>
      <c r="W715" t="str">
        <f>HYPERLINK("Gene3115-zp_tree_all.dnd", "Gene3115-tree")</f>
        <v>Gene3115-tree</v>
      </c>
      <c r="X715">
        <v>4</v>
      </c>
      <c r="Y715">
        <v>10</v>
      </c>
      <c r="Z715">
        <v>4</v>
      </c>
      <c r="AA715">
        <v>10</v>
      </c>
      <c r="AB715">
        <v>0.71428999999999998</v>
      </c>
      <c r="AC715" t="s">
        <v>61</v>
      </c>
      <c r="AD715" t="s">
        <v>117</v>
      </c>
      <c r="AE715" t="s">
        <v>62</v>
      </c>
      <c r="AF715" t="s">
        <v>62</v>
      </c>
      <c r="AG715">
        <v>4</v>
      </c>
      <c r="AH715">
        <v>8</v>
      </c>
      <c r="AI715">
        <v>12</v>
      </c>
      <c r="AJ715">
        <v>0.4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15</v>
      </c>
      <c r="AT715">
        <v>0</v>
      </c>
      <c r="AU715">
        <v>13</v>
      </c>
      <c r="AV715">
        <v>11</v>
      </c>
      <c r="AW715">
        <v>53</v>
      </c>
      <c r="AX715">
        <v>15</v>
      </c>
      <c r="AY715">
        <v>32</v>
      </c>
      <c r="AZ715">
        <v>5</v>
      </c>
      <c r="BA715" t="s">
        <v>18076</v>
      </c>
      <c r="BB715" t="s">
        <v>18077</v>
      </c>
      <c r="BC715">
        <v>0.67500000000000004</v>
      </c>
      <c r="BD715" t="s">
        <v>65</v>
      </c>
      <c r="BE715">
        <v>85</v>
      </c>
      <c r="BF715">
        <v>20</v>
      </c>
      <c r="BG715" t="s">
        <v>18078</v>
      </c>
      <c r="BH715" t="s">
        <v>18079</v>
      </c>
      <c r="BI715" t="s">
        <v>18080</v>
      </c>
      <c r="BJ715">
        <v>7.3109999999999994E-2</v>
      </c>
      <c r="BK715">
        <v>1</v>
      </c>
      <c r="BL715" t="s">
        <v>69</v>
      </c>
      <c r="BM715">
        <v>-0.34200000000000003</v>
      </c>
      <c r="BN715">
        <v>0.19600000000000001</v>
      </c>
    </row>
    <row r="716" spans="2:66">
      <c r="B716">
        <v>1118</v>
      </c>
      <c r="C716">
        <v>42</v>
      </c>
      <c r="D716">
        <v>0</v>
      </c>
      <c r="E716">
        <v>5</v>
      </c>
      <c r="F716">
        <v>0</v>
      </c>
      <c r="J716">
        <v>0</v>
      </c>
      <c r="K716">
        <v>34</v>
      </c>
      <c r="L716">
        <v>3</v>
      </c>
      <c r="M716" t="s">
        <v>25022</v>
      </c>
      <c r="N716">
        <v>3117</v>
      </c>
      <c r="O716" t="s">
        <v>18087</v>
      </c>
      <c r="P716" t="s">
        <v>62</v>
      </c>
      <c r="Q716">
        <v>3070249</v>
      </c>
      <c r="R716">
        <v>3071403</v>
      </c>
      <c r="S716" t="s">
        <v>5916</v>
      </c>
      <c r="T716">
        <v>385</v>
      </c>
      <c r="U716" t="s">
        <v>108</v>
      </c>
      <c r="V716">
        <v>44</v>
      </c>
      <c r="W716" t="str">
        <f>HYPERLINK("Gene3117-zp_tree_all.dnd", "Gene3117-tree")</f>
        <v>Gene3117-tree</v>
      </c>
      <c r="X716">
        <v>1</v>
      </c>
      <c r="Y716">
        <v>15</v>
      </c>
      <c r="Z716">
        <v>1</v>
      </c>
      <c r="AA716">
        <v>15</v>
      </c>
      <c r="AB716">
        <v>0.9375</v>
      </c>
      <c r="AC716" t="s">
        <v>175</v>
      </c>
      <c r="AD716" t="s">
        <v>100</v>
      </c>
      <c r="AE716" t="s">
        <v>62</v>
      </c>
      <c r="AF716" t="s">
        <v>62</v>
      </c>
      <c r="AG716">
        <v>15</v>
      </c>
      <c r="AH716">
        <v>37</v>
      </c>
      <c r="AI716">
        <v>21</v>
      </c>
      <c r="AJ716">
        <v>0.63793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10</v>
      </c>
      <c r="AQ716">
        <v>3</v>
      </c>
      <c r="AR716">
        <v>13</v>
      </c>
      <c r="AS716">
        <v>28</v>
      </c>
      <c r="AT716">
        <v>0.31707000000000002</v>
      </c>
      <c r="AU716">
        <v>14</v>
      </c>
      <c r="AV716">
        <v>13</v>
      </c>
      <c r="AW716">
        <v>50</v>
      </c>
      <c r="AX716">
        <v>42</v>
      </c>
      <c r="AY716">
        <v>33</v>
      </c>
      <c r="AZ716">
        <v>18</v>
      </c>
      <c r="BA716" t="s">
        <v>18088</v>
      </c>
      <c r="BB716" t="s">
        <v>18089</v>
      </c>
      <c r="BC716">
        <v>0.82499999999999996</v>
      </c>
      <c r="BD716" t="s">
        <v>65</v>
      </c>
      <c r="BE716">
        <v>83</v>
      </c>
      <c r="BF716">
        <v>60</v>
      </c>
      <c r="BG716" t="s">
        <v>18090</v>
      </c>
      <c r="BH716" t="s">
        <v>18091</v>
      </c>
      <c r="BI716" t="s">
        <v>18092</v>
      </c>
      <c r="BJ716">
        <v>0.20258000000000001</v>
      </c>
      <c r="BK716">
        <v>1</v>
      </c>
      <c r="BL716" t="s">
        <v>69</v>
      </c>
      <c r="BM716">
        <v>0.51300000000000001</v>
      </c>
      <c r="BN716">
        <v>-0.36199999999999999</v>
      </c>
    </row>
    <row r="717" spans="2:66">
      <c r="B717">
        <v>1119</v>
      </c>
      <c r="C717">
        <v>142</v>
      </c>
      <c r="D717">
        <v>0</v>
      </c>
      <c r="E717">
        <v>3</v>
      </c>
      <c r="F717">
        <v>2</v>
      </c>
      <c r="J717">
        <v>0</v>
      </c>
      <c r="K717">
        <v>2</v>
      </c>
      <c r="L717">
        <v>2</v>
      </c>
      <c r="M717" t="s">
        <v>25022</v>
      </c>
      <c r="N717">
        <v>3118</v>
      </c>
      <c r="O717" t="s">
        <v>18093</v>
      </c>
      <c r="P717" t="s">
        <v>62</v>
      </c>
      <c r="Q717">
        <v>3071403</v>
      </c>
      <c r="R717">
        <v>3072110</v>
      </c>
      <c r="S717" t="s">
        <v>5350</v>
      </c>
      <c r="T717">
        <v>236</v>
      </c>
      <c r="U717" t="s">
        <v>108</v>
      </c>
      <c r="V717">
        <v>44</v>
      </c>
      <c r="W717" t="str">
        <f>HYPERLINK("Gene3118-zp_tree_all.dnd", "Gene3118-tree")</f>
        <v>Gene3118-tree</v>
      </c>
      <c r="X717">
        <v>8</v>
      </c>
      <c r="Y717">
        <v>7</v>
      </c>
      <c r="Z717">
        <v>8</v>
      </c>
      <c r="AA717">
        <v>7</v>
      </c>
      <c r="AB717">
        <v>0.46666999999999997</v>
      </c>
      <c r="AC717" t="s">
        <v>136</v>
      </c>
      <c r="AD717" t="s">
        <v>152</v>
      </c>
      <c r="AE717" t="s">
        <v>62</v>
      </c>
      <c r="AF717" t="s">
        <v>62</v>
      </c>
      <c r="AG717">
        <v>2</v>
      </c>
      <c r="AH717">
        <v>4</v>
      </c>
      <c r="AI717">
        <v>9</v>
      </c>
      <c r="AJ717">
        <v>0.30769000000000002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2</v>
      </c>
      <c r="AR717">
        <v>2</v>
      </c>
      <c r="AS717">
        <v>7</v>
      </c>
      <c r="AT717">
        <v>0.22222</v>
      </c>
      <c r="AU717">
        <v>11</v>
      </c>
      <c r="AV717">
        <v>9</v>
      </c>
      <c r="AW717">
        <v>10</v>
      </c>
      <c r="AX717">
        <v>9</v>
      </c>
      <c r="AY717">
        <v>14</v>
      </c>
      <c r="AZ717">
        <v>4</v>
      </c>
      <c r="BA717" t="s">
        <v>18094</v>
      </c>
      <c r="BB717" t="s">
        <v>18095</v>
      </c>
      <c r="BC717">
        <v>0.95699999999999996</v>
      </c>
      <c r="BD717" t="s">
        <v>65</v>
      </c>
      <c r="BE717">
        <v>24</v>
      </c>
      <c r="BF717">
        <v>13</v>
      </c>
      <c r="BG717" t="s">
        <v>18096</v>
      </c>
      <c r="BH717" t="s">
        <v>18097</v>
      </c>
      <c r="BI717" t="s">
        <v>10776</v>
      </c>
      <c r="BJ717">
        <v>0.12559999999999999</v>
      </c>
      <c r="BK717">
        <v>1</v>
      </c>
      <c r="BL717" t="s">
        <v>69</v>
      </c>
      <c r="BM717">
        <v>-0.24299999999999999</v>
      </c>
      <c r="BN717">
        <v>-0.24099999999999999</v>
      </c>
    </row>
    <row r="718" spans="2:66">
      <c r="B718">
        <v>1120</v>
      </c>
      <c r="C718">
        <v>34</v>
      </c>
      <c r="D718">
        <v>0</v>
      </c>
      <c r="E718">
        <v>19</v>
      </c>
      <c r="F718">
        <v>4</v>
      </c>
      <c r="J718">
        <v>0</v>
      </c>
      <c r="K718">
        <v>2</v>
      </c>
      <c r="L718">
        <v>1</v>
      </c>
      <c r="M718" t="s">
        <v>25022</v>
      </c>
      <c r="N718">
        <v>3120</v>
      </c>
      <c r="O718" t="s">
        <v>18101</v>
      </c>
      <c r="P718" t="s">
        <v>62</v>
      </c>
      <c r="Q718">
        <v>3072746</v>
      </c>
      <c r="R718">
        <v>3073462</v>
      </c>
      <c r="S718" t="s">
        <v>18102</v>
      </c>
      <c r="T718">
        <v>239</v>
      </c>
      <c r="U718" t="s">
        <v>108</v>
      </c>
      <c r="V718">
        <v>44</v>
      </c>
      <c r="W718" t="str">
        <f>HYPERLINK("Gene3120-zp_tree_all.dnd", "Gene3120-tree")</f>
        <v>Gene3120-tree</v>
      </c>
      <c r="X718">
        <v>7</v>
      </c>
      <c r="Y718">
        <v>7</v>
      </c>
      <c r="Z718">
        <v>7</v>
      </c>
      <c r="AA718">
        <v>7</v>
      </c>
      <c r="AB718">
        <v>0.5</v>
      </c>
      <c r="AC718" t="s">
        <v>152</v>
      </c>
      <c r="AD718" t="s">
        <v>152</v>
      </c>
      <c r="AE718" t="s">
        <v>62</v>
      </c>
      <c r="AF718" t="s">
        <v>62</v>
      </c>
      <c r="AG718">
        <v>1</v>
      </c>
      <c r="AH718">
        <v>3</v>
      </c>
      <c r="AI718">
        <v>10</v>
      </c>
      <c r="AJ718">
        <v>0.23077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</v>
      </c>
      <c r="AQ718">
        <v>1</v>
      </c>
      <c r="AR718">
        <v>3</v>
      </c>
      <c r="AS718">
        <v>9</v>
      </c>
      <c r="AT718">
        <v>0.25</v>
      </c>
      <c r="AU718">
        <v>12</v>
      </c>
      <c r="AV718">
        <v>7</v>
      </c>
      <c r="AW718">
        <v>22</v>
      </c>
      <c r="AX718">
        <v>12</v>
      </c>
      <c r="AY718">
        <v>9</v>
      </c>
      <c r="AZ718">
        <v>1</v>
      </c>
      <c r="BA718" t="s">
        <v>18103</v>
      </c>
      <c r="BB718" t="s">
        <v>18104</v>
      </c>
      <c r="BC718">
        <v>0.94099999999999995</v>
      </c>
      <c r="BD718" t="s">
        <v>65</v>
      </c>
      <c r="BE718">
        <v>31</v>
      </c>
      <c r="BF718">
        <v>13</v>
      </c>
      <c r="BG718" t="s">
        <v>18105</v>
      </c>
      <c r="BH718" t="s">
        <v>18106</v>
      </c>
      <c r="BI718" t="s">
        <v>18107</v>
      </c>
      <c r="BJ718">
        <v>0.10092</v>
      </c>
      <c r="BK718">
        <v>1</v>
      </c>
      <c r="BL718" t="s">
        <v>69</v>
      </c>
      <c r="BM718">
        <v>-0.8</v>
      </c>
      <c r="BN718">
        <v>-1.639</v>
      </c>
    </row>
    <row r="719" spans="2:66">
      <c r="B719">
        <v>1121</v>
      </c>
      <c r="C719">
        <v>166</v>
      </c>
      <c r="D719">
        <v>0</v>
      </c>
      <c r="E719">
        <v>0</v>
      </c>
      <c r="F719">
        <v>4</v>
      </c>
      <c r="J719">
        <v>0</v>
      </c>
      <c r="K719">
        <v>0</v>
      </c>
      <c r="L719">
        <v>0</v>
      </c>
      <c r="M719" t="s">
        <v>25022</v>
      </c>
      <c r="N719">
        <v>3121</v>
      </c>
      <c r="O719" t="s">
        <v>18108</v>
      </c>
      <c r="P719" t="s">
        <v>62</v>
      </c>
      <c r="Q719">
        <v>3073534</v>
      </c>
      <c r="R719">
        <v>3075165</v>
      </c>
      <c r="S719" t="s">
        <v>2928</v>
      </c>
      <c r="T719">
        <v>544</v>
      </c>
      <c r="U719" t="s">
        <v>108</v>
      </c>
      <c r="V719">
        <v>44</v>
      </c>
      <c r="W719" t="str">
        <f>HYPERLINK("Gene3121-zp_tree_all.dnd", "Gene3121-tree")</f>
        <v>Gene3121-tree</v>
      </c>
      <c r="X719">
        <v>11</v>
      </c>
      <c r="Y719">
        <v>24</v>
      </c>
      <c r="Z719">
        <v>11</v>
      </c>
      <c r="AA719">
        <v>5</v>
      </c>
      <c r="AB719">
        <v>0.3125</v>
      </c>
      <c r="AC719" t="s">
        <v>73</v>
      </c>
      <c r="AD719" t="s">
        <v>2668</v>
      </c>
      <c r="AE719">
        <v>5.0679999999999996</v>
      </c>
      <c r="AF719" t="s">
        <v>65</v>
      </c>
      <c r="AG719">
        <v>0</v>
      </c>
      <c r="AH719">
        <v>0</v>
      </c>
      <c r="AI719">
        <v>8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7</v>
      </c>
      <c r="AT719">
        <v>0</v>
      </c>
      <c r="AU719">
        <v>14</v>
      </c>
      <c r="AV719">
        <v>12</v>
      </c>
      <c r="AW719">
        <v>46</v>
      </c>
      <c r="AX719">
        <v>6</v>
      </c>
      <c r="AY719">
        <v>25</v>
      </c>
      <c r="AZ719">
        <v>2</v>
      </c>
      <c r="BA719" t="s">
        <v>18109</v>
      </c>
      <c r="BB719" t="s">
        <v>18110</v>
      </c>
      <c r="BC719">
        <v>0.32500000000000001</v>
      </c>
      <c r="BD719" t="s">
        <v>65</v>
      </c>
      <c r="BE719">
        <v>71</v>
      </c>
      <c r="BF719">
        <v>8</v>
      </c>
      <c r="BG719" t="s">
        <v>18111</v>
      </c>
      <c r="BH719" t="s">
        <v>18112</v>
      </c>
      <c r="BI719" t="s">
        <v>18113</v>
      </c>
      <c r="BJ719">
        <v>3.6299999999999999E-2</v>
      </c>
      <c r="BK719">
        <v>1</v>
      </c>
      <c r="BL719" t="s">
        <v>69</v>
      </c>
      <c r="BM719">
        <v>-0.32</v>
      </c>
      <c r="BN719">
        <v>-1.2370000000000001</v>
      </c>
    </row>
    <row r="720" spans="2:66">
      <c r="B720">
        <v>1122</v>
      </c>
      <c r="C720">
        <v>122</v>
      </c>
      <c r="D720">
        <v>0</v>
      </c>
      <c r="E720">
        <v>5</v>
      </c>
      <c r="F720">
        <v>1</v>
      </c>
      <c r="J720">
        <v>0</v>
      </c>
      <c r="K720">
        <v>0</v>
      </c>
      <c r="L720">
        <v>0</v>
      </c>
      <c r="M720" t="s">
        <v>25022</v>
      </c>
      <c r="N720">
        <v>3124</v>
      </c>
      <c r="O720" t="s">
        <v>18127</v>
      </c>
      <c r="P720" t="s">
        <v>62</v>
      </c>
      <c r="Q720">
        <v>3078396</v>
      </c>
      <c r="R720">
        <v>3078575</v>
      </c>
      <c r="S720" t="s">
        <v>17774</v>
      </c>
      <c r="T720">
        <v>60</v>
      </c>
      <c r="U720" t="s">
        <v>749</v>
      </c>
      <c r="V720">
        <v>47</v>
      </c>
      <c r="W720" t="str">
        <f>HYPERLINK("Gene3124-zp_tree_all.dnd", "Gene3124-tree")</f>
        <v>Gene3124-tree</v>
      </c>
      <c r="X720">
        <v>11</v>
      </c>
      <c r="Y720">
        <v>1</v>
      </c>
      <c r="Z720">
        <v>11</v>
      </c>
      <c r="AA720">
        <v>1</v>
      </c>
      <c r="AB720">
        <v>8.3330000000000001E-2</v>
      </c>
      <c r="AC720" t="s">
        <v>73</v>
      </c>
      <c r="AD720" t="s">
        <v>175</v>
      </c>
      <c r="AE720" t="s">
        <v>62</v>
      </c>
      <c r="AF720" t="s">
        <v>62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9</v>
      </c>
      <c r="AV720">
        <v>4</v>
      </c>
      <c r="AW720">
        <v>14</v>
      </c>
      <c r="AX720">
        <v>1</v>
      </c>
      <c r="AY720">
        <v>4</v>
      </c>
      <c r="AZ720">
        <v>0</v>
      </c>
      <c r="BA720" t="s">
        <v>18128</v>
      </c>
      <c r="BB720" t="s">
        <v>193</v>
      </c>
      <c r="BC720">
        <v>0.32400000000000001</v>
      </c>
      <c r="BD720" t="s">
        <v>65</v>
      </c>
      <c r="BE720">
        <v>18</v>
      </c>
      <c r="BF720">
        <v>1</v>
      </c>
      <c r="BG720" t="s">
        <v>18129</v>
      </c>
      <c r="BH720" t="s">
        <v>18130</v>
      </c>
      <c r="BI720" t="s">
        <v>18131</v>
      </c>
      <c r="BJ720">
        <v>1.191E-2</v>
      </c>
      <c r="BK720">
        <v>1</v>
      </c>
      <c r="BL720" t="s">
        <v>69</v>
      </c>
      <c r="BM720">
        <v>-1.32</v>
      </c>
      <c r="BN720">
        <v>-3.32</v>
      </c>
    </row>
    <row r="721" spans="2:66">
      <c r="B721">
        <v>1123</v>
      </c>
      <c r="C721">
        <v>14</v>
      </c>
      <c r="D721">
        <v>0</v>
      </c>
      <c r="E721">
        <v>13</v>
      </c>
      <c r="F721">
        <v>1</v>
      </c>
      <c r="J721">
        <v>0</v>
      </c>
      <c r="K721">
        <v>9</v>
      </c>
      <c r="L721">
        <v>0</v>
      </c>
      <c r="M721" t="s">
        <v>25022</v>
      </c>
      <c r="N721">
        <v>3125</v>
      </c>
      <c r="O721" t="s">
        <v>18132</v>
      </c>
      <c r="P721" t="s">
        <v>62</v>
      </c>
      <c r="Q721">
        <v>3078646</v>
      </c>
      <c r="R721">
        <v>3079311</v>
      </c>
      <c r="S721" t="s">
        <v>18133</v>
      </c>
      <c r="T721">
        <v>222</v>
      </c>
      <c r="U721" t="s">
        <v>2289</v>
      </c>
      <c r="V721">
        <v>37</v>
      </c>
      <c r="W721" t="str">
        <f>HYPERLINK("Gene3125-zp_tree_all.dnd", "Gene3125-tree")</f>
        <v>Gene3125-tree</v>
      </c>
      <c r="X721">
        <v>4</v>
      </c>
      <c r="Y721">
        <v>9</v>
      </c>
      <c r="Z721">
        <v>4</v>
      </c>
      <c r="AA721">
        <v>9</v>
      </c>
      <c r="AB721">
        <v>0.69230999999999998</v>
      </c>
      <c r="AC721" t="s">
        <v>61</v>
      </c>
      <c r="AD721" t="s">
        <v>135</v>
      </c>
      <c r="AE721" t="s">
        <v>62</v>
      </c>
      <c r="AF721" t="s">
        <v>62</v>
      </c>
      <c r="AG721">
        <v>4</v>
      </c>
      <c r="AH721">
        <v>9</v>
      </c>
      <c r="AI721">
        <v>9</v>
      </c>
      <c r="AJ721">
        <v>0.5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4</v>
      </c>
      <c r="AQ721">
        <v>0</v>
      </c>
      <c r="AR721">
        <v>4</v>
      </c>
      <c r="AS721">
        <v>11</v>
      </c>
      <c r="AT721">
        <v>0.26667000000000002</v>
      </c>
      <c r="AU721">
        <v>11</v>
      </c>
      <c r="AV721">
        <v>10</v>
      </c>
      <c r="AW721">
        <v>18</v>
      </c>
      <c r="AX721">
        <v>12</v>
      </c>
      <c r="AY721">
        <v>18</v>
      </c>
      <c r="AZ721">
        <v>6</v>
      </c>
      <c r="BA721" t="s">
        <v>18134</v>
      </c>
      <c r="BB721" t="s">
        <v>18135</v>
      </c>
      <c r="BC721">
        <v>0.64900000000000002</v>
      </c>
      <c r="BD721" t="s">
        <v>65</v>
      </c>
      <c r="BE721">
        <v>36</v>
      </c>
      <c r="BF721">
        <v>18</v>
      </c>
      <c r="BG721" t="s">
        <v>18136</v>
      </c>
      <c r="BH721" t="s">
        <v>18137</v>
      </c>
      <c r="BI721" t="s">
        <v>18138</v>
      </c>
      <c r="BJ721">
        <v>0.12227</v>
      </c>
      <c r="BK721">
        <v>1</v>
      </c>
      <c r="BL721" t="s">
        <v>69</v>
      </c>
      <c r="BM721">
        <v>-0.65200000000000002</v>
      </c>
      <c r="BN721">
        <v>-0.92100000000000004</v>
      </c>
    </row>
    <row r="722" spans="2:66">
      <c r="B722">
        <v>1124</v>
      </c>
      <c r="C722">
        <v>147</v>
      </c>
      <c r="D722">
        <v>0</v>
      </c>
      <c r="E722">
        <v>4</v>
      </c>
      <c r="F722">
        <v>0</v>
      </c>
      <c r="J722">
        <v>0</v>
      </c>
      <c r="K722">
        <v>6</v>
      </c>
      <c r="L722">
        <v>2</v>
      </c>
      <c r="M722" t="s">
        <v>25022</v>
      </c>
      <c r="N722">
        <v>3126</v>
      </c>
      <c r="O722" t="s">
        <v>18139</v>
      </c>
      <c r="P722" t="s">
        <v>62</v>
      </c>
      <c r="Q722">
        <v>3079336</v>
      </c>
      <c r="R722">
        <v>3080619</v>
      </c>
      <c r="S722" t="s">
        <v>18140</v>
      </c>
      <c r="T722">
        <v>428</v>
      </c>
      <c r="U722" t="s">
        <v>108</v>
      </c>
      <c r="V722">
        <v>44</v>
      </c>
      <c r="W722" t="str">
        <f>HYPERLINK("Gene3126-zp_tree_all.dnd", "Gene3126-tree")</f>
        <v>Gene3126-tree</v>
      </c>
      <c r="X722">
        <v>5</v>
      </c>
      <c r="Y722">
        <v>9</v>
      </c>
      <c r="Z722">
        <v>5</v>
      </c>
      <c r="AA722">
        <v>9</v>
      </c>
      <c r="AB722">
        <v>0.64285999999999999</v>
      </c>
      <c r="AC722" t="s">
        <v>199</v>
      </c>
      <c r="AD722" t="s">
        <v>135</v>
      </c>
      <c r="AE722" t="s">
        <v>62</v>
      </c>
      <c r="AF722" t="s">
        <v>62</v>
      </c>
      <c r="AG722">
        <v>3</v>
      </c>
      <c r="AH722">
        <v>8</v>
      </c>
      <c r="AI722">
        <v>13</v>
      </c>
      <c r="AJ722">
        <v>0.38095000000000001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5</v>
      </c>
      <c r="AQ722">
        <v>0</v>
      </c>
      <c r="AR722">
        <v>5</v>
      </c>
      <c r="AS722">
        <v>12</v>
      </c>
      <c r="AT722">
        <v>0.29411999999999999</v>
      </c>
      <c r="AU722">
        <v>13</v>
      </c>
      <c r="AV722">
        <v>11</v>
      </c>
      <c r="AW722">
        <v>38</v>
      </c>
      <c r="AX722">
        <v>17</v>
      </c>
      <c r="AY722">
        <v>25</v>
      </c>
      <c r="AZ722">
        <v>4</v>
      </c>
      <c r="BA722" t="s">
        <v>18141</v>
      </c>
      <c r="BB722" t="s">
        <v>18142</v>
      </c>
      <c r="BC722">
        <v>1.2989999999999999</v>
      </c>
      <c r="BD722" t="s">
        <v>65</v>
      </c>
      <c r="BE722">
        <v>63</v>
      </c>
      <c r="BF722">
        <v>21</v>
      </c>
      <c r="BG722" t="s">
        <v>18143</v>
      </c>
      <c r="BH722" t="s">
        <v>18144</v>
      </c>
      <c r="BI722" t="s">
        <v>18145</v>
      </c>
      <c r="BJ722">
        <v>8.4540000000000004E-2</v>
      </c>
      <c r="BK722">
        <v>1</v>
      </c>
      <c r="BL722" t="s">
        <v>69</v>
      </c>
      <c r="BM722">
        <v>-0.111</v>
      </c>
      <c r="BN722">
        <v>-1.0129999999999999</v>
      </c>
    </row>
    <row r="723" spans="2:66">
      <c r="B723">
        <v>1125</v>
      </c>
      <c r="C723">
        <v>221</v>
      </c>
      <c r="D723">
        <v>0</v>
      </c>
      <c r="E723">
        <v>6</v>
      </c>
      <c r="F723">
        <v>0</v>
      </c>
      <c r="J723">
        <v>0</v>
      </c>
      <c r="K723">
        <v>8</v>
      </c>
      <c r="L723">
        <v>0</v>
      </c>
      <c r="M723" t="s">
        <v>25022</v>
      </c>
      <c r="N723">
        <v>3127</v>
      </c>
      <c r="O723" t="s">
        <v>18146</v>
      </c>
      <c r="P723" t="s">
        <v>62</v>
      </c>
      <c r="Q723">
        <v>3080634</v>
      </c>
      <c r="R723">
        <v>3081134</v>
      </c>
      <c r="S723" t="s">
        <v>18147</v>
      </c>
      <c r="T723">
        <v>167</v>
      </c>
      <c r="U723" t="s">
        <v>18148</v>
      </c>
      <c r="V723">
        <v>41</v>
      </c>
      <c r="W723" t="str">
        <f>HYPERLINK("Gene3127-zp_tree_all.dnd", "Gene3127-tree")</f>
        <v>Gene3127-tree</v>
      </c>
      <c r="X723">
        <v>2</v>
      </c>
      <c r="Y723">
        <v>10</v>
      </c>
      <c r="Z723">
        <v>2</v>
      </c>
      <c r="AA723">
        <v>10</v>
      </c>
      <c r="AB723">
        <v>0.83333000000000002</v>
      </c>
      <c r="AC723" t="s">
        <v>81</v>
      </c>
      <c r="AD723" t="s">
        <v>117</v>
      </c>
      <c r="AE723" t="s">
        <v>62</v>
      </c>
      <c r="AF723" t="s">
        <v>62</v>
      </c>
      <c r="AG723">
        <v>2</v>
      </c>
      <c r="AH723">
        <v>8</v>
      </c>
      <c r="AI723">
        <v>16</v>
      </c>
      <c r="AJ723">
        <v>0.33333000000000002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5</v>
      </c>
      <c r="AQ723">
        <v>0</v>
      </c>
      <c r="AR723">
        <v>5</v>
      </c>
      <c r="AS723">
        <v>12</v>
      </c>
      <c r="AT723">
        <v>0.29411999999999999</v>
      </c>
      <c r="AU723">
        <v>10</v>
      </c>
      <c r="AV723">
        <v>7</v>
      </c>
      <c r="AW723">
        <v>6</v>
      </c>
      <c r="AX723">
        <v>13</v>
      </c>
      <c r="AY723">
        <v>7</v>
      </c>
      <c r="AZ723">
        <v>11</v>
      </c>
      <c r="BA723" t="s">
        <v>18149</v>
      </c>
      <c r="BB723" t="s">
        <v>18150</v>
      </c>
      <c r="BC723">
        <v>0.29199999999999998</v>
      </c>
      <c r="BD723" t="s">
        <v>65</v>
      </c>
      <c r="BE723">
        <v>13</v>
      </c>
      <c r="BF723">
        <v>24</v>
      </c>
      <c r="BG723" t="s">
        <v>18151</v>
      </c>
      <c r="BH723" t="s">
        <v>18152</v>
      </c>
      <c r="BI723" t="s">
        <v>18153</v>
      </c>
      <c r="BJ723">
        <v>0.44821</v>
      </c>
      <c r="BK723">
        <v>0.92</v>
      </c>
      <c r="BL723" t="s">
        <v>635</v>
      </c>
      <c r="BM723">
        <v>-0.90300000000000002</v>
      </c>
      <c r="BN723">
        <v>-0.38200000000000001</v>
      </c>
    </row>
    <row r="724" spans="2:66">
      <c r="B724">
        <v>1127</v>
      </c>
      <c r="C724">
        <v>335</v>
      </c>
      <c r="D724">
        <v>0</v>
      </c>
      <c r="E724">
        <v>13</v>
      </c>
      <c r="F724">
        <v>2</v>
      </c>
      <c r="J724">
        <v>2</v>
      </c>
      <c r="K724">
        <v>8</v>
      </c>
      <c r="L724">
        <v>5</v>
      </c>
      <c r="M724" t="s">
        <v>25022</v>
      </c>
      <c r="N724">
        <v>3128</v>
      </c>
      <c r="O724" t="s">
        <v>18154</v>
      </c>
      <c r="P724" t="s">
        <v>62</v>
      </c>
      <c r="Q724">
        <v>3081134</v>
      </c>
      <c r="R724">
        <v>3082252</v>
      </c>
      <c r="S724" t="s">
        <v>18155</v>
      </c>
      <c r="T724">
        <v>373</v>
      </c>
      <c r="U724" t="s">
        <v>108</v>
      </c>
      <c r="V724">
        <v>44</v>
      </c>
      <c r="W724" t="str">
        <f>HYPERLINK("Gene3128-zp_tree_all.dnd", "Gene3128-tree")</f>
        <v>Gene3128-tree</v>
      </c>
      <c r="X724">
        <v>3</v>
      </c>
      <c r="Y724">
        <v>12</v>
      </c>
      <c r="Z724">
        <v>3</v>
      </c>
      <c r="AA724">
        <v>12</v>
      </c>
      <c r="AB724">
        <v>0.8</v>
      </c>
      <c r="AC724" t="s">
        <v>324</v>
      </c>
      <c r="AD724" t="s">
        <v>109</v>
      </c>
      <c r="AE724" t="s">
        <v>62</v>
      </c>
      <c r="AF724" t="s">
        <v>62</v>
      </c>
      <c r="AG724">
        <v>6</v>
      </c>
      <c r="AH724">
        <v>15</v>
      </c>
      <c r="AI724">
        <v>20</v>
      </c>
      <c r="AJ724">
        <v>0.42857000000000001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2</v>
      </c>
      <c r="AQ724">
        <v>0</v>
      </c>
      <c r="AR724">
        <v>2</v>
      </c>
      <c r="AS724">
        <v>22</v>
      </c>
      <c r="AT724">
        <v>8.3330000000000001E-2</v>
      </c>
      <c r="AU724">
        <v>14</v>
      </c>
      <c r="AV724">
        <v>12</v>
      </c>
      <c r="AW724">
        <v>59</v>
      </c>
      <c r="AX724">
        <v>19</v>
      </c>
      <c r="AY724">
        <v>57</v>
      </c>
      <c r="AZ724">
        <v>16</v>
      </c>
      <c r="BA724" t="s">
        <v>18156</v>
      </c>
      <c r="BB724" t="s">
        <v>18157</v>
      </c>
      <c r="BC724">
        <v>0.24299999999999999</v>
      </c>
      <c r="BD724" t="s">
        <v>65</v>
      </c>
      <c r="BE724">
        <v>116</v>
      </c>
      <c r="BF724">
        <v>35</v>
      </c>
      <c r="BG724" t="s">
        <v>18158</v>
      </c>
      <c r="BH724" t="s">
        <v>18159</v>
      </c>
      <c r="BI724" t="s">
        <v>18160</v>
      </c>
      <c r="BJ724">
        <v>0.10135</v>
      </c>
      <c r="BK724">
        <v>1</v>
      </c>
      <c r="BL724" t="s">
        <v>69</v>
      </c>
      <c r="BM724">
        <v>0.16300000000000001</v>
      </c>
      <c r="BN724">
        <v>-0.85299999999999998</v>
      </c>
    </row>
    <row r="725" spans="2:66">
      <c r="B725">
        <v>1128</v>
      </c>
      <c r="C725">
        <v>166</v>
      </c>
      <c r="D725">
        <v>0</v>
      </c>
      <c r="E725">
        <v>6</v>
      </c>
      <c r="F725">
        <v>2</v>
      </c>
      <c r="J725">
        <v>0</v>
      </c>
      <c r="K725">
        <v>4</v>
      </c>
      <c r="L725">
        <v>4</v>
      </c>
      <c r="M725" t="s">
        <v>25022</v>
      </c>
      <c r="N725">
        <v>3129</v>
      </c>
      <c r="O725" t="s">
        <v>18161</v>
      </c>
      <c r="P725" t="s">
        <v>62</v>
      </c>
      <c r="Q725">
        <v>3082263</v>
      </c>
      <c r="R725">
        <v>3083225</v>
      </c>
      <c r="S725" t="s">
        <v>18162</v>
      </c>
      <c r="T725">
        <v>321</v>
      </c>
      <c r="U725" t="s">
        <v>59</v>
      </c>
      <c r="V725">
        <v>49</v>
      </c>
      <c r="W725" t="str">
        <f>HYPERLINK("Gene3129-zp_tree_all.dnd", "Gene3129-tree")</f>
        <v>Gene3129-tree</v>
      </c>
      <c r="X725">
        <v>12</v>
      </c>
      <c r="Y725">
        <v>8</v>
      </c>
      <c r="Z725">
        <v>12</v>
      </c>
      <c r="AA725">
        <v>8</v>
      </c>
      <c r="AB725">
        <v>0.4</v>
      </c>
      <c r="AC725" t="s">
        <v>109</v>
      </c>
      <c r="AD725" t="s">
        <v>136</v>
      </c>
      <c r="AE725" t="s">
        <v>62</v>
      </c>
      <c r="AF725" t="s">
        <v>62</v>
      </c>
      <c r="AG725">
        <v>3</v>
      </c>
      <c r="AH725">
        <v>8</v>
      </c>
      <c r="AI725">
        <v>5</v>
      </c>
      <c r="AJ725">
        <v>0.61538000000000004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4</v>
      </c>
      <c r="AQ725">
        <v>0</v>
      </c>
      <c r="AR725">
        <v>4</v>
      </c>
      <c r="AS725">
        <v>5</v>
      </c>
      <c r="AT725">
        <v>0.44444</v>
      </c>
      <c r="AU725">
        <v>17</v>
      </c>
      <c r="AV725">
        <v>14</v>
      </c>
      <c r="AW725">
        <v>58</v>
      </c>
      <c r="AX725">
        <v>8</v>
      </c>
      <c r="AY725">
        <v>54</v>
      </c>
      <c r="AZ725">
        <v>6</v>
      </c>
      <c r="BA725" t="s">
        <v>18163</v>
      </c>
      <c r="BB725" t="s">
        <v>18164</v>
      </c>
      <c r="BC725">
        <v>0.23200000000000001</v>
      </c>
      <c r="BD725" t="s">
        <v>65</v>
      </c>
      <c r="BE725">
        <v>112</v>
      </c>
      <c r="BF725">
        <v>14</v>
      </c>
      <c r="BG725" t="s">
        <v>18165</v>
      </c>
      <c r="BH725" t="s">
        <v>18166</v>
      </c>
      <c r="BI725" t="s">
        <v>18167</v>
      </c>
      <c r="BJ725">
        <v>3.6589999999999998E-2</v>
      </c>
      <c r="BK725">
        <v>1</v>
      </c>
      <c r="BL725" t="s">
        <v>69</v>
      </c>
      <c r="BM725">
        <v>-1.2150000000000001</v>
      </c>
      <c r="BN725">
        <v>-1.1299999999999999</v>
      </c>
    </row>
    <row r="726" spans="2:66">
      <c r="B726">
        <v>1129</v>
      </c>
      <c r="C726">
        <v>86</v>
      </c>
      <c r="D726">
        <v>0</v>
      </c>
      <c r="E726">
        <v>18</v>
      </c>
      <c r="F726">
        <v>1</v>
      </c>
      <c r="J726">
        <v>0</v>
      </c>
      <c r="K726">
        <v>21</v>
      </c>
      <c r="L726">
        <v>0</v>
      </c>
      <c r="M726" t="s">
        <v>25022</v>
      </c>
      <c r="N726">
        <v>3131</v>
      </c>
      <c r="O726" t="s">
        <v>18175</v>
      </c>
      <c r="P726" t="s">
        <v>62</v>
      </c>
      <c r="Q726">
        <v>3085803</v>
      </c>
      <c r="R726">
        <v>3087296</v>
      </c>
      <c r="S726" t="s">
        <v>5930</v>
      </c>
      <c r="T726">
        <v>498</v>
      </c>
      <c r="U726" t="s">
        <v>108</v>
      </c>
      <c r="V726">
        <v>44</v>
      </c>
      <c r="W726" t="str">
        <f>HYPERLINK("Gene3131-zp_tree_all.dnd", "Gene3131-tree")</f>
        <v>Gene3131-tree</v>
      </c>
      <c r="X726">
        <v>4</v>
      </c>
      <c r="Y726">
        <v>13</v>
      </c>
      <c r="Z726">
        <v>4</v>
      </c>
      <c r="AA726">
        <v>13</v>
      </c>
      <c r="AB726">
        <v>0.76471</v>
      </c>
      <c r="AC726" t="s">
        <v>61</v>
      </c>
      <c r="AD726" t="s">
        <v>507</v>
      </c>
      <c r="AE726" t="s">
        <v>62</v>
      </c>
      <c r="AF726" t="s">
        <v>62</v>
      </c>
      <c r="AG726">
        <v>7</v>
      </c>
      <c r="AH726">
        <v>21</v>
      </c>
      <c r="AI726">
        <v>12</v>
      </c>
      <c r="AJ726">
        <v>0.63636000000000004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9</v>
      </c>
      <c r="AQ726">
        <v>0</v>
      </c>
      <c r="AR726">
        <v>9</v>
      </c>
      <c r="AS726">
        <v>12</v>
      </c>
      <c r="AT726">
        <v>0.42857000000000001</v>
      </c>
      <c r="AU726">
        <v>12</v>
      </c>
      <c r="AV726">
        <v>14</v>
      </c>
      <c r="AW726">
        <v>61</v>
      </c>
      <c r="AX726">
        <v>15</v>
      </c>
      <c r="AY726">
        <v>64</v>
      </c>
      <c r="AZ726">
        <v>19</v>
      </c>
      <c r="BA726" t="s">
        <v>18176</v>
      </c>
      <c r="BB726" t="s">
        <v>18177</v>
      </c>
      <c r="BC726">
        <v>0.11899999999999999</v>
      </c>
      <c r="BD726" t="s">
        <v>65</v>
      </c>
      <c r="BE726">
        <v>125</v>
      </c>
      <c r="BF726">
        <v>34</v>
      </c>
      <c r="BG726" t="s">
        <v>18178</v>
      </c>
      <c r="BH726" t="s">
        <v>18179</v>
      </c>
      <c r="BI726" t="s">
        <v>18180</v>
      </c>
      <c r="BJ726">
        <v>6.1499999999999999E-2</v>
      </c>
      <c r="BK726">
        <v>1</v>
      </c>
      <c r="BL726" t="s">
        <v>69</v>
      </c>
      <c r="BM726">
        <v>-0.56299999999999994</v>
      </c>
      <c r="BN726">
        <v>-0.33900000000000002</v>
      </c>
    </row>
    <row r="727" spans="2:66">
      <c r="B727">
        <v>1132</v>
      </c>
      <c r="C727">
        <v>247</v>
      </c>
      <c r="D727">
        <v>0</v>
      </c>
      <c r="E727">
        <v>8</v>
      </c>
      <c r="F727">
        <v>0</v>
      </c>
      <c r="J727">
        <v>0</v>
      </c>
      <c r="K727">
        <v>3</v>
      </c>
      <c r="L727">
        <v>0</v>
      </c>
      <c r="M727" t="s">
        <v>25022</v>
      </c>
      <c r="N727">
        <v>3132</v>
      </c>
      <c r="O727" t="s">
        <v>18181</v>
      </c>
      <c r="P727" t="s">
        <v>62</v>
      </c>
      <c r="Q727">
        <v>3087324</v>
      </c>
      <c r="R727">
        <v>3088181</v>
      </c>
      <c r="S727" t="s">
        <v>5916</v>
      </c>
      <c r="T727">
        <v>286</v>
      </c>
      <c r="U727" t="s">
        <v>698</v>
      </c>
      <c r="V727">
        <v>47</v>
      </c>
      <c r="W727" t="str">
        <f>HYPERLINK("Gene3132-zp_tree_all.dnd", "Gene3132-tree")</f>
        <v>Gene3132-tree</v>
      </c>
      <c r="X727">
        <v>31</v>
      </c>
      <c r="Y727">
        <v>5</v>
      </c>
      <c r="Z727">
        <v>14</v>
      </c>
      <c r="AA727">
        <v>5</v>
      </c>
      <c r="AB727">
        <v>0.26316000000000001</v>
      </c>
      <c r="AC727" t="s">
        <v>4627</v>
      </c>
      <c r="AD727" t="s">
        <v>199</v>
      </c>
      <c r="AE727" t="s">
        <v>62</v>
      </c>
      <c r="AF727" t="s">
        <v>62</v>
      </c>
      <c r="AG727">
        <v>1</v>
      </c>
      <c r="AH727">
        <v>3</v>
      </c>
      <c r="AI727">
        <v>4</v>
      </c>
      <c r="AJ727">
        <v>0.42857000000000001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2</v>
      </c>
      <c r="AQ727">
        <v>0</v>
      </c>
      <c r="AR727">
        <v>2</v>
      </c>
      <c r="AS727">
        <v>4</v>
      </c>
      <c r="AT727">
        <v>0.33333000000000002</v>
      </c>
      <c r="AU727">
        <v>15</v>
      </c>
      <c r="AV727">
        <v>11</v>
      </c>
      <c r="AW727">
        <v>47</v>
      </c>
      <c r="AX727">
        <v>6</v>
      </c>
      <c r="AY727">
        <v>41</v>
      </c>
      <c r="AZ727">
        <v>1</v>
      </c>
      <c r="BA727" t="s">
        <v>18182</v>
      </c>
      <c r="BB727" t="s">
        <v>18183</v>
      </c>
      <c r="BC727">
        <v>0.82699999999999996</v>
      </c>
      <c r="BD727" t="s">
        <v>65</v>
      </c>
      <c r="BE727">
        <v>88</v>
      </c>
      <c r="BF727">
        <v>7</v>
      </c>
      <c r="BG727" t="s">
        <v>18184</v>
      </c>
      <c r="BH727" t="s">
        <v>18185</v>
      </c>
      <c r="BI727" t="s">
        <v>18186</v>
      </c>
      <c r="BJ727">
        <v>2.12E-2</v>
      </c>
      <c r="BK727">
        <v>1</v>
      </c>
      <c r="BL727" t="s">
        <v>69</v>
      </c>
      <c r="BM727">
        <v>-1.429</v>
      </c>
      <c r="BN727">
        <v>-1.605</v>
      </c>
    </row>
    <row r="728" spans="2:66">
      <c r="B728">
        <v>1133</v>
      </c>
      <c r="C728">
        <v>12</v>
      </c>
      <c r="D728">
        <v>0</v>
      </c>
      <c r="E728">
        <v>3</v>
      </c>
      <c r="F728">
        <v>0</v>
      </c>
      <c r="J728">
        <v>0</v>
      </c>
      <c r="K728">
        <v>0</v>
      </c>
      <c r="L728">
        <v>0</v>
      </c>
      <c r="M728" t="s">
        <v>25022</v>
      </c>
      <c r="N728">
        <v>3133</v>
      </c>
      <c r="O728" t="s">
        <v>18187</v>
      </c>
      <c r="P728" t="s">
        <v>62</v>
      </c>
      <c r="Q728">
        <v>3088391</v>
      </c>
      <c r="R728">
        <v>3089149</v>
      </c>
      <c r="S728" t="s">
        <v>18188</v>
      </c>
      <c r="T728">
        <v>253</v>
      </c>
      <c r="U728" t="s">
        <v>108</v>
      </c>
      <c r="V728">
        <v>44</v>
      </c>
      <c r="W728" t="str">
        <f>HYPERLINK("Gene3133-zp_tree_all.dnd", "Gene3133-tree")</f>
        <v>Gene3133-tree</v>
      </c>
      <c r="X728">
        <v>8</v>
      </c>
      <c r="Y728">
        <v>6</v>
      </c>
      <c r="Z728">
        <v>8</v>
      </c>
      <c r="AA728">
        <v>6</v>
      </c>
      <c r="AB728">
        <v>0.42857000000000001</v>
      </c>
      <c r="AC728" t="s">
        <v>136</v>
      </c>
      <c r="AD728" t="s">
        <v>90</v>
      </c>
      <c r="AE728" t="s">
        <v>62</v>
      </c>
      <c r="AF728" t="s">
        <v>62</v>
      </c>
      <c r="AG728">
        <v>0</v>
      </c>
      <c r="AH728">
        <v>0</v>
      </c>
      <c r="AI728">
        <v>10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9</v>
      </c>
      <c r="AT728">
        <v>0</v>
      </c>
      <c r="AU728">
        <v>11</v>
      </c>
      <c r="AV728">
        <v>8</v>
      </c>
      <c r="AW728">
        <v>13</v>
      </c>
      <c r="AX728">
        <v>9</v>
      </c>
      <c r="AY728">
        <v>21</v>
      </c>
      <c r="AZ728">
        <v>2</v>
      </c>
      <c r="BA728" t="s">
        <v>18189</v>
      </c>
      <c r="BB728" t="s">
        <v>18190</v>
      </c>
      <c r="BC728">
        <v>0.93600000000000005</v>
      </c>
      <c r="BD728" t="s">
        <v>65</v>
      </c>
      <c r="BE728">
        <v>34</v>
      </c>
      <c r="BF728">
        <v>11</v>
      </c>
      <c r="BG728" t="s">
        <v>18191</v>
      </c>
      <c r="BH728" t="s">
        <v>18192</v>
      </c>
      <c r="BI728" t="s">
        <v>18193</v>
      </c>
      <c r="BJ728">
        <v>8.3960000000000007E-2</v>
      </c>
      <c r="BK728">
        <v>1</v>
      </c>
      <c r="BL728" t="s">
        <v>69</v>
      </c>
      <c r="BM728">
        <v>-0.35799999999999998</v>
      </c>
      <c r="BN728">
        <v>-0.46100000000000002</v>
      </c>
    </row>
    <row r="729" spans="2:66">
      <c r="B729">
        <v>1134</v>
      </c>
      <c r="C729">
        <v>246</v>
      </c>
      <c r="D729">
        <v>2</v>
      </c>
      <c r="E729">
        <v>22</v>
      </c>
      <c r="F729">
        <v>4</v>
      </c>
      <c r="J729">
        <v>0</v>
      </c>
      <c r="K729">
        <v>31</v>
      </c>
      <c r="L729">
        <v>3</v>
      </c>
      <c r="M729" t="s">
        <v>25022</v>
      </c>
      <c r="N729">
        <v>3134</v>
      </c>
      <c r="O729" t="s">
        <v>18194</v>
      </c>
      <c r="P729" t="s">
        <v>62</v>
      </c>
      <c r="Q729">
        <v>3089229</v>
      </c>
      <c r="R729">
        <v>3090413</v>
      </c>
      <c r="S729" t="s">
        <v>18195</v>
      </c>
      <c r="T729">
        <v>395</v>
      </c>
      <c r="U729" t="s">
        <v>108</v>
      </c>
      <c r="V729">
        <v>44</v>
      </c>
      <c r="W729" t="str">
        <f>HYPERLINK("Gene3134-zp_tree_all.dnd", "Gene3134-tree")</f>
        <v>Gene3134-tree</v>
      </c>
      <c r="X729">
        <v>4</v>
      </c>
      <c r="Y729">
        <v>12</v>
      </c>
      <c r="Z729">
        <v>4</v>
      </c>
      <c r="AA729">
        <v>12</v>
      </c>
      <c r="AB729">
        <v>0.75</v>
      </c>
      <c r="AC729" t="s">
        <v>61</v>
      </c>
      <c r="AD729" t="s">
        <v>109</v>
      </c>
      <c r="AE729" t="s">
        <v>62</v>
      </c>
      <c r="AF729" t="s">
        <v>62</v>
      </c>
      <c r="AG729">
        <v>14</v>
      </c>
      <c r="AH729">
        <v>34</v>
      </c>
      <c r="AI729">
        <v>18</v>
      </c>
      <c r="AJ729">
        <v>0.65385000000000004</v>
      </c>
      <c r="AK729">
        <v>0</v>
      </c>
      <c r="AL729">
        <v>0</v>
      </c>
      <c r="AM729">
        <v>0</v>
      </c>
      <c r="AN729">
        <v>2</v>
      </c>
      <c r="AO729">
        <v>0</v>
      </c>
      <c r="AP729">
        <v>14</v>
      </c>
      <c r="AQ729">
        <v>4</v>
      </c>
      <c r="AR729">
        <v>18</v>
      </c>
      <c r="AS729">
        <v>17</v>
      </c>
      <c r="AT729">
        <v>0.51429000000000002</v>
      </c>
      <c r="AU729">
        <v>13</v>
      </c>
      <c r="AV729">
        <v>13</v>
      </c>
      <c r="AW729">
        <v>26</v>
      </c>
      <c r="AX729">
        <v>31</v>
      </c>
      <c r="AY729">
        <v>31</v>
      </c>
      <c r="AZ729">
        <v>22</v>
      </c>
      <c r="BA729" t="s">
        <v>18196</v>
      </c>
      <c r="BB729" t="s">
        <v>18197</v>
      </c>
      <c r="BC729">
        <v>0.93799999999999994</v>
      </c>
      <c r="BD729" t="s">
        <v>65</v>
      </c>
      <c r="BE729">
        <v>57</v>
      </c>
      <c r="BF729">
        <v>53</v>
      </c>
      <c r="BG729" t="s">
        <v>18198</v>
      </c>
      <c r="BH729" t="s">
        <v>18199</v>
      </c>
      <c r="BI729" t="s">
        <v>18200</v>
      </c>
      <c r="BJ729">
        <v>0.24493999999999999</v>
      </c>
      <c r="BK729">
        <v>1</v>
      </c>
      <c r="BL729" t="s">
        <v>69</v>
      </c>
      <c r="BM729">
        <v>-0.125</v>
      </c>
      <c r="BN729">
        <v>-0.96099999999999997</v>
      </c>
    </row>
    <row r="730" spans="2:66">
      <c r="B730">
        <v>1136</v>
      </c>
      <c r="C730">
        <v>371</v>
      </c>
      <c r="D730">
        <v>0</v>
      </c>
      <c r="E730">
        <v>5</v>
      </c>
      <c r="F730">
        <v>2</v>
      </c>
      <c r="J730">
        <v>0</v>
      </c>
      <c r="K730">
        <v>8</v>
      </c>
      <c r="L730">
        <v>0</v>
      </c>
      <c r="M730" t="s">
        <v>25022</v>
      </c>
      <c r="N730">
        <v>3135</v>
      </c>
      <c r="O730" t="s">
        <v>18201</v>
      </c>
      <c r="P730" t="s">
        <v>62</v>
      </c>
      <c r="Q730">
        <v>3090485</v>
      </c>
      <c r="R730">
        <v>3091489</v>
      </c>
      <c r="S730" t="s">
        <v>18202</v>
      </c>
      <c r="T730">
        <v>335</v>
      </c>
      <c r="U730" t="s">
        <v>108</v>
      </c>
      <c r="V730">
        <v>44</v>
      </c>
      <c r="W730" t="str">
        <f>HYPERLINK("Gene3135-zp_tree_all.dnd", "Gene3135-tree")</f>
        <v>Gene3135-tree</v>
      </c>
      <c r="X730">
        <v>8</v>
      </c>
      <c r="Y730">
        <v>25</v>
      </c>
      <c r="Z730">
        <v>8</v>
      </c>
      <c r="AA730">
        <v>8</v>
      </c>
      <c r="AB730">
        <v>0.5</v>
      </c>
      <c r="AC730" t="s">
        <v>136</v>
      </c>
      <c r="AD730" t="s">
        <v>1667</v>
      </c>
      <c r="AE730">
        <v>3.3130000000000002</v>
      </c>
      <c r="AF730" t="s">
        <v>65</v>
      </c>
      <c r="AG730">
        <v>3</v>
      </c>
      <c r="AH730">
        <v>8</v>
      </c>
      <c r="AI730">
        <v>6</v>
      </c>
      <c r="AJ730">
        <v>0.57142999999999999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2</v>
      </c>
      <c r="AQ730">
        <v>0</v>
      </c>
      <c r="AR730">
        <v>2</v>
      </c>
      <c r="AS730">
        <v>7</v>
      </c>
      <c r="AT730">
        <v>0.22222</v>
      </c>
      <c r="AU730">
        <v>15</v>
      </c>
      <c r="AV730">
        <v>9</v>
      </c>
      <c r="AW730">
        <v>51</v>
      </c>
      <c r="AX730">
        <v>9</v>
      </c>
      <c r="AY730">
        <v>15</v>
      </c>
      <c r="AZ730">
        <v>5</v>
      </c>
      <c r="BA730" t="s">
        <v>18203</v>
      </c>
      <c r="BB730" t="s">
        <v>18204</v>
      </c>
      <c r="BC730">
        <v>0.502</v>
      </c>
      <c r="BD730" t="s">
        <v>65</v>
      </c>
      <c r="BE730">
        <v>66</v>
      </c>
      <c r="BF730">
        <v>14</v>
      </c>
      <c r="BG730" t="s">
        <v>18205</v>
      </c>
      <c r="BH730" t="s">
        <v>18206</v>
      </c>
      <c r="BI730" t="s">
        <v>18207</v>
      </c>
      <c r="BJ730">
        <v>5.8220000000000001E-2</v>
      </c>
      <c r="BK730">
        <v>1</v>
      </c>
      <c r="BL730" t="s">
        <v>69</v>
      </c>
      <c r="BM730">
        <v>-0.38100000000000001</v>
      </c>
      <c r="BN730">
        <v>-0.67400000000000004</v>
      </c>
    </row>
    <row r="731" spans="2:66">
      <c r="B731">
        <v>1137</v>
      </c>
      <c r="C731">
        <v>56</v>
      </c>
      <c r="D731">
        <v>0</v>
      </c>
      <c r="E731">
        <v>2</v>
      </c>
      <c r="F731">
        <v>0</v>
      </c>
      <c r="J731">
        <v>0</v>
      </c>
      <c r="K731">
        <v>9</v>
      </c>
      <c r="L731">
        <v>2</v>
      </c>
      <c r="M731" t="s">
        <v>25022</v>
      </c>
      <c r="N731">
        <v>3136</v>
      </c>
      <c r="O731" t="s">
        <v>18208</v>
      </c>
      <c r="P731" t="s">
        <v>62</v>
      </c>
      <c r="Q731">
        <v>3091495</v>
      </c>
      <c r="R731">
        <v>3092187</v>
      </c>
      <c r="S731" t="s">
        <v>18209</v>
      </c>
      <c r="T731">
        <v>231</v>
      </c>
      <c r="U731" t="s">
        <v>1392</v>
      </c>
      <c r="V731">
        <v>43</v>
      </c>
      <c r="W731" t="str">
        <f>HYPERLINK("Gene3136-zp_tree_all.dnd", "Gene3136-tree")</f>
        <v>Gene3136-tree</v>
      </c>
      <c r="X731">
        <v>6</v>
      </c>
      <c r="Y731">
        <v>9</v>
      </c>
      <c r="Z731">
        <v>6</v>
      </c>
      <c r="AA731">
        <v>9</v>
      </c>
      <c r="AB731">
        <v>0.6</v>
      </c>
      <c r="AC731" t="s">
        <v>90</v>
      </c>
      <c r="AD731" t="s">
        <v>135</v>
      </c>
      <c r="AE731" t="s">
        <v>62</v>
      </c>
      <c r="AF731" t="s">
        <v>62</v>
      </c>
      <c r="AG731">
        <v>5</v>
      </c>
      <c r="AH731">
        <v>11</v>
      </c>
      <c r="AI731">
        <v>13</v>
      </c>
      <c r="AJ731">
        <v>0.45833000000000002</v>
      </c>
      <c r="AK731">
        <v>0</v>
      </c>
      <c r="AL731">
        <v>0</v>
      </c>
      <c r="AM731">
        <v>0</v>
      </c>
      <c r="AN731">
        <v>2</v>
      </c>
      <c r="AO731">
        <v>0</v>
      </c>
      <c r="AP731">
        <v>2</v>
      </c>
      <c r="AQ731">
        <v>2</v>
      </c>
      <c r="AR731">
        <v>4</v>
      </c>
      <c r="AS731">
        <v>11</v>
      </c>
      <c r="AT731">
        <v>0.26667000000000002</v>
      </c>
      <c r="AU731">
        <v>11</v>
      </c>
      <c r="AV731">
        <v>12</v>
      </c>
      <c r="AW731">
        <v>22</v>
      </c>
      <c r="AX731">
        <v>12</v>
      </c>
      <c r="AY731">
        <v>37</v>
      </c>
      <c r="AZ731">
        <v>13</v>
      </c>
      <c r="BA731" t="s">
        <v>18210</v>
      </c>
      <c r="BB731" t="s">
        <v>18211</v>
      </c>
      <c r="BC731">
        <v>0.66300000000000003</v>
      </c>
      <c r="BD731" t="s">
        <v>65</v>
      </c>
      <c r="BE731">
        <v>59</v>
      </c>
      <c r="BF731">
        <v>25</v>
      </c>
      <c r="BG731" t="s">
        <v>18212</v>
      </c>
      <c r="BH731" t="s">
        <v>18213</v>
      </c>
      <c r="BI731" t="s">
        <v>18214</v>
      </c>
      <c r="BJ731">
        <v>0.13663</v>
      </c>
      <c r="BK731">
        <v>1</v>
      </c>
      <c r="BL731" t="s">
        <v>69</v>
      </c>
      <c r="BM731">
        <v>0.58899999999999997</v>
      </c>
      <c r="BN731">
        <v>1.2789999999999999</v>
      </c>
    </row>
    <row r="732" spans="2:66">
      <c r="B732">
        <v>1138</v>
      </c>
      <c r="C732">
        <v>56</v>
      </c>
      <c r="D732">
        <v>0</v>
      </c>
      <c r="E732">
        <v>4</v>
      </c>
      <c r="F732">
        <v>0</v>
      </c>
      <c r="J732">
        <v>2</v>
      </c>
      <c r="K732">
        <v>32</v>
      </c>
      <c r="L732">
        <v>2</v>
      </c>
      <c r="M732" t="s">
        <v>25022</v>
      </c>
      <c r="N732">
        <v>3137</v>
      </c>
      <c r="O732" t="s">
        <v>18215</v>
      </c>
      <c r="P732" t="s">
        <v>62</v>
      </c>
      <c r="Q732">
        <v>3092187</v>
      </c>
      <c r="R732">
        <v>3093353</v>
      </c>
      <c r="S732" t="s">
        <v>18216</v>
      </c>
      <c r="T732">
        <v>389</v>
      </c>
      <c r="U732" t="s">
        <v>1933</v>
      </c>
      <c r="V732">
        <v>39</v>
      </c>
      <c r="W732" t="str">
        <f>HYPERLINK("Gene3137-zp_tree_all.dnd", "Gene3137-tree")</f>
        <v>Gene3137-tree</v>
      </c>
      <c r="X732">
        <v>9</v>
      </c>
      <c r="Y732">
        <v>9</v>
      </c>
      <c r="Z732">
        <v>9</v>
      </c>
      <c r="AA732">
        <v>9</v>
      </c>
      <c r="AB732">
        <v>0.5</v>
      </c>
      <c r="AC732" t="s">
        <v>135</v>
      </c>
      <c r="AD732" t="s">
        <v>135</v>
      </c>
      <c r="AE732" t="s">
        <v>62</v>
      </c>
      <c r="AF732" t="s">
        <v>62</v>
      </c>
      <c r="AG732">
        <v>14</v>
      </c>
      <c r="AH732">
        <v>36</v>
      </c>
      <c r="AI732">
        <v>29</v>
      </c>
      <c r="AJ732">
        <v>0.55384999999999995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8</v>
      </c>
      <c r="AQ732">
        <v>2</v>
      </c>
      <c r="AR732">
        <v>10</v>
      </c>
      <c r="AS732">
        <v>25</v>
      </c>
      <c r="AT732">
        <v>0.28571000000000002</v>
      </c>
      <c r="AU732">
        <v>15</v>
      </c>
      <c r="AV732">
        <v>14</v>
      </c>
      <c r="AW732">
        <v>79</v>
      </c>
      <c r="AX732">
        <v>35</v>
      </c>
      <c r="AY732">
        <v>60</v>
      </c>
      <c r="AZ732">
        <v>31</v>
      </c>
      <c r="BA732" t="s">
        <v>18217</v>
      </c>
      <c r="BB732" t="s">
        <v>18218</v>
      </c>
      <c r="BC732">
        <v>0.16200000000000001</v>
      </c>
      <c r="BD732" t="s">
        <v>65</v>
      </c>
      <c r="BE732">
        <v>139</v>
      </c>
      <c r="BF732">
        <v>66</v>
      </c>
      <c r="BG732" t="s">
        <v>18219</v>
      </c>
      <c r="BH732" t="s">
        <v>18220</v>
      </c>
      <c r="BI732" t="s">
        <v>18221</v>
      </c>
      <c r="BJ732">
        <v>0.15583</v>
      </c>
      <c r="BK732">
        <v>1</v>
      </c>
      <c r="BL732" t="s">
        <v>69</v>
      </c>
      <c r="BM732">
        <v>-0.69799999999999995</v>
      </c>
      <c r="BN732">
        <v>-1.4510000000000001</v>
      </c>
    </row>
    <row r="733" spans="2:66">
      <c r="B733">
        <v>1140</v>
      </c>
      <c r="C733">
        <v>215</v>
      </c>
      <c r="D733">
        <v>0</v>
      </c>
      <c r="E733">
        <v>2</v>
      </c>
      <c r="F733">
        <v>4</v>
      </c>
      <c r="J733">
        <v>2</v>
      </c>
      <c r="K733">
        <v>8</v>
      </c>
      <c r="L733">
        <v>4</v>
      </c>
      <c r="M733" t="s">
        <v>25022</v>
      </c>
      <c r="N733">
        <v>3138</v>
      </c>
      <c r="O733" t="s">
        <v>18222</v>
      </c>
      <c r="P733" t="s">
        <v>62</v>
      </c>
      <c r="Q733">
        <v>3093346</v>
      </c>
      <c r="R733">
        <v>3094689</v>
      </c>
      <c r="S733" t="s">
        <v>18223</v>
      </c>
      <c r="T733">
        <v>448</v>
      </c>
      <c r="U733" t="s">
        <v>108</v>
      </c>
      <c r="V733">
        <v>44</v>
      </c>
      <c r="W733" t="str">
        <f>HYPERLINK("Gene3138-zp_tree_all.dnd", "Gene3138-tree")</f>
        <v>Gene3138-tree</v>
      </c>
      <c r="X733">
        <v>5</v>
      </c>
      <c r="Y733">
        <v>11</v>
      </c>
      <c r="Z733">
        <v>5</v>
      </c>
      <c r="AA733">
        <v>11</v>
      </c>
      <c r="AB733">
        <v>0.6875</v>
      </c>
      <c r="AC733" t="s">
        <v>199</v>
      </c>
      <c r="AD733" t="s">
        <v>73</v>
      </c>
      <c r="AE733">
        <v>137353515.63499999</v>
      </c>
      <c r="AF733" t="s">
        <v>267</v>
      </c>
      <c r="AG733">
        <v>5</v>
      </c>
      <c r="AH733">
        <v>14</v>
      </c>
      <c r="AI733">
        <v>14</v>
      </c>
      <c r="AJ733">
        <v>0.5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3</v>
      </c>
      <c r="AQ733">
        <v>2</v>
      </c>
      <c r="AR733">
        <v>5</v>
      </c>
      <c r="AS733">
        <v>14</v>
      </c>
      <c r="AT733">
        <v>0.26316000000000001</v>
      </c>
      <c r="AU733">
        <v>14</v>
      </c>
      <c r="AV733">
        <v>13</v>
      </c>
      <c r="AW733">
        <v>55</v>
      </c>
      <c r="AX733">
        <v>21</v>
      </c>
      <c r="AY733">
        <v>53</v>
      </c>
      <c r="AZ733">
        <v>9</v>
      </c>
      <c r="BA733" t="s">
        <v>18224</v>
      </c>
      <c r="BB733" t="s">
        <v>18225</v>
      </c>
      <c r="BC733">
        <v>1.0589999999999999</v>
      </c>
      <c r="BD733" t="s">
        <v>65</v>
      </c>
      <c r="BE733">
        <v>108</v>
      </c>
      <c r="BF733">
        <v>30</v>
      </c>
      <c r="BG733" t="s">
        <v>18226</v>
      </c>
      <c r="BH733" t="s">
        <v>18227</v>
      </c>
      <c r="BI733" t="s">
        <v>18228</v>
      </c>
      <c r="BJ733">
        <v>8.0060000000000006E-2</v>
      </c>
      <c r="BK733">
        <v>1</v>
      </c>
      <c r="BL733" t="s">
        <v>69</v>
      </c>
      <c r="BM733">
        <v>-0.104</v>
      </c>
      <c r="BN733">
        <v>-1.3129999999999999</v>
      </c>
    </row>
    <row r="734" spans="2:66">
      <c r="B734">
        <v>1141</v>
      </c>
      <c r="C734">
        <v>106</v>
      </c>
      <c r="D734">
        <v>0</v>
      </c>
      <c r="E734">
        <v>0</v>
      </c>
      <c r="F734">
        <v>2</v>
      </c>
      <c r="J734">
        <v>0</v>
      </c>
      <c r="K734">
        <v>8</v>
      </c>
      <c r="L734">
        <v>0</v>
      </c>
      <c r="M734" t="s">
        <v>25022</v>
      </c>
      <c r="N734">
        <v>3139</v>
      </c>
      <c r="O734" t="s">
        <v>18229</v>
      </c>
      <c r="P734" t="s">
        <v>62</v>
      </c>
      <c r="Q734">
        <v>3094682</v>
      </c>
      <c r="R734">
        <v>3095455</v>
      </c>
      <c r="S734" t="s">
        <v>18230</v>
      </c>
      <c r="T734">
        <v>258</v>
      </c>
      <c r="U734" t="s">
        <v>108</v>
      </c>
      <c r="V734">
        <v>44</v>
      </c>
      <c r="W734" t="str">
        <f>HYPERLINK("Gene3139-zp_tree_all.dnd", "Gene3139-tree")</f>
        <v>Gene3139-tree</v>
      </c>
      <c r="X734">
        <v>7</v>
      </c>
      <c r="Y734">
        <v>8</v>
      </c>
      <c r="Z734">
        <v>7</v>
      </c>
      <c r="AA734">
        <v>8</v>
      </c>
      <c r="AB734">
        <v>0.53332999999999997</v>
      </c>
      <c r="AC734" t="s">
        <v>152</v>
      </c>
      <c r="AD734" t="s">
        <v>136</v>
      </c>
      <c r="AE734" t="s">
        <v>62</v>
      </c>
      <c r="AF734" t="s">
        <v>62</v>
      </c>
      <c r="AG734">
        <v>2</v>
      </c>
      <c r="AH734">
        <v>8</v>
      </c>
      <c r="AI734">
        <v>13</v>
      </c>
      <c r="AJ734">
        <v>0.38095000000000001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3</v>
      </c>
      <c r="AQ734">
        <v>0</v>
      </c>
      <c r="AR734">
        <v>3</v>
      </c>
      <c r="AS734">
        <v>9</v>
      </c>
      <c r="AT734">
        <v>0.25</v>
      </c>
      <c r="AU734">
        <v>10</v>
      </c>
      <c r="AV734">
        <v>11</v>
      </c>
      <c r="AW734">
        <v>21</v>
      </c>
      <c r="AX734">
        <v>10</v>
      </c>
      <c r="AY734">
        <v>13</v>
      </c>
      <c r="AZ734">
        <v>11</v>
      </c>
      <c r="BA734" t="s">
        <v>18231</v>
      </c>
      <c r="BB734" t="s">
        <v>18232</v>
      </c>
      <c r="BC734">
        <v>0.92800000000000005</v>
      </c>
      <c r="BD734" t="s">
        <v>65</v>
      </c>
      <c r="BE734">
        <v>34</v>
      </c>
      <c r="BF734">
        <v>21</v>
      </c>
      <c r="BG734" t="s">
        <v>18233</v>
      </c>
      <c r="BH734" t="s">
        <v>18234</v>
      </c>
      <c r="BI734" t="s">
        <v>18235</v>
      </c>
      <c r="BJ734">
        <v>0.15404999999999999</v>
      </c>
      <c r="BK734">
        <v>1</v>
      </c>
      <c r="BL734" t="s">
        <v>69</v>
      </c>
      <c r="BM734">
        <v>9.9000000000000005E-2</v>
      </c>
      <c r="BN734">
        <v>-0.432</v>
      </c>
    </row>
    <row r="735" spans="2:66">
      <c r="B735">
        <v>1143</v>
      </c>
      <c r="C735">
        <v>150</v>
      </c>
      <c r="D735">
        <v>2</v>
      </c>
      <c r="E735">
        <v>5</v>
      </c>
      <c r="F735">
        <v>2</v>
      </c>
      <c r="J735">
        <v>0</v>
      </c>
      <c r="K735">
        <v>11</v>
      </c>
      <c r="L735">
        <v>4</v>
      </c>
      <c r="M735" t="s">
        <v>25022</v>
      </c>
      <c r="N735">
        <v>3140</v>
      </c>
      <c r="O735" t="s">
        <v>18236</v>
      </c>
      <c r="P735" t="s">
        <v>62</v>
      </c>
      <c r="Q735">
        <v>3095668</v>
      </c>
      <c r="R735">
        <v>3096564</v>
      </c>
      <c r="S735" t="s">
        <v>2512</v>
      </c>
      <c r="T735">
        <v>299</v>
      </c>
      <c r="U735" t="s">
        <v>108</v>
      </c>
      <c r="V735">
        <v>44</v>
      </c>
      <c r="W735" t="str">
        <f>HYPERLINK("Gene3140-zp_tree_all.dnd", "Gene3140-tree")</f>
        <v>Gene3140-tree</v>
      </c>
      <c r="X735">
        <v>5</v>
      </c>
      <c r="Y735">
        <v>11</v>
      </c>
      <c r="Z735">
        <v>5</v>
      </c>
      <c r="AA735">
        <v>11</v>
      </c>
      <c r="AB735">
        <v>0.6875</v>
      </c>
      <c r="AC735" t="s">
        <v>199</v>
      </c>
      <c r="AD735" t="s">
        <v>73</v>
      </c>
      <c r="AE735">
        <v>137353515.63499999</v>
      </c>
      <c r="AF735" t="s">
        <v>267</v>
      </c>
      <c r="AG735">
        <v>6</v>
      </c>
      <c r="AH735">
        <v>15</v>
      </c>
      <c r="AI735">
        <v>13</v>
      </c>
      <c r="AJ735">
        <v>0.53571000000000002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5</v>
      </c>
      <c r="AQ735">
        <v>2</v>
      </c>
      <c r="AR735">
        <v>7</v>
      </c>
      <c r="AS735">
        <v>13</v>
      </c>
      <c r="AT735">
        <v>0.35</v>
      </c>
      <c r="AU735">
        <v>14</v>
      </c>
      <c r="AV735">
        <v>8</v>
      </c>
      <c r="AW735">
        <v>39</v>
      </c>
      <c r="AX735">
        <v>20</v>
      </c>
      <c r="AY735">
        <v>8</v>
      </c>
      <c r="AZ735">
        <v>8</v>
      </c>
      <c r="BA735" t="s">
        <v>18237</v>
      </c>
      <c r="BB735" t="s">
        <v>18238</v>
      </c>
      <c r="BC735">
        <v>0.65400000000000003</v>
      </c>
      <c r="BD735" t="s">
        <v>65</v>
      </c>
      <c r="BE735">
        <v>47</v>
      </c>
      <c r="BF735">
        <v>28</v>
      </c>
      <c r="BG735" t="s">
        <v>18239</v>
      </c>
      <c r="BH735" t="s">
        <v>18240</v>
      </c>
      <c r="BI735" t="s">
        <v>18241</v>
      </c>
      <c r="BJ735">
        <v>0.16965</v>
      </c>
      <c r="BK735">
        <v>1</v>
      </c>
      <c r="BL735" t="s">
        <v>69</v>
      </c>
      <c r="BM735">
        <v>-1.32</v>
      </c>
      <c r="BN735">
        <v>-2.141</v>
      </c>
    </row>
    <row r="736" spans="2:66">
      <c r="B736">
        <v>1145</v>
      </c>
      <c r="C736">
        <v>49</v>
      </c>
      <c r="D736">
        <v>0</v>
      </c>
      <c r="E736">
        <v>16</v>
      </c>
      <c r="F736">
        <v>0</v>
      </c>
      <c r="J736">
        <v>0</v>
      </c>
      <c r="K736">
        <v>0</v>
      </c>
      <c r="L736">
        <v>0</v>
      </c>
      <c r="M736" t="s">
        <v>25022</v>
      </c>
      <c r="N736">
        <v>3146</v>
      </c>
      <c r="O736" t="s">
        <v>18273</v>
      </c>
      <c r="P736" t="s">
        <v>62</v>
      </c>
      <c r="Q736">
        <v>3102204</v>
      </c>
      <c r="R736">
        <v>3102512</v>
      </c>
      <c r="S736" t="s">
        <v>14942</v>
      </c>
      <c r="T736">
        <v>103</v>
      </c>
      <c r="U736" t="s">
        <v>125</v>
      </c>
      <c r="V736">
        <v>48</v>
      </c>
      <c r="W736" t="str">
        <f>HYPERLINK("Gene3146-zp_tree_all.dnd", "Gene3146-tree")</f>
        <v>Gene3146-tree</v>
      </c>
      <c r="X736">
        <v>36</v>
      </c>
      <c r="Y736">
        <v>4</v>
      </c>
      <c r="Z736">
        <v>6</v>
      </c>
      <c r="AA736">
        <v>4</v>
      </c>
      <c r="AB736">
        <v>0.4</v>
      </c>
      <c r="AC736" t="s">
        <v>7321</v>
      </c>
      <c r="AD736" t="s">
        <v>61</v>
      </c>
      <c r="AE736" t="s">
        <v>62</v>
      </c>
      <c r="AF736" t="s">
        <v>62</v>
      </c>
      <c r="AG736">
        <v>0</v>
      </c>
      <c r="AH736">
        <v>0</v>
      </c>
      <c r="AI736">
        <v>7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5</v>
      </c>
      <c r="AT736">
        <v>0</v>
      </c>
      <c r="AU736">
        <v>7</v>
      </c>
      <c r="AV736">
        <v>4</v>
      </c>
      <c r="AW736">
        <v>8</v>
      </c>
      <c r="AX736">
        <v>5</v>
      </c>
      <c r="AY736">
        <v>9</v>
      </c>
      <c r="AZ736">
        <v>2</v>
      </c>
      <c r="BA736" t="s">
        <v>18274</v>
      </c>
      <c r="BB736" t="s">
        <v>18275</v>
      </c>
      <c r="BC736">
        <v>0.48699999999999999</v>
      </c>
      <c r="BD736" t="s">
        <v>65</v>
      </c>
      <c r="BE736">
        <v>17</v>
      </c>
      <c r="BF736">
        <v>7</v>
      </c>
      <c r="BG736" t="s">
        <v>18276</v>
      </c>
      <c r="BH736" t="s">
        <v>18277</v>
      </c>
      <c r="BI736" t="s">
        <v>18278</v>
      </c>
      <c r="BJ736">
        <v>7.7200000000000005E-2</v>
      </c>
      <c r="BK736">
        <v>1</v>
      </c>
      <c r="BL736" t="s">
        <v>69</v>
      </c>
      <c r="BM736">
        <v>-1.722</v>
      </c>
      <c r="BN736">
        <v>0.48199999999999998</v>
      </c>
    </row>
    <row r="737" spans="2:66">
      <c r="B737">
        <v>1146</v>
      </c>
      <c r="C737">
        <v>228</v>
      </c>
      <c r="D737">
        <v>0</v>
      </c>
      <c r="E737">
        <v>3</v>
      </c>
      <c r="F737">
        <v>0</v>
      </c>
      <c r="J737">
        <v>0</v>
      </c>
      <c r="K737">
        <v>20</v>
      </c>
      <c r="L737">
        <v>4</v>
      </c>
      <c r="M737" t="s">
        <v>25022</v>
      </c>
      <c r="N737">
        <v>3147</v>
      </c>
      <c r="O737" t="s">
        <v>18279</v>
      </c>
      <c r="P737" t="s">
        <v>62</v>
      </c>
      <c r="Q737">
        <v>3102632</v>
      </c>
      <c r="R737">
        <v>3105043</v>
      </c>
      <c r="S737" t="s">
        <v>18280</v>
      </c>
      <c r="T737">
        <v>804</v>
      </c>
      <c r="U737" t="s">
        <v>59</v>
      </c>
      <c r="V737">
        <v>49</v>
      </c>
      <c r="W737" t="str">
        <f>HYPERLINK("Gene3147-zp_tree_all.dnd", "Gene3147-tree")</f>
        <v>Gene3147-tree</v>
      </c>
      <c r="X737">
        <v>27</v>
      </c>
      <c r="Y737">
        <v>11</v>
      </c>
      <c r="Z737">
        <v>10</v>
      </c>
      <c r="AA737">
        <v>11</v>
      </c>
      <c r="AB737">
        <v>0.52381</v>
      </c>
      <c r="AC737" t="s">
        <v>2980</v>
      </c>
      <c r="AD737" t="s">
        <v>73</v>
      </c>
      <c r="AE737">
        <v>3.2029999999999998</v>
      </c>
      <c r="AF737" t="s">
        <v>267</v>
      </c>
      <c r="AG737">
        <v>8</v>
      </c>
      <c r="AH737">
        <v>24</v>
      </c>
      <c r="AI737">
        <v>22</v>
      </c>
      <c r="AJ737">
        <v>0.52173999999999998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5</v>
      </c>
      <c r="AQ737">
        <v>0</v>
      </c>
      <c r="AR737">
        <v>5</v>
      </c>
      <c r="AS737">
        <v>15</v>
      </c>
      <c r="AT737">
        <v>0.25</v>
      </c>
      <c r="AU737">
        <v>21</v>
      </c>
      <c r="AV737">
        <v>18</v>
      </c>
      <c r="AW737">
        <v>122</v>
      </c>
      <c r="AX737">
        <v>20</v>
      </c>
      <c r="AY737">
        <v>176</v>
      </c>
      <c r="AZ737">
        <v>26</v>
      </c>
      <c r="BA737" t="s">
        <v>18281</v>
      </c>
      <c r="BB737" t="s">
        <v>18282</v>
      </c>
      <c r="BC737">
        <v>0.109</v>
      </c>
      <c r="BD737" t="s">
        <v>65</v>
      </c>
      <c r="BE737">
        <v>298</v>
      </c>
      <c r="BF737">
        <v>46</v>
      </c>
      <c r="BG737" t="s">
        <v>18283</v>
      </c>
      <c r="BH737" t="s">
        <v>18284</v>
      </c>
      <c r="BI737" t="s">
        <v>18285</v>
      </c>
      <c r="BJ737">
        <v>3.6260000000000001E-2</v>
      </c>
      <c r="BK737">
        <v>1</v>
      </c>
      <c r="BL737" t="s">
        <v>69</v>
      </c>
      <c r="BM737">
        <v>-1.0569999999999999</v>
      </c>
      <c r="BN737">
        <v>-0.66100000000000003</v>
      </c>
    </row>
    <row r="738" spans="2:66">
      <c r="B738">
        <v>1147</v>
      </c>
      <c r="C738">
        <v>94</v>
      </c>
      <c r="D738">
        <v>0</v>
      </c>
      <c r="E738">
        <v>2</v>
      </c>
      <c r="F738">
        <v>0</v>
      </c>
      <c r="J738">
        <v>0</v>
      </c>
      <c r="K738">
        <v>2</v>
      </c>
      <c r="L738">
        <v>0</v>
      </c>
      <c r="M738" t="s">
        <v>25022</v>
      </c>
      <c r="N738">
        <v>3148</v>
      </c>
      <c r="O738" t="s">
        <v>18286</v>
      </c>
      <c r="P738" t="s">
        <v>62</v>
      </c>
      <c r="Q738">
        <v>3105473</v>
      </c>
      <c r="R738">
        <v>3105805</v>
      </c>
      <c r="S738" t="s">
        <v>18287</v>
      </c>
      <c r="T738">
        <v>111</v>
      </c>
      <c r="U738" t="s">
        <v>59</v>
      </c>
      <c r="V738">
        <v>49</v>
      </c>
      <c r="W738" t="str">
        <f>HYPERLINK("Gene3148-zp_tree_all.dnd", "Gene3148-tree")</f>
        <v>Gene3148-tree</v>
      </c>
      <c r="X738">
        <v>45</v>
      </c>
      <c r="Y738">
        <v>0</v>
      </c>
      <c r="Z738">
        <v>8</v>
      </c>
      <c r="AA738">
        <v>0</v>
      </c>
      <c r="AB738">
        <v>0</v>
      </c>
      <c r="AC738" t="s">
        <v>18288</v>
      </c>
      <c r="AD738" t="s">
        <v>62</v>
      </c>
      <c r="AE738" t="s">
        <v>62</v>
      </c>
      <c r="AF738" t="s">
        <v>62</v>
      </c>
      <c r="AG738">
        <v>1</v>
      </c>
      <c r="AH738">
        <v>2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6</v>
      </c>
      <c r="AV738">
        <v>4</v>
      </c>
      <c r="AW738">
        <v>7</v>
      </c>
      <c r="AX738">
        <v>0</v>
      </c>
      <c r="AY738">
        <v>4</v>
      </c>
      <c r="AZ738">
        <v>2</v>
      </c>
      <c r="BA738" t="s">
        <v>193</v>
      </c>
      <c r="BB738" t="s">
        <v>18289</v>
      </c>
      <c r="BC738">
        <v>2</v>
      </c>
      <c r="BD738" t="s">
        <v>65</v>
      </c>
      <c r="BE738">
        <v>11</v>
      </c>
      <c r="BF738">
        <v>2</v>
      </c>
      <c r="BG738" t="s">
        <v>18290</v>
      </c>
      <c r="BH738" t="s">
        <v>18291</v>
      </c>
      <c r="BI738" t="s">
        <v>18292</v>
      </c>
      <c r="BJ738">
        <v>3.3169999999999998E-2</v>
      </c>
      <c r="BK738">
        <v>1</v>
      </c>
      <c r="BL738" t="s">
        <v>69</v>
      </c>
      <c r="BM738">
        <v>-0.76100000000000001</v>
      </c>
      <c r="BN738">
        <v>-0.27500000000000002</v>
      </c>
    </row>
    <row r="739" spans="2:66">
      <c r="B739">
        <v>1148</v>
      </c>
      <c r="C739">
        <v>75</v>
      </c>
      <c r="D739">
        <v>0</v>
      </c>
      <c r="E739">
        <v>4</v>
      </c>
      <c r="F739">
        <v>0</v>
      </c>
      <c r="J739">
        <v>0</v>
      </c>
      <c r="K739">
        <v>10</v>
      </c>
      <c r="L739">
        <v>0</v>
      </c>
      <c r="M739" t="s">
        <v>25022</v>
      </c>
      <c r="N739">
        <v>3150</v>
      </c>
      <c r="O739" t="s">
        <v>18300</v>
      </c>
      <c r="P739" t="s">
        <v>62</v>
      </c>
      <c r="Q739">
        <v>3107235</v>
      </c>
      <c r="R739">
        <v>3108425</v>
      </c>
      <c r="S739" t="s">
        <v>2641</v>
      </c>
      <c r="T739">
        <v>397</v>
      </c>
      <c r="U739" t="s">
        <v>108</v>
      </c>
      <c r="V739">
        <v>44</v>
      </c>
      <c r="W739" t="str">
        <f>HYPERLINK("Gene3150-zp_tree_all.dnd", "Gene3150-tree")</f>
        <v>Gene3150-tree</v>
      </c>
      <c r="X739">
        <v>6</v>
      </c>
      <c r="Y739">
        <v>10</v>
      </c>
      <c r="Z739">
        <v>6</v>
      </c>
      <c r="AA739">
        <v>10</v>
      </c>
      <c r="AB739">
        <v>0.625</v>
      </c>
      <c r="AC739" t="s">
        <v>90</v>
      </c>
      <c r="AD739" t="s">
        <v>117</v>
      </c>
      <c r="AE739" t="s">
        <v>62</v>
      </c>
      <c r="AF739" t="s">
        <v>62</v>
      </c>
      <c r="AG739">
        <v>4</v>
      </c>
      <c r="AH739">
        <v>10</v>
      </c>
      <c r="AI739">
        <v>19</v>
      </c>
      <c r="AJ739">
        <v>0.34483000000000003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7</v>
      </c>
      <c r="AQ739">
        <v>0</v>
      </c>
      <c r="AR739">
        <v>7</v>
      </c>
      <c r="AS739">
        <v>15</v>
      </c>
      <c r="AT739">
        <v>0.31818000000000002</v>
      </c>
      <c r="AU739">
        <v>10</v>
      </c>
      <c r="AV739">
        <v>12</v>
      </c>
      <c r="AW739">
        <v>38</v>
      </c>
      <c r="AX739">
        <v>23</v>
      </c>
      <c r="AY739">
        <v>46</v>
      </c>
      <c r="AZ739">
        <v>10</v>
      </c>
      <c r="BA739" t="s">
        <v>18301</v>
      </c>
      <c r="BB739" t="s">
        <v>18302</v>
      </c>
      <c r="BC739">
        <v>0.71699999999999997</v>
      </c>
      <c r="BD739" t="s">
        <v>65</v>
      </c>
      <c r="BE739">
        <v>84</v>
      </c>
      <c r="BF739">
        <v>33</v>
      </c>
      <c r="BG739" t="s">
        <v>18303</v>
      </c>
      <c r="BH739" t="s">
        <v>18304</v>
      </c>
      <c r="BI739" t="s">
        <v>18305</v>
      </c>
      <c r="BJ739">
        <v>0.11638</v>
      </c>
      <c r="BK739">
        <v>1</v>
      </c>
      <c r="BL739" t="s">
        <v>69</v>
      </c>
      <c r="BM739">
        <v>3.5999999999999997E-2</v>
      </c>
      <c r="BN739">
        <v>-1.1040000000000001</v>
      </c>
    </row>
    <row r="740" spans="2:66">
      <c r="B740">
        <v>1150</v>
      </c>
      <c r="C740">
        <v>210</v>
      </c>
      <c r="D740">
        <v>0</v>
      </c>
      <c r="E740">
        <v>4</v>
      </c>
      <c r="F740">
        <v>2</v>
      </c>
      <c r="J740">
        <v>0</v>
      </c>
      <c r="K740">
        <v>16</v>
      </c>
      <c r="L740">
        <v>4</v>
      </c>
      <c r="M740" t="s">
        <v>25022</v>
      </c>
      <c r="N740">
        <v>3152</v>
      </c>
      <c r="O740" t="s">
        <v>18312</v>
      </c>
      <c r="P740" t="s">
        <v>62</v>
      </c>
      <c r="Q740">
        <v>3109400</v>
      </c>
      <c r="R740">
        <v>3111337</v>
      </c>
      <c r="S740" t="s">
        <v>18313</v>
      </c>
      <c r="T740">
        <v>646</v>
      </c>
      <c r="U740" t="s">
        <v>108</v>
      </c>
      <c r="V740">
        <v>44</v>
      </c>
      <c r="W740" t="str">
        <f>HYPERLINK("Gene3152-zp_tree_all.dnd", "Gene3152-tree")</f>
        <v>Gene3152-tree</v>
      </c>
      <c r="X740">
        <v>6</v>
      </c>
      <c r="Y740">
        <v>10</v>
      </c>
      <c r="Z740">
        <v>6</v>
      </c>
      <c r="AA740">
        <v>10</v>
      </c>
      <c r="AB740">
        <v>0.625</v>
      </c>
      <c r="AC740" t="s">
        <v>90</v>
      </c>
      <c r="AD740" t="s">
        <v>117</v>
      </c>
      <c r="AE740" t="s">
        <v>62</v>
      </c>
      <c r="AF740" t="s">
        <v>62</v>
      </c>
      <c r="AG740">
        <v>8</v>
      </c>
      <c r="AH740">
        <v>20</v>
      </c>
      <c r="AI740">
        <v>18</v>
      </c>
      <c r="AJ740">
        <v>0.52632000000000001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7</v>
      </c>
      <c r="AQ740">
        <v>0</v>
      </c>
      <c r="AR740">
        <v>7</v>
      </c>
      <c r="AS740">
        <v>20</v>
      </c>
      <c r="AT740">
        <v>0.25925999999999999</v>
      </c>
      <c r="AU740">
        <v>13</v>
      </c>
      <c r="AV740">
        <v>13</v>
      </c>
      <c r="AW740">
        <v>95</v>
      </c>
      <c r="AX740">
        <v>29</v>
      </c>
      <c r="AY740">
        <v>54</v>
      </c>
      <c r="AZ740">
        <v>11</v>
      </c>
      <c r="BA740" t="s">
        <v>18314</v>
      </c>
      <c r="BB740" t="s">
        <v>18315</v>
      </c>
      <c r="BC740">
        <v>0.54700000000000004</v>
      </c>
      <c r="BD740" t="s">
        <v>65</v>
      </c>
      <c r="BE740">
        <v>149</v>
      </c>
      <c r="BF740">
        <v>40</v>
      </c>
      <c r="BG740" t="s">
        <v>18316</v>
      </c>
      <c r="BH740" t="s">
        <v>18317</v>
      </c>
      <c r="BI740" t="s">
        <v>18318</v>
      </c>
      <c r="BJ740">
        <v>8.0860000000000001E-2</v>
      </c>
      <c r="BK740">
        <v>1</v>
      </c>
      <c r="BL740" t="s">
        <v>69</v>
      </c>
      <c r="BM740">
        <v>-0.998</v>
      </c>
      <c r="BN740">
        <v>-2.1829999999999998</v>
      </c>
    </row>
    <row r="741" spans="2:66">
      <c r="B741">
        <v>1151</v>
      </c>
      <c r="C741">
        <v>171</v>
      </c>
      <c r="D741">
        <v>0</v>
      </c>
      <c r="E741">
        <v>0</v>
      </c>
      <c r="F741">
        <v>2</v>
      </c>
      <c r="J741">
        <v>0</v>
      </c>
      <c r="K741">
        <v>0</v>
      </c>
      <c r="L741">
        <v>0</v>
      </c>
      <c r="M741" t="s">
        <v>25022</v>
      </c>
      <c r="N741">
        <v>3153</v>
      </c>
      <c r="O741" t="s">
        <v>18319</v>
      </c>
      <c r="P741" t="s">
        <v>62</v>
      </c>
      <c r="Q741">
        <v>3111330</v>
      </c>
      <c r="R741">
        <v>3112088</v>
      </c>
      <c r="S741" t="s">
        <v>18320</v>
      </c>
      <c r="T741">
        <v>253</v>
      </c>
      <c r="U741" t="s">
        <v>108</v>
      </c>
      <c r="V741">
        <v>44</v>
      </c>
      <c r="W741" t="str">
        <f>HYPERLINK("Gene3153-zp_tree_all.dnd", "Gene3153-tree")</f>
        <v>Gene3153-tree</v>
      </c>
      <c r="X741">
        <v>10</v>
      </c>
      <c r="Y741">
        <v>3</v>
      </c>
      <c r="Z741">
        <v>10</v>
      </c>
      <c r="AA741">
        <v>3</v>
      </c>
      <c r="AB741">
        <v>0.23077</v>
      </c>
      <c r="AC741" t="s">
        <v>117</v>
      </c>
      <c r="AD741" t="s">
        <v>324</v>
      </c>
      <c r="AE741" t="s">
        <v>62</v>
      </c>
      <c r="AF741" t="s">
        <v>62</v>
      </c>
      <c r="AG741">
        <v>0</v>
      </c>
      <c r="AH741">
        <v>0</v>
      </c>
      <c r="AI741">
        <v>5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5</v>
      </c>
      <c r="AT741">
        <v>0</v>
      </c>
      <c r="AU741">
        <v>11</v>
      </c>
      <c r="AV741">
        <v>5</v>
      </c>
      <c r="AW741">
        <v>30</v>
      </c>
      <c r="AX741">
        <v>5</v>
      </c>
      <c r="AY741">
        <v>8</v>
      </c>
      <c r="AZ741">
        <v>0</v>
      </c>
      <c r="BA741" t="s">
        <v>18321</v>
      </c>
      <c r="BB741" t="s">
        <v>193</v>
      </c>
      <c r="BC741">
        <v>0.45800000000000002</v>
      </c>
      <c r="BD741" t="s">
        <v>65</v>
      </c>
      <c r="BE741">
        <v>38</v>
      </c>
      <c r="BF741">
        <v>5</v>
      </c>
      <c r="BG741" t="s">
        <v>18322</v>
      </c>
      <c r="BH741" t="s">
        <v>18323</v>
      </c>
      <c r="BI741" t="s">
        <v>18324</v>
      </c>
      <c r="BJ741">
        <v>2.401E-2</v>
      </c>
      <c r="BK741">
        <v>1</v>
      </c>
      <c r="BL741" t="s">
        <v>69</v>
      </c>
      <c r="BM741">
        <v>-1.456</v>
      </c>
      <c r="BN741">
        <v>-3.9940000000000002</v>
      </c>
    </row>
    <row r="742" spans="2:66">
      <c r="B742">
        <v>1153</v>
      </c>
      <c r="C742">
        <v>30</v>
      </c>
      <c r="D742">
        <v>0</v>
      </c>
      <c r="E742">
        <v>14</v>
      </c>
      <c r="F742">
        <v>2</v>
      </c>
      <c r="J742">
        <v>0</v>
      </c>
      <c r="K742">
        <v>0</v>
      </c>
      <c r="L742">
        <v>4</v>
      </c>
      <c r="M742" t="s">
        <v>25022</v>
      </c>
      <c r="N742">
        <v>3154</v>
      </c>
      <c r="O742" t="s">
        <v>18325</v>
      </c>
      <c r="P742" t="s">
        <v>62</v>
      </c>
      <c r="Q742">
        <v>3112193</v>
      </c>
      <c r="R742">
        <v>3113194</v>
      </c>
      <c r="S742" t="s">
        <v>18326</v>
      </c>
      <c r="T742">
        <v>334</v>
      </c>
      <c r="U742" t="s">
        <v>108</v>
      </c>
      <c r="V742">
        <v>44</v>
      </c>
      <c r="W742" t="str">
        <f>HYPERLINK("Gene3154-zp_tree_all.dnd", "Gene3154-tree")</f>
        <v>Gene3154-tree</v>
      </c>
      <c r="X742">
        <v>8</v>
      </c>
      <c r="Y742">
        <v>7</v>
      </c>
      <c r="Z742">
        <v>8</v>
      </c>
      <c r="AA742">
        <v>7</v>
      </c>
      <c r="AB742">
        <v>0.46666999999999997</v>
      </c>
      <c r="AC742" t="s">
        <v>136</v>
      </c>
      <c r="AD742" t="s">
        <v>152</v>
      </c>
      <c r="AE742" t="s">
        <v>62</v>
      </c>
      <c r="AF742" t="s">
        <v>62</v>
      </c>
      <c r="AG742">
        <v>2</v>
      </c>
      <c r="AH742">
        <v>4</v>
      </c>
      <c r="AI742">
        <v>17</v>
      </c>
      <c r="AJ742">
        <v>0.19048000000000001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17</v>
      </c>
      <c r="AT742">
        <v>0</v>
      </c>
      <c r="AU742">
        <v>13</v>
      </c>
      <c r="AV742">
        <v>9</v>
      </c>
      <c r="AW742">
        <v>44</v>
      </c>
      <c r="AX742">
        <v>17</v>
      </c>
      <c r="AY742">
        <v>15</v>
      </c>
      <c r="AZ742">
        <v>4</v>
      </c>
      <c r="BA742" t="s">
        <v>18327</v>
      </c>
      <c r="BB742" t="s">
        <v>18328</v>
      </c>
      <c r="BC742">
        <v>0.27300000000000002</v>
      </c>
      <c r="BD742" t="s">
        <v>65</v>
      </c>
      <c r="BE742">
        <v>59</v>
      </c>
      <c r="BF742">
        <v>21</v>
      </c>
      <c r="BG742" t="s">
        <v>18329</v>
      </c>
      <c r="BH742" t="s">
        <v>18330</v>
      </c>
      <c r="BI742" t="s">
        <v>18331</v>
      </c>
      <c r="BJ742">
        <v>0.1167</v>
      </c>
      <c r="BK742">
        <v>1</v>
      </c>
      <c r="BL742" t="s">
        <v>69</v>
      </c>
      <c r="BM742">
        <v>-1.1879999999999999</v>
      </c>
      <c r="BN742">
        <v>-2.141</v>
      </c>
    </row>
    <row r="743" spans="2:66">
      <c r="B743">
        <v>1155</v>
      </c>
      <c r="C743">
        <v>22</v>
      </c>
      <c r="D743">
        <v>0</v>
      </c>
      <c r="E743">
        <v>7</v>
      </c>
      <c r="F743">
        <v>0</v>
      </c>
      <c r="J743">
        <v>0</v>
      </c>
      <c r="K743">
        <v>9</v>
      </c>
      <c r="L743">
        <v>3</v>
      </c>
      <c r="M743" t="s">
        <v>25022</v>
      </c>
      <c r="N743">
        <v>3155</v>
      </c>
      <c r="O743" t="s">
        <v>18332</v>
      </c>
      <c r="P743" t="s">
        <v>62</v>
      </c>
      <c r="Q743">
        <v>3113190</v>
      </c>
      <c r="R743">
        <v>3113882</v>
      </c>
      <c r="S743" t="s">
        <v>18333</v>
      </c>
      <c r="T743">
        <v>231</v>
      </c>
      <c r="U743" t="s">
        <v>265</v>
      </c>
      <c r="V743">
        <v>43</v>
      </c>
      <c r="W743" t="str">
        <f>HYPERLINK("Gene3155-zp_tree_all.dnd", "Gene3155-tree")</f>
        <v>Gene3155-tree</v>
      </c>
      <c r="X743">
        <v>8</v>
      </c>
      <c r="Y743">
        <v>7</v>
      </c>
      <c r="Z743">
        <v>8</v>
      </c>
      <c r="AA743">
        <v>7</v>
      </c>
      <c r="AB743">
        <v>0.46666999999999997</v>
      </c>
      <c r="AC743" t="s">
        <v>136</v>
      </c>
      <c r="AD743" t="s">
        <v>152</v>
      </c>
      <c r="AE743" t="s">
        <v>62</v>
      </c>
      <c r="AF743" t="s">
        <v>62</v>
      </c>
      <c r="AG743">
        <v>5</v>
      </c>
      <c r="AH743">
        <v>12</v>
      </c>
      <c r="AI743">
        <v>3</v>
      </c>
      <c r="AJ743">
        <v>0.8</v>
      </c>
      <c r="AK743">
        <v>0</v>
      </c>
      <c r="AL743">
        <v>0</v>
      </c>
      <c r="AM743">
        <v>0</v>
      </c>
      <c r="AN743">
        <v>3</v>
      </c>
      <c r="AO743">
        <v>0</v>
      </c>
      <c r="AP743">
        <v>2</v>
      </c>
      <c r="AQ743">
        <v>2</v>
      </c>
      <c r="AR743">
        <v>4</v>
      </c>
      <c r="AS743">
        <v>6</v>
      </c>
      <c r="AT743">
        <v>0.4</v>
      </c>
      <c r="AU743">
        <v>13</v>
      </c>
      <c r="AV743">
        <v>9</v>
      </c>
      <c r="AW743">
        <v>25</v>
      </c>
      <c r="AX743">
        <v>10</v>
      </c>
      <c r="AY743">
        <v>15</v>
      </c>
      <c r="AZ743">
        <v>5</v>
      </c>
      <c r="BA743" t="s">
        <v>18334</v>
      </c>
      <c r="BB743" t="s">
        <v>18335</v>
      </c>
      <c r="BC743">
        <v>0.183</v>
      </c>
      <c r="BD743" t="s">
        <v>65</v>
      </c>
      <c r="BE743">
        <v>40</v>
      </c>
      <c r="BF743">
        <v>15</v>
      </c>
      <c r="BG743" t="s">
        <v>18336</v>
      </c>
      <c r="BH743" t="s">
        <v>18337</v>
      </c>
      <c r="BI743" t="s">
        <v>18338</v>
      </c>
      <c r="BJ743">
        <v>0.10455</v>
      </c>
      <c r="BK743">
        <v>1</v>
      </c>
      <c r="BL743" t="s">
        <v>69</v>
      </c>
      <c r="BM743">
        <v>-1.0549999999999999</v>
      </c>
      <c r="BN743">
        <v>-1.1140000000000001</v>
      </c>
    </row>
    <row r="744" spans="2:66">
      <c r="B744">
        <v>1156</v>
      </c>
      <c r="C744">
        <v>142</v>
      </c>
      <c r="D744">
        <v>0</v>
      </c>
      <c r="E744">
        <v>4</v>
      </c>
      <c r="F744">
        <v>0</v>
      </c>
      <c r="J744">
        <v>0</v>
      </c>
      <c r="K744">
        <v>7</v>
      </c>
      <c r="L744">
        <v>0</v>
      </c>
      <c r="M744" t="s">
        <v>25022</v>
      </c>
      <c r="N744">
        <v>3156</v>
      </c>
      <c r="O744" t="s">
        <v>18339</v>
      </c>
      <c r="P744" t="s">
        <v>62</v>
      </c>
      <c r="Q744">
        <v>3113982</v>
      </c>
      <c r="R744">
        <v>3115289</v>
      </c>
      <c r="S744" t="s">
        <v>18340</v>
      </c>
      <c r="T744">
        <v>436</v>
      </c>
      <c r="U744" t="s">
        <v>108</v>
      </c>
      <c r="V744">
        <v>44</v>
      </c>
      <c r="W744" t="str">
        <f>HYPERLINK("Gene3156-zp_tree_all.dnd", "Gene3156-tree")</f>
        <v>Gene3156-tree</v>
      </c>
      <c r="X744">
        <v>9</v>
      </c>
      <c r="Y744">
        <v>6</v>
      </c>
      <c r="Z744">
        <v>9</v>
      </c>
      <c r="AA744">
        <v>6</v>
      </c>
      <c r="AB744">
        <v>0.4</v>
      </c>
      <c r="AC744" t="s">
        <v>135</v>
      </c>
      <c r="AD744" t="s">
        <v>90</v>
      </c>
      <c r="AE744" t="s">
        <v>62</v>
      </c>
      <c r="AF744" t="s">
        <v>62</v>
      </c>
      <c r="AG744">
        <v>3</v>
      </c>
      <c r="AH744">
        <v>7</v>
      </c>
      <c r="AI744">
        <v>9</v>
      </c>
      <c r="AJ744">
        <v>0.4375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8</v>
      </c>
      <c r="AT744">
        <v>0</v>
      </c>
      <c r="AU744">
        <v>15</v>
      </c>
      <c r="AV744">
        <v>10</v>
      </c>
      <c r="AW744">
        <v>48</v>
      </c>
      <c r="AX744">
        <v>8</v>
      </c>
      <c r="AY744">
        <v>36</v>
      </c>
      <c r="AZ744">
        <v>8</v>
      </c>
      <c r="BA744" t="s">
        <v>18341</v>
      </c>
      <c r="BB744" t="s">
        <v>18342</v>
      </c>
      <c r="BC744">
        <v>0.23200000000000001</v>
      </c>
      <c r="BD744" t="s">
        <v>65</v>
      </c>
      <c r="BE744">
        <v>84</v>
      </c>
      <c r="BF744">
        <v>16</v>
      </c>
      <c r="BG744" t="s">
        <v>18343</v>
      </c>
      <c r="BH744" t="s">
        <v>18344</v>
      </c>
      <c r="BI744" t="s">
        <v>18345</v>
      </c>
      <c r="BJ744">
        <v>5.1360000000000003E-2</v>
      </c>
      <c r="BK744">
        <v>1</v>
      </c>
      <c r="BL744" t="s">
        <v>69</v>
      </c>
      <c r="BM744">
        <v>0.16600000000000001</v>
      </c>
      <c r="BN744">
        <v>0.3</v>
      </c>
    </row>
    <row r="745" spans="2:66">
      <c r="B745">
        <v>1157</v>
      </c>
      <c r="C745">
        <v>29</v>
      </c>
      <c r="D745">
        <v>0</v>
      </c>
      <c r="E745">
        <v>2</v>
      </c>
      <c r="F745">
        <v>2</v>
      </c>
      <c r="J745">
        <v>0</v>
      </c>
      <c r="K745">
        <v>0</v>
      </c>
      <c r="L745">
        <v>0</v>
      </c>
      <c r="M745" t="s">
        <v>25022</v>
      </c>
      <c r="N745">
        <v>3157</v>
      </c>
      <c r="O745" t="s">
        <v>18346</v>
      </c>
      <c r="P745" t="s">
        <v>62</v>
      </c>
      <c r="Q745">
        <v>3115282</v>
      </c>
      <c r="R745">
        <v>3115974</v>
      </c>
      <c r="S745" t="s">
        <v>18347</v>
      </c>
      <c r="T745">
        <v>231</v>
      </c>
      <c r="U745" t="s">
        <v>108</v>
      </c>
      <c r="V745">
        <v>44</v>
      </c>
      <c r="W745" t="str">
        <f>HYPERLINK("Gene3157-zp_tree_all.dnd", "Gene3157-tree")</f>
        <v>Gene3157-tree</v>
      </c>
      <c r="X745">
        <v>12</v>
      </c>
      <c r="Y745">
        <v>1</v>
      </c>
      <c r="Z745">
        <v>12</v>
      </c>
      <c r="AA745">
        <v>1</v>
      </c>
      <c r="AB745">
        <v>7.6920000000000002E-2</v>
      </c>
      <c r="AC745" t="s">
        <v>109</v>
      </c>
      <c r="AD745" t="s">
        <v>175</v>
      </c>
      <c r="AE745" t="s">
        <v>62</v>
      </c>
      <c r="AF745" t="s">
        <v>62</v>
      </c>
      <c r="AG745">
        <v>0</v>
      </c>
      <c r="AH745">
        <v>0</v>
      </c>
      <c r="AI745">
        <v>2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9</v>
      </c>
      <c r="AV745">
        <v>9</v>
      </c>
      <c r="AW745">
        <v>41</v>
      </c>
      <c r="AX745">
        <v>1</v>
      </c>
      <c r="AY745">
        <v>34</v>
      </c>
      <c r="AZ745">
        <v>1</v>
      </c>
      <c r="BA745" t="s">
        <v>18348</v>
      </c>
      <c r="BB745" t="s">
        <v>18349</v>
      </c>
      <c r="BC745">
        <v>5.0999999999999997E-2</v>
      </c>
      <c r="BD745" t="s">
        <v>65</v>
      </c>
      <c r="BE745">
        <v>75</v>
      </c>
      <c r="BF745">
        <v>2</v>
      </c>
      <c r="BG745" t="s">
        <v>18350</v>
      </c>
      <c r="BH745" t="s">
        <v>18351</v>
      </c>
      <c r="BI745" t="s">
        <v>18352</v>
      </c>
      <c r="BJ745">
        <v>1.2370000000000001E-2</v>
      </c>
      <c r="BK745">
        <v>1</v>
      </c>
      <c r="BL745" t="s">
        <v>69</v>
      </c>
      <c r="BM745">
        <v>0.124</v>
      </c>
      <c r="BN745">
        <v>0.14599999999999999</v>
      </c>
    </row>
    <row r="746" spans="2:66">
      <c r="B746">
        <v>1158</v>
      </c>
      <c r="C746">
        <v>259</v>
      </c>
      <c r="D746">
        <v>0</v>
      </c>
      <c r="E746">
        <v>6</v>
      </c>
      <c r="F746">
        <v>2</v>
      </c>
      <c r="J746">
        <v>0</v>
      </c>
      <c r="K746">
        <v>17</v>
      </c>
      <c r="L746">
        <v>2</v>
      </c>
      <c r="M746" t="s">
        <v>25022</v>
      </c>
      <c r="N746">
        <v>3158</v>
      </c>
      <c r="O746" t="s">
        <v>18353</v>
      </c>
      <c r="P746" t="s">
        <v>62</v>
      </c>
      <c r="Q746">
        <v>3115992</v>
      </c>
      <c r="R746">
        <v>3116966</v>
      </c>
      <c r="S746" t="s">
        <v>18354</v>
      </c>
      <c r="T746">
        <v>325</v>
      </c>
      <c r="U746" t="s">
        <v>18355</v>
      </c>
      <c r="V746">
        <v>28</v>
      </c>
      <c r="W746" t="str">
        <f>HYPERLINK("Gene3158-zp_tree_all.dnd", "Gene3158-tree")</f>
        <v>Gene3158-tree</v>
      </c>
      <c r="X746">
        <v>1</v>
      </c>
      <c r="Y746">
        <v>7</v>
      </c>
      <c r="Z746">
        <v>1</v>
      </c>
      <c r="AA746">
        <v>7</v>
      </c>
      <c r="AB746">
        <v>0.875</v>
      </c>
      <c r="AC746" t="s">
        <v>175</v>
      </c>
      <c r="AD746" t="s">
        <v>152</v>
      </c>
      <c r="AE746" t="s">
        <v>62</v>
      </c>
      <c r="AF746" t="s">
        <v>62</v>
      </c>
      <c r="AG746">
        <v>9</v>
      </c>
      <c r="AH746">
        <v>19</v>
      </c>
      <c r="AI746">
        <v>21</v>
      </c>
      <c r="AJ746">
        <v>0.47499999999999998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13</v>
      </c>
      <c r="AQ746">
        <v>2</v>
      </c>
      <c r="AR746">
        <v>15</v>
      </c>
      <c r="AS746">
        <v>22</v>
      </c>
      <c r="AT746">
        <v>0.40540999999999999</v>
      </c>
      <c r="AU746">
        <v>8</v>
      </c>
      <c r="AV746">
        <v>5</v>
      </c>
      <c r="AW746">
        <v>74</v>
      </c>
      <c r="AX746">
        <v>39</v>
      </c>
      <c r="AY746">
        <v>25</v>
      </c>
      <c r="AZ746">
        <v>4</v>
      </c>
      <c r="BA746" t="s">
        <v>18356</v>
      </c>
      <c r="BB746" t="s">
        <v>18357</v>
      </c>
      <c r="BC746">
        <v>1.768</v>
      </c>
      <c r="BD746" t="s">
        <v>65</v>
      </c>
      <c r="BE746">
        <v>99</v>
      </c>
      <c r="BF746">
        <v>43</v>
      </c>
      <c r="BG746" t="s">
        <v>18358</v>
      </c>
      <c r="BH746" t="s">
        <v>18359</v>
      </c>
      <c r="BI746" t="s">
        <v>18360</v>
      </c>
      <c r="BJ746">
        <v>0.12082</v>
      </c>
      <c r="BK746">
        <v>1</v>
      </c>
      <c r="BL746" t="s">
        <v>69</v>
      </c>
      <c r="BM746">
        <v>-0.81399999999999995</v>
      </c>
      <c r="BN746">
        <v>-1.655</v>
      </c>
    </row>
    <row r="747" spans="2:66">
      <c r="B747">
        <v>1159</v>
      </c>
      <c r="C747">
        <v>128</v>
      </c>
      <c r="D747">
        <v>0</v>
      </c>
      <c r="E747">
        <v>4</v>
      </c>
      <c r="F747">
        <v>2</v>
      </c>
      <c r="J747">
        <v>0</v>
      </c>
      <c r="K747">
        <v>2</v>
      </c>
      <c r="L747">
        <v>0</v>
      </c>
      <c r="M747" t="s">
        <v>25022</v>
      </c>
      <c r="N747">
        <v>3159</v>
      </c>
      <c r="O747" t="s">
        <v>18361</v>
      </c>
      <c r="P747" t="s">
        <v>62</v>
      </c>
      <c r="Q747">
        <v>3116999</v>
      </c>
      <c r="R747">
        <v>3117982</v>
      </c>
      <c r="S747" t="s">
        <v>18354</v>
      </c>
      <c r="T747">
        <v>328</v>
      </c>
      <c r="U747" t="s">
        <v>18362</v>
      </c>
      <c r="V747">
        <v>25</v>
      </c>
      <c r="W747" t="str">
        <f>HYPERLINK("Gene3159-zp_tree_all.dnd", "Gene3159-tree")</f>
        <v>Gene3159-tree</v>
      </c>
      <c r="X747">
        <v>2</v>
      </c>
      <c r="Y747">
        <v>3</v>
      </c>
      <c r="Z747">
        <v>2</v>
      </c>
      <c r="AA747">
        <v>3</v>
      </c>
      <c r="AB747">
        <v>0.6</v>
      </c>
      <c r="AC747" t="s">
        <v>81</v>
      </c>
      <c r="AD747" t="s">
        <v>324</v>
      </c>
      <c r="AE747" t="s">
        <v>62</v>
      </c>
      <c r="AF747" t="s">
        <v>62</v>
      </c>
      <c r="AG747">
        <v>1</v>
      </c>
      <c r="AH747">
        <v>2</v>
      </c>
      <c r="AI747">
        <v>20</v>
      </c>
      <c r="AJ747">
        <v>9.0910000000000005E-2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17</v>
      </c>
      <c r="AT747">
        <v>0</v>
      </c>
      <c r="AU747">
        <v>4</v>
      </c>
      <c r="AV747">
        <v>2</v>
      </c>
      <c r="AW747">
        <v>22</v>
      </c>
      <c r="AX747">
        <v>17</v>
      </c>
      <c r="AY747">
        <v>9</v>
      </c>
      <c r="AZ747">
        <v>5</v>
      </c>
      <c r="BA747" t="s">
        <v>18363</v>
      </c>
      <c r="BB747" t="s">
        <v>18364</v>
      </c>
      <c r="BC747">
        <v>0.41099999999999998</v>
      </c>
      <c r="BD747" t="s">
        <v>65</v>
      </c>
      <c r="BE747">
        <v>31</v>
      </c>
      <c r="BF747">
        <v>22</v>
      </c>
      <c r="BG747" t="s">
        <v>18365</v>
      </c>
      <c r="BH747" t="s">
        <v>18366</v>
      </c>
      <c r="BI747" t="s">
        <v>18367</v>
      </c>
      <c r="BJ747">
        <v>0.1971</v>
      </c>
      <c r="BK747">
        <v>1</v>
      </c>
      <c r="BL747" t="s">
        <v>69</v>
      </c>
      <c r="BM747">
        <v>-0.48099999999999998</v>
      </c>
      <c r="BN747">
        <v>-0.371</v>
      </c>
    </row>
    <row r="748" spans="2:66">
      <c r="B748">
        <v>1160</v>
      </c>
      <c r="C748">
        <v>502</v>
      </c>
      <c r="D748">
        <v>0</v>
      </c>
      <c r="E748">
        <v>15</v>
      </c>
      <c r="F748">
        <v>4</v>
      </c>
      <c r="J748">
        <v>0</v>
      </c>
      <c r="K748">
        <v>3</v>
      </c>
      <c r="L748">
        <v>2</v>
      </c>
      <c r="M748" t="s">
        <v>25022</v>
      </c>
      <c r="N748">
        <v>3160</v>
      </c>
      <c r="O748" t="s">
        <v>18368</v>
      </c>
      <c r="P748" t="s">
        <v>62</v>
      </c>
      <c r="Q748">
        <v>3117979</v>
      </c>
      <c r="R748">
        <v>3118854</v>
      </c>
      <c r="S748" t="s">
        <v>18347</v>
      </c>
      <c r="T748">
        <v>292</v>
      </c>
      <c r="U748" t="s">
        <v>108</v>
      </c>
      <c r="V748">
        <v>44</v>
      </c>
      <c r="W748" t="str">
        <f>HYPERLINK("Gene3160-zp_tree_all.dnd", "Gene3160-tree")</f>
        <v>Gene3160-tree</v>
      </c>
      <c r="X748">
        <v>8</v>
      </c>
      <c r="Y748">
        <v>4</v>
      </c>
      <c r="Z748">
        <v>8</v>
      </c>
      <c r="AA748">
        <v>4</v>
      </c>
      <c r="AB748">
        <v>0.33333000000000002</v>
      </c>
      <c r="AC748" t="s">
        <v>136</v>
      </c>
      <c r="AD748" t="s">
        <v>61</v>
      </c>
      <c r="AE748" t="s">
        <v>62</v>
      </c>
      <c r="AF748" t="s">
        <v>62</v>
      </c>
      <c r="AG748">
        <v>2</v>
      </c>
      <c r="AH748">
        <v>5</v>
      </c>
      <c r="AI748">
        <v>2</v>
      </c>
      <c r="AJ748">
        <v>0.71428999999999998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2</v>
      </c>
      <c r="AR748">
        <v>2</v>
      </c>
      <c r="AS748">
        <v>3</v>
      </c>
      <c r="AT748">
        <v>0.4</v>
      </c>
      <c r="AU748">
        <v>10</v>
      </c>
      <c r="AV748">
        <v>9</v>
      </c>
      <c r="AW748">
        <v>63</v>
      </c>
      <c r="AX748">
        <v>5</v>
      </c>
      <c r="AY748">
        <v>55</v>
      </c>
      <c r="AZ748">
        <v>3</v>
      </c>
      <c r="BA748" t="s">
        <v>18369</v>
      </c>
      <c r="BB748" t="s">
        <v>18370</v>
      </c>
      <c r="BC748">
        <v>0.224</v>
      </c>
      <c r="BD748" t="s">
        <v>65</v>
      </c>
      <c r="BE748">
        <v>118</v>
      </c>
      <c r="BF748">
        <v>8</v>
      </c>
      <c r="BG748" t="s">
        <v>18371</v>
      </c>
      <c r="BH748" t="s">
        <v>18372</v>
      </c>
      <c r="BI748" t="s">
        <v>18373</v>
      </c>
      <c r="BJ748">
        <v>1.6500000000000001E-2</v>
      </c>
      <c r="BK748">
        <v>1</v>
      </c>
      <c r="BL748" t="s">
        <v>69</v>
      </c>
      <c r="BM748">
        <v>9.6000000000000002E-2</v>
      </c>
      <c r="BN748">
        <v>-1.655</v>
      </c>
    </row>
    <row r="749" spans="2:66">
      <c r="B749">
        <v>1161</v>
      </c>
      <c r="C749">
        <v>33</v>
      </c>
      <c r="D749">
        <v>0</v>
      </c>
      <c r="E749">
        <v>4</v>
      </c>
      <c r="F749">
        <v>0</v>
      </c>
      <c r="J749">
        <v>0</v>
      </c>
      <c r="K749">
        <v>8</v>
      </c>
      <c r="L749">
        <v>4</v>
      </c>
      <c r="M749" t="s">
        <v>25022</v>
      </c>
      <c r="N749">
        <v>3161</v>
      </c>
      <c r="O749" t="s">
        <v>18374</v>
      </c>
      <c r="P749" t="s">
        <v>62</v>
      </c>
      <c r="Q749">
        <v>3118850</v>
      </c>
      <c r="R749">
        <v>3119239</v>
      </c>
      <c r="S749" t="s">
        <v>18375</v>
      </c>
      <c r="T749">
        <v>130</v>
      </c>
      <c r="U749" t="s">
        <v>59</v>
      </c>
      <c r="V749">
        <v>49</v>
      </c>
      <c r="W749" t="str">
        <f>HYPERLINK("Gene3161-zp_tree_all.dnd", "Gene3161-tree")</f>
        <v>Gene3161-tree</v>
      </c>
      <c r="X749">
        <v>32</v>
      </c>
      <c r="Y749">
        <v>7</v>
      </c>
      <c r="Z749">
        <v>6</v>
      </c>
      <c r="AA749">
        <v>7</v>
      </c>
      <c r="AB749">
        <v>0.53846000000000005</v>
      </c>
      <c r="AC749" t="s">
        <v>371</v>
      </c>
      <c r="AD749" t="s">
        <v>152</v>
      </c>
      <c r="AE749" t="s">
        <v>62</v>
      </c>
      <c r="AF749" t="s">
        <v>62</v>
      </c>
      <c r="AG749">
        <v>3</v>
      </c>
      <c r="AH749">
        <v>12</v>
      </c>
      <c r="AI749">
        <v>3</v>
      </c>
      <c r="AJ749">
        <v>0.8</v>
      </c>
      <c r="AK749">
        <v>0</v>
      </c>
      <c r="AL749">
        <v>0</v>
      </c>
      <c r="AM749">
        <v>0</v>
      </c>
      <c r="AN749">
        <v>3</v>
      </c>
      <c r="AO749">
        <v>0</v>
      </c>
      <c r="AP749">
        <v>6</v>
      </c>
      <c r="AQ749">
        <v>1</v>
      </c>
      <c r="AR749">
        <v>7</v>
      </c>
      <c r="AS749">
        <v>4</v>
      </c>
      <c r="AT749">
        <v>0.63636000000000004</v>
      </c>
      <c r="AU749">
        <v>10</v>
      </c>
      <c r="AV749">
        <v>6</v>
      </c>
      <c r="AW749">
        <v>12</v>
      </c>
      <c r="AX749">
        <v>10</v>
      </c>
      <c r="AY749">
        <v>9</v>
      </c>
      <c r="AZ749">
        <v>5</v>
      </c>
      <c r="BA749" t="s">
        <v>18376</v>
      </c>
      <c r="BB749" t="s">
        <v>18377</v>
      </c>
      <c r="BC749">
        <v>0.41599999999999998</v>
      </c>
      <c r="BD749" t="s">
        <v>65</v>
      </c>
      <c r="BE749">
        <v>21</v>
      </c>
      <c r="BF749">
        <v>15</v>
      </c>
      <c r="BG749" t="s">
        <v>18378</v>
      </c>
      <c r="BH749" t="s">
        <v>18379</v>
      </c>
      <c r="BI749" t="s">
        <v>18380</v>
      </c>
      <c r="BJ749">
        <v>0.14637</v>
      </c>
      <c r="BK749">
        <v>1</v>
      </c>
      <c r="BL749" t="s">
        <v>69</v>
      </c>
      <c r="BM749">
        <v>-1.3839999999999999</v>
      </c>
      <c r="BN749">
        <v>-2.2450000000000001</v>
      </c>
    </row>
    <row r="750" spans="2:66">
      <c r="B750">
        <v>1164</v>
      </c>
      <c r="C750">
        <v>59</v>
      </c>
      <c r="D750">
        <v>0</v>
      </c>
      <c r="E750">
        <v>2</v>
      </c>
      <c r="F750">
        <v>1</v>
      </c>
      <c r="J750">
        <v>0</v>
      </c>
      <c r="K750">
        <v>0</v>
      </c>
      <c r="L750">
        <v>0</v>
      </c>
      <c r="M750" t="s">
        <v>25022</v>
      </c>
      <c r="N750">
        <v>3162</v>
      </c>
      <c r="O750" t="s">
        <v>18381</v>
      </c>
      <c r="P750" t="s">
        <v>62</v>
      </c>
      <c r="Q750">
        <v>3119276</v>
      </c>
      <c r="R750">
        <v>3119410</v>
      </c>
      <c r="S750" t="s">
        <v>116</v>
      </c>
      <c r="T750">
        <v>45</v>
      </c>
      <c r="U750" t="s">
        <v>59</v>
      </c>
      <c r="V750">
        <v>49</v>
      </c>
      <c r="W750" t="str">
        <f>HYPERLINK("Gene3162-zp_tree_all.dnd", "Gene3162-tree")</f>
        <v>Gene3162-tree</v>
      </c>
      <c r="X750">
        <v>4</v>
      </c>
      <c r="Y750">
        <v>4</v>
      </c>
      <c r="Z750">
        <v>4</v>
      </c>
      <c r="AA750">
        <v>4</v>
      </c>
      <c r="AB750">
        <v>0.5</v>
      </c>
      <c r="AC750" t="s">
        <v>61</v>
      </c>
      <c r="AD750" t="s">
        <v>61</v>
      </c>
      <c r="AE750" t="s">
        <v>62</v>
      </c>
      <c r="AF750" t="s">
        <v>62</v>
      </c>
      <c r="AG750">
        <v>0</v>
      </c>
      <c r="AH750">
        <v>0</v>
      </c>
      <c r="AI750">
        <v>8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6</v>
      </c>
      <c r="AT750">
        <v>0</v>
      </c>
      <c r="AU750">
        <v>7</v>
      </c>
      <c r="AV750">
        <v>2</v>
      </c>
      <c r="AW750">
        <v>5</v>
      </c>
      <c r="AX750">
        <v>6</v>
      </c>
      <c r="AY750">
        <v>2</v>
      </c>
      <c r="AZ750">
        <v>2</v>
      </c>
      <c r="BA750" t="s">
        <v>18382</v>
      </c>
      <c r="BB750" t="s">
        <v>18383</v>
      </c>
      <c r="BC750">
        <v>0.33400000000000002</v>
      </c>
      <c r="BD750" t="s">
        <v>65</v>
      </c>
      <c r="BE750">
        <v>7</v>
      </c>
      <c r="BF750">
        <v>8</v>
      </c>
      <c r="BG750" t="s">
        <v>18384</v>
      </c>
      <c r="BH750" t="s">
        <v>18385</v>
      </c>
      <c r="BI750" t="s">
        <v>18386</v>
      </c>
      <c r="BJ750">
        <v>0.30014000000000002</v>
      </c>
      <c r="BK750">
        <v>0.96899999999999997</v>
      </c>
      <c r="BL750" t="s">
        <v>69</v>
      </c>
      <c r="BM750">
        <v>-1.6639999999999999</v>
      </c>
      <c r="BN750">
        <v>-0.86299999999999999</v>
      </c>
    </row>
    <row r="751" spans="2:66">
      <c r="B751">
        <v>1165</v>
      </c>
      <c r="C751">
        <v>84</v>
      </c>
      <c r="D751">
        <v>0</v>
      </c>
      <c r="E751">
        <v>4</v>
      </c>
      <c r="F751">
        <v>2</v>
      </c>
      <c r="J751">
        <v>0</v>
      </c>
      <c r="K751">
        <v>0</v>
      </c>
      <c r="L751">
        <v>0</v>
      </c>
      <c r="M751" t="s">
        <v>25022</v>
      </c>
      <c r="N751">
        <v>3163</v>
      </c>
      <c r="O751" t="s">
        <v>18387</v>
      </c>
      <c r="P751" t="s">
        <v>62</v>
      </c>
      <c r="Q751">
        <v>3119568</v>
      </c>
      <c r="R751">
        <v>3119837</v>
      </c>
      <c r="S751" t="s">
        <v>116</v>
      </c>
      <c r="T751">
        <v>90</v>
      </c>
      <c r="U751" t="s">
        <v>125</v>
      </c>
      <c r="V751">
        <v>48</v>
      </c>
      <c r="W751" t="str">
        <f>HYPERLINK("Gene3163-zp_tree_all.dnd", "Gene3163-tree")</f>
        <v>Gene3163-tree</v>
      </c>
      <c r="X751">
        <v>9</v>
      </c>
      <c r="Y751">
        <v>2</v>
      </c>
      <c r="Z751">
        <v>9</v>
      </c>
      <c r="AA751">
        <v>2</v>
      </c>
      <c r="AB751">
        <v>0.18182000000000001</v>
      </c>
      <c r="AC751" t="s">
        <v>135</v>
      </c>
      <c r="AD751" t="s">
        <v>81</v>
      </c>
      <c r="AE751" t="s">
        <v>62</v>
      </c>
      <c r="AF751" t="s">
        <v>62</v>
      </c>
      <c r="AG751">
        <v>0</v>
      </c>
      <c r="AH751">
        <v>0</v>
      </c>
      <c r="AI751">
        <v>4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</v>
      </c>
      <c r="AT751">
        <v>0</v>
      </c>
      <c r="AU751">
        <v>7</v>
      </c>
      <c r="AV751">
        <v>5</v>
      </c>
      <c r="AW751">
        <v>8</v>
      </c>
      <c r="AX751">
        <v>1</v>
      </c>
      <c r="AY751">
        <v>14</v>
      </c>
      <c r="AZ751">
        <v>3</v>
      </c>
      <c r="BA751" t="s">
        <v>18388</v>
      </c>
      <c r="BB751" t="s">
        <v>18389</v>
      </c>
      <c r="BC751">
        <v>0.247</v>
      </c>
      <c r="BD751" t="s">
        <v>65</v>
      </c>
      <c r="BE751">
        <v>22</v>
      </c>
      <c r="BF751">
        <v>4</v>
      </c>
      <c r="BG751" t="s">
        <v>18390</v>
      </c>
      <c r="BH751" t="s">
        <v>18391</v>
      </c>
      <c r="BI751" t="s">
        <v>18392</v>
      </c>
      <c r="BJ751">
        <v>5.815E-2</v>
      </c>
      <c r="BK751">
        <v>1</v>
      </c>
      <c r="BL751" t="s">
        <v>69</v>
      </c>
      <c r="BM751">
        <v>-0.78900000000000003</v>
      </c>
      <c r="BN751">
        <v>0.22</v>
      </c>
    </row>
    <row r="752" spans="2:66">
      <c r="B752">
        <v>1166</v>
      </c>
      <c r="C752">
        <v>294</v>
      </c>
      <c r="D752">
        <v>0</v>
      </c>
      <c r="E752">
        <v>2</v>
      </c>
      <c r="F752">
        <v>0</v>
      </c>
      <c r="J752">
        <v>0</v>
      </c>
      <c r="K752">
        <v>2</v>
      </c>
      <c r="L752">
        <v>0</v>
      </c>
      <c r="M752" t="s">
        <v>25022</v>
      </c>
      <c r="N752">
        <v>3166</v>
      </c>
      <c r="O752" t="s">
        <v>18405</v>
      </c>
      <c r="P752" t="s">
        <v>62</v>
      </c>
      <c r="Q752">
        <v>3121541</v>
      </c>
      <c r="R752">
        <v>3122641</v>
      </c>
      <c r="S752" t="s">
        <v>18406</v>
      </c>
      <c r="T752">
        <v>367</v>
      </c>
      <c r="U752" t="s">
        <v>108</v>
      </c>
      <c r="V752">
        <v>44</v>
      </c>
      <c r="W752" t="str">
        <f>HYPERLINK("Gene3166-zp_tree_all.dnd", "Gene3166-tree")</f>
        <v>Gene3166-tree</v>
      </c>
      <c r="X752">
        <v>9</v>
      </c>
      <c r="Y752">
        <v>7</v>
      </c>
      <c r="Z752">
        <v>9</v>
      </c>
      <c r="AA752">
        <v>7</v>
      </c>
      <c r="AB752">
        <v>0.4375</v>
      </c>
      <c r="AC752" t="s">
        <v>135</v>
      </c>
      <c r="AD752" t="s">
        <v>152</v>
      </c>
      <c r="AE752" t="s">
        <v>62</v>
      </c>
      <c r="AF752" t="s">
        <v>62</v>
      </c>
      <c r="AG752">
        <v>1</v>
      </c>
      <c r="AH752">
        <v>2</v>
      </c>
      <c r="AI752">
        <v>9</v>
      </c>
      <c r="AJ752">
        <v>0.18182000000000001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9</v>
      </c>
      <c r="AT752">
        <v>0</v>
      </c>
      <c r="AU752">
        <v>12</v>
      </c>
      <c r="AV752">
        <v>11</v>
      </c>
      <c r="AW752">
        <v>24</v>
      </c>
      <c r="AX752">
        <v>8</v>
      </c>
      <c r="AY752">
        <v>27</v>
      </c>
      <c r="AZ752">
        <v>3</v>
      </c>
      <c r="BA752" t="s">
        <v>18407</v>
      </c>
      <c r="BB752" t="s">
        <v>18408</v>
      </c>
      <c r="BC752">
        <v>0.95099999999999996</v>
      </c>
      <c r="BD752" t="s">
        <v>65</v>
      </c>
      <c r="BE752">
        <v>51</v>
      </c>
      <c r="BF752">
        <v>11</v>
      </c>
      <c r="BG752" t="s">
        <v>18409</v>
      </c>
      <c r="BH752" t="s">
        <v>18410</v>
      </c>
      <c r="BI752" t="s">
        <v>18411</v>
      </c>
      <c r="BJ752">
        <v>4.6019999999999998E-2</v>
      </c>
      <c r="BK752">
        <v>1</v>
      </c>
      <c r="BL752" t="s">
        <v>69</v>
      </c>
      <c r="BM752">
        <v>0.35799999999999998</v>
      </c>
      <c r="BN752">
        <v>-0.25600000000000001</v>
      </c>
    </row>
    <row r="753" spans="2:66">
      <c r="B753">
        <v>1171</v>
      </c>
      <c r="C753">
        <v>245</v>
      </c>
      <c r="D753">
        <v>0</v>
      </c>
      <c r="E753">
        <v>9</v>
      </c>
      <c r="F753">
        <v>0</v>
      </c>
      <c r="J753">
        <v>0</v>
      </c>
      <c r="K753">
        <v>2</v>
      </c>
      <c r="L753">
        <v>0</v>
      </c>
      <c r="M753" t="s">
        <v>25022</v>
      </c>
      <c r="N753">
        <v>3167</v>
      </c>
      <c r="O753" t="s">
        <v>18412</v>
      </c>
      <c r="P753" t="s">
        <v>62</v>
      </c>
      <c r="Q753">
        <v>3122665</v>
      </c>
      <c r="R753">
        <v>3123441</v>
      </c>
      <c r="S753" t="s">
        <v>18413</v>
      </c>
      <c r="T753">
        <v>259</v>
      </c>
      <c r="U753" t="s">
        <v>108</v>
      </c>
      <c r="V753">
        <v>44</v>
      </c>
      <c r="W753" t="str">
        <f>HYPERLINK("Gene3167-zp_tree_all.dnd", "Gene3167-tree")</f>
        <v>Gene3167-tree</v>
      </c>
      <c r="X753">
        <v>11</v>
      </c>
      <c r="Y753">
        <v>2</v>
      </c>
      <c r="Z753">
        <v>11</v>
      </c>
      <c r="AA753">
        <v>2</v>
      </c>
      <c r="AB753">
        <v>0.15384999999999999</v>
      </c>
      <c r="AC753" t="s">
        <v>73</v>
      </c>
      <c r="AD753" t="s">
        <v>81</v>
      </c>
      <c r="AE753" t="s">
        <v>62</v>
      </c>
      <c r="AF753" t="s">
        <v>62</v>
      </c>
      <c r="AG753">
        <v>1</v>
      </c>
      <c r="AH753">
        <v>2</v>
      </c>
      <c r="AI753">
        <v>2</v>
      </c>
      <c r="AJ753">
        <v>0.5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2</v>
      </c>
      <c r="AQ753">
        <v>0</v>
      </c>
      <c r="AR753">
        <v>2</v>
      </c>
      <c r="AS753">
        <v>0</v>
      </c>
      <c r="AT753">
        <v>1</v>
      </c>
      <c r="AU753">
        <v>9</v>
      </c>
      <c r="AV753">
        <v>7</v>
      </c>
      <c r="AW753">
        <v>13</v>
      </c>
      <c r="AX753">
        <v>2</v>
      </c>
      <c r="AY753">
        <v>11</v>
      </c>
      <c r="AZ753">
        <v>3</v>
      </c>
      <c r="BA753" t="s">
        <v>18414</v>
      </c>
      <c r="BB753" t="s">
        <v>18415</v>
      </c>
      <c r="BC753">
        <v>0.18099999999999999</v>
      </c>
      <c r="BD753" t="s">
        <v>65</v>
      </c>
      <c r="BE753">
        <v>24</v>
      </c>
      <c r="BF753">
        <v>5</v>
      </c>
      <c r="BG753" t="s">
        <v>18416</v>
      </c>
      <c r="BH753" t="s">
        <v>18417</v>
      </c>
      <c r="BI753" t="s">
        <v>18418</v>
      </c>
      <c r="BJ753">
        <v>8.1280000000000005E-2</v>
      </c>
      <c r="BK753">
        <v>1</v>
      </c>
      <c r="BL753" t="s">
        <v>69</v>
      </c>
      <c r="BM753">
        <v>-7.8E-2</v>
      </c>
      <c r="BN753">
        <v>1.006</v>
      </c>
    </row>
    <row r="754" spans="2:66">
      <c r="B754">
        <v>1172</v>
      </c>
      <c r="C754">
        <v>246</v>
      </c>
      <c r="D754">
        <v>0</v>
      </c>
      <c r="E754">
        <v>4</v>
      </c>
      <c r="F754">
        <v>0</v>
      </c>
      <c r="J754">
        <v>0</v>
      </c>
      <c r="K754">
        <v>4</v>
      </c>
      <c r="L754">
        <v>0</v>
      </c>
      <c r="M754" t="s">
        <v>25022</v>
      </c>
      <c r="N754">
        <v>3169</v>
      </c>
      <c r="O754" t="s">
        <v>18426</v>
      </c>
      <c r="P754" t="s">
        <v>62</v>
      </c>
      <c r="Q754">
        <v>3124253</v>
      </c>
      <c r="R754">
        <v>3125641</v>
      </c>
      <c r="S754" t="s">
        <v>1399</v>
      </c>
      <c r="T754">
        <v>463</v>
      </c>
      <c r="U754" t="s">
        <v>108</v>
      </c>
      <c r="V754">
        <v>44</v>
      </c>
      <c r="W754" t="str">
        <f>HYPERLINK("Gene3169-zp_tree_all.dnd", "Gene3169-tree")</f>
        <v>Gene3169-tree</v>
      </c>
      <c r="X754">
        <v>27</v>
      </c>
      <c r="Y754">
        <v>7</v>
      </c>
      <c r="Z754">
        <v>9</v>
      </c>
      <c r="AA754">
        <v>7</v>
      </c>
      <c r="AB754">
        <v>0.4375</v>
      </c>
      <c r="AC754" t="s">
        <v>2108</v>
      </c>
      <c r="AD754" t="s">
        <v>152</v>
      </c>
      <c r="AE754" t="s">
        <v>62</v>
      </c>
      <c r="AF754" t="s">
        <v>62</v>
      </c>
      <c r="AG754">
        <v>2</v>
      </c>
      <c r="AH754">
        <v>4</v>
      </c>
      <c r="AI754">
        <v>6</v>
      </c>
      <c r="AJ754">
        <v>0.4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8</v>
      </c>
      <c r="AT754">
        <v>0</v>
      </c>
      <c r="AU754">
        <v>14</v>
      </c>
      <c r="AV754">
        <v>12</v>
      </c>
      <c r="AW754">
        <v>79</v>
      </c>
      <c r="AX754">
        <v>8</v>
      </c>
      <c r="AY754">
        <v>50</v>
      </c>
      <c r="AZ754">
        <v>2</v>
      </c>
      <c r="BA754" t="s">
        <v>18427</v>
      </c>
      <c r="BB754" t="s">
        <v>18428</v>
      </c>
      <c r="BC754">
        <v>0.746</v>
      </c>
      <c r="BD754" t="s">
        <v>65</v>
      </c>
      <c r="BE754">
        <v>129</v>
      </c>
      <c r="BF754">
        <v>10</v>
      </c>
      <c r="BG754" t="s">
        <v>18429</v>
      </c>
      <c r="BH754" t="s">
        <v>18430</v>
      </c>
      <c r="BI754" t="s">
        <v>18431</v>
      </c>
      <c r="BJ754">
        <v>1.857E-2</v>
      </c>
      <c r="BK754">
        <v>1</v>
      </c>
      <c r="BL754" t="s">
        <v>69</v>
      </c>
      <c r="BM754">
        <v>-0.73599999999999999</v>
      </c>
      <c r="BN754">
        <v>-0.78300000000000003</v>
      </c>
    </row>
    <row r="755" spans="2:66">
      <c r="B755">
        <v>1173</v>
      </c>
      <c r="C755">
        <v>155</v>
      </c>
      <c r="D755">
        <v>0</v>
      </c>
      <c r="E755">
        <v>4</v>
      </c>
      <c r="F755">
        <v>0</v>
      </c>
      <c r="J755">
        <v>0</v>
      </c>
      <c r="K755">
        <v>2</v>
      </c>
      <c r="L755">
        <v>2</v>
      </c>
      <c r="M755" t="s">
        <v>25022</v>
      </c>
      <c r="N755">
        <v>3170</v>
      </c>
      <c r="O755" t="s">
        <v>18432</v>
      </c>
      <c r="P755" t="s">
        <v>62</v>
      </c>
      <c r="Q755">
        <v>3125780</v>
      </c>
      <c r="R755">
        <v>3127675</v>
      </c>
      <c r="S755" t="s">
        <v>18433</v>
      </c>
      <c r="T755">
        <v>632</v>
      </c>
      <c r="U755" t="s">
        <v>59</v>
      </c>
      <c r="V755">
        <v>49</v>
      </c>
      <c r="W755" t="str">
        <f>HYPERLINK("Gene3170-zp_tree_all.dnd", "Gene3170-tree")</f>
        <v>Gene3170-tree</v>
      </c>
      <c r="X755">
        <v>12</v>
      </c>
      <c r="Y755">
        <v>9</v>
      </c>
      <c r="Z755">
        <v>12</v>
      </c>
      <c r="AA755">
        <v>9</v>
      </c>
      <c r="AB755">
        <v>0.42857000000000001</v>
      </c>
      <c r="AC755" t="s">
        <v>109</v>
      </c>
      <c r="AD755" t="s">
        <v>135</v>
      </c>
      <c r="AE755" t="s">
        <v>62</v>
      </c>
      <c r="AF755" t="s">
        <v>62</v>
      </c>
      <c r="AG755">
        <v>2</v>
      </c>
      <c r="AH755">
        <v>4</v>
      </c>
      <c r="AI755">
        <v>10</v>
      </c>
      <c r="AJ755">
        <v>0.28571000000000002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2</v>
      </c>
      <c r="AQ755">
        <v>0</v>
      </c>
      <c r="AR755">
        <v>2</v>
      </c>
      <c r="AS755">
        <v>9</v>
      </c>
      <c r="AT755">
        <v>0.18182000000000001</v>
      </c>
      <c r="AU755">
        <v>19</v>
      </c>
      <c r="AV755">
        <v>15</v>
      </c>
      <c r="AW755">
        <v>71</v>
      </c>
      <c r="AX755">
        <v>10</v>
      </c>
      <c r="AY755">
        <v>117</v>
      </c>
      <c r="AZ755">
        <v>4</v>
      </c>
      <c r="BA755" t="s">
        <v>18434</v>
      </c>
      <c r="BB755" t="s">
        <v>18435</v>
      </c>
      <c r="BC755">
        <v>1.177</v>
      </c>
      <c r="BD755" t="s">
        <v>65</v>
      </c>
      <c r="BE755">
        <v>188</v>
      </c>
      <c r="BF755">
        <v>14</v>
      </c>
      <c r="BG755" t="s">
        <v>18436</v>
      </c>
      <c r="BH755" t="s">
        <v>18437</v>
      </c>
      <c r="BI755" t="s">
        <v>18438</v>
      </c>
      <c r="BJ755">
        <v>1.372E-2</v>
      </c>
      <c r="BK755">
        <v>1</v>
      </c>
      <c r="BL755" t="s">
        <v>69</v>
      </c>
      <c r="BM755">
        <v>-1.355</v>
      </c>
      <c r="BN755">
        <v>-0.32300000000000001</v>
      </c>
    </row>
    <row r="756" spans="2:66">
      <c r="B756">
        <v>1179</v>
      </c>
      <c r="C756">
        <v>213</v>
      </c>
      <c r="D756">
        <v>0</v>
      </c>
      <c r="E756">
        <v>4</v>
      </c>
      <c r="F756">
        <v>0</v>
      </c>
      <c r="J756">
        <v>0</v>
      </c>
      <c r="K756">
        <v>2</v>
      </c>
      <c r="L756">
        <v>1</v>
      </c>
      <c r="M756" t="s">
        <v>25022</v>
      </c>
      <c r="N756">
        <v>3171</v>
      </c>
      <c r="O756" t="s">
        <v>18439</v>
      </c>
      <c r="P756" t="s">
        <v>62</v>
      </c>
      <c r="Q756">
        <v>3127828</v>
      </c>
      <c r="R756">
        <v>3129027</v>
      </c>
      <c r="S756" t="s">
        <v>18440</v>
      </c>
      <c r="T756">
        <v>400</v>
      </c>
      <c r="U756" t="s">
        <v>59</v>
      </c>
      <c r="V756">
        <v>49</v>
      </c>
      <c r="W756" t="str">
        <f>HYPERLINK("Gene3171-zp_tree_all.dnd", "Gene3171-tree")</f>
        <v>Gene3171-tree</v>
      </c>
      <c r="X756">
        <v>16</v>
      </c>
      <c r="Y756">
        <v>3</v>
      </c>
      <c r="Z756">
        <v>16</v>
      </c>
      <c r="AA756">
        <v>3</v>
      </c>
      <c r="AB756">
        <v>0.15789</v>
      </c>
      <c r="AC756" t="s">
        <v>60</v>
      </c>
      <c r="AD756" t="s">
        <v>324</v>
      </c>
      <c r="AE756" t="s">
        <v>62</v>
      </c>
      <c r="AF756" t="s">
        <v>62</v>
      </c>
      <c r="AG756">
        <v>1</v>
      </c>
      <c r="AH756">
        <v>3</v>
      </c>
      <c r="AI756">
        <v>2</v>
      </c>
      <c r="AJ756">
        <v>0.6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</v>
      </c>
      <c r="AQ756">
        <v>1</v>
      </c>
      <c r="AR756">
        <v>3</v>
      </c>
      <c r="AS756">
        <v>2</v>
      </c>
      <c r="AT756">
        <v>0.6</v>
      </c>
      <c r="AU756">
        <v>15</v>
      </c>
      <c r="AV756">
        <v>11</v>
      </c>
      <c r="AW756">
        <v>48</v>
      </c>
      <c r="AX756">
        <v>5</v>
      </c>
      <c r="AY756">
        <v>60</v>
      </c>
      <c r="AZ756">
        <v>0</v>
      </c>
      <c r="BA756" t="s">
        <v>18441</v>
      </c>
      <c r="BB756" t="s">
        <v>193</v>
      </c>
      <c r="BC756">
        <v>0.58099999999999996</v>
      </c>
      <c r="BD756" t="s">
        <v>65</v>
      </c>
      <c r="BE756">
        <v>108</v>
      </c>
      <c r="BF756">
        <v>5</v>
      </c>
      <c r="BG756" t="s">
        <v>18442</v>
      </c>
      <c r="BH756" t="s">
        <v>18443</v>
      </c>
      <c r="BI756" t="s">
        <v>17444</v>
      </c>
      <c r="BJ756">
        <v>6.8500000000000002E-3</v>
      </c>
      <c r="BK756">
        <v>1</v>
      </c>
      <c r="BL756" t="s">
        <v>69</v>
      </c>
      <c r="BM756">
        <v>-1.4490000000000001</v>
      </c>
      <c r="BN756">
        <v>-1.127</v>
      </c>
    </row>
    <row r="757" spans="2:66">
      <c r="B757">
        <v>1181</v>
      </c>
      <c r="C757">
        <v>51</v>
      </c>
      <c r="D757">
        <v>0</v>
      </c>
      <c r="E757">
        <v>4</v>
      </c>
      <c r="F757">
        <v>0</v>
      </c>
      <c r="J757">
        <v>0</v>
      </c>
      <c r="K757">
        <v>2</v>
      </c>
      <c r="L757">
        <v>0</v>
      </c>
      <c r="M757" t="s">
        <v>25022</v>
      </c>
      <c r="N757">
        <v>3173</v>
      </c>
      <c r="O757" t="s">
        <v>18450</v>
      </c>
      <c r="P757" t="s">
        <v>62</v>
      </c>
      <c r="Q757">
        <v>3131155</v>
      </c>
      <c r="R757">
        <v>3131394</v>
      </c>
      <c r="S757" t="s">
        <v>116</v>
      </c>
      <c r="T757">
        <v>80</v>
      </c>
      <c r="U757" t="s">
        <v>18451</v>
      </c>
      <c r="V757">
        <v>48</v>
      </c>
      <c r="W757" t="str">
        <f>HYPERLINK("Gene3173-zp_tree_all.dnd", "Gene3173-tree")</f>
        <v>Gene3173-tree</v>
      </c>
      <c r="X757">
        <v>32</v>
      </c>
      <c r="Y757">
        <v>3</v>
      </c>
      <c r="Z757">
        <v>9</v>
      </c>
      <c r="AA757">
        <v>3</v>
      </c>
      <c r="AB757">
        <v>0.25</v>
      </c>
      <c r="AC757" t="s">
        <v>18452</v>
      </c>
      <c r="AD757" t="s">
        <v>324</v>
      </c>
      <c r="AE757" t="s">
        <v>62</v>
      </c>
      <c r="AF757" t="s">
        <v>62</v>
      </c>
      <c r="AG757">
        <v>1</v>
      </c>
      <c r="AH757">
        <v>2</v>
      </c>
      <c r="AI757">
        <v>3</v>
      </c>
      <c r="AJ757">
        <v>0.4</v>
      </c>
      <c r="AK757">
        <v>0</v>
      </c>
      <c r="AL757">
        <v>0</v>
      </c>
      <c r="AM757">
        <v>0</v>
      </c>
      <c r="AN757">
        <v>2</v>
      </c>
      <c r="AO757">
        <v>0</v>
      </c>
      <c r="AP757">
        <v>0</v>
      </c>
      <c r="AQ757">
        <v>0</v>
      </c>
      <c r="AR757">
        <v>0</v>
      </c>
      <c r="AS757">
        <v>3</v>
      </c>
      <c r="AT757">
        <v>0</v>
      </c>
      <c r="AU757">
        <v>8</v>
      </c>
      <c r="AV757">
        <v>6</v>
      </c>
      <c r="AW757">
        <v>13</v>
      </c>
      <c r="AX757">
        <v>3</v>
      </c>
      <c r="AY757">
        <v>10</v>
      </c>
      <c r="AZ757">
        <v>2</v>
      </c>
      <c r="BA757" t="s">
        <v>18453</v>
      </c>
      <c r="BB757" t="s">
        <v>18454</v>
      </c>
      <c r="BC757">
        <v>8.5999999999999993E-2</v>
      </c>
      <c r="BD757" t="s">
        <v>65</v>
      </c>
      <c r="BE757">
        <v>23</v>
      </c>
      <c r="BF757">
        <v>5</v>
      </c>
      <c r="BG757" t="s">
        <v>18455</v>
      </c>
      <c r="BH757" t="s">
        <v>18456</v>
      </c>
      <c r="BI757" t="s">
        <v>18457</v>
      </c>
      <c r="BJ757">
        <v>5.5890000000000002E-2</v>
      </c>
      <c r="BK757">
        <v>1</v>
      </c>
      <c r="BL757" t="s">
        <v>69</v>
      </c>
      <c r="BM757">
        <v>-1.4350000000000001</v>
      </c>
      <c r="BN757">
        <v>-7.5999999999999998E-2</v>
      </c>
    </row>
    <row r="758" spans="2:66">
      <c r="B758">
        <v>1183</v>
      </c>
      <c r="C758">
        <v>326</v>
      </c>
      <c r="D758">
        <v>0</v>
      </c>
      <c r="E758">
        <v>6</v>
      </c>
      <c r="F758">
        <v>2</v>
      </c>
      <c r="J758">
        <v>0</v>
      </c>
      <c r="K758">
        <v>8</v>
      </c>
      <c r="L758">
        <v>0</v>
      </c>
      <c r="M758" t="s">
        <v>25022</v>
      </c>
      <c r="N758">
        <v>3174</v>
      </c>
      <c r="O758" t="s">
        <v>18458</v>
      </c>
      <c r="P758" t="s">
        <v>62</v>
      </c>
      <c r="Q758">
        <v>3131449</v>
      </c>
      <c r="R758">
        <v>3132219</v>
      </c>
      <c r="S758" t="s">
        <v>18459</v>
      </c>
      <c r="T758">
        <v>257</v>
      </c>
      <c r="U758" t="s">
        <v>465</v>
      </c>
      <c r="V758">
        <v>46</v>
      </c>
      <c r="W758" t="str">
        <f>HYPERLINK("Gene3174-zp_tree_all.dnd", "Gene3174-tree")</f>
        <v>Gene3174-tree</v>
      </c>
      <c r="X758">
        <v>5</v>
      </c>
      <c r="Y758">
        <v>10</v>
      </c>
      <c r="Z758">
        <v>5</v>
      </c>
      <c r="AA758">
        <v>10</v>
      </c>
      <c r="AB758">
        <v>0.66666999999999998</v>
      </c>
      <c r="AC758" t="s">
        <v>199</v>
      </c>
      <c r="AD758" t="s">
        <v>117</v>
      </c>
      <c r="AE758" t="s">
        <v>62</v>
      </c>
      <c r="AF758" t="s">
        <v>62</v>
      </c>
      <c r="AG758">
        <v>4</v>
      </c>
      <c r="AH758">
        <v>8</v>
      </c>
      <c r="AI758">
        <v>13</v>
      </c>
      <c r="AJ758">
        <v>0.38095000000000001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2</v>
      </c>
      <c r="AQ758">
        <v>0</v>
      </c>
      <c r="AR758">
        <v>2</v>
      </c>
      <c r="AS758">
        <v>10</v>
      </c>
      <c r="AT758">
        <v>0.16667000000000001</v>
      </c>
      <c r="AU758">
        <v>12</v>
      </c>
      <c r="AV758">
        <v>11</v>
      </c>
      <c r="AW758">
        <v>25</v>
      </c>
      <c r="AX758">
        <v>11</v>
      </c>
      <c r="AY758">
        <v>51</v>
      </c>
      <c r="AZ758">
        <v>10</v>
      </c>
      <c r="BA758" t="s">
        <v>18460</v>
      </c>
      <c r="BB758" t="s">
        <v>18461</v>
      </c>
      <c r="BC758">
        <v>0.88600000000000001</v>
      </c>
      <c r="BD758" t="s">
        <v>65</v>
      </c>
      <c r="BE758">
        <v>76</v>
      </c>
      <c r="BF758">
        <v>21</v>
      </c>
      <c r="BG758" t="s">
        <v>18462</v>
      </c>
      <c r="BH758" t="s">
        <v>18463</v>
      </c>
      <c r="BI758" t="s">
        <v>18464</v>
      </c>
      <c r="BJ758">
        <v>6.9500000000000006E-2</v>
      </c>
      <c r="BK758">
        <v>1</v>
      </c>
      <c r="BL758" t="s">
        <v>69</v>
      </c>
      <c r="BM758">
        <v>-1.5740000000000001</v>
      </c>
      <c r="BN758">
        <v>-1.1559999999999999</v>
      </c>
    </row>
    <row r="759" spans="2:66">
      <c r="B759">
        <v>1184</v>
      </c>
      <c r="C759">
        <v>76</v>
      </c>
      <c r="D759">
        <v>0</v>
      </c>
      <c r="E759">
        <v>2</v>
      </c>
      <c r="F759">
        <v>0</v>
      </c>
      <c r="J759">
        <v>0</v>
      </c>
      <c r="K759">
        <v>0</v>
      </c>
      <c r="L759">
        <v>2</v>
      </c>
      <c r="M759" t="s">
        <v>25022</v>
      </c>
      <c r="N759">
        <v>3178</v>
      </c>
      <c r="O759" t="s">
        <v>18486</v>
      </c>
      <c r="P759" t="s">
        <v>62</v>
      </c>
      <c r="Q759">
        <v>3134986</v>
      </c>
      <c r="R759">
        <v>3135459</v>
      </c>
      <c r="S759" t="s">
        <v>18487</v>
      </c>
      <c r="T759">
        <v>158</v>
      </c>
      <c r="U759" t="s">
        <v>96</v>
      </c>
      <c r="V759">
        <v>48</v>
      </c>
      <c r="W759" t="str">
        <f>HYPERLINK("Gene3178-zp_tree_all.dnd", "Gene3178-tree")</f>
        <v>Gene3178-tree</v>
      </c>
      <c r="X759">
        <v>10</v>
      </c>
      <c r="Y759">
        <v>2</v>
      </c>
      <c r="Z759">
        <v>10</v>
      </c>
      <c r="AA759">
        <v>2</v>
      </c>
      <c r="AB759">
        <v>0.16667000000000001</v>
      </c>
      <c r="AC759" t="s">
        <v>117</v>
      </c>
      <c r="AD759" t="s">
        <v>81</v>
      </c>
      <c r="AE759" t="s">
        <v>62</v>
      </c>
      <c r="AF759" t="s">
        <v>62</v>
      </c>
      <c r="AG759">
        <v>1</v>
      </c>
      <c r="AH759">
        <v>2</v>
      </c>
      <c r="AI759">
        <v>3</v>
      </c>
      <c r="AJ759">
        <v>0.4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2</v>
      </c>
      <c r="AT759">
        <v>0</v>
      </c>
      <c r="AU759">
        <v>9</v>
      </c>
      <c r="AV759">
        <v>7</v>
      </c>
      <c r="AW759">
        <v>19</v>
      </c>
      <c r="AX759">
        <v>2</v>
      </c>
      <c r="AY759">
        <v>16</v>
      </c>
      <c r="AZ759">
        <v>3</v>
      </c>
      <c r="BA759" t="s">
        <v>18488</v>
      </c>
      <c r="BB759" t="s">
        <v>18489</v>
      </c>
      <c r="BC759">
        <v>0.35499999999999998</v>
      </c>
      <c r="BD759" t="s">
        <v>65</v>
      </c>
      <c r="BE759">
        <v>35</v>
      </c>
      <c r="BF759">
        <v>5</v>
      </c>
      <c r="BG759" t="s">
        <v>18490</v>
      </c>
      <c r="BH759" t="s">
        <v>18491</v>
      </c>
      <c r="BI759" t="s">
        <v>18492</v>
      </c>
      <c r="BJ759">
        <v>3.8210000000000001E-2</v>
      </c>
      <c r="BK759">
        <v>1</v>
      </c>
      <c r="BL759" t="s">
        <v>69</v>
      </c>
      <c r="BM759">
        <v>-1.1499999999999999</v>
      </c>
      <c r="BN759">
        <v>-0.99399999999999999</v>
      </c>
    </row>
    <row r="760" spans="2:66">
      <c r="B760">
        <v>1185</v>
      </c>
      <c r="C760">
        <v>68</v>
      </c>
      <c r="D760">
        <v>0</v>
      </c>
      <c r="E760">
        <v>6</v>
      </c>
      <c r="F760">
        <v>0</v>
      </c>
      <c r="J760">
        <v>0</v>
      </c>
      <c r="K760">
        <v>6</v>
      </c>
      <c r="L760">
        <v>1</v>
      </c>
      <c r="M760" t="s">
        <v>25022</v>
      </c>
      <c r="N760">
        <v>3179</v>
      </c>
      <c r="O760" t="s">
        <v>18493</v>
      </c>
      <c r="P760" t="s">
        <v>62</v>
      </c>
      <c r="Q760">
        <v>3135671</v>
      </c>
      <c r="R760">
        <v>3136072</v>
      </c>
      <c r="S760" t="s">
        <v>18494</v>
      </c>
      <c r="T760">
        <v>134</v>
      </c>
      <c r="U760" t="s">
        <v>59</v>
      </c>
      <c r="V760">
        <v>49</v>
      </c>
      <c r="W760" t="str">
        <f>HYPERLINK("Gene3179-zp_tree_all.dnd", "Gene3179-tree")</f>
        <v>Gene3179-tree</v>
      </c>
      <c r="X760">
        <v>9</v>
      </c>
      <c r="Y760">
        <v>4</v>
      </c>
      <c r="Z760">
        <v>9</v>
      </c>
      <c r="AA760">
        <v>4</v>
      </c>
      <c r="AB760">
        <v>0.30769000000000002</v>
      </c>
      <c r="AC760" t="s">
        <v>135</v>
      </c>
      <c r="AD760" t="s">
        <v>61</v>
      </c>
      <c r="AE760" t="s">
        <v>62</v>
      </c>
      <c r="AF760" t="s">
        <v>62</v>
      </c>
      <c r="AG760">
        <v>3</v>
      </c>
      <c r="AH760">
        <v>7</v>
      </c>
      <c r="AI760">
        <v>4</v>
      </c>
      <c r="AJ760">
        <v>0.63636000000000004</v>
      </c>
      <c r="AK760">
        <v>0</v>
      </c>
      <c r="AL760">
        <v>0</v>
      </c>
      <c r="AM760">
        <v>0</v>
      </c>
      <c r="AN760">
        <v>2</v>
      </c>
      <c r="AO760">
        <v>0</v>
      </c>
      <c r="AP760">
        <v>0</v>
      </c>
      <c r="AQ760">
        <v>0</v>
      </c>
      <c r="AR760">
        <v>0</v>
      </c>
      <c r="AS760">
        <v>3</v>
      </c>
      <c r="AT760">
        <v>0</v>
      </c>
      <c r="AU760">
        <v>9</v>
      </c>
      <c r="AV760">
        <v>6</v>
      </c>
      <c r="AW760">
        <v>10</v>
      </c>
      <c r="AX760">
        <v>3</v>
      </c>
      <c r="AY760">
        <v>20</v>
      </c>
      <c r="AZ760">
        <v>8</v>
      </c>
      <c r="BA760" t="s">
        <v>18495</v>
      </c>
      <c r="BB760" t="s">
        <v>18496</v>
      </c>
      <c r="BC760">
        <v>0.25700000000000001</v>
      </c>
      <c r="BD760" t="s">
        <v>65</v>
      </c>
      <c r="BE760">
        <v>30</v>
      </c>
      <c r="BF760">
        <v>11</v>
      </c>
      <c r="BG760" t="s">
        <v>18497</v>
      </c>
      <c r="BH760" t="s">
        <v>18498</v>
      </c>
      <c r="BI760" t="s">
        <v>18499</v>
      </c>
      <c r="BJ760">
        <v>8.6959999999999996E-2</v>
      </c>
      <c r="BK760">
        <v>1</v>
      </c>
      <c r="BL760" t="s">
        <v>69</v>
      </c>
      <c r="BM760">
        <v>-0.77400000000000002</v>
      </c>
      <c r="BN760">
        <v>1.387</v>
      </c>
    </row>
    <row r="761" spans="2:66">
      <c r="B761">
        <v>1187</v>
      </c>
      <c r="C761">
        <v>24</v>
      </c>
      <c r="D761">
        <v>0</v>
      </c>
      <c r="E761">
        <v>3</v>
      </c>
      <c r="F761">
        <v>0</v>
      </c>
      <c r="J761">
        <v>0</v>
      </c>
      <c r="K761">
        <v>0</v>
      </c>
      <c r="L761">
        <v>0</v>
      </c>
      <c r="M761" t="s">
        <v>25022</v>
      </c>
      <c r="N761">
        <v>3180</v>
      </c>
      <c r="O761" t="s">
        <v>18500</v>
      </c>
      <c r="P761" t="s">
        <v>62</v>
      </c>
      <c r="Q761">
        <v>3136241</v>
      </c>
      <c r="R761">
        <v>3136675</v>
      </c>
      <c r="S761" t="s">
        <v>18501</v>
      </c>
      <c r="T761">
        <v>145</v>
      </c>
      <c r="U761" t="s">
        <v>698</v>
      </c>
      <c r="V761">
        <v>47</v>
      </c>
      <c r="W761" t="str">
        <f>HYPERLINK("Gene3180-zp_tree_all.dnd", "Gene3180-tree")</f>
        <v>Gene3180-tree</v>
      </c>
      <c r="X761">
        <v>11</v>
      </c>
      <c r="Y761">
        <v>1</v>
      </c>
      <c r="Z761">
        <v>11</v>
      </c>
      <c r="AA761">
        <v>1</v>
      </c>
      <c r="AB761">
        <v>8.3330000000000001E-2</v>
      </c>
      <c r="AC761" t="s">
        <v>73</v>
      </c>
      <c r="AD761" t="s">
        <v>175</v>
      </c>
      <c r="AE761" t="s">
        <v>62</v>
      </c>
      <c r="AF761" t="s">
        <v>62</v>
      </c>
      <c r="AG761">
        <v>0</v>
      </c>
      <c r="AH761">
        <v>0</v>
      </c>
      <c r="AI761">
        <v>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8</v>
      </c>
      <c r="AV761">
        <v>6</v>
      </c>
      <c r="AW761">
        <v>13</v>
      </c>
      <c r="AX761">
        <v>1</v>
      </c>
      <c r="AY761">
        <v>15</v>
      </c>
      <c r="AZ761">
        <v>2</v>
      </c>
      <c r="BA761" t="s">
        <v>18502</v>
      </c>
      <c r="BB761" t="s">
        <v>18503</v>
      </c>
      <c r="BC761">
        <v>0.124</v>
      </c>
      <c r="BD761" t="s">
        <v>65</v>
      </c>
      <c r="BE761">
        <v>28</v>
      </c>
      <c r="BF761">
        <v>3</v>
      </c>
      <c r="BG761" t="s">
        <v>18504</v>
      </c>
      <c r="BH761" t="s">
        <v>18505</v>
      </c>
      <c r="BI761" t="s">
        <v>18506</v>
      </c>
      <c r="BJ761">
        <v>2.8850000000000001E-2</v>
      </c>
      <c r="BK761">
        <v>1</v>
      </c>
      <c r="BL761" t="s">
        <v>69</v>
      </c>
      <c r="BM761">
        <v>-1.109</v>
      </c>
      <c r="BN761">
        <v>-0.215</v>
      </c>
    </row>
    <row r="762" spans="2:66">
      <c r="B762">
        <v>1191</v>
      </c>
      <c r="C762">
        <v>103</v>
      </c>
      <c r="D762">
        <v>0</v>
      </c>
      <c r="E762">
        <v>2</v>
      </c>
      <c r="F762">
        <v>0</v>
      </c>
      <c r="J762">
        <v>0</v>
      </c>
      <c r="K762">
        <v>0</v>
      </c>
      <c r="L762">
        <v>0</v>
      </c>
      <c r="M762" t="s">
        <v>25022</v>
      </c>
      <c r="N762">
        <v>3182</v>
      </c>
      <c r="O762" t="s">
        <v>18513</v>
      </c>
      <c r="P762" t="s">
        <v>62</v>
      </c>
      <c r="Q762">
        <v>3136941</v>
      </c>
      <c r="R762">
        <v>3137375</v>
      </c>
      <c r="S762" t="s">
        <v>1523</v>
      </c>
      <c r="T762">
        <v>145</v>
      </c>
      <c r="U762" t="s">
        <v>108</v>
      </c>
      <c r="V762">
        <v>44</v>
      </c>
      <c r="W762" t="str">
        <f>HYPERLINK("Gene3182-zp_tree_all.dnd", "Gene3182-tree")</f>
        <v>Gene3182-tree</v>
      </c>
      <c r="X762">
        <v>6</v>
      </c>
      <c r="Y762">
        <v>5</v>
      </c>
      <c r="Z762">
        <v>6</v>
      </c>
      <c r="AA762">
        <v>5</v>
      </c>
      <c r="AB762">
        <v>0.45455000000000001</v>
      </c>
      <c r="AC762" t="s">
        <v>90</v>
      </c>
      <c r="AD762" t="s">
        <v>199</v>
      </c>
      <c r="AE762" t="s">
        <v>62</v>
      </c>
      <c r="AF762" t="s">
        <v>62</v>
      </c>
      <c r="AG762">
        <v>0</v>
      </c>
      <c r="AH762">
        <v>0</v>
      </c>
      <c r="AI762">
        <v>7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6</v>
      </c>
      <c r="AT762">
        <v>0</v>
      </c>
      <c r="AU762">
        <v>8</v>
      </c>
      <c r="AV762">
        <v>4</v>
      </c>
      <c r="AW762">
        <v>9</v>
      </c>
      <c r="AX762">
        <v>6</v>
      </c>
      <c r="AY762">
        <v>3</v>
      </c>
      <c r="AZ762">
        <v>1</v>
      </c>
      <c r="BA762" t="s">
        <v>18514</v>
      </c>
      <c r="BB762" t="s">
        <v>18515</v>
      </c>
      <c r="BC762">
        <v>0.504</v>
      </c>
      <c r="BD762" t="s">
        <v>65</v>
      </c>
      <c r="BE762">
        <v>12</v>
      </c>
      <c r="BF762">
        <v>7</v>
      </c>
      <c r="BG762" t="s">
        <v>18516</v>
      </c>
      <c r="BH762" t="s">
        <v>18517</v>
      </c>
      <c r="BI762" t="s">
        <v>18518</v>
      </c>
      <c r="BJ762">
        <v>0.18029000000000001</v>
      </c>
      <c r="BK762">
        <v>1</v>
      </c>
      <c r="BL762" t="s">
        <v>69</v>
      </c>
      <c r="BM762">
        <v>0.16200000000000001</v>
      </c>
      <c r="BN762">
        <v>0.23400000000000001</v>
      </c>
    </row>
    <row r="763" spans="2:66">
      <c r="B763">
        <v>1193</v>
      </c>
      <c r="C763">
        <v>98</v>
      </c>
      <c r="D763">
        <v>0</v>
      </c>
      <c r="E763">
        <v>2</v>
      </c>
      <c r="F763">
        <v>0</v>
      </c>
      <c r="J763">
        <v>0</v>
      </c>
      <c r="K763">
        <v>2</v>
      </c>
      <c r="L763">
        <v>0</v>
      </c>
      <c r="M763" t="s">
        <v>25022</v>
      </c>
      <c r="N763">
        <v>3183</v>
      </c>
      <c r="O763" t="s">
        <v>18519</v>
      </c>
      <c r="P763" t="s">
        <v>62</v>
      </c>
      <c r="Q763">
        <v>3137498</v>
      </c>
      <c r="R763">
        <v>3137968</v>
      </c>
      <c r="S763" t="s">
        <v>18520</v>
      </c>
      <c r="T763">
        <v>157</v>
      </c>
      <c r="U763" t="s">
        <v>572</v>
      </c>
      <c r="V763">
        <v>48</v>
      </c>
      <c r="W763" t="str">
        <f>HYPERLINK("Gene3183-zp_tree_all.dnd", "Gene3183-tree")</f>
        <v>Gene3183-tree</v>
      </c>
      <c r="X763">
        <v>10</v>
      </c>
      <c r="Y763">
        <v>4</v>
      </c>
      <c r="Z763">
        <v>10</v>
      </c>
      <c r="AA763">
        <v>4</v>
      </c>
      <c r="AB763">
        <v>0.28571000000000002</v>
      </c>
      <c r="AC763" t="s">
        <v>117</v>
      </c>
      <c r="AD763" t="s">
        <v>61</v>
      </c>
      <c r="AE763" t="s">
        <v>62</v>
      </c>
      <c r="AF763" t="s">
        <v>62</v>
      </c>
      <c r="AG763">
        <v>1</v>
      </c>
      <c r="AH763">
        <v>2</v>
      </c>
      <c r="AI763">
        <v>4</v>
      </c>
      <c r="AJ763">
        <v>0.33333000000000002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2</v>
      </c>
      <c r="AQ763">
        <v>0</v>
      </c>
      <c r="AR763">
        <v>2</v>
      </c>
      <c r="AS763">
        <v>4</v>
      </c>
      <c r="AT763">
        <v>0.33333000000000002</v>
      </c>
      <c r="AU763">
        <v>11</v>
      </c>
      <c r="AV763">
        <v>7</v>
      </c>
      <c r="AW763">
        <v>23</v>
      </c>
      <c r="AX763">
        <v>6</v>
      </c>
      <c r="AY763">
        <v>19</v>
      </c>
      <c r="AZ763">
        <v>0</v>
      </c>
      <c r="BA763" t="s">
        <v>18521</v>
      </c>
      <c r="BB763" t="s">
        <v>193</v>
      </c>
      <c r="BC763">
        <v>0.86199999999999999</v>
      </c>
      <c r="BD763" t="s">
        <v>65</v>
      </c>
      <c r="BE763">
        <v>42</v>
      </c>
      <c r="BF763">
        <v>6</v>
      </c>
      <c r="BG763" t="s">
        <v>18522</v>
      </c>
      <c r="BH763" t="s">
        <v>18523</v>
      </c>
      <c r="BI763" t="s">
        <v>18524</v>
      </c>
      <c r="BJ763">
        <v>2.545E-2</v>
      </c>
      <c r="BK763">
        <v>1</v>
      </c>
      <c r="BL763" t="s">
        <v>69</v>
      </c>
      <c r="BM763">
        <v>-1.5569999999999999</v>
      </c>
      <c r="BN763">
        <v>-2.323</v>
      </c>
    </row>
    <row r="764" spans="2:66">
      <c r="B764">
        <v>1194</v>
      </c>
      <c r="C764">
        <v>94</v>
      </c>
      <c r="D764">
        <v>0</v>
      </c>
      <c r="E764">
        <v>2</v>
      </c>
      <c r="F764">
        <v>0</v>
      </c>
      <c r="J764">
        <v>0</v>
      </c>
      <c r="K764">
        <v>2</v>
      </c>
      <c r="L764">
        <v>0</v>
      </c>
      <c r="M764" t="s">
        <v>25022</v>
      </c>
      <c r="N764">
        <v>3185</v>
      </c>
      <c r="O764" t="s">
        <v>18531</v>
      </c>
      <c r="P764" t="s">
        <v>62</v>
      </c>
      <c r="Q764">
        <v>3138324</v>
      </c>
      <c r="R764">
        <v>3138884</v>
      </c>
      <c r="S764" t="s">
        <v>18532</v>
      </c>
      <c r="T764">
        <v>187</v>
      </c>
      <c r="U764" t="s">
        <v>108</v>
      </c>
      <c r="V764">
        <v>44</v>
      </c>
      <c r="W764" t="str">
        <f>HYPERLINK("Gene3185-zp_tree_all.dnd", "Gene3185-tree")</f>
        <v>Gene3185-tree</v>
      </c>
      <c r="X764">
        <v>6</v>
      </c>
      <c r="Y764">
        <v>30</v>
      </c>
      <c r="Z764">
        <v>6</v>
      </c>
      <c r="AA764">
        <v>2</v>
      </c>
      <c r="AB764">
        <v>0.25</v>
      </c>
      <c r="AC764" t="s">
        <v>90</v>
      </c>
      <c r="AD764" t="s">
        <v>18533</v>
      </c>
      <c r="AE764">
        <v>12.568</v>
      </c>
      <c r="AF764" t="s">
        <v>65</v>
      </c>
      <c r="AG764">
        <v>1</v>
      </c>
      <c r="AH764">
        <v>2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2</v>
      </c>
      <c r="AQ764">
        <v>0</v>
      </c>
      <c r="AR764">
        <v>2</v>
      </c>
      <c r="AS764">
        <v>0</v>
      </c>
      <c r="AT764">
        <v>1</v>
      </c>
      <c r="AU764">
        <v>5</v>
      </c>
      <c r="AV764">
        <v>3</v>
      </c>
      <c r="AW764">
        <v>8</v>
      </c>
      <c r="AX764">
        <v>2</v>
      </c>
      <c r="AY764">
        <v>3</v>
      </c>
      <c r="AZ764">
        <v>0</v>
      </c>
      <c r="BA764" t="s">
        <v>18534</v>
      </c>
      <c r="BB764" t="s">
        <v>193</v>
      </c>
      <c r="BC764">
        <v>1.4019999999999999</v>
      </c>
      <c r="BD764" t="s">
        <v>65</v>
      </c>
      <c r="BE764">
        <v>11</v>
      </c>
      <c r="BF764">
        <v>2</v>
      </c>
      <c r="BG764" t="s">
        <v>18535</v>
      </c>
      <c r="BH764" t="s">
        <v>18536</v>
      </c>
      <c r="BI764" t="s">
        <v>18537</v>
      </c>
      <c r="BJ764">
        <v>3.2829999999999998E-2</v>
      </c>
      <c r="BK764">
        <v>1</v>
      </c>
      <c r="BL764" t="s">
        <v>69</v>
      </c>
      <c r="BM764">
        <v>-0.27600000000000002</v>
      </c>
      <c r="BN764">
        <v>-1.343</v>
      </c>
    </row>
    <row r="765" spans="2:66">
      <c r="B765">
        <v>1195</v>
      </c>
      <c r="C765">
        <v>162</v>
      </c>
      <c r="D765">
        <v>0</v>
      </c>
      <c r="E765">
        <v>11</v>
      </c>
      <c r="F765">
        <v>1</v>
      </c>
      <c r="J765">
        <v>0</v>
      </c>
      <c r="K765">
        <v>2</v>
      </c>
      <c r="L765">
        <v>0</v>
      </c>
      <c r="M765" t="s">
        <v>25022</v>
      </c>
      <c r="N765">
        <v>3186</v>
      </c>
      <c r="O765" t="s">
        <v>18538</v>
      </c>
      <c r="P765" t="s">
        <v>62</v>
      </c>
      <c r="Q765">
        <v>3138981</v>
      </c>
      <c r="R765">
        <v>3139226</v>
      </c>
      <c r="S765" t="s">
        <v>18539</v>
      </c>
      <c r="T765">
        <v>82</v>
      </c>
      <c r="U765" t="s">
        <v>59</v>
      </c>
      <c r="V765">
        <v>49</v>
      </c>
      <c r="W765" t="str">
        <f>HYPERLINK("Gene3186-zp_tree_all.dnd", "Gene3186-tree")</f>
        <v>Gene3186-tree</v>
      </c>
      <c r="X765">
        <v>29</v>
      </c>
      <c r="Y765">
        <v>1</v>
      </c>
      <c r="Z765">
        <v>12</v>
      </c>
      <c r="AA765">
        <v>1</v>
      </c>
      <c r="AB765">
        <v>7.6920000000000002E-2</v>
      </c>
      <c r="AC765" t="s">
        <v>1455</v>
      </c>
      <c r="AD765" t="s">
        <v>175</v>
      </c>
      <c r="AE765" t="s">
        <v>62</v>
      </c>
      <c r="AF765" t="s">
        <v>62</v>
      </c>
      <c r="AG765">
        <v>1</v>
      </c>
      <c r="AH765">
        <v>2</v>
      </c>
      <c r="AI765">
        <v>1</v>
      </c>
      <c r="AJ765">
        <v>0.66666999999999998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8</v>
      </c>
      <c r="AV765">
        <v>8</v>
      </c>
      <c r="AW765">
        <v>11</v>
      </c>
      <c r="AX765">
        <v>1</v>
      </c>
      <c r="AY765">
        <v>13</v>
      </c>
      <c r="AZ765">
        <v>2</v>
      </c>
      <c r="BA765" t="s">
        <v>18540</v>
      </c>
      <c r="BB765" t="s">
        <v>18541</v>
      </c>
      <c r="BC765">
        <v>0.182</v>
      </c>
      <c r="BD765" t="s">
        <v>65</v>
      </c>
      <c r="BE765">
        <v>24</v>
      </c>
      <c r="BF765">
        <v>3</v>
      </c>
      <c r="BG765" t="s">
        <v>18542</v>
      </c>
      <c r="BH765" t="s">
        <v>18543</v>
      </c>
      <c r="BI765" t="s">
        <v>18544</v>
      </c>
      <c r="BJ765">
        <v>1.7739999999999999E-2</v>
      </c>
      <c r="BK765">
        <v>1</v>
      </c>
      <c r="BL765" t="s">
        <v>69</v>
      </c>
      <c r="BM765">
        <v>-0.249</v>
      </c>
      <c r="BN765">
        <v>-0.77600000000000002</v>
      </c>
    </row>
    <row r="766" spans="2:66">
      <c r="B766">
        <v>1196</v>
      </c>
      <c r="C766">
        <v>51</v>
      </c>
      <c r="D766">
        <v>0</v>
      </c>
      <c r="E766">
        <v>2</v>
      </c>
      <c r="F766">
        <v>2</v>
      </c>
      <c r="J766">
        <v>0</v>
      </c>
      <c r="K766">
        <v>7</v>
      </c>
      <c r="L766">
        <v>0</v>
      </c>
      <c r="M766" t="s">
        <v>25022</v>
      </c>
      <c r="N766">
        <v>3190</v>
      </c>
      <c r="O766" t="s">
        <v>18565</v>
      </c>
      <c r="P766" t="s">
        <v>62</v>
      </c>
      <c r="Q766">
        <v>3142080</v>
      </c>
      <c r="R766">
        <v>3142964</v>
      </c>
      <c r="S766" t="s">
        <v>18566</v>
      </c>
      <c r="T766">
        <v>295</v>
      </c>
      <c r="U766" t="s">
        <v>108</v>
      </c>
      <c r="V766">
        <v>44</v>
      </c>
      <c r="W766" t="str">
        <f>HYPERLINK("Gene3190-zp_tree_all.dnd", "Gene3190-tree")</f>
        <v>Gene3190-tree</v>
      </c>
      <c r="X766">
        <v>4</v>
      </c>
      <c r="Y766">
        <v>11</v>
      </c>
      <c r="Z766">
        <v>4</v>
      </c>
      <c r="AA766">
        <v>11</v>
      </c>
      <c r="AB766">
        <v>0.73333000000000004</v>
      </c>
      <c r="AC766" t="s">
        <v>61</v>
      </c>
      <c r="AD766" t="s">
        <v>73</v>
      </c>
      <c r="AE766">
        <v>200307210.301</v>
      </c>
      <c r="AF766" t="s">
        <v>267</v>
      </c>
      <c r="AG766">
        <v>3</v>
      </c>
      <c r="AH766">
        <v>7</v>
      </c>
      <c r="AI766">
        <v>14</v>
      </c>
      <c r="AJ766">
        <v>0.33333000000000002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4</v>
      </c>
      <c r="AQ766">
        <v>0</v>
      </c>
      <c r="AR766">
        <v>4</v>
      </c>
      <c r="AS766">
        <v>13</v>
      </c>
      <c r="AT766">
        <v>0.23529</v>
      </c>
      <c r="AU766">
        <v>12</v>
      </c>
      <c r="AV766">
        <v>10</v>
      </c>
      <c r="AW766">
        <v>27</v>
      </c>
      <c r="AX766">
        <v>13</v>
      </c>
      <c r="AY766">
        <v>23</v>
      </c>
      <c r="AZ766">
        <v>8</v>
      </c>
      <c r="BA766" t="s">
        <v>18567</v>
      </c>
      <c r="BB766" t="s">
        <v>18568</v>
      </c>
      <c r="BC766">
        <v>0.41399999999999998</v>
      </c>
      <c r="BD766" t="s">
        <v>65</v>
      </c>
      <c r="BE766">
        <v>50</v>
      </c>
      <c r="BF766">
        <v>21</v>
      </c>
      <c r="BG766" t="s">
        <v>18569</v>
      </c>
      <c r="BH766" t="s">
        <v>18570</v>
      </c>
      <c r="BI766" t="s">
        <v>18571</v>
      </c>
      <c r="BJ766">
        <v>0.12573999999999999</v>
      </c>
      <c r="BK766">
        <v>1</v>
      </c>
      <c r="BL766" t="s">
        <v>69</v>
      </c>
      <c r="BM766">
        <v>-1.0129999999999999</v>
      </c>
      <c r="BN766">
        <v>-1.278</v>
      </c>
    </row>
    <row r="767" spans="2:66">
      <c r="B767">
        <v>1197</v>
      </c>
      <c r="C767">
        <v>29</v>
      </c>
      <c r="D767">
        <v>0</v>
      </c>
      <c r="E767">
        <v>6</v>
      </c>
      <c r="F767">
        <v>3</v>
      </c>
      <c r="J767">
        <v>0</v>
      </c>
      <c r="K767">
        <v>25</v>
      </c>
      <c r="L767">
        <v>3</v>
      </c>
      <c r="M767" t="s">
        <v>25022</v>
      </c>
      <c r="N767">
        <v>3191</v>
      </c>
      <c r="O767" t="s">
        <v>18572</v>
      </c>
      <c r="P767" t="s">
        <v>62</v>
      </c>
      <c r="Q767">
        <v>3142957</v>
      </c>
      <c r="R767">
        <v>3144261</v>
      </c>
      <c r="S767" t="s">
        <v>18566</v>
      </c>
      <c r="T767">
        <v>435</v>
      </c>
      <c r="U767" t="s">
        <v>108</v>
      </c>
      <c r="V767">
        <v>44</v>
      </c>
      <c r="W767" t="str">
        <f>HYPERLINK("Gene3191-zp_tree_all.dnd", "Gene3191-tree")</f>
        <v>Gene3191-tree</v>
      </c>
      <c r="X767">
        <v>4</v>
      </c>
      <c r="Y767">
        <v>11</v>
      </c>
      <c r="Z767">
        <v>4</v>
      </c>
      <c r="AA767">
        <v>11</v>
      </c>
      <c r="AB767">
        <v>0.73333000000000004</v>
      </c>
      <c r="AC767" t="s">
        <v>61</v>
      </c>
      <c r="AD767" t="s">
        <v>73</v>
      </c>
      <c r="AE767">
        <v>200307210.301</v>
      </c>
      <c r="AF767" t="s">
        <v>267</v>
      </c>
      <c r="AG767">
        <v>10</v>
      </c>
      <c r="AH767">
        <v>28</v>
      </c>
      <c r="AI767">
        <v>25</v>
      </c>
      <c r="AJ767">
        <v>0.52829999999999999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13</v>
      </c>
      <c r="AQ767">
        <v>5</v>
      </c>
      <c r="AR767">
        <v>18</v>
      </c>
      <c r="AS767">
        <v>20</v>
      </c>
      <c r="AT767">
        <v>0.47367999999999999</v>
      </c>
      <c r="AU767">
        <v>14</v>
      </c>
      <c r="AV767">
        <v>11</v>
      </c>
      <c r="AW767">
        <v>35</v>
      </c>
      <c r="AX767">
        <v>38</v>
      </c>
      <c r="AY767">
        <v>20</v>
      </c>
      <c r="AZ767">
        <v>16</v>
      </c>
      <c r="BA767" t="s">
        <v>18573</v>
      </c>
      <c r="BB767" t="s">
        <v>18574</v>
      </c>
      <c r="BC767">
        <v>0.83799999999999997</v>
      </c>
      <c r="BD767" t="s">
        <v>65</v>
      </c>
      <c r="BE767">
        <v>55</v>
      </c>
      <c r="BF767">
        <v>54</v>
      </c>
      <c r="BG767" t="s">
        <v>18575</v>
      </c>
      <c r="BH767" t="s">
        <v>18576</v>
      </c>
      <c r="BI767" t="s">
        <v>18577</v>
      </c>
      <c r="BJ767">
        <v>0.29065000000000002</v>
      </c>
      <c r="BK767">
        <v>1</v>
      </c>
      <c r="BL767" t="s">
        <v>69</v>
      </c>
      <c r="BM767">
        <v>-0.93400000000000005</v>
      </c>
      <c r="BN767">
        <v>-1.07</v>
      </c>
    </row>
    <row r="768" spans="2:66">
      <c r="B768">
        <v>1200</v>
      </c>
      <c r="C768">
        <v>261</v>
      </c>
      <c r="D768">
        <v>0</v>
      </c>
      <c r="E768">
        <v>7</v>
      </c>
      <c r="F768">
        <v>0</v>
      </c>
      <c r="J768">
        <v>0</v>
      </c>
      <c r="K768">
        <v>7</v>
      </c>
      <c r="L768">
        <v>0</v>
      </c>
      <c r="M768" t="s">
        <v>25022</v>
      </c>
      <c r="N768">
        <v>3192</v>
      </c>
      <c r="O768" t="s">
        <v>18578</v>
      </c>
      <c r="P768" t="s">
        <v>62</v>
      </c>
      <c r="Q768">
        <v>3144270</v>
      </c>
      <c r="R768">
        <v>3145019</v>
      </c>
      <c r="S768" t="s">
        <v>18579</v>
      </c>
      <c r="T768">
        <v>250</v>
      </c>
      <c r="U768" t="s">
        <v>108</v>
      </c>
      <c r="V768">
        <v>44</v>
      </c>
      <c r="W768" t="str">
        <f>HYPERLINK("Gene3192-zp_tree_all.dnd", "Gene3192-tree")</f>
        <v>Gene3192-tree</v>
      </c>
      <c r="X768">
        <v>4</v>
      </c>
      <c r="Y768">
        <v>10</v>
      </c>
      <c r="Z768">
        <v>4</v>
      </c>
      <c r="AA768">
        <v>10</v>
      </c>
      <c r="AB768">
        <v>0.71428999999999998</v>
      </c>
      <c r="AC768" t="s">
        <v>61</v>
      </c>
      <c r="AD768" t="s">
        <v>117</v>
      </c>
      <c r="AE768" t="s">
        <v>62</v>
      </c>
      <c r="AF768" t="s">
        <v>62</v>
      </c>
      <c r="AG768">
        <v>3</v>
      </c>
      <c r="AH768">
        <v>7</v>
      </c>
      <c r="AI768">
        <v>7</v>
      </c>
      <c r="AJ768">
        <v>0.5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4</v>
      </c>
      <c r="AQ768">
        <v>0</v>
      </c>
      <c r="AR768">
        <v>4</v>
      </c>
      <c r="AS768">
        <v>7</v>
      </c>
      <c r="AT768">
        <v>0.36364000000000002</v>
      </c>
      <c r="AU768">
        <v>11</v>
      </c>
      <c r="AV768">
        <v>10</v>
      </c>
      <c r="AW768">
        <v>28</v>
      </c>
      <c r="AX768">
        <v>9</v>
      </c>
      <c r="AY768">
        <v>15</v>
      </c>
      <c r="AZ768">
        <v>5</v>
      </c>
      <c r="BA768" t="s">
        <v>18580</v>
      </c>
      <c r="BB768" t="s">
        <v>18581</v>
      </c>
      <c r="BC768">
        <v>6.5000000000000002E-2</v>
      </c>
      <c r="BD768" t="s">
        <v>65</v>
      </c>
      <c r="BE768">
        <v>43</v>
      </c>
      <c r="BF768">
        <v>14</v>
      </c>
      <c r="BG768" t="s">
        <v>18582</v>
      </c>
      <c r="BH768" t="s">
        <v>18583</v>
      </c>
      <c r="BI768" t="s">
        <v>18584</v>
      </c>
      <c r="BJ768">
        <v>9.7059999999999994E-2</v>
      </c>
      <c r="BK768">
        <v>1</v>
      </c>
      <c r="BL768" t="s">
        <v>69</v>
      </c>
      <c r="BM768">
        <v>-0.53300000000000003</v>
      </c>
      <c r="BN768">
        <v>-1.0509999999999999</v>
      </c>
    </row>
    <row r="769" spans="2:66">
      <c r="B769">
        <v>1201</v>
      </c>
      <c r="C769">
        <v>112</v>
      </c>
      <c r="D769">
        <v>0</v>
      </c>
      <c r="E769">
        <v>4</v>
      </c>
      <c r="F769">
        <v>0</v>
      </c>
      <c r="J769">
        <v>0</v>
      </c>
      <c r="K769">
        <v>2</v>
      </c>
      <c r="L769">
        <v>0</v>
      </c>
      <c r="M769" t="s">
        <v>25022</v>
      </c>
      <c r="N769">
        <v>3193</v>
      </c>
      <c r="O769" t="s">
        <v>18585</v>
      </c>
      <c r="P769" t="s">
        <v>62</v>
      </c>
      <c r="Q769">
        <v>3145041</v>
      </c>
      <c r="R769">
        <v>3145958</v>
      </c>
      <c r="S769" t="s">
        <v>18586</v>
      </c>
      <c r="T769">
        <v>306</v>
      </c>
      <c r="U769" t="s">
        <v>108</v>
      </c>
      <c r="V769">
        <v>44</v>
      </c>
      <c r="W769" t="str">
        <f>HYPERLINK("Gene3193-zp_tree_all.dnd", "Gene3193-tree")</f>
        <v>Gene3193-tree</v>
      </c>
      <c r="X769">
        <v>6</v>
      </c>
      <c r="Y769">
        <v>9</v>
      </c>
      <c r="Z769">
        <v>6</v>
      </c>
      <c r="AA769">
        <v>9</v>
      </c>
      <c r="AB769">
        <v>0.6</v>
      </c>
      <c r="AC769" t="s">
        <v>90</v>
      </c>
      <c r="AD769" t="s">
        <v>135</v>
      </c>
      <c r="AE769" t="s">
        <v>62</v>
      </c>
      <c r="AF769" t="s">
        <v>62</v>
      </c>
      <c r="AG769">
        <v>1</v>
      </c>
      <c r="AH769">
        <v>2</v>
      </c>
      <c r="AI769">
        <v>16</v>
      </c>
      <c r="AJ769">
        <v>0.11111</v>
      </c>
      <c r="AK769">
        <v>0</v>
      </c>
      <c r="AL769">
        <v>0</v>
      </c>
      <c r="AM769">
        <v>0</v>
      </c>
      <c r="AN769">
        <v>2</v>
      </c>
      <c r="AO769">
        <v>0</v>
      </c>
      <c r="AP769">
        <v>0</v>
      </c>
      <c r="AQ769">
        <v>0</v>
      </c>
      <c r="AR769">
        <v>0</v>
      </c>
      <c r="AS769">
        <v>16</v>
      </c>
      <c r="AT769">
        <v>0</v>
      </c>
      <c r="AU769">
        <v>12</v>
      </c>
      <c r="AV769">
        <v>5</v>
      </c>
      <c r="AW769">
        <v>16</v>
      </c>
      <c r="AX769">
        <v>16</v>
      </c>
      <c r="AY769">
        <v>4</v>
      </c>
      <c r="AZ769">
        <v>2</v>
      </c>
      <c r="BA769" t="s">
        <v>18587</v>
      </c>
      <c r="BB769" t="s">
        <v>18588</v>
      </c>
      <c r="BC769">
        <v>0.751</v>
      </c>
      <c r="BD769" t="s">
        <v>65</v>
      </c>
      <c r="BE769">
        <v>20</v>
      </c>
      <c r="BF769">
        <v>18</v>
      </c>
      <c r="BG769" t="s">
        <v>18589</v>
      </c>
      <c r="BH769" t="s">
        <v>18590</v>
      </c>
      <c r="BI769" t="s">
        <v>18591</v>
      </c>
      <c r="BJ769">
        <v>0.27539000000000002</v>
      </c>
      <c r="BK769">
        <v>1</v>
      </c>
      <c r="BL769" t="s">
        <v>69</v>
      </c>
      <c r="BM769">
        <v>-1.625</v>
      </c>
      <c r="BN769">
        <v>-2.87</v>
      </c>
    </row>
    <row r="770" spans="2:66">
      <c r="B770">
        <v>1202</v>
      </c>
      <c r="C770">
        <v>455</v>
      </c>
      <c r="D770">
        <v>0</v>
      </c>
      <c r="E770">
        <v>9</v>
      </c>
      <c r="F770">
        <v>0</v>
      </c>
      <c r="J770">
        <v>0</v>
      </c>
      <c r="K770">
        <v>13</v>
      </c>
      <c r="L770">
        <v>1</v>
      </c>
      <c r="M770" t="s">
        <v>25022</v>
      </c>
      <c r="N770">
        <v>3194</v>
      </c>
      <c r="O770" t="s">
        <v>18592</v>
      </c>
      <c r="P770" t="s">
        <v>62</v>
      </c>
      <c r="Q770">
        <v>3146241</v>
      </c>
      <c r="R770">
        <v>3147353</v>
      </c>
      <c r="S770" t="s">
        <v>18593</v>
      </c>
      <c r="T770">
        <v>371</v>
      </c>
      <c r="U770" t="s">
        <v>108</v>
      </c>
      <c r="V770">
        <v>44</v>
      </c>
      <c r="W770" t="str">
        <f>HYPERLINK("Gene3194-zp_tree_all.dnd", "Gene3194-tree")</f>
        <v>Gene3194-tree</v>
      </c>
      <c r="X770">
        <v>3</v>
      </c>
      <c r="Y770">
        <v>11</v>
      </c>
      <c r="Z770">
        <v>3</v>
      </c>
      <c r="AA770">
        <v>11</v>
      </c>
      <c r="AB770">
        <v>0.78571000000000002</v>
      </c>
      <c r="AC770" t="s">
        <v>324</v>
      </c>
      <c r="AD770" t="s">
        <v>73</v>
      </c>
      <c r="AE770">
        <v>305230034.74400002</v>
      </c>
      <c r="AF770" t="s">
        <v>267</v>
      </c>
      <c r="AG770">
        <v>5</v>
      </c>
      <c r="AH770">
        <v>14</v>
      </c>
      <c r="AI770">
        <v>7</v>
      </c>
      <c r="AJ770">
        <v>0.66666999999999998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7</v>
      </c>
      <c r="AQ770">
        <v>1</v>
      </c>
      <c r="AR770">
        <v>8</v>
      </c>
      <c r="AS770">
        <v>7</v>
      </c>
      <c r="AT770">
        <v>0.53332999999999997</v>
      </c>
      <c r="AU770">
        <v>12</v>
      </c>
      <c r="AV770">
        <v>9</v>
      </c>
      <c r="AW770">
        <v>49</v>
      </c>
      <c r="AX770">
        <v>15</v>
      </c>
      <c r="AY770">
        <v>30</v>
      </c>
      <c r="AZ770">
        <v>6</v>
      </c>
      <c r="BA770" t="s">
        <v>18594</v>
      </c>
      <c r="BB770" t="s">
        <v>18595</v>
      </c>
      <c r="BC770">
        <v>0.54800000000000004</v>
      </c>
      <c r="BD770" t="s">
        <v>65</v>
      </c>
      <c r="BE770">
        <v>79</v>
      </c>
      <c r="BF770">
        <v>21</v>
      </c>
      <c r="BG770" t="s">
        <v>18596</v>
      </c>
      <c r="BH770" t="s">
        <v>18597</v>
      </c>
      <c r="BI770" t="s">
        <v>18598</v>
      </c>
      <c r="BJ770">
        <v>5.9380000000000002E-2</v>
      </c>
      <c r="BK770">
        <v>1</v>
      </c>
      <c r="BL770" t="s">
        <v>69</v>
      </c>
      <c r="BM770">
        <v>-0.78100000000000003</v>
      </c>
      <c r="BN770">
        <v>-1.5269999999999999</v>
      </c>
    </row>
    <row r="771" spans="2:66">
      <c r="B771">
        <v>1203</v>
      </c>
      <c r="C771">
        <v>66</v>
      </c>
      <c r="D771">
        <v>0</v>
      </c>
      <c r="E771">
        <v>5</v>
      </c>
      <c r="F771">
        <v>0</v>
      </c>
      <c r="J771">
        <v>0</v>
      </c>
      <c r="K771">
        <v>23</v>
      </c>
      <c r="L771">
        <v>3</v>
      </c>
      <c r="M771" t="s">
        <v>25022</v>
      </c>
      <c r="N771">
        <v>3195</v>
      </c>
      <c r="O771" t="s">
        <v>18599</v>
      </c>
      <c r="P771" t="s">
        <v>62</v>
      </c>
      <c r="Q771">
        <v>3147353</v>
      </c>
      <c r="R771">
        <v>3148810</v>
      </c>
      <c r="S771" t="s">
        <v>18600</v>
      </c>
      <c r="T771">
        <v>486</v>
      </c>
      <c r="U771" t="s">
        <v>108</v>
      </c>
      <c r="V771">
        <v>44</v>
      </c>
      <c r="W771" t="str">
        <f>HYPERLINK("Gene3195-zp_tree_all.dnd", "Gene3195-tree")</f>
        <v>Gene3195-tree</v>
      </c>
      <c r="X771">
        <v>6</v>
      </c>
      <c r="Y771">
        <v>8</v>
      </c>
      <c r="Z771">
        <v>6</v>
      </c>
      <c r="AA771">
        <v>8</v>
      </c>
      <c r="AB771">
        <v>0.57142999999999999</v>
      </c>
      <c r="AC771" t="s">
        <v>90</v>
      </c>
      <c r="AD771" t="s">
        <v>136</v>
      </c>
      <c r="AE771" t="s">
        <v>62</v>
      </c>
      <c r="AF771" t="s">
        <v>62</v>
      </c>
      <c r="AG771">
        <v>10</v>
      </c>
      <c r="AH771">
        <v>26</v>
      </c>
      <c r="AI771">
        <v>14</v>
      </c>
      <c r="AJ771">
        <v>0.65</v>
      </c>
      <c r="AK771">
        <v>0</v>
      </c>
      <c r="AL771">
        <v>0</v>
      </c>
      <c r="AM771">
        <v>0</v>
      </c>
      <c r="AN771">
        <v>5</v>
      </c>
      <c r="AO771">
        <v>0</v>
      </c>
      <c r="AP771">
        <v>6</v>
      </c>
      <c r="AQ771">
        <v>1</v>
      </c>
      <c r="AR771">
        <v>7</v>
      </c>
      <c r="AS771">
        <v>11</v>
      </c>
      <c r="AT771">
        <v>0.38889000000000001</v>
      </c>
      <c r="AU771">
        <v>12</v>
      </c>
      <c r="AV771">
        <v>11</v>
      </c>
      <c r="AW771">
        <v>51</v>
      </c>
      <c r="AX771">
        <v>18</v>
      </c>
      <c r="AY771">
        <v>36</v>
      </c>
      <c r="AZ771">
        <v>23</v>
      </c>
      <c r="BA771" t="s">
        <v>18601</v>
      </c>
      <c r="BB771" t="s">
        <v>18602</v>
      </c>
      <c r="BC771">
        <v>1.399</v>
      </c>
      <c r="BD771" t="s">
        <v>65</v>
      </c>
      <c r="BE771">
        <v>87</v>
      </c>
      <c r="BF771">
        <v>41</v>
      </c>
      <c r="BG771" t="s">
        <v>18603</v>
      </c>
      <c r="BH771" t="s">
        <v>18604</v>
      </c>
      <c r="BI771" t="s">
        <v>18605</v>
      </c>
      <c r="BJ771">
        <v>0.15926999999999999</v>
      </c>
      <c r="BK771">
        <v>1</v>
      </c>
      <c r="BL771" t="s">
        <v>69</v>
      </c>
      <c r="BM771">
        <v>-9.1999999999999998E-2</v>
      </c>
      <c r="BN771">
        <v>-0.48199999999999998</v>
      </c>
    </row>
    <row r="772" spans="2:66">
      <c r="B772">
        <v>1204</v>
      </c>
      <c r="C772">
        <v>141</v>
      </c>
      <c r="D772">
        <v>0</v>
      </c>
      <c r="E772">
        <v>2</v>
      </c>
      <c r="F772">
        <v>2</v>
      </c>
      <c r="J772">
        <v>0</v>
      </c>
      <c r="K772">
        <v>0</v>
      </c>
      <c r="L772">
        <v>0</v>
      </c>
      <c r="M772" t="s">
        <v>25022</v>
      </c>
      <c r="N772">
        <v>3196</v>
      </c>
      <c r="O772" t="s">
        <v>18606</v>
      </c>
      <c r="P772" t="s">
        <v>62</v>
      </c>
      <c r="Q772">
        <v>3148904</v>
      </c>
      <c r="R772">
        <v>3149716</v>
      </c>
      <c r="S772" t="s">
        <v>18607</v>
      </c>
      <c r="T772">
        <v>271</v>
      </c>
      <c r="U772" t="s">
        <v>11324</v>
      </c>
      <c r="V772">
        <v>46</v>
      </c>
      <c r="W772" t="str">
        <f>HYPERLINK("Gene3196-zp_tree_all.dnd", "Gene3196-tree")</f>
        <v>Gene3196-tree</v>
      </c>
      <c r="X772">
        <v>11</v>
      </c>
      <c r="Y772">
        <v>0</v>
      </c>
      <c r="Z772">
        <v>11</v>
      </c>
      <c r="AA772">
        <v>0</v>
      </c>
      <c r="AB772">
        <v>0</v>
      </c>
      <c r="AC772" t="s">
        <v>73</v>
      </c>
      <c r="AD772" t="s">
        <v>62</v>
      </c>
      <c r="AE772" t="s">
        <v>62</v>
      </c>
      <c r="AF772" t="s">
        <v>62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8</v>
      </c>
      <c r="AV772">
        <v>5</v>
      </c>
      <c r="AW772">
        <v>41</v>
      </c>
      <c r="AX772">
        <v>0</v>
      </c>
      <c r="AY772">
        <v>26</v>
      </c>
      <c r="AZ772">
        <v>0</v>
      </c>
      <c r="BA772" t="s">
        <v>193</v>
      </c>
      <c r="BB772" t="s">
        <v>193</v>
      </c>
      <c r="BC772">
        <v>0</v>
      </c>
      <c r="BD772" t="s">
        <v>65</v>
      </c>
      <c r="BE772">
        <v>67</v>
      </c>
      <c r="BF772">
        <v>0</v>
      </c>
      <c r="BG772" t="s">
        <v>18608</v>
      </c>
      <c r="BH772" t="s">
        <v>18609</v>
      </c>
      <c r="BI772" t="s">
        <v>193</v>
      </c>
      <c r="BJ772">
        <v>0</v>
      </c>
      <c r="BK772">
        <v>1</v>
      </c>
      <c r="BL772" t="s">
        <v>69</v>
      </c>
      <c r="BM772">
        <v>-1.8320000000000001</v>
      </c>
      <c r="BN772">
        <v>-2.2909999999999999</v>
      </c>
    </row>
    <row r="773" spans="2:66">
      <c r="B773">
        <v>1205</v>
      </c>
      <c r="C773">
        <v>22</v>
      </c>
      <c r="D773">
        <v>0</v>
      </c>
      <c r="E773">
        <v>12</v>
      </c>
      <c r="F773">
        <v>0</v>
      </c>
      <c r="J773">
        <v>0</v>
      </c>
      <c r="K773">
        <v>2</v>
      </c>
      <c r="L773">
        <v>0</v>
      </c>
      <c r="M773" t="s">
        <v>25022</v>
      </c>
      <c r="N773">
        <v>3197</v>
      </c>
      <c r="O773" t="s">
        <v>18610</v>
      </c>
      <c r="P773" t="s">
        <v>62</v>
      </c>
      <c r="Q773">
        <v>3149754</v>
      </c>
      <c r="R773">
        <v>3150575</v>
      </c>
      <c r="S773" t="s">
        <v>18611</v>
      </c>
      <c r="T773">
        <v>274</v>
      </c>
      <c r="U773" t="s">
        <v>108</v>
      </c>
      <c r="V773">
        <v>44</v>
      </c>
      <c r="W773" t="str">
        <f>HYPERLINK("Gene3197-zp_tree_all.dnd", "Gene3197-tree")</f>
        <v>Gene3197-tree</v>
      </c>
      <c r="X773">
        <v>5</v>
      </c>
      <c r="Y773">
        <v>9</v>
      </c>
      <c r="Z773">
        <v>5</v>
      </c>
      <c r="AA773">
        <v>9</v>
      </c>
      <c r="AB773">
        <v>0.64285999999999999</v>
      </c>
      <c r="AC773" t="s">
        <v>199</v>
      </c>
      <c r="AD773" t="s">
        <v>135</v>
      </c>
      <c r="AE773" t="s">
        <v>62</v>
      </c>
      <c r="AF773" t="s">
        <v>62</v>
      </c>
      <c r="AG773">
        <v>1</v>
      </c>
      <c r="AH773">
        <v>2</v>
      </c>
      <c r="AI773">
        <v>19</v>
      </c>
      <c r="AJ773">
        <v>9.5240000000000005E-2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2</v>
      </c>
      <c r="AQ773">
        <v>0</v>
      </c>
      <c r="AR773">
        <v>2</v>
      </c>
      <c r="AS773">
        <v>17</v>
      </c>
      <c r="AT773">
        <v>0.10526000000000001</v>
      </c>
      <c r="AU773">
        <v>10</v>
      </c>
      <c r="AV773">
        <v>8</v>
      </c>
      <c r="AW773">
        <v>17</v>
      </c>
      <c r="AX773">
        <v>17</v>
      </c>
      <c r="AY773">
        <v>10</v>
      </c>
      <c r="AZ773">
        <v>4</v>
      </c>
      <c r="BA773" t="s">
        <v>18612</v>
      </c>
      <c r="BB773" t="s">
        <v>18613</v>
      </c>
      <c r="BC773">
        <v>1.0049999999999999</v>
      </c>
      <c r="BD773" t="s">
        <v>65</v>
      </c>
      <c r="BE773">
        <v>27</v>
      </c>
      <c r="BF773">
        <v>21</v>
      </c>
      <c r="BG773" t="s">
        <v>18614</v>
      </c>
      <c r="BH773" t="s">
        <v>18615</v>
      </c>
      <c r="BI773" t="s">
        <v>18616</v>
      </c>
      <c r="BJ773">
        <v>0.23299</v>
      </c>
      <c r="BK773">
        <v>1</v>
      </c>
      <c r="BL773" t="s">
        <v>69</v>
      </c>
      <c r="BM773">
        <v>-0.41199999999999998</v>
      </c>
      <c r="BN773">
        <v>-1.2470000000000001</v>
      </c>
    </row>
    <row r="774" spans="2:66">
      <c r="B774">
        <v>1208</v>
      </c>
      <c r="C774">
        <v>17</v>
      </c>
      <c r="D774">
        <v>0</v>
      </c>
      <c r="E774">
        <v>7</v>
      </c>
      <c r="F774">
        <v>0</v>
      </c>
      <c r="J774">
        <v>0</v>
      </c>
      <c r="K774">
        <v>2</v>
      </c>
      <c r="L774">
        <v>2</v>
      </c>
      <c r="M774" t="s">
        <v>25022</v>
      </c>
      <c r="N774">
        <v>3198</v>
      </c>
      <c r="O774" t="s">
        <v>18617</v>
      </c>
      <c r="P774" t="s">
        <v>62</v>
      </c>
      <c r="Q774">
        <v>3150566</v>
      </c>
      <c r="R774">
        <v>3152305</v>
      </c>
      <c r="S774" t="s">
        <v>18618</v>
      </c>
      <c r="T774">
        <v>580</v>
      </c>
      <c r="U774" t="s">
        <v>108</v>
      </c>
      <c r="V774">
        <v>44</v>
      </c>
      <c r="W774" t="str">
        <f>HYPERLINK("Gene3198-zp_tree_all.dnd", "Gene3198-tree")</f>
        <v>Gene3198-tree</v>
      </c>
      <c r="X774">
        <v>5</v>
      </c>
      <c r="Y774">
        <v>9</v>
      </c>
      <c r="Z774">
        <v>5</v>
      </c>
      <c r="AA774">
        <v>9</v>
      </c>
      <c r="AB774">
        <v>0.64285999999999999</v>
      </c>
      <c r="AC774" t="s">
        <v>199</v>
      </c>
      <c r="AD774" t="s">
        <v>135</v>
      </c>
      <c r="AE774" t="s">
        <v>62</v>
      </c>
      <c r="AF774" t="s">
        <v>62</v>
      </c>
      <c r="AG774">
        <v>2</v>
      </c>
      <c r="AH774">
        <v>4</v>
      </c>
      <c r="AI774">
        <v>13</v>
      </c>
      <c r="AJ774">
        <v>0.23529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2</v>
      </c>
      <c r="AQ774">
        <v>2</v>
      </c>
      <c r="AR774">
        <v>4</v>
      </c>
      <c r="AS774">
        <v>12</v>
      </c>
      <c r="AT774">
        <v>0.25</v>
      </c>
      <c r="AU774">
        <v>10</v>
      </c>
      <c r="AV774">
        <v>9</v>
      </c>
      <c r="AW774">
        <v>41</v>
      </c>
      <c r="AX774">
        <v>15</v>
      </c>
      <c r="AY774">
        <v>20</v>
      </c>
      <c r="AZ774">
        <v>2</v>
      </c>
      <c r="BA774" t="s">
        <v>18619</v>
      </c>
      <c r="BB774" t="s">
        <v>18620</v>
      </c>
      <c r="BC774">
        <v>1.0369999999999999</v>
      </c>
      <c r="BD774" t="s">
        <v>65</v>
      </c>
      <c r="BE774">
        <v>61</v>
      </c>
      <c r="BF774">
        <v>17</v>
      </c>
      <c r="BG774" t="s">
        <v>18621</v>
      </c>
      <c r="BH774" t="s">
        <v>18622</v>
      </c>
      <c r="BI774" t="s">
        <v>18623</v>
      </c>
      <c r="BJ774">
        <v>7.3139999999999997E-2</v>
      </c>
      <c r="BK774">
        <v>1</v>
      </c>
      <c r="BL774" t="s">
        <v>69</v>
      </c>
      <c r="BM774">
        <v>-0.70399999999999996</v>
      </c>
      <c r="BN774">
        <v>-2.0470000000000002</v>
      </c>
    </row>
    <row r="775" spans="2:66">
      <c r="B775">
        <v>1211</v>
      </c>
      <c r="C775">
        <v>126</v>
      </c>
      <c r="D775">
        <v>0</v>
      </c>
      <c r="E775">
        <v>4</v>
      </c>
      <c r="F775">
        <v>2</v>
      </c>
      <c r="J775">
        <v>0</v>
      </c>
      <c r="K775">
        <v>0</v>
      </c>
      <c r="L775">
        <v>0</v>
      </c>
      <c r="M775" t="s">
        <v>25022</v>
      </c>
      <c r="N775">
        <v>3199</v>
      </c>
      <c r="O775" t="s">
        <v>18624</v>
      </c>
      <c r="P775" t="s">
        <v>62</v>
      </c>
      <c r="Q775">
        <v>3152305</v>
      </c>
      <c r="R775">
        <v>3153717</v>
      </c>
      <c r="S775" t="s">
        <v>18625</v>
      </c>
      <c r="T775">
        <v>471</v>
      </c>
      <c r="U775" t="s">
        <v>108</v>
      </c>
      <c r="V775">
        <v>44</v>
      </c>
      <c r="W775" t="str">
        <f>HYPERLINK("Gene3199-zp_tree_all.dnd", "Gene3199-tree")</f>
        <v>Gene3199-tree</v>
      </c>
      <c r="X775">
        <v>9</v>
      </c>
      <c r="Y775">
        <v>5</v>
      </c>
      <c r="Z775">
        <v>9</v>
      </c>
      <c r="AA775">
        <v>5</v>
      </c>
      <c r="AB775">
        <v>0.35714000000000001</v>
      </c>
      <c r="AC775" t="s">
        <v>135</v>
      </c>
      <c r="AD775" t="s">
        <v>199</v>
      </c>
      <c r="AE775" t="s">
        <v>62</v>
      </c>
      <c r="AF775" t="s">
        <v>62</v>
      </c>
      <c r="AG775">
        <v>0</v>
      </c>
      <c r="AH775">
        <v>0</v>
      </c>
      <c r="AI775">
        <v>10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8</v>
      </c>
      <c r="AT775">
        <v>0</v>
      </c>
      <c r="AU775">
        <v>12</v>
      </c>
      <c r="AV775">
        <v>10</v>
      </c>
      <c r="AW775">
        <v>30</v>
      </c>
      <c r="AX775">
        <v>8</v>
      </c>
      <c r="AY775">
        <v>20</v>
      </c>
      <c r="AZ775">
        <v>2</v>
      </c>
      <c r="BA775" t="s">
        <v>18626</v>
      </c>
      <c r="BB775" t="s">
        <v>18627</v>
      </c>
      <c r="BC775">
        <v>0.7</v>
      </c>
      <c r="BD775" t="s">
        <v>65</v>
      </c>
      <c r="BE775">
        <v>50</v>
      </c>
      <c r="BF775">
        <v>10</v>
      </c>
      <c r="BG775" t="s">
        <v>18628</v>
      </c>
      <c r="BH775" t="s">
        <v>18629</v>
      </c>
      <c r="BI775" t="s">
        <v>6055</v>
      </c>
      <c r="BJ775">
        <v>5.6500000000000002E-2</v>
      </c>
      <c r="BK775">
        <v>1</v>
      </c>
      <c r="BL775" t="s">
        <v>69</v>
      </c>
      <c r="BM775">
        <v>-0.72899999999999998</v>
      </c>
      <c r="BN775">
        <v>-2.0649999999999999</v>
      </c>
    </row>
    <row r="776" spans="2:66">
      <c r="B776">
        <v>1216</v>
      </c>
      <c r="C776">
        <v>57</v>
      </c>
      <c r="D776">
        <v>0</v>
      </c>
      <c r="E776">
        <v>4</v>
      </c>
      <c r="F776">
        <v>2</v>
      </c>
      <c r="J776">
        <v>0</v>
      </c>
      <c r="K776">
        <v>5</v>
      </c>
      <c r="L776">
        <v>2</v>
      </c>
      <c r="M776" t="s">
        <v>25022</v>
      </c>
      <c r="N776">
        <v>3201</v>
      </c>
      <c r="O776" t="s">
        <v>18636</v>
      </c>
      <c r="P776" t="s">
        <v>62</v>
      </c>
      <c r="Q776">
        <v>3154738</v>
      </c>
      <c r="R776">
        <v>3155553</v>
      </c>
      <c r="S776" t="s">
        <v>11802</v>
      </c>
      <c r="T776">
        <v>272</v>
      </c>
      <c r="U776" t="s">
        <v>108</v>
      </c>
      <c r="V776">
        <v>44</v>
      </c>
      <c r="W776" t="str">
        <f>HYPERLINK("Gene3201-zp_tree_all.dnd", "Gene3201-tree")</f>
        <v>Gene3201-tree</v>
      </c>
      <c r="X776">
        <v>5</v>
      </c>
      <c r="Y776">
        <v>8</v>
      </c>
      <c r="Z776">
        <v>5</v>
      </c>
      <c r="AA776">
        <v>8</v>
      </c>
      <c r="AB776">
        <v>0.61538000000000004</v>
      </c>
      <c r="AC776" t="s">
        <v>199</v>
      </c>
      <c r="AD776" t="s">
        <v>136</v>
      </c>
      <c r="AE776" t="s">
        <v>62</v>
      </c>
      <c r="AF776" t="s">
        <v>62</v>
      </c>
      <c r="AG776">
        <v>3</v>
      </c>
      <c r="AH776">
        <v>7</v>
      </c>
      <c r="AI776">
        <v>13</v>
      </c>
      <c r="AJ776">
        <v>0.35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4</v>
      </c>
      <c r="AQ776">
        <v>0</v>
      </c>
      <c r="AR776">
        <v>4</v>
      </c>
      <c r="AS776">
        <v>12</v>
      </c>
      <c r="AT776">
        <v>0.25</v>
      </c>
      <c r="AU776">
        <v>11</v>
      </c>
      <c r="AV776">
        <v>7</v>
      </c>
      <c r="AW776">
        <v>32</v>
      </c>
      <c r="AX776">
        <v>18</v>
      </c>
      <c r="AY776">
        <v>11</v>
      </c>
      <c r="AZ776">
        <v>5</v>
      </c>
      <c r="BA776" t="s">
        <v>18637</v>
      </c>
      <c r="BB776" t="s">
        <v>18638</v>
      </c>
      <c r="BC776">
        <v>0.34599999999999997</v>
      </c>
      <c r="BD776" t="s">
        <v>65</v>
      </c>
      <c r="BE776">
        <v>43</v>
      </c>
      <c r="BF776">
        <v>23</v>
      </c>
      <c r="BG776" t="s">
        <v>18639</v>
      </c>
      <c r="BH776" t="s">
        <v>18640</v>
      </c>
      <c r="BI776" t="s">
        <v>18641</v>
      </c>
      <c r="BJ776">
        <v>0.17560999999999999</v>
      </c>
      <c r="BK776">
        <v>1</v>
      </c>
      <c r="BL776" t="s">
        <v>69</v>
      </c>
      <c r="BM776">
        <v>-1.0620000000000001</v>
      </c>
      <c r="BN776">
        <v>-1.59</v>
      </c>
    </row>
    <row r="777" spans="2:66">
      <c r="B777">
        <v>1217</v>
      </c>
      <c r="C777">
        <v>49</v>
      </c>
      <c r="D777">
        <v>0</v>
      </c>
      <c r="E777">
        <v>2</v>
      </c>
      <c r="F777">
        <v>0</v>
      </c>
      <c r="J777">
        <v>0</v>
      </c>
      <c r="K777">
        <v>7</v>
      </c>
      <c r="L777">
        <v>0</v>
      </c>
      <c r="M777" t="s">
        <v>25022</v>
      </c>
      <c r="N777">
        <v>3205</v>
      </c>
      <c r="O777" t="s">
        <v>18663</v>
      </c>
      <c r="P777" t="s">
        <v>62</v>
      </c>
      <c r="Q777">
        <v>3159261</v>
      </c>
      <c r="R777">
        <v>3159689</v>
      </c>
      <c r="S777" t="s">
        <v>18664</v>
      </c>
      <c r="T777">
        <v>143</v>
      </c>
      <c r="U777" t="s">
        <v>3545</v>
      </c>
      <c r="V777">
        <v>36</v>
      </c>
      <c r="W777" t="str">
        <f>HYPERLINK("Gene3205-zp_tree_all.dnd", "Gene3205-tree")</f>
        <v>Gene3205-tree</v>
      </c>
      <c r="X777">
        <v>2</v>
      </c>
      <c r="Y777">
        <v>6</v>
      </c>
      <c r="Z777">
        <v>2</v>
      </c>
      <c r="AA777">
        <v>6</v>
      </c>
      <c r="AB777">
        <v>0.75</v>
      </c>
      <c r="AC777" t="s">
        <v>81</v>
      </c>
      <c r="AD777" t="s">
        <v>90</v>
      </c>
      <c r="AE777" t="s">
        <v>62</v>
      </c>
      <c r="AF777" t="s">
        <v>62</v>
      </c>
      <c r="AG777">
        <v>3</v>
      </c>
      <c r="AH777">
        <v>7</v>
      </c>
      <c r="AI777">
        <v>13</v>
      </c>
      <c r="AJ777">
        <v>0.35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14</v>
      </c>
      <c r="AT777">
        <v>0</v>
      </c>
      <c r="AU777">
        <v>6</v>
      </c>
      <c r="AV777">
        <v>5</v>
      </c>
      <c r="AW777">
        <v>10</v>
      </c>
      <c r="AX777">
        <v>13</v>
      </c>
      <c r="AY777">
        <v>6</v>
      </c>
      <c r="AZ777">
        <v>7</v>
      </c>
      <c r="BA777" t="s">
        <v>18665</v>
      </c>
      <c r="BB777" t="s">
        <v>18666</v>
      </c>
      <c r="BC777">
        <v>0.111</v>
      </c>
      <c r="BD777" t="s">
        <v>65</v>
      </c>
      <c r="BE777">
        <v>16</v>
      </c>
      <c r="BF777">
        <v>20</v>
      </c>
      <c r="BG777" t="s">
        <v>18667</v>
      </c>
      <c r="BH777" t="s">
        <v>18668</v>
      </c>
      <c r="BI777" t="s">
        <v>18669</v>
      </c>
      <c r="BJ777">
        <v>0.28544000000000003</v>
      </c>
      <c r="BK777">
        <v>0.97</v>
      </c>
      <c r="BL777" t="s">
        <v>69</v>
      </c>
      <c r="BM777">
        <v>-6.6000000000000003E-2</v>
      </c>
      <c r="BN777">
        <v>-0.26600000000000001</v>
      </c>
    </row>
    <row r="778" spans="2:66">
      <c r="B778">
        <v>1219</v>
      </c>
      <c r="C778">
        <v>21</v>
      </c>
      <c r="D778">
        <v>0</v>
      </c>
      <c r="E778">
        <v>2</v>
      </c>
      <c r="F778">
        <v>0</v>
      </c>
      <c r="J778">
        <v>0</v>
      </c>
      <c r="K778">
        <v>5</v>
      </c>
      <c r="L778">
        <v>2</v>
      </c>
      <c r="M778" t="s">
        <v>25022</v>
      </c>
      <c r="N778">
        <v>3206</v>
      </c>
      <c r="O778" t="s">
        <v>18670</v>
      </c>
      <c r="P778" t="s">
        <v>62</v>
      </c>
      <c r="Q778">
        <v>3159694</v>
      </c>
      <c r="R778">
        <v>3160746</v>
      </c>
      <c r="S778" t="s">
        <v>3688</v>
      </c>
      <c r="T778">
        <v>351</v>
      </c>
      <c r="U778" t="s">
        <v>108</v>
      </c>
      <c r="V778">
        <v>44</v>
      </c>
      <c r="W778" t="str">
        <f>HYPERLINK("Gene3206-zp_tree_all.dnd", "Gene3206-tree")</f>
        <v>Gene3206-tree</v>
      </c>
      <c r="X778">
        <v>9</v>
      </c>
      <c r="Y778">
        <v>4</v>
      </c>
      <c r="Z778">
        <v>9</v>
      </c>
      <c r="AA778">
        <v>4</v>
      </c>
      <c r="AB778">
        <v>0.30769000000000002</v>
      </c>
      <c r="AC778" t="s">
        <v>135</v>
      </c>
      <c r="AD778" t="s">
        <v>61</v>
      </c>
      <c r="AE778" t="s">
        <v>62</v>
      </c>
      <c r="AF778" t="s">
        <v>62</v>
      </c>
      <c r="AG778">
        <v>3</v>
      </c>
      <c r="AH778">
        <v>7</v>
      </c>
      <c r="AI778">
        <v>8</v>
      </c>
      <c r="AJ778">
        <v>0.46666999999999997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2</v>
      </c>
      <c r="AR778">
        <v>2</v>
      </c>
      <c r="AS778">
        <v>7</v>
      </c>
      <c r="AT778">
        <v>0.22222</v>
      </c>
      <c r="AU778">
        <v>12</v>
      </c>
      <c r="AV778">
        <v>9</v>
      </c>
      <c r="AW778">
        <v>29</v>
      </c>
      <c r="AX778">
        <v>6</v>
      </c>
      <c r="AY778">
        <v>33</v>
      </c>
      <c r="AZ778">
        <v>10</v>
      </c>
      <c r="BA778" t="s">
        <v>18671</v>
      </c>
      <c r="BB778" t="s">
        <v>18672</v>
      </c>
      <c r="BC778">
        <v>0.38200000000000001</v>
      </c>
      <c r="BD778" t="s">
        <v>65</v>
      </c>
      <c r="BE778">
        <v>62</v>
      </c>
      <c r="BF778">
        <v>16</v>
      </c>
      <c r="BG778" t="s">
        <v>18673</v>
      </c>
      <c r="BH778" t="s">
        <v>18674</v>
      </c>
      <c r="BI778" t="s">
        <v>18675</v>
      </c>
      <c r="BJ778">
        <v>7.6880000000000004E-2</v>
      </c>
      <c r="BK778">
        <v>1</v>
      </c>
      <c r="BL778" t="s">
        <v>69</v>
      </c>
      <c r="BM778">
        <v>0.14599999999999999</v>
      </c>
      <c r="BN778">
        <v>2.5999999999999999E-2</v>
      </c>
    </row>
    <row r="779" spans="2:66">
      <c r="B779">
        <v>1220</v>
      </c>
      <c r="C779">
        <v>67</v>
      </c>
      <c r="D779">
        <v>2</v>
      </c>
      <c r="E779">
        <v>5</v>
      </c>
      <c r="F779">
        <v>0</v>
      </c>
      <c r="J779">
        <v>0</v>
      </c>
      <c r="K779">
        <v>5</v>
      </c>
      <c r="L779">
        <v>0</v>
      </c>
      <c r="M779" t="s">
        <v>25022</v>
      </c>
      <c r="N779">
        <v>3207</v>
      </c>
      <c r="O779" t="s">
        <v>18676</v>
      </c>
      <c r="P779" t="s">
        <v>62</v>
      </c>
      <c r="Q779">
        <v>3160764</v>
      </c>
      <c r="R779">
        <v>3161894</v>
      </c>
      <c r="S779" t="s">
        <v>3688</v>
      </c>
      <c r="T779">
        <v>377</v>
      </c>
      <c r="U779" t="s">
        <v>108</v>
      </c>
      <c r="V779">
        <v>44</v>
      </c>
      <c r="W779" t="str">
        <f>HYPERLINK("Gene3207-zp_tree_all.dnd", "Gene3207-tree")</f>
        <v>Gene3207-tree</v>
      </c>
      <c r="X779">
        <v>6</v>
      </c>
      <c r="Y779">
        <v>10</v>
      </c>
      <c r="Z779">
        <v>6</v>
      </c>
      <c r="AA779">
        <v>10</v>
      </c>
      <c r="AB779">
        <v>0.625</v>
      </c>
      <c r="AC779" t="s">
        <v>90</v>
      </c>
      <c r="AD779" t="s">
        <v>117</v>
      </c>
      <c r="AE779" t="s">
        <v>62</v>
      </c>
      <c r="AF779" t="s">
        <v>62</v>
      </c>
      <c r="AG779">
        <v>1</v>
      </c>
      <c r="AH779">
        <v>5</v>
      </c>
      <c r="AI779">
        <v>15</v>
      </c>
      <c r="AJ779">
        <v>0.25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2</v>
      </c>
      <c r="AQ779">
        <v>0</v>
      </c>
      <c r="AR779">
        <v>2</v>
      </c>
      <c r="AS779">
        <v>12</v>
      </c>
      <c r="AT779">
        <v>0.14285999999999999</v>
      </c>
      <c r="AU779">
        <v>14</v>
      </c>
      <c r="AV779">
        <v>7</v>
      </c>
      <c r="AW779">
        <v>17</v>
      </c>
      <c r="AX779">
        <v>14</v>
      </c>
      <c r="AY779">
        <v>14</v>
      </c>
      <c r="AZ779">
        <v>6</v>
      </c>
      <c r="BA779" t="s">
        <v>18677</v>
      </c>
      <c r="BB779" t="s">
        <v>18678</v>
      </c>
      <c r="BC779">
        <v>0.755</v>
      </c>
      <c r="BD779" t="s">
        <v>65</v>
      </c>
      <c r="BE779">
        <v>31</v>
      </c>
      <c r="BF779">
        <v>20</v>
      </c>
      <c r="BG779" t="s">
        <v>18679</v>
      </c>
      <c r="BH779" t="s">
        <v>18680</v>
      </c>
      <c r="BI779" t="s">
        <v>18681</v>
      </c>
      <c r="BJ779">
        <v>0.16034000000000001</v>
      </c>
      <c r="BK779">
        <v>1</v>
      </c>
      <c r="BL779" t="s">
        <v>69</v>
      </c>
      <c r="BM779">
        <v>-0.47299999999999998</v>
      </c>
      <c r="BN779">
        <v>-0.77500000000000002</v>
      </c>
    </row>
    <row r="780" spans="2:66">
      <c r="B780">
        <v>1222</v>
      </c>
      <c r="C780">
        <v>40</v>
      </c>
      <c r="D780">
        <v>0</v>
      </c>
      <c r="E780">
        <v>6</v>
      </c>
      <c r="F780">
        <v>0</v>
      </c>
      <c r="J780">
        <v>0</v>
      </c>
      <c r="K780">
        <v>16</v>
      </c>
      <c r="L780">
        <v>0</v>
      </c>
      <c r="M780" t="s">
        <v>25022</v>
      </c>
      <c r="N780">
        <v>3210</v>
      </c>
      <c r="O780" t="s">
        <v>18695</v>
      </c>
      <c r="P780" t="s">
        <v>62</v>
      </c>
      <c r="Q780">
        <v>3163738</v>
      </c>
      <c r="R780">
        <v>3166131</v>
      </c>
      <c r="S780" t="s">
        <v>18696</v>
      </c>
      <c r="T780">
        <v>798</v>
      </c>
      <c r="U780" t="s">
        <v>108</v>
      </c>
      <c r="V780">
        <v>44</v>
      </c>
      <c r="W780" t="str">
        <f>HYPERLINK("Gene3210-zp_tree_all.dnd", "Gene3210-tree")</f>
        <v>Gene3210-tree</v>
      </c>
      <c r="X780">
        <v>7</v>
      </c>
      <c r="Y780">
        <v>8</v>
      </c>
      <c r="Z780">
        <v>7</v>
      </c>
      <c r="AA780">
        <v>8</v>
      </c>
      <c r="AB780">
        <v>0.53332999999999997</v>
      </c>
      <c r="AC780" t="s">
        <v>152</v>
      </c>
      <c r="AD780" t="s">
        <v>136</v>
      </c>
      <c r="AE780" t="s">
        <v>62</v>
      </c>
      <c r="AF780" t="s">
        <v>62</v>
      </c>
      <c r="AG780">
        <v>7</v>
      </c>
      <c r="AH780">
        <v>16</v>
      </c>
      <c r="AI780">
        <v>13</v>
      </c>
      <c r="AJ780">
        <v>0.55171999999999999</v>
      </c>
      <c r="AK780">
        <v>0</v>
      </c>
      <c r="AL780">
        <v>0</v>
      </c>
      <c r="AM780">
        <v>0</v>
      </c>
      <c r="AN780">
        <v>5</v>
      </c>
      <c r="AO780">
        <v>0</v>
      </c>
      <c r="AP780">
        <v>2</v>
      </c>
      <c r="AQ780">
        <v>0</v>
      </c>
      <c r="AR780">
        <v>2</v>
      </c>
      <c r="AS780">
        <v>12</v>
      </c>
      <c r="AT780">
        <v>0.14285999999999999</v>
      </c>
      <c r="AU780">
        <v>12</v>
      </c>
      <c r="AV780">
        <v>11</v>
      </c>
      <c r="AW780">
        <v>69</v>
      </c>
      <c r="AX780">
        <v>14</v>
      </c>
      <c r="AY780">
        <v>77</v>
      </c>
      <c r="AZ780">
        <v>15</v>
      </c>
      <c r="BA780" t="s">
        <v>18697</v>
      </c>
      <c r="BB780" t="s">
        <v>18698</v>
      </c>
      <c r="BC780">
        <v>0.06</v>
      </c>
      <c r="BD780" t="s">
        <v>65</v>
      </c>
      <c r="BE780">
        <v>146</v>
      </c>
      <c r="BF780">
        <v>29</v>
      </c>
      <c r="BG780" t="s">
        <v>18699</v>
      </c>
      <c r="BH780" t="s">
        <v>18700</v>
      </c>
      <c r="BI780" t="s">
        <v>18701</v>
      </c>
      <c r="BJ780">
        <v>4.9509999999999998E-2</v>
      </c>
      <c r="BK780">
        <v>1</v>
      </c>
      <c r="BL780" t="s">
        <v>69</v>
      </c>
      <c r="BM780">
        <v>0.223</v>
      </c>
      <c r="BN780">
        <v>-0.21199999999999999</v>
      </c>
    </row>
    <row r="781" spans="2:66">
      <c r="B781">
        <v>1225</v>
      </c>
      <c r="C781">
        <v>65</v>
      </c>
      <c r="D781">
        <v>0</v>
      </c>
      <c r="E781">
        <v>0</v>
      </c>
      <c r="F781">
        <v>2</v>
      </c>
      <c r="J781">
        <v>0</v>
      </c>
      <c r="K781">
        <v>20</v>
      </c>
      <c r="L781">
        <v>3</v>
      </c>
      <c r="M781" t="s">
        <v>25022</v>
      </c>
      <c r="N781">
        <v>3211</v>
      </c>
      <c r="O781" t="s">
        <v>18702</v>
      </c>
      <c r="P781" t="s">
        <v>62</v>
      </c>
      <c r="Q781">
        <v>3166121</v>
      </c>
      <c r="R781">
        <v>3167572</v>
      </c>
      <c r="S781" t="s">
        <v>18703</v>
      </c>
      <c r="T781">
        <v>484</v>
      </c>
      <c r="U781" t="s">
        <v>108</v>
      </c>
      <c r="V781">
        <v>44</v>
      </c>
      <c r="W781" t="str">
        <f>HYPERLINK("Gene3211-zp_tree_all.dnd", "Gene3211-tree")</f>
        <v>Gene3211-tree</v>
      </c>
      <c r="X781">
        <v>1</v>
      </c>
      <c r="Y781">
        <v>12</v>
      </c>
      <c r="Z781">
        <v>1</v>
      </c>
      <c r="AA781">
        <v>12</v>
      </c>
      <c r="AB781">
        <v>0.92308000000000001</v>
      </c>
      <c r="AC781" t="s">
        <v>175</v>
      </c>
      <c r="AD781" t="s">
        <v>109</v>
      </c>
      <c r="AE781" t="s">
        <v>62</v>
      </c>
      <c r="AF781" t="s">
        <v>62</v>
      </c>
      <c r="AG781">
        <v>9</v>
      </c>
      <c r="AH781">
        <v>23</v>
      </c>
      <c r="AI781">
        <v>21</v>
      </c>
      <c r="AJ781">
        <v>0.52273000000000003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10</v>
      </c>
      <c r="AQ781">
        <v>3</v>
      </c>
      <c r="AR781">
        <v>13</v>
      </c>
      <c r="AS781">
        <v>21</v>
      </c>
      <c r="AT781">
        <v>0.38235000000000002</v>
      </c>
      <c r="AU781">
        <v>11</v>
      </c>
      <c r="AV781">
        <v>10</v>
      </c>
      <c r="AW781">
        <v>55</v>
      </c>
      <c r="AX781">
        <v>34</v>
      </c>
      <c r="AY781">
        <v>35</v>
      </c>
      <c r="AZ781">
        <v>13</v>
      </c>
      <c r="BA781" t="s">
        <v>18704</v>
      </c>
      <c r="BB781" t="s">
        <v>18705</v>
      </c>
      <c r="BC781">
        <v>1.391</v>
      </c>
      <c r="BD781" t="s">
        <v>65</v>
      </c>
      <c r="BE781">
        <v>90</v>
      </c>
      <c r="BF781">
        <v>47</v>
      </c>
      <c r="BG781" t="s">
        <v>18706</v>
      </c>
      <c r="BH781" t="s">
        <v>18707</v>
      </c>
      <c r="BI781" t="s">
        <v>18708</v>
      </c>
      <c r="BJ781">
        <v>0.12590000000000001</v>
      </c>
      <c r="BK781">
        <v>1</v>
      </c>
      <c r="BL781" t="s">
        <v>69</v>
      </c>
      <c r="BM781">
        <v>-5.8999999999999997E-2</v>
      </c>
      <c r="BN781">
        <v>-1.137</v>
      </c>
    </row>
    <row r="782" spans="2:66">
      <c r="B782">
        <v>1226</v>
      </c>
      <c r="C782">
        <v>66</v>
      </c>
      <c r="D782">
        <v>0</v>
      </c>
      <c r="E782">
        <v>4</v>
      </c>
      <c r="F782">
        <v>0</v>
      </c>
      <c r="J782">
        <v>0</v>
      </c>
      <c r="K782">
        <v>8</v>
      </c>
      <c r="L782">
        <v>0</v>
      </c>
      <c r="M782" t="s">
        <v>25022</v>
      </c>
      <c r="N782">
        <v>3212</v>
      </c>
      <c r="O782" t="s">
        <v>18709</v>
      </c>
      <c r="P782" t="s">
        <v>62</v>
      </c>
      <c r="Q782">
        <v>3167572</v>
      </c>
      <c r="R782">
        <v>3168600</v>
      </c>
      <c r="S782" t="s">
        <v>18710</v>
      </c>
      <c r="T782">
        <v>343</v>
      </c>
      <c r="U782" t="s">
        <v>289</v>
      </c>
      <c r="V782">
        <v>46</v>
      </c>
      <c r="W782" t="str">
        <f>HYPERLINK("Gene3212-zp_tree_all.dnd", "Gene3212-tree")</f>
        <v>Gene3212-tree</v>
      </c>
      <c r="X782">
        <v>9</v>
      </c>
      <c r="Y782">
        <v>8</v>
      </c>
      <c r="Z782">
        <v>9</v>
      </c>
      <c r="AA782">
        <v>8</v>
      </c>
      <c r="AB782">
        <v>0.47059000000000001</v>
      </c>
      <c r="AC782" t="s">
        <v>135</v>
      </c>
      <c r="AD782" t="s">
        <v>136</v>
      </c>
      <c r="AE782" t="s">
        <v>62</v>
      </c>
      <c r="AF782" t="s">
        <v>62</v>
      </c>
      <c r="AG782">
        <v>4</v>
      </c>
      <c r="AH782">
        <v>8</v>
      </c>
      <c r="AI782">
        <v>11</v>
      </c>
      <c r="AJ782">
        <v>0.42104999999999998</v>
      </c>
      <c r="AK782">
        <v>0</v>
      </c>
      <c r="AL782">
        <v>0</v>
      </c>
      <c r="AM782">
        <v>0</v>
      </c>
      <c r="AN782">
        <v>2</v>
      </c>
      <c r="AO782">
        <v>0</v>
      </c>
      <c r="AP782">
        <v>2</v>
      </c>
      <c r="AQ782">
        <v>0</v>
      </c>
      <c r="AR782">
        <v>2</v>
      </c>
      <c r="AS782">
        <v>8</v>
      </c>
      <c r="AT782">
        <v>0.2</v>
      </c>
      <c r="AU782">
        <v>14</v>
      </c>
      <c r="AV782">
        <v>9</v>
      </c>
      <c r="AW782">
        <v>46</v>
      </c>
      <c r="AX782">
        <v>10</v>
      </c>
      <c r="AY782">
        <v>62</v>
      </c>
      <c r="AZ782">
        <v>9</v>
      </c>
      <c r="BA782" t="s">
        <v>18711</v>
      </c>
      <c r="BB782" t="s">
        <v>18712</v>
      </c>
      <c r="BC782">
        <v>0.32300000000000001</v>
      </c>
      <c r="BD782" t="s">
        <v>65</v>
      </c>
      <c r="BE782">
        <v>108</v>
      </c>
      <c r="BF782">
        <v>19</v>
      </c>
      <c r="BG782" t="s">
        <v>18713</v>
      </c>
      <c r="BH782" t="s">
        <v>18714</v>
      </c>
      <c r="BI782" t="s">
        <v>18715</v>
      </c>
      <c r="BJ782">
        <v>4.206E-2</v>
      </c>
      <c r="BK782">
        <v>1</v>
      </c>
      <c r="BL782" t="s">
        <v>69</v>
      </c>
      <c r="BM782">
        <v>-1.5089999999999999</v>
      </c>
      <c r="BN782">
        <v>-0.85899999999999999</v>
      </c>
    </row>
    <row r="783" spans="2:66">
      <c r="B783">
        <v>1227</v>
      </c>
      <c r="C783">
        <v>161</v>
      </c>
      <c r="D783">
        <v>0</v>
      </c>
      <c r="E783">
        <v>5</v>
      </c>
      <c r="F783">
        <v>0</v>
      </c>
      <c r="J783">
        <v>0</v>
      </c>
      <c r="K783">
        <v>0</v>
      </c>
      <c r="L783">
        <v>0</v>
      </c>
      <c r="M783" t="s">
        <v>25022</v>
      </c>
      <c r="N783">
        <v>3213</v>
      </c>
      <c r="O783" t="s">
        <v>18716</v>
      </c>
      <c r="P783" t="s">
        <v>62</v>
      </c>
      <c r="Q783">
        <v>3168627</v>
      </c>
      <c r="R783">
        <v>3169766</v>
      </c>
      <c r="S783" t="s">
        <v>18717</v>
      </c>
      <c r="T783">
        <v>380</v>
      </c>
      <c r="U783" t="s">
        <v>108</v>
      </c>
      <c r="V783">
        <v>44</v>
      </c>
      <c r="W783" t="str">
        <f>HYPERLINK("Gene3213-zp_tree_all.dnd", "Gene3213-tree")</f>
        <v>Gene3213-tree</v>
      </c>
      <c r="X783">
        <v>10</v>
      </c>
      <c r="Y783">
        <v>5</v>
      </c>
      <c r="Z783">
        <v>10</v>
      </c>
      <c r="AA783">
        <v>5</v>
      </c>
      <c r="AB783">
        <v>0.33333000000000002</v>
      </c>
      <c r="AC783" t="s">
        <v>117</v>
      </c>
      <c r="AD783" t="s">
        <v>199</v>
      </c>
      <c r="AE783" t="s">
        <v>62</v>
      </c>
      <c r="AF783" t="s">
        <v>62</v>
      </c>
      <c r="AG783">
        <v>0</v>
      </c>
      <c r="AH783">
        <v>0</v>
      </c>
      <c r="AI783">
        <v>5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5</v>
      </c>
      <c r="AT783">
        <v>0</v>
      </c>
      <c r="AU783">
        <v>13</v>
      </c>
      <c r="AV783">
        <v>8</v>
      </c>
      <c r="AW783">
        <v>24</v>
      </c>
      <c r="AX783">
        <v>5</v>
      </c>
      <c r="AY783">
        <v>19</v>
      </c>
      <c r="AZ783">
        <v>0</v>
      </c>
      <c r="BA783" t="s">
        <v>18718</v>
      </c>
      <c r="BB783" t="s">
        <v>193</v>
      </c>
      <c r="BC783">
        <v>1.681</v>
      </c>
      <c r="BD783" t="s">
        <v>65</v>
      </c>
      <c r="BE783">
        <v>43</v>
      </c>
      <c r="BF783">
        <v>5</v>
      </c>
      <c r="BG783" t="s">
        <v>18719</v>
      </c>
      <c r="BH783" t="s">
        <v>18720</v>
      </c>
      <c r="BI783" t="s">
        <v>18721</v>
      </c>
      <c r="BJ783">
        <v>2.8490000000000001E-2</v>
      </c>
      <c r="BK783">
        <v>1</v>
      </c>
      <c r="BL783" t="s">
        <v>69</v>
      </c>
      <c r="BM783">
        <v>-0.52900000000000003</v>
      </c>
      <c r="BN783">
        <v>-0.67400000000000004</v>
      </c>
    </row>
    <row r="784" spans="2:66">
      <c r="B784">
        <v>1228</v>
      </c>
      <c r="C784">
        <v>294</v>
      </c>
      <c r="D784">
        <v>0</v>
      </c>
      <c r="E784">
        <v>5</v>
      </c>
      <c r="F784">
        <v>2</v>
      </c>
      <c r="J784">
        <v>0</v>
      </c>
      <c r="K784">
        <v>13</v>
      </c>
      <c r="L784">
        <v>0</v>
      </c>
      <c r="M784" t="s">
        <v>25022</v>
      </c>
      <c r="N784">
        <v>3214</v>
      </c>
      <c r="O784" t="s">
        <v>18722</v>
      </c>
      <c r="P784" t="s">
        <v>62</v>
      </c>
      <c r="Q784">
        <v>3169766</v>
      </c>
      <c r="R784">
        <v>3171646</v>
      </c>
      <c r="S784" t="s">
        <v>18723</v>
      </c>
      <c r="T784">
        <v>627</v>
      </c>
      <c r="U784" t="s">
        <v>108</v>
      </c>
      <c r="V784">
        <v>44</v>
      </c>
      <c r="W784" t="str">
        <f>HYPERLINK("Gene3214-zp_tree_all.dnd", "Gene3214-tree")</f>
        <v>Gene3214-tree</v>
      </c>
      <c r="X784">
        <v>3</v>
      </c>
      <c r="Y784">
        <v>13</v>
      </c>
      <c r="Z784">
        <v>3</v>
      </c>
      <c r="AA784">
        <v>13</v>
      </c>
      <c r="AB784">
        <v>0.8125</v>
      </c>
      <c r="AC784" t="s">
        <v>324</v>
      </c>
      <c r="AD784" t="s">
        <v>507</v>
      </c>
      <c r="AE784" t="s">
        <v>62</v>
      </c>
      <c r="AF784" t="s">
        <v>62</v>
      </c>
      <c r="AG784">
        <v>4</v>
      </c>
      <c r="AH784">
        <v>13</v>
      </c>
      <c r="AI784">
        <v>24</v>
      </c>
      <c r="AJ784">
        <v>0.35135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4</v>
      </c>
      <c r="AQ784">
        <v>0</v>
      </c>
      <c r="AR784">
        <v>4</v>
      </c>
      <c r="AS784">
        <v>25</v>
      </c>
      <c r="AT784">
        <v>0.13793</v>
      </c>
      <c r="AU784">
        <v>14</v>
      </c>
      <c r="AV784">
        <v>12</v>
      </c>
      <c r="AW784">
        <v>54</v>
      </c>
      <c r="AX784">
        <v>28</v>
      </c>
      <c r="AY784">
        <v>19</v>
      </c>
      <c r="AZ784">
        <v>9</v>
      </c>
      <c r="BA784" t="s">
        <v>18724</v>
      </c>
      <c r="BB784" t="s">
        <v>18725</v>
      </c>
      <c r="BC784">
        <v>0.154</v>
      </c>
      <c r="BD784" t="s">
        <v>65</v>
      </c>
      <c r="BE784">
        <v>73</v>
      </c>
      <c r="BF784">
        <v>37</v>
      </c>
      <c r="BG784" t="s">
        <v>18726</v>
      </c>
      <c r="BH784" t="s">
        <v>18727</v>
      </c>
      <c r="BI784" t="s">
        <v>18728</v>
      </c>
      <c r="BJ784">
        <v>0.11998</v>
      </c>
      <c r="BK784">
        <v>1</v>
      </c>
      <c r="BL784" t="s">
        <v>69</v>
      </c>
      <c r="BM784">
        <v>-0.621</v>
      </c>
      <c r="BN784">
        <v>-1.7270000000000001</v>
      </c>
    </row>
    <row r="785" spans="2:66">
      <c r="B785">
        <v>1229</v>
      </c>
      <c r="C785">
        <v>108</v>
      </c>
      <c r="D785">
        <v>0</v>
      </c>
      <c r="E785">
        <v>5</v>
      </c>
      <c r="F785">
        <v>4</v>
      </c>
      <c r="J785">
        <v>0</v>
      </c>
      <c r="K785">
        <v>8</v>
      </c>
      <c r="L785">
        <v>2</v>
      </c>
      <c r="M785" t="s">
        <v>25022</v>
      </c>
      <c r="N785">
        <v>3216</v>
      </c>
      <c r="O785" t="s">
        <v>18736</v>
      </c>
      <c r="P785" t="s">
        <v>62</v>
      </c>
      <c r="Q785">
        <v>3179929</v>
      </c>
      <c r="R785">
        <v>3180447</v>
      </c>
      <c r="S785" t="s">
        <v>3718</v>
      </c>
      <c r="T785">
        <v>173</v>
      </c>
      <c r="U785" t="s">
        <v>108</v>
      </c>
      <c r="V785">
        <v>44</v>
      </c>
      <c r="W785" t="str">
        <f>HYPERLINK("Gene3216-zp_tree_all.dnd", "Gene3216-tree")</f>
        <v>Gene3216-tree</v>
      </c>
      <c r="X785">
        <v>5</v>
      </c>
      <c r="Y785">
        <v>8</v>
      </c>
      <c r="Z785">
        <v>5</v>
      </c>
      <c r="AA785">
        <v>8</v>
      </c>
      <c r="AB785">
        <v>0.61538000000000004</v>
      </c>
      <c r="AC785" t="s">
        <v>199</v>
      </c>
      <c r="AD785" t="s">
        <v>136</v>
      </c>
      <c r="AE785" t="s">
        <v>62</v>
      </c>
      <c r="AF785" t="s">
        <v>62</v>
      </c>
      <c r="AG785">
        <v>4</v>
      </c>
      <c r="AH785">
        <v>10</v>
      </c>
      <c r="AI785">
        <v>10</v>
      </c>
      <c r="AJ785">
        <v>0.5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4</v>
      </c>
      <c r="AQ785">
        <v>2</v>
      </c>
      <c r="AR785">
        <v>6</v>
      </c>
      <c r="AS785">
        <v>9</v>
      </c>
      <c r="AT785">
        <v>0.4</v>
      </c>
      <c r="AU785">
        <v>9</v>
      </c>
      <c r="AV785">
        <v>8</v>
      </c>
      <c r="AW785">
        <v>6</v>
      </c>
      <c r="AX785">
        <v>10</v>
      </c>
      <c r="AY785">
        <v>7</v>
      </c>
      <c r="AZ785">
        <v>10</v>
      </c>
      <c r="BA785" t="s">
        <v>18737</v>
      </c>
      <c r="BB785" t="s">
        <v>18738</v>
      </c>
      <c r="BC785">
        <v>0.20499999999999999</v>
      </c>
      <c r="BD785" t="s">
        <v>65</v>
      </c>
      <c r="BE785">
        <v>13</v>
      </c>
      <c r="BF785">
        <v>20</v>
      </c>
      <c r="BG785" t="s">
        <v>18739</v>
      </c>
      <c r="BH785" t="s">
        <v>18740</v>
      </c>
      <c r="BI785" t="s">
        <v>18741</v>
      </c>
      <c r="BJ785">
        <v>0.45040999999999998</v>
      </c>
      <c r="BK785">
        <v>0.94</v>
      </c>
      <c r="BL785" t="s">
        <v>635</v>
      </c>
      <c r="BM785">
        <v>-0.78600000000000003</v>
      </c>
      <c r="BN785">
        <v>-1.1419999999999999</v>
      </c>
    </row>
    <row r="786" spans="2:66">
      <c r="B786">
        <v>1230</v>
      </c>
      <c r="C786">
        <v>388</v>
      </c>
      <c r="D786">
        <v>0</v>
      </c>
      <c r="E786">
        <v>8</v>
      </c>
      <c r="F786">
        <v>0</v>
      </c>
      <c r="J786">
        <v>0</v>
      </c>
      <c r="K786">
        <v>9</v>
      </c>
      <c r="L786">
        <v>0</v>
      </c>
      <c r="M786" t="s">
        <v>25022</v>
      </c>
      <c r="N786">
        <v>3217</v>
      </c>
      <c r="O786" t="s">
        <v>18742</v>
      </c>
      <c r="P786" t="s">
        <v>62</v>
      </c>
      <c r="Q786">
        <v>3180468</v>
      </c>
      <c r="R786">
        <v>3181994</v>
      </c>
      <c r="S786" t="s">
        <v>18743</v>
      </c>
      <c r="T786">
        <v>509</v>
      </c>
      <c r="U786" t="s">
        <v>3274</v>
      </c>
      <c r="V786">
        <v>46</v>
      </c>
      <c r="W786" t="str">
        <f>HYPERLINK("Gene3217-zp_tree_all.dnd", "Gene3217-tree")</f>
        <v>Gene3217-tree</v>
      </c>
      <c r="X786">
        <v>31</v>
      </c>
      <c r="Y786">
        <v>6</v>
      </c>
      <c r="Z786">
        <v>12</v>
      </c>
      <c r="AA786">
        <v>6</v>
      </c>
      <c r="AB786">
        <v>0.33333000000000002</v>
      </c>
      <c r="AC786" t="s">
        <v>5000</v>
      </c>
      <c r="AD786" t="s">
        <v>90</v>
      </c>
      <c r="AE786" t="s">
        <v>62</v>
      </c>
      <c r="AF786" t="s">
        <v>62</v>
      </c>
      <c r="AG786">
        <v>2</v>
      </c>
      <c r="AH786">
        <v>9</v>
      </c>
      <c r="AI786">
        <v>9</v>
      </c>
      <c r="AJ786">
        <v>0.5</v>
      </c>
      <c r="AK786">
        <v>2</v>
      </c>
      <c r="AL786">
        <v>0</v>
      </c>
      <c r="AM786">
        <v>2</v>
      </c>
      <c r="AN786">
        <v>0</v>
      </c>
      <c r="AO786">
        <v>1</v>
      </c>
      <c r="AP786">
        <v>3</v>
      </c>
      <c r="AQ786">
        <v>0</v>
      </c>
      <c r="AR786">
        <v>3</v>
      </c>
      <c r="AS786">
        <v>5</v>
      </c>
      <c r="AT786">
        <v>0.375</v>
      </c>
      <c r="AU786">
        <v>16</v>
      </c>
      <c r="AV786">
        <v>15</v>
      </c>
      <c r="AW786">
        <v>78</v>
      </c>
      <c r="AX786">
        <v>8</v>
      </c>
      <c r="AY786">
        <v>88</v>
      </c>
      <c r="AZ786">
        <v>10</v>
      </c>
      <c r="BA786" t="s">
        <v>18744</v>
      </c>
      <c r="BB786" t="s">
        <v>18745</v>
      </c>
      <c r="BC786">
        <v>0.03</v>
      </c>
      <c r="BD786" t="s">
        <v>65</v>
      </c>
      <c r="BE786">
        <v>166</v>
      </c>
      <c r="BF786">
        <v>18</v>
      </c>
      <c r="BG786" t="s">
        <v>18746</v>
      </c>
      <c r="BH786" t="s">
        <v>18747</v>
      </c>
      <c r="BI786" t="s">
        <v>18748</v>
      </c>
      <c r="BJ786">
        <v>2.5600000000000001E-2</v>
      </c>
      <c r="BK786">
        <v>1</v>
      </c>
      <c r="BL786" t="s">
        <v>69</v>
      </c>
      <c r="BM786">
        <v>-1.5840000000000001</v>
      </c>
      <c r="BN786">
        <v>-1.2470000000000001</v>
      </c>
    </row>
    <row r="787" spans="2:66">
      <c r="B787">
        <v>1239</v>
      </c>
      <c r="C787">
        <v>7</v>
      </c>
      <c r="D787">
        <v>0</v>
      </c>
      <c r="E787">
        <v>5</v>
      </c>
      <c r="F787">
        <v>0</v>
      </c>
      <c r="J787">
        <v>0</v>
      </c>
      <c r="K787">
        <v>4</v>
      </c>
      <c r="L787">
        <v>1</v>
      </c>
      <c r="M787" t="s">
        <v>25022</v>
      </c>
      <c r="N787">
        <v>3218</v>
      </c>
      <c r="O787" t="s">
        <v>18749</v>
      </c>
      <c r="P787" t="s">
        <v>62</v>
      </c>
      <c r="Q787">
        <v>3182018</v>
      </c>
      <c r="R787">
        <v>3182539</v>
      </c>
      <c r="S787" t="s">
        <v>18750</v>
      </c>
      <c r="T787">
        <v>174</v>
      </c>
      <c r="U787" t="s">
        <v>108</v>
      </c>
      <c r="V787">
        <v>44</v>
      </c>
      <c r="W787" t="str">
        <f>HYPERLINK("Gene3218-zp_tree_all.dnd", "Gene3218-tree")</f>
        <v>Gene3218-tree</v>
      </c>
      <c r="X787">
        <v>9</v>
      </c>
      <c r="Y787">
        <v>5</v>
      </c>
      <c r="Z787">
        <v>9</v>
      </c>
      <c r="AA787">
        <v>5</v>
      </c>
      <c r="AB787">
        <v>0.35714000000000001</v>
      </c>
      <c r="AC787" t="s">
        <v>135</v>
      </c>
      <c r="AD787" t="s">
        <v>199</v>
      </c>
      <c r="AE787" t="s">
        <v>62</v>
      </c>
      <c r="AF787" t="s">
        <v>62</v>
      </c>
      <c r="AG787">
        <v>2</v>
      </c>
      <c r="AH787">
        <v>5</v>
      </c>
      <c r="AI787">
        <v>9</v>
      </c>
      <c r="AJ787">
        <v>0.35714000000000001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2</v>
      </c>
      <c r="AR787">
        <v>2</v>
      </c>
      <c r="AS787">
        <v>10</v>
      </c>
      <c r="AT787">
        <v>0.16667000000000001</v>
      </c>
      <c r="AU787">
        <v>10</v>
      </c>
      <c r="AV787">
        <v>9</v>
      </c>
      <c r="AW787">
        <v>22</v>
      </c>
      <c r="AX787">
        <v>12</v>
      </c>
      <c r="AY787">
        <v>15</v>
      </c>
      <c r="AZ787">
        <v>2</v>
      </c>
      <c r="BA787" t="s">
        <v>18751</v>
      </c>
      <c r="BB787" t="s">
        <v>18752</v>
      </c>
      <c r="BC787">
        <v>0.54900000000000004</v>
      </c>
      <c r="BD787" t="s">
        <v>65</v>
      </c>
      <c r="BE787">
        <v>37</v>
      </c>
      <c r="BF787">
        <v>14</v>
      </c>
      <c r="BG787" t="s">
        <v>18753</v>
      </c>
      <c r="BH787" t="s">
        <v>18754</v>
      </c>
      <c r="BI787" t="s">
        <v>18755</v>
      </c>
      <c r="BJ787">
        <v>0.11509999999999999</v>
      </c>
      <c r="BK787">
        <v>1</v>
      </c>
      <c r="BL787" t="s">
        <v>69</v>
      </c>
      <c r="BM787">
        <v>-0.89900000000000002</v>
      </c>
      <c r="BN787">
        <v>-2.524</v>
      </c>
    </row>
    <row r="788" spans="2:66">
      <c r="B788">
        <v>1240</v>
      </c>
      <c r="C788">
        <v>139</v>
      </c>
      <c r="D788">
        <v>0</v>
      </c>
      <c r="E788">
        <v>5</v>
      </c>
      <c r="F788">
        <v>2</v>
      </c>
      <c r="J788">
        <v>0</v>
      </c>
      <c r="K788">
        <v>4</v>
      </c>
      <c r="L788">
        <v>3</v>
      </c>
      <c r="M788" t="s">
        <v>25022</v>
      </c>
      <c r="N788">
        <v>3220</v>
      </c>
      <c r="O788" t="s">
        <v>18761</v>
      </c>
      <c r="P788" t="s">
        <v>62</v>
      </c>
      <c r="Q788">
        <v>3183204</v>
      </c>
      <c r="R788">
        <v>3183779</v>
      </c>
      <c r="S788" t="s">
        <v>116</v>
      </c>
      <c r="T788">
        <v>192</v>
      </c>
      <c r="U788" t="s">
        <v>108</v>
      </c>
      <c r="V788">
        <v>44</v>
      </c>
      <c r="W788" t="str">
        <f>HYPERLINK("Gene3220-zp_tree_all.dnd", "Gene3220-tree")</f>
        <v>Gene3220-tree</v>
      </c>
      <c r="X788">
        <v>6</v>
      </c>
      <c r="Y788">
        <v>8</v>
      </c>
      <c r="Z788">
        <v>6</v>
      </c>
      <c r="AA788">
        <v>8</v>
      </c>
      <c r="AB788">
        <v>0.57142999999999999</v>
      </c>
      <c r="AC788" t="s">
        <v>90</v>
      </c>
      <c r="AD788" t="s">
        <v>136</v>
      </c>
      <c r="AE788" t="s">
        <v>62</v>
      </c>
      <c r="AF788" t="s">
        <v>62</v>
      </c>
      <c r="AG788">
        <v>3</v>
      </c>
      <c r="AH788">
        <v>7</v>
      </c>
      <c r="AI788">
        <v>9</v>
      </c>
      <c r="AJ788">
        <v>0.4375</v>
      </c>
      <c r="AK788">
        <v>0</v>
      </c>
      <c r="AL788">
        <v>0</v>
      </c>
      <c r="AM788">
        <v>0</v>
      </c>
      <c r="AN788">
        <v>2</v>
      </c>
      <c r="AO788">
        <v>0</v>
      </c>
      <c r="AP788">
        <v>2</v>
      </c>
      <c r="AQ788">
        <v>2</v>
      </c>
      <c r="AR788">
        <v>4</v>
      </c>
      <c r="AS788">
        <v>9</v>
      </c>
      <c r="AT788">
        <v>0.30769000000000002</v>
      </c>
      <c r="AU788">
        <v>9</v>
      </c>
      <c r="AV788">
        <v>7</v>
      </c>
      <c r="AW788">
        <v>8</v>
      </c>
      <c r="AX788">
        <v>8</v>
      </c>
      <c r="AY788">
        <v>11</v>
      </c>
      <c r="AZ788">
        <v>8</v>
      </c>
      <c r="BA788" t="s">
        <v>18762</v>
      </c>
      <c r="BB788" t="s">
        <v>18763</v>
      </c>
      <c r="BC788">
        <v>0.38600000000000001</v>
      </c>
      <c r="BD788" t="s">
        <v>65</v>
      </c>
      <c r="BE788">
        <v>19</v>
      </c>
      <c r="BF788">
        <v>16</v>
      </c>
      <c r="BG788" t="s">
        <v>18764</v>
      </c>
      <c r="BH788" t="s">
        <v>18765</v>
      </c>
      <c r="BI788" t="s">
        <v>18766</v>
      </c>
      <c r="BJ788">
        <v>0.20843999999999999</v>
      </c>
      <c r="BK788">
        <v>1</v>
      </c>
      <c r="BL788" t="s">
        <v>69</v>
      </c>
      <c r="BM788">
        <v>-0.72</v>
      </c>
      <c r="BN788">
        <v>-0.92300000000000004</v>
      </c>
    </row>
    <row r="789" spans="2:66">
      <c r="B789">
        <v>1242</v>
      </c>
      <c r="C789">
        <v>95</v>
      </c>
      <c r="D789">
        <v>0</v>
      </c>
      <c r="E789">
        <v>24</v>
      </c>
      <c r="F789">
        <v>2</v>
      </c>
      <c r="J789">
        <v>0</v>
      </c>
      <c r="K789">
        <v>5</v>
      </c>
      <c r="L789">
        <v>0</v>
      </c>
      <c r="M789" t="s">
        <v>25022</v>
      </c>
      <c r="N789">
        <v>3221</v>
      </c>
      <c r="O789" t="s">
        <v>18767</v>
      </c>
      <c r="P789" t="s">
        <v>62</v>
      </c>
      <c r="Q789">
        <v>3183870</v>
      </c>
      <c r="R789">
        <v>3185075</v>
      </c>
      <c r="S789" t="s">
        <v>18768</v>
      </c>
      <c r="T789">
        <v>402</v>
      </c>
      <c r="U789" t="s">
        <v>108</v>
      </c>
      <c r="V789">
        <v>44</v>
      </c>
      <c r="W789" t="str">
        <f>HYPERLINK("Gene3221-zp_tree_all.dnd", "Gene3221-tree")</f>
        <v>Gene3221-tree</v>
      </c>
      <c r="X789">
        <v>8</v>
      </c>
      <c r="Y789">
        <v>5</v>
      </c>
      <c r="Z789">
        <v>8</v>
      </c>
      <c r="AA789">
        <v>5</v>
      </c>
      <c r="AB789">
        <v>0.38462000000000002</v>
      </c>
      <c r="AC789" t="s">
        <v>136</v>
      </c>
      <c r="AD789" t="s">
        <v>199</v>
      </c>
      <c r="AE789" t="s">
        <v>62</v>
      </c>
      <c r="AF789" t="s">
        <v>62</v>
      </c>
      <c r="AG789">
        <v>1</v>
      </c>
      <c r="AH789">
        <v>5</v>
      </c>
      <c r="AI789">
        <v>4</v>
      </c>
      <c r="AJ789">
        <v>0.55556000000000005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2</v>
      </c>
      <c r="AQ789">
        <v>0</v>
      </c>
      <c r="AR789">
        <v>2</v>
      </c>
      <c r="AS789">
        <v>3</v>
      </c>
      <c r="AT789">
        <v>0.4</v>
      </c>
      <c r="AU789">
        <v>10</v>
      </c>
      <c r="AV789">
        <v>7</v>
      </c>
      <c r="AW789">
        <v>22</v>
      </c>
      <c r="AX789">
        <v>5</v>
      </c>
      <c r="AY789">
        <v>12</v>
      </c>
      <c r="AZ789">
        <v>4</v>
      </c>
      <c r="BA789" t="s">
        <v>18769</v>
      </c>
      <c r="BB789" t="s">
        <v>18770</v>
      </c>
      <c r="BC789">
        <v>0.39</v>
      </c>
      <c r="BD789" t="s">
        <v>65</v>
      </c>
      <c r="BE789">
        <v>34</v>
      </c>
      <c r="BF789">
        <v>9</v>
      </c>
      <c r="BG789" t="s">
        <v>18771</v>
      </c>
      <c r="BH789" t="s">
        <v>18772</v>
      </c>
      <c r="BI789" t="s">
        <v>9400</v>
      </c>
      <c r="BJ789">
        <v>4.6559999999999997E-2</v>
      </c>
      <c r="BK789">
        <v>1</v>
      </c>
      <c r="BL789" t="s">
        <v>69</v>
      </c>
      <c r="BM789">
        <v>-0.30099999999999999</v>
      </c>
      <c r="BN789">
        <v>-0.77500000000000002</v>
      </c>
    </row>
    <row r="790" spans="2:66">
      <c r="B790">
        <v>1243</v>
      </c>
      <c r="C790">
        <v>607</v>
      </c>
      <c r="D790">
        <v>0</v>
      </c>
      <c r="E790">
        <v>17</v>
      </c>
      <c r="F790">
        <v>3</v>
      </c>
      <c r="J790">
        <v>0</v>
      </c>
      <c r="K790">
        <v>2</v>
      </c>
      <c r="L790">
        <v>0</v>
      </c>
      <c r="M790" t="s">
        <v>25022</v>
      </c>
      <c r="N790">
        <v>3222</v>
      </c>
      <c r="O790" t="s">
        <v>18773</v>
      </c>
      <c r="P790" t="s">
        <v>62</v>
      </c>
      <c r="Q790">
        <v>3185095</v>
      </c>
      <c r="R790">
        <v>3186564</v>
      </c>
      <c r="S790" t="s">
        <v>18774</v>
      </c>
      <c r="T790">
        <v>490</v>
      </c>
      <c r="U790" t="s">
        <v>108</v>
      </c>
      <c r="V790">
        <v>44</v>
      </c>
      <c r="W790" t="str">
        <f>HYPERLINK("Gene3222-zp_tree_all.dnd", "Gene3222-tree")</f>
        <v>Gene3222-tree</v>
      </c>
      <c r="X790">
        <v>7</v>
      </c>
      <c r="Y790">
        <v>7</v>
      </c>
      <c r="Z790">
        <v>7</v>
      </c>
      <c r="AA790">
        <v>7</v>
      </c>
      <c r="AB790">
        <v>0.5</v>
      </c>
      <c r="AC790" t="s">
        <v>152</v>
      </c>
      <c r="AD790" t="s">
        <v>152</v>
      </c>
      <c r="AE790" t="s">
        <v>62</v>
      </c>
      <c r="AF790" t="s">
        <v>62</v>
      </c>
      <c r="AG790">
        <v>1</v>
      </c>
      <c r="AH790">
        <v>2</v>
      </c>
      <c r="AI790">
        <v>10</v>
      </c>
      <c r="AJ790">
        <v>0.16667000000000001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10</v>
      </c>
      <c r="AT790">
        <v>0</v>
      </c>
      <c r="AU790">
        <v>13</v>
      </c>
      <c r="AV790">
        <v>9</v>
      </c>
      <c r="AW790">
        <v>55</v>
      </c>
      <c r="AX790">
        <v>10</v>
      </c>
      <c r="AY790">
        <v>16</v>
      </c>
      <c r="AZ790">
        <v>2</v>
      </c>
      <c r="BA790" t="s">
        <v>18775</v>
      </c>
      <c r="BB790" t="s">
        <v>18776</v>
      </c>
      <c r="BC790">
        <v>0.247</v>
      </c>
      <c r="BD790" t="s">
        <v>65</v>
      </c>
      <c r="BE790">
        <v>71</v>
      </c>
      <c r="BF790">
        <v>12</v>
      </c>
      <c r="BG790" t="s">
        <v>18777</v>
      </c>
      <c r="BH790" t="s">
        <v>18778</v>
      </c>
      <c r="BI790" t="s">
        <v>18779</v>
      </c>
      <c r="BJ790">
        <v>5.1540000000000002E-2</v>
      </c>
      <c r="BK790">
        <v>1</v>
      </c>
      <c r="BL790" t="s">
        <v>69</v>
      </c>
      <c r="BM790">
        <v>-1.6459999999999999</v>
      </c>
      <c r="BN790">
        <v>-3.327</v>
      </c>
    </row>
    <row r="791" spans="2:66">
      <c r="B791">
        <v>1244</v>
      </c>
      <c r="C791">
        <v>297</v>
      </c>
      <c r="D791">
        <v>0</v>
      </c>
      <c r="E791">
        <v>6</v>
      </c>
      <c r="F791">
        <v>0</v>
      </c>
      <c r="J791">
        <v>0</v>
      </c>
      <c r="K791">
        <v>0</v>
      </c>
      <c r="L791">
        <v>0</v>
      </c>
      <c r="M791" t="s">
        <v>25022</v>
      </c>
      <c r="N791">
        <v>3227</v>
      </c>
      <c r="O791" t="s">
        <v>18804</v>
      </c>
      <c r="P791" t="s">
        <v>62</v>
      </c>
      <c r="Q791">
        <v>3190465</v>
      </c>
      <c r="R791">
        <v>3190725</v>
      </c>
      <c r="S791" t="s">
        <v>116</v>
      </c>
      <c r="T791">
        <v>87</v>
      </c>
      <c r="U791" t="s">
        <v>698</v>
      </c>
      <c r="V791">
        <v>47</v>
      </c>
      <c r="W791" t="str">
        <f>HYPERLINK("Gene3227-zp_tree_all.dnd", "Gene3227-tree")</f>
        <v>Gene3227-tree</v>
      </c>
      <c r="X791">
        <v>10</v>
      </c>
      <c r="Y791">
        <v>1</v>
      </c>
      <c r="Z791">
        <v>10</v>
      </c>
      <c r="AA791">
        <v>1</v>
      </c>
      <c r="AB791">
        <v>9.0910000000000005E-2</v>
      </c>
      <c r="AC791" t="s">
        <v>117</v>
      </c>
      <c r="AD791" t="s">
        <v>175</v>
      </c>
      <c r="AE791" t="s">
        <v>62</v>
      </c>
      <c r="AF791" t="s">
        <v>62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6</v>
      </c>
      <c r="AV791">
        <v>6</v>
      </c>
      <c r="AW791">
        <v>8</v>
      </c>
      <c r="AX791">
        <v>1</v>
      </c>
      <c r="AY791">
        <v>11</v>
      </c>
      <c r="AZ791">
        <v>0</v>
      </c>
      <c r="BA791" t="s">
        <v>18805</v>
      </c>
      <c r="BB791" t="s">
        <v>193</v>
      </c>
      <c r="BC791">
        <v>0.46100000000000002</v>
      </c>
      <c r="BD791" t="s">
        <v>65</v>
      </c>
      <c r="BE791">
        <v>19</v>
      </c>
      <c r="BF791">
        <v>1</v>
      </c>
      <c r="BG791" t="s">
        <v>18806</v>
      </c>
      <c r="BH791" t="s">
        <v>18807</v>
      </c>
      <c r="BI791" t="s">
        <v>18808</v>
      </c>
      <c r="BJ791">
        <v>9.7699999999999992E-3</v>
      </c>
      <c r="BK791">
        <v>1</v>
      </c>
      <c r="BL791" t="s">
        <v>69</v>
      </c>
      <c r="BM791">
        <v>-2.1999999999999999E-2</v>
      </c>
      <c r="BN791">
        <v>0.30199999999999999</v>
      </c>
    </row>
    <row r="792" spans="2:66">
      <c r="B792">
        <v>1245</v>
      </c>
      <c r="C792">
        <v>43</v>
      </c>
      <c r="D792">
        <v>0</v>
      </c>
      <c r="E792">
        <v>4</v>
      </c>
      <c r="F792">
        <v>2</v>
      </c>
      <c r="J792">
        <v>0</v>
      </c>
      <c r="K792">
        <v>0</v>
      </c>
      <c r="L792">
        <v>0</v>
      </c>
      <c r="M792" t="s">
        <v>25022</v>
      </c>
      <c r="N792">
        <v>3228</v>
      </c>
      <c r="O792" t="s">
        <v>18809</v>
      </c>
      <c r="P792" t="s">
        <v>62</v>
      </c>
      <c r="Q792">
        <v>3190837</v>
      </c>
      <c r="R792">
        <v>3191682</v>
      </c>
      <c r="S792" t="s">
        <v>18810</v>
      </c>
      <c r="T792">
        <v>282</v>
      </c>
      <c r="U792" t="s">
        <v>108</v>
      </c>
      <c r="V792">
        <v>44</v>
      </c>
      <c r="W792" t="str">
        <f>HYPERLINK("Gene3228-zp_tree_all.dnd", "Gene3228-tree")</f>
        <v>Gene3228-tree</v>
      </c>
      <c r="X792">
        <v>9</v>
      </c>
      <c r="Y792">
        <v>5</v>
      </c>
      <c r="Z792">
        <v>9</v>
      </c>
      <c r="AA792">
        <v>5</v>
      </c>
      <c r="AB792">
        <v>0.35714000000000001</v>
      </c>
      <c r="AC792" t="s">
        <v>135</v>
      </c>
      <c r="AD792" t="s">
        <v>199</v>
      </c>
      <c r="AE792" t="s">
        <v>62</v>
      </c>
      <c r="AF792" t="s">
        <v>62</v>
      </c>
      <c r="AG792">
        <v>0</v>
      </c>
      <c r="AH792">
        <v>0</v>
      </c>
      <c r="AI792">
        <v>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6</v>
      </c>
      <c r="AT792">
        <v>0</v>
      </c>
      <c r="AU792">
        <v>10</v>
      </c>
      <c r="AV792">
        <v>7</v>
      </c>
      <c r="AW792">
        <v>19</v>
      </c>
      <c r="AX792">
        <v>5</v>
      </c>
      <c r="AY792">
        <v>10</v>
      </c>
      <c r="AZ792">
        <v>3</v>
      </c>
      <c r="BA792" t="s">
        <v>18811</v>
      </c>
      <c r="BB792" t="s">
        <v>18812</v>
      </c>
      <c r="BC792">
        <v>9.9000000000000005E-2</v>
      </c>
      <c r="BD792" t="s">
        <v>65</v>
      </c>
      <c r="BE792">
        <v>29</v>
      </c>
      <c r="BF792">
        <v>8</v>
      </c>
      <c r="BG792" t="s">
        <v>18813</v>
      </c>
      <c r="BH792" t="s">
        <v>18814</v>
      </c>
      <c r="BI792" t="s">
        <v>18815</v>
      </c>
      <c r="BJ792">
        <v>0.11267000000000001</v>
      </c>
      <c r="BK792">
        <v>1</v>
      </c>
      <c r="BL792" t="s">
        <v>69</v>
      </c>
      <c r="BM792">
        <v>-1.41</v>
      </c>
      <c r="BN792">
        <v>-1.9830000000000001</v>
      </c>
    </row>
    <row r="793" spans="2:66">
      <c r="B793">
        <v>1246</v>
      </c>
      <c r="C793">
        <v>25</v>
      </c>
      <c r="D793">
        <v>0</v>
      </c>
      <c r="E793">
        <v>24</v>
      </c>
      <c r="F793">
        <v>1</v>
      </c>
      <c r="J793">
        <v>0</v>
      </c>
      <c r="K793">
        <v>20</v>
      </c>
      <c r="L793">
        <v>3</v>
      </c>
      <c r="M793" t="s">
        <v>25022</v>
      </c>
      <c r="N793">
        <v>3229</v>
      </c>
      <c r="O793" t="s">
        <v>18816</v>
      </c>
      <c r="P793" t="s">
        <v>62</v>
      </c>
      <c r="Q793">
        <v>3191846</v>
      </c>
      <c r="R793">
        <v>3193378</v>
      </c>
      <c r="S793" t="s">
        <v>2641</v>
      </c>
      <c r="T793">
        <v>511</v>
      </c>
      <c r="U793" t="s">
        <v>108</v>
      </c>
      <c r="V793">
        <v>44</v>
      </c>
      <c r="W793" t="str">
        <f>HYPERLINK("Gene3229-zp_tree_all.dnd", "Gene3229-tree")</f>
        <v>Gene3229-tree</v>
      </c>
      <c r="X793">
        <v>2</v>
      </c>
      <c r="Y793">
        <v>14</v>
      </c>
      <c r="Z793">
        <v>2</v>
      </c>
      <c r="AA793">
        <v>14</v>
      </c>
      <c r="AB793">
        <v>0.875</v>
      </c>
      <c r="AC793" t="s">
        <v>81</v>
      </c>
      <c r="AD793" t="s">
        <v>543</v>
      </c>
      <c r="AE793">
        <v>860908720.12699997</v>
      </c>
      <c r="AF793" t="s">
        <v>267</v>
      </c>
      <c r="AG793">
        <v>9</v>
      </c>
      <c r="AH793">
        <v>23</v>
      </c>
      <c r="AI793">
        <v>24</v>
      </c>
      <c r="AJ793">
        <v>0.48936000000000002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9</v>
      </c>
      <c r="AQ793">
        <v>3</v>
      </c>
      <c r="AR793">
        <v>12</v>
      </c>
      <c r="AS793">
        <v>23</v>
      </c>
      <c r="AT793">
        <v>0.34286</v>
      </c>
      <c r="AU793">
        <v>14</v>
      </c>
      <c r="AV793">
        <v>13</v>
      </c>
      <c r="AW793">
        <v>54</v>
      </c>
      <c r="AX793">
        <v>34</v>
      </c>
      <c r="AY793">
        <v>34</v>
      </c>
      <c r="AZ793">
        <v>13</v>
      </c>
      <c r="BA793" t="s">
        <v>18817</v>
      </c>
      <c r="BB793" t="s">
        <v>18818</v>
      </c>
      <c r="BC793">
        <v>0.80900000000000005</v>
      </c>
      <c r="BD793" t="s">
        <v>65</v>
      </c>
      <c r="BE793">
        <v>88</v>
      </c>
      <c r="BF793">
        <v>47</v>
      </c>
      <c r="BG793" t="s">
        <v>18819</v>
      </c>
      <c r="BH793" t="s">
        <v>18820</v>
      </c>
      <c r="BI793" t="s">
        <v>18821</v>
      </c>
      <c r="BJ793">
        <v>0.16955000000000001</v>
      </c>
      <c r="BK793">
        <v>1</v>
      </c>
      <c r="BL793" t="s">
        <v>69</v>
      </c>
      <c r="BM793">
        <v>-0.316</v>
      </c>
      <c r="BN793">
        <v>-0.97899999999999998</v>
      </c>
    </row>
    <row r="794" spans="2:66">
      <c r="B794">
        <v>1248</v>
      </c>
      <c r="C794">
        <v>3</v>
      </c>
      <c r="D794">
        <v>0</v>
      </c>
      <c r="E794">
        <v>4</v>
      </c>
      <c r="F794">
        <v>0</v>
      </c>
      <c r="J794">
        <v>0</v>
      </c>
      <c r="K794">
        <v>0</v>
      </c>
      <c r="L794">
        <v>0</v>
      </c>
      <c r="M794" t="s">
        <v>25022</v>
      </c>
      <c r="N794">
        <v>3231</v>
      </c>
      <c r="O794" t="s">
        <v>18829</v>
      </c>
      <c r="P794" t="s">
        <v>62</v>
      </c>
      <c r="Q794">
        <v>3194638</v>
      </c>
      <c r="R794">
        <v>3195465</v>
      </c>
      <c r="S794" t="s">
        <v>18830</v>
      </c>
      <c r="T794">
        <v>276</v>
      </c>
      <c r="U794" t="s">
        <v>108</v>
      </c>
      <c r="V794">
        <v>44</v>
      </c>
      <c r="W794" t="str">
        <f>HYPERLINK("Gene3231-zp_tree_all.dnd", "Gene3231-tree")</f>
        <v>Gene3231-tree</v>
      </c>
      <c r="X794">
        <v>10</v>
      </c>
      <c r="Y794">
        <v>3</v>
      </c>
      <c r="Z794">
        <v>10</v>
      </c>
      <c r="AA794">
        <v>3</v>
      </c>
      <c r="AB794">
        <v>0.23077</v>
      </c>
      <c r="AC794" t="s">
        <v>117</v>
      </c>
      <c r="AD794" t="s">
        <v>324</v>
      </c>
      <c r="AE794" t="s">
        <v>62</v>
      </c>
      <c r="AF794" t="s">
        <v>62</v>
      </c>
      <c r="AG794">
        <v>0</v>
      </c>
      <c r="AH794">
        <v>0</v>
      </c>
      <c r="AI794">
        <v>3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3</v>
      </c>
      <c r="AT794">
        <v>0</v>
      </c>
      <c r="AU794">
        <v>8</v>
      </c>
      <c r="AV794">
        <v>9</v>
      </c>
      <c r="AW794">
        <v>20</v>
      </c>
      <c r="AX794">
        <v>3</v>
      </c>
      <c r="AY794">
        <v>17</v>
      </c>
      <c r="AZ794">
        <v>0</v>
      </c>
      <c r="BA794" t="s">
        <v>18831</v>
      </c>
      <c r="BB794" t="s">
        <v>193</v>
      </c>
      <c r="BC794">
        <v>1.246</v>
      </c>
      <c r="BD794" t="s">
        <v>65</v>
      </c>
      <c r="BE794">
        <v>37</v>
      </c>
      <c r="BF794">
        <v>3</v>
      </c>
      <c r="BG794" t="s">
        <v>18832</v>
      </c>
      <c r="BH794" t="s">
        <v>18833</v>
      </c>
      <c r="BI794" t="s">
        <v>18834</v>
      </c>
      <c r="BJ794">
        <v>1.6140000000000002E-2</v>
      </c>
      <c r="BK794">
        <v>1</v>
      </c>
      <c r="BL794" t="s">
        <v>69</v>
      </c>
      <c r="BM794">
        <v>-5.8000000000000003E-2</v>
      </c>
      <c r="BN794">
        <v>-1.327</v>
      </c>
    </row>
    <row r="795" spans="2:66">
      <c r="B795">
        <v>1249</v>
      </c>
      <c r="C795">
        <v>61</v>
      </c>
      <c r="D795">
        <v>0</v>
      </c>
      <c r="E795">
        <v>0</v>
      </c>
      <c r="F795">
        <v>2</v>
      </c>
      <c r="J795">
        <v>0</v>
      </c>
      <c r="K795">
        <v>5</v>
      </c>
      <c r="L795">
        <v>0</v>
      </c>
      <c r="M795" t="s">
        <v>25022</v>
      </c>
      <c r="N795">
        <v>3232</v>
      </c>
      <c r="O795" t="s">
        <v>18835</v>
      </c>
      <c r="P795" t="s">
        <v>62</v>
      </c>
      <c r="Q795">
        <v>3195561</v>
      </c>
      <c r="R795">
        <v>3196724</v>
      </c>
      <c r="S795" t="s">
        <v>6103</v>
      </c>
      <c r="T795">
        <v>388</v>
      </c>
      <c r="U795" t="s">
        <v>18836</v>
      </c>
      <c r="V795">
        <v>38</v>
      </c>
      <c r="W795" t="str">
        <f>HYPERLINK("Gene3232-zp_tree_all.dnd", "Gene3232-tree")</f>
        <v>Gene3232-tree</v>
      </c>
      <c r="X795">
        <v>9</v>
      </c>
      <c r="Y795">
        <v>3</v>
      </c>
      <c r="Z795">
        <v>9</v>
      </c>
      <c r="AA795">
        <v>3</v>
      </c>
      <c r="AB795">
        <v>0.25</v>
      </c>
      <c r="AC795" t="s">
        <v>135</v>
      </c>
      <c r="AD795" t="s">
        <v>324</v>
      </c>
      <c r="AE795" t="s">
        <v>62</v>
      </c>
      <c r="AF795" t="s">
        <v>62</v>
      </c>
      <c r="AG795">
        <v>2</v>
      </c>
      <c r="AH795">
        <v>5</v>
      </c>
      <c r="AI795">
        <v>7</v>
      </c>
      <c r="AJ795">
        <v>0.41666999999999998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4</v>
      </c>
      <c r="AQ795">
        <v>0</v>
      </c>
      <c r="AR795">
        <v>4</v>
      </c>
      <c r="AS795">
        <v>1</v>
      </c>
      <c r="AT795">
        <v>0.8</v>
      </c>
      <c r="AU795">
        <v>8</v>
      </c>
      <c r="AV795">
        <v>9</v>
      </c>
      <c r="AW795">
        <v>43</v>
      </c>
      <c r="AX795">
        <v>5</v>
      </c>
      <c r="AY795">
        <v>50</v>
      </c>
      <c r="AZ795">
        <v>7</v>
      </c>
      <c r="BA795" t="s">
        <v>18837</v>
      </c>
      <c r="BB795" t="s">
        <v>18838</v>
      </c>
      <c r="BC795">
        <v>7.4999999999999997E-2</v>
      </c>
      <c r="BD795" t="s">
        <v>65</v>
      </c>
      <c r="BE795">
        <v>93</v>
      </c>
      <c r="BF795">
        <v>12</v>
      </c>
      <c r="BG795" t="s">
        <v>18839</v>
      </c>
      <c r="BH795" t="s">
        <v>18840</v>
      </c>
      <c r="BI795" t="s">
        <v>18841</v>
      </c>
      <c r="BJ795">
        <v>4.691E-2</v>
      </c>
      <c r="BK795">
        <v>1</v>
      </c>
      <c r="BL795" t="s">
        <v>69</v>
      </c>
      <c r="BM795">
        <v>0.80800000000000005</v>
      </c>
      <c r="BN795">
        <v>-0.30299999999999999</v>
      </c>
    </row>
    <row r="796" spans="2:66">
      <c r="B796">
        <v>1250</v>
      </c>
      <c r="C796">
        <v>103</v>
      </c>
      <c r="D796">
        <v>0</v>
      </c>
      <c r="E796">
        <v>0</v>
      </c>
      <c r="F796">
        <v>2</v>
      </c>
      <c r="J796">
        <v>0</v>
      </c>
      <c r="K796">
        <v>5</v>
      </c>
      <c r="L796">
        <v>0</v>
      </c>
      <c r="M796" t="s">
        <v>25022</v>
      </c>
      <c r="N796">
        <v>3234</v>
      </c>
      <c r="O796" t="s">
        <v>18848</v>
      </c>
      <c r="P796" t="s">
        <v>62</v>
      </c>
      <c r="Q796">
        <v>3197936</v>
      </c>
      <c r="R796">
        <v>3199207</v>
      </c>
      <c r="S796" t="s">
        <v>18849</v>
      </c>
      <c r="T796">
        <v>424</v>
      </c>
      <c r="U796" t="s">
        <v>108</v>
      </c>
      <c r="V796">
        <v>44</v>
      </c>
      <c r="W796" t="str">
        <f>HYPERLINK("Gene3234-zp_tree_all.dnd", "Gene3234-tree")</f>
        <v>Gene3234-tree</v>
      </c>
      <c r="X796">
        <v>5</v>
      </c>
      <c r="Y796">
        <v>8</v>
      </c>
      <c r="Z796">
        <v>5</v>
      </c>
      <c r="AA796">
        <v>8</v>
      </c>
      <c r="AB796">
        <v>0.61538000000000004</v>
      </c>
      <c r="AC796" t="s">
        <v>199</v>
      </c>
      <c r="AD796" t="s">
        <v>136</v>
      </c>
      <c r="AE796" t="s">
        <v>62</v>
      </c>
      <c r="AF796" t="s">
        <v>62</v>
      </c>
      <c r="AG796">
        <v>2</v>
      </c>
      <c r="AH796">
        <v>5</v>
      </c>
      <c r="AI796">
        <v>12</v>
      </c>
      <c r="AJ796">
        <v>0.29411999999999999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2</v>
      </c>
      <c r="AQ796">
        <v>0</v>
      </c>
      <c r="AR796">
        <v>2</v>
      </c>
      <c r="AS796">
        <v>11</v>
      </c>
      <c r="AT796">
        <v>0.15384999999999999</v>
      </c>
      <c r="AU796">
        <v>10</v>
      </c>
      <c r="AV796">
        <v>9</v>
      </c>
      <c r="AW796">
        <v>31</v>
      </c>
      <c r="AX796">
        <v>11</v>
      </c>
      <c r="AY796">
        <v>17</v>
      </c>
      <c r="AZ796">
        <v>6</v>
      </c>
      <c r="BA796" t="s">
        <v>18850</v>
      </c>
      <c r="BB796" t="s">
        <v>18851</v>
      </c>
      <c r="BC796">
        <v>5.0000000000000001E-3</v>
      </c>
      <c r="BD796" t="s">
        <v>65</v>
      </c>
      <c r="BE796">
        <v>48</v>
      </c>
      <c r="BF796">
        <v>17</v>
      </c>
      <c r="BG796" t="s">
        <v>18852</v>
      </c>
      <c r="BH796" t="s">
        <v>18853</v>
      </c>
      <c r="BI796" t="s">
        <v>18854</v>
      </c>
      <c r="BJ796">
        <v>8.6349999999999996E-2</v>
      </c>
      <c r="BK796">
        <v>1</v>
      </c>
      <c r="BL796" t="s">
        <v>69</v>
      </c>
      <c r="BM796">
        <v>-0.81899999999999995</v>
      </c>
      <c r="BN796">
        <v>-1.0780000000000001</v>
      </c>
    </row>
    <row r="797" spans="2:66">
      <c r="B797">
        <v>1251</v>
      </c>
      <c r="C797">
        <v>229</v>
      </c>
      <c r="D797">
        <v>0</v>
      </c>
      <c r="E797">
        <v>4</v>
      </c>
      <c r="F797">
        <v>0</v>
      </c>
      <c r="J797">
        <v>0</v>
      </c>
      <c r="K797">
        <v>0</v>
      </c>
      <c r="L797">
        <v>0</v>
      </c>
      <c r="M797" t="s">
        <v>25022</v>
      </c>
      <c r="N797">
        <v>3235</v>
      </c>
      <c r="O797" t="s">
        <v>18855</v>
      </c>
      <c r="P797" t="s">
        <v>62</v>
      </c>
      <c r="Q797">
        <v>3199236</v>
      </c>
      <c r="R797">
        <v>3199547</v>
      </c>
      <c r="S797" t="s">
        <v>18856</v>
      </c>
      <c r="T797">
        <v>104</v>
      </c>
      <c r="U797" t="s">
        <v>108</v>
      </c>
      <c r="V797">
        <v>44</v>
      </c>
      <c r="W797" t="str">
        <f>HYPERLINK("Gene3235-zp_tree_all.dnd", "Gene3235-tree")</f>
        <v>Gene3235-tree</v>
      </c>
      <c r="X797">
        <v>4</v>
      </c>
      <c r="Y797">
        <v>4</v>
      </c>
      <c r="Z797">
        <v>4</v>
      </c>
      <c r="AA797">
        <v>4</v>
      </c>
      <c r="AB797">
        <v>0.5</v>
      </c>
      <c r="AC797" t="s">
        <v>61</v>
      </c>
      <c r="AD797" t="s">
        <v>61</v>
      </c>
      <c r="AE797" t="s">
        <v>62</v>
      </c>
      <c r="AF797" t="s">
        <v>62</v>
      </c>
      <c r="AG797">
        <v>0</v>
      </c>
      <c r="AH797">
        <v>0</v>
      </c>
      <c r="AI797">
        <v>6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4</v>
      </c>
      <c r="AT797">
        <v>0</v>
      </c>
      <c r="AU797">
        <v>5</v>
      </c>
      <c r="AV797">
        <v>3</v>
      </c>
      <c r="AW797">
        <v>6</v>
      </c>
      <c r="AX797">
        <v>3</v>
      </c>
      <c r="AY797">
        <v>1</v>
      </c>
      <c r="AZ797">
        <v>3</v>
      </c>
      <c r="BA797" t="s">
        <v>18857</v>
      </c>
      <c r="BB797" t="s">
        <v>18858</v>
      </c>
      <c r="BC797">
        <v>0.72099999999999997</v>
      </c>
      <c r="BD797" t="s">
        <v>65</v>
      </c>
      <c r="BE797">
        <v>7</v>
      </c>
      <c r="BF797">
        <v>6</v>
      </c>
      <c r="BG797" t="s">
        <v>18859</v>
      </c>
      <c r="BH797" t="s">
        <v>18860</v>
      </c>
      <c r="BI797" t="s">
        <v>18861</v>
      </c>
      <c r="BJ797">
        <v>0.25971</v>
      </c>
      <c r="BK797">
        <v>0.98899999999999999</v>
      </c>
      <c r="BL797" t="s">
        <v>69</v>
      </c>
      <c r="BM797">
        <v>-0.45500000000000002</v>
      </c>
      <c r="BN797">
        <v>-1.139</v>
      </c>
    </row>
    <row r="798" spans="2:66">
      <c r="B798">
        <v>1253</v>
      </c>
      <c r="C798">
        <v>419</v>
      </c>
      <c r="D798">
        <v>0</v>
      </c>
      <c r="E798">
        <v>4</v>
      </c>
      <c r="F798">
        <v>2</v>
      </c>
      <c r="J798">
        <v>0</v>
      </c>
      <c r="K798">
        <v>17</v>
      </c>
      <c r="L798">
        <v>2</v>
      </c>
      <c r="M798" t="s">
        <v>25022</v>
      </c>
      <c r="N798">
        <v>3236</v>
      </c>
      <c r="O798" t="s">
        <v>18862</v>
      </c>
      <c r="P798" t="s">
        <v>62</v>
      </c>
      <c r="Q798">
        <v>3199568</v>
      </c>
      <c r="R798">
        <v>3201022</v>
      </c>
      <c r="S798" t="s">
        <v>18863</v>
      </c>
      <c r="T798">
        <v>485</v>
      </c>
      <c r="U798" t="s">
        <v>108</v>
      </c>
      <c r="V798">
        <v>44</v>
      </c>
      <c r="W798" t="str">
        <f>HYPERLINK("Gene3236-zp_tree_all.dnd", "Gene3236-tree")</f>
        <v>Gene3236-tree</v>
      </c>
      <c r="X798">
        <v>3</v>
      </c>
      <c r="Y798">
        <v>11</v>
      </c>
      <c r="Z798">
        <v>3</v>
      </c>
      <c r="AA798">
        <v>11</v>
      </c>
      <c r="AB798">
        <v>0.78571000000000002</v>
      </c>
      <c r="AC798" t="s">
        <v>324</v>
      </c>
      <c r="AD798" t="s">
        <v>73</v>
      </c>
      <c r="AE798">
        <v>305230034.74400002</v>
      </c>
      <c r="AF798" t="s">
        <v>267</v>
      </c>
      <c r="AG798">
        <v>8</v>
      </c>
      <c r="AH798">
        <v>19</v>
      </c>
      <c r="AI798">
        <v>26</v>
      </c>
      <c r="AJ798">
        <v>0.42221999999999998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8</v>
      </c>
      <c r="AQ798">
        <v>2</v>
      </c>
      <c r="AR798">
        <v>10</v>
      </c>
      <c r="AS798">
        <v>20</v>
      </c>
      <c r="AT798">
        <v>0.33333000000000002</v>
      </c>
      <c r="AU798">
        <v>13</v>
      </c>
      <c r="AV798">
        <v>9</v>
      </c>
      <c r="AW798">
        <v>47</v>
      </c>
      <c r="AX798">
        <v>30</v>
      </c>
      <c r="AY798">
        <v>29</v>
      </c>
      <c r="AZ798">
        <v>15</v>
      </c>
      <c r="BA798" t="s">
        <v>18864</v>
      </c>
      <c r="BB798" t="s">
        <v>18865</v>
      </c>
      <c r="BC798">
        <v>0.24</v>
      </c>
      <c r="BD798" t="s">
        <v>65</v>
      </c>
      <c r="BE798">
        <v>76</v>
      </c>
      <c r="BF798">
        <v>45</v>
      </c>
      <c r="BG798" t="s">
        <v>18866</v>
      </c>
      <c r="BH798" t="s">
        <v>18867</v>
      </c>
      <c r="BI798" t="s">
        <v>18868</v>
      </c>
      <c r="BJ798">
        <v>0.18881999999999999</v>
      </c>
      <c r="BK798">
        <v>1</v>
      </c>
      <c r="BL798" t="s">
        <v>69</v>
      </c>
      <c r="BM798">
        <v>0.193</v>
      </c>
      <c r="BN798">
        <v>-0.63400000000000001</v>
      </c>
    </row>
    <row r="799" spans="2:66">
      <c r="B799">
        <v>1254</v>
      </c>
      <c r="C799">
        <v>42</v>
      </c>
      <c r="D799">
        <v>0</v>
      </c>
      <c r="E799">
        <v>4</v>
      </c>
      <c r="F799">
        <v>0</v>
      </c>
      <c r="J799">
        <v>0</v>
      </c>
      <c r="K799">
        <v>2</v>
      </c>
      <c r="L799">
        <v>1</v>
      </c>
      <c r="M799" t="s">
        <v>25022</v>
      </c>
      <c r="N799">
        <v>3237</v>
      </c>
      <c r="O799" t="s">
        <v>18869</v>
      </c>
      <c r="P799" t="s">
        <v>62</v>
      </c>
      <c r="Q799">
        <v>3201030</v>
      </c>
      <c r="R799">
        <v>3201803</v>
      </c>
      <c r="S799" t="s">
        <v>18870</v>
      </c>
      <c r="T799">
        <v>258</v>
      </c>
      <c r="U799" t="s">
        <v>108</v>
      </c>
      <c r="V799">
        <v>44</v>
      </c>
      <c r="W799" t="str">
        <f>HYPERLINK("Gene3237-zp_tree_all.dnd", "Gene3237-tree")</f>
        <v>Gene3237-tree</v>
      </c>
      <c r="X799">
        <v>11</v>
      </c>
      <c r="Y799">
        <v>2</v>
      </c>
      <c r="Z799">
        <v>11</v>
      </c>
      <c r="AA799">
        <v>2</v>
      </c>
      <c r="AB799">
        <v>0.15384999999999999</v>
      </c>
      <c r="AC799" t="s">
        <v>73</v>
      </c>
      <c r="AD799" t="s">
        <v>81</v>
      </c>
      <c r="AE799" t="s">
        <v>62</v>
      </c>
      <c r="AF799" t="s">
        <v>62</v>
      </c>
      <c r="AG799">
        <v>1</v>
      </c>
      <c r="AH799">
        <v>3</v>
      </c>
      <c r="AI799">
        <v>2</v>
      </c>
      <c r="AJ799">
        <v>0.6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2</v>
      </c>
      <c r="AT799">
        <v>0</v>
      </c>
      <c r="AU799">
        <v>10</v>
      </c>
      <c r="AV799">
        <v>9</v>
      </c>
      <c r="AW799">
        <v>14</v>
      </c>
      <c r="AX799">
        <v>2</v>
      </c>
      <c r="AY799">
        <v>15</v>
      </c>
      <c r="AZ799">
        <v>3</v>
      </c>
      <c r="BA799" t="s">
        <v>18871</v>
      </c>
      <c r="BB799" t="s">
        <v>18872</v>
      </c>
      <c r="BC799">
        <v>0.17100000000000001</v>
      </c>
      <c r="BD799" t="s">
        <v>65</v>
      </c>
      <c r="BE799">
        <v>29</v>
      </c>
      <c r="BF799">
        <v>5</v>
      </c>
      <c r="BG799" t="s">
        <v>18873</v>
      </c>
      <c r="BH799" t="s">
        <v>18874</v>
      </c>
      <c r="BI799" t="s">
        <v>18875</v>
      </c>
      <c r="BJ799">
        <v>4.4450000000000003E-2</v>
      </c>
      <c r="BK799">
        <v>1</v>
      </c>
      <c r="BL799" t="s">
        <v>69</v>
      </c>
      <c r="BM799">
        <v>6.0999999999999999E-2</v>
      </c>
      <c r="BN799">
        <v>-0.188</v>
      </c>
    </row>
    <row r="800" spans="2:66">
      <c r="B800">
        <v>1256</v>
      </c>
      <c r="C800">
        <v>26</v>
      </c>
      <c r="D800">
        <v>0</v>
      </c>
      <c r="E800">
        <v>19</v>
      </c>
      <c r="F800">
        <v>3</v>
      </c>
      <c r="J800">
        <v>0</v>
      </c>
      <c r="K800">
        <v>16</v>
      </c>
      <c r="L800">
        <v>7</v>
      </c>
      <c r="M800" t="s">
        <v>25022</v>
      </c>
      <c r="N800">
        <v>3238</v>
      </c>
      <c r="O800" t="s">
        <v>18876</v>
      </c>
      <c r="P800" t="s">
        <v>62</v>
      </c>
      <c r="Q800">
        <v>3201863</v>
      </c>
      <c r="R800">
        <v>3203929</v>
      </c>
      <c r="S800" t="s">
        <v>18877</v>
      </c>
      <c r="T800">
        <v>689</v>
      </c>
      <c r="U800" t="s">
        <v>108</v>
      </c>
      <c r="V800">
        <v>44</v>
      </c>
      <c r="W800" t="str">
        <f>HYPERLINK("Gene3238-zp_tree_all.dnd", "Gene3238-tree")</f>
        <v>Gene3238-tree</v>
      </c>
      <c r="X800">
        <v>9</v>
      </c>
      <c r="Y800">
        <v>11</v>
      </c>
      <c r="Z800">
        <v>9</v>
      </c>
      <c r="AA800">
        <v>11</v>
      </c>
      <c r="AB800">
        <v>0.55000000000000004</v>
      </c>
      <c r="AC800" t="s">
        <v>135</v>
      </c>
      <c r="AD800" t="s">
        <v>73</v>
      </c>
      <c r="AE800">
        <v>25435836.228999998</v>
      </c>
      <c r="AF800" t="s">
        <v>267</v>
      </c>
      <c r="AG800">
        <v>10</v>
      </c>
      <c r="AH800">
        <v>23</v>
      </c>
      <c r="AI800">
        <v>20</v>
      </c>
      <c r="AJ800">
        <v>0.53488000000000002</v>
      </c>
      <c r="AK800">
        <v>0</v>
      </c>
      <c r="AL800">
        <v>0</v>
      </c>
      <c r="AM800">
        <v>0</v>
      </c>
      <c r="AN800">
        <v>2</v>
      </c>
      <c r="AO800">
        <v>0</v>
      </c>
      <c r="AP800">
        <v>8</v>
      </c>
      <c r="AQ800">
        <v>4</v>
      </c>
      <c r="AR800">
        <v>12</v>
      </c>
      <c r="AS800">
        <v>21</v>
      </c>
      <c r="AT800">
        <v>0.36364000000000002</v>
      </c>
      <c r="AU800">
        <v>13</v>
      </c>
      <c r="AV800">
        <v>15</v>
      </c>
      <c r="AW800">
        <v>49</v>
      </c>
      <c r="AX800">
        <v>25</v>
      </c>
      <c r="AY800">
        <v>59</v>
      </c>
      <c r="AZ800">
        <v>18</v>
      </c>
      <c r="BA800" t="s">
        <v>18878</v>
      </c>
      <c r="BB800" t="s">
        <v>18879</v>
      </c>
      <c r="BC800">
        <v>0.40899999999999997</v>
      </c>
      <c r="BD800" t="s">
        <v>65</v>
      </c>
      <c r="BE800">
        <v>108</v>
      </c>
      <c r="BF800">
        <v>43</v>
      </c>
      <c r="BG800" t="s">
        <v>18880</v>
      </c>
      <c r="BH800" t="s">
        <v>18881</v>
      </c>
      <c r="BI800" t="s">
        <v>18882</v>
      </c>
      <c r="BJ800">
        <v>0.10693999999999999</v>
      </c>
      <c r="BK800">
        <v>1</v>
      </c>
      <c r="BL800" t="s">
        <v>69</v>
      </c>
      <c r="BM800">
        <v>0.13700000000000001</v>
      </c>
      <c r="BN800">
        <v>-1.6850000000000001</v>
      </c>
    </row>
    <row r="801" spans="2:66">
      <c r="B801">
        <v>1257</v>
      </c>
      <c r="C801">
        <v>11</v>
      </c>
      <c r="D801">
        <v>0</v>
      </c>
      <c r="E801">
        <v>3</v>
      </c>
      <c r="F801">
        <v>3</v>
      </c>
      <c r="J801">
        <v>0</v>
      </c>
      <c r="K801">
        <v>0</v>
      </c>
      <c r="L801">
        <v>0</v>
      </c>
      <c r="M801" t="s">
        <v>25022</v>
      </c>
      <c r="N801">
        <v>3239</v>
      </c>
      <c r="O801" t="s">
        <v>18883</v>
      </c>
      <c r="P801" t="s">
        <v>62</v>
      </c>
      <c r="Q801">
        <v>3204070</v>
      </c>
      <c r="R801">
        <v>3206055</v>
      </c>
      <c r="S801" t="s">
        <v>9086</v>
      </c>
      <c r="T801">
        <v>662</v>
      </c>
      <c r="U801" t="s">
        <v>108</v>
      </c>
      <c r="V801">
        <v>44</v>
      </c>
      <c r="W801" t="str">
        <f>HYPERLINK("Gene3239-zp_tree_all.dnd", "Gene3239-tree")</f>
        <v>Gene3239-tree</v>
      </c>
      <c r="X801">
        <v>10</v>
      </c>
      <c r="Y801">
        <v>6</v>
      </c>
      <c r="Z801">
        <v>10</v>
      </c>
      <c r="AA801">
        <v>6</v>
      </c>
      <c r="AB801">
        <v>0.375</v>
      </c>
      <c r="AC801" t="s">
        <v>117</v>
      </c>
      <c r="AD801" t="s">
        <v>90</v>
      </c>
      <c r="AE801" t="s">
        <v>62</v>
      </c>
      <c r="AF801" t="s">
        <v>62</v>
      </c>
      <c r="AG801">
        <v>0</v>
      </c>
      <c r="AH801">
        <v>0</v>
      </c>
      <c r="AI801">
        <v>13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9</v>
      </c>
      <c r="AT801">
        <v>0</v>
      </c>
      <c r="AU801">
        <v>14</v>
      </c>
      <c r="AV801">
        <v>12</v>
      </c>
      <c r="AW801">
        <v>63</v>
      </c>
      <c r="AX801">
        <v>9</v>
      </c>
      <c r="AY801">
        <v>53</v>
      </c>
      <c r="AZ801">
        <v>4</v>
      </c>
      <c r="BA801" t="s">
        <v>18884</v>
      </c>
      <c r="BB801" t="s">
        <v>18885</v>
      </c>
      <c r="BC801">
        <v>0.6</v>
      </c>
      <c r="BD801" t="s">
        <v>65</v>
      </c>
      <c r="BE801">
        <v>116</v>
      </c>
      <c r="BF801">
        <v>13</v>
      </c>
      <c r="BG801" t="s">
        <v>18886</v>
      </c>
      <c r="BH801" t="s">
        <v>18887</v>
      </c>
      <c r="BI801" t="s">
        <v>14017</v>
      </c>
      <c r="BJ801">
        <v>4.1189999999999997E-2</v>
      </c>
      <c r="BK801">
        <v>1</v>
      </c>
      <c r="BL801" t="s">
        <v>69</v>
      </c>
      <c r="BM801">
        <v>2.3E-2</v>
      </c>
      <c r="BN801">
        <v>-0.95</v>
      </c>
    </row>
    <row r="802" spans="2:66">
      <c r="B802">
        <v>1258</v>
      </c>
      <c r="C802">
        <v>48</v>
      </c>
      <c r="D802">
        <v>0</v>
      </c>
      <c r="E802">
        <v>0</v>
      </c>
      <c r="F802">
        <v>2</v>
      </c>
      <c r="J802">
        <v>0</v>
      </c>
      <c r="K802">
        <v>5</v>
      </c>
      <c r="L802">
        <v>0</v>
      </c>
      <c r="M802" t="s">
        <v>25022</v>
      </c>
      <c r="N802">
        <v>3240</v>
      </c>
      <c r="O802" t="s">
        <v>18888</v>
      </c>
      <c r="P802" t="s">
        <v>62</v>
      </c>
      <c r="Q802">
        <v>3206172</v>
      </c>
      <c r="R802">
        <v>3208154</v>
      </c>
      <c r="S802" t="s">
        <v>9086</v>
      </c>
      <c r="T802">
        <v>661</v>
      </c>
      <c r="U802" t="s">
        <v>108</v>
      </c>
      <c r="V802">
        <v>44</v>
      </c>
      <c r="W802" t="str">
        <f>HYPERLINK("Gene3240-zp_tree_all.dnd", "Gene3240-tree")</f>
        <v>Gene3240-tree</v>
      </c>
      <c r="X802">
        <v>10</v>
      </c>
      <c r="Y802">
        <v>6</v>
      </c>
      <c r="Z802">
        <v>10</v>
      </c>
      <c r="AA802">
        <v>6</v>
      </c>
      <c r="AB802">
        <v>0.375</v>
      </c>
      <c r="AC802" t="s">
        <v>117</v>
      </c>
      <c r="AD802" t="s">
        <v>90</v>
      </c>
      <c r="AE802" t="s">
        <v>62</v>
      </c>
      <c r="AF802" t="s">
        <v>62</v>
      </c>
      <c r="AG802">
        <v>2</v>
      </c>
      <c r="AH802">
        <v>5</v>
      </c>
      <c r="AI802">
        <v>10</v>
      </c>
      <c r="AJ802">
        <v>0.33333000000000002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2</v>
      </c>
      <c r="AQ802">
        <v>0</v>
      </c>
      <c r="AR802">
        <v>2</v>
      </c>
      <c r="AS802">
        <v>8</v>
      </c>
      <c r="AT802">
        <v>0.2</v>
      </c>
      <c r="AU802">
        <v>14</v>
      </c>
      <c r="AV802">
        <v>13</v>
      </c>
      <c r="AW802">
        <v>58</v>
      </c>
      <c r="AX802">
        <v>10</v>
      </c>
      <c r="AY802">
        <v>63</v>
      </c>
      <c r="AZ802">
        <v>5</v>
      </c>
      <c r="BA802" t="s">
        <v>18889</v>
      </c>
      <c r="BB802" t="s">
        <v>18890</v>
      </c>
      <c r="BC802">
        <v>0.66400000000000003</v>
      </c>
      <c r="BD802" t="s">
        <v>65</v>
      </c>
      <c r="BE802">
        <v>121</v>
      </c>
      <c r="BF802">
        <v>15</v>
      </c>
      <c r="BG802" t="s">
        <v>18891</v>
      </c>
      <c r="BH802" t="s">
        <v>18892</v>
      </c>
      <c r="BI802" t="s">
        <v>18893</v>
      </c>
      <c r="BJ802">
        <v>3.245E-2</v>
      </c>
      <c r="BK802">
        <v>1</v>
      </c>
      <c r="BL802" t="s">
        <v>69</v>
      </c>
      <c r="BM802">
        <v>-0.109</v>
      </c>
      <c r="BN802">
        <v>1.7000000000000001E-2</v>
      </c>
    </row>
    <row r="803" spans="2:66">
      <c r="B803">
        <v>1259</v>
      </c>
      <c r="C803">
        <v>775</v>
      </c>
      <c r="D803">
        <v>0</v>
      </c>
      <c r="E803">
        <v>45</v>
      </c>
      <c r="F803">
        <v>1</v>
      </c>
      <c r="J803">
        <v>0</v>
      </c>
      <c r="K803">
        <v>10</v>
      </c>
      <c r="L803">
        <v>0</v>
      </c>
      <c r="M803" t="s">
        <v>25022</v>
      </c>
      <c r="N803">
        <v>3241</v>
      </c>
      <c r="O803" t="s">
        <v>18894</v>
      </c>
      <c r="P803" t="s">
        <v>62</v>
      </c>
      <c r="Q803">
        <v>3208283</v>
      </c>
      <c r="R803">
        <v>3210268</v>
      </c>
      <c r="S803" t="s">
        <v>18895</v>
      </c>
      <c r="T803">
        <v>662</v>
      </c>
      <c r="U803" t="s">
        <v>11541</v>
      </c>
      <c r="V803">
        <v>35</v>
      </c>
      <c r="W803" t="str">
        <f>HYPERLINK("Gene3241-zp_tree_all.dnd", "Gene3241-tree")</f>
        <v>Gene3241-tree</v>
      </c>
      <c r="X803">
        <v>5</v>
      </c>
      <c r="Y803">
        <v>8</v>
      </c>
      <c r="Z803">
        <v>5</v>
      </c>
      <c r="AA803">
        <v>8</v>
      </c>
      <c r="AB803">
        <v>0.61538000000000004</v>
      </c>
      <c r="AC803" t="s">
        <v>199</v>
      </c>
      <c r="AD803" t="s">
        <v>136</v>
      </c>
      <c r="AE803" t="s">
        <v>62</v>
      </c>
      <c r="AF803" t="s">
        <v>62</v>
      </c>
      <c r="AG803">
        <v>4</v>
      </c>
      <c r="AH803">
        <v>10</v>
      </c>
      <c r="AI803">
        <v>22</v>
      </c>
      <c r="AJ803">
        <v>0.3125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2</v>
      </c>
      <c r="AR803">
        <v>2</v>
      </c>
      <c r="AS803">
        <v>18</v>
      </c>
      <c r="AT803">
        <v>0.1</v>
      </c>
      <c r="AU803">
        <v>12</v>
      </c>
      <c r="AV803">
        <v>9</v>
      </c>
      <c r="AW803">
        <v>79</v>
      </c>
      <c r="AX803">
        <v>20</v>
      </c>
      <c r="AY803">
        <v>38</v>
      </c>
      <c r="AZ803">
        <v>12</v>
      </c>
      <c r="BA803" t="s">
        <v>18896</v>
      </c>
      <c r="BB803" t="s">
        <v>18897</v>
      </c>
      <c r="BC803">
        <v>0.19800000000000001</v>
      </c>
      <c r="BD803" t="s">
        <v>65</v>
      </c>
      <c r="BE803">
        <v>117</v>
      </c>
      <c r="BF803">
        <v>32</v>
      </c>
      <c r="BG803" t="s">
        <v>18898</v>
      </c>
      <c r="BH803" t="s">
        <v>18899</v>
      </c>
      <c r="BI803" t="s">
        <v>18900</v>
      </c>
      <c r="BJ803">
        <v>8.3690000000000001E-2</v>
      </c>
      <c r="BK803">
        <v>1</v>
      </c>
      <c r="BL803" t="s">
        <v>69</v>
      </c>
      <c r="BM803">
        <v>-0.70299999999999996</v>
      </c>
      <c r="BN803">
        <v>-1.1850000000000001</v>
      </c>
    </row>
    <row r="804" spans="2:66">
      <c r="B804">
        <v>1260</v>
      </c>
      <c r="C804">
        <v>31</v>
      </c>
      <c r="D804">
        <v>0</v>
      </c>
      <c r="E804">
        <v>3</v>
      </c>
      <c r="F804">
        <v>0</v>
      </c>
      <c r="J804">
        <v>0</v>
      </c>
      <c r="K804">
        <v>9</v>
      </c>
      <c r="L804">
        <v>1</v>
      </c>
      <c r="M804" t="s">
        <v>25022</v>
      </c>
      <c r="N804">
        <v>3242</v>
      </c>
      <c r="O804" t="s">
        <v>18901</v>
      </c>
      <c r="P804" t="s">
        <v>62</v>
      </c>
      <c r="Q804">
        <v>3210448</v>
      </c>
      <c r="R804">
        <v>3212433</v>
      </c>
      <c r="S804" t="s">
        <v>9086</v>
      </c>
      <c r="T804">
        <v>662</v>
      </c>
      <c r="U804" t="s">
        <v>108</v>
      </c>
      <c r="V804">
        <v>44</v>
      </c>
      <c r="W804" t="str">
        <f>HYPERLINK("Gene3242-zp_tree_all.dnd", "Gene3242-tree")</f>
        <v>Gene3242-tree</v>
      </c>
      <c r="X804">
        <v>6</v>
      </c>
      <c r="Y804">
        <v>10</v>
      </c>
      <c r="Z804">
        <v>6</v>
      </c>
      <c r="AA804">
        <v>10</v>
      </c>
      <c r="AB804">
        <v>0.625</v>
      </c>
      <c r="AC804" t="s">
        <v>90</v>
      </c>
      <c r="AD804" t="s">
        <v>117</v>
      </c>
      <c r="AE804" t="s">
        <v>62</v>
      </c>
      <c r="AF804" t="s">
        <v>62</v>
      </c>
      <c r="AG804">
        <v>4</v>
      </c>
      <c r="AH804">
        <v>10</v>
      </c>
      <c r="AI804">
        <v>12</v>
      </c>
      <c r="AJ804">
        <v>0.45455000000000001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4</v>
      </c>
      <c r="AQ804">
        <v>2</v>
      </c>
      <c r="AR804">
        <v>6</v>
      </c>
      <c r="AS804">
        <v>12</v>
      </c>
      <c r="AT804">
        <v>0.33333000000000002</v>
      </c>
      <c r="AU804">
        <v>14</v>
      </c>
      <c r="AV804">
        <v>13</v>
      </c>
      <c r="AW804">
        <v>67</v>
      </c>
      <c r="AX804">
        <v>17</v>
      </c>
      <c r="AY804">
        <v>28</v>
      </c>
      <c r="AZ804">
        <v>5</v>
      </c>
      <c r="BA804" t="s">
        <v>18902</v>
      </c>
      <c r="BB804" t="s">
        <v>18903</v>
      </c>
      <c r="BC804">
        <v>0.45800000000000002</v>
      </c>
      <c r="BD804" t="s">
        <v>65</v>
      </c>
      <c r="BE804">
        <v>95</v>
      </c>
      <c r="BF804">
        <v>22</v>
      </c>
      <c r="BG804" t="s">
        <v>18904</v>
      </c>
      <c r="BH804" t="s">
        <v>18905</v>
      </c>
      <c r="BI804" t="s">
        <v>18906</v>
      </c>
      <c r="BJ804">
        <v>5.9470000000000002E-2</v>
      </c>
      <c r="BK804">
        <v>1</v>
      </c>
      <c r="BL804" t="s">
        <v>69</v>
      </c>
      <c r="BM804">
        <v>-0.91900000000000004</v>
      </c>
      <c r="BN804">
        <v>-1.8660000000000001</v>
      </c>
    </row>
    <row r="805" spans="2:66">
      <c r="B805">
        <v>1261</v>
      </c>
      <c r="C805">
        <v>123</v>
      </c>
      <c r="D805">
        <v>0</v>
      </c>
      <c r="E805">
        <v>0</v>
      </c>
      <c r="F805">
        <v>2</v>
      </c>
      <c r="J805">
        <v>0</v>
      </c>
      <c r="K805">
        <v>0</v>
      </c>
      <c r="L805">
        <v>0</v>
      </c>
      <c r="M805" t="s">
        <v>25022</v>
      </c>
      <c r="N805">
        <v>3244</v>
      </c>
      <c r="O805" t="s">
        <v>18914</v>
      </c>
      <c r="P805" t="s">
        <v>62</v>
      </c>
      <c r="Q805">
        <v>3213345</v>
      </c>
      <c r="R805">
        <v>3213596</v>
      </c>
      <c r="S805" t="s">
        <v>116</v>
      </c>
      <c r="T805">
        <v>84</v>
      </c>
      <c r="U805" t="s">
        <v>108</v>
      </c>
      <c r="V805">
        <v>44</v>
      </c>
      <c r="W805" t="str">
        <f>HYPERLINK("Gene3244-zp_tree_all.dnd", "Gene3244-tree")</f>
        <v>Gene3244-tree</v>
      </c>
      <c r="X805">
        <v>7</v>
      </c>
      <c r="Y805">
        <v>4</v>
      </c>
      <c r="Z805">
        <v>7</v>
      </c>
      <c r="AA805">
        <v>4</v>
      </c>
      <c r="AB805">
        <v>0.36364000000000002</v>
      </c>
      <c r="AC805" t="s">
        <v>152</v>
      </c>
      <c r="AD805" t="s">
        <v>61</v>
      </c>
      <c r="AE805" t="s">
        <v>62</v>
      </c>
      <c r="AF805" t="s">
        <v>62</v>
      </c>
      <c r="AG805">
        <v>0</v>
      </c>
      <c r="AH805">
        <v>0</v>
      </c>
      <c r="AI805">
        <v>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4</v>
      </c>
      <c r="AT805">
        <v>0</v>
      </c>
      <c r="AU805">
        <v>9</v>
      </c>
      <c r="AV805">
        <v>3</v>
      </c>
      <c r="AW805">
        <v>7</v>
      </c>
      <c r="AX805">
        <v>4</v>
      </c>
      <c r="AY805">
        <v>1</v>
      </c>
      <c r="AZ805">
        <v>2</v>
      </c>
      <c r="BA805" t="s">
        <v>18915</v>
      </c>
      <c r="BB805" t="s">
        <v>18916</v>
      </c>
      <c r="BC805">
        <v>0.49199999999999999</v>
      </c>
      <c r="BD805" t="s">
        <v>65</v>
      </c>
      <c r="BE805">
        <v>8</v>
      </c>
      <c r="BF805">
        <v>6</v>
      </c>
      <c r="BG805" t="s">
        <v>18917</v>
      </c>
      <c r="BH805" t="s">
        <v>18918</v>
      </c>
      <c r="BI805" t="s">
        <v>18919</v>
      </c>
      <c r="BJ805">
        <v>0.27955999999999998</v>
      </c>
      <c r="BK805">
        <v>0.91</v>
      </c>
      <c r="BL805" t="s">
        <v>635</v>
      </c>
      <c r="BM805">
        <v>-0.99399999999999999</v>
      </c>
      <c r="BN805">
        <v>-1.097</v>
      </c>
    </row>
    <row r="806" spans="2:66">
      <c r="B806">
        <v>1262</v>
      </c>
      <c r="C806">
        <v>39</v>
      </c>
      <c r="D806">
        <v>2</v>
      </c>
      <c r="E806">
        <v>11</v>
      </c>
      <c r="F806">
        <v>1</v>
      </c>
      <c r="J806">
        <v>0</v>
      </c>
      <c r="K806">
        <v>0</v>
      </c>
      <c r="L806">
        <v>2</v>
      </c>
      <c r="M806" t="s">
        <v>25022</v>
      </c>
      <c r="N806">
        <v>3245</v>
      </c>
      <c r="O806" t="s">
        <v>18920</v>
      </c>
      <c r="P806" t="s">
        <v>62</v>
      </c>
      <c r="Q806">
        <v>3213857</v>
      </c>
      <c r="R806">
        <v>3214252</v>
      </c>
      <c r="S806" t="s">
        <v>116</v>
      </c>
      <c r="T806">
        <v>132</v>
      </c>
      <c r="U806" t="s">
        <v>1174</v>
      </c>
      <c r="V806">
        <v>42</v>
      </c>
      <c r="W806" t="str">
        <f>HYPERLINK("Gene3245-zp_tree_all.dnd", "Gene3245-tree")</f>
        <v>Gene3245-tree</v>
      </c>
      <c r="X806">
        <v>9</v>
      </c>
      <c r="Y806">
        <v>6</v>
      </c>
      <c r="Z806">
        <v>9</v>
      </c>
      <c r="AA806">
        <v>6</v>
      </c>
      <c r="AB806">
        <v>0.4</v>
      </c>
      <c r="AC806" t="s">
        <v>135</v>
      </c>
      <c r="AD806" t="s">
        <v>90</v>
      </c>
      <c r="AE806" t="s">
        <v>62</v>
      </c>
      <c r="AF806" t="s">
        <v>62</v>
      </c>
      <c r="AG806">
        <v>1</v>
      </c>
      <c r="AH806">
        <v>2</v>
      </c>
      <c r="AI806">
        <v>4</v>
      </c>
      <c r="AJ806">
        <v>0.33333000000000002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2</v>
      </c>
      <c r="AR806">
        <v>2</v>
      </c>
      <c r="AS806">
        <v>4</v>
      </c>
      <c r="AT806">
        <v>0.33333000000000002</v>
      </c>
      <c r="AU806">
        <v>10</v>
      </c>
      <c r="AV806">
        <v>6</v>
      </c>
      <c r="AW806">
        <v>10</v>
      </c>
      <c r="AX806">
        <v>5</v>
      </c>
      <c r="AY806">
        <v>12</v>
      </c>
      <c r="AZ806">
        <v>1</v>
      </c>
      <c r="BA806" t="s">
        <v>18921</v>
      </c>
      <c r="BB806" t="s">
        <v>18922</v>
      </c>
      <c r="BC806">
        <v>1.341</v>
      </c>
      <c r="BD806" t="s">
        <v>65</v>
      </c>
      <c r="BE806">
        <v>22</v>
      </c>
      <c r="BF806">
        <v>6</v>
      </c>
      <c r="BG806" t="s">
        <v>18923</v>
      </c>
      <c r="BH806" t="s">
        <v>18924</v>
      </c>
      <c r="BI806" t="s">
        <v>18925</v>
      </c>
      <c r="BJ806">
        <v>5.833E-2</v>
      </c>
      <c r="BK806">
        <v>1</v>
      </c>
      <c r="BL806" t="s">
        <v>69</v>
      </c>
      <c r="BM806">
        <v>-0.52</v>
      </c>
      <c r="BN806">
        <v>-1.135</v>
      </c>
    </row>
    <row r="807" spans="2:66">
      <c r="B807">
        <v>1264</v>
      </c>
      <c r="C807">
        <v>216</v>
      </c>
      <c r="D807">
        <v>0</v>
      </c>
      <c r="E807">
        <v>15</v>
      </c>
      <c r="F807">
        <v>2</v>
      </c>
      <c r="J807">
        <v>0</v>
      </c>
      <c r="K807">
        <v>7</v>
      </c>
      <c r="L807">
        <v>0</v>
      </c>
      <c r="M807" t="s">
        <v>25022</v>
      </c>
      <c r="N807">
        <v>3247</v>
      </c>
      <c r="O807" t="s">
        <v>18926</v>
      </c>
      <c r="P807" t="s">
        <v>62</v>
      </c>
      <c r="Q807">
        <v>3216166</v>
      </c>
      <c r="R807">
        <v>3217452</v>
      </c>
      <c r="S807" t="s">
        <v>4095</v>
      </c>
      <c r="T807">
        <v>429</v>
      </c>
      <c r="U807" t="s">
        <v>108</v>
      </c>
      <c r="V807">
        <v>44</v>
      </c>
      <c r="W807" t="str">
        <f>HYPERLINK("Gene3247-zp_tree_all.dnd", "Gene3247-tree")</f>
        <v>Gene3247-tree</v>
      </c>
      <c r="X807">
        <v>8</v>
      </c>
      <c r="Y807">
        <v>6</v>
      </c>
      <c r="Z807">
        <v>8</v>
      </c>
      <c r="AA807">
        <v>6</v>
      </c>
      <c r="AB807">
        <v>0.42857000000000001</v>
      </c>
      <c r="AC807" t="s">
        <v>136</v>
      </c>
      <c r="AD807" t="s">
        <v>90</v>
      </c>
      <c r="AE807" t="s">
        <v>62</v>
      </c>
      <c r="AF807" t="s">
        <v>62</v>
      </c>
      <c r="AG807">
        <v>3</v>
      </c>
      <c r="AH807">
        <v>7</v>
      </c>
      <c r="AI807">
        <v>6</v>
      </c>
      <c r="AJ807">
        <v>0.53846000000000005</v>
      </c>
      <c r="AK807">
        <v>0</v>
      </c>
      <c r="AL807">
        <v>0</v>
      </c>
      <c r="AM807">
        <v>0</v>
      </c>
      <c r="AN807">
        <v>2</v>
      </c>
      <c r="AO807">
        <v>0</v>
      </c>
      <c r="AP807">
        <v>4</v>
      </c>
      <c r="AQ807">
        <v>0</v>
      </c>
      <c r="AR807">
        <v>4</v>
      </c>
      <c r="AS807">
        <v>4</v>
      </c>
      <c r="AT807">
        <v>0.5</v>
      </c>
      <c r="AU807">
        <v>11</v>
      </c>
      <c r="AV807">
        <v>10</v>
      </c>
      <c r="AW807">
        <v>58</v>
      </c>
      <c r="AX807">
        <v>8</v>
      </c>
      <c r="AY807">
        <v>38</v>
      </c>
      <c r="AZ807">
        <v>7</v>
      </c>
      <c r="BA807" t="s">
        <v>18927</v>
      </c>
      <c r="BB807" t="s">
        <v>18928</v>
      </c>
      <c r="BC807">
        <v>0.28799999999999998</v>
      </c>
      <c r="BD807" t="s">
        <v>65</v>
      </c>
      <c r="BE807">
        <v>96</v>
      </c>
      <c r="BF807">
        <v>15</v>
      </c>
      <c r="BG807" t="s">
        <v>18929</v>
      </c>
      <c r="BH807" t="s">
        <v>18930</v>
      </c>
      <c r="BI807" t="s">
        <v>18931</v>
      </c>
      <c r="BJ807">
        <v>4.4659999999999998E-2</v>
      </c>
      <c r="BK807">
        <v>1</v>
      </c>
      <c r="BL807" t="s">
        <v>69</v>
      </c>
      <c r="BM807">
        <v>-7.8E-2</v>
      </c>
      <c r="BN807">
        <v>-0.126</v>
      </c>
    </row>
    <row r="808" spans="2:66">
      <c r="B808">
        <v>1265</v>
      </c>
      <c r="C808">
        <v>97</v>
      </c>
      <c r="D808">
        <v>0</v>
      </c>
      <c r="E808">
        <v>8</v>
      </c>
      <c r="F808">
        <v>0</v>
      </c>
      <c r="J808">
        <v>0</v>
      </c>
      <c r="K808">
        <v>0</v>
      </c>
      <c r="L808">
        <v>0</v>
      </c>
      <c r="M808" t="s">
        <v>25022</v>
      </c>
      <c r="N808">
        <v>3248</v>
      </c>
      <c r="O808" t="s">
        <v>18932</v>
      </c>
      <c r="P808" t="s">
        <v>62</v>
      </c>
      <c r="Q808">
        <v>3217499</v>
      </c>
      <c r="R808">
        <v>3218173</v>
      </c>
      <c r="S808" t="s">
        <v>18933</v>
      </c>
      <c r="T808">
        <v>225</v>
      </c>
      <c r="U808" t="s">
        <v>59</v>
      </c>
      <c r="V808">
        <v>49</v>
      </c>
      <c r="W808" t="str">
        <f>HYPERLINK("Gene3248-zp_tree_all.dnd", "Gene3248-tree")</f>
        <v>Gene3248-tree</v>
      </c>
      <c r="X808">
        <v>13</v>
      </c>
      <c r="Y808">
        <v>1</v>
      </c>
      <c r="Z808">
        <v>13</v>
      </c>
      <c r="AA808">
        <v>1</v>
      </c>
      <c r="AB808">
        <v>7.1429999999999993E-2</v>
      </c>
      <c r="AC808" t="s">
        <v>507</v>
      </c>
      <c r="AD808" t="s">
        <v>175</v>
      </c>
      <c r="AE808" t="s">
        <v>62</v>
      </c>
      <c r="AF808" t="s">
        <v>62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9</v>
      </c>
      <c r="AV808">
        <v>8</v>
      </c>
      <c r="AW808">
        <v>18</v>
      </c>
      <c r="AX808">
        <v>1</v>
      </c>
      <c r="AY808">
        <v>28</v>
      </c>
      <c r="AZ808">
        <v>2</v>
      </c>
      <c r="BA808" t="s">
        <v>18934</v>
      </c>
      <c r="BB808" t="s">
        <v>18935</v>
      </c>
      <c r="BC808">
        <v>8.2000000000000003E-2</v>
      </c>
      <c r="BD808" t="s">
        <v>65</v>
      </c>
      <c r="BE808">
        <v>46</v>
      </c>
      <c r="BF808">
        <v>3</v>
      </c>
      <c r="BG808" t="s">
        <v>18936</v>
      </c>
      <c r="BH808" t="s">
        <v>18937</v>
      </c>
      <c r="BI808" t="s">
        <v>18938</v>
      </c>
      <c r="BJ808">
        <v>2.4490000000000001E-2</v>
      </c>
      <c r="BK808">
        <v>1</v>
      </c>
      <c r="BL808" t="s">
        <v>69</v>
      </c>
      <c r="BM808">
        <v>-1.2290000000000001</v>
      </c>
      <c r="BN808">
        <v>-0.33</v>
      </c>
    </row>
    <row r="809" spans="2:66">
      <c r="B809">
        <v>1267</v>
      </c>
      <c r="C809">
        <v>189</v>
      </c>
      <c r="D809">
        <v>0</v>
      </c>
      <c r="E809">
        <v>2</v>
      </c>
      <c r="F809">
        <v>0</v>
      </c>
      <c r="J809">
        <v>0</v>
      </c>
      <c r="K809">
        <v>0</v>
      </c>
      <c r="L809">
        <v>0</v>
      </c>
      <c r="M809" t="s">
        <v>25022</v>
      </c>
      <c r="N809">
        <v>3249</v>
      </c>
      <c r="O809" t="s">
        <v>18939</v>
      </c>
      <c r="P809" t="s">
        <v>62</v>
      </c>
      <c r="Q809">
        <v>3218218</v>
      </c>
      <c r="R809">
        <v>3218478</v>
      </c>
      <c r="S809" t="s">
        <v>116</v>
      </c>
      <c r="T809">
        <v>87</v>
      </c>
      <c r="U809" t="s">
        <v>265</v>
      </c>
      <c r="V809">
        <v>43</v>
      </c>
      <c r="W809" t="str">
        <f>HYPERLINK("Gene3249-zp_tree_all.dnd", "Gene3249-tree")</f>
        <v>Gene3249-tree</v>
      </c>
      <c r="X809">
        <v>6</v>
      </c>
      <c r="Y809">
        <v>3</v>
      </c>
      <c r="Z809">
        <v>6</v>
      </c>
      <c r="AA809">
        <v>3</v>
      </c>
      <c r="AB809">
        <v>0.33333000000000002</v>
      </c>
      <c r="AC809" t="s">
        <v>90</v>
      </c>
      <c r="AD809" t="s">
        <v>324</v>
      </c>
      <c r="AE809" t="s">
        <v>62</v>
      </c>
      <c r="AF809" t="s">
        <v>62</v>
      </c>
      <c r="AG809">
        <v>0</v>
      </c>
      <c r="AH809">
        <v>0</v>
      </c>
      <c r="AI809">
        <v>7</v>
      </c>
      <c r="AJ809">
        <v>0</v>
      </c>
      <c r="AK809">
        <v>0</v>
      </c>
      <c r="AL809">
        <v>0</v>
      </c>
      <c r="AM809">
        <v>0</v>
      </c>
      <c r="AN809">
        <v>3</v>
      </c>
      <c r="AO809">
        <v>0</v>
      </c>
      <c r="AP809">
        <v>0</v>
      </c>
      <c r="AQ809">
        <v>0</v>
      </c>
      <c r="AR809">
        <v>0</v>
      </c>
      <c r="AS809">
        <v>4</v>
      </c>
      <c r="AT809">
        <v>0</v>
      </c>
      <c r="AU809">
        <v>5</v>
      </c>
      <c r="AV809">
        <v>3</v>
      </c>
      <c r="AW809">
        <v>8</v>
      </c>
      <c r="AX809">
        <v>4</v>
      </c>
      <c r="AY809">
        <v>3</v>
      </c>
      <c r="AZ809">
        <v>3</v>
      </c>
      <c r="BA809" t="s">
        <v>18940</v>
      </c>
      <c r="BB809" t="s">
        <v>18941</v>
      </c>
      <c r="BC809">
        <v>0.31900000000000001</v>
      </c>
      <c r="BD809" t="s">
        <v>65</v>
      </c>
      <c r="BE809">
        <v>11</v>
      </c>
      <c r="BF809">
        <v>7</v>
      </c>
      <c r="BG809" t="s">
        <v>18942</v>
      </c>
      <c r="BH809" t="s">
        <v>18943</v>
      </c>
      <c r="BI809" t="s">
        <v>18944</v>
      </c>
      <c r="BJ809">
        <v>0.20898</v>
      </c>
      <c r="BK809">
        <v>1</v>
      </c>
      <c r="BL809" t="s">
        <v>69</v>
      </c>
      <c r="BM809">
        <v>-0.57799999999999996</v>
      </c>
      <c r="BN809">
        <v>-2.395</v>
      </c>
    </row>
    <row r="810" spans="2:66">
      <c r="B810">
        <v>1269</v>
      </c>
      <c r="C810">
        <v>211</v>
      </c>
      <c r="D810">
        <v>0</v>
      </c>
      <c r="E810">
        <v>4</v>
      </c>
      <c r="F810">
        <v>2</v>
      </c>
      <c r="J810">
        <v>0</v>
      </c>
      <c r="K810">
        <v>0</v>
      </c>
      <c r="L810">
        <v>4</v>
      </c>
      <c r="M810" t="s">
        <v>25022</v>
      </c>
      <c r="N810">
        <v>3252</v>
      </c>
      <c r="O810" t="s">
        <v>18959</v>
      </c>
      <c r="P810" t="s">
        <v>62</v>
      </c>
      <c r="Q810">
        <v>3219840</v>
      </c>
      <c r="R810">
        <v>3220241</v>
      </c>
      <c r="S810" t="s">
        <v>116</v>
      </c>
      <c r="T810">
        <v>134</v>
      </c>
      <c r="U810" t="s">
        <v>289</v>
      </c>
      <c r="V810">
        <v>46</v>
      </c>
      <c r="W810" t="str">
        <f>HYPERLINK("Gene3252-zp_tree_all.dnd", "Gene3252-tree")</f>
        <v>Gene3252-tree</v>
      </c>
      <c r="X810">
        <v>4</v>
      </c>
      <c r="Y810">
        <v>6</v>
      </c>
      <c r="Z810">
        <v>4</v>
      </c>
      <c r="AA810">
        <v>6</v>
      </c>
      <c r="AB810">
        <v>0.6</v>
      </c>
      <c r="AC810" t="s">
        <v>61</v>
      </c>
      <c r="AD810" t="s">
        <v>90</v>
      </c>
      <c r="AE810" t="s">
        <v>62</v>
      </c>
      <c r="AF810" t="s">
        <v>62</v>
      </c>
      <c r="AG810">
        <v>2</v>
      </c>
      <c r="AH810">
        <v>4</v>
      </c>
      <c r="AI810">
        <v>9</v>
      </c>
      <c r="AJ810">
        <v>0.30769000000000002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4</v>
      </c>
      <c r="AR810">
        <v>4</v>
      </c>
      <c r="AS810">
        <v>9</v>
      </c>
      <c r="AT810">
        <v>0.30769000000000002</v>
      </c>
      <c r="AU810">
        <v>8</v>
      </c>
      <c r="AV810">
        <v>2</v>
      </c>
      <c r="AW810">
        <v>31</v>
      </c>
      <c r="AX810">
        <v>13</v>
      </c>
      <c r="AY810">
        <v>2</v>
      </c>
      <c r="AZ810">
        <v>0</v>
      </c>
      <c r="BA810" t="s">
        <v>18960</v>
      </c>
      <c r="BB810" t="s">
        <v>193</v>
      </c>
      <c r="BC810">
        <v>1.0549999999999999</v>
      </c>
      <c r="BD810" t="s">
        <v>65</v>
      </c>
      <c r="BE810">
        <v>33</v>
      </c>
      <c r="BF810">
        <v>13</v>
      </c>
      <c r="BG810" t="s">
        <v>18961</v>
      </c>
      <c r="BH810" t="s">
        <v>18962</v>
      </c>
      <c r="BI810" t="s">
        <v>18963</v>
      </c>
      <c r="BJ810">
        <v>0.10256</v>
      </c>
      <c r="BK810">
        <v>1</v>
      </c>
      <c r="BL810" t="s">
        <v>69</v>
      </c>
      <c r="BM810">
        <v>-1.9850000000000001</v>
      </c>
      <c r="BN810">
        <v>0.307</v>
      </c>
    </row>
    <row r="811" spans="2:66">
      <c r="B811">
        <v>1270</v>
      </c>
      <c r="C811">
        <v>124</v>
      </c>
      <c r="D811">
        <v>0</v>
      </c>
      <c r="E811">
        <v>6</v>
      </c>
      <c r="F811">
        <v>0</v>
      </c>
      <c r="J811">
        <v>0</v>
      </c>
      <c r="K811">
        <v>4</v>
      </c>
      <c r="L811">
        <v>2</v>
      </c>
      <c r="M811" t="s">
        <v>25022</v>
      </c>
      <c r="N811">
        <v>3253</v>
      </c>
      <c r="O811" t="s">
        <v>18964</v>
      </c>
      <c r="P811" t="s">
        <v>62</v>
      </c>
      <c r="Q811">
        <v>3220304</v>
      </c>
      <c r="R811">
        <v>3220672</v>
      </c>
      <c r="S811" t="s">
        <v>2569</v>
      </c>
      <c r="T811">
        <v>123</v>
      </c>
      <c r="U811" t="s">
        <v>108</v>
      </c>
      <c r="V811">
        <v>44</v>
      </c>
      <c r="W811" t="str">
        <f>HYPERLINK("Gene3253-zp_tree_all.dnd", "Gene3253-tree")</f>
        <v>Gene3253-tree</v>
      </c>
      <c r="X811">
        <v>5</v>
      </c>
      <c r="Y811">
        <v>7</v>
      </c>
      <c r="Z811">
        <v>5</v>
      </c>
      <c r="AA811">
        <v>7</v>
      </c>
      <c r="AB811">
        <v>0.58333000000000002</v>
      </c>
      <c r="AC811" t="s">
        <v>199</v>
      </c>
      <c r="AD811" t="s">
        <v>152</v>
      </c>
      <c r="AE811" t="s">
        <v>62</v>
      </c>
      <c r="AF811" t="s">
        <v>62</v>
      </c>
      <c r="AG811">
        <v>3</v>
      </c>
      <c r="AH811">
        <v>6</v>
      </c>
      <c r="AI811">
        <v>9</v>
      </c>
      <c r="AJ811">
        <v>0.4</v>
      </c>
      <c r="AK811">
        <v>0</v>
      </c>
      <c r="AL811">
        <v>0</v>
      </c>
      <c r="AM811">
        <v>0</v>
      </c>
      <c r="AN811">
        <v>2</v>
      </c>
      <c r="AO811">
        <v>0</v>
      </c>
      <c r="AP811">
        <v>2</v>
      </c>
      <c r="AQ811">
        <v>2</v>
      </c>
      <c r="AR811">
        <v>4</v>
      </c>
      <c r="AS811">
        <v>8</v>
      </c>
      <c r="AT811">
        <v>0.33333000000000002</v>
      </c>
      <c r="AU811">
        <v>8</v>
      </c>
      <c r="AV811">
        <v>6</v>
      </c>
      <c r="AW811">
        <v>6</v>
      </c>
      <c r="AX811">
        <v>12</v>
      </c>
      <c r="AY811">
        <v>4</v>
      </c>
      <c r="AZ811">
        <v>3</v>
      </c>
      <c r="BA811" t="s">
        <v>18965</v>
      </c>
      <c r="BB811" t="s">
        <v>18966</v>
      </c>
      <c r="BC811">
        <v>0.78600000000000003</v>
      </c>
      <c r="BD811" t="s">
        <v>65</v>
      </c>
      <c r="BE811">
        <v>10</v>
      </c>
      <c r="BF811">
        <v>15</v>
      </c>
      <c r="BG811" t="s">
        <v>18967</v>
      </c>
      <c r="BH811" t="s">
        <v>18968</v>
      </c>
      <c r="BI811" t="s">
        <v>18969</v>
      </c>
      <c r="BJ811">
        <v>0.52815999999999996</v>
      </c>
      <c r="BK811">
        <v>0.88900000000000001</v>
      </c>
      <c r="BL811" t="s">
        <v>635</v>
      </c>
      <c r="BM811">
        <v>-0.626</v>
      </c>
      <c r="BN811">
        <v>-0.36299999999999999</v>
      </c>
    </row>
    <row r="812" spans="2:66">
      <c r="B812">
        <v>1272</v>
      </c>
      <c r="C812">
        <v>99</v>
      </c>
      <c r="D812">
        <v>0</v>
      </c>
      <c r="E812">
        <v>2</v>
      </c>
      <c r="F812">
        <v>0</v>
      </c>
      <c r="J812">
        <v>0</v>
      </c>
      <c r="K812">
        <v>0</v>
      </c>
      <c r="L812">
        <v>0</v>
      </c>
      <c r="M812" t="s">
        <v>25022</v>
      </c>
      <c r="N812">
        <v>3254</v>
      </c>
      <c r="O812" t="s">
        <v>18970</v>
      </c>
      <c r="P812" t="s">
        <v>62</v>
      </c>
      <c r="Q812">
        <v>3220734</v>
      </c>
      <c r="R812">
        <v>3222083</v>
      </c>
      <c r="S812" t="s">
        <v>18971</v>
      </c>
      <c r="T812">
        <v>450</v>
      </c>
      <c r="U812" t="s">
        <v>125</v>
      </c>
      <c r="V812">
        <v>48</v>
      </c>
      <c r="W812" t="str">
        <f>HYPERLINK("Gene3254-zp_tree_all.dnd", "Gene3254-tree")</f>
        <v>Gene3254-tree</v>
      </c>
      <c r="X812">
        <v>32</v>
      </c>
      <c r="Y812">
        <v>4</v>
      </c>
      <c r="Z812">
        <v>17</v>
      </c>
      <c r="AA812">
        <v>4</v>
      </c>
      <c r="AB812">
        <v>0.19048000000000001</v>
      </c>
      <c r="AC812" t="s">
        <v>18972</v>
      </c>
      <c r="AD812" t="s">
        <v>61</v>
      </c>
      <c r="AE812" t="s">
        <v>62</v>
      </c>
      <c r="AF812" t="s">
        <v>62</v>
      </c>
      <c r="AG812">
        <v>0</v>
      </c>
      <c r="AH812">
        <v>0</v>
      </c>
      <c r="AI812">
        <v>7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5</v>
      </c>
      <c r="AT812">
        <v>0</v>
      </c>
      <c r="AU812">
        <v>18</v>
      </c>
      <c r="AV812">
        <v>16</v>
      </c>
      <c r="AW812">
        <v>39</v>
      </c>
      <c r="AX812">
        <v>5</v>
      </c>
      <c r="AY812">
        <v>98</v>
      </c>
      <c r="AZ812">
        <v>2</v>
      </c>
      <c r="BA812" t="s">
        <v>18973</v>
      </c>
      <c r="BB812" t="s">
        <v>18974</v>
      </c>
      <c r="BC812">
        <v>0.76100000000000001</v>
      </c>
      <c r="BD812" t="s">
        <v>65</v>
      </c>
      <c r="BE812">
        <v>137</v>
      </c>
      <c r="BF812">
        <v>7</v>
      </c>
      <c r="BG812" t="s">
        <v>18975</v>
      </c>
      <c r="BH812" t="s">
        <v>18976</v>
      </c>
      <c r="BI812" t="s">
        <v>18977</v>
      </c>
      <c r="BJ812">
        <v>9.6299999999999997E-3</v>
      </c>
      <c r="BK812">
        <v>1</v>
      </c>
      <c r="BL812" t="s">
        <v>69</v>
      </c>
      <c r="BM812">
        <v>-1.1659999999999999</v>
      </c>
      <c r="BN812">
        <v>0.36</v>
      </c>
    </row>
    <row r="813" spans="2:66">
      <c r="B813">
        <v>1273</v>
      </c>
      <c r="C813">
        <v>301</v>
      </c>
      <c r="D813">
        <v>0</v>
      </c>
      <c r="E813">
        <v>4</v>
      </c>
      <c r="F813">
        <v>0</v>
      </c>
      <c r="J813">
        <v>0</v>
      </c>
      <c r="K813">
        <v>15</v>
      </c>
      <c r="L813">
        <v>2</v>
      </c>
      <c r="M813" t="s">
        <v>25022</v>
      </c>
      <c r="N813">
        <v>3255</v>
      </c>
      <c r="O813" t="s">
        <v>18978</v>
      </c>
      <c r="P813" t="s">
        <v>62</v>
      </c>
      <c r="Q813">
        <v>3222198</v>
      </c>
      <c r="R813">
        <v>3223367</v>
      </c>
      <c r="S813" t="s">
        <v>18979</v>
      </c>
      <c r="T813">
        <v>390</v>
      </c>
      <c r="U813" t="s">
        <v>108</v>
      </c>
      <c r="V813">
        <v>44</v>
      </c>
      <c r="W813" t="str">
        <f>HYPERLINK("Gene3255-zp_tree_all.dnd", "Gene3255-tree")</f>
        <v>Gene3255-tree</v>
      </c>
      <c r="X813">
        <v>7</v>
      </c>
      <c r="Y813">
        <v>9</v>
      </c>
      <c r="Z813">
        <v>7</v>
      </c>
      <c r="AA813">
        <v>9</v>
      </c>
      <c r="AB813">
        <v>0.5625</v>
      </c>
      <c r="AC813" t="s">
        <v>152</v>
      </c>
      <c r="AD813" t="s">
        <v>135</v>
      </c>
      <c r="AE813" t="s">
        <v>62</v>
      </c>
      <c r="AF813" t="s">
        <v>62</v>
      </c>
      <c r="AG813">
        <v>7</v>
      </c>
      <c r="AH813">
        <v>17</v>
      </c>
      <c r="AI813">
        <v>7</v>
      </c>
      <c r="AJ813">
        <v>0.70833000000000002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9</v>
      </c>
      <c r="AQ813">
        <v>0</v>
      </c>
      <c r="AR813">
        <v>9</v>
      </c>
      <c r="AS813">
        <v>9</v>
      </c>
      <c r="AT813">
        <v>0.5</v>
      </c>
      <c r="AU813">
        <v>14</v>
      </c>
      <c r="AV813">
        <v>12</v>
      </c>
      <c r="AW813">
        <v>49</v>
      </c>
      <c r="AX813">
        <v>17</v>
      </c>
      <c r="AY813">
        <v>45</v>
      </c>
      <c r="AZ813">
        <v>7</v>
      </c>
      <c r="BA813" t="s">
        <v>18980</v>
      </c>
      <c r="BB813" t="s">
        <v>18981</v>
      </c>
      <c r="BC813">
        <v>0.78100000000000003</v>
      </c>
      <c r="BD813" t="s">
        <v>65</v>
      </c>
      <c r="BE813">
        <v>94</v>
      </c>
      <c r="BF813">
        <v>24</v>
      </c>
      <c r="BG813" t="s">
        <v>18982</v>
      </c>
      <c r="BH813" t="s">
        <v>18983</v>
      </c>
      <c r="BI813" t="s">
        <v>18984</v>
      </c>
      <c r="BJ813">
        <v>6.1089999999999998E-2</v>
      </c>
      <c r="BK813">
        <v>1</v>
      </c>
      <c r="BL813" t="s">
        <v>69</v>
      </c>
      <c r="BM813">
        <v>-0.55400000000000005</v>
      </c>
      <c r="BN813">
        <v>-0.46600000000000003</v>
      </c>
    </row>
    <row r="814" spans="2:66">
      <c r="B814">
        <v>1274</v>
      </c>
      <c r="C814">
        <v>216</v>
      </c>
      <c r="D814">
        <v>0</v>
      </c>
      <c r="E814">
        <v>16</v>
      </c>
      <c r="F814">
        <v>5</v>
      </c>
      <c r="J814">
        <v>0</v>
      </c>
      <c r="K814">
        <v>2</v>
      </c>
      <c r="L814">
        <v>1</v>
      </c>
      <c r="M814" t="s">
        <v>25022</v>
      </c>
      <c r="N814">
        <v>3256</v>
      </c>
      <c r="O814" t="s">
        <v>18985</v>
      </c>
      <c r="P814" t="s">
        <v>62</v>
      </c>
      <c r="Q814">
        <v>3223474</v>
      </c>
      <c r="R814">
        <v>3224634</v>
      </c>
      <c r="S814" t="s">
        <v>18986</v>
      </c>
      <c r="T814">
        <v>387</v>
      </c>
      <c r="U814" t="s">
        <v>289</v>
      </c>
      <c r="V814">
        <v>46</v>
      </c>
      <c r="W814" t="str">
        <f>HYPERLINK("Gene3256-zp_tree_all.dnd", "Gene3256-tree")</f>
        <v>Gene3256-tree</v>
      </c>
      <c r="X814">
        <v>14</v>
      </c>
      <c r="Y814">
        <v>4</v>
      </c>
      <c r="Z814">
        <v>14</v>
      </c>
      <c r="AA814">
        <v>4</v>
      </c>
      <c r="AB814">
        <v>0.22222</v>
      </c>
      <c r="AC814" t="s">
        <v>543</v>
      </c>
      <c r="AD814" t="s">
        <v>61</v>
      </c>
      <c r="AE814" t="s">
        <v>62</v>
      </c>
      <c r="AF814" t="s">
        <v>62</v>
      </c>
      <c r="AG814">
        <v>1</v>
      </c>
      <c r="AH814">
        <v>3</v>
      </c>
      <c r="AI814">
        <v>8</v>
      </c>
      <c r="AJ814">
        <v>0.27272999999999997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2</v>
      </c>
      <c r="AR814">
        <v>2</v>
      </c>
      <c r="AS814">
        <v>3</v>
      </c>
      <c r="AT814">
        <v>0.4</v>
      </c>
      <c r="AU814">
        <v>16</v>
      </c>
      <c r="AV814">
        <v>12</v>
      </c>
      <c r="AW814">
        <v>44</v>
      </c>
      <c r="AX814">
        <v>5</v>
      </c>
      <c r="AY814">
        <v>75</v>
      </c>
      <c r="AZ814">
        <v>6</v>
      </c>
      <c r="BA814" t="s">
        <v>18987</v>
      </c>
      <c r="BB814" t="s">
        <v>18988</v>
      </c>
      <c r="BC814">
        <v>0.14599999999999999</v>
      </c>
      <c r="BD814" t="s">
        <v>65</v>
      </c>
      <c r="BE814">
        <v>119</v>
      </c>
      <c r="BF814">
        <v>11</v>
      </c>
      <c r="BG814" t="s">
        <v>18989</v>
      </c>
      <c r="BH814" t="s">
        <v>18990</v>
      </c>
      <c r="BI814" t="s">
        <v>18991</v>
      </c>
      <c r="BJ814">
        <v>2.401E-2</v>
      </c>
      <c r="BK814">
        <v>1</v>
      </c>
      <c r="BL814" t="s">
        <v>69</v>
      </c>
      <c r="BM814">
        <v>-1.048</v>
      </c>
      <c r="BN814">
        <v>0.28999999999999998</v>
      </c>
    </row>
    <row r="815" spans="2:66">
      <c r="B815">
        <v>1275</v>
      </c>
      <c r="C815">
        <v>221</v>
      </c>
      <c r="D815">
        <v>0</v>
      </c>
      <c r="E815">
        <v>19</v>
      </c>
      <c r="F815">
        <v>3</v>
      </c>
      <c r="J815">
        <v>0</v>
      </c>
      <c r="K815">
        <v>0</v>
      </c>
      <c r="L815">
        <v>0</v>
      </c>
      <c r="M815" t="s">
        <v>25022</v>
      </c>
      <c r="N815">
        <v>3258</v>
      </c>
      <c r="O815" t="s">
        <v>18995</v>
      </c>
      <c r="P815" t="s">
        <v>62</v>
      </c>
      <c r="Q815">
        <v>3225181</v>
      </c>
      <c r="R815">
        <v>3225570</v>
      </c>
      <c r="S815" t="s">
        <v>18996</v>
      </c>
      <c r="T815">
        <v>130</v>
      </c>
      <c r="U815" t="s">
        <v>59</v>
      </c>
      <c r="V815">
        <v>49</v>
      </c>
      <c r="W815" t="str">
        <f>HYPERLINK("Gene3258-zp_tree_all.dnd", "Gene3258-tree")</f>
        <v>Gene3258-tree</v>
      </c>
      <c r="X815">
        <v>7</v>
      </c>
      <c r="Y815">
        <v>1</v>
      </c>
      <c r="Z815">
        <v>7</v>
      </c>
      <c r="AA815">
        <v>1</v>
      </c>
      <c r="AB815">
        <v>0.125</v>
      </c>
      <c r="AC815" t="s">
        <v>152</v>
      </c>
      <c r="AD815" t="s">
        <v>175</v>
      </c>
      <c r="AE815" t="s">
        <v>62</v>
      </c>
      <c r="AF815" t="s">
        <v>62</v>
      </c>
      <c r="AG815">
        <v>0</v>
      </c>
      <c r="AH815">
        <v>0</v>
      </c>
      <c r="AI815">
        <v>2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4</v>
      </c>
      <c r="AV815">
        <v>4</v>
      </c>
      <c r="AW815">
        <v>4</v>
      </c>
      <c r="AX815">
        <v>1</v>
      </c>
      <c r="AY815">
        <v>3</v>
      </c>
      <c r="AZ815">
        <v>1</v>
      </c>
      <c r="BA815" t="s">
        <v>18997</v>
      </c>
      <c r="BB815" t="s">
        <v>18998</v>
      </c>
      <c r="BC815">
        <v>0.124</v>
      </c>
      <c r="BD815" t="s">
        <v>65</v>
      </c>
      <c r="BE815">
        <v>7</v>
      </c>
      <c r="BF815">
        <v>2</v>
      </c>
      <c r="BG815" t="s">
        <v>18999</v>
      </c>
      <c r="BH815" t="s">
        <v>19000</v>
      </c>
      <c r="BI815" t="s">
        <v>19001</v>
      </c>
      <c r="BJ815">
        <v>8.4870000000000001E-2</v>
      </c>
      <c r="BK815">
        <v>0.98899999999999999</v>
      </c>
      <c r="BL815" t="s">
        <v>69</v>
      </c>
      <c r="BM815">
        <v>-1.3109999999999999</v>
      </c>
      <c r="BN815">
        <v>-1.93</v>
      </c>
    </row>
    <row r="816" spans="2:66">
      <c r="B816">
        <v>1276</v>
      </c>
      <c r="C816">
        <v>9</v>
      </c>
      <c r="D816">
        <v>0</v>
      </c>
      <c r="E816">
        <v>20</v>
      </c>
      <c r="F816">
        <v>0</v>
      </c>
      <c r="J816">
        <v>0</v>
      </c>
      <c r="K816">
        <v>0</v>
      </c>
      <c r="L816">
        <v>0</v>
      </c>
      <c r="M816" t="s">
        <v>25022</v>
      </c>
      <c r="N816">
        <v>3259</v>
      </c>
      <c r="O816" t="s">
        <v>19002</v>
      </c>
      <c r="P816" t="s">
        <v>62</v>
      </c>
      <c r="Q816">
        <v>3225775</v>
      </c>
      <c r="R816">
        <v>3226932</v>
      </c>
      <c r="S816" t="s">
        <v>6221</v>
      </c>
      <c r="T816">
        <v>386</v>
      </c>
      <c r="U816" t="s">
        <v>465</v>
      </c>
      <c r="V816">
        <v>46</v>
      </c>
      <c r="W816" t="str">
        <f>HYPERLINK("Gene3259-zp_tree_all.dnd", "Gene3259-tree")</f>
        <v>Gene3259-tree</v>
      </c>
      <c r="X816">
        <v>15</v>
      </c>
      <c r="Y816">
        <v>3</v>
      </c>
      <c r="Z816">
        <v>15</v>
      </c>
      <c r="AA816">
        <v>3</v>
      </c>
      <c r="AB816">
        <v>0.16667000000000001</v>
      </c>
      <c r="AC816" t="s">
        <v>100</v>
      </c>
      <c r="AD816" t="s">
        <v>324</v>
      </c>
      <c r="AE816" t="s">
        <v>62</v>
      </c>
      <c r="AF816" t="s">
        <v>62</v>
      </c>
      <c r="AG816">
        <v>0</v>
      </c>
      <c r="AH816">
        <v>0</v>
      </c>
      <c r="AI816">
        <v>8</v>
      </c>
      <c r="AJ816">
        <v>0</v>
      </c>
      <c r="AK816">
        <v>0</v>
      </c>
      <c r="AL816">
        <v>0</v>
      </c>
      <c r="AM816">
        <v>0</v>
      </c>
      <c r="AN816">
        <v>4</v>
      </c>
      <c r="AO816">
        <v>0</v>
      </c>
      <c r="AP816">
        <v>0</v>
      </c>
      <c r="AQ816">
        <v>0</v>
      </c>
      <c r="AR816">
        <v>0</v>
      </c>
      <c r="AS816">
        <v>4</v>
      </c>
      <c r="AT816">
        <v>0</v>
      </c>
      <c r="AU816">
        <v>15</v>
      </c>
      <c r="AV816">
        <v>12</v>
      </c>
      <c r="AW816">
        <v>41</v>
      </c>
      <c r="AX816">
        <v>4</v>
      </c>
      <c r="AY816">
        <v>82</v>
      </c>
      <c r="AZ816">
        <v>4</v>
      </c>
      <c r="BA816" t="s">
        <v>19003</v>
      </c>
      <c r="BB816" t="s">
        <v>19004</v>
      </c>
      <c r="BC816">
        <v>0.217</v>
      </c>
      <c r="BD816" t="s">
        <v>65</v>
      </c>
      <c r="BE816">
        <v>123</v>
      </c>
      <c r="BF816">
        <v>8</v>
      </c>
      <c r="BG816" t="s">
        <v>19005</v>
      </c>
      <c r="BH816" t="s">
        <v>19006</v>
      </c>
      <c r="BI816" t="s">
        <v>19007</v>
      </c>
      <c r="BJ816">
        <v>1.7409999999999998E-2</v>
      </c>
      <c r="BK816">
        <v>1</v>
      </c>
      <c r="BL816" t="s">
        <v>69</v>
      </c>
      <c r="BM816">
        <v>-1.2390000000000001</v>
      </c>
      <c r="BN816">
        <v>0.114</v>
      </c>
    </row>
    <row r="817" spans="2:66">
      <c r="B817">
        <v>1277</v>
      </c>
      <c r="C817">
        <v>299</v>
      </c>
      <c r="D817">
        <v>0</v>
      </c>
      <c r="E817">
        <v>14</v>
      </c>
      <c r="F817">
        <v>1</v>
      </c>
      <c r="J817">
        <v>0</v>
      </c>
      <c r="K817">
        <v>0</v>
      </c>
      <c r="L817">
        <v>0</v>
      </c>
      <c r="M817" t="s">
        <v>25022</v>
      </c>
      <c r="N817">
        <v>3260</v>
      </c>
      <c r="O817" t="s">
        <v>19008</v>
      </c>
      <c r="P817" t="s">
        <v>62</v>
      </c>
      <c r="Q817">
        <v>3226936</v>
      </c>
      <c r="R817">
        <v>3227433</v>
      </c>
      <c r="S817" t="s">
        <v>4300</v>
      </c>
      <c r="T817">
        <v>166</v>
      </c>
      <c r="U817" t="s">
        <v>59</v>
      </c>
      <c r="V817">
        <v>49</v>
      </c>
      <c r="W817" t="str">
        <f>HYPERLINK("Gene3260-zp_tree_all.dnd", "Gene3260-tree")</f>
        <v>Gene3260-tree</v>
      </c>
      <c r="X817">
        <v>17</v>
      </c>
      <c r="Y817">
        <v>0</v>
      </c>
      <c r="Z817">
        <v>17</v>
      </c>
      <c r="AA817">
        <v>0</v>
      </c>
      <c r="AB817">
        <v>0</v>
      </c>
      <c r="AC817" t="s">
        <v>266</v>
      </c>
      <c r="AD817" t="s">
        <v>62</v>
      </c>
      <c r="AE817" t="s">
        <v>62</v>
      </c>
      <c r="AF817" t="s">
        <v>62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13</v>
      </c>
      <c r="AV817">
        <v>7</v>
      </c>
      <c r="AW817">
        <v>25</v>
      </c>
      <c r="AX817">
        <v>0</v>
      </c>
      <c r="AY817">
        <v>29</v>
      </c>
      <c r="AZ817">
        <v>1</v>
      </c>
      <c r="BA817" t="s">
        <v>193</v>
      </c>
      <c r="BB817" t="s">
        <v>19009</v>
      </c>
      <c r="BC817">
        <v>0.377</v>
      </c>
      <c r="BD817" t="s">
        <v>65</v>
      </c>
      <c r="BE817">
        <v>54</v>
      </c>
      <c r="BF817">
        <v>1</v>
      </c>
      <c r="BG817" t="s">
        <v>19010</v>
      </c>
      <c r="BH817" t="s">
        <v>19011</v>
      </c>
      <c r="BI817" t="s">
        <v>19012</v>
      </c>
      <c r="BJ817">
        <v>6.6800000000000002E-3</v>
      </c>
      <c r="BK817">
        <v>1</v>
      </c>
      <c r="BL817" t="s">
        <v>69</v>
      </c>
      <c r="BM817">
        <v>-0.74199999999999999</v>
      </c>
      <c r="BN817">
        <v>0.123</v>
      </c>
    </row>
    <row r="818" spans="2:66">
      <c r="B818">
        <v>1278</v>
      </c>
      <c r="C818">
        <v>19</v>
      </c>
      <c r="D818">
        <v>0</v>
      </c>
      <c r="E818">
        <v>4</v>
      </c>
      <c r="F818">
        <v>3</v>
      </c>
      <c r="J818">
        <v>0</v>
      </c>
      <c r="K818">
        <v>4</v>
      </c>
      <c r="L818">
        <v>0</v>
      </c>
      <c r="M818" t="s">
        <v>25022</v>
      </c>
      <c r="N818">
        <v>3262</v>
      </c>
      <c r="O818" t="s">
        <v>19019</v>
      </c>
      <c r="P818" t="s">
        <v>62</v>
      </c>
      <c r="Q818">
        <v>3228434</v>
      </c>
      <c r="R818">
        <v>3228691</v>
      </c>
      <c r="S818" t="s">
        <v>116</v>
      </c>
      <c r="T818">
        <v>86</v>
      </c>
      <c r="U818" t="s">
        <v>465</v>
      </c>
      <c r="V818">
        <v>46</v>
      </c>
      <c r="W818" t="str">
        <f>HYPERLINK("Gene3262-zp_tree_all.dnd", "Gene3262-tree")</f>
        <v>Gene3262-tree</v>
      </c>
      <c r="X818">
        <v>3</v>
      </c>
      <c r="Y818">
        <v>26</v>
      </c>
      <c r="Z818">
        <v>3</v>
      </c>
      <c r="AA818">
        <v>7</v>
      </c>
      <c r="AB818">
        <v>0.7</v>
      </c>
      <c r="AC818" t="s">
        <v>324</v>
      </c>
      <c r="AD818" t="s">
        <v>191</v>
      </c>
      <c r="AE818">
        <v>2.2130000000000001</v>
      </c>
      <c r="AF818" t="s">
        <v>65</v>
      </c>
      <c r="AG818">
        <v>2</v>
      </c>
      <c r="AH818">
        <v>4</v>
      </c>
      <c r="AI818">
        <v>6</v>
      </c>
      <c r="AJ818">
        <v>0.4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4</v>
      </c>
      <c r="AQ818">
        <v>0</v>
      </c>
      <c r="AR818">
        <v>4</v>
      </c>
      <c r="AS818">
        <v>6</v>
      </c>
      <c r="AT818">
        <v>0.4</v>
      </c>
      <c r="AU818">
        <v>6</v>
      </c>
      <c r="AV818">
        <v>4</v>
      </c>
      <c r="AW818">
        <v>9</v>
      </c>
      <c r="AX818">
        <v>7</v>
      </c>
      <c r="AY818">
        <v>3</v>
      </c>
      <c r="AZ818">
        <v>3</v>
      </c>
      <c r="BA818" t="s">
        <v>19020</v>
      </c>
      <c r="BB818" t="s">
        <v>19021</v>
      </c>
      <c r="BC818">
        <v>0.255</v>
      </c>
      <c r="BD818" t="s">
        <v>65</v>
      </c>
      <c r="BE818">
        <v>12</v>
      </c>
      <c r="BF818">
        <v>10</v>
      </c>
      <c r="BG818" t="s">
        <v>19022</v>
      </c>
      <c r="BH818" t="s">
        <v>19023</v>
      </c>
      <c r="BI818" t="s">
        <v>19024</v>
      </c>
      <c r="BJ818">
        <v>0.26124000000000003</v>
      </c>
      <c r="BK818">
        <v>1</v>
      </c>
      <c r="BL818" t="s">
        <v>69</v>
      </c>
      <c r="BM818">
        <v>-0.432</v>
      </c>
      <c r="BN818">
        <v>0.79900000000000004</v>
      </c>
    </row>
    <row r="819" spans="2:66">
      <c r="B819">
        <v>1279</v>
      </c>
      <c r="C819">
        <v>9</v>
      </c>
      <c r="D819">
        <v>0</v>
      </c>
      <c r="E819">
        <v>8</v>
      </c>
      <c r="F819">
        <v>0</v>
      </c>
      <c r="J819">
        <v>0</v>
      </c>
      <c r="K819">
        <v>2</v>
      </c>
      <c r="L819">
        <v>0</v>
      </c>
      <c r="M819" t="s">
        <v>25022</v>
      </c>
      <c r="N819">
        <v>3266</v>
      </c>
      <c r="O819" t="s">
        <v>19046</v>
      </c>
      <c r="P819" t="s">
        <v>62</v>
      </c>
      <c r="Q819">
        <v>3231815</v>
      </c>
      <c r="R819">
        <v>3232429</v>
      </c>
      <c r="S819" t="s">
        <v>19047</v>
      </c>
      <c r="T819">
        <v>205</v>
      </c>
      <c r="U819" t="s">
        <v>2513</v>
      </c>
      <c r="V819">
        <v>43</v>
      </c>
      <c r="W819" t="str">
        <f>HYPERLINK("Gene3266-zp_tree_all.dnd", "Gene3266-tree")</f>
        <v>Gene3266-tree</v>
      </c>
      <c r="X819">
        <v>12</v>
      </c>
      <c r="Y819">
        <v>2</v>
      </c>
      <c r="Z819">
        <v>12</v>
      </c>
      <c r="AA819">
        <v>2</v>
      </c>
      <c r="AB819">
        <v>0.14285999999999999</v>
      </c>
      <c r="AC819" t="s">
        <v>109</v>
      </c>
      <c r="AD819" t="s">
        <v>81</v>
      </c>
      <c r="AE819" t="s">
        <v>62</v>
      </c>
      <c r="AF819" t="s">
        <v>62</v>
      </c>
      <c r="AG819">
        <v>1</v>
      </c>
      <c r="AH819">
        <v>2</v>
      </c>
      <c r="AI819">
        <v>1</v>
      </c>
      <c r="AJ819">
        <v>0.66666999999999998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2</v>
      </c>
      <c r="AQ819">
        <v>0</v>
      </c>
      <c r="AR819">
        <v>2</v>
      </c>
      <c r="AS819">
        <v>0</v>
      </c>
      <c r="AT819">
        <v>1</v>
      </c>
      <c r="AU819">
        <v>8</v>
      </c>
      <c r="AV819">
        <v>6</v>
      </c>
      <c r="AW819">
        <v>22</v>
      </c>
      <c r="AX819">
        <v>2</v>
      </c>
      <c r="AY819">
        <v>8</v>
      </c>
      <c r="AZ819">
        <v>1</v>
      </c>
      <c r="BA819" t="s">
        <v>19048</v>
      </c>
      <c r="BB819" t="s">
        <v>19049</v>
      </c>
      <c r="BC819">
        <v>0.12</v>
      </c>
      <c r="BD819" t="s">
        <v>65</v>
      </c>
      <c r="BE819">
        <v>30</v>
      </c>
      <c r="BF819">
        <v>3</v>
      </c>
      <c r="BG819" t="s">
        <v>19050</v>
      </c>
      <c r="BH819" t="s">
        <v>19051</v>
      </c>
      <c r="BI819" t="s">
        <v>19052</v>
      </c>
      <c r="BJ819">
        <v>4.1869999999999997E-2</v>
      </c>
      <c r="BK819">
        <v>1</v>
      </c>
      <c r="BL819" t="s">
        <v>69</v>
      </c>
      <c r="BM819">
        <v>-1.1659999999999999</v>
      </c>
      <c r="BN819">
        <v>-1.4390000000000001</v>
      </c>
    </row>
    <row r="820" spans="2:66">
      <c r="B820">
        <v>1280</v>
      </c>
      <c r="C820">
        <v>411</v>
      </c>
      <c r="D820">
        <v>2</v>
      </c>
      <c r="E820">
        <v>1</v>
      </c>
      <c r="F820">
        <v>1</v>
      </c>
      <c r="J820">
        <v>0</v>
      </c>
      <c r="K820">
        <v>0</v>
      </c>
      <c r="L820">
        <v>0</v>
      </c>
      <c r="M820" t="s">
        <v>25022</v>
      </c>
      <c r="N820">
        <v>3270</v>
      </c>
      <c r="O820" t="s">
        <v>19074</v>
      </c>
      <c r="P820" t="s">
        <v>62</v>
      </c>
      <c r="Q820">
        <v>3236425</v>
      </c>
      <c r="R820">
        <v>3236979</v>
      </c>
      <c r="S820" t="s">
        <v>6103</v>
      </c>
      <c r="T820">
        <v>185</v>
      </c>
      <c r="U820" t="s">
        <v>59</v>
      </c>
      <c r="V820">
        <v>49</v>
      </c>
      <c r="W820" t="str">
        <f>HYPERLINK("Gene3270-zp_tree_all.dnd", "Gene3270-tree")</f>
        <v>Gene3270-tree</v>
      </c>
      <c r="X820">
        <v>12</v>
      </c>
      <c r="Y820">
        <v>2</v>
      </c>
      <c r="Z820">
        <v>12</v>
      </c>
      <c r="AA820">
        <v>2</v>
      </c>
      <c r="AB820">
        <v>0.14285999999999999</v>
      </c>
      <c r="AC820" t="s">
        <v>109</v>
      </c>
      <c r="AD820" t="s">
        <v>81</v>
      </c>
      <c r="AE820" t="s">
        <v>62</v>
      </c>
      <c r="AF820" t="s">
        <v>62</v>
      </c>
      <c r="AG820">
        <v>0</v>
      </c>
      <c r="AH820">
        <v>0</v>
      </c>
      <c r="AI820">
        <v>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</v>
      </c>
      <c r="AT820">
        <v>0</v>
      </c>
      <c r="AU820">
        <v>11</v>
      </c>
      <c r="AV820">
        <v>7</v>
      </c>
      <c r="AW820">
        <v>15</v>
      </c>
      <c r="AX820">
        <v>3</v>
      </c>
      <c r="AY820">
        <v>26</v>
      </c>
      <c r="AZ820">
        <v>2</v>
      </c>
      <c r="BA820" t="s">
        <v>19075</v>
      </c>
      <c r="BB820" t="s">
        <v>19076</v>
      </c>
      <c r="BC820">
        <v>0.32900000000000001</v>
      </c>
      <c r="BD820" t="s">
        <v>65</v>
      </c>
      <c r="BE820">
        <v>41</v>
      </c>
      <c r="BF820">
        <v>5</v>
      </c>
      <c r="BG820" t="s">
        <v>19077</v>
      </c>
      <c r="BH820" t="s">
        <v>19078</v>
      </c>
      <c r="BI820" t="s">
        <v>19079</v>
      </c>
      <c r="BJ820">
        <v>4.0030000000000003E-2</v>
      </c>
      <c r="BK820">
        <v>1</v>
      </c>
      <c r="BL820" t="s">
        <v>69</v>
      </c>
      <c r="BM820">
        <v>-1.6839999999999999</v>
      </c>
      <c r="BN820">
        <v>-0.59399999999999997</v>
      </c>
    </row>
    <row r="821" spans="2:66">
      <c r="B821">
        <v>1281</v>
      </c>
      <c r="C821">
        <v>308</v>
      </c>
      <c r="D821">
        <v>0</v>
      </c>
      <c r="E821">
        <v>7</v>
      </c>
      <c r="F821">
        <v>0</v>
      </c>
      <c r="J821">
        <v>0</v>
      </c>
      <c r="K821">
        <v>4</v>
      </c>
      <c r="L821">
        <v>0</v>
      </c>
      <c r="M821" t="s">
        <v>25022</v>
      </c>
      <c r="N821">
        <v>3278</v>
      </c>
      <c r="O821" t="s">
        <v>19126</v>
      </c>
      <c r="P821" t="s">
        <v>62</v>
      </c>
      <c r="Q821">
        <v>3246155</v>
      </c>
      <c r="R821">
        <v>3246367</v>
      </c>
      <c r="S821" t="s">
        <v>19127</v>
      </c>
      <c r="T821">
        <v>71</v>
      </c>
      <c r="U821" t="s">
        <v>108</v>
      </c>
      <c r="V821">
        <v>44</v>
      </c>
      <c r="W821" t="str">
        <f>HYPERLINK("Gene3278-zp_tree_all.dnd", "Gene3278-tree")</f>
        <v>Gene3278-tree</v>
      </c>
      <c r="X821">
        <v>1</v>
      </c>
      <c r="Y821">
        <v>7</v>
      </c>
      <c r="Z821">
        <v>1</v>
      </c>
      <c r="AA821">
        <v>7</v>
      </c>
      <c r="AB821">
        <v>0.875</v>
      </c>
      <c r="AC821" t="s">
        <v>175</v>
      </c>
      <c r="AD821" t="s">
        <v>152</v>
      </c>
      <c r="AE821" t="s">
        <v>62</v>
      </c>
      <c r="AF821" t="s">
        <v>62</v>
      </c>
      <c r="AG821">
        <v>2</v>
      </c>
      <c r="AH821">
        <v>4</v>
      </c>
      <c r="AI821">
        <v>6</v>
      </c>
      <c r="AJ821">
        <v>0.4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4</v>
      </c>
      <c r="AQ821">
        <v>0</v>
      </c>
      <c r="AR821">
        <v>4</v>
      </c>
      <c r="AS821">
        <v>6</v>
      </c>
      <c r="AT821">
        <v>0.4</v>
      </c>
      <c r="AU821">
        <v>5</v>
      </c>
      <c r="AV821">
        <v>3</v>
      </c>
      <c r="AW821">
        <v>1</v>
      </c>
      <c r="AX821">
        <v>7</v>
      </c>
      <c r="AY821">
        <v>0</v>
      </c>
      <c r="AZ821">
        <v>3</v>
      </c>
      <c r="BA821" t="s">
        <v>19128</v>
      </c>
      <c r="BB821" t="s">
        <v>193</v>
      </c>
      <c r="BC821">
        <v>0.49299999999999999</v>
      </c>
      <c r="BD821" t="s">
        <v>65</v>
      </c>
      <c r="BE821">
        <v>1</v>
      </c>
      <c r="BF821">
        <v>10</v>
      </c>
      <c r="BG821" t="s">
        <v>19129</v>
      </c>
      <c r="BH821" t="s">
        <v>19130</v>
      </c>
      <c r="BI821" t="s">
        <v>19131</v>
      </c>
      <c r="BJ821">
        <v>3.2712500000000002</v>
      </c>
      <c r="BK821">
        <v>6.2E-2</v>
      </c>
      <c r="BL821" t="s">
        <v>635</v>
      </c>
      <c r="BM821">
        <v>4.8000000000000001E-2</v>
      </c>
      <c r="BN821">
        <v>-0.56599999999999995</v>
      </c>
    </row>
    <row r="822" spans="2:66">
      <c r="B822">
        <v>1282</v>
      </c>
      <c r="C822">
        <v>30</v>
      </c>
      <c r="D822">
        <v>3</v>
      </c>
      <c r="E822">
        <v>50</v>
      </c>
      <c r="F822">
        <v>7</v>
      </c>
      <c r="J822">
        <v>0</v>
      </c>
      <c r="K822">
        <v>6</v>
      </c>
      <c r="L822">
        <v>0</v>
      </c>
      <c r="M822" t="s">
        <v>25022</v>
      </c>
      <c r="N822">
        <v>3286</v>
      </c>
      <c r="O822" t="s">
        <v>19178</v>
      </c>
      <c r="P822" t="s">
        <v>62</v>
      </c>
      <c r="Q822">
        <v>3252408</v>
      </c>
      <c r="R822">
        <v>3252785</v>
      </c>
      <c r="S822" t="s">
        <v>19179</v>
      </c>
      <c r="T822">
        <v>126</v>
      </c>
      <c r="U822" t="s">
        <v>108</v>
      </c>
      <c r="V822">
        <v>44</v>
      </c>
      <c r="W822" t="str">
        <f>HYPERLINK("Gene3286-zp_tree_all.dnd", "Gene3286-tree")</f>
        <v>Gene3286-tree</v>
      </c>
      <c r="X822">
        <v>10</v>
      </c>
      <c r="Y822">
        <v>5</v>
      </c>
      <c r="Z822">
        <v>10</v>
      </c>
      <c r="AA822">
        <v>5</v>
      </c>
      <c r="AB822">
        <v>0.33333000000000002</v>
      </c>
      <c r="AC822" t="s">
        <v>117</v>
      </c>
      <c r="AD822" t="s">
        <v>199</v>
      </c>
      <c r="AE822" t="s">
        <v>62</v>
      </c>
      <c r="AF822" t="s">
        <v>62</v>
      </c>
      <c r="AG822">
        <v>2</v>
      </c>
      <c r="AH822">
        <v>6</v>
      </c>
      <c r="AI822">
        <v>7</v>
      </c>
      <c r="AJ822">
        <v>0.46154000000000001</v>
      </c>
      <c r="AK822">
        <v>0</v>
      </c>
      <c r="AL822">
        <v>0</v>
      </c>
      <c r="AM822">
        <v>0</v>
      </c>
      <c r="AN822">
        <v>3</v>
      </c>
      <c r="AO822">
        <v>0</v>
      </c>
      <c r="AP822">
        <v>2</v>
      </c>
      <c r="AQ822">
        <v>0</v>
      </c>
      <c r="AR822">
        <v>2</v>
      </c>
      <c r="AS822">
        <v>7</v>
      </c>
      <c r="AT822">
        <v>0.22222</v>
      </c>
      <c r="AU822">
        <v>9</v>
      </c>
      <c r="AV822">
        <v>8</v>
      </c>
      <c r="AW822">
        <v>19</v>
      </c>
      <c r="AX822">
        <v>9</v>
      </c>
      <c r="AY822">
        <v>16</v>
      </c>
      <c r="AZ822">
        <v>4</v>
      </c>
      <c r="BA822" t="s">
        <v>19180</v>
      </c>
      <c r="BB822" t="s">
        <v>19181</v>
      </c>
      <c r="BC822">
        <v>0.58099999999999996</v>
      </c>
      <c r="BD822" t="s">
        <v>65</v>
      </c>
      <c r="BE822">
        <v>35</v>
      </c>
      <c r="BF822">
        <v>13</v>
      </c>
      <c r="BG822" t="s">
        <v>19182</v>
      </c>
      <c r="BH822" t="s">
        <v>19183</v>
      </c>
      <c r="BI822" t="s">
        <v>19184</v>
      </c>
      <c r="BJ822">
        <v>8.5889999999999994E-2</v>
      </c>
      <c r="BK822">
        <v>1</v>
      </c>
      <c r="BL822" t="s">
        <v>69</v>
      </c>
      <c r="BM822">
        <v>0.33800000000000002</v>
      </c>
      <c r="BN822">
        <v>-0.11700000000000001</v>
      </c>
    </row>
    <row r="823" spans="2:66">
      <c r="B823">
        <v>1283</v>
      </c>
      <c r="C823">
        <v>33</v>
      </c>
      <c r="D823">
        <v>3</v>
      </c>
      <c r="E823">
        <v>17</v>
      </c>
      <c r="F823">
        <v>3</v>
      </c>
      <c r="J823">
        <v>0</v>
      </c>
      <c r="K823">
        <v>0</v>
      </c>
      <c r="L823">
        <v>0</v>
      </c>
      <c r="M823" t="s">
        <v>25022</v>
      </c>
      <c r="N823">
        <v>3287</v>
      </c>
      <c r="O823" t="s">
        <v>19185</v>
      </c>
      <c r="P823" t="s">
        <v>62</v>
      </c>
      <c r="Q823">
        <v>3252807</v>
      </c>
      <c r="R823">
        <v>3253448</v>
      </c>
      <c r="S823" t="s">
        <v>19186</v>
      </c>
      <c r="T823">
        <v>214</v>
      </c>
      <c r="U823" t="s">
        <v>59</v>
      </c>
      <c r="V823">
        <v>49</v>
      </c>
      <c r="W823" t="str">
        <f>HYPERLINK("Gene3287-zp_tree_all.dnd", "Gene3287-tree")</f>
        <v>Gene3287-tree</v>
      </c>
      <c r="X823">
        <v>16</v>
      </c>
      <c r="Y823">
        <v>3</v>
      </c>
      <c r="Z823">
        <v>16</v>
      </c>
      <c r="AA823">
        <v>3</v>
      </c>
      <c r="AB823">
        <v>0.15789</v>
      </c>
      <c r="AC823" t="s">
        <v>60</v>
      </c>
      <c r="AD823" t="s">
        <v>324</v>
      </c>
      <c r="AE823" t="s">
        <v>62</v>
      </c>
      <c r="AF823" t="s">
        <v>62</v>
      </c>
      <c r="AG823">
        <v>0</v>
      </c>
      <c r="AH823">
        <v>0</v>
      </c>
      <c r="AI823">
        <v>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3</v>
      </c>
      <c r="AT823">
        <v>0</v>
      </c>
      <c r="AU823">
        <v>14</v>
      </c>
      <c r="AV823">
        <v>11</v>
      </c>
      <c r="AW823">
        <v>21</v>
      </c>
      <c r="AX823">
        <v>3</v>
      </c>
      <c r="AY823">
        <v>19</v>
      </c>
      <c r="AZ823">
        <v>0</v>
      </c>
      <c r="BA823" t="s">
        <v>19187</v>
      </c>
      <c r="BB823" t="s">
        <v>193</v>
      </c>
      <c r="BC823">
        <v>0.82099999999999995</v>
      </c>
      <c r="BD823" t="s">
        <v>65</v>
      </c>
      <c r="BE823">
        <v>40</v>
      </c>
      <c r="BF823">
        <v>3</v>
      </c>
      <c r="BG823" t="s">
        <v>19188</v>
      </c>
      <c r="BH823" t="s">
        <v>19189</v>
      </c>
      <c r="BI823" t="s">
        <v>19190</v>
      </c>
      <c r="BJ823">
        <v>1.179E-2</v>
      </c>
      <c r="BK823">
        <v>1</v>
      </c>
      <c r="BL823" t="s">
        <v>69</v>
      </c>
      <c r="BM823">
        <v>-1.556</v>
      </c>
      <c r="BN823">
        <v>-1.97</v>
      </c>
    </row>
    <row r="824" spans="2:66">
      <c r="B824">
        <v>1284</v>
      </c>
      <c r="C824">
        <v>217</v>
      </c>
      <c r="D824">
        <v>0</v>
      </c>
      <c r="E824">
        <v>2</v>
      </c>
      <c r="F824">
        <v>0</v>
      </c>
      <c r="J824">
        <v>0</v>
      </c>
      <c r="K824">
        <v>0</v>
      </c>
      <c r="L824">
        <v>0</v>
      </c>
      <c r="M824" t="s">
        <v>25022</v>
      </c>
      <c r="N824">
        <v>3288</v>
      </c>
      <c r="O824" t="s">
        <v>19191</v>
      </c>
      <c r="P824" t="s">
        <v>62</v>
      </c>
      <c r="Q824">
        <v>3253532</v>
      </c>
      <c r="R824">
        <v>3255838</v>
      </c>
      <c r="S824" t="s">
        <v>3074</v>
      </c>
      <c r="T824">
        <v>769</v>
      </c>
      <c r="U824" t="s">
        <v>4415</v>
      </c>
      <c r="V824">
        <v>19</v>
      </c>
      <c r="W824" t="str">
        <f>HYPERLINK("Gene3288-zp_tree_all.dnd", "Gene3288-tree")</f>
        <v>Gene3288-tree</v>
      </c>
      <c r="X824">
        <v>1</v>
      </c>
      <c r="Y824">
        <v>3</v>
      </c>
      <c r="Z824">
        <v>1</v>
      </c>
      <c r="AA824">
        <v>3</v>
      </c>
      <c r="AB824">
        <v>0.75</v>
      </c>
      <c r="AC824" t="s">
        <v>175</v>
      </c>
      <c r="AD824" t="s">
        <v>324</v>
      </c>
      <c r="AE824" t="s">
        <v>62</v>
      </c>
      <c r="AF824" t="s">
        <v>62</v>
      </c>
      <c r="AG824">
        <v>0</v>
      </c>
      <c r="AH824">
        <v>0</v>
      </c>
      <c r="AI824">
        <v>3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</v>
      </c>
      <c r="AT824">
        <v>0</v>
      </c>
      <c r="AU824">
        <v>3</v>
      </c>
      <c r="AV824">
        <v>1</v>
      </c>
      <c r="AW824">
        <v>5</v>
      </c>
      <c r="AX824">
        <v>2</v>
      </c>
      <c r="AY824">
        <v>0</v>
      </c>
      <c r="AZ824">
        <v>1</v>
      </c>
      <c r="BA824" t="s">
        <v>19192</v>
      </c>
      <c r="BB824" t="s">
        <v>193</v>
      </c>
      <c r="BC824">
        <v>0.69299999999999995</v>
      </c>
      <c r="BD824" t="s">
        <v>65</v>
      </c>
      <c r="BE824">
        <v>5</v>
      </c>
      <c r="BF824">
        <v>3</v>
      </c>
      <c r="BG824" t="s">
        <v>19193</v>
      </c>
      <c r="BH824" t="s">
        <v>19194</v>
      </c>
      <c r="BI824" t="s">
        <v>19195</v>
      </c>
      <c r="BJ824">
        <v>0.18878</v>
      </c>
      <c r="BK824">
        <v>0.98699999999999999</v>
      </c>
      <c r="BL824" t="s">
        <v>69</v>
      </c>
      <c r="BM824">
        <v>-2.0219999999999998</v>
      </c>
      <c r="BN824">
        <v>-2.552</v>
      </c>
    </row>
    <row r="825" spans="2:66">
      <c r="B825">
        <v>1285</v>
      </c>
      <c r="C825">
        <v>88</v>
      </c>
      <c r="D825">
        <v>0</v>
      </c>
      <c r="E825">
        <v>7</v>
      </c>
      <c r="F825">
        <v>2</v>
      </c>
      <c r="J825">
        <v>0</v>
      </c>
      <c r="K825">
        <v>0</v>
      </c>
      <c r="L825">
        <v>0</v>
      </c>
      <c r="M825" t="s">
        <v>25022</v>
      </c>
      <c r="N825">
        <v>3289</v>
      </c>
      <c r="O825" t="s">
        <v>19196</v>
      </c>
      <c r="P825" t="s">
        <v>62</v>
      </c>
      <c r="Q825">
        <v>3255856</v>
      </c>
      <c r="R825">
        <v>3256020</v>
      </c>
      <c r="S825" t="s">
        <v>19197</v>
      </c>
      <c r="T825">
        <v>55</v>
      </c>
      <c r="U825" t="s">
        <v>19198</v>
      </c>
      <c r="V825">
        <v>21</v>
      </c>
      <c r="W825" t="str">
        <f>HYPERLINK("Gene3289-zp_tree_all.dnd", "Gene3289-tree")</f>
        <v>Gene3289-tree</v>
      </c>
      <c r="X825">
        <v>2</v>
      </c>
      <c r="Y825">
        <v>2</v>
      </c>
      <c r="Z825">
        <v>2</v>
      </c>
      <c r="AA825">
        <v>2</v>
      </c>
      <c r="AB825">
        <v>0.5</v>
      </c>
      <c r="AC825" t="s">
        <v>81</v>
      </c>
      <c r="AD825" t="s">
        <v>81</v>
      </c>
      <c r="AE825" t="s">
        <v>62</v>
      </c>
      <c r="AF825" t="s">
        <v>62</v>
      </c>
      <c r="AG825">
        <v>0</v>
      </c>
      <c r="AH825">
        <v>0</v>
      </c>
      <c r="AI825">
        <v>6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6</v>
      </c>
      <c r="AT825">
        <v>0</v>
      </c>
      <c r="AU825">
        <v>3</v>
      </c>
      <c r="AV825">
        <v>0</v>
      </c>
      <c r="AW825">
        <v>4</v>
      </c>
      <c r="AX825">
        <v>7</v>
      </c>
      <c r="AY825">
        <v>0</v>
      </c>
      <c r="AZ825">
        <v>0</v>
      </c>
      <c r="BA825" t="s">
        <v>19199</v>
      </c>
      <c r="BB825" t="s">
        <v>193</v>
      </c>
      <c r="BC825">
        <v>1.226</v>
      </c>
      <c r="BD825" t="s">
        <v>65</v>
      </c>
      <c r="BE825">
        <v>4</v>
      </c>
      <c r="BF825">
        <v>7</v>
      </c>
      <c r="BG825" t="s">
        <v>19200</v>
      </c>
      <c r="BH825" t="s">
        <v>19201</v>
      </c>
      <c r="BI825" t="s">
        <v>19202</v>
      </c>
      <c r="BJ825">
        <v>0.54612000000000005</v>
      </c>
      <c r="BK825">
        <v>0.84399999999999997</v>
      </c>
      <c r="BL825" t="s">
        <v>635</v>
      </c>
      <c r="BM825">
        <v>-2.302</v>
      </c>
      <c r="BN825">
        <v>-3.4870000000000001</v>
      </c>
    </row>
    <row r="826" spans="2:66">
      <c r="B826">
        <v>1287</v>
      </c>
      <c r="C826">
        <v>100</v>
      </c>
      <c r="D826">
        <v>0</v>
      </c>
      <c r="E826">
        <v>2</v>
      </c>
      <c r="F826">
        <v>0</v>
      </c>
      <c r="J826">
        <v>0</v>
      </c>
      <c r="K826">
        <v>0</v>
      </c>
      <c r="L826">
        <v>0</v>
      </c>
      <c r="M826" t="s">
        <v>25022</v>
      </c>
      <c r="N826">
        <v>3291</v>
      </c>
      <c r="O826" t="s">
        <v>19203</v>
      </c>
      <c r="P826" t="s">
        <v>62</v>
      </c>
      <c r="Q826">
        <v>3257095</v>
      </c>
      <c r="R826">
        <v>3257232</v>
      </c>
      <c r="S826" t="s">
        <v>19204</v>
      </c>
      <c r="T826">
        <v>46</v>
      </c>
      <c r="U826" t="s">
        <v>59</v>
      </c>
      <c r="V826">
        <v>49</v>
      </c>
      <c r="W826" t="str">
        <f>HYPERLINK("Gene3291-zp_tree_all.dnd", "Gene3291-tree")</f>
        <v>Gene3291-tree</v>
      </c>
      <c r="X826">
        <v>4</v>
      </c>
      <c r="Y826">
        <v>0</v>
      </c>
      <c r="Z826">
        <v>4</v>
      </c>
      <c r="AA826">
        <v>0</v>
      </c>
      <c r="AB826">
        <v>0</v>
      </c>
      <c r="AC826" t="s">
        <v>61</v>
      </c>
      <c r="AD826" t="s">
        <v>62</v>
      </c>
      <c r="AE826" t="s">
        <v>62</v>
      </c>
      <c r="AF826" t="s">
        <v>62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2</v>
      </c>
      <c r="AV826">
        <v>1</v>
      </c>
      <c r="AW826">
        <v>2</v>
      </c>
      <c r="AX826">
        <v>0</v>
      </c>
      <c r="AY826">
        <v>1</v>
      </c>
      <c r="AZ826">
        <v>0</v>
      </c>
      <c r="BA826" t="s">
        <v>193</v>
      </c>
      <c r="BB826" t="s">
        <v>193</v>
      </c>
      <c r="BC826">
        <v>0</v>
      </c>
      <c r="BD826" t="s">
        <v>65</v>
      </c>
      <c r="BE826">
        <v>3</v>
      </c>
      <c r="BF826">
        <v>0</v>
      </c>
      <c r="BG826" t="s">
        <v>19205</v>
      </c>
      <c r="BH826" t="s">
        <v>19206</v>
      </c>
      <c r="BI826" t="s">
        <v>193</v>
      </c>
      <c r="BJ826">
        <v>0</v>
      </c>
      <c r="BK826">
        <v>1</v>
      </c>
      <c r="BL826" t="s">
        <v>69</v>
      </c>
      <c r="BM826">
        <v>-0.78</v>
      </c>
      <c r="BN826">
        <v>0.89400000000000002</v>
      </c>
    </row>
    <row r="827" spans="2:66">
      <c r="B827">
        <v>1290</v>
      </c>
      <c r="C827">
        <v>312</v>
      </c>
      <c r="D827">
        <v>0</v>
      </c>
      <c r="E827">
        <v>12</v>
      </c>
      <c r="F827">
        <v>0</v>
      </c>
      <c r="J827">
        <v>0</v>
      </c>
      <c r="K827">
        <v>0</v>
      </c>
      <c r="L827">
        <v>2</v>
      </c>
      <c r="M827" t="s">
        <v>25022</v>
      </c>
      <c r="N827">
        <v>3293</v>
      </c>
      <c r="O827" t="s">
        <v>19215</v>
      </c>
      <c r="P827" t="s">
        <v>62</v>
      </c>
      <c r="Q827">
        <v>3258040</v>
      </c>
      <c r="R827">
        <v>3259266</v>
      </c>
      <c r="S827" t="s">
        <v>19216</v>
      </c>
      <c r="T827">
        <v>409</v>
      </c>
      <c r="U827" t="s">
        <v>160</v>
      </c>
      <c r="V827">
        <v>45</v>
      </c>
      <c r="W827" t="str">
        <f>HYPERLINK("Gene3293-zp_tree_all.dnd", "Gene3293-tree")</f>
        <v>Gene3293-tree</v>
      </c>
      <c r="X827">
        <v>11</v>
      </c>
      <c r="Y827">
        <v>7</v>
      </c>
      <c r="Z827">
        <v>11</v>
      </c>
      <c r="AA827">
        <v>7</v>
      </c>
      <c r="AB827">
        <v>0.38889000000000001</v>
      </c>
      <c r="AC827" t="s">
        <v>73</v>
      </c>
      <c r="AD827" t="s">
        <v>152</v>
      </c>
      <c r="AE827" t="s">
        <v>62</v>
      </c>
      <c r="AF827" t="s">
        <v>62</v>
      </c>
      <c r="AG827">
        <v>1</v>
      </c>
      <c r="AH827">
        <v>2</v>
      </c>
      <c r="AI827">
        <v>19</v>
      </c>
      <c r="AJ827">
        <v>9.5240000000000005E-2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2</v>
      </c>
      <c r="AR827">
        <v>2</v>
      </c>
      <c r="AS827">
        <v>17</v>
      </c>
      <c r="AT827">
        <v>0.10526000000000001</v>
      </c>
      <c r="AU827">
        <v>13</v>
      </c>
      <c r="AV827">
        <v>11</v>
      </c>
      <c r="AW827">
        <v>76</v>
      </c>
      <c r="AX827">
        <v>18</v>
      </c>
      <c r="AY827">
        <v>17</v>
      </c>
      <c r="AZ827">
        <v>5</v>
      </c>
      <c r="BA827" t="s">
        <v>19217</v>
      </c>
      <c r="BB827" t="s">
        <v>19218</v>
      </c>
      <c r="BC827">
        <v>0.125</v>
      </c>
      <c r="BD827" t="s">
        <v>65</v>
      </c>
      <c r="BE827">
        <v>93</v>
      </c>
      <c r="BF827">
        <v>23</v>
      </c>
      <c r="BG827" t="s">
        <v>19219</v>
      </c>
      <c r="BH827" t="s">
        <v>19220</v>
      </c>
      <c r="BI827" t="s">
        <v>19221</v>
      </c>
      <c r="BJ827">
        <v>7.4310000000000001E-2</v>
      </c>
      <c r="BK827">
        <v>1</v>
      </c>
      <c r="BL827" t="s">
        <v>69</v>
      </c>
      <c r="BM827">
        <v>-2.0219999999999998</v>
      </c>
      <c r="BN827">
        <v>-4.3090000000000002</v>
      </c>
    </row>
    <row r="828" spans="2:66">
      <c r="B828">
        <v>1291</v>
      </c>
      <c r="C828">
        <v>32</v>
      </c>
      <c r="D828">
        <v>0</v>
      </c>
      <c r="E828">
        <v>2</v>
      </c>
      <c r="F828">
        <v>0</v>
      </c>
      <c r="J828">
        <v>0</v>
      </c>
      <c r="K828">
        <v>0</v>
      </c>
      <c r="L828">
        <v>0</v>
      </c>
      <c r="M828" t="s">
        <v>25022</v>
      </c>
      <c r="N828">
        <v>3294</v>
      </c>
      <c r="O828" t="s">
        <v>19222</v>
      </c>
      <c r="P828" t="s">
        <v>62</v>
      </c>
      <c r="Q828">
        <v>3259406</v>
      </c>
      <c r="R828">
        <v>3260875</v>
      </c>
      <c r="S828" t="s">
        <v>19223</v>
      </c>
      <c r="T828">
        <v>490</v>
      </c>
      <c r="U828" t="s">
        <v>1607</v>
      </c>
      <c r="V828">
        <v>47</v>
      </c>
      <c r="W828" t="str">
        <f>HYPERLINK("Gene3294-zp_tree_all.dnd", "Gene3294-tree")</f>
        <v>Gene3294-tree</v>
      </c>
      <c r="X828">
        <v>15</v>
      </c>
      <c r="Y828">
        <v>6</v>
      </c>
      <c r="Z828">
        <v>15</v>
      </c>
      <c r="AA828">
        <v>6</v>
      </c>
      <c r="AB828">
        <v>0.28571000000000002</v>
      </c>
      <c r="AC828" t="s">
        <v>100</v>
      </c>
      <c r="AD828" t="s">
        <v>90</v>
      </c>
      <c r="AE828" t="s">
        <v>62</v>
      </c>
      <c r="AF828" t="s">
        <v>62</v>
      </c>
      <c r="AG828">
        <v>0</v>
      </c>
      <c r="AH828">
        <v>0</v>
      </c>
      <c r="AI828">
        <v>10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8</v>
      </c>
      <c r="AT828">
        <v>0</v>
      </c>
      <c r="AU828">
        <v>18</v>
      </c>
      <c r="AV828">
        <v>12</v>
      </c>
      <c r="AW828">
        <v>88</v>
      </c>
      <c r="AX828">
        <v>8</v>
      </c>
      <c r="AY828">
        <v>76</v>
      </c>
      <c r="AZ828">
        <v>2</v>
      </c>
      <c r="BA828" t="s">
        <v>19224</v>
      </c>
      <c r="BB828" t="s">
        <v>19225</v>
      </c>
      <c r="BC828">
        <v>0.436</v>
      </c>
      <c r="BD828" t="s">
        <v>65</v>
      </c>
      <c r="BE828">
        <v>164</v>
      </c>
      <c r="BF828">
        <v>10</v>
      </c>
      <c r="BG828" t="s">
        <v>19226</v>
      </c>
      <c r="BH828" t="s">
        <v>19227</v>
      </c>
      <c r="BI828" t="s">
        <v>19228</v>
      </c>
      <c r="BJ828">
        <v>1.3979999999999999E-2</v>
      </c>
      <c r="BK828">
        <v>1</v>
      </c>
      <c r="BL828" t="s">
        <v>69</v>
      </c>
      <c r="BM828">
        <v>-1.95</v>
      </c>
      <c r="BN828">
        <v>-2.367</v>
      </c>
    </row>
    <row r="829" spans="2:66">
      <c r="B829">
        <v>1292</v>
      </c>
      <c r="C829">
        <v>87</v>
      </c>
      <c r="D829">
        <v>0</v>
      </c>
      <c r="E829">
        <v>6</v>
      </c>
      <c r="F829">
        <v>0</v>
      </c>
      <c r="J829">
        <v>0</v>
      </c>
      <c r="K829">
        <v>2</v>
      </c>
      <c r="L829">
        <v>2</v>
      </c>
      <c r="M829" t="s">
        <v>25022</v>
      </c>
      <c r="N829">
        <v>3295</v>
      </c>
      <c r="O829" t="s">
        <v>19229</v>
      </c>
      <c r="P829" t="s">
        <v>62</v>
      </c>
      <c r="Q829">
        <v>3260894</v>
      </c>
      <c r="R829">
        <v>3261442</v>
      </c>
      <c r="S829" t="s">
        <v>19230</v>
      </c>
      <c r="T829">
        <v>183</v>
      </c>
      <c r="U829" t="s">
        <v>59</v>
      </c>
      <c r="V829">
        <v>49</v>
      </c>
      <c r="W829" t="str">
        <f>HYPERLINK("Gene3295-zp_tree_all.dnd", "Gene3295-tree")</f>
        <v>Gene3295-tree</v>
      </c>
      <c r="X829">
        <v>10</v>
      </c>
      <c r="Y829">
        <v>6</v>
      </c>
      <c r="Z829">
        <v>10</v>
      </c>
      <c r="AA829">
        <v>6</v>
      </c>
      <c r="AB829">
        <v>0.375</v>
      </c>
      <c r="AC829" t="s">
        <v>117</v>
      </c>
      <c r="AD829" t="s">
        <v>90</v>
      </c>
      <c r="AE829" t="s">
        <v>62</v>
      </c>
      <c r="AF829" t="s">
        <v>62</v>
      </c>
      <c r="AG829">
        <v>2</v>
      </c>
      <c r="AH829">
        <v>4</v>
      </c>
      <c r="AI829">
        <v>8</v>
      </c>
      <c r="AJ829">
        <v>0.33333000000000002</v>
      </c>
      <c r="AK829">
        <v>0</v>
      </c>
      <c r="AL829">
        <v>0</v>
      </c>
      <c r="AM829">
        <v>0</v>
      </c>
      <c r="AN829">
        <v>3</v>
      </c>
      <c r="AO829">
        <v>0</v>
      </c>
      <c r="AP829">
        <v>0</v>
      </c>
      <c r="AQ829">
        <v>2</v>
      </c>
      <c r="AR829">
        <v>2</v>
      </c>
      <c r="AS829">
        <v>5</v>
      </c>
      <c r="AT829">
        <v>0.28571000000000002</v>
      </c>
      <c r="AU829">
        <v>11</v>
      </c>
      <c r="AV829">
        <v>9</v>
      </c>
      <c r="AW829">
        <v>12</v>
      </c>
      <c r="AX829">
        <v>7</v>
      </c>
      <c r="AY829">
        <v>20</v>
      </c>
      <c r="AZ829">
        <v>5</v>
      </c>
      <c r="BA829" t="s">
        <v>19231</v>
      </c>
      <c r="BB829" t="s">
        <v>19232</v>
      </c>
      <c r="BC829">
        <v>0.94699999999999995</v>
      </c>
      <c r="BD829" t="s">
        <v>65</v>
      </c>
      <c r="BE829">
        <v>32</v>
      </c>
      <c r="BF829">
        <v>12</v>
      </c>
      <c r="BG829" t="s">
        <v>19233</v>
      </c>
      <c r="BH829" t="s">
        <v>19234</v>
      </c>
      <c r="BI829" t="s">
        <v>19235</v>
      </c>
      <c r="BJ829">
        <v>8.2629999999999995E-2</v>
      </c>
      <c r="BK829">
        <v>1</v>
      </c>
      <c r="BL829" t="s">
        <v>69</v>
      </c>
      <c r="BM829">
        <v>-0.99299999999999999</v>
      </c>
      <c r="BN829">
        <v>-0.69899999999999995</v>
      </c>
    </row>
    <row r="830" spans="2:66">
      <c r="B830">
        <v>1294</v>
      </c>
      <c r="C830">
        <v>133</v>
      </c>
      <c r="D830">
        <v>0</v>
      </c>
      <c r="E830">
        <v>2</v>
      </c>
      <c r="F830">
        <v>0</v>
      </c>
      <c r="J830">
        <v>0</v>
      </c>
      <c r="K830">
        <v>0</v>
      </c>
      <c r="L830">
        <v>0</v>
      </c>
      <c r="M830" t="s">
        <v>25022</v>
      </c>
      <c r="N830">
        <v>3296</v>
      </c>
      <c r="O830" t="s">
        <v>19236</v>
      </c>
      <c r="P830" t="s">
        <v>62</v>
      </c>
      <c r="Q830">
        <v>3261542</v>
      </c>
      <c r="R830">
        <v>3261937</v>
      </c>
      <c r="S830" t="s">
        <v>116</v>
      </c>
      <c r="T830">
        <v>132</v>
      </c>
      <c r="U830" t="s">
        <v>108</v>
      </c>
      <c r="V830">
        <v>44</v>
      </c>
      <c r="W830" t="str">
        <f>HYPERLINK("Gene3296-zp_tree_all.dnd", "Gene3296-tree")</f>
        <v>Gene3296-tree</v>
      </c>
      <c r="X830">
        <v>5</v>
      </c>
      <c r="Y830">
        <v>5</v>
      </c>
      <c r="Z830">
        <v>5</v>
      </c>
      <c r="AA830">
        <v>5</v>
      </c>
      <c r="AB830">
        <v>0.5</v>
      </c>
      <c r="AC830" t="s">
        <v>199</v>
      </c>
      <c r="AD830" t="s">
        <v>199</v>
      </c>
      <c r="AE830" t="s">
        <v>62</v>
      </c>
      <c r="AF830" t="s">
        <v>62</v>
      </c>
      <c r="AG830">
        <v>0</v>
      </c>
      <c r="AH830">
        <v>0</v>
      </c>
      <c r="AI830">
        <v>9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6</v>
      </c>
      <c r="AT830">
        <v>0</v>
      </c>
      <c r="AU830">
        <v>9</v>
      </c>
      <c r="AV830">
        <v>4</v>
      </c>
      <c r="AW830">
        <v>17</v>
      </c>
      <c r="AX830">
        <v>6</v>
      </c>
      <c r="AY830">
        <v>5</v>
      </c>
      <c r="AZ830">
        <v>3</v>
      </c>
      <c r="BA830" t="s">
        <v>19237</v>
      </c>
      <c r="BB830" t="s">
        <v>19238</v>
      </c>
      <c r="BC830">
        <v>0.88400000000000001</v>
      </c>
      <c r="BD830" t="s">
        <v>65</v>
      </c>
      <c r="BE830">
        <v>22</v>
      </c>
      <c r="BF830">
        <v>9</v>
      </c>
      <c r="BG830" t="s">
        <v>19239</v>
      </c>
      <c r="BH830" t="s">
        <v>19240</v>
      </c>
      <c r="BI830" t="s">
        <v>19241</v>
      </c>
      <c r="BJ830">
        <v>0.15756000000000001</v>
      </c>
      <c r="BK830">
        <v>1</v>
      </c>
      <c r="BL830" t="s">
        <v>69</v>
      </c>
      <c r="BM830">
        <v>1.2130000000000001</v>
      </c>
      <c r="BN830">
        <v>0.50600000000000001</v>
      </c>
    </row>
    <row r="831" spans="2:66">
      <c r="B831">
        <v>1296</v>
      </c>
      <c r="C831">
        <v>55</v>
      </c>
      <c r="D831">
        <v>0</v>
      </c>
      <c r="E831">
        <v>2</v>
      </c>
      <c r="F831">
        <v>1</v>
      </c>
      <c r="J831">
        <v>0</v>
      </c>
      <c r="K831">
        <v>0</v>
      </c>
      <c r="L831">
        <v>3</v>
      </c>
      <c r="M831" t="s">
        <v>25022</v>
      </c>
      <c r="N831">
        <v>3297</v>
      </c>
      <c r="O831" t="s">
        <v>19242</v>
      </c>
      <c r="P831" t="s">
        <v>62</v>
      </c>
      <c r="Q831">
        <v>3262012</v>
      </c>
      <c r="R831">
        <v>3262257</v>
      </c>
      <c r="S831" t="s">
        <v>288</v>
      </c>
      <c r="T831">
        <v>82</v>
      </c>
      <c r="U831" t="s">
        <v>7691</v>
      </c>
      <c r="V831">
        <v>46</v>
      </c>
      <c r="W831" t="str">
        <f>HYPERLINK("Gene3297-zp_tree_all.dnd", "Gene3297-tree")</f>
        <v>Gene3297-tree</v>
      </c>
      <c r="X831">
        <v>37</v>
      </c>
      <c r="Y831">
        <v>7</v>
      </c>
      <c r="Z831">
        <v>2</v>
      </c>
      <c r="AA831">
        <v>7</v>
      </c>
      <c r="AB831">
        <v>0.77778000000000003</v>
      </c>
      <c r="AC831" t="s">
        <v>19243</v>
      </c>
      <c r="AD831" t="s">
        <v>152</v>
      </c>
      <c r="AE831" t="s">
        <v>62</v>
      </c>
      <c r="AF831" t="s">
        <v>62</v>
      </c>
      <c r="AG831">
        <v>1</v>
      </c>
      <c r="AH831">
        <v>3</v>
      </c>
      <c r="AI831">
        <v>8</v>
      </c>
      <c r="AJ831">
        <v>0.27272999999999997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8</v>
      </c>
      <c r="AT831">
        <v>0</v>
      </c>
      <c r="AU831">
        <v>7</v>
      </c>
      <c r="AV831">
        <v>3</v>
      </c>
      <c r="AW831">
        <v>4</v>
      </c>
      <c r="AX831">
        <v>8</v>
      </c>
      <c r="AY831">
        <v>6</v>
      </c>
      <c r="AZ831">
        <v>4</v>
      </c>
      <c r="BA831" t="s">
        <v>19244</v>
      </c>
      <c r="BB831" t="s">
        <v>19245</v>
      </c>
      <c r="BC831">
        <v>0.81399999999999995</v>
      </c>
      <c r="BD831" t="s">
        <v>65</v>
      </c>
      <c r="BE831">
        <v>10</v>
      </c>
      <c r="BF831">
        <v>12</v>
      </c>
      <c r="BG831" t="s">
        <v>19246</v>
      </c>
      <c r="BH831" t="s">
        <v>19247</v>
      </c>
      <c r="BI831" t="s">
        <v>19248</v>
      </c>
      <c r="BJ831">
        <v>0.24203</v>
      </c>
      <c r="BK831">
        <v>1</v>
      </c>
      <c r="BL831" t="s">
        <v>69</v>
      </c>
      <c r="BM831">
        <v>-2.1909999999999998</v>
      </c>
      <c r="BN831">
        <v>-2.1230000000000002</v>
      </c>
    </row>
    <row r="832" spans="2:66">
      <c r="B832">
        <v>1298</v>
      </c>
      <c r="C832">
        <v>102</v>
      </c>
      <c r="D832">
        <v>0</v>
      </c>
      <c r="E832">
        <v>9</v>
      </c>
      <c r="F832">
        <v>0</v>
      </c>
      <c r="J832">
        <v>0</v>
      </c>
      <c r="K832">
        <v>0</v>
      </c>
      <c r="L832">
        <v>0</v>
      </c>
      <c r="M832" t="s">
        <v>25022</v>
      </c>
      <c r="N832">
        <v>3298</v>
      </c>
      <c r="O832" t="s">
        <v>19249</v>
      </c>
      <c r="P832" t="s">
        <v>62</v>
      </c>
      <c r="Q832">
        <v>3262333</v>
      </c>
      <c r="R832">
        <v>3262551</v>
      </c>
      <c r="S832" t="s">
        <v>5053</v>
      </c>
      <c r="T832">
        <v>73</v>
      </c>
      <c r="U832" t="s">
        <v>108</v>
      </c>
      <c r="V832">
        <v>44</v>
      </c>
      <c r="W832" t="str">
        <f>HYPERLINK("Gene3298-zp_tree_all.dnd", "Gene3298-tree")</f>
        <v>Gene3298-tree</v>
      </c>
      <c r="X832">
        <v>5</v>
      </c>
      <c r="Y832">
        <v>2</v>
      </c>
      <c r="Z832">
        <v>5</v>
      </c>
      <c r="AA832">
        <v>2</v>
      </c>
      <c r="AB832">
        <v>0.28571000000000002</v>
      </c>
      <c r="AC832" t="s">
        <v>199</v>
      </c>
      <c r="AD832" t="s">
        <v>81</v>
      </c>
      <c r="AE832" t="s">
        <v>62</v>
      </c>
      <c r="AF832" t="s">
        <v>62</v>
      </c>
      <c r="AG832">
        <v>0</v>
      </c>
      <c r="AH832">
        <v>0</v>
      </c>
      <c r="AI832">
        <v>4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3</v>
      </c>
      <c r="AT832">
        <v>0</v>
      </c>
      <c r="AU832">
        <v>5</v>
      </c>
      <c r="AV832">
        <v>1</v>
      </c>
      <c r="AW832">
        <v>4</v>
      </c>
      <c r="AX832">
        <v>3</v>
      </c>
      <c r="AY832">
        <v>0</v>
      </c>
      <c r="AZ832">
        <v>1</v>
      </c>
      <c r="BA832" t="s">
        <v>19250</v>
      </c>
      <c r="BB832" t="s">
        <v>193</v>
      </c>
      <c r="BC832">
        <v>0.83899999999999997</v>
      </c>
      <c r="BD832" t="s">
        <v>65</v>
      </c>
      <c r="BE832">
        <v>4</v>
      </c>
      <c r="BF832">
        <v>4</v>
      </c>
      <c r="BG832" t="s">
        <v>19251</v>
      </c>
      <c r="BH832" t="s">
        <v>19252</v>
      </c>
      <c r="BI832" t="s">
        <v>19253</v>
      </c>
      <c r="BJ832">
        <v>0.37822</v>
      </c>
      <c r="BK832">
        <v>0.77500000000000002</v>
      </c>
      <c r="BL832" t="s">
        <v>635</v>
      </c>
      <c r="BM832">
        <v>-3.0000000000000001E-3</v>
      </c>
      <c r="BN832">
        <v>-0.77600000000000002</v>
      </c>
    </row>
    <row r="833" spans="2:66">
      <c r="B833">
        <v>1300</v>
      </c>
      <c r="C833">
        <v>66</v>
      </c>
      <c r="D833">
        <v>0</v>
      </c>
      <c r="E833">
        <v>10</v>
      </c>
      <c r="F833">
        <v>1</v>
      </c>
      <c r="J833">
        <v>0</v>
      </c>
      <c r="K833">
        <v>5</v>
      </c>
      <c r="L833">
        <v>0</v>
      </c>
      <c r="M833" t="s">
        <v>25022</v>
      </c>
      <c r="N833">
        <v>3299</v>
      </c>
      <c r="O833" t="s">
        <v>19254</v>
      </c>
      <c r="P833" t="s">
        <v>62</v>
      </c>
      <c r="Q833">
        <v>3262614</v>
      </c>
      <c r="R833">
        <v>3263720</v>
      </c>
      <c r="S833" t="s">
        <v>3095</v>
      </c>
      <c r="T833">
        <v>369</v>
      </c>
      <c r="U833" t="s">
        <v>108</v>
      </c>
      <c r="V833">
        <v>44</v>
      </c>
      <c r="W833" t="str">
        <f>HYPERLINK("Gene3299-zp_tree_all.dnd", "Gene3299-tree")</f>
        <v>Gene3299-tree</v>
      </c>
      <c r="X833">
        <v>7</v>
      </c>
      <c r="Y833">
        <v>25</v>
      </c>
      <c r="Z833">
        <v>7</v>
      </c>
      <c r="AA833">
        <v>7</v>
      </c>
      <c r="AB833">
        <v>0.5</v>
      </c>
      <c r="AC833" t="s">
        <v>152</v>
      </c>
      <c r="AD833" t="s">
        <v>2683</v>
      </c>
      <c r="AE833">
        <v>3.613</v>
      </c>
      <c r="AF833" t="s">
        <v>65</v>
      </c>
      <c r="AG833">
        <v>2</v>
      </c>
      <c r="AH833">
        <v>5</v>
      </c>
      <c r="AI833">
        <v>3</v>
      </c>
      <c r="AJ833">
        <v>0.625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5</v>
      </c>
      <c r="AQ833">
        <v>0</v>
      </c>
      <c r="AR833">
        <v>5</v>
      </c>
      <c r="AS833">
        <v>3</v>
      </c>
      <c r="AT833">
        <v>0.625</v>
      </c>
      <c r="AU833">
        <v>11</v>
      </c>
      <c r="AV833">
        <v>8</v>
      </c>
      <c r="AW833">
        <v>41</v>
      </c>
      <c r="AX833">
        <v>7</v>
      </c>
      <c r="AY833">
        <v>16</v>
      </c>
      <c r="AZ833">
        <v>1</v>
      </c>
      <c r="BA833" t="s">
        <v>19255</v>
      </c>
      <c r="BB833" t="s">
        <v>19256</v>
      </c>
      <c r="BC833">
        <v>0.57199999999999995</v>
      </c>
      <c r="BD833" t="s">
        <v>65</v>
      </c>
      <c r="BE833">
        <v>57</v>
      </c>
      <c r="BF833">
        <v>8</v>
      </c>
      <c r="BG833" t="s">
        <v>19257</v>
      </c>
      <c r="BH833" t="s">
        <v>19258</v>
      </c>
      <c r="BI833" t="s">
        <v>16936</v>
      </c>
      <c r="BJ833">
        <v>3.6810000000000002E-2</v>
      </c>
      <c r="BK833">
        <v>1</v>
      </c>
      <c r="BL833" t="s">
        <v>69</v>
      </c>
      <c r="BM833">
        <v>-0.61099999999999999</v>
      </c>
      <c r="BN833">
        <v>-0.6</v>
      </c>
    </row>
    <row r="834" spans="2:66">
      <c r="B834">
        <v>1301</v>
      </c>
      <c r="C834">
        <v>13</v>
      </c>
      <c r="D834">
        <v>0</v>
      </c>
      <c r="E834">
        <v>2</v>
      </c>
      <c r="F834">
        <v>2</v>
      </c>
      <c r="J834">
        <v>0</v>
      </c>
      <c r="K834">
        <v>0</v>
      </c>
      <c r="L834">
        <v>0</v>
      </c>
      <c r="M834" t="s">
        <v>25022</v>
      </c>
      <c r="N834">
        <v>3301</v>
      </c>
      <c r="O834" t="s">
        <v>19265</v>
      </c>
      <c r="P834" t="s">
        <v>62</v>
      </c>
      <c r="Q834">
        <v>3264268</v>
      </c>
      <c r="R834">
        <v>3264501</v>
      </c>
      <c r="S834" t="s">
        <v>116</v>
      </c>
      <c r="T834">
        <v>78</v>
      </c>
      <c r="U834" t="s">
        <v>59</v>
      </c>
      <c r="V834">
        <v>49</v>
      </c>
      <c r="W834" t="str">
        <f>HYPERLINK("Gene3301-zp_tree_all.dnd", "Gene3301-tree")</f>
        <v>Gene3301-tree</v>
      </c>
      <c r="X834">
        <v>6</v>
      </c>
      <c r="Y834">
        <v>3</v>
      </c>
      <c r="Z834">
        <v>6</v>
      </c>
      <c r="AA834">
        <v>3</v>
      </c>
      <c r="AB834">
        <v>0.33333000000000002</v>
      </c>
      <c r="AC834" t="s">
        <v>90</v>
      </c>
      <c r="AD834" t="s">
        <v>324</v>
      </c>
      <c r="AE834" t="s">
        <v>62</v>
      </c>
      <c r="AF834" t="s">
        <v>62</v>
      </c>
      <c r="AG834">
        <v>0</v>
      </c>
      <c r="AH834">
        <v>0</v>
      </c>
      <c r="AI834">
        <v>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4</v>
      </c>
      <c r="AT834">
        <v>0</v>
      </c>
      <c r="AU834">
        <v>5</v>
      </c>
      <c r="AV834">
        <v>4</v>
      </c>
      <c r="AW834">
        <v>7</v>
      </c>
      <c r="AX834">
        <v>4</v>
      </c>
      <c r="AY834">
        <v>5</v>
      </c>
      <c r="AZ834">
        <v>0</v>
      </c>
      <c r="BA834" t="s">
        <v>19266</v>
      </c>
      <c r="BB834" t="s">
        <v>193</v>
      </c>
      <c r="BC834">
        <v>1.8540000000000001</v>
      </c>
      <c r="BD834" t="s">
        <v>65</v>
      </c>
      <c r="BE834">
        <v>12</v>
      </c>
      <c r="BF834">
        <v>4</v>
      </c>
      <c r="BG834" t="s">
        <v>19267</v>
      </c>
      <c r="BH834" t="s">
        <v>19268</v>
      </c>
      <c r="BI834" t="s">
        <v>19269</v>
      </c>
      <c r="BJ834">
        <v>7.1559999999999999E-2</v>
      </c>
      <c r="BK834">
        <v>1</v>
      </c>
      <c r="BL834" t="s">
        <v>69</v>
      </c>
      <c r="BM834">
        <v>-1.7829999999999999</v>
      </c>
      <c r="BN834">
        <v>0.65600000000000003</v>
      </c>
    </row>
    <row r="835" spans="2:66">
      <c r="B835">
        <v>1302</v>
      </c>
      <c r="C835">
        <v>162</v>
      </c>
      <c r="D835">
        <v>0</v>
      </c>
      <c r="E835">
        <v>12</v>
      </c>
      <c r="F835">
        <v>2</v>
      </c>
      <c r="J835">
        <v>0</v>
      </c>
      <c r="K835">
        <v>0</v>
      </c>
      <c r="L835">
        <v>0</v>
      </c>
      <c r="M835" t="s">
        <v>25022</v>
      </c>
      <c r="N835">
        <v>3302</v>
      </c>
      <c r="O835" t="s">
        <v>19270</v>
      </c>
      <c r="P835" t="s">
        <v>62</v>
      </c>
      <c r="Q835">
        <v>3264681</v>
      </c>
      <c r="R835">
        <v>3265208</v>
      </c>
      <c r="S835" t="s">
        <v>3839</v>
      </c>
      <c r="T835">
        <v>176</v>
      </c>
      <c r="U835" t="s">
        <v>108</v>
      </c>
      <c r="V835">
        <v>44</v>
      </c>
      <c r="W835" t="str">
        <f>HYPERLINK("Gene3302-zp_tree_all.dnd", "Gene3302-tree")</f>
        <v>Gene3302-tree</v>
      </c>
      <c r="X835">
        <v>33</v>
      </c>
      <c r="Y835">
        <v>2</v>
      </c>
      <c r="Z835">
        <v>11</v>
      </c>
      <c r="AA835">
        <v>2</v>
      </c>
      <c r="AB835">
        <v>0.15384999999999999</v>
      </c>
      <c r="AC835" t="s">
        <v>466</v>
      </c>
      <c r="AD835" t="s">
        <v>81</v>
      </c>
      <c r="AE835" t="s">
        <v>62</v>
      </c>
      <c r="AF835" t="s">
        <v>62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0</v>
      </c>
      <c r="AU835">
        <v>8</v>
      </c>
      <c r="AV835">
        <v>5</v>
      </c>
      <c r="AW835">
        <v>11</v>
      </c>
      <c r="AX835">
        <v>2</v>
      </c>
      <c r="AY835">
        <v>6</v>
      </c>
      <c r="AZ835">
        <v>0</v>
      </c>
      <c r="BA835" t="s">
        <v>19271</v>
      </c>
      <c r="BB835" t="s">
        <v>193</v>
      </c>
      <c r="BC835">
        <v>0.86699999999999999</v>
      </c>
      <c r="BD835" t="s">
        <v>65</v>
      </c>
      <c r="BE835">
        <v>17</v>
      </c>
      <c r="BF835">
        <v>2</v>
      </c>
      <c r="BG835" t="s">
        <v>19272</v>
      </c>
      <c r="BH835" t="s">
        <v>19273</v>
      </c>
      <c r="BI835" t="s">
        <v>19274</v>
      </c>
      <c r="BJ835">
        <v>2.0080000000000001E-2</v>
      </c>
      <c r="BK835">
        <v>1</v>
      </c>
      <c r="BL835" t="s">
        <v>69</v>
      </c>
      <c r="BM835">
        <v>-0.83299999999999996</v>
      </c>
      <c r="BN835">
        <v>-0.80700000000000005</v>
      </c>
    </row>
    <row r="836" spans="2:66">
      <c r="B836">
        <v>1303</v>
      </c>
      <c r="C836">
        <v>33</v>
      </c>
      <c r="D836">
        <v>0</v>
      </c>
      <c r="E836">
        <v>8</v>
      </c>
      <c r="F836">
        <v>0</v>
      </c>
      <c r="J836">
        <v>0</v>
      </c>
      <c r="K836">
        <v>7</v>
      </c>
      <c r="L836">
        <v>2</v>
      </c>
      <c r="M836" t="s">
        <v>25022</v>
      </c>
      <c r="N836">
        <v>3303</v>
      </c>
      <c r="O836" t="s">
        <v>19275</v>
      </c>
      <c r="P836" t="s">
        <v>62</v>
      </c>
      <c r="Q836">
        <v>3265409</v>
      </c>
      <c r="R836">
        <v>3266137</v>
      </c>
      <c r="S836" t="s">
        <v>19276</v>
      </c>
      <c r="T836">
        <v>243</v>
      </c>
      <c r="U836" t="s">
        <v>108</v>
      </c>
      <c r="V836">
        <v>44</v>
      </c>
      <c r="W836" t="str">
        <f>HYPERLINK("Gene3303-zp_tree_all.dnd", "Gene3303-tree")</f>
        <v>Gene3303-tree</v>
      </c>
      <c r="X836">
        <v>5</v>
      </c>
      <c r="Y836">
        <v>9</v>
      </c>
      <c r="Z836">
        <v>5</v>
      </c>
      <c r="AA836">
        <v>9</v>
      </c>
      <c r="AB836">
        <v>0.64285999999999999</v>
      </c>
      <c r="AC836" t="s">
        <v>199</v>
      </c>
      <c r="AD836" t="s">
        <v>135</v>
      </c>
      <c r="AE836" t="s">
        <v>62</v>
      </c>
      <c r="AF836" t="s">
        <v>62</v>
      </c>
      <c r="AG836">
        <v>4</v>
      </c>
      <c r="AH836">
        <v>9</v>
      </c>
      <c r="AI836">
        <v>8</v>
      </c>
      <c r="AJ836">
        <v>0.52941000000000005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2</v>
      </c>
      <c r="AR836">
        <v>2</v>
      </c>
      <c r="AS836">
        <v>10</v>
      </c>
      <c r="AT836">
        <v>0.16667000000000001</v>
      </c>
      <c r="AU836">
        <v>11</v>
      </c>
      <c r="AV836">
        <v>8</v>
      </c>
      <c r="AW836">
        <v>13</v>
      </c>
      <c r="AX836">
        <v>12</v>
      </c>
      <c r="AY836">
        <v>7</v>
      </c>
      <c r="AZ836">
        <v>5</v>
      </c>
      <c r="BA836" t="s">
        <v>19277</v>
      </c>
      <c r="BB836" t="s">
        <v>19278</v>
      </c>
      <c r="BC836">
        <v>0.497</v>
      </c>
      <c r="BD836" t="s">
        <v>65</v>
      </c>
      <c r="BE836">
        <v>20</v>
      </c>
      <c r="BF836">
        <v>17</v>
      </c>
      <c r="BG836" t="s">
        <v>19279</v>
      </c>
      <c r="BH836" t="s">
        <v>19280</v>
      </c>
      <c r="BI836" t="s">
        <v>19281</v>
      </c>
      <c r="BJ836">
        <v>0.23035</v>
      </c>
      <c r="BK836">
        <v>1</v>
      </c>
      <c r="BL836" t="s">
        <v>69</v>
      </c>
      <c r="BM836">
        <v>-1.212</v>
      </c>
      <c r="BN836">
        <v>-1.89</v>
      </c>
    </row>
    <row r="837" spans="2:66">
      <c r="B837">
        <v>1304</v>
      </c>
      <c r="C837">
        <v>210</v>
      </c>
      <c r="D837">
        <v>0</v>
      </c>
      <c r="E837">
        <v>2</v>
      </c>
      <c r="F837">
        <v>0</v>
      </c>
      <c r="J837">
        <v>0</v>
      </c>
      <c r="K837">
        <v>3</v>
      </c>
      <c r="L837">
        <v>0</v>
      </c>
      <c r="M837" t="s">
        <v>25022</v>
      </c>
      <c r="N837">
        <v>3304</v>
      </c>
      <c r="O837" t="s">
        <v>19282</v>
      </c>
      <c r="P837" t="s">
        <v>62</v>
      </c>
      <c r="Q837">
        <v>3266203</v>
      </c>
      <c r="R837">
        <v>3266655</v>
      </c>
      <c r="S837" t="s">
        <v>19283</v>
      </c>
      <c r="T837">
        <v>151</v>
      </c>
      <c r="U837" t="s">
        <v>108</v>
      </c>
      <c r="V837">
        <v>44</v>
      </c>
      <c r="W837" t="str">
        <f>HYPERLINK("Gene3304-zp_tree_all.dnd", "Gene3304-tree")</f>
        <v>Gene3304-tree</v>
      </c>
      <c r="X837">
        <v>8</v>
      </c>
      <c r="Y837">
        <v>5</v>
      </c>
      <c r="Z837">
        <v>8</v>
      </c>
      <c r="AA837">
        <v>5</v>
      </c>
      <c r="AB837">
        <v>0.38462000000000002</v>
      </c>
      <c r="AC837" t="s">
        <v>136</v>
      </c>
      <c r="AD837" t="s">
        <v>199</v>
      </c>
      <c r="AE837" t="s">
        <v>62</v>
      </c>
      <c r="AF837" t="s">
        <v>62</v>
      </c>
      <c r="AG837">
        <v>1</v>
      </c>
      <c r="AH837">
        <v>3</v>
      </c>
      <c r="AI837">
        <v>2</v>
      </c>
      <c r="AJ837">
        <v>0.6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3</v>
      </c>
      <c r="AQ837">
        <v>0</v>
      </c>
      <c r="AR837">
        <v>3</v>
      </c>
      <c r="AS837">
        <v>2</v>
      </c>
      <c r="AT837">
        <v>0.6</v>
      </c>
      <c r="AU837">
        <v>9</v>
      </c>
      <c r="AV837">
        <v>5</v>
      </c>
      <c r="AW837">
        <v>11</v>
      </c>
      <c r="AX837">
        <v>5</v>
      </c>
      <c r="AY837">
        <v>8</v>
      </c>
      <c r="AZ837">
        <v>0</v>
      </c>
      <c r="BA837" t="s">
        <v>19284</v>
      </c>
      <c r="BB837" t="s">
        <v>193</v>
      </c>
      <c r="BC837">
        <v>2.1920000000000002</v>
      </c>
      <c r="BD837" t="s">
        <v>267</v>
      </c>
      <c r="BE837">
        <v>19</v>
      </c>
      <c r="BF837">
        <v>5</v>
      </c>
      <c r="BG837" t="s">
        <v>19285</v>
      </c>
      <c r="BH837" t="s">
        <v>19286</v>
      </c>
      <c r="BI837" t="s">
        <v>19287</v>
      </c>
      <c r="BJ837">
        <v>4.725E-2</v>
      </c>
      <c r="BK837">
        <v>1</v>
      </c>
      <c r="BL837" t="s">
        <v>69</v>
      </c>
      <c r="BM837">
        <v>-0.13100000000000001</v>
      </c>
      <c r="BN837">
        <v>-1.3680000000000001</v>
      </c>
    </row>
    <row r="838" spans="2:66">
      <c r="B838">
        <v>1305</v>
      </c>
      <c r="C838">
        <v>44</v>
      </c>
      <c r="D838">
        <v>0</v>
      </c>
      <c r="E838">
        <v>9</v>
      </c>
      <c r="F838">
        <v>2</v>
      </c>
      <c r="J838">
        <v>0</v>
      </c>
      <c r="K838">
        <v>34</v>
      </c>
      <c r="L838">
        <v>6</v>
      </c>
      <c r="M838" t="s">
        <v>25022</v>
      </c>
      <c r="N838">
        <v>3306</v>
      </c>
      <c r="O838" t="s">
        <v>19288</v>
      </c>
      <c r="P838" t="s">
        <v>62</v>
      </c>
      <c r="Q838">
        <v>3269917</v>
      </c>
      <c r="R838">
        <v>3274401</v>
      </c>
      <c r="S838" t="s">
        <v>19289</v>
      </c>
      <c r="T838">
        <v>1495</v>
      </c>
      <c r="U838" t="s">
        <v>108</v>
      </c>
      <c r="V838">
        <v>44</v>
      </c>
      <c r="W838" t="str">
        <f>HYPERLINK("Gene3306-zp_tree_all.dnd", "Gene3306-tree")</f>
        <v>Gene3306-tree</v>
      </c>
      <c r="X838">
        <v>2</v>
      </c>
      <c r="Y838">
        <v>17</v>
      </c>
      <c r="Z838">
        <v>2</v>
      </c>
      <c r="AA838">
        <v>17</v>
      </c>
      <c r="AB838">
        <v>0.89473999999999998</v>
      </c>
      <c r="AC838" t="s">
        <v>81</v>
      </c>
      <c r="AD838" t="s">
        <v>266</v>
      </c>
      <c r="AE838">
        <v>522002586.338</v>
      </c>
      <c r="AF838" t="s">
        <v>267</v>
      </c>
      <c r="AG838">
        <v>14</v>
      </c>
      <c r="AH838">
        <v>40</v>
      </c>
      <c r="AI838">
        <v>30</v>
      </c>
      <c r="AJ838">
        <v>0.57142999999999999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14</v>
      </c>
      <c r="AQ838">
        <v>7</v>
      </c>
      <c r="AR838">
        <v>21</v>
      </c>
      <c r="AS838">
        <v>30</v>
      </c>
      <c r="AT838">
        <v>0.41176000000000001</v>
      </c>
      <c r="AU838">
        <v>17</v>
      </c>
      <c r="AV838">
        <v>16</v>
      </c>
      <c r="AW838">
        <v>165</v>
      </c>
      <c r="AX838">
        <v>45</v>
      </c>
      <c r="AY838">
        <v>96</v>
      </c>
      <c r="AZ838">
        <v>27</v>
      </c>
      <c r="BA838" t="s">
        <v>19290</v>
      </c>
      <c r="BB838" t="s">
        <v>19291</v>
      </c>
      <c r="BC838">
        <v>5.8999999999999997E-2</v>
      </c>
      <c r="BD838" t="s">
        <v>65</v>
      </c>
      <c r="BE838">
        <v>261</v>
      </c>
      <c r="BF838">
        <v>72</v>
      </c>
      <c r="BG838" t="s">
        <v>19292</v>
      </c>
      <c r="BH838" t="s">
        <v>19293</v>
      </c>
      <c r="BI838" t="s">
        <v>1129</v>
      </c>
      <c r="BJ838">
        <v>8.2919999999999994E-2</v>
      </c>
      <c r="BK838">
        <v>1</v>
      </c>
      <c r="BL838" t="s">
        <v>69</v>
      </c>
      <c r="BM838">
        <v>-0.52300000000000002</v>
      </c>
      <c r="BN838">
        <v>-1.1839999999999999</v>
      </c>
    </row>
    <row r="839" spans="2:66">
      <c r="B839">
        <v>1306</v>
      </c>
      <c r="C839">
        <v>32</v>
      </c>
      <c r="D839">
        <v>0</v>
      </c>
      <c r="E839">
        <v>6</v>
      </c>
      <c r="F839">
        <v>1</v>
      </c>
      <c r="J839">
        <v>0</v>
      </c>
      <c r="K839">
        <v>3</v>
      </c>
      <c r="L839">
        <v>0</v>
      </c>
      <c r="M839" t="s">
        <v>25022</v>
      </c>
      <c r="N839">
        <v>3307</v>
      </c>
      <c r="O839" t="s">
        <v>19294</v>
      </c>
      <c r="P839" t="s">
        <v>62</v>
      </c>
      <c r="Q839">
        <v>3274465</v>
      </c>
      <c r="R839">
        <v>3275817</v>
      </c>
      <c r="S839" t="s">
        <v>19295</v>
      </c>
      <c r="T839">
        <v>451</v>
      </c>
      <c r="U839" t="s">
        <v>19296</v>
      </c>
      <c r="V839">
        <v>38</v>
      </c>
      <c r="W839" t="str">
        <f>HYPERLINK("Gene3307-zp_tree_all.dnd", "Gene3307-tree")</f>
        <v>Gene3307-tree</v>
      </c>
      <c r="X839">
        <v>6</v>
      </c>
      <c r="Y839">
        <v>6</v>
      </c>
      <c r="Z839">
        <v>6</v>
      </c>
      <c r="AA839">
        <v>6</v>
      </c>
      <c r="AB839">
        <v>0.5</v>
      </c>
      <c r="AC839" t="s">
        <v>90</v>
      </c>
      <c r="AD839" t="s">
        <v>90</v>
      </c>
      <c r="AE839" t="s">
        <v>62</v>
      </c>
      <c r="AF839" t="s">
        <v>62</v>
      </c>
      <c r="AG839">
        <v>1</v>
      </c>
      <c r="AH839">
        <v>3</v>
      </c>
      <c r="AI839">
        <v>10</v>
      </c>
      <c r="AJ839">
        <v>0.23077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</v>
      </c>
      <c r="AQ839">
        <v>0</v>
      </c>
      <c r="AR839">
        <v>2</v>
      </c>
      <c r="AS839">
        <v>10</v>
      </c>
      <c r="AT839">
        <v>0.16667000000000001</v>
      </c>
      <c r="AU839">
        <v>9</v>
      </c>
      <c r="AV839">
        <v>7</v>
      </c>
      <c r="AW839">
        <v>15</v>
      </c>
      <c r="AX839">
        <v>12</v>
      </c>
      <c r="AY839">
        <v>10</v>
      </c>
      <c r="AZ839">
        <v>1</v>
      </c>
      <c r="BA839" t="s">
        <v>19297</v>
      </c>
      <c r="BB839" t="s">
        <v>19298</v>
      </c>
      <c r="BC839">
        <v>1.923</v>
      </c>
      <c r="BD839" t="s">
        <v>65</v>
      </c>
      <c r="BE839">
        <v>25</v>
      </c>
      <c r="BF839">
        <v>13</v>
      </c>
      <c r="BG839" t="s">
        <v>19299</v>
      </c>
      <c r="BH839" t="s">
        <v>19300</v>
      </c>
      <c r="BI839" t="s">
        <v>19301</v>
      </c>
      <c r="BJ839">
        <v>0.11380999999999999</v>
      </c>
      <c r="BK839">
        <v>1</v>
      </c>
      <c r="BL839" t="s">
        <v>69</v>
      </c>
      <c r="BM839">
        <v>-0.08</v>
      </c>
      <c r="BN839">
        <v>-0.22700000000000001</v>
      </c>
    </row>
    <row r="840" spans="2:66">
      <c r="B840">
        <v>1307</v>
      </c>
      <c r="C840">
        <v>144</v>
      </c>
      <c r="D840">
        <v>0</v>
      </c>
      <c r="E840">
        <v>0</v>
      </c>
      <c r="F840">
        <v>2</v>
      </c>
      <c r="J840">
        <v>0</v>
      </c>
      <c r="K840">
        <v>0</v>
      </c>
      <c r="L840">
        <v>2</v>
      </c>
      <c r="M840" t="s">
        <v>25022</v>
      </c>
      <c r="N840">
        <v>3308</v>
      </c>
      <c r="O840" t="s">
        <v>19302</v>
      </c>
      <c r="P840" t="s">
        <v>62</v>
      </c>
      <c r="Q840">
        <v>3275835</v>
      </c>
      <c r="R840">
        <v>3276071</v>
      </c>
      <c r="S840" t="s">
        <v>19303</v>
      </c>
      <c r="T840">
        <v>79</v>
      </c>
      <c r="U840" t="s">
        <v>59</v>
      </c>
      <c r="V840">
        <v>49</v>
      </c>
      <c r="W840" t="str">
        <f>HYPERLINK("Gene3308-zp_tree_all.dnd", "Gene3308-tree")</f>
        <v>Gene3308-tree</v>
      </c>
      <c r="X840">
        <v>5</v>
      </c>
      <c r="Y840">
        <v>1</v>
      </c>
      <c r="Z840">
        <v>5</v>
      </c>
      <c r="AA840">
        <v>1</v>
      </c>
      <c r="AB840">
        <v>0.16667000000000001</v>
      </c>
      <c r="AC840" t="s">
        <v>199</v>
      </c>
      <c r="AD840" t="s">
        <v>175</v>
      </c>
      <c r="AE840" t="s">
        <v>62</v>
      </c>
      <c r="AF840" t="s">
        <v>62</v>
      </c>
      <c r="AG840">
        <v>1</v>
      </c>
      <c r="AH840">
        <v>2</v>
      </c>
      <c r="AI840">
        <v>2</v>
      </c>
      <c r="AJ840">
        <v>0.5</v>
      </c>
      <c r="AK840">
        <v>0</v>
      </c>
      <c r="AL840">
        <v>0</v>
      </c>
      <c r="AM840">
        <v>0</v>
      </c>
      <c r="AN840">
        <v>3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3</v>
      </c>
      <c r="AV840">
        <v>2</v>
      </c>
      <c r="AW840">
        <v>6</v>
      </c>
      <c r="AX840">
        <v>1</v>
      </c>
      <c r="AY840">
        <v>3</v>
      </c>
      <c r="AZ840">
        <v>3</v>
      </c>
      <c r="BA840" t="s">
        <v>19304</v>
      </c>
      <c r="BB840" t="s">
        <v>19305</v>
      </c>
      <c r="BC840">
        <v>1.026</v>
      </c>
      <c r="BD840" t="s">
        <v>65</v>
      </c>
      <c r="BE840">
        <v>9</v>
      </c>
      <c r="BF840">
        <v>4</v>
      </c>
      <c r="BG840" t="s">
        <v>19306</v>
      </c>
      <c r="BH840" t="s">
        <v>19307</v>
      </c>
      <c r="BI840" t="s">
        <v>19308</v>
      </c>
      <c r="BJ840">
        <v>0.14903</v>
      </c>
      <c r="BK840">
        <v>1</v>
      </c>
      <c r="BL840" t="s">
        <v>69</v>
      </c>
      <c r="BM840">
        <v>-1.127</v>
      </c>
      <c r="BN840">
        <v>-1.2E-2</v>
      </c>
    </row>
    <row r="841" spans="2:66">
      <c r="B841">
        <v>1309</v>
      </c>
      <c r="C841">
        <v>4</v>
      </c>
      <c r="D841">
        <v>0</v>
      </c>
      <c r="E841">
        <v>0</v>
      </c>
      <c r="F841">
        <v>2</v>
      </c>
      <c r="J841">
        <v>0</v>
      </c>
      <c r="K841">
        <v>0</v>
      </c>
      <c r="L841">
        <v>0</v>
      </c>
      <c r="M841" t="s">
        <v>25022</v>
      </c>
      <c r="N841">
        <v>3309</v>
      </c>
      <c r="O841" t="s">
        <v>19309</v>
      </c>
      <c r="P841" t="s">
        <v>62</v>
      </c>
      <c r="Q841">
        <v>3276144</v>
      </c>
      <c r="R841">
        <v>3276434</v>
      </c>
      <c r="S841" t="s">
        <v>19310</v>
      </c>
      <c r="T841">
        <v>97</v>
      </c>
      <c r="U841" t="s">
        <v>59</v>
      </c>
      <c r="V841">
        <v>49</v>
      </c>
      <c r="W841" t="str">
        <f>HYPERLINK("Gene3309-zp_tree_all.dnd", "Gene3309-tree")</f>
        <v>Gene3309-tree</v>
      </c>
      <c r="X841">
        <v>45</v>
      </c>
      <c r="Y841">
        <v>0</v>
      </c>
      <c r="Z841">
        <v>6</v>
      </c>
      <c r="AA841">
        <v>0</v>
      </c>
      <c r="AB841">
        <v>0</v>
      </c>
      <c r="AC841" t="s">
        <v>3220</v>
      </c>
      <c r="AD841" t="s">
        <v>62</v>
      </c>
      <c r="AE841" t="s">
        <v>62</v>
      </c>
      <c r="AF841" t="s">
        <v>62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4</v>
      </c>
      <c r="AV841">
        <v>1</v>
      </c>
      <c r="AW841">
        <v>5</v>
      </c>
      <c r="AX841">
        <v>0</v>
      </c>
      <c r="AY841">
        <v>2</v>
      </c>
      <c r="AZ841">
        <v>0</v>
      </c>
      <c r="BA841" t="s">
        <v>193</v>
      </c>
      <c r="BB841" t="s">
        <v>193</v>
      </c>
      <c r="BC841">
        <v>0</v>
      </c>
      <c r="BD841" t="s">
        <v>65</v>
      </c>
      <c r="BE841">
        <v>7</v>
      </c>
      <c r="BF841">
        <v>0</v>
      </c>
      <c r="BG841" t="s">
        <v>19311</v>
      </c>
      <c r="BH841" t="s">
        <v>19312</v>
      </c>
      <c r="BI841" t="s">
        <v>193</v>
      </c>
      <c r="BJ841">
        <v>0</v>
      </c>
      <c r="BK841">
        <v>1</v>
      </c>
      <c r="BL841" t="s">
        <v>69</v>
      </c>
      <c r="BM841">
        <v>-1.6579999999999999</v>
      </c>
      <c r="BN841">
        <v>-1.0840000000000001</v>
      </c>
    </row>
    <row r="842" spans="2:66">
      <c r="B842">
        <v>1312</v>
      </c>
      <c r="C842">
        <v>16</v>
      </c>
      <c r="D842">
        <v>0</v>
      </c>
      <c r="E842">
        <v>2</v>
      </c>
      <c r="F842">
        <v>0</v>
      </c>
      <c r="J842">
        <v>0</v>
      </c>
      <c r="K842">
        <v>2</v>
      </c>
      <c r="L842">
        <v>2</v>
      </c>
      <c r="M842" t="s">
        <v>25022</v>
      </c>
      <c r="N842">
        <v>3313</v>
      </c>
      <c r="O842" t="s">
        <v>19332</v>
      </c>
      <c r="P842" t="s">
        <v>62</v>
      </c>
      <c r="Q842">
        <v>3280297</v>
      </c>
      <c r="R842">
        <v>3280503</v>
      </c>
      <c r="S842" t="s">
        <v>19333</v>
      </c>
      <c r="T842">
        <v>69</v>
      </c>
      <c r="U842" t="s">
        <v>19334</v>
      </c>
      <c r="V842">
        <v>48</v>
      </c>
      <c r="W842" t="str">
        <f>HYPERLINK("Gene3313-zp_tree_all.dnd", "Gene3313-tree")</f>
        <v>Gene3313-tree</v>
      </c>
      <c r="X842">
        <v>7</v>
      </c>
      <c r="Y842">
        <v>7</v>
      </c>
      <c r="Z842">
        <v>7</v>
      </c>
      <c r="AA842">
        <v>7</v>
      </c>
      <c r="AB842">
        <v>0.5</v>
      </c>
      <c r="AC842" t="s">
        <v>152</v>
      </c>
      <c r="AD842" t="s">
        <v>152</v>
      </c>
      <c r="AE842" t="s">
        <v>62</v>
      </c>
      <c r="AF842" t="s">
        <v>62</v>
      </c>
      <c r="AG842">
        <v>2</v>
      </c>
      <c r="AH842">
        <v>4</v>
      </c>
      <c r="AI842">
        <v>6</v>
      </c>
      <c r="AJ842">
        <v>0.4</v>
      </c>
      <c r="AK842">
        <v>0</v>
      </c>
      <c r="AL842">
        <v>0</v>
      </c>
      <c r="AM842">
        <v>0</v>
      </c>
      <c r="AN842">
        <v>2</v>
      </c>
      <c r="AO842">
        <v>0</v>
      </c>
      <c r="AP842">
        <v>0</v>
      </c>
      <c r="AQ842">
        <v>0</v>
      </c>
      <c r="AR842">
        <v>0</v>
      </c>
      <c r="AS842">
        <v>7</v>
      </c>
      <c r="AT842">
        <v>0</v>
      </c>
      <c r="AU842">
        <v>10</v>
      </c>
      <c r="AV842">
        <v>6</v>
      </c>
      <c r="AW842">
        <v>7</v>
      </c>
      <c r="AX842">
        <v>7</v>
      </c>
      <c r="AY842">
        <v>7</v>
      </c>
      <c r="AZ842">
        <v>3</v>
      </c>
      <c r="BA842" t="s">
        <v>19335</v>
      </c>
      <c r="BB842" t="s">
        <v>19336</v>
      </c>
      <c r="BC842">
        <v>0.81299999999999994</v>
      </c>
      <c r="BD842" t="s">
        <v>65</v>
      </c>
      <c r="BE842">
        <v>14</v>
      </c>
      <c r="BF842">
        <v>10</v>
      </c>
      <c r="BG842" t="s">
        <v>19337</v>
      </c>
      <c r="BH842" t="s">
        <v>19338</v>
      </c>
      <c r="BI842" t="s">
        <v>19339</v>
      </c>
      <c r="BJ842">
        <v>0.15337000000000001</v>
      </c>
      <c r="BK842">
        <v>1</v>
      </c>
      <c r="BL842" t="s">
        <v>69</v>
      </c>
      <c r="BM842">
        <v>-1.0940000000000001</v>
      </c>
      <c r="BN842">
        <v>-0.996</v>
      </c>
    </row>
    <row r="843" spans="2:66">
      <c r="B843">
        <v>1318</v>
      </c>
      <c r="C843">
        <v>74</v>
      </c>
      <c r="D843">
        <v>0</v>
      </c>
      <c r="E843">
        <v>2</v>
      </c>
      <c r="F843">
        <v>0</v>
      </c>
      <c r="J843">
        <v>3</v>
      </c>
      <c r="K843">
        <v>120</v>
      </c>
      <c r="L843">
        <v>9</v>
      </c>
      <c r="M843" t="s">
        <v>25022</v>
      </c>
      <c r="N843">
        <v>3314</v>
      </c>
      <c r="O843" t="s">
        <v>19340</v>
      </c>
      <c r="P843" t="s">
        <v>62</v>
      </c>
      <c r="Q843">
        <v>3280522</v>
      </c>
      <c r="R843">
        <v>3287655</v>
      </c>
      <c r="S843" t="s">
        <v>19341</v>
      </c>
      <c r="T843">
        <v>2378</v>
      </c>
      <c r="U843" t="s">
        <v>108</v>
      </c>
      <c r="V843">
        <v>44</v>
      </c>
      <c r="W843" t="str">
        <f>HYPERLINK("Gene3314-zp_tree_all.dnd", "Gene3314-tree")</f>
        <v>Gene3314-tree</v>
      </c>
      <c r="X843">
        <v>3</v>
      </c>
      <c r="Y843">
        <v>16</v>
      </c>
      <c r="Z843">
        <v>3</v>
      </c>
      <c r="AA843">
        <v>16</v>
      </c>
      <c r="AB843">
        <v>0.84211000000000003</v>
      </c>
      <c r="AC843" t="s">
        <v>324</v>
      </c>
      <c r="AD843" t="s">
        <v>60</v>
      </c>
      <c r="AE843" t="s">
        <v>62</v>
      </c>
      <c r="AF843" t="s">
        <v>62</v>
      </c>
      <c r="AG843">
        <v>45</v>
      </c>
      <c r="AH843">
        <v>132</v>
      </c>
      <c r="AI843">
        <v>92</v>
      </c>
      <c r="AJ843">
        <v>0.58928999999999998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36</v>
      </c>
      <c r="AQ843">
        <v>31</v>
      </c>
      <c r="AR843">
        <v>67</v>
      </c>
      <c r="AS843">
        <v>97</v>
      </c>
      <c r="AT843">
        <v>0.40854000000000001</v>
      </c>
      <c r="AU843">
        <v>16</v>
      </c>
      <c r="AV843">
        <v>15</v>
      </c>
      <c r="AW843">
        <v>287</v>
      </c>
      <c r="AX843">
        <v>153</v>
      </c>
      <c r="AY843">
        <v>200</v>
      </c>
      <c r="AZ843">
        <v>77</v>
      </c>
      <c r="BA843" t="s">
        <v>19342</v>
      </c>
      <c r="BB843" t="s">
        <v>19343</v>
      </c>
      <c r="BC843">
        <v>0.96899999999999997</v>
      </c>
      <c r="BD843" t="s">
        <v>65</v>
      </c>
      <c r="BE843">
        <v>487</v>
      </c>
      <c r="BF843">
        <v>230</v>
      </c>
      <c r="BG843" t="s">
        <v>19344</v>
      </c>
      <c r="BH843" t="s">
        <v>19345</v>
      </c>
      <c r="BI843" t="s">
        <v>19346</v>
      </c>
      <c r="BJ843">
        <v>0.14332</v>
      </c>
      <c r="BK843">
        <v>1</v>
      </c>
      <c r="BL843" t="s">
        <v>69</v>
      </c>
      <c r="BM843">
        <v>-0.88</v>
      </c>
      <c r="BN843">
        <v>-1.177</v>
      </c>
    </row>
    <row r="844" spans="2:66">
      <c r="B844">
        <v>1320</v>
      </c>
      <c r="C844">
        <v>67</v>
      </c>
      <c r="D844">
        <v>0</v>
      </c>
      <c r="E844">
        <v>4</v>
      </c>
      <c r="F844">
        <v>0</v>
      </c>
      <c r="J844">
        <v>0</v>
      </c>
      <c r="K844">
        <v>4</v>
      </c>
      <c r="L844">
        <v>0</v>
      </c>
      <c r="M844" t="s">
        <v>25022</v>
      </c>
      <c r="N844">
        <v>3315</v>
      </c>
      <c r="O844" t="s">
        <v>19347</v>
      </c>
      <c r="P844" t="s">
        <v>62</v>
      </c>
      <c r="Q844">
        <v>3287678</v>
      </c>
      <c r="R844">
        <v>3288613</v>
      </c>
      <c r="S844" t="s">
        <v>19348</v>
      </c>
      <c r="T844">
        <v>312</v>
      </c>
      <c r="U844" t="s">
        <v>108</v>
      </c>
      <c r="V844">
        <v>44</v>
      </c>
      <c r="W844" t="str">
        <f>HYPERLINK("Gene3315-zp_tree_all.dnd", "Gene3315-tree")</f>
        <v>Gene3315-tree</v>
      </c>
      <c r="X844">
        <v>5</v>
      </c>
      <c r="Y844">
        <v>10</v>
      </c>
      <c r="Z844">
        <v>5</v>
      </c>
      <c r="AA844">
        <v>10</v>
      </c>
      <c r="AB844">
        <v>0.66666999999999998</v>
      </c>
      <c r="AC844" t="s">
        <v>199</v>
      </c>
      <c r="AD844" t="s">
        <v>117</v>
      </c>
      <c r="AE844" t="s">
        <v>62</v>
      </c>
      <c r="AF844" t="s">
        <v>62</v>
      </c>
      <c r="AG844">
        <v>2</v>
      </c>
      <c r="AH844">
        <v>4</v>
      </c>
      <c r="AI844">
        <v>15</v>
      </c>
      <c r="AJ844">
        <v>0.21052999999999999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15</v>
      </c>
      <c r="AT844">
        <v>0</v>
      </c>
      <c r="AU844">
        <v>14</v>
      </c>
      <c r="AV844">
        <v>10</v>
      </c>
      <c r="AW844">
        <v>28</v>
      </c>
      <c r="AX844">
        <v>15</v>
      </c>
      <c r="AY844">
        <v>20</v>
      </c>
      <c r="AZ844">
        <v>4</v>
      </c>
      <c r="BA844" t="s">
        <v>19349</v>
      </c>
      <c r="BB844" t="s">
        <v>19350</v>
      </c>
      <c r="BC844">
        <v>1.319</v>
      </c>
      <c r="BD844" t="s">
        <v>65</v>
      </c>
      <c r="BE844">
        <v>48</v>
      </c>
      <c r="BF844">
        <v>19</v>
      </c>
      <c r="BG844" t="s">
        <v>19351</v>
      </c>
      <c r="BH844" t="s">
        <v>19352</v>
      </c>
      <c r="BI844" t="s">
        <v>19353</v>
      </c>
      <c r="BJ844">
        <v>0.11197</v>
      </c>
      <c r="BK844">
        <v>1</v>
      </c>
      <c r="BL844" t="s">
        <v>69</v>
      </c>
      <c r="BM844">
        <v>-1.127</v>
      </c>
      <c r="BN844">
        <v>-1.2549999999999999</v>
      </c>
    </row>
    <row r="845" spans="2:66">
      <c r="B845">
        <v>1321</v>
      </c>
      <c r="C845">
        <v>62</v>
      </c>
      <c r="D845">
        <v>0</v>
      </c>
      <c r="E845">
        <v>2</v>
      </c>
      <c r="F845">
        <v>0</v>
      </c>
      <c r="J845">
        <v>0</v>
      </c>
      <c r="K845">
        <v>8</v>
      </c>
      <c r="L845">
        <v>0</v>
      </c>
      <c r="M845" t="s">
        <v>25022</v>
      </c>
      <c r="N845">
        <v>3316</v>
      </c>
      <c r="O845" t="s">
        <v>19354</v>
      </c>
      <c r="P845" t="s">
        <v>62</v>
      </c>
      <c r="Q845">
        <v>3288644</v>
      </c>
      <c r="R845">
        <v>3290260</v>
      </c>
      <c r="S845" t="s">
        <v>19355</v>
      </c>
      <c r="T845">
        <v>539</v>
      </c>
      <c r="U845" t="s">
        <v>108</v>
      </c>
      <c r="V845">
        <v>44</v>
      </c>
      <c r="W845" t="str">
        <f>HYPERLINK("Gene3316-zp_tree_all.dnd", "Gene3316-tree")</f>
        <v>Gene3316-tree</v>
      </c>
      <c r="X845">
        <v>2</v>
      </c>
      <c r="Y845">
        <v>30</v>
      </c>
      <c r="Z845">
        <v>2</v>
      </c>
      <c r="AA845">
        <v>13</v>
      </c>
      <c r="AB845">
        <v>0.86667000000000005</v>
      </c>
      <c r="AC845" t="s">
        <v>81</v>
      </c>
      <c r="AD845" t="s">
        <v>2704</v>
      </c>
      <c r="AE845">
        <v>1.25</v>
      </c>
      <c r="AF845" t="s">
        <v>65</v>
      </c>
      <c r="AG845">
        <v>4</v>
      </c>
      <c r="AH845">
        <v>8</v>
      </c>
      <c r="AI845">
        <v>20</v>
      </c>
      <c r="AJ845">
        <v>0.28571000000000002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0</v>
      </c>
      <c r="AR845">
        <v>4</v>
      </c>
      <c r="AS845">
        <v>18</v>
      </c>
      <c r="AT845">
        <v>0.18182000000000001</v>
      </c>
      <c r="AU845">
        <v>14</v>
      </c>
      <c r="AV845">
        <v>12</v>
      </c>
      <c r="AW845">
        <v>72</v>
      </c>
      <c r="AX845">
        <v>21</v>
      </c>
      <c r="AY845">
        <v>64</v>
      </c>
      <c r="AZ845">
        <v>7</v>
      </c>
      <c r="BA845" t="s">
        <v>19356</v>
      </c>
      <c r="BB845" t="s">
        <v>19357</v>
      </c>
      <c r="BC845">
        <v>1.375</v>
      </c>
      <c r="BD845" t="s">
        <v>65</v>
      </c>
      <c r="BE845">
        <v>136</v>
      </c>
      <c r="BF845">
        <v>28</v>
      </c>
      <c r="BG845" t="s">
        <v>19358</v>
      </c>
      <c r="BH845" t="s">
        <v>19359</v>
      </c>
      <c r="BI845" t="s">
        <v>19360</v>
      </c>
      <c r="BJ845">
        <v>5.8279999999999998E-2</v>
      </c>
      <c r="BK845">
        <v>1</v>
      </c>
      <c r="BL845" t="s">
        <v>69</v>
      </c>
      <c r="BM845">
        <v>0.11899999999999999</v>
      </c>
      <c r="BN845">
        <v>-0.13100000000000001</v>
      </c>
    </row>
    <row r="846" spans="2:66">
      <c r="B846">
        <v>1322</v>
      </c>
      <c r="C846">
        <v>222</v>
      </c>
      <c r="D846">
        <v>0</v>
      </c>
      <c r="E846">
        <v>4</v>
      </c>
      <c r="F846">
        <v>1</v>
      </c>
      <c r="J846">
        <v>0</v>
      </c>
      <c r="K846">
        <v>12</v>
      </c>
      <c r="L846">
        <v>1</v>
      </c>
      <c r="M846" t="s">
        <v>25022</v>
      </c>
      <c r="N846">
        <v>3317</v>
      </c>
      <c r="O846" t="s">
        <v>19361</v>
      </c>
      <c r="P846" t="s">
        <v>62</v>
      </c>
      <c r="Q846">
        <v>3290292</v>
      </c>
      <c r="R846">
        <v>3291485</v>
      </c>
      <c r="S846" t="s">
        <v>19362</v>
      </c>
      <c r="T846">
        <v>398</v>
      </c>
      <c r="U846" t="s">
        <v>629</v>
      </c>
      <c r="V846">
        <v>43</v>
      </c>
      <c r="W846" t="str">
        <f>HYPERLINK("Gene3317-zp_tree_all.dnd", "Gene3317-tree")</f>
        <v>Gene3317-tree</v>
      </c>
      <c r="X846">
        <v>7</v>
      </c>
      <c r="Y846">
        <v>9</v>
      </c>
      <c r="Z846">
        <v>7</v>
      </c>
      <c r="AA846">
        <v>9</v>
      </c>
      <c r="AB846">
        <v>0.5625</v>
      </c>
      <c r="AC846" t="s">
        <v>152</v>
      </c>
      <c r="AD846" t="s">
        <v>135</v>
      </c>
      <c r="AE846" t="s">
        <v>62</v>
      </c>
      <c r="AF846" t="s">
        <v>62</v>
      </c>
      <c r="AG846">
        <v>5</v>
      </c>
      <c r="AH846">
        <v>13</v>
      </c>
      <c r="AI846">
        <v>16</v>
      </c>
      <c r="AJ846">
        <v>0.44828000000000001</v>
      </c>
      <c r="AK846">
        <v>0</v>
      </c>
      <c r="AL846">
        <v>0</v>
      </c>
      <c r="AM846">
        <v>0</v>
      </c>
      <c r="AN846">
        <v>2</v>
      </c>
      <c r="AO846">
        <v>0</v>
      </c>
      <c r="AP846">
        <v>2</v>
      </c>
      <c r="AQ846">
        <v>4</v>
      </c>
      <c r="AR846">
        <v>6</v>
      </c>
      <c r="AS846">
        <v>16</v>
      </c>
      <c r="AT846">
        <v>0.27272999999999997</v>
      </c>
      <c r="AU846">
        <v>14</v>
      </c>
      <c r="AV846">
        <v>13</v>
      </c>
      <c r="AW846">
        <v>62</v>
      </c>
      <c r="AX846">
        <v>23</v>
      </c>
      <c r="AY846">
        <v>28</v>
      </c>
      <c r="AZ846">
        <v>7</v>
      </c>
      <c r="BA846" t="s">
        <v>19363</v>
      </c>
      <c r="BB846" t="s">
        <v>19364</v>
      </c>
      <c r="BC846">
        <v>0.25</v>
      </c>
      <c r="BD846" t="s">
        <v>65</v>
      </c>
      <c r="BE846">
        <v>90</v>
      </c>
      <c r="BF846">
        <v>30</v>
      </c>
      <c r="BG846" t="s">
        <v>19365</v>
      </c>
      <c r="BH846" t="s">
        <v>19366</v>
      </c>
      <c r="BI846" t="s">
        <v>19367</v>
      </c>
      <c r="BJ846">
        <v>0.10136000000000001</v>
      </c>
      <c r="BK846">
        <v>1</v>
      </c>
      <c r="BL846" t="s">
        <v>69</v>
      </c>
      <c r="BM846">
        <v>-1.4370000000000001</v>
      </c>
      <c r="BN846">
        <v>-2.746</v>
      </c>
    </row>
    <row r="847" spans="2:66">
      <c r="B847">
        <v>1327</v>
      </c>
      <c r="C847">
        <v>25</v>
      </c>
      <c r="D847">
        <v>0</v>
      </c>
      <c r="E847">
        <v>0</v>
      </c>
      <c r="F847">
        <v>4</v>
      </c>
      <c r="J847">
        <v>0</v>
      </c>
      <c r="K847">
        <v>2</v>
      </c>
      <c r="L847">
        <v>0</v>
      </c>
      <c r="M847" t="s">
        <v>25022</v>
      </c>
      <c r="N847">
        <v>3318</v>
      </c>
      <c r="O847" t="s">
        <v>19368</v>
      </c>
      <c r="P847" t="s">
        <v>62</v>
      </c>
      <c r="Q847">
        <v>3291514</v>
      </c>
      <c r="R847">
        <v>3292296</v>
      </c>
      <c r="S847" t="s">
        <v>19369</v>
      </c>
      <c r="T847">
        <v>261</v>
      </c>
      <c r="U847" t="s">
        <v>108</v>
      </c>
      <c r="V847">
        <v>44</v>
      </c>
      <c r="W847" t="str">
        <f>HYPERLINK("Gene3318-zp_tree_all.dnd", "Gene3318-tree")</f>
        <v>Gene3318-tree</v>
      </c>
      <c r="X847">
        <v>9</v>
      </c>
      <c r="Y847">
        <v>6</v>
      </c>
      <c r="Z847">
        <v>9</v>
      </c>
      <c r="AA847">
        <v>6</v>
      </c>
      <c r="AB847">
        <v>0.4</v>
      </c>
      <c r="AC847" t="s">
        <v>135</v>
      </c>
      <c r="AD847" t="s">
        <v>90</v>
      </c>
      <c r="AE847" t="s">
        <v>62</v>
      </c>
      <c r="AF847" t="s">
        <v>62</v>
      </c>
      <c r="AG847">
        <v>1</v>
      </c>
      <c r="AH847">
        <v>2</v>
      </c>
      <c r="AI847">
        <v>9</v>
      </c>
      <c r="AJ847">
        <v>0.18182000000000001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7</v>
      </c>
      <c r="AT847">
        <v>0</v>
      </c>
      <c r="AU847">
        <v>13</v>
      </c>
      <c r="AV847">
        <v>8</v>
      </c>
      <c r="AW847">
        <v>18</v>
      </c>
      <c r="AX847">
        <v>7</v>
      </c>
      <c r="AY847">
        <v>13</v>
      </c>
      <c r="AZ847">
        <v>5</v>
      </c>
      <c r="BA847" t="s">
        <v>19370</v>
      </c>
      <c r="BB847" t="s">
        <v>19371</v>
      </c>
      <c r="BC847">
        <v>8.9999999999999993E-3</v>
      </c>
      <c r="BD847" t="s">
        <v>65</v>
      </c>
      <c r="BE847">
        <v>31</v>
      </c>
      <c r="BF847">
        <v>12</v>
      </c>
      <c r="BG847" t="s">
        <v>19372</v>
      </c>
      <c r="BH847" t="s">
        <v>19373</v>
      </c>
      <c r="BI847" t="s">
        <v>19374</v>
      </c>
      <c r="BJ847">
        <v>0.13768</v>
      </c>
      <c r="BK847">
        <v>1</v>
      </c>
      <c r="BL847" t="s">
        <v>69</v>
      </c>
      <c r="BM847">
        <v>-1.2869999999999999</v>
      </c>
      <c r="BN847">
        <v>-0.76500000000000001</v>
      </c>
    </row>
    <row r="848" spans="2:66">
      <c r="B848">
        <v>1328</v>
      </c>
      <c r="C848">
        <v>236</v>
      </c>
      <c r="D848">
        <v>0</v>
      </c>
      <c r="E848">
        <v>22</v>
      </c>
      <c r="F848">
        <v>0</v>
      </c>
      <c r="J848">
        <v>0</v>
      </c>
      <c r="K848">
        <v>3</v>
      </c>
      <c r="L848">
        <v>2</v>
      </c>
      <c r="M848" t="s">
        <v>25022</v>
      </c>
      <c r="N848">
        <v>3319</v>
      </c>
      <c r="O848" t="s">
        <v>19375</v>
      </c>
      <c r="P848" t="s">
        <v>62</v>
      </c>
      <c r="Q848">
        <v>3292493</v>
      </c>
      <c r="R848">
        <v>3293359</v>
      </c>
      <c r="S848" t="s">
        <v>19376</v>
      </c>
      <c r="T848">
        <v>289</v>
      </c>
      <c r="U848" t="s">
        <v>108</v>
      </c>
      <c r="V848">
        <v>44</v>
      </c>
      <c r="W848" t="str">
        <f>HYPERLINK("Gene3319-zp_tree_all.dnd", "Gene3319-tree")</f>
        <v>Gene3319-tree</v>
      </c>
      <c r="X848">
        <v>2</v>
      </c>
      <c r="Y848">
        <v>13</v>
      </c>
      <c r="Z848">
        <v>2</v>
      </c>
      <c r="AA848">
        <v>13</v>
      </c>
      <c r="AB848">
        <v>0.86667000000000005</v>
      </c>
      <c r="AC848" t="s">
        <v>81</v>
      </c>
      <c r="AD848" t="s">
        <v>507</v>
      </c>
      <c r="AE848" t="s">
        <v>62</v>
      </c>
      <c r="AF848" t="s">
        <v>62</v>
      </c>
      <c r="AG848">
        <v>2</v>
      </c>
      <c r="AH848">
        <v>5</v>
      </c>
      <c r="AI848">
        <v>17</v>
      </c>
      <c r="AJ848">
        <v>0.22727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3</v>
      </c>
      <c r="AQ848">
        <v>2</v>
      </c>
      <c r="AR848">
        <v>5</v>
      </c>
      <c r="AS848">
        <v>15</v>
      </c>
      <c r="AT848">
        <v>0.25</v>
      </c>
      <c r="AU848">
        <v>14</v>
      </c>
      <c r="AV848">
        <v>10</v>
      </c>
      <c r="AW848">
        <v>26</v>
      </c>
      <c r="AX848">
        <v>19</v>
      </c>
      <c r="AY848">
        <v>18</v>
      </c>
      <c r="AZ848">
        <v>3</v>
      </c>
      <c r="BA848" t="s">
        <v>19377</v>
      </c>
      <c r="BB848" t="s">
        <v>19378</v>
      </c>
      <c r="BC848">
        <v>1.7170000000000001</v>
      </c>
      <c r="BD848" t="s">
        <v>65</v>
      </c>
      <c r="BE848">
        <v>44</v>
      </c>
      <c r="BF848">
        <v>22</v>
      </c>
      <c r="BG848" t="s">
        <v>19379</v>
      </c>
      <c r="BH848" t="s">
        <v>19380</v>
      </c>
      <c r="BI848" t="s">
        <v>19381</v>
      </c>
      <c r="BJ848">
        <v>0.12306</v>
      </c>
      <c r="BK848">
        <v>1</v>
      </c>
      <c r="BL848" t="s">
        <v>69</v>
      </c>
      <c r="BM848">
        <v>-1.171</v>
      </c>
      <c r="BN848">
        <v>-1.556</v>
      </c>
    </row>
    <row r="849" spans="2:66">
      <c r="B849">
        <v>1331</v>
      </c>
      <c r="C849">
        <v>103</v>
      </c>
      <c r="D849">
        <v>0</v>
      </c>
      <c r="E849">
        <v>7</v>
      </c>
      <c r="F849">
        <v>0</v>
      </c>
      <c r="J849">
        <v>0</v>
      </c>
      <c r="K849">
        <v>2</v>
      </c>
      <c r="L849">
        <v>0</v>
      </c>
      <c r="M849" t="s">
        <v>25022</v>
      </c>
      <c r="N849">
        <v>3320</v>
      </c>
      <c r="O849" t="s">
        <v>19382</v>
      </c>
      <c r="P849" t="s">
        <v>62</v>
      </c>
      <c r="Q849">
        <v>3293576</v>
      </c>
      <c r="R849">
        <v>3294169</v>
      </c>
      <c r="S849" t="s">
        <v>19383</v>
      </c>
      <c r="T849">
        <v>198</v>
      </c>
      <c r="U849" t="s">
        <v>108</v>
      </c>
      <c r="V849">
        <v>44</v>
      </c>
      <c r="W849" t="str">
        <f>HYPERLINK("Gene3320-zp_tree_all.dnd", "Gene3320-tree")</f>
        <v>Gene3320-tree</v>
      </c>
      <c r="X849">
        <v>7</v>
      </c>
      <c r="Y849">
        <v>5</v>
      </c>
      <c r="Z849">
        <v>7</v>
      </c>
      <c r="AA849">
        <v>5</v>
      </c>
      <c r="AB849">
        <v>0.41666999999999998</v>
      </c>
      <c r="AC849" t="s">
        <v>152</v>
      </c>
      <c r="AD849" t="s">
        <v>199</v>
      </c>
      <c r="AE849" t="s">
        <v>62</v>
      </c>
      <c r="AF849" t="s">
        <v>62</v>
      </c>
      <c r="AG849">
        <v>1</v>
      </c>
      <c r="AH849">
        <v>2</v>
      </c>
      <c r="AI849">
        <v>5</v>
      </c>
      <c r="AJ849">
        <v>0.28571000000000002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2</v>
      </c>
      <c r="AQ849">
        <v>0</v>
      </c>
      <c r="AR849">
        <v>2</v>
      </c>
      <c r="AS849">
        <v>5</v>
      </c>
      <c r="AT849">
        <v>0.28571000000000002</v>
      </c>
      <c r="AU849">
        <v>10</v>
      </c>
      <c r="AV849">
        <v>5</v>
      </c>
      <c r="AW849">
        <v>18</v>
      </c>
      <c r="AX849">
        <v>7</v>
      </c>
      <c r="AY849">
        <v>9</v>
      </c>
      <c r="AZ849">
        <v>0</v>
      </c>
      <c r="BA849" t="s">
        <v>19384</v>
      </c>
      <c r="BB849" t="s">
        <v>193</v>
      </c>
      <c r="BC849">
        <v>1.431</v>
      </c>
      <c r="BD849" t="s">
        <v>65</v>
      </c>
      <c r="BE849">
        <v>27</v>
      </c>
      <c r="BF849">
        <v>7</v>
      </c>
      <c r="BG849" t="s">
        <v>19385</v>
      </c>
      <c r="BH849" t="s">
        <v>19386</v>
      </c>
      <c r="BI849" t="s">
        <v>19387</v>
      </c>
      <c r="BJ849">
        <v>5.3150000000000003E-2</v>
      </c>
      <c r="BK849">
        <v>1</v>
      </c>
      <c r="BL849" t="s">
        <v>69</v>
      </c>
      <c r="BM849">
        <v>-0.98</v>
      </c>
      <c r="BN849">
        <v>-0.92500000000000004</v>
      </c>
    </row>
    <row r="850" spans="2:66">
      <c r="B850">
        <v>1334</v>
      </c>
      <c r="C850">
        <v>55</v>
      </c>
      <c r="D850">
        <v>0</v>
      </c>
      <c r="E850">
        <v>2</v>
      </c>
      <c r="F850">
        <v>0</v>
      </c>
      <c r="J850">
        <v>0</v>
      </c>
      <c r="K850">
        <v>0</v>
      </c>
      <c r="L850">
        <v>0</v>
      </c>
      <c r="M850" t="s">
        <v>25022</v>
      </c>
      <c r="N850">
        <v>3322</v>
      </c>
      <c r="O850" t="s">
        <v>19395</v>
      </c>
      <c r="P850" t="s">
        <v>62</v>
      </c>
      <c r="Q850">
        <v>3294945</v>
      </c>
      <c r="R850">
        <v>3296270</v>
      </c>
      <c r="S850" t="s">
        <v>19396</v>
      </c>
      <c r="T850">
        <v>442</v>
      </c>
      <c r="U850" t="s">
        <v>108</v>
      </c>
      <c r="V850">
        <v>44</v>
      </c>
      <c r="W850" t="str">
        <f>HYPERLINK("Gene3322-zp_tree_all.dnd", "Gene3322-tree")</f>
        <v>Gene3322-tree</v>
      </c>
      <c r="X850">
        <v>12</v>
      </c>
      <c r="Y850">
        <v>4</v>
      </c>
      <c r="Z850">
        <v>12</v>
      </c>
      <c r="AA850">
        <v>4</v>
      </c>
      <c r="AB850">
        <v>0.25</v>
      </c>
      <c r="AC850" t="s">
        <v>109</v>
      </c>
      <c r="AD850" t="s">
        <v>61</v>
      </c>
      <c r="AE850" t="s">
        <v>62</v>
      </c>
      <c r="AF850" t="s">
        <v>62</v>
      </c>
      <c r="AG850">
        <v>0</v>
      </c>
      <c r="AH850">
        <v>0</v>
      </c>
      <c r="AI850">
        <v>17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16</v>
      </c>
      <c r="AT850">
        <v>0</v>
      </c>
      <c r="AU850">
        <v>10</v>
      </c>
      <c r="AV850">
        <v>12</v>
      </c>
      <c r="AW850">
        <v>67</v>
      </c>
      <c r="AX850">
        <v>19</v>
      </c>
      <c r="AY850">
        <v>36</v>
      </c>
      <c r="AZ850">
        <v>1</v>
      </c>
      <c r="BA850" t="s">
        <v>19397</v>
      </c>
      <c r="BB850" t="s">
        <v>19398</v>
      </c>
      <c r="BC850">
        <v>0.36299999999999999</v>
      </c>
      <c r="BD850" t="s">
        <v>65</v>
      </c>
      <c r="BE850">
        <v>103</v>
      </c>
      <c r="BF850">
        <v>20</v>
      </c>
      <c r="BG850" t="s">
        <v>19399</v>
      </c>
      <c r="BH850" t="s">
        <v>19400</v>
      </c>
      <c r="BI850" t="s">
        <v>19401</v>
      </c>
      <c r="BJ850">
        <v>5.033E-2</v>
      </c>
      <c r="BK850">
        <v>1</v>
      </c>
      <c r="BL850" t="s">
        <v>69</v>
      </c>
      <c r="BM850">
        <v>-1.9950000000000001</v>
      </c>
      <c r="BN850">
        <v>-3.5529999999999999</v>
      </c>
    </row>
    <row r="851" spans="2:66">
      <c r="B851">
        <v>1336</v>
      </c>
      <c r="C851">
        <v>171</v>
      </c>
      <c r="D851">
        <v>0</v>
      </c>
      <c r="E851">
        <v>7</v>
      </c>
      <c r="F851">
        <v>0</v>
      </c>
      <c r="J851">
        <v>0</v>
      </c>
      <c r="K851">
        <v>2</v>
      </c>
      <c r="L851">
        <v>0</v>
      </c>
      <c r="M851" t="s">
        <v>25022</v>
      </c>
      <c r="N851">
        <v>3323</v>
      </c>
      <c r="O851" t="s">
        <v>19402</v>
      </c>
      <c r="P851" t="s">
        <v>62</v>
      </c>
      <c r="Q851">
        <v>3296420</v>
      </c>
      <c r="R851">
        <v>3297919</v>
      </c>
      <c r="S851" t="s">
        <v>19403</v>
      </c>
      <c r="T851">
        <v>500</v>
      </c>
      <c r="U851" t="s">
        <v>108</v>
      </c>
      <c r="V851">
        <v>44</v>
      </c>
      <c r="W851" t="str">
        <f>HYPERLINK("Gene3323-zp_tree_all.dnd", "Gene3323-tree")</f>
        <v>Gene3323-tree</v>
      </c>
      <c r="X851">
        <v>11</v>
      </c>
      <c r="Y851">
        <v>3</v>
      </c>
      <c r="Z851">
        <v>11</v>
      </c>
      <c r="AA851">
        <v>3</v>
      </c>
      <c r="AB851">
        <v>0.21429000000000001</v>
      </c>
      <c r="AC851" t="s">
        <v>73</v>
      </c>
      <c r="AD851" t="s">
        <v>324</v>
      </c>
      <c r="AE851" t="s">
        <v>62</v>
      </c>
      <c r="AF851" t="s">
        <v>62</v>
      </c>
      <c r="AG851">
        <v>1</v>
      </c>
      <c r="AH851">
        <v>2</v>
      </c>
      <c r="AI851">
        <v>6</v>
      </c>
      <c r="AJ851">
        <v>0.25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4</v>
      </c>
      <c r="AT851">
        <v>0</v>
      </c>
      <c r="AU851">
        <v>13</v>
      </c>
      <c r="AV851">
        <v>10</v>
      </c>
      <c r="AW851">
        <v>42</v>
      </c>
      <c r="AX851">
        <v>5</v>
      </c>
      <c r="AY851">
        <v>21</v>
      </c>
      <c r="AZ851">
        <v>4</v>
      </c>
      <c r="BA851" t="s">
        <v>19404</v>
      </c>
      <c r="BB851" t="s">
        <v>19405</v>
      </c>
      <c r="BC851">
        <v>0.19</v>
      </c>
      <c r="BD851" t="s">
        <v>65</v>
      </c>
      <c r="BE851">
        <v>63</v>
      </c>
      <c r="BF851">
        <v>9</v>
      </c>
      <c r="BG851" t="s">
        <v>19406</v>
      </c>
      <c r="BH851" t="s">
        <v>19407</v>
      </c>
      <c r="BI851" t="s">
        <v>19408</v>
      </c>
      <c r="BJ851">
        <v>4.7530000000000003E-2</v>
      </c>
      <c r="BK851">
        <v>1</v>
      </c>
      <c r="BL851" t="s">
        <v>69</v>
      </c>
      <c r="BM851">
        <v>-0.42899999999999999</v>
      </c>
      <c r="BN851">
        <v>-1.2969999999999999</v>
      </c>
    </row>
    <row r="852" spans="2:66">
      <c r="B852">
        <v>1337</v>
      </c>
      <c r="C852">
        <v>86</v>
      </c>
      <c r="D852">
        <v>0</v>
      </c>
      <c r="E852">
        <v>7</v>
      </c>
      <c r="F852">
        <v>0</v>
      </c>
      <c r="J852">
        <v>0</v>
      </c>
      <c r="K852">
        <v>0</v>
      </c>
      <c r="L852">
        <v>0</v>
      </c>
      <c r="M852" t="s">
        <v>25022</v>
      </c>
      <c r="N852">
        <v>3325</v>
      </c>
      <c r="O852" t="s">
        <v>19415</v>
      </c>
      <c r="P852" t="s">
        <v>62</v>
      </c>
      <c r="Q852">
        <v>3298587</v>
      </c>
      <c r="R852">
        <v>3299240</v>
      </c>
      <c r="S852" t="s">
        <v>19416</v>
      </c>
      <c r="T852">
        <v>218</v>
      </c>
      <c r="U852" t="s">
        <v>108</v>
      </c>
      <c r="V852">
        <v>44</v>
      </c>
      <c r="W852" t="str">
        <f>HYPERLINK("Gene3325-zp_tree_all.dnd", "Gene3325-tree")</f>
        <v>Gene3325-tree</v>
      </c>
      <c r="X852">
        <v>10</v>
      </c>
      <c r="Y852">
        <v>4</v>
      </c>
      <c r="Z852">
        <v>10</v>
      </c>
      <c r="AA852">
        <v>4</v>
      </c>
      <c r="AB852">
        <v>0.28571000000000002</v>
      </c>
      <c r="AC852" t="s">
        <v>117</v>
      </c>
      <c r="AD852" t="s">
        <v>61</v>
      </c>
      <c r="AE852" t="s">
        <v>62</v>
      </c>
      <c r="AF852" t="s">
        <v>62</v>
      </c>
      <c r="AG852">
        <v>0</v>
      </c>
      <c r="AH852">
        <v>0</v>
      </c>
      <c r="AI852">
        <v>7</v>
      </c>
      <c r="AJ852">
        <v>0</v>
      </c>
      <c r="AK852">
        <v>0</v>
      </c>
      <c r="AL852">
        <v>0</v>
      </c>
      <c r="AM852">
        <v>0</v>
      </c>
      <c r="AN852">
        <v>2</v>
      </c>
      <c r="AO852">
        <v>0</v>
      </c>
      <c r="AP852">
        <v>0</v>
      </c>
      <c r="AQ852">
        <v>0</v>
      </c>
      <c r="AR852">
        <v>0</v>
      </c>
      <c r="AS852">
        <v>5</v>
      </c>
      <c r="AT852">
        <v>0</v>
      </c>
      <c r="AU852">
        <v>11</v>
      </c>
      <c r="AV852">
        <v>3</v>
      </c>
      <c r="AW852">
        <v>24</v>
      </c>
      <c r="AX852">
        <v>5</v>
      </c>
      <c r="AY852">
        <v>2</v>
      </c>
      <c r="AZ852">
        <v>2</v>
      </c>
      <c r="BA852" t="s">
        <v>19417</v>
      </c>
      <c r="BB852" t="s">
        <v>19418</v>
      </c>
      <c r="BC852">
        <v>0.54300000000000004</v>
      </c>
      <c r="BD852" t="s">
        <v>65</v>
      </c>
      <c r="BE852">
        <v>26</v>
      </c>
      <c r="BF852">
        <v>7</v>
      </c>
      <c r="BG852" t="s">
        <v>19419</v>
      </c>
      <c r="BH852" t="s">
        <v>19420</v>
      </c>
      <c r="BI852" t="s">
        <v>19421</v>
      </c>
      <c r="BJ852">
        <v>9.4460000000000002E-2</v>
      </c>
      <c r="BK852">
        <v>1</v>
      </c>
      <c r="BL852" t="s">
        <v>69</v>
      </c>
      <c r="BM852">
        <v>-1.764</v>
      </c>
      <c r="BN852">
        <v>-2.68</v>
      </c>
    </row>
    <row r="853" spans="2:66">
      <c r="B853">
        <v>1339</v>
      </c>
      <c r="C853">
        <v>108</v>
      </c>
      <c r="D853">
        <v>0</v>
      </c>
      <c r="E853">
        <v>2</v>
      </c>
      <c r="F853">
        <v>2</v>
      </c>
      <c r="J853">
        <v>0</v>
      </c>
      <c r="K853">
        <v>4</v>
      </c>
      <c r="L853">
        <v>0</v>
      </c>
      <c r="M853" t="s">
        <v>25022</v>
      </c>
      <c r="N853">
        <v>3326</v>
      </c>
      <c r="O853" t="s">
        <v>19422</v>
      </c>
      <c r="P853" t="s">
        <v>62</v>
      </c>
      <c r="Q853">
        <v>3299347</v>
      </c>
      <c r="R853">
        <v>3299664</v>
      </c>
      <c r="S853" t="s">
        <v>116</v>
      </c>
      <c r="T853">
        <v>106</v>
      </c>
      <c r="U853" t="s">
        <v>59</v>
      </c>
      <c r="V853">
        <v>49</v>
      </c>
      <c r="W853" t="str">
        <f>HYPERLINK("Gene3326-zp_tree_all.dnd", "Gene3326-tree")</f>
        <v>Gene3326-tree</v>
      </c>
      <c r="X853">
        <v>13</v>
      </c>
      <c r="Y853">
        <v>4</v>
      </c>
      <c r="Z853">
        <v>13</v>
      </c>
      <c r="AA853">
        <v>4</v>
      </c>
      <c r="AB853">
        <v>0.23529</v>
      </c>
      <c r="AC853" t="s">
        <v>507</v>
      </c>
      <c r="AD853" t="s">
        <v>61</v>
      </c>
      <c r="AE853" t="s">
        <v>62</v>
      </c>
      <c r="AF853" t="s">
        <v>62</v>
      </c>
      <c r="AG853">
        <v>2</v>
      </c>
      <c r="AH853">
        <v>4</v>
      </c>
      <c r="AI853">
        <v>9</v>
      </c>
      <c r="AJ853">
        <v>0.30769000000000002</v>
      </c>
      <c r="AK853">
        <v>0</v>
      </c>
      <c r="AL853">
        <v>0</v>
      </c>
      <c r="AM853">
        <v>0</v>
      </c>
      <c r="AN853">
        <v>4</v>
      </c>
      <c r="AO853">
        <v>0</v>
      </c>
      <c r="AP853">
        <v>0</v>
      </c>
      <c r="AQ853">
        <v>0</v>
      </c>
      <c r="AR853">
        <v>0</v>
      </c>
      <c r="AS853">
        <v>5</v>
      </c>
      <c r="AT853">
        <v>0</v>
      </c>
      <c r="AU853">
        <v>11</v>
      </c>
      <c r="AV853">
        <v>8</v>
      </c>
      <c r="AW853">
        <v>19</v>
      </c>
      <c r="AX853">
        <v>6</v>
      </c>
      <c r="AY853">
        <v>8</v>
      </c>
      <c r="AZ853">
        <v>8</v>
      </c>
      <c r="BA853" t="s">
        <v>19423</v>
      </c>
      <c r="BB853" t="s">
        <v>19424</v>
      </c>
      <c r="BC853">
        <v>1.147</v>
      </c>
      <c r="BD853" t="s">
        <v>65</v>
      </c>
      <c r="BE853">
        <v>27</v>
      </c>
      <c r="BF853">
        <v>14</v>
      </c>
      <c r="BG853" t="s">
        <v>19425</v>
      </c>
      <c r="BH853" t="s">
        <v>19426</v>
      </c>
      <c r="BI853" t="s">
        <v>19427</v>
      </c>
      <c r="BJ853">
        <v>0.22056999999999999</v>
      </c>
      <c r="BK853">
        <v>1</v>
      </c>
      <c r="BL853" t="s">
        <v>69</v>
      </c>
      <c r="BM853">
        <v>-1.294</v>
      </c>
      <c r="BN853">
        <v>-1.401</v>
      </c>
    </row>
    <row r="854" spans="2:66">
      <c r="B854">
        <v>1341</v>
      </c>
      <c r="C854">
        <v>84</v>
      </c>
      <c r="D854">
        <v>0</v>
      </c>
      <c r="E854">
        <v>6</v>
      </c>
      <c r="F854">
        <v>5</v>
      </c>
      <c r="J854">
        <v>0</v>
      </c>
      <c r="K854">
        <v>3</v>
      </c>
      <c r="L854">
        <v>1</v>
      </c>
      <c r="M854" t="s">
        <v>25022</v>
      </c>
      <c r="N854">
        <v>3327</v>
      </c>
      <c r="O854" t="s">
        <v>19428</v>
      </c>
      <c r="P854" t="s">
        <v>62</v>
      </c>
      <c r="Q854">
        <v>3299721</v>
      </c>
      <c r="R854">
        <v>3299861</v>
      </c>
      <c r="S854" t="s">
        <v>116</v>
      </c>
      <c r="T854">
        <v>47</v>
      </c>
      <c r="U854" t="s">
        <v>59</v>
      </c>
      <c r="V854">
        <v>49</v>
      </c>
      <c r="W854" t="str">
        <f>HYPERLINK("Gene3327-zp_tree_all.dnd", "Gene3327-tree")</f>
        <v>Gene3327-tree</v>
      </c>
      <c r="X854">
        <v>5</v>
      </c>
      <c r="Y854">
        <v>4</v>
      </c>
      <c r="Z854">
        <v>5</v>
      </c>
      <c r="AA854">
        <v>4</v>
      </c>
      <c r="AB854">
        <v>0.44444</v>
      </c>
      <c r="AC854" t="s">
        <v>199</v>
      </c>
      <c r="AD854" t="s">
        <v>61</v>
      </c>
      <c r="AE854" t="s">
        <v>62</v>
      </c>
      <c r="AF854" t="s">
        <v>62</v>
      </c>
      <c r="AG854">
        <v>1</v>
      </c>
      <c r="AH854">
        <v>4</v>
      </c>
      <c r="AI854">
        <v>3</v>
      </c>
      <c r="AJ854">
        <v>0.57142999999999999</v>
      </c>
      <c r="AK854">
        <v>2</v>
      </c>
      <c r="AL854">
        <v>0</v>
      </c>
      <c r="AM854">
        <v>2</v>
      </c>
      <c r="AN854">
        <v>1</v>
      </c>
      <c r="AO854">
        <v>0.66666999999999998</v>
      </c>
      <c r="AP854">
        <v>0</v>
      </c>
      <c r="AQ854">
        <v>2</v>
      </c>
      <c r="AR854">
        <v>2</v>
      </c>
      <c r="AS854">
        <v>2</v>
      </c>
      <c r="AT854">
        <v>0.5</v>
      </c>
      <c r="AU854">
        <v>7</v>
      </c>
      <c r="AV854">
        <v>3</v>
      </c>
      <c r="AW854">
        <v>6</v>
      </c>
      <c r="AX854">
        <v>4</v>
      </c>
      <c r="AY854">
        <v>5</v>
      </c>
      <c r="AZ854">
        <v>3</v>
      </c>
      <c r="BA854" t="s">
        <v>19429</v>
      </c>
      <c r="BB854" t="s">
        <v>19430</v>
      </c>
      <c r="BC854">
        <v>0.157</v>
      </c>
      <c r="BD854" t="s">
        <v>65</v>
      </c>
      <c r="BE854">
        <v>11</v>
      </c>
      <c r="BF854">
        <v>7</v>
      </c>
      <c r="BG854" t="s">
        <v>19431</v>
      </c>
      <c r="BH854" t="s">
        <v>19432</v>
      </c>
      <c r="BI854" t="s">
        <v>19433</v>
      </c>
      <c r="BJ854">
        <v>9.9400000000000002E-2</v>
      </c>
      <c r="BK854">
        <v>1</v>
      </c>
      <c r="BL854" t="s">
        <v>69</v>
      </c>
      <c r="BM854">
        <v>-1.2430000000000001</v>
      </c>
      <c r="BN854">
        <v>-0.52</v>
      </c>
    </row>
    <row r="855" spans="2:66">
      <c r="B855">
        <v>1343</v>
      </c>
      <c r="C855">
        <v>6</v>
      </c>
      <c r="D855">
        <v>0</v>
      </c>
      <c r="E855">
        <v>4</v>
      </c>
      <c r="F855">
        <v>0</v>
      </c>
      <c r="J855">
        <v>0</v>
      </c>
      <c r="K855">
        <v>3</v>
      </c>
      <c r="L855">
        <v>0</v>
      </c>
      <c r="M855" t="s">
        <v>25022</v>
      </c>
      <c r="N855">
        <v>3328</v>
      </c>
      <c r="O855" t="s">
        <v>19434</v>
      </c>
      <c r="P855" t="s">
        <v>62</v>
      </c>
      <c r="Q855">
        <v>3300037</v>
      </c>
      <c r="R855">
        <v>3301254</v>
      </c>
      <c r="S855" t="s">
        <v>19435</v>
      </c>
      <c r="T855">
        <v>406</v>
      </c>
      <c r="U855" t="s">
        <v>108</v>
      </c>
      <c r="V855">
        <v>44</v>
      </c>
      <c r="W855" t="str">
        <f>HYPERLINK("Gene3328-zp_tree_all.dnd", "Gene3328-tree")</f>
        <v>Gene3328-tree</v>
      </c>
      <c r="X855">
        <v>8</v>
      </c>
      <c r="Y855">
        <v>6</v>
      </c>
      <c r="Z855">
        <v>8</v>
      </c>
      <c r="AA855">
        <v>6</v>
      </c>
      <c r="AB855">
        <v>0.42857000000000001</v>
      </c>
      <c r="AC855" t="s">
        <v>136</v>
      </c>
      <c r="AD855" t="s">
        <v>90</v>
      </c>
      <c r="AE855" t="s">
        <v>62</v>
      </c>
      <c r="AF855" t="s">
        <v>62</v>
      </c>
      <c r="AG855">
        <v>1</v>
      </c>
      <c r="AH855">
        <v>3</v>
      </c>
      <c r="AI855">
        <v>8</v>
      </c>
      <c r="AJ855">
        <v>0.27272999999999997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2</v>
      </c>
      <c r="AQ855">
        <v>0</v>
      </c>
      <c r="AR855">
        <v>2</v>
      </c>
      <c r="AS855">
        <v>8</v>
      </c>
      <c r="AT855">
        <v>0.2</v>
      </c>
      <c r="AU855">
        <v>11</v>
      </c>
      <c r="AV855">
        <v>11</v>
      </c>
      <c r="AW855">
        <v>47</v>
      </c>
      <c r="AX855">
        <v>10</v>
      </c>
      <c r="AY855">
        <v>37</v>
      </c>
      <c r="AZ855">
        <v>1</v>
      </c>
      <c r="BA855" t="s">
        <v>19436</v>
      </c>
      <c r="BB855" t="s">
        <v>19437</v>
      </c>
      <c r="BC855">
        <v>1.107</v>
      </c>
      <c r="BD855" t="s">
        <v>65</v>
      </c>
      <c r="BE855">
        <v>84</v>
      </c>
      <c r="BF855">
        <v>11</v>
      </c>
      <c r="BG855" t="s">
        <v>8609</v>
      </c>
      <c r="BH855" t="s">
        <v>19438</v>
      </c>
      <c r="BI855" t="s">
        <v>19439</v>
      </c>
      <c r="BJ855">
        <v>2.887E-2</v>
      </c>
      <c r="BK855">
        <v>1</v>
      </c>
      <c r="BL855" t="s">
        <v>69</v>
      </c>
      <c r="BM855">
        <v>-0.61799999999999999</v>
      </c>
      <c r="BN855">
        <v>-1.05</v>
      </c>
    </row>
    <row r="856" spans="2:66">
      <c r="B856">
        <v>1344</v>
      </c>
      <c r="C856">
        <v>148</v>
      </c>
      <c r="D856">
        <v>0</v>
      </c>
      <c r="E856">
        <v>4</v>
      </c>
      <c r="F856">
        <v>0</v>
      </c>
      <c r="J856">
        <v>0</v>
      </c>
      <c r="K856">
        <v>0</v>
      </c>
      <c r="L856">
        <v>0</v>
      </c>
      <c r="M856" t="s">
        <v>25022</v>
      </c>
      <c r="N856">
        <v>3330</v>
      </c>
      <c r="O856" t="s">
        <v>19447</v>
      </c>
      <c r="P856" t="s">
        <v>62</v>
      </c>
      <c r="Q856">
        <v>3302626</v>
      </c>
      <c r="R856">
        <v>3302763</v>
      </c>
      <c r="S856" t="s">
        <v>19448</v>
      </c>
      <c r="T856">
        <v>46</v>
      </c>
      <c r="U856" t="s">
        <v>108</v>
      </c>
      <c r="V856">
        <v>44</v>
      </c>
      <c r="W856" t="str">
        <f>HYPERLINK("Gene3330-zp_tree_all.dnd", "Gene3330-tree")</f>
        <v>Gene3330-tree</v>
      </c>
      <c r="X856">
        <v>5</v>
      </c>
      <c r="Y856">
        <v>1</v>
      </c>
      <c r="Z856">
        <v>5</v>
      </c>
      <c r="AA856">
        <v>1</v>
      </c>
      <c r="AB856">
        <v>0.16667000000000001</v>
      </c>
      <c r="AC856" t="s">
        <v>199</v>
      </c>
      <c r="AD856" t="s">
        <v>175</v>
      </c>
      <c r="AE856" t="s">
        <v>62</v>
      </c>
      <c r="AF856" t="s">
        <v>62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5</v>
      </c>
      <c r="AV856">
        <v>0</v>
      </c>
      <c r="AW856">
        <v>7</v>
      </c>
      <c r="AX856">
        <v>1</v>
      </c>
      <c r="AY856">
        <v>0</v>
      </c>
      <c r="AZ856">
        <v>0</v>
      </c>
      <c r="BA856" t="s">
        <v>19449</v>
      </c>
      <c r="BB856" t="s">
        <v>193</v>
      </c>
      <c r="BC856">
        <v>0.49099999999999999</v>
      </c>
      <c r="BD856" t="s">
        <v>65</v>
      </c>
      <c r="BE856">
        <v>7</v>
      </c>
      <c r="BF856">
        <v>1</v>
      </c>
      <c r="BG856" t="s">
        <v>19450</v>
      </c>
      <c r="BH856" t="s">
        <v>19451</v>
      </c>
      <c r="BI856" t="s">
        <v>19452</v>
      </c>
      <c r="BJ856">
        <v>3.7609999999999998E-2</v>
      </c>
      <c r="BK856">
        <v>1</v>
      </c>
      <c r="BL856" t="s">
        <v>69</v>
      </c>
      <c r="BM856">
        <v>-1.8680000000000001</v>
      </c>
      <c r="BN856">
        <v>-2.165</v>
      </c>
    </row>
    <row r="857" spans="2:66">
      <c r="B857">
        <v>1345</v>
      </c>
      <c r="C857">
        <v>87</v>
      </c>
      <c r="D857">
        <v>0</v>
      </c>
      <c r="E857">
        <v>8</v>
      </c>
      <c r="F857">
        <v>2</v>
      </c>
      <c r="J857">
        <v>0</v>
      </c>
      <c r="K857">
        <v>5</v>
      </c>
      <c r="L857">
        <v>0</v>
      </c>
      <c r="M857" t="s">
        <v>25022</v>
      </c>
      <c r="N857">
        <v>3332</v>
      </c>
      <c r="O857" t="s">
        <v>19459</v>
      </c>
      <c r="P857" t="s">
        <v>62</v>
      </c>
      <c r="Q857">
        <v>3304099</v>
      </c>
      <c r="R857">
        <v>3304719</v>
      </c>
      <c r="S857" t="s">
        <v>19460</v>
      </c>
      <c r="T857">
        <v>207</v>
      </c>
      <c r="U857" t="s">
        <v>465</v>
      </c>
      <c r="V857">
        <v>46</v>
      </c>
      <c r="W857" t="str">
        <f>HYPERLINK("Gene3332-zp_tree_all.dnd", "Gene3332-tree")</f>
        <v>Gene3332-tree</v>
      </c>
      <c r="X857">
        <v>8</v>
      </c>
      <c r="Y857">
        <v>10</v>
      </c>
      <c r="Z857">
        <v>8</v>
      </c>
      <c r="AA857">
        <v>10</v>
      </c>
      <c r="AB857">
        <v>0.55556000000000005</v>
      </c>
      <c r="AC857" t="s">
        <v>136</v>
      </c>
      <c r="AD857" t="s">
        <v>117</v>
      </c>
      <c r="AE857" t="s">
        <v>62</v>
      </c>
      <c r="AF857" t="s">
        <v>62</v>
      </c>
      <c r="AG857">
        <v>2</v>
      </c>
      <c r="AH857">
        <v>5</v>
      </c>
      <c r="AI857">
        <v>19</v>
      </c>
      <c r="AJ857">
        <v>0.20832999999999999</v>
      </c>
      <c r="AK857">
        <v>0</v>
      </c>
      <c r="AL857">
        <v>0</v>
      </c>
      <c r="AM857">
        <v>0</v>
      </c>
      <c r="AN857">
        <v>7</v>
      </c>
      <c r="AO857">
        <v>0</v>
      </c>
      <c r="AP857">
        <v>4</v>
      </c>
      <c r="AQ857">
        <v>0</v>
      </c>
      <c r="AR857">
        <v>4</v>
      </c>
      <c r="AS857">
        <v>11</v>
      </c>
      <c r="AT857">
        <v>0.26667000000000002</v>
      </c>
      <c r="AU857">
        <v>15</v>
      </c>
      <c r="AV857">
        <v>9</v>
      </c>
      <c r="AW857">
        <v>17</v>
      </c>
      <c r="AX857">
        <v>17</v>
      </c>
      <c r="AY857">
        <v>25</v>
      </c>
      <c r="AZ857">
        <v>10</v>
      </c>
      <c r="BA857" t="s">
        <v>19461</v>
      </c>
      <c r="BB857" t="s">
        <v>19462</v>
      </c>
      <c r="BC857">
        <v>0.67800000000000005</v>
      </c>
      <c r="BD857" t="s">
        <v>65</v>
      </c>
      <c r="BE857">
        <v>42</v>
      </c>
      <c r="BF857">
        <v>27</v>
      </c>
      <c r="BG857" t="s">
        <v>19463</v>
      </c>
      <c r="BH857" t="s">
        <v>19464</v>
      </c>
      <c r="BI857" t="s">
        <v>19465</v>
      </c>
      <c r="BJ857">
        <v>0.15862000000000001</v>
      </c>
      <c r="BK857">
        <v>1</v>
      </c>
      <c r="BL857" t="s">
        <v>69</v>
      </c>
      <c r="BM857">
        <v>-1.2370000000000001</v>
      </c>
      <c r="BN857">
        <v>-1.4890000000000001</v>
      </c>
    </row>
    <row r="858" spans="2:66">
      <c r="B858">
        <v>1346</v>
      </c>
      <c r="C858">
        <v>106</v>
      </c>
      <c r="D858">
        <v>0</v>
      </c>
      <c r="E858">
        <v>5</v>
      </c>
      <c r="F858">
        <v>0</v>
      </c>
      <c r="J858">
        <v>0</v>
      </c>
      <c r="K858">
        <v>5</v>
      </c>
      <c r="L858">
        <v>0</v>
      </c>
      <c r="M858" t="s">
        <v>25022</v>
      </c>
      <c r="N858">
        <v>3333</v>
      </c>
      <c r="O858" t="s">
        <v>19466</v>
      </c>
      <c r="P858" t="s">
        <v>62</v>
      </c>
      <c r="Q858">
        <v>3304746</v>
      </c>
      <c r="R858">
        <v>3305261</v>
      </c>
      <c r="S858" t="s">
        <v>19467</v>
      </c>
      <c r="T858">
        <v>172</v>
      </c>
      <c r="U858" t="s">
        <v>108</v>
      </c>
      <c r="V858">
        <v>44</v>
      </c>
      <c r="W858" t="str">
        <f>HYPERLINK("Gene3333-zp_tree_all.dnd", "Gene3333-tree")</f>
        <v>Gene3333-tree</v>
      </c>
      <c r="X858">
        <v>23</v>
      </c>
      <c r="Y858">
        <v>10</v>
      </c>
      <c r="Z858">
        <v>6</v>
      </c>
      <c r="AA858">
        <v>10</v>
      </c>
      <c r="AB858">
        <v>0.625</v>
      </c>
      <c r="AC858" t="s">
        <v>3589</v>
      </c>
      <c r="AD858" t="s">
        <v>117</v>
      </c>
      <c r="AE858" t="s">
        <v>62</v>
      </c>
      <c r="AF858" t="s">
        <v>62</v>
      </c>
      <c r="AG858">
        <v>2</v>
      </c>
      <c r="AH858">
        <v>5</v>
      </c>
      <c r="AI858">
        <v>10</v>
      </c>
      <c r="AJ858">
        <v>0.33333000000000002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4</v>
      </c>
      <c r="AQ858">
        <v>0</v>
      </c>
      <c r="AR858">
        <v>4</v>
      </c>
      <c r="AS858">
        <v>10</v>
      </c>
      <c r="AT858">
        <v>0.28571000000000002</v>
      </c>
      <c r="AU858">
        <v>14</v>
      </c>
      <c r="AV858">
        <v>6</v>
      </c>
      <c r="AW858">
        <v>15</v>
      </c>
      <c r="AX858">
        <v>14</v>
      </c>
      <c r="AY858">
        <v>6</v>
      </c>
      <c r="AZ858">
        <v>1</v>
      </c>
      <c r="BA858" t="s">
        <v>19468</v>
      </c>
      <c r="BB858" t="s">
        <v>19469</v>
      </c>
      <c r="BC858">
        <v>1.278</v>
      </c>
      <c r="BD858" t="s">
        <v>65</v>
      </c>
      <c r="BE858">
        <v>21</v>
      </c>
      <c r="BF858">
        <v>15</v>
      </c>
      <c r="BG858" t="s">
        <v>18265</v>
      </c>
      <c r="BH858" t="s">
        <v>19470</v>
      </c>
      <c r="BI858" t="s">
        <v>19471</v>
      </c>
      <c r="BJ858">
        <v>0.13771</v>
      </c>
      <c r="BK858">
        <v>1</v>
      </c>
      <c r="BL858" t="s">
        <v>69</v>
      </c>
      <c r="BM858">
        <v>-0.88200000000000001</v>
      </c>
      <c r="BN858">
        <v>-1.857</v>
      </c>
    </row>
    <row r="859" spans="2:66">
      <c r="B859">
        <v>1347</v>
      </c>
      <c r="C859">
        <v>176</v>
      </c>
      <c r="D859">
        <v>0</v>
      </c>
      <c r="E859">
        <v>5</v>
      </c>
      <c r="F859">
        <v>2</v>
      </c>
      <c r="J859">
        <v>0</v>
      </c>
      <c r="K859">
        <v>0</v>
      </c>
      <c r="L859">
        <v>0</v>
      </c>
      <c r="M859" t="s">
        <v>25022</v>
      </c>
      <c r="N859">
        <v>3334</v>
      </c>
      <c r="O859" t="s">
        <v>19472</v>
      </c>
      <c r="P859" t="s">
        <v>62</v>
      </c>
      <c r="Q859">
        <v>3305602</v>
      </c>
      <c r="R859">
        <v>3305961</v>
      </c>
      <c r="S859" t="s">
        <v>19473</v>
      </c>
      <c r="T859">
        <v>120</v>
      </c>
      <c r="U859" t="s">
        <v>11324</v>
      </c>
      <c r="V859">
        <v>46</v>
      </c>
      <c r="W859" t="str">
        <f>HYPERLINK("Gene3334-zp_tree_all.dnd", "Gene3334-tree")</f>
        <v>Gene3334-tree</v>
      </c>
      <c r="X859">
        <v>7</v>
      </c>
      <c r="Y859">
        <v>2</v>
      </c>
      <c r="Z859">
        <v>7</v>
      </c>
      <c r="AA859">
        <v>2</v>
      </c>
      <c r="AB859">
        <v>0.22222</v>
      </c>
      <c r="AC859" t="s">
        <v>152</v>
      </c>
      <c r="AD859" t="s">
        <v>81</v>
      </c>
      <c r="AE859" t="s">
        <v>62</v>
      </c>
      <c r="AF859" t="s">
        <v>62</v>
      </c>
      <c r="AG859">
        <v>0</v>
      </c>
      <c r="AH859">
        <v>0</v>
      </c>
      <c r="AI859">
        <v>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3</v>
      </c>
      <c r="AT859">
        <v>0</v>
      </c>
      <c r="AU859">
        <v>8</v>
      </c>
      <c r="AV859">
        <v>2</v>
      </c>
      <c r="AW859">
        <v>20</v>
      </c>
      <c r="AX859">
        <v>4</v>
      </c>
      <c r="AY859">
        <v>7</v>
      </c>
      <c r="AZ859">
        <v>2</v>
      </c>
      <c r="BA859" t="s">
        <v>19474</v>
      </c>
      <c r="BB859" t="s">
        <v>19475</v>
      </c>
      <c r="BC859">
        <v>0.20200000000000001</v>
      </c>
      <c r="BD859" t="s">
        <v>65</v>
      </c>
      <c r="BE859">
        <v>27</v>
      </c>
      <c r="BF859">
        <v>6</v>
      </c>
      <c r="BG859" t="s">
        <v>19476</v>
      </c>
      <c r="BH859" t="s">
        <v>19477</v>
      </c>
      <c r="BI859" t="s">
        <v>19478</v>
      </c>
      <c r="BJ859">
        <v>5.6329999999999998E-2</v>
      </c>
      <c r="BK859">
        <v>1</v>
      </c>
      <c r="BL859" t="s">
        <v>69</v>
      </c>
      <c r="BM859">
        <v>-2.4169999999999998</v>
      </c>
      <c r="BN859">
        <v>-3.3420000000000001</v>
      </c>
    </row>
    <row r="860" spans="2:66">
      <c r="B860">
        <v>1348</v>
      </c>
      <c r="C860">
        <v>334</v>
      </c>
      <c r="D860">
        <v>0</v>
      </c>
      <c r="E860">
        <v>21</v>
      </c>
      <c r="F860">
        <v>0</v>
      </c>
      <c r="J860">
        <v>0</v>
      </c>
      <c r="K860">
        <v>0</v>
      </c>
      <c r="L860">
        <v>0</v>
      </c>
      <c r="M860" t="s">
        <v>25022</v>
      </c>
      <c r="N860">
        <v>3335</v>
      </c>
      <c r="O860" t="s">
        <v>19479</v>
      </c>
      <c r="P860" t="s">
        <v>62</v>
      </c>
      <c r="Q860">
        <v>3306043</v>
      </c>
      <c r="R860">
        <v>3306894</v>
      </c>
      <c r="S860" t="s">
        <v>19480</v>
      </c>
      <c r="T860">
        <v>284</v>
      </c>
      <c r="U860" t="s">
        <v>108</v>
      </c>
      <c r="V860">
        <v>44</v>
      </c>
      <c r="W860" t="str">
        <f>HYPERLINK("Gene3335-zp_tree_all.dnd", "Gene3335-tree")</f>
        <v>Gene3335-tree</v>
      </c>
      <c r="X860">
        <v>9</v>
      </c>
      <c r="Y860">
        <v>6</v>
      </c>
      <c r="Z860">
        <v>9</v>
      </c>
      <c r="AA860">
        <v>6</v>
      </c>
      <c r="AB860">
        <v>0.4</v>
      </c>
      <c r="AC860" t="s">
        <v>135</v>
      </c>
      <c r="AD860" t="s">
        <v>90</v>
      </c>
      <c r="AE860" t="s">
        <v>62</v>
      </c>
      <c r="AF860" t="s">
        <v>62</v>
      </c>
      <c r="AG860">
        <v>0</v>
      </c>
      <c r="AH860">
        <v>0</v>
      </c>
      <c r="AI860">
        <v>8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7</v>
      </c>
      <c r="AT860">
        <v>0</v>
      </c>
      <c r="AU860">
        <v>12</v>
      </c>
      <c r="AV860">
        <v>5</v>
      </c>
      <c r="AW860">
        <v>28</v>
      </c>
      <c r="AX860">
        <v>7</v>
      </c>
      <c r="AY860">
        <v>6</v>
      </c>
      <c r="AZ860">
        <v>1</v>
      </c>
      <c r="BA860" t="s">
        <v>19481</v>
      </c>
      <c r="BB860" t="s">
        <v>19482</v>
      </c>
      <c r="BC860">
        <v>0.21299999999999999</v>
      </c>
      <c r="BD860" t="s">
        <v>65</v>
      </c>
      <c r="BE860">
        <v>34</v>
      </c>
      <c r="BF860">
        <v>8</v>
      </c>
      <c r="BG860" t="s">
        <v>19483</v>
      </c>
      <c r="BH860" t="s">
        <v>19484</v>
      </c>
      <c r="BI860" t="s">
        <v>19485</v>
      </c>
      <c r="BJ860">
        <v>5.9319999999999998E-2</v>
      </c>
      <c r="BK860">
        <v>1</v>
      </c>
      <c r="BL860" t="s">
        <v>69</v>
      </c>
      <c r="BM860">
        <v>-1.788</v>
      </c>
      <c r="BN860">
        <v>-3.4929999999999999</v>
      </c>
    </row>
    <row r="861" spans="2:66">
      <c r="B861">
        <v>1349</v>
      </c>
      <c r="C861">
        <v>107</v>
      </c>
      <c r="D861">
        <v>0</v>
      </c>
      <c r="E861">
        <v>28</v>
      </c>
      <c r="F861">
        <v>5</v>
      </c>
      <c r="J861">
        <v>0</v>
      </c>
      <c r="K861">
        <v>0</v>
      </c>
      <c r="L861">
        <v>0</v>
      </c>
      <c r="M861" t="s">
        <v>25022</v>
      </c>
      <c r="N861">
        <v>3336</v>
      </c>
      <c r="O861" t="s">
        <v>19486</v>
      </c>
      <c r="P861" t="s">
        <v>62</v>
      </c>
      <c r="Q861">
        <v>3307020</v>
      </c>
      <c r="R861">
        <v>3308231</v>
      </c>
      <c r="S861" t="s">
        <v>19487</v>
      </c>
      <c r="T861">
        <v>404</v>
      </c>
      <c r="U861" t="s">
        <v>19488</v>
      </c>
      <c r="V861">
        <v>44</v>
      </c>
      <c r="W861" t="str">
        <f>HYPERLINK("Gene3336-zp_tree_all.dnd", "Gene3336-tree")</f>
        <v>Gene3336-tree</v>
      </c>
      <c r="X861">
        <v>11</v>
      </c>
      <c r="Y861">
        <v>21</v>
      </c>
      <c r="Z861">
        <v>11</v>
      </c>
      <c r="AA861">
        <v>5</v>
      </c>
      <c r="AB861">
        <v>0.3125</v>
      </c>
      <c r="AC861" t="s">
        <v>73</v>
      </c>
      <c r="AD861" t="s">
        <v>19489</v>
      </c>
      <c r="AE861">
        <v>4.3920000000000003</v>
      </c>
      <c r="AF861" t="s">
        <v>65</v>
      </c>
      <c r="AG861">
        <v>0</v>
      </c>
      <c r="AH861">
        <v>0</v>
      </c>
      <c r="AI861">
        <v>10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10</v>
      </c>
      <c r="AT861">
        <v>0</v>
      </c>
      <c r="AU861">
        <v>14</v>
      </c>
      <c r="AV861">
        <v>10</v>
      </c>
      <c r="AW861">
        <v>86</v>
      </c>
      <c r="AX861">
        <v>10</v>
      </c>
      <c r="AY861">
        <v>17</v>
      </c>
      <c r="AZ861">
        <v>0</v>
      </c>
      <c r="BA861" t="s">
        <v>19490</v>
      </c>
      <c r="BB861" t="s">
        <v>193</v>
      </c>
      <c r="BC861">
        <v>0.47199999999999998</v>
      </c>
      <c r="BD861" t="s">
        <v>65</v>
      </c>
      <c r="BE861">
        <v>103</v>
      </c>
      <c r="BF861">
        <v>10</v>
      </c>
      <c r="BG861" t="s">
        <v>1020</v>
      </c>
      <c r="BH861" t="s">
        <v>19491</v>
      </c>
      <c r="BI861" t="s">
        <v>19492</v>
      </c>
      <c r="BJ861">
        <v>2.6259999999999999E-2</v>
      </c>
      <c r="BK861">
        <v>1</v>
      </c>
      <c r="BL861" t="s">
        <v>69</v>
      </c>
      <c r="BM861">
        <v>-1.93</v>
      </c>
      <c r="BN861">
        <v>-4.4850000000000003</v>
      </c>
    </row>
    <row r="862" spans="2:66">
      <c r="B862">
        <v>1351</v>
      </c>
      <c r="C862">
        <v>299</v>
      </c>
      <c r="D862">
        <v>0</v>
      </c>
      <c r="E862">
        <v>5</v>
      </c>
      <c r="F862">
        <v>0</v>
      </c>
      <c r="J862">
        <v>0</v>
      </c>
      <c r="K862">
        <v>0</v>
      </c>
      <c r="L862">
        <v>0</v>
      </c>
      <c r="M862" t="s">
        <v>25022</v>
      </c>
      <c r="N862">
        <v>3337</v>
      </c>
      <c r="O862" t="s">
        <v>19493</v>
      </c>
      <c r="P862" t="s">
        <v>62</v>
      </c>
      <c r="Q862">
        <v>3308371</v>
      </c>
      <c r="R862">
        <v>3308604</v>
      </c>
      <c r="S862" t="s">
        <v>116</v>
      </c>
      <c r="T862">
        <v>78</v>
      </c>
      <c r="U862" t="s">
        <v>59</v>
      </c>
      <c r="V862">
        <v>49</v>
      </c>
      <c r="W862" t="str">
        <f>HYPERLINK("Gene3337-zp_tree_all.dnd", "Gene3337-tree")</f>
        <v>Gene3337-tree</v>
      </c>
      <c r="X862">
        <v>26</v>
      </c>
      <c r="Y862">
        <v>1</v>
      </c>
      <c r="Z862">
        <v>7</v>
      </c>
      <c r="AA862">
        <v>1</v>
      </c>
      <c r="AB862">
        <v>0.125</v>
      </c>
      <c r="AC862" t="s">
        <v>191</v>
      </c>
      <c r="AD862" t="s">
        <v>175</v>
      </c>
      <c r="AE862" t="s">
        <v>62</v>
      </c>
      <c r="AF862" t="s">
        <v>62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6</v>
      </c>
      <c r="AV862">
        <v>3</v>
      </c>
      <c r="AW862">
        <v>7</v>
      </c>
      <c r="AX862">
        <v>1</v>
      </c>
      <c r="AY862">
        <v>9</v>
      </c>
      <c r="AZ862">
        <v>0</v>
      </c>
      <c r="BA862" t="s">
        <v>19494</v>
      </c>
      <c r="BB862" t="s">
        <v>193</v>
      </c>
      <c r="BC862">
        <v>0.45800000000000002</v>
      </c>
      <c r="BD862" t="s">
        <v>65</v>
      </c>
      <c r="BE862">
        <v>16</v>
      </c>
      <c r="BF862">
        <v>1</v>
      </c>
      <c r="BG862" t="s">
        <v>19495</v>
      </c>
      <c r="BH862" t="s">
        <v>19496</v>
      </c>
      <c r="BI862" t="s">
        <v>19497</v>
      </c>
      <c r="BJ862">
        <v>9.4500000000000001E-3</v>
      </c>
      <c r="BK862">
        <v>1</v>
      </c>
      <c r="BL862" t="s">
        <v>69</v>
      </c>
      <c r="BM862">
        <v>-1.278</v>
      </c>
      <c r="BN862">
        <v>-0.46100000000000002</v>
      </c>
    </row>
    <row r="863" spans="2:66">
      <c r="B863">
        <v>1352</v>
      </c>
      <c r="C863">
        <v>199</v>
      </c>
      <c r="D863">
        <v>0</v>
      </c>
      <c r="E863">
        <v>6</v>
      </c>
      <c r="F863">
        <v>2</v>
      </c>
      <c r="J863">
        <v>0</v>
      </c>
      <c r="K863">
        <v>2</v>
      </c>
      <c r="L863">
        <v>4</v>
      </c>
      <c r="M863" t="s">
        <v>25022</v>
      </c>
      <c r="N863">
        <v>3339</v>
      </c>
      <c r="O863" t="s">
        <v>19505</v>
      </c>
      <c r="P863" t="s">
        <v>62</v>
      </c>
      <c r="Q863">
        <v>3309963</v>
      </c>
      <c r="R863">
        <v>3310286</v>
      </c>
      <c r="S863" t="s">
        <v>19506</v>
      </c>
      <c r="T863">
        <v>108</v>
      </c>
      <c r="U863" t="s">
        <v>572</v>
      </c>
      <c r="V863">
        <v>48</v>
      </c>
      <c r="W863" t="str">
        <f>HYPERLINK("Gene3339-zp_tree_all.dnd", "Gene3339-tree")</f>
        <v>Gene3339-tree</v>
      </c>
      <c r="X863">
        <v>8</v>
      </c>
      <c r="Y863">
        <v>7</v>
      </c>
      <c r="Z863">
        <v>8</v>
      </c>
      <c r="AA863">
        <v>7</v>
      </c>
      <c r="AB863">
        <v>0.46666999999999997</v>
      </c>
      <c r="AC863" t="s">
        <v>136</v>
      </c>
      <c r="AD863" t="s">
        <v>152</v>
      </c>
      <c r="AE863" t="s">
        <v>62</v>
      </c>
      <c r="AF863" t="s">
        <v>62</v>
      </c>
      <c r="AG863">
        <v>3</v>
      </c>
      <c r="AH863">
        <v>6</v>
      </c>
      <c r="AI863">
        <v>9</v>
      </c>
      <c r="AJ863">
        <v>0.4</v>
      </c>
      <c r="AK863">
        <v>0</v>
      </c>
      <c r="AL863">
        <v>0</v>
      </c>
      <c r="AM863">
        <v>0</v>
      </c>
      <c r="AN863">
        <v>3</v>
      </c>
      <c r="AO863">
        <v>0</v>
      </c>
      <c r="AP863">
        <v>0</v>
      </c>
      <c r="AQ863">
        <v>0</v>
      </c>
      <c r="AR863">
        <v>0</v>
      </c>
      <c r="AS863">
        <v>9</v>
      </c>
      <c r="AT863">
        <v>0</v>
      </c>
      <c r="AU863">
        <v>11</v>
      </c>
      <c r="AV863">
        <v>9</v>
      </c>
      <c r="AW863">
        <v>18</v>
      </c>
      <c r="AX863">
        <v>10</v>
      </c>
      <c r="AY863">
        <v>15</v>
      </c>
      <c r="AZ863">
        <v>6</v>
      </c>
      <c r="BA863" t="s">
        <v>19507</v>
      </c>
      <c r="BB863" t="s">
        <v>19508</v>
      </c>
      <c r="BC863">
        <v>0.44500000000000001</v>
      </c>
      <c r="BD863" t="s">
        <v>65</v>
      </c>
      <c r="BE863">
        <v>33</v>
      </c>
      <c r="BF863">
        <v>16</v>
      </c>
      <c r="BG863" t="s">
        <v>19509</v>
      </c>
      <c r="BH863" t="s">
        <v>19510</v>
      </c>
      <c r="BI863" t="s">
        <v>19511</v>
      </c>
      <c r="BJ863">
        <v>0.11226</v>
      </c>
      <c r="BK863">
        <v>1</v>
      </c>
      <c r="BL863" t="s">
        <v>69</v>
      </c>
      <c r="BM863">
        <v>-1.236</v>
      </c>
      <c r="BN863">
        <v>-2.238</v>
      </c>
    </row>
    <row r="864" spans="2:66">
      <c r="B864">
        <v>1354</v>
      </c>
      <c r="C864">
        <v>8</v>
      </c>
      <c r="D864">
        <v>0</v>
      </c>
      <c r="E864">
        <v>2</v>
      </c>
      <c r="F864">
        <v>0</v>
      </c>
      <c r="J864">
        <v>0</v>
      </c>
      <c r="K864">
        <v>47</v>
      </c>
      <c r="L864">
        <v>1</v>
      </c>
      <c r="M864" t="s">
        <v>25022</v>
      </c>
      <c r="N864">
        <v>3341</v>
      </c>
      <c r="O864" t="s">
        <v>19517</v>
      </c>
      <c r="P864" t="s">
        <v>62</v>
      </c>
      <c r="Q864">
        <v>3310766</v>
      </c>
      <c r="R864">
        <v>3312736</v>
      </c>
      <c r="S864" t="s">
        <v>19518</v>
      </c>
      <c r="T864">
        <v>657</v>
      </c>
      <c r="U864" t="s">
        <v>108</v>
      </c>
      <c r="V864">
        <v>44</v>
      </c>
      <c r="W864" t="str">
        <f>HYPERLINK("Gene3341-zp_tree_all.dnd", "Gene3341-tree")</f>
        <v>Gene3341-tree</v>
      </c>
      <c r="X864">
        <v>1</v>
      </c>
      <c r="Y864">
        <v>15</v>
      </c>
      <c r="Z864">
        <v>1</v>
      </c>
      <c r="AA864">
        <v>15</v>
      </c>
      <c r="AB864">
        <v>0.9375</v>
      </c>
      <c r="AC864" t="s">
        <v>175</v>
      </c>
      <c r="AD864" t="s">
        <v>100</v>
      </c>
      <c r="AE864" t="s">
        <v>62</v>
      </c>
      <c r="AF864" t="s">
        <v>62</v>
      </c>
      <c r="AG864">
        <v>17</v>
      </c>
      <c r="AH864">
        <v>48</v>
      </c>
      <c r="AI864">
        <v>28</v>
      </c>
      <c r="AJ864">
        <v>0.63158000000000003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23</v>
      </c>
      <c r="AQ864">
        <v>2</v>
      </c>
      <c r="AR864">
        <v>25</v>
      </c>
      <c r="AS864">
        <v>32</v>
      </c>
      <c r="AT864">
        <v>0.43859999999999999</v>
      </c>
      <c r="AU864">
        <v>14</v>
      </c>
      <c r="AV864">
        <v>12</v>
      </c>
      <c r="AW864">
        <v>93</v>
      </c>
      <c r="AX864">
        <v>44</v>
      </c>
      <c r="AY864">
        <v>74</v>
      </c>
      <c r="AZ864">
        <v>35</v>
      </c>
      <c r="BA864" t="s">
        <v>19519</v>
      </c>
      <c r="BB864" t="s">
        <v>19520</v>
      </c>
      <c r="BC864">
        <v>0</v>
      </c>
      <c r="BD864" t="s">
        <v>65</v>
      </c>
      <c r="BE864">
        <v>167</v>
      </c>
      <c r="BF864">
        <v>79</v>
      </c>
      <c r="BG864" t="s">
        <v>19521</v>
      </c>
      <c r="BH864" t="s">
        <v>19522</v>
      </c>
      <c r="BI864" t="s">
        <v>19523</v>
      </c>
      <c r="BJ864">
        <v>0.13791</v>
      </c>
      <c r="BK864">
        <v>1</v>
      </c>
      <c r="BL864" t="s">
        <v>69</v>
      </c>
      <c r="BM864">
        <v>-8.5000000000000006E-2</v>
      </c>
      <c r="BN864">
        <v>-0.32800000000000001</v>
      </c>
    </row>
    <row r="865" spans="2:66">
      <c r="B865">
        <v>1355</v>
      </c>
      <c r="C865">
        <v>21</v>
      </c>
      <c r="D865">
        <v>0</v>
      </c>
      <c r="E865">
        <v>0</v>
      </c>
      <c r="F865">
        <v>2</v>
      </c>
      <c r="J865">
        <v>0</v>
      </c>
      <c r="K865">
        <v>2</v>
      </c>
      <c r="L865">
        <v>0</v>
      </c>
      <c r="M865" t="s">
        <v>25022</v>
      </c>
      <c r="N865">
        <v>3342</v>
      </c>
      <c r="O865" t="s">
        <v>19524</v>
      </c>
      <c r="P865" t="s">
        <v>62</v>
      </c>
      <c r="Q865">
        <v>3312847</v>
      </c>
      <c r="R865">
        <v>3313773</v>
      </c>
      <c r="S865" t="s">
        <v>19525</v>
      </c>
      <c r="T865">
        <v>309</v>
      </c>
      <c r="U865" t="s">
        <v>108</v>
      </c>
      <c r="V865">
        <v>44</v>
      </c>
      <c r="W865" t="str">
        <f>HYPERLINK("Gene3342-zp_tree_all.dnd", "Gene3342-tree")</f>
        <v>Gene3342-tree</v>
      </c>
      <c r="X865">
        <v>11</v>
      </c>
      <c r="Y865">
        <v>3</v>
      </c>
      <c r="Z865">
        <v>11</v>
      </c>
      <c r="AA865">
        <v>3</v>
      </c>
      <c r="AB865">
        <v>0.21429000000000001</v>
      </c>
      <c r="AC865" t="s">
        <v>73</v>
      </c>
      <c r="AD865" t="s">
        <v>324</v>
      </c>
      <c r="AE865" t="s">
        <v>62</v>
      </c>
      <c r="AF865" t="s">
        <v>62</v>
      </c>
      <c r="AG865">
        <v>1</v>
      </c>
      <c r="AH865">
        <v>2</v>
      </c>
      <c r="AI865">
        <v>5</v>
      </c>
      <c r="AJ865">
        <v>0.28571000000000002</v>
      </c>
      <c r="AK865">
        <v>0</v>
      </c>
      <c r="AL865">
        <v>0</v>
      </c>
      <c r="AM865">
        <v>0</v>
      </c>
      <c r="AN865">
        <v>2</v>
      </c>
      <c r="AO865">
        <v>0</v>
      </c>
      <c r="AP865">
        <v>0</v>
      </c>
      <c r="AQ865">
        <v>0</v>
      </c>
      <c r="AR865">
        <v>0</v>
      </c>
      <c r="AS865">
        <v>5</v>
      </c>
      <c r="AT865">
        <v>0</v>
      </c>
      <c r="AU865">
        <v>9</v>
      </c>
      <c r="AV865">
        <v>7</v>
      </c>
      <c r="AW865">
        <v>20</v>
      </c>
      <c r="AX865">
        <v>5</v>
      </c>
      <c r="AY865">
        <v>9</v>
      </c>
      <c r="AZ865">
        <v>2</v>
      </c>
      <c r="BA865" t="s">
        <v>19526</v>
      </c>
      <c r="BB865" t="s">
        <v>19527</v>
      </c>
      <c r="BC865">
        <v>8.2000000000000003E-2</v>
      </c>
      <c r="BD865" t="s">
        <v>65</v>
      </c>
      <c r="BE865">
        <v>29</v>
      </c>
      <c r="BF865">
        <v>7</v>
      </c>
      <c r="BG865" t="s">
        <v>19528</v>
      </c>
      <c r="BH865" t="s">
        <v>19529</v>
      </c>
      <c r="BI865" t="s">
        <v>19530</v>
      </c>
      <c r="BJ865">
        <v>7.3160000000000003E-2</v>
      </c>
      <c r="BK865">
        <v>1</v>
      </c>
      <c r="BL865" t="s">
        <v>69</v>
      </c>
      <c r="BM865">
        <v>-0.46600000000000003</v>
      </c>
      <c r="BN865">
        <v>-1.9830000000000001</v>
      </c>
    </row>
    <row r="866" spans="2:66">
      <c r="B866">
        <v>1357</v>
      </c>
      <c r="C866">
        <v>114</v>
      </c>
      <c r="D866">
        <v>0</v>
      </c>
      <c r="E866">
        <v>2</v>
      </c>
      <c r="F866">
        <v>2</v>
      </c>
      <c r="J866">
        <v>0</v>
      </c>
      <c r="K866">
        <v>4</v>
      </c>
      <c r="L866">
        <v>0</v>
      </c>
      <c r="M866" t="s">
        <v>25022</v>
      </c>
      <c r="N866">
        <v>3343</v>
      </c>
      <c r="O866" t="s">
        <v>19531</v>
      </c>
      <c r="P866" t="s">
        <v>62</v>
      </c>
      <c r="Q866">
        <v>3313773</v>
      </c>
      <c r="R866">
        <v>3314828</v>
      </c>
      <c r="S866" t="s">
        <v>19532</v>
      </c>
      <c r="T866">
        <v>352</v>
      </c>
      <c r="U866" t="s">
        <v>289</v>
      </c>
      <c r="V866">
        <v>46</v>
      </c>
      <c r="W866" t="str">
        <f>HYPERLINK("Gene3343-zp_tree_all.dnd", "Gene3343-tree")</f>
        <v>Gene3343-tree</v>
      </c>
      <c r="X866">
        <v>9</v>
      </c>
      <c r="Y866">
        <v>8</v>
      </c>
      <c r="Z866">
        <v>9</v>
      </c>
      <c r="AA866">
        <v>8</v>
      </c>
      <c r="AB866">
        <v>0.47059000000000001</v>
      </c>
      <c r="AC866" t="s">
        <v>135</v>
      </c>
      <c r="AD866" t="s">
        <v>136</v>
      </c>
      <c r="AE866" t="s">
        <v>62</v>
      </c>
      <c r="AF866" t="s">
        <v>62</v>
      </c>
      <c r="AG866">
        <v>2</v>
      </c>
      <c r="AH866">
        <v>4</v>
      </c>
      <c r="AI866">
        <v>11</v>
      </c>
      <c r="AJ866">
        <v>0.26667000000000002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2</v>
      </c>
      <c r="AQ866">
        <v>0</v>
      </c>
      <c r="AR866">
        <v>2</v>
      </c>
      <c r="AS866">
        <v>9</v>
      </c>
      <c r="AT866">
        <v>0.18182000000000001</v>
      </c>
      <c r="AU866">
        <v>13</v>
      </c>
      <c r="AV866">
        <v>10</v>
      </c>
      <c r="AW866">
        <v>35</v>
      </c>
      <c r="AX866">
        <v>11</v>
      </c>
      <c r="AY866">
        <v>54</v>
      </c>
      <c r="AZ866">
        <v>4</v>
      </c>
      <c r="BA866" t="s">
        <v>19533</v>
      </c>
      <c r="BB866" t="s">
        <v>19534</v>
      </c>
      <c r="BC866">
        <v>1.1859999999999999</v>
      </c>
      <c r="BD866" t="s">
        <v>65</v>
      </c>
      <c r="BE866">
        <v>89</v>
      </c>
      <c r="BF866">
        <v>15</v>
      </c>
      <c r="BG866" t="s">
        <v>19535</v>
      </c>
      <c r="BH866" t="s">
        <v>19536</v>
      </c>
      <c r="BI866" t="s">
        <v>19537</v>
      </c>
      <c r="BJ866">
        <v>3.8679999999999999E-2</v>
      </c>
      <c r="BK866">
        <v>1</v>
      </c>
      <c r="BL866" t="s">
        <v>69</v>
      </c>
      <c r="BM866">
        <v>-2.0299999999999998</v>
      </c>
      <c r="BN866">
        <v>-1.411</v>
      </c>
    </row>
    <row r="867" spans="2:66">
      <c r="B867">
        <v>1358</v>
      </c>
      <c r="C867">
        <v>37</v>
      </c>
      <c r="D867">
        <v>0</v>
      </c>
      <c r="E867">
        <v>2</v>
      </c>
      <c r="F867">
        <v>3</v>
      </c>
      <c r="J867">
        <v>2</v>
      </c>
      <c r="K867">
        <v>0</v>
      </c>
      <c r="L867">
        <v>1</v>
      </c>
      <c r="M867" t="s">
        <v>25022</v>
      </c>
      <c r="N867">
        <v>3344</v>
      </c>
      <c r="O867" t="s">
        <v>19538</v>
      </c>
      <c r="P867" t="s">
        <v>62</v>
      </c>
      <c r="Q867">
        <v>3314831</v>
      </c>
      <c r="R867">
        <v>3316129</v>
      </c>
      <c r="S867" t="s">
        <v>19539</v>
      </c>
      <c r="T867">
        <v>433</v>
      </c>
      <c r="U867" t="s">
        <v>749</v>
      </c>
      <c r="V867">
        <v>47</v>
      </c>
      <c r="W867" t="str">
        <f>HYPERLINK("Gene3344-zp_tree_all.dnd", "Gene3344-tree")</f>
        <v>Gene3344-tree</v>
      </c>
      <c r="X867">
        <v>10</v>
      </c>
      <c r="Y867">
        <v>6</v>
      </c>
      <c r="Z867">
        <v>10</v>
      </c>
      <c r="AA867">
        <v>6</v>
      </c>
      <c r="AB867">
        <v>0.375</v>
      </c>
      <c r="AC867" t="s">
        <v>117</v>
      </c>
      <c r="AD867" t="s">
        <v>90</v>
      </c>
      <c r="AE867" t="s">
        <v>62</v>
      </c>
      <c r="AF867" t="s">
        <v>62</v>
      </c>
      <c r="AG867">
        <v>1</v>
      </c>
      <c r="AH867">
        <v>3</v>
      </c>
      <c r="AI867">
        <v>10</v>
      </c>
      <c r="AJ867">
        <v>0.23077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10</v>
      </c>
      <c r="AT867">
        <v>0</v>
      </c>
      <c r="AU867">
        <v>14</v>
      </c>
      <c r="AV867">
        <v>9</v>
      </c>
      <c r="AW867">
        <v>60</v>
      </c>
      <c r="AX867">
        <v>10</v>
      </c>
      <c r="AY867">
        <v>62</v>
      </c>
      <c r="AZ867">
        <v>3</v>
      </c>
      <c r="BA867" t="s">
        <v>19540</v>
      </c>
      <c r="BB867" t="s">
        <v>19541</v>
      </c>
      <c r="BC867">
        <v>0.443</v>
      </c>
      <c r="BD867" t="s">
        <v>65</v>
      </c>
      <c r="BE867">
        <v>122</v>
      </c>
      <c r="BF867">
        <v>13</v>
      </c>
      <c r="BG867" t="s">
        <v>19542</v>
      </c>
      <c r="BH867" t="s">
        <v>19543</v>
      </c>
      <c r="BI867" t="s">
        <v>19544</v>
      </c>
      <c r="BJ867">
        <v>2.1319999999999999E-2</v>
      </c>
      <c r="BK867">
        <v>1</v>
      </c>
      <c r="BL867" t="s">
        <v>69</v>
      </c>
      <c r="BM867">
        <v>-2.04</v>
      </c>
      <c r="BN867">
        <v>-2.3660000000000001</v>
      </c>
    </row>
    <row r="868" spans="2:66">
      <c r="B868">
        <v>1361</v>
      </c>
      <c r="C868">
        <v>89</v>
      </c>
      <c r="D868">
        <v>0</v>
      </c>
      <c r="E868">
        <v>3</v>
      </c>
      <c r="F868">
        <v>2</v>
      </c>
      <c r="J868">
        <v>0</v>
      </c>
      <c r="K868">
        <v>2</v>
      </c>
      <c r="L868">
        <v>0</v>
      </c>
      <c r="M868" t="s">
        <v>25022</v>
      </c>
      <c r="N868">
        <v>3345</v>
      </c>
      <c r="O868" t="s">
        <v>19545</v>
      </c>
      <c r="P868" t="s">
        <v>62</v>
      </c>
      <c r="Q868">
        <v>3316333</v>
      </c>
      <c r="R868">
        <v>3317349</v>
      </c>
      <c r="S868" t="s">
        <v>19546</v>
      </c>
      <c r="T868">
        <v>339</v>
      </c>
      <c r="U868" t="s">
        <v>108</v>
      </c>
      <c r="V868">
        <v>44</v>
      </c>
      <c r="W868" t="str">
        <f>HYPERLINK("Gene3345-zp_tree_all.dnd", "Gene3345-tree")</f>
        <v>Gene3345-tree</v>
      </c>
      <c r="X868">
        <v>7</v>
      </c>
      <c r="Y868">
        <v>7</v>
      </c>
      <c r="Z868">
        <v>7</v>
      </c>
      <c r="AA868">
        <v>7</v>
      </c>
      <c r="AB868">
        <v>0.5</v>
      </c>
      <c r="AC868" t="s">
        <v>152</v>
      </c>
      <c r="AD868" t="s">
        <v>152</v>
      </c>
      <c r="AE868" t="s">
        <v>62</v>
      </c>
      <c r="AF868" t="s">
        <v>62</v>
      </c>
      <c r="AG868">
        <v>1</v>
      </c>
      <c r="AH868">
        <v>2</v>
      </c>
      <c r="AI868">
        <v>9</v>
      </c>
      <c r="AJ868">
        <v>0.18182000000000001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2</v>
      </c>
      <c r="AQ868">
        <v>0</v>
      </c>
      <c r="AR868">
        <v>2</v>
      </c>
      <c r="AS868">
        <v>7</v>
      </c>
      <c r="AT868">
        <v>0.22222</v>
      </c>
      <c r="AU868">
        <v>8</v>
      </c>
      <c r="AV868">
        <v>10</v>
      </c>
      <c r="AW868">
        <v>24</v>
      </c>
      <c r="AX868">
        <v>7</v>
      </c>
      <c r="AY868">
        <v>12</v>
      </c>
      <c r="AZ868">
        <v>4</v>
      </c>
      <c r="BA868" t="s">
        <v>19547</v>
      </c>
      <c r="BB868" t="s">
        <v>19548</v>
      </c>
      <c r="BC868">
        <v>0.14000000000000001</v>
      </c>
      <c r="BD868" t="s">
        <v>65</v>
      </c>
      <c r="BE868">
        <v>36</v>
      </c>
      <c r="BF868">
        <v>11</v>
      </c>
      <c r="BG868" t="s">
        <v>19549</v>
      </c>
      <c r="BH868" t="s">
        <v>19550</v>
      </c>
      <c r="BI868" t="s">
        <v>19551</v>
      </c>
      <c r="BJ868">
        <v>8.1129999999999994E-2</v>
      </c>
      <c r="BK868">
        <v>1</v>
      </c>
      <c r="BL868" t="s">
        <v>69</v>
      </c>
      <c r="BM868">
        <v>-0.68600000000000005</v>
      </c>
      <c r="BN868">
        <v>-0.11700000000000001</v>
      </c>
    </row>
    <row r="869" spans="2:66">
      <c r="B869">
        <v>1362</v>
      </c>
      <c r="C869">
        <v>238</v>
      </c>
      <c r="D869">
        <v>0</v>
      </c>
      <c r="E869">
        <v>4</v>
      </c>
      <c r="F869">
        <v>0</v>
      </c>
      <c r="J869">
        <v>0</v>
      </c>
      <c r="K869">
        <v>2</v>
      </c>
      <c r="L869">
        <v>0</v>
      </c>
      <c r="M869" t="s">
        <v>25022</v>
      </c>
      <c r="N869">
        <v>3347</v>
      </c>
      <c r="O869" t="s">
        <v>19558</v>
      </c>
      <c r="P869" t="s">
        <v>62</v>
      </c>
      <c r="Q869">
        <v>3318032</v>
      </c>
      <c r="R869">
        <v>3318799</v>
      </c>
      <c r="S869" t="s">
        <v>19559</v>
      </c>
      <c r="T869">
        <v>256</v>
      </c>
      <c r="U869" t="s">
        <v>108</v>
      </c>
      <c r="V869">
        <v>44</v>
      </c>
      <c r="W869" t="str">
        <f>HYPERLINK("Gene3347-zp_tree_all.dnd", "Gene3347-tree")</f>
        <v>Gene3347-tree</v>
      </c>
      <c r="X869">
        <v>28</v>
      </c>
      <c r="Y869">
        <v>4</v>
      </c>
      <c r="Z869">
        <v>10</v>
      </c>
      <c r="AA869">
        <v>4</v>
      </c>
      <c r="AB869">
        <v>0.28571000000000002</v>
      </c>
      <c r="AC869" t="s">
        <v>7613</v>
      </c>
      <c r="AD869" t="s">
        <v>61</v>
      </c>
      <c r="AE869" t="s">
        <v>62</v>
      </c>
      <c r="AF869" t="s">
        <v>62</v>
      </c>
      <c r="AG869">
        <v>1</v>
      </c>
      <c r="AH869">
        <v>2</v>
      </c>
      <c r="AI869">
        <v>4</v>
      </c>
      <c r="AJ869">
        <v>0.33333000000000002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4</v>
      </c>
      <c r="AT869">
        <v>0</v>
      </c>
      <c r="AU869">
        <v>12</v>
      </c>
      <c r="AV869">
        <v>5</v>
      </c>
      <c r="AW869">
        <v>28</v>
      </c>
      <c r="AX869">
        <v>4</v>
      </c>
      <c r="AY869">
        <v>9</v>
      </c>
      <c r="AZ869">
        <v>2</v>
      </c>
      <c r="BA869" t="s">
        <v>19560</v>
      </c>
      <c r="BB869" t="s">
        <v>19561</v>
      </c>
      <c r="BC869">
        <v>0.187</v>
      </c>
      <c r="BD869" t="s">
        <v>65</v>
      </c>
      <c r="BE869">
        <v>37</v>
      </c>
      <c r="BF869">
        <v>6</v>
      </c>
      <c r="BG869" t="s">
        <v>19562</v>
      </c>
      <c r="BH869" t="s">
        <v>19563</v>
      </c>
      <c r="BI869" t="s">
        <v>19564</v>
      </c>
      <c r="BJ869">
        <v>5.9749999999999998E-2</v>
      </c>
      <c r="BK869">
        <v>1</v>
      </c>
      <c r="BL869" t="s">
        <v>69</v>
      </c>
      <c r="BM869">
        <v>-1.1599999999999999</v>
      </c>
      <c r="BN869">
        <v>-2.0539999999999998</v>
      </c>
    </row>
    <row r="870" spans="2:66">
      <c r="B870">
        <v>1363</v>
      </c>
      <c r="C870">
        <v>162</v>
      </c>
      <c r="D870">
        <v>2</v>
      </c>
      <c r="E870">
        <v>7</v>
      </c>
      <c r="F870">
        <v>0</v>
      </c>
      <c r="J870">
        <v>0</v>
      </c>
      <c r="K870">
        <v>2</v>
      </c>
      <c r="L870">
        <v>0</v>
      </c>
      <c r="M870" t="s">
        <v>25022</v>
      </c>
      <c r="N870">
        <v>3348</v>
      </c>
      <c r="O870" t="s">
        <v>19565</v>
      </c>
      <c r="P870" t="s">
        <v>62</v>
      </c>
      <c r="Q870">
        <v>3318831</v>
      </c>
      <c r="R870">
        <v>3319262</v>
      </c>
      <c r="S870" t="s">
        <v>116</v>
      </c>
      <c r="T870">
        <v>144</v>
      </c>
      <c r="U870" t="s">
        <v>108</v>
      </c>
      <c r="V870">
        <v>44</v>
      </c>
      <c r="W870" t="str">
        <f>HYPERLINK("Gene3348-zp_tree_all.dnd", "Gene3348-tree")</f>
        <v>Gene3348-tree</v>
      </c>
      <c r="X870">
        <v>7</v>
      </c>
      <c r="Y870">
        <v>5</v>
      </c>
      <c r="Z870">
        <v>7</v>
      </c>
      <c r="AA870">
        <v>5</v>
      </c>
      <c r="AB870">
        <v>0.41666999999999998</v>
      </c>
      <c r="AC870" t="s">
        <v>152</v>
      </c>
      <c r="AD870" t="s">
        <v>199</v>
      </c>
      <c r="AE870" t="s">
        <v>62</v>
      </c>
      <c r="AF870" t="s">
        <v>62</v>
      </c>
      <c r="AG870">
        <v>1</v>
      </c>
      <c r="AH870">
        <v>2</v>
      </c>
      <c r="AI870">
        <v>7</v>
      </c>
      <c r="AJ870">
        <v>0.22222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7</v>
      </c>
      <c r="AT870">
        <v>0</v>
      </c>
      <c r="AU870">
        <v>10</v>
      </c>
      <c r="AV870">
        <v>4</v>
      </c>
      <c r="AW870">
        <v>19</v>
      </c>
      <c r="AX870">
        <v>8</v>
      </c>
      <c r="AY870">
        <v>6</v>
      </c>
      <c r="AZ870">
        <v>2</v>
      </c>
      <c r="BA870" t="s">
        <v>19566</v>
      </c>
      <c r="BB870" t="s">
        <v>19567</v>
      </c>
      <c r="BC870">
        <v>0.24399999999999999</v>
      </c>
      <c r="BD870" t="s">
        <v>65</v>
      </c>
      <c r="BE870">
        <v>25</v>
      </c>
      <c r="BF870">
        <v>10</v>
      </c>
      <c r="BG870" t="s">
        <v>19568</v>
      </c>
      <c r="BH870" t="s">
        <v>19569</v>
      </c>
      <c r="BI870" t="s">
        <v>19570</v>
      </c>
      <c r="BJ870">
        <v>0.13222</v>
      </c>
      <c r="BK870">
        <v>1</v>
      </c>
      <c r="BL870" t="s">
        <v>69</v>
      </c>
      <c r="BM870">
        <v>-1.133</v>
      </c>
      <c r="BN870">
        <v>-1.298</v>
      </c>
    </row>
    <row r="871" spans="2:66">
      <c r="B871">
        <v>1365</v>
      </c>
      <c r="C871">
        <v>116</v>
      </c>
      <c r="D871">
        <v>0</v>
      </c>
      <c r="E871">
        <v>2</v>
      </c>
      <c r="F871">
        <v>0</v>
      </c>
      <c r="J871">
        <v>0</v>
      </c>
      <c r="K871">
        <v>0</v>
      </c>
      <c r="L871">
        <v>0</v>
      </c>
      <c r="M871" t="s">
        <v>25022</v>
      </c>
      <c r="N871">
        <v>3349</v>
      </c>
      <c r="O871" t="s">
        <v>19571</v>
      </c>
      <c r="P871" t="s">
        <v>62</v>
      </c>
      <c r="Q871">
        <v>3319289</v>
      </c>
      <c r="R871">
        <v>3319561</v>
      </c>
      <c r="S871" t="s">
        <v>116</v>
      </c>
      <c r="T871">
        <v>91</v>
      </c>
      <c r="U871" t="s">
        <v>59</v>
      </c>
      <c r="V871">
        <v>49</v>
      </c>
      <c r="W871" t="str">
        <f>HYPERLINK("Gene3349-zp_tree_all.dnd", "Gene3349-tree")</f>
        <v>Gene3349-tree</v>
      </c>
      <c r="X871">
        <v>9</v>
      </c>
      <c r="Y871">
        <v>1</v>
      </c>
      <c r="Z871">
        <v>9</v>
      </c>
      <c r="AA871">
        <v>1</v>
      </c>
      <c r="AB871">
        <v>0.1</v>
      </c>
      <c r="AC871" t="s">
        <v>135</v>
      </c>
      <c r="AD871" t="s">
        <v>175</v>
      </c>
      <c r="AE871" t="s">
        <v>62</v>
      </c>
      <c r="AF871" t="s">
        <v>62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6</v>
      </c>
      <c r="AV871">
        <v>4</v>
      </c>
      <c r="AW871">
        <v>8</v>
      </c>
      <c r="AX871">
        <v>1</v>
      </c>
      <c r="AY871">
        <v>8</v>
      </c>
      <c r="AZ871">
        <v>0</v>
      </c>
      <c r="BA871" t="s">
        <v>19572</v>
      </c>
      <c r="BB871" t="s">
        <v>193</v>
      </c>
      <c r="BC871">
        <v>0.45900000000000002</v>
      </c>
      <c r="BD871" t="s">
        <v>65</v>
      </c>
      <c r="BE871">
        <v>16</v>
      </c>
      <c r="BF871">
        <v>1</v>
      </c>
      <c r="BG871" t="s">
        <v>19573</v>
      </c>
      <c r="BH871" t="s">
        <v>19574</v>
      </c>
      <c r="BI871" t="s">
        <v>19575</v>
      </c>
      <c r="BJ871">
        <v>3.4639999999999997E-2</v>
      </c>
      <c r="BK871">
        <v>1</v>
      </c>
      <c r="BL871" t="s">
        <v>69</v>
      </c>
      <c r="BM871">
        <v>-1.3149999999999999</v>
      </c>
      <c r="BN871">
        <v>9.9000000000000005E-2</v>
      </c>
    </row>
    <row r="872" spans="2:66">
      <c r="B872">
        <v>1368</v>
      </c>
      <c r="C872">
        <v>149</v>
      </c>
      <c r="D872">
        <v>0</v>
      </c>
      <c r="E872">
        <v>0</v>
      </c>
      <c r="F872">
        <v>2</v>
      </c>
      <c r="J872">
        <v>0</v>
      </c>
      <c r="K872">
        <v>0</v>
      </c>
      <c r="L872">
        <v>0</v>
      </c>
      <c r="M872" t="s">
        <v>25022</v>
      </c>
      <c r="N872">
        <v>3351</v>
      </c>
      <c r="O872" t="s">
        <v>19583</v>
      </c>
      <c r="P872" t="s">
        <v>62</v>
      </c>
      <c r="Q872">
        <v>3320327</v>
      </c>
      <c r="R872">
        <v>3321220</v>
      </c>
      <c r="S872" t="s">
        <v>19584</v>
      </c>
      <c r="T872">
        <v>298</v>
      </c>
      <c r="U872" t="s">
        <v>59</v>
      </c>
      <c r="V872">
        <v>49</v>
      </c>
      <c r="W872" t="str">
        <f>HYPERLINK("Gene3351-zp_tree_all.dnd", "Gene3351-tree")</f>
        <v>Gene3351-tree</v>
      </c>
      <c r="X872">
        <v>16</v>
      </c>
      <c r="Y872">
        <v>2</v>
      </c>
      <c r="Z872">
        <v>16</v>
      </c>
      <c r="AA872">
        <v>2</v>
      </c>
      <c r="AB872">
        <v>0.11111</v>
      </c>
      <c r="AC872" t="s">
        <v>60</v>
      </c>
      <c r="AD872" t="s">
        <v>81</v>
      </c>
      <c r="AE872" t="s">
        <v>62</v>
      </c>
      <c r="AF872" t="s">
        <v>62</v>
      </c>
      <c r="AG872">
        <v>0</v>
      </c>
      <c r="AH872">
        <v>0</v>
      </c>
      <c r="AI872">
        <v>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2</v>
      </c>
      <c r="AT872">
        <v>0</v>
      </c>
      <c r="AU872">
        <v>12</v>
      </c>
      <c r="AV872">
        <v>12</v>
      </c>
      <c r="AW872">
        <v>33</v>
      </c>
      <c r="AX872">
        <v>2</v>
      </c>
      <c r="AY872">
        <v>73</v>
      </c>
      <c r="AZ872">
        <v>0</v>
      </c>
      <c r="BA872" t="s">
        <v>19585</v>
      </c>
      <c r="BB872" t="s">
        <v>193</v>
      </c>
      <c r="BC872">
        <v>0.56100000000000005</v>
      </c>
      <c r="BD872" t="s">
        <v>65</v>
      </c>
      <c r="BE872">
        <v>106</v>
      </c>
      <c r="BF872">
        <v>2</v>
      </c>
      <c r="BG872" t="s">
        <v>19586</v>
      </c>
      <c r="BH872" t="s">
        <v>19587</v>
      </c>
      <c r="BI872" t="s">
        <v>19588</v>
      </c>
      <c r="BJ872">
        <v>2.3800000000000002E-3</v>
      </c>
      <c r="BK872">
        <v>1</v>
      </c>
      <c r="BL872" t="s">
        <v>69</v>
      </c>
      <c r="BM872">
        <v>-0.92100000000000004</v>
      </c>
      <c r="BN872">
        <v>0.375</v>
      </c>
    </row>
    <row r="873" spans="2:66">
      <c r="B873">
        <v>1369</v>
      </c>
      <c r="C873">
        <v>426</v>
      </c>
      <c r="D873">
        <v>0</v>
      </c>
      <c r="E873">
        <v>8</v>
      </c>
      <c r="F873">
        <v>0</v>
      </c>
      <c r="J873">
        <v>0</v>
      </c>
      <c r="K873">
        <v>6</v>
      </c>
      <c r="L873">
        <v>0</v>
      </c>
      <c r="M873" t="s">
        <v>25022</v>
      </c>
      <c r="N873">
        <v>3354</v>
      </c>
      <c r="O873" t="s">
        <v>19596</v>
      </c>
      <c r="P873" t="s">
        <v>62</v>
      </c>
      <c r="Q873">
        <v>3323303</v>
      </c>
      <c r="R873">
        <v>3323605</v>
      </c>
      <c r="S873" t="s">
        <v>116</v>
      </c>
      <c r="T873">
        <v>101</v>
      </c>
      <c r="U873" t="s">
        <v>108</v>
      </c>
      <c r="V873">
        <v>44</v>
      </c>
      <c r="W873" t="str">
        <f>HYPERLINK("Gene3354-zp_tree_all.dnd", "Gene3354-tree")</f>
        <v>Gene3354-tree</v>
      </c>
      <c r="X873">
        <v>9</v>
      </c>
      <c r="Y873">
        <v>4</v>
      </c>
      <c r="Z873">
        <v>9</v>
      </c>
      <c r="AA873">
        <v>4</v>
      </c>
      <c r="AB873">
        <v>0.30769000000000002</v>
      </c>
      <c r="AC873" t="s">
        <v>135</v>
      </c>
      <c r="AD873" t="s">
        <v>61</v>
      </c>
      <c r="AE873" t="s">
        <v>62</v>
      </c>
      <c r="AF873" t="s">
        <v>62</v>
      </c>
      <c r="AG873">
        <v>2</v>
      </c>
      <c r="AH873">
        <v>6</v>
      </c>
      <c r="AI873">
        <v>3</v>
      </c>
      <c r="AJ873">
        <v>0.66666999999999998</v>
      </c>
      <c r="AK873">
        <v>0</v>
      </c>
      <c r="AL873">
        <v>0</v>
      </c>
      <c r="AM873">
        <v>0</v>
      </c>
      <c r="AN873">
        <v>2</v>
      </c>
      <c r="AO873">
        <v>0</v>
      </c>
      <c r="AP873">
        <v>0</v>
      </c>
      <c r="AQ873">
        <v>0</v>
      </c>
      <c r="AR873">
        <v>0</v>
      </c>
      <c r="AS873">
        <v>4</v>
      </c>
      <c r="AT873">
        <v>0</v>
      </c>
      <c r="AU873">
        <v>8</v>
      </c>
      <c r="AV873">
        <v>10</v>
      </c>
      <c r="AW873">
        <v>10</v>
      </c>
      <c r="AX873">
        <v>3</v>
      </c>
      <c r="AY873">
        <v>19</v>
      </c>
      <c r="AZ873">
        <v>6</v>
      </c>
      <c r="BA873" t="s">
        <v>19597</v>
      </c>
      <c r="BB873" t="s">
        <v>19598</v>
      </c>
      <c r="BC873">
        <v>5.1999999999999998E-2</v>
      </c>
      <c r="BD873" t="s">
        <v>65</v>
      </c>
      <c r="BE873">
        <v>29</v>
      </c>
      <c r="BF873">
        <v>9</v>
      </c>
      <c r="BG873" t="s">
        <v>19599</v>
      </c>
      <c r="BH873" t="s">
        <v>19600</v>
      </c>
      <c r="BI873" t="s">
        <v>19601</v>
      </c>
      <c r="BJ873">
        <v>6.4519999999999994E-2</v>
      </c>
      <c r="BK873">
        <v>1</v>
      </c>
      <c r="BL873" t="s">
        <v>69</v>
      </c>
      <c r="BM873">
        <v>1.069</v>
      </c>
      <c r="BN873">
        <v>1.403</v>
      </c>
    </row>
    <row r="874" spans="2:66">
      <c r="B874">
        <v>1370</v>
      </c>
      <c r="C874">
        <v>288</v>
      </c>
      <c r="D874">
        <v>0</v>
      </c>
      <c r="E874">
        <v>4</v>
      </c>
      <c r="F874">
        <v>0</v>
      </c>
      <c r="J874">
        <v>0</v>
      </c>
      <c r="K874">
        <v>10</v>
      </c>
      <c r="L874">
        <v>1</v>
      </c>
      <c r="M874" t="s">
        <v>25022</v>
      </c>
      <c r="N874">
        <v>3355</v>
      </c>
      <c r="O874" t="s">
        <v>19602</v>
      </c>
      <c r="P874" t="s">
        <v>62</v>
      </c>
      <c r="Q874">
        <v>3323673</v>
      </c>
      <c r="R874">
        <v>3325058</v>
      </c>
      <c r="S874" t="s">
        <v>19603</v>
      </c>
      <c r="T874">
        <v>462</v>
      </c>
      <c r="U874" t="s">
        <v>108</v>
      </c>
      <c r="V874">
        <v>44</v>
      </c>
      <c r="W874" t="str">
        <f>HYPERLINK("Gene3355-zp_tree_all.dnd", "Gene3355-tree")</f>
        <v>Gene3355-tree</v>
      </c>
      <c r="X874">
        <v>5</v>
      </c>
      <c r="Y874">
        <v>11</v>
      </c>
      <c r="Z874">
        <v>5</v>
      </c>
      <c r="AA874">
        <v>11</v>
      </c>
      <c r="AB874">
        <v>0.6875</v>
      </c>
      <c r="AC874" t="s">
        <v>199</v>
      </c>
      <c r="AD874" t="s">
        <v>73</v>
      </c>
      <c r="AE874">
        <v>137353515.63499999</v>
      </c>
      <c r="AF874" t="s">
        <v>267</v>
      </c>
      <c r="AG874">
        <v>3</v>
      </c>
      <c r="AH874">
        <v>11</v>
      </c>
      <c r="AI874">
        <v>13</v>
      </c>
      <c r="AJ874">
        <v>0.45833000000000002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4</v>
      </c>
      <c r="AQ874">
        <v>0</v>
      </c>
      <c r="AR874">
        <v>4</v>
      </c>
      <c r="AS874">
        <v>10</v>
      </c>
      <c r="AT874">
        <v>0.28571000000000002</v>
      </c>
      <c r="AU874">
        <v>15</v>
      </c>
      <c r="AV874">
        <v>11</v>
      </c>
      <c r="AW874">
        <v>65</v>
      </c>
      <c r="AX874">
        <v>14</v>
      </c>
      <c r="AY874">
        <v>34</v>
      </c>
      <c r="AZ874">
        <v>10</v>
      </c>
      <c r="BA874" t="s">
        <v>19604</v>
      </c>
      <c r="BB874" t="s">
        <v>19605</v>
      </c>
      <c r="BC874">
        <v>0.71199999999999997</v>
      </c>
      <c r="BD874" t="s">
        <v>65</v>
      </c>
      <c r="BE874">
        <v>99</v>
      </c>
      <c r="BF874">
        <v>24</v>
      </c>
      <c r="BG874" t="s">
        <v>19606</v>
      </c>
      <c r="BH874" t="s">
        <v>19607</v>
      </c>
      <c r="BI874" t="s">
        <v>19608</v>
      </c>
      <c r="BJ874">
        <v>7.152E-2</v>
      </c>
      <c r="BK874">
        <v>1</v>
      </c>
      <c r="BL874" t="s">
        <v>69</v>
      </c>
      <c r="BM874">
        <v>-0.56899999999999995</v>
      </c>
      <c r="BN874">
        <v>-0.60099999999999998</v>
      </c>
    </row>
    <row r="875" spans="2:66">
      <c r="B875">
        <v>1372</v>
      </c>
      <c r="C875">
        <v>180</v>
      </c>
      <c r="D875">
        <v>0</v>
      </c>
      <c r="E875">
        <v>14</v>
      </c>
      <c r="F875">
        <v>1</v>
      </c>
      <c r="J875">
        <v>0</v>
      </c>
      <c r="K875">
        <v>4</v>
      </c>
      <c r="L875">
        <v>0</v>
      </c>
      <c r="M875" t="s">
        <v>25022</v>
      </c>
      <c r="N875">
        <v>3356</v>
      </c>
      <c r="O875" t="s">
        <v>19609</v>
      </c>
      <c r="P875" t="s">
        <v>62</v>
      </c>
      <c r="Q875">
        <v>3325081</v>
      </c>
      <c r="R875">
        <v>3325899</v>
      </c>
      <c r="S875" t="s">
        <v>2569</v>
      </c>
      <c r="T875">
        <v>273</v>
      </c>
      <c r="U875" t="s">
        <v>108</v>
      </c>
      <c r="V875">
        <v>44</v>
      </c>
      <c r="W875" t="str">
        <f>HYPERLINK("Gene3356-zp_tree_all.dnd", "Gene3356-tree")</f>
        <v>Gene3356-tree</v>
      </c>
      <c r="X875">
        <v>10</v>
      </c>
      <c r="Y875">
        <v>5</v>
      </c>
      <c r="Z875">
        <v>10</v>
      </c>
      <c r="AA875">
        <v>5</v>
      </c>
      <c r="AB875">
        <v>0.33333000000000002</v>
      </c>
      <c r="AC875" t="s">
        <v>117</v>
      </c>
      <c r="AD875" t="s">
        <v>199</v>
      </c>
      <c r="AE875" t="s">
        <v>62</v>
      </c>
      <c r="AF875" t="s">
        <v>62</v>
      </c>
      <c r="AG875">
        <v>2</v>
      </c>
      <c r="AH875">
        <v>4</v>
      </c>
      <c r="AI875">
        <v>5</v>
      </c>
      <c r="AJ875">
        <v>0.44444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4</v>
      </c>
      <c r="AQ875">
        <v>0</v>
      </c>
      <c r="AR875">
        <v>4</v>
      </c>
      <c r="AS875">
        <v>4</v>
      </c>
      <c r="AT875">
        <v>0.5</v>
      </c>
      <c r="AU875">
        <v>10</v>
      </c>
      <c r="AV875">
        <v>9</v>
      </c>
      <c r="AW875">
        <v>30</v>
      </c>
      <c r="AX875">
        <v>7</v>
      </c>
      <c r="AY875">
        <v>9</v>
      </c>
      <c r="AZ875">
        <v>2</v>
      </c>
      <c r="BA875" t="s">
        <v>19610</v>
      </c>
      <c r="BB875" t="s">
        <v>19611</v>
      </c>
      <c r="BC875">
        <v>0.02</v>
      </c>
      <c r="BD875" t="s">
        <v>65</v>
      </c>
      <c r="BE875">
        <v>39</v>
      </c>
      <c r="BF875">
        <v>9</v>
      </c>
      <c r="BG875" t="s">
        <v>19612</v>
      </c>
      <c r="BH875" t="s">
        <v>19613</v>
      </c>
      <c r="BI875" t="s">
        <v>19614</v>
      </c>
      <c r="BJ875">
        <v>7.6310000000000003E-2</v>
      </c>
      <c r="BK875">
        <v>1</v>
      </c>
      <c r="BL875" t="s">
        <v>69</v>
      </c>
      <c r="BM875">
        <v>-1.1319999999999999</v>
      </c>
      <c r="BN875">
        <v>-2.5350000000000001</v>
      </c>
    </row>
    <row r="876" spans="2:66">
      <c r="B876">
        <v>1373</v>
      </c>
      <c r="C876">
        <v>251</v>
      </c>
      <c r="D876">
        <v>0</v>
      </c>
      <c r="E876">
        <v>22</v>
      </c>
      <c r="F876">
        <v>8</v>
      </c>
      <c r="J876">
        <v>0</v>
      </c>
      <c r="K876">
        <v>0</v>
      </c>
      <c r="L876">
        <v>0</v>
      </c>
      <c r="M876" t="s">
        <v>25022</v>
      </c>
      <c r="N876">
        <v>3357</v>
      </c>
      <c r="O876" t="s">
        <v>19615</v>
      </c>
      <c r="P876" t="s">
        <v>62</v>
      </c>
      <c r="Q876">
        <v>3325920</v>
      </c>
      <c r="R876">
        <v>3326765</v>
      </c>
      <c r="S876" t="s">
        <v>116</v>
      </c>
      <c r="T876">
        <v>282</v>
      </c>
      <c r="U876" t="s">
        <v>59</v>
      </c>
      <c r="V876">
        <v>49</v>
      </c>
      <c r="W876" t="str">
        <f>HYPERLINK("Gene3357-zp_tree_all.dnd", "Gene3357-tree")</f>
        <v>Gene3357-tree</v>
      </c>
      <c r="X876">
        <v>15</v>
      </c>
      <c r="Y876">
        <v>6</v>
      </c>
      <c r="Z876">
        <v>15</v>
      </c>
      <c r="AA876">
        <v>6</v>
      </c>
      <c r="AB876">
        <v>0.28571000000000002</v>
      </c>
      <c r="AC876" t="s">
        <v>100</v>
      </c>
      <c r="AD876" t="s">
        <v>90</v>
      </c>
      <c r="AE876" t="s">
        <v>62</v>
      </c>
      <c r="AF876" t="s">
        <v>62</v>
      </c>
      <c r="AG876">
        <v>0</v>
      </c>
      <c r="AH876">
        <v>0</v>
      </c>
      <c r="AI876">
        <v>10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8</v>
      </c>
      <c r="AT876">
        <v>0</v>
      </c>
      <c r="AU876">
        <v>16</v>
      </c>
      <c r="AV876">
        <v>15</v>
      </c>
      <c r="AW876">
        <v>53</v>
      </c>
      <c r="AX876">
        <v>8</v>
      </c>
      <c r="AY876">
        <v>54</v>
      </c>
      <c r="AZ876">
        <v>2</v>
      </c>
      <c r="BA876" t="s">
        <v>19616</v>
      </c>
      <c r="BB876" t="s">
        <v>19617</v>
      </c>
      <c r="BC876">
        <v>0.90900000000000003</v>
      </c>
      <c r="BD876" t="s">
        <v>65</v>
      </c>
      <c r="BE876">
        <v>107</v>
      </c>
      <c r="BF876">
        <v>10</v>
      </c>
      <c r="BG876" t="s">
        <v>3410</v>
      </c>
      <c r="BH876" t="s">
        <v>19618</v>
      </c>
      <c r="BI876" t="s">
        <v>19485</v>
      </c>
      <c r="BJ876">
        <v>1.8360000000000001E-2</v>
      </c>
      <c r="BK876">
        <v>1</v>
      </c>
      <c r="BL876" t="s">
        <v>69</v>
      </c>
      <c r="BM876">
        <v>-1.405</v>
      </c>
      <c r="BN876">
        <v>-2.0979999999999999</v>
      </c>
    </row>
    <row r="877" spans="2:66">
      <c r="B877">
        <v>1374</v>
      </c>
      <c r="C877">
        <v>110</v>
      </c>
      <c r="D877">
        <v>0</v>
      </c>
      <c r="E877">
        <v>0</v>
      </c>
      <c r="F877">
        <v>2</v>
      </c>
      <c r="J877">
        <v>0</v>
      </c>
      <c r="K877">
        <v>4</v>
      </c>
      <c r="L877">
        <v>2</v>
      </c>
      <c r="M877" t="s">
        <v>25022</v>
      </c>
      <c r="N877">
        <v>3358</v>
      </c>
      <c r="O877" t="s">
        <v>19619</v>
      </c>
      <c r="P877" t="s">
        <v>62</v>
      </c>
      <c r="Q877">
        <v>3326806</v>
      </c>
      <c r="R877">
        <v>3327150</v>
      </c>
      <c r="S877" t="s">
        <v>116</v>
      </c>
      <c r="T877">
        <v>115</v>
      </c>
      <c r="U877" t="s">
        <v>629</v>
      </c>
      <c r="V877">
        <v>43</v>
      </c>
      <c r="W877" t="str">
        <f>HYPERLINK("Gene3358-zp_tree_all.dnd", "Gene3358-tree")</f>
        <v>Gene3358-tree</v>
      </c>
      <c r="X877">
        <v>5</v>
      </c>
      <c r="Y877">
        <v>26</v>
      </c>
      <c r="Z877">
        <v>5</v>
      </c>
      <c r="AA877">
        <v>7</v>
      </c>
      <c r="AB877">
        <v>0.58333000000000002</v>
      </c>
      <c r="AC877" t="s">
        <v>199</v>
      </c>
      <c r="AD877" t="s">
        <v>191</v>
      </c>
      <c r="AE877">
        <v>3.3170000000000002</v>
      </c>
      <c r="AF877" t="s">
        <v>65</v>
      </c>
      <c r="AG877">
        <v>3</v>
      </c>
      <c r="AH877">
        <v>6</v>
      </c>
      <c r="AI877">
        <v>11</v>
      </c>
      <c r="AJ877">
        <v>0.35293999999999998</v>
      </c>
      <c r="AK877">
        <v>0</v>
      </c>
      <c r="AL877">
        <v>0</v>
      </c>
      <c r="AM877">
        <v>0</v>
      </c>
      <c r="AN877">
        <v>3</v>
      </c>
      <c r="AO877">
        <v>0</v>
      </c>
      <c r="AP877">
        <v>2</v>
      </c>
      <c r="AQ877">
        <v>0</v>
      </c>
      <c r="AR877">
        <v>2</v>
      </c>
      <c r="AS877">
        <v>9</v>
      </c>
      <c r="AT877">
        <v>0.18182000000000001</v>
      </c>
      <c r="AU877">
        <v>9</v>
      </c>
      <c r="AV877">
        <v>5</v>
      </c>
      <c r="AW877">
        <v>8</v>
      </c>
      <c r="AX877">
        <v>12</v>
      </c>
      <c r="AY877">
        <v>4</v>
      </c>
      <c r="AZ877">
        <v>7</v>
      </c>
      <c r="BA877" t="s">
        <v>19620</v>
      </c>
      <c r="BB877" t="s">
        <v>19621</v>
      </c>
      <c r="BC877">
        <v>0.25800000000000001</v>
      </c>
      <c r="BD877" t="s">
        <v>65</v>
      </c>
      <c r="BE877">
        <v>12</v>
      </c>
      <c r="BF877">
        <v>19</v>
      </c>
      <c r="BG877" t="s">
        <v>19622</v>
      </c>
      <c r="BH877" t="s">
        <v>19623</v>
      </c>
      <c r="BI877" t="s">
        <v>19624</v>
      </c>
      <c r="BJ877">
        <v>0.41820000000000002</v>
      </c>
      <c r="BK877">
        <v>0.89</v>
      </c>
      <c r="BL877" t="s">
        <v>635</v>
      </c>
      <c r="BM877">
        <v>0.80700000000000005</v>
      </c>
      <c r="BN877">
        <v>0.61499999999999999</v>
      </c>
    </row>
    <row r="878" spans="2:66">
      <c r="B878">
        <v>1375</v>
      </c>
      <c r="C878">
        <v>39</v>
      </c>
      <c r="D878">
        <v>0</v>
      </c>
      <c r="E878">
        <v>6</v>
      </c>
      <c r="F878">
        <v>2</v>
      </c>
      <c r="J878">
        <v>0</v>
      </c>
      <c r="K878">
        <v>12</v>
      </c>
      <c r="L878">
        <v>4</v>
      </c>
      <c r="M878" t="s">
        <v>25022</v>
      </c>
      <c r="N878">
        <v>3359</v>
      </c>
      <c r="O878" t="s">
        <v>19625</v>
      </c>
      <c r="P878" t="s">
        <v>62</v>
      </c>
      <c r="Q878">
        <v>3327250</v>
      </c>
      <c r="R878">
        <v>3328587</v>
      </c>
      <c r="S878" t="s">
        <v>19626</v>
      </c>
      <c r="T878">
        <v>446</v>
      </c>
      <c r="U878" t="s">
        <v>108</v>
      </c>
      <c r="V878">
        <v>44</v>
      </c>
      <c r="W878" t="str">
        <f>HYPERLINK("Gene3359-zp_tree_all.dnd", "Gene3359-tree")</f>
        <v>Gene3359-tree</v>
      </c>
      <c r="X878">
        <v>4</v>
      </c>
      <c r="Y878">
        <v>13</v>
      </c>
      <c r="Z878">
        <v>4</v>
      </c>
      <c r="AA878">
        <v>13</v>
      </c>
      <c r="AB878">
        <v>0.76471</v>
      </c>
      <c r="AC878" t="s">
        <v>61</v>
      </c>
      <c r="AD878" t="s">
        <v>507</v>
      </c>
      <c r="AE878" t="s">
        <v>62</v>
      </c>
      <c r="AF878" t="s">
        <v>62</v>
      </c>
      <c r="AG878">
        <v>6</v>
      </c>
      <c r="AH878">
        <v>16</v>
      </c>
      <c r="AI878">
        <v>16</v>
      </c>
      <c r="AJ878">
        <v>0.5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7</v>
      </c>
      <c r="AQ878">
        <v>3</v>
      </c>
      <c r="AR878">
        <v>10</v>
      </c>
      <c r="AS878">
        <v>14</v>
      </c>
      <c r="AT878">
        <v>0.41666999999999998</v>
      </c>
      <c r="AU878">
        <v>15</v>
      </c>
      <c r="AV878">
        <v>12</v>
      </c>
      <c r="AW878">
        <v>59</v>
      </c>
      <c r="AX878">
        <v>24</v>
      </c>
      <c r="AY878">
        <v>30</v>
      </c>
      <c r="AZ878">
        <v>8</v>
      </c>
      <c r="BA878" t="s">
        <v>19627</v>
      </c>
      <c r="BB878" t="s">
        <v>19628</v>
      </c>
      <c r="BC878">
        <v>0.47</v>
      </c>
      <c r="BD878" t="s">
        <v>65</v>
      </c>
      <c r="BE878">
        <v>89</v>
      </c>
      <c r="BF878">
        <v>32</v>
      </c>
      <c r="BG878" t="s">
        <v>19629</v>
      </c>
      <c r="BH878" t="s">
        <v>19630</v>
      </c>
      <c r="BI878" t="s">
        <v>19631</v>
      </c>
      <c r="BJ878">
        <v>0.11294</v>
      </c>
      <c r="BK878">
        <v>1</v>
      </c>
      <c r="BL878" t="s">
        <v>69</v>
      </c>
      <c r="BM878">
        <v>-1.2050000000000001</v>
      </c>
      <c r="BN878">
        <v>-2.1819999999999999</v>
      </c>
    </row>
    <row r="879" spans="2:66">
      <c r="B879">
        <v>1376</v>
      </c>
      <c r="C879">
        <v>34</v>
      </c>
      <c r="D879">
        <v>0</v>
      </c>
      <c r="E879">
        <v>13</v>
      </c>
      <c r="F879">
        <v>4</v>
      </c>
      <c r="J879">
        <v>0</v>
      </c>
      <c r="K879">
        <v>4</v>
      </c>
      <c r="L879">
        <v>0</v>
      </c>
      <c r="M879" t="s">
        <v>25022</v>
      </c>
      <c r="N879">
        <v>3366</v>
      </c>
      <c r="O879" t="s">
        <v>19672</v>
      </c>
      <c r="P879" t="s">
        <v>62</v>
      </c>
      <c r="Q879">
        <v>3335754</v>
      </c>
      <c r="R879">
        <v>3336272</v>
      </c>
      <c r="S879" t="s">
        <v>19673</v>
      </c>
      <c r="T879">
        <v>173</v>
      </c>
      <c r="U879" t="s">
        <v>19674</v>
      </c>
      <c r="V879">
        <v>21</v>
      </c>
      <c r="W879" t="str">
        <f>HYPERLINK("Gene3366-zp_tree_all.dnd", "Gene3366-tree")</f>
        <v>Gene3366-tree</v>
      </c>
      <c r="X879">
        <v>0</v>
      </c>
      <c r="Y879">
        <v>21</v>
      </c>
      <c r="Z879">
        <v>0</v>
      </c>
      <c r="AA879">
        <v>4</v>
      </c>
      <c r="AB879">
        <v>1</v>
      </c>
      <c r="AC879" t="s">
        <v>62</v>
      </c>
      <c r="AD879" t="s">
        <v>3348</v>
      </c>
      <c r="AE879">
        <v>5.9980000000000002</v>
      </c>
      <c r="AF879" t="s">
        <v>65</v>
      </c>
      <c r="AG879">
        <v>2</v>
      </c>
      <c r="AH879">
        <v>4</v>
      </c>
      <c r="AI879">
        <v>10</v>
      </c>
      <c r="AJ879">
        <v>0.28571000000000002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0</v>
      </c>
      <c r="AR879">
        <v>4</v>
      </c>
      <c r="AS879">
        <v>10</v>
      </c>
      <c r="AT879">
        <v>0.28571000000000002</v>
      </c>
      <c r="AU879">
        <v>4</v>
      </c>
      <c r="AV879">
        <v>1</v>
      </c>
      <c r="AW879">
        <v>16</v>
      </c>
      <c r="AX879">
        <v>11</v>
      </c>
      <c r="AY879">
        <v>17</v>
      </c>
      <c r="AZ879">
        <v>3</v>
      </c>
      <c r="BA879" t="s">
        <v>19675</v>
      </c>
      <c r="BB879" t="s">
        <v>19676</v>
      </c>
      <c r="BC879">
        <v>1.4490000000000001</v>
      </c>
      <c r="BD879" t="s">
        <v>65</v>
      </c>
      <c r="BE879">
        <v>33</v>
      </c>
      <c r="BF879">
        <v>14</v>
      </c>
      <c r="BG879" t="s">
        <v>19677</v>
      </c>
      <c r="BH879" t="s">
        <v>19678</v>
      </c>
      <c r="BI879" t="s">
        <v>19679</v>
      </c>
      <c r="BJ879">
        <v>9.4560000000000005E-2</v>
      </c>
      <c r="BK879">
        <v>1</v>
      </c>
      <c r="BL879" t="s">
        <v>69</v>
      </c>
      <c r="BM879">
        <v>-1.9650000000000001</v>
      </c>
      <c r="BN879">
        <v>-1.0920000000000001</v>
      </c>
    </row>
    <row r="880" spans="2:66">
      <c r="B880">
        <v>1377</v>
      </c>
      <c r="C880">
        <v>13</v>
      </c>
      <c r="D880">
        <v>0</v>
      </c>
      <c r="E880">
        <v>16</v>
      </c>
      <c r="F880">
        <v>3</v>
      </c>
      <c r="J880">
        <v>3</v>
      </c>
      <c r="K880">
        <v>35</v>
      </c>
      <c r="L880">
        <v>3</v>
      </c>
      <c r="M880" t="s">
        <v>25022</v>
      </c>
      <c r="N880">
        <v>3367</v>
      </c>
      <c r="O880" t="s">
        <v>19680</v>
      </c>
      <c r="P880" t="s">
        <v>62</v>
      </c>
      <c r="Q880">
        <v>3336266</v>
      </c>
      <c r="R880">
        <v>3338500</v>
      </c>
      <c r="S880" t="s">
        <v>19681</v>
      </c>
      <c r="T880">
        <v>745</v>
      </c>
      <c r="U880" t="s">
        <v>108</v>
      </c>
      <c r="V880">
        <v>44</v>
      </c>
      <c r="W880" t="str">
        <f>HYPERLINK("Gene3367-zp_tree_all.dnd", "Gene3367-tree")</f>
        <v>Gene3367-tree</v>
      </c>
      <c r="X880">
        <v>3</v>
      </c>
      <c r="Y880">
        <v>13</v>
      </c>
      <c r="Z880">
        <v>3</v>
      </c>
      <c r="AA880">
        <v>13</v>
      </c>
      <c r="AB880">
        <v>0.8125</v>
      </c>
      <c r="AC880" t="s">
        <v>324</v>
      </c>
      <c r="AD880" t="s">
        <v>507</v>
      </c>
      <c r="AE880" t="s">
        <v>62</v>
      </c>
      <c r="AF880" t="s">
        <v>62</v>
      </c>
      <c r="AG880">
        <v>16</v>
      </c>
      <c r="AH880">
        <v>41</v>
      </c>
      <c r="AI880">
        <v>35</v>
      </c>
      <c r="AJ880">
        <v>0.53947000000000001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9</v>
      </c>
      <c r="AQ880">
        <v>2</v>
      </c>
      <c r="AR880">
        <v>11</v>
      </c>
      <c r="AS880">
        <v>35</v>
      </c>
      <c r="AT880">
        <v>0.23913000000000001</v>
      </c>
      <c r="AU880">
        <v>15</v>
      </c>
      <c r="AV880">
        <v>13</v>
      </c>
      <c r="AW880">
        <v>131</v>
      </c>
      <c r="AX880">
        <v>45</v>
      </c>
      <c r="AY880">
        <v>103</v>
      </c>
      <c r="AZ880">
        <v>33</v>
      </c>
      <c r="BA880" t="s">
        <v>19682</v>
      </c>
      <c r="BB880" t="s">
        <v>19683</v>
      </c>
      <c r="BC880">
        <v>7.5999999999999998E-2</v>
      </c>
      <c r="BD880" t="s">
        <v>65</v>
      </c>
      <c r="BE880">
        <v>234</v>
      </c>
      <c r="BF880">
        <v>78</v>
      </c>
      <c r="BG880" t="s">
        <v>19684</v>
      </c>
      <c r="BH880" t="s">
        <v>19685</v>
      </c>
      <c r="BI880" t="s">
        <v>19686</v>
      </c>
      <c r="BJ880">
        <v>0.10375</v>
      </c>
      <c r="BK880">
        <v>1</v>
      </c>
      <c r="BL880" t="s">
        <v>69</v>
      </c>
      <c r="BM880">
        <v>-0.51600000000000001</v>
      </c>
      <c r="BN880">
        <v>-1.931</v>
      </c>
    </row>
    <row r="881" spans="2:66">
      <c r="B881">
        <v>1378</v>
      </c>
      <c r="C881">
        <v>13</v>
      </c>
      <c r="D881">
        <v>0</v>
      </c>
      <c r="E881">
        <v>10</v>
      </c>
      <c r="F881">
        <v>1</v>
      </c>
      <c r="J881">
        <v>0</v>
      </c>
      <c r="K881">
        <v>15</v>
      </c>
      <c r="L881">
        <v>4</v>
      </c>
      <c r="M881" t="s">
        <v>25022</v>
      </c>
      <c r="N881">
        <v>3368</v>
      </c>
      <c r="O881" t="s">
        <v>19687</v>
      </c>
      <c r="P881" t="s">
        <v>62</v>
      </c>
      <c r="Q881">
        <v>3338504</v>
      </c>
      <c r="R881">
        <v>3339334</v>
      </c>
      <c r="S881" t="s">
        <v>19688</v>
      </c>
      <c r="T881">
        <v>277</v>
      </c>
      <c r="U881" t="s">
        <v>108</v>
      </c>
      <c r="V881">
        <v>44</v>
      </c>
      <c r="W881" t="str">
        <f>HYPERLINK("Gene3368-zp_tree_all.dnd", "Gene3368-tree")</f>
        <v>Gene3368-tree</v>
      </c>
      <c r="X881">
        <v>1</v>
      </c>
      <c r="Y881">
        <v>13</v>
      </c>
      <c r="Z881">
        <v>1</v>
      </c>
      <c r="AA881">
        <v>13</v>
      </c>
      <c r="AB881">
        <v>0.92857000000000001</v>
      </c>
      <c r="AC881" t="s">
        <v>175</v>
      </c>
      <c r="AD881" t="s">
        <v>507</v>
      </c>
      <c r="AE881" t="s">
        <v>62</v>
      </c>
      <c r="AF881" t="s">
        <v>62</v>
      </c>
      <c r="AG881">
        <v>8</v>
      </c>
      <c r="AH881">
        <v>19</v>
      </c>
      <c r="AI881">
        <v>27</v>
      </c>
      <c r="AJ881">
        <v>0.41304000000000002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11</v>
      </c>
      <c r="AQ881">
        <v>0</v>
      </c>
      <c r="AR881">
        <v>11</v>
      </c>
      <c r="AS881">
        <v>21</v>
      </c>
      <c r="AT881">
        <v>0.34375</v>
      </c>
      <c r="AU881">
        <v>12</v>
      </c>
      <c r="AV881">
        <v>10</v>
      </c>
      <c r="AW881">
        <v>25</v>
      </c>
      <c r="AX881">
        <v>31</v>
      </c>
      <c r="AY881">
        <v>22</v>
      </c>
      <c r="AZ881">
        <v>15</v>
      </c>
      <c r="BA881" t="s">
        <v>19689</v>
      </c>
      <c r="BB881" t="s">
        <v>19690</v>
      </c>
      <c r="BC881">
        <v>1.163</v>
      </c>
      <c r="BD881" t="s">
        <v>65</v>
      </c>
      <c r="BE881">
        <v>47</v>
      </c>
      <c r="BF881">
        <v>46</v>
      </c>
      <c r="BG881" t="s">
        <v>19691</v>
      </c>
      <c r="BH881" t="s">
        <v>19692</v>
      </c>
      <c r="BI881" t="s">
        <v>19693</v>
      </c>
      <c r="BJ881">
        <v>0.29737000000000002</v>
      </c>
      <c r="BK881">
        <v>1</v>
      </c>
      <c r="BL881" t="s">
        <v>69</v>
      </c>
      <c r="BM881">
        <v>-0.72399999999999998</v>
      </c>
      <c r="BN881">
        <v>-1.405</v>
      </c>
    </row>
    <row r="882" spans="2:66">
      <c r="B882">
        <v>1379</v>
      </c>
      <c r="C882">
        <v>108</v>
      </c>
      <c r="D882">
        <v>0</v>
      </c>
      <c r="E882">
        <v>4</v>
      </c>
      <c r="F882">
        <v>0</v>
      </c>
      <c r="J882">
        <v>0</v>
      </c>
      <c r="K882">
        <v>12</v>
      </c>
      <c r="L882">
        <v>2</v>
      </c>
      <c r="M882" t="s">
        <v>25022</v>
      </c>
      <c r="N882">
        <v>3369</v>
      </c>
      <c r="O882" t="s">
        <v>19694</v>
      </c>
      <c r="P882" t="s">
        <v>62</v>
      </c>
      <c r="Q882">
        <v>3339334</v>
      </c>
      <c r="R882">
        <v>3339948</v>
      </c>
      <c r="S882" t="s">
        <v>19695</v>
      </c>
      <c r="T882">
        <v>205</v>
      </c>
      <c r="U882" t="s">
        <v>108</v>
      </c>
      <c r="V882">
        <v>44</v>
      </c>
      <c r="W882" t="str">
        <f>HYPERLINK("Gene3369-zp_tree_all.dnd", "Gene3369-tree")</f>
        <v>Gene3369-tree</v>
      </c>
      <c r="X882">
        <v>3</v>
      </c>
      <c r="Y882">
        <v>11</v>
      </c>
      <c r="Z882">
        <v>3</v>
      </c>
      <c r="AA882">
        <v>11</v>
      </c>
      <c r="AB882">
        <v>0.78571000000000002</v>
      </c>
      <c r="AC882" t="s">
        <v>324</v>
      </c>
      <c r="AD882" t="s">
        <v>73</v>
      </c>
      <c r="AE882">
        <v>305230034.74400002</v>
      </c>
      <c r="AF882" t="s">
        <v>267</v>
      </c>
      <c r="AG882">
        <v>6</v>
      </c>
      <c r="AH882">
        <v>14</v>
      </c>
      <c r="AI882">
        <v>9</v>
      </c>
      <c r="AJ882">
        <v>0.60870000000000002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9</v>
      </c>
      <c r="AQ882">
        <v>0</v>
      </c>
      <c r="AR882">
        <v>9</v>
      </c>
      <c r="AS882">
        <v>10</v>
      </c>
      <c r="AT882">
        <v>0.47367999999999999</v>
      </c>
      <c r="AU882">
        <v>10</v>
      </c>
      <c r="AV882">
        <v>10</v>
      </c>
      <c r="AW882">
        <v>17</v>
      </c>
      <c r="AX882">
        <v>18</v>
      </c>
      <c r="AY882">
        <v>15</v>
      </c>
      <c r="AZ882">
        <v>5</v>
      </c>
      <c r="BA882" t="s">
        <v>19696</v>
      </c>
      <c r="BB882" t="s">
        <v>19697</v>
      </c>
      <c r="BC882">
        <v>1.55</v>
      </c>
      <c r="BD882" t="s">
        <v>65</v>
      </c>
      <c r="BE882">
        <v>32</v>
      </c>
      <c r="BF882">
        <v>23</v>
      </c>
      <c r="BG882" t="s">
        <v>19698</v>
      </c>
      <c r="BH882" t="s">
        <v>19699</v>
      </c>
      <c r="BI882" t="s">
        <v>19700</v>
      </c>
      <c r="BJ882">
        <v>0.19506999999999999</v>
      </c>
      <c r="BK882">
        <v>1</v>
      </c>
      <c r="BL882" t="s">
        <v>69</v>
      </c>
      <c r="BM882">
        <v>-0.11899999999999999</v>
      </c>
      <c r="BN882">
        <v>-1.1519999999999999</v>
      </c>
    </row>
    <row r="883" spans="2:66">
      <c r="B883">
        <v>1385</v>
      </c>
      <c r="C883">
        <v>139</v>
      </c>
      <c r="D883">
        <v>0</v>
      </c>
      <c r="E883">
        <v>0</v>
      </c>
      <c r="F883">
        <v>2</v>
      </c>
      <c r="J883">
        <v>0</v>
      </c>
      <c r="K883">
        <v>33</v>
      </c>
      <c r="L883">
        <v>6</v>
      </c>
      <c r="M883" t="s">
        <v>25022</v>
      </c>
      <c r="N883">
        <v>3370</v>
      </c>
      <c r="O883" t="s">
        <v>19701</v>
      </c>
      <c r="P883" t="s">
        <v>62</v>
      </c>
      <c r="Q883">
        <v>3339948</v>
      </c>
      <c r="R883">
        <v>3340937</v>
      </c>
      <c r="S883" t="s">
        <v>19702</v>
      </c>
      <c r="T883">
        <v>330</v>
      </c>
      <c r="U883" t="s">
        <v>108</v>
      </c>
      <c r="V883">
        <v>44</v>
      </c>
      <c r="W883" t="str">
        <f>HYPERLINK("Gene3370-zp_tree_all.dnd", "Gene3370-tree")</f>
        <v>Gene3370-tree</v>
      </c>
      <c r="X883">
        <v>4</v>
      </c>
      <c r="Y883">
        <v>11</v>
      </c>
      <c r="Z883">
        <v>4</v>
      </c>
      <c r="AA883">
        <v>11</v>
      </c>
      <c r="AB883">
        <v>0.73333000000000004</v>
      </c>
      <c r="AC883" t="s">
        <v>61</v>
      </c>
      <c r="AD883" t="s">
        <v>73</v>
      </c>
      <c r="AE883">
        <v>200307210.301</v>
      </c>
      <c r="AF883" t="s">
        <v>267</v>
      </c>
      <c r="AG883">
        <v>13</v>
      </c>
      <c r="AH883">
        <v>39</v>
      </c>
      <c r="AI883">
        <v>26</v>
      </c>
      <c r="AJ883">
        <v>0.6</v>
      </c>
      <c r="AK883">
        <v>0</v>
      </c>
      <c r="AL883">
        <v>0</v>
      </c>
      <c r="AM883">
        <v>0</v>
      </c>
      <c r="AN883">
        <v>4</v>
      </c>
      <c r="AO883">
        <v>0</v>
      </c>
      <c r="AP883">
        <v>20</v>
      </c>
      <c r="AQ883">
        <v>4</v>
      </c>
      <c r="AR883">
        <v>24</v>
      </c>
      <c r="AS883">
        <v>25</v>
      </c>
      <c r="AT883">
        <v>0.48980000000000001</v>
      </c>
      <c r="AU883">
        <v>14</v>
      </c>
      <c r="AV883">
        <v>9</v>
      </c>
      <c r="AW883">
        <v>64</v>
      </c>
      <c r="AX883">
        <v>49</v>
      </c>
      <c r="AY883">
        <v>19</v>
      </c>
      <c r="AZ883">
        <v>16</v>
      </c>
      <c r="BA883" t="s">
        <v>19703</v>
      </c>
      <c r="BB883" t="s">
        <v>19704</v>
      </c>
      <c r="BC883">
        <v>0.186</v>
      </c>
      <c r="BD883" t="s">
        <v>65</v>
      </c>
      <c r="BE883">
        <v>83</v>
      </c>
      <c r="BF883">
        <v>65</v>
      </c>
      <c r="BG883" t="s">
        <v>19705</v>
      </c>
      <c r="BH883" t="s">
        <v>19706</v>
      </c>
      <c r="BI883" t="s">
        <v>19707</v>
      </c>
      <c r="BJ883">
        <v>0.23613999999999999</v>
      </c>
      <c r="BK883">
        <v>1</v>
      </c>
      <c r="BL883" t="s">
        <v>69</v>
      </c>
      <c r="BM883">
        <v>-0.89400000000000002</v>
      </c>
      <c r="BN883">
        <v>-0.97699999999999998</v>
      </c>
    </row>
    <row r="884" spans="2:66">
      <c r="B884">
        <v>1386</v>
      </c>
      <c r="C884">
        <v>337</v>
      </c>
      <c r="D884">
        <v>0</v>
      </c>
      <c r="E884">
        <v>14</v>
      </c>
      <c r="F884">
        <v>1</v>
      </c>
      <c r="J884">
        <v>0</v>
      </c>
      <c r="K884">
        <v>4</v>
      </c>
      <c r="L884">
        <v>0</v>
      </c>
      <c r="M884" t="s">
        <v>25022</v>
      </c>
      <c r="N884">
        <v>3371</v>
      </c>
      <c r="O884" t="s">
        <v>19708</v>
      </c>
      <c r="P884" t="s">
        <v>62</v>
      </c>
      <c r="Q884">
        <v>3341169</v>
      </c>
      <c r="R884">
        <v>3342416</v>
      </c>
      <c r="S884" t="s">
        <v>19709</v>
      </c>
      <c r="T884">
        <v>416</v>
      </c>
      <c r="U884" t="s">
        <v>108</v>
      </c>
      <c r="V884">
        <v>44</v>
      </c>
      <c r="W884" t="str">
        <f>HYPERLINK("Gene3371-zp_tree_all.dnd", "Gene3371-tree")</f>
        <v>Gene3371-tree</v>
      </c>
      <c r="X884">
        <v>8</v>
      </c>
      <c r="Y884">
        <v>6</v>
      </c>
      <c r="Z884">
        <v>8</v>
      </c>
      <c r="AA884">
        <v>6</v>
      </c>
      <c r="AB884">
        <v>0.42857000000000001</v>
      </c>
      <c r="AC884" t="s">
        <v>136</v>
      </c>
      <c r="AD884" t="s">
        <v>90</v>
      </c>
      <c r="AE884" t="s">
        <v>62</v>
      </c>
      <c r="AF884" t="s">
        <v>62</v>
      </c>
      <c r="AG884">
        <v>2</v>
      </c>
      <c r="AH884">
        <v>4</v>
      </c>
      <c r="AI884">
        <v>17</v>
      </c>
      <c r="AJ884">
        <v>0.19048000000000001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2</v>
      </c>
      <c r="AQ884">
        <v>0</v>
      </c>
      <c r="AR884">
        <v>2</v>
      </c>
      <c r="AS884">
        <v>8</v>
      </c>
      <c r="AT884">
        <v>0.2</v>
      </c>
      <c r="AU884">
        <v>12</v>
      </c>
      <c r="AV884">
        <v>10</v>
      </c>
      <c r="AW884">
        <v>39</v>
      </c>
      <c r="AX884">
        <v>10</v>
      </c>
      <c r="AY884">
        <v>27</v>
      </c>
      <c r="AZ884">
        <v>11</v>
      </c>
      <c r="BA884" t="s">
        <v>19710</v>
      </c>
      <c r="BB884" t="s">
        <v>19711</v>
      </c>
      <c r="BC884">
        <v>0.46200000000000002</v>
      </c>
      <c r="BD884" t="s">
        <v>65</v>
      </c>
      <c r="BE884">
        <v>66</v>
      </c>
      <c r="BF884">
        <v>21</v>
      </c>
      <c r="BG884" t="s">
        <v>19712</v>
      </c>
      <c r="BH884" t="s">
        <v>19713</v>
      </c>
      <c r="BI884" t="s">
        <v>19714</v>
      </c>
      <c r="BJ884">
        <v>0.12091</v>
      </c>
      <c r="BK884">
        <v>1</v>
      </c>
      <c r="BL884" t="s">
        <v>69</v>
      </c>
      <c r="BM884">
        <v>-0.69099999999999995</v>
      </c>
      <c r="BN884">
        <v>-1.579</v>
      </c>
    </row>
    <row r="885" spans="2:66">
      <c r="B885">
        <v>1387</v>
      </c>
      <c r="C885">
        <v>139</v>
      </c>
      <c r="D885">
        <v>0</v>
      </c>
      <c r="E885">
        <v>2</v>
      </c>
      <c r="F885">
        <v>0</v>
      </c>
      <c r="J885">
        <v>0</v>
      </c>
      <c r="K885">
        <v>19</v>
      </c>
      <c r="L885">
        <v>3</v>
      </c>
      <c r="M885" t="s">
        <v>25022</v>
      </c>
      <c r="N885">
        <v>3372</v>
      </c>
      <c r="O885" t="s">
        <v>19715</v>
      </c>
      <c r="P885" t="s">
        <v>62</v>
      </c>
      <c r="Q885">
        <v>3342436</v>
      </c>
      <c r="R885">
        <v>3343671</v>
      </c>
      <c r="S885" t="s">
        <v>19716</v>
      </c>
      <c r="T885">
        <v>412</v>
      </c>
      <c r="U885" t="s">
        <v>108</v>
      </c>
      <c r="V885">
        <v>44</v>
      </c>
      <c r="W885" t="str">
        <f>HYPERLINK("Gene3372-zp_tree_all.dnd", "Gene3372-tree")</f>
        <v>Gene3372-tree</v>
      </c>
      <c r="X885">
        <v>3</v>
      </c>
      <c r="Y885">
        <v>12</v>
      </c>
      <c r="Z885">
        <v>3</v>
      </c>
      <c r="AA885">
        <v>12</v>
      </c>
      <c r="AB885">
        <v>0.8</v>
      </c>
      <c r="AC885" t="s">
        <v>324</v>
      </c>
      <c r="AD885" t="s">
        <v>109</v>
      </c>
      <c r="AE885" t="s">
        <v>62</v>
      </c>
      <c r="AF885" t="s">
        <v>62</v>
      </c>
      <c r="AG885">
        <v>8</v>
      </c>
      <c r="AH885">
        <v>22</v>
      </c>
      <c r="AI885">
        <v>21</v>
      </c>
      <c r="AJ885">
        <v>0.51163000000000003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7</v>
      </c>
      <c r="AQ885">
        <v>4</v>
      </c>
      <c r="AR885">
        <v>11</v>
      </c>
      <c r="AS885">
        <v>18</v>
      </c>
      <c r="AT885">
        <v>0.37930999999999998</v>
      </c>
      <c r="AU885">
        <v>12</v>
      </c>
      <c r="AV885">
        <v>10</v>
      </c>
      <c r="AW885">
        <v>30</v>
      </c>
      <c r="AX885">
        <v>24</v>
      </c>
      <c r="AY885">
        <v>48</v>
      </c>
      <c r="AZ885">
        <v>22</v>
      </c>
      <c r="BA885" t="s">
        <v>19717</v>
      </c>
      <c r="BB885" t="s">
        <v>19718</v>
      </c>
      <c r="BC885">
        <v>0.66</v>
      </c>
      <c r="BD885" t="s">
        <v>65</v>
      </c>
      <c r="BE885">
        <v>78</v>
      </c>
      <c r="BF885">
        <v>46</v>
      </c>
      <c r="BG885" t="s">
        <v>19719</v>
      </c>
      <c r="BH885" t="s">
        <v>19720</v>
      </c>
      <c r="BI885" t="s">
        <v>19721</v>
      </c>
      <c r="BJ885">
        <v>0.12817999999999999</v>
      </c>
      <c r="BK885">
        <v>1</v>
      </c>
      <c r="BL885" t="s">
        <v>69</v>
      </c>
      <c r="BM885">
        <v>1.6459999999999999</v>
      </c>
      <c r="BN885">
        <v>0.58299999999999996</v>
      </c>
    </row>
    <row r="886" spans="2:66">
      <c r="B886">
        <v>1388</v>
      </c>
      <c r="C886">
        <v>125</v>
      </c>
      <c r="D886">
        <v>0</v>
      </c>
      <c r="E886">
        <v>3</v>
      </c>
      <c r="F886">
        <v>0</v>
      </c>
      <c r="J886">
        <v>0</v>
      </c>
      <c r="K886">
        <v>0</v>
      </c>
      <c r="L886">
        <v>2</v>
      </c>
      <c r="M886" t="s">
        <v>25022</v>
      </c>
      <c r="N886">
        <v>3374</v>
      </c>
      <c r="O886" t="s">
        <v>19722</v>
      </c>
      <c r="P886" t="s">
        <v>62</v>
      </c>
      <c r="Q886">
        <v>3345016</v>
      </c>
      <c r="R886">
        <v>3346116</v>
      </c>
      <c r="S886" t="s">
        <v>19723</v>
      </c>
      <c r="T886">
        <v>367</v>
      </c>
      <c r="U886" t="s">
        <v>108</v>
      </c>
      <c r="V886">
        <v>44</v>
      </c>
      <c r="W886" t="str">
        <f>HYPERLINK("Gene3374-zp_tree_all.dnd", "Gene3374-tree")</f>
        <v>Gene3374-tree</v>
      </c>
      <c r="X886">
        <v>6</v>
      </c>
      <c r="Y886">
        <v>5</v>
      </c>
      <c r="Z886">
        <v>6</v>
      </c>
      <c r="AA886">
        <v>5</v>
      </c>
      <c r="AB886">
        <v>0.45455000000000001</v>
      </c>
      <c r="AC886" t="s">
        <v>90</v>
      </c>
      <c r="AD886" t="s">
        <v>199</v>
      </c>
      <c r="AE886" t="s">
        <v>62</v>
      </c>
      <c r="AF886" t="s">
        <v>62</v>
      </c>
      <c r="AG886">
        <v>1</v>
      </c>
      <c r="AH886">
        <v>2</v>
      </c>
      <c r="AI886">
        <v>8</v>
      </c>
      <c r="AJ886">
        <v>0.2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2</v>
      </c>
      <c r="AR886">
        <v>2</v>
      </c>
      <c r="AS886">
        <v>6</v>
      </c>
      <c r="AT886">
        <v>0.25</v>
      </c>
      <c r="AU886">
        <v>8</v>
      </c>
      <c r="AV886">
        <v>6</v>
      </c>
      <c r="AW886">
        <v>23</v>
      </c>
      <c r="AX886">
        <v>8</v>
      </c>
      <c r="AY886">
        <v>11</v>
      </c>
      <c r="AZ886">
        <v>2</v>
      </c>
      <c r="BA886" t="s">
        <v>19724</v>
      </c>
      <c r="BB886" t="s">
        <v>19725</v>
      </c>
      <c r="BC886">
        <v>0.56100000000000005</v>
      </c>
      <c r="BD886" t="s">
        <v>65</v>
      </c>
      <c r="BE886">
        <v>34</v>
      </c>
      <c r="BF886">
        <v>10</v>
      </c>
      <c r="BG886" t="s">
        <v>19726</v>
      </c>
      <c r="BH886" t="s">
        <v>19727</v>
      </c>
      <c r="BI886" t="s">
        <v>19728</v>
      </c>
      <c r="BJ886">
        <v>9.5049999999999996E-2</v>
      </c>
      <c r="BK886">
        <v>1</v>
      </c>
      <c r="BL886" t="s">
        <v>69</v>
      </c>
      <c r="BM886">
        <v>-1.357</v>
      </c>
      <c r="BN886">
        <v>-1.071</v>
      </c>
    </row>
    <row r="887" spans="2:66">
      <c r="B887">
        <v>1389</v>
      </c>
      <c r="C887">
        <v>170</v>
      </c>
      <c r="D887">
        <v>0</v>
      </c>
      <c r="E887">
        <v>3</v>
      </c>
      <c r="F887">
        <v>4</v>
      </c>
      <c r="J887">
        <v>0</v>
      </c>
      <c r="K887">
        <v>4</v>
      </c>
      <c r="L887">
        <v>2</v>
      </c>
      <c r="M887" t="s">
        <v>25022</v>
      </c>
      <c r="N887">
        <v>3376</v>
      </c>
      <c r="O887" t="s">
        <v>19736</v>
      </c>
      <c r="P887" t="s">
        <v>62</v>
      </c>
      <c r="Q887">
        <v>3347054</v>
      </c>
      <c r="R887">
        <v>3347905</v>
      </c>
      <c r="S887" t="s">
        <v>19737</v>
      </c>
      <c r="T887">
        <v>284</v>
      </c>
      <c r="U887" t="s">
        <v>108</v>
      </c>
      <c r="V887">
        <v>44</v>
      </c>
      <c r="W887" t="str">
        <f>HYPERLINK("Gene3376-zp_tree_all.dnd", "Gene3376-tree")</f>
        <v>Gene3376-tree</v>
      </c>
      <c r="X887">
        <v>25</v>
      </c>
      <c r="Y887">
        <v>10</v>
      </c>
      <c r="Z887">
        <v>4</v>
      </c>
      <c r="AA887">
        <v>10</v>
      </c>
      <c r="AB887">
        <v>0.71428999999999998</v>
      </c>
      <c r="AC887" t="s">
        <v>2326</v>
      </c>
      <c r="AD887" t="s">
        <v>117</v>
      </c>
      <c r="AE887" t="s">
        <v>62</v>
      </c>
      <c r="AF887" t="s">
        <v>62</v>
      </c>
      <c r="AG887">
        <v>3</v>
      </c>
      <c r="AH887">
        <v>6</v>
      </c>
      <c r="AI887">
        <v>14</v>
      </c>
      <c r="AJ887">
        <v>0.3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2</v>
      </c>
      <c r="AQ887">
        <v>2</v>
      </c>
      <c r="AR887">
        <v>4</v>
      </c>
      <c r="AS887">
        <v>11</v>
      </c>
      <c r="AT887">
        <v>0.26667000000000002</v>
      </c>
      <c r="AU887">
        <v>11</v>
      </c>
      <c r="AV887">
        <v>8</v>
      </c>
      <c r="AW887">
        <v>42</v>
      </c>
      <c r="AX887">
        <v>14</v>
      </c>
      <c r="AY887">
        <v>20</v>
      </c>
      <c r="AZ887">
        <v>6</v>
      </c>
      <c r="BA887" t="s">
        <v>19738</v>
      </c>
      <c r="BB887" t="s">
        <v>19739</v>
      </c>
      <c r="BC887">
        <v>8.8999999999999996E-2</v>
      </c>
      <c r="BD887" t="s">
        <v>65</v>
      </c>
      <c r="BE887">
        <v>62</v>
      </c>
      <c r="BF887">
        <v>20</v>
      </c>
      <c r="BG887" t="s">
        <v>19740</v>
      </c>
      <c r="BH887" t="s">
        <v>19741</v>
      </c>
      <c r="BI887" t="s">
        <v>19742</v>
      </c>
      <c r="BJ887">
        <v>0.10785</v>
      </c>
      <c r="BK887">
        <v>1</v>
      </c>
      <c r="BL887" t="s">
        <v>69</v>
      </c>
      <c r="BM887">
        <v>-1.143</v>
      </c>
      <c r="BN887">
        <v>-1.946</v>
      </c>
    </row>
    <row r="888" spans="2:66">
      <c r="B888">
        <v>1391</v>
      </c>
      <c r="C888">
        <v>143</v>
      </c>
      <c r="D888">
        <v>2</v>
      </c>
      <c r="E888">
        <v>2</v>
      </c>
      <c r="F888">
        <v>3</v>
      </c>
      <c r="J888">
        <v>0</v>
      </c>
      <c r="K888">
        <v>4</v>
      </c>
      <c r="L888">
        <v>0</v>
      </c>
      <c r="M888" t="s">
        <v>25022</v>
      </c>
      <c r="N888">
        <v>3377</v>
      </c>
      <c r="O888" t="s">
        <v>19743</v>
      </c>
      <c r="P888" t="s">
        <v>62</v>
      </c>
      <c r="Q888">
        <v>3347922</v>
      </c>
      <c r="R888">
        <v>3348821</v>
      </c>
      <c r="S888" t="s">
        <v>19744</v>
      </c>
      <c r="T888">
        <v>300</v>
      </c>
      <c r="U888" t="s">
        <v>698</v>
      </c>
      <c r="V888">
        <v>47</v>
      </c>
      <c r="W888" t="str">
        <f>HYPERLINK("Gene3377-zp_tree_all.dnd", "Gene3377-tree")</f>
        <v>Gene3377-tree</v>
      </c>
      <c r="X888">
        <v>9</v>
      </c>
      <c r="Y888">
        <v>8</v>
      </c>
      <c r="Z888">
        <v>9</v>
      </c>
      <c r="AA888">
        <v>8</v>
      </c>
      <c r="AB888">
        <v>0.47059000000000001</v>
      </c>
      <c r="AC888" t="s">
        <v>135</v>
      </c>
      <c r="AD888" t="s">
        <v>136</v>
      </c>
      <c r="AE888" t="s">
        <v>62</v>
      </c>
      <c r="AF888" t="s">
        <v>62</v>
      </c>
      <c r="AG888">
        <v>2</v>
      </c>
      <c r="AH888">
        <v>4</v>
      </c>
      <c r="AI888">
        <v>10</v>
      </c>
      <c r="AJ888">
        <v>0.28571000000000002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9</v>
      </c>
      <c r="AT888">
        <v>0</v>
      </c>
      <c r="AU888">
        <v>17</v>
      </c>
      <c r="AV888">
        <v>10</v>
      </c>
      <c r="AW888">
        <v>38</v>
      </c>
      <c r="AX888">
        <v>11</v>
      </c>
      <c r="AY888">
        <v>48</v>
      </c>
      <c r="AZ888">
        <v>7</v>
      </c>
      <c r="BA888" t="s">
        <v>19745</v>
      </c>
      <c r="BB888" t="s">
        <v>19746</v>
      </c>
      <c r="BC888">
        <v>0.49</v>
      </c>
      <c r="BD888" t="s">
        <v>65</v>
      </c>
      <c r="BE888">
        <v>86</v>
      </c>
      <c r="BF888">
        <v>18</v>
      </c>
      <c r="BG888" t="s">
        <v>19747</v>
      </c>
      <c r="BH888" t="s">
        <v>19748</v>
      </c>
      <c r="BI888" t="s">
        <v>19749</v>
      </c>
      <c r="BJ888">
        <v>4.9000000000000002E-2</v>
      </c>
      <c r="BK888">
        <v>1</v>
      </c>
      <c r="BL888" t="s">
        <v>69</v>
      </c>
      <c r="BM888">
        <v>-1.2210000000000001</v>
      </c>
      <c r="BN888">
        <v>-0.79700000000000004</v>
      </c>
    </row>
    <row r="889" spans="2:66">
      <c r="B889">
        <v>1392</v>
      </c>
      <c r="C889">
        <v>300</v>
      </c>
      <c r="D889">
        <v>0</v>
      </c>
      <c r="E889">
        <v>2</v>
      </c>
      <c r="F889">
        <v>0</v>
      </c>
      <c r="J889">
        <v>0</v>
      </c>
      <c r="K889">
        <v>0</v>
      </c>
      <c r="L889">
        <v>0</v>
      </c>
      <c r="M889" t="s">
        <v>25022</v>
      </c>
      <c r="N889">
        <v>3378</v>
      </c>
      <c r="O889" t="s">
        <v>19750</v>
      </c>
      <c r="P889" t="s">
        <v>62</v>
      </c>
      <c r="Q889">
        <v>3348828</v>
      </c>
      <c r="R889">
        <v>3349703</v>
      </c>
      <c r="S889" t="s">
        <v>19744</v>
      </c>
      <c r="T889">
        <v>292</v>
      </c>
      <c r="U889" t="s">
        <v>59</v>
      </c>
      <c r="V889">
        <v>49</v>
      </c>
      <c r="W889" t="str">
        <f>HYPERLINK("Gene3378-zp_tree_all.dnd", "Gene3378-tree")</f>
        <v>Gene3378-tree</v>
      </c>
      <c r="X889">
        <v>14</v>
      </c>
      <c r="Y889">
        <v>5</v>
      </c>
      <c r="Z889">
        <v>14</v>
      </c>
      <c r="AA889">
        <v>5</v>
      </c>
      <c r="AB889">
        <v>0.26316000000000001</v>
      </c>
      <c r="AC889" t="s">
        <v>543</v>
      </c>
      <c r="AD889" t="s">
        <v>199</v>
      </c>
      <c r="AE889" t="s">
        <v>62</v>
      </c>
      <c r="AF889" t="s">
        <v>62</v>
      </c>
      <c r="AG889">
        <v>0</v>
      </c>
      <c r="AH889">
        <v>0</v>
      </c>
      <c r="AI889">
        <v>8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6</v>
      </c>
      <c r="AT889">
        <v>0</v>
      </c>
      <c r="AU889">
        <v>14</v>
      </c>
      <c r="AV889">
        <v>11</v>
      </c>
      <c r="AW889">
        <v>35</v>
      </c>
      <c r="AX889">
        <v>6</v>
      </c>
      <c r="AY889">
        <v>56</v>
      </c>
      <c r="AZ889">
        <v>2</v>
      </c>
      <c r="BA889" t="s">
        <v>19751</v>
      </c>
      <c r="BB889" t="s">
        <v>19752</v>
      </c>
      <c r="BC889">
        <v>0.78</v>
      </c>
      <c r="BD889" t="s">
        <v>65</v>
      </c>
      <c r="BE889">
        <v>91</v>
      </c>
      <c r="BF889">
        <v>8</v>
      </c>
      <c r="BG889" t="s">
        <v>19753</v>
      </c>
      <c r="BH889" t="s">
        <v>19754</v>
      </c>
      <c r="BI889" t="s">
        <v>19755</v>
      </c>
      <c r="BJ889">
        <v>1.686E-2</v>
      </c>
      <c r="BK889">
        <v>1</v>
      </c>
      <c r="BL889" t="s">
        <v>69</v>
      </c>
      <c r="BM889">
        <v>-1.298</v>
      </c>
      <c r="BN889">
        <v>-1.0189999999999999</v>
      </c>
    </row>
    <row r="890" spans="2:66">
      <c r="B890">
        <v>1393</v>
      </c>
      <c r="C890">
        <v>471</v>
      </c>
      <c r="D890">
        <v>0</v>
      </c>
      <c r="E890">
        <v>27</v>
      </c>
      <c r="F890">
        <v>6</v>
      </c>
      <c r="J890">
        <v>0</v>
      </c>
      <c r="K890">
        <v>17</v>
      </c>
      <c r="L890">
        <v>2</v>
      </c>
      <c r="M890" t="s">
        <v>25022</v>
      </c>
      <c r="N890">
        <v>3379</v>
      </c>
      <c r="O890" t="s">
        <v>19756</v>
      </c>
      <c r="P890" t="s">
        <v>62</v>
      </c>
      <c r="Q890">
        <v>3349764</v>
      </c>
      <c r="R890">
        <v>3351029</v>
      </c>
      <c r="S890" t="s">
        <v>19757</v>
      </c>
      <c r="T890">
        <v>422</v>
      </c>
      <c r="U890" t="s">
        <v>289</v>
      </c>
      <c r="V890">
        <v>46</v>
      </c>
      <c r="W890" t="str">
        <f>HYPERLINK("Gene3379-zp_tree_all.dnd", "Gene3379-tree")</f>
        <v>Gene3379-tree</v>
      </c>
      <c r="X890">
        <v>6</v>
      </c>
      <c r="Y890">
        <v>11</v>
      </c>
      <c r="Z890">
        <v>6</v>
      </c>
      <c r="AA890">
        <v>11</v>
      </c>
      <c r="AB890">
        <v>0.64705999999999997</v>
      </c>
      <c r="AC890" t="s">
        <v>90</v>
      </c>
      <c r="AD890" t="s">
        <v>73</v>
      </c>
      <c r="AE890">
        <v>95384385.856999993</v>
      </c>
      <c r="AF890" t="s">
        <v>267</v>
      </c>
      <c r="AG890">
        <v>7</v>
      </c>
      <c r="AH890">
        <v>19</v>
      </c>
      <c r="AI890">
        <v>23</v>
      </c>
      <c r="AJ890">
        <v>0.45238</v>
      </c>
      <c r="AK890">
        <v>0</v>
      </c>
      <c r="AL890">
        <v>0</v>
      </c>
      <c r="AM890">
        <v>0</v>
      </c>
      <c r="AN890">
        <v>2</v>
      </c>
      <c r="AO890">
        <v>0</v>
      </c>
      <c r="AP890">
        <v>4</v>
      </c>
      <c r="AQ890">
        <v>2</v>
      </c>
      <c r="AR890">
        <v>6</v>
      </c>
      <c r="AS890">
        <v>16</v>
      </c>
      <c r="AT890">
        <v>0.27272999999999997</v>
      </c>
      <c r="AU890">
        <v>14</v>
      </c>
      <c r="AV890">
        <v>11</v>
      </c>
      <c r="AW890">
        <v>42</v>
      </c>
      <c r="AX890">
        <v>19</v>
      </c>
      <c r="AY890">
        <v>89</v>
      </c>
      <c r="AZ890">
        <v>23</v>
      </c>
      <c r="BA890" t="s">
        <v>19758</v>
      </c>
      <c r="BB890" t="s">
        <v>19759</v>
      </c>
      <c r="BC890">
        <v>0.41</v>
      </c>
      <c r="BD890" t="s">
        <v>65</v>
      </c>
      <c r="BE890">
        <v>131</v>
      </c>
      <c r="BF890">
        <v>42</v>
      </c>
      <c r="BG890" t="s">
        <v>19760</v>
      </c>
      <c r="BH890" t="s">
        <v>19761</v>
      </c>
      <c r="BI890" t="s">
        <v>19762</v>
      </c>
      <c r="BJ890">
        <v>7.5069999999999998E-2</v>
      </c>
      <c r="BK890">
        <v>1</v>
      </c>
      <c r="BL890" t="s">
        <v>69</v>
      </c>
      <c r="BM890">
        <v>-1.36</v>
      </c>
      <c r="BN890">
        <v>-0.55900000000000005</v>
      </c>
    </row>
    <row r="891" spans="2:66">
      <c r="B891">
        <v>1394</v>
      </c>
      <c r="C891">
        <v>10</v>
      </c>
      <c r="D891">
        <v>0</v>
      </c>
      <c r="E891">
        <v>0</v>
      </c>
      <c r="F891">
        <v>5</v>
      </c>
      <c r="J891">
        <v>0</v>
      </c>
      <c r="K891">
        <v>6</v>
      </c>
      <c r="L891">
        <v>0</v>
      </c>
      <c r="M891" t="s">
        <v>25022</v>
      </c>
      <c r="N891">
        <v>3380</v>
      </c>
      <c r="O891" t="s">
        <v>19763</v>
      </c>
      <c r="P891" t="s">
        <v>62</v>
      </c>
      <c r="Q891">
        <v>3351113</v>
      </c>
      <c r="R891">
        <v>3352096</v>
      </c>
      <c r="S891" t="s">
        <v>19764</v>
      </c>
      <c r="T891">
        <v>328</v>
      </c>
      <c r="U891" t="s">
        <v>59</v>
      </c>
      <c r="V891">
        <v>49</v>
      </c>
      <c r="W891" t="str">
        <f>HYPERLINK("Gene3380-zp_tree_all.dnd", "Gene3380-tree")</f>
        <v>Gene3380-tree</v>
      </c>
      <c r="X891">
        <v>9</v>
      </c>
      <c r="Y891">
        <v>8</v>
      </c>
      <c r="Z891">
        <v>9</v>
      </c>
      <c r="AA891">
        <v>8</v>
      </c>
      <c r="AB891">
        <v>0.47059000000000001</v>
      </c>
      <c r="AC891" t="s">
        <v>135</v>
      </c>
      <c r="AD891" t="s">
        <v>136</v>
      </c>
      <c r="AE891" t="s">
        <v>62</v>
      </c>
      <c r="AF891" t="s">
        <v>62</v>
      </c>
      <c r="AG891">
        <v>3</v>
      </c>
      <c r="AH891">
        <v>6</v>
      </c>
      <c r="AI891">
        <v>15</v>
      </c>
      <c r="AJ891">
        <v>0.28571000000000002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</v>
      </c>
      <c r="AQ891">
        <v>0</v>
      </c>
      <c r="AR891">
        <v>2</v>
      </c>
      <c r="AS891">
        <v>9</v>
      </c>
      <c r="AT891">
        <v>0.18182000000000001</v>
      </c>
      <c r="AU891">
        <v>16</v>
      </c>
      <c r="AV891">
        <v>10</v>
      </c>
      <c r="AW891">
        <v>30</v>
      </c>
      <c r="AX891">
        <v>11</v>
      </c>
      <c r="AY891">
        <v>47</v>
      </c>
      <c r="AZ891">
        <v>10</v>
      </c>
      <c r="BA891" t="s">
        <v>19765</v>
      </c>
      <c r="BB891" t="s">
        <v>19766</v>
      </c>
      <c r="BC891">
        <v>0.57899999999999996</v>
      </c>
      <c r="BD891" t="s">
        <v>65</v>
      </c>
      <c r="BE891">
        <v>77</v>
      </c>
      <c r="BF891">
        <v>21</v>
      </c>
      <c r="BG891" t="s">
        <v>19767</v>
      </c>
      <c r="BH891" t="s">
        <v>19768</v>
      </c>
      <c r="BI891" t="s">
        <v>19769</v>
      </c>
      <c r="BJ891">
        <v>6.2570000000000001E-2</v>
      </c>
      <c r="BK891">
        <v>1</v>
      </c>
      <c r="BL891" t="s">
        <v>69</v>
      </c>
      <c r="BM891">
        <v>-1.1619999999999999</v>
      </c>
      <c r="BN891">
        <v>-0.13500000000000001</v>
      </c>
    </row>
    <row r="892" spans="2:66">
      <c r="B892">
        <v>1395</v>
      </c>
      <c r="C892">
        <v>315</v>
      </c>
      <c r="D892">
        <v>0</v>
      </c>
      <c r="E892">
        <v>2</v>
      </c>
      <c r="F892">
        <v>0</v>
      </c>
      <c r="J892">
        <v>0</v>
      </c>
      <c r="K892">
        <v>2</v>
      </c>
      <c r="L892">
        <v>0</v>
      </c>
      <c r="M892" t="s">
        <v>25022</v>
      </c>
      <c r="N892">
        <v>3381</v>
      </c>
      <c r="O892" t="s">
        <v>19770</v>
      </c>
      <c r="P892" t="s">
        <v>62</v>
      </c>
      <c r="Q892">
        <v>3352315</v>
      </c>
      <c r="R892">
        <v>3352686</v>
      </c>
      <c r="S892" t="s">
        <v>19771</v>
      </c>
      <c r="T892">
        <v>124</v>
      </c>
      <c r="U892" t="s">
        <v>160</v>
      </c>
      <c r="V892">
        <v>45</v>
      </c>
      <c r="W892" t="str">
        <f>HYPERLINK("Gene3381-zp_tree_all.dnd", "Gene3381-tree")</f>
        <v>Gene3381-tree</v>
      </c>
      <c r="X892">
        <v>7</v>
      </c>
      <c r="Y892">
        <v>5</v>
      </c>
      <c r="Z892">
        <v>7</v>
      </c>
      <c r="AA892">
        <v>5</v>
      </c>
      <c r="AB892">
        <v>0.41666999999999998</v>
      </c>
      <c r="AC892" t="s">
        <v>152</v>
      </c>
      <c r="AD892" t="s">
        <v>199</v>
      </c>
      <c r="AE892" t="s">
        <v>62</v>
      </c>
      <c r="AF892" t="s">
        <v>62</v>
      </c>
      <c r="AG892">
        <v>1</v>
      </c>
      <c r="AH892">
        <v>2</v>
      </c>
      <c r="AI892">
        <v>8</v>
      </c>
      <c r="AJ892">
        <v>0.2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0</v>
      </c>
      <c r="AU892">
        <v>8</v>
      </c>
      <c r="AV892">
        <v>7</v>
      </c>
      <c r="AW892">
        <v>20</v>
      </c>
      <c r="AX892">
        <v>6</v>
      </c>
      <c r="AY892">
        <v>16</v>
      </c>
      <c r="AZ892">
        <v>4</v>
      </c>
      <c r="BA892" t="s">
        <v>19772</v>
      </c>
      <c r="BB892" t="s">
        <v>19773</v>
      </c>
      <c r="BC892">
        <v>0.115</v>
      </c>
      <c r="BD892" t="s">
        <v>65</v>
      </c>
      <c r="BE892">
        <v>36</v>
      </c>
      <c r="BF892">
        <v>10</v>
      </c>
      <c r="BG892" t="s">
        <v>19774</v>
      </c>
      <c r="BH892" t="s">
        <v>19775</v>
      </c>
      <c r="BI892" t="s">
        <v>19776</v>
      </c>
      <c r="BJ892">
        <v>6.1620000000000001E-2</v>
      </c>
      <c r="BK892">
        <v>1</v>
      </c>
      <c r="BL892" t="s">
        <v>69</v>
      </c>
      <c r="BM892">
        <v>-1.5289999999999999</v>
      </c>
      <c r="BN892">
        <v>-1.8049999999999999</v>
      </c>
    </row>
    <row r="893" spans="2:66">
      <c r="B893">
        <v>1396</v>
      </c>
      <c r="C893">
        <v>175</v>
      </c>
      <c r="D893">
        <v>0</v>
      </c>
      <c r="E893">
        <v>0</v>
      </c>
      <c r="F893">
        <v>4</v>
      </c>
      <c r="J893">
        <v>0</v>
      </c>
      <c r="K893">
        <v>24</v>
      </c>
      <c r="L893">
        <v>7</v>
      </c>
      <c r="M893" t="s">
        <v>25022</v>
      </c>
      <c r="N893">
        <v>3382</v>
      </c>
      <c r="O893" t="s">
        <v>19777</v>
      </c>
      <c r="P893" t="s">
        <v>62</v>
      </c>
      <c r="Q893">
        <v>3352792</v>
      </c>
      <c r="R893">
        <v>3353907</v>
      </c>
      <c r="S893" t="s">
        <v>19778</v>
      </c>
      <c r="T893">
        <v>372</v>
      </c>
      <c r="U893" t="s">
        <v>108</v>
      </c>
      <c r="V893">
        <v>44</v>
      </c>
      <c r="W893" t="str">
        <f>HYPERLINK("Gene3382-zp_tree_all.dnd", "Gene3382-tree")</f>
        <v>Gene3382-tree</v>
      </c>
      <c r="X893">
        <v>2</v>
      </c>
      <c r="Y893">
        <v>12</v>
      </c>
      <c r="Z893">
        <v>2</v>
      </c>
      <c r="AA893">
        <v>12</v>
      </c>
      <c r="AB893">
        <v>0.85714000000000001</v>
      </c>
      <c r="AC893" t="s">
        <v>81</v>
      </c>
      <c r="AD893" t="s">
        <v>109</v>
      </c>
      <c r="AE893" t="s">
        <v>62</v>
      </c>
      <c r="AF893" t="s">
        <v>62</v>
      </c>
      <c r="AG893">
        <v>11</v>
      </c>
      <c r="AH893">
        <v>31</v>
      </c>
      <c r="AI893">
        <v>31</v>
      </c>
      <c r="AJ893">
        <v>0.5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8</v>
      </c>
      <c r="AQ893">
        <v>3</v>
      </c>
      <c r="AR893">
        <v>11</v>
      </c>
      <c r="AS893">
        <v>36</v>
      </c>
      <c r="AT893">
        <v>0.23404</v>
      </c>
      <c r="AU893">
        <v>13</v>
      </c>
      <c r="AV893">
        <v>10</v>
      </c>
      <c r="AW893">
        <v>92</v>
      </c>
      <c r="AX893">
        <v>48</v>
      </c>
      <c r="AY893">
        <v>59</v>
      </c>
      <c r="AZ893">
        <v>16</v>
      </c>
      <c r="BA893" t="s">
        <v>19779</v>
      </c>
      <c r="BB893" t="s">
        <v>19780</v>
      </c>
      <c r="BC893">
        <v>0.92600000000000005</v>
      </c>
      <c r="BD893" t="s">
        <v>65</v>
      </c>
      <c r="BE893">
        <v>151</v>
      </c>
      <c r="BF893">
        <v>64</v>
      </c>
      <c r="BG893" t="s">
        <v>19781</v>
      </c>
      <c r="BH893" t="s">
        <v>19782</v>
      </c>
      <c r="BI893" t="s">
        <v>19783</v>
      </c>
      <c r="BJ893">
        <v>0.1159</v>
      </c>
      <c r="BK893">
        <v>1</v>
      </c>
      <c r="BL893" t="s">
        <v>69</v>
      </c>
      <c r="BM893">
        <v>-1.3819999999999999</v>
      </c>
      <c r="BN893">
        <v>-0.71399999999999997</v>
      </c>
    </row>
    <row r="894" spans="2:66">
      <c r="B894">
        <v>1397</v>
      </c>
      <c r="C894">
        <v>284</v>
      </c>
      <c r="D894">
        <v>0</v>
      </c>
      <c r="E894">
        <v>15</v>
      </c>
      <c r="F894">
        <v>0</v>
      </c>
      <c r="J894">
        <v>0</v>
      </c>
      <c r="K894">
        <v>12</v>
      </c>
      <c r="L894">
        <v>4</v>
      </c>
      <c r="M894" t="s">
        <v>25022</v>
      </c>
      <c r="N894">
        <v>3385</v>
      </c>
      <c r="O894" t="s">
        <v>19794</v>
      </c>
      <c r="P894" t="s">
        <v>62</v>
      </c>
      <c r="Q894">
        <v>3354554</v>
      </c>
      <c r="R894">
        <v>3354934</v>
      </c>
      <c r="S894" t="s">
        <v>19795</v>
      </c>
      <c r="T894">
        <v>127</v>
      </c>
      <c r="U894" t="s">
        <v>19796</v>
      </c>
      <c r="V894">
        <v>46</v>
      </c>
      <c r="W894" t="str">
        <f>HYPERLINK("Gene3385-zp_tree_all.dnd", "Gene3385-tree")</f>
        <v>Gene3385-tree</v>
      </c>
      <c r="X894">
        <v>4</v>
      </c>
      <c r="Y894">
        <v>10</v>
      </c>
      <c r="Z894">
        <v>4</v>
      </c>
      <c r="AA894">
        <v>10</v>
      </c>
      <c r="AB894">
        <v>0.71428999999999998</v>
      </c>
      <c r="AC894" t="s">
        <v>61</v>
      </c>
      <c r="AD894" t="s">
        <v>117</v>
      </c>
      <c r="AE894" t="s">
        <v>62</v>
      </c>
      <c r="AF894" t="s">
        <v>62</v>
      </c>
      <c r="AG894">
        <v>6</v>
      </c>
      <c r="AH894">
        <v>16</v>
      </c>
      <c r="AI894">
        <v>10</v>
      </c>
      <c r="AJ894">
        <v>0.61538000000000004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6</v>
      </c>
      <c r="AQ894">
        <v>1</v>
      </c>
      <c r="AR894">
        <v>7</v>
      </c>
      <c r="AS894">
        <v>6</v>
      </c>
      <c r="AT894">
        <v>0.53846000000000005</v>
      </c>
      <c r="AU894">
        <v>11</v>
      </c>
      <c r="AV894">
        <v>6</v>
      </c>
      <c r="AW894">
        <v>16</v>
      </c>
      <c r="AX894">
        <v>10</v>
      </c>
      <c r="AY894">
        <v>16</v>
      </c>
      <c r="AZ894">
        <v>16</v>
      </c>
      <c r="BA894" t="s">
        <v>19797</v>
      </c>
      <c r="BB894" t="s">
        <v>19798</v>
      </c>
      <c r="BC894">
        <v>0.85899999999999999</v>
      </c>
      <c r="BD894" t="s">
        <v>65</v>
      </c>
      <c r="BE894">
        <v>32</v>
      </c>
      <c r="BF894">
        <v>26</v>
      </c>
      <c r="BG894" t="s">
        <v>19799</v>
      </c>
      <c r="BH894" t="s">
        <v>19800</v>
      </c>
      <c r="BI894" t="s">
        <v>19801</v>
      </c>
      <c r="BJ894">
        <v>0.16366</v>
      </c>
      <c r="BK894">
        <v>1</v>
      </c>
      <c r="BL894" t="s">
        <v>69</v>
      </c>
      <c r="BM894">
        <v>0.38200000000000001</v>
      </c>
      <c r="BN894">
        <v>1.105</v>
      </c>
    </row>
    <row r="895" spans="2:66">
      <c r="B895">
        <v>1399</v>
      </c>
      <c r="C895">
        <v>200</v>
      </c>
      <c r="D895">
        <v>0</v>
      </c>
      <c r="E895">
        <v>4</v>
      </c>
      <c r="F895">
        <v>0</v>
      </c>
      <c r="J895">
        <v>0</v>
      </c>
      <c r="K895">
        <v>0</v>
      </c>
      <c r="L895">
        <v>2</v>
      </c>
      <c r="M895" t="s">
        <v>25022</v>
      </c>
      <c r="N895">
        <v>3386</v>
      </c>
      <c r="O895" t="s">
        <v>19802</v>
      </c>
      <c r="P895" t="s">
        <v>62</v>
      </c>
      <c r="Q895">
        <v>3355048</v>
      </c>
      <c r="R895">
        <v>3355323</v>
      </c>
      <c r="S895" t="s">
        <v>637</v>
      </c>
      <c r="T895">
        <v>92</v>
      </c>
      <c r="U895" t="s">
        <v>19803</v>
      </c>
      <c r="V895">
        <v>41</v>
      </c>
      <c r="W895" t="str">
        <f>HYPERLINK("Gene3386-zp_tree_all.dnd", "Gene3386-tree")</f>
        <v>Gene3386-tree</v>
      </c>
      <c r="X895">
        <v>24</v>
      </c>
      <c r="Y895">
        <v>1</v>
      </c>
      <c r="Z895">
        <v>4</v>
      </c>
      <c r="AA895">
        <v>1</v>
      </c>
      <c r="AB895">
        <v>0.2</v>
      </c>
      <c r="AC895" t="s">
        <v>1495</v>
      </c>
      <c r="AD895" t="s">
        <v>175</v>
      </c>
      <c r="AE895" t="s">
        <v>62</v>
      </c>
      <c r="AF895" t="s">
        <v>62</v>
      </c>
      <c r="AG895">
        <v>1</v>
      </c>
      <c r="AH895">
        <v>2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3</v>
      </c>
      <c r="AV895">
        <v>1</v>
      </c>
      <c r="AW895">
        <v>4</v>
      </c>
      <c r="AX895">
        <v>1</v>
      </c>
      <c r="AY895">
        <v>0</v>
      </c>
      <c r="AZ895">
        <v>1</v>
      </c>
      <c r="BA895" t="s">
        <v>19804</v>
      </c>
      <c r="BB895" t="s">
        <v>193</v>
      </c>
      <c r="BC895">
        <v>0.6</v>
      </c>
      <c r="BD895" t="s">
        <v>65</v>
      </c>
      <c r="BE895">
        <v>4</v>
      </c>
      <c r="BF895">
        <v>2</v>
      </c>
      <c r="BG895" t="s">
        <v>19805</v>
      </c>
      <c r="BH895" t="s">
        <v>19806</v>
      </c>
      <c r="BI895" t="s">
        <v>19807</v>
      </c>
      <c r="BJ895">
        <v>0.19189999999999999</v>
      </c>
      <c r="BK895">
        <v>0.95499999999999996</v>
      </c>
      <c r="BL895" t="s">
        <v>69</v>
      </c>
      <c r="BM895">
        <v>-0.184</v>
      </c>
      <c r="BN895">
        <v>0.36199999999999999</v>
      </c>
    </row>
    <row r="896" spans="2:66">
      <c r="B896">
        <v>1400</v>
      </c>
      <c r="C896">
        <v>65</v>
      </c>
      <c r="D896">
        <v>0</v>
      </c>
      <c r="E896">
        <v>2</v>
      </c>
      <c r="F896">
        <v>0</v>
      </c>
      <c r="J896">
        <v>0</v>
      </c>
      <c r="K896">
        <v>2</v>
      </c>
      <c r="L896">
        <v>0</v>
      </c>
      <c r="M896" t="s">
        <v>25022</v>
      </c>
      <c r="N896">
        <v>3387</v>
      </c>
      <c r="O896" t="s">
        <v>19808</v>
      </c>
      <c r="P896" t="s">
        <v>62</v>
      </c>
      <c r="Q896">
        <v>3355596</v>
      </c>
      <c r="R896">
        <v>3356990</v>
      </c>
      <c r="S896" t="s">
        <v>19809</v>
      </c>
      <c r="T896">
        <v>465</v>
      </c>
      <c r="U896" t="s">
        <v>59</v>
      </c>
      <c r="V896">
        <v>49</v>
      </c>
      <c r="W896" t="str">
        <f>HYPERLINK("Gene3387-zp_tree_all.dnd", "Gene3387-tree")</f>
        <v>Gene3387-tree</v>
      </c>
      <c r="X896">
        <v>20</v>
      </c>
      <c r="Y896">
        <v>1</v>
      </c>
      <c r="Z896">
        <v>20</v>
      </c>
      <c r="AA896">
        <v>1</v>
      </c>
      <c r="AB896">
        <v>4.7620000000000003E-2</v>
      </c>
      <c r="AC896" t="s">
        <v>528</v>
      </c>
      <c r="AD896" t="s">
        <v>175</v>
      </c>
      <c r="AE896" t="s">
        <v>62</v>
      </c>
      <c r="AF896" t="s">
        <v>62</v>
      </c>
      <c r="AG896">
        <v>1</v>
      </c>
      <c r="AH896">
        <v>2</v>
      </c>
      <c r="AI896">
        <v>1</v>
      </c>
      <c r="AJ896">
        <v>0.66666999999999998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18</v>
      </c>
      <c r="AV896">
        <v>14</v>
      </c>
      <c r="AW896">
        <v>54</v>
      </c>
      <c r="AX896">
        <v>1</v>
      </c>
      <c r="AY896">
        <v>42</v>
      </c>
      <c r="AZ896">
        <v>2</v>
      </c>
      <c r="BA896" t="s">
        <v>19810</v>
      </c>
      <c r="BB896" t="s">
        <v>19811</v>
      </c>
      <c r="BC896">
        <v>0.24099999999999999</v>
      </c>
      <c r="BD896" t="s">
        <v>65</v>
      </c>
      <c r="BE896">
        <v>96</v>
      </c>
      <c r="BF896">
        <v>3</v>
      </c>
      <c r="BG896" t="s">
        <v>19812</v>
      </c>
      <c r="BH896" t="s">
        <v>19813</v>
      </c>
      <c r="BI896" t="s">
        <v>19814</v>
      </c>
      <c r="BJ896">
        <v>9.2499999999999995E-3</v>
      </c>
      <c r="BK896">
        <v>1</v>
      </c>
      <c r="BL896" t="s">
        <v>69</v>
      </c>
      <c r="BM896">
        <v>-1.1679999999999999</v>
      </c>
      <c r="BN896">
        <v>-1.4179999999999999</v>
      </c>
    </row>
    <row r="897" spans="2:66">
      <c r="B897">
        <v>1404</v>
      </c>
      <c r="C897">
        <v>98</v>
      </c>
      <c r="D897">
        <v>0</v>
      </c>
      <c r="E897">
        <v>6</v>
      </c>
      <c r="F897">
        <v>0</v>
      </c>
      <c r="J897">
        <v>0</v>
      </c>
      <c r="K897">
        <v>0</v>
      </c>
      <c r="L897">
        <v>0</v>
      </c>
      <c r="M897" t="s">
        <v>25022</v>
      </c>
      <c r="N897">
        <v>3388</v>
      </c>
      <c r="O897" t="s">
        <v>19815</v>
      </c>
      <c r="P897" t="s">
        <v>62</v>
      </c>
      <c r="Q897">
        <v>3357014</v>
      </c>
      <c r="R897">
        <v>3357454</v>
      </c>
      <c r="S897" t="s">
        <v>19816</v>
      </c>
      <c r="T897">
        <v>147</v>
      </c>
      <c r="U897" t="s">
        <v>59</v>
      </c>
      <c r="V897">
        <v>49</v>
      </c>
      <c r="W897" t="str">
        <f>HYPERLINK("Gene3388-zp_tree_all.dnd", "Gene3388-tree")</f>
        <v>Gene3388-tree</v>
      </c>
      <c r="X897">
        <v>14</v>
      </c>
      <c r="Y897">
        <v>3</v>
      </c>
      <c r="Z897">
        <v>14</v>
      </c>
      <c r="AA897">
        <v>3</v>
      </c>
      <c r="AB897">
        <v>0.17646999999999999</v>
      </c>
      <c r="AC897" t="s">
        <v>543</v>
      </c>
      <c r="AD897" t="s">
        <v>324</v>
      </c>
      <c r="AE897" t="s">
        <v>62</v>
      </c>
      <c r="AF897" t="s">
        <v>62</v>
      </c>
      <c r="AG897">
        <v>0</v>
      </c>
      <c r="AH897">
        <v>0</v>
      </c>
      <c r="AI897">
        <v>3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3</v>
      </c>
      <c r="AT897">
        <v>0</v>
      </c>
      <c r="AU897">
        <v>11</v>
      </c>
      <c r="AV897">
        <v>9</v>
      </c>
      <c r="AW897">
        <v>16</v>
      </c>
      <c r="AX897">
        <v>3</v>
      </c>
      <c r="AY897">
        <v>14</v>
      </c>
      <c r="AZ897">
        <v>0</v>
      </c>
      <c r="BA897" t="s">
        <v>19817</v>
      </c>
      <c r="BB897" t="s">
        <v>193</v>
      </c>
      <c r="BC897">
        <v>1.0880000000000001</v>
      </c>
      <c r="BD897" t="s">
        <v>65</v>
      </c>
      <c r="BE897">
        <v>30</v>
      </c>
      <c r="BF897">
        <v>3</v>
      </c>
      <c r="BG897" t="s">
        <v>19818</v>
      </c>
      <c r="BH897" t="s">
        <v>19819</v>
      </c>
      <c r="BI897" t="s">
        <v>19820</v>
      </c>
      <c r="BJ897">
        <v>1.384E-2</v>
      </c>
      <c r="BK897">
        <v>1</v>
      </c>
      <c r="BL897" t="s">
        <v>69</v>
      </c>
      <c r="BM897">
        <v>-0.90100000000000002</v>
      </c>
      <c r="BN897">
        <v>-1.01</v>
      </c>
    </row>
    <row r="898" spans="2:66">
      <c r="B898">
        <v>1405</v>
      </c>
      <c r="C898">
        <v>646</v>
      </c>
      <c r="D898">
        <v>0</v>
      </c>
      <c r="E898">
        <v>2</v>
      </c>
      <c r="F898">
        <v>0</v>
      </c>
      <c r="J898">
        <v>0</v>
      </c>
      <c r="K898">
        <v>2</v>
      </c>
      <c r="L898">
        <v>0</v>
      </c>
      <c r="M898" t="s">
        <v>25022</v>
      </c>
      <c r="N898">
        <v>3389</v>
      </c>
      <c r="O898" t="s">
        <v>19821</v>
      </c>
      <c r="P898" t="s">
        <v>62</v>
      </c>
      <c r="Q898">
        <v>3357447</v>
      </c>
      <c r="R898">
        <v>3358664</v>
      </c>
      <c r="S898" t="s">
        <v>17826</v>
      </c>
      <c r="T898">
        <v>406</v>
      </c>
      <c r="U898" t="s">
        <v>59</v>
      </c>
      <c r="V898">
        <v>49</v>
      </c>
      <c r="W898" t="str">
        <f>HYPERLINK("Gene3389-zp_tree_all.dnd", "Gene3389-tree")</f>
        <v>Gene3389-tree</v>
      </c>
      <c r="X898">
        <v>32</v>
      </c>
      <c r="Y898">
        <v>7</v>
      </c>
      <c r="Z898">
        <v>13</v>
      </c>
      <c r="AA898">
        <v>7</v>
      </c>
      <c r="AB898">
        <v>0.35</v>
      </c>
      <c r="AC898" t="s">
        <v>10857</v>
      </c>
      <c r="AD898" t="s">
        <v>152</v>
      </c>
      <c r="AE898" t="s">
        <v>62</v>
      </c>
      <c r="AF898" t="s">
        <v>62</v>
      </c>
      <c r="AG898">
        <v>1</v>
      </c>
      <c r="AH898">
        <v>2</v>
      </c>
      <c r="AI898">
        <v>12</v>
      </c>
      <c r="AJ898">
        <v>0.14285999999999999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9</v>
      </c>
      <c r="AT898">
        <v>0</v>
      </c>
      <c r="AU898">
        <v>17</v>
      </c>
      <c r="AV898">
        <v>13</v>
      </c>
      <c r="AW898">
        <v>58</v>
      </c>
      <c r="AX898">
        <v>9</v>
      </c>
      <c r="AY898">
        <v>48</v>
      </c>
      <c r="AZ898">
        <v>5</v>
      </c>
      <c r="BA898" t="s">
        <v>19822</v>
      </c>
      <c r="BB898" t="s">
        <v>19823</v>
      </c>
      <c r="BC898">
        <v>0.32700000000000001</v>
      </c>
      <c r="BD898" t="s">
        <v>65</v>
      </c>
      <c r="BE898">
        <v>106</v>
      </c>
      <c r="BF898">
        <v>14</v>
      </c>
      <c r="BG898" t="s">
        <v>19824</v>
      </c>
      <c r="BH898" t="s">
        <v>19825</v>
      </c>
      <c r="BI898" t="s">
        <v>19826</v>
      </c>
      <c r="BJ898">
        <v>4.1140000000000003E-2</v>
      </c>
      <c r="BK898">
        <v>1</v>
      </c>
      <c r="BL898" t="s">
        <v>69</v>
      </c>
      <c r="BM898">
        <v>-1.726</v>
      </c>
      <c r="BN898">
        <v>-1.742</v>
      </c>
    </row>
    <row r="899" spans="2:66">
      <c r="B899">
        <v>1406</v>
      </c>
      <c r="C899">
        <v>46</v>
      </c>
      <c r="D899">
        <v>0</v>
      </c>
      <c r="E899">
        <v>2</v>
      </c>
      <c r="F899">
        <v>0</v>
      </c>
      <c r="J899">
        <v>0</v>
      </c>
      <c r="K899">
        <v>6</v>
      </c>
      <c r="L899">
        <v>1</v>
      </c>
      <c r="M899" t="s">
        <v>25022</v>
      </c>
      <c r="N899">
        <v>3390</v>
      </c>
      <c r="O899" t="s">
        <v>19827</v>
      </c>
      <c r="P899" t="s">
        <v>62</v>
      </c>
      <c r="Q899">
        <v>3358667</v>
      </c>
      <c r="R899">
        <v>3359977</v>
      </c>
      <c r="S899" t="s">
        <v>19828</v>
      </c>
      <c r="T899">
        <v>437</v>
      </c>
      <c r="U899" t="s">
        <v>59</v>
      </c>
      <c r="V899">
        <v>49</v>
      </c>
      <c r="W899" t="str">
        <f>HYPERLINK("Gene3390-zp_tree_all.dnd", "Gene3390-tree")</f>
        <v>Gene3390-tree</v>
      </c>
      <c r="X899">
        <v>13</v>
      </c>
      <c r="Y899">
        <v>7</v>
      </c>
      <c r="Z899">
        <v>13</v>
      </c>
      <c r="AA899">
        <v>7</v>
      </c>
      <c r="AB899">
        <v>0.35</v>
      </c>
      <c r="AC899" t="s">
        <v>507</v>
      </c>
      <c r="AD899" t="s">
        <v>152</v>
      </c>
      <c r="AE899" t="s">
        <v>62</v>
      </c>
      <c r="AF899" t="s">
        <v>62</v>
      </c>
      <c r="AG899">
        <v>2</v>
      </c>
      <c r="AH899">
        <v>7</v>
      </c>
      <c r="AI899">
        <v>9</v>
      </c>
      <c r="AJ899">
        <v>0.4375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2</v>
      </c>
      <c r="AR899">
        <v>2</v>
      </c>
      <c r="AS899">
        <v>7</v>
      </c>
      <c r="AT899">
        <v>0.22222</v>
      </c>
      <c r="AU899">
        <v>18</v>
      </c>
      <c r="AV899">
        <v>13</v>
      </c>
      <c r="AW899">
        <v>57</v>
      </c>
      <c r="AX899">
        <v>8</v>
      </c>
      <c r="AY899">
        <v>61</v>
      </c>
      <c r="AZ899">
        <v>8</v>
      </c>
      <c r="BA899" t="s">
        <v>19829</v>
      </c>
      <c r="BB899" t="s">
        <v>19830</v>
      </c>
      <c r="BC899">
        <v>7.2999999999999995E-2</v>
      </c>
      <c r="BD899" t="s">
        <v>65</v>
      </c>
      <c r="BE899">
        <v>118</v>
      </c>
      <c r="BF899">
        <v>16</v>
      </c>
      <c r="BG899" t="s">
        <v>19831</v>
      </c>
      <c r="BH899" t="s">
        <v>19832</v>
      </c>
      <c r="BI899" t="s">
        <v>19833</v>
      </c>
      <c r="BJ899">
        <v>3.4660000000000003E-2</v>
      </c>
      <c r="BK899">
        <v>1</v>
      </c>
      <c r="BL899" t="s">
        <v>69</v>
      </c>
      <c r="BM899">
        <v>-1.49</v>
      </c>
      <c r="BN899">
        <v>-1.022</v>
      </c>
    </row>
    <row r="900" spans="2:66">
      <c r="B900">
        <v>1407</v>
      </c>
      <c r="C900">
        <v>33</v>
      </c>
      <c r="D900">
        <v>0</v>
      </c>
      <c r="E900">
        <v>0</v>
      </c>
      <c r="F900">
        <v>2</v>
      </c>
      <c r="J900">
        <v>0</v>
      </c>
      <c r="K900">
        <v>4</v>
      </c>
      <c r="L900">
        <v>0</v>
      </c>
      <c r="M900" t="s">
        <v>25022</v>
      </c>
      <c r="N900">
        <v>3391</v>
      </c>
      <c r="O900" t="s">
        <v>19834</v>
      </c>
      <c r="P900" t="s">
        <v>62</v>
      </c>
      <c r="Q900">
        <v>3359998</v>
      </c>
      <c r="R900">
        <v>3360780</v>
      </c>
      <c r="S900" t="s">
        <v>19835</v>
      </c>
      <c r="T900">
        <v>261</v>
      </c>
      <c r="U900" t="s">
        <v>59</v>
      </c>
      <c r="V900">
        <v>49</v>
      </c>
      <c r="W900" t="str">
        <f>HYPERLINK("Gene3391-zp_tree_all.dnd", "Gene3391-tree")</f>
        <v>Gene3391-tree</v>
      </c>
      <c r="X900">
        <v>15</v>
      </c>
      <c r="Y900">
        <v>4</v>
      </c>
      <c r="Z900">
        <v>15</v>
      </c>
      <c r="AA900">
        <v>4</v>
      </c>
      <c r="AB900">
        <v>0.21052999999999999</v>
      </c>
      <c r="AC900" t="s">
        <v>100</v>
      </c>
      <c r="AD900" t="s">
        <v>61</v>
      </c>
      <c r="AE900" t="s">
        <v>62</v>
      </c>
      <c r="AF900" t="s">
        <v>62</v>
      </c>
      <c r="AG900">
        <v>1</v>
      </c>
      <c r="AH900">
        <v>4</v>
      </c>
      <c r="AI900">
        <v>1</v>
      </c>
      <c r="AJ900">
        <v>0.8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3</v>
      </c>
      <c r="AQ900">
        <v>0</v>
      </c>
      <c r="AR900">
        <v>3</v>
      </c>
      <c r="AS900">
        <v>1</v>
      </c>
      <c r="AT900">
        <v>0.75</v>
      </c>
      <c r="AU900">
        <v>15</v>
      </c>
      <c r="AV900">
        <v>9</v>
      </c>
      <c r="AW900">
        <v>27</v>
      </c>
      <c r="AX900">
        <v>4</v>
      </c>
      <c r="AY900">
        <v>34</v>
      </c>
      <c r="AZ900">
        <v>1</v>
      </c>
      <c r="BA900" t="s">
        <v>19836</v>
      </c>
      <c r="BB900" t="s">
        <v>19837</v>
      </c>
      <c r="BC900">
        <v>0.78700000000000003</v>
      </c>
      <c r="BD900" t="s">
        <v>65</v>
      </c>
      <c r="BE900">
        <v>61</v>
      </c>
      <c r="BF900">
        <v>5</v>
      </c>
      <c r="BG900" t="s">
        <v>19838</v>
      </c>
      <c r="BH900" t="s">
        <v>19839</v>
      </c>
      <c r="BI900" t="s">
        <v>17577</v>
      </c>
      <c r="BJ900">
        <v>9.6600000000000002E-3</v>
      </c>
      <c r="BK900">
        <v>1</v>
      </c>
      <c r="BL900" t="s">
        <v>69</v>
      </c>
      <c r="BM900">
        <v>-0.95199999999999996</v>
      </c>
      <c r="BN900">
        <v>-2E-3</v>
      </c>
    </row>
    <row r="901" spans="2:66">
      <c r="B901">
        <v>1408</v>
      </c>
      <c r="C901">
        <v>279</v>
      </c>
      <c r="D901">
        <v>0</v>
      </c>
      <c r="E901">
        <v>5</v>
      </c>
      <c r="F901">
        <v>4</v>
      </c>
      <c r="J901">
        <v>0</v>
      </c>
      <c r="K901">
        <v>0</v>
      </c>
      <c r="L901">
        <v>0</v>
      </c>
      <c r="M901" t="s">
        <v>25022</v>
      </c>
      <c r="N901">
        <v>3392</v>
      </c>
      <c r="O901" t="s">
        <v>19840</v>
      </c>
      <c r="P901" t="s">
        <v>62</v>
      </c>
      <c r="Q901">
        <v>3360977</v>
      </c>
      <c r="R901">
        <v>3361111</v>
      </c>
      <c r="S901" t="s">
        <v>19841</v>
      </c>
      <c r="T901">
        <v>45</v>
      </c>
      <c r="U901" t="s">
        <v>749</v>
      </c>
      <c r="V901">
        <v>47</v>
      </c>
      <c r="W901" t="str">
        <f>HYPERLINK("Gene3392-zp_tree_all.dnd", "Gene3392-tree")</f>
        <v>Gene3392-tree</v>
      </c>
      <c r="X901">
        <v>29</v>
      </c>
      <c r="Y901">
        <v>3</v>
      </c>
      <c r="Z901">
        <v>6</v>
      </c>
      <c r="AA901">
        <v>3</v>
      </c>
      <c r="AB901">
        <v>0.33333000000000002</v>
      </c>
      <c r="AC901" t="s">
        <v>3696</v>
      </c>
      <c r="AD901" t="s">
        <v>324</v>
      </c>
      <c r="AE901" t="s">
        <v>62</v>
      </c>
      <c r="AF901" t="s">
        <v>62</v>
      </c>
      <c r="AG901">
        <v>0</v>
      </c>
      <c r="AH901">
        <v>0</v>
      </c>
      <c r="AI901">
        <v>3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3</v>
      </c>
      <c r="AT901">
        <v>0</v>
      </c>
      <c r="AU901">
        <v>7</v>
      </c>
      <c r="AV901">
        <v>3</v>
      </c>
      <c r="AW901">
        <v>9</v>
      </c>
      <c r="AX901">
        <v>3</v>
      </c>
      <c r="AY901">
        <v>4</v>
      </c>
      <c r="AZ901">
        <v>0</v>
      </c>
      <c r="BA901" t="s">
        <v>19842</v>
      </c>
      <c r="BB901" t="s">
        <v>193</v>
      </c>
      <c r="BC901">
        <v>1.6160000000000001</v>
      </c>
      <c r="BD901" t="s">
        <v>65</v>
      </c>
      <c r="BE901">
        <v>13</v>
      </c>
      <c r="BF901">
        <v>3</v>
      </c>
      <c r="BG901" t="s">
        <v>19843</v>
      </c>
      <c r="BH901" t="s">
        <v>19844</v>
      </c>
      <c r="BI901" t="s">
        <v>19845</v>
      </c>
      <c r="BJ901">
        <v>5.6820000000000002E-2</v>
      </c>
      <c r="BK901">
        <v>1</v>
      </c>
      <c r="BL901" t="s">
        <v>69</v>
      </c>
      <c r="BM901">
        <v>-1.2909999999999999</v>
      </c>
      <c r="BN901">
        <v>-1.5029999999999999</v>
      </c>
    </row>
    <row r="902" spans="2:66">
      <c r="B902">
        <v>1409</v>
      </c>
      <c r="C902">
        <v>252</v>
      </c>
      <c r="D902">
        <v>0</v>
      </c>
      <c r="E902">
        <v>2</v>
      </c>
      <c r="F902">
        <v>0</v>
      </c>
      <c r="J902">
        <v>0</v>
      </c>
      <c r="K902">
        <v>0</v>
      </c>
      <c r="L902">
        <v>0</v>
      </c>
      <c r="M902" t="s">
        <v>25022</v>
      </c>
      <c r="N902">
        <v>3393</v>
      </c>
      <c r="O902" t="s">
        <v>19846</v>
      </c>
      <c r="P902" t="s">
        <v>62</v>
      </c>
      <c r="Q902">
        <v>3361308</v>
      </c>
      <c r="R902">
        <v>3361682</v>
      </c>
      <c r="S902" t="s">
        <v>116</v>
      </c>
      <c r="T902">
        <v>125</v>
      </c>
      <c r="U902" t="s">
        <v>108</v>
      </c>
      <c r="V902">
        <v>44</v>
      </c>
      <c r="W902" t="str">
        <f>HYPERLINK("Gene3393-zp_tree_all.dnd", "Gene3393-tree")</f>
        <v>Gene3393-tree</v>
      </c>
      <c r="X902">
        <v>13</v>
      </c>
      <c r="Y902">
        <v>1</v>
      </c>
      <c r="Z902">
        <v>13</v>
      </c>
      <c r="AA902">
        <v>1</v>
      </c>
      <c r="AB902">
        <v>7.1429999999999993E-2</v>
      </c>
      <c r="AC902" t="s">
        <v>507</v>
      </c>
      <c r="AD902" t="s">
        <v>175</v>
      </c>
      <c r="AE902" t="s">
        <v>62</v>
      </c>
      <c r="AF902" t="s">
        <v>62</v>
      </c>
      <c r="AG902">
        <v>0</v>
      </c>
      <c r="AH902">
        <v>0</v>
      </c>
      <c r="AI902">
        <v>2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10</v>
      </c>
      <c r="AV902">
        <v>4</v>
      </c>
      <c r="AW902">
        <v>14</v>
      </c>
      <c r="AX902">
        <v>2</v>
      </c>
      <c r="AY902">
        <v>7</v>
      </c>
      <c r="AZ902">
        <v>1</v>
      </c>
      <c r="BA902" t="s">
        <v>19847</v>
      </c>
      <c r="BB902" t="s">
        <v>19848</v>
      </c>
      <c r="BC902">
        <v>1E-3</v>
      </c>
      <c r="BD902" t="s">
        <v>65</v>
      </c>
      <c r="BE902">
        <v>21</v>
      </c>
      <c r="BF902">
        <v>3</v>
      </c>
      <c r="BG902" t="s">
        <v>19849</v>
      </c>
      <c r="BH902" t="s">
        <v>19850</v>
      </c>
      <c r="BI902" t="s">
        <v>10876</v>
      </c>
      <c r="BJ902">
        <v>4.1829999999999999E-2</v>
      </c>
      <c r="BK902">
        <v>1</v>
      </c>
      <c r="BL902" t="s">
        <v>69</v>
      </c>
      <c r="BM902">
        <v>-0.84499999999999997</v>
      </c>
      <c r="BN902">
        <v>-1.6140000000000001</v>
      </c>
    </row>
    <row r="903" spans="2:66">
      <c r="B903">
        <v>1410</v>
      </c>
      <c r="C903">
        <v>164</v>
      </c>
      <c r="D903">
        <v>0</v>
      </c>
      <c r="E903">
        <v>13</v>
      </c>
      <c r="F903">
        <v>1</v>
      </c>
      <c r="J903">
        <v>0</v>
      </c>
      <c r="K903">
        <v>4</v>
      </c>
      <c r="L903">
        <v>2</v>
      </c>
      <c r="M903" t="s">
        <v>25022</v>
      </c>
      <c r="N903">
        <v>3394</v>
      </c>
      <c r="O903" t="s">
        <v>19851</v>
      </c>
      <c r="P903" t="s">
        <v>62</v>
      </c>
      <c r="Q903">
        <v>3361770</v>
      </c>
      <c r="R903">
        <v>3362591</v>
      </c>
      <c r="S903" t="s">
        <v>19852</v>
      </c>
      <c r="T903">
        <v>274</v>
      </c>
      <c r="U903" t="s">
        <v>59</v>
      </c>
      <c r="V903">
        <v>49</v>
      </c>
      <c r="W903" t="str">
        <f>HYPERLINK("Gene3394-zp_tree_all.dnd", "Gene3394-tree")</f>
        <v>Gene3394-tree</v>
      </c>
      <c r="X903">
        <v>13</v>
      </c>
      <c r="Y903">
        <v>7</v>
      </c>
      <c r="Z903">
        <v>13</v>
      </c>
      <c r="AA903">
        <v>7</v>
      </c>
      <c r="AB903">
        <v>0.35</v>
      </c>
      <c r="AC903" t="s">
        <v>507</v>
      </c>
      <c r="AD903" t="s">
        <v>152</v>
      </c>
      <c r="AE903" t="s">
        <v>62</v>
      </c>
      <c r="AF903" t="s">
        <v>62</v>
      </c>
      <c r="AG903">
        <v>3</v>
      </c>
      <c r="AH903">
        <v>6</v>
      </c>
      <c r="AI903">
        <v>12</v>
      </c>
      <c r="AJ903">
        <v>0.33333000000000002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8</v>
      </c>
      <c r="AT903">
        <v>0</v>
      </c>
      <c r="AU903">
        <v>13</v>
      </c>
      <c r="AV903">
        <v>15</v>
      </c>
      <c r="AW903">
        <v>24</v>
      </c>
      <c r="AX903">
        <v>7</v>
      </c>
      <c r="AY903">
        <v>44</v>
      </c>
      <c r="AZ903">
        <v>11</v>
      </c>
      <c r="BA903" t="s">
        <v>19853</v>
      </c>
      <c r="BB903" t="s">
        <v>19854</v>
      </c>
      <c r="BC903">
        <v>0.158</v>
      </c>
      <c r="BD903" t="s">
        <v>65</v>
      </c>
      <c r="BE903">
        <v>68</v>
      </c>
      <c r="BF903">
        <v>18</v>
      </c>
      <c r="BG903" t="s">
        <v>19855</v>
      </c>
      <c r="BH903" t="s">
        <v>19856</v>
      </c>
      <c r="BI903" t="s">
        <v>19857</v>
      </c>
      <c r="BJ903">
        <v>7.1400000000000005E-2</v>
      </c>
      <c r="BK903">
        <v>1</v>
      </c>
      <c r="BL903" t="s">
        <v>69</v>
      </c>
      <c r="BM903">
        <v>-1.292</v>
      </c>
      <c r="BN903">
        <v>0.46700000000000003</v>
      </c>
    </row>
    <row r="904" spans="2:66">
      <c r="B904">
        <v>1411</v>
      </c>
      <c r="C904">
        <v>402</v>
      </c>
      <c r="D904">
        <v>0</v>
      </c>
      <c r="E904">
        <v>8</v>
      </c>
      <c r="F904">
        <v>2</v>
      </c>
      <c r="J904">
        <v>0</v>
      </c>
      <c r="K904">
        <v>0</v>
      </c>
      <c r="L904">
        <v>0</v>
      </c>
      <c r="M904" t="s">
        <v>25022</v>
      </c>
      <c r="N904">
        <v>3395</v>
      </c>
      <c r="O904" t="s">
        <v>19858</v>
      </c>
      <c r="P904" t="s">
        <v>62</v>
      </c>
      <c r="Q904">
        <v>3362608</v>
      </c>
      <c r="R904">
        <v>3363273</v>
      </c>
      <c r="S904" t="s">
        <v>19859</v>
      </c>
      <c r="T904">
        <v>222</v>
      </c>
      <c r="U904" t="s">
        <v>108</v>
      </c>
      <c r="V904">
        <v>44</v>
      </c>
      <c r="W904" t="str">
        <f>HYPERLINK("Gene3395-zp_tree_all.dnd", "Gene3395-tree")</f>
        <v>Gene3395-tree</v>
      </c>
      <c r="X904">
        <v>10</v>
      </c>
      <c r="Y904">
        <v>3</v>
      </c>
      <c r="Z904">
        <v>10</v>
      </c>
      <c r="AA904">
        <v>3</v>
      </c>
      <c r="AB904">
        <v>0.23077</v>
      </c>
      <c r="AC904" t="s">
        <v>117</v>
      </c>
      <c r="AD904" t="s">
        <v>324</v>
      </c>
      <c r="AE904" t="s">
        <v>62</v>
      </c>
      <c r="AF904" t="s">
        <v>62</v>
      </c>
      <c r="AG904">
        <v>0</v>
      </c>
      <c r="AH904">
        <v>0</v>
      </c>
      <c r="AI904">
        <v>3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3</v>
      </c>
      <c r="AT904">
        <v>0</v>
      </c>
      <c r="AU904">
        <v>10</v>
      </c>
      <c r="AV904">
        <v>4</v>
      </c>
      <c r="AW904">
        <v>16</v>
      </c>
      <c r="AX904">
        <v>3</v>
      </c>
      <c r="AY904">
        <v>4</v>
      </c>
      <c r="AZ904">
        <v>0</v>
      </c>
      <c r="BA904" t="s">
        <v>19860</v>
      </c>
      <c r="BB904" t="s">
        <v>193</v>
      </c>
      <c r="BC904">
        <v>1.153</v>
      </c>
      <c r="BD904" t="s">
        <v>65</v>
      </c>
      <c r="BE904">
        <v>20</v>
      </c>
      <c r="BF904">
        <v>3</v>
      </c>
      <c r="BG904" t="s">
        <v>19861</v>
      </c>
      <c r="BH904" t="s">
        <v>19862</v>
      </c>
      <c r="BI904" t="s">
        <v>19863</v>
      </c>
      <c r="BJ904">
        <v>4.0620000000000003E-2</v>
      </c>
      <c r="BK904">
        <v>1</v>
      </c>
      <c r="BL904" t="s">
        <v>69</v>
      </c>
      <c r="BM904">
        <v>-6.6000000000000003E-2</v>
      </c>
      <c r="BN904">
        <v>-1.1719999999999999</v>
      </c>
    </row>
    <row r="905" spans="2:66">
      <c r="B905">
        <v>1412</v>
      </c>
      <c r="C905">
        <v>8</v>
      </c>
      <c r="D905">
        <v>0</v>
      </c>
      <c r="E905">
        <v>2</v>
      </c>
      <c r="F905">
        <v>0</v>
      </c>
      <c r="J905">
        <v>0</v>
      </c>
      <c r="K905">
        <v>2</v>
      </c>
      <c r="L905">
        <v>4</v>
      </c>
      <c r="M905" t="s">
        <v>25022</v>
      </c>
      <c r="N905">
        <v>3396</v>
      </c>
      <c r="O905" t="s">
        <v>19864</v>
      </c>
      <c r="P905" t="s">
        <v>62</v>
      </c>
      <c r="Q905">
        <v>3363269</v>
      </c>
      <c r="R905">
        <v>3364291</v>
      </c>
      <c r="S905" t="s">
        <v>19865</v>
      </c>
      <c r="T905">
        <v>341</v>
      </c>
      <c r="U905" t="s">
        <v>59</v>
      </c>
      <c r="V905">
        <v>49</v>
      </c>
      <c r="W905" t="str">
        <f>HYPERLINK("Gene3396-zp_tree_all.dnd", "Gene3396-tree")</f>
        <v>Gene3396-tree</v>
      </c>
      <c r="X905">
        <v>19</v>
      </c>
      <c r="Y905">
        <v>2</v>
      </c>
      <c r="Z905">
        <v>19</v>
      </c>
      <c r="AA905">
        <v>2</v>
      </c>
      <c r="AB905">
        <v>9.5240000000000005E-2</v>
      </c>
      <c r="AC905" t="s">
        <v>587</v>
      </c>
      <c r="AD905" t="s">
        <v>81</v>
      </c>
      <c r="AE905" t="s">
        <v>62</v>
      </c>
      <c r="AF905" t="s">
        <v>62</v>
      </c>
      <c r="AG905">
        <v>3</v>
      </c>
      <c r="AH905">
        <v>6</v>
      </c>
      <c r="AI905">
        <v>9</v>
      </c>
      <c r="AJ905">
        <v>0.4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2</v>
      </c>
      <c r="AT905">
        <v>0</v>
      </c>
      <c r="AU905">
        <v>19</v>
      </c>
      <c r="AV905">
        <v>17</v>
      </c>
      <c r="AW905">
        <v>56</v>
      </c>
      <c r="AX905">
        <v>2</v>
      </c>
      <c r="AY905">
        <v>71</v>
      </c>
      <c r="AZ905">
        <v>13</v>
      </c>
      <c r="BA905" t="s">
        <v>19866</v>
      </c>
      <c r="BB905" t="s">
        <v>19867</v>
      </c>
      <c r="BC905">
        <v>0.61799999999999999</v>
      </c>
      <c r="BD905" t="s">
        <v>65</v>
      </c>
      <c r="BE905">
        <v>127</v>
      </c>
      <c r="BF905">
        <v>15</v>
      </c>
      <c r="BG905" t="s">
        <v>19868</v>
      </c>
      <c r="BH905" t="s">
        <v>19869</v>
      </c>
      <c r="BI905" t="s">
        <v>19870</v>
      </c>
      <c r="BJ905">
        <v>3.9449999999999999E-2</v>
      </c>
      <c r="BK905">
        <v>1</v>
      </c>
      <c r="BL905" t="s">
        <v>69</v>
      </c>
      <c r="BM905">
        <v>-1.052</v>
      </c>
      <c r="BN905">
        <v>-0.42799999999999999</v>
      </c>
    </row>
    <row r="906" spans="2:66">
      <c r="B906">
        <v>1413</v>
      </c>
      <c r="C906">
        <v>117</v>
      </c>
      <c r="D906">
        <v>0</v>
      </c>
      <c r="E906">
        <v>6</v>
      </c>
      <c r="F906">
        <v>3</v>
      </c>
      <c r="J906">
        <v>0</v>
      </c>
      <c r="K906">
        <v>0</v>
      </c>
      <c r="L906">
        <v>0</v>
      </c>
      <c r="M906" t="s">
        <v>25022</v>
      </c>
      <c r="N906">
        <v>3397</v>
      </c>
      <c r="O906" t="s">
        <v>19871</v>
      </c>
      <c r="P906" t="s">
        <v>62</v>
      </c>
      <c r="Q906">
        <v>3364621</v>
      </c>
      <c r="R906">
        <v>3364962</v>
      </c>
      <c r="S906" t="s">
        <v>116</v>
      </c>
      <c r="T906">
        <v>114</v>
      </c>
      <c r="U906" t="s">
        <v>125</v>
      </c>
      <c r="V906">
        <v>48</v>
      </c>
      <c r="W906" t="str">
        <f>HYPERLINK("Gene3397-zp_tree_all.dnd", "Gene3397-tree")</f>
        <v>Gene3397-tree</v>
      </c>
      <c r="X906">
        <v>8</v>
      </c>
      <c r="Y906">
        <v>5</v>
      </c>
      <c r="Z906">
        <v>8</v>
      </c>
      <c r="AA906">
        <v>5</v>
      </c>
      <c r="AB906">
        <v>0.38462000000000002</v>
      </c>
      <c r="AC906" t="s">
        <v>136</v>
      </c>
      <c r="AD906" t="s">
        <v>199</v>
      </c>
      <c r="AE906" t="s">
        <v>62</v>
      </c>
      <c r="AF906" t="s">
        <v>62</v>
      </c>
      <c r="AG906">
        <v>0</v>
      </c>
      <c r="AH906">
        <v>0</v>
      </c>
      <c r="AI906">
        <v>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6</v>
      </c>
      <c r="AT906">
        <v>0</v>
      </c>
      <c r="AU906">
        <v>10</v>
      </c>
      <c r="AV906">
        <v>6</v>
      </c>
      <c r="AW906">
        <v>14</v>
      </c>
      <c r="AX906">
        <v>4</v>
      </c>
      <c r="AY906">
        <v>16</v>
      </c>
      <c r="AZ906">
        <v>5</v>
      </c>
      <c r="BA906" t="s">
        <v>19872</v>
      </c>
      <c r="BB906" t="s">
        <v>19873</v>
      </c>
      <c r="BC906">
        <v>6.9000000000000006E-2</v>
      </c>
      <c r="BD906" t="s">
        <v>65</v>
      </c>
      <c r="BE906">
        <v>30</v>
      </c>
      <c r="BF906">
        <v>9</v>
      </c>
      <c r="BG906" t="s">
        <v>19874</v>
      </c>
      <c r="BH906" t="s">
        <v>19875</v>
      </c>
      <c r="BI906" t="s">
        <v>19876</v>
      </c>
      <c r="BJ906">
        <v>9.7350000000000006E-2</v>
      </c>
      <c r="BK906">
        <v>1</v>
      </c>
      <c r="BL906" t="s">
        <v>69</v>
      </c>
      <c r="BM906">
        <v>-1.1779999999999999</v>
      </c>
      <c r="BN906">
        <v>0.76700000000000002</v>
      </c>
    </row>
    <row r="907" spans="2:66">
      <c r="B907">
        <v>1414</v>
      </c>
      <c r="C907">
        <v>37</v>
      </c>
      <c r="D907">
        <v>0</v>
      </c>
      <c r="E907">
        <v>2</v>
      </c>
      <c r="F907">
        <v>0</v>
      </c>
      <c r="J907">
        <v>0</v>
      </c>
      <c r="K907">
        <v>2</v>
      </c>
      <c r="L907">
        <v>2</v>
      </c>
      <c r="M907" t="s">
        <v>25022</v>
      </c>
      <c r="N907">
        <v>3398</v>
      </c>
      <c r="O907" t="s">
        <v>19877</v>
      </c>
      <c r="P907" t="s">
        <v>62</v>
      </c>
      <c r="Q907">
        <v>3365072</v>
      </c>
      <c r="R907">
        <v>3365389</v>
      </c>
      <c r="S907" t="s">
        <v>17984</v>
      </c>
      <c r="T907">
        <v>106</v>
      </c>
      <c r="U907" t="s">
        <v>214</v>
      </c>
      <c r="V907">
        <v>48</v>
      </c>
      <c r="W907" t="str">
        <f>HYPERLINK("Gene3398-zp_tree_all.dnd", "Gene3398-tree")</f>
        <v>Gene3398-tree</v>
      </c>
      <c r="X907">
        <v>6</v>
      </c>
      <c r="Y907">
        <v>4</v>
      </c>
      <c r="Z907">
        <v>6</v>
      </c>
      <c r="AA907">
        <v>4</v>
      </c>
      <c r="AB907">
        <v>0.4</v>
      </c>
      <c r="AC907" t="s">
        <v>90</v>
      </c>
      <c r="AD907" t="s">
        <v>61</v>
      </c>
      <c r="AE907" t="s">
        <v>62</v>
      </c>
      <c r="AF907" t="s">
        <v>62</v>
      </c>
      <c r="AG907">
        <v>2</v>
      </c>
      <c r="AH907">
        <v>4</v>
      </c>
      <c r="AI907">
        <v>6</v>
      </c>
      <c r="AJ907">
        <v>0.4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6</v>
      </c>
      <c r="AT907">
        <v>0</v>
      </c>
      <c r="AU907">
        <v>8</v>
      </c>
      <c r="AV907">
        <v>4</v>
      </c>
      <c r="AW907">
        <v>13</v>
      </c>
      <c r="AX907">
        <v>6</v>
      </c>
      <c r="AY907">
        <v>12</v>
      </c>
      <c r="AZ907">
        <v>4</v>
      </c>
      <c r="BA907" t="s">
        <v>19878</v>
      </c>
      <c r="BB907" t="s">
        <v>19879</v>
      </c>
      <c r="BC907">
        <v>0.32900000000000001</v>
      </c>
      <c r="BD907" t="s">
        <v>65</v>
      </c>
      <c r="BE907">
        <v>25</v>
      </c>
      <c r="BF907">
        <v>10</v>
      </c>
      <c r="BG907" t="s">
        <v>19880</v>
      </c>
      <c r="BH907" t="s">
        <v>19881</v>
      </c>
      <c r="BI907" t="s">
        <v>19882</v>
      </c>
      <c r="BJ907">
        <v>0.10959000000000001</v>
      </c>
      <c r="BK907">
        <v>1</v>
      </c>
      <c r="BL907" t="s">
        <v>69</v>
      </c>
      <c r="BM907">
        <v>-1.508</v>
      </c>
      <c r="BN907">
        <v>-2.391</v>
      </c>
    </row>
    <row r="908" spans="2:66">
      <c r="B908">
        <v>1417</v>
      </c>
      <c r="C908">
        <v>131</v>
      </c>
      <c r="D908">
        <v>0</v>
      </c>
      <c r="E908">
        <v>0</v>
      </c>
      <c r="F908">
        <v>2</v>
      </c>
      <c r="J908">
        <v>0</v>
      </c>
      <c r="K908">
        <v>2</v>
      </c>
      <c r="L908">
        <v>0</v>
      </c>
      <c r="M908" t="s">
        <v>25022</v>
      </c>
      <c r="N908">
        <v>3399</v>
      </c>
      <c r="O908" t="s">
        <v>19883</v>
      </c>
      <c r="P908" t="s">
        <v>62</v>
      </c>
      <c r="Q908">
        <v>3365394</v>
      </c>
      <c r="R908">
        <v>3365831</v>
      </c>
      <c r="S908" t="s">
        <v>19884</v>
      </c>
      <c r="T908">
        <v>146</v>
      </c>
      <c r="U908" t="s">
        <v>108</v>
      </c>
      <c r="V908">
        <v>44</v>
      </c>
      <c r="W908" t="str">
        <f>HYPERLINK("Gene3399-zp_tree_all.dnd", "Gene3399-tree")</f>
        <v>Gene3399-tree</v>
      </c>
      <c r="X908">
        <v>4</v>
      </c>
      <c r="Y908">
        <v>5</v>
      </c>
      <c r="Z908">
        <v>4</v>
      </c>
      <c r="AA908">
        <v>5</v>
      </c>
      <c r="AB908">
        <v>0.55556000000000005</v>
      </c>
      <c r="AC908" t="s">
        <v>61</v>
      </c>
      <c r="AD908" t="s">
        <v>199</v>
      </c>
      <c r="AE908" t="s">
        <v>62</v>
      </c>
      <c r="AF908" t="s">
        <v>62</v>
      </c>
      <c r="AG908">
        <v>1</v>
      </c>
      <c r="AH908">
        <v>2</v>
      </c>
      <c r="AI908">
        <v>7</v>
      </c>
      <c r="AJ908">
        <v>0.22222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2</v>
      </c>
      <c r="AQ908">
        <v>0</v>
      </c>
      <c r="AR908">
        <v>2</v>
      </c>
      <c r="AS908">
        <v>6</v>
      </c>
      <c r="AT908">
        <v>0.25</v>
      </c>
      <c r="AU908">
        <v>7</v>
      </c>
      <c r="AV908">
        <v>4</v>
      </c>
      <c r="AW908">
        <v>5</v>
      </c>
      <c r="AX908">
        <v>7</v>
      </c>
      <c r="AY908">
        <v>2</v>
      </c>
      <c r="AZ908">
        <v>2</v>
      </c>
      <c r="BA908" t="s">
        <v>19885</v>
      </c>
      <c r="BB908" t="s">
        <v>19886</v>
      </c>
      <c r="BC908">
        <v>0.33500000000000002</v>
      </c>
      <c r="BD908" t="s">
        <v>65</v>
      </c>
      <c r="BE908">
        <v>7</v>
      </c>
      <c r="BF908">
        <v>9</v>
      </c>
      <c r="BG908" t="s">
        <v>19887</v>
      </c>
      <c r="BH908" t="s">
        <v>19888</v>
      </c>
      <c r="BI908" t="s">
        <v>19889</v>
      </c>
      <c r="BJ908">
        <v>0.33310000000000001</v>
      </c>
      <c r="BK908">
        <v>0.85599999999999998</v>
      </c>
      <c r="BL908" t="s">
        <v>635</v>
      </c>
      <c r="BM908">
        <v>0.95399999999999996</v>
      </c>
      <c r="BN908">
        <v>0.13700000000000001</v>
      </c>
    </row>
    <row r="909" spans="2:66">
      <c r="B909">
        <v>1422</v>
      </c>
      <c r="C909">
        <v>341</v>
      </c>
      <c r="D909">
        <v>0</v>
      </c>
      <c r="E909">
        <v>12</v>
      </c>
      <c r="F909">
        <v>1</v>
      </c>
      <c r="J909">
        <v>0</v>
      </c>
      <c r="K909">
        <v>0</v>
      </c>
      <c r="L909">
        <v>0</v>
      </c>
      <c r="M909" t="s">
        <v>25022</v>
      </c>
      <c r="N909">
        <v>3400</v>
      </c>
      <c r="O909" t="s">
        <v>19890</v>
      </c>
      <c r="P909" t="s">
        <v>62</v>
      </c>
      <c r="Q909">
        <v>3365834</v>
      </c>
      <c r="R909">
        <v>3366067</v>
      </c>
      <c r="S909" t="s">
        <v>116</v>
      </c>
      <c r="T909">
        <v>78</v>
      </c>
      <c r="U909" t="s">
        <v>698</v>
      </c>
      <c r="V909">
        <v>47</v>
      </c>
      <c r="W909" t="str">
        <f>HYPERLINK("Gene3400-zp_tree_all.dnd", "Gene3400-tree")</f>
        <v>Gene3400-tree</v>
      </c>
      <c r="X909">
        <v>3</v>
      </c>
      <c r="Y909">
        <v>2</v>
      </c>
      <c r="Z909">
        <v>3</v>
      </c>
      <c r="AA909">
        <v>2</v>
      </c>
      <c r="AB909">
        <v>0.4</v>
      </c>
      <c r="AC909" t="s">
        <v>324</v>
      </c>
      <c r="AD909" t="s">
        <v>81</v>
      </c>
      <c r="AE909" t="s">
        <v>62</v>
      </c>
      <c r="AF909" t="s">
        <v>62</v>
      </c>
      <c r="AG909">
        <v>0</v>
      </c>
      <c r="AH909">
        <v>0</v>
      </c>
      <c r="AI909">
        <v>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5</v>
      </c>
      <c r="AT909">
        <v>0</v>
      </c>
      <c r="AU909">
        <v>4</v>
      </c>
      <c r="AV909">
        <v>0</v>
      </c>
      <c r="AW909">
        <v>8</v>
      </c>
      <c r="AX909">
        <v>6</v>
      </c>
      <c r="AY909">
        <v>0</v>
      </c>
      <c r="AZ909">
        <v>0</v>
      </c>
      <c r="BA909" t="s">
        <v>19891</v>
      </c>
      <c r="BB909" t="s">
        <v>193</v>
      </c>
      <c r="BC909">
        <v>0.73899999999999999</v>
      </c>
      <c r="BD909" t="s">
        <v>65</v>
      </c>
      <c r="BE909">
        <v>8</v>
      </c>
      <c r="BF909">
        <v>6</v>
      </c>
      <c r="BG909" t="s">
        <v>19892</v>
      </c>
      <c r="BH909" t="s">
        <v>19893</v>
      </c>
      <c r="BI909" t="s">
        <v>19894</v>
      </c>
      <c r="BJ909">
        <v>0.18437999999999999</v>
      </c>
      <c r="BK909">
        <v>0.98</v>
      </c>
      <c r="BL909" t="s">
        <v>69</v>
      </c>
      <c r="BM909">
        <v>-1.0940000000000001</v>
      </c>
      <c r="BN909">
        <v>0.50600000000000001</v>
      </c>
    </row>
    <row r="910" spans="2:66">
      <c r="B910">
        <v>1423</v>
      </c>
      <c r="C910">
        <v>82</v>
      </c>
      <c r="D910">
        <v>0</v>
      </c>
      <c r="E910">
        <v>10</v>
      </c>
      <c r="F910">
        <v>0</v>
      </c>
      <c r="J910">
        <v>0</v>
      </c>
      <c r="K910">
        <v>0</v>
      </c>
      <c r="L910">
        <v>0</v>
      </c>
      <c r="M910" t="s">
        <v>25022</v>
      </c>
      <c r="N910">
        <v>3401</v>
      </c>
      <c r="O910" t="s">
        <v>19895</v>
      </c>
      <c r="P910" t="s">
        <v>62</v>
      </c>
      <c r="Q910">
        <v>3366126</v>
      </c>
      <c r="R910">
        <v>3366506</v>
      </c>
      <c r="S910" t="s">
        <v>19896</v>
      </c>
      <c r="T910">
        <v>127</v>
      </c>
      <c r="U910" t="s">
        <v>59</v>
      </c>
      <c r="V910">
        <v>49</v>
      </c>
      <c r="W910" t="str">
        <f>HYPERLINK("Gene3401-zp_tree_all.dnd", "Gene3401-tree")</f>
        <v>Gene3401-tree</v>
      </c>
      <c r="X910">
        <v>8</v>
      </c>
      <c r="Y910">
        <v>1</v>
      </c>
      <c r="Z910">
        <v>8</v>
      </c>
      <c r="AA910">
        <v>1</v>
      </c>
      <c r="AB910">
        <v>0.11111</v>
      </c>
      <c r="AC910" t="s">
        <v>136</v>
      </c>
      <c r="AD910" t="s">
        <v>175</v>
      </c>
      <c r="AE910" t="s">
        <v>62</v>
      </c>
      <c r="AF910" t="s">
        <v>62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7</v>
      </c>
      <c r="AV910">
        <v>3</v>
      </c>
      <c r="AW910">
        <v>14</v>
      </c>
      <c r="AX910">
        <v>1</v>
      </c>
      <c r="AY910">
        <v>8</v>
      </c>
      <c r="AZ910">
        <v>0</v>
      </c>
      <c r="BA910" t="s">
        <v>19897</v>
      </c>
      <c r="BB910" t="s">
        <v>193</v>
      </c>
      <c r="BC910">
        <v>0.42</v>
      </c>
      <c r="BD910" t="s">
        <v>65</v>
      </c>
      <c r="BE910">
        <v>22</v>
      </c>
      <c r="BF910">
        <v>1</v>
      </c>
      <c r="BG910" t="s">
        <v>19898</v>
      </c>
      <c r="BH910" t="s">
        <v>19899</v>
      </c>
      <c r="BI910" t="s">
        <v>19900</v>
      </c>
      <c r="BJ910">
        <v>9.0100000000000006E-3</v>
      </c>
      <c r="BK910">
        <v>1</v>
      </c>
      <c r="BL910" t="s">
        <v>69</v>
      </c>
      <c r="BM910">
        <v>-1.8120000000000001</v>
      </c>
      <c r="BN910">
        <v>-0.67</v>
      </c>
    </row>
    <row r="911" spans="2:66">
      <c r="B911">
        <v>1424</v>
      </c>
      <c r="C911">
        <v>177</v>
      </c>
      <c r="D911">
        <v>0</v>
      </c>
      <c r="E911">
        <v>7</v>
      </c>
      <c r="F911">
        <v>1</v>
      </c>
      <c r="J911">
        <v>0</v>
      </c>
      <c r="K911">
        <v>0</v>
      </c>
      <c r="L911">
        <v>0</v>
      </c>
      <c r="M911" t="s">
        <v>25022</v>
      </c>
      <c r="N911">
        <v>3402</v>
      </c>
      <c r="O911" t="s">
        <v>19901</v>
      </c>
      <c r="P911" t="s">
        <v>62</v>
      </c>
      <c r="Q911">
        <v>3366576</v>
      </c>
      <c r="R911">
        <v>3366929</v>
      </c>
      <c r="S911" t="s">
        <v>19902</v>
      </c>
      <c r="T911">
        <v>118</v>
      </c>
      <c r="U911" t="s">
        <v>59</v>
      </c>
      <c r="V911">
        <v>49</v>
      </c>
      <c r="W911" t="str">
        <f>HYPERLINK("Gene3402-zp_tree_all.dnd", "Gene3402-tree")</f>
        <v>Gene3402-tree</v>
      </c>
      <c r="X911">
        <v>11</v>
      </c>
      <c r="Y911">
        <v>2</v>
      </c>
      <c r="Z911">
        <v>11</v>
      </c>
      <c r="AA911">
        <v>2</v>
      </c>
      <c r="AB911">
        <v>0.15384999999999999</v>
      </c>
      <c r="AC911" t="s">
        <v>73</v>
      </c>
      <c r="AD911" t="s">
        <v>81</v>
      </c>
      <c r="AE911" t="s">
        <v>62</v>
      </c>
      <c r="AF911" t="s">
        <v>62</v>
      </c>
      <c r="AG911">
        <v>0</v>
      </c>
      <c r="AH911">
        <v>0</v>
      </c>
      <c r="AI911">
        <v>3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3</v>
      </c>
      <c r="AT911">
        <v>0</v>
      </c>
      <c r="AU911">
        <v>9</v>
      </c>
      <c r="AV911">
        <v>5</v>
      </c>
      <c r="AW911">
        <v>13</v>
      </c>
      <c r="AX911">
        <v>3</v>
      </c>
      <c r="AY911">
        <v>15</v>
      </c>
      <c r="AZ911">
        <v>0</v>
      </c>
      <c r="BA911" t="s">
        <v>19903</v>
      </c>
      <c r="BB911" t="s">
        <v>193</v>
      </c>
      <c r="BC911">
        <v>0.67400000000000004</v>
      </c>
      <c r="BD911" t="s">
        <v>65</v>
      </c>
      <c r="BE911">
        <v>28</v>
      </c>
      <c r="BF911">
        <v>3</v>
      </c>
      <c r="BG911" t="s">
        <v>19904</v>
      </c>
      <c r="BH911" t="s">
        <v>19905</v>
      </c>
      <c r="BI911" t="s">
        <v>19906</v>
      </c>
      <c r="BJ911">
        <v>1.286E-2</v>
      </c>
      <c r="BK911">
        <v>1</v>
      </c>
      <c r="BL911" t="s">
        <v>69</v>
      </c>
      <c r="BM911">
        <v>-0.623</v>
      </c>
      <c r="BN911">
        <v>-0.44700000000000001</v>
      </c>
    </row>
    <row r="912" spans="2:66">
      <c r="B912">
        <v>1425</v>
      </c>
      <c r="C912">
        <v>111</v>
      </c>
      <c r="D912">
        <v>0</v>
      </c>
      <c r="E912">
        <v>3</v>
      </c>
      <c r="F912">
        <v>2</v>
      </c>
      <c r="J912">
        <v>0</v>
      </c>
      <c r="K912">
        <v>4</v>
      </c>
      <c r="L912">
        <v>2</v>
      </c>
      <c r="M912" t="s">
        <v>25022</v>
      </c>
      <c r="N912">
        <v>3403</v>
      </c>
      <c r="O912" t="s">
        <v>19907</v>
      </c>
      <c r="P912" t="s">
        <v>62</v>
      </c>
      <c r="Q912">
        <v>3367043</v>
      </c>
      <c r="R912">
        <v>3368824</v>
      </c>
      <c r="S912" t="s">
        <v>19908</v>
      </c>
      <c r="T912">
        <v>594</v>
      </c>
      <c r="U912" t="s">
        <v>108</v>
      </c>
      <c r="V912">
        <v>44</v>
      </c>
      <c r="W912" t="str">
        <f>HYPERLINK("Gene3403-zp_tree_all.dnd", "Gene3403-tree")</f>
        <v>Gene3403-tree</v>
      </c>
      <c r="X912">
        <v>7</v>
      </c>
      <c r="Y912">
        <v>9</v>
      </c>
      <c r="Z912">
        <v>7</v>
      </c>
      <c r="AA912">
        <v>9</v>
      </c>
      <c r="AB912">
        <v>0.5625</v>
      </c>
      <c r="AC912" t="s">
        <v>152</v>
      </c>
      <c r="AD912" t="s">
        <v>135</v>
      </c>
      <c r="AE912" t="s">
        <v>62</v>
      </c>
      <c r="AF912" t="s">
        <v>62</v>
      </c>
      <c r="AG912">
        <v>2</v>
      </c>
      <c r="AH912">
        <v>6</v>
      </c>
      <c r="AI912">
        <v>10</v>
      </c>
      <c r="AJ912">
        <v>0.375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12</v>
      </c>
      <c r="AT912">
        <v>0</v>
      </c>
      <c r="AU912">
        <v>14</v>
      </c>
      <c r="AV912">
        <v>12</v>
      </c>
      <c r="AW912">
        <v>53</v>
      </c>
      <c r="AX912">
        <v>8</v>
      </c>
      <c r="AY912">
        <v>40</v>
      </c>
      <c r="AZ912">
        <v>8</v>
      </c>
      <c r="BA912" t="s">
        <v>19909</v>
      </c>
      <c r="BB912" t="s">
        <v>19910</v>
      </c>
      <c r="BC912">
        <v>0.24299999999999999</v>
      </c>
      <c r="BD912" t="s">
        <v>65</v>
      </c>
      <c r="BE912">
        <v>93</v>
      </c>
      <c r="BF912">
        <v>16</v>
      </c>
      <c r="BG912" t="s">
        <v>19911</v>
      </c>
      <c r="BH912" t="s">
        <v>19912</v>
      </c>
      <c r="BI912" t="s">
        <v>17843</v>
      </c>
      <c r="BJ912">
        <v>5.2679999999999998E-2</v>
      </c>
      <c r="BK912">
        <v>1</v>
      </c>
      <c r="BL912" t="s">
        <v>69</v>
      </c>
      <c r="BM912">
        <v>-0.65400000000000003</v>
      </c>
      <c r="BN912">
        <v>-1.5960000000000001</v>
      </c>
    </row>
    <row r="913" spans="2:66">
      <c r="B913">
        <v>1426</v>
      </c>
      <c r="C913">
        <v>148</v>
      </c>
      <c r="D913">
        <v>0</v>
      </c>
      <c r="E913">
        <v>4</v>
      </c>
      <c r="F913">
        <v>0</v>
      </c>
      <c r="J913">
        <v>0</v>
      </c>
      <c r="K913">
        <v>0</v>
      </c>
      <c r="L913">
        <v>2</v>
      </c>
      <c r="M913" t="s">
        <v>25022</v>
      </c>
      <c r="N913">
        <v>3404</v>
      </c>
      <c r="O913" t="s">
        <v>19913</v>
      </c>
      <c r="P913" t="s">
        <v>62</v>
      </c>
      <c r="Q913">
        <v>3368842</v>
      </c>
      <c r="R913">
        <v>3370014</v>
      </c>
      <c r="S913" t="s">
        <v>19914</v>
      </c>
      <c r="T913">
        <v>391</v>
      </c>
      <c r="U913" t="s">
        <v>108</v>
      </c>
      <c r="V913">
        <v>44</v>
      </c>
      <c r="W913" t="str">
        <f>HYPERLINK("Gene3404-zp_tree_all.dnd", "Gene3404-tree")</f>
        <v>Gene3404-tree</v>
      </c>
      <c r="X913">
        <v>8</v>
      </c>
      <c r="Y913">
        <v>6</v>
      </c>
      <c r="Z913">
        <v>8</v>
      </c>
      <c r="AA913">
        <v>6</v>
      </c>
      <c r="AB913">
        <v>0.42857000000000001</v>
      </c>
      <c r="AC913" t="s">
        <v>136</v>
      </c>
      <c r="AD913" t="s">
        <v>90</v>
      </c>
      <c r="AE913" t="s">
        <v>62</v>
      </c>
      <c r="AF913" t="s">
        <v>62</v>
      </c>
      <c r="AG913">
        <v>1</v>
      </c>
      <c r="AH913">
        <v>2</v>
      </c>
      <c r="AI913">
        <v>10</v>
      </c>
      <c r="AJ913">
        <v>0.16667000000000001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9</v>
      </c>
      <c r="AT913">
        <v>0</v>
      </c>
      <c r="AU913">
        <v>13</v>
      </c>
      <c r="AV913">
        <v>10</v>
      </c>
      <c r="AW913">
        <v>59</v>
      </c>
      <c r="AX913">
        <v>9</v>
      </c>
      <c r="AY913">
        <v>48</v>
      </c>
      <c r="AZ913">
        <v>4</v>
      </c>
      <c r="BA913" t="s">
        <v>19915</v>
      </c>
      <c r="BB913" t="s">
        <v>19916</v>
      </c>
      <c r="BC913">
        <v>0.55900000000000005</v>
      </c>
      <c r="BD913" t="s">
        <v>65</v>
      </c>
      <c r="BE913">
        <v>107</v>
      </c>
      <c r="BF913">
        <v>13</v>
      </c>
      <c r="BG913" t="s">
        <v>19917</v>
      </c>
      <c r="BH913" t="s">
        <v>19918</v>
      </c>
      <c r="BI913" t="s">
        <v>19919</v>
      </c>
      <c r="BJ913">
        <v>3.6999999999999998E-2</v>
      </c>
      <c r="BK913">
        <v>1</v>
      </c>
      <c r="BL913" t="s">
        <v>69</v>
      </c>
      <c r="BM913">
        <v>-0.437</v>
      </c>
      <c r="BN913">
        <v>-0.78300000000000003</v>
      </c>
    </row>
    <row r="914" spans="2:66">
      <c r="B914">
        <v>1428</v>
      </c>
      <c r="C914">
        <v>96</v>
      </c>
      <c r="D914">
        <v>0</v>
      </c>
      <c r="E914">
        <v>10</v>
      </c>
      <c r="F914">
        <v>1</v>
      </c>
      <c r="J914">
        <v>0</v>
      </c>
      <c r="K914">
        <v>19</v>
      </c>
      <c r="L914">
        <v>3</v>
      </c>
      <c r="M914" t="s">
        <v>25022</v>
      </c>
      <c r="N914">
        <v>3405</v>
      </c>
      <c r="O914" t="s">
        <v>19920</v>
      </c>
      <c r="P914" t="s">
        <v>62</v>
      </c>
      <c r="Q914">
        <v>3370028</v>
      </c>
      <c r="R914">
        <v>3372394</v>
      </c>
      <c r="S914" t="s">
        <v>19921</v>
      </c>
      <c r="T914">
        <v>789</v>
      </c>
      <c r="U914" t="s">
        <v>108</v>
      </c>
      <c r="V914">
        <v>44</v>
      </c>
      <c r="W914" t="str">
        <f>HYPERLINK("Gene3405-zp_tree_all.dnd", "Gene3405-tree")</f>
        <v>Gene3405-tree</v>
      </c>
      <c r="X914">
        <v>17</v>
      </c>
      <c r="Y914">
        <v>15</v>
      </c>
      <c r="Z914">
        <v>2</v>
      </c>
      <c r="AA914">
        <v>15</v>
      </c>
      <c r="AB914">
        <v>0.88234999999999997</v>
      </c>
      <c r="AC914" t="s">
        <v>11148</v>
      </c>
      <c r="AD914" t="s">
        <v>100</v>
      </c>
      <c r="AE914" t="s">
        <v>62</v>
      </c>
      <c r="AF914" t="s">
        <v>62</v>
      </c>
      <c r="AG914">
        <v>8</v>
      </c>
      <c r="AH914">
        <v>22</v>
      </c>
      <c r="AI914">
        <v>21</v>
      </c>
      <c r="AJ914">
        <v>0.51163000000000003</v>
      </c>
      <c r="AK914">
        <v>0</v>
      </c>
      <c r="AL914">
        <v>0</v>
      </c>
      <c r="AM914">
        <v>0</v>
      </c>
      <c r="AN914">
        <v>3</v>
      </c>
      <c r="AO914">
        <v>0</v>
      </c>
      <c r="AP914">
        <v>13</v>
      </c>
      <c r="AQ914">
        <v>2</v>
      </c>
      <c r="AR914">
        <v>15</v>
      </c>
      <c r="AS914">
        <v>15</v>
      </c>
      <c r="AT914">
        <v>0.5</v>
      </c>
      <c r="AU914">
        <v>15</v>
      </c>
      <c r="AV914">
        <v>12</v>
      </c>
      <c r="AW914">
        <v>90</v>
      </c>
      <c r="AX914">
        <v>28</v>
      </c>
      <c r="AY914">
        <v>84</v>
      </c>
      <c r="AZ914">
        <v>15</v>
      </c>
      <c r="BA914" t="s">
        <v>19922</v>
      </c>
      <c r="BB914" t="s">
        <v>19923</v>
      </c>
      <c r="BC914">
        <v>0.85699999999999998</v>
      </c>
      <c r="BD914" t="s">
        <v>65</v>
      </c>
      <c r="BE914">
        <v>174</v>
      </c>
      <c r="BF914">
        <v>43</v>
      </c>
      <c r="BG914" t="s">
        <v>19924</v>
      </c>
      <c r="BH914" t="s">
        <v>19925</v>
      </c>
      <c r="BI914" t="s">
        <v>19926</v>
      </c>
      <c r="BJ914">
        <v>7.1150000000000005E-2</v>
      </c>
      <c r="BK914">
        <v>1</v>
      </c>
      <c r="BL914" t="s">
        <v>69</v>
      </c>
      <c r="BM914">
        <v>-0.33400000000000002</v>
      </c>
      <c r="BN914">
        <v>-0.55200000000000005</v>
      </c>
    </row>
    <row r="915" spans="2:66">
      <c r="B915">
        <v>1429</v>
      </c>
      <c r="C915">
        <v>183</v>
      </c>
      <c r="D915">
        <v>5</v>
      </c>
      <c r="E915">
        <v>0</v>
      </c>
      <c r="F915">
        <v>4</v>
      </c>
      <c r="J915">
        <v>0</v>
      </c>
      <c r="K915">
        <v>8</v>
      </c>
      <c r="L915">
        <v>2</v>
      </c>
      <c r="M915" t="s">
        <v>25022</v>
      </c>
      <c r="N915">
        <v>3407</v>
      </c>
      <c r="O915" t="s">
        <v>19932</v>
      </c>
      <c r="P915" t="s">
        <v>62</v>
      </c>
      <c r="Q915">
        <v>3372743</v>
      </c>
      <c r="R915">
        <v>3373648</v>
      </c>
      <c r="S915" t="s">
        <v>19933</v>
      </c>
      <c r="T915">
        <v>302</v>
      </c>
      <c r="U915" t="s">
        <v>108</v>
      </c>
      <c r="V915">
        <v>44</v>
      </c>
      <c r="W915" t="str">
        <f>HYPERLINK("Gene3407-zp_tree_all.dnd", "Gene3407-tree")</f>
        <v>Gene3407-tree</v>
      </c>
      <c r="X915">
        <v>4</v>
      </c>
      <c r="Y915">
        <v>10</v>
      </c>
      <c r="Z915">
        <v>4</v>
      </c>
      <c r="AA915">
        <v>10</v>
      </c>
      <c r="AB915">
        <v>0.71428999999999998</v>
      </c>
      <c r="AC915" t="s">
        <v>61</v>
      </c>
      <c r="AD915" t="s">
        <v>117</v>
      </c>
      <c r="AE915" t="s">
        <v>62</v>
      </c>
      <c r="AF915" t="s">
        <v>62</v>
      </c>
      <c r="AG915">
        <v>3</v>
      </c>
      <c r="AH915">
        <v>10</v>
      </c>
      <c r="AI915">
        <v>13</v>
      </c>
      <c r="AJ915">
        <v>0.43478</v>
      </c>
      <c r="AK915">
        <v>0</v>
      </c>
      <c r="AL915">
        <v>0</v>
      </c>
      <c r="AM915">
        <v>0</v>
      </c>
      <c r="AN915">
        <v>3</v>
      </c>
      <c r="AO915">
        <v>0</v>
      </c>
      <c r="AP915">
        <v>7</v>
      </c>
      <c r="AQ915">
        <v>2</v>
      </c>
      <c r="AR915">
        <v>9</v>
      </c>
      <c r="AS915">
        <v>8</v>
      </c>
      <c r="AT915">
        <v>0.52941000000000005</v>
      </c>
      <c r="AU915">
        <v>10</v>
      </c>
      <c r="AV915">
        <v>9</v>
      </c>
      <c r="AW915">
        <v>17</v>
      </c>
      <c r="AX915">
        <v>16</v>
      </c>
      <c r="AY915">
        <v>14</v>
      </c>
      <c r="AZ915">
        <v>7</v>
      </c>
      <c r="BA915" t="s">
        <v>19934</v>
      </c>
      <c r="BB915" t="s">
        <v>19935</v>
      </c>
      <c r="BC915">
        <v>0.34699999999999998</v>
      </c>
      <c r="BD915" t="s">
        <v>65</v>
      </c>
      <c r="BE915">
        <v>31</v>
      </c>
      <c r="BF915">
        <v>23</v>
      </c>
      <c r="BG915" t="s">
        <v>19936</v>
      </c>
      <c r="BH915" t="s">
        <v>19937</v>
      </c>
      <c r="BI915" t="s">
        <v>19938</v>
      </c>
      <c r="BJ915">
        <v>0.16228000000000001</v>
      </c>
      <c r="BK915">
        <v>1</v>
      </c>
      <c r="BL915" t="s">
        <v>69</v>
      </c>
      <c r="BM915">
        <v>-0.96199999999999997</v>
      </c>
      <c r="BN915">
        <v>-2.5190000000000001</v>
      </c>
    </row>
    <row r="916" spans="2:66">
      <c r="B916">
        <v>1430</v>
      </c>
      <c r="C916">
        <v>309</v>
      </c>
      <c r="D916">
        <v>0</v>
      </c>
      <c r="E916">
        <v>23</v>
      </c>
      <c r="F916">
        <v>4</v>
      </c>
      <c r="J916">
        <v>0</v>
      </c>
      <c r="K916">
        <v>4</v>
      </c>
      <c r="L916">
        <v>0</v>
      </c>
      <c r="M916" t="s">
        <v>25022</v>
      </c>
      <c r="N916">
        <v>3412</v>
      </c>
      <c r="O916" t="s">
        <v>19966</v>
      </c>
      <c r="P916" t="s">
        <v>62</v>
      </c>
      <c r="Q916">
        <v>3376620</v>
      </c>
      <c r="R916">
        <v>3377000</v>
      </c>
      <c r="S916" t="s">
        <v>19967</v>
      </c>
      <c r="T916">
        <v>127</v>
      </c>
      <c r="U916" t="s">
        <v>108</v>
      </c>
      <c r="V916">
        <v>44</v>
      </c>
      <c r="W916" t="str">
        <f>HYPERLINK("Gene3412-zp_tree_all.dnd", "Gene3412-tree")</f>
        <v>Gene3412-tree</v>
      </c>
      <c r="X916">
        <v>7</v>
      </c>
      <c r="Y916">
        <v>4</v>
      </c>
      <c r="Z916">
        <v>7</v>
      </c>
      <c r="AA916">
        <v>4</v>
      </c>
      <c r="AB916">
        <v>0.36364000000000002</v>
      </c>
      <c r="AC916" t="s">
        <v>152</v>
      </c>
      <c r="AD916" t="s">
        <v>61</v>
      </c>
      <c r="AE916" t="s">
        <v>62</v>
      </c>
      <c r="AF916" t="s">
        <v>62</v>
      </c>
      <c r="AG916">
        <v>2</v>
      </c>
      <c r="AH916">
        <v>4</v>
      </c>
      <c r="AI916">
        <v>3</v>
      </c>
      <c r="AJ916">
        <v>0.57142999999999999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2</v>
      </c>
      <c r="AQ916">
        <v>0</v>
      </c>
      <c r="AR916">
        <v>2</v>
      </c>
      <c r="AS916">
        <v>2</v>
      </c>
      <c r="AT916">
        <v>0.5</v>
      </c>
      <c r="AU916">
        <v>7</v>
      </c>
      <c r="AV916">
        <v>6</v>
      </c>
      <c r="AW916">
        <v>16</v>
      </c>
      <c r="AX916">
        <v>4</v>
      </c>
      <c r="AY916">
        <v>3</v>
      </c>
      <c r="AZ916">
        <v>3</v>
      </c>
      <c r="BA916" t="s">
        <v>19968</v>
      </c>
      <c r="BB916" t="s">
        <v>19969</v>
      </c>
      <c r="BC916">
        <v>0.91</v>
      </c>
      <c r="BD916" t="s">
        <v>65</v>
      </c>
      <c r="BE916">
        <v>19</v>
      </c>
      <c r="BF916">
        <v>7</v>
      </c>
      <c r="BG916" t="s">
        <v>19970</v>
      </c>
      <c r="BH916" t="s">
        <v>19971</v>
      </c>
      <c r="BI916" t="s">
        <v>19972</v>
      </c>
      <c r="BJ916">
        <v>0.11526</v>
      </c>
      <c r="BK916">
        <v>1</v>
      </c>
      <c r="BL916" t="s">
        <v>69</v>
      </c>
      <c r="BM916">
        <v>7.2999999999999995E-2</v>
      </c>
      <c r="BN916">
        <v>-1.0680000000000001</v>
      </c>
    </row>
    <row r="917" spans="2:66">
      <c r="B917">
        <v>1431</v>
      </c>
      <c r="C917">
        <v>8</v>
      </c>
      <c r="D917">
        <v>0</v>
      </c>
      <c r="E917">
        <v>2</v>
      </c>
      <c r="F917">
        <v>3</v>
      </c>
      <c r="J917">
        <v>0</v>
      </c>
      <c r="K917">
        <v>2</v>
      </c>
      <c r="L917">
        <v>2</v>
      </c>
      <c r="M917" t="s">
        <v>25022</v>
      </c>
      <c r="N917">
        <v>3413</v>
      </c>
      <c r="O917" t="s">
        <v>19973</v>
      </c>
      <c r="P917" t="s">
        <v>62</v>
      </c>
      <c r="Q917">
        <v>3377022</v>
      </c>
      <c r="R917">
        <v>3377408</v>
      </c>
      <c r="S917" t="s">
        <v>17716</v>
      </c>
      <c r="T917">
        <v>129</v>
      </c>
      <c r="U917" t="s">
        <v>5228</v>
      </c>
      <c r="V917">
        <v>43</v>
      </c>
      <c r="W917" t="str">
        <f>HYPERLINK("Gene3413-zp_tree_all.dnd", "Gene3413-tree")</f>
        <v>Gene3413-tree</v>
      </c>
      <c r="X917">
        <v>7</v>
      </c>
      <c r="Y917">
        <v>4</v>
      </c>
      <c r="Z917">
        <v>7</v>
      </c>
      <c r="AA917">
        <v>4</v>
      </c>
      <c r="AB917">
        <v>0.36364000000000002</v>
      </c>
      <c r="AC917" t="s">
        <v>152</v>
      </c>
      <c r="AD917" t="s">
        <v>61</v>
      </c>
      <c r="AE917" t="s">
        <v>62</v>
      </c>
      <c r="AF917" t="s">
        <v>62</v>
      </c>
      <c r="AG917">
        <v>2</v>
      </c>
      <c r="AH917">
        <v>4</v>
      </c>
      <c r="AI917">
        <v>7</v>
      </c>
      <c r="AJ917">
        <v>0.36364000000000002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2</v>
      </c>
      <c r="AR917">
        <v>2</v>
      </c>
      <c r="AS917">
        <v>7</v>
      </c>
      <c r="AT917">
        <v>0.22222</v>
      </c>
      <c r="AU917">
        <v>8</v>
      </c>
      <c r="AV917">
        <v>6</v>
      </c>
      <c r="AW917">
        <v>18</v>
      </c>
      <c r="AX917">
        <v>9</v>
      </c>
      <c r="AY917">
        <v>10</v>
      </c>
      <c r="AZ917">
        <v>2</v>
      </c>
      <c r="BA917" t="s">
        <v>19974</v>
      </c>
      <c r="BB917" t="s">
        <v>19975</v>
      </c>
      <c r="BC917">
        <v>0.82299999999999995</v>
      </c>
      <c r="BD917" t="s">
        <v>65</v>
      </c>
      <c r="BE917">
        <v>28</v>
      </c>
      <c r="BF917">
        <v>11</v>
      </c>
      <c r="BG917" t="s">
        <v>19976</v>
      </c>
      <c r="BH917" t="s">
        <v>19977</v>
      </c>
      <c r="BI917" t="s">
        <v>19978</v>
      </c>
      <c r="BJ917">
        <v>0.11402</v>
      </c>
      <c r="BK917">
        <v>1</v>
      </c>
      <c r="BL917" t="s">
        <v>69</v>
      </c>
      <c r="BM917">
        <v>0.63</v>
      </c>
      <c r="BN917">
        <v>-0.63800000000000001</v>
      </c>
    </row>
    <row r="918" spans="2:66">
      <c r="B918">
        <v>1434</v>
      </c>
      <c r="C918">
        <v>57</v>
      </c>
      <c r="D918">
        <v>0</v>
      </c>
      <c r="E918">
        <v>2</v>
      </c>
      <c r="F918">
        <v>2</v>
      </c>
      <c r="J918">
        <v>0</v>
      </c>
      <c r="K918">
        <v>4</v>
      </c>
      <c r="L918">
        <v>4</v>
      </c>
      <c r="M918" t="s">
        <v>25022</v>
      </c>
      <c r="N918">
        <v>3414</v>
      </c>
      <c r="O918" t="s">
        <v>19979</v>
      </c>
      <c r="P918" t="s">
        <v>62</v>
      </c>
      <c r="Q918">
        <v>3377433</v>
      </c>
      <c r="R918">
        <v>3377759</v>
      </c>
      <c r="S918" t="s">
        <v>19980</v>
      </c>
      <c r="T918">
        <v>109</v>
      </c>
      <c r="U918" t="s">
        <v>1392</v>
      </c>
      <c r="V918">
        <v>43</v>
      </c>
      <c r="W918" t="str">
        <f>HYPERLINK("Gene3414-zp_tree_all.dnd", "Gene3414-tree")</f>
        <v>Gene3414-tree</v>
      </c>
      <c r="X918">
        <v>6</v>
      </c>
      <c r="Y918">
        <v>5</v>
      </c>
      <c r="Z918">
        <v>6</v>
      </c>
      <c r="AA918">
        <v>5</v>
      </c>
      <c r="AB918">
        <v>0.45455000000000001</v>
      </c>
      <c r="AC918" t="s">
        <v>90</v>
      </c>
      <c r="AD918" t="s">
        <v>199</v>
      </c>
      <c r="AE918" t="s">
        <v>62</v>
      </c>
      <c r="AF918" t="s">
        <v>62</v>
      </c>
      <c r="AG918">
        <v>4</v>
      </c>
      <c r="AH918">
        <v>8</v>
      </c>
      <c r="AI918">
        <v>10</v>
      </c>
      <c r="AJ918">
        <v>0.44444</v>
      </c>
      <c r="AK918">
        <v>0</v>
      </c>
      <c r="AL918">
        <v>0</v>
      </c>
      <c r="AM918">
        <v>0</v>
      </c>
      <c r="AN918">
        <v>7</v>
      </c>
      <c r="AO918">
        <v>0</v>
      </c>
      <c r="AP918">
        <v>0</v>
      </c>
      <c r="AQ918">
        <v>0</v>
      </c>
      <c r="AR918">
        <v>0</v>
      </c>
      <c r="AS918">
        <v>7</v>
      </c>
      <c r="AT918">
        <v>0</v>
      </c>
      <c r="AU918">
        <v>8</v>
      </c>
      <c r="AV918">
        <v>5</v>
      </c>
      <c r="AW918">
        <v>5</v>
      </c>
      <c r="AX918">
        <v>7</v>
      </c>
      <c r="AY918">
        <v>2</v>
      </c>
      <c r="AZ918">
        <v>11</v>
      </c>
      <c r="BA918" t="s">
        <v>19981</v>
      </c>
      <c r="BB918" t="s">
        <v>19982</v>
      </c>
      <c r="BC918">
        <v>0.314</v>
      </c>
      <c r="BD918" t="s">
        <v>65</v>
      </c>
      <c r="BE918">
        <v>7</v>
      </c>
      <c r="BF918">
        <v>18</v>
      </c>
      <c r="BG918" t="s">
        <v>19983</v>
      </c>
      <c r="BH918" t="s">
        <v>19984</v>
      </c>
      <c r="BI918" t="s">
        <v>19985</v>
      </c>
      <c r="BJ918">
        <v>0.96067000000000002</v>
      </c>
      <c r="BK918">
        <v>0.35399999999999998</v>
      </c>
      <c r="BL918" t="s">
        <v>635</v>
      </c>
      <c r="BM918">
        <v>0.25800000000000001</v>
      </c>
      <c r="BN918">
        <v>0.72199999999999998</v>
      </c>
    </row>
    <row r="919" spans="2:66">
      <c r="B919">
        <v>1438</v>
      </c>
      <c r="C919">
        <v>95</v>
      </c>
      <c r="D919">
        <v>0</v>
      </c>
      <c r="E919">
        <v>7</v>
      </c>
      <c r="F919">
        <v>0</v>
      </c>
      <c r="J919">
        <v>0</v>
      </c>
      <c r="K919">
        <v>0</v>
      </c>
      <c r="L919">
        <v>0</v>
      </c>
      <c r="M919" t="s">
        <v>25022</v>
      </c>
      <c r="N919">
        <v>3416</v>
      </c>
      <c r="O919" t="s">
        <v>19993</v>
      </c>
      <c r="P919" t="s">
        <v>62</v>
      </c>
      <c r="Q919">
        <v>3378803</v>
      </c>
      <c r="R919">
        <v>3379087</v>
      </c>
      <c r="S919" t="s">
        <v>116</v>
      </c>
      <c r="T919">
        <v>95</v>
      </c>
      <c r="U919" t="s">
        <v>19994</v>
      </c>
      <c r="V919">
        <v>39</v>
      </c>
      <c r="W919" t="str">
        <f>HYPERLINK("Gene3416-zp_tree_all.dnd", "Gene3416-tree")</f>
        <v>Gene3416-tree</v>
      </c>
      <c r="X919">
        <v>7</v>
      </c>
      <c r="Y919">
        <v>6</v>
      </c>
      <c r="Z919">
        <v>7</v>
      </c>
      <c r="AA919">
        <v>6</v>
      </c>
      <c r="AB919">
        <v>0.46154000000000001</v>
      </c>
      <c r="AC919" t="s">
        <v>152</v>
      </c>
      <c r="AD919" t="s">
        <v>90</v>
      </c>
      <c r="AE919" t="s">
        <v>62</v>
      </c>
      <c r="AF919" t="s">
        <v>62</v>
      </c>
      <c r="AG919">
        <v>0</v>
      </c>
      <c r="AH919">
        <v>0</v>
      </c>
      <c r="AI919">
        <v>10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7</v>
      </c>
      <c r="AT919">
        <v>0</v>
      </c>
      <c r="AU919">
        <v>10</v>
      </c>
      <c r="AV919">
        <v>7</v>
      </c>
      <c r="AW919">
        <v>7</v>
      </c>
      <c r="AX919">
        <v>7</v>
      </c>
      <c r="AY919">
        <v>12</v>
      </c>
      <c r="AZ919">
        <v>3</v>
      </c>
      <c r="BA919" t="s">
        <v>19995</v>
      </c>
      <c r="BB919" t="s">
        <v>19996</v>
      </c>
      <c r="BC919">
        <v>0.95299999999999996</v>
      </c>
      <c r="BD919" t="s">
        <v>65</v>
      </c>
      <c r="BE919">
        <v>19</v>
      </c>
      <c r="BF919">
        <v>10</v>
      </c>
      <c r="BG919" t="s">
        <v>19997</v>
      </c>
      <c r="BH919" t="s">
        <v>19998</v>
      </c>
      <c r="BI919" t="s">
        <v>19999</v>
      </c>
      <c r="BJ919">
        <v>0.11314</v>
      </c>
      <c r="BK919">
        <v>1</v>
      </c>
      <c r="BL919" t="s">
        <v>69</v>
      </c>
      <c r="BM919">
        <v>-1.2929999999999999</v>
      </c>
      <c r="BN919">
        <v>-1.976</v>
      </c>
    </row>
    <row r="920" spans="2:66">
      <c r="B920">
        <v>1439</v>
      </c>
      <c r="C920">
        <v>17</v>
      </c>
      <c r="D920">
        <v>0</v>
      </c>
      <c r="E920">
        <v>6</v>
      </c>
      <c r="F920">
        <v>1</v>
      </c>
      <c r="J920">
        <v>0</v>
      </c>
      <c r="K920">
        <v>0</v>
      </c>
      <c r="L920">
        <v>4</v>
      </c>
      <c r="M920" t="s">
        <v>25022</v>
      </c>
      <c r="N920">
        <v>3417</v>
      </c>
      <c r="O920" t="s">
        <v>20000</v>
      </c>
      <c r="P920" t="s">
        <v>62</v>
      </c>
      <c r="Q920">
        <v>3379115</v>
      </c>
      <c r="R920">
        <v>3379939</v>
      </c>
      <c r="S920" t="s">
        <v>20001</v>
      </c>
      <c r="T920">
        <v>275</v>
      </c>
      <c r="U920" t="s">
        <v>59</v>
      </c>
      <c r="V920">
        <v>49</v>
      </c>
      <c r="W920" t="str">
        <f>HYPERLINK("Gene3417-zp_tree_all.dnd", "Gene3417-tree")</f>
        <v>Gene3417-tree</v>
      </c>
      <c r="X920">
        <v>13</v>
      </c>
      <c r="Y920">
        <v>4</v>
      </c>
      <c r="Z920">
        <v>13</v>
      </c>
      <c r="AA920">
        <v>4</v>
      </c>
      <c r="AB920">
        <v>0.23529</v>
      </c>
      <c r="AC920" t="s">
        <v>507</v>
      </c>
      <c r="AD920" t="s">
        <v>61</v>
      </c>
      <c r="AE920" t="s">
        <v>62</v>
      </c>
      <c r="AF920" t="s">
        <v>62</v>
      </c>
      <c r="AG920">
        <v>2</v>
      </c>
      <c r="AH920">
        <v>4</v>
      </c>
      <c r="AI920">
        <v>4</v>
      </c>
      <c r="AJ920">
        <v>0.5</v>
      </c>
      <c r="AK920">
        <v>0</v>
      </c>
      <c r="AL920">
        <v>0</v>
      </c>
      <c r="AM920">
        <v>0</v>
      </c>
      <c r="AN920">
        <v>2</v>
      </c>
      <c r="AO920">
        <v>0</v>
      </c>
      <c r="AP920">
        <v>0</v>
      </c>
      <c r="AQ920">
        <v>0</v>
      </c>
      <c r="AR920">
        <v>0</v>
      </c>
      <c r="AS920">
        <v>4</v>
      </c>
      <c r="AT920">
        <v>0</v>
      </c>
      <c r="AU920">
        <v>14</v>
      </c>
      <c r="AV920">
        <v>12</v>
      </c>
      <c r="AW920">
        <v>41</v>
      </c>
      <c r="AX920">
        <v>4</v>
      </c>
      <c r="AY920">
        <v>57</v>
      </c>
      <c r="AZ920">
        <v>4</v>
      </c>
      <c r="BA920" t="s">
        <v>20002</v>
      </c>
      <c r="BB920" t="s">
        <v>20003</v>
      </c>
      <c r="BC920">
        <v>0.28199999999999997</v>
      </c>
      <c r="BD920" t="s">
        <v>65</v>
      </c>
      <c r="BE920">
        <v>98</v>
      </c>
      <c r="BF920">
        <v>8</v>
      </c>
      <c r="BG920" t="s">
        <v>20004</v>
      </c>
      <c r="BH920" t="s">
        <v>20005</v>
      </c>
      <c r="BI920" t="s">
        <v>20006</v>
      </c>
      <c r="BJ920">
        <v>2.69E-2</v>
      </c>
      <c r="BK920">
        <v>1</v>
      </c>
      <c r="BL920" t="s">
        <v>69</v>
      </c>
      <c r="BM920">
        <v>-1.292</v>
      </c>
      <c r="BN920">
        <v>-0.36299999999999999</v>
      </c>
    </row>
    <row r="921" spans="2:66">
      <c r="B921">
        <v>1440</v>
      </c>
      <c r="C921">
        <v>433</v>
      </c>
      <c r="D921">
        <v>0</v>
      </c>
      <c r="E921">
        <v>12</v>
      </c>
      <c r="F921">
        <v>0</v>
      </c>
      <c r="J921">
        <v>0</v>
      </c>
      <c r="K921">
        <v>0</v>
      </c>
      <c r="L921">
        <v>0</v>
      </c>
      <c r="M921" t="s">
        <v>25022</v>
      </c>
      <c r="N921">
        <v>3418</v>
      </c>
      <c r="O921" t="s">
        <v>20007</v>
      </c>
      <c r="P921" t="s">
        <v>62</v>
      </c>
      <c r="Q921">
        <v>3380160</v>
      </c>
      <c r="R921">
        <v>3380594</v>
      </c>
      <c r="S921" t="s">
        <v>20008</v>
      </c>
      <c r="T921">
        <v>145</v>
      </c>
      <c r="U921" t="s">
        <v>108</v>
      </c>
      <c r="V921">
        <v>44</v>
      </c>
      <c r="W921" t="str">
        <f>HYPERLINK("Gene3418-zp_tree_all.dnd", "Gene3418-tree")</f>
        <v>Gene3418-tree</v>
      </c>
      <c r="X921">
        <v>6</v>
      </c>
      <c r="Y921">
        <v>3</v>
      </c>
      <c r="Z921">
        <v>6</v>
      </c>
      <c r="AA921">
        <v>3</v>
      </c>
      <c r="AB921">
        <v>0.33333000000000002</v>
      </c>
      <c r="AC921" t="s">
        <v>90</v>
      </c>
      <c r="AD921" t="s">
        <v>324</v>
      </c>
      <c r="AE921" t="s">
        <v>62</v>
      </c>
      <c r="AF921" t="s">
        <v>62</v>
      </c>
      <c r="AG921">
        <v>0</v>
      </c>
      <c r="AH921">
        <v>0</v>
      </c>
      <c r="AI921">
        <v>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3</v>
      </c>
      <c r="AT921">
        <v>0</v>
      </c>
      <c r="AU921">
        <v>7</v>
      </c>
      <c r="AV921">
        <v>2</v>
      </c>
      <c r="AW921">
        <v>11</v>
      </c>
      <c r="AX921">
        <v>3</v>
      </c>
      <c r="AY921">
        <v>3</v>
      </c>
      <c r="AZ921">
        <v>2</v>
      </c>
      <c r="BA921" t="s">
        <v>20009</v>
      </c>
      <c r="BB921" t="s">
        <v>20010</v>
      </c>
      <c r="BC921">
        <v>0.71199999999999997</v>
      </c>
      <c r="BD921" t="s">
        <v>65</v>
      </c>
      <c r="BE921">
        <v>14</v>
      </c>
      <c r="BF921">
        <v>5</v>
      </c>
      <c r="BG921" t="s">
        <v>20011</v>
      </c>
      <c r="BH921" t="s">
        <v>20012</v>
      </c>
      <c r="BI921" t="s">
        <v>20013</v>
      </c>
      <c r="BJ921">
        <v>0.11991</v>
      </c>
      <c r="BK921">
        <v>1</v>
      </c>
      <c r="BL921" t="s">
        <v>69</v>
      </c>
      <c r="BM921">
        <v>0.58499999999999996</v>
      </c>
      <c r="BN921">
        <v>-0.29599999999999999</v>
      </c>
    </row>
    <row r="922" spans="2:66">
      <c r="B922">
        <v>1441</v>
      </c>
      <c r="C922">
        <v>348</v>
      </c>
      <c r="D922">
        <v>0</v>
      </c>
      <c r="E922">
        <v>4</v>
      </c>
      <c r="F922">
        <v>0</v>
      </c>
      <c r="J922">
        <v>0</v>
      </c>
      <c r="K922">
        <v>3</v>
      </c>
      <c r="L922">
        <v>0</v>
      </c>
      <c r="M922" t="s">
        <v>25022</v>
      </c>
      <c r="N922">
        <v>3423</v>
      </c>
      <c r="O922" t="s">
        <v>20028</v>
      </c>
      <c r="P922" t="s">
        <v>62</v>
      </c>
      <c r="Q922">
        <v>3384073</v>
      </c>
      <c r="R922">
        <v>3385446</v>
      </c>
      <c r="S922" t="s">
        <v>20029</v>
      </c>
      <c r="T922">
        <v>458</v>
      </c>
      <c r="U922" t="s">
        <v>108</v>
      </c>
      <c r="V922">
        <v>44</v>
      </c>
      <c r="W922" t="str">
        <f>HYPERLINK("Gene3423-zp_tree_all.dnd", "Gene3423-tree")</f>
        <v>Gene3423-tree</v>
      </c>
      <c r="X922">
        <v>24</v>
      </c>
      <c r="Y922">
        <v>9</v>
      </c>
      <c r="Z922">
        <v>4</v>
      </c>
      <c r="AA922">
        <v>9</v>
      </c>
      <c r="AB922">
        <v>0.69230999999999998</v>
      </c>
      <c r="AC922" t="s">
        <v>1495</v>
      </c>
      <c r="AD922" t="s">
        <v>135</v>
      </c>
      <c r="AE922" t="s">
        <v>62</v>
      </c>
      <c r="AF922" t="s">
        <v>62</v>
      </c>
      <c r="AG922">
        <v>1</v>
      </c>
      <c r="AH922">
        <v>3</v>
      </c>
      <c r="AI922">
        <v>14</v>
      </c>
      <c r="AJ922">
        <v>0.17646999999999999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3</v>
      </c>
      <c r="AQ922">
        <v>0</v>
      </c>
      <c r="AR922">
        <v>3</v>
      </c>
      <c r="AS922">
        <v>10</v>
      </c>
      <c r="AT922">
        <v>0.23077</v>
      </c>
      <c r="AU922">
        <v>12</v>
      </c>
      <c r="AV922">
        <v>9</v>
      </c>
      <c r="AW922">
        <v>40</v>
      </c>
      <c r="AX922">
        <v>13</v>
      </c>
      <c r="AY922">
        <v>20</v>
      </c>
      <c r="AZ922">
        <v>4</v>
      </c>
      <c r="BA922" t="s">
        <v>20030</v>
      </c>
      <c r="BB922" t="s">
        <v>20031</v>
      </c>
      <c r="BC922">
        <v>0.79100000000000004</v>
      </c>
      <c r="BD922" t="s">
        <v>65</v>
      </c>
      <c r="BE922">
        <v>60</v>
      </c>
      <c r="BF922">
        <v>17</v>
      </c>
      <c r="BG922" t="s">
        <v>20032</v>
      </c>
      <c r="BH922" t="s">
        <v>20033</v>
      </c>
      <c r="BI922" t="s">
        <v>20034</v>
      </c>
      <c r="BJ922">
        <v>8.4129999999999996E-2</v>
      </c>
      <c r="BK922">
        <v>1</v>
      </c>
      <c r="BL922" t="s">
        <v>69</v>
      </c>
      <c r="BM922">
        <v>-0.26200000000000001</v>
      </c>
      <c r="BN922">
        <v>-1.3160000000000001</v>
      </c>
    </row>
    <row r="923" spans="2:66">
      <c r="B923">
        <v>1442</v>
      </c>
      <c r="C923">
        <v>145</v>
      </c>
      <c r="D923">
        <v>0</v>
      </c>
      <c r="E923">
        <v>8</v>
      </c>
      <c r="F923">
        <v>0</v>
      </c>
      <c r="J923">
        <v>0</v>
      </c>
      <c r="K923">
        <v>0</v>
      </c>
      <c r="L923">
        <v>0</v>
      </c>
      <c r="M923" t="s">
        <v>25022</v>
      </c>
      <c r="N923">
        <v>3426</v>
      </c>
      <c r="O923" t="s">
        <v>20048</v>
      </c>
      <c r="P923" t="s">
        <v>62</v>
      </c>
      <c r="Q923">
        <v>3387784</v>
      </c>
      <c r="R923">
        <v>3387945</v>
      </c>
      <c r="S923" t="s">
        <v>20049</v>
      </c>
      <c r="T923">
        <v>54</v>
      </c>
      <c r="U923" t="s">
        <v>59</v>
      </c>
      <c r="V923">
        <v>49</v>
      </c>
      <c r="W923" t="str">
        <f>HYPERLINK("Gene3426-zp_tree_all.dnd", "Gene3426-tree")</f>
        <v>Gene3426-tree</v>
      </c>
      <c r="X923">
        <v>41</v>
      </c>
      <c r="Y923">
        <v>0</v>
      </c>
      <c r="Z923">
        <v>5</v>
      </c>
      <c r="AA923">
        <v>0</v>
      </c>
      <c r="AB923">
        <v>0</v>
      </c>
      <c r="AC923" t="s">
        <v>12753</v>
      </c>
      <c r="AD923" t="s">
        <v>62</v>
      </c>
      <c r="AE923" t="s">
        <v>62</v>
      </c>
      <c r="AF923" t="s">
        <v>62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4</v>
      </c>
      <c r="AV923">
        <v>0</v>
      </c>
      <c r="AW923">
        <v>5</v>
      </c>
      <c r="AX923">
        <v>0</v>
      </c>
      <c r="AY923">
        <v>0</v>
      </c>
      <c r="AZ923">
        <v>0</v>
      </c>
      <c r="BA923" t="s">
        <v>193</v>
      </c>
      <c r="BB923" t="s">
        <v>193</v>
      </c>
      <c r="BC923">
        <v>0</v>
      </c>
      <c r="BD923" t="s">
        <v>65</v>
      </c>
      <c r="BE923">
        <v>5</v>
      </c>
      <c r="BF923">
        <v>0</v>
      </c>
      <c r="BG923" t="s">
        <v>20050</v>
      </c>
      <c r="BH923" t="s">
        <v>20051</v>
      </c>
      <c r="BI923" t="s">
        <v>193</v>
      </c>
      <c r="BJ923">
        <v>0</v>
      </c>
      <c r="BK923">
        <v>1</v>
      </c>
      <c r="BL923" t="s">
        <v>69</v>
      </c>
      <c r="BM923">
        <v>-1.282</v>
      </c>
      <c r="BN923">
        <v>0.13900000000000001</v>
      </c>
    </row>
    <row r="924" spans="2:66">
      <c r="B924">
        <v>1443</v>
      </c>
      <c r="C924">
        <v>80</v>
      </c>
      <c r="D924">
        <v>0</v>
      </c>
      <c r="E924">
        <v>4</v>
      </c>
      <c r="F924">
        <v>0</v>
      </c>
      <c r="J924">
        <v>0</v>
      </c>
      <c r="K924">
        <v>0</v>
      </c>
      <c r="L924">
        <v>0</v>
      </c>
      <c r="M924" t="s">
        <v>25022</v>
      </c>
      <c r="N924">
        <v>3428</v>
      </c>
      <c r="O924" t="s">
        <v>20058</v>
      </c>
      <c r="P924" t="s">
        <v>62</v>
      </c>
      <c r="Q924">
        <v>3389027</v>
      </c>
      <c r="R924">
        <v>3390412</v>
      </c>
      <c r="S924" t="s">
        <v>20059</v>
      </c>
      <c r="T924">
        <v>462</v>
      </c>
      <c r="U924" t="s">
        <v>59</v>
      </c>
      <c r="V924">
        <v>49</v>
      </c>
      <c r="W924" t="str">
        <f>HYPERLINK("Gene3428-zp_tree_all.dnd", "Gene3428-tree")</f>
        <v>Gene3428-tree</v>
      </c>
      <c r="X924">
        <v>14</v>
      </c>
      <c r="Y924">
        <v>3</v>
      </c>
      <c r="Z924">
        <v>14</v>
      </c>
      <c r="AA924">
        <v>3</v>
      </c>
      <c r="AB924">
        <v>0.17646999999999999</v>
      </c>
      <c r="AC924" t="s">
        <v>543</v>
      </c>
      <c r="AD924" t="s">
        <v>324</v>
      </c>
      <c r="AE924" t="s">
        <v>62</v>
      </c>
      <c r="AF924" t="s">
        <v>62</v>
      </c>
      <c r="AG924">
        <v>0</v>
      </c>
      <c r="AH924">
        <v>0</v>
      </c>
      <c r="AI924">
        <v>6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</v>
      </c>
      <c r="AT924">
        <v>0</v>
      </c>
      <c r="AU924">
        <v>15</v>
      </c>
      <c r="AV924">
        <v>12</v>
      </c>
      <c r="AW924">
        <v>75</v>
      </c>
      <c r="AX924">
        <v>3</v>
      </c>
      <c r="AY924">
        <v>89</v>
      </c>
      <c r="AZ924">
        <v>3</v>
      </c>
      <c r="BA924" t="s">
        <v>20060</v>
      </c>
      <c r="BB924" t="s">
        <v>20061</v>
      </c>
      <c r="BC924">
        <v>8.4000000000000005E-2</v>
      </c>
      <c r="BD924" t="s">
        <v>65</v>
      </c>
      <c r="BE924">
        <v>164</v>
      </c>
      <c r="BF924">
        <v>6</v>
      </c>
      <c r="BG924" t="s">
        <v>20062</v>
      </c>
      <c r="BH924" t="s">
        <v>20063</v>
      </c>
      <c r="BI924" t="s">
        <v>20064</v>
      </c>
      <c r="BJ924">
        <v>1.1169999999999999E-2</v>
      </c>
      <c r="BK924">
        <v>1</v>
      </c>
      <c r="BL924" t="s">
        <v>69</v>
      </c>
      <c r="BM924">
        <v>-1.407</v>
      </c>
      <c r="BN924">
        <v>-1.117</v>
      </c>
    </row>
    <row r="925" spans="2:66">
      <c r="B925">
        <v>1444</v>
      </c>
      <c r="C925">
        <v>557</v>
      </c>
      <c r="D925">
        <v>0</v>
      </c>
      <c r="E925">
        <v>4</v>
      </c>
      <c r="F925">
        <v>1</v>
      </c>
      <c r="J925">
        <v>0</v>
      </c>
      <c r="K925">
        <v>0</v>
      </c>
      <c r="L925">
        <v>0</v>
      </c>
      <c r="M925" t="s">
        <v>25022</v>
      </c>
      <c r="N925">
        <v>3429</v>
      </c>
      <c r="O925" t="s">
        <v>20065</v>
      </c>
      <c r="P925" t="s">
        <v>62</v>
      </c>
      <c r="Q925">
        <v>3390482</v>
      </c>
      <c r="R925">
        <v>3390664</v>
      </c>
      <c r="S925" t="s">
        <v>116</v>
      </c>
      <c r="T925">
        <v>61</v>
      </c>
      <c r="U925" t="s">
        <v>59</v>
      </c>
      <c r="V925">
        <v>49</v>
      </c>
      <c r="W925" t="str">
        <f>HYPERLINK("Gene3429-zp_tree_all.dnd", "Gene3429-tree")</f>
        <v>Gene3429-tree</v>
      </c>
      <c r="X925">
        <v>5</v>
      </c>
      <c r="Y925">
        <v>4</v>
      </c>
      <c r="Z925">
        <v>5</v>
      </c>
      <c r="AA925">
        <v>4</v>
      </c>
      <c r="AB925">
        <v>0.44444</v>
      </c>
      <c r="AC925" t="s">
        <v>199</v>
      </c>
      <c r="AD925" t="s">
        <v>61</v>
      </c>
      <c r="AE925" t="s">
        <v>62</v>
      </c>
      <c r="AF925" t="s">
        <v>62</v>
      </c>
      <c r="AG925">
        <v>0</v>
      </c>
      <c r="AH925">
        <v>0</v>
      </c>
      <c r="AI925">
        <v>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4</v>
      </c>
      <c r="AT925">
        <v>0</v>
      </c>
      <c r="AU925">
        <v>6</v>
      </c>
      <c r="AV925">
        <v>5</v>
      </c>
      <c r="AW925">
        <v>4</v>
      </c>
      <c r="AX925">
        <v>4</v>
      </c>
      <c r="AY925">
        <v>8</v>
      </c>
      <c r="AZ925">
        <v>0</v>
      </c>
      <c r="BA925" t="s">
        <v>20066</v>
      </c>
      <c r="BB925" t="s">
        <v>193</v>
      </c>
      <c r="BC925">
        <v>2.4489999999999998</v>
      </c>
      <c r="BD925" t="s">
        <v>267</v>
      </c>
      <c r="BE925">
        <v>12</v>
      </c>
      <c r="BF925">
        <v>4</v>
      </c>
      <c r="BG925" t="s">
        <v>20067</v>
      </c>
      <c r="BH925" t="s">
        <v>20068</v>
      </c>
      <c r="BI925" t="s">
        <v>20069</v>
      </c>
      <c r="BJ925">
        <v>5.305E-2</v>
      </c>
      <c r="BK925">
        <v>1</v>
      </c>
      <c r="BL925" t="s">
        <v>69</v>
      </c>
      <c r="BM925">
        <v>-5.6000000000000001E-2</v>
      </c>
      <c r="BN925">
        <v>9.9000000000000005E-2</v>
      </c>
    </row>
    <row r="926" spans="2:66">
      <c r="B926">
        <v>1445</v>
      </c>
      <c r="C926">
        <v>66</v>
      </c>
      <c r="D926">
        <v>0</v>
      </c>
      <c r="E926">
        <v>0</v>
      </c>
      <c r="F926">
        <v>2</v>
      </c>
      <c r="J926">
        <v>0</v>
      </c>
      <c r="K926">
        <v>4</v>
      </c>
      <c r="L926">
        <v>0</v>
      </c>
      <c r="M926" t="s">
        <v>25022</v>
      </c>
      <c r="N926">
        <v>3433</v>
      </c>
      <c r="O926" t="s">
        <v>20091</v>
      </c>
      <c r="P926" t="s">
        <v>62</v>
      </c>
      <c r="Q926">
        <v>3394425</v>
      </c>
      <c r="R926">
        <v>3395057</v>
      </c>
      <c r="S926" t="s">
        <v>20092</v>
      </c>
      <c r="T926">
        <v>211</v>
      </c>
      <c r="U926" t="s">
        <v>108</v>
      </c>
      <c r="V926">
        <v>44</v>
      </c>
      <c r="W926" t="str">
        <f>HYPERLINK("Gene3433-zp_tree_all.dnd", "Gene3433-tree")</f>
        <v>Gene3433-tree</v>
      </c>
      <c r="X926">
        <v>30</v>
      </c>
      <c r="Y926">
        <v>5</v>
      </c>
      <c r="Z926">
        <v>6</v>
      </c>
      <c r="AA926">
        <v>5</v>
      </c>
      <c r="AB926">
        <v>0.45455000000000001</v>
      </c>
      <c r="AC926" t="s">
        <v>12716</v>
      </c>
      <c r="AD926" t="s">
        <v>199</v>
      </c>
      <c r="AE926" t="s">
        <v>62</v>
      </c>
      <c r="AF926" t="s">
        <v>62</v>
      </c>
      <c r="AG926">
        <v>2</v>
      </c>
      <c r="AH926">
        <v>4</v>
      </c>
      <c r="AI926">
        <v>7</v>
      </c>
      <c r="AJ926">
        <v>0.36364000000000002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9</v>
      </c>
      <c r="AT926">
        <v>0</v>
      </c>
      <c r="AU926">
        <v>8</v>
      </c>
      <c r="AV926">
        <v>7</v>
      </c>
      <c r="AW926">
        <v>15</v>
      </c>
      <c r="AX926">
        <v>6</v>
      </c>
      <c r="AY926">
        <v>7</v>
      </c>
      <c r="AZ926">
        <v>5</v>
      </c>
      <c r="BA926" t="s">
        <v>20093</v>
      </c>
      <c r="BB926" t="s">
        <v>20094</v>
      </c>
      <c r="BC926">
        <v>0.51800000000000002</v>
      </c>
      <c r="BD926" t="s">
        <v>65</v>
      </c>
      <c r="BE926">
        <v>22</v>
      </c>
      <c r="BF926">
        <v>11</v>
      </c>
      <c r="BG926" t="s">
        <v>20095</v>
      </c>
      <c r="BH926" t="s">
        <v>20096</v>
      </c>
      <c r="BI926" t="s">
        <v>20097</v>
      </c>
      <c r="BJ926">
        <v>0.13447000000000001</v>
      </c>
      <c r="BK926">
        <v>1</v>
      </c>
      <c r="BL926" t="s">
        <v>69</v>
      </c>
      <c r="BM926">
        <v>-0.93500000000000005</v>
      </c>
      <c r="BN926">
        <v>-2.2810000000000001</v>
      </c>
    </row>
    <row r="927" spans="2:66">
      <c r="B927">
        <v>1448</v>
      </c>
      <c r="C927">
        <v>27</v>
      </c>
      <c r="D927">
        <v>0</v>
      </c>
      <c r="E927">
        <v>5</v>
      </c>
      <c r="F927">
        <v>0</v>
      </c>
      <c r="J927">
        <v>0</v>
      </c>
      <c r="K927">
        <v>9</v>
      </c>
      <c r="L927">
        <v>0</v>
      </c>
      <c r="M927" t="s">
        <v>25022</v>
      </c>
      <c r="N927">
        <v>3434</v>
      </c>
      <c r="O927" t="s">
        <v>20098</v>
      </c>
      <c r="P927" t="s">
        <v>62</v>
      </c>
      <c r="Q927">
        <v>3395038</v>
      </c>
      <c r="R927">
        <v>3396117</v>
      </c>
      <c r="S927" t="s">
        <v>20099</v>
      </c>
      <c r="T927">
        <v>360</v>
      </c>
      <c r="U927" t="s">
        <v>108</v>
      </c>
      <c r="V927">
        <v>44</v>
      </c>
      <c r="W927" t="str">
        <f>HYPERLINK("Gene3434-zp_tree_all.dnd", "Gene3434-tree")</f>
        <v>Gene3434-tree</v>
      </c>
      <c r="X927">
        <v>27</v>
      </c>
      <c r="Y927">
        <v>7</v>
      </c>
      <c r="Z927">
        <v>6</v>
      </c>
      <c r="AA927">
        <v>7</v>
      </c>
      <c r="AB927">
        <v>0.53846000000000005</v>
      </c>
      <c r="AC927" t="s">
        <v>1055</v>
      </c>
      <c r="AD927" t="s">
        <v>152</v>
      </c>
      <c r="AE927" t="s">
        <v>62</v>
      </c>
      <c r="AF927" t="s">
        <v>62</v>
      </c>
      <c r="AG927">
        <v>3</v>
      </c>
      <c r="AH927">
        <v>9</v>
      </c>
      <c r="AI927">
        <v>4</v>
      </c>
      <c r="AJ927">
        <v>0.69230999999999998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6</v>
      </c>
      <c r="AQ927">
        <v>0</v>
      </c>
      <c r="AR927">
        <v>6</v>
      </c>
      <c r="AS927">
        <v>4</v>
      </c>
      <c r="AT927">
        <v>0.6</v>
      </c>
      <c r="AU927">
        <v>11</v>
      </c>
      <c r="AV927">
        <v>9</v>
      </c>
      <c r="AW927">
        <v>45</v>
      </c>
      <c r="AX927">
        <v>10</v>
      </c>
      <c r="AY927">
        <v>30</v>
      </c>
      <c r="AZ927">
        <v>3</v>
      </c>
      <c r="BA927" t="s">
        <v>20100</v>
      </c>
      <c r="BB927" t="s">
        <v>20101</v>
      </c>
      <c r="BC927">
        <v>0.78800000000000003</v>
      </c>
      <c r="BD927" t="s">
        <v>65</v>
      </c>
      <c r="BE927">
        <v>75</v>
      </c>
      <c r="BF927">
        <v>13</v>
      </c>
      <c r="BG927" t="s">
        <v>20102</v>
      </c>
      <c r="BH927" t="s">
        <v>20103</v>
      </c>
      <c r="BI927" t="s">
        <v>20104</v>
      </c>
      <c r="BJ927">
        <v>3.8980000000000001E-2</v>
      </c>
      <c r="BK927">
        <v>1</v>
      </c>
      <c r="BL927" t="s">
        <v>69</v>
      </c>
      <c r="BM927">
        <v>-0.85399999999999998</v>
      </c>
      <c r="BN927">
        <v>-1.1140000000000001</v>
      </c>
    </row>
    <row r="928" spans="2:66">
      <c r="B928">
        <v>1449</v>
      </c>
      <c r="C928">
        <v>36</v>
      </c>
      <c r="D928">
        <v>0</v>
      </c>
      <c r="E928">
        <v>12</v>
      </c>
      <c r="F928">
        <v>4</v>
      </c>
      <c r="J928">
        <v>0</v>
      </c>
      <c r="K928">
        <v>8</v>
      </c>
      <c r="L928">
        <v>0</v>
      </c>
      <c r="M928" t="s">
        <v>25022</v>
      </c>
      <c r="N928">
        <v>3435</v>
      </c>
      <c r="O928" t="s">
        <v>20105</v>
      </c>
      <c r="P928" t="s">
        <v>62</v>
      </c>
      <c r="Q928">
        <v>3396117</v>
      </c>
      <c r="R928">
        <v>3396839</v>
      </c>
      <c r="S928" t="s">
        <v>20106</v>
      </c>
      <c r="T928">
        <v>241</v>
      </c>
      <c r="U928" t="s">
        <v>108</v>
      </c>
      <c r="V928">
        <v>44</v>
      </c>
      <c r="W928" t="str">
        <f>HYPERLINK("Gene3435-zp_tree_all.dnd", "Gene3435-tree")</f>
        <v>Gene3435-tree</v>
      </c>
      <c r="X928">
        <v>7</v>
      </c>
      <c r="Y928">
        <v>7</v>
      </c>
      <c r="Z928">
        <v>7</v>
      </c>
      <c r="AA928">
        <v>7</v>
      </c>
      <c r="AB928">
        <v>0.5</v>
      </c>
      <c r="AC928" t="s">
        <v>152</v>
      </c>
      <c r="AD928" t="s">
        <v>152</v>
      </c>
      <c r="AE928" t="s">
        <v>62</v>
      </c>
      <c r="AF928" t="s">
        <v>62</v>
      </c>
      <c r="AG928">
        <v>3</v>
      </c>
      <c r="AH928">
        <v>8</v>
      </c>
      <c r="AI928">
        <v>4</v>
      </c>
      <c r="AJ928">
        <v>0.66666999999999998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4</v>
      </c>
      <c r="AQ928">
        <v>0</v>
      </c>
      <c r="AR928">
        <v>4</v>
      </c>
      <c r="AS928">
        <v>4</v>
      </c>
      <c r="AT928">
        <v>0.5</v>
      </c>
      <c r="AU928">
        <v>13</v>
      </c>
      <c r="AV928">
        <v>10</v>
      </c>
      <c r="AW928">
        <v>24</v>
      </c>
      <c r="AX928">
        <v>7</v>
      </c>
      <c r="AY928">
        <v>24</v>
      </c>
      <c r="AZ928">
        <v>5</v>
      </c>
      <c r="BA928" t="s">
        <v>20107</v>
      </c>
      <c r="BB928" t="s">
        <v>20108</v>
      </c>
      <c r="BC928">
        <v>0.45700000000000002</v>
      </c>
      <c r="BD928" t="s">
        <v>65</v>
      </c>
      <c r="BE928">
        <v>48</v>
      </c>
      <c r="BF928">
        <v>12</v>
      </c>
      <c r="BG928" t="s">
        <v>20109</v>
      </c>
      <c r="BH928" t="s">
        <v>20110</v>
      </c>
      <c r="BI928" t="s">
        <v>20111</v>
      </c>
      <c r="BJ928">
        <v>5.919E-2</v>
      </c>
      <c r="BK928">
        <v>1</v>
      </c>
      <c r="BL928" t="s">
        <v>69</v>
      </c>
      <c r="BM928">
        <v>8.7999999999999995E-2</v>
      </c>
      <c r="BN928">
        <v>-0.55600000000000005</v>
      </c>
    </row>
    <row r="929" spans="2:66">
      <c r="B929">
        <v>1450</v>
      </c>
      <c r="C929">
        <v>19</v>
      </c>
      <c r="D929">
        <v>0</v>
      </c>
      <c r="E929">
        <v>25</v>
      </c>
      <c r="F929">
        <v>2</v>
      </c>
      <c r="J929">
        <v>0</v>
      </c>
      <c r="K929">
        <v>16</v>
      </c>
      <c r="L929">
        <v>7</v>
      </c>
      <c r="M929" t="s">
        <v>25022</v>
      </c>
      <c r="N929">
        <v>3436</v>
      </c>
      <c r="O929" t="s">
        <v>20112</v>
      </c>
      <c r="P929" t="s">
        <v>62</v>
      </c>
      <c r="Q929">
        <v>3396876</v>
      </c>
      <c r="R929">
        <v>3397745</v>
      </c>
      <c r="S929" t="s">
        <v>20113</v>
      </c>
      <c r="T929">
        <v>290</v>
      </c>
      <c r="U929" t="s">
        <v>108</v>
      </c>
      <c r="V929">
        <v>44</v>
      </c>
      <c r="W929" t="str">
        <f>HYPERLINK("Gene3436-zp_tree_all.dnd", "Gene3436-tree")</f>
        <v>Gene3436-tree</v>
      </c>
      <c r="X929">
        <v>1</v>
      </c>
      <c r="Y929">
        <v>10</v>
      </c>
      <c r="Z929">
        <v>1</v>
      </c>
      <c r="AA929">
        <v>10</v>
      </c>
      <c r="AB929">
        <v>0.90908999999999995</v>
      </c>
      <c r="AC929" t="s">
        <v>175</v>
      </c>
      <c r="AD929" t="s">
        <v>117</v>
      </c>
      <c r="AE929" t="s">
        <v>62</v>
      </c>
      <c r="AF929" t="s">
        <v>62</v>
      </c>
      <c r="AG929">
        <v>10</v>
      </c>
      <c r="AH929">
        <v>23</v>
      </c>
      <c r="AI929">
        <v>24</v>
      </c>
      <c r="AJ929">
        <v>0.48936000000000002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4</v>
      </c>
      <c r="AQ929">
        <v>2</v>
      </c>
      <c r="AR929">
        <v>6</v>
      </c>
      <c r="AS929">
        <v>25</v>
      </c>
      <c r="AT929">
        <v>0.19355</v>
      </c>
      <c r="AU929">
        <v>10</v>
      </c>
      <c r="AV929">
        <v>8</v>
      </c>
      <c r="AW929">
        <v>38</v>
      </c>
      <c r="AX929">
        <v>31</v>
      </c>
      <c r="AY929">
        <v>18</v>
      </c>
      <c r="AZ929">
        <v>17</v>
      </c>
      <c r="BA929" t="s">
        <v>20114</v>
      </c>
      <c r="BB929" t="s">
        <v>20115</v>
      </c>
      <c r="BC929">
        <v>0.21299999999999999</v>
      </c>
      <c r="BD929" t="s">
        <v>65</v>
      </c>
      <c r="BE929">
        <v>56</v>
      </c>
      <c r="BF929">
        <v>48</v>
      </c>
      <c r="BG929" t="s">
        <v>20116</v>
      </c>
      <c r="BH929" t="s">
        <v>20117</v>
      </c>
      <c r="BI929" t="s">
        <v>20118</v>
      </c>
      <c r="BJ929">
        <v>0.26140999999999998</v>
      </c>
      <c r="BK929">
        <v>1</v>
      </c>
      <c r="BL929" t="s">
        <v>69</v>
      </c>
      <c r="BM929">
        <v>-0.95299999999999996</v>
      </c>
      <c r="BN929">
        <v>-1.7170000000000001</v>
      </c>
    </row>
    <row r="930" spans="2:66">
      <c r="B930">
        <v>1451</v>
      </c>
      <c r="C930">
        <v>127</v>
      </c>
      <c r="D930">
        <v>0</v>
      </c>
      <c r="E930">
        <v>3</v>
      </c>
      <c r="F930">
        <v>0</v>
      </c>
      <c r="J930">
        <v>0</v>
      </c>
      <c r="K930">
        <v>5</v>
      </c>
      <c r="L930">
        <v>0</v>
      </c>
      <c r="M930" t="s">
        <v>25022</v>
      </c>
      <c r="N930">
        <v>3437</v>
      </c>
      <c r="O930" t="s">
        <v>20119</v>
      </c>
      <c r="P930" t="s">
        <v>62</v>
      </c>
      <c r="Q930">
        <v>3397849</v>
      </c>
      <c r="R930">
        <v>3398523</v>
      </c>
      <c r="S930" t="s">
        <v>20120</v>
      </c>
      <c r="T930">
        <v>225</v>
      </c>
      <c r="U930" t="s">
        <v>108</v>
      </c>
      <c r="V930">
        <v>44</v>
      </c>
      <c r="W930" t="str">
        <f>HYPERLINK("Gene3437-zp_tree_all.dnd", "Gene3437-tree")</f>
        <v>Gene3437-tree</v>
      </c>
      <c r="X930">
        <v>8</v>
      </c>
      <c r="Y930">
        <v>3</v>
      </c>
      <c r="Z930">
        <v>8</v>
      </c>
      <c r="AA930">
        <v>3</v>
      </c>
      <c r="AB930">
        <v>0.27272999999999997</v>
      </c>
      <c r="AC930" t="s">
        <v>136</v>
      </c>
      <c r="AD930" t="s">
        <v>324</v>
      </c>
      <c r="AE930" t="s">
        <v>62</v>
      </c>
      <c r="AF930" t="s">
        <v>62</v>
      </c>
      <c r="AG930">
        <v>2</v>
      </c>
      <c r="AH930">
        <v>5</v>
      </c>
      <c r="AI930">
        <v>5</v>
      </c>
      <c r="AJ930">
        <v>0.5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2</v>
      </c>
      <c r="AQ930">
        <v>0</v>
      </c>
      <c r="AR930">
        <v>2</v>
      </c>
      <c r="AS930">
        <v>6</v>
      </c>
      <c r="AT930">
        <v>0.25</v>
      </c>
      <c r="AU930">
        <v>8</v>
      </c>
      <c r="AV930">
        <v>7</v>
      </c>
      <c r="AW930">
        <v>14</v>
      </c>
      <c r="AX930">
        <v>6</v>
      </c>
      <c r="AY930">
        <v>8</v>
      </c>
      <c r="AZ930">
        <v>4</v>
      </c>
      <c r="BA930" t="s">
        <v>20121</v>
      </c>
      <c r="BB930" t="s">
        <v>20122</v>
      </c>
      <c r="BC930">
        <v>7.5999999999999998E-2</v>
      </c>
      <c r="BD930" t="s">
        <v>65</v>
      </c>
      <c r="BE930">
        <v>22</v>
      </c>
      <c r="BF930">
        <v>10</v>
      </c>
      <c r="BG930" t="s">
        <v>20123</v>
      </c>
      <c r="BH930" t="s">
        <v>20124</v>
      </c>
      <c r="BI930" t="s">
        <v>17681</v>
      </c>
      <c r="BJ930">
        <v>9.5799999999999996E-2</v>
      </c>
      <c r="BK930">
        <v>1</v>
      </c>
      <c r="BL930" t="s">
        <v>69</v>
      </c>
      <c r="BM930">
        <v>-1.1970000000000001</v>
      </c>
      <c r="BN930">
        <v>-1.82</v>
      </c>
    </row>
    <row r="931" spans="2:66">
      <c r="B931">
        <v>1452</v>
      </c>
      <c r="C931">
        <v>70</v>
      </c>
      <c r="D931">
        <v>0</v>
      </c>
      <c r="E931">
        <v>2</v>
      </c>
      <c r="F931">
        <v>0</v>
      </c>
      <c r="J931">
        <v>0</v>
      </c>
      <c r="K931">
        <v>5</v>
      </c>
      <c r="L931">
        <v>1</v>
      </c>
      <c r="M931" t="s">
        <v>25022</v>
      </c>
      <c r="N931">
        <v>3438</v>
      </c>
      <c r="O931" t="s">
        <v>20125</v>
      </c>
      <c r="P931" t="s">
        <v>62</v>
      </c>
      <c r="Q931">
        <v>3398553</v>
      </c>
      <c r="R931">
        <v>3398930</v>
      </c>
      <c r="S931" t="s">
        <v>20126</v>
      </c>
      <c r="T931">
        <v>126</v>
      </c>
      <c r="U931" t="s">
        <v>125</v>
      </c>
      <c r="V931">
        <v>48</v>
      </c>
      <c r="W931" t="str">
        <f>HYPERLINK("Gene3438-zp_tree_all.dnd", "Gene3438-tree")</f>
        <v>Gene3438-tree</v>
      </c>
      <c r="X931">
        <v>30</v>
      </c>
      <c r="Y931">
        <v>6</v>
      </c>
      <c r="Z931">
        <v>7</v>
      </c>
      <c r="AA931">
        <v>6</v>
      </c>
      <c r="AB931">
        <v>0.46154000000000001</v>
      </c>
      <c r="AC931" t="s">
        <v>5684</v>
      </c>
      <c r="AD931" t="s">
        <v>90</v>
      </c>
      <c r="AE931" t="s">
        <v>62</v>
      </c>
      <c r="AF931" t="s">
        <v>62</v>
      </c>
      <c r="AG931">
        <v>2</v>
      </c>
      <c r="AH931">
        <v>6</v>
      </c>
      <c r="AI931">
        <v>7</v>
      </c>
      <c r="AJ931">
        <v>0.46154000000000001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2</v>
      </c>
      <c r="AQ931">
        <v>2</v>
      </c>
      <c r="AR931">
        <v>4</v>
      </c>
      <c r="AS931">
        <v>4</v>
      </c>
      <c r="AT931">
        <v>0.5</v>
      </c>
      <c r="AU931">
        <v>11</v>
      </c>
      <c r="AV931">
        <v>9</v>
      </c>
      <c r="AW931">
        <v>17</v>
      </c>
      <c r="AX931">
        <v>8</v>
      </c>
      <c r="AY931">
        <v>22</v>
      </c>
      <c r="AZ931">
        <v>5</v>
      </c>
      <c r="BA931" t="s">
        <v>20127</v>
      </c>
      <c r="BB931" t="s">
        <v>20128</v>
      </c>
      <c r="BC931">
        <v>0.70799999999999996</v>
      </c>
      <c r="BD931" t="s">
        <v>65</v>
      </c>
      <c r="BE931">
        <v>39</v>
      </c>
      <c r="BF931">
        <v>13</v>
      </c>
      <c r="BG931" t="s">
        <v>20129</v>
      </c>
      <c r="BH931" t="s">
        <v>20130</v>
      </c>
      <c r="BI931" t="s">
        <v>20131</v>
      </c>
      <c r="BJ931">
        <v>7.7009999999999995E-2</v>
      </c>
      <c r="BK931">
        <v>1</v>
      </c>
      <c r="BL931" t="s">
        <v>69</v>
      </c>
      <c r="BM931">
        <v>-0.96899999999999997</v>
      </c>
      <c r="BN931">
        <v>0.55700000000000005</v>
      </c>
    </row>
    <row r="932" spans="2:66">
      <c r="B932">
        <v>1454</v>
      </c>
      <c r="C932">
        <v>241</v>
      </c>
      <c r="D932">
        <v>0</v>
      </c>
      <c r="E932">
        <v>2</v>
      </c>
      <c r="F932">
        <v>0</v>
      </c>
      <c r="J932">
        <v>0</v>
      </c>
      <c r="K932">
        <v>7</v>
      </c>
      <c r="L932">
        <v>0</v>
      </c>
      <c r="M932" t="s">
        <v>25022</v>
      </c>
      <c r="N932">
        <v>3439</v>
      </c>
      <c r="O932" t="s">
        <v>20132</v>
      </c>
      <c r="P932" t="s">
        <v>62</v>
      </c>
      <c r="Q932">
        <v>3399095</v>
      </c>
      <c r="R932">
        <v>3400360</v>
      </c>
      <c r="S932" t="s">
        <v>20133</v>
      </c>
      <c r="T932">
        <v>422</v>
      </c>
      <c r="U932" t="s">
        <v>108</v>
      </c>
      <c r="V932">
        <v>44</v>
      </c>
      <c r="W932" t="str">
        <f>HYPERLINK("Gene3439-zp_tree_all.dnd", "Gene3439-tree")</f>
        <v>Gene3439-tree</v>
      </c>
      <c r="X932">
        <v>9</v>
      </c>
      <c r="Y932">
        <v>7</v>
      </c>
      <c r="Z932">
        <v>9</v>
      </c>
      <c r="AA932">
        <v>7</v>
      </c>
      <c r="AB932">
        <v>0.4375</v>
      </c>
      <c r="AC932" t="s">
        <v>135</v>
      </c>
      <c r="AD932" t="s">
        <v>152</v>
      </c>
      <c r="AE932" t="s">
        <v>62</v>
      </c>
      <c r="AF932" t="s">
        <v>62</v>
      </c>
      <c r="AG932">
        <v>3</v>
      </c>
      <c r="AH932">
        <v>7</v>
      </c>
      <c r="AI932">
        <v>9</v>
      </c>
      <c r="AJ932">
        <v>0.4375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2</v>
      </c>
      <c r="AQ932">
        <v>0</v>
      </c>
      <c r="AR932">
        <v>2</v>
      </c>
      <c r="AS932">
        <v>7</v>
      </c>
      <c r="AT932">
        <v>0.22222</v>
      </c>
      <c r="AU932">
        <v>13</v>
      </c>
      <c r="AV932">
        <v>11</v>
      </c>
      <c r="AW932">
        <v>38</v>
      </c>
      <c r="AX932">
        <v>9</v>
      </c>
      <c r="AY932">
        <v>49</v>
      </c>
      <c r="AZ932">
        <v>7</v>
      </c>
      <c r="BA932" t="s">
        <v>20134</v>
      </c>
      <c r="BB932" t="s">
        <v>20135</v>
      </c>
      <c r="BC932">
        <v>0.47499999999999998</v>
      </c>
      <c r="BD932" t="s">
        <v>65</v>
      </c>
      <c r="BE932">
        <v>87</v>
      </c>
      <c r="BF932">
        <v>16</v>
      </c>
      <c r="BG932" t="s">
        <v>20136</v>
      </c>
      <c r="BH932" t="s">
        <v>20137</v>
      </c>
      <c r="BI932" t="s">
        <v>20138</v>
      </c>
      <c r="BJ932">
        <v>5.5449999999999999E-2</v>
      </c>
      <c r="BK932">
        <v>1</v>
      </c>
      <c r="BL932" t="s">
        <v>69</v>
      </c>
      <c r="BM932">
        <v>-0.254</v>
      </c>
      <c r="BN932">
        <v>-0.52100000000000002</v>
      </c>
    </row>
    <row r="933" spans="2:66">
      <c r="B933">
        <v>1455</v>
      </c>
      <c r="C933">
        <v>102</v>
      </c>
      <c r="D933">
        <v>0</v>
      </c>
      <c r="E933">
        <v>2</v>
      </c>
      <c r="F933">
        <v>0</v>
      </c>
      <c r="J933">
        <v>0</v>
      </c>
      <c r="K933">
        <v>11</v>
      </c>
      <c r="L933">
        <v>0</v>
      </c>
      <c r="M933" t="s">
        <v>25022</v>
      </c>
      <c r="N933">
        <v>3440</v>
      </c>
      <c r="O933" t="s">
        <v>20139</v>
      </c>
      <c r="P933" t="s">
        <v>62</v>
      </c>
      <c r="Q933">
        <v>3400540</v>
      </c>
      <c r="R933">
        <v>3401118</v>
      </c>
      <c r="S933" t="s">
        <v>20140</v>
      </c>
      <c r="T933">
        <v>193</v>
      </c>
      <c r="U933" t="s">
        <v>108</v>
      </c>
      <c r="V933">
        <v>44</v>
      </c>
      <c r="W933" t="str">
        <f>HYPERLINK("Gene3440-zp_tree_all.dnd", "Gene3440-tree")</f>
        <v>Gene3440-tree</v>
      </c>
      <c r="X933">
        <v>0</v>
      </c>
      <c r="Y933">
        <v>12</v>
      </c>
      <c r="Z933">
        <v>0</v>
      </c>
      <c r="AA933">
        <v>12</v>
      </c>
      <c r="AB933">
        <v>1</v>
      </c>
      <c r="AC933" t="s">
        <v>62</v>
      </c>
      <c r="AD933" t="s">
        <v>109</v>
      </c>
      <c r="AE933" t="s">
        <v>62</v>
      </c>
      <c r="AF933" t="s">
        <v>62</v>
      </c>
      <c r="AG933">
        <v>4</v>
      </c>
      <c r="AH933">
        <v>11</v>
      </c>
      <c r="AI933">
        <v>9</v>
      </c>
      <c r="AJ933">
        <v>0.55000000000000004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5</v>
      </c>
      <c r="AQ933">
        <v>0</v>
      </c>
      <c r="AR933">
        <v>5</v>
      </c>
      <c r="AS933">
        <v>12</v>
      </c>
      <c r="AT933">
        <v>0.29411999999999999</v>
      </c>
      <c r="AU933">
        <v>12</v>
      </c>
      <c r="AV933">
        <v>6</v>
      </c>
      <c r="AW933">
        <v>27</v>
      </c>
      <c r="AX933">
        <v>17</v>
      </c>
      <c r="AY933">
        <v>6</v>
      </c>
      <c r="AZ933">
        <v>3</v>
      </c>
      <c r="BA933" t="s">
        <v>20141</v>
      </c>
      <c r="BB933" t="s">
        <v>20142</v>
      </c>
      <c r="BC933">
        <v>0.29799999999999999</v>
      </c>
      <c r="BD933" t="s">
        <v>65</v>
      </c>
      <c r="BE933">
        <v>33</v>
      </c>
      <c r="BF933">
        <v>20</v>
      </c>
      <c r="BG933" t="s">
        <v>20143</v>
      </c>
      <c r="BH933" t="s">
        <v>20144</v>
      </c>
      <c r="BI933" t="s">
        <v>20145</v>
      </c>
      <c r="BJ933">
        <v>0.19250999999999999</v>
      </c>
      <c r="BK933">
        <v>1</v>
      </c>
      <c r="BL933" t="s">
        <v>69</v>
      </c>
      <c r="BM933">
        <v>-0.78900000000000003</v>
      </c>
      <c r="BN933">
        <v>-2.1949999999999998</v>
      </c>
    </row>
    <row r="934" spans="2:66">
      <c r="B934">
        <v>1457</v>
      </c>
      <c r="C934">
        <v>227</v>
      </c>
      <c r="D934">
        <v>0</v>
      </c>
      <c r="E934">
        <v>2</v>
      </c>
      <c r="F934">
        <v>0</v>
      </c>
      <c r="J934">
        <v>0</v>
      </c>
      <c r="K934">
        <v>21</v>
      </c>
      <c r="L934">
        <v>1</v>
      </c>
      <c r="M934" t="s">
        <v>25022</v>
      </c>
      <c r="N934">
        <v>3441</v>
      </c>
      <c r="O934" t="s">
        <v>20146</v>
      </c>
      <c r="P934" t="s">
        <v>62</v>
      </c>
      <c r="Q934">
        <v>3401144</v>
      </c>
      <c r="R934">
        <v>3402469</v>
      </c>
      <c r="S934" t="s">
        <v>20147</v>
      </c>
      <c r="T934">
        <v>442</v>
      </c>
      <c r="U934" t="s">
        <v>108</v>
      </c>
      <c r="V934">
        <v>44</v>
      </c>
      <c r="W934" t="str">
        <f>HYPERLINK("Gene3441-zp_tree_all.dnd", "Gene3441-tree")</f>
        <v>Gene3441-tree</v>
      </c>
      <c r="X934">
        <v>2</v>
      </c>
      <c r="Y934">
        <v>10</v>
      </c>
      <c r="Z934">
        <v>2</v>
      </c>
      <c r="AA934">
        <v>10</v>
      </c>
      <c r="AB934">
        <v>0.83333000000000002</v>
      </c>
      <c r="AC934" t="s">
        <v>81</v>
      </c>
      <c r="AD934" t="s">
        <v>117</v>
      </c>
      <c r="AE934" t="s">
        <v>62</v>
      </c>
      <c r="AF934" t="s">
        <v>62</v>
      </c>
      <c r="AG934">
        <v>9</v>
      </c>
      <c r="AH934">
        <v>22</v>
      </c>
      <c r="AI934">
        <v>26</v>
      </c>
      <c r="AJ934">
        <v>0.45833000000000002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4</v>
      </c>
      <c r="AQ934">
        <v>0</v>
      </c>
      <c r="AR934">
        <v>4</v>
      </c>
      <c r="AS934">
        <v>27</v>
      </c>
      <c r="AT934">
        <v>0.12903000000000001</v>
      </c>
      <c r="AU934">
        <v>12</v>
      </c>
      <c r="AV934">
        <v>9</v>
      </c>
      <c r="AW934">
        <v>47</v>
      </c>
      <c r="AX934">
        <v>31</v>
      </c>
      <c r="AY934">
        <v>18</v>
      </c>
      <c r="AZ934">
        <v>17</v>
      </c>
      <c r="BA934" t="s">
        <v>20148</v>
      </c>
      <c r="BB934" t="s">
        <v>20149</v>
      </c>
      <c r="BC934">
        <v>1.05</v>
      </c>
      <c r="BD934" t="s">
        <v>65</v>
      </c>
      <c r="BE934">
        <v>65</v>
      </c>
      <c r="BF934">
        <v>48</v>
      </c>
      <c r="BG934" t="s">
        <v>20150</v>
      </c>
      <c r="BH934" t="s">
        <v>20151</v>
      </c>
      <c r="BI934" t="s">
        <v>10373</v>
      </c>
      <c r="BJ934">
        <v>0.24068000000000001</v>
      </c>
      <c r="BK934">
        <v>1</v>
      </c>
      <c r="BL934" t="s">
        <v>69</v>
      </c>
      <c r="BM934">
        <v>-0.52100000000000002</v>
      </c>
      <c r="BN934">
        <v>-1.5720000000000001</v>
      </c>
    </row>
    <row r="935" spans="2:66">
      <c r="B935">
        <v>1459</v>
      </c>
      <c r="C935">
        <v>283</v>
      </c>
      <c r="D935">
        <v>0</v>
      </c>
      <c r="E935">
        <v>2</v>
      </c>
      <c r="F935">
        <v>0</v>
      </c>
      <c r="J935">
        <v>0</v>
      </c>
      <c r="K935">
        <v>7</v>
      </c>
      <c r="L935">
        <v>0</v>
      </c>
      <c r="M935" t="s">
        <v>25022</v>
      </c>
      <c r="N935">
        <v>3442</v>
      </c>
      <c r="O935" t="s">
        <v>20152</v>
      </c>
      <c r="P935" t="s">
        <v>62</v>
      </c>
      <c r="Q935">
        <v>3402472</v>
      </c>
      <c r="R935">
        <v>3403530</v>
      </c>
      <c r="S935" t="s">
        <v>20153</v>
      </c>
      <c r="T935">
        <v>353</v>
      </c>
      <c r="U935" t="s">
        <v>108</v>
      </c>
      <c r="V935">
        <v>44</v>
      </c>
      <c r="W935" t="str">
        <f>HYPERLINK("Gene3442-zp_tree_all.dnd", "Gene3442-tree")</f>
        <v>Gene3442-tree</v>
      </c>
      <c r="X935">
        <v>6</v>
      </c>
      <c r="Y935">
        <v>6</v>
      </c>
      <c r="Z935">
        <v>6</v>
      </c>
      <c r="AA935">
        <v>6</v>
      </c>
      <c r="AB935">
        <v>0.5</v>
      </c>
      <c r="AC935" t="s">
        <v>90</v>
      </c>
      <c r="AD935" t="s">
        <v>90</v>
      </c>
      <c r="AE935" t="s">
        <v>62</v>
      </c>
      <c r="AF935" t="s">
        <v>62</v>
      </c>
      <c r="AG935">
        <v>3</v>
      </c>
      <c r="AH935">
        <v>7</v>
      </c>
      <c r="AI935">
        <v>11</v>
      </c>
      <c r="AJ935">
        <v>0.38889000000000001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2</v>
      </c>
      <c r="AQ935">
        <v>0</v>
      </c>
      <c r="AR935">
        <v>2</v>
      </c>
      <c r="AS935">
        <v>8</v>
      </c>
      <c r="AT935">
        <v>0.2</v>
      </c>
      <c r="AU935">
        <v>12</v>
      </c>
      <c r="AV935">
        <v>8</v>
      </c>
      <c r="AW935">
        <v>31</v>
      </c>
      <c r="AX935">
        <v>10</v>
      </c>
      <c r="AY935">
        <v>20</v>
      </c>
      <c r="AZ935">
        <v>8</v>
      </c>
      <c r="BA935" t="s">
        <v>20154</v>
      </c>
      <c r="BB935" t="s">
        <v>20155</v>
      </c>
      <c r="BC935">
        <v>0.218</v>
      </c>
      <c r="BD935" t="s">
        <v>65</v>
      </c>
      <c r="BE935">
        <v>51</v>
      </c>
      <c r="BF935">
        <v>18</v>
      </c>
      <c r="BG935" t="s">
        <v>20156</v>
      </c>
      <c r="BH935" t="s">
        <v>20157</v>
      </c>
      <c r="BI935" t="s">
        <v>20158</v>
      </c>
      <c r="BJ935">
        <v>0.13100999999999999</v>
      </c>
      <c r="BK935">
        <v>1</v>
      </c>
      <c r="BL935" t="s">
        <v>69</v>
      </c>
      <c r="BM935">
        <v>-0.52300000000000002</v>
      </c>
      <c r="BN935">
        <v>-1.0229999999999999</v>
      </c>
    </row>
    <row r="936" spans="2:66">
      <c r="B936">
        <v>1466</v>
      </c>
      <c r="C936">
        <v>79</v>
      </c>
      <c r="D936">
        <v>0</v>
      </c>
      <c r="E936">
        <v>2</v>
      </c>
      <c r="F936">
        <v>2</v>
      </c>
      <c r="J936">
        <v>0</v>
      </c>
      <c r="K936">
        <v>16</v>
      </c>
      <c r="L936">
        <v>0</v>
      </c>
      <c r="M936" t="s">
        <v>25022</v>
      </c>
      <c r="N936">
        <v>3443</v>
      </c>
      <c r="O936" t="s">
        <v>20159</v>
      </c>
      <c r="P936" t="s">
        <v>62</v>
      </c>
      <c r="Q936">
        <v>3403496</v>
      </c>
      <c r="R936">
        <v>3404437</v>
      </c>
      <c r="S936" t="s">
        <v>20160</v>
      </c>
      <c r="T936">
        <v>314</v>
      </c>
      <c r="U936" t="s">
        <v>108</v>
      </c>
      <c r="V936">
        <v>44</v>
      </c>
      <c r="W936" t="str">
        <f>HYPERLINK("Gene3443-zp_tree_all.dnd", "Gene3443-tree")</f>
        <v>Gene3443-tree</v>
      </c>
      <c r="X936">
        <v>4</v>
      </c>
      <c r="Y936">
        <v>9</v>
      </c>
      <c r="Z936">
        <v>4</v>
      </c>
      <c r="AA936">
        <v>9</v>
      </c>
      <c r="AB936">
        <v>0.69230999999999998</v>
      </c>
      <c r="AC936" t="s">
        <v>61</v>
      </c>
      <c r="AD936" t="s">
        <v>135</v>
      </c>
      <c r="AE936" t="s">
        <v>62</v>
      </c>
      <c r="AF936" t="s">
        <v>62</v>
      </c>
      <c r="AG936">
        <v>7</v>
      </c>
      <c r="AH936">
        <v>16</v>
      </c>
      <c r="AI936">
        <v>11</v>
      </c>
      <c r="AJ936">
        <v>0.59258999999999995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11</v>
      </c>
      <c r="AQ936">
        <v>2</v>
      </c>
      <c r="AR936">
        <v>13</v>
      </c>
      <c r="AS936">
        <v>7</v>
      </c>
      <c r="AT936">
        <v>0.65</v>
      </c>
      <c r="AU936">
        <v>11</v>
      </c>
      <c r="AV936">
        <v>8</v>
      </c>
      <c r="AW936">
        <v>38</v>
      </c>
      <c r="AX936">
        <v>19</v>
      </c>
      <c r="AY936">
        <v>9</v>
      </c>
      <c r="AZ936">
        <v>8</v>
      </c>
      <c r="BA936" t="s">
        <v>20161</v>
      </c>
      <c r="BB936" t="s">
        <v>20162</v>
      </c>
      <c r="BC936">
        <v>0.67200000000000004</v>
      </c>
      <c r="BD936" t="s">
        <v>65</v>
      </c>
      <c r="BE936">
        <v>47</v>
      </c>
      <c r="BF936">
        <v>27</v>
      </c>
      <c r="BG936" t="s">
        <v>20163</v>
      </c>
      <c r="BH936" t="s">
        <v>20164</v>
      </c>
      <c r="BI936" t="s">
        <v>20165</v>
      </c>
      <c r="BJ936">
        <v>0.17154</v>
      </c>
      <c r="BK936">
        <v>1</v>
      </c>
      <c r="BL936" t="s">
        <v>69</v>
      </c>
      <c r="BM936">
        <v>-1.397</v>
      </c>
      <c r="BN936">
        <v>-2.1190000000000002</v>
      </c>
    </row>
    <row r="937" spans="2:66">
      <c r="B937">
        <v>1472</v>
      </c>
      <c r="C937">
        <v>81</v>
      </c>
      <c r="D937">
        <v>0</v>
      </c>
      <c r="E937">
        <v>2</v>
      </c>
      <c r="F937">
        <v>2</v>
      </c>
      <c r="J937">
        <v>0</v>
      </c>
      <c r="K937">
        <v>3</v>
      </c>
      <c r="L937">
        <v>0</v>
      </c>
      <c r="M937" t="s">
        <v>25022</v>
      </c>
      <c r="N937">
        <v>3445</v>
      </c>
      <c r="O937" t="s">
        <v>20172</v>
      </c>
      <c r="P937" t="s">
        <v>62</v>
      </c>
      <c r="Q937">
        <v>3405667</v>
      </c>
      <c r="R937">
        <v>3406542</v>
      </c>
      <c r="S937" t="s">
        <v>20173</v>
      </c>
      <c r="T937">
        <v>292</v>
      </c>
      <c r="U937" t="s">
        <v>108</v>
      </c>
      <c r="V937">
        <v>44</v>
      </c>
      <c r="W937" t="str">
        <f>HYPERLINK("Gene3445-zp_tree_all.dnd", "Gene3445-tree")</f>
        <v>Gene3445-tree</v>
      </c>
      <c r="X937">
        <v>11</v>
      </c>
      <c r="Y937">
        <v>4</v>
      </c>
      <c r="Z937">
        <v>11</v>
      </c>
      <c r="AA937">
        <v>4</v>
      </c>
      <c r="AB937">
        <v>0.26667000000000002</v>
      </c>
      <c r="AC937" t="s">
        <v>73</v>
      </c>
      <c r="AD937" t="s">
        <v>61</v>
      </c>
      <c r="AE937" t="s">
        <v>62</v>
      </c>
      <c r="AF937" t="s">
        <v>62</v>
      </c>
      <c r="AG937">
        <v>1</v>
      </c>
      <c r="AH937">
        <v>3</v>
      </c>
      <c r="AI937">
        <v>3</v>
      </c>
      <c r="AJ937">
        <v>0.5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2</v>
      </c>
      <c r="AQ937">
        <v>0</v>
      </c>
      <c r="AR937">
        <v>2</v>
      </c>
      <c r="AS937">
        <v>2</v>
      </c>
      <c r="AT937">
        <v>0.5</v>
      </c>
      <c r="AU937">
        <v>13</v>
      </c>
      <c r="AV937">
        <v>8</v>
      </c>
      <c r="AW937">
        <v>36</v>
      </c>
      <c r="AX937">
        <v>4</v>
      </c>
      <c r="AY937">
        <v>13</v>
      </c>
      <c r="AZ937">
        <v>2</v>
      </c>
      <c r="BA937" t="s">
        <v>20174</v>
      </c>
      <c r="BB937" t="s">
        <v>20175</v>
      </c>
      <c r="BC937">
        <v>0.22800000000000001</v>
      </c>
      <c r="BD937" t="s">
        <v>65</v>
      </c>
      <c r="BE937">
        <v>49</v>
      </c>
      <c r="BF937">
        <v>6</v>
      </c>
      <c r="BG937" t="s">
        <v>20176</v>
      </c>
      <c r="BH937" t="s">
        <v>20177</v>
      </c>
      <c r="BI937" t="s">
        <v>20178</v>
      </c>
      <c r="BJ937">
        <v>3.6269999999999997E-2</v>
      </c>
      <c r="BK937">
        <v>1</v>
      </c>
      <c r="BL937" t="s">
        <v>69</v>
      </c>
      <c r="BM937">
        <v>-0.70799999999999996</v>
      </c>
      <c r="BN937">
        <v>-0.69199999999999995</v>
      </c>
    </row>
    <row r="938" spans="2:66">
      <c r="B938">
        <v>1473</v>
      </c>
      <c r="C938">
        <v>164</v>
      </c>
      <c r="D938">
        <v>0</v>
      </c>
      <c r="E938">
        <v>12</v>
      </c>
      <c r="F938">
        <v>4</v>
      </c>
      <c r="J938">
        <v>0</v>
      </c>
      <c r="K938">
        <v>11</v>
      </c>
      <c r="L938">
        <v>0</v>
      </c>
      <c r="M938" t="s">
        <v>25022</v>
      </c>
      <c r="N938">
        <v>3446</v>
      </c>
      <c r="O938" t="s">
        <v>20179</v>
      </c>
      <c r="P938" t="s">
        <v>62</v>
      </c>
      <c r="Q938">
        <v>3406617</v>
      </c>
      <c r="R938">
        <v>3408356</v>
      </c>
      <c r="S938" t="s">
        <v>20180</v>
      </c>
      <c r="T938">
        <v>580</v>
      </c>
      <c r="U938" t="s">
        <v>108</v>
      </c>
      <c r="V938">
        <v>44</v>
      </c>
      <c r="W938" t="str">
        <f>HYPERLINK("Gene3446-zp_tree_all.dnd", "Gene3446-tree")</f>
        <v>Gene3446-tree</v>
      </c>
      <c r="X938">
        <v>27</v>
      </c>
      <c r="Y938">
        <v>10</v>
      </c>
      <c r="Z938">
        <v>7</v>
      </c>
      <c r="AA938">
        <v>10</v>
      </c>
      <c r="AB938">
        <v>0.58823999999999999</v>
      </c>
      <c r="AC938" t="s">
        <v>8429</v>
      </c>
      <c r="AD938" t="s">
        <v>117</v>
      </c>
      <c r="AE938" t="s">
        <v>62</v>
      </c>
      <c r="AF938" t="s">
        <v>62</v>
      </c>
      <c r="AG938">
        <v>4</v>
      </c>
      <c r="AH938">
        <v>11</v>
      </c>
      <c r="AI938">
        <v>7</v>
      </c>
      <c r="AJ938">
        <v>0.61111000000000004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6</v>
      </c>
      <c r="AQ938">
        <v>0</v>
      </c>
      <c r="AR938">
        <v>6</v>
      </c>
      <c r="AS938">
        <v>7</v>
      </c>
      <c r="AT938">
        <v>0.46154000000000001</v>
      </c>
      <c r="AU938">
        <v>14</v>
      </c>
      <c r="AV938">
        <v>14</v>
      </c>
      <c r="AW938">
        <v>44</v>
      </c>
      <c r="AX938">
        <v>11</v>
      </c>
      <c r="AY938">
        <v>50</v>
      </c>
      <c r="AZ938">
        <v>7</v>
      </c>
      <c r="BA938" t="s">
        <v>20181</v>
      </c>
      <c r="BB938" t="s">
        <v>20182</v>
      </c>
      <c r="BC938">
        <v>0.80100000000000005</v>
      </c>
      <c r="BD938" t="s">
        <v>65</v>
      </c>
      <c r="BE938">
        <v>94</v>
      </c>
      <c r="BF938">
        <v>18</v>
      </c>
      <c r="BG938" t="s">
        <v>20183</v>
      </c>
      <c r="BH938" t="s">
        <v>20184</v>
      </c>
      <c r="BI938" t="s">
        <v>20185</v>
      </c>
      <c r="BJ938">
        <v>5.4080000000000003E-2</v>
      </c>
      <c r="BK938">
        <v>1</v>
      </c>
      <c r="BL938" t="s">
        <v>69</v>
      </c>
      <c r="BM938">
        <v>-0.52900000000000003</v>
      </c>
      <c r="BN938">
        <v>-1.1819999999999999</v>
      </c>
    </row>
    <row r="939" spans="2:66">
      <c r="B939">
        <v>1474</v>
      </c>
      <c r="C939">
        <v>53</v>
      </c>
      <c r="D939">
        <v>0</v>
      </c>
      <c r="E939">
        <v>10</v>
      </c>
      <c r="F939">
        <v>1</v>
      </c>
      <c r="J939">
        <v>0</v>
      </c>
      <c r="K939">
        <v>0</v>
      </c>
      <c r="L939">
        <v>0</v>
      </c>
      <c r="M939" t="s">
        <v>25022</v>
      </c>
      <c r="N939">
        <v>3447</v>
      </c>
      <c r="O939" t="s">
        <v>20186</v>
      </c>
      <c r="P939" t="s">
        <v>62</v>
      </c>
      <c r="Q939">
        <v>3408356</v>
      </c>
      <c r="R939">
        <v>3409066</v>
      </c>
      <c r="S939" t="s">
        <v>20187</v>
      </c>
      <c r="T939">
        <v>237</v>
      </c>
      <c r="U939" t="s">
        <v>108</v>
      </c>
      <c r="V939">
        <v>44</v>
      </c>
      <c r="W939" t="str">
        <f>HYPERLINK("Gene3447-zp_tree_all.dnd", "Gene3447-tree")</f>
        <v>Gene3447-tree</v>
      </c>
      <c r="X939">
        <v>12</v>
      </c>
      <c r="Y939">
        <v>0</v>
      </c>
      <c r="Z939">
        <v>12</v>
      </c>
      <c r="AA939">
        <v>0</v>
      </c>
      <c r="AB939">
        <v>0</v>
      </c>
      <c r="AC939" t="s">
        <v>109</v>
      </c>
      <c r="AD939" t="s">
        <v>62</v>
      </c>
      <c r="AE939" t="s">
        <v>62</v>
      </c>
      <c r="AF939" t="s">
        <v>62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9</v>
      </c>
      <c r="AV939">
        <v>5</v>
      </c>
      <c r="AW939">
        <v>18</v>
      </c>
      <c r="AX939">
        <v>0</v>
      </c>
      <c r="AY939">
        <v>6</v>
      </c>
      <c r="AZ939">
        <v>0</v>
      </c>
      <c r="BA939" t="s">
        <v>193</v>
      </c>
      <c r="BB939" t="s">
        <v>193</v>
      </c>
      <c r="BC939">
        <v>0</v>
      </c>
      <c r="BD939" t="s">
        <v>65</v>
      </c>
      <c r="BE939">
        <v>24</v>
      </c>
      <c r="BF939">
        <v>0</v>
      </c>
      <c r="BG939" t="s">
        <v>15870</v>
      </c>
      <c r="BH939" t="s">
        <v>20188</v>
      </c>
      <c r="BI939" t="s">
        <v>20189</v>
      </c>
      <c r="BJ939">
        <v>1.6410000000000001E-2</v>
      </c>
      <c r="BK939">
        <v>1</v>
      </c>
      <c r="BL939" t="s">
        <v>69</v>
      </c>
      <c r="BM939">
        <v>-1.659</v>
      </c>
      <c r="BN939">
        <v>-2.758</v>
      </c>
    </row>
    <row r="940" spans="2:66">
      <c r="B940">
        <v>1476</v>
      </c>
      <c r="C940">
        <v>185</v>
      </c>
      <c r="D940">
        <v>0</v>
      </c>
      <c r="E940">
        <v>10</v>
      </c>
      <c r="F940">
        <v>0</v>
      </c>
      <c r="J940">
        <v>0</v>
      </c>
      <c r="K940">
        <v>4</v>
      </c>
      <c r="L940">
        <v>0</v>
      </c>
      <c r="M940" t="s">
        <v>25022</v>
      </c>
      <c r="N940">
        <v>3448</v>
      </c>
      <c r="O940" t="s">
        <v>20190</v>
      </c>
      <c r="P940" t="s">
        <v>62</v>
      </c>
      <c r="Q940">
        <v>3409222</v>
      </c>
      <c r="R940">
        <v>3409458</v>
      </c>
      <c r="S940" t="s">
        <v>20191</v>
      </c>
      <c r="T940">
        <v>79</v>
      </c>
      <c r="U940" t="s">
        <v>108</v>
      </c>
      <c r="V940">
        <v>44</v>
      </c>
      <c r="W940" t="str">
        <f>HYPERLINK("Gene3448-zp_tree_all.dnd", "Gene3448-tree")</f>
        <v>Gene3448-tree</v>
      </c>
      <c r="X940">
        <v>30</v>
      </c>
      <c r="Y940">
        <v>7</v>
      </c>
      <c r="Z940">
        <v>4</v>
      </c>
      <c r="AA940">
        <v>7</v>
      </c>
      <c r="AB940">
        <v>0.63636000000000004</v>
      </c>
      <c r="AC940" t="s">
        <v>3663</v>
      </c>
      <c r="AD940" t="s">
        <v>152</v>
      </c>
      <c r="AE940" t="s">
        <v>62</v>
      </c>
      <c r="AF940" t="s">
        <v>62</v>
      </c>
      <c r="AG940">
        <v>1</v>
      </c>
      <c r="AH940">
        <v>4</v>
      </c>
      <c r="AI940">
        <v>5</v>
      </c>
      <c r="AJ940">
        <v>0.44444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4</v>
      </c>
      <c r="AQ940">
        <v>0</v>
      </c>
      <c r="AR940">
        <v>4</v>
      </c>
      <c r="AS940">
        <v>5</v>
      </c>
      <c r="AT940">
        <v>0.44444</v>
      </c>
      <c r="AU940">
        <v>7</v>
      </c>
      <c r="AV940">
        <v>6</v>
      </c>
      <c r="AW940">
        <v>4</v>
      </c>
      <c r="AX940">
        <v>7</v>
      </c>
      <c r="AY940">
        <v>5</v>
      </c>
      <c r="AZ940">
        <v>2</v>
      </c>
      <c r="BA940" t="s">
        <v>20192</v>
      </c>
      <c r="BB940" t="s">
        <v>20193</v>
      </c>
      <c r="BC940">
        <v>0.876</v>
      </c>
      <c r="BD940" t="s">
        <v>65</v>
      </c>
      <c r="BE940">
        <v>9</v>
      </c>
      <c r="BF940">
        <v>9</v>
      </c>
      <c r="BG940" t="s">
        <v>20194</v>
      </c>
      <c r="BH940" t="s">
        <v>20195</v>
      </c>
      <c r="BI940" t="s">
        <v>20196</v>
      </c>
      <c r="BJ940">
        <v>0.11942999999999999</v>
      </c>
      <c r="BK940">
        <v>1</v>
      </c>
      <c r="BL940" t="s">
        <v>69</v>
      </c>
      <c r="BM940">
        <v>-0.55700000000000005</v>
      </c>
      <c r="BN940">
        <v>-0.61599999999999999</v>
      </c>
    </row>
    <row r="941" spans="2:66">
      <c r="B941">
        <v>1480</v>
      </c>
      <c r="C941">
        <v>59</v>
      </c>
      <c r="D941">
        <v>0</v>
      </c>
      <c r="E941">
        <v>3</v>
      </c>
      <c r="F941">
        <v>0</v>
      </c>
      <c r="J941">
        <v>0</v>
      </c>
      <c r="K941">
        <v>0</v>
      </c>
      <c r="L941">
        <v>0</v>
      </c>
      <c r="M941" t="s">
        <v>25022</v>
      </c>
      <c r="N941">
        <v>3449</v>
      </c>
      <c r="O941" t="s">
        <v>20197</v>
      </c>
      <c r="P941" t="s">
        <v>62</v>
      </c>
      <c r="Q941">
        <v>3409465</v>
      </c>
      <c r="R941">
        <v>3409992</v>
      </c>
      <c r="S941" t="s">
        <v>20198</v>
      </c>
      <c r="T941">
        <v>176</v>
      </c>
      <c r="U941" t="s">
        <v>108</v>
      </c>
      <c r="V941">
        <v>44</v>
      </c>
      <c r="W941" t="str">
        <f>HYPERLINK("Gene3449-zp_tree_all.dnd", "Gene3449-tree")</f>
        <v>Gene3449-tree</v>
      </c>
      <c r="X941">
        <v>9</v>
      </c>
      <c r="Y941">
        <v>26</v>
      </c>
      <c r="Z941">
        <v>9</v>
      </c>
      <c r="AA941">
        <v>7</v>
      </c>
      <c r="AB941">
        <v>0.4375</v>
      </c>
      <c r="AC941" t="s">
        <v>135</v>
      </c>
      <c r="AD941" t="s">
        <v>191</v>
      </c>
      <c r="AE941">
        <v>4.0529999999999999</v>
      </c>
      <c r="AF941" t="s">
        <v>65</v>
      </c>
      <c r="AG941">
        <v>0</v>
      </c>
      <c r="AH941">
        <v>0</v>
      </c>
      <c r="AI941">
        <v>12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10</v>
      </c>
      <c r="AT941">
        <v>0</v>
      </c>
      <c r="AU941">
        <v>11</v>
      </c>
      <c r="AV941">
        <v>9</v>
      </c>
      <c r="AW941">
        <v>18</v>
      </c>
      <c r="AX941">
        <v>10</v>
      </c>
      <c r="AY941">
        <v>16</v>
      </c>
      <c r="AZ941">
        <v>2</v>
      </c>
      <c r="BA941" t="s">
        <v>20199</v>
      </c>
      <c r="BB941" t="s">
        <v>20200</v>
      </c>
      <c r="BC941">
        <v>1.238</v>
      </c>
      <c r="BD941" t="s">
        <v>65</v>
      </c>
      <c r="BE941">
        <v>34</v>
      </c>
      <c r="BF941">
        <v>12</v>
      </c>
      <c r="BG941" t="s">
        <v>20201</v>
      </c>
      <c r="BH941" t="s">
        <v>20202</v>
      </c>
      <c r="BI941" t="s">
        <v>20203</v>
      </c>
      <c r="BJ941">
        <v>6.8830000000000002E-2</v>
      </c>
      <c r="BK941">
        <v>1</v>
      </c>
      <c r="BL941" t="s">
        <v>69</v>
      </c>
      <c r="BM941">
        <v>-9.9000000000000005E-2</v>
      </c>
      <c r="BN941">
        <v>-0.52900000000000003</v>
      </c>
    </row>
    <row r="942" spans="2:66">
      <c r="B942">
        <v>1482</v>
      </c>
      <c r="C942">
        <v>275</v>
      </c>
      <c r="D942">
        <v>0</v>
      </c>
      <c r="E942">
        <v>8</v>
      </c>
      <c r="F942">
        <v>0</v>
      </c>
      <c r="J942">
        <v>0</v>
      </c>
      <c r="K942">
        <v>3</v>
      </c>
      <c r="L942">
        <v>0</v>
      </c>
      <c r="M942" t="s">
        <v>25022</v>
      </c>
      <c r="N942">
        <v>3453</v>
      </c>
      <c r="O942" t="s">
        <v>20216</v>
      </c>
      <c r="P942" t="s">
        <v>62</v>
      </c>
      <c r="Q942">
        <v>3412131</v>
      </c>
      <c r="R942">
        <v>3413357</v>
      </c>
      <c r="S942" t="s">
        <v>5350</v>
      </c>
      <c r="T942">
        <v>409</v>
      </c>
      <c r="U942" t="s">
        <v>108</v>
      </c>
      <c r="V942">
        <v>44</v>
      </c>
      <c r="W942" t="str">
        <f>HYPERLINK("Gene3453-zp_tree_all.dnd", "Gene3453-tree")</f>
        <v>Gene3453-tree</v>
      </c>
      <c r="X942">
        <v>9</v>
      </c>
      <c r="Y942">
        <v>4</v>
      </c>
      <c r="Z942">
        <v>9</v>
      </c>
      <c r="AA942">
        <v>4</v>
      </c>
      <c r="AB942">
        <v>0.30769000000000002</v>
      </c>
      <c r="AC942" t="s">
        <v>135</v>
      </c>
      <c r="AD942" t="s">
        <v>61</v>
      </c>
      <c r="AE942" t="s">
        <v>62</v>
      </c>
      <c r="AF942" t="s">
        <v>62</v>
      </c>
      <c r="AG942">
        <v>1</v>
      </c>
      <c r="AH942">
        <v>3</v>
      </c>
      <c r="AI942">
        <v>7</v>
      </c>
      <c r="AJ942">
        <v>0.3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2</v>
      </c>
      <c r="AQ942">
        <v>0</v>
      </c>
      <c r="AR942">
        <v>2</v>
      </c>
      <c r="AS942">
        <v>6</v>
      </c>
      <c r="AT942">
        <v>0.25</v>
      </c>
      <c r="AU942">
        <v>11</v>
      </c>
      <c r="AV942">
        <v>7</v>
      </c>
      <c r="AW942">
        <v>68</v>
      </c>
      <c r="AX942">
        <v>8</v>
      </c>
      <c r="AY942">
        <v>17</v>
      </c>
      <c r="AZ942">
        <v>2</v>
      </c>
      <c r="BA942" t="s">
        <v>20217</v>
      </c>
      <c r="BB942" t="s">
        <v>20218</v>
      </c>
      <c r="BC942">
        <v>8.9999999999999993E-3</v>
      </c>
      <c r="BD942" t="s">
        <v>65</v>
      </c>
      <c r="BE942">
        <v>85</v>
      </c>
      <c r="BF942">
        <v>10</v>
      </c>
      <c r="BG942" t="s">
        <v>20219</v>
      </c>
      <c r="BH942" t="s">
        <v>20220</v>
      </c>
      <c r="BI942" t="s">
        <v>20221</v>
      </c>
      <c r="BJ942">
        <v>3.7519999999999998E-2</v>
      </c>
      <c r="BK942">
        <v>1</v>
      </c>
      <c r="BL942" t="s">
        <v>69</v>
      </c>
      <c r="BM942">
        <v>-1.0720000000000001</v>
      </c>
      <c r="BN942">
        <v>-2.3690000000000002</v>
      </c>
    </row>
    <row r="943" spans="2:66">
      <c r="B943">
        <v>1483</v>
      </c>
      <c r="C943">
        <v>104</v>
      </c>
      <c r="D943">
        <v>0</v>
      </c>
      <c r="E943">
        <v>2</v>
      </c>
      <c r="F943">
        <v>0</v>
      </c>
      <c r="J943">
        <v>0</v>
      </c>
      <c r="K943">
        <v>0</v>
      </c>
      <c r="L943">
        <v>0</v>
      </c>
      <c r="M943" t="s">
        <v>25022</v>
      </c>
      <c r="N943">
        <v>3454</v>
      </c>
      <c r="O943" t="s">
        <v>20222</v>
      </c>
      <c r="P943" t="s">
        <v>62</v>
      </c>
      <c r="Q943">
        <v>3413353</v>
      </c>
      <c r="R943">
        <v>3414039</v>
      </c>
      <c r="S943" t="s">
        <v>5350</v>
      </c>
      <c r="T943">
        <v>229</v>
      </c>
      <c r="U943" t="s">
        <v>108</v>
      </c>
      <c r="V943">
        <v>44</v>
      </c>
      <c r="W943" t="str">
        <f>HYPERLINK("Gene3454-zp_tree_all.dnd", "Gene3454-tree")</f>
        <v>Gene3454-tree</v>
      </c>
      <c r="X943">
        <v>8</v>
      </c>
      <c r="Y943">
        <v>4</v>
      </c>
      <c r="Z943">
        <v>8</v>
      </c>
      <c r="AA943">
        <v>4</v>
      </c>
      <c r="AB943">
        <v>0.33333000000000002</v>
      </c>
      <c r="AC943" t="s">
        <v>136</v>
      </c>
      <c r="AD943" t="s">
        <v>61</v>
      </c>
      <c r="AE943" t="s">
        <v>62</v>
      </c>
      <c r="AF943" t="s">
        <v>62</v>
      </c>
      <c r="AG943">
        <v>0</v>
      </c>
      <c r="AH943">
        <v>0</v>
      </c>
      <c r="AI943">
        <v>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4</v>
      </c>
      <c r="AT943">
        <v>0</v>
      </c>
      <c r="AU943">
        <v>10</v>
      </c>
      <c r="AV943">
        <v>7</v>
      </c>
      <c r="AW943">
        <v>20</v>
      </c>
      <c r="AX943">
        <v>4</v>
      </c>
      <c r="AY943">
        <v>10</v>
      </c>
      <c r="AZ943">
        <v>1</v>
      </c>
      <c r="BA943" t="s">
        <v>20223</v>
      </c>
      <c r="BB943" t="s">
        <v>20224</v>
      </c>
      <c r="BC943">
        <v>0.38200000000000001</v>
      </c>
      <c r="BD943" t="s">
        <v>65</v>
      </c>
      <c r="BE943">
        <v>30</v>
      </c>
      <c r="BF943">
        <v>5</v>
      </c>
      <c r="BG943" t="s">
        <v>20225</v>
      </c>
      <c r="BH943" t="s">
        <v>20226</v>
      </c>
      <c r="BI943" t="s">
        <v>2017</v>
      </c>
      <c r="BJ943">
        <v>5.1479999999999998E-2</v>
      </c>
      <c r="BK943">
        <v>1</v>
      </c>
      <c r="BL943" t="s">
        <v>69</v>
      </c>
      <c r="BM943">
        <v>-0.315</v>
      </c>
      <c r="BN943">
        <v>-1.6459999999999999</v>
      </c>
    </row>
    <row r="944" spans="2:66">
      <c r="B944">
        <v>1484</v>
      </c>
      <c r="C944">
        <v>172</v>
      </c>
      <c r="D944">
        <v>0</v>
      </c>
      <c r="E944">
        <v>6</v>
      </c>
      <c r="F944">
        <v>0</v>
      </c>
      <c r="J944">
        <v>0</v>
      </c>
      <c r="K944">
        <v>6</v>
      </c>
      <c r="L944">
        <v>2</v>
      </c>
      <c r="M944" t="s">
        <v>25022</v>
      </c>
      <c r="N944">
        <v>3455</v>
      </c>
      <c r="O944" t="s">
        <v>20227</v>
      </c>
      <c r="P944" t="s">
        <v>62</v>
      </c>
      <c r="Q944">
        <v>3414026</v>
      </c>
      <c r="R944">
        <v>3415216</v>
      </c>
      <c r="S944" t="s">
        <v>20228</v>
      </c>
      <c r="T944">
        <v>397</v>
      </c>
      <c r="U944" t="s">
        <v>108</v>
      </c>
      <c r="V944">
        <v>44</v>
      </c>
      <c r="W944" t="str">
        <f>HYPERLINK("Gene3455-zp_tree_all.dnd", "Gene3455-tree")</f>
        <v>Gene3455-tree</v>
      </c>
      <c r="X944">
        <v>5</v>
      </c>
      <c r="Y944">
        <v>7</v>
      </c>
      <c r="Z944">
        <v>5</v>
      </c>
      <c r="AA944">
        <v>7</v>
      </c>
      <c r="AB944">
        <v>0.58333000000000002</v>
      </c>
      <c r="AC944" t="s">
        <v>199</v>
      </c>
      <c r="AD944" t="s">
        <v>152</v>
      </c>
      <c r="AE944" t="s">
        <v>62</v>
      </c>
      <c r="AF944" t="s">
        <v>62</v>
      </c>
      <c r="AG944">
        <v>4</v>
      </c>
      <c r="AH944">
        <v>8</v>
      </c>
      <c r="AI944">
        <v>11</v>
      </c>
      <c r="AJ944">
        <v>0.42104999999999998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2</v>
      </c>
      <c r="AQ944">
        <v>2</v>
      </c>
      <c r="AR944">
        <v>4</v>
      </c>
      <c r="AS944">
        <v>8</v>
      </c>
      <c r="AT944">
        <v>0.33333000000000002</v>
      </c>
      <c r="AU944">
        <v>10</v>
      </c>
      <c r="AV944">
        <v>8</v>
      </c>
      <c r="AW944">
        <v>21</v>
      </c>
      <c r="AX944">
        <v>12</v>
      </c>
      <c r="AY944">
        <v>19</v>
      </c>
      <c r="AZ944">
        <v>7</v>
      </c>
      <c r="BA944" t="s">
        <v>20229</v>
      </c>
      <c r="BB944" t="s">
        <v>20230</v>
      </c>
      <c r="BC944">
        <v>0.41599999999999998</v>
      </c>
      <c r="BD944" t="s">
        <v>65</v>
      </c>
      <c r="BE944">
        <v>40</v>
      </c>
      <c r="BF944">
        <v>19</v>
      </c>
      <c r="BG944" t="s">
        <v>20231</v>
      </c>
      <c r="BH944" t="s">
        <v>20232</v>
      </c>
      <c r="BI944" t="s">
        <v>20233</v>
      </c>
      <c r="BJ944">
        <v>0.14277999999999999</v>
      </c>
      <c r="BK944">
        <v>1</v>
      </c>
      <c r="BL944" t="s">
        <v>69</v>
      </c>
      <c r="BM944">
        <v>0.39800000000000002</v>
      </c>
      <c r="BN944">
        <v>-1.06</v>
      </c>
    </row>
    <row r="945" spans="2:66">
      <c r="B945">
        <v>1485</v>
      </c>
      <c r="C945">
        <v>69</v>
      </c>
      <c r="D945">
        <v>0</v>
      </c>
      <c r="E945">
        <v>13</v>
      </c>
      <c r="F945">
        <v>2</v>
      </c>
      <c r="J945">
        <v>0</v>
      </c>
      <c r="K945">
        <v>0</v>
      </c>
      <c r="L945">
        <v>0</v>
      </c>
      <c r="M945" t="s">
        <v>25022</v>
      </c>
      <c r="N945">
        <v>3456</v>
      </c>
      <c r="O945" t="s">
        <v>20234</v>
      </c>
      <c r="P945" t="s">
        <v>62</v>
      </c>
      <c r="Q945">
        <v>3415390</v>
      </c>
      <c r="R945">
        <v>3416196</v>
      </c>
      <c r="S945" t="s">
        <v>20235</v>
      </c>
      <c r="T945">
        <v>269</v>
      </c>
      <c r="U945" t="s">
        <v>108</v>
      </c>
      <c r="V945">
        <v>44</v>
      </c>
      <c r="W945" t="str">
        <f>HYPERLINK("Gene3456-zp_tree_all.dnd", "Gene3456-tree")</f>
        <v>Gene3456-tree</v>
      </c>
      <c r="X945">
        <v>5</v>
      </c>
      <c r="Y945">
        <v>5</v>
      </c>
      <c r="Z945">
        <v>5</v>
      </c>
      <c r="AA945">
        <v>5</v>
      </c>
      <c r="AB945">
        <v>0.5</v>
      </c>
      <c r="AC945" t="s">
        <v>199</v>
      </c>
      <c r="AD945" t="s">
        <v>199</v>
      </c>
      <c r="AE945" t="s">
        <v>62</v>
      </c>
      <c r="AF945" t="s">
        <v>62</v>
      </c>
      <c r="AG945">
        <v>0</v>
      </c>
      <c r="AH945">
        <v>0</v>
      </c>
      <c r="AI945">
        <v>6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6</v>
      </c>
      <c r="AT945">
        <v>0</v>
      </c>
      <c r="AU945">
        <v>9</v>
      </c>
      <c r="AV945">
        <v>4</v>
      </c>
      <c r="AW945">
        <v>12</v>
      </c>
      <c r="AX945">
        <v>6</v>
      </c>
      <c r="AY945">
        <v>6</v>
      </c>
      <c r="AZ945">
        <v>0</v>
      </c>
      <c r="BA945" t="s">
        <v>20236</v>
      </c>
      <c r="BB945" t="s">
        <v>193</v>
      </c>
      <c r="BC945">
        <v>2.1789999999999998</v>
      </c>
      <c r="BD945" t="s">
        <v>267</v>
      </c>
      <c r="BE945">
        <v>18</v>
      </c>
      <c r="BF945">
        <v>6</v>
      </c>
      <c r="BG945" t="s">
        <v>20237</v>
      </c>
      <c r="BH945" t="s">
        <v>20238</v>
      </c>
      <c r="BI945" t="s">
        <v>20239</v>
      </c>
      <c r="BJ945">
        <v>8.1019999999999995E-2</v>
      </c>
      <c r="BK945">
        <v>1</v>
      </c>
      <c r="BL945" t="s">
        <v>69</v>
      </c>
      <c r="BM945">
        <v>-1.43</v>
      </c>
      <c r="BN945">
        <v>-2.758</v>
      </c>
    </row>
    <row r="946" spans="2:66">
      <c r="B946">
        <v>1486</v>
      </c>
      <c r="C946">
        <v>131</v>
      </c>
      <c r="D946">
        <v>0</v>
      </c>
      <c r="E946">
        <v>4</v>
      </c>
      <c r="F946">
        <v>2</v>
      </c>
      <c r="J946">
        <v>0</v>
      </c>
      <c r="K946">
        <v>2</v>
      </c>
      <c r="L946">
        <v>2</v>
      </c>
      <c r="M946" t="s">
        <v>25022</v>
      </c>
      <c r="N946">
        <v>3457</v>
      </c>
      <c r="O946" t="s">
        <v>20240</v>
      </c>
      <c r="P946" t="s">
        <v>62</v>
      </c>
      <c r="Q946">
        <v>3416215</v>
      </c>
      <c r="R946">
        <v>3417222</v>
      </c>
      <c r="S946" t="s">
        <v>20241</v>
      </c>
      <c r="T946">
        <v>336</v>
      </c>
      <c r="U946" t="s">
        <v>108</v>
      </c>
      <c r="V946">
        <v>44</v>
      </c>
      <c r="W946" t="str">
        <f>HYPERLINK("Gene3457-zp_tree_all.dnd", "Gene3457-tree")</f>
        <v>Gene3457-tree</v>
      </c>
      <c r="X946">
        <v>4</v>
      </c>
      <c r="Y946">
        <v>10</v>
      </c>
      <c r="Z946">
        <v>4</v>
      </c>
      <c r="AA946">
        <v>10</v>
      </c>
      <c r="AB946">
        <v>0.71428999999999998</v>
      </c>
      <c r="AC946" t="s">
        <v>61</v>
      </c>
      <c r="AD946" t="s">
        <v>117</v>
      </c>
      <c r="AE946" t="s">
        <v>62</v>
      </c>
      <c r="AF946" t="s">
        <v>62</v>
      </c>
      <c r="AG946">
        <v>2</v>
      </c>
      <c r="AH946">
        <v>4</v>
      </c>
      <c r="AI946">
        <v>11</v>
      </c>
      <c r="AJ946">
        <v>0.26667000000000002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2</v>
      </c>
      <c r="AQ946">
        <v>0</v>
      </c>
      <c r="AR946">
        <v>2</v>
      </c>
      <c r="AS946">
        <v>8</v>
      </c>
      <c r="AT946">
        <v>0.2</v>
      </c>
      <c r="AU946">
        <v>9</v>
      </c>
      <c r="AV946">
        <v>7</v>
      </c>
      <c r="AW946">
        <v>23</v>
      </c>
      <c r="AX946">
        <v>9</v>
      </c>
      <c r="AY946">
        <v>11</v>
      </c>
      <c r="AZ946">
        <v>6</v>
      </c>
      <c r="BA946" t="s">
        <v>20242</v>
      </c>
      <c r="BB946" t="s">
        <v>20243</v>
      </c>
      <c r="BC946">
        <v>0.32100000000000001</v>
      </c>
      <c r="BD946" t="s">
        <v>65</v>
      </c>
      <c r="BE946">
        <v>34</v>
      </c>
      <c r="BF946">
        <v>15</v>
      </c>
      <c r="BG946" t="s">
        <v>20244</v>
      </c>
      <c r="BH946" t="s">
        <v>20245</v>
      </c>
      <c r="BI946" t="s">
        <v>20246</v>
      </c>
      <c r="BJ946">
        <v>0.16800000000000001</v>
      </c>
      <c r="BK946">
        <v>1</v>
      </c>
      <c r="BL946" t="s">
        <v>69</v>
      </c>
      <c r="BM946">
        <v>-1.34</v>
      </c>
      <c r="BN946">
        <v>-2.9049999999999998</v>
      </c>
    </row>
    <row r="947" spans="2:66">
      <c r="B947">
        <v>1489</v>
      </c>
      <c r="C947">
        <v>492</v>
      </c>
      <c r="D947">
        <v>0</v>
      </c>
      <c r="E947">
        <v>9</v>
      </c>
      <c r="F947">
        <v>3</v>
      </c>
      <c r="J947">
        <v>0</v>
      </c>
      <c r="K947">
        <v>4</v>
      </c>
      <c r="L947">
        <v>0</v>
      </c>
      <c r="M947" t="s">
        <v>25022</v>
      </c>
      <c r="N947">
        <v>3458</v>
      </c>
      <c r="O947" t="s">
        <v>20247</v>
      </c>
      <c r="P947" t="s">
        <v>62</v>
      </c>
      <c r="Q947">
        <v>3417225</v>
      </c>
      <c r="R947">
        <v>3418376</v>
      </c>
      <c r="S947" t="s">
        <v>20241</v>
      </c>
      <c r="T947">
        <v>384</v>
      </c>
      <c r="U947" t="s">
        <v>629</v>
      </c>
      <c r="V947">
        <v>43</v>
      </c>
      <c r="W947" t="str">
        <f>HYPERLINK("Gene3458-zp_tree_all.dnd", "Gene3458-tree")</f>
        <v>Gene3458-tree</v>
      </c>
      <c r="X947">
        <v>5</v>
      </c>
      <c r="Y947">
        <v>10</v>
      </c>
      <c r="Z947">
        <v>5</v>
      </c>
      <c r="AA947">
        <v>10</v>
      </c>
      <c r="AB947">
        <v>0.66666999999999998</v>
      </c>
      <c r="AC947" t="s">
        <v>199</v>
      </c>
      <c r="AD947" t="s">
        <v>117</v>
      </c>
      <c r="AE947" t="s">
        <v>62</v>
      </c>
      <c r="AF947" t="s">
        <v>62</v>
      </c>
      <c r="AG947">
        <v>2</v>
      </c>
      <c r="AH947">
        <v>4</v>
      </c>
      <c r="AI947">
        <v>21</v>
      </c>
      <c r="AJ947">
        <v>0.16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20</v>
      </c>
      <c r="AT947">
        <v>0</v>
      </c>
      <c r="AU947">
        <v>13</v>
      </c>
      <c r="AV947">
        <v>12</v>
      </c>
      <c r="AW947">
        <v>35</v>
      </c>
      <c r="AX947">
        <v>17</v>
      </c>
      <c r="AY947">
        <v>36</v>
      </c>
      <c r="AZ947">
        <v>8</v>
      </c>
      <c r="BA947" t="s">
        <v>20248</v>
      </c>
      <c r="BB947" t="s">
        <v>20249</v>
      </c>
      <c r="BC947">
        <v>0.47799999999999998</v>
      </c>
      <c r="BD947" t="s">
        <v>65</v>
      </c>
      <c r="BE947">
        <v>71</v>
      </c>
      <c r="BF947">
        <v>25</v>
      </c>
      <c r="BG947" t="s">
        <v>20250</v>
      </c>
      <c r="BH947" t="s">
        <v>20251</v>
      </c>
      <c r="BI947" t="s">
        <v>20252</v>
      </c>
      <c r="BJ947">
        <v>0.11165</v>
      </c>
      <c r="BK947">
        <v>1</v>
      </c>
      <c r="BL947" t="s">
        <v>69</v>
      </c>
      <c r="BM947">
        <v>-0.84399999999999997</v>
      </c>
      <c r="BN947">
        <v>-1.5680000000000001</v>
      </c>
    </row>
    <row r="948" spans="2:66">
      <c r="B948">
        <v>1490</v>
      </c>
      <c r="C948">
        <v>588</v>
      </c>
      <c r="D948">
        <v>0</v>
      </c>
      <c r="E948">
        <v>6</v>
      </c>
      <c r="F948">
        <v>2</v>
      </c>
      <c r="J948">
        <v>0</v>
      </c>
      <c r="K948">
        <v>2</v>
      </c>
      <c r="L948">
        <v>1</v>
      </c>
      <c r="M948" t="s">
        <v>25022</v>
      </c>
      <c r="N948">
        <v>3460</v>
      </c>
      <c r="O948" t="s">
        <v>20260</v>
      </c>
      <c r="P948" t="s">
        <v>62</v>
      </c>
      <c r="Q948">
        <v>3419659</v>
      </c>
      <c r="R948">
        <v>3421065</v>
      </c>
      <c r="S948" t="s">
        <v>20261</v>
      </c>
      <c r="T948">
        <v>469</v>
      </c>
      <c r="U948" t="s">
        <v>108</v>
      </c>
      <c r="V948">
        <v>44</v>
      </c>
      <c r="W948" t="str">
        <f>HYPERLINK("Gene3460-zp_tree_all.dnd", "Gene3460-tree")</f>
        <v>Gene3460-tree</v>
      </c>
      <c r="X948">
        <v>11</v>
      </c>
      <c r="Y948">
        <v>3</v>
      </c>
      <c r="Z948">
        <v>11</v>
      </c>
      <c r="AA948">
        <v>3</v>
      </c>
      <c r="AB948">
        <v>0.21429000000000001</v>
      </c>
      <c r="AC948" t="s">
        <v>73</v>
      </c>
      <c r="AD948" t="s">
        <v>324</v>
      </c>
      <c r="AE948" t="s">
        <v>62</v>
      </c>
      <c r="AF948" t="s">
        <v>62</v>
      </c>
      <c r="AG948">
        <v>1</v>
      </c>
      <c r="AH948">
        <v>3</v>
      </c>
      <c r="AI948">
        <v>3</v>
      </c>
      <c r="AJ948">
        <v>0.5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</v>
      </c>
      <c r="AR948">
        <v>2</v>
      </c>
      <c r="AS948">
        <v>2</v>
      </c>
      <c r="AT948">
        <v>0.5</v>
      </c>
      <c r="AU948">
        <v>12</v>
      </c>
      <c r="AV948">
        <v>9</v>
      </c>
      <c r="AW948">
        <v>35</v>
      </c>
      <c r="AX948">
        <v>4</v>
      </c>
      <c r="AY948">
        <v>15</v>
      </c>
      <c r="AZ948">
        <v>2</v>
      </c>
      <c r="BA948" t="s">
        <v>20262</v>
      </c>
      <c r="BB948" t="s">
        <v>20263</v>
      </c>
      <c r="BC948">
        <v>8.7999999999999995E-2</v>
      </c>
      <c r="BD948" t="s">
        <v>65</v>
      </c>
      <c r="BE948">
        <v>50</v>
      </c>
      <c r="BF948">
        <v>6</v>
      </c>
      <c r="BG948" t="s">
        <v>20264</v>
      </c>
      <c r="BH948" t="s">
        <v>20265</v>
      </c>
      <c r="BI948" t="s">
        <v>20266</v>
      </c>
      <c r="BJ948">
        <v>4.326E-2</v>
      </c>
      <c r="BK948">
        <v>1</v>
      </c>
      <c r="BL948" t="s">
        <v>69</v>
      </c>
      <c r="BM948">
        <v>-0.46700000000000003</v>
      </c>
      <c r="BN948">
        <v>-0.374</v>
      </c>
    </row>
    <row r="949" spans="2:66">
      <c r="B949">
        <v>1491</v>
      </c>
      <c r="C949">
        <v>19</v>
      </c>
      <c r="D949">
        <v>0</v>
      </c>
      <c r="E949">
        <v>2</v>
      </c>
      <c r="F949">
        <v>2</v>
      </c>
      <c r="J949">
        <v>0</v>
      </c>
      <c r="K949">
        <v>0</v>
      </c>
      <c r="L949">
        <v>0</v>
      </c>
      <c r="M949" t="s">
        <v>25022</v>
      </c>
      <c r="N949">
        <v>3461</v>
      </c>
      <c r="O949" t="s">
        <v>20267</v>
      </c>
      <c r="P949" t="s">
        <v>62</v>
      </c>
      <c r="Q949">
        <v>3421468</v>
      </c>
      <c r="R949">
        <v>3421605</v>
      </c>
      <c r="S949" t="s">
        <v>389</v>
      </c>
      <c r="T949">
        <v>46</v>
      </c>
      <c r="U949" t="s">
        <v>59</v>
      </c>
      <c r="V949">
        <v>49</v>
      </c>
      <c r="W949" t="str">
        <f>HYPERLINK("Gene3461-zp_tree_all.dnd", "Gene3461-tree")</f>
        <v>Gene3461-tree</v>
      </c>
      <c r="X949">
        <v>4</v>
      </c>
      <c r="Y949">
        <v>0</v>
      </c>
      <c r="Z949">
        <v>4</v>
      </c>
      <c r="AA949">
        <v>0</v>
      </c>
      <c r="AB949">
        <v>0</v>
      </c>
      <c r="AC949" t="s">
        <v>61</v>
      </c>
      <c r="AD949" t="s">
        <v>62</v>
      </c>
      <c r="AE949" t="s">
        <v>62</v>
      </c>
      <c r="AF949" t="s">
        <v>62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2</v>
      </c>
      <c r="AV949">
        <v>1</v>
      </c>
      <c r="AW949">
        <v>4</v>
      </c>
      <c r="AX949">
        <v>0</v>
      </c>
      <c r="AY949">
        <v>0</v>
      </c>
      <c r="AZ949">
        <v>1</v>
      </c>
      <c r="BA949" t="s">
        <v>193</v>
      </c>
      <c r="BB949" t="s">
        <v>193</v>
      </c>
      <c r="BC949">
        <v>0</v>
      </c>
      <c r="BD949" t="s">
        <v>65</v>
      </c>
      <c r="BE949">
        <v>4</v>
      </c>
      <c r="BF949">
        <v>1</v>
      </c>
      <c r="BG949" t="s">
        <v>20268</v>
      </c>
      <c r="BH949" t="s">
        <v>20269</v>
      </c>
      <c r="BI949" t="s">
        <v>20270</v>
      </c>
      <c r="BJ949">
        <v>7.7780000000000002E-2</v>
      </c>
      <c r="BK949">
        <v>1</v>
      </c>
      <c r="BL949" t="s">
        <v>69</v>
      </c>
      <c r="BM949">
        <v>-0.79500000000000004</v>
      </c>
      <c r="BN949">
        <v>0.13900000000000001</v>
      </c>
    </row>
    <row r="950" spans="2:66">
      <c r="B950">
        <v>1492</v>
      </c>
      <c r="C950">
        <v>90</v>
      </c>
      <c r="D950">
        <v>0</v>
      </c>
      <c r="E950">
        <v>2</v>
      </c>
      <c r="F950">
        <v>2</v>
      </c>
      <c r="J950">
        <v>0</v>
      </c>
      <c r="K950">
        <v>14</v>
      </c>
      <c r="L950">
        <v>0</v>
      </c>
      <c r="M950" t="s">
        <v>25022</v>
      </c>
      <c r="N950">
        <v>3464</v>
      </c>
      <c r="O950" t="s">
        <v>20283</v>
      </c>
      <c r="P950" t="s">
        <v>62</v>
      </c>
      <c r="Q950">
        <v>3424238</v>
      </c>
      <c r="R950">
        <v>3425161</v>
      </c>
      <c r="S950" t="s">
        <v>20284</v>
      </c>
      <c r="T950">
        <v>308</v>
      </c>
      <c r="U950" t="s">
        <v>108</v>
      </c>
      <c r="V950">
        <v>44</v>
      </c>
      <c r="W950" t="str">
        <f>HYPERLINK("Gene3464-zp_tree_all.dnd", "Gene3464-tree")</f>
        <v>Gene3464-tree</v>
      </c>
      <c r="X950">
        <v>3</v>
      </c>
      <c r="Y950">
        <v>10</v>
      </c>
      <c r="Z950">
        <v>3</v>
      </c>
      <c r="AA950">
        <v>10</v>
      </c>
      <c r="AB950">
        <v>0.76922999999999997</v>
      </c>
      <c r="AC950" t="s">
        <v>324</v>
      </c>
      <c r="AD950" t="s">
        <v>117</v>
      </c>
      <c r="AE950" t="s">
        <v>62</v>
      </c>
      <c r="AF950" t="s">
        <v>62</v>
      </c>
      <c r="AG950">
        <v>7</v>
      </c>
      <c r="AH950">
        <v>14</v>
      </c>
      <c r="AI950">
        <v>16</v>
      </c>
      <c r="AJ950">
        <v>0.46666999999999997</v>
      </c>
      <c r="AK950">
        <v>0</v>
      </c>
      <c r="AL950">
        <v>0</v>
      </c>
      <c r="AM950">
        <v>0</v>
      </c>
      <c r="AN950">
        <v>2</v>
      </c>
      <c r="AO950">
        <v>0</v>
      </c>
      <c r="AP950">
        <v>4</v>
      </c>
      <c r="AQ950">
        <v>0</v>
      </c>
      <c r="AR950">
        <v>4</v>
      </c>
      <c r="AS950">
        <v>15</v>
      </c>
      <c r="AT950">
        <v>0.21052999999999999</v>
      </c>
      <c r="AU950">
        <v>8</v>
      </c>
      <c r="AV950">
        <v>9</v>
      </c>
      <c r="AW950">
        <v>30</v>
      </c>
      <c r="AX950">
        <v>16</v>
      </c>
      <c r="AY950">
        <v>19</v>
      </c>
      <c r="AZ950">
        <v>16</v>
      </c>
      <c r="BA950" t="s">
        <v>20285</v>
      </c>
      <c r="BB950" t="s">
        <v>20286</v>
      </c>
      <c r="BC950">
        <v>1.2509999999999999</v>
      </c>
      <c r="BD950" t="s">
        <v>65</v>
      </c>
      <c r="BE950">
        <v>49</v>
      </c>
      <c r="BF950">
        <v>32</v>
      </c>
      <c r="BG950" t="s">
        <v>20287</v>
      </c>
      <c r="BH950" t="s">
        <v>20288</v>
      </c>
      <c r="BI950" t="s">
        <v>20289</v>
      </c>
      <c r="BJ950">
        <v>0.20829</v>
      </c>
      <c r="BK950">
        <v>1</v>
      </c>
      <c r="BL950" t="s">
        <v>69</v>
      </c>
      <c r="BM950">
        <v>-0.01</v>
      </c>
      <c r="BN950">
        <v>-1.2609999999999999</v>
      </c>
    </row>
    <row r="951" spans="2:66">
      <c r="B951">
        <v>1493</v>
      </c>
      <c r="C951">
        <v>133</v>
      </c>
      <c r="D951">
        <v>0</v>
      </c>
      <c r="E951">
        <v>6</v>
      </c>
      <c r="F951">
        <v>0</v>
      </c>
      <c r="J951">
        <v>0</v>
      </c>
      <c r="K951">
        <v>2</v>
      </c>
      <c r="L951">
        <v>2</v>
      </c>
      <c r="M951" t="s">
        <v>25022</v>
      </c>
      <c r="N951">
        <v>3467</v>
      </c>
      <c r="O951" t="s">
        <v>20304</v>
      </c>
      <c r="P951" t="s">
        <v>62</v>
      </c>
      <c r="Q951">
        <v>3426752</v>
      </c>
      <c r="R951">
        <v>3427579</v>
      </c>
      <c r="S951" t="s">
        <v>20305</v>
      </c>
      <c r="T951">
        <v>276</v>
      </c>
      <c r="U951" t="s">
        <v>465</v>
      </c>
      <c r="V951">
        <v>46</v>
      </c>
      <c r="W951" t="str">
        <f>HYPERLINK("Gene3467-zp_tree_all.dnd", "Gene3467-tree")</f>
        <v>Gene3467-tree</v>
      </c>
      <c r="X951">
        <v>7</v>
      </c>
      <c r="Y951">
        <v>9</v>
      </c>
      <c r="Z951">
        <v>7</v>
      </c>
      <c r="AA951">
        <v>9</v>
      </c>
      <c r="AB951">
        <v>0.5625</v>
      </c>
      <c r="AC951" t="s">
        <v>152</v>
      </c>
      <c r="AD951" t="s">
        <v>135</v>
      </c>
      <c r="AE951" t="s">
        <v>62</v>
      </c>
      <c r="AF951" t="s">
        <v>62</v>
      </c>
      <c r="AG951">
        <v>2</v>
      </c>
      <c r="AH951">
        <v>4</v>
      </c>
      <c r="AI951">
        <v>7</v>
      </c>
      <c r="AJ951">
        <v>0.36364000000000002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</v>
      </c>
      <c r="AR951">
        <v>2</v>
      </c>
      <c r="AS951">
        <v>8</v>
      </c>
      <c r="AT951">
        <v>0.2</v>
      </c>
      <c r="AU951">
        <v>11</v>
      </c>
      <c r="AV951">
        <v>10</v>
      </c>
      <c r="AW951">
        <v>15</v>
      </c>
      <c r="AX951">
        <v>8</v>
      </c>
      <c r="AY951">
        <v>45</v>
      </c>
      <c r="AZ951">
        <v>4</v>
      </c>
      <c r="BA951" t="s">
        <v>20306</v>
      </c>
      <c r="BB951" t="s">
        <v>20307</v>
      </c>
      <c r="BC951">
        <v>1.3640000000000001</v>
      </c>
      <c r="BD951" t="s">
        <v>65</v>
      </c>
      <c r="BE951">
        <v>60</v>
      </c>
      <c r="BF951">
        <v>12</v>
      </c>
      <c r="BG951" t="s">
        <v>20308</v>
      </c>
      <c r="BH951" t="s">
        <v>20309</v>
      </c>
      <c r="BI951" t="s">
        <v>20310</v>
      </c>
      <c r="BJ951">
        <v>3.4810000000000001E-2</v>
      </c>
      <c r="BK951">
        <v>1</v>
      </c>
      <c r="BL951" t="s">
        <v>69</v>
      </c>
      <c r="BM951">
        <v>-0.42499999999999999</v>
      </c>
      <c r="BN951">
        <v>0.40200000000000002</v>
      </c>
    </row>
    <row r="952" spans="2:66">
      <c r="B952">
        <v>1494</v>
      </c>
      <c r="C952">
        <v>153</v>
      </c>
      <c r="D952">
        <v>0</v>
      </c>
      <c r="E952">
        <v>14</v>
      </c>
      <c r="F952">
        <v>0</v>
      </c>
      <c r="J952">
        <v>0</v>
      </c>
      <c r="K952">
        <v>5</v>
      </c>
      <c r="L952">
        <v>0</v>
      </c>
      <c r="M952" t="s">
        <v>25022</v>
      </c>
      <c r="N952">
        <v>3469</v>
      </c>
      <c r="O952" t="s">
        <v>20318</v>
      </c>
      <c r="P952" t="s">
        <v>62</v>
      </c>
      <c r="Q952">
        <v>3428334</v>
      </c>
      <c r="R952">
        <v>3430343</v>
      </c>
      <c r="S952" t="s">
        <v>6288</v>
      </c>
      <c r="T952">
        <v>670</v>
      </c>
      <c r="U952" t="s">
        <v>265</v>
      </c>
      <c r="V952">
        <v>43</v>
      </c>
      <c r="W952" t="str">
        <f>HYPERLINK("Gene3469-zp_tree_all.dnd", "Gene3469-tree")</f>
        <v>Gene3469-tree</v>
      </c>
      <c r="X952">
        <v>6</v>
      </c>
      <c r="Y952">
        <v>9</v>
      </c>
      <c r="Z952">
        <v>6</v>
      </c>
      <c r="AA952">
        <v>9</v>
      </c>
      <c r="AB952">
        <v>0.6</v>
      </c>
      <c r="AC952" t="s">
        <v>90</v>
      </c>
      <c r="AD952" t="s">
        <v>135</v>
      </c>
      <c r="AE952" t="s">
        <v>62</v>
      </c>
      <c r="AF952" t="s">
        <v>62</v>
      </c>
      <c r="AG952">
        <v>2</v>
      </c>
      <c r="AH952">
        <v>5</v>
      </c>
      <c r="AI952">
        <v>8</v>
      </c>
      <c r="AJ952">
        <v>0.38462000000000002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2</v>
      </c>
      <c r="AQ952">
        <v>0</v>
      </c>
      <c r="AR952">
        <v>2</v>
      </c>
      <c r="AS952">
        <v>8</v>
      </c>
      <c r="AT952">
        <v>0.2</v>
      </c>
      <c r="AU952">
        <v>14</v>
      </c>
      <c r="AV952">
        <v>10</v>
      </c>
      <c r="AW952">
        <v>56</v>
      </c>
      <c r="AX952">
        <v>10</v>
      </c>
      <c r="AY952">
        <v>48</v>
      </c>
      <c r="AZ952">
        <v>3</v>
      </c>
      <c r="BA952" t="s">
        <v>20319</v>
      </c>
      <c r="BB952" t="s">
        <v>20320</v>
      </c>
      <c r="BC952">
        <v>1.3580000000000001</v>
      </c>
      <c r="BD952" t="s">
        <v>65</v>
      </c>
      <c r="BE952">
        <v>104</v>
      </c>
      <c r="BF952">
        <v>13</v>
      </c>
      <c r="BG952" t="s">
        <v>20321</v>
      </c>
      <c r="BH952" t="s">
        <v>20322</v>
      </c>
      <c r="BI952" t="s">
        <v>20323</v>
      </c>
      <c r="BJ952">
        <v>2.3449999999999999E-2</v>
      </c>
      <c r="BK952">
        <v>1</v>
      </c>
      <c r="BL952" t="s">
        <v>69</v>
      </c>
      <c r="BM952">
        <v>0.41099999999999998</v>
      </c>
      <c r="BN952">
        <v>-0.33700000000000002</v>
      </c>
    </row>
    <row r="953" spans="2:66">
      <c r="B953">
        <v>1495</v>
      </c>
      <c r="C953">
        <v>114</v>
      </c>
      <c r="D953">
        <v>0</v>
      </c>
      <c r="E953">
        <v>0</v>
      </c>
      <c r="F953">
        <v>2</v>
      </c>
      <c r="J953">
        <v>0</v>
      </c>
      <c r="K953">
        <v>4</v>
      </c>
      <c r="L953">
        <v>0</v>
      </c>
      <c r="M953" t="s">
        <v>25022</v>
      </c>
      <c r="N953">
        <v>3470</v>
      </c>
      <c r="O953" t="s">
        <v>20324</v>
      </c>
      <c r="P953" t="s">
        <v>62</v>
      </c>
      <c r="Q953">
        <v>3430601</v>
      </c>
      <c r="R953">
        <v>3432313</v>
      </c>
      <c r="S953" t="s">
        <v>20325</v>
      </c>
      <c r="T953">
        <v>571</v>
      </c>
      <c r="U953" t="s">
        <v>108</v>
      </c>
      <c r="V953">
        <v>44</v>
      </c>
      <c r="W953" t="str">
        <f>HYPERLINK("Gene3470-zp_tree_all.dnd", "Gene3470-tree")</f>
        <v>Gene3470-tree</v>
      </c>
      <c r="X953">
        <v>8</v>
      </c>
      <c r="Y953">
        <v>7</v>
      </c>
      <c r="Z953">
        <v>8</v>
      </c>
      <c r="AA953">
        <v>7</v>
      </c>
      <c r="AB953">
        <v>0.46666999999999997</v>
      </c>
      <c r="AC953" t="s">
        <v>136</v>
      </c>
      <c r="AD953" t="s">
        <v>152</v>
      </c>
      <c r="AE953" t="s">
        <v>62</v>
      </c>
      <c r="AF953" t="s">
        <v>62</v>
      </c>
      <c r="AG953">
        <v>2</v>
      </c>
      <c r="AH953">
        <v>4</v>
      </c>
      <c r="AI953">
        <v>7</v>
      </c>
      <c r="AJ953">
        <v>0.36364000000000002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2</v>
      </c>
      <c r="AQ953">
        <v>0</v>
      </c>
      <c r="AR953">
        <v>2</v>
      </c>
      <c r="AS953">
        <v>5</v>
      </c>
      <c r="AT953">
        <v>0.28571000000000002</v>
      </c>
      <c r="AU953">
        <v>12</v>
      </c>
      <c r="AV953">
        <v>12</v>
      </c>
      <c r="AW953">
        <v>51</v>
      </c>
      <c r="AX953">
        <v>7</v>
      </c>
      <c r="AY953">
        <v>55</v>
      </c>
      <c r="AZ953">
        <v>4</v>
      </c>
      <c r="BA953" t="s">
        <v>20326</v>
      </c>
      <c r="BB953" t="s">
        <v>20327</v>
      </c>
      <c r="BC953">
        <v>0.505</v>
      </c>
      <c r="BD953" t="s">
        <v>65</v>
      </c>
      <c r="BE953">
        <v>106</v>
      </c>
      <c r="BF953">
        <v>11</v>
      </c>
      <c r="BG953" t="s">
        <v>20328</v>
      </c>
      <c r="BH953" t="s">
        <v>20329</v>
      </c>
      <c r="BI953" t="s">
        <v>20330</v>
      </c>
      <c r="BJ953">
        <v>3.1669999999999997E-2</v>
      </c>
      <c r="BK953">
        <v>1</v>
      </c>
      <c r="BL953" t="s">
        <v>69</v>
      </c>
      <c r="BM953">
        <v>-0.88400000000000001</v>
      </c>
      <c r="BN953">
        <v>-1.111</v>
      </c>
    </row>
    <row r="954" spans="2:66">
      <c r="B954">
        <v>1496</v>
      </c>
      <c r="C954">
        <v>192</v>
      </c>
      <c r="D954">
        <v>0</v>
      </c>
      <c r="E954">
        <v>0</v>
      </c>
      <c r="F954">
        <v>3</v>
      </c>
      <c r="J954">
        <v>0</v>
      </c>
      <c r="K954">
        <v>17</v>
      </c>
      <c r="L954">
        <v>1</v>
      </c>
      <c r="M954" t="s">
        <v>25022</v>
      </c>
      <c r="N954">
        <v>3471</v>
      </c>
      <c r="O954" t="s">
        <v>20331</v>
      </c>
      <c r="P954" t="s">
        <v>62</v>
      </c>
      <c r="Q954">
        <v>3432342</v>
      </c>
      <c r="R954">
        <v>3434156</v>
      </c>
      <c r="S954" t="s">
        <v>20332</v>
      </c>
      <c r="T954">
        <v>605</v>
      </c>
      <c r="U954" t="s">
        <v>108</v>
      </c>
      <c r="V954">
        <v>44</v>
      </c>
      <c r="W954" t="str">
        <f>HYPERLINK("Gene3471-zp_tree_all.dnd", "Gene3471-tree")</f>
        <v>Gene3471-tree</v>
      </c>
      <c r="X954">
        <v>5</v>
      </c>
      <c r="Y954">
        <v>10</v>
      </c>
      <c r="Z954">
        <v>5</v>
      </c>
      <c r="AA954">
        <v>10</v>
      </c>
      <c r="AB954">
        <v>0.66666999999999998</v>
      </c>
      <c r="AC954" t="s">
        <v>199</v>
      </c>
      <c r="AD954" t="s">
        <v>117</v>
      </c>
      <c r="AE954" t="s">
        <v>62</v>
      </c>
      <c r="AF954" t="s">
        <v>62</v>
      </c>
      <c r="AG954">
        <v>6</v>
      </c>
      <c r="AH954">
        <v>18</v>
      </c>
      <c r="AI954">
        <v>17</v>
      </c>
      <c r="AJ954">
        <v>0.51429000000000002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2</v>
      </c>
      <c r="AQ954">
        <v>0</v>
      </c>
      <c r="AR954">
        <v>2</v>
      </c>
      <c r="AS954">
        <v>16</v>
      </c>
      <c r="AT954">
        <v>0.11111</v>
      </c>
      <c r="AU954">
        <v>13</v>
      </c>
      <c r="AV954">
        <v>11</v>
      </c>
      <c r="AW954">
        <v>76</v>
      </c>
      <c r="AX954">
        <v>18</v>
      </c>
      <c r="AY954">
        <v>23</v>
      </c>
      <c r="AZ954">
        <v>17</v>
      </c>
      <c r="BA954" t="s">
        <v>20333</v>
      </c>
      <c r="BB954" t="s">
        <v>20334</v>
      </c>
      <c r="BC954">
        <v>3.2109999999999999</v>
      </c>
      <c r="BD954" t="s">
        <v>65</v>
      </c>
      <c r="BE954">
        <v>99</v>
      </c>
      <c r="BF954">
        <v>35</v>
      </c>
      <c r="BG954" t="s">
        <v>20335</v>
      </c>
      <c r="BH954" t="s">
        <v>20336</v>
      </c>
      <c r="BI954" t="s">
        <v>20337</v>
      </c>
      <c r="BJ954">
        <v>9.8839999999999997E-2</v>
      </c>
      <c r="BK954">
        <v>1</v>
      </c>
      <c r="BL954" t="s">
        <v>69</v>
      </c>
      <c r="BM954">
        <v>-0.67500000000000004</v>
      </c>
      <c r="BN954">
        <v>-1.764</v>
      </c>
    </row>
    <row r="955" spans="2:66">
      <c r="B955">
        <v>1497</v>
      </c>
      <c r="C955">
        <v>297</v>
      </c>
      <c r="D955">
        <v>0</v>
      </c>
      <c r="E955">
        <v>5</v>
      </c>
      <c r="F955">
        <v>0</v>
      </c>
      <c r="J955">
        <v>0</v>
      </c>
      <c r="K955">
        <v>48</v>
      </c>
      <c r="L955">
        <v>6</v>
      </c>
      <c r="M955" t="s">
        <v>25022</v>
      </c>
      <c r="N955">
        <v>3472</v>
      </c>
      <c r="O955" t="s">
        <v>20338</v>
      </c>
      <c r="P955" t="s">
        <v>62</v>
      </c>
      <c r="Q955">
        <v>3434330</v>
      </c>
      <c r="R955">
        <v>3436651</v>
      </c>
      <c r="S955" t="s">
        <v>20339</v>
      </c>
      <c r="T955">
        <v>774</v>
      </c>
      <c r="U955" t="s">
        <v>108</v>
      </c>
      <c r="V955">
        <v>44</v>
      </c>
      <c r="W955" t="str">
        <f>HYPERLINK("Gene3472-zp_tree_all.dnd", "Gene3472-tree")</f>
        <v>Gene3472-tree</v>
      </c>
      <c r="X955">
        <v>2</v>
      </c>
      <c r="Y955">
        <v>13</v>
      </c>
      <c r="Z955">
        <v>2</v>
      </c>
      <c r="AA955">
        <v>13</v>
      </c>
      <c r="AB955">
        <v>0.86667000000000005</v>
      </c>
      <c r="AC955" t="s">
        <v>81</v>
      </c>
      <c r="AD955" t="s">
        <v>507</v>
      </c>
      <c r="AE955" t="s">
        <v>62</v>
      </c>
      <c r="AF955" t="s">
        <v>62</v>
      </c>
      <c r="AG955">
        <v>19</v>
      </c>
      <c r="AH955">
        <v>54</v>
      </c>
      <c r="AI955">
        <v>32</v>
      </c>
      <c r="AJ955">
        <v>0.62790999999999997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31</v>
      </c>
      <c r="AQ955">
        <v>4</v>
      </c>
      <c r="AR955">
        <v>35</v>
      </c>
      <c r="AS955">
        <v>31</v>
      </c>
      <c r="AT955">
        <v>0.53029999999999999</v>
      </c>
      <c r="AU955">
        <v>13</v>
      </c>
      <c r="AV955">
        <v>12</v>
      </c>
      <c r="AW955">
        <v>81</v>
      </c>
      <c r="AX955">
        <v>59</v>
      </c>
      <c r="AY955">
        <v>46</v>
      </c>
      <c r="AZ955">
        <v>30</v>
      </c>
      <c r="BA955" t="s">
        <v>20340</v>
      </c>
      <c r="BB955" t="s">
        <v>20341</v>
      </c>
      <c r="BC955">
        <v>0.20300000000000001</v>
      </c>
      <c r="BD955" t="s">
        <v>65</v>
      </c>
      <c r="BE955">
        <v>127</v>
      </c>
      <c r="BF955">
        <v>89</v>
      </c>
      <c r="BG955" t="s">
        <v>20342</v>
      </c>
      <c r="BH955" t="s">
        <v>20343</v>
      </c>
      <c r="BI955" t="s">
        <v>20344</v>
      </c>
      <c r="BJ955">
        <v>0.18440000000000001</v>
      </c>
      <c r="BK955">
        <v>1</v>
      </c>
      <c r="BL955" t="s">
        <v>69</v>
      </c>
      <c r="BM955">
        <v>-0.39100000000000001</v>
      </c>
      <c r="BN955">
        <v>-1.204</v>
      </c>
    </row>
    <row r="956" spans="2:66">
      <c r="B956">
        <v>1500</v>
      </c>
      <c r="C956">
        <v>343</v>
      </c>
      <c r="D956">
        <v>0</v>
      </c>
      <c r="E956">
        <v>2</v>
      </c>
      <c r="F956">
        <v>0</v>
      </c>
      <c r="J956">
        <v>0</v>
      </c>
      <c r="K956">
        <v>0</v>
      </c>
      <c r="L956">
        <v>0</v>
      </c>
      <c r="M956" t="s">
        <v>25022</v>
      </c>
      <c r="N956">
        <v>3473</v>
      </c>
      <c r="O956" t="s">
        <v>20345</v>
      </c>
      <c r="P956" t="s">
        <v>62</v>
      </c>
      <c r="Q956">
        <v>3436852</v>
      </c>
      <c r="R956">
        <v>3437457</v>
      </c>
      <c r="S956" t="s">
        <v>6103</v>
      </c>
      <c r="T956">
        <v>202</v>
      </c>
      <c r="U956" t="s">
        <v>289</v>
      </c>
      <c r="V956">
        <v>46</v>
      </c>
      <c r="W956" t="str">
        <f>HYPERLINK("Gene3473-zp_tree_all.dnd", "Gene3473-tree")</f>
        <v>Gene3473-tree</v>
      </c>
      <c r="X956">
        <v>14</v>
      </c>
      <c r="Y956">
        <v>2</v>
      </c>
      <c r="Z956">
        <v>14</v>
      </c>
      <c r="AA956">
        <v>2</v>
      </c>
      <c r="AB956">
        <v>0.125</v>
      </c>
      <c r="AC956" t="s">
        <v>543</v>
      </c>
      <c r="AD956" t="s">
        <v>81</v>
      </c>
      <c r="AE956" t="s">
        <v>62</v>
      </c>
      <c r="AF956" t="s">
        <v>62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0</v>
      </c>
      <c r="AU956">
        <v>12</v>
      </c>
      <c r="AV956">
        <v>9</v>
      </c>
      <c r="AW956">
        <v>29</v>
      </c>
      <c r="AX956">
        <v>2</v>
      </c>
      <c r="AY956">
        <v>30</v>
      </c>
      <c r="AZ956">
        <v>0</v>
      </c>
      <c r="BA956" t="s">
        <v>20346</v>
      </c>
      <c r="BB956" t="s">
        <v>193</v>
      </c>
      <c r="BC956">
        <v>0.57099999999999995</v>
      </c>
      <c r="BD956" t="s">
        <v>65</v>
      </c>
      <c r="BE956">
        <v>59</v>
      </c>
      <c r="BF956">
        <v>2</v>
      </c>
      <c r="BG956" t="s">
        <v>20347</v>
      </c>
      <c r="BH956" t="s">
        <v>20348</v>
      </c>
      <c r="BI956" t="s">
        <v>8249</v>
      </c>
      <c r="BJ956">
        <v>7.1799999999999998E-3</v>
      </c>
      <c r="BK956">
        <v>1</v>
      </c>
      <c r="BL956" t="s">
        <v>69</v>
      </c>
      <c r="BM956">
        <v>-0.86699999999999999</v>
      </c>
      <c r="BN956">
        <v>-0.58599999999999997</v>
      </c>
    </row>
    <row r="957" spans="2:66">
      <c r="B957">
        <v>1501</v>
      </c>
      <c r="C957">
        <v>140</v>
      </c>
      <c r="D957">
        <v>0</v>
      </c>
      <c r="E957">
        <v>10</v>
      </c>
      <c r="F957">
        <v>0</v>
      </c>
      <c r="J957">
        <v>0</v>
      </c>
      <c r="K957">
        <v>2</v>
      </c>
      <c r="L957">
        <v>0</v>
      </c>
      <c r="M957" t="s">
        <v>25022</v>
      </c>
      <c r="N957">
        <v>3474</v>
      </c>
      <c r="O957" t="s">
        <v>20349</v>
      </c>
      <c r="P957" t="s">
        <v>62</v>
      </c>
      <c r="Q957">
        <v>3437647</v>
      </c>
      <c r="R957">
        <v>3438060</v>
      </c>
      <c r="S957" t="s">
        <v>9249</v>
      </c>
      <c r="T957">
        <v>138</v>
      </c>
      <c r="U957" t="s">
        <v>11803</v>
      </c>
      <c r="V957">
        <v>47</v>
      </c>
      <c r="W957" t="str">
        <f>HYPERLINK("Gene3474-zp_tree_all.dnd", "Gene3474-tree")</f>
        <v>Gene3474-tree</v>
      </c>
      <c r="X957">
        <v>13</v>
      </c>
      <c r="Y957">
        <v>3</v>
      </c>
      <c r="Z957">
        <v>13</v>
      </c>
      <c r="AA957">
        <v>3</v>
      </c>
      <c r="AB957">
        <v>0.1875</v>
      </c>
      <c r="AC957" t="s">
        <v>507</v>
      </c>
      <c r="AD957" t="s">
        <v>324</v>
      </c>
      <c r="AE957" t="s">
        <v>62</v>
      </c>
      <c r="AF957" t="s">
        <v>62</v>
      </c>
      <c r="AG957">
        <v>1</v>
      </c>
      <c r="AH957">
        <v>2</v>
      </c>
      <c r="AI957">
        <v>7</v>
      </c>
      <c r="AJ957">
        <v>0.22222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4</v>
      </c>
      <c r="AT957">
        <v>0</v>
      </c>
      <c r="AU957">
        <v>12</v>
      </c>
      <c r="AV957">
        <v>10</v>
      </c>
      <c r="AW957">
        <v>27</v>
      </c>
      <c r="AX957">
        <v>4</v>
      </c>
      <c r="AY957">
        <v>24</v>
      </c>
      <c r="AZ957">
        <v>5</v>
      </c>
      <c r="BA957" t="s">
        <v>20350</v>
      </c>
      <c r="BB957" t="s">
        <v>20351</v>
      </c>
      <c r="BC957">
        <v>0.19800000000000001</v>
      </c>
      <c r="BD957" t="s">
        <v>65</v>
      </c>
      <c r="BE957">
        <v>51</v>
      </c>
      <c r="BF957">
        <v>9</v>
      </c>
      <c r="BG957" t="s">
        <v>20352</v>
      </c>
      <c r="BH957" t="s">
        <v>20353</v>
      </c>
      <c r="BI957" t="s">
        <v>20354</v>
      </c>
      <c r="BJ957">
        <v>6.794E-2</v>
      </c>
      <c r="BK957">
        <v>1</v>
      </c>
      <c r="BL957" t="s">
        <v>69</v>
      </c>
      <c r="BM957">
        <v>-1.425</v>
      </c>
      <c r="BN957">
        <v>-1.831</v>
      </c>
    </row>
    <row r="958" spans="2:66">
      <c r="B958">
        <v>1507</v>
      </c>
      <c r="C958">
        <v>46</v>
      </c>
      <c r="D958">
        <v>0</v>
      </c>
      <c r="E958">
        <v>14</v>
      </c>
      <c r="F958">
        <v>1</v>
      </c>
      <c r="J958">
        <v>0</v>
      </c>
      <c r="K958">
        <v>0</v>
      </c>
      <c r="L958">
        <v>0</v>
      </c>
      <c r="M958" t="s">
        <v>25022</v>
      </c>
      <c r="N958">
        <v>3475</v>
      </c>
      <c r="O958" t="s">
        <v>20355</v>
      </c>
      <c r="P958" t="s">
        <v>62</v>
      </c>
      <c r="Q958">
        <v>3438068</v>
      </c>
      <c r="R958">
        <v>3438733</v>
      </c>
      <c r="S958" t="s">
        <v>9249</v>
      </c>
      <c r="T958">
        <v>222</v>
      </c>
      <c r="U958" t="s">
        <v>108</v>
      </c>
      <c r="V958">
        <v>44</v>
      </c>
      <c r="W958" t="str">
        <f>HYPERLINK("Gene3475-zp_tree_all.dnd", "Gene3475-tree")</f>
        <v>Gene3475-tree</v>
      </c>
      <c r="X958">
        <v>27</v>
      </c>
      <c r="Y958">
        <v>3</v>
      </c>
      <c r="Z958">
        <v>8</v>
      </c>
      <c r="AA958">
        <v>3</v>
      </c>
      <c r="AB958">
        <v>0.27272999999999997</v>
      </c>
      <c r="AC958" t="s">
        <v>282</v>
      </c>
      <c r="AD958" t="s">
        <v>324</v>
      </c>
      <c r="AE958" t="s">
        <v>62</v>
      </c>
      <c r="AF958" t="s">
        <v>62</v>
      </c>
      <c r="AG958">
        <v>0</v>
      </c>
      <c r="AH958">
        <v>0</v>
      </c>
      <c r="AI958">
        <v>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5</v>
      </c>
      <c r="AT958">
        <v>0</v>
      </c>
      <c r="AU958">
        <v>8</v>
      </c>
      <c r="AV958">
        <v>4</v>
      </c>
      <c r="AW958">
        <v>9</v>
      </c>
      <c r="AX958">
        <v>6</v>
      </c>
      <c r="AY958">
        <v>4</v>
      </c>
      <c r="AZ958">
        <v>0</v>
      </c>
      <c r="BA958" t="s">
        <v>20356</v>
      </c>
      <c r="BB958" t="s">
        <v>193</v>
      </c>
      <c r="BC958">
        <v>1.179</v>
      </c>
      <c r="BD958" t="s">
        <v>65</v>
      </c>
      <c r="BE958">
        <v>13</v>
      </c>
      <c r="BF958">
        <v>6</v>
      </c>
      <c r="BG958" t="s">
        <v>20357</v>
      </c>
      <c r="BH958" t="s">
        <v>20358</v>
      </c>
      <c r="BI958" t="s">
        <v>20359</v>
      </c>
      <c r="BJ958">
        <v>9.178E-2</v>
      </c>
      <c r="BK958">
        <v>1</v>
      </c>
      <c r="BL958" t="s">
        <v>69</v>
      </c>
      <c r="BM958">
        <v>-1.0580000000000001</v>
      </c>
      <c r="BN958">
        <v>-1.84</v>
      </c>
    </row>
    <row r="959" spans="2:66">
      <c r="B959">
        <v>1509</v>
      </c>
      <c r="C959">
        <v>15</v>
      </c>
      <c r="D959">
        <v>0</v>
      </c>
      <c r="E959">
        <v>22</v>
      </c>
      <c r="F959">
        <v>0</v>
      </c>
      <c r="J959">
        <v>0</v>
      </c>
      <c r="K959">
        <v>23</v>
      </c>
      <c r="L959">
        <v>1</v>
      </c>
      <c r="M959" t="s">
        <v>25022</v>
      </c>
      <c r="N959">
        <v>3476</v>
      </c>
      <c r="O959" t="s">
        <v>20360</v>
      </c>
      <c r="P959" t="s">
        <v>62</v>
      </c>
      <c r="Q959">
        <v>3438856</v>
      </c>
      <c r="R959">
        <v>3440961</v>
      </c>
      <c r="S959" t="s">
        <v>20361</v>
      </c>
      <c r="T959">
        <v>702</v>
      </c>
      <c r="U959" t="s">
        <v>108</v>
      </c>
      <c r="V959">
        <v>44</v>
      </c>
      <c r="W959" t="str">
        <f>HYPERLINK("Gene3476-zp_tree_all.dnd", "Gene3476-tree")</f>
        <v>Gene3476-tree</v>
      </c>
      <c r="X959">
        <v>3</v>
      </c>
      <c r="Y959">
        <v>12</v>
      </c>
      <c r="Z959">
        <v>3</v>
      </c>
      <c r="AA959">
        <v>12</v>
      </c>
      <c r="AB959">
        <v>0.8</v>
      </c>
      <c r="AC959" t="s">
        <v>324</v>
      </c>
      <c r="AD959" t="s">
        <v>109</v>
      </c>
      <c r="AE959" t="s">
        <v>62</v>
      </c>
      <c r="AF959" t="s">
        <v>62</v>
      </c>
      <c r="AG959">
        <v>9</v>
      </c>
      <c r="AH959">
        <v>24</v>
      </c>
      <c r="AI959">
        <v>38</v>
      </c>
      <c r="AJ959">
        <v>0.3871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9</v>
      </c>
      <c r="AQ959">
        <v>0</v>
      </c>
      <c r="AR959">
        <v>9</v>
      </c>
      <c r="AS959">
        <v>32</v>
      </c>
      <c r="AT959">
        <v>0.21951000000000001</v>
      </c>
      <c r="AU959">
        <v>14</v>
      </c>
      <c r="AV959">
        <v>12</v>
      </c>
      <c r="AW959">
        <v>119</v>
      </c>
      <c r="AX959">
        <v>43</v>
      </c>
      <c r="AY959">
        <v>74</v>
      </c>
      <c r="AZ959">
        <v>22</v>
      </c>
      <c r="BA959" t="s">
        <v>20362</v>
      </c>
      <c r="BB959" t="s">
        <v>20363</v>
      </c>
      <c r="BC959">
        <v>0.48499999999999999</v>
      </c>
      <c r="BD959" t="s">
        <v>65</v>
      </c>
      <c r="BE959">
        <v>193</v>
      </c>
      <c r="BF959">
        <v>65</v>
      </c>
      <c r="BG959" t="s">
        <v>20364</v>
      </c>
      <c r="BH959" t="s">
        <v>20365</v>
      </c>
      <c r="BI959" t="s">
        <v>20366</v>
      </c>
      <c r="BJ959">
        <v>0.10007000000000001</v>
      </c>
      <c r="BK959">
        <v>1</v>
      </c>
      <c r="BL959" t="s">
        <v>69</v>
      </c>
      <c r="BM959">
        <v>-0.627</v>
      </c>
      <c r="BN959">
        <v>-1.2549999999999999</v>
      </c>
    </row>
    <row r="960" spans="2:66">
      <c r="B960">
        <v>1512</v>
      </c>
      <c r="C960">
        <v>85</v>
      </c>
      <c r="D960">
        <v>0</v>
      </c>
      <c r="E960">
        <v>2</v>
      </c>
      <c r="F960">
        <v>0</v>
      </c>
      <c r="J960">
        <v>0</v>
      </c>
      <c r="K960">
        <v>0</v>
      </c>
      <c r="L960">
        <v>0</v>
      </c>
      <c r="M960" t="s">
        <v>25022</v>
      </c>
      <c r="N960">
        <v>3477</v>
      </c>
      <c r="O960" t="s">
        <v>20367</v>
      </c>
      <c r="P960" t="s">
        <v>62</v>
      </c>
      <c r="Q960">
        <v>3441124</v>
      </c>
      <c r="R960">
        <v>3443529</v>
      </c>
      <c r="S960" t="s">
        <v>20368</v>
      </c>
      <c r="T960">
        <v>802</v>
      </c>
      <c r="U960" t="s">
        <v>20369</v>
      </c>
      <c r="V960">
        <v>25</v>
      </c>
      <c r="W960" t="str">
        <f>HYPERLINK("Gene3477-zp_tree_all.dnd", "Gene3477-tree")</f>
        <v>Gene3477-tree</v>
      </c>
      <c r="X960">
        <v>2</v>
      </c>
      <c r="Y960">
        <v>22</v>
      </c>
      <c r="Z960">
        <v>2</v>
      </c>
      <c r="AA960">
        <v>3</v>
      </c>
      <c r="AB960">
        <v>0.6</v>
      </c>
      <c r="AC960" t="s">
        <v>81</v>
      </c>
      <c r="AD960" t="s">
        <v>1005</v>
      </c>
      <c r="AE960">
        <v>3.1230000000000002</v>
      </c>
      <c r="AF960" t="s">
        <v>65</v>
      </c>
      <c r="AG960">
        <v>0</v>
      </c>
      <c r="AH960">
        <v>0</v>
      </c>
      <c r="AI960">
        <v>11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10</v>
      </c>
      <c r="AT960">
        <v>0</v>
      </c>
      <c r="AU960">
        <v>5</v>
      </c>
      <c r="AV960">
        <v>2</v>
      </c>
      <c r="AW960">
        <v>38</v>
      </c>
      <c r="AX960">
        <v>10</v>
      </c>
      <c r="AY960">
        <v>9</v>
      </c>
      <c r="AZ960">
        <v>1</v>
      </c>
      <c r="BA960" t="s">
        <v>20370</v>
      </c>
      <c r="BB960" t="s">
        <v>20371</v>
      </c>
      <c r="BC960">
        <v>0.624</v>
      </c>
      <c r="BD960" t="s">
        <v>65</v>
      </c>
      <c r="BE960">
        <v>47</v>
      </c>
      <c r="BF960">
        <v>11</v>
      </c>
      <c r="BG960" t="s">
        <v>20372</v>
      </c>
      <c r="BH960" t="s">
        <v>20373</v>
      </c>
      <c r="BI960" t="s">
        <v>20374</v>
      </c>
      <c r="BJ960">
        <v>7.5020000000000003E-2</v>
      </c>
      <c r="BK960">
        <v>1</v>
      </c>
      <c r="BL960" t="s">
        <v>69</v>
      </c>
      <c r="BM960">
        <v>-1.175</v>
      </c>
      <c r="BN960">
        <v>-0.877</v>
      </c>
    </row>
    <row r="961" spans="2:66">
      <c r="B961">
        <v>1513</v>
      </c>
      <c r="C961">
        <v>180</v>
      </c>
      <c r="D961">
        <v>0</v>
      </c>
      <c r="E961">
        <v>2</v>
      </c>
      <c r="F961">
        <v>0</v>
      </c>
      <c r="J961">
        <v>0</v>
      </c>
      <c r="K961">
        <v>0</v>
      </c>
      <c r="L961">
        <v>0</v>
      </c>
      <c r="M961" t="s">
        <v>25022</v>
      </c>
      <c r="N961">
        <v>3478</v>
      </c>
      <c r="O961" t="s">
        <v>20375</v>
      </c>
      <c r="P961" t="s">
        <v>62</v>
      </c>
      <c r="Q961">
        <v>3443616</v>
      </c>
      <c r="R961">
        <v>3443822</v>
      </c>
      <c r="S961" t="s">
        <v>20376</v>
      </c>
      <c r="T961">
        <v>69</v>
      </c>
      <c r="U961" t="s">
        <v>749</v>
      </c>
      <c r="V961">
        <v>47</v>
      </c>
      <c r="W961" t="str">
        <f>HYPERLINK("Gene3478-zp_tree_all.dnd", "Gene3478-tree")</f>
        <v>Gene3478-tree</v>
      </c>
      <c r="X961">
        <v>8</v>
      </c>
      <c r="Y961">
        <v>2</v>
      </c>
      <c r="Z961">
        <v>8</v>
      </c>
      <c r="AA961">
        <v>2</v>
      </c>
      <c r="AB961">
        <v>0.2</v>
      </c>
      <c r="AC961" t="s">
        <v>136</v>
      </c>
      <c r="AD961" t="s">
        <v>81</v>
      </c>
      <c r="AE961" t="s">
        <v>62</v>
      </c>
      <c r="AF961" t="s">
        <v>62</v>
      </c>
      <c r="AG961">
        <v>0</v>
      </c>
      <c r="AH961">
        <v>0</v>
      </c>
      <c r="AI961">
        <v>3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0</v>
      </c>
      <c r="AU961">
        <v>5</v>
      </c>
      <c r="AV961">
        <v>5</v>
      </c>
      <c r="AW961">
        <v>8</v>
      </c>
      <c r="AX961">
        <v>3</v>
      </c>
      <c r="AY961">
        <v>10</v>
      </c>
      <c r="AZ961">
        <v>0</v>
      </c>
      <c r="BA961" t="s">
        <v>20377</v>
      </c>
      <c r="BB961" t="s">
        <v>193</v>
      </c>
      <c r="BC961">
        <v>0.94799999999999995</v>
      </c>
      <c r="BD961" t="s">
        <v>65</v>
      </c>
      <c r="BE961">
        <v>18</v>
      </c>
      <c r="BF961">
        <v>3</v>
      </c>
      <c r="BG961" t="s">
        <v>20378</v>
      </c>
      <c r="BH961" t="s">
        <v>20379</v>
      </c>
      <c r="BI961" t="s">
        <v>20380</v>
      </c>
      <c r="BJ961">
        <v>2.852E-2</v>
      </c>
      <c r="BK961">
        <v>1</v>
      </c>
      <c r="BL961" t="s">
        <v>69</v>
      </c>
      <c r="BM961">
        <v>-1.7310000000000001</v>
      </c>
      <c r="BN961">
        <v>-1.6739999999999999</v>
      </c>
    </row>
    <row r="962" spans="2:66">
      <c r="B962">
        <v>1523</v>
      </c>
      <c r="C962">
        <v>189</v>
      </c>
      <c r="D962">
        <v>0</v>
      </c>
      <c r="E962">
        <v>4</v>
      </c>
      <c r="F962">
        <v>0</v>
      </c>
      <c r="J962">
        <v>0</v>
      </c>
      <c r="K962">
        <v>0</v>
      </c>
      <c r="L962">
        <v>0</v>
      </c>
      <c r="M962" t="s">
        <v>25022</v>
      </c>
      <c r="N962">
        <v>3479</v>
      </c>
      <c r="O962" t="s">
        <v>20381</v>
      </c>
      <c r="P962" t="s">
        <v>62</v>
      </c>
      <c r="Q962">
        <v>3443899</v>
      </c>
      <c r="R962">
        <v>3444201</v>
      </c>
      <c r="S962" t="s">
        <v>20382</v>
      </c>
      <c r="T962">
        <v>101</v>
      </c>
      <c r="U962" t="s">
        <v>749</v>
      </c>
      <c r="V962">
        <v>47</v>
      </c>
      <c r="W962" t="str">
        <f>HYPERLINK("Gene3479-zp_tree_all.dnd", "Gene3479-tree")</f>
        <v>Gene3479-tree</v>
      </c>
      <c r="X962">
        <v>11</v>
      </c>
      <c r="Y962">
        <v>3</v>
      </c>
      <c r="Z962">
        <v>11</v>
      </c>
      <c r="AA962">
        <v>3</v>
      </c>
      <c r="AB962">
        <v>0.21429000000000001</v>
      </c>
      <c r="AC962" t="s">
        <v>73</v>
      </c>
      <c r="AD962" t="s">
        <v>324</v>
      </c>
      <c r="AE962" t="s">
        <v>62</v>
      </c>
      <c r="AF962" t="s">
        <v>62</v>
      </c>
      <c r="AG962">
        <v>0</v>
      </c>
      <c r="AH962">
        <v>0</v>
      </c>
      <c r="AI962">
        <v>6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4</v>
      </c>
      <c r="AT962">
        <v>0</v>
      </c>
      <c r="AU962">
        <v>7</v>
      </c>
      <c r="AV962">
        <v>8</v>
      </c>
      <c r="AW962">
        <v>12</v>
      </c>
      <c r="AX962">
        <v>4</v>
      </c>
      <c r="AY962">
        <v>20</v>
      </c>
      <c r="AZ962">
        <v>2</v>
      </c>
      <c r="BA962" t="s">
        <v>20383</v>
      </c>
      <c r="BB962" t="s">
        <v>20384</v>
      </c>
      <c r="BC962">
        <v>0.72299999999999998</v>
      </c>
      <c r="BD962" t="s">
        <v>65</v>
      </c>
      <c r="BE962">
        <v>32</v>
      </c>
      <c r="BF962">
        <v>6</v>
      </c>
      <c r="BG962" t="s">
        <v>20385</v>
      </c>
      <c r="BH962" t="s">
        <v>20386</v>
      </c>
      <c r="BI962" t="s">
        <v>20387</v>
      </c>
      <c r="BJ962">
        <v>3.2840000000000001E-2</v>
      </c>
      <c r="BK962">
        <v>1</v>
      </c>
      <c r="BL962" t="s">
        <v>69</v>
      </c>
      <c r="BM962">
        <v>-1.2</v>
      </c>
      <c r="BN962">
        <v>-0.97699999999999998</v>
      </c>
    </row>
    <row r="963" spans="2:66">
      <c r="B963">
        <v>1524</v>
      </c>
      <c r="C963">
        <v>79</v>
      </c>
      <c r="D963">
        <v>0</v>
      </c>
      <c r="E963">
        <v>4</v>
      </c>
      <c r="F963">
        <v>2</v>
      </c>
      <c r="J963">
        <v>0</v>
      </c>
      <c r="K963">
        <v>2</v>
      </c>
      <c r="L963">
        <v>0</v>
      </c>
      <c r="M963" t="s">
        <v>25022</v>
      </c>
      <c r="N963">
        <v>3481</v>
      </c>
      <c r="O963" t="s">
        <v>20395</v>
      </c>
      <c r="P963" t="s">
        <v>62</v>
      </c>
      <c r="Q963">
        <v>3445445</v>
      </c>
      <c r="R963">
        <v>3446077</v>
      </c>
      <c r="S963" t="s">
        <v>20396</v>
      </c>
      <c r="T963">
        <v>211</v>
      </c>
      <c r="U963" t="s">
        <v>108</v>
      </c>
      <c r="V963">
        <v>44</v>
      </c>
      <c r="W963" t="str">
        <f>HYPERLINK("Gene3481-zp_tree_all.dnd", "Gene3481-tree")</f>
        <v>Gene3481-tree</v>
      </c>
      <c r="X963">
        <v>13</v>
      </c>
      <c r="Y963">
        <v>3</v>
      </c>
      <c r="Z963">
        <v>13</v>
      </c>
      <c r="AA963">
        <v>3</v>
      </c>
      <c r="AB963">
        <v>0.1875</v>
      </c>
      <c r="AC963" t="s">
        <v>507</v>
      </c>
      <c r="AD963" t="s">
        <v>324</v>
      </c>
      <c r="AE963" t="s">
        <v>62</v>
      </c>
      <c r="AF963" t="s">
        <v>62</v>
      </c>
      <c r="AG963">
        <v>1</v>
      </c>
      <c r="AH963">
        <v>2</v>
      </c>
      <c r="AI963">
        <v>3</v>
      </c>
      <c r="AJ963">
        <v>0.4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3</v>
      </c>
      <c r="AT963">
        <v>0</v>
      </c>
      <c r="AU963">
        <v>13</v>
      </c>
      <c r="AV963">
        <v>10</v>
      </c>
      <c r="AW963">
        <v>28</v>
      </c>
      <c r="AX963">
        <v>3</v>
      </c>
      <c r="AY963">
        <v>12</v>
      </c>
      <c r="AZ963">
        <v>2</v>
      </c>
      <c r="BA963" t="s">
        <v>20397</v>
      </c>
      <c r="BB963" t="s">
        <v>20398</v>
      </c>
      <c r="BC963">
        <v>0.24099999999999999</v>
      </c>
      <c r="BD963" t="s">
        <v>65</v>
      </c>
      <c r="BE963">
        <v>40</v>
      </c>
      <c r="BF963">
        <v>5</v>
      </c>
      <c r="BG963" t="s">
        <v>20399</v>
      </c>
      <c r="BH963" t="s">
        <v>20400</v>
      </c>
      <c r="BI963" t="s">
        <v>20401</v>
      </c>
      <c r="BJ963">
        <v>4.9029999999999997E-2</v>
      </c>
      <c r="BK963">
        <v>1</v>
      </c>
      <c r="BL963" t="s">
        <v>69</v>
      </c>
      <c r="BM963">
        <v>-0.63200000000000001</v>
      </c>
      <c r="BN963">
        <v>-1.7769999999999999</v>
      </c>
    </row>
    <row r="964" spans="2:66">
      <c r="B964">
        <v>1525</v>
      </c>
      <c r="C964">
        <v>210</v>
      </c>
      <c r="D964">
        <v>0</v>
      </c>
      <c r="E964">
        <v>2</v>
      </c>
      <c r="F964">
        <v>4</v>
      </c>
      <c r="J964">
        <v>2</v>
      </c>
      <c r="K964">
        <v>54</v>
      </c>
      <c r="L964">
        <v>8</v>
      </c>
      <c r="M964" t="s">
        <v>25022</v>
      </c>
      <c r="N964">
        <v>3482</v>
      </c>
      <c r="O964" t="s">
        <v>20402</v>
      </c>
      <c r="P964" t="s">
        <v>62</v>
      </c>
      <c r="Q964">
        <v>3446240</v>
      </c>
      <c r="R964">
        <v>3448132</v>
      </c>
      <c r="S964" t="s">
        <v>3095</v>
      </c>
      <c r="T964">
        <v>631</v>
      </c>
      <c r="U964" t="s">
        <v>1933</v>
      </c>
      <c r="V964">
        <v>39</v>
      </c>
      <c r="W964" t="str">
        <f>HYPERLINK("Gene3482-zp_tree_all.dnd", "Gene3482-tree")</f>
        <v>Gene3482-tree</v>
      </c>
      <c r="X964">
        <v>1</v>
      </c>
      <c r="Y964">
        <v>13</v>
      </c>
      <c r="Z964">
        <v>1</v>
      </c>
      <c r="AA964">
        <v>13</v>
      </c>
      <c r="AB964">
        <v>0.92857000000000001</v>
      </c>
      <c r="AC964" t="s">
        <v>175</v>
      </c>
      <c r="AD964" t="s">
        <v>507</v>
      </c>
      <c r="AE964" t="s">
        <v>62</v>
      </c>
      <c r="AF964" t="s">
        <v>62</v>
      </c>
      <c r="AG964">
        <v>25</v>
      </c>
      <c r="AH964">
        <v>64</v>
      </c>
      <c r="AI964">
        <v>26</v>
      </c>
      <c r="AJ964">
        <v>0.71111000000000002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15</v>
      </c>
      <c r="AQ964">
        <v>6</v>
      </c>
      <c r="AR964">
        <v>21</v>
      </c>
      <c r="AS964">
        <v>31</v>
      </c>
      <c r="AT964">
        <v>0.40384999999999999</v>
      </c>
      <c r="AU964">
        <v>14</v>
      </c>
      <c r="AV964">
        <v>11</v>
      </c>
      <c r="AW964">
        <v>109</v>
      </c>
      <c r="AX964">
        <v>54</v>
      </c>
      <c r="AY964">
        <v>64</v>
      </c>
      <c r="AZ964">
        <v>40</v>
      </c>
      <c r="BA964" t="s">
        <v>20403</v>
      </c>
      <c r="BB964" t="s">
        <v>20404</v>
      </c>
      <c r="BC964">
        <v>0.72399999999999998</v>
      </c>
      <c r="BD964" t="s">
        <v>65</v>
      </c>
      <c r="BE964">
        <v>173</v>
      </c>
      <c r="BF964">
        <v>94</v>
      </c>
      <c r="BG964" t="s">
        <v>20405</v>
      </c>
      <c r="BH964" t="s">
        <v>20406</v>
      </c>
      <c r="BI964" t="s">
        <v>20407</v>
      </c>
      <c r="BJ964">
        <v>0.17449999999999999</v>
      </c>
      <c r="BK964">
        <v>1</v>
      </c>
      <c r="BL964" t="s">
        <v>69</v>
      </c>
      <c r="BM964">
        <v>-0.52200000000000002</v>
      </c>
      <c r="BN964">
        <v>-1.4419999999999999</v>
      </c>
    </row>
    <row r="965" spans="2:66">
      <c r="B965">
        <v>1527</v>
      </c>
      <c r="C965">
        <v>228</v>
      </c>
      <c r="D965">
        <v>0</v>
      </c>
      <c r="E965">
        <v>6</v>
      </c>
      <c r="F965">
        <v>0</v>
      </c>
      <c r="J965">
        <v>0</v>
      </c>
      <c r="K965">
        <v>7</v>
      </c>
      <c r="L965">
        <v>0</v>
      </c>
      <c r="M965" t="s">
        <v>25022</v>
      </c>
      <c r="N965">
        <v>3483</v>
      </c>
      <c r="O965" t="s">
        <v>20408</v>
      </c>
      <c r="P965" t="s">
        <v>62</v>
      </c>
      <c r="Q965">
        <v>3448298</v>
      </c>
      <c r="R965">
        <v>3448696</v>
      </c>
      <c r="S965" t="s">
        <v>3095</v>
      </c>
      <c r="T965">
        <v>133</v>
      </c>
      <c r="U965" t="s">
        <v>108</v>
      </c>
      <c r="V965">
        <v>44</v>
      </c>
      <c r="W965" t="str">
        <f>HYPERLINK("Gene3483-zp_tree_all.dnd", "Gene3483-tree")</f>
        <v>Gene3483-tree</v>
      </c>
      <c r="X965">
        <v>8</v>
      </c>
      <c r="Y965">
        <v>8</v>
      </c>
      <c r="Z965">
        <v>8</v>
      </c>
      <c r="AA965">
        <v>8</v>
      </c>
      <c r="AB965">
        <v>0.5</v>
      </c>
      <c r="AC965" t="s">
        <v>136</v>
      </c>
      <c r="AD965" t="s">
        <v>136</v>
      </c>
      <c r="AE965" t="s">
        <v>62</v>
      </c>
      <c r="AF965" t="s">
        <v>62</v>
      </c>
      <c r="AG965">
        <v>3</v>
      </c>
      <c r="AH965">
        <v>7</v>
      </c>
      <c r="AI965">
        <v>5</v>
      </c>
      <c r="AJ965">
        <v>0.58333000000000002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5</v>
      </c>
      <c r="AQ965">
        <v>0</v>
      </c>
      <c r="AR965">
        <v>5</v>
      </c>
      <c r="AS965">
        <v>6</v>
      </c>
      <c r="AT965">
        <v>0.45455000000000001</v>
      </c>
      <c r="AU965">
        <v>10</v>
      </c>
      <c r="AV965">
        <v>8</v>
      </c>
      <c r="AW965">
        <v>14</v>
      </c>
      <c r="AX965">
        <v>12</v>
      </c>
      <c r="AY965">
        <v>7</v>
      </c>
      <c r="AZ965">
        <v>1</v>
      </c>
      <c r="BA965" t="s">
        <v>20409</v>
      </c>
      <c r="BB965" t="s">
        <v>20410</v>
      </c>
      <c r="BC965">
        <v>1.474</v>
      </c>
      <c r="BD965" t="s">
        <v>65</v>
      </c>
      <c r="BE965">
        <v>21</v>
      </c>
      <c r="BF965">
        <v>13</v>
      </c>
      <c r="BG965" t="s">
        <v>20411</v>
      </c>
      <c r="BH965" t="s">
        <v>20412</v>
      </c>
      <c r="BI965" t="s">
        <v>20413</v>
      </c>
      <c r="BJ965">
        <v>0.13825999999999999</v>
      </c>
      <c r="BK965">
        <v>1</v>
      </c>
      <c r="BL965" t="s">
        <v>69</v>
      </c>
      <c r="BM965">
        <v>-1.1339999999999999</v>
      </c>
      <c r="BN965">
        <v>-1.954</v>
      </c>
    </row>
    <row r="966" spans="2:66">
      <c r="B966">
        <v>1528</v>
      </c>
      <c r="C966">
        <v>35</v>
      </c>
      <c r="D966">
        <v>0</v>
      </c>
      <c r="E966">
        <v>5</v>
      </c>
      <c r="F966">
        <v>2</v>
      </c>
      <c r="J966">
        <v>0</v>
      </c>
      <c r="K966">
        <v>4</v>
      </c>
      <c r="L966">
        <v>0</v>
      </c>
      <c r="M966" t="s">
        <v>25022</v>
      </c>
      <c r="N966">
        <v>3484</v>
      </c>
      <c r="O966" t="s">
        <v>20414</v>
      </c>
      <c r="P966" t="s">
        <v>62</v>
      </c>
      <c r="Q966">
        <v>3448696</v>
      </c>
      <c r="R966">
        <v>3449052</v>
      </c>
      <c r="S966" t="s">
        <v>20415</v>
      </c>
      <c r="T966">
        <v>119</v>
      </c>
      <c r="U966" t="s">
        <v>108</v>
      </c>
      <c r="V966">
        <v>44</v>
      </c>
      <c r="W966" t="str">
        <f>HYPERLINK("Gene3484-zp_tree_all.dnd", "Gene3484-tree")</f>
        <v>Gene3484-tree</v>
      </c>
      <c r="X966">
        <v>6</v>
      </c>
      <c r="Y966">
        <v>6</v>
      </c>
      <c r="Z966">
        <v>6</v>
      </c>
      <c r="AA966">
        <v>6</v>
      </c>
      <c r="AB966">
        <v>0.5</v>
      </c>
      <c r="AC966" t="s">
        <v>90</v>
      </c>
      <c r="AD966" t="s">
        <v>90</v>
      </c>
      <c r="AE966" t="s">
        <v>62</v>
      </c>
      <c r="AF966" t="s">
        <v>62</v>
      </c>
      <c r="AG966">
        <v>2</v>
      </c>
      <c r="AH966">
        <v>4</v>
      </c>
      <c r="AI966">
        <v>6</v>
      </c>
      <c r="AJ966">
        <v>0.4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4</v>
      </c>
      <c r="AQ966">
        <v>0</v>
      </c>
      <c r="AR966">
        <v>4</v>
      </c>
      <c r="AS966">
        <v>5</v>
      </c>
      <c r="AT966">
        <v>0.44444</v>
      </c>
      <c r="AU966">
        <v>10</v>
      </c>
      <c r="AV966">
        <v>6</v>
      </c>
      <c r="AW966">
        <v>12</v>
      </c>
      <c r="AX966">
        <v>10</v>
      </c>
      <c r="AY966">
        <v>7</v>
      </c>
      <c r="AZ966">
        <v>1</v>
      </c>
      <c r="BA966" t="s">
        <v>20416</v>
      </c>
      <c r="BB966" t="s">
        <v>20417</v>
      </c>
      <c r="BC966">
        <v>0.93500000000000005</v>
      </c>
      <c r="BD966" t="s">
        <v>65</v>
      </c>
      <c r="BE966">
        <v>19</v>
      </c>
      <c r="BF966">
        <v>11</v>
      </c>
      <c r="BG966" t="s">
        <v>20418</v>
      </c>
      <c r="BH966" t="s">
        <v>20419</v>
      </c>
      <c r="BI966" t="s">
        <v>20420</v>
      </c>
      <c r="BJ966">
        <v>0.16139999999999999</v>
      </c>
      <c r="BK966">
        <v>1</v>
      </c>
      <c r="BL966" t="s">
        <v>69</v>
      </c>
      <c r="BM966">
        <v>0.54100000000000004</v>
      </c>
      <c r="BN966">
        <v>0.71699999999999997</v>
      </c>
    </row>
    <row r="967" spans="2:66">
      <c r="B967">
        <v>1529</v>
      </c>
      <c r="C967">
        <v>62</v>
      </c>
      <c r="D967">
        <v>0</v>
      </c>
      <c r="E967">
        <v>6</v>
      </c>
      <c r="F967">
        <v>0</v>
      </c>
      <c r="J967">
        <v>0</v>
      </c>
      <c r="K967">
        <v>18</v>
      </c>
      <c r="L967">
        <v>0</v>
      </c>
      <c r="M967" t="s">
        <v>25022</v>
      </c>
      <c r="N967">
        <v>3485</v>
      </c>
      <c r="O967" t="s">
        <v>20421</v>
      </c>
      <c r="P967" t="s">
        <v>62</v>
      </c>
      <c r="Q967">
        <v>3449052</v>
      </c>
      <c r="R967">
        <v>3449621</v>
      </c>
      <c r="S967" t="s">
        <v>637</v>
      </c>
      <c r="T967">
        <v>190</v>
      </c>
      <c r="U967" t="s">
        <v>108</v>
      </c>
      <c r="V967">
        <v>44</v>
      </c>
      <c r="W967" t="str">
        <f>HYPERLINK("Gene3485-zp_tree_all.dnd", "Gene3485-tree")</f>
        <v>Gene3485-tree</v>
      </c>
      <c r="X967">
        <v>3</v>
      </c>
      <c r="Y967">
        <v>12</v>
      </c>
      <c r="Z967">
        <v>3</v>
      </c>
      <c r="AA967">
        <v>12</v>
      </c>
      <c r="AB967">
        <v>0.8</v>
      </c>
      <c r="AC967" t="s">
        <v>324</v>
      </c>
      <c r="AD967" t="s">
        <v>109</v>
      </c>
      <c r="AE967" t="s">
        <v>62</v>
      </c>
      <c r="AF967" t="s">
        <v>62</v>
      </c>
      <c r="AG967">
        <v>8</v>
      </c>
      <c r="AH967">
        <v>18</v>
      </c>
      <c r="AI967">
        <v>12</v>
      </c>
      <c r="AJ967">
        <v>0.6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6</v>
      </c>
      <c r="AQ967">
        <v>0</v>
      </c>
      <c r="AR967">
        <v>6</v>
      </c>
      <c r="AS967">
        <v>10</v>
      </c>
      <c r="AT967">
        <v>0.375</v>
      </c>
      <c r="AU967">
        <v>12</v>
      </c>
      <c r="AV967">
        <v>9</v>
      </c>
      <c r="AW967">
        <v>20</v>
      </c>
      <c r="AX967">
        <v>14</v>
      </c>
      <c r="AY967">
        <v>15</v>
      </c>
      <c r="AZ967">
        <v>16</v>
      </c>
      <c r="BA967" t="s">
        <v>20422</v>
      </c>
      <c r="BB967" t="s">
        <v>20423</v>
      </c>
      <c r="BC967">
        <v>0.55400000000000005</v>
      </c>
      <c r="BD967" t="s">
        <v>65</v>
      </c>
      <c r="BE967">
        <v>35</v>
      </c>
      <c r="BF967">
        <v>30</v>
      </c>
      <c r="BG967" t="s">
        <v>20424</v>
      </c>
      <c r="BH967" t="s">
        <v>20425</v>
      </c>
      <c r="BI967" t="s">
        <v>20426</v>
      </c>
      <c r="BJ967">
        <v>0.24524000000000001</v>
      </c>
      <c r="BK967">
        <v>1</v>
      </c>
      <c r="BL967" t="s">
        <v>69</v>
      </c>
      <c r="BM967">
        <v>-0.34899999999999998</v>
      </c>
      <c r="BN967">
        <v>-0.215</v>
      </c>
    </row>
    <row r="968" spans="2:66">
      <c r="B968">
        <v>1531</v>
      </c>
      <c r="C968">
        <v>229</v>
      </c>
      <c r="D968">
        <v>0</v>
      </c>
      <c r="E968">
        <v>31</v>
      </c>
      <c r="F968">
        <v>10</v>
      </c>
      <c r="J968">
        <v>0</v>
      </c>
      <c r="K968">
        <v>8</v>
      </c>
      <c r="L968">
        <v>4</v>
      </c>
      <c r="M968" t="s">
        <v>25022</v>
      </c>
      <c r="N968">
        <v>3486</v>
      </c>
      <c r="O968" t="s">
        <v>20427</v>
      </c>
      <c r="P968" t="s">
        <v>62</v>
      </c>
      <c r="Q968">
        <v>3449735</v>
      </c>
      <c r="R968">
        <v>3450526</v>
      </c>
      <c r="S968" t="s">
        <v>1940</v>
      </c>
      <c r="T968">
        <v>264</v>
      </c>
      <c r="U968" t="s">
        <v>59</v>
      </c>
      <c r="V968">
        <v>49</v>
      </c>
      <c r="W968" t="str">
        <f>HYPERLINK("Gene3486-zp_tree_all.dnd", "Gene3486-tree")</f>
        <v>Gene3486-tree</v>
      </c>
      <c r="X968">
        <v>14</v>
      </c>
      <c r="Y968">
        <v>6</v>
      </c>
      <c r="Z968">
        <v>14</v>
      </c>
      <c r="AA968">
        <v>6</v>
      </c>
      <c r="AB968">
        <v>0.3</v>
      </c>
      <c r="AC968" t="s">
        <v>543</v>
      </c>
      <c r="AD968" t="s">
        <v>90</v>
      </c>
      <c r="AE968" t="s">
        <v>62</v>
      </c>
      <c r="AF968" t="s">
        <v>62</v>
      </c>
      <c r="AG968">
        <v>6</v>
      </c>
      <c r="AH968">
        <v>12</v>
      </c>
      <c r="AI968">
        <v>8</v>
      </c>
      <c r="AJ968">
        <v>0.6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4</v>
      </c>
      <c r="AQ968">
        <v>4</v>
      </c>
      <c r="AR968">
        <v>8</v>
      </c>
      <c r="AS968">
        <v>7</v>
      </c>
      <c r="AT968">
        <v>0.53332999999999997</v>
      </c>
      <c r="AU968">
        <v>15</v>
      </c>
      <c r="AV968">
        <v>12</v>
      </c>
      <c r="AW968">
        <v>58</v>
      </c>
      <c r="AX968">
        <v>15</v>
      </c>
      <c r="AY968">
        <v>42</v>
      </c>
      <c r="AZ968">
        <v>5</v>
      </c>
      <c r="BA968" t="s">
        <v>20428</v>
      </c>
      <c r="BB968" t="s">
        <v>20429</v>
      </c>
      <c r="BC968">
        <v>0.629</v>
      </c>
      <c r="BD968" t="s">
        <v>65</v>
      </c>
      <c r="BE968">
        <v>100</v>
      </c>
      <c r="BF968">
        <v>20</v>
      </c>
      <c r="BG968" t="s">
        <v>20430</v>
      </c>
      <c r="BH968" t="s">
        <v>20431</v>
      </c>
      <c r="BI968" t="s">
        <v>20432</v>
      </c>
      <c r="BJ968">
        <v>4.9059999999999999E-2</v>
      </c>
      <c r="BK968">
        <v>1</v>
      </c>
      <c r="BL968" t="s">
        <v>69</v>
      </c>
      <c r="BM968">
        <v>-1.7629999999999999</v>
      </c>
      <c r="BN968">
        <v>-2.1949999999999998</v>
      </c>
    </row>
    <row r="969" spans="2:66">
      <c r="B969">
        <v>1533</v>
      </c>
      <c r="C969">
        <v>166</v>
      </c>
      <c r="D969">
        <v>0</v>
      </c>
      <c r="E969">
        <v>2</v>
      </c>
      <c r="F969">
        <v>4</v>
      </c>
      <c r="J969">
        <v>0</v>
      </c>
      <c r="K969">
        <v>0</v>
      </c>
      <c r="L969">
        <v>0</v>
      </c>
      <c r="M969" t="s">
        <v>25022</v>
      </c>
      <c r="N969">
        <v>3487</v>
      </c>
      <c r="O969" t="s">
        <v>20433</v>
      </c>
      <c r="P969" t="s">
        <v>62</v>
      </c>
      <c r="Q969">
        <v>3451251</v>
      </c>
      <c r="R969">
        <v>3451718</v>
      </c>
      <c r="S969" t="s">
        <v>20434</v>
      </c>
      <c r="T969">
        <v>156</v>
      </c>
      <c r="U969" t="s">
        <v>59</v>
      </c>
      <c r="V969">
        <v>49</v>
      </c>
      <c r="W969" t="str">
        <f>HYPERLINK("Gene3487-zp_tree_all.dnd", "Gene3487-tree")</f>
        <v>Gene3487-tree</v>
      </c>
      <c r="X969">
        <v>18</v>
      </c>
      <c r="Y969">
        <v>0</v>
      </c>
      <c r="Z969">
        <v>18</v>
      </c>
      <c r="AA969">
        <v>0</v>
      </c>
      <c r="AB969">
        <v>0</v>
      </c>
      <c r="AC969" t="s">
        <v>144</v>
      </c>
      <c r="AD969" t="s">
        <v>62</v>
      </c>
      <c r="AE969" t="s">
        <v>62</v>
      </c>
      <c r="AF969" t="s">
        <v>62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11</v>
      </c>
      <c r="AV969">
        <v>10</v>
      </c>
      <c r="AW969">
        <v>28</v>
      </c>
      <c r="AX969">
        <v>0</v>
      </c>
      <c r="AY969">
        <v>17</v>
      </c>
      <c r="AZ969">
        <v>0</v>
      </c>
      <c r="BA969" t="s">
        <v>193</v>
      </c>
      <c r="BB969" t="s">
        <v>193</v>
      </c>
      <c r="BC969">
        <v>0</v>
      </c>
      <c r="BD969" t="s">
        <v>65</v>
      </c>
      <c r="BE969">
        <v>45</v>
      </c>
      <c r="BF969">
        <v>0</v>
      </c>
      <c r="BG969" t="s">
        <v>20435</v>
      </c>
      <c r="BH969" t="s">
        <v>20436</v>
      </c>
      <c r="BI969" t="s">
        <v>193</v>
      </c>
      <c r="BJ969">
        <v>0</v>
      </c>
      <c r="BK969">
        <v>1</v>
      </c>
      <c r="BL969" t="s">
        <v>69</v>
      </c>
      <c r="BM969">
        <v>-1.6180000000000001</v>
      </c>
      <c r="BN969">
        <v>-2.5739999999999998</v>
      </c>
    </row>
    <row r="970" spans="2:66">
      <c r="B970">
        <v>1534</v>
      </c>
      <c r="C970">
        <v>37</v>
      </c>
      <c r="D970">
        <v>0</v>
      </c>
      <c r="E970">
        <v>5</v>
      </c>
      <c r="F970">
        <v>0</v>
      </c>
      <c r="J970">
        <v>0</v>
      </c>
      <c r="K970">
        <v>3</v>
      </c>
      <c r="L970">
        <v>0</v>
      </c>
      <c r="M970" t="s">
        <v>25022</v>
      </c>
      <c r="N970">
        <v>3488</v>
      </c>
      <c r="O970" t="s">
        <v>20437</v>
      </c>
      <c r="P970" t="s">
        <v>62</v>
      </c>
      <c r="Q970">
        <v>3451866</v>
      </c>
      <c r="R970">
        <v>3454202</v>
      </c>
      <c r="S970" t="s">
        <v>20438</v>
      </c>
      <c r="T970">
        <v>779</v>
      </c>
      <c r="U970" t="s">
        <v>698</v>
      </c>
      <c r="V970">
        <v>47</v>
      </c>
      <c r="W970" t="str">
        <f>HYPERLINK("Gene3488-zp_tree_all.dnd", "Gene3488-tree")</f>
        <v>Gene3488-tree</v>
      </c>
      <c r="X970">
        <v>13</v>
      </c>
      <c r="Y970">
        <v>7</v>
      </c>
      <c r="Z970">
        <v>13</v>
      </c>
      <c r="AA970">
        <v>7</v>
      </c>
      <c r="AB970">
        <v>0.35</v>
      </c>
      <c r="AC970" t="s">
        <v>507</v>
      </c>
      <c r="AD970" t="s">
        <v>152</v>
      </c>
      <c r="AE970" t="s">
        <v>62</v>
      </c>
      <c r="AF970" t="s">
        <v>62</v>
      </c>
      <c r="AG970">
        <v>1</v>
      </c>
      <c r="AH970">
        <v>3</v>
      </c>
      <c r="AI970">
        <v>18</v>
      </c>
      <c r="AJ970">
        <v>0.14285999999999999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3</v>
      </c>
      <c r="AQ970">
        <v>0</v>
      </c>
      <c r="AR970">
        <v>3</v>
      </c>
      <c r="AS970">
        <v>11</v>
      </c>
      <c r="AT970">
        <v>0.21429000000000001</v>
      </c>
      <c r="AU970">
        <v>20</v>
      </c>
      <c r="AV970">
        <v>15</v>
      </c>
      <c r="AW970">
        <v>170</v>
      </c>
      <c r="AX970">
        <v>14</v>
      </c>
      <c r="AY970">
        <v>135</v>
      </c>
      <c r="AZ970">
        <v>7</v>
      </c>
      <c r="BA970" t="s">
        <v>20439</v>
      </c>
      <c r="BB970" t="s">
        <v>20440</v>
      </c>
      <c r="BC970">
        <v>0.19900000000000001</v>
      </c>
      <c r="BD970" t="s">
        <v>65</v>
      </c>
      <c r="BE970">
        <v>305</v>
      </c>
      <c r="BF970">
        <v>21</v>
      </c>
      <c r="BG970" t="s">
        <v>20441</v>
      </c>
      <c r="BH970" t="s">
        <v>20442</v>
      </c>
      <c r="BI970" t="s">
        <v>20443</v>
      </c>
      <c r="BJ970">
        <v>1.8079999999999999E-2</v>
      </c>
      <c r="BK970">
        <v>1</v>
      </c>
      <c r="BL970" t="s">
        <v>69</v>
      </c>
      <c r="BM970">
        <v>-1.6439999999999999</v>
      </c>
      <c r="BN970">
        <v>-2.3149999999999999</v>
      </c>
    </row>
    <row r="971" spans="2:66">
      <c r="B971">
        <v>1535</v>
      </c>
      <c r="C971">
        <v>34</v>
      </c>
      <c r="D971">
        <v>0</v>
      </c>
      <c r="E971">
        <v>2</v>
      </c>
      <c r="F971">
        <v>0</v>
      </c>
      <c r="J971">
        <v>0</v>
      </c>
      <c r="K971">
        <v>0</v>
      </c>
      <c r="L971">
        <v>0</v>
      </c>
      <c r="M971" t="s">
        <v>25022</v>
      </c>
      <c r="N971">
        <v>3489</v>
      </c>
      <c r="O971" t="s">
        <v>1848</v>
      </c>
      <c r="P971" t="s">
        <v>62</v>
      </c>
      <c r="Q971">
        <v>3454224</v>
      </c>
      <c r="R971">
        <v>3454961</v>
      </c>
      <c r="S971" t="s">
        <v>20444</v>
      </c>
      <c r="T971">
        <v>246</v>
      </c>
      <c r="U971" t="s">
        <v>59</v>
      </c>
      <c r="V971">
        <v>49</v>
      </c>
      <c r="W971" t="str">
        <f>HYPERLINK("Gene3489-zp_tree_all.dnd", "Gene3489-tree")</f>
        <v>Gene3489-tree</v>
      </c>
      <c r="X971">
        <v>13</v>
      </c>
      <c r="Y971">
        <v>3</v>
      </c>
      <c r="Z971">
        <v>13</v>
      </c>
      <c r="AA971">
        <v>3</v>
      </c>
      <c r="AB971">
        <v>0.1875</v>
      </c>
      <c r="AC971" t="s">
        <v>507</v>
      </c>
      <c r="AD971" t="s">
        <v>324</v>
      </c>
      <c r="AE971" t="s">
        <v>62</v>
      </c>
      <c r="AF971" t="s">
        <v>62</v>
      </c>
      <c r="AG971">
        <v>0</v>
      </c>
      <c r="AH971">
        <v>0</v>
      </c>
      <c r="AI971">
        <v>8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6</v>
      </c>
      <c r="AT971">
        <v>0</v>
      </c>
      <c r="AU971">
        <v>11</v>
      </c>
      <c r="AV971">
        <v>8</v>
      </c>
      <c r="AW971">
        <v>40</v>
      </c>
      <c r="AX971">
        <v>6</v>
      </c>
      <c r="AY971">
        <v>37</v>
      </c>
      <c r="AZ971">
        <v>2</v>
      </c>
      <c r="BA971" t="s">
        <v>20445</v>
      </c>
      <c r="BB971" t="s">
        <v>20446</v>
      </c>
      <c r="BC971">
        <v>0.39800000000000002</v>
      </c>
      <c r="BD971" t="s">
        <v>65</v>
      </c>
      <c r="BE971">
        <v>77</v>
      </c>
      <c r="BF971">
        <v>8</v>
      </c>
      <c r="BG971" t="s">
        <v>20447</v>
      </c>
      <c r="BH971" t="s">
        <v>20448</v>
      </c>
      <c r="BI971" t="s">
        <v>8705</v>
      </c>
      <c r="BJ971">
        <v>1.9650000000000001E-2</v>
      </c>
      <c r="BK971">
        <v>1</v>
      </c>
      <c r="BL971" t="s">
        <v>69</v>
      </c>
      <c r="BM971">
        <v>-1.6379999999999999</v>
      </c>
      <c r="BN971">
        <v>-1.8140000000000001</v>
      </c>
    </row>
    <row r="972" spans="2:66">
      <c r="B972">
        <v>1538</v>
      </c>
      <c r="C972">
        <v>81</v>
      </c>
      <c r="D972">
        <v>0</v>
      </c>
      <c r="E972">
        <v>2</v>
      </c>
      <c r="F972">
        <v>0</v>
      </c>
      <c r="J972">
        <v>0</v>
      </c>
      <c r="K972">
        <v>0</v>
      </c>
      <c r="L972">
        <v>0</v>
      </c>
      <c r="M972" t="s">
        <v>25022</v>
      </c>
      <c r="N972">
        <v>3490</v>
      </c>
      <c r="O972" t="s">
        <v>20449</v>
      </c>
      <c r="P972" t="s">
        <v>62</v>
      </c>
      <c r="Q972">
        <v>3455096</v>
      </c>
      <c r="R972">
        <v>3455323</v>
      </c>
      <c r="S972" t="s">
        <v>780</v>
      </c>
      <c r="T972">
        <v>76</v>
      </c>
      <c r="U972" t="s">
        <v>59</v>
      </c>
      <c r="V972">
        <v>49</v>
      </c>
      <c r="W972" t="str">
        <f>HYPERLINK("Gene3490-zp_tree_all.dnd", "Gene3490-tree")</f>
        <v>Gene3490-tree</v>
      </c>
      <c r="X972">
        <v>11</v>
      </c>
      <c r="Y972">
        <v>0</v>
      </c>
      <c r="Z972">
        <v>11</v>
      </c>
      <c r="AA972">
        <v>0</v>
      </c>
      <c r="AB972">
        <v>0</v>
      </c>
      <c r="AC972" t="s">
        <v>73</v>
      </c>
      <c r="AD972" t="s">
        <v>62</v>
      </c>
      <c r="AE972" t="s">
        <v>62</v>
      </c>
      <c r="AF972" t="s">
        <v>62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7</v>
      </c>
      <c r="AV972">
        <v>3</v>
      </c>
      <c r="AW972">
        <v>9</v>
      </c>
      <c r="AX972">
        <v>0</v>
      </c>
      <c r="AY972">
        <v>5</v>
      </c>
      <c r="AZ972">
        <v>0</v>
      </c>
      <c r="BA972" t="s">
        <v>193</v>
      </c>
      <c r="BB972" t="s">
        <v>193</v>
      </c>
      <c r="BC972">
        <v>0</v>
      </c>
      <c r="BD972" t="s">
        <v>65</v>
      </c>
      <c r="BE972">
        <v>14</v>
      </c>
      <c r="BF972">
        <v>0</v>
      </c>
      <c r="BG972" t="s">
        <v>20450</v>
      </c>
      <c r="BH972" t="s">
        <v>20451</v>
      </c>
      <c r="BI972" t="s">
        <v>193</v>
      </c>
      <c r="BJ972">
        <v>0</v>
      </c>
      <c r="BK972">
        <v>1</v>
      </c>
      <c r="BL972" t="s">
        <v>69</v>
      </c>
      <c r="BM972">
        <v>-1.0289999999999999</v>
      </c>
      <c r="BN972">
        <v>-0.67400000000000004</v>
      </c>
    </row>
    <row r="973" spans="2:66">
      <c r="B973">
        <v>1542</v>
      </c>
      <c r="C973">
        <v>155</v>
      </c>
      <c r="D973">
        <v>0</v>
      </c>
      <c r="E973">
        <v>2</v>
      </c>
      <c r="F973">
        <v>0</v>
      </c>
      <c r="J973">
        <v>0</v>
      </c>
      <c r="K973">
        <v>0</v>
      </c>
      <c r="L973">
        <v>0</v>
      </c>
      <c r="M973" t="s">
        <v>25022</v>
      </c>
      <c r="N973">
        <v>3492</v>
      </c>
      <c r="O973" t="s">
        <v>20458</v>
      </c>
      <c r="P973" t="s">
        <v>62</v>
      </c>
      <c r="Q973">
        <v>3456285</v>
      </c>
      <c r="R973">
        <v>3456515</v>
      </c>
      <c r="S973" t="s">
        <v>20459</v>
      </c>
      <c r="T973">
        <v>77</v>
      </c>
      <c r="U973" t="s">
        <v>59</v>
      </c>
      <c r="V973">
        <v>49</v>
      </c>
      <c r="W973" t="str">
        <f>HYPERLINK("Gene3492-zp_tree_all.dnd", "Gene3492-tree")</f>
        <v>Gene3492-tree</v>
      </c>
      <c r="X973">
        <v>30</v>
      </c>
      <c r="Y973">
        <v>0</v>
      </c>
      <c r="Z973">
        <v>11</v>
      </c>
      <c r="AA973">
        <v>0</v>
      </c>
      <c r="AB973">
        <v>0</v>
      </c>
      <c r="AC973" t="s">
        <v>89</v>
      </c>
      <c r="AD973" t="s">
        <v>62</v>
      </c>
      <c r="AE973" t="s">
        <v>62</v>
      </c>
      <c r="AF973" t="s">
        <v>62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6</v>
      </c>
      <c r="AV973">
        <v>4</v>
      </c>
      <c r="AW973">
        <v>8</v>
      </c>
      <c r="AX973">
        <v>0</v>
      </c>
      <c r="AY973">
        <v>4</v>
      </c>
      <c r="AZ973">
        <v>1</v>
      </c>
      <c r="BA973" t="s">
        <v>193</v>
      </c>
      <c r="BB973" t="s">
        <v>20460</v>
      </c>
      <c r="BC973">
        <v>0.56999999999999995</v>
      </c>
      <c r="BD973" t="s">
        <v>65</v>
      </c>
      <c r="BE973">
        <v>12</v>
      </c>
      <c r="BF973">
        <v>1</v>
      </c>
      <c r="BG973" t="s">
        <v>20461</v>
      </c>
      <c r="BH973" t="s">
        <v>20462</v>
      </c>
      <c r="BI973" t="s">
        <v>20463</v>
      </c>
      <c r="BJ973">
        <v>5.5500000000000001E-2</v>
      </c>
      <c r="BK973">
        <v>1</v>
      </c>
      <c r="BL973" t="s">
        <v>69</v>
      </c>
      <c r="BM973">
        <v>-2.5000000000000001E-2</v>
      </c>
      <c r="BN973">
        <v>-1.419</v>
      </c>
    </row>
    <row r="974" spans="2:66">
      <c r="B974">
        <v>1543</v>
      </c>
      <c r="C974">
        <v>4</v>
      </c>
      <c r="D974">
        <v>0</v>
      </c>
      <c r="E974">
        <v>2</v>
      </c>
      <c r="F974">
        <v>0</v>
      </c>
      <c r="J974">
        <v>0</v>
      </c>
      <c r="K974">
        <v>4</v>
      </c>
      <c r="L974">
        <v>0</v>
      </c>
      <c r="M974" t="s">
        <v>25022</v>
      </c>
      <c r="N974">
        <v>3497</v>
      </c>
      <c r="O974" t="s">
        <v>20494</v>
      </c>
      <c r="P974" t="s">
        <v>62</v>
      </c>
      <c r="Q974">
        <v>3459809</v>
      </c>
      <c r="R974">
        <v>3460486</v>
      </c>
      <c r="S974" t="s">
        <v>20495</v>
      </c>
      <c r="T974">
        <v>226</v>
      </c>
      <c r="U974" t="s">
        <v>20496</v>
      </c>
      <c r="V974">
        <v>39</v>
      </c>
      <c r="W974" t="str">
        <f>HYPERLINK("Gene3497-zp_tree_all.dnd", "Gene3497-tree")</f>
        <v>Gene3497-tree</v>
      </c>
      <c r="X974">
        <v>6</v>
      </c>
      <c r="Y974">
        <v>5</v>
      </c>
      <c r="Z974">
        <v>6</v>
      </c>
      <c r="AA974">
        <v>5</v>
      </c>
      <c r="AB974">
        <v>0.45455000000000001</v>
      </c>
      <c r="AC974" t="s">
        <v>90</v>
      </c>
      <c r="AD974" t="s">
        <v>199</v>
      </c>
      <c r="AE974" t="s">
        <v>62</v>
      </c>
      <c r="AF974" t="s">
        <v>62</v>
      </c>
      <c r="AG974">
        <v>2</v>
      </c>
      <c r="AH974">
        <v>4</v>
      </c>
      <c r="AI974">
        <v>10</v>
      </c>
      <c r="AJ974">
        <v>0.28571000000000002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11</v>
      </c>
      <c r="AT974">
        <v>0</v>
      </c>
      <c r="AU974">
        <v>10</v>
      </c>
      <c r="AV974">
        <v>8</v>
      </c>
      <c r="AW974">
        <v>37</v>
      </c>
      <c r="AX974">
        <v>13</v>
      </c>
      <c r="AY974">
        <v>15</v>
      </c>
      <c r="AZ974">
        <v>3</v>
      </c>
      <c r="BA974" t="s">
        <v>20497</v>
      </c>
      <c r="BB974" t="s">
        <v>20498</v>
      </c>
      <c r="BC974">
        <v>0.61499999999999999</v>
      </c>
      <c r="BD974" t="s">
        <v>65</v>
      </c>
      <c r="BE974">
        <v>52</v>
      </c>
      <c r="BF974">
        <v>16</v>
      </c>
      <c r="BG974" t="s">
        <v>20499</v>
      </c>
      <c r="BH974" t="s">
        <v>20500</v>
      </c>
      <c r="BI974" t="s">
        <v>20501</v>
      </c>
      <c r="BJ974">
        <v>9.4789999999999999E-2</v>
      </c>
      <c r="BK974">
        <v>1</v>
      </c>
      <c r="BL974" t="s">
        <v>69</v>
      </c>
      <c r="BM974">
        <v>-1.1299999999999999</v>
      </c>
      <c r="BN974">
        <v>-1.6359999999999999</v>
      </c>
    </row>
    <row r="975" spans="2:66">
      <c r="B975">
        <v>1545</v>
      </c>
      <c r="C975">
        <v>362</v>
      </c>
      <c r="D975">
        <v>0</v>
      </c>
      <c r="E975">
        <v>14</v>
      </c>
      <c r="F975">
        <v>0</v>
      </c>
      <c r="J975">
        <v>0</v>
      </c>
      <c r="K975">
        <v>21</v>
      </c>
      <c r="L975">
        <v>1</v>
      </c>
      <c r="M975" t="s">
        <v>25022</v>
      </c>
      <c r="N975">
        <v>3498</v>
      </c>
      <c r="O975" t="s">
        <v>20502</v>
      </c>
      <c r="P975" t="s">
        <v>62</v>
      </c>
      <c r="Q975">
        <v>3460506</v>
      </c>
      <c r="R975">
        <v>3461423</v>
      </c>
      <c r="S975" t="s">
        <v>20503</v>
      </c>
      <c r="T975">
        <v>306</v>
      </c>
      <c r="U975" t="s">
        <v>108</v>
      </c>
      <c r="V975">
        <v>44</v>
      </c>
      <c r="W975" t="str">
        <f>HYPERLINK("Gene3498-zp_tree_all.dnd", "Gene3498-tree")</f>
        <v>Gene3498-tree</v>
      </c>
      <c r="X975">
        <v>4</v>
      </c>
      <c r="Y975">
        <v>10</v>
      </c>
      <c r="Z975">
        <v>4</v>
      </c>
      <c r="AA975">
        <v>10</v>
      </c>
      <c r="AB975">
        <v>0.71428999999999998</v>
      </c>
      <c r="AC975" t="s">
        <v>61</v>
      </c>
      <c r="AD975" t="s">
        <v>117</v>
      </c>
      <c r="AE975" t="s">
        <v>62</v>
      </c>
      <c r="AF975" t="s">
        <v>62</v>
      </c>
      <c r="AG975">
        <v>8</v>
      </c>
      <c r="AH975">
        <v>22</v>
      </c>
      <c r="AI975">
        <v>7</v>
      </c>
      <c r="AJ975">
        <v>0.75861999999999996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12</v>
      </c>
      <c r="AQ975">
        <v>2</v>
      </c>
      <c r="AR975">
        <v>14</v>
      </c>
      <c r="AS975">
        <v>8</v>
      </c>
      <c r="AT975">
        <v>0.63636000000000004</v>
      </c>
      <c r="AU975">
        <v>13</v>
      </c>
      <c r="AV975">
        <v>8</v>
      </c>
      <c r="AW975">
        <v>37</v>
      </c>
      <c r="AX975">
        <v>22</v>
      </c>
      <c r="AY975">
        <v>17</v>
      </c>
      <c r="AZ975">
        <v>7</v>
      </c>
      <c r="BA975" t="s">
        <v>20504</v>
      </c>
      <c r="BB975" t="s">
        <v>20505</v>
      </c>
      <c r="BC975">
        <v>0.69699999999999995</v>
      </c>
      <c r="BD975" t="s">
        <v>65</v>
      </c>
      <c r="BE975">
        <v>54</v>
      </c>
      <c r="BF975">
        <v>29</v>
      </c>
      <c r="BG975" t="s">
        <v>20506</v>
      </c>
      <c r="BH975" t="s">
        <v>20507</v>
      </c>
      <c r="BI975" t="s">
        <v>20508</v>
      </c>
      <c r="BJ975">
        <v>0.13854</v>
      </c>
      <c r="BK975">
        <v>1</v>
      </c>
      <c r="BL975" t="s">
        <v>69</v>
      </c>
      <c r="BM975">
        <v>-0.88500000000000001</v>
      </c>
      <c r="BN975">
        <v>-0.69899999999999995</v>
      </c>
    </row>
    <row r="976" spans="2:66">
      <c r="B976">
        <v>1546</v>
      </c>
      <c r="C976">
        <v>510</v>
      </c>
      <c r="D976">
        <v>0</v>
      </c>
      <c r="E976">
        <v>7</v>
      </c>
      <c r="F976">
        <v>0</v>
      </c>
      <c r="J976">
        <v>0</v>
      </c>
      <c r="K976">
        <v>2</v>
      </c>
      <c r="L976">
        <v>0</v>
      </c>
      <c r="M976" t="s">
        <v>25022</v>
      </c>
      <c r="N976">
        <v>3499</v>
      </c>
      <c r="O976" t="s">
        <v>20509</v>
      </c>
      <c r="P976" t="s">
        <v>62</v>
      </c>
      <c r="Q976">
        <v>3461438</v>
      </c>
      <c r="R976">
        <v>3462088</v>
      </c>
      <c r="S976" t="s">
        <v>20495</v>
      </c>
      <c r="T976">
        <v>217</v>
      </c>
      <c r="U976" t="s">
        <v>108</v>
      </c>
      <c r="V976">
        <v>44</v>
      </c>
      <c r="W976" t="str">
        <f>HYPERLINK("Gene3499-zp_tree_all.dnd", "Gene3499-tree")</f>
        <v>Gene3499-tree</v>
      </c>
      <c r="X976">
        <v>8</v>
      </c>
      <c r="Y976">
        <v>6</v>
      </c>
      <c r="Z976">
        <v>8</v>
      </c>
      <c r="AA976">
        <v>6</v>
      </c>
      <c r="AB976">
        <v>0.42857000000000001</v>
      </c>
      <c r="AC976" t="s">
        <v>136</v>
      </c>
      <c r="AD976" t="s">
        <v>90</v>
      </c>
      <c r="AE976" t="s">
        <v>62</v>
      </c>
      <c r="AF976" t="s">
        <v>62</v>
      </c>
      <c r="AG976">
        <v>1</v>
      </c>
      <c r="AH976">
        <v>2</v>
      </c>
      <c r="AI976">
        <v>11</v>
      </c>
      <c r="AJ976">
        <v>0.15384999999999999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</v>
      </c>
      <c r="AQ976">
        <v>0</v>
      </c>
      <c r="AR976">
        <v>2</v>
      </c>
      <c r="AS976">
        <v>11</v>
      </c>
      <c r="AT976">
        <v>0.15384999999999999</v>
      </c>
      <c r="AU976">
        <v>11</v>
      </c>
      <c r="AV976">
        <v>9</v>
      </c>
      <c r="AW976">
        <v>24</v>
      </c>
      <c r="AX976">
        <v>13</v>
      </c>
      <c r="AY976">
        <v>17</v>
      </c>
      <c r="AZ976">
        <v>0</v>
      </c>
      <c r="BA976" t="s">
        <v>20510</v>
      </c>
      <c r="BB976" t="s">
        <v>193</v>
      </c>
      <c r="BC976">
        <v>2.0459999999999998</v>
      </c>
      <c r="BD976" t="s">
        <v>267</v>
      </c>
      <c r="BE976">
        <v>41</v>
      </c>
      <c r="BF976">
        <v>13</v>
      </c>
      <c r="BG976" t="s">
        <v>20511</v>
      </c>
      <c r="BH976" t="s">
        <v>20512</v>
      </c>
      <c r="BI976" t="s">
        <v>20513</v>
      </c>
      <c r="BJ976">
        <v>8.1659999999999996E-2</v>
      </c>
      <c r="BK976">
        <v>1</v>
      </c>
      <c r="BL976" t="s">
        <v>69</v>
      </c>
      <c r="BM976">
        <v>-1.2709999999999999</v>
      </c>
      <c r="BN976">
        <v>-2.032</v>
      </c>
    </row>
    <row r="977" spans="2:66">
      <c r="B977">
        <v>1547</v>
      </c>
      <c r="C977">
        <v>69</v>
      </c>
      <c r="D977">
        <v>0</v>
      </c>
      <c r="E977">
        <v>11</v>
      </c>
      <c r="F977">
        <v>0</v>
      </c>
      <c r="J977">
        <v>0</v>
      </c>
      <c r="K977">
        <v>14</v>
      </c>
      <c r="L977">
        <v>0</v>
      </c>
      <c r="M977" t="s">
        <v>25022</v>
      </c>
      <c r="N977">
        <v>3500</v>
      </c>
      <c r="O977" t="s">
        <v>20514</v>
      </c>
      <c r="P977" t="s">
        <v>62</v>
      </c>
      <c r="Q977">
        <v>3462108</v>
      </c>
      <c r="R977">
        <v>3463250</v>
      </c>
      <c r="S977" t="s">
        <v>20515</v>
      </c>
      <c r="T977">
        <v>381</v>
      </c>
      <c r="U977" t="s">
        <v>108</v>
      </c>
      <c r="V977">
        <v>44</v>
      </c>
      <c r="W977" t="str">
        <f>HYPERLINK("Gene3500-zp_tree_all.dnd", "Gene3500-tree")</f>
        <v>Gene3500-tree</v>
      </c>
      <c r="X977">
        <v>2</v>
      </c>
      <c r="Y977">
        <v>11</v>
      </c>
      <c r="Z977">
        <v>2</v>
      </c>
      <c r="AA977">
        <v>11</v>
      </c>
      <c r="AB977">
        <v>0.84614999999999996</v>
      </c>
      <c r="AC977" t="s">
        <v>81</v>
      </c>
      <c r="AD977" t="s">
        <v>73</v>
      </c>
      <c r="AE977">
        <v>515075683.63</v>
      </c>
      <c r="AF977" t="s">
        <v>267</v>
      </c>
      <c r="AG977">
        <v>5</v>
      </c>
      <c r="AH977">
        <v>14</v>
      </c>
      <c r="AI977">
        <v>10</v>
      </c>
      <c r="AJ977">
        <v>0.58333000000000002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7</v>
      </c>
      <c r="AQ977">
        <v>0</v>
      </c>
      <c r="AR977">
        <v>7</v>
      </c>
      <c r="AS977">
        <v>11</v>
      </c>
      <c r="AT977">
        <v>0.38889000000000001</v>
      </c>
      <c r="AU977">
        <v>13</v>
      </c>
      <c r="AV977">
        <v>8</v>
      </c>
      <c r="AW977">
        <v>36</v>
      </c>
      <c r="AX977">
        <v>18</v>
      </c>
      <c r="AY977">
        <v>7</v>
      </c>
      <c r="AZ977">
        <v>6</v>
      </c>
      <c r="BA977" t="s">
        <v>20516</v>
      </c>
      <c r="BB977" t="s">
        <v>20517</v>
      </c>
      <c r="BC977">
        <v>0.67800000000000005</v>
      </c>
      <c r="BD977" t="s">
        <v>65</v>
      </c>
      <c r="BE977">
        <v>43</v>
      </c>
      <c r="BF977">
        <v>24</v>
      </c>
      <c r="BG977" t="s">
        <v>20518</v>
      </c>
      <c r="BH977" t="s">
        <v>20519</v>
      </c>
      <c r="BI977" t="s">
        <v>20520</v>
      </c>
      <c r="BJ977">
        <v>0.17054</v>
      </c>
      <c r="BK977">
        <v>1</v>
      </c>
      <c r="BL977" t="s">
        <v>69</v>
      </c>
      <c r="BM977">
        <v>-0.93200000000000005</v>
      </c>
      <c r="BN977">
        <v>-1.2090000000000001</v>
      </c>
    </row>
    <row r="978" spans="2:66">
      <c r="B978">
        <v>1548</v>
      </c>
      <c r="C978">
        <v>91</v>
      </c>
      <c r="D978">
        <v>0</v>
      </c>
      <c r="E978">
        <v>2</v>
      </c>
      <c r="F978">
        <v>0</v>
      </c>
      <c r="J978">
        <v>0</v>
      </c>
      <c r="K978">
        <v>0</v>
      </c>
      <c r="L978">
        <v>0</v>
      </c>
      <c r="M978" t="s">
        <v>25022</v>
      </c>
      <c r="N978">
        <v>3507</v>
      </c>
      <c r="O978" t="s">
        <v>20528</v>
      </c>
      <c r="P978" t="s">
        <v>62</v>
      </c>
      <c r="Q978">
        <v>3467549</v>
      </c>
      <c r="R978">
        <v>3468235</v>
      </c>
      <c r="S978" t="s">
        <v>20529</v>
      </c>
      <c r="T978">
        <v>229</v>
      </c>
      <c r="U978" t="s">
        <v>20530</v>
      </c>
      <c r="V978">
        <v>25</v>
      </c>
      <c r="W978" t="str">
        <f>HYPERLINK("Gene3507-zp_tree_all.dnd", "Gene3507-tree")</f>
        <v>Gene3507-tree</v>
      </c>
      <c r="X978">
        <v>23</v>
      </c>
      <c r="Y978">
        <v>1</v>
      </c>
      <c r="Z978">
        <v>4</v>
      </c>
      <c r="AA978">
        <v>1</v>
      </c>
      <c r="AB978">
        <v>0.2</v>
      </c>
      <c r="AC978" t="s">
        <v>690</v>
      </c>
      <c r="AD978" t="s">
        <v>175</v>
      </c>
      <c r="AE978" t="s">
        <v>62</v>
      </c>
      <c r="AF978" t="s">
        <v>62</v>
      </c>
      <c r="AG978">
        <v>0</v>
      </c>
      <c r="AH978">
        <v>0</v>
      </c>
      <c r="AI978">
        <v>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4</v>
      </c>
      <c r="AT978">
        <v>0</v>
      </c>
      <c r="AU978">
        <v>5</v>
      </c>
      <c r="AV978">
        <v>2</v>
      </c>
      <c r="AW978">
        <v>19</v>
      </c>
      <c r="AX978">
        <v>4</v>
      </c>
      <c r="AY978">
        <v>6</v>
      </c>
      <c r="AZ978">
        <v>0</v>
      </c>
      <c r="BA978" t="s">
        <v>20531</v>
      </c>
      <c r="BB978" t="s">
        <v>193</v>
      </c>
      <c r="BC978">
        <v>0.51100000000000001</v>
      </c>
      <c r="BD978" t="s">
        <v>65</v>
      </c>
      <c r="BE978">
        <v>25</v>
      </c>
      <c r="BF978">
        <v>4</v>
      </c>
      <c r="BG978" t="s">
        <v>20532</v>
      </c>
      <c r="BH978" t="s">
        <v>20533</v>
      </c>
      <c r="BI978" t="s">
        <v>20534</v>
      </c>
      <c r="BJ978">
        <v>4.8890000000000003E-2</v>
      </c>
      <c r="BK978">
        <v>1</v>
      </c>
      <c r="BL978" t="s">
        <v>69</v>
      </c>
      <c r="BM978">
        <v>-2.008</v>
      </c>
      <c r="BN978">
        <v>-2.4550000000000001</v>
      </c>
    </row>
    <row r="979" spans="2:66">
      <c r="B979">
        <v>1549</v>
      </c>
      <c r="C979">
        <v>310</v>
      </c>
      <c r="D979">
        <v>0</v>
      </c>
      <c r="E979">
        <v>2</v>
      </c>
      <c r="F979">
        <v>0</v>
      </c>
      <c r="J979">
        <v>0</v>
      </c>
      <c r="K979">
        <v>9</v>
      </c>
      <c r="L979">
        <v>0</v>
      </c>
      <c r="M979" t="s">
        <v>25022</v>
      </c>
      <c r="N979">
        <v>3508</v>
      </c>
      <c r="O979" t="s">
        <v>20535</v>
      </c>
      <c r="P979" t="s">
        <v>62</v>
      </c>
      <c r="Q979">
        <v>3468256</v>
      </c>
      <c r="R979">
        <v>3469164</v>
      </c>
      <c r="S979" t="s">
        <v>20536</v>
      </c>
      <c r="T979">
        <v>303</v>
      </c>
      <c r="U979" t="s">
        <v>108</v>
      </c>
      <c r="V979">
        <v>44</v>
      </c>
      <c r="W979" t="str">
        <f>HYPERLINK("Gene3508-zp_tree_all.dnd", "Gene3508-tree")</f>
        <v>Gene3508-tree</v>
      </c>
      <c r="X979">
        <v>8</v>
      </c>
      <c r="Y979">
        <v>25</v>
      </c>
      <c r="Z979">
        <v>8</v>
      </c>
      <c r="AA979">
        <v>6</v>
      </c>
      <c r="AB979">
        <v>0.42857000000000001</v>
      </c>
      <c r="AC979" t="s">
        <v>136</v>
      </c>
      <c r="AD979" t="s">
        <v>965</v>
      </c>
      <c r="AE979">
        <v>4.3010000000000002</v>
      </c>
      <c r="AF979" t="s">
        <v>65</v>
      </c>
      <c r="AG979">
        <v>3</v>
      </c>
      <c r="AH979">
        <v>9</v>
      </c>
      <c r="AI979">
        <v>8</v>
      </c>
      <c r="AJ979">
        <v>0.52941000000000005</v>
      </c>
      <c r="AK979">
        <v>0</v>
      </c>
      <c r="AL979">
        <v>0</v>
      </c>
      <c r="AM979">
        <v>0</v>
      </c>
      <c r="AN979">
        <v>2</v>
      </c>
      <c r="AO979">
        <v>0</v>
      </c>
      <c r="AP979">
        <v>4</v>
      </c>
      <c r="AQ979">
        <v>0</v>
      </c>
      <c r="AR979">
        <v>4</v>
      </c>
      <c r="AS979">
        <v>5</v>
      </c>
      <c r="AT979">
        <v>0.44444</v>
      </c>
      <c r="AU979">
        <v>13</v>
      </c>
      <c r="AV979">
        <v>9</v>
      </c>
      <c r="AW979">
        <v>39</v>
      </c>
      <c r="AX979">
        <v>10</v>
      </c>
      <c r="AY979">
        <v>47</v>
      </c>
      <c r="AZ979">
        <v>8</v>
      </c>
      <c r="BA979" t="s">
        <v>20537</v>
      </c>
      <c r="BB979" t="s">
        <v>20538</v>
      </c>
      <c r="BC979">
        <v>0.32500000000000001</v>
      </c>
      <c r="BD979" t="s">
        <v>65</v>
      </c>
      <c r="BE979">
        <v>86</v>
      </c>
      <c r="BF979">
        <v>18</v>
      </c>
      <c r="BG979" t="s">
        <v>20539</v>
      </c>
      <c r="BH979" t="s">
        <v>20540</v>
      </c>
      <c r="BI979" t="s">
        <v>20541</v>
      </c>
      <c r="BJ979">
        <v>4.6010000000000002E-2</v>
      </c>
      <c r="BK979">
        <v>1</v>
      </c>
      <c r="BL979" t="s">
        <v>69</v>
      </c>
      <c r="BM979">
        <v>5.0999999999999997E-2</v>
      </c>
      <c r="BN979">
        <v>-0.09</v>
      </c>
    </row>
    <row r="980" spans="2:66">
      <c r="B980">
        <v>1550</v>
      </c>
      <c r="C980">
        <v>559</v>
      </c>
      <c r="D980">
        <v>0</v>
      </c>
      <c r="E980">
        <v>4</v>
      </c>
      <c r="F980">
        <v>0</v>
      </c>
      <c r="J980">
        <v>0</v>
      </c>
      <c r="K980">
        <v>0</v>
      </c>
      <c r="L980">
        <v>0</v>
      </c>
      <c r="M980" t="s">
        <v>25022</v>
      </c>
      <c r="N980">
        <v>3509</v>
      </c>
      <c r="O980" t="s">
        <v>20542</v>
      </c>
      <c r="P980" t="s">
        <v>62</v>
      </c>
      <c r="Q980">
        <v>3469187</v>
      </c>
      <c r="R980">
        <v>3469837</v>
      </c>
      <c r="S980" t="s">
        <v>20529</v>
      </c>
      <c r="T980">
        <v>217</v>
      </c>
      <c r="U980" t="s">
        <v>265</v>
      </c>
      <c r="V980">
        <v>43</v>
      </c>
      <c r="W980" t="str">
        <f>HYPERLINK("Gene3509-zp_tree_all.dnd", "Gene3509-tree")</f>
        <v>Gene3509-tree</v>
      </c>
      <c r="X980">
        <v>11</v>
      </c>
      <c r="Y980">
        <v>3</v>
      </c>
      <c r="Z980">
        <v>11</v>
      </c>
      <c r="AA980">
        <v>3</v>
      </c>
      <c r="AB980">
        <v>0.21429000000000001</v>
      </c>
      <c r="AC980" t="s">
        <v>73</v>
      </c>
      <c r="AD980" t="s">
        <v>324</v>
      </c>
      <c r="AE980" t="s">
        <v>62</v>
      </c>
      <c r="AF980" t="s">
        <v>62</v>
      </c>
      <c r="AG980">
        <v>0</v>
      </c>
      <c r="AH980">
        <v>0</v>
      </c>
      <c r="AI980">
        <v>3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3</v>
      </c>
      <c r="AT980">
        <v>0</v>
      </c>
      <c r="AU980">
        <v>14</v>
      </c>
      <c r="AV980">
        <v>9</v>
      </c>
      <c r="AW980">
        <v>30</v>
      </c>
      <c r="AX980">
        <v>3</v>
      </c>
      <c r="AY980">
        <v>24</v>
      </c>
      <c r="AZ980">
        <v>0</v>
      </c>
      <c r="BA980" t="s">
        <v>20543</v>
      </c>
      <c r="BB980" t="s">
        <v>193</v>
      </c>
      <c r="BC980">
        <v>0.91200000000000003</v>
      </c>
      <c r="BD980" t="s">
        <v>65</v>
      </c>
      <c r="BE980">
        <v>54</v>
      </c>
      <c r="BF980">
        <v>3</v>
      </c>
      <c r="BG980" t="s">
        <v>20544</v>
      </c>
      <c r="BH980" t="s">
        <v>20545</v>
      </c>
      <c r="BI980" t="s">
        <v>20546</v>
      </c>
      <c r="BJ980">
        <v>1.494E-2</v>
      </c>
      <c r="BK980">
        <v>1</v>
      </c>
      <c r="BL980" t="s">
        <v>69</v>
      </c>
      <c r="BM980">
        <v>-0.51400000000000001</v>
      </c>
      <c r="BN980">
        <v>-0.218</v>
      </c>
    </row>
    <row r="981" spans="2:66">
      <c r="B981">
        <v>1553</v>
      </c>
      <c r="C981">
        <v>112</v>
      </c>
      <c r="D981">
        <v>0</v>
      </c>
      <c r="E981">
        <v>9</v>
      </c>
      <c r="F981">
        <v>1</v>
      </c>
      <c r="J981">
        <v>0</v>
      </c>
      <c r="K981">
        <v>0</v>
      </c>
      <c r="L981">
        <v>2</v>
      </c>
      <c r="M981" t="s">
        <v>25022</v>
      </c>
      <c r="N981">
        <v>3510</v>
      </c>
      <c r="O981" t="s">
        <v>20547</v>
      </c>
      <c r="P981" t="s">
        <v>62</v>
      </c>
      <c r="Q981">
        <v>3469863</v>
      </c>
      <c r="R981">
        <v>3471002</v>
      </c>
      <c r="S981" t="s">
        <v>20548</v>
      </c>
      <c r="T981">
        <v>380</v>
      </c>
      <c r="U981" t="s">
        <v>108</v>
      </c>
      <c r="V981">
        <v>44</v>
      </c>
      <c r="W981" t="str">
        <f>HYPERLINK("Gene3510-zp_tree_all.dnd", "Gene3510-tree")</f>
        <v>Gene3510-tree</v>
      </c>
      <c r="X981">
        <v>8</v>
      </c>
      <c r="Y981">
        <v>6</v>
      </c>
      <c r="Z981">
        <v>8</v>
      </c>
      <c r="AA981">
        <v>6</v>
      </c>
      <c r="AB981">
        <v>0.42857000000000001</v>
      </c>
      <c r="AC981" t="s">
        <v>136</v>
      </c>
      <c r="AD981" t="s">
        <v>90</v>
      </c>
      <c r="AE981" t="s">
        <v>62</v>
      </c>
      <c r="AF981" t="s">
        <v>62</v>
      </c>
      <c r="AG981">
        <v>1</v>
      </c>
      <c r="AH981">
        <v>2</v>
      </c>
      <c r="AI981">
        <v>5</v>
      </c>
      <c r="AJ981">
        <v>0.28571000000000002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2</v>
      </c>
      <c r="AR981">
        <v>2</v>
      </c>
      <c r="AS981">
        <v>5</v>
      </c>
      <c r="AT981">
        <v>0.28571000000000002</v>
      </c>
      <c r="AU981">
        <v>12</v>
      </c>
      <c r="AV981">
        <v>10</v>
      </c>
      <c r="AW981">
        <v>33</v>
      </c>
      <c r="AX981">
        <v>6</v>
      </c>
      <c r="AY981">
        <v>19</v>
      </c>
      <c r="AZ981">
        <v>1</v>
      </c>
      <c r="BA981" t="s">
        <v>20549</v>
      </c>
      <c r="BB981" t="s">
        <v>20550</v>
      </c>
      <c r="BC981">
        <v>0.69</v>
      </c>
      <c r="BD981" t="s">
        <v>65</v>
      </c>
      <c r="BE981">
        <v>52</v>
      </c>
      <c r="BF981">
        <v>7</v>
      </c>
      <c r="BG981" t="s">
        <v>20551</v>
      </c>
      <c r="BH981" t="s">
        <v>20552</v>
      </c>
      <c r="BI981" t="s">
        <v>20553</v>
      </c>
      <c r="BJ981">
        <v>3.3340000000000002E-2</v>
      </c>
      <c r="BK981">
        <v>1</v>
      </c>
      <c r="BL981" t="s">
        <v>69</v>
      </c>
      <c r="BM981">
        <v>-1.014</v>
      </c>
      <c r="BN981">
        <v>-1.1759999999999999</v>
      </c>
    </row>
    <row r="982" spans="2:66">
      <c r="B982">
        <v>1555</v>
      </c>
      <c r="C982">
        <v>36</v>
      </c>
      <c r="D982">
        <v>0</v>
      </c>
      <c r="E982">
        <v>2</v>
      </c>
      <c r="F982">
        <v>0</v>
      </c>
      <c r="J982">
        <v>0</v>
      </c>
      <c r="K982">
        <v>7</v>
      </c>
      <c r="L982">
        <v>2</v>
      </c>
      <c r="M982" t="s">
        <v>25022</v>
      </c>
      <c r="N982">
        <v>3512</v>
      </c>
      <c r="O982" t="s">
        <v>20561</v>
      </c>
      <c r="P982" t="s">
        <v>62</v>
      </c>
      <c r="Q982">
        <v>3471844</v>
      </c>
      <c r="R982">
        <v>3472476</v>
      </c>
      <c r="S982" t="s">
        <v>6103</v>
      </c>
      <c r="T982">
        <v>211</v>
      </c>
      <c r="U982" t="s">
        <v>108</v>
      </c>
      <c r="V982">
        <v>44</v>
      </c>
      <c r="W982" t="str">
        <f>HYPERLINK("Gene3512-zp_tree_all.dnd", "Gene3512-tree")</f>
        <v>Gene3512-tree</v>
      </c>
      <c r="X982">
        <v>6</v>
      </c>
      <c r="Y982">
        <v>8</v>
      </c>
      <c r="Z982">
        <v>6</v>
      </c>
      <c r="AA982">
        <v>8</v>
      </c>
      <c r="AB982">
        <v>0.57142999999999999</v>
      </c>
      <c r="AC982" t="s">
        <v>90</v>
      </c>
      <c r="AD982" t="s">
        <v>136</v>
      </c>
      <c r="AE982" t="s">
        <v>62</v>
      </c>
      <c r="AF982" t="s">
        <v>62</v>
      </c>
      <c r="AG982">
        <v>3</v>
      </c>
      <c r="AH982">
        <v>9</v>
      </c>
      <c r="AI982">
        <v>8</v>
      </c>
      <c r="AJ982">
        <v>0.52941000000000005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2</v>
      </c>
      <c r="AQ982">
        <v>2</v>
      </c>
      <c r="AR982">
        <v>4</v>
      </c>
      <c r="AS982">
        <v>7</v>
      </c>
      <c r="AT982">
        <v>0.36364000000000002</v>
      </c>
      <c r="AU982">
        <v>11</v>
      </c>
      <c r="AV982">
        <v>7</v>
      </c>
      <c r="AW982">
        <v>22</v>
      </c>
      <c r="AX982">
        <v>9</v>
      </c>
      <c r="AY982">
        <v>12</v>
      </c>
      <c r="AZ982">
        <v>8</v>
      </c>
      <c r="BA982" t="s">
        <v>20562</v>
      </c>
      <c r="BB982" t="s">
        <v>20563</v>
      </c>
      <c r="BC982">
        <v>0.58599999999999997</v>
      </c>
      <c r="BD982" t="s">
        <v>65</v>
      </c>
      <c r="BE982">
        <v>34</v>
      </c>
      <c r="BF982">
        <v>17</v>
      </c>
      <c r="BG982" t="s">
        <v>20564</v>
      </c>
      <c r="BH982" t="s">
        <v>20565</v>
      </c>
      <c r="BI982" t="s">
        <v>20566</v>
      </c>
      <c r="BJ982">
        <v>0.12917000000000001</v>
      </c>
      <c r="BK982">
        <v>1</v>
      </c>
      <c r="BL982" t="s">
        <v>69</v>
      </c>
      <c r="BM982">
        <v>-0.442</v>
      </c>
      <c r="BN982">
        <v>-1.5640000000000001</v>
      </c>
    </row>
    <row r="983" spans="2:66">
      <c r="B983">
        <v>1556</v>
      </c>
      <c r="C983">
        <v>64</v>
      </c>
      <c r="D983">
        <v>0</v>
      </c>
      <c r="E983">
        <v>4</v>
      </c>
      <c r="F983">
        <v>1</v>
      </c>
      <c r="J983">
        <v>0</v>
      </c>
      <c r="K983">
        <v>30</v>
      </c>
      <c r="L983">
        <v>2</v>
      </c>
      <c r="M983" t="s">
        <v>25022</v>
      </c>
      <c r="N983">
        <v>3515</v>
      </c>
      <c r="O983" t="s">
        <v>20579</v>
      </c>
      <c r="P983" t="s">
        <v>62</v>
      </c>
      <c r="Q983">
        <v>3474109</v>
      </c>
      <c r="R983">
        <v>3475923</v>
      </c>
      <c r="S983" t="s">
        <v>116</v>
      </c>
      <c r="T983">
        <v>605</v>
      </c>
      <c r="U983" t="s">
        <v>9585</v>
      </c>
      <c r="V983">
        <v>42</v>
      </c>
      <c r="W983" t="str">
        <f>HYPERLINK("Gene3515-zp_tree_all.dnd", "Gene3515-tree")</f>
        <v>Gene3515-tree</v>
      </c>
      <c r="X983">
        <v>0</v>
      </c>
      <c r="Y983">
        <v>14</v>
      </c>
      <c r="Z983">
        <v>0</v>
      </c>
      <c r="AA983">
        <v>14</v>
      </c>
      <c r="AB983">
        <v>1</v>
      </c>
      <c r="AC983" t="s">
        <v>62</v>
      </c>
      <c r="AD983" t="s">
        <v>543</v>
      </c>
      <c r="AE983">
        <v>143484786.68799999</v>
      </c>
      <c r="AF983" t="s">
        <v>65</v>
      </c>
      <c r="AG983">
        <v>14</v>
      </c>
      <c r="AH983">
        <v>32</v>
      </c>
      <c r="AI983">
        <v>26</v>
      </c>
      <c r="AJ983">
        <v>0.55171999999999999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11</v>
      </c>
      <c r="AQ983">
        <v>4</v>
      </c>
      <c r="AR983">
        <v>15</v>
      </c>
      <c r="AS983">
        <v>32</v>
      </c>
      <c r="AT983">
        <v>0.31914999999999999</v>
      </c>
      <c r="AU983">
        <v>12</v>
      </c>
      <c r="AV983">
        <v>11</v>
      </c>
      <c r="AW983">
        <v>60</v>
      </c>
      <c r="AX983">
        <v>39</v>
      </c>
      <c r="AY983">
        <v>53</v>
      </c>
      <c r="AZ983">
        <v>24</v>
      </c>
      <c r="BA983" t="s">
        <v>20580</v>
      </c>
      <c r="BB983" t="s">
        <v>20581</v>
      </c>
      <c r="BC983">
        <v>0.377</v>
      </c>
      <c r="BD983" t="s">
        <v>65</v>
      </c>
      <c r="BE983">
        <v>113</v>
      </c>
      <c r="BF983">
        <v>63</v>
      </c>
      <c r="BG983" t="s">
        <v>20582</v>
      </c>
      <c r="BH983" t="s">
        <v>20583</v>
      </c>
      <c r="BI983" t="s">
        <v>20584</v>
      </c>
      <c r="BJ983">
        <v>0.14726</v>
      </c>
      <c r="BK983">
        <v>1</v>
      </c>
      <c r="BL983" t="s">
        <v>69</v>
      </c>
      <c r="BM983">
        <v>0.11899999999999999</v>
      </c>
      <c r="BN983">
        <v>-0.44400000000000001</v>
      </c>
    </row>
    <row r="984" spans="2:66">
      <c r="B984">
        <v>1557</v>
      </c>
      <c r="C984">
        <v>108</v>
      </c>
      <c r="D984">
        <v>0</v>
      </c>
      <c r="E984">
        <v>2</v>
      </c>
      <c r="F984">
        <v>0</v>
      </c>
      <c r="J984">
        <v>0</v>
      </c>
      <c r="K984">
        <v>4</v>
      </c>
      <c r="L984">
        <v>0</v>
      </c>
      <c r="M984" t="s">
        <v>25022</v>
      </c>
      <c r="N984">
        <v>3517</v>
      </c>
      <c r="O984" t="s">
        <v>20593</v>
      </c>
      <c r="P984" t="s">
        <v>62</v>
      </c>
      <c r="Q984">
        <v>3476558</v>
      </c>
      <c r="R984">
        <v>3477847</v>
      </c>
      <c r="S984" t="s">
        <v>20594</v>
      </c>
      <c r="T984">
        <v>430</v>
      </c>
      <c r="U984" t="s">
        <v>515</v>
      </c>
      <c r="V984">
        <v>51</v>
      </c>
      <c r="W984" t="str">
        <f>HYPERLINK("Gene3517-zp_tree_all.dnd", "Gene3517-tree")</f>
        <v>Gene3517-tree</v>
      </c>
      <c r="X984">
        <v>16</v>
      </c>
      <c r="Y984">
        <v>3</v>
      </c>
      <c r="Z984">
        <v>16</v>
      </c>
      <c r="AA984">
        <v>3</v>
      </c>
      <c r="AB984">
        <v>0.15789</v>
      </c>
      <c r="AC984" t="s">
        <v>60</v>
      </c>
      <c r="AD984" t="s">
        <v>324</v>
      </c>
      <c r="AE984" t="s">
        <v>62</v>
      </c>
      <c r="AF984" t="s">
        <v>62</v>
      </c>
      <c r="AG984">
        <v>2</v>
      </c>
      <c r="AH984">
        <v>4</v>
      </c>
      <c r="AI984">
        <v>5</v>
      </c>
      <c r="AJ984">
        <v>0.44444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4</v>
      </c>
      <c r="AT984">
        <v>0</v>
      </c>
      <c r="AU984">
        <v>15</v>
      </c>
      <c r="AV984">
        <v>11</v>
      </c>
      <c r="AW984">
        <v>46</v>
      </c>
      <c r="AX984">
        <v>4</v>
      </c>
      <c r="AY984">
        <v>63</v>
      </c>
      <c r="AZ984">
        <v>9</v>
      </c>
      <c r="BA984" t="s">
        <v>20595</v>
      </c>
      <c r="BB984" t="s">
        <v>20596</v>
      </c>
      <c r="BC984">
        <v>0.14799999999999999</v>
      </c>
      <c r="BD984" t="s">
        <v>65</v>
      </c>
      <c r="BE984">
        <v>109</v>
      </c>
      <c r="BF984">
        <v>13</v>
      </c>
      <c r="BG984" t="s">
        <v>20597</v>
      </c>
      <c r="BH984" t="s">
        <v>20598</v>
      </c>
      <c r="BI984" t="s">
        <v>20599</v>
      </c>
      <c r="BJ984">
        <v>5.1040000000000002E-2</v>
      </c>
      <c r="BK984">
        <v>1</v>
      </c>
      <c r="BL984" t="s">
        <v>69</v>
      </c>
      <c r="BM984">
        <v>-1.5940000000000001</v>
      </c>
      <c r="BN984">
        <v>-0.72399999999999998</v>
      </c>
    </row>
    <row r="985" spans="2:66">
      <c r="B985">
        <v>1561</v>
      </c>
      <c r="C985">
        <v>44</v>
      </c>
      <c r="D985">
        <v>0</v>
      </c>
      <c r="E985">
        <v>5</v>
      </c>
      <c r="F985">
        <v>2</v>
      </c>
      <c r="J985">
        <v>0</v>
      </c>
      <c r="K985">
        <v>10</v>
      </c>
      <c r="L985">
        <v>0</v>
      </c>
      <c r="M985" t="s">
        <v>25022</v>
      </c>
      <c r="N985">
        <v>3518</v>
      </c>
      <c r="O985" t="s">
        <v>20600</v>
      </c>
      <c r="P985" t="s">
        <v>62</v>
      </c>
      <c r="Q985">
        <v>3477880</v>
      </c>
      <c r="R985">
        <v>3479412</v>
      </c>
      <c r="S985" t="s">
        <v>20601</v>
      </c>
      <c r="T985">
        <v>511</v>
      </c>
      <c r="U985" t="s">
        <v>59</v>
      </c>
      <c r="V985">
        <v>49</v>
      </c>
      <c r="W985" t="str">
        <f>HYPERLINK("Gene3518-zp_tree_all.dnd", "Gene3518-tree")</f>
        <v>Gene3518-tree</v>
      </c>
      <c r="X985">
        <v>33</v>
      </c>
      <c r="Y985">
        <v>6</v>
      </c>
      <c r="Z985">
        <v>15</v>
      </c>
      <c r="AA985">
        <v>6</v>
      </c>
      <c r="AB985">
        <v>0.28571000000000002</v>
      </c>
      <c r="AC985" t="s">
        <v>1608</v>
      </c>
      <c r="AD985" t="s">
        <v>90</v>
      </c>
      <c r="AE985" t="s">
        <v>62</v>
      </c>
      <c r="AF985" t="s">
        <v>62</v>
      </c>
      <c r="AG985">
        <v>5</v>
      </c>
      <c r="AH985">
        <v>10</v>
      </c>
      <c r="AI985">
        <v>13</v>
      </c>
      <c r="AJ985">
        <v>0.43478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2</v>
      </c>
      <c r="AQ985">
        <v>0</v>
      </c>
      <c r="AR985">
        <v>2</v>
      </c>
      <c r="AS985">
        <v>6</v>
      </c>
      <c r="AT985">
        <v>0.25</v>
      </c>
      <c r="AU985">
        <v>17</v>
      </c>
      <c r="AV985">
        <v>15</v>
      </c>
      <c r="AW985">
        <v>58</v>
      </c>
      <c r="AX985">
        <v>7</v>
      </c>
      <c r="AY985">
        <v>82</v>
      </c>
      <c r="AZ985">
        <v>16</v>
      </c>
      <c r="BA985" t="s">
        <v>20602</v>
      </c>
      <c r="BB985" t="s">
        <v>20603</v>
      </c>
      <c r="BC985">
        <v>0.17699999999999999</v>
      </c>
      <c r="BD985" t="s">
        <v>65</v>
      </c>
      <c r="BE985">
        <v>140</v>
      </c>
      <c r="BF985">
        <v>23</v>
      </c>
      <c r="BG985" t="s">
        <v>20604</v>
      </c>
      <c r="BH985" t="s">
        <v>20605</v>
      </c>
      <c r="BI985" t="s">
        <v>10967</v>
      </c>
      <c r="BJ985">
        <v>4.8039999999999999E-2</v>
      </c>
      <c r="BK985">
        <v>1</v>
      </c>
      <c r="BL985" t="s">
        <v>69</v>
      </c>
      <c r="BM985">
        <v>-1.415</v>
      </c>
      <c r="BN985">
        <v>-0.82599999999999996</v>
      </c>
    </row>
    <row r="986" spans="2:66">
      <c r="B986">
        <v>1563</v>
      </c>
      <c r="C986">
        <v>176</v>
      </c>
      <c r="D986">
        <v>0</v>
      </c>
      <c r="E986">
        <v>2</v>
      </c>
      <c r="F986">
        <v>0</v>
      </c>
      <c r="J986">
        <v>0</v>
      </c>
      <c r="K986">
        <v>4</v>
      </c>
      <c r="L986">
        <v>1</v>
      </c>
      <c r="M986" t="s">
        <v>25022</v>
      </c>
      <c r="N986">
        <v>3519</v>
      </c>
      <c r="O986" t="s">
        <v>20606</v>
      </c>
      <c r="P986" t="s">
        <v>62</v>
      </c>
      <c r="Q986">
        <v>3479408</v>
      </c>
      <c r="R986">
        <v>3480166</v>
      </c>
      <c r="S986" t="s">
        <v>20607</v>
      </c>
      <c r="T986">
        <v>253</v>
      </c>
      <c r="U986" t="s">
        <v>96</v>
      </c>
      <c r="V986">
        <v>48</v>
      </c>
      <c r="W986" t="str">
        <f>HYPERLINK("Gene3519-zp_tree_all.dnd", "Gene3519-tree")</f>
        <v>Gene3519-tree</v>
      </c>
      <c r="X986">
        <v>11</v>
      </c>
      <c r="Y986">
        <v>3</v>
      </c>
      <c r="Z986">
        <v>11</v>
      </c>
      <c r="AA986">
        <v>3</v>
      </c>
      <c r="AB986">
        <v>0.21429000000000001</v>
      </c>
      <c r="AC986" t="s">
        <v>73</v>
      </c>
      <c r="AD986" t="s">
        <v>324</v>
      </c>
      <c r="AE986" t="s">
        <v>62</v>
      </c>
      <c r="AF986" t="s">
        <v>62</v>
      </c>
      <c r="AG986">
        <v>2</v>
      </c>
      <c r="AH986">
        <v>5</v>
      </c>
      <c r="AI986">
        <v>1</v>
      </c>
      <c r="AJ986">
        <v>0.83333000000000002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3</v>
      </c>
      <c r="AT986">
        <v>0</v>
      </c>
      <c r="AU986">
        <v>9</v>
      </c>
      <c r="AV986">
        <v>7</v>
      </c>
      <c r="AW986">
        <v>14</v>
      </c>
      <c r="AX986">
        <v>2</v>
      </c>
      <c r="AY986">
        <v>16</v>
      </c>
      <c r="AZ986">
        <v>4</v>
      </c>
      <c r="BA986" t="s">
        <v>20608</v>
      </c>
      <c r="BB986" t="s">
        <v>20609</v>
      </c>
      <c r="BC986">
        <v>0.47799999999999998</v>
      </c>
      <c r="BD986" t="s">
        <v>65</v>
      </c>
      <c r="BE986">
        <v>30</v>
      </c>
      <c r="BF986">
        <v>6</v>
      </c>
      <c r="BG986" t="s">
        <v>20610</v>
      </c>
      <c r="BH986" t="s">
        <v>20611</v>
      </c>
      <c r="BI986" t="s">
        <v>20612</v>
      </c>
      <c r="BJ986">
        <v>4.9840000000000002E-2</v>
      </c>
      <c r="BK986">
        <v>1</v>
      </c>
      <c r="BL986" t="s">
        <v>69</v>
      </c>
      <c r="BM986">
        <v>-1.4970000000000001</v>
      </c>
      <c r="BN986">
        <v>-0.36</v>
      </c>
    </row>
    <row r="987" spans="2:66">
      <c r="B987">
        <v>1565</v>
      </c>
      <c r="C987">
        <v>317</v>
      </c>
      <c r="D987">
        <v>0</v>
      </c>
      <c r="E987">
        <v>2</v>
      </c>
      <c r="F987">
        <v>2</v>
      </c>
      <c r="J987">
        <v>0</v>
      </c>
      <c r="K987">
        <v>0</v>
      </c>
      <c r="L987">
        <v>2</v>
      </c>
      <c r="M987" t="s">
        <v>25022</v>
      </c>
      <c r="N987">
        <v>3520</v>
      </c>
      <c r="O987" t="s">
        <v>20613</v>
      </c>
      <c r="P987" t="s">
        <v>62</v>
      </c>
      <c r="Q987">
        <v>3480200</v>
      </c>
      <c r="R987">
        <v>3481381</v>
      </c>
      <c r="S987" t="s">
        <v>20614</v>
      </c>
      <c r="T987">
        <v>394</v>
      </c>
      <c r="U987" t="s">
        <v>59</v>
      </c>
      <c r="V987">
        <v>49</v>
      </c>
      <c r="W987" t="str">
        <f>HYPERLINK("Gene3520-zp_tree_all.dnd", "Gene3520-tree")</f>
        <v>Gene3520-tree</v>
      </c>
      <c r="X987">
        <v>32</v>
      </c>
      <c r="Y987">
        <v>5</v>
      </c>
      <c r="Z987">
        <v>14</v>
      </c>
      <c r="AA987">
        <v>5</v>
      </c>
      <c r="AB987">
        <v>0.26316000000000001</v>
      </c>
      <c r="AC987" t="s">
        <v>20615</v>
      </c>
      <c r="AD987" t="s">
        <v>199</v>
      </c>
      <c r="AE987" t="s">
        <v>62</v>
      </c>
      <c r="AF987" t="s">
        <v>62</v>
      </c>
      <c r="AG987">
        <v>1</v>
      </c>
      <c r="AH987">
        <v>2</v>
      </c>
      <c r="AI987">
        <v>9</v>
      </c>
      <c r="AJ987">
        <v>0.18182000000000001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7</v>
      </c>
      <c r="AT987">
        <v>0</v>
      </c>
      <c r="AU987">
        <v>13</v>
      </c>
      <c r="AV987">
        <v>12</v>
      </c>
      <c r="AW987">
        <v>32</v>
      </c>
      <c r="AX987">
        <v>7</v>
      </c>
      <c r="AY987">
        <v>29</v>
      </c>
      <c r="AZ987">
        <v>4</v>
      </c>
      <c r="BA987" t="s">
        <v>20616</v>
      </c>
      <c r="BB987" t="s">
        <v>20617</v>
      </c>
      <c r="BC987">
        <v>0.218</v>
      </c>
      <c r="BD987" t="s">
        <v>65</v>
      </c>
      <c r="BE987">
        <v>61</v>
      </c>
      <c r="BF987">
        <v>11</v>
      </c>
      <c r="BG987" t="s">
        <v>20618</v>
      </c>
      <c r="BH987" t="s">
        <v>20619</v>
      </c>
      <c r="BI987" t="s">
        <v>20620</v>
      </c>
      <c r="BJ987">
        <v>5.5730000000000002E-2</v>
      </c>
      <c r="BK987">
        <v>1</v>
      </c>
      <c r="BL987" t="s">
        <v>69</v>
      </c>
      <c r="BM987">
        <v>-1.1160000000000001</v>
      </c>
      <c r="BN987">
        <v>-2.0859999999999999</v>
      </c>
    </row>
    <row r="988" spans="2:66">
      <c r="B988">
        <v>1566</v>
      </c>
      <c r="C988">
        <v>223</v>
      </c>
      <c r="D988">
        <v>0</v>
      </c>
      <c r="E988">
        <v>8</v>
      </c>
      <c r="F988">
        <v>0</v>
      </c>
      <c r="J988">
        <v>0</v>
      </c>
      <c r="K988">
        <v>0</v>
      </c>
      <c r="L988">
        <v>0</v>
      </c>
      <c r="M988" t="s">
        <v>25022</v>
      </c>
      <c r="N988">
        <v>3521</v>
      </c>
      <c r="O988" t="s">
        <v>20621</v>
      </c>
      <c r="P988" t="s">
        <v>62</v>
      </c>
      <c r="Q988">
        <v>3481701</v>
      </c>
      <c r="R988">
        <v>3482705</v>
      </c>
      <c r="S988" t="s">
        <v>20622</v>
      </c>
      <c r="T988">
        <v>335</v>
      </c>
      <c r="U988" t="s">
        <v>515</v>
      </c>
      <c r="V988">
        <v>51</v>
      </c>
      <c r="W988" t="str">
        <f>HYPERLINK("Gene3521-zp_tree_all.dnd", "Gene3521-tree")</f>
        <v>Gene3521-tree</v>
      </c>
      <c r="X988">
        <v>14</v>
      </c>
      <c r="Y988">
        <v>1</v>
      </c>
      <c r="Z988">
        <v>14</v>
      </c>
      <c r="AA988">
        <v>1</v>
      </c>
      <c r="AB988">
        <v>6.6669999999999993E-2</v>
      </c>
      <c r="AC988" t="s">
        <v>543</v>
      </c>
      <c r="AD988" t="s">
        <v>175</v>
      </c>
      <c r="AE988" t="s">
        <v>62</v>
      </c>
      <c r="AF988" t="s">
        <v>62</v>
      </c>
      <c r="AG988">
        <v>0</v>
      </c>
      <c r="AH988">
        <v>0</v>
      </c>
      <c r="AI988">
        <v>8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10</v>
      </c>
      <c r="AV988">
        <v>7</v>
      </c>
      <c r="AW988">
        <v>21</v>
      </c>
      <c r="AX988">
        <v>1</v>
      </c>
      <c r="AY988">
        <v>43</v>
      </c>
      <c r="AZ988">
        <v>9</v>
      </c>
      <c r="BA988" t="s">
        <v>20623</v>
      </c>
      <c r="BB988" t="s">
        <v>20624</v>
      </c>
      <c r="BC988">
        <v>0.19900000000000001</v>
      </c>
      <c r="BD988" t="s">
        <v>65</v>
      </c>
      <c r="BE988">
        <v>64</v>
      </c>
      <c r="BF988">
        <v>10</v>
      </c>
      <c r="BG988" t="s">
        <v>20625</v>
      </c>
      <c r="BH988" t="s">
        <v>20626</v>
      </c>
      <c r="BI988" t="s">
        <v>20627</v>
      </c>
      <c r="BJ988">
        <v>5.1470000000000002E-2</v>
      </c>
      <c r="BK988">
        <v>1</v>
      </c>
      <c r="BL988" t="s">
        <v>69</v>
      </c>
      <c r="BM988">
        <v>-2.2189999999999999</v>
      </c>
      <c r="BN988">
        <v>-0.109</v>
      </c>
    </row>
    <row r="989" spans="2:66">
      <c r="B989">
        <v>1567</v>
      </c>
      <c r="C989">
        <v>22</v>
      </c>
      <c r="D989">
        <v>0</v>
      </c>
      <c r="E989">
        <v>3</v>
      </c>
      <c r="F989">
        <v>3</v>
      </c>
      <c r="J989">
        <v>0</v>
      </c>
      <c r="K989">
        <v>10</v>
      </c>
      <c r="L989">
        <v>0</v>
      </c>
      <c r="M989" t="s">
        <v>25022</v>
      </c>
      <c r="N989">
        <v>3522</v>
      </c>
      <c r="O989" t="s">
        <v>20628</v>
      </c>
      <c r="P989" t="s">
        <v>62</v>
      </c>
      <c r="Q989">
        <v>3482755</v>
      </c>
      <c r="R989">
        <v>3483774</v>
      </c>
      <c r="S989" t="s">
        <v>20629</v>
      </c>
      <c r="T989">
        <v>340</v>
      </c>
      <c r="U989" t="s">
        <v>59</v>
      </c>
      <c r="V989">
        <v>49</v>
      </c>
      <c r="W989" t="str">
        <f>HYPERLINK("Gene3522-zp_tree_all.dnd", "Gene3522-tree")</f>
        <v>Gene3522-tree</v>
      </c>
      <c r="X989">
        <v>9</v>
      </c>
      <c r="Y989">
        <v>10</v>
      </c>
      <c r="Z989">
        <v>9</v>
      </c>
      <c r="AA989">
        <v>10</v>
      </c>
      <c r="AB989">
        <v>0.52632000000000001</v>
      </c>
      <c r="AC989" t="s">
        <v>135</v>
      </c>
      <c r="AD989" t="s">
        <v>117</v>
      </c>
      <c r="AE989" t="s">
        <v>62</v>
      </c>
      <c r="AF989" t="s">
        <v>62</v>
      </c>
      <c r="AG989">
        <v>0</v>
      </c>
      <c r="AH989">
        <v>0</v>
      </c>
      <c r="AI989">
        <v>9</v>
      </c>
      <c r="AJ989">
        <v>0</v>
      </c>
      <c r="AK989">
        <v>0</v>
      </c>
      <c r="AL989">
        <v>0</v>
      </c>
      <c r="AM989">
        <v>0</v>
      </c>
      <c r="AN989">
        <v>2</v>
      </c>
      <c r="AO989">
        <v>0</v>
      </c>
      <c r="AP989">
        <v>0</v>
      </c>
      <c r="AQ989">
        <v>0</v>
      </c>
      <c r="AR989">
        <v>0</v>
      </c>
      <c r="AS989">
        <v>12</v>
      </c>
      <c r="AT989">
        <v>0</v>
      </c>
      <c r="AU989">
        <v>16</v>
      </c>
      <c r="AV989">
        <v>10</v>
      </c>
      <c r="AW989">
        <v>35</v>
      </c>
      <c r="AX989">
        <v>11</v>
      </c>
      <c r="AY989">
        <v>31</v>
      </c>
      <c r="AZ989">
        <v>8</v>
      </c>
      <c r="BA989" t="s">
        <v>20630</v>
      </c>
      <c r="BB989" t="s">
        <v>20631</v>
      </c>
      <c r="BC989">
        <v>0.35399999999999998</v>
      </c>
      <c r="BD989" t="s">
        <v>65</v>
      </c>
      <c r="BE989">
        <v>66</v>
      </c>
      <c r="BF989">
        <v>19</v>
      </c>
      <c r="BG989" t="s">
        <v>20632</v>
      </c>
      <c r="BH989" t="s">
        <v>20633</v>
      </c>
      <c r="BI989" t="s">
        <v>17511</v>
      </c>
      <c r="BJ989">
        <v>3.7960000000000001E-2</v>
      </c>
      <c r="BK989">
        <v>1</v>
      </c>
      <c r="BL989" t="s">
        <v>69</v>
      </c>
      <c r="BM989">
        <v>-1.4510000000000001</v>
      </c>
      <c r="BN989">
        <v>-0.60599999999999998</v>
      </c>
    </row>
    <row r="990" spans="2:66">
      <c r="B990">
        <v>1570</v>
      </c>
      <c r="C990">
        <v>119</v>
      </c>
      <c r="D990">
        <v>0</v>
      </c>
      <c r="E990">
        <v>2</v>
      </c>
      <c r="F990">
        <v>0</v>
      </c>
      <c r="J990">
        <v>0</v>
      </c>
      <c r="K990">
        <v>0</v>
      </c>
      <c r="L990">
        <v>0</v>
      </c>
      <c r="M990" t="s">
        <v>25022</v>
      </c>
      <c r="N990">
        <v>3523</v>
      </c>
      <c r="O990" t="s">
        <v>20634</v>
      </c>
      <c r="P990" t="s">
        <v>62</v>
      </c>
      <c r="Q990">
        <v>3484075</v>
      </c>
      <c r="R990">
        <v>3485466</v>
      </c>
      <c r="S990" t="s">
        <v>20635</v>
      </c>
      <c r="T990">
        <v>464</v>
      </c>
      <c r="U990" t="s">
        <v>108</v>
      </c>
      <c r="V990">
        <v>44</v>
      </c>
      <c r="W990" t="str">
        <f>HYPERLINK("Gene3523-zp_tree_all.dnd", "Gene3523-tree")</f>
        <v>Gene3523-tree</v>
      </c>
      <c r="X990">
        <v>12</v>
      </c>
      <c r="Y990">
        <v>1</v>
      </c>
      <c r="Z990">
        <v>12</v>
      </c>
      <c r="AA990">
        <v>1</v>
      </c>
      <c r="AB990">
        <v>7.6920000000000002E-2</v>
      </c>
      <c r="AC990" t="s">
        <v>109</v>
      </c>
      <c r="AD990" t="s">
        <v>175</v>
      </c>
      <c r="AE990" t="s">
        <v>62</v>
      </c>
      <c r="AF990" t="s">
        <v>62</v>
      </c>
      <c r="AG990">
        <v>0</v>
      </c>
      <c r="AH990">
        <v>0</v>
      </c>
      <c r="AI990">
        <v>2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10</v>
      </c>
      <c r="AV990">
        <v>9</v>
      </c>
      <c r="AW990">
        <v>50</v>
      </c>
      <c r="AX990">
        <v>1</v>
      </c>
      <c r="AY990">
        <v>29</v>
      </c>
      <c r="AZ990">
        <v>1</v>
      </c>
      <c r="BA990" t="s">
        <v>20636</v>
      </c>
      <c r="BB990" t="s">
        <v>20637</v>
      </c>
      <c r="BC990">
        <v>0.13</v>
      </c>
      <c r="BD990" t="s">
        <v>65</v>
      </c>
      <c r="BE990">
        <v>79</v>
      </c>
      <c r="BF990">
        <v>2</v>
      </c>
      <c r="BG990" t="s">
        <v>20638</v>
      </c>
      <c r="BH990" t="s">
        <v>20639</v>
      </c>
      <c r="BI990" t="s">
        <v>20640</v>
      </c>
      <c r="BJ990">
        <v>1.0580000000000001E-2</v>
      </c>
      <c r="BK990">
        <v>1</v>
      </c>
      <c r="BL990" t="s">
        <v>69</v>
      </c>
      <c r="BM990">
        <v>-0.33100000000000002</v>
      </c>
      <c r="BN990">
        <v>-0.96699999999999997</v>
      </c>
    </row>
    <row r="991" spans="2:66">
      <c r="B991">
        <v>1572</v>
      </c>
      <c r="C991">
        <v>156</v>
      </c>
      <c r="D991">
        <v>0</v>
      </c>
      <c r="E991">
        <v>4</v>
      </c>
      <c r="F991">
        <v>0</v>
      </c>
      <c r="J991">
        <v>0</v>
      </c>
      <c r="K991">
        <v>4</v>
      </c>
      <c r="L991">
        <v>0</v>
      </c>
      <c r="M991" t="s">
        <v>25022</v>
      </c>
      <c r="N991">
        <v>3525</v>
      </c>
      <c r="O991" t="s">
        <v>20646</v>
      </c>
      <c r="P991" t="s">
        <v>62</v>
      </c>
      <c r="Q991">
        <v>3486810</v>
      </c>
      <c r="R991">
        <v>3487817</v>
      </c>
      <c r="S991" t="s">
        <v>3332</v>
      </c>
      <c r="T991">
        <v>336</v>
      </c>
      <c r="U991" t="s">
        <v>108</v>
      </c>
      <c r="V991">
        <v>44</v>
      </c>
      <c r="W991" t="str">
        <f>HYPERLINK("Gene3525-zp_tree_all.dnd", "Gene3525-tree")</f>
        <v>Gene3525-tree</v>
      </c>
      <c r="X991">
        <v>11</v>
      </c>
      <c r="Y991">
        <v>3</v>
      </c>
      <c r="Z991">
        <v>11</v>
      </c>
      <c r="AA991">
        <v>3</v>
      </c>
      <c r="AB991">
        <v>0.21429000000000001</v>
      </c>
      <c r="AC991" t="s">
        <v>73</v>
      </c>
      <c r="AD991" t="s">
        <v>324</v>
      </c>
      <c r="AE991" t="s">
        <v>62</v>
      </c>
      <c r="AF991" t="s">
        <v>62</v>
      </c>
      <c r="AG991">
        <v>2</v>
      </c>
      <c r="AH991">
        <v>4</v>
      </c>
      <c r="AI991">
        <v>3</v>
      </c>
      <c r="AJ991">
        <v>0.57142999999999999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</v>
      </c>
      <c r="AQ991">
        <v>0</v>
      </c>
      <c r="AR991">
        <v>2</v>
      </c>
      <c r="AS991">
        <v>3</v>
      </c>
      <c r="AT991">
        <v>0.4</v>
      </c>
      <c r="AU991">
        <v>11</v>
      </c>
      <c r="AV991">
        <v>10</v>
      </c>
      <c r="AW991">
        <v>35</v>
      </c>
      <c r="AX991">
        <v>7</v>
      </c>
      <c r="AY991">
        <v>28</v>
      </c>
      <c r="AZ991">
        <v>2</v>
      </c>
      <c r="BA991" t="s">
        <v>20647</v>
      </c>
      <c r="BB991" t="s">
        <v>20648</v>
      </c>
      <c r="BC991">
        <v>0.51600000000000001</v>
      </c>
      <c r="BD991" t="s">
        <v>65</v>
      </c>
      <c r="BE991">
        <v>63</v>
      </c>
      <c r="BF991">
        <v>9</v>
      </c>
      <c r="BG991" t="s">
        <v>20649</v>
      </c>
      <c r="BH991" t="s">
        <v>20650</v>
      </c>
      <c r="BI991" t="s">
        <v>20651</v>
      </c>
      <c r="BJ991">
        <v>2.9020000000000001E-2</v>
      </c>
      <c r="BK991">
        <v>1</v>
      </c>
      <c r="BL991" t="s">
        <v>69</v>
      </c>
      <c r="BM991">
        <v>-0.73</v>
      </c>
      <c r="BN991">
        <v>-1.6140000000000001</v>
      </c>
    </row>
    <row r="992" spans="2:66">
      <c r="B992">
        <v>1573</v>
      </c>
      <c r="C992">
        <v>426</v>
      </c>
      <c r="D992">
        <v>0</v>
      </c>
      <c r="E992">
        <v>2</v>
      </c>
      <c r="F992">
        <v>4</v>
      </c>
      <c r="J992">
        <v>0</v>
      </c>
      <c r="K992">
        <v>5</v>
      </c>
      <c r="L992">
        <v>0</v>
      </c>
      <c r="M992" t="s">
        <v>25022</v>
      </c>
      <c r="N992">
        <v>3526</v>
      </c>
      <c r="O992" t="s">
        <v>20652</v>
      </c>
      <c r="P992" t="s">
        <v>62</v>
      </c>
      <c r="Q992">
        <v>3487977</v>
      </c>
      <c r="R992">
        <v>3488852</v>
      </c>
      <c r="S992" t="s">
        <v>2170</v>
      </c>
      <c r="T992">
        <v>292</v>
      </c>
      <c r="U992" t="s">
        <v>108</v>
      </c>
      <c r="V992">
        <v>44</v>
      </c>
      <c r="W992" t="str">
        <f>HYPERLINK("Gene3526-zp_tree_all.dnd", "Gene3526-tree")</f>
        <v>Gene3526-tree</v>
      </c>
      <c r="X992">
        <v>10</v>
      </c>
      <c r="Y992">
        <v>6</v>
      </c>
      <c r="Z992">
        <v>10</v>
      </c>
      <c r="AA992">
        <v>6</v>
      </c>
      <c r="AB992">
        <v>0.375</v>
      </c>
      <c r="AC992" t="s">
        <v>117</v>
      </c>
      <c r="AD992" t="s">
        <v>90</v>
      </c>
      <c r="AE992" t="s">
        <v>62</v>
      </c>
      <c r="AF992" t="s">
        <v>62</v>
      </c>
      <c r="AG992">
        <v>2</v>
      </c>
      <c r="AH992">
        <v>5</v>
      </c>
      <c r="AI992">
        <v>5</v>
      </c>
      <c r="AJ992">
        <v>0.5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4</v>
      </c>
      <c r="AQ992">
        <v>0</v>
      </c>
      <c r="AR992">
        <v>4</v>
      </c>
      <c r="AS992">
        <v>2</v>
      </c>
      <c r="AT992">
        <v>0.66666999999999998</v>
      </c>
      <c r="AU992">
        <v>13</v>
      </c>
      <c r="AV992">
        <v>11</v>
      </c>
      <c r="AW992">
        <v>43</v>
      </c>
      <c r="AX992">
        <v>6</v>
      </c>
      <c r="AY992">
        <v>22</v>
      </c>
      <c r="AZ992">
        <v>4</v>
      </c>
      <c r="BA992" t="s">
        <v>20653</v>
      </c>
      <c r="BB992" t="s">
        <v>20654</v>
      </c>
      <c r="BC992">
        <v>0.33700000000000002</v>
      </c>
      <c r="BD992" t="s">
        <v>65</v>
      </c>
      <c r="BE992">
        <v>65</v>
      </c>
      <c r="BF992">
        <v>10</v>
      </c>
      <c r="BG992" t="s">
        <v>20655</v>
      </c>
      <c r="BH992" t="s">
        <v>20656</v>
      </c>
      <c r="BI992" t="s">
        <v>20657</v>
      </c>
      <c r="BJ992">
        <v>4.9889999999999997E-2</v>
      </c>
      <c r="BK992">
        <v>1</v>
      </c>
      <c r="BL992" t="s">
        <v>69</v>
      </c>
      <c r="BM992">
        <v>-6.7000000000000004E-2</v>
      </c>
      <c r="BN992">
        <v>-0.97599999999999998</v>
      </c>
    </row>
    <row r="993" spans="2:66">
      <c r="B993">
        <v>1575</v>
      </c>
      <c r="C993">
        <v>252</v>
      </c>
      <c r="D993">
        <v>0</v>
      </c>
      <c r="E993">
        <v>2</v>
      </c>
      <c r="F993">
        <v>2</v>
      </c>
      <c r="J993">
        <v>0</v>
      </c>
      <c r="K993">
        <v>0</v>
      </c>
      <c r="L993">
        <v>0</v>
      </c>
      <c r="M993" t="s">
        <v>25022</v>
      </c>
      <c r="N993">
        <v>3528</v>
      </c>
      <c r="O993" t="s">
        <v>20664</v>
      </c>
      <c r="P993" t="s">
        <v>62</v>
      </c>
      <c r="Q993">
        <v>3489913</v>
      </c>
      <c r="R993">
        <v>3491253</v>
      </c>
      <c r="S993" t="s">
        <v>20665</v>
      </c>
      <c r="T993">
        <v>447</v>
      </c>
      <c r="U993" t="s">
        <v>108</v>
      </c>
      <c r="V993">
        <v>44</v>
      </c>
      <c r="W993" t="str">
        <f>HYPERLINK("Gene3528-zp_tree_all.dnd", "Gene3528-tree")</f>
        <v>Gene3528-tree</v>
      </c>
      <c r="X993">
        <v>10</v>
      </c>
      <c r="Y993">
        <v>3</v>
      </c>
      <c r="Z993">
        <v>10</v>
      </c>
      <c r="AA993">
        <v>3</v>
      </c>
      <c r="AB993">
        <v>0.23077</v>
      </c>
      <c r="AC993" t="s">
        <v>117</v>
      </c>
      <c r="AD993" t="s">
        <v>324</v>
      </c>
      <c r="AE993" t="s">
        <v>62</v>
      </c>
      <c r="AF993" t="s">
        <v>62</v>
      </c>
      <c r="AG993">
        <v>0</v>
      </c>
      <c r="AH993">
        <v>0</v>
      </c>
      <c r="AI993">
        <v>4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4</v>
      </c>
      <c r="AT993">
        <v>0</v>
      </c>
      <c r="AU993">
        <v>11</v>
      </c>
      <c r="AV993">
        <v>7</v>
      </c>
      <c r="AW993">
        <v>31</v>
      </c>
      <c r="AX993">
        <v>4</v>
      </c>
      <c r="AY993">
        <v>8</v>
      </c>
      <c r="AZ993">
        <v>0</v>
      </c>
      <c r="BA993" t="s">
        <v>20666</v>
      </c>
      <c r="BB993" t="s">
        <v>193</v>
      </c>
      <c r="BC993">
        <v>0.91300000000000003</v>
      </c>
      <c r="BD993" t="s">
        <v>65</v>
      </c>
      <c r="BE993">
        <v>39</v>
      </c>
      <c r="BF993">
        <v>4</v>
      </c>
      <c r="BG993" t="s">
        <v>20667</v>
      </c>
      <c r="BH993" t="s">
        <v>20668</v>
      </c>
      <c r="BI993" t="s">
        <v>20669</v>
      </c>
      <c r="BJ993">
        <v>2.717E-2</v>
      </c>
      <c r="BK993">
        <v>1</v>
      </c>
      <c r="BL993" t="s">
        <v>69</v>
      </c>
      <c r="BM993">
        <v>-1.603</v>
      </c>
      <c r="BN993">
        <v>-1.8080000000000001</v>
      </c>
    </row>
    <row r="994" spans="2:66">
      <c r="B994">
        <v>1577</v>
      </c>
      <c r="C994">
        <v>566</v>
      </c>
      <c r="D994">
        <v>0</v>
      </c>
      <c r="E994">
        <v>13</v>
      </c>
      <c r="F994">
        <v>2</v>
      </c>
      <c r="J994">
        <v>2</v>
      </c>
      <c r="K994">
        <v>8</v>
      </c>
      <c r="L994">
        <v>5</v>
      </c>
      <c r="M994" t="s">
        <v>25022</v>
      </c>
      <c r="N994">
        <v>3529</v>
      </c>
      <c r="O994" t="s">
        <v>20670</v>
      </c>
      <c r="P994" t="s">
        <v>62</v>
      </c>
      <c r="Q994">
        <v>3491658</v>
      </c>
      <c r="R994">
        <v>3492689</v>
      </c>
      <c r="S994" t="s">
        <v>20671</v>
      </c>
      <c r="T994">
        <v>344</v>
      </c>
      <c r="U994" t="s">
        <v>2513</v>
      </c>
      <c r="V994">
        <v>43</v>
      </c>
      <c r="W994" t="str">
        <f>HYPERLINK("Gene3529-zp_tree_all.dnd", "Gene3529-tree")</f>
        <v>Gene3529-tree</v>
      </c>
      <c r="X994">
        <v>2</v>
      </c>
      <c r="Y994">
        <v>11</v>
      </c>
      <c r="Z994">
        <v>2</v>
      </c>
      <c r="AA994">
        <v>11</v>
      </c>
      <c r="AB994">
        <v>0.84614999999999996</v>
      </c>
      <c r="AC994" t="s">
        <v>81</v>
      </c>
      <c r="AD994" t="s">
        <v>73</v>
      </c>
      <c r="AE994">
        <v>515075683.63</v>
      </c>
      <c r="AF994" t="s">
        <v>267</v>
      </c>
      <c r="AG994">
        <v>5</v>
      </c>
      <c r="AH994">
        <v>15</v>
      </c>
      <c r="AI994">
        <v>10</v>
      </c>
      <c r="AJ994">
        <v>0.6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4</v>
      </c>
      <c r="AQ994">
        <v>4</v>
      </c>
      <c r="AR994">
        <v>8</v>
      </c>
      <c r="AS994">
        <v>11</v>
      </c>
      <c r="AT994">
        <v>0.42104999999999998</v>
      </c>
      <c r="AU994">
        <v>11</v>
      </c>
      <c r="AV994">
        <v>9</v>
      </c>
      <c r="AW994">
        <v>37</v>
      </c>
      <c r="AX994">
        <v>17</v>
      </c>
      <c r="AY994">
        <v>18</v>
      </c>
      <c r="AZ994">
        <v>10</v>
      </c>
      <c r="BA994" t="s">
        <v>20672</v>
      </c>
      <c r="BB994" t="s">
        <v>20673</v>
      </c>
      <c r="BC994">
        <v>0.49099999999999999</v>
      </c>
      <c r="BD994" t="s">
        <v>65</v>
      </c>
      <c r="BE994">
        <v>55</v>
      </c>
      <c r="BF994">
        <v>27</v>
      </c>
      <c r="BG994" t="s">
        <v>1876</v>
      </c>
      <c r="BH994" t="s">
        <v>20674</v>
      </c>
      <c r="BI994" t="s">
        <v>20675</v>
      </c>
      <c r="BJ994">
        <v>0.14649999999999999</v>
      </c>
      <c r="BK994">
        <v>1</v>
      </c>
      <c r="BL994" t="s">
        <v>69</v>
      </c>
      <c r="BM994">
        <v>-0.59699999999999998</v>
      </c>
      <c r="BN994">
        <v>-1.498</v>
      </c>
    </row>
    <row r="995" spans="2:66">
      <c r="B995">
        <v>1580</v>
      </c>
      <c r="C995">
        <v>308</v>
      </c>
      <c r="D995">
        <v>0</v>
      </c>
      <c r="E995">
        <v>2</v>
      </c>
      <c r="F995">
        <v>0</v>
      </c>
      <c r="J995">
        <v>0</v>
      </c>
      <c r="K995">
        <v>2</v>
      </c>
      <c r="L995">
        <v>2</v>
      </c>
      <c r="M995" t="s">
        <v>25022</v>
      </c>
      <c r="N995">
        <v>3530</v>
      </c>
      <c r="O995" t="s">
        <v>20676</v>
      </c>
      <c r="P995" t="s">
        <v>62</v>
      </c>
      <c r="Q995">
        <v>3492800</v>
      </c>
      <c r="R995">
        <v>3493519</v>
      </c>
      <c r="S995" t="s">
        <v>20677</v>
      </c>
      <c r="T995">
        <v>240</v>
      </c>
      <c r="U995" t="s">
        <v>108</v>
      </c>
      <c r="V995">
        <v>44</v>
      </c>
      <c r="W995" t="str">
        <f>HYPERLINK("Gene3530-zp_tree_all.dnd", "Gene3530-tree")</f>
        <v>Gene3530-tree</v>
      </c>
      <c r="X995">
        <v>24</v>
      </c>
      <c r="Y995">
        <v>10</v>
      </c>
      <c r="Z995">
        <v>4</v>
      </c>
      <c r="AA995">
        <v>10</v>
      </c>
      <c r="AB995">
        <v>0.71428999999999998</v>
      </c>
      <c r="AC995" t="s">
        <v>1495</v>
      </c>
      <c r="AD995" t="s">
        <v>117</v>
      </c>
      <c r="AE995" t="s">
        <v>62</v>
      </c>
      <c r="AF995" t="s">
        <v>62</v>
      </c>
      <c r="AG995">
        <v>2</v>
      </c>
      <c r="AH995">
        <v>4</v>
      </c>
      <c r="AI995">
        <v>15</v>
      </c>
      <c r="AJ995">
        <v>0.21052999999999999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2</v>
      </c>
      <c r="AR995">
        <v>2</v>
      </c>
      <c r="AS995">
        <v>15</v>
      </c>
      <c r="AT995">
        <v>0.11765</v>
      </c>
      <c r="AU995">
        <v>12</v>
      </c>
      <c r="AV995">
        <v>10</v>
      </c>
      <c r="AW995">
        <v>29</v>
      </c>
      <c r="AX995">
        <v>12</v>
      </c>
      <c r="AY995">
        <v>19</v>
      </c>
      <c r="AZ995">
        <v>8</v>
      </c>
      <c r="BA995" t="s">
        <v>20678</v>
      </c>
      <c r="BB995" t="s">
        <v>20679</v>
      </c>
      <c r="BC995">
        <v>2.4E-2</v>
      </c>
      <c r="BD995" t="s">
        <v>65</v>
      </c>
      <c r="BE995">
        <v>48</v>
      </c>
      <c r="BF995">
        <v>20</v>
      </c>
      <c r="BG995" t="s">
        <v>20680</v>
      </c>
      <c r="BH995" t="s">
        <v>20681</v>
      </c>
      <c r="BI995" t="s">
        <v>20682</v>
      </c>
      <c r="BJ995">
        <v>0.12161</v>
      </c>
      <c r="BK995">
        <v>1</v>
      </c>
      <c r="BL995" t="s">
        <v>69</v>
      </c>
      <c r="BM995">
        <v>-0.41099999999999998</v>
      </c>
      <c r="BN995">
        <v>-1.556</v>
      </c>
    </row>
    <row r="996" spans="2:66">
      <c r="B996">
        <v>1581</v>
      </c>
      <c r="C996">
        <v>414</v>
      </c>
      <c r="D996">
        <v>0</v>
      </c>
      <c r="E996">
        <v>5</v>
      </c>
      <c r="F996">
        <v>0</v>
      </c>
      <c r="J996">
        <v>0</v>
      </c>
      <c r="K996">
        <v>0</v>
      </c>
      <c r="L996">
        <v>0</v>
      </c>
      <c r="M996" t="s">
        <v>25022</v>
      </c>
      <c r="N996">
        <v>3531</v>
      </c>
      <c r="O996" t="s">
        <v>20683</v>
      </c>
      <c r="P996" t="s">
        <v>62</v>
      </c>
      <c r="Q996">
        <v>3493522</v>
      </c>
      <c r="R996">
        <v>3494958</v>
      </c>
      <c r="S996" t="s">
        <v>20684</v>
      </c>
      <c r="T996">
        <v>479</v>
      </c>
      <c r="U996" t="s">
        <v>108</v>
      </c>
      <c r="V996">
        <v>44</v>
      </c>
      <c r="W996" t="str">
        <f>HYPERLINK("Gene3531-zp_tree_all.dnd", "Gene3531-tree")</f>
        <v>Gene3531-tree</v>
      </c>
      <c r="X996">
        <v>5</v>
      </c>
      <c r="Y996">
        <v>9</v>
      </c>
      <c r="Z996">
        <v>5</v>
      </c>
      <c r="AA996">
        <v>9</v>
      </c>
      <c r="AB996">
        <v>0.64285999999999999</v>
      </c>
      <c r="AC996" t="s">
        <v>199</v>
      </c>
      <c r="AD996" t="s">
        <v>135</v>
      </c>
      <c r="AE996" t="s">
        <v>62</v>
      </c>
      <c r="AF996" t="s">
        <v>62</v>
      </c>
      <c r="AG996">
        <v>0</v>
      </c>
      <c r="AH996">
        <v>0</v>
      </c>
      <c r="AI996">
        <v>10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9</v>
      </c>
      <c r="AT996">
        <v>0</v>
      </c>
      <c r="AU996">
        <v>13</v>
      </c>
      <c r="AV996">
        <v>10</v>
      </c>
      <c r="AW996">
        <v>68</v>
      </c>
      <c r="AX996">
        <v>9</v>
      </c>
      <c r="AY996">
        <v>36</v>
      </c>
      <c r="AZ996">
        <v>1</v>
      </c>
      <c r="BA996" t="s">
        <v>20685</v>
      </c>
      <c r="BB996" t="s">
        <v>20686</v>
      </c>
      <c r="BC996">
        <v>1.165</v>
      </c>
      <c r="BD996" t="s">
        <v>65</v>
      </c>
      <c r="BE996">
        <v>104</v>
      </c>
      <c r="BF996">
        <v>10</v>
      </c>
      <c r="BG996" t="s">
        <v>20687</v>
      </c>
      <c r="BH996" t="s">
        <v>20688</v>
      </c>
      <c r="BI996" t="s">
        <v>20689</v>
      </c>
      <c r="BJ996">
        <v>2.8400000000000002E-2</v>
      </c>
      <c r="BK996">
        <v>1</v>
      </c>
      <c r="BL996" t="s">
        <v>69</v>
      </c>
      <c r="BM996">
        <v>-1.0920000000000001</v>
      </c>
      <c r="BN996">
        <v>-2.444</v>
      </c>
    </row>
    <row r="997" spans="2:66">
      <c r="B997">
        <v>1583</v>
      </c>
      <c r="C997">
        <v>153</v>
      </c>
      <c r="D997">
        <v>0</v>
      </c>
      <c r="E997">
        <v>0</v>
      </c>
      <c r="F997">
        <v>8</v>
      </c>
      <c r="J997">
        <v>0</v>
      </c>
      <c r="K997">
        <v>8</v>
      </c>
      <c r="L997">
        <v>0</v>
      </c>
      <c r="M997" t="s">
        <v>25022</v>
      </c>
      <c r="N997">
        <v>3532</v>
      </c>
      <c r="O997" t="s">
        <v>20690</v>
      </c>
      <c r="P997" t="s">
        <v>62</v>
      </c>
      <c r="Q997">
        <v>3494988</v>
      </c>
      <c r="R997">
        <v>3495701</v>
      </c>
      <c r="S997" t="s">
        <v>20691</v>
      </c>
      <c r="T997">
        <v>238</v>
      </c>
      <c r="U997" t="s">
        <v>108</v>
      </c>
      <c r="V997">
        <v>44</v>
      </c>
      <c r="W997" t="str">
        <f>HYPERLINK("Gene3532-zp_tree_all.dnd", "Gene3532-tree")</f>
        <v>Gene3532-tree</v>
      </c>
      <c r="X997">
        <v>9</v>
      </c>
      <c r="Y997">
        <v>27</v>
      </c>
      <c r="Z997">
        <v>9</v>
      </c>
      <c r="AA997">
        <v>6</v>
      </c>
      <c r="AB997">
        <v>0.4</v>
      </c>
      <c r="AC997" t="s">
        <v>135</v>
      </c>
      <c r="AD997" t="s">
        <v>1055</v>
      </c>
      <c r="AE997">
        <v>4.8129999999999997</v>
      </c>
      <c r="AF997" t="s">
        <v>65</v>
      </c>
      <c r="AG997">
        <v>2</v>
      </c>
      <c r="AH997">
        <v>8</v>
      </c>
      <c r="AI997">
        <v>6</v>
      </c>
      <c r="AJ997">
        <v>0.57142999999999999</v>
      </c>
      <c r="AK997">
        <v>0</v>
      </c>
      <c r="AL997">
        <v>0</v>
      </c>
      <c r="AM997">
        <v>0</v>
      </c>
      <c r="AN997">
        <v>2</v>
      </c>
      <c r="AO997">
        <v>0</v>
      </c>
      <c r="AP997">
        <v>5</v>
      </c>
      <c r="AQ997">
        <v>0</v>
      </c>
      <c r="AR997">
        <v>5</v>
      </c>
      <c r="AS997">
        <v>2</v>
      </c>
      <c r="AT997">
        <v>0.71428999999999998</v>
      </c>
      <c r="AU997">
        <v>11</v>
      </c>
      <c r="AV997">
        <v>10</v>
      </c>
      <c r="AW997">
        <v>17</v>
      </c>
      <c r="AX997">
        <v>6</v>
      </c>
      <c r="AY997">
        <v>22</v>
      </c>
      <c r="AZ997">
        <v>9</v>
      </c>
      <c r="BA997" t="s">
        <v>20692</v>
      </c>
      <c r="BB997" t="s">
        <v>20693</v>
      </c>
      <c r="BC997">
        <v>0.151</v>
      </c>
      <c r="BD997" t="s">
        <v>65</v>
      </c>
      <c r="BE997">
        <v>39</v>
      </c>
      <c r="BF997">
        <v>15</v>
      </c>
      <c r="BG997" t="s">
        <v>20694</v>
      </c>
      <c r="BH997" t="s">
        <v>20695</v>
      </c>
      <c r="BI997" t="s">
        <v>20696</v>
      </c>
      <c r="BJ997">
        <v>9.0719999999999995E-2</v>
      </c>
      <c r="BK997">
        <v>1</v>
      </c>
      <c r="BL997" t="s">
        <v>69</v>
      </c>
      <c r="BM997">
        <v>-0.35799999999999998</v>
      </c>
      <c r="BN997">
        <v>-0.432</v>
      </c>
    </row>
    <row r="998" spans="2:66">
      <c r="B998">
        <v>1585</v>
      </c>
      <c r="C998">
        <v>91</v>
      </c>
      <c r="D998">
        <v>0</v>
      </c>
      <c r="E998">
        <v>0</v>
      </c>
      <c r="F998">
        <v>2</v>
      </c>
      <c r="J998">
        <v>0</v>
      </c>
      <c r="K998">
        <v>3</v>
      </c>
      <c r="L998">
        <v>0</v>
      </c>
      <c r="M998" t="s">
        <v>25022</v>
      </c>
      <c r="N998">
        <v>3533</v>
      </c>
      <c r="O998" t="s">
        <v>20697</v>
      </c>
      <c r="P998" t="s">
        <v>62</v>
      </c>
      <c r="Q998">
        <v>3495879</v>
      </c>
      <c r="R998">
        <v>3496478</v>
      </c>
      <c r="S998" t="s">
        <v>20698</v>
      </c>
      <c r="T998">
        <v>200</v>
      </c>
      <c r="U998" t="s">
        <v>108</v>
      </c>
      <c r="V998">
        <v>44</v>
      </c>
      <c r="W998" t="str">
        <f>HYPERLINK("Gene3533-zp_tree_all.dnd", "Gene3533-tree")</f>
        <v>Gene3533-tree</v>
      </c>
      <c r="X998">
        <v>9</v>
      </c>
      <c r="Y998">
        <v>25</v>
      </c>
      <c r="Z998">
        <v>9</v>
      </c>
      <c r="AA998">
        <v>5</v>
      </c>
      <c r="AB998">
        <v>0.35714000000000001</v>
      </c>
      <c r="AC998" t="s">
        <v>135</v>
      </c>
      <c r="AD998" t="s">
        <v>4839</v>
      </c>
      <c r="AE998">
        <v>5.1219999999999999</v>
      </c>
      <c r="AF998" t="s">
        <v>65</v>
      </c>
      <c r="AG998">
        <v>1</v>
      </c>
      <c r="AH998">
        <v>3</v>
      </c>
      <c r="AI998">
        <v>3</v>
      </c>
      <c r="AJ998">
        <v>0.5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2</v>
      </c>
      <c r="AQ998">
        <v>0</v>
      </c>
      <c r="AR998">
        <v>2</v>
      </c>
      <c r="AS998">
        <v>3</v>
      </c>
      <c r="AT998">
        <v>0.4</v>
      </c>
      <c r="AU998">
        <v>12</v>
      </c>
      <c r="AV998">
        <v>9</v>
      </c>
      <c r="AW998">
        <v>18</v>
      </c>
      <c r="AX998">
        <v>5</v>
      </c>
      <c r="AY998">
        <v>12</v>
      </c>
      <c r="AZ998">
        <v>1</v>
      </c>
      <c r="BA998" t="s">
        <v>20699</v>
      </c>
      <c r="BB998" t="s">
        <v>20700</v>
      </c>
      <c r="BC998">
        <v>0.73099999999999998</v>
      </c>
      <c r="BD998" t="s">
        <v>65</v>
      </c>
      <c r="BE998">
        <v>30</v>
      </c>
      <c r="BF998">
        <v>6</v>
      </c>
      <c r="BG998" t="s">
        <v>20701</v>
      </c>
      <c r="BH998" t="s">
        <v>20702</v>
      </c>
      <c r="BI998" t="s">
        <v>20703</v>
      </c>
      <c r="BJ998">
        <v>4.3869999999999999E-2</v>
      </c>
      <c r="BK998">
        <v>1</v>
      </c>
      <c r="BL998" t="s">
        <v>69</v>
      </c>
      <c r="BM998">
        <v>-0.495</v>
      </c>
      <c r="BN998">
        <v>-0.63</v>
      </c>
    </row>
    <row r="999" spans="2:66">
      <c r="B999">
        <v>1586</v>
      </c>
      <c r="C999">
        <v>83</v>
      </c>
      <c r="D999">
        <v>0</v>
      </c>
      <c r="E999">
        <v>2</v>
      </c>
      <c r="F999">
        <v>0</v>
      </c>
      <c r="J999">
        <v>0</v>
      </c>
      <c r="K999">
        <v>16</v>
      </c>
      <c r="L999">
        <v>0</v>
      </c>
      <c r="M999" t="s">
        <v>25022</v>
      </c>
      <c r="N999">
        <v>3534</v>
      </c>
      <c r="O999" t="s">
        <v>20704</v>
      </c>
      <c r="P999" t="s">
        <v>62</v>
      </c>
      <c r="Q999">
        <v>3496498</v>
      </c>
      <c r="R999">
        <v>3497610</v>
      </c>
      <c r="S999" t="s">
        <v>20705</v>
      </c>
      <c r="T999">
        <v>371</v>
      </c>
      <c r="U999" t="s">
        <v>108</v>
      </c>
      <c r="V999">
        <v>44</v>
      </c>
      <c r="W999" t="str">
        <f>HYPERLINK("Gene3534-zp_tree_all.dnd", "Gene3534-tree")</f>
        <v>Gene3534-tree</v>
      </c>
      <c r="X999">
        <v>6</v>
      </c>
      <c r="Y999">
        <v>10</v>
      </c>
      <c r="Z999">
        <v>6</v>
      </c>
      <c r="AA999">
        <v>10</v>
      </c>
      <c r="AB999">
        <v>0.625</v>
      </c>
      <c r="AC999" t="s">
        <v>90</v>
      </c>
      <c r="AD999" t="s">
        <v>117</v>
      </c>
      <c r="AE999" t="s">
        <v>62</v>
      </c>
      <c r="AF999" t="s">
        <v>62</v>
      </c>
      <c r="AG999">
        <v>7</v>
      </c>
      <c r="AH999">
        <v>16</v>
      </c>
      <c r="AI999">
        <v>12</v>
      </c>
      <c r="AJ999">
        <v>0.57142999999999999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6</v>
      </c>
      <c r="AQ999">
        <v>0</v>
      </c>
      <c r="AR999">
        <v>6</v>
      </c>
      <c r="AS999">
        <v>14</v>
      </c>
      <c r="AT999">
        <v>0.3</v>
      </c>
      <c r="AU999">
        <v>15</v>
      </c>
      <c r="AV999">
        <v>12</v>
      </c>
      <c r="AW999">
        <v>37</v>
      </c>
      <c r="AX999">
        <v>21</v>
      </c>
      <c r="AY999">
        <v>21</v>
      </c>
      <c r="AZ999">
        <v>11</v>
      </c>
      <c r="BA999" t="s">
        <v>20706</v>
      </c>
      <c r="BB999" t="s">
        <v>20707</v>
      </c>
      <c r="BC999">
        <v>0.107</v>
      </c>
      <c r="BD999" t="s">
        <v>65</v>
      </c>
      <c r="BE999">
        <v>58</v>
      </c>
      <c r="BF999">
        <v>32</v>
      </c>
      <c r="BG999" t="s">
        <v>20708</v>
      </c>
      <c r="BH999" t="s">
        <v>20709</v>
      </c>
      <c r="BI999" t="s">
        <v>20710</v>
      </c>
      <c r="BJ999">
        <v>0.15665000000000001</v>
      </c>
      <c r="BK999">
        <v>1</v>
      </c>
      <c r="BL999" t="s">
        <v>69</v>
      </c>
      <c r="BM999">
        <v>-0.11600000000000001</v>
      </c>
      <c r="BN999">
        <v>-0.82</v>
      </c>
    </row>
    <row r="1000" spans="2:66">
      <c r="B1000">
        <v>1588</v>
      </c>
      <c r="C1000">
        <v>13</v>
      </c>
      <c r="D1000">
        <v>0</v>
      </c>
      <c r="E1000">
        <v>0</v>
      </c>
      <c r="F1000">
        <v>2</v>
      </c>
      <c r="J1000">
        <v>0</v>
      </c>
      <c r="K1000">
        <v>4</v>
      </c>
      <c r="L1000">
        <v>0</v>
      </c>
      <c r="M1000" t="s">
        <v>25022</v>
      </c>
      <c r="N1000">
        <v>3535</v>
      </c>
      <c r="O1000" t="s">
        <v>20711</v>
      </c>
      <c r="P1000" t="s">
        <v>62</v>
      </c>
      <c r="Q1000">
        <v>3497617</v>
      </c>
      <c r="R1000">
        <v>3498351</v>
      </c>
      <c r="S1000" t="s">
        <v>5916</v>
      </c>
      <c r="T1000">
        <v>245</v>
      </c>
      <c r="U1000" t="s">
        <v>2513</v>
      </c>
      <c r="V1000">
        <v>43</v>
      </c>
      <c r="W1000" t="str">
        <f>HYPERLINK("Gene3535-zp_tree_all.dnd", "Gene3535-tree")</f>
        <v>Gene3535-tree</v>
      </c>
      <c r="X1000">
        <v>6</v>
      </c>
      <c r="Y1000">
        <v>6</v>
      </c>
      <c r="Z1000">
        <v>6</v>
      </c>
      <c r="AA1000">
        <v>6</v>
      </c>
      <c r="AB1000">
        <v>0.5</v>
      </c>
      <c r="AC1000" t="s">
        <v>90</v>
      </c>
      <c r="AD1000" t="s">
        <v>90</v>
      </c>
      <c r="AE1000" t="s">
        <v>62</v>
      </c>
      <c r="AF1000" t="s">
        <v>62</v>
      </c>
      <c r="AG1000">
        <v>2</v>
      </c>
      <c r="AH1000">
        <v>4</v>
      </c>
      <c r="AI1000">
        <v>7</v>
      </c>
      <c r="AJ1000">
        <v>0.36364000000000002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2</v>
      </c>
      <c r="AQ1000">
        <v>0</v>
      </c>
      <c r="AR1000">
        <v>2</v>
      </c>
      <c r="AS1000">
        <v>5</v>
      </c>
      <c r="AT1000">
        <v>0.28571000000000002</v>
      </c>
      <c r="AU1000">
        <v>10</v>
      </c>
      <c r="AV1000">
        <v>6</v>
      </c>
      <c r="AW1000">
        <v>7</v>
      </c>
      <c r="AX1000">
        <v>7</v>
      </c>
      <c r="AY1000">
        <v>5</v>
      </c>
      <c r="AZ1000">
        <v>4</v>
      </c>
      <c r="BA1000" t="s">
        <v>20712</v>
      </c>
      <c r="BB1000" t="s">
        <v>20713</v>
      </c>
      <c r="BC1000">
        <v>0.30599999999999999</v>
      </c>
      <c r="BD1000" t="s">
        <v>65</v>
      </c>
      <c r="BE1000">
        <v>12</v>
      </c>
      <c r="BF1000">
        <v>11</v>
      </c>
      <c r="BG1000" t="s">
        <v>20714</v>
      </c>
      <c r="BH1000" t="s">
        <v>20715</v>
      </c>
      <c r="BI1000" t="s">
        <v>20716</v>
      </c>
      <c r="BJ1000">
        <v>0.26476</v>
      </c>
      <c r="BK1000">
        <v>0.98</v>
      </c>
      <c r="BL1000" t="s">
        <v>69</v>
      </c>
      <c r="BM1000">
        <v>-0.627</v>
      </c>
      <c r="BN1000">
        <v>-0.185</v>
      </c>
    </row>
    <row r="1001" spans="2:66">
      <c r="B1001">
        <v>1591</v>
      </c>
      <c r="C1001">
        <v>923</v>
      </c>
      <c r="D1001">
        <v>0</v>
      </c>
      <c r="E1001">
        <v>79</v>
      </c>
      <c r="F1001">
        <v>6</v>
      </c>
      <c r="J1001">
        <v>0</v>
      </c>
      <c r="K1001">
        <v>19</v>
      </c>
      <c r="L1001">
        <v>0</v>
      </c>
      <c r="M1001" t="s">
        <v>25022</v>
      </c>
      <c r="N1001">
        <v>3536</v>
      </c>
      <c r="O1001" t="s">
        <v>20717</v>
      </c>
      <c r="P1001" t="s">
        <v>62</v>
      </c>
      <c r="Q1001">
        <v>3498355</v>
      </c>
      <c r="R1001">
        <v>3499257</v>
      </c>
      <c r="S1001" t="s">
        <v>1752</v>
      </c>
      <c r="T1001">
        <v>301</v>
      </c>
      <c r="U1001" t="s">
        <v>108</v>
      </c>
      <c r="V1001">
        <v>44</v>
      </c>
      <c r="W1001" t="str">
        <f>HYPERLINK("Gene3536-zp_tree_all.dnd", "Gene3536-tree")</f>
        <v>Gene3536-tree</v>
      </c>
      <c r="X1001">
        <v>23</v>
      </c>
      <c r="Y1001">
        <v>9</v>
      </c>
      <c r="Z1001">
        <v>4</v>
      </c>
      <c r="AA1001">
        <v>9</v>
      </c>
      <c r="AB1001">
        <v>0.69230999999999998</v>
      </c>
      <c r="AC1001" t="s">
        <v>690</v>
      </c>
      <c r="AD1001" t="s">
        <v>135</v>
      </c>
      <c r="AE1001" t="s">
        <v>62</v>
      </c>
      <c r="AF1001" t="s">
        <v>62</v>
      </c>
      <c r="AG1001">
        <v>8</v>
      </c>
      <c r="AH1001">
        <v>19</v>
      </c>
      <c r="AI1001">
        <v>12</v>
      </c>
      <c r="AJ1001">
        <v>0.6129</v>
      </c>
      <c r="AK1001">
        <v>0</v>
      </c>
      <c r="AL1001">
        <v>0</v>
      </c>
      <c r="AM1001">
        <v>0</v>
      </c>
      <c r="AN1001">
        <v>2</v>
      </c>
      <c r="AO1001">
        <v>0</v>
      </c>
      <c r="AP1001">
        <v>6</v>
      </c>
      <c r="AQ1001">
        <v>1</v>
      </c>
      <c r="AR1001">
        <v>7</v>
      </c>
      <c r="AS1001">
        <v>13</v>
      </c>
      <c r="AT1001">
        <v>0.35</v>
      </c>
      <c r="AU1001">
        <v>10</v>
      </c>
      <c r="AV1001">
        <v>8</v>
      </c>
      <c r="AW1001">
        <v>20</v>
      </c>
      <c r="AX1001">
        <v>20</v>
      </c>
      <c r="AY1001">
        <v>14</v>
      </c>
      <c r="AZ1001">
        <v>11</v>
      </c>
      <c r="BA1001" t="s">
        <v>20718</v>
      </c>
      <c r="BB1001" t="s">
        <v>20719</v>
      </c>
      <c r="BC1001">
        <v>0.53700000000000003</v>
      </c>
      <c r="BD1001" t="s">
        <v>65</v>
      </c>
      <c r="BE1001">
        <v>34</v>
      </c>
      <c r="BF1001">
        <v>31</v>
      </c>
      <c r="BG1001" t="s">
        <v>20720</v>
      </c>
      <c r="BH1001" t="s">
        <v>20721</v>
      </c>
      <c r="BI1001" t="s">
        <v>20722</v>
      </c>
      <c r="BJ1001">
        <v>0.20588999999999999</v>
      </c>
      <c r="BK1001">
        <v>1</v>
      </c>
      <c r="BL1001" t="s">
        <v>69</v>
      </c>
      <c r="BM1001">
        <v>-0.24299999999999999</v>
      </c>
      <c r="BN1001">
        <v>-0.86099999999999999</v>
      </c>
    </row>
    <row r="1002" spans="2:66">
      <c r="B1002">
        <v>1592</v>
      </c>
      <c r="C1002">
        <v>137</v>
      </c>
      <c r="D1002">
        <v>0</v>
      </c>
      <c r="E1002">
        <v>2</v>
      </c>
      <c r="F1002">
        <v>0</v>
      </c>
      <c r="J1002">
        <v>0</v>
      </c>
      <c r="K1002">
        <v>11</v>
      </c>
      <c r="L1002">
        <v>2</v>
      </c>
      <c r="M1002" t="s">
        <v>25022</v>
      </c>
      <c r="N1002">
        <v>3539</v>
      </c>
      <c r="O1002" t="s">
        <v>20739</v>
      </c>
      <c r="P1002" t="s">
        <v>62</v>
      </c>
      <c r="Q1002">
        <v>3501654</v>
      </c>
      <c r="R1002">
        <v>3502940</v>
      </c>
      <c r="S1002" t="s">
        <v>20740</v>
      </c>
      <c r="T1002">
        <v>429</v>
      </c>
      <c r="U1002" t="s">
        <v>20741</v>
      </c>
      <c r="V1002">
        <v>41</v>
      </c>
      <c r="W1002" t="str">
        <f>HYPERLINK("Gene3539-zp_tree_all.dnd", "Gene3539-tree")</f>
        <v>Gene3539-tree</v>
      </c>
      <c r="X1002">
        <v>4</v>
      </c>
      <c r="Y1002">
        <v>8</v>
      </c>
      <c r="Z1002">
        <v>4</v>
      </c>
      <c r="AA1002">
        <v>8</v>
      </c>
      <c r="AB1002">
        <v>0.66666999999999998</v>
      </c>
      <c r="AC1002" t="s">
        <v>61</v>
      </c>
      <c r="AD1002" t="s">
        <v>136</v>
      </c>
      <c r="AE1002" t="s">
        <v>62</v>
      </c>
      <c r="AF1002" t="s">
        <v>62</v>
      </c>
      <c r="AG1002">
        <v>6</v>
      </c>
      <c r="AH1002">
        <v>13</v>
      </c>
      <c r="AI1002">
        <v>12</v>
      </c>
      <c r="AJ1002">
        <v>0.52</v>
      </c>
      <c r="AK1002">
        <v>0</v>
      </c>
      <c r="AL1002">
        <v>0</v>
      </c>
      <c r="AM1002">
        <v>0</v>
      </c>
      <c r="AN1002">
        <v>2</v>
      </c>
      <c r="AO1002">
        <v>0</v>
      </c>
      <c r="AP1002">
        <v>8</v>
      </c>
      <c r="AQ1002">
        <v>2</v>
      </c>
      <c r="AR1002">
        <v>10</v>
      </c>
      <c r="AS1002">
        <v>9</v>
      </c>
      <c r="AT1002">
        <v>0.52632000000000001</v>
      </c>
      <c r="AU1002">
        <v>10</v>
      </c>
      <c r="AV1002">
        <v>9</v>
      </c>
      <c r="AW1002">
        <v>28</v>
      </c>
      <c r="AX1002">
        <v>15</v>
      </c>
      <c r="AY1002">
        <v>30</v>
      </c>
      <c r="AZ1002">
        <v>10</v>
      </c>
      <c r="BA1002" t="s">
        <v>20742</v>
      </c>
      <c r="BB1002" t="s">
        <v>20743</v>
      </c>
      <c r="BC1002">
        <v>0.57499999999999996</v>
      </c>
      <c r="BD1002" t="s">
        <v>65</v>
      </c>
      <c r="BE1002">
        <v>58</v>
      </c>
      <c r="BF1002">
        <v>25</v>
      </c>
      <c r="BG1002" t="s">
        <v>20744</v>
      </c>
      <c r="BH1002" t="s">
        <v>20745</v>
      </c>
      <c r="BI1002" t="s">
        <v>17688</v>
      </c>
      <c r="BJ1002">
        <v>0.10417999999999999</v>
      </c>
      <c r="BK1002">
        <v>1</v>
      </c>
      <c r="BL1002" t="s">
        <v>69</v>
      </c>
      <c r="BM1002">
        <v>-0.89500000000000002</v>
      </c>
      <c r="BN1002">
        <v>-1.5189999999999999</v>
      </c>
    </row>
    <row r="1003" spans="2:66">
      <c r="B1003">
        <v>1594</v>
      </c>
      <c r="C1003">
        <v>26</v>
      </c>
      <c r="D1003">
        <v>0</v>
      </c>
      <c r="E1003">
        <v>2</v>
      </c>
      <c r="F1003">
        <v>0</v>
      </c>
      <c r="J1003">
        <v>0</v>
      </c>
      <c r="K1003">
        <v>16</v>
      </c>
      <c r="L1003">
        <v>0</v>
      </c>
      <c r="M1003" t="s">
        <v>25022</v>
      </c>
      <c r="N1003">
        <v>3540</v>
      </c>
      <c r="O1003" t="s">
        <v>20746</v>
      </c>
      <c r="P1003" t="s">
        <v>62</v>
      </c>
      <c r="Q1003">
        <v>3503023</v>
      </c>
      <c r="R1003">
        <v>3505083</v>
      </c>
      <c r="S1003" t="s">
        <v>20747</v>
      </c>
      <c r="T1003">
        <v>687</v>
      </c>
      <c r="U1003" t="s">
        <v>108</v>
      </c>
      <c r="V1003">
        <v>44</v>
      </c>
      <c r="W1003" t="str">
        <f>HYPERLINK("Gene3540-zp_tree_all.dnd", "Gene3540-tree")</f>
        <v>Gene3540-tree</v>
      </c>
      <c r="X1003">
        <v>4</v>
      </c>
      <c r="Y1003">
        <v>10</v>
      </c>
      <c r="Z1003">
        <v>4</v>
      </c>
      <c r="AA1003">
        <v>10</v>
      </c>
      <c r="AB1003">
        <v>0.71428999999999998</v>
      </c>
      <c r="AC1003" t="s">
        <v>61</v>
      </c>
      <c r="AD1003" t="s">
        <v>117</v>
      </c>
      <c r="AE1003" t="s">
        <v>62</v>
      </c>
      <c r="AF1003" t="s">
        <v>62</v>
      </c>
      <c r="AG1003">
        <v>6</v>
      </c>
      <c r="AH1003">
        <v>16</v>
      </c>
      <c r="AI1003">
        <v>31</v>
      </c>
      <c r="AJ1003">
        <v>0.34043000000000001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2</v>
      </c>
      <c r="AQ1003">
        <v>4</v>
      </c>
      <c r="AR1003">
        <v>6</v>
      </c>
      <c r="AS1003">
        <v>27</v>
      </c>
      <c r="AT1003">
        <v>0.18182000000000001</v>
      </c>
      <c r="AU1003">
        <v>12</v>
      </c>
      <c r="AV1003">
        <v>11</v>
      </c>
      <c r="AW1003">
        <v>69</v>
      </c>
      <c r="AX1003">
        <v>31</v>
      </c>
      <c r="AY1003">
        <v>47</v>
      </c>
      <c r="AZ1003">
        <v>16</v>
      </c>
      <c r="BA1003" t="s">
        <v>20748</v>
      </c>
      <c r="BB1003" t="s">
        <v>20749</v>
      </c>
      <c r="BC1003">
        <v>0.36399999999999999</v>
      </c>
      <c r="BD1003" t="s">
        <v>65</v>
      </c>
      <c r="BE1003">
        <v>116</v>
      </c>
      <c r="BF1003">
        <v>47</v>
      </c>
      <c r="BG1003" t="s">
        <v>20750</v>
      </c>
      <c r="BH1003" t="s">
        <v>20751</v>
      </c>
      <c r="BI1003" t="s">
        <v>20752</v>
      </c>
      <c r="BJ1003">
        <v>0.10302</v>
      </c>
      <c r="BK1003">
        <v>1</v>
      </c>
      <c r="BL1003" t="s">
        <v>69</v>
      </c>
      <c r="BM1003">
        <v>-1.2829999999999999</v>
      </c>
      <c r="BN1003">
        <v>-2.2610000000000001</v>
      </c>
    </row>
    <row r="1004" spans="2:66">
      <c r="B1004">
        <v>1596</v>
      </c>
      <c r="C1004">
        <v>233</v>
      </c>
      <c r="D1004">
        <v>0</v>
      </c>
      <c r="E1004">
        <v>6</v>
      </c>
      <c r="F1004">
        <v>2</v>
      </c>
      <c r="J1004">
        <v>0</v>
      </c>
      <c r="K1004">
        <v>0</v>
      </c>
      <c r="L1004">
        <v>0</v>
      </c>
      <c r="M1004" t="s">
        <v>25022</v>
      </c>
      <c r="N1004">
        <v>3541</v>
      </c>
      <c r="O1004" t="s">
        <v>20753</v>
      </c>
      <c r="P1004" t="s">
        <v>62</v>
      </c>
      <c r="Q1004">
        <v>3505105</v>
      </c>
      <c r="R1004">
        <v>3505953</v>
      </c>
      <c r="S1004" t="s">
        <v>20754</v>
      </c>
      <c r="T1004">
        <v>283</v>
      </c>
      <c r="U1004" t="s">
        <v>108</v>
      </c>
      <c r="V1004">
        <v>44</v>
      </c>
      <c r="W1004" t="str">
        <f>HYPERLINK("Gene3541-zp_tree_all.dnd", "Gene3541-tree")</f>
        <v>Gene3541-tree</v>
      </c>
      <c r="X1004">
        <v>7</v>
      </c>
      <c r="Y1004">
        <v>5</v>
      </c>
      <c r="Z1004">
        <v>7</v>
      </c>
      <c r="AA1004">
        <v>5</v>
      </c>
      <c r="AB1004">
        <v>0.41666999999999998</v>
      </c>
      <c r="AC1004" t="s">
        <v>152</v>
      </c>
      <c r="AD1004" t="s">
        <v>199</v>
      </c>
      <c r="AE1004" t="s">
        <v>62</v>
      </c>
      <c r="AF1004" t="s">
        <v>62</v>
      </c>
      <c r="AG1004">
        <v>0</v>
      </c>
      <c r="AH1004">
        <v>0</v>
      </c>
      <c r="AI1004">
        <v>6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4</v>
      </c>
      <c r="AT1004">
        <v>0</v>
      </c>
      <c r="AU1004">
        <v>10</v>
      </c>
      <c r="AV1004">
        <v>8</v>
      </c>
      <c r="AW1004">
        <v>21</v>
      </c>
      <c r="AX1004">
        <v>4</v>
      </c>
      <c r="AY1004">
        <v>30</v>
      </c>
      <c r="AZ1004">
        <v>2</v>
      </c>
      <c r="BA1004" t="s">
        <v>20755</v>
      </c>
      <c r="BB1004" t="s">
        <v>20756</v>
      </c>
      <c r="BC1004">
        <v>0.86799999999999999</v>
      </c>
      <c r="BD1004" t="s">
        <v>65</v>
      </c>
      <c r="BE1004">
        <v>51</v>
      </c>
      <c r="BF1004">
        <v>6</v>
      </c>
      <c r="BG1004" t="s">
        <v>20757</v>
      </c>
      <c r="BH1004" t="s">
        <v>20758</v>
      </c>
      <c r="BI1004" t="s">
        <v>2745</v>
      </c>
      <c r="BJ1004">
        <v>3.1199999999999999E-2</v>
      </c>
      <c r="BK1004">
        <v>1</v>
      </c>
      <c r="BL1004" t="s">
        <v>69</v>
      </c>
      <c r="BM1004">
        <v>-9.2999999999999999E-2</v>
      </c>
      <c r="BN1004">
        <v>-0.56399999999999995</v>
      </c>
    </row>
    <row r="1005" spans="2:66">
      <c r="B1005">
        <v>1598</v>
      </c>
      <c r="C1005">
        <v>168</v>
      </c>
      <c r="D1005">
        <v>0</v>
      </c>
      <c r="E1005">
        <v>2</v>
      </c>
      <c r="F1005">
        <v>4</v>
      </c>
      <c r="J1005">
        <v>0</v>
      </c>
      <c r="K1005">
        <v>2</v>
      </c>
      <c r="L1005">
        <v>0</v>
      </c>
      <c r="M1005" t="s">
        <v>25022</v>
      </c>
      <c r="N1005">
        <v>3542</v>
      </c>
      <c r="O1005" t="s">
        <v>20759</v>
      </c>
      <c r="P1005" t="s">
        <v>62</v>
      </c>
      <c r="Q1005">
        <v>3505960</v>
      </c>
      <c r="R1005">
        <v>3507213</v>
      </c>
      <c r="S1005" t="s">
        <v>20754</v>
      </c>
      <c r="T1005">
        <v>418</v>
      </c>
      <c r="U1005" t="s">
        <v>108</v>
      </c>
      <c r="V1005">
        <v>44</v>
      </c>
      <c r="W1005" t="str">
        <f>HYPERLINK("Gene3542-zp_tree_all.dnd", "Gene3542-tree")</f>
        <v>Gene3542-tree</v>
      </c>
      <c r="X1005">
        <v>6</v>
      </c>
      <c r="Y1005">
        <v>6</v>
      </c>
      <c r="Z1005">
        <v>6</v>
      </c>
      <c r="AA1005">
        <v>6</v>
      </c>
      <c r="AB1005">
        <v>0.5</v>
      </c>
      <c r="AC1005" t="s">
        <v>90</v>
      </c>
      <c r="AD1005" t="s">
        <v>90</v>
      </c>
      <c r="AE1005" t="s">
        <v>62</v>
      </c>
      <c r="AF1005" t="s">
        <v>62</v>
      </c>
      <c r="AG1005">
        <v>1</v>
      </c>
      <c r="AH1005">
        <v>2</v>
      </c>
      <c r="AI1005">
        <v>8</v>
      </c>
      <c r="AJ1005">
        <v>0.2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7</v>
      </c>
      <c r="AT1005">
        <v>0</v>
      </c>
      <c r="AU1005">
        <v>11</v>
      </c>
      <c r="AV1005">
        <v>9</v>
      </c>
      <c r="AW1005">
        <v>32</v>
      </c>
      <c r="AX1005">
        <v>7</v>
      </c>
      <c r="AY1005">
        <v>32</v>
      </c>
      <c r="AZ1005">
        <v>3</v>
      </c>
      <c r="BA1005" t="s">
        <v>20760</v>
      </c>
      <c r="BB1005" t="s">
        <v>20761</v>
      </c>
      <c r="BC1005">
        <v>1.0780000000000001</v>
      </c>
      <c r="BD1005" t="s">
        <v>65</v>
      </c>
      <c r="BE1005">
        <v>64</v>
      </c>
      <c r="BF1005">
        <v>10</v>
      </c>
      <c r="BG1005" t="s">
        <v>11421</v>
      </c>
      <c r="BH1005" t="s">
        <v>20762</v>
      </c>
      <c r="BI1005" t="s">
        <v>20763</v>
      </c>
      <c r="BJ1005">
        <v>5.21E-2</v>
      </c>
      <c r="BK1005">
        <v>1</v>
      </c>
      <c r="BL1005" t="s">
        <v>69</v>
      </c>
      <c r="BM1005">
        <v>-0.54800000000000004</v>
      </c>
      <c r="BN1005">
        <v>-1.5229999999999999</v>
      </c>
    </row>
    <row r="1006" spans="2:66">
      <c r="B1006">
        <v>1599</v>
      </c>
      <c r="C1006">
        <v>91</v>
      </c>
      <c r="D1006">
        <v>0</v>
      </c>
      <c r="E1006">
        <v>8</v>
      </c>
      <c r="F1006">
        <v>0</v>
      </c>
      <c r="J1006">
        <v>0</v>
      </c>
      <c r="K1006">
        <v>4</v>
      </c>
      <c r="L1006">
        <v>0</v>
      </c>
      <c r="M1006" t="s">
        <v>25022</v>
      </c>
      <c r="N1006">
        <v>3543</v>
      </c>
      <c r="O1006" t="s">
        <v>20764</v>
      </c>
      <c r="P1006" t="s">
        <v>62</v>
      </c>
      <c r="Q1006">
        <v>3507256</v>
      </c>
      <c r="R1006">
        <v>3508518</v>
      </c>
      <c r="S1006" t="s">
        <v>20765</v>
      </c>
      <c r="T1006">
        <v>421</v>
      </c>
      <c r="U1006" t="s">
        <v>108</v>
      </c>
      <c r="V1006">
        <v>44</v>
      </c>
      <c r="W1006" t="str">
        <f>HYPERLINK("Gene3543-zp_tree_all.dnd", "Gene3543-tree")</f>
        <v>Gene3543-tree</v>
      </c>
      <c r="X1006">
        <v>3</v>
      </c>
      <c r="Y1006">
        <v>31</v>
      </c>
      <c r="Z1006">
        <v>3</v>
      </c>
      <c r="AA1006">
        <v>10</v>
      </c>
      <c r="AB1006">
        <v>0.76922999999999997</v>
      </c>
      <c r="AC1006" t="s">
        <v>324</v>
      </c>
      <c r="AD1006" t="s">
        <v>2854</v>
      </c>
      <c r="AE1006">
        <v>1.627</v>
      </c>
      <c r="AF1006" t="s">
        <v>65</v>
      </c>
      <c r="AG1006">
        <v>2</v>
      </c>
      <c r="AH1006">
        <v>4</v>
      </c>
      <c r="AI1006">
        <v>19</v>
      </c>
      <c r="AJ1006">
        <v>0.17391000000000001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17</v>
      </c>
      <c r="AT1006">
        <v>0</v>
      </c>
      <c r="AU1006">
        <v>12</v>
      </c>
      <c r="AV1006">
        <v>9</v>
      </c>
      <c r="AW1006">
        <v>42</v>
      </c>
      <c r="AX1006">
        <v>17</v>
      </c>
      <c r="AY1006">
        <v>27</v>
      </c>
      <c r="AZ1006">
        <v>6</v>
      </c>
      <c r="BA1006" t="s">
        <v>20766</v>
      </c>
      <c r="BB1006" t="s">
        <v>20767</v>
      </c>
      <c r="BC1006">
        <v>1.048</v>
      </c>
      <c r="BD1006" t="s">
        <v>65</v>
      </c>
      <c r="BE1006">
        <v>69</v>
      </c>
      <c r="BF1006">
        <v>23</v>
      </c>
      <c r="BG1006" t="s">
        <v>20768</v>
      </c>
      <c r="BH1006" t="s">
        <v>20769</v>
      </c>
      <c r="BI1006" t="s">
        <v>20770</v>
      </c>
      <c r="BJ1006">
        <v>9.5030000000000003E-2</v>
      </c>
      <c r="BK1006">
        <v>1</v>
      </c>
      <c r="BL1006" t="s">
        <v>69</v>
      </c>
      <c r="BM1006">
        <v>-0.48799999999999999</v>
      </c>
      <c r="BN1006">
        <v>-1.8049999999999999</v>
      </c>
    </row>
    <row r="1007" spans="2:66">
      <c r="B1007">
        <v>1600</v>
      </c>
      <c r="C1007">
        <v>41</v>
      </c>
      <c r="D1007">
        <v>0</v>
      </c>
      <c r="E1007">
        <v>0</v>
      </c>
      <c r="F1007">
        <v>2</v>
      </c>
      <c r="J1007">
        <v>0</v>
      </c>
      <c r="K1007">
        <v>0</v>
      </c>
      <c r="L1007">
        <v>0</v>
      </c>
      <c r="M1007" t="s">
        <v>25022</v>
      </c>
      <c r="N1007">
        <v>3544</v>
      </c>
      <c r="O1007" t="s">
        <v>20771</v>
      </c>
      <c r="P1007" t="s">
        <v>62</v>
      </c>
      <c r="Q1007">
        <v>3508662</v>
      </c>
      <c r="R1007">
        <v>3509651</v>
      </c>
      <c r="S1007" t="s">
        <v>20772</v>
      </c>
      <c r="T1007">
        <v>330</v>
      </c>
      <c r="U1007" t="s">
        <v>108</v>
      </c>
      <c r="V1007">
        <v>44</v>
      </c>
      <c r="W1007" t="str">
        <f>HYPERLINK("Gene3544-zp_tree_all.dnd", "Gene3544-tree")</f>
        <v>Gene3544-tree</v>
      </c>
      <c r="X1007">
        <v>8</v>
      </c>
      <c r="Y1007">
        <v>5</v>
      </c>
      <c r="Z1007">
        <v>8</v>
      </c>
      <c r="AA1007">
        <v>5</v>
      </c>
      <c r="AB1007">
        <v>0.38462000000000002</v>
      </c>
      <c r="AC1007" t="s">
        <v>136</v>
      </c>
      <c r="AD1007" t="s">
        <v>199</v>
      </c>
      <c r="AE1007" t="s">
        <v>62</v>
      </c>
      <c r="AF1007" t="s">
        <v>62</v>
      </c>
      <c r="AG1007">
        <v>0</v>
      </c>
      <c r="AH1007">
        <v>0</v>
      </c>
      <c r="AI1007">
        <v>8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8</v>
      </c>
      <c r="AT1007">
        <v>0</v>
      </c>
      <c r="AU1007">
        <v>11</v>
      </c>
      <c r="AV1007">
        <v>7</v>
      </c>
      <c r="AW1007">
        <v>34</v>
      </c>
      <c r="AX1007">
        <v>8</v>
      </c>
      <c r="AY1007">
        <v>7</v>
      </c>
      <c r="AZ1007">
        <v>0</v>
      </c>
      <c r="BA1007" t="s">
        <v>20773</v>
      </c>
      <c r="BB1007" t="s">
        <v>193</v>
      </c>
      <c r="BC1007">
        <v>1.78</v>
      </c>
      <c r="BD1007" t="s">
        <v>65</v>
      </c>
      <c r="BE1007">
        <v>41</v>
      </c>
      <c r="BF1007">
        <v>8</v>
      </c>
      <c r="BG1007" t="s">
        <v>20774</v>
      </c>
      <c r="BH1007" t="s">
        <v>20775</v>
      </c>
      <c r="BI1007" t="s">
        <v>20776</v>
      </c>
      <c r="BJ1007">
        <v>4.5260000000000002E-2</v>
      </c>
      <c r="BK1007">
        <v>1</v>
      </c>
      <c r="BL1007" t="s">
        <v>69</v>
      </c>
      <c r="BM1007">
        <v>-1.913</v>
      </c>
      <c r="BN1007">
        <v>-3.1509999999999998</v>
      </c>
    </row>
    <row r="1008" spans="2:66">
      <c r="B1008">
        <v>1602</v>
      </c>
      <c r="C1008">
        <v>24</v>
      </c>
      <c r="D1008">
        <v>0</v>
      </c>
      <c r="E1008">
        <v>7</v>
      </c>
      <c r="F1008">
        <v>2</v>
      </c>
      <c r="J1008">
        <v>0</v>
      </c>
      <c r="K1008">
        <v>4</v>
      </c>
      <c r="L1008">
        <v>0</v>
      </c>
      <c r="M1008" t="s">
        <v>25022</v>
      </c>
      <c r="N1008">
        <v>3545</v>
      </c>
      <c r="O1008" t="s">
        <v>20777</v>
      </c>
      <c r="P1008" t="s">
        <v>62</v>
      </c>
      <c r="Q1008">
        <v>3509834</v>
      </c>
      <c r="R1008">
        <v>3510490</v>
      </c>
      <c r="S1008" t="s">
        <v>20778</v>
      </c>
      <c r="T1008">
        <v>219</v>
      </c>
      <c r="U1008" t="s">
        <v>108</v>
      </c>
      <c r="V1008">
        <v>44</v>
      </c>
      <c r="W1008" t="str">
        <f>HYPERLINK("Gene3545-zp_tree_all.dnd", "Gene3545-tree")</f>
        <v>Gene3545-tree</v>
      </c>
      <c r="X1008">
        <v>9</v>
      </c>
      <c r="Y1008">
        <v>7</v>
      </c>
      <c r="Z1008">
        <v>9</v>
      </c>
      <c r="AA1008">
        <v>7</v>
      </c>
      <c r="AB1008">
        <v>0.4375</v>
      </c>
      <c r="AC1008" t="s">
        <v>135</v>
      </c>
      <c r="AD1008" t="s">
        <v>152</v>
      </c>
      <c r="AE1008" t="s">
        <v>62</v>
      </c>
      <c r="AF1008" t="s">
        <v>62</v>
      </c>
      <c r="AG1008">
        <v>2</v>
      </c>
      <c r="AH1008">
        <v>4</v>
      </c>
      <c r="AI1008">
        <v>6</v>
      </c>
      <c r="AJ1008">
        <v>0.4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2</v>
      </c>
      <c r="AQ1008">
        <v>0</v>
      </c>
      <c r="AR1008">
        <v>2</v>
      </c>
      <c r="AS1008">
        <v>7</v>
      </c>
      <c r="AT1008">
        <v>0.22222</v>
      </c>
      <c r="AU1008">
        <v>12</v>
      </c>
      <c r="AV1008">
        <v>6</v>
      </c>
      <c r="AW1008">
        <v>13</v>
      </c>
      <c r="AX1008">
        <v>9</v>
      </c>
      <c r="AY1008">
        <v>5</v>
      </c>
      <c r="AZ1008">
        <v>1</v>
      </c>
      <c r="BA1008" t="s">
        <v>20779</v>
      </c>
      <c r="BB1008" t="s">
        <v>20780</v>
      </c>
      <c r="BC1008">
        <v>0.84099999999999997</v>
      </c>
      <c r="BD1008" t="s">
        <v>65</v>
      </c>
      <c r="BE1008">
        <v>18</v>
      </c>
      <c r="BF1008">
        <v>10</v>
      </c>
      <c r="BG1008" t="s">
        <v>20781</v>
      </c>
      <c r="BH1008" t="s">
        <v>20782</v>
      </c>
      <c r="BI1008" t="s">
        <v>6746</v>
      </c>
      <c r="BJ1008">
        <v>0.12906000000000001</v>
      </c>
      <c r="BK1008">
        <v>1</v>
      </c>
      <c r="BL1008" t="s">
        <v>69</v>
      </c>
      <c r="BM1008">
        <v>-1.1859999999999999</v>
      </c>
      <c r="BN1008">
        <v>-2.25</v>
      </c>
    </row>
    <row r="1009" spans="2:66">
      <c r="B1009">
        <v>1604</v>
      </c>
      <c r="C1009">
        <v>378</v>
      </c>
      <c r="D1009">
        <v>0</v>
      </c>
      <c r="E1009">
        <v>15</v>
      </c>
      <c r="F1009">
        <v>1</v>
      </c>
      <c r="J1009">
        <v>0</v>
      </c>
      <c r="K1009">
        <v>14</v>
      </c>
      <c r="L1009">
        <v>0</v>
      </c>
      <c r="M1009" t="s">
        <v>25022</v>
      </c>
      <c r="N1009">
        <v>3547</v>
      </c>
      <c r="O1009" t="s">
        <v>20789</v>
      </c>
      <c r="P1009" t="s">
        <v>62</v>
      </c>
      <c r="Q1009">
        <v>3512501</v>
      </c>
      <c r="R1009">
        <v>3513808</v>
      </c>
      <c r="S1009" t="s">
        <v>20790</v>
      </c>
      <c r="T1009">
        <v>436</v>
      </c>
      <c r="U1009" t="s">
        <v>108</v>
      </c>
      <c r="V1009">
        <v>44</v>
      </c>
      <c r="W1009" t="str">
        <f>HYPERLINK("Gene3547-zp_tree_all.dnd", "Gene3547-tree")</f>
        <v>Gene3547-tree</v>
      </c>
      <c r="X1009">
        <v>9</v>
      </c>
      <c r="Y1009">
        <v>8</v>
      </c>
      <c r="Z1009">
        <v>9</v>
      </c>
      <c r="AA1009">
        <v>8</v>
      </c>
      <c r="AB1009">
        <v>0.47059000000000001</v>
      </c>
      <c r="AC1009" t="s">
        <v>135</v>
      </c>
      <c r="AD1009" t="s">
        <v>136</v>
      </c>
      <c r="AE1009" t="s">
        <v>62</v>
      </c>
      <c r="AF1009" t="s">
        <v>62</v>
      </c>
      <c r="AG1009">
        <v>4</v>
      </c>
      <c r="AH1009">
        <v>14</v>
      </c>
      <c r="AI1009">
        <v>19</v>
      </c>
      <c r="AJ1009">
        <v>0.42424000000000001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2</v>
      </c>
      <c r="AQ1009">
        <v>0</v>
      </c>
      <c r="AR1009">
        <v>2</v>
      </c>
      <c r="AS1009">
        <v>16</v>
      </c>
      <c r="AT1009">
        <v>0.11111</v>
      </c>
      <c r="AU1009">
        <v>16</v>
      </c>
      <c r="AV1009">
        <v>13</v>
      </c>
      <c r="AW1009">
        <v>56</v>
      </c>
      <c r="AX1009">
        <v>19</v>
      </c>
      <c r="AY1009">
        <v>38</v>
      </c>
      <c r="AZ1009">
        <v>15</v>
      </c>
      <c r="BA1009" t="s">
        <v>20791</v>
      </c>
      <c r="BB1009" t="s">
        <v>20792</v>
      </c>
      <c r="BC1009">
        <v>0.18099999999999999</v>
      </c>
      <c r="BD1009" t="s">
        <v>65</v>
      </c>
      <c r="BE1009">
        <v>94</v>
      </c>
      <c r="BF1009">
        <v>34</v>
      </c>
      <c r="BG1009" t="s">
        <v>20793</v>
      </c>
      <c r="BH1009" t="s">
        <v>20794</v>
      </c>
      <c r="BI1009" t="s">
        <v>20795</v>
      </c>
      <c r="BJ1009">
        <v>0.11799</v>
      </c>
      <c r="BK1009">
        <v>1</v>
      </c>
      <c r="BL1009" t="s">
        <v>69</v>
      </c>
      <c r="BM1009">
        <v>-0.41599999999999998</v>
      </c>
      <c r="BN1009">
        <v>-1.7569999999999999</v>
      </c>
    </row>
    <row r="1010" spans="2:66">
      <c r="B1010">
        <v>1605</v>
      </c>
      <c r="C1010">
        <v>83</v>
      </c>
      <c r="D1010">
        <v>0</v>
      </c>
      <c r="E1010">
        <v>2</v>
      </c>
      <c r="F1010">
        <v>0</v>
      </c>
      <c r="J1010">
        <v>0</v>
      </c>
      <c r="K1010">
        <v>3</v>
      </c>
      <c r="L1010">
        <v>4</v>
      </c>
      <c r="M1010" t="s">
        <v>25022</v>
      </c>
      <c r="N1010">
        <v>3549</v>
      </c>
      <c r="O1010" t="s">
        <v>20802</v>
      </c>
      <c r="P1010" t="s">
        <v>62</v>
      </c>
      <c r="Q1010">
        <v>3514118</v>
      </c>
      <c r="R1010">
        <v>3515083</v>
      </c>
      <c r="S1010" t="s">
        <v>20803</v>
      </c>
      <c r="T1010">
        <v>322</v>
      </c>
      <c r="U1010" t="s">
        <v>108</v>
      </c>
      <c r="V1010">
        <v>44</v>
      </c>
      <c r="W1010" t="str">
        <f>HYPERLINK("Gene3549-zp_tree_all.dnd", "Gene3549-tree")</f>
        <v>Gene3549-tree</v>
      </c>
      <c r="X1010">
        <v>5</v>
      </c>
      <c r="Y1010">
        <v>9</v>
      </c>
      <c r="Z1010">
        <v>5</v>
      </c>
      <c r="AA1010">
        <v>9</v>
      </c>
      <c r="AB1010">
        <v>0.64285999999999999</v>
      </c>
      <c r="AC1010" t="s">
        <v>199</v>
      </c>
      <c r="AD1010" t="s">
        <v>135</v>
      </c>
      <c r="AE1010" t="s">
        <v>62</v>
      </c>
      <c r="AF1010" t="s">
        <v>62</v>
      </c>
      <c r="AG1010">
        <v>3</v>
      </c>
      <c r="AH1010">
        <v>7</v>
      </c>
      <c r="AI1010">
        <v>21</v>
      </c>
      <c r="AJ1010">
        <v>0.25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3</v>
      </c>
      <c r="AQ1010">
        <v>2</v>
      </c>
      <c r="AR1010">
        <v>5</v>
      </c>
      <c r="AS1010">
        <v>10</v>
      </c>
      <c r="AT1010">
        <v>0.33333000000000002</v>
      </c>
      <c r="AU1010">
        <v>13</v>
      </c>
      <c r="AV1010">
        <v>10</v>
      </c>
      <c r="AW1010">
        <v>34</v>
      </c>
      <c r="AX1010">
        <v>15</v>
      </c>
      <c r="AY1010">
        <v>42</v>
      </c>
      <c r="AZ1010">
        <v>14</v>
      </c>
      <c r="BA1010" t="s">
        <v>20804</v>
      </c>
      <c r="BB1010" t="s">
        <v>20805</v>
      </c>
      <c r="BC1010">
        <v>0.318</v>
      </c>
      <c r="BD1010" t="s">
        <v>65</v>
      </c>
      <c r="BE1010">
        <v>76</v>
      </c>
      <c r="BF1010">
        <v>29</v>
      </c>
      <c r="BG1010" t="s">
        <v>20806</v>
      </c>
      <c r="BH1010" t="s">
        <v>20807</v>
      </c>
      <c r="BI1010" t="s">
        <v>20808</v>
      </c>
      <c r="BJ1010">
        <v>0.12015000000000001</v>
      </c>
      <c r="BK1010">
        <v>1</v>
      </c>
      <c r="BL1010" t="s">
        <v>69</v>
      </c>
      <c r="BM1010">
        <v>-0.21</v>
      </c>
      <c r="BN1010">
        <v>-0.73399999999999999</v>
      </c>
    </row>
    <row r="1011" spans="2:66">
      <c r="B1011">
        <v>1607</v>
      </c>
      <c r="C1011">
        <v>207</v>
      </c>
      <c r="D1011">
        <v>0</v>
      </c>
      <c r="E1011">
        <v>3</v>
      </c>
      <c r="F1011">
        <v>0</v>
      </c>
      <c r="J1011">
        <v>0</v>
      </c>
      <c r="K1011">
        <v>21</v>
      </c>
      <c r="L1011">
        <v>2</v>
      </c>
      <c r="M1011" t="s">
        <v>25022</v>
      </c>
      <c r="N1011">
        <v>3550</v>
      </c>
      <c r="O1011" t="s">
        <v>20809</v>
      </c>
      <c r="P1011" t="s">
        <v>62</v>
      </c>
      <c r="Q1011">
        <v>3515065</v>
      </c>
      <c r="R1011">
        <v>3516228</v>
      </c>
      <c r="S1011" t="s">
        <v>20810</v>
      </c>
      <c r="T1011">
        <v>388</v>
      </c>
      <c r="U1011" t="s">
        <v>108</v>
      </c>
      <c r="V1011">
        <v>44</v>
      </c>
      <c r="W1011" t="str">
        <f>HYPERLINK("Gene3550-zp_tree_all.dnd", "Gene3550-tree")</f>
        <v>Gene3550-tree</v>
      </c>
      <c r="X1011">
        <v>6</v>
      </c>
      <c r="Y1011">
        <v>29</v>
      </c>
      <c r="Z1011">
        <v>6</v>
      </c>
      <c r="AA1011">
        <v>12</v>
      </c>
      <c r="AB1011">
        <v>0.66666999999999998</v>
      </c>
      <c r="AC1011" t="s">
        <v>90</v>
      </c>
      <c r="AD1011" t="s">
        <v>1455</v>
      </c>
      <c r="AE1011">
        <v>2.1930000000000001</v>
      </c>
      <c r="AF1011" t="s">
        <v>65</v>
      </c>
      <c r="AG1011">
        <v>9</v>
      </c>
      <c r="AH1011">
        <v>23</v>
      </c>
      <c r="AI1011">
        <v>22</v>
      </c>
      <c r="AJ1011">
        <v>0.51110999999999995</v>
      </c>
      <c r="AK1011">
        <v>0</v>
      </c>
      <c r="AL1011">
        <v>0</v>
      </c>
      <c r="AM1011">
        <v>0</v>
      </c>
      <c r="AN1011">
        <v>4</v>
      </c>
      <c r="AO1011">
        <v>0</v>
      </c>
      <c r="AP1011">
        <v>7</v>
      </c>
      <c r="AQ1011">
        <v>0</v>
      </c>
      <c r="AR1011">
        <v>7</v>
      </c>
      <c r="AS1011">
        <v>21</v>
      </c>
      <c r="AT1011">
        <v>0.25</v>
      </c>
      <c r="AU1011">
        <v>13</v>
      </c>
      <c r="AV1011">
        <v>13</v>
      </c>
      <c r="AW1011">
        <v>44</v>
      </c>
      <c r="AX1011">
        <v>24</v>
      </c>
      <c r="AY1011">
        <v>48</v>
      </c>
      <c r="AZ1011">
        <v>21</v>
      </c>
      <c r="BA1011" t="s">
        <v>20811</v>
      </c>
      <c r="BB1011" t="s">
        <v>20812</v>
      </c>
      <c r="BC1011">
        <v>0.26800000000000002</v>
      </c>
      <c r="BD1011" t="s">
        <v>65</v>
      </c>
      <c r="BE1011">
        <v>92</v>
      </c>
      <c r="BF1011">
        <v>45</v>
      </c>
      <c r="BG1011" t="s">
        <v>20813</v>
      </c>
      <c r="BH1011" t="s">
        <v>20814</v>
      </c>
      <c r="BI1011" t="s">
        <v>20815</v>
      </c>
      <c r="BJ1011">
        <v>0.15998000000000001</v>
      </c>
      <c r="BK1011">
        <v>1</v>
      </c>
      <c r="BL1011" t="s">
        <v>69</v>
      </c>
      <c r="BM1011">
        <v>-0.47199999999999998</v>
      </c>
      <c r="BN1011">
        <v>-1.792</v>
      </c>
    </row>
    <row r="1012" spans="2:66">
      <c r="B1012">
        <v>1609</v>
      </c>
      <c r="C1012">
        <v>420</v>
      </c>
      <c r="D1012">
        <v>0</v>
      </c>
      <c r="E1012">
        <v>4</v>
      </c>
      <c r="F1012">
        <v>3</v>
      </c>
      <c r="J1012">
        <v>0</v>
      </c>
      <c r="K1012">
        <v>10</v>
      </c>
      <c r="L1012">
        <v>3</v>
      </c>
      <c r="M1012" t="s">
        <v>25022</v>
      </c>
      <c r="N1012">
        <v>3551</v>
      </c>
      <c r="O1012" t="s">
        <v>20816</v>
      </c>
      <c r="P1012" t="s">
        <v>62</v>
      </c>
      <c r="Q1012">
        <v>3516236</v>
      </c>
      <c r="R1012">
        <v>3516883</v>
      </c>
      <c r="S1012" t="s">
        <v>20817</v>
      </c>
      <c r="T1012">
        <v>216</v>
      </c>
      <c r="U1012" t="s">
        <v>108</v>
      </c>
      <c r="V1012">
        <v>44</v>
      </c>
      <c r="W1012" t="str">
        <f>HYPERLINK("Gene3551-zp_tree_all.dnd", "Gene3551-tree")</f>
        <v>Gene3551-tree</v>
      </c>
      <c r="X1012">
        <v>6</v>
      </c>
      <c r="Y1012">
        <v>9</v>
      </c>
      <c r="Z1012">
        <v>6</v>
      </c>
      <c r="AA1012">
        <v>9</v>
      </c>
      <c r="AB1012">
        <v>0.6</v>
      </c>
      <c r="AC1012" t="s">
        <v>90</v>
      </c>
      <c r="AD1012" t="s">
        <v>135</v>
      </c>
      <c r="AE1012" t="s">
        <v>62</v>
      </c>
      <c r="AF1012" t="s">
        <v>62</v>
      </c>
      <c r="AG1012">
        <v>6</v>
      </c>
      <c r="AH1012">
        <v>13</v>
      </c>
      <c r="AI1012">
        <v>12</v>
      </c>
      <c r="AJ1012">
        <v>0.52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2</v>
      </c>
      <c r="AR1012">
        <v>2</v>
      </c>
      <c r="AS1012">
        <v>15</v>
      </c>
      <c r="AT1012">
        <v>0.11765</v>
      </c>
      <c r="AU1012">
        <v>13</v>
      </c>
      <c r="AV1012">
        <v>10</v>
      </c>
      <c r="AW1012">
        <v>36</v>
      </c>
      <c r="AX1012">
        <v>17</v>
      </c>
      <c r="AY1012">
        <v>17</v>
      </c>
      <c r="AZ1012">
        <v>8</v>
      </c>
      <c r="BA1012" t="s">
        <v>20818</v>
      </c>
      <c r="BB1012" t="s">
        <v>20819</v>
      </c>
      <c r="BC1012">
        <v>7.0000000000000001E-3</v>
      </c>
      <c r="BD1012" t="s">
        <v>65</v>
      </c>
      <c r="BE1012">
        <v>53</v>
      </c>
      <c r="BF1012">
        <v>25</v>
      </c>
      <c r="BG1012" t="s">
        <v>20820</v>
      </c>
      <c r="BH1012" t="s">
        <v>20821</v>
      </c>
      <c r="BI1012" t="s">
        <v>20822</v>
      </c>
      <c r="BJ1012">
        <v>0.18490000000000001</v>
      </c>
      <c r="BK1012">
        <v>1</v>
      </c>
      <c r="BL1012" t="s">
        <v>69</v>
      </c>
      <c r="BM1012">
        <v>-0.45700000000000002</v>
      </c>
      <c r="BN1012">
        <v>-2.1829999999999998</v>
      </c>
    </row>
    <row r="1013" spans="2:66">
      <c r="B1013">
        <v>1610</v>
      </c>
      <c r="C1013">
        <v>275</v>
      </c>
      <c r="D1013">
        <v>0</v>
      </c>
      <c r="E1013">
        <v>2</v>
      </c>
      <c r="F1013">
        <v>2</v>
      </c>
      <c r="J1013">
        <v>0</v>
      </c>
      <c r="K1013">
        <v>2</v>
      </c>
      <c r="L1013">
        <v>0</v>
      </c>
      <c r="M1013" t="s">
        <v>25022</v>
      </c>
      <c r="N1013">
        <v>3552</v>
      </c>
      <c r="O1013" t="s">
        <v>20823</v>
      </c>
      <c r="P1013" t="s">
        <v>62</v>
      </c>
      <c r="Q1013">
        <v>3516883</v>
      </c>
      <c r="R1013">
        <v>3517488</v>
      </c>
      <c r="S1013" t="s">
        <v>20824</v>
      </c>
      <c r="T1013">
        <v>202</v>
      </c>
      <c r="U1013" t="s">
        <v>20825</v>
      </c>
      <c r="V1013">
        <v>45</v>
      </c>
      <c r="W1013" t="str">
        <f>HYPERLINK("Gene3552-zp_tree_all.dnd", "Gene3552-tree")</f>
        <v>Gene3552-tree</v>
      </c>
      <c r="X1013">
        <v>11</v>
      </c>
      <c r="Y1013">
        <v>24</v>
      </c>
      <c r="Z1013">
        <v>11</v>
      </c>
      <c r="AA1013">
        <v>5</v>
      </c>
      <c r="AB1013">
        <v>0.3125</v>
      </c>
      <c r="AC1013" t="s">
        <v>73</v>
      </c>
      <c r="AD1013" t="s">
        <v>2668</v>
      </c>
      <c r="AE1013">
        <v>5.0679999999999996</v>
      </c>
      <c r="AF1013" t="s">
        <v>65</v>
      </c>
      <c r="AG1013">
        <v>1</v>
      </c>
      <c r="AH1013">
        <v>2</v>
      </c>
      <c r="AI1013">
        <v>8</v>
      </c>
      <c r="AJ1013">
        <v>0.2</v>
      </c>
      <c r="AK1013">
        <v>0</v>
      </c>
      <c r="AL1013">
        <v>0</v>
      </c>
      <c r="AM1013">
        <v>0</v>
      </c>
      <c r="AN1013">
        <v>2</v>
      </c>
      <c r="AO1013">
        <v>0</v>
      </c>
      <c r="AP1013">
        <v>0</v>
      </c>
      <c r="AQ1013">
        <v>0</v>
      </c>
      <c r="AR1013">
        <v>0</v>
      </c>
      <c r="AS1013">
        <v>7</v>
      </c>
      <c r="AT1013">
        <v>0</v>
      </c>
      <c r="AU1013">
        <v>11</v>
      </c>
      <c r="AV1013">
        <v>9</v>
      </c>
      <c r="AW1013">
        <v>28</v>
      </c>
      <c r="AX1013">
        <v>7</v>
      </c>
      <c r="AY1013">
        <v>28</v>
      </c>
      <c r="AZ1013">
        <v>3</v>
      </c>
      <c r="BA1013" t="s">
        <v>20826</v>
      </c>
      <c r="BB1013" t="s">
        <v>20827</v>
      </c>
      <c r="BC1013">
        <v>0.47099999999999997</v>
      </c>
      <c r="BD1013" t="s">
        <v>65</v>
      </c>
      <c r="BE1013">
        <v>56</v>
      </c>
      <c r="BF1013">
        <v>10</v>
      </c>
      <c r="BG1013" t="s">
        <v>20828</v>
      </c>
      <c r="BH1013" t="s">
        <v>20829</v>
      </c>
      <c r="BI1013" t="s">
        <v>20830</v>
      </c>
      <c r="BJ1013">
        <v>4.6920000000000003E-2</v>
      </c>
      <c r="BK1013">
        <v>1</v>
      </c>
      <c r="BL1013" t="s">
        <v>69</v>
      </c>
      <c r="BM1013">
        <v>-1.698</v>
      </c>
      <c r="BN1013">
        <v>-3.51</v>
      </c>
    </row>
    <row r="1014" spans="2:66">
      <c r="B1014">
        <v>1611</v>
      </c>
      <c r="C1014">
        <v>342</v>
      </c>
      <c r="D1014">
        <v>0</v>
      </c>
      <c r="E1014">
        <v>3</v>
      </c>
      <c r="F1014">
        <v>0</v>
      </c>
      <c r="J1014">
        <v>0</v>
      </c>
      <c r="K1014">
        <v>22</v>
      </c>
      <c r="L1014">
        <v>0</v>
      </c>
      <c r="M1014" t="s">
        <v>25022</v>
      </c>
      <c r="N1014">
        <v>3553</v>
      </c>
      <c r="O1014" t="s">
        <v>2964</v>
      </c>
      <c r="P1014" t="s">
        <v>62</v>
      </c>
      <c r="Q1014">
        <v>3517488</v>
      </c>
      <c r="R1014">
        <v>3519002</v>
      </c>
      <c r="S1014" t="s">
        <v>20831</v>
      </c>
      <c r="T1014">
        <v>505</v>
      </c>
      <c r="U1014" t="s">
        <v>4158</v>
      </c>
      <c r="V1014">
        <v>42</v>
      </c>
      <c r="W1014" t="str">
        <f>HYPERLINK("Gene3553-zp_tree_all.dnd", "Gene3553-tree")</f>
        <v>Gene3553-tree</v>
      </c>
      <c r="X1014">
        <v>4</v>
      </c>
      <c r="Y1014">
        <v>12</v>
      </c>
      <c r="Z1014">
        <v>4</v>
      </c>
      <c r="AA1014">
        <v>12</v>
      </c>
      <c r="AB1014">
        <v>0.75</v>
      </c>
      <c r="AC1014" t="s">
        <v>61</v>
      </c>
      <c r="AD1014" t="s">
        <v>109</v>
      </c>
      <c r="AE1014" t="s">
        <v>62</v>
      </c>
      <c r="AF1014" t="s">
        <v>62</v>
      </c>
      <c r="AG1014">
        <v>8</v>
      </c>
      <c r="AH1014">
        <v>22</v>
      </c>
      <c r="AI1014">
        <v>18</v>
      </c>
      <c r="AJ1014">
        <v>0.55000000000000004</v>
      </c>
      <c r="AK1014">
        <v>0</v>
      </c>
      <c r="AL1014">
        <v>0</v>
      </c>
      <c r="AM1014">
        <v>0</v>
      </c>
      <c r="AN1014">
        <v>4</v>
      </c>
      <c r="AO1014">
        <v>0</v>
      </c>
      <c r="AP1014">
        <v>8</v>
      </c>
      <c r="AQ1014">
        <v>0</v>
      </c>
      <c r="AR1014">
        <v>8</v>
      </c>
      <c r="AS1014">
        <v>15</v>
      </c>
      <c r="AT1014">
        <v>0.34782999999999997</v>
      </c>
      <c r="AU1014">
        <v>13</v>
      </c>
      <c r="AV1014">
        <v>13</v>
      </c>
      <c r="AW1014">
        <v>50</v>
      </c>
      <c r="AX1014">
        <v>21</v>
      </c>
      <c r="AY1014">
        <v>65</v>
      </c>
      <c r="AZ1014">
        <v>20</v>
      </c>
      <c r="BA1014" t="s">
        <v>20832</v>
      </c>
      <c r="BB1014" t="s">
        <v>20833</v>
      </c>
      <c r="BC1014">
        <v>0.76800000000000002</v>
      </c>
      <c r="BD1014" t="s">
        <v>65</v>
      </c>
      <c r="BE1014">
        <v>115</v>
      </c>
      <c r="BF1014">
        <v>41</v>
      </c>
      <c r="BG1014" t="s">
        <v>20834</v>
      </c>
      <c r="BH1014" t="s">
        <v>20835</v>
      </c>
      <c r="BI1014" t="s">
        <v>20836</v>
      </c>
      <c r="BJ1014">
        <v>0.12221</v>
      </c>
      <c r="BK1014">
        <v>1</v>
      </c>
      <c r="BL1014" t="s">
        <v>69</v>
      </c>
      <c r="BM1014">
        <v>-0.19</v>
      </c>
      <c r="BN1014">
        <v>-1.034</v>
      </c>
    </row>
    <row r="1015" spans="2:66">
      <c r="B1015">
        <v>1612</v>
      </c>
      <c r="C1015">
        <v>24</v>
      </c>
      <c r="D1015">
        <v>0</v>
      </c>
      <c r="E1015">
        <v>0</v>
      </c>
      <c r="F1015">
        <v>4</v>
      </c>
      <c r="J1015">
        <v>3</v>
      </c>
      <c r="K1015">
        <v>38</v>
      </c>
      <c r="L1015">
        <v>7</v>
      </c>
      <c r="M1015" t="s">
        <v>25022</v>
      </c>
      <c r="N1015">
        <v>3554</v>
      </c>
      <c r="O1015" t="s">
        <v>2956</v>
      </c>
      <c r="P1015" t="s">
        <v>62</v>
      </c>
      <c r="Q1015">
        <v>3519002</v>
      </c>
      <c r="R1015">
        <v>3520033</v>
      </c>
      <c r="S1015" t="s">
        <v>20837</v>
      </c>
      <c r="T1015">
        <v>344</v>
      </c>
      <c r="U1015" t="s">
        <v>4013</v>
      </c>
      <c r="V1015">
        <v>43</v>
      </c>
      <c r="W1015" t="str">
        <f>HYPERLINK("Gene3554-zp_tree_all.dnd", "Gene3554-tree")</f>
        <v>Gene3554-tree</v>
      </c>
      <c r="X1015">
        <v>22</v>
      </c>
      <c r="Y1015">
        <v>13</v>
      </c>
      <c r="Z1015">
        <v>4</v>
      </c>
      <c r="AA1015">
        <v>13</v>
      </c>
      <c r="AB1015">
        <v>0.76471</v>
      </c>
      <c r="AC1015" t="s">
        <v>2634</v>
      </c>
      <c r="AD1015" t="s">
        <v>507</v>
      </c>
      <c r="AE1015" t="s">
        <v>62</v>
      </c>
      <c r="AF1015" t="s">
        <v>62</v>
      </c>
      <c r="AG1015">
        <v>19</v>
      </c>
      <c r="AH1015">
        <v>48</v>
      </c>
      <c r="AI1015">
        <v>19</v>
      </c>
      <c r="AJ1015">
        <v>0.71641999999999995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14</v>
      </c>
      <c r="AQ1015">
        <v>8</v>
      </c>
      <c r="AR1015">
        <v>22</v>
      </c>
      <c r="AS1015">
        <v>21</v>
      </c>
      <c r="AT1015">
        <v>0.51163000000000003</v>
      </c>
      <c r="AU1015">
        <v>15</v>
      </c>
      <c r="AV1015">
        <v>14</v>
      </c>
      <c r="AW1015">
        <v>37</v>
      </c>
      <c r="AX1015">
        <v>42</v>
      </c>
      <c r="AY1015">
        <v>29</v>
      </c>
      <c r="AZ1015">
        <v>25</v>
      </c>
      <c r="BA1015" t="s">
        <v>20838</v>
      </c>
      <c r="BB1015" t="s">
        <v>20839</v>
      </c>
      <c r="BC1015">
        <v>0.55000000000000004</v>
      </c>
      <c r="BD1015" t="s">
        <v>65</v>
      </c>
      <c r="BE1015">
        <v>66</v>
      </c>
      <c r="BF1015">
        <v>67</v>
      </c>
      <c r="BG1015" t="s">
        <v>20840</v>
      </c>
      <c r="BH1015" t="s">
        <v>20841</v>
      </c>
      <c r="BI1015" t="s">
        <v>20842</v>
      </c>
      <c r="BJ1015">
        <v>0.27892</v>
      </c>
      <c r="BK1015">
        <v>1</v>
      </c>
      <c r="BL1015" t="s">
        <v>69</v>
      </c>
      <c r="BM1015">
        <v>-4.9000000000000002E-2</v>
      </c>
      <c r="BN1015">
        <v>-0.86</v>
      </c>
    </row>
    <row r="1016" spans="2:66">
      <c r="B1016">
        <v>1614</v>
      </c>
      <c r="C1016">
        <v>130</v>
      </c>
      <c r="D1016">
        <v>0</v>
      </c>
      <c r="E1016">
        <v>2</v>
      </c>
      <c r="F1016">
        <v>0</v>
      </c>
      <c r="J1016">
        <v>0</v>
      </c>
      <c r="K1016">
        <v>22</v>
      </c>
      <c r="L1016">
        <v>0</v>
      </c>
      <c r="M1016" t="s">
        <v>25022</v>
      </c>
      <c r="N1016">
        <v>3555</v>
      </c>
      <c r="O1016" t="s">
        <v>20843</v>
      </c>
      <c r="P1016" t="s">
        <v>62</v>
      </c>
      <c r="Q1016">
        <v>3520033</v>
      </c>
      <c r="R1016">
        <v>3521106</v>
      </c>
      <c r="S1016" t="s">
        <v>20844</v>
      </c>
      <c r="T1016">
        <v>358</v>
      </c>
      <c r="U1016" t="s">
        <v>4013</v>
      </c>
      <c r="V1016">
        <v>43</v>
      </c>
      <c r="W1016" t="str">
        <f>HYPERLINK("Gene3555-zp_tree_all.dnd", "Gene3555-tree")</f>
        <v>Gene3555-tree</v>
      </c>
      <c r="X1016">
        <v>4</v>
      </c>
      <c r="Y1016">
        <v>12</v>
      </c>
      <c r="Z1016">
        <v>4</v>
      </c>
      <c r="AA1016">
        <v>12</v>
      </c>
      <c r="AB1016">
        <v>0.75</v>
      </c>
      <c r="AC1016" t="s">
        <v>61</v>
      </c>
      <c r="AD1016" t="s">
        <v>109</v>
      </c>
      <c r="AE1016" t="s">
        <v>62</v>
      </c>
      <c r="AF1016" t="s">
        <v>62</v>
      </c>
      <c r="AG1016">
        <v>9</v>
      </c>
      <c r="AH1016">
        <v>22</v>
      </c>
      <c r="AI1016">
        <v>18</v>
      </c>
      <c r="AJ1016">
        <v>0.55000000000000004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6</v>
      </c>
      <c r="AQ1016">
        <v>2</v>
      </c>
      <c r="AR1016">
        <v>8</v>
      </c>
      <c r="AS1016">
        <v>16</v>
      </c>
      <c r="AT1016">
        <v>0.33333000000000002</v>
      </c>
      <c r="AU1016">
        <v>14</v>
      </c>
      <c r="AV1016">
        <v>12</v>
      </c>
      <c r="AW1016">
        <v>30</v>
      </c>
      <c r="AX1016">
        <v>24</v>
      </c>
      <c r="AY1016">
        <v>27</v>
      </c>
      <c r="AZ1016">
        <v>16</v>
      </c>
      <c r="BA1016" t="s">
        <v>20845</v>
      </c>
      <c r="BB1016" t="s">
        <v>20846</v>
      </c>
      <c r="BC1016">
        <v>0.55200000000000005</v>
      </c>
      <c r="BD1016" t="s">
        <v>65</v>
      </c>
      <c r="BE1016">
        <v>57</v>
      </c>
      <c r="BF1016">
        <v>40</v>
      </c>
      <c r="BG1016" t="s">
        <v>20847</v>
      </c>
      <c r="BH1016" t="s">
        <v>20848</v>
      </c>
      <c r="BI1016" t="s">
        <v>20849</v>
      </c>
      <c r="BJ1016">
        <v>0.20066999999999999</v>
      </c>
      <c r="BK1016">
        <v>1</v>
      </c>
      <c r="BL1016" t="s">
        <v>69</v>
      </c>
      <c r="BM1016">
        <v>-0.378</v>
      </c>
      <c r="BN1016">
        <v>-0.85099999999999998</v>
      </c>
    </row>
    <row r="1017" spans="2:66">
      <c r="B1017">
        <v>1615</v>
      </c>
      <c r="C1017">
        <v>232</v>
      </c>
      <c r="D1017">
        <v>2</v>
      </c>
      <c r="E1017">
        <v>7</v>
      </c>
      <c r="F1017">
        <v>2</v>
      </c>
      <c r="J1017">
        <v>0</v>
      </c>
      <c r="K1017">
        <v>7</v>
      </c>
      <c r="L1017">
        <v>0</v>
      </c>
      <c r="M1017" t="s">
        <v>25022</v>
      </c>
      <c r="N1017">
        <v>3556</v>
      </c>
      <c r="O1017" t="s">
        <v>20850</v>
      </c>
      <c r="P1017" t="s">
        <v>62</v>
      </c>
      <c r="Q1017">
        <v>3521114</v>
      </c>
      <c r="R1017">
        <v>3522145</v>
      </c>
      <c r="S1017" t="s">
        <v>20851</v>
      </c>
      <c r="T1017">
        <v>344</v>
      </c>
      <c r="U1017" t="s">
        <v>4013</v>
      </c>
      <c r="V1017">
        <v>43</v>
      </c>
      <c r="W1017" t="str">
        <f>HYPERLINK("Gene3556-zp_tree_all.dnd", "Gene3556-tree")</f>
        <v>Gene3556-tree</v>
      </c>
      <c r="X1017">
        <v>7</v>
      </c>
      <c r="Y1017">
        <v>8</v>
      </c>
      <c r="Z1017">
        <v>7</v>
      </c>
      <c r="AA1017">
        <v>8</v>
      </c>
      <c r="AB1017">
        <v>0.53332999999999997</v>
      </c>
      <c r="AC1017" t="s">
        <v>152</v>
      </c>
      <c r="AD1017" t="s">
        <v>136</v>
      </c>
      <c r="AE1017" t="s">
        <v>62</v>
      </c>
      <c r="AF1017" t="s">
        <v>62</v>
      </c>
      <c r="AG1017">
        <v>3</v>
      </c>
      <c r="AH1017">
        <v>7</v>
      </c>
      <c r="AI1017">
        <v>14</v>
      </c>
      <c r="AJ1017">
        <v>0.33333000000000002</v>
      </c>
      <c r="AK1017">
        <v>0</v>
      </c>
      <c r="AL1017">
        <v>0</v>
      </c>
      <c r="AM1017">
        <v>0</v>
      </c>
      <c r="AN1017">
        <v>4</v>
      </c>
      <c r="AO1017">
        <v>0</v>
      </c>
      <c r="AP1017">
        <v>2</v>
      </c>
      <c r="AQ1017">
        <v>0</v>
      </c>
      <c r="AR1017">
        <v>2</v>
      </c>
      <c r="AS1017">
        <v>10</v>
      </c>
      <c r="AT1017">
        <v>0.16667000000000001</v>
      </c>
      <c r="AU1017">
        <v>12</v>
      </c>
      <c r="AV1017">
        <v>11</v>
      </c>
      <c r="AW1017">
        <v>29</v>
      </c>
      <c r="AX1017">
        <v>12</v>
      </c>
      <c r="AY1017">
        <v>36</v>
      </c>
      <c r="AZ1017">
        <v>10</v>
      </c>
      <c r="BA1017" t="s">
        <v>20852</v>
      </c>
      <c r="BB1017" t="s">
        <v>20853</v>
      </c>
      <c r="BC1017">
        <v>0.58899999999999997</v>
      </c>
      <c r="BD1017" t="s">
        <v>65</v>
      </c>
      <c r="BE1017">
        <v>65</v>
      </c>
      <c r="BF1017">
        <v>22</v>
      </c>
      <c r="BG1017" t="s">
        <v>20854</v>
      </c>
      <c r="BH1017" t="s">
        <v>20855</v>
      </c>
      <c r="BI1017" t="s">
        <v>16205</v>
      </c>
      <c r="BJ1017">
        <v>8.5529999999999995E-2</v>
      </c>
      <c r="BK1017">
        <v>1</v>
      </c>
      <c r="BL1017" t="s">
        <v>69</v>
      </c>
      <c r="BM1017">
        <v>5.8000000000000003E-2</v>
      </c>
      <c r="BN1017">
        <v>-0.755</v>
      </c>
    </row>
    <row r="1018" spans="2:66">
      <c r="B1018">
        <v>1616</v>
      </c>
      <c r="C1018">
        <v>149</v>
      </c>
      <c r="D1018">
        <v>0</v>
      </c>
      <c r="E1018">
        <v>4</v>
      </c>
      <c r="F1018">
        <v>0</v>
      </c>
      <c r="J1018">
        <v>0</v>
      </c>
      <c r="K1018">
        <v>4</v>
      </c>
      <c r="L1018">
        <v>0</v>
      </c>
      <c r="M1018" t="s">
        <v>25022</v>
      </c>
      <c r="N1018">
        <v>3557</v>
      </c>
      <c r="O1018" t="s">
        <v>20856</v>
      </c>
      <c r="P1018" t="s">
        <v>62</v>
      </c>
      <c r="Q1018">
        <v>3522173</v>
      </c>
      <c r="R1018">
        <v>3523273</v>
      </c>
      <c r="S1018" t="s">
        <v>20857</v>
      </c>
      <c r="T1018">
        <v>367</v>
      </c>
      <c r="U1018" t="s">
        <v>4013</v>
      </c>
      <c r="V1018">
        <v>43</v>
      </c>
      <c r="W1018" t="str">
        <f>HYPERLINK("Gene3557-zp_tree_all.dnd", "Gene3557-tree")</f>
        <v>Gene3557-tree</v>
      </c>
      <c r="X1018">
        <v>8</v>
      </c>
      <c r="Y1018">
        <v>5</v>
      </c>
      <c r="Z1018">
        <v>8</v>
      </c>
      <c r="AA1018">
        <v>5</v>
      </c>
      <c r="AB1018">
        <v>0.38462000000000002</v>
      </c>
      <c r="AC1018" t="s">
        <v>136</v>
      </c>
      <c r="AD1018" t="s">
        <v>199</v>
      </c>
      <c r="AE1018" t="s">
        <v>62</v>
      </c>
      <c r="AF1018" t="s">
        <v>62</v>
      </c>
      <c r="AG1018">
        <v>2</v>
      </c>
      <c r="AH1018">
        <v>4</v>
      </c>
      <c r="AI1018">
        <v>9</v>
      </c>
      <c r="AJ1018">
        <v>0.30769000000000002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</v>
      </c>
      <c r="AQ1018">
        <v>0</v>
      </c>
      <c r="AR1018">
        <v>2</v>
      </c>
      <c r="AS1018">
        <v>8</v>
      </c>
      <c r="AT1018">
        <v>0.2</v>
      </c>
      <c r="AU1018">
        <v>13</v>
      </c>
      <c r="AV1018">
        <v>10</v>
      </c>
      <c r="AW1018">
        <v>41</v>
      </c>
      <c r="AX1018">
        <v>10</v>
      </c>
      <c r="AY1018">
        <v>28</v>
      </c>
      <c r="AZ1018">
        <v>3</v>
      </c>
      <c r="BA1018" t="s">
        <v>20858</v>
      </c>
      <c r="BB1018" t="s">
        <v>20859</v>
      </c>
      <c r="BC1018">
        <v>0.56000000000000005</v>
      </c>
      <c r="BD1018" t="s">
        <v>65</v>
      </c>
      <c r="BE1018">
        <v>69</v>
      </c>
      <c r="BF1018">
        <v>13</v>
      </c>
      <c r="BG1018" t="s">
        <v>20860</v>
      </c>
      <c r="BH1018" t="s">
        <v>20861</v>
      </c>
      <c r="BI1018" t="s">
        <v>20862</v>
      </c>
      <c r="BJ1018">
        <v>5.4050000000000001E-2</v>
      </c>
      <c r="BK1018">
        <v>1</v>
      </c>
      <c r="BL1018" t="s">
        <v>69</v>
      </c>
      <c r="BM1018">
        <v>0.157</v>
      </c>
      <c r="BN1018">
        <v>-0.94599999999999995</v>
      </c>
    </row>
    <row r="1019" spans="2:66">
      <c r="B1019">
        <v>1617</v>
      </c>
      <c r="C1019">
        <v>206</v>
      </c>
      <c r="D1019">
        <v>0</v>
      </c>
      <c r="E1019">
        <v>3</v>
      </c>
      <c r="F1019">
        <v>0</v>
      </c>
      <c r="J1019">
        <v>0</v>
      </c>
      <c r="K1019">
        <v>8</v>
      </c>
      <c r="L1019">
        <v>1</v>
      </c>
      <c r="M1019" t="s">
        <v>25022</v>
      </c>
      <c r="N1019">
        <v>3558</v>
      </c>
      <c r="O1019" t="s">
        <v>20863</v>
      </c>
      <c r="P1019" t="s">
        <v>62</v>
      </c>
      <c r="Q1019">
        <v>3523273</v>
      </c>
      <c r="R1019">
        <v>3524424</v>
      </c>
      <c r="S1019" t="s">
        <v>20864</v>
      </c>
      <c r="T1019">
        <v>384</v>
      </c>
      <c r="U1019" t="s">
        <v>4013</v>
      </c>
      <c r="V1019">
        <v>43</v>
      </c>
      <c r="W1019" t="str">
        <f>HYPERLINK("Gene3558-zp_tree_all.dnd", "Gene3558-tree")</f>
        <v>Gene3558-tree</v>
      </c>
      <c r="X1019">
        <v>8</v>
      </c>
      <c r="Y1019">
        <v>8</v>
      </c>
      <c r="Z1019">
        <v>8</v>
      </c>
      <c r="AA1019">
        <v>8</v>
      </c>
      <c r="AB1019">
        <v>0.5</v>
      </c>
      <c r="AC1019" t="s">
        <v>136</v>
      </c>
      <c r="AD1019" t="s">
        <v>136</v>
      </c>
      <c r="AE1019" t="s">
        <v>62</v>
      </c>
      <c r="AF1019" t="s">
        <v>62</v>
      </c>
      <c r="AG1019">
        <v>3</v>
      </c>
      <c r="AH1019">
        <v>9</v>
      </c>
      <c r="AI1019">
        <v>8</v>
      </c>
      <c r="AJ1019">
        <v>0.52941000000000005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2</v>
      </c>
      <c r="AQ1019">
        <v>2</v>
      </c>
      <c r="AR1019">
        <v>4</v>
      </c>
      <c r="AS1019">
        <v>6</v>
      </c>
      <c r="AT1019">
        <v>0.4</v>
      </c>
      <c r="AU1019">
        <v>15</v>
      </c>
      <c r="AV1019">
        <v>12</v>
      </c>
      <c r="AW1019">
        <v>41</v>
      </c>
      <c r="AX1019">
        <v>10</v>
      </c>
      <c r="AY1019">
        <v>55</v>
      </c>
      <c r="AZ1019">
        <v>7</v>
      </c>
      <c r="BA1019" t="s">
        <v>20865</v>
      </c>
      <c r="BB1019" t="s">
        <v>20866</v>
      </c>
      <c r="BC1019">
        <v>0.71299999999999997</v>
      </c>
      <c r="BD1019" t="s">
        <v>65</v>
      </c>
      <c r="BE1019">
        <v>96</v>
      </c>
      <c r="BF1019">
        <v>17</v>
      </c>
      <c r="BG1019" t="s">
        <v>20867</v>
      </c>
      <c r="BH1019" t="s">
        <v>20868</v>
      </c>
      <c r="BI1019" t="s">
        <v>20869</v>
      </c>
      <c r="BJ1019">
        <v>4.5580000000000002E-2</v>
      </c>
      <c r="BK1019">
        <v>1</v>
      </c>
      <c r="BL1019" t="s">
        <v>69</v>
      </c>
      <c r="BM1019">
        <v>-0.38800000000000001</v>
      </c>
      <c r="BN1019">
        <v>-0.20399999999999999</v>
      </c>
    </row>
    <row r="1020" spans="2:66">
      <c r="B1020">
        <v>1618</v>
      </c>
      <c r="C1020">
        <v>108</v>
      </c>
      <c r="D1020">
        <v>0</v>
      </c>
      <c r="E1020">
        <v>2</v>
      </c>
      <c r="F1020">
        <v>0</v>
      </c>
      <c r="J1020">
        <v>0</v>
      </c>
      <c r="K1020">
        <v>2</v>
      </c>
      <c r="L1020">
        <v>0</v>
      </c>
      <c r="M1020" t="s">
        <v>25022</v>
      </c>
      <c r="N1020">
        <v>3559</v>
      </c>
      <c r="O1020" t="s">
        <v>20870</v>
      </c>
      <c r="P1020" t="s">
        <v>62</v>
      </c>
      <c r="Q1020">
        <v>3524420</v>
      </c>
      <c r="R1020">
        <v>3525253</v>
      </c>
      <c r="S1020" t="s">
        <v>20871</v>
      </c>
      <c r="T1020">
        <v>278</v>
      </c>
      <c r="U1020" t="s">
        <v>108</v>
      </c>
      <c r="V1020">
        <v>44</v>
      </c>
      <c r="W1020" t="str">
        <f>HYPERLINK("Gene3559-zp_tree_all.dnd", "Gene3559-tree")</f>
        <v>Gene3559-tree</v>
      </c>
      <c r="X1020">
        <v>5</v>
      </c>
      <c r="Y1020">
        <v>8</v>
      </c>
      <c r="Z1020">
        <v>5</v>
      </c>
      <c r="AA1020">
        <v>8</v>
      </c>
      <c r="AB1020">
        <v>0.61538000000000004</v>
      </c>
      <c r="AC1020" t="s">
        <v>199</v>
      </c>
      <c r="AD1020" t="s">
        <v>136</v>
      </c>
      <c r="AE1020" t="s">
        <v>62</v>
      </c>
      <c r="AF1020" t="s">
        <v>62</v>
      </c>
      <c r="AG1020">
        <v>1</v>
      </c>
      <c r="AH1020">
        <v>2</v>
      </c>
      <c r="AI1020">
        <v>10</v>
      </c>
      <c r="AJ1020">
        <v>0.16667000000000001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11</v>
      </c>
      <c r="AT1020">
        <v>0</v>
      </c>
      <c r="AU1020">
        <v>11</v>
      </c>
      <c r="AV1020">
        <v>9</v>
      </c>
      <c r="AW1020">
        <v>31</v>
      </c>
      <c r="AX1020">
        <v>10</v>
      </c>
      <c r="AY1020">
        <v>18</v>
      </c>
      <c r="AZ1020">
        <v>2</v>
      </c>
      <c r="BA1020" t="s">
        <v>20872</v>
      </c>
      <c r="BB1020" t="s">
        <v>20873</v>
      </c>
      <c r="BC1020">
        <v>0.77800000000000002</v>
      </c>
      <c r="BD1020" t="s">
        <v>65</v>
      </c>
      <c r="BE1020">
        <v>49</v>
      </c>
      <c r="BF1020">
        <v>12</v>
      </c>
      <c r="BG1020" t="s">
        <v>20874</v>
      </c>
      <c r="BH1020" t="s">
        <v>20875</v>
      </c>
      <c r="BI1020" t="s">
        <v>20876</v>
      </c>
      <c r="BJ1020">
        <v>6.9110000000000005E-2</v>
      </c>
      <c r="BK1020">
        <v>1</v>
      </c>
      <c r="BL1020" t="s">
        <v>69</v>
      </c>
      <c r="BM1020">
        <v>-1.0580000000000001</v>
      </c>
      <c r="BN1020">
        <v>-1.411</v>
      </c>
    </row>
    <row r="1021" spans="2:66">
      <c r="B1021">
        <v>1619</v>
      </c>
      <c r="C1021">
        <v>334</v>
      </c>
      <c r="D1021">
        <v>0</v>
      </c>
      <c r="E1021">
        <v>5</v>
      </c>
      <c r="F1021">
        <v>0</v>
      </c>
      <c r="J1021">
        <v>0</v>
      </c>
      <c r="K1021">
        <v>7</v>
      </c>
      <c r="L1021">
        <v>3</v>
      </c>
      <c r="M1021" t="s">
        <v>25022</v>
      </c>
      <c r="N1021">
        <v>3560</v>
      </c>
      <c r="O1021" t="s">
        <v>20877</v>
      </c>
      <c r="P1021" t="s">
        <v>62</v>
      </c>
      <c r="Q1021">
        <v>3525253</v>
      </c>
      <c r="R1021">
        <v>3526395</v>
      </c>
      <c r="S1021" t="s">
        <v>20878</v>
      </c>
      <c r="T1021">
        <v>381</v>
      </c>
      <c r="U1021" t="s">
        <v>108</v>
      </c>
      <c r="V1021">
        <v>44</v>
      </c>
      <c r="W1021" t="str">
        <f>HYPERLINK("Gene3560-zp_tree_all.dnd", "Gene3560-tree")</f>
        <v>Gene3560-tree</v>
      </c>
      <c r="X1021">
        <v>8</v>
      </c>
      <c r="Y1021">
        <v>7</v>
      </c>
      <c r="Z1021">
        <v>8</v>
      </c>
      <c r="AA1021">
        <v>7</v>
      </c>
      <c r="AB1021">
        <v>0.46666999999999997</v>
      </c>
      <c r="AC1021" t="s">
        <v>136</v>
      </c>
      <c r="AD1021" t="s">
        <v>152</v>
      </c>
      <c r="AE1021" t="s">
        <v>62</v>
      </c>
      <c r="AF1021" t="s">
        <v>62</v>
      </c>
      <c r="AG1021">
        <v>4</v>
      </c>
      <c r="AH1021">
        <v>10</v>
      </c>
      <c r="AI1021">
        <v>20</v>
      </c>
      <c r="AJ1021">
        <v>0.33333000000000002</v>
      </c>
      <c r="AK1021">
        <v>0</v>
      </c>
      <c r="AL1021">
        <v>0</v>
      </c>
      <c r="AM1021">
        <v>0</v>
      </c>
      <c r="AN1021">
        <v>2</v>
      </c>
      <c r="AO1021">
        <v>0</v>
      </c>
      <c r="AP1021">
        <v>2</v>
      </c>
      <c r="AQ1021">
        <v>1</v>
      </c>
      <c r="AR1021">
        <v>3</v>
      </c>
      <c r="AS1021">
        <v>15</v>
      </c>
      <c r="AT1021">
        <v>0.16667000000000001</v>
      </c>
      <c r="AU1021">
        <v>12</v>
      </c>
      <c r="AV1021">
        <v>11</v>
      </c>
      <c r="AW1021">
        <v>26</v>
      </c>
      <c r="AX1021">
        <v>16</v>
      </c>
      <c r="AY1021">
        <v>38</v>
      </c>
      <c r="AZ1021">
        <v>15</v>
      </c>
      <c r="BA1021" t="s">
        <v>20879</v>
      </c>
      <c r="BB1021" t="s">
        <v>20880</v>
      </c>
      <c r="BC1021">
        <v>0.50700000000000001</v>
      </c>
      <c r="BD1021" t="s">
        <v>65</v>
      </c>
      <c r="BE1021">
        <v>64</v>
      </c>
      <c r="BF1021">
        <v>31</v>
      </c>
      <c r="BG1021" t="s">
        <v>20881</v>
      </c>
      <c r="BH1021" t="s">
        <v>20882</v>
      </c>
      <c r="BI1021" t="s">
        <v>20883</v>
      </c>
      <c r="BJ1021">
        <v>0.11846</v>
      </c>
      <c r="BK1021">
        <v>1</v>
      </c>
      <c r="BL1021" t="s">
        <v>69</v>
      </c>
      <c r="BM1021">
        <v>0.14099999999999999</v>
      </c>
      <c r="BN1021">
        <v>-0.19</v>
      </c>
    </row>
    <row r="1022" spans="2:66">
      <c r="B1022">
        <v>1620</v>
      </c>
      <c r="C1022">
        <v>167</v>
      </c>
      <c r="D1022">
        <v>0</v>
      </c>
      <c r="E1022">
        <v>8</v>
      </c>
      <c r="F1022">
        <v>0</v>
      </c>
      <c r="J1022">
        <v>0</v>
      </c>
      <c r="K1022">
        <v>9</v>
      </c>
      <c r="L1022">
        <v>4</v>
      </c>
      <c r="M1022" t="s">
        <v>25022</v>
      </c>
      <c r="N1022">
        <v>3561</v>
      </c>
      <c r="O1022" t="s">
        <v>20884</v>
      </c>
      <c r="P1022" t="s">
        <v>62</v>
      </c>
      <c r="Q1022">
        <v>3526410</v>
      </c>
      <c r="R1022">
        <v>3528203</v>
      </c>
      <c r="S1022" t="s">
        <v>20885</v>
      </c>
      <c r="T1022">
        <v>598</v>
      </c>
      <c r="U1022" t="s">
        <v>6390</v>
      </c>
      <c r="V1022">
        <v>45</v>
      </c>
      <c r="W1022" t="str">
        <f>HYPERLINK("Gene3561-zp_tree_all.dnd", "Gene3561-tree")</f>
        <v>Gene3561-tree</v>
      </c>
      <c r="X1022">
        <v>9</v>
      </c>
      <c r="Y1022">
        <v>8</v>
      </c>
      <c r="Z1022">
        <v>9</v>
      </c>
      <c r="AA1022">
        <v>8</v>
      </c>
      <c r="AB1022">
        <v>0.47059000000000001</v>
      </c>
      <c r="AC1022" t="s">
        <v>135</v>
      </c>
      <c r="AD1022" t="s">
        <v>136</v>
      </c>
      <c r="AE1022" t="s">
        <v>62</v>
      </c>
      <c r="AF1022" t="s">
        <v>62</v>
      </c>
      <c r="AG1022">
        <v>6</v>
      </c>
      <c r="AH1022">
        <v>13</v>
      </c>
      <c r="AI1022">
        <v>17</v>
      </c>
      <c r="AJ1022">
        <v>0.43332999999999999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4</v>
      </c>
      <c r="AR1022">
        <v>4</v>
      </c>
      <c r="AS1022">
        <v>17</v>
      </c>
      <c r="AT1022">
        <v>0.19048000000000001</v>
      </c>
      <c r="AU1022">
        <v>14</v>
      </c>
      <c r="AV1022">
        <v>13</v>
      </c>
      <c r="AW1022">
        <v>131</v>
      </c>
      <c r="AX1022">
        <v>23</v>
      </c>
      <c r="AY1022">
        <v>47</v>
      </c>
      <c r="AZ1022">
        <v>9</v>
      </c>
      <c r="BA1022" t="s">
        <v>20886</v>
      </c>
      <c r="BB1022" t="s">
        <v>20887</v>
      </c>
      <c r="BC1022">
        <v>7.1999999999999995E-2</v>
      </c>
      <c r="BD1022" t="s">
        <v>65</v>
      </c>
      <c r="BE1022">
        <v>178</v>
      </c>
      <c r="BF1022">
        <v>32</v>
      </c>
      <c r="BG1022" t="s">
        <v>20888</v>
      </c>
      <c r="BH1022" t="s">
        <v>20889</v>
      </c>
      <c r="BI1022" t="s">
        <v>20890</v>
      </c>
      <c r="BJ1022">
        <v>5.0900000000000001E-2</v>
      </c>
      <c r="BK1022">
        <v>1</v>
      </c>
      <c r="BL1022" t="s">
        <v>69</v>
      </c>
      <c r="BM1022">
        <v>-1.7430000000000001</v>
      </c>
      <c r="BN1022">
        <v>-3.8410000000000002</v>
      </c>
    </row>
    <row r="1023" spans="2:66">
      <c r="B1023">
        <v>1621</v>
      </c>
      <c r="C1023">
        <v>71</v>
      </c>
      <c r="D1023">
        <v>0</v>
      </c>
      <c r="E1023">
        <v>2</v>
      </c>
      <c r="F1023">
        <v>0</v>
      </c>
      <c r="J1023">
        <v>0</v>
      </c>
      <c r="K1023">
        <v>2</v>
      </c>
      <c r="L1023">
        <v>2</v>
      </c>
      <c r="M1023" t="s">
        <v>25022</v>
      </c>
      <c r="N1023">
        <v>3562</v>
      </c>
      <c r="O1023" t="s">
        <v>20891</v>
      </c>
      <c r="P1023" t="s">
        <v>62</v>
      </c>
      <c r="Q1023">
        <v>3528465</v>
      </c>
      <c r="R1023">
        <v>3529145</v>
      </c>
      <c r="S1023" t="s">
        <v>20892</v>
      </c>
      <c r="T1023">
        <v>227</v>
      </c>
      <c r="U1023" t="s">
        <v>59</v>
      </c>
      <c r="V1023">
        <v>49</v>
      </c>
      <c r="W1023" t="str">
        <f>HYPERLINK("Gene3562-zp_tree_all.dnd", "Gene3562-tree")</f>
        <v>Gene3562-tree</v>
      </c>
      <c r="X1023">
        <v>10</v>
      </c>
      <c r="Y1023">
        <v>7</v>
      </c>
      <c r="Z1023">
        <v>10</v>
      </c>
      <c r="AA1023">
        <v>7</v>
      </c>
      <c r="AB1023">
        <v>0.41176000000000001</v>
      </c>
      <c r="AC1023" t="s">
        <v>117</v>
      </c>
      <c r="AD1023" t="s">
        <v>152</v>
      </c>
      <c r="AE1023" t="s">
        <v>62</v>
      </c>
      <c r="AF1023" t="s">
        <v>62</v>
      </c>
      <c r="AG1023">
        <v>2</v>
      </c>
      <c r="AH1023">
        <v>4</v>
      </c>
      <c r="AI1023">
        <v>8</v>
      </c>
      <c r="AJ1023">
        <v>0.33333000000000002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2</v>
      </c>
      <c r="AQ1023">
        <v>0</v>
      </c>
      <c r="AR1023">
        <v>2</v>
      </c>
      <c r="AS1023">
        <v>6</v>
      </c>
      <c r="AT1023">
        <v>0.25</v>
      </c>
      <c r="AU1023">
        <v>13</v>
      </c>
      <c r="AV1023">
        <v>11</v>
      </c>
      <c r="AW1023">
        <v>34</v>
      </c>
      <c r="AX1023">
        <v>6</v>
      </c>
      <c r="AY1023">
        <v>48</v>
      </c>
      <c r="AZ1023">
        <v>6</v>
      </c>
      <c r="BA1023" t="s">
        <v>20893</v>
      </c>
      <c r="BB1023" t="s">
        <v>20894</v>
      </c>
      <c r="BC1023">
        <v>0.27200000000000002</v>
      </c>
      <c r="BD1023" t="s">
        <v>65</v>
      </c>
      <c r="BE1023">
        <v>82</v>
      </c>
      <c r="BF1023">
        <v>12</v>
      </c>
      <c r="BG1023" t="s">
        <v>20895</v>
      </c>
      <c r="BH1023" t="s">
        <v>20896</v>
      </c>
      <c r="BI1023" t="s">
        <v>20897</v>
      </c>
      <c r="BJ1023">
        <v>4.7960000000000003E-2</v>
      </c>
      <c r="BK1023">
        <v>1</v>
      </c>
      <c r="BL1023" t="s">
        <v>69</v>
      </c>
      <c r="BM1023">
        <v>-1.3819999999999999</v>
      </c>
      <c r="BN1023">
        <v>-0.92700000000000005</v>
      </c>
    </row>
    <row r="1024" spans="2:66">
      <c r="B1024">
        <v>1622</v>
      </c>
      <c r="C1024">
        <v>218</v>
      </c>
      <c r="D1024">
        <v>0</v>
      </c>
      <c r="E1024">
        <v>10</v>
      </c>
      <c r="F1024">
        <v>0</v>
      </c>
      <c r="J1024">
        <v>0</v>
      </c>
      <c r="K1024">
        <v>4</v>
      </c>
      <c r="L1024">
        <v>0</v>
      </c>
      <c r="M1024" t="s">
        <v>25022</v>
      </c>
      <c r="N1024">
        <v>3563</v>
      </c>
      <c r="O1024" t="s">
        <v>20898</v>
      </c>
      <c r="P1024" t="s">
        <v>62</v>
      </c>
      <c r="Q1024">
        <v>3529154</v>
      </c>
      <c r="R1024">
        <v>3529855</v>
      </c>
      <c r="S1024" t="s">
        <v>20899</v>
      </c>
      <c r="T1024">
        <v>234</v>
      </c>
      <c r="U1024" t="s">
        <v>59</v>
      </c>
      <c r="V1024">
        <v>49</v>
      </c>
      <c r="W1024" t="str">
        <f>HYPERLINK("Gene3563-zp_tree_all.dnd", "Gene3563-tree")</f>
        <v>Gene3563-tree</v>
      </c>
      <c r="X1024">
        <v>8</v>
      </c>
      <c r="Y1024">
        <v>7</v>
      </c>
      <c r="Z1024">
        <v>8</v>
      </c>
      <c r="AA1024">
        <v>7</v>
      </c>
      <c r="AB1024">
        <v>0.46666999999999997</v>
      </c>
      <c r="AC1024" t="s">
        <v>136</v>
      </c>
      <c r="AD1024" t="s">
        <v>152</v>
      </c>
      <c r="AE1024" t="s">
        <v>62</v>
      </c>
      <c r="AF1024" t="s">
        <v>62</v>
      </c>
      <c r="AG1024">
        <v>2</v>
      </c>
      <c r="AH1024">
        <v>4</v>
      </c>
      <c r="AI1024">
        <v>13</v>
      </c>
      <c r="AJ1024">
        <v>0.23529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11</v>
      </c>
      <c r="AT1024">
        <v>0</v>
      </c>
      <c r="AU1024">
        <v>13</v>
      </c>
      <c r="AV1024">
        <v>9</v>
      </c>
      <c r="AW1024">
        <v>28</v>
      </c>
      <c r="AX1024">
        <v>11</v>
      </c>
      <c r="AY1024">
        <v>37</v>
      </c>
      <c r="AZ1024">
        <v>6</v>
      </c>
      <c r="BA1024" t="s">
        <v>20900</v>
      </c>
      <c r="BB1024" t="s">
        <v>20901</v>
      </c>
      <c r="BC1024">
        <v>0.66900000000000004</v>
      </c>
      <c r="BD1024" t="s">
        <v>65</v>
      </c>
      <c r="BE1024">
        <v>65</v>
      </c>
      <c r="BF1024">
        <v>17</v>
      </c>
      <c r="BG1024" t="s">
        <v>20902</v>
      </c>
      <c r="BH1024" t="s">
        <v>20903</v>
      </c>
      <c r="BI1024" t="s">
        <v>20904</v>
      </c>
      <c r="BJ1024">
        <v>6.6049999999999998E-2</v>
      </c>
      <c r="BK1024">
        <v>1</v>
      </c>
      <c r="BL1024" t="s">
        <v>69</v>
      </c>
      <c r="BM1024">
        <v>-1.079</v>
      </c>
      <c r="BN1024">
        <v>-0.72699999999999998</v>
      </c>
    </row>
    <row r="1025" spans="2:66">
      <c r="B1025">
        <v>1623</v>
      </c>
      <c r="C1025">
        <v>96</v>
      </c>
      <c r="D1025">
        <v>0</v>
      </c>
      <c r="E1025">
        <v>10</v>
      </c>
      <c r="F1025">
        <v>2</v>
      </c>
      <c r="J1025">
        <v>5</v>
      </c>
      <c r="K1025">
        <v>13</v>
      </c>
      <c r="L1025">
        <v>6</v>
      </c>
      <c r="M1025" t="s">
        <v>25022</v>
      </c>
      <c r="N1025">
        <v>3569</v>
      </c>
      <c r="O1025" t="s">
        <v>20928</v>
      </c>
      <c r="P1025" t="s">
        <v>62</v>
      </c>
      <c r="Q1025">
        <v>3533422</v>
      </c>
      <c r="R1025">
        <v>3534102</v>
      </c>
      <c r="S1025" t="s">
        <v>20929</v>
      </c>
      <c r="T1025">
        <v>227</v>
      </c>
      <c r="U1025" t="s">
        <v>20930</v>
      </c>
      <c r="V1025">
        <v>45</v>
      </c>
      <c r="W1025" t="str">
        <f>HYPERLINK("Gene3569-zp_tree_all.dnd", "Gene3569-tree")</f>
        <v>Gene3569-tree</v>
      </c>
      <c r="X1025">
        <v>5</v>
      </c>
      <c r="Y1025">
        <v>10</v>
      </c>
      <c r="Z1025">
        <v>5</v>
      </c>
      <c r="AA1025">
        <v>10</v>
      </c>
      <c r="AB1025">
        <v>0.66666999999999998</v>
      </c>
      <c r="AC1025" t="s">
        <v>199</v>
      </c>
      <c r="AD1025" t="s">
        <v>117</v>
      </c>
      <c r="AE1025" t="s">
        <v>62</v>
      </c>
      <c r="AF1025" t="s">
        <v>62</v>
      </c>
      <c r="AG1025">
        <v>9</v>
      </c>
      <c r="AH1025">
        <v>24</v>
      </c>
      <c r="AI1025">
        <v>28</v>
      </c>
      <c r="AJ1025">
        <v>0.46154000000000001</v>
      </c>
      <c r="AK1025">
        <v>0</v>
      </c>
      <c r="AL1025">
        <v>0</v>
      </c>
      <c r="AM1025">
        <v>0</v>
      </c>
      <c r="AN1025">
        <v>5</v>
      </c>
      <c r="AO1025">
        <v>0</v>
      </c>
      <c r="AP1025">
        <v>4</v>
      </c>
      <c r="AQ1025">
        <v>6</v>
      </c>
      <c r="AR1025">
        <v>10</v>
      </c>
      <c r="AS1025">
        <v>28</v>
      </c>
      <c r="AT1025">
        <v>0.26316000000000001</v>
      </c>
      <c r="AU1025">
        <v>12</v>
      </c>
      <c r="AV1025">
        <v>10</v>
      </c>
      <c r="AW1025">
        <v>36</v>
      </c>
      <c r="AX1025">
        <v>38</v>
      </c>
      <c r="AY1025">
        <v>14</v>
      </c>
      <c r="AZ1025">
        <v>15</v>
      </c>
      <c r="BA1025" t="s">
        <v>20931</v>
      </c>
      <c r="BB1025" t="s">
        <v>20932</v>
      </c>
      <c r="BC1025">
        <v>2.3E-2</v>
      </c>
      <c r="BD1025" t="s">
        <v>65</v>
      </c>
      <c r="BE1025">
        <v>50</v>
      </c>
      <c r="BF1025">
        <v>53</v>
      </c>
      <c r="BG1025" t="s">
        <v>20933</v>
      </c>
      <c r="BH1025" t="s">
        <v>20934</v>
      </c>
      <c r="BI1025" t="s">
        <v>20935</v>
      </c>
      <c r="BJ1025">
        <v>0.29024</v>
      </c>
      <c r="BK1025">
        <v>1</v>
      </c>
      <c r="BL1025" t="s">
        <v>69</v>
      </c>
      <c r="BM1025">
        <v>-0.89300000000000002</v>
      </c>
      <c r="BN1025">
        <v>-2.363</v>
      </c>
    </row>
    <row r="1026" spans="2:66">
      <c r="B1026">
        <v>1624</v>
      </c>
      <c r="C1026">
        <v>79</v>
      </c>
      <c r="D1026">
        <v>0</v>
      </c>
      <c r="E1026">
        <v>0</v>
      </c>
      <c r="F1026">
        <v>2</v>
      </c>
      <c r="J1026">
        <v>0</v>
      </c>
      <c r="K1026">
        <v>30</v>
      </c>
      <c r="L1026">
        <v>0</v>
      </c>
      <c r="M1026" t="s">
        <v>25022</v>
      </c>
      <c r="N1026">
        <v>3570</v>
      </c>
      <c r="O1026" t="s">
        <v>20936</v>
      </c>
      <c r="P1026" t="s">
        <v>62</v>
      </c>
      <c r="Q1026">
        <v>3534121</v>
      </c>
      <c r="R1026">
        <v>3535473</v>
      </c>
      <c r="S1026" t="s">
        <v>20937</v>
      </c>
      <c r="T1026">
        <v>451</v>
      </c>
      <c r="U1026" t="s">
        <v>2289</v>
      </c>
      <c r="V1026">
        <v>37</v>
      </c>
      <c r="W1026" t="str">
        <f>HYPERLINK("Gene3570-zp_tree_all.dnd", "Gene3570-tree")</f>
        <v>Gene3570-tree</v>
      </c>
      <c r="X1026">
        <v>3</v>
      </c>
      <c r="Y1026">
        <v>12</v>
      </c>
      <c r="Z1026">
        <v>3</v>
      </c>
      <c r="AA1026">
        <v>12</v>
      </c>
      <c r="AB1026">
        <v>0.8</v>
      </c>
      <c r="AC1026" t="s">
        <v>324</v>
      </c>
      <c r="AD1026" t="s">
        <v>109</v>
      </c>
      <c r="AE1026" t="s">
        <v>62</v>
      </c>
      <c r="AF1026" t="s">
        <v>62</v>
      </c>
      <c r="AG1026">
        <v>11</v>
      </c>
      <c r="AH1026">
        <v>30</v>
      </c>
      <c r="AI1026">
        <v>26</v>
      </c>
      <c r="AJ1026">
        <v>0.53571000000000002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13</v>
      </c>
      <c r="AQ1026">
        <v>0</v>
      </c>
      <c r="AR1026">
        <v>13</v>
      </c>
      <c r="AS1026">
        <v>23</v>
      </c>
      <c r="AT1026">
        <v>0.36110999999999999</v>
      </c>
      <c r="AU1026">
        <v>14</v>
      </c>
      <c r="AV1026">
        <v>11</v>
      </c>
      <c r="AW1026">
        <v>57</v>
      </c>
      <c r="AX1026">
        <v>32</v>
      </c>
      <c r="AY1026">
        <v>37</v>
      </c>
      <c r="AZ1026">
        <v>26</v>
      </c>
      <c r="BA1026" t="s">
        <v>20938</v>
      </c>
      <c r="BB1026" t="s">
        <v>20939</v>
      </c>
      <c r="BC1026">
        <v>0.49299999999999999</v>
      </c>
      <c r="BD1026" t="s">
        <v>65</v>
      </c>
      <c r="BE1026">
        <v>94</v>
      </c>
      <c r="BF1026">
        <v>58</v>
      </c>
      <c r="BG1026" t="s">
        <v>20940</v>
      </c>
      <c r="BH1026" t="s">
        <v>20941</v>
      </c>
      <c r="BI1026" t="s">
        <v>20942</v>
      </c>
      <c r="BJ1026">
        <v>0.18431</v>
      </c>
      <c r="BK1026">
        <v>1</v>
      </c>
      <c r="BL1026" t="s">
        <v>69</v>
      </c>
      <c r="BM1026">
        <v>-0.85499999999999998</v>
      </c>
      <c r="BN1026">
        <v>-1.1819999999999999</v>
      </c>
    </row>
    <row r="1027" spans="2:66">
      <c r="B1027">
        <v>1625</v>
      </c>
      <c r="C1027">
        <v>29</v>
      </c>
      <c r="D1027">
        <v>0</v>
      </c>
      <c r="E1027">
        <v>3</v>
      </c>
      <c r="F1027">
        <v>2</v>
      </c>
      <c r="J1027">
        <v>0</v>
      </c>
      <c r="K1027">
        <v>0</v>
      </c>
      <c r="L1027">
        <v>2</v>
      </c>
      <c r="M1027" t="s">
        <v>25022</v>
      </c>
      <c r="N1027">
        <v>3577</v>
      </c>
      <c r="O1027" t="s">
        <v>20982</v>
      </c>
      <c r="P1027" t="s">
        <v>62</v>
      </c>
      <c r="Q1027">
        <v>3542182</v>
      </c>
      <c r="R1027">
        <v>3542691</v>
      </c>
      <c r="S1027" t="s">
        <v>116</v>
      </c>
      <c r="T1027">
        <v>170</v>
      </c>
      <c r="U1027" t="s">
        <v>108</v>
      </c>
      <c r="V1027">
        <v>44</v>
      </c>
      <c r="W1027" t="str">
        <f>HYPERLINK("Gene3577-zp_tree_all.dnd", "Gene3577-tree")</f>
        <v>Gene3577-tree</v>
      </c>
      <c r="X1027">
        <v>10</v>
      </c>
      <c r="Y1027">
        <v>3</v>
      </c>
      <c r="Z1027">
        <v>10</v>
      </c>
      <c r="AA1027">
        <v>3</v>
      </c>
      <c r="AB1027">
        <v>0.23077</v>
      </c>
      <c r="AC1027" t="s">
        <v>117</v>
      </c>
      <c r="AD1027" t="s">
        <v>324</v>
      </c>
      <c r="AE1027" t="s">
        <v>62</v>
      </c>
      <c r="AF1027" t="s">
        <v>62</v>
      </c>
      <c r="AG1027">
        <v>1</v>
      </c>
      <c r="AH1027">
        <v>2</v>
      </c>
      <c r="AI1027">
        <v>5</v>
      </c>
      <c r="AJ1027">
        <v>0.28571000000000002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3</v>
      </c>
      <c r="AT1027">
        <v>0</v>
      </c>
      <c r="AU1027">
        <v>10</v>
      </c>
      <c r="AV1027">
        <v>8</v>
      </c>
      <c r="AW1027">
        <v>9</v>
      </c>
      <c r="AX1027">
        <v>3</v>
      </c>
      <c r="AY1027">
        <v>11</v>
      </c>
      <c r="AZ1027">
        <v>4</v>
      </c>
      <c r="BA1027" t="s">
        <v>20983</v>
      </c>
      <c r="BB1027" t="s">
        <v>20984</v>
      </c>
      <c r="BC1027">
        <v>7.0999999999999994E-2</v>
      </c>
      <c r="BD1027" t="s">
        <v>65</v>
      </c>
      <c r="BE1027">
        <v>20</v>
      </c>
      <c r="BF1027">
        <v>7</v>
      </c>
      <c r="BG1027" t="s">
        <v>20985</v>
      </c>
      <c r="BH1027" t="s">
        <v>20986</v>
      </c>
      <c r="BI1027" t="s">
        <v>20987</v>
      </c>
      <c r="BJ1027">
        <v>0.10782</v>
      </c>
      <c r="BK1027">
        <v>1</v>
      </c>
      <c r="BL1027" t="s">
        <v>69</v>
      </c>
      <c r="BM1027">
        <v>-0.27800000000000002</v>
      </c>
      <c r="BN1027">
        <v>-0.82399999999999995</v>
      </c>
    </row>
    <row r="1028" spans="2:66">
      <c r="B1028">
        <v>1626</v>
      </c>
      <c r="C1028">
        <v>207</v>
      </c>
      <c r="D1028">
        <v>0</v>
      </c>
      <c r="E1028">
        <v>0</v>
      </c>
      <c r="F1028">
        <v>2</v>
      </c>
      <c r="J1028">
        <v>0</v>
      </c>
      <c r="K1028">
        <v>0</v>
      </c>
      <c r="L1028">
        <v>0</v>
      </c>
      <c r="M1028" t="s">
        <v>25022</v>
      </c>
      <c r="N1028">
        <v>3578</v>
      </c>
      <c r="O1028" t="s">
        <v>20988</v>
      </c>
      <c r="P1028" t="s">
        <v>62</v>
      </c>
      <c r="Q1028">
        <v>3542946</v>
      </c>
      <c r="R1028">
        <v>3544286</v>
      </c>
      <c r="S1028" t="s">
        <v>20989</v>
      </c>
      <c r="T1028">
        <v>447</v>
      </c>
      <c r="U1028" t="s">
        <v>20990</v>
      </c>
      <c r="V1028">
        <v>28</v>
      </c>
      <c r="W1028" t="str">
        <f>HYPERLINK("Gene3578-zp_tree_all.dnd", "Gene3578-tree")</f>
        <v>Gene3578-tree</v>
      </c>
      <c r="X1028">
        <v>5</v>
      </c>
      <c r="Y1028">
        <v>3</v>
      </c>
      <c r="Z1028">
        <v>5</v>
      </c>
      <c r="AA1028">
        <v>3</v>
      </c>
      <c r="AB1028">
        <v>0.375</v>
      </c>
      <c r="AC1028" t="s">
        <v>199</v>
      </c>
      <c r="AD1028" t="s">
        <v>324</v>
      </c>
      <c r="AE1028" t="s">
        <v>62</v>
      </c>
      <c r="AF1028" t="s">
        <v>62</v>
      </c>
      <c r="AG1028">
        <v>0</v>
      </c>
      <c r="AH1028">
        <v>0</v>
      </c>
      <c r="AI1028">
        <v>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4</v>
      </c>
      <c r="AT1028">
        <v>0</v>
      </c>
      <c r="AU1028">
        <v>5</v>
      </c>
      <c r="AV1028">
        <v>4</v>
      </c>
      <c r="AW1028">
        <v>6</v>
      </c>
      <c r="AX1028">
        <v>2</v>
      </c>
      <c r="AY1028">
        <v>3</v>
      </c>
      <c r="AZ1028">
        <v>3</v>
      </c>
      <c r="BA1028" t="s">
        <v>20991</v>
      </c>
      <c r="BB1028" t="s">
        <v>20992</v>
      </c>
      <c r="BC1028">
        <v>0.77800000000000002</v>
      </c>
      <c r="BD1028" t="s">
        <v>65</v>
      </c>
      <c r="BE1028">
        <v>9</v>
      </c>
      <c r="BF1028">
        <v>5</v>
      </c>
      <c r="BG1028" t="s">
        <v>20993</v>
      </c>
      <c r="BH1028" t="s">
        <v>20994</v>
      </c>
      <c r="BI1028" t="s">
        <v>20995</v>
      </c>
      <c r="BJ1028">
        <v>0.18185000000000001</v>
      </c>
      <c r="BK1028">
        <v>0.98899999999999999</v>
      </c>
      <c r="BL1028" t="s">
        <v>69</v>
      </c>
      <c r="BM1028">
        <v>-1.04</v>
      </c>
      <c r="BN1028">
        <v>-0.66200000000000003</v>
      </c>
    </row>
    <row r="1029" spans="2:66">
      <c r="B1029">
        <v>1627</v>
      </c>
      <c r="C1029">
        <v>94</v>
      </c>
      <c r="D1029">
        <v>0</v>
      </c>
      <c r="E1029">
        <v>2</v>
      </c>
      <c r="F1029">
        <v>4</v>
      </c>
      <c r="J1029">
        <v>0</v>
      </c>
      <c r="K1029">
        <v>15</v>
      </c>
      <c r="L1029">
        <v>2</v>
      </c>
      <c r="M1029" t="s">
        <v>25022</v>
      </c>
      <c r="N1029">
        <v>3581</v>
      </c>
      <c r="O1029" t="s">
        <v>21008</v>
      </c>
      <c r="P1029" t="s">
        <v>62</v>
      </c>
      <c r="Q1029">
        <v>3546876</v>
      </c>
      <c r="R1029">
        <v>3547553</v>
      </c>
      <c r="S1029" t="s">
        <v>21009</v>
      </c>
      <c r="T1029">
        <v>226</v>
      </c>
      <c r="U1029" t="s">
        <v>21010</v>
      </c>
      <c r="V1029">
        <v>41</v>
      </c>
      <c r="W1029" t="str">
        <f>HYPERLINK("Gene3581-zp_tree_all.dnd", "Gene3581-tree")</f>
        <v>Gene3581-tree</v>
      </c>
      <c r="X1029">
        <v>3</v>
      </c>
      <c r="Y1029">
        <v>28</v>
      </c>
      <c r="Z1029">
        <v>3</v>
      </c>
      <c r="AA1029">
        <v>9</v>
      </c>
      <c r="AB1029">
        <v>0.75</v>
      </c>
      <c r="AC1029" t="s">
        <v>324</v>
      </c>
      <c r="AD1029" t="s">
        <v>2825</v>
      </c>
      <c r="AE1029">
        <v>1.615</v>
      </c>
      <c r="AF1029" t="s">
        <v>65</v>
      </c>
      <c r="AG1029">
        <v>5</v>
      </c>
      <c r="AH1029">
        <v>17</v>
      </c>
      <c r="AI1029">
        <v>16</v>
      </c>
      <c r="AJ1029">
        <v>0.51515</v>
      </c>
      <c r="AK1029">
        <v>0</v>
      </c>
      <c r="AL1029">
        <v>0</v>
      </c>
      <c r="AM1029">
        <v>0</v>
      </c>
      <c r="AN1029">
        <v>2</v>
      </c>
      <c r="AO1029">
        <v>0</v>
      </c>
      <c r="AP1029">
        <v>13</v>
      </c>
      <c r="AQ1029">
        <v>0</v>
      </c>
      <c r="AR1029">
        <v>13</v>
      </c>
      <c r="AS1029">
        <v>12</v>
      </c>
      <c r="AT1029">
        <v>0.52</v>
      </c>
      <c r="AU1029">
        <v>10</v>
      </c>
      <c r="AV1029">
        <v>7</v>
      </c>
      <c r="AW1029">
        <v>39</v>
      </c>
      <c r="AX1029">
        <v>24</v>
      </c>
      <c r="AY1029">
        <v>14</v>
      </c>
      <c r="AZ1029">
        <v>9</v>
      </c>
      <c r="BA1029" t="s">
        <v>21011</v>
      </c>
      <c r="BB1029" t="s">
        <v>21012</v>
      </c>
      <c r="BC1029">
        <v>0.124</v>
      </c>
      <c r="BD1029" t="s">
        <v>65</v>
      </c>
      <c r="BE1029">
        <v>53</v>
      </c>
      <c r="BF1029">
        <v>33</v>
      </c>
      <c r="BG1029" t="s">
        <v>21013</v>
      </c>
      <c r="BH1029" t="s">
        <v>21014</v>
      </c>
      <c r="BI1029" t="s">
        <v>21015</v>
      </c>
      <c r="BJ1029">
        <v>0.17763000000000001</v>
      </c>
      <c r="BK1029">
        <v>1</v>
      </c>
      <c r="BL1029" t="s">
        <v>69</v>
      </c>
      <c r="BM1029">
        <v>-0.33200000000000002</v>
      </c>
      <c r="BN1029">
        <v>-0.53400000000000003</v>
      </c>
    </row>
    <row r="1030" spans="2:66">
      <c r="B1030">
        <v>1629</v>
      </c>
      <c r="C1030">
        <v>95</v>
      </c>
      <c r="D1030">
        <v>0</v>
      </c>
      <c r="E1030">
        <v>2</v>
      </c>
      <c r="F1030">
        <v>0</v>
      </c>
      <c r="J1030">
        <v>0</v>
      </c>
      <c r="K1030">
        <v>10</v>
      </c>
      <c r="L1030">
        <v>6</v>
      </c>
      <c r="M1030" t="s">
        <v>25022</v>
      </c>
      <c r="N1030">
        <v>3582</v>
      </c>
      <c r="O1030" t="s">
        <v>21016</v>
      </c>
      <c r="P1030" t="s">
        <v>62</v>
      </c>
      <c r="Q1030">
        <v>3547553</v>
      </c>
      <c r="R1030">
        <v>3549235</v>
      </c>
      <c r="S1030" t="s">
        <v>21017</v>
      </c>
      <c r="T1030">
        <v>561</v>
      </c>
      <c r="U1030" t="s">
        <v>108</v>
      </c>
      <c r="V1030">
        <v>44</v>
      </c>
      <c r="W1030" t="str">
        <f>HYPERLINK("Gene3582-zp_tree_all.dnd", "Gene3582-tree")</f>
        <v>Gene3582-tree</v>
      </c>
      <c r="X1030">
        <v>1</v>
      </c>
      <c r="Y1030">
        <v>14</v>
      </c>
      <c r="Z1030">
        <v>1</v>
      </c>
      <c r="AA1030">
        <v>14</v>
      </c>
      <c r="AB1030">
        <v>0.93332999999999999</v>
      </c>
      <c r="AC1030" t="s">
        <v>175</v>
      </c>
      <c r="AD1030" t="s">
        <v>543</v>
      </c>
      <c r="AE1030">
        <v>1865302226.941</v>
      </c>
      <c r="AF1030" t="s">
        <v>267</v>
      </c>
      <c r="AG1030">
        <v>8</v>
      </c>
      <c r="AH1030">
        <v>16</v>
      </c>
      <c r="AI1030">
        <v>19</v>
      </c>
      <c r="AJ1030">
        <v>0.45713999999999999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2</v>
      </c>
      <c r="AQ1030">
        <v>6</v>
      </c>
      <c r="AR1030">
        <v>8</v>
      </c>
      <c r="AS1030">
        <v>22</v>
      </c>
      <c r="AT1030">
        <v>0.26667000000000002</v>
      </c>
      <c r="AU1030">
        <v>13</v>
      </c>
      <c r="AV1030">
        <v>12</v>
      </c>
      <c r="AW1030">
        <v>34</v>
      </c>
      <c r="AX1030">
        <v>27</v>
      </c>
      <c r="AY1030">
        <v>25</v>
      </c>
      <c r="AZ1030">
        <v>8</v>
      </c>
      <c r="BA1030" t="s">
        <v>21018</v>
      </c>
      <c r="BB1030" t="s">
        <v>21019</v>
      </c>
      <c r="BC1030">
        <v>1.2729999999999999</v>
      </c>
      <c r="BD1030" t="s">
        <v>65</v>
      </c>
      <c r="BE1030">
        <v>59</v>
      </c>
      <c r="BF1030">
        <v>35</v>
      </c>
      <c r="BG1030" t="s">
        <v>11938</v>
      </c>
      <c r="BH1030" t="s">
        <v>21020</v>
      </c>
      <c r="BI1030" t="s">
        <v>21021</v>
      </c>
      <c r="BJ1030">
        <v>0.16023000000000001</v>
      </c>
      <c r="BK1030">
        <v>1</v>
      </c>
      <c r="BL1030" t="s">
        <v>69</v>
      </c>
      <c r="BM1030">
        <v>-0.67700000000000005</v>
      </c>
      <c r="BN1030">
        <v>-2.1269999999999998</v>
      </c>
    </row>
    <row r="1031" spans="2:66">
      <c r="B1031">
        <v>1631</v>
      </c>
      <c r="C1031">
        <v>203</v>
      </c>
      <c r="D1031">
        <v>0</v>
      </c>
      <c r="E1031">
        <v>2</v>
      </c>
      <c r="F1031">
        <v>0</v>
      </c>
      <c r="J1031">
        <v>0</v>
      </c>
      <c r="K1031">
        <v>58</v>
      </c>
      <c r="L1031">
        <v>6</v>
      </c>
      <c r="M1031" t="s">
        <v>25022</v>
      </c>
      <c r="N1031">
        <v>3583</v>
      </c>
      <c r="O1031" t="s">
        <v>21022</v>
      </c>
      <c r="P1031" t="s">
        <v>62</v>
      </c>
      <c r="Q1031">
        <v>3549231</v>
      </c>
      <c r="R1031">
        <v>3551501</v>
      </c>
      <c r="S1031" t="s">
        <v>21023</v>
      </c>
      <c r="T1031">
        <v>757</v>
      </c>
      <c r="U1031" t="s">
        <v>21024</v>
      </c>
      <c r="V1031">
        <v>43</v>
      </c>
      <c r="W1031" t="str">
        <f>HYPERLINK("Gene3583-zp_tree_all.dnd", "Gene3583-tree")</f>
        <v>Gene3583-tree</v>
      </c>
      <c r="X1031">
        <v>0</v>
      </c>
      <c r="Y1031">
        <v>17</v>
      </c>
      <c r="Z1031">
        <v>0</v>
      </c>
      <c r="AA1031">
        <v>17</v>
      </c>
      <c r="AB1031">
        <v>1</v>
      </c>
      <c r="AC1031" t="s">
        <v>62</v>
      </c>
      <c r="AD1031" t="s">
        <v>266</v>
      </c>
      <c r="AE1031">
        <v>69600344.844999999</v>
      </c>
      <c r="AF1031" t="s">
        <v>65</v>
      </c>
      <c r="AG1031">
        <v>25</v>
      </c>
      <c r="AH1031">
        <v>64</v>
      </c>
      <c r="AI1031">
        <v>44</v>
      </c>
      <c r="AJ1031">
        <v>0.59258999999999995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19</v>
      </c>
      <c r="AQ1031">
        <v>13</v>
      </c>
      <c r="AR1031">
        <v>32</v>
      </c>
      <c r="AS1031">
        <v>44</v>
      </c>
      <c r="AT1031">
        <v>0.42104999999999998</v>
      </c>
      <c r="AU1031">
        <v>16</v>
      </c>
      <c r="AV1031">
        <v>14</v>
      </c>
      <c r="AW1031">
        <v>111</v>
      </c>
      <c r="AX1031">
        <v>74</v>
      </c>
      <c r="AY1031">
        <v>69</v>
      </c>
      <c r="AZ1031">
        <v>39</v>
      </c>
      <c r="BA1031" t="s">
        <v>21025</v>
      </c>
      <c r="BB1031" t="s">
        <v>21026</v>
      </c>
      <c r="BC1031">
        <v>0.48099999999999998</v>
      </c>
      <c r="BD1031" t="s">
        <v>65</v>
      </c>
      <c r="BE1031">
        <v>180</v>
      </c>
      <c r="BF1031">
        <v>113</v>
      </c>
      <c r="BG1031" t="s">
        <v>21027</v>
      </c>
      <c r="BH1031" t="s">
        <v>21028</v>
      </c>
      <c r="BI1031" t="s">
        <v>21029</v>
      </c>
      <c r="BJ1031">
        <v>0.17299999999999999</v>
      </c>
      <c r="BK1031">
        <v>1</v>
      </c>
      <c r="BL1031" t="s">
        <v>69</v>
      </c>
      <c r="BM1031">
        <v>-1.036</v>
      </c>
      <c r="BN1031">
        <v>-2.3279999999999998</v>
      </c>
    </row>
    <row r="1032" spans="2:66">
      <c r="B1032">
        <v>1632</v>
      </c>
      <c r="C1032">
        <v>224</v>
      </c>
      <c r="D1032">
        <v>0</v>
      </c>
      <c r="E1032">
        <v>4</v>
      </c>
      <c r="F1032">
        <v>2</v>
      </c>
      <c r="J1032">
        <v>0</v>
      </c>
      <c r="K1032">
        <v>31</v>
      </c>
      <c r="L1032">
        <v>5</v>
      </c>
      <c r="M1032" t="s">
        <v>25022</v>
      </c>
      <c r="N1032">
        <v>3584</v>
      </c>
      <c r="O1032" t="s">
        <v>21030</v>
      </c>
      <c r="P1032" t="s">
        <v>62</v>
      </c>
      <c r="Q1032">
        <v>3551482</v>
      </c>
      <c r="R1032">
        <v>3552363</v>
      </c>
      <c r="S1032" t="s">
        <v>21031</v>
      </c>
      <c r="T1032">
        <v>294</v>
      </c>
      <c r="U1032" t="s">
        <v>108</v>
      </c>
      <c r="V1032">
        <v>44</v>
      </c>
      <c r="W1032" t="str">
        <f>HYPERLINK("Gene3584-zp_tree_all.dnd", "Gene3584-tree")</f>
        <v>Gene3584-tree</v>
      </c>
      <c r="X1032">
        <v>1</v>
      </c>
      <c r="Y1032">
        <v>14</v>
      </c>
      <c r="Z1032">
        <v>1</v>
      </c>
      <c r="AA1032">
        <v>14</v>
      </c>
      <c r="AB1032">
        <v>0.93332999999999999</v>
      </c>
      <c r="AC1032" t="s">
        <v>175</v>
      </c>
      <c r="AD1032" t="s">
        <v>543</v>
      </c>
      <c r="AE1032">
        <v>1865302226.941</v>
      </c>
      <c r="AF1032" t="s">
        <v>267</v>
      </c>
      <c r="AG1032">
        <v>14</v>
      </c>
      <c r="AH1032">
        <v>36</v>
      </c>
      <c r="AI1032">
        <v>25</v>
      </c>
      <c r="AJ1032">
        <v>0.59016000000000002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14</v>
      </c>
      <c r="AQ1032">
        <v>7</v>
      </c>
      <c r="AR1032">
        <v>21</v>
      </c>
      <c r="AS1032">
        <v>25</v>
      </c>
      <c r="AT1032">
        <v>0.45651999999999998</v>
      </c>
      <c r="AU1032">
        <v>14</v>
      </c>
      <c r="AV1032">
        <v>12</v>
      </c>
      <c r="AW1032">
        <v>58</v>
      </c>
      <c r="AX1032">
        <v>45</v>
      </c>
      <c r="AY1032">
        <v>24</v>
      </c>
      <c r="AZ1032">
        <v>16</v>
      </c>
      <c r="BA1032" t="s">
        <v>21032</v>
      </c>
      <c r="BB1032" t="s">
        <v>21033</v>
      </c>
      <c r="BC1032">
        <v>0.34599999999999997</v>
      </c>
      <c r="BD1032" t="s">
        <v>65</v>
      </c>
      <c r="BE1032">
        <v>82</v>
      </c>
      <c r="BF1032">
        <v>61</v>
      </c>
      <c r="BG1032" t="s">
        <v>21034</v>
      </c>
      <c r="BH1032" t="s">
        <v>21035</v>
      </c>
      <c r="BI1032" t="s">
        <v>21036</v>
      </c>
      <c r="BJ1032">
        <v>0.21226</v>
      </c>
      <c r="BK1032">
        <v>1</v>
      </c>
      <c r="BL1032" t="s">
        <v>69</v>
      </c>
      <c r="BM1032">
        <v>-0.373</v>
      </c>
      <c r="BN1032">
        <v>-1.55</v>
      </c>
    </row>
    <row r="1033" spans="2:66">
      <c r="B1033">
        <v>1634</v>
      </c>
      <c r="C1033">
        <v>171</v>
      </c>
      <c r="D1033">
        <v>0</v>
      </c>
      <c r="E1033">
        <v>13</v>
      </c>
      <c r="F1033">
        <v>0</v>
      </c>
      <c r="J1033">
        <v>0</v>
      </c>
      <c r="K1033">
        <v>16</v>
      </c>
      <c r="L1033">
        <v>0</v>
      </c>
      <c r="M1033" t="s">
        <v>25022</v>
      </c>
      <c r="N1033">
        <v>3585</v>
      </c>
      <c r="O1033" t="s">
        <v>21037</v>
      </c>
      <c r="P1033" t="s">
        <v>62</v>
      </c>
      <c r="Q1033">
        <v>3552372</v>
      </c>
      <c r="R1033">
        <v>3553205</v>
      </c>
      <c r="S1033" t="s">
        <v>21038</v>
      </c>
      <c r="T1033">
        <v>278</v>
      </c>
      <c r="U1033" t="s">
        <v>108</v>
      </c>
      <c r="V1033">
        <v>44</v>
      </c>
      <c r="W1033" t="str">
        <f>HYPERLINK("Gene3585-zp_tree_all.dnd", "Gene3585-tree")</f>
        <v>Gene3585-tree</v>
      </c>
      <c r="X1033">
        <v>6</v>
      </c>
      <c r="Y1033">
        <v>10</v>
      </c>
      <c r="Z1033">
        <v>6</v>
      </c>
      <c r="AA1033">
        <v>10</v>
      </c>
      <c r="AB1033">
        <v>0.625</v>
      </c>
      <c r="AC1033" t="s">
        <v>90</v>
      </c>
      <c r="AD1033" t="s">
        <v>117</v>
      </c>
      <c r="AE1033" t="s">
        <v>62</v>
      </c>
      <c r="AF1033" t="s">
        <v>62</v>
      </c>
      <c r="AG1033">
        <v>6</v>
      </c>
      <c r="AH1033">
        <v>16</v>
      </c>
      <c r="AI1033">
        <v>9</v>
      </c>
      <c r="AJ1033">
        <v>0.64</v>
      </c>
      <c r="AK1033">
        <v>0</v>
      </c>
      <c r="AL1033">
        <v>0</v>
      </c>
      <c r="AM1033">
        <v>0</v>
      </c>
      <c r="AN1033">
        <v>2</v>
      </c>
      <c r="AO1033">
        <v>0</v>
      </c>
      <c r="AP1033">
        <v>12</v>
      </c>
      <c r="AQ1033">
        <v>0</v>
      </c>
      <c r="AR1033">
        <v>12</v>
      </c>
      <c r="AS1033">
        <v>8</v>
      </c>
      <c r="AT1033">
        <v>0.6</v>
      </c>
      <c r="AU1033">
        <v>13</v>
      </c>
      <c r="AV1033">
        <v>13</v>
      </c>
      <c r="AW1033">
        <v>43</v>
      </c>
      <c r="AX1033">
        <v>21</v>
      </c>
      <c r="AY1033">
        <v>29</v>
      </c>
      <c r="AZ1033">
        <v>6</v>
      </c>
      <c r="BA1033" t="s">
        <v>21039</v>
      </c>
      <c r="BB1033" t="s">
        <v>21040</v>
      </c>
      <c r="BC1033">
        <v>1.2609999999999999</v>
      </c>
      <c r="BD1033" t="s">
        <v>65</v>
      </c>
      <c r="BE1033">
        <v>72</v>
      </c>
      <c r="BF1033">
        <v>27</v>
      </c>
      <c r="BG1033" t="s">
        <v>21041</v>
      </c>
      <c r="BH1033" t="s">
        <v>21042</v>
      </c>
      <c r="BI1033" t="s">
        <v>21043</v>
      </c>
      <c r="BJ1033">
        <v>9.3219999999999997E-2</v>
      </c>
      <c r="BK1033">
        <v>1</v>
      </c>
      <c r="BL1033" t="s">
        <v>69</v>
      </c>
      <c r="BM1033">
        <v>-0.28999999999999998</v>
      </c>
      <c r="BN1033">
        <v>-0.23400000000000001</v>
      </c>
    </row>
    <row r="1034" spans="2:66">
      <c r="B1034">
        <v>1635</v>
      </c>
      <c r="C1034">
        <v>186</v>
      </c>
      <c r="D1034">
        <v>0</v>
      </c>
      <c r="E1034">
        <v>4</v>
      </c>
      <c r="F1034">
        <v>0</v>
      </c>
      <c r="J1034">
        <v>0</v>
      </c>
      <c r="K1034">
        <v>9</v>
      </c>
      <c r="L1034">
        <v>0</v>
      </c>
      <c r="M1034" t="s">
        <v>25022</v>
      </c>
      <c r="N1034">
        <v>3586</v>
      </c>
      <c r="O1034" t="s">
        <v>21044</v>
      </c>
      <c r="P1034" t="s">
        <v>62</v>
      </c>
      <c r="Q1034">
        <v>3553209</v>
      </c>
      <c r="R1034">
        <v>3554513</v>
      </c>
      <c r="S1034" t="s">
        <v>21045</v>
      </c>
      <c r="T1034">
        <v>435</v>
      </c>
      <c r="U1034" t="s">
        <v>21046</v>
      </c>
      <c r="V1034">
        <v>36</v>
      </c>
      <c r="W1034" t="str">
        <f>HYPERLINK("Gene3586-zp_tree_all.dnd", "Gene3586-tree")</f>
        <v>Gene3586-tree</v>
      </c>
      <c r="X1034">
        <v>4</v>
      </c>
      <c r="Y1034">
        <v>10</v>
      </c>
      <c r="Z1034">
        <v>4</v>
      </c>
      <c r="AA1034">
        <v>10</v>
      </c>
      <c r="AB1034">
        <v>0.71428999999999998</v>
      </c>
      <c r="AC1034" t="s">
        <v>61</v>
      </c>
      <c r="AD1034" t="s">
        <v>117</v>
      </c>
      <c r="AE1034" t="s">
        <v>62</v>
      </c>
      <c r="AF1034" t="s">
        <v>62</v>
      </c>
      <c r="AG1034">
        <v>3</v>
      </c>
      <c r="AH1034">
        <v>9</v>
      </c>
      <c r="AI1034">
        <v>9</v>
      </c>
      <c r="AJ1034">
        <v>0.5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5</v>
      </c>
      <c r="AQ1034">
        <v>0</v>
      </c>
      <c r="AR1034">
        <v>5</v>
      </c>
      <c r="AS1034">
        <v>10</v>
      </c>
      <c r="AT1034">
        <v>0.33333000000000002</v>
      </c>
      <c r="AU1034">
        <v>14</v>
      </c>
      <c r="AV1034">
        <v>9</v>
      </c>
      <c r="AW1034">
        <v>51</v>
      </c>
      <c r="AX1034">
        <v>19</v>
      </c>
      <c r="AY1034">
        <v>22</v>
      </c>
      <c r="AZ1034">
        <v>3</v>
      </c>
      <c r="BA1034" t="s">
        <v>21047</v>
      </c>
      <c r="BB1034" t="s">
        <v>21048</v>
      </c>
      <c r="BC1034">
        <v>1.4470000000000001</v>
      </c>
      <c r="BD1034" t="s">
        <v>65</v>
      </c>
      <c r="BE1034">
        <v>73</v>
      </c>
      <c r="BF1034">
        <v>22</v>
      </c>
      <c r="BG1034" t="s">
        <v>21049</v>
      </c>
      <c r="BH1034" t="s">
        <v>21050</v>
      </c>
      <c r="BI1034" t="s">
        <v>1715</v>
      </c>
      <c r="BJ1034">
        <v>6.8159999999999998E-2</v>
      </c>
      <c r="BK1034">
        <v>1</v>
      </c>
      <c r="BL1034" t="s">
        <v>69</v>
      </c>
      <c r="BM1034">
        <v>-0.30199999999999999</v>
      </c>
      <c r="BN1034">
        <v>-0.7</v>
      </c>
    </row>
    <row r="1035" spans="2:66">
      <c r="B1035">
        <v>1637</v>
      </c>
      <c r="C1035">
        <v>71</v>
      </c>
      <c r="D1035">
        <v>0</v>
      </c>
      <c r="E1035">
        <v>2</v>
      </c>
      <c r="F1035">
        <v>0</v>
      </c>
      <c r="J1035">
        <v>0</v>
      </c>
      <c r="K1035">
        <v>14</v>
      </c>
      <c r="L1035">
        <v>1</v>
      </c>
      <c r="M1035" t="s">
        <v>25022</v>
      </c>
      <c r="N1035">
        <v>3587</v>
      </c>
      <c r="O1035" t="s">
        <v>21051</v>
      </c>
      <c r="P1035" t="s">
        <v>62</v>
      </c>
      <c r="Q1035">
        <v>3554556</v>
      </c>
      <c r="R1035">
        <v>3555806</v>
      </c>
      <c r="S1035" t="s">
        <v>21052</v>
      </c>
      <c r="T1035">
        <v>417</v>
      </c>
      <c r="U1035" t="s">
        <v>108</v>
      </c>
      <c r="V1035">
        <v>44</v>
      </c>
      <c r="W1035" t="str">
        <f>HYPERLINK("Gene3587-zp_tree_all.dnd", "Gene3587-tree")</f>
        <v>Gene3587-tree</v>
      </c>
      <c r="X1035">
        <v>6</v>
      </c>
      <c r="Y1035">
        <v>11</v>
      </c>
      <c r="Z1035">
        <v>6</v>
      </c>
      <c r="AA1035">
        <v>11</v>
      </c>
      <c r="AB1035">
        <v>0.64705999999999997</v>
      </c>
      <c r="AC1035" t="s">
        <v>90</v>
      </c>
      <c r="AD1035" t="s">
        <v>73</v>
      </c>
      <c r="AE1035">
        <v>95384385.856999993</v>
      </c>
      <c r="AF1035" t="s">
        <v>267</v>
      </c>
      <c r="AG1035">
        <v>5</v>
      </c>
      <c r="AH1035">
        <v>15</v>
      </c>
      <c r="AI1035">
        <v>12</v>
      </c>
      <c r="AJ1035">
        <v>0.55556000000000005</v>
      </c>
      <c r="AK1035">
        <v>0</v>
      </c>
      <c r="AL1035">
        <v>0</v>
      </c>
      <c r="AM1035">
        <v>0</v>
      </c>
      <c r="AN1035">
        <v>4</v>
      </c>
      <c r="AO1035">
        <v>0</v>
      </c>
      <c r="AP1035">
        <v>4</v>
      </c>
      <c r="AQ1035">
        <v>1</v>
      </c>
      <c r="AR1035">
        <v>5</v>
      </c>
      <c r="AS1035">
        <v>10</v>
      </c>
      <c r="AT1035">
        <v>0.33333000000000002</v>
      </c>
      <c r="AU1035">
        <v>15</v>
      </c>
      <c r="AV1035">
        <v>12</v>
      </c>
      <c r="AW1035">
        <v>54</v>
      </c>
      <c r="AX1035">
        <v>15</v>
      </c>
      <c r="AY1035">
        <v>54</v>
      </c>
      <c r="AZ1035">
        <v>13</v>
      </c>
      <c r="BA1035" t="s">
        <v>21053</v>
      </c>
      <c r="BB1035" t="s">
        <v>21054</v>
      </c>
      <c r="BC1035">
        <v>0.19400000000000001</v>
      </c>
      <c r="BD1035" t="s">
        <v>65</v>
      </c>
      <c r="BE1035">
        <v>108</v>
      </c>
      <c r="BF1035">
        <v>28</v>
      </c>
      <c r="BG1035" t="s">
        <v>21055</v>
      </c>
      <c r="BH1035" t="s">
        <v>21056</v>
      </c>
      <c r="BI1035" t="s">
        <v>21057</v>
      </c>
      <c r="BJ1035">
        <v>7.1110000000000007E-2</v>
      </c>
      <c r="BK1035">
        <v>1</v>
      </c>
      <c r="BL1035" t="s">
        <v>69</v>
      </c>
      <c r="BM1035">
        <v>0.16</v>
      </c>
      <c r="BN1035">
        <v>-0.128</v>
      </c>
    </row>
    <row r="1036" spans="2:66">
      <c r="B1036">
        <v>1639</v>
      </c>
      <c r="C1036">
        <v>156</v>
      </c>
      <c r="D1036">
        <v>0</v>
      </c>
      <c r="E1036">
        <v>6</v>
      </c>
      <c r="F1036">
        <v>2</v>
      </c>
      <c r="J1036">
        <v>0</v>
      </c>
      <c r="K1036">
        <v>59</v>
      </c>
      <c r="L1036">
        <v>4</v>
      </c>
      <c r="M1036" t="s">
        <v>25022</v>
      </c>
      <c r="N1036">
        <v>3588</v>
      </c>
      <c r="O1036" t="s">
        <v>21058</v>
      </c>
      <c r="P1036" t="s">
        <v>62</v>
      </c>
      <c r="Q1036">
        <v>3555905</v>
      </c>
      <c r="R1036">
        <v>3557671</v>
      </c>
      <c r="S1036" t="s">
        <v>21059</v>
      </c>
      <c r="T1036">
        <v>589</v>
      </c>
      <c r="U1036" t="s">
        <v>108</v>
      </c>
      <c r="V1036">
        <v>44</v>
      </c>
      <c r="W1036" t="str">
        <f>HYPERLINK("Gene3588-zp_tree_all.dnd", "Gene3588-tree")</f>
        <v>Gene3588-tree</v>
      </c>
      <c r="X1036">
        <v>5</v>
      </c>
      <c r="Y1036">
        <v>13</v>
      </c>
      <c r="Z1036">
        <v>5</v>
      </c>
      <c r="AA1036">
        <v>13</v>
      </c>
      <c r="AB1036">
        <v>0.72221999999999997</v>
      </c>
      <c r="AC1036" t="s">
        <v>199</v>
      </c>
      <c r="AD1036" t="s">
        <v>507</v>
      </c>
      <c r="AE1036" t="s">
        <v>62</v>
      </c>
      <c r="AF1036" t="s">
        <v>62</v>
      </c>
      <c r="AG1036">
        <v>23</v>
      </c>
      <c r="AH1036">
        <v>63</v>
      </c>
      <c r="AI1036">
        <v>28</v>
      </c>
      <c r="AJ1036">
        <v>0.69230999999999998</v>
      </c>
      <c r="AK1036">
        <v>0</v>
      </c>
      <c r="AL1036">
        <v>0</v>
      </c>
      <c r="AM1036">
        <v>0</v>
      </c>
      <c r="AN1036">
        <v>13</v>
      </c>
      <c r="AO1036">
        <v>0</v>
      </c>
      <c r="AP1036">
        <v>11</v>
      </c>
      <c r="AQ1036">
        <v>6</v>
      </c>
      <c r="AR1036">
        <v>17</v>
      </c>
      <c r="AS1036">
        <v>34</v>
      </c>
      <c r="AT1036">
        <v>0.33333000000000002</v>
      </c>
      <c r="AU1036">
        <v>15</v>
      </c>
      <c r="AV1036">
        <v>14</v>
      </c>
      <c r="AW1036">
        <v>94</v>
      </c>
      <c r="AX1036">
        <v>46</v>
      </c>
      <c r="AY1036">
        <v>92</v>
      </c>
      <c r="AZ1036">
        <v>45</v>
      </c>
      <c r="BA1036" t="s">
        <v>21060</v>
      </c>
      <c r="BB1036" t="s">
        <v>21061</v>
      </c>
      <c r="BC1036">
        <v>6.0000000000000001E-3</v>
      </c>
      <c r="BD1036" t="s">
        <v>65</v>
      </c>
      <c r="BE1036">
        <v>186</v>
      </c>
      <c r="BF1036">
        <v>91</v>
      </c>
      <c r="BG1036" t="s">
        <v>21062</v>
      </c>
      <c r="BH1036" t="s">
        <v>21063</v>
      </c>
      <c r="BI1036" t="s">
        <v>21064</v>
      </c>
      <c r="BJ1036">
        <v>0.13128999999999999</v>
      </c>
      <c r="BK1036">
        <v>1</v>
      </c>
      <c r="BL1036" t="s">
        <v>69</v>
      </c>
      <c r="BM1036">
        <v>-0.42499999999999999</v>
      </c>
      <c r="BN1036">
        <v>-1.0920000000000001</v>
      </c>
    </row>
    <row r="1037" spans="2:66">
      <c r="B1037">
        <v>1640</v>
      </c>
      <c r="C1037">
        <v>25</v>
      </c>
      <c r="D1037">
        <v>0</v>
      </c>
      <c r="E1037">
        <v>2</v>
      </c>
      <c r="F1037">
        <v>0</v>
      </c>
      <c r="J1037">
        <v>0</v>
      </c>
      <c r="K1037">
        <v>3</v>
      </c>
      <c r="L1037">
        <v>0</v>
      </c>
      <c r="M1037" t="s">
        <v>25022</v>
      </c>
      <c r="N1037">
        <v>3589</v>
      </c>
      <c r="O1037" t="s">
        <v>21065</v>
      </c>
      <c r="P1037" t="s">
        <v>62</v>
      </c>
      <c r="Q1037">
        <v>3557787</v>
      </c>
      <c r="R1037">
        <v>3558734</v>
      </c>
      <c r="S1037" t="s">
        <v>21066</v>
      </c>
      <c r="T1037">
        <v>316</v>
      </c>
      <c r="U1037" t="s">
        <v>108</v>
      </c>
      <c r="V1037">
        <v>44</v>
      </c>
      <c r="W1037" t="str">
        <f>HYPERLINK("Gene3589-zp_tree_all.dnd", "Gene3589-tree")</f>
        <v>Gene3589-tree</v>
      </c>
      <c r="X1037">
        <v>9</v>
      </c>
      <c r="Y1037">
        <v>5</v>
      </c>
      <c r="Z1037">
        <v>9</v>
      </c>
      <c r="AA1037">
        <v>5</v>
      </c>
      <c r="AB1037">
        <v>0.35714000000000001</v>
      </c>
      <c r="AC1037" t="s">
        <v>135</v>
      </c>
      <c r="AD1037" t="s">
        <v>199</v>
      </c>
      <c r="AE1037" t="s">
        <v>62</v>
      </c>
      <c r="AF1037" t="s">
        <v>62</v>
      </c>
      <c r="AG1037">
        <v>1</v>
      </c>
      <c r="AH1037">
        <v>3</v>
      </c>
      <c r="AI1037">
        <v>7</v>
      </c>
      <c r="AJ1037">
        <v>0.3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2</v>
      </c>
      <c r="AQ1037">
        <v>0</v>
      </c>
      <c r="AR1037">
        <v>2</v>
      </c>
      <c r="AS1037">
        <v>5</v>
      </c>
      <c r="AT1037">
        <v>0.28571000000000002</v>
      </c>
      <c r="AU1037">
        <v>14</v>
      </c>
      <c r="AV1037">
        <v>10</v>
      </c>
      <c r="AW1037">
        <v>26</v>
      </c>
      <c r="AX1037">
        <v>7</v>
      </c>
      <c r="AY1037">
        <v>16</v>
      </c>
      <c r="AZ1037">
        <v>3</v>
      </c>
      <c r="BA1037" t="s">
        <v>21067</v>
      </c>
      <c r="BB1037" t="s">
        <v>21068</v>
      </c>
      <c r="BC1037">
        <v>0.35499999999999998</v>
      </c>
      <c r="BD1037" t="s">
        <v>65</v>
      </c>
      <c r="BE1037">
        <v>42</v>
      </c>
      <c r="BF1037">
        <v>10</v>
      </c>
      <c r="BG1037" t="s">
        <v>21069</v>
      </c>
      <c r="BH1037" t="s">
        <v>21070</v>
      </c>
      <c r="BI1037" t="s">
        <v>21071</v>
      </c>
      <c r="BJ1037">
        <v>6.6729999999999998E-2</v>
      </c>
      <c r="BK1037">
        <v>1</v>
      </c>
      <c r="BL1037" t="s">
        <v>69</v>
      </c>
      <c r="BM1037">
        <v>-0.373</v>
      </c>
      <c r="BN1037">
        <v>-0.11700000000000001</v>
      </c>
    </row>
    <row r="1038" spans="2:66">
      <c r="B1038">
        <v>1641</v>
      </c>
      <c r="C1038">
        <v>203</v>
      </c>
      <c r="D1038">
        <v>0</v>
      </c>
      <c r="E1038">
        <v>0</v>
      </c>
      <c r="F1038">
        <v>2</v>
      </c>
      <c r="J1038">
        <v>0</v>
      </c>
      <c r="K1038">
        <v>2</v>
      </c>
      <c r="L1038">
        <v>1</v>
      </c>
      <c r="M1038" t="s">
        <v>25022</v>
      </c>
      <c r="N1038">
        <v>3590</v>
      </c>
      <c r="O1038" t="s">
        <v>21072</v>
      </c>
      <c r="P1038" t="s">
        <v>62</v>
      </c>
      <c r="Q1038">
        <v>3558943</v>
      </c>
      <c r="R1038">
        <v>3559515</v>
      </c>
      <c r="S1038" t="s">
        <v>1340</v>
      </c>
      <c r="T1038">
        <v>191</v>
      </c>
      <c r="U1038" t="s">
        <v>108</v>
      </c>
      <c r="V1038">
        <v>44</v>
      </c>
      <c r="W1038" t="str">
        <f>HYPERLINK("Gene3590-zp_tree_all.dnd", "Gene3590-tree")</f>
        <v>Gene3590-tree</v>
      </c>
      <c r="X1038">
        <v>9</v>
      </c>
      <c r="Y1038">
        <v>4</v>
      </c>
      <c r="Z1038">
        <v>9</v>
      </c>
      <c r="AA1038">
        <v>4</v>
      </c>
      <c r="AB1038">
        <v>0.30769000000000002</v>
      </c>
      <c r="AC1038" t="s">
        <v>135</v>
      </c>
      <c r="AD1038" t="s">
        <v>61</v>
      </c>
      <c r="AE1038" t="s">
        <v>62</v>
      </c>
      <c r="AF1038" t="s">
        <v>62</v>
      </c>
      <c r="AG1038">
        <v>1</v>
      </c>
      <c r="AH1038">
        <v>3</v>
      </c>
      <c r="AI1038">
        <v>3</v>
      </c>
      <c r="AJ1038">
        <v>0.5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</v>
      </c>
      <c r="AQ1038">
        <v>1</v>
      </c>
      <c r="AR1038">
        <v>3</v>
      </c>
      <c r="AS1038">
        <v>2</v>
      </c>
      <c r="AT1038">
        <v>0.6</v>
      </c>
      <c r="AU1038">
        <v>10</v>
      </c>
      <c r="AV1038">
        <v>7</v>
      </c>
      <c r="AW1038">
        <v>16</v>
      </c>
      <c r="AX1038">
        <v>4</v>
      </c>
      <c r="AY1038">
        <v>10</v>
      </c>
      <c r="AZ1038">
        <v>3</v>
      </c>
      <c r="BA1038" t="s">
        <v>21073</v>
      </c>
      <c r="BB1038" t="s">
        <v>21074</v>
      </c>
      <c r="BC1038">
        <v>0.104</v>
      </c>
      <c r="BD1038" t="s">
        <v>65</v>
      </c>
      <c r="BE1038">
        <v>26</v>
      </c>
      <c r="BF1038">
        <v>7</v>
      </c>
      <c r="BG1038" t="s">
        <v>21075</v>
      </c>
      <c r="BH1038" t="s">
        <v>21076</v>
      </c>
      <c r="BI1038" t="s">
        <v>21077</v>
      </c>
      <c r="BJ1038">
        <v>8.6580000000000004E-2</v>
      </c>
      <c r="BK1038">
        <v>1</v>
      </c>
      <c r="BL1038" t="s">
        <v>69</v>
      </c>
      <c r="BM1038">
        <v>-0.192</v>
      </c>
      <c r="BN1038">
        <v>0.251</v>
      </c>
    </row>
    <row r="1039" spans="2:66">
      <c r="B1039">
        <v>1645</v>
      </c>
      <c r="C1039">
        <v>7</v>
      </c>
      <c r="D1039">
        <v>0</v>
      </c>
      <c r="E1039">
        <v>5</v>
      </c>
      <c r="F1039">
        <v>2</v>
      </c>
      <c r="J1039">
        <v>0</v>
      </c>
      <c r="K1039">
        <v>8</v>
      </c>
      <c r="L1039">
        <v>0</v>
      </c>
      <c r="M1039" t="s">
        <v>25022</v>
      </c>
      <c r="N1039">
        <v>3592</v>
      </c>
      <c r="O1039" t="s">
        <v>21086</v>
      </c>
      <c r="P1039" t="s">
        <v>62</v>
      </c>
      <c r="Q1039">
        <v>3559982</v>
      </c>
      <c r="R1039">
        <v>3561571</v>
      </c>
      <c r="S1039" t="s">
        <v>21087</v>
      </c>
      <c r="T1039">
        <v>530</v>
      </c>
      <c r="U1039" t="s">
        <v>108</v>
      </c>
      <c r="V1039">
        <v>44</v>
      </c>
      <c r="W1039" t="str">
        <f>HYPERLINK("Gene3592-zp_tree_all.dnd", "Gene3592-tree")</f>
        <v>Gene3592-tree</v>
      </c>
      <c r="X1039">
        <v>27</v>
      </c>
      <c r="Y1039">
        <v>7</v>
      </c>
      <c r="Z1039">
        <v>10</v>
      </c>
      <c r="AA1039">
        <v>7</v>
      </c>
      <c r="AB1039">
        <v>0.41176000000000001</v>
      </c>
      <c r="AC1039" t="s">
        <v>2980</v>
      </c>
      <c r="AD1039" t="s">
        <v>152</v>
      </c>
      <c r="AE1039" t="s">
        <v>62</v>
      </c>
      <c r="AF1039" t="s">
        <v>62</v>
      </c>
      <c r="AG1039">
        <v>3</v>
      </c>
      <c r="AH1039">
        <v>8</v>
      </c>
      <c r="AI1039">
        <v>6</v>
      </c>
      <c r="AJ1039">
        <v>0.57142999999999999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4</v>
      </c>
      <c r="AQ1039">
        <v>0</v>
      </c>
      <c r="AR1039">
        <v>4</v>
      </c>
      <c r="AS1039">
        <v>6</v>
      </c>
      <c r="AT1039">
        <v>0.4</v>
      </c>
      <c r="AU1039">
        <v>16</v>
      </c>
      <c r="AV1039">
        <v>13</v>
      </c>
      <c r="AW1039">
        <v>70</v>
      </c>
      <c r="AX1039">
        <v>8</v>
      </c>
      <c r="AY1039">
        <v>48</v>
      </c>
      <c r="AZ1039">
        <v>6</v>
      </c>
      <c r="BA1039" t="s">
        <v>21088</v>
      </c>
      <c r="BB1039" t="s">
        <v>21089</v>
      </c>
      <c r="BC1039">
        <v>9.4E-2</v>
      </c>
      <c r="BD1039" t="s">
        <v>65</v>
      </c>
      <c r="BE1039">
        <v>118</v>
      </c>
      <c r="BF1039">
        <v>14</v>
      </c>
      <c r="BG1039" t="s">
        <v>21090</v>
      </c>
      <c r="BH1039" t="s">
        <v>21091</v>
      </c>
      <c r="BI1039" t="s">
        <v>19125</v>
      </c>
      <c r="BJ1039">
        <v>3.1940000000000003E-2</v>
      </c>
      <c r="BK1039">
        <v>1</v>
      </c>
      <c r="BL1039" t="s">
        <v>69</v>
      </c>
      <c r="BM1039">
        <v>-0.91200000000000003</v>
      </c>
      <c r="BN1039">
        <v>-0.57099999999999995</v>
      </c>
    </row>
    <row r="1040" spans="2:66">
      <c r="B1040">
        <v>1646</v>
      </c>
      <c r="C1040">
        <v>42</v>
      </c>
      <c r="D1040">
        <v>0</v>
      </c>
      <c r="E1040">
        <v>0</v>
      </c>
      <c r="F1040">
        <v>4</v>
      </c>
      <c r="J1040">
        <v>0</v>
      </c>
      <c r="K1040">
        <v>0</v>
      </c>
      <c r="L1040">
        <v>0</v>
      </c>
      <c r="M1040" t="s">
        <v>25022</v>
      </c>
      <c r="N1040">
        <v>3593</v>
      </c>
      <c r="O1040" t="s">
        <v>21092</v>
      </c>
      <c r="P1040" t="s">
        <v>62</v>
      </c>
      <c r="Q1040">
        <v>3561593</v>
      </c>
      <c r="R1040">
        <v>3562183</v>
      </c>
      <c r="S1040" t="s">
        <v>21093</v>
      </c>
      <c r="T1040">
        <v>197</v>
      </c>
      <c r="U1040" t="s">
        <v>108</v>
      </c>
      <c r="V1040">
        <v>44</v>
      </c>
      <c r="W1040" t="str">
        <f>HYPERLINK("Gene3593-zp_tree_all.dnd", "Gene3593-tree")</f>
        <v>Gene3593-tree</v>
      </c>
      <c r="X1040">
        <v>9</v>
      </c>
      <c r="Y1040">
        <v>5</v>
      </c>
      <c r="Z1040">
        <v>9</v>
      </c>
      <c r="AA1040">
        <v>5</v>
      </c>
      <c r="AB1040">
        <v>0.35714000000000001</v>
      </c>
      <c r="AC1040" t="s">
        <v>135</v>
      </c>
      <c r="AD1040" t="s">
        <v>199</v>
      </c>
      <c r="AE1040" t="s">
        <v>62</v>
      </c>
      <c r="AF1040" t="s">
        <v>62</v>
      </c>
      <c r="AG1040">
        <v>0</v>
      </c>
      <c r="AH1040">
        <v>0</v>
      </c>
      <c r="AI1040">
        <v>8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7</v>
      </c>
      <c r="AT1040">
        <v>0</v>
      </c>
      <c r="AU1040">
        <v>9</v>
      </c>
      <c r="AV1040">
        <v>9</v>
      </c>
      <c r="AW1040">
        <v>13</v>
      </c>
      <c r="AX1040">
        <v>7</v>
      </c>
      <c r="AY1040">
        <v>11</v>
      </c>
      <c r="AZ1040">
        <v>1</v>
      </c>
      <c r="BA1040" t="s">
        <v>21094</v>
      </c>
      <c r="BB1040" t="s">
        <v>21095</v>
      </c>
      <c r="BC1040">
        <v>1.2689999999999999</v>
      </c>
      <c r="BD1040" t="s">
        <v>65</v>
      </c>
      <c r="BE1040">
        <v>24</v>
      </c>
      <c r="BF1040">
        <v>8</v>
      </c>
      <c r="BG1040" t="s">
        <v>21096</v>
      </c>
      <c r="BH1040" t="s">
        <v>21097</v>
      </c>
      <c r="BI1040" t="s">
        <v>21098</v>
      </c>
      <c r="BJ1040">
        <v>7.5139999999999998E-2</v>
      </c>
      <c r="BK1040">
        <v>1</v>
      </c>
      <c r="BL1040" t="s">
        <v>69</v>
      </c>
      <c r="BM1040">
        <v>-0.47499999999999998</v>
      </c>
      <c r="BN1040">
        <v>-1.46</v>
      </c>
    </row>
    <row r="1041" spans="2:66">
      <c r="B1041">
        <v>1648</v>
      </c>
      <c r="C1041">
        <v>24</v>
      </c>
      <c r="D1041">
        <v>0</v>
      </c>
      <c r="E1041">
        <v>6</v>
      </c>
      <c r="F1041">
        <v>0</v>
      </c>
      <c r="J1041">
        <v>0</v>
      </c>
      <c r="K1041">
        <v>4</v>
      </c>
      <c r="L1041">
        <v>0</v>
      </c>
      <c r="M1041" t="s">
        <v>25022</v>
      </c>
      <c r="N1041">
        <v>3595</v>
      </c>
      <c r="O1041" t="s">
        <v>21106</v>
      </c>
      <c r="P1041" t="s">
        <v>62</v>
      </c>
      <c r="Q1041">
        <v>3563584</v>
      </c>
      <c r="R1041">
        <v>3565521</v>
      </c>
      <c r="S1041" t="s">
        <v>21107</v>
      </c>
      <c r="T1041">
        <v>646</v>
      </c>
      <c r="U1041" t="s">
        <v>108</v>
      </c>
      <c r="V1041">
        <v>44</v>
      </c>
      <c r="W1041" t="str">
        <f>HYPERLINK("Gene3595-zp_tree_all.dnd", "Gene3595-tree")</f>
        <v>Gene3595-tree</v>
      </c>
      <c r="X1041">
        <v>7</v>
      </c>
      <c r="Y1041">
        <v>8</v>
      </c>
      <c r="Z1041">
        <v>7</v>
      </c>
      <c r="AA1041">
        <v>8</v>
      </c>
      <c r="AB1041">
        <v>0.53332999999999997</v>
      </c>
      <c r="AC1041" t="s">
        <v>152</v>
      </c>
      <c r="AD1041" t="s">
        <v>136</v>
      </c>
      <c r="AE1041" t="s">
        <v>62</v>
      </c>
      <c r="AF1041" t="s">
        <v>62</v>
      </c>
      <c r="AG1041">
        <v>2</v>
      </c>
      <c r="AH1041">
        <v>4</v>
      </c>
      <c r="AI1041">
        <v>16</v>
      </c>
      <c r="AJ1041">
        <v>0.2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2</v>
      </c>
      <c r="AQ1041">
        <v>0</v>
      </c>
      <c r="AR1041">
        <v>2</v>
      </c>
      <c r="AS1041">
        <v>13</v>
      </c>
      <c r="AT1041">
        <v>0.13333</v>
      </c>
      <c r="AU1041">
        <v>13</v>
      </c>
      <c r="AV1041">
        <v>12</v>
      </c>
      <c r="AW1041">
        <v>51</v>
      </c>
      <c r="AX1041">
        <v>14</v>
      </c>
      <c r="AY1041">
        <v>36</v>
      </c>
      <c r="AZ1041">
        <v>6</v>
      </c>
      <c r="BA1041" t="s">
        <v>21108</v>
      </c>
      <c r="BB1041" t="s">
        <v>21109</v>
      </c>
      <c r="BC1041">
        <v>0.51800000000000002</v>
      </c>
      <c r="BD1041" t="s">
        <v>65</v>
      </c>
      <c r="BE1041">
        <v>87</v>
      </c>
      <c r="BF1041">
        <v>20</v>
      </c>
      <c r="BG1041" t="s">
        <v>21110</v>
      </c>
      <c r="BH1041" t="s">
        <v>21111</v>
      </c>
      <c r="BI1041" t="s">
        <v>1664</v>
      </c>
      <c r="BJ1041">
        <v>7.1470000000000006E-2</v>
      </c>
      <c r="BK1041">
        <v>1</v>
      </c>
      <c r="BL1041" t="s">
        <v>69</v>
      </c>
      <c r="BM1041">
        <v>-0.26800000000000002</v>
      </c>
      <c r="BN1041">
        <v>-1.7</v>
      </c>
    </row>
    <row r="1042" spans="2:66">
      <c r="B1042">
        <v>1649</v>
      </c>
      <c r="C1042">
        <v>18</v>
      </c>
      <c r="D1042">
        <v>0</v>
      </c>
      <c r="E1042">
        <v>0</v>
      </c>
      <c r="F1042">
        <v>2</v>
      </c>
      <c r="J1042">
        <v>0</v>
      </c>
      <c r="K1042">
        <v>0</v>
      </c>
      <c r="L1042">
        <v>0</v>
      </c>
      <c r="M1042" t="s">
        <v>25022</v>
      </c>
      <c r="N1042">
        <v>3596</v>
      </c>
      <c r="O1042" t="s">
        <v>21112</v>
      </c>
      <c r="P1042" t="s">
        <v>62</v>
      </c>
      <c r="Q1042">
        <v>3565499</v>
      </c>
      <c r="R1042">
        <v>3566275</v>
      </c>
      <c r="S1042" t="s">
        <v>21113</v>
      </c>
      <c r="T1042">
        <v>259</v>
      </c>
      <c r="U1042" t="s">
        <v>108</v>
      </c>
      <c r="V1042">
        <v>44</v>
      </c>
      <c r="W1042" t="str">
        <f>HYPERLINK("Gene3596-zp_tree_all.dnd", "Gene3596-tree")</f>
        <v>Gene3596-tree</v>
      </c>
      <c r="X1042">
        <v>9</v>
      </c>
      <c r="Y1042">
        <v>4</v>
      </c>
      <c r="Z1042">
        <v>9</v>
      </c>
      <c r="AA1042">
        <v>4</v>
      </c>
      <c r="AB1042">
        <v>0.30769000000000002</v>
      </c>
      <c r="AC1042" t="s">
        <v>135</v>
      </c>
      <c r="AD1042" t="s">
        <v>61</v>
      </c>
      <c r="AE1042" t="s">
        <v>62</v>
      </c>
      <c r="AF1042" t="s">
        <v>62</v>
      </c>
      <c r="AG1042">
        <v>0</v>
      </c>
      <c r="AH1042">
        <v>0</v>
      </c>
      <c r="AI1042">
        <v>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4</v>
      </c>
      <c r="AT1042">
        <v>0</v>
      </c>
      <c r="AU1042">
        <v>8</v>
      </c>
      <c r="AV1042">
        <v>10</v>
      </c>
      <c r="AW1042">
        <v>19</v>
      </c>
      <c r="AX1042">
        <v>3</v>
      </c>
      <c r="AY1042">
        <v>11</v>
      </c>
      <c r="AZ1042">
        <v>1</v>
      </c>
      <c r="BA1042" t="s">
        <v>21114</v>
      </c>
      <c r="BB1042" t="s">
        <v>21115</v>
      </c>
      <c r="BC1042">
        <v>0.21199999999999999</v>
      </c>
      <c r="BD1042" t="s">
        <v>65</v>
      </c>
      <c r="BE1042">
        <v>30</v>
      </c>
      <c r="BF1042">
        <v>4</v>
      </c>
      <c r="BG1042" t="s">
        <v>21116</v>
      </c>
      <c r="BH1042" t="s">
        <v>21117</v>
      </c>
      <c r="BI1042" t="s">
        <v>21118</v>
      </c>
      <c r="BJ1042">
        <v>3.0700000000000002E-2</v>
      </c>
      <c r="BK1042">
        <v>1</v>
      </c>
      <c r="BL1042" t="s">
        <v>69</v>
      </c>
      <c r="BM1042">
        <v>-0.29599999999999999</v>
      </c>
      <c r="BN1042">
        <v>-1.8120000000000001</v>
      </c>
    </row>
    <row r="1043" spans="2:66">
      <c r="B1043">
        <v>1650</v>
      </c>
      <c r="C1043">
        <v>315</v>
      </c>
      <c r="D1043">
        <v>0</v>
      </c>
      <c r="E1043">
        <v>2</v>
      </c>
      <c r="F1043">
        <v>2</v>
      </c>
      <c r="J1043">
        <v>0</v>
      </c>
      <c r="K1043">
        <v>21</v>
      </c>
      <c r="L1043">
        <v>0</v>
      </c>
      <c r="M1043" t="s">
        <v>25022</v>
      </c>
      <c r="N1043">
        <v>3597</v>
      </c>
      <c r="O1043" t="s">
        <v>21119</v>
      </c>
      <c r="P1043" t="s">
        <v>62</v>
      </c>
      <c r="Q1043">
        <v>3566361</v>
      </c>
      <c r="R1043">
        <v>3567428</v>
      </c>
      <c r="S1043" t="s">
        <v>21120</v>
      </c>
      <c r="T1043">
        <v>356</v>
      </c>
      <c r="U1043" t="s">
        <v>108</v>
      </c>
      <c r="V1043">
        <v>44</v>
      </c>
      <c r="W1043" t="str">
        <f>HYPERLINK("Gene3597-zp_tree_all.dnd", "Gene3597-tree")</f>
        <v>Gene3597-tree</v>
      </c>
      <c r="X1043">
        <v>5</v>
      </c>
      <c r="Y1043">
        <v>11</v>
      </c>
      <c r="Z1043">
        <v>5</v>
      </c>
      <c r="AA1043">
        <v>11</v>
      </c>
      <c r="AB1043">
        <v>0.6875</v>
      </c>
      <c r="AC1043" t="s">
        <v>199</v>
      </c>
      <c r="AD1043" t="s">
        <v>73</v>
      </c>
      <c r="AE1043">
        <v>137353515.63499999</v>
      </c>
      <c r="AF1043" t="s">
        <v>267</v>
      </c>
      <c r="AG1043">
        <v>8</v>
      </c>
      <c r="AH1043">
        <v>21</v>
      </c>
      <c r="AI1043">
        <v>11</v>
      </c>
      <c r="AJ1043">
        <v>0.65625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13</v>
      </c>
      <c r="AQ1043">
        <v>0</v>
      </c>
      <c r="AR1043">
        <v>13</v>
      </c>
      <c r="AS1043">
        <v>12</v>
      </c>
      <c r="AT1043">
        <v>0.52</v>
      </c>
      <c r="AU1043">
        <v>15</v>
      </c>
      <c r="AV1043">
        <v>12</v>
      </c>
      <c r="AW1043">
        <v>39</v>
      </c>
      <c r="AX1043">
        <v>25</v>
      </c>
      <c r="AY1043">
        <v>23</v>
      </c>
      <c r="AZ1043">
        <v>7</v>
      </c>
      <c r="BA1043" t="s">
        <v>21121</v>
      </c>
      <c r="BB1043" t="s">
        <v>21122</v>
      </c>
      <c r="BC1043">
        <v>1.3680000000000001</v>
      </c>
      <c r="BD1043" t="s">
        <v>65</v>
      </c>
      <c r="BE1043">
        <v>62</v>
      </c>
      <c r="BF1043">
        <v>32</v>
      </c>
      <c r="BG1043" t="s">
        <v>21123</v>
      </c>
      <c r="BH1043" t="s">
        <v>21124</v>
      </c>
      <c r="BI1043" t="s">
        <v>21125</v>
      </c>
      <c r="BJ1043">
        <v>0.12278</v>
      </c>
      <c r="BK1043">
        <v>1</v>
      </c>
      <c r="BL1043" t="s">
        <v>69</v>
      </c>
      <c r="BM1043">
        <v>-0.71199999999999997</v>
      </c>
      <c r="BN1043">
        <v>-0.96699999999999997</v>
      </c>
    </row>
    <row r="1044" spans="2:66">
      <c r="B1044">
        <v>1651</v>
      </c>
      <c r="C1044">
        <v>225</v>
      </c>
      <c r="D1044">
        <v>0</v>
      </c>
      <c r="E1044">
        <v>2</v>
      </c>
      <c r="F1044">
        <v>0</v>
      </c>
      <c r="J1044">
        <v>0</v>
      </c>
      <c r="K1044">
        <v>2</v>
      </c>
      <c r="L1044">
        <v>0</v>
      </c>
      <c r="M1044" t="s">
        <v>25022</v>
      </c>
      <c r="N1044">
        <v>3598</v>
      </c>
      <c r="O1044" t="s">
        <v>21126</v>
      </c>
      <c r="P1044" t="s">
        <v>62</v>
      </c>
      <c r="Q1044">
        <v>3567425</v>
      </c>
      <c r="R1044">
        <v>3568135</v>
      </c>
      <c r="S1044" t="s">
        <v>21127</v>
      </c>
      <c r="T1044">
        <v>237</v>
      </c>
      <c r="U1044" t="s">
        <v>108</v>
      </c>
      <c r="V1044">
        <v>44</v>
      </c>
      <c r="W1044" t="str">
        <f>HYPERLINK("Gene3598-zp_tree_all.dnd", "Gene3598-tree")</f>
        <v>Gene3598-tree</v>
      </c>
      <c r="X1044">
        <v>6</v>
      </c>
      <c r="Y1044">
        <v>4</v>
      </c>
      <c r="Z1044">
        <v>6</v>
      </c>
      <c r="AA1044">
        <v>4</v>
      </c>
      <c r="AB1044">
        <v>0.4</v>
      </c>
      <c r="AC1044" t="s">
        <v>90</v>
      </c>
      <c r="AD1044" t="s">
        <v>61</v>
      </c>
      <c r="AE1044" t="s">
        <v>62</v>
      </c>
      <c r="AF1044" t="s">
        <v>62</v>
      </c>
      <c r="AG1044">
        <v>1</v>
      </c>
      <c r="AH1044">
        <v>2</v>
      </c>
      <c r="AI1044">
        <v>5</v>
      </c>
      <c r="AJ1044">
        <v>0.28571000000000002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5</v>
      </c>
      <c r="AT1044">
        <v>0</v>
      </c>
      <c r="AU1044">
        <v>9</v>
      </c>
      <c r="AV1044">
        <v>5</v>
      </c>
      <c r="AW1044">
        <v>23</v>
      </c>
      <c r="AX1044">
        <v>5</v>
      </c>
      <c r="AY1044">
        <v>14</v>
      </c>
      <c r="AZ1044">
        <v>3</v>
      </c>
      <c r="BA1044" t="s">
        <v>21128</v>
      </c>
      <c r="BB1044" t="s">
        <v>21129</v>
      </c>
      <c r="BC1044">
        <v>6.0000000000000001E-3</v>
      </c>
      <c r="BD1044" t="s">
        <v>65</v>
      </c>
      <c r="BE1044">
        <v>37</v>
      </c>
      <c r="BF1044">
        <v>8</v>
      </c>
      <c r="BG1044" t="s">
        <v>21130</v>
      </c>
      <c r="BH1044" t="s">
        <v>21131</v>
      </c>
      <c r="BI1044" t="s">
        <v>21132</v>
      </c>
      <c r="BJ1044">
        <v>6.8610000000000004E-2</v>
      </c>
      <c r="BK1044">
        <v>1</v>
      </c>
      <c r="BL1044" t="s">
        <v>69</v>
      </c>
      <c r="BM1044">
        <v>0.55400000000000005</v>
      </c>
      <c r="BN1044">
        <v>-0.17199999999999999</v>
      </c>
    </row>
    <row r="1045" spans="2:66">
      <c r="B1045">
        <v>1652</v>
      </c>
      <c r="C1045">
        <v>214</v>
      </c>
      <c r="D1045">
        <v>0</v>
      </c>
      <c r="E1045">
        <v>5</v>
      </c>
      <c r="F1045">
        <v>2</v>
      </c>
      <c r="J1045">
        <v>0</v>
      </c>
      <c r="K1045">
        <v>18</v>
      </c>
      <c r="L1045">
        <v>0</v>
      </c>
      <c r="M1045" t="s">
        <v>25022</v>
      </c>
      <c r="N1045">
        <v>3600</v>
      </c>
      <c r="O1045" t="s">
        <v>21139</v>
      </c>
      <c r="P1045" t="s">
        <v>62</v>
      </c>
      <c r="Q1045">
        <v>3568530</v>
      </c>
      <c r="R1045">
        <v>3569291</v>
      </c>
      <c r="S1045" t="s">
        <v>21140</v>
      </c>
      <c r="T1045">
        <v>254</v>
      </c>
      <c r="U1045" t="s">
        <v>108</v>
      </c>
      <c r="V1045">
        <v>44</v>
      </c>
      <c r="W1045" t="str">
        <f>HYPERLINK("Gene3600-zp_tree_all.dnd", "Gene3600-tree")</f>
        <v>Gene3600-tree</v>
      </c>
      <c r="X1045">
        <v>7</v>
      </c>
      <c r="Y1045">
        <v>7</v>
      </c>
      <c r="Z1045">
        <v>7</v>
      </c>
      <c r="AA1045">
        <v>7</v>
      </c>
      <c r="AB1045">
        <v>0.5</v>
      </c>
      <c r="AC1045" t="s">
        <v>152</v>
      </c>
      <c r="AD1045" t="s">
        <v>152</v>
      </c>
      <c r="AE1045" t="s">
        <v>62</v>
      </c>
      <c r="AF1045" t="s">
        <v>62</v>
      </c>
      <c r="AG1045">
        <v>7</v>
      </c>
      <c r="AH1045">
        <v>18</v>
      </c>
      <c r="AI1045">
        <v>12</v>
      </c>
      <c r="AJ1045">
        <v>0.6</v>
      </c>
      <c r="AK1045">
        <v>0</v>
      </c>
      <c r="AL1045">
        <v>0</v>
      </c>
      <c r="AM1045">
        <v>0</v>
      </c>
      <c r="AN1045">
        <v>3</v>
      </c>
      <c r="AO1045">
        <v>0</v>
      </c>
      <c r="AP1045">
        <v>5</v>
      </c>
      <c r="AQ1045">
        <v>0</v>
      </c>
      <c r="AR1045">
        <v>5</v>
      </c>
      <c r="AS1045">
        <v>13</v>
      </c>
      <c r="AT1045">
        <v>0.27778000000000003</v>
      </c>
      <c r="AU1045">
        <v>12</v>
      </c>
      <c r="AV1045">
        <v>8</v>
      </c>
      <c r="AW1045">
        <v>45</v>
      </c>
      <c r="AX1045">
        <v>18</v>
      </c>
      <c r="AY1045">
        <v>12</v>
      </c>
      <c r="AZ1045">
        <v>12</v>
      </c>
      <c r="BA1045" t="s">
        <v>21141</v>
      </c>
      <c r="BB1045" t="s">
        <v>21142</v>
      </c>
      <c r="BC1045">
        <v>1.899</v>
      </c>
      <c r="BD1045" t="s">
        <v>65</v>
      </c>
      <c r="BE1045">
        <v>57</v>
      </c>
      <c r="BF1045">
        <v>30</v>
      </c>
      <c r="BG1045" t="s">
        <v>21143</v>
      </c>
      <c r="BH1045" t="s">
        <v>21144</v>
      </c>
      <c r="BI1045" t="s">
        <v>21145</v>
      </c>
      <c r="BJ1045">
        <v>0.16793</v>
      </c>
      <c r="BK1045">
        <v>1</v>
      </c>
      <c r="BL1045" t="s">
        <v>69</v>
      </c>
      <c r="BM1045">
        <v>7.9000000000000001E-2</v>
      </c>
      <c r="BN1045">
        <v>-0.35399999999999998</v>
      </c>
    </row>
    <row r="1046" spans="2:66">
      <c r="B1046">
        <v>1655</v>
      </c>
      <c r="C1046">
        <v>611</v>
      </c>
      <c r="D1046">
        <v>0</v>
      </c>
      <c r="E1046">
        <v>14</v>
      </c>
      <c r="F1046">
        <v>0</v>
      </c>
      <c r="J1046">
        <v>0</v>
      </c>
      <c r="K1046">
        <v>0</v>
      </c>
      <c r="L1046">
        <v>0</v>
      </c>
      <c r="M1046" t="s">
        <v>25022</v>
      </c>
      <c r="N1046">
        <v>3601</v>
      </c>
      <c r="O1046" t="s">
        <v>21146</v>
      </c>
      <c r="P1046" t="s">
        <v>62</v>
      </c>
      <c r="Q1046">
        <v>3569295</v>
      </c>
      <c r="R1046">
        <v>3569549</v>
      </c>
      <c r="S1046" t="s">
        <v>21147</v>
      </c>
      <c r="T1046">
        <v>85</v>
      </c>
      <c r="U1046" t="s">
        <v>59</v>
      </c>
      <c r="V1046">
        <v>49</v>
      </c>
      <c r="W1046" t="str">
        <f>HYPERLINK("Gene3601-zp_tree_all.dnd", "Gene3601-tree")</f>
        <v>Gene3601-tree</v>
      </c>
      <c r="X1046">
        <v>9</v>
      </c>
      <c r="Y1046">
        <v>1</v>
      </c>
      <c r="Z1046">
        <v>9</v>
      </c>
      <c r="AA1046">
        <v>1</v>
      </c>
      <c r="AB1046">
        <v>0.1</v>
      </c>
      <c r="AC1046" t="s">
        <v>135</v>
      </c>
      <c r="AD1046" t="s">
        <v>175</v>
      </c>
      <c r="AE1046" t="s">
        <v>62</v>
      </c>
      <c r="AF1046" t="s">
        <v>62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9</v>
      </c>
      <c r="AV1046">
        <v>4</v>
      </c>
      <c r="AW1046">
        <v>14</v>
      </c>
      <c r="AX1046">
        <v>1</v>
      </c>
      <c r="AY1046">
        <v>12</v>
      </c>
      <c r="AZ1046">
        <v>0</v>
      </c>
      <c r="BA1046" t="s">
        <v>21148</v>
      </c>
      <c r="BB1046" t="s">
        <v>193</v>
      </c>
      <c r="BC1046">
        <v>0.34899999999999998</v>
      </c>
      <c r="BD1046" t="s">
        <v>65</v>
      </c>
      <c r="BE1046">
        <v>26</v>
      </c>
      <c r="BF1046">
        <v>1</v>
      </c>
      <c r="BG1046" t="s">
        <v>21149</v>
      </c>
      <c r="BH1046" t="s">
        <v>21150</v>
      </c>
      <c r="BI1046" t="s">
        <v>21151</v>
      </c>
      <c r="BJ1046">
        <v>7.0299999999999998E-3</v>
      </c>
      <c r="BK1046">
        <v>1</v>
      </c>
      <c r="BL1046" t="s">
        <v>69</v>
      </c>
      <c r="BM1046">
        <v>-1.621</v>
      </c>
      <c r="BN1046">
        <v>-0.79900000000000004</v>
      </c>
    </row>
    <row r="1047" spans="2:66">
      <c r="B1047">
        <v>1659</v>
      </c>
      <c r="C1047">
        <v>99</v>
      </c>
      <c r="D1047">
        <v>0</v>
      </c>
      <c r="E1047">
        <v>2</v>
      </c>
      <c r="F1047">
        <v>0</v>
      </c>
      <c r="J1047">
        <v>0</v>
      </c>
      <c r="K1047">
        <v>2</v>
      </c>
      <c r="L1047">
        <v>0</v>
      </c>
      <c r="M1047" t="s">
        <v>25022</v>
      </c>
      <c r="N1047">
        <v>3602</v>
      </c>
      <c r="O1047" t="s">
        <v>21152</v>
      </c>
      <c r="P1047" t="s">
        <v>62</v>
      </c>
      <c r="Q1047">
        <v>3569576</v>
      </c>
      <c r="R1047">
        <v>3570523</v>
      </c>
      <c r="S1047" t="s">
        <v>21153</v>
      </c>
      <c r="T1047">
        <v>316</v>
      </c>
      <c r="U1047" t="s">
        <v>59</v>
      </c>
      <c r="V1047">
        <v>49</v>
      </c>
      <c r="W1047" t="str">
        <f>HYPERLINK("Gene3602-zp_tree_all.dnd", "Gene3602-tree")</f>
        <v>Gene3602-tree</v>
      </c>
      <c r="X1047">
        <v>16</v>
      </c>
      <c r="Y1047">
        <v>2</v>
      </c>
      <c r="Z1047">
        <v>16</v>
      </c>
      <c r="AA1047">
        <v>2</v>
      </c>
      <c r="AB1047">
        <v>0.11111</v>
      </c>
      <c r="AC1047" t="s">
        <v>60</v>
      </c>
      <c r="AD1047" t="s">
        <v>81</v>
      </c>
      <c r="AE1047" t="s">
        <v>62</v>
      </c>
      <c r="AF1047" t="s">
        <v>62</v>
      </c>
      <c r="AG1047">
        <v>1</v>
      </c>
      <c r="AH1047">
        <v>2</v>
      </c>
      <c r="AI1047">
        <v>5</v>
      </c>
      <c r="AJ1047">
        <v>0.28571000000000002</v>
      </c>
      <c r="AK1047">
        <v>2</v>
      </c>
      <c r="AL1047">
        <v>0</v>
      </c>
      <c r="AM1047">
        <v>2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3</v>
      </c>
      <c r="AT1047">
        <v>0</v>
      </c>
      <c r="AU1047">
        <v>14</v>
      </c>
      <c r="AV1047">
        <v>13</v>
      </c>
      <c r="AW1047">
        <v>41</v>
      </c>
      <c r="AX1047">
        <v>3</v>
      </c>
      <c r="AY1047">
        <v>55</v>
      </c>
      <c r="AZ1047">
        <v>4</v>
      </c>
      <c r="BA1047" t="s">
        <v>21154</v>
      </c>
      <c r="BB1047" t="s">
        <v>21155</v>
      </c>
      <c r="BC1047">
        <v>1.2E-2</v>
      </c>
      <c r="BD1047" t="s">
        <v>65</v>
      </c>
      <c r="BE1047">
        <v>96</v>
      </c>
      <c r="BF1047">
        <v>7</v>
      </c>
      <c r="BG1047" t="s">
        <v>21156</v>
      </c>
      <c r="BH1047" t="s">
        <v>21157</v>
      </c>
      <c r="BI1047" t="s">
        <v>19038</v>
      </c>
      <c r="BJ1047">
        <v>1.8079999999999999E-2</v>
      </c>
      <c r="BK1047">
        <v>1</v>
      </c>
      <c r="BL1047" t="s">
        <v>69</v>
      </c>
      <c r="BM1047">
        <v>-1.3180000000000001</v>
      </c>
      <c r="BN1047">
        <v>-1.2470000000000001</v>
      </c>
    </row>
    <row r="1048" spans="2:66">
      <c r="B1048">
        <v>1661</v>
      </c>
      <c r="C1048">
        <v>12</v>
      </c>
      <c r="D1048">
        <v>0</v>
      </c>
      <c r="E1048">
        <v>0</v>
      </c>
      <c r="F1048">
        <v>3</v>
      </c>
      <c r="J1048">
        <v>0</v>
      </c>
      <c r="K1048">
        <v>6</v>
      </c>
      <c r="L1048">
        <v>0</v>
      </c>
      <c r="M1048" t="s">
        <v>25022</v>
      </c>
      <c r="N1048">
        <v>3603</v>
      </c>
      <c r="O1048" t="s">
        <v>21158</v>
      </c>
      <c r="P1048" t="s">
        <v>62</v>
      </c>
      <c r="Q1048">
        <v>3570549</v>
      </c>
      <c r="R1048">
        <v>3571499</v>
      </c>
      <c r="S1048" t="s">
        <v>21159</v>
      </c>
      <c r="T1048">
        <v>317</v>
      </c>
      <c r="U1048" t="s">
        <v>59</v>
      </c>
      <c r="V1048">
        <v>49</v>
      </c>
      <c r="W1048" t="str">
        <f>HYPERLINK("Gene3603-zp_tree_all.dnd", "Gene3603-tree")</f>
        <v>Gene3603-tree</v>
      </c>
      <c r="X1048">
        <v>31</v>
      </c>
      <c r="Y1048">
        <v>8</v>
      </c>
      <c r="Z1048">
        <v>11</v>
      </c>
      <c r="AA1048">
        <v>8</v>
      </c>
      <c r="AB1048">
        <v>0.42104999999999998</v>
      </c>
      <c r="AC1048" t="s">
        <v>2860</v>
      </c>
      <c r="AD1048" t="s">
        <v>136</v>
      </c>
      <c r="AE1048" t="s">
        <v>62</v>
      </c>
      <c r="AF1048" t="s">
        <v>62</v>
      </c>
      <c r="AG1048">
        <v>3</v>
      </c>
      <c r="AH1048">
        <v>6</v>
      </c>
      <c r="AI1048">
        <v>10</v>
      </c>
      <c r="AJ1048">
        <v>0.375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2</v>
      </c>
      <c r="AQ1048">
        <v>0</v>
      </c>
      <c r="AR1048">
        <v>2</v>
      </c>
      <c r="AS1048">
        <v>8</v>
      </c>
      <c r="AT1048">
        <v>0.2</v>
      </c>
      <c r="AU1048">
        <v>16</v>
      </c>
      <c r="AV1048">
        <v>15</v>
      </c>
      <c r="AW1048">
        <v>53</v>
      </c>
      <c r="AX1048">
        <v>9</v>
      </c>
      <c r="AY1048">
        <v>65</v>
      </c>
      <c r="AZ1048">
        <v>7</v>
      </c>
      <c r="BA1048" t="s">
        <v>21160</v>
      </c>
      <c r="BB1048" t="s">
        <v>21161</v>
      </c>
      <c r="BC1048">
        <v>0.28599999999999998</v>
      </c>
      <c r="BD1048" t="s">
        <v>65</v>
      </c>
      <c r="BE1048">
        <v>118</v>
      </c>
      <c r="BF1048">
        <v>16</v>
      </c>
      <c r="BG1048" t="s">
        <v>21162</v>
      </c>
      <c r="BH1048" t="s">
        <v>21163</v>
      </c>
      <c r="BI1048" t="s">
        <v>12026</v>
      </c>
      <c r="BJ1048">
        <v>3.6159999999999998E-2</v>
      </c>
      <c r="BK1048">
        <v>1</v>
      </c>
      <c r="BL1048" t="s">
        <v>69</v>
      </c>
      <c r="BM1048">
        <v>-1.19</v>
      </c>
      <c r="BN1048">
        <v>-0.61499999999999999</v>
      </c>
    </row>
    <row r="1049" spans="2:66">
      <c r="B1049">
        <v>1662</v>
      </c>
      <c r="C1049">
        <v>54</v>
      </c>
      <c r="D1049">
        <v>0</v>
      </c>
      <c r="E1049">
        <v>0</v>
      </c>
      <c r="F1049">
        <v>2</v>
      </c>
      <c r="J1049">
        <v>0</v>
      </c>
      <c r="K1049">
        <v>0</v>
      </c>
      <c r="L1049">
        <v>0</v>
      </c>
      <c r="M1049" t="s">
        <v>25022</v>
      </c>
      <c r="N1049">
        <v>3604</v>
      </c>
      <c r="O1049" t="s">
        <v>21164</v>
      </c>
      <c r="P1049" t="s">
        <v>62</v>
      </c>
      <c r="Q1049">
        <v>3571504</v>
      </c>
      <c r="R1049">
        <v>3572388</v>
      </c>
      <c r="S1049" t="s">
        <v>21165</v>
      </c>
      <c r="T1049">
        <v>295</v>
      </c>
      <c r="U1049" t="s">
        <v>465</v>
      </c>
      <c r="V1049">
        <v>46</v>
      </c>
      <c r="W1049" t="str">
        <f>HYPERLINK("Gene3604-zp_tree_all.dnd", "Gene3604-tree")</f>
        <v>Gene3604-tree</v>
      </c>
      <c r="X1049">
        <v>11</v>
      </c>
      <c r="Y1049">
        <v>2</v>
      </c>
      <c r="Z1049">
        <v>11</v>
      </c>
      <c r="AA1049">
        <v>2</v>
      </c>
      <c r="AB1049">
        <v>0.15384999999999999</v>
      </c>
      <c r="AC1049" t="s">
        <v>73</v>
      </c>
      <c r="AD1049" t="s">
        <v>81</v>
      </c>
      <c r="AE1049" t="s">
        <v>62</v>
      </c>
      <c r="AF1049" t="s">
        <v>62</v>
      </c>
      <c r="AG1049">
        <v>0</v>
      </c>
      <c r="AH1049">
        <v>0</v>
      </c>
      <c r="AI1049">
        <v>6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</v>
      </c>
      <c r="AT1049">
        <v>0</v>
      </c>
      <c r="AU1049">
        <v>12</v>
      </c>
      <c r="AV1049">
        <v>9</v>
      </c>
      <c r="AW1049">
        <v>31</v>
      </c>
      <c r="AX1049">
        <v>2</v>
      </c>
      <c r="AY1049">
        <v>49</v>
      </c>
      <c r="AZ1049">
        <v>5</v>
      </c>
      <c r="BA1049" t="s">
        <v>21166</v>
      </c>
      <c r="BB1049" t="s">
        <v>21167</v>
      </c>
      <c r="BC1049">
        <v>9.2999999999999999E-2</v>
      </c>
      <c r="BD1049" t="s">
        <v>65</v>
      </c>
      <c r="BE1049">
        <v>80</v>
      </c>
      <c r="BF1049">
        <v>7</v>
      </c>
      <c r="BG1049" t="s">
        <v>21168</v>
      </c>
      <c r="BH1049" t="s">
        <v>21169</v>
      </c>
      <c r="BI1049" t="s">
        <v>21170</v>
      </c>
      <c r="BJ1049">
        <v>2.6329999999999999E-2</v>
      </c>
      <c r="BK1049">
        <v>1</v>
      </c>
      <c r="BL1049" t="s">
        <v>69</v>
      </c>
      <c r="BM1049">
        <v>-1.3720000000000001</v>
      </c>
      <c r="BN1049">
        <v>0.13200000000000001</v>
      </c>
    </row>
    <row r="1050" spans="2:66">
      <c r="B1050">
        <v>1663</v>
      </c>
      <c r="C1050">
        <v>159</v>
      </c>
      <c r="D1050">
        <v>0</v>
      </c>
      <c r="E1050">
        <v>4</v>
      </c>
      <c r="F1050">
        <v>0</v>
      </c>
      <c r="J1050">
        <v>0</v>
      </c>
      <c r="K1050">
        <v>3</v>
      </c>
      <c r="L1050">
        <v>2</v>
      </c>
      <c r="M1050" t="s">
        <v>25022</v>
      </c>
      <c r="N1050">
        <v>3605</v>
      </c>
      <c r="O1050" t="s">
        <v>21171</v>
      </c>
      <c r="P1050" t="s">
        <v>62</v>
      </c>
      <c r="Q1050">
        <v>3572416</v>
      </c>
      <c r="R1050">
        <v>3572889</v>
      </c>
      <c r="S1050" t="s">
        <v>21172</v>
      </c>
      <c r="T1050">
        <v>158</v>
      </c>
      <c r="U1050" t="s">
        <v>289</v>
      </c>
      <c r="V1050">
        <v>46</v>
      </c>
      <c r="W1050" t="str">
        <f>HYPERLINK("Gene3605-zp_tree_all.dnd", "Gene3605-tree")</f>
        <v>Gene3605-tree</v>
      </c>
      <c r="X1050">
        <v>9</v>
      </c>
      <c r="Y1050">
        <v>3</v>
      </c>
      <c r="Z1050">
        <v>9</v>
      </c>
      <c r="AA1050">
        <v>3</v>
      </c>
      <c r="AB1050">
        <v>0.25</v>
      </c>
      <c r="AC1050" t="s">
        <v>135</v>
      </c>
      <c r="AD1050" t="s">
        <v>324</v>
      </c>
      <c r="AE1050" t="s">
        <v>62</v>
      </c>
      <c r="AF1050" t="s">
        <v>62</v>
      </c>
      <c r="AG1050">
        <v>2</v>
      </c>
      <c r="AH1050">
        <v>5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4</v>
      </c>
      <c r="AR1050">
        <v>4</v>
      </c>
      <c r="AS1050">
        <v>0</v>
      </c>
      <c r="AT1050">
        <v>1</v>
      </c>
      <c r="AU1050">
        <v>11</v>
      </c>
      <c r="AV1050">
        <v>5</v>
      </c>
      <c r="AW1050">
        <v>15</v>
      </c>
      <c r="AX1050">
        <v>4</v>
      </c>
      <c r="AY1050">
        <v>19</v>
      </c>
      <c r="AZ1050">
        <v>1</v>
      </c>
      <c r="BA1050" t="s">
        <v>21173</v>
      </c>
      <c r="BB1050" t="s">
        <v>21174</v>
      </c>
      <c r="BC1050">
        <v>0.70699999999999996</v>
      </c>
      <c r="BD1050" t="s">
        <v>65</v>
      </c>
      <c r="BE1050">
        <v>34</v>
      </c>
      <c r="BF1050">
        <v>5</v>
      </c>
      <c r="BG1050" t="s">
        <v>21175</v>
      </c>
      <c r="BH1050" t="s">
        <v>21176</v>
      </c>
      <c r="BI1050" t="s">
        <v>21177</v>
      </c>
      <c r="BJ1050">
        <v>2.7449999999999999E-2</v>
      </c>
      <c r="BK1050">
        <v>1</v>
      </c>
      <c r="BL1050" t="s">
        <v>69</v>
      </c>
      <c r="BM1050">
        <v>-1.161</v>
      </c>
      <c r="BN1050">
        <v>-1.306</v>
      </c>
    </row>
    <row r="1051" spans="2:66">
      <c r="B1051">
        <v>1664</v>
      </c>
      <c r="C1051">
        <v>29</v>
      </c>
      <c r="D1051">
        <v>0</v>
      </c>
      <c r="E1051">
        <v>0</v>
      </c>
      <c r="F1051">
        <v>2</v>
      </c>
      <c r="J1051">
        <v>0</v>
      </c>
      <c r="K1051">
        <v>2</v>
      </c>
      <c r="L1051">
        <v>0</v>
      </c>
      <c r="M1051" t="s">
        <v>25022</v>
      </c>
      <c r="N1051">
        <v>3606</v>
      </c>
      <c r="O1051" t="s">
        <v>21178</v>
      </c>
      <c r="P1051" t="s">
        <v>62</v>
      </c>
      <c r="Q1051">
        <v>3573210</v>
      </c>
      <c r="R1051">
        <v>3574157</v>
      </c>
      <c r="S1051" t="s">
        <v>21179</v>
      </c>
      <c r="T1051">
        <v>316</v>
      </c>
      <c r="U1051" t="s">
        <v>125</v>
      </c>
      <c r="V1051">
        <v>48</v>
      </c>
      <c r="W1051" t="str">
        <f>HYPERLINK("Gene3606-zp_tree_all.dnd", "Gene3606-tree")</f>
        <v>Gene3606-tree</v>
      </c>
      <c r="X1051">
        <v>11</v>
      </c>
      <c r="Y1051">
        <v>5</v>
      </c>
      <c r="Z1051">
        <v>11</v>
      </c>
      <c r="AA1051">
        <v>5</v>
      </c>
      <c r="AB1051">
        <v>0.3125</v>
      </c>
      <c r="AC1051" t="s">
        <v>73</v>
      </c>
      <c r="AD1051" t="s">
        <v>199</v>
      </c>
      <c r="AE1051" t="s">
        <v>62</v>
      </c>
      <c r="AF1051" t="s">
        <v>62</v>
      </c>
      <c r="AG1051">
        <v>1</v>
      </c>
      <c r="AH1051">
        <v>2</v>
      </c>
      <c r="AI1051">
        <v>6</v>
      </c>
      <c r="AJ1051">
        <v>0.25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7</v>
      </c>
      <c r="AT1051">
        <v>0</v>
      </c>
      <c r="AU1051">
        <v>14</v>
      </c>
      <c r="AV1051">
        <v>13</v>
      </c>
      <c r="AW1051">
        <v>60</v>
      </c>
      <c r="AX1051">
        <v>7</v>
      </c>
      <c r="AY1051">
        <v>84</v>
      </c>
      <c r="AZ1051">
        <v>1</v>
      </c>
      <c r="BA1051" t="s">
        <v>21180</v>
      </c>
      <c r="BB1051" t="s">
        <v>21181</v>
      </c>
      <c r="BC1051">
        <v>0.998</v>
      </c>
      <c r="BD1051" t="s">
        <v>65</v>
      </c>
      <c r="BE1051">
        <v>144</v>
      </c>
      <c r="BF1051">
        <v>8</v>
      </c>
      <c r="BG1051" t="s">
        <v>21182</v>
      </c>
      <c r="BH1051" t="s">
        <v>21183</v>
      </c>
      <c r="BI1051" t="s">
        <v>21184</v>
      </c>
      <c r="BJ1051">
        <v>1.0710000000000001E-2</v>
      </c>
      <c r="BK1051">
        <v>1</v>
      </c>
      <c r="BL1051" t="s">
        <v>69</v>
      </c>
      <c r="BM1051">
        <v>-1.139</v>
      </c>
      <c r="BN1051">
        <v>-0.79700000000000004</v>
      </c>
    </row>
    <row r="1052" spans="2:66">
      <c r="B1052">
        <v>1666</v>
      </c>
      <c r="C1052">
        <v>228</v>
      </c>
      <c r="D1052">
        <v>0</v>
      </c>
      <c r="E1052">
        <v>10</v>
      </c>
      <c r="F1052">
        <v>0</v>
      </c>
      <c r="J1052">
        <v>0</v>
      </c>
      <c r="K1052">
        <v>8</v>
      </c>
      <c r="L1052">
        <v>2</v>
      </c>
      <c r="M1052" t="s">
        <v>25022</v>
      </c>
      <c r="N1052">
        <v>3607</v>
      </c>
      <c r="O1052" t="s">
        <v>21185</v>
      </c>
      <c r="P1052" t="s">
        <v>62</v>
      </c>
      <c r="Q1052">
        <v>3574366</v>
      </c>
      <c r="R1052">
        <v>3575784</v>
      </c>
      <c r="S1052" t="s">
        <v>21186</v>
      </c>
      <c r="T1052">
        <v>473</v>
      </c>
      <c r="U1052" t="s">
        <v>21187</v>
      </c>
      <c r="V1052">
        <v>44</v>
      </c>
      <c r="W1052" t="str">
        <f>HYPERLINK("Gene3607-zp_tree_all.dnd", "Gene3607-tree")</f>
        <v>Gene3607-tree</v>
      </c>
      <c r="X1052">
        <v>9</v>
      </c>
      <c r="Y1052">
        <v>6</v>
      </c>
      <c r="Z1052">
        <v>9</v>
      </c>
      <c r="AA1052">
        <v>6</v>
      </c>
      <c r="AB1052">
        <v>0.4</v>
      </c>
      <c r="AC1052" t="s">
        <v>135</v>
      </c>
      <c r="AD1052" t="s">
        <v>90</v>
      </c>
      <c r="AE1052" t="s">
        <v>62</v>
      </c>
      <c r="AF1052" t="s">
        <v>62</v>
      </c>
      <c r="AG1052">
        <v>4</v>
      </c>
      <c r="AH1052">
        <v>10</v>
      </c>
      <c r="AI1052">
        <v>14</v>
      </c>
      <c r="AJ1052">
        <v>0.41666999999999998</v>
      </c>
      <c r="AK1052">
        <v>0</v>
      </c>
      <c r="AL1052">
        <v>0</v>
      </c>
      <c r="AM1052">
        <v>0</v>
      </c>
      <c r="AN1052">
        <v>6</v>
      </c>
      <c r="AO1052">
        <v>0</v>
      </c>
      <c r="AP1052">
        <v>2</v>
      </c>
      <c r="AQ1052">
        <v>0</v>
      </c>
      <c r="AR1052">
        <v>2</v>
      </c>
      <c r="AS1052">
        <v>6</v>
      </c>
      <c r="AT1052">
        <v>0.25</v>
      </c>
      <c r="AU1052">
        <v>11</v>
      </c>
      <c r="AV1052">
        <v>10</v>
      </c>
      <c r="AW1052">
        <v>47</v>
      </c>
      <c r="AX1052">
        <v>11</v>
      </c>
      <c r="AY1052">
        <v>68</v>
      </c>
      <c r="AZ1052">
        <v>21</v>
      </c>
      <c r="BA1052" t="s">
        <v>21188</v>
      </c>
      <c r="BB1052" t="s">
        <v>21189</v>
      </c>
      <c r="BC1052">
        <v>0.23599999999999999</v>
      </c>
      <c r="BD1052" t="s">
        <v>65</v>
      </c>
      <c r="BE1052">
        <v>115</v>
      </c>
      <c r="BF1052">
        <v>32</v>
      </c>
      <c r="BG1052" t="s">
        <v>21190</v>
      </c>
      <c r="BH1052" t="s">
        <v>21191</v>
      </c>
      <c r="BI1052" t="s">
        <v>21192</v>
      </c>
      <c r="BJ1052">
        <v>7.0209999999999995E-2</v>
      </c>
      <c r="BK1052">
        <v>1</v>
      </c>
      <c r="BL1052" t="s">
        <v>69</v>
      </c>
      <c r="BM1052">
        <v>-0.93100000000000005</v>
      </c>
      <c r="BN1052">
        <v>-0.63400000000000001</v>
      </c>
    </row>
    <row r="1053" spans="2:66">
      <c r="B1053">
        <v>1667</v>
      </c>
      <c r="C1053">
        <v>162</v>
      </c>
      <c r="D1053">
        <v>0</v>
      </c>
      <c r="E1053">
        <v>0</v>
      </c>
      <c r="F1053">
        <v>2</v>
      </c>
      <c r="J1053">
        <v>0</v>
      </c>
      <c r="K1053">
        <v>12</v>
      </c>
      <c r="L1053">
        <v>0</v>
      </c>
      <c r="M1053" t="s">
        <v>25022</v>
      </c>
      <c r="N1053">
        <v>3608</v>
      </c>
      <c r="O1053" t="s">
        <v>21193</v>
      </c>
      <c r="P1053" t="s">
        <v>62</v>
      </c>
      <c r="Q1053">
        <v>3576168</v>
      </c>
      <c r="R1053">
        <v>3577619</v>
      </c>
      <c r="S1053" t="s">
        <v>116</v>
      </c>
      <c r="T1053">
        <v>484</v>
      </c>
      <c r="U1053" t="s">
        <v>465</v>
      </c>
      <c r="V1053">
        <v>46</v>
      </c>
      <c r="W1053" t="str">
        <f>HYPERLINK("Gene3608-zp_tree_all.dnd", "Gene3608-tree")</f>
        <v>Gene3608-tree</v>
      </c>
      <c r="X1053">
        <v>3</v>
      </c>
      <c r="Y1053">
        <v>13</v>
      </c>
      <c r="Z1053">
        <v>3</v>
      </c>
      <c r="AA1053">
        <v>13</v>
      </c>
      <c r="AB1053">
        <v>0.8125</v>
      </c>
      <c r="AC1053" t="s">
        <v>324</v>
      </c>
      <c r="AD1053" t="s">
        <v>507</v>
      </c>
      <c r="AE1053" t="s">
        <v>62</v>
      </c>
      <c r="AF1053" t="s">
        <v>62</v>
      </c>
      <c r="AG1053">
        <v>5</v>
      </c>
      <c r="AH1053">
        <v>12</v>
      </c>
      <c r="AI1053">
        <v>17</v>
      </c>
      <c r="AJ1053">
        <v>0.41378999999999999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9</v>
      </c>
      <c r="AQ1053">
        <v>0</v>
      </c>
      <c r="AR1053">
        <v>9</v>
      </c>
      <c r="AS1053">
        <v>17</v>
      </c>
      <c r="AT1053">
        <v>0.34615000000000001</v>
      </c>
      <c r="AU1053">
        <v>14</v>
      </c>
      <c r="AV1053">
        <v>12</v>
      </c>
      <c r="AW1053">
        <v>47</v>
      </c>
      <c r="AX1053">
        <v>21</v>
      </c>
      <c r="AY1053">
        <v>77</v>
      </c>
      <c r="AZ1053">
        <v>8</v>
      </c>
      <c r="BA1053" t="s">
        <v>21194</v>
      </c>
      <c r="BB1053" t="s">
        <v>21195</v>
      </c>
      <c r="BC1053">
        <v>1.3049999999999999</v>
      </c>
      <c r="BD1053" t="s">
        <v>65</v>
      </c>
      <c r="BE1053">
        <v>124</v>
      </c>
      <c r="BF1053">
        <v>29</v>
      </c>
      <c r="BG1053" t="s">
        <v>21196</v>
      </c>
      <c r="BH1053" t="s">
        <v>21197</v>
      </c>
      <c r="BI1053" t="s">
        <v>21198</v>
      </c>
      <c r="BJ1053">
        <v>5.5059999999999998E-2</v>
      </c>
      <c r="BK1053">
        <v>1</v>
      </c>
      <c r="BL1053" t="s">
        <v>69</v>
      </c>
      <c r="BM1053">
        <v>-1.3069999999999999</v>
      </c>
      <c r="BN1053">
        <v>0.14699999999999999</v>
      </c>
    </row>
    <row r="1054" spans="2:66">
      <c r="B1054">
        <v>1668</v>
      </c>
      <c r="C1054">
        <v>218</v>
      </c>
      <c r="D1054">
        <v>0</v>
      </c>
      <c r="E1054">
        <v>5</v>
      </c>
      <c r="F1054">
        <v>5</v>
      </c>
      <c r="J1054">
        <v>0</v>
      </c>
      <c r="K1054">
        <v>23</v>
      </c>
      <c r="L1054">
        <v>3</v>
      </c>
      <c r="M1054" t="s">
        <v>25022</v>
      </c>
      <c r="N1054">
        <v>3609</v>
      </c>
      <c r="O1054" t="s">
        <v>21199</v>
      </c>
      <c r="P1054" t="s">
        <v>62</v>
      </c>
      <c r="Q1054">
        <v>3577748</v>
      </c>
      <c r="R1054">
        <v>3579514</v>
      </c>
      <c r="S1054" t="s">
        <v>21200</v>
      </c>
      <c r="T1054">
        <v>589</v>
      </c>
      <c r="U1054" t="s">
        <v>108</v>
      </c>
      <c r="V1054">
        <v>44</v>
      </c>
      <c r="W1054" t="str">
        <f>HYPERLINK("Gene3609-zp_tree_all.dnd", "Gene3609-tree")</f>
        <v>Gene3609-tree</v>
      </c>
      <c r="X1054">
        <v>10</v>
      </c>
      <c r="Y1054">
        <v>6</v>
      </c>
      <c r="Z1054">
        <v>10</v>
      </c>
      <c r="AA1054">
        <v>6</v>
      </c>
      <c r="AB1054">
        <v>0.375</v>
      </c>
      <c r="AC1054" t="s">
        <v>117</v>
      </c>
      <c r="AD1054" t="s">
        <v>90</v>
      </c>
      <c r="AE1054" t="s">
        <v>62</v>
      </c>
      <c r="AF1054" t="s">
        <v>62</v>
      </c>
      <c r="AG1054">
        <v>12</v>
      </c>
      <c r="AH1054">
        <v>26</v>
      </c>
      <c r="AI1054">
        <v>6</v>
      </c>
      <c r="AJ1054">
        <v>0.8125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4</v>
      </c>
      <c r="AQ1054">
        <v>4</v>
      </c>
      <c r="AR1054">
        <v>8</v>
      </c>
      <c r="AS1054">
        <v>8</v>
      </c>
      <c r="AT1054">
        <v>0.5</v>
      </c>
      <c r="AU1054">
        <v>15</v>
      </c>
      <c r="AV1054">
        <v>13</v>
      </c>
      <c r="AW1054">
        <v>152</v>
      </c>
      <c r="AX1054">
        <v>17</v>
      </c>
      <c r="AY1054">
        <v>124</v>
      </c>
      <c r="AZ1054">
        <v>16</v>
      </c>
      <c r="BA1054" t="s">
        <v>21201</v>
      </c>
      <c r="BB1054" t="s">
        <v>21202</v>
      </c>
      <c r="BC1054">
        <v>0.215</v>
      </c>
      <c r="BD1054" t="s">
        <v>65</v>
      </c>
      <c r="BE1054">
        <v>276</v>
      </c>
      <c r="BF1054">
        <v>33</v>
      </c>
      <c r="BG1054" t="s">
        <v>21203</v>
      </c>
      <c r="BH1054" t="s">
        <v>21204</v>
      </c>
      <c r="BI1054" t="s">
        <v>21205</v>
      </c>
      <c r="BJ1054">
        <v>4.2090000000000002E-2</v>
      </c>
      <c r="BK1054">
        <v>1</v>
      </c>
      <c r="BL1054" t="s">
        <v>69</v>
      </c>
      <c r="BM1054">
        <v>0.189</v>
      </c>
      <c r="BN1054">
        <v>0.36299999999999999</v>
      </c>
    </row>
    <row r="1055" spans="2:66">
      <c r="B1055">
        <v>1670</v>
      </c>
      <c r="C1055">
        <v>37</v>
      </c>
      <c r="D1055">
        <v>0</v>
      </c>
      <c r="E1055">
        <v>2</v>
      </c>
      <c r="F1055">
        <v>0</v>
      </c>
      <c r="J1055">
        <v>0</v>
      </c>
      <c r="K1055">
        <v>4</v>
      </c>
      <c r="L1055">
        <v>0</v>
      </c>
      <c r="M1055" t="s">
        <v>25022</v>
      </c>
      <c r="N1055">
        <v>3610</v>
      </c>
      <c r="O1055" t="s">
        <v>21206</v>
      </c>
      <c r="P1055" t="s">
        <v>62</v>
      </c>
      <c r="Q1055">
        <v>3579682</v>
      </c>
      <c r="R1055">
        <v>3580038</v>
      </c>
      <c r="S1055" t="s">
        <v>116</v>
      </c>
      <c r="T1055">
        <v>119</v>
      </c>
      <c r="U1055" t="s">
        <v>108</v>
      </c>
      <c r="V1055">
        <v>44</v>
      </c>
      <c r="W1055" t="str">
        <f>HYPERLINK("Gene3610-zp_tree_all.dnd", "Gene3610-tree")</f>
        <v>Gene3610-tree</v>
      </c>
      <c r="X1055">
        <v>4</v>
      </c>
      <c r="Y1055">
        <v>30</v>
      </c>
      <c r="Z1055">
        <v>4</v>
      </c>
      <c r="AA1055">
        <v>8</v>
      </c>
      <c r="AB1055">
        <v>0.66666999999999998</v>
      </c>
      <c r="AC1055" t="s">
        <v>61</v>
      </c>
      <c r="AD1055" t="s">
        <v>9781</v>
      </c>
      <c r="AE1055">
        <v>3.0510000000000002</v>
      </c>
      <c r="AF1055" t="s">
        <v>65</v>
      </c>
      <c r="AG1055">
        <v>2</v>
      </c>
      <c r="AH1055">
        <v>4</v>
      </c>
      <c r="AI1055">
        <v>6</v>
      </c>
      <c r="AJ1055">
        <v>0.4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4</v>
      </c>
      <c r="AQ1055">
        <v>0</v>
      </c>
      <c r="AR1055">
        <v>4</v>
      </c>
      <c r="AS1055">
        <v>5</v>
      </c>
      <c r="AT1055">
        <v>0.44444</v>
      </c>
      <c r="AU1055">
        <v>10</v>
      </c>
      <c r="AV1055">
        <v>7</v>
      </c>
      <c r="AW1055">
        <v>17</v>
      </c>
      <c r="AX1055">
        <v>9</v>
      </c>
      <c r="AY1055">
        <v>16</v>
      </c>
      <c r="AZ1055">
        <v>1</v>
      </c>
      <c r="BA1055" t="s">
        <v>21207</v>
      </c>
      <c r="BB1055" t="s">
        <v>21208</v>
      </c>
      <c r="BC1055">
        <v>2.3740000000000001</v>
      </c>
      <c r="BD1055" t="s">
        <v>267</v>
      </c>
      <c r="BE1055">
        <v>33</v>
      </c>
      <c r="BF1055">
        <v>10</v>
      </c>
      <c r="BG1055" t="s">
        <v>21209</v>
      </c>
      <c r="BH1055" t="s">
        <v>21210</v>
      </c>
      <c r="BI1055" t="s">
        <v>21211</v>
      </c>
      <c r="BJ1055">
        <v>8.0490000000000006E-2</v>
      </c>
      <c r="BK1055">
        <v>1</v>
      </c>
      <c r="BL1055" t="s">
        <v>69</v>
      </c>
      <c r="BM1055">
        <v>-1.125</v>
      </c>
      <c r="BN1055">
        <v>-1.627</v>
      </c>
    </row>
    <row r="1056" spans="2:66">
      <c r="B1056">
        <v>1674</v>
      </c>
      <c r="C1056">
        <v>4</v>
      </c>
      <c r="D1056">
        <v>0</v>
      </c>
      <c r="E1056">
        <v>2</v>
      </c>
      <c r="F1056">
        <v>0</v>
      </c>
      <c r="J1056">
        <v>0</v>
      </c>
      <c r="K1056">
        <v>6</v>
      </c>
      <c r="L1056">
        <v>3</v>
      </c>
      <c r="M1056" t="s">
        <v>25022</v>
      </c>
      <c r="N1056">
        <v>3613</v>
      </c>
      <c r="O1056" t="s">
        <v>21212</v>
      </c>
      <c r="P1056" t="s">
        <v>62</v>
      </c>
      <c r="Q1056">
        <v>3582939</v>
      </c>
      <c r="R1056">
        <v>3583565</v>
      </c>
      <c r="S1056" t="s">
        <v>21213</v>
      </c>
      <c r="T1056">
        <v>209</v>
      </c>
      <c r="U1056" t="s">
        <v>108</v>
      </c>
      <c r="V1056">
        <v>44</v>
      </c>
      <c r="W1056" t="str">
        <f>HYPERLINK("Gene3613-zp_tree_all.dnd", "Gene3613-tree")</f>
        <v>Gene3613-tree</v>
      </c>
      <c r="X1056">
        <v>6</v>
      </c>
      <c r="Y1056">
        <v>8</v>
      </c>
      <c r="Z1056">
        <v>6</v>
      </c>
      <c r="AA1056">
        <v>8</v>
      </c>
      <c r="AB1056">
        <v>0.57142999999999999</v>
      </c>
      <c r="AC1056" t="s">
        <v>90</v>
      </c>
      <c r="AD1056" t="s">
        <v>136</v>
      </c>
      <c r="AE1056" t="s">
        <v>62</v>
      </c>
      <c r="AF1056" t="s">
        <v>62</v>
      </c>
      <c r="AG1056">
        <v>4</v>
      </c>
      <c r="AH1056">
        <v>9</v>
      </c>
      <c r="AI1056">
        <v>10</v>
      </c>
      <c r="AJ1056">
        <v>0.47367999999999999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4</v>
      </c>
      <c r="AR1056">
        <v>4</v>
      </c>
      <c r="AS1056">
        <v>8</v>
      </c>
      <c r="AT1056">
        <v>0.33333000000000002</v>
      </c>
      <c r="AU1056">
        <v>11</v>
      </c>
      <c r="AV1056">
        <v>9</v>
      </c>
      <c r="AW1056">
        <v>21</v>
      </c>
      <c r="AX1056">
        <v>10</v>
      </c>
      <c r="AY1056">
        <v>30</v>
      </c>
      <c r="AZ1056">
        <v>9</v>
      </c>
      <c r="BA1056" t="s">
        <v>21214</v>
      </c>
      <c r="BB1056" t="s">
        <v>21215</v>
      </c>
      <c r="BC1056">
        <v>0.502</v>
      </c>
      <c r="BD1056" t="s">
        <v>65</v>
      </c>
      <c r="BE1056">
        <v>51</v>
      </c>
      <c r="BF1056">
        <v>19</v>
      </c>
      <c r="BG1056" t="s">
        <v>21216</v>
      </c>
      <c r="BH1056" t="s">
        <v>21217</v>
      </c>
      <c r="BI1056" t="s">
        <v>21218</v>
      </c>
      <c r="BJ1056">
        <v>8.838E-2</v>
      </c>
      <c r="BK1056">
        <v>1</v>
      </c>
      <c r="BL1056" t="s">
        <v>69</v>
      </c>
      <c r="BM1056">
        <v>0.42</v>
      </c>
      <c r="BN1056">
        <v>2.5999999999999999E-2</v>
      </c>
    </row>
    <row r="1057" spans="2:66">
      <c r="B1057">
        <v>1675</v>
      </c>
      <c r="C1057">
        <v>93</v>
      </c>
      <c r="D1057">
        <v>0</v>
      </c>
      <c r="E1057">
        <v>3</v>
      </c>
      <c r="F1057">
        <v>4</v>
      </c>
      <c r="J1057">
        <v>0</v>
      </c>
      <c r="K1057">
        <v>8</v>
      </c>
      <c r="L1057">
        <v>0</v>
      </c>
      <c r="M1057" t="s">
        <v>25022</v>
      </c>
      <c r="N1057">
        <v>3614</v>
      </c>
      <c r="O1057" t="s">
        <v>21219</v>
      </c>
      <c r="P1057" t="s">
        <v>62</v>
      </c>
      <c r="Q1057">
        <v>3583565</v>
      </c>
      <c r="R1057">
        <v>3584320</v>
      </c>
      <c r="S1057" t="s">
        <v>21220</v>
      </c>
      <c r="T1057">
        <v>252</v>
      </c>
      <c r="U1057" t="s">
        <v>108</v>
      </c>
      <c r="V1057">
        <v>44</v>
      </c>
      <c r="W1057" t="str">
        <f>HYPERLINK("Gene3614-zp_tree_all.dnd", "Gene3614-tree")</f>
        <v>Gene3614-tree</v>
      </c>
      <c r="X1057">
        <v>8</v>
      </c>
      <c r="Y1057">
        <v>7</v>
      </c>
      <c r="Z1057">
        <v>8</v>
      </c>
      <c r="AA1057">
        <v>7</v>
      </c>
      <c r="AB1057">
        <v>0.46666999999999997</v>
      </c>
      <c r="AC1057" t="s">
        <v>136</v>
      </c>
      <c r="AD1057" t="s">
        <v>152</v>
      </c>
      <c r="AE1057" t="s">
        <v>62</v>
      </c>
      <c r="AF1057" t="s">
        <v>62</v>
      </c>
      <c r="AG1057">
        <v>3</v>
      </c>
      <c r="AH1057">
        <v>8</v>
      </c>
      <c r="AI1057">
        <v>6</v>
      </c>
      <c r="AJ1057">
        <v>0.57142999999999999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4</v>
      </c>
      <c r="AQ1057">
        <v>2</v>
      </c>
      <c r="AR1057">
        <v>6</v>
      </c>
      <c r="AS1057">
        <v>5</v>
      </c>
      <c r="AT1057">
        <v>0.54544999999999999</v>
      </c>
      <c r="AU1057">
        <v>12</v>
      </c>
      <c r="AV1057">
        <v>11</v>
      </c>
      <c r="AW1057">
        <v>52</v>
      </c>
      <c r="AX1057">
        <v>11</v>
      </c>
      <c r="AY1057">
        <v>35</v>
      </c>
      <c r="AZ1057">
        <v>3</v>
      </c>
      <c r="BA1057" t="s">
        <v>21221</v>
      </c>
      <c r="BB1057" t="s">
        <v>21222</v>
      </c>
      <c r="BC1057">
        <v>0.77500000000000002</v>
      </c>
      <c r="BD1057" t="s">
        <v>65</v>
      </c>
      <c r="BE1057">
        <v>87</v>
      </c>
      <c r="BF1057">
        <v>14</v>
      </c>
      <c r="BG1057" t="s">
        <v>21223</v>
      </c>
      <c r="BH1057" t="s">
        <v>21224</v>
      </c>
      <c r="BI1057" t="s">
        <v>21225</v>
      </c>
      <c r="BJ1057">
        <v>3.8039999999999997E-2</v>
      </c>
      <c r="BK1057">
        <v>1</v>
      </c>
      <c r="BL1057" t="s">
        <v>69</v>
      </c>
      <c r="BM1057">
        <v>-0.58199999999999996</v>
      </c>
      <c r="BN1057">
        <v>-1.3320000000000001</v>
      </c>
    </row>
    <row r="1058" spans="2:66">
      <c r="B1058">
        <v>1677</v>
      </c>
      <c r="C1058">
        <v>263</v>
      </c>
      <c r="D1058">
        <v>0</v>
      </c>
      <c r="E1058">
        <v>2</v>
      </c>
      <c r="F1058">
        <v>0</v>
      </c>
      <c r="J1058">
        <v>0</v>
      </c>
      <c r="K1058">
        <v>6</v>
      </c>
      <c r="L1058">
        <v>2</v>
      </c>
      <c r="M1058" t="s">
        <v>25022</v>
      </c>
      <c r="N1058">
        <v>3615</v>
      </c>
      <c r="O1058" t="s">
        <v>21226</v>
      </c>
      <c r="P1058" t="s">
        <v>62</v>
      </c>
      <c r="Q1058">
        <v>3584320</v>
      </c>
      <c r="R1058">
        <v>3585054</v>
      </c>
      <c r="S1058" t="s">
        <v>21227</v>
      </c>
      <c r="T1058">
        <v>245</v>
      </c>
      <c r="U1058" t="s">
        <v>108</v>
      </c>
      <c r="V1058">
        <v>44</v>
      </c>
      <c r="W1058" t="str">
        <f>HYPERLINK("Gene3615-zp_tree_all.dnd", "Gene3615-tree")</f>
        <v>Gene3615-tree</v>
      </c>
      <c r="X1058">
        <v>4</v>
      </c>
      <c r="Y1058">
        <v>8</v>
      </c>
      <c r="Z1058">
        <v>4</v>
      </c>
      <c r="AA1058">
        <v>8</v>
      </c>
      <c r="AB1058">
        <v>0.66666999999999998</v>
      </c>
      <c r="AC1058" t="s">
        <v>61</v>
      </c>
      <c r="AD1058" t="s">
        <v>136</v>
      </c>
      <c r="AE1058" t="s">
        <v>62</v>
      </c>
      <c r="AF1058" t="s">
        <v>62</v>
      </c>
      <c r="AG1058">
        <v>4</v>
      </c>
      <c r="AH1058">
        <v>8</v>
      </c>
      <c r="AI1058">
        <v>13</v>
      </c>
      <c r="AJ1058">
        <v>0.38095000000000001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2</v>
      </c>
      <c r="AQ1058">
        <v>0</v>
      </c>
      <c r="AR1058">
        <v>2</v>
      </c>
      <c r="AS1058">
        <v>14</v>
      </c>
      <c r="AT1058">
        <v>0.125</v>
      </c>
      <c r="AU1058">
        <v>11</v>
      </c>
      <c r="AV1058">
        <v>9</v>
      </c>
      <c r="AW1058">
        <v>47</v>
      </c>
      <c r="AX1058">
        <v>16</v>
      </c>
      <c r="AY1058">
        <v>13</v>
      </c>
      <c r="AZ1058">
        <v>5</v>
      </c>
      <c r="BA1058" t="s">
        <v>21228</v>
      </c>
      <c r="BB1058" t="s">
        <v>21229</v>
      </c>
      <c r="BC1058">
        <v>0.14699999999999999</v>
      </c>
      <c r="BD1058" t="s">
        <v>65</v>
      </c>
      <c r="BE1058">
        <v>60</v>
      </c>
      <c r="BF1058">
        <v>21</v>
      </c>
      <c r="BG1058" t="s">
        <v>21230</v>
      </c>
      <c r="BH1058" t="s">
        <v>21231</v>
      </c>
      <c r="BI1058" t="s">
        <v>21232</v>
      </c>
      <c r="BJ1058">
        <v>0.11574</v>
      </c>
      <c r="BK1058">
        <v>1</v>
      </c>
      <c r="BL1058" t="s">
        <v>69</v>
      </c>
      <c r="BM1058">
        <v>-0.61899999999999999</v>
      </c>
      <c r="BN1058">
        <v>-1.9750000000000001</v>
      </c>
    </row>
    <row r="1059" spans="2:66">
      <c r="B1059">
        <v>1679</v>
      </c>
      <c r="C1059">
        <v>16</v>
      </c>
      <c r="D1059">
        <v>0</v>
      </c>
      <c r="E1059">
        <v>2</v>
      </c>
      <c r="F1059">
        <v>3</v>
      </c>
      <c r="J1059">
        <v>0</v>
      </c>
      <c r="K1059">
        <v>7</v>
      </c>
      <c r="L1059">
        <v>0</v>
      </c>
      <c r="M1059" t="s">
        <v>25022</v>
      </c>
      <c r="N1059">
        <v>3616</v>
      </c>
      <c r="O1059" t="s">
        <v>21233</v>
      </c>
      <c r="P1059" t="s">
        <v>62</v>
      </c>
      <c r="Q1059">
        <v>3585054</v>
      </c>
      <c r="R1059">
        <v>3585689</v>
      </c>
      <c r="S1059" t="s">
        <v>21234</v>
      </c>
      <c r="T1059">
        <v>212</v>
      </c>
      <c r="U1059" t="s">
        <v>108</v>
      </c>
      <c r="V1059">
        <v>44</v>
      </c>
      <c r="W1059" t="str">
        <f>HYPERLINK("Gene3616-zp_tree_all.dnd", "Gene3616-tree")</f>
        <v>Gene3616-tree</v>
      </c>
      <c r="X1059">
        <v>9</v>
      </c>
      <c r="Y1059">
        <v>5</v>
      </c>
      <c r="Z1059">
        <v>9</v>
      </c>
      <c r="AA1059">
        <v>5</v>
      </c>
      <c r="AB1059">
        <v>0.35714000000000001</v>
      </c>
      <c r="AC1059" t="s">
        <v>135</v>
      </c>
      <c r="AD1059" t="s">
        <v>199</v>
      </c>
      <c r="AE1059" t="s">
        <v>62</v>
      </c>
      <c r="AF1059" t="s">
        <v>62</v>
      </c>
      <c r="AG1059">
        <v>3</v>
      </c>
      <c r="AH1059">
        <v>7</v>
      </c>
      <c r="AI1059">
        <v>13</v>
      </c>
      <c r="AJ1059">
        <v>0.35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4</v>
      </c>
      <c r="AQ1059">
        <v>0</v>
      </c>
      <c r="AR1059">
        <v>4</v>
      </c>
      <c r="AS1059">
        <v>6</v>
      </c>
      <c r="AT1059">
        <v>0.4</v>
      </c>
      <c r="AU1059">
        <v>11</v>
      </c>
      <c r="AV1059">
        <v>10</v>
      </c>
      <c r="AW1059">
        <v>33</v>
      </c>
      <c r="AX1059">
        <v>10</v>
      </c>
      <c r="AY1059">
        <v>27</v>
      </c>
      <c r="AZ1059">
        <v>10</v>
      </c>
      <c r="BA1059" t="s">
        <v>21235</v>
      </c>
      <c r="BB1059" t="s">
        <v>21236</v>
      </c>
      <c r="BC1059">
        <v>0.19800000000000001</v>
      </c>
      <c r="BD1059" t="s">
        <v>65</v>
      </c>
      <c r="BE1059">
        <v>60</v>
      </c>
      <c r="BF1059">
        <v>20</v>
      </c>
      <c r="BG1059" t="s">
        <v>21237</v>
      </c>
      <c r="BH1059" t="s">
        <v>21238</v>
      </c>
      <c r="BI1059" t="s">
        <v>21239</v>
      </c>
      <c r="BJ1059">
        <v>0.11282</v>
      </c>
      <c r="BK1059">
        <v>1</v>
      </c>
      <c r="BL1059" t="s">
        <v>69</v>
      </c>
      <c r="BM1059">
        <v>-0.44900000000000001</v>
      </c>
      <c r="BN1059">
        <v>-0.44400000000000001</v>
      </c>
    </row>
    <row r="1060" spans="2:66">
      <c r="B1060">
        <v>1682</v>
      </c>
      <c r="C1060">
        <v>152</v>
      </c>
      <c r="D1060">
        <v>0</v>
      </c>
      <c r="E1060">
        <v>2</v>
      </c>
      <c r="F1060">
        <v>4</v>
      </c>
      <c r="J1060">
        <v>0</v>
      </c>
      <c r="K1060">
        <v>0</v>
      </c>
      <c r="L1060">
        <v>0</v>
      </c>
      <c r="M1060" t="s">
        <v>25022</v>
      </c>
      <c r="N1060">
        <v>3617</v>
      </c>
      <c r="O1060" t="s">
        <v>21240</v>
      </c>
      <c r="P1060" t="s">
        <v>62</v>
      </c>
      <c r="Q1060">
        <v>3585693</v>
      </c>
      <c r="R1060">
        <v>3586274</v>
      </c>
      <c r="S1060" t="s">
        <v>21241</v>
      </c>
      <c r="T1060">
        <v>194</v>
      </c>
      <c r="U1060" t="s">
        <v>108</v>
      </c>
      <c r="V1060">
        <v>44</v>
      </c>
      <c r="W1060" t="str">
        <f>HYPERLINK("Gene3617-zp_tree_all.dnd", "Gene3617-tree")</f>
        <v>Gene3617-tree</v>
      </c>
      <c r="X1060">
        <v>8</v>
      </c>
      <c r="Y1060">
        <v>3</v>
      </c>
      <c r="Z1060">
        <v>8</v>
      </c>
      <c r="AA1060">
        <v>3</v>
      </c>
      <c r="AB1060">
        <v>0.27272999999999997</v>
      </c>
      <c r="AC1060" t="s">
        <v>136</v>
      </c>
      <c r="AD1060" t="s">
        <v>324</v>
      </c>
      <c r="AE1060" t="s">
        <v>62</v>
      </c>
      <c r="AF1060" t="s">
        <v>62</v>
      </c>
      <c r="AG1060">
        <v>0</v>
      </c>
      <c r="AH1060">
        <v>0</v>
      </c>
      <c r="AI1060">
        <v>4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3</v>
      </c>
      <c r="AT1060">
        <v>0</v>
      </c>
      <c r="AU1060">
        <v>9</v>
      </c>
      <c r="AV1060">
        <v>6</v>
      </c>
      <c r="AW1060">
        <v>27</v>
      </c>
      <c r="AX1060">
        <v>3</v>
      </c>
      <c r="AY1060">
        <v>6</v>
      </c>
      <c r="AZ1060">
        <v>1</v>
      </c>
      <c r="BA1060" t="s">
        <v>21242</v>
      </c>
      <c r="BB1060" t="s">
        <v>21243</v>
      </c>
      <c r="BC1060">
        <v>0.154</v>
      </c>
      <c r="BD1060" t="s">
        <v>65</v>
      </c>
      <c r="BE1060">
        <v>33</v>
      </c>
      <c r="BF1060">
        <v>4</v>
      </c>
      <c r="BG1060" t="s">
        <v>21244</v>
      </c>
      <c r="BH1060" t="s">
        <v>21245</v>
      </c>
      <c r="BI1060" t="s">
        <v>21246</v>
      </c>
      <c r="BJ1060">
        <v>4.326E-2</v>
      </c>
      <c r="BK1060">
        <v>1</v>
      </c>
      <c r="BL1060" t="s">
        <v>69</v>
      </c>
      <c r="BM1060">
        <v>0.23</v>
      </c>
      <c r="BN1060">
        <v>0.61299999999999999</v>
      </c>
    </row>
    <row r="1061" spans="2:66">
      <c r="B1061">
        <v>1684</v>
      </c>
      <c r="C1061">
        <v>123</v>
      </c>
      <c r="D1061">
        <v>0</v>
      </c>
      <c r="E1061">
        <v>8</v>
      </c>
      <c r="F1061">
        <v>0</v>
      </c>
      <c r="J1061">
        <v>2</v>
      </c>
      <c r="K1061">
        <v>6</v>
      </c>
      <c r="L1061">
        <v>0</v>
      </c>
      <c r="M1061" t="s">
        <v>25022</v>
      </c>
      <c r="N1061">
        <v>3618</v>
      </c>
      <c r="O1061" t="s">
        <v>21247</v>
      </c>
      <c r="P1061" t="s">
        <v>62</v>
      </c>
      <c r="Q1061">
        <v>3586274</v>
      </c>
      <c r="R1061">
        <v>3587554</v>
      </c>
      <c r="S1061" t="s">
        <v>21248</v>
      </c>
      <c r="T1061">
        <v>427</v>
      </c>
      <c r="U1061" t="s">
        <v>108</v>
      </c>
      <c r="V1061">
        <v>44</v>
      </c>
      <c r="W1061" t="str">
        <f>HYPERLINK("Gene3618-zp_tree_all.dnd", "Gene3618-tree")</f>
        <v>Gene3618-tree</v>
      </c>
      <c r="X1061">
        <v>6</v>
      </c>
      <c r="Y1061">
        <v>8</v>
      </c>
      <c r="Z1061">
        <v>6</v>
      </c>
      <c r="AA1061">
        <v>8</v>
      </c>
      <c r="AB1061">
        <v>0.57142999999999999</v>
      </c>
      <c r="AC1061" t="s">
        <v>90</v>
      </c>
      <c r="AD1061" t="s">
        <v>136</v>
      </c>
      <c r="AE1061" t="s">
        <v>62</v>
      </c>
      <c r="AF1061" t="s">
        <v>62</v>
      </c>
      <c r="AG1061">
        <v>3</v>
      </c>
      <c r="AH1061">
        <v>8</v>
      </c>
      <c r="AI1061">
        <v>21</v>
      </c>
      <c r="AJ1061">
        <v>0.27585999999999999</v>
      </c>
      <c r="AK1061">
        <v>0</v>
      </c>
      <c r="AL1061">
        <v>0</v>
      </c>
      <c r="AM1061">
        <v>0</v>
      </c>
      <c r="AN1061">
        <v>3</v>
      </c>
      <c r="AO1061">
        <v>0</v>
      </c>
      <c r="AP1061">
        <v>0</v>
      </c>
      <c r="AQ1061">
        <v>5</v>
      </c>
      <c r="AR1061">
        <v>5</v>
      </c>
      <c r="AS1061">
        <v>19</v>
      </c>
      <c r="AT1061">
        <v>0.20832999999999999</v>
      </c>
      <c r="AU1061">
        <v>12</v>
      </c>
      <c r="AV1061">
        <v>10</v>
      </c>
      <c r="AW1061">
        <v>41</v>
      </c>
      <c r="AX1061">
        <v>26</v>
      </c>
      <c r="AY1061">
        <v>28</v>
      </c>
      <c r="AZ1061">
        <v>5</v>
      </c>
      <c r="BA1061" t="s">
        <v>21249</v>
      </c>
      <c r="BB1061" t="s">
        <v>21250</v>
      </c>
      <c r="BC1061">
        <v>1.675</v>
      </c>
      <c r="BD1061" t="s">
        <v>65</v>
      </c>
      <c r="BE1061">
        <v>69</v>
      </c>
      <c r="BF1061">
        <v>31</v>
      </c>
      <c r="BG1061" t="s">
        <v>21251</v>
      </c>
      <c r="BH1061" t="s">
        <v>21252</v>
      </c>
      <c r="BI1061" t="s">
        <v>21253</v>
      </c>
      <c r="BJ1061">
        <v>0.12146</v>
      </c>
      <c r="BK1061">
        <v>1</v>
      </c>
      <c r="BL1061" t="s">
        <v>69</v>
      </c>
      <c r="BM1061">
        <v>-0.80500000000000005</v>
      </c>
      <c r="BN1061">
        <v>-1.3959999999999999</v>
      </c>
    </row>
    <row r="1062" spans="2:66">
      <c r="B1062">
        <v>1685</v>
      </c>
      <c r="C1062">
        <v>429</v>
      </c>
      <c r="D1062">
        <v>0</v>
      </c>
      <c r="E1062">
        <v>5</v>
      </c>
      <c r="F1062">
        <v>0</v>
      </c>
      <c r="J1062">
        <v>0</v>
      </c>
      <c r="K1062">
        <v>2</v>
      </c>
      <c r="L1062">
        <v>0</v>
      </c>
      <c r="M1062" t="s">
        <v>25022</v>
      </c>
      <c r="N1062">
        <v>3619</v>
      </c>
      <c r="O1062" t="s">
        <v>21254</v>
      </c>
      <c r="P1062" t="s">
        <v>62</v>
      </c>
      <c r="Q1062">
        <v>3587554</v>
      </c>
      <c r="R1062">
        <v>3588192</v>
      </c>
      <c r="S1062" t="s">
        <v>21255</v>
      </c>
      <c r="T1062">
        <v>213</v>
      </c>
      <c r="U1062" t="s">
        <v>108</v>
      </c>
      <c r="V1062">
        <v>44</v>
      </c>
      <c r="W1062" t="str">
        <f>HYPERLINK("Gene3619-zp_tree_all.dnd", "Gene3619-tree")</f>
        <v>Gene3619-tree</v>
      </c>
      <c r="X1062">
        <v>10</v>
      </c>
      <c r="Y1062">
        <v>3</v>
      </c>
      <c r="Z1062">
        <v>10</v>
      </c>
      <c r="AA1062">
        <v>3</v>
      </c>
      <c r="AB1062">
        <v>0.23077</v>
      </c>
      <c r="AC1062" t="s">
        <v>117</v>
      </c>
      <c r="AD1062" t="s">
        <v>324</v>
      </c>
      <c r="AE1062" t="s">
        <v>62</v>
      </c>
      <c r="AF1062" t="s">
        <v>62</v>
      </c>
      <c r="AG1062">
        <v>1</v>
      </c>
      <c r="AH1062">
        <v>2</v>
      </c>
      <c r="AI1062">
        <v>2</v>
      </c>
      <c r="AJ1062">
        <v>0.5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2</v>
      </c>
      <c r="AQ1062">
        <v>0</v>
      </c>
      <c r="AR1062">
        <v>2</v>
      </c>
      <c r="AS1062">
        <v>2</v>
      </c>
      <c r="AT1062">
        <v>0.5</v>
      </c>
      <c r="AU1062">
        <v>10</v>
      </c>
      <c r="AV1062">
        <v>6</v>
      </c>
      <c r="AW1062">
        <v>16</v>
      </c>
      <c r="AX1062">
        <v>4</v>
      </c>
      <c r="AY1062">
        <v>12</v>
      </c>
      <c r="AZ1062">
        <v>0</v>
      </c>
      <c r="BA1062" t="s">
        <v>21256</v>
      </c>
      <c r="BB1062" t="s">
        <v>193</v>
      </c>
      <c r="BC1062">
        <v>0.97499999999999998</v>
      </c>
      <c r="BD1062" t="s">
        <v>65</v>
      </c>
      <c r="BE1062">
        <v>28</v>
      </c>
      <c r="BF1062">
        <v>4</v>
      </c>
      <c r="BG1062" t="s">
        <v>2245</v>
      </c>
      <c r="BH1062" t="s">
        <v>21257</v>
      </c>
      <c r="BI1062" t="s">
        <v>21258</v>
      </c>
      <c r="BJ1062">
        <v>2.896E-2</v>
      </c>
      <c r="BK1062">
        <v>1</v>
      </c>
      <c r="BL1062" t="s">
        <v>69</v>
      </c>
      <c r="BM1062">
        <v>-0.45200000000000001</v>
      </c>
      <c r="BN1062">
        <v>-0.65400000000000003</v>
      </c>
    </row>
    <row r="1063" spans="2:66">
      <c r="B1063">
        <v>1687</v>
      </c>
      <c r="C1063">
        <v>69</v>
      </c>
      <c r="D1063">
        <v>0</v>
      </c>
      <c r="E1063">
        <v>7</v>
      </c>
      <c r="F1063">
        <v>4</v>
      </c>
      <c r="J1063">
        <v>0</v>
      </c>
      <c r="K1063">
        <v>7</v>
      </c>
      <c r="L1063">
        <v>1</v>
      </c>
      <c r="M1063" t="s">
        <v>25022</v>
      </c>
      <c r="N1063">
        <v>3620</v>
      </c>
      <c r="O1063" t="s">
        <v>21259</v>
      </c>
      <c r="P1063" t="s">
        <v>62</v>
      </c>
      <c r="Q1063">
        <v>3588188</v>
      </c>
      <c r="R1063">
        <v>3589360</v>
      </c>
      <c r="S1063" t="s">
        <v>21260</v>
      </c>
      <c r="T1063">
        <v>391</v>
      </c>
      <c r="U1063" t="s">
        <v>108</v>
      </c>
      <c r="V1063">
        <v>44</v>
      </c>
      <c r="W1063" t="str">
        <f>HYPERLINK("Gene3620-zp_tree_all.dnd", "Gene3620-tree")</f>
        <v>Gene3620-tree</v>
      </c>
      <c r="X1063">
        <v>5</v>
      </c>
      <c r="Y1063">
        <v>7</v>
      </c>
      <c r="Z1063">
        <v>5</v>
      </c>
      <c r="AA1063">
        <v>7</v>
      </c>
      <c r="AB1063">
        <v>0.58333000000000002</v>
      </c>
      <c r="AC1063" t="s">
        <v>199</v>
      </c>
      <c r="AD1063" t="s">
        <v>152</v>
      </c>
      <c r="AE1063" t="s">
        <v>62</v>
      </c>
      <c r="AF1063" t="s">
        <v>62</v>
      </c>
      <c r="AG1063">
        <v>3</v>
      </c>
      <c r="AH1063">
        <v>8</v>
      </c>
      <c r="AI1063">
        <v>7</v>
      </c>
      <c r="AJ1063">
        <v>0.53332999999999997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4</v>
      </c>
      <c r="AQ1063">
        <v>1</v>
      </c>
      <c r="AR1063">
        <v>5</v>
      </c>
      <c r="AS1063">
        <v>8</v>
      </c>
      <c r="AT1063">
        <v>0.38462000000000002</v>
      </c>
      <c r="AU1063">
        <v>12</v>
      </c>
      <c r="AV1063">
        <v>9</v>
      </c>
      <c r="AW1063">
        <v>31</v>
      </c>
      <c r="AX1063">
        <v>13</v>
      </c>
      <c r="AY1063">
        <v>17</v>
      </c>
      <c r="AZ1063">
        <v>2</v>
      </c>
      <c r="BA1063" t="s">
        <v>21261</v>
      </c>
      <c r="BB1063" t="s">
        <v>21262</v>
      </c>
      <c r="BC1063">
        <v>1.3440000000000001</v>
      </c>
      <c r="BD1063" t="s">
        <v>65</v>
      </c>
      <c r="BE1063">
        <v>48</v>
      </c>
      <c r="BF1063">
        <v>15</v>
      </c>
      <c r="BG1063" t="s">
        <v>13193</v>
      </c>
      <c r="BH1063" t="s">
        <v>21263</v>
      </c>
      <c r="BI1063" t="s">
        <v>21264</v>
      </c>
      <c r="BJ1063">
        <v>7.6960000000000001E-2</v>
      </c>
      <c r="BK1063">
        <v>1</v>
      </c>
      <c r="BL1063" t="s">
        <v>69</v>
      </c>
      <c r="BM1063">
        <v>-0.76500000000000001</v>
      </c>
      <c r="BN1063">
        <v>-2.161</v>
      </c>
    </row>
    <row r="1064" spans="2:66">
      <c r="B1064">
        <v>1688</v>
      </c>
      <c r="C1064">
        <v>283</v>
      </c>
      <c r="D1064">
        <v>0</v>
      </c>
      <c r="E1064">
        <v>10</v>
      </c>
      <c r="F1064">
        <v>8</v>
      </c>
      <c r="J1064">
        <v>0</v>
      </c>
      <c r="K1064">
        <v>6</v>
      </c>
      <c r="L1064">
        <v>0</v>
      </c>
      <c r="M1064" t="s">
        <v>25022</v>
      </c>
      <c r="N1064">
        <v>3623</v>
      </c>
      <c r="O1064" t="s">
        <v>21279</v>
      </c>
      <c r="P1064" t="s">
        <v>62</v>
      </c>
      <c r="Q1064">
        <v>3591291</v>
      </c>
      <c r="R1064">
        <v>3591806</v>
      </c>
      <c r="S1064" t="s">
        <v>21280</v>
      </c>
      <c r="T1064">
        <v>172</v>
      </c>
      <c r="U1064" t="s">
        <v>6390</v>
      </c>
      <c r="V1064">
        <v>45</v>
      </c>
      <c r="W1064" t="str">
        <f>HYPERLINK("Gene3623-zp_tree_all.dnd", "Gene3623-tree")</f>
        <v>Gene3623-tree</v>
      </c>
      <c r="X1064">
        <v>6</v>
      </c>
      <c r="Y1064">
        <v>6</v>
      </c>
      <c r="Z1064">
        <v>6</v>
      </c>
      <c r="AA1064">
        <v>6</v>
      </c>
      <c r="AB1064">
        <v>0.5</v>
      </c>
      <c r="AC1064" t="s">
        <v>90</v>
      </c>
      <c r="AD1064" t="s">
        <v>90</v>
      </c>
      <c r="AE1064" t="s">
        <v>62</v>
      </c>
      <c r="AF1064" t="s">
        <v>62</v>
      </c>
      <c r="AG1064">
        <v>2</v>
      </c>
      <c r="AH1064">
        <v>6</v>
      </c>
      <c r="AI1064">
        <v>6</v>
      </c>
      <c r="AJ1064">
        <v>0.5</v>
      </c>
      <c r="AK1064">
        <v>0</v>
      </c>
      <c r="AL1064">
        <v>0</v>
      </c>
      <c r="AM1064">
        <v>0</v>
      </c>
      <c r="AN1064">
        <v>2</v>
      </c>
      <c r="AO1064">
        <v>0</v>
      </c>
      <c r="AP1064">
        <v>2</v>
      </c>
      <c r="AQ1064">
        <v>0</v>
      </c>
      <c r="AR1064">
        <v>2</v>
      </c>
      <c r="AS1064">
        <v>6</v>
      </c>
      <c r="AT1064">
        <v>0.25</v>
      </c>
      <c r="AU1064">
        <v>7</v>
      </c>
      <c r="AV1064">
        <v>7</v>
      </c>
      <c r="AW1064">
        <v>24</v>
      </c>
      <c r="AX1064">
        <v>6</v>
      </c>
      <c r="AY1064">
        <v>6</v>
      </c>
      <c r="AZ1064">
        <v>6</v>
      </c>
      <c r="BA1064" t="s">
        <v>21281</v>
      </c>
      <c r="BB1064" t="s">
        <v>21282</v>
      </c>
      <c r="BC1064">
        <v>1.129</v>
      </c>
      <c r="BD1064" t="s">
        <v>65</v>
      </c>
      <c r="BE1064">
        <v>30</v>
      </c>
      <c r="BF1064">
        <v>12</v>
      </c>
      <c r="BG1064" t="s">
        <v>21283</v>
      </c>
      <c r="BH1064" t="s">
        <v>21284</v>
      </c>
      <c r="BI1064" t="s">
        <v>21285</v>
      </c>
      <c r="BJ1064">
        <v>0.11067</v>
      </c>
      <c r="BK1064">
        <v>1</v>
      </c>
      <c r="BL1064" t="s">
        <v>69</v>
      </c>
      <c r="BM1064">
        <v>-1.0640000000000001</v>
      </c>
      <c r="BN1064">
        <v>-3.67</v>
      </c>
    </row>
    <row r="1065" spans="2:66">
      <c r="B1065">
        <v>1691</v>
      </c>
      <c r="C1065">
        <v>62</v>
      </c>
      <c r="D1065">
        <v>0</v>
      </c>
      <c r="E1065">
        <v>3</v>
      </c>
      <c r="F1065">
        <v>0</v>
      </c>
      <c r="J1065">
        <v>0</v>
      </c>
      <c r="K1065">
        <v>5</v>
      </c>
      <c r="L1065">
        <v>0</v>
      </c>
      <c r="M1065" t="s">
        <v>25022</v>
      </c>
      <c r="N1065">
        <v>3624</v>
      </c>
      <c r="O1065" t="s">
        <v>21286</v>
      </c>
      <c r="P1065" t="s">
        <v>62</v>
      </c>
      <c r="Q1065">
        <v>3591813</v>
      </c>
      <c r="R1065">
        <v>3592460</v>
      </c>
      <c r="S1065" t="s">
        <v>21287</v>
      </c>
      <c r="T1065">
        <v>216</v>
      </c>
      <c r="U1065" t="s">
        <v>108</v>
      </c>
      <c r="V1065">
        <v>44</v>
      </c>
      <c r="W1065" t="str">
        <f>HYPERLINK("Gene3624-zp_tree_all.dnd", "Gene3624-tree")</f>
        <v>Gene3624-tree</v>
      </c>
      <c r="X1065">
        <v>9</v>
      </c>
      <c r="Y1065">
        <v>5</v>
      </c>
      <c r="Z1065">
        <v>9</v>
      </c>
      <c r="AA1065">
        <v>5</v>
      </c>
      <c r="AB1065">
        <v>0.35714000000000001</v>
      </c>
      <c r="AC1065" t="s">
        <v>135</v>
      </c>
      <c r="AD1065" t="s">
        <v>199</v>
      </c>
      <c r="AE1065" t="s">
        <v>62</v>
      </c>
      <c r="AF1065" t="s">
        <v>62</v>
      </c>
      <c r="AG1065">
        <v>2</v>
      </c>
      <c r="AH1065">
        <v>5</v>
      </c>
      <c r="AI1065">
        <v>6</v>
      </c>
      <c r="AJ1065">
        <v>0.45455000000000001</v>
      </c>
      <c r="AK1065">
        <v>0</v>
      </c>
      <c r="AL1065">
        <v>0</v>
      </c>
      <c r="AM1065">
        <v>0</v>
      </c>
      <c r="AN1065">
        <v>2</v>
      </c>
      <c r="AO1065">
        <v>0</v>
      </c>
      <c r="AP1065">
        <v>4</v>
      </c>
      <c r="AQ1065">
        <v>0</v>
      </c>
      <c r="AR1065">
        <v>4</v>
      </c>
      <c r="AS1065">
        <v>2</v>
      </c>
      <c r="AT1065">
        <v>0.66666999999999998</v>
      </c>
      <c r="AU1065">
        <v>9</v>
      </c>
      <c r="AV1065">
        <v>9</v>
      </c>
      <c r="AW1065">
        <v>32</v>
      </c>
      <c r="AX1065">
        <v>6</v>
      </c>
      <c r="AY1065">
        <v>14</v>
      </c>
      <c r="AZ1065">
        <v>5</v>
      </c>
      <c r="BA1065" t="s">
        <v>21288</v>
      </c>
      <c r="BB1065" t="s">
        <v>21289</v>
      </c>
      <c r="BC1065">
        <v>0.47899999999999998</v>
      </c>
      <c r="BD1065" t="s">
        <v>65</v>
      </c>
      <c r="BE1065">
        <v>46</v>
      </c>
      <c r="BF1065">
        <v>11</v>
      </c>
      <c r="BG1065" t="s">
        <v>21290</v>
      </c>
      <c r="BH1065" t="s">
        <v>21291</v>
      </c>
      <c r="BI1065" t="s">
        <v>19394</v>
      </c>
      <c r="BJ1065">
        <v>7.4649999999999994E-2</v>
      </c>
      <c r="BK1065">
        <v>1</v>
      </c>
      <c r="BL1065" t="s">
        <v>69</v>
      </c>
      <c r="BM1065">
        <v>-0.53400000000000003</v>
      </c>
      <c r="BN1065">
        <v>-1.484</v>
      </c>
    </row>
    <row r="1066" spans="2:66">
      <c r="B1066">
        <v>1692</v>
      </c>
      <c r="C1066">
        <v>126</v>
      </c>
      <c r="D1066">
        <v>0</v>
      </c>
      <c r="E1066">
        <v>2</v>
      </c>
      <c r="F1066">
        <v>0</v>
      </c>
      <c r="J1066">
        <v>0</v>
      </c>
      <c r="K1066">
        <v>12</v>
      </c>
      <c r="L1066">
        <v>1</v>
      </c>
      <c r="M1066" t="s">
        <v>25022</v>
      </c>
      <c r="N1066">
        <v>3625</v>
      </c>
      <c r="O1066" t="s">
        <v>21292</v>
      </c>
      <c r="P1066" t="s">
        <v>62</v>
      </c>
      <c r="Q1066">
        <v>3592460</v>
      </c>
      <c r="R1066">
        <v>3593395</v>
      </c>
      <c r="S1066" t="s">
        <v>21293</v>
      </c>
      <c r="T1066">
        <v>312</v>
      </c>
      <c r="U1066" t="s">
        <v>108</v>
      </c>
      <c r="V1066">
        <v>44</v>
      </c>
      <c r="W1066" t="str">
        <f>HYPERLINK("Gene3625-zp_tree_all.dnd", "Gene3625-tree")</f>
        <v>Gene3625-tree</v>
      </c>
      <c r="X1066">
        <v>3</v>
      </c>
      <c r="Y1066">
        <v>11</v>
      </c>
      <c r="Z1066">
        <v>3</v>
      </c>
      <c r="AA1066">
        <v>11</v>
      </c>
      <c r="AB1066">
        <v>0.78571000000000002</v>
      </c>
      <c r="AC1066" t="s">
        <v>324</v>
      </c>
      <c r="AD1066" t="s">
        <v>73</v>
      </c>
      <c r="AE1066">
        <v>305230034.74400002</v>
      </c>
      <c r="AF1066" t="s">
        <v>267</v>
      </c>
      <c r="AG1066">
        <v>5</v>
      </c>
      <c r="AH1066">
        <v>13</v>
      </c>
      <c r="AI1066">
        <v>14</v>
      </c>
      <c r="AJ1066">
        <v>0.48148000000000002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3</v>
      </c>
      <c r="AQ1066">
        <v>0</v>
      </c>
      <c r="AR1066">
        <v>3</v>
      </c>
      <c r="AS1066">
        <v>15</v>
      </c>
      <c r="AT1066">
        <v>0.16667000000000001</v>
      </c>
      <c r="AU1066">
        <v>13</v>
      </c>
      <c r="AV1066">
        <v>10</v>
      </c>
      <c r="AW1066">
        <v>38</v>
      </c>
      <c r="AX1066">
        <v>15</v>
      </c>
      <c r="AY1066">
        <v>44</v>
      </c>
      <c r="AZ1066">
        <v>12</v>
      </c>
      <c r="BA1066" t="s">
        <v>21294</v>
      </c>
      <c r="BB1066" t="s">
        <v>21295</v>
      </c>
      <c r="BC1066">
        <v>0.67</v>
      </c>
      <c r="BD1066" t="s">
        <v>65</v>
      </c>
      <c r="BE1066">
        <v>82</v>
      </c>
      <c r="BF1066">
        <v>27</v>
      </c>
      <c r="BG1066" t="s">
        <v>21296</v>
      </c>
      <c r="BH1066" t="s">
        <v>21297</v>
      </c>
      <c r="BI1066" t="s">
        <v>21298</v>
      </c>
      <c r="BJ1066">
        <v>0.11076999999999999</v>
      </c>
      <c r="BK1066">
        <v>1</v>
      </c>
      <c r="BL1066" t="s">
        <v>69</v>
      </c>
      <c r="BM1066">
        <v>-9.7000000000000003E-2</v>
      </c>
      <c r="BN1066">
        <v>-1.04</v>
      </c>
    </row>
    <row r="1067" spans="2:66">
      <c r="B1067">
        <v>1696</v>
      </c>
      <c r="C1067">
        <v>43</v>
      </c>
      <c r="D1067">
        <v>0</v>
      </c>
      <c r="E1067">
        <v>8</v>
      </c>
      <c r="F1067">
        <v>0</v>
      </c>
      <c r="J1067">
        <v>0</v>
      </c>
      <c r="K1067">
        <v>2</v>
      </c>
      <c r="L1067">
        <v>0</v>
      </c>
      <c r="M1067" t="s">
        <v>25022</v>
      </c>
      <c r="N1067">
        <v>3626</v>
      </c>
      <c r="O1067" t="s">
        <v>21299</v>
      </c>
      <c r="P1067" t="s">
        <v>62</v>
      </c>
      <c r="Q1067">
        <v>3593422</v>
      </c>
      <c r="R1067">
        <v>3594228</v>
      </c>
      <c r="S1067" t="s">
        <v>21300</v>
      </c>
      <c r="T1067">
        <v>269</v>
      </c>
      <c r="U1067" t="s">
        <v>108</v>
      </c>
      <c r="V1067">
        <v>44</v>
      </c>
      <c r="W1067" t="str">
        <f>HYPERLINK("Gene3626-zp_tree_all.dnd", "Gene3626-tree")</f>
        <v>Gene3626-tree</v>
      </c>
      <c r="X1067">
        <v>9</v>
      </c>
      <c r="Y1067">
        <v>5</v>
      </c>
      <c r="Z1067">
        <v>9</v>
      </c>
      <c r="AA1067">
        <v>5</v>
      </c>
      <c r="AB1067">
        <v>0.35714000000000001</v>
      </c>
      <c r="AC1067" t="s">
        <v>135</v>
      </c>
      <c r="AD1067" t="s">
        <v>199</v>
      </c>
      <c r="AE1067" t="s">
        <v>62</v>
      </c>
      <c r="AF1067" t="s">
        <v>62</v>
      </c>
      <c r="AG1067">
        <v>1</v>
      </c>
      <c r="AH1067">
        <v>2</v>
      </c>
      <c r="AI1067">
        <v>5</v>
      </c>
      <c r="AJ1067">
        <v>0.28571000000000002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5</v>
      </c>
      <c r="AT1067">
        <v>0</v>
      </c>
      <c r="AU1067">
        <v>11</v>
      </c>
      <c r="AV1067">
        <v>9</v>
      </c>
      <c r="AW1067">
        <v>29</v>
      </c>
      <c r="AX1067">
        <v>4</v>
      </c>
      <c r="AY1067">
        <v>15</v>
      </c>
      <c r="AZ1067">
        <v>3</v>
      </c>
      <c r="BA1067" t="s">
        <v>21301</v>
      </c>
      <c r="BB1067" t="s">
        <v>21302</v>
      </c>
      <c r="BC1067">
        <v>0.374</v>
      </c>
      <c r="BD1067" t="s">
        <v>65</v>
      </c>
      <c r="BE1067">
        <v>44</v>
      </c>
      <c r="BF1067">
        <v>7</v>
      </c>
      <c r="BG1067" t="s">
        <v>21303</v>
      </c>
      <c r="BH1067" t="s">
        <v>21304</v>
      </c>
      <c r="BI1067" t="s">
        <v>21305</v>
      </c>
      <c r="BJ1067">
        <v>5.108E-2</v>
      </c>
      <c r="BK1067">
        <v>1</v>
      </c>
      <c r="BL1067" t="s">
        <v>69</v>
      </c>
      <c r="BM1067">
        <v>-0.52700000000000002</v>
      </c>
      <c r="BN1067">
        <v>-0.622</v>
      </c>
    </row>
    <row r="1068" spans="2:66">
      <c r="B1068">
        <v>1702</v>
      </c>
      <c r="C1068">
        <v>162</v>
      </c>
      <c r="D1068">
        <v>0</v>
      </c>
      <c r="E1068">
        <v>4</v>
      </c>
      <c r="F1068">
        <v>0</v>
      </c>
      <c r="J1068">
        <v>0</v>
      </c>
      <c r="K1068">
        <v>2</v>
      </c>
      <c r="L1068">
        <v>0</v>
      </c>
      <c r="M1068" t="s">
        <v>25022</v>
      </c>
      <c r="N1068">
        <v>3627</v>
      </c>
      <c r="O1068" t="s">
        <v>21306</v>
      </c>
      <c r="P1068" t="s">
        <v>62</v>
      </c>
      <c r="Q1068">
        <v>3594245</v>
      </c>
      <c r="R1068">
        <v>3595174</v>
      </c>
      <c r="S1068" t="s">
        <v>21307</v>
      </c>
      <c r="T1068">
        <v>310</v>
      </c>
      <c r="U1068" t="s">
        <v>108</v>
      </c>
      <c r="V1068">
        <v>44</v>
      </c>
      <c r="W1068" t="str">
        <f>HYPERLINK("Gene3627-zp_tree_all.dnd", "Gene3627-tree")</f>
        <v>Gene3627-tree</v>
      </c>
      <c r="X1068">
        <v>11</v>
      </c>
      <c r="Y1068">
        <v>2</v>
      </c>
      <c r="Z1068">
        <v>11</v>
      </c>
      <c r="AA1068">
        <v>2</v>
      </c>
      <c r="AB1068">
        <v>0.15384999999999999</v>
      </c>
      <c r="AC1068" t="s">
        <v>73</v>
      </c>
      <c r="AD1068" t="s">
        <v>81</v>
      </c>
      <c r="AE1068" t="s">
        <v>62</v>
      </c>
      <c r="AF1068" t="s">
        <v>62</v>
      </c>
      <c r="AG1068">
        <v>1</v>
      </c>
      <c r="AH1068">
        <v>2</v>
      </c>
      <c r="AI1068">
        <v>2</v>
      </c>
      <c r="AJ1068">
        <v>0.5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2</v>
      </c>
      <c r="AQ1068">
        <v>0</v>
      </c>
      <c r="AR1068">
        <v>2</v>
      </c>
      <c r="AS1068">
        <v>1</v>
      </c>
      <c r="AT1068">
        <v>0.66666999999999998</v>
      </c>
      <c r="AU1068">
        <v>11</v>
      </c>
      <c r="AV1068">
        <v>7</v>
      </c>
      <c r="AW1068">
        <v>33</v>
      </c>
      <c r="AX1068">
        <v>3</v>
      </c>
      <c r="AY1068">
        <v>27</v>
      </c>
      <c r="AZ1068">
        <v>1</v>
      </c>
      <c r="BA1068" t="s">
        <v>21308</v>
      </c>
      <c r="BB1068" t="s">
        <v>21309</v>
      </c>
      <c r="BC1068">
        <v>0.30199999999999999</v>
      </c>
      <c r="BD1068" t="s">
        <v>65</v>
      </c>
      <c r="BE1068">
        <v>60</v>
      </c>
      <c r="BF1068">
        <v>4</v>
      </c>
      <c r="BG1068" t="s">
        <v>21310</v>
      </c>
      <c r="BH1068" t="s">
        <v>21311</v>
      </c>
      <c r="BI1068" t="s">
        <v>1344</v>
      </c>
      <c r="BJ1068">
        <v>1.6920000000000001E-2</v>
      </c>
      <c r="BK1068">
        <v>1</v>
      </c>
      <c r="BL1068" t="s">
        <v>69</v>
      </c>
      <c r="BM1068">
        <v>-1.0069999999999999</v>
      </c>
      <c r="BN1068">
        <v>-0.121</v>
      </c>
    </row>
    <row r="1069" spans="2:66">
      <c r="B1069">
        <v>1703</v>
      </c>
      <c r="C1069">
        <v>79</v>
      </c>
      <c r="D1069">
        <v>0</v>
      </c>
      <c r="E1069">
        <v>5</v>
      </c>
      <c r="F1069">
        <v>0</v>
      </c>
      <c r="J1069">
        <v>0</v>
      </c>
      <c r="K1069">
        <v>45</v>
      </c>
      <c r="L1069">
        <v>3</v>
      </c>
      <c r="M1069" t="s">
        <v>25022</v>
      </c>
      <c r="N1069">
        <v>3631</v>
      </c>
      <c r="O1069" t="s">
        <v>21332</v>
      </c>
      <c r="P1069" t="s">
        <v>62</v>
      </c>
      <c r="Q1069">
        <v>3598043</v>
      </c>
      <c r="R1069">
        <v>3601909</v>
      </c>
      <c r="S1069" t="s">
        <v>1564</v>
      </c>
      <c r="T1069">
        <v>1289</v>
      </c>
      <c r="U1069" t="s">
        <v>108</v>
      </c>
      <c r="V1069">
        <v>44</v>
      </c>
      <c r="W1069" t="str">
        <f>HYPERLINK("Gene3631-zp_tree_all.dnd", "Gene3631-tree")</f>
        <v>Gene3631-tree</v>
      </c>
      <c r="X1069">
        <v>0</v>
      </c>
      <c r="Y1069">
        <v>18</v>
      </c>
      <c r="Z1069">
        <v>0</v>
      </c>
      <c r="AA1069">
        <v>18</v>
      </c>
      <c r="AB1069">
        <v>1</v>
      </c>
      <c r="AC1069" t="s">
        <v>62</v>
      </c>
      <c r="AD1069" t="s">
        <v>144</v>
      </c>
      <c r="AE1069" t="s">
        <v>62</v>
      </c>
      <c r="AF1069" t="s">
        <v>62</v>
      </c>
      <c r="AG1069">
        <v>17</v>
      </c>
      <c r="AH1069">
        <v>48</v>
      </c>
      <c r="AI1069">
        <v>47</v>
      </c>
      <c r="AJ1069">
        <v>0.50526000000000004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28</v>
      </c>
      <c r="AQ1069">
        <v>2</v>
      </c>
      <c r="AR1069">
        <v>30</v>
      </c>
      <c r="AS1069">
        <v>47</v>
      </c>
      <c r="AT1069">
        <v>0.38961000000000001</v>
      </c>
      <c r="AU1069">
        <v>16</v>
      </c>
      <c r="AV1069">
        <v>13</v>
      </c>
      <c r="AW1069">
        <v>151</v>
      </c>
      <c r="AX1069">
        <v>70</v>
      </c>
      <c r="AY1069">
        <v>91</v>
      </c>
      <c r="AZ1069">
        <v>25</v>
      </c>
      <c r="BA1069" t="s">
        <v>21333</v>
      </c>
      <c r="BB1069" t="s">
        <v>21334</v>
      </c>
      <c r="BC1069">
        <v>1.325</v>
      </c>
      <c r="BD1069" t="s">
        <v>65</v>
      </c>
      <c r="BE1069">
        <v>242</v>
      </c>
      <c r="BF1069">
        <v>95</v>
      </c>
      <c r="BG1069" t="s">
        <v>21335</v>
      </c>
      <c r="BH1069" t="s">
        <v>21336</v>
      </c>
      <c r="BI1069" t="s">
        <v>21337</v>
      </c>
      <c r="BJ1069">
        <v>0.10082000000000001</v>
      </c>
      <c r="BK1069">
        <v>1</v>
      </c>
      <c r="BL1069" t="s">
        <v>69</v>
      </c>
      <c r="BM1069">
        <v>-0.93100000000000005</v>
      </c>
      <c r="BN1069">
        <v>-1.9219999999999999</v>
      </c>
    </row>
    <row r="1070" spans="2:66">
      <c r="B1070">
        <v>1705</v>
      </c>
      <c r="C1070">
        <v>80</v>
      </c>
      <c r="D1070">
        <v>0</v>
      </c>
      <c r="E1070">
        <v>2</v>
      </c>
      <c r="F1070">
        <v>2</v>
      </c>
      <c r="J1070">
        <v>0</v>
      </c>
      <c r="K1070">
        <v>0</v>
      </c>
      <c r="L1070">
        <v>0</v>
      </c>
      <c r="M1070" t="s">
        <v>25022</v>
      </c>
      <c r="N1070">
        <v>3633</v>
      </c>
      <c r="O1070" t="s">
        <v>21338</v>
      </c>
      <c r="P1070" t="s">
        <v>62</v>
      </c>
      <c r="Q1070">
        <v>3602591</v>
      </c>
      <c r="R1070">
        <v>3603805</v>
      </c>
      <c r="S1070" t="s">
        <v>21339</v>
      </c>
      <c r="T1070">
        <v>405</v>
      </c>
      <c r="U1070" t="s">
        <v>21340</v>
      </c>
      <c r="V1070">
        <v>26</v>
      </c>
      <c r="W1070" t="str">
        <f>HYPERLINK("Gene3633-zp_tree_all.dnd", "Gene3633-tree")</f>
        <v>Gene3633-tree</v>
      </c>
      <c r="X1070">
        <v>0</v>
      </c>
      <c r="Y1070">
        <v>6</v>
      </c>
      <c r="Z1070">
        <v>0</v>
      </c>
      <c r="AA1070">
        <v>6</v>
      </c>
      <c r="AB1070">
        <v>1</v>
      </c>
      <c r="AC1070" t="s">
        <v>62</v>
      </c>
      <c r="AD1070" t="s">
        <v>90</v>
      </c>
      <c r="AE1070" t="s">
        <v>62</v>
      </c>
      <c r="AF1070" t="s">
        <v>62</v>
      </c>
      <c r="AG1070">
        <v>0</v>
      </c>
      <c r="AH1070">
        <v>0</v>
      </c>
      <c r="AI1070">
        <v>14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13</v>
      </c>
      <c r="AT1070">
        <v>0</v>
      </c>
      <c r="AU1070">
        <v>5</v>
      </c>
      <c r="AV1070">
        <v>2</v>
      </c>
      <c r="AW1070">
        <v>11</v>
      </c>
      <c r="AX1070">
        <v>13</v>
      </c>
      <c r="AY1070">
        <v>1</v>
      </c>
      <c r="AZ1070">
        <v>1</v>
      </c>
      <c r="BA1070" t="s">
        <v>21341</v>
      </c>
      <c r="BB1070" t="s">
        <v>21342</v>
      </c>
      <c r="BC1070">
        <v>7.0000000000000007E-2</v>
      </c>
      <c r="BD1070" t="s">
        <v>65</v>
      </c>
      <c r="BE1070">
        <v>12</v>
      </c>
      <c r="BF1070">
        <v>14</v>
      </c>
      <c r="BG1070" t="s">
        <v>21343</v>
      </c>
      <c r="BH1070" t="s">
        <v>21344</v>
      </c>
      <c r="BI1070" t="s">
        <v>21345</v>
      </c>
      <c r="BJ1070">
        <v>0.33867000000000003</v>
      </c>
      <c r="BK1070">
        <v>0.98</v>
      </c>
      <c r="BL1070" t="s">
        <v>69</v>
      </c>
      <c r="BM1070">
        <v>-2.2450000000000001</v>
      </c>
      <c r="BN1070">
        <v>-3.0489999999999999</v>
      </c>
    </row>
    <row r="1071" spans="2:66">
      <c r="B1071">
        <v>1708</v>
      </c>
      <c r="C1071">
        <v>75</v>
      </c>
      <c r="D1071">
        <v>0</v>
      </c>
      <c r="E1071">
        <v>2</v>
      </c>
      <c r="F1071">
        <v>0</v>
      </c>
      <c r="J1071">
        <v>0</v>
      </c>
      <c r="K1071">
        <v>0</v>
      </c>
      <c r="L1071">
        <v>0</v>
      </c>
      <c r="M1071" t="s">
        <v>25022</v>
      </c>
      <c r="N1071">
        <v>3637</v>
      </c>
      <c r="O1071" t="s">
        <v>21360</v>
      </c>
      <c r="P1071" t="s">
        <v>62</v>
      </c>
      <c r="Q1071">
        <v>3606765</v>
      </c>
      <c r="R1071">
        <v>3607121</v>
      </c>
      <c r="S1071" t="s">
        <v>21361</v>
      </c>
      <c r="T1071">
        <v>119</v>
      </c>
      <c r="U1071" t="s">
        <v>7661</v>
      </c>
      <c r="V1071">
        <v>43</v>
      </c>
      <c r="W1071" t="str">
        <f>HYPERLINK("Gene3637-zp_tree_all.dnd", "Gene3637-tree")</f>
        <v>Gene3637-tree</v>
      </c>
      <c r="X1071">
        <v>8</v>
      </c>
      <c r="Y1071">
        <v>0</v>
      </c>
      <c r="Z1071">
        <v>8</v>
      </c>
      <c r="AA1071">
        <v>0</v>
      </c>
      <c r="AB1071">
        <v>0</v>
      </c>
      <c r="AC1071" t="s">
        <v>136</v>
      </c>
      <c r="AD1071" t="s">
        <v>62</v>
      </c>
      <c r="AE1071" t="s">
        <v>62</v>
      </c>
      <c r="AF1071" t="s">
        <v>62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6</v>
      </c>
      <c r="AV1071">
        <v>3</v>
      </c>
      <c r="AW1071">
        <v>7</v>
      </c>
      <c r="AX1071">
        <v>0</v>
      </c>
      <c r="AY1071">
        <v>6</v>
      </c>
      <c r="AZ1071">
        <v>0</v>
      </c>
      <c r="BA1071" t="s">
        <v>193</v>
      </c>
      <c r="BB1071" t="s">
        <v>193</v>
      </c>
      <c r="BC1071">
        <v>0</v>
      </c>
      <c r="BD1071" t="s">
        <v>65</v>
      </c>
      <c r="BE1071">
        <v>13</v>
      </c>
      <c r="BF1071">
        <v>0</v>
      </c>
      <c r="BG1071" t="s">
        <v>21362</v>
      </c>
      <c r="BH1071" t="s">
        <v>21363</v>
      </c>
      <c r="BI1071" t="s">
        <v>193</v>
      </c>
      <c r="BJ1071">
        <v>0</v>
      </c>
      <c r="BK1071">
        <v>1</v>
      </c>
      <c r="BL1071" t="s">
        <v>69</v>
      </c>
      <c r="BM1071">
        <v>-0.92</v>
      </c>
      <c r="BN1071">
        <v>0.217</v>
      </c>
    </row>
    <row r="1072" spans="2:66">
      <c r="B1072">
        <v>1710</v>
      </c>
      <c r="C1072">
        <v>11</v>
      </c>
      <c r="D1072">
        <v>0</v>
      </c>
      <c r="E1072">
        <v>3</v>
      </c>
      <c r="F1072">
        <v>2</v>
      </c>
      <c r="J1072">
        <v>0</v>
      </c>
      <c r="K1072">
        <v>0</v>
      </c>
      <c r="L1072">
        <v>0</v>
      </c>
      <c r="M1072" t="s">
        <v>25022</v>
      </c>
      <c r="N1072">
        <v>3639</v>
      </c>
      <c r="O1072" t="s">
        <v>21364</v>
      </c>
      <c r="P1072" t="s">
        <v>62</v>
      </c>
      <c r="Q1072">
        <v>3607328</v>
      </c>
      <c r="R1072">
        <v>3608422</v>
      </c>
      <c r="S1072" t="s">
        <v>21365</v>
      </c>
      <c r="T1072">
        <v>365</v>
      </c>
      <c r="U1072" t="s">
        <v>108</v>
      </c>
      <c r="V1072">
        <v>44</v>
      </c>
      <c r="W1072" t="str">
        <f>HYPERLINK("Gene3639-zp_tree_all.dnd", "Gene3639-tree")</f>
        <v>Gene3639-tree</v>
      </c>
      <c r="X1072">
        <v>7</v>
      </c>
      <c r="Y1072">
        <v>4</v>
      </c>
      <c r="Z1072">
        <v>7</v>
      </c>
      <c r="AA1072">
        <v>4</v>
      </c>
      <c r="AB1072">
        <v>0.36364000000000002</v>
      </c>
      <c r="AC1072" t="s">
        <v>152</v>
      </c>
      <c r="AD1072" t="s">
        <v>61</v>
      </c>
      <c r="AE1072" t="s">
        <v>62</v>
      </c>
      <c r="AF1072" t="s">
        <v>62</v>
      </c>
      <c r="AG1072">
        <v>0</v>
      </c>
      <c r="AH1072">
        <v>0</v>
      </c>
      <c r="AI1072">
        <v>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4</v>
      </c>
      <c r="AT1072">
        <v>0</v>
      </c>
      <c r="AU1072">
        <v>10</v>
      </c>
      <c r="AV1072">
        <v>6</v>
      </c>
      <c r="AW1072">
        <v>37</v>
      </c>
      <c r="AX1072">
        <v>4</v>
      </c>
      <c r="AY1072">
        <v>15</v>
      </c>
      <c r="AZ1072">
        <v>3</v>
      </c>
      <c r="BA1072" t="s">
        <v>21366</v>
      </c>
      <c r="BB1072" t="s">
        <v>21367</v>
      </c>
      <c r="BC1072">
        <v>0.20499999999999999</v>
      </c>
      <c r="BD1072" t="s">
        <v>65</v>
      </c>
      <c r="BE1072">
        <v>52</v>
      </c>
      <c r="BF1072">
        <v>7</v>
      </c>
      <c r="BG1072" t="s">
        <v>21368</v>
      </c>
      <c r="BH1072" t="s">
        <v>21369</v>
      </c>
      <c r="BI1072" t="s">
        <v>21370</v>
      </c>
      <c r="BJ1072">
        <v>4.9160000000000002E-2</v>
      </c>
      <c r="BK1072">
        <v>1</v>
      </c>
      <c r="BL1072" t="s">
        <v>69</v>
      </c>
      <c r="BM1072">
        <v>-7.0000000000000001E-3</v>
      </c>
      <c r="BN1072">
        <v>-1.732</v>
      </c>
    </row>
    <row r="1073" spans="2:66">
      <c r="B1073">
        <v>1712</v>
      </c>
      <c r="C1073">
        <v>149</v>
      </c>
      <c r="D1073">
        <v>0</v>
      </c>
      <c r="E1073">
        <v>4</v>
      </c>
      <c r="F1073">
        <v>2</v>
      </c>
      <c r="J1073">
        <v>0</v>
      </c>
      <c r="K1073">
        <v>0</v>
      </c>
      <c r="L1073">
        <v>0</v>
      </c>
      <c r="M1073" t="s">
        <v>25022</v>
      </c>
      <c r="N1073">
        <v>3640</v>
      </c>
      <c r="O1073" t="s">
        <v>21371</v>
      </c>
      <c r="P1073" t="s">
        <v>62</v>
      </c>
      <c r="Q1073">
        <v>3608450</v>
      </c>
      <c r="R1073">
        <v>3608773</v>
      </c>
      <c r="S1073" t="s">
        <v>116</v>
      </c>
      <c r="T1073">
        <v>108</v>
      </c>
      <c r="U1073" t="s">
        <v>108</v>
      </c>
      <c r="V1073">
        <v>44</v>
      </c>
      <c r="W1073" t="str">
        <f>HYPERLINK("Gene3640-zp_tree_all.dnd", "Gene3640-tree")</f>
        <v>Gene3640-tree</v>
      </c>
      <c r="X1073">
        <v>8</v>
      </c>
      <c r="Y1073">
        <v>1</v>
      </c>
      <c r="Z1073">
        <v>8</v>
      </c>
      <c r="AA1073">
        <v>1</v>
      </c>
      <c r="AB1073">
        <v>0.11111</v>
      </c>
      <c r="AC1073" t="s">
        <v>136</v>
      </c>
      <c r="AD1073" t="s">
        <v>175</v>
      </c>
      <c r="AE1073" t="s">
        <v>62</v>
      </c>
      <c r="AF1073" t="s">
        <v>62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5</v>
      </c>
      <c r="AV1073">
        <v>3</v>
      </c>
      <c r="AW1073">
        <v>9</v>
      </c>
      <c r="AX1073">
        <v>1</v>
      </c>
      <c r="AY1073">
        <v>5</v>
      </c>
      <c r="AZ1073">
        <v>0</v>
      </c>
      <c r="BA1073" t="s">
        <v>21372</v>
      </c>
      <c r="BB1073" t="s">
        <v>193</v>
      </c>
      <c r="BC1073">
        <v>0.49099999999999999</v>
      </c>
      <c r="BD1073" t="s">
        <v>65</v>
      </c>
      <c r="BE1073">
        <v>14</v>
      </c>
      <c r="BF1073">
        <v>1</v>
      </c>
      <c r="BG1073" t="s">
        <v>21373</v>
      </c>
      <c r="BH1073" t="s">
        <v>21374</v>
      </c>
      <c r="BI1073" t="s">
        <v>21375</v>
      </c>
      <c r="BJ1073">
        <v>1.9910000000000001E-2</v>
      </c>
      <c r="BK1073">
        <v>1</v>
      </c>
      <c r="BL1073" t="s">
        <v>69</v>
      </c>
      <c r="BM1073">
        <v>-0.30399999999999999</v>
      </c>
      <c r="BN1073">
        <v>-0.78600000000000003</v>
      </c>
    </row>
    <row r="1074" spans="2:66">
      <c r="B1074">
        <v>1715</v>
      </c>
      <c r="C1074">
        <v>143</v>
      </c>
      <c r="D1074">
        <v>0</v>
      </c>
      <c r="E1074">
        <v>2</v>
      </c>
      <c r="F1074">
        <v>4</v>
      </c>
      <c r="J1074">
        <v>0</v>
      </c>
      <c r="K1074">
        <v>4</v>
      </c>
      <c r="L1074">
        <v>0</v>
      </c>
      <c r="M1074" t="s">
        <v>25022</v>
      </c>
      <c r="N1074">
        <v>3643</v>
      </c>
      <c r="O1074" t="s">
        <v>21380</v>
      </c>
      <c r="P1074" t="s">
        <v>62</v>
      </c>
      <c r="Q1074">
        <v>3610067</v>
      </c>
      <c r="R1074">
        <v>3612937</v>
      </c>
      <c r="S1074" t="s">
        <v>21381</v>
      </c>
      <c r="T1074">
        <v>957</v>
      </c>
      <c r="U1074" t="s">
        <v>108</v>
      </c>
      <c r="V1074">
        <v>44</v>
      </c>
      <c r="W1074" t="str">
        <f>HYPERLINK("Gene3643-zp_tree_all.dnd", "Gene3643-tree")</f>
        <v>Gene3643-tree</v>
      </c>
      <c r="X1074">
        <v>10</v>
      </c>
      <c r="Y1074">
        <v>4</v>
      </c>
      <c r="Z1074">
        <v>10</v>
      </c>
      <c r="AA1074">
        <v>4</v>
      </c>
      <c r="AB1074">
        <v>0.28571000000000002</v>
      </c>
      <c r="AC1074" t="s">
        <v>117</v>
      </c>
      <c r="AD1074" t="s">
        <v>61</v>
      </c>
      <c r="AE1074" t="s">
        <v>62</v>
      </c>
      <c r="AF1074" t="s">
        <v>62</v>
      </c>
      <c r="AG1074">
        <v>2</v>
      </c>
      <c r="AH1074">
        <v>4</v>
      </c>
      <c r="AI1074">
        <v>10</v>
      </c>
      <c r="AJ1074">
        <v>0.28571000000000002</v>
      </c>
      <c r="AK1074">
        <v>0</v>
      </c>
      <c r="AL1074">
        <v>0</v>
      </c>
      <c r="AM1074">
        <v>0</v>
      </c>
      <c r="AN1074">
        <v>6</v>
      </c>
      <c r="AO1074">
        <v>0</v>
      </c>
      <c r="AP1074">
        <v>0</v>
      </c>
      <c r="AQ1074">
        <v>0</v>
      </c>
      <c r="AR1074">
        <v>0</v>
      </c>
      <c r="AS1074">
        <v>7</v>
      </c>
      <c r="AT1074">
        <v>0</v>
      </c>
      <c r="AU1074">
        <v>12</v>
      </c>
      <c r="AV1074">
        <v>11</v>
      </c>
      <c r="AW1074">
        <v>80</v>
      </c>
      <c r="AX1074">
        <v>7</v>
      </c>
      <c r="AY1074">
        <v>62</v>
      </c>
      <c r="AZ1074">
        <v>7</v>
      </c>
      <c r="BA1074" t="s">
        <v>21382</v>
      </c>
      <c r="BB1074" t="s">
        <v>21383</v>
      </c>
      <c r="BC1074">
        <v>9.4E-2</v>
      </c>
      <c r="BD1074" t="s">
        <v>65</v>
      </c>
      <c r="BE1074">
        <v>142</v>
      </c>
      <c r="BF1074">
        <v>14</v>
      </c>
      <c r="BG1074" t="s">
        <v>21384</v>
      </c>
      <c r="BH1074" t="s">
        <v>21385</v>
      </c>
      <c r="BI1074" t="s">
        <v>21386</v>
      </c>
      <c r="BJ1074">
        <v>3.2199999999999999E-2</v>
      </c>
      <c r="BK1074">
        <v>1</v>
      </c>
      <c r="BL1074" t="s">
        <v>69</v>
      </c>
      <c r="BM1074">
        <v>-0.41099999999999998</v>
      </c>
      <c r="BN1074">
        <v>-1.655</v>
      </c>
    </row>
    <row r="1075" spans="2:66">
      <c r="B1075">
        <v>1716</v>
      </c>
      <c r="C1075">
        <v>237</v>
      </c>
      <c r="D1075">
        <v>0</v>
      </c>
      <c r="E1075">
        <v>9</v>
      </c>
      <c r="F1075">
        <v>1</v>
      </c>
      <c r="J1075">
        <v>0</v>
      </c>
      <c r="K1075">
        <v>4</v>
      </c>
      <c r="L1075">
        <v>0</v>
      </c>
      <c r="M1075" t="s">
        <v>25022</v>
      </c>
      <c r="N1075">
        <v>3644</v>
      </c>
      <c r="O1075" t="s">
        <v>21387</v>
      </c>
      <c r="P1075" t="s">
        <v>62</v>
      </c>
      <c r="Q1075">
        <v>3612948</v>
      </c>
      <c r="R1075">
        <v>3614930</v>
      </c>
      <c r="S1075" t="s">
        <v>21388</v>
      </c>
      <c r="T1075">
        <v>661</v>
      </c>
      <c r="U1075" t="s">
        <v>108</v>
      </c>
      <c r="V1075">
        <v>44</v>
      </c>
      <c r="W1075" t="str">
        <f>HYPERLINK("Gene3644-zp_tree_all.dnd", "Gene3644-tree")</f>
        <v>Gene3644-tree</v>
      </c>
      <c r="X1075">
        <v>9</v>
      </c>
      <c r="Y1075">
        <v>3</v>
      </c>
      <c r="Z1075">
        <v>9</v>
      </c>
      <c r="AA1075">
        <v>3</v>
      </c>
      <c r="AB1075">
        <v>0.25</v>
      </c>
      <c r="AC1075" t="s">
        <v>135</v>
      </c>
      <c r="AD1075" t="s">
        <v>324</v>
      </c>
      <c r="AE1075" t="s">
        <v>62</v>
      </c>
      <c r="AF1075" t="s">
        <v>62</v>
      </c>
      <c r="AG1075">
        <v>2</v>
      </c>
      <c r="AH1075">
        <v>4</v>
      </c>
      <c r="AI1075">
        <v>1</v>
      </c>
      <c r="AJ1075">
        <v>0.8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2</v>
      </c>
      <c r="AQ1075">
        <v>0</v>
      </c>
      <c r="AR1075">
        <v>2</v>
      </c>
      <c r="AS1075">
        <v>1</v>
      </c>
      <c r="AT1075">
        <v>0.66666999999999998</v>
      </c>
      <c r="AU1075">
        <v>8</v>
      </c>
      <c r="AV1075">
        <v>8</v>
      </c>
      <c r="AW1075">
        <v>39</v>
      </c>
      <c r="AX1075">
        <v>2</v>
      </c>
      <c r="AY1075">
        <v>39</v>
      </c>
      <c r="AZ1075">
        <v>3</v>
      </c>
      <c r="BA1075" t="s">
        <v>21389</v>
      </c>
      <c r="BB1075" t="s">
        <v>21390</v>
      </c>
      <c r="BC1075">
        <v>0.254</v>
      </c>
      <c r="BD1075" t="s">
        <v>65</v>
      </c>
      <c r="BE1075">
        <v>78</v>
      </c>
      <c r="BF1075">
        <v>5</v>
      </c>
      <c r="BG1075" t="s">
        <v>21391</v>
      </c>
      <c r="BH1075" t="s">
        <v>21392</v>
      </c>
      <c r="BI1075" t="s">
        <v>10660</v>
      </c>
      <c r="BJ1075">
        <v>1.9349999999999999E-2</v>
      </c>
      <c r="BK1075">
        <v>1</v>
      </c>
      <c r="BL1075" t="s">
        <v>69</v>
      </c>
      <c r="BM1075">
        <v>-0.81899999999999995</v>
      </c>
      <c r="BN1075">
        <v>-1.3959999999999999</v>
      </c>
    </row>
    <row r="1076" spans="2:66">
      <c r="B1076">
        <v>1717</v>
      </c>
      <c r="C1076">
        <v>358</v>
      </c>
      <c r="D1076">
        <v>0</v>
      </c>
      <c r="E1076">
        <v>0</v>
      </c>
      <c r="F1076">
        <v>6</v>
      </c>
      <c r="J1076">
        <v>0</v>
      </c>
      <c r="K1076">
        <v>0</v>
      </c>
      <c r="L1076">
        <v>0</v>
      </c>
      <c r="M1076" t="s">
        <v>25022</v>
      </c>
      <c r="N1076">
        <v>3645</v>
      </c>
      <c r="O1076" t="s">
        <v>21393</v>
      </c>
      <c r="P1076" t="s">
        <v>62</v>
      </c>
      <c r="Q1076">
        <v>3615119</v>
      </c>
      <c r="R1076">
        <v>3615346</v>
      </c>
      <c r="S1076" t="s">
        <v>3674</v>
      </c>
      <c r="T1076">
        <v>76</v>
      </c>
      <c r="U1076" t="s">
        <v>59</v>
      </c>
      <c r="V1076">
        <v>49</v>
      </c>
      <c r="W1076" t="str">
        <f>HYPERLINK("Gene3645-zp_tree_all.dnd", "Gene3645-tree")</f>
        <v>Gene3645-tree</v>
      </c>
      <c r="X1076">
        <v>8</v>
      </c>
      <c r="Y1076">
        <v>2</v>
      </c>
      <c r="Z1076">
        <v>8</v>
      </c>
      <c r="AA1076">
        <v>2</v>
      </c>
      <c r="AB1076">
        <v>0.2</v>
      </c>
      <c r="AC1076" t="s">
        <v>136</v>
      </c>
      <c r="AD1076" t="s">
        <v>81</v>
      </c>
      <c r="AE1076" t="s">
        <v>62</v>
      </c>
      <c r="AF1076" t="s">
        <v>62</v>
      </c>
      <c r="AG1076">
        <v>0</v>
      </c>
      <c r="AH1076">
        <v>0</v>
      </c>
      <c r="AI1076">
        <v>2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</v>
      </c>
      <c r="AT1076">
        <v>0</v>
      </c>
      <c r="AU1076">
        <v>7</v>
      </c>
      <c r="AV1076">
        <v>4</v>
      </c>
      <c r="AW1076">
        <v>8</v>
      </c>
      <c r="AX1076">
        <v>2</v>
      </c>
      <c r="AY1076">
        <v>8</v>
      </c>
      <c r="AZ1076">
        <v>0</v>
      </c>
      <c r="BA1076" t="s">
        <v>21394</v>
      </c>
      <c r="BB1076" t="s">
        <v>193</v>
      </c>
      <c r="BC1076">
        <v>0.93899999999999995</v>
      </c>
      <c r="BD1076" t="s">
        <v>65</v>
      </c>
      <c r="BE1076">
        <v>16</v>
      </c>
      <c r="BF1076">
        <v>2</v>
      </c>
      <c r="BG1076" t="s">
        <v>21395</v>
      </c>
      <c r="BH1076" t="s">
        <v>21396</v>
      </c>
      <c r="BI1076" t="s">
        <v>21397</v>
      </c>
      <c r="BJ1076">
        <v>3.3419999999999998E-2</v>
      </c>
      <c r="BK1076">
        <v>1</v>
      </c>
      <c r="BL1076" t="s">
        <v>69</v>
      </c>
      <c r="BM1076">
        <v>-1.4379999999999999</v>
      </c>
      <c r="BN1076">
        <v>-1.173</v>
      </c>
    </row>
    <row r="1077" spans="2:66">
      <c r="B1077">
        <v>1718</v>
      </c>
      <c r="C1077">
        <v>259</v>
      </c>
      <c r="D1077">
        <v>0</v>
      </c>
      <c r="E1077">
        <v>4</v>
      </c>
      <c r="F1077">
        <v>2</v>
      </c>
      <c r="J1077">
        <v>0</v>
      </c>
      <c r="K1077">
        <v>2</v>
      </c>
      <c r="L1077">
        <v>0</v>
      </c>
      <c r="M1077" t="s">
        <v>25022</v>
      </c>
      <c r="N1077">
        <v>3649</v>
      </c>
      <c r="O1077" t="s">
        <v>21417</v>
      </c>
      <c r="P1077" t="s">
        <v>62</v>
      </c>
      <c r="Q1077">
        <v>3620349</v>
      </c>
      <c r="R1077">
        <v>3621539</v>
      </c>
      <c r="S1077" t="s">
        <v>21418</v>
      </c>
      <c r="T1077">
        <v>397</v>
      </c>
      <c r="U1077" t="s">
        <v>108</v>
      </c>
      <c r="V1077">
        <v>44</v>
      </c>
      <c r="W1077" t="str">
        <f>HYPERLINK("Gene3649-zp_tree_all.dnd", "Gene3649-tree")</f>
        <v>Gene3649-tree</v>
      </c>
      <c r="X1077">
        <v>8</v>
      </c>
      <c r="Y1077">
        <v>5</v>
      </c>
      <c r="Z1077">
        <v>8</v>
      </c>
      <c r="AA1077">
        <v>5</v>
      </c>
      <c r="AB1077">
        <v>0.38462000000000002</v>
      </c>
      <c r="AC1077" t="s">
        <v>136</v>
      </c>
      <c r="AD1077" t="s">
        <v>199</v>
      </c>
      <c r="AE1077" t="s">
        <v>62</v>
      </c>
      <c r="AF1077" t="s">
        <v>62</v>
      </c>
      <c r="AG1077">
        <v>1</v>
      </c>
      <c r="AH1077">
        <v>2</v>
      </c>
      <c r="AI1077">
        <v>7</v>
      </c>
      <c r="AJ1077">
        <v>0.22222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2</v>
      </c>
      <c r="AQ1077">
        <v>0</v>
      </c>
      <c r="AR1077">
        <v>2</v>
      </c>
      <c r="AS1077">
        <v>6</v>
      </c>
      <c r="AT1077">
        <v>0.25</v>
      </c>
      <c r="AU1077">
        <v>11</v>
      </c>
      <c r="AV1077">
        <v>8</v>
      </c>
      <c r="AW1077">
        <v>35</v>
      </c>
      <c r="AX1077">
        <v>7</v>
      </c>
      <c r="AY1077">
        <v>13</v>
      </c>
      <c r="AZ1077">
        <v>2</v>
      </c>
      <c r="BA1077" t="s">
        <v>21419</v>
      </c>
      <c r="BB1077" t="s">
        <v>21420</v>
      </c>
      <c r="BC1077">
        <v>0.18099999999999999</v>
      </c>
      <c r="BD1077" t="s">
        <v>65</v>
      </c>
      <c r="BE1077">
        <v>48</v>
      </c>
      <c r="BF1077">
        <v>9</v>
      </c>
      <c r="BG1077" t="s">
        <v>21421</v>
      </c>
      <c r="BH1077" t="s">
        <v>21422</v>
      </c>
      <c r="BI1077" t="s">
        <v>21423</v>
      </c>
      <c r="BJ1077">
        <v>5.7979999999999997E-2</v>
      </c>
      <c r="BK1077">
        <v>1</v>
      </c>
      <c r="BL1077" t="s">
        <v>69</v>
      </c>
      <c r="BM1077">
        <v>-0.94199999999999995</v>
      </c>
      <c r="BN1077">
        <v>-1.9259999999999999</v>
      </c>
    </row>
    <row r="1078" spans="2:66">
      <c r="B1078">
        <v>1719</v>
      </c>
      <c r="C1078">
        <v>365</v>
      </c>
      <c r="D1078">
        <v>0</v>
      </c>
      <c r="E1078">
        <v>2</v>
      </c>
      <c r="F1078">
        <v>0</v>
      </c>
      <c r="J1078">
        <v>0</v>
      </c>
      <c r="K1078">
        <v>2</v>
      </c>
      <c r="L1078">
        <v>0</v>
      </c>
      <c r="M1078" t="s">
        <v>25022</v>
      </c>
      <c r="N1078">
        <v>3652</v>
      </c>
      <c r="O1078" t="s">
        <v>21424</v>
      </c>
      <c r="P1078" t="s">
        <v>62</v>
      </c>
      <c r="Q1078">
        <v>3622359</v>
      </c>
      <c r="R1078">
        <v>3623798</v>
      </c>
      <c r="S1078" t="s">
        <v>21425</v>
      </c>
      <c r="T1078">
        <v>480</v>
      </c>
      <c r="U1078" t="s">
        <v>108</v>
      </c>
      <c r="V1078">
        <v>44</v>
      </c>
      <c r="W1078" t="str">
        <f>HYPERLINK("Gene3652-zp_tree_all.dnd", "Gene3652-tree")</f>
        <v>Gene3652-tree</v>
      </c>
      <c r="X1078">
        <v>9</v>
      </c>
      <c r="Y1078">
        <v>4</v>
      </c>
      <c r="Z1078">
        <v>9</v>
      </c>
      <c r="AA1078">
        <v>4</v>
      </c>
      <c r="AB1078">
        <v>0.30769000000000002</v>
      </c>
      <c r="AC1078" t="s">
        <v>135</v>
      </c>
      <c r="AD1078" t="s">
        <v>61</v>
      </c>
      <c r="AE1078" t="s">
        <v>62</v>
      </c>
      <c r="AF1078" t="s">
        <v>62</v>
      </c>
      <c r="AG1078">
        <v>1</v>
      </c>
      <c r="AH1078">
        <v>2</v>
      </c>
      <c r="AI1078">
        <v>6</v>
      </c>
      <c r="AJ1078">
        <v>0.25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2</v>
      </c>
      <c r="AQ1078">
        <v>0</v>
      </c>
      <c r="AR1078">
        <v>2</v>
      </c>
      <c r="AS1078">
        <v>5</v>
      </c>
      <c r="AT1078">
        <v>0.28571000000000002</v>
      </c>
      <c r="AU1078">
        <v>11</v>
      </c>
      <c r="AV1078">
        <v>8</v>
      </c>
      <c r="AW1078">
        <v>29</v>
      </c>
      <c r="AX1078">
        <v>7</v>
      </c>
      <c r="AY1078">
        <v>14</v>
      </c>
      <c r="AZ1078">
        <v>1</v>
      </c>
      <c r="BA1078" t="s">
        <v>21426</v>
      </c>
      <c r="BB1078" t="s">
        <v>21427</v>
      </c>
      <c r="BC1078">
        <v>0.64700000000000002</v>
      </c>
      <c r="BD1078" t="s">
        <v>65</v>
      </c>
      <c r="BE1078">
        <v>43</v>
      </c>
      <c r="BF1078">
        <v>8</v>
      </c>
      <c r="BG1078" t="s">
        <v>21428</v>
      </c>
      <c r="BH1078" t="s">
        <v>21429</v>
      </c>
      <c r="BI1078" t="s">
        <v>18054</v>
      </c>
      <c r="BJ1078">
        <v>4.1270000000000001E-2</v>
      </c>
      <c r="BK1078">
        <v>1</v>
      </c>
      <c r="BL1078" t="s">
        <v>69</v>
      </c>
      <c r="BM1078">
        <v>-0.98299999999999998</v>
      </c>
      <c r="BN1078">
        <v>-1.7809999999999999</v>
      </c>
    </row>
    <row r="1079" spans="2:66">
      <c r="B1079">
        <v>1720</v>
      </c>
      <c r="C1079">
        <v>1323</v>
      </c>
      <c r="D1079">
        <v>0</v>
      </c>
      <c r="E1079">
        <v>5</v>
      </c>
      <c r="F1079">
        <v>0</v>
      </c>
      <c r="J1079">
        <v>0</v>
      </c>
      <c r="K1079">
        <v>5</v>
      </c>
      <c r="L1079">
        <v>0</v>
      </c>
      <c r="M1079" t="s">
        <v>25022</v>
      </c>
      <c r="N1079">
        <v>3653</v>
      </c>
      <c r="O1079" t="s">
        <v>21430</v>
      </c>
      <c r="P1079" t="s">
        <v>62</v>
      </c>
      <c r="Q1079">
        <v>3623941</v>
      </c>
      <c r="R1079">
        <v>3624828</v>
      </c>
      <c r="S1079" t="s">
        <v>21431</v>
      </c>
      <c r="T1079">
        <v>296</v>
      </c>
      <c r="U1079" t="s">
        <v>59</v>
      </c>
      <c r="V1079">
        <v>49</v>
      </c>
      <c r="W1079" t="str">
        <f>HYPERLINK("Gene3653-zp_tree_all.dnd", "Gene3653-tree")</f>
        <v>Gene3653-tree</v>
      </c>
      <c r="X1079">
        <v>13</v>
      </c>
      <c r="Y1079">
        <v>5</v>
      </c>
      <c r="Z1079">
        <v>13</v>
      </c>
      <c r="AA1079">
        <v>5</v>
      </c>
      <c r="AB1079">
        <v>0.27778000000000003</v>
      </c>
      <c r="AC1079" t="s">
        <v>507</v>
      </c>
      <c r="AD1079" t="s">
        <v>199</v>
      </c>
      <c r="AE1079" t="s">
        <v>62</v>
      </c>
      <c r="AF1079" t="s">
        <v>62</v>
      </c>
      <c r="AG1079">
        <v>2</v>
      </c>
      <c r="AH1079">
        <v>5</v>
      </c>
      <c r="AI1079">
        <v>8</v>
      </c>
      <c r="AJ1079">
        <v>0.38462000000000002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2</v>
      </c>
      <c r="AQ1079">
        <v>0</v>
      </c>
      <c r="AR1079">
        <v>2</v>
      </c>
      <c r="AS1079">
        <v>3</v>
      </c>
      <c r="AT1079">
        <v>0.4</v>
      </c>
      <c r="AU1079">
        <v>15</v>
      </c>
      <c r="AV1079">
        <v>13</v>
      </c>
      <c r="AW1079">
        <v>51</v>
      </c>
      <c r="AX1079">
        <v>5</v>
      </c>
      <c r="AY1079">
        <v>54</v>
      </c>
      <c r="AZ1079">
        <v>8</v>
      </c>
      <c r="BA1079" t="s">
        <v>21432</v>
      </c>
      <c r="BB1079" t="s">
        <v>21433</v>
      </c>
      <c r="BC1079">
        <v>0.31900000000000001</v>
      </c>
      <c r="BD1079" t="s">
        <v>65</v>
      </c>
      <c r="BE1079">
        <v>105</v>
      </c>
      <c r="BF1079">
        <v>13</v>
      </c>
      <c r="BG1079" t="s">
        <v>21434</v>
      </c>
      <c r="BH1079" t="s">
        <v>21435</v>
      </c>
      <c r="BI1079" t="s">
        <v>21436</v>
      </c>
      <c r="BJ1079">
        <v>3.8510000000000003E-2</v>
      </c>
      <c r="BK1079">
        <v>1</v>
      </c>
      <c r="BL1079" t="s">
        <v>69</v>
      </c>
      <c r="BM1079">
        <v>-1.7589999999999999</v>
      </c>
      <c r="BN1079">
        <v>-1.216</v>
      </c>
    </row>
    <row r="1080" spans="2:66">
      <c r="B1080">
        <v>1725</v>
      </c>
      <c r="C1080">
        <v>156</v>
      </c>
      <c r="D1080">
        <v>0</v>
      </c>
      <c r="E1080">
        <v>3</v>
      </c>
      <c r="F1080">
        <v>0</v>
      </c>
      <c r="J1080">
        <v>0</v>
      </c>
      <c r="K1080">
        <v>0</v>
      </c>
      <c r="L1080">
        <v>0</v>
      </c>
      <c r="M1080" t="s">
        <v>25022</v>
      </c>
      <c r="N1080">
        <v>3654</v>
      </c>
      <c r="O1080" t="s">
        <v>21437</v>
      </c>
      <c r="P1080" t="s">
        <v>62</v>
      </c>
      <c r="Q1080">
        <v>3624824</v>
      </c>
      <c r="R1080">
        <v>3625507</v>
      </c>
      <c r="S1080" t="s">
        <v>21438</v>
      </c>
      <c r="T1080">
        <v>228</v>
      </c>
      <c r="U1080" t="s">
        <v>59</v>
      </c>
      <c r="V1080">
        <v>49</v>
      </c>
      <c r="W1080" t="str">
        <f>HYPERLINK("Gene3654-zp_tree_all.dnd", "Gene3654-tree")</f>
        <v>Gene3654-tree</v>
      </c>
      <c r="X1080">
        <v>15</v>
      </c>
      <c r="Y1080">
        <v>1</v>
      </c>
      <c r="Z1080">
        <v>15</v>
      </c>
      <c r="AA1080">
        <v>1</v>
      </c>
      <c r="AB1080">
        <v>6.25E-2</v>
      </c>
      <c r="AC1080" t="s">
        <v>100</v>
      </c>
      <c r="AD1080" t="s">
        <v>175</v>
      </c>
      <c r="AE1080" t="s">
        <v>62</v>
      </c>
      <c r="AF1080" t="s">
        <v>62</v>
      </c>
      <c r="AG1080">
        <v>0</v>
      </c>
      <c r="AH1080">
        <v>0</v>
      </c>
      <c r="AI1080">
        <v>6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12</v>
      </c>
      <c r="AV1080">
        <v>12</v>
      </c>
      <c r="AW1080">
        <v>40</v>
      </c>
      <c r="AX1080">
        <v>1</v>
      </c>
      <c r="AY1080">
        <v>37</v>
      </c>
      <c r="AZ1080">
        <v>6</v>
      </c>
      <c r="BA1080" t="s">
        <v>21439</v>
      </c>
      <c r="BB1080" t="s">
        <v>21440</v>
      </c>
      <c r="BC1080">
        <v>0.71099999999999997</v>
      </c>
      <c r="BD1080" t="s">
        <v>65</v>
      </c>
      <c r="BE1080">
        <v>77</v>
      </c>
      <c r="BF1080">
        <v>7</v>
      </c>
      <c r="BG1080" t="s">
        <v>21441</v>
      </c>
      <c r="BH1080" t="s">
        <v>21442</v>
      </c>
      <c r="BI1080" t="s">
        <v>21443</v>
      </c>
      <c r="BJ1080">
        <v>3.619E-2</v>
      </c>
      <c r="BK1080">
        <v>1</v>
      </c>
      <c r="BL1080" t="s">
        <v>69</v>
      </c>
      <c r="BM1080">
        <v>-1.1339999999999999</v>
      </c>
      <c r="BN1080">
        <v>-0.221</v>
      </c>
    </row>
    <row r="1081" spans="2:66">
      <c r="B1081">
        <v>1728</v>
      </c>
      <c r="C1081">
        <v>89</v>
      </c>
      <c r="D1081">
        <v>0</v>
      </c>
      <c r="E1081">
        <v>2</v>
      </c>
      <c r="F1081">
        <v>1</v>
      </c>
      <c r="J1081">
        <v>0</v>
      </c>
      <c r="K1081">
        <v>2</v>
      </c>
      <c r="L1081">
        <v>4</v>
      </c>
      <c r="M1081" t="s">
        <v>25022</v>
      </c>
      <c r="N1081">
        <v>3655</v>
      </c>
      <c r="O1081" t="s">
        <v>21444</v>
      </c>
      <c r="P1081" t="s">
        <v>62</v>
      </c>
      <c r="Q1081">
        <v>3625744</v>
      </c>
      <c r="R1081">
        <v>3626079</v>
      </c>
      <c r="S1081" t="s">
        <v>21445</v>
      </c>
      <c r="T1081">
        <v>112</v>
      </c>
      <c r="U1081" t="s">
        <v>21446</v>
      </c>
      <c r="V1081">
        <v>43</v>
      </c>
      <c r="W1081" t="str">
        <f>HYPERLINK("Gene3655-zp_tree_all.dnd", "Gene3655-tree")</f>
        <v>Gene3655-tree</v>
      </c>
      <c r="X1081">
        <v>1</v>
      </c>
      <c r="Y1081">
        <v>7</v>
      </c>
      <c r="Z1081">
        <v>1</v>
      </c>
      <c r="AA1081">
        <v>7</v>
      </c>
      <c r="AB1081">
        <v>0.875</v>
      </c>
      <c r="AC1081" t="s">
        <v>175</v>
      </c>
      <c r="AD1081" t="s">
        <v>152</v>
      </c>
      <c r="AE1081" t="s">
        <v>62</v>
      </c>
      <c r="AF1081" t="s">
        <v>62</v>
      </c>
      <c r="AG1081">
        <v>3</v>
      </c>
      <c r="AH1081">
        <v>6</v>
      </c>
      <c r="AI1081">
        <v>8</v>
      </c>
      <c r="AJ1081">
        <v>0.42857000000000001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2</v>
      </c>
      <c r="AQ1081">
        <v>2</v>
      </c>
      <c r="AR1081">
        <v>4</v>
      </c>
      <c r="AS1081">
        <v>8</v>
      </c>
      <c r="AT1081">
        <v>0.33333000000000002</v>
      </c>
      <c r="AU1081">
        <v>5</v>
      </c>
      <c r="AV1081">
        <v>4</v>
      </c>
      <c r="AW1081">
        <v>11</v>
      </c>
      <c r="AX1081">
        <v>11</v>
      </c>
      <c r="AY1081">
        <v>2</v>
      </c>
      <c r="AZ1081">
        <v>3</v>
      </c>
      <c r="BA1081" t="s">
        <v>21447</v>
      </c>
      <c r="BB1081" t="s">
        <v>21448</v>
      </c>
      <c r="BC1081">
        <v>0.32400000000000001</v>
      </c>
      <c r="BD1081" t="s">
        <v>65</v>
      </c>
      <c r="BE1081">
        <v>13</v>
      </c>
      <c r="BF1081">
        <v>14</v>
      </c>
      <c r="BG1081" t="s">
        <v>21449</v>
      </c>
      <c r="BH1081" t="s">
        <v>21450</v>
      </c>
      <c r="BI1081" t="s">
        <v>21451</v>
      </c>
      <c r="BJ1081">
        <v>0.32851999999999998</v>
      </c>
      <c r="BK1081">
        <v>0.97</v>
      </c>
      <c r="BL1081" t="s">
        <v>69</v>
      </c>
      <c r="BM1081">
        <v>-1.74</v>
      </c>
      <c r="BN1081">
        <v>-4.5140000000000002</v>
      </c>
    </row>
    <row r="1082" spans="2:66">
      <c r="B1082">
        <v>1729</v>
      </c>
      <c r="C1082">
        <v>140</v>
      </c>
      <c r="D1082">
        <v>0</v>
      </c>
      <c r="E1082">
        <v>2</v>
      </c>
      <c r="F1082">
        <v>1</v>
      </c>
      <c r="J1082">
        <v>0</v>
      </c>
      <c r="K1082">
        <v>2</v>
      </c>
      <c r="L1082">
        <v>1</v>
      </c>
      <c r="M1082" t="s">
        <v>25022</v>
      </c>
      <c r="N1082">
        <v>3656</v>
      </c>
      <c r="O1082" t="s">
        <v>21452</v>
      </c>
      <c r="P1082" t="s">
        <v>62</v>
      </c>
      <c r="Q1082">
        <v>3626131</v>
      </c>
      <c r="R1082">
        <v>3627012</v>
      </c>
      <c r="S1082" t="s">
        <v>3095</v>
      </c>
      <c r="T1082">
        <v>294</v>
      </c>
      <c r="U1082" t="s">
        <v>108</v>
      </c>
      <c r="V1082">
        <v>44</v>
      </c>
      <c r="W1082" t="str">
        <f>HYPERLINK("Gene3656-zp_tree_all.dnd", "Gene3656-tree")</f>
        <v>Gene3656-tree</v>
      </c>
      <c r="X1082">
        <v>7</v>
      </c>
      <c r="Y1082">
        <v>4</v>
      </c>
      <c r="Z1082">
        <v>7</v>
      </c>
      <c r="AA1082">
        <v>4</v>
      </c>
      <c r="AB1082">
        <v>0.36364000000000002</v>
      </c>
      <c r="AC1082" t="s">
        <v>152</v>
      </c>
      <c r="AD1082" t="s">
        <v>61</v>
      </c>
      <c r="AE1082" t="s">
        <v>62</v>
      </c>
      <c r="AF1082" t="s">
        <v>62</v>
      </c>
      <c r="AG1082">
        <v>1</v>
      </c>
      <c r="AH1082">
        <v>3</v>
      </c>
      <c r="AI1082">
        <v>3</v>
      </c>
      <c r="AJ1082">
        <v>0.5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2</v>
      </c>
      <c r="AQ1082">
        <v>0</v>
      </c>
      <c r="AR1082">
        <v>2</v>
      </c>
      <c r="AS1082">
        <v>3</v>
      </c>
      <c r="AT1082">
        <v>0.4</v>
      </c>
      <c r="AU1082">
        <v>10</v>
      </c>
      <c r="AV1082">
        <v>7</v>
      </c>
      <c r="AW1082">
        <v>32</v>
      </c>
      <c r="AX1082">
        <v>5</v>
      </c>
      <c r="AY1082">
        <v>20</v>
      </c>
      <c r="AZ1082">
        <v>1</v>
      </c>
      <c r="BA1082" t="s">
        <v>21453</v>
      </c>
      <c r="BB1082" t="s">
        <v>21454</v>
      </c>
      <c r="BC1082">
        <v>0.64</v>
      </c>
      <c r="BD1082" t="s">
        <v>65</v>
      </c>
      <c r="BE1082">
        <v>52</v>
      </c>
      <c r="BF1082">
        <v>6</v>
      </c>
      <c r="BG1082" t="s">
        <v>21455</v>
      </c>
      <c r="BH1082" t="s">
        <v>21456</v>
      </c>
      <c r="BI1082" t="s">
        <v>7024</v>
      </c>
      <c r="BJ1082">
        <v>3.015E-2</v>
      </c>
      <c r="BK1082">
        <v>1</v>
      </c>
      <c r="BL1082" t="s">
        <v>69</v>
      </c>
      <c r="BM1082">
        <v>-0.63300000000000001</v>
      </c>
      <c r="BN1082">
        <v>-2.0649999999999999</v>
      </c>
    </row>
    <row r="1083" spans="2:66">
      <c r="B1083">
        <v>1730</v>
      </c>
      <c r="C1083">
        <v>13</v>
      </c>
      <c r="D1083">
        <v>0</v>
      </c>
      <c r="E1083">
        <v>2</v>
      </c>
      <c r="F1083">
        <v>0</v>
      </c>
      <c r="J1083">
        <v>0</v>
      </c>
      <c r="K1083">
        <v>0</v>
      </c>
      <c r="L1083">
        <v>2</v>
      </c>
      <c r="M1083" t="s">
        <v>25022</v>
      </c>
      <c r="N1083">
        <v>3657</v>
      </c>
      <c r="O1083" t="s">
        <v>21457</v>
      </c>
      <c r="P1083" t="s">
        <v>62</v>
      </c>
      <c r="Q1083">
        <v>3628313</v>
      </c>
      <c r="R1083">
        <v>3630835</v>
      </c>
      <c r="S1083" t="s">
        <v>21458</v>
      </c>
      <c r="T1083">
        <v>841</v>
      </c>
      <c r="U1083" t="s">
        <v>2803</v>
      </c>
      <c r="V1083">
        <v>45</v>
      </c>
      <c r="W1083" t="str">
        <f>HYPERLINK("Gene3657-zp_tree_all.dnd", "Gene3657-tree")</f>
        <v>Gene3657-tree</v>
      </c>
      <c r="X1083">
        <v>11</v>
      </c>
      <c r="Y1083">
        <v>6</v>
      </c>
      <c r="Z1083">
        <v>11</v>
      </c>
      <c r="AA1083">
        <v>6</v>
      </c>
      <c r="AB1083">
        <v>0.35293999999999998</v>
      </c>
      <c r="AC1083" t="s">
        <v>73</v>
      </c>
      <c r="AD1083" t="s">
        <v>90</v>
      </c>
      <c r="AE1083" t="s">
        <v>62</v>
      </c>
      <c r="AF1083" t="s">
        <v>62</v>
      </c>
      <c r="AG1083">
        <v>1</v>
      </c>
      <c r="AH1083">
        <v>2</v>
      </c>
      <c r="AI1083">
        <v>20</v>
      </c>
      <c r="AJ1083">
        <v>9.0910000000000005E-2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2</v>
      </c>
      <c r="AR1083">
        <v>2</v>
      </c>
      <c r="AS1083">
        <v>18</v>
      </c>
      <c r="AT1083">
        <v>0.1</v>
      </c>
      <c r="AU1083">
        <v>15</v>
      </c>
      <c r="AV1083">
        <v>13</v>
      </c>
      <c r="AW1083">
        <v>176</v>
      </c>
      <c r="AX1083">
        <v>20</v>
      </c>
      <c r="AY1083">
        <v>77</v>
      </c>
      <c r="AZ1083">
        <v>2</v>
      </c>
      <c r="BA1083" t="s">
        <v>21459</v>
      </c>
      <c r="BB1083" t="s">
        <v>21460</v>
      </c>
      <c r="BC1083">
        <v>0.24</v>
      </c>
      <c r="BD1083" t="s">
        <v>65</v>
      </c>
      <c r="BE1083">
        <v>253</v>
      </c>
      <c r="BF1083">
        <v>22</v>
      </c>
      <c r="BG1083" t="s">
        <v>21461</v>
      </c>
      <c r="BH1083" t="s">
        <v>21462</v>
      </c>
      <c r="BI1083" t="s">
        <v>21463</v>
      </c>
      <c r="BJ1083">
        <v>2.1610000000000001E-2</v>
      </c>
      <c r="BK1083">
        <v>1</v>
      </c>
      <c r="BL1083" t="s">
        <v>69</v>
      </c>
      <c r="BM1083">
        <v>-1.468</v>
      </c>
      <c r="BN1083">
        <v>-4.319</v>
      </c>
    </row>
    <row r="1084" spans="2:66">
      <c r="B1084">
        <v>1731</v>
      </c>
      <c r="C1084">
        <v>234</v>
      </c>
      <c r="D1084">
        <v>0</v>
      </c>
      <c r="E1084">
        <v>0</v>
      </c>
      <c r="F1084">
        <v>4</v>
      </c>
      <c r="J1084">
        <v>0</v>
      </c>
      <c r="K1084">
        <v>0</v>
      </c>
      <c r="L1084">
        <v>0</v>
      </c>
      <c r="M1084" t="s">
        <v>25022</v>
      </c>
      <c r="N1084">
        <v>3658</v>
      </c>
      <c r="O1084" t="s">
        <v>21464</v>
      </c>
      <c r="P1084" t="s">
        <v>62</v>
      </c>
      <c r="Q1084">
        <v>3631006</v>
      </c>
      <c r="R1084">
        <v>3631572</v>
      </c>
      <c r="S1084" t="s">
        <v>21465</v>
      </c>
      <c r="T1084">
        <v>189</v>
      </c>
      <c r="U1084" t="s">
        <v>59</v>
      </c>
      <c r="V1084">
        <v>49</v>
      </c>
      <c r="W1084" t="str">
        <f>HYPERLINK("Gene3658-zp_tree_all.dnd", "Gene3658-tree")</f>
        <v>Gene3658-tree</v>
      </c>
      <c r="X1084">
        <v>13</v>
      </c>
      <c r="Y1084">
        <v>3</v>
      </c>
      <c r="Z1084">
        <v>13</v>
      </c>
      <c r="AA1084">
        <v>3</v>
      </c>
      <c r="AB1084">
        <v>0.1875</v>
      </c>
      <c r="AC1084" t="s">
        <v>507</v>
      </c>
      <c r="AD1084" t="s">
        <v>324</v>
      </c>
      <c r="AE1084" t="s">
        <v>62</v>
      </c>
      <c r="AF1084" t="s">
        <v>62</v>
      </c>
      <c r="AG1084">
        <v>0</v>
      </c>
      <c r="AH1084">
        <v>0</v>
      </c>
      <c r="AI1084">
        <v>9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</v>
      </c>
      <c r="AT1084">
        <v>0</v>
      </c>
      <c r="AU1084">
        <v>12</v>
      </c>
      <c r="AV1084">
        <v>9</v>
      </c>
      <c r="AW1084">
        <v>22</v>
      </c>
      <c r="AX1084">
        <v>3</v>
      </c>
      <c r="AY1084">
        <v>16</v>
      </c>
      <c r="AZ1084">
        <v>6</v>
      </c>
      <c r="BA1084" t="s">
        <v>21466</v>
      </c>
      <c r="BB1084" t="s">
        <v>21467</v>
      </c>
      <c r="BC1084">
        <v>0.61799999999999999</v>
      </c>
      <c r="BD1084" t="s">
        <v>65</v>
      </c>
      <c r="BE1084">
        <v>38</v>
      </c>
      <c r="BF1084">
        <v>9</v>
      </c>
      <c r="BG1084" t="s">
        <v>21468</v>
      </c>
      <c r="BH1084" t="s">
        <v>21469</v>
      </c>
      <c r="BI1084" t="s">
        <v>21470</v>
      </c>
      <c r="BJ1084">
        <v>8.5300000000000001E-2</v>
      </c>
      <c r="BK1084">
        <v>1</v>
      </c>
      <c r="BL1084" t="s">
        <v>69</v>
      </c>
      <c r="BM1084">
        <v>-1.629</v>
      </c>
      <c r="BN1084">
        <v>-1.375</v>
      </c>
    </row>
    <row r="1085" spans="2:66">
      <c r="B1085">
        <v>1732</v>
      </c>
      <c r="C1085">
        <v>47</v>
      </c>
      <c r="D1085">
        <v>0</v>
      </c>
      <c r="E1085">
        <v>4</v>
      </c>
      <c r="F1085">
        <v>3</v>
      </c>
      <c r="J1085">
        <v>0</v>
      </c>
      <c r="K1085">
        <v>0</v>
      </c>
      <c r="L1085">
        <v>0</v>
      </c>
      <c r="M1085" t="s">
        <v>25022</v>
      </c>
      <c r="N1085">
        <v>3659</v>
      </c>
      <c r="O1085" t="s">
        <v>21471</v>
      </c>
      <c r="P1085" t="s">
        <v>62</v>
      </c>
      <c r="Q1085">
        <v>3631766</v>
      </c>
      <c r="R1085">
        <v>3632140</v>
      </c>
      <c r="S1085" t="s">
        <v>116</v>
      </c>
      <c r="T1085">
        <v>125</v>
      </c>
      <c r="U1085" t="s">
        <v>108</v>
      </c>
      <c r="V1085">
        <v>44</v>
      </c>
      <c r="W1085" t="str">
        <f>HYPERLINK("Gene3659-zp_tree_all.dnd", "Gene3659-tree")</f>
        <v>Gene3659-tree</v>
      </c>
      <c r="X1085">
        <v>30</v>
      </c>
      <c r="Y1085">
        <v>2</v>
      </c>
      <c r="Z1085">
        <v>5</v>
      </c>
      <c r="AA1085">
        <v>2</v>
      </c>
      <c r="AB1085">
        <v>0.28571000000000002</v>
      </c>
      <c r="AC1085" t="s">
        <v>1768</v>
      </c>
      <c r="AD1085" t="s">
        <v>81</v>
      </c>
      <c r="AE1085" t="s">
        <v>62</v>
      </c>
      <c r="AF1085" t="s">
        <v>62</v>
      </c>
      <c r="AG1085">
        <v>0</v>
      </c>
      <c r="AH1085">
        <v>0</v>
      </c>
      <c r="AI1085">
        <v>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3</v>
      </c>
      <c r="AT1085">
        <v>0</v>
      </c>
      <c r="AU1085">
        <v>5</v>
      </c>
      <c r="AV1085">
        <v>1</v>
      </c>
      <c r="AW1085">
        <v>4</v>
      </c>
      <c r="AX1085">
        <v>3</v>
      </c>
      <c r="AY1085">
        <v>1</v>
      </c>
      <c r="AZ1085">
        <v>0</v>
      </c>
      <c r="BA1085" t="s">
        <v>21472</v>
      </c>
      <c r="BB1085" t="s">
        <v>193</v>
      </c>
      <c r="BC1085">
        <v>0.84099999999999997</v>
      </c>
      <c r="BD1085" t="s">
        <v>65</v>
      </c>
      <c r="BE1085">
        <v>5</v>
      </c>
      <c r="BF1085">
        <v>3</v>
      </c>
      <c r="BG1085" t="s">
        <v>21473</v>
      </c>
      <c r="BH1085" t="s">
        <v>21474</v>
      </c>
      <c r="BI1085" t="s">
        <v>21475</v>
      </c>
      <c r="BJ1085">
        <v>0.12898000000000001</v>
      </c>
      <c r="BK1085">
        <v>0.97799999999999998</v>
      </c>
      <c r="BL1085" t="s">
        <v>69</v>
      </c>
      <c r="BM1085">
        <v>-0.749</v>
      </c>
      <c r="BN1085">
        <v>-2.165</v>
      </c>
    </row>
    <row r="1086" spans="2:66">
      <c r="B1086">
        <v>1735</v>
      </c>
      <c r="C1086">
        <v>228</v>
      </c>
      <c r="D1086">
        <v>0</v>
      </c>
      <c r="E1086">
        <v>2</v>
      </c>
      <c r="F1086">
        <v>2</v>
      </c>
      <c r="J1086">
        <v>0</v>
      </c>
      <c r="K1086">
        <v>4</v>
      </c>
      <c r="L1086">
        <v>2</v>
      </c>
      <c r="M1086" t="s">
        <v>25022</v>
      </c>
      <c r="N1086">
        <v>3660</v>
      </c>
      <c r="O1086" t="s">
        <v>21476</v>
      </c>
      <c r="P1086" t="s">
        <v>62</v>
      </c>
      <c r="Q1086">
        <v>3632153</v>
      </c>
      <c r="R1086">
        <v>3632491</v>
      </c>
      <c r="S1086" t="s">
        <v>21477</v>
      </c>
      <c r="T1086">
        <v>113</v>
      </c>
      <c r="U1086" t="s">
        <v>108</v>
      </c>
      <c r="V1086">
        <v>44</v>
      </c>
      <c r="W1086" t="str">
        <f>HYPERLINK("Gene3660-zp_tree_all.dnd", "Gene3660-tree")</f>
        <v>Gene3660-tree</v>
      </c>
      <c r="X1086">
        <v>3</v>
      </c>
      <c r="Y1086">
        <v>4</v>
      </c>
      <c r="Z1086">
        <v>3</v>
      </c>
      <c r="AA1086">
        <v>4</v>
      </c>
      <c r="AB1086">
        <v>0.57142999999999999</v>
      </c>
      <c r="AC1086" t="s">
        <v>324</v>
      </c>
      <c r="AD1086" t="s">
        <v>61</v>
      </c>
      <c r="AE1086" t="s">
        <v>62</v>
      </c>
      <c r="AF1086" t="s">
        <v>62</v>
      </c>
      <c r="AG1086">
        <v>3</v>
      </c>
      <c r="AH1086">
        <v>6</v>
      </c>
      <c r="AI1086">
        <v>4</v>
      </c>
      <c r="AJ1086">
        <v>0.6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2</v>
      </c>
      <c r="AQ1086">
        <v>2</v>
      </c>
      <c r="AR1086">
        <v>4</v>
      </c>
      <c r="AS1086">
        <v>4</v>
      </c>
      <c r="AT1086">
        <v>0.5</v>
      </c>
      <c r="AU1086">
        <v>6</v>
      </c>
      <c r="AV1086">
        <v>4</v>
      </c>
      <c r="AW1086">
        <v>8</v>
      </c>
      <c r="AX1086">
        <v>8</v>
      </c>
      <c r="AY1086">
        <v>11</v>
      </c>
      <c r="AZ1086">
        <v>2</v>
      </c>
      <c r="BA1086" t="s">
        <v>21478</v>
      </c>
      <c r="BB1086" t="s">
        <v>21479</v>
      </c>
      <c r="BC1086">
        <v>1.254</v>
      </c>
      <c r="BD1086" t="s">
        <v>65</v>
      </c>
      <c r="BE1086">
        <v>19</v>
      </c>
      <c r="BF1086">
        <v>10</v>
      </c>
      <c r="BG1086" t="s">
        <v>21480</v>
      </c>
      <c r="BH1086" t="s">
        <v>21481</v>
      </c>
      <c r="BI1086" t="s">
        <v>21482</v>
      </c>
      <c r="BJ1086">
        <v>0.11339</v>
      </c>
      <c r="BK1086">
        <v>1</v>
      </c>
      <c r="BL1086" t="s">
        <v>69</v>
      </c>
      <c r="BM1086">
        <v>1.143</v>
      </c>
      <c r="BN1086">
        <v>-0.36299999999999999</v>
      </c>
    </row>
    <row r="1087" spans="2:66">
      <c r="B1087">
        <v>1736</v>
      </c>
      <c r="C1087">
        <v>29</v>
      </c>
      <c r="D1087">
        <v>0</v>
      </c>
      <c r="E1087">
        <v>2</v>
      </c>
      <c r="F1087">
        <v>1</v>
      </c>
      <c r="J1087">
        <v>0</v>
      </c>
      <c r="K1087">
        <v>7</v>
      </c>
      <c r="L1087">
        <v>1</v>
      </c>
      <c r="M1087" t="s">
        <v>25022</v>
      </c>
      <c r="N1087">
        <v>3661</v>
      </c>
      <c r="O1087" t="s">
        <v>21483</v>
      </c>
      <c r="P1087" t="s">
        <v>62</v>
      </c>
      <c r="Q1087">
        <v>3632491</v>
      </c>
      <c r="R1087">
        <v>3632889</v>
      </c>
      <c r="S1087" t="s">
        <v>21484</v>
      </c>
      <c r="T1087">
        <v>133</v>
      </c>
      <c r="U1087" t="s">
        <v>21485</v>
      </c>
      <c r="V1087">
        <v>47</v>
      </c>
      <c r="W1087" t="str">
        <f>HYPERLINK("Gene3661-zp_tree_all.dnd", "Gene3661-tree")</f>
        <v>Gene3661-tree</v>
      </c>
      <c r="X1087">
        <v>6</v>
      </c>
      <c r="Y1087">
        <v>9</v>
      </c>
      <c r="Z1087">
        <v>6</v>
      </c>
      <c r="AA1087">
        <v>9</v>
      </c>
      <c r="AB1087">
        <v>0.6</v>
      </c>
      <c r="AC1087" t="s">
        <v>90</v>
      </c>
      <c r="AD1087" t="s">
        <v>135</v>
      </c>
      <c r="AE1087" t="s">
        <v>62</v>
      </c>
      <c r="AF1087" t="s">
        <v>62</v>
      </c>
      <c r="AG1087">
        <v>3</v>
      </c>
      <c r="AH1087">
        <v>8</v>
      </c>
      <c r="AI1087">
        <v>8</v>
      </c>
      <c r="AJ1087">
        <v>0.5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2</v>
      </c>
      <c r="AR1087">
        <v>2</v>
      </c>
      <c r="AS1087">
        <v>9</v>
      </c>
      <c r="AT1087">
        <v>0.18182000000000001</v>
      </c>
      <c r="AU1087">
        <v>13</v>
      </c>
      <c r="AV1087">
        <v>9</v>
      </c>
      <c r="AW1087">
        <v>26</v>
      </c>
      <c r="AX1087">
        <v>11</v>
      </c>
      <c r="AY1087">
        <v>26</v>
      </c>
      <c r="AZ1087">
        <v>5</v>
      </c>
      <c r="BA1087" t="s">
        <v>21486</v>
      </c>
      <c r="BB1087" t="s">
        <v>21487</v>
      </c>
      <c r="BC1087">
        <v>0.83599999999999997</v>
      </c>
      <c r="BD1087" t="s">
        <v>65</v>
      </c>
      <c r="BE1087">
        <v>52</v>
      </c>
      <c r="BF1087">
        <v>16</v>
      </c>
      <c r="BG1087" t="s">
        <v>21488</v>
      </c>
      <c r="BH1087" t="s">
        <v>21489</v>
      </c>
      <c r="BI1087" t="s">
        <v>21490</v>
      </c>
      <c r="BJ1087">
        <v>6.4810000000000006E-2</v>
      </c>
      <c r="BK1087">
        <v>1</v>
      </c>
      <c r="BL1087" t="s">
        <v>69</v>
      </c>
      <c r="BM1087">
        <v>-1.0249999999999999</v>
      </c>
      <c r="BN1087">
        <v>-2.3290000000000002</v>
      </c>
    </row>
    <row r="1088" spans="2:66">
      <c r="B1088">
        <v>1737</v>
      </c>
      <c r="C1088">
        <v>52</v>
      </c>
      <c r="D1088">
        <v>0</v>
      </c>
      <c r="E1088">
        <v>2</v>
      </c>
      <c r="F1088">
        <v>2</v>
      </c>
      <c r="J1088">
        <v>0</v>
      </c>
      <c r="K1088">
        <v>4</v>
      </c>
      <c r="L1088">
        <v>2</v>
      </c>
      <c r="M1088" t="s">
        <v>25022</v>
      </c>
      <c r="N1088">
        <v>3663</v>
      </c>
      <c r="O1088" t="s">
        <v>21491</v>
      </c>
      <c r="P1088" t="s">
        <v>62</v>
      </c>
      <c r="Q1088">
        <v>3634428</v>
      </c>
      <c r="R1088">
        <v>3634754</v>
      </c>
      <c r="S1088" t="s">
        <v>21492</v>
      </c>
      <c r="T1088">
        <v>109</v>
      </c>
      <c r="U1088" t="s">
        <v>21493</v>
      </c>
      <c r="V1088">
        <v>43</v>
      </c>
      <c r="W1088" t="str">
        <f>HYPERLINK("Gene3663-zp_tree_all.dnd", "Gene3663-tree")</f>
        <v>Gene3663-tree</v>
      </c>
      <c r="X1088">
        <v>25</v>
      </c>
      <c r="Y1088">
        <v>6</v>
      </c>
      <c r="Z1088">
        <v>3</v>
      </c>
      <c r="AA1088">
        <v>6</v>
      </c>
      <c r="AB1088">
        <v>0.66666999999999998</v>
      </c>
      <c r="AC1088" t="s">
        <v>3530</v>
      </c>
      <c r="AD1088" t="s">
        <v>90</v>
      </c>
      <c r="AE1088" t="s">
        <v>62</v>
      </c>
      <c r="AF1088" t="s">
        <v>62</v>
      </c>
      <c r="AG1088">
        <v>3</v>
      </c>
      <c r="AH1088">
        <v>6</v>
      </c>
      <c r="AI1088">
        <v>8</v>
      </c>
      <c r="AJ1088">
        <v>0.42857000000000001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2</v>
      </c>
      <c r="AQ1088">
        <v>2</v>
      </c>
      <c r="AR1088">
        <v>4</v>
      </c>
      <c r="AS1088">
        <v>6</v>
      </c>
      <c r="AT1088">
        <v>0.4</v>
      </c>
      <c r="AU1088">
        <v>8</v>
      </c>
      <c r="AV1088">
        <v>3</v>
      </c>
      <c r="AW1088">
        <v>12</v>
      </c>
      <c r="AX1088">
        <v>10</v>
      </c>
      <c r="AY1088">
        <v>8</v>
      </c>
      <c r="AZ1088">
        <v>4</v>
      </c>
      <c r="BA1088" t="s">
        <v>21494</v>
      </c>
      <c r="BB1088" t="s">
        <v>21495</v>
      </c>
      <c r="BC1088">
        <v>0.57199999999999995</v>
      </c>
      <c r="BD1088" t="s">
        <v>65</v>
      </c>
      <c r="BE1088">
        <v>20</v>
      </c>
      <c r="BF1088">
        <v>14</v>
      </c>
      <c r="BG1088" t="s">
        <v>21496</v>
      </c>
      <c r="BH1088" t="s">
        <v>21497</v>
      </c>
      <c r="BI1088" t="s">
        <v>21498</v>
      </c>
      <c r="BJ1088">
        <v>0.17648</v>
      </c>
      <c r="BK1088">
        <v>1</v>
      </c>
      <c r="BL1088" t="s">
        <v>69</v>
      </c>
      <c r="BM1088">
        <v>-1.853</v>
      </c>
      <c r="BN1088">
        <v>-2.528</v>
      </c>
    </row>
    <row r="1089" spans="2:66">
      <c r="B1089">
        <v>1740</v>
      </c>
      <c r="C1089">
        <v>224</v>
      </c>
      <c r="D1089">
        <v>0</v>
      </c>
      <c r="E1089">
        <v>0</v>
      </c>
      <c r="F1089">
        <v>3</v>
      </c>
      <c r="J1089">
        <v>0</v>
      </c>
      <c r="K1089">
        <v>6</v>
      </c>
      <c r="L1089">
        <v>0</v>
      </c>
      <c r="M1089" t="s">
        <v>25022</v>
      </c>
      <c r="N1089">
        <v>3665</v>
      </c>
      <c r="O1089" t="s">
        <v>21499</v>
      </c>
      <c r="P1089" t="s">
        <v>62</v>
      </c>
      <c r="Q1089">
        <v>3636049</v>
      </c>
      <c r="R1089">
        <v>3636270</v>
      </c>
      <c r="S1089" t="s">
        <v>21500</v>
      </c>
      <c r="T1089">
        <v>74</v>
      </c>
      <c r="U1089" t="s">
        <v>59</v>
      </c>
      <c r="V1089">
        <v>49</v>
      </c>
      <c r="W1089" t="str">
        <f>HYPERLINK("Gene3665-zp_tree_all.dnd", "Gene3665-tree")</f>
        <v>Gene3665-tree</v>
      </c>
      <c r="X1089">
        <v>30</v>
      </c>
      <c r="Y1089">
        <v>7</v>
      </c>
      <c r="Z1089">
        <v>7</v>
      </c>
      <c r="AA1089">
        <v>7</v>
      </c>
      <c r="AB1089">
        <v>0.5</v>
      </c>
      <c r="AC1089" t="s">
        <v>5684</v>
      </c>
      <c r="AD1089" t="s">
        <v>152</v>
      </c>
      <c r="AE1089" t="s">
        <v>62</v>
      </c>
      <c r="AF1089" t="s">
        <v>62</v>
      </c>
      <c r="AG1089">
        <v>3</v>
      </c>
      <c r="AH1089">
        <v>6</v>
      </c>
      <c r="AI1089">
        <v>3</v>
      </c>
      <c r="AJ1089">
        <v>0.66666999999999998</v>
      </c>
      <c r="AK1089">
        <v>0</v>
      </c>
      <c r="AL1089">
        <v>0</v>
      </c>
      <c r="AM1089">
        <v>0</v>
      </c>
      <c r="AN1089">
        <v>2</v>
      </c>
      <c r="AO1089">
        <v>0</v>
      </c>
      <c r="AP1089">
        <v>2</v>
      </c>
      <c r="AQ1089">
        <v>0</v>
      </c>
      <c r="AR1089">
        <v>2</v>
      </c>
      <c r="AS1089">
        <v>5</v>
      </c>
      <c r="AT1089">
        <v>0.28571000000000002</v>
      </c>
      <c r="AU1089">
        <v>8</v>
      </c>
      <c r="AV1089">
        <v>8</v>
      </c>
      <c r="AW1089">
        <v>11</v>
      </c>
      <c r="AX1089">
        <v>5</v>
      </c>
      <c r="AY1089">
        <v>16</v>
      </c>
      <c r="AZ1089">
        <v>4</v>
      </c>
      <c r="BA1089" t="s">
        <v>21501</v>
      </c>
      <c r="BB1089" t="s">
        <v>21502</v>
      </c>
      <c r="BC1089">
        <v>0.629</v>
      </c>
      <c r="BD1089" t="s">
        <v>65</v>
      </c>
      <c r="BE1089">
        <v>27</v>
      </c>
      <c r="BF1089">
        <v>9</v>
      </c>
      <c r="BG1089" t="s">
        <v>21503</v>
      </c>
      <c r="BH1089" t="s">
        <v>21504</v>
      </c>
      <c r="BI1089" t="s">
        <v>3542</v>
      </c>
      <c r="BJ1089">
        <v>6.7680000000000004E-2</v>
      </c>
      <c r="BK1089">
        <v>1</v>
      </c>
      <c r="BL1089" t="s">
        <v>69</v>
      </c>
      <c r="BM1089">
        <v>-0.91900000000000004</v>
      </c>
      <c r="BN1089">
        <v>-1.107</v>
      </c>
    </row>
    <row r="1090" spans="2:66">
      <c r="B1090">
        <v>1743</v>
      </c>
      <c r="C1090">
        <v>149</v>
      </c>
      <c r="D1090">
        <v>0</v>
      </c>
      <c r="E1090">
        <v>8</v>
      </c>
      <c r="F1090">
        <v>1</v>
      </c>
      <c r="J1090">
        <v>0</v>
      </c>
      <c r="K1090">
        <v>0</v>
      </c>
      <c r="L1090">
        <v>0</v>
      </c>
      <c r="M1090" t="s">
        <v>25022</v>
      </c>
      <c r="N1090">
        <v>3666</v>
      </c>
      <c r="O1090" t="s">
        <v>21505</v>
      </c>
      <c r="P1090" t="s">
        <v>62</v>
      </c>
      <c r="Q1090">
        <v>3636267</v>
      </c>
      <c r="R1090">
        <v>3636695</v>
      </c>
      <c r="S1090" t="s">
        <v>21506</v>
      </c>
      <c r="T1090">
        <v>143</v>
      </c>
      <c r="U1090" t="s">
        <v>21507</v>
      </c>
      <c r="V1090">
        <v>48</v>
      </c>
      <c r="W1090" t="str">
        <f>HYPERLINK("Gene3666-zp_tree_all.dnd", "Gene3666-tree")</f>
        <v>Gene3666-tree</v>
      </c>
      <c r="X1090">
        <v>9</v>
      </c>
      <c r="Y1090">
        <v>3</v>
      </c>
      <c r="Z1090">
        <v>9</v>
      </c>
      <c r="AA1090">
        <v>3</v>
      </c>
      <c r="AB1090">
        <v>0.25</v>
      </c>
      <c r="AC1090" t="s">
        <v>135</v>
      </c>
      <c r="AD1090" t="s">
        <v>324</v>
      </c>
      <c r="AE1090" t="s">
        <v>62</v>
      </c>
      <c r="AF1090" t="s">
        <v>62</v>
      </c>
      <c r="AG1090">
        <v>0</v>
      </c>
      <c r="AH1090">
        <v>0</v>
      </c>
      <c r="AI1090">
        <v>6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3</v>
      </c>
      <c r="AT1090">
        <v>0</v>
      </c>
      <c r="AU1090">
        <v>9</v>
      </c>
      <c r="AV1090">
        <v>8</v>
      </c>
      <c r="AW1090">
        <v>20</v>
      </c>
      <c r="AX1090">
        <v>3</v>
      </c>
      <c r="AY1090">
        <v>26</v>
      </c>
      <c r="AZ1090">
        <v>3</v>
      </c>
      <c r="BA1090" t="s">
        <v>21508</v>
      </c>
      <c r="BB1090" t="s">
        <v>21509</v>
      </c>
      <c r="BC1090">
        <v>0.112</v>
      </c>
      <c r="BD1090" t="s">
        <v>65</v>
      </c>
      <c r="BE1090">
        <v>46</v>
      </c>
      <c r="BF1090">
        <v>6</v>
      </c>
      <c r="BG1090" t="s">
        <v>21510</v>
      </c>
      <c r="BH1090" t="s">
        <v>21511</v>
      </c>
      <c r="BI1090" t="s">
        <v>21512</v>
      </c>
      <c r="BJ1090">
        <v>4.3860000000000003E-2</v>
      </c>
      <c r="BK1090">
        <v>1</v>
      </c>
      <c r="BL1090" t="s">
        <v>69</v>
      </c>
      <c r="BM1090">
        <v>-0.82499999999999996</v>
      </c>
      <c r="BN1090">
        <v>-0.32900000000000001</v>
      </c>
    </row>
    <row r="1091" spans="2:66">
      <c r="B1091">
        <v>1744</v>
      </c>
      <c r="C1091">
        <v>117</v>
      </c>
      <c r="D1091">
        <v>0</v>
      </c>
      <c r="E1091">
        <v>2</v>
      </c>
      <c r="F1091">
        <v>3</v>
      </c>
      <c r="J1091">
        <v>0</v>
      </c>
      <c r="K1091">
        <v>0</v>
      </c>
      <c r="L1091">
        <v>0</v>
      </c>
      <c r="M1091" t="s">
        <v>25022</v>
      </c>
      <c r="N1091">
        <v>3667</v>
      </c>
      <c r="O1091" t="s">
        <v>21513</v>
      </c>
      <c r="P1091" t="s">
        <v>62</v>
      </c>
      <c r="Q1091">
        <v>3636719</v>
      </c>
      <c r="R1091">
        <v>3637291</v>
      </c>
      <c r="S1091" t="s">
        <v>116</v>
      </c>
      <c r="T1091">
        <v>191</v>
      </c>
      <c r="U1091" t="s">
        <v>108</v>
      </c>
      <c r="V1091">
        <v>44</v>
      </c>
      <c r="W1091" t="str">
        <f>HYPERLINK("Gene3667-zp_tree_all.dnd", "Gene3667-tree")</f>
        <v>Gene3667-tree</v>
      </c>
      <c r="X1091">
        <v>7</v>
      </c>
      <c r="Y1091">
        <v>3</v>
      </c>
      <c r="Z1091">
        <v>7</v>
      </c>
      <c r="AA1091">
        <v>3</v>
      </c>
      <c r="AB1091">
        <v>0.3</v>
      </c>
      <c r="AC1091" t="s">
        <v>152</v>
      </c>
      <c r="AD1091" t="s">
        <v>324</v>
      </c>
      <c r="AE1091" t="s">
        <v>62</v>
      </c>
      <c r="AF1091" t="s">
        <v>62</v>
      </c>
      <c r="AG1091">
        <v>0</v>
      </c>
      <c r="AH1091">
        <v>0</v>
      </c>
      <c r="AI1091">
        <v>6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5</v>
      </c>
      <c r="AT1091">
        <v>0</v>
      </c>
      <c r="AU1091">
        <v>7</v>
      </c>
      <c r="AV1091">
        <v>6</v>
      </c>
      <c r="AW1091">
        <v>18</v>
      </c>
      <c r="AX1091">
        <v>5</v>
      </c>
      <c r="AY1091">
        <v>8</v>
      </c>
      <c r="AZ1091">
        <v>1</v>
      </c>
      <c r="BA1091" t="s">
        <v>21514</v>
      </c>
      <c r="BB1091" t="s">
        <v>21515</v>
      </c>
      <c r="BC1091">
        <v>0.42599999999999999</v>
      </c>
      <c r="BD1091" t="s">
        <v>65</v>
      </c>
      <c r="BE1091">
        <v>26</v>
      </c>
      <c r="BF1091">
        <v>6</v>
      </c>
      <c r="BG1091" t="s">
        <v>21516</v>
      </c>
      <c r="BH1091" t="s">
        <v>21517</v>
      </c>
      <c r="BI1091" t="s">
        <v>21518</v>
      </c>
      <c r="BJ1091">
        <v>5.6759999999999998E-2</v>
      </c>
      <c r="BK1091">
        <v>1</v>
      </c>
      <c r="BL1091" t="s">
        <v>69</v>
      </c>
      <c r="BM1091">
        <v>-0.49299999999999999</v>
      </c>
      <c r="BN1091">
        <v>-2.0329999999999999</v>
      </c>
    </row>
    <row r="1092" spans="2:66">
      <c r="B1092">
        <v>1746</v>
      </c>
      <c r="C1092">
        <v>328</v>
      </c>
      <c r="D1092">
        <v>0</v>
      </c>
      <c r="E1092">
        <v>9</v>
      </c>
      <c r="F1092">
        <v>0</v>
      </c>
      <c r="J1092">
        <v>0</v>
      </c>
      <c r="K1092">
        <v>0</v>
      </c>
      <c r="L1092">
        <v>2</v>
      </c>
      <c r="M1092" t="s">
        <v>25022</v>
      </c>
      <c r="N1092">
        <v>3668</v>
      </c>
      <c r="O1092" t="s">
        <v>21519</v>
      </c>
      <c r="P1092" t="s">
        <v>62</v>
      </c>
      <c r="Q1092">
        <v>3637341</v>
      </c>
      <c r="R1092">
        <v>3638234</v>
      </c>
      <c r="S1092" t="s">
        <v>21520</v>
      </c>
      <c r="T1092">
        <v>298</v>
      </c>
      <c r="U1092" t="s">
        <v>108</v>
      </c>
      <c r="V1092">
        <v>44</v>
      </c>
      <c r="W1092" t="str">
        <f>HYPERLINK("Gene3668-zp_tree_all.dnd", "Gene3668-tree")</f>
        <v>Gene3668-tree</v>
      </c>
      <c r="X1092">
        <v>10</v>
      </c>
      <c r="Y1092">
        <v>1</v>
      </c>
      <c r="Z1092">
        <v>10</v>
      </c>
      <c r="AA1092">
        <v>1</v>
      </c>
      <c r="AB1092">
        <v>9.0910000000000005E-2</v>
      </c>
      <c r="AC1092" t="s">
        <v>117</v>
      </c>
      <c r="AD1092" t="s">
        <v>175</v>
      </c>
      <c r="AE1092" t="s">
        <v>62</v>
      </c>
      <c r="AF1092" t="s">
        <v>62</v>
      </c>
      <c r="AG1092">
        <v>1</v>
      </c>
      <c r="AH1092">
        <v>2</v>
      </c>
      <c r="AI1092">
        <v>4</v>
      </c>
      <c r="AJ1092">
        <v>0.33333000000000002</v>
      </c>
      <c r="AK1092">
        <v>0</v>
      </c>
      <c r="AL1092">
        <v>0</v>
      </c>
      <c r="AM1092">
        <v>0</v>
      </c>
      <c r="AN1092">
        <v>2</v>
      </c>
      <c r="AO1092">
        <v>0</v>
      </c>
      <c r="AP1092">
        <v>0</v>
      </c>
      <c r="AQ1092">
        <v>0</v>
      </c>
      <c r="AR1092">
        <v>0</v>
      </c>
      <c r="AS1092">
        <v>2</v>
      </c>
      <c r="AT1092">
        <v>0</v>
      </c>
      <c r="AU1092">
        <v>9</v>
      </c>
      <c r="AV1092">
        <v>7</v>
      </c>
      <c r="AW1092">
        <v>19</v>
      </c>
      <c r="AX1092">
        <v>2</v>
      </c>
      <c r="AY1092">
        <v>14</v>
      </c>
      <c r="AZ1092">
        <v>4</v>
      </c>
      <c r="BA1092" t="s">
        <v>21521</v>
      </c>
      <c r="BB1092" t="s">
        <v>21522</v>
      </c>
      <c r="BC1092">
        <v>0.46600000000000003</v>
      </c>
      <c r="BD1092" t="s">
        <v>65</v>
      </c>
      <c r="BE1092">
        <v>33</v>
      </c>
      <c r="BF1092">
        <v>6</v>
      </c>
      <c r="BG1092" t="s">
        <v>21523</v>
      </c>
      <c r="BH1092" t="s">
        <v>21524</v>
      </c>
      <c r="BI1092" t="s">
        <v>21331</v>
      </c>
      <c r="BJ1092">
        <v>6.2539999999999998E-2</v>
      </c>
      <c r="BK1092">
        <v>1</v>
      </c>
      <c r="BL1092" t="s">
        <v>69</v>
      </c>
      <c r="BM1092">
        <v>4.0000000000000001E-3</v>
      </c>
      <c r="BN1092">
        <v>-0.52900000000000003</v>
      </c>
    </row>
    <row r="1093" spans="2:66">
      <c r="B1093">
        <v>1747</v>
      </c>
      <c r="C1093">
        <v>223</v>
      </c>
      <c r="D1093">
        <v>0</v>
      </c>
      <c r="E1093">
        <v>2</v>
      </c>
      <c r="F1093">
        <v>0</v>
      </c>
      <c r="J1093">
        <v>0</v>
      </c>
      <c r="K1093">
        <v>0</v>
      </c>
      <c r="L1093">
        <v>0</v>
      </c>
      <c r="M1093" t="s">
        <v>25022</v>
      </c>
      <c r="N1093">
        <v>3669</v>
      </c>
      <c r="O1093" t="s">
        <v>21525</v>
      </c>
      <c r="P1093" t="s">
        <v>62</v>
      </c>
      <c r="Q1093">
        <v>3638248</v>
      </c>
      <c r="R1093">
        <v>3639768</v>
      </c>
      <c r="S1093" t="s">
        <v>21526</v>
      </c>
      <c r="T1093">
        <v>507</v>
      </c>
      <c r="U1093" t="s">
        <v>108</v>
      </c>
      <c r="V1093">
        <v>44</v>
      </c>
      <c r="W1093" t="str">
        <f>HYPERLINK("Gene3669-zp_tree_all.dnd", "Gene3669-tree")</f>
        <v>Gene3669-tree</v>
      </c>
      <c r="X1093">
        <v>31</v>
      </c>
      <c r="Y1093">
        <v>3</v>
      </c>
      <c r="Z1093">
        <v>9</v>
      </c>
      <c r="AA1093">
        <v>3</v>
      </c>
      <c r="AB1093">
        <v>0.25</v>
      </c>
      <c r="AC1093" t="s">
        <v>7370</v>
      </c>
      <c r="AD1093" t="s">
        <v>324</v>
      </c>
      <c r="AE1093" t="s">
        <v>62</v>
      </c>
      <c r="AF1093" t="s">
        <v>62</v>
      </c>
      <c r="AG1093">
        <v>0</v>
      </c>
      <c r="AH1093">
        <v>0</v>
      </c>
      <c r="AI1093">
        <v>6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4</v>
      </c>
      <c r="AT1093">
        <v>0</v>
      </c>
      <c r="AU1093">
        <v>11</v>
      </c>
      <c r="AV1093">
        <v>9</v>
      </c>
      <c r="AW1093">
        <v>44</v>
      </c>
      <c r="AX1093">
        <v>4</v>
      </c>
      <c r="AY1093">
        <v>24</v>
      </c>
      <c r="AZ1093">
        <v>2</v>
      </c>
      <c r="BA1093" t="s">
        <v>21527</v>
      </c>
      <c r="BB1093" t="s">
        <v>21528</v>
      </c>
      <c r="BC1093">
        <v>4.3999999999999997E-2</v>
      </c>
      <c r="BD1093" t="s">
        <v>65</v>
      </c>
      <c r="BE1093">
        <v>68</v>
      </c>
      <c r="BF1093">
        <v>6</v>
      </c>
      <c r="BG1093" t="s">
        <v>21529</v>
      </c>
      <c r="BH1093" t="s">
        <v>21530</v>
      </c>
      <c r="BI1093" t="s">
        <v>21531</v>
      </c>
      <c r="BJ1093">
        <v>2.7789999999999999E-2</v>
      </c>
      <c r="BK1093">
        <v>1</v>
      </c>
      <c r="BL1093" t="s">
        <v>69</v>
      </c>
      <c r="BM1093">
        <v>-0.55300000000000005</v>
      </c>
      <c r="BN1093">
        <v>-1.59</v>
      </c>
    </row>
    <row r="1094" spans="2:66">
      <c r="B1094">
        <v>1748</v>
      </c>
      <c r="C1094">
        <v>38</v>
      </c>
      <c r="D1094">
        <v>0</v>
      </c>
      <c r="E1094">
        <v>2</v>
      </c>
      <c r="F1094">
        <v>0</v>
      </c>
      <c r="J1094">
        <v>0</v>
      </c>
      <c r="K1094">
        <v>0</v>
      </c>
      <c r="L1094">
        <v>0</v>
      </c>
      <c r="M1094" t="s">
        <v>25022</v>
      </c>
      <c r="N1094">
        <v>3670</v>
      </c>
      <c r="O1094" t="s">
        <v>21532</v>
      </c>
      <c r="P1094" t="s">
        <v>62</v>
      </c>
      <c r="Q1094">
        <v>3639790</v>
      </c>
      <c r="R1094">
        <v>3640269</v>
      </c>
      <c r="S1094" t="s">
        <v>21533</v>
      </c>
      <c r="T1094">
        <v>160</v>
      </c>
      <c r="U1094" t="s">
        <v>108</v>
      </c>
      <c r="V1094">
        <v>44</v>
      </c>
      <c r="W1094" t="str">
        <f>HYPERLINK("Gene3670-zp_tree_all.dnd", "Gene3670-tree")</f>
        <v>Gene3670-tree</v>
      </c>
      <c r="X1094">
        <v>5</v>
      </c>
      <c r="Y1094">
        <v>2</v>
      </c>
      <c r="Z1094">
        <v>5</v>
      </c>
      <c r="AA1094">
        <v>2</v>
      </c>
      <c r="AB1094">
        <v>0.28571000000000002</v>
      </c>
      <c r="AC1094" t="s">
        <v>199</v>
      </c>
      <c r="AD1094" t="s">
        <v>81</v>
      </c>
      <c r="AE1094" t="s">
        <v>62</v>
      </c>
      <c r="AF1094" t="s">
        <v>62</v>
      </c>
      <c r="AG1094">
        <v>0</v>
      </c>
      <c r="AH1094">
        <v>0</v>
      </c>
      <c r="AI1094">
        <v>3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</v>
      </c>
      <c r="AT1094">
        <v>0</v>
      </c>
      <c r="AU1094">
        <v>5</v>
      </c>
      <c r="AV1094">
        <v>2</v>
      </c>
      <c r="AW1094">
        <v>7</v>
      </c>
      <c r="AX1094">
        <v>1</v>
      </c>
      <c r="AY1094">
        <v>0</v>
      </c>
      <c r="AZ1094">
        <v>2</v>
      </c>
      <c r="BA1094" t="s">
        <v>21534</v>
      </c>
      <c r="BB1094" t="s">
        <v>193</v>
      </c>
      <c r="BC1094">
        <v>0.51600000000000001</v>
      </c>
      <c r="BD1094" t="s">
        <v>65</v>
      </c>
      <c r="BE1094">
        <v>7</v>
      </c>
      <c r="BF1094">
        <v>3</v>
      </c>
      <c r="BG1094" t="s">
        <v>21535</v>
      </c>
      <c r="BH1094" t="s">
        <v>21536</v>
      </c>
      <c r="BI1094" t="s">
        <v>21537</v>
      </c>
      <c r="BJ1094">
        <v>0.17563999999999999</v>
      </c>
      <c r="BK1094">
        <v>1</v>
      </c>
      <c r="BL1094" t="s">
        <v>69</v>
      </c>
      <c r="BM1094">
        <v>-0.46</v>
      </c>
      <c r="BN1094">
        <v>-1.577</v>
      </c>
    </row>
    <row r="1095" spans="2:66">
      <c r="B1095">
        <v>1756</v>
      </c>
      <c r="C1095">
        <v>12</v>
      </c>
      <c r="D1095">
        <v>0</v>
      </c>
      <c r="E1095">
        <v>9</v>
      </c>
      <c r="F1095">
        <v>0</v>
      </c>
      <c r="J1095">
        <v>0</v>
      </c>
      <c r="K1095">
        <v>0</v>
      </c>
      <c r="L1095">
        <v>0</v>
      </c>
      <c r="M1095" t="s">
        <v>25022</v>
      </c>
      <c r="N1095">
        <v>3671</v>
      </c>
      <c r="O1095" t="s">
        <v>21538</v>
      </c>
      <c r="P1095" t="s">
        <v>62</v>
      </c>
      <c r="Q1095">
        <v>3640288</v>
      </c>
      <c r="R1095">
        <v>3640551</v>
      </c>
      <c r="S1095" t="s">
        <v>21539</v>
      </c>
      <c r="T1095">
        <v>88</v>
      </c>
      <c r="U1095" t="s">
        <v>59</v>
      </c>
      <c r="V1095">
        <v>49</v>
      </c>
      <c r="W1095" t="str">
        <f>HYPERLINK("Gene3671-zp_tree_all.dnd", "Gene3671-tree")</f>
        <v>Gene3671-tree</v>
      </c>
      <c r="X1095">
        <v>6</v>
      </c>
      <c r="Y1095">
        <v>4</v>
      </c>
      <c r="Z1095">
        <v>6</v>
      </c>
      <c r="AA1095">
        <v>4</v>
      </c>
      <c r="AB1095">
        <v>0.4</v>
      </c>
      <c r="AC1095" t="s">
        <v>90</v>
      </c>
      <c r="AD1095" t="s">
        <v>61</v>
      </c>
      <c r="AE1095" t="s">
        <v>62</v>
      </c>
      <c r="AF1095" t="s">
        <v>62</v>
      </c>
      <c r="AG1095">
        <v>0</v>
      </c>
      <c r="AH1095">
        <v>0</v>
      </c>
      <c r="AI1095">
        <v>10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4</v>
      </c>
      <c r="AT1095">
        <v>0</v>
      </c>
      <c r="AU1095">
        <v>7</v>
      </c>
      <c r="AV1095">
        <v>5</v>
      </c>
      <c r="AW1095">
        <v>4</v>
      </c>
      <c r="AX1095">
        <v>3</v>
      </c>
      <c r="AY1095">
        <v>6</v>
      </c>
      <c r="AZ1095">
        <v>7</v>
      </c>
      <c r="BA1095" t="s">
        <v>21540</v>
      </c>
      <c r="BB1095" t="s">
        <v>21541</v>
      </c>
      <c r="BC1095">
        <v>0.49199999999999999</v>
      </c>
      <c r="BD1095" t="s">
        <v>65</v>
      </c>
      <c r="BE1095">
        <v>10</v>
      </c>
      <c r="BF1095">
        <v>10</v>
      </c>
      <c r="BG1095" t="s">
        <v>21542</v>
      </c>
      <c r="BH1095" t="s">
        <v>21543</v>
      </c>
      <c r="BI1095" t="s">
        <v>21544</v>
      </c>
      <c r="BJ1095">
        <v>0.25746000000000002</v>
      </c>
      <c r="BK1095">
        <v>0.98</v>
      </c>
      <c r="BL1095" t="s">
        <v>69</v>
      </c>
      <c r="BM1095">
        <v>-0.47499999999999998</v>
      </c>
      <c r="BN1095">
        <v>0.13400000000000001</v>
      </c>
    </row>
    <row r="1096" spans="2:66">
      <c r="B1096">
        <v>1760</v>
      </c>
      <c r="C1096">
        <v>76</v>
      </c>
      <c r="D1096">
        <v>0</v>
      </c>
      <c r="E1096">
        <v>7</v>
      </c>
      <c r="F1096">
        <v>0</v>
      </c>
      <c r="J1096">
        <v>0</v>
      </c>
      <c r="K1096">
        <v>0</v>
      </c>
      <c r="L1096">
        <v>0</v>
      </c>
      <c r="M1096" t="s">
        <v>25022</v>
      </c>
      <c r="N1096">
        <v>3672</v>
      </c>
      <c r="O1096" t="s">
        <v>21545</v>
      </c>
      <c r="P1096" t="s">
        <v>62</v>
      </c>
      <c r="Q1096">
        <v>3640635</v>
      </c>
      <c r="R1096">
        <v>3641051</v>
      </c>
      <c r="S1096" t="s">
        <v>21546</v>
      </c>
      <c r="T1096">
        <v>139</v>
      </c>
      <c r="U1096" t="s">
        <v>108</v>
      </c>
      <c r="V1096">
        <v>44</v>
      </c>
      <c r="W1096" t="str">
        <f>HYPERLINK("Gene3672-zp_tree_all.dnd", "Gene3672-tree")</f>
        <v>Gene3672-tree</v>
      </c>
      <c r="X1096">
        <v>26</v>
      </c>
      <c r="Y1096">
        <v>1</v>
      </c>
      <c r="Z1096">
        <v>7</v>
      </c>
      <c r="AA1096">
        <v>1</v>
      </c>
      <c r="AB1096">
        <v>0.125</v>
      </c>
      <c r="AC1096" t="s">
        <v>191</v>
      </c>
      <c r="AD1096" t="s">
        <v>175</v>
      </c>
      <c r="AE1096" t="s">
        <v>62</v>
      </c>
      <c r="AF1096" t="s">
        <v>62</v>
      </c>
      <c r="AG1096">
        <v>0</v>
      </c>
      <c r="AH1096">
        <v>0</v>
      </c>
      <c r="AI1096">
        <v>2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5</v>
      </c>
      <c r="AV1096">
        <v>2</v>
      </c>
      <c r="AW1096">
        <v>5</v>
      </c>
      <c r="AX1096">
        <v>1</v>
      </c>
      <c r="AY1096">
        <v>1</v>
      </c>
      <c r="AZ1096">
        <v>1</v>
      </c>
      <c r="BA1096" t="s">
        <v>21547</v>
      </c>
      <c r="BB1096" t="s">
        <v>21548</v>
      </c>
      <c r="BC1096">
        <v>0.54600000000000004</v>
      </c>
      <c r="BD1096" t="s">
        <v>65</v>
      </c>
      <c r="BE1096">
        <v>6</v>
      </c>
      <c r="BF1096">
        <v>2</v>
      </c>
      <c r="BG1096" t="s">
        <v>21549</v>
      </c>
      <c r="BH1096" t="s">
        <v>21550</v>
      </c>
      <c r="BI1096" t="s">
        <v>21551</v>
      </c>
      <c r="BJ1096">
        <v>0.12477000000000001</v>
      </c>
      <c r="BK1096">
        <v>0.95199999999999996</v>
      </c>
      <c r="BL1096" t="s">
        <v>69</v>
      </c>
      <c r="BM1096">
        <v>0.47399999999999998</v>
      </c>
      <c r="BN1096">
        <v>0.49099999999999999</v>
      </c>
    </row>
    <row r="1097" spans="2:66">
      <c r="B1097">
        <v>1761</v>
      </c>
      <c r="C1097">
        <v>342</v>
      </c>
      <c r="D1097">
        <v>0</v>
      </c>
      <c r="E1097">
        <v>5</v>
      </c>
      <c r="F1097">
        <v>0</v>
      </c>
      <c r="J1097">
        <v>0</v>
      </c>
      <c r="K1097">
        <v>0</v>
      </c>
      <c r="L1097">
        <v>0</v>
      </c>
      <c r="M1097" t="s">
        <v>25022</v>
      </c>
      <c r="N1097">
        <v>3673</v>
      </c>
      <c r="O1097" t="s">
        <v>21552</v>
      </c>
      <c r="P1097" t="s">
        <v>62</v>
      </c>
      <c r="Q1097">
        <v>3641128</v>
      </c>
      <c r="R1097">
        <v>3641847</v>
      </c>
      <c r="S1097" t="s">
        <v>21553</v>
      </c>
      <c r="T1097">
        <v>240</v>
      </c>
      <c r="U1097" t="s">
        <v>108</v>
      </c>
      <c r="V1097">
        <v>44</v>
      </c>
      <c r="W1097" t="str">
        <f>HYPERLINK("Gene3673-zp_tree_all.dnd", "Gene3673-tree")</f>
        <v>Gene3673-tree</v>
      </c>
      <c r="X1097">
        <v>3</v>
      </c>
      <c r="Y1097">
        <v>7</v>
      </c>
      <c r="Z1097">
        <v>3</v>
      </c>
      <c r="AA1097">
        <v>7</v>
      </c>
      <c r="AB1097">
        <v>0.7</v>
      </c>
      <c r="AC1097" t="s">
        <v>324</v>
      </c>
      <c r="AD1097" t="s">
        <v>152</v>
      </c>
      <c r="AE1097" t="s">
        <v>62</v>
      </c>
      <c r="AF1097" t="s">
        <v>62</v>
      </c>
      <c r="AG1097">
        <v>0</v>
      </c>
      <c r="AH1097">
        <v>0</v>
      </c>
      <c r="AI1097">
        <v>17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11</v>
      </c>
      <c r="AT1097">
        <v>0</v>
      </c>
      <c r="AU1097">
        <v>10</v>
      </c>
      <c r="AV1097">
        <v>4</v>
      </c>
      <c r="AW1097">
        <v>9</v>
      </c>
      <c r="AX1097">
        <v>11</v>
      </c>
      <c r="AY1097">
        <v>6</v>
      </c>
      <c r="AZ1097">
        <v>6</v>
      </c>
      <c r="BA1097" t="s">
        <v>21554</v>
      </c>
      <c r="BB1097" t="s">
        <v>21555</v>
      </c>
      <c r="BC1097">
        <v>0.36599999999999999</v>
      </c>
      <c r="BD1097" t="s">
        <v>65</v>
      </c>
      <c r="BE1097">
        <v>15</v>
      </c>
      <c r="BF1097">
        <v>17</v>
      </c>
      <c r="BG1097" t="s">
        <v>21556</v>
      </c>
      <c r="BH1097" t="s">
        <v>21557</v>
      </c>
      <c r="BI1097" t="s">
        <v>21558</v>
      </c>
      <c r="BJ1097">
        <v>0.38357999999999998</v>
      </c>
      <c r="BK1097">
        <v>0.95</v>
      </c>
      <c r="BL1097" t="s">
        <v>635</v>
      </c>
      <c r="BM1097">
        <v>-1.37</v>
      </c>
      <c r="BN1097">
        <v>-1.196</v>
      </c>
    </row>
    <row r="1098" spans="2:66">
      <c r="B1098">
        <v>1762</v>
      </c>
      <c r="C1098">
        <v>357</v>
      </c>
      <c r="D1098">
        <v>0</v>
      </c>
      <c r="E1098">
        <v>2</v>
      </c>
      <c r="F1098">
        <v>1</v>
      </c>
      <c r="J1098">
        <v>0</v>
      </c>
      <c r="K1098">
        <v>0</v>
      </c>
      <c r="L1098">
        <v>0</v>
      </c>
      <c r="M1098" t="s">
        <v>25022</v>
      </c>
      <c r="N1098">
        <v>3674</v>
      </c>
      <c r="O1098" t="s">
        <v>21559</v>
      </c>
      <c r="P1098" t="s">
        <v>62</v>
      </c>
      <c r="Q1098">
        <v>3641814</v>
      </c>
      <c r="R1098">
        <v>3642107</v>
      </c>
      <c r="S1098" t="s">
        <v>21560</v>
      </c>
      <c r="T1098">
        <v>98</v>
      </c>
      <c r="U1098" t="s">
        <v>108</v>
      </c>
      <c r="V1098">
        <v>44</v>
      </c>
      <c r="W1098" t="str">
        <f>HYPERLINK("Gene3674-zp_tree_all.dnd", "Gene3674-tree")</f>
        <v>Gene3674-tree</v>
      </c>
      <c r="X1098">
        <v>6</v>
      </c>
      <c r="Y1098">
        <v>0</v>
      </c>
      <c r="Z1098">
        <v>6</v>
      </c>
      <c r="AA1098">
        <v>0</v>
      </c>
      <c r="AB1098">
        <v>0</v>
      </c>
      <c r="AC1098" t="s">
        <v>90</v>
      </c>
      <c r="AD1098" t="s">
        <v>62</v>
      </c>
      <c r="AE1098" t="s">
        <v>62</v>
      </c>
      <c r="AF1098" t="s">
        <v>62</v>
      </c>
      <c r="AG1098">
        <v>0</v>
      </c>
      <c r="AH1098">
        <v>0</v>
      </c>
      <c r="AI1098">
        <v>2</v>
      </c>
      <c r="AJ1098">
        <v>0</v>
      </c>
      <c r="AK1098">
        <v>0</v>
      </c>
      <c r="AL1098">
        <v>0</v>
      </c>
      <c r="AM1098">
        <v>0</v>
      </c>
      <c r="AN1098">
        <v>2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3</v>
      </c>
      <c r="AV1098">
        <v>2</v>
      </c>
      <c r="AW1098">
        <v>3</v>
      </c>
      <c r="AX1098">
        <v>0</v>
      </c>
      <c r="AY1098">
        <v>2</v>
      </c>
      <c r="AZ1098">
        <v>2</v>
      </c>
      <c r="BA1098" t="s">
        <v>193</v>
      </c>
      <c r="BB1098" t="s">
        <v>21561</v>
      </c>
      <c r="BC1098">
        <v>0</v>
      </c>
      <c r="BD1098" t="s">
        <v>65</v>
      </c>
      <c r="BE1098">
        <v>5</v>
      </c>
      <c r="BF1098">
        <v>2</v>
      </c>
      <c r="BG1098" t="s">
        <v>21562</v>
      </c>
      <c r="BH1098" t="s">
        <v>21563</v>
      </c>
      <c r="BI1098" t="s">
        <v>21564</v>
      </c>
      <c r="BJ1098">
        <v>0.30736000000000002</v>
      </c>
      <c r="BK1098">
        <v>0.75700000000000001</v>
      </c>
      <c r="BL1098" t="s">
        <v>635</v>
      </c>
      <c r="BM1098">
        <v>-9.6000000000000002E-2</v>
      </c>
      <c r="BN1098">
        <v>-1.145</v>
      </c>
    </row>
    <row r="1099" spans="2:66">
      <c r="B1099">
        <v>1765</v>
      </c>
      <c r="C1099">
        <v>221</v>
      </c>
      <c r="D1099">
        <v>0</v>
      </c>
      <c r="E1099">
        <v>8</v>
      </c>
      <c r="F1099">
        <v>0</v>
      </c>
      <c r="J1099">
        <v>0</v>
      </c>
      <c r="K1099">
        <v>6</v>
      </c>
      <c r="L1099">
        <v>0</v>
      </c>
      <c r="M1099" t="s">
        <v>25022</v>
      </c>
      <c r="N1099">
        <v>3675</v>
      </c>
      <c r="O1099" t="s">
        <v>21565</v>
      </c>
      <c r="P1099" t="s">
        <v>62</v>
      </c>
      <c r="Q1099">
        <v>3642170</v>
      </c>
      <c r="R1099">
        <v>3643558</v>
      </c>
      <c r="S1099" t="s">
        <v>21566</v>
      </c>
      <c r="T1099">
        <v>463</v>
      </c>
      <c r="U1099" t="s">
        <v>108</v>
      </c>
      <c r="V1099">
        <v>44</v>
      </c>
      <c r="W1099" t="str">
        <f>HYPERLINK("Gene3675-zp_tree_all.dnd", "Gene3675-tree")</f>
        <v>Gene3675-tree</v>
      </c>
      <c r="X1099">
        <v>25</v>
      </c>
      <c r="Y1099">
        <v>7</v>
      </c>
      <c r="Z1099">
        <v>6</v>
      </c>
      <c r="AA1099">
        <v>7</v>
      </c>
      <c r="AB1099">
        <v>0.53846000000000005</v>
      </c>
      <c r="AC1099" t="s">
        <v>965</v>
      </c>
      <c r="AD1099" t="s">
        <v>152</v>
      </c>
      <c r="AE1099" t="s">
        <v>62</v>
      </c>
      <c r="AF1099" t="s">
        <v>62</v>
      </c>
      <c r="AG1099">
        <v>3</v>
      </c>
      <c r="AH1099">
        <v>6</v>
      </c>
      <c r="AI1099">
        <v>16</v>
      </c>
      <c r="AJ1099">
        <v>0.27272999999999997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12</v>
      </c>
      <c r="AT1099">
        <v>0</v>
      </c>
      <c r="AU1099">
        <v>12</v>
      </c>
      <c r="AV1099">
        <v>8</v>
      </c>
      <c r="AW1099">
        <v>13</v>
      </c>
      <c r="AX1099">
        <v>12</v>
      </c>
      <c r="AY1099">
        <v>20</v>
      </c>
      <c r="AZ1099">
        <v>10</v>
      </c>
      <c r="BA1099" t="s">
        <v>21567</v>
      </c>
      <c r="BB1099" t="s">
        <v>21568</v>
      </c>
      <c r="BC1099">
        <v>0.85299999999999998</v>
      </c>
      <c r="BD1099" t="s">
        <v>65</v>
      </c>
      <c r="BE1099">
        <v>33</v>
      </c>
      <c r="BF1099">
        <v>22</v>
      </c>
      <c r="BG1099" t="s">
        <v>21569</v>
      </c>
      <c r="BH1099" t="s">
        <v>21570</v>
      </c>
      <c r="BI1099" t="s">
        <v>21571</v>
      </c>
      <c r="BJ1099">
        <v>0.20633000000000001</v>
      </c>
      <c r="BK1099">
        <v>1</v>
      </c>
      <c r="BL1099" t="s">
        <v>69</v>
      </c>
      <c r="BM1099">
        <v>-3.7999999999999999E-2</v>
      </c>
      <c r="BN1099">
        <v>-1.0349999999999999</v>
      </c>
    </row>
    <row r="1100" spans="2:66">
      <c r="B1100">
        <v>1766</v>
      </c>
      <c r="C1100">
        <v>414</v>
      </c>
      <c r="D1100">
        <v>0</v>
      </c>
      <c r="E1100">
        <v>17</v>
      </c>
      <c r="F1100">
        <v>3</v>
      </c>
      <c r="J1100">
        <v>0</v>
      </c>
      <c r="K1100">
        <v>0</v>
      </c>
      <c r="L1100">
        <v>0</v>
      </c>
      <c r="M1100" t="s">
        <v>25022</v>
      </c>
      <c r="N1100">
        <v>3676</v>
      </c>
      <c r="O1100" t="s">
        <v>21572</v>
      </c>
      <c r="P1100" t="s">
        <v>62</v>
      </c>
      <c r="Q1100">
        <v>3643667</v>
      </c>
      <c r="R1100">
        <v>3644509</v>
      </c>
      <c r="S1100" t="s">
        <v>21573</v>
      </c>
      <c r="T1100">
        <v>281</v>
      </c>
      <c r="U1100" t="s">
        <v>108</v>
      </c>
      <c r="V1100">
        <v>44</v>
      </c>
      <c r="W1100" t="str">
        <f>HYPERLINK("Gene3676-zp_tree_all.dnd", "Gene3676-tree")</f>
        <v>Gene3676-tree</v>
      </c>
      <c r="X1100">
        <v>3</v>
      </c>
      <c r="Y1100">
        <v>7</v>
      </c>
      <c r="Z1100">
        <v>3</v>
      </c>
      <c r="AA1100">
        <v>7</v>
      </c>
      <c r="AB1100">
        <v>0.7</v>
      </c>
      <c r="AC1100" t="s">
        <v>324</v>
      </c>
      <c r="AD1100" t="s">
        <v>152</v>
      </c>
      <c r="AE1100" t="s">
        <v>62</v>
      </c>
      <c r="AF1100" t="s">
        <v>62</v>
      </c>
      <c r="AG1100">
        <v>0</v>
      </c>
      <c r="AH1100">
        <v>0</v>
      </c>
      <c r="AI1100">
        <v>9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8</v>
      </c>
      <c r="AT1100">
        <v>0</v>
      </c>
      <c r="AU1100">
        <v>9</v>
      </c>
      <c r="AV1100">
        <v>3</v>
      </c>
      <c r="AW1100">
        <v>24</v>
      </c>
      <c r="AX1100">
        <v>8</v>
      </c>
      <c r="AY1100">
        <v>2</v>
      </c>
      <c r="AZ1100">
        <v>1</v>
      </c>
      <c r="BA1100" t="s">
        <v>21574</v>
      </c>
      <c r="BB1100" t="s">
        <v>21575</v>
      </c>
      <c r="BC1100">
        <v>0.22900000000000001</v>
      </c>
      <c r="BD1100" t="s">
        <v>65</v>
      </c>
      <c r="BE1100">
        <v>26</v>
      </c>
      <c r="BF1100">
        <v>9</v>
      </c>
      <c r="BG1100" t="s">
        <v>21576</v>
      </c>
      <c r="BH1100" t="s">
        <v>21577</v>
      </c>
      <c r="BI1100" t="s">
        <v>21578</v>
      </c>
      <c r="BJ1100">
        <v>0.10382</v>
      </c>
      <c r="BK1100">
        <v>1</v>
      </c>
      <c r="BL1100" t="s">
        <v>69</v>
      </c>
      <c r="BM1100">
        <v>-2.0630000000000002</v>
      </c>
      <c r="BN1100">
        <v>-4.6680000000000001</v>
      </c>
    </row>
    <row r="1101" spans="2:66">
      <c r="B1101">
        <v>1767</v>
      </c>
      <c r="C1101">
        <v>118</v>
      </c>
      <c r="D1101">
        <v>0</v>
      </c>
      <c r="E1101">
        <v>4</v>
      </c>
      <c r="F1101">
        <v>0</v>
      </c>
      <c r="J1101">
        <v>0</v>
      </c>
      <c r="K1101">
        <v>0</v>
      </c>
      <c r="L1101">
        <v>0</v>
      </c>
      <c r="M1101" t="s">
        <v>25022</v>
      </c>
      <c r="N1101">
        <v>3677</v>
      </c>
      <c r="O1101" t="s">
        <v>21579</v>
      </c>
      <c r="P1101" t="s">
        <v>62</v>
      </c>
      <c r="Q1101">
        <v>3644610</v>
      </c>
      <c r="R1101">
        <v>3645296</v>
      </c>
      <c r="S1101" t="s">
        <v>3081</v>
      </c>
      <c r="T1101">
        <v>229</v>
      </c>
      <c r="U1101" t="s">
        <v>59</v>
      </c>
      <c r="V1101">
        <v>49</v>
      </c>
      <c r="W1101" t="str">
        <f>HYPERLINK("Gene3677-zp_tree_all.dnd", "Gene3677-tree")</f>
        <v>Gene3677-tree</v>
      </c>
      <c r="X1101">
        <v>12</v>
      </c>
      <c r="Y1101">
        <v>1</v>
      </c>
      <c r="Z1101">
        <v>12</v>
      </c>
      <c r="AA1101">
        <v>1</v>
      </c>
      <c r="AB1101">
        <v>7.6920000000000002E-2</v>
      </c>
      <c r="AC1101" t="s">
        <v>109</v>
      </c>
      <c r="AD1101" t="s">
        <v>175</v>
      </c>
      <c r="AE1101" t="s">
        <v>62</v>
      </c>
      <c r="AF1101" t="s">
        <v>62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10</v>
      </c>
      <c r="AV1101">
        <v>5</v>
      </c>
      <c r="AW1101">
        <v>19</v>
      </c>
      <c r="AX1101">
        <v>1</v>
      </c>
      <c r="AY1101">
        <v>21</v>
      </c>
      <c r="AZ1101">
        <v>0</v>
      </c>
      <c r="BA1101" t="s">
        <v>21580</v>
      </c>
      <c r="BB1101" t="s">
        <v>193</v>
      </c>
      <c r="BC1101">
        <v>0.33400000000000002</v>
      </c>
      <c r="BD1101" t="s">
        <v>65</v>
      </c>
      <c r="BE1101">
        <v>40</v>
      </c>
      <c r="BF1101">
        <v>1</v>
      </c>
      <c r="BG1101" t="s">
        <v>21581</v>
      </c>
      <c r="BH1101" t="s">
        <v>21582</v>
      </c>
      <c r="BI1101" t="s">
        <v>17092</v>
      </c>
      <c r="BJ1101">
        <v>4.2199999999999998E-3</v>
      </c>
      <c r="BK1101">
        <v>1</v>
      </c>
      <c r="BL1101" t="s">
        <v>69</v>
      </c>
      <c r="BM1101">
        <v>-1.22</v>
      </c>
      <c r="BN1101">
        <v>-0.23100000000000001</v>
      </c>
    </row>
    <row r="1102" spans="2:66">
      <c r="B1102">
        <v>1768</v>
      </c>
      <c r="C1102">
        <v>52</v>
      </c>
      <c r="D1102">
        <v>0</v>
      </c>
      <c r="E1102">
        <v>5</v>
      </c>
      <c r="F1102">
        <v>3</v>
      </c>
      <c r="J1102">
        <v>0</v>
      </c>
      <c r="K1102">
        <v>2</v>
      </c>
      <c r="L1102">
        <v>0</v>
      </c>
      <c r="M1102" t="s">
        <v>25022</v>
      </c>
      <c r="N1102">
        <v>3678</v>
      </c>
      <c r="O1102" t="s">
        <v>21583</v>
      </c>
      <c r="P1102" t="s">
        <v>62</v>
      </c>
      <c r="Q1102">
        <v>3645382</v>
      </c>
      <c r="R1102">
        <v>3646536</v>
      </c>
      <c r="S1102" t="s">
        <v>21584</v>
      </c>
      <c r="T1102">
        <v>385</v>
      </c>
      <c r="U1102" t="s">
        <v>59</v>
      </c>
      <c r="V1102">
        <v>49</v>
      </c>
      <c r="W1102" t="str">
        <f>HYPERLINK("Gene3678-zp_tree_all.dnd", "Gene3678-tree")</f>
        <v>Gene3678-tree</v>
      </c>
      <c r="X1102">
        <v>14</v>
      </c>
      <c r="Y1102">
        <v>3</v>
      </c>
      <c r="Z1102">
        <v>14</v>
      </c>
      <c r="AA1102">
        <v>3</v>
      </c>
      <c r="AB1102">
        <v>0.17646999999999999</v>
      </c>
      <c r="AC1102" t="s">
        <v>543</v>
      </c>
      <c r="AD1102" t="s">
        <v>324</v>
      </c>
      <c r="AE1102" t="s">
        <v>62</v>
      </c>
      <c r="AF1102" t="s">
        <v>62</v>
      </c>
      <c r="AG1102">
        <v>1</v>
      </c>
      <c r="AH1102">
        <v>2</v>
      </c>
      <c r="AI1102">
        <v>4</v>
      </c>
      <c r="AJ1102">
        <v>0.33333000000000002</v>
      </c>
      <c r="AK1102">
        <v>0</v>
      </c>
      <c r="AL1102">
        <v>0</v>
      </c>
      <c r="AM1102">
        <v>0</v>
      </c>
      <c r="AN1102">
        <v>2</v>
      </c>
      <c r="AO1102">
        <v>0</v>
      </c>
      <c r="AP1102">
        <v>0</v>
      </c>
      <c r="AQ1102">
        <v>0</v>
      </c>
      <c r="AR1102">
        <v>0</v>
      </c>
      <c r="AS1102">
        <v>3</v>
      </c>
      <c r="AT1102">
        <v>0</v>
      </c>
      <c r="AU1102">
        <v>11</v>
      </c>
      <c r="AV1102">
        <v>12</v>
      </c>
      <c r="AW1102">
        <v>33</v>
      </c>
      <c r="AX1102">
        <v>3</v>
      </c>
      <c r="AY1102">
        <v>60</v>
      </c>
      <c r="AZ1102">
        <v>3</v>
      </c>
      <c r="BA1102" t="s">
        <v>21585</v>
      </c>
      <c r="BB1102" t="s">
        <v>21586</v>
      </c>
      <c r="BC1102">
        <v>0.27200000000000002</v>
      </c>
      <c r="BD1102" t="s">
        <v>65</v>
      </c>
      <c r="BE1102">
        <v>93</v>
      </c>
      <c r="BF1102">
        <v>6</v>
      </c>
      <c r="BG1102" t="s">
        <v>21587</v>
      </c>
      <c r="BH1102" t="s">
        <v>21588</v>
      </c>
      <c r="BI1102" t="s">
        <v>21589</v>
      </c>
      <c r="BJ1102">
        <v>1.125E-2</v>
      </c>
      <c r="BK1102">
        <v>1</v>
      </c>
      <c r="BL1102" t="s">
        <v>69</v>
      </c>
      <c r="BM1102">
        <v>-1.462</v>
      </c>
      <c r="BN1102">
        <v>-1.02</v>
      </c>
    </row>
    <row r="1103" spans="2:66">
      <c r="B1103">
        <v>1769</v>
      </c>
      <c r="C1103">
        <v>124</v>
      </c>
      <c r="D1103">
        <v>0</v>
      </c>
      <c r="E1103">
        <v>4</v>
      </c>
      <c r="F1103">
        <v>0</v>
      </c>
      <c r="J1103">
        <v>0</v>
      </c>
      <c r="K1103">
        <v>0</v>
      </c>
      <c r="L1103">
        <v>0</v>
      </c>
      <c r="M1103" t="s">
        <v>25022</v>
      </c>
      <c r="N1103">
        <v>3681</v>
      </c>
      <c r="O1103" t="s">
        <v>21604</v>
      </c>
      <c r="P1103" t="s">
        <v>62</v>
      </c>
      <c r="Q1103">
        <v>3648657</v>
      </c>
      <c r="R1103">
        <v>3649730</v>
      </c>
      <c r="S1103" t="s">
        <v>21605</v>
      </c>
      <c r="T1103">
        <v>358</v>
      </c>
      <c r="U1103" t="s">
        <v>108</v>
      </c>
      <c r="V1103">
        <v>44</v>
      </c>
      <c r="W1103" t="str">
        <f>HYPERLINK("Gene3681-zp_tree_all.dnd", "Gene3681-tree")</f>
        <v>Gene3681-tree</v>
      </c>
      <c r="X1103">
        <v>15</v>
      </c>
      <c r="Y1103">
        <v>0</v>
      </c>
      <c r="Z1103">
        <v>15</v>
      </c>
      <c r="AA1103">
        <v>0</v>
      </c>
      <c r="AB1103">
        <v>0</v>
      </c>
      <c r="AC1103" t="s">
        <v>100</v>
      </c>
      <c r="AD1103" t="s">
        <v>62</v>
      </c>
      <c r="AE1103" t="s">
        <v>62</v>
      </c>
      <c r="AF1103" t="s">
        <v>62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9</v>
      </c>
      <c r="AV1103">
        <v>11</v>
      </c>
      <c r="AW1103">
        <v>20</v>
      </c>
      <c r="AX1103">
        <v>0</v>
      </c>
      <c r="AY1103">
        <v>31</v>
      </c>
      <c r="AZ1103">
        <v>1</v>
      </c>
      <c r="BA1103" t="s">
        <v>193</v>
      </c>
      <c r="BB1103" t="s">
        <v>21606</v>
      </c>
      <c r="BC1103">
        <v>0.32</v>
      </c>
      <c r="BD1103" t="s">
        <v>65</v>
      </c>
      <c r="BE1103">
        <v>51</v>
      </c>
      <c r="BF1103">
        <v>1</v>
      </c>
      <c r="BG1103" t="s">
        <v>21607</v>
      </c>
      <c r="BH1103" t="s">
        <v>21608</v>
      </c>
      <c r="BI1103" t="s">
        <v>15365</v>
      </c>
      <c r="BJ1103">
        <v>7.4200000000000004E-3</v>
      </c>
      <c r="BK1103">
        <v>1</v>
      </c>
      <c r="BL1103" t="s">
        <v>69</v>
      </c>
      <c r="BM1103">
        <v>-0.23300000000000001</v>
      </c>
      <c r="BN1103">
        <v>-1.194</v>
      </c>
    </row>
    <row r="1104" spans="2:66">
      <c r="B1104">
        <v>1771</v>
      </c>
      <c r="C1104">
        <v>13</v>
      </c>
      <c r="D1104">
        <v>0</v>
      </c>
      <c r="E1104">
        <v>2</v>
      </c>
      <c r="F1104">
        <v>0</v>
      </c>
      <c r="J1104">
        <v>0</v>
      </c>
      <c r="K1104">
        <v>17</v>
      </c>
      <c r="L1104">
        <v>0</v>
      </c>
      <c r="M1104" t="s">
        <v>25022</v>
      </c>
      <c r="N1104">
        <v>3682</v>
      </c>
      <c r="O1104" t="s">
        <v>21609</v>
      </c>
      <c r="P1104" t="s">
        <v>62</v>
      </c>
      <c r="Q1104">
        <v>3649878</v>
      </c>
      <c r="R1104">
        <v>3651068</v>
      </c>
      <c r="S1104" t="s">
        <v>21610</v>
      </c>
      <c r="T1104">
        <v>397</v>
      </c>
      <c r="U1104" t="s">
        <v>108</v>
      </c>
      <c r="V1104">
        <v>44</v>
      </c>
      <c r="W1104" t="str">
        <f>HYPERLINK("Gene3682-zp_tree_all.dnd", "Gene3682-tree")</f>
        <v>Gene3682-tree</v>
      </c>
      <c r="X1104">
        <v>3</v>
      </c>
      <c r="Y1104">
        <v>11</v>
      </c>
      <c r="Z1104">
        <v>3</v>
      </c>
      <c r="AA1104">
        <v>11</v>
      </c>
      <c r="AB1104">
        <v>0.78571000000000002</v>
      </c>
      <c r="AC1104" t="s">
        <v>324</v>
      </c>
      <c r="AD1104" t="s">
        <v>73</v>
      </c>
      <c r="AE1104">
        <v>305230034.74400002</v>
      </c>
      <c r="AF1104" t="s">
        <v>267</v>
      </c>
      <c r="AG1104">
        <v>8</v>
      </c>
      <c r="AH1104">
        <v>17</v>
      </c>
      <c r="AI1104">
        <v>12</v>
      </c>
      <c r="AJ1104">
        <v>0.58621000000000001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7</v>
      </c>
      <c r="AQ1104">
        <v>0</v>
      </c>
      <c r="AR1104">
        <v>7</v>
      </c>
      <c r="AS1104">
        <v>14</v>
      </c>
      <c r="AT1104">
        <v>0.33333000000000002</v>
      </c>
      <c r="AU1104">
        <v>12</v>
      </c>
      <c r="AV1104">
        <v>11</v>
      </c>
      <c r="AW1104">
        <v>55</v>
      </c>
      <c r="AX1104">
        <v>19</v>
      </c>
      <c r="AY1104">
        <v>37</v>
      </c>
      <c r="AZ1104">
        <v>12</v>
      </c>
      <c r="BA1104" t="s">
        <v>21611</v>
      </c>
      <c r="BB1104" t="s">
        <v>21612</v>
      </c>
      <c r="BC1104">
        <v>0.11</v>
      </c>
      <c r="BD1104" t="s">
        <v>65</v>
      </c>
      <c r="BE1104">
        <v>92</v>
      </c>
      <c r="BF1104">
        <v>31</v>
      </c>
      <c r="BG1104" t="s">
        <v>21613</v>
      </c>
      <c r="BH1104" t="s">
        <v>21614</v>
      </c>
      <c r="BI1104" t="s">
        <v>21615</v>
      </c>
      <c r="BJ1104">
        <v>9.5049999999999996E-2</v>
      </c>
      <c r="BK1104">
        <v>1</v>
      </c>
      <c r="BL1104" t="s">
        <v>69</v>
      </c>
      <c r="BM1104">
        <v>0.51</v>
      </c>
      <c r="BN1104">
        <v>-0.20399999999999999</v>
      </c>
    </row>
    <row r="1105" spans="2:66">
      <c r="B1105">
        <v>1772</v>
      </c>
      <c r="C1105">
        <v>150</v>
      </c>
      <c r="D1105">
        <v>0</v>
      </c>
      <c r="E1105">
        <v>5</v>
      </c>
      <c r="F1105">
        <v>7</v>
      </c>
      <c r="J1105">
        <v>0</v>
      </c>
      <c r="K1105">
        <v>0</v>
      </c>
      <c r="L1105">
        <v>0</v>
      </c>
      <c r="M1105" t="s">
        <v>25022</v>
      </c>
      <c r="N1105">
        <v>3683</v>
      </c>
      <c r="O1105" t="s">
        <v>21616</v>
      </c>
      <c r="P1105" t="s">
        <v>62</v>
      </c>
      <c r="Q1105">
        <v>3651100</v>
      </c>
      <c r="R1105">
        <v>3651855</v>
      </c>
      <c r="S1105" t="s">
        <v>21610</v>
      </c>
      <c r="T1105">
        <v>252</v>
      </c>
      <c r="U1105" t="s">
        <v>11187</v>
      </c>
      <c r="V1105">
        <v>35</v>
      </c>
      <c r="W1105" t="str">
        <f>HYPERLINK("Gene3683-zp_tree_all.dnd", "Gene3683-tree")</f>
        <v>Gene3683-tree</v>
      </c>
      <c r="X1105">
        <v>7</v>
      </c>
      <c r="Y1105">
        <v>3</v>
      </c>
      <c r="Z1105">
        <v>7</v>
      </c>
      <c r="AA1105">
        <v>3</v>
      </c>
      <c r="AB1105">
        <v>0.3</v>
      </c>
      <c r="AC1105" t="s">
        <v>152</v>
      </c>
      <c r="AD1105" t="s">
        <v>324</v>
      </c>
      <c r="AE1105" t="s">
        <v>62</v>
      </c>
      <c r="AF1105" t="s">
        <v>62</v>
      </c>
      <c r="AG1105">
        <v>0</v>
      </c>
      <c r="AH1105">
        <v>0</v>
      </c>
      <c r="AI1105">
        <v>3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3</v>
      </c>
      <c r="AT1105">
        <v>0</v>
      </c>
      <c r="AU1105">
        <v>8</v>
      </c>
      <c r="AV1105">
        <v>2</v>
      </c>
      <c r="AW1105">
        <v>11</v>
      </c>
      <c r="AX1105">
        <v>3</v>
      </c>
      <c r="AY1105">
        <v>2</v>
      </c>
      <c r="AZ1105">
        <v>0</v>
      </c>
      <c r="BA1105" t="s">
        <v>21617</v>
      </c>
      <c r="BB1105" t="s">
        <v>193</v>
      </c>
      <c r="BC1105">
        <v>1.2170000000000001</v>
      </c>
      <c r="BD1105" t="s">
        <v>65</v>
      </c>
      <c r="BE1105">
        <v>13</v>
      </c>
      <c r="BF1105">
        <v>3</v>
      </c>
      <c r="BG1105" t="s">
        <v>21618</v>
      </c>
      <c r="BH1105" t="s">
        <v>21619</v>
      </c>
      <c r="BI1105" t="s">
        <v>1344</v>
      </c>
      <c r="BJ1105">
        <v>5.4370000000000002E-2</v>
      </c>
      <c r="BK1105">
        <v>1</v>
      </c>
      <c r="BL1105" t="s">
        <v>69</v>
      </c>
      <c r="BM1105">
        <v>-0.75900000000000001</v>
      </c>
      <c r="BN1105">
        <v>-1.76</v>
      </c>
    </row>
    <row r="1106" spans="2:66">
      <c r="B1106">
        <v>1773</v>
      </c>
      <c r="C1106">
        <v>156</v>
      </c>
      <c r="D1106">
        <v>0</v>
      </c>
      <c r="E1106">
        <v>6</v>
      </c>
      <c r="F1106">
        <v>3</v>
      </c>
      <c r="J1106">
        <v>0</v>
      </c>
      <c r="K1106">
        <v>9</v>
      </c>
      <c r="L1106">
        <v>0</v>
      </c>
      <c r="M1106" t="s">
        <v>25022</v>
      </c>
      <c r="N1106">
        <v>3684</v>
      </c>
      <c r="O1106" t="s">
        <v>21620</v>
      </c>
      <c r="P1106" t="s">
        <v>62</v>
      </c>
      <c r="Q1106">
        <v>3651882</v>
      </c>
      <c r="R1106">
        <v>3652559</v>
      </c>
      <c r="S1106" t="s">
        <v>21621</v>
      </c>
      <c r="T1106">
        <v>226</v>
      </c>
      <c r="U1106" t="s">
        <v>2078</v>
      </c>
      <c r="V1106">
        <v>36</v>
      </c>
      <c r="W1106" t="str">
        <f>HYPERLINK("Gene3684-zp_tree_all.dnd", "Gene3684-tree")</f>
        <v>Gene3684-tree</v>
      </c>
      <c r="X1106">
        <v>3</v>
      </c>
      <c r="Y1106">
        <v>8</v>
      </c>
      <c r="Z1106">
        <v>3</v>
      </c>
      <c r="AA1106">
        <v>8</v>
      </c>
      <c r="AB1106">
        <v>0.72726999999999997</v>
      </c>
      <c r="AC1106" t="s">
        <v>324</v>
      </c>
      <c r="AD1106" t="s">
        <v>136</v>
      </c>
      <c r="AE1106" t="s">
        <v>62</v>
      </c>
      <c r="AF1106" t="s">
        <v>62</v>
      </c>
      <c r="AG1106">
        <v>3</v>
      </c>
      <c r="AH1106">
        <v>9</v>
      </c>
      <c r="AI1106">
        <v>4</v>
      </c>
      <c r="AJ1106">
        <v>0.69230999999999998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6</v>
      </c>
      <c r="AQ1106">
        <v>0</v>
      </c>
      <c r="AR1106">
        <v>6</v>
      </c>
      <c r="AS1106">
        <v>5</v>
      </c>
      <c r="AT1106">
        <v>0.54544999999999999</v>
      </c>
      <c r="AU1106">
        <v>9</v>
      </c>
      <c r="AV1106">
        <v>8</v>
      </c>
      <c r="AW1106">
        <v>17</v>
      </c>
      <c r="AX1106">
        <v>11</v>
      </c>
      <c r="AY1106">
        <v>15</v>
      </c>
      <c r="AZ1106">
        <v>2</v>
      </c>
      <c r="BA1106" t="s">
        <v>21622</v>
      </c>
      <c r="BB1106" t="s">
        <v>21623</v>
      </c>
      <c r="BC1106">
        <v>1.712</v>
      </c>
      <c r="BD1106" t="s">
        <v>65</v>
      </c>
      <c r="BE1106">
        <v>32</v>
      </c>
      <c r="BF1106">
        <v>13</v>
      </c>
      <c r="BG1106" t="s">
        <v>21624</v>
      </c>
      <c r="BH1106" t="s">
        <v>21625</v>
      </c>
      <c r="BI1106" t="s">
        <v>21626</v>
      </c>
      <c r="BJ1106">
        <v>9.7100000000000006E-2</v>
      </c>
      <c r="BK1106">
        <v>1</v>
      </c>
      <c r="BL1106" t="s">
        <v>69</v>
      </c>
      <c r="BM1106">
        <v>0.37</v>
      </c>
      <c r="BN1106">
        <v>-0.26600000000000001</v>
      </c>
    </row>
    <row r="1107" spans="2:66">
      <c r="B1107">
        <v>1775</v>
      </c>
      <c r="C1107">
        <v>116</v>
      </c>
      <c r="D1107">
        <v>0</v>
      </c>
      <c r="E1107">
        <v>2</v>
      </c>
      <c r="F1107">
        <v>0</v>
      </c>
      <c r="J1107">
        <v>0</v>
      </c>
      <c r="K1107">
        <v>6</v>
      </c>
      <c r="L1107">
        <v>0</v>
      </c>
      <c r="M1107" t="s">
        <v>25022</v>
      </c>
      <c r="N1107">
        <v>3685</v>
      </c>
      <c r="O1107" t="s">
        <v>21627</v>
      </c>
      <c r="P1107" t="s">
        <v>62</v>
      </c>
      <c r="Q1107">
        <v>3652591</v>
      </c>
      <c r="R1107">
        <v>3654054</v>
      </c>
      <c r="S1107" t="s">
        <v>21628</v>
      </c>
      <c r="T1107">
        <v>488</v>
      </c>
      <c r="U1107" t="s">
        <v>2078</v>
      </c>
      <c r="V1107">
        <v>36</v>
      </c>
      <c r="W1107" t="str">
        <f>HYPERLINK("Gene3685-zp_tree_all.dnd", "Gene3685-tree")</f>
        <v>Gene3685-tree</v>
      </c>
      <c r="X1107">
        <v>1</v>
      </c>
      <c r="Y1107">
        <v>10</v>
      </c>
      <c r="Z1107">
        <v>1</v>
      </c>
      <c r="AA1107">
        <v>10</v>
      </c>
      <c r="AB1107">
        <v>0.90908999999999995</v>
      </c>
      <c r="AC1107" t="s">
        <v>175</v>
      </c>
      <c r="AD1107" t="s">
        <v>117</v>
      </c>
      <c r="AE1107" t="s">
        <v>62</v>
      </c>
      <c r="AF1107" t="s">
        <v>62</v>
      </c>
      <c r="AG1107">
        <v>3</v>
      </c>
      <c r="AH1107">
        <v>6</v>
      </c>
      <c r="AI1107">
        <v>19</v>
      </c>
      <c r="AJ1107">
        <v>0.24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2</v>
      </c>
      <c r="AQ1107">
        <v>0</v>
      </c>
      <c r="AR1107">
        <v>2</v>
      </c>
      <c r="AS1107">
        <v>18</v>
      </c>
      <c r="AT1107">
        <v>0.1</v>
      </c>
      <c r="AU1107">
        <v>11</v>
      </c>
      <c r="AV1107">
        <v>7</v>
      </c>
      <c r="AW1107">
        <v>40</v>
      </c>
      <c r="AX1107">
        <v>20</v>
      </c>
      <c r="AY1107">
        <v>12</v>
      </c>
      <c r="AZ1107">
        <v>5</v>
      </c>
      <c r="BA1107" t="s">
        <v>21629</v>
      </c>
      <c r="BB1107" t="s">
        <v>21630</v>
      </c>
      <c r="BC1107">
        <v>0.32300000000000001</v>
      </c>
      <c r="BD1107" t="s">
        <v>65</v>
      </c>
      <c r="BE1107">
        <v>52</v>
      </c>
      <c r="BF1107">
        <v>25</v>
      </c>
      <c r="BG1107" t="s">
        <v>21631</v>
      </c>
      <c r="BH1107" t="s">
        <v>21632</v>
      </c>
      <c r="BI1107" t="s">
        <v>21633</v>
      </c>
      <c r="BJ1107">
        <v>0.15870999999999999</v>
      </c>
      <c r="BK1107">
        <v>1</v>
      </c>
      <c r="BL1107" t="s">
        <v>69</v>
      </c>
      <c r="BM1107">
        <v>-0.749</v>
      </c>
      <c r="BN1107">
        <v>-1.93</v>
      </c>
    </row>
    <row r="1108" spans="2:66">
      <c r="B1108">
        <v>1776</v>
      </c>
      <c r="C1108">
        <v>358</v>
      </c>
      <c r="D1108">
        <v>0</v>
      </c>
      <c r="E1108">
        <v>2</v>
      </c>
      <c r="F1108">
        <v>0</v>
      </c>
      <c r="J1108">
        <v>0</v>
      </c>
      <c r="K1108">
        <v>0</v>
      </c>
      <c r="L1108">
        <v>3</v>
      </c>
      <c r="M1108" t="s">
        <v>25022</v>
      </c>
      <c r="N1108">
        <v>3686</v>
      </c>
      <c r="O1108" t="s">
        <v>21634</v>
      </c>
      <c r="P1108" t="s">
        <v>62</v>
      </c>
      <c r="Q1108">
        <v>3654142</v>
      </c>
      <c r="R1108">
        <v>3655524</v>
      </c>
      <c r="S1108" t="s">
        <v>21635</v>
      </c>
      <c r="T1108">
        <v>461</v>
      </c>
      <c r="U1108" t="s">
        <v>2078</v>
      </c>
      <c r="V1108">
        <v>36</v>
      </c>
      <c r="W1108" t="str">
        <f>HYPERLINK("Gene3686-zp_tree_all.dnd", "Gene3686-tree")</f>
        <v>Gene3686-tree</v>
      </c>
      <c r="X1108">
        <v>7</v>
      </c>
      <c r="Y1108">
        <v>5</v>
      </c>
      <c r="Z1108">
        <v>7</v>
      </c>
      <c r="AA1108">
        <v>5</v>
      </c>
      <c r="AB1108">
        <v>0.41666999999999998</v>
      </c>
      <c r="AC1108" t="s">
        <v>152</v>
      </c>
      <c r="AD1108" t="s">
        <v>199</v>
      </c>
      <c r="AE1108" t="s">
        <v>62</v>
      </c>
      <c r="AF1108" t="s">
        <v>62</v>
      </c>
      <c r="AG1108">
        <v>1</v>
      </c>
      <c r="AH1108">
        <v>3</v>
      </c>
      <c r="AI1108">
        <v>11</v>
      </c>
      <c r="AJ1108">
        <v>0.21429000000000001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10</v>
      </c>
      <c r="AT1108">
        <v>0</v>
      </c>
      <c r="AU1108">
        <v>12</v>
      </c>
      <c r="AV1108">
        <v>6</v>
      </c>
      <c r="AW1108">
        <v>40</v>
      </c>
      <c r="AX1108">
        <v>10</v>
      </c>
      <c r="AY1108">
        <v>17</v>
      </c>
      <c r="AZ1108">
        <v>4</v>
      </c>
      <c r="BA1108" t="s">
        <v>21636</v>
      </c>
      <c r="BB1108" t="s">
        <v>21637</v>
      </c>
      <c r="BC1108">
        <v>8.4000000000000005E-2</v>
      </c>
      <c r="BD1108" t="s">
        <v>65</v>
      </c>
      <c r="BE1108">
        <v>57</v>
      </c>
      <c r="BF1108">
        <v>14</v>
      </c>
      <c r="BG1108" t="s">
        <v>21638</v>
      </c>
      <c r="BH1108" t="s">
        <v>21639</v>
      </c>
      <c r="BI1108" t="s">
        <v>21640</v>
      </c>
      <c r="BJ1108">
        <v>9.4109999999999999E-2</v>
      </c>
      <c r="BK1108">
        <v>1</v>
      </c>
      <c r="BL1108" t="s">
        <v>69</v>
      </c>
      <c r="BM1108">
        <v>-1.288</v>
      </c>
      <c r="BN1108">
        <v>-1.839</v>
      </c>
    </row>
    <row r="1109" spans="2:66">
      <c r="B1109">
        <v>1777</v>
      </c>
      <c r="C1109">
        <v>94</v>
      </c>
      <c r="D1109">
        <v>0</v>
      </c>
      <c r="E1109">
        <v>2</v>
      </c>
      <c r="F1109">
        <v>0</v>
      </c>
      <c r="J1109">
        <v>0</v>
      </c>
      <c r="K1109">
        <v>8</v>
      </c>
      <c r="L1109">
        <v>0</v>
      </c>
      <c r="M1109" t="s">
        <v>25022</v>
      </c>
      <c r="N1109">
        <v>3687</v>
      </c>
      <c r="O1109" t="s">
        <v>21641</v>
      </c>
      <c r="P1109" t="s">
        <v>62</v>
      </c>
      <c r="Q1109">
        <v>3655589</v>
      </c>
      <c r="R1109">
        <v>3656755</v>
      </c>
      <c r="S1109" t="s">
        <v>21610</v>
      </c>
      <c r="T1109">
        <v>389</v>
      </c>
      <c r="U1109" t="s">
        <v>2078</v>
      </c>
      <c r="V1109">
        <v>36</v>
      </c>
      <c r="W1109" t="str">
        <f>HYPERLINK("Gene3687-zp_tree_all.dnd", "Gene3687-tree")</f>
        <v>Gene3687-tree</v>
      </c>
      <c r="X1109">
        <v>5</v>
      </c>
      <c r="Y1109">
        <v>8</v>
      </c>
      <c r="Z1109">
        <v>5</v>
      </c>
      <c r="AA1109">
        <v>8</v>
      </c>
      <c r="AB1109">
        <v>0.61538000000000004</v>
      </c>
      <c r="AC1109" t="s">
        <v>199</v>
      </c>
      <c r="AD1109" t="s">
        <v>136</v>
      </c>
      <c r="AE1109" t="s">
        <v>62</v>
      </c>
      <c r="AF1109" t="s">
        <v>62</v>
      </c>
      <c r="AG1109">
        <v>4</v>
      </c>
      <c r="AH1109">
        <v>8</v>
      </c>
      <c r="AI1109">
        <v>16</v>
      </c>
      <c r="AJ1109">
        <v>0.33333000000000002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16</v>
      </c>
      <c r="AT1109">
        <v>0</v>
      </c>
      <c r="AU1109">
        <v>13</v>
      </c>
      <c r="AV1109">
        <v>10</v>
      </c>
      <c r="AW1109">
        <v>61</v>
      </c>
      <c r="AX1109">
        <v>16</v>
      </c>
      <c r="AY1109">
        <v>27</v>
      </c>
      <c r="AZ1109">
        <v>8</v>
      </c>
      <c r="BA1109" t="s">
        <v>21642</v>
      </c>
      <c r="BB1109" t="s">
        <v>21643</v>
      </c>
      <c r="BC1109">
        <v>0.14099999999999999</v>
      </c>
      <c r="BD1109" t="s">
        <v>65</v>
      </c>
      <c r="BE1109">
        <v>88</v>
      </c>
      <c r="BF1109">
        <v>24</v>
      </c>
      <c r="BG1109" t="s">
        <v>21644</v>
      </c>
      <c r="BH1109" t="s">
        <v>21645</v>
      </c>
      <c r="BI1109" t="s">
        <v>21646</v>
      </c>
      <c r="BJ1109">
        <v>0.10388</v>
      </c>
      <c r="BK1109">
        <v>1</v>
      </c>
      <c r="BL1109" t="s">
        <v>69</v>
      </c>
      <c r="BM1109">
        <v>-1.0389999999999999</v>
      </c>
      <c r="BN1109">
        <v>-1.9179999999999999</v>
      </c>
    </row>
    <row r="1110" spans="2:66">
      <c r="B1110">
        <v>1779</v>
      </c>
      <c r="C1110">
        <v>3942</v>
      </c>
      <c r="D1110">
        <v>11</v>
      </c>
      <c r="E1110">
        <v>325</v>
      </c>
      <c r="F1110">
        <v>26</v>
      </c>
      <c r="J1110">
        <v>0</v>
      </c>
      <c r="K1110">
        <v>0</v>
      </c>
      <c r="L1110">
        <v>0</v>
      </c>
      <c r="M1110" t="s">
        <v>25022</v>
      </c>
      <c r="N1110">
        <v>3688</v>
      </c>
      <c r="O1110" t="s">
        <v>21647</v>
      </c>
      <c r="P1110" t="s">
        <v>62</v>
      </c>
      <c r="Q1110">
        <v>3656755</v>
      </c>
      <c r="R1110">
        <v>3658203</v>
      </c>
      <c r="S1110" t="s">
        <v>21648</v>
      </c>
      <c r="T1110">
        <v>483</v>
      </c>
      <c r="U1110" t="s">
        <v>2078</v>
      </c>
      <c r="V1110">
        <v>36</v>
      </c>
      <c r="W1110" t="str">
        <f>HYPERLINK("Gene3688-zp_tree_all.dnd", "Gene3688-tree")</f>
        <v>Gene3688-tree</v>
      </c>
      <c r="X1110">
        <v>5</v>
      </c>
      <c r="Y1110">
        <v>7</v>
      </c>
      <c r="Z1110">
        <v>5</v>
      </c>
      <c r="AA1110">
        <v>7</v>
      </c>
      <c r="AB1110">
        <v>0.58333000000000002</v>
      </c>
      <c r="AC1110" t="s">
        <v>199</v>
      </c>
      <c r="AD1110" t="s">
        <v>152</v>
      </c>
      <c r="AE1110" t="s">
        <v>62</v>
      </c>
      <c r="AF1110" t="s">
        <v>62</v>
      </c>
      <c r="AG1110">
        <v>0</v>
      </c>
      <c r="AH1110">
        <v>0</v>
      </c>
      <c r="AI1110">
        <v>10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9</v>
      </c>
      <c r="AT1110">
        <v>0</v>
      </c>
      <c r="AU1110">
        <v>12</v>
      </c>
      <c r="AV1110">
        <v>8</v>
      </c>
      <c r="AW1110">
        <v>37</v>
      </c>
      <c r="AX1110">
        <v>9</v>
      </c>
      <c r="AY1110">
        <v>20</v>
      </c>
      <c r="AZ1110">
        <v>1</v>
      </c>
      <c r="BA1110" t="s">
        <v>21649</v>
      </c>
      <c r="BB1110" t="s">
        <v>21650</v>
      </c>
      <c r="BC1110">
        <v>1.1459999999999999</v>
      </c>
      <c r="BD1110" t="s">
        <v>65</v>
      </c>
      <c r="BE1110">
        <v>57</v>
      </c>
      <c r="BF1110">
        <v>10</v>
      </c>
      <c r="BG1110" t="s">
        <v>21651</v>
      </c>
      <c r="BH1110" t="s">
        <v>21652</v>
      </c>
      <c r="BI1110" t="s">
        <v>21653</v>
      </c>
      <c r="BJ1110">
        <v>4.8090000000000001E-2</v>
      </c>
      <c r="BK1110">
        <v>1</v>
      </c>
      <c r="BL1110" t="s">
        <v>69</v>
      </c>
      <c r="BM1110">
        <v>-1.125</v>
      </c>
      <c r="BN1110">
        <v>-2.0649999999999999</v>
      </c>
    </row>
    <row r="1111" spans="2:66">
      <c r="B1111">
        <v>1780</v>
      </c>
      <c r="C1111">
        <v>477</v>
      </c>
      <c r="D1111">
        <v>0</v>
      </c>
      <c r="E1111">
        <v>80</v>
      </c>
      <c r="F1111">
        <v>10</v>
      </c>
      <c r="J1111">
        <v>0</v>
      </c>
      <c r="K1111">
        <v>2</v>
      </c>
      <c r="L1111">
        <v>0</v>
      </c>
      <c r="M1111" t="s">
        <v>25022</v>
      </c>
      <c r="N1111">
        <v>3691</v>
      </c>
      <c r="O1111" t="s">
        <v>21654</v>
      </c>
      <c r="P1111" t="s">
        <v>62</v>
      </c>
      <c r="Q1111">
        <v>3659122</v>
      </c>
      <c r="R1111">
        <v>3660609</v>
      </c>
      <c r="S1111" t="s">
        <v>21655</v>
      </c>
      <c r="T1111">
        <v>496</v>
      </c>
      <c r="U1111" t="s">
        <v>12343</v>
      </c>
      <c r="V1111">
        <v>25</v>
      </c>
      <c r="W1111" t="str">
        <f>HYPERLINK("Gene3691-zp_tree_all.dnd", "Gene3691-tree")</f>
        <v>Gene3691-tree</v>
      </c>
      <c r="X1111">
        <v>4</v>
      </c>
      <c r="Y1111">
        <v>3</v>
      </c>
      <c r="Z1111">
        <v>4</v>
      </c>
      <c r="AA1111">
        <v>3</v>
      </c>
      <c r="AB1111">
        <v>0.42857000000000001</v>
      </c>
      <c r="AC1111" t="s">
        <v>61</v>
      </c>
      <c r="AD1111" t="s">
        <v>324</v>
      </c>
      <c r="AE1111" t="s">
        <v>62</v>
      </c>
      <c r="AF1111" t="s">
        <v>62</v>
      </c>
      <c r="AG1111">
        <v>1</v>
      </c>
      <c r="AH1111">
        <v>2</v>
      </c>
      <c r="AI1111">
        <v>2</v>
      </c>
      <c r="AJ1111">
        <v>0.5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</v>
      </c>
      <c r="AQ1111">
        <v>0</v>
      </c>
      <c r="AR1111">
        <v>2</v>
      </c>
      <c r="AS1111">
        <v>1</v>
      </c>
      <c r="AT1111">
        <v>0.66666999999999998</v>
      </c>
      <c r="AU1111">
        <v>4</v>
      </c>
      <c r="AV1111">
        <v>4</v>
      </c>
      <c r="AW1111">
        <v>6</v>
      </c>
      <c r="AX1111">
        <v>2</v>
      </c>
      <c r="AY1111">
        <v>14</v>
      </c>
      <c r="AZ1111">
        <v>2</v>
      </c>
      <c r="BA1111" t="s">
        <v>21656</v>
      </c>
      <c r="BB1111" t="s">
        <v>21657</v>
      </c>
      <c r="BC1111">
        <v>0.54900000000000004</v>
      </c>
      <c r="BD1111" t="s">
        <v>65</v>
      </c>
      <c r="BE1111">
        <v>20</v>
      </c>
      <c r="BF1111">
        <v>4</v>
      </c>
      <c r="BG1111" t="s">
        <v>21658</v>
      </c>
      <c r="BH1111" t="s">
        <v>21659</v>
      </c>
      <c r="BI1111" t="s">
        <v>21660</v>
      </c>
      <c r="BJ1111">
        <v>5.1869999999999999E-2</v>
      </c>
      <c r="BK1111">
        <v>1</v>
      </c>
      <c r="BL1111" t="s">
        <v>69</v>
      </c>
      <c r="BM1111">
        <v>-0.81299999999999994</v>
      </c>
      <c r="BN1111">
        <v>-0.33700000000000002</v>
      </c>
    </row>
    <row r="1112" spans="2:66">
      <c r="B1112">
        <v>1781</v>
      </c>
      <c r="C1112">
        <v>1810</v>
      </c>
      <c r="D1112">
        <v>2</v>
      </c>
      <c r="E1112">
        <v>53</v>
      </c>
      <c r="F1112">
        <v>7</v>
      </c>
      <c r="J1112">
        <v>0</v>
      </c>
      <c r="K1112">
        <v>0</v>
      </c>
      <c r="L1112">
        <v>0</v>
      </c>
      <c r="M1112" t="s">
        <v>25022</v>
      </c>
      <c r="N1112">
        <v>3692</v>
      </c>
      <c r="O1112" t="s">
        <v>21661</v>
      </c>
      <c r="P1112" t="s">
        <v>62</v>
      </c>
      <c r="Q1112">
        <v>3660651</v>
      </c>
      <c r="R1112">
        <v>3662765</v>
      </c>
      <c r="S1112" t="s">
        <v>21662</v>
      </c>
      <c r="T1112">
        <v>705</v>
      </c>
      <c r="U1112" t="s">
        <v>12343</v>
      </c>
      <c r="V1112">
        <v>25</v>
      </c>
      <c r="W1112" t="str">
        <f>HYPERLINK("Gene3692-zp_tree_all.dnd", "Gene3692-tree")</f>
        <v>Gene3692-tree</v>
      </c>
      <c r="X1112">
        <v>3</v>
      </c>
      <c r="Y1112">
        <v>3</v>
      </c>
      <c r="Z1112">
        <v>3</v>
      </c>
      <c r="AA1112">
        <v>3</v>
      </c>
      <c r="AB1112">
        <v>0.5</v>
      </c>
      <c r="AC1112" t="s">
        <v>324</v>
      </c>
      <c r="AD1112" t="s">
        <v>324</v>
      </c>
      <c r="AE1112" t="s">
        <v>62</v>
      </c>
      <c r="AF1112" t="s">
        <v>62</v>
      </c>
      <c r="AG1112">
        <v>0</v>
      </c>
      <c r="AH1112">
        <v>0</v>
      </c>
      <c r="AI1112">
        <v>6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5</v>
      </c>
      <c r="AT1112">
        <v>0</v>
      </c>
      <c r="AU1112">
        <v>5</v>
      </c>
      <c r="AV1112">
        <v>2</v>
      </c>
      <c r="AW1112">
        <v>9</v>
      </c>
      <c r="AX1112">
        <v>4</v>
      </c>
      <c r="AY1112">
        <v>2</v>
      </c>
      <c r="AZ1112">
        <v>2</v>
      </c>
      <c r="BA1112" t="s">
        <v>21663</v>
      </c>
      <c r="BB1112" t="s">
        <v>21664</v>
      </c>
      <c r="BC1112">
        <v>0.60799999999999998</v>
      </c>
      <c r="BD1112" t="s">
        <v>65</v>
      </c>
      <c r="BE1112">
        <v>11</v>
      </c>
      <c r="BF1112">
        <v>6</v>
      </c>
      <c r="BG1112" t="s">
        <v>21665</v>
      </c>
      <c r="BH1112" t="s">
        <v>21666</v>
      </c>
      <c r="BI1112" t="s">
        <v>21667</v>
      </c>
      <c r="BJ1112">
        <v>0.1923</v>
      </c>
      <c r="BK1112">
        <v>0.99</v>
      </c>
      <c r="BL1112" t="s">
        <v>69</v>
      </c>
      <c r="BM1112">
        <v>-0.94199999999999995</v>
      </c>
      <c r="BN1112">
        <v>-0.90800000000000003</v>
      </c>
    </row>
    <row r="1113" spans="2:66">
      <c r="B1113">
        <v>1782</v>
      </c>
      <c r="C1113">
        <v>111</v>
      </c>
      <c r="D1113">
        <v>2</v>
      </c>
      <c r="E1113">
        <v>188</v>
      </c>
      <c r="F1113">
        <v>15</v>
      </c>
      <c r="J1113">
        <v>0</v>
      </c>
      <c r="K1113">
        <v>14</v>
      </c>
      <c r="L1113">
        <v>2</v>
      </c>
      <c r="M1113" t="s">
        <v>25022</v>
      </c>
      <c r="N1113">
        <v>3695</v>
      </c>
      <c r="O1113" t="s">
        <v>21675</v>
      </c>
      <c r="P1113" t="s">
        <v>62</v>
      </c>
      <c r="Q1113">
        <v>3664244</v>
      </c>
      <c r="R1113">
        <v>3665383</v>
      </c>
      <c r="S1113" t="s">
        <v>21676</v>
      </c>
      <c r="T1113">
        <v>380</v>
      </c>
      <c r="U1113" t="s">
        <v>2078</v>
      </c>
      <c r="V1113">
        <v>36</v>
      </c>
      <c r="W1113" t="str">
        <f>HYPERLINK("Gene3695-zp_tree_all.dnd", "Gene3695-tree")</f>
        <v>Gene3695-tree</v>
      </c>
      <c r="X1113">
        <v>3</v>
      </c>
      <c r="Y1113">
        <v>10</v>
      </c>
      <c r="Z1113">
        <v>3</v>
      </c>
      <c r="AA1113">
        <v>10</v>
      </c>
      <c r="AB1113">
        <v>0.76922999999999997</v>
      </c>
      <c r="AC1113" t="s">
        <v>324</v>
      </c>
      <c r="AD1113" t="s">
        <v>117</v>
      </c>
      <c r="AE1113" t="s">
        <v>62</v>
      </c>
      <c r="AF1113" t="s">
        <v>62</v>
      </c>
      <c r="AG1113">
        <v>7</v>
      </c>
      <c r="AH1113">
        <v>16</v>
      </c>
      <c r="AI1113">
        <v>9</v>
      </c>
      <c r="AJ1113">
        <v>0.64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6</v>
      </c>
      <c r="AQ1113">
        <v>2</v>
      </c>
      <c r="AR1113">
        <v>8</v>
      </c>
      <c r="AS1113">
        <v>12</v>
      </c>
      <c r="AT1113">
        <v>0.4</v>
      </c>
      <c r="AU1113">
        <v>11</v>
      </c>
      <c r="AV1113">
        <v>7</v>
      </c>
      <c r="AW1113">
        <v>45</v>
      </c>
      <c r="AX1113">
        <v>20</v>
      </c>
      <c r="AY1113">
        <v>16</v>
      </c>
      <c r="AZ1113">
        <v>5</v>
      </c>
      <c r="BA1113" t="s">
        <v>21677</v>
      </c>
      <c r="BB1113" t="s">
        <v>21678</v>
      </c>
      <c r="BC1113">
        <v>0.65900000000000003</v>
      </c>
      <c r="BD1113" t="s">
        <v>65</v>
      </c>
      <c r="BE1113">
        <v>61</v>
      </c>
      <c r="BF1113">
        <v>25</v>
      </c>
      <c r="BG1113" t="s">
        <v>21679</v>
      </c>
      <c r="BH1113" t="s">
        <v>21680</v>
      </c>
      <c r="BI1113" t="s">
        <v>21681</v>
      </c>
      <c r="BJ1113">
        <v>0.12783</v>
      </c>
      <c r="BK1113">
        <v>1</v>
      </c>
      <c r="BL1113" t="s">
        <v>69</v>
      </c>
      <c r="BM1113">
        <v>-1.0609999999999999</v>
      </c>
      <c r="BN1113">
        <v>-1.804</v>
      </c>
    </row>
    <row r="1114" spans="2:66">
      <c r="B1114">
        <v>1783</v>
      </c>
      <c r="C1114">
        <v>778</v>
      </c>
      <c r="D1114">
        <v>0</v>
      </c>
      <c r="E1114">
        <v>29</v>
      </c>
      <c r="F1114">
        <v>12</v>
      </c>
      <c r="J1114">
        <v>0</v>
      </c>
      <c r="K1114">
        <v>15</v>
      </c>
      <c r="L1114">
        <v>5</v>
      </c>
      <c r="M1114" t="s">
        <v>25022</v>
      </c>
      <c r="N1114">
        <v>3702</v>
      </c>
      <c r="O1114" t="s">
        <v>21689</v>
      </c>
      <c r="P1114" t="s">
        <v>62</v>
      </c>
      <c r="Q1114">
        <v>3673567</v>
      </c>
      <c r="R1114">
        <v>3675147</v>
      </c>
      <c r="S1114" t="s">
        <v>21690</v>
      </c>
      <c r="T1114">
        <v>527</v>
      </c>
      <c r="U1114" t="s">
        <v>21691</v>
      </c>
      <c r="V1114">
        <v>32</v>
      </c>
      <c r="W1114" t="str">
        <f>HYPERLINK("Gene3702-zp_tree_all.dnd", "Gene3702-tree")</f>
        <v>Gene3702-tree</v>
      </c>
      <c r="X1114">
        <v>0</v>
      </c>
      <c r="Y1114">
        <v>7</v>
      </c>
      <c r="Z1114">
        <v>0</v>
      </c>
      <c r="AA1114">
        <v>7</v>
      </c>
      <c r="AB1114">
        <v>1</v>
      </c>
      <c r="AC1114" t="s">
        <v>62</v>
      </c>
      <c r="AD1114" t="s">
        <v>152</v>
      </c>
      <c r="AE1114" t="s">
        <v>62</v>
      </c>
      <c r="AF1114" t="s">
        <v>62</v>
      </c>
      <c r="AG1114">
        <v>9</v>
      </c>
      <c r="AH1114">
        <v>20</v>
      </c>
      <c r="AI1114">
        <v>27</v>
      </c>
      <c r="AJ1114">
        <v>0.42553000000000002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4</v>
      </c>
      <c r="AQ1114">
        <v>3</v>
      </c>
      <c r="AR1114">
        <v>7</v>
      </c>
      <c r="AS1114">
        <v>30</v>
      </c>
      <c r="AT1114">
        <v>0.18919</v>
      </c>
      <c r="AU1114">
        <v>7</v>
      </c>
      <c r="AV1114">
        <v>4</v>
      </c>
      <c r="AW1114">
        <v>92</v>
      </c>
      <c r="AX1114">
        <v>37</v>
      </c>
      <c r="AY1114">
        <v>37</v>
      </c>
      <c r="AZ1114">
        <v>10</v>
      </c>
      <c r="BA1114" t="s">
        <v>21692</v>
      </c>
      <c r="BB1114" t="s">
        <v>21693</v>
      </c>
      <c r="BC1114">
        <v>0.54100000000000004</v>
      </c>
      <c r="BD1114" t="s">
        <v>65</v>
      </c>
      <c r="BE1114">
        <v>129</v>
      </c>
      <c r="BF1114">
        <v>47</v>
      </c>
      <c r="BG1114" t="s">
        <v>21694</v>
      </c>
      <c r="BH1114" t="s">
        <v>21695</v>
      </c>
      <c r="BI1114" t="s">
        <v>21696</v>
      </c>
      <c r="BJ1114">
        <v>8.8139999999999996E-2</v>
      </c>
      <c r="BK1114">
        <v>1</v>
      </c>
      <c r="BL1114" t="s">
        <v>69</v>
      </c>
      <c r="BM1114">
        <v>-0.112</v>
      </c>
      <c r="BN1114">
        <v>-0.97</v>
      </c>
    </row>
    <row r="1115" spans="2:66">
      <c r="B1115">
        <v>1784</v>
      </c>
      <c r="C1115">
        <v>270</v>
      </c>
      <c r="D1115">
        <v>0</v>
      </c>
      <c r="E1115">
        <v>7</v>
      </c>
      <c r="F1115">
        <v>1</v>
      </c>
      <c r="J1115">
        <v>0</v>
      </c>
      <c r="K1115">
        <v>0</v>
      </c>
      <c r="L1115">
        <v>0</v>
      </c>
      <c r="M1115" t="s">
        <v>25022</v>
      </c>
      <c r="N1115">
        <v>3703</v>
      </c>
      <c r="O1115" t="s">
        <v>21697</v>
      </c>
      <c r="P1115" t="s">
        <v>62</v>
      </c>
      <c r="Q1115">
        <v>3675170</v>
      </c>
      <c r="R1115">
        <v>3675994</v>
      </c>
      <c r="S1115" t="s">
        <v>21698</v>
      </c>
      <c r="T1115">
        <v>275</v>
      </c>
      <c r="U1115" t="s">
        <v>12343</v>
      </c>
      <c r="V1115">
        <v>25</v>
      </c>
      <c r="W1115" t="str">
        <f>HYPERLINK("Gene3703-zp_tree_all.dnd", "Gene3703-tree")</f>
        <v>Gene3703-tree</v>
      </c>
      <c r="X1115">
        <v>3</v>
      </c>
      <c r="Y1115">
        <v>1</v>
      </c>
      <c r="Z1115">
        <v>3</v>
      </c>
      <c r="AA1115">
        <v>1</v>
      </c>
      <c r="AB1115">
        <v>0.25</v>
      </c>
      <c r="AC1115" t="s">
        <v>324</v>
      </c>
      <c r="AD1115" t="s">
        <v>175</v>
      </c>
      <c r="AE1115" t="s">
        <v>62</v>
      </c>
      <c r="AF1115" t="s">
        <v>62</v>
      </c>
      <c r="AG1115">
        <v>0</v>
      </c>
      <c r="AH1115">
        <v>0</v>
      </c>
      <c r="AI1115">
        <v>2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</v>
      </c>
      <c r="AT1115">
        <v>0</v>
      </c>
      <c r="AU1115">
        <v>4</v>
      </c>
      <c r="AV1115">
        <v>1</v>
      </c>
      <c r="AW1115">
        <v>6</v>
      </c>
      <c r="AX1115">
        <v>2</v>
      </c>
      <c r="AY1115">
        <v>1</v>
      </c>
      <c r="AZ1115">
        <v>0</v>
      </c>
      <c r="BA1115" t="s">
        <v>21699</v>
      </c>
      <c r="BB1115" t="s">
        <v>193</v>
      </c>
      <c r="BC1115">
        <v>0.64300000000000002</v>
      </c>
      <c r="BD1115" t="s">
        <v>65</v>
      </c>
      <c r="BE1115">
        <v>7</v>
      </c>
      <c r="BF1115">
        <v>2</v>
      </c>
      <c r="BG1115" t="s">
        <v>21700</v>
      </c>
      <c r="BH1115" t="s">
        <v>21701</v>
      </c>
      <c r="BI1115" t="s">
        <v>21702</v>
      </c>
      <c r="BJ1115">
        <v>7.5230000000000005E-2</v>
      </c>
      <c r="BK1115">
        <v>1</v>
      </c>
      <c r="BL1115" t="s">
        <v>69</v>
      </c>
      <c r="BM1115">
        <v>-1.974</v>
      </c>
      <c r="BN1115">
        <v>-2.496</v>
      </c>
    </row>
    <row r="1116" spans="2:66">
      <c r="B1116">
        <v>1785</v>
      </c>
      <c r="C1116">
        <v>105</v>
      </c>
      <c r="D1116">
        <v>0</v>
      </c>
      <c r="E1116">
        <v>4</v>
      </c>
      <c r="F1116">
        <v>2</v>
      </c>
      <c r="J1116">
        <v>0</v>
      </c>
      <c r="K1116">
        <v>2</v>
      </c>
      <c r="L1116">
        <v>0</v>
      </c>
      <c r="M1116" t="s">
        <v>25022</v>
      </c>
      <c r="N1116">
        <v>3704</v>
      </c>
      <c r="O1116" t="s">
        <v>21703</v>
      </c>
      <c r="P1116" t="s">
        <v>62</v>
      </c>
      <c r="Q1116">
        <v>3676162</v>
      </c>
      <c r="R1116">
        <v>3678399</v>
      </c>
      <c r="S1116" t="s">
        <v>21704</v>
      </c>
      <c r="T1116">
        <v>746</v>
      </c>
      <c r="U1116" t="s">
        <v>12343</v>
      </c>
      <c r="V1116">
        <v>25</v>
      </c>
      <c r="W1116" t="str">
        <f>HYPERLINK("Gene3704-zp_tree_all.dnd", "Gene3704-tree")</f>
        <v>Gene3704-tree</v>
      </c>
      <c r="X1116">
        <v>1</v>
      </c>
      <c r="Y1116">
        <v>4</v>
      </c>
      <c r="Z1116">
        <v>1</v>
      </c>
      <c r="AA1116">
        <v>4</v>
      </c>
      <c r="AB1116">
        <v>0.8</v>
      </c>
      <c r="AC1116" t="s">
        <v>175</v>
      </c>
      <c r="AD1116" t="s">
        <v>61</v>
      </c>
      <c r="AE1116" t="s">
        <v>62</v>
      </c>
      <c r="AF1116" t="s">
        <v>62</v>
      </c>
      <c r="AG1116">
        <v>1</v>
      </c>
      <c r="AH1116">
        <v>2</v>
      </c>
      <c r="AI1116">
        <v>7</v>
      </c>
      <c r="AJ1116">
        <v>0.22222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5</v>
      </c>
      <c r="AT1116">
        <v>0</v>
      </c>
      <c r="AU1116">
        <v>5</v>
      </c>
      <c r="AV1116">
        <v>2</v>
      </c>
      <c r="AW1116">
        <v>22</v>
      </c>
      <c r="AX1116">
        <v>5</v>
      </c>
      <c r="AY1116">
        <v>2</v>
      </c>
      <c r="AZ1116">
        <v>4</v>
      </c>
      <c r="BA1116" t="s">
        <v>21705</v>
      </c>
      <c r="BB1116" t="s">
        <v>21706</v>
      </c>
      <c r="BC1116">
        <v>0.627</v>
      </c>
      <c r="BD1116" t="s">
        <v>65</v>
      </c>
      <c r="BE1116">
        <v>24</v>
      </c>
      <c r="BF1116">
        <v>9</v>
      </c>
      <c r="BG1116" t="s">
        <v>21707</v>
      </c>
      <c r="BH1116" t="s">
        <v>21708</v>
      </c>
      <c r="BI1116" t="s">
        <v>6101</v>
      </c>
      <c r="BJ1116">
        <v>0.11075</v>
      </c>
      <c r="BK1116">
        <v>1</v>
      </c>
      <c r="BL1116" t="s">
        <v>69</v>
      </c>
      <c r="BM1116">
        <v>-1.9890000000000001</v>
      </c>
      <c r="BN1116">
        <v>-2.1970000000000001</v>
      </c>
    </row>
    <row r="1117" spans="2:66">
      <c r="B1117">
        <v>1786</v>
      </c>
      <c r="C1117">
        <v>57</v>
      </c>
      <c r="D1117">
        <v>0</v>
      </c>
      <c r="E1117">
        <v>8</v>
      </c>
      <c r="F1117">
        <v>2</v>
      </c>
      <c r="J1117">
        <v>0</v>
      </c>
      <c r="K1117">
        <v>0</v>
      </c>
      <c r="L1117">
        <v>0</v>
      </c>
      <c r="M1117" t="s">
        <v>25022</v>
      </c>
      <c r="N1117">
        <v>3705</v>
      </c>
      <c r="O1117" t="s">
        <v>21709</v>
      </c>
      <c r="P1117" t="s">
        <v>62</v>
      </c>
      <c r="Q1117">
        <v>3678402</v>
      </c>
      <c r="R1117">
        <v>3680420</v>
      </c>
      <c r="S1117" t="s">
        <v>21710</v>
      </c>
      <c r="T1117">
        <v>673</v>
      </c>
      <c r="U1117" t="s">
        <v>12343</v>
      </c>
      <c r="V1117">
        <v>25</v>
      </c>
      <c r="W1117" t="str">
        <f>HYPERLINK("Gene3705-zp_tree_all.dnd", "Gene3705-tree")</f>
        <v>Gene3705-tree</v>
      </c>
      <c r="X1117">
        <v>1</v>
      </c>
      <c r="Y1117">
        <v>5</v>
      </c>
      <c r="Z1117">
        <v>1</v>
      </c>
      <c r="AA1117">
        <v>5</v>
      </c>
      <c r="AB1117">
        <v>0.83333000000000002</v>
      </c>
      <c r="AC1117" t="s">
        <v>175</v>
      </c>
      <c r="AD1117" t="s">
        <v>199</v>
      </c>
      <c r="AE1117" t="s">
        <v>62</v>
      </c>
      <c r="AF1117" t="s">
        <v>62</v>
      </c>
      <c r="AG1117">
        <v>0</v>
      </c>
      <c r="AH1117">
        <v>0</v>
      </c>
      <c r="AI1117">
        <v>23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23</v>
      </c>
      <c r="AT1117">
        <v>0</v>
      </c>
      <c r="AU1117">
        <v>6</v>
      </c>
      <c r="AV1117">
        <v>1</v>
      </c>
      <c r="AW1117">
        <v>31</v>
      </c>
      <c r="AX1117">
        <v>23</v>
      </c>
      <c r="AY1117">
        <v>1</v>
      </c>
      <c r="AZ1117">
        <v>0</v>
      </c>
      <c r="BA1117" t="s">
        <v>21711</v>
      </c>
      <c r="BB1117" t="s">
        <v>193</v>
      </c>
      <c r="BC1117">
        <v>0.47599999999999998</v>
      </c>
      <c r="BD1117" t="s">
        <v>65</v>
      </c>
      <c r="BE1117">
        <v>32</v>
      </c>
      <c r="BF1117">
        <v>23</v>
      </c>
      <c r="BG1117" t="s">
        <v>21712</v>
      </c>
      <c r="BH1117" t="s">
        <v>21713</v>
      </c>
      <c r="BI1117" t="s">
        <v>21714</v>
      </c>
      <c r="BJ1117">
        <v>0.17995</v>
      </c>
      <c r="BK1117">
        <v>1</v>
      </c>
      <c r="BL1117" t="s">
        <v>69</v>
      </c>
      <c r="BM1117">
        <v>-2.4670000000000001</v>
      </c>
      <c r="BN1117">
        <v>-4.2119999999999997</v>
      </c>
    </row>
    <row r="1118" spans="2:66">
      <c r="B1118">
        <v>1787</v>
      </c>
      <c r="C1118">
        <v>400</v>
      </c>
      <c r="D1118">
        <v>0</v>
      </c>
      <c r="E1118">
        <v>14</v>
      </c>
      <c r="F1118">
        <v>0</v>
      </c>
      <c r="J1118">
        <v>0</v>
      </c>
      <c r="K1118">
        <v>33</v>
      </c>
      <c r="L1118">
        <v>5</v>
      </c>
      <c r="M1118" t="s">
        <v>25022</v>
      </c>
      <c r="N1118">
        <v>3710</v>
      </c>
      <c r="O1118" t="s">
        <v>21730</v>
      </c>
      <c r="P1118" t="s">
        <v>62</v>
      </c>
      <c r="Q1118">
        <v>3684829</v>
      </c>
      <c r="R1118">
        <v>3687468</v>
      </c>
      <c r="S1118" t="s">
        <v>21731</v>
      </c>
      <c r="T1118">
        <v>880</v>
      </c>
      <c r="U1118" t="s">
        <v>108</v>
      </c>
      <c r="V1118">
        <v>44</v>
      </c>
      <c r="W1118" t="str">
        <f>HYPERLINK("Gene3710-zp_tree_all.dnd", "Gene3710-tree")</f>
        <v>Gene3710-tree</v>
      </c>
      <c r="X1118">
        <v>2</v>
      </c>
      <c r="Y1118">
        <v>13</v>
      </c>
      <c r="Z1118">
        <v>2</v>
      </c>
      <c r="AA1118">
        <v>13</v>
      </c>
      <c r="AB1118">
        <v>0.86667000000000005</v>
      </c>
      <c r="AC1118" t="s">
        <v>81</v>
      </c>
      <c r="AD1118" t="s">
        <v>507</v>
      </c>
      <c r="AE1118" t="s">
        <v>62</v>
      </c>
      <c r="AF1118" t="s">
        <v>62</v>
      </c>
      <c r="AG1118">
        <v>15</v>
      </c>
      <c r="AH1118">
        <v>38</v>
      </c>
      <c r="AI1118">
        <v>44</v>
      </c>
      <c r="AJ1118">
        <v>0.46340999999999999</v>
      </c>
      <c r="AK1118">
        <v>0</v>
      </c>
      <c r="AL1118">
        <v>0</v>
      </c>
      <c r="AM1118">
        <v>0</v>
      </c>
      <c r="AN1118">
        <v>12</v>
      </c>
      <c r="AO1118">
        <v>0</v>
      </c>
      <c r="AP1118">
        <v>14</v>
      </c>
      <c r="AQ1118">
        <v>0</v>
      </c>
      <c r="AR1118">
        <v>14</v>
      </c>
      <c r="AS1118">
        <v>38</v>
      </c>
      <c r="AT1118">
        <v>0.26923000000000002</v>
      </c>
      <c r="AU1118">
        <v>14</v>
      </c>
      <c r="AV1118">
        <v>12</v>
      </c>
      <c r="AW1118">
        <v>117</v>
      </c>
      <c r="AX1118">
        <v>55</v>
      </c>
      <c r="AY1118">
        <v>75</v>
      </c>
      <c r="AZ1118">
        <v>31</v>
      </c>
      <c r="BA1118" t="s">
        <v>21732</v>
      </c>
      <c r="BB1118" t="s">
        <v>21733</v>
      </c>
      <c r="BC1118">
        <v>0.14699999999999999</v>
      </c>
      <c r="BD1118" t="s">
        <v>65</v>
      </c>
      <c r="BE1118">
        <v>192</v>
      </c>
      <c r="BF1118">
        <v>86</v>
      </c>
      <c r="BG1118" t="s">
        <v>21734</v>
      </c>
      <c r="BH1118" t="s">
        <v>21735</v>
      </c>
      <c r="BI1118" t="s">
        <v>21736</v>
      </c>
      <c r="BJ1118">
        <v>0.13411999999999999</v>
      </c>
      <c r="BK1118">
        <v>1</v>
      </c>
      <c r="BL1118" t="s">
        <v>69</v>
      </c>
      <c r="BM1118">
        <v>-0.80200000000000005</v>
      </c>
      <c r="BN1118">
        <v>-1.7629999999999999</v>
      </c>
    </row>
    <row r="1119" spans="2:66">
      <c r="B1119">
        <v>1796</v>
      </c>
      <c r="C1119">
        <v>212</v>
      </c>
      <c r="D1119">
        <v>0</v>
      </c>
      <c r="E1119">
        <v>2</v>
      </c>
      <c r="F1119">
        <v>2</v>
      </c>
      <c r="J1119">
        <v>0</v>
      </c>
      <c r="K1119">
        <v>14</v>
      </c>
      <c r="L1119">
        <v>6</v>
      </c>
      <c r="M1119" t="s">
        <v>25022</v>
      </c>
      <c r="N1119">
        <v>3711</v>
      </c>
      <c r="O1119" t="s">
        <v>21737</v>
      </c>
      <c r="P1119" t="s">
        <v>62</v>
      </c>
      <c r="Q1119">
        <v>3687600</v>
      </c>
      <c r="R1119">
        <v>3688547</v>
      </c>
      <c r="S1119" t="s">
        <v>21738</v>
      </c>
      <c r="T1119">
        <v>316</v>
      </c>
      <c r="U1119" t="s">
        <v>108</v>
      </c>
      <c r="V1119">
        <v>44</v>
      </c>
      <c r="W1119" t="str">
        <f>HYPERLINK("Gene3711-zp_tree_all.dnd", "Gene3711-tree")</f>
        <v>Gene3711-tree</v>
      </c>
      <c r="X1119">
        <v>5</v>
      </c>
      <c r="Y1119">
        <v>9</v>
      </c>
      <c r="Z1119">
        <v>5</v>
      </c>
      <c r="AA1119">
        <v>9</v>
      </c>
      <c r="AB1119">
        <v>0.64285999999999999</v>
      </c>
      <c r="AC1119" t="s">
        <v>199</v>
      </c>
      <c r="AD1119" t="s">
        <v>135</v>
      </c>
      <c r="AE1119" t="s">
        <v>62</v>
      </c>
      <c r="AF1119" t="s">
        <v>62</v>
      </c>
      <c r="AG1119">
        <v>8</v>
      </c>
      <c r="AH1119">
        <v>20</v>
      </c>
      <c r="AI1119">
        <v>16</v>
      </c>
      <c r="AJ1119">
        <v>0.55556000000000005</v>
      </c>
      <c r="AK1119">
        <v>0</v>
      </c>
      <c r="AL1119">
        <v>0</v>
      </c>
      <c r="AM1119">
        <v>0</v>
      </c>
      <c r="AN1119">
        <v>2</v>
      </c>
      <c r="AO1119">
        <v>0</v>
      </c>
      <c r="AP1119">
        <v>6</v>
      </c>
      <c r="AQ1119">
        <v>3</v>
      </c>
      <c r="AR1119">
        <v>9</v>
      </c>
      <c r="AS1119">
        <v>16</v>
      </c>
      <c r="AT1119">
        <v>0.36</v>
      </c>
      <c r="AU1119">
        <v>12</v>
      </c>
      <c r="AV1119">
        <v>11</v>
      </c>
      <c r="AW1119">
        <v>39</v>
      </c>
      <c r="AX1119">
        <v>29</v>
      </c>
      <c r="AY1119">
        <v>23</v>
      </c>
      <c r="AZ1119">
        <v>12</v>
      </c>
      <c r="BA1119" t="s">
        <v>21739</v>
      </c>
      <c r="BB1119" t="s">
        <v>21740</v>
      </c>
      <c r="BC1119">
        <v>0.30499999999999999</v>
      </c>
      <c r="BD1119" t="s">
        <v>65</v>
      </c>
      <c r="BE1119">
        <v>62</v>
      </c>
      <c r="BF1119">
        <v>41</v>
      </c>
      <c r="BG1119" t="s">
        <v>21741</v>
      </c>
      <c r="BH1119" t="s">
        <v>21742</v>
      </c>
      <c r="BI1119" t="s">
        <v>21743</v>
      </c>
      <c r="BJ1119">
        <v>0.19253000000000001</v>
      </c>
      <c r="BK1119">
        <v>1</v>
      </c>
      <c r="BL1119" t="s">
        <v>69</v>
      </c>
      <c r="BM1119">
        <v>-0.755</v>
      </c>
      <c r="BN1119">
        <v>-2.0259999999999998</v>
      </c>
    </row>
    <row r="1120" spans="2:66">
      <c r="B1120">
        <v>1800</v>
      </c>
      <c r="C1120">
        <v>30</v>
      </c>
      <c r="D1120">
        <v>0</v>
      </c>
      <c r="E1120">
        <v>0</v>
      </c>
      <c r="F1120">
        <v>4</v>
      </c>
      <c r="J1120">
        <v>0</v>
      </c>
      <c r="K1120">
        <v>7</v>
      </c>
      <c r="L1120">
        <v>2</v>
      </c>
      <c r="M1120" t="s">
        <v>25022</v>
      </c>
      <c r="N1120">
        <v>3715</v>
      </c>
      <c r="O1120" t="s">
        <v>21765</v>
      </c>
      <c r="P1120" t="s">
        <v>62</v>
      </c>
      <c r="Q1120">
        <v>3692536</v>
      </c>
      <c r="R1120">
        <v>3693906</v>
      </c>
      <c r="S1120" t="s">
        <v>21766</v>
      </c>
      <c r="T1120">
        <v>457</v>
      </c>
      <c r="U1120" t="s">
        <v>2289</v>
      </c>
      <c r="V1120">
        <v>37</v>
      </c>
      <c r="W1120" t="str">
        <f>HYPERLINK("Gene3715-zp_tree_all.dnd", "Gene3715-tree")</f>
        <v>Gene3715-tree</v>
      </c>
      <c r="X1120">
        <v>6</v>
      </c>
      <c r="Y1120">
        <v>7</v>
      </c>
      <c r="Z1120">
        <v>6</v>
      </c>
      <c r="AA1120">
        <v>7</v>
      </c>
      <c r="AB1120">
        <v>0.53846000000000005</v>
      </c>
      <c r="AC1120" t="s">
        <v>90</v>
      </c>
      <c r="AD1120" t="s">
        <v>152</v>
      </c>
      <c r="AE1120" t="s">
        <v>62</v>
      </c>
      <c r="AF1120" t="s">
        <v>62</v>
      </c>
      <c r="AG1120">
        <v>4</v>
      </c>
      <c r="AH1120">
        <v>9</v>
      </c>
      <c r="AI1120">
        <v>9</v>
      </c>
      <c r="AJ1120">
        <v>0.5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3</v>
      </c>
      <c r="AQ1120">
        <v>0</v>
      </c>
      <c r="AR1120">
        <v>3</v>
      </c>
      <c r="AS1120">
        <v>10</v>
      </c>
      <c r="AT1120">
        <v>0.23077</v>
      </c>
      <c r="AU1120">
        <v>12</v>
      </c>
      <c r="AV1120">
        <v>8</v>
      </c>
      <c r="AW1120">
        <v>86</v>
      </c>
      <c r="AX1120">
        <v>13</v>
      </c>
      <c r="AY1120">
        <v>26</v>
      </c>
      <c r="AZ1120">
        <v>6</v>
      </c>
      <c r="BA1120" t="s">
        <v>21767</v>
      </c>
      <c r="BB1120" t="s">
        <v>21768</v>
      </c>
      <c r="BC1120">
        <v>0.57099999999999995</v>
      </c>
      <c r="BD1120" t="s">
        <v>65</v>
      </c>
      <c r="BE1120">
        <v>112</v>
      </c>
      <c r="BF1120">
        <v>19</v>
      </c>
      <c r="BG1120" t="s">
        <v>21769</v>
      </c>
      <c r="BH1120" t="s">
        <v>21770</v>
      </c>
      <c r="BI1120" t="s">
        <v>21771</v>
      </c>
      <c r="BJ1120">
        <v>5.9810000000000002E-2</v>
      </c>
      <c r="BK1120">
        <v>1</v>
      </c>
      <c r="BL1120" t="s">
        <v>69</v>
      </c>
      <c r="BM1120">
        <v>-1.66</v>
      </c>
      <c r="BN1120">
        <v>-3.1349999999999998</v>
      </c>
    </row>
    <row r="1121" spans="2:66">
      <c r="B1121">
        <v>1801</v>
      </c>
      <c r="C1121">
        <v>558</v>
      </c>
      <c r="D1121">
        <v>0</v>
      </c>
      <c r="E1121">
        <v>8</v>
      </c>
      <c r="F1121">
        <v>4</v>
      </c>
      <c r="J1121">
        <v>0</v>
      </c>
      <c r="K1121">
        <v>3</v>
      </c>
      <c r="L1121">
        <v>2</v>
      </c>
      <c r="M1121" t="s">
        <v>25022</v>
      </c>
      <c r="N1121">
        <v>3718</v>
      </c>
      <c r="O1121" t="s">
        <v>21787</v>
      </c>
      <c r="P1121" t="s">
        <v>62</v>
      </c>
      <c r="Q1121">
        <v>3696260</v>
      </c>
      <c r="R1121">
        <v>3697498</v>
      </c>
      <c r="S1121" t="s">
        <v>21788</v>
      </c>
      <c r="T1121">
        <v>413</v>
      </c>
      <c r="U1121" t="s">
        <v>108</v>
      </c>
      <c r="V1121">
        <v>44</v>
      </c>
      <c r="W1121" t="str">
        <f>HYPERLINK("Gene3718-zp_tree_all.dnd", "Gene3718-tree")</f>
        <v>Gene3718-tree</v>
      </c>
      <c r="X1121">
        <v>10</v>
      </c>
      <c r="Y1121">
        <v>7</v>
      </c>
      <c r="Z1121">
        <v>7</v>
      </c>
      <c r="AA1121">
        <v>7</v>
      </c>
      <c r="AB1121">
        <v>0.5</v>
      </c>
      <c r="AC1121" t="s">
        <v>10421</v>
      </c>
      <c r="AD1121" t="s">
        <v>152</v>
      </c>
      <c r="AE1121" t="s">
        <v>62</v>
      </c>
      <c r="AF1121" t="s">
        <v>62</v>
      </c>
      <c r="AG1121">
        <v>2</v>
      </c>
      <c r="AH1121">
        <v>5</v>
      </c>
      <c r="AI1121">
        <v>10</v>
      </c>
      <c r="AJ1121">
        <v>0.33333000000000002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3</v>
      </c>
      <c r="AQ1121">
        <v>0</v>
      </c>
      <c r="AR1121">
        <v>3</v>
      </c>
      <c r="AS1121">
        <v>11</v>
      </c>
      <c r="AT1121">
        <v>0.21429000000000001</v>
      </c>
      <c r="AU1121">
        <v>12</v>
      </c>
      <c r="AV1121">
        <v>8</v>
      </c>
      <c r="AW1121">
        <v>32</v>
      </c>
      <c r="AX1121">
        <v>14</v>
      </c>
      <c r="AY1121">
        <v>19</v>
      </c>
      <c r="AZ1121">
        <v>1</v>
      </c>
      <c r="BA1121" t="s">
        <v>21789</v>
      </c>
      <c r="BB1121" t="s">
        <v>21790</v>
      </c>
      <c r="BC1121">
        <v>1.337</v>
      </c>
      <c r="BD1121" t="s">
        <v>65</v>
      </c>
      <c r="BE1121">
        <v>51</v>
      </c>
      <c r="BF1121">
        <v>15</v>
      </c>
      <c r="BG1121" t="s">
        <v>21791</v>
      </c>
      <c r="BH1121" t="s">
        <v>21792</v>
      </c>
      <c r="BI1121" t="s">
        <v>21793</v>
      </c>
      <c r="BJ1121">
        <v>7.2419999999999998E-2</v>
      </c>
      <c r="BK1121">
        <v>1</v>
      </c>
      <c r="BL1121" t="s">
        <v>69</v>
      </c>
      <c r="BM1121">
        <v>-0.61599999999999999</v>
      </c>
      <c r="BN1121">
        <v>-0.53400000000000003</v>
      </c>
    </row>
    <row r="1122" spans="2:66">
      <c r="B1122">
        <v>1804</v>
      </c>
      <c r="C1122">
        <v>221</v>
      </c>
      <c r="D1122">
        <v>0</v>
      </c>
      <c r="E1122">
        <v>11</v>
      </c>
      <c r="F1122">
        <v>0</v>
      </c>
      <c r="J1122">
        <v>0</v>
      </c>
      <c r="K1122">
        <v>2</v>
      </c>
      <c r="L1122">
        <v>0</v>
      </c>
      <c r="M1122" t="s">
        <v>25022</v>
      </c>
      <c r="N1122">
        <v>3719</v>
      </c>
      <c r="O1122" t="s">
        <v>21794</v>
      </c>
      <c r="P1122" t="s">
        <v>62</v>
      </c>
      <c r="Q1122">
        <v>3697642</v>
      </c>
      <c r="R1122">
        <v>3697806</v>
      </c>
      <c r="S1122" t="s">
        <v>21795</v>
      </c>
      <c r="T1122">
        <v>55</v>
      </c>
      <c r="U1122" t="s">
        <v>125</v>
      </c>
      <c r="V1122">
        <v>48</v>
      </c>
      <c r="W1122" t="str">
        <f>HYPERLINK("Gene3719-zp_tree_all.dnd", "Gene3719-tree")</f>
        <v>Gene3719-tree</v>
      </c>
      <c r="X1122">
        <v>6</v>
      </c>
      <c r="Y1122">
        <v>4</v>
      </c>
      <c r="Z1122">
        <v>6</v>
      </c>
      <c r="AA1122">
        <v>4</v>
      </c>
      <c r="AB1122">
        <v>0.4</v>
      </c>
      <c r="AC1122" t="s">
        <v>90</v>
      </c>
      <c r="AD1122" t="s">
        <v>61</v>
      </c>
      <c r="AE1122" t="s">
        <v>62</v>
      </c>
      <c r="AF1122" t="s">
        <v>62</v>
      </c>
      <c r="AG1122">
        <v>1</v>
      </c>
      <c r="AH1122">
        <v>2</v>
      </c>
      <c r="AI1122">
        <v>6</v>
      </c>
      <c r="AJ1122">
        <v>0.25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2</v>
      </c>
      <c r="AQ1122">
        <v>0</v>
      </c>
      <c r="AR1122">
        <v>2</v>
      </c>
      <c r="AS1122">
        <v>4</v>
      </c>
      <c r="AT1122">
        <v>0.33333000000000002</v>
      </c>
      <c r="AU1122">
        <v>8</v>
      </c>
      <c r="AV1122">
        <v>3</v>
      </c>
      <c r="AW1122">
        <v>12</v>
      </c>
      <c r="AX1122">
        <v>6</v>
      </c>
      <c r="AY1122">
        <v>3</v>
      </c>
      <c r="AZ1122">
        <v>2</v>
      </c>
      <c r="BA1122" t="s">
        <v>21796</v>
      </c>
      <c r="BB1122" t="s">
        <v>21797</v>
      </c>
      <c r="BC1122">
        <v>0.16400000000000001</v>
      </c>
      <c r="BD1122" t="s">
        <v>65</v>
      </c>
      <c r="BE1122">
        <v>15</v>
      </c>
      <c r="BF1122">
        <v>8</v>
      </c>
      <c r="BG1122" t="s">
        <v>21798</v>
      </c>
      <c r="BH1122" t="s">
        <v>21799</v>
      </c>
      <c r="BI1122" t="s">
        <v>21800</v>
      </c>
      <c r="BJ1122">
        <v>0.12435</v>
      </c>
      <c r="BK1122">
        <v>1</v>
      </c>
      <c r="BL1122" t="s">
        <v>69</v>
      </c>
      <c r="BM1122">
        <v>-1.341</v>
      </c>
      <c r="BN1122">
        <v>-1.5289999999999999</v>
      </c>
    </row>
    <row r="1123" spans="2:66">
      <c r="B1123">
        <v>1806</v>
      </c>
      <c r="C1123">
        <v>303</v>
      </c>
      <c r="D1123">
        <v>0</v>
      </c>
      <c r="E1123">
        <v>2</v>
      </c>
      <c r="F1123">
        <v>0</v>
      </c>
      <c r="J1123">
        <v>0</v>
      </c>
      <c r="K1123">
        <v>2</v>
      </c>
      <c r="L1123">
        <v>0</v>
      </c>
      <c r="M1123" t="s">
        <v>25022</v>
      </c>
      <c r="N1123">
        <v>3720</v>
      </c>
      <c r="O1123" t="s">
        <v>21801</v>
      </c>
      <c r="P1123" t="s">
        <v>62</v>
      </c>
      <c r="Q1123">
        <v>3697824</v>
      </c>
      <c r="R1123">
        <v>3698963</v>
      </c>
      <c r="S1123" t="s">
        <v>21802</v>
      </c>
      <c r="T1123">
        <v>380</v>
      </c>
      <c r="U1123" t="s">
        <v>108</v>
      </c>
      <c r="V1123">
        <v>44</v>
      </c>
      <c r="W1123" t="str">
        <f>HYPERLINK("Gene3720-zp_tree_all.dnd", "Gene3720-tree")</f>
        <v>Gene3720-tree</v>
      </c>
      <c r="X1123">
        <v>9</v>
      </c>
      <c r="Y1123">
        <v>3</v>
      </c>
      <c r="Z1123">
        <v>9</v>
      </c>
      <c r="AA1123">
        <v>3</v>
      </c>
      <c r="AB1123">
        <v>0.25</v>
      </c>
      <c r="AC1123" t="s">
        <v>135</v>
      </c>
      <c r="AD1123" t="s">
        <v>324</v>
      </c>
      <c r="AE1123" t="s">
        <v>62</v>
      </c>
      <c r="AF1123" t="s">
        <v>62</v>
      </c>
      <c r="AG1123">
        <v>1</v>
      </c>
      <c r="AH1123">
        <v>2</v>
      </c>
      <c r="AI1123">
        <v>2</v>
      </c>
      <c r="AJ1123">
        <v>0.5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3</v>
      </c>
      <c r="AT1123">
        <v>0</v>
      </c>
      <c r="AU1123">
        <v>12</v>
      </c>
      <c r="AV1123">
        <v>7</v>
      </c>
      <c r="AW1123">
        <v>33</v>
      </c>
      <c r="AX1123">
        <v>3</v>
      </c>
      <c r="AY1123">
        <v>16</v>
      </c>
      <c r="AZ1123">
        <v>1</v>
      </c>
      <c r="BA1123" t="s">
        <v>21803</v>
      </c>
      <c r="BB1123" t="s">
        <v>21804</v>
      </c>
      <c r="BC1123">
        <v>0.16200000000000001</v>
      </c>
      <c r="BD1123" t="s">
        <v>65</v>
      </c>
      <c r="BE1123">
        <v>49</v>
      </c>
      <c r="BF1123">
        <v>4</v>
      </c>
      <c r="BG1123" t="s">
        <v>2870</v>
      </c>
      <c r="BH1123" t="s">
        <v>21805</v>
      </c>
      <c r="BI1123" t="s">
        <v>21806</v>
      </c>
      <c r="BJ1123">
        <v>1.8749999999999999E-2</v>
      </c>
      <c r="BK1123">
        <v>1</v>
      </c>
      <c r="BL1123" t="s">
        <v>69</v>
      </c>
      <c r="BM1123">
        <v>-0.26</v>
      </c>
      <c r="BN1123">
        <v>-0.35699999999999998</v>
      </c>
    </row>
    <row r="1124" spans="2:66">
      <c r="B1124">
        <v>1807</v>
      </c>
      <c r="C1124">
        <v>344</v>
      </c>
      <c r="D1124">
        <v>0</v>
      </c>
      <c r="E1124">
        <v>4</v>
      </c>
      <c r="F1124">
        <v>0</v>
      </c>
      <c r="J1124">
        <v>0</v>
      </c>
      <c r="K1124">
        <v>0</v>
      </c>
      <c r="L1124">
        <v>0</v>
      </c>
      <c r="M1124" t="s">
        <v>25022</v>
      </c>
      <c r="N1124">
        <v>3721</v>
      </c>
      <c r="O1124" t="s">
        <v>21807</v>
      </c>
      <c r="P1124" t="s">
        <v>62</v>
      </c>
      <c r="Q1124">
        <v>3698985</v>
      </c>
      <c r="R1124">
        <v>3699431</v>
      </c>
      <c r="S1124" t="s">
        <v>21808</v>
      </c>
      <c r="T1124">
        <v>149</v>
      </c>
      <c r="U1124" t="s">
        <v>59</v>
      </c>
      <c r="V1124">
        <v>49</v>
      </c>
      <c r="W1124" t="str">
        <f>HYPERLINK("Gene3721-zp_tree_all.dnd", "Gene3721-tree")</f>
        <v>Gene3721-tree</v>
      </c>
      <c r="X1124">
        <v>16</v>
      </c>
      <c r="Y1124">
        <v>1</v>
      </c>
      <c r="Z1124">
        <v>16</v>
      </c>
      <c r="AA1124">
        <v>1</v>
      </c>
      <c r="AB1124">
        <v>5.8819999999999997E-2</v>
      </c>
      <c r="AC1124" t="s">
        <v>60</v>
      </c>
      <c r="AD1124" t="s">
        <v>175</v>
      </c>
      <c r="AE1124" t="s">
        <v>62</v>
      </c>
      <c r="AF1124" t="s">
        <v>62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13</v>
      </c>
      <c r="AV1124">
        <v>10</v>
      </c>
      <c r="AW1124">
        <v>20</v>
      </c>
      <c r="AX1124">
        <v>1</v>
      </c>
      <c r="AY1124">
        <v>20</v>
      </c>
      <c r="AZ1124">
        <v>0</v>
      </c>
      <c r="BA1124" t="s">
        <v>21809</v>
      </c>
      <c r="BB1124" t="s">
        <v>193</v>
      </c>
      <c r="BC1124">
        <v>0.29099999999999998</v>
      </c>
      <c r="BD1124" t="s">
        <v>65</v>
      </c>
      <c r="BE1124">
        <v>40</v>
      </c>
      <c r="BF1124">
        <v>1</v>
      </c>
      <c r="BG1124" t="s">
        <v>21810</v>
      </c>
      <c r="BH1124" t="s">
        <v>21811</v>
      </c>
      <c r="BI1124" t="s">
        <v>15679</v>
      </c>
      <c r="BJ1124">
        <v>4.5999999999999999E-3</v>
      </c>
      <c r="BK1124">
        <v>1</v>
      </c>
      <c r="BL1124" t="s">
        <v>69</v>
      </c>
      <c r="BM1124">
        <v>-1.454</v>
      </c>
      <c r="BN1124">
        <v>-1.234</v>
      </c>
    </row>
    <row r="1125" spans="2:66">
      <c r="B1125">
        <v>1808</v>
      </c>
      <c r="C1125">
        <v>95</v>
      </c>
      <c r="D1125">
        <v>0</v>
      </c>
      <c r="E1125">
        <v>0</v>
      </c>
      <c r="F1125">
        <v>2</v>
      </c>
      <c r="J1125">
        <v>0</v>
      </c>
      <c r="K1125">
        <v>0</v>
      </c>
      <c r="L1125">
        <v>0</v>
      </c>
      <c r="M1125" t="s">
        <v>25022</v>
      </c>
      <c r="N1125">
        <v>3722</v>
      </c>
      <c r="O1125" t="s">
        <v>21812</v>
      </c>
      <c r="P1125" t="s">
        <v>62</v>
      </c>
      <c r="Q1125">
        <v>3699449</v>
      </c>
      <c r="R1125">
        <v>3700627</v>
      </c>
      <c r="S1125" t="s">
        <v>21813</v>
      </c>
      <c r="T1125">
        <v>393</v>
      </c>
      <c r="U1125" t="s">
        <v>59</v>
      </c>
      <c r="V1125">
        <v>49</v>
      </c>
      <c r="W1125" t="str">
        <f>HYPERLINK("Gene3722-zp_tree_all.dnd", "Gene3722-tree")</f>
        <v>Gene3722-tree</v>
      </c>
      <c r="X1125">
        <v>14</v>
      </c>
      <c r="Y1125">
        <v>1</v>
      </c>
      <c r="Z1125">
        <v>14</v>
      </c>
      <c r="AA1125">
        <v>1</v>
      </c>
      <c r="AB1125">
        <v>6.6669999999999993E-2</v>
      </c>
      <c r="AC1125" t="s">
        <v>543</v>
      </c>
      <c r="AD1125" t="s">
        <v>175</v>
      </c>
      <c r="AE1125" t="s">
        <v>62</v>
      </c>
      <c r="AF1125" t="s">
        <v>62</v>
      </c>
      <c r="AG1125">
        <v>0</v>
      </c>
      <c r="AH1125">
        <v>0</v>
      </c>
      <c r="AI1125">
        <v>3</v>
      </c>
      <c r="AJ1125">
        <v>0</v>
      </c>
      <c r="AK1125">
        <v>0</v>
      </c>
      <c r="AL1125">
        <v>0</v>
      </c>
      <c r="AM1125">
        <v>0</v>
      </c>
      <c r="AN1125">
        <v>2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10</v>
      </c>
      <c r="AV1125">
        <v>10</v>
      </c>
      <c r="AW1125">
        <v>40</v>
      </c>
      <c r="AX1125">
        <v>1</v>
      </c>
      <c r="AY1125">
        <v>50</v>
      </c>
      <c r="AZ1125">
        <v>3</v>
      </c>
      <c r="BA1125" t="s">
        <v>21814</v>
      </c>
      <c r="BB1125" t="s">
        <v>21815</v>
      </c>
      <c r="BC1125">
        <v>0.26200000000000001</v>
      </c>
      <c r="BD1125" t="s">
        <v>65</v>
      </c>
      <c r="BE1125">
        <v>90</v>
      </c>
      <c r="BF1125">
        <v>4</v>
      </c>
      <c r="BG1125" t="s">
        <v>21816</v>
      </c>
      <c r="BH1125" t="s">
        <v>21817</v>
      </c>
      <c r="BI1125" t="s">
        <v>1708</v>
      </c>
      <c r="BJ1125">
        <v>1.8970000000000001E-2</v>
      </c>
      <c r="BK1125">
        <v>1</v>
      </c>
      <c r="BL1125" t="s">
        <v>69</v>
      </c>
      <c r="BM1125">
        <v>-1.617</v>
      </c>
      <c r="BN1125">
        <v>-1.5649999999999999</v>
      </c>
    </row>
    <row r="1126" spans="2:66">
      <c r="B1126">
        <v>1809</v>
      </c>
      <c r="C1126">
        <v>262</v>
      </c>
      <c r="D1126">
        <v>0</v>
      </c>
      <c r="E1126">
        <v>4</v>
      </c>
      <c r="F1126">
        <v>0</v>
      </c>
      <c r="J1126">
        <v>0</v>
      </c>
      <c r="K1126">
        <v>2</v>
      </c>
      <c r="L1126">
        <v>0</v>
      </c>
      <c r="M1126" t="s">
        <v>25022</v>
      </c>
      <c r="N1126">
        <v>3731</v>
      </c>
      <c r="O1126" t="s">
        <v>21873</v>
      </c>
      <c r="P1126" t="s">
        <v>62</v>
      </c>
      <c r="Q1126">
        <v>3708175</v>
      </c>
      <c r="R1126">
        <v>3708699</v>
      </c>
      <c r="S1126" t="s">
        <v>21874</v>
      </c>
      <c r="T1126">
        <v>175</v>
      </c>
      <c r="U1126" t="s">
        <v>108</v>
      </c>
      <c r="V1126">
        <v>44</v>
      </c>
      <c r="W1126" t="str">
        <f>HYPERLINK("Gene3731-zp_tree_all.dnd", "Gene3731-tree")</f>
        <v>Gene3731-tree</v>
      </c>
      <c r="X1126">
        <v>4</v>
      </c>
      <c r="Y1126">
        <v>7</v>
      </c>
      <c r="Z1126">
        <v>4</v>
      </c>
      <c r="AA1126">
        <v>7</v>
      </c>
      <c r="AB1126">
        <v>0.63636000000000004</v>
      </c>
      <c r="AC1126" t="s">
        <v>61</v>
      </c>
      <c r="AD1126" t="s">
        <v>152</v>
      </c>
      <c r="AE1126" t="s">
        <v>62</v>
      </c>
      <c r="AF1126" t="s">
        <v>62</v>
      </c>
      <c r="AG1126">
        <v>1</v>
      </c>
      <c r="AH1126">
        <v>2</v>
      </c>
      <c r="AI1126">
        <v>8</v>
      </c>
      <c r="AJ1126">
        <v>0.2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2</v>
      </c>
      <c r="AQ1126">
        <v>0</v>
      </c>
      <c r="AR1126">
        <v>2</v>
      </c>
      <c r="AS1126">
        <v>7</v>
      </c>
      <c r="AT1126">
        <v>0.22222</v>
      </c>
      <c r="AU1126">
        <v>9</v>
      </c>
      <c r="AV1126">
        <v>5</v>
      </c>
      <c r="AW1126">
        <v>21</v>
      </c>
      <c r="AX1126">
        <v>9</v>
      </c>
      <c r="AY1126">
        <v>5</v>
      </c>
      <c r="AZ1126">
        <v>1</v>
      </c>
      <c r="BA1126" t="s">
        <v>21875</v>
      </c>
      <c r="BB1126" t="s">
        <v>21876</v>
      </c>
      <c r="BC1126">
        <v>0.53400000000000003</v>
      </c>
      <c r="BD1126" t="s">
        <v>65</v>
      </c>
      <c r="BE1126">
        <v>26</v>
      </c>
      <c r="BF1126">
        <v>10</v>
      </c>
      <c r="BG1126" t="s">
        <v>21877</v>
      </c>
      <c r="BH1126" t="s">
        <v>21878</v>
      </c>
      <c r="BI1126" t="s">
        <v>21879</v>
      </c>
      <c r="BJ1126">
        <v>0.11031000000000001</v>
      </c>
      <c r="BK1126">
        <v>1</v>
      </c>
      <c r="BL1126" t="s">
        <v>69</v>
      </c>
      <c r="BM1126">
        <v>-0.69399999999999995</v>
      </c>
      <c r="BN1126">
        <v>-1.1000000000000001</v>
      </c>
    </row>
    <row r="1127" spans="2:66">
      <c r="B1127">
        <v>1810</v>
      </c>
      <c r="C1127">
        <v>11</v>
      </c>
      <c r="D1127">
        <v>0</v>
      </c>
      <c r="E1127">
        <v>2</v>
      </c>
      <c r="F1127">
        <v>3</v>
      </c>
      <c r="J1127">
        <v>0</v>
      </c>
      <c r="K1127">
        <v>0</v>
      </c>
      <c r="L1127">
        <v>4</v>
      </c>
      <c r="M1127" t="s">
        <v>25022</v>
      </c>
      <c r="N1127">
        <v>3732</v>
      </c>
      <c r="O1127" t="s">
        <v>21880</v>
      </c>
      <c r="P1127" t="s">
        <v>62</v>
      </c>
      <c r="Q1127">
        <v>3708802</v>
      </c>
      <c r="R1127">
        <v>3709566</v>
      </c>
      <c r="S1127" t="s">
        <v>21881</v>
      </c>
      <c r="T1127">
        <v>255</v>
      </c>
      <c r="U1127" t="s">
        <v>59</v>
      </c>
      <c r="V1127">
        <v>49</v>
      </c>
      <c r="W1127" t="str">
        <f>HYPERLINK("Gene3732-zp_tree_all.dnd", "Gene3732-tree")</f>
        <v>Gene3732-tree</v>
      </c>
      <c r="X1127">
        <v>7</v>
      </c>
      <c r="Y1127">
        <v>8</v>
      </c>
      <c r="Z1127">
        <v>7</v>
      </c>
      <c r="AA1127">
        <v>8</v>
      </c>
      <c r="AB1127">
        <v>0.53332999999999997</v>
      </c>
      <c r="AC1127" t="s">
        <v>152</v>
      </c>
      <c r="AD1127" t="s">
        <v>136</v>
      </c>
      <c r="AE1127" t="s">
        <v>62</v>
      </c>
      <c r="AF1127" t="s">
        <v>62</v>
      </c>
      <c r="AG1127">
        <v>2</v>
      </c>
      <c r="AH1127">
        <v>4</v>
      </c>
      <c r="AI1127">
        <v>9</v>
      </c>
      <c r="AJ1127">
        <v>0.30769000000000002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2</v>
      </c>
      <c r="AR1127">
        <v>2</v>
      </c>
      <c r="AS1127">
        <v>7</v>
      </c>
      <c r="AT1127">
        <v>0.22222</v>
      </c>
      <c r="AU1127">
        <v>14</v>
      </c>
      <c r="AV1127">
        <v>10</v>
      </c>
      <c r="AW1127">
        <v>39</v>
      </c>
      <c r="AX1127">
        <v>9</v>
      </c>
      <c r="AY1127">
        <v>53</v>
      </c>
      <c r="AZ1127">
        <v>4</v>
      </c>
      <c r="BA1127" t="s">
        <v>21882</v>
      </c>
      <c r="BB1127" t="s">
        <v>21883</v>
      </c>
      <c r="BC1127">
        <v>0.95799999999999996</v>
      </c>
      <c r="BD1127" t="s">
        <v>65</v>
      </c>
      <c r="BE1127">
        <v>92</v>
      </c>
      <c r="BF1127">
        <v>13</v>
      </c>
      <c r="BG1127" t="s">
        <v>21884</v>
      </c>
      <c r="BH1127" t="s">
        <v>21885</v>
      </c>
      <c r="BI1127" t="s">
        <v>21886</v>
      </c>
      <c r="BJ1127">
        <v>3.7749999999999999E-2</v>
      </c>
      <c r="BK1127">
        <v>1</v>
      </c>
      <c r="BL1127" t="s">
        <v>69</v>
      </c>
      <c r="BM1127">
        <v>-0.95699999999999996</v>
      </c>
      <c r="BN1127">
        <v>-1.097</v>
      </c>
    </row>
    <row r="1128" spans="2:66">
      <c r="B1128">
        <v>1812</v>
      </c>
      <c r="C1128">
        <v>64</v>
      </c>
      <c r="D1128">
        <v>0</v>
      </c>
      <c r="E1128">
        <v>0</v>
      </c>
      <c r="F1128">
        <v>3</v>
      </c>
      <c r="J1128">
        <v>0</v>
      </c>
      <c r="K1128">
        <v>0</v>
      </c>
      <c r="L1128">
        <v>0</v>
      </c>
      <c r="M1128" t="s">
        <v>25022</v>
      </c>
      <c r="N1128">
        <v>3733</v>
      </c>
      <c r="O1128" t="s">
        <v>21887</v>
      </c>
      <c r="P1128" t="s">
        <v>62</v>
      </c>
      <c r="Q1128">
        <v>3709631</v>
      </c>
      <c r="R1128">
        <v>3711340</v>
      </c>
      <c r="S1128" t="s">
        <v>21888</v>
      </c>
      <c r="T1128">
        <v>570</v>
      </c>
      <c r="U1128" t="s">
        <v>6390</v>
      </c>
      <c r="V1128">
        <v>45</v>
      </c>
      <c r="W1128" t="str">
        <f>HYPERLINK("Gene3733-zp_tree_all.dnd", "Gene3733-tree")</f>
        <v>Gene3733-tree</v>
      </c>
      <c r="X1128">
        <v>9</v>
      </c>
      <c r="Y1128">
        <v>7</v>
      </c>
      <c r="Z1128">
        <v>9</v>
      </c>
      <c r="AA1128">
        <v>7</v>
      </c>
      <c r="AB1128">
        <v>0.4375</v>
      </c>
      <c r="AC1128" t="s">
        <v>135</v>
      </c>
      <c r="AD1128" t="s">
        <v>152</v>
      </c>
      <c r="AE1128" t="s">
        <v>62</v>
      </c>
      <c r="AF1128" t="s">
        <v>62</v>
      </c>
      <c r="AG1128">
        <v>0</v>
      </c>
      <c r="AH1128">
        <v>0</v>
      </c>
      <c r="AI1128">
        <v>19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18</v>
      </c>
      <c r="AT1128">
        <v>0</v>
      </c>
      <c r="AU1128">
        <v>13</v>
      </c>
      <c r="AV1128">
        <v>11</v>
      </c>
      <c r="AW1128">
        <v>113</v>
      </c>
      <c r="AX1128">
        <v>18</v>
      </c>
      <c r="AY1128">
        <v>36</v>
      </c>
      <c r="AZ1128">
        <v>1</v>
      </c>
      <c r="BA1128" t="s">
        <v>21889</v>
      </c>
      <c r="BB1128" t="s">
        <v>21890</v>
      </c>
      <c r="BC1128">
        <v>0.41</v>
      </c>
      <c r="BD1128" t="s">
        <v>65</v>
      </c>
      <c r="BE1128">
        <v>149</v>
      </c>
      <c r="BF1128">
        <v>19</v>
      </c>
      <c r="BG1128" t="s">
        <v>21891</v>
      </c>
      <c r="BH1128" t="s">
        <v>21892</v>
      </c>
      <c r="BI1128" t="s">
        <v>21893</v>
      </c>
      <c r="BJ1128">
        <v>3.3660000000000002E-2</v>
      </c>
      <c r="BK1128">
        <v>1</v>
      </c>
      <c r="BL1128" t="s">
        <v>69</v>
      </c>
      <c r="BM1128">
        <v>-1.9510000000000001</v>
      </c>
      <c r="BN1128">
        <v>-4.4749999999999996</v>
      </c>
    </row>
    <row r="1129" spans="2:66">
      <c r="B1129">
        <v>1814</v>
      </c>
      <c r="C1129">
        <v>207</v>
      </c>
      <c r="D1129">
        <v>0</v>
      </c>
      <c r="E1129">
        <v>0</v>
      </c>
      <c r="F1129">
        <v>4</v>
      </c>
      <c r="J1129">
        <v>0</v>
      </c>
      <c r="K1129">
        <v>6</v>
      </c>
      <c r="L1129">
        <v>0</v>
      </c>
      <c r="M1129" t="s">
        <v>25022</v>
      </c>
      <c r="N1129">
        <v>3736</v>
      </c>
      <c r="O1129" t="s">
        <v>21906</v>
      </c>
      <c r="P1129" t="s">
        <v>62</v>
      </c>
      <c r="Q1129">
        <v>3714005</v>
      </c>
      <c r="R1129">
        <v>3714679</v>
      </c>
      <c r="S1129" t="s">
        <v>116</v>
      </c>
      <c r="T1129">
        <v>225</v>
      </c>
      <c r="U1129" t="s">
        <v>108</v>
      </c>
      <c r="V1129">
        <v>44</v>
      </c>
      <c r="W1129" t="str">
        <f>HYPERLINK("Gene3736-zp_tree_all.dnd", "Gene3736-tree")</f>
        <v>Gene3736-tree</v>
      </c>
      <c r="X1129">
        <v>4</v>
      </c>
      <c r="Y1129">
        <v>8</v>
      </c>
      <c r="Z1129">
        <v>4</v>
      </c>
      <c r="AA1129">
        <v>8</v>
      </c>
      <c r="AB1129">
        <v>0.66666999999999998</v>
      </c>
      <c r="AC1129" t="s">
        <v>61</v>
      </c>
      <c r="AD1129" t="s">
        <v>136</v>
      </c>
      <c r="AE1129" t="s">
        <v>62</v>
      </c>
      <c r="AF1129" t="s">
        <v>62</v>
      </c>
      <c r="AG1129">
        <v>2</v>
      </c>
      <c r="AH1129">
        <v>6</v>
      </c>
      <c r="AI1129">
        <v>10</v>
      </c>
      <c r="AJ1129">
        <v>0.375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5</v>
      </c>
      <c r="AQ1129">
        <v>0</v>
      </c>
      <c r="AR1129">
        <v>5</v>
      </c>
      <c r="AS1129">
        <v>8</v>
      </c>
      <c r="AT1129">
        <v>0.38462000000000002</v>
      </c>
      <c r="AU1129">
        <v>10</v>
      </c>
      <c r="AV1129">
        <v>6</v>
      </c>
      <c r="AW1129">
        <v>17</v>
      </c>
      <c r="AX1129">
        <v>12</v>
      </c>
      <c r="AY1129">
        <v>8</v>
      </c>
      <c r="AZ1129">
        <v>5</v>
      </c>
      <c r="BA1129" t="s">
        <v>21907</v>
      </c>
      <c r="BB1129" t="s">
        <v>21908</v>
      </c>
      <c r="BC1129">
        <v>0.17699999999999999</v>
      </c>
      <c r="BD1129" t="s">
        <v>65</v>
      </c>
      <c r="BE1129">
        <v>25</v>
      </c>
      <c r="BF1129">
        <v>17</v>
      </c>
      <c r="BG1129" t="s">
        <v>21909</v>
      </c>
      <c r="BH1129" t="s">
        <v>21910</v>
      </c>
      <c r="BI1129" t="s">
        <v>21911</v>
      </c>
      <c r="BJ1129">
        <v>0.19195000000000001</v>
      </c>
      <c r="BK1129">
        <v>1</v>
      </c>
      <c r="BL1129" t="s">
        <v>69</v>
      </c>
      <c r="BM1129">
        <v>-0.89</v>
      </c>
      <c r="BN1129">
        <v>-1.421</v>
      </c>
    </row>
    <row r="1130" spans="2:66">
      <c r="B1130">
        <v>1815</v>
      </c>
      <c r="C1130">
        <v>64</v>
      </c>
      <c r="D1130">
        <v>0</v>
      </c>
      <c r="E1130">
        <v>10</v>
      </c>
      <c r="F1130">
        <v>2</v>
      </c>
      <c r="J1130">
        <v>0</v>
      </c>
      <c r="K1130">
        <v>0</v>
      </c>
      <c r="L1130">
        <v>0</v>
      </c>
      <c r="M1130" t="s">
        <v>25022</v>
      </c>
      <c r="N1130">
        <v>3737</v>
      </c>
      <c r="O1130" t="s">
        <v>21912</v>
      </c>
      <c r="P1130" t="s">
        <v>62</v>
      </c>
      <c r="Q1130">
        <v>3714742</v>
      </c>
      <c r="R1130">
        <v>3715881</v>
      </c>
      <c r="S1130" t="s">
        <v>11506</v>
      </c>
      <c r="T1130">
        <v>380</v>
      </c>
      <c r="U1130" t="s">
        <v>21913</v>
      </c>
      <c r="V1130">
        <v>24</v>
      </c>
      <c r="W1130" t="str">
        <f>HYPERLINK("Gene3737-zp_tree_all.dnd", "Gene3737-tree")</f>
        <v>Gene3737-tree</v>
      </c>
      <c r="X1130">
        <v>1</v>
      </c>
      <c r="Y1130">
        <v>4</v>
      </c>
      <c r="Z1130">
        <v>1</v>
      </c>
      <c r="AA1130">
        <v>4</v>
      </c>
      <c r="AB1130">
        <v>0.8</v>
      </c>
      <c r="AC1130" t="s">
        <v>175</v>
      </c>
      <c r="AD1130" t="s">
        <v>61</v>
      </c>
      <c r="AE1130" t="s">
        <v>62</v>
      </c>
      <c r="AF1130" t="s">
        <v>62</v>
      </c>
      <c r="AG1130">
        <v>0</v>
      </c>
      <c r="AH1130">
        <v>0</v>
      </c>
      <c r="AI1130">
        <v>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9</v>
      </c>
      <c r="AT1130">
        <v>0</v>
      </c>
      <c r="AU1130">
        <v>3</v>
      </c>
      <c r="AV1130">
        <v>2</v>
      </c>
      <c r="AW1130">
        <v>12</v>
      </c>
      <c r="AX1130">
        <v>7</v>
      </c>
      <c r="AY1130">
        <v>3</v>
      </c>
      <c r="AZ1130">
        <v>2</v>
      </c>
      <c r="BA1130" t="s">
        <v>21914</v>
      </c>
      <c r="BB1130" t="s">
        <v>21915</v>
      </c>
      <c r="BC1130">
        <v>0.16200000000000001</v>
      </c>
      <c r="BD1130" t="s">
        <v>65</v>
      </c>
      <c r="BE1130">
        <v>15</v>
      </c>
      <c r="BF1130">
        <v>9</v>
      </c>
      <c r="BG1130" t="s">
        <v>21916</v>
      </c>
      <c r="BH1130" t="s">
        <v>21917</v>
      </c>
      <c r="BI1130" t="s">
        <v>21918</v>
      </c>
      <c r="BJ1130">
        <v>0.16839000000000001</v>
      </c>
      <c r="BK1130">
        <v>1</v>
      </c>
      <c r="BL1130" t="s">
        <v>69</v>
      </c>
      <c r="BM1130">
        <v>-1.6859999999999999</v>
      </c>
      <c r="BN1130">
        <v>-1.2969999999999999</v>
      </c>
    </row>
    <row r="1131" spans="2:66">
      <c r="B1131">
        <v>1817</v>
      </c>
      <c r="C1131">
        <v>70</v>
      </c>
      <c r="D1131">
        <v>0</v>
      </c>
      <c r="E1131">
        <v>4</v>
      </c>
      <c r="F1131">
        <v>1</v>
      </c>
      <c r="J1131">
        <v>0</v>
      </c>
      <c r="K1131">
        <v>5</v>
      </c>
      <c r="L1131">
        <v>0</v>
      </c>
      <c r="M1131" t="s">
        <v>25022</v>
      </c>
      <c r="N1131">
        <v>3738</v>
      </c>
      <c r="O1131" t="s">
        <v>21919</v>
      </c>
      <c r="P1131" t="s">
        <v>62</v>
      </c>
      <c r="Q1131">
        <v>3716012</v>
      </c>
      <c r="R1131">
        <v>3717097</v>
      </c>
      <c r="S1131" t="s">
        <v>21920</v>
      </c>
      <c r="T1131">
        <v>362</v>
      </c>
      <c r="U1131" t="s">
        <v>108</v>
      </c>
      <c r="V1131">
        <v>44</v>
      </c>
      <c r="W1131" t="str">
        <f>HYPERLINK("Gene3738-zp_tree_all.dnd", "Gene3738-tree")</f>
        <v>Gene3738-tree</v>
      </c>
      <c r="X1131">
        <v>7</v>
      </c>
      <c r="Y1131">
        <v>5</v>
      </c>
      <c r="Z1131">
        <v>7</v>
      </c>
      <c r="AA1131">
        <v>5</v>
      </c>
      <c r="AB1131">
        <v>0.41666999999999998</v>
      </c>
      <c r="AC1131" t="s">
        <v>152</v>
      </c>
      <c r="AD1131" t="s">
        <v>199</v>
      </c>
      <c r="AE1131" t="s">
        <v>62</v>
      </c>
      <c r="AF1131" t="s">
        <v>62</v>
      </c>
      <c r="AG1131">
        <v>2</v>
      </c>
      <c r="AH1131">
        <v>5</v>
      </c>
      <c r="AI1131">
        <v>10</v>
      </c>
      <c r="AJ1131">
        <v>0.33333000000000002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2</v>
      </c>
      <c r="AQ1131">
        <v>0</v>
      </c>
      <c r="AR1131">
        <v>2</v>
      </c>
      <c r="AS1131">
        <v>4</v>
      </c>
      <c r="AT1131">
        <v>0.33333000000000002</v>
      </c>
      <c r="AU1131">
        <v>9</v>
      </c>
      <c r="AV1131">
        <v>9</v>
      </c>
      <c r="AW1131">
        <v>21</v>
      </c>
      <c r="AX1131">
        <v>5</v>
      </c>
      <c r="AY1131">
        <v>42</v>
      </c>
      <c r="AZ1131">
        <v>11</v>
      </c>
      <c r="BA1131" t="s">
        <v>21921</v>
      </c>
      <c r="BB1131" t="s">
        <v>21922</v>
      </c>
      <c r="BC1131">
        <v>8.2000000000000003E-2</v>
      </c>
      <c r="BD1131" t="s">
        <v>65</v>
      </c>
      <c r="BE1131">
        <v>63</v>
      </c>
      <c r="BF1131">
        <v>16</v>
      </c>
      <c r="BG1131" t="s">
        <v>21923</v>
      </c>
      <c r="BH1131" t="s">
        <v>21924</v>
      </c>
      <c r="BI1131" t="s">
        <v>21925</v>
      </c>
      <c r="BJ1131">
        <v>7.349E-2</v>
      </c>
      <c r="BK1131">
        <v>1</v>
      </c>
      <c r="BL1131" t="s">
        <v>69</v>
      </c>
      <c r="BM1131">
        <v>1.33</v>
      </c>
      <c r="BN1131">
        <v>1.032</v>
      </c>
    </row>
    <row r="1132" spans="2:66">
      <c r="B1132">
        <v>1818</v>
      </c>
      <c r="C1132">
        <v>8</v>
      </c>
      <c r="D1132">
        <v>0</v>
      </c>
      <c r="E1132">
        <v>2</v>
      </c>
      <c r="F1132">
        <v>0</v>
      </c>
      <c r="J1132">
        <v>0</v>
      </c>
      <c r="K1132">
        <v>9</v>
      </c>
      <c r="L1132">
        <v>8</v>
      </c>
      <c r="M1132" t="s">
        <v>25022</v>
      </c>
      <c r="N1132">
        <v>3742</v>
      </c>
      <c r="O1132" t="s">
        <v>21947</v>
      </c>
      <c r="P1132" t="s">
        <v>62</v>
      </c>
      <c r="Q1132">
        <v>3719137</v>
      </c>
      <c r="R1132">
        <v>3720711</v>
      </c>
      <c r="S1132" t="s">
        <v>21948</v>
      </c>
      <c r="T1132">
        <v>525</v>
      </c>
      <c r="U1132" t="s">
        <v>108</v>
      </c>
      <c r="V1132">
        <v>44</v>
      </c>
      <c r="W1132" t="str">
        <f>HYPERLINK("Gene3742-zp_tree_all.dnd", "Gene3742-tree")</f>
        <v>Gene3742-tree</v>
      </c>
      <c r="X1132">
        <v>5</v>
      </c>
      <c r="Y1132">
        <v>8</v>
      </c>
      <c r="Z1132">
        <v>5</v>
      </c>
      <c r="AA1132">
        <v>8</v>
      </c>
      <c r="AB1132">
        <v>0.61538000000000004</v>
      </c>
      <c r="AC1132" t="s">
        <v>199</v>
      </c>
      <c r="AD1132" t="s">
        <v>136</v>
      </c>
      <c r="AE1132" t="s">
        <v>62</v>
      </c>
      <c r="AF1132" t="s">
        <v>62</v>
      </c>
      <c r="AG1132">
        <v>7</v>
      </c>
      <c r="AH1132">
        <v>17</v>
      </c>
      <c r="AI1132">
        <v>32</v>
      </c>
      <c r="AJ1132">
        <v>0.34694000000000003</v>
      </c>
      <c r="AK1132">
        <v>0</v>
      </c>
      <c r="AL1132">
        <v>0</v>
      </c>
      <c r="AM1132">
        <v>0</v>
      </c>
      <c r="AN1132">
        <v>2</v>
      </c>
      <c r="AO1132">
        <v>0</v>
      </c>
      <c r="AP1132">
        <v>0</v>
      </c>
      <c r="AQ1132">
        <v>6</v>
      </c>
      <c r="AR1132">
        <v>6</v>
      </c>
      <c r="AS1132">
        <v>23</v>
      </c>
      <c r="AT1132">
        <v>0.2069</v>
      </c>
      <c r="AU1132">
        <v>12</v>
      </c>
      <c r="AV1132">
        <v>10</v>
      </c>
      <c r="AW1132">
        <v>56</v>
      </c>
      <c r="AX1132">
        <v>29</v>
      </c>
      <c r="AY1132">
        <v>36</v>
      </c>
      <c r="AZ1132">
        <v>22</v>
      </c>
      <c r="BA1132" t="s">
        <v>21949</v>
      </c>
      <c r="BB1132" t="s">
        <v>21950</v>
      </c>
      <c r="BC1132">
        <v>0.16300000000000001</v>
      </c>
      <c r="BD1132" t="s">
        <v>65</v>
      </c>
      <c r="BE1132">
        <v>92</v>
      </c>
      <c r="BF1132">
        <v>51</v>
      </c>
      <c r="BG1132" t="s">
        <v>21951</v>
      </c>
      <c r="BH1132" t="s">
        <v>21952</v>
      </c>
      <c r="BI1132" t="s">
        <v>21953</v>
      </c>
      <c r="BJ1132">
        <v>0.17116999999999999</v>
      </c>
      <c r="BK1132">
        <v>1</v>
      </c>
      <c r="BL1132" t="s">
        <v>69</v>
      </c>
      <c r="BM1132">
        <v>-0.40300000000000002</v>
      </c>
      <c r="BN1132">
        <v>-1.829</v>
      </c>
    </row>
    <row r="1133" spans="2:66">
      <c r="B1133">
        <v>1820</v>
      </c>
      <c r="C1133">
        <v>125</v>
      </c>
      <c r="D1133">
        <v>0</v>
      </c>
      <c r="E1133">
        <v>4</v>
      </c>
      <c r="F1133">
        <v>0</v>
      </c>
      <c r="J1133">
        <v>0</v>
      </c>
      <c r="K1133">
        <v>4</v>
      </c>
      <c r="L1133">
        <v>0</v>
      </c>
      <c r="M1133" t="s">
        <v>25022</v>
      </c>
      <c r="N1133">
        <v>3746</v>
      </c>
      <c r="O1133" t="s">
        <v>21974</v>
      </c>
      <c r="P1133" t="s">
        <v>62</v>
      </c>
      <c r="Q1133">
        <v>3722571</v>
      </c>
      <c r="R1133">
        <v>3722789</v>
      </c>
      <c r="S1133" t="s">
        <v>116</v>
      </c>
      <c r="T1133">
        <v>73</v>
      </c>
      <c r="U1133" t="s">
        <v>2548</v>
      </c>
      <c r="V1133">
        <v>37</v>
      </c>
      <c r="W1133" t="str">
        <f>HYPERLINK("Gene3746-zp_tree_all.dnd", "Gene3746-tree")</f>
        <v>Gene3746-tree</v>
      </c>
      <c r="X1133">
        <v>0</v>
      </c>
      <c r="Y1133">
        <v>7</v>
      </c>
      <c r="Z1133">
        <v>0</v>
      </c>
      <c r="AA1133">
        <v>7</v>
      </c>
      <c r="AB1133">
        <v>1</v>
      </c>
      <c r="AC1133" t="s">
        <v>62</v>
      </c>
      <c r="AD1133" t="s">
        <v>152</v>
      </c>
      <c r="AE1133" t="s">
        <v>62</v>
      </c>
      <c r="AF1133" t="s">
        <v>62</v>
      </c>
      <c r="AG1133">
        <v>2</v>
      </c>
      <c r="AH1133">
        <v>4</v>
      </c>
      <c r="AI1133">
        <v>9</v>
      </c>
      <c r="AJ1133">
        <v>0.30769000000000002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2</v>
      </c>
      <c r="AQ1133">
        <v>0</v>
      </c>
      <c r="AR1133">
        <v>2</v>
      </c>
      <c r="AS1133">
        <v>8</v>
      </c>
      <c r="AT1133">
        <v>0.2</v>
      </c>
      <c r="AU1133">
        <v>4</v>
      </c>
      <c r="AV1133">
        <v>3</v>
      </c>
      <c r="AW1133">
        <v>0</v>
      </c>
      <c r="AX1133">
        <v>7</v>
      </c>
      <c r="AY1133">
        <v>0</v>
      </c>
      <c r="AZ1133">
        <v>6</v>
      </c>
      <c r="BA1133" t="s">
        <v>193</v>
      </c>
      <c r="BB1133" t="s">
        <v>193</v>
      </c>
      <c r="BC1133">
        <v>0</v>
      </c>
      <c r="BD1133" t="s">
        <v>65</v>
      </c>
      <c r="BE1133">
        <v>0</v>
      </c>
      <c r="BF1133">
        <v>13</v>
      </c>
      <c r="BG1133" t="s">
        <v>21975</v>
      </c>
      <c r="BH1133" t="s">
        <v>193</v>
      </c>
      <c r="BI1133" t="s">
        <v>21976</v>
      </c>
      <c r="BJ1133" t="s">
        <v>1346</v>
      </c>
      <c r="BK1133">
        <v>1</v>
      </c>
      <c r="BL1133" t="s">
        <v>69</v>
      </c>
      <c r="BM1133">
        <v>1.4379999999999999</v>
      </c>
      <c r="BN1133">
        <v>1.4410000000000001</v>
      </c>
    </row>
    <row r="1134" spans="2:66">
      <c r="B1134">
        <v>1821</v>
      </c>
      <c r="C1134">
        <v>107</v>
      </c>
      <c r="D1134">
        <v>0</v>
      </c>
      <c r="E1134">
        <v>15</v>
      </c>
      <c r="F1134">
        <v>1</v>
      </c>
      <c r="J1134">
        <v>0</v>
      </c>
      <c r="K1134">
        <v>4</v>
      </c>
      <c r="L1134">
        <v>0</v>
      </c>
      <c r="M1134" t="s">
        <v>25022</v>
      </c>
      <c r="N1134">
        <v>3747</v>
      </c>
      <c r="O1134" t="s">
        <v>21977</v>
      </c>
      <c r="P1134" t="s">
        <v>62</v>
      </c>
      <c r="Q1134">
        <v>3722789</v>
      </c>
      <c r="R1134">
        <v>3723331</v>
      </c>
      <c r="S1134" t="s">
        <v>1940</v>
      </c>
      <c r="T1134">
        <v>181</v>
      </c>
      <c r="U1134" t="s">
        <v>2548</v>
      </c>
      <c r="V1134">
        <v>37</v>
      </c>
      <c r="W1134" t="str">
        <f>HYPERLINK("Gene3747-zp_tree_all.dnd", "Gene3747-tree")</f>
        <v>Gene3747-tree</v>
      </c>
      <c r="X1134">
        <v>2</v>
      </c>
      <c r="Y1134">
        <v>9</v>
      </c>
      <c r="Z1134">
        <v>2</v>
      </c>
      <c r="AA1134">
        <v>9</v>
      </c>
      <c r="AB1134">
        <v>0.81818000000000002</v>
      </c>
      <c r="AC1134" t="s">
        <v>81</v>
      </c>
      <c r="AD1134" t="s">
        <v>135</v>
      </c>
      <c r="AE1134" t="s">
        <v>62</v>
      </c>
      <c r="AF1134" t="s">
        <v>62</v>
      </c>
      <c r="AG1134">
        <v>2</v>
      </c>
      <c r="AH1134">
        <v>4</v>
      </c>
      <c r="AI1134">
        <v>17</v>
      </c>
      <c r="AJ1134">
        <v>0.19048000000000001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4</v>
      </c>
      <c r="AQ1134">
        <v>0</v>
      </c>
      <c r="AR1134">
        <v>4</v>
      </c>
      <c r="AS1134">
        <v>15</v>
      </c>
      <c r="AT1134">
        <v>0.21052999999999999</v>
      </c>
      <c r="AU1134">
        <v>8</v>
      </c>
      <c r="AV1134">
        <v>4</v>
      </c>
      <c r="AW1134">
        <v>2</v>
      </c>
      <c r="AX1134">
        <v>14</v>
      </c>
      <c r="AY1134">
        <v>5</v>
      </c>
      <c r="AZ1134">
        <v>7</v>
      </c>
      <c r="BA1134" t="s">
        <v>21978</v>
      </c>
      <c r="BB1134" t="s">
        <v>21979</v>
      </c>
      <c r="BC1134">
        <v>0.65</v>
      </c>
      <c r="BD1134" t="s">
        <v>65</v>
      </c>
      <c r="BE1134">
        <v>7</v>
      </c>
      <c r="BF1134">
        <v>21</v>
      </c>
      <c r="BG1134" t="s">
        <v>21980</v>
      </c>
      <c r="BH1134" t="s">
        <v>21981</v>
      </c>
      <c r="BI1134" t="s">
        <v>21982</v>
      </c>
      <c r="BJ1134">
        <v>0.65846000000000005</v>
      </c>
      <c r="BK1134">
        <v>0.59</v>
      </c>
      <c r="BL1134" t="s">
        <v>635</v>
      </c>
      <c r="BM1134">
        <v>0.115</v>
      </c>
      <c r="BN1134">
        <v>0.379</v>
      </c>
    </row>
    <row r="1135" spans="2:66">
      <c r="B1135">
        <v>1822</v>
      </c>
      <c r="C1135">
        <v>447</v>
      </c>
      <c r="D1135">
        <v>0</v>
      </c>
      <c r="E1135">
        <v>11</v>
      </c>
      <c r="F1135">
        <v>0</v>
      </c>
      <c r="J1135">
        <v>0</v>
      </c>
      <c r="K1135">
        <v>0</v>
      </c>
      <c r="L1135">
        <v>0</v>
      </c>
      <c r="M1135" t="s">
        <v>25022</v>
      </c>
      <c r="N1135">
        <v>3752</v>
      </c>
      <c r="O1135" t="s">
        <v>21990</v>
      </c>
      <c r="P1135" t="s">
        <v>62</v>
      </c>
      <c r="Q1135">
        <v>3727430</v>
      </c>
      <c r="R1135">
        <v>3727687</v>
      </c>
      <c r="S1135" t="s">
        <v>116</v>
      </c>
      <c r="T1135">
        <v>86</v>
      </c>
      <c r="U1135" t="s">
        <v>21991</v>
      </c>
      <c r="V1135">
        <v>39</v>
      </c>
      <c r="W1135" t="str">
        <f>HYPERLINK("Gene3752-zp_tree_all.dnd", "Gene3752-tree")</f>
        <v>Gene3752-tree</v>
      </c>
      <c r="X1135">
        <v>25</v>
      </c>
      <c r="Y1135">
        <v>3</v>
      </c>
      <c r="Z1135">
        <v>7</v>
      </c>
      <c r="AA1135">
        <v>3</v>
      </c>
      <c r="AB1135">
        <v>0.3</v>
      </c>
      <c r="AC1135" t="s">
        <v>2683</v>
      </c>
      <c r="AD1135" t="s">
        <v>324</v>
      </c>
      <c r="AE1135" t="s">
        <v>62</v>
      </c>
      <c r="AF1135" t="s">
        <v>62</v>
      </c>
      <c r="AG1135">
        <v>0</v>
      </c>
      <c r="AH1135">
        <v>0</v>
      </c>
      <c r="AI1135">
        <v>4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3</v>
      </c>
      <c r="AT1135">
        <v>0</v>
      </c>
      <c r="AU1135">
        <v>8</v>
      </c>
      <c r="AV1135">
        <v>6</v>
      </c>
      <c r="AW1135">
        <v>16</v>
      </c>
      <c r="AX1135">
        <v>3</v>
      </c>
      <c r="AY1135">
        <v>18</v>
      </c>
      <c r="AZ1135">
        <v>2</v>
      </c>
      <c r="BA1135" t="s">
        <v>21992</v>
      </c>
      <c r="BB1135" t="s">
        <v>21993</v>
      </c>
      <c r="BC1135">
        <v>0.28899999999999998</v>
      </c>
      <c r="BD1135" t="s">
        <v>65</v>
      </c>
      <c r="BE1135">
        <v>34</v>
      </c>
      <c r="BF1135">
        <v>5</v>
      </c>
      <c r="BG1135" t="s">
        <v>21994</v>
      </c>
      <c r="BH1135" t="s">
        <v>21995</v>
      </c>
      <c r="BI1135" t="s">
        <v>21996</v>
      </c>
      <c r="BJ1135">
        <v>4.5359999999999998E-2</v>
      </c>
      <c r="BK1135">
        <v>1</v>
      </c>
      <c r="BL1135" t="s">
        <v>69</v>
      </c>
      <c r="BM1135">
        <v>-0.53400000000000003</v>
      </c>
      <c r="BN1135">
        <v>-1.399</v>
      </c>
    </row>
    <row r="1136" spans="2:66">
      <c r="B1136">
        <v>1823</v>
      </c>
      <c r="C1136">
        <v>382</v>
      </c>
      <c r="D1136">
        <v>0</v>
      </c>
      <c r="E1136">
        <v>16</v>
      </c>
      <c r="F1136">
        <v>1</v>
      </c>
      <c r="J1136">
        <v>0</v>
      </c>
      <c r="K1136">
        <v>0</v>
      </c>
      <c r="L1136">
        <v>0</v>
      </c>
      <c r="M1136" t="s">
        <v>25022</v>
      </c>
      <c r="N1136">
        <v>3754</v>
      </c>
      <c r="O1136" t="s">
        <v>21997</v>
      </c>
      <c r="P1136" t="s">
        <v>62</v>
      </c>
      <c r="Q1136">
        <v>3728339</v>
      </c>
      <c r="R1136">
        <v>3728461</v>
      </c>
      <c r="S1136" t="s">
        <v>21998</v>
      </c>
      <c r="T1136">
        <v>41</v>
      </c>
      <c r="U1136" t="s">
        <v>21999</v>
      </c>
      <c r="V1136">
        <v>25</v>
      </c>
      <c r="W1136" t="str">
        <f>HYPERLINK("Gene3754-zp_tree_all.dnd", "Gene3754-tree")</f>
        <v>Gene3754-tree</v>
      </c>
      <c r="X1136">
        <v>2</v>
      </c>
      <c r="Y1136">
        <v>3</v>
      </c>
      <c r="Z1136">
        <v>2</v>
      </c>
      <c r="AA1136">
        <v>3</v>
      </c>
      <c r="AB1136">
        <v>0.6</v>
      </c>
      <c r="AC1136" t="s">
        <v>81</v>
      </c>
      <c r="AD1136" t="s">
        <v>324</v>
      </c>
      <c r="AE1136" t="s">
        <v>62</v>
      </c>
      <c r="AF1136" t="s">
        <v>62</v>
      </c>
      <c r="AG1136">
        <v>0</v>
      </c>
      <c r="AH1136">
        <v>0</v>
      </c>
      <c r="AI1136">
        <v>4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4</v>
      </c>
      <c r="AT1136">
        <v>0</v>
      </c>
      <c r="AU1136">
        <v>3</v>
      </c>
      <c r="AV1136">
        <v>1</v>
      </c>
      <c r="AW1136">
        <v>1</v>
      </c>
      <c r="AX1136">
        <v>3</v>
      </c>
      <c r="AY1136">
        <v>0</v>
      </c>
      <c r="AZ1136">
        <v>1</v>
      </c>
      <c r="BA1136" t="s">
        <v>22000</v>
      </c>
      <c r="BB1136" t="s">
        <v>193</v>
      </c>
      <c r="BC1136">
        <v>0.64900000000000002</v>
      </c>
      <c r="BD1136" t="s">
        <v>65</v>
      </c>
      <c r="BE1136">
        <v>1</v>
      </c>
      <c r="BF1136">
        <v>4</v>
      </c>
      <c r="BG1136" t="s">
        <v>22001</v>
      </c>
      <c r="BH1136" t="s">
        <v>22002</v>
      </c>
      <c r="BI1136" t="s">
        <v>22003</v>
      </c>
      <c r="BJ1136">
        <v>1.1858</v>
      </c>
      <c r="BK1136">
        <v>0.33900000000000002</v>
      </c>
      <c r="BL1136" t="s">
        <v>635</v>
      </c>
      <c r="BM1136">
        <v>-0.80200000000000005</v>
      </c>
      <c r="BN1136">
        <v>-0.52300000000000002</v>
      </c>
    </row>
    <row r="1137" spans="2:66">
      <c r="B1137">
        <v>1824</v>
      </c>
      <c r="C1137">
        <v>7</v>
      </c>
      <c r="D1137">
        <v>0</v>
      </c>
      <c r="E1137">
        <v>13</v>
      </c>
      <c r="F1137">
        <v>3</v>
      </c>
      <c r="J1137">
        <v>0</v>
      </c>
      <c r="K1137">
        <v>10</v>
      </c>
      <c r="L1137">
        <v>4</v>
      </c>
      <c r="M1137" t="s">
        <v>25022</v>
      </c>
      <c r="N1137">
        <v>3755</v>
      </c>
      <c r="O1137" t="s">
        <v>22004</v>
      </c>
      <c r="P1137" t="s">
        <v>62</v>
      </c>
      <c r="Q1137">
        <v>3729491</v>
      </c>
      <c r="R1137">
        <v>3730810</v>
      </c>
      <c r="S1137" t="s">
        <v>22005</v>
      </c>
      <c r="T1137">
        <v>440</v>
      </c>
      <c r="U1137" t="s">
        <v>108</v>
      </c>
      <c r="V1137">
        <v>44</v>
      </c>
      <c r="W1137" t="str">
        <f>HYPERLINK("Gene3755-zp_tree_all.dnd", "Gene3755-tree")</f>
        <v>Gene3755-tree</v>
      </c>
      <c r="X1137">
        <v>5</v>
      </c>
      <c r="Y1137">
        <v>10</v>
      </c>
      <c r="Z1137">
        <v>5</v>
      </c>
      <c r="AA1137">
        <v>10</v>
      </c>
      <c r="AB1137">
        <v>0.66666999999999998</v>
      </c>
      <c r="AC1137" t="s">
        <v>199</v>
      </c>
      <c r="AD1137" t="s">
        <v>117</v>
      </c>
      <c r="AE1137" t="s">
        <v>62</v>
      </c>
      <c r="AF1137" t="s">
        <v>62</v>
      </c>
      <c r="AG1137">
        <v>6</v>
      </c>
      <c r="AH1137">
        <v>14</v>
      </c>
      <c r="AI1137">
        <v>11</v>
      </c>
      <c r="AJ1137">
        <v>0.56000000000000005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2</v>
      </c>
      <c r="AR1137">
        <v>2</v>
      </c>
      <c r="AS1137">
        <v>14</v>
      </c>
      <c r="AT1137">
        <v>0.125</v>
      </c>
      <c r="AU1137">
        <v>13</v>
      </c>
      <c r="AV1137">
        <v>11</v>
      </c>
      <c r="AW1137">
        <v>47</v>
      </c>
      <c r="AX1137">
        <v>16</v>
      </c>
      <c r="AY1137">
        <v>26</v>
      </c>
      <c r="AZ1137">
        <v>13</v>
      </c>
      <c r="BA1137" t="s">
        <v>22006</v>
      </c>
      <c r="BB1137" t="s">
        <v>22007</v>
      </c>
      <c r="BC1137">
        <v>0.43099999999999999</v>
      </c>
      <c r="BD1137" t="s">
        <v>65</v>
      </c>
      <c r="BE1137">
        <v>73</v>
      </c>
      <c r="BF1137">
        <v>29</v>
      </c>
      <c r="BG1137" t="s">
        <v>22008</v>
      </c>
      <c r="BH1137" t="s">
        <v>22009</v>
      </c>
      <c r="BI1137" t="s">
        <v>22010</v>
      </c>
      <c r="BJ1137">
        <v>0.12989000000000001</v>
      </c>
      <c r="BK1137">
        <v>1</v>
      </c>
      <c r="BL1137" t="s">
        <v>69</v>
      </c>
      <c r="BM1137">
        <v>-0.22900000000000001</v>
      </c>
      <c r="BN1137">
        <v>-0.96299999999999997</v>
      </c>
    </row>
    <row r="1138" spans="2:66">
      <c r="B1138">
        <v>1825</v>
      </c>
      <c r="C1138">
        <v>39</v>
      </c>
      <c r="D1138">
        <v>0</v>
      </c>
      <c r="E1138">
        <v>20</v>
      </c>
      <c r="F1138">
        <v>0</v>
      </c>
      <c r="J1138">
        <v>0</v>
      </c>
      <c r="K1138">
        <v>4</v>
      </c>
      <c r="L1138">
        <v>0</v>
      </c>
      <c r="M1138" t="s">
        <v>25022</v>
      </c>
      <c r="N1138">
        <v>3757</v>
      </c>
      <c r="O1138" t="s">
        <v>22011</v>
      </c>
      <c r="P1138" t="s">
        <v>62</v>
      </c>
      <c r="Q1138">
        <v>3731825</v>
      </c>
      <c r="R1138">
        <v>3732535</v>
      </c>
      <c r="S1138" t="s">
        <v>22012</v>
      </c>
      <c r="T1138">
        <v>237</v>
      </c>
      <c r="U1138" t="s">
        <v>108</v>
      </c>
      <c r="V1138">
        <v>44</v>
      </c>
      <c r="W1138" t="str">
        <f>HYPERLINK("Gene3757-zp_tree_all.dnd", "Gene3757-tree")</f>
        <v>Gene3757-tree</v>
      </c>
      <c r="X1138">
        <v>8</v>
      </c>
      <c r="Y1138">
        <v>5</v>
      </c>
      <c r="Z1138">
        <v>8</v>
      </c>
      <c r="AA1138">
        <v>5</v>
      </c>
      <c r="AB1138">
        <v>0.38462000000000002</v>
      </c>
      <c r="AC1138" t="s">
        <v>136</v>
      </c>
      <c r="AD1138" t="s">
        <v>199</v>
      </c>
      <c r="AE1138" t="s">
        <v>62</v>
      </c>
      <c r="AF1138" t="s">
        <v>62</v>
      </c>
      <c r="AG1138">
        <v>2</v>
      </c>
      <c r="AH1138">
        <v>4</v>
      </c>
      <c r="AI1138">
        <v>7</v>
      </c>
      <c r="AJ1138">
        <v>0.36364000000000002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2</v>
      </c>
      <c r="AQ1138">
        <v>0</v>
      </c>
      <c r="AR1138">
        <v>2</v>
      </c>
      <c r="AS1138">
        <v>5</v>
      </c>
      <c r="AT1138">
        <v>0.28571000000000002</v>
      </c>
      <c r="AU1138">
        <v>11</v>
      </c>
      <c r="AV1138">
        <v>6</v>
      </c>
      <c r="AW1138">
        <v>23</v>
      </c>
      <c r="AX1138">
        <v>7</v>
      </c>
      <c r="AY1138">
        <v>11</v>
      </c>
      <c r="AZ1138">
        <v>4</v>
      </c>
      <c r="BA1138" t="s">
        <v>22013</v>
      </c>
      <c r="BB1138" t="s">
        <v>22014</v>
      </c>
      <c r="BC1138">
        <v>0.11700000000000001</v>
      </c>
      <c r="BD1138" t="s">
        <v>65</v>
      </c>
      <c r="BE1138">
        <v>34</v>
      </c>
      <c r="BF1138">
        <v>11</v>
      </c>
      <c r="BG1138" t="s">
        <v>22015</v>
      </c>
      <c r="BH1138" t="s">
        <v>22016</v>
      </c>
      <c r="BI1138" t="s">
        <v>22017</v>
      </c>
      <c r="BJ1138">
        <v>0.11384</v>
      </c>
      <c r="BK1138">
        <v>1</v>
      </c>
      <c r="BL1138" t="s">
        <v>69</v>
      </c>
      <c r="BM1138">
        <v>0.60699999999999998</v>
      </c>
      <c r="BN1138">
        <v>0.57099999999999995</v>
      </c>
    </row>
    <row r="1139" spans="2:66">
      <c r="B1139">
        <v>1826</v>
      </c>
      <c r="C1139">
        <v>87</v>
      </c>
      <c r="D1139">
        <v>0</v>
      </c>
      <c r="E1139">
        <v>6</v>
      </c>
      <c r="F1139">
        <v>0</v>
      </c>
      <c r="J1139">
        <v>0</v>
      </c>
      <c r="K1139">
        <v>2</v>
      </c>
      <c r="L1139">
        <v>0</v>
      </c>
      <c r="M1139" t="s">
        <v>25022</v>
      </c>
      <c r="N1139">
        <v>3758</v>
      </c>
      <c r="O1139" t="s">
        <v>22018</v>
      </c>
      <c r="P1139" t="s">
        <v>62</v>
      </c>
      <c r="Q1139">
        <v>3732528</v>
      </c>
      <c r="R1139">
        <v>3733271</v>
      </c>
      <c r="S1139" t="s">
        <v>22019</v>
      </c>
      <c r="T1139">
        <v>248</v>
      </c>
      <c r="U1139" t="s">
        <v>11324</v>
      </c>
      <c r="V1139">
        <v>46</v>
      </c>
      <c r="W1139" t="str">
        <f>HYPERLINK("Gene3758-zp_tree_all.dnd", "Gene3758-tree")</f>
        <v>Gene3758-tree</v>
      </c>
      <c r="X1139">
        <v>7</v>
      </c>
      <c r="Y1139">
        <v>9</v>
      </c>
      <c r="Z1139">
        <v>7</v>
      </c>
      <c r="AA1139">
        <v>9</v>
      </c>
      <c r="AB1139">
        <v>0.5625</v>
      </c>
      <c r="AC1139" t="s">
        <v>152</v>
      </c>
      <c r="AD1139" t="s">
        <v>135</v>
      </c>
      <c r="AE1139" t="s">
        <v>62</v>
      </c>
      <c r="AF1139" t="s">
        <v>62</v>
      </c>
      <c r="AG1139">
        <v>1</v>
      </c>
      <c r="AH1139">
        <v>2</v>
      </c>
      <c r="AI1139">
        <v>17</v>
      </c>
      <c r="AJ1139">
        <v>0.10526000000000001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</v>
      </c>
      <c r="AQ1139">
        <v>0</v>
      </c>
      <c r="AR1139">
        <v>2</v>
      </c>
      <c r="AS1139">
        <v>12</v>
      </c>
      <c r="AT1139">
        <v>0.14285999999999999</v>
      </c>
      <c r="AU1139">
        <v>12</v>
      </c>
      <c r="AV1139">
        <v>8</v>
      </c>
      <c r="AW1139">
        <v>24</v>
      </c>
      <c r="AX1139">
        <v>14</v>
      </c>
      <c r="AY1139">
        <v>24</v>
      </c>
      <c r="AZ1139">
        <v>5</v>
      </c>
      <c r="BA1139" t="s">
        <v>22020</v>
      </c>
      <c r="BB1139" t="s">
        <v>22021</v>
      </c>
      <c r="BC1139">
        <v>0.47899999999999998</v>
      </c>
      <c r="BD1139" t="s">
        <v>65</v>
      </c>
      <c r="BE1139">
        <v>48</v>
      </c>
      <c r="BF1139">
        <v>19</v>
      </c>
      <c r="BG1139" t="s">
        <v>22022</v>
      </c>
      <c r="BH1139" t="s">
        <v>22023</v>
      </c>
      <c r="BI1139" t="s">
        <v>22024</v>
      </c>
      <c r="BJ1139">
        <v>9.8199999999999996E-2</v>
      </c>
      <c r="BK1139">
        <v>1</v>
      </c>
      <c r="BL1139" t="s">
        <v>69</v>
      </c>
      <c r="BM1139">
        <v>-1.8360000000000001</v>
      </c>
      <c r="BN1139">
        <v>-2.3530000000000002</v>
      </c>
    </row>
    <row r="1140" spans="2:66">
      <c r="B1140">
        <v>1827</v>
      </c>
      <c r="C1140">
        <v>108</v>
      </c>
      <c r="D1140">
        <v>0</v>
      </c>
      <c r="E1140">
        <v>15</v>
      </c>
      <c r="F1140">
        <v>2</v>
      </c>
      <c r="J1140">
        <v>0</v>
      </c>
      <c r="K1140">
        <v>0</v>
      </c>
      <c r="L1140">
        <v>0</v>
      </c>
      <c r="M1140" t="s">
        <v>25022</v>
      </c>
      <c r="N1140">
        <v>3759</v>
      </c>
      <c r="O1140" t="s">
        <v>22025</v>
      </c>
      <c r="P1140" t="s">
        <v>62</v>
      </c>
      <c r="Q1140">
        <v>3733508</v>
      </c>
      <c r="R1140">
        <v>3733648</v>
      </c>
      <c r="S1140" t="s">
        <v>116</v>
      </c>
      <c r="T1140">
        <v>47</v>
      </c>
      <c r="U1140" t="s">
        <v>59</v>
      </c>
      <c r="V1140">
        <v>49</v>
      </c>
      <c r="W1140" t="str">
        <f>HYPERLINK("Gene3759-zp_tree_all.dnd", "Gene3759-tree")</f>
        <v>Gene3759-tree</v>
      </c>
      <c r="X1140">
        <v>2</v>
      </c>
      <c r="Y1140">
        <v>2</v>
      </c>
      <c r="Z1140">
        <v>2</v>
      </c>
      <c r="AA1140">
        <v>2</v>
      </c>
      <c r="AB1140">
        <v>0.5</v>
      </c>
      <c r="AC1140" t="s">
        <v>81</v>
      </c>
      <c r="AD1140" t="s">
        <v>81</v>
      </c>
      <c r="AE1140" t="s">
        <v>62</v>
      </c>
      <c r="AF1140" t="s">
        <v>62</v>
      </c>
      <c r="AG1140">
        <v>0</v>
      </c>
      <c r="AH1140">
        <v>0</v>
      </c>
      <c r="AI1140">
        <v>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2</v>
      </c>
      <c r="AT1140">
        <v>0</v>
      </c>
      <c r="AU1140">
        <v>3</v>
      </c>
      <c r="AV1140">
        <v>1</v>
      </c>
      <c r="AW1140">
        <v>2</v>
      </c>
      <c r="AX1140">
        <v>1</v>
      </c>
      <c r="AY1140">
        <v>0</v>
      </c>
      <c r="AZ1140">
        <v>1</v>
      </c>
      <c r="BA1140" t="s">
        <v>22026</v>
      </c>
      <c r="BB1140" t="s">
        <v>193</v>
      </c>
      <c r="BC1140">
        <v>0.69299999999999995</v>
      </c>
      <c r="BD1140" t="s">
        <v>65</v>
      </c>
      <c r="BE1140">
        <v>2</v>
      </c>
      <c r="BF1140">
        <v>2</v>
      </c>
      <c r="BG1140" t="s">
        <v>22027</v>
      </c>
      <c r="BH1140" t="s">
        <v>22028</v>
      </c>
      <c r="BI1140" t="s">
        <v>22029</v>
      </c>
      <c r="BJ1140">
        <v>0.25694</v>
      </c>
      <c r="BK1140">
        <v>0.75900000000000001</v>
      </c>
      <c r="BL1140" t="s">
        <v>635</v>
      </c>
      <c r="BM1140">
        <v>-0.91400000000000003</v>
      </c>
      <c r="BN1140">
        <v>1.006</v>
      </c>
    </row>
    <row r="1141" spans="2:66">
      <c r="B1141">
        <v>1828</v>
      </c>
      <c r="C1141">
        <v>302</v>
      </c>
      <c r="D1141">
        <v>0</v>
      </c>
      <c r="E1141">
        <v>8</v>
      </c>
      <c r="F1141">
        <v>0</v>
      </c>
      <c r="J1141">
        <v>0</v>
      </c>
      <c r="K1141">
        <v>14</v>
      </c>
      <c r="L1141">
        <v>0</v>
      </c>
      <c r="M1141" t="s">
        <v>25022</v>
      </c>
      <c r="N1141">
        <v>3762</v>
      </c>
      <c r="O1141" t="s">
        <v>22044</v>
      </c>
      <c r="P1141" t="s">
        <v>62</v>
      </c>
      <c r="Q1141">
        <v>3738346</v>
      </c>
      <c r="R1141">
        <v>3739200</v>
      </c>
      <c r="S1141" t="s">
        <v>22045</v>
      </c>
      <c r="T1141">
        <v>285</v>
      </c>
      <c r="U1141" t="s">
        <v>108</v>
      </c>
      <c r="V1141">
        <v>44</v>
      </c>
      <c r="W1141" t="str">
        <f>HYPERLINK("Gene3762-zp_tree_all.dnd", "Gene3762-tree")</f>
        <v>Gene3762-tree</v>
      </c>
      <c r="X1141">
        <v>2</v>
      </c>
      <c r="Y1141">
        <v>12</v>
      </c>
      <c r="Z1141">
        <v>2</v>
      </c>
      <c r="AA1141">
        <v>12</v>
      </c>
      <c r="AB1141">
        <v>0.85714000000000001</v>
      </c>
      <c r="AC1141" t="s">
        <v>81</v>
      </c>
      <c r="AD1141" t="s">
        <v>109</v>
      </c>
      <c r="AE1141" t="s">
        <v>62</v>
      </c>
      <c r="AF1141" t="s">
        <v>62</v>
      </c>
      <c r="AG1141">
        <v>5</v>
      </c>
      <c r="AH1141">
        <v>14</v>
      </c>
      <c r="AI1141">
        <v>12</v>
      </c>
      <c r="AJ1141">
        <v>0.53846000000000005</v>
      </c>
      <c r="AK1141">
        <v>0</v>
      </c>
      <c r="AL1141">
        <v>0</v>
      </c>
      <c r="AM1141">
        <v>0</v>
      </c>
      <c r="AN1141">
        <v>2</v>
      </c>
      <c r="AO1141">
        <v>0</v>
      </c>
      <c r="AP1141">
        <v>7</v>
      </c>
      <c r="AQ1141">
        <v>0</v>
      </c>
      <c r="AR1141">
        <v>7</v>
      </c>
      <c r="AS1141">
        <v>13</v>
      </c>
      <c r="AT1141">
        <v>0.35</v>
      </c>
      <c r="AU1141">
        <v>13</v>
      </c>
      <c r="AV1141">
        <v>8</v>
      </c>
      <c r="AW1141">
        <v>31</v>
      </c>
      <c r="AX1141">
        <v>20</v>
      </c>
      <c r="AY1141">
        <v>16</v>
      </c>
      <c r="AZ1141">
        <v>6</v>
      </c>
      <c r="BA1141" t="s">
        <v>22046</v>
      </c>
      <c r="BB1141" t="s">
        <v>22047</v>
      </c>
      <c r="BC1141">
        <v>1.0629999999999999</v>
      </c>
      <c r="BD1141" t="s">
        <v>65</v>
      </c>
      <c r="BE1141">
        <v>47</v>
      </c>
      <c r="BF1141">
        <v>26</v>
      </c>
      <c r="BG1141" t="s">
        <v>22048</v>
      </c>
      <c r="BH1141" t="s">
        <v>22049</v>
      </c>
      <c r="BI1141" t="s">
        <v>22050</v>
      </c>
      <c r="BJ1141">
        <v>0.13256999999999999</v>
      </c>
      <c r="BK1141">
        <v>1</v>
      </c>
      <c r="BL1141" t="s">
        <v>69</v>
      </c>
      <c r="BM1141">
        <v>-0.627</v>
      </c>
      <c r="BN1141">
        <v>-1.621</v>
      </c>
    </row>
    <row r="1142" spans="2:66">
      <c r="B1142">
        <v>1829</v>
      </c>
      <c r="C1142">
        <v>87</v>
      </c>
      <c r="D1142">
        <v>0</v>
      </c>
      <c r="E1142">
        <v>0</v>
      </c>
      <c r="F1142">
        <v>4</v>
      </c>
      <c r="J1142">
        <v>0</v>
      </c>
      <c r="K1142">
        <v>0</v>
      </c>
      <c r="L1142">
        <v>0</v>
      </c>
      <c r="M1142" t="s">
        <v>25022</v>
      </c>
      <c r="N1142">
        <v>3763</v>
      </c>
      <c r="O1142" t="s">
        <v>22051</v>
      </c>
      <c r="P1142" t="s">
        <v>62</v>
      </c>
      <c r="Q1142">
        <v>3739209</v>
      </c>
      <c r="R1142">
        <v>3739982</v>
      </c>
      <c r="S1142" t="s">
        <v>22052</v>
      </c>
      <c r="T1142">
        <v>258</v>
      </c>
      <c r="U1142" t="s">
        <v>108</v>
      </c>
      <c r="V1142">
        <v>44</v>
      </c>
      <c r="W1142" t="str">
        <f>HYPERLINK("Gene3763-zp_tree_all.dnd", "Gene3763-tree")</f>
        <v>Gene3763-tree</v>
      </c>
      <c r="X1142">
        <v>9</v>
      </c>
      <c r="Y1142">
        <v>6</v>
      </c>
      <c r="Z1142">
        <v>9</v>
      </c>
      <c r="AA1142">
        <v>6</v>
      </c>
      <c r="AB1142">
        <v>0.4</v>
      </c>
      <c r="AC1142" t="s">
        <v>135</v>
      </c>
      <c r="AD1142" t="s">
        <v>90</v>
      </c>
      <c r="AE1142" t="s">
        <v>62</v>
      </c>
      <c r="AF1142" t="s">
        <v>62</v>
      </c>
      <c r="AG1142">
        <v>0</v>
      </c>
      <c r="AH1142">
        <v>0</v>
      </c>
      <c r="AI1142">
        <v>7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7</v>
      </c>
      <c r="AT1142">
        <v>0</v>
      </c>
      <c r="AU1142">
        <v>13</v>
      </c>
      <c r="AV1142">
        <v>7</v>
      </c>
      <c r="AW1142">
        <v>31</v>
      </c>
      <c r="AX1142">
        <v>7</v>
      </c>
      <c r="AY1142">
        <v>14</v>
      </c>
      <c r="AZ1142">
        <v>0</v>
      </c>
      <c r="BA1142" t="s">
        <v>22053</v>
      </c>
      <c r="BB1142" t="s">
        <v>193</v>
      </c>
      <c r="BC1142">
        <v>1.569</v>
      </c>
      <c r="BD1142" t="s">
        <v>65</v>
      </c>
      <c r="BE1142">
        <v>45</v>
      </c>
      <c r="BF1142">
        <v>7</v>
      </c>
      <c r="BG1142" t="s">
        <v>22054</v>
      </c>
      <c r="BH1142" t="s">
        <v>22055</v>
      </c>
      <c r="BI1142" t="s">
        <v>22056</v>
      </c>
      <c r="BJ1142">
        <v>3.4139999999999997E-2</v>
      </c>
      <c r="BK1142">
        <v>1</v>
      </c>
      <c r="BL1142" t="s">
        <v>69</v>
      </c>
      <c r="BM1142">
        <v>-1.2110000000000001</v>
      </c>
      <c r="BN1142">
        <v>-3.3260000000000001</v>
      </c>
    </row>
    <row r="1143" spans="2:66">
      <c r="B1143">
        <v>1834</v>
      </c>
      <c r="C1143">
        <v>31</v>
      </c>
      <c r="D1143">
        <v>0</v>
      </c>
      <c r="E1143">
        <v>0</v>
      </c>
      <c r="F1143">
        <v>2</v>
      </c>
      <c r="J1143">
        <v>0</v>
      </c>
      <c r="K1143">
        <v>0</v>
      </c>
      <c r="L1143">
        <v>2</v>
      </c>
      <c r="M1143" t="s">
        <v>25022</v>
      </c>
      <c r="N1143">
        <v>3764</v>
      </c>
      <c r="O1143" t="s">
        <v>22057</v>
      </c>
      <c r="P1143" t="s">
        <v>62</v>
      </c>
      <c r="Q1143">
        <v>3740209</v>
      </c>
      <c r="R1143">
        <v>3740547</v>
      </c>
      <c r="S1143" t="s">
        <v>22058</v>
      </c>
      <c r="T1143">
        <v>113</v>
      </c>
      <c r="U1143" t="s">
        <v>59</v>
      </c>
      <c r="V1143">
        <v>49</v>
      </c>
      <c r="W1143" t="str">
        <f>HYPERLINK("Gene3764-zp_tree_all.dnd", "Gene3764-tree")</f>
        <v>Gene3764-tree</v>
      </c>
      <c r="X1143">
        <v>8</v>
      </c>
      <c r="Y1143">
        <v>5</v>
      </c>
      <c r="Z1143">
        <v>8</v>
      </c>
      <c r="AA1143">
        <v>5</v>
      </c>
      <c r="AB1143">
        <v>0.38462000000000002</v>
      </c>
      <c r="AC1143" t="s">
        <v>136</v>
      </c>
      <c r="AD1143" t="s">
        <v>199</v>
      </c>
      <c r="AE1143" t="s">
        <v>62</v>
      </c>
      <c r="AF1143" t="s">
        <v>62</v>
      </c>
      <c r="AG1143">
        <v>1</v>
      </c>
      <c r="AH1143">
        <v>2</v>
      </c>
      <c r="AI1143">
        <v>5</v>
      </c>
      <c r="AJ1143">
        <v>0.28571000000000002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4</v>
      </c>
      <c r="AT1143">
        <v>0</v>
      </c>
      <c r="AU1143">
        <v>10</v>
      </c>
      <c r="AV1143">
        <v>7</v>
      </c>
      <c r="AW1143">
        <v>14</v>
      </c>
      <c r="AX1143">
        <v>4</v>
      </c>
      <c r="AY1143">
        <v>17</v>
      </c>
      <c r="AZ1143">
        <v>3</v>
      </c>
      <c r="BA1143" t="s">
        <v>22059</v>
      </c>
      <c r="BB1143" t="s">
        <v>22060</v>
      </c>
      <c r="BC1143">
        <v>0.51600000000000001</v>
      </c>
      <c r="BD1143" t="s">
        <v>65</v>
      </c>
      <c r="BE1143">
        <v>31</v>
      </c>
      <c r="BF1143">
        <v>7</v>
      </c>
      <c r="BG1143" t="s">
        <v>22061</v>
      </c>
      <c r="BH1143" t="s">
        <v>22062</v>
      </c>
      <c r="BI1143" t="s">
        <v>22063</v>
      </c>
      <c r="BJ1143">
        <v>6.0909999999999999E-2</v>
      </c>
      <c r="BK1143">
        <v>1</v>
      </c>
      <c r="BL1143" t="s">
        <v>69</v>
      </c>
      <c r="BM1143">
        <v>-1.63</v>
      </c>
      <c r="BN1143">
        <v>-1.3160000000000001</v>
      </c>
    </row>
    <row r="1144" spans="2:66">
      <c r="B1144">
        <v>1835</v>
      </c>
      <c r="C1144">
        <v>97</v>
      </c>
      <c r="D1144">
        <v>0</v>
      </c>
      <c r="E1144">
        <v>6</v>
      </c>
      <c r="F1144">
        <v>2</v>
      </c>
      <c r="J1144">
        <v>0</v>
      </c>
      <c r="K1144">
        <v>0</v>
      </c>
      <c r="L1144">
        <v>0</v>
      </c>
      <c r="M1144" t="s">
        <v>25022</v>
      </c>
      <c r="N1144">
        <v>3765</v>
      </c>
      <c r="O1144" t="s">
        <v>22064</v>
      </c>
      <c r="P1144" t="s">
        <v>62</v>
      </c>
      <c r="Q1144">
        <v>3740627</v>
      </c>
      <c r="R1144">
        <v>3741007</v>
      </c>
      <c r="S1144" t="s">
        <v>22065</v>
      </c>
      <c r="T1144">
        <v>127</v>
      </c>
      <c r="U1144" t="s">
        <v>108</v>
      </c>
      <c r="V1144">
        <v>44</v>
      </c>
      <c r="W1144" t="str">
        <f>HYPERLINK("Gene3765-zp_tree_all.dnd", "Gene3765-tree")</f>
        <v>Gene3765-tree</v>
      </c>
      <c r="X1144">
        <v>5</v>
      </c>
      <c r="Y1144">
        <v>2</v>
      </c>
      <c r="Z1144">
        <v>5</v>
      </c>
      <c r="AA1144">
        <v>2</v>
      </c>
      <c r="AB1144">
        <v>0.28571000000000002</v>
      </c>
      <c r="AC1144" t="s">
        <v>199</v>
      </c>
      <c r="AD1144" t="s">
        <v>81</v>
      </c>
      <c r="AE1144" t="s">
        <v>62</v>
      </c>
      <c r="AF1144" t="s">
        <v>62</v>
      </c>
      <c r="AG1144">
        <v>0</v>
      </c>
      <c r="AH1144">
        <v>0</v>
      </c>
      <c r="AI1144">
        <v>3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0</v>
      </c>
      <c r="AU1144">
        <v>5</v>
      </c>
      <c r="AV1144">
        <v>1</v>
      </c>
      <c r="AW1144">
        <v>6</v>
      </c>
      <c r="AX1144">
        <v>2</v>
      </c>
      <c r="AY1144">
        <v>1</v>
      </c>
      <c r="AZ1144">
        <v>1</v>
      </c>
      <c r="BA1144" t="s">
        <v>22066</v>
      </c>
      <c r="BB1144" t="s">
        <v>22067</v>
      </c>
      <c r="BC1144">
        <v>1.5189999999999999</v>
      </c>
      <c r="BD1144" t="s">
        <v>65</v>
      </c>
      <c r="BE1144">
        <v>7</v>
      </c>
      <c r="BF1144">
        <v>3</v>
      </c>
      <c r="BG1144" t="s">
        <v>22068</v>
      </c>
      <c r="BH1144" t="s">
        <v>22069</v>
      </c>
      <c r="BI1144" t="s">
        <v>22070</v>
      </c>
      <c r="BJ1144">
        <v>0.10593</v>
      </c>
      <c r="BK1144">
        <v>1</v>
      </c>
      <c r="BL1144" t="s">
        <v>69</v>
      </c>
      <c r="BM1144">
        <v>-0.6</v>
      </c>
      <c r="BN1144">
        <v>-2.1720000000000002</v>
      </c>
    </row>
    <row r="1145" spans="2:66">
      <c r="B1145">
        <v>1841</v>
      </c>
      <c r="C1145">
        <v>76</v>
      </c>
      <c r="D1145">
        <v>0</v>
      </c>
      <c r="E1145">
        <v>12</v>
      </c>
      <c r="F1145">
        <v>5</v>
      </c>
      <c r="J1145">
        <v>0</v>
      </c>
      <c r="K1145">
        <v>2</v>
      </c>
      <c r="L1145">
        <v>2</v>
      </c>
      <c r="M1145" t="s">
        <v>25022</v>
      </c>
      <c r="N1145">
        <v>3767</v>
      </c>
      <c r="O1145" t="s">
        <v>22077</v>
      </c>
      <c r="P1145" t="s">
        <v>62</v>
      </c>
      <c r="Q1145">
        <v>3741735</v>
      </c>
      <c r="R1145">
        <v>3742040</v>
      </c>
      <c r="S1145" t="s">
        <v>22078</v>
      </c>
      <c r="T1145">
        <v>102</v>
      </c>
      <c r="U1145" t="s">
        <v>108</v>
      </c>
      <c r="V1145">
        <v>44</v>
      </c>
      <c r="W1145" t="str">
        <f>HYPERLINK("Gene3767-zp_tree_all.dnd", "Gene3767-tree")</f>
        <v>Gene3767-tree</v>
      </c>
      <c r="X1145">
        <v>7</v>
      </c>
      <c r="Y1145">
        <v>4</v>
      </c>
      <c r="Z1145">
        <v>7</v>
      </c>
      <c r="AA1145">
        <v>4</v>
      </c>
      <c r="AB1145">
        <v>0.36364000000000002</v>
      </c>
      <c r="AC1145" t="s">
        <v>152</v>
      </c>
      <c r="AD1145" t="s">
        <v>61</v>
      </c>
      <c r="AE1145" t="s">
        <v>62</v>
      </c>
      <c r="AF1145" t="s">
        <v>62</v>
      </c>
      <c r="AG1145">
        <v>2</v>
      </c>
      <c r="AH1145">
        <v>4</v>
      </c>
      <c r="AI1145">
        <v>3</v>
      </c>
      <c r="AJ1145">
        <v>0.57142999999999999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2</v>
      </c>
      <c r="AR1145">
        <v>2</v>
      </c>
      <c r="AS1145">
        <v>3</v>
      </c>
      <c r="AT1145">
        <v>0.4</v>
      </c>
      <c r="AU1145">
        <v>9</v>
      </c>
      <c r="AV1145">
        <v>6</v>
      </c>
      <c r="AW1145">
        <v>16</v>
      </c>
      <c r="AX1145">
        <v>5</v>
      </c>
      <c r="AY1145">
        <v>8</v>
      </c>
      <c r="AZ1145">
        <v>2</v>
      </c>
      <c r="BA1145" t="s">
        <v>22079</v>
      </c>
      <c r="BB1145" t="s">
        <v>22080</v>
      </c>
      <c r="BC1145">
        <v>0.19700000000000001</v>
      </c>
      <c r="BD1145" t="s">
        <v>65</v>
      </c>
      <c r="BE1145">
        <v>24</v>
      </c>
      <c r="BF1145">
        <v>7</v>
      </c>
      <c r="BG1145" t="s">
        <v>22081</v>
      </c>
      <c r="BH1145" t="s">
        <v>22082</v>
      </c>
      <c r="BI1145" t="s">
        <v>22083</v>
      </c>
      <c r="BJ1145">
        <v>7.9269999999999993E-2</v>
      </c>
      <c r="BK1145">
        <v>1</v>
      </c>
      <c r="BL1145" t="s">
        <v>69</v>
      </c>
      <c r="BM1145">
        <v>0.152</v>
      </c>
      <c r="BN1145">
        <v>0.19800000000000001</v>
      </c>
    </row>
    <row r="1146" spans="2:66">
      <c r="B1146">
        <v>1842</v>
      </c>
      <c r="C1146">
        <v>203</v>
      </c>
      <c r="D1146">
        <v>0</v>
      </c>
      <c r="E1146">
        <v>6</v>
      </c>
      <c r="F1146">
        <v>0</v>
      </c>
      <c r="J1146">
        <v>0</v>
      </c>
      <c r="K1146">
        <v>0</v>
      </c>
      <c r="L1146">
        <v>0</v>
      </c>
      <c r="M1146" t="s">
        <v>25022</v>
      </c>
      <c r="N1146">
        <v>3770</v>
      </c>
      <c r="O1146" t="s">
        <v>22091</v>
      </c>
      <c r="P1146" t="s">
        <v>62</v>
      </c>
      <c r="Q1146">
        <v>3743735</v>
      </c>
      <c r="R1146">
        <v>3744157</v>
      </c>
      <c r="S1146" t="s">
        <v>22092</v>
      </c>
      <c r="T1146">
        <v>141</v>
      </c>
      <c r="U1146" t="s">
        <v>465</v>
      </c>
      <c r="V1146">
        <v>46</v>
      </c>
      <c r="W1146" t="str">
        <f>HYPERLINK("Gene3770-zp_tree_all.dnd", "Gene3770-tree")</f>
        <v>Gene3770-tree</v>
      </c>
      <c r="X1146">
        <v>9</v>
      </c>
      <c r="Y1146">
        <v>0</v>
      </c>
      <c r="Z1146">
        <v>9</v>
      </c>
      <c r="AA1146">
        <v>0</v>
      </c>
      <c r="AB1146">
        <v>0</v>
      </c>
      <c r="AC1146" t="s">
        <v>135</v>
      </c>
      <c r="AD1146" t="s">
        <v>62</v>
      </c>
      <c r="AE1146" t="s">
        <v>62</v>
      </c>
      <c r="AF1146" t="s">
        <v>62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6</v>
      </c>
      <c r="AV1146">
        <v>2</v>
      </c>
      <c r="AW1146">
        <v>8</v>
      </c>
      <c r="AX1146">
        <v>0</v>
      </c>
      <c r="AY1146">
        <v>21</v>
      </c>
      <c r="AZ1146">
        <v>0</v>
      </c>
      <c r="BA1146" t="s">
        <v>193</v>
      </c>
      <c r="BB1146" t="s">
        <v>193</v>
      </c>
      <c r="BC1146">
        <v>0</v>
      </c>
      <c r="BD1146" t="s">
        <v>65</v>
      </c>
      <c r="BE1146">
        <v>29</v>
      </c>
      <c r="BF1146">
        <v>0</v>
      </c>
      <c r="BG1146" t="s">
        <v>22093</v>
      </c>
      <c r="BH1146" t="s">
        <v>22094</v>
      </c>
      <c r="BI1146" t="s">
        <v>193</v>
      </c>
      <c r="BJ1146">
        <v>0</v>
      </c>
      <c r="BK1146">
        <v>1</v>
      </c>
      <c r="BL1146" t="s">
        <v>69</v>
      </c>
      <c r="BM1146">
        <v>-2.069</v>
      </c>
      <c r="BN1146">
        <v>-0.48799999999999999</v>
      </c>
    </row>
    <row r="1147" spans="2:66">
      <c r="B1147">
        <v>1843</v>
      </c>
      <c r="C1147">
        <v>202</v>
      </c>
      <c r="D1147">
        <v>0</v>
      </c>
      <c r="E1147">
        <v>11</v>
      </c>
      <c r="F1147">
        <v>1</v>
      </c>
      <c r="J1147">
        <v>0</v>
      </c>
      <c r="K1147">
        <v>0</v>
      </c>
      <c r="L1147">
        <v>0</v>
      </c>
      <c r="M1147" t="s">
        <v>25022</v>
      </c>
      <c r="N1147">
        <v>3772</v>
      </c>
      <c r="O1147" t="s">
        <v>22100</v>
      </c>
      <c r="P1147" t="s">
        <v>62</v>
      </c>
      <c r="Q1147">
        <v>3745439</v>
      </c>
      <c r="R1147">
        <v>3746245</v>
      </c>
      <c r="S1147" t="s">
        <v>22101</v>
      </c>
      <c r="T1147">
        <v>269</v>
      </c>
      <c r="U1147" t="s">
        <v>465</v>
      </c>
      <c r="V1147">
        <v>46</v>
      </c>
      <c r="W1147" t="str">
        <f>HYPERLINK("Gene3772-zp_tree_all.dnd", "Gene3772-tree")</f>
        <v>Gene3772-tree</v>
      </c>
      <c r="X1147">
        <v>9</v>
      </c>
      <c r="Y1147">
        <v>5</v>
      </c>
      <c r="Z1147">
        <v>9</v>
      </c>
      <c r="AA1147">
        <v>5</v>
      </c>
      <c r="AB1147">
        <v>0.35714000000000001</v>
      </c>
      <c r="AC1147" t="s">
        <v>135</v>
      </c>
      <c r="AD1147" t="s">
        <v>199</v>
      </c>
      <c r="AE1147" t="s">
        <v>62</v>
      </c>
      <c r="AF1147" t="s">
        <v>62</v>
      </c>
      <c r="AG1147">
        <v>0</v>
      </c>
      <c r="AH1147">
        <v>0</v>
      </c>
      <c r="AI1147">
        <v>13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6</v>
      </c>
      <c r="AT1147">
        <v>0</v>
      </c>
      <c r="AU1147">
        <v>12</v>
      </c>
      <c r="AV1147">
        <v>9</v>
      </c>
      <c r="AW1147">
        <v>11</v>
      </c>
      <c r="AX1147">
        <v>6</v>
      </c>
      <c r="AY1147">
        <v>49</v>
      </c>
      <c r="AZ1147">
        <v>8</v>
      </c>
      <c r="BA1147" t="s">
        <v>22102</v>
      </c>
      <c r="BB1147" t="s">
        <v>22103</v>
      </c>
      <c r="BC1147">
        <v>1.0189999999999999</v>
      </c>
      <c r="BD1147" t="s">
        <v>65</v>
      </c>
      <c r="BE1147">
        <v>60</v>
      </c>
      <c r="BF1147">
        <v>14</v>
      </c>
      <c r="BG1147" t="s">
        <v>22104</v>
      </c>
      <c r="BH1147" t="s">
        <v>22105</v>
      </c>
      <c r="BI1147" t="s">
        <v>22106</v>
      </c>
      <c r="BJ1147">
        <v>5.7680000000000002E-2</v>
      </c>
      <c r="BK1147">
        <v>1</v>
      </c>
      <c r="BL1147" t="s">
        <v>69</v>
      </c>
      <c r="BM1147">
        <v>-1.242</v>
      </c>
      <c r="BN1147">
        <v>0.65800000000000003</v>
      </c>
    </row>
    <row r="1148" spans="2:66">
      <c r="B1148">
        <v>1844</v>
      </c>
      <c r="C1148">
        <v>128</v>
      </c>
      <c r="D1148">
        <v>0</v>
      </c>
      <c r="E1148">
        <v>12</v>
      </c>
      <c r="F1148">
        <v>0</v>
      </c>
      <c r="J1148">
        <v>0</v>
      </c>
      <c r="K1148">
        <v>2</v>
      </c>
      <c r="L1148">
        <v>0</v>
      </c>
      <c r="M1148" t="s">
        <v>25022</v>
      </c>
      <c r="N1148">
        <v>3773</v>
      </c>
      <c r="O1148" t="s">
        <v>22107</v>
      </c>
      <c r="P1148" t="s">
        <v>62</v>
      </c>
      <c r="Q1148">
        <v>3746282</v>
      </c>
      <c r="R1148">
        <v>3747091</v>
      </c>
      <c r="S1148" t="s">
        <v>22108</v>
      </c>
      <c r="T1148">
        <v>270</v>
      </c>
      <c r="U1148" t="s">
        <v>108</v>
      </c>
      <c r="V1148">
        <v>44</v>
      </c>
      <c r="W1148" t="str">
        <f>HYPERLINK("Gene3773-zp_tree_all.dnd", "Gene3773-tree")</f>
        <v>Gene3773-tree</v>
      </c>
      <c r="X1148">
        <v>5</v>
      </c>
      <c r="Y1148">
        <v>8</v>
      </c>
      <c r="Z1148">
        <v>5</v>
      </c>
      <c r="AA1148">
        <v>8</v>
      </c>
      <c r="AB1148">
        <v>0.61538000000000004</v>
      </c>
      <c r="AC1148" t="s">
        <v>199</v>
      </c>
      <c r="AD1148" t="s">
        <v>136</v>
      </c>
      <c r="AE1148" t="s">
        <v>62</v>
      </c>
      <c r="AF1148" t="s">
        <v>62</v>
      </c>
      <c r="AG1148">
        <v>1</v>
      </c>
      <c r="AH1148">
        <v>2</v>
      </c>
      <c r="AI1148">
        <v>11</v>
      </c>
      <c r="AJ1148">
        <v>0.15384999999999999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</v>
      </c>
      <c r="AQ1148">
        <v>0</v>
      </c>
      <c r="AR1148">
        <v>2</v>
      </c>
      <c r="AS1148">
        <v>9</v>
      </c>
      <c r="AT1148">
        <v>0.18182000000000001</v>
      </c>
      <c r="AU1148">
        <v>10</v>
      </c>
      <c r="AV1148">
        <v>8</v>
      </c>
      <c r="AW1148">
        <v>30</v>
      </c>
      <c r="AX1148">
        <v>11</v>
      </c>
      <c r="AY1148">
        <v>16</v>
      </c>
      <c r="AZ1148">
        <v>2</v>
      </c>
      <c r="BA1148" t="s">
        <v>22109</v>
      </c>
      <c r="BB1148" t="s">
        <v>22110</v>
      </c>
      <c r="BC1148">
        <v>0.82099999999999995</v>
      </c>
      <c r="BD1148" t="s">
        <v>65</v>
      </c>
      <c r="BE1148">
        <v>46</v>
      </c>
      <c r="BF1148">
        <v>13</v>
      </c>
      <c r="BG1148" t="s">
        <v>22111</v>
      </c>
      <c r="BH1148" t="s">
        <v>22112</v>
      </c>
      <c r="BI1148" t="s">
        <v>22113</v>
      </c>
      <c r="BJ1148">
        <v>7.8799999999999995E-2</v>
      </c>
      <c r="BK1148">
        <v>1</v>
      </c>
      <c r="BL1148" t="s">
        <v>69</v>
      </c>
      <c r="BM1148">
        <v>-0.433</v>
      </c>
      <c r="BN1148">
        <v>-0.16400000000000001</v>
      </c>
    </row>
    <row r="1149" spans="2:66">
      <c r="B1149">
        <v>1845</v>
      </c>
      <c r="C1149">
        <v>134</v>
      </c>
      <c r="D1149">
        <v>0</v>
      </c>
      <c r="E1149">
        <v>5</v>
      </c>
      <c r="F1149">
        <v>2</v>
      </c>
      <c r="J1149">
        <v>0</v>
      </c>
      <c r="K1149">
        <v>0</v>
      </c>
      <c r="L1149">
        <v>0</v>
      </c>
      <c r="M1149" t="s">
        <v>25022</v>
      </c>
      <c r="N1149">
        <v>3774</v>
      </c>
      <c r="O1149" t="s">
        <v>22114</v>
      </c>
      <c r="P1149" t="s">
        <v>62</v>
      </c>
      <c r="Q1149">
        <v>3747257</v>
      </c>
      <c r="R1149">
        <v>3748255</v>
      </c>
      <c r="S1149" t="s">
        <v>22115</v>
      </c>
      <c r="T1149">
        <v>333</v>
      </c>
      <c r="U1149" t="s">
        <v>59</v>
      </c>
      <c r="V1149">
        <v>49</v>
      </c>
      <c r="W1149" t="str">
        <f>HYPERLINK("Gene3774-zp_tree_all.dnd", "Gene3774-tree")</f>
        <v>Gene3774-tree</v>
      </c>
      <c r="X1149">
        <v>34</v>
      </c>
      <c r="Y1149">
        <v>2</v>
      </c>
      <c r="Z1149">
        <v>16</v>
      </c>
      <c r="AA1149">
        <v>2</v>
      </c>
      <c r="AB1149">
        <v>0.11111</v>
      </c>
      <c r="AC1149" t="s">
        <v>22116</v>
      </c>
      <c r="AD1149" t="s">
        <v>81</v>
      </c>
      <c r="AE1149" t="s">
        <v>62</v>
      </c>
      <c r="AF1149" t="s">
        <v>62</v>
      </c>
      <c r="AG1149">
        <v>0</v>
      </c>
      <c r="AH1149">
        <v>0</v>
      </c>
      <c r="AI1149">
        <v>4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>
        <v>0</v>
      </c>
      <c r="AU1149">
        <v>14</v>
      </c>
      <c r="AV1149">
        <v>9</v>
      </c>
      <c r="AW1149">
        <v>27</v>
      </c>
      <c r="AX1149">
        <v>2</v>
      </c>
      <c r="AY1149">
        <v>54</v>
      </c>
      <c r="AZ1149">
        <v>2</v>
      </c>
      <c r="BA1149" t="s">
        <v>22117</v>
      </c>
      <c r="BB1149" t="s">
        <v>22118</v>
      </c>
      <c r="BC1149">
        <v>0.223</v>
      </c>
      <c r="BD1149" t="s">
        <v>65</v>
      </c>
      <c r="BE1149">
        <v>81</v>
      </c>
      <c r="BF1149">
        <v>4</v>
      </c>
      <c r="BG1149" t="s">
        <v>22119</v>
      </c>
      <c r="BH1149" t="s">
        <v>22120</v>
      </c>
      <c r="BI1149" t="s">
        <v>22121</v>
      </c>
      <c r="BJ1149">
        <v>1.196E-2</v>
      </c>
      <c r="BK1149">
        <v>1</v>
      </c>
      <c r="BL1149" t="s">
        <v>69</v>
      </c>
      <c r="BM1149">
        <v>-1.571</v>
      </c>
      <c r="BN1149">
        <v>-8.1000000000000003E-2</v>
      </c>
    </row>
    <row r="1150" spans="2:66">
      <c r="B1150">
        <v>1846</v>
      </c>
      <c r="C1150">
        <v>462</v>
      </c>
      <c r="D1150">
        <v>0</v>
      </c>
      <c r="E1150">
        <v>23</v>
      </c>
      <c r="F1150">
        <v>1</v>
      </c>
      <c r="J1150">
        <v>0</v>
      </c>
      <c r="K1150">
        <v>0</v>
      </c>
      <c r="L1150">
        <v>0</v>
      </c>
      <c r="M1150" t="s">
        <v>25022</v>
      </c>
      <c r="N1150">
        <v>3775</v>
      </c>
      <c r="O1150" t="s">
        <v>22122</v>
      </c>
      <c r="P1150" t="s">
        <v>62</v>
      </c>
      <c r="Q1150">
        <v>3748424</v>
      </c>
      <c r="R1150">
        <v>3748702</v>
      </c>
      <c r="S1150" t="s">
        <v>22123</v>
      </c>
      <c r="T1150">
        <v>93</v>
      </c>
      <c r="U1150" t="s">
        <v>59</v>
      </c>
      <c r="V1150">
        <v>49</v>
      </c>
      <c r="W1150" t="str">
        <f>HYPERLINK("Gene3775-zp_tree_all.dnd", "Gene3775-tree")</f>
        <v>Gene3775-tree</v>
      </c>
      <c r="X1150">
        <v>4</v>
      </c>
      <c r="Y1150">
        <v>0</v>
      </c>
      <c r="Z1150">
        <v>4</v>
      </c>
      <c r="AA1150">
        <v>0</v>
      </c>
      <c r="AB1150">
        <v>0</v>
      </c>
      <c r="AC1150" t="s">
        <v>61</v>
      </c>
      <c r="AD1150" t="s">
        <v>62</v>
      </c>
      <c r="AE1150" t="s">
        <v>62</v>
      </c>
      <c r="AF1150" t="s">
        <v>62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3</v>
      </c>
      <c r="AV1150">
        <v>0</v>
      </c>
      <c r="AW1150">
        <v>6</v>
      </c>
      <c r="AX1150">
        <v>0</v>
      </c>
      <c r="AY1150">
        <v>0</v>
      </c>
      <c r="AZ1150">
        <v>0</v>
      </c>
      <c r="BA1150" t="s">
        <v>193</v>
      </c>
      <c r="BB1150" t="s">
        <v>193</v>
      </c>
      <c r="BC1150">
        <v>0</v>
      </c>
      <c r="BD1150" t="s">
        <v>65</v>
      </c>
      <c r="BE1150">
        <v>6</v>
      </c>
      <c r="BF1150">
        <v>0</v>
      </c>
      <c r="BG1150" t="s">
        <v>22124</v>
      </c>
      <c r="BH1150" t="s">
        <v>22125</v>
      </c>
      <c r="BI1150" t="s">
        <v>193</v>
      </c>
      <c r="BJ1150">
        <v>0</v>
      </c>
      <c r="BK1150">
        <v>1</v>
      </c>
      <c r="BL1150" t="s">
        <v>69</v>
      </c>
      <c r="BM1150">
        <v>-1.5349999999999999</v>
      </c>
      <c r="BN1150">
        <v>-2.2490000000000001</v>
      </c>
    </row>
    <row r="1151" spans="2:66">
      <c r="B1151">
        <v>1847</v>
      </c>
      <c r="C1151">
        <v>78</v>
      </c>
      <c r="D1151">
        <v>0</v>
      </c>
      <c r="E1151">
        <v>2</v>
      </c>
      <c r="F1151">
        <v>0</v>
      </c>
      <c r="J1151">
        <v>0</v>
      </c>
      <c r="K1151">
        <v>0</v>
      </c>
      <c r="L1151">
        <v>0</v>
      </c>
      <c r="M1151" t="s">
        <v>25022</v>
      </c>
      <c r="N1151">
        <v>3776</v>
      </c>
      <c r="O1151" t="s">
        <v>22126</v>
      </c>
      <c r="P1151" t="s">
        <v>62</v>
      </c>
      <c r="Q1151">
        <v>3748720</v>
      </c>
      <c r="R1151">
        <v>3748827</v>
      </c>
      <c r="S1151" t="s">
        <v>22127</v>
      </c>
      <c r="T1151">
        <v>36</v>
      </c>
      <c r="U1151" t="s">
        <v>59</v>
      </c>
      <c r="V1151">
        <v>49</v>
      </c>
      <c r="W1151" t="str">
        <f>HYPERLINK("Gene3776-zp_tree_all.dnd", "Gene3776-tree")</f>
        <v>Gene3776-tree</v>
      </c>
      <c r="X1151">
        <v>45</v>
      </c>
      <c r="Y1151">
        <v>2</v>
      </c>
      <c r="Z1151">
        <v>2</v>
      </c>
      <c r="AA1151">
        <v>2</v>
      </c>
      <c r="AB1151">
        <v>0.5</v>
      </c>
      <c r="AC1151" t="s">
        <v>22128</v>
      </c>
      <c r="AD1151" t="s">
        <v>81</v>
      </c>
      <c r="AE1151" t="s">
        <v>62</v>
      </c>
      <c r="AF1151" t="s">
        <v>62</v>
      </c>
      <c r="AG1151">
        <v>0</v>
      </c>
      <c r="AH1151">
        <v>0</v>
      </c>
      <c r="AI1151">
        <v>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>
        <v>0</v>
      </c>
      <c r="AU1151">
        <v>3</v>
      </c>
      <c r="AV1151">
        <v>0</v>
      </c>
      <c r="AW1151">
        <v>1</v>
      </c>
      <c r="AX1151">
        <v>2</v>
      </c>
      <c r="AY1151">
        <v>0</v>
      </c>
      <c r="AZ1151">
        <v>0</v>
      </c>
      <c r="BA1151" t="s">
        <v>22129</v>
      </c>
      <c r="BB1151" t="s">
        <v>193</v>
      </c>
      <c r="BC1151">
        <v>0.69299999999999995</v>
      </c>
      <c r="BD1151" t="s">
        <v>65</v>
      </c>
      <c r="BE1151">
        <v>1</v>
      </c>
      <c r="BF1151">
        <v>2</v>
      </c>
      <c r="BG1151" t="s">
        <v>22130</v>
      </c>
      <c r="BH1151" t="s">
        <v>22131</v>
      </c>
      <c r="BI1151" t="s">
        <v>22132</v>
      </c>
      <c r="BJ1151">
        <v>0.51348000000000005</v>
      </c>
      <c r="BK1151">
        <v>0.48199999999999998</v>
      </c>
      <c r="BL1151" t="s">
        <v>635</v>
      </c>
      <c r="BM1151">
        <v>-1.0049999999999999</v>
      </c>
      <c r="BN1151">
        <v>0.89400000000000002</v>
      </c>
    </row>
    <row r="1152" spans="2:66">
      <c r="B1152">
        <v>1848</v>
      </c>
      <c r="C1152">
        <v>38</v>
      </c>
      <c r="D1152">
        <v>0</v>
      </c>
      <c r="E1152">
        <v>11</v>
      </c>
      <c r="F1152">
        <v>1</v>
      </c>
      <c r="J1152">
        <v>0</v>
      </c>
      <c r="K1152">
        <v>20</v>
      </c>
      <c r="L1152">
        <v>3</v>
      </c>
      <c r="M1152" t="s">
        <v>25022</v>
      </c>
      <c r="N1152">
        <v>3779</v>
      </c>
      <c r="O1152" t="s">
        <v>22144</v>
      </c>
      <c r="P1152" t="s">
        <v>62</v>
      </c>
      <c r="Q1152">
        <v>3750771</v>
      </c>
      <c r="R1152">
        <v>3752174</v>
      </c>
      <c r="S1152" t="s">
        <v>22145</v>
      </c>
      <c r="T1152">
        <v>468</v>
      </c>
      <c r="U1152" t="s">
        <v>108</v>
      </c>
      <c r="V1152">
        <v>44</v>
      </c>
      <c r="W1152" t="str">
        <f>HYPERLINK("Gene3779-zp_tree_all.dnd", "Gene3779-tree")</f>
        <v>Gene3779-tree</v>
      </c>
      <c r="X1152">
        <v>2</v>
      </c>
      <c r="Y1152">
        <v>13</v>
      </c>
      <c r="Z1152">
        <v>2</v>
      </c>
      <c r="AA1152">
        <v>13</v>
      </c>
      <c r="AB1152">
        <v>0.86667000000000005</v>
      </c>
      <c r="AC1152" t="s">
        <v>81</v>
      </c>
      <c r="AD1152" t="s">
        <v>507</v>
      </c>
      <c r="AE1152" t="s">
        <v>62</v>
      </c>
      <c r="AF1152" t="s">
        <v>62</v>
      </c>
      <c r="AG1152">
        <v>10</v>
      </c>
      <c r="AH1152">
        <v>23</v>
      </c>
      <c r="AI1152">
        <v>29</v>
      </c>
      <c r="AJ1152">
        <v>0.44230999999999998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10</v>
      </c>
      <c r="AQ1152">
        <v>4</v>
      </c>
      <c r="AR1152">
        <v>14</v>
      </c>
      <c r="AS1152">
        <v>27</v>
      </c>
      <c r="AT1152">
        <v>0.34145999999999999</v>
      </c>
      <c r="AU1152">
        <v>13</v>
      </c>
      <c r="AV1152">
        <v>9</v>
      </c>
      <c r="AW1152">
        <v>41</v>
      </c>
      <c r="AX1152">
        <v>32</v>
      </c>
      <c r="AY1152">
        <v>44</v>
      </c>
      <c r="AZ1152">
        <v>24</v>
      </c>
      <c r="BA1152" t="s">
        <v>22146</v>
      </c>
      <c r="BB1152" t="s">
        <v>22147</v>
      </c>
      <c r="BC1152">
        <v>0.32900000000000001</v>
      </c>
      <c r="BD1152" t="s">
        <v>65</v>
      </c>
      <c r="BE1152">
        <v>85</v>
      </c>
      <c r="BF1152">
        <v>56</v>
      </c>
      <c r="BG1152" t="s">
        <v>22148</v>
      </c>
      <c r="BH1152" t="s">
        <v>22149</v>
      </c>
      <c r="BI1152" t="s">
        <v>22150</v>
      </c>
      <c r="BJ1152">
        <v>0.18706999999999999</v>
      </c>
      <c r="BK1152">
        <v>1</v>
      </c>
      <c r="BL1152" t="s">
        <v>69</v>
      </c>
      <c r="BM1152">
        <v>-0.72399999999999998</v>
      </c>
      <c r="BN1152">
        <v>-0.55200000000000005</v>
      </c>
    </row>
    <row r="1153" spans="2:66">
      <c r="B1153">
        <v>1849</v>
      </c>
      <c r="C1153">
        <v>173</v>
      </c>
      <c r="D1153">
        <v>0</v>
      </c>
      <c r="E1153">
        <v>4</v>
      </c>
      <c r="F1153">
        <v>1</v>
      </c>
      <c r="J1153">
        <v>0</v>
      </c>
      <c r="K1153">
        <v>5</v>
      </c>
      <c r="L1153">
        <v>0</v>
      </c>
      <c r="M1153" t="s">
        <v>25022</v>
      </c>
      <c r="N1153">
        <v>3780</v>
      </c>
      <c r="O1153" t="s">
        <v>22151</v>
      </c>
      <c r="P1153" t="s">
        <v>62</v>
      </c>
      <c r="Q1153">
        <v>3752283</v>
      </c>
      <c r="R1153">
        <v>3753752</v>
      </c>
      <c r="S1153" t="s">
        <v>22152</v>
      </c>
      <c r="T1153">
        <v>490</v>
      </c>
      <c r="U1153" t="s">
        <v>108</v>
      </c>
      <c r="V1153">
        <v>44</v>
      </c>
      <c r="W1153" t="str">
        <f>HYPERLINK("Gene3780-zp_tree_all.dnd", "Gene3780-tree")</f>
        <v>Gene3780-tree</v>
      </c>
      <c r="X1153">
        <v>6</v>
      </c>
      <c r="Y1153">
        <v>10</v>
      </c>
      <c r="Z1153">
        <v>6</v>
      </c>
      <c r="AA1153">
        <v>10</v>
      </c>
      <c r="AB1153">
        <v>0.625</v>
      </c>
      <c r="AC1153" t="s">
        <v>90</v>
      </c>
      <c r="AD1153" t="s">
        <v>117</v>
      </c>
      <c r="AE1153" t="s">
        <v>62</v>
      </c>
      <c r="AF1153" t="s">
        <v>62</v>
      </c>
      <c r="AG1153">
        <v>2</v>
      </c>
      <c r="AH1153">
        <v>5</v>
      </c>
      <c r="AI1153">
        <v>17</v>
      </c>
      <c r="AJ1153">
        <v>0.22727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17</v>
      </c>
      <c r="AT1153">
        <v>0</v>
      </c>
      <c r="AU1153">
        <v>15</v>
      </c>
      <c r="AV1153">
        <v>13</v>
      </c>
      <c r="AW1153">
        <v>81</v>
      </c>
      <c r="AX1153">
        <v>17</v>
      </c>
      <c r="AY1153">
        <v>39</v>
      </c>
      <c r="AZ1153">
        <v>5</v>
      </c>
      <c r="BA1153" t="s">
        <v>22153</v>
      </c>
      <c r="BB1153" t="s">
        <v>22154</v>
      </c>
      <c r="BC1153">
        <v>0.53700000000000003</v>
      </c>
      <c r="BD1153" t="s">
        <v>65</v>
      </c>
      <c r="BE1153">
        <v>120</v>
      </c>
      <c r="BF1153">
        <v>22</v>
      </c>
      <c r="BG1153" t="s">
        <v>22155</v>
      </c>
      <c r="BH1153" t="s">
        <v>22156</v>
      </c>
      <c r="BI1153" t="s">
        <v>22157</v>
      </c>
      <c r="BJ1153">
        <v>5.484E-2</v>
      </c>
      <c r="BK1153">
        <v>1</v>
      </c>
      <c r="BL1153" t="s">
        <v>69</v>
      </c>
      <c r="BM1153">
        <v>-1.167</v>
      </c>
      <c r="BN1153">
        <v>-2.407</v>
      </c>
    </row>
    <row r="1154" spans="2:66">
      <c r="B1154">
        <v>1853</v>
      </c>
      <c r="C1154">
        <v>159</v>
      </c>
      <c r="D1154">
        <v>0</v>
      </c>
      <c r="E1154">
        <v>2</v>
      </c>
      <c r="F1154">
        <v>0</v>
      </c>
      <c r="J1154">
        <v>0</v>
      </c>
      <c r="K1154">
        <v>9</v>
      </c>
      <c r="L1154">
        <v>2</v>
      </c>
      <c r="M1154" t="s">
        <v>25022</v>
      </c>
      <c r="N1154">
        <v>3781</v>
      </c>
      <c r="O1154" t="s">
        <v>22158</v>
      </c>
      <c r="P1154" t="s">
        <v>62</v>
      </c>
      <c r="Q1154">
        <v>3753936</v>
      </c>
      <c r="R1154">
        <v>3755291</v>
      </c>
      <c r="S1154" t="s">
        <v>2641</v>
      </c>
      <c r="T1154">
        <v>452</v>
      </c>
      <c r="U1154" t="s">
        <v>108</v>
      </c>
      <c r="V1154">
        <v>44</v>
      </c>
      <c r="W1154" t="str">
        <f>HYPERLINK("Gene3781-zp_tree_all.dnd", "Gene3781-tree")</f>
        <v>Gene3781-tree</v>
      </c>
      <c r="X1154">
        <v>4</v>
      </c>
      <c r="Y1154">
        <v>13</v>
      </c>
      <c r="Z1154">
        <v>4</v>
      </c>
      <c r="AA1154">
        <v>13</v>
      </c>
      <c r="AB1154">
        <v>0.76471</v>
      </c>
      <c r="AC1154" t="s">
        <v>61</v>
      </c>
      <c r="AD1154" t="s">
        <v>507</v>
      </c>
      <c r="AE1154" t="s">
        <v>62</v>
      </c>
      <c r="AF1154" t="s">
        <v>62</v>
      </c>
      <c r="AG1154">
        <v>5</v>
      </c>
      <c r="AH1154">
        <v>11</v>
      </c>
      <c r="AI1154">
        <v>15</v>
      </c>
      <c r="AJ1154">
        <v>0.42308000000000001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6</v>
      </c>
      <c r="AQ1154">
        <v>2</v>
      </c>
      <c r="AR1154">
        <v>8</v>
      </c>
      <c r="AS1154">
        <v>12</v>
      </c>
      <c r="AT1154">
        <v>0.4</v>
      </c>
      <c r="AU1154">
        <v>14</v>
      </c>
      <c r="AV1154">
        <v>12</v>
      </c>
      <c r="AW1154">
        <v>53</v>
      </c>
      <c r="AX1154">
        <v>19</v>
      </c>
      <c r="AY1154">
        <v>40</v>
      </c>
      <c r="AZ1154">
        <v>7</v>
      </c>
      <c r="BA1154" t="s">
        <v>22159</v>
      </c>
      <c r="BB1154" t="s">
        <v>22160</v>
      </c>
      <c r="BC1154">
        <v>1.1739999999999999</v>
      </c>
      <c r="BD1154" t="s">
        <v>65</v>
      </c>
      <c r="BE1154">
        <v>93</v>
      </c>
      <c r="BF1154">
        <v>26</v>
      </c>
      <c r="BG1154" t="s">
        <v>22161</v>
      </c>
      <c r="BH1154" t="s">
        <v>22162</v>
      </c>
      <c r="BI1154" t="s">
        <v>22163</v>
      </c>
      <c r="BJ1154">
        <v>8.9179999999999995E-2</v>
      </c>
      <c r="BK1154">
        <v>1</v>
      </c>
      <c r="BL1154" t="s">
        <v>69</v>
      </c>
      <c r="BM1154">
        <v>-0.86</v>
      </c>
      <c r="BN1154">
        <v>-1.88</v>
      </c>
    </row>
    <row r="1155" spans="2:66">
      <c r="B1155">
        <v>1855</v>
      </c>
      <c r="C1155">
        <v>401</v>
      </c>
      <c r="D1155">
        <v>0</v>
      </c>
      <c r="E1155">
        <v>4</v>
      </c>
      <c r="F1155">
        <v>0</v>
      </c>
      <c r="J1155">
        <v>0</v>
      </c>
      <c r="K1155">
        <v>6</v>
      </c>
      <c r="L1155">
        <v>3</v>
      </c>
      <c r="M1155" t="s">
        <v>25022</v>
      </c>
      <c r="N1155">
        <v>3782</v>
      </c>
      <c r="O1155" t="s">
        <v>22164</v>
      </c>
      <c r="P1155" t="s">
        <v>62</v>
      </c>
      <c r="Q1155">
        <v>3755294</v>
      </c>
      <c r="R1155">
        <v>3755860</v>
      </c>
      <c r="S1155" t="s">
        <v>22165</v>
      </c>
      <c r="T1155">
        <v>189</v>
      </c>
      <c r="U1155" t="s">
        <v>108</v>
      </c>
      <c r="V1155">
        <v>44</v>
      </c>
      <c r="W1155" t="str">
        <f>HYPERLINK("Gene3782-zp_tree_all.dnd", "Gene3782-tree")</f>
        <v>Gene3782-tree</v>
      </c>
      <c r="X1155">
        <v>6</v>
      </c>
      <c r="Y1155">
        <v>9</v>
      </c>
      <c r="Z1155">
        <v>6</v>
      </c>
      <c r="AA1155">
        <v>9</v>
      </c>
      <c r="AB1155">
        <v>0.6</v>
      </c>
      <c r="AC1155" t="s">
        <v>90</v>
      </c>
      <c r="AD1155" t="s">
        <v>135</v>
      </c>
      <c r="AE1155" t="s">
        <v>62</v>
      </c>
      <c r="AF1155" t="s">
        <v>62</v>
      </c>
      <c r="AG1155">
        <v>4</v>
      </c>
      <c r="AH1155">
        <v>9</v>
      </c>
      <c r="AI1155">
        <v>8</v>
      </c>
      <c r="AJ1155">
        <v>0.52941000000000005</v>
      </c>
      <c r="AK1155">
        <v>0</v>
      </c>
      <c r="AL1155">
        <v>0</v>
      </c>
      <c r="AM1155">
        <v>0</v>
      </c>
      <c r="AN1155">
        <v>2</v>
      </c>
      <c r="AO1155">
        <v>0</v>
      </c>
      <c r="AP1155">
        <v>4</v>
      </c>
      <c r="AQ1155">
        <v>4</v>
      </c>
      <c r="AR1155">
        <v>8</v>
      </c>
      <c r="AS1155">
        <v>6</v>
      </c>
      <c r="AT1155">
        <v>0.57142999999999999</v>
      </c>
      <c r="AU1155">
        <v>11</v>
      </c>
      <c r="AV1155">
        <v>6</v>
      </c>
      <c r="AW1155">
        <v>21</v>
      </c>
      <c r="AX1155">
        <v>14</v>
      </c>
      <c r="AY1155">
        <v>8</v>
      </c>
      <c r="AZ1155">
        <v>3</v>
      </c>
      <c r="BA1155" t="s">
        <v>22166</v>
      </c>
      <c r="BB1155" t="s">
        <v>22167</v>
      </c>
      <c r="BC1155">
        <v>1.044</v>
      </c>
      <c r="BD1155" t="s">
        <v>65</v>
      </c>
      <c r="BE1155">
        <v>29</v>
      </c>
      <c r="BF1155">
        <v>17</v>
      </c>
      <c r="BG1155" t="s">
        <v>22168</v>
      </c>
      <c r="BH1155" t="s">
        <v>22169</v>
      </c>
      <c r="BI1155" t="s">
        <v>22170</v>
      </c>
      <c r="BJ1155">
        <v>0.15284</v>
      </c>
      <c r="BK1155">
        <v>1</v>
      </c>
      <c r="BL1155" t="s">
        <v>69</v>
      </c>
      <c r="BM1155">
        <v>-1.339</v>
      </c>
      <c r="BN1155">
        <v>-1.383</v>
      </c>
    </row>
    <row r="1156" spans="2:66">
      <c r="B1156">
        <v>1859</v>
      </c>
      <c r="C1156">
        <v>149</v>
      </c>
      <c r="D1156">
        <v>0</v>
      </c>
      <c r="E1156">
        <v>4</v>
      </c>
      <c r="F1156">
        <v>0</v>
      </c>
      <c r="J1156">
        <v>0</v>
      </c>
      <c r="K1156">
        <v>11</v>
      </c>
      <c r="L1156">
        <v>0</v>
      </c>
      <c r="M1156" t="s">
        <v>25022</v>
      </c>
      <c r="N1156">
        <v>3784</v>
      </c>
      <c r="O1156" t="s">
        <v>22171</v>
      </c>
      <c r="P1156" t="s">
        <v>62</v>
      </c>
      <c r="Q1156">
        <v>3756047</v>
      </c>
      <c r="R1156">
        <v>3756508</v>
      </c>
      <c r="S1156" t="s">
        <v>3095</v>
      </c>
      <c r="T1156">
        <v>154</v>
      </c>
      <c r="U1156" t="s">
        <v>108</v>
      </c>
      <c r="V1156">
        <v>44</v>
      </c>
      <c r="W1156" t="str">
        <f>HYPERLINK("Gene3784-zp_tree_all.dnd", "Gene3784-tree")</f>
        <v>Gene3784-tree</v>
      </c>
      <c r="X1156">
        <v>0</v>
      </c>
      <c r="Y1156">
        <v>13</v>
      </c>
      <c r="Z1156">
        <v>0</v>
      </c>
      <c r="AA1156">
        <v>13</v>
      </c>
      <c r="AB1156">
        <v>1</v>
      </c>
      <c r="AC1156" t="s">
        <v>62</v>
      </c>
      <c r="AD1156" t="s">
        <v>507</v>
      </c>
      <c r="AE1156" t="s">
        <v>62</v>
      </c>
      <c r="AF1156" t="s">
        <v>62</v>
      </c>
      <c r="AG1156">
        <v>3</v>
      </c>
      <c r="AH1156">
        <v>11</v>
      </c>
      <c r="AI1156">
        <v>14</v>
      </c>
      <c r="AJ1156">
        <v>0.44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7</v>
      </c>
      <c r="AQ1156">
        <v>1</v>
      </c>
      <c r="AR1156">
        <v>8</v>
      </c>
      <c r="AS1156">
        <v>11</v>
      </c>
      <c r="AT1156">
        <v>0.42104999999999998</v>
      </c>
      <c r="AU1156">
        <v>11</v>
      </c>
      <c r="AV1156">
        <v>7</v>
      </c>
      <c r="AW1156">
        <v>10</v>
      </c>
      <c r="AX1156">
        <v>18</v>
      </c>
      <c r="AY1156">
        <v>8</v>
      </c>
      <c r="AZ1156">
        <v>7</v>
      </c>
      <c r="BA1156" t="s">
        <v>22172</v>
      </c>
      <c r="BB1156" t="s">
        <v>22173</v>
      </c>
      <c r="BC1156">
        <v>0.92</v>
      </c>
      <c r="BD1156" t="s">
        <v>65</v>
      </c>
      <c r="BE1156">
        <v>18</v>
      </c>
      <c r="BF1156">
        <v>25</v>
      </c>
      <c r="BG1156" t="s">
        <v>22174</v>
      </c>
      <c r="BH1156" t="s">
        <v>22175</v>
      </c>
      <c r="BI1156" t="s">
        <v>9588</v>
      </c>
      <c r="BJ1156">
        <v>0.40371000000000001</v>
      </c>
      <c r="BK1156">
        <v>0.9</v>
      </c>
      <c r="BL1156" t="s">
        <v>635</v>
      </c>
      <c r="BM1156">
        <v>-0.92300000000000004</v>
      </c>
      <c r="BN1156">
        <v>-1.196</v>
      </c>
    </row>
    <row r="1157" spans="2:66">
      <c r="B1157">
        <v>1860</v>
      </c>
      <c r="C1157">
        <v>23</v>
      </c>
      <c r="D1157">
        <v>0</v>
      </c>
      <c r="E1157">
        <v>2</v>
      </c>
      <c r="F1157">
        <v>0</v>
      </c>
      <c r="J1157">
        <v>0</v>
      </c>
      <c r="K1157">
        <v>0</v>
      </c>
      <c r="L1157">
        <v>0</v>
      </c>
      <c r="M1157" t="s">
        <v>25022</v>
      </c>
      <c r="N1157">
        <v>3788</v>
      </c>
      <c r="O1157" t="s">
        <v>22195</v>
      </c>
      <c r="P1157" t="s">
        <v>62</v>
      </c>
      <c r="Q1157">
        <v>3759172</v>
      </c>
      <c r="R1157">
        <v>3759591</v>
      </c>
      <c r="S1157" t="s">
        <v>3095</v>
      </c>
      <c r="T1157">
        <v>140</v>
      </c>
      <c r="U1157" t="s">
        <v>22196</v>
      </c>
      <c r="V1157">
        <v>41</v>
      </c>
      <c r="W1157" t="str">
        <f>HYPERLINK("Gene3788-zp_tree_all.dnd", "Gene3788-tree")</f>
        <v>Gene3788-tree</v>
      </c>
      <c r="X1157">
        <v>4</v>
      </c>
      <c r="Y1157">
        <v>6</v>
      </c>
      <c r="Z1157">
        <v>4</v>
      </c>
      <c r="AA1157">
        <v>6</v>
      </c>
      <c r="AB1157">
        <v>0.6</v>
      </c>
      <c r="AC1157" t="s">
        <v>61</v>
      </c>
      <c r="AD1157" t="s">
        <v>90</v>
      </c>
      <c r="AE1157" t="s">
        <v>62</v>
      </c>
      <c r="AF1157" t="s">
        <v>62</v>
      </c>
      <c r="AG1157">
        <v>0</v>
      </c>
      <c r="AH1157">
        <v>0</v>
      </c>
      <c r="AI1157">
        <v>17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16</v>
      </c>
      <c r="AT1157">
        <v>0</v>
      </c>
      <c r="AU1157">
        <v>9</v>
      </c>
      <c r="AV1157">
        <v>5</v>
      </c>
      <c r="AW1157">
        <v>29</v>
      </c>
      <c r="AX1157">
        <v>16</v>
      </c>
      <c r="AY1157">
        <v>11</v>
      </c>
      <c r="AZ1157">
        <v>1</v>
      </c>
      <c r="BA1157" t="s">
        <v>22197</v>
      </c>
      <c r="BB1157" t="s">
        <v>22198</v>
      </c>
      <c r="BC1157">
        <v>1.278</v>
      </c>
      <c r="BD1157" t="s">
        <v>65</v>
      </c>
      <c r="BE1157">
        <v>40</v>
      </c>
      <c r="BF1157">
        <v>17</v>
      </c>
      <c r="BG1157" t="s">
        <v>22199</v>
      </c>
      <c r="BH1157" t="s">
        <v>22200</v>
      </c>
      <c r="BI1157" t="s">
        <v>22201</v>
      </c>
      <c r="BJ1157">
        <v>0.10648000000000001</v>
      </c>
      <c r="BK1157">
        <v>1</v>
      </c>
      <c r="BL1157" t="s">
        <v>69</v>
      </c>
      <c r="BM1157">
        <v>-1.1830000000000001</v>
      </c>
      <c r="BN1157">
        <v>-1.31</v>
      </c>
    </row>
    <row r="1158" spans="2:66">
      <c r="B1158">
        <v>1862</v>
      </c>
      <c r="C1158">
        <v>84</v>
      </c>
      <c r="D1158">
        <v>0</v>
      </c>
      <c r="E1158">
        <v>0</v>
      </c>
      <c r="F1158">
        <v>2</v>
      </c>
      <c r="J1158">
        <v>0</v>
      </c>
      <c r="K1158">
        <v>6</v>
      </c>
      <c r="L1158">
        <v>0</v>
      </c>
      <c r="M1158" t="s">
        <v>25022</v>
      </c>
      <c r="N1158">
        <v>3794</v>
      </c>
      <c r="O1158" t="s">
        <v>22228</v>
      </c>
      <c r="P1158" t="s">
        <v>62</v>
      </c>
      <c r="Q1158">
        <v>3764136</v>
      </c>
      <c r="R1158">
        <v>3764906</v>
      </c>
      <c r="S1158" t="s">
        <v>22229</v>
      </c>
      <c r="T1158">
        <v>257</v>
      </c>
      <c r="U1158" t="s">
        <v>108</v>
      </c>
      <c r="V1158">
        <v>44</v>
      </c>
      <c r="W1158" t="str">
        <f>HYPERLINK("Gene3794-zp_tree_all.dnd", "Gene3794-tree")</f>
        <v>Gene3794-tree</v>
      </c>
      <c r="X1158">
        <v>4</v>
      </c>
      <c r="Y1158">
        <v>10</v>
      </c>
      <c r="Z1158">
        <v>4</v>
      </c>
      <c r="AA1158">
        <v>10</v>
      </c>
      <c r="AB1158">
        <v>0.71428999999999998</v>
      </c>
      <c r="AC1158" t="s">
        <v>61</v>
      </c>
      <c r="AD1158" t="s">
        <v>117</v>
      </c>
      <c r="AE1158" t="s">
        <v>62</v>
      </c>
      <c r="AF1158" t="s">
        <v>62</v>
      </c>
      <c r="AG1158">
        <v>3</v>
      </c>
      <c r="AH1158">
        <v>6</v>
      </c>
      <c r="AI1158">
        <v>19</v>
      </c>
      <c r="AJ1158">
        <v>0.24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6</v>
      </c>
      <c r="AQ1158">
        <v>0</v>
      </c>
      <c r="AR1158">
        <v>6</v>
      </c>
      <c r="AS1158">
        <v>17</v>
      </c>
      <c r="AT1158">
        <v>0.26086999999999999</v>
      </c>
      <c r="AU1158">
        <v>13</v>
      </c>
      <c r="AV1158">
        <v>10</v>
      </c>
      <c r="AW1158">
        <v>21</v>
      </c>
      <c r="AX1158">
        <v>22</v>
      </c>
      <c r="AY1158">
        <v>10</v>
      </c>
      <c r="AZ1158">
        <v>3</v>
      </c>
      <c r="BA1158" t="s">
        <v>22230</v>
      </c>
      <c r="BB1158" t="s">
        <v>22231</v>
      </c>
      <c r="BC1158">
        <v>1.2470000000000001</v>
      </c>
      <c r="BD1158" t="s">
        <v>65</v>
      </c>
      <c r="BE1158">
        <v>31</v>
      </c>
      <c r="BF1158">
        <v>25</v>
      </c>
      <c r="BG1158" t="s">
        <v>22232</v>
      </c>
      <c r="BH1158" t="s">
        <v>22233</v>
      </c>
      <c r="BI1158" t="s">
        <v>22234</v>
      </c>
      <c r="BJ1158">
        <v>0.18024000000000001</v>
      </c>
      <c r="BK1158">
        <v>1</v>
      </c>
      <c r="BL1158" t="s">
        <v>69</v>
      </c>
      <c r="BM1158">
        <v>-0.65100000000000002</v>
      </c>
      <c r="BN1158">
        <v>-2.0489999999999999</v>
      </c>
    </row>
    <row r="1159" spans="2:66">
      <c r="B1159">
        <v>1863</v>
      </c>
      <c r="C1159">
        <v>102</v>
      </c>
      <c r="D1159">
        <v>0</v>
      </c>
      <c r="E1159">
        <v>0</v>
      </c>
      <c r="F1159">
        <v>4</v>
      </c>
      <c r="J1159">
        <v>0</v>
      </c>
      <c r="K1159">
        <v>6</v>
      </c>
      <c r="L1159">
        <v>0</v>
      </c>
      <c r="M1159" t="s">
        <v>25022</v>
      </c>
      <c r="N1159">
        <v>3796</v>
      </c>
      <c r="O1159" t="s">
        <v>22241</v>
      </c>
      <c r="P1159" t="s">
        <v>62</v>
      </c>
      <c r="Q1159">
        <v>3765472</v>
      </c>
      <c r="R1159">
        <v>3766110</v>
      </c>
      <c r="S1159" t="s">
        <v>1940</v>
      </c>
      <c r="T1159">
        <v>213</v>
      </c>
      <c r="U1159" t="s">
        <v>265</v>
      </c>
      <c r="V1159">
        <v>43</v>
      </c>
      <c r="W1159" t="str">
        <f>HYPERLINK("Gene3796-zp_tree_all.dnd", "Gene3796-tree")</f>
        <v>Gene3796-tree</v>
      </c>
      <c r="X1159">
        <v>9</v>
      </c>
      <c r="Y1159">
        <v>7</v>
      </c>
      <c r="Z1159">
        <v>9</v>
      </c>
      <c r="AA1159">
        <v>7</v>
      </c>
      <c r="AB1159">
        <v>0.4375</v>
      </c>
      <c r="AC1159" t="s">
        <v>135</v>
      </c>
      <c r="AD1159" t="s">
        <v>152</v>
      </c>
      <c r="AE1159" t="s">
        <v>62</v>
      </c>
      <c r="AF1159" t="s">
        <v>62</v>
      </c>
      <c r="AG1159">
        <v>2</v>
      </c>
      <c r="AH1159">
        <v>6</v>
      </c>
      <c r="AI1159">
        <v>15</v>
      </c>
      <c r="AJ1159">
        <v>0.28571000000000002</v>
      </c>
      <c r="AK1159">
        <v>0</v>
      </c>
      <c r="AL1159">
        <v>0</v>
      </c>
      <c r="AM1159">
        <v>0</v>
      </c>
      <c r="AN1159">
        <v>2</v>
      </c>
      <c r="AO1159">
        <v>0</v>
      </c>
      <c r="AP1159">
        <v>2</v>
      </c>
      <c r="AQ1159">
        <v>0</v>
      </c>
      <c r="AR1159">
        <v>2</v>
      </c>
      <c r="AS1159">
        <v>11</v>
      </c>
      <c r="AT1159">
        <v>0.15384999999999999</v>
      </c>
      <c r="AU1159">
        <v>12</v>
      </c>
      <c r="AV1159">
        <v>10</v>
      </c>
      <c r="AW1159">
        <v>26</v>
      </c>
      <c r="AX1159">
        <v>11</v>
      </c>
      <c r="AY1159">
        <v>16</v>
      </c>
      <c r="AZ1159">
        <v>10</v>
      </c>
      <c r="BA1159" t="s">
        <v>22242</v>
      </c>
      <c r="BB1159" t="s">
        <v>22243</v>
      </c>
      <c r="BC1159">
        <v>0.627</v>
      </c>
      <c r="BD1159" t="s">
        <v>65</v>
      </c>
      <c r="BE1159">
        <v>42</v>
      </c>
      <c r="BF1159">
        <v>21</v>
      </c>
      <c r="BG1159" t="s">
        <v>22244</v>
      </c>
      <c r="BH1159" t="s">
        <v>22245</v>
      </c>
      <c r="BI1159" t="s">
        <v>22246</v>
      </c>
      <c r="BJ1159">
        <v>0.17693999999999999</v>
      </c>
      <c r="BK1159">
        <v>1</v>
      </c>
      <c r="BL1159" t="s">
        <v>69</v>
      </c>
      <c r="BM1159">
        <v>-0.92600000000000005</v>
      </c>
      <c r="BN1159">
        <v>-1.7529999999999999</v>
      </c>
    </row>
    <row r="1160" spans="2:66">
      <c r="B1160">
        <v>1866</v>
      </c>
      <c r="C1160">
        <v>403</v>
      </c>
      <c r="D1160">
        <v>0</v>
      </c>
      <c r="E1160">
        <v>3</v>
      </c>
      <c r="F1160">
        <v>0</v>
      </c>
      <c r="J1160">
        <v>0</v>
      </c>
      <c r="K1160">
        <v>0</v>
      </c>
      <c r="L1160">
        <v>2</v>
      </c>
      <c r="M1160" t="s">
        <v>25022</v>
      </c>
      <c r="N1160">
        <v>3797</v>
      </c>
      <c r="O1160" t="s">
        <v>22247</v>
      </c>
      <c r="P1160" t="s">
        <v>62</v>
      </c>
      <c r="Q1160">
        <v>3766181</v>
      </c>
      <c r="R1160">
        <v>3766579</v>
      </c>
      <c r="S1160" t="s">
        <v>637</v>
      </c>
      <c r="T1160">
        <v>133</v>
      </c>
      <c r="U1160" t="s">
        <v>11803</v>
      </c>
      <c r="V1160">
        <v>47</v>
      </c>
      <c r="W1160" t="str">
        <f>HYPERLINK("Gene3797-zp_tree_all.dnd", "Gene3797-tree")</f>
        <v>Gene3797-tree</v>
      </c>
      <c r="X1160">
        <v>7</v>
      </c>
      <c r="Y1160">
        <v>5</v>
      </c>
      <c r="Z1160">
        <v>7</v>
      </c>
      <c r="AA1160">
        <v>5</v>
      </c>
      <c r="AB1160">
        <v>0.41666999999999998</v>
      </c>
      <c r="AC1160" t="s">
        <v>152</v>
      </c>
      <c r="AD1160" t="s">
        <v>199</v>
      </c>
      <c r="AE1160" t="s">
        <v>62</v>
      </c>
      <c r="AF1160" t="s">
        <v>62</v>
      </c>
      <c r="AG1160">
        <v>1</v>
      </c>
      <c r="AH1160">
        <v>2</v>
      </c>
      <c r="AI1160">
        <v>5</v>
      </c>
      <c r="AJ1160">
        <v>0.28571000000000002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2</v>
      </c>
      <c r="AR1160">
        <v>2</v>
      </c>
      <c r="AS1160">
        <v>4</v>
      </c>
      <c r="AT1160">
        <v>0.33333000000000002</v>
      </c>
      <c r="AU1160">
        <v>10</v>
      </c>
      <c r="AV1160">
        <v>8</v>
      </c>
      <c r="AW1160">
        <v>17</v>
      </c>
      <c r="AX1160">
        <v>6</v>
      </c>
      <c r="AY1160">
        <v>22</v>
      </c>
      <c r="AZ1160">
        <v>1</v>
      </c>
      <c r="BA1160" t="s">
        <v>22248</v>
      </c>
      <c r="BB1160" t="s">
        <v>22249</v>
      </c>
      <c r="BC1160">
        <v>0.74</v>
      </c>
      <c r="BD1160" t="s">
        <v>65</v>
      </c>
      <c r="BE1160">
        <v>39</v>
      </c>
      <c r="BF1160">
        <v>7</v>
      </c>
      <c r="BG1160" t="s">
        <v>22250</v>
      </c>
      <c r="BH1160" t="s">
        <v>22251</v>
      </c>
      <c r="BI1160" t="s">
        <v>22252</v>
      </c>
      <c r="BJ1160">
        <v>3.9070000000000001E-2</v>
      </c>
      <c r="BK1160">
        <v>1</v>
      </c>
      <c r="BL1160" t="s">
        <v>69</v>
      </c>
      <c r="BM1160">
        <v>-1.77</v>
      </c>
      <c r="BN1160">
        <v>-1.726</v>
      </c>
    </row>
    <row r="1161" spans="2:66">
      <c r="B1161">
        <v>1871</v>
      </c>
      <c r="C1161">
        <v>115</v>
      </c>
      <c r="D1161">
        <v>0</v>
      </c>
      <c r="E1161">
        <v>2</v>
      </c>
      <c r="F1161">
        <v>0</v>
      </c>
      <c r="J1161">
        <v>0</v>
      </c>
      <c r="K1161">
        <v>4</v>
      </c>
      <c r="L1161">
        <v>0</v>
      </c>
      <c r="M1161" t="s">
        <v>25022</v>
      </c>
      <c r="N1161">
        <v>3798</v>
      </c>
      <c r="O1161" t="s">
        <v>22253</v>
      </c>
      <c r="P1161" t="s">
        <v>62</v>
      </c>
      <c r="Q1161">
        <v>3766717</v>
      </c>
      <c r="R1161">
        <v>3768423</v>
      </c>
      <c r="S1161" t="s">
        <v>22254</v>
      </c>
      <c r="T1161">
        <v>569</v>
      </c>
      <c r="U1161" t="s">
        <v>108</v>
      </c>
      <c r="V1161">
        <v>44</v>
      </c>
      <c r="W1161" t="str">
        <f>HYPERLINK("Gene3798-zp_tree_all.dnd", "Gene3798-tree")</f>
        <v>Gene3798-tree</v>
      </c>
      <c r="X1161">
        <v>7</v>
      </c>
      <c r="Y1161">
        <v>7</v>
      </c>
      <c r="Z1161">
        <v>7</v>
      </c>
      <c r="AA1161">
        <v>7</v>
      </c>
      <c r="AB1161">
        <v>0.5</v>
      </c>
      <c r="AC1161" t="s">
        <v>152</v>
      </c>
      <c r="AD1161" t="s">
        <v>152</v>
      </c>
      <c r="AE1161" t="s">
        <v>62</v>
      </c>
      <c r="AF1161" t="s">
        <v>62</v>
      </c>
      <c r="AG1161">
        <v>2</v>
      </c>
      <c r="AH1161">
        <v>4</v>
      </c>
      <c r="AI1161">
        <v>7</v>
      </c>
      <c r="AJ1161">
        <v>0.36364000000000002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</v>
      </c>
      <c r="AQ1161">
        <v>0</v>
      </c>
      <c r="AR1161">
        <v>2</v>
      </c>
      <c r="AS1161">
        <v>6</v>
      </c>
      <c r="AT1161">
        <v>0.25</v>
      </c>
      <c r="AU1161">
        <v>14</v>
      </c>
      <c r="AV1161">
        <v>10</v>
      </c>
      <c r="AW1161">
        <v>77</v>
      </c>
      <c r="AX1161">
        <v>8</v>
      </c>
      <c r="AY1161">
        <v>38</v>
      </c>
      <c r="AZ1161">
        <v>3</v>
      </c>
      <c r="BA1161" t="s">
        <v>22255</v>
      </c>
      <c r="BB1161" t="s">
        <v>22256</v>
      </c>
      <c r="BC1161">
        <v>0.24299999999999999</v>
      </c>
      <c r="BD1161" t="s">
        <v>65</v>
      </c>
      <c r="BE1161">
        <v>115</v>
      </c>
      <c r="BF1161">
        <v>11</v>
      </c>
      <c r="BG1161" t="s">
        <v>22257</v>
      </c>
      <c r="BH1161" t="s">
        <v>22258</v>
      </c>
      <c r="BI1161" t="s">
        <v>22259</v>
      </c>
      <c r="BJ1161">
        <v>2.7390000000000001E-2</v>
      </c>
      <c r="BK1161">
        <v>1</v>
      </c>
      <c r="BL1161" t="s">
        <v>69</v>
      </c>
      <c r="BM1161">
        <v>-0.51600000000000001</v>
      </c>
      <c r="BN1161">
        <v>-1.66</v>
      </c>
    </row>
    <row r="1162" spans="2:66">
      <c r="B1162">
        <v>1872</v>
      </c>
      <c r="C1162">
        <v>84</v>
      </c>
      <c r="D1162">
        <v>0</v>
      </c>
      <c r="E1162">
        <v>4</v>
      </c>
      <c r="F1162">
        <v>0</v>
      </c>
      <c r="J1162">
        <v>0</v>
      </c>
      <c r="K1162">
        <v>0</v>
      </c>
      <c r="L1162">
        <v>0</v>
      </c>
      <c r="M1162" t="s">
        <v>25022</v>
      </c>
      <c r="N1162">
        <v>3799</v>
      </c>
      <c r="O1162" t="s">
        <v>22260</v>
      </c>
      <c r="P1162" t="s">
        <v>62</v>
      </c>
      <c r="Q1162">
        <v>3768423</v>
      </c>
      <c r="R1162">
        <v>3768794</v>
      </c>
      <c r="S1162" t="s">
        <v>22261</v>
      </c>
      <c r="T1162">
        <v>124</v>
      </c>
      <c r="U1162" t="s">
        <v>108</v>
      </c>
      <c r="V1162">
        <v>44</v>
      </c>
      <c r="W1162" t="str">
        <f>HYPERLINK("Gene3799-zp_tree_all.dnd", "Gene3799-tree")</f>
        <v>Gene3799-tree</v>
      </c>
      <c r="X1162">
        <v>9</v>
      </c>
      <c r="Y1162">
        <v>5</v>
      </c>
      <c r="Z1162">
        <v>9</v>
      </c>
      <c r="AA1162">
        <v>5</v>
      </c>
      <c r="AB1162">
        <v>0.35714000000000001</v>
      </c>
      <c r="AC1162" t="s">
        <v>135</v>
      </c>
      <c r="AD1162" t="s">
        <v>199</v>
      </c>
      <c r="AE1162" t="s">
        <v>62</v>
      </c>
      <c r="AF1162" t="s">
        <v>62</v>
      </c>
      <c r="AG1162">
        <v>0</v>
      </c>
      <c r="AH1162">
        <v>0</v>
      </c>
      <c r="AI1162">
        <v>7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5</v>
      </c>
      <c r="AT1162">
        <v>0</v>
      </c>
      <c r="AU1162">
        <v>9</v>
      </c>
      <c r="AV1162">
        <v>6</v>
      </c>
      <c r="AW1162">
        <v>12</v>
      </c>
      <c r="AX1162">
        <v>5</v>
      </c>
      <c r="AY1162">
        <v>5</v>
      </c>
      <c r="AZ1162">
        <v>2</v>
      </c>
      <c r="BA1162" t="s">
        <v>22262</v>
      </c>
      <c r="BB1162" t="s">
        <v>22263</v>
      </c>
      <c r="BC1162">
        <v>2.1000000000000001E-2</v>
      </c>
      <c r="BD1162" t="s">
        <v>65</v>
      </c>
      <c r="BE1162">
        <v>17</v>
      </c>
      <c r="BF1162">
        <v>7</v>
      </c>
      <c r="BG1162" t="s">
        <v>22264</v>
      </c>
      <c r="BH1162" t="s">
        <v>22265</v>
      </c>
      <c r="BI1162" t="s">
        <v>22266</v>
      </c>
      <c r="BJ1162">
        <v>0.13893</v>
      </c>
      <c r="BK1162">
        <v>1</v>
      </c>
      <c r="BL1162" t="s">
        <v>69</v>
      </c>
      <c r="BM1162">
        <v>-1.5840000000000001</v>
      </c>
      <c r="BN1162">
        <v>-2.4159999999999999</v>
      </c>
    </row>
    <row r="1163" spans="2:66">
      <c r="B1163">
        <v>1876</v>
      </c>
      <c r="C1163">
        <v>214</v>
      </c>
      <c r="D1163">
        <v>0</v>
      </c>
      <c r="E1163">
        <v>2</v>
      </c>
      <c r="F1163">
        <v>0</v>
      </c>
      <c r="J1163">
        <v>0</v>
      </c>
      <c r="K1163">
        <v>2</v>
      </c>
      <c r="L1163">
        <v>0</v>
      </c>
      <c r="M1163" t="s">
        <v>25022</v>
      </c>
      <c r="N1163">
        <v>3800</v>
      </c>
      <c r="O1163" t="s">
        <v>22267</v>
      </c>
      <c r="P1163" t="s">
        <v>62</v>
      </c>
      <c r="Q1163">
        <v>3768794</v>
      </c>
      <c r="R1163">
        <v>3769108</v>
      </c>
      <c r="S1163" t="s">
        <v>22268</v>
      </c>
      <c r="T1163">
        <v>105</v>
      </c>
      <c r="U1163" t="s">
        <v>125</v>
      </c>
      <c r="V1163">
        <v>48</v>
      </c>
      <c r="W1163" t="str">
        <f>HYPERLINK("Gene3800-zp_tree_all.dnd", "Gene3800-tree")</f>
        <v>Gene3800-tree</v>
      </c>
      <c r="X1163">
        <v>11</v>
      </c>
      <c r="Y1163">
        <v>4</v>
      </c>
      <c r="Z1163">
        <v>11</v>
      </c>
      <c r="AA1163">
        <v>4</v>
      </c>
      <c r="AB1163">
        <v>0.26667000000000002</v>
      </c>
      <c r="AC1163" t="s">
        <v>73</v>
      </c>
      <c r="AD1163" t="s">
        <v>61</v>
      </c>
      <c r="AE1163" t="s">
        <v>62</v>
      </c>
      <c r="AF1163" t="s">
        <v>62</v>
      </c>
      <c r="AG1163">
        <v>1</v>
      </c>
      <c r="AH1163">
        <v>2</v>
      </c>
      <c r="AI1163">
        <v>3</v>
      </c>
      <c r="AJ1163">
        <v>0.4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</v>
      </c>
      <c r="AQ1163">
        <v>0</v>
      </c>
      <c r="AR1163">
        <v>2</v>
      </c>
      <c r="AS1163">
        <v>2</v>
      </c>
      <c r="AT1163">
        <v>0.5</v>
      </c>
      <c r="AU1163">
        <v>12</v>
      </c>
      <c r="AV1163">
        <v>7</v>
      </c>
      <c r="AW1163">
        <v>18</v>
      </c>
      <c r="AX1163">
        <v>4</v>
      </c>
      <c r="AY1163">
        <v>20</v>
      </c>
      <c r="AZ1163">
        <v>1</v>
      </c>
      <c r="BA1163" t="s">
        <v>22269</v>
      </c>
      <c r="BB1163" t="s">
        <v>22270</v>
      </c>
      <c r="BC1163">
        <v>0.89100000000000001</v>
      </c>
      <c r="BD1163" t="s">
        <v>65</v>
      </c>
      <c r="BE1163">
        <v>38</v>
      </c>
      <c r="BF1163">
        <v>5</v>
      </c>
      <c r="BG1163" t="s">
        <v>22271</v>
      </c>
      <c r="BH1163" t="s">
        <v>22272</v>
      </c>
      <c r="BI1163" t="s">
        <v>22273</v>
      </c>
      <c r="BJ1163">
        <v>2.9190000000000001E-2</v>
      </c>
      <c r="BK1163">
        <v>1</v>
      </c>
      <c r="BL1163" t="s">
        <v>69</v>
      </c>
      <c r="BM1163">
        <v>-0.68</v>
      </c>
      <c r="BN1163">
        <v>0.29099999999999998</v>
      </c>
    </row>
    <row r="1164" spans="2:66">
      <c r="B1164">
        <v>1880</v>
      </c>
      <c r="C1164">
        <v>419</v>
      </c>
      <c r="D1164">
        <v>0</v>
      </c>
      <c r="E1164">
        <v>5</v>
      </c>
      <c r="F1164">
        <v>0</v>
      </c>
      <c r="J1164">
        <v>0</v>
      </c>
      <c r="K1164">
        <v>0</v>
      </c>
      <c r="L1164">
        <v>0</v>
      </c>
      <c r="M1164" t="s">
        <v>25022</v>
      </c>
      <c r="N1164">
        <v>3802</v>
      </c>
      <c r="O1164" t="s">
        <v>22274</v>
      </c>
      <c r="P1164" t="s">
        <v>62</v>
      </c>
      <c r="Q1164">
        <v>3770107</v>
      </c>
      <c r="R1164">
        <v>3770292</v>
      </c>
      <c r="S1164" t="s">
        <v>22275</v>
      </c>
      <c r="T1164">
        <v>62</v>
      </c>
      <c r="U1164" t="s">
        <v>108</v>
      </c>
      <c r="V1164">
        <v>44</v>
      </c>
      <c r="W1164" t="str">
        <f>HYPERLINK("Gene3802-zp_tree_all.dnd", "Gene3802-tree")</f>
        <v>Gene3802-tree</v>
      </c>
      <c r="X1164">
        <v>33</v>
      </c>
      <c r="Y1164">
        <v>1</v>
      </c>
      <c r="Z1164">
        <v>8</v>
      </c>
      <c r="AA1164">
        <v>1</v>
      </c>
      <c r="AB1164">
        <v>0.11111</v>
      </c>
      <c r="AC1164" t="s">
        <v>22276</v>
      </c>
      <c r="AD1164" t="s">
        <v>175</v>
      </c>
      <c r="AE1164" t="s">
        <v>62</v>
      </c>
      <c r="AF1164" t="s">
        <v>62</v>
      </c>
      <c r="AG1164">
        <v>0</v>
      </c>
      <c r="AH1164">
        <v>0</v>
      </c>
      <c r="AI1164">
        <v>3</v>
      </c>
      <c r="AJ1164">
        <v>0</v>
      </c>
      <c r="AK1164">
        <v>0</v>
      </c>
      <c r="AL1164">
        <v>0</v>
      </c>
      <c r="AM1164">
        <v>0</v>
      </c>
      <c r="AN1164">
        <v>2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5</v>
      </c>
      <c r="AV1164">
        <v>3</v>
      </c>
      <c r="AW1164">
        <v>4</v>
      </c>
      <c r="AX1164">
        <v>1</v>
      </c>
      <c r="AY1164">
        <v>1</v>
      </c>
      <c r="AZ1164">
        <v>2</v>
      </c>
      <c r="BA1164" t="s">
        <v>22277</v>
      </c>
      <c r="BB1164" t="s">
        <v>22278</v>
      </c>
      <c r="BC1164">
        <v>0.59799999999999998</v>
      </c>
      <c r="BD1164" t="s">
        <v>65</v>
      </c>
      <c r="BE1164">
        <v>5</v>
      </c>
      <c r="BF1164">
        <v>3</v>
      </c>
      <c r="BG1164" t="s">
        <v>22279</v>
      </c>
      <c r="BH1164" t="s">
        <v>22280</v>
      </c>
      <c r="BI1164" t="s">
        <v>22281</v>
      </c>
      <c r="BJ1164">
        <v>0.17513000000000001</v>
      </c>
      <c r="BK1164">
        <v>0.94399999999999995</v>
      </c>
      <c r="BL1164" t="s">
        <v>635</v>
      </c>
      <c r="BM1164">
        <v>-1.234</v>
      </c>
      <c r="BN1164">
        <v>-1.786</v>
      </c>
    </row>
    <row r="1165" spans="2:66">
      <c r="B1165">
        <v>1881</v>
      </c>
      <c r="C1165">
        <v>313</v>
      </c>
      <c r="D1165">
        <v>0</v>
      </c>
      <c r="E1165">
        <v>13</v>
      </c>
      <c r="F1165">
        <v>2</v>
      </c>
      <c r="J1165">
        <v>0</v>
      </c>
      <c r="K1165">
        <v>2</v>
      </c>
      <c r="L1165">
        <v>0</v>
      </c>
      <c r="M1165" t="s">
        <v>25022</v>
      </c>
      <c r="N1165">
        <v>3803</v>
      </c>
      <c r="O1165" t="s">
        <v>22282</v>
      </c>
      <c r="P1165" t="s">
        <v>62</v>
      </c>
      <c r="Q1165">
        <v>3770368</v>
      </c>
      <c r="R1165">
        <v>3770865</v>
      </c>
      <c r="S1165" t="s">
        <v>6103</v>
      </c>
      <c r="T1165">
        <v>166</v>
      </c>
      <c r="U1165" t="s">
        <v>108</v>
      </c>
      <c r="V1165">
        <v>44</v>
      </c>
      <c r="W1165" t="str">
        <f>HYPERLINK("Gene3803-zp_tree_all.dnd", "Gene3803-tree")</f>
        <v>Gene3803-tree</v>
      </c>
      <c r="X1165">
        <v>9</v>
      </c>
      <c r="Y1165">
        <v>3</v>
      </c>
      <c r="Z1165">
        <v>9</v>
      </c>
      <c r="AA1165">
        <v>3</v>
      </c>
      <c r="AB1165">
        <v>0.25</v>
      </c>
      <c r="AC1165" t="s">
        <v>135</v>
      </c>
      <c r="AD1165" t="s">
        <v>324</v>
      </c>
      <c r="AE1165" t="s">
        <v>62</v>
      </c>
      <c r="AF1165" t="s">
        <v>62</v>
      </c>
      <c r="AG1165">
        <v>1</v>
      </c>
      <c r="AH1165">
        <v>2</v>
      </c>
      <c r="AI1165">
        <v>2</v>
      </c>
      <c r="AJ1165">
        <v>0.5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2</v>
      </c>
      <c r="AQ1165">
        <v>0</v>
      </c>
      <c r="AR1165">
        <v>2</v>
      </c>
      <c r="AS1165">
        <v>1</v>
      </c>
      <c r="AT1165">
        <v>0.66666999999999998</v>
      </c>
      <c r="AU1165">
        <v>10</v>
      </c>
      <c r="AV1165">
        <v>4</v>
      </c>
      <c r="AW1165">
        <v>12</v>
      </c>
      <c r="AX1165">
        <v>3</v>
      </c>
      <c r="AY1165">
        <v>3</v>
      </c>
      <c r="AZ1165">
        <v>1</v>
      </c>
      <c r="BA1165" t="s">
        <v>22283</v>
      </c>
      <c r="BB1165" t="s">
        <v>22284</v>
      </c>
      <c r="BC1165">
        <v>0.13900000000000001</v>
      </c>
      <c r="BD1165" t="s">
        <v>65</v>
      </c>
      <c r="BE1165">
        <v>15</v>
      </c>
      <c r="BF1165">
        <v>4</v>
      </c>
      <c r="BG1165" t="s">
        <v>22285</v>
      </c>
      <c r="BH1165" t="s">
        <v>22286</v>
      </c>
      <c r="BI1165" t="s">
        <v>22287</v>
      </c>
      <c r="BJ1165">
        <v>8.4360000000000004E-2</v>
      </c>
      <c r="BK1165">
        <v>1</v>
      </c>
      <c r="BL1165" t="s">
        <v>69</v>
      </c>
      <c r="BM1165">
        <v>-1.0649999999999999</v>
      </c>
      <c r="BN1165">
        <v>-2.2130000000000001</v>
      </c>
    </row>
    <row r="1166" spans="2:66">
      <c r="B1166">
        <v>1883</v>
      </c>
      <c r="C1166">
        <v>225</v>
      </c>
      <c r="D1166">
        <v>0</v>
      </c>
      <c r="E1166">
        <v>8</v>
      </c>
      <c r="F1166">
        <v>2</v>
      </c>
      <c r="J1166">
        <v>0</v>
      </c>
      <c r="K1166">
        <v>8</v>
      </c>
      <c r="L1166">
        <v>0</v>
      </c>
      <c r="M1166" t="s">
        <v>25022</v>
      </c>
      <c r="N1166">
        <v>3804</v>
      </c>
      <c r="O1166" t="s">
        <v>22288</v>
      </c>
      <c r="P1166" t="s">
        <v>62</v>
      </c>
      <c r="Q1166">
        <v>3771003</v>
      </c>
      <c r="R1166">
        <v>3772133</v>
      </c>
      <c r="S1166" t="s">
        <v>1932</v>
      </c>
      <c r="T1166">
        <v>377</v>
      </c>
      <c r="U1166" t="s">
        <v>108</v>
      </c>
      <c r="V1166">
        <v>44</v>
      </c>
      <c r="W1166" t="str">
        <f>HYPERLINK("Gene3804-zp_tree_all.dnd", "Gene3804-tree")</f>
        <v>Gene3804-tree</v>
      </c>
      <c r="X1166">
        <v>6</v>
      </c>
      <c r="Y1166">
        <v>8</v>
      </c>
      <c r="Z1166">
        <v>6</v>
      </c>
      <c r="AA1166">
        <v>8</v>
      </c>
      <c r="AB1166">
        <v>0.57142999999999999</v>
      </c>
      <c r="AC1166" t="s">
        <v>90</v>
      </c>
      <c r="AD1166" t="s">
        <v>136</v>
      </c>
      <c r="AE1166" t="s">
        <v>62</v>
      </c>
      <c r="AF1166" t="s">
        <v>62</v>
      </c>
      <c r="AG1166">
        <v>3</v>
      </c>
      <c r="AH1166">
        <v>8</v>
      </c>
      <c r="AI1166">
        <v>14</v>
      </c>
      <c r="AJ1166">
        <v>0.36364000000000002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4</v>
      </c>
      <c r="AQ1166">
        <v>0</v>
      </c>
      <c r="AR1166">
        <v>4</v>
      </c>
      <c r="AS1166">
        <v>12</v>
      </c>
      <c r="AT1166">
        <v>0.25</v>
      </c>
      <c r="AU1166">
        <v>11</v>
      </c>
      <c r="AV1166">
        <v>10</v>
      </c>
      <c r="AW1166">
        <v>52</v>
      </c>
      <c r="AX1166">
        <v>17</v>
      </c>
      <c r="AY1166">
        <v>23</v>
      </c>
      <c r="AZ1166">
        <v>6</v>
      </c>
      <c r="BA1166" t="s">
        <v>22289</v>
      </c>
      <c r="BB1166" t="s">
        <v>22290</v>
      </c>
      <c r="BC1166">
        <v>8.3000000000000004E-2</v>
      </c>
      <c r="BD1166" t="s">
        <v>65</v>
      </c>
      <c r="BE1166">
        <v>75</v>
      </c>
      <c r="BF1166">
        <v>23</v>
      </c>
      <c r="BG1166" t="s">
        <v>22291</v>
      </c>
      <c r="BH1166" t="s">
        <v>22292</v>
      </c>
      <c r="BI1166" t="s">
        <v>22293</v>
      </c>
      <c r="BJ1166">
        <v>7.6350000000000001E-2</v>
      </c>
      <c r="BK1166">
        <v>1</v>
      </c>
      <c r="BL1166" t="s">
        <v>69</v>
      </c>
      <c r="BM1166">
        <v>-1.4279999999999999</v>
      </c>
      <c r="BN1166">
        <v>-3.3109999999999999</v>
      </c>
    </row>
    <row r="1167" spans="2:66">
      <c r="B1167">
        <v>1884</v>
      </c>
      <c r="C1167">
        <v>30</v>
      </c>
      <c r="D1167">
        <v>2</v>
      </c>
      <c r="E1167">
        <v>32</v>
      </c>
      <c r="F1167">
        <v>7</v>
      </c>
      <c r="J1167">
        <v>0</v>
      </c>
      <c r="K1167">
        <v>0</v>
      </c>
      <c r="L1167">
        <v>0</v>
      </c>
      <c r="M1167" t="s">
        <v>25022</v>
      </c>
      <c r="N1167">
        <v>3805</v>
      </c>
      <c r="O1167" t="s">
        <v>22294</v>
      </c>
      <c r="P1167" t="s">
        <v>62</v>
      </c>
      <c r="Q1167">
        <v>3772328</v>
      </c>
      <c r="R1167">
        <v>3773350</v>
      </c>
      <c r="S1167" t="s">
        <v>22295</v>
      </c>
      <c r="T1167">
        <v>341</v>
      </c>
      <c r="U1167" t="s">
        <v>108</v>
      </c>
      <c r="V1167">
        <v>44</v>
      </c>
      <c r="W1167" t="str">
        <f>HYPERLINK("Gene3805-zp_tree_all.dnd", "Gene3805-tree")</f>
        <v>Gene3805-tree</v>
      </c>
      <c r="X1167">
        <v>8</v>
      </c>
      <c r="Y1167">
        <v>4</v>
      </c>
      <c r="Z1167">
        <v>8</v>
      </c>
      <c r="AA1167">
        <v>4</v>
      </c>
      <c r="AB1167">
        <v>0.33333000000000002</v>
      </c>
      <c r="AC1167" t="s">
        <v>136</v>
      </c>
      <c r="AD1167" t="s">
        <v>61</v>
      </c>
      <c r="AE1167" t="s">
        <v>62</v>
      </c>
      <c r="AF1167" t="s">
        <v>62</v>
      </c>
      <c r="AG1167">
        <v>0</v>
      </c>
      <c r="AH1167">
        <v>0</v>
      </c>
      <c r="AI1167">
        <v>8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6</v>
      </c>
      <c r="AT1167">
        <v>0</v>
      </c>
      <c r="AU1167">
        <v>9</v>
      </c>
      <c r="AV1167">
        <v>8</v>
      </c>
      <c r="AW1167">
        <v>55</v>
      </c>
      <c r="AX1167">
        <v>6</v>
      </c>
      <c r="AY1167">
        <v>13</v>
      </c>
      <c r="AZ1167">
        <v>2</v>
      </c>
      <c r="BA1167" t="s">
        <v>22296</v>
      </c>
      <c r="BB1167" t="s">
        <v>22297</v>
      </c>
      <c r="BC1167">
        <v>0.2</v>
      </c>
      <c r="BD1167" t="s">
        <v>65</v>
      </c>
      <c r="BE1167">
        <v>68</v>
      </c>
      <c r="BF1167">
        <v>8</v>
      </c>
      <c r="BG1167" t="s">
        <v>22298</v>
      </c>
      <c r="BH1167" t="s">
        <v>22299</v>
      </c>
      <c r="BI1167" t="s">
        <v>22300</v>
      </c>
      <c r="BJ1167">
        <v>3.372E-2</v>
      </c>
      <c r="BK1167">
        <v>1</v>
      </c>
      <c r="BL1167" t="s">
        <v>69</v>
      </c>
      <c r="BM1167">
        <v>-1.819</v>
      </c>
      <c r="BN1167">
        <v>-4.3929999999999998</v>
      </c>
    </row>
    <row r="1168" spans="2:66">
      <c r="B1168">
        <v>1885</v>
      </c>
      <c r="C1168">
        <v>77</v>
      </c>
      <c r="D1168">
        <v>0</v>
      </c>
      <c r="E1168">
        <v>7</v>
      </c>
      <c r="F1168">
        <v>0</v>
      </c>
      <c r="J1168">
        <v>0</v>
      </c>
      <c r="K1168">
        <v>2</v>
      </c>
      <c r="L1168">
        <v>0</v>
      </c>
      <c r="M1168" t="s">
        <v>25022</v>
      </c>
      <c r="N1168">
        <v>3806</v>
      </c>
      <c r="O1168" t="s">
        <v>22301</v>
      </c>
      <c r="P1168" t="s">
        <v>62</v>
      </c>
      <c r="Q1168">
        <v>3773369</v>
      </c>
      <c r="R1168">
        <v>3774154</v>
      </c>
      <c r="S1168" t="s">
        <v>22302</v>
      </c>
      <c r="T1168">
        <v>262</v>
      </c>
      <c r="U1168" t="s">
        <v>465</v>
      </c>
      <c r="V1168">
        <v>46</v>
      </c>
      <c r="W1168" t="str">
        <f>HYPERLINK("Gene3806-zp_tree_all.dnd", "Gene3806-tree")</f>
        <v>Gene3806-tree</v>
      </c>
      <c r="X1168">
        <v>6</v>
      </c>
      <c r="Y1168">
        <v>8</v>
      </c>
      <c r="Z1168">
        <v>6</v>
      </c>
      <c r="AA1168">
        <v>8</v>
      </c>
      <c r="AB1168">
        <v>0.57142999999999999</v>
      </c>
      <c r="AC1168" t="s">
        <v>90</v>
      </c>
      <c r="AD1168" t="s">
        <v>136</v>
      </c>
      <c r="AE1168" t="s">
        <v>62</v>
      </c>
      <c r="AF1168" t="s">
        <v>62</v>
      </c>
      <c r="AG1168">
        <v>1</v>
      </c>
      <c r="AH1168">
        <v>2</v>
      </c>
      <c r="AI1168">
        <v>15</v>
      </c>
      <c r="AJ1168">
        <v>0.11765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15</v>
      </c>
      <c r="AT1168">
        <v>0</v>
      </c>
      <c r="AU1168">
        <v>8</v>
      </c>
      <c r="AV1168">
        <v>7</v>
      </c>
      <c r="AW1168">
        <v>17</v>
      </c>
      <c r="AX1168">
        <v>11</v>
      </c>
      <c r="AY1168">
        <v>36</v>
      </c>
      <c r="AZ1168">
        <v>6</v>
      </c>
      <c r="BA1168" t="s">
        <v>22303</v>
      </c>
      <c r="BB1168" t="s">
        <v>22304</v>
      </c>
      <c r="BC1168">
        <v>0.55400000000000005</v>
      </c>
      <c r="BD1168" t="s">
        <v>65</v>
      </c>
      <c r="BE1168">
        <v>53</v>
      </c>
      <c r="BF1168">
        <v>17</v>
      </c>
      <c r="BG1168" t="s">
        <v>22305</v>
      </c>
      <c r="BH1168" t="s">
        <v>22306</v>
      </c>
      <c r="BI1168" t="s">
        <v>22307</v>
      </c>
      <c r="BJ1168">
        <v>6.5199999999999994E-2</v>
      </c>
      <c r="BK1168">
        <v>1</v>
      </c>
      <c r="BL1168" t="s">
        <v>69</v>
      </c>
      <c r="BM1168">
        <v>-2.0129999999999999</v>
      </c>
      <c r="BN1168">
        <v>-1.093</v>
      </c>
    </row>
    <row r="1169" spans="2:66">
      <c r="B1169">
        <v>1886</v>
      </c>
      <c r="C1169">
        <v>241</v>
      </c>
      <c r="D1169">
        <v>0</v>
      </c>
      <c r="E1169">
        <v>10</v>
      </c>
      <c r="F1169">
        <v>2</v>
      </c>
      <c r="J1169">
        <v>0</v>
      </c>
      <c r="K1169">
        <v>2</v>
      </c>
      <c r="L1169">
        <v>0</v>
      </c>
      <c r="M1169" t="s">
        <v>25022</v>
      </c>
      <c r="N1169">
        <v>3807</v>
      </c>
      <c r="O1169" t="s">
        <v>22308</v>
      </c>
      <c r="P1169" t="s">
        <v>62</v>
      </c>
      <c r="Q1169">
        <v>3774403</v>
      </c>
      <c r="R1169">
        <v>3774561</v>
      </c>
      <c r="S1169" t="s">
        <v>116</v>
      </c>
      <c r="T1169">
        <v>53</v>
      </c>
      <c r="U1169" t="s">
        <v>108</v>
      </c>
      <c r="V1169">
        <v>44</v>
      </c>
      <c r="W1169" t="str">
        <f>HYPERLINK("Gene3807-zp_tree_all.dnd", "Gene3807-tree")</f>
        <v>Gene3807-tree</v>
      </c>
      <c r="X1169">
        <v>26</v>
      </c>
      <c r="Y1169">
        <v>2</v>
      </c>
      <c r="Z1169">
        <v>7</v>
      </c>
      <c r="AA1169">
        <v>2</v>
      </c>
      <c r="AB1169">
        <v>0.22222</v>
      </c>
      <c r="AC1169" t="s">
        <v>191</v>
      </c>
      <c r="AD1169" t="s">
        <v>81</v>
      </c>
      <c r="AE1169" t="s">
        <v>62</v>
      </c>
      <c r="AF1169" t="s">
        <v>62</v>
      </c>
      <c r="AG1169">
        <v>1</v>
      </c>
      <c r="AH1169">
        <v>2</v>
      </c>
      <c r="AI1169">
        <v>2</v>
      </c>
      <c r="AJ1169">
        <v>0.5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3</v>
      </c>
      <c r="AT1169">
        <v>0</v>
      </c>
      <c r="AU1169">
        <v>6</v>
      </c>
      <c r="AV1169">
        <v>2</v>
      </c>
      <c r="AW1169">
        <v>4</v>
      </c>
      <c r="AX1169">
        <v>3</v>
      </c>
      <c r="AY1169">
        <v>1</v>
      </c>
      <c r="AZ1169">
        <v>1</v>
      </c>
      <c r="BA1169" t="s">
        <v>22309</v>
      </c>
      <c r="BB1169" t="s">
        <v>22310</v>
      </c>
      <c r="BC1169">
        <v>0.14899999999999999</v>
      </c>
      <c r="BD1169" t="s">
        <v>65</v>
      </c>
      <c r="BE1169">
        <v>5</v>
      </c>
      <c r="BF1169">
        <v>4</v>
      </c>
      <c r="BG1169" t="s">
        <v>22311</v>
      </c>
      <c r="BH1169" t="s">
        <v>22312</v>
      </c>
      <c r="BI1169" t="s">
        <v>22313</v>
      </c>
      <c r="BJ1169">
        <v>0.22061</v>
      </c>
      <c r="BK1169">
        <v>0.88400000000000001</v>
      </c>
      <c r="BL1169" t="s">
        <v>635</v>
      </c>
      <c r="BM1169">
        <v>-0.66900000000000004</v>
      </c>
      <c r="BN1169">
        <v>-1.0269999999999999</v>
      </c>
    </row>
    <row r="1170" spans="2:66">
      <c r="B1170">
        <v>1888</v>
      </c>
      <c r="C1170">
        <v>182</v>
      </c>
      <c r="D1170">
        <v>0</v>
      </c>
      <c r="E1170">
        <v>4</v>
      </c>
      <c r="F1170">
        <v>0</v>
      </c>
      <c r="J1170">
        <v>0</v>
      </c>
      <c r="K1170">
        <v>0</v>
      </c>
      <c r="L1170">
        <v>0</v>
      </c>
      <c r="M1170" t="s">
        <v>25022</v>
      </c>
      <c r="N1170">
        <v>3808</v>
      </c>
      <c r="O1170" t="s">
        <v>22314</v>
      </c>
      <c r="P1170" t="s">
        <v>62</v>
      </c>
      <c r="Q1170">
        <v>3774658</v>
      </c>
      <c r="R1170">
        <v>3775329</v>
      </c>
      <c r="S1170" t="s">
        <v>2332</v>
      </c>
      <c r="T1170">
        <v>224</v>
      </c>
      <c r="U1170" t="s">
        <v>108</v>
      </c>
      <c r="V1170">
        <v>44</v>
      </c>
      <c r="W1170" t="str">
        <f>HYPERLINK("Gene3808-zp_tree_all.dnd", "Gene3808-tree")</f>
        <v>Gene3808-tree</v>
      </c>
      <c r="X1170">
        <v>9</v>
      </c>
      <c r="Y1170">
        <v>4</v>
      </c>
      <c r="Z1170">
        <v>9</v>
      </c>
      <c r="AA1170">
        <v>4</v>
      </c>
      <c r="AB1170">
        <v>0.30769000000000002</v>
      </c>
      <c r="AC1170" t="s">
        <v>135</v>
      </c>
      <c r="AD1170" t="s">
        <v>61</v>
      </c>
      <c r="AE1170" t="s">
        <v>62</v>
      </c>
      <c r="AF1170" t="s">
        <v>62</v>
      </c>
      <c r="AG1170">
        <v>0</v>
      </c>
      <c r="AH1170">
        <v>0</v>
      </c>
      <c r="AI1170">
        <v>4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4</v>
      </c>
      <c r="AT1170">
        <v>0</v>
      </c>
      <c r="AU1170">
        <v>7</v>
      </c>
      <c r="AV1170">
        <v>8</v>
      </c>
      <c r="AW1170">
        <v>8</v>
      </c>
      <c r="AX1170">
        <v>3</v>
      </c>
      <c r="AY1170">
        <v>13</v>
      </c>
      <c r="AZ1170">
        <v>1</v>
      </c>
      <c r="BA1170" t="s">
        <v>22315</v>
      </c>
      <c r="BB1170" t="s">
        <v>22316</v>
      </c>
      <c r="BC1170">
        <v>0.89300000000000002</v>
      </c>
      <c r="BD1170" t="s">
        <v>65</v>
      </c>
      <c r="BE1170">
        <v>21</v>
      </c>
      <c r="BF1170">
        <v>4</v>
      </c>
      <c r="BG1170" t="s">
        <v>22317</v>
      </c>
      <c r="BH1170" t="s">
        <v>22318</v>
      </c>
      <c r="BI1170" t="s">
        <v>22319</v>
      </c>
      <c r="BJ1170">
        <v>3.8449999999999998E-2</v>
      </c>
      <c r="BK1170">
        <v>1</v>
      </c>
      <c r="BL1170" t="s">
        <v>69</v>
      </c>
      <c r="BM1170">
        <v>0.108</v>
      </c>
      <c r="BN1170">
        <v>0.32200000000000001</v>
      </c>
    </row>
    <row r="1171" spans="2:66">
      <c r="B1171">
        <v>1889</v>
      </c>
      <c r="C1171">
        <v>27</v>
      </c>
      <c r="D1171">
        <v>0</v>
      </c>
      <c r="E1171">
        <v>6</v>
      </c>
      <c r="F1171">
        <v>1</v>
      </c>
      <c r="J1171">
        <v>0</v>
      </c>
      <c r="K1171">
        <v>0</v>
      </c>
      <c r="L1171">
        <v>0</v>
      </c>
      <c r="M1171" t="s">
        <v>25022</v>
      </c>
      <c r="N1171">
        <v>3809</v>
      </c>
      <c r="O1171" t="s">
        <v>22320</v>
      </c>
      <c r="P1171" t="s">
        <v>62</v>
      </c>
      <c r="Q1171">
        <v>3775385</v>
      </c>
      <c r="R1171">
        <v>3775522</v>
      </c>
      <c r="S1171" t="s">
        <v>22321</v>
      </c>
      <c r="T1171">
        <v>46</v>
      </c>
      <c r="U1171" t="s">
        <v>265</v>
      </c>
      <c r="V1171">
        <v>43</v>
      </c>
      <c r="W1171" t="str">
        <f>HYPERLINK("Gene3809-zp_tree_all.dnd", "Gene3809-tree")</f>
        <v>Gene3809-tree</v>
      </c>
      <c r="X1171">
        <v>0</v>
      </c>
      <c r="Y1171">
        <v>6</v>
      </c>
      <c r="Z1171">
        <v>0</v>
      </c>
      <c r="AA1171">
        <v>6</v>
      </c>
      <c r="AB1171">
        <v>1</v>
      </c>
      <c r="AC1171" t="s">
        <v>62</v>
      </c>
      <c r="AD1171" t="s">
        <v>90</v>
      </c>
      <c r="AE1171" t="s">
        <v>62</v>
      </c>
      <c r="AF1171" t="s">
        <v>62</v>
      </c>
      <c r="AG1171">
        <v>0</v>
      </c>
      <c r="AH1171">
        <v>0</v>
      </c>
      <c r="AI1171">
        <v>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5</v>
      </c>
      <c r="AT1171">
        <v>0</v>
      </c>
      <c r="AU1171">
        <v>4</v>
      </c>
      <c r="AV1171">
        <v>1</v>
      </c>
      <c r="AW1171">
        <v>0</v>
      </c>
      <c r="AX1171">
        <v>4</v>
      </c>
      <c r="AY1171">
        <v>0</v>
      </c>
      <c r="AZ1171">
        <v>1</v>
      </c>
      <c r="BA1171" t="s">
        <v>193</v>
      </c>
      <c r="BB1171" t="s">
        <v>193</v>
      </c>
      <c r="BC1171">
        <v>0</v>
      </c>
      <c r="BD1171" t="s">
        <v>65</v>
      </c>
      <c r="BE1171">
        <v>0</v>
      </c>
      <c r="BF1171">
        <v>5</v>
      </c>
      <c r="BG1171" t="s">
        <v>22322</v>
      </c>
      <c r="BH1171" t="s">
        <v>193</v>
      </c>
      <c r="BI1171" t="s">
        <v>22323</v>
      </c>
      <c r="BJ1171" t="s">
        <v>1346</v>
      </c>
      <c r="BK1171">
        <v>1</v>
      </c>
      <c r="BL1171" t="s">
        <v>69</v>
      </c>
      <c r="BM1171">
        <v>-0.114</v>
      </c>
      <c r="BN1171">
        <v>-0.76700000000000002</v>
      </c>
    </row>
    <row r="1172" spans="2:66">
      <c r="B1172">
        <v>1890</v>
      </c>
      <c r="C1172">
        <v>3</v>
      </c>
      <c r="D1172">
        <v>0</v>
      </c>
      <c r="E1172">
        <v>13</v>
      </c>
      <c r="F1172">
        <v>2</v>
      </c>
      <c r="J1172">
        <v>0</v>
      </c>
      <c r="K1172">
        <v>5</v>
      </c>
      <c r="L1172">
        <v>0</v>
      </c>
      <c r="M1172" t="s">
        <v>25022</v>
      </c>
      <c r="N1172">
        <v>3810</v>
      </c>
      <c r="O1172" t="s">
        <v>22324</v>
      </c>
      <c r="P1172" t="s">
        <v>62</v>
      </c>
      <c r="Q1172">
        <v>3776725</v>
      </c>
      <c r="R1172">
        <v>3777753</v>
      </c>
      <c r="S1172" t="s">
        <v>22325</v>
      </c>
      <c r="T1172">
        <v>343</v>
      </c>
      <c r="U1172" t="s">
        <v>108</v>
      </c>
      <c r="V1172">
        <v>44</v>
      </c>
      <c r="W1172" t="str">
        <f>HYPERLINK("Gene3810-zp_tree_all.dnd", "Gene3810-tree")</f>
        <v>Gene3810-tree</v>
      </c>
      <c r="X1172">
        <v>7</v>
      </c>
      <c r="Y1172">
        <v>9</v>
      </c>
      <c r="Z1172">
        <v>7</v>
      </c>
      <c r="AA1172">
        <v>9</v>
      </c>
      <c r="AB1172">
        <v>0.5625</v>
      </c>
      <c r="AC1172" t="s">
        <v>152</v>
      </c>
      <c r="AD1172" t="s">
        <v>135</v>
      </c>
      <c r="AE1172" t="s">
        <v>62</v>
      </c>
      <c r="AF1172" t="s">
        <v>62</v>
      </c>
      <c r="AG1172">
        <v>2</v>
      </c>
      <c r="AH1172">
        <v>5</v>
      </c>
      <c r="AI1172">
        <v>12</v>
      </c>
      <c r="AJ1172">
        <v>0.29411999999999999</v>
      </c>
      <c r="AK1172">
        <v>0</v>
      </c>
      <c r="AL1172">
        <v>0</v>
      </c>
      <c r="AM1172">
        <v>0</v>
      </c>
      <c r="AN1172">
        <v>2</v>
      </c>
      <c r="AO1172">
        <v>0</v>
      </c>
      <c r="AP1172">
        <v>0</v>
      </c>
      <c r="AQ1172">
        <v>0</v>
      </c>
      <c r="AR1172">
        <v>0</v>
      </c>
      <c r="AS1172">
        <v>10</v>
      </c>
      <c r="AT1172">
        <v>0</v>
      </c>
      <c r="AU1172">
        <v>14</v>
      </c>
      <c r="AV1172">
        <v>8</v>
      </c>
      <c r="AW1172">
        <v>19</v>
      </c>
      <c r="AX1172">
        <v>10</v>
      </c>
      <c r="AY1172">
        <v>20</v>
      </c>
      <c r="AZ1172">
        <v>7</v>
      </c>
      <c r="BA1172" t="s">
        <v>22326</v>
      </c>
      <c r="BB1172" t="s">
        <v>22327</v>
      </c>
      <c r="BC1172">
        <v>0.61799999999999999</v>
      </c>
      <c r="BD1172" t="s">
        <v>65</v>
      </c>
      <c r="BE1172">
        <v>39</v>
      </c>
      <c r="BF1172">
        <v>17</v>
      </c>
      <c r="BG1172" t="s">
        <v>22328</v>
      </c>
      <c r="BH1172" t="s">
        <v>22329</v>
      </c>
      <c r="BI1172" t="s">
        <v>22330</v>
      </c>
      <c r="BJ1172">
        <v>0.13533000000000001</v>
      </c>
      <c r="BK1172">
        <v>1</v>
      </c>
      <c r="BL1172" t="s">
        <v>69</v>
      </c>
      <c r="BM1172">
        <v>-0.313</v>
      </c>
      <c r="BN1172">
        <v>-0.25600000000000001</v>
      </c>
    </row>
    <row r="1173" spans="2:66">
      <c r="B1173">
        <v>1891</v>
      </c>
      <c r="C1173">
        <v>2</v>
      </c>
      <c r="D1173">
        <v>5</v>
      </c>
      <c r="E1173">
        <v>3</v>
      </c>
      <c r="F1173">
        <v>0</v>
      </c>
      <c r="J1173">
        <v>0</v>
      </c>
      <c r="K1173">
        <v>3</v>
      </c>
      <c r="L1173">
        <v>0</v>
      </c>
      <c r="M1173" t="s">
        <v>25022</v>
      </c>
      <c r="N1173">
        <v>3811</v>
      </c>
      <c r="O1173" t="s">
        <v>22331</v>
      </c>
      <c r="P1173" t="s">
        <v>62</v>
      </c>
      <c r="Q1173">
        <v>3777952</v>
      </c>
      <c r="R1173">
        <v>3779259</v>
      </c>
      <c r="S1173" t="s">
        <v>22332</v>
      </c>
      <c r="T1173">
        <v>436</v>
      </c>
      <c r="U1173" t="s">
        <v>59</v>
      </c>
      <c r="V1173">
        <v>49</v>
      </c>
      <c r="W1173" t="str">
        <f>HYPERLINK("Gene3811-zp_tree_all.dnd", "Gene3811-tree")</f>
        <v>Gene3811-tree</v>
      </c>
      <c r="X1173">
        <v>14</v>
      </c>
      <c r="Y1173">
        <v>3</v>
      </c>
      <c r="Z1173">
        <v>14</v>
      </c>
      <c r="AA1173">
        <v>3</v>
      </c>
      <c r="AB1173">
        <v>0.17646999999999999</v>
      </c>
      <c r="AC1173" t="s">
        <v>543</v>
      </c>
      <c r="AD1173" t="s">
        <v>324</v>
      </c>
      <c r="AE1173" t="s">
        <v>62</v>
      </c>
      <c r="AF1173" t="s">
        <v>62</v>
      </c>
      <c r="AG1173">
        <v>1</v>
      </c>
      <c r="AH1173">
        <v>3</v>
      </c>
      <c r="AI1173">
        <v>5</v>
      </c>
      <c r="AJ1173">
        <v>0.375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2</v>
      </c>
      <c r="AQ1173">
        <v>0</v>
      </c>
      <c r="AR1173">
        <v>2</v>
      </c>
      <c r="AS1173">
        <v>3</v>
      </c>
      <c r="AT1173">
        <v>0.4</v>
      </c>
      <c r="AU1173">
        <v>13</v>
      </c>
      <c r="AV1173">
        <v>11</v>
      </c>
      <c r="AW1173">
        <v>30</v>
      </c>
      <c r="AX1173">
        <v>5</v>
      </c>
      <c r="AY1173">
        <v>50</v>
      </c>
      <c r="AZ1173">
        <v>3</v>
      </c>
      <c r="BA1173" t="s">
        <v>22333</v>
      </c>
      <c r="BB1173" t="s">
        <v>22334</v>
      </c>
      <c r="BC1173">
        <v>0.45900000000000002</v>
      </c>
      <c r="BD1173" t="s">
        <v>65</v>
      </c>
      <c r="BE1173">
        <v>80</v>
      </c>
      <c r="BF1173">
        <v>8</v>
      </c>
      <c r="BG1173" t="s">
        <v>22335</v>
      </c>
      <c r="BH1173" t="s">
        <v>22336</v>
      </c>
      <c r="BI1173" t="s">
        <v>22337</v>
      </c>
      <c r="BJ1173">
        <v>2.462E-2</v>
      </c>
      <c r="BK1173">
        <v>1</v>
      </c>
      <c r="BL1173" t="s">
        <v>69</v>
      </c>
      <c r="BM1173">
        <v>-1.391</v>
      </c>
      <c r="BN1173">
        <v>-0.9</v>
      </c>
    </row>
    <row r="1174" spans="2:66">
      <c r="B1174">
        <v>1893</v>
      </c>
      <c r="C1174">
        <v>40</v>
      </c>
      <c r="D1174">
        <v>0</v>
      </c>
      <c r="E1174">
        <v>8</v>
      </c>
      <c r="F1174">
        <v>3</v>
      </c>
      <c r="J1174">
        <v>0</v>
      </c>
      <c r="K1174">
        <v>2</v>
      </c>
      <c r="L1174">
        <v>10</v>
      </c>
      <c r="M1174" t="s">
        <v>25022</v>
      </c>
      <c r="N1174">
        <v>3812</v>
      </c>
      <c r="O1174" t="s">
        <v>22338</v>
      </c>
      <c r="P1174" t="s">
        <v>62</v>
      </c>
      <c r="Q1174">
        <v>3779296</v>
      </c>
      <c r="R1174">
        <v>3780033</v>
      </c>
      <c r="S1174" t="s">
        <v>116</v>
      </c>
      <c r="T1174">
        <v>246</v>
      </c>
      <c r="U1174" t="s">
        <v>59</v>
      </c>
      <c r="V1174">
        <v>49</v>
      </c>
      <c r="W1174" t="str">
        <f>HYPERLINK("Gene3812-zp_tree_all.dnd", "Gene3812-tree")</f>
        <v>Gene3812-tree</v>
      </c>
      <c r="X1174">
        <v>4</v>
      </c>
      <c r="Y1174">
        <v>30</v>
      </c>
      <c r="Z1174">
        <v>4</v>
      </c>
      <c r="AA1174">
        <v>11</v>
      </c>
      <c r="AB1174">
        <v>0.73333000000000004</v>
      </c>
      <c r="AC1174" t="s">
        <v>61</v>
      </c>
      <c r="AD1174" t="s">
        <v>89</v>
      </c>
      <c r="AE1174">
        <v>1.8859999999999999</v>
      </c>
      <c r="AF1174" t="s">
        <v>65</v>
      </c>
      <c r="AG1174">
        <v>6</v>
      </c>
      <c r="AH1174">
        <v>12</v>
      </c>
      <c r="AI1174">
        <v>24</v>
      </c>
      <c r="AJ1174">
        <v>0.33333000000000002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4</v>
      </c>
      <c r="AR1174">
        <v>4</v>
      </c>
      <c r="AS1174">
        <v>18</v>
      </c>
      <c r="AT1174">
        <v>0.18182000000000001</v>
      </c>
      <c r="AU1174">
        <v>11</v>
      </c>
      <c r="AV1174">
        <v>8</v>
      </c>
      <c r="AW1174">
        <v>9</v>
      </c>
      <c r="AX1174">
        <v>18</v>
      </c>
      <c r="AY1174">
        <v>22</v>
      </c>
      <c r="AZ1174">
        <v>20</v>
      </c>
      <c r="BA1174" t="s">
        <v>22339</v>
      </c>
      <c r="BB1174" t="s">
        <v>22340</v>
      </c>
      <c r="BC1174">
        <v>1.036</v>
      </c>
      <c r="BD1174" t="s">
        <v>65</v>
      </c>
      <c r="BE1174">
        <v>31</v>
      </c>
      <c r="BF1174">
        <v>38</v>
      </c>
      <c r="BG1174" t="s">
        <v>22341</v>
      </c>
      <c r="BH1174" t="s">
        <v>22342</v>
      </c>
      <c r="BI1174" t="s">
        <v>22343</v>
      </c>
      <c r="BJ1174">
        <v>0.22742999999999999</v>
      </c>
      <c r="BK1174">
        <v>1</v>
      </c>
      <c r="BL1174" t="s">
        <v>69</v>
      </c>
      <c r="BM1174">
        <v>-0.91200000000000003</v>
      </c>
      <c r="BN1174">
        <v>-0.115</v>
      </c>
    </row>
    <row r="1175" spans="2:66">
      <c r="B1175">
        <v>1894</v>
      </c>
      <c r="C1175">
        <v>464</v>
      </c>
      <c r="D1175">
        <v>0</v>
      </c>
      <c r="E1175">
        <v>14</v>
      </c>
      <c r="F1175">
        <v>6</v>
      </c>
      <c r="J1175">
        <v>0</v>
      </c>
      <c r="K1175">
        <v>0</v>
      </c>
      <c r="L1175">
        <v>0</v>
      </c>
      <c r="M1175" t="s">
        <v>25022</v>
      </c>
      <c r="N1175">
        <v>3813</v>
      </c>
      <c r="O1175" t="s">
        <v>22344</v>
      </c>
      <c r="P1175" t="s">
        <v>62</v>
      </c>
      <c r="Q1175">
        <v>3780165</v>
      </c>
      <c r="R1175">
        <v>3780392</v>
      </c>
      <c r="S1175" t="s">
        <v>116</v>
      </c>
      <c r="T1175">
        <v>76</v>
      </c>
      <c r="U1175" t="s">
        <v>289</v>
      </c>
      <c r="V1175">
        <v>46</v>
      </c>
      <c r="W1175" t="str">
        <f>HYPERLINK("Gene3813-zp_tree_all.dnd", "Gene3813-tree")</f>
        <v>Gene3813-tree</v>
      </c>
      <c r="X1175">
        <v>7</v>
      </c>
      <c r="Y1175">
        <v>4</v>
      </c>
      <c r="Z1175">
        <v>7</v>
      </c>
      <c r="AA1175">
        <v>4</v>
      </c>
      <c r="AB1175">
        <v>0.36364000000000002</v>
      </c>
      <c r="AC1175" t="s">
        <v>152</v>
      </c>
      <c r="AD1175" t="s">
        <v>61</v>
      </c>
      <c r="AE1175" t="s">
        <v>62</v>
      </c>
      <c r="AF1175" t="s">
        <v>62</v>
      </c>
      <c r="AG1175">
        <v>0</v>
      </c>
      <c r="AH1175">
        <v>0</v>
      </c>
      <c r="AI1175">
        <v>5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5</v>
      </c>
      <c r="AT1175">
        <v>0</v>
      </c>
      <c r="AU1175">
        <v>7</v>
      </c>
      <c r="AV1175">
        <v>4</v>
      </c>
      <c r="AW1175">
        <v>5</v>
      </c>
      <c r="AX1175">
        <v>4</v>
      </c>
      <c r="AY1175">
        <v>9</v>
      </c>
      <c r="AZ1175">
        <v>1</v>
      </c>
      <c r="BA1175" t="s">
        <v>22345</v>
      </c>
      <c r="BB1175" t="s">
        <v>22346</v>
      </c>
      <c r="BC1175">
        <v>1.069</v>
      </c>
      <c r="BD1175" t="s">
        <v>65</v>
      </c>
      <c r="BE1175">
        <v>14</v>
      </c>
      <c r="BF1175">
        <v>5</v>
      </c>
      <c r="BG1175" t="s">
        <v>22347</v>
      </c>
      <c r="BH1175" t="s">
        <v>22348</v>
      </c>
      <c r="BI1175" t="s">
        <v>22349</v>
      </c>
      <c r="BJ1175">
        <v>7.2989999999999999E-2</v>
      </c>
      <c r="BK1175">
        <v>1</v>
      </c>
      <c r="BL1175" t="s">
        <v>69</v>
      </c>
      <c r="BM1175">
        <v>-0.90500000000000003</v>
      </c>
      <c r="BN1175">
        <v>-0.42799999999999999</v>
      </c>
    </row>
    <row r="1176" spans="2:66">
      <c r="B1176">
        <v>1895</v>
      </c>
      <c r="C1176">
        <v>39</v>
      </c>
      <c r="D1176">
        <v>0</v>
      </c>
      <c r="E1176">
        <v>11</v>
      </c>
      <c r="F1176">
        <v>0</v>
      </c>
      <c r="J1176">
        <v>0</v>
      </c>
      <c r="K1176">
        <v>2</v>
      </c>
      <c r="L1176">
        <v>0</v>
      </c>
      <c r="M1176" t="s">
        <v>25022</v>
      </c>
      <c r="N1176">
        <v>3815</v>
      </c>
      <c r="O1176" t="s">
        <v>22356</v>
      </c>
      <c r="P1176" t="s">
        <v>62</v>
      </c>
      <c r="Q1176">
        <v>3781072</v>
      </c>
      <c r="R1176">
        <v>3781467</v>
      </c>
      <c r="S1176" t="s">
        <v>22357</v>
      </c>
      <c r="T1176">
        <v>132</v>
      </c>
      <c r="U1176" t="s">
        <v>59</v>
      </c>
      <c r="V1176">
        <v>49</v>
      </c>
      <c r="W1176" t="str">
        <f>HYPERLINK("Gene3815-zp_tree_all.dnd", "Gene3815-tree")</f>
        <v>Gene3815-tree</v>
      </c>
      <c r="X1176">
        <v>10</v>
      </c>
      <c r="Y1176">
        <v>2</v>
      </c>
      <c r="Z1176">
        <v>10</v>
      </c>
      <c r="AA1176">
        <v>2</v>
      </c>
      <c r="AB1176">
        <v>0.16667000000000001</v>
      </c>
      <c r="AC1176" t="s">
        <v>117</v>
      </c>
      <c r="AD1176" t="s">
        <v>81</v>
      </c>
      <c r="AE1176" t="s">
        <v>62</v>
      </c>
      <c r="AF1176" t="s">
        <v>62</v>
      </c>
      <c r="AG1176">
        <v>1</v>
      </c>
      <c r="AH1176">
        <v>2</v>
      </c>
      <c r="AI1176">
        <v>3</v>
      </c>
      <c r="AJ1176">
        <v>0.4</v>
      </c>
      <c r="AK1176">
        <v>0</v>
      </c>
      <c r="AL1176">
        <v>0</v>
      </c>
      <c r="AM1176">
        <v>0</v>
      </c>
      <c r="AN1176">
        <v>3</v>
      </c>
      <c r="AO1176">
        <v>0</v>
      </c>
      <c r="AP1176">
        <v>2</v>
      </c>
      <c r="AQ1176">
        <v>0</v>
      </c>
      <c r="AR1176">
        <v>2</v>
      </c>
      <c r="AS1176">
        <v>0</v>
      </c>
      <c r="AT1176">
        <v>1</v>
      </c>
      <c r="AU1176">
        <v>5</v>
      </c>
      <c r="AV1176">
        <v>7</v>
      </c>
      <c r="AW1176">
        <v>3</v>
      </c>
      <c r="AX1176">
        <v>2</v>
      </c>
      <c r="AY1176">
        <v>11</v>
      </c>
      <c r="AZ1176">
        <v>3</v>
      </c>
      <c r="BA1176" t="s">
        <v>22358</v>
      </c>
      <c r="BB1176" t="s">
        <v>22359</v>
      </c>
      <c r="BC1176">
        <v>0.53400000000000003</v>
      </c>
      <c r="BD1176" t="s">
        <v>65</v>
      </c>
      <c r="BE1176">
        <v>14</v>
      </c>
      <c r="BF1176">
        <v>5</v>
      </c>
      <c r="BG1176" t="s">
        <v>22360</v>
      </c>
      <c r="BH1176" t="s">
        <v>22361</v>
      </c>
      <c r="BI1176" t="s">
        <v>22362</v>
      </c>
      <c r="BJ1176">
        <v>0.10587000000000001</v>
      </c>
      <c r="BK1176">
        <v>1</v>
      </c>
      <c r="BL1176" t="s">
        <v>69</v>
      </c>
      <c r="BM1176">
        <v>3.2000000000000001E-2</v>
      </c>
      <c r="BN1176">
        <v>1.2050000000000001</v>
      </c>
    </row>
    <row r="1177" spans="2:66">
      <c r="B1177">
        <v>1896</v>
      </c>
      <c r="C1177">
        <v>92</v>
      </c>
      <c r="D1177">
        <v>0</v>
      </c>
      <c r="E1177">
        <v>4</v>
      </c>
      <c r="F1177">
        <v>2</v>
      </c>
      <c r="J1177">
        <v>0</v>
      </c>
      <c r="K1177">
        <v>0</v>
      </c>
      <c r="L1177">
        <v>0</v>
      </c>
      <c r="M1177" t="s">
        <v>25022</v>
      </c>
      <c r="N1177">
        <v>3816</v>
      </c>
      <c r="O1177" t="s">
        <v>22363</v>
      </c>
      <c r="P1177" t="s">
        <v>62</v>
      </c>
      <c r="Q1177">
        <v>3781494</v>
      </c>
      <c r="R1177">
        <v>3782912</v>
      </c>
      <c r="S1177" t="s">
        <v>22364</v>
      </c>
      <c r="T1177">
        <v>473</v>
      </c>
      <c r="U1177" t="s">
        <v>59</v>
      </c>
      <c r="V1177">
        <v>49</v>
      </c>
      <c r="W1177" t="str">
        <f>HYPERLINK("Gene3816-zp_tree_all.dnd", "Gene3816-tree")</f>
        <v>Gene3816-tree</v>
      </c>
      <c r="X1177">
        <v>17</v>
      </c>
      <c r="Y1177">
        <v>2</v>
      </c>
      <c r="Z1177">
        <v>17</v>
      </c>
      <c r="AA1177">
        <v>2</v>
      </c>
      <c r="AB1177">
        <v>0.10526000000000001</v>
      </c>
      <c r="AC1177" t="s">
        <v>266</v>
      </c>
      <c r="AD1177" t="s">
        <v>81</v>
      </c>
      <c r="AE1177" t="s">
        <v>62</v>
      </c>
      <c r="AF1177" t="s">
        <v>62</v>
      </c>
      <c r="AG1177">
        <v>0</v>
      </c>
      <c r="AH1177">
        <v>0</v>
      </c>
      <c r="AI1177">
        <v>6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2</v>
      </c>
      <c r="AT1177">
        <v>0</v>
      </c>
      <c r="AU1177">
        <v>15</v>
      </c>
      <c r="AV1177">
        <v>12</v>
      </c>
      <c r="AW1177">
        <v>45</v>
      </c>
      <c r="AX1177">
        <v>2</v>
      </c>
      <c r="AY1177">
        <v>69</v>
      </c>
      <c r="AZ1177">
        <v>4</v>
      </c>
      <c r="BA1177" t="s">
        <v>22365</v>
      </c>
      <c r="BB1177" t="s">
        <v>22366</v>
      </c>
      <c r="BC1177">
        <v>7.4999999999999997E-2</v>
      </c>
      <c r="BD1177" t="s">
        <v>65</v>
      </c>
      <c r="BE1177">
        <v>114</v>
      </c>
      <c r="BF1177">
        <v>6</v>
      </c>
      <c r="BG1177" t="s">
        <v>22367</v>
      </c>
      <c r="BH1177" t="s">
        <v>22368</v>
      </c>
      <c r="BI1177" t="s">
        <v>22369</v>
      </c>
      <c r="BJ1177">
        <v>2.087E-2</v>
      </c>
      <c r="BK1177">
        <v>1</v>
      </c>
      <c r="BL1177" t="s">
        <v>69</v>
      </c>
      <c r="BM1177">
        <v>-1.179</v>
      </c>
      <c r="BN1177">
        <v>-1.0529999999999999</v>
      </c>
    </row>
    <row r="1178" spans="2:66">
      <c r="B1178">
        <v>1898</v>
      </c>
      <c r="C1178">
        <v>87</v>
      </c>
      <c r="D1178">
        <v>0</v>
      </c>
      <c r="E1178">
        <v>3</v>
      </c>
      <c r="F1178">
        <v>0</v>
      </c>
      <c r="J1178">
        <v>0</v>
      </c>
      <c r="K1178">
        <v>0</v>
      </c>
      <c r="L1178">
        <v>0</v>
      </c>
      <c r="M1178" t="s">
        <v>25022</v>
      </c>
      <c r="N1178">
        <v>3817</v>
      </c>
      <c r="O1178" t="s">
        <v>22370</v>
      </c>
      <c r="P1178" t="s">
        <v>62</v>
      </c>
      <c r="Q1178">
        <v>3782941</v>
      </c>
      <c r="R1178">
        <v>3783801</v>
      </c>
      <c r="S1178" t="s">
        <v>22371</v>
      </c>
      <c r="T1178">
        <v>287</v>
      </c>
      <c r="U1178" t="s">
        <v>59</v>
      </c>
      <c r="V1178">
        <v>49</v>
      </c>
      <c r="W1178" t="str">
        <f>HYPERLINK("Gene3817-zp_tree_all.dnd", "Gene3817-tree")</f>
        <v>Gene3817-tree</v>
      </c>
      <c r="X1178">
        <v>13</v>
      </c>
      <c r="Y1178">
        <v>3</v>
      </c>
      <c r="Z1178">
        <v>13</v>
      </c>
      <c r="AA1178">
        <v>3</v>
      </c>
      <c r="AB1178">
        <v>0.1875</v>
      </c>
      <c r="AC1178" t="s">
        <v>507</v>
      </c>
      <c r="AD1178" t="s">
        <v>324</v>
      </c>
      <c r="AE1178" t="s">
        <v>62</v>
      </c>
      <c r="AF1178" t="s">
        <v>62</v>
      </c>
      <c r="AG1178">
        <v>0</v>
      </c>
      <c r="AH1178">
        <v>0</v>
      </c>
      <c r="AI1178">
        <v>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3</v>
      </c>
      <c r="AT1178">
        <v>0</v>
      </c>
      <c r="AU1178">
        <v>11</v>
      </c>
      <c r="AV1178">
        <v>10</v>
      </c>
      <c r="AW1178">
        <v>19</v>
      </c>
      <c r="AX1178">
        <v>3</v>
      </c>
      <c r="AY1178">
        <v>44</v>
      </c>
      <c r="AZ1178">
        <v>2</v>
      </c>
      <c r="BA1178" t="s">
        <v>22372</v>
      </c>
      <c r="BB1178" t="s">
        <v>22373</v>
      </c>
      <c r="BC1178">
        <v>0.55300000000000005</v>
      </c>
      <c r="BD1178" t="s">
        <v>65</v>
      </c>
      <c r="BE1178">
        <v>63</v>
      </c>
      <c r="BF1178">
        <v>5</v>
      </c>
      <c r="BG1178" t="s">
        <v>22374</v>
      </c>
      <c r="BH1178" t="s">
        <v>22375</v>
      </c>
      <c r="BI1178" t="s">
        <v>22376</v>
      </c>
      <c r="BJ1178">
        <v>2.3779999999999999E-2</v>
      </c>
      <c r="BK1178">
        <v>1</v>
      </c>
      <c r="BL1178" t="s">
        <v>69</v>
      </c>
      <c r="BM1178">
        <v>-1.1020000000000001</v>
      </c>
      <c r="BN1178">
        <v>-0.26</v>
      </c>
    </row>
    <row r="1179" spans="2:66">
      <c r="B1179">
        <v>1899</v>
      </c>
      <c r="C1179">
        <v>10</v>
      </c>
      <c r="D1179">
        <v>4</v>
      </c>
      <c r="E1179">
        <v>65</v>
      </c>
      <c r="F1179">
        <v>6</v>
      </c>
      <c r="J1179">
        <v>0</v>
      </c>
      <c r="K1179">
        <v>8</v>
      </c>
      <c r="L1179">
        <v>0</v>
      </c>
      <c r="M1179" t="s">
        <v>25022</v>
      </c>
      <c r="N1179">
        <v>3818</v>
      </c>
      <c r="O1179" t="s">
        <v>22377</v>
      </c>
      <c r="P1179" t="s">
        <v>62</v>
      </c>
      <c r="Q1179">
        <v>3783881</v>
      </c>
      <c r="R1179">
        <v>3785386</v>
      </c>
      <c r="S1179" t="s">
        <v>22378</v>
      </c>
      <c r="T1179">
        <v>502</v>
      </c>
      <c r="U1179" t="s">
        <v>59</v>
      </c>
      <c r="V1179">
        <v>49</v>
      </c>
      <c r="W1179" t="str">
        <f>HYPERLINK("Gene3818-zp_tree_all.dnd", "Gene3818-tree")</f>
        <v>Gene3818-tree</v>
      </c>
      <c r="X1179">
        <v>9</v>
      </c>
      <c r="Y1179">
        <v>10</v>
      </c>
      <c r="Z1179">
        <v>9</v>
      </c>
      <c r="AA1179">
        <v>10</v>
      </c>
      <c r="AB1179">
        <v>0.52632000000000001</v>
      </c>
      <c r="AC1179" t="s">
        <v>135</v>
      </c>
      <c r="AD1179" t="s">
        <v>117</v>
      </c>
      <c r="AE1179" t="s">
        <v>62</v>
      </c>
      <c r="AF1179" t="s">
        <v>62</v>
      </c>
      <c r="AG1179">
        <v>2</v>
      </c>
      <c r="AH1179">
        <v>8</v>
      </c>
      <c r="AI1179">
        <v>7</v>
      </c>
      <c r="AJ1179">
        <v>0.53332999999999997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6</v>
      </c>
      <c r="AQ1179">
        <v>0</v>
      </c>
      <c r="AR1179">
        <v>6</v>
      </c>
      <c r="AS1179">
        <v>5</v>
      </c>
      <c r="AT1179">
        <v>0.54544999999999999</v>
      </c>
      <c r="AU1179">
        <v>17</v>
      </c>
      <c r="AV1179">
        <v>15</v>
      </c>
      <c r="AW1179">
        <v>49</v>
      </c>
      <c r="AX1179">
        <v>10</v>
      </c>
      <c r="AY1179">
        <v>64</v>
      </c>
      <c r="AZ1179">
        <v>5</v>
      </c>
      <c r="BA1179" t="s">
        <v>22379</v>
      </c>
      <c r="BB1179" t="s">
        <v>22380</v>
      </c>
      <c r="BC1179">
        <v>0.88400000000000001</v>
      </c>
      <c r="BD1179" t="s">
        <v>65</v>
      </c>
      <c r="BE1179">
        <v>113</v>
      </c>
      <c r="BF1179">
        <v>15</v>
      </c>
      <c r="BG1179" t="s">
        <v>22381</v>
      </c>
      <c r="BH1179" t="s">
        <v>22382</v>
      </c>
      <c r="BI1179" t="s">
        <v>22383</v>
      </c>
      <c r="BJ1179">
        <v>2.912E-2</v>
      </c>
      <c r="BK1179">
        <v>1</v>
      </c>
      <c r="BL1179" t="s">
        <v>69</v>
      </c>
      <c r="BM1179">
        <v>-0.54600000000000004</v>
      </c>
      <c r="BN1179">
        <v>-0.44600000000000001</v>
      </c>
    </row>
    <row r="1180" spans="2:66">
      <c r="B1180">
        <v>1900</v>
      </c>
      <c r="C1180">
        <v>301</v>
      </c>
      <c r="D1180">
        <v>0</v>
      </c>
      <c r="E1180">
        <v>179</v>
      </c>
      <c r="F1180">
        <v>16</v>
      </c>
      <c r="J1180">
        <v>0</v>
      </c>
      <c r="K1180">
        <v>5</v>
      </c>
      <c r="L1180">
        <v>0</v>
      </c>
      <c r="M1180" t="s">
        <v>25022</v>
      </c>
      <c r="N1180">
        <v>3819</v>
      </c>
      <c r="O1180" t="s">
        <v>22384</v>
      </c>
      <c r="P1180" t="s">
        <v>62</v>
      </c>
      <c r="Q1180">
        <v>3785406</v>
      </c>
      <c r="R1180">
        <v>3785948</v>
      </c>
      <c r="S1180" t="s">
        <v>22385</v>
      </c>
      <c r="T1180">
        <v>181</v>
      </c>
      <c r="U1180" t="s">
        <v>572</v>
      </c>
      <c r="V1180">
        <v>48</v>
      </c>
      <c r="W1180" t="str">
        <f>HYPERLINK("Gene3819-zp_tree_all.dnd", "Gene3819-tree")</f>
        <v>Gene3819-tree</v>
      </c>
      <c r="X1180">
        <v>8</v>
      </c>
      <c r="Y1180">
        <v>6</v>
      </c>
      <c r="Z1180">
        <v>8</v>
      </c>
      <c r="AA1180">
        <v>6</v>
      </c>
      <c r="AB1180">
        <v>0.42857000000000001</v>
      </c>
      <c r="AC1180" t="s">
        <v>136</v>
      </c>
      <c r="AD1180" t="s">
        <v>90</v>
      </c>
      <c r="AE1180" t="s">
        <v>62</v>
      </c>
      <c r="AF1180" t="s">
        <v>62</v>
      </c>
      <c r="AG1180">
        <v>2</v>
      </c>
      <c r="AH1180">
        <v>5</v>
      </c>
      <c r="AI1180">
        <v>13</v>
      </c>
      <c r="AJ1180">
        <v>0.27778000000000003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2</v>
      </c>
      <c r="AQ1180">
        <v>0</v>
      </c>
      <c r="AR1180">
        <v>2</v>
      </c>
      <c r="AS1180">
        <v>8</v>
      </c>
      <c r="AT1180">
        <v>0.2</v>
      </c>
      <c r="AU1180">
        <v>11</v>
      </c>
      <c r="AV1180">
        <v>7</v>
      </c>
      <c r="AW1180">
        <v>21</v>
      </c>
      <c r="AX1180">
        <v>9</v>
      </c>
      <c r="AY1180">
        <v>20</v>
      </c>
      <c r="AZ1180">
        <v>9</v>
      </c>
      <c r="BA1180" t="s">
        <v>22386</v>
      </c>
      <c r="BB1180" t="s">
        <v>22387</v>
      </c>
      <c r="BC1180">
        <v>4.3999999999999997E-2</v>
      </c>
      <c r="BD1180" t="s">
        <v>65</v>
      </c>
      <c r="BE1180">
        <v>41</v>
      </c>
      <c r="BF1180">
        <v>18</v>
      </c>
      <c r="BG1180" t="s">
        <v>22388</v>
      </c>
      <c r="BH1180" t="s">
        <v>22389</v>
      </c>
      <c r="BI1180" t="s">
        <v>22390</v>
      </c>
      <c r="BJ1180">
        <v>0.11752</v>
      </c>
      <c r="BK1180">
        <v>1</v>
      </c>
      <c r="BL1180" t="s">
        <v>69</v>
      </c>
      <c r="BM1180">
        <v>-0.61899999999999999</v>
      </c>
      <c r="BN1180">
        <v>-0.59699999999999998</v>
      </c>
    </row>
    <row r="1181" spans="2:66">
      <c r="B1181">
        <v>1901</v>
      </c>
      <c r="C1181">
        <v>192</v>
      </c>
      <c r="D1181">
        <v>11</v>
      </c>
      <c r="E1181">
        <v>183</v>
      </c>
      <c r="F1181">
        <v>26</v>
      </c>
      <c r="J1181">
        <v>0</v>
      </c>
      <c r="K1181">
        <v>0</v>
      </c>
      <c r="L1181">
        <v>0</v>
      </c>
      <c r="M1181" t="s">
        <v>25022</v>
      </c>
      <c r="N1181">
        <v>3820</v>
      </c>
      <c r="O1181" t="s">
        <v>22391</v>
      </c>
      <c r="P1181" t="s">
        <v>62</v>
      </c>
      <c r="Q1181">
        <v>3785948</v>
      </c>
      <c r="R1181">
        <v>3786457</v>
      </c>
      <c r="S1181" t="s">
        <v>22392</v>
      </c>
      <c r="T1181">
        <v>170</v>
      </c>
      <c r="U1181" t="s">
        <v>59</v>
      </c>
      <c r="V1181">
        <v>49</v>
      </c>
      <c r="W1181" t="str">
        <f>HYPERLINK("Gene3820-zp_tree_all.dnd", "Gene3820-tree")</f>
        <v>Gene3820-tree</v>
      </c>
      <c r="X1181">
        <v>9</v>
      </c>
      <c r="Y1181">
        <v>1</v>
      </c>
      <c r="Z1181">
        <v>9</v>
      </c>
      <c r="AA1181">
        <v>1</v>
      </c>
      <c r="AB1181">
        <v>0.1</v>
      </c>
      <c r="AC1181" t="s">
        <v>135</v>
      </c>
      <c r="AD1181" t="s">
        <v>175</v>
      </c>
      <c r="AE1181" t="s">
        <v>62</v>
      </c>
      <c r="AF1181" t="s">
        <v>62</v>
      </c>
      <c r="AG1181">
        <v>0</v>
      </c>
      <c r="AH1181">
        <v>0</v>
      </c>
      <c r="AI1181">
        <v>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7</v>
      </c>
      <c r="AV1181">
        <v>3</v>
      </c>
      <c r="AW1181">
        <v>8</v>
      </c>
      <c r="AX1181">
        <v>0</v>
      </c>
      <c r="AY1181">
        <v>1</v>
      </c>
      <c r="AZ1181">
        <v>2</v>
      </c>
      <c r="BA1181" t="s">
        <v>193</v>
      </c>
      <c r="BB1181" t="s">
        <v>22393</v>
      </c>
      <c r="BC1181">
        <v>0.69299999999999995</v>
      </c>
      <c r="BD1181" t="s">
        <v>65</v>
      </c>
      <c r="BE1181">
        <v>9</v>
      </c>
      <c r="BF1181">
        <v>2</v>
      </c>
      <c r="BG1181" t="s">
        <v>22394</v>
      </c>
      <c r="BH1181" t="s">
        <v>19412</v>
      </c>
      <c r="BI1181" t="s">
        <v>22395</v>
      </c>
      <c r="BJ1181">
        <v>0.13211000000000001</v>
      </c>
      <c r="BK1181">
        <v>1</v>
      </c>
      <c r="BL1181" t="s">
        <v>69</v>
      </c>
      <c r="BM1181">
        <v>-0.69799999999999995</v>
      </c>
      <c r="BN1181">
        <v>-0.84699999999999998</v>
      </c>
    </row>
    <row r="1182" spans="2:66">
      <c r="B1182">
        <v>1902</v>
      </c>
      <c r="C1182">
        <v>458</v>
      </c>
      <c r="D1182">
        <v>2</v>
      </c>
      <c r="E1182">
        <v>150</v>
      </c>
      <c r="F1182">
        <v>40</v>
      </c>
      <c r="J1182">
        <v>0</v>
      </c>
      <c r="K1182">
        <v>0</v>
      </c>
      <c r="L1182">
        <v>0</v>
      </c>
      <c r="M1182" t="s">
        <v>25022</v>
      </c>
      <c r="N1182">
        <v>3821</v>
      </c>
      <c r="O1182" t="s">
        <v>22396</v>
      </c>
      <c r="P1182" t="s">
        <v>62</v>
      </c>
      <c r="Q1182">
        <v>3786623</v>
      </c>
      <c r="R1182">
        <v>3786832</v>
      </c>
      <c r="S1182" t="s">
        <v>22397</v>
      </c>
      <c r="T1182">
        <v>70</v>
      </c>
      <c r="U1182" t="s">
        <v>59</v>
      </c>
      <c r="V1182">
        <v>49</v>
      </c>
      <c r="W1182" t="str">
        <f>HYPERLINK("Gene3821-zp_tree_all.dnd", "Gene3821-tree")</f>
        <v>Gene3821-tree</v>
      </c>
      <c r="X1182">
        <v>4</v>
      </c>
      <c r="Y1182">
        <v>0</v>
      </c>
      <c r="Z1182">
        <v>4</v>
      </c>
      <c r="AA1182">
        <v>0</v>
      </c>
      <c r="AB1182">
        <v>0</v>
      </c>
      <c r="AC1182" t="s">
        <v>61</v>
      </c>
      <c r="AD1182" t="s">
        <v>62</v>
      </c>
      <c r="AE1182" t="s">
        <v>62</v>
      </c>
      <c r="AF1182" t="s">
        <v>62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2</v>
      </c>
      <c r="AV1182">
        <v>1</v>
      </c>
      <c r="AW1182">
        <v>2</v>
      </c>
      <c r="AX1182">
        <v>0</v>
      </c>
      <c r="AY1182">
        <v>1</v>
      </c>
      <c r="AZ1182">
        <v>0</v>
      </c>
      <c r="BA1182" t="s">
        <v>193</v>
      </c>
      <c r="BB1182" t="s">
        <v>193</v>
      </c>
      <c r="BC1182">
        <v>0</v>
      </c>
      <c r="BD1182" t="s">
        <v>65</v>
      </c>
      <c r="BE1182">
        <v>3</v>
      </c>
      <c r="BF1182">
        <v>0</v>
      </c>
      <c r="BG1182" t="s">
        <v>22398</v>
      </c>
      <c r="BH1182" t="s">
        <v>22399</v>
      </c>
      <c r="BI1182" t="s">
        <v>193</v>
      </c>
      <c r="BJ1182">
        <v>0</v>
      </c>
      <c r="BK1182">
        <v>1</v>
      </c>
      <c r="BL1182" t="s">
        <v>69</v>
      </c>
      <c r="BM1182">
        <v>-1.1259999999999999</v>
      </c>
      <c r="BN1182">
        <v>-0.40799999999999997</v>
      </c>
    </row>
    <row r="1183" spans="2:66">
      <c r="B1183">
        <v>1903</v>
      </c>
      <c r="C1183">
        <v>678</v>
      </c>
      <c r="D1183">
        <v>0</v>
      </c>
      <c r="E1183">
        <v>177</v>
      </c>
      <c r="F1183">
        <v>21</v>
      </c>
      <c r="J1183">
        <v>0</v>
      </c>
      <c r="K1183">
        <v>0</v>
      </c>
      <c r="L1183">
        <v>0</v>
      </c>
      <c r="M1183" t="s">
        <v>25022</v>
      </c>
      <c r="N1183">
        <v>3822</v>
      </c>
      <c r="O1183" t="s">
        <v>22400</v>
      </c>
      <c r="P1183" t="s">
        <v>62</v>
      </c>
      <c r="Q1183">
        <v>3786881</v>
      </c>
      <c r="R1183">
        <v>3787612</v>
      </c>
      <c r="S1183" t="s">
        <v>22401</v>
      </c>
      <c r="T1183">
        <v>244</v>
      </c>
      <c r="U1183" t="s">
        <v>59</v>
      </c>
      <c r="V1183">
        <v>49</v>
      </c>
      <c r="W1183" t="str">
        <f>HYPERLINK("Gene3822-zp_tree_all.dnd", "Gene3822-tree")</f>
        <v>Gene3822-tree</v>
      </c>
      <c r="X1183">
        <v>9</v>
      </c>
      <c r="Y1183">
        <v>2</v>
      </c>
      <c r="Z1183">
        <v>9</v>
      </c>
      <c r="AA1183">
        <v>2</v>
      </c>
      <c r="AB1183">
        <v>0.18182000000000001</v>
      </c>
      <c r="AC1183" t="s">
        <v>135</v>
      </c>
      <c r="AD1183" t="s">
        <v>81</v>
      </c>
      <c r="AE1183" t="s">
        <v>62</v>
      </c>
      <c r="AF1183" t="s">
        <v>62</v>
      </c>
      <c r="AG1183">
        <v>0</v>
      </c>
      <c r="AH1183">
        <v>0</v>
      </c>
      <c r="AI1183">
        <v>6</v>
      </c>
      <c r="AJ1183">
        <v>0</v>
      </c>
      <c r="AK1183">
        <v>0</v>
      </c>
      <c r="AL1183">
        <v>0</v>
      </c>
      <c r="AM1183">
        <v>0</v>
      </c>
      <c r="AN1183">
        <v>2</v>
      </c>
      <c r="AO1183">
        <v>0</v>
      </c>
      <c r="AP1183">
        <v>0</v>
      </c>
      <c r="AQ1183">
        <v>0</v>
      </c>
      <c r="AR1183">
        <v>0</v>
      </c>
      <c r="AS1183">
        <v>2</v>
      </c>
      <c r="AT1183">
        <v>0</v>
      </c>
      <c r="AU1183">
        <v>8</v>
      </c>
      <c r="AV1183">
        <v>5</v>
      </c>
      <c r="AW1183">
        <v>12</v>
      </c>
      <c r="AX1183">
        <v>2</v>
      </c>
      <c r="AY1183">
        <v>26</v>
      </c>
      <c r="AZ1183">
        <v>4</v>
      </c>
      <c r="BA1183" t="s">
        <v>22402</v>
      </c>
      <c r="BB1183" t="s">
        <v>22403</v>
      </c>
      <c r="BC1183">
        <v>6.3E-2</v>
      </c>
      <c r="BD1183" t="s">
        <v>65</v>
      </c>
      <c r="BE1183">
        <v>38</v>
      </c>
      <c r="BF1183">
        <v>6</v>
      </c>
      <c r="BG1183" t="s">
        <v>22404</v>
      </c>
      <c r="BH1183" t="s">
        <v>22405</v>
      </c>
      <c r="BI1183" t="s">
        <v>22406</v>
      </c>
      <c r="BJ1183">
        <v>4.4609999999999997E-2</v>
      </c>
      <c r="BK1183">
        <v>1</v>
      </c>
      <c r="BL1183" t="s">
        <v>69</v>
      </c>
      <c r="BM1183">
        <v>-1.115</v>
      </c>
      <c r="BN1183">
        <v>0.36199999999999999</v>
      </c>
    </row>
    <row r="1184" spans="2:66">
      <c r="B1184">
        <v>1904</v>
      </c>
      <c r="C1184">
        <v>301</v>
      </c>
      <c r="D1184">
        <v>0</v>
      </c>
      <c r="E1184">
        <v>23</v>
      </c>
      <c r="F1184">
        <v>0</v>
      </c>
      <c r="J1184">
        <v>0</v>
      </c>
      <c r="K1184">
        <v>2</v>
      </c>
      <c r="L1184">
        <v>2</v>
      </c>
      <c r="M1184" t="s">
        <v>25022</v>
      </c>
      <c r="N1184">
        <v>3823</v>
      </c>
      <c r="O1184" t="s">
        <v>22407</v>
      </c>
      <c r="P1184" t="s">
        <v>62</v>
      </c>
      <c r="Q1184">
        <v>3787623</v>
      </c>
      <c r="R1184">
        <v>3788003</v>
      </c>
      <c r="S1184" t="s">
        <v>22408</v>
      </c>
      <c r="T1184">
        <v>127</v>
      </c>
      <c r="U1184" t="s">
        <v>59</v>
      </c>
      <c r="V1184">
        <v>49</v>
      </c>
      <c r="W1184" t="str">
        <f>HYPERLINK("Gene3823-zp_tree_all.dnd", "Gene3823-tree")</f>
        <v>Gene3823-tree</v>
      </c>
      <c r="X1184">
        <v>23</v>
      </c>
      <c r="Y1184">
        <v>4</v>
      </c>
      <c r="Z1184">
        <v>6</v>
      </c>
      <c r="AA1184">
        <v>4</v>
      </c>
      <c r="AB1184">
        <v>0.4</v>
      </c>
      <c r="AC1184" t="s">
        <v>3589</v>
      </c>
      <c r="AD1184" t="s">
        <v>61</v>
      </c>
      <c r="AE1184" t="s">
        <v>62</v>
      </c>
      <c r="AF1184" t="s">
        <v>62</v>
      </c>
      <c r="AG1184">
        <v>2</v>
      </c>
      <c r="AH1184">
        <v>4</v>
      </c>
      <c r="AI1184">
        <v>2</v>
      </c>
      <c r="AJ1184">
        <v>0.66666999999999998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2</v>
      </c>
      <c r="AR1184">
        <v>2</v>
      </c>
      <c r="AS1184">
        <v>2</v>
      </c>
      <c r="AT1184">
        <v>0.5</v>
      </c>
      <c r="AU1184">
        <v>7</v>
      </c>
      <c r="AV1184">
        <v>4</v>
      </c>
      <c r="AW1184">
        <v>7</v>
      </c>
      <c r="AX1184">
        <v>4</v>
      </c>
      <c r="AY1184">
        <v>9</v>
      </c>
      <c r="AZ1184">
        <v>2</v>
      </c>
      <c r="BA1184" t="s">
        <v>22409</v>
      </c>
      <c r="BB1184" t="s">
        <v>22410</v>
      </c>
      <c r="BC1184">
        <v>0.63300000000000001</v>
      </c>
      <c r="BD1184" t="s">
        <v>65</v>
      </c>
      <c r="BE1184">
        <v>16</v>
      </c>
      <c r="BF1184">
        <v>6</v>
      </c>
      <c r="BG1184" t="s">
        <v>22411</v>
      </c>
      <c r="BH1184" t="s">
        <v>22412</v>
      </c>
      <c r="BI1184" t="s">
        <v>22413</v>
      </c>
      <c r="BJ1184">
        <v>8.1269999999999995E-2</v>
      </c>
      <c r="BK1184">
        <v>1</v>
      </c>
      <c r="BL1184" t="s">
        <v>69</v>
      </c>
      <c r="BM1184">
        <v>-0.56399999999999995</v>
      </c>
      <c r="BN1184">
        <v>4.8000000000000001E-2</v>
      </c>
    </row>
    <row r="1185" spans="2:66">
      <c r="B1185">
        <v>1905</v>
      </c>
      <c r="C1185">
        <v>266</v>
      </c>
      <c r="D1185">
        <v>0</v>
      </c>
      <c r="E1185">
        <v>14</v>
      </c>
      <c r="F1185">
        <v>0</v>
      </c>
      <c r="J1185">
        <v>0</v>
      </c>
      <c r="K1185">
        <v>0</v>
      </c>
      <c r="L1185">
        <v>0</v>
      </c>
      <c r="M1185" t="s">
        <v>25022</v>
      </c>
      <c r="N1185">
        <v>3824</v>
      </c>
      <c r="O1185" t="s">
        <v>22414</v>
      </c>
      <c r="P1185" t="s">
        <v>62</v>
      </c>
      <c r="Q1185">
        <v>3788429</v>
      </c>
      <c r="R1185">
        <v>3789055</v>
      </c>
      <c r="S1185" t="s">
        <v>22415</v>
      </c>
      <c r="T1185">
        <v>209</v>
      </c>
      <c r="U1185" t="s">
        <v>108</v>
      </c>
      <c r="V1185">
        <v>44</v>
      </c>
      <c r="W1185" t="str">
        <f>HYPERLINK("Gene3824-zp_tree_all.dnd", "Gene3824-tree")</f>
        <v>Gene3824-tree</v>
      </c>
      <c r="X1185">
        <v>9</v>
      </c>
      <c r="Y1185">
        <v>1</v>
      </c>
      <c r="Z1185">
        <v>9</v>
      </c>
      <c r="AA1185">
        <v>1</v>
      </c>
      <c r="AB1185">
        <v>0.1</v>
      </c>
      <c r="AC1185" t="s">
        <v>135</v>
      </c>
      <c r="AD1185" t="s">
        <v>175</v>
      </c>
      <c r="AE1185" t="s">
        <v>62</v>
      </c>
      <c r="AF1185" t="s">
        <v>62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7</v>
      </c>
      <c r="AV1185">
        <v>5</v>
      </c>
      <c r="AW1185">
        <v>13</v>
      </c>
      <c r="AX1185">
        <v>1</v>
      </c>
      <c r="AY1185">
        <v>7</v>
      </c>
      <c r="AZ1185">
        <v>0</v>
      </c>
      <c r="BA1185" t="s">
        <v>22416</v>
      </c>
      <c r="BB1185" t="s">
        <v>193</v>
      </c>
      <c r="BC1185">
        <v>0.41</v>
      </c>
      <c r="BD1185" t="s">
        <v>65</v>
      </c>
      <c r="BE1185">
        <v>20</v>
      </c>
      <c r="BF1185">
        <v>1</v>
      </c>
      <c r="BG1185" t="s">
        <v>22417</v>
      </c>
      <c r="BH1185" t="s">
        <v>22418</v>
      </c>
      <c r="BI1185" t="s">
        <v>22419</v>
      </c>
      <c r="BJ1185">
        <v>1.34E-2</v>
      </c>
      <c r="BK1185">
        <v>1</v>
      </c>
      <c r="BL1185" t="s">
        <v>69</v>
      </c>
      <c r="BM1185">
        <v>-1.268</v>
      </c>
      <c r="BN1185">
        <v>-1.3069999999999999</v>
      </c>
    </row>
    <row r="1186" spans="2:66">
      <c r="B1186">
        <v>1909</v>
      </c>
      <c r="C1186">
        <v>45</v>
      </c>
      <c r="D1186">
        <v>0</v>
      </c>
      <c r="E1186">
        <v>0</v>
      </c>
      <c r="F1186">
        <v>4</v>
      </c>
      <c r="J1186">
        <v>0</v>
      </c>
      <c r="K1186">
        <v>4</v>
      </c>
      <c r="L1186">
        <v>0</v>
      </c>
      <c r="M1186" t="s">
        <v>25022</v>
      </c>
      <c r="N1186">
        <v>3825</v>
      </c>
      <c r="O1186" t="s">
        <v>22420</v>
      </c>
      <c r="P1186" t="s">
        <v>62</v>
      </c>
      <c r="Q1186">
        <v>3789193</v>
      </c>
      <c r="R1186">
        <v>3790437</v>
      </c>
      <c r="S1186" t="s">
        <v>22421</v>
      </c>
      <c r="T1186">
        <v>415</v>
      </c>
      <c r="U1186" t="s">
        <v>59</v>
      </c>
      <c r="V1186">
        <v>49</v>
      </c>
      <c r="W1186" t="str">
        <f>HYPERLINK("Gene3825-zp_tree_all.dnd", "Gene3825-tree")</f>
        <v>Gene3825-tree</v>
      </c>
      <c r="X1186">
        <v>13</v>
      </c>
      <c r="Y1186">
        <v>7</v>
      </c>
      <c r="Z1186">
        <v>13</v>
      </c>
      <c r="AA1186">
        <v>7</v>
      </c>
      <c r="AB1186">
        <v>0.35</v>
      </c>
      <c r="AC1186" t="s">
        <v>507</v>
      </c>
      <c r="AD1186" t="s">
        <v>152</v>
      </c>
      <c r="AE1186" t="s">
        <v>62</v>
      </c>
      <c r="AF1186" t="s">
        <v>62</v>
      </c>
      <c r="AG1186">
        <v>2</v>
      </c>
      <c r="AH1186">
        <v>4</v>
      </c>
      <c r="AI1186">
        <v>8</v>
      </c>
      <c r="AJ1186">
        <v>0.33333000000000002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2</v>
      </c>
      <c r="AQ1186">
        <v>0</v>
      </c>
      <c r="AR1186">
        <v>2</v>
      </c>
      <c r="AS1186">
        <v>6</v>
      </c>
      <c r="AT1186">
        <v>0.25</v>
      </c>
      <c r="AU1186">
        <v>16</v>
      </c>
      <c r="AV1186">
        <v>16</v>
      </c>
      <c r="AW1186">
        <v>55</v>
      </c>
      <c r="AX1186">
        <v>8</v>
      </c>
      <c r="AY1186">
        <v>66</v>
      </c>
      <c r="AZ1186">
        <v>4</v>
      </c>
      <c r="BA1186" t="s">
        <v>22422</v>
      </c>
      <c r="BB1186" t="s">
        <v>22423</v>
      </c>
      <c r="BC1186">
        <v>0.67</v>
      </c>
      <c r="BD1186" t="s">
        <v>65</v>
      </c>
      <c r="BE1186">
        <v>121</v>
      </c>
      <c r="BF1186">
        <v>12</v>
      </c>
      <c r="BG1186" t="s">
        <v>22424</v>
      </c>
      <c r="BH1186" t="s">
        <v>22425</v>
      </c>
      <c r="BI1186" t="s">
        <v>11040</v>
      </c>
      <c r="BJ1186">
        <v>2.0199999999999999E-2</v>
      </c>
      <c r="BK1186">
        <v>1</v>
      </c>
      <c r="BL1186" t="s">
        <v>69</v>
      </c>
      <c r="BM1186">
        <v>-1.3180000000000001</v>
      </c>
      <c r="BN1186">
        <v>-1.113</v>
      </c>
    </row>
    <row r="1187" spans="2:66">
      <c r="B1187">
        <v>1910</v>
      </c>
      <c r="C1187">
        <v>189</v>
      </c>
      <c r="D1187">
        <v>0</v>
      </c>
      <c r="E1187">
        <v>6</v>
      </c>
      <c r="F1187">
        <v>0</v>
      </c>
      <c r="J1187">
        <v>0</v>
      </c>
      <c r="K1187">
        <v>0</v>
      </c>
      <c r="L1187">
        <v>0</v>
      </c>
      <c r="M1187" t="s">
        <v>25022</v>
      </c>
      <c r="N1187">
        <v>3826</v>
      </c>
      <c r="O1187" t="s">
        <v>22426</v>
      </c>
      <c r="P1187" t="s">
        <v>62</v>
      </c>
      <c r="Q1187">
        <v>3790647</v>
      </c>
      <c r="R1187">
        <v>3791186</v>
      </c>
      <c r="S1187" t="s">
        <v>116</v>
      </c>
      <c r="T1187">
        <v>180</v>
      </c>
      <c r="U1187" t="s">
        <v>108</v>
      </c>
      <c r="V1187">
        <v>44</v>
      </c>
      <c r="W1187" t="str">
        <f>HYPERLINK("Gene3826-zp_tree_all.dnd", "Gene3826-tree")</f>
        <v>Gene3826-tree</v>
      </c>
      <c r="X1187">
        <v>7</v>
      </c>
      <c r="Y1187">
        <v>5</v>
      </c>
      <c r="Z1187">
        <v>7</v>
      </c>
      <c r="AA1187">
        <v>5</v>
      </c>
      <c r="AB1187">
        <v>0.41666999999999998</v>
      </c>
      <c r="AC1187" t="s">
        <v>152</v>
      </c>
      <c r="AD1187" t="s">
        <v>199</v>
      </c>
      <c r="AE1187" t="s">
        <v>62</v>
      </c>
      <c r="AF1187" t="s">
        <v>62</v>
      </c>
      <c r="AG1187">
        <v>0</v>
      </c>
      <c r="AH1187">
        <v>0</v>
      </c>
      <c r="AI1187">
        <v>7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7</v>
      </c>
      <c r="AT1187">
        <v>0</v>
      </c>
      <c r="AU1187">
        <v>9</v>
      </c>
      <c r="AV1187">
        <v>5</v>
      </c>
      <c r="AW1187">
        <v>9</v>
      </c>
      <c r="AX1187">
        <v>7</v>
      </c>
      <c r="AY1187">
        <v>7</v>
      </c>
      <c r="AZ1187">
        <v>0</v>
      </c>
      <c r="BA1187" t="s">
        <v>22427</v>
      </c>
      <c r="BB1187" t="s">
        <v>193</v>
      </c>
      <c r="BC1187">
        <v>1.631</v>
      </c>
      <c r="BD1187" t="s">
        <v>65</v>
      </c>
      <c r="BE1187">
        <v>16</v>
      </c>
      <c r="BF1187">
        <v>7</v>
      </c>
      <c r="BG1187" t="s">
        <v>22428</v>
      </c>
      <c r="BH1187" t="s">
        <v>22429</v>
      </c>
      <c r="BI1187" t="s">
        <v>22430</v>
      </c>
      <c r="BJ1187">
        <v>8.6559999999999998E-2</v>
      </c>
      <c r="BK1187">
        <v>1</v>
      </c>
      <c r="BL1187" t="s">
        <v>69</v>
      </c>
      <c r="BM1187">
        <v>-1.0029999999999999</v>
      </c>
      <c r="BN1187">
        <v>-1.2609999999999999</v>
      </c>
    </row>
    <row r="1188" spans="2:66">
      <c r="B1188">
        <v>1911</v>
      </c>
      <c r="C1188">
        <v>100</v>
      </c>
      <c r="D1188">
        <v>0</v>
      </c>
      <c r="E1188">
        <v>6</v>
      </c>
      <c r="F1188">
        <v>0</v>
      </c>
      <c r="J1188">
        <v>0</v>
      </c>
      <c r="K1188">
        <v>2</v>
      </c>
      <c r="L1188">
        <v>0</v>
      </c>
      <c r="M1188" t="s">
        <v>25022</v>
      </c>
      <c r="N1188">
        <v>3827</v>
      </c>
      <c r="O1188" t="s">
        <v>22431</v>
      </c>
      <c r="P1188" t="s">
        <v>62</v>
      </c>
      <c r="Q1188">
        <v>3791202</v>
      </c>
      <c r="R1188">
        <v>3791648</v>
      </c>
      <c r="S1188" t="s">
        <v>22432</v>
      </c>
      <c r="T1188">
        <v>149</v>
      </c>
      <c r="U1188" t="s">
        <v>160</v>
      </c>
      <c r="V1188">
        <v>45</v>
      </c>
      <c r="W1188" t="str">
        <f>HYPERLINK("Gene3827-zp_tree_all.dnd", "Gene3827-tree")</f>
        <v>Gene3827-tree</v>
      </c>
      <c r="X1188">
        <v>9</v>
      </c>
      <c r="Y1188">
        <v>3</v>
      </c>
      <c r="Z1188">
        <v>9</v>
      </c>
      <c r="AA1188">
        <v>3</v>
      </c>
      <c r="AB1188">
        <v>0.25</v>
      </c>
      <c r="AC1188" t="s">
        <v>135</v>
      </c>
      <c r="AD1188" t="s">
        <v>324</v>
      </c>
      <c r="AE1188" t="s">
        <v>62</v>
      </c>
      <c r="AF1188" t="s">
        <v>62</v>
      </c>
      <c r="AG1188">
        <v>1</v>
      </c>
      <c r="AH1188">
        <v>2</v>
      </c>
      <c r="AI1188">
        <v>3</v>
      </c>
      <c r="AJ1188">
        <v>0.4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2</v>
      </c>
      <c r="AQ1188">
        <v>0</v>
      </c>
      <c r="AR1188">
        <v>2</v>
      </c>
      <c r="AS1188">
        <v>2</v>
      </c>
      <c r="AT1188">
        <v>0.5</v>
      </c>
      <c r="AU1188">
        <v>8</v>
      </c>
      <c r="AV1188">
        <v>4</v>
      </c>
      <c r="AW1188">
        <v>26</v>
      </c>
      <c r="AX1188">
        <v>4</v>
      </c>
      <c r="AY1188">
        <v>3</v>
      </c>
      <c r="AZ1188">
        <v>1</v>
      </c>
      <c r="BA1188" t="s">
        <v>22433</v>
      </c>
      <c r="BB1188" t="s">
        <v>22434</v>
      </c>
      <c r="BC1188">
        <v>0.314</v>
      </c>
      <c r="BD1188" t="s">
        <v>65</v>
      </c>
      <c r="BE1188">
        <v>29</v>
      </c>
      <c r="BF1188">
        <v>5</v>
      </c>
      <c r="BG1188" t="s">
        <v>22435</v>
      </c>
      <c r="BH1188" t="s">
        <v>22436</v>
      </c>
      <c r="BI1188" t="s">
        <v>22437</v>
      </c>
      <c r="BJ1188">
        <v>4.6730000000000001E-2</v>
      </c>
      <c r="BK1188">
        <v>1</v>
      </c>
      <c r="BL1188" t="s">
        <v>69</v>
      </c>
      <c r="BM1188">
        <v>-2.1230000000000002</v>
      </c>
      <c r="BN1188">
        <v>-4.125</v>
      </c>
    </row>
    <row r="1189" spans="2:66">
      <c r="B1189">
        <v>1912</v>
      </c>
      <c r="C1189">
        <v>200</v>
      </c>
      <c r="D1189">
        <v>0</v>
      </c>
      <c r="E1189">
        <v>4</v>
      </c>
      <c r="F1189">
        <v>0</v>
      </c>
      <c r="J1189">
        <v>0</v>
      </c>
      <c r="K1189">
        <v>2</v>
      </c>
      <c r="L1189">
        <v>3</v>
      </c>
      <c r="M1189" t="s">
        <v>25022</v>
      </c>
      <c r="N1189">
        <v>3828</v>
      </c>
      <c r="O1189" t="s">
        <v>22438</v>
      </c>
      <c r="P1189" t="s">
        <v>62</v>
      </c>
      <c r="Q1189">
        <v>3791808</v>
      </c>
      <c r="R1189">
        <v>3792257</v>
      </c>
      <c r="S1189" t="s">
        <v>22439</v>
      </c>
      <c r="T1189">
        <v>150</v>
      </c>
      <c r="U1189" t="s">
        <v>6329</v>
      </c>
      <c r="V1189">
        <v>47</v>
      </c>
      <c r="W1189" t="str">
        <f>HYPERLINK("Gene3828-zp_tree_all.dnd", "Gene3828-tree")</f>
        <v>Gene3828-tree</v>
      </c>
      <c r="X1189">
        <v>7</v>
      </c>
      <c r="Y1189">
        <v>7</v>
      </c>
      <c r="Z1189">
        <v>7</v>
      </c>
      <c r="AA1189">
        <v>7</v>
      </c>
      <c r="AB1189">
        <v>0.5</v>
      </c>
      <c r="AC1189" t="s">
        <v>152</v>
      </c>
      <c r="AD1189" t="s">
        <v>152</v>
      </c>
      <c r="AE1189" t="s">
        <v>62</v>
      </c>
      <c r="AF1189" t="s">
        <v>62</v>
      </c>
      <c r="AG1189">
        <v>2</v>
      </c>
      <c r="AH1189">
        <v>5</v>
      </c>
      <c r="AI1189">
        <v>15</v>
      </c>
      <c r="AJ1189">
        <v>0.25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2</v>
      </c>
      <c r="AQ1189">
        <v>2</v>
      </c>
      <c r="AR1189">
        <v>4</v>
      </c>
      <c r="AS1189">
        <v>12</v>
      </c>
      <c r="AT1189">
        <v>0.25</v>
      </c>
      <c r="AU1189">
        <v>9</v>
      </c>
      <c r="AV1189">
        <v>10</v>
      </c>
      <c r="AW1189">
        <v>9</v>
      </c>
      <c r="AX1189">
        <v>12</v>
      </c>
      <c r="AY1189">
        <v>16</v>
      </c>
      <c r="AZ1189">
        <v>8</v>
      </c>
      <c r="BA1189" t="s">
        <v>22440</v>
      </c>
      <c r="BB1189" t="s">
        <v>22441</v>
      </c>
      <c r="BC1189">
        <v>0.59099999999999997</v>
      </c>
      <c r="BD1189" t="s">
        <v>65</v>
      </c>
      <c r="BE1189">
        <v>25</v>
      </c>
      <c r="BF1189">
        <v>20</v>
      </c>
      <c r="BG1189" t="s">
        <v>22442</v>
      </c>
      <c r="BH1189" t="s">
        <v>22443</v>
      </c>
      <c r="BI1189" t="s">
        <v>22444</v>
      </c>
      <c r="BJ1189">
        <v>0.18858</v>
      </c>
      <c r="BK1189">
        <v>1</v>
      </c>
      <c r="BL1189" t="s">
        <v>69</v>
      </c>
      <c r="BM1189">
        <v>-1.165</v>
      </c>
      <c r="BN1189">
        <v>-1.169</v>
      </c>
    </row>
    <row r="1190" spans="2:66">
      <c r="B1190">
        <v>1914</v>
      </c>
      <c r="C1190">
        <v>1480</v>
      </c>
      <c r="D1190">
        <v>0</v>
      </c>
      <c r="E1190">
        <v>19</v>
      </c>
      <c r="F1190">
        <v>0</v>
      </c>
      <c r="J1190">
        <v>0</v>
      </c>
      <c r="K1190">
        <v>0</v>
      </c>
      <c r="L1190">
        <v>0</v>
      </c>
      <c r="M1190" t="s">
        <v>25022</v>
      </c>
      <c r="N1190">
        <v>3829</v>
      </c>
      <c r="O1190" t="s">
        <v>22445</v>
      </c>
      <c r="P1190" t="s">
        <v>62</v>
      </c>
      <c r="Q1190">
        <v>3792336</v>
      </c>
      <c r="R1190">
        <v>3792890</v>
      </c>
      <c r="S1190" t="s">
        <v>22446</v>
      </c>
      <c r="T1190">
        <v>185</v>
      </c>
      <c r="U1190" t="s">
        <v>108</v>
      </c>
      <c r="V1190">
        <v>44</v>
      </c>
      <c r="W1190" t="str">
        <f>HYPERLINK("Gene3829-zp_tree_all.dnd", "Gene3829-tree")</f>
        <v>Gene3829-tree</v>
      </c>
      <c r="X1190">
        <v>4</v>
      </c>
      <c r="Y1190">
        <v>2</v>
      </c>
      <c r="Z1190">
        <v>4</v>
      </c>
      <c r="AA1190">
        <v>2</v>
      </c>
      <c r="AB1190">
        <v>0.33333000000000002</v>
      </c>
      <c r="AC1190" t="s">
        <v>61</v>
      </c>
      <c r="AD1190" t="s">
        <v>81</v>
      </c>
      <c r="AE1190" t="s">
        <v>62</v>
      </c>
      <c r="AF1190" t="s">
        <v>62</v>
      </c>
      <c r="AG1190">
        <v>0</v>
      </c>
      <c r="AH1190">
        <v>0</v>
      </c>
      <c r="AI1190">
        <v>3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3</v>
      </c>
      <c r="AT1190">
        <v>0</v>
      </c>
      <c r="AU1190">
        <v>5</v>
      </c>
      <c r="AV1190">
        <v>2</v>
      </c>
      <c r="AW1190">
        <v>12</v>
      </c>
      <c r="AX1190">
        <v>3</v>
      </c>
      <c r="AY1190">
        <v>2</v>
      </c>
      <c r="AZ1190">
        <v>0</v>
      </c>
      <c r="BA1190" t="s">
        <v>22447</v>
      </c>
      <c r="BB1190" t="s">
        <v>193</v>
      </c>
      <c r="BC1190">
        <v>1.139</v>
      </c>
      <c r="BD1190" t="s">
        <v>65</v>
      </c>
      <c r="BE1190">
        <v>14</v>
      </c>
      <c r="BF1190">
        <v>3</v>
      </c>
      <c r="BG1190" t="s">
        <v>22448</v>
      </c>
      <c r="BH1190" t="s">
        <v>22449</v>
      </c>
      <c r="BI1190" t="s">
        <v>22450</v>
      </c>
      <c r="BJ1190">
        <v>6.4399999999999999E-2</v>
      </c>
      <c r="BK1190">
        <v>1</v>
      </c>
      <c r="BL1190" t="s">
        <v>69</v>
      </c>
      <c r="BM1190">
        <v>-0.89300000000000002</v>
      </c>
      <c r="BN1190">
        <v>-1.3680000000000001</v>
      </c>
    </row>
    <row r="1191" spans="2:66">
      <c r="B1191">
        <v>1916</v>
      </c>
      <c r="C1191">
        <v>38</v>
      </c>
      <c r="D1191">
        <v>0</v>
      </c>
      <c r="E1191">
        <v>4</v>
      </c>
      <c r="F1191">
        <v>0</v>
      </c>
      <c r="J1191">
        <v>0</v>
      </c>
      <c r="K1191">
        <v>6</v>
      </c>
      <c r="L1191">
        <v>0</v>
      </c>
      <c r="M1191" t="s">
        <v>25022</v>
      </c>
      <c r="N1191">
        <v>3830</v>
      </c>
      <c r="O1191" t="s">
        <v>22451</v>
      </c>
      <c r="P1191" t="s">
        <v>62</v>
      </c>
      <c r="Q1191">
        <v>3792972</v>
      </c>
      <c r="R1191">
        <v>3794009</v>
      </c>
      <c r="S1191" t="s">
        <v>22452</v>
      </c>
      <c r="T1191">
        <v>346</v>
      </c>
      <c r="U1191" t="s">
        <v>108</v>
      </c>
      <c r="V1191">
        <v>44</v>
      </c>
      <c r="W1191" t="str">
        <f>HYPERLINK("Gene3830-zp_tree_all.dnd", "Gene3830-tree")</f>
        <v>Gene3830-tree</v>
      </c>
      <c r="X1191">
        <v>6</v>
      </c>
      <c r="Y1191">
        <v>9</v>
      </c>
      <c r="Z1191">
        <v>6</v>
      </c>
      <c r="AA1191">
        <v>9</v>
      </c>
      <c r="AB1191">
        <v>0.6</v>
      </c>
      <c r="AC1191" t="s">
        <v>90</v>
      </c>
      <c r="AD1191" t="s">
        <v>135</v>
      </c>
      <c r="AE1191" t="s">
        <v>62</v>
      </c>
      <c r="AF1191" t="s">
        <v>62</v>
      </c>
      <c r="AG1191">
        <v>2</v>
      </c>
      <c r="AH1191">
        <v>6</v>
      </c>
      <c r="AI1191">
        <v>15</v>
      </c>
      <c r="AJ1191">
        <v>0.28571000000000002</v>
      </c>
      <c r="AK1191">
        <v>0</v>
      </c>
      <c r="AL1191">
        <v>0</v>
      </c>
      <c r="AM1191">
        <v>0</v>
      </c>
      <c r="AN1191">
        <v>3</v>
      </c>
      <c r="AO1191">
        <v>0</v>
      </c>
      <c r="AP1191">
        <v>2</v>
      </c>
      <c r="AQ1191">
        <v>0</v>
      </c>
      <c r="AR1191">
        <v>2</v>
      </c>
      <c r="AS1191">
        <v>11</v>
      </c>
      <c r="AT1191">
        <v>0.15384999999999999</v>
      </c>
      <c r="AU1191">
        <v>12</v>
      </c>
      <c r="AV1191">
        <v>11</v>
      </c>
      <c r="AW1191">
        <v>41</v>
      </c>
      <c r="AX1191">
        <v>13</v>
      </c>
      <c r="AY1191">
        <v>41</v>
      </c>
      <c r="AZ1191">
        <v>8</v>
      </c>
      <c r="BA1191" t="s">
        <v>22453</v>
      </c>
      <c r="BB1191" t="s">
        <v>22454</v>
      </c>
      <c r="BC1191">
        <v>0.70399999999999996</v>
      </c>
      <c r="BD1191" t="s">
        <v>65</v>
      </c>
      <c r="BE1191">
        <v>82</v>
      </c>
      <c r="BF1191">
        <v>21</v>
      </c>
      <c r="BG1191" t="s">
        <v>22455</v>
      </c>
      <c r="BH1191" t="s">
        <v>22456</v>
      </c>
      <c r="BI1191" t="s">
        <v>22457</v>
      </c>
      <c r="BJ1191">
        <v>7.2959999999999997E-2</v>
      </c>
      <c r="BK1191">
        <v>1</v>
      </c>
      <c r="BL1191" t="s">
        <v>69</v>
      </c>
      <c r="BM1191">
        <v>-0.29599999999999999</v>
      </c>
      <c r="BN1191">
        <v>-1.7390000000000001</v>
      </c>
    </row>
    <row r="1192" spans="2:66">
      <c r="B1192">
        <v>1917</v>
      </c>
      <c r="C1192">
        <v>74</v>
      </c>
      <c r="D1192">
        <v>0</v>
      </c>
      <c r="E1192">
        <v>0</v>
      </c>
      <c r="F1192">
        <v>2</v>
      </c>
      <c r="J1192">
        <v>0</v>
      </c>
      <c r="K1192">
        <v>0</v>
      </c>
      <c r="L1192">
        <v>0</v>
      </c>
      <c r="M1192" t="s">
        <v>25022</v>
      </c>
      <c r="N1192">
        <v>3831</v>
      </c>
      <c r="O1192" t="s">
        <v>22458</v>
      </c>
      <c r="P1192" t="s">
        <v>62</v>
      </c>
      <c r="Q1192">
        <v>3794169</v>
      </c>
      <c r="R1192">
        <v>3794609</v>
      </c>
      <c r="S1192" t="s">
        <v>116</v>
      </c>
      <c r="T1192">
        <v>147</v>
      </c>
      <c r="U1192" t="s">
        <v>108</v>
      </c>
      <c r="V1192">
        <v>44</v>
      </c>
      <c r="W1192" t="str">
        <f>HYPERLINK("Gene3831-zp_tree_all.dnd", "Gene3831-tree")</f>
        <v>Gene3831-tree</v>
      </c>
      <c r="X1192">
        <v>9</v>
      </c>
      <c r="Y1192">
        <v>3</v>
      </c>
      <c r="Z1192">
        <v>9</v>
      </c>
      <c r="AA1192">
        <v>3</v>
      </c>
      <c r="AB1192">
        <v>0.25</v>
      </c>
      <c r="AC1192" t="s">
        <v>135</v>
      </c>
      <c r="AD1192" t="s">
        <v>324</v>
      </c>
      <c r="AE1192" t="s">
        <v>62</v>
      </c>
      <c r="AF1192" t="s">
        <v>62</v>
      </c>
      <c r="AG1192">
        <v>0</v>
      </c>
      <c r="AH1192">
        <v>0</v>
      </c>
      <c r="AI1192">
        <v>4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3</v>
      </c>
      <c r="AT1192">
        <v>0</v>
      </c>
      <c r="AU1192">
        <v>7</v>
      </c>
      <c r="AV1192">
        <v>5</v>
      </c>
      <c r="AW1192">
        <v>9</v>
      </c>
      <c r="AX1192">
        <v>3</v>
      </c>
      <c r="AY1192">
        <v>4</v>
      </c>
      <c r="AZ1192">
        <v>1</v>
      </c>
      <c r="BA1192" t="s">
        <v>22459</v>
      </c>
      <c r="BB1192" t="s">
        <v>22460</v>
      </c>
      <c r="BC1192">
        <v>0.14699999999999999</v>
      </c>
      <c r="BD1192" t="s">
        <v>65</v>
      </c>
      <c r="BE1192">
        <v>13</v>
      </c>
      <c r="BF1192">
        <v>4</v>
      </c>
      <c r="BG1192" t="s">
        <v>22461</v>
      </c>
      <c r="BH1192" t="s">
        <v>22462</v>
      </c>
      <c r="BI1192" t="s">
        <v>512</v>
      </c>
      <c r="BJ1192">
        <v>7.8920000000000004E-2</v>
      </c>
      <c r="BK1192">
        <v>1</v>
      </c>
      <c r="BL1192" t="s">
        <v>69</v>
      </c>
      <c r="BM1192">
        <v>-0.87</v>
      </c>
      <c r="BN1192">
        <v>2.9000000000000001E-2</v>
      </c>
    </row>
    <row r="1193" spans="2:66">
      <c r="B1193">
        <v>1919</v>
      </c>
      <c r="C1193">
        <v>3</v>
      </c>
      <c r="D1193">
        <v>0</v>
      </c>
      <c r="E1193">
        <v>2</v>
      </c>
      <c r="F1193">
        <v>0</v>
      </c>
      <c r="J1193">
        <v>0</v>
      </c>
      <c r="K1193">
        <v>0</v>
      </c>
      <c r="L1193">
        <v>0</v>
      </c>
      <c r="M1193" t="s">
        <v>25022</v>
      </c>
      <c r="N1193">
        <v>3832</v>
      </c>
      <c r="O1193" t="s">
        <v>22463</v>
      </c>
      <c r="P1193" t="s">
        <v>62</v>
      </c>
      <c r="Q1193">
        <v>3794679</v>
      </c>
      <c r="R1193">
        <v>3795350</v>
      </c>
      <c r="S1193" t="s">
        <v>22464</v>
      </c>
      <c r="T1193">
        <v>224</v>
      </c>
      <c r="U1193" t="s">
        <v>22465</v>
      </c>
      <c r="V1193">
        <v>43</v>
      </c>
      <c r="W1193" t="str">
        <f>HYPERLINK("Gene3832-zp_tree_all.dnd", "Gene3832-tree")</f>
        <v>Gene3832-tree</v>
      </c>
      <c r="X1193">
        <v>8</v>
      </c>
      <c r="Y1193">
        <v>4</v>
      </c>
      <c r="Z1193">
        <v>8</v>
      </c>
      <c r="AA1193">
        <v>4</v>
      </c>
      <c r="AB1193">
        <v>0.33333000000000002</v>
      </c>
      <c r="AC1193" t="s">
        <v>136</v>
      </c>
      <c r="AD1193" t="s">
        <v>61</v>
      </c>
      <c r="AE1193" t="s">
        <v>62</v>
      </c>
      <c r="AF1193" t="s">
        <v>62</v>
      </c>
      <c r="AG1193">
        <v>0</v>
      </c>
      <c r="AH1193">
        <v>0</v>
      </c>
      <c r="AI1193">
        <v>5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4</v>
      </c>
      <c r="AT1193">
        <v>0</v>
      </c>
      <c r="AU1193">
        <v>9</v>
      </c>
      <c r="AV1193">
        <v>5</v>
      </c>
      <c r="AW1193">
        <v>24</v>
      </c>
      <c r="AX1193">
        <v>4</v>
      </c>
      <c r="AY1193">
        <v>9</v>
      </c>
      <c r="AZ1193">
        <v>1</v>
      </c>
      <c r="BA1193" t="s">
        <v>22466</v>
      </c>
      <c r="BB1193" t="s">
        <v>22467</v>
      </c>
      <c r="BC1193">
        <v>0.23100000000000001</v>
      </c>
      <c r="BD1193" t="s">
        <v>65</v>
      </c>
      <c r="BE1193">
        <v>33</v>
      </c>
      <c r="BF1193">
        <v>5</v>
      </c>
      <c r="BG1193" t="s">
        <v>22468</v>
      </c>
      <c r="BH1193" t="s">
        <v>22469</v>
      </c>
      <c r="BI1193" t="s">
        <v>22470</v>
      </c>
      <c r="BJ1193">
        <v>4.7570000000000001E-2</v>
      </c>
      <c r="BK1193">
        <v>1</v>
      </c>
      <c r="BL1193" t="s">
        <v>69</v>
      </c>
      <c r="BM1193">
        <v>0.53400000000000003</v>
      </c>
      <c r="BN1193">
        <v>0.45500000000000002</v>
      </c>
    </row>
    <row r="1194" spans="2:66">
      <c r="B1194">
        <v>1921</v>
      </c>
      <c r="C1194">
        <v>134</v>
      </c>
      <c r="D1194">
        <v>0</v>
      </c>
      <c r="E1194">
        <v>0</v>
      </c>
      <c r="F1194">
        <v>2</v>
      </c>
      <c r="J1194">
        <v>0</v>
      </c>
      <c r="K1194">
        <v>0</v>
      </c>
      <c r="L1194">
        <v>0</v>
      </c>
      <c r="M1194" t="s">
        <v>25022</v>
      </c>
      <c r="N1194">
        <v>3834</v>
      </c>
      <c r="O1194" t="s">
        <v>22477</v>
      </c>
      <c r="P1194" t="s">
        <v>62</v>
      </c>
      <c r="Q1194">
        <v>3795873</v>
      </c>
      <c r="R1194">
        <v>3796157</v>
      </c>
      <c r="S1194" t="s">
        <v>116</v>
      </c>
      <c r="T1194">
        <v>95</v>
      </c>
      <c r="U1194" t="s">
        <v>289</v>
      </c>
      <c r="V1194">
        <v>46</v>
      </c>
      <c r="W1194" t="str">
        <f>HYPERLINK("Gene3834-zp_tree_all.dnd", "Gene3834-tree")</f>
        <v>Gene3834-tree</v>
      </c>
      <c r="X1194">
        <v>2</v>
      </c>
      <c r="Y1194">
        <v>8</v>
      </c>
      <c r="Z1194">
        <v>2</v>
      </c>
      <c r="AA1194">
        <v>8</v>
      </c>
      <c r="AB1194">
        <v>0.8</v>
      </c>
      <c r="AC1194" t="s">
        <v>81</v>
      </c>
      <c r="AD1194" t="s">
        <v>136</v>
      </c>
      <c r="AE1194" t="s">
        <v>62</v>
      </c>
      <c r="AF1194" t="s">
        <v>62</v>
      </c>
      <c r="AG1194">
        <v>0</v>
      </c>
      <c r="AH1194">
        <v>0</v>
      </c>
      <c r="AI1194">
        <v>10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10</v>
      </c>
      <c r="AT1194">
        <v>0</v>
      </c>
      <c r="AU1194">
        <v>8</v>
      </c>
      <c r="AV1194">
        <v>1</v>
      </c>
      <c r="AW1194">
        <v>4</v>
      </c>
      <c r="AX1194">
        <v>7</v>
      </c>
      <c r="AY1194">
        <v>8</v>
      </c>
      <c r="AZ1194">
        <v>3</v>
      </c>
      <c r="BA1194" t="s">
        <v>22478</v>
      </c>
      <c r="BB1194" t="s">
        <v>22479</v>
      </c>
      <c r="BC1194">
        <v>1.978</v>
      </c>
      <c r="BD1194" t="s">
        <v>267</v>
      </c>
      <c r="BE1194">
        <v>12</v>
      </c>
      <c r="BF1194">
        <v>10</v>
      </c>
      <c r="BG1194" t="s">
        <v>22480</v>
      </c>
      <c r="BH1194" t="s">
        <v>22481</v>
      </c>
      <c r="BI1194" t="s">
        <v>22482</v>
      </c>
      <c r="BJ1194">
        <v>0.21565999999999999</v>
      </c>
      <c r="BK1194">
        <v>1</v>
      </c>
      <c r="BL1194" t="s">
        <v>69</v>
      </c>
      <c r="BM1194">
        <v>-1.7589999999999999</v>
      </c>
      <c r="BN1194">
        <v>3.9E-2</v>
      </c>
    </row>
    <row r="1195" spans="2:66">
      <c r="B1195">
        <v>1922</v>
      </c>
      <c r="C1195">
        <v>165</v>
      </c>
      <c r="D1195">
        <v>0</v>
      </c>
      <c r="E1195">
        <v>13</v>
      </c>
      <c r="F1195">
        <v>2</v>
      </c>
      <c r="J1195">
        <v>0</v>
      </c>
      <c r="K1195">
        <v>5</v>
      </c>
      <c r="L1195">
        <v>1</v>
      </c>
      <c r="M1195" t="s">
        <v>25022</v>
      </c>
      <c r="N1195">
        <v>3835</v>
      </c>
      <c r="O1195" t="s">
        <v>22483</v>
      </c>
      <c r="P1195" t="s">
        <v>62</v>
      </c>
      <c r="Q1195">
        <v>3796220</v>
      </c>
      <c r="R1195">
        <v>3797083</v>
      </c>
      <c r="S1195" t="s">
        <v>22484</v>
      </c>
      <c r="T1195">
        <v>288</v>
      </c>
      <c r="U1195" t="s">
        <v>22465</v>
      </c>
      <c r="V1195">
        <v>43</v>
      </c>
      <c r="W1195" t="str">
        <f>HYPERLINK("Gene3835-zp_tree_all.dnd", "Gene3835-tree")</f>
        <v>Gene3835-tree</v>
      </c>
      <c r="X1195">
        <v>8</v>
      </c>
      <c r="Y1195">
        <v>7</v>
      </c>
      <c r="Z1195">
        <v>8</v>
      </c>
      <c r="AA1195">
        <v>7</v>
      </c>
      <c r="AB1195">
        <v>0.46666999999999997</v>
      </c>
      <c r="AC1195" t="s">
        <v>136</v>
      </c>
      <c r="AD1195" t="s">
        <v>152</v>
      </c>
      <c r="AE1195" t="s">
        <v>62</v>
      </c>
      <c r="AF1195" t="s">
        <v>62</v>
      </c>
      <c r="AG1195">
        <v>2</v>
      </c>
      <c r="AH1195">
        <v>6</v>
      </c>
      <c r="AI1195">
        <v>12</v>
      </c>
      <c r="AJ1195">
        <v>0.33333000000000002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2</v>
      </c>
      <c r="AQ1195">
        <v>1</v>
      </c>
      <c r="AR1195">
        <v>3</v>
      </c>
      <c r="AS1195">
        <v>12</v>
      </c>
      <c r="AT1195">
        <v>0.2</v>
      </c>
      <c r="AU1195">
        <v>12</v>
      </c>
      <c r="AV1195">
        <v>10</v>
      </c>
      <c r="AW1195">
        <v>27</v>
      </c>
      <c r="AX1195">
        <v>14</v>
      </c>
      <c r="AY1195">
        <v>18</v>
      </c>
      <c r="AZ1195">
        <v>4</v>
      </c>
      <c r="BA1195" t="s">
        <v>22485</v>
      </c>
      <c r="BB1195" t="s">
        <v>22486</v>
      </c>
      <c r="BC1195">
        <v>0.628</v>
      </c>
      <c r="BD1195" t="s">
        <v>65</v>
      </c>
      <c r="BE1195">
        <v>45</v>
      </c>
      <c r="BF1195">
        <v>18</v>
      </c>
      <c r="BG1195" t="s">
        <v>22487</v>
      </c>
      <c r="BH1195" t="s">
        <v>22488</v>
      </c>
      <c r="BI1195" t="s">
        <v>22489</v>
      </c>
      <c r="BJ1195">
        <v>9.9099999999999994E-2</v>
      </c>
      <c r="BK1195">
        <v>1</v>
      </c>
      <c r="BL1195" t="s">
        <v>69</v>
      </c>
      <c r="BM1195">
        <v>-0.92500000000000004</v>
      </c>
      <c r="BN1195">
        <v>-0.105</v>
      </c>
    </row>
    <row r="1196" spans="2:66">
      <c r="B1196">
        <v>1923</v>
      </c>
      <c r="C1196">
        <v>297</v>
      </c>
      <c r="D1196">
        <v>0</v>
      </c>
      <c r="E1196">
        <v>11</v>
      </c>
      <c r="F1196">
        <v>0</v>
      </c>
      <c r="J1196">
        <v>0</v>
      </c>
      <c r="K1196">
        <v>2</v>
      </c>
      <c r="L1196">
        <v>0</v>
      </c>
      <c r="M1196" t="s">
        <v>25022</v>
      </c>
      <c r="N1196">
        <v>3836</v>
      </c>
      <c r="O1196" t="s">
        <v>22490</v>
      </c>
      <c r="P1196" t="s">
        <v>62</v>
      </c>
      <c r="Q1196">
        <v>3797088</v>
      </c>
      <c r="R1196">
        <v>3798155</v>
      </c>
      <c r="S1196" t="s">
        <v>22491</v>
      </c>
      <c r="T1196">
        <v>356</v>
      </c>
      <c r="U1196" t="s">
        <v>22492</v>
      </c>
      <c r="V1196">
        <v>48</v>
      </c>
      <c r="W1196" t="str">
        <f>HYPERLINK("Gene3836-zp_tree_all.dnd", "Gene3836-tree")</f>
        <v>Gene3836-tree</v>
      </c>
      <c r="X1196">
        <v>16</v>
      </c>
      <c r="Y1196">
        <v>1</v>
      </c>
      <c r="Z1196">
        <v>16</v>
      </c>
      <c r="AA1196">
        <v>1</v>
      </c>
      <c r="AB1196">
        <v>5.8819999999999997E-2</v>
      </c>
      <c r="AC1196" t="s">
        <v>60</v>
      </c>
      <c r="AD1196" t="s">
        <v>175</v>
      </c>
      <c r="AE1196" t="s">
        <v>62</v>
      </c>
      <c r="AF1196" t="s">
        <v>62</v>
      </c>
      <c r="AG1196">
        <v>1</v>
      </c>
      <c r="AH1196">
        <v>2</v>
      </c>
      <c r="AI1196">
        <v>2</v>
      </c>
      <c r="AJ1196">
        <v>0.5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13</v>
      </c>
      <c r="AV1196">
        <v>13</v>
      </c>
      <c r="AW1196">
        <v>49</v>
      </c>
      <c r="AX1196">
        <v>1</v>
      </c>
      <c r="AY1196">
        <v>76</v>
      </c>
      <c r="AZ1196">
        <v>3</v>
      </c>
      <c r="BA1196" t="s">
        <v>22493</v>
      </c>
      <c r="BB1196" t="s">
        <v>22494</v>
      </c>
      <c r="BC1196">
        <v>0.23599999999999999</v>
      </c>
      <c r="BD1196" t="s">
        <v>65</v>
      </c>
      <c r="BE1196">
        <v>125</v>
      </c>
      <c r="BF1196">
        <v>4</v>
      </c>
      <c r="BG1196" t="s">
        <v>22495</v>
      </c>
      <c r="BH1196" t="s">
        <v>22496</v>
      </c>
      <c r="BI1196" t="s">
        <v>22497</v>
      </c>
      <c r="BJ1196">
        <v>7.1700000000000002E-3</v>
      </c>
      <c r="BK1196">
        <v>1</v>
      </c>
      <c r="BL1196" t="s">
        <v>69</v>
      </c>
      <c r="BM1196">
        <v>-0.61099999999999999</v>
      </c>
      <c r="BN1196">
        <v>-0.28999999999999998</v>
      </c>
    </row>
    <row r="1197" spans="2:66">
      <c r="B1197">
        <v>1924</v>
      </c>
      <c r="C1197">
        <v>330</v>
      </c>
      <c r="D1197">
        <v>0</v>
      </c>
      <c r="E1197">
        <v>18</v>
      </c>
      <c r="F1197">
        <v>2</v>
      </c>
      <c r="J1197">
        <v>0</v>
      </c>
      <c r="K1197">
        <v>0</v>
      </c>
      <c r="L1197">
        <v>0</v>
      </c>
      <c r="M1197" t="s">
        <v>25022</v>
      </c>
      <c r="N1197">
        <v>3839</v>
      </c>
      <c r="O1197" t="s">
        <v>22511</v>
      </c>
      <c r="P1197" t="s">
        <v>62</v>
      </c>
      <c r="Q1197">
        <v>3799380</v>
      </c>
      <c r="R1197">
        <v>3800336</v>
      </c>
      <c r="S1197" t="s">
        <v>22512</v>
      </c>
      <c r="T1197">
        <v>319</v>
      </c>
      <c r="U1197" t="s">
        <v>289</v>
      </c>
      <c r="V1197">
        <v>46</v>
      </c>
      <c r="W1197" t="str">
        <f>HYPERLINK("Gene3839-zp_tree_all.dnd", "Gene3839-tree")</f>
        <v>Gene3839-tree</v>
      </c>
      <c r="X1197">
        <v>16</v>
      </c>
      <c r="Y1197">
        <v>1</v>
      </c>
      <c r="Z1197">
        <v>16</v>
      </c>
      <c r="AA1197">
        <v>1</v>
      </c>
      <c r="AB1197">
        <v>5.8819999999999997E-2</v>
      </c>
      <c r="AC1197" t="s">
        <v>60</v>
      </c>
      <c r="AD1197" t="s">
        <v>175</v>
      </c>
      <c r="AE1197" t="s">
        <v>62</v>
      </c>
      <c r="AF1197" t="s">
        <v>62</v>
      </c>
      <c r="AG1197">
        <v>0</v>
      </c>
      <c r="AH1197">
        <v>0</v>
      </c>
      <c r="AI1197">
        <v>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0</v>
      </c>
      <c r="AU1197">
        <v>11</v>
      </c>
      <c r="AV1197">
        <v>10</v>
      </c>
      <c r="AW1197">
        <v>36</v>
      </c>
      <c r="AX1197">
        <v>2</v>
      </c>
      <c r="AY1197">
        <v>36</v>
      </c>
      <c r="AZ1197">
        <v>6</v>
      </c>
      <c r="BA1197" t="s">
        <v>22513</v>
      </c>
      <c r="BB1197" t="s">
        <v>22514</v>
      </c>
      <c r="BC1197">
        <v>0.311</v>
      </c>
      <c r="BD1197" t="s">
        <v>65</v>
      </c>
      <c r="BE1197">
        <v>72</v>
      </c>
      <c r="BF1197">
        <v>8</v>
      </c>
      <c r="BG1197" t="s">
        <v>22515</v>
      </c>
      <c r="BH1197" t="s">
        <v>22516</v>
      </c>
      <c r="BI1197" t="s">
        <v>22517</v>
      </c>
      <c r="BJ1197">
        <v>4.122E-2</v>
      </c>
      <c r="BK1197">
        <v>1</v>
      </c>
      <c r="BL1197" t="s">
        <v>69</v>
      </c>
      <c r="BM1197">
        <v>-1.7450000000000001</v>
      </c>
      <c r="BN1197">
        <v>-1.554</v>
      </c>
    </row>
    <row r="1198" spans="2:66">
      <c r="B1198">
        <v>1925</v>
      </c>
      <c r="C1198">
        <v>184</v>
      </c>
      <c r="D1198">
        <v>0</v>
      </c>
      <c r="E1198">
        <v>12</v>
      </c>
      <c r="F1198">
        <v>3</v>
      </c>
      <c r="J1198">
        <v>0</v>
      </c>
      <c r="K1198">
        <v>8</v>
      </c>
      <c r="L1198">
        <v>3</v>
      </c>
      <c r="M1198" t="s">
        <v>25022</v>
      </c>
      <c r="N1198">
        <v>3840</v>
      </c>
      <c r="O1198" t="s">
        <v>22518</v>
      </c>
      <c r="P1198" t="s">
        <v>62</v>
      </c>
      <c r="Q1198">
        <v>3800421</v>
      </c>
      <c r="R1198">
        <v>3802166</v>
      </c>
      <c r="S1198" t="s">
        <v>18011</v>
      </c>
      <c r="T1198">
        <v>582</v>
      </c>
      <c r="U1198" t="s">
        <v>22492</v>
      </c>
      <c r="V1198">
        <v>48</v>
      </c>
      <c r="W1198" t="str">
        <f>HYPERLINK("Gene3840-zp_tree_all.dnd", "Gene3840-tree")</f>
        <v>Gene3840-tree</v>
      </c>
      <c r="X1198">
        <v>11</v>
      </c>
      <c r="Y1198">
        <v>9</v>
      </c>
      <c r="Z1198">
        <v>11</v>
      </c>
      <c r="AA1198">
        <v>9</v>
      </c>
      <c r="AB1198">
        <v>0.45</v>
      </c>
      <c r="AC1198" t="s">
        <v>73</v>
      </c>
      <c r="AD1198" t="s">
        <v>135</v>
      </c>
      <c r="AE1198" t="s">
        <v>62</v>
      </c>
      <c r="AF1198" t="s">
        <v>62</v>
      </c>
      <c r="AG1198">
        <v>5</v>
      </c>
      <c r="AH1198">
        <v>11</v>
      </c>
      <c r="AI1198">
        <v>11</v>
      </c>
      <c r="AJ1198">
        <v>0.5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8</v>
      </c>
      <c r="AT1198">
        <v>0</v>
      </c>
      <c r="AU1198">
        <v>18</v>
      </c>
      <c r="AV1198">
        <v>15</v>
      </c>
      <c r="AW1198">
        <v>65</v>
      </c>
      <c r="AX1198">
        <v>8</v>
      </c>
      <c r="AY1198">
        <v>99</v>
      </c>
      <c r="AZ1198">
        <v>14</v>
      </c>
      <c r="BA1198" t="s">
        <v>22519</v>
      </c>
      <c r="BB1198" t="s">
        <v>22520</v>
      </c>
      <c r="BC1198">
        <v>9.1999999999999998E-2</v>
      </c>
      <c r="BD1198" t="s">
        <v>65</v>
      </c>
      <c r="BE1198">
        <v>164</v>
      </c>
      <c r="BF1198">
        <v>22</v>
      </c>
      <c r="BG1198" t="s">
        <v>22521</v>
      </c>
      <c r="BH1198" t="s">
        <v>22522</v>
      </c>
      <c r="BI1198" t="s">
        <v>6538</v>
      </c>
      <c r="BJ1198">
        <v>3.6459999999999999E-2</v>
      </c>
      <c r="BK1198">
        <v>1</v>
      </c>
      <c r="BL1198" t="s">
        <v>69</v>
      </c>
      <c r="BM1198">
        <v>-1.3080000000000001</v>
      </c>
      <c r="BN1198">
        <v>-0.622</v>
      </c>
    </row>
    <row r="1199" spans="2:66">
      <c r="B1199">
        <v>1926</v>
      </c>
      <c r="C1199">
        <v>509</v>
      </c>
      <c r="D1199">
        <v>0</v>
      </c>
      <c r="E1199">
        <v>25</v>
      </c>
      <c r="F1199">
        <v>2</v>
      </c>
      <c r="J1199">
        <v>0</v>
      </c>
      <c r="K1199">
        <v>4</v>
      </c>
      <c r="L1199">
        <v>0</v>
      </c>
      <c r="M1199" t="s">
        <v>25022</v>
      </c>
      <c r="N1199">
        <v>3841</v>
      </c>
      <c r="O1199" t="s">
        <v>22523</v>
      </c>
      <c r="P1199" t="s">
        <v>62</v>
      </c>
      <c r="Q1199">
        <v>3802408</v>
      </c>
      <c r="R1199">
        <v>3802992</v>
      </c>
      <c r="S1199" t="s">
        <v>22524</v>
      </c>
      <c r="T1199">
        <v>195</v>
      </c>
      <c r="U1199" t="s">
        <v>108</v>
      </c>
      <c r="V1199">
        <v>44</v>
      </c>
      <c r="W1199" t="str">
        <f>HYPERLINK("Gene3841-zp_tree_all.dnd", "Gene3841-tree")</f>
        <v>Gene3841-tree</v>
      </c>
      <c r="X1199">
        <v>10</v>
      </c>
      <c r="Y1199">
        <v>3</v>
      </c>
      <c r="Z1199">
        <v>10</v>
      </c>
      <c r="AA1199">
        <v>3</v>
      </c>
      <c r="AB1199">
        <v>0.23077</v>
      </c>
      <c r="AC1199" t="s">
        <v>117</v>
      </c>
      <c r="AD1199" t="s">
        <v>324</v>
      </c>
      <c r="AE1199" t="s">
        <v>62</v>
      </c>
      <c r="AF1199" t="s">
        <v>62</v>
      </c>
      <c r="AG1199">
        <v>2</v>
      </c>
      <c r="AH1199">
        <v>4</v>
      </c>
      <c r="AI1199">
        <v>3</v>
      </c>
      <c r="AJ1199">
        <v>0.57142999999999999</v>
      </c>
      <c r="AK1199">
        <v>2</v>
      </c>
      <c r="AL1199">
        <v>0</v>
      </c>
      <c r="AM1199">
        <v>2</v>
      </c>
      <c r="AN1199">
        <v>1</v>
      </c>
      <c r="AO1199">
        <v>0.66666999999999998</v>
      </c>
      <c r="AP1199">
        <v>0</v>
      </c>
      <c r="AQ1199">
        <v>0</v>
      </c>
      <c r="AR1199">
        <v>0</v>
      </c>
      <c r="AS1199">
        <v>3</v>
      </c>
      <c r="AT1199">
        <v>0</v>
      </c>
      <c r="AU1199">
        <v>8</v>
      </c>
      <c r="AV1199">
        <v>6</v>
      </c>
      <c r="AW1199">
        <v>10</v>
      </c>
      <c r="AX1199">
        <v>3</v>
      </c>
      <c r="AY1199">
        <v>3</v>
      </c>
      <c r="AZ1199">
        <v>4</v>
      </c>
      <c r="BA1199" t="s">
        <v>22525</v>
      </c>
      <c r="BB1199" t="s">
        <v>22526</v>
      </c>
      <c r="BC1199">
        <v>0.66200000000000003</v>
      </c>
      <c r="BD1199" t="s">
        <v>65</v>
      </c>
      <c r="BE1199">
        <v>13</v>
      </c>
      <c r="BF1199">
        <v>7</v>
      </c>
      <c r="BG1199" t="s">
        <v>22527</v>
      </c>
      <c r="BH1199" t="s">
        <v>22528</v>
      </c>
      <c r="BI1199" t="s">
        <v>14815</v>
      </c>
      <c r="BJ1199">
        <v>0.13747999999999999</v>
      </c>
      <c r="BK1199">
        <v>0.99</v>
      </c>
      <c r="BL1199" t="s">
        <v>69</v>
      </c>
      <c r="BM1199">
        <v>-0.88900000000000001</v>
      </c>
      <c r="BN1199">
        <v>-2.2130000000000001</v>
      </c>
    </row>
    <row r="1200" spans="2:66">
      <c r="B1200">
        <v>1927</v>
      </c>
      <c r="C1200">
        <v>23</v>
      </c>
      <c r="D1200">
        <v>0</v>
      </c>
      <c r="E1200">
        <v>4</v>
      </c>
      <c r="F1200">
        <v>0</v>
      </c>
      <c r="J1200">
        <v>0</v>
      </c>
      <c r="K1200">
        <v>0</v>
      </c>
      <c r="L1200">
        <v>0</v>
      </c>
      <c r="M1200" t="s">
        <v>25022</v>
      </c>
      <c r="N1200">
        <v>3843</v>
      </c>
      <c r="O1200" t="s">
        <v>22529</v>
      </c>
      <c r="P1200" t="s">
        <v>62</v>
      </c>
      <c r="Q1200">
        <v>3803403</v>
      </c>
      <c r="R1200">
        <v>3804683</v>
      </c>
      <c r="S1200" t="s">
        <v>22530</v>
      </c>
      <c r="T1200">
        <v>427</v>
      </c>
      <c r="U1200" t="s">
        <v>59</v>
      </c>
      <c r="V1200">
        <v>49</v>
      </c>
      <c r="W1200" t="str">
        <f>HYPERLINK("Gene3843-zp_tree_all.dnd", "Gene3843-tree")</f>
        <v>Gene3843-tree</v>
      </c>
      <c r="X1200">
        <v>37</v>
      </c>
      <c r="Y1200">
        <v>0</v>
      </c>
      <c r="Z1200">
        <v>18</v>
      </c>
      <c r="AA1200">
        <v>0</v>
      </c>
      <c r="AB1200">
        <v>0</v>
      </c>
      <c r="AC1200" t="s">
        <v>9478</v>
      </c>
      <c r="AD1200" t="s">
        <v>62</v>
      </c>
      <c r="AE1200" t="s">
        <v>62</v>
      </c>
      <c r="AF1200" t="s">
        <v>62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16</v>
      </c>
      <c r="AV1200">
        <v>14</v>
      </c>
      <c r="AW1200">
        <v>57</v>
      </c>
      <c r="AX1200">
        <v>0</v>
      </c>
      <c r="AY1200">
        <v>82</v>
      </c>
      <c r="AZ1200">
        <v>0</v>
      </c>
      <c r="BA1200" t="s">
        <v>193</v>
      </c>
      <c r="BB1200" t="s">
        <v>193</v>
      </c>
      <c r="BC1200">
        <v>0</v>
      </c>
      <c r="BD1200" t="s">
        <v>65</v>
      </c>
      <c r="BE1200">
        <v>139</v>
      </c>
      <c r="BF1200">
        <v>0</v>
      </c>
      <c r="BG1200" t="s">
        <v>22531</v>
      </c>
      <c r="BH1200" t="s">
        <v>22532</v>
      </c>
      <c r="BI1200" t="s">
        <v>193</v>
      </c>
      <c r="BJ1200">
        <v>0</v>
      </c>
      <c r="BK1200">
        <v>1</v>
      </c>
      <c r="BL1200" t="s">
        <v>69</v>
      </c>
      <c r="BM1200">
        <v>-0.89900000000000002</v>
      </c>
      <c r="BN1200">
        <v>-0.151</v>
      </c>
    </row>
    <row r="1201" spans="2:66">
      <c r="B1201">
        <v>1931</v>
      </c>
      <c r="C1201">
        <v>159</v>
      </c>
      <c r="D1201">
        <v>0</v>
      </c>
      <c r="E1201">
        <v>23</v>
      </c>
      <c r="F1201">
        <v>0</v>
      </c>
      <c r="J1201">
        <v>0</v>
      </c>
      <c r="K1201">
        <v>2</v>
      </c>
      <c r="L1201">
        <v>0</v>
      </c>
      <c r="M1201" t="s">
        <v>25022</v>
      </c>
      <c r="N1201">
        <v>3845</v>
      </c>
      <c r="O1201" t="s">
        <v>22533</v>
      </c>
      <c r="P1201" t="s">
        <v>62</v>
      </c>
      <c r="Q1201">
        <v>3805093</v>
      </c>
      <c r="R1201">
        <v>3806055</v>
      </c>
      <c r="S1201" t="s">
        <v>22534</v>
      </c>
      <c r="T1201">
        <v>321</v>
      </c>
      <c r="U1201" t="s">
        <v>22535</v>
      </c>
      <c r="V1201">
        <v>46</v>
      </c>
      <c r="W1201" t="str">
        <f>HYPERLINK("Gene3845-zp_tree_all.dnd", "Gene3845-tree")</f>
        <v>Gene3845-tree</v>
      </c>
      <c r="X1201">
        <v>34</v>
      </c>
      <c r="Y1201">
        <v>1</v>
      </c>
      <c r="Z1201">
        <v>17</v>
      </c>
      <c r="AA1201">
        <v>1</v>
      </c>
      <c r="AB1201">
        <v>5.5559999999999998E-2</v>
      </c>
      <c r="AC1201" t="s">
        <v>22536</v>
      </c>
      <c r="AD1201" t="s">
        <v>175</v>
      </c>
      <c r="AE1201" t="s">
        <v>62</v>
      </c>
      <c r="AF1201" t="s">
        <v>62</v>
      </c>
      <c r="AG1201">
        <v>1</v>
      </c>
      <c r="AH1201">
        <v>2</v>
      </c>
      <c r="AI1201">
        <v>1</v>
      </c>
      <c r="AJ1201">
        <v>0.66666999999999998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16</v>
      </c>
      <c r="AV1201">
        <v>8</v>
      </c>
      <c r="AW1201">
        <v>60</v>
      </c>
      <c r="AX1201">
        <v>1</v>
      </c>
      <c r="AY1201">
        <v>54</v>
      </c>
      <c r="AZ1201">
        <v>2</v>
      </c>
      <c r="BA1201" t="s">
        <v>22537</v>
      </c>
      <c r="BB1201" t="s">
        <v>22538</v>
      </c>
      <c r="BC1201">
        <v>0.224</v>
      </c>
      <c r="BD1201" t="s">
        <v>65</v>
      </c>
      <c r="BE1201">
        <v>114</v>
      </c>
      <c r="BF1201">
        <v>3</v>
      </c>
      <c r="BG1201" t="s">
        <v>22539</v>
      </c>
      <c r="BH1201" t="s">
        <v>22540</v>
      </c>
      <c r="BI1201" t="s">
        <v>68</v>
      </c>
      <c r="BJ1201">
        <v>7.8499999999999993E-3</v>
      </c>
      <c r="BK1201">
        <v>1</v>
      </c>
      <c r="BL1201" t="s">
        <v>69</v>
      </c>
      <c r="BM1201">
        <v>-1.3160000000000001</v>
      </c>
      <c r="BN1201">
        <v>-0.55700000000000005</v>
      </c>
    </row>
    <row r="1202" spans="2:66">
      <c r="B1202">
        <v>1932</v>
      </c>
      <c r="C1202">
        <v>362</v>
      </c>
      <c r="D1202">
        <v>0</v>
      </c>
      <c r="E1202">
        <v>4</v>
      </c>
      <c r="F1202">
        <v>4</v>
      </c>
      <c r="J1202">
        <v>0</v>
      </c>
      <c r="K1202">
        <v>0</v>
      </c>
      <c r="L1202">
        <v>2</v>
      </c>
      <c r="M1202" t="s">
        <v>25022</v>
      </c>
      <c r="N1202">
        <v>3846</v>
      </c>
      <c r="O1202" t="s">
        <v>22541</v>
      </c>
      <c r="P1202" t="s">
        <v>62</v>
      </c>
      <c r="Q1202">
        <v>3806089</v>
      </c>
      <c r="R1202">
        <v>3807375</v>
      </c>
      <c r="S1202" t="s">
        <v>22332</v>
      </c>
      <c r="T1202">
        <v>429</v>
      </c>
      <c r="U1202" t="s">
        <v>59</v>
      </c>
      <c r="V1202">
        <v>49</v>
      </c>
      <c r="W1202" t="str">
        <f>HYPERLINK("Gene3846-zp_tree_all.dnd", "Gene3846-tree")</f>
        <v>Gene3846-tree</v>
      </c>
      <c r="X1202">
        <v>17</v>
      </c>
      <c r="Y1202">
        <v>3</v>
      </c>
      <c r="Z1202">
        <v>17</v>
      </c>
      <c r="AA1202">
        <v>3</v>
      </c>
      <c r="AB1202">
        <v>0.15</v>
      </c>
      <c r="AC1202" t="s">
        <v>266</v>
      </c>
      <c r="AD1202" t="s">
        <v>324</v>
      </c>
      <c r="AE1202" t="s">
        <v>62</v>
      </c>
      <c r="AF1202" t="s">
        <v>62</v>
      </c>
      <c r="AG1202">
        <v>1</v>
      </c>
      <c r="AH1202">
        <v>2</v>
      </c>
      <c r="AI1202">
        <v>3</v>
      </c>
      <c r="AJ1202">
        <v>0.4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3</v>
      </c>
      <c r="AT1202">
        <v>0</v>
      </c>
      <c r="AU1202">
        <v>16</v>
      </c>
      <c r="AV1202">
        <v>13</v>
      </c>
      <c r="AW1202">
        <v>73</v>
      </c>
      <c r="AX1202">
        <v>3</v>
      </c>
      <c r="AY1202">
        <v>85</v>
      </c>
      <c r="AZ1202">
        <v>2</v>
      </c>
      <c r="BA1202" t="s">
        <v>22542</v>
      </c>
      <c r="BB1202" t="s">
        <v>22543</v>
      </c>
      <c r="BC1202">
        <v>0.26200000000000001</v>
      </c>
      <c r="BD1202" t="s">
        <v>65</v>
      </c>
      <c r="BE1202">
        <v>158</v>
      </c>
      <c r="BF1202">
        <v>5</v>
      </c>
      <c r="BG1202" t="s">
        <v>22544</v>
      </c>
      <c r="BH1202" t="s">
        <v>22545</v>
      </c>
      <c r="BI1202" t="s">
        <v>22546</v>
      </c>
      <c r="BJ1202">
        <v>1.009E-2</v>
      </c>
      <c r="BK1202">
        <v>1</v>
      </c>
      <c r="BL1202" t="s">
        <v>69</v>
      </c>
      <c r="BM1202">
        <v>-1.532</v>
      </c>
      <c r="BN1202">
        <v>-1.0720000000000001</v>
      </c>
    </row>
    <row r="1203" spans="2:66">
      <c r="B1203">
        <v>1933</v>
      </c>
      <c r="C1203">
        <v>102</v>
      </c>
      <c r="D1203">
        <v>0</v>
      </c>
      <c r="E1203">
        <v>4</v>
      </c>
      <c r="F1203">
        <v>1</v>
      </c>
      <c r="J1203">
        <v>0</v>
      </c>
      <c r="K1203">
        <v>0</v>
      </c>
      <c r="L1203">
        <v>0</v>
      </c>
      <c r="M1203" t="s">
        <v>25022</v>
      </c>
      <c r="N1203">
        <v>3847</v>
      </c>
      <c r="O1203" t="s">
        <v>22547</v>
      </c>
      <c r="P1203" t="s">
        <v>62</v>
      </c>
      <c r="Q1203">
        <v>3807757</v>
      </c>
      <c r="R1203">
        <v>3808392</v>
      </c>
      <c r="S1203" t="s">
        <v>22548</v>
      </c>
      <c r="T1203">
        <v>212</v>
      </c>
      <c r="U1203" t="s">
        <v>59</v>
      </c>
      <c r="V1203">
        <v>49</v>
      </c>
      <c r="W1203" t="str">
        <f>HYPERLINK("Gene3847-zp_tree_all.dnd", "Gene3847-tree")</f>
        <v>Gene3847-tree</v>
      </c>
      <c r="X1203">
        <v>17</v>
      </c>
      <c r="Y1203">
        <v>0</v>
      </c>
      <c r="Z1203">
        <v>17</v>
      </c>
      <c r="AA1203">
        <v>0</v>
      </c>
      <c r="AB1203">
        <v>0</v>
      </c>
      <c r="AC1203" t="s">
        <v>266</v>
      </c>
      <c r="AD1203" t="s">
        <v>62</v>
      </c>
      <c r="AE1203" t="s">
        <v>62</v>
      </c>
      <c r="AF1203" t="s">
        <v>62</v>
      </c>
      <c r="AG1203">
        <v>0</v>
      </c>
      <c r="AH1203">
        <v>0</v>
      </c>
      <c r="AI1203">
        <v>5</v>
      </c>
      <c r="AJ1203">
        <v>0</v>
      </c>
      <c r="AK1203">
        <v>0</v>
      </c>
      <c r="AL1203">
        <v>0</v>
      </c>
      <c r="AM1203">
        <v>0</v>
      </c>
      <c r="AN1203">
        <v>2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12</v>
      </c>
      <c r="AV1203">
        <v>10</v>
      </c>
      <c r="AW1203">
        <v>22</v>
      </c>
      <c r="AX1203">
        <v>0</v>
      </c>
      <c r="AY1203">
        <v>40</v>
      </c>
      <c r="AZ1203">
        <v>6</v>
      </c>
      <c r="BA1203" t="s">
        <v>193</v>
      </c>
      <c r="BB1203" t="s">
        <v>22549</v>
      </c>
      <c r="BC1203">
        <v>1.0189999999999999</v>
      </c>
      <c r="BD1203" t="s">
        <v>65</v>
      </c>
      <c r="BE1203">
        <v>62</v>
      </c>
      <c r="BF1203">
        <v>6</v>
      </c>
      <c r="BG1203" t="s">
        <v>22550</v>
      </c>
      <c r="BH1203" t="s">
        <v>22551</v>
      </c>
      <c r="BI1203" t="s">
        <v>22552</v>
      </c>
      <c r="BJ1203">
        <v>4.0070000000000001E-2</v>
      </c>
      <c r="BK1203">
        <v>1</v>
      </c>
      <c r="BL1203" t="s">
        <v>69</v>
      </c>
      <c r="BM1203">
        <v>-1.0149999999999999</v>
      </c>
      <c r="BN1203">
        <v>0.76600000000000001</v>
      </c>
    </row>
    <row r="1204" spans="2:66">
      <c r="B1204">
        <v>1934</v>
      </c>
      <c r="C1204">
        <v>222</v>
      </c>
      <c r="D1204">
        <v>0</v>
      </c>
      <c r="E1204">
        <v>2</v>
      </c>
      <c r="F1204">
        <v>0</v>
      </c>
      <c r="J1204">
        <v>0</v>
      </c>
      <c r="K1204">
        <v>2</v>
      </c>
      <c r="L1204">
        <v>0</v>
      </c>
      <c r="M1204" t="s">
        <v>25022</v>
      </c>
      <c r="N1204">
        <v>3848</v>
      </c>
      <c r="O1204" t="s">
        <v>22553</v>
      </c>
      <c r="P1204" t="s">
        <v>62</v>
      </c>
      <c r="Q1204">
        <v>3808515</v>
      </c>
      <c r="R1204">
        <v>3809369</v>
      </c>
      <c r="S1204" t="s">
        <v>22554</v>
      </c>
      <c r="T1204">
        <v>285</v>
      </c>
      <c r="U1204" t="s">
        <v>59</v>
      </c>
      <c r="V1204">
        <v>49</v>
      </c>
      <c r="W1204" t="str">
        <f>HYPERLINK("Gene3848-zp_tree_all.dnd", "Gene3848-tree")</f>
        <v>Gene3848-tree</v>
      </c>
      <c r="X1204">
        <v>15</v>
      </c>
      <c r="Y1204">
        <v>2</v>
      </c>
      <c r="Z1204">
        <v>15</v>
      </c>
      <c r="AA1204">
        <v>2</v>
      </c>
      <c r="AB1204">
        <v>0.11765</v>
      </c>
      <c r="AC1204" t="s">
        <v>100</v>
      </c>
      <c r="AD1204" t="s">
        <v>81</v>
      </c>
      <c r="AE1204" t="s">
        <v>62</v>
      </c>
      <c r="AF1204" t="s">
        <v>62</v>
      </c>
      <c r="AG1204">
        <v>1</v>
      </c>
      <c r="AH1204">
        <v>2</v>
      </c>
      <c r="AI1204">
        <v>4</v>
      </c>
      <c r="AJ1204">
        <v>0.33333000000000002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3</v>
      </c>
      <c r="AT1204">
        <v>0</v>
      </c>
      <c r="AU1204">
        <v>11</v>
      </c>
      <c r="AV1204">
        <v>10</v>
      </c>
      <c r="AW1204">
        <v>18</v>
      </c>
      <c r="AX1204">
        <v>3</v>
      </c>
      <c r="AY1204">
        <v>17</v>
      </c>
      <c r="AZ1204">
        <v>3</v>
      </c>
      <c r="BA1204" t="s">
        <v>22555</v>
      </c>
      <c r="BB1204" t="s">
        <v>22556</v>
      </c>
      <c r="BC1204">
        <v>2.5000000000000001E-2</v>
      </c>
      <c r="BD1204" t="s">
        <v>65</v>
      </c>
      <c r="BE1204">
        <v>35</v>
      </c>
      <c r="BF1204">
        <v>6</v>
      </c>
      <c r="BG1204" t="s">
        <v>22557</v>
      </c>
      <c r="BH1204" t="s">
        <v>22558</v>
      </c>
      <c r="BI1204" t="s">
        <v>22559</v>
      </c>
      <c r="BJ1204">
        <v>5.2699999999999997E-2</v>
      </c>
      <c r="BK1204">
        <v>1</v>
      </c>
      <c r="BL1204" t="s">
        <v>69</v>
      </c>
      <c r="BM1204">
        <v>-1.585</v>
      </c>
      <c r="BN1204">
        <v>-1.83</v>
      </c>
    </row>
    <row r="1205" spans="2:66">
      <c r="B1205">
        <v>1936</v>
      </c>
      <c r="C1205">
        <v>26</v>
      </c>
      <c r="D1205">
        <v>0</v>
      </c>
      <c r="E1205">
        <v>4</v>
      </c>
      <c r="F1205">
        <v>0</v>
      </c>
      <c r="J1205">
        <v>0</v>
      </c>
      <c r="K1205">
        <v>0</v>
      </c>
      <c r="L1205">
        <v>0</v>
      </c>
      <c r="M1205" t="s">
        <v>25022</v>
      </c>
      <c r="N1205">
        <v>3849</v>
      </c>
      <c r="O1205" t="s">
        <v>22560</v>
      </c>
      <c r="P1205" t="s">
        <v>62</v>
      </c>
      <c r="Q1205">
        <v>3809553</v>
      </c>
      <c r="R1205">
        <v>3809924</v>
      </c>
      <c r="S1205" t="s">
        <v>22561</v>
      </c>
      <c r="T1205">
        <v>124</v>
      </c>
      <c r="U1205" t="s">
        <v>125</v>
      </c>
      <c r="V1205">
        <v>48</v>
      </c>
      <c r="W1205" t="str">
        <f>HYPERLINK("Gene3849-zp_tree_all.dnd", "Gene3849-tree")</f>
        <v>Gene3849-tree</v>
      </c>
      <c r="X1205">
        <v>29</v>
      </c>
      <c r="Y1205">
        <v>0</v>
      </c>
      <c r="Z1205">
        <v>12</v>
      </c>
      <c r="AA1205">
        <v>0</v>
      </c>
      <c r="AB1205">
        <v>0</v>
      </c>
      <c r="AC1205" t="s">
        <v>1455</v>
      </c>
      <c r="AD1205" t="s">
        <v>62</v>
      </c>
      <c r="AE1205" t="s">
        <v>62</v>
      </c>
      <c r="AF1205" t="s">
        <v>62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7</v>
      </c>
      <c r="AV1205">
        <v>5</v>
      </c>
      <c r="AW1205">
        <v>9</v>
      </c>
      <c r="AX1205">
        <v>0</v>
      </c>
      <c r="AY1205">
        <v>19</v>
      </c>
      <c r="AZ1205">
        <v>0</v>
      </c>
      <c r="BA1205" t="s">
        <v>193</v>
      </c>
      <c r="BB1205" t="s">
        <v>193</v>
      </c>
      <c r="BC1205">
        <v>0</v>
      </c>
      <c r="BD1205" t="s">
        <v>65</v>
      </c>
      <c r="BE1205">
        <v>28</v>
      </c>
      <c r="BF1205">
        <v>0</v>
      </c>
      <c r="BG1205" t="s">
        <v>22562</v>
      </c>
      <c r="BH1205" t="s">
        <v>22563</v>
      </c>
      <c r="BI1205" t="s">
        <v>193</v>
      </c>
      <c r="BJ1205">
        <v>0</v>
      </c>
      <c r="BK1205">
        <v>1</v>
      </c>
      <c r="BL1205" t="s">
        <v>69</v>
      </c>
      <c r="BM1205">
        <v>-0.94199999999999995</v>
      </c>
      <c r="BN1205">
        <v>0.16600000000000001</v>
      </c>
    </row>
    <row r="1206" spans="2:66">
      <c r="B1206">
        <v>1938</v>
      </c>
      <c r="C1206">
        <v>11</v>
      </c>
      <c r="D1206">
        <v>0</v>
      </c>
      <c r="E1206">
        <v>7</v>
      </c>
      <c r="F1206">
        <v>4</v>
      </c>
      <c r="J1206">
        <v>0</v>
      </c>
      <c r="K1206">
        <v>0</v>
      </c>
      <c r="L1206">
        <v>2</v>
      </c>
      <c r="M1206" t="s">
        <v>25022</v>
      </c>
      <c r="N1206">
        <v>3851</v>
      </c>
      <c r="O1206" t="s">
        <v>22570</v>
      </c>
      <c r="P1206" t="s">
        <v>62</v>
      </c>
      <c r="Q1206">
        <v>3810696</v>
      </c>
      <c r="R1206">
        <v>3812300</v>
      </c>
      <c r="S1206" t="s">
        <v>22571</v>
      </c>
      <c r="T1206">
        <v>535</v>
      </c>
      <c r="U1206" t="s">
        <v>289</v>
      </c>
      <c r="V1206">
        <v>46</v>
      </c>
      <c r="W1206" t="str">
        <f>HYPERLINK("Gene3851-zp_tree_all.dnd", "Gene3851-tree")</f>
        <v>Gene3851-tree</v>
      </c>
      <c r="X1206">
        <v>14</v>
      </c>
      <c r="Y1206">
        <v>3</v>
      </c>
      <c r="Z1206">
        <v>14</v>
      </c>
      <c r="AA1206">
        <v>3</v>
      </c>
      <c r="AB1206">
        <v>0.17646999999999999</v>
      </c>
      <c r="AC1206" t="s">
        <v>543</v>
      </c>
      <c r="AD1206" t="s">
        <v>324</v>
      </c>
      <c r="AE1206" t="s">
        <v>62</v>
      </c>
      <c r="AF1206" t="s">
        <v>62</v>
      </c>
      <c r="AG1206">
        <v>1</v>
      </c>
      <c r="AH1206">
        <v>2</v>
      </c>
      <c r="AI1206">
        <v>7</v>
      </c>
      <c r="AJ1206">
        <v>0.22222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3</v>
      </c>
      <c r="AT1206">
        <v>0</v>
      </c>
      <c r="AU1206">
        <v>15</v>
      </c>
      <c r="AV1206">
        <v>13</v>
      </c>
      <c r="AW1206">
        <v>58</v>
      </c>
      <c r="AX1206">
        <v>3</v>
      </c>
      <c r="AY1206">
        <v>82</v>
      </c>
      <c r="AZ1206">
        <v>7</v>
      </c>
      <c r="BA1206" t="s">
        <v>22572</v>
      </c>
      <c r="BB1206" t="s">
        <v>22573</v>
      </c>
      <c r="BC1206">
        <v>0.10100000000000001</v>
      </c>
      <c r="BD1206" t="s">
        <v>65</v>
      </c>
      <c r="BE1206">
        <v>140</v>
      </c>
      <c r="BF1206">
        <v>10</v>
      </c>
      <c r="BG1206" t="s">
        <v>22574</v>
      </c>
      <c r="BH1206" t="s">
        <v>22575</v>
      </c>
      <c r="BI1206" t="s">
        <v>22576</v>
      </c>
      <c r="BJ1206">
        <v>2.2620000000000001E-2</v>
      </c>
      <c r="BK1206">
        <v>1</v>
      </c>
      <c r="BL1206" t="s">
        <v>69</v>
      </c>
      <c r="BM1206">
        <v>-1.659</v>
      </c>
      <c r="BN1206">
        <v>-0.98699999999999999</v>
      </c>
    </row>
    <row r="1207" spans="2:66">
      <c r="B1207">
        <v>1939</v>
      </c>
      <c r="C1207">
        <v>23</v>
      </c>
      <c r="D1207">
        <v>0</v>
      </c>
      <c r="E1207">
        <v>3</v>
      </c>
      <c r="F1207">
        <v>0</v>
      </c>
      <c r="J1207">
        <v>0</v>
      </c>
      <c r="K1207">
        <v>4</v>
      </c>
      <c r="L1207">
        <v>0</v>
      </c>
      <c r="M1207" t="s">
        <v>25022</v>
      </c>
      <c r="N1207">
        <v>3852</v>
      </c>
      <c r="O1207" t="s">
        <v>22577</v>
      </c>
      <c r="P1207" t="s">
        <v>62</v>
      </c>
      <c r="Q1207">
        <v>3812545</v>
      </c>
      <c r="R1207">
        <v>3813063</v>
      </c>
      <c r="S1207" t="s">
        <v>22578</v>
      </c>
      <c r="T1207">
        <v>173</v>
      </c>
      <c r="U1207" t="s">
        <v>22579</v>
      </c>
      <c r="V1207">
        <v>39</v>
      </c>
      <c r="W1207" t="str">
        <f>HYPERLINK("Gene3852-zp_tree_all.dnd", "Gene3852-tree")</f>
        <v>Gene3852-tree</v>
      </c>
      <c r="X1207">
        <v>8</v>
      </c>
      <c r="Y1207">
        <v>7</v>
      </c>
      <c r="Z1207">
        <v>8</v>
      </c>
      <c r="AA1207">
        <v>7</v>
      </c>
      <c r="AB1207">
        <v>0.46666999999999997</v>
      </c>
      <c r="AC1207" t="s">
        <v>136</v>
      </c>
      <c r="AD1207" t="s">
        <v>152</v>
      </c>
      <c r="AE1207" t="s">
        <v>62</v>
      </c>
      <c r="AF1207" t="s">
        <v>62</v>
      </c>
      <c r="AG1207">
        <v>2</v>
      </c>
      <c r="AH1207">
        <v>4</v>
      </c>
      <c r="AI1207">
        <v>15</v>
      </c>
      <c r="AJ1207">
        <v>0.21052999999999999</v>
      </c>
      <c r="AK1207">
        <v>0</v>
      </c>
      <c r="AL1207">
        <v>0</v>
      </c>
      <c r="AM1207">
        <v>0</v>
      </c>
      <c r="AN1207">
        <v>3</v>
      </c>
      <c r="AO1207">
        <v>0</v>
      </c>
      <c r="AP1207">
        <v>0</v>
      </c>
      <c r="AQ1207">
        <v>0</v>
      </c>
      <c r="AR1207">
        <v>0</v>
      </c>
      <c r="AS1207">
        <v>8</v>
      </c>
      <c r="AT1207">
        <v>0</v>
      </c>
      <c r="AU1207">
        <v>11</v>
      </c>
      <c r="AV1207">
        <v>8</v>
      </c>
      <c r="AW1207">
        <v>11</v>
      </c>
      <c r="AX1207">
        <v>8</v>
      </c>
      <c r="AY1207">
        <v>19</v>
      </c>
      <c r="AZ1207">
        <v>12</v>
      </c>
      <c r="BA1207" t="s">
        <v>22580</v>
      </c>
      <c r="BB1207" t="s">
        <v>22581</v>
      </c>
      <c r="BC1207">
        <v>0.218</v>
      </c>
      <c r="BD1207" t="s">
        <v>65</v>
      </c>
      <c r="BE1207">
        <v>30</v>
      </c>
      <c r="BF1207">
        <v>20</v>
      </c>
      <c r="BG1207" t="s">
        <v>22582</v>
      </c>
      <c r="BH1207" t="s">
        <v>22583</v>
      </c>
      <c r="BI1207" t="s">
        <v>22584</v>
      </c>
      <c r="BJ1207">
        <v>0.13850000000000001</v>
      </c>
      <c r="BK1207">
        <v>1</v>
      </c>
      <c r="BL1207" t="s">
        <v>69</v>
      </c>
      <c r="BM1207">
        <v>-0.98</v>
      </c>
      <c r="BN1207">
        <v>0.55200000000000005</v>
      </c>
    </row>
    <row r="1208" spans="2:66">
      <c r="B1208">
        <v>1943</v>
      </c>
      <c r="C1208">
        <v>38</v>
      </c>
      <c r="D1208">
        <v>0</v>
      </c>
      <c r="E1208">
        <v>4</v>
      </c>
      <c r="F1208">
        <v>0</v>
      </c>
      <c r="J1208">
        <v>0</v>
      </c>
      <c r="K1208">
        <v>11</v>
      </c>
      <c r="L1208">
        <v>0</v>
      </c>
      <c r="M1208" t="s">
        <v>25022</v>
      </c>
      <c r="N1208">
        <v>3853</v>
      </c>
      <c r="O1208" t="s">
        <v>22585</v>
      </c>
      <c r="P1208" t="s">
        <v>62</v>
      </c>
      <c r="Q1208">
        <v>3813249</v>
      </c>
      <c r="R1208">
        <v>3814385</v>
      </c>
      <c r="S1208" t="s">
        <v>22586</v>
      </c>
      <c r="T1208">
        <v>379</v>
      </c>
      <c r="U1208" t="s">
        <v>1378</v>
      </c>
      <c r="V1208">
        <v>43</v>
      </c>
      <c r="W1208" t="str">
        <f>HYPERLINK("Gene3853-zp_tree_all.dnd", "Gene3853-tree")</f>
        <v>Gene3853-tree</v>
      </c>
      <c r="X1208">
        <v>7</v>
      </c>
      <c r="Y1208">
        <v>8</v>
      </c>
      <c r="Z1208">
        <v>7</v>
      </c>
      <c r="AA1208">
        <v>8</v>
      </c>
      <c r="AB1208">
        <v>0.53332999999999997</v>
      </c>
      <c r="AC1208" t="s">
        <v>152</v>
      </c>
      <c r="AD1208" t="s">
        <v>136</v>
      </c>
      <c r="AE1208" t="s">
        <v>62</v>
      </c>
      <c r="AF1208" t="s">
        <v>62</v>
      </c>
      <c r="AG1208">
        <v>5</v>
      </c>
      <c r="AH1208">
        <v>11</v>
      </c>
      <c r="AI1208">
        <v>9</v>
      </c>
      <c r="AJ1208">
        <v>0.55000000000000004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4</v>
      </c>
      <c r="AQ1208">
        <v>0</v>
      </c>
      <c r="AR1208">
        <v>4</v>
      </c>
      <c r="AS1208">
        <v>9</v>
      </c>
      <c r="AT1208">
        <v>0.30769000000000002</v>
      </c>
      <c r="AU1208">
        <v>13</v>
      </c>
      <c r="AV1208">
        <v>12</v>
      </c>
      <c r="AW1208">
        <v>58</v>
      </c>
      <c r="AX1208">
        <v>13</v>
      </c>
      <c r="AY1208">
        <v>33</v>
      </c>
      <c r="AZ1208">
        <v>7</v>
      </c>
      <c r="BA1208" t="s">
        <v>22587</v>
      </c>
      <c r="BB1208" t="s">
        <v>22588</v>
      </c>
      <c r="BC1208">
        <v>0.04</v>
      </c>
      <c r="BD1208" t="s">
        <v>65</v>
      </c>
      <c r="BE1208">
        <v>91</v>
      </c>
      <c r="BF1208">
        <v>20</v>
      </c>
      <c r="BG1208" t="s">
        <v>22589</v>
      </c>
      <c r="BH1208" t="s">
        <v>22590</v>
      </c>
      <c r="BI1208" t="s">
        <v>22591</v>
      </c>
      <c r="BJ1208">
        <v>7.195E-2</v>
      </c>
      <c r="BK1208">
        <v>1</v>
      </c>
      <c r="BL1208" t="s">
        <v>69</v>
      </c>
      <c r="BM1208">
        <v>-4.1000000000000002E-2</v>
      </c>
      <c r="BN1208">
        <v>0.189</v>
      </c>
    </row>
    <row r="1209" spans="2:66">
      <c r="B1209">
        <v>1945</v>
      </c>
      <c r="C1209">
        <v>58</v>
      </c>
      <c r="D1209">
        <v>0</v>
      </c>
      <c r="E1209">
        <v>4</v>
      </c>
      <c r="F1209">
        <v>2</v>
      </c>
      <c r="J1209">
        <v>0</v>
      </c>
      <c r="K1209">
        <v>8</v>
      </c>
      <c r="L1209">
        <v>2</v>
      </c>
      <c r="M1209" t="s">
        <v>25022</v>
      </c>
      <c r="N1209">
        <v>3854</v>
      </c>
      <c r="O1209" t="s">
        <v>22592</v>
      </c>
      <c r="P1209" t="s">
        <v>62</v>
      </c>
      <c r="Q1209">
        <v>3814385</v>
      </c>
      <c r="R1209">
        <v>3816499</v>
      </c>
      <c r="S1209" t="s">
        <v>22593</v>
      </c>
      <c r="T1209">
        <v>705</v>
      </c>
      <c r="U1209" t="s">
        <v>1378</v>
      </c>
      <c r="V1209">
        <v>43</v>
      </c>
      <c r="W1209" t="str">
        <f>HYPERLINK("Gene3854-zp_tree_all.dnd", "Gene3854-tree")</f>
        <v>Gene3854-tree</v>
      </c>
      <c r="X1209">
        <v>3</v>
      </c>
      <c r="Y1209">
        <v>10</v>
      </c>
      <c r="Z1209">
        <v>3</v>
      </c>
      <c r="AA1209">
        <v>10</v>
      </c>
      <c r="AB1209">
        <v>0.76922999999999997</v>
      </c>
      <c r="AC1209" t="s">
        <v>324</v>
      </c>
      <c r="AD1209" t="s">
        <v>117</v>
      </c>
      <c r="AE1209" t="s">
        <v>62</v>
      </c>
      <c r="AF1209" t="s">
        <v>62</v>
      </c>
      <c r="AG1209">
        <v>4</v>
      </c>
      <c r="AH1209">
        <v>10</v>
      </c>
      <c r="AI1209">
        <v>19</v>
      </c>
      <c r="AJ1209">
        <v>0.34483000000000003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5</v>
      </c>
      <c r="AQ1209">
        <v>0</v>
      </c>
      <c r="AR1209">
        <v>5</v>
      </c>
      <c r="AS1209">
        <v>16</v>
      </c>
      <c r="AT1209">
        <v>0.23810000000000001</v>
      </c>
      <c r="AU1209">
        <v>12</v>
      </c>
      <c r="AV1209">
        <v>10</v>
      </c>
      <c r="AW1209">
        <v>106</v>
      </c>
      <c r="AX1209">
        <v>22</v>
      </c>
      <c r="AY1209">
        <v>44</v>
      </c>
      <c r="AZ1209">
        <v>8</v>
      </c>
      <c r="BA1209" t="s">
        <v>22594</v>
      </c>
      <c r="BB1209" t="s">
        <v>22595</v>
      </c>
      <c r="BC1209">
        <v>0.16</v>
      </c>
      <c r="BD1209" t="s">
        <v>65</v>
      </c>
      <c r="BE1209">
        <v>150</v>
      </c>
      <c r="BF1209">
        <v>30</v>
      </c>
      <c r="BG1209" t="s">
        <v>22596</v>
      </c>
      <c r="BH1209" t="s">
        <v>22597</v>
      </c>
      <c r="BI1209" t="s">
        <v>22598</v>
      </c>
      <c r="BJ1209">
        <v>5.806E-2</v>
      </c>
      <c r="BK1209">
        <v>1</v>
      </c>
      <c r="BL1209" t="s">
        <v>69</v>
      </c>
      <c r="BM1209">
        <v>-0.80700000000000005</v>
      </c>
      <c r="BN1209">
        <v>-2.0939999999999999</v>
      </c>
    </row>
    <row r="1210" spans="2:66">
      <c r="B1210">
        <v>1947</v>
      </c>
      <c r="C1210">
        <v>134</v>
      </c>
      <c r="D1210">
        <v>0</v>
      </c>
      <c r="E1210">
        <v>11</v>
      </c>
      <c r="F1210">
        <v>1</v>
      </c>
      <c r="J1210">
        <v>0</v>
      </c>
      <c r="K1210">
        <v>0</v>
      </c>
      <c r="L1210">
        <v>0</v>
      </c>
      <c r="M1210" t="s">
        <v>25022</v>
      </c>
      <c r="N1210">
        <v>3858</v>
      </c>
      <c r="O1210" t="s">
        <v>22618</v>
      </c>
      <c r="P1210" t="s">
        <v>62</v>
      </c>
      <c r="Q1210">
        <v>3819223</v>
      </c>
      <c r="R1210">
        <v>3819744</v>
      </c>
      <c r="S1210" t="s">
        <v>1940</v>
      </c>
      <c r="T1210">
        <v>174</v>
      </c>
      <c r="U1210" t="s">
        <v>22619</v>
      </c>
      <c r="V1210">
        <v>41</v>
      </c>
      <c r="W1210" t="str">
        <f>HYPERLINK("Gene3858-zp_tree_all.dnd", "Gene3858-tree")</f>
        <v>Gene3858-tree</v>
      </c>
      <c r="X1210">
        <v>23</v>
      </c>
      <c r="Y1210">
        <v>8</v>
      </c>
      <c r="Z1210">
        <v>3</v>
      </c>
      <c r="AA1210">
        <v>8</v>
      </c>
      <c r="AB1210">
        <v>0.72726999999999997</v>
      </c>
      <c r="AC1210" t="s">
        <v>1725</v>
      </c>
      <c r="AD1210" t="s">
        <v>136</v>
      </c>
      <c r="AE1210" t="s">
        <v>62</v>
      </c>
      <c r="AF1210" t="s">
        <v>62</v>
      </c>
      <c r="AG1210">
        <v>0</v>
      </c>
      <c r="AH1210">
        <v>0</v>
      </c>
      <c r="AI1210">
        <v>17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14</v>
      </c>
      <c r="AT1210">
        <v>0</v>
      </c>
      <c r="AU1210">
        <v>9</v>
      </c>
      <c r="AV1210">
        <v>5</v>
      </c>
      <c r="AW1210">
        <v>17</v>
      </c>
      <c r="AX1210">
        <v>15</v>
      </c>
      <c r="AY1210">
        <v>4</v>
      </c>
      <c r="AZ1210">
        <v>3</v>
      </c>
      <c r="BA1210" t="s">
        <v>22620</v>
      </c>
      <c r="BB1210" t="s">
        <v>22621</v>
      </c>
      <c r="BC1210">
        <v>0.22600000000000001</v>
      </c>
      <c r="BD1210" t="s">
        <v>65</v>
      </c>
      <c r="BE1210">
        <v>21</v>
      </c>
      <c r="BF1210">
        <v>18</v>
      </c>
      <c r="BG1210" t="s">
        <v>22622</v>
      </c>
      <c r="BH1210" t="s">
        <v>22623</v>
      </c>
      <c r="BI1210" t="s">
        <v>22624</v>
      </c>
      <c r="BJ1210">
        <v>0.26745000000000002</v>
      </c>
      <c r="BK1210">
        <v>1</v>
      </c>
      <c r="BL1210" t="s">
        <v>69</v>
      </c>
      <c r="BM1210">
        <v>-1.657</v>
      </c>
      <c r="BN1210">
        <v>-1.7889999999999999</v>
      </c>
    </row>
    <row r="1211" spans="2:66">
      <c r="B1211">
        <v>1948</v>
      </c>
      <c r="C1211">
        <v>268</v>
      </c>
      <c r="D1211">
        <v>0</v>
      </c>
      <c r="E1211">
        <v>2</v>
      </c>
      <c r="F1211">
        <v>0</v>
      </c>
      <c r="J1211">
        <v>0</v>
      </c>
      <c r="K1211">
        <v>23</v>
      </c>
      <c r="L1211">
        <v>1</v>
      </c>
      <c r="M1211" t="s">
        <v>25022</v>
      </c>
      <c r="N1211">
        <v>3859</v>
      </c>
      <c r="O1211" t="s">
        <v>22625</v>
      </c>
      <c r="P1211" t="s">
        <v>62</v>
      </c>
      <c r="Q1211">
        <v>3819757</v>
      </c>
      <c r="R1211">
        <v>3821481</v>
      </c>
      <c r="S1211" t="s">
        <v>22626</v>
      </c>
      <c r="T1211">
        <v>575</v>
      </c>
      <c r="U1211" t="s">
        <v>1174</v>
      </c>
      <c r="V1211">
        <v>42</v>
      </c>
      <c r="W1211" t="str">
        <f>HYPERLINK("Gene3859-zp_tree_all.dnd", "Gene3859-tree")</f>
        <v>Gene3859-tree</v>
      </c>
      <c r="X1211">
        <v>1</v>
      </c>
      <c r="Y1211">
        <v>13</v>
      </c>
      <c r="Z1211">
        <v>1</v>
      </c>
      <c r="AA1211">
        <v>13</v>
      </c>
      <c r="AB1211">
        <v>0.92857000000000001</v>
      </c>
      <c r="AC1211" t="s">
        <v>175</v>
      </c>
      <c r="AD1211" t="s">
        <v>507</v>
      </c>
      <c r="AE1211" t="s">
        <v>62</v>
      </c>
      <c r="AF1211" t="s">
        <v>62</v>
      </c>
      <c r="AG1211">
        <v>7</v>
      </c>
      <c r="AH1211">
        <v>24</v>
      </c>
      <c r="AI1211">
        <v>6</v>
      </c>
      <c r="AJ1211">
        <v>0.8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12</v>
      </c>
      <c r="AQ1211">
        <v>1</v>
      </c>
      <c r="AR1211">
        <v>13</v>
      </c>
      <c r="AS1211">
        <v>7</v>
      </c>
      <c r="AT1211">
        <v>0.65</v>
      </c>
      <c r="AU1211">
        <v>13</v>
      </c>
      <c r="AV1211">
        <v>11</v>
      </c>
      <c r="AW1211">
        <v>77</v>
      </c>
      <c r="AX1211">
        <v>20</v>
      </c>
      <c r="AY1211">
        <v>40</v>
      </c>
      <c r="AZ1211">
        <v>10</v>
      </c>
      <c r="BA1211" t="s">
        <v>22627</v>
      </c>
      <c r="BB1211" t="s">
        <v>22628</v>
      </c>
      <c r="BC1211">
        <v>4.5999999999999999E-2</v>
      </c>
      <c r="BD1211" t="s">
        <v>65</v>
      </c>
      <c r="BE1211">
        <v>117</v>
      </c>
      <c r="BF1211">
        <v>30</v>
      </c>
      <c r="BG1211" t="s">
        <v>22629</v>
      </c>
      <c r="BH1211" t="s">
        <v>22630</v>
      </c>
      <c r="BI1211" t="s">
        <v>22631</v>
      </c>
      <c r="BJ1211">
        <v>6.1429999999999998E-2</v>
      </c>
      <c r="BK1211">
        <v>1</v>
      </c>
      <c r="BL1211" t="s">
        <v>69</v>
      </c>
      <c r="BM1211">
        <v>-0.50600000000000001</v>
      </c>
      <c r="BN1211">
        <v>-0.78100000000000003</v>
      </c>
    </row>
    <row r="1212" spans="2:66">
      <c r="B1212">
        <v>1949</v>
      </c>
      <c r="C1212">
        <v>175</v>
      </c>
      <c r="D1212">
        <v>0</v>
      </c>
      <c r="E1212">
        <v>8</v>
      </c>
      <c r="F1212">
        <v>0</v>
      </c>
      <c r="J1212">
        <v>0</v>
      </c>
      <c r="K1212">
        <v>6</v>
      </c>
      <c r="L1212">
        <v>2</v>
      </c>
      <c r="M1212" t="s">
        <v>25022</v>
      </c>
      <c r="N1212">
        <v>3860</v>
      </c>
      <c r="O1212" t="s">
        <v>22632</v>
      </c>
      <c r="P1212" t="s">
        <v>62</v>
      </c>
      <c r="Q1212">
        <v>3821573</v>
      </c>
      <c r="R1212">
        <v>3823072</v>
      </c>
      <c r="S1212" t="s">
        <v>22633</v>
      </c>
      <c r="T1212">
        <v>500</v>
      </c>
      <c r="U1212" t="s">
        <v>1174</v>
      </c>
      <c r="V1212">
        <v>42</v>
      </c>
      <c r="W1212" t="str">
        <f>HYPERLINK("Gene3860-zp_tree_all.dnd", "Gene3860-tree")</f>
        <v>Gene3860-tree</v>
      </c>
      <c r="X1212">
        <v>7</v>
      </c>
      <c r="Y1212">
        <v>8</v>
      </c>
      <c r="Z1212">
        <v>7</v>
      </c>
      <c r="AA1212">
        <v>8</v>
      </c>
      <c r="AB1212">
        <v>0.53332999999999997</v>
      </c>
      <c r="AC1212" t="s">
        <v>152</v>
      </c>
      <c r="AD1212" t="s">
        <v>136</v>
      </c>
      <c r="AE1212" t="s">
        <v>62</v>
      </c>
      <c r="AF1212" t="s">
        <v>62</v>
      </c>
      <c r="AG1212">
        <v>3</v>
      </c>
      <c r="AH1212">
        <v>8</v>
      </c>
      <c r="AI1212">
        <v>9</v>
      </c>
      <c r="AJ1212">
        <v>0.47059000000000001</v>
      </c>
      <c r="AK1212">
        <v>0</v>
      </c>
      <c r="AL1212">
        <v>0</v>
      </c>
      <c r="AM1212">
        <v>0</v>
      </c>
      <c r="AN1212">
        <v>3</v>
      </c>
      <c r="AO1212">
        <v>0</v>
      </c>
      <c r="AP1212">
        <v>0</v>
      </c>
      <c r="AQ1212">
        <v>2</v>
      </c>
      <c r="AR1212">
        <v>2</v>
      </c>
      <c r="AS1212">
        <v>8</v>
      </c>
      <c r="AT1212">
        <v>0.2</v>
      </c>
      <c r="AU1212">
        <v>13</v>
      </c>
      <c r="AV1212">
        <v>11</v>
      </c>
      <c r="AW1212">
        <v>38</v>
      </c>
      <c r="AX1212">
        <v>10</v>
      </c>
      <c r="AY1212">
        <v>27</v>
      </c>
      <c r="AZ1212">
        <v>7</v>
      </c>
      <c r="BA1212" t="s">
        <v>22634</v>
      </c>
      <c r="BB1212" t="s">
        <v>22635</v>
      </c>
      <c r="BC1212">
        <v>0.02</v>
      </c>
      <c r="BD1212" t="s">
        <v>65</v>
      </c>
      <c r="BE1212">
        <v>65</v>
      </c>
      <c r="BF1212">
        <v>17</v>
      </c>
      <c r="BG1212" t="s">
        <v>22636</v>
      </c>
      <c r="BH1212" t="s">
        <v>22637</v>
      </c>
      <c r="BI1212" t="s">
        <v>22638</v>
      </c>
      <c r="BJ1212">
        <v>7.3639999999999997E-2</v>
      </c>
      <c r="BK1212">
        <v>1</v>
      </c>
      <c r="BL1212" t="s">
        <v>69</v>
      </c>
      <c r="BM1212">
        <v>-0.76700000000000002</v>
      </c>
      <c r="BN1212">
        <v>-1.069</v>
      </c>
    </row>
    <row r="1213" spans="2:66">
      <c r="B1213">
        <v>1950</v>
      </c>
      <c r="C1213">
        <v>5</v>
      </c>
      <c r="D1213">
        <v>0</v>
      </c>
      <c r="E1213">
        <v>2</v>
      </c>
      <c r="F1213">
        <v>0</v>
      </c>
      <c r="J1213">
        <v>0</v>
      </c>
      <c r="K1213">
        <v>5</v>
      </c>
      <c r="L1213">
        <v>1</v>
      </c>
      <c r="M1213" t="s">
        <v>25022</v>
      </c>
      <c r="N1213">
        <v>3861</v>
      </c>
      <c r="O1213" t="s">
        <v>22639</v>
      </c>
      <c r="P1213" t="s">
        <v>62</v>
      </c>
      <c r="Q1213">
        <v>3823561</v>
      </c>
      <c r="R1213">
        <v>3824229</v>
      </c>
      <c r="S1213" t="s">
        <v>22640</v>
      </c>
      <c r="T1213">
        <v>223</v>
      </c>
      <c r="U1213" t="s">
        <v>1174</v>
      </c>
      <c r="V1213">
        <v>42</v>
      </c>
      <c r="W1213" t="str">
        <f>HYPERLINK("Gene3861-zp_tree_all.dnd", "Gene3861-tree")</f>
        <v>Gene3861-tree</v>
      </c>
      <c r="X1213">
        <v>7</v>
      </c>
      <c r="Y1213">
        <v>8</v>
      </c>
      <c r="Z1213">
        <v>7</v>
      </c>
      <c r="AA1213">
        <v>8</v>
      </c>
      <c r="AB1213">
        <v>0.53332999999999997</v>
      </c>
      <c r="AC1213" t="s">
        <v>152</v>
      </c>
      <c r="AD1213" t="s">
        <v>136</v>
      </c>
      <c r="AE1213" t="s">
        <v>62</v>
      </c>
      <c r="AF1213" t="s">
        <v>62</v>
      </c>
      <c r="AG1213">
        <v>2</v>
      </c>
      <c r="AH1213">
        <v>6</v>
      </c>
      <c r="AI1213">
        <v>5</v>
      </c>
      <c r="AJ1213">
        <v>0.54544999999999999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2</v>
      </c>
      <c r="AQ1213">
        <v>2</v>
      </c>
      <c r="AR1213">
        <v>4</v>
      </c>
      <c r="AS1213">
        <v>4</v>
      </c>
      <c r="AT1213">
        <v>0.5</v>
      </c>
      <c r="AU1213">
        <v>13</v>
      </c>
      <c r="AV1213">
        <v>10</v>
      </c>
      <c r="AW1213">
        <v>25</v>
      </c>
      <c r="AX1213">
        <v>8</v>
      </c>
      <c r="AY1213">
        <v>28</v>
      </c>
      <c r="AZ1213">
        <v>3</v>
      </c>
      <c r="BA1213" t="s">
        <v>22641</v>
      </c>
      <c r="BB1213" t="s">
        <v>22642</v>
      </c>
      <c r="BC1213">
        <v>0.95299999999999996</v>
      </c>
      <c r="BD1213" t="s">
        <v>65</v>
      </c>
      <c r="BE1213">
        <v>53</v>
      </c>
      <c r="BF1213">
        <v>11</v>
      </c>
      <c r="BG1213" t="s">
        <v>22643</v>
      </c>
      <c r="BH1213" t="s">
        <v>22644</v>
      </c>
      <c r="BI1213" t="s">
        <v>22645</v>
      </c>
      <c r="BJ1213">
        <v>6.2530000000000002E-2</v>
      </c>
      <c r="BK1213">
        <v>1</v>
      </c>
      <c r="BL1213" t="s">
        <v>69</v>
      </c>
      <c r="BM1213">
        <v>0.122</v>
      </c>
      <c r="BN1213">
        <v>0</v>
      </c>
    </row>
    <row r="1214" spans="2:66">
      <c r="B1214">
        <v>1951</v>
      </c>
      <c r="C1214">
        <v>151</v>
      </c>
      <c r="D1214">
        <v>0</v>
      </c>
      <c r="E1214">
        <v>16</v>
      </c>
      <c r="F1214">
        <v>3</v>
      </c>
      <c r="J1214">
        <v>0</v>
      </c>
      <c r="K1214">
        <v>6</v>
      </c>
      <c r="L1214">
        <v>1</v>
      </c>
      <c r="M1214" t="s">
        <v>25022</v>
      </c>
      <c r="N1214">
        <v>3862</v>
      </c>
      <c r="O1214" t="s">
        <v>22646</v>
      </c>
      <c r="P1214" t="s">
        <v>62</v>
      </c>
      <c r="Q1214">
        <v>3824229</v>
      </c>
      <c r="R1214">
        <v>3824780</v>
      </c>
      <c r="S1214" t="s">
        <v>22647</v>
      </c>
      <c r="T1214">
        <v>184</v>
      </c>
      <c r="U1214" t="s">
        <v>1174</v>
      </c>
      <c r="V1214">
        <v>42</v>
      </c>
      <c r="W1214" t="str">
        <f>HYPERLINK("Gene3862-zp_tree_all.dnd", "Gene3862-tree")</f>
        <v>Gene3862-tree</v>
      </c>
      <c r="X1214">
        <v>6</v>
      </c>
      <c r="Y1214">
        <v>21</v>
      </c>
      <c r="Z1214">
        <v>6</v>
      </c>
      <c r="AA1214">
        <v>4</v>
      </c>
      <c r="AB1214">
        <v>0.4</v>
      </c>
      <c r="AC1214" t="s">
        <v>90</v>
      </c>
      <c r="AD1214" t="s">
        <v>3348</v>
      </c>
      <c r="AE1214">
        <v>4.6500000000000004</v>
      </c>
      <c r="AF1214" t="s">
        <v>65</v>
      </c>
      <c r="AG1214">
        <v>3</v>
      </c>
      <c r="AH1214">
        <v>7</v>
      </c>
      <c r="AI1214">
        <v>8</v>
      </c>
      <c r="AJ1214">
        <v>0.46666999999999997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2</v>
      </c>
      <c r="AQ1214">
        <v>1</v>
      </c>
      <c r="AR1214">
        <v>3</v>
      </c>
      <c r="AS1214">
        <v>8</v>
      </c>
      <c r="AT1214">
        <v>0.27272999999999997</v>
      </c>
      <c r="AU1214">
        <v>9</v>
      </c>
      <c r="AV1214">
        <v>5</v>
      </c>
      <c r="AW1214">
        <v>20</v>
      </c>
      <c r="AX1214">
        <v>11</v>
      </c>
      <c r="AY1214">
        <v>4</v>
      </c>
      <c r="AZ1214">
        <v>4</v>
      </c>
      <c r="BA1214" t="s">
        <v>22648</v>
      </c>
      <c r="BB1214" t="s">
        <v>22649</v>
      </c>
      <c r="BC1214">
        <v>0.82299999999999995</v>
      </c>
      <c r="BD1214" t="s">
        <v>65</v>
      </c>
      <c r="BE1214">
        <v>24</v>
      </c>
      <c r="BF1214">
        <v>15</v>
      </c>
      <c r="BG1214" t="s">
        <v>22650</v>
      </c>
      <c r="BH1214" t="s">
        <v>22651</v>
      </c>
      <c r="BI1214" t="s">
        <v>22652</v>
      </c>
      <c r="BJ1214">
        <v>0.24696000000000001</v>
      </c>
      <c r="BK1214">
        <v>1</v>
      </c>
      <c r="BL1214" t="s">
        <v>69</v>
      </c>
      <c r="BM1214">
        <v>1.3360000000000001</v>
      </c>
      <c r="BN1214">
        <v>0.44400000000000001</v>
      </c>
    </row>
    <row r="1215" spans="2:66">
      <c r="B1215">
        <v>1952</v>
      </c>
      <c r="C1215">
        <v>53</v>
      </c>
      <c r="D1215">
        <v>0</v>
      </c>
      <c r="E1215">
        <v>4</v>
      </c>
      <c r="F1215">
        <v>0</v>
      </c>
      <c r="J1215">
        <v>0</v>
      </c>
      <c r="K1215">
        <v>9</v>
      </c>
      <c r="L1215">
        <v>0</v>
      </c>
      <c r="M1215" t="s">
        <v>25022</v>
      </c>
      <c r="N1215">
        <v>3863</v>
      </c>
      <c r="O1215" t="s">
        <v>22653</v>
      </c>
      <c r="P1215" t="s">
        <v>62</v>
      </c>
      <c r="Q1215">
        <v>3824809</v>
      </c>
      <c r="R1215">
        <v>3826269</v>
      </c>
      <c r="S1215" t="s">
        <v>22654</v>
      </c>
      <c r="T1215">
        <v>487</v>
      </c>
      <c r="U1215" t="s">
        <v>1174</v>
      </c>
      <c r="V1215">
        <v>42</v>
      </c>
      <c r="W1215" t="str">
        <f>HYPERLINK("Gene3863-zp_tree_all.dnd", "Gene3863-tree")</f>
        <v>Gene3863-tree</v>
      </c>
      <c r="X1215">
        <v>6</v>
      </c>
      <c r="Y1215">
        <v>25</v>
      </c>
      <c r="Z1215">
        <v>6</v>
      </c>
      <c r="AA1215">
        <v>8</v>
      </c>
      <c r="AB1215">
        <v>0.57142999999999999</v>
      </c>
      <c r="AC1215" t="s">
        <v>90</v>
      </c>
      <c r="AD1215" t="s">
        <v>1667</v>
      </c>
      <c r="AE1215">
        <v>2.972</v>
      </c>
      <c r="AF1215" t="s">
        <v>65</v>
      </c>
      <c r="AG1215">
        <v>3</v>
      </c>
      <c r="AH1215">
        <v>9</v>
      </c>
      <c r="AI1215">
        <v>7</v>
      </c>
      <c r="AJ1215">
        <v>0.5625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6</v>
      </c>
      <c r="AQ1215">
        <v>1</v>
      </c>
      <c r="AR1215">
        <v>7</v>
      </c>
      <c r="AS1215">
        <v>7</v>
      </c>
      <c r="AT1215">
        <v>0.5</v>
      </c>
      <c r="AU1215">
        <v>14</v>
      </c>
      <c r="AV1215">
        <v>10</v>
      </c>
      <c r="AW1215">
        <v>73</v>
      </c>
      <c r="AX1215">
        <v>15</v>
      </c>
      <c r="AY1215">
        <v>38</v>
      </c>
      <c r="AZ1215">
        <v>2</v>
      </c>
      <c r="BA1215" t="s">
        <v>22655</v>
      </c>
      <c r="BB1215" t="s">
        <v>22656</v>
      </c>
      <c r="BC1215">
        <v>1.0920000000000001</v>
      </c>
      <c r="BD1215" t="s">
        <v>65</v>
      </c>
      <c r="BE1215">
        <v>111</v>
      </c>
      <c r="BF1215">
        <v>17</v>
      </c>
      <c r="BG1215" t="s">
        <v>22657</v>
      </c>
      <c r="BH1215" t="s">
        <v>22658</v>
      </c>
      <c r="BI1215" t="s">
        <v>22659</v>
      </c>
      <c r="BJ1215">
        <v>3.7249999999999998E-2</v>
      </c>
      <c r="BK1215">
        <v>1</v>
      </c>
      <c r="BL1215" t="s">
        <v>69</v>
      </c>
      <c r="BM1215">
        <v>0.14599999999999999</v>
      </c>
      <c r="BN1215">
        <v>-0.67500000000000004</v>
      </c>
    </row>
    <row r="1216" spans="2:66">
      <c r="B1216">
        <v>1953</v>
      </c>
      <c r="C1216">
        <v>59</v>
      </c>
      <c r="D1216">
        <v>0</v>
      </c>
      <c r="E1216">
        <v>5</v>
      </c>
      <c r="F1216">
        <v>0</v>
      </c>
      <c r="J1216">
        <v>0</v>
      </c>
      <c r="K1216">
        <v>18</v>
      </c>
      <c r="L1216">
        <v>4</v>
      </c>
      <c r="M1216" t="s">
        <v>25022</v>
      </c>
      <c r="N1216">
        <v>3864</v>
      </c>
      <c r="O1216" t="s">
        <v>22660</v>
      </c>
      <c r="P1216" t="s">
        <v>62</v>
      </c>
      <c r="Q1216">
        <v>3826262</v>
      </c>
      <c r="R1216">
        <v>3829945</v>
      </c>
      <c r="S1216" t="s">
        <v>22661</v>
      </c>
      <c r="T1216">
        <v>1228</v>
      </c>
      <c r="U1216" t="s">
        <v>1174</v>
      </c>
      <c r="V1216">
        <v>42</v>
      </c>
      <c r="W1216" t="str">
        <f>HYPERLINK("Gene3864-zp_tree_all.dnd", "Gene3864-tree")</f>
        <v>Gene3864-tree</v>
      </c>
      <c r="X1216">
        <v>5</v>
      </c>
      <c r="Y1216">
        <v>11</v>
      </c>
      <c r="Z1216">
        <v>5</v>
      </c>
      <c r="AA1216">
        <v>11</v>
      </c>
      <c r="AB1216">
        <v>0.6875</v>
      </c>
      <c r="AC1216" t="s">
        <v>199</v>
      </c>
      <c r="AD1216" t="s">
        <v>73</v>
      </c>
      <c r="AE1216">
        <v>137353515.63499999</v>
      </c>
      <c r="AF1216" t="s">
        <v>267</v>
      </c>
      <c r="AG1216">
        <v>8</v>
      </c>
      <c r="AH1216">
        <v>22</v>
      </c>
      <c r="AI1216">
        <v>27</v>
      </c>
      <c r="AJ1216">
        <v>0.44897999999999999</v>
      </c>
      <c r="AK1216">
        <v>0</v>
      </c>
      <c r="AL1216">
        <v>0</v>
      </c>
      <c r="AM1216">
        <v>0</v>
      </c>
      <c r="AN1216">
        <v>3</v>
      </c>
      <c r="AO1216">
        <v>0</v>
      </c>
      <c r="AP1216">
        <v>6</v>
      </c>
      <c r="AQ1216">
        <v>1</v>
      </c>
      <c r="AR1216">
        <v>7</v>
      </c>
      <c r="AS1216">
        <v>24</v>
      </c>
      <c r="AT1216">
        <v>0.22581000000000001</v>
      </c>
      <c r="AU1216">
        <v>14</v>
      </c>
      <c r="AV1216">
        <v>13</v>
      </c>
      <c r="AW1216">
        <v>197</v>
      </c>
      <c r="AX1216">
        <v>31</v>
      </c>
      <c r="AY1216">
        <v>167</v>
      </c>
      <c r="AZ1216">
        <v>20</v>
      </c>
      <c r="BA1216" t="s">
        <v>22662</v>
      </c>
      <c r="BB1216" t="s">
        <v>22663</v>
      </c>
      <c r="BC1216">
        <v>0.40799999999999997</v>
      </c>
      <c r="BD1216" t="s">
        <v>65</v>
      </c>
      <c r="BE1216">
        <v>364</v>
      </c>
      <c r="BF1216">
        <v>51</v>
      </c>
      <c r="BG1216" t="s">
        <v>22664</v>
      </c>
      <c r="BH1216" t="s">
        <v>22665</v>
      </c>
      <c r="BI1216" t="s">
        <v>22666</v>
      </c>
      <c r="BJ1216">
        <v>4.3220000000000001E-2</v>
      </c>
      <c r="BK1216">
        <v>1</v>
      </c>
      <c r="BL1216" t="s">
        <v>69</v>
      </c>
      <c r="BM1216">
        <v>-4.9000000000000002E-2</v>
      </c>
      <c r="BN1216">
        <v>-0.98599999999999999</v>
      </c>
    </row>
    <row r="1217" spans="2:66">
      <c r="B1217">
        <v>1955</v>
      </c>
      <c r="C1217">
        <v>66</v>
      </c>
      <c r="D1217">
        <v>0</v>
      </c>
      <c r="E1217">
        <v>2</v>
      </c>
      <c r="F1217">
        <v>2</v>
      </c>
      <c r="J1217">
        <v>0</v>
      </c>
      <c r="K1217">
        <v>0</v>
      </c>
      <c r="L1217">
        <v>0</v>
      </c>
      <c r="M1217" t="s">
        <v>25022</v>
      </c>
      <c r="N1217">
        <v>3865</v>
      </c>
      <c r="O1217" t="s">
        <v>22667</v>
      </c>
      <c r="P1217" t="s">
        <v>62</v>
      </c>
      <c r="Q1217">
        <v>3830144</v>
      </c>
      <c r="R1217">
        <v>3830617</v>
      </c>
      <c r="S1217" t="s">
        <v>9411</v>
      </c>
      <c r="T1217">
        <v>158</v>
      </c>
      <c r="U1217" t="s">
        <v>1174</v>
      </c>
      <c r="V1217">
        <v>42</v>
      </c>
      <c r="W1217" t="str">
        <f>HYPERLINK("Gene3865-zp_tree_all.dnd", "Gene3865-tree")</f>
        <v>Gene3865-tree</v>
      </c>
      <c r="X1217">
        <v>6</v>
      </c>
      <c r="Y1217">
        <v>3</v>
      </c>
      <c r="Z1217">
        <v>6</v>
      </c>
      <c r="AA1217">
        <v>3</v>
      </c>
      <c r="AB1217">
        <v>0.33333000000000002</v>
      </c>
      <c r="AC1217" t="s">
        <v>90</v>
      </c>
      <c r="AD1217" t="s">
        <v>324</v>
      </c>
      <c r="AE1217" t="s">
        <v>62</v>
      </c>
      <c r="AF1217" t="s">
        <v>62</v>
      </c>
      <c r="AG1217">
        <v>0</v>
      </c>
      <c r="AH1217">
        <v>0</v>
      </c>
      <c r="AI1217">
        <v>4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3</v>
      </c>
      <c r="AT1217">
        <v>0</v>
      </c>
      <c r="AU1217">
        <v>7</v>
      </c>
      <c r="AV1217">
        <v>2</v>
      </c>
      <c r="AW1217">
        <v>10</v>
      </c>
      <c r="AX1217">
        <v>3</v>
      </c>
      <c r="AY1217">
        <v>4</v>
      </c>
      <c r="AZ1217">
        <v>1</v>
      </c>
      <c r="BA1217" t="s">
        <v>22668</v>
      </c>
      <c r="BB1217" t="s">
        <v>22669</v>
      </c>
      <c r="BC1217">
        <v>0.14399999999999999</v>
      </c>
      <c r="BD1217" t="s">
        <v>65</v>
      </c>
      <c r="BE1217">
        <v>14</v>
      </c>
      <c r="BF1217">
        <v>4</v>
      </c>
      <c r="BG1217" t="s">
        <v>22670</v>
      </c>
      <c r="BH1217" t="s">
        <v>22671</v>
      </c>
      <c r="BI1217" t="s">
        <v>22672</v>
      </c>
      <c r="BJ1217">
        <v>8.7580000000000005E-2</v>
      </c>
      <c r="BK1217">
        <v>1</v>
      </c>
      <c r="BL1217" t="s">
        <v>69</v>
      </c>
      <c r="BM1217">
        <v>-0.67300000000000004</v>
      </c>
      <c r="BN1217">
        <v>-0.308</v>
      </c>
    </row>
    <row r="1218" spans="2:66">
      <c r="B1218">
        <v>1956</v>
      </c>
      <c r="C1218">
        <v>65</v>
      </c>
      <c r="D1218">
        <v>0</v>
      </c>
      <c r="E1218">
        <v>31</v>
      </c>
      <c r="F1218">
        <v>4</v>
      </c>
      <c r="J1218">
        <v>0</v>
      </c>
      <c r="K1218">
        <v>4</v>
      </c>
      <c r="L1218">
        <v>0</v>
      </c>
      <c r="M1218" t="s">
        <v>25022</v>
      </c>
      <c r="N1218">
        <v>3867</v>
      </c>
      <c r="O1218" t="s">
        <v>22679</v>
      </c>
      <c r="P1218" t="s">
        <v>62</v>
      </c>
      <c r="Q1218">
        <v>3831515</v>
      </c>
      <c r="R1218">
        <v>3832228</v>
      </c>
      <c r="S1218" t="s">
        <v>22680</v>
      </c>
      <c r="T1218">
        <v>238</v>
      </c>
      <c r="U1218" t="s">
        <v>1174</v>
      </c>
      <c r="V1218">
        <v>42</v>
      </c>
      <c r="W1218" t="str">
        <f>HYPERLINK("Gene3867-zp_tree_all.dnd", "Gene3867-tree")</f>
        <v>Gene3867-tree</v>
      </c>
      <c r="X1218">
        <v>8</v>
      </c>
      <c r="Y1218">
        <v>4</v>
      </c>
      <c r="Z1218">
        <v>8</v>
      </c>
      <c r="AA1218">
        <v>4</v>
      </c>
      <c r="AB1218">
        <v>0.33333000000000002</v>
      </c>
      <c r="AC1218" t="s">
        <v>136</v>
      </c>
      <c r="AD1218" t="s">
        <v>61</v>
      </c>
      <c r="AE1218" t="s">
        <v>62</v>
      </c>
      <c r="AF1218" t="s">
        <v>62</v>
      </c>
      <c r="AG1218">
        <v>2</v>
      </c>
      <c r="AH1218">
        <v>4</v>
      </c>
      <c r="AI1218">
        <v>2</v>
      </c>
      <c r="AJ1218">
        <v>0.66666999999999998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2</v>
      </c>
      <c r="AQ1218">
        <v>0</v>
      </c>
      <c r="AR1218">
        <v>2</v>
      </c>
      <c r="AS1218">
        <v>3</v>
      </c>
      <c r="AT1218">
        <v>0.4</v>
      </c>
      <c r="AU1218">
        <v>11</v>
      </c>
      <c r="AV1218">
        <v>8</v>
      </c>
      <c r="AW1218">
        <v>19</v>
      </c>
      <c r="AX1218">
        <v>5</v>
      </c>
      <c r="AY1218">
        <v>11</v>
      </c>
      <c r="AZ1218">
        <v>1</v>
      </c>
      <c r="BA1218" t="s">
        <v>22681</v>
      </c>
      <c r="BB1218" t="s">
        <v>22682</v>
      </c>
      <c r="BC1218">
        <v>0.54600000000000004</v>
      </c>
      <c r="BD1218" t="s">
        <v>65</v>
      </c>
      <c r="BE1218">
        <v>30</v>
      </c>
      <c r="BF1218">
        <v>6</v>
      </c>
      <c r="BG1218" t="s">
        <v>22683</v>
      </c>
      <c r="BH1218" t="s">
        <v>22684</v>
      </c>
      <c r="BI1218" t="s">
        <v>22685</v>
      </c>
      <c r="BJ1218">
        <v>5.0930000000000003E-2</v>
      </c>
      <c r="BK1218">
        <v>1</v>
      </c>
      <c r="BL1218" t="s">
        <v>69</v>
      </c>
      <c r="BM1218">
        <v>0.307</v>
      </c>
      <c r="BN1218">
        <v>-0.16400000000000001</v>
      </c>
    </row>
    <row r="1219" spans="2:66">
      <c r="B1219">
        <v>1957</v>
      </c>
      <c r="C1219">
        <v>193</v>
      </c>
      <c r="D1219">
        <v>0</v>
      </c>
      <c r="E1219">
        <v>7</v>
      </c>
      <c r="F1219">
        <v>1</v>
      </c>
      <c r="J1219">
        <v>0</v>
      </c>
      <c r="K1219">
        <v>5</v>
      </c>
      <c r="L1219">
        <v>0</v>
      </c>
      <c r="M1219" t="s">
        <v>25022</v>
      </c>
      <c r="N1219">
        <v>3868</v>
      </c>
      <c r="O1219" t="s">
        <v>22686</v>
      </c>
      <c r="P1219" t="s">
        <v>62</v>
      </c>
      <c r="Q1219">
        <v>3832330</v>
      </c>
      <c r="R1219">
        <v>3833514</v>
      </c>
      <c r="S1219" t="s">
        <v>22687</v>
      </c>
      <c r="T1219">
        <v>395</v>
      </c>
      <c r="U1219" t="s">
        <v>1174</v>
      </c>
      <c r="V1219">
        <v>42</v>
      </c>
      <c r="W1219" t="str">
        <f>HYPERLINK("Gene3868-zp_tree_all.dnd", "Gene3868-tree")</f>
        <v>Gene3868-tree</v>
      </c>
      <c r="X1219">
        <v>9</v>
      </c>
      <c r="Y1219">
        <v>5</v>
      </c>
      <c r="Z1219">
        <v>9</v>
      </c>
      <c r="AA1219">
        <v>5</v>
      </c>
      <c r="AB1219">
        <v>0.35714000000000001</v>
      </c>
      <c r="AC1219" t="s">
        <v>135</v>
      </c>
      <c r="AD1219" t="s">
        <v>199</v>
      </c>
      <c r="AE1219" t="s">
        <v>62</v>
      </c>
      <c r="AF1219" t="s">
        <v>62</v>
      </c>
      <c r="AG1219">
        <v>2</v>
      </c>
      <c r="AH1219">
        <v>5</v>
      </c>
      <c r="AI1219">
        <v>3</v>
      </c>
      <c r="AJ1219">
        <v>0.625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4</v>
      </c>
      <c r="AQ1219">
        <v>0</v>
      </c>
      <c r="AR1219">
        <v>4</v>
      </c>
      <c r="AS1219">
        <v>1</v>
      </c>
      <c r="AT1219">
        <v>0.8</v>
      </c>
      <c r="AU1219">
        <v>11</v>
      </c>
      <c r="AV1219">
        <v>10</v>
      </c>
      <c r="AW1219">
        <v>56</v>
      </c>
      <c r="AX1219">
        <v>5</v>
      </c>
      <c r="AY1219">
        <v>28</v>
      </c>
      <c r="AZ1219">
        <v>3</v>
      </c>
      <c r="BA1219" t="s">
        <v>22688</v>
      </c>
      <c r="BB1219" t="s">
        <v>22689</v>
      </c>
      <c r="BC1219">
        <v>0.184</v>
      </c>
      <c r="BD1219" t="s">
        <v>65</v>
      </c>
      <c r="BE1219">
        <v>84</v>
      </c>
      <c r="BF1219">
        <v>8</v>
      </c>
      <c r="BG1219" t="s">
        <v>22690</v>
      </c>
      <c r="BH1219" t="s">
        <v>22691</v>
      </c>
      <c r="BI1219" t="s">
        <v>22692</v>
      </c>
      <c r="BJ1219">
        <v>3.4729999999999997E-2</v>
      </c>
      <c r="BK1219">
        <v>1</v>
      </c>
      <c r="BL1219" t="s">
        <v>69</v>
      </c>
      <c r="BM1219">
        <v>-0.64800000000000002</v>
      </c>
      <c r="BN1219">
        <v>-1.7829999999999999</v>
      </c>
    </row>
    <row r="1220" spans="2:66">
      <c r="B1220">
        <v>1959</v>
      </c>
      <c r="C1220">
        <v>91</v>
      </c>
      <c r="D1220">
        <v>0</v>
      </c>
      <c r="E1220">
        <v>3</v>
      </c>
      <c r="F1220">
        <v>2</v>
      </c>
      <c r="J1220">
        <v>0</v>
      </c>
      <c r="K1220">
        <v>0</v>
      </c>
      <c r="L1220">
        <v>0</v>
      </c>
      <c r="M1220" t="s">
        <v>25022</v>
      </c>
      <c r="N1220">
        <v>3869</v>
      </c>
      <c r="O1220" t="s">
        <v>22693</v>
      </c>
      <c r="P1220" t="s">
        <v>62</v>
      </c>
      <c r="Q1220">
        <v>3833653</v>
      </c>
      <c r="R1220">
        <v>3835320</v>
      </c>
      <c r="S1220" t="s">
        <v>22694</v>
      </c>
      <c r="T1220">
        <v>556</v>
      </c>
      <c r="U1220" t="s">
        <v>160</v>
      </c>
      <c r="V1220">
        <v>45</v>
      </c>
      <c r="W1220" t="str">
        <f>HYPERLINK("Gene3869-zp_tree_all.dnd", "Gene3869-tree")</f>
        <v>Gene3869-tree</v>
      </c>
      <c r="X1220">
        <v>12</v>
      </c>
      <c r="Y1220">
        <v>4</v>
      </c>
      <c r="Z1220">
        <v>12</v>
      </c>
      <c r="AA1220">
        <v>4</v>
      </c>
      <c r="AB1220">
        <v>0.25</v>
      </c>
      <c r="AC1220" t="s">
        <v>109</v>
      </c>
      <c r="AD1220" t="s">
        <v>61</v>
      </c>
      <c r="AE1220" t="s">
        <v>62</v>
      </c>
      <c r="AF1220" t="s">
        <v>62</v>
      </c>
      <c r="AG1220">
        <v>0</v>
      </c>
      <c r="AH1220">
        <v>0</v>
      </c>
      <c r="AI1220">
        <v>14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11</v>
      </c>
      <c r="AT1220">
        <v>0</v>
      </c>
      <c r="AU1220">
        <v>14</v>
      </c>
      <c r="AV1220">
        <v>13</v>
      </c>
      <c r="AW1220">
        <v>124</v>
      </c>
      <c r="AX1220">
        <v>10</v>
      </c>
      <c r="AY1220">
        <v>55</v>
      </c>
      <c r="AZ1220">
        <v>4</v>
      </c>
      <c r="BA1220" t="s">
        <v>22695</v>
      </c>
      <c r="BB1220" t="s">
        <v>22696</v>
      </c>
      <c r="BC1220">
        <v>1.9E-2</v>
      </c>
      <c r="BD1220" t="s">
        <v>65</v>
      </c>
      <c r="BE1220">
        <v>179</v>
      </c>
      <c r="BF1220">
        <v>14</v>
      </c>
      <c r="BG1220" t="s">
        <v>22697</v>
      </c>
      <c r="BH1220" t="s">
        <v>22698</v>
      </c>
      <c r="BI1220" t="s">
        <v>22699</v>
      </c>
      <c r="BJ1220">
        <v>2.53E-2</v>
      </c>
      <c r="BK1220">
        <v>1</v>
      </c>
      <c r="BL1220" t="s">
        <v>69</v>
      </c>
      <c r="BM1220">
        <v>-1.454</v>
      </c>
      <c r="BN1220">
        <v>-3.06</v>
      </c>
    </row>
    <row r="1221" spans="2:66">
      <c r="B1221">
        <v>1960</v>
      </c>
      <c r="C1221">
        <v>12</v>
      </c>
      <c r="D1221">
        <v>0</v>
      </c>
      <c r="E1221">
        <v>4</v>
      </c>
      <c r="F1221">
        <v>2</v>
      </c>
      <c r="J1221">
        <v>0</v>
      </c>
      <c r="K1221">
        <v>0</v>
      </c>
      <c r="L1221">
        <v>0</v>
      </c>
      <c r="M1221" t="s">
        <v>25022</v>
      </c>
      <c r="N1221">
        <v>3870</v>
      </c>
      <c r="O1221" t="s">
        <v>22700</v>
      </c>
      <c r="P1221" t="s">
        <v>62</v>
      </c>
      <c r="Q1221">
        <v>3835320</v>
      </c>
      <c r="R1221">
        <v>3835745</v>
      </c>
      <c r="S1221" t="s">
        <v>10401</v>
      </c>
      <c r="T1221">
        <v>142</v>
      </c>
      <c r="U1221" t="s">
        <v>515</v>
      </c>
      <c r="V1221">
        <v>51</v>
      </c>
      <c r="W1221" t="str">
        <f>HYPERLINK("Gene3870-zp_tree_all.dnd", "Gene3870-tree")</f>
        <v>Gene3870-tree</v>
      </c>
      <c r="X1221">
        <v>36</v>
      </c>
      <c r="Y1221">
        <v>4</v>
      </c>
      <c r="Z1221">
        <v>5</v>
      </c>
      <c r="AA1221">
        <v>4</v>
      </c>
      <c r="AB1221">
        <v>0.44444</v>
      </c>
      <c r="AC1221" t="s">
        <v>11049</v>
      </c>
      <c r="AD1221" t="s">
        <v>61</v>
      </c>
      <c r="AE1221" t="s">
        <v>62</v>
      </c>
      <c r="AF1221" t="s">
        <v>62</v>
      </c>
      <c r="AG1221">
        <v>0</v>
      </c>
      <c r="AH1221">
        <v>0</v>
      </c>
      <c r="AI1221">
        <v>11</v>
      </c>
      <c r="AJ1221">
        <v>0</v>
      </c>
      <c r="AK1221">
        <v>0</v>
      </c>
      <c r="AL1221">
        <v>0</v>
      </c>
      <c r="AM1221">
        <v>0</v>
      </c>
      <c r="AN1221">
        <v>2</v>
      </c>
      <c r="AO1221">
        <v>0</v>
      </c>
      <c r="AP1221">
        <v>0</v>
      </c>
      <c r="AQ1221">
        <v>0</v>
      </c>
      <c r="AR1221">
        <v>0</v>
      </c>
      <c r="AS1221">
        <v>9</v>
      </c>
      <c r="AT1221">
        <v>0</v>
      </c>
      <c r="AU1221">
        <v>7</v>
      </c>
      <c r="AV1221">
        <v>2</v>
      </c>
      <c r="AW1221">
        <v>15</v>
      </c>
      <c r="AX1221">
        <v>11</v>
      </c>
      <c r="AY1221">
        <v>5</v>
      </c>
      <c r="AZ1221">
        <v>2</v>
      </c>
      <c r="BA1221" t="s">
        <v>22701</v>
      </c>
      <c r="BB1221" t="s">
        <v>22702</v>
      </c>
      <c r="BC1221">
        <v>0.24099999999999999</v>
      </c>
      <c r="BD1221" t="s">
        <v>65</v>
      </c>
      <c r="BE1221">
        <v>20</v>
      </c>
      <c r="BF1221">
        <v>13</v>
      </c>
      <c r="BG1221" t="s">
        <v>22703</v>
      </c>
      <c r="BH1221" t="s">
        <v>22704</v>
      </c>
      <c r="BI1221" t="s">
        <v>22705</v>
      </c>
      <c r="BJ1221">
        <v>0.17979000000000001</v>
      </c>
      <c r="BK1221">
        <v>1</v>
      </c>
      <c r="BL1221" t="s">
        <v>69</v>
      </c>
      <c r="BM1221">
        <v>-1.8120000000000001</v>
      </c>
      <c r="BN1221">
        <v>0.53300000000000003</v>
      </c>
    </row>
    <row r="1222" spans="2:66">
      <c r="B1222">
        <v>1961</v>
      </c>
      <c r="C1222">
        <v>29</v>
      </c>
      <c r="D1222">
        <v>0</v>
      </c>
      <c r="E1222">
        <v>4</v>
      </c>
      <c r="F1222">
        <v>0</v>
      </c>
      <c r="J1222">
        <v>0</v>
      </c>
      <c r="K1222">
        <v>34</v>
      </c>
      <c r="L1222">
        <v>4</v>
      </c>
      <c r="M1222" t="s">
        <v>25022</v>
      </c>
      <c r="N1222">
        <v>3880</v>
      </c>
      <c r="O1222" t="s">
        <v>22758</v>
      </c>
      <c r="P1222" t="s">
        <v>62</v>
      </c>
      <c r="Q1222">
        <v>3843004</v>
      </c>
      <c r="R1222">
        <v>3844377</v>
      </c>
      <c r="S1222" t="s">
        <v>116</v>
      </c>
      <c r="T1222">
        <v>458</v>
      </c>
      <c r="U1222" t="s">
        <v>108</v>
      </c>
      <c r="V1222">
        <v>44</v>
      </c>
      <c r="W1222" t="str">
        <f>HYPERLINK("Gene3880-zp_tree_all.dnd", "Gene3880-tree")</f>
        <v>Gene3880-tree</v>
      </c>
      <c r="X1222">
        <v>5</v>
      </c>
      <c r="Y1222">
        <v>11</v>
      </c>
      <c r="Z1222">
        <v>5</v>
      </c>
      <c r="AA1222">
        <v>11</v>
      </c>
      <c r="AB1222">
        <v>0.6875</v>
      </c>
      <c r="AC1222" t="s">
        <v>199</v>
      </c>
      <c r="AD1222" t="s">
        <v>73</v>
      </c>
      <c r="AE1222">
        <v>137353515.63499999</v>
      </c>
      <c r="AF1222" t="s">
        <v>267</v>
      </c>
      <c r="AG1222">
        <v>14</v>
      </c>
      <c r="AH1222">
        <v>38</v>
      </c>
      <c r="AI1222">
        <v>35</v>
      </c>
      <c r="AJ1222">
        <v>0.52054999999999996</v>
      </c>
      <c r="AK1222">
        <v>0</v>
      </c>
      <c r="AL1222">
        <v>0</v>
      </c>
      <c r="AM1222">
        <v>0</v>
      </c>
      <c r="AN1222">
        <v>3</v>
      </c>
      <c r="AO1222">
        <v>0</v>
      </c>
      <c r="AP1222">
        <v>13</v>
      </c>
      <c r="AQ1222">
        <v>1</v>
      </c>
      <c r="AR1222">
        <v>14</v>
      </c>
      <c r="AS1222">
        <v>34</v>
      </c>
      <c r="AT1222">
        <v>0.29166999999999998</v>
      </c>
      <c r="AU1222">
        <v>14</v>
      </c>
      <c r="AV1222">
        <v>13</v>
      </c>
      <c r="AW1222">
        <v>69</v>
      </c>
      <c r="AX1222">
        <v>48</v>
      </c>
      <c r="AY1222">
        <v>51</v>
      </c>
      <c r="AZ1222">
        <v>27</v>
      </c>
      <c r="BA1222" t="s">
        <v>22759</v>
      </c>
      <c r="BB1222" t="s">
        <v>22760</v>
      </c>
      <c r="BC1222">
        <v>0.33200000000000002</v>
      </c>
      <c r="BD1222" t="s">
        <v>65</v>
      </c>
      <c r="BE1222">
        <v>120</v>
      </c>
      <c r="BF1222">
        <v>75</v>
      </c>
      <c r="BG1222" t="s">
        <v>22761</v>
      </c>
      <c r="BH1222" t="s">
        <v>22762</v>
      </c>
      <c r="BI1222" t="s">
        <v>22763</v>
      </c>
      <c r="BJ1222">
        <v>0.17962</v>
      </c>
      <c r="BK1222">
        <v>1</v>
      </c>
      <c r="BL1222" t="s">
        <v>69</v>
      </c>
      <c r="BM1222">
        <v>-0.73</v>
      </c>
      <c r="BN1222">
        <v>-0.871</v>
      </c>
    </row>
    <row r="1223" spans="2:66">
      <c r="B1223">
        <v>1969</v>
      </c>
      <c r="C1223">
        <v>196</v>
      </c>
      <c r="D1223">
        <v>0</v>
      </c>
      <c r="E1223">
        <v>2</v>
      </c>
      <c r="F1223">
        <v>0</v>
      </c>
      <c r="J1223">
        <v>2</v>
      </c>
      <c r="K1223">
        <v>30</v>
      </c>
      <c r="L1223">
        <v>11</v>
      </c>
      <c r="M1223" t="s">
        <v>25022</v>
      </c>
      <c r="N1223">
        <v>3881</v>
      </c>
      <c r="O1223" t="s">
        <v>22764</v>
      </c>
      <c r="P1223" t="s">
        <v>62</v>
      </c>
      <c r="Q1223">
        <v>3844419</v>
      </c>
      <c r="R1223">
        <v>3845771</v>
      </c>
      <c r="S1223" t="s">
        <v>22765</v>
      </c>
      <c r="T1223">
        <v>451</v>
      </c>
      <c r="U1223" t="s">
        <v>108</v>
      </c>
      <c r="V1223">
        <v>44</v>
      </c>
      <c r="W1223" t="str">
        <f>HYPERLINK("Gene3881-zp_tree_all.dnd", "Gene3881-tree")</f>
        <v>Gene3881-tree</v>
      </c>
      <c r="X1223">
        <v>5</v>
      </c>
      <c r="Y1223">
        <v>9</v>
      </c>
      <c r="Z1223">
        <v>5</v>
      </c>
      <c r="AA1223">
        <v>9</v>
      </c>
      <c r="AB1223">
        <v>0.64285999999999999</v>
      </c>
      <c r="AC1223" t="s">
        <v>199</v>
      </c>
      <c r="AD1223" t="s">
        <v>135</v>
      </c>
      <c r="AE1223" t="s">
        <v>62</v>
      </c>
      <c r="AF1223" t="s">
        <v>62</v>
      </c>
      <c r="AG1223">
        <v>21</v>
      </c>
      <c r="AH1223">
        <v>43</v>
      </c>
      <c r="AI1223">
        <v>34</v>
      </c>
      <c r="AJ1223">
        <v>0.55844000000000005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6</v>
      </c>
      <c r="AR1223">
        <v>6</v>
      </c>
      <c r="AS1223">
        <v>35</v>
      </c>
      <c r="AT1223">
        <v>0.14634</v>
      </c>
      <c r="AU1223">
        <v>11</v>
      </c>
      <c r="AV1223">
        <v>9</v>
      </c>
      <c r="AW1223">
        <v>47</v>
      </c>
      <c r="AX1223">
        <v>43</v>
      </c>
      <c r="AY1223">
        <v>50</v>
      </c>
      <c r="AZ1223">
        <v>42</v>
      </c>
      <c r="BA1223" t="s">
        <v>22766</v>
      </c>
      <c r="BB1223" t="s">
        <v>22767</v>
      </c>
      <c r="BC1223">
        <v>5.6000000000000001E-2</v>
      </c>
      <c r="BD1223" t="s">
        <v>65</v>
      </c>
      <c r="BE1223">
        <v>97</v>
      </c>
      <c r="BF1223">
        <v>85</v>
      </c>
      <c r="BG1223" t="s">
        <v>22768</v>
      </c>
      <c r="BH1223" t="s">
        <v>22769</v>
      </c>
      <c r="BI1223" t="s">
        <v>22770</v>
      </c>
      <c r="BJ1223">
        <v>0.28272999999999998</v>
      </c>
      <c r="BK1223">
        <v>1</v>
      </c>
      <c r="BL1223" t="s">
        <v>69</v>
      </c>
      <c r="BM1223">
        <v>1.3260000000000001</v>
      </c>
      <c r="BN1223">
        <v>0.57499999999999996</v>
      </c>
    </row>
    <row r="1224" spans="2:66">
      <c r="B1224">
        <v>1978</v>
      </c>
      <c r="C1224">
        <v>145</v>
      </c>
      <c r="D1224">
        <v>0</v>
      </c>
      <c r="E1224">
        <v>4</v>
      </c>
      <c r="F1224">
        <v>0</v>
      </c>
      <c r="J1224">
        <v>0</v>
      </c>
      <c r="K1224">
        <v>0</v>
      </c>
      <c r="L1224">
        <v>0</v>
      </c>
      <c r="M1224" t="s">
        <v>25022</v>
      </c>
      <c r="N1224">
        <v>3885</v>
      </c>
      <c r="O1224" t="s">
        <v>22778</v>
      </c>
      <c r="P1224" t="s">
        <v>62</v>
      </c>
      <c r="Q1224">
        <v>3847856</v>
      </c>
      <c r="R1224">
        <v>3848725</v>
      </c>
      <c r="S1224" t="s">
        <v>22779</v>
      </c>
      <c r="T1224">
        <v>290</v>
      </c>
      <c r="U1224" t="s">
        <v>108</v>
      </c>
      <c r="V1224">
        <v>44</v>
      </c>
      <c r="W1224" t="str">
        <f>HYPERLINK("Gene3885-zp_tree_all.dnd", "Gene3885-tree")</f>
        <v>Gene3885-tree</v>
      </c>
      <c r="X1224">
        <v>13</v>
      </c>
      <c r="Y1224">
        <v>2</v>
      </c>
      <c r="Z1224">
        <v>13</v>
      </c>
      <c r="AA1224">
        <v>2</v>
      </c>
      <c r="AB1224">
        <v>0.13333</v>
      </c>
      <c r="AC1224" t="s">
        <v>507</v>
      </c>
      <c r="AD1224" t="s">
        <v>81</v>
      </c>
      <c r="AE1224" t="s">
        <v>62</v>
      </c>
      <c r="AF1224" t="s">
        <v>62</v>
      </c>
      <c r="AG1224">
        <v>0</v>
      </c>
      <c r="AH1224">
        <v>0</v>
      </c>
      <c r="AI1224">
        <v>2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</v>
      </c>
      <c r="AT1224">
        <v>0</v>
      </c>
      <c r="AU1224">
        <v>11</v>
      </c>
      <c r="AV1224">
        <v>8</v>
      </c>
      <c r="AW1224">
        <v>25</v>
      </c>
      <c r="AX1224">
        <v>2</v>
      </c>
      <c r="AY1224">
        <v>18</v>
      </c>
      <c r="AZ1224">
        <v>0</v>
      </c>
      <c r="BA1224" t="s">
        <v>22780</v>
      </c>
      <c r="BB1224" t="s">
        <v>193</v>
      </c>
      <c r="BC1224">
        <v>0.70799999999999996</v>
      </c>
      <c r="BD1224" t="s">
        <v>65</v>
      </c>
      <c r="BE1224">
        <v>43</v>
      </c>
      <c r="BF1224">
        <v>2</v>
      </c>
      <c r="BG1224" t="s">
        <v>22781</v>
      </c>
      <c r="BH1224" t="s">
        <v>22782</v>
      </c>
      <c r="BI1224" t="s">
        <v>22783</v>
      </c>
      <c r="BJ1224">
        <v>1.03E-2</v>
      </c>
      <c r="BK1224">
        <v>1</v>
      </c>
      <c r="BL1224" t="s">
        <v>69</v>
      </c>
      <c r="BM1224">
        <v>-0.79200000000000004</v>
      </c>
      <c r="BN1224">
        <v>-0.69199999999999995</v>
      </c>
    </row>
    <row r="1225" spans="2:66">
      <c r="B1225">
        <v>1980</v>
      </c>
      <c r="C1225">
        <v>153</v>
      </c>
      <c r="D1225">
        <v>0</v>
      </c>
      <c r="E1225">
        <v>8</v>
      </c>
      <c r="F1225">
        <v>1</v>
      </c>
      <c r="J1225">
        <v>0</v>
      </c>
      <c r="K1225">
        <v>0</v>
      </c>
      <c r="L1225">
        <v>0</v>
      </c>
      <c r="M1225" t="s">
        <v>25022</v>
      </c>
      <c r="N1225">
        <v>3886</v>
      </c>
      <c r="O1225" t="s">
        <v>22784</v>
      </c>
      <c r="P1225" t="s">
        <v>62</v>
      </c>
      <c r="Q1225">
        <v>3848789</v>
      </c>
      <c r="R1225">
        <v>3849616</v>
      </c>
      <c r="S1225" t="s">
        <v>22785</v>
      </c>
      <c r="T1225">
        <v>276</v>
      </c>
      <c r="U1225" t="s">
        <v>214</v>
      </c>
      <c r="V1225">
        <v>48</v>
      </c>
      <c r="W1225" t="str">
        <f>HYPERLINK("Gene3886-zp_tree_all.dnd", "Gene3886-tree")</f>
        <v>Gene3886-tree</v>
      </c>
      <c r="X1225">
        <v>19</v>
      </c>
      <c r="Y1225">
        <v>1</v>
      </c>
      <c r="Z1225">
        <v>19</v>
      </c>
      <c r="AA1225">
        <v>1</v>
      </c>
      <c r="AB1225">
        <v>0.05</v>
      </c>
      <c r="AC1225" t="s">
        <v>587</v>
      </c>
      <c r="AD1225" t="s">
        <v>175</v>
      </c>
      <c r="AE1225" t="s">
        <v>62</v>
      </c>
      <c r="AF1225" t="s">
        <v>62</v>
      </c>
      <c r="AG1225">
        <v>0</v>
      </c>
      <c r="AH1225">
        <v>0</v>
      </c>
      <c r="AI1225">
        <v>3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13</v>
      </c>
      <c r="AV1225">
        <v>16</v>
      </c>
      <c r="AW1225">
        <v>54</v>
      </c>
      <c r="AX1225">
        <v>1</v>
      </c>
      <c r="AY1225">
        <v>67</v>
      </c>
      <c r="AZ1225">
        <v>2</v>
      </c>
      <c r="BA1225" t="s">
        <v>22786</v>
      </c>
      <c r="BB1225" t="s">
        <v>22787</v>
      </c>
      <c r="BC1225">
        <v>0.126</v>
      </c>
      <c r="BD1225" t="s">
        <v>65</v>
      </c>
      <c r="BE1225">
        <v>121</v>
      </c>
      <c r="BF1225">
        <v>3</v>
      </c>
      <c r="BG1225" t="s">
        <v>22788</v>
      </c>
      <c r="BH1225" t="s">
        <v>22789</v>
      </c>
      <c r="BI1225" t="s">
        <v>22546</v>
      </c>
      <c r="BJ1225">
        <v>8.2500000000000004E-3</v>
      </c>
      <c r="BK1225">
        <v>1</v>
      </c>
      <c r="BL1225" t="s">
        <v>69</v>
      </c>
      <c r="BM1225">
        <v>-1.099</v>
      </c>
      <c r="BN1225">
        <v>-1.4790000000000001</v>
      </c>
    </row>
    <row r="1226" spans="2:66">
      <c r="B1226">
        <v>1981</v>
      </c>
      <c r="C1226">
        <v>28</v>
      </c>
      <c r="D1226">
        <v>0</v>
      </c>
      <c r="E1226">
        <v>27</v>
      </c>
      <c r="F1226">
        <v>1</v>
      </c>
      <c r="J1226">
        <v>0</v>
      </c>
      <c r="K1226">
        <v>6</v>
      </c>
      <c r="L1226">
        <v>0</v>
      </c>
      <c r="M1226" t="s">
        <v>25022</v>
      </c>
      <c r="N1226">
        <v>3888</v>
      </c>
      <c r="O1226" t="s">
        <v>22796</v>
      </c>
      <c r="P1226" t="s">
        <v>62</v>
      </c>
      <c r="Q1226">
        <v>3852189</v>
      </c>
      <c r="R1226">
        <v>3852704</v>
      </c>
      <c r="S1226" t="s">
        <v>116</v>
      </c>
      <c r="T1226">
        <v>172</v>
      </c>
      <c r="U1226" t="s">
        <v>108</v>
      </c>
      <c r="V1226">
        <v>44</v>
      </c>
      <c r="W1226" t="str">
        <f>HYPERLINK("Gene3888-zp_tree_all.dnd", "Gene3888-tree")</f>
        <v>Gene3888-tree</v>
      </c>
      <c r="X1226">
        <v>6</v>
      </c>
      <c r="Y1226">
        <v>7</v>
      </c>
      <c r="Z1226">
        <v>6</v>
      </c>
      <c r="AA1226">
        <v>7</v>
      </c>
      <c r="AB1226">
        <v>0.53846000000000005</v>
      </c>
      <c r="AC1226" t="s">
        <v>90</v>
      </c>
      <c r="AD1226" t="s">
        <v>152</v>
      </c>
      <c r="AE1226" t="s">
        <v>62</v>
      </c>
      <c r="AF1226" t="s">
        <v>62</v>
      </c>
      <c r="AG1226">
        <v>2</v>
      </c>
      <c r="AH1226">
        <v>6</v>
      </c>
      <c r="AI1226">
        <v>1</v>
      </c>
      <c r="AJ1226">
        <v>0.85714000000000001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6</v>
      </c>
      <c r="AQ1226">
        <v>0</v>
      </c>
      <c r="AR1226">
        <v>6</v>
      </c>
      <c r="AS1226">
        <v>1</v>
      </c>
      <c r="AT1226">
        <v>0.85714000000000001</v>
      </c>
      <c r="AU1226">
        <v>6</v>
      </c>
      <c r="AV1226">
        <v>8</v>
      </c>
      <c r="AW1226">
        <v>12</v>
      </c>
      <c r="AX1226">
        <v>4</v>
      </c>
      <c r="AY1226">
        <v>13</v>
      </c>
      <c r="AZ1226">
        <v>3</v>
      </c>
      <c r="BA1226" t="s">
        <v>22797</v>
      </c>
      <c r="BB1226" t="s">
        <v>22798</v>
      </c>
      <c r="BC1226">
        <v>0.372</v>
      </c>
      <c r="BD1226" t="s">
        <v>65</v>
      </c>
      <c r="BE1226">
        <v>25</v>
      </c>
      <c r="BF1226">
        <v>7</v>
      </c>
      <c r="BG1226" t="s">
        <v>22799</v>
      </c>
      <c r="BH1226" t="s">
        <v>22800</v>
      </c>
      <c r="BI1226" t="s">
        <v>22801</v>
      </c>
      <c r="BJ1226">
        <v>3.4979999999999997E-2</v>
      </c>
      <c r="BK1226">
        <v>1</v>
      </c>
      <c r="BL1226" t="s">
        <v>69</v>
      </c>
      <c r="BM1226">
        <v>-0.159</v>
      </c>
      <c r="BN1226">
        <v>0.71699999999999997</v>
      </c>
    </row>
    <row r="1227" spans="2:66">
      <c r="B1227">
        <v>1982</v>
      </c>
      <c r="C1227">
        <v>43</v>
      </c>
      <c r="D1227">
        <v>0</v>
      </c>
      <c r="E1227">
        <v>2</v>
      </c>
      <c r="F1227">
        <v>0</v>
      </c>
      <c r="J1227">
        <v>0</v>
      </c>
      <c r="K1227">
        <v>0</v>
      </c>
      <c r="L1227">
        <v>0</v>
      </c>
      <c r="M1227" t="s">
        <v>25022</v>
      </c>
      <c r="N1227">
        <v>3889</v>
      </c>
      <c r="O1227" t="s">
        <v>22802</v>
      </c>
      <c r="P1227" t="s">
        <v>62</v>
      </c>
      <c r="Q1227">
        <v>3852721</v>
      </c>
      <c r="R1227">
        <v>3853377</v>
      </c>
      <c r="S1227" t="s">
        <v>22803</v>
      </c>
      <c r="T1227">
        <v>219</v>
      </c>
      <c r="U1227" t="s">
        <v>108</v>
      </c>
      <c r="V1227">
        <v>44</v>
      </c>
      <c r="W1227" t="str">
        <f>HYPERLINK("Gene3889-zp_tree_all.dnd", "Gene3889-tree")</f>
        <v>Gene3889-tree</v>
      </c>
      <c r="X1227">
        <v>11</v>
      </c>
      <c r="Y1227">
        <v>2</v>
      </c>
      <c r="Z1227">
        <v>11</v>
      </c>
      <c r="AA1227">
        <v>2</v>
      </c>
      <c r="AB1227">
        <v>0.15384999999999999</v>
      </c>
      <c r="AC1227" t="s">
        <v>73</v>
      </c>
      <c r="AD1227" t="s">
        <v>81</v>
      </c>
      <c r="AE1227" t="s">
        <v>62</v>
      </c>
      <c r="AF1227" t="s">
        <v>62</v>
      </c>
      <c r="AG1227">
        <v>0</v>
      </c>
      <c r="AH1227">
        <v>0</v>
      </c>
      <c r="AI1227">
        <v>3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2</v>
      </c>
      <c r="AT1227">
        <v>0</v>
      </c>
      <c r="AU1227">
        <v>8</v>
      </c>
      <c r="AV1227">
        <v>7</v>
      </c>
      <c r="AW1227">
        <v>22</v>
      </c>
      <c r="AX1227">
        <v>2</v>
      </c>
      <c r="AY1227">
        <v>11</v>
      </c>
      <c r="AZ1227">
        <v>1</v>
      </c>
      <c r="BA1227" t="s">
        <v>22804</v>
      </c>
      <c r="BB1227" t="s">
        <v>22805</v>
      </c>
      <c r="BC1227">
        <v>5.0000000000000001E-3</v>
      </c>
      <c r="BD1227" t="s">
        <v>65</v>
      </c>
      <c r="BE1227">
        <v>33</v>
      </c>
      <c r="BF1227">
        <v>3</v>
      </c>
      <c r="BG1227" t="s">
        <v>22806</v>
      </c>
      <c r="BH1227" t="s">
        <v>22807</v>
      </c>
      <c r="BI1227" t="s">
        <v>22808</v>
      </c>
      <c r="BJ1227">
        <v>3.3529999999999997E-2</v>
      </c>
      <c r="BK1227">
        <v>1</v>
      </c>
      <c r="BL1227" t="s">
        <v>69</v>
      </c>
      <c r="BM1227">
        <v>-1.165</v>
      </c>
      <c r="BN1227">
        <v>-2.552</v>
      </c>
    </row>
    <row r="1228" spans="2:66">
      <c r="B1228">
        <v>1983</v>
      </c>
      <c r="C1228">
        <v>92</v>
      </c>
      <c r="D1228">
        <v>2</v>
      </c>
      <c r="E1228">
        <v>6</v>
      </c>
      <c r="F1228">
        <v>0</v>
      </c>
      <c r="J1228">
        <v>0</v>
      </c>
      <c r="K1228">
        <v>2</v>
      </c>
      <c r="L1228">
        <v>0</v>
      </c>
      <c r="M1228" t="s">
        <v>25022</v>
      </c>
      <c r="N1228">
        <v>3891</v>
      </c>
      <c r="O1228" t="s">
        <v>22815</v>
      </c>
      <c r="P1228" t="s">
        <v>62</v>
      </c>
      <c r="Q1228">
        <v>3853720</v>
      </c>
      <c r="R1228">
        <v>3854136</v>
      </c>
      <c r="S1228" t="s">
        <v>3745</v>
      </c>
      <c r="T1228">
        <v>139</v>
      </c>
      <c r="U1228" t="s">
        <v>108</v>
      </c>
      <c r="V1228">
        <v>44</v>
      </c>
      <c r="W1228" t="str">
        <f>HYPERLINK("Gene3891-zp_tree_all.dnd", "Gene3891-tree")</f>
        <v>Gene3891-tree</v>
      </c>
      <c r="X1228">
        <v>10</v>
      </c>
      <c r="Y1228">
        <v>0</v>
      </c>
      <c r="Z1228">
        <v>10</v>
      </c>
      <c r="AA1228">
        <v>0</v>
      </c>
      <c r="AB1228">
        <v>0</v>
      </c>
      <c r="AC1228" t="s">
        <v>117</v>
      </c>
      <c r="AD1228" t="s">
        <v>62</v>
      </c>
      <c r="AE1228" t="s">
        <v>62</v>
      </c>
      <c r="AF1228" t="s">
        <v>62</v>
      </c>
      <c r="AG1228">
        <v>1</v>
      </c>
      <c r="AH1228">
        <v>2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7</v>
      </c>
      <c r="AV1228">
        <v>5</v>
      </c>
      <c r="AW1228">
        <v>10</v>
      </c>
      <c r="AX1228">
        <v>0</v>
      </c>
      <c r="AY1228">
        <v>4</v>
      </c>
      <c r="AZ1228">
        <v>2</v>
      </c>
      <c r="BA1228" t="s">
        <v>193</v>
      </c>
      <c r="BB1228" t="s">
        <v>22816</v>
      </c>
      <c r="BC1228">
        <v>1.278</v>
      </c>
      <c r="BD1228" t="s">
        <v>65</v>
      </c>
      <c r="BE1228">
        <v>14</v>
      </c>
      <c r="BF1228">
        <v>2</v>
      </c>
      <c r="BG1228" t="s">
        <v>22817</v>
      </c>
      <c r="BH1228" t="s">
        <v>22818</v>
      </c>
      <c r="BI1228" t="s">
        <v>4513</v>
      </c>
      <c r="BJ1228">
        <v>4.7109999999999999E-2</v>
      </c>
      <c r="BK1228">
        <v>1</v>
      </c>
      <c r="BL1228" t="s">
        <v>69</v>
      </c>
      <c r="BM1228">
        <v>0.69799999999999995</v>
      </c>
      <c r="BN1228">
        <v>-2.1720000000000002</v>
      </c>
    </row>
    <row r="1229" spans="2:66">
      <c r="B1229">
        <v>1984</v>
      </c>
      <c r="C1229">
        <v>14</v>
      </c>
      <c r="D1229">
        <v>0</v>
      </c>
      <c r="E1229">
        <v>9</v>
      </c>
      <c r="F1229">
        <v>0</v>
      </c>
      <c r="J1229">
        <v>0</v>
      </c>
      <c r="K1229">
        <v>38</v>
      </c>
      <c r="L1229">
        <v>2</v>
      </c>
      <c r="M1229" t="s">
        <v>25022</v>
      </c>
      <c r="N1229">
        <v>3892</v>
      </c>
      <c r="O1229" t="s">
        <v>22819</v>
      </c>
      <c r="P1229" t="s">
        <v>62</v>
      </c>
      <c r="Q1229">
        <v>3854259</v>
      </c>
      <c r="R1229">
        <v>3856172</v>
      </c>
      <c r="S1229" t="s">
        <v>17396</v>
      </c>
      <c r="T1229">
        <v>638</v>
      </c>
      <c r="U1229" t="s">
        <v>108</v>
      </c>
      <c r="V1229">
        <v>44</v>
      </c>
      <c r="W1229" t="str">
        <f>HYPERLINK("Gene3892-zp_tree_all.dnd", "Gene3892-tree")</f>
        <v>Gene3892-tree</v>
      </c>
      <c r="X1229">
        <v>5</v>
      </c>
      <c r="Y1229">
        <v>11</v>
      </c>
      <c r="Z1229">
        <v>5</v>
      </c>
      <c r="AA1229">
        <v>11</v>
      </c>
      <c r="AB1229">
        <v>0.6875</v>
      </c>
      <c r="AC1229" t="s">
        <v>199</v>
      </c>
      <c r="AD1229" t="s">
        <v>73</v>
      </c>
      <c r="AE1229">
        <v>137353515.63499999</v>
      </c>
      <c r="AF1229" t="s">
        <v>267</v>
      </c>
      <c r="AG1229">
        <v>15</v>
      </c>
      <c r="AH1229">
        <v>40</v>
      </c>
      <c r="AI1229">
        <v>28</v>
      </c>
      <c r="AJ1229">
        <v>0.58823999999999999</v>
      </c>
      <c r="AK1229">
        <v>0</v>
      </c>
      <c r="AL1229">
        <v>0</v>
      </c>
      <c r="AM1229">
        <v>0</v>
      </c>
      <c r="AN1229">
        <v>4</v>
      </c>
      <c r="AO1229">
        <v>0</v>
      </c>
      <c r="AP1229">
        <v>14</v>
      </c>
      <c r="AQ1229">
        <v>4</v>
      </c>
      <c r="AR1229">
        <v>18</v>
      </c>
      <c r="AS1229">
        <v>30</v>
      </c>
      <c r="AT1229">
        <v>0.375</v>
      </c>
      <c r="AU1229">
        <v>13</v>
      </c>
      <c r="AV1229">
        <v>12</v>
      </c>
      <c r="AW1229">
        <v>71</v>
      </c>
      <c r="AX1229">
        <v>48</v>
      </c>
      <c r="AY1229">
        <v>65</v>
      </c>
      <c r="AZ1229">
        <v>21</v>
      </c>
      <c r="BA1229" t="s">
        <v>22820</v>
      </c>
      <c r="BB1229" t="s">
        <v>22821</v>
      </c>
      <c r="BC1229">
        <v>0.81200000000000006</v>
      </c>
      <c r="BD1229" t="s">
        <v>65</v>
      </c>
      <c r="BE1229">
        <v>136</v>
      </c>
      <c r="BF1229">
        <v>69</v>
      </c>
      <c r="BG1229" t="s">
        <v>22822</v>
      </c>
      <c r="BH1229" t="s">
        <v>22823</v>
      </c>
      <c r="BI1229" t="s">
        <v>22824</v>
      </c>
      <c r="BJ1229">
        <v>0.12801000000000001</v>
      </c>
      <c r="BK1229">
        <v>1</v>
      </c>
      <c r="BL1229" t="s">
        <v>69</v>
      </c>
      <c r="BM1229">
        <v>-0.48599999999999999</v>
      </c>
      <c r="BN1229">
        <v>-1.867</v>
      </c>
    </row>
    <row r="1230" spans="2:66">
      <c r="B1230">
        <v>1985</v>
      </c>
      <c r="C1230">
        <v>221</v>
      </c>
      <c r="D1230">
        <v>0</v>
      </c>
      <c r="E1230">
        <v>5</v>
      </c>
      <c r="F1230">
        <v>0</v>
      </c>
      <c r="J1230">
        <v>0</v>
      </c>
      <c r="K1230">
        <v>0</v>
      </c>
      <c r="L1230">
        <v>0</v>
      </c>
      <c r="M1230" t="s">
        <v>25022</v>
      </c>
      <c r="N1230">
        <v>3893</v>
      </c>
      <c r="O1230" t="s">
        <v>22825</v>
      </c>
      <c r="P1230" t="s">
        <v>62</v>
      </c>
      <c r="Q1230">
        <v>3856785</v>
      </c>
      <c r="R1230">
        <v>3856937</v>
      </c>
      <c r="S1230" t="s">
        <v>22826</v>
      </c>
      <c r="T1230">
        <v>51</v>
      </c>
      <c r="U1230" t="s">
        <v>22827</v>
      </c>
      <c r="V1230">
        <v>42</v>
      </c>
      <c r="W1230" t="str">
        <f>HYPERLINK("Gene3893-zp_tree_all.dnd", "Gene3893-tree")</f>
        <v>Gene3893-tree</v>
      </c>
      <c r="X1230">
        <v>2</v>
      </c>
      <c r="Y1230">
        <v>3</v>
      </c>
      <c r="Z1230">
        <v>2</v>
      </c>
      <c r="AA1230">
        <v>3</v>
      </c>
      <c r="AB1230">
        <v>0.6</v>
      </c>
      <c r="AC1230" t="s">
        <v>81</v>
      </c>
      <c r="AD1230" t="s">
        <v>324</v>
      </c>
      <c r="AE1230" t="s">
        <v>62</v>
      </c>
      <c r="AF1230" t="s">
        <v>62</v>
      </c>
      <c r="AG1230">
        <v>0</v>
      </c>
      <c r="AH1230">
        <v>0</v>
      </c>
      <c r="AI1230">
        <v>3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</v>
      </c>
      <c r="AT1230">
        <v>0</v>
      </c>
      <c r="AU1230">
        <v>2</v>
      </c>
      <c r="AV1230">
        <v>2</v>
      </c>
      <c r="AW1230">
        <v>1</v>
      </c>
      <c r="AX1230">
        <v>1</v>
      </c>
      <c r="AY1230">
        <v>0</v>
      </c>
      <c r="AZ1230">
        <v>2</v>
      </c>
      <c r="BA1230" t="s">
        <v>22828</v>
      </c>
      <c r="BB1230" t="s">
        <v>193</v>
      </c>
      <c r="BC1230">
        <v>0.70699999999999996</v>
      </c>
      <c r="BD1230" t="s">
        <v>65</v>
      </c>
      <c r="BE1230">
        <v>1</v>
      </c>
      <c r="BF1230">
        <v>3</v>
      </c>
      <c r="BG1230" t="s">
        <v>12164</v>
      </c>
      <c r="BH1230" t="s">
        <v>22829</v>
      </c>
      <c r="BI1230" t="s">
        <v>22830</v>
      </c>
      <c r="BJ1230">
        <v>1.1868300000000001</v>
      </c>
      <c r="BK1230">
        <v>8.7999999999999995E-2</v>
      </c>
      <c r="BL1230" t="s">
        <v>635</v>
      </c>
      <c r="BM1230">
        <v>0.76</v>
      </c>
      <c r="BN1230">
        <v>-5.0999999999999997E-2</v>
      </c>
    </row>
    <row r="1231" spans="2:66">
      <c r="B1231">
        <v>1986</v>
      </c>
      <c r="C1231">
        <v>113</v>
      </c>
      <c r="D1231">
        <v>0</v>
      </c>
      <c r="E1231">
        <v>0</v>
      </c>
      <c r="F1231">
        <v>2</v>
      </c>
      <c r="J1231">
        <v>0</v>
      </c>
      <c r="K1231">
        <v>6</v>
      </c>
      <c r="L1231">
        <v>0</v>
      </c>
      <c r="M1231" t="s">
        <v>25022</v>
      </c>
      <c r="N1231">
        <v>3894</v>
      </c>
      <c r="O1231" t="s">
        <v>22831</v>
      </c>
      <c r="P1231" t="s">
        <v>62</v>
      </c>
      <c r="Q1231">
        <v>3858420</v>
      </c>
      <c r="R1231">
        <v>3858887</v>
      </c>
      <c r="S1231" t="s">
        <v>637</v>
      </c>
      <c r="T1231">
        <v>156</v>
      </c>
      <c r="U1231" t="s">
        <v>108</v>
      </c>
      <c r="V1231">
        <v>44</v>
      </c>
      <c r="W1231" t="str">
        <f>HYPERLINK("Gene3894-zp_tree_all.dnd", "Gene3894-tree")</f>
        <v>Gene3894-tree</v>
      </c>
      <c r="X1231">
        <v>6</v>
      </c>
      <c r="Y1231">
        <v>6</v>
      </c>
      <c r="Z1231">
        <v>6</v>
      </c>
      <c r="AA1231">
        <v>6</v>
      </c>
      <c r="AB1231">
        <v>0.5</v>
      </c>
      <c r="AC1231" t="s">
        <v>90</v>
      </c>
      <c r="AD1231" t="s">
        <v>90</v>
      </c>
      <c r="AE1231" t="s">
        <v>62</v>
      </c>
      <c r="AF1231" t="s">
        <v>62</v>
      </c>
      <c r="AG1231">
        <v>3</v>
      </c>
      <c r="AH1231">
        <v>6</v>
      </c>
      <c r="AI1231">
        <v>4</v>
      </c>
      <c r="AJ1231">
        <v>0.6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2</v>
      </c>
      <c r="AQ1231">
        <v>0</v>
      </c>
      <c r="AR1231">
        <v>2</v>
      </c>
      <c r="AS1231">
        <v>5</v>
      </c>
      <c r="AT1231">
        <v>0.28571000000000002</v>
      </c>
      <c r="AU1231">
        <v>9</v>
      </c>
      <c r="AV1231">
        <v>9</v>
      </c>
      <c r="AW1231">
        <v>26</v>
      </c>
      <c r="AX1231">
        <v>5</v>
      </c>
      <c r="AY1231">
        <v>13</v>
      </c>
      <c r="AZ1231">
        <v>5</v>
      </c>
      <c r="BA1231" t="s">
        <v>22832</v>
      </c>
      <c r="BB1231" t="s">
        <v>22833</v>
      </c>
      <c r="BC1231">
        <v>0.57299999999999995</v>
      </c>
      <c r="BD1231" t="s">
        <v>65</v>
      </c>
      <c r="BE1231">
        <v>39</v>
      </c>
      <c r="BF1231">
        <v>10</v>
      </c>
      <c r="BG1231" t="s">
        <v>22834</v>
      </c>
      <c r="BH1231" t="s">
        <v>22835</v>
      </c>
      <c r="BI1231" t="s">
        <v>22836</v>
      </c>
      <c r="BJ1231">
        <v>8.9940000000000006E-2</v>
      </c>
      <c r="BK1231">
        <v>1</v>
      </c>
      <c r="BL1231" t="s">
        <v>69</v>
      </c>
      <c r="BM1231">
        <v>-0.51500000000000001</v>
      </c>
      <c r="BN1231">
        <v>-0.35699999999999998</v>
      </c>
    </row>
    <row r="1232" spans="2:66">
      <c r="B1232">
        <v>1987</v>
      </c>
      <c r="C1232">
        <v>3</v>
      </c>
      <c r="D1232">
        <v>0</v>
      </c>
      <c r="E1232">
        <v>7</v>
      </c>
      <c r="F1232">
        <v>0</v>
      </c>
      <c r="J1232">
        <v>0</v>
      </c>
      <c r="K1232">
        <v>0</v>
      </c>
      <c r="L1232">
        <v>0</v>
      </c>
      <c r="M1232" t="s">
        <v>25022</v>
      </c>
      <c r="N1232">
        <v>3895</v>
      </c>
      <c r="O1232" t="s">
        <v>22837</v>
      </c>
      <c r="P1232" t="s">
        <v>62</v>
      </c>
      <c r="Q1232">
        <v>3859002</v>
      </c>
      <c r="R1232">
        <v>3859499</v>
      </c>
      <c r="S1232" t="s">
        <v>116</v>
      </c>
      <c r="T1232">
        <v>166</v>
      </c>
      <c r="U1232" t="s">
        <v>59</v>
      </c>
      <c r="V1232">
        <v>49</v>
      </c>
      <c r="W1232" t="str">
        <f>HYPERLINK("Gene3895-zp_tree_all.dnd", "Gene3895-tree")</f>
        <v>Gene3895-tree</v>
      </c>
      <c r="X1232">
        <v>13</v>
      </c>
      <c r="Y1232">
        <v>1</v>
      </c>
      <c r="Z1232">
        <v>13</v>
      </c>
      <c r="AA1232">
        <v>1</v>
      </c>
      <c r="AB1232">
        <v>7.1429999999999993E-2</v>
      </c>
      <c r="AC1232" t="s">
        <v>507</v>
      </c>
      <c r="AD1232" t="s">
        <v>175</v>
      </c>
      <c r="AE1232" t="s">
        <v>62</v>
      </c>
      <c r="AF1232" t="s">
        <v>62</v>
      </c>
      <c r="AG1232">
        <v>0</v>
      </c>
      <c r="AH1232">
        <v>0</v>
      </c>
      <c r="AI1232">
        <v>3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10</v>
      </c>
      <c r="AV1232">
        <v>8</v>
      </c>
      <c r="AW1232">
        <v>22</v>
      </c>
      <c r="AX1232">
        <v>1</v>
      </c>
      <c r="AY1232">
        <v>16</v>
      </c>
      <c r="AZ1232">
        <v>2</v>
      </c>
      <c r="BA1232" t="s">
        <v>22838</v>
      </c>
      <c r="BB1232" t="s">
        <v>22839</v>
      </c>
      <c r="BC1232">
        <v>0.217</v>
      </c>
      <c r="BD1232" t="s">
        <v>65</v>
      </c>
      <c r="BE1232">
        <v>38</v>
      </c>
      <c r="BF1232">
        <v>3</v>
      </c>
      <c r="BG1232" t="s">
        <v>22840</v>
      </c>
      <c r="BH1232" t="s">
        <v>22841</v>
      </c>
      <c r="BI1232" t="s">
        <v>22842</v>
      </c>
      <c r="BJ1232">
        <v>3.2489999999999998E-2</v>
      </c>
      <c r="BK1232">
        <v>1</v>
      </c>
      <c r="BL1232" t="s">
        <v>69</v>
      </c>
      <c r="BM1232">
        <v>-1.395</v>
      </c>
      <c r="BN1232">
        <v>-1.5840000000000001</v>
      </c>
    </row>
    <row r="1233" spans="2:66">
      <c r="B1233">
        <v>1989</v>
      </c>
      <c r="C1233">
        <v>90</v>
      </c>
      <c r="D1233">
        <v>0</v>
      </c>
      <c r="E1233">
        <v>14</v>
      </c>
      <c r="F1233">
        <v>0</v>
      </c>
      <c r="J1233">
        <v>0</v>
      </c>
      <c r="K1233">
        <v>10</v>
      </c>
      <c r="L1233">
        <v>2</v>
      </c>
      <c r="M1233" t="s">
        <v>25022</v>
      </c>
      <c r="N1233">
        <v>3896</v>
      </c>
      <c r="O1233" t="s">
        <v>22843</v>
      </c>
      <c r="P1233" t="s">
        <v>62</v>
      </c>
      <c r="Q1233">
        <v>3859538</v>
      </c>
      <c r="R1233">
        <v>3860836</v>
      </c>
      <c r="S1233" t="s">
        <v>22844</v>
      </c>
      <c r="T1233">
        <v>433</v>
      </c>
      <c r="U1233" t="s">
        <v>59</v>
      </c>
      <c r="V1233">
        <v>49</v>
      </c>
      <c r="W1233" t="str">
        <f>HYPERLINK("Gene3896-zp_tree_all.dnd", "Gene3896-tree")</f>
        <v>Gene3896-tree</v>
      </c>
      <c r="X1233">
        <v>16</v>
      </c>
      <c r="Y1233">
        <v>5</v>
      </c>
      <c r="Z1233">
        <v>16</v>
      </c>
      <c r="AA1233">
        <v>5</v>
      </c>
      <c r="AB1233">
        <v>0.23810000000000001</v>
      </c>
      <c r="AC1233" t="s">
        <v>60</v>
      </c>
      <c r="AD1233" t="s">
        <v>199</v>
      </c>
      <c r="AE1233" t="s">
        <v>62</v>
      </c>
      <c r="AF1233" t="s">
        <v>62</v>
      </c>
      <c r="AG1233">
        <v>5</v>
      </c>
      <c r="AH1233">
        <v>12</v>
      </c>
      <c r="AI1233">
        <v>8</v>
      </c>
      <c r="AJ1233">
        <v>0.6</v>
      </c>
      <c r="AK1233">
        <v>0</v>
      </c>
      <c r="AL1233">
        <v>0</v>
      </c>
      <c r="AM1233">
        <v>0</v>
      </c>
      <c r="AN1233">
        <v>2</v>
      </c>
      <c r="AO1233">
        <v>0</v>
      </c>
      <c r="AP1233">
        <v>0</v>
      </c>
      <c r="AQ1233">
        <v>0</v>
      </c>
      <c r="AR1233">
        <v>0</v>
      </c>
      <c r="AS1233">
        <v>10</v>
      </c>
      <c r="AT1233">
        <v>0</v>
      </c>
      <c r="AU1233">
        <v>17</v>
      </c>
      <c r="AV1233">
        <v>17</v>
      </c>
      <c r="AW1233">
        <v>68</v>
      </c>
      <c r="AX1233">
        <v>10</v>
      </c>
      <c r="AY1233">
        <v>66</v>
      </c>
      <c r="AZ1233">
        <v>10</v>
      </c>
      <c r="BA1233" t="s">
        <v>22845</v>
      </c>
      <c r="BB1233" t="s">
        <v>22846</v>
      </c>
      <c r="BC1233">
        <v>1.6E-2</v>
      </c>
      <c r="BD1233" t="s">
        <v>65</v>
      </c>
      <c r="BE1233">
        <v>134</v>
      </c>
      <c r="BF1233">
        <v>20</v>
      </c>
      <c r="BG1233" t="s">
        <v>22847</v>
      </c>
      <c r="BH1233" t="s">
        <v>22848</v>
      </c>
      <c r="BI1233" t="s">
        <v>22849</v>
      </c>
      <c r="BJ1233">
        <v>3.4410000000000003E-2</v>
      </c>
      <c r="BK1233">
        <v>1</v>
      </c>
      <c r="BL1233" t="s">
        <v>69</v>
      </c>
      <c r="BM1233">
        <v>-1.006</v>
      </c>
      <c r="BN1233">
        <v>-1.107</v>
      </c>
    </row>
    <row r="1234" spans="2:66">
      <c r="B1234">
        <v>1990</v>
      </c>
      <c r="C1234">
        <v>127</v>
      </c>
      <c r="D1234">
        <v>0</v>
      </c>
      <c r="E1234">
        <v>14</v>
      </c>
      <c r="F1234">
        <v>0</v>
      </c>
      <c r="J1234">
        <v>0</v>
      </c>
      <c r="K1234">
        <v>0</v>
      </c>
      <c r="L1234">
        <v>0</v>
      </c>
      <c r="M1234" t="s">
        <v>25022</v>
      </c>
      <c r="N1234">
        <v>3897</v>
      </c>
      <c r="O1234" t="s">
        <v>22850</v>
      </c>
      <c r="P1234" t="s">
        <v>62</v>
      </c>
      <c r="Q1234">
        <v>3861001</v>
      </c>
      <c r="R1234">
        <v>3861222</v>
      </c>
      <c r="S1234" t="s">
        <v>116</v>
      </c>
      <c r="T1234">
        <v>74</v>
      </c>
      <c r="U1234" t="s">
        <v>59</v>
      </c>
      <c r="V1234">
        <v>49</v>
      </c>
      <c r="W1234" t="str">
        <f>HYPERLINK("Gene3897-zp_tree_all.dnd", "Gene3897-tree")</f>
        <v>Gene3897-tree</v>
      </c>
      <c r="X1234">
        <v>7</v>
      </c>
      <c r="Y1234">
        <v>0</v>
      </c>
      <c r="Z1234">
        <v>7</v>
      </c>
      <c r="AA1234">
        <v>0</v>
      </c>
      <c r="AB1234">
        <v>0</v>
      </c>
      <c r="AC1234" t="s">
        <v>152</v>
      </c>
      <c r="AD1234" t="s">
        <v>62</v>
      </c>
      <c r="AE1234" t="s">
        <v>62</v>
      </c>
      <c r="AF1234" t="s">
        <v>62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3</v>
      </c>
      <c r="AV1234">
        <v>4</v>
      </c>
      <c r="AW1234">
        <v>4</v>
      </c>
      <c r="AX1234">
        <v>0</v>
      </c>
      <c r="AY1234">
        <v>4</v>
      </c>
      <c r="AZ1234">
        <v>0</v>
      </c>
      <c r="BA1234" t="s">
        <v>193</v>
      </c>
      <c r="BB1234" t="s">
        <v>193</v>
      </c>
      <c r="BC1234">
        <v>0</v>
      </c>
      <c r="BD1234" t="s">
        <v>65</v>
      </c>
      <c r="BE1234">
        <v>8</v>
      </c>
      <c r="BF1234">
        <v>0</v>
      </c>
      <c r="BG1234" t="s">
        <v>22851</v>
      </c>
      <c r="BH1234" t="s">
        <v>22852</v>
      </c>
      <c r="BI1234" t="s">
        <v>193</v>
      </c>
      <c r="BJ1234">
        <v>0</v>
      </c>
      <c r="BK1234">
        <v>1</v>
      </c>
      <c r="BL1234" t="s">
        <v>69</v>
      </c>
      <c r="BM1234">
        <v>-1.7809999999999999</v>
      </c>
      <c r="BN1234">
        <v>-1.5409999999999999</v>
      </c>
    </row>
    <row r="1235" spans="2:66">
      <c r="B1235">
        <v>1992</v>
      </c>
      <c r="C1235">
        <v>65</v>
      </c>
      <c r="D1235">
        <v>0</v>
      </c>
      <c r="E1235">
        <v>0</v>
      </c>
      <c r="F1235">
        <v>2</v>
      </c>
      <c r="J1235">
        <v>0</v>
      </c>
      <c r="K1235">
        <v>15</v>
      </c>
      <c r="L1235">
        <v>0</v>
      </c>
      <c r="M1235" t="s">
        <v>25022</v>
      </c>
      <c r="N1235">
        <v>3899</v>
      </c>
      <c r="O1235" t="s">
        <v>22860</v>
      </c>
      <c r="P1235" t="s">
        <v>62</v>
      </c>
      <c r="Q1235">
        <v>3862360</v>
      </c>
      <c r="R1235">
        <v>3863247</v>
      </c>
      <c r="S1235" t="s">
        <v>22861</v>
      </c>
      <c r="T1235">
        <v>296</v>
      </c>
      <c r="U1235" t="s">
        <v>11485</v>
      </c>
      <c r="V1235">
        <v>43</v>
      </c>
      <c r="W1235" t="str">
        <f>HYPERLINK("Gene3899-zp_tree_all.dnd", "Gene3899-tree")</f>
        <v>Gene3899-tree</v>
      </c>
      <c r="X1235">
        <v>3</v>
      </c>
      <c r="Y1235">
        <v>10</v>
      </c>
      <c r="Z1235">
        <v>3</v>
      </c>
      <c r="AA1235">
        <v>10</v>
      </c>
      <c r="AB1235">
        <v>0.76922999999999997</v>
      </c>
      <c r="AC1235" t="s">
        <v>324</v>
      </c>
      <c r="AD1235" t="s">
        <v>117</v>
      </c>
      <c r="AE1235" t="s">
        <v>62</v>
      </c>
      <c r="AF1235" t="s">
        <v>62</v>
      </c>
      <c r="AG1235">
        <v>6</v>
      </c>
      <c r="AH1235">
        <v>15</v>
      </c>
      <c r="AI1235">
        <v>10</v>
      </c>
      <c r="AJ1235">
        <v>0.6</v>
      </c>
      <c r="AK1235">
        <v>0</v>
      </c>
      <c r="AL1235">
        <v>0</v>
      </c>
      <c r="AM1235">
        <v>0</v>
      </c>
      <c r="AN1235">
        <v>2</v>
      </c>
      <c r="AO1235">
        <v>0</v>
      </c>
      <c r="AP1235">
        <v>11</v>
      </c>
      <c r="AQ1235">
        <v>0</v>
      </c>
      <c r="AR1235">
        <v>11</v>
      </c>
      <c r="AS1235">
        <v>8</v>
      </c>
      <c r="AT1235">
        <v>0.57894999999999996</v>
      </c>
      <c r="AU1235">
        <v>12</v>
      </c>
      <c r="AV1235">
        <v>10</v>
      </c>
      <c r="AW1235">
        <v>34</v>
      </c>
      <c r="AX1235">
        <v>21</v>
      </c>
      <c r="AY1235">
        <v>22</v>
      </c>
      <c r="AZ1235">
        <v>6</v>
      </c>
      <c r="BA1235" t="s">
        <v>22862</v>
      </c>
      <c r="BB1235" t="s">
        <v>22863</v>
      </c>
      <c r="BC1235">
        <v>0.86599999999999999</v>
      </c>
      <c r="BD1235" t="s">
        <v>65</v>
      </c>
      <c r="BE1235">
        <v>56</v>
      </c>
      <c r="BF1235">
        <v>27</v>
      </c>
      <c r="BG1235" t="s">
        <v>22864</v>
      </c>
      <c r="BH1235" t="s">
        <v>22865</v>
      </c>
      <c r="BI1235" t="s">
        <v>22866</v>
      </c>
      <c r="BJ1235">
        <v>0.11951000000000001</v>
      </c>
      <c r="BK1235">
        <v>1</v>
      </c>
      <c r="BL1235" t="s">
        <v>69</v>
      </c>
      <c r="BM1235">
        <v>-0.16600000000000001</v>
      </c>
      <c r="BN1235">
        <v>-0.183</v>
      </c>
    </row>
    <row r="1236" spans="2:66">
      <c r="B1236">
        <v>1994</v>
      </c>
      <c r="C1236">
        <v>128</v>
      </c>
      <c r="D1236">
        <v>0</v>
      </c>
      <c r="E1236">
        <v>2</v>
      </c>
      <c r="F1236">
        <v>4</v>
      </c>
      <c r="J1236">
        <v>0</v>
      </c>
      <c r="K1236">
        <v>6</v>
      </c>
      <c r="L1236">
        <v>0</v>
      </c>
      <c r="M1236" t="s">
        <v>25022</v>
      </c>
      <c r="N1236">
        <v>3900</v>
      </c>
      <c r="O1236" t="s">
        <v>22867</v>
      </c>
      <c r="P1236" t="s">
        <v>62</v>
      </c>
      <c r="Q1236">
        <v>3863418</v>
      </c>
      <c r="R1236">
        <v>3864260</v>
      </c>
      <c r="S1236" t="s">
        <v>22868</v>
      </c>
      <c r="T1236">
        <v>281</v>
      </c>
      <c r="U1236" t="s">
        <v>108</v>
      </c>
      <c r="V1236">
        <v>44</v>
      </c>
      <c r="W1236" t="str">
        <f>HYPERLINK("Gene3900-zp_tree_all.dnd", "Gene3900-tree")</f>
        <v>Gene3900-tree</v>
      </c>
      <c r="X1236">
        <v>5</v>
      </c>
      <c r="Y1236">
        <v>9</v>
      </c>
      <c r="Z1236">
        <v>5</v>
      </c>
      <c r="AA1236">
        <v>9</v>
      </c>
      <c r="AB1236">
        <v>0.64285999999999999</v>
      </c>
      <c r="AC1236" t="s">
        <v>199</v>
      </c>
      <c r="AD1236" t="s">
        <v>135</v>
      </c>
      <c r="AE1236" t="s">
        <v>62</v>
      </c>
      <c r="AF1236" t="s">
        <v>62</v>
      </c>
      <c r="AG1236">
        <v>1</v>
      </c>
      <c r="AH1236">
        <v>6</v>
      </c>
      <c r="AI1236">
        <v>6</v>
      </c>
      <c r="AJ1236">
        <v>0.5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3</v>
      </c>
      <c r="AQ1236">
        <v>1</v>
      </c>
      <c r="AR1236">
        <v>4</v>
      </c>
      <c r="AS1236">
        <v>5</v>
      </c>
      <c r="AT1236">
        <v>0.44444</v>
      </c>
      <c r="AU1236">
        <v>13</v>
      </c>
      <c r="AV1236">
        <v>7</v>
      </c>
      <c r="AW1236">
        <v>23</v>
      </c>
      <c r="AX1236">
        <v>9</v>
      </c>
      <c r="AY1236">
        <v>13</v>
      </c>
      <c r="AZ1236">
        <v>3</v>
      </c>
      <c r="BA1236" t="s">
        <v>22869</v>
      </c>
      <c r="BB1236" t="s">
        <v>22870</v>
      </c>
      <c r="BC1236">
        <v>0.83899999999999997</v>
      </c>
      <c r="BD1236" t="s">
        <v>65</v>
      </c>
      <c r="BE1236">
        <v>36</v>
      </c>
      <c r="BF1236">
        <v>12</v>
      </c>
      <c r="BG1236" t="s">
        <v>22871</v>
      </c>
      <c r="BH1236" t="s">
        <v>22872</v>
      </c>
      <c r="BI1236" t="s">
        <v>22873</v>
      </c>
      <c r="BJ1236">
        <v>6.3600000000000004E-2</v>
      </c>
      <c r="BK1236">
        <v>1</v>
      </c>
      <c r="BL1236" t="s">
        <v>69</v>
      </c>
      <c r="BM1236">
        <v>-0.309</v>
      </c>
      <c r="BN1236">
        <v>-0.92200000000000004</v>
      </c>
    </row>
    <row r="1237" spans="2:66">
      <c r="B1237">
        <v>1995</v>
      </c>
      <c r="C1237">
        <v>145</v>
      </c>
      <c r="D1237">
        <v>0</v>
      </c>
      <c r="E1237">
        <v>2</v>
      </c>
      <c r="F1237">
        <v>0</v>
      </c>
      <c r="J1237">
        <v>0</v>
      </c>
      <c r="K1237">
        <v>4</v>
      </c>
      <c r="L1237">
        <v>0</v>
      </c>
      <c r="M1237" t="s">
        <v>25022</v>
      </c>
      <c r="N1237">
        <v>3901</v>
      </c>
      <c r="O1237" t="s">
        <v>22874</v>
      </c>
      <c r="P1237" t="s">
        <v>62</v>
      </c>
      <c r="Q1237">
        <v>3864312</v>
      </c>
      <c r="R1237">
        <v>3865208</v>
      </c>
      <c r="S1237" t="s">
        <v>22875</v>
      </c>
      <c r="T1237">
        <v>299</v>
      </c>
      <c r="U1237" t="s">
        <v>108</v>
      </c>
      <c r="V1237">
        <v>44</v>
      </c>
      <c r="W1237" t="str">
        <f>HYPERLINK("Gene3901-zp_tree_all.dnd", "Gene3901-tree")</f>
        <v>Gene3901-tree</v>
      </c>
      <c r="X1237">
        <v>10</v>
      </c>
      <c r="Y1237">
        <v>4</v>
      </c>
      <c r="Z1237">
        <v>10</v>
      </c>
      <c r="AA1237">
        <v>4</v>
      </c>
      <c r="AB1237">
        <v>0.28571000000000002</v>
      </c>
      <c r="AC1237" t="s">
        <v>117</v>
      </c>
      <c r="AD1237" t="s">
        <v>61</v>
      </c>
      <c r="AE1237" t="s">
        <v>62</v>
      </c>
      <c r="AF1237" t="s">
        <v>62</v>
      </c>
      <c r="AG1237">
        <v>2</v>
      </c>
      <c r="AH1237">
        <v>4</v>
      </c>
      <c r="AI1237">
        <v>7</v>
      </c>
      <c r="AJ1237">
        <v>0.36364000000000002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8</v>
      </c>
      <c r="AT1237">
        <v>0</v>
      </c>
      <c r="AU1237">
        <v>11</v>
      </c>
      <c r="AV1237">
        <v>9</v>
      </c>
      <c r="AW1237">
        <v>28</v>
      </c>
      <c r="AX1237">
        <v>6</v>
      </c>
      <c r="AY1237">
        <v>21</v>
      </c>
      <c r="AZ1237">
        <v>5</v>
      </c>
      <c r="BA1237" t="s">
        <v>22876</v>
      </c>
      <c r="BB1237" t="s">
        <v>22877</v>
      </c>
      <c r="BC1237">
        <v>6.6000000000000003E-2</v>
      </c>
      <c r="BD1237" t="s">
        <v>65</v>
      </c>
      <c r="BE1237">
        <v>49</v>
      </c>
      <c r="BF1237">
        <v>11</v>
      </c>
      <c r="BG1237" t="s">
        <v>22878</v>
      </c>
      <c r="BH1237" t="s">
        <v>22879</v>
      </c>
      <c r="BI1237" t="s">
        <v>22880</v>
      </c>
      <c r="BJ1237">
        <v>6.676E-2</v>
      </c>
      <c r="BK1237">
        <v>1</v>
      </c>
      <c r="BL1237" t="s">
        <v>69</v>
      </c>
      <c r="BM1237">
        <v>-0.40899999999999997</v>
      </c>
      <c r="BN1237">
        <v>-0.70699999999999996</v>
      </c>
    </row>
    <row r="1238" spans="2:66">
      <c r="B1238">
        <v>1996</v>
      </c>
      <c r="C1238">
        <v>59</v>
      </c>
      <c r="D1238">
        <v>0</v>
      </c>
      <c r="E1238">
        <v>10</v>
      </c>
      <c r="F1238">
        <v>0</v>
      </c>
      <c r="J1238">
        <v>0</v>
      </c>
      <c r="K1238">
        <v>0</v>
      </c>
      <c r="L1238">
        <v>2</v>
      </c>
      <c r="M1238" t="s">
        <v>25022</v>
      </c>
      <c r="N1238">
        <v>3902</v>
      </c>
      <c r="O1238" t="s">
        <v>22881</v>
      </c>
      <c r="P1238" t="s">
        <v>62</v>
      </c>
      <c r="Q1238">
        <v>3865358</v>
      </c>
      <c r="R1238">
        <v>3866326</v>
      </c>
      <c r="S1238" t="s">
        <v>22882</v>
      </c>
      <c r="T1238">
        <v>323</v>
      </c>
      <c r="U1238" t="s">
        <v>59</v>
      </c>
      <c r="V1238">
        <v>49</v>
      </c>
      <c r="W1238" t="str">
        <f>HYPERLINK("Gene3902-zp_tree_all.dnd", "Gene3902-tree")</f>
        <v>Gene3902-tree</v>
      </c>
      <c r="X1238">
        <v>12</v>
      </c>
      <c r="Y1238">
        <v>23</v>
      </c>
      <c r="Z1238">
        <v>12</v>
      </c>
      <c r="AA1238">
        <v>6</v>
      </c>
      <c r="AB1238">
        <v>0.33333000000000002</v>
      </c>
      <c r="AC1238" t="s">
        <v>109</v>
      </c>
      <c r="AD1238" t="s">
        <v>3589</v>
      </c>
      <c r="AE1238">
        <v>4.2359999999999998</v>
      </c>
      <c r="AF1238" t="s">
        <v>65</v>
      </c>
      <c r="AG1238">
        <v>1</v>
      </c>
      <c r="AH1238">
        <v>2</v>
      </c>
      <c r="AI1238">
        <v>7</v>
      </c>
      <c r="AJ1238">
        <v>0.22222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6</v>
      </c>
      <c r="AT1238">
        <v>0</v>
      </c>
      <c r="AU1238">
        <v>16</v>
      </c>
      <c r="AV1238">
        <v>11</v>
      </c>
      <c r="AW1238">
        <v>47</v>
      </c>
      <c r="AX1238">
        <v>6</v>
      </c>
      <c r="AY1238">
        <v>37</v>
      </c>
      <c r="AZ1238">
        <v>3</v>
      </c>
      <c r="BA1238" t="s">
        <v>22883</v>
      </c>
      <c r="BB1238" t="s">
        <v>22884</v>
      </c>
      <c r="BC1238">
        <v>0.17</v>
      </c>
      <c r="BD1238" t="s">
        <v>65</v>
      </c>
      <c r="BE1238">
        <v>84</v>
      </c>
      <c r="BF1238">
        <v>9</v>
      </c>
      <c r="BG1238" t="s">
        <v>22885</v>
      </c>
      <c r="BH1238" t="s">
        <v>22886</v>
      </c>
      <c r="BI1238" t="s">
        <v>20651</v>
      </c>
      <c r="BJ1238">
        <v>2.7130000000000001E-2</v>
      </c>
      <c r="BK1238">
        <v>1</v>
      </c>
      <c r="BL1238" t="s">
        <v>69</v>
      </c>
      <c r="BM1238">
        <v>-0.72899999999999998</v>
      </c>
      <c r="BN1238">
        <v>-0.878</v>
      </c>
    </row>
    <row r="1239" spans="2:66">
      <c r="B1239">
        <v>1997</v>
      </c>
      <c r="C1239">
        <v>290</v>
      </c>
      <c r="D1239">
        <v>0</v>
      </c>
      <c r="E1239">
        <v>2</v>
      </c>
      <c r="F1239">
        <v>0</v>
      </c>
      <c r="J1239">
        <v>0</v>
      </c>
      <c r="K1239">
        <v>16</v>
      </c>
      <c r="L1239">
        <v>0</v>
      </c>
      <c r="M1239" t="s">
        <v>25022</v>
      </c>
      <c r="N1239">
        <v>3905</v>
      </c>
      <c r="O1239" t="s">
        <v>22900</v>
      </c>
      <c r="P1239" t="s">
        <v>62</v>
      </c>
      <c r="Q1239">
        <v>3868290</v>
      </c>
      <c r="R1239">
        <v>3869486</v>
      </c>
      <c r="S1239" t="s">
        <v>22901</v>
      </c>
      <c r="T1239">
        <v>399</v>
      </c>
      <c r="U1239" t="s">
        <v>2078</v>
      </c>
      <c r="V1239">
        <v>36</v>
      </c>
      <c r="W1239" t="str">
        <f>HYPERLINK("Gene3905-zp_tree_all.dnd", "Gene3905-tree")</f>
        <v>Gene3905-tree</v>
      </c>
      <c r="X1239">
        <v>6</v>
      </c>
      <c r="Y1239">
        <v>9</v>
      </c>
      <c r="Z1239">
        <v>6</v>
      </c>
      <c r="AA1239">
        <v>9</v>
      </c>
      <c r="AB1239">
        <v>0.6</v>
      </c>
      <c r="AC1239" t="s">
        <v>90</v>
      </c>
      <c r="AD1239" t="s">
        <v>135</v>
      </c>
      <c r="AE1239" t="s">
        <v>62</v>
      </c>
      <c r="AF1239" t="s">
        <v>62</v>
      </c>
      <c r="AG1239">
        <v>6</v>
      </c>
      <c r="AH1239">
        <v>16</v>
      </c>
      <c r="AI1239">
        <v>12</v>
      </c>
      <c r="AJ1239">
        <v>0.57142999999999999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2</v>
      </c>
      <c r="AQ1239">
        <v>0</v>
      </c>
      <c r="AR1239">
        <v>2</v>
      </c>
      <c r="AS1239">
        <v>14</v>
      </c>
      <c r="AT1239">
        <v>0.125</v>
      </c>
      <c r="AU1239">
        <v>12</v>
      </c>
      <c r="AV1239">
        <v>12</v>
      </c>
      <c r="AW1239">
        <v>32</v>
      </c>
      <c r="AX1239">
        <v>15</v>
      </c>
      <c r="AY1239">
        <v>37</v>
      </c>
      <c r="AZ1239">
        <v>13</v>
      </c>
      <c r="BA1239" t="s">
        <v>22902</v>
      </c>
      <c r="BB1239" t="s">
        <v>22903</v>
      </c>
      <c r="BC1239">
        <v>0.29399999999999998</v>
      </c>
      <c r="BD1239" t="s">
        <v>65</v>
      </c>
      <c r="BE1239">
        <v>69</v>
      </c>
      <c r="BF1239">
        <v>28</v>
      </c>
      <c r="BG1239" t="s">
        <v>22904</v>
      </c>
      <c r="BH1239" t="s">
        <v>22905</v>
      </c>
      <c r="BI1239" t="s">
        <v>8340</v>
      </c>
      <c r="BJ1239">
        <v>9.5769999999999994E-2</v>
      </c>
      <c r="BK1239">
        <v>1</v>
      </c>
      <c r="BL1239" t="s">
        <v>69</v>
      </c>
      <c r="BM1239">
        <v>-0.63200000000000001</v>
      </c>
      <c r="BN1239">
        <v>-0.29199999999999998</v>
      </c>
    </row>
    <row r="1240" spans="2:66">
      <c r="B1240">
        <v>1998</v>
      </c>
      <c r="C1240">
        <v>4</v>
      </c>
      <c r="D1240">
        <v>0</v>
      </c>
      <c r="E1240">
        <v>4</v>
      </c>
      <c r="F1240">
        <v>0</v>
      </c>
      <c r="J1240">
        <v>0</v>
      </c>
      <c r="K1240">
        <v>2</v>
      </c>
      <c r="L1240">
        <v>0</v>
      </c>
      <c r="M1240" t="s">
        <v>25022</v>
      </c>
      <c r="N1240">
        <v>3906</v>
      </c>
      <c r="O1240" t="s">
        <v>22906</v>
      </c>
      <c r="P1240" t="s">
        <v>62</v>
      </c>
      <c r="Q1240">
        <v>3869490</v>
      </c>
      <c r="R1240">
        <v>3870671</v>
      </c>
      <c r="S1240" t="s">
        <v>22907</v>
      </c>
      <c r="T1240">
        <v>394</v>
      </c>
      <c r="U1240" t="s">
        <v>108</v>
      </c>
      <c r="V1240">
        <v>44</v>
      </c>
      <c r="W1240" t="str">
        <f>HYPERLINK("Gene3906-zp_tree_all.dnd", "Gene3906-tree")</f>
        <v>Gene3906-tree</v>
      </c>
      <c r="X1240">
        <v>11</v>
      </c>
      <c r="Y1240">
        <v>4</v>
      </c>
      <c r="Z1240">
        <v>11</v>
      </c>
      <c r="AA1240">
        <v>4</v>
      </c>
      <c r="AB1240">
        <v>0.26667000000000002</v>
      </c>
      <c r="AC1240" t="s">
        <v>73</v>
      </c>
      <c r="AD1240" t="s">
        <v>61</v>
      </c>
      <c r="AE1240" t="s">
        <v>62</v>
      </c>
      <c r="AF1240" t="s">
        <v>62</v>
      </c>
      <c r="AG1240">
        <v>1</v>
      </c>
      <c r="AH1240">
        <v>2</v>
      </c>
      <c r="AI1240">
        <v>5</v>
      </c>
      <c r="AJ1240">
        <v>0.28571000000000002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4</v>
      </c>
      <c r="AT1240">
        <v>0</v>
      </c>
      <c r="AU1240">
        <v>13</v>
      </c>
      <c r="AV1240">
        <v>12</v>
      </c>
      <c r="AW1240">
        <v>37</v>
      </c>
      <c r="AX1240">
        <v>4</v>
      </c>
      <c r="AY1240">
        <v>42</v>
      </c>
      <c r="AZ1240">
        <v>3</v>
      </c>
      <c r="BA1240" t="s">
        <v>22908</v>
      </c>
      <c r="BB1240" t="s">
        <v>22909</v>
      </c>
      <c r="BC1240">
        <v>0.36399999999999999</v>
      </c>
      <c r="BD1240" t="s">
        <v>65</v>
      </c>
      <c r="BE1240">
        <v>79</v>
      </c>
      <c r="BF1240">
        <v>7</v>
      </c>
      <c r="BG1240" t="s">
        <v>22910</v>
      </c>
      <c r="BH1240" t="s">
        <v>22911</v>
      </c>
      <c r="BI1240" t="s">
        <v>22912</v>
      </c>
      <c r="BJ1240">
        <v>2.639E-2</v>
      </c>
      <c r="BK1240">
        <v>1</v>
      </c>
      <c r="BL1240" t="s">
        <v>69</v>
      </c>
      <c r="BM1240">
        <v>0.16700000000000001</v>
      </c>
      <c r="BN1240">
        <v>-0.312</v>
      </c>
    </row>
    <row r="1241" spans="2:66">
      <c r="B1241">
        <v>2000</v>
      </c>
      <c r="C1241">
        <v>138</v>
      </c>
      <c r="D1241">
        <v>0</v>
      </c>
      <c r="E1241">
        <v>4</v>
      </c>
      <c r="F1241">
        <v>0</v>
      </c>
      <c r="J1241">
        <v>0</v>
      </c>
      <c r="K1241">
        <v>6</v>
      </c>
      <c r="L1241">
        <v>0</v>
      </c>
      <c r="M1241" t="s">
        <v>25022</v>
      </c>
      <c r="N1241">
        <v>3907</v>
      </c>
      <c r="O1241" t="s">
        <v>22913</v>
      </c>
      <c r="P1241" t="s">
        <v>62</v>
      </c>
      <c r="Q1241">
        <v>3870671</v>
      </c>
      <c r="R1241">
        <v>3872086</v>
      </c>
      <c r="S1241" t="s">
        <v>22914</v>
      </c>
      <c r="T1241">
        <v>472</v>
      </c>
      <c r="U1241" t="s">
        <v>108</v>
      </c>
      <c r="V1241">
        <v>44</v>
      </c>
      <c r="W1241" t="str">
        <f>HYPERLINK("Gene3907-zp_tree_all.dnd", "Gene3907-tree")</f>
        <v>Gene3907-tree</v>
      </c>
      <c r="X1241">
        <v>7</v>
      </c>
      <c r="Y1241">
        <v>9</v>
      </c>
      <c r="Z1241">
        <v>7</v>
      </c>
      <c r="AA1241">
        <v>9</v>
      </c>
      <c r="AB1241">
        <v>0.5625</v>
      </c>
      <c r="AC1241" t="s">
        <v>152</v>
      </c>
      <c r="AD1241" t="s">
        <v>135</v>
      </c>
      <c r="AE1241" t="s">
        <v>62</v>
      </c>
      <c r="AF1241" t="s">
        <v>62</v>
      </c>
      <c r="AG1241">
        <v>2</v>
      </c>
      <c r="AH1241">
        <v>6</v>
      </c>
      <c r="AI1241">
        <v>8</v>
      </c>
      <c r="AJ1241">
        <v>0.42857000000000001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2</v>
      </c>
      <c r="AQ1241">
        <v>0</v>
      </c>
      <c r="AR1241">
        <v>2</v>
      </c>
      <c r="AS1241">
        <v>8</v>
      </c>
      <c r="AT1241">
        <v>0.2</v>
      </c>
      <c r="AU1241">
        <v>15</v>
      </c>
      <c r="AV1241">
        <v>13</v>
      </c>
      <c r="AW1241">
        <v>55</v>
      </c>
      <c r="AX1241">
        <v>8</v>
      </c>
      <c r="AY1241">
        <v>39</v>
      </c>
      <c r="AZ1241">
        <v>6</v>
      </c>
      <c r="BA1241" t="s">
        <v>22915</v>
      </c>
      <c r="BB1241" t="s">
        <v>22916</v>
      </c>
      <c r="BC1241">
        <v>6.8000000000000005E-2</v>
      </c>
      <c r="BD1241" t="s">
        <v>65</v>
      </c>
      <c r="BE1241">
        <v>94</v>
      </c>
      <c r="BF1241">
        <v>14</v>
      </c>
      <c r="BG1241" t="s">
        <v>22917</v>
      </c>
      <c r="BH1241" t="s">
        <v>22918</v>
      </c>
      <c r="BI1241" t="s">
        <v>22919</v>
      </c>
      <c r="BJ1241">
        <v>3.5770000000000003E-2</v>
      </c>
      <c r="BK1241">
        <v>1</v>
      </c>
      <c r="BL1241" t="s">
        <v>69</v>
      </c>
      <c r="BM1241">
        <v>-0.28299999999999997</v>
      </c>
      <c r="BN1241">
        <v>-0.875</v>
      </c>
    </row>
    <row r="1242" spans="2:66">
      <c r="B1242">
        <v>2001</v>
      </c>
      <c r="C1242">
        <v>264</v>
      </c>
      <c r="D1242">
        <v>0</v>
      </c>
      <c r="E1242">
        <v>4</v>
      </c>
      <c r="F1242">
        <v>3</v>
      </c>
      <c r="J1242">
        <v>0</v>
      </c>
      <c r="K1242">
        <v>7</v>
      </c>
      <c r="L1242">
        <v>3</v>
      </c>
      <c r="M1242" t="s">
        <v>25022</v>
      </c>
      <c r="N1242">
        <v>3908</v>
      </c>
      <c r="O1242" t="s">
        <v>22920</v>
      </c>
      <c r="P1242" t="s">
        <v>62</v>
      </c>
      <c r="Q1242">
        <v>3872108</v>
      </c>
      <c r="R1242">
        <v>3872866</v>
      </c>
      <c r="S1242" t="s">
        <v>22921</v>
      </c>
      <c r="T1242">
        <v>253</v>
      </c>
      <c r="U1242" t="s">
        <v>108</v>
      </c>
      <c r="V1242">
        <v>44</v>
      </c>
      <c r="W1242" t="str">
        <f>HYPERLINK("Gene3908-zp_tree_all.dnd", "Gene3908-tree")</f>
        <v>Gene3908-tree</v>
      </c>
      <c r="X1242">
        <v>22</v>
      </c>
      <c r="Y1242">
        <v>9</v>
      </c>
      <c r="Z1242">
        <v>5</v>
      </c>
      <c r="AA1242">
        <v>9</v>
      </c>
      <c r="AB1242">
        <v>0.64285999999999999</v>
      </c>
      <c r="AC1242" t="s">
        <v>1682</v>
      </c>
      <c r="AD1242" t="s">
        <v>135</v>
      </c>
      <c r="AE1242" t="s">
        <v>62</v>
      </c>
      <c r="AF1242" t="s">
        <v>62</v>
      </c>
      <c r="AG1242">
        <v>3</v>
      </c>
      <c r="AH1242">
        <v>10</v>
      </c>
      <c r="AI1242">
        <v>8</v>
      </c>
      <c r="AJ1242">
        <v>0.55556000000000005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2</v>
      </c>
      <c r="AR1242">
        <v>2</v>
      </c>
      <c r="AS1242">
        <v>10</v>
      </c>
      <c r="AT1242">
        <v>0.16667000000000001</v>
      </c>
      <c r="AU1242">
        <v>12</v>
      </c>
      <c r="AV1242">
        <v>8</v>
      </c>
      <c r="AW1242">
        <v>33</v>
      </c>
      <c r="AX1242">
        <v>11</v>
      </c>
      <c r="AY1242">
        <v>17</v>
      </c>
      <c r="AZ1242">
        <v>7</v>
      </c>
      <c r="BA1242" t="s">
        <v>22922</v>
      </c>
      <c r="BB1242" t="s">
        <v>22923</v>
      </c>
      <c r="BC1242">
        <v>0.47699999999999998</v>
      </c>
      <c r="BD1242" t="s">
        <v>65</v>
      </c>
      <c r="BE1242">
        <v>50</v>
      </c>
      <c r="BF1242">
        <v>18</v>
      </c>
      <c r="BG1242" t="s">
        <v>22924</v>
      </c>
      <c r="BH1242" t="s">
        <v>22925</v>
      </c>
      <c r="BI1242" t="s">
        <v>22926</v>
      </c>
      <c r="BJ1242">
        <v>9.0609999999999996E-2</v>
      </c>
      <c r="BK1242">
        <v>1</v>
      </c>
      <c r="BL1242" t="s">
        <v>69</v>
      </c>
      <c r="BM1242">
        <v>-1.0569999999999999</v>
      </c>
      <c r="BN1242">
        <v>-1.7150000000000001</v>
      </c>
    </row>
    <row r="1243" spans="2:66">
      <c r="B1243">
        <v>2011</v>
      </c>
      <c r="C1243">
        <v>210</v>
      </c>
      <c r="D1243">
        <v>0</v>
      </c>
      <c r="E1243">
        <v>4</v>
      </c>
      <c r="F1243">
        <v>0</v>
      </c>
      <c r="J1243">
        <v>0</v>
      </c>
      <c r="K1243">
        <v>0</v>
      </c>
      <c r="L1243">
        <v>0</v>
      </c>
      <c r="M1243" t="s">
        <v>25022</v>
      </c>
      <c r="N1243">
        <v>3909</v>
      </c>
      <c r="O1243" t="s">
        <v>22927</v>
      </c>
      <c r="P1243" t="s">
        <v>62</v>
      </c>
      <c r="Q1243">
        <v>3872872</v>
      </c>
      <c r="R1243">
        <v>3873576</v>
      </c>
      <c r="S1243" t="s">
        <v>22928</v>
      </c>
      <c r="T1243">
        <v>235</v>
      </c>
      <c r="U1243" t="s">
        <v>108</v>
      </c>
      <c r="V1243">
        <v>44</v>
      </c>
      <c r="W1243" t="str">
        <f>HYPERLINK("Gene3909-zp_tree_all.dnd", "Gene3909-tree")</f>
        <v>Gene3909-tree</v>
      </c>
      <c r="X1243">
        <v>11</v>
      </c>
      <c r="Y1243">
        <v>3</v>
      </c>
      <c r="Z1243">
        <v>11</v>
      </c>
      <c r="AA1243">
        <v>3</v>
      </c>
      <c r="AB1243">
        <v>0.21429000000000001</v>
      </c>
      <c r="AC1243" t="s">
        <v>73</v>
      </c>
      <c r="AD1243" t="s">
        <v>324</v>
      </c>
      <c r="AE1243" t="s">
        <v>62</v>
      </c>
      <c r="AF1243" t="s">
        <v>62</v>
      </c>
      <c r="AG1243">
        <v>0</v>
      </c>
      <c r="AH1243">
        <v>0</v>
      </c>
      <c r="AI1243">
        <v>4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4</v>
      </c>
      <c r="AT1243">
        <v>0</v>
      </c>
      <c r="AU1243">
        <v>10</v>
      </c>
      <c r="AV1243">
        <v>7</v>
      </c>
      <c r="AW1243">
        <v>24</v>
      </c>
      <c r="AX1243">
        <v>4</v>
      </c>
      <c r="AY1243">
        <v>11</v>
      </c>
      <c r="AZ1243">
        <v>0</v>
      </c>
      <c r="BA1243" t="s">
        <v>22929</v>
      </c>
      <c r="BB1243" t="s">
        <v>193</v>
      </c>
      <c r="BC1243">
        <v>0.874</v>
      </c>
      <c r="BD1243" t="s">
        <v>65</v>
      </c>
      <c r="BE1243">
        <v>35</v>
      </c>
      <c r="BF1243">
        <v>4</v>
      </c>
      <c r="BG1243" t="s">
        <v>22930</v>
      </c>
      <c r="BH1243" t="s">
        <v>22931</v>
      </c>
      <c r="BI1243" t="s">
        <v>13511</v>
      </c>
      <c r="BJ1243">
        <v>2.4629999999999999E-2</v>
      </c>
      <c r="BK1243">
        <v>1</v>
      </c>
      <c r="BL1243" t="s">
        <v>69</v>
      </c>
      <c r="BM1243">
        <v>-0.86099999999999999</v>
      </c>
      <c r="BN1243">
        <v>-0.57399999999999995</v>
      </c>
    </row>
    <row r="1244" spans="2:66">
      <c r="B1244">
        <v>2012</v>
      </c>
      <c r="C1244">
        <v>196</v>
      </c>
      <c r="D1244">
        <v>0</v>
      </c>
      <c r="E1244">
        <v>21</v>
      </c>
      <c r="F1244">
        <v>2</v>
      </c>
      <c r="J1244">
        <v>0</v>
      </c>
      <c r="K1244">
        <v>0</v>
      </c>
      <c r="L1244">
        <v>0</v>
      </c>
      <c r="M1244" t="s">
        <v>25022</v>
      </c>
      <c r="N1244">
        <v>3910</v>
      </c>
      <c r="O1244" t="s">
        <v>22932</v>
      </c>
      <c r="P1244" t="s">
        <v>62</v>
      </c>
      <c r="Q1244">
        <v>3873569</v>
      </c>
      <c r="R1244">
        <v>3874180</v>
      </c>
      <c r="S1244" t="s">
        <v>22933</v>
      </c>
      <c r="T1244">
        <v>204</v>
      </c>
      <c r="U1244" t="s">
        <v>465</v>
      </c>
      <c r="V1244">
        <v>46</v>
      </c>
      <c r="W1244" t="str">
        <f>HYPERLINK("Gene3910-zp_tree_all.dnd", "Gene3910-tree")</f>
        <v>Gene3910-tree</v>
      </c>
      <c r="X1244">
        <v>9</v>
      </c>
      <c r="Y1244">
        <v>6</v>
      </c>
      <c r="Z1244">
        <v>9</v>
      </c>
      <c r="AA1244">
        <v>6</v>
      </c>
      <c r="AB1244">
        <v>0.4</v>
      </c>
      <c r="AC1244" t="s">
        <v>135</v>
      </c>
      <c r="AD1244" t="s">
        <v>90</v>
      </c>
      <c r="AE1244" t="s">
        <v>62</v>
      </c>
      <c r="AF1244" t="s">
        <v>62</v>
      </c>
      <c r="AG1244">
        <v>0</v>
      </c>
      <c r="AH1244">
        <v>0</v>
      </c>
      <c r="AI1244">
        <v>9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6</v>
      </c>
      <c r="AT1244">
        <v>0</v>
      </c>
      <c r="AU1244">
        <v>10</v>
      </c>
      <c r="AV1244">
        <v>6</v>
      </c>
      <c r="AW1244">
        <v>7</v>
      </c>
      <c r="AX1244">
        <v>6</v>
      </c>
      <c r="AY1244">
        <v>30</v>
      </c>
      <c r="AZ1244">
        <v>3</v>
      </c>
      <c r="BA1244" t="s">
        <v>22934</v>
      </c>
      <c r="BB1244" t="s">
        <v>22935</v>
      </c>
      <c r="BC1244">
        <v>1.095</v>
      </c>
      <c r="BD1244" t="s">
        <v>65</v>
      </c>
      <c r="BE1244">
        <v>37</v>
      </c>
      <c r="BF1244">
        <v>9</v>
      </c>
      <c r="BG1244" t="s">
        <v>22936</v>
      </c>
      <c r="BH1244" t="s">
        <v>22937</v>
      </c>
      <c r="BI1244" t="s">
        <v>22938</v>
      </c>
      <c r="BJ1244">
        <v>4.8030000000000003E-2</v>
      </c>
      <c r="BK1244">
        <v>1</v>
      </c>
      <c r="BL1244" t="s">
        <v>69</v>
      </c>
      <c r="BM1244">
        <v>-1.87</v>
      </c>
      <c r="BN1244">
        <v>0.307</v>
      </c>
    </row>
    <row r="1245" spans="2:66">
      <c r="B1245">
        <v>2014</v>
      </c>
      <c r="C1245">
        <v>365</v>
      </c>
      <c r="D1245">
        <v>0</v>
      </c>
      <c r="E1245">
        <v>2</v>
      </c>
      <c r="F1245">
        <v>0</v>
      </c>
      <c r="J1245">
        <v>0</v>
      </c>
      <c r="K1245">
        <v>8</v>
      </c>
      <c r="L1245">
        <v>0</v>
      </c>
      <c r="M1245" t="s">
        <v>25022</v>
      </c>
      <c r="N1245">
        <v>3911</v>
      </c>
      <c r="O1245" t="s">
        <v>22939</v>
      </c>
      <c r="P1245" t="s">
        <v>62</v>
      </c>
      <c r="Q1245">
        <v>3874335</v>
      </c>
      <c r="R1245">
        <v>3875570</v>
      </c>
      <c r="S1245" t="s">
        <v>2641</v>
      </c>
      <c r="T1245">
        <v>412</v>
      </c>
      <c r="U1245" t="s">
        <v>108</v>
      </c>
      <c r="V1245">
        <v>44</v>
      </c>
      <c r="W1245" t="str">
        <f>HYPERLINK("Gene3911-zp_tree_all.dnd", "Gene3911-tree")</f>
        <v>Gene3911-tree</v>
      </c>
      <c r="X1245">
        <v>2</v>
      </c>
      <c r="Y1245">
        <v>12</v>
      </c>
      <c r="Z1245">
        <v>2</v>
      </c>
      <c r="AA1245">
        <v>12</v>
      </c>
      <c r="AB1245">
        <v>0.85714000000000001</v>
      </c>
      <c r="AC1245" t="s">
        <v>81</v>
      </c>
      <c r="AD1245" t="s">
        <v>109</v>
      </c>
      <c r="AE1245" t="s">
        <v>62</v>
      </c>
      <c r="AF1245" t="s">
        <v>62</v>
      </c>
      <c r="AG1245">
        <v>3</v>
      </c>
      <c r="AH1245">
        <v>8</v>
      </c>
      <c r="AI1245">
        <v>16</v>
      </c>
      <c r="AJ1245">
        <v>0.33333000000000002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2</v>
      </c>
      <c r="AQ1245">
        <v>0</v>
      </c>
      <c r="AR1245">
        <v>2</v>
      </c>
      <c r="AS1245">
        <v>17</v>
      </c>
      <c r="AT1245">
        <v>0.10526000000000001</v>
      </c>
      <c r="AU1245">
        <v>13</v>
      </c>
      <c r="AV1245">
        <v>8</v>
      </c>
      <c r="AW1245">
        <v>53</v>
      </c>
      <c r="AX1245">
        <v>17</v>
      </c>
      <c r="AY1245">
        <v>21</v>
      </c>
      <c r="AZ1245">
        <v>7</v>
      </c>
      <c r="BA1245" t="s">
        <v>22940</v>
      </c>
      <c r="BB1245" t="s">
        <v>22941</v>
      </c>
      <c r="BC1245">
        <v>0.122</v>
      </c>
      <c r="BD1245" t="s">
        <v>65</v>
      </c>
      <c r="BE1245">
        <v>74</v>
      </c>
      <c r="BF1245">
        <v>24</v>
      </c>
      <c r="BG1245" t="s">
        <v>22942</v>
      </c>
      <c r="BH1245" t="s">
        <v>22943</v>
      </c>
      <c r="BI1245" t="s">
        <v>22944</v>
      </c>
      <c r="BJ1245">
        <v>0.10062</v>
      </c>
      <c r="BK1245">
        <v>1</v>
      </c>
      <c r="BL1245" t="s">
        <v>69</v>
      </c>
      <c r="BM1245">
        <v>-0.82</v>
      </c>
      <c r="BN1245">
        <v>-2.1360000000000001</v>
      </c>
    </row>
    <row r="1246" spans="2:66">
      <c r="B1246">
        <v>2015</v>
      </c>
      <c r="C1246">
        <v>312</v>
      </c>
      <c r="D1246">
        <v>0</v>
      </c>
      <c r="E1246">
        <v>0</v>
      </c>
      <c r="F1246">
        <v>3</v>
      </c>
      <c r="J1246">
        <v>0</v>
      </c>
      <c r="K1246">
        <v>5</v>
      </c>
      <c r="L1246">
        <v>4</v>
      </c>
      <c r="M1246" t="s">
        <v>25022</v>
      </c>
      <c r="N1246">
        <v>3912</v>
      </c>
      <c r="O1246" t="s">
        <v>22945</v>
      </c>
      <c r="P1246" t="s">
        <v>62</v>
      </c>
      <c r="Q1246">
        <v>3875783</v>
      </c>
      <c r="R1246">
        <v>3877192</v>
      </c>
      <c r="S1246" t="s">
        <v>22946</v>
      </c>
      <c r="T1246">
        <v>470</v>
      </c>
      <c r="U1246" t="s">
        <v>108</v>
      </c>
      <c r="V1246">
        <v>44</v>
      </c>
      <c r="W1246" t="str">
        <f>HYPERLINK("Gene3912-zp_tree_all.dnd", "Gene3912-tree")</f>
        <v>Gene3912-tree</v>
      </c>
      <c r="X1246">
        <v>2</v>
      </c>
      <c r="Y1246">
        <v>29</v>
      </c>
      <c r="Z1246">
        <v>2</v>
      </c>
      <c r="AA1246">
        <v>11</v>
      </c>
      <c r="AB1246">
        <v>0.84614999999999996</v>
      </c>
      <c r="AC1246" t="s">
        <v>81</v>
      </c>
      <c r="AD1246" t="s">
        <v>2086</v>
      </c>
      <c r="AE1246">
        <v>0.53700000000000003</v>
      </c>
      <c r="AF1246" t="s">
        <v>65</v>
      </c>
      <c r="AG1246">
        <v>4</v>
      </c>
      <c r="AH1246">
        <v>9</v>
      </c>
      <c r="AI1246">
        <v>10</v>
      </c>
      <c r="AJ1246">
        <v>0.47367999999999999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5</v>
      </c>
      <c r="AQ1246">
        <v>4</v>
      </c>
      <c r="AR1246">
        <v>9</v>
      </c>
      <c r="AS1246">
        <v>10</v>
      </c>
      <c r="AT1246">
        <v>0.47367999999999999</v>
      </c>
      <c r="AU1246">
        <v>12</v>
      </c>
      <c r="AV1246">
        <v>8</v>
      </c>
      <c r="AW1246">
        <v>53</v>
      </c>
      <c r="AX1246">
        <v>19</v>
      </c>
      <c r="AY1246">
        <v>29</v>
      </c>
      <c r="AZ1246">
        <v>0</v>
      </c>
      <c r="BA1246" t="s">
        <v>22947</v>
      </c>
      <c r="BB1246" t="s">
        <v>193</v>
      </c>
      <c r="BC1246">
        <v>2.93</v>
      </c>
      <c r="BD1246" t="s">
        <v>267</v>
      </c>
      <c r="BE1246">
        <v>82</v>
      </c>
      <c r="BF1246">
        <v>19</v>
      </c>
      <c r="BG1246" t="s">
        <v>22948</v>
      </c>
      <c r="BH1246" t="s">
        <v>22949</v>
      </c>
      <c r="BI1246" t="s">
        <v>22950</v>
      </c>
      <c r="BJ1246">
        <v>5.7110000000000001E-2</v>
      </c>
      <c r="BK1246">
        <v>1</v>
      </c>
      <c r="BL1246" t="s">
        <v>69</v>
      </c>
      <c r="BM1246">
        <v>-0.43</v>
      </c>
      <c r="BN1246">
        <v>-1.359</v>
      </c>
    </row>
    <row r="1247" spans="2:66">
      <c r="B1247">
        <v>2016</v>
      </c>
      <c r="C1247">
        <v>182</v>
      </c>
      <c r="D1247">
        <v>0</v>
      </c>
      <c r="E1247">
        <v>2</v>
      </c>
      <c r="F1247">
        <v>0</v>
      </c>
      <c r="J1247">
        <v>0</v>
      </c>
      <c r="K1247">
        <v>15</v>
      </c>
      <c r="L1247">
        <v>4</v>
      </c>
      <c r="M1247" t="s">
        <v>25022</v>
      </c>
      <c r="N1247">
        <v>3913</v>
      </c>
      <c r="O1247" t="s">
        <v>22951</v>
      </c>
      <c r="P1247" t="s">
        <v>62</v>
      </c>
      <c r="Q1247">
        <v>3877195</v>
      </c>
      <c r="R1247">
        <v>3878892</v>
      </c>
      <c r="S1247" t="s">
        <v>22952</v>
      </c>
      <c r="T1247">
        <v>566</v>
      </c>
      <c r="U1247" t="s">
        <v>108</v>
      </c>
      <c r="V1247">
        <v>44</v>
      </c>
      <c r="W1247" t="str">
        <f>HYPERLINK("Gene3913-zp_tree_all.dnd", "Gene3913-tree")</f>
        <v>Gene3913-tree</v>
      </c>
      <c r="X1247">
        <v>5</v>
      </c>
      <c r="Y1247">
        <v>11</v>
      </c>
      <c r="Z1247">
        <v>5</v>
      </c>
      <c r="AA1247">
        <v>11</v>
      </c>
      <c r="AB1247">
        <v>0.6875</v>
      </c>
      <c r="AC1247" t="s">
        <v>199</v>
      </c>
      <c r="AD1247" t="s">
        <v>73</v>
      </c>
      <c r="AE1247">
        <v>137353515.63499999</v>
      </c>
      <c r="AF1247" t="s">
        <v>267</v>
      </c>
      <c r="AG1247">
        <v>7</v>
      </c>
      <c r="AH1247">
        <v>19</v>
      </c>
      <c r="AI1247">
        <v>25</v>
      </c>
      <c r="AJ1247">
        <v>0.43181999999999998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3</v>
      </c>
      <c r="AQ1247">
        <v>2</v>
      </c>
      <c r="AR1247">
        <v>5</v>
      </c>
      <c r="AS1247">
        <v>23</v>
      </c>
      <c r="AT1247">
        <v>0.17857000000000001</v>
      </c>
      <c r="AU1247">
        <v>13</v>
      </c>
      <c r="AV1247">
        <v>13</v>
      </c>
      <c r="AW1247">
        <v>39</v>
      </c>
      <c r="AX1247">
        <v>28</v>
      </c>
      <c r="AY1247">
        <v>41</v>
      </c>
      <c r="AZ1247">
        <v>17</v>
      </c>
      <c r="BA1247" t="s">
        <v>22953</v>
      </c>
      <c r="BB1247" t="s">
        <v>22954</v>
      </c>
      <c r="BC1247">
        <v>0.78500000000000003</v>
      </c>
      <c r="BD1247" t="s">
        <v>65</v>
      </c>
      <c r="BE1247">
        <v>80</v>
      </c>
      <c r="BF1247">
        <v>45</v>
      </c>
      <c r="BG1247" t="s">
        <v>22955</v>
      </c>
      <c r="BH1247" t="s">
        <v>22956</v>
      </c>
      <c r="BI1247" t="s">
        <v>22957</v>
      </c>
      <c r="BJ1247">
        <v>0.13730999999999999</v>
      </c>
      <c r="BK1247">
        <v>1</v>
      </c>
      <c r="BL1247" t="s">
        <v>69</v>
      </c>
      <c r="BM1247">
        <v>-0.71799999999999997</v>
      </c>
      <c r="BN1247">
        <v>-1.667</v>
      </c>
    </row>
    <row r="1248" spans="2:66">
      <c r="B1248">
        <v>2017</v>
      </c>
      <c r="C1248">
        <v>640</v>
      </c>
      <c r="D1248">
        <v>0</v>
      </c>
      <c r="E1248">
        <v>8</v>
      </c>
      <c r="F1248">
        <v>2</v>
      </c>
      <c r="J1248">
        <v>0</v>
      </c>
      <c r="K1248">
        <v>6</v>
      </c>
      <c r="L1248">
        <v>0</v>
      </c>
      <c r="M1248" t="s">
        <v>25022</v>
      </c>
      <c r="N1248">
        <v>3914</v>
      </c>
      <c r="O1248" t="s">
        <v>22958</v>
      </c>
      <c r="P1248" t="s">
        <v>62</v>
      </c>
      <c r="Q1248">
        <v>3878969</v>
      </c>
      <c r="R1248">
        <v>3880513</v>
      </c>
      <c r="S1248" t="s">
        <v>22959</v>
      </c>
      <c r="T1248">
        <v>515</v>
      </c>
      <c r="U1248" t="s">
        <v>108</v>
      </c>
      <c r="V1248">
        <v>44</v>
      </c>
      <c r="W1248" t="str">
        <f>HYPERLINK("Gene3914-zp_tree_all.dnd", "Gene3914-tree")</f>
        <v>Gene3914-tree</v>
      </c>
      <c r="X1248">
        <v>12</v>
      </c>
      <c r="Y1248">
        <v>6</v>
      </c>
      <c r="Z1248">
        <v>12</v>
      </c>
      <c r="AA1248">
        <v>6</v>
      </c>
      <c r="AB1248">
        <v>0.33333000000000002</v>
      </c>
      <c r="AC1248" t="s">
        <v>109</v>
      </c>
      <c r="AD1248" t="s">
        <v>90</v>
      </c>
      <c r="AE1248" t="s">
        <v>62</v>
      </c>
      <c r="AF1248" t="s">
        <v>62</v>
      </c>
      <c r="AG1248">
        <v>2</v>
      </c>
      <c r="AH1248">
        <v>6</v>
      </c>
      <c r="AI1248">
        <v>9</v>
      </c>
      <c r="AJ1248">
        <v>0.4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9</v>
      </c>
      <c r="AT1248">
        <v>0</v>
      </c>
      <c r="AU1248">
        <v>15</v>
      </c>
      <c r="AV1248">
        <v>13</v>
      </c>
      <c r="AW1248">
        <v>60</v>
      </c>
      <c r="AX1248">
        <v>9</v>
      </c>
      <c r="AY1248">
        <v>33</v>
      </c>
      <c r="AZ1248">
        <v>6</v>
      </c>
      <c r="BA1248" t="s">
        <v>22960</v>
      </c>
      <c r="BB1248" t="s">
        <v>22961</v>
      </c>
      <c r="BC1248">
        <v>0.23200000000000001</v>
      </c>
      <c r="BD1248" t="s">
        <v>65</v>
      </c>
      <c r="BE1248">
        <v>93</v>
      </c>
      <c r="BF1248">
        <v>15</v>
      </c>
      <c r="BG1248" t="s">
        <v>22962</v>
      </c>
      <c r="BH1248" t="s">
        <v>22963</v>
      </c>
      <c r="BI1248" t="s">
        <v>22964</v>
      </c>
      <c r="BJ1248">
        <v>4.1189999999999997E-2</v>
      </c>
      <c r="BK1248">
        <v>1</v>
      </c>
      <c r="BL1248" t="s">
        <v>69</v>
      </c>
      <c r="BM1248">
        <v>-1.06</v>
      </c>
      <c r="BN1248">
        <v>-1.893</v>
      </c>
    </row>
    <row r="1249" spans="2:66">
      <c r="B1249">
        <v>2018</v>
      </c>
      <c r="C1249">
        <v>121</v>
      </c>
      <c r="D1249">
        <v>0</v>
      </c>
      <c r="E1249">
        <v>13</v>
      </c>
      <c r="F1249">
        <v>0</v>
      </c>
      <c r="J1249">
        <v>0</v>
      </c>
      <c r="K1249">
        <v>2</v>
      </c>
      <c r="L1249">
        <v>0</v>
      </c>
      <c r="M1249" t="s">
        <v>25022</v>
      </c>
      <c r="N1249">
        <v>3915</v>
      </c>
      <c r="O1249" t="s">
        <v>22965</v>
      </c>
      <c r="P1249" t="s">
        <v>62</v>
      </c>
      <c r="Q1249">
        <v>3880743</v>
      </c>
      <c r="R1249">
        <v>3882014</v>
      </c>
      <c r="S1249" t="s">
        <v>22966</v>
      </c>
      <c r="T1249">
        <v>424</v>
      </c>
      <c r="U1249" t="s">
        <v>22967</v>
      </c>
      <c r="V1249">
        <v>43</v>
      </c>
      <c r="W1249" t="str">
        <f>HYPERLINK("Gene3915-zp_tree_all.dnd", "Gene3915-tree")</f>
        <v>Gene3915-tree</v>
      </c>
      <c r="X1249">
        <v>7</v>
      </c>
      <c r="Y1249">
        <v>7</v>
      </c>
      <c r="Z1249">
        <v>7</v>
      </c>
      <c r="AA1249">
        <v>7</v>
      </c>
      <c r="AB1249">
        <v>0.5</v>
      </c>
      <c r="AC1249" t="s">
        <v>152</v>
      </c>
      <c r="AD1249" t="s">
        <v>152</v>
      </c>
      <c r="AE1249" t="s">
        <v>62</v>
      </c>
      <c r="AF1249" t="s">
        <v>62</v>
      </c>
      <c r="AG1249">
        <v>1</v>
      </c>
      <c r="AH1249">
        <v>2</v>
      </c>
      <c r="AI1249">
        <v>8</v>
      </c>
      <c r="AJ1249">
        <v>0.2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9</v>
      </c>
      <c r="AT1249">
        <v>0</v>
      </c>
      <c r="AU1249">
        <v>14</v>
      </c>
      <c r="AV1249">
        <v>10</v>
      </c>
      <c r="AW1249">
        <v>63</v>
      </c>
      <c r="AX1249">
        <v>9</v>
      </c>
      <c r="AY1249">
        <v>32</v>
      </c>
      <c r="AZ1249">
        <v>1</v>
      </c>
      <c r="BA1249" t="s">
        <v>22968</v>
      </c>
      <c r="BB1249" t="s">
        <v>22969</v>
      </c>
      <c r="BC1249">
        <v>0.876</v>
      </c>
      <c r="BD1249" t="s">
        <v>65</v>
      </c>
      <c r="BE1249">
        <v>95</v>
      </c>
      <c r="BF1249">
        <v>10</v>
      </c>
      <c r="BG1249" t="s">
        <v>22970</v>
      </c>
      <c r="BH1249" t="s">
        <v>22971</v>
      </c>
      <c r="BI1249" t="s">
        <v>22972</v>
      </c>
      <c r="BJ1249">
        <v>3.1800000000000002E-2</v>
      </c>
      <c r="BK1249">
        <v>1</v>
      </c>
      <c r="BL1249" t="s">
        <v>69</v>
      </c>
      <c r="BM1249">
        <v>-1.0720000000000001</v>
      </c>
      <c r="BN1249">
        <v>-1.776</v>
      </c>
    </row>
    <row r="1250" spans="2:66">
      <c r="B1250">
        <v>2019</v>
      </c>
      <c r="C1250">
        <v>263</v>
      </c>
      <c r="D1250">
        <v>0</v>
      </c>
      <c r="E1250">
        <v>2</v>
      </c>
      <c r="F1250">
        <v>0</v>
      </c>
      <c r="J1250">
        <v>0</v>
      </c>
      <c r="K1250">
        <v>0</v>
      </c>
      <c r="L1250">
        <v>0</v>
      </c>
      <c r="M1250" t="s">
        <v>25022</v>
      </c>
      <c r="N1250">
        <v>3916</v>
      </c>
      <c r="O1250" t="s">
        <v>22973</v>
      </c>
      <c r="P1250" t="s">
        <v>62</v>
      </c>
      <c r="Q1250">
        <v>3882194</v>
      </c>
      <c r="R1250">
        <v>3882655</v>
      </c>
      <c r="S1250" t="s">
        <v>22974</v>
      </c>
      <c r="T1250">
        <v>154</v>
      </c>
      <c r="U1250" t="s">
        <v>108</v>
      </c>
      <c r="V1250">
        <v>44</v>
      </c>
      <c r="W1250" t="str">
        <f>HYPERLINK("Gene3916-zp_tree_all.dnd", "Gene3916-tree")</f>
        <v>Gene3916-tree</v>
      </c>
      <c r="X1250">
        <v>5</v>
      </c>
      <c r="Y1250">
        <v>23</v>
      </c>
      <c r="Z1250">
        <v>5</v>
      </c>
      <c r="AA1250">
        <v>6</v>
      </c>
      <c r="AB1250">
        <v>0.54544999999999999</v>
      </c>
      <c r="AC1250" t="s">
        <v>199</v>
      </c>
      <c r="AD1250" t="s">
        <v>3589</v>
      </c>
      <c r="AE1250">
        <v>3.319</v>
      </c>
      <c r="AF1250" t="s">
        <v>65</v>
      </c>
      <c r="AG1250">
        <v>0</v>
      </c>
      <c r="AH1250">
        <v>0</v>
      </c>
      <c r="AI1250">
        <v>9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9</v>
      </c>
      <c r="AT1250">
        <v>0</v>
      </c>
      <c r="AU1250">
        <v>7</v>
      </c>
      <c r="AV1250">
        <v>5</v>
      </c>
      <c r="AW1250">
        <v>6</v>
      </c>
      <c r="AX1250">
        <v>7</v>
      </c>
      <c r="AY1250">
        <v>10</v>
      </c>
      <c r="AZ1250">
        <v>2</v>
      </c>
      <c r="BA1250" t="s">
        <v>22975</v>
      </c>
      <c r="BB1250" t="s">
        <v>22976</v>
      </c>
      <c r="BC1250">
        <v>1.4530000000000001</v>
      </c>
      <c r="BD1250" t="s">
        <v>65</v>
      </c>
      <c r="BE1250">
        <v>16</v>
      </c>
      <c r="BF1250">
        <v>9</v>
      </c>
      <c r="BG1250" t="s">
        <v>22977</v>
      </c>
      <c r="BH1250" t="s">
        <v>22978</v>
      </c>
      <c r="BI1250" t="s">
        <v>22979</v>
      </c>
      <c r="BJ1250">
        <v>0.1158</v>
      </c>
      <c r="BK1250">
        <v>1</v>
      </c>
      <c r="BL1250" t="s">
        <v>69</v>
      </c>
      <c r="BM1250">
        <v>-0.34200000000000003</v>
      </c>
      <c r="BN1250">
        <v>0.13100000000000001</v>
      </c>
    </row>
    <row r="1251" spans="2:66">
      <c r="B1251">
        <v>2020</v>
      </c>
      <c r="C1251">
        <v>2</v>
      </c>
      <c r="D1251">
        <v>0</v>
      </c>
      <c r="E1251">
        <v>5</v>
      </c>
      <c r="F1251">
        <v>0</v>
      </c>
      <c r="J1251">
        <v>0</v>
      </c>
      <c r="K1251">
        <v>4</v>
      </c>
      <c r="L1251">
        <v>0</v>
      </c>
      <c r="M1251" t="s">
        <v>25022</v>
      </c>
      <c r="N1251">
        <v>3917</v>
      </c>
      <c r="O1251" t="s">
        <v>22980</v>
      </c>
      <c r="P1251" t="s">
        <v>62</v>
      </c>
      <c r="Q1251">
        <v>3882982</v>
      </c>
      <c r="R1251">
        <v>3883434</v>
      </c>
      <c r="S1251" t="s">
        <v>22981</v>
      </c>
      <c r="T1251">
        <v>151</v>
      </c>
      <c r="U1251" t="s">
        <v>108</v>
      </c>
      <c r="V1251">
        <v>44</v>
      </c>
      <c r="W1251" t="str">
        <f>HYPERLINK("Gene3917-zp_tree_all.dnd", "Gene3917-tree")</f>
        <v>Gene3917-tree</v>
      </c>
      <c r="X1251">
        <v>6</v>
      </c>
      <c r="Y1251">
        <v>23</v>
      </c>
      <c r="Z1251">
        <v>6</v>
      </c>
      <c r="AA1251">
        <v>5</v>
      </c>
      <c r="AB1251">
        <v>0.45455000000000001</v>
      </c>
      <c r="AC1251" t="s">
        <v>90</v>
      </c>
      <c r="AD1251" t="s">
        <v>1652</v>
      </c>
      <c r="AE1251">
        <v>4.2300000000000004</v>
      </c>
      <c r="AF1251" t="s">
        <v>65</v>
      </c>
      <c r="AG1251">
        <v>2</v>
      </c>
      <c r="AH1251">
        <v>4</v>
      </c>
      <c r="AI1251">
        <v>1</v>
      </c>
      <c r="AJ1251">
        <v>0.8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4</v>
      </c>
      <c r="AQ1251">
        <v>0</v>
      </c>
      <c r="AR1251">
        <v>4</v>
      </c>
      <c r="AS1251">
        <v>1</v>
      </c>
      <c r="AT1251">
        <v>0.8</v>
      </c>
      <c r="AU1251">
        <v>9</v>
      </c>
      <c r="AV1251">
        <v>3</v>
      </c>
      <c r="AW1251">
        <v>8</v>
      </c>
      <c r="AX1251">
        <v>5</v>
      </c>
      <c r="AY1251">
        <v>4</v>
      </c>
      <c r="AZ1251">
        <v>0</v>
      </c>
      <c r="BA1251" t="s">
        <v>22982</v>
      </c>
      <c r="BB1251" t="s">
        <v>193</v>
      </c>
      <c r="BC1251">
        <v>2.012</v>
      </c>
      <c r="BD1251" t="s">
        <v>267</v>
      </c>
      <c r="BE1251">
        <v>12</v>
      </c>
      <c r="BF1251">
        <v>5</v>
      </c>
      <c r="BG1251" t="s">
        <v>22983</v>
      </c>
      <c r="BH1251" t="s">
        <v>22984</v>
      </c>
      <c r="BI1251" t="s">
        <v>22985</v>
      </c>
      <c r="BJ1251">
        <v>7.8990000000000005E-2</v>
      </c>
      <c r="BK1251">
        <v>1</v>
      </c>
      <c r="BL1251" t="s">
        <v>69</v>
      </c>
      <c r="BM1251">
        <v>-1.1919999999999999</v>
      </c>
      <c r="BN1251">
        <v>-0.94499999999999995</v>
      </c>
    </row>
    <row r="1252" spans="2:66">
      <c r="B1252">
        <v>2022</v>
      </c>
      <c r="C1252">
        <v>119</v>
      </c>
      <c r="D1252">
        <v>0</v>
      </c>
      <c r="E1252">
        <v>2</v>
      </c>
      <c r="F1252">
        <v>0</v>
      </c>
      <c r="J1252">
        <v>0</v>
      </c>
      <c r="K1252">
        <v>8</v>
      </c>
      <c r="L1252">
        <v>2</v>
      </c>
      <c r="M1252" t="s">
        <v>25022</v>
      </c>
      <c r="N1252">
        <v>3918</v>
      </c>
      <c r="O1252" t="s">
        <v>22986</v>
      </c>
      <c r="P1252" t="s">
        <v>62</v>
      </c>
      <c r="Q1252">
        <v>3883430</v>
      </c>
      <c r="R1252">
        <v>3884278</v>
      </c>
      <c r="S1252" t="s">
        <v>22987</v>
      </c>
      <c r="T1252">
        <v>283</v>
      </c>
      <c r="U1252" t="s">
        <v>629</v>
      </c>
      <c r="V1252">
        <v>43</v>
      </c>
      <c r="W1252" t="str">
        <f>HYPERLINK("Gene3918-zp_tree_all.dnd", "Gene3918-tree")</f>
        <v>Gene3918-tree</v>
      </c>
      <c r="X1252">
        <v>8</v>
      </c>
      <c r="Y1252">
        <v>9</v>
      </c>
      <c r="Z1252">
        <v>8</v>
      </c>
      <c r="AA1252">
        <v>9</v>
      </c>
      <c r="AB1252">
        <v>0.52941000000000005</v>
      </c>
      <c r="AC1252" t="s">
        <v>136</v>
      </c>
      <c r="AD1252" t="s">
        <v>135</v>
      </c>
      <c r="AE1252" t="s">
        <v>62</v>
      </c>
      <c r="AF1252" t="s">
        <v>62</v>
      </c>
      <c r="AG1252">
        <v>5</v>
      </c>
      <c r="AH1252">
        <v>10</v>
      </c>
      <c r="AI1252">
        <v>11</v>
      </c>
      <c r="AJ1252">
        <v>0.47619</v>
      </c>
      <c r="AK1252">
        <v>0</v>
      </c>
      <c r="AL1252">
        <v>0</v>
      </c>
      <c r="AM1252">
        <v>0</v>
      </c>
      <c r="AN1252">
        <v>2</v>
      </c>
      <c r="AO1252">
        <v>0</v>
      </c>
      <c r="AP1252">
        <v>6</v>
      </c>
      <c r="AQ1252">
        <v>0</v>
      </c>
      <c r="AR1252">
        <v>6</v>
      </c>
      <c r="AS1252">
        <v>12</v>
      </c>
      <c r="AT1252">
        <v>0.33333000000000002</v>
      </c>
      <c r="AU1252">
        <v>12</v>
      </c>
      <c r="AV1252">
        <v>11</v>
      </c>
      <c r="AW1252">
        <v>20</v>
      </c>
      <c r="AX1252">
        <v>15</v>
      </c>
      <c r="AY1252">
        <v>13</v>
      </c>
      <c r="AZ1252">
        <v>6</v>
      </c>
      <c r="BA1252" t="s">
        <v>22988</v>
      </c>
      <c r="BB1252" t="s">
        <v>22989</v>
      </c>
      <c r="BC1252">
        <v>0.59399999999999997</v>
      </c>
      <c r="BD1252" t="s">
        <v>65</v>
      </c>
      <c r="BE1252">
        <v>33</v>
      </c>
      <c r="BF1252">
        <v>21</v>
      </c>
      <c r="BG1252" t="s">
        <v>22990</v>
      </c>
      <c r="BH1252" t="s">
        <v>22991</v>
      </c>
      <c r="BI1252" t="s">
        <v>22992</v>
      </c>
      <c r="BJ1252">
        <v>0.15873000000000001</v>
      </c>
      <c r="BK1252">
        <v>1</v>
      </c>
      <c r="BL1252" t="s">
        <v>69</v>
      </c>
      <c r="BM1252">
        <v>-1.038</v>
      </c>
      <c r="BN1252">
        <v>-2.0019999999999998</v>
      </c>
    </row>
    <row r="1253" spans="2:66">
      <c r="B1253">
        <v>2023</v>
      </c>
      <c r="C1253">
        <v>53</v>
      </c>
      <c r="D1253">
        <v>0</v>
      </c>
      <c r="E1253">
        <v>2</v>
      </c>
      <c r="F1253">
        <v>0</v>
      </c>
      <c r="J1253">
        <v>0</v>
      </c>
      <c r="K1253">
        <v>6</v>
      </c>
      <c r="L1253">
        <v>1</v>
      </c>
      <c r="M1253" t="s">
        <v>25022</v>
      </c>
      <c r="N1253">
        <v>3919</v>
      </c>
      <c r="O1253" t="s">
        <v>22993</v>
      </c>
      <c r="P1253" t="s">
        <v>62</v>
      </c>
      <c r="Q1253">
        <v>3884295</v>
      </c>
      <c r="R1253">
        <v>3885239</v>
      </c>
      <c r="S1253" t="s">
        <v>22994</v>
      </c>
      <c r="T1253">
        <v>315</v>
      </c>
      <c r="U1253" t="s">
        <v>108</v>
      </c>
      <c r="V1253">
        <v>44</v>
      </c>
      <c r="W1253" t="str">
        <f>HYPERLINK("Gene3919-zp_tree_all.dnd", "Gene3919-tree")</f>
        <v>Gene3919-tree</v>
      </c>
      <c r="X1253">
        <v>9</v>
      </c>
      <c r="Y1253">
        <v>8</v>
      </c>
      <c r="Z1253">
        <v>9</v>
      </c>
      <c r="AA1253">
        <v>8</v>
      </c>
      <c r="AB1253">
        <v>0.47059000000000001</v>
      </c>
      <c r="AC1253" t="s">
        <v>135</v>
      </c>
      <c r="AD1253" t="s">
        <v>136</v>
      </c>
      <c r="AE1253" t="s">
        <v>62</v>
      </c>
      <c r="AF1253" t="s">
        <v>62</v>
      </c>
      <c r="AG1253">
        <v>3</v>
      </c>
      <c r="AH1253">
        <v>7</v>
      </c>
      <c r="AI1253">
        <v>12</v>
      </c>
      <c r="AJ1253">
        <v>0.36842000000000003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2</v>
      </c>
      <c r="AR1253">
        <v>2</v>
      </c>
      <c r="AS1253">
        <v>14</v>
      </c>
      <c r="AT1253">
        <v>0.125</v>
      </c>
      <c r="AU1253">
        <v>13</v>
      </c>
      <c r="AV1253">
        <v>11</v>
      </c>
      <c r="AW1253">
        <v>37</v>
      </c>
      <c r="AX1253">
        <v>13</v>
      </c>
      <c r="AY1253">
        <v>25</v>
      </c>
      <c r="AZ1253">
        <v>6</v>
      </c>
      <c r="BA1253" t="s">
        <v>22995</v>
      </c>
      <c r="BB1253" t="s">
        <v>22996</v>
      </c>
      <c r="BC1253">
        <v>0.41399999999999998</v>
      </c>
      <c r="BD1253" t="s">
        <v>65</v>
      </c>
      <c r="BE1253">
        <v>62</v>
      </c>
      <c r="BF1253">
        <v>19</v>
      </c>
      <c r="BG1253" t="s">
        <v>22997</v>
      </c>
      <c r="BH1253" t="s">
        <v>22998</v>
      </c>
      <c r="BI1253" t="s">
        <v>20599</v>
      </c>
      <c r="BJ1253">
        <v>8.2860000000000003E-2</v>
      </c>
      <c r="BK1253">
        <v>1</v>
      </c>
      <c r="BL1253" t="s">
        <v>69</v>
      </c>
      <c r="BM1253">
        <v>-1.3520000000000001</v>
      </c>
      <c r="BN1253">
        <v>-2.3559999999999999</v>
      </c>
    </row>
    <row r="1254" spans="2:66">
      <c r="B1254">
        <v>2025</v>
      </c>
      <c r="C1254">
        <v>262</v>
      </c>
      <c r="D1254">
        <v>0</v>
      </c>
      <c r="E1254">
        <v>4</v>
      </c>
      <c r="F1254">
        <v>2</v>
      </c>
      <c r="J1254">
        <v>0</v>
      </c>
      <c r="K1254">
        <v>2</v>
      </c>
      <c r="L1254">
        <v>0</v>
      </c>
      <c r="M1254" t="s">
        <v>25022</v>
      </c>
      <c r="N1254">
        <v>3920</v>
      </c>
      <c r="O1254" t="s">
        <v>22999</v>
      </c>
      <c r="P1254" t="s">
        <v>62</v>
      </c>
      <c r="Q1254">
        <v>3885242</v>
      </c>
      <c r="R1254">
        <v>3885979</v>
      </c>
      <c r="S1254" t="s">
        <v>23000</v>
      </c>
      <c r="T1254">
        <v>246</v>
      </c>
      <c r="U1254" t="s">
        <v>108</v>
      </c>
      <c r="V1254">
        <v>44</v>
      </c>
      <c r="W1254" t="str">
        <f>HYPERLINK("Gene3920-zp_tree_all.dnd", "Gene3920-tree")</f>
        <v>Gene3920-tree</v>
      </c>
      <c r="X1254">
        <v>12</v>
      </c>
      <c r="Y1254">
        <v>4</v>
      </c>
      <c r="Z1254">
        <v>12</v>
      </c>
      <c r="AA1254">
        <v>4</v>
      </c>
      <c r="AB1254">
        <v>0.25</v>
      </c>
      <c r="AC1254" t="s">
        <v>109</v>
      </c>
      <c r="AD1254" t="s">
        <v>61</v>
      </c>
      <c r="AE1254" t="s">
        <v>62</v>
      </c>
      <c r="AF1254" t="s">
        <v>62</v>
      </c>
      <c r="AG1254">
        <v>1</v>
      </c>
      <c r="AH1254">
        <v>2</v>
      </c>
      <c r="AI1254">
        <v>3</v>
      </c>
      <c r="AJ1254">
        <v>0.4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2</v>
      </c>
      <c r="AQ1254">
        <v>0</v>
      </c>
      <c r="AR1254">
        <v>2</v>
      </c>
      <c r="AS1254">
        <v>2</v>
      </c>
      <c r="AT1254">
        <v>0.5</v>
      </c>
      <c r="AU1254">
        <v>13</v>
      </c>
      <c r="AV1254">
        <v>9</v>
      </c>
      <c r="AW1254">
        <v>23</v>
      </c>
      <c r="AX1254">
        <v>4</v>
      </c>
      <c r="AY1254">
        <v>16</v>
      </c>
      <c r="AZ1254">
        <v>1</v>
      </c>
      <c r="BA1254" t="s">
        <v>23001</v>
      </c>
      <c r="BB1254" t="s">
        <v>23002</v>
      </c>
      <c r="BC1254">
        <v>0.49399999999999999</v>
      </c>
      <c r="BD1254" t="s">
        <v>65</v>
      </c>
      <c r="BE1254">
        <v>39</v>
      </c>
      <c r="BF1254">
        <v>5</v>
      </c>
      <c r="BG1254" t="s">
        <v>23003</v>
      </c>
      <c r="BH1254" t="s">
        <v>23004</v>
      </c>
      <c r="BI1254" t="s">
        <v>10827</v>
      </c>
      <c r="BJ1254">
        <v>3.1879999999999999E-2</v>
      </c>
      <c r="BK1254">
        <v>1</v>
      </c>
      <c r="BL1254" t="s">
        <v>69</v>
      </c>
      <c r="BM1254">
        <v>-0.53600000000000003</v>
      </c>
      <c r="BN1254">
        <v>0.377</v>
      </c>
    </row>
    <row r="1255" spans="2:66">
      <c r="B1255">
        <v>2026</v>
      </c>
      <c r="C1255">
        <v>147</v>
      </c>
      <c r="D1255">
        <v>0</v>
      </c>
      <c r="E1255">
        <v>2</v>
      </c>
      <c r="F1255">
        <v>0</v>
      </c>
      <c r="J1255">
        <v>0</v>
      </c>
      <c r="K1255">
        <v>23</v>
      </c>
      <c r="L1255">
        <v>5</v>
      </c>
      <c r="M1255" t="s">
        <v>25022</v>
      </c>
      <c r="N1255">
        <v>3921</v>
      </c>
      <c r="O1255" t="s">
        <v>23005</v>
      </c>
      <c r="P1255" t="s">
        <v>62</v>
      </c>
      <c r="Q1255">
        <v>3886007</v>
      </c>
      <c r="R1255">
        <v>3887023</v>
      </c>
      <c r="S1255" t="s">
        <v>3798</v>
      </c>
      <c r="T1255">
        <v>339</v>
      </c>
      <c r="U1255" t="s">
        <v>108</v>
      </c>
      <c r="V1255">
        <v>44</v>
      </c>
      <c r="W1255" t="str">
        <f>HYPERLINK("Gene3921-zp_tree_all.dnd", "Gene3921-tree")</f>
        <v>Gene3921-tree</v>
      </c>
      <c r="X1255">
        <v>22</v>
      </c>
      <c r="Y1255">
        <v>12</v>
      </c>
      <c r="Z1255">
        <v>4</v>
      </c>
      <c r="AA1255">
        <v>12</v>
      </c>
      <c r="AB1255">
        <v>0.75</v>
      </c>
      <c r="AC1255" t="s">
        <v>2634</v>
      </c>
      <c r="AD1255" t="s">
        <v>109</v>
      </c>
      <c r="AE1255" t="s">
        <v>62</v>
      </c>
      <c r="AF1255" t="s">
        <v>62</v>
      </c>
      <c r="AG1255">
        <v>11</v>
      </c>
      <c r="AH1255">
        <v>28</v>
      </c>
      <c r="AI1255">
        <v>24</v>
      </c>
      <c r="AJ1255">
        <v>0.53846000000000005</v>
      </c>
      <c r="AK1255">
        <v>0</v>
      </c>
      <c r="AL1255">
        <v>0</v>
      </c>
      <c r="AM1255">
        <v>0</v>
      </c>
      <c r="AN1255">
        <v>2</v>
      </c>
      <c r="AO1255">
        <v>0</v>
      </c>
      <c r="AP1255">
        <v>11</v>
      </c>
      <c r="AQ1255">
        <v>4</v>
      </c>
      <c r="AR1255">
        <v>15</v>
      </c>
      <c r="AS1255">
        <v>27</v>
      </c>
      <c r="AT1255">
        <v>0.35714000000000001</v>
      </c>
      <c r="AU1255">
        <v>14</v>
      </c>
      <c r="AV1255">
        <v>11</v>
      </c>
      <c r="AW1255">
        <v>25</v>
      </c>
      <c r="AX1255">
        <v>37</v>
      </c>
      <c r="AY1255">
        <v>30</v>
      </c>
      <c r="AZ1255">
        <v>15</v>
      </c>
      <c r="BA1255" t="s">
        <v>23006</v>
      </c>
      <c r="BB1255" t="s">
        <v>23007</v>
      </c>
      <c r="BC1255">
        <v>1.696</v>
      </c>
      <c r="BD1255" t="s">
        <v>65</v>
      </c>
      <c r="BE1255">
        <v>55</v>
      </c>
      <c r="BF1255">
        <v>52</v>
      </c>
      <c r="BG1255" t="s">
        <v>23008</v>
      </c>
      <c r="BH1255" t="s">
        <v>23009</v>
      </c>
      <c r="BI1255" t="s">
        <v>23010</v>
      </c>
      <c r="BJ1255">
        <v>0.23587</v>
      </c>
      <c r="BK1255">
        <v>1</v>
      </c>
      <c r="BL1255" t="s">
        <v>69</v>
      </c>
      <c r="BM1255">
        <v>-0.66200000000000003</v>
      </c>
      <c r="BN1255">
        <v>-1.329</v>
      </c>
    </row>
    <row r="1256" spans="2:66">
      <c r="B1256">
        <v>2029</v>
      </c>
      <c r="C1256">
        <v>203</v>
      </c>
      <c r="D1256">
        <v>0</v>
      </c>
      <c r="E1256">
        <v>4</v>
      </c>
      <c r="F1256">
        <v>3</v>
      </c>
      <c r="J1256">
        <v>0</v>
      </c>
      <c r="K1256">
        <v>7</v>
      </c>
      <c r="L1256">
        <v>4</v>
      </c>
      <c r="M1256" t="s">
        <v>25022</v>
      </c>
      <c r="N1256">
        <v>3922</v>
      </c>
      <c r="O1256" t="s">
        <v>23011</v>
      </c>
      <c r="P1256" t="s">
        <v>62</v>
      </c>
      <c r="Q1256">
        <v>3887029</v>
      </c>
      <c r="R1256">
        <v>3887748</v>
      </c>
      <c r="S1256" t="s">
        <v>3798</v>
      </c>
      <c r="T1256">
        <v>240</v>
      </c>
      <c r="U1256" t="s">
        <v>108</v>
      </c>
      <c r="V1256">
        <v>44</v>
      </c>
      <c r="W1256" t="str">
        <f>HYPERLINK("Gene3922-zp_tree_all.dnd", "Gene3922-tree")</f>
        <v>Gene3922-tree</v>
      </c>
      <c r="X1256">
        <v>3</v>
      </c>
      <c r="Y1256">
        <v>12</v>
      </c>
      <c r="Z1256">
        <v>3</v>
      </c>
      <c r="AA1256">
        <v>12</v>
      </c>
      <c r="AB1256">
        <v>0.8</v>
      </c>
      <c r="AC1256" t="s">
        <v>324</v>
      </c>
      <c r="AD1256" t="s">
        <v>109</v>
      </c>
      <c r="AE1256" t="s">
        <v>62</v>
      </c>
      <c r="AF1256" t="s">
        <v>62</v>
      </c>
      <c r="AG1256">
        <v>5</v>
      </c>
      <c r="AH1256">
        <v>11</v>
      </c>
      <c r="AI1256">
        <v>18</v>
      </c>
      <c r="AJ1256">
        <v>0.37930999999999998</v>
      </c>
      <c r="AK1256">
        <v>0</v>
      </c>
      <c r="AL1256">
        <v>0</v>
      </c>
      <c r="AM1256">
        <v>0</v>
      </c>
      <c r="AN1256">
        <v>2</v>
      </c>
      <c r="AO1256">
        <v>0</v>
      </c>
      <c r="AP1256">
        <v>3</v>
      </c>
      <c r="AQ1256">
        <v>0</v>
      </c>
      <c r="AR1256">
        <v>3</v>
      </c>
      <c r="AS1256">
        <v>20</v>
      </c>
      <c r="AT1256">
        <v>0.13042999999999999</v>
      </c>
      <c r="AU1256">
        <v>11</v>
      </c>
      <c r="AV1256">
        <v>11</v>
      </c>
      <c r="AW1256">
        <v>17</v>
      </c>
      <c r="AX1256">
        <v>19</v>
      </c>
      <c r="AY1256">
        <v>18</v>
      </c>
      <c r="AZ1256">
        <v>10</v>
      </c>
      <c r="BA1256" t="s">
        <v>23012</v>
      </c>
      <c r="BB1256" t="s">
        <v>23013</v>
      </c>
      <c r="BC1256">
        <v>0.873</v>
      </c>
      <c r="BD1256" t="s">
        <v>65</v>
      </c>
      <c r="BE1256">
        <v>35</v>
      </c>
      <c r="BF1256">
        <v>29</v>
      </c>
      <c r="BG1256" t="s">
        <v>23014</v>
      </c>
      <c r="BH1256" t="s">
        <v>23015</v>
      </c>
      <c r="BI1256" t="s">
        <v>23016</v>
      </c>
      <c r="BJ1256">
        <v>0.2828</v>
      </c>
      <c r="BK1256">
        <v>1</v>
      </c>
      <c r="BL1256" t="s">
        <v>69</v>
      </c>
      <c r="BM1256">
        <v>-1.1020000000000001</v>
      </c>
      <c r="BN1256">
        <v>-1.4890000000000001</v>
      </c>
    </row>
    <row r="1257" spans="2:66">
      <c r="B1257">
        <v>2030</v>
      </c>
      <c r="C1257">
        <v>82</v>
      </c>
      <c r="D1257">
        <v>0</v>
      </c>
      <c r="E1257">
        <v>0</v>
      </c>
      <c r="F1257">
        <v>4</v>
      </c>
      <c r="J1257">
        <v>0</v>
      </c>
      <c r="K1257">
        <v>14</v>
      </c>
      <c r="L1257">
        <v>0</v>
      </c>
      <c r="M1257" t="s">
        <v>25022</v>
      </c>
      <c r="N1257">
        <v>3923</v>
      </c>
      <c r="O1257" t="s">
        <v>23017</v>
      </c>
      <c r="P1257" t="s">
        <v>62</v>
      </c>
      <c r="Q1257">
        <v>3887744</v>
      </c>
      <c r="R1257">
        <v>3888862</v>
      </c>
      <c r="S1257" t="s">
        <v>23018</v>
      </c>
      <c r="T1257">
        <v>373</v>
      </c>
      <c r="U1257" t="s">
        <v>108</v>
      </c>
      <c r="V1257">
        <v>44</v>
      </c>
      <c r="W1257" t="str">
        <f>HYPERLINK("Gene3923-zp_tree_all.dnd", "Gene3923-tree")</f>
        <v>Gene3923-tree</v>
      </c>
      <c r="X1257">
        <v>4</v>
      </c>
      <c r="Y1257">
        <v>10</v>
      </c>
      <c r="Z1257">
        <v>4</v>
      </c>
      <c r="AA1257">
        <v>10</v>
      </c>
      <c r="AB1257">
        <v>0.71428999999999998</v>
      </c>
      <c r="AC1257" t="s">
        <v>61</v>
      </c>
      <c r="AD1257" t="s">
        <v>117</v>
      </c>
      <c r="AE1257" t="s">
        <v>62</v>
      </c>
      <c r="AF1257" t="s">
        <v>62</v>
      </c>
      <c r="AG1257">
        <v>5</v>
      </c>
      <c r="AH1257">
        <v>14</v>
      </c>
      <c r="AI1257">
        <v>8</v>
      </c>
      <c r="AJ1257">
        <v>0.63636000000000004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9</v>
      </c>
      <c r="AQ1257">
        <v>0</v>
      </c>
      <c r="AR1257">
        <v>9</v>
      </c>
      <c r="AS1257">
        <v>8</v>
      </c>
      <c r="AT1257">
        <v>0.52941000000000005</v>
      </c>
      <c r="AU1257">
        <v>13</v>
      </c>
      <c r="AV1257">
        <v>9</v>
      </c>
      <c r="AW1257">
        <v>42</v>
      </c>
      <c r="AX1257">
        <v>16</v>
      </c>
      <c r="AY1257">
        <v>15</v>
      </c>
      <c r="AZ1257">
        <v>6</v>
      </c>
      <c r="BA1257" t="s">
        <v>23019</v>
      </c>
      <c r="BB1257" t="s">
        <v>23020</v>
      </c>
      <c r="BC1257">
        <v>9.4E-2</v>
      </c>
      <c r="BD1257" t="s">
        <v>65</v>
      </c>
      <c r="BE1257">
        <v>57</v>
      </c>
      <c r="BF1257">
        <v>22</v>
      </c>
      <c r="BG1257" t="s">
        <v>23021</v>
      </c>
      <c r="BH1257" t="s">
        <v>23022</v>
      </c>
      <c r="BI1257" t="s">
        <v>23023</v>
      </c>
      <c r="BJ1257">
        <v>0.10498</v>
      </c>
      <c r="BK1257">
        <v>1</v>
      </c>
      <c r="BL1257" t="s">
        <v>69</v>
      </c>
      <c r="BM1257">
        <v>-1.296</v>
      </c>
      <c r="BN1257">
        <v>-1.9119999999999999</v>
      </c>
    </row>
    <row r="1258" spans="2:66">
      <c r="B1258">
        <v>2032</v>
      </c>
      <c r="C1258">
        <v>289</v>
      </c>
      <c r="D1258">
        <v>0</v>
      </c>
      <c r="E1258">
        <v>11</v>
      </c>
      <c r="F1258">
        <v>2</v>
      </c>
      <c r="J1258">
        <v>0</v>
      </c>
      <c r="K1258">
        <v>4</v>
      </c>
      <c r="L1258">
        <v>2</v>
      </c>
      <c r="M1258" t="s">
        <v>25022</v>
      </c>
      <c r="N1258">
        <v>3924</v>
      </c>
      <c r="O1258" t="s">
        <v>23024</v>
      </c>
      <c r="P1258" t="s">
        <v>62</v>
      </c>
      <c r="Q1258">
        <v>3888865</v>
      </c>
      <c r="R1258">
        <v>3889731</v>
      </c>
      <c r="S1258" t="s">
        <v>23025</v>
      </c>
      <c r="T1258">
        <v>289</v>
      </c>
      <c r="U1258" t="s">
        <v>108</v>
      </c>
      <c r="V1258">
        <v>44</v>
      </c>
      <c r="W1258" t="str">
        <f>HYPERLINK("Gene3924-zp_tree_all.dnd", "Gene3924-tree")</f>
        <v>Gene3924-tree</v>
      </c>
      <c r="X1258">
        <v>6</v>
      </c>
      <c r="Y1258">
        <v>8</v>
      </c>
      <c r="Z1258">
        <v>6</v>
      </c>
      <c r="AA1258">
        <v>8</v>
      </c>
      <c r="AB1258">
        <v>0.57142999999999999</v>
      </c>
      <c r="AC1258" t="s">
        <v>90</v>
      </c>
      <c r="AD1258" t="s">
        <v>136</v>
      </c>
      <c r="AE1258" t="s">
        <v>62</v>
      </c>
      <c r="AF1258" t="s">
        <v>62</v>
      </c>
      <c r="AG1258">
        <v>3</v>
      </c>
      <c r="AH1258">
        <v>6</v>
      </c>
      <c r="AI1258">
        <v>8</v>
      </c>
      <c r="AJ1258">
        <v>0.42857000000000001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</v>
      </c>
      <c r="AQ1258">
        <v>2</v>
      </c>
      <c r="AR1258">
        <v>4</v>
      </c>
      <c r="AS1258">
        <v>7</v>
      </c>
      <c r="AT1258">
        <v>0.36364000000000002</v>
      </c>
      <c r="AU1258">
        <v>14</v>
      </c>
      <c r="AV1258">
        <v>8</v>
      </c>
      <c r="AW1258">
        <v>34</v>
      </c>
      <c r="AX1258">
        <v>11</v>
      </c>
      <c r="AY1258">
        <v>10</v>
      </c>
      <c r="AZ1258">
        <v>5</v>
      </c>
      <c r="BA1258" t="s">
        <v>23026</v>
      </c>
      <c r="BB1258" t="s">
        <v>23027</v>
      </c>
      <c r="BC1258">
        <v>0.47299999999999998</v>
      </c>
      <c r="BD1258" t="s">
        <v>65</v>
      </c>
      <c r="BE1258">
        <v>44</v>
      </c>
      <c r="BF1258">
        <v>16</v>
      </c>
      <c r="BG1258" t="s">
        <v>23028</v>
      </c>
      <c r="BH1258" t="s">
        <v>23029</v>
      </c>
      <c r="BI1258" t="s">
        <v>23030</v>
      </c>
      <c r="BJ1258">
        <v>0.12222</v>
      </c>
      <c r="BK1258">
        <v>1</v>
      </c>
      <c r="BL1258" t="s">
        <v>69</v>
      </c>
      <c r="BM1258">
        <v>-0.57999999999999996</v>
      </c>
      <c r="BN1258">
        <v>-0.65800000000000003</v>
      </c>
    </row>
    <row r="1259" spans="2:66">
      <c r="B1259">
        <v>2033</v>
      </c>
      <c r="C1259">
        <v>66</v>
      </c>
      <c r="D1259">
        <v>0</v>
      </c>
      <c r="E1259">
        <v>2</v>
      </c>
      <c r="F1259">
        <v>0</v>
      </c>
      <c r="J1259">
        <v>0</v>
      </c>
      <c r="K1259">
        <v>5</v>
      </c>
      <c r="L1259">
        <v>0</v>
      </c>
      <c r="M1259" t="s">
        <v>25022</v>
      </c>
      <c r="N1259">
        <v>3925</v>
      </c>
      <c r="O1259" t="s">
        <v>19415</v>
      </c>
      <c r="P1259" t="s">
        <v>62</v>
      </c>
      <c r="Q1259">
        <v>3889735</v>
      </c>
      <c r="R1259">
        <v>3890901</v>
      </c>
      <c r="S1259" t="s">
        <v>23031</v>
      </c>
      <c r="T1259">
        <v>389</v>
      </c>
      <c r="U1259" t="s">
        <v>108</v>
      </c>
      <c r="V1259">
        <v>44</v>
      </c>
      <c r="W1259" t="str">
        <f>HYPERLINK("Gene3925-zp_tree_all.dnd", "Gene3925-tree")</f>
        <v>Gene3925-tree</v>
      </c>
      <c r="X1259">
        <v>4</v>
      </c>
      <c r="Y1259">
        <v>11</v>
      </c>
      <c r="Z1259">
        <v>4</v>
      </c>
      <c r="AA1259">
        <v>11</v>
      </c>
      <c r="AB1259">
        <v>0.73333000000000004</v>
      </c>
      <c r="AC1259" t="s">
        <v>61</v>
      </c>
      <c r="AD1259" t="s">
        <v>73</v>
      </c>
      <c r="AE1259">
        <v>200307210.301</v>
      </c>
      <c r="AF1259" t="s">
        <v>267</v>
      </c>
      <c r="AG1259">
        <v>2</v>
      </c>
      <c r="AH1259">
        <v>5</v>
      </c>
      <c r="AI1259">
        <v>13</v>
      </c>
      <c r="AJ1259">
        <v>0.27778000000000003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5</v>
      </c>
      <c r="AQ1259">
        <v>0</v>
      </c>
      <c r="AR1259">
        <v>5</v>
      </c>
      <c r="AS1259">
        <v>9</v>
      </c>
      <c r="AT1259">
        <v>0.35714000000000001</v>
      </c>
      <c r="AU1259">
        <v>13</v>
      </c>
      <c r="AV1259">
        <v>10</v>
      </c>
      <c r="AW1259">
        <v>26</v>
      </c>
      <c r="AX1259">
        <v>13</v>
      </c>
      <c r="AY1259">
        <v>9</v>
      </c>
      <c r="AZ1259">
        <v>5</v>
      </c>
      <c r="BA1259" t="s">
        <v>23032</v>
      </c>
      <c r="BB1259" t="s">
        <v>23033</v>
      </c>
      <c r="BC1259">
        <v>0.17499999999999999</v>
      </c>
      <c r="BD1259" t="s">
        <v>65</v>
      </c>
      <c r="BE1259">
        <v>35</v>
      </c>
      <c r="BF1259">
        <v>18</v>
      </c>
      <c r="BG1259" t="s">
        <v>23034</v>
      </c>
      <c r="BH1259" t="s">
        <v>23035</v>
      </c>
      <c r="BI1259" t="s">
        <v>23036</v>
      </c>
      <c r="BJ1259">
        <v>0.20402999999999999</v>
      </c>
      <c r="BK1259">
        <v>0.99</v>
      </c>
      <c r="BL1259" t="s">
        <v>69</v>
      </c>
      <c r="BM1259">
        <v>-0.77</v>
      </c>
      <c r="BN1259">
        <v>-0.98399999999999999</v>
      </c>
    </row>
    <row r="1260" spans="2:66">
      <c r="B1260">
        <v>2035</v>
      </c>
      <c r="C1260">
        <v>34</v>
      </c>
      <c r="D1260">
        <v>0</v>
      </c>
      <c r="E1260">
        <v>4</v>
      </c>
      <c r="F1260">
        <v>3</v>
      </c>
      <c r="J1260">
        <v>0</v>
      </c>
      <c r="K1260">
        <v>16</v>
      </c>
      <c r="L1260">
        <v>4</v>
      </c>
      <c r="M1260" t="s">
        <v>25022</v>
      </c>
      <c r="N1260">
        <v>3926</v>
      </c>
      <c r="O1260" t="s">
        <v>23037</v>
      </c>
      <c r="P1260" t="s">
        <v>62</v>
      </c>
      <c r="Q1260">
        <v>3890925</v>
      </c>
      <c r="R1260">
        <v>3892346</v>
      </c>
      <c r="S1260" t="s">
        <v>23038</v>
      </c>
      <c r="T1260">
        <v>474</v>
      </c>
      <c r="U1260" t="s">
        <v>108</v>
      </c>
      <c r="V1260">
        <v>44</v>
      </c>
      <c r="W1260" t="str">
        <f>HYPERLINK("Gene3926-zp_tree_all.dnd", "Gene3926-tree")</f>
        <v>Gene3926-tree</v>
      </c>
      <c r="X1260">
        <v>22</v>
      </c>
      <c r="Y1260">
        <v>14</v>
      </c>
      <c r="Z1260">
        <v>3</v>
      </c>
      <c r="AA1260">
        <v>14</v>
      </c>
      <c r="AB1260">
        <v>0.82352999999999998</v>
      </c>
      <c r="AC1260" t="s">
        <v>1005</v>
      </c>
      <c r="AD1260" t="s">
        <v>543</v>
      </c>
      <c r="AE1260">
        <v>7.1710000000000003</v>
      </c>
      <c r="AF1260" t="s">
        <v>267</v>
      </c>
      <c r="AG1260">
        <v>7</v>
      </c>
      <c r="AH1260">
        <v>20</v>
      </c>
      <c r="AI1260">
        <v>17</v>
      </c>
      <c r="AJ1260">
        <v>0.54054000000000002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10</v>
      </c>
      <c r="AQ1260">
        <v>0</v>
      </c>
      <c r="AR1260">
        <v>10</v>
      </c>
      <c r="AS1260">
        <v>17</v>
      </c>
      <c r="AT1260">
        <v>0.37036999999999998</v>
      </c>
      <c r="AU1260">
        <v>14</v>
      </c>
      <c r="AV1260">
        <v>13</v>
      </c>
      <c r="AW1260">
        <v>32</v>
      </c>
      <c r="AX1260">
        <v>25</v>
      </c>
      <c r="AY1260">
        <v>22</v>
      </c>
      <c r="AZ1260">
        <v>12</v>
      </c>
      <c r="BA1260" t="s">
        <v>23039</v>
      </c>
      <c r="BB1260" t="s">
        <v>23040</v>
      </c>
      <c r="BC1260">
        <v>0.505</v>
      </c>
      <c r="BD1260" t="s">
        <v>65</v>
      </c>
      <c r="BE1260">
        <v>54</v>
      </c>
      <c r="BF1260">
        <v>37</v>
      </c>
      <c r="BG1260" t="s">
        <v>23041</v>
      </c>
      <c r="BH1260" t="s">
        <v>23042</v>
      </c>
      <c r="BI1260" t="s">
        <v>23043</v>
      </c>
      <c r="BJ1260">
        <v>0.20158999999999999</v>
      </c>
      <c r="BK1260">
        <v>1</v>
      </c>
      <c r="BL1260" t="s">
        <v>69</v>
      </c>
      <c r="BM1260">
        <v>-1.01</v>
      </c>
      <c r="BN1260">
        <v>-1.526</v>
      </c>
    </row>
    <row r="1261" spans="2:66">
      <c r="B1261">
        <v>2036</v>
      </c>
      <c r="C1261">
        <v>175</v>
      </c>
      <c r="D1261">
        <v>0</v>
      </c>
      <c r="E1261">
        <v>2</v>
      </c>
      <c r="F1261">
        <v>0</v>
      </c>
      <c r="J1261">
        <v>0</v>
      </c>
      <c r="K1261">
        <v>8</v>
      </c>
      <c r="L1261">
        <v>8</v>
      </c>
      <c r="M1261" t="s">
        <v>25022</v>
      </c>
      <c r="N1261">
        <v>3927</v>
      </c>
      <c r="O1261" t="s">
        <v>23044</v>
      </c>
      <c r="P1261" t="s">
        <v>62</v>
      </c>
      <c r="Q1261">
        <v>3892354</v>
      </c>
      <c r="R1261">
        <v>3893121</v>
      </c>
      <c r="S1261" t="s">
        <v>23045</v>
      </c>
      <c r="T1261">
        <v>256</v>
      </c>
      <c r="U1261" t="s">
        <v>572</v>
      </c>
      <c r="V1261">
        <v>48</v>
      </c>
      <c r="W1261" t="str">
        <f>HYPERLINK("Gene3927-zp_tree_all.dnd", "Gene3927-tree")</f>
        <v>Gene3927-tree</v>
      </c>
      <c r="X1261">
        <v>11</v>
      </c>
      <c r="Y1261">
        <v>10</v>
      </c>
      <c r="Z1261">
        <v>11</v>
      </c>
      <c r="AA1261">
        <v>10</v>
      </c>
      <c r="AB1261">
        <v>0.47619</v>
      </c>
      <c r="AC1261" t="s">
        <v>73</v>
      </c>
      <c r="AD1261" t="s">
        <v>117</v>
      </c>
      <c r="AE1261" t="s">
        <v>62</v>
      </c>
      <c r="AF1261" t="s">
        <v>62</v>
      </c>
      <c r="AG1261">
        <v>8</v>
      </c>
      <c r="AH1261">
        <v>16</v>
      </c>
      <c r="AI1261">
        <v>12</v>
      </c>
      <c r="AJ1261">
        <v>0.57142999999999999</v>
      </c>
      <c r="AK1261">
        <v>0</v>
      </c>
      <c r="AL1261">
        <v>0</v>
      </c>
      <c r="AM1261">
        <v>0</v>
      </c>
      <c r="AN1261">
        <v>3</v>
      </c>
      <c r="AO1261">
        <v>0</v>
      </c>
      <c r="AP1261">
        <v>2</v>
      </c>
      <c r="AQ1261">
        <v>2</v>
      </c>
      <c r="AR1261">
        <v>4</v>
      </c>
      <c r="AS1261">
        <v>13</v>
      </c>
      <c r="AT1261">
        <v>0.23529</v>
      </c>
      <c r="AU1261">
        <v>17</v>
      </c>
      <c r="AV1261">
        <v>13</v>
      </c>
      <c r="AW1261">
        <v>53</v>
      </c>
      <c r="AX1261">
        <v>18</v>
      </c>
      <c r="AY1261">
        <v>39</v>
      </c>
      <c r="AZ1261">
        <v>11</v>
      </c>
      <c r="BA1261" t="s">
        <v>23046</v>
      </c>
      <c r="BB1261" t="s">
        <v>23047</v>
      </c>
      <c r="BC1261">
        <v>0.13700000000000001</v>
      </c>
      <c r="BD1261" t="s">
        <v>65</v>
      </c>
      <c r="BE1261">
        <v>92</v>
      </c>
      <c r="BF1261">
        <v>29</v>
      </c>
      <c r="BG1261" t="s">
        <v>23048</v>
      </c>
      <c r="BH1261" t="s">
        <v>23049</v>
      </c>
      <c r="BI1261" t="s">
        <v>23050</v>
      </c>
      <c r="BJ1261">
        <v>8.5779999999999995E-2</v>
      </c>
      <c r="BK1261">
        <v>1</v>
      </c>
      <c r="BL1261" t="s">
        <v>69</v>
      </c>
      <c r="BM1261">
        <v>-1.5249999999999999</v>
      </c>
      <c r="BN1261">
        <v>-2.5880000000000001</v>
      </c>
    </row>
    <row r="1262" spans="2:66">
      <c r="B1262">
        <v>2037</v>
      </c>
      <c r="C1262">
        <v>293</v>
      </c>
      <c r="D1262">
        <v>2</v>
      </c>
      <c r="E1262">
        <v>10</v>
      </c>
      <c r="F1262">
        <v>5</v>
      </c>
      <c r="J1262">
        <v>0</v>
      </c>
      <c r="K1262">
        <v>0</v>
      </c>
      <c r="L1262">
        <v>0</v>
      </c>
      <c r="M1262" t="s">
        <v>25022</v>
      </c>
      <c r="N1262">
        <v>3929</v>
      </c>
      <c r="O1262" t="s">
        <v>23057</v>
      </c>
      <c r="P1262" t="s">
        <v>62</v>
      </c>
      <c r="Q1262">
        <v>3894033</v>
      </c>
      <c r="R1262">
        <v>3894401</v>
      </c>
      <c r="S1262" t="s">
        <v>4672</v>
      </c>
      <c r="T1262">
        <v>123</v>
      </c>
      <c r="U1262" t="s">
        <v>108</v>
      </c>
      <c r="V1262">
        <v>44</v>
      </c>
      <c r="W1262" t="str">
        <f>HYPERLINK("Gene3929-zp_tree_all.dnd", "Gene3929-tree")</f>
        <v>Gene3929-tree</v>
      </c>
      <c r="X1262">
        <v>10</v>
      </c>
      <c r="Y1262">
        <v>0</v>
      </c>
      <c r="Z1262">
        <v>10</v>
      </c>
      <c r="AA1262">
        <v>0</v>
      </c>
      <c r="AB1262">
        <v>0</v>
      </c>
      <c r="AC1262" t="s">
        <v>117</v>
      </c>
      <c r="AD1262" t="s">
        <v>62</v>
      </c>
      <c r="AE1262" t="s">
        <v>62</v>
      </c>
      <c r="AF1262" t="s">
        <v>62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7</v>
      </c>
      <c r="AV1262">
        <v>4</v>
      </c>
      <c r="AW1262">
        <v>11</v>
      </c>
      <c r="AX1262">
        <v>0</v>
      </c>
      <c r="AY1262">
        <v>4</v>
      </c>
      <c r="AZ1262">
        <v>0</v>
      </c>
      <c r="BA1262" t="s">
        <v>193</v>
      </c>
      <c r="BB1262" t="s">
        <v>193</v>
      </c>
      <c r="BC1262">
        <v>0</v>
      </c>
      <c r="BD1262" t="s">
        <v>65</v>
      </c>
      <c r="BE1262">
        <v>15</v>
      </c>
      <c r="BF1262">
        <v>0</v>
      </c>
      <c r="BG1262" t="s">
        <v>23058</v>
      </c>
      <c r="BH1262" t="s">
        <v>23059</v>
      </c>
      <c r="BI1262" t="s">
        <v>23060</v>
      </c>
      <c r="BJ1262">
        <v>2.5510000000000001E-2</v>
      </c>
      <c r="BK1262">
        <v>1</v>
      </c>
      <c r="BL1262" t="s">
        <v>69</v>
      </c>
      <c r="BM1262">
        <v>-1.2150000000000001</v>
      </c>
      <c r="BN1262">
        <v>-1.097</v>
      </c>
    </row>
    <row r="1263" spans="2:66">
      <c r="B1263">
        <v>2038</v>
      </c>
      <c r="C1263">
        <v>31</v>
      </c>
      <c r="D1263">
        <v>0</v>
      </c>
      <c r="E1263">
        <v>2</v>
      </c>
      <c r="F1263">
        <v>0</v>
      </c>
      <c r="J1263">
        <v>0</v>
      </c>
      <c r="K1263">
        <v>0</v>
      </c>
      <c r="L1263">
        <v>0</v>
      </c>
      <c r="M1263" t="s">
        <v>25022</v>
      </c>
      <c r="N1263">
        <v>3930</v>
      </c>
      <c r="O1263" t="s">
        <v>23061</v>
      </c>
      <c r="P1263" t="s">
        <v>62</v>
      </c>
      <c r="Q1263">
        <v>3894466</v>
      </c>
      <c r="R1263">
        <v>3895785</v>
      </c>
      <c r="S1263" t="s">
        <v>23062</v>
      </c>
      <c r="T1263">
        <v>440</v>
      </c>
      <c r="U1263" t="s">
        <v>108</v>
      </c>
      <c r="V1263">
        <v>44</v>
      </c>
      <c r="W1263" t="str">
        <f>HYPERLINK("Gene3930-zp_tree_all.dnd", "Gene3930-tree")</f>
        <v>Gene3930-tree</v>
      </c>
      <c r="X1263">
        <v>28</v>
      </c>
      <c r="Y1263">
        <v>8</v>
      </c>
      <c r="Z1263">
        <v>10</v>
      </c>
      <c r="AA1263">
        <v>8</v>
      </c>
      <c r="AB1263">
        <v>0.44444</v>
      </c>
      <c r="AC1263" t="s">
        <v>7613</v>
      </c>
      <c r="AD1263" t="s">
        <v>136</v>
      </c>
      <c r="AE1263" t="s">
        <v>62</v>
      </c>
      <c r="AF1263" t="s">
        <v>62</v>
      </c>
      <c r="AG1263">
        <v>0</v>
      </c>
      <c r="AH1263">
        <v>0</v>
      </c>
      <c r="AI1263">
        <v>11</v>
      </c>
      <c r="AJ1263">
        <v>0</v>
      </c>
      <c r="AK1263">
        <v>0</v>
      </c>
      <c r="AL1263">
        <v>0</v>
      </c>
      <c r="AM1263">
        <v>0</v>
      </c>
      <c r="AN1263">
        <v>2</v>
      </c>
      <c r="AO1263">
        <v>0</v>
      </c>
      <c r="AP1263">
        <v>0</v>
      </c>
      <c r="AQ1263">
        <v>0</v>
      </c>
      <c r="AR1263">
        <v>0</v>
      </c>
      <c r="AS1263">
        <v>9</v>
      </c>
      <c r="AT1263">
        <v>0</v>
      </c>
      <c r="AU1263">
        <v>15</v>
      </c>
      <c r="AV1263">
        <v>15</v>
      </c>
      <c r="AW1263">
        <v>59</v>
      </c>
      <c r="AX1263">
        <v>9</v>
      </c>
      <c r="AY1263">
        <v>45</v>
      </c>
      <c r="AZ1263">
        <v>2</v>
      </c>
      <c r="BA1263" t="s">
        <v>23063</v>
      </c>
      <c r="BB1263" t="s">
        <v>23064</v>
      </c>
      <c r="BC1263">
        <v>1.103</v>
      </c>
      <c r="BD1263" t="s">
        <v>65</v>
      </c>
      <c r="BE1263">
        <v>104</v>
      </c>
      <c r="BF1263">
        <v>11</v>
      </c>
      <c r="BG1263" t="s">
        <v>23065</v>
      </c>
      <c r="BH1263" t="s">
        <v>23066</v>
      </c>
      <c r="BI1263" t="s">
        <v>23067</v>
      </c>
      <c r="BJ1263">
        <v>3.014E-2</v>
      </c>
      <c r="BK1263">
        <v>1</v>
      </c>
      <c r="BL1263" t="s">
        <v>69</v>
      </c>
      <c r="BM1263">
        <v>-0.56299999999999994</v>
      </c>
      <c r="BN1263">
        <v>-1.7110000000000001</v>
      </c>
    </row>
    <row r="1264" spans="2:66">
      <c r="B1264">
        <v>2039</v>
      </c>
      <c r="C1264">
        <v>12</v>
      </c>
      <c r="D1264">
        <v>0</v>
      </c>
      <c r="E1264">
        <v>11</v>
      </c>
      <c r="F1264">
        <v>2</v>
      </c>
      <c r="J1264">
        <v>0</v>
      </c>
      <c r="K1264">
        <v>5</v>
      </c>
      <c r="L1264">
        <v>0</v>
      </c>
      <c r="M1264" t="s">
        <v>25022</v>
      </c>
      <c r="N1264">
        <v>3931</v>
      </c>
      <c r="O1264" t="s">
        <v>23068</v>
      </c>
      <c r="P1264" t="s">
        <v>62</v>
      </c>
      <c r="Q1264">
        <v>3895808</v>
      </c>
      <c r="R1264">
        <v>3896122</v>
      </c>
      <c r="S1264" t="s">
        <v>116</v>
      </c>
      <c r="T1264">
        <v>105</v>
      </c>
      <c r="U1264" t="s">
        <v>108</v>
      </c>
      <c r="V1264">
        <v>44</v>
      </c>
      <c r="W1264" t="str">
        <f>HYPERLINK("Gene3931-zp_tree_all.dnd", "Gene3931-tree")</f>
        <v>Gene3931-tree</v>
      </c>
      <c r="X1264">
        <v>9</v>
      </c>
      <c r="Y1264">
        <v>6</v>
      </c>
      <c r="Z1264">
        <v>9</v>
      </c>
      <c r="AA1264">
        <v>6</v>
      </c>
      <c r="AB1264">
        <v>0.4</v>
      </c>
      <c r="AC1264" t="s">
        <v>135</v>
      </c>
      <c r="AD1264" t="s">
        <v>90</v>
      </c>
      <c r="AE1264" t="s">
        <v>62</v>
      </c>
      <c r="AF1264" t="s">
        <v>62</v>
      </c>
      <c r="AG1264">
        <v>2</v>
      </c>
      <c r="AH1264">
        <v>5</v>
      </c>
      <c r="AI1264">
        <v>9</v>
      </c>
      <c r="AJ1264">
        <v>0.35714000000000001</v>
      </c>
      <c r="AK1264">
        <v>2</v>
      </c>
      <c r="AL1264">
        <v>0</v>
      </c>
      <c r="AM1264">
        <v>2</v>
      </c>
      <c r="AN1264">
        <v>2</v>
      </c>
      <c r="AO1264">
        <v>0.5</v>
      </c>
      <c r="AP1264">
        <v>2</v>
      </c>
      <c r="AQ1264">
        <v>0</v>
      </c>
      <c r="AR1264">
        <v>2</v>
      </c>
      <c r="AS1264">
        <v>6</v>
      </c>
      <c r="AT1264">
        <v>0.25</v>
      </c>
      <c r="AU1264">
        <v>9</v>
      </c>
      <c r="AV1264">
        <v>9</v>
      </c>
      <c r="AW1264">
        <v>11</v>
      </c>
      <c r="AX1264">
        <v>8</v>
      </c>
      <c r="AY1264">
        <v>8</v>
      </c>
      <c r="AZ1264">
        <v>6</v>
      </c>
      <c r="BA1264" t="s">
        <v>23069</v>
      </c>
      <c r="BB1264" t="s">
        <v>23070</v>
      </c>
      <c r="BC1264">
        <v>2.8000000000000001E-2</v>
      </c>
      <c r="BD1264" t="s">
        <v>65</v>
      </c>
      <c r="BE1264">
        <v>19</v>
      </c>
      <c r="BF1264">
        <v>14</v>
      </c>
      <c r="BG1264" t="s">
        <v>23071</v>
      </c>
      <c r="BH1264" t="s">
        <v>23072</v>
      </c>
      <c r="BI1264" t="s">
        <v>23073</v>
      </c>
      <c r="BJ1264">
        <v>0.16388</v>
      </c>
      <c r="BK1264">
        <v>1</v>
      </c>
      <c r="BL1264" t="s">
        <v>69</v>
      </c>
      <c r="BM1264">
        <v>-0.185</v>
      </c>
      <c r="BN1264">
        <v>-0.72399999999999998</v>
      </c>
    </row>
    <row r="1265" spans="2:66">
      <c r="B1265">
        <v>2040</v>
      </c>
      <c r="C1265">
        <v>42</v>
      </c>
      <c r="D1265">
        <v>0</v>
      </c>
      <c r="E1265">
        <v>7</v>
      </c>
      <c r="F1265">
        <v>0</v>
      </c>
      <c r="J1265">
        <v>0</v>
      </c>
      <c r="K1265">
        <v>4</v>
      </c>
      <c r="L1265">
        <v>0</v>
      </c>
      <c r="M1265" t="s">
        <v>25022</v>
      </c>
      <c r="N1265">
        <v>3933</v>
      </c>
      <c r="O1265" t="s">
        <v>23081</v>
      </c>
      <c r="P1265" t="s">
        <v>62</v>
      </c>
      <c r="Q1265">
        <v>3897688</v>
      </c>
      <c r="R1265">
        <v>3898362</v>
      </c>
      <c r="S1265" t="s">
        <v>23082</v>
      </c>
      <c r="T1265">
        <v>225</v>
      </c>
      <c r="U1265" t="s">
        <v>108</v>
      </c>
      <c r="V1265">
        <v>44</v>
      </c>
      <c r="W1265" t="str">
        <f>HYPERLINK("Gene3933-zp_tree_all.dnd", "Gene3933-tree")</f>
        <v>Gene3933-tree</v>
      </c>
      <c r="X1265">
        <v>10</v>
      </c>
      <c r="Y1265">
        <v>5</v>
      </c>
      <c r="Z1265">
        <v>10</v>
      </c>
      <c r="AA1265">
        <v>5</v>
      </c>
      <c r="AB1265">
        <v>0.33333000000000002</v>
      </c>
      <c r="AC1265" t="s">
        <v>117</v>
      </c>
      <c r="AD1265" t="s">
        <v>199</v>
      </c>
      <c r="AE1265" t="s">
        <v>62</v>
      </c>
      <c r="AF1265" t="s">
        <v>62</v>
      </c>
      <c r="AG1265">
        <v>2</v>
      </c>
      <c r="AH1265">
        <v>4</v>
      </c>
      <c r="AI1265">
        <v>2</v>
      </c>
      <c r="AJ1265">
        <v>0.66666999999999998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2</v>
      </c>
      <c r="AQ1265">
        <v>0</v>
      </c>
      <c r="AR1265">
        <v>2</v>
      </c>
      <c r="AS1265">
        <v>3</v>
      </c>
      <c r="AT1265">
        <v>0.4</v>
      </c>
      <c r="AU1265">
        <v>12</v>
      </c>
      <c r="AV1265">
        <v>9</v>
      </c>
      <c r="AW1265">
        <v>42</v>
      </c>
      <c r="AX1265">
        <v>5</v>
      </c>
      <c r="AY1265">
        <v>29</v>
      </c>
      <c r="AZ1265">
        <v>1</v>
      </c>
      <c r="BA1265" t="s">
        <v>23083</v>
      </c>
      <c r="BB1265" t="s">
        <v>23084</v>
      </c>
      <c r="BC1265">
        <v>0.76300000000000001</v>
      </c>
      <c r="BD1265" t="s">
        <v>65</v>
      </c>
      <c r="BE1265">
        <v>71</v>
      </c>
      <c r="BF1265">
        <v>6</v>
      </c>
      <c r="BG1265" t="s">
        <v>23085</v>
      </c>
      <c r="BH1265" t="s">
        <v>23086</v>
      </c>
      <c r="BI1265" t="s">
        <v>23087</v>
      </c>
      <c r="BJ1265">
        <v>2.351E-2</v>
      </c>
      <c r="BK1265">
        <v>1</v>
      </c>
      <c r="BL1265" t="s">
        <v>69</v>
      </c>
      <c r="BM1265">
        <v>-0.24</v>
      </c>
      <c r="BN1265">
        <v>-0.54300000000000004</v>
      </c>
    </row>
    <row r="1266" spans="2:66">
      <c r="B1266">
        <v>2041</v>
      </c>
      <c r="C1266">
        <v>129</v>
      </c>
      <c r="D1266">
        <v>0</v>
      </c>
      <c r="E1266">
        <v>0</v>
      </c>
      <c r="F1266">
        <v>2</v>
      </c>
      <c r="J1266">
        <v>0</v>
      </c>
      <c r="K1266">
        <v>5</v>
      </c>
      <c r="L1266">
        <v>0</v>
      </c>
      <c r="M1266" t="s">
        <v>25022</v>
      </c>
      <c r="N1266">
        <v>3934</v>
      </c>
      <c r="O1266" t="s">
        <v>23088</v>
      </c>
      <c r="P1266" t="s">
        <v>62</v>
      </c>
      <c r="Q1266">
        <v>3898379</v>
      </c>
      <c r="R1266">
        <v>3899182</v>
      </c>
      <c r="S1266" t="s">
        <v>3798</v>
      </c>
      <c r="T1266">
        <v>268</v>
      </c>
      <c r="U1266" t="s">
        <v>108</v>
      </c>
      <c r="V1266">
        <v>44</v>
      </c>
      <c r="W1266" t="str">
        <f>HYPERLINK("Gene3934-zp_tree_all.dnd", "Gene3934-tree")</f>
        <v>Gene3934-tree</v>
      </c>
      <c r="X1266">
        <v>5</v>
      </c>
      <c r="Y1266">
        <v>30</v>
      </c>
      <c r="Z1266">
        <v>5</v>
      </c>
      <c r="AA1266">
        <v>11</v>
      </c>
      <c r="AB1266">
        <v>0.6875</v>
      </c>
      <c r="AC1266" t="s">
        <v>199</v>
      </c>
      <c r="AD1266" t="s">
        <v>89</v>
      </c>
      <c r="AE1266">
        <v>2.3439999999999999</v>
      </c>
      <c r="AF1266" t="s">
        <v>65</v>
      </c>
      <c r="AG1266">
        <v>2</v>
      </c>
      <c r="AH1266">
        <v>5</v>
      </c>
      <c r="AI1266">
        <v>13</v>
      </c>
      <c r="AJ1266">
        <v>0.27778000000000003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2</v>
      </c>
      <c r="AQ1266">
        <v>0</v>
      </c>
      <c r="AR1266">
        <v>2</v>
      </c>
      <c r="AS1266">
        <v>14</v>
      </c>
      <c r="AT1266">
        <v>0.125</v>
      </c>
      <c r="AU1266">
        <v>13</v>
      </c>
      <c r="AV1266">
        <v>11</v>
      </c>
      <c r="AW1266">
        <v>29</v>
      </c>
      <c r="AX1266">
        <v>13</v>
      </c>
      <c r="AY1266">
        <v>19</v>
      </c>
      <c r="AZ1266">
        <v>5</v>
      </c>
      <c r="BA1266" t="s">
        <v>23089</v>
      </c>
      <c r="BB1266" t="s">
        <v>23090</v>
      </c>
      <c r="BC1266">
        <v>0.55800000000000005</v>
      </c>
      <c r="BD1266" t="s">
        <v>65</v>
      </c>
      <c r="BE1266">
        <v>48</v>
      </c>
      <c r="BF1266">
        <v>18</v>
      </c>
      <c r="BG1266" t="s">
        <v>23091</v>
      </c>
      <c r="BH1266" t="s">
        <v>23092</v>
      </c>
      <c r="BI1266" t="s">
        <v>23093</v>
      </c>
      <c r="BJ1266">
        <v>8.7800000000000003E-2</v>
      </c>
      <c r="BK1266">
        <v>1</v>
      </c>
      <c r="BL1266" t="s">
        <v>69</v>
      </c>
      <c r="BM1266">
        <v>-0.85</v>
      </c>
      <c r="BN1266">
        <v>-1.3959999999999999</v>
      </c>
    </row>
    <row r="1267" spans="2:66">
      <c r="B1267">
        <v>2042</v>
      </c>
      <c r="C1267">
        <v>43</v>
      </c>
      <c r="D1267">
        <v>0</v>
      </c>
      <c r="E1267">
        <v>2</v>
      </c>
      <c r="F1267">
        <v>2</v>
      </c>
      <c r="J1267">
        <v>0</v>
      </c>
      <c r="K1267">
        <v>0</v>
      </c>
      <c r="L1267">
        <v>2</v>
      </c>
      <c r="M1267" t="s">
        <v>25022</v>
      </c>
      <c r="N1267">
        <v>3935</v>
      </c>
      <c r="O1267" t="s">
        <v>23094</v>
      </c>
      <c r="P1267" t="s">
        <v>62</v>
      </c>
      <c r="Q1267">
        <v>3899275</v>
      </c>
      <c r="R1267">
        <v>3899805</v>
      </c>
      <c r="S1267" t="s">
        <v>2075</v>
      </c>
      <c r="T1267">
        <v>177</v>
      </c>
      <c r="U1267" t="s">
        <v>23095</v>
      </c>
      <c r="V1267">
        <v>28</v>
      </c>
      <c r="W1267" t="str">
        <f>HYPERLINK("Gene3935-zp_tree_all.dnd", "Gene3935-tree")</f>
        <v>Gene3935-tree</v>
      </c>
      <c r="X1267">
        <v>4</v>
      </c>
      <c r="Y1267">
        <v>3</v>
      </c>
      <c r="Z1267">
        <v>4</v>
      </c>
      <c r="AA1267">
        <v>3</v>
      </c>
      <c r="AB1267">
        <v>0.42857000000000001</v>
      </c>
      <c r="AC1267" t="s">
        <v>61</v>
      </c>
      <c r="AD1267" t="s">
        <v>324</v>
      </c>
      <c r="AE1267" t="s">
        <v>62</v>
      </c>
      <c r="AF1267" t="s">
        <v>62</v>
      </c>
      <c r="AG1267">
        <v>1</v>
      </c>
      <c r="AH1267">
        <v>2</v>
      </c>
      <c r="AI1267">
        <v>13</v>
      </c>
      <c r="AJ1267">
        <v>0.13333</v>
      </c>
      <c r="AK1267">
        <v>0</v>
      </c>
      <c r="AL1267">
        <v>0</v>
      </c>
      <c r="AM1267">
        <v>0</v>
      </c>
      <c r="AN1267">
        <v>7</v>
      </c>
      <c r="AO1267">
        <v>0</v>
      </c>
      <c r="AP1267">
        <v>0</v>
      </c>
      <c r="AQ1267">
        <v>0</v>
      </c>
      <c r="AR1267">
        <v>0</v>
      </c>
      <c r="AS1267">
        <v>3</v>
      </c>
      <c r="AT1267">
        <v>0</v>
      </c>
      <c r="AU1267">
        <v>5</v>
      </c>
      <c r="AV1267">
        <v>4</v>
      </c>
      <c r="AW1267">
        <v>5</v>
      </c>
      <c r="AX1267">
        <v>2</v>
      </c>
      <c r="AY1267">
        <v>14</v>
      </c>
      <c r="AZ1267">
        <v>14</v>
      </c>
      <c r="BA1267" t="s">
        <v>23096</v>
      </c>
      <c r="BB1267" t="s">
        <v>23097</v>
      </c>
      <c r="BC1267">
        <v>0.502</v>
      </c>
      <c r="BD1267" t="s">
        <v>65</v>
      </c>
      <c r="BE1267">
        <v>19</v>
      </c>
      <c r="BF1267">
        <v>16</v>
      </c>
      <c r="BG1267" t="s">
        <v>23098</v>
      </c>
      <c r="BH1267" t="s">
        <v>23099</v>
      </c>
      <c r="BI1267" t="s">
        <v>23100</v>
      </c>
      <c r="BJ1267">
        <v>0.29282999999999998</v>
      </c>
      <c r="BK1267">
        <v>1</v>
      </c>
      <c r="BL1267" t="s">
        <v>69</v>
      </c>
      <c r="BM1267">
        <v>-1.421</v>
      </c>
      <c r="BN1267">
        <v>0.88900000000000001</v>
      </c>
    </row>
    <row r="1268" spans="2:66">
      <c r="B1268">
        <v>2043</v>
      </c>
      <c r="C1268">
        <v>257</v>
      </c>
      <c r="D1268">
        <v>0</v>
      </c>
      <c r="E1268">
        <v>4</v>
      </c>
      <c r="F1268">
        <v>2</v>
      </c>
      <c r="J1268">
        <v>0</v>
      </c>
      <c r="K1268">
        <v>0</v>
      </c>
      <c r="L1268">
        <v>0</v>
      </c>
      <c r="M1268" t="s">
        <v>25022</v>
      </c>
      <c r="N1268">
        <v>3936</v>
      </c>
      <c r="O1268" t="s">
        <v>23101</v>
      </c>
      <c r="P1268" t="s">
        <v>62</v>
      </c>
      <c r="Q1268">
        <v>3899856</v>
      </c>
      <c r="R1268">
        <v>3900488</v>
      </c>
      <c r="S1268" t="s">
        <v>2075</v>
      </c>
      <c r="T1268">
        <v>211</v>
      </c>
      <c r="U1268" t="s">
        <v>23102</v>
      </c>
      <c r="V1268">
        <v>27</v>
      </c>
      <c r="W1268" t="str">
        <f>HYPERLINK("Gene3936-zp_tree_all.dnd", "Gene3936-tree")</f>
        <v>Gene3936-tree</v>
      </c>
      <c r="X1268">
        <v>22</v>
      </c>
      <c r="Y1268">
        <v>2</v>
      </c>
      <c r="Z1268">
        <v>3</v>
      </c>
      <c r="AA1268">
        <v>2</v>
      </c>
      <c r="AB1268">
        <v>0.4</v>
      </c>
      <c r="AC1268" t="s">
        <v>1005</v>
      </c>
      <c r="AD1268" t="s">
        <v>81</v>
      </c>
      <c r="AE1268" t="s">
        <v>62</v>
      </c>
      <c r="AF1268" t="s">
        <v>62</v>
      </c>
      <c r="AG1268">
        <v>0</v>
      </c>
      <c r="AH1268">
        <v>0</v>
      </c>
      <c r="AI1268">
        <v>2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>
        <v>0</v>
      </c>
      <c r="AU1268">
        <v>3</v>
      </c>
      <c r="AV1268">
        <v>1</v>
      </c>
      <c r="AW1268">
        <v>7</v>
      </c>
      <c r="AX1268">
        <v>1</v>
      </c>
      <c r="AY1268">
        <v>0</v>
      </c>
      <c r="AZ1268">
        <v>1</v>
      </c>
      <c r="BA1268" t="s">
        <v>23103</v>
      </c>
      <c r="BB1268" t="s">
        <v>193</v>
      </c>
      <c r="BC1268">
        <v>0.8</v>
      </c>
      <c r="BD1268" t="s">
        <v>65</v>
      </c>
      <c r="BE1268">
        <v>7</v>
      </c>
      <c r="BF1268">
        <v>2</v>
      </c>
      <c r="BG1268" t="s">
        <v>23104</v>
      </c>
      <c r="BH1268" t="s">
        <v>23105</v>
      </c>
      <c r="BI1268" t="s">
        <v>23106</v>
      </c>
      <c r="BJ1268">
        <v>0.10353999999999999</v>
      </c>
      <c r="BK1268">
        <v>1</v>
      </c>
      <c r="BL1268" t="s">
        <v>69</v>
      </c>
      <c r="BM1268">
        <v>-1.2030000000000001</v>
      </c>
      <c r="BN1268">
        <v>-0.32500000000000001</v>
      </c>
    </row>
    <row r="1269" spans="2:66">
      <c r="B1269">
        <v>2044</v>
      </c>
      <c r="C1269">
        <v>141</v>
      </c>
      <c r="D1269">
        <v>0</v>
      </c>
      <c r="E1269">
        <v>2</v>
      </c>
      <c r="F1269">
        <v>0</v>
      </c>
      <c r="J1269">
        <v>0</v>
      </c>
      <c r="K1269">
        <v>0</v>
      </c>
      <c r="L1269">
        <v>0</v>
      </c>
      <c r="M1269" t="s">
        <v>25022</v>
      </c>
      <c r="N1269">
        <v>3937</v>
      </c>
      <c r="O1269" t="s">
        <v>23107</v>
      </c>
      <c r="P1269" t="s">
        <v>62</v>
      </c>
      <c r="Q1269">
        <v>3900484</v>
      </c>
      <c r="R1269">
        <v>3900819</v>
      </c>
      <c r="S1269" t="s">
        <v>23108</v>
      </c>
      <c r="T1269">
        <v>112</v>
      </c>
      <c r="U1269" t="s">
        <v>23102</v>
      </c>
      <c r="V1269">
        <v>27</v>
      </c>
      <c r="W1269" t="str">
        <f>HYPERLINK("Gene3937-zp_tree_all.dnd", "Gene3937-tree")</f>
        <v>Gene3937-tree</v>
      </c>
      <c r="X1269">
        <v>25</v>
      </c>
      <c r="Y1269">
        <v>1</v>
      </c>
      <c r="Z1269">
        <v>3</v>
      </c>
      <c r="AA1269">
        <v>1</v>
      </c>
      <c r="AB1269">
        <v>0.25</v>
      </c>
      <c r="AC1269" t="s">
        <v>3530</v>
      </c>
      <c r="AD1269" t="s">
        <v>175</v>
      </c>
      <c r="AE1269" t="s">
        <v>62</v>
      </c>
      <c r="AF1269" t="s">
        <v>62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2</v>
      </c>
      <c r="AV1269">
        <v>1</v>
      </c>
      <c r="AW1269">
        <v>1</v>
      </c>
      <c r="AX1269">
        <v>1</v>
      </c>
      <c r="AY1269">
        <v>3</v>
      </c>
      <c r="AZ1269">
        <v>0</v>
      </c>
      <c r="BA1269" t="s">
        <v>23109</v>
      </c>
      <c r="BB1269" t="s">
        <v>193</v>
      </c>
      <c r="BC1269">
        <v>0.70699999999999996</v>
      </c>
      <c r="BD1269" t="s">
        <v>65</v>
      </c>
      <c r="BE1269">
        <v>4</v>
      </c>
      <c r="BF1269">
        <v>1</v>
      </c>
      <c r="BG1269" t="s">
        <v>23110</v>
      </c>
      <c r="BH1269" t="s">
        <v>23111</v>
      </c>
      <c r="BI1269" t="s">
        <v>23112</v>
      </c>
      <c r="BJ1269">
        <v>5.5530000000000003E-2</v>
      </c>
      <c r="BK1269">
        <v>1</v>
      </c>
      <c r="BL1269" t="s">
        <v>69</v>
      </c>
      <c r="BM1269">
        <v>-1.006</v>
      </c>
      <c r="BN1269">
        <v>0.29699999999999999</v>
      </c>
    </row>
    <row r="1270" spans="2:66">
      <c r="B1270">
        <v>2047</v>
      </c>
      <c r="C1270">
        <v>149</v>
      </c>
      <c r="D1270">
        <v>0</v>
      </c>
      <c r="E1270">
        <v>7</v>
      </c>
      <c r="F1270">
        <v>0</v>
      </c>
      <c r="J1270">
        <v>0</v>
      </c>
      <c r="K1270">
        <v>0</v>
      </c>
      <c r="L1270">
        <v>2</v>
      </c>
      <c r="M1270" t="s">
        <v>25022</v>
      </c>
      <c r="N1270">
        <v>3939</v>
      </c>
      <c r="O1270" t="s">
        <v>23120</v>
      </c>
      <c r="P1270" t="s">
        <v>62</v>
      </c>
      <c r="Q1270">
        <v>3901871</v>
      </c>
      <c r="R1270">
        <v>3902116</v>
      </c>
      <c r="S1270" t="s">
        <v>116</v>
      </c>
      <c r="T1270">
        <v>82</v>
      </c>
      <c r="U1270" t="s">
        <v>289</v>
      </c>
      <c r="V1270">
        <v>46</v>
      </c>
      <c r="W1270" t="str">
        <f>HYPERLINK("Gene3939-zp_tree_all.dnd", "Gene3939-tree")</f>
        <v>Gene3939-tree</v>
      </c>
      <c r="X1270">
        <v>32</v>
      </c>
      <c r="Y1270">
        <v>0</v>
      </c>
      <c r="Z1270">
        <v>7</v>
      </c>
      <c r="AA1270">
        <v>0</v>
      </c>
      <c r="AB1270">
        <v>0</v>
      </c>
      <c r="AC1270" t="s">
        <v>5517</v>
      </c>
      <c r="AD1270" t="s">
        <v>62</v>
      </c>
      <c r="AE1270" t="s">
        <v>62</v>
      </c>
      <c r="AF1270" t="s">
        <v>62</v>
      </c>
      <c r="AG1270">
        <v>1</v>
      </c>
      <c r="AH1270">
        <v>2</v>
      </c>
      <c r="AI1270">
        <v>2</v>
      </c>
      <c r="AJ1270">
        <v>0.5</v>
      </c>
      <c r="AK1270">
        <v>0</v>
      </c>
      <c r="AL1270">
        <v>0</v>
      </c>
      <c r="AM1270">
        <v>0</v>
      </c>
      <c r="AN1270">
        <v>3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4</v>
      </c>
      <c r="AV1270">
        <v>3</v>
      </c>
      <c r="AW1270">
        <v>4</v>
      </c>
      <c r="AX1270">
        <v>0</v>
      </c>
      <c r="AY1270">
        <v>6</v>
      </c>
      <c r="AZ1270">
        <v>4</v>
      </c>
      <c r="BA1270" t="s">
        <v>193</v>
      </c>
      <c r="BB1270" t="s">
        <v>23121</v>
      </c>
      <c r="BC1270">
        <v>0.83399999999999996</v>
      </c>
      <c r="BD1270" t="s">
        <v>65</v>
      </c>
      <c r="BE1270">
        <v>10</v>
      </c>
      <c r="BF1270">
        <v>4</v>
      </c>
      <c r="BG1270" t="s">
        <v>23122</v>
      </c>
      <c r="BH1270" t="s">
        <v>23123</v>
      </c>
      <c r="BI1270" t="s">
        <v>23124</v>
      </c>
      <c r="BJ1270">
        <v>9.8739999999999994E-2</v>
      </c>
      <c r="BK1270">
        <v>1</v>
      </c>
      <c r="BL1270" t="s">
        <v>69</v>
      </c>
      <c r="BM1270">
        <v>-1.323</v>
      </c>
      <c r="BN1270">
        <v>1.2E-2</v>
      </c>
    </row>
    <row r="1271" spans="2:66">
      <c r="B1271">
        <v>2049</v>
      </c>
      <c r="C1271">
        <v>26</v>
      </c>
      <c r="D1271">
        <v>0</v>
      </c>
      <c r="E1271">
        <v>0</v>
      </c>
      <c r="F1271">
        <v>2</v>
      </c>
      <c r="J1271">
        <v>7</v>
      </c>
      <c r="K1271">
        <v>34</v>
      </c>
      <c r="L1271">
        <v>6</v>
      </c>
      <c r="M1271" t="s">
        <v>25022</v>
      </c>
      <c r="N1271">
        <v>3940</v>
      </c>
      <c r="O1271" t="s">
        <v>23125</v>
      </c>
      <c r="P1271" t="s">
        <v>62</v>
      </c>
      <c r="Q1271">
        <v>3902213</v>
      </c>
      <c r="R1271">
        <v>3903649</v>
      </c>
      <c r="S1271" t="s">
        <v>23126</v>
      </c>
      <c r="T1271">
        <v>479</v>
      </c>
      <c r="U1271" t="s">
        <v>108</v>
      </c>
      <c r="V1271">
        <v>44</v>
      </c>
      <c r="W1271" t="str">
        <f>HYPERLINK("Gene3940-zp_tree_all.dnd", "Gene3940-tree")</f>
        <v>Gene3940-tree</v>
      </c>
      <c r="X1271">
        <v>2</v>
      </c>
      <c r="Y1271">
        <v>16</v>
      </c>
      <c r="Z1271">
        <v>2</v>
      </c>
      <c r="AA1271">
        <v>13</v>
      </c>
      <c r="AB1271">
        <v>0.86667000000000005</v>
      </c>
      <c r="AC1271" t="s">
        <v>81</v>
      </c>
      <c r="AD1271" t="s">
        <v>23127</v>
      </c>
      <c r="AE1271">
        <v>9.6229999999999993</v>
      </c>
      <c r="AF1271" t="s">
        <v>267</v>
      </c>
      <c r="AG1271">
        <v>19</v>
      </c>
      <c r="AH1271">
        <v>47</v>
      </c>
      <c r="AI1271">
        <v>23</v>
      </c>
      <c r="AJ1271">
        <v>0.67142999999999997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6</v>
      </c>
      <c r="AQ1271">
        <v>10</v>
      </c>
      <c r="AR1271">
        <v>16</v>
      </c>
      <c r="AS1271">
        <v>22</v>
      </c>
      <c r="AT1271">
        <v>0.42104999999999998</v>
      </c>
      <c r="AU1271">
        <v>14</v>
      </c>
      <c r="AV1271">
        <v>12</v>
      </c>
      <c r="AW1271">
        <v>58</v>
      </c>
      <c r="AX1271">
        <v>38</v>
      </c>
      <c r="AY1271">
        <v>64</v>
      </c>
      <c r="AZ1271">
        <v>33</v>
      </c>
      <c r="BA1271" t="s">
        <v>23128</v>
      </c>
      <c r="BB1271" t="s">
        <v>23129</v>
      </c>
      <c r="BC1271">
        <v>0.41499999999999998</v>
      </c>
      <c r="BD1271" t="s">
        <v>65</v>
      </c>
      <c r="BE1271">
        <v>122</v>
      </c>
      <c r="BF1271">
        <v>71</v>
      </c>
      <c r="BG1271" t="s">
        <v>23130</v>
      </c>
      <c r="BH1271" t="s">
        <v>23131</v>
      </c>
      <c r="BI1271" t="s">
        <v>23132</v>
      </c>
      <c r="BJ1271">
        <v>0.14382</v>
      </c>
      <c r="BK1271">
        <v>1</v>
      </c>
      <c r="BL1271" t="s">
        <v>69</v>
      </c>
      <c r="BM1271">
        <v>0.312</v>
      </c>
      <c r="BN1271">
        <v>-7.6999999999999999E-2</v>
      </c>
    </row>
    <row r="1272" spans="2:66">
      <c r="B1272">
        <v>2050</v>
      </c>
      <c r="C1272">
        <v>205</v>
      </c>
      <c r="D1272">
        <v>0</v>
      </c>
      <c r="E1272">
        <v>2</v>
      </c>
      <c r="F1272">
        <v>1</v>
      </c>
      <c r="J1272">
        <v>2</v>
      </c>
      <c r="K1272">
        <v>7</v>
      </c>
      <c r="L1272">
        <v>3</v>
      </c>
      <c r="M1272" t="s">
        <v>25022</v>
      </c>
      <c r="N1272">
        <v>3941</v>
      </c>
      <c r="O1272" t="s">
        <v>23133</v>
      </c>
      <c r="P1272" t="s">
        <v>62</v>
      </c>
      <c r="Q1272">
        <v>3903649</v>
      </c>
      <c r="R1272">
        <v>3905031</v>
      </c>
      <c r="S1272" t="s">
        <v>23134</v>
      </c>
      <c r="T1272">
        <v>461</v>
      </c>
      <c r="U1272" t="s">
        <v>23135</v>
      </c>
      <c r="V1272">
        <v>39</v>
      </c>
      <c r="W1272" t="str">
        <f>HYPERLINK("Gene3941-zp_tree_all.dnd", "Gene3941-tree")</f>
        <v>Gene3941-tree</v>
      </c>
      <c r="X1272">
        <v>23</v>
      </c>
      <c r="Y1272">
        <v>7</v>
      </c>
      <c r="Z1272">
        <v>9</v>
      </c>
      <c r="AA1272">
        <v>7</v>
      </c>
      <c r="AB1272">
        <v>0.4375</v>
      </c>
      <c r="AC1272" t="s">
        <v>13718</v>
      </c>
      <c r="AD1272" t="s">
        <v>152</v>
      </c>
      <c r="AE1272" t="s">
        <v>62</v>
      </c>
      <c r="AF1272" t="s">
        <v>62</v>
      </c>
      <c r="AG1272">
        <v>5</v>
      </c>
      <c r="AH1272">
        <v>12</v>
      </c>
      <c r="AI1272">
        <v>9</v>
      </c>
      <c r="AJ1272">
        <v>0.57142999999999999</v>
      </c>
      <c r="AK1272">
        <v>0</v>
      </c>
      <c r="AL1272">
        <v>0</v>
      </c>
      <c r="AM1272">
        <v>0</v>
      </c>
      <c r="AN1272">
        <v>2</v>
      </c>
      <c r="AO1272">
        <v>0</v>
      </c>
      <c r="AP1272">
        <v>0</v>
      </c>
      <c r="AQ1272">
        <v>2</v>
      </c>
      <c r="AR1272">
        <v>2</v>
      </c>
      <c r="AS1272">
        <v>10</v>
      </c>
      <c r="AT1272">
        <v>0.16667000000000001</v>
      </c>
      <c r="AU1272">
        <v>13</v>
      </c>
      <c r="AV1272">
        <v>13</v>
      </c>
      <c r="AW1272">
        <v>70</v>
      </c>
      <c r="AX1272">
        <v>9</v>
      </c>
      <c r="AY1272">
        <v>95</v>
      </c>
      <c r="AZ1272">
        <v>14</v>
      </c>
      <c r="BA1272" t="s">
        <v>23136</v>
      </c>
      <c r="BB1272" t="s">
        <v>23137</v>
      </c>
      <c r="BC1272">
        <v>0.14099999999999999</v>
      </c>
      <c r="BD1272" t="s">
        <v>65</v>
      </c>
      <c r="BE1272">
        <v>165</v>
      </c>
      <c r="BF1272">
        <v>23</v>
      </c>
      <c r="BG1272" t="s">
        <v>23138</v>
      </c>
      <c r="BH1272" t="s">
        <v>23139</v>
      </c>
      <c r="BI1272" t="s">
        <v>23140</v>
      </c>
      <c r="BJ1272">
        <v>4.1360000000000001E-2</v>
      </c>
      <c r="BK1272">
        <v>1</v>
      </c>
      <c r="BL1272" t="s">
        <v>69</v>
      </c>
      <c r="BM1272">
        <v>-0.43099999999999999</v>
      </c>
      <c r="BN1272">
        <v>-0.442</v>
      </c>
    </row>
    <row r="1273" spans="2:66">
      <c r="B1273">
        <v>2053</v>
      </c>
      <c r="C1273">
        <v>403</v>
      </c>
      <c r="D1273">
        <v>0</v>
      </c>
      <c r="E1273">
        <v>4</v>
      </c>
      <c r="F1273">
        <v>2</v>
      </c>
      <c r="J1273">
        <v>0</v>
      </c>
      <c r="K1273">
        <v>0</v>
      </c>
      <c r="L1273">
        <v>0</v>
      </c>
      <c r="M1273" t="s">
        <v>25022</v>
      </c>
      <c r="N1273">
        <v>3943</v>
      </c>
      <c r="O1273" t="s">
        <v>23150</v>
      </c>
      <c r="P1273" t="s">
        <v>62</v>
      </c>
      <c r="Q1273">
        <v>3906145</v>
      </c>
      <c r="R1273">
        <v>3906972</v>
      </c>
      <c r="S1273" t="s">
        <v>23151</v>
      </c>
      <c r="T1273">
        <v>276</v>
      </c>
      <c r="U1273" t="s">
        <v>23152</v>
      </c>
      <c r="V1273">
        <v>43</v>
      </c>
      <c r="W1273" t="str">
        <f>HYPERLINK("Gene3943-zp_tree_all.dnd", "Gene3943-tree")</f>
        <v>Gene3943-tree</v>
      </c>
      <c r="X1273">
        <v>14</v>
      </c>
      <c r="Y1273">
        <v>4</v>
      </c>
      <c r="Z1273">
        <v>14</v>
      </c>
      <c r="AA1273">
        <v>4</v>
      </c>
      <c r="AB1273">
        <v>0.22222</v>
      </c>
      <c r="AC1273" t="s">
        <v>543</v>
      </c>
      <c r="AD1273" t="s">
        <v>61</v>
      </c>
      <c r="AE1273" t="s">
        <v>62</v>
      </c>
      <c r="AF1273" t="s">
        <v>62</v>
      </c>
      <c r="AG1273">
        <v>0</v>
      </c>
      <c r="AH1273">
        <v>0</v>
      </c>
      <c r="AI1273">
        <v>11</v>
      </c>
      <c r="AJ1273">
        <v>0</v>
      </c>
      <c r="AK1273">
        <v>0</v>
      </c>
      <c r="AL1273">
        <v>0</v>
      </c>
      <c r="AM1273">
        <v>0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5</v>
      </c>
      <c r="AT1273">
        <v>0</v>
      </c>
      <c r="AU1273">
        <v>13</v>
      </c>
      <c r="AV1273">
        <v>12</v>
      </c>
      <c r="AW1273">
        <v>27</v>
      </c>
      <c r="AX1273">
        <v>3</v>
      </c>
      <c r="AY1273">
        <v>37</v>
      </c>
      <c r="AZ1273">
        <v>9</v>
      </c>
      <c r="BA1273" t="s">
        <v>23153</v>
      </c>
      <c r="BB1273" t="s">
        <v>23154</v>
      </c>
      <c r="BC1273">
        <v>0.57399999999999995</v>
      </c>
      <c r="BD1273" t="s">
        <v>65</v>
      </c>
      <c r="BE1273">
        <v>64</v>
      </c>
      <c r="BF1273">
        <v>12</v>
      </c>
      <c r="BG1273" t="s">
        <v>23155</v>
      </c>
      <c r="BH1273" t="s">
        <v>23156</v>
      </c>
      <c r="BI1273" t="s">
        <v>23157</v>
      </c>
      <c r="BJ1273">
        <v>5.6890000000000003E-2</v>
      </c>
      <c r="BK1273">
        <v>1</v>
      </c>
      <c r="BL1273" t="s">
        <v>69</v>
      </c>
      <c r="BM1273">
        <v>-0.65500000000000003</v>
      </c>
      <c r="BN1273">
        <v>7.0999999999999994E-2</v>
      </c>
    </row>
    <row r="1274" spans="2:66">
      <c r="B1274">
        <v>2054</v>
      </c>
      <c r="C1274">
        <v>61</v>
      </c>
      <c r="D1274">
        <v>0</v>
      </c>
      <c r="E1274">
        <v>2</v>
      </c>
      <c r="F1274">
        <v>4</v>
      </c>
      <c r="J1274">
        <v>0</v>
      </c>
      <c r="K1274">
        <v>0</v>
      </c>
      <c r="L1274">
        <v>0</v>
      </c>
      <c r="M1274" t="s">
        <v>25022</v>
      </c>
      <c r="N1274">
        <v>3944</v>
      </c>
      <c r="O1274" t="s">
        <v>23158</v>
      </c>
      <c r="P1274" t="s">
        <v>62</v>
      </c>
      <c r="Q1274">
        <v>3907015</v>
      </c>
      <c r="R1274">
        <v>3907314</v>
      </c>
      <c r="S1274" t="s">
        <v>116</v>
      </c>
      <c r="T1274">
        <v>100</v>
      </c>
      <c r="U1274" t="s">
        <v>59</v>
      </c>
      <c r="V1274">
        <v>49</v>
      </c>
      <c r="W1274" t="str">
        <f>HYPERLINK("Gene3944-zp_tree_all.dnd", "Gene3944-tree")</f>
        <v>Gene3944-tree</v>
      </c>
      <c r="X1274">
        <v>10</v>
      </c>
      <c r="Y1274">
        <v>3</v>
      </c>
      <c r="Z1274">
        <v>10</v>
      </c>
      <c r="AA1274">
        <v>3</v>
      </c>
      <c r="AB1274">
        <v>0.23077</v>
      </c>
      <c r="AC1274" t="s">
        <v>117</v>
      </c>
      <c r="AD1274" t="s">
        <v>324</v>
      </c>
      <c r="AE1274" t="s">
        <v>62</v>
      </c>
      <c r="AF1274" t="s">
        <v>62</v>
      </c>
      <c r="AG1274">
        <v>0</v>
      </c>
      <c r="AH1274">
        <v>0</v>
      </c>
      <c r="AI1274">
        <v>4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4</v>
      </c>
      <c r="AT1274">
        <v>0</v>
      </c>
      <c r="AU1274">
        <v>8</v>
      </c>
      <c r="AV1274">
        <v>7</v>
      </c>
      <c r="AW1274">
        <v>9</v>
      </c>
      <c r="AX1274">
        <v>3</v>
      </c>
      <c r="AY1274">
        <v>11</v>
      </c>
      <c r="AZ1274">
        <v>1</v>
      </c>
      <c r="BA1274" t="s">
        <v>23159</v>
      </c>
      <c r="BB1274" t="s">
        <v>23160</v>
      </c>
      <c r="BC1274">
        <v>0.45400000000000001</v>
      </c>
      <c r="BD1274" t="s">
        <v>65</v>
      </c>
      <c r="BE1274">
        <v>20</v>
      </c>
      <c r="BF1274">
        <v>4</v>
      </c>
      <c r="BG1274" t="s">
        <v>23161</v>
      </c>
      <c r="BH1274" t="s">
        <v>23162</v>
      </c>
      <c r="BI1274" t="s">
        <v>23163</v>
      </c>
      <c r="BJ1274">
        <v>3.7490000000000002E-2</v>
      </c>
      <c r="BK1274">
        <v>1</v>
      </c>
      <c r="BL1274" t="s">
        <v>69</v>
      </c>
      <c r="BM1274">
        <v>-0.751</v>
      </c>
      <c r="BN1274">
        <v>-1.012</v>
      </c>
    </row>
    <row r="1275" spans="2:66">
      <c r="B1275">
        <v>2055</v>
      </c>
      <c r="C1275">
        <v>315</v>
      </c>
      <c r="D1275">
        <v>0</v>
      </c>
      <c r="E1275">
        <v>9</v>
      </c>
      <c r="F1275">
        <v>0</v>
      </c>
      <c r="J1275">
        <v>0</v>
      </c>
      <c r="K1275">
        <v>4</v>
      </c>
      <c r="L1275">
        <v>0</v>
      </c>
      <c r="M1275" t="s">
        <v>25022</v>
      </c>
      <c r="N1275">
        <v>3946</v>
      </c>
      <c r="O1275" t="s">
        <v>23171</v>
      </c>
      <c r="P1275" t="s">
        <v>62</v>
      </c>
      <c r="Q1275">
        <v>3910305</v>
      </c>
      <c r="R1275">
        <v>3911303</v>
      </c>
      <c r="S1275" t="s">
        <v>23172</v>
      </c>
      <c r="T1275">
        <v>333</v>
      </c>
      <c r="U1275" t="s">
        <v>108</v>
      </c>
      <c r="V1275">
        <v>44</v>
      </c>
      <c r="W1275" t="str">
        <f>HYPERLINK("Gene3946-zp_tree_all.dnd", "Gene3946-tree")</f>
        <v>Gene3946-tree</v>
      </c>
      <c r="X1275">
        <v>4</v>
      </c>
      <c r="Y1275">
        <v>11</v>
      </c>
      <c r="Z1275">
        <v>4</v>
      </c>
      <c r="AA1275">
        <v>11</v>
      </c>
      <c r="AB1275">
        <v>0.73333000000000004</v>
      </c>
      <c r="AC1275" t="s">
        <v>61</v>
      </c>
      <c r="AD1275" t="s">
        <v>73</v>
      </c>
      <c r="AE1275">
        <v>200307210.301</v>
      </c>
      <c r="AF1275" t="s">
        <v>267</v>
      </c>
      <c r="AG1275">
        <v>2</v>
      </c>
      <c r="AH1275">
        <v>4</v>
      </c>
      <c r="AI1275">
        <v>17</v>
      </c>
      <c r="AJ1275">
        <v>0.19048000000000001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4</v>
      </c>
      <c r="AQ1275">
        <v>0</v>
      </c>
      <c r="AR1275">
        <v>4</v>
      </c>
      <c r="AS1275">
        <v>15</v>
      </c>
      <c r="AT1275">
        <v>0.21052999999999999</v>
      </c>
      <c r="AU1275">
        <v>13</v>
      </c>
      <c r="AV1275">
        <v>10</v>
      </c>
      <c r="AW1275">
        <v>35</v>
      </c>
      <c r="AX1275">
        <v>19</v>
      </c>
      <c r="AY1275">
        <v>39</v>
      </c>
      <c r="AZ1275">
        <v>2</v>
      </c>
      <c r="BA1275" t="s">
        <v>23173</v>
      </c>
      <c r="BB1275" t="s">
        <v>23174</v>
      </c>
      <c r="BC1275">
        <v>1.956</v>
      </c>
      <c r="BD1275" t="s">
        <v>65</v>
      </c>
      <c r="BE1275">
        <v>74</v>
      </c>
      <c r="BF1275">
        <v>21</v>
      </c>
      <c r="BG1275" t="s">
        <v>23175</v>
      </c>
      <c r="BH1275" t="s">
        <v>23176</v>
      </c>
      <c r="BI1275" t="s">
        <v>23177</v>
      </c>
      <c r="BJ1275">
        <v>7.3109999999999994E-2</v>
      </c>
      <c r="BK1275">
        <v>1</v>
      </c>
      <c r="BL1275" t="s">
        <v>69</v>
      </c>
      <c r="BM1275">
        <v>-0.47699999999999998</v>
      </c>
      <c r="BN1275">
        <v>0.24399999999999999</v>
      </c>
    </row>
    <row r="1276" spans="2:66">
      <c r="B1276">
        <v>2056</v>
      </c>
      <c r="C1276">
        <v>17</v>
      </c>
      <c r="D1276">
        <v>0</v>
      </c>
      <c r="E1276">
        <v>2</v>
      </c>
      <c r="F1276">
        <v>0</v>
      </c>
      <c r="J1276">
        <v>0</v>
      </c>
      <c r="K1276">
        <v>0</v>
      </c>
      <c r="L1276">
        <v>0</v>
      </c>
      <c r="M1276" t="s">
        <v>25022</v>
      </c>
      <c r="N1276">
        <v>3947</v>
      </c>
      <c r="O1276" t="s">
        <v>23178</v>
      </c>
      <c r="P1276" t="s">
        <v>62</v>
      </c>
      <c r="Q1276">
        <v>3911480</v>
      </c>
      <c r="R1276">
        <v>3912226</v>
      </c>
      <c r="S1276" t="s">
        <v>23179</v>
      </c>
      <c r="T1276">
        <v>249</v>
      </c>
      <c r="U1276" t="s">
        <v>108</v>
      </c>
      <c r="V1276">
        <v>44</v>
      </c>
      <c r="W1276" t="str">
        <f>HYPERLINK("Gene3947-zp_tree_all.dnd", "Gene3947-tree")</f>
        <v>Gene3947-tree</v>
      </c>
      <c r="X1276">
        <v>27</v>
      </c>
      <c r="Y1276">
        <v>5</v>
      </c>
      <c r="Z1276">
        <v>10</v>
      </c>
      <c r="AA1276">
        <v>5</v>
      </c>
      <c r="AB1276">
        <v>0.33333000000000002</v>
      </c>
      <c r="AC1276" t="s">
        <v>2980</v>
      </c>
      <c r="AD1276" t="s">
        <v>199</v>
      </c>
      <c r="AE1276" t="s">
        <v>62</v>
      </c>
      <c r="AF1276" t="s">
        <v>62</v>
      </c>
      <c r="AG1276">
        <v>0</v>
      </c>
      <c r="AH1276">
        <v>0</v>
      </c>
      <c r="AI1276">
        <v>7</v>
      </c>
      <c r="AJ1276">
        <v>0</v>
      </c>
      <c r="AK1276">
        <v>0</v>
      </c>
      <c r="AL1276">
        <v>0</v>
      </c>
      <c r="AM1276">
        <v>0</v>
      </c>
      <c r="AN1276">
        <v>2</v>
      </c>
      <c r="AO1276">
        <v>0</v>
      </c>
      <c r="AP1276">
        <v>0</v>
      </c>
      <c r="AQ1276">
        <v>0</v>
      </c>
      <c r="AR1276">
        <v>0</v>
      </c>
      <c r="AS1276">
        <v>5</v>
      </c>
      <c r="AT1276">
        <v>0</v>
      </c>
      <c r="AU1276">
        <v>9</v>
      </c>
      <c r="AV1276">
        <v>6</v>
      </c>
      <c r="AW1276">
        <v>14</v>
      </c>
      <c r="AX1276">
        <v>3</v>
      </c>
      <c r="AY1276">
        <v>8</v>
      </c>
      <c r="AZ1276">
        <v>4</v>
      </c>
      <c r="BA1276" t="s">
        <v>23180</v>
      </c>
      <c r="BB1276" t="s">
        <v>23181</v>
      </c>
      <c r="BC1276">
        <v>0.55300000000000005</v>
      </c>
      <c r="BD1276" t="s">
        <v>65</v>
      </c>
      <c r="BE1276">
        <v>22</v>
      </c>
      <c r="BF1276">
        <v>7</v>
      </c>
      <c r="BG1276" t="s">
        <v>23182</v>
      </c>
      <c r="BH1276" t="s">
        <v>23183</v>
      </c>
      <c r="BI1276" t="s">
        <v>23184</v>
      </c>
      <c r="BJ1276">
        <v>0.11219999999999999</v>
      </c>
      <c r="BK1276">
        <v>1</v>
      </c>
      <c r="BL1276" t="s">
        <v>69</v>
      </c>
      <c r="BM1276">
        <v>-0.89300000000000002</v>
      </c>
      <c r="BN1276">
        <v>-1.4670000000000001</v>
      </c>
    </row>
    <row r="1277" spans="2:66">
      <c r="B1277">
        <v>2057</v>
      </c>
      <c r="C1277">
        <v>214</v>
      </c>
      <c r="D1277">
        <v>0</v>
      </c>
      <c r="E1277">
        <v>4</v>
      </c>
      <c r="F1277">
        <v>4</v>
      </c>
      <c r="J1277">
        <v>0</v>
      </c>
      <c r="K1277">
        <v>2</v>
      </c>
      <c r="L1277">
        <v>0</v>
      </c>
      <c r="M1277" t="s">
        <v>25022</v>
      </c>
      <c r="N1277">
        <v>3948</v>
      </c>
      <c r="O1277" t="s">
        <v>23185</v>
      </c>
      <c r="P1277" t="s">
        <v>62</v>
      </c>
      <c r="Q1277">
        <v>3912335</v>
      </c>
      <c r="R1277">
        <v>3913513</v>
      </c>
      <c r="S1277" t="s">
        <v>23186</v>
      </c>
      <c r="T1277">
        <v>393</v>
      </c>
      <c r="U1277" t="s">
        <v>1174</v>
      </c>
      <c r="V1277">
        <v>42</v>
      </c>
      <c r="W1277" t="str">
        <f>HYPERLINK("Gene3948-zp_tree_all.dnd", "Gene3948-tree")</f>
        <v>Gene3948-tree</v>
      </c>
      <c r="X1277">
        <v>29</v>
      </c>
      <c r="Y1277">
        <v>2</v>
      </c>
      <c r="Z1277">
        <v>11</v>
      </c>
      <c r="AA1277">
        <v>2</v>
      </c>
      <c r="AB1277">
        <v>0.15384999999999999</v>
      </c>
      <c r="AC1277" t="s">
        <v>2086</v>
      </c>
      <c r="AD1277" t="s">
        <v>81</v>
      </c>
      <c r="AE1277" t="s">
        <v>62</v>
      </c>
      <c r="AF1277" t="s">
        <v>62</v>
      </c>
      <c r="AG1277">
        <v>1</v>
      </c>
      <c r="AH1277">
        <v>2</v>
      </c>
      <c r="AI1277">
        <v>3</v>
      </c>
      <c r="AJ1277">
        <v>0.4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3</v>
      </c>
      <c r="AT1277">
        <v>0</v>
      </c>
      <c r="AU1277">
        <v>10</v>
      </c>
      <c r="AV1277">
        <v>10</v>
      </c>
      <c r="AW1277">
        <v>30</v>
      </c>
      <c r="AX1277">
        <v>3</v>
      </c>
      <c r="AY1277">
        <v>21</v>
      </c>
      <c r="AZ1277">
        <v>2</v>
      </c>
      <c r="BA1277" t="s">
        <v>23187</v>
      </c>
      <c r="BB1277" t="s">
        <v>23188</v>
      </c>
      <c r="BC1277">
        <v>2.1999999999999999E-2</v>
      </c>
      <c r="BD1277" t="s">
        <v>65</v>
      </c>
      <c r="BE1277">
        <v>51</v>
      </c>
      <c r="BF1277">
        <v>5</v>
      </c>
      <c r="BG1277" t="s">
        <v>23189</v>
      </c>
      <c r="BH1277" t="s">
        <v>23190</v>
      </c>
      <c r="BI1277" t="s">
        <v>23191</v>
      </c>
      <c r="BJ1277">
        <v>3.5700000000000003E-2</v>
      </c>
      <c r="BK1277">
        <v>1</v>
      </c>
      <c r="BL1277" t="s">
        <v>69</v>
      </c>
      <c r="BM1277">
        <v>-0.66800000000000004</v>
      </c>
      <c r="BN1277">
        <v>-0.48799999999999999</v>
      </c>
    </row>
    <row r="1278" spans="2:66">
      <c r="B1278">
        <v>2058</v>
      </c>
      <c r="C1278">
        <v>339</v>
      </c>
      <c r="D1278">
        <v>0</v>
      </c>
      <c r="E1278">
        <v>14</v>
      </c>
      <c r="F1278">
        <v>2</v>
      </c>
      <c r="J1278">
        <v>0</v>
      </c>
      <c r="K1278">
        <v>0</v>
      </c>
      <c r="L1278">
        <v>0</v>
      </c>
      <c r="M1278" t="s">
        <v>25022</v>
      </c>
      <c r="N1278">
        <v>3950</v>
      </c>
      <c r="O1278" t="s">
        <v>23196</v>
      </c>
      <c r="P1278" t="s">
        <v>62</v>
      </c>
      <c r="Q1278">
        <v>3914318</v>
      </c>
      <c r="R1278">
        <v>3914689</v>
      </c>
      <c r="S1278" t="s">
        <v>23197</v>
      </c>
      <c r="T1278">
        <v>124</v>
      </c>
      <c r="U1278" t="s">
        <v>698</v>
      </c>
      <c r="V1278">
        <v>47</v>
      </c>
      <c r="W1278" t="str">
        <f>HYPERLINK("Gene3950-zp_tree_all.dnd", "Gene3950-tree")</f>
        <v>Gene3950-tree</v>
      </c>
      <c r="X1278">
        <v>40</v>
      </c>
      <c r="Y1278">
        <v>1</v>
      </c>
      <c r="Z1278">
        <v>11</v>
      </c>
      <c r="AA1278">
        <v>1</v>
      </c>
      <c r="AB1278">
        <v>8.3330000000000001E-2</v>
      </c>
      <c r="AC1278" t="s">
        <v>23198</v>
      </c>
      <c r="AD1278" t="s">
        <v>175</v>
      </c>
      <c r="AE1278" t="s">
        <v>62</v>
      </c>
      <c r="AF1278" t="s">
        <v>62</v>
      </c>
      <c r="AG1278">
        <v>0</v>
      </c>
      <c r="AH1278">
        <v>0</v>
      </c>
      <c r="AI1278">
        <v>4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>
        <v>0</v>
      </c>
      <c r="AU1278">
        <v>9</v>
      </c>
      <c r="AV1278">
        <v>6</v>
      </c>
      <c r="AW1278">
        <v>18</v>
      </c>
      <c r="AX1278">
        <v>2</v>
      </c>
      <c r="AY1278">
        <v>14</v>
      </c>
      <c r="AZ1278">
        <v>4</v>
      </c>
      <c r="BA1278" t="s">
        <v>23199</v>
      </c>
      <c r="BB1278" t="s">
        <v>23200</v>
      </c>
      <c r="BC1278">
        <v>0.41399999999999998</v>
      </c>
      <c r="BD1278" t="s">
        <v>65</v>
      </c>
      <c r="BE1278">
        <v>32</v>
      </c>
      <c r="BF1278">
        <v>6</v>
      </c>
      <c r="BG1278" t="s">
        <v>23201</v>
      </c>
      <c r="BH1278" t="s">
        <v>23202</v>
      </c>
      <c r="BI1278" t="s">
        <v>23203</v>
      </c>
      <c r="BJ1278">
        <v>7.1290000000000006E-2</v>
      </c>
      <c r="BK1278">
        <v>1</v>
      </c>
      <c r="BL1278" t="s">
        <v>69</v>
      </c>
      <c r="BM1278">
        <v>-1.2689999999999999</v>
      </c>
      <c r="BN1278">
        <v>-0.504</v>
      </c>
    </row>
    <row r="1279" spans="2:66">
      <c r="B1279">
        <v>2060</v>
      </c>
      <c r="C1279">
        <v>125</v>
      </c>
      <c r="D1279">
        <v>0</v>
      </c>
      <c r="E1279">
        <v>5</v>
      </c>
      <c r="F1279">
        <v>1</v>
      </c>
      <c r="J1279">
        <v>0</v>
      </c>
      <c r="K1279">
        <v>0</v>
      </c>
      <c r="L1279">
        <v>0</v>
      </c>
      <c r="M1279" t="s">
        <v>25022</v>
      </c>
      <c r="N1279">
        <v>3951</v>
      </c>
      <c r="O1279" t="s">
        <v>23204</v>
      </c>
      <c r="P1279" t="s">
        <v>62</v>
      </c>
      <c r="Q1279">
        <v>3914694</v>
      </c>
      <c r="R1279">
        <v>3915305</v>
      </c>
      <c r="S1279" t="s">
        <v>23205</v>
      </c>
      <c r="T1279">
        <v>204</v>
      </c>
      <c r="U1279" t="s">
        <v>59</v>
      </c>
      <c r="V1279">
        <v>49</v>
      </c>
      <c r="W1279" t="str">
        <f>HYPERLINK("Gene3951-zp_tree_all.dnd", "Gene3951-tree")</f>
        <v>Gene3951-tree</v>
      </c>
      <c r="X1279">
        <v>43</v>
      </c>
      <c r="Y1279">
        <v>0</v>
      </c>
      <c r="Z1279">
        <v>10</v>
      </c>
      <c r="AA1279">
        <v>0</v>
      </c>
      <c r="AB1279">
        <v>0</v>
      </c>
      <c r="AC1279" t="s">
        <v>23206</v>
      </c>
      <c r="AD1279" t="s">
        <v>62</v>
      </c>
      <c r="AE1279" t="s">
        <v>62</v>
      </c>
      <c r="AF1279" t="s">
        <v>62</v>
      </c>
      <c r="AG1279">
        <v>0</v>
      </c>
      <c r="AH1279">
        <v>0</v>
      </c>
      <c r="AI1279">
        <v>4</v>
      </c>
      <c r="AJ1279">
        <v>0</v>
      </c>
      <c r="AK1279">
        <v>0</v>
      </c>
      <c r="AL1279">
        <v>0</v>
      </c>
      <c r="AM1279">
        <v>0</v>
      </c>
      <c r="AN1279">
        <v>2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9</v>
      </c>
      <c r="AV1279">
        <v>4</v>
      </c>
      <c r="AW1279">
        <v>18</v>
      </c>
      <c r="AX1279">
        <v>0</v>
      </c>
      <c r="AY1279">
        <v>12</v>
      </c>
      <c r="AZ1279">
        <v>4</v>
      </c>
      <c r="BA1279" t="s">
        <v>193</v>
      </c>
      <c r="BB1279" t="s">
        <v>23207</v>
      </c>
      <c r="BC1279">
        <v>1.615</v>
      </c>
      <c r="BD1279" t="s">
        <v>65</v>
      </c>
      <c r="BE1279">
        <v>30</v>
      </c>
      <c r="BF1279">
        <v>4</v>
      </c>
      <c r="BG1279" t="s">
        <v>23208</v>
      </c>
      <c r="BH1279" t="s">
        <v>23209</v>
      </c>
      <c r="BI1279" t="s">
        <v>23210</v>
      </c>
      <c r="BJ1279">
        <v>6.9650000000000004E-2</v>
      </c>
      <c r="BK1279">
        <v>1</v>
      </c>
      <c r="BL1279" t="s">
        <v>69</v>
      </c>
      <c r="BM1279">
        <v>-0.88200000000000001</v>
      </c>
      <c r="BN1279">
        <v>5.2999999999999999E-2</v>
      </c>
    </row>
    <row r="1280" spans="2:66">
      <c r="B1280">
        <v>2061</v>
      </c>
      <c r="C1280">
        <v>338</v>
      </c>
      <c r="D1280">
        <v>0</v>
      </c>
      <c r="E1280">
        <v>3</v>
      </c>
      <c r="F1280">
        <v>1</v>
      </c>
      <c r="J1280">
        <v>0</v>
      </c>
      <c r="K1280">
        <v>0</v>
      </c>
      <c r="L1280">
        <v>0</v>
      </c>
      <c r="M1280" t="s">
        <v>25022</v>
      </c>
      <c r="N1280">
        <v>3952</v>
      </c>
      <c r="O1280" t="s">
        <v>23211</v>
      </c>
      <c r="P1280" t="s">
        <v>62</v>
      </c>
      <c r="Q1280">
        <v>3915322</v>
      </c>
      <c r="R1280">
        <v>3917268</v>
      </c>
      <c r="S1280" t="s">
        <v>23212</v>
      </c>
      <c r="T1280">
        <v>649</v>
      </c>
      <c r="U1280" t="s">
        <v>59</v>
      </c>
      <c r="V1280">
        <v>49</v>
      </c>
      <c r="W1280" t="str">
        <f>HYPERLINK("Gene3952-zp_tree_all.dnd", "Gene3952-tree")</f>
        <v>Gene3952-tree</v>
      </c>
      <c r="X1280">
        <v>36</v>
      </c>
      <c r="Y1280">
        <v>1</v>
      </c>
      <c r="Z1280">
        <v>19</v>
      </c>
      <c r="AA1280">
        <v>1</v>
      </c>
      <c r="AB1280">
        <v>0.05</v>
      </c>
      <c r="AC1280" t="s">
        <v>3171</v>
      </c>
      <c r="AD1280" t="s">
        <v>175</v>
      </c>
      <c r="AE1280" t="s">
        <v>62</v>
      </c>
      <c r="AF1280" t="s">
        <v>62</v>
      </c>
      <c r="AG1280">
        <v>0</v>
      </c>
      <c r="AH1280">
        <v>0</v>
      </c>
      <c r="AI1280">
        <v>7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18</v>
      </c>
      <c r="AV1280">
        <v>11</v>
      </c>
      <c r="AW1280">
        <v>57</v>
      </c>
      <c r="AX1280">
        <v>1</v>
      </c>
      <c r="AY1280">
        <v>103</v>
      </c>
      <c r="AZ1280">
        <v>7</v>
      </c>
      <c r="BA1280" t="s">
        <v>23213</v>
      </c>
      <c r="BB1280" t="s">
        <v>23214</v>
      </c>
      <c r="BC1280">
        <v>0.32</v>
      </c>
      <c r="BD1280" t="s">
        <v>65</v>
      </c>
      <c r="BE1280">
        <v>160</v>
      </c>
      <c r="BF1280">
        <v>8</v>
      </c>
      <c r="BG1280" t="s">
        <v>23215</v>
      </c>
      <c r="BH1280" t="s">
        <v>23216</v>
      </c>
      <c r="BI1280" t="s">
        <v>23217</v>
      </c>
      <c r="BJ1280">
        <v>1.9550000000000001E-2</v>
      </c>
      <c r="BK1280">
        <v>1</v>
      </c>
      <c r="BL1280" t="s">
        <v>69</v>
      </c>
      <c r="BM1280">
        <v>-1.0269999999999999</v>
      </c>
      <c r="BN1280">
        <v>3.9E-2</v>
      </c>
    </row>
    <row r="1281" spans="2:66">
      <c r="B1281">
        <v>2062</v>
      </c>
      <c r="C1281">
        <v>87</v>
      </c>
      <c r="D1281">
        <v>0</v>
      </c>
      <c r="E1281">
        <v>3</v>
      </c>
      <c r="F1281">
        <v>0</v>
      </c>
      <c r="J1281">
        <v>0</v>
      </c>
      <c r="K1281">
        <v>0</v>
      </c>
      <c r="L1281">
        <v>0</v>
      </c>
      <c r="M1281" t="s">
        <v>25022</v>
      </c>
      <c r="N1281">
        <v>3953</v>
      </c>
      <c r="O1281" t="s">
        <v>23218</v>
      </c>
      <c r="P1281" t="s">
        <v>62</v>
      </c>
      <c r="Q1281">
        <v>3917299</v>
      </c>
      <c r="R1281">
        <v>3918261</v>
      </c>
      <c r="S1281" t="s">
        <v>23219</v>
      </c>
      <c r="T1281">
        <v>321</v>
      </c>
      <c r="U1281" t="s">
        <v>59</v>
      </c>
      <c r="V1281">
        <v>49</v>
      </c>
      <c r="W1281" t="str">
        <f>HYPERLINK("Gene3953-zp_tree_all.dnd", "Gene3953-tree")</f>
        <v>Gene3953-tree</v>
      </c>
      <c r="X1281">
        <v>11</v>
      </c>
      <c r="Y1281">
        <v>3</v>
      </c>
      <c r="Z1281">
        <v>11</v>
      </c>
      <c r="AA1281">
        <v>3</v>
      </c>
      <c r="AB1281">
        <v>0.21429000000000001</v>
      </c>
      <c r="AC1281" t="s">
        <v>73</v>
      </c>
      <c r="AD1281" t="s">
        <v>324</v>
      </c>
      <c r="AE1281" t="s">
        <v>62</v>
      </c>
      <c r="AF1281" t="s">
        <v>62</v>
      </c>
      <c r="AG1281">
        <v>0</v>
      </c>
      <c r="AH1281">
        <v>0</v>
      </c>
      <c r="AI1281">
        <v>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5</v>
      </c>
      <c r="AT1281">
        <v>0</v>
      </c>
      <c r="AU1281">
        <v>12</v>
      </c>
      <c r="AV1281">
        <v>6</v>
      </c>
      <c r="AW1281">
        <v>35</v>
      </c>
      <c r="AX1281">
        <v>5</v>
      </c>
      <c r="AY1281">
        <v>35</v>
      </c>
      <c r="AZ1281">
        <v>4</v>
      </c>
      <c r="BA1281" t="s">
        <v>23220</v>
      </c>
      <c r="BB1281" t="s">
        <v>23221</v>
      </c>
      <c r="BC1281">
        <v>0.11700000000000001</v>
      </c>
      <c r="BD1281" t="s">
        <v>65</v>
      </c>
      <c r="BE1281">
        <v>70</v>
      </c>
      <c r="BF1281">
        <v>9</v>
      </c>
      <c r="BG1281" t="s">
        <v>23222</v>
      </c>
      <c r="BH1281" t="s">
        <v>23223</v>
      </c>
      <c r="BI1281" t="s">
        <v>23224</v>
      </c>
      <c r="BJ1281">
        <v>3.8469999999999997E-2</v>
      </c>
      <c r="BK1281">
        <v>1</v>
      </c>
      <c r="BL1281" t="s">
        <v>69</v>
      </c>
      <c r="BM1281">
        <v>-1.0569999999999999</v>
      </c>
      <c r="BN1281">
        <v>0.59699999999999998</v>
      </c>
    </row>
    <row r="1282" spans="2:66">
      <c r="B1282">
        <v>2063</v>
      </c>
      <c r="C1282">
        <v>15</v>
      </c>
      <c r="D1282">
        <v>0</v>
      </c>
      <c r="E1282">
        <v>7</v>
      </c>
      <c r="F1282">
        <v>0</v>
      </c>
      <c r="J1282">
        <v>0</v>
      </c>
      <c r="K1282">
        <v>13</v>
      </c>
      <c r="L1282">
        <v>7</v>
      </c>
      <c r="M1282" t="s">
        <v>25022</v>
      </c>
      <c r="N1282">
        <v>3955</v>
      </c>
      <c r="O1282" t="s">
        <v>23231</v>
      </c>
      <c r="P1282" t="s">
        <v>62</v>
      </c>
      <c r="Q1282">
        <v>3919096</v>
      </c>
      <c r="R1282">
        <v>3920634</v>
      </c>
      <c r="S1282" t="s">
        <v>23232</v>
      </c>
      <c r="T1282">
        <v>513</v>
      </c>
      <c r="U1282" t="s">
        <v>108</v>
      </c>
      <c r="V1282">
        <v>44</v>
      </c>
      <c r="W1282" t="str">
        <f>HYPERLINK("Gene3955-zp_tree_all.dnd", "Gene3955-tree")</f>
        <v>Gene3955-tree</v>
      </c>
      <c r="X1282">
        <v>2</v>
      </c>
      <c r="Y1282">
        <v>12</v>
      </c>
      <c r="Z1282">
        <v>2</v>
      </c>
      <c r="AA1282">
        <v>12</v>
      </c>
      <c r="AB1282">
        <v>0.85714000000000001</v>
      </c>
      <c r="AC1282" t="s">
        <v>81</v>
      </c>
      <c r="AD1282" t="s">
        <v>109</v>
      </c>
      <c r="AE1282" t="s">
        <v>62</v>
      </c>
      <c r="AF1282" t="s">
        <v>62</v>
      </c>
      <c r="AG1282">
        <v>7</v>
      </c>
      <c r="AH1282">
        <v>20</v>
      </c>
      <c r="AI1282">
        <v>20</v>
      </c>
      <c r="AJ1282">
        <v>0.5</v>
      </c>
      <c r="AK1282">
        <v>0</v>
      </c>
      <c r="AL1282">
        <v>0</v>
      </c>
      <c r="AM1282">
        <v>0</v>
      </c>
      <c r="AN1282">
        <v>2</v>
      </c>
      <c r="AO1282">
        <v>0</v>
      </c>
      <c r="AP1282">
        <v>6</v>
      </c>
      <c r="AQ1282">
        <v>5</v>
      </c>
      <c r="AR1282">
        <v>11</v>
      </c>
      <c r="AS1282">
        <v>14</v>
      </c>
      <c r="AT1282">
        <v>0.44</v>
      </c>
      <c r="AU1282">
        <v>12</v>
      </c>
      <c r="AV1282">
        <v>11</v>
      </c>
      <c r="AW1282">
        <v>39</v>
      </c>
      <c r="AX1282">
        <v>24</v>
      </c>
      <c r="AY1282">
        <v>42</v>
      </c>
      <c r="AZ1282">
        <v>18</v>
      </c>
      <c r="BA1282" t="s">
        <v>23233</v>
      </c>
      <c r="BB1282" t="s">
        <v>23234</v>
      </c>
      <c r="BC1282">
        <v>0.89600000000000002</v>
      </c>
      <c r="BD1282" t="s">
        <v>65</v>
      </c>
      <c r="BE1282">
        <v>81</v>
      </c>
      <c r="BF1282">
        <v>42</v>
      </c>
      <c r="BG1282" t="s">
        <v>23235</v>
      </c>
      <c r="BH1282" t="s">
        <v>23236</v>
      </c>
      <c r="BI1282" t="s">
        <v>23237</v>
      </c>
      <c r="BJ1282">
        <v>0.13899</v>
      </c>
      <c r="BK1282">
        <v>1</v>
      </c>
      <c r="BL1282" t="s">
        <v>69</v>
      </c>
      <c r="BM1282">
        <v>0.21099999999999999</v>
      </c>
      <c r="BN1282">
        <v>0.26300000000000001</v>
      </c>
    </row>
    <row r="1283" spans="2:66">
      <c r="B1283">
        <v>2064</v>
      </c>
      <c r="C1283">
        <v>177</v>
      </c>
      <c r="D1283">
        <v>0</v>
      </c>
      <c r="E1283">
        <v>13</v>
      </c>
      <c r="F1283">
        <v>2</v>
      </c>
      <c r="J1283">
        <v>0</v>
      </c>
      <c r="K1283">
        <v>5</v>
      </c>
      <c r="L1283">
        <v>0</v>
      </c>
      <c r="M1283" t="s">
        <v>25022</v>
      </c>
      <c r="N1283">
        <v>3956</v>
      </c>
      <c r="O1283" t="s">
        <v>23238</v>
      </c>
      <c r="P1283" t="s">
        <v>62</v>
      </c>
      <c r="Q1283">
        <v>3920641</v>
      </c>
      <c r="R1283">
        <v>3921810</v>
      </c>
      <c r="S1283" t="s">
        <v>23239</v>
      </c>
      <c r="T1283">
        <v>390</v>
      </c>
      <c r="U1283" t="s">
        <v>108</v>
      </c>
      <c r="V1283">
        <v>44</v>
      </c>
      <c r="W1283" t="str">
        <f>HYPERLINK("Gene3956-zp_tree_all.dnd", "Gene3956-tree")</f>
        <v>Gene3956-tree</v>
      </c>
      <c r="X1283">
        <v>30</v>
      </c>
      <c r="Y1283">
        <v>4</v>
      </c>
      <c r="Z1283">
        <v>10</v>
      </c>
      <c r="AA1283">
        <v>4</v>
      </c>
      <c r="AB1283">
        <v>0.28571000000000002</v>
      </c>
      <c r="AC1283" t="s">
        <v>250</v>
      </c>
      <c r="AD1283" t="s">
        <v>61</v>
      </c>
      <c r="AE1283" t="s">
        <v>62</v>
      </c>
      <c r="AF1283" t="s">
        <v>62</v>
      </c>
      <c r="AG1283">
        <v>2</v>
      </c>
      <c r="AH1283">
        <v>5</v>
      </c>
      <c r="AI1283">
        <v>13</v>
      </c>
      <c r="AJ1283">
        <v>0.27778000000000003</v>
      </c>
      <c r="AK1283">
        <v>0</v>
      </c>
      <c r="AL1283">
        <v>0</v>
      </c>
      <c r="AM1283">
        <v>0</v>
      </c>
      <c r="AN1283">
        <v>3</v>
      </c>
      <c r="AO1283">
        <v>0</v>
      </c>
      <c r="AP1283">
        <v>0</v>
      </c>
      <c r="AQ1283">
        <v>0</v>
      </c>
      <c r="AR1283">
        <v>0</v>
      </c>
      <c r="AS1283">
        <v>8</v>
      </c>
      <c r="AT1283">
        <v>0</v>
      </c>
      <c r="AU1283">
        <v>10</v>
      </c>
      <c r="AV1283">
        <v>10</v>
      </c>
      <c r="AW1283">
        <v>22</v>
      </c>
      <c r="AX1283">
        <v>7</v>
      </c>
      <c r="AY1283">
        <v>21</v>
      </c>
      <c r="AZ1283">
        <v>11</v>
      </c>
      <c r="BA1283" t="s">
        <v>23240</v>
      </c>
      <c r="BB1283" t="s">
        <v>23241</v>
      </c>
      <c r="BC1283">
        <v>0.44</v>
      </c>
      <c r="BD1283" t="s">
        <v>65</v>
      </c>
      <c r="BE1283">
        <v>43</v>
      </c>
      <c r="BF1283">
        <v>18</v>
      </c>
      <c r="BG1283" t="s">
        <v>23242</v>
      </c>
      <c r="BH1283" t="s">
        <v>23243</v>
      </c>
      <c r="BI1283" t="s">
        <v>23244</v>
      </c>
      <c r="BJ1283">
        <v>0.11043</v>
      </c>
      <c r="BK1283">
        <v>1</v>
      </c>
      <c r="BL1283" t="s">
        <v>69</v>
      </c>
      <c r="BM1283">
        <v>-0.54100000000000004</v>
      </c>
      <c r="BN1283">
        <v>-0.86399999999999999</v>
      </c>
    </row>
    <row r="1284" spans="2:66">
      <c r="B1284">
        <v>2065</v>
      </c>
      <c r="C1284">
        <v>34</v>
      </c>
      <c r="D1284">
        <v>0</v>
      </c>
      <c r="E1284">
        <v>16</v>
      </c>
      <c r="F1284">
        <v>2</v>
      </c>
      <c r="J1284">
        <v>0</v>
      </c>
      <c r="K1284">
        <v>0</v>
      </c>
      <c r="L1284">
        <v>0</v>
      </c>
      <c r="M1284" t="s">
        <v>25022</v>
      </c>
      <c r="N1284">
        <v>3957</v>
      </c>
      <c r="O1284" t="s">
        <v>23245</v>
      </c>
      <c r="P1284" t="s">
        <v>62</v>
      </c>
      <c r="Q1284">
        <v>3921894</v>
      </c>
      <c r="R1284">
        <v>3922274</v>
      </c>
      <c r="S1284" t="s">
        <v>23246</v>
      </c>
      <c r="T1284">
        <v>127</v>
      </c>
      <c r="U1284" t="s">
        <v>289</v>
      </c>
      <c r="V1284">
        <v>46</v>
      </c>
      <c r="W1284" t="str">
        <f>HYPERLINK("Gene3957-zp_tree_all.dnd", "Gene3957-tree")</f>
        <v>Gene3957-tree</v>
      </c>
      <c r="X1284">
        <v>39</v>
      </c>
      <c r="Y1284">
        <v>2</v>
      </c>
      <c r="Z1284">
        <v>9</v>
      </c>
      <c r="AA1284">
        <v>2</v>
      </c>
      <c r="AB1284">
        <v>0.18182000000000001</v>
      </c>
      <c r="AC1284" t="s">
        <v>6345</v>
      </c>
      <c r="AD1284" t="s">
        <v>81</v>
      </c>
      <c r="AE1284" t="s">
        <v>62</v>
      </c>
      <c r="AF1284" t="s">
        <v>62</v>
      </c>
      <c r="AG1284">
        <v>0</v>
      </c>
      <c r="AH1284">
        <v>0</v>
      </c>
      <c r="AI1284">
        <v>5</v>
      </c>
      <c r="AJ1284">
        <v>0</v>
      </c>
      <c r="AK1284">
        <v>0</v>
      </c>
      <c r="AL1284">
        <v>0</v>
      </c>
      <c r="AM1284">
        <v>0</v>
      </c>
      <c r="AN1284">
        <v>2</v>
      </c>
      <c r="AO1284">
        <v>0</v>
      </c>
      <c r="AP1284">
        <v>0</v>
      </c>
      <c r="AQ1284">
        <v>0</v>
      </c>
      <c r="AR1284">
        <v>0</v>
      </c>
      <c r="AS1284">
        <v>2</v>
      </c>
      <c r="AT1284">
        <v>0</v>
      </c>
      <c r="AU1284">
        <v>9</v>
      </c>
      <c r="AV1284">
        <v>3</v>
      </c>
      <c r="AW1284">
        <v>8</v>
      </c>
      <c r="AX1284">
        <v>2</v>
      </c>
      <c r="AY1284">
        <v>8</v>
      </c>
      <c r="AZ1284">
        <v>3</v>
      </c>
      <c r="BA1284" t="s">
        <v>23247</v>
      </c>
      <c r="BB1284" t="s">
        <v>23248</v>
      </c>
      <c r="BC1284">
        <v>0.20699999999999999</v>
      </c>
      <c r="BD1284" t="s">
        <v>65</v>
      </c>
      <c r="BE1284">
        <v>16</v>
      </c>
      <c r="BF1284">
        <v>5</v>
      </c>
      <c r="BG1284" t="s">
        <v>23249</v>
      </c>
      <c r="BH1284" t="s">
        <v>23250</v>
      </c>
      <c r="BI1284" t="s">
        <v>23251</v>
      </c>
      <c r="BJ1284">
        <v>0.10424</v>
      </c>
      <c r="BK1284">
        <v>1</v>
      </c>
      <c r="BL1284" t="s">
        <v>69</v>
      </c>
      <c r="BM1284">
        <v>-1.78</v>
      </c>
      <c r="BN1284">
        <v>-0.48599999999999999</v>
      </c>
    </row>
    <row r="1285" spans="2:66">
      <c r="B1285">
        <v>2079</v>
      </c>
      <c r="C1285">
        <v>155</v>
      </c>
      <c r="D1285">
        <v>0</v>
      </c>
      <c r="E1285">
        <v>4</v>
      </c>
      <c r="F1285">
        <v>0</v>
      </c>
      <c r="J1285">
        <v>0</v>
      </c>
      <c r="K1285">
        <v>2</v>
      </c>
      <c r="L1285">
        <v>0</v>
      </c>
      <c r="M1285" t="s">
        <v>25022</v>
      </c>
      <c r="N1285">
        <v>3958</v>
      </c>
      <c r="O1285" t="s">
        <v>23252</v>
      </c>
      <c r="P1285" t="s">
        <v>62</v>
      </c>
      <c r="Q1285">
        <v>3922295</v>
      </c>
      <c r="R1285">
        <v>3922963</v>
      </c>
      <c r="S1285" t="s">
        <v>23253</v>
      </c>
      <c r="T1285">
        <v>223</v>
      </c>
      <c r="U1285" t="s">
        <v>108</v>
      </c>
      <c r="V1285">
        <v>44</v>
      </c>
      <c r="W1285" t="str">
        <f>HYPERLINK("Gene3958-zp_tree_all.dnd", "Gene3958-tree")</f>
        <v>Gene3958-tree</v>
      </c>
      <c r="X1285">
        <v>7</v>
      </c>
      <c r="Y1285">
        <v>4</v>
      </c>
      <c r="Z1285">
        <v>7</v>
      </c>
      <c r="AA1285">
        <v>4</v>
      </c>
      <c r="AB1285">
        <v>0.36364000000000002</v>
      </c>
      <c r="AC1285" t="s">
        <v>152</v>
      </c>
      <c r="AD1285" t="s">
        <v>61</v>
      </c>
      <c r="AE1285" t="s">
        <v>62</v>
      </c>
      <c r="AF1285" t="s">
        <v>62</v>
      </c>
      <c r="AG1285">
        <v>1</v>
      </c>
      <c r="AH1285">
        <v>2</v>
      </c>
      <c r="AI1285">
        <v>4</v>
      </c>
      <c r="AJ1285">
        <v>0.33333000000000002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5</v>
      </c>
      <c r="AT1285">
        <v>0</v>
      </c>
      <c r="AU1285">
        <v>9</v>
      </c>
      <c r="AV1285">
        <v>5</v>
      </c>
      <c r="AW1285">
        <v>15</v>
      </c>
      <c r="AX1285">
        <v>5</v>
      </c>
      <c r="AY1285">
        <v>6</v>
      </c>
      <c r="AZ1285">
        <v>1</v>
      </c>
      <c r="BA1285" t="s">
        <v>23254</v>
      </c>
      <c r="BB1285" t="s">
        <v>23255</v>
      </c>
      <c r="BC1285">
        <v>0.42299999999999999</v>
      </c>
      <c r="BD1285" t="s">
        <v>65</v>
      </c>
      <c r="BE1285">
        <v>21</v>
      </c>
      <c r="BF1285">
        <v>6</v>
      </c>
      <c r="BG1285" t="s">
        <v>23256</v>
      </c>
      <c r="BH1285" t="s">
        <v>23257</v>
      </c>
      <c r="BI1285" t="s">
        <v>23258</v>
      </c>
      <c r="BJ1285">
        <v>6.4159999999999995E-2</v>
      </c>
      <c r="BK1285">
        <v>1</v>
      </c>
      <c r="BL1285" t="s">
        <v>69</v>
      </c>
      <c r="BM1285">
        <v>-0.98399999999999999</v>
      </c>
      <c r="BN1285">
        <v>-1.0469999999999999</v>
      </c>
    </row>
    <row r="1286" spans="2:66">
      <c r="B1286">
        <v>2198</v>
      </c>
      <c r="C1286">
        <v>480</v>
      </c>
      <c r="D1286">
        <v>0</v>
      </c>
      <c r="E1286">
        <v>6</v>
      </c>
      <c r="F1286">
        <v>3</v>
      </c>
      <c r="J1286">
        <v>0</v>
      </c>
      <c r="K1286">
        <v>5</v>
      </c>
      <c r="L1286">
        <v>0</v>
      </c>
      <c r="M1286" t="s">
        <v>25022</v>
      </c>
      <c r="N1286">
        <v>3962</v>
      </c>
      <c r="O1286" t="s">
        <v>23277</v>
      </c>
      <c r="P1286" t="s">
        <v>62</v>
      </c>
      <c r="Q1286">
        <v>3925800</v>
      </c>
      <c r="R1286">
        <v>3926399</v>
      </c>
      <c r="S1286" t="s">
        <v>23278</v>
      </c>
      <c r="T1286">
        <v>200</v>
      </c>
      <c r="U1286" t="s">
        <v>108</v>
      </c>
      <c r="V1286">
        <v>44</v>
      </c>
      <c r="W1286" t="str">
        <f>HYPERLINK("Gene3962-zp_tree_all.dnd", "Gene3962-tree")</f>
        <v>Gene3962-tree</v>
      </c>
      <c r="X1286">
        <v>8</v>
      </c>
      <c r="Y1286">
        <v>25</v>
      </c>
      <c r="Z1286">
        <v>8</v>
      </c>
      <c r="AA1286">
        <v>7</v>
      </c>
      <c r="AB1286">
        <v>0.46666999999999997</v>
      </c>
      <c r="AC1286" t="s">
        <v>136</v>
      </c>
      <c r="AD1286" t="s">
        <v>2683</v>
      </c>
      <c r="AE1286">
        <v>3.758</v>
      </c>
      <c r="AF1286" t="s">
        <v>65</v>
      </c>
      <c r="AG1286">
        <v>2</v>
      </c>
      <c r="AH1286">
        <v>5</v>
      </c>
      <c r="AI1286">
        <v>9</v>
      </c>
      <c r="AJ1286">
        <v>0.35714000000000001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2</v>
      </c>
      <c r="AQ1286">
        <v>0</v>
      </c>
      <c r="AR1286">
        <v>2</v>
      </c>
      <c r="AS1286">
        <v>8</v>
      </c>
      <c r="AT1286">
        <v>0.2</v>
      </c>
      <c r="AU1286">
        <v>13</v>
      </c>
      <c r="AV1286">
        <v>12</v>
      </c>
      <c r="AW1286">
        <v>26</v>
      </c>
      <c r="AX1286">
        <v>10</v>
      </c>
      <c r="AY1286">
        <v>20</v>
      </c>
      <c r="AZ1286">
        <v>4</v>
      </c>
      <c r="BA1286" t="s">
        <v>23279</v>
      </c>
      <c r="BB1286" t="s">
        <v>23280</v>
      </c>
      <c r="BC1286">
        <v>0.54</v>
      </c>
      <c r="BD1286" t="s">
        <v>65</v>
      </c>
      <c r="BE1286">
        <v>46</v>
      </c>
      <c r="BF1286">
        <v>14</v>
      </c>
      <c r="BG1286" t="s">
        <v>23281</v>
      </c>
      <c r="BH1286" t="s">
        <v>23282</v>
      </c>
      <c r="BI1286" t="s">
        <v>23283</v>
      </c>
      <c r="BJ1286">
        <v>8.1519999999999995E-2</v>
      </c>
      <c r="BK1286">
        <v>1</v>
      </c>
      <c r="BL1286" t="s">
        <v>69</v>
      </c>
      <c r="BM1286">
        <v>-8.6999999999999994E-2</v>
      </c>
      <c r="BN1286">
        <v>0.32200000000000001</v>
      </c>
    </row>
    <row r="1287" spans="2:66">
      <c r="B1287">
        <v>2199</v>
      </c>
      <c r="C1287">
        <v>409</v>
      </c>
      <c r="D1287">
        <v>0</v>
      </c>
      <c r="E1287">
        <v>6</v>
      </c>
      <c r="F1287">
        <v>0</v>
      </c>
      <c r="J1287">
        <v>0</v>
      </c>
      <c r="K1287">
        <v>4</v>
      </c>
      <c r="L1287">
        <v>0</v>
      </c>
      <c r="M1287" t="s">
        <v>25022</v>
      </c>
      <c r="N1287">
        <v>3963</v>
      </c>
      <c r="O1287" t="s">
        <v>23284</v>
      </c>
      <c r="P1287" t="s">
        <v>62</v>
      </c>
      <c r="Q1287">
        <v>3926685</v>
      </c>
      <c r="R1287">
        <v>3927932</v>
      </c>
      <c r="S1287" t="s">
        <v>23285</v>
      </c>
      <c r="T1287">
        <v>416</v>
      </c>
      <c r="U1287" t="s">
        <v>265</v>
      </c>
      <c r="V1287">
        <v>43</v>
      </c>
      <c r="W1287" t="str">
        <f>HYPERLINK("Gene3963-zp_tree_all.dnd", "Gene3963-tree")</f>
        <v>Gene3963-tree</v>
      </c>
      <c r="X1287">
        <v>7</v>
      </c>
      <c r="Y1287">
        <v>23</v>
      </c>
      <c r="Z1287">
        <v>7</v>
      </c>
      <c r="AA1287">
        <v>5</v>
      </c>
      <c r="AB1287">
        <v>0.41666999999999998</v>
      </c>
      <c r="AC1287" t="s">
        <v>152</v>
      </c>
      <c r="AD1287" t="s">
        <v>1652</v>
      </c>
      <c r="AE1287">
        <v>4.423</v>
      </c>
      <c r="AF1287" t="s">
        <v>65</v>
      </c>
      <c r="AG1287">
        <v>2</v>
      </c>
      <c r="AH1287">
        <v>4</v>
      </c>
      <c r="AI1287">
        <v>11</v>
      </c>
      <c r="AJ1287">
        <v>0.26667000000000002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9</v>
      </c>
      <c r="AT1287">
        <v>0</v>
      </c>
      <c r="AU1287">
        <v>12</v>
      </c>
      <c r="AV1287">
        <v>9</v>
      </c>
      <c r="AW1287">
        <v>44</v>
      </c>
      <c r="AX1287">
        <v>9</v>
      </c>
      <c r="AY1287">
        <v>43</v>
      </c>
      <c r="AZ1287">
        <v>6</v>
      </c>
      <c r="BA1287" t="s">
        <v>23286</v>
      </c>
      <c r="BB1287" t="s">
        <v>23287</v>
      </c>
      <c r="BC1287">
        <v>0.29899999999999999</v>
      </c>
      <c r="BD1287" t="s">
        <v>65</v>
      </c>
      <c r="BE1287">
        <v>87</v>
      </c>
      <c r="BF1287">
        <v>15</v>
      </c>
      <c r="BG1287" t="s">
        <v>23288</v>
      </c>
      <c r="BH1287" t="s">
        <v>23289</v>
      </c>
      <c r="BI1287" t="s">
        <v>23290</v>
      </c>
      <c r="BJ1287">
        <v>4.4330000000000001E-2</v>
      </c>
      <c r="BK1287">
        <v>1</v>
      </c>
      <c r="BL1287" t="s">
        <v>69</v>
      </c>
      <c r="BM1287">
        <v>1.085</v>
      </c>
      <c r="BN1287">
        <v>0.189</v>
      </c>
    </row>
    <row r="1288" spans="2:66">
      <c r="B1288">
        <v>2209</v>
      </c>
      <c r="C1288">
        <v>162</v>
      </c>
      <c r="D1288">
        <v>0</v>
      </c>
      <c r="E1288">
        <v>0</v>
      </c>
      <c r="F1288">
        <v>2</v>
      </c>
      <c r="J1288">
        <v>0</v>
      </c>
      <c r="K1288">
        <v>8</v>
      </c>
      <c r="L1288">
        <v>1</v>
      </c>
      <c r="M1288" t="s">
        <v>25022</v>
      </c>
      <c r="N1288">
        <v>3964</v>
      </c>
      <c r="O1288" t="s">
        <v>23291</v>
      </c>
      <c r="P1288" t="s">
        <v>62</v>
      </c>
      <c r="Q1288">
        <v>3927954</v>
      </c>
      <c r="R1288">
        <v>3929108</v>
      </c>
      <c r="S1288" t="s">
        <v>23292</v>
      </c>
      <c r="T1288">
        <v>385</v>
      </c>
      <c r="U1288" t="s">
        <v>108</v>
      </c>
      <c r="V1288">
        <v>44</v>
      </c>
      <c r="W1288" t="str">
        <f>HYPERLINK("Gene3964-zp_tree_all.dnd", "Gene3964-tree")</f>
        <v>Gene3964-tree</v>
      </c>
      <c r="X1288">
        <v>5</v>
      </c>
      <c r="Y1288">
        <v>10</v>
      </c>
      <c r="Z1288">
        <v>5</v>
      </c>
      <c r="AA1288">
        <v>10</v>
      </c>
      <c r="AB1288">
        <v>0.66666999999999998</v>
      </c>
      <c r="AC1288" t="s">
        <v>199</v>
      </c>
      <c r="AD1288" t="s">
        <v>117</v>
      </c>
      <c r="AE1288" t="s">
        <v>62</v>
      </c>
      <c r="AF1288" t="s">
        <v>62</v>
      </c>
      <c r="AG1288">
        <v>4</v>
      </c>
      <c r="AH1288">
        <v>9</v>
      </c>
      <c r="AI1288">
        <v>14</v>
      </c>
      <c r="AJ1288">
        <v>0.39129999999999998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2</v>
      </c>
      <c r="AQ1288">
        <v>1</v>
      </c>
      <c r="AR1288">
        <v>3</v>
      </c>
      <c r="AS1288">
        <v>12</v>
      </c>
      <c r="AT1288">
        <v>0.2</v>
      </c>
      <c r="AU1288">
        <v>14</v>
      </c>
      <c r="AV1288">
        <v>12</v>
      </c>
      <c r="AW1288">
        <v>48</v>
      </c>
      <c r="AX1288">
        <v>15</v>
      </c>
      <c r="AY1288">
        <v>40</v>
      </c>
      <c r="AZ1288">
        <v>8</v>
      </c>
      <c r="BA1288" t="s">
        <v>23293</v>
      </c>
      <c r="BB1288" t="s">
        <v>23294</v>
      </c>
      <c r="BC1288">
        <v>0.73799999999999999</v>
      </c>
      <c r="BD1288" t="s">
        <v>65</v>
      </c>
      <c r="BE1288">
        <v>88</v>
      </c>
      <c r="BF1288">
        <v>23</v>
      </c>
      <c r="BG1288" t="s">
        <v>23295</v>
      </c>
      <c r="BH1288" t="s">
        <v>23296</v>
      </c>
      <c r="BI1288" t="s">
        <v>23297</v>
      </c>
      <c r="BJ1288">
        <v>8.7029999999999996E-2</v>
      </c>
      <c r="BK1288">
        <v>1</v>
      </c>
      <c r="BL1288" t="s">
        <v>69</v>
      </c>
      <c r="BM1288">
        <v>-1.2E-2</v>
      </c>
      <c r="BN1288">
        <v>-0.48399999999999999</v>
      </c>
    </row>
    <row r="1289" spans="2:66">
      <c r="B1289">
        <v>2248</v>
      </c>
      <c r="C1289">
        <v>152</v>
      </c>
      <c r="D1289">
        <v>0</v>
      </c>
      <c r="E1289">
        <v>8</v>
      </c>
      <c r="F1289">
        <v>0</v>
      </c>
      <c r="J1289">
        <v>0</v>
      </c>
      <c r="K1289">
        <v>20</v>
      </c>
      <c r="L1289">
        <v>6</v>
      </c>
      <c r="M1289" t="s">
        <v>25022</v>
      </c>
      <c r="N1289">
        <v>3965</v>
      </c>
      <c r="O1289" t="s">
        <v>23298</v>
      </c>
      <c r="P1289" t="s">
        <v>62</v>
      </c>
      <c r="Q1289">
        <v>3929108</v>
      </c>
      <c r="R1289">
        <v>3930550</v>
      </c>
      <c r="S1289" t="s">
        <v>23299</v>
      </c>
      <c r="T1289">
        <v>481</v>
      </c>
      <c r="U1289" t="s">
        <v>108</v>
      </c>
      <c r="V1289">
        <v>44</v>
      </c>
      <c r="W1289" t="str">
        <f>HYPERLINK("Gene3965-zp_tree_all.dnd", "Gene3965-tree")</f>
        <v>Gene3965-tree</v>
      </c>
      <c r="X1289">
        <v>2</v>
      </c>
      <c r="Y1289">
        <v>13</v>
      </c>
      <c r="Z1289">
        <v>2</v>
      </c>
      <c r="AA1289">
        <v>13</v>
      </c>
      <c r="AB1289">
        <v>0.86667000000000005</v>
      </c>
      <c r="AC1289" t="s">
        <v>81</v>
      </c>
      <c r="AD1289" t="s">
        <v>507</v>
      </c>
      <c r="AE1289" t="s">
        <v>62</v>
      </c>
      <c r="AF1289" t="s">
        <v>62</v>
      </c>
      <c r="AG1289">
        <v>9</v>
      </c>
      <c r="AH1289">
        <v>26</v>
      </c>
      <c r="AI1289">
        <v>22</v>
      </c>
      <c r="AJ1289">
        <v>0.54166999999999998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12</v>
      </c>
      <c r="AQ1289">
        <v>3</v>
      </c>
      <c r="AR1289">
        <v>15</v>
      </c>
      <c r="AS1289">
        <v>19</v>
      </c>
      <c r="AT1289">
        <v>0.44118000000000002</v>
      </c>
      <c r="AU1289">
        <v>14</v>
      </c>
      <c r="AV1289">
        <v>12</v>
      </c>
      <c r="AW1289">
        <v>62</v>
      </c>
      <c r="AX1289">
        <v>30</v>
      </c>
      <c r="AY1289">
        <v>39</v>
      </c>
      <c r="AZ1289">
        <v>19</v>
      </c>
      <c r="BA1289" t="s">
        <v>23300</v>
      </c>
      <c r="BB1289" t="s">
        <v>23301</v>
      </c>
      <c r="BC1289">
        <v>2.1999999999999999E-2</v>
      </c>
      <c r="BD1289" t="s">
        <v>65</v>
      </c>
      <c r="BE1289">
        <v>101</v>
      </c>
      <c r="BF1289">
        <v>49</v>
      </c>
      <c r="BG1289" t="s">
        <v>23302</v>
      </c>
      <c r="BH1289" t="s">
        <v>23303</v>
      </c>
      <c r="BI1289" t="s">
        <v>23304</v>
      </c>
      <c r="BJ1289">
        <v>0.15110999999999999</v>
      </c>
      <c r="BK1289">
        <v>1</v>
      </c>
      <c r="BL1289" t="s">
        <v>69</v>
      </c>
      <c r="BM1289">
        <v>-9.5000000000000001E-2</v>
      </c>
      <c r="BN1289">
        <v>-0.152</v>
      </c>
    </row>
    <row r="1290" spans="2:66">
      <c r="B1290">
        <v>2260</v>
      </c>
      <c r="C1290">
        <v>64</v>
      </c>
      <c r="D1290">
        <v>0</v>
      </c>
      <c r="E1290">
        <v>4</v>
      </c>
      <c r="F1290">
        <v>0</v>
      </c>
      <c r="J1290">
        <v>0</v>
      </c>
      <c r="K1290">
        <v>10</v>
      </c>
      <c r="L1290">
        <v>0</v>
      </c>
      <c r="M1290" t="s">
        <v>25022</v>
      </c>
      <c r="N1290">
        <v>3966</v>
      </c>
      <c r="O1290" t="s">
        <v>23305</v>
      </c>
      <c r="P1290" t="s">
        <v>62</v>
      </c>
      <c r="Q1290">
        <v>3930710</v>
      </c>
      <c r="R1290">
        <v>3931375</v>
      </c>
      <c r="S1290" t="s">
        <v>23306</v>
      </c>
      <c r="T1290">
        <v>222</v>
      </c>
      <c r="U1290" t="s">
        <v>108</v>
      </c>
      <c r="V1290">
        <v>44</v>
      </c>
      <c r="W1290" t="str">
        <f>HYPERLINK("Gene3966-zp_tree_all.dnd", "Gene3966-tree")</f>
        <v>Gene3966-tree</v>
      </c>
      <c r="X1290">
        <v>7</v>
      </c>
      <c r="Y1290">
        <v>5</v>
      </c>
      <c r="Z1290">
        <v>7</v>
      </c>
      <c r="AA1290">
        <v>5</v>
      </c>
      <c r="AB1290">
        <v>0.41666999999999998</v>
      </c>
      <c r="AC1290" t="s">
        <v>152</v>
      </c>
      <c r="AD1290" t="s">
        <v>199</v>
      </c>
      <c r="AE1290" t="s">
        <v>62</v>
      </c>
      <c r="AF1290" t="s">
        <v>62</v>
      </c>
      <c r="AG1290">
        <v>4</v>
      </c>
      <c r="AH1290">
        <v>10</v>
      </c>
      <c r="AI1290">
        <v>7</v>
      </c>
      <c r="AJ1290">
        <v>0.58823999999999999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2</v>
      </c>
      <c r="AQ1290">
        <v>0</v>
      </c>
      <c r="AR1290">
        <v>2</v>
      </c>
      <c r="AS1290">
        <v>6</v>
      </c>
      <c r="AT1290">
        <v>0.25</v>
      </c>
      <c r="AU1290">
        <v>11</v>
      </c>
      <c r="AV1290">
        <v>8</v>
      </c>
      <c r="AW1290">
        <v>24</v>
      </c>
      <c r="AX1290">
        <v>8</v>
      </c>
      <c r="AY1290">
        <v>23</v>
      </c>
      <c r="AZ1290">
        <v>9</v>
      </c>
      <c r="BA1290" t="s">
        <v>23307</v>
      </c>
      <c r="BB1290" t="s">
        <v>23308</v>
      </c>
      <c r="BC1290">
        <v>0.189</v>
      </c>
      <c r="BD1290" t="s">
        <v>65</v>
      </c>
      <c r="BE1290">
        <v>47</v>
      </c>
      <c r="BF1290">
        <v>17</v>
      </c>
      <c r="BG1290" t="s">
        <v>23309</v>
      </c>
      <c r="BH1290" t="s">
        <v>23310</v>
      </c>
      <c r="BI1290" t="s">
        <v>23311</v>
      </c>
      <c r="BJ1290">
        <v>9.3310000000000004E-2</v>
      </c>
      <c r="BK1290">
        <v>1</v>
      </c>
      <c r="BL1290" t="s">
        <v>69</v>
      </c>
      <c r="BM1290">
        <v>0.71599999999999997</v>
      </c>
      <c r="BN1290">
        <v>-0.46200000000000002</v>
      </c>
    </row>
    <row r="1291" spans="2:66">
      <c r="B1291">
        <v>2262</v>
      </c>
      <c r="C1291">
        <v>109</v>
      </c>
      <c r="D1291">
        <v>2</v>
      </c>
      <c r="E1291">
        <v>5</v>
      </c>
      <c r="F1291">
        <v>1</v>
      </c>
      <c r="J1291">
        <v>0</v>
      </c>
      <c r="K1291">
        <v>7</v>
      </c>
      <c r="L1291">
        <v>0</v>
      </c>
      <c r="M1291" t="s">
        <v>25022</v>
      </c>
      <c r="N1291">
        <v>3967</v>
      </c>
      <c r="O1291" t="s">
        <v>23312</v>
      </c>
      <c r="P1291" t="s">
        <v>62</v>
      </c>
      <c r="Q1291">
        <v>3931375</v>
      </c>
      <c r="R1291">
        <v>3932190</v>
      </c>
      <c r="S1291" t="s">
        <v>23313</v>
      </c>
      <c r="T1291">
        <v>272</v>
      </c>
      <c r="U1291" t="s">
        <v>108</v>
      </c>
      <c r="V1291">
        <v>44</v>
      </c>
      <c r="W1291" t="str">
        <f>HYPERLINK("Gene3967-zp_tree_all.dnd", "Gene3967-tree")</f>
        <v>Gene3967-tree</v>
      </c>
      <c r="X1291">
        <v>5</v>
      </c>
      <c r="Y1291">
        <v>10</v>
      </c>
      <c r="Z1291">
        <v>5</v>
      </c>
      <c r="AA1291">
        <v>10</v>
      </c>
      <c r="AB1291">
        <v>0.66666999999999998</v>
      </c>
      <c r="AC1291" t="s">
        <v>199</v>
      </c>
      <c r="AD1291" t="s">
        <v>117</v>
      </c>
      <c r="AE1291" t="s">
        <v>62</v>
      </c>
      <c r="AF1291" t="s">
        <v>62</v>
      </c>
      <c r="AG1291">
        <v>3</v>
      </c>
      <c r="AH1291">
        <v>7</v>
      </c>
      <c r="AI1291">
        <v>8</v>
      </c>
      <c r="AJ1291">
        <v>0.46666999999999997</v>
      </c>
      <c r="AK1291">
        <v>0</v>
      </c>
      <c r="AL1291">
        <v>0</v>
      </c>
      <c r="AM1291">
        <v>0</v>
      </c>
      <c r="AN1291">
        <v>2</v>
      </c>
      <c r="AO1291">
        <v>0</v>
      </c>
      <c r="AP1291">
        <v>2</v>
      </c>
      <c r="AQ1291">
        <v>0</v>
      </c>
      <c r="AR1291">
        <v>2</v>
      </c>
      <c r="AS1291">
        <v>9</v>
      </c>
      <c r="AT1291">
        <v>0.18182000000000001</v>
      </c>
      <c r="AU1291">
        <v>12</v>
      </c>
      <c r="AV1291">
        <v>9</v>
      </c>
      <c r="AW1291">
        <v>41</v>
      </c>
      <c r="AX1291">
        <v>12</v>
      </c>
      <c r="AY1291">
        <v>26</v>
      </c>
      <c r="AZ1291">
        <v>4</v>
      </c>
      <c r="BA1291" t="s">
        <v>23314</v>
      </c>
      <c r="BB1291" t="s">
        <v>23315</v>
      </c>
      <c r="BC1291">
        <v>0.73399999999999999</v>
      </c>
      <c r="BD1291" t="s">
        <v>65</v>
      </c>
      <c r="BE1291">
        <v>67</v>
      </c>
      <c r="BF1291">
        <v>16</v>
      </c>
      <c r="BG1291" t="s">
        <v>23316</v>
      </c>
      <c r="BH1291" t="s">
        <v>23317</v>
      </c>
      <c r="BI1291" t="s">
        <v>23318</v>
      </c>
      <c r="BJ1291">
        <v>7.5870000000000007E-2</v>
      </c>
      <c r="BK1291">
        <v>1</v>
      </c>
      <c r="BL1291" t="s">
        <v>69</v>
      </c>
      <c r="BM1291">
        <v>-1.08</v>
      </c>
      <c r="BN1291">
        <v>-1.64</v>
      </c>
    </row>
    <row r="1292" spans="2:66">
      <c r="B1292">
        <v>2263</v>
      </c>
      <c r="C1292">
        <v>61</v>
      </c>
      <c r="D1292">
        <v>0</v>
      </c>
      <c r="E1292">
        <v>0</v>
      </c>
      <c r="F1292">
        <v>2</v>
      </c>
      <c r="J1292">
        <v>0</v>
      </c>
      <c r="K1292">
        <v>4</v>
      </c>
      <c r="L1292">
        <v>0</v>
      </c>
      <c r="M1292" t="s">
        <v>25022</v>
      </c>
      <c r="N1292">
        <v>3968</v>
      </c>
      <c r="O1292" t="s">
        <v>23319</v>
      </c>
      <c r="P1292" t="s">
        <v>62</v>
      </c>
      <c r="Q1292">
        <v>3932201</v>
      </c>
      <c r="R1292">
        <v>3933103</v>
      </c>
      <c r="S1292" t="s">
        <v>23320</v>
      </c>
      <c r="T1292">
        <v>301</v>
      </c>
      <c r="U1292" t="s">
        <v>6390</v>
      </c>
      <c r="V1292">
        <v>45</v>
      </c>
      <c r="W1292" t="str">
        <f>HYPERLINK("Gene3968-zp_tree_all.dnd", "Gene3968-tree")</f>
        <v>Gene3968-tree</v>
      </c>
      <c r="X1292">
        <v>11</v>
      </c>
      <c r="Y1292">
        <v>4</v>
      </c>
      <c r="Z1292">
        <v>11</v>
      </c>
      <c r="AA1292">
        <v>4</v>
      </c>
      <c r="AB1292">
        <v>0.26667000000000002</v>
      </c>
      <c r="AC1292" t="s">
        <v>73</v>
      </c>
      <c r="AD1292" t="s">
        <v>61</v>
      </c>
      <c r="AE1292" t="s">
        <v>62</v>
      </c>
      <c r="AF1292" t="s">
        <v>62</v>
      </c>
      <c r="AG1292">
        <v>1</v>
      </c>
      <c r="AH1292">
        <v>4</v>
      </c>
      <c r="AI1292">
        <v>10</v>
      </c>
      <c r="AJ1292">
        <v>0.28571000000000002</v>
      </c>
      <c r="AK1292">
        <v>0</v>
      </c>
      <c r="AL1292">
        <v>0</v>
      </c>
      <c r="AM1292">
        <v>0</v>
      </c>
      <c r="AN1292">
        <v>2</v>
      </c>
      <c r="AO1292">
        <v>0</v>
      </c>
      <c r="AP1292">
        <v>2</v>
      </c>
      <c r="AQ1292">
        <v>0</v>
      </c>
      <c r="AR1292">
        <v>2</v>
      </c>
      <c r="AS1292">
        <v>9</v>
      </c>
      <c r="AT1292">
        <v>0.18182000000000001</v>
      </c>
      <c r="AU1292">
        <v>12</v>
      </c>
      <c r="AV1292">
        <v>11</v>
      </c>
      <c r="AW1292">
        <v>60</v>
      </c>
      <c r="AX1292">
        <v>10</v>
      </c>
      <c r="AY1292">
        <v>17</v>
      </c>
      <c r="AZ1292">
        <v>5</v>
      </c>
      <c r="BA1292" t="s">
        <v>23321</v>
      </c>
      <c r="BB1292" t="s">
        <v>23322</v>
      </c>
      <c r="BC1292">
        <v>0.27200000000000002</v>
      </c>
      <c r="BD1292" t="s">
        <v>65</v>
      </c>
      <c r="BE1292">
        <v>77</v>
      </c>
      <c r="BF1292">
        <v>15</v>
      </c>
      <c r="BG1292" t="s">
        <v>23323</v>
      </c>
      <c r="BH1292" t="s">
        <v>23324</v>
      </c>
      <c r="BI1292" t="s">
        <v>23325</v>
      </c>
      <c r="BJ1292">
        <v>5.7250000000000002E-2</v>
      </c>
      <c r="BK1292">
        <v>1</v>
      </c>
      <c r="BL1292" t="s">
        <v>69</v>
      </c>
      <c r="BM1292">
        <v>-1.714</v>
      </c>
      <c r="BN1292">
        <v>-3.423</v>
      </c>
    </row>
    <row r="1293" spans="2:66">
      <c r="B1293">
        <v>2265</v>
      </c>
      <c r="C1293">
        <v>158</v>
      </c>
      <c r="D1293">
        <v>0</v>
      </c>
      <c r="E1293">
        <v>2</v>
      </c>
      <c r="F1293">
        <v>1</v>
      </c>
      <c r="J1293">
        <v>0</v>
      </c>
      <c r="K1293">
        <v>13</v>
      </c>
      <c r="L1293">
        <v>0</v>
      </c>
      <c r="M1293" t="s">
        <v>25022</v>
      </c>
      <c r="N1293">
        <v>3973</v>
      </c>
      <c r="O1293" t="s">
        <v>23346</v>
      </c>
      <c r="P1293" t="s">
        <v>62</v>
      </c>
      <c r="Q1293">
        <v>3935827</v>
      </c>
      <c r="R1293">
        <v>3937014</v>
      </c>
      <c r="S1293" t="s">
        <v>23347</v>
      </c>
      <c r="T1293">
        <v>396</v>
      </c>
      <c r="U1293" t="s">
        <v>108</v>
      </c>
      <c r="V1293">
        <v>44</v>
      </c>
      <c r="W1293" t="str">
        <f>HYPERLINK("Gene3973-zp_tree_all.dnd", "Gene3973-tree")</f>
        <v>Gene3973-tree</v>
      </c>
      <c r="X1293">
        <v>4</v>
      </c>
      <c r="Y1293">
        <v>29</v>
      </c>
      <c r="Z1293">
        <v>4</v>
      </c>
      <c r="AA1293">
        <v>12</v>
      </c>
      <c r="AB1293">
        <v>0.75</v>
      </c>
      <c r="AC1293" t="s">
        <v>61</v>
      </c>
      <c r="AD1293" t="s">
        <v>1455</v>
      </c>
      <c r="AE1293">
        <v>1.4039999999999999</v>
      </c>
      <c r="AF1293" t="s">
        <v>65</v>
      </c>
      <c r="AG1293">
        <v>6</v>
      </c>
      <c r="AH1293">
        <v>13</v>
      </c>
      <c r="AI1293">
        <v>19</v>
      </c>
      <c r="AJ1293">
        <v>0.40625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11</v>
      </c>
      <c r="AQ1293">
        <v>0</v>
      </c>
      <c r="AR1293">
        <v>11</v>
      </c>
      <c r="AS1293">
        <v>19</v>
      </c>
      <c r="AT1293">
        <v>0.36667</v>
      </c>
      <c r="AU1293">
        <v>15</v>
      </c>
      <c r="AV1293">
        <v>11</v>
      </c>
      <c r="AW1293">
        <v>75</v>
      </c>
      <c r="AX1293">
        <v>31</v>
      </c>
      <c r="AY1293">
        <v>31</v>
      </c>
      <c r="AZ1293">
        <v>2</v>
      </c>
      <c r="BA1293" t="s">
        <v>23348</v>
      </c>
      <c r="BB1293" t="s">
        <v>23349</v>
      </c>
      <c r="BC1293">
        <v>1.365</v>
      </c>
      <c r="BD1293" t="s">
        <v>65</v>
      </c>
      <c r="BE1293">
        <v>106</v>
      </c>
      <c r="BF1293">
        <v>33</v>
      </c>
      <c r="BG1293" t="s">
        <v>23350</v>
      </c>
      <c r="BH1293" t="s">
        <v>23351</v>
      </c>
      <c r="BI1293" t="s">
        <v>23352</v>
      </c>
      <c r="BJ1293">
        <v>9.461E-2</v>
      </c>
      <c r="BK1293">
        <v>1</v>
      </c>
      <c r="BL1293" t="s">
        <v>69</v>
      </c>
      <c r="BM1293">
        <v>-0.21299999999999999</v>
      </c>
      <c r="BN1293">
        <v>-0.75700000000000001</v>
      </c>
    </row>
    <row r="1294" spans="2:66">
      <c r="B1294">
        <v>2266</v>
      </c>
      <c r="C1294">
        <v>12</v>
      </c>
      <c r="D1294">
        <v>0</v>
      </c>
      <c r="E1294">
        <v>7</v>
      </c>
      <c r="F1294">
        <v>2</v>
      </c>
      <c r="J1294">
        <v>0</v>
      </c>
      <c r="K1294">
        <v>10</v>
      </c>
      <c r="L1294">
        <v>2</v>
      </c>
      <c r="M1294" t="s">
        <v>25022</v>
      </c>
      <c r="N1294">
        <v>3975</v>
      </c>
      <c r="O1294" t="s">
        <v>23360</v>
      </c>
      <c r="P1294" t="s">
        <v>62</v>
      </c>
      <c r="Q1294">
        <v>3937556</v>
      </c>
      <c r="R1294">
        <v>3938230</v>
      </c>
      <c r="S1294" t="s">
        <v>116</v>
      </c>
      <c r="T1294">
        <v>225</v>
      </c>
      <c r="U1294" t="s">
        <v>23361</v>
      </c>
      <c r="V1294">
        <v>33</v>
      </c>
      <c r="W1294" t="str">
        <f>HYPERLINK("Gene3975-zp_tree_all.dnd", "Gene3975-tree")</f>
        <v>Gene3975-tree</v>
      </c>
      <c r="X1294">
        <v>1</v>
      </c>
      <c r="Y1294">
        <v>9</v>
      </c>
      <c r="Z1294">
        <v>1</v>
      </c>
      <c r="AA1294">
        <v>9</v>
      </c>
      <c r="AB1294">
        <v>0.9</v>
      </c>
      <c r="AC1294" t="s">
        <v>175</v>
      </c>
      <c r="AD1294" t="s">
        <v>135</v>
      </c>
      <c r="AE1294" t="s">
        <v>62</v>
      </c>
      <c r="AF1294" t="s">
        <v>62</v>
      </c>
      <c r="AG1294">
        <v>6</v>
      </c>
      <c r="AH1294">
        <v>12</v>
      </c>
      <c r="AI1294">
        <v>21</v>
      </c>
      <c r="AJ1294">
        <v>0.36364000000000002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6</v>
      </c>
      <c r="AQ1294">
        <v>0</v>
      </c>
      <c r="AR1294">
        <v>6</v>
      </c>
      <c r="AS1294">
        <v>21</v>
      </c>
      <c r="AT1294">
        <v>0.22222</v>
      </c>
      <c r="AU1294">
        <v>8</v>
      </c>
      <c r="AV1294">
        <v>7</v>
      </c>
      <c r="AW1294">
        <v>19</v>
      </c>
      <c r="AX1294">
        <v>18</v>
      </c>
      <c r="AY1294">
        <v>20</v>
      </c>
      <c r="AZ1294">
        <v>15</v>
      </c>
      <c r="BA1294" t="s">
        <v>23362</v>
      </c>
      <c r="BB1294" t="s">
        <v>23363</v>
      </c>
      <c r="BC1294">
        <v>0.26500000000000001</v>
      </c>
      <c r="BD1294" t="s">
        <v>65</v>
      </c>
      <c r="BE1294">
        <v>39</v>
      </c>
      <c r="BF1294">
        <v>33</v>
      </c>
      <c r="BG1294" t="s">
        <v>23364</v>
      </c>
      <c r="BH1294" t="s">
        <v>23365</v>
      </c>
      <c r="BI1294" t="s">
        <v>23366</v>
      </c>
      <c r="BJ1294">
        <v>0.24661</v>
      </c>
      <c r="BK1294">
        <v>1</v>
      </c>
      <c r="BL1294" t="s">
        <v>69</v>
      </c>
      <c r="BM1294">
        <v>-0.91900000000000004</v>
      </c>
      <c r="BN1294">
        <v>-0.86599999999999999</v>
      </c>
    </row>
    <row r="1295" spans="2:66">
      <c r="B1295">
        <v>2267</v>
      </c>
      <c r="C1295">
        <v>11</v>
      </c>
      <c r="D1295">
        <v>0</v>
      </c>
      <c r="E1295">
        <v>2</v>
      </c>
      <c r="F1295">
        <v>1</v>
      </c>
      <c r="J1295">
        <v>0</v>
      </c>
      <c r="K1295">
        <v>9</v>
      </c>
      <c r="L1295">
        <v>1</v>
      </c>
      <c r="M1295" t="s">
        <v>25022</v>
      </c>
      <c r="N1295">
        <v>3976</v>
      </c>
      <c r="O1295" t="s">
        <v>23367</v>
      </c>
      <c r="P1295" t="s">
        <v>62</v>
      </c>
      <c r="Q1295">
        <v>3938310</v>
      </c>
      <c r="R1295">
        <v>3939641</v>
      </c>
      <c r="S1295" t="s">
        <v>23368</v>
      </c>
      <c r="T1295">
        <v>444</v>
      </c>
      <c r="U1295" t="s">
        <v>23369</v>
      </c>
      <c r="V1295">
        <v>32</v>
      </c>
      <c r="W1295" t="str">
        <f>HYPERLINK("Gene3976-zp_tree_all.dnd", "Gene3976-tree")</f>
        <v>Gene3976-tree</v>
      </c>
      <c r="X1295">
        <v>3</v>
      </c>
      <c r="Y1295">
        <v>8</v>
      </c>
      <c r="Z1295">
        <v>3</v>
      </c>
      <c r="AA1295">
        <v>8</v>
      </c>
      <c r="AB1295">
        <v>0.72726999999999997</v>
      </c>
      <c r="AC1295" t="s">
        <v>324</v>
      </c>
      <c r="AD1295" t="s">
        <v>136</v>
      </c>
      <c r="AE1295" t="s">
        <v>62</v>
      </c>
      <c r="AF1295" t="s">
        <v>62</v>
      </c>
      <c r="AG1295">
        <v>4</v>
      </c>
      <c r="AH1295">
        <v>10</v>
      </c>
      <c r="AI1295">
        <v>15</v>
      </c>
      <c r="AJ1295">
        <v>0.4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2</v>
      </c>
      <c r="AQ1295">
        <v>0</v>
      </c>
      <c r="AR1295">
        <v>2</v>
      </c>
      <c r="AS1295">
        <v>15</v>
      </c>
      <c r="AT1295">
        <v>0.11765</v>
      </c>
      <c r="AU1295">
        <v>10</v>
      </c>
      <c r="AV1295">
        <v>7</v>
      </c>
      <c r="AW1295">
        <v>35</v>
      </c>
      <c r="AX1295">
        <v>17</v>
      </c>
      <c r="AY1295">
        <v>54</v>
      </c>
      <c r="AZ1295">
        <v>9</v>
      </c>
      <c r="BA1295" t="s">
        <v>23370</v>
      </c>
      <c r="BB1295" t="s">
        <v>23371</v>
      </c>
      <c r="BC1295">
        <v>1.167</v>
      </c>
      <c r="BD1295" t="s">
        <v>65</v>
      </c>
      <c r="BE1295">
        <v>89</v>
      </c>
      <c r="BF1295">
        <v>26</v>
      </c>
      <c r="BG1295" t="s">
        <v>23372</v>
      </c>
      <c r="BH1295" t="s">
        <v>23373</v>
      </c>
      <c r="BI1295" t="s">
        <v>23374</v>
      </c>
      <c r="BJ1295">
        <v>7.9949999999999993E-2</v>
      </c>
      <c r="BK1295">
        <v>1</v>
      </c>
      <c r="BL1295" t="s">
        <v>69</v>
      </c>
      <c r="BM1295">
        <v>-0.69899999999999995</v>
      </c>
      <c r="BN1295">
        <v>-0.91200000000000003</v>
      </c>
    </row>
    <row r="1296" spans="2:66">
      <c r="B1296">
        <v>2268</v>
      </c>
      <c r="C1296">
        <v>303</v>
      </c>
      <c r="D1296">
        <v>0</v>
      </c>
      <c r="E1296">
        <v>7</v>
      </c>
      <c r="F1296">
        <v>0</v>
      </c>
      <c r="J1296">
        <v>0</v>
      </c>
      <c r="K1296">
        <v>8</v>
      </c>
      <c r="L1296">
        <v>0</v>
      </c>
      <c r="M1296" t="s">
        <v>25022</v>
      </c>
      <c r="N1296">
        <v>3980</v>
      </c>
      <c r="O1296" t="s">
        <v>23394</v>
      </c>
      <c r="P1296" t="s">
        <v>62</v>
      </c>
      <c r="Q1296">
        <v>3944563</v>
      </c>
      <c r="R1296">
        <v>3945420</v>
      </c>
      <c r="S1296" t="s">
        <v>23395</v>
      </c>
      <c r="T1296">
        <v>286</v>
      </c>
      <c r="U1296" t="s">
        <v>108</v>
      </c>
      <c r="V1296">
        <v>44</v>
      </c>
      <c r="W1296" t="str">
        <f>HYPERLINK("Gene3980-zp_tree_all.dnd", "Gene3980-tree")</f>
        <v>Gene3980-tree</v>
      </c>
      <c r="X1296">
        <v>10</v>
      </c>
      <c r="Y1296">
        <v>6</v>
      </c>
      <c r="Z1296">
        <v>10</v>
      </c>
      <c r="AA1296">
        <v>6</v>
      </c>
      <c r="AB1296">
        <v>0.375</v>
      </c>
      <c r="AC1296" t="s">
        <v>117</v>
      </c>
      <c r="AD1296" t="s">
        <v>90</v>
      </c>
      <c r="AE1296" t="s">
        <v>62</v>
      </c>
      <c r="AF1296" t="s">
        <v>62</v>
      </c>
      <c r="AG1296">
        <v>2</v>
      </c>
      <c r="AH1296">
        <v>8</v>
      </c>
      <c r="AI1296">
        <v>11</v>
      </c>
      <c r="AJ1296">
        <v>0.42104999999999998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4</v>
      </c>
      <c r="AQ1296">
        <v>0</v>
      </c>
      <c r="AR1296">
        <v>4</v>
      </c>
      <c r="AS1296">
        <v>8</v>
      </c>
      <c r="AT1296">
        <v>0.33333000000000002</v>
      </c>
      <c r="AU1296">
        <v>12</v>
      </c>
      <c r="AV1296">
        <v>9</v>
      </c>
      <c r="AW1296">
        <v>23</v>
      </c>
      <c r="AX1296">
        <v>11</v>
      </c>
      <c r="AY1296">
        <v>13</v>
      </c>
      <c r="AZ1296">
        <v>8</v>
      </c>
      <c r="BA1296" t="s">
        <v>23396</v>
      </c>
      <c r="BB1296" t="s">
        <v>23397</v>
      </c>
      <c r="BC1296">
        <v>0.14799999999999999</v>
      </c>
      <c r="BD1296" t="s">
        <v>65</v>
      </c>
      <c r="BE1296">
        <v>36</v>
      </c>
      <c r="BF1296">
        <v>19</v>
      </c>
      <c r="BG1296" t="s">
        <v>23398</v>
      </c>
      <c r="BH1296" t="s">
        <v>23399</v>
      </c>
      <c r="BI1296" t="s">
        <v>23400</v>
      </c>
      <c r="BJ1296">
        <v>0.11946</v>
      </c>
      <c r="BK1296">
        <v>1</v>
      </c>
      <c r="BL1296" t="s">
        <v>69</v>
      </c>
      <c r="BM1296">
        <v>-0.442</v>
      </c>
      <c r="BN1296">
        <v>0.93799999999999994</v>
      </c>
    </row>
    <row r="1297" spans="2:66">
      <c r="B1297">
        <v>2269</v>
      </c>
      <c r="C1297">
        <v>179</v>
      </c>
      <c r="D1297">
        <v>0</v>
      </c>
      <c r="E1297">
        <v>2</v>
      </c>
      <c r="F1297">
        <v>2</v>
      </c>
      <c r="J1297">
        <v>0</v>
      </c>
      <c r="K1297">
        <v>10</v>
      </c>
      <c r="L1297">
        <v>4</v>
      </c>
      <c r="M1297" t="s">
        <v>25022</v>
      </c>
      <c r="N1297">
        <v>3981</v>
      </c>
      <c r="O1297" t="s">
        <v>23401</v>
      </c>
      <c r="P1297" t="s">
        <v>62</v>
      </c>
      <c r="Q1297">
        <v>3945533</v>
      </c>
      <c r="R1297">
        <v>3946243</v>
      </c>
      <c r="S1297" t="s">
        <v>1856</v>
      </c>
      <c r="T1297">
        <v>237</v>
      </c>
      <c r="U1297" t="s">
        <v>108</v>
      </c>
      <c r="V1297">
        <v>44</v>
      </c>
      <c r="W1297" t="str">
        <f>HYPERLINK("Gene3981-zp_tree_all.dnd", "Gene3981-tree")</f>
        <v>Gene3981-tree</v>
      </c>
      <c r="X1297">
        <v>5</v>
      </c>
      <c r="Y1297">
        <v>9</v>
      </c>
      <c r="Z1297">
        <v>5</v>
      </c>
      <c r="AA1297">
        <v>9</v>
      </c>
      <c r="AB1297">
        <v>0.64285999999999999</v>
      </c>
      <c r="AC1297" t="s">
        <v>199</v>
      </c>
      <c r="AD1297" t="s">
        <v>135</v>
      </c>
      <c r="AE1297" t="s">
        <v>62</v>
      </c>
      <c r="AF1297" t="s">
        <v>62</v>
      </c>
      <c r="AG1297">
        <v>5</v>
      </c>
      <c r="AH1297">
        <v>14</v>
      </c>
      <c r="AI1297">
        <v>9</v>
      </c>
      <c r="AJ1297">
        <v>0.60870000000000002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7</v>
      </c>
      <c r="AQ1297">
        <v>2</v>
      </c>
      <c r="AR1297">
        <v>9</v>
      </c>
      <c r="AS1297">
        <v>9</v>
      </c>
      <c r="AT1297">
        <v>0.5</v>
      </c>
      <c r="AU1297">
        <v>11</v>
      </c>
      <c r="AV1297">
        <v>10</v>
      </c>
      <c r="AW1297">
        <v>12</v>
      </c>
      <c r="AX1297">
        <v>18</v>
      </c>
      <c r="AY1297">
        <v>20</v>
      </c>
      <c r="AZ1297">
        <v>6</v>
      </c>
      <c r="BA1297" t="s">
        <v>23402</v>
      </c>
      <c r="BB1297" t="s">
        <v>23403</v>
      </c>
      <c r="BC1297">
        <v>1.202</v>
      </c>
      <c r="BD1297" t="s">
        <v>65</v>
      </c>
      <c r="BE1297">
        <v>32</v>
      </c>
      <c r="BF1297">
        <v>24</v>
      </c>
      <c r="BG1297" t="s">
        <v>23404</v>
      </c>
      <c r="BH1297" t="s">
        <v>23405</v>
      </c>
      <c r="BI1297" t="s">
        <v>23406</v>
      </c>
      <c r="BJ1297">
        <v>0.18686</v>
      </c>
      <c r="BK1297">
        <v>1</v>
      </c>
      <c r="BL1297" t="s">
        <v>69</v>
      </c>
      <c r="BM1297">
        <v>0.17299999999999999</v>
      </c>
      <c r="BN1297">
        <v>-0.16900000000000001</v>
      </c>
    </row>
    <row r="1298" spans="2:66">
      <c r="B1298">
        <v>2271</v>
      </c>
      <c r="C1298">
        <v>153</v>
      </c>
      <c r="D1298">
        <v>0</v>
      </c>
      <c r="E1298">
        <v>0</v>
      </c>
      <c r="F1298">
        <v>4</v>
      </c>
      <c r="J1298">
        <v>0</v>
      </c>
      <c r="K1298">
        <v>0</v>
      </c>
      <c r="L1298">
        <v>0</v>
      </c>
      <c r="M1298" t="s">
        <v>25022</v>
      </c>
      <c r="N1298">
        <v>3985</v>
      </c>
      <c r="O1298" t="s">
        <v>23427</v>
      </c>
      <c r="P1298" t="s">
        <v>62</v>
      </c>
      <c r="Q1298">
        <v>3949955</v>
      </c>
      <c r="R1298">
        <v>3950584</v>
      </c>
      <c r="S1298" t="s">
        <v>7537</v>
      </c>
      <c r="T1298">
        <v>210</v>
      </c>
      <c r="U1298" t="s">
        <v>409</v>
      </c>
      <c r="V1298">
        <v>45</v>
      </c>
      <c r="W1298" t="str">
        <f>HYPERLINK("Gene3985-zp_tree_all.dnd", "Gene3985-tree")</f>
        <v>Gene3985-tree</v>
      </c>
      <c r="X1298">
        <v>11</v>
      </c>
      <c r="Y1298">
        <v>1</v>
      </c>
      <c r="Z1298">
        <v>11</v>
      </c>
      <c r="AA1298">
        <v>1</v>
      </c>
      <c r="AB1298">
        <v>8.3330000000000001E-2</v>
      </c>
      <c r="AC1298" t="s">
        <v>73</v>
      </c>
      <c r="AD1298" t="s">
        <v>175</v>
      </c>
      <c r="AE1298" t="s">
        <v>62</v>
      </c>
      <c r="AF1298" t="s">
        <v>62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8</v>
      </c>
      <c r="AV1298">
        <v>6</v>
      </c>
      <c r="AW1298">
        <v>35</v>
      </c>
      <c r="AX1298">
        <v>1</v>
      </c>
      <c r="AY1298">
        <v>21</v>
      </c>
      <c r="AZ1298">
        <v>1</v>
      </c>
      <c r="BA1298" t="s">
        <v>23428</v>
      </c>
      <c r="BB1298" t="s">
        <v>23429</v>
      </c>
      <c r="BC1298">
        <v>0.11899999999999999</v>
      </c>
      <c r="BD1298" t="s">
        <v>65</v>
      </c>
      <c r="BE1298">
        <v>56</v>
      </c>
      <c r="BF1298">
        <v>2</v>
      </c>
      <c r="BG1298" t="s">
        <v>23430</v>
      </c>
      <c r="BH1298" t="s">
        <v>23431</v>
      </c>
      <c r="BI1298" t="s">
        <v>17047</v>
      </c>
      <c r="BJ1298">
        <v>9.1800000000000007E-3</v>
      </c>
      <c r="BK1298">
        <v>1</v>
      </c>
      <c r="BL1298" t="s">
        <v>69</v>
      </c>
      <c r="BM1298">
        <v>-1.0529999999999999</v>
      </c>
      <c r="BN1298">
        <v>-1.3819999999999999</v>
      </c>
    </row>
    <row r="1299" spans="2:66">
      <c r="B1299">
        <v>2272</v>
      </c>
      <c r="C1299">
        <v>143</v>
      </c>
      <c r="D1299">
        <v>0</v>
      </c>
      <c r="E1299">
        <v>6</v>
      </c>
      <c r="F1299">
        <v>2</v>
      </c>
      <c r="J1299">
        <v>2</v>
      </c>
      <c r="K1299">
        <v>8</v>
      </c>
      <c r="L1299">
        <v>0</v>
      </c>
      <c r="M1299" t="s">
        <v>25022</v>
      </c>
      <c r="N1299">
        <v>3986</v>
      </c>
      <c r="O1299" t="s">
        <v>23432</v>
      </c>
      <c r="P1299" t="s">
        <v>62</v>
      </c>
      <c r="Q1299">
        <v>3950729</v>
      </c>
      <c r="R1299">
        <v>3951661</v>
      </c>
      <c r="S1299" t="s">
        <v>23433</v>
      </c>
      <c r="T1299">
        <v>311</v>
      </c>
      <c r="U1299" t="s">
        <v>698</v>
      </c>
      <c r="V1299">
        <v>47</v>
      </c>
      <c r="W1299" t="str">
        <f>HYPERLINK("Gene3986-zp_tree_all.dnd", "Gene3986-tree")</f>
        <v>Gene3986-tree</v>
      </c>
      <c r="X1299">
        <v>13</v>
      </c>
      <c r="Y1299">
        <v>4</v>
      </c>
      <c r="Z1299">
        <v>13</v>
      </c>
      <c r="AA1299">
        <v>4</v>
      </c>
      <c r="AB1299">
        <v>0.23529</v>
      </c>
      <c r="AC1299" t="s">
        <v>507</v>
      </c>
      <c r="AD1299" t="s">
        <v>61</v>
      </c>
      <c r="AE1299" t="s">
        <v>62</v>
      </c>
      <c r="AF1299" t="s">
        <v>62</v>
      </c>
      <c r="AG1299">
        <v>3</v>
      </c>
      <c r="AH1299">
        <v>10</v>
      </c>
      <c r="AI1299">
        <v>3</v>
      </c>
      <c r="AJ1299">
        <v>0.76922999999999997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2</v>
      </c>
      <c r="AR1299">
        <v>2</v>
      </c>
      <c r="AS1299">
        <v>3</v>
      </c>
      <c r="AT1299">
        <v>0.4</v>
      </c>
      <c r="AU1299">
        <v>13</v>
      </c>
      <c r="AV1299">
        <v>13</v>
      </c>
      <c r="AW1299">
        <v>44</v>
      </c>
      <c r="AX1299">
        <v>3</v>
      </c>
      <c r="AY1299">
        <v>61</v>
      </c>
      <c r="AZ1299">
        <v>10</v>
      </c>
      <c r="BA1299" t="s">
        <v>23434</v>
      </c>
      <c r="BB1299" t="s">
        <v>23435</v>
      </c>
      <c r="BC1299">
        <v>0.83299999999999996</v>
      </c>
      <c r="BD1299" t="s">
        <v>65</v>
      </c>
      <c r="BE1299">
        <v>105</v>
      </c>
      <c r="BF1299">
        <v>13</v>
      </c>
      <c r="BG1299" t="s">
        <v>23436</v>
      </c>
      <c r="BH1299" t="s">
        <v>23437</v>
      </c>
      <c r="BI1299" t="s">
        <v>7030</v>
      </c>
      <c r="BJ1299">
        <v>3.8460000000000001E-2</v>
      </c>
      <c r="BK1299">
        <v>1</v>
      </c>
      <c r="BL1299" t="s">
        <v>69</v>
      </c>
      <c r="BM1299">
        <v>-0.60399999999999998</v>
      </c>
      <c r="BN1299">
        <v>-0.72799999999999998</v>
      </c>
    </row>
    <row r="1300" spans="2:66">
      <c r="B1300">
        <v>2273</v>
      </c>
      <c r="C1300">
        <v>229</v>
      </c>
      <c r="D1300">
        <v>0</v>
      </c>
      <c r="E1300">
        <v>2</v>
      </c>
      <c r="F1300">
        <v>0</v>
      </c>
      <c r="J1300">
        <v>0</v>
      </c>
      <c r="K1300">
        <v>2</v>
      </c>
      <c r="L1300">
        <v>0</v>
      </c>
      <c r="M1300" t="s">
        <v>25022</v>
      </c>
      <c r="N1300">
        <v>3987</v>
      </c>
      <c r="O1300" t="s">
        <v>23438</v>
      </c>
      <c r="P1300" t="s">
        <v>62</v>
      </c>
      <c r="Q1300">
        <v>3951827</v>
      </c>
      <c r="R1300">
        <v>3951958</v>
      </c>
      <c r="S1300" t="s">
        <v>23439</v>
      </c>
      <c r="T1300">
        <v>44</v>
      </c>
      <c r="U1300" t="s">
        <v>108</v>
      </c>
      <c r="V1300">
        <v>44</v>
      </c>
      <c r="W1300" t="str">
        <f>HYPERLINK("Gene3987-zp_tree_all.dnd", "Gene3987-tree")</f>
        <v>Gene3987-tree</v>
      </c>
      <c r="X1300">
        <v>0</v>
      </c>
      <c r="Y1300">
        <v>37</v>
      </c>
      <c r="Z1300">
        <v>0</v>
      </c>
      <c r="AA1300">
        <v>7</v>
      </c>
      <c r="AB1300">
        <v>1</v>
      </c>
      <c r="AC1300" t="s">
        <v>62</v>
      </c>
      <c r="AD1300" t="s">
        <v>23440</v>
      </c>
      <c r="AE1300">
        <v>7.1879999999999997</v>
      </c>
      <c r="AF1300" t="s">
        <v>65</v>
      </c>
      <c r="AG1300">
        <v>1</v>
      </c>
      <c r="AH1300">
        <v>2</v>
      </c>
      <c r="AI1300">
        <v>7</v>
      </c>
      <c r="AJ1300">
        <v>0.22222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2</v>
      </c>
      <c r="AQ1300">
        <v>0</v>
      </c>
      <c r="AR1300">
        <v>2</v>
      </c>
      <c r="AS1300">
        <v>5</v>
      </c>
      <c r="AT1300">
        <v>0.28571000000000002</v>
      </c>
      <c r="AU1300">
        <v>5</v>
      </c>
      <c r="AV1300">
        <v>2</v>
      </c>
      <c r="AW1300">
        <v>2</v>
      </c>
      <c r="AX1300">
        <v>6</v>
      </c>
      <c r="AY1300">
        <v>0</v>
      </c>
      <c r="AZ1300">
        <v>3</v>
      </c>
      <c r="BA1300" t="s">
        <v>23441</v>
      </c>
      <c r="BB1300" t="s">
        <v>193</v>
      </c>
      <c r="BC1300">
        <v>0.54400000000000004</v>
      </c>
      <c r="BD1300" t="s">
        <v>65</v>
      </c>
      <c r="BE1300">
        <v>2</v>
      </c>
      <c r="BF1300">
        <v>9</v>
      </c>
      <c r="BG1300" t="s">
        <v>23442</v>
      </c>
      <c r="BH1300" t="s">
        <v>23443</v>
      </c>
      <c r="BI1300" t="s">
        <v>23444</v>
      </c>
      <c r="BJ1300">
        <v>1.1816899999999999</v>
      </c>
      <c r="BK1300">
        <v>0.51800000000000002</v>
      </c>
      <c r="BL1300" t="s">
        <v>635</v>
      </c>
      <c r="BM1300">
        <v>-0.80900000000000005</v>
      </c>
      <c r="BN1300">
        <v>0.21</v>
      </c>
    </row>
    <row r="1301" spans="2:66">
      <c r="B1301">
        <v>2276</v>
      </c>
      <c r="C1301">
        <v>40</v>
      </c>
      <c r="D1301">
        <v>0</v>
      </c>
      <c r="E1301">
        <v>8</v>
      </c>
      <c r="F1301">
        <v>3</v>
      </c>
      <c r="J1301">
        <v>0</v>
      </c>
      <c r="K1301">
        <v>0</v>
      </c>
      <c r="L1301">
        <v>0</v>
      </c>
      <c r="M1301" t="s">
        <v>25022</v>
      </c>
      <c r="N1301">
        <v>3994</v>
      </c>
      <c r="O1301" t="s">
        <v>23483</v>
      </c>
      <c r="P1301" t="s">
        <v>62</v>
      </c>
      <c r="Q1301">
        <v>3958519</v>
      </c>
      <c r="R1301">
        <v>3959844</v>
      </c>
      <c r="S1301" t="s">
        <v>23484</v>
      </c>
      <c r="T1301">
        <v>442</v>
      </c>
      <c r="U1301" t="s">
        <v>108</v>
      </c>
      <c r="V1301">
        <v>44</v>
      </c>
      <c r="W1301" t="str">
        <f>HYPERLINK("Gene3994-zp_tree_all.dnd", "Gene3994-tree")</f>
        <v>Gene3994-tree</v>
      </c>
      <c r="X1301">
        <v>11</v>
      </c>
      <c r="Y1301">
        <v>4</v>
      </c>
      <c r="Z1301">
        <v>11</v>
      </c>
      <c r="AA1301">
        <v>4</v>
      </c>
      <c r="AB1301">
        <v>0.26667000000000002</v>
      </c>
      <c r="AC1301" t="s">
        <v>73</v>
      </c>
      <c r="AD1301" t="s">
        <v>61</v>
      </c>
      <c r="AE1301" t="s">
        <v>62</v>
      </c>
      <c r="AF1301" t="s">
        <v>62</v>
      </c>
      <c r="AG1301">
        <v>0</v>
      </c>
      <c r="AH1301">
        <v>0</v>
      </c>
      <c r="AI1301">
        <v>5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4</v>
      </c>
      <c r="AT1301">
        <v>0</v>
      </c>
      <c r="AU1301">
        <v>13</v>
      </c>
      <c r="AV1301">
        <v>12</v>
      </c>
      <c r="AW1301">
        <v>70</v>
      </c>
      <c r="AX1301">
        <v>4</v>
      </c>
      <c r="AY1301">
        <v>51</v>
      </c>
      <c r="AZ1301">
        <v>1</v>
      </c>
      <c r="BA1301" t="s">
        <v>23485</v>
      </c>
      <c r="BB1301" t="s">
        <v>23486</v>
      </c>
      <c r="BC1301">
        <v>0.46500000000000002</v>
      </c>
      <c r="BD1301" t="s">
        <v>65</v>
      </c>
      <c r="BE1301">
        <v>121</v>
      </c>
      <c r="BF1301">
        <v>5</v>
      </c>
      <c r="BG1301" t="s">
        <v>23487</v>
      </c>
      <c r="BH1301" t="s">
        <v>23488</v>
      </c>
      <c r="BI1301" t="s">
        <v>23489</v>
      </c>
      <c r="BJ1301">
        <v>1.0619999999999999E-2</v>
      </c>
      <c r="BK1301">
        <v>1</v>
      </c>
      <c r="BL1301" t="s">
        <v>69</v>
      </c>
      <c r="BM1301">
        <v>-0.315</v>
      </c>
      <c r="BN1301">
        <v>-1.0229999999999999</v>
      </c>
    </row>
    <row r="1302" spans="2:66">
      <c r="B1302">
        <v>2279</v>
      </c>
      <c r="C1302">
        <v>41</v>
      </c>
      <c r="D1302">
        <v>0</v>
      </c>
      <c r="E1302">
        <v>4</v>
      </c>
      <c r="F1302">
        <v>0</v>
      </c>
      <c r="J1302">
        <v>0</v>
      </c>
      <c r="K1302">
        <v>0</v>
      </c>
      <c r="L1302">
        <v>0</v>
      </c>
      <c r="M1302" t="s">
        <v>25022</v>
      </c>
      <c r="N1302">
        <v>3995</v>
      </c>
      <c r="O1302" t="s">
        <v>23490</v>
      </c>
      <c r="P1302" t="s">
        <v>62</v>
      </c>
      <c r="Q1302">
        <v>3959844</v>
      </c>
      <c r="R1302">
        <v>3960173</v>
      </c>
      <c r="S1302" t="s">
        <v>23491</v>
      </c>
      <c r="T1302">
        <v>110</v>
      </c>
      <c r="U1302" t="s">
        <v>465</v>
      </c>
      <c r="V1302">
        <v>46</v>
      </c>
      <c r="W1302" t="str">
        <f>HYPERLINK("Gene3995-zp_tree_all.dnd", "Gene3995-tree")</f>
        <v>Gene3995-tree</v>
      </c>
      <c r="X1302">
        <v>11</v>
      </c>
      <c r="Y1302">
        <v>1</v>
      </c>
      <c r="Z1302">
        <v>11</v>
      </c>
      <c r="AA1302">
        <v>1</v>
      </c>
      <c r="AB1302">
        <v>8.3330000000000001E-2</v>
      </c>
      <c r="AC1302" t="s">
        <v>73</v>
      </c>
      <c r="AD1302" t="s">
        <v>175</v>
      </c>
      <c r="AE1302" t="s">
        <v>62</v>
      </c>
      <c r="AF1302" t="s">
        <v>62</v>
      </c>
      <c r="AG1302">
        <v>0</v>
      </c>
      <c r="AH1302">
        <v>0</v>
      </c>
      <c r="AI1302">
        <v>5</v>
      </c>
      <c r="AJ1302">
        <v>0</v>
      </c>
      <c r="AK1302">
        <v>0</v>
      </c>
      <c r="AL1302">
        <v>0</v>
      </c>
      <c r="AM1302">
        <v>0</v>
      </c>
      <c r="AN1302">
        <v>4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8</v>
      </c>
      <c r="AV1302">
        <v>5</v>
      </c>
      <c r="AW1302">
        <v>11</v>
      </c>
      <c r="AX1302">
        <v>1</v>
      </c>
      <c r="AY1302">
        <v>17</v>
      </c>
      <c r="AZ1302">
        <v>4</v>
      </c>
      <c r="BA1302" t="s">
        <v>23492</v>
      </c>
      <c r="BB1302" t="s">
        <v>23493</v>
      </c>
      <c r="BC1302">
        <v>0.36399999999999999</v>
      </c>
      <c r="BD1302" t="s">
        <v>65</v>
      </c>
      <c r="BE1302">
        <v>28</v>
      </c>
      <c r="BF1302">
        <v>5</v>
      </c>
      <c r="BG1302" t="s">
        <v>23494</v>
      </c>
      <c r="BH1302" t="s">
        <v>23495</v>
      </c>
      <c r="BI1302" t="s">
        <v>23496</v>
      </c>
      <c r="BJ1302">
        <v>5.5629999999999999E-2</v>
      </c>
      <c r="BK1302">
        <v>1</v>
      </c>
      <c r="BL1302" t="s">
        <v>69</v>
      </c>
      <c r="BM1302">
        <v>-1.861</v>
      </c>
      <c r="BN1302">
        <v>0.30599999999999999</v>
      </c>
    </row>
    <row r="1303" spans="2:66">
      <c r="B1303">
        <v>2280</v>
      </c>
      <c r="C1303">
        <v>146</v>
      </c>
      <c r="D1303">
        <v>0</v>
      </c>
      <c r="E1303">
        <v>18</v>
      </c>
      <c r="F1303">
        <v>2</v>
      </c>
      <c r="J1303">
        <v>0</v>
      </c>
      <c r="K1303">
        <v>5</v>
      </c>
      <c r="L1303">
        <v>2</v>
      </c>
      <c r="M1303" t="s">
        <v>25022</v>
      </c>
      <c r="N1303">
        <v>3996</v>
      </c>
      <c r="O1303" t="s">
        <v>23497</v>
      </c>
      <c r="P1303" t="s">
        <v>62</v>
      </c>
      <c r="Q1303">
        <v>3960195</v>
      </c>
      <c r="R1303">
        <v>3961550</v>
      </c>
      <c r="S1303" t="s">
        <v>23498</v>
      </c>
      <c r="T1303">
        <v>452</v>
      </c>
      <c r="U1303" t="s">
        <v>108</v>
      </c>
      <c r="V1303">
        <v>44</v>
      </c>
      <c r="W1303" t="str">
        <f>HYPERLINK("Gene3996-zp_tree_all.dnd", "Gene3996-tree")</f>
        <v>Gene3996-tree</v>
      </c>
      <c r="X1303">
        <v>8</v>
      </c>
      <c r="Y1303">
        <v>9</v>
      </c>
      <c r="Z1303">
        <v>8</v>
      </c>
      <c r="AA1303">
        <v>9</v>
      </c>
      <c r="AB1303">
        <v>0.52941000000000005</v>
      </c>
      <c r="AC1303" t="s">
        <v>136</v>
      </c>
      <c r="AD1303" t="s">
        <v>135</v>
      </c>
      <c r="AE1303" t="s">
        <v>62</v>
      </c>
      <c r="AF1303" t="s">
        <v>62</v>
      </c>
      <c r="AG1303">
        <v>3</v>
      </c>
      <c r="AH1303">
        <v>7</v>
      </c>
      <c r="AI1303">
        <v>5</v>
      </c>
      <c r="AJ1303">
        <v>0.58333000000000002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5</v>
      </c>
      <c r="AQ1303">
        <v>2</v>
      </c>
      <c r="AR1303">
        <v>7</v>
      </c>
      <c r="AS1303">
        <v>5</v>
      </c>
      <c r="AT1303">
        <v>0.58333000000000002</v>
      </c>
      <c r="AU1303">
        <v>13</v>
      </c>
      <c r="AV1303">
        <v>11</v>
      </c>
      <c r="AW1303">
        <v>54</v>
      </c>
      <c r="AX1303">
        <v>11</v>
      </c>
      <c r="AY1303">
        <v>29</v>
      </c>
      <c r="AZ1303">
        <v>1</v>
      </c>
      <c r="BA1303" t="s">
        <v>23499</v>
      </c>
      <c r="BB1303" t="s">
        <v>23500</v>
      </c>
      <c r="BC1303">
        <v>1.198</v>
      </c>
      <c r="BD1303" t="s">
        <v>65</v>
      </c>
      <c r="BE1303">
        <v>83</v>
      </c>
      <c r="BF1303">
        <v>12</v>
      </c>
      <c r="BG1303" t="s">
        <v>23010</v>
      </c>
      <c r="BH1303" t="s">
        <v>23501</v>
      </c>
      <c r="BI1303" t="s">
        <v>23502</v>
      </c>
      <c r="BJ1303">
        <v>3.4509999999999999E-2</v>
      </c>
      <c r="BK1303">
        <v>1</v>
      </c>
      <c r="BL1303" t="s">
        <v>69</v>
      </c>
      <c r="BM1303">
        <v>-0.73399999999999999</v>
      </c>
      <c r="BN1303">
        <v>-1.7669999999999999</v>
      </c>
    </row>
    <row r="1304" spans="2:66">
      <c r="B1304">
        <v>2282</v>
      </c>
      <c r="C1304">
        <v>19</v>
      </c>
      <c r="D1304">
        <v>0</v>
      </c>
      <c r="E1304">
        <v>7</v>
      </c>
      <c r="F1304">
        <v>2</v>
      </c>
      <c r="J1304">
        <v>0</v>
      </c>
      <c r="K1304">
        <v>0</v>
      </c>
      <c r="L1304">
        <v>0</v>
      </c>
      <c r="M1304" t="s">
        <v>25022</v>
      </c>
      <c r="N1304">
        <v>3997</v>
      </c>
      <c r="O1304" t="s">
        <v>23503</v>
      </c>
      <c r="P1304" t="s">
        <v>62</v>
      </c>
      <c r="Q1304">
        <v>3961569</v>
      </c>
      <c r="R1304">
        <v>3961874</v>
      </c>
      <c r="S1304" t="s">
        <v>23504</v>
      </c>
      <c r="T1304">
        <v>102</v>
      </c>
      <c r="U1304" t="s">
        <v>59</v>
      </c>
      <c r="V1304">
        <v>49</v>
      </c>
      <c r="W1304" t="str">
        <f>HYPERLINK("Gene3997-zp_tree_all.dnd", "Gene3997-tree")</f>
        <v>Gene3997-tree</v>
      </c>
      <c r="X1304">
        <v>30</v>
      </c>
      <c r="Y1304">
        <v>0</v>
      </c>
      <c r="Z1304">
        <v>12</v>
      </c>
      <c r="AA1304">
        <v>0</v>
      </c>
      <c r="AB1304">
        <v>0</v>
      </c>
      <c r="AC1304" t="s">
        <v>23505</v>
      </c>
      <c r="AD1304" t="s">
        <v>62</v>
      </c>
      <c r="AE1304" t="s">
        <v>62</v>
      </c>
      <c r="AF1304" t="s">
        <v>62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8</v>
      </c>
      <c r="AV1304">
        <v>6</v>
      </c>
      <c r="AW1304">
        <v>13</v>
      </c>
      <c r="AX1304">
        <v>0</v>
      </c>
      <c r="AY1304">
        <v>22</v>
      </c>
      <c r="AZ1304">
        <v>1</v>
      </c>
      <c r="BA1304" t="s">
        <v>193</v>
      </c>
      <c r="BB1304" t="s">
        <v>23506</v>
      </c>
      <c r="BC1304">
        <v>0.45800000000000002</v>
      </c>
      <c r="BD1304" t="s">
        <v>65</v>
      </c>
      <c r="BE1304">
        <v>35</v>
      </c>
      <c r="BF1304">
        <v>1</v>
      </c>
      <c r="BG1304" t="s">
        <v>23507</v>
      </c>
      <c r="BH1304" t="s">
        <v>23508</v>
      </c>
      <c r="BI1304" t="s">
        <v>23509</v>
      </c>
      <c r="BJ1304">
        <v>1.0059999999999999E-2</v>
      </c>
      <c r="BK1304">
        <v>1</v>
      </c>
      <c r="BL1304" t="s">
        <v>69</v>
      </c>
      <c r="BM1304">
        <v>-1.1719999999999999</v>
      </c>
      <c r="BN1304">
        <v>-0.61199999999999999</v>
      </c>
    </row>
    <row r="1305" spans="2:66">
      <c r="B1305">
        <v>2284</v>
      </c>
      <c r="C1305">
        <v>40</v>
      </c>
      <c r="D1305">
        <v>0</v>
      </c>
      <c r="E1305">
        <v>4</v>
      </c>
      <c r="F1305">
        <v>2</v>
      </c>
      <c r="J1305">
        <v>0</v>
      </c>
      <c r="K1305">
        <v>14</v>
      </c>
      <c r="L1305">
        <v>0</v>
      </c>
      <c r="M1305" t="s">
        <v>25022</v>
      </c>
      <c r="N1305">
        <v>3998</v>
      </c>
      <c r="O1305" t="s">
        <v>23510</v>
      </c>
      <c r="P1305" t="s">
        <v>62</v>
      </c>
      <c r="Q1305">
        <v>3962006</v>
      </c>
      <c r="R1305">
        <v>3963928</v>
      </c>
      <c r="S1305" t="s">
        <v>23511</v>
      </c>
      <c r="T1305">
        <v>641</v>
      </c>
      <c r="U1305" t="s">
        <v>108</v>
      </c>
      <c r="V1305">
        <v>44</v>
      </c>
      <c r="W1305" t="str">
        <f>HYPERLINK("Gene3998-zp_tree_all.dnd", "Gene3998-tree")</f>
        <v>Gene3998-tree</v>
      </c>
      <c r="X1305">
        <v>4</v>
      </c>
      <c r="Y1305">
        <v>29</v>
      </c>
      <c r="Z1305">
        <v>4</v>
      </c>
      <c r="AA1305">
        <v>11</v>
      </c>
      <c r="AB1305">
        <v>0.73333000000000004</v>
      </c>
      <c r="AC1305" t="s">
        <v>61</v>
      </c>
      <c r="AD1305" t="s">
        <v>2086</v>
      </c>
      <c r="AE1305">
        <v>1.744</v>
      </c>
      <c r="AF1305" t="s">
        <v>65</v>
      </c>
      <c r="AG1305">
        <v>5</v>
      </c>
      <c r="AH1305">
        <v>14</v>
      </c>
      <c r="AI1305">
        <v>20</v>
      </c>
      <c r="AJ1305">
        <v>0.41176000000000001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6</v>
      </c>
      <c r="AQ1305">
        <v>0</v>
      </c>
      <c r="AR1305">
        <v>6</v>
      </c>
      <c r="AS1305">
        <v>13</v>
      </c>
      <c r="AT1305">
        <v>0.31579000000000002</v>
      </c>
      <c r="AU1305">
        <v>14</v>
      </c>
      <c r="AV1305">
        <v>11</v>
      </c>
      <c r="AW1305">
        <v>53</v>
      </c>
      <c r="AX1305">
        <v>20</v>
      </c>
      <c r="AY1305">
        <v>43</v>
      </c>
      <c r="AZ1305">
        <v>18</v>
      </c>
      <c r="BA1305" t="s">
        <v>23512</v>
      </c>
      <c r="BB1305" t="s">
        <v>23513</v>
      </c>
      <c r="BC1305">
        <v>0.11600000000000001</v>
      </c>
      <c r="BD1305" t="s">
        <v>65</v>
      </c>
      <c r="BE1305">
        <v>96</v>
      </c>
      <c r="BF1305">
        <v>38</v>
      </c>
      <c r="BG1305" t="s">
        <v>23514</v>
      </c>
      <c r="BH1305" t="s">
        <v>23515</v>
      </c>
      <c r="BI1305" t="s">
        <v>23516</v>
      </c>
      <c r="BJ1305">
        <v>0.11608</v>
      </c>
      <c r="BK1305">
        <v>1</v>
      </c>
      <c r="BL1305" t="s">
        <v>69</v>
      </c>
      <c r="BM1305">
        <v>-0.42799999999999999</v>
      </c>
      <c r="BN1305">
        <v>-0.63900000000000001</v>
      </c>
    </row>
    <row r="1306" spans="2:66">
      <c r="B1306">
        <v>2288</v>
      </c>
      <c r="C1306">
        <v>224</v>
      </c>
      <c r="D1306">
        <v>0</v>
      </c>
      <c r="E1306">
        <v>4</v>
      </c>
      <c r="F1306">
        <v>4</v>
      </c>
      <c r="J1306">
        <v>0</v>
      </c>
      <c r="K1306">
        <v>0</v>
      </c>
      <c r="L1306">
        <v>0</v>
      </c>
      <c r="M1306" t="s">
        <v>25022</v>
      </c>
      <c r="N1306">
        <v>3999</v>
      </c>
      <c r="O1306" t="s">
        <v>23517</v>
      </c>
      <c r="P1306" t="s">
        <v>62</v>
      </c>
      <c r="Q1306">
        <v>3964094</v>
      </c>
      <c r="R1306">
        <v>3964249</v>
      </c>
      <c r="S1306" t="s">
        <v>116</v>
      </c>
      <c r="T1306">
        <v>52</v>
      </c>
      <c r="U1306" t="s">
        <v>59</v>
      </c>
      <c r="V1306">
        <v>49</v>
      </c>
      <c r="W1306" t="str">
        <f>HYPERLINK("Gene3999-zp_tree_all.dnd", "Gene3999-tree")</f>
        <v>Gene3999-tree</v>
      </c>
      <c r="X1306">
        <v>33</v>
      </c>
      <c r="Y1306">
        <v>2</v>
      </c>
      <c r="Z1306">
        <v>7</v>
      </c>
      <c r="AA1306">
        <v>2</v>
      </c>
      <c r="AB1306">
        <v>0.22222</v>
      </c>
      <c r="AC1306" t="s">
        <v>5770</v>
      </c>
      <c r="AD1306" t="s">
        <v>81</v>
      </c>
      <c r="AE1306" t="s">
        <v>62</v>
      </c>
      <c r="AF1306" t="s">
        <v>62</v>
      </c>
      <c r="AG1306">
        <v>0</v>
      </c>
      <c r="AH1306">
        <v>0</v>
      </c>
      <c r="AI1306">
        <v>4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3</v>
      </c>
      <c r="AT1306">
        <v>0</v>
      </c>
      <c r="AU1306">
        <v>6</v>
      </c>
      <c r="AV1306">
        <v>5</v>
      </c>
      <c r="AW1306">
        <v>5</v>
      </c>
      <c r="AX1306">
        <v>3</v>
      </c>
      <c r="AY1306">
        <v>6</v>
      </c>
      <c r="AZ1306">
        <v>1</v>
      </c>
      <c r="BA1306" t="s">
        <v>23518</v>
      </c>
      <c r="BB1306" t="s">
        <v>23519</v>
      </c>
      <c r="BC1306">
        <v>0.54</v>
      </c>
      <c r="BD1306" t="s">
        <v>65</v>
      </c>
      <c r="BE1306">
        <v>11</v>
      </c>
      <c r="BF1306">
        <v>4</v>
      </c>
      <c r="BG1306" t="s">
        <v>23520</v>
      </c>
      <c r="BH1306" t="s">
        <v>23521</v>
      </c>
      <c r="BI1306" t="s">
        <v>23522</v>
      </c>
      <c r="BJ1306">
        <v>6.6890000000000005E-2</v>
      </c>
      <c r="BK1306">
        <v>1</v>
      </c>
      <c r="BL1306" t="s">
        <v>69</v>
      </c>
      <c r="BM1306">
        <v>-0.96799999999999997</v>
      </c>
      <c r="BN1306">
        <v>-0.86299999999999999</v>
      </c>
    </row>
    <row r="1307" spans="2:66">
      <c r="B1307">
        <v>2289</v>
      </c>
      <c r="C1307">
        <v>224</v>
      </c>
      <c r="D1307">
        <v>0</v>
      </c>
      <c r="E1307">
        <v>5</v>
      </c>
      <c r="F1307">
        <v>2</v>
      </c>
      <c r="J1307">
        <v>0</v>
      </c>
      <c r="K1307">
        <v>2</v>
      </c>
      <c r="L1307">
        <v>0</v>
      </c>
      <c r="M1307" t="s">
        <v>25022</v>
      </c>
      <c r="N1307">
        <v>4000</v>
      </c>
      <c r="O1307" t="s">
        <v>23523</v>
      </c>
      <c r="P1307" t="s">
        <v>62</v>
      </c>
      <c r="Q1307">
        <v>3964281</v>
      </c>
      <c r="R1307">
        <v>3964868</v>
      </c>
      <c r="S1307" t="s">
        <v>23524</v>
      </c>
      <c r="T1307">
        <v>196</v>
      </c>
      <c r="U1307" t="s">
        <v>108</v>
      </c>
      <c r="V1307">
        <v>44</v>
      </c>
      <c r="W1307" t="str">
        <f>HYPERLINK("Gene4000-zp_tree_all.dnd", "Gene4000-tree")</f>
        <v>Gene4000-tree</v>
      </c>
      <c r="X1307">
        <v>6</v>
      </c>
      <c r="Y1307">
        <v>5</v>
      </c>
      <c r="Z1307">
        <v>6</v>
      </c>
      <c r="AA1307">
        <v>5</v>
      </c>
      <c r="AB1307">
        <v>0.45455000000000001</v>
      </c>
      <c r="AC1307" t="s">
        <v>90</v>
      </c>
      <c r="AD1307" t="s">
        <v>199</v>
      </c>
      <c r="AE1307" t="s">
        <v>62</v>
      </c>
      <c r="AF1307" t="s">
        <v>62</v>
      </c>
      <c r="AG1307">
        <v>1</v>
      </c>
      <c r="AH1307">
        <v>2</v>
      </c>
      <c r="AI1307">
        <v>3</v>
      </c>
      <c r="AJ1307">
        <v>0.4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2</v>
      </c>
      <c r="AQ1307">
        <v>0</v>
      </c>
      <c r="AR1307">
        <v>2</v>
      </c>
      <c r="AS1307">
        <v>3</v>
      </c>
      <c r="AT1307">
        <v>0.4</v>
      </c>
      <c r="AU1307">
        <v>8</v>
      </c>
      <c r="AV1307">
        <v>6</v>
      </c>
      <c r="AW1307">
        <v>19</v>
      </c>
      <c r="AX1307">
        <v>5</v>
      </c>
      <c r="AY1307">
        <v>9</v>
      </c>
      <c r="AZ1307">
        <v>0</v>
      </c>
      <c r="BA1307" t="s">
        <v>23525</v>
      </c>
      <c r="BB1307" t="s">
        <v>193</v>
      </c>
      <c r="BC1307">
        <v>2.8170000000000002</v>
      </c>
      <c r="BD1307" t="s">
        <v>267</v>
      </c>
      <c r="BE1307">
        <v>28</v>
      </c>
      <c r="BF1307">
        <v>5</v>
      </c>
      <c r="BG1307" t="s">
        <v>23526</v>
      </c>
      <c r="BH1307" t="s">
        <v>23527</v>
      </c>
      <c r="BI1307" t="s">
        <v>23528</v>
      </c>
      <c r="BJ1307">
        <v>4.2119999999999998E-2</v>
      </c>
      <c r="BK1307">
        <v>1</v>
      </c>
      <c r="BL1307" t="s">
        <v>69</v>
      </c>
      <c r="BM1307">
        <v>-0.73199999999999998</v>
      </c>
      <c r="BN1307">
        <v>-1.4670000000000001</v>
      </c>
    </row>
    <row r="1308" spans="2:66">
      <c r="B1308">
        <v>2290</v>
      </c>
      <c r="C1308">
        <v>96</v>
      </c>
      <c r="D1308">
        <v>0</v>
      </c>
      <c r="E1308">
        <v>6</v>
      </c>
      <c r="F1308">
        <v>1</v>
      </c>
      <c r="J1308">
        <v>0</v>
      </c>
      <c r="K1308">
        <v>4</v>
      </c>
      <c r="L1308">
        <v>0</v>
      </c>
      <c r="M1308" t="s">
        <v>25022</v>
      </c>
      <c r="N1308">
        <v>4003</v>
      </c>
      <c r="O1308" t="s">
        <v>23543</v>
      </c>
      <c r="P1308" t="s">
        <v>62</v>
      </c>
      <c r="Q1308">
        <v>3967947</v>
      </c>
      <c r="R1308">
        <v>3968720</v>
      </c>
      <c r="S1308" t="s">
        <v>23544</v>
      </c>
      <c r="T1308">
        <v>258</v>
      </c>
      <c r="U1308" t="s">
        <v>108</v>
      </c>
      <c r="V1308">
        <v>44</v>
      </c>
      <c r="W1308" t="str">
        <f>HYPERLINK("Gene4003-zp_tree_all.dnd", "Gene4003-tree")</f>
        <v>Gene4003-tree</v>
      </c>
      <c r="X1308">
        <v>5</v>
      </c>
      <c r="Y1308">
        <v>9</v>
      </c>
      <c r="Z1308">
        <v>5</v>
      </c>
      <c r="AA1308">
        <v>9</v>
      </c>
      <c r="AB1308">
        <v>0.64285999999999999</v>
      </c>
      <c r="AC1308" t="s">
        <v>199</v>
      </c>
      <c r="AD1308" t="s">
        <v>135</v>
      </c>
      <c r="AE1308" t="s">
        <v>62</v>
      </c>
      <c r="AF1308" t="s">
        <v>62</v>
      </c>
      <c r="AG1308">
        <v>2</v>
      </c>
      <c r="AH1308">
        <v>4</v>
      </c>
      <c r="AI1308">
        <v>19</v>
      </c>
      <c r="AJ1308">
        <v>0.17391000000000001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4</v>
      </c>
      <c r="AQ1308">
        <v>0</v>
      </c>
      <c r="AR1308">
        <v>4</v>
      </c>
      <c r="AS1308">
        <v>15</v>
      </c>
      <c r="AT1308">
        <v>0.21052999999999999</v>
      </c>
      <c r="AU1308">
        <v>11</v>
      </c>
      <c r="AV1308">
        <v>6</v>
      </c>
      <c r="AW1308">
        <v>31</v>
      </c>
      <c r="AX1308">
        <v>18</v>
      </c>
      <c r="AY1308">
        <v>11</v>
      </c>
      <c r="AZ1308">
        <v>6</v>
      </c>
      <c r="BA1308" t="s">
        <v>23545</v>
      </c>
      <c r="BB1308" t="s">
        <v>23546</v>
      </c>
      <c r="BC1308">
        <v>2.9000000000000001E-2</v>
      </c>
      <c r="BD1308" t="s">
        <v>65</v>
      </c>
      <c r="BE1308">
        <v>42</v>
      </c>
      <c r="BF1308">
        <v>24</v>
      </c>
      <c r="BG1308" t="s">
        <v>23547</v>
      </c>
      <c r="BH1308" t="s">
        <v>23548</v>
      </c>
      <c r="BI1308" t="s">
        <v>23549</v>
      </c>
      <c r="BJ1308">
        <v>0.16144</v>
      </c>
      <c r="BK1308">
        <v>1</v>
      </c>
      <c r="BL1308" t="s">
        <v>69</v>
      </c>
      <c r="BM1308">
        <v>-2.0550000000000002</v>
      </c>
      <c r="BN1308">
        <v>-3.403</v>
      </c>
    </row>
    <row r="1309" spans="2:66">
      <c r="B1309">
        <v>2295</v>
      </c>
      <c r="C1309">
        <v>311</v>
      </c>
      <c r="D1309">
        <v>0</v>
      </c>
      <c r="E1309">
        <v>73</v>
      </c>
      <c r="F1309">
        <v>1</v>
      </c>
      <c r="J1309">
        <v>0</v>
      </c>
      <c r="K1309">
        <v>13</v>
      </c>
      <c r="L1309">
        <v>2</v>
      </c>
      <c r="M1309" t="s">
        <v>25022</v>
      </c>
      <c r="N1309">
        <v>4004</v>
      </c>
      <c r="O1309" t="s">
        <v>23550</v>
      </c>
      <c r="P1309" t="s">
        <v>62</v>
      </c>
      <c r="Q1309">
        <v>3968720</v>
      </c>
      <c r="R1309">
        <v>3969604</v>
      </c>
      <c r="S1309" t="s">
        <v>23551</v>
      </c>
      <c r="T1309">
        <v>295</v>
      </c>
      <c r="U1309" t="s">
        <v>1392</v>
      </c>
      <c r="V1309">
        <v>43</v>
      </c>
      <c r="W1309" t="str">
        <f>HYPERLINK("Gene4004-zp_tree_all.dnd", "Gene4004-tree")</f>
        <v>Gene4004-tree</v>
      </c>
      <c r="X1309">
        <v>3</v>
      </c>
      <c r="Y1309">
        <v>13</v>
      </c>
      <c r="Z1309">
        <v>3</v>
      </c>
      <c r="AA1309">
        <v>13</v>
      </c>
      <c r="AB1309">
        <v>0.8125</v>
      </c>
      <c r="AC1309" t="s">
        <v>324</v>
      </c>
      <c r="AD1309" t="s">
        <v>507</v>
      </c>
      <c r="AE1309" t="s">
        <v>62</v>
      </c>
      <c r="AF1309" t="s">
        <v>62</v>
      </c>
      <c r="AG1309">
        <v>7</v>
      </c>
      <c r="AH1309">
        <v>15</v>
      </c>
      <c r="AI1309">
        <v>17</v>
      </c>
      <c r="AJ1309">
        <v>0.46875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3</v>
      </c>
      <c r="AQ1309">
        <v>2</v>
      </c>
      <c r="AR1309">
        <v>5</v>
      </c>
      <c r="AS1309">
        <v>18</v>
      </c>
      <c r="AT1309">
        <v>0.21739</v>
      </c>
      <c r="AU1309">
        <v>10</v>
      </c>
      <c r="AV1309">
        <v>11</v>
      </c>
      <c r="AW1309">
        <v>13</v>
      </c>
      <c r="AX1309">
        <v>13</v>
      </c>
      <c r="AY1309">
        <v>47</v>
      </c>
      <c r="AZ1309">
        <v>19</v>
      </c>
      <c r="BA1309" t="s">
        <v>23552</v>
      </c>
      <c r="BB1309" t="s">
        <v>23553</v>
      </c>
      <c r="BC1309">
        <v>0.77100000000000002</v>
      </c>
      <c r="BD1309" t="s">
        <v>65</v>
      </c>
      <c r="BE1309">
        <v>60</v>
      </c>
      <c r="BF1309">
        <v>32</v>
      </c>
      <c r="BG1309" t="s">
        <v>23554</v>
      </c>
      <c r="BH1309" t="s">
        <v>23555</v>
      </c>
      <c r="BI1309" t="s">
        <v>23556</v>
      </c>
      <c r="BJ1309">
        <v>0.12656000000000001</v>
      </c>
      <c r="BK1309">
        <v>1</v>
      </c>
      <c r="BL1309" t="s">
        <v>69</v>
      </c>
      <c r="BM1309">
        <v>2.7E-2</v>
      </c>
      <c r="BN1309">
        <v>-0.20899999999999999</v>
      </c>
    </row>
    <row r="1310" spans="2:66">
      <c r="B1310">
        <v>2297</v>
      </c>
      <c r="C1310">
        <v>67</v>
      </c>
      <c r="D1310">
        <v>0</v>
      </c>
      <c r="E1310">
        <v>2</v>
      </c>
      <c r="F1310">
        <v>0</v>
      </c>
      <c r="J1310">
        <v>0</v>
      </c>
      <c r="K1310">
        <v>0</v>
      </c>
      <c r="L1310">
        <v>0</v>
      </c>
      <c r="M1310" t="s">
        <v>25022</v>
      </c>
      <c r="N1310">
        <v>4005</v>
      </c>
      <c r="O1310" t="s">
        <v>23557</v>
      </c>
      <c r="P1310" t="s">
        <v>62</v>
      </c>
      <c r="Q1310">
        <v>3969614</v>
      </c>
      <c r="R1310">
        <v>3969799</v>
      </c>
      <c r="S1310" t="s">
        <v>23558</v>
      </c>
      <c r="T1310">
        <v>62</v>
      </c>
      <c r="U1310" t="s">
        <v>409</v>
      </c>
      <c r="V1310">
        <v>45</v>
      </c>
      <c r="W1310" t="str">
        <f>HYPERLINK("Gene4005-zp_tree_all.dnd", "Gene4005-tree")</f>
        <v>Gene4005-tree</v>
      </c>
      <c r="X1310">
        <v>5</v>
      </c>
      <c r="Y1310">
        <v>3</v>
      </c>
      <c r="Z1310">
        <v>5</v>
      </c>
      <c r="AA1310">
        <v>3</v>
      </c>
      <c r="AB1310">
        <v>0.375</v>
      </c>
      <c r="AC1310" t="s">
        <v>199</v>
      </c>
      <c r="AD1310" t="s">
        <v>324</v>
      </c>
      <c r="AE1310" t="s">
        <v>62</v>
      </c>
      <c r="AF1310" t="s">
        <v>62</v>
      </c>
      <c r="AG1310">
        <v>0</v>
      </c>
      <c r="AH1310">
        <v>0</v>
      </c>
      <c r="AI1310">
        <v>3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3</v>
      </c>
      <c r="AT1310">
        <v>0</v>
      </c>
      <c r="AU1310">
        <v>7</v>
      </c>
      <c r="AV1310">
        <v>2</v>
      </c>
      <c r="AW1310">
        <v>11</v>
      </c>
      <c r="AX1310">
        <v>3</v>
      </c>
      <c r="AY1310">
        <v>3</v>
      </c>
      <c r="AZ1310">
        <v>0</v>
      </c>
      <c r="BA1310" t="s">
        <v>23559</v>
      </c>
      <c r="BB1310" t="s">
        <v>193</v>
      </c>
      <c r="BC1310">
        <v>1.29</v>
      </c>
      <c r="BD1310" t="s">
        <v>65</v>
      </c>
      <c r="BE1310">
        <v>14</v>
      </c>
      <c r="BF1310">
        <v>3</v>
      </c>
      <c r="BG1310" t="s">
        <v>23560</v>
      </c>
      <c r="BH1310" t="s">
        <v>23561</v>
      </c>
      <c r="BI1310" t="s">
        <v>23562</v>
      </c>
      <c r="BJ1310">
        <v>4.4769999999999997E-2</v>
      </c>
      <c r="BK1310">
        <v>1</v>
      </c>
      <c r="BL1310" t="s">
        <v>69</v>
      </c>
      <c r="BM1310">
        <v>-0.54</v>
      </c>
      <c r="BN1310">
        <v>-1.5589999999999999</v>
      </c>
    </row>
    <row r="1311" spans="2:66">
      <c r="B1311">
        <v>2298</v>
      </c>
      <c r="C1311">
        <v>170</v>
      </c>
      <c r="D1311">
        <v>0</v>
      </c>
      <c r="E1311">
        <v>6</v>
      </c>
      <c r="F1311">
        <v>2</v>
      </c>
      <c r="J1311">
        <v>0</v>
      </c>
      <c r="K1311">
        <v>0</v>
      </c>
      <c r="L1311">
        <v>0</v>
      </c>
      <c r="M1311" t="s">
        <v>25022</v>
      </c>
      <c r="N1311">
        <v>4006</v>
      </c>
      <c r="O1311" t="s">
        <v>23563</v>
      </c>
      <c r="P1311" t="s">
        <v>62</v>
      </c>
      <c r="Q1311">
        <v>3969799</v>
      </c>
      <c r="R1311">
        <v>3970002</v>
      </c>
      <c r="S1311" t="s">
        <v>23564</v>
      </c>
      <c r="T1311">
        <v>68</v>
      </c>
      <c r="U1311" t="s">
        <v>108</v>
      </c>
      <c r="V1311">
        <v>44</v>
      </c>
      <c r="W1311" t="str">
        <f>HYPERLINK("Gene4006-zp_tree_all.dnd", "Gene4006-tree")</f>
        <v>Gene4006-tree</v>
      </c>
      <c r="X1311">
        <v>0</v>
      </c>
      <c r="Y1311">
        <v>27</v>
      </c>
      <c r="Z1311">
        <v>0</v>
      </c>
      <c r="AA1311">
        <v>5</v>
      </c>
      <c r="AB1311">
        <v>1</v>
      </c>
      <c r="AC1311" t="s">
        <v>62</v>
      </c>
      <c r="AD1311" t="s">
        <v>2783</v>
      </c>
      <c r="AE1311">
        <v>6.5620000000000003</v>
      </c>
      <c r="AF1311" t="s">
        <v>65</v>
      </c>
      <c r="AG1311">
        <v>0</v>
      </c>
      <c r="AH1311">
        <v>0</v>
      </c>
      <c r="AI1311">
        <v>8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7</v>
      </c>
      <c r="AT1311">
        <v>0</v>
      </c>
      <c r="AU1311">
        <v>4</v>
      </c>
      <c r="AV1311">
        <v>1</v>
      </c>
      <c r="AW1311">
        <v>9</v>
      </c>
      <c r="AX1311">
        <v>8</v>
      </c>
      <c r="AY1311">
        <v>0</v>
      </c>
      <c r="AZ1311">
        <v>1</v>
      </c>
      <c r="BA1311" t="s">
        <v>23565</v>
      </c>
      <c r="BB1311" t="s">
        <v>193</v>
      </c>
      <c r="BC1311">
        <v>1.9530000000000001</v>
      </c>
      <c r="BD1311" t="s">
        <v>65</v>
      </c>
      <c r="BE1311">
        <v>9</v>
      </c>
      <c r="BF1311">
        <v>9</v>
      </c>
      <c r="BG1311" t="s">
        <v>23566</v>
      </c>
      <c r="BH1311" t="s">
        <v>23567</v>
      </c>
      <c r="BI1311" t="s">
        <v>23568</v>
      </c>
      <c r="BJ1311">
        <v>0.28672999999999998</v>
      </c>
      <c r="BK1311">
        <v>0.99</v>
      </c>
      <c r="BL1311" t="s">
        <v>69</v>
      </c>
      <c r="BM1311">
        <v>7.5999999999999998E-2</v>
      </c>
      <c r="BN1311">
        <v>-0.29599999999999999</v>
      </c>
    </row>
    <row r="1312" spans="2:66">
      <c r="B1312">
        <v>2299</v>
      </c>
      <c r="C1312">
        <v>164</v>
      </c>
      <c r="D1312">
        <v>0</v>
      </c>
      <c r="E1312">
        <v>9</v>
      </c>
      <c r="F1312">
        <v>0</v>
      </c>
      <c r="J1312">
        <v>0</v>
      </c>
      <c r="K1312">
        <v>2</v>
      </c>
      <c r="L1312">
        <v>2</v>
      </c>
      <c r="M1312" t="s">
        <v>25022</v>
      </c>
      <c r="N1312">
        <v>4007</v>
      </c>
      <c r="O1312" t="s">
        <v>23569</v>
      </c>
      <c r="P1312" t="s">
        <v>62</v>
      </c>
      <c r="Q1312">
        <v>3970002</v>
      </c>
      <c r="R1312">
        <v>3970319</v>
      </c>
      <c r="S1312" t="s">
        <v>23570</v>
      </c>
      <c r="T1312">
        <v>106</v>
      </c>
      <c r="U1312" t="s">
        <v>1196</v>
      </c>
      <c r="V1312">
        <v>39</v>
      </c>
      <c r="W1312" t="str">
        <f>HYPERLINK("Gene4007-zp_tree_all.dnd", "Gene4007-tree")</f>
        <v>Gene4007-tree</v>
      </c>
      <c r="X1312">
        <v>1</v>
      </c>
      <c r="Y1312">
        <v>3</v>
      </c>
      <c r="Z1312">
        <v>1</v>
      </c>
      <c r="AA1312">
        <v>3</v>
      </c>
      <c r="AB1312">
        <v>0.75</v>
      </c>
      <c r="AC1312" t="s">
        <v>175</v>
      </c>
      <c r="AD1312" t="s">
        <v>324</v>
      </c>
      <c r="AE1312" t="s">
        <v>62</v>
      </c>
      <c r="AF1312" t="s">
        <v>62</v>
      </c>
      <c r="AG1312">
        <v>2</v>
      </c>
      <c r="AH1312">
        <v>4</v>
      </c>
      <c r="AI1312">
        <v>1</v>
      </c>
      <c r="AJ1312">
        <v>0.8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</v>
      </c>
      <c r="AQ1312">
        <v>0</v>
      </c>
      <c r="AR1312">
        <v>2</v>
      </c>
      <c r="AS1312">
        <v>2</v>
      </c>
      <c r="AT1312">
        <v>0.5</v>
      </c>
      <c r="AU1312">
        <v>4</v>
      </c>
      <c r="AV1312">
        <v>1</v>
      </c>
      <c r="AW1312">
        <v>14</v>
      </c>
      <c r="AX1312">
        <v>4</v>
      </c>
      <c r="AY1312">
        <v>0</v>
      </c>
      <c r="AZ1312">
        <v>1</v>
      </c>
      <c r="BA1312" t="s">
        <v>23571</v>
      </c>
      <c r="BB1312" t="s">
        <v>193</v>
      </c>
      <c r="BC1312">
        <v>2.1760000000000002</v>
      </c>
      <c r="BD1312" t="s">
        <v>267</v>
      </c>
      <c r="BE1312">
        <v>14</v>
      </c>
      <c r="BF1312">
        <v>5</v>
      </c>
      <c r="BG1312" t="s">
        <v>23572</v>
      </c>
      <c r="BH1312" t="s">
        <v>23573</v>
      </c>
      <c r="BI1312" t="s">
        <v>23574</v>
      </c>
      <c r="BJ1312">
        <v>9.0889999999999999E-2</v>
      </c>
      <c r="BK1312">
        <v>1</v>
      </c>
      <c r="BL1312" t="s">
        <v>69</v>
      </c>
      <c r="BM1312">
        <v>-1.53</v>
      </c>
      <c r="BN1312">
        <v>-2.6720000000000002</v>
      </c>
    </row>
    <row r="1313" spans="2:66">
      <c r="B1313">
        <v>2300</v>
      </c>
      <c r="C1313">
        <v>163</v>
      </c>
      <c r="D1313">
        <v>0</v>
      </c>
      <c r="E1313">
        <v>2</v>
      </c>
      <c r="F1313">
        <v>2</v>
      </c>
      <c r="J1313">
        <v>0</v>
      </c>
      <c r="K1313">
        <v>0</v>
      </c>
      <c r="L1313">
        <v>0</v>
      </c>
      <c r="M1313" t="s">
        <v>25022</v>
      </c>
      <c r="N1313">
        <v>4008</v>
      </c>
      <c r="O1313" t="s">
        <v>23575</v>
      </c>
      <c r="P1313" t="s">
        <v>62</v>
      </c>
      <c r="Q1313">
        <v>3970315</v>
      </c>
      <c r="R1313">
        <v>3970848</v>
      </c>
      <c r="S1313" t="s">
        <v>23576</v>
      </c>
      <c r="T1313">
        <v>178</v>
      </c>
      <c r="U1313" t="s">
        <v>108</v>
      </c>
      <c r="V1313">
        <v>44</v>
      </c>
      <c r="W1313" t="str">
        <f>HYPERLINK("Gene4008-zp_tree_all.dnd", "Gene4008-tree")</f>
        <v>Gene4008-tree</v>
      </c>
      <c r="X1313">
        <v>7</v>
      </c>
      <c r="Y1313">
        <v>5</v>
      </c>
      <c r="Z1313">
        <v>7</v>
      </c>
      <c r="AA1313">
        <v>5</v>
      </c>
      <c r="AB1313">
        <v>0.41666999999999998</v>
      </c>
      <c r="AC1313" t="s">
        <v>152</v>
      </c>
      <c r="AD1313" t="s">
        <v>199</v>
      </c>
      <c r="AE1313" t="s">
        <v>62</v>
      </c>
      <c r="AF1313" t="s">
        <v>62</v>
      </c>
      <c r="AG1313">
        <v>0</v>
      </c>
      <c r="AH1313">
        <v>0</v>
      </c>
      <c r="AI1313">
        <v>8</v>
      </c>
      <c r="AJ1313">
        <v>0</v>
      </c>
      <c r="AK1313">
        <v>0</v>
      </c>
      <c r="AL1313">
        <v>0</v>
      </c>
      <c r="AM1313">
        <v>0</v>
      </c>
      <c r="AN1313">
        <v>3</v>
      </c>
      <c r="AO1313">
        <v>0</v>
      </c>
      <c r="AP1313">
        <v>0</v>
      </c>
      <c r="AQ1313">
        <v>0</v>
      </c>
      <c r="AR1313">
        <v>0</v>
      </c>
      <c r="AS1313">
        <v>4</v>
      </c>
      <c r="AT1313">
        <v>0</v>
      </c>
      <c r="AU1313">
        <v>6</v>
      </c>
      <c r="AV1313">
        <v>6</v>
      </c>
      <c r="AW1313">
        <v>6</v>
      </c>
      <c r="AX1313">
        <v>3</v>
      </c>
      <c r="AY1313">
        <v>14</v>
      </c>
      <c r="AZ1313">
        <v>5</v>
      </c>
      <c r="BA1313" t="s">
        <v>23577</v>
      </c>
      <c r="BB1313" t="s">
        <v>23578</v>
      </c>
      <c r="BC1313">
        <v>0.215</v>
      </c>
      <c r="BD1313" t="s">
        <v>65</v>
      </c>
      <c r="BE1313">
        <v>20</v>
      </c>
      <c r="BF1313">
        <v>8</v>
      </c>
      <c r="BG1313" t="s">
        <v>23579</v>
      </c>
      <c r="BH1313" t="s">
        <v>23580</v>
      </c>
      <c r="BI1313" t="s">
        <v>23581</v>
      </c>
      <c r="BJ1313">
        <v>0.11849999999999999</v>
      </c>
      <c r="BK1313">
        <v>1</v>
      </c>
      <c r="BL1313" t="s">
        <v>69</v>
      </c>
      <c r="BM1313">
        <v>-0.20699999999999999</v>
      </c>
      <c r="BN1313">
        <v>0.26200000000000001</v>
      </c>
    </row>
    <row r="1314" spans="2:66">
      <c r="B1314">
        <v>2301</v>
      </c>
      <c r="C1314">
        <v>200</v>
      </c>
      <c r="D1314">
        <v>0</v>
      </c>
      <c r="E1314">
        <v>6</v>
      </c>
      <c r="F1314">
        <v>0</v>
      </c>
      <c r="J1314">
        <v>0</v>
      </c>
      <c r="K1314">
        <v>4</v>
      </c>
      <c r="L1314">
        <v>0</v>
      </c>
      <c r="M1314" t="s">
        <v>25022</v>
      </c>
      <c r="N1314">
        <v>4010</v>
      </c>
      <c r="O1314" t="s">
        <v>23589</v>
      </c>
      <c r="P1314" t="s">
        <v>62</v>
      </c>
      <c r="Q1314">
        <v>3972451</v>
      </c>
      <c r="R1314">
        <v>3973278</v>
      </c>
      <c r="S1314" t="s">
        <v>23590</v>
      </c>
      <c r="T1314">
        <v>276</v>
      </c>
      <c r="U1314" t="s">
        <v>5228</v>
      </c>
      <c r="V1314">
        <v>43</v>
      </c>
      <c r="W1314" t="str">
        <f>HYPERLINK("Gene4010-zp_tree_all.dnd", "Gene4010-tree")</f>
        <v>Gene4010-tree</v>
      </c>
      <c r="X1314">
        <v>5</v>
      </c>
      <c r="Y1314">
        <v>9</v>
      </c>
      <c r="Z1314">
        <v>5</v>
      </c>
      <c r="AA1314">
        <v>9</v>
      </c>
      <c r="AB1314">
        <v>0.64285999999999999</v>
      </c>
      <c r="AC1314" t="s">
        <v>199</v>
      </c>
      <c r="AD1314" t="s">
        <v>135</v>
      </c>
      <c r="AE1314" t="s">
        <v>62</v>
      </c>
      <c r="AF1314" t="s">
        <v>62</v>
      </c>
      <c r="AG1314">
        <v>2</v>
      </c>
      <c r="AH1314">
        <v>4</v>
      </c>
      <c r="AI1314">
        <v>18</v>
      </c>
      <c r="AJ1314">
        <v>0.18182000000000001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2</v>
      </c>
      <c r="AQ1314">
        <v>0</v>
      </c>
      <c r="AR1314">
        <v>2</v>
      </c>
      <c r="AS1314">
        <v>12</v>
      </c>
      <c r="AT1314">
        <v>0.14285999999999999</v>
      </c>
      <c r="AU1314">
        <v>13</v>
      </c>
      <c r="AV1314">
        <v>7</v>
      </c>
      <c r="AW1314">
        <v>18</v>
      </c>
      <c r="AX1314">
        <v>15</v>
      </c>
      <c r="AY1314">
        <v>9</v>
      </c>
      <c r="AZ1314">
        <v>8</v>
      </c>
      <c r="BA1314" t="s">
        <v>23591</v>
      </c>
      <c r="BB1314" t="s">
        <v>23592</v>
      </c>
      <c r="BC1314">
        <v>4.7E-2</v>
      </c>
      <c r="BD1314" t="s">
        <v>65</v>
      </c>
      <c r="BE1314">
        <v>27</v>
      </c>
      <c r="BF1314">
        <v>23</v>
      </c>
      <c r="BG1314" t="s">
        <v>23593</v>
      </c>
      <c r="BH1314" t="s">
        <v>23594</v>
      </c>
      <c r="BI1314" t="s">
        <v>23595</v>
      </c>
      <c r="BJ1314">
        <v>0.29592000000000002</v>
      </c>
      <c r="BK1314">
        <v>1</v>
      </c>
      <c r="BL1314" t="s">
        <v>69</v>
      </c>
      <c r="BM1314">
        <v>-0.30099999999999999</v>
      </c>
      <c r="BN1314">
        <v>-5.8000000000000003E-2</v>
      </c>
    </row>
    <row r="1315" spans="2:66">
      <c r="B1315">
        <v>2302</v>
      </c>
      <c r="C1315">
        <v>82</v>
      </c>
      <c r="D1315">
        <v>0</v>
      </c>
      <c r="E1315">
        <v>6</v>
      </c>
      <c r="F1315">
        <v>0</v>
      </c>
      <c r="J1315">
        <v>0</v>
      </c>
      <c r="K1315">
        <v>12</v>
      </c>
      <c r="L1315">
        <v>2</v>
      </c>
      <c r="M1315" t="s">
        <v>25022</v>
      </c>
      <c r="N1315">
        <v>4011</v>
      </c>
      <c r="O1315" t="s">
        <v>23596</v>
      </c>
      <c r="P1315" t="s">
        <v>62</v>
      </c>
      <c r="Q1315">
        <v>3973367</v>
      </c>
      <c r="R1315">
        <v>3975091</v>
      </c>
      <c r="S1315" t="s">
        <v>23597</v>
      </c>
      <c r="T1315">
        <v>575</v>
      </c>
      <c r="U1315" t="s">
        <v>108</v>
      </c>
      <c r="V1315">
        <v>44</v>
      </c>
      <c r="W1315" t="str">
        <f>HYPERLINK("Gene4011-zp_tree_all.dnd", "Gene4011-tree")</f>
        <v>Gene4011-tree</v>
      </c>
      <c r="X1315">
        <v>4</v>
      </c>
      <c r="Y1315">
        <v>11</v>
      </c>
      <c r="Z1315">
        <v>4</v>
      </c>
      <c r="AA1315">
        <v>11</v>
      </c>
      <c r="AB1315">
        <v>0.73333000000000004</v>
      </c>
      <c r="AC1315" t="s">
        <v>61</v>
      </c>
      <c r="AD1315" t="s">
        <v>73</v>
      </c>
      <c r="AE1315">
        <v>200307210.301</v>
      </c>
      <c r="AF1315" t="s">
        <v>267</v>
      </c>
      <c r="AG1315">
        <v>7</v>
      </c>
      <c r="AH1315">
        <v>14</v>
      </c>
      <c r="AI1315">
        <v>25</v>
      </c>
      <c r="AJ1315">
        <v>0.35897000000000001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22</v>
      </c>
      <c r="AT1315">
        <v>0</v>
      </c>
      <c r="AU1315">
        <v>14</v>
      </c>
      <c r="AV1315">
        <v>11</v>
      </c>
      <c r="AW1315">
        <v>92</v>
      </c>
      <c r="AX1315">
        <v>22</v>
      </c>
      <c r="AY1315">
        <v>66</v>
      </c>
      <c r="AZ1315">
        <v>17</v>
      </c>
      <c r="BA1315" t="s">
        <v>23598</v>
      </c>
      <c r="BB1315" t="s">
        <v>23599</v>
      </c>
      <c r="BC1315">
        <v>0.122</v>
      </c>
      <c r="BD1315" t="s">
        <v>65</v>
      </c>
      <c r="BE1315">
        <v>158</v>
      </c>
      <c r="BF1315">
        <v>39</v>
      </c>
      <c r="BG1315" t="s">
        <v>23600</v>
      </c>
      <c r="BH1315" t="s">
        <v>23601</v>
      </c>
      <c r="BI1315" t="s">
        <v>23602</v>
      </c>
      <c r="BJ1315">
        <v>8.4769999999999998E-2</v>
      </c>
      <c r="BK1315">
        <v>1</v>
      </c>
      <c r="BL1315" t="s">
        <v>69</v>
      </c>
      <c r="BM1315">
        <v>-0.47799999999999998</v>
      </c>
      <c r="BN1315">
        <v>-1.222</v>
      </c>
    </row>
    <row r="1316" spans="2:66">
      <c r="B1316">
        <v>2303</v>
      </c>
      <c r="C1316">
        <v>73</v>
      </c>
      <c r="D1316">
        <v>0</v>
      </c>
      <c r="E1316">
        <v>2</v>
      </c>
      <c r="F1316">
        <v>2</v>
      </c>
      <c r="J1316">
        <v>0</v>
      </c>
      <c r="K1316">
        <v>23</v>
      </c>
      <c r="L1316">
        <v>4</v>
      </c>
      <c r="M1316" t="s">
        <v>25022</v>
      </c>
      <c r="N1316">
        <v>4012</v>
      </c>
      <c r="O1316" t="s">
        <v>23603</v>
      </c>
      <c r="P1316" t="s">
        <v>62</v>
      </c>
      <c r="Q1316">
        <v>3975091</v>
      </c>
      <c r="R1316">
        <v>3976791</v>
      </c>
      <c r="S1316" t="s">
        <v>23597</v>
      </c>
      <c r="T1316">
        <v>567</v>
      </c>
      <c r="U1316" t="s">
        <v>108</v>
      </c>
      <c r="V1316">
        <v>44</v>
      </c>
      <c r="W1316" t="str">
        <f>HYPERLINK("Gene4012-zp_tree_all.dnd", "Gene4012-tree")</f>
        <v>Gene4012-tree</v>
      </c>
      <c r="X1316">
        <v>4</v>
      </c>
      <c r="Y1316">
        <v>11</v>
      </c>
      <c r="Z1316">
        <v>4</v>
      </c>
      <c r="AA1316">
        <v>11</v>
      </c>
      <c r="AB1316">
        <v>0.73333000000000004</v>
      </c>
      <c r="AC1316" t="s">
        <v>61</v>
      </c>
      <c r="AD1316" t="s">
        <v>73</v>
      </c>
      <c r="AE1316">
        <v>200307210.301</v>
      </c>
      <c r="AF1316" t="s">
        <v>267</v>
      </c>
      <c r="AG1316">
        <v>12</v>
      </c>
      <c r="AH1316">
        <v>27</v>
      </c>
      <c r="AI1316">
        <v>24</v>
      </c>
      <c r="AJ1316">
        <v>0.52941000000000005</v>
      </c>
      <c r="AK1316">
        <v>0</v>
      </c>
      <c r="AL1316">
        <v>0</v>
      </c>
      <c r="AM1316">
        <v>0</v>
      </c>
      <c r="AN1316">
        <v>2</v>
      </c>
      <c r="AO1316">
        <v>0</v>
      </c>
      <c r="AP1316">
        <v>2</v>
      </c>
      <c r="AQ1316">
        <v>2</v>
      </c>
      <c r="AR1316">
        <v>4</v>
      </c>
      <c r="AS1316">
        <v>20</v>
      </c>
      <c r="AT1316">
        <v>0.16667000000000001</v>
      </c>
      <c r="AU1316">
        <v>13</v>
      </c>
      <c r="AV1316">
        <v>10</v>
      </c>
      <c r="AW1316">
        <v>110</v>
      </c>
      <c r="AX1316">
        <v>24</v>
      </c>
      <c r="AY1316">
        <v>50</v>
      </c>
      <c r="AZ1316">
        <v>27</v>
      </c>
      <c r="BA1316" t="s">
        <v>23604</v>
      </c>
      <c r="BB1316" t="s">
        <v>23605</v>
      </c>
      <c r="BC1316">
        <v>0.66500000000000004</v>
      </c>
      <c r="BD1316" t="s">
        <v>65</v>
      </c>
      <c r="BE1316">
        <v>160</v>
      </c>
      <c r="BF1316">
        <v>51</v>
      </c>
      <c r="BG1316" t="s">
        <v>23606</v>
      </c>
      <c r="BH1316" t="s">
        <v>23607</v>
      </c>
      <c r="BI1316" t="s">
        <v>23608</v>
      </c>
      <c r="BJ1316">
        <v>0.11799999999999999</v>
      </c>
      <c r="BK1316">
        <v>1</v>
      </c>
      <c r="BL1316" t="s">
        <v>69</v>
      </c>
      <c r="BM1316">
        <v>-0.75600000000000001</v>
      </c>
      <c r="BN1316">
        <v>-2.0569999999999999</v>
      </c>
    </row>
    <row r="1317" spans="2:66">
      <c r="B1317">
        <v>2306</v>
      </c>
      <c r="C1317">
        <v>142</v>
      </c>
      <c r="D1317">
        <v>0</v>
      </c>
      <c r="E1317">
        <v>3</v>
      </c>
      <c r="F1317">
        <v>5</v>
      </c>
      <c r="J1317">
        <v>0</v>
      </c>
      <c r="K1317">
        <v>8</v>
      </c>
      <c r="L1317">
        <v>3</v>
      </c>
      <c r="M1317" t="s">
        <v>25022</v>
      </c>
      <c r="N1317">
        <v>4013</v>
      </c>
      <c r="O1317" t="s">
        <v>23609</v>
      </c>
      <c r="P1317" t="s">
        <v>62</v>
      </c>
      <c r="Q1317">
        <v>3976794</v>
      </c>
      <c r="R1317">
        <v>3977807</v>
      </c>
      <c r="S1317" t="s">
        <v>23610</v>
      </c>
      <c r="T1317">
        <v>338</v>
      </c>
      <c r="U1317" t="s">
        <v>59</v>
      </c>
      <c r="V1317">
        <v>49</v>
      </c>
      <c r="W1317" t="str">
        <f>HYPERLINK("Gene4013-zp_tree_all.dnd", "Gene4013-tree")</f>
        <v>Gene4013-tree</v>
      </c>
      <c r="X1317">
        <v>9</v>
      </c>
      <c r="Y1317">
        <v>8</v>
      </c>
      <c r="Z1317">
        <v>9</v>
      </c>
      <c r="AA1317">
        <v>8</v>
      </c>
      <c r="AB1317">
        <v>0.47059000000000001</v>
      </c>
      <c r="AC1317" t="s">
        <v>135</v>
      </c>
      <c r="AD1317" t="s">
        <v>136</v>
      </c>
      <c r="AE1317" t="s">
        <v>62</v>
      </c>
      <c r="AF1317" t="s">
        <v>62</v>
      </c>
      <c r="AG1317">
        <v>5</v>
      </c>
      <c r="AH1317">
        <v>11</v>
      </c>
      <c r="AI1317">
        <v>6</v>
      </c>
      <c r="AJ1317">
        <v>0.64705999999999997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</v>
      </c>
      <c r="AQ1317">
        <v>0</v>
      </c>
      <c r="AR1317">
        <v>2</v>
      </c>
      <c r="AS1317">
        <v>10</v>
      </c>
      <c r="AT1317">
        <v>0.16667000000000001</v>
      </c>
      <c r="AU1317">
        <v>12</v>
      </c>
      <c r="AV1317">
        <v>11</v>
      </c>
      <c r="AW1317">
        <v>48</v>
      </c>
      <c r="AX1317">
        <v>9</v>
      </c>
      <c r="AY1317">
        <v>54</v>
      </c>
      <c r="AZ1317">
        <v>8</v>
      </c>
      <c r="BA1317" t="s">
        <v>23611</v>
      </c>
      <c r="BB1317" t="s">
        <v>23612</v>
      </c>
      <c r="BC1317">
        <v>0.19</v>
      </c>
      <c r="BD1317" t="s">
        <v>65</v>
      </c>
      <c r="BE1317">
        <v>102</v>
      </c>
      <c r="BF1317">
        <v>17</v>
      </c>
      <c r="BG1317" t="s">
        <v>23613</v>
      </c>
      <c r="BH1317" t="s">
        <v>23614</v>
      </c>
      <c r="BI1317" t="s">
        <v>23615</v>
      </c>
      <c r="BJ1317">
        <v>4.6829999999999997E-2</v>
      </c>
      <c r="BK1317">
        <v>1</v>
      </c>
      <c r="BL1317" t="s">
        <v>69</v>
      </c>
      <c r="BM1317">
        <v>-1.17</v>
      </c>
      <c r="BN1317">
        <v>-1.2929999999999999</v>
      </c>
    </row>
    <row r="1318" spans="2:66">
      <c r="B1318">
        <v>2307</v>
      </c>
      <c r="C1318">
        <v>45</v>
      </c>
      <c r="D1318">
        <v>0</v>
      </c>
      <c r="E1318">
        <v>9</v>
      </c>
      <c r="F1318">
        <v>0</v>
      </c>
      <c r="J1318">
        <v>0</v>
      </c>
      <c r="K1318">
        <v>0</v>
      </c>
      <c r="L1318">
        <v>0</v>
      </c>
      <c r="M1318" t="s">
        <v>25022</v>
      </c>
      <c r="N1318">
        <v>4014</v>
      </c>
      <c r="O1318" t="s">
        <v>23616</v>
      </c>
      <c r="P1318" t="s">
        <v>62</v>
      </c>
      <c r="Q1318">
        <v>3977794</v>
      </c>
      <c r="R1318">
        <v>3979197</v>
      </c>
      <c r="S1318" t="s">
        <v>23617</v>
      </c>
      <c r="T1318">
        <v>468</v>
      </c>
      <c r="U1318" t="s">
        <v>465</v>
      </c>
      <c r="V1318">
        <v>46</v>
      </c>
      <c r="W1318" t="str">
        <f>HYPERLINK("Gene4014-zp_tree_all.dnd", "Gene4014-tree")</f>
        <v>Gene4014-tree</v>
      </c>
      <c r="X1318">
        <v>34</v>
      </c>
      <c r="Y1318">
        <v>2</v>
      </c>
      <c r="Z1318">
        <v>15</v>
      </c>
      <c r="AA1318">
        <v>2</v>
      </c>
      <c r="AB1318">
        <v>0.11765</v>
      </c>
      <c r="AC1318" t="s">
        <v>6207</v>
      </c>
      <c r="AD1318" t="s">
        <v>81</v>
      </c>
      <c r="AE1318" t="s">
        <v>62</v>
      </c>
      <c r="AF1318" t="s">
        <v>62</v>
      </c>
      <c r="AG1318">
        <v>0</v>
      </c>
      <c r="AH1318">
        <v>0</v>
      </c>
      <c r="AI1318">
        <v>7</v>
      </c>
      <c r="AJ1318">
        <v>0</v>
      </c>
      <c r="AK1318">
        <v>0</v>
      </c>
      <c r="AL1318">
        <v>0</v>
      </c>
      <c r="AM1318">
        <v>0</v>
      </c>
      <c r="AN1318">
        <v>2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>
        <v>0</v>
      </c>
      <c r="AU1318">
        <v>16</v>
      </c>
      <c r="AV1318">
        <v>13</v>
      </c>
      <c r="AW1318">
        <v>64</v>
      </c>
      <c r="AX1318">
        <v>2</v>
      </c>
      <c r="AY1318">
        <v>108</v>
      </c>
      <c r="AZ1318">
        <v>6</v>
      </c>
      <c r="BA1318" t="s">
        <v>23618</v>
      </c>
      <c r="BB1318" t="s">
        <v>23619</v>
      </c>
      <c r="BC1318">
        <v>0.20200000000000001</v>
      </c>
      <c r="BD1318" t="s">
        <v>65</v>
      </c>
      <c r="BE1318">
        <v>172</v>
      </c>
      <c r="BF1318">
        <v>8</v>
      </c>
      <c r="BG1318" t="s">
        <v>23620</v>
      </c>
      <c r="BH1318" t="s">
        <v>23621</v>
      </c>
      <c r="BI1318" t="s">
        <v>23622</v>
      </c>
      <c r="BJ1318">
        <v>2.2769999999999999E-2</v>
      </c>
      <c r="BK1318">
        <v>1</v>
      </c>
      <c r="BL1318" t="s">
        <v>69</v>
      </c>
      <c r="BM1318">
        <v>-0.67200000000000004</v>
      </c>
      <c r="BN1318">
        <v>0.73299999999999998</v>
      </c>
    </row>
    <row r="1319" spans="2:66">
      <c r="B1319">
        <v>2308</v>
      </c>
      <c r="C1319">
        <v>473</v>
      </c>
      <c r="D1319">
        <v>0</v>
      </c>
      <c r="E1319">
        <v>2</v>
      </c>
      <c r="F1319">
        <v>0</v>
      </c>
      <c r="J1319">
        <v>0</v>
      </c>
      <c r="K1319">
        <v>4</v>
      </c>
      <c r="L1319">
        <v>0</v>
      </c>
      <c r="M1319" t="s">
        <v>25022</v>
      </c>
      <c r="N1319">
        <v>4018</v>
      </c>
      <c r="O1319" t="s">
        <v>23643</v>
      </c>
      <c r="P1319" t="s">
        <v>62</v>
      </c>
      <c r="Q1319">
        <v>3983190</v>
      </c>
      <c r="R1319">
        <v>3984026</v>
      </c>
      <c r="S1319" t="s">
        <v>23644</v>
      </c>
      <c r="T1319">
        <v>279</v>
      </c>
      <c r="U1319" t="s">
        <v>108</v>
      </c>
      <c r="V1319">
        <v>44</v>
      </c>
      <c r="W1319" t="str">
        <f>HYPERLINK("Gene4018-zp_tree_all.dnd", "Gene4018-tree")</f>
        <v>Gene4018-tree</v>
      </c>
      <c r="X1319">
        <v>5</v>
      </c>
      <c r="Y1319">
        <v>7</v>
      </c>
      <c r="Z1319">
        <v>5</v>
      </c>
      <c r="AA1319">
        <v>7</v>
      </c>
      <c r="AB1319">
        <v>0.58333000000000002</v>
      </c>
      <c r="AC1319" t="s">
        <v>199</v>
      </c>
      <c r="AD1319" t="s">
        <v>152</v>
      </c>
      <c r="AE1319" t="s">
        <v>62</v>
      </c>
      <c r="AF1319" t="s">
        <v>62</v>
      </c>
      <c r="AG1319">
        <v>2</v>
      </c>
      <c r="AH1319">
        <v>4</v>
      </c>
      <c r="AI1319">
        <v>13</v>
      </c>
      <c r="AJ1319">
        <v>0.23529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10</v>
      </c>
      <c r="AT1319">
        <v>0</v>
      </c>
      <c r="AU1319">
        <v>9</v>
      </c>
      <c r="AV1319">
        <v>9</v>
      </c>
      <c r="AW1319">
        <v>13</v>
      </c>
      <c r="AX1319">
        <v>10</v>
      </c>
      <c r="AY1319">
        <v>14</v>
      </c>
      <c r="AZ1319">
        <v>8</v>
      </c>
      <c r="BA1319" t="s">
        <v>23645</v>
      </c>
      <c r="BB1319" t="s">
        <v>23646</v>
      </c>
      <c r="BC1319">
        <v>0.32500000000000001</v>
      </c>
      <c r="BD1319" t="s">
        <v>65</v>
      </c>
      <c r="BE1319">
        <v>27</v>
      </c>
      <c r="BF1319">
        <v>18</v>
      </c>
      <c r="BG1319" t="s">
        <v>23647</v>
      </c>
      <c r="BH1319" t="s">
        <v>23648</v>
      </c>
      <c r="BI1319" t="s">
        <v>23649</v>
      </c>
      <c r="BJ1319">
        <v>0.15637999999999999</v>
      </c>
      <c r="BK1319">
        <v>1</v>
      </c>
      <c r="BL1319" t="s">
        <v>69</v>
      </c>
      <c r="BM1319">
        <v>-0.871</v>
      </c>
      <c r="BN1319">
        <v>-1.194</v>
      </c>
    </row>
    <row r="1320" spans="2:66">
      <c r="B1320">
        <v>2311</v>
      </c>
      <c r="C1320">
        <v>325</v>
      </c>
      <c r="D1320">
        <v>0</v>
      </c>
      <c r="E1320">
        <v>6</v>
      </c>
      <c r="F1320">
        <v>2</v>
      </c>
      <c r="J1320">
        <v>0</v>
      </c>
      <c r="K1320">
        <v>0</v>
      </c>
      <c r="L1320">
        <v>0</v>
      </c>
      <c r="M1320" t="s">
        <v>25022</v>
      </c>
      <c r="N1320">
        <v>4019</v>
      </c>
      <c r="O1320" t="s">
        <v>23650</v>
      </c>
      <c r="P1320" t="s">
        <v>62</v>
      </c>
      <c r="Q1320">
        <v>3984136</v>
      </c>
      <c r="R1320">
        <v>3985230</v>
      </c>
      <c r="S1320" t="s">
        <v>23651</v>
      </c>
      <c r="T1320">
        <v>365</v>
      </c>
      <c r="U1320" t="s">
        <v>108</v>
      </c>
      <c r="V1320">
        <v>44</v>
      </c>
      <c r="W1320" t="str">
        <f>HYPERLINK("Gene4019-zp_tree_all.dnd", "Gene4019-tree")</f>
        <v>Gene4019-tree</v>
      </c>
      <c r="X1320">
        <v>13</v>
      </c>
      <c r="Y1320">
        <v>1</v>
      </c>
      <c r="Z1320">
        <v>13</v>
      </c>
      <c r="AA1320">
        <v>1</v>
      </c>
      <c r="AB1320">
        <v>7.1429999999999993E-2</v>
      </c>
      <c r="AC1320" t="s">
        <v>507</v>
      </c>
      <c r="AD1320" t="s">
        <v>175</v>
      </c>
      <c r="AE1320" t="s">
        <v>62</v>
      </c>
      <c r="AF1320" t="s">
        <v>62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9</v>
      </c>
      <c r="AV1320">
        <v>10</v>
      </c>
      <c r="AW1320">
        <v>35</v>
      </c>
      <c r="AX1320">
        <v>1</v>
      </c>
      <c r="AY1320">
        <v>39</v>
      </c>
      <c r="AZ1320">
        <v>0</v>
      </c>
      <c r="BA1320" t="s">
        <v>23652</v>
      </c>
      <c r="BB1320" t="s">
        <v>193</v>
      </c>
      <c r="BC1320">
        <v>0.35399999999999998</v>
      </c>
      <c r="BD1320" t="s">
        <v>65</v>
      </c>
      <c r="BE1320">
        <v>74</v>
      </c>
      <c r="BF1320">
        <v>1</v>
      </c>
      <c r="BG1320" t="s">
        <v>23653</v>
      </c>
      <c r="BH1320" t="s">
        <v>23654</v>
      </c>
      <c r="BI1320" t="s">
        <v>10808</v>
      </c>
      <c r="BJ1320">
        <v>2.7699999999999999E-3</v>
      </c>
      <c r="BK1320">
        <v>1</v>
      </c>
      <c r="BL1320" t="s">
        <v>69</v>
      </c>
      <c r="BM1320">
        <v>0.71699999999999997</v>
      </c>
      <c r="BN1320">
        <v>-0.437</v>
      </c>
    </row>
    <row r="1321" spans="2:66">
      <c r="B1321">
        <v>2313</v>
      </c>
      <c r="C1321">
        <v>89</v>
      </c>
      <c r="D1321">
        <v>0</v>
      </c>
      <c r="E1321">
        <v>8</v>
      </c>
      <c r="F1321">
        <v>0</v>
      </c>
      <c r="J1321">
        <v>0</v>
      </c>
      <c r="K1321">
        <v>7</v>
      </c>
      <c r="L1321">
        <v>0</v>
      </c>
      <c r="M1321" t="s">
        <v>25022</v>
      </c>
      <c r="N1321">
        <v>4020</v>
      </c>
      <c r="O1321" t="s">
        <v>23655</v>
      </c>
      <c r="P1321" t="s">
        <v>62</v>
      </c>
      <c r="Q1321">
        <v>3985354</v>
      </c>
      <c r="R1321">
        <v>3986244</v>
      </c>
      <c r="S1321" t="s">
        <v>23656</v>
      </c>
      <c r="T1321">
        <v>297</v>
      </c>
      <c r="U1321" t="s">
        <v>108</v>
      </c>
      <c r="V1321">
        <v>44</v>
      </c>
      <c r="W1321" t="str">
        <f>HYPERLINK("Gene4020-zp_tree_all.dnd", "Gene4020-tree")</f>
        <v>Gene4020-tree</v>
      </c>
      <c r="X1321">
        <v>4</v>
      </c>
      <c r="Y1321">
        <v>6</v>
      </c>
      <c r="Z1321">
        <v>4</v>
      </c>
      <c r="AA1321">
        <v>6</v>
      </c>
      <c r="AB1321">
        <v>0.6</v>
      </c>
      <c r="AC1321" t="s">
        <v>61</v>
      </c>
      <c r="AD1321" t="s">
        <v>90</v>
      </c>
      <c r="AE1321" t="s">
        <v>62</v>
      </c>
      <c r="AF1321" t="s">
        <v>62</v>
      </c>
      <c r="AG1321">
        <v>3</v>
      </c>
      <c r="AH1321">
        <v>7</v>
      </c>
      <c r="AI1321">
        <v>10</v>
      </c>
      <c r="AJ1321">
        <v>0.41176000000000001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2</v>
      </c>
      <c r="AQ1321">
        <v>0</v>
      </c>
      <c r="AR1321">
        <v>2</v>
      </c>
      <c r="AS1321">
        <v>9</v>
      </c>
      <c r="AT1321">
        <v>0.18182000000000001</v>
      </c>
      <c r="AU1321">
        <v>9</v>
      </c>
      <c r="AV1321">
        <v>6</v>
      </c>
      <c r="AW1321">
        <v>18</v>
      </c>
      <c r="AX1321">
        <v>11</v>
      </c>
      <c r="AY1321">
        <v>13</v>
      </c>
      <c r="AZ1321">
        <v>6</v>
      </c>
      <c r="BA1321" t="s">
        <v>23657</v>
      </c>
      <c r="BB1321" t="s">
        <v>23658</v>
      </c>
      <c r="BC1321">
        <v>0.48199999999999998</v>
      </c>
      <c r="BD1321" t="s">
        <v>65</v>
      </c>
      <c r="BE1321">
        <v>31</v>
      </c>
      <c r="BF1321">
        <v>17</v>
      </c>
      <c r="BG1321" t="s">
        <v>23659</v>
      </c>
      <c r="BH1321" t="s">
        <v>23660</v>
      </c>
      <c r="BI1321" t="s">
        <v>23661</v>
      </c>
      <c r="BJ1321">
        <v>0.18187</v>
      </c>
      <c r="BK1321">
        <v>1</v>
      </c>
      <c r="BL1321" t="s">
        <v>69</v>
      </c>
      <c r="BM1321">
        <v>0.31900000000000001</v>
      </c>
      <c r="BN1321">
        <v>-0.69199999999999995</v>
      </c>
    </row>
    <row r="1322" spans="2:66">
      <c r="B1322">
        <v>2318</v>
      </c>
      <c r="C1322">
        <v>4</v>
      </c>
      <c r="D1322">
        <v>0</v>
      </c>
      <c r="E1322">
        <v>2</v>
      </c>
      <c r="F1322">
        <v>0</v>
      </c>
      <c r="J1322">
        <v>0</v>
      </c>
      <c r="K1322">
        <v>0</v>
      </c>
      <c r="L1322">
        <v>0</v>
      </c>
      <c r="M1322" t="s">
        <v>25022</v>
      </c>
      <c r="N1322">
        <v>4022</v>
      </c>
      <c r="O1322" t="s">
        <v>23668</v>
      </c>
      <c r="P1322" t="s">
        <v>62</v>
      </c>
      <c r="Q1322">
        <v>3987930</v>
      </c>
      <c r="R1322">
        <v>3988763</v>
      </c>
      <c r="S1322" t="s">
        <v>23669</v>
      </c>
      <c r="T1322">
        <v>278</v>
      </c>
      <c r="U1322" t="s">
        <v>108</v>
      </c>
      <c r="V1322">
        <v>44</v>
      </c>
      <c r="W1322" t="str">
        <f>HYPERLINK("Gene4022-zp_tree_all.dnd", "Gene4022-tree")</f>
        <v>Gene4022-tree</v>
      </c>
      <c r="X1322">
        <v>9</v>
      </c>
      <c r="Y1322">
        <v>5</v>
      </c>
      <c r="Z1322">
        <v>9</v>
      </c>
      <c r="AA1322">
        <v>5</v>
      </c>
      <c r="AB1322">
        <v>0.35714000000000001</v>
      </c>
      <c r="AC1322" t="s">
        <v>135</v>
      </c>
      <c r="AD1322" t="s">
        <v>199</v>
      </c>
      <c r="AE1322" t="s">
        <v>62</v>
      </c>
      <c r="AF1322" t="s">
        <v>62</v>
      </c>
      <c r="AG1322">
        <v>0</v>
      </c>
      <c r="AH1322">
        <v>0</v>
      </c>
      <c r="AI1322">
        <v>6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6</v>
      </c>
      <c r="AT1322">
        <v>0</v>
      </c>
      <c r="AU1322">
        <v>11</v>
      </c>
      <c r="AV1322">
        <v>8</v>
      </c>
      <c r="AW1322">
        <v>31</v>
      </c>
      <c r="AX1322">
        <v>6</v>
      </c>
      <c r="AY1322">
        <v>16</v>
      </c>
      <c r="AZ1322">
        <v>0</v>
      </c>
      <c r="BA1322" t="s">
        <v>23670</v>
      </c>
      <c r="BB1322" t="s">
        <v>193</v>
      </c>
      <c r="BC1322">
        <v>1.4219999999999999</v>
      </c>
      <c r="BD1322" t="s">
        <v>65</v>
      </c>
      <c r="BE1322">
        <v>47</v>
      </c>
      <c r="BF1322">
        <v>6</v>
      </c>
      <c r="BG1322" t="s">
        <v>23671</v>
      </c>
      <c r="BH1322" t="s">
        <v>23672</v>
      </c>
      <c r="BI1322" t="s">
        <v>23673</v>
      </c>
      <c r="BJ1322">
        <v>2.7730000000000001E-2</v>
      </c>
      <c r="BK1322">
        <v>1</v>
      </c>
      <c r="BL1322" t="s">
        <v>69</v>
      </c>
      <c r="BM1322">
        <v>-1.181</v>
      </c>
      <c r="BN1322">
        <v>-1.4790000000000001</v>
      </c>
    </row>
    <row r="1323" spans="2:66">
      <c r="B1323">
        <v>2321</v>
      </c>
      <c r="C1323">
        <v>77</v>
      </c>
      <c r="D1323">
        <v>0</v>
      </c>
      <c r="E1323">
        <v>2</v>
      </c>
      <c r="F1323">
        <v>0</v>
      </c>
      <c r="J1323">
        <v>0</v>
      </c>
      <c r="K1323">
        <v>8</v>
      </c>
      <c r="L1323">
        <v>1</v>
      </c>
      <c r="M1323" t="s">
        <v>25022</v>
      </c>
      <c r="N1323">
        <v>4024</v>
      </c>
      <c r="O1323" t="s">
        <v>23681</v>
      </c>
      <c r="P1323" t="s">
        <v>62</v>
      </c>
      <c r="Q1323">
        <v>3989951</v>
      </c>
      <c r="R1323">
        <v>3990967</v>
      </c>
      <c r="S1323" t="s">
        <v>23682</v>
      </c>
      <c r="T1323">
        <v>339</v>
      </c>
      <c r="U1323" t="s">
        <v>108</v>
      </c>
      <c r="V1323">
        <v>44</v>
      </c>
      <c r="W1323" t="str">
        <f>HYPERLINK("Gene4024-zp_tree_all.dnd", "Gene4024-tree")</f>
        <v>Gene4024-tree</v>
      </c>
      <c r="X1323">
        <v>10</v>
      </c>
      <c r="Y1323">
        <v>5</v>
      </c>
      <c r="Z1323">
        <v>10</v>
      </c>
      <c r="AA1323">
        <v>5</v>
      </c>
      <c r="AB1323">
        <v>0.33333000000000002</v>
      </c>
      <c r="AC1323" t="s">
        <v>117</v>
      </c>
      <c r="AD1323" t="s">
        <v>199</v>
      </c>
      <c r="AE1323" t="s">
        <v>62</v>
      </c>
      <c r="AF1323" t="s">
        <v>62</v>
      </c>
      <c r="AG1323">
        <v>3</v>
      </c>
      <c r="AH1323">
        <v>9</v>
      </c>
      <c r="AI1323">
        <v>3</v>
      </c>
      <c r="AJ1323">
        <v>0.75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2</v>
      </c>
      <c r="AQ1323">
        <v>0</v>
      </c>
      <c r="AR1323">
        <v>2</v>
      </c>
      <c r="AS1323">
        <v>4</v>
      </c>
      <c r="AT1323">
        <v>0.33333000000000002</v>
      </c>
      <c r="AU1323">
        <v>12</v>
      </c>
      <c r="AV1323">
        <v>10</v>
      </c>
      <c r="AW1323">
        <v>42</v>
      </c>
      <c r="AX1323">
        <v>6</v>
      </c>
      <c r="AY1323">
        <v>36</v>
      </c>
      <c r="AZ1323">
        <v>6</v>
      </c>
      <c r="BA1323" t="s">
        <v>23683</v>
      </c>
      <c r="BB1323" t="s">
        <v>23684</v>
      </c>
      <c r="BC1323">
        <v>0.19500000000000001</v>
      </c>
      <c r="BD1323" t="s">
        <v>65</v>
      </c>
      <c r="BE1323">
        <v>78</v>
      </c>
      <c r="BF1323">
        <v>12</v>
      </c>
      <c r="BG1323" t="s">
        <v>23685</v>
      </c>
      <c r="BH1323" t="s">
        <v>23686</v>
      </c>
      <c r="BI1323" t="s">
        <v>20077</v>
      </c>
      <c r="BJ1323">
        <v>4.342E-2</v>
      </c>
      <c r="BK1323">
        <v>1</v>
      </c>
      <c r="BL1323" t="s">
        <v>69</v>
      </c>
      <c r="BM1323">
        <v>0.71</v>
      </c>
      <c r="BN1323">
        <v>0.55200000000000005</v>
      </c>
    </row>
    <row r="1324" spans="2:66">
      <c r="B1324">
        <v>2324</v>
      </c>
      <c r="C1324">
        <v>8</v>
      </c>
      <c r="D1324">
        <v>0</v>
      </c>
      <c r="E1324">
        <v>12</v>
      </c>
      <c r="F1324">
        <v>0</v>
      </c>
      <c r="J1324">
        <v>0</v>
      </c>
      <c r="K1324">
        <v>0</v>
      </c>
      <c r="L1324">
        <v>0</v>
      </c>
      <c r="M1324" t="s">
        <v>25022</v>
      </c>
      <c r="N1324">
        <v>4025</v>
      </c>
      <c r="O1324" t="s">
        <v>23687</v>
      </c>
      <c r="P1324" t="s">
        <v>62</v>
      </c>
      <c r="Q1324">
        <v>3991085</v>
      </c>
      <c r="R1324">
        <v>3991588</v>
      </c>
      <c r="S1324" t="s">
        <v>23688</v>
      </c>
      <c r="T1324">
        <v>168</v>
      </c>
      <c r="U1324" t="s">
        <v>23689</v>
      </c>
      <c r="V1324">
        <v>27</v>
      </c>
      <c r="W1324" t="str">
        <f>HYPERLINK("Gene4025-zp_tree_all.dnd", "Gene4025-tree")</f>
        <v>Gene4025-tree</v>
      </c>
      <c r="X1324">
        <v>2</v>
      </c>
      <c r="Y1324">
        <v>3</v>
      </c>
      <c r="Z1324">
        <v>2</v>
      </c>
      <c r="AA1324">
        <v>3</v>
      </c>
      <c r="AB1324">
        <v>0.6</v>
      </c>
      <c r="AC1324" t="s">
        <v>81</v>
      </c>
      <c r="AD1324" t="s">
        <v>324</v>
      </c>
      <c r="AE1324" t="s">
        <v>62</v>
      </c>
      <c r="AF1324" t="s">
        <v>62</v>
      </c>
      <c r="AG1324">
        <v>0</v>
      </c>
      <c r="AH1324">
        <v>0</v>
      </c>
      <c r="AI1324">
        <v>5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5</v>
      </c>
      <c r="AT1324">
        <v>0</v>
      </c>
      <c r="AU1324">
        <v>4</v>
      </c>
      <c r="AV1324">
        <v>1</v>
      </c>
      <c r="AW1324">
        <v>8</v>
      </c>
      <c r="AX1324">
        <v>5</v>
      </c>
      <c r="AY1324">
        <v>1</v>
      </c>
      <c r="AZ1324">
        <v>0</v>
      </c>
      <c r="BA1324" t="s">
        <v>23690</v>
      </c>
      <c r="BB1324" t="s">
        <v>193</v>
      </c>
      <c r="BC1324">
        <v>3.52</v>
      </c>
      <c r="BD1324" t="s">
        <v>267</v>
      </c>
      <c r="BE1324">
        <v>9</v>
      </c>
      <c r="BF1324">
        <v>5</v>
      </c>
      <c r="BG1324" t="s">
        <v>23691</v>
      </c>
      <c r="BH1324" t="s">
        <v>23692</v>
      </c>
      <c r="BI1324" t="s">
        <v>23693</v>
      </c>
      <c r="BJ1324">
        <v>0.15554999999999999</v>
      </c>
      <c r="BK1324">
        <v>0.99</v>
      </c>
      <c r="BL1324" t="s">
        <v>69</v>
      </c>
      <c r="BM1324">
        <v>-0.21099999999999999</v>
      </c>
      <c r="BN1324">
        <v>-0.63800000000000001</v>
      </c>
    </row>
    <row r="1325" spans="2:66">
      <c r="B1325">
        <v>2325</v>
      </c>
      <c r="C1325">
        <v>174</v>
      </c>
      <c r="D1325">
        <v>0</v>
      </c>
      <c r="E1325">
        <v>0</v>
      </c>
      <c r="F1325">
        <v>2</v>
      </c>
      <c r="J1325">
        <v>0</v>
      </c>
      <c r="K1325">
        <v>4</v>
      </c>
      <c r="L1325">
        <v>0</v>
      </c>
      <c r="M1325" t="s">
        <v>25022</v>
      </c>
      <c r="N1325">
        <v>4035</v>
      </c>
      <c r="O1325" t="s">
        <v>23755</v>
      </c>
      <c r="P1325" t="s">
        <v>62</v>
      </c>
      <c r="Q1325">
        <v>4000542</v>
      </c>
      <c r="R1325">
        <v>4001312</v>
      </c>
      <c r="S1325" t="s">
        <v>23756</v>
      </c>
      <c r="T1325">
        <v>257</v>
      </c>
      <c r="U1325" t="s">
        <v>108</v>
      </c>
      <c r="V1325">
        <v>44</v>
      </c>
      <c r="W1325" t="str">
        <f>HYPERLINK("Gene4035-zp_tree_all.dnd", "Gene4035-tree")</f>
        <v>Gene4035-tree</v>
      </c>
      <c r="X1325">
        <v>10</v>
      </c>
      <c r="Y1325">
        <v>4</v>
      </c>
      <c r="Z1325">
        <v>10</v>
      </c>
      <c r="AA1325">
        <v>4</v>
      </c>
      <c r="AB1325">
        <v>0.28571000000000002</v>
      </c>
      <c r="AC1325" t="s">
        <v>117</v>
      </c>
      <c r="AD1325" t="s">
        <v>61</v>
      </c>
      <c r="AE1325" t="s">
        <v>62</v>
      </c>
      <c r="AF1325" t="s">
        <v>62</v>
      </c>
      <c r="AG1325">
        <v>2</v>
      </c>
      <c r="AH1325">
        <v>4</v>
      </c>
      <c r="AI1325">
        <v>10</v>
      </c>
      <c r="AJ1325">
        <v>0.28571000000000002</v>
      </c>
      <c r="AK1325">
        <v>0</v>
      </c>
      <c r="AL1325">
        <v>0</v>
      </c>
      <c r="AM1325">
        <v>0</v>
      </c>
      <c r="AN1325">
        <v>2</v>
      </c>
      <c r="AO1325">
        <v>0</v>
      </c>
      <c r="AP1325">
        <v>0</v>
      </c>
      <c r="AQ1325">
        <v>0</v>
      </c>
      <c r="AR1325">
        <v>0</v>
      </c>
      <c r="AS1325">
        <v>10</v>
      </c>
      <c r="AT1325">
        <v>0</v>
      </c>
      <c r="AU1325">
        <v>10</v>
      </c>
      <c r="AV1325">
        <v>10</v>
      </c>
      <c r="AW1325">
        <v>23</v>
      </c>
      <c r="AX1325">
        <v>10</v>
      </c>
      <c r="AY1325">
        <v>15</v>
      </c>
      <c r="AZ1325">
        <v>4</v>
      </c>
      <c r="BA1325" t="s">
        <v>23757</v>
      </c>
      <c r="BB1325" t="s">
        <v>23758</v>
      </c>
      <c r="BC1325">
        <v>0.26</v>
      </c>
      <c r="BD1325" t="s">
        <v>65</v>
      </c>
      <c r="BE1325">
        <v>38</v>
      </c>
      <c r="BF1325">
        <v>14</v>
      </c>
      <c r="BG1325" t="s">
        <v>23759</v>
      </c>
      <c r="BH1325" t="s">
        <v>23760</v>
      </c>
      <c r="BI1325" t="s">
        <v>23761</v>
      </c>
      <c r="BJ1325">
        <v>0.11734</v>
      </c>
      <c r="BK1325">
        <v>1</v>
      </c>
      <c r="BL1325" t="s">
        <v>69</v>
      </c>
      <c r="BM1325">
        <v>-0.11799999999999999</v>
      </c>
      <c r="BN1325">
        <v>-1.4790000000000001</v>
      </c>
    </row>
    <row r="1326" spans="2:66">
      <c r="B1326">
        <v>2326</v>
      </c>
      <c r="C1326">
        <v>814</v>
      </c>
      <c r="D1326">
        <v>0</v>
      </c>
      <c r="E1326">
        <v>2</v>
      </c>
      <c r="F1326">
        <v>0</v>
      </c>
      <c r="J1326">
        <v>0</v>
      </c>
      <c r="K1326">
        <v>2</v>
      </c>
      <c r="L1326">
        <v>0</v>
      </c>
      <c r="M1326" t="s">
        <v>25022</v>
      </c>
      <c r="N1326">
        <v>4036</v>
      </c>
      <c r="O1326" t="s">
        <v>23762</v>
      </c>
      <c r="P1326" t="s">
        <v>62</v>
      </c>
      <c r="Q1326">
        <v>4001332</v>
      </c>
      <c r="R1326">
        <v>4001979</v>
      </c>
      <c r="S1326" t="s">
        <v>23763</v>
      </c>
      <c r="T1326">
        <v>216</v>
      </c>
      <c r="U1326" t="s">
        <v>108</v>
      </c>
      <c r="V1326">
        <v>44</v>
      </c>
      <c r="W1326" t="str">
        <f>HYPERLINK("Gene4036-zp_tree_all.dnd", "Gene4036-tree")</f>
        <v>Gene4036-tree</v>
      </c>
      <c r="X1326">
        <v>9</v>
      </c>
      <c r="Y1326">
        <v>4</v>
      </c>
      <c r="Z1326">
        <v>9</v>
      </c>
      <c r="AA1326">
        <v>4</v>
      </c>
      <c r="AB1326">
        <v>0.30769000000000002</v>
      </c>
      <c r="AC1326" t="s">
        <v>135</v>
      </c>
      <c r="AD1326" t="s">
        <v>61</v>
      </c>
      <c r="AE1326" t="s">
        <v>62</v>
      </c>
      <c r="AF1326" t="s">
        <v>62</v>
      </c>
      <c r="AG1326">
        <v>1</v>
      </c>
      <c r="AH1326">
        <v>2</v>
      </c>
      <c r="AI1326">
        <v>5</v>
      </c>
      <c r="AJ1326">
        <v>0.28571000000000002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2</v>
      </c>
      <c r="AQ1326">
        <v>0</v>
      </c>
      <c r="AR1326">
        <v>2</v>
      </c>
      <c r="AS1326">
        <v>4</v>
      </c>
      <c r="AT1326">
        <v>0.33333000000000002</v>
      </c>
      <c r="AU1326">
        <v>10</v>
      </c>
      <c r="AV1326">
        <v>9</v>
      </c>
      <c r="AW1326">
        <v>16</v>
      </c>
      <c r="AX1326">
        <v>6</v>
      </c>
      <c r="AY1326">
        <v>14</v>
      </c>
      <c r="AZ1326">
        <v>1</v>
      </c>
      <c r="BA1326" t="s">
        <v>23764</v>
      </c>
      <c r="BB1326" t="s">
        <v>23765</v>
      </c>
      <c r="BC1326">
        <v>0.73599999999999999</v>
      </c>
      <c r="BD1326" t="s">
        <v>65</v>
      </c>
      <c r="BE1326">
        <v>30</v>
      </c>
      <c r="BF1326">
        <v>7</v>
      </c>
      <c r="BG1326" t="s">
        <v>23766</v>
      </c>
      <c r="BH1326" t="s">
        <v>23767</v>
      </c>
      <c r="BI1326" t="s">
        <v>23768</v>
      </c>
      <c r="BJ1326">
        <v>5.9409999999999998E-2</v>
      </c>
      <c r="BK1326">
        <v>1</v>
      </c>
      <c r="BL1326" t="s">
        <v>69</v>
      </c>
      <c r="BM1326">
        <v>-0.45800000000000002</v>
      </c>
      <c r="BN1326">
        <v>3.3000000000000002E-2</v>
      </c>
    </row>
    <row r="1327" spans="2:66">
      <c r="B1327">
        <v>2327</v>
      </c>
      <c r="C1327">
        <v>19</v>
      </c>
      <c r="D1327">
        <v>0</v>
      </c>
      <c r="E1327">
        <v>6</v>
      </c>
      <c r="F1327">
        <v>0</v>
      </c>
      <c r="J1327">
        <v>0</v>
      </c>
      <c r="K1327">
        <v>0</v>
      </c>
      <c r="L1327">
        <v>0</v>
      </c>
      <c r="M1327" t="s">
        <v>25022</v>
      </c>
      <c r="N1327">
        <v>4037</v>
      </c>
      <c r="O1327" t="s">
        <v>23769</v>
      </c>
      <c r="P1327" t="s">
        <v>62</v>
      </c>
      <c r="Q1327">
        <v>4001979</v>
      </c>
      <c r="R1327">
        <v>4002692</v>
      </c>
      <c r="S1327" t="s">
        <v>23770</v>
      </c>
      <c r="T1327">
        <v>238</v>
      </c>
      <c r="U1327" t="s">
        <v>108</v>
      </c>
      <c r="V1327">
        <v>44</v>
      </c>
      <c r="W1327" t="str">
        <f>HYPERLINK("Gene4037-zp_tree_all.dnd", "Gene4037-tree")</f>
        <v>Gene4037-tree</v>
      </c>
      <c r="X1327">
        <v>7</v>
      </c>
      <c r="Y1327">
        <v>6</v>
      </c>
      <c r="Z1327">
        <v>7</v>
      </c>
      <c r="AA1327">
        <v>6</v>
      </c>
      <c r="AB1327">
        <v>0.46154000000000001</v>
      </c>
      <c r="AC1327" t="s">
        <v>152</v>
      </c>
      <c r="AD1327" t="s">
        <v>90</v>
      </c>
      <c r="AE1327" t="s">
        <v>62</v>
      </c>
      <c r="AF1327" t="s">
        <v>62</v>
      </c>
      <c r="AG1327">
        <v>0</v>
      </c>
      <c r="AH1327">
        <v>0</v>
      </c>
      <c r="AI1327">
        <v>7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7</v>
      </c>
      <c r="AT1327">
        <v>0</v>
      </c>
      <c r="AU1327">
        <v>11</v>
      </c>
      <c r="AV1327">
        <v>5</v>
      </c>
      <c r="AW1327">
        <v>23</v>
      </c>
      <c r="AX1327">
        <v>7</v>
      </c>
      <c r="AY1327">
        <v>8</v>
      </c>
      <c r="AZ1327">
        <v>0</v>
      </c>
      <c r="BA1327" t="s">
        <v>23771</v>
      </c>
      <c r="BB1327" t="s">
        <v>193</v>
      </c>
      <c r="BC1327">
        <v>2.65</v>
      </c>
      <c r="BD1327" t="s">
        <v>267</v>
      </c>
      <c r="BE1327">
        <v>31</v>
      </c>
      <c r="BF1327">
        <v>7</v>
      </c>
      <c r="BG1327" t="s">
        <v>23772</v>
      </c>
      <c r="BH1327" t="s">
        <v>23773</v>
      </c>
      <c r="BI1327" t="s">
        <v>23774</v>
      </c>
      <c r="BJ1327">
        <v>5.6980000000000003E-2</v>
      </c>
      <c r="BK1327">
        <v>1</v>
      </c>
      <c r="BL1327" t="s">
        <v>69</v>
      </c>
      <c r="BM1327">
        <v>-1.163</v>
      </c>
      <c r="BN1327">
        <v>-1.71</v>
      </c>
    </row>
    <row r="1328" spans="2:66">
      <c r="B1328">
        <v>2332</v>
      </c>
      <c r="C1328">
        <v>86</v>
      </c>
      <c r="D1328">
        <v>0</v>
      </c>
      <c r="E1328">
        <v>2</v>
      </c>
      <c r="F1328">
        <v>4</v>
      </c>
      <c r="J1328">
        <v>0</v>
      </c>
      <c r="K1328">
        <v>2</v>
      </c>
      <c r="L1328">
        <v>0</v>
      </c>
      <c r="M1328" t="s">
        <v>25022</v>
      </c>
      <c r="N1328">
        <v>4038</v>
      </c>
      <c r="O1328" t="s">
        <v>23775</v>
      </c>
      <c r="P1328" t="s">
        <v>62</v>
      </c>
      <c r="Q1328">
        <v>4002719</v>
      </c>
      <c r="R1328">
        <v>4004134</v>
      </c>
      <c r="S1328" t="s">
        <v>23776</v>
      </c>
      <c r="T1328">
        <v>472</v>
      </c>
      <c r="U1328" t="s">
        <v>108</v>
      </c>
      <c r="V1328">
        <v>44</v>
      </c>
      <c r="W1328" t="str">
        <f>HYPERLINK("Gene4038-zp_tree_all.dnd", "Gene4038-tree")</f>
        <v>Gene4038-tree</v>
      </c>
      <c r="X1328">
        <v>10</v>
      </c>
      <c r="Y1328">
        <v>7</v>
      </c>
      <c r="Z1328">
        <v>10</v>
      </c>
      <c r="AA1328">
        <v>7</v>
      </c>
      <c r="AB1328">
        <v>0.41176000000000001</v>
      </c>
      <c r="AC1328" t="s">
        <v>117</v>
      </c>
      <c r="AD1328" t="s">
        <v>152</v>
      </c>
      <c r="AE1328" t="s">
        <v>62</v>
      </c>
      <c r="AF1328" t="s">
        <v>62</v>
      </c>
      <c r="AG1328">
        <v>1</v>
      </c>
      <c r="AH1328">
        <v>2</v>
      </c>
      <c r="AI1328">
        <v>13</v>
      </c>
      <c r="AJ1328">
        <v>0.13333</v>
      </c>
      <c r="AK1328">
        <v>0</v>
      </c>
      <c r="AL1328">
        <v>0</v>
      </c>
      <c r="AM1328">
        <v>0</v>
      </c>
      <c r="AN1328">
        <v>3</v>
      </c>
      <c r="AO1328">
        <v>0</v>
      </c>
      <c r="AP1328">
        <v>0</v>
      </c>
      <c r="AQ1328">
        <v>0</v>
      </c>
      <c r="AR1328">
        <v>0</v>
      </c>
      <c r="AS1328">
        <v>10</v>
      </c>
      <c r="AT1328">
        <v>0</v>
      </c>
      <c r="AU1328">
        <v>14</v>
      </c>
      <c r="AV1328">
        <v>14</v>
      </c>
      <c r="AW1328">
        <v>49</v>
      </c>
      <c r="AX1328">
        <v>7</v>
      </c>
      <c r="AY1328">
        <v>54</v>
      </c>
      <c r="AZ1328">
        <v>8</v>
      </c>
      <c r="BA1328" t="s">
        <v>23777</v>
      </c>
      <c r="BB1328" t="s">
        <v>23778</v>
      </c>
      <c r="BC1328">
        <v>2.5999999999999999E-2</v>
      </c>
      <c r="BD1328" t="s">
        <v>65</v>
      </c>
      <c r="BE1328">
        <v>103</v>
      </c>
      <c r="BF1328">
        <v>15</v>
      </c>
      <c r="BG1328" t="s">
        <v>23779</v>
      </c>
      <c r="BH1328" t="s">
        <v>23780</v>
      </c>
      <c r="BI1328" t="s">
        <v>23781</v>
      </c>
      <c r="BJ1328">
        <v>4.9020000000000001E-2</v>
      </c>
      <c r="BK1328">
        <v>1</v>
      </c>
      <c r="BL1328" t="s">
        <v>69</v>
      </c>
      <c r="BM1328">
        <v>-5.6000000000000001E-2</v>
      </c>
      <c r="BN1328">
        <v>0.25900000000000001</v>
      </c>
    </row>
    <row r="1329" spans="2:66">
      <c r="B1329">
        <v>2334</v>
      </c>
      <c r="C1329">
        <v>889</v>
      </c>
      <c r="D1329">
        <v>0</v>
      </c>
      <c r="E1329">
        <v>5</v>
      </c>
      <c r="F1329">
        <v>4</v>
      </c>
      <c r="J1329">
        <v>0</v>
      </c>
      <c r="K1329">
        <v>26</v>
      </c>
      <c r="L1329">
        <v>6</v>
      </c>
      <c r="M1329" t="s">
        <v>25022</v>
      </c>
      <c r="N1329">
        <v>4039</v>
      </c>
      <c r="O1329" t="s">
        <v>23782</v>
      </c>
      <c r="P1329" t="s">
        <v>62</v>
      </c>
      <c r="Q1329">
        <v>4004291</v>
      </c>
      <c r="R1329">
        <v>4005136</v>
      </c>
      <c r="S1329" t="s">
        <v>23783</v>
      </c>
      <c r="T1329">
        <v>282</v>
      </c>
      <c r="U1329" t="s">
        <v>108</v>
      </c>
      <c r="V1329">
        <v>44</v>
      </c>
      <c r="W1329" t="str">
        <f>HYPERLINK("Gene4039-zp_tree_all.dnd", "Gene4039-tree")</f>
        <v>Gene4039-tree</v>
      </c>
      <c r="X1329">
        <v>1</v>
      </c>
      <c r="Y1329">
        <v>14</v>
      </c>
      <c r="Z1329">
        <v>1</v>
      </c>
      <c r="AA1329">
        <v>14</v>
      </c>
      <c r="AB1329">
        <v>0.93332999999999999</v>
      </c>
      <c r="AC1329" t="s">
        <v>175</v>
      </c>
      <c r="AD1329" t="s">
        <v>543</v>
      </c>
      <c r="AE1329">
        <v>1865302226.941</v>
      </c>
      <c r="AF1329" t="s">
        <v>267</v>
      </c>
      <c r="AG1329">
        <v>13</v>
      </c>
      <c r="AH1329">
        <v>32</v>
      </c>
      <c r="AI1329">
        <v>20</v>
      </c>
      <c r="AJ1329">
        <v>0.61538000000000004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9</v>
      </c>
      <c r="AQ1329">
        <v>7</v>
      </c>
      <c r="AR1329">
        <v>16</v>
      </c>
      <c r="AS1329">
        <v>21</v>
      </c>
      <c r="AT1329">
        <v>0.43242999999999998</v>
      </c>
      <c r="AU1329">
        <v>12</v>
      </c>
      <c r="AV1329">
        <v>11</v>
      </c>
      <c r="AW1329">
        <v>29</v>
      </c>
      <c r="AX1329">
        <v>35</v>
      </c>
      <c r="AY1329">
        <v>19</v>
      </c>
      <c r="AZ1329">
        <v>18</v>
      </c>
      <c r="BA1329" t="s">
        <v>23784</v>
      </c>
      <c r="BB1329" t="s">
        <v>23785</v>
      </c>
      <c r="BC1329">
        <v>0.40200000000000002</v>
      </c>
      <c r="BD1329" t="s">
        <v>65</v>
      </c>
      <c r="BE1329">
        <v>48</v>
      </c>
      <c r="BF1329">
        <v>53</v>
      </c>
      <c r="BG1329" t="s">
        <v>23786</v>
      </c>
      <c r="BH1329" t="s">
        <v>23787</v>
      </c>
      <c r="BI1329" t="s">
        <v>23788</v>
      </c>
      <c r="BJ1329">
        <v>0.28427000000000002</v>
      </c>
      <c r="BK1329">
        <v>1</v>
      </c>
      <c r="BL1329" t="s">
        <v>69</v>
      </c>
      <c r="BM1329">
        <v>-0.67600000000000005</v>
      </c>
      <c r="BN1329">
        <v>-0.91800000000000004</v>
      </c>
    </row>
    <row r="1330" spans="2:66">
      <c r="B1330">
        <v>2336</v>
      </c>
      <c r="C1330">
        <v>8</v>
      </c>
      <c r="D1330">
        <v>0</v>
      </c>
      <c r="E1330">
        <v>2</v>
      </c>
      <c r="F1330">
        <v>0</v>
      </c>
      <c r="J1330">
        <v>0</v>
      </c>
      <c r="K1330">
        <v>2</v>
      </c>
      <c r="L1330">
        <v>2</v>
      </c>
      <c r="M1330" t="s">
        <v>25022</v>
      </c>
      <c r="N1330">
        <v>4043</v>
      </c>
      <c r="O1330" t="s">
        <v>23796</v>
      </c>
      <c r="P1330" t="s">
        <v>62</v>
      </c>
      <c r="Q1330">
        <v>4007806</v>
      </c>
      <c r="R1330">
        <v>4008093</v>
      </c>
      <c r="S1330" t="s">
        <v>116</v>
      </c>
      <c r="T1330">
        <v>96</v>
      </c>
      <c r="U1330" t="s">
        <v>108</v>
      </c>
      <c r="V1330">
        <v>44</v>
      </c>
      <c r="W1330" t="str">
        <f>HYPERLINK("Gene4043-zp_tree_all.dnd", "Gene4043-tree")</f>
        <v>Gene4043-tree</v>
      </c>
      <c r="X1330">
        <v>8</v>
      </c>
      <c r="Y1330">
        <v>6</v>
      </c>
      <c r="Z1330">
        <v>8</v>
      </c>
      <c r="AA1330">
        <v>6</v>
      </c>
      <c r="AB1330">
        <v>0.42857000000000001</v>
      </c>
      <c r="AC1330" t="s">
        <v>136</v>
      </c>
      <c r="AD1330" t="s">
        <v>90</v>
      </c>
      <c r="AE1330" t="s">
        <v>62</v>
      </c>
      <c r="AF1330" t="s">
        <v>62</v>
      </c>
      <c r="AG1330">
        <v>2</v>
      </c>
      <c r="AH1330">
        <v>4</v>
      </c>
      <c r="AI1330">
        <v>7</v>
      </c>
      <c r="AJ1330">
        <v>0.36364000000000002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</v>
      </c>
      <c r="AR1330">
        <v>2</v>
      </c>
      <c r="AS1330">
        <v>7</v>
      </c>
      <c r="AT1330">
        <v>0.22222</v>
      </c>
      <c r="AU1330">
        <v>12</v>
      </c>
      <c r="AV1330">
        <v>3</v>
      </c>
      <c r="AW1330">
        <v>16</v>
      </c>
      <c r="AX1330">
        <v>9</v>
      </c>
      <c r="AY1330">
        <v>3</v>
      </c>
      <c r="AZ1330">
        <v>2</v>
      </c>
      <c r="BA1330" t="s">
        <v>23797</v>
      </c>
      <c r="BB1330" t="s">
        <v>23798</v>
      </c>
      <c r="BC1330">
        <v>0.13600000000000001</v>
      </c>
      <c r="BD1330" t="s">
        <v>65</v>
      </c>
      <c r="BE1330">
        <v>19</v>
      </c>
      <c r="BF1330">
        <v>11</v>
      </c>
      <c r="BG1330" t="s">
        <v>23799</v>
      </c>
      <c r="BH1330" t="s">
        <v>23800</v>
      </c>
      <c r="BI1330" t="s">
        <v>23801</v>
      </c>
      <c r="BJ1330">
        <v>0.14027000000000001</v>
      </c>
      <c r="BK1330">
        <v>1</v>
      </c>
      <c r="BL1330" t="s">
        <v>69</v>
      </c>
      <c r="BM1330">
        <v>-0.79600000000000004</v>
      </c>
      <c r="BN1330">
        <v>-0.82399999999999995</v>
      </c>
    </row>
    <row r="1331" spans="2:66">
      <c r="B1331">
        <v>2337</v>
      </c>
      <c r="C1331">
        <v>13</v>
      </c>
      <c r="D1331">
        <v>0</v>
      </c>
      <c r="E1331">
        <v>6</v>
      </c>
      <c r="F1331">
        <v>0</v>
      </c>
      <c r="J1331">
        <v>0</v>
      </c>
      <c r="K1331">
        <v>40</v>
      </c>
      <c r="L1331">
        <v>2</v>
      </c>
      <c r="M1331" t="s">
        <v>25022</v>
      </c>
      <c r="N1331">
        <v>4044</v>
      </c>
      <c r="O1331" t="s">
        <v>23802</v>
      </c>
      <c r="P1331" t="s">
        <v>62</v>
      </c>
      <c r="Q1331">
        <v>4008146</v>
      </c>
      <c r="R1331">
        <v>4010203</v>
      </c>
      <c r="S1331" t="s">
        <v>23803</v>
      </c>
      <c r="T1331">
        <v>686</v>
      </c>
      <c r="U1331" t="s">
        <v>108</v>
      </c>
      <c r="V1331">
        <v>44</v>
      </c>
      <c r="W1331" t="str">
        <f>HYPERLINK("Gene4044-zp_tree_all.dnd", "Gene4044-tree")</f>
        <v>Gene4044-tree</v>
      </c>
      <c r="X1331">
        <v>3</v>
      </c>
      <c r="Y1331">
        <v>16</v>
      </c>
      <c r="Z1331">
        <v>3</v>
      </c>
      <c r="AA1331">
        <v>16</v>
      </c>
      <c r="AB1331">
        <v>0.84211000000000003</v>
      </c>
      <c r="AC1331" t="s">
        <v>324</v>
      </c>
      <c r="AD1331" t="s">
        <v>60</v>
      </c>
      <c r="AE1331" t="s">
        <v>62</v>
      </c>
      <c r="AF1331" t="s">
        <v>62</v>
      </c>
      <c r="AG1331">
        <v>13</v>
      </c>
      <c r="AH1331">
        <v>42</v>
      </c>
      <c r="AI1331">
        <v>23</v>
      </c>
      <c r="AJ1331">
        <v>0.64615</v>
      </c>
      <c r="AK1331">
        <v>0</v>
      </c>
      <c r="AL1331">
        <v>0</v>
      </c>
      <c r="AM1331">
        <v>0</v>
      </c>
      <c r="AN1331">
        <v>2</v>
      </c>
      <c r="AO1331">
        <v>0</v>
      </c>
      <c r="AP1331">
        <v>20</v>
      </c>
      <c r="AQ1331">
        <v>3</v>
      </c>
      <c r="AR1331">
        <v>23</v>
      </c>
      <c r="AS1331">
        <v>26</v>
      </c>
      <c r="AT1331">
        <v>0.46938999999999997</v>
      </c>
      <c r="AU1331">
        <v>17</v>
      </c>
      <c r="AV1331">
        <v>16</v>
      </c>
      <c r="AW1331">
        <v>134</v>
      </c>
      <c r="AX1331">
        <v>47</v>
      </c>
      <c r="AY1331">
        <v>135</v>
      </c>
      <c r="AZ1331">
        <v>18</v>
      </c>
      <c r="BA1331" t="s">
        <v>23804</v>
      </c>
      <c r="BB1331" t="s">
        <v>23805</v>
      </c>
      <c r="BC1331">
        <v>2.2599999999999998</v>
      </c>
      <c r="BD1331" t="s">
        <v>267</v>
      </c>
      <c r="BE1331">
        <v>269</v>
      </c>
      <c r="BF1331">
        <v>65</v>
      </c>
      <c r="BG1331" t="s">
        <v>23806</v>
      </c>
      <c r="BH1331" t="s">
        <v>23807</v>
      </c>
      <c r="BI1331" t="s">
        <v>23808</v>
      </c>
      <c r="BJ1331">
        <v>5.237E-2</v>
      </c>
      <c r="BK1331">
        <v>1</v>
      </c>
      <c r="BL1331" t="s">
        <v>69</v>
      </c>
      <c r="BM1331">
        <v>-0.29699999999999999</v>
      </c>
      <c r="BN1331">
        <v>-0.91900000000000004</v>
      </c>
    </row>
    <row r="1332" spans="2:66">
      <c r="B1332">
        <v>2339</v>
      </c>
      <c r="C1332">
        <v>296</v>
      </c>
      <c r="D1332">
        <v>0</v>
      </c>
      <c r="E1332">
        <v>9</v>
      </c>
      <c r="F1332">
        <v>0</v>
      </c>
      <c r="J1332">
        <v>0</v>
      </c>
      <c r="K1332">
        <v>2</v>
      </c>
      <c r="L1332">
        <v>0</v>
      </c>
      <c r="M1332" t="s">
        <v>25022</v>
      </c>
      <c r="N1332">
        <v>4046</v>
      </c>
      <c r="O1332" t="s">
        <v>23814</v>
      </c>
      <c r="P1332" t="s">
        <v>62</v>
      </c>
      <c r="Q1332">
        <v>4011845</v>
      </c>
      <c r="R1332">
        <v>4012570</v>
      </c>
      <c r="S1332" t="s">
        <v>23815</v>
      </c>
      <c r="T1332">
        <v>242</v>
      </c>
      <c r="U1332" t="s">
        <v>108</v>
      </c>
      <c r="V1332">
        <v>44</v>
      </c>
      <c r="W1332" t="str">
        <f>HYPERLINK("Gene4046-zp_tree_all.dnd", "Gene4046-tree")</f>
        <v>Gene4046-tree</v>
      </c>
      <c r="X1332">
        <v>10</v>
      </c>
      <c r="Y1332">
        <v>4</v>
      </c>
      <c r="Z1332">
        <v>10</v>
      </c>
      <c r="AA1332">
        <v>4</v>
      </c>
      <c r="AB1332">
        <v>0.28571000000000002</v>
      </c>
      <c r="AC1332" t="s">
        <v>117</v>
      </c>
      <c r="AD1332" t="s">
        <v>61</v>
      </c>
      <c r="AE1332" t="s">
        <v>62</v>
      </c>
      <c r="AF1332" t="s">
        <v>62</v>
      </c>
      <c r="AG1332">
        <v>1</v>
      </c>
      <c r="AH1332">
        <v>2</v>
      </c>
      <c r="AI1332">
        <v>8</v>
      </c>
      <c r="AJ1332">
        <v>0.2</v>
      </c>
      <c r="AK1332">
        <v>0</v>
      </c>
      <c r="AL1332">
        <v>0</v>
      </c>
      <c r="AM1332">
        <v>0</v>
      </c>
      <c r="AN1332">
        <v>2</v>
      </c>
      <c r="AO1332">
        <v>0</v>
      </c>
      <c r="AP1332">
        <v>0</v>
      </c>
      <c r="AQ1332">
        <v>0</v>
      </c>
      <c r="AR1332">
        <v>0</v>
      </c>
      <c r="AS1332">
        <v>7</v>
      </c>
      <c r="AT1332">
        <v>0</v>
      </c>
      <c r="AU1332">
        <v>11</v>
      </c>
      <c r="AV1332">
        <v>7</v>
      </c>
      <c r="AW1332">
        <v>28</v>
      </c>
      <c r="AX1332">
        <v>7</v>
      </c>
      <c r="AY1332">
        <v>8</v>
      </c>
      <c r="AZ1332">
        <v>3</v>
      </c>
      <c r="BA1332" t="s">
        <v>23816</v>
      </c>
      <c r="BB1332" t="s">
        <v>23817</v>
      </c>
      <c r="BC1332">
        <v>0.35199999999999998</v>
      </c>
      <c r="BD1332" t="s">
        <v>65</v>
      </c>
      <c r="BE1332">
        <v>36</v>
      </c>
      <c r="BF1332">
        <v>10</v>
      </c>
      <c r="BG1332" t="s">
        <v>23818</v>
      </c>
      <c r="BH1332" t="s">
        <v>23819</v>
      </c>
      <c r="BI1332" t="s">
        <v>23820</v>
      </c>
      <c r="BJ1332">
        <v>9.0260000000000007E-2</v>
      </c>
      <c r="BK1332">
        <v>1</v>
      </c>
      <c r="BL1332" t="s">
        <v>69</v>
      </c>
      <c r="BM1332">
        <v>-1.274</v>
      </c>
      <c r="BN1332">
        <v>-2.1949999999999998</v>
      </c>
    </row>
    <row r="1333" spans="2:66">
      <c r="B1333">
        <v>2340</v>
      </c>
      <c r="C1333">
        <v>188</v>
      </c>
      <c r="D1333">
        <v>0</v>
      </c>
      <c r="E1333">
        <v>4</v>
      </c>
      <c r="F1333">
        <v>4</v>
      </c>
      <c r="J1333">
        <v>0</v>
      </c>
      <c r="K1333">
        <v>2</v>
      </c>
      <c r="L1333">
        <v>2</v>
      </c>
      <c r="M1333" t="s">
        <v>25022</v>
      </c>
      <c r="N1333">
        <v>4047</v>
      </c>
      <c r="O1333" t="s">
        <v>23821</v>
      </c>
      <c r="P1333" t="s">
        <v>62</v>
      </c>
      <c r="Q1333">
        <v>4012869</v>
      </c>
      <c r="R1333">
        <v>4013699</v>
      </c>
      <c r="S1333" t="s">
        <v>9037</v>
      </c>
      <c r="T1333">
        <v>277</v>
      </c>
      <c r="U1333" t="s">
        <v>7691</v>
      </c>
      <c r="V1333">
        <v>46</v>
      </c>
      <c r="W1333" t="str">
        <f>HYPERLINK("Gene4047-zp_tree_all.dnd", "Gene4047-tree")</f>
        <v>Gene4047-tree</v>
      </c>
      <c r="X1333">
        <v>11</v>
      </c>
      <c r="Y1333">
        <v>6</v>
      </c>
      <c r="Z1333">
        <v>11</v>
      </c>
      <c r="AA1333">
        <v>6</v>
      </c>
      <c r="AB1333">
        <v>0.35293999999999998</v>
      </c>
      <c r="AC1333" t="s">
        <v>73</v>
      </c>
      <c r="AD1333" t="s">
        <v>90</v>
      </c>
      <c r="AE1333" t="s">
        <v>62</v>
      </c>
      <c r="AF1333" t="s">
        <v>62</v>
      </c>
      <c r="AG1333">
        <v>2</v>
      </c>
      <c r="AH1333">
        <v>4</v>
      </c>
      <c r="AI1333">
        <v>10</v>
      </c>
      <c r="AJ1333">
        <v>0.28571000000000002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9</v>
      </c>
      <c r="AT1333">
        <v>0</v>
      </c>
      <c r="AU1333">
        <v>11</v>
      </c>
      <c r="AV1333">
        <v>12</v>
      </c>
      <c r="AW1333">
        <v>47</v>
      </c>
      <c r="AX1333">
        <v>10</v>
      </c>
      <c r="AY1333">
        <v>40</v>
      </c>
      <c r="AZ1333">
        <v>6</v>
      </c>
      <c r="BA1333" t="s">
        <v>23822</v>
      </c>
      <c r="BB1333" t="s">
        <v>23823</v>
      </c>
      <c r="BC1333">
        <v>0.17699999999999999</v>
      </c>
      <c r="BD1333" t="s">
        <v>65</v>
      </c>
      <c r="BE1333">
        <v>87</v>
      </c>
      <c r="BF1333">
        <v>16</v>
      </c>
      <c r="BG1333" t="s">
        <v>23824</v>
      </c>
      <c r="BH1333" t="s">
        <v>23825</v>
      </c>
      <c r="BI1333" t="s">
        <v>23826</v>
      </c>
      <c r="BJ1333">
        <v>4.1709999999999997E-2</v>
      </c>
      <c r="BK1333">
        <v>1</v>
      </c>
      <c r="BL1333" t="s">
        <v>69</v>
      </c>
      <c r="BM1333">
        <v>-1.786</v>
      </c>
      <c r="BN1333">
        <v>-2.2999999999999998</v>
      </c>
    </row>
    <row r="1334" spans="2:66">
      <c r="B1334">
        <v>2341</v>
      </c>
      <c r="C1334">
        <v>95</v>
      </c>
      <c r="D1334">
        <v>0</v>
      </c>
      <c r="E1334">
        <v>2</v>
      </c>
      <c r="F1334">
        <v>2</v>
      </c>
      <c r="J1334">
        <v>0</v>
      </c>
      <c r="K1334">
        <v>22</v>
      </c>
      <c r="L1334">
        <v>4</v>
      </c>
      <c r="M1334" t="s">
        <v>25022</v>
      </c>
      <c r="N1334">
        <v>4048</v>
      </c>
      <c r="O1334" t="s">
        <v>23827</v>
      </c>
      <c r="P1334" t="s">
        <v>62</v>
      </c>
      <c r="Q1334">
        <v>4013798</v>
      </c>
      <c r="R1334">
        <v>4014475</v>
      </c>
      <c r="S1334" t="s">
        <v>1523</v>
      </c>
      <c r="T1334">
        <v>226</v>
      </c>
      <c r="U1334" t="s">
        <v>108</v>
      </c>
      <c r="V1334">
        <v>44</v>
      </c>
      <c r="W1334" t="str">
        <f>HYPERLINK("Gene4048-zp_tree_all.dnd", "Gene4048-tree")</f>
        <v>Gene4048-tree</v>
      </c>
      <c r="X1334">
        <v>2</v>
      </c>
      <c r="Y1334">
        <v>15</v>
      </c>
      <c r="Z1334">
        <v>2</v>
      </c>
      <c r="AA1334">
        <v>15</v>
      </c>
      <c r="AB1334">
        <v>0.88234999999999997</v>
      </c>
      <c r="AC1334" t="s">
        <v>81</v>
      </c>
      <c r="AD1334" t="s">
        <v>100</v>
      </c>
      <c r="AE1334" t="s">
        <v>62</v>
      </c>
      <c r="AF1334" t="s">
        <v>62</v>
      </c>
      <c r="AG1334">
        <v>6</v>
      </c>
      <c r="AH1334">
        <v>26</v>
      </c>
      <c r="AI1334">
        <v>19</v>
      </c>
      <c r="AJ1334">
        <v>0.57777999999999996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5</v>
      </c>
      <c r="AQ1334">
        <v>4</v>
      </c>
      <c r="AR1334">
        <v>9</v>
      </c>
      <c r="AS1334">
        <v>18</v>
      </c>
      <c r="AT1334">
        <v>0.33333000000000002</v>
      </c>
      <c r="AU1334">
        <v>16</v>
      </c>
      <c r="AV1334">
        <v>9</v>
      </c>
      <c r="AW1334">
        <v>17</v>
      </c>
      <c r="AX1334">
        <v>28</v>
      </c>
      <c r="AY1334">
        <v>11</v>
      </c>
      <c r="AZ1334">
        <v>18</v>
      </c>
      <c r="BA1334" t="s">
        <v>23828</v>
      </c>
      <c r="BB1334" t="s">
        <v>23829</v>
      </c>
      <c r="BC1334">
        <v>5.0000000000000001E-3</v>
      </c>
      <c r="BD1334" t="s">
        <v>65</v>
      </c>
      <c r="BE1334">
        <v>28</v>
      </c>
      <c r="BF1334">
        <v>46</v>
      </c>
      <c r="BG1334" t="s">
        <v>23830</v>
      </c>
      <c r="BH1334" t="s">
        <v>23831</v>
      </c>
      <c r="BI1334" t="s">
        <v>23832</v>
      </c>
      <c r="BJ1334">
        <v>0.26872000000000001</v>
      </c>
      <c r="BK1334">
        <v>1</v>
      </c>
      <c r="BL1334" t="s">
        <v>69</v>
      </c>
      <c r="BM1334">
        <v>-0.42199999999999999</v>
      </c>
      <c r="BN1334">
        <v>-0.29199999999999998</v>
      </c>
    </row>
    <row r="1335" spans="2:66">
      <c r="B1335">
        <v>2342</v>
      </c>
      <c r="C1335">
        <v>27</v>
      </c>
      <c r="D1335">
        <v>0</v>
      </c>
      <c r="E1335">
        <v>0</v>
      </c>
      <c r="F1335">
        <v>2</v>
      </c>
      <c r="J1335">
        <v>0</v>
      </c>
      <c r="K1335">
        <v>19</v>
      </c>
      <c r="L1335">
        <v>1</v>
      </c>
      <c r="M1335" t="s">
        <v>25022</v>
      </c>
      <c r="N1335">
        <v>4050</v>
      </c>
      <c r="O1335" t="s">
        <v>23839</v>
      </c>
      <c r="P1335" t="s">
        <v>62</v>
      </c>
      <c r="Q1335">
        <v>4015990</v>
      </c>
      <c r="R1335">
        <v>4017426</v>
      </c>
      <c r="S1335" t="s">
        <v>23840</v>
      </c>
      <c r="T1335">
        <v>479</v>
      </c>
      <c r="U1335" t="s">
        <v>108</v>
      </c>
      <c r="V1335">
        <v>44</v>
      </c>
      <c r="W1335" t="str">
        <f>HYPERLINK("Gene4050-zp_tree_all.dnd", "Gene4050-tree")</f>
        <v>Gene4050-tree</v>
      </c>
      <c r="X1335">
        <v>7</v>
      </c>
      <c r="Y1335">
        <v>26</v>
      </c>
      <c r="Z1335">
        <v>7</v>
      </c>
      <c r="AA1335">
        <v>9</v>
      </c>
      <c r="AB1335">
        <v>0.5625</v>
      </c>
      <c r="AC1335" t="s">
        <v>152</v>
      </c>
      <c r="AD1335" t="s">
        <v>4723</v>
      </c>
      <c r="AE1335">
        <v>2.9420000000000002</v>
      </c>
      <c r="AF1335" t="s">
        <v>65</v>
      </c>
      <c r="AG1335">
        <v>6</v>
      </c>
      <c r="AH1335">
        <v>20</v>
      </c>
      <c r="AI1335">
        <v>14</v>
      </c>
      <c r="AJ1335">
        <v>0.58823999999999999</v>
      </c>
      <c r="AK1335">
        <v>0</v>
      </c>
      <c r="AL1335">
        <v>0</v>
      </c>
      <c r="AM1335">
        <v>0</v>
      </c>
      <c r="AN1335">
        <v>3</v>
      </c>
      <c r="AO1335">
        <v>0</v>
      </c>
      <c r="AP1335">
        <v>10</v>
      </c>
      <c r="AQ1335">
        <v>1</v>
      </c>
      <c r="AR1335">
        <v>11</v>
      </c>
      <c r="AS1335">
        <v>11</v>
      </c>
      <c r="AT1335">
        <v>0.5</v>
      </c>
      <c r="AU1335">
        <v>13</v>
      </c>
      <c r="AV1335">
        <v>12</v>
      </c>
      <c r="AW1335">
        <v>68</v>
      </c>
      <c r="AX1335">
        <v>21</v>
      </c>
      <c r="AY1335">
        <v>54</v>
      </c>
      <c r="AZ1335">
        <v>13</v>
      </c>
      <c r="BA1335" t="s">
        <v>23841</v>
      </c>
      <c r="BB1335" t="s">
        <v>23842</v>
      </c>
      <c r="BC1335">
        <v>0.42699999999999999</v>
      </c>
      <c r="BD1335" t="s">
        <v>65</v>
      </c>
      <c r="BE1335">
        <v>122</v>
      </c>
      <c r="BF1335">
        <v>34</v>
      </c>
      <c r="BG1335" t="s">
        <v>23843</v>
      </c>
      <c r="BH1335" t="s">
        <v>23844</v>
      </c>
      <c r="BI1335" t="s">
        <v>23845</v>
      </c>
      <c r="BJ1335">
        <v>6.0769999999999998E-2</v>
      </c>
      <c r="BK1335">
        <v>1</v>
      </c>
      <c r="BL1335" t="s">
        <v>69</v>
      </c>
      <c r="BM1335">
        <v>0.25900000000000001</v>
      </c>
      <c r="BN1335">
        <v>-5.7000000000000002E-2</v>
      </c>
    </row>
    <row r="1336" spans="2:66">
      <c r="B1336">
        <v>2343</v>
      </c>
      <c r="C1336">
        <v>57</v>
      </c>
      <c r="D1336">
        <v>0</v>
      </c>
      <c r="E1336">
        <v>4</v>
      </c>
      <c r="F1336">
        <v>0</v>
      </c>
      <c r="J1336">
        <v>3</v>
      </c>
      <c r="K1336">
        <v>50</v>
      </c>
      <c r="L1336">
        <v>4</v>
      </c>
      <c r="M1336" t="s">
        <v>25022</v>
      </c>
      <c r="N1336">
        <v>4051</v>
      </c>
      <c r="O1336" t="s">
        <v>23846</v>
      </c>
      <c r="P1336" t="s">
        <v>62</v>
      </c>
      <c r="Q1336">
        <v>4017511</v>
      </c>
      <c r="R1336">
        <v>4018656</v>
      </c>
      <c r="S1336" t="s">
        <v>23847</v>
      </c>
      <c r="T1336">
        <v>382</v>
      </c>
      <c r="U1336" t="s">
        <v>108</v>
      </c>
      <c r="V1336">
        <v>44</v>
      </c>
      <c r="W1336" t="str">
        <f>HYPERLINK("Gene4051-zp_tree_all.dnd", "Gene4051-tree")</f>
        <v>Gene4051-tree</v>
      </c>
      <c r="X1336">
        <v>0</v>
      </c>
      <c r="Y1336">
        <v>16</v>
      </c>
      <c r="Z1336">
        <v>0</v>
      </c>
      <c r="AA1336">
        <v>16</v>
      </c>
      <c r="AB1336">
        <v>1</v>
      </c>
      <c r="AC1336" t="s">
        <v>62</v>
      </c>
      <c r="AD1336" t="s">
        <v>60</v>
      </c>
      <c r="AE1336" t="s">
        <v>62</v>
      </c>
      <c r="AF1336" t="s">
        <v>62</v>
      </c>
      <c r="AG1336">
        <v>16</v>
      </c>
      <c r="AH1336">
        <v>57</v>
      </c>
      <c r="AI1336">
        <v>18</v>
      </c>
      <c r="AJ1336">
        <v>0.76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32</v>
      </c>
      <c r="AQ1336">
        <v>6</v>
      </c>
      <c r="AR1336">
        <v>38</v>
      </c>
      <c r="AS1336">
        <v>19</v>
      </c>
      <c r="AT1336">
        <v>0.66666999999999998</v>
      </c>
      <c r="AU1336">
        <v>14</v>
      </c>
      <c r="AV1336">
        <v>13</v>
      </c>
      <c r="AW1336">
        <v>115</v>
      </c>
      <c r="AX1336">
        <v>52</v>
      </c>
      <c r="AY1336">
        <v>74</v>
      </c>
      <c r="AZ1336">
        <v>26</v>
      </c>
      <c r="BA1336" t="s">
        <v>23848</v>
      </c>
      <c r="BB1336" t="s">
        <v>23849</v>
      </c>
      <c r="BC1336">
        <v>0.69699999999999995</v>
      </c>
      <c r="BD1336" t="s">
        <v>65</v>
      </c>
      <c r="BE1336">
        <v>189</v>
      </c>
      <c r="BF1336">
        <v>78</v>
      </c>
      <c r="BG1336" t="s">
        <v>23850</v>
      </c>
      <c r="BH1336" t="s">
        <v>23851</v>
      </c>
      <c r="BI1336" t="s">
        <v>23852</v>
      </c>
      <c r="BJ1336">
        <v>0.1145</v>
      </c>
      <c r="BK1336">
        <v>1</v>
      </c>
      <c r="BL1336" t="s">
        <v>69</v>
      </c>
      <c r="BM1336">
        <v>-2.4E-2</v>
      </c>
      <c r="BN1336">
        <v>-1.0609999999999999</v>
      </c>
    </row>
    <row r="1337" spans="2:66">
      <c r="B1337">
        <v>2347</v>
      </c>
      <c r="C1337">
        <v>56</v>
      </c>
      <c r="D1337">
        <v>0</v>
      </c>
      <c r="E1337">
        <v>2</v>
      </c>
      <c r="F1337">
        <v>0</v>
      </c>
      <c r="J1337">
        <v>0</v>
      </c>
      <c r="K1337">
        <v>0</v>
      </c>
      <c r="L1337">
        <v>2</v>
      </c>
      <c r="M1337" t="s">
        <v>25022</v>
      </c>
      <c r="N1337">
        <v>4053</v>
      </c>
      <c r="O1337" t="s">
        <v>23853</v>
      </c>
      <c r="P1337" t="s">
        <v>62</v>
      </c>
      <c r="Q1337">
        <v>4019008</v>
      </c>
      <c r="R1337">
        <v>4019136</v>
      </c>
      <c r="S1337" t="s">
        <v>116</v>
      </c>
      <c r="T1337">
        <v>43</v>
      </c>
      <c r="U1337" t="s">
        <v>2157</v>
      </c>
      <c r="V1337">
        <v>47</v>
      </c>
      <c r="W1337" t="str">
        <f>HYPERLINK("Gene4053-zp_tree_all.dnd", "Gene4053-tree")</f>
        <v>Gene4053-tree</v>
      </c>
      <c r="X1337">
        <v>3</v>
      </c>
      <c r="Y1337">
        <v>10</v>
      </c>
      <c r="Z1337">
        <v>3</v>
      </c>
      <c r="AA1337">
        <v>10</v>
      </c>
      <c r="AB1337">
        <v>0.76922999999999997</v>
      </c>
      <c r="AC1337" t="s">
        <v>324</v>
      </c>
      <c r="AD1337" t="s">
        <v>117</v>
      </c>
      <c r="AE1337" t="s">
        <v>62</v>
      </c>
      <c r="AF1337" t="s">
        <v>62</v>
      </c>
      <c r="AG1337">
        <v>1</v>
      </c>
      <c r="AH1337">
        <v>2</v>
      </c>
      <c r="AI1337">
        <v>11</v>
      </c>
      <c r="AJ1337">
        <v>0.15384999999999999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2</v>
      </c>
      <c r="AR1337">
        <v>2</v>
      </c>
      <c r="AS1337">
        <v>10</v>
      </c>
      <c r="AT1337">
        <v>0.16667000000000001</v>
      </c>
      <c r="AU1337">
        <v>10</v>
      </c>
      <c r="AV1337">
        <v>4</v>
      </c>
      <c r="AW1337">
        <v>5</v>
      </c>
      <c r="AX1337">
        <v>10</v>
      </c>
      <c r="AY1337">
        <v>2</v>
      </c>
      <c r="AZ1337">
        <v>3</v>
      </c>
      <c r="BA1337" t="s">
        <v>23854</v>
      </c>
      <c r="BB1337" t="s">
        <v>23855</v>
      </c>
      <c r="BC1337">
        <v>0.378</v>
      </c>
      <c r="BD1337" t="s">
        <v>65</v>
      </c>
      <c r="BE1337">
        <v>7</v>
      </c>
      <c r="BF1337">
        <v>13</v>
      </c>
      <c r="BG1337" t="s">
        <v>23856</v>
      </c>
      <c r="BH1337" t="s">
        <v>23857</v>
      </c>
      <c r="BI1337" t="s">
        <v>23858</v>
      </c>
      <c r="BJ1337">
        <v>0.42842999999999998</v>
      </c>
      <c r="BK1337">
        <v>0.95</v>
      </c>
      <c r="BL1337" t="s">
        <v>635</v>
      </c>
      <c r="BM1337">
        <v>-1.1279999999999999</v>
      </c>
      <c r="BN1337">
        <v>-2.677</v>
      </c>
    </row>
    <row r="1338" spans="2:66">
      <c r="B1338">
        <v>2348</v>
      </c>
      <c r="C1338">
        <v>216</v>
      </c>
      <c r="D1338">
        <v>0</v>
      </c>
      <c r="E1338">
        <v>2</v>
      </c>
      <c r="F1338">
        <v>0</v>
      </c>
      <c r="J1338">
        <v>0</v>
      </c>
      <c r="K1338">
        <v>4</v>
      </c>
      <c r="L1338">
        <v>3</v>
      </c>
      <c r="M1338" t="s">
        <v>25022</v>
      </c>
      <c r="N1338">
        <v>4054</v>
      </c>
      <c r="O1338" t="s">
        <v>23859</v>
      </c>
      <c r="P1338" t="s">
        <v>62</v>
      </c>
      <c r="Q1338">
        <v>4019151</v>
      </c>
      <c r="R1338">
        <v>4019609</v>
      </c>
      <c r="S1338" t="s">
        <v>116</v>
      </c>
      <c r="T1338">
        <v>153</v>
      </c>
      <c r="U1338" t="s">
        <v>23860</v>
      </c>
      <c r="V1338">
        <v>26</v>
      </c>
      <c r="W1338" t="str">
        <f>HYPERLINK("Gene4054-zp_tree_all.dnd", "Gene4054-tree")</f>
        <v>Gene4054-tree</v>
      </c>
      <c r="X1338">
        <v>1</v>
      </c>
      <c r="Y1338">
        <v>23</v>
      </c>
      <c r="Z1338">
        <v>1</v>
      </c>
      <c r="AA1338">
        <v>4</v>
      </c>
      <c r="AB1338">
        <v>0.8</v>
      </c>
      <c r="AC1338" t="s">
        <v>175</v>
      </c>
      <c r="AD1338" t="s">
        <v>690</v>
      </c>
      <c r="AE1338">
        <v>2.0529999999999999</v>
      </c>
      <c r="AF1338" t="s">
        <v>267</v>
      </c>
      <c r="AG1338">
        <v>3</v>
      </c>
      <c r="AH1338">
        <v>7</v>
      </c>
      <c r="AI1338">
        <v>15</v>
      </c>
      <c r="AJ1338">
        <v>0.31818000000000002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4</v>
      </c>
      <c r="AQ1338">
        <v>2</v>
      </c>
      <c r="AR1338">
        <v>6</v>
      </c>
      <c r="AS1338">
        <v>12</v>
      </c>
      <c r="AT1338">
        <v>0.33333000000000002</v>
      </c>
      <c r="AU1338">
        <v>5</v>
      </c>
      <c r="AV1338">
        <v>2</v>
      </c>
      <c r="AW1338">
        <v>9</v>
      </c>
      <c r="AX1338">
        <v>18</v>
      </c>
      <c r="AY1338">
        <v>2</v>
      </c>
      <c r="AZ1338">
        <v>4</v>
      </c>
      <c r="BA1338" t="s">
        <v>23861</v>
      </c>
      <c r="BB1338" t="s">
        <v>23862</v>
      </c>
      <c r="BC1338">
        <v>5.0000000000000001E-3</v>
      </c>
      <c r="BD1338" t="s">
        <v>65</v>
      </c>
      <c r="BE1338">
        <v>11</v>
      </c>
      <c r="BF1338">
        <v>22</v>
      </c>
      <c r="BG1338" t="s">
        <v>23863</v>
      </c>
      <c r="BH1338" t="s">
        <v>23864</v>
      </c>
      <c r="BI1338" t="s">
        <v>23865</v>
      </c>
      <c r="BJ1338">
        <v>0.53580000000000005</v>
      </c>
      <c r="BK1338">
        <v>0.89</v>
      </c>
      <c r="BL1338" t="s">
        <v>635</v>
      </c>
      <c r="BM1338">
        <v>-1.1319999999999999</v>
      </c>
      <c r="BN1338">
        <v>-1.2130000000000001</v>
      </c>
    </row>
    <row r="1339" spans="2:66">
      <c r="B1339">
        <v>2352</v>
      </c>
      <c r="C1339">
        <v>125</v>
      </c>
      <c r="D1339">
        <v>0</v>
      </c>
      <c r="E1339">
        <v>2</v>
      </c>
      <c r="F1339">
        <v>0</v>
      </c>
      <c r="J1339">
        <v>0</v>
      </c>
      <c r="K1339">
        <v>2</v>
      </c>
      <c r="L1339">
        <v>7</v>
      </c>
      <c r="M1339" t="s">
        <v>25022</v>
      </c>
      <c r="N1339">
        <v>4055</v>
      </c>
      <c r="O1339" t="s">
        <v>23866</v>
      </c>
      <c r="P1339" t="s">
        <v>62</v>
      </c>
      <c r="Q1339">
        <v>4019628</v>
      </c>
      <c r="R1339">
        <v>4019921</v>
      </c>
      <c r="S1339" t="s">
        <v>116</v>
      </c>
      <c r="T1339">
        <v>98</v>
      </c>
      <c r="U1339" t="s">
        <v>23867</v>
      </c>
      <c r="V1339">
        <v>32</v>
      </c>
      <c r="W1339" t="str">
        <f>HYPERLINK("Gene4055-zp_tree_all.dnd", "Gene4055-tree")</f>
        <v>Gene4055-tree</v>
      </c>
      <c r="X1339">
        <v>1</v>
      </c>
      <c r="Y1339">
        <v>5</v>
      </c>
      <c r="Z1339">
        <v>1</v>
      </c>
      <c r="AA1339">
        <v>5</v>
      </c>
      <c r="AB1339">
        <v>0.83333000000000002</v>
      </c>
      <c r="AC1339" t="s">
        <v>175</v>
      </c>
      <c r="AD1339" t="s">
        <v>199</v>
      </c>
      <c r="AE1339" t="s">
        <v>62</v>
      </c>
      <c r="AF1339" t="s">
        <v>62</v>
      </c>
      <c r="AG1339">
        <v>4</v>
      </c>
      <c r="AH1339">
        <v>9</v>
      </c>
      <c r="AI1339">
        <v>11</v>
      </c>
      <c r="AJ1339">
        <v>0.45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6</v>
      </c>
      <c r="AR1339">
        <v>6</v>
      </c>
      <c r="AS1339">
        <v>9</v>
      </c>
      <c r="AT1339">
        <v>0.4</v>
      </c>
      <c r="AU1339">
        <v>5</v>
      </c>
      <c r="AV1339">
        <v>3</v>
      </c>
      <c r="AW1339">
        <v>6</v>
      </c>
      <c r="AX1339">
        <v>11</v>
      </c>
      <c r="AY1339">
        <v>6</v>
      </c>
      <c r="AZ1339">
        <v>10</v>
      </c>
      <c r="BA1339" t="s">
        <v>23868</v>
      </c>
      <c r="BB1339" t="s">
        <v>23869</v>
      </c>
      <c r="BC1339">
        <v>0.155</v>
      </c>
      <c r="BD1339" t="s">
        <v>65</v>
      </c>
      <c r="BE1339">
        <v>12</v>
      </c>
      <c r="BF1339">
        <v>21</v>
      </c>
      <c r="BG1339" t="s">
        <v>23870</v>
      </c>
      <c r="BH1339" t="s">
        <v>23871</v>
      </c>
      <c r="BI1339" t="s">
        <v>23872</v>
      </c>
      <c r="BJ1339">
        <v>0.53822999999999999</v>
      </c>
      <c r="BK1339">
        <v>0.92</v>
      </c>
      <c r="BL1339" t="s">
        <v>635</v>
      </c>
      <c r="BM1339">
        <v>-0.33400000000000002</v>
      </c>
      <c r="BN1339">
        <v>-1.3340000000000001</v>
      </c>
    </row>
    <row r="1340" spans="2:66">
      <c r="B1340">
        <v>2354</v>
      </c>
      <c r="C1340">
        <v>8</v>
      </c>
      <c r="D1340">
        <v>0</v>
      </c>
      <c r="E1340">
        <v>3</v>
      </c>
      <c r="F1340">
        <v>2</v>
      </c>
      <c r="J1340">
        <v>0</v>
      </c>
      <c r="K1340">
        <v>0</v>
      </c>
      <c r="L1340">
        <v>0</v>
      </c>
      <c r="M1340" t="s">
        <v>25022</v>
      </c>
      <c r="N1340">
        <v>4056</v>
      </c>
      <c r="O1340" t="s">
        <v>23873</v>
      </c>
      <c r="P1340" t="s">
        <v>62</v>
      </c>
      <c r="Q1340">
        <v>4019952</v>
      </c>
      <c r="R1340">
        <v>4020437</v>
      </c>
      <c r="S1340" t="s">
        <v>116</v>
      </c>
      <c r="T1340">
        <v>162</v>
      </c>
      <c r="U1340" t="s">
        <v>23874</v>
      </c>
      <c r="V1340">
        <v>29</v>
      </c>
      <c r="W1340" t="str">
        <f>HYPERLINK("Gene4056-zp_tree_all.dnd", "Gene4056-tree")</f>
        <v>Gene4056-tree</v>
      </c>
      <c r="X1340">
        <v>0</v>
      </c>
      <c r="Y1340">
        <v>4</v>
      </c>
      <c r="Z1340">
        <v>0</v>
      </c>
      <c r="AA1340">
        <v>4</v>
      </c>
      <c r="AB1340">
        <v>1</v>
      </c>
      <c r="AC1340" t="s">
        <v>62</v>
      </c>
      <c r="AD1340" t="s">
        <v>61</v>
      </c>
      <c r="AE1340" t="s">
        <v>62</v>
      </c>
      <c r="AF1340" t="s">
        <v>62</v>
      </c>
      <c r="AG1340">
        <v>0</v>
      </c>
      <c r="AH1340">
        <v>0</v>
      </c>
      <c r="AI1340">
        <v>12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12</v>
      </c>
      <c r="AT1340">
        <v>0</v>
      </c>
      <c r="AU1340">
        <v>4</v>
      </c>
      <c r="AV1340">
        <v>0</v>
      </c>
      <c r="AW1340">
        <v>7</v>
      </c>
      <c r="AX1340">
        <v>13</v>
      </c>
      <c r="AY1340">
        <v>0</v>
      </c>
      <c r="AZ1340">
        <v>0</v>
      </c>
      <c r="BA1340" t="s">
        <v>23875</v>
      </c>
      <c r="BB1340" t="s">
        <v>193</v>
      </c>
      <c r="BC1340">
        <v>0.90600000000000003</v>
      </c>
      <c r="BD1340" t="s">
        <v>65</v>
      </c>
      <c r="BE1340">
        <v>7</v>
      </c>
      <c r="BF1340">
        <v>13</v>
      </c>
      <c r="BG1340" t="s">
        <v>23876</v>
      </c>
      <c r="BH1340" t="s">
        <v>23877</v>
      </c>
      <c r="BI1340" t="s">
        <v>23878</v>
      </c>
      <c r="BJ1340">
        <v>0.45648</v>
      </c>
      <c r="BK1340">
        <v>0.86</v>
      </c>
      <c r="BL1340" t="s">
        <v>635</v>
      </c>
      <c r="BM1340">
        <v>-0.78600000000000003</v>
      </c>
      <c r="BN1340">
        <v>-1.7629999999999999</v>
      </c>
    </row>
    <row r="1341" spans="2:66">
      <c r="B1341">
        <v>2355</v>
      </c>
      <c r="C1341">
        <v>63</v>
      </c>
      <c r="D1341">
        <v>0</v>
      </c>
      <c r="E1341">
        <v>2</v>
      </c>
      <c r="F1341">
        <v>0</v>
      </c>
      <c r="J1341">
        <v>0</v>
      </c>
      <c r="K1341">
        <v>9</v>
      </c>
      <c r="L1341">
        <v>0</v>
      </c>
      <c r="M1341" t="s">
        <v>25022</v>
      </c>
      <c r="N1341">
        <v>4057</v>
      </c>
      <c r="O1341" t="s">
        <v>23879</v>
      </c>
      <c r="P1341" t="s">
        <v>62</v>
      </c>
      <c r="Q1341">
        <v>4020458</v>
      </c>
      <c r="R1341">
        <v>4020907</v>
      </c>
      <c r="S1341" t="s">
        <v>16377</v>
      </c>
      <c r="T1341">
        <v>150</v>
      </c>
      <c r="U1341" t="s">
        <v>23880</v>
      </c>
      <c r="V1341">
        <v>37</v>
      </c>
      <c r="W1341" t="str">
        <f>HYPERLINK("Gene4057-zp_tree_all.dnd", "Gene4057-tree")</f>
        <v>Gene4057-tree</v>
      </c>
      <c r="X1341">
        <v>4</v>
      </c>
      <c r="Y1341">
        <v>5</v>
      </c>
      <c r="Z1341">
        <v>4</v>
      </c>
      <c r="AA1341">
        <v>5</v>
      </c>
      <c r="AB1341">
        <v>0.55556000000000005</v>
      </c>
      <c r="AC1341" t="s">
        <v>61</v>
      </c>
      <c r="AD1341" t="s">
        <v>199</v>
      </c>
      <c r="AE1341" t="s">
        <v>62</v>
      </c>
      <c r="AF1341" t="s">
        <v>62</v>
      </c>
      <c r="AG1341">
        <v>4</v>
      </c>
      <c r="AH1341">
        <v>9</v>
      </c>
      <c r="AI1341">
        <v>11</v>
      </c>
      <c r="AJ1341">
        <v>0.45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0</v>
      </c>
      <c r="AR1341">
        <v>2</v>
      </c>
      <c r="AS1341">
        <v>6</v>
      </c>
      <c r="AT1341">
        <v>0.25</v>
      </c>
      <c r="AU1341">
        <v>9</v>
      </c>
      <c r="AV1341">
        <v>6</v>
      </c>
      <c r="AW1341">
        <v>13</v>
      </c>
      <c r="AX1341">
        <v>8</v>
      </c>
      <c r="AY1341">
        <v>17</v>
      </c>
      <c r="AZ1341">
        <v>12</v>
      </c>
      <c r="BA1341" t="s">
        <v>23881</v>
      </c>
      <c r="BB1341" t="s">
        <v>23882</v>
      </c>
      <c r="BC1341">
        <v>0.158</v>
      </c>
      <c r="BD1341" t="s">
        <v>65</v>
      </c>
      <c r="BE1341">
        <v>30</v>
      </c>
      <c r="BF1341">
        <v>20</v>
      </c>
      <c r="BG1341" t="s">
        <v>23883</v>
      </c>
      <c r="BH1341" t="s">
        <v>23884</v>
      </c>
      <c r="BI1341" t="s">
        <v>23885</v>
      </c>
      <c r="BJ1341">
        <v>0.18801000000000001</v>
      </c>
      <c r="BK1341">
        <v>1</v>
      </c>
      <c r="BL1341" t="s">
        <v>69</v>
      </c>
      <c r="BM1341">
        <v>-0.64</v>
      </c>
      <c r="BN1341">
        <v>-0.17799999999999999</v>
      </c>
    </row>
    <row r="1342" spans="2:66">
      <c r="B1342">
        <v>2356</v>
      </c>
      <c r="C1342">
        <v>240</v>
      </c>
      <c r="D1342">
        <v>0</v>
      </c>
      <c r="E1342">
        <v>2</v>
      </c>
      <c r="F1342">
        <v>0</v>
      </c>
      <c r="J1342">
        <v>0</v>
      </c>
      <c r="K1342">
        <v>2</v>
      </c>
      <c r="L1342">
        <v>2</v>
      </c>
      <c r="M1342" t="s">
        <v>25022</v>
      </c>
      <c r="N1342">
        <v>4058</v>
      </c>
      <c r="O1342" t="s">
        <v>23886</v>
      </c>
      <c r="P1342" t="s">
        <v>62</v>
      </c>
      <c r="Q1342">
        <v>4020980</v>
      </c>
      <c r="R1342">
        <v>4021306</v>
      </c>
      <c r="S1342" t="s">
        <v>116</v>
      </c>
      <c r="T1342">
        <v>109</v>
      </c>
      <c r="U1342" t="s">
        <v>23887</v>
      </c>
      <c r="V1342">
        <v>32</v>
      </c>
      <c r="W1342" t="str">
        <f>HYPERLINK("Gene4058-zp_tree_all.dnd", "Gene4058-tree")</f>
        <v>Gene4058-tree</v>
      </c>
      <c r="X1342">
        <v>2</v>
      </c>
      <c r="Y1342">
        <v>3</v>
      </c>
      <c r="Z1342">
        <v>2</v>
      </c>
      <c r="AA1342">
        <v>3</v>
      </c>
      <c r="AB1342">
        <v>0.6</v>
      </c>
      <c r="AC1342" t="s">
        <v>81</v>
      </c>
      <c r="AD1342" t="s">
        <v>324</v>
      </c>
      <c r="AE1342" t="s">
        <v>62</v>
      </c>
      <c r="AF1342" t="s">
        <v>62</v>
      </c>
      <c r="AG1342">
        <v>2</v>
      </c>
      <c r="AH1342">
        <v>4</v>
      </c>
      <c r="AI1342">
        <v>14</v>
      </c>
      <c r="AJ1342">
        <v>0.22222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12</v>
      </c>
      <c r="AT1342">
        <v>0</v>
      </c>
      <c r="AU1342">
        <v>4</v>
      </c>
      <c r="AV1342">
        <v>2</v>
      </c>
      <c r="AW1342">
        <v>7</v>
      </c>
      <c r="AX1342">
        <v>12</v>
      </c>
      <c r="AY1342">
        <v>1</v>
      </c>
      <c r="AZ1342">
        <v>7</v>
      </c>
      <c r="BA1342" t="s">
        <v>23888</v>
      </c>
      <c r="BB1342" t="s">
        <v>23889</v>
      </c>
      <c r="BC1342">
        <v>1.0309999999999999</v>
      </c>
      <c r="BD1342" t="s">
        <v>65</v>
      </c>
      <c r="BE1342">
        <v>8</v>
      </c>
      <c r="BF1342">
        <v>19</v>
      </c>
      <c r="BG1342" t="s">
        <v>23890</v>
      </c>
      <c r="BH1342" t="s">
        <v>23891</v>
      </c>
      <c r="BI1342" t="s">
        <v>23892</v>
      </c>
      <c r="BJ1342">
        <v>0.71311999999999998</v>
      </c>
      <c r="BK1342">
        <v>0.63</v>
      </c>
      <c r="BL1342" t="s">
        <v>635</v>
      </c>
      <c r="BM1342">
        <v>-0.77500000000000002</v>
      </c>
      <c r="BN1342">
        <v>-8.5999999999999993E-2</v>
      </c>
    </row>
    <row r="1343" spans="2:66">
      <c r="B1343">
        <v>2357</v>
      </c>
      <c r="C1343">
        <v>9</v>
      </c>
      <c r="D1343">
        <v>0</v>
      </c>
      <c r="E1343">
        <v>5</v>
      </c>
      <c r="F1343">
        <v>2</v>
      </c>
      <c r="J1343">
        <v>0</v>
      </c>
      <c r="K1343">
        <v>0</v>
      </c>
      <c r="L1343">
        <v>2</v>
      </c>
      <c r="M1343" t="s">
        <v>25022</v>
      </c>
      <c r="N1343">
        <v>4059</v>
      </c>
      <c r="O1343" t="s">
        <v>23893</v>
      </c>
      <c r="P1343" t="s">
        <v>62</v>
      </c>
      <c r="Q1343">
        <v>4021432</v>
      </c>
      <c r="R1343">
        <v>4021845</v>
      </c>
      <c r="S1343" t="s">
        <v>288</v>
      </c>
      <c r="T1343">
        <v>138</v>
      </c>
      <c r="U1343" t="s">
        <v>23894</v>
      </c>
      <c r="V1343">
        <v>28</v>
      </c>
      <c r="W1343" t="str">
        <f>HYPERLINK("Gene4059-zp_tree_all.dnd", "Gene4059-tree")</f>
        <v>Gene4059-tree</v>
      </c>
      <c r="X1343">
        <v>0</v>
      </c>
      <c r="Y1343">
        <v>5</v>
      </c>
      <c r="Z1343">
        <v>0</v>
      </c>
      <c r="AA1343">
        <v>5</v>
      </c>
      <c r="AB1343">
        <v>1</v>
      </c>
      <c r="AC1343" t="s">
        <v>62</v>
      </c>
      <c r="AD1343" t="s">
        <v>199</v>
      </c>
      <c r="AE1343" t="s">
        <v>62</v>
      </c>
      <c r="AF1343" t="s">
        <v>62</v>
      </c>
      <c r="AG1343">
        <v>1</v>
      </c>
      <c r="AH1343">
        <v>2</v>
      </c>
      <c r="AI1343">
        <v>12</v>
      </c>
      <c r="AJ1343">
        <v>0.14285999999999999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8</v>
      </c>
      <c r="AT1343">
        <v>0</v>
      </c>
      <c r="AU1343">
        <v>4</v>
      </c>
      <c r="AV1343">
        <v>2</v>
      </c>
      <c r="AW1343">
        <v>8</v>
      </c>
      <c r="AX1343">
        <v>9</v>
      </c>
      <c r="AY1343">
        <v>6</v>
      </c>
      <c r="AZ1343">
        <v>7</v>
      </c>
      <c r="BA1343" t="s">
        <v>23895</v>
      </c>
      <c r="BB1343" t="s">
        <v>23896</v>
      </c>
      <c r="BC1343">
        <v>1.6E-2</v>
      </c>
      <c r="BD1343" t="s">
        <v>65</v>
      </c>
      <c r="BE1343">
        <v>14</v>
      </c>
      <c r="BF1343">
        <v>16</v>
      </c>
      <c r="BG1343" t="s">
        <v>23897</v>
      </c>
      <c r="BH1343" t="s">
        <v>23898</v>
      </c>
      <c r="BI1343" t="s">
        <v>23899</v>
      </c>
      <c r="BJ1343">
        <v>0.29037000000000002</v>
      </c>
      <c r="BK1343">
        <v>1</v>
      </c>
      <c r="BL1343" t="s">
        <v>69</v>
      </c>
      <c r="BM1343">
        <v>-1.6679999999999999</v>
      </c>
      <c r="BN1343">
        <v>-1.1659999999999999</v>
      </c>
    </row>
    <row r="1344" spans="2:66">
      <c r="B1344">
        <v>2358</v>
      </c>
      <c r="C1344">
        <v>390</v>
      </c>
      <c r="D1344">
        <v>0</v>
      </c>
      <c r="E1344">
        <v>3</v>
      </c>
      <c r="F1344">
        <v>0</v>
      </c>
      <c r="J1344">
        <v>0</v>
      </c>
      <c r="K1344">
        <v>0</v>
      </c>
      <c r="L1344">
        <v>0</v>
      </c>
      <c r="M1344" t="s">
        <v>25022</v>
      </c>
      <c r="N1344">
        <v>4060</v>
      </c>
      <c r="O1344" t="s">
        <v>23900</v>
      </c>
      <c r="P1344" t="s">
        <v>62</v>
      </c>
      <c r="Q1344">
        <v>4021899</v>
      </c>
      <c r="R1344">
        <v>4022264</v>
      </c>
      <c r="S1344" t="s">
        <v>16377</v>
      </c>
      <c r="T1344">
        <v>122</v>
      </c>
      <c r="U1344" t="s">
        <v>23901</v>
      </c>
      <c r="V1344">
        <v>25</v>
      </c>
      <c r="W1344" t="str">
        <f>HYPERLINK("Gene4060-zp_tree_all.dnd", "Gene4060-tree")</f>
        <v>Gene4060-tree</v>
      </c>
      <c r="X1344">
        <v>2</v>
      </c>
      <c r="Y1344">
        <v>2</v>
      </c>
      <c r="Z1344">
        <v>2</v>
      </c>
      <c r="AA1344">
        <v>2</v>
      </c>
      <c r="AB1344">
        <v>0.5</v>
      </c>
      <c r="AC1344" t="s">
        <v>81</v>
      </c>
      <c r="AD1344" t="s">
        <v>81</v>
      </c>
      <c r="AE1344" t="s">
        <v>62</v>
      </c>
      <c r="AF1344" t="s">
        <v>62</v>
      </c>
      <c r="AG1344">
        <v>0</v>
      </c>
      <c r="AH1344">
        <v>0</v>
      </c>
      <c r="AI1344">
        <v>10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6</v>
      </c>
      <c r="AT1344">
        <v>0</v>
      </c>
      <c r="AU1344">
        <v>3</v>
      </c>
      <c r="AV1344">
        <v>1</v>
      </c>
      <c r="AW1344">
        <v>10</v>
      </c>
      <c r="AX1344">
        <v>7</v>
      </c>
      <c r="AY1344">
        <v>2</v>
      </c>
      <c r="AZ1344">
        <v>4</v>
      </c>
      <c r="BA1344" t="s">
        <v>23902</v>
      </c>
      <c r="BB1344" t="s">
        <v>23903</v>
      </c>
      <c r="BC1344">
        <v>3.5960000000000001</v>
      </c>
      <c r="BD1344" t="s">
        <v>65</v>
      </c>
      <c r="BE1344">
        <v>12</v>
      </c>
      <c r="BF1344">
        <v>11</v>
      </c>
      <c r="BG1344" t="s">
        <v>23904</v>
      </c>
      <c r="BH1344" t="s">
        <v>23905</v>
      </c>
      <c r="BI1344" t="s">
        <v>23906</v>
      </c>
      <c r="BJ1344">
        <v>0.25663000000000002</v>
      </c>
      <c r="BK1344">
        <v>0.99</v>
      </c>
      <c r="BL1344" t="s">
        <v>69</v>
      </c>
      <c r="BM1344">
        <v>-1.7370000000000001</v>
      </c>
      <c r="BN1344">
        <v>-0.84199999999999997</v>
      </c>
    </row>
    <row r="1345" spans="2:66">
      <c r="B1345">
        <v>2359</v>
      </c>
      <c r="C1345">
        <v>51</v>
      </c>
      <c r="D1345">
        <v>0</v>
      </c>
      <c r="E1345">
        <v>7</v>
      </c>
      <c r="F1345">
        <v>3</v>
      </c>
      <c r="J1345">
        <v>0</v>
      </c>
      <c r="K1345">
        <v>0</v>
      </c>
      <c r="L1345">
        <v>0</v>
      </c>
      <c r="M1345" t="s">
        <v>25022</v>
      </c>
      <c r="N1345">
        <v>4061</v>
      </c>
      <c r="O1345" t="s">
        <v>23907</v>
      </c>
      <c r="P1345" t="s">
        <v>62</v>
      </c>
      <c r="Q1345">
        <v>4022261</v>
      </c>
      <c r="R1345">
        <v>4022728</v>
      </c>
      <c r="S1345" t="s">
        <v>116</v>
      </c>
      <c r="T1345">
        <v>156</v>
      </c>
      <c r="U1345" t="s">
        <v>23908</v>
      </c>
      <c r="V1345">
        <v>24</v>
      </c>
      <c r="W1345" t="str">
        <f>HYPERLINK("Gene4061-zp_tree_all.dnd", "Gene4061-tree")</f>
        <v>Gene4061-tree</v>
      </c>
      <c r="X1345">
        <v>2</v>
      </c>
      <c r="Y1345">
        <v>2</v>
      </c>
      <c r="Z1345">
        <v>2</v>
      </c>
      <c r="AA1345">
        <v>2</v>
      </c>
      <c r="AB1345">
        <v>0.5</v>
      </c>
      <c r="AC1345" t="s">
        <v>81</v>
      </c>
      <c r="AD1345" t="s">
        <v>81</v>
      </c>
      <c r="AE1345" t="s">
        <v>62</v>
      </c>
      <c r="AF1345" t="s">
        <v>62</v>
      </c>
      <c r="AG1345">
        <v>0</v>
      </c>
      <c r="AH1345">
        <v>0</v>
      </c>
      <c r="AI1345">
        <v>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2</v>
      </c>
      <c r="AT1345">
        <v>0</v>
      </c>
      <c r="AU1345">
        <v>3</v>
      </c>
      <c r="AV1345">
        <v>0</v>
      </c>
      <c r="AW1345">
        <v>1</v>
      </c>
      <c r="AX1345">
        <v>2</v>
      </c>
      <c r="AY1345">
        <v>0</v>
      </c>
      <c r="AZ1345">
        <v>0</v>
      </c>
      <c r="BA1345" t="s">
        <v>23909</v>
      </c>
      <c r="BB1345" t="s">
        <v>193</v>
      </c>
      <c r="BC1345">
        <v>0.69299999999999995</v>
      </c>
      <c r="BD1345" t="s">
        <v>65</v>
      </c>
      <c r="BE1345">
        <v>1</v>
      </c>
      <c r="BF1345">
        <v>2</v>
      </c>
      <c r="BG1345" t="s">
        <v>23910</v>
      </c>
      <c r="BH1345" t="s">
        <v>23911</v>
      </c>
      <c r="BI1345" t="s">
        <v>23912</v>
      </c>
      <c r="BJ1345">
        <v>0.53827000000000003</v>
      </c>
      <c r="BK1345">
        <v>0.61199999999999999</v>
      </c>
      <c r="BL1345" t="s">
        <v>635</v>
      </c>
      <c r="BM1345">
        <v>-1.494</v>
      </c>
      <c r="BN1345">
        <v>-1.357</v>
      </c>
    </row>
    <row r="1346" spans="2:66">
      <c r="B1346">
        <v>2361</v>
      </c>
      <c r="C1346">
        <v>253</v>
      </c>
      <c r="D1346">
        <v>0</v>
      </c>
      <c r="E1346">
        <v>4</v>
      </c>
      <c r="F1346">
        <v>2</v>
      </c>
      <c r="J1346">
        <v>0</v>
      </c>
      <c r="K1346">
        <v>55</v>
      </c>
      <c r="L1346">
        <v>10</v>
      </c>
      <c r="M1346" t="s">
        <v>25022</v>
      </c>
      <c r="N1346">
        <v>4063</v>
      </c>
      <c r="O1346" t="s">
        <v>23913</v>
      </c>
      <c r="P1346" t="s">
        <v>62</v>
      </c>
      <c r="Q1346">
        <v>4023547</v>
      </c>
      <c r="R1346">
        <v>4030548</v>
      </c>
      <c r="S1346" t="s">
        <v>23914</v>
      </c>
      <c r="T1346">
        <v>2334</v>
      </c>
      <c r="U1346" t="s">
        <v>23915</v>
      </c>
      <c r="V1346">
        <v>31</v>
      </c>
      <c r="W1346" t="str">
        <f>HYPERLINK("Gene4063-zp_tree_all.dnd", "Gene4063-tree")</f>
        <v>Gene4063-tree</v>
      </c>
      <c r="X1346">
        <v>0</v>
      </c>
      <c r="Y1346">
        <v>8</v>
      </c>
      <c r="Z1346">
        <v>0</v>
      </c>
      <c r="AA1346">
        <v>8</v>
      </c>
      <c r="AB1346">
        <v>1</v>
      </c>
      <c r="AC1346" t="s">
        <v>62</v>
      </c>
      <c r="AD1346" t="s">
        <v>136</v>
      </c>
      <c r="AE1346" t="s">
        <v>62</v>
      </c>
      <c r="AF1346" t="s">
        <v>62</v>
      </c>
      <c r="AG1346">
        <v>29</v>
      </c>
      <c r="AH1346">
        <v>65</v>
      </c>
      <c r="AI1346">
        <v>99</v>
      </c>
      <c r="AJ1346">
        <v>0.39634000000000003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24</v>
      </c>
      <c r="AQ1346">
        <v>15</v>
      </c>
      <c r="AR1346">
        <v>39</v>
      </c>
      <c r="AS1346">
        <v>95</v>
      </c>
      <c r="AT1346">
        <v>0.29104000000000002</v>
      </c>
      <c r="AU1346">
        <v>8</v>
      </c>
      <c r="AV1346">
        <v>5</v>
      </c>
      <c r="AW1346">
        <v>682</v>
      </c>
      <c r="AX1346">
        <v>136</v>
      </c>
      <c r="AY1346">
        <v>209</v>
      </c>
      <c r="AZ1346">
        <v>30</v>
      </c>
      <c r="BA1346" t="s">
        <v>23916</v>
      </c>
      <c r="BB1346" t="s">
        <v>23917</v>
      </c>
      <c r="BC1346">
        <v>1.333</v>
      </c>
      <c r="BD1346" t="s">
        <v>65</v>
      </c>
      <c r="BE1346">
        <v>891</v>
      </c>
      <c r="BF1346">
        <v>166</v>
      </c>
      <c r="BG1346" t="s">
        <v>23918</v>
      </c>
      <c r="BH1346" t="s">
        <v>23919</v>
      </c>
      <c r="BI1346" t="s">
        <v>23920</v>
      </c>
      <c r="BJ1346">
        <v>5.4429999999999999E-2</v>
      </c>
      <c r="BK1346">
        <v>1</v>
      </c>
      <c r="BL1346" t="s">
        <v>69</v>
      </c>
      <c r="BM1346">
        <v>-1.139</v>
      </c>
      <c r="BN1346">
        <v>-1.925</v>
      </c>
    </row>
    <row r="1347" spans="2:66">
      <c r="B1347">
        <v>2362</v>
      </c>
      <c r="C1347">
        <v>175</v>
      </c>
      <c r="D1347">
        <v>0</v>
      </c>
      <c r="E1347">
        <v>20</v>
      </c>
      <c r="F1347">
        <v>2</v>
      </c>
      <c r="J1347">
        <v>0</v>
      </c>
      <c r="K1347">
        <v>15</v>
      </c>
      <c r="L1347">
        <v>0</v>
      </c>
      <c r="M1347" t="s">
        <v>25022</v>
      </c>
      <c r="N1347">
        <v>4064</v>
      </c>
      <c r="O1347" t="s">
        <v>23921</v>
      </c>
      <c r="P1347" t="s">
        <v>62</v>
      </c>
      <c r="Q1347">
        <v>4030713</v>
      </c>
      <c r="R1347">
        <v>4031645</v>
      </c>
      <c r="S1347" t="s">
        <v>2569</v>
      </c>
      <c r="T1347">
        <v>311</v>
      </c>
      <c r="U1347" t="s">
        <v>108</v>
      </c>
      <c r="V1347">
        <v>44</v>
      </c>
      <c r="W1347" t="str">
        <f>HYPERLINK("Gene4064-zp_tree_all.dnd", "Gene4064-tree")</f>
        <v>Gene4064-tree</v>
      </c>
      <c r="X1347">
        <v>2</v>
      </c>
      <c r="Y1347">
        <v>13</v>
      </c>
      <c r="Z1347">
        <v>2</v>
      </c>
      <c r="AA1347">
        <v>13</v>
      </c>
      <c r="AB1347">
        <v>0.86667000000000005</v>
      </c>
      <c r="AC1347" t="s">
        <v>81</v>
      </c>
      <c r="AD1347" t="s">
        <v>507</v>
      </c>
      <c r="AE1347" t="s">
        <v>62</v>
      </c>
      <c r="AF1347" t="s">
        <v>62</v>
      </c>
      <c r="AG1347">
        <v>4</v>
      </c>
      <c r="AH1347">
        <v>15</v>
      </c>
      <c r="AI1347">
        <v>7</v>
      </c>
      <c r="AJ1347">
        <v>0.68181999999999998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10</v>
      </c>
      <c r="AQ1347">
        <v>0</v>
      </c>
      <c r="AR1347">
        <v>10</v>
      </c>
      <c r="AS1347">
        <v>7</v>
      </c>
      <c r="AT1347">
        <v>0.58823999999999999</v>
      </c>
      <c r="AU1347">
        <v>15</v>
      </c>
      <c r="AV1347">
        <v>9</v>
      </c>
      <c r="AW1347">
        <v>48</v>
      </c>
      <c r="AX1347">
        <v>17</v>
      </c>
      <c r="AY1347">
        <v>11</v>
      </c>
      <c r="AZ1347">
        <v>5</v>
      </c>
      <c r="BA1347" t="s">
        <v>23922</v>
      </c>
      <c r="BB1347" t="s">
        <v>23923</v>
      </c>
      <c r="BC1347">
        <v>0.49099999999999999</v>
      </c>
      <c r="BD1347" t="s">
        <v>65</v>
      </c>
      <c r="BE1347">
        <v>59</v>
      </c>
      <c r="BF1347">
        <v>22</v>
      </c>
      <c r="BG1347" t="s">
        <v>23924</v>
      </c>
      <c r="BH1347" t="s">
        <v>23925</v>
      </c>
      <c r="BI1347" t="s">
        <v>23926</v>
      </c>
      <c r="BJ1347">
        <v>0.1042</v>
      </c>
      <c r="BK1347">
        <v>1</v>
      </c>
      <c r="BL1347" t="s">
        <v>69</v>
      </c>
      <c r="BM1347">
        <v>-0.38</v>
      </c>
      <c r="BN1347">
        <v>-1.3320000000000001</v>
      </c>
    </row>
    <row r="1348" spans="2:66">
      <c r="B1348">
        <v>2364</v>
      </c>
      <c r="C1348">
        <v>53</v>
      </c>
      <c r="D1348">
        <v>0</v>
      </c>
      <c r="E1348">
        <v>8</v>
      </c>
      <c r="F1348">
        <v>3</v>
      </c>
      <c r="J1348">
        <v>0</v>
      </c>
      <c r="K1348">
        <v>2</v>
      </c>
      <c r="L1348">
        <v>0</v>
      </c>
      <c r="M1348" t="s">
        <v>25022</v>
      </c>
      <c r="N1348">
        <v>4065</v>
      </c>
      <c r="O1348" t="s">
        <v>23927</v>
      </c>
      <c r="P1348" t="s">
        <v>62</v>
      </c>
      <c r="Q1348">
        <v>4031800</v>
      </c>
      <c r="R1348">
        <v>4032243</v>
      </c>
      <c r="S1348" t="s">
        <v>23928</v>
      </c>
      <c r="T1348">
        <v>148</v>
      </c>
      <c r="U1348" t="s">
        <v>108</v>
      </c>
      <c r="V1348">
        <v>44</v>
      </c>
      <c r="W1348" t="str">
        <f>HYPERLINK("Gene4065-zp_tree_all.dnd", "Gene4065-tree")</f>
        <v>Gene4065-tree</v>
      </c>
      <c r="X1348">
        <v>11</v>
      </c>
      <c r="Y1348">
        <v>3</v>
      </c>
      <c r="Z1348">
        <v>11</v>
      </c>
      <c r="AA1348">
        <v>3</v>
      </c>
      <c r="AB1348">
        <v>0.21429000000000001</v>
      </c>
      <c r="AC1348" t="s">
        <v>73</v>
      </c>
      <c r="AD1348" t="s">
        <v>324</v>
      </c>
      <c r="AE1348" t="s">
        <v>62</v>
      </c>
      <c r="AF1348" t="s">
        <v>62</v>
      </c>
      <c r="AG1348">
        <v>1</v>
      </c>
      <c r="AH1348">
        <v>2</v>
      </c>
      <c r="AI1348">
        <v>7</v>
      </c>
      <c r="AJ1348">
        <v>0.22222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8</v>
      </c>
      <c r="AT1348">
        <v>0</v>
      </c>
      <c r="AU1348">
        <v>10</v>
      </c>
      <c r="AV1348">
        <v>6</v>
      </c>
      <c r="AW1348">
        <v>28</v>
      </c>
      <c r="AX1348">
        <v>8</v>
      </c>
      <c r="AY1348">
        <v>5</v>
      </c>
      <c r="AZ1348">
        <v>1</v>
      </c>
      <c r="BA1348" t="s">
        <v>23929</v>
      </c>
      <c r="BB1348" t="s">
        <v>23930</v>
      </c>
      <c r="BC1348">
        <v>0.13100000000000001</v>
      </c>
      <c r="BD1348" t="s">
        <v>65</v>
      </c>
      <c r="BE1348">
        <v>33</v>
      </c>
      <c r="BF1348">
        <v>9</v>
      </c>
      <c r="BG1348" t="s">
        <v>23931</v>
      </c>
      <c r="BH1348" t="s">
        <v>23932</v>
      </c>
      <c r="BI1348" t="s">
        <v>23933</v>
      </c>
      <c r="BJ1348">
        <v>6.9699999999999998E-2</v>
      </c>
      <c r="BK1348">
        <v>1</v>
      </c>
      <c r="BL1348" t="s">
        <v>69</v>
      </c>
      <c r="BM1348">
        <v>-1.8640000000000001</v>
      </c>
      <c r="BN1348">
        <v>-2.3039999999999998</v>
      </c>
    </row>
    <row r="1349" spans="2:66">
      <c r="B1349">
        <v>2365</v>
      </c>
      <c r="C1349">
        <v>376</v>
      </c>
      <c r="D1349">
        <v>0</v>
      </c>
      <c r="E1349">
        <v>3</v>
      </c>
      <c r="F1349">
        <v>0</v>
      </c>
      <c r="J1349">
        <v>0</v>
      </c>
      <c r="K1349">
        <v>8</v>
      </c>
      <c r="L1349">
        <v>1</v>
      </c>
      <c r="M1349" t="s">
        <v>25022</v>
      </c>
      <c r="N1349">
        <v>4066</v>
      </c>
      <c r="O1349" t="s">
        <v>23934</v>
      </c>
      <c r="P1349" t="s">
        <v>62</v>
      </c>
      <c r="Q1349">
        <v>4032349</v>
      </c>
      <c r="R1349">
        <v>4033755</v>
      </c>
      <c r="S1349" t="s">
        <v>2340</v>
      </c>
      <c r="T1349">
        <v>469</v>
      </c>
      <c r="U1349" t="s">
        <v>23935</v>
      </c>
      <c r="V1349">
        <v>41</v>
      </c>
      <c r="W1349" t="str">
        <f>HYPERLINK("Gene4066-zp_tree_all.dnd", "Gene4066-tree")</f>
        <v>Gene4066-tree</v>
      </c>
      <c r="X1349">
        <v>5</v>
      </c>
      <c r="Y1349">
        <v>27</v>
      </c>
      <c r="Z1349">
        <v>5</v>
      </c>
      <c r="AA1349">
        <v>10</v>
      </c>
      <c r="AB1349">
        <v>0.66666999999999998</v>
      </c>
      <c r="AC1349" t="s">
        <v>199</v>
      </c>
      <c r="AD1349" t="s">
        <v>2980</v>
      </c>
      <c r="AE1349">
        <v>2.2480000000000002</v>
      </c>
      <c r="AF1349" t="s">
        <v>65</v>
      </c>
      <c r="AG1349">
        <v>3</v>
      </c>
      <c r="AH1349">
        <v>9</v>
      </c>
      <c r="AI1349">
        <v>21</v>
      </c>
      <c r="AJ1349">
        <v>0.3</v>
      </c>
      <c r="AK1349">
        <v>0</v>
      </c>
      <c r="AL1349">
        <v>0</v>
      </c>
      <c r="AM1349">
        <v>0</v>
      </c>
      <c r="AN1349">
        <v>3</v>
      </c>
      <c r="AO1349">
        <v>0</v>
      </c>
      <c r="AP1349">
        <v>4</v>
      </c>
      <c r="AQ1349">
        <v>3</v>
      </c>
      <c r="AR1349">
        <v>7</v>
      </c>
      <c r="AS1349">
        <v>17</v>
      </c>
      <c r="AT1349">
        <v>0.29166999999999998</v>
      </c>
      <c r="AU1349">
        <v>13</v>
      </c>
      <c r="AV1349">
        <v>12</v>
      </c>
      <c r="AW1349">
        <v>107</v>
      </c>
      <c r="AX1349">
        <v>23</v>
      </c>
      <c r="AY1349">
        <v>47</v>
      </c>
      <c r="AZ1349">
        <v>8</v>
      </c>
      <c r="BA1349" t="s">
        <v>23936</v>
      </c>
      <c r="BB1349" t="s">
        <v>23937</v>
      </c>
      <c r="BC1349">
        <v>0.32900000000000001</v>
      </c>
      <c r="BD1349" t="s">
        <v>65</v>
      </c>
      <c r="BE1349">
        <v>154</v>
      </c>
      <c r="BF1349">
        <v>31</v>
      </c>
      <c r="BG1349" t="s">
        <v>23938</v>
      </c>
      <c r="BH1349" t="s">
        <v>23939</v>
      </c>
      <c r="BI1349" t="s">
        <v>23940</v>
      </c>
      <c r="BJ1349">
        <v>5.4539999999999998E-2</v>
      </c>
      <c r="BK1349">
        <v>1</v>
      </c>
      <c r="BL1349" t="s">
        <v>69</v>
      </c>
      <c r="BM1349">
        <v>-1.139</v>
      </c>
      <c r="BN1349">
        <v>-1.665</v>
      </c>
    </row>
    <row r="1350" spans="2:66">
      <c r="B1350">
        <v>2366</v>
      </c>
      <c r="C1350">
        <v>52</v>
      </c>
      <c r="D1350">
        <v>0</v>
      </c>
      <c r="E1350">
        <v>4</v>
      </c>
      <c r="F1350">
        <v>1</v>
      </c>
      <c r="J1350">
        <v>0</v>
      </c>
      <c r="K1350">
        <v>13</v>
      </c>
      <c r="L1350">
        <v>0</v>
      </c>
      <c r="M1350" t="s">
        <v>25022</v>
      </c>
      <c r="N1350">
        <v>4067</v>
      </c>
      <c r="O1350" t="s">
        <v>23941</v>
      </c>
      <c r="P1350" t="s">
        <v>62</v>
      </c>
      <c r="Q1350">
        <v>4033781</v>
      </c>
      <c r="R1350">
        <v>4035607</v>
      </c>
      <c r="S1350" t="s">
        <v>23942</v>
      </c>
      <c r="T1350">
        <v>609</v>
      </c>
      <c r="U1350" t="s">
        <v>23943</v>
      </c>
      <c r="V1350">
        <v>40</v>
      </c>
      <c r="W1350" t="str">
        <f>HYPERLINK("Gene4067-zp_tree_all.dnd", "Gene4067-tree")</f>
        <v>Gene4067-tree</v>
      </c>
      <c r="X1350">
        <v>3</v>
      </c>
      <c r="Y1350">
        <v>31</v>
      </c>
      <c r="Z1350">
        <v>3</v>
      </c>
      <c r="AA1350">
        <v>12</v>
      </c>
      <c r="AB1350">
        <v>0.8</v>
      </c>
      <c r="AC1350" t="s">
        <v>324</v>
      </c>
      <c r="AD1350" t="s">
        <v>5000</v>
      </c>
      <c r="AE1350">
        <v>0.89600000000000002</v>
      </c>
      <c r="AF1350" t="s">
        <v>65</v>
      </c>
      <c r="AG1350">
        <v>6</v>
      </c>
      <c r="AH1350">
        <v>13</v>
      </c>
      <c r="AI1350">
        <v>28</v>
      </c>
      <c r="AJ1350">
        <v>0.31707000000000002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6</v>
      </c>
      <c r="AQ1350">
        <v>0</v>
      </c>
      <c r="AR1350">
        <v>6</v>
      </c>
      <c r="AS1350">
        <v>29</v>
      </c>
      <c r="AT1350">
        <v>0.17143</v>
      </c>
      <c r="AU1350">
        <v>14</v>
      </c>
      <c r="AV1350">
        <v>10</v>
      </c>
      <c r="AW1350">
        <v>113</v>
      </c>
      <c r="AX1350">
        <v>33</v>
      </c>
      <c r="AY1350">
        <v>43</v>
      </c>
      <c r="AZ1350">
        <v>8</v>
      </c>
      <c r="BA1350" t="s">
        <v>23944</v>
      </c>
      <c r="BB1350" t="s">
        <v>23945</v>
      </c>
      <c r="BC1350">
        <v>0.98899999999999999</v>
      </c>
      <c r="BD1350" t="s">
        <v>65</v>
      </c>
      <c r="BE1350">
        <v>156</v>
      </c>
      <c r="BF1350">
        <v>41</v>
      </c>
      <c r="BG1350" t="s">
        <v>23946</v>
      </c>
      <c r="BH1350" t="s">
        <v>23947</v>
      </c>
      <c r="BI1350" t="s">
        <v>23948</v>
      </c>
      <c r="BJ1350">
        <v>8.0729999999999996E-2</v>
      </c>
      <c r="BK1350">
        <v>1</v>
      </c>
      <c r="BL1350" t="s">
        <v>69</v>
      </c>
      <c r="BM1350">
        <v>-0.74399999999999999</v>
      </c>
      <c r="BN1350">
        <v>-1.764</v>
      </c>
    </row>
    <row r="1351" spans="2:66">
      <c r="B1351">
        <v>2368</v>
      </c>
      <c r="C1351">
        <v>2</v>
      </c>
      <c r="D1351">
        <v>0</v>
      </c>
      <c r="E1351">
        <v>2</v>
      </c>
      <c r="F1351">
        <v>0</v>
      </c>
      <c r="J1351">
        <v>0</v>
      </c>
      <c r="K1351">
        <v>0</v>
      </c>
      <c r="L1351">
        <v>0</v>
      </c>
      <c r="M1351" t="s">
        <v>25022</v>
      </c>
      <c r="N1351">
        <v>4070</v>
      </c>
      <c r="O1351" t="s">
        <v>23949</v>
      </c>
      <c r="P1351" t="s">
        <v>62</v>
      </c>
      <c r="Q1351">
        <v>4036787</v>
      </c>
      <c r="R1351">
        <v>4038493</v>
      </c>
      <c r="S1351" t="s">
        <v>23950</v>
      </c>
      <c r="T1351">
        <v>569</v>
      </c>
      <c r="U1351" t="s">
        <v>23951</v>
      </c>
      <c r="V1351">
        <v>24</v>
      </c>
      <c r="W1351" t="str">
        <f>HYPERLINK("Gene4070-zp_tree_all.dnd", "Gene4070-tree")</f>
        <v>Gene4070-tree</v>
      </c>
      <c r="X1351">
        <v>2</v>
      </c>
      <c r="Y1351">
        <v>21</v>
      </c>
      <c r="Z1351">
        <v>2</v>
      </c>
      <c r="AA1351">
        <v>4</v>
      </c>
      <c r="AB1351">
        <v>0.66666999999999998</v>
      </c>
      <c r="AC1351" t="s">
        <v>81</v>
      </c>
      <c r="AD1351" t="s">
        <v>3348</v>
      </c>
      <c r="AE1351">
        <v>1.9530000000000001</v>
      </c>
      <c r="AF1351" t="s">
        <v>65</v>
      </c>
      <c r="AG1351">
        <v>0</v>
      </c>
      <c r="AH1351">
        <v>0</v>
      </c>
      <c r="AI1351">
        <v>18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15</v>
      </c>
      <c r="AT1351">
        <v>0</v>
      </c>
      <c r="AU1351">
        <v>5</v>
      </c>
      <c r="AV1351">
        <v>3</v>
      </c>
      <c r="AW1351">
        <v>28</v>
      </c>
      <c r="AX1351">
        <v>5</v>
      </c>
      <c r="AY1351">
        <v>21</v>
      </c>
      <c r="AZ1351">
        <v>13</v>
      </c>
      <c r="BA1351" t="s">
        <v>23952</v>
      </c>
      <c r="BB1351" t="s">
        <v>23953</v>
      </c>
      <c r="BC1351">
        <v>0.67800000000000005</v>
      </c>
      <c r="BD1351" t="s">
        <v>65</v>
      </c>
      <c r="BE1351">
        <v>49</v>
      </c>
      <c r="BF1351">
        <v>18</v>
      </c>
      <c r="BG1351" t="s">
        <v>23954</v>
      </c>
      <c r="BH1351" t="s">
        <v>23955</v>
      </c>
      <c r="BI1351" t="s">
        <v>23956</v>
      </c>
      <c r="BJ1351">
        <v>0.11434</v>
      </c>
      <c r="BK1351">
        <v>1</v>
      </c>
      <c r="BL1351" t="s">
        <v>69</v>
      </c>
      <c r="BM1351">
        <v>-1.639</v>
      </c>
      <c r="BN1351">
        <v>-0.69</v>
      </c>
    </row>
    <row r="1352" spans="2:66">
      <c r="B1352">
        <v>2369</v>
      </c>
      <c r="C1352">
        <v>94</v>
      </c>
      <c r="D1352">
        <v>0</v>
      </c>
      <c r="E1352">
        <v>2</v>
      </c>
      <c r="F1352">
        <v>0</v>
      </c>
      <c r="J1352">
        <v>0</v>
      </c>
      <c r="K1352">
        <v>2</v>
      </c>
      <c r="L1352">
        <v>2</v>
      </c>
      <c r="M1352" t="s">
        <v>25022</v>
      </c>
      <c r="N1352">
        <v>4071</v>
      </c>
      <c r="O1352" t="s">
        <v>23957</v>
      </c>
      <c r="P1352" t="s">
        <v>62</v>
      </c>
      <c r="Q1352">
        <v>4038516</v>
      </c>
      <c r="R1352">
        <v>4038782</v>
      </c>
      <c r="S1352" t="s">
        <v>116</v>
      </c>
      <c r="T1352">
        <v>89</v>
      </c>
      <c r="U1352" t="s">
        <v>409</v>
      </c>
      <c r="V1352">
        <v>45</v>
      </c>
      <c r="W1352" t="str">
        <f>HYPERLINK("Gene4071-zp_tree_all.dnd", "Gene4071-tree")</f>
        <v>Gene4071-tree</v>
      </c>
      <c r="X1352">
        <v>3</v>
      </c>
      <c r="Y1352">
        <v>24</v>
      </c>
      <c r="Z1352">
        <v>3</v>
      </c>
      <c r="AA1352">
        <v>7</v>
      </c>
      <c r="AB1352">
        <v>0.7</v>
      </c>
      <c r="AC1352" t="s">
        <v>324</v>
      </c>
      <c r="AD1352" t="s">
        <v>638</v>
      </c>
      <c r="AE1352">
        <v>1.913</v>
      </c>
      <c r="AF1352" t="s">
        <v>65</v>
      </c>
      <c r="AG1352">
        <v>2</v>
      </c>
      <c r="AH1352">
        <v>4</v>
      </c>
      <c r="AI1352">
        <v>6</v>
      </c>
      <c r="AJ1352">
        <v>0.4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2</v>
      </c>
      <c r="AQ1352">
        <v>2</v>
      </c>
      <c r="AR1352">
        <v>4</v>
      </c>
      <c r="AS1352">
        <v>6</v>
      </c>
      <c r="AT1352">
        <v>0.4</v>
      </c>
      <c r="AU1352">
        <v>8</v>
      </c>
      <c r="AV1352">
        <v>3</v>
      </c>
      <c r="AW1352">
        <v>10</v>
      </c>
      <c r="AX1352">
        <v>10</v>
      </c>
      <c r="AY1352">
        <v>6</v>
      </c>
      <c r="AZ1352">
        <v>0</v>
      </c>
      <c r="BA1352" t="s">
        <v>23958</v>
      </c>
      <c r="BB1352" t="s">
        <v>193</v>
      </c>
      <c r="BC1352">
        <v>1.2909999999999999</v>
      </c>
      <c r="BD1352" t="s">
        <v>65</v>
      </c>
      <c r="BE1352">
        <v>16</v>
      </c>
      <c r="BF1352">
        <v>10</v>
      </c>
      <c r="BG1352" t="s">
        <v>23959</v>
      </c>
      <c r="BH1352" t="s">
        <v>23960</v>
      </c>
      <c r="BI1352" t="s">
        <v>23961</v>
      </c>
      <c r="BJ1352">
        <v>0.12581000000000001</v>
      </c>
      <c r="BK1352">
        <v>1</v>
      </c>
      <c r="BL1352" t="s">
        <v>69</v>
      </c>
      <c r="BM1352">
        <v>-0.497</v>
      </c>
      <c r="BN1352">
        <v>-0.375</v>
      </c>
    </row>
    <row r="1353" spans="2:66">
      <c r="B1353">
        <v>2375</v>
      </c>
      <c r="C1353">
        <v>221</v>
      </c>
      <c r="D1353">
        <v>0</v>
      </c>
      <c r="E1353">
        <v>5</v>
      </c>
      <c r="F1353">
        <v>2</v>
      </c>
      <c r="J1353">
        <v>0</v>
      </c>
      <c r="K1353">
        <v>3</v>
      </c>
      <c r="L1353">
        <v>0</v>
      </c>
      <c r="M1353" t="s">
        <v>25022</v>
      </c>
      <c r="N1353">
        <v>4072</v>
      </c>
      <c r="O1353" t="s">
        <v>23962</v>
      </c>
      <c r="P1353" t="s">
        <v>62</v>
      </c>
      <c r="Q1353">
        <v>4038797</v>
      </c>
      <c r="R1353">
        <v>4039159</v>
      </c>
      <c r="S1353" t="s">
        <v>116</v>
      </c>
      <c r="T1353">
        <v>121</v>
      </c>
      <c r="U1353" t="s">
        <v>749</v>
      </c>
      <c r="V1353">
        <v>47</v>
      </c>
      <c r="W1353" t="str">
        <f>HYPERLINK("Gene4072-zp_tree_all.dnd", "Gene4072-tree")</f>
        <v>Gene4072-tree</v>
      </c>
      <c r="X1353">
        <v>9</v>
      </c>
      <c r="Y1353">
        <v>7</v>
      </c>
      <c r="Z1353">
        <v>9</v>
      </c>
      <c r="AA1353">
        <v>7</v>
      </c>
      <c r="AB1353">
        <v>0.4375</v>
      </c>
      <c r="AC1353" t="s">
        <v>135</v>
      </c>
      <c r="AD1353" t="s">
        <v>152</v>
      </c>
      <c r="AE1353" t="s">
        <v>62</v>
      </c>
      <c r="AF1353" t="s">
        <v>62</v>
      </c>
      <c r="AG1353">
        <v>1</v>
      </c>
      <c r="AH1353">
        <v>3</v>
      </c>
      <c r="AI1353">
        <v>15</v>
      </c>
      <c r="AJ1353">
        <v>0.16667000000000001</v>
      </c>
      <c r="AK1353">
        <v>0</v>
      </c>
      <c r="AL1353">
        <v>0</v>
      </c>
      <c r="AM1353">
        <v>0</v>
      </c>
      <c r="AN1353">
        <v>2</v>
      </c>
      <c r="AO1353">
        <v>0</v>
      </c>
      <c r="AP1353">
        <v>0</v>
      </c>
      <c r="AQ1353">
        <v>0</v>
      </c>
      <c r="AR1353">
        <v>0</v>
      </c>
      <c r="AS1353">
        <v>11</v>
      </c>
      <c r="AT1353">
        <v>0</v>
      </c>
      <c r="AU1353">
        <v>11</v>
      </c>
      <c r="AV1353">
        <v>9</v>
      </c>
      <c r="AW1353">
        <v>21</v>
      </c>
      <c r="AX1353">
        <v>9</v>
      </c>
      <c r="AY1353">
        <v>22</v>
      </c>
      <c r="AZ1353">
        <v>9</v>
      </c>
      <c r="BA1353" t="s">
        <v>23963</v>
      </c>
      <c r="BB1353" t="s">
        <v>23964</v>
      </c>
      <c r="BC1353">
        <v>3.5999999999999997E-2</v>
      </c>
      <c r="BD1353" t="s">
        <v>65</v>
      </c>
      <c r="BE1353">
        <v>43</v>
      </c>
      <c r="BF1353">
        <v>18</v>
      </c>
      <c r="BG1353" t="s">
        <v>23965</v>
      </c>
      <c r="BH1353" t="s">
        <v>23966</v>
      </c>
      <c r="BI1353" t="s">
        <v>23967</v>
      </c>
      <c r="BJ1353">
        <v>9.7280000000000005E-2</v>
      </c>
      <c r="BK1353">
        <v>1</v>
      </c>
      <c r="BL1353" t="s">
        <v>69</v>
      </c>
      <c r="BM1353">
        <v>-1.2989999999999999</v>
      </c>
      <c r="BN1353">
        <v>-1.7050000000000001</v>
      </c>
    </row>
    <row r="1354" spans="2:66">
      <c r="B1354">
        <v>2376</v>
      </c>
      <c r="C1354">
        <v>40</v>
      </c>
      <c r="D1354">
        <v>0</v>
      </c>
      <c r="E1354">
        <v>2</v>
      </c>
      <c r="F1354">
        <v>0</v>
      </c>
      <c r="J1354">
        <v>0</v>
      </c>
      <c r="K1354">
        <v>38</v>
      </c>
      <c r="L1354">
        <v>5</v>
      </c>
      <c r="M1354" t="s">
        <v>25022</v>
      </c>
      <c r="N1354">
        <v>4073</v>
      </c>
      <c r="O1354" t="s">
        <v>23968</v>
      </c>
      <c r="P1354" t="s">
        <v>62</v>
      </c>
      <c r="Q1354">
        <v>4039469</v>
      </c>
      <c r="R1354">
        <v>4040875</v>
      </c>
      <c r="S1354" t="s">
        <v>23969</v>
      </c>
      <c r="T1354">
        <v>469</v>
      </c>
      <c r="U1354" t="s">
        <v>1124</v>
      </c>
      <c r="V1354">
        <v>43</v>
      </c>
      <c r="W1354" t="str">
        <f>HYPERLINK("Gene4073-zp_tree_all.dnd", "Gene4073-tree")</f>
        <v>Gene4073-tree</v>
      </c>
      <c r="X1354">
        <v>3</v>
      </c>
      <c r="Y1354">
        <v>14</v>
      </c>
      <c r="Z1354">
        <v>3</v>
      </c>
      <c r="AA1354">
        <v>14</v>
      </c>
      <c r="AB1354">
        <v>0.82352999999999998</v>
      </c>
      <c r="AC1354" t="s">
        <v>324</v>
      </c>
      <c r="AD1354" t="s">
        <v>543</v>
      </c>
      <c r="AE1354">
        <v>526110884.52200001</v>
      </c>
      <c r="AF1354" t="s">
        <v>267</v>
      </c>
      <c r="AG1354">
        <v>17</v>
      </c>
      <c r="AH1354">
        <v>43</v>
      </c>
      <c r="AI1354">
        <v>27</v>
      </c>
      <c r="AJ1354">
        <v>0.61429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6</v>
      </c>
      <c r="AQ1354">
        <v>4</v>
      </c>
      <c r="AR1354">
        <v>10</v>
      </c>
      <c r="AS1354">
        <v>32</v>
      </c>
      <c r="AT1354">
        <v>0.23810000000000001</v>
      </c>
      <c r="AU1354">
        <v>15</v>
      </c>
      <c r="AV1354">
        <v>13</v>
      </c>
      <c r="AW1354">
        <v>97</v>
      </c>
      <c r="AX1354">
        <v>33</v>
      </c>
      <c r="AY1354">
        <v>102</v>
      </c>
      <c r="AZ1354">
        <v>38</v>
      </c>
      <c r="BA1354" t="s">
        <v>23970</v>
      </c>
      <c r="BB1354" t="s">
        <v>23971</v>
      </c>
      <c r="BC1354">
        <v>0.24199999999999999</v>
      </c>
      <c r="BD1354" t="s">
        <v>65</v>
      </c>
      <c r="BE1354">
        <v>199</v>
      </c>
      <c r="BF1354">
        <v>71</v>
      </c>
      <c r="BG1354" t="s">
        <v>23972</v>
      </c>
      <c r="BH1354" t="s">
        <v>23973</v>
      </c>
      <c r="BI1354" t="s">
        <v>23974</v>
      </c>
      <c r="BJ1354">
        <v>0.10752</v>
      </c>
      <c r="BK1354">
        <v>1</v>
      </c>
      <c r="BL1354" t="s">
        <v>69</v>
      </c>
      <c r="BM1354">
        <v>-0.13900000000000001</v>
      </c>
      <c r="BN1354">
        <v>0.153</v>
      </c>
    </row>
    <row r="1355" spans="2:66">
      <c r="B1355">
        <v>2377</v>
      </c>
      <c r="C1355">
        <v>67</v>
      </c>
      <c r="D1355">
        <v>0</v>
      </c>
      <c r="E1355">
        <v>7</v>
      </c>
      <c r="F1355">
        <v>0</v>
      </c>
      <c r="J1355">
        <v>0</v>
      </c>
      <c r="K1355">
        <v>0</v>
      </c>
      <c r="L1355">
        <v>0</v>
      </c>
      <c r="M1355" t="s">
        <v>25022</v>
      </c>
      <c r="N1355">
        <v>4074</v>
      </c>
      <c r="O1355" t="s">
        <v>23975</v>
      </c>
      <c r="P1355" t="s">
        <v>62</v>
      </c>
      <c r="Q1355">
        <v>4041012</v>
      </c>
      <c r="R1355">
        <v>4041173</v>
      </c>
      <c r="S1355" t="s">
        <v>116</v>
      </c>
      <c r="T1355">
        <v>54</v>
      </c>
      <c r="U1355" t="s">
        <v>23976</v>
      </c>
      <c r="V1355">
        <v>23</v>
      </c>
      <c r="W1355" t="str">
        <f>HYPERLINK("Gene4074-zp_tree_all.dnd", "Gene4074-tree")</f>
        <v>Gene4074-tree</v>
      </c>
      <c r="X1355">
        <v>1</v>
      </c>
      <c r="Y1355">
        <v>3</v>
      </c>
      <c r="Z1355">
        <v>1</v>
      </c>
      <c r="AA1355">
        <v>3</v>
      </c>
      <c r="AB1355">
        <v>0.75</v>
      </c>
      <c r="AC1355" t="s">
        <v>175</v>
      </c>
      <c r="AD1355" t="s">
        <v>324</v>
      </c>
      <c r="AE1355" t="s">
        <v>62</v>
      </c>
      <c r="AF1355" t="s">
        <v>62</v>
      </c>
      <c r="AG1355">
        <v>0</v>
      </c>
      <c r="AH1355">
        <v>0</v>
      </c>
      <c r="AI1355">
        <v>5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3</v>
      </c>
      <c r="AT1355">
        <v>0</v>
      </c>
      <c r="AU1355">
        <v>4</v>
      </c>
      <c r="AV1355">
        <v>1</v>
      </c>
      <c r="AW1355">
        <v>2</v>
      </c>
      <c r="AX1355">
        <v>3</v>
      </c>
      <c r="AY1355">
        <v>0</v>
      </c>
      <c r="AZ1355">
        <v>2</v>
      </c>
      <c r="BA1355" t="s">
        <v>23977</v>
      </c>
      <c r="BB1355" t="s">
        <v>193</v>
      </c>
      <c r="BC1355">
        <v>1.5</v>
      </c>
      <c r="BD1355" t="s">
        <v>65</v>
      </c>
      <c r="BE1355">
        <v>2</v>
      </c>
      <c r="BF1355">
        <v>5</v>
      </c>
      <c r="BG1355" t="s">
        <v>23978</v>
      </c>
      <c r="BH1355" t="s">
        <v>23979</v>
      </c>
      <c r="BI1355" t="s">
        <v>23980</v>
      </c>
      <c r="BJ1355">
        <v>0.74217999999999995</v>
      </c>
      <c r="BK1355">
        <v>0.48199999999999998</v>
      </c>
      <c r="BL1355" t="s">
        <v>635</v>
      </c>
      <c r="BM1355">
        <v>-0.93400000000000005</v>
      </c>
      <c r="BN1355">
        <v>-1.0999999999999999E-2</v>
      </c>
    </row>
    <row r="1356" spans="2:66">
      <c r="B1356">
        <v>2378</v>
      </c>
      <c r="C1356">
        <v>130</v>
      </c>
      <c r="D1356">
        <v>0</v>
      </c>
      <c r="E1356">
        <v>2</v>
      </c>
      <c r="F1356">
        <v>0</v>
      </c>
      <c r="J1356">
        <v>2</v>
      </c>
      <c r="K1356">
        <v>0</v>
      </c>
      <c r="L1356">
        <v>2</v>
      </c>
      <c r="M1356" t="s">
        <v>25022</v>
      </c>
      <c r="N1356">
        <v>4081</v>
      </c>
      <c r="O1356" t="s">
        <v>24022</v>
      </c>
      <c r="P1356" t="s">
        <v>62</v>
      </c>
      <c r="Q1356">
        <v>4049012</v>
      </c>
      <c r="R1356">
        <v>4050310</v>
      </c>
      <c r="S1356" t="s">
        <v>24023</v>
      </c>
      <c r="T1356">
        <v>433</v>
      </c>
      <c r="U1356" t="s">
        <v>108</v>
      </c>
      <c r="V1356">
        <v>44</v>
      </c>
      <c r="W1356" t="str">
        <f>HYPERLINK("Gene4081-zp_tree_all.dnd", "Gene4081-tree")</f>
        <v>Gene4081-tree</v>
      </c>
      <c r="X1356">
        <v>26</v>
      </c>
      <c r="Y1356">
        <v>8</v>
      </c>
      <c r="Z1356">
        <v>9</v>
      </c>
      <c r="AA1356">
        <v>8</v>
      </c>
      <c r="AB1356">
        <v>0.47059000000000001</v>
      </c>
      <c r="AC1356" t="s">
        <v>4723</v>
      </c>
      <c r="AD1356" t="s">
        <v>136</v>
      </c>
      <c r="AE1356" t="s">
        <v>62</v>
      </c>
      <c r="AF1356" t="s">
        <v>62</v>
      </c>
      <c r="AG1356">
        <v>1</v>
      </c>
      <c r="AH1356">
        <v>4</v>
      </c>
      <c r="AI1356">
        <v>10</v>
      </c>
      <c r="AJ1356">
        <v>0.28571000000000002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2</v>
      </c>
      <c r="AR1356">
        <v>2</v>
      </c>
      <c r="AS1356">
        <v>10</v>
      </c>
      <c r="AT1356">
        <v>0.16667000000000001</v>
      </c>
      <c r="AU1356">
        <v>16</v>
      </c>
      <c r="AV1356">
        <v>11</v>
      </c>
      <c r="AW1356">
        <v>79</v>
      </c>
      <c r="AX1356">
        <v>11</v>
      </c>
      <c r="AY1356">
        <v>41</v>
      </c>
      <c r="AZ1356">
        <v>3</v>
      </c>
      <c r="BA1356" t="s">
        <v>24024</v>
      </c>
      <c r="BB1356" t="s">
        <v>24025</v>
      </c>
      <c r="BC1356">
        <v>0.65400000000000003</v>
      </c>
      <c r="BD1356" t="s">
        <v>65</v>
      </c>
      <c r="BE1356">
        <v>120</v>
      </c>
      <c r="BF1356">
        <v>14</v>
      </c>
      <c r="BG1356" t="s">
        <v>24026</v>
      </c>
      <c r="BH1356" t="s">
        <v>24027</v>
      </c>
      <c r="BI1356" t="s">
        <v>24028</v>
      </c>
      <c r="BJ1356">
        <v>3.7089999999999998E-2</v>
      </c>
      <c r="BK1356">
        <v>1</v>
      </c>
      <c r="BL1356" t="s">
        <v>69</v>
      </c>
      <c r="BM1356">
        <v>0.01</v>
      </c>
      <c r="BN1356">
        <v>-1.286</v>
      </c>
    </row>
    <row r="1357" spans="2:66">
      <c r="B1357">
        <v>2379</v>
      </c>
      <c r="C1357">
        <v>17</v>
      </c>
      <c r="D1357">
        <v>0</v>
      </c>
      <c r="E1357">
        <v>0</v>
      </c>
      <c r="F1357">
        <v>2</v>
      </c>
      <c r="J1357">
        <v>0</v>
      </c>
      <c r="K1357">
        <v>0</v>
      </c>
      <c r="L1357">
        <v>0</v>
      </c>
      <c r="M1357" t="s">
        <v>25022</v>
      </c>
      <c r="N1357">
        <v>4082</v>
      </c>
      <c r="O1357" t="s">
        <v>24029</v>
      </c>
      <c r="P1357" t="s">
        <v>62</v>
      </c>
      <c r="Q1357">
        <v>4050343</v>
      </c>
      <c r="R1357">
        <v>4051521</v>
      </c>
      <c r="S1357" t="s">
        <v>24030</v>
      </c>
      <c r="T1357">
        <v>393</v>
      </c>
      <c r="U1357" t="s">
        <v>108</v>
      </c>
      <c r="V1357">
        <v>44</v>
      </c>
      <c r="W1357" t="str">
        <f>HYPERLINK("Gene4082-zp_tree_all.dnd", "Gene4082-tree")</f>
        <v>Gene4082-tree</v>
      </c>
      <c r="X1357">
        <v>14</v>
      </c>
      <c r="Y1357">
        <v>1</v>
      </c>
      <c r="Z1357">
        <v>14</v>
      </c>
      <c r="AA1357">
        <v>1</v>
      </c>
      <c r="AB1357">
        <v>6.6669999999999993E-2</v>
      </c>
      <c r="AC1357" t="s">
        <v>543</v>
      </c>
      <c r="AD1357" t="s">
        <v>175</v>
      </c>
      <c r="AE1357" t="s">
        <v>62</v>
      </c>
      <c r="AF1357" t="s">
        <v>62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14</v>
      </c>
      <c r="AV1357">
        <v>11</v>
      </c>
      <c r="AW1357">
        <v>35</v>
      </c>
      <c r="AX1357">
        <v>1</v>
      </c>
      <c r="AY1357">
        <v>31</v>
      </c>
      <c r="AZ1357">
        <v>0</v>
      </c>
      <c r="BA1357" t="s">
        <v>24031</v>
      </c>
      <c r="BB1357" t="s">
        <v>193</v>
      </c>
      <c r="BC1357">
        <v>0.28199999999999997</v>
      </c>
      <c r="BD1357" t="s">
        <v>65</v>
      </c>
      <c r="BE1357">
        <v>66</v>
      </c>
      <c r="BF1357">
        <v>1</v>
      </c>
      <c r="BG1357" t="s">
        <v>24032</v>
      </c>
      <c r="BH1357" t="s">
        <v>24033</v>
      </c>
      <c r="BI1357" t="s">
        <v>24034</v>
      </c>
      <c r="BJ1357">
        <v>6.3800000000000003E-3</v>
      </c>
      <c r="BK1357">
        <v>1</v>
      </c>
      <c r="BL1357" t="s">
        <v>69</v>
      </c>
      <c r="BM1357">
        <v>-0.14899999999999999</v>
      </c>
      <c r="BN1357">
        <v>-0.215</v>
      </c>
    </row>
    <row r="1358" spans="2:66">
      <c r="B1358">
        <v>2382</v>
      </c>
      <c r="C1358">
        <v>37</v>
      </c>
      <c r="D1358">
        <v>0</v>
      </c>
      <c r="E1358">
        <v>0</v>
      </c>
      <c r="F1358">
        <v>2</v>
      </c>
      <c r="J1358">
        <v>0</v>
      </c>
      <c r="K1358">
        <v>0</v>
      </c>
      <c r="L1358">
        <v>0</v>
      </c>
      <c r="M1358" t="s">
        <v>25022</v>
      </c>
      <c r="N1358">
        <v>4083</v>
      </c>
      <c r="O1358" t="s">
        <v>24035</v>
      </c>
      <c r="P1358" t="s">
        <v>62</v>
      </c>
      <c r="Q1358">
        <v>4051605</v>
      </c>
      <c r="R1358">
        <v>4052273</v>
      </c>
      <c r="S1358" t="s">
        <v>24036</v>
      </c>
      <c r="T1358">
        <v>223</v>
      </c>
      <c r="U1358" t="s">
        <v>108</v>
      </c>
      <c r="V1358">
        <v>44</v>
      </c>
      <c r="W1358" t="str">
        <f>HYPERLINK("Gene4083-zp_tree_all.dnd", "Gene4083-tree")</f>
        <v>Gene4083-tree</v>
      </c>
      <c r="X1358">
        <v>10</v>
      </c>
      <c r="Y1358">
        <v>4</v>
      </c>
      <c r="Z1358">
        <v>10</v>
      </c>
      <c r="AA1358">
        <v>4</v>
      </c>
      <c r="AB1358">
        <v>0.28571000000000002</v>
      </c>
      <c r="AC1358" t="s">
        <v>117</v>
      </c>
      <c r="AD1358" t="s">
        <v>61</v>
      </c>
      <c r="AE1358" t="s">
        <v>62</v>
      </c>
      <c r="AF1358" t="s">
        <v>62</v>
      </c>
      <c r="AG1358">
        <v>0</v>
      </c>
      <c r="AH1358">
        <v>0</v>
      </c>
      <c r="AI1358">
        <v>8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5</v>
      </c>
      <c r="AT1358">
        <v>0</v>
      </c>
      <c r="AU1358">
        <v>11</v>
      </c>
      <c r="AV1358">
        <v>7</v>
      </c>
      <c r="AW1358">
        <v>12</v>
      </c>
      <c r="AX1358">
        <v>5</v>
      </c>
      <c r="AY1358">
        <v>10</v>
      </c>
      <c r="AZ1358">
        <v>3</v>
      </c>
      <c r="BA1358" t="s">
        <v>24037</v>
      </c>
      <c r="BB1358" t="s">
        <v>24038</v>
      </c>
      <c r="BC1358">
        <v>0.28899999999999998</v>
      </c>
      <c r="BD1358" t="s">
        <v>65</v>
      </c>
      <c r="BE1358">
        <v>22</v>
      </c>
      <c r="BF1358">
        <v>8</v>
      </c>
      <c r="BG1358" t="s">
        <v>18470</v>
      </c>
      <c r="BH1358" t="s">
        <v>24039</v>
      </c>
      <c r="BI1358" t="s">
        <v>24040</v>
      </c>
      <c r="BJ1358">
        <v>0.12837000000000001</v>
      </c>
      <c r="BK1358">
        <v>1</v>
      </c>
      <c r="BL1358" t="s">
        <v>69</v>
      </c>
      <c r="BM1358">
        <v>-0.48</v>
      </c>
      <c r="BN1358">
        <v>-1.6950000000000001</v>
      </c>
    </row>
    <row r="1359" spans="2:66">
      <c r="B1359">
        <v>2383</v>
      </c>
      <c r="C1359">
        <v>168</v>
      </c>
      <c r="D1359">
        <v>0</v>
      </c>
      <c r="E1359">
        <v>17</v>
      </c>
      <c r="F1359">
        <v>1</v>
      </c>
      <c r="J1359">
        <v>0</v>
      </c>
      <c r="K1359">
        <v>3</v>
      </c>
      <c r="L1359">
        <v>0</v>
      </c>
      <c r="M1359" t="s">
        <v>25022</v>
      </c>
      <c r="N1359">
        <v>4084</v>
      </c>
      <c r="O1359" t="s">
        <v>24041</v>
      </c>
      <c r="P1359" t="s">
        <v>62</v>
      </c>
      <c r="Q1359">
        <v>4052382</v>
      </c>
      <c r="R1359">
        <v>4053320</v>
      </c>
      <c r="S1359" t="s">
        <v>24042</v>
      </c>
      <c r="T1359">
        <v>313</v>
      </c>
      <c r="U1359" t="s">
        <v>108</v>
      </c>
      <c r="V1359">
        <v>44</v>
      </c>
      <c r="W1359" t="str">
        <f>HYPERLINK("Gene4084-zp_tree_all.dnd", "Gene4084-tree")</f>
        <v>Gene4084-tree</v>
      </c>
      <c r="X1359">
        <v>11</v>
      </c>
      <c r="Y1359">
        <v>3</v>
      </c>
      <c r="Z1359">
        <v>11</v>
      </c>
      <c r="AA1359">
        <v>3</v>
      </c>
      <c r="AB1359">
        <v>0.21429000000000001</v>
      </c>
      <c r="AC1359" t="s">
        <v>73</v>
      </c>
      <c r="AD1359" t="s">
        <v>324</v>
      </c>
      <c r="AE1359" t="s">
        <v>62</v>
      </c>
      <c r="AF1359" t="s">
        <v>62</v>
      </c>
      <c r="AG1359">
        <v>1</v>
      </c>
      <c r="AH1359">
        <v>3</v>
      </c>
      <c r="AI1359">
        <v>4</v>
      </c>
      <c r="AJ1359">
        <v>0.42857000000000001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3</v>
      </c>
      <c r="AT1359">
        <v>0</v>
      </c>
      <c r="AU1359">
        <v>12</v>
      </c>
      <c r="AV1359">
        <v>9</v>
      </c>
      <c r="AW1359">
        <v>32</v>
      </c>
      <c r="AX1359">
        <v>3</v>
      </c>
      <c r="AY1359">
        <v>28</v>
      </c>
      <c r="AZ1359">
        <v>4</v>
      </c>
      <c r="BA1359" t="s">
        <v>24043</v>
      </c>
      <c r="BB1359" t="s">
        <v>24044</v>
      </c>
      <c r="BC1359">
        <v>0.38100000000000001</v>
      </c>
      <c r="BD1359" t="s">
        <v>65</v>
      </c>
      <c r="BE1359">
        <v>60</v>
      </c>
      <c r="BF1359">
        <v>7</v>
      </c>
      <c r="BG1359" t="s">
        <v>24045</v>
      </c>
      <c r="BH1359" t="s">
        <v>24046</v>
      </c>
      <c r="BI1359" t="s">
        <v>24047</v>
      </c>
      <c r="BJ1359">
        <v>2.5569999999999999E-2</v>
      </c>
      <c r="BK1359">
        <v>1</v>
      </c>
      <c r="BL1359" t="s">
        <v>69</v>
      </c>
      <c r="BM1359">
        <v>0.14000000000000001</v>
      </c>
      <c r="BN1359">
        <v>0.221</v>
      </c>
    </row>
    <row r="1360" spans="2:66">
      <c r="B1360">
        <v>2387</v>
      </c>
      <c r="C1360">
        <v>180</v>
      </c>
      <c r="D1360">
        <v>0</v>
      </c>
      <c r="E1360">
        <v>5</v>
      </c>
      <c r="F1360">
        <v>6</v>
      </c>
      <c r="J1360">
        <v>0</v>
      </c>
      <c r="K1360">
        <v>2</v>
      </c>
      <c r="L1360">
        <v>2</v>
      </c>
      <c r="M1360" t="s">
        <v>25022</v>
      </c>
      <c r="N1360">
        <v>4085</v>
      </c>
      <c r="O1360" t="s">
        <v>24048</v>
      </c>
      <c r="P1360" t="s">
        <v>62</v>
      </c>
      <c r="Q1360">
        <v>4053457</v>
      </c>
      <c r="R1360">
        <v>4054281</v>
      </c>
      <c r="S1360" t="s">
        <v>6103</v>
      </c>
      <c r="T1360">
        <v>275</v>
      </c>
      <c r="U1360" t="s">
        <v>108</v>
      </c>
      <c r="V1360">
        <v>44</v>
      </c>
      <c r="W1360" t="str">
        <f>HYPERLINK("Gene4085-zp_tree_all.dnd", "Gene4085-tree")</f>
        <v>Gene4085-tree</v>
      </c>
      <c r="X1360">
        <v>6</v>
      </c>
      <c r="Y1360">
        <v>9</v>
      </c>
      <c r="Z1360">
        <v>6</v>
      </c>
      <c r="AA1360">
        <v>9</v>
      </c>
      <c r="AB1360">
        <v>0.6</v>
      </c>
      <c r="AC1360" t="s">
        <v>90</v>
      </c>
      <c r="AD1360" t="s">
        <v>135</v>
      </c>
      <c r="AE1360" t="s">
        <v>62</v>
      </c>
      <c r="AF1360" t="s">
        <v>62</v>
      </c>
      <c r="AG1360">
        <v>2</v>
      </c>
      <c r="AH1360">
        <v>4</v>
      </c>
      <c r="AI1360">
        <v>19</v>
      </c>
      <c r="AJ1360">
        <v>0.17391000000000001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2</v>
      </c>
      <c r="AQ1360">
        <v>2</v>
      </c>
      <c r="AR1360">
        <v>4</v>
      </c>
      <c r="AS1360">
        <v>18</v>
      </c>
      <c r="AT1360">
        <v>0.18182000000000001</v>
      </c>
      <c r="AU1360">
        <v>13</v>
      </c>
      <c r="AV1360">
        <v>11</v>
      </c>
      <c r="AW1360">
        <v>67</v>
      </c>
      <c r="AX1360">
        <v>18</v>
      </c>
      <c r="AY1360">
        <v>28</v>
      </c>
      <c r="AZ1360">
        <v>5</v>
      </c>
      <c r="BA1360" t="s">
        <v>24049</v>
      </c>
      <c r="BB1360" t="s">
        <v>24050</v>
      </c>
      <c r="BC1360">
        <v>0.19900000000000001</v>
      </c>
      <c r="BD1360" t="s">
        <v>65</v>
      </c>
      <c r="BE1360">
        <v>95</v>
      </c>
      <c r="BF1360">
        <v>23</v>
      </c>
      <c r="BG1360" t="s">
        <v>24051</v>
      </c>
      <c r="BH1360" t="s">
        <v>24052</v>
      </c>
      <c r="BI1360" t="s">
        <v>24053</v>
      </c>
      <c r="BJ1360">
        <v>7.2010000000000005E-2</v>
      </c>
      <c r="BK1360">
        <v>1</v>
      </c>
      <c r="BL1360" t="s">
        <v>69</v>
      </c>
      <c r="BM1360">
        <v>-1.109</v>
      </c>
      <c r="BN1360">
        <v>-2.2879999999999998</v>
      </c>
    </row>
    <row r="1361" spans="2:66">
      <c r="B1361">
        <v>2388</v>
      </c>
      <c r="C1361">
        <v>316</v>
      </c>
      <c r="D1361">
        <v>0</v>
      </c>
      <c r="E1361">
        <v>4</v>
      </c>
      <c r="F1361">
        <v>0</v>
      </c>
      <c r="J1361">
        <v>2</v>
      </c>
      <c r="K1361">
        <v>18</v>
      </c>
      <c r="L1361">
        <v>3</v>
      </c>
      <c r="M1361" t="s">
        <v>25022</v>
      </c>
      <c r="N1361">
        <v>4086</v>
      </c>
      <c r="O1361" t="s">
        <v>24054</v>
      </c>
      <c r="P1361" t="s">
        <v>62</v>
      </c>
      <c r="Q1361">
        <v>4054357</v>
      </c>
      <c r="R1361">
        <v>4055466</v>
      </c>
      <c r="S1361" t="s">
        <v>24055</v>
      </c>
      <c r="T1361">
        <v>370</v>
      </c>
      <c r="U1361" t="s">
        <v>1174</v>
      </c>
      <c r="V1361">
        <v>42</v>
      </c>
      <c r="W1361" t="str">
        <f>HYPERLINK("Gene4086-zp_tree_all.dnd", "Gene4086-tree")</f>
        <v>Gene4086-tree</v>
      </c>
      <c r="X1361">
        <v>23</v>
      </c>
      <c r="Y1361">
        <v>12</v>
      </c>
      <c r="Z1361">
        <v>4</v>
      </c>
      <c r="AA1361">
        <v>12</v>
      </c>
      <c r="AB1361">
        <v>0.75</v>
      </c>
      <c r="AC1361" t="s">
        <v>690</v>
      </c>
      <c r="AD1361" t="s">
        <v>109</v>
      </c>
      <c r="AE1361" t="s">
        <v>62</v>
      </c>
      <c r="AF1361" t="s">
        <v>62</v>
      </c>
      <c r="AG1361">
        <v>10</v>
      </c>
      <c r="AH1361">
        <v>23</v>
      </c>
      <c r="AI1361">
        <v>22</v>
      </c>
      <c r="AJ1361">
        <v>0.51110999999999995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6</v>
      </c>
      <c r="AQ1361">
        <v>4</v>
      </c>
      <c r="AR1361">
        <v>10</v>
      </c>
      <c r="AS1361">
        <v>25</v>
      </c>
      <c r="AT1361">
        <v>0.28571000000000002</v>
      </c>
      <c r="AU1361">
        <v>14</v>
      </c>
      <c r="AV1361">
        <v>12</v>
      </c>
      <c r="AW1361">
        <v>73</v>
      </c>
      <c r="AX1361">
        <v>36</v>
      </c>
      <c r="AY1361">
        <v>43</v>
      </c>
      <c r="AZ1361">
        <v>14</v>
      </c>
      <c r="BA1361" t="s">
        <v>24056</v>
      </c>
      <c r="BB1361" t="s">
        <v>24057</v>
      </c>
      <c r="BC1361">
        <v>0.55600000000000005</v>
      </c>
      <c r="BD1361" t="s">
        <v>65</v>
      </c>
      <c r="BE1361">
        <v>116</v>
      </c>
      <c r="BF1361">
        <v>50</v>
      </c>
      <c r="BG1361" t="s">
        <v>24058</v>
      </c>
      <c r="BH1361" t="s">
        <v>24059</v>
      </c>
      <c r="BI1361" t="s">
        <v>24060</v>
      </c>
      <c r="BJ1361">
        <v>0.13392000000000001</v>
      </c>
      <c r="BK1361">
        <v>1</v>
      </c>
      <c r="BL1361" t="s">
        <v>69</v>
      </c>
      <c r="BM1361">
        <v>-0.61199999999999999</v>
      </c>
      <c r="BN1361">
        <v>-1.885</v>
      </c>
    </row>
    <row r="1362" spans="2:66">
      <c r="B1362">
        <v>2390</v>
      </c>
      <c r="C1362">
        <v>104</v>
      </c>
      <c r="D1362">
        <v>0</v>
      </c>
      <c r="E1362">
        <v>3</v>
      </c>
      <c r="F1362">
        <v>0</v>
      </c>
      <c r="J1362">
        <v>0</v>
      </c>
      <c r="K1362">
        <v>54</v>
      </c>
      <c r="L1362">
        <v>4</v>
      </c>
      <c r="M1362" t="s">
        <v>25022</v>
      </c>
      <c r="N1362">
        <v>4087</v>
      </c>
      <c r="O1362" t="s">
        <v>24061</v>
      </c>
      <c r="P1362" t="s">
        <v>62</v>
      </c>
      <c r="Q1362">
        <v>4055539</v>
      </c>
      <c r="R1362">
        <v>4056873</v>
      </c>
      <c r="S1362" t="s">
        <v>24062</v>
      </c>
      <c r="T1362">
        <v>445</v>
      </c>
      <c r="U1362" t="s">
        <v>108</v>
      </c>
      <c r="V1362">
        <v>44</v>
      </c>
      <c r="W1362" t="str">
        <f>HYPERLINK("Gene4087-zp_tree_all.dnd", "Gene4087-tree")</f>
        <v>Gene4087-tree</v>
      </c>
      <c r="X1362">
        <v>3</v>
      </c>
      <c r="Y1362">
        <v>13</v>
      </c>
      <c r="Z1362">
        <v>3</v>
      </c>
      <c r="AA1362">
        <v>13</v>
      </c>
      <c r="AB1362">
        <v>0.8125</v>
      </c>
      <c r="AC1362" t="s">
        <v>324</v>
      </c>
      <c r="AD1362" t="s">
        <v>507</v>
      </c>
      <c r="AE1362" t="s">
        <v>62</v>
      </c>
      <c r="AF1362" t="s">
        <v>62</v>
      </c>
      <c r="AG1362">
        <v>22</v>
      </c>
      <c r="AH1362">
        <v>58</v>
      </c>
      <c r="AI1362">
        <v>32</v>
      </c>
      <c r="AJ1362">
        <v>0.64444000000000001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21</v>
      </c>
      <c r="AQ1362">
        <v>10</v>
      </c>
      <c r="AR1362">
        <v>31</v>
      </c>
      <c r="AS1362">
        <v>31</v>
      </c>
      <c r="AT1362">
        <v>0.5</v>
      </c>
      <c r="AU1362">
        <v>15</v>
      </c>
      <c r="AV1362">
        <v>13</v>
      </c>
      <c r="AW1362">
        <v>80</v>
      </c>
      <c r="AX1362">
        <v>57</v>
      </c>
      <c r="AY1362">
        <v>37</v>
      </c>
      <c r="AZ1362">
        <v>34</v>
      </c>
      <c r="BA1362" t="s">
        <v>24063</v>
      </c>
      <c r="BB1362" t="s">
        <v>24064</v>
      </c>
      <c r="BC1362">
        <v>0.32800000000000001</v>
      </c>
      <c r="BD1362" t="s">
        <v>65</v>
      </c>
      <c r="BE1362">
        <v>117</v>
      </c>
      <c r="BF1362">
        <v>91</v>
      </c>
      <c r="BG1362" t="s">
        <v>24065</v>
      </c>
      <c r="BH1362" t="s">
        <v>24066</v>
      </c>
      <c r="BI1362" t="s">
        <v>24067</v>
      </c>
      <c r="BJ1362">
        <v>0.25458999999999998</v>
      </c>
      <c r="BK1362">
        <v>1</v>
      </c>
      <c r="BL1362" t="s">
        <v>69</v>
      </c>
      <c r="BM1362">
        <v>-0.72899999999999998</v>
      </c>
      <c r="BN1362">
        <v>-2.222</v>
      </c>
    </row>
    <row r="1363" spans="2:66">
      <c r="B1363">
        <v>2391</v>
      </c>
      <c r="C1363">
        <v>274</v>
      </c>
      <c r="D1363">
        <v>0</v>
      </c>
      <c r="E1363">
        <v>15</v>
      </c>
      <c r="F1363">
        <v>0</v>
      </c>
      <c r="J1363">
        <v>0</v>
      </c>
      <c r="K1363">
        <v>30</v>
      </c>
      <c r="L1363">
        <v>2</v>
      </c>
      <c r="M1363" t="s">
        <v>25022</v>
      </c>
      <c r="N1363">
        <v>4088</v>
      </c>
      <c r="O1363" t="s">
        <v>24068</v>
      </c>
      <c r="P1363" t="s">
        <v>62</v>
      </c>
      <c r="Q1363">
        <v>4056873</v>
      </c>
      <c r="R1363">
        <v>4058012</v>
      </c>
      <c r="S1363" t="s">
        <v>24069</v>
      </c>
      <c r="T1363">
        <v>380</v>
      </c>
      <c r="U1363" t="s">
        <v>108</v>
      </c>
      <c r="V1363">
        <v>44</v>
      </c>
      <c r="W1363" t="str">
        <f>HYPERLINK("Gene4088-zp_tree_all.dnd", "Gene4088-tree")</f>
        <v>Gene4088-tree</v>
      </c>
      <c r="X1363">
        <v>2</v>
      </c>
      <c r="Y1363">
        <v>13</v>
      </c>
      <c r="Z1363">
        <v>2</v>
      </c>
      <c r="AA1363">
        <v>13</v>
      </c>
      <c r="AB1363">
        <v>0.86667000000000005</v>
      </c>
      <c r="AC1363" t="s">
        <v>81</v>
      </c>
      <c r="AD1363" t="s">
        <v>507</v>
      </c>
      <c r="AE1363" t="s">
        <v>62</v>
      </c>
      <c r="AF1363" t="s">
        <v>62</v>
      </c>
      <c r="AG1363">
        <v>11</v>
      </c>
      <c r="AH1363">
        <v>32</v>
      </c>
      <c r="AI1363">
        <v>9</v>
      </c>
      <c r="AJ1363">
        <v>0.78049000000000002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19</v>
      </c>
      <c r="AQ1363">
        <v>2</v>
      </c>
      <c r="AR1363">
        <v>21</v>
      </c>
      <c r="AS1363">
        <v>10</v>
      </c>
      <c r="AT1363">
        <v>0.67742000000000002</v>
      </c>
      <c r="AU1363">
        <v>15</v>
      </c>
      <c r="AV1363">
        <v>12</v>
      </c>
      <c r="AW1363">
        <v>50</v>
      </c>
      <c r="AX1363">
        <v>31</v>
      </c>
      <c r="AY1363">
        <v>35</v>
      </c>
      <c r="AZ1363">
        <v>10</v>
      </c>
      <c r="BA1363" t="s">
        <v>24070</v>
      </c>
      <c r="BB1363" t="s">
        <v>24071</v>
      </c>
      <c r="BC1363">
        <v>1.605</v>
      </c>
      <c r="BD1363" t="s">
        <v>65</v>
      </c>
      <c r="BE1363">
        <v>85</v>
      </c>
      <c r="BF1363">
        <v>41</v>
      </c>
      <c r="BG1363" t="s">
        <v>24072</v>
      </c>
      <c r="BH1363" t="s">
        <v>24073</v>
      </c>
      <c r="BI1363" t="s">
        <v>24074</v>
      </c>
      <c r="BJ1363">
        <v>0.13023000000000001</v>
      </c>
      <c r="BK1363">
        <v>1</v>
      </c>
      <c r="BL1363" t="s">
        <v>69</v>
      </c>
      <c r="BM1363">
        <v>0.42199999999999999</v>
      </c>
      <c r="BN1363">
        <v>0.216</v>
      </c>
    </row>
    <row r="1364" spans="2:66">
      <c r="B1364">
        <v>2393</v>
      </c>
      <c r="C1364">
        <v>179</v>
      </c>
      <c r="D1364">
        <v>0</v>
      </c>
      <c r="E1364">
        <v>2</v>
      </c>
      <c r="F1364">
        <v>0</v>
      </c>
      <c r="J1364">
        <v>0</v>
      </c>
      <c r="K1364">
        <v>13</v>
      </c>
      <c r="L1364">
        <v>0</v>
      </c>
      <c r="M1364" t="s">
        <v>25022</v>
      </c>
      <c r="N1364">
        <v>4089</v>
      </c>
      <c r="O1364" t="s">
        <v>24075</v>
      </c>
      <c r="P1364" t="s">
        <v>62</v>
      </c>
      <c r="Q1364">
        <v>4058032</v>
      </c>
      <c r="R1364">
        <v>4058778</v>
      </c>
      <c r="S1364" t="s">
        <v>5350</v>
      </c>
      <c r="T1364">
        <v>249</v>
      </c>
      <c r="U1364" t="s">
        <v>698</v>
      </c>
      <c r="V1364">
        <v>47</v>
      </c>
      <c r="W1364" t="str">
        <f>HYPERLINK("Gene4089-zp_tree_all.dnd", "Gene4089-tree")</f>
        <v>Gene4089-tree</v>
      </c>
      <c r="X1364">
        <v>8</v>
      </c>
      <c r="Y1364">
        <v>9</v>
      </c>
      <c r="Z1364">
        <v>8</v>
      </c>
      <c r="AA1364">
        <v>9</v>
      </c>
      <c r="AB1364">
        <v>0.52941000000000005</v>
      </c>
      <c r="AC1364" t="s">
        <v>136</v>
      </c>
      <c r="AD1364" t="s">
        <v>135</v>
      </c>
      <c r="AE1364" t="s">
        <v>62</v>
      </c>
      <c r="AF1364" t="s">
        <v>62</v>
      </c>
      <c r="AG1364">
        <v>5</v>
      </c>
      <c r="AH1364">
        <v>13</v>
      </c>
      <c r="AI1364">
        <v>10</v>
      </c>
      <c r="AJ1364">
        <v>0.56521999999999994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9</v>
      </c>
      <c r="AQ1364">
        <v>0</v>
      </c>
      <c r="AR1364">
        <v>9</v>
      </c>
      <c r="AS1364">
        <v>5</v>
      </c>
      <c r="AT1364">
        <v>0.64285999999999999</v>
      </c>
      <c r="AU1364">
        <v>16</v>
      </c>
      <c r="AV1364">
        <v>13</v>
      </c>
      <c r="AW1364">
        <v>46</v>
      </c>
      <c r="AX1364">
        <v>14</v>
      </c>
      <c r="AY1364">
        <v>40</v>
      </c>
      <c r="AZ1364">
        <v>9</v>
      </c>
      <c r="BA1364" t="s">
        <v>24076</v>
      </c>
      <c r="BB1364" t="s">
        <v>24077</v>
      </c>
      <c r="BC1364">
        <v>0.35899999999999999</v>
      </c>
      <c r="BD1364" t="s">
        <v>65</v>
      </c>
      <c r="BE1364">
        <v>86</v>
      </c>
      <c r="BF1364">
        <v>23</v>
      </c>
      <c r="BG1364" t="s">
        <v>24078</v>
      </c>
      <c r="BH1364" t="s">
        <v>24079</v>
      </c>
      <c r="BI1364" t="s">
        <v>24080</v>
      </c>
      <c r="BJ1364">
        <v>7.1139999999999995E-2</v>
      </c>
      <c r="BK1364">
        <v>1</v>
      </c>
      <c r="BL1364" t="s">
        <v>69</v>
      </c>
      <c r="BM1364">
        <v>-1.2250000000000001</v>
      </c>
      <c r="BN1364">
        <v>-0.93899999999999995</v>
      </c>
    </row>
    <row r="1365" spans="2:66">
      <c r="B1365">
        <v>2394</v>
      </c>
      <c r="C1365">
        <v>199</v>
      </c>
      <c r="D1365">
        <v>0</v>
      </c>
      <c r="E1365">
        <v>2</v>
      </c>
      <c r="F1365">
        <v>0</v>
      </c>
      <c r="J1365">
        <v>0</v>
      </c>
      <c r="K1365">
        <v>13</v>
      </c>
      <c r="L1365">
        <v>0</v>
      </c>
      <c r="M1365" t="s">
        <v>25022</v>
      </c>
      <c r="N1365">
        <v>4090</v>
      </c>
      <c r="O1365" t="s">
        <v>24081</v>
      </c>
      <c r="P1365" t="s">
        <v>62</v>
      </c>
      <c r="Q1365">
        <v>4058794</v>
      </c>
      <c r="R1365">
        <v>4059465</v>
      </c>
      <c r="S1365" t="s">
        <v>5916</v>
      </c>
      <c r="T1365">
        <v>224</v>
      </c>
      <c r="U1365" t="s">
        <v>572</v>
      </c>
      <c r="V1365">
        <v>48</v>
      </c>
      <c r="W1365" t="str">
        <f>HYPERLINK("Gene4090-zp_tree_all.dnd", "Gene4090-tree")</f>
        <v>Gene4090-tree</v>
      </c>
      <c r="X1365">
        <v>12</v>
      </c>
      <c r="Y1365">
        <v>6</v>
      </c>
      <c r="Z1365">
        <v>12</v>
      </c>
      <c r="AA1365">
        <v>6</v>
      </c>
      <c r="AB1365">
        <v>0.33333000000000002</v>
      </c>
      <c r="AC1365" t="s">
        <v>109</v>
      </c>
      <c r="AD1365" t="s">
        <v>90</v>
      </c>
      <c r="AE1365" t="s">
        <v>62</v>
      </c>
      <c r="AF1365" t="s">
        <v>62</v>
      </c>
      <c r="AG1365">
        <v>5</v>
      </c>
      <c r="AH1365">
        <v>13</v>
      </c>
      <c r="AI1365">
        <v>5</v>
      </c>
      <c r="AJ1365">
        <v>0.72221999999999997</v>
      </c>
      <c r="AK1365">
        <v>0</v>
      </c>
      <c r="AL1365">
        <v>0</v>
      </c>
      <c r="AM1365">
        <v>0</v>
      </c>
      <c r="AN1365">
        <v>2</v>
      </c>
      <c r="AO1365">
        <v>0</v>
      </c>
      <c r="AP1365">
        <v>3</v>
      </c>
      <c r="AQ1365">
        <v>0</v>
      </c>
      <c r="AR1365">
        <v>3</v>
      </c>
      <c r="AS1365">
        <v>4</v>
      </c>
      <c r="AT1365">
        <v>0.42857000000000001</v>
      </c>
      <c r="AU1365">
        <v>16</v>
      </c>
      <c r="AV1365">
        <v>15</v>
      </c>
      <c r="AW1365">
        <v>52</v>
      </c>
      <c r="AX1365">
        <v>7</v>
      </c>
      <c r="AY1365">
        <v>52</v>
      </c>
      <c r="AZ1365">
        <v>11</v>
      </c>
      <c r="BA1365" t="s">
        <v>24082</v>
      </c>
      <c r="BB1365" t="s">
        <v>24083</v>
      </c>
      <c r="BC1365">
        <v>0.43</v>
      </c>
      <c r="BD1365" t="s">
        <v>65</v>
      </c>
      <c r="BE1365">
        <v>104</v>
      </c>
      <c r="BF1365">
        <v>18</v>
      </c>
      <c r="BG1365" t="s">
        <v>24084</v>
      </c>
      <c r="BH1365" t="s">
        <v>24085</v>
      </c>
      <c r="BI1365" t="s">
        <v>24086</v>
      </c>
      <c r="BJ1365">
        <v>4.8779999999999997E-2</v>
      </c>
      <c r="BK1365">
        <v>1</v>
      </c>
      <c r="BL1365" t="s">
        <v>69</v>
      </c>
      <c r="BM1365">
        <v>-0.93100000000000005</v>
      </c>
      <c r="BN1365">
        <v>-1.036</v>
      </c>
    </row>
    <row r="1366" spans="2:66">
      <c r="B1366">
        <v>2395</v>
      </c>
      <c r="C1366">
        <v>101</v>
      </c>
      <c r="D1366">
        <v>0</v>
      </c>
      <c r="E1366">
        <v>0</v>
      </c>
      <c r="F1366">
        <v>2</v>
      </c>
      <c r="J1366">
        <v>0</v>
      </c>
      <c r="K1366">
        <v>0</v>
      </c>
      <c r="L1366">
        <v>0</v>
      </c>
      <c r="M1366" t="s">
        <v>25022</v>
      </c>
      <c r="N1366">
        <v>4091</v>
      </c>
      <c r="O1366" t="s">
        <v>24087</v>
      </c>
      <c r="P1366" t="s">
        <v>62</v>
      </c>
      <c r="Q1366">
        <v>4059491</v>
      </c>
      <c r="R1366">
        <v>4060282</v>
      </c>
      <c r="S1366" t="s">
        <v>5930</v>
      </c>
      <c r="T1366">
        <v>264</v>
      </c>
      <c r="U1366" t="s">
        <v>108</v>
      </c>
      <c r="V1366">
        <v>44</v>
      </c>
      <c r="W1366" t="str">
        <f>HYPERLINK("Gene4091-zp_tree_all.dnd", "Gene4091-tree")</f>
        <v>Gene4091-tree</v>
      </c>
      <c r="X1366">
        <v>12</v>
      </c>
      <c r="Y1366">
        <v>2</v>
      </c>
      <c r="Z1366">
        <v>12</v>
      </c>
      <c r="AA1366">
        <v>2</v>
      </c>
      <c r="AB1366">
        <v>0.14285999999999999</v>
      </c>
      <c r="AC1366" t="s">
        <v>109</v>
      </c>
      <c r="AD1366" t="s">
        <v>81</v>
      </c>
      <c r="AE1366" t="s">
        <v>62</v>
      </c>
      <c r="AF1366" t="s">
        <v>62</v>
      </c>
      <c r="AG1366">
        <v>0</v>
      </c>
      <c r="AH1366">
        <v>0</v>
      </c>
      <c r="AI1366">
        <v>3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2</v>
      </c>
      <c r="AT1366">
        <v>0</v>
      </c>
      <c r="AU1366">
        <v>11</v>
      </c>
      <c r="AV1366">
        <v>9</v>
      </c>
      <c r="AW1366">
        <v>33</v>
      </c>
      <c r="AX1366">
        <v>2</v>
      </c>
      <c r="AY1366">
        <v>29</v>
      </c>
      <c r="AZ1366">
        <v>1</v>
      </c>
      <c r="BA1366" t="s">
        <v>24088</v>
      </c>
      <c r="BB1366" t="s">
        <v>24089</v>
      </c>
      <c r="BC1366">
        <v>0.17799999999999999</v>
      </c>
      <c r="BD1366" t="s">
        <v>65</v>
      </c>
      <c r="BE1366">
        <v>62</v>
      </c>
      <c r="BF1366">
        <v>3</v>
      </c>
      <c r="BG1366" t="s">
        <v>24090</v>
      </c>
      <c r="BH1366" t="s">
        <v>24091</v>
      </c>
      <c r="BI1366" t="s">
        <v>24092</v>
      </c>
      <c r="BJ1366">
        <v>1.298E-2</v>
      </c>
      <c r="BK1366">
        <v>1</v>
      </c>
      <c r="BL1366" t="s">
        <v>69</v>
      </c>
      <c r="BM1366">
        <v>-1.0029999999999999</v>
      </c>
      <c r="BN1366">
        <v>-1.8839999999999999</v>
      </c>
    </row>
    <row r="1367" spans="2:66">
      <c r="B1367">
        <v>2399</v>
      </c>
      <c r="C1367">
        <v>271</v>
      </c>
      <c r="D1367">
        <v>0</v>
      </c>
      <c r="E1367">
        <v>6</v>
      </c>
      <c r="F1367">
        <v>0</v>
      </c>
      <c r="J1367">
        <v>0</v>
      </c>
      <c r="K1367">
        <v>2</v>
      </c>
      <c r="L1367">
        <v>0</v>
      </c>
      <c r="M1367" t="s">
        <v>25022</v>
      </c>
      <c r="N1367">
        <v>4092</v>
      </c>
      <c r="O1367" t="s">
        <v>24093</v>
      </c>
      <c r="P1367" t="s">
        <v>62</v>
      </c>
      <c r="Q1367">
        <v>4060310</v>
      </c>
      <c r="R1367">
        <v>4060804</v>
      </c>
      <c r="S1367" t="s">
        <v>24094</v>
      </c>
      <c r="T1367">
        <v>165</v>
      </c>
      <c r="U1367" t="s">
        <v>108</v>
      </c>
      <c r="V1367">
        <v>44</v>
      </c>
      <c r="W1367" t="str">
        <f>HYPERLINK("Gene4092-zp_tree_all.dnd", "Gene4092-tree")</f>
        <v>Gene4092-tree</v>
      </c>
      <c r="X1367">
        <v>12</v>
      </c>
      <c r="Y1367">
        <v>1</v>
      </c>
      <c r="Z1367">
        <v>12</v>
      </c>
      <c r="AA1367">
        <v>1</v>
      </c>
      <c r="AB1367">
        <v>7.6920000000000002E-2</v>
      </c>
      <c r="AC1367" t="s">
        <v>109</v>
      </c>
      <c r="AD1367" t="s">
        <v>175</v>
      </c>
      <c r="AE1367" t="s">
        <v>62</v>
      </c>
      <c r="AF1367" t="s">
        <v>62</v>
      </c>
      <c r="AG1367">
        <v>1</v>
      </c>
      <c r="AH1367">
        <v>2</v>
      </c>
      <c r="AI1367">
        <v>4</v>
      </c>
      <c r="AJ1367">
        <v>0.33333000000000002</v>
      </c>
      <c r="AK1367">
        <v>2</v>
      </c>
      <c r="AL1367">
        <v>0</v>
      </c>
      <c r="AM1367">
        <v>2</v>
      </c>
      <c r="AN1367">
        <v>3</v>
      </c>
      <c r="AO1367">
        <v>0.4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7</v>
      </c>
      <c r="AV1367">
        <v>7</v>
      </c>
      <c r="AW1367">
        <v>18</v>
      </c>
      <c r="AX1367">
        <v>0</v>
      </c>
      <c r="AY1367">
        <v>17</v>
      </c>
      <c r="AZ1367">
        <v>6</v>
      </c>
      <c r="BA1367" t="s">
        <v>193</v>
      </c>
      <c r="BB1367" t="s">
        <v>24095</v>
      </c>
      <c r="BC1367">
        <v>1.788</v>
      </c>
      <c r="BD1367" t="s">
        <v>65</v>
      </c>
      <c r="BE1367">
        <v>35</v>
      </c>
      <c r="BF1367">
        <v>6</v>
      </c>
      <c r="BG1367" t="s">
        <v>24096</v>
      </c>
      <c r="BH1367" t="s">
        <v>24097</v>
      </c>
      <c r="BI1367" t="s">
        <v>24098</v>
      </c>
      <c r="BJ1367">
        <v>8.0390000000000003E-2</v>
      </c>
      <c r="BK1367">
        <v>1</v>
      </c>
      <c r="BL1367" t="s">
        <v>69</v>
      </c>
      <c r="BM1367">
        <v>0.53600000000000003</v>
      </c>
      <c r="BN1367">
        <v>-0.24099999999999999</v>
      </c>
    </row>
    <row r="1368" spans="2:66">
      <c r="B1368">
        <v>2402</v>
      </c>
      <c r="C1368">
        <v>244</v>
      </c>
      <c r="D1368">
        <v>0</v>
      </c>
      <c r="E1368">
        <v>2</v>
      </c>
      <c r="F1368">
        <v>0</v>
      </c>
      <c r="J1368">
        <v>0</v>
      </c>
      <c r="K1368">
        <v>10</v>
      </c>
      <c r="L1368">
        <v>0</v>
      </c>
      <c r="M1368" t="s">
        <v>25022</v>
      </c>
      <c r="N1368">
        <v>4093</v>
      </c>
      <c r="O1368" t="s">
        <v>24099</v>
      </c>
      <c r="P1368" t="s">
        <v>62</v>
      </c>
      <c r="Q1368">
        <v>4060821</v>
      </c>
      <c r="R1368">
        <v>4062143</v>
      </c>
      <c r="S1368" t="s">
        <v>23172</v>
      </c>
      <c r="T1368">
        <v>441</v>
      </c>
      <c r="U1368" t="s">
        <v>108</v>
      </c>
      <c r="V1368">
        <v>44</v>
      </c>
      <c r="W1368" t="str">
        <f>HYPERLINK("Gene4093-zp_tree_all.dnd", "Gene4093-tree")</f>
        <v>Gene4093-tree</v>
      </c>
      <c r="X1368">
        <v>8</v>
      </c>
      <c r="Y1368">
        <v>26</v>
      </c>
      <c r="Z1368">
        <v>8</v>
      </c>
      <c r="AA1368">
        <v>7</v>
      </c>
      <c r="AB1368">
        <v>0.46666999999999997</v>
      </c>
      <c r="AC1368" t="s">
        <v>136</v>
      </c>
      <c r="AD1368" t="s">
        <v>191</v>
      </c>
      <c r="AE1368">
        <v>3.9380000000000002</v>
      </c>
      <c r="AF1368" t="s">
        <v>65</v>
      </c>
      <c r="AG1368">
        <v>4</v>
      </c>
      <c r="AH1368">
        <v>10</v>
      </c>
      <c r="AI1368">
        <v>11</v>
      </c>
      <c r="AJ1368">
        <v>0.47619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2</v>
      </c>
      <c r="AQ1368">
        <v>2</v>
      </c>
      <c r="AR1368">
        <v>4</v>
      </c>
      <c r="AS1368">
        <v>13</v>
      </c>
      <c r="AT1368">
        <v>0.23529</v>
      </c>
      <c r="AU1368">
        <v>14</v>
      </c>
      <c r="AV1368">
        <v>12</v>
      </c>
      <c r="AW1368">
        <v>80</v>
      </c>
      <c r="AX1368">
        <v>16</v>
      </c>
      <c r="AY1368">
        <v>44</v>
      </c>
      <c r="AZ1368">
        <v>5</v>
      </c>
      <c r="BA1368" t="s">
        <v>24100</v>
      </c>
      <c r="BB1368" t="s">
        <v>24101</v>
      </c>
      <c r="BC1368">
        <v>0.625</v>
      </c>
      <c r="BD1368" t="s">
        <v>65</v>
      </c>
      <c r="BE1368">
        <v>124</v>
      </c>
      <c r="BF1368">
        <v>21</v>
      </c>
      <c r="BG1368" t="s">
        <v>24102</v>
      </c>
      <c r="BH1368" t="s">
        <v>24103</v>
      </c>
      <c r="BI1368" t="s">
        <v>24104</v>
      </c>
      <c r="BJ1368">
        <v>5.176E-2</v>
      </c>
      <c r="BK1368">
        <v>1</v>
      </c>
      <c r="BL1368" t="s">
        <v>69</v>
      </c>
      <c r="BM1368">
        <v>-0.61899999999999999</v>
      </c>
      <c r="BN1368">
        <v>-2.0659999999999998</v>
      </c>
    </row>
    <row r="1369" spans="2:66">
      <c r="B1369">
        <v>2403</v>
      </c>
      <c r="C1369">
        <v>133</v>
      </c>
      <c r="D1369">
        <v>0</v>
      </c>
      <c r="E1369">
        <v>9</v>
      </c>
      <c r="F1369">
        <v>0</v>
      </c>
      <c r="J1369">
        <v>0</v>
      </c>
      <c r="K1369">
        <v>0</v>
      </c>
      <c r="L1369">
        <v>0</v>
      </c>
      <c r="M1369" t="s">
        <v>25022</v>
      </c>
      <c r="N1369">
        <v>4094</v>
      </c>
      <c r="O1369" t="s">
        <v>24105</v>
      </c>
      <c r="P1369" t="s">
        <v>62</v>
      </c>
      <c r="Q1369">
        <v>4062332</v>
      </c>
      <c r="R1369">
        <v>4062556</v>
      </c>
      <c r="S1369" t="s">
        <v>2302</v>
      </c>
      <c r="T1369">
        <v>75</v>
      </c>
      <c r="U1369" t="s">
        <v>11352</v>
      </c>
      <c r="V1369">
        <v>24</v>
      </c>
      <c r="W1369" t="str">
        <f>HYPERLINK("Gene4094-zp_tree_all.dnd", "Gene4094-tree")</f>
        <v>Gene4094-tree</v>
      </c>
      <c r="X1369">
        <v>0</v>
      </c>
      <c r="Y1369">
        <v>4</v>
      </c>
      <c r="Z1369">
        <v>0</v>
      </c>
      <c r="AA1369">
        <v>4</v>
      </c>
      <c r="AB1369">
        <v>1</v>
      </c>
      <c r="AC1369" t="s">
        <v>62</v>
      </c>
      <c r="AD1369" t="s">
        <v>61</v>
      </c>
      <c r="AE1369" t="s">
        <v>62</v>
      </c>
      <c r="AF1369" t="s">
        <v>62</v>
      </c>
      <c r="AG1369">
        <v>0</v>
      </c>
      <c r="AH1369">
        <v>0</v>
      </c>
      <c r="AI1369">
        <v>4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4</v>
      </c>
      <c r="AT1369">
        <v>0</v>
      </c>
      <c r="AU1369">
        <v>2</v>
      </c>
      <c r="AV1369">
        <v>1</v>
      </c>
      <c r="AW1369">
        <v>1</v>
      </c>
      <c r="AX1369">
        <v>2</v>
      </c>
      <c r="AY1369">
        <v>0</v>
      </c>
      <c r="AZ1369">
        <v>2</v>
      </c>
      <c r="BA1369" t="s">
        <v>24106</v>
      </c>
      <c r="BB1369" t="s">
        <v>193</v>
      </c>
      <c r="BC1369">
        <v>1.4139999999999999</v>
      </c>
      <c r="BD1369" t="s">
        <v>65</v>
      </c>
      <c r="BE1369">
        <v>1</v>
      </c>
      <c r="BF1369">
        <v>4</v>
      </c>
      <c r="BG1369" t="s">
        <v>24107</v>
      </c>
      <c r="BH1369" t="s">
        <v>24108</v>
      </c>
      <c r="BI1369" t="s">
        <v>24109</v>
      </c>
      <c r="BJ1369">
        <v>1.3184</v>
      </c>
      <c r="BK1369">
        <v>0.123</v>
      </c>
      <c r="BL1369" t="s">
        <v>635</v>
      </c>
      <c r="BM1369">
        <v>-0.31</v>
      </c>
      <c r="BN1369">
        <v>1.1659999999999999</v>
      </c>
    </row>
    <row r="1370" spans="2:66">
      <c r="B1370">
        <v>2404</v>
      </c>
      <c r="C1370">
        <v>290</v>
      </c>
      <c r="D1370">
        <v>0</v>
      </c>
      <c r="E1370">
        <v>13</v>
      </c>
      <c r="F1370">
        <v>3</v>
      </c>
      <c r="J1370">
        <v>0</v>
      </c>
      <c r="K1370">
        <v>28</v>
      </c>
      <c r="L1370">
        <v>2</v>
      </c>
      <c r="M1370" t="s">
        <v>25022</v>
      </c>
      <c r="N1370">
        <v>4095</v>
      </c>
      <c r="O1370" t="s">
        <v>24110</v>
      </c>
      <c r="P1370" t="s">
        <v>62</v>
      </c>
      <c r="Q1370">
        <v>4062546</v>
      </c>
      <c r="R1370">
        <v>4063529</v>
      </c>
      <c r="S1370" t="s">
        <v>24111</v>
      </c>
      <c r="T1370">
        <v>328</v>
      </c>
      <c r="U1370" t="s">
        <v>108</v>
      </c>
      <c r="V1370">
        <v>44</v>
      </c>
      <c r="W1370" t="str">
        <f>HYPERLINK("Gene4095-zp_tree_all.dnd", "Gene4095-tree")</f>
        <v>Gene4095-tree</v>
      </c>
      <c r="X1370">
        <v>2</v>
      </c>
      <c r="Y1370">
        <v>32</v>
      </c>
      <c r="Z1370">
        <v>2</v>
      </c>
      <c r="AA1370">
        <v>13</v>
      </c>
      <c r="AB1370">
        <v>0.86667000000000005</v>
      </c>
      <c r="AC1370" t="s">
        <v>81</v>
      </c>
      <c r="AD1370" t="s">
        <v>10857</v>
      </c>
      <c r="AE1370">
        <v>0.96099999999999997</v>
      </c>
      <c r="AF1370" t="s">
        <v>65</v>
      </c>
      <c r="AG1370">
        <v>11</v>
      </c>
      <c r="AH1370">
        <v>30</v>
      </c>
      <c r="AI1370">
        <v>15</v>
      </c>
      <c r="AJ1370">
        <v>0.66666999999999998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11</v>
      </c>
      <c r="AQ1370">
        <v>2</v>
      </c>
      <c r="AR1370">
        <v>13</v>
      </c>
      <c r="AS1370">
        <v>20</v>
      </c>
      <c r="AT1370">
        <v>0.39394000000000001</v>
      </c>
      <c r="AU1370">
        <v>13</v>
      </c>
      <c r="AV1370">
        <v>12</v>
      </c>
      <c r="AW1370">
        <v>43</v>
      </c>
      <c r="AX1370">
        <v>26</v>
      </c>
      <c r="AY1370">
        <v>51</v>
      </c>
      <c r="AZ1370">
        <v>22</v>
      </c>
      <c r="BA1370" t="s">
        <v>24112</v>
      </c>
      <c r="BB1370" t="s">
        <v>24113</v>
      </c>
      <c r="BC1370">
        <v>0.51800000000000002</v>
      </c>
      <c r="BD1370" t="s">
        <v>65</v>
      </c>
      <c r="BE1370">
        <v>94</v>
      </c>
      <c r="BF1370">
        <v>48</v>
      </c>
      <c r="BG1370" t="s">
        <v>24114</v>
      </c>
      <c r="BH1370" t="s">
        <v>24115</v>
      </c>
      <c r="BI1370" t="s">
        <v>24116</v>
      </c>
      <c r="BJ1370">
        <v>0.13289999999999999</v>
      </c>
      <c r="BK1370">
        <v>1</v>
      </c>
      <c r="BL1370" t="s">
        <v>69</v>
      </c>
      <c r="BM1370">
        <v>0.40300000000000002</v>
      </c>
      <c r="BN1370">
        <v>0.14899999999999999</v>
      </c>
    </row>
    <row r="1371" spans="2:66">
      <c r="B1371">
        <v>2406</v>
      </c>
      <c r="C1371">
        <v>581</v>
      </c>
      <c r="D1371">
        <v>0</v>
      </c>
      <c r="E1371">
        <v>4</v>
      </c>
      <c r="F1371">
        <v>2</v>
      </c>
      <c r="J1371">
        <v>0</v>
      </c>
      <c r="K1371">
        <v>10</v>
      </c>
      <c r="L1371">
        <v>0</v>
      </c>
      <c r="M1371" t="s">
        <v>25022</v>
      </c>
      <c r="N1371">
        <v>4096</v>
      </c>
      <c r="O1371" t="s">
        <v>24117</v>
      </c>
      <c r="P1371" t="s">
        <v>62</v>
      </c>
      <c r="Q1371">
        <v>4063687</v>
      </c>
      <c r="R1371">
        <v>4064496</v>
      </c>
      <c r="S1371" t="s">
        <v>24118</v>
      </c>
      <c r="T1371">
        <v>270</v>
      </c>
      <c r="U1371" t="s">
        <v>698</v>
      </c>
      <c r="V1371">
        <v>47</v>
      </c>
      <c r="W1371" t="str">
        <f>HYPERLINK("Gene4096-zp_tree_all.dnd", "Gene4096-tree")</f>
        <v>Gene4096-tree</v>
      </c>
      <c r="X1371">
        <v>10</v>
      </c>
      <c r="Y1371">
        <v>8</v>
      </c>
      <c r="Z1371">
        <v>10</v>
      </c>
      <c r="AA1371">
        <v>8</v>
      </c>
      <c r="AB1371">
        <v>0.44444</v>
      </c>
      <c r="AC1371" t="s">
        <v>117</v>
      </c>
      <c r="AD1371" t="s">
        <v>136</v>
      </c>
      <c r="AE1371" t="s">
        <v>62</v>
      </c>
      <c r="AF1371" t="s">
        <v>62</v>
      </c>
      <c r="AG1371">
        <v>5</v>
      </c>
      <c r="AH1371">
        <v>10</v>
      </c>
      <c r="AI1371">
        <v>12</v>
      </c>
      <c r="AJ1371">
        <v>0.45455000000000001</v>
      </c>
      <c r="AK1371">
        <v>0</v>
      </c>
      <c r="AL1371">
        <v>0</v>
      </c>
      <c r="AM1371">
        <v>0</v>
      </c>
      <c r="AN1371">
        <v>3</v>
      </c>
      <c r="AO1371">
        <v>0</v>
      </c>
      <c r="AP1371">
        <v>0</v>
      </c>
      <c r="AQ1371">
        <v>0</v>
      </c>
      <c r="AR1371">
        <v>0</v>
      </c>
      <c r="AS1371">
        <v>10</v>
      </c>
      <c r="AT1371">
        <v>0</v>
      </c>
      <c r="AU1371">
        <v>14</v>
      </c>
      <c r="AV1371">
        <v>13</v>
      </c>
      <c r="AW1371">
        <v>48</v>
      </c>
      <c r="AX1371">
        <v>9</v>
      </c>
      <c r="AY1371">
        <v>39</v>
      </c>
      <c r="AZ1371">
        <v>13</v>
      </c>
      <c r="BA1371" t="s">
        <v>24119</v>
      </c>
      <c r="BB1371" t="s">
        <v>24120</v>
      </c>
      <c r="BC1371">
        <v>0.41699999999999998</v>
      </c>
      <c r="BD1371" t="s">
        <v>65</v>
      </c>
      <c r="BE1371">
        <v>87</v>
      </c>
      <c r="BF1371">
        <v>22</v>
      </c>
      <c r="BG1371" t="s">
        <v>24121</v>
      </c>
      <c r="BH1371" t="s">
        <v>24122</v>
      </c>
      <c r="BI1371" t="s">
        <v>24123</v>
      </c>
      <c r="BJ1371">
        <v>7.6480000000000006E-2</v>
      </c>
      <c r="BK1371">
        <v>1</v>
      </c>
      <c r="BL1371" t="s">
        <v>69</v>
      </c>
      <c r="BM1371">
        <v>-1.3839999999999999</v>
      </c>
      <c r="BN1371">
        <v>-1.6950000000000001</v>
      </c>
    </row>
    <row r="1372" spans="2:66">
      <c r="B1372">
        <v>2408</v>
      </c>
      <c r="C1372">
        <v>210</v>
      </c>
      <c r="D1372">
        <v>0</v>
      </c>
      <c r="E1372">
        <v>2</v>
      </c>
      <c r="F1372">
        <v>2</v>
      </c>
      <c r="J1372">
        <v>0</v>
      </c>
      <c r="K1372">
        <v>4</v>
      </c>
      <c r="L1372">
        <v>2</v>
      </c>
      <c r="M1372" t="s">
        <v>25022</v>
      </c>
      <c r="N1372">
        <v>4097</v>
      </c>
      <c r="O1372" t="s">
        <v>24124</v>
      </c>
      <c r="P1372" t="s">
        <v>62</v>
      </c>
      <c r="Q1372">
        <v>4064539</v>
      </c>
      <c r="R1372">
        <v>4065093</v>
      </c>
      <c r="S1372" t="s">
        <v>2075</v>
      </c>
      <c r="T1372">
        <v>185</v>
      </c>
      <c r="U1372" t="s">
        <v>108</v>
      </c>
      <c r="V1372">
        <v>44</v>
      </c>
      <c r="W1372" t="str">
        <f>HYPERLINK("Gene4097-zp_tree_all.dnd", "Gene4097-tree")</f>
        <v>Gene4097-tree</v>
      </c>
      <c r="X1372">
        <v>7</v>
      </c>
      <c r="Y1372">
        <v>8</v>
      </c>
      <c r="Z1372">
        <v>7</v>
      </c>
      <c r="AA1372">
        <v>8</v>
      </c>
      <c r="AB1372">
        <v>0.53332999999999997</v>
      </c>
      <c r="AC1372" t="s">
        <v>152</v>
      </c>
      <c r="AD1372" t="s">
        <v>136</v>
      </c>
      <c r="AE1372" t="s">
        <v>62</v>
      </c>
      <c r="AF1372" t="s">
        <v>62</v>
      </c>
      <c r="AG1372">
        <v>3</v>
      </c>
      <c r="AH1372">
        <v>6</v>
      </c>
      <c r="AI1372">
        <v>12</v>
      </c>
      <c r="AJ1372">
        <v>0.33333000000000002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11</v>
      </c>
      <c r="AT1372">
        <v>0</v>
      </c>
      <c r="AU1372">
        <v>11</v>
      </c>
      <c r="AV1372">
        <v>10</v>
      </c>
      <c r="AW1372">
        <v>20</v>
      </c>
      <c r="AX1372">
        <v>11</v>
      </c>
      <c r="AY1372">
        <v>18</v>
      </c>
      <c r="AZ1372">
        <v>7</v>
      </c>
      <c r="BA1372" t="s">
        <v>24125</v>
      </c>
      <c r="BB1372" t="s">
        <v>24126</v>
      </c>
      <c r="BC1372">
        <v>0.47399999999999998</v>
      </c>
      <c r="BD1372" t="s">
        <v>65</v>
      </c>
      <c r="BE1372">
        <v>38</v>
      </c>
      <c r="BF1372">
        <v>18</v>
      </c>
      <c r="BG1372" t="s">
        <v>24127</v>
      </c>
      <c r="BH1372" t="s">
        <v>24128</v>
      </c>
      <c r="BI1372" t="s">
        <v>24129</v>
      </c>
      <c r="BJ1372">
        <v>0.13288</v>
      </c>
      <c r="BK1372">
        <v>1</v>
      </c>
      <c r="BL1372" t="s">
        <v>69</v>
      </c>
      <c r="BM1372">
        <v>-0.86</v>
      </c>
      <c r="BN1372">
        <v>-1.484</v>
      </c>
    </row>
    <row r="1373" spans="2:66">
      <c r="B1373">
        <v>2409</v>
      </c>
      <c r="C1373">
        <v>225</v>
      </c>
      <c r="D1373">
        <v>0</v>
      </c>
      <c r="E1373">
        <v>4</v>
      </c>
      <c r="F1373">
        <v>2</v>
      </c>
      <c r="J1373">
        <v>0</v>
      </c>
      <c r="K1373">
        <v>5</v>
      </c>
      <c r="L1373">
        <v>1</v>
      </c>
      <c r="M1373" t="s">
        <v>25022</v>
      </c>
      <c r="N1373">
        <v>4098</v>
      </c>
      <c r="O1373" t="s">
        <v>24130</v>
      </c>
      <c r="P1373" t="s">
        <v>62</v>
      </c>
      <c r="Q1373">
        <v>4065077</v>
      </c>
      <c r="R1373">
        <v>4065508</v>
      </c>
      <c r="S1373" t="s">
        <v>24131</v>
      </c>
      <c r="T1373">
        <v>144</v>
      </c>
      <c r="U1373" t="s">
        <v>108</v>
      </c>
      <c r="V1373">
        <v>44</v>
      </c>
      <c r="W1373" t="str">
        <f>HYPERLINK("Gene4098-zp_tree_all.dnd", "Gene4098-tree")</f>
        <v>Gene4098-tree</v>
      </c>
      <c r="X1373">
        <v>1</v>
      </c>
      <c r="Y1373">
        <v>11</v>
      </c>
      <c r="Z1373">
        <v>1</v>
      </c>
      <c r="AA1373">
        <v>11</v>
      </c>
      <c r="AB1373">
        <v>0.91666999999999998</v>
      </c>
      <c r="AC1373" t="s">
        <v>175</v>
      </c>
      <c r="AD1373" t="s">
        <v>73</v>
      </c>
      <c r="AE1373">
        <v>1144612630.289</v>
      </c>
      <c r="AF1373" t="s">
        <v>267</v>
      </c>
      <c r="AG1373">
        <v>2</v>
      </c>
      <c r="AH1373">
        <v>6</v>
      </c>
      <c r="AI1373">
        <v>17</v>
      </c>
      <c r="AJ1373">
        <v>0.26086999999999999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5</v>
      </c>
      <c r="AQ1373">
        <v>1</v>
      </c>
      <c r="AR1373">
        <v>6</v>
      </c>
      <c r="AS1373">
        <v>16</v>
      </c>
      <c r="AT1373">
        <v>0.27272999999999997</v>
      </c>
      <c r="AU1373">
        <v>6</v>
      </c>
      <c r="AV1373">
        <v>7</v>
      </c>
      <c r="AW1373">
        <v>3</v>
      </c>
      <c r="AX1373">
        <v>11</v>
      </c>
      <c r="AY1373">
        <v>8</v>
      </c>
      <c r="AZ1373">
        <v>12</v>
      </c>
      <c r="BA1373" t="s">
        <v>24132</v>
      </c>
      <c r="BB1373" t="s">
        <v>24133</v>
      </c>
      <c r="BC1373">
        <v>0.47099999999999997</v>
      </c>
      <c r="BD1373" t="s">
        <v>65</v>
      </c>
      <c r="BE1373">
        <v>11</v>
      </c>
      <c r="BF1373">
        <v>23</v>
      </c>
      <c r="BG1373" t="s">
        <v>24134</v>
      </c>
      <c r="BH1373" t="s">
        <v>24135</v>
      </c>
      <c r="BI1373" t="s">
        <v>24136</v>
      </c>
      <c r="BJ1373">
        <v>0.44607000000000002</v>
      </c>
      <c r="BK1373">
        <v>0.9</v>
      </c>
      <c r="BL1373" t="s">
        <v>635</v>
      </c>
      <c r="BM1373">
        <v>-0.42499999999999999</v>
      </c>
      <c r="BN1373">
        <v>-0.42499999999999999</v>
      </c>
    </row>
    <row r="1374" spans="2:66">
      <c r="B1374">
        <v>2414</v>
      </c>
      <c r="C1374">
        <v>307</v>
      </c>
      <c r="D1374">
        <v>0</v>
      </c>
      <c r="E1374">
        <v>2</v>
      </c>
      <c r="F1374">
        <v>0</v>
      </c>
      <c r="J1374">
        <v>0</v>
      </c>
      <c r="K1374">
        <v>0</v>
      </c>
      <c r="L1374">
        <v>0</v>
      </c>
      <c r="M1374" t="s">
        <v>25022</v>
      </c>
      <c r="N1374">
        <v>4101</v>
      </c>
      <c r="O1374" t="s">
        <v>24149</v>
      </c>
      <c r="P1374" t="s">
        <v>62</v>
      </c>
      <c r="Q1374">
        <v>4066610</v>
      </c>
      <c r="R1374">
        <v>4067005</v>
      </c>
      <c r="S1374" t="s">
        <v>1856</v>
      </c>
      <c r="T1374">
        <v>132</v>
      </c>
      <c r="U1374" t="s">
        <v>698</v>
      </c>
      <c r="V1374">
        <v>47</v>
      </c>
      <c r="W1374" t="str">
        <f>HYPERLINK("Gene4101-zp_tree_all.dnd", "Gene4101-tree")</f>
        <v>Gene4101-tree</v>
      </c>
      <c r="X1374">
        <v>9</v>
      </c>
      <c r="Y1374">
        <v>5</v>
      </c>
      <c r="Z1374">
        <v>9</v>
      </c>
      <c r="AA1374">
        <v>5</v>
      </c>
      <c r="AB1374">
        <v>0.35714000000000001</v>
      </c>
      <c r="AC1374" t="s">
        <v>135</v>
      </c>
      <c r="AD1374" t="s">
        <v>199</v>
      </c>
      <c r="AE1374" t="s">
        <v>62</v>
      </c>
      <c r="AF1374" t="s">
        <v>62</v>
      </c>
      <c r="AG1374">
        <v>0</v>
      </c>
      <c r="AH1374">
        <v>0</v>
      </c>
      <c r="AI1374">
        <v>8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7</v>
      </c>
      <c r="AT1374">
        <v>0</v>
      </c>
      <c r="AU1374">
        <v>9</v>
      </c>
      <c r="AV1374">
        <v>8</v>
      </c>
      <c r="AW1374">
        <v>14</v>
      </c>
      <c r="AX1374">
        <v>7</v>
      </c>
      <c r="AY1374">
        <v>8</v>
      </c>
      <c r="AZ1374">
        <v>1</v>
      </c>
      <c r="BA1374" t="s">
        <v>24150</v>
      </c>
      <c r="BB1374" t="s">
        <v>24151</v>
      </c>
      <c r="BC1374">
        <v>0.53900000000000003</v>
      </c>
      <c r="BD1374" t="s">
        <v>65</v>
      </c>
      <c r="BE1374">
        <v>22</v>
      </c>
      <c r="BF1374">
        <v>8</v>
      </c>
      <c r="BG1374" t="s">
        <v>24152</v>
      </c>
      <c r="BH1374" t="s">
        <v>24153</v>
      </c>
      <c r="BI1374" t="s">
        <v>24154</v>
      </c>
      <c r="BJ1374">
        <v>8.4019999999999997E-2</v>
      </c>
      <c r="BK1374">
        <v>1</v>
      </c>
      <c r="BL1374" t="s">
        <v>69</v>
      </c>
      <c r="BM1374">
        <v>-1.7170000000000001</v>
      </c>
      <c r="BN1374">
        <v>-2.0870000000000002</v>
      </c>
    </row>
    <row r="1375" spans="2:66">
      <c r="B1375">
        <v>2417</v>
      </c>
      <c r="C1375">
        <v>55</v>
      </c>
      <c r="D1375">
        <v>0</v>
      </c>
      <c r="E1375">
        <v>2</v>
      </c>
      <c r="F1375">
        <v>0</v>
      </c>
      <c r="J1375">
        <v>0</v>
      </c>
      <c r="K1375">
        <v>5</v>
      </c>
      <c r="L1375">
        <v>0</v>
      </c>
      <c r="M1375" t="s">
        <v>25022</v>
      </c>
      <c r="N1375">
        <v>4103</v>
      </c>
      <c r="O1375" t="s">
        <v>24162</v>
      </c>
      <c r="P1375" t="s">
        <v>62</v>
      </c>
      <c r="Q1375">
        <v>4068192</v>
      </c>
      <c r="R1375">
        <v>4068536</v>
      </c>
      <c r="S1375" t="s">
        <v>116</v>
      </c>
      <c r="T1375">
        <v>115</v>
      </c>
      <c r="U1375" t="s">
        <v>24163</v>
      </c>
      <c r="V1375">
        <v>49</v>
      </c>
      <c r="W1375" t="str">
        <f>HYPERLINK("Gene4103-zp_tree_all.dnd", "Gene4103-tree")</f>
        <v>Gene4103-tree</v>
      </c>
      <c r="X1375">
        <v>7</v>
      </c>
      <c r="Y1375">
        <v>8</v>
      </c>
      <c r="Z1375">
        <v>7</v>
      </c>
      <c r="AA1375">
        <v>8</v>
      </c>
      <c r="AB1375">
        <v>0.53332999999999997</v>
      </c>
      <c r="AC1375" t="s">
        <v>152</v>
      </c>
      <c r="AD1375" t="s">
        <v>136</v>
      </c>
      <c r="AE1375" t="s">
        <v>62</v>
      </c>
      <c r="AF1375" t="s">
        <v>62</v>
      </c>
      <c r="AG1375">
        <v>2</v>
      </c>
      <c r="AH1375">
        <v>5</v>
      </c>
      <c r="AI1375">
        <v>11</v>
      </c>
      <c r="AJ1375">
        <v>0.3125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</v>
      </c>
      <c r="AQ1375">
        <v>0</v>
      </c>
      <c r="AR1375">
        <v>2</v>
      </c>
      <c r="AS1375">
        <v>10</v>
      </c>
      <c r="AT1375">
        <v>0.16667000000000001</v>
      </c>
      <c r="AU1375">
        <v>11</v>
      </c>
      <c r="AV1375">
        <v>8</v>
      </c>
      <c r="AW1375">
        <v>16</v>
      </c>
      <c r="AX1375">
        <v>11</v>
      </c>
      <c r="AY1375">
        <v>11</v>
      </c>
      <c r="AZ1375">
        <v>5</v>
      </c>
      <c r="BA1375" t="s">
        <v>24164</v>
      </c>
      <c r="BB1375" t="s">
        <v>24165</v>
      </c>
      <c r="BC1375">
        <v>0.20599999999999999</v>
      </c>
      <c r="BD1375" t="s">
        <v>65</v>
      </c>
      <c r="BE1375">
        <v>27</v>
      </c>
      <c r="BF1375">
        <v>16</v>
      </c>
      <c r="BG1375" t="s">
        <v>24166</v>
      </c>
      <c r="BH1375" t="s">
        <v>24167</v>
      </c>
      <c r="BI1375" t="s">
        <v>24168</v>
      </c>
      <c r="BJ1375">
        <v>0.14066000000000001</v>
      </c>
      <c r="BK1375">
        <v>1</v>
      </c>
      <c r="BL1375" t="s">
        <v>69</v>
      </c>
      <c r="BM1375">
        <v>-1.915</v>
      </c>
      <c r="BN1375">
        <v>-3.448</v>
      </c>
    </row>
    <row r="1376" spans="2:66">
      <c r="B1376">
        <v>2418</v>
      </c>
      <c r="C1376">
        <v>118</v>
      </c>
      <c r="D1376">
        <v>0</v>
      </c>
      <c r="E1376">
        <v>9</v>
      </c>
      <c r="F1376">
        <v>1</v>
      </c>
      <c r="J1376">
        <v>0</v>
      </c>
      <c r="K1376">
        <v>45</v>
      </c>
      <c r="L1376">
        <v>4</v>
      </c>
      <c r="M1376" t="s">
        <v>25022</v>
      </c>
      <c r="N1376">
        <v>4104</v>
      </c>
      <c r="O1376" t="s">
        <v>24169</v>
      </c>
      <c r="P1376" t="s">
        <v>62</v>
      </c>
      <c r="Q1376">
        <v>4068553</v>
      </c>
      <c r="R1376">
        <v>4070418</v>
      </c>
      <c r="S1376" t="s">
        <v>24170</v>
      </c>
      <c r="T1376">
        <v>622</v>
      </c>
      <c r="U1376" t="s">
        <v>24171</v>
      </c>
      <c r="V1376">
        <v>43</v>
      </c>
      <c r="W1376" t="str">
        <f>HYPERLINK("Gene4104-zp_tree_all.dnd", "Gene4104-tree")</f>
        <v>Gene4104-tree</v>
      </c>
      <c r="X1376">
        <v>7</v>
      </c>
      <c r="Y1376">
        <v>11</v>
      </c>
      <c r="Z1376">
        <v>7</v>
      </c>
      <c r="AA1376">
        <v>11</v>
      </c>
      <c r="AB1376">
        <v>0.61111000000000004</v>
      </c>
      <c r="AC1376" t="s">
        <v>152</v>
      </c>
      <c r="AD1376" t="s">
        <v>73</v>
      </c>
      <c r="AE1376">
        <v>65406436.016999997</v>
      </c>
      <c r="AF1376" t="s">
        <v>267</v>
      </c>
      <c r="AG1376">
        <v>18</v>
      </c>
      <c r="AH1376">
        <v>49</v>
      </c>
      <c r="AI1376">
        <v>20</v>
      </c>
      <c r="AJ1376">
        <v>0.71013999999999999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8</v>
      </c>
      <c r="AQ1376">
        <v>2</v>
      </c>
      <c r="AR1376">
        <v>10</v>
      </c>
      <c r="AS1376">
        <v>16</v>
      </c>
      <c r="AT1376">
        <v>0.38462000000000002</v>
      </c>
      <c r="AU1376">
        <v>17</v>
      </c>
      <c r="AV1376">
        <v>15</v>
      </c>
      <c r="AW1376">
        <v>130</v>
      </c>
      <c r="AX1376">
        <v>26</v>
      </c>
      <c r="AY1376">
        <v>100</v>
      </c>
      <c r="AZ1376">
        <v>48</v>
      </c>
      <c r="BA1376" t="s">
        <v>24172</v>
      </c>
      <c r="BB1376" t="s">
        <v>24173</v>
      </c>
      <c r="BC1376">
        <v>0.61799999999999999</v>
      </c>
      <c r="BD1376" t="s">
        <v>65</v>
      </c>
      <c r="BE1376">
        <v>230</v>
      </c>
      <c r="BF1376">
        <v>74</v>
      </c>
      <c r="BG1376" t="s">
        <v>24174</v>
      </c>
      <c r="BH1376" t="s">
        <v>24175</v>
      </c>
      <c r="BI1376" t="s">
        <v>24176</v>
      </c>
      <c r="BJ1376">
        <v>0.10783</v>
      </c>
      <c r="BK1376">
        <v>1</v>
      </c>
      <c r="BL1376" t="s">
        <v>69</v>
      </c>
      <c r="BM1376">
        <v>-1.294</v>
      </c>
      <c r="BN1376">
        <v>-1.714</v>
      </c>
    </row>
    <row r="1377" spans="2:66">
      <c r="B1377">
        <v>2421</v>
      </c>
      <c r="C1377">
        <v>112</v>
      </c>
      <c r="D1377">
        <v>0</v>
      </c>
      <c r="E1377">
        <v>9</v>
      </c>
      <c r="F1377">
        <v>0</v>
      </c>
      <c r="J1377">
        <v>0</v>
      </c>
      <c r="K1377">
        <v>7</v>
      </c>
      <c r="L1377">
        <v>3</v>
      </c>
      <c r="M1377" t="s">
        <v>25022</v>
      </c>
      <c r="N1377">
        <v>4105</v>
      </c>
      <c r="O1377" t="s">
        <v>24177</v>
      </c>
      <c r="P1377" t="s">
        <v>62</v>
      </c>
      <c r="Q1377">
        <v>4070396</v>
      </c>
      <c r="R1377">
        <v>4071166</v>
      </c>
      <c r="S1377" t="s">
        <v>24178</v>
      </c>
      <c r="T1377">
        <v>257</v>
      </c>
      <c r="U1377" t="s">
        <v>24179</v>
      </c>
      <c r="V1377">
        <v>44</v>
      </c>
      <c r="W1377" t="str">
        <f>HYPERLINK("Gene4105-zp_tree_all.dnd", "Gene4105-tree")</f>
        <v>Gene4105-tree</v>
      </c>
      <c r="X1377">
        <v>12</v>
      </c>
      <c r="Y1377">
        <v>7</v>
      </c>
      <c r="Z1377">
        <v>12</v>
      </c>
      <c r="AA1377">
        <v>7</v>
      </c>
      <c r="AB1377">
        <v>0.36842000000000003</v>
      </c>
      <c r="AC1377" t="s">
        <v>109</v>
      </c>
      <c r="AD1377" t="s">
        <v>152</v>
      </c>
      <c r="AE1377" t="s">
        <v>62</v>
      </c>
      <c r="AF1377" t="s">
        <v>62</v>
      </c>
      <c r="AG1377">
        <v>3</v>
      </c>
      <c r="AH1377">
        <v>10</v>
      </c>
      <c r="AI1377">
        <v>10</v>
      </c>
      <c r="AJ1377">
        <v>0.5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5</v>
      </c>
      <c r="AR1377">
        <v>5</v>
      </c>
      <c r="AS1377">
        <v>4</v>
      </c>
      <c r="AT1377">
        <v>0.55556000000000005</v>
      </c>
      <c r="AU1377">
        <v>16</v>
      </c>
      <c r="AV1377">
        <v>14</v>
      </c>
      <c r="AW1377">
        <v>39</v>
      </c>
      <c r="AX1377">
        <v>9</v>
      </c>
      <c r="AY1377">
        <v>51</v>
      </c>
      <c r="AZ1377">
        <v>11</v>
      </c>
      <c r="BA1377" t="s">
        <v>24180</v>
      </c>
      <c r="BB1377" t="s">
        <v>24181</v>
      </c>
      <c r="BC1377">
        <v>7.0000000000000007E-2</v>
      </c>
      <c r="BD1377" t="s">
        <v>65</v>
      </c>
      <c r="BE1377">
        <v>90</v>
      </c>
      <c r="BF1377">
        <v>20</v>
      </c>
      <c r="BG1377" t="s">
        <v>24182</v>
      </c>
      <c r="BH1377" t="s">
        <v>24183</v>
      </c>
      <c r="BI1377" t="s">
        <v>24184</v>
      </c>
      <c r="BJ1377">
        <v>8.3330000000000001E-2</v>
      </c>
      <c r="BK1377">
        <v>1</v>
      </c>
      <c r="BL1377" t="s">
        <v>69</v>
      </c>
      <c r="BM1377">
        <v>-0.35799999999999998</v>
      </c>
      <c r="BN1377">
        <v>-1.0760000000000001</v>
      </c>
    </row>
    <row r="1378" spans="2:66">
      <c r="B1378">
        <v>2422</v>
      </c>
      <c r="C1378">
        <v>122</v>
      </c>
      <c r="D1378">
        <v>0</v>
      </c>
      <c r="E1378">
        <v>2</v>
      </c>
      <c r="F1378">
        <v>4</v>
      </c>
      <c r="J1378">
        <v>0</v>
      </c>
      <c r="K1378">
        <v>5</v>
      </c>
      <c r="L1378">
        <v>4</v>
      </c>
      <c r="M1378" t="s">
        <v>25022</v>
      </c>
      <c r="N1378">
        <v>4106</v>
      </c>
      <c r="O1378" t="s">
        <v>24185</v>
      </c>
      <c r="P1378" t="s">
        <v>62</v>
      </c>
      <c r="Q1378">
        <v>4071313</v>
      </c>
      <c r="R1378">
        <v>4072287</v>
      </c>
      <c r="S1378" t="s">
        <v>24186</v>
      </c>
      <c r="T1378">
        <v>325</v>
      </c>
      <c r="U1378" t="s">
        <v>24187</v>
      </c>
      <c r="V1378">
        <v>48</v>
      </c>
      <c r="W1378" t="str">
        <f>HYPERLINK("Gene4106-zp_tree_all.dnd", "Gene4106-tree")</f>
        <v>Gene4106-tree</v>
      </c>
      <c r="X1378">
        <v>27</v>
      </c>
      <c r="Y1378">
        <v>10</v>
      </c>
      <c r="Z1378">
        <v>8</v>
      </c>
      <c r="AA1378">
        <v>10</v>
      </c>
      <c r="AB1378">
        <v>0.55556000000000005</v>
      </c>
      <c r="AC1378" t="s">
        <v>282</v>
      </c>
      <c r="AD1378" t="s">
        <v>117</v>
      </c>
      <c r="AE1378" t="s">
        <v>62</v>
      </c>
      <c r="AF1378" t="s">
        <v>62</v>
      </c>
      <c r="AG1378">
        <v>4</v>
      </c>
      <c r="AH1378">
        <v>9</v>
      </c>
      <c r="AI1378">
        <v>20</v>
      </c>
      <c r="AJ1378">
        <v>0.31034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4</v>
      </c>
      <c r="AR1378">
        <v>4</v>
      </c>
      <c r="AS1378">
        <v>15</v>
      </c>
      <c r="AT1378">
        <v>0.21052999999999999</v>
      </c>
      <c r="AU1378">
        <v>16</v>
      </c>
      <c r="AV1378">
        <v>11</v>
      </c>
      <c r="AW1378">
        <v>77</v>
      </c>
      <c r="AX1378">
        <v>19</v>
      </c>
      <c r="AY1378">
        <v>34</v>
      </c>
      <c r="AZ1378">
        <v>10</v>
      </c>
      <c r="BA1378" t="s">
        <v>24188</v>
      </c>
      <c r="BB1378" t="s">
        <v>24189</v>
      </c>
      <c r="BC1378">
        <v>0.215</v>
      </c>
      <c r="BD1378" t="s">
        <v>65</v>
      </c>
      <c r="BE1378">
        <v>111</v>
      </c>
      <c r="BF1378">
        <v>29</v>
      </c>
      <c r="BG1378" t="s">
        <v>24190</v>
      </c>
      <c r="BH1378" t="s">
        <v>24191</v>
      </c>
      <c r="BI1378" t="s">
        <v>24192</v>
      </c>
      <c r="BJ1378">
        <v>8.1360000000000002E-2</v>
      </c>
      <c r="BK1378">
        <v>1</v>
      </c>
      <c r="BL1378" t="s">
        <v>69</v>
      </c>
      <c r="BM1378">
        <v>-1.6120000000000001</v>
      </c>
      <c r="BN1378">
        <v>-3.0129999999999999</v>
      </c>
    </row>
    <row r="1379" spans="2:66">
      <c r="B1379">
        <v>2423</v>
      </c>
      <c r="C1379">
        <v>132</v>
      </c>
      <c r="D1379">
        <v>0</v>
      </c>
      <c r="E1379">
        <v>6</v>
      </c>
      <c r="F1379">
        <v>0</v>
      </c>
      <c r="J1379">
        <v>0</v>
      </c>
      <c r="K1379">
        <v>0</v>
      </c>
      <c r="L1379">
        <v>2</v>
      </c>
      <c r="M1379" t="s">
        <v>25022</v>
      </c>
      <c r="N1379">
        <v>4107</v>
      </c>
      <c r="O1379" t="s">
        <v>24193</v>
      </c>
      <c r="P1379" t="s">
        <v>62</v>
      </c>
      <c r="Q1379">
        <v>4072287</v>
      </c>
      <c r="R1379">
        <v>4072973</v>
      </c>
      <c r="S1379" t="s">
        <v>24194</v>
      </c>
      <c r="T1379">
        <v>229</v>
      </c>
      <c r="U1379" t="s">
        <v>24195</v>
      </c>
      <c r="V1379">
        <v>46</v>
      </c>
      <c r="W1379" t="str">
        <f>HYPERLINK("Gene4107-zp_tree_all.dnd", "Gene4107-tree")</f>
        <v>Gene4107-tree</v>
      </c>
      <c r="X1379">
        <v>12</v>
      </c>
      <c r="Y1379">
        <v>4</v>
      </c>
      <c r="Z1379">
        <v>12</v>
      </c>
      <c r="AA1379">
        <v>4</v>
      </c>
      <c r="AB1379">
        <v>0.25</v>
      </c>
      <c r="AC1379" t="s">
        <v>109</v>
      </c>
      <c r="AD1379" t="s">
        <v>61</v>
      </c>
      <c r="AE1379" t="s">
        <v>62</v>
      </c>
      <c r="AF1379" t="s">
        <v>62</v>
      </c>
      <c r="AG1379">
        <v>1</v>
      </c>
      <c r="AH1379">
        <v>2</v>
      </c>
      <c r="AI1379">
        <v>9</v>
      </c>
      <c r="AJ1379">
        <v>0.18182000000000001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5</v>
      </c>
      <c r="AT1379">
        <v>0</v>
      </c>
      <c r="AU1379">
        <v>11</v>
      </c>
      <c r="AV1379">
        <v>8</v>
      </c>
      <c r="AW1379">
        <v>18</v>
      </c>
      <c r="AX1379">
        <v>6</v>
      </c>
      <c r="AY1379">
        <v>28</v>
      </c>
      <c r="AZ1379">
        <v>6</v>
      </c>
      <c r="BA1379" t="s">
        <v>24196</v>
      </c>
      <c r="BB1379" t="s">
        <v>24197</v>
      </c>
      <c r="BC1379">
        <v>0.27800000000000002</v>
      </c>
      <c r="BD1379" t="s">
        <v>65</v>
      </c>
      <c r="BE1379">
        <v>46</v>
      </c>
      <c r="BF1379">
        <v>12</v>
      </c>
      <c r="BG1379" t="s">
        <v>24198</v>
      </c>
      <c r="BH1379" t="s">
        <v>24199</v>
      </c>
      <c r="BI1379" t="s">
        <v>24200</v>
      </c>
      <c r="BJ1379">
        <v>6.2619999999999995E-2</v>
      </c>
      <c r="BK1379">
        <v>1</v>
      </c>
      <c r="BL1379" t="s">
        <v>69</v>
      </c>
      <c r="BM1379">
        <v>-1.6060000000000001</v>
      </c>
      <c r="BN1379">
        <v>-0.14799999999999999</v>
      </c>
    </row>
    <row r="1380" spans="2:66">
      <c r="B1380">
        <v>2424</v>
      </c>
      <c r="C1380">
        <v>28</v>
      </c>
      <c r="D1380">
        <v>0</v>
      </c>
      <c r="E1380">
        <v>2</v>
      </c>
      <c r="F1380">
        <v>3</v>
      </c>
      <c r="J1380">
        <v>0</v>
      </c>
      <c r="K1380">
        <v>4</v>
      </c>
      <c r="L1380">
        <v>2</v>
      </c>
      <c r="M1380" t="s">
        <v>25022</v>
      </c>
      <c r="N1380">
        <v>4108</v>
      </c>
      <c r="O1380" t="s">
        <v>24201</v>
      </c>
      <c r="P1380" t="s">
        <v>62</v>
      </c>
      <c r="Q1380">
        <v>4073084</v>
      </c>
      <c r="R1380">
        <v>4073953</v>
      </c>
      <c r="S1380" t="s">
        <v>24202</v>
      </c>
      <c r="T1380">
        <v>290</v>
      </c>
      <c r="U1380" t="s">
        <v>572</v>
      </c>
      <c r="V1380">
        <v>48</v>
      </c>
      <c r="W1380" t="str">
        <f>HYPERLINK("Gene4108-zp_tree_all.dnd", "Gene4108-tree")</f>
        <v>Gene4108-tree</v>
      </c>
      <c r="X1380">
        <v>9</v>
      </c>
      <c r="Y1380">
        <v>7</v>
      </c>
      <c r="Z1380">
        <v>9</v>
      </c>
      <c r="AA1380">
        <v>7</v>
      </c>
      <c r="AB1380">
        <v>0.4375</v>
      </c>
      <c r="AC1380" t="s">
        <v>135</v>
      </c>
      <c r="AD1380" t="s">
        <v>152</v>
      </c>
      <c r="AE1380" t="s">
        <v>62</v>
      </c>
      <c r="AF1380" t="s">
        <v>62</v>
      </c>
      <c r="AG1380">
        <v>3</v>
      </c>
      <c r="AH1380">
        <v>6</v>
      </c>
      <c r="AI1380">
        <v>16</v>
      </c>
      <c r="AJ1380">
        <v>0.27272999999999997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2</v>
      </c>
      <c r="AQ1380">
        <v>0</v>
      </c>
      <c r="AR1380">
        <v>2</v>
      </c>
      <c r="AS1380">
        <v>16</v>
      </c>
      <c r="AT1380">
        <v>0.11111</v>
      </c>
      <c r="AU1380">
        <v>13</v>
      </c>
      <c r="AV1380">
        <v>11</v>
      </c>
      <c r="AW1380">
        <v>50</v>
      </c>
      <c r="AX1380">
        <v>19</v>
      </c>
      <c r="AY1380">
        <v>25</v>
      </c>
      <c r="AZ1380">
        <v>4</v>
      </c>
      <c r="BA1380" t="s">
        <v>24203</v>
      </c>
      <c r="BB1380" t="s">
        <v>24204</v>
      </c>
      <c r="BC1380">
        <v>0.66100000000000003</v>
      </c>
      <c r="BD1380" t="s">
        <v>65</v>
      </c>
      <c r="BE1380">
        <v>75</v>
      </c>
      <c r="BF1380">
        <v>23</v>
      </c>
      <c r="BG1380" t="s">
        <v>24205</v>
      </c>
      <c r="BH1380" t="s">
        <v>24206</v>
      </c>
      <c r="BI1380" t="s">
        <v>24207</v>
      </c>
      <c r="BJ1380">
        <v>8.0149999999999999E-2</v>
      </c>
      <c r="BK1380">
        <v>1</v>
      </c>
      <c r="BL1380" t="s">
        <v>69</v>
      </c>
      <c r="BM1380">
        <v>-1.7</v>
      </c>
      <c r="BN1380">
        <v>-1.9059999999999999</v>
      </c>
    </row>
    <row r="1381" spans="2:66">
      <c r="B1381">
        <v>2425</v>
      </c>
      <c r="C1381">
        <v>41</v>
      </c>
      <c r="D1381">
        <v>0</v>
      </c>
      <c r="E1381">
        <v>12</v>
      </c>
      <c r="F1381">
        <v>2</v>
      </c>
      <c r="J1381">
        <v>0</v>
      </c>
      <c r="K1381">
        <v>6</v>
      </c>
      <c r="L1381">
        <v>0</v>
      </c>
      <c r="M1381" t="s">
        <v>25022</v>
      </c>
      <c r="N1381">
        <v>4109</v>
      </c>
      <c r="O1381" t="s">
        <v>24208</v>
      </c>
      <c r="P1381" t="s">
        <v>62</v>
      </c>
      <c r="Q1381">
        <v>4073977</v>
      </c>
      <c r="R1381">
        <v>4074810</v>
      </c>
      <c r="S1381" t="s">
        <v>24209</v>
      </c>
      <c r="T1381">
        <v>278</v>
      </c>
      <c r="U1381" t="s">
        <v>409</v>
      </c>
      <c r="V1381">
        <v>45</v>
      </c>
      <c r="W1381" t="str">
        <f>HYPERLINK("Gene4109-zp_tree_all.dnd", "Gene4109-tree")</f>
        <v>Gene4109-tree</v>
      </c>
      <c r="X1381">
        <v>8</v>
      </c>
      <c r="Y1381">
        <v>6</v>
      </c>
      <c r="Z1381">
        <v>8</v>
      </c>
      <c r="AA1381">
        <v>6</v>
      </c>
      <c r="AB1381">
        <v>0.42857000000000001</v>
      </c>
      <c r="AC1381" t="s">
        <v>136</v>
      </c>
      <c r="AD1381" t="s">
        <v>90</v>
      </c>
      <c r="AE1381" t="s">
        <v>62</v>
      </c>
      <c r="AF1381" t="s">
        <v>62</v>
      </c>
      <c r="AG1381">
        <v>3</v>
      </c>
      <c r="AH1381">
        <v>6</v>
      </c>
      <c r="AI1381">
        <v>5</v>
      </c>
      <c r="AJ1381">
        <v>0.54544999999999999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7</v>
      </c>
      <c r="AT1381">
        <v>0</v>
      </c>
      <c r="AU1381">
        <v>13</v>
      </c>
      <c r="AV1381">
        <v>10</v>
      </c>
      <c r="AW1381">
        <v>60</v>
      </c>
      <c r="AX1381">
        <v>6</v>
      </c>
      <c r="AY1381">
        <v>26</v>
      </c>
      <c r="AZ1381">
        <v>5</v>
      </c>
      <c r="BA1381" t="s">
        <v>24210</v>
      </c>
      <c r="BB1381" t="s">
        <v>24211</v>
      </c>
      <c r="BC1381">
        <v>0.76</v>
      </c>
      <c r="BD1381" t="s">
        <v>65</v>
      </c>
      <c r="BE1381">
        <v>86</v>
      </c>
      <c r="BF1381">
        <v>11</v>
      </c>
      <c r="BG1381" t="s">
        <v>24212</v>
      </c>
      <c r="BH1381" t="s">
        <v>24213</v>
      </c>
      <c r="BI1381" t="s">
        <v>24214</v>
      </c>
      <c r="BJ1381">
        <v>4.197E-2</v>
      </c>
      <c r="BK1381">
        <v>1</v>
      </c>
      <c r="BL1381" t="s">
        <v>69</v>
      </c>
      <c r="BM1381">
        <v>-0.64</v>
      </c>
      <c r="BN1381">
        <v>-2.5390000000000001</v>
      </c>
    </row>
    <row r="1382" spans="2:66">
      <c r="B1382">
        <v>2426</v>
      </c>
      <c r="C1382">
        <v>46</v>
      </c>
      <c r="D1382">
        <v>0</v>
      </c>
      <c r="E1382">
        <v>2</v>
      </c>
      <c r="F1382">
        <v>0</v>
      </c>
      <c r="J1382">
        <v>0</v>
      </c>
      <c r="K1382">
        <v>2</v>
      </c>
      <c r="L1382">
        <v>1</v>
      </c>
      <c r="M1382" t="s">
        <v>25022</v>
      </c>
      <c r="N1382">
        <v>4110</v>
      </c>
      <c r="O1382" t="s">
        <v>24215</v>
      </c>
      <c r="P1382" t="s">
        <v>62</v>
      </c>
      <c r="Q1382">
        <v>4074899</v>
      </c>
      <c r="R1382">
        <v>4075765</v>
      </c>
      <c r="S1382" t="s">
        <v>5379</v>
      </c>
      <c r="T1382">
        <v>289</v>
      </c>
      <c r="U1382" t="s">
        <v>572</v>
      </c>
      <c r="V1382">
        <v>48</v>
      </c>
      <c r="W1382" t="str">
        <f>HYPERLINK("Gene4110-zp_tree_all.dnd", "Gene4110-tree")</f>
        <v>Gene4110-tree</v>
      </c>
      <c r="X1382">
        <v>14</v>
      </c>
      <c r="Y1382">
        <v>4</v>
      </c>
      <c r="Z1382">
        <v>14</v>
      </c>
      <c r="AA1382">
        <v>4</v>
      </c>
      <c r="AB1382">
        <v>0.22222</v>
      </c>
      <c r="AC1382" t="s">
        <v>543</v>
      </c>
      <c r="AD1382" t="s">
        <v>61</v>
      </c>
      <c r="AE1382" t="s">
        <v>62</v>
      </c>
      <c r="AF1382" t="s">
        <v>62</v>
      </c>
      <c r="AG1382">
        <v>1</v>
      </c>
      <c r="AH1382">
        <v>3</v>
      </c>
      <c r="AI1382">
        <v>8</v>
      </c>
      <c r="AJ1382">
        <v>0.27272999999999997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6</v>
      </c>
      <c r="AT1382">
        <v>0</v>
      </c>
      <c r="AU1382">
        <v>16</v>
      </c>
      <c r="AV1382">
        <v>14</v>
      </c>
      <c r="AW1382">
        <v>70</v>
      </c>
      <c r="AX1382">
        <v>7</v>
      </c>
      <c r="AY1382">
        <v>67</v>
      </c>
      <c r="AZ1382">
        <v>5</v>
      </c>
      <c r="BA1382" t="s">
        <v>24216</v>
      </c>
      <c r="BB1382" t="s">
        <v>24217</v>
      </c>
      <c r="BC1382">
        <v>0.13700000000000001</v>
      </c>
      <c r="BD1382" t="s">
        <v>65</v>
      </c>
      <c r="BE1382">
        <v>137</v>
      </c>
      <c r="BF1382">
        <v>12</v>
      </c>
      <c r="BG1382" t="s">
        <v>24218</v>
      </c>
      <c r="BH1382" t="s">
        <v>24219</v>
      </c>
      <c r="BI1382" t="s">
        <v>24220</v>
      </c>
      <c r="BJ1382">
        <v>2.5530000000000001E-2</v>
      </c>
      <c r="BK1382">
        <v>1</v>
      </c>
      <c r="BL1382" t="s">
        <v>69</v>
      </c>
      <c r="BM1382">
        <v>-0.90500000000000003</v>
      </c>
      <c r="BN1382">
        <v>-1.7729999999999999</v>
      </c>
    </row>
    <row r="1383" spans="2:66">
      <c r="B1383">
        <v>2430</v>
      </c>
      <c r="C1383">
        <v>25</v>
      </c>
      <c r="D1383">
        <v>0</v>
      </c>
      <c r="E1383">
        <v>0</v>
      </c>
      <c r="F1383">
        <v>2</v>
      </c>
      <c r="J1383">
        <v>0</v>
      </c>
      <c r="K1383">
        <v>5</v>
      </c>
      <c r="L1383">
        <v>0</v>
      </c>
      <c r="M1383" t="s">
        <v>25022</v>
      </c>
      <c r="N1383">
        <v>4111</v>
      </c>
      <c r="O1383" t="s">
        <v>24221</v>
      </c>
      <c r="P1383" t="s">
        <v>62</v>
      </c>
      <c r="Q1383">
        <v>4075788</v>
      </c>
      <c r="R1383">
        <v>4076819</v>
      </c>
      <c r="S1383" t="s">
        <v>24222</v>
      </c>
      <c r="T1383">
        <v>344</v>
      </c>
      <c r="U1383" t="s">
        <v>108</v>
      </c>
      <c r="V1383">
        <v>44</v>
      </c>
      <c r="W1383" t="str">
        <f>HYPERLINK("Gene4111-zp_tree_all.dnd", "Gene4111-tree")</f>
        <v>Gene4111-tree</v>
      </c>
      <c r="X1383">
        <v>25</v>
      </c>
      <c r="Y1383">
        <v>7</v>
      </c>
      <c r="Z1383">
        <v>8</v>
      </c>
      <c r="AA1383">
        <v>7</v>
      </c>
      <c r="AB1383">
        <v>0.46666999999999997</v>
      </c>
      <c r="AC1383" t="s">
        <v>1667</v>
      </c>
      <c r="AD1383" t="s">
        <v>152</v>
      </c>
      <c r="AE1383" t="s">
        <v>62</v>
      </c>
      <c r="AF1383" t="s">
        <v>62</v>
      </c>
      <c r="AG1383">
        <v>1</v>
      </c>
      <c r="AH1383">
        <v>5</v>
      </c>
      <c r="AI1383">
        <v>9</v>
      </c>
      <c r="AJ1383">
        <v>0.35714000000000001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3</v>
      </c>
      <c r="AQ1383">
        <v>0</v>
      </c>
      <c r="AR1383">
        <v>3</v>
      </c>
      <c r="AS1383">
        <v>9</v>
      </c>
      <c r="AT1383">
        <v>0.25</v>
      </c>
      <c r="AU1383">
        <v>15</v>
      </c>
      <c r="AV1383">
        <v>12</v>
      </c>
      <c r="AW1383">
        <v>98</v>
      </c>
      <c r="AX1383">
        <v>12</v>
      </c>
      <c r="AY1383">
        <v>43</v>
      </c>
      <c r="AZ1383">
        <v>2</v>
      </c>
      <c r="BA1383" t="s">
        <v>24223</v>
      </c>
      <c r="BB1383" t="s">
        <v>24224</v>
      </c>
      <c r="BC1383">
        <v>0.82199999999999995</v>
      </c>
      <c r="BD1383" t="s">
        <v>65</v>
      </c>
      <c r="BE1383">
        <v>141</v>
      </c>
      <c r="BF1383">
        <v>14</v>
      </c>
      <c r="BG1383" t="s">
        <v>24225</v>
      </c>
      <c r="BH1383" t="s">
        <v>24226</v>
      </c>
      <c r="BI1383" t="s">
        <v>18623</v>
      </c>
      <c r="BJ1383">
        <v>2.3060000000000001E-2</v>
      </c>
      <c r="BK1383">
        <v>1</v>
      </c>
      <c r="BL1383" t="s">
        <v>69</v>
      </c>
      <c r="BM1383">
        <v>0.317</v>
      </c>
      <c r="BN1383">
        <v>-0.22700000000000001</v>
      </c>
    </row>
    <row r="1384" spans="2:66">
      <c r="B1384">
        <v>2434</v>
      </c>
      <c r="C1384">
        <v>17</v>
      </c>
      <c r="D1384">
        <v>0</v>
      </c>
      <c r="E1384">
        <v>2</v>
      </c>
      <c r="F1384">
        <v>0</v>
      </c>
      <c r="J1384">
        <v>0</v>
      </c>
      <c r="K1384">
        <v>6</v>
      </c>
      <c r="L1384">
        <v>0</v>
      </c>
      <c r="M1384" t="s">
        <v>25022</v>
      </c>
      <c r="N1384">
        <v>4112</v>
      </c>
      <c r="O1384" t="s">
        <v>24227</v>
      </c>
      <c r="P1384" t="s">
        <v>62</v>
      </c>
      <c r="Q1384">
        <v>4076845</v>
      </c>
      <c r="R1384">
        <v>4078158</v>
      </c>
      <c r="S1384" t="s">
        <v>24228</v>
      </c>
      <c r="T1384">
        <v>438</v>
      </c>
      <c r="U1384" t="s">
        <v>108</v>
      </c>
      <c r="V1384">
        <v>44</v>
      </c>
      <c r="W1384" t="str">
        <f>HYPERLINK("Gene4112-zp_tree_all.dnd", "Gene4112-tree")</f>
        <v>Gene4112-tree</v>
      </c>
      <c r="X1384">
        <v>8</v>
      </c>
      <c r="Y1384">
        <v>8</v>
      </c>
      <c r="Z1384">
        <v>8</v>
      </c>
      <c r="AA1384">
        <v>8</v>
      </c>
      <c r="AB1384">
        <v>0.5</v>
      </c>
      <c r="AC1384" t="s">
        <v>136</v>
      </c>
      <c r="AD1384" t="s">
        <v>136</v>
      </c>
      <c r="AE1384" t="s">
        <v>62</v>
      </c>
      <c r="AF1384" t="s">
        <v>62</v>
      </c>
      <c r="AG1384">
        <v>3</v>
      </c>
      <c r="AH1384">
        <v>6</v>
      </c>
      <c r="AI1384">
        <v>14</v>
      </c>
      <c r="AJ1384">
        <v>0.3</v>
      </c>
      <c r="AK1384">
        <v>0</v>
      </c>
      <c r="AL1384">
        <v>0</v>
      </c>
      <c r="AM1384">
        <v>0</v>
      </c>
      <c r="AN1384">
        <v>3</v>
      </c>
      <c r="AO1384">
        <v>0</v>
      </c>
      <c r="AP1384">
        <v>2</v>
      </c>
      <c r="AQ1384">
        <v>0</v>
      </c>
      <c r="AR1384">
        <v>2</v>
      </c>
      <c r="AS1384">
        <v>10</v>
      </c>
      <c r="AT1384">
        <v>0.16667000000000001</v>
      </c>
      <c r="AU1384">
        <v>14</v>
      </c>
      <c r="AV1384">
        <v>12</v>
      </c>
      <c r="AW1384">
        <v>57</v>
      </c>
      <c r="AX1384">
        <v>12</v>
      </c>
      <c r="AY1384">
        <v>26</v>
      </c>
      <c r="AZ1384">
        <v>9</v>
      </c>
      <c r="BA1384" t="s">
        <v>24229</v>
      </c>
      <c r="BB1384" t="s">
        <v>24230</v>
      </c>
      <c r="BC1384">
        <v>0.57999999999999996</v>
      </c>
      <c r="BD1384" t="s">
        <v>65</v>
      </c>
      <c r="BE1384">
        <v>83</v>
      </c>
      <c r="BF1384">
        <v>21</v>
      </c>
      <c r="BG1384" t="s">
        <v>24231</v>
      </c>
      <c r="BH1384" t="s">
        <v>24232</v>
      </c>
      <c r="BI1384" t="s">
        <v>24233</v>
      </c>
      <c r="BJ1384">
        <v>9.9479999999999999E-2</v>
      </c>
      <c r="BK1384">
        <v>1</v>
      </c>
      <c r="BL1384" t="s">
        <v>69</v>
      </c>
      <c r="BM1384">
        <v>-0.62</v>
      </c>
      <c r="BN1384">
        <v>-1.823</v>
      </c>
    </row>
    <row r="1385" spans="2:66">
      <c r="B1385">
        <v>2435</v>
      </c>
      <c r="C1385">
        <v>271</v>
      </c>
      <c r="D1385">
        <v>0</v>
      </c>
      <c r="E1385">
        <v>0</v>
      </c>
      <c r="F1385">
        <v>2</v>
      </c>
      <c r="J1385">
        <v>0</v>
      </c>
      <c r="K1385">
        <v>6</v>
      </c>
      <c r="L1385">
        <v>0</v>
      </c>
      <c r="M1385" t="s">
        <v>25022</v>
      </c>
      <c r="N1385">
        <v>4113</v>
      </c>
      <c r="O1385" t="s">
        <v>24234</v>
      </c>
      <c r="P1385" t="s">
        <v>62</v>
      </c>
      <c r="Q1385">
        <v>4078176</v>
      </c>
      <c r="R1385">
        <v>4079066</v>
      </c>
      <c r="S1385" t="s">
        <v>24235</v>
      </c>
      <c r="T1385">
        <v>297</v>
      </c>
      <c r="U1385" t="s">
        <v>108</v>
      </c>
      <c r="V1385">
        <v>44</v>
      </c>
      <c r="W1385" t="str">
        <f>HYPERLINK("Gene4113-zp_tree_all.dnd", "Gene4113-tree")</f>
        <v>Gene4113-tree</v>
      </c>
      <c r="X1385">
        <v>25</v>
      </c>
      <c r="Y1385">
        <v>10</v>
      </c>
      <c r="Z1385">
        <v>6</v>
      </c>
      <c r="AA1385">
        <v>10</v>
      </c>
      <c r="AB1385">
        <v>0.625</v>
      </c>
      <c r="AC1385" t="s">
        <v>965</v>
      </c>
      <c r="AD1385" t="s">
        <v>117</v>
      </c>
      <c r="AE1385" t="s">
        <v>62</v>
      </c>
      <c r="AF1385" t="s">
        <v>62</v>
      </c>
      <c r="AG1385">
        <v>2</v>
      </c>
      <c r="AH1385">
        <v>6</v>
      </c>
      <c r="AI1385">
        <v>12</v>
      </c>
      <c r="AJ1385">
        <v>0.33333000000000002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4</v>
      </c>
      <c r="AQ1385">
        <v>0</v>
      </c>
      <c r="AR1385">
        <v>4</v>
      </c>
      <c r="AS1385">
        <v>11</v>
      </c>
      <c r="AT1385">
        <v>0.26667000000000002</v>
      </c>
      <c r="AU1385">
        <v>12</v>
      </c>
      <c r="AV1385">
        <v>9</v>
      </c>
      <c r="AW1385">
        <v>22</v>
      </c>
      <c r="AX1385">
        <v>14</v>
      </c>
      <c r="AY1385">
        <v>8</v>
      </c>
      <c r="AZ1385">
        <v>4</v>
      </c>
      <c r="BA1385" t="s">
        <v>24236</v>
      </c>
      <c r="BB1385" t="s">
        <v>24237</v>
      </c>
      <c r="BC1385">
        <v>0.33200000000000002</v>
      </c>
      <c r="BD1385" t="s">
        <v>65</v>
      </c>
      <c r="BE1385">
        <v>30</v>
      </c>
      <c r="BF1385">
        <v>18</v>
      </c>
      <c r="BG1385" t="s">
        <v>24238</v>
      </c>
      <c r="BH1385" t="s">
        <v>24239</v>
      </c>
      <c r="BI1385" t="s">
        <v>24240</v>
      </c>
      <c r="BJ1385">
        <v>0.16033</v>
      </c>
      <c r="BK1385">
        <v>1</v>
      </c>
      <c r="BL1385" t="s">
        <v>69</v>
      </c>
      <c r="BM1385">
        <v>-1.49</v>
      </c>
      <c r="BN1385">
        <v>-2.75</v>
      </c>
    </row>
    <row r="1386" spans="2:66">
      <c r="B1386">
        <v>2436</v>
      </c>
      <c r="C1386">
        <v>439</v>
      </c>
      <c r="D1386">
        <v>0</v>
      </c>
      <c r="E1386">
        <v>3</v>
      </c>
      <c r="F1386">
        <v>0</v>
      </c>
      <c r="J1386">
        <v>0</v>
      </c>
      <c r="K1386">
        <v>8</v>
      </c>
      <c r="L1386">
        <v>0</v>
      </c>
      <c r="M1386" t="s">
        <v>25022</v>
      </c>
      <c r="N1386">
        <v>4114</v>
      </c>
      <c r="O1386" t="s">
        <v>24241</v>
      </c>
      <c r="P1386" t="s">
        <v>62</v>
      </c>
      <c r="Q1386">
        <v>4079086</v>
      </c>
      <c r="R1386">
        <v>4080996</v>
      </c>
      <c r="S1386" t="s">
        <v>24242</v>
      </c>
      <c r="T1386">
        <v>637</v>
      </c>
      <c r="U1386" t="s">
        <v>108</v>
      </c>
      <c r="V1386">
        <v>44</v>
      </c>
      <c r="W1386" t="str">
        <f>HYPERLINK("Gene4114-zp_tree_all.dnd", "Gene4114-tree")</f>
        <v>Gene4114-tree</v>
      </c>
      <c r="X1386">
        <v>12</v>
      </c>
      <c r="Y1386">
        <v>6</v>
      </c>
      <c r="Z1386">
        <v>12</v>
      </c>
      <c r="AA1386">
        <v>6</v>
      </c>
      <c r="AB1386">
        <v>0.33333000000000002</v>
      </c>
      <c r="AC1386" t="s">
        <v>109</v>
      </c>
      <c r="AD1386" t="s">
        <v>90</v>
      </c>
      <c r="AE1386" t="s">
        <v>62</v>
      </c>
      <c r="AF1386" t="s">
        <v>62</v>
      </c>
      <c r="AG1386">
        <v>2</v>
      </c>
      <c r="AH1386">
        <v>8</v>
      </c>
      <c r="AI1386">
        <v>14</v>
      </c>
      <c r="AJ1386">
        <v>0.36364000000000002</v>
      </c>
      <c r="AK1386">
        <v>0</v>
      </c>
      <c r="AL1386">
        <v>0</v>
      </c>
      <c r="AM1386">
        <v>0</v>
      </c>
      <c r="AN1386">
        <v>3</v>
      </c>
      <c r="AO1386">
        <v>0</v>
      </c>
      <c r="AP1386">
        <v>3</v>
      </c>
      <c r="AQ1386">
        <v>0</v>
      </c>
      <c r="AR1386">
        <v>3</v>
      </c>
      <c r="AS1386">
        <v>9</v>
      </c>
      <c r="AT1386">
        <v>0.25</v>
      </c>
      <c r="AU1386">
        <v>17</v>
      </c>
      <c r="AV1386">
        <v>15</v>
      </c>
      <c r="AW1386">
        <v>68</v>
      </c>
      <c r="AX1386">
        <v>12</v>
      </c>
      <c r="AY1386">
        <v>53</v>
      </c>
      <c r="AZ1386">
        <v>10</v>
      </c>
      <c r="BA1386" t="s">
        <v>24243</v>
      </c>
      <c r="BB1386" t="s">
        <v>24244</v>
      </c>
      <c r="BC1386">
        <v>7.0999999999999994E-2</v>
      </c>
      <c r="BD1386" t="s">
        <v>65</v>
      </c>
      <c r="BE1386">
        <v>121</v>
      </c>
      <c r="BF1386">
        <v>22</v>
      </c>
      <c r="BG1386" t="s">
        <v>24245</v>
      </c>
      <c r="BH1386" t="s">
        <v>24246</v>
      </c>
      <c r="BI1386" t="s">
        <v>24247</v>
      </c>
      <c r="BJ1386">
        <v>5.1270000000000003E-2</v>
      </c>
      <c r="BK1386">
        <v>1</v>
      </c>
      <c r="BL1386" t="s">
        <v>69</v>
      </c>
      <c r="BM1386">
        <v>-0.47499999999999998</v>
      </c>
      <c r="BN1386">
        <v>-0.84899999999999998</v>
      </c>
    </row>
    <row r="1387" spans="2:66">
      <c r="B1387">
        <v>2443</v>
      </c>
      <c r="C1387">
        <v>192</v>
      </c>
      <c r="D1387">
        <v>0</v>
      </c>
      <c r="E1387">
        <v>2</v>
      </c>
      <c r="F1387">
        <v>0</v>
      </c>
      <c r="J1387">
        <v>0</v>
      </c>
      <c r="K1387">
        <v>11</v>
      </c>
      <c r="L1387">
        <v>1</v>
      </c>
      <c r="M1387" t="s">
        <v>25022</v>
      </c>
      <c r="N1387">
        <v>4115</v>
      </c>
      <c r="O1387" t="s">
        <v>24248</v>
      </c>
      <c r="P1387" t="s">
        <v>62</v>
      </c>
      <c r="Q1387">
        <v>4081032</v>
      </c>
      <c r="R1387">
        <v>4082006</v>
      </c>
      <c r="S1387" t="s">
        <v>24249</v>
      </c>
      <c r="T1387">
        <v>325</v>
      </c>
      <c r="U1387" t="s">
        <v>59</v>
      </c>
      <c r="V1387">
        <v>49</v>
      </c>
      <c r="W1387" t="str">
        <f>HYPERLINK("Gene4115-zp_tree_all.dnd", "Gene4115-tree")</f>
        <v>Gene4115-tree</v>
      </c>
      <c r="X1387">
        <v>10</v>
      </c>
      <c r="Y1387">
        <v>30</v>
      </c>
      <c r="Z1387">
        <v>10</v>
      </c>
      <c r="AA1387">
        <v>11</v>
      </c>
      <c r="AB1387">
        <v>0.52381</v>
      </c>
      <c r="AC1387" t="s">
        <v>117</v>
      </c>
      <c r="AD1387" t="s">
        <v>89</v>
      </c>
      <c r="AE1387">
        <v>3.2610000000000001</v>
      </c>
      <c r="AF1387" t="s">
        <v>65</v>
      </c>
      <c r="AG1387">
        <v>5</v>
      </c>
      <c r="AH1387">
        <v>12</v>
      </c>
      <c r="AI1387">
        <v>15</v>
      </c>
      <c r="AJ1387">
        <v>0.44444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2</v>
      </c>
      <c r="AR1387">
        <v>2</v>
      </c>
      <c r="AS1387">
        <v>16</v>
      </c>
      <c r="AT1387">
        <v>0.11111</v>
      </c>
      <c r="AU1387">
        <v>17</v>
      </c>
      <c r="AV1387">
        <v>16</v>
      </c>
      <c r="AW1387">
        <v>58</v>
      </c>
      <c r="AX1387">
        <v>18</v>
      </c>
      <c r="AY1387">
        <v>73</v>
      </c>
      <c r="AZ1387">
        <v>9</v>
      </c>
      <c r="BA1387" t="s">
        <v>24250</v>
      </c>
      <c r="BB1387" t="s">
        <v>24251</v>
      </c>
      <c r="BC1387">
        <v>0.877</v>
      </c>
      <c r="BD1387" t="s">
        <v>65</v>
      </c>
      <c r="BE1387">
        <v>131</v>
      </c>
      <c r="BF1387">
        <v>27</v>
      </c>
      <c r="BG1387" t="s">
        <v>24252</v>
      </c>
      <c r="BH1387" t="s">
        <v>24253</v>
      </c>
      <c r="BI1387" t="s">
        <v>24254</v>
      </c>
      <c r="BJ1387">
        <v>5.5300000000000002E-2</v>
      </c>
      <c r="BK1387">
        <v>1</v>
      </c>
      <c r="BL1387" t="s">
        <v>69</v>
      </c>
      <c r="BM1387">
        <v>-0.68500000000000005</v>
      </c>
      <c r="BN1387">
        <v>-1.968</v>
      </c>
    </row>
    <row r="1388" spans="2:66">
      <c r="B1388">
        <v>2446</v>
      </c>
      <c r="C1388">
        <v>303</v>
      </c>
      <c r="D1388">
        <v>0</v>
      </c>
      <c r="E1388">
        <v>6</v>
      </c>
      <c r="F1388">
        <v>0</v>
      </c>
      <c r="J1388">
        <v>0</v>
      </c>
      <c r="K1388">
        <v>5</v>
      </c>
      <c r="L1388">
        <v>0</v>
      </c>
      <c r="M1388" t="s">
        <v>25022</v>
      </c>
      <c r="N1388">
        <v>4116</v>
      </c>
      <c r="O1388" t="s">
        <v>24255</v>
      </c>
      <c r="P1388" t="s">
        <v>62</v>
      </c>
      <c r="Q1388">
        <v>4082033</v>
      </c>
      <c r="R1388">
        <v>4082845</v>
      </c>
      <c r="S1388" t="s">
        <v>24256</v>
      </c>
      <c r="T1388">
        <v>271</v>
      </c>
      <c r="U1388" t="s">
        <v>108</v>
      </c>
      <c r="V1388">
        <v>44</v>
      </c>
      <c r="W1388" t="str">
        <f>HYPERLINK("Gene4116-zp_tree_all.dnd", "Gene4116-tree")</f>
        <v>Gene4116-tree</v>
      </c>
      <c r="X1388">
        <v>5</v>
      </c>
      <c r="Y1388">
        <v>8</v>
      </c>
      <c r="Z1388">
        <v>5</v>
      </c>
      <c r="AA1388">
        <v>8</v>
      </c>
      <c r="AB1388">
        <v>0.61538000000000004</v>
      </c>
      <c r="AC1388" t="s">
        <v>199</v>
      </c>
      <c r="AD1388" t="s">
        <v>136</v>
      </c>
      <c r="AE1388" t="s">
        <v>62</v>
      </c>
      <c r="AF1388" t="s">
        <v>62</v>
      </c>
      <c r="AG1388">
        <v>2</v>
      </c>
      <c r="AH1388">
        <v>5</v>
      </c>
      <c r="AI1388">
        <v>13</v>
      </c>
      <c r="AJ1388">
        <v>0.27778000000000003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13</v>
      </c>
      <c r="AT1388">
        <v>0</v>
      </c>
      <c r="AU1388">
        <v>10</v>
      </c>
      <c r="AV1388">
        <v>9</v>
      </c>
      <c r="AW1388">
        <v>35</v>
      </c>
      <c r="AX1388">
        <v>13</v>
      </c>
      <c r="AY1388">
        <v>14</v>
      </c>
      <c r="AZ1388">
        <v>5</v>
      </c>
      <c r="BA1388" t="s">
        <v>24257</v>
      </c>
      <c r="BB1388" t="s">
        <v>24258</v>
      </c>
      <c r="BC1388">
        <v>8.0000000000000002E-3</v>
      </c>
      <c r="BD1388" t="s">
        <v>65</v>
      </c>
      <c r="BE1388">
        <v>49</v>
      </c>
      <c r="BF1388">
        <v>18</v>
      </c>
      <c r="BG1388" t="s">
        <v>24259</v>
      </c>
      <c r="BH1388" t="s">
        <v>24260</v>
      </c>
      <c r="BI1388" t="s">
        <v>24261</v>
      </c>
      <c r="BJ1388">
        <v>0.1012</v>
      </c>
      <c r="BK1388">
        <v>1</v>
      </c>
      <c r="BL1388" t="s">
        <v>69</v>
      </c>
      <c r="BM1388">
        <v>-1.4019999999999999</v>
      </c>
      <c r="BN1388">
        <v>-3.1720000000000002</v>
      </c>
    </row>
    <row r="1389" spans="2:66">
      <c r="B1389">
        <v>2448</v>
      </c>
      <c r="C1389">
        <v>52</v>
      </c>
      <c r="D1389">
        <v>0</v>
      </c>
      <c r="E1389">
        <v>2</v>
      </c>
      <c r="F1389">
        <v>0</v>
      </c>
      <c r="J1389">
        <v>0</v>
      </c>
      <c r="K1389">
        <v>2</v>
      </c>
      <c r="L1389">
        <v>0</v>
      </c>
      <c r="M1389" t="s">
        <v>25022</v>
      </c>
      <c r="N1389">
        <v>4117</v>
      </c>
      <c r="O1389" t="s">
        <v>24262</v>
      </c>
      <c r="P1389" t="s">
        <v>62</v>
      </c>
      <c r="Q1389">
        <v>4082923</v>
      </c>
      <c r="R1389">
        <v>4084383</v>
      </c>
      <c r="S1389" t="s">
        <v>24263</v>
      </c>
      <c r="T1389">
        <v>487</v>
      </c>
      <c r="U1389" t="s">
        <v>108</v>
      </c>
      <c r="V1389">
        <v>44</v>
      </c>
      <c r="W1389" t="str">
        <f>HYPERLINK("Gene4117-zp_tree_all.dnd", "Gene4117-tree")</f>
        <v>Gene4117-tree</v>
      </c>
      <c r="X1389">
        <v>8</v>
      </c>
      <c r="Y1389">
        <v>7</v>
      </c>
      <c r="Z1389">
        <v>8</v>
      </c>
      <c r="AA1389">
        <v>7</v>
      </c>
      <c r="AB1389">
        <v>0.46666999999999997</v>
      </c>
      <c r="AC1389" t="s">
        <v>136</v>
      </c>
      <c r="AD1389" t="s">
        <v>152</v>
      </c>
      <c r="AE1389" t="s">
        <v>62</v>
      </c>
      <c r="AF1389" t="s">
        <v>62</v>
      </c>
      <c r="AG1389">
        <v>1</v>
      </c>
      <c r="AH1389">
        <v>2</v>
      </c>
      <c r="AI1389">
        <v>13</v>
      </c>
      <c r="AJ1389">
        <v>0.13333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2</v>
      </c>
      <c r="AQ1389">
        <v>0</v>
      </c>
      <c r="AR1389">
        <v>2</v>
      </c>
      <c r="AS1389">
        <v>10</v>
      </c>
      <c r="AT1389">
        <v>0.16667000000000001</v>
      </c>
      <c r="AU1389">
        <v>14</v>
      </c>
      <c r="AV1389">
        <v>12</v>
      </c>
      <c r="AW1389">
        <v>76</v>
      </c>
      <c r="AX1389">
        <v>12</v>
      </c>
      <c r="AY1389">
        <v>47</v>
      </c>
      <c r="AZ1389">
        <v>3</v>
      </c>
      <c r="BA1389" t="s">
        <v>24264</v>
      </c>
      <c r="BB1389" t="s">
        <v>24265</v>
      </c>
      <c r="BC1389">
        <v>0.41399999999999998</v>
      </c>
      <c r="BD1389" t="s">
        <v>65</v>
      </c>
      <c r="BE1389">
        <v>123</v>
      </c>
      <c r="BF1389">
        <v>15</v>
      </c>
      <c r="BG1389" t="s">
        <v>24266</v>
      </c>
      <c r="BH1389" t="s">
        <v>24267</v>
      </c>
      <c r="BI1389" t="s">
        <v>10305</v>
      </c>
      <c r="BJ1389">
        <v>3.857E-2</v>
      </c>
      <c r="BK1389">
        <v>1</v>
      </c>
      <c r="BL1389" t="s">
        <v>69</v>
      </c>
      <c r="BM1389">
        <v>-0.67</v>
      </c>
      <c r="BN1389">
        <v>-1.3959999999999999</v>
      </c>
    </row>
    <row r="1390" spans="2:66">
      <c r="B1390">
        <v>2452</v>
      </c>
      <c r="C1390">
        <v>103</v>
      </c>
      <c r="D1390">
        <v>0</v>
      </c>
      <c r="E1390">
        <v>2</v>
      </c>
      <c r="F1390">
        <v>0</v>
      </c>
      <c r="J1390">
        <v>0</v>
      </c>
      <c r="K1390">
        <v>5</v>
      </c>
      <c r="L1390">
        <v>0</v>
      </c>
      <c r="M1390" t="s">
        <v>25022</v>
      </c>
      <c r="N1390">
        <v>4123</v>
      </c>
      <c r="O1390" t="s">
        <v>24298</v>
      </c>
      <c r="P1390" t="s">
        <v>62</v>
      </c>
      <c r="Q1390">
        <v>4089432</v>
      </c>
      <c r="R1390">
        <v>4091309</v>
      </c>
      <c r="S1390" t="s">
        <v>24299</v>
      </c>
      <c r="T1390">
        <v>626</v>
      </c>
      <c r="U1390" t="s">
        <v>108</v>
      </c>
      <c r="V1390">
        <v>44</v>
      </c>
      <c r="W1390" t="str">
        <f>HYPERLINK("Gene4123-zp_tree_all.dnd", "Gene4123-tree")</f>
        <v>Gene4123-tree</v>
      </c>
      <c r="X1390">
        <v>9</v>
      </c>
      <c r="Y1390">
        <v>6</v>
      </c>
      <c r="Z1390">
        <v>9</v>
      </c>
      <c r="AA1390">
        <v>6</v>
      </c>
      <c r="AB1390">
        <v>0.4</v>
      </c>
      <c r="AC1390" t="s">
        <v>135</v>
      </c>
      <c r="AD1390" t="s">
        <v>90</v>
      </c>
      <c r="AE1390" t="s">
        <v>62</v>
      </c>
      <c r="AF1390" t="s">
        <v>62</v>
      </c>
      <c r="AG1390">
        <v>2</v>
      </c>
      <c r="AH1390">
        <v>5</v>
      </c>
      <c r="AI1390">
        <v>10</v>
      </c>
      <c r="AJ1390">
        <v>0.33333000000000002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2</v>
      </c>
      <c r="AQ1390">
        <v>0</v>
      </c>
      <c r="AR1390">
        <v>2</v>
      </c>
      <c r="AS1390">
        <v>9</v>
      </c>
      <c r="AT1390">
        <v>0.18182000000000001</v>
      </c>
      <c r="AU1390">
        <v>13</v>
      </c>
      <c r="AV1390">
        <v>11</v>
      </c>
      <c r="AW1390">
        <v>57</v>
      </c>
      <c r="AX1390">
        <v>11</v>
      </c>
      <c r="AY1390">
        <v>46</v>
      </c>
      <c r="AZ1390">
        <v>4</v>
      </c>
      <c r="BA1390" t="s">
        <v>24300</v>
      </c>
      <c r="BB1390" t="s">
        <v>24301</v>
      </c>
      <c r="BC1390">
        <v>0.57499999999999996</v>
      </c>
      <c r="BD1390" t="s">
        <v>65</v>
      </c>
      <c r="BE1390">
        <v>103</v>
      </c>
      <c r="BF1390">
        <v>15</v>
      </c>
      <c r="BG1390" t="s">
        <v>24302</v>
      </c>
      <c r="BH1390" t="s">
        <v>24303</v>
      </c>
      <c r="BI1390" t="s">
        <v>24304</v>
      </c>
      <c r="BJ1390">
        <v>3.7039999999999997E-2</v>
      </c>
      <c r="BK1390">
        <v>1</v>
      </c>
      <c r="BL1390" t="s">
        <v>69</v>
      </c>
      <c r="BM1390">
        <v>-0.84399999999999997</v>
      </c>
      <c r="BN1390">
        <v>-1.3129999999999999</v>
      </c>
    </row>
    <row r="1391" spans="2:66">
      <c r="B1391">
        <v>2453</v>
      </c>
      <c r="C1391">
        <v>10</v>
      </c>
      <c r="D1391">
        <v>0</v>
      </c>
      <c r="E1391">
        <v>4</v>
      </c>
      <c r="F1391">
        <v>0</v>
      </c>
      <c r="J1391">
        <v>0</v>
      </c>
      <c r="K1391">
        <v>0</v>
      </c>
      <c r="L1391">
        <v>0</v>
      </c>
      <c r="M1391" t="s">
        <v>25022</v>
      </c>
      <c r="N1391">
        <v>4124</v>
      </c>
      <c r="O1391" t="s">
        <v>24305</v>
      </c>
      <c r="P1391" t="s">
        <v>62</v>
      </c>
      <c r="Q1391">
        <v>4091480</v>
      </c>
      <c r="R1391">
        <v>4091728</v>
      </c>
      <c r="S1391" t="s">
        <v>116</v>
      </c>
      <c r="T1391">
        <v>83</v>
      </c>
      <c r="U1391" t="s">
        <v>108</v>
      </c>
      <c r="V1391">
        <v>44</v>
      </c>
      <c r="W1391" t="str">
        <f>HYPERLINK("Gene4124-zp_tree_all.dnd", "Gene4124-tree")</f>
        <v>Gene4124-tree</v>
      </c>
      <c r="X1391">
        <v>28</v>
      </c>
      <c r="Y1391">
        <v>2</v>
      </c>
      <c r="Z1391">
        <v>9</v>
      </c>
      <c r="AA1391">
        <v>2</v>
      </c>
      <c r="AB1391">
        <v>0.18182000000000001</v>
      </c>
      <c r="AC1391" t="s">
        <v>2825</v>
      </c>
      <c r="AD1391" t="s">
        <v>81</v>
      </c>
      <c r="AE1391" t="s">
        <v>62</v>
      </c>
      <c r="AF1391" t="s">
        <v>62</v>
      </c>
      <c r="AG1391">
        <v>0</v>
      </c>
      <c r="AH1391">
        <v>0</v>
      </c>
      <c r="AI1391">
        <v>5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3</v>
      </c>
      <c r="AT1391">
        <v>0</v>
      </c>
      <c r="AU1391">
        <v>7</v>
      </c>
      <c r="AV1391">
        <v>5</v>
      </c>
      <c r="AW1391">
        <v>10</v>
      </c>
      <c r="AX1391">
        <v>3</v>
      </c>
      <c r="AY1391">
        <v>5</v>
      </c>
      <c r="AZ1391">
        <v>2</v>
      </c>
      <c r="BA1391" t="s">
        <v>24306</v>
      </c>
      <c r="BB1391" t="s">
        <v>24307</v>
      </c>
      <c r="BC1391">
        <v>0.17499999999999999</v>
      </c>
      <c r="BD1391" t="s">
        <v>65</v>
      </c>
      <c r="BE1391">
        <v>15</v>
      </c>
      <c r="BF1391">
        <v>5</v>
      </c>
      <c r="BG1391" t="s">
        <v>24308</v>
      </c>
      <c r="BH1391" t="s">
        <v>24309</v>
      </c>
      <c r="BI1391" t="s">
        <v>24310</v>
      </c>
      <c r="BJ1391">
        <v>0.11992</v>
      </c>
      <c r="BK1391">
        <v>1</v>
      </c>
      <c r="BL1391" t="s">
        <v>69</v>
      </c>
      <c r="BM1391">
        <v>0.80100000000000005</v>
      </c>
      <c r="BN1391">
        <v>-0.40400000000000003</v>
      </c>
    </row>
    <row r="1392" spans="2:66">
      <c r="B1392">
        <v>2454</v>
      </c>
      <c r="C1392">
        <v>390</v>
      </c>
      <c r="D1392">
        <v>0</v>
      </c>
      <c r="E1392">
        <v>0</v>
      </c>
      <c r="F1392">
        <v>2</v>
      </c>
      <c r="J1392">
        <v>0</v>
      </c>
      <c r="K1392">
        <v>18</v>
      </c>
      <c r="L1392">
        <v>5</v>
      </c>
      <c r="M1392" t="s">
        <v>25022</v>
      </c>
      <c r="N1392">
        <v>4126</v>
      </c>
      <c r="O1392" t="s">
        <v>24317</v>
      </c>
      <c r="P1392" t="s">
        <v>62</v>
      </c>
      <c r="Q1392">
        <v>4092698</v>
      </c>
      <c r="R1392">
        <v>4093837</v>
      </c>
      <c r="S1392" t="s">
        <v>637</v>
      </c>
      <c r="T1392">
        <v>380</v>
      </c>
      <c r="U1392" t="s">
        <v>24318</v>
      </c>
      <c r="V1392">
        <v>37</v>
      </c>
      <c r="W1392" t="str">
        <f>HYPERLINK("Gene4126-zp_tree_all.dnd", "Gene4126-tree")</f>
        <v>Gene4126-tree</v>
      </c>
      <c r="X1392">
        <v>0</v>
      </c>
      <c r="Y1392">
        <v>32</v>
      </c>
      <c r="Z1392">
        <v>0</v>
      </c>
      <c r="AA1392">
        <v>13</v>
      </c>
      <c r="AB1392">
        <v>1</v>
      </c>
      <c r="AC1392" t="s">
        <v>62</v>
      </c>
      <c r="AD1392" t="s">
        <v>10857</v>
      </c>
      <c r="AE1392">
        <v>3.9590000000000001</v>
      </c>
      <c r="AF1392" t="s">
        <v>65</v>
      </c>
      <c r="AG1392">
        <v>9</v>
      </c>
      <c r="AH1392">
        <v>23</v>
      </c>
      <c r="AI1392">
        <v>34</v>
      </c>
      <c r="AJ1392">
        <v>0.40350999999999998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4</v>
      </c>
      <c r="AQ1392">
        <v>8</v>
      </c>
      <c r="AR1392">
        <v>12</v>
      </c>
      <c r="AS1392">
        <v>31</v>
      </c>
      <c r="AT1392">
        <v>0.27906999999999998</v>
      </c>
      <c r="AU1392">
        <v>11</v>
      </c>
      <c r="AV1392">
        <v>10</v>
      </c>
      <c r="AW1392">
        <v>40</v>
      </c>
      <c r="AX1392">
        <v>35</v>
      </c>
      <c r="AY1392">
        <v>47</v>
      </c>
      <c r="AZ1392">
        <v>23</v>
      </c>
      <c r="BA1392" t="s">
        <v>24319</v>
      </c>
      <c r="BB1392" t="s">
        <v>24320</v>
      </c>
      <c r="BC1392">
        <v>0.65200000000000002</v>
      </c>
      <c r="BD1392" t="s">
        <v>65</v>
      </c>
      <c r="BE1392">
        <v>87</v>
      </c>
      <c r="BF1392">
        <v>58</v>
      </c>
      <c r="BG1392" t="s">
        <v>24321</v>
      </c>
      <c r="BH1392" t="s">
        <v>24322</v>
      </c>
      <c r="BI1392" t="s">
        <v>24323</v>
      </c>
      <c r="BJ1392">
        <v>0.17000999999999999</v>
      </c>
      <c r="BK1392">
        <v>1</v>
      </c>
      <c r="BL1392" t="s">
        <v>69</v>
      </c>
      <c r="BM1392">
        <v>0.13800000000000001</v>
      </c>
      <c r="BN1392">
        <v>-1.008</v>
      </c>
    </row>
    <row r="1393" spans="2:66">
      <c r="B1393">
        <v>2456</v>
      </c>
      <c r="C1393">
        <v>401</v>
      </c>
      <c r="D1393">
        <v>0</v>
      </c>
      <c r="E1393">
        <v>2</v>
      </c>
      <c r="F1393">
        <v>0</v>
      </c>
      <c r="J1393">
        <v>0</v>
      </c>
      <c r="K1393">
        <v>7</v>
      </c>
      <c r="L1393">
        <v>0</v>
      </c>
      <c r="M1393" t="s">
        <v>25022</v>
      </c>
      <c r="N1393">
        <v>4135</v>
      </c>
      <c r="O1393" t="s">
        <v>24330</v>
      </c>
      <c r="P1393" t="s">
        <v>62</v>
      </c>
      <c r="Q1393">
        <v>4102432</v>
      </c>
      <c r="R1393">
        <v>4103661</v>
      </c>
      <c r="S1393" t="s">
        <v>24331</v>
      </c>
      <c r="T1393">
        <v>410</v>
      </c>
      <c r="U1393" t="s">
        <v>12086</v>
      </c>
      <c r="V1393">
        <v>35</v>
      </c>
      <c r="W1393" t="str">
        <f>HYPERLINK("Gene4135-zp_tree_all.dnd", "Gene4135-tree")</f>
        <v>Gene4135-tree</v>
      </c>
      <c r="X1393">
        <v>2</v>
      </c>
      <c r="Y1393">
        <v>9</v>
      </c>
      <c r="Z1393">
        <v>2</v>
      </c>
      <c r="AA1393">
        <v>9</v>
      </c>
      <c r="AB1393">
        <v>0.81818000000000002</v>
      </c>
      <c r="AC1393" t="s">
        <v>81</v>
      </c>
      <c r="AD1393" t="s">
        <v>135</v>
      </c>
      <c r="AE1393" t="s">
        <v>62</v>
      </c>
      <c r="AF1393" t="s">
        <v>62</v>
      </c>
      <c r="AG1393">
        <v>3</v>
      </c>
      <c r="AH1393">
        <v>7</v>
      </c>
      <c r="AI1393">
        <v>12</v>
      </c>
      <c r="AJ1393">
        <v>0.36842000000000003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11</v>
      </c>
      <c r="AT1393">
        <v>0</v>
      </c>
      <c r="AU1393">
        <v>11</v>
      </c>
      <c r="AV1393">
        <v>8</v>
      </c>
      <c r="AW1393">
        <v>41</v>
      </c>
      <c r="AX1393">
        <v>11</v>
      </c>
      <c r="AY1393">
        <v>41</v>
      </c>
      <c r="AZ1393">
        <v>9</v>
      </c>
      <c r="BA1393" t="s">
        <v>24332</v>
      </c>
      <c r="BB1393" t="s">
        <v>24333</v>
      </c>
      <c r="BC1393">
        <v>0.14199999999999999</v>
      </c>
      <c r="BD1393" t="s">
        <v>65</v>
      </c>
      <c r="BE1393">
        <v>82</v>
      </c>
      <c r="BF1393">
        <v>20</v>
      </c>
      <c r="BG1393" t="s">
        <v>24334</v>
      </c>
      <c r="BH1393" t="s">
        <v>24335</v>
      </c>
      <c r="BI1393" t="s">
        <v>24336</v>
      </c>
      <c r="BJ1393">
        <v>7.8420000000000004E-2</v>
      </c>
      <c r="BK1393">
        <v>1</v>
      </c>
      <c r="BL1393" t="s">
        <v>69</v>
      </c>
      <c r="BM1393">
        <v>-0.35799999999999998</v>
      </c>
      <c r="BN1393">
        <v>0.157</v>
      </c>
    </row>
    <row r="1394" spans="2:66">
      <c r="B1394">
        <v>2458</v>
      </c>
      <c r="C1394">
        <v>91</v>
      </c>
      <c r="D1394">
        <v>0</v>
      </c>
      <c r="E1394">
        <v>2</v>
      </c>
      <c r="F1394">
        <v>0</v>
      </c>
      <c r="J1394">
        <v>0</v>
      </c>
      <c r="K1394">
        <v>16</v>
      </c>
      <c r="L1394">
        <v>3</v>
      </c>
      <c r="M1394" t="s">
        <v>25022</v>
      </c>
      <c r="N1394">
        <v>4136</v>
      </c>
      <c r="O1394" t="s">
        <v>24337</v>
      </c>
      <c r="P1394" t="s">
        <v>62</v>
      </c>
      <c r="Q1394">
        <v>4103765</v>
      </c>
      <c r="R1394">
        <v>4104187</v>
      </c>
      <c r="S1394" t="s">
        <v>1856</v>
      </c>
      <c r="T1394">
        <v>141</v>
      </c>
      <c r="U1394" t="s">
        <v>7189</v>
      </c>
      <c r="V1394">
        <v>38</v>
      </c>
      <c r="W1394" t="str">
        <f>HYPERLINK("Gene4136-zp_tree_all.dnd", "Gene4136-tree")</f>
        <v>Gene4136-tree</v>
      </c>
      <c r="X1394">
        <v>4</v>
      </c>
      <c r="Y1394">
        <v>28</v>
      </c>
      <c r="Z1394">
        <v>4</v>
      </c>
      <c r="AA1394">
        <v>9</v>
      </c>
      <c r="AB1394">
        <v>0.69230999999999998</v>
      </c>
      <c r="AC1394" t="s">
        <v>61</v>
      </c>
      <c r="AD1394" t="s">
        <v>2825</v>
      </c>
      <c r="AE1394">
        <v>2.3340000000000001</v>
      </c>
      <c r="AF1394" t="s">
        <v>65</v>
      </c>
      <c r="AG1394">
        <v>7</v>
      </c>
      <c r="AH1394">
        <v>19</v>
      </c>
      <c r="AI1394">
        <v>7</v>
      </c>
      <c r="AJ1394">
        <v>0.73077000000000003</v>
      </c>
      <c r="AK1394">
        <v>0</v>
      </c>
      <c r="AL1394">
        <v>0</v>
      </c>
      <c r="AM1394">
        <v>0</v>
      </c>
      <c r="AN1394">
        <v>4</v>
      </c>
      <c r="AO1394">
        <v>0</v>
      </c>
      <c r="AP1394">
        <v>6</v>
      </c>
      <c r="AQ1394">
        <v>0</v>
      </c>
      <c r="AR1394">
        <v>6</v>
      </c>
      <c r="AS1394">
        <v>11</v>
      </c>
      <c r="AT1394">
        <v>0.35293999999999998</v>
      </c>
      <c r="AU1394">
        <v>10</v>
      </c>
      <c r="AV1394">
        <v>8</v>
      </c>
      <c r="AW1394">
        <v>19</v>
      </c>
      <c r="AX1394">
        <v>15</v>
      </c>
      <c r="AY1394">
        <v>9</v>
      </c>
      <c r="AZ1394">
        <v>11</v>
      </c>
      <c r="BA1394" t="s">
        <v>24338</v>
      </c>
      <c r="BB1394" t="s">
        <v>24339</v>
      </c>
      <c r="BC1394">
        <v>0.372</v>
      </c>
      <c r="BD1394" t="s">
        <v>65</v>
      </c>
      <c r="BE1394">
        <v>28</v>
      </c>
      <c r="BF1394">
        <v>26</v>
      </c>
      <c r="BG1394" t="s">
        <v>24340</v>
      </c>
      <c r="BH1394" t="s">
        <v>24341</v>
      </c>
      <c r="BI1394" t="s">
        <v>24342</v>
      </c>
      <c r="BJ1394">
        <v>0.27535999999999999</v>
      </c>
      <c r="BK1394">
        <v>1</v>
      </c>
      <c r="BL1394" t="s">
        <v>69</v>
      </c>
      <c r="BM1394">
        <v>-0.59699999999999998</v>
      </c>
      <c r="BN1394">
        <v>-0.80300000000000005</v>
      </c>
    </row>
    <row r="1395" spans="2:66">
      <c r="B1395">
        <v>2459</v>
      </c>
      <c r="C1395">
        <v>199</v>
      </c>
      <c r="D1395">
        <v>0</v>
      </c>
      <c r="E1395">
        <v>10</v>
      </c>
      <c r="F1395">
        <v>2</v>
      </c>
      <c r="J1395">
        <v>0</v>
      </c>
      <c r="K1395">
        <v>12</v>
      </c>
      <c r="L1395">
        <v>1</v>
      </c>
      <c r="M1395" t="s">
        <v>25022</v>
      </c>
      <c r="N1395">
        <v>4138</v>
      </c>
      <c r="O1395" t="s">
        <v>24349</v>
      </c>
      <c r="P1395" t="s">
        <v>62</v>
      </c>
      <c r="Q1395">
        <v>4104932</v>
      </c>
      <c r="R1395">
        <v>4106137</v>
      </c>
      <c r="S1395" t="s">
        <v>24350</v>
      </c>
      <c r="T1395">
        <v>402</v>
      </c>
      <c r="U1395" t="s">
        <v>1933</v>
      </c>
      <c r="V1395">
        <v>39</v>
      </c>
      <c r="W1395" t="str">
        <f>HYPERLINK("Gene4138-zp_tree_all.dnd", "Gene4138-tree")</f>
        <v>Gene4138-tree</v>
      </c>
      <c r="X1395">
        <v>0</v>
      </c>
      <c r="Y1395">
        <v>13</v>
      </c>
      <c r="Z1395">
        <v>0</v>
      </c>
      <c r="AA1395">
        <v>13</v>
      </c>
      <c r="AB1395">
        <v>1</v>
      </c>
      <c r="AC1395" t="s">
        <v>62</v>
      </c>
      <c r="AD1395" t="s">
        <v>507</v>
      </c>
      <c r="AE1395" t="s">
        <v>62</v>
      </c>
      <c r="AF1395" t="s">
        <v>62</v>
      </c>
      <c r="AG1395">
        <v>5</v>
      </c>
      <c r="AH1395">
        <v>13</v>
      </c>
      <c r="AI1395">
        <v>32</v>
      </c>
      <c r="AJ1395">
        <v>0.28888999999999998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9</v>
      </c>
      <c r="AQ1395">
        <v>3</v>
      </c>
      <c r="AR1395">
        <v>12</v>
      </c>
      <c r="AS1395">
        <v>27</v>
      </c>
      <c r="AT1395">
        <v>0.30769000000000002</v>
      </c>
      <c r="AU1395">
        <v>13</v>
      </c>
      <c r="AV1395">
        <v>8</v>
      </c>
      <c r="AW1395">
        <v>63</v>
      </c>
      <c r="AX1395">
        <v>39</v>
      </c>
      <c r="AY1395">
        <v>22</v>
      </c>
      <c r="AZ1395">
        <v>6</v>
      </c>
      <c r="BA1395" t="s">
        <v>24351</v>
      </c>
      <c r="BB1395" t="s">
        <v>24352</v>
      </c>
      <c r="BC1395">
        <v>1.0529999999999999</v>
      </c>
      <c r="BD1395" t="s">
        <v>65</v>
      </c>
      <c r="BE1395">
        <v>85</v>
      </c>
      <c r="BF1395">
        <v>45</v>
      </c>
      <c r="BG1395" t="s">
        <v>24353</v>
      </c>
      <c r="BH1395" t="s">
        <v>24354</v>
      </c>
      <c r="BI1395" t="s">
        <v>24355</v>
      </c>
      <c r="BJ1395">
        <v>0.16113</v>
      </c>
      <c r="BK1395">
        <v>1</v>
      </c>
      <c r="BL1395" t="s">
        <v>69</v>
      </c>
      <c r="BM1395">
        <v>-1.246</v>
      </c>
      <c r="BN1395">
        <v>-1.9550000000000001</v>
      </c>
    </row>
    <row r="1396" spans="2:66">
      <c r="B1396">
        <v>2462</v>
      </c>
      <c r="C1396">
        <v>156</v>
      </c>
      <c r="D1396">
        <v>0</v>
      </c>
      <c r="E1396">
        <v>4</v>
      </c>
      <c r="F1396">
        <v>0</v>
      </c>
      <c r="J1396">
        <v>0</v>
      </c>
      <c r="K1396">
        <v>9</v>
      </c>
      <c r="L1396">
        <v>0</v>
      </c>
      <c r="M1396" t="s">
        <v>25022</v>
      </c>
      <c r="N1396">
        <v>4139</v>
      </c>
      <c r="O1396" t="s">
        <v>24356</v>
      </c>
      <c r="P1396" t="s">
        <v>62</v>
      </c>
      <c r="Q1396">
        <v>4106248</v>
      </c>
      <c r="R1396">
        <v>4107258</v>
      </c>
      <c r="S1396" t="s">
        <v>24357</v>
      </c>
      <c r="T1396">
        <v>337</v>
      </c>
      <c r="U1396" t="s">
        <v>1933</v>
      </c>
      <c r="V1396">
        <v>39</v>
      </c>
      <c r="W1396" t="str">
        <f>HYPERLINK("Gene4139-zp_tree_all.dnd", "Gene4139-tree")</f>
        <v>Gene4139-tree</v>
      </c>
      <c r="X1396">
        <v>4</v>
      </c>
      <c r="Y1396">
        <v>10</v>
      </c>
      <c r="Z1396">
        <v>4</v>
      </c>
      <c r="AA1396">
        <v>10</v>
      </c>
      <c r="AB1396">
        <v>0.71428999999999998</v>
      </c>
      <c r="AC1396" t="s">
        <v>61</v>
      </c>
      <c r="AD1396" t="s">
        <v>117</v>
      </c>
      <c r="AE1396" t="s">
        <v>62</v>
      </c>
      <c r="AF1396" t="s">
        <v>62</v>
      </c>
      <c r="AG1396">
        <v>3</v>
      </c>
      <c r="AH1396">
        <v>9</v>
      </c>
      <c r="AI1396">
        <v>19</v>
      </c>
      <c r="AJ1396">
        <v>0.32142999999999999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2</v>
      </c>
      <c r="AQ1396">
        <v>3</v>
      </c>
      <c r="AR1396">
        <v>5</v>
      </c>
      <c r="AS1396">
        <v>20</v>
      </c>
      <c r="AT1396">
        <v>0.2</v>
      </c>
      <c r="AU1396">
        <v>10</v>
      </c>
      <c r="AV1396">
        <v>10</v>
      </c>
      <c r="AW1396">
        <v>31</v>
      </c>
      <c r="AX1396">
        <v>21</v>
      </c>
      <c r="AY1396">
        <v>19</v>
      </c>
      <c r="AZ1396">
        <v>7</v>
      </c>
      <c r="BA1396" t="s">
        <v>24358</v>
      </c>
      <c r="BB1396" t="s">
        <v>24359</v>
      </c>
      <c r="BC1396">
        <v>0.72099999999999997</v>
      </c>
      <c r="BD1396" t="s">
        <v>65</v>
      </c>
      <c r="BE1396">
        <v>50</v>
      </c>
      <c r="BF1396">
        <v>28</v>
      </c>
      <c r="BG1396" t="s">
        <v>24360</v>
      </c>
      <c r="BH1396" t="s">
        <v>24361</v>
      </c>
      <c r="BI1396" t="s">
        <v>24362</v>
      </c>
      <c r="BJ1396">
        <v>0.1401</v>
      </c>
      <c r="BK1396">
        <v>1</v>
      </c>
      <c r="BL1396" t="s">
        <v>69</v>
      </c>
      <c r="BM1396">
        <v>-0.85599999999999998</v>
      </c>
      <c r="BN1396">
        <v>-1.224</v>
      </c>
    </row>
    <row r="1397" spans="2:66">
      <c r="B1397">
        <v>2464</v>
      </c>
      <c r="C1397">
        <v>240</v>
      </c>
      <c r="D1397">
        <v>0</v>
      </c>
      <c r="E1397">
        <v>8</v>
      </c>
      <c r="F1397">
        <v>0</v>
      </c>
      <c r="J1397">
        <v>2</v>
      </c>
      <c r="K1397">
        <v>11</v>
      </c>
      <c r="L1397">
        <v>3</v>
      </c>
      <c r="M1397" t="s">
        <v>25022</v>
      </c>
      <c r="N1397">
        <v>4140</v>
      </c>
      <c r="O1397" t="s">
        <v>24363</v>
      </c>
      <c r="P1397" t="s">
        <v>62</v>
      </c>
      <c r="Q1397">
        <v>4107355</v>
      </c>
      <c r="R1397">
        <v>4107927</v>
      </c>
      <c r="S1397" t="s">
        <v>24364</v>
      </c>
      <c r="T1397">
        <v>191</v>
      </c>
      <c r="U1397" t="s">
        <v>59</v>
      </c>
      <c r="V1397">
        <v>49</v>
      </c>
      <c r="W1397" t="str">
        <f>HYPERLINK("Gene4140-zp_tree_all.dnd", "Gene4140-tree")</f>
        <v>Gene4140-tree</v>
      </c>
      <c r="X1397">
        <v>26</v>
      </c>
      <c r="Y1397">
        <v>11</v>
      </c>
      <c r="Z1397">
        <v>6</v>
      </c>
      <c r="AA1397">
        <v>11</v>
      </c>
      <c r="AB1397">
        <v>0.64705999999999997</v>
      </c>
      <c r="AC1397" t="s">
        <v>1030</v>
      </c>
      <c r="AD1397" t="s">
        <v>73</v>
      </c>
      <c r="AE1397">
        <v>4.7839999999999998</v>
      </c>
      <c r="AF1397" t="s">
        <v>267</v>
      </c>
      <c r="AG1397">
        <v>6</v>
      </c>
      <c r="AH1397">
        <v>16</v>
      </c>
      <c r="AI1397">
        <v>10</v>
      </c>
      <c r="AJ1397">
        <v>0.61538000000000004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5</v>
      </c>
      <c r="AQ1397">
        <v>0</v>
      </c>
      <c r="AR1397">
        <v>5</v>
      </c>
      <c r="AS1397">
        <v>10</v>
      </c>
      <c r="AT1397">
        <v>0.33333000000000002</v>
      </c>
      <c r="AU1397">
        <v>12</v>
      </c>
      <c r="AV1397">
        <v>11</v>
      </c>
      <c r="AW1397">
        <v>27</v>
      </c>
      <c r="AX1397">
        <v>10</v>
      </c>
      <c r="AY1397">
        <v>24</v>
      </c>
      <c r="AZ1397">
        <v>18</v>
      </c>
      <c r="BA1397" t="s">
        <v>24365</v>
      </c>
      <c r="BB1397" t="s">
        <v>24366</v>
      </c>
      <c r="BC1397">
        <v>1.038</v>
      </c>
      <c r="BD1397" t="s">
        <v>65</v>
      </c>
      <c r="BE1397">
        <v>51</v>
      </c>
      <c r="BF1397">
        <v>28</v>
      </c>
      <c r="BG1397" t="s">
        <v>24367</v>
      </c>
      <c r="BH1397" t="s">
        <v>24368</v>
      </c>
      <c r="BI1397" t="s">
        <v>19016</v>
      </c>
      <c r="BJ1397">
        <v>0.16850999999999999</v>
      </c>
      <c r="BK1397">
        <v>1</v>
      </c>
      <c r="BL1397" t="s">
        <v>69</v>
      </c>
      <c r="BM1397">
        <v>-0.59499999999999997</v>
      </c>
      <c r="BN1397">
        <v>-1.07</v>
      </c>
    </row>
    <row r="1398" spans="2:66">
      <c r="B1398">
        <v>2467</v>
      </c>
      <c r="C1398">
        <v>10</v>
      </c>
      <c r="D1398">
        <v>0</v>
      </c>
      <c r="E1398">
        <v>28</v>
      </c>
      <c r="F1398">
        <v>0</v>
      </c>
      <c r="J1398">
        <v>0</v>
      </c>
      <c r="K1398">
        <v>2</v>
      </c>
      <c r="L1398">
        <v>2</v>
      </c>
      <c r="M1398" t="s">
        <v>25022</v>
      </c>
      <c r="N1398">
        <v>4142</v>
      </c>
      <c r="O1398" t="s">
        <v>24375</v>
      </c>
      <c r="P1398" t="s">
        <v>62</v>
      </c>
      <c r="Q1398">
        <v>4109188</v>
      </c>
      <c r="R1398">
        <v>4109616</v>
      </c>
      <c r="S1398" t="s">
        <v>3745</v>
      </c>
      <c r="T1398">
        <v>143</v>
      </c>
      <c r="U1398" t="s">
        <v>698</v>
      </c>
      <c r="V1398">
        <v>47</v>
      </c>
      <c r="W1398" t="str">
        <f>HYPERLINK("Gene4142-zp_tree_all.dnd", "Gene4142-tree")</f>
        <v>Gene4142-tree</v>
      </c>
      <c r="X1398">
        <v>13</v>
      </c>
      <c r="Y1398">
        <v>2</v>
      </c>
      <c r="Z1398">
        <v>13</v>
      </c>
      <c r="AA1398">
        <v>2</v>
      </c>
      <c r="AB1398">
        <v>0.13333</v>
      </c>
      <c r="AC1398" t="s">
        <v>507</v>
      </c>
      <c r="AD1398" t="s">
        <v>81</v>
      </c>
      <c r="AE1398" t="s">
        <v>62</v>
      </c>
      <c r="AF1398" t="s">
        <v>62</v>
      </c>
      <c r="AG1398">
        <v>2</v>
      </c>
      <c r="AH1398">
        <v>4</v>
      </c>
      <c r="AI1398">
        <v>3</v>
      </c>
      <c r="AJ1398">
        <v>0.57142999999999999</v>
      </c>
      <c r="AK1398">
        <v>0</v>
      </c>
      <c r="AL1398">
        <v>0</v>
      </c>
      <c r="AM1398">
        <v>0</v>
      </c>
      <c r="AN1398">
        <v>2</v>
      </c>
      <c r="AO1398">
        <v>0</v>
      </c>
      <c r="AP1398">
        <v>0</v>
      </c>
      <c r="AQ1398">
        <v>0</v>
      </c>
      <c r="AR1398">
        <v>0</v>
      </c>
      <c r="AS1398">
        <v>2</v>
      </c>
      <c r="AT1398">
        <v>0</v>
      </c>
      <c r="AU1398">
        <v>7</v>
      </c>
      <c r="AV1398">
        <v>9</v>
      </c>
      <c r="AW1398">
        <v>19</v>
      </c>
      <c r="AX1398">
        <v>2</v>
      </c>
      <c r="AY1398">
        <v>20</v>
      </c>
      <c r="AZ1398">
        <v>5</v>
      </c>
      <c r="BA1398" t="s">
        <v>24376</v>
      </c>
      <c r="BB1398" t="s">
        <v>24377</v>
      </c>
      <c r="BC1398">
        <v>0.372</v>
      </c>
      <c r="BD1398" t="s">
        <v>65</v>
      </c>
      <c r="BE1398">
        <v>39</v>
      </c>
      <c r="BF1398">
        <v>7</v>
      </c>
      <c r="BG1398" t="s">
        <v>24378</v>
      </c>
      <c r="BH1398" t="s">
        <v>24379</v>
      </c>
      <c r="BI1398" t="s">
        <v>24380</v>
      </c>
      <c r="BJ1398">
        <v>5.1929999999999997E-2</v>
      </c>
      <c r="BK1398">
        <v>1</v>
      </c>
      <c r="BL1398" t="s">
        <v>69</v>
      </c>
      <c r="BM1398">
        <v>-1.4670000000000001</v>
      </c>
      <c r="BN1398">
        <v>-0.90400000000000003</v>
      </c>
    </row>
    <row r="1399" spans="2:66">
      <c r="B1399">
        <v>2469</v>
      </c>
      <c r="C1399">
        <v>49</v>
      </c>
      <c r="D1399">
        <v>0</v>
      </c>
      <c r="E1399">
        <v>7</v>
      </c>
      <c r="F1399">
        <v>0</v>
      </c>
      <c r="J1399">
        <v>0</v>
      </c>
      <c r="K1399">
        <v>5</v>
      </c>
      <c r="L1399">
        <v>0</v>
      </c>
      <c r="M1399" t="s">
        <v>25022</v>
      </c>
      <c r="N1399">
        <v>4145</v>
      </c>
      <c r="O1399" t="s">
        <v>24395</v>
      </c>
      <c r="P1399" t="s">
        <v>62</v>
      </c>
      <c r="Q1399">
        <v>4110952</v>
      </c>
      <c r="R1399">
        <v>4111980</v>
      </c>
      <c r="S1399" t="s">
        <v>24396</v>
      </c>
      <c r="T1399">
        <v>343</v>
      </c>
      <c r="U1399" t="s">
        <v>108</v>
      </c>
      <c r="V1399">
        <v>44</v>
      </c>
      <c r="W1399" t="str">
        <f>HYPERLINK("Gene4145-zp_tree_all.dnd", "Gene4145-tree")</f>
        <v>Gene4145-tree</v>
      </c>
      <c r="X1399">
        <v>9</v>
      </c>
      <c r="Y1399">
        <v>5</v>
      </c>
      <c r="Z1399">
        <v>9</v>
      </c>
      <c r="AA1399">
        <v>5</v>
      </c>
      <c r="AB1399">
        <v>0.35714000000000001</v>
      </c>
      <c r="AC1399" t="s">
        <v>135</v>
      </c>
      <c r="AD1399" t="s">
        <v>199</v>
      </c>
      <c r="AE1399" t="s">
        <v>62</v>
      </c>
      <c r="AF1399" t="s">
        <v>62</v>
      </c>
      <c r="AG1399">
        <v>2</v>
      </c>
      <c r="AH1399">
        <v>5</v>
      </c>
      <c r="AI1399">
        <v>11</v>
      </c>
      <c r="AJ1399">
        <v>0.3125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</v>
      </c>
      <c r="AQ1399">
        <v>0</v>
      </c>
      <c r="AR1399">
        <v>2</v>
      </c>
      <c r="AS1399">
        <v>10</v>
      </c>
      <c r="AT1399">
        <v>0.16667000000000001</v>
      </c>
      <c r="AU1399">
        <v>10</v>
      </c>
      <c r="AV1399">
        <v>9</v>
      </c>
      <c r="AW1399">
        <v>41</v>
      </c>
      <c r="AX1399">
        <v>11</v>
      </c>
      <c r="AY1399">
        <v>12</v>
      </c>
      <c r="AZ1399">
        <v>5</v>
      </c>
      <c r="BA1399" t="s">
        <v>24397</v>
      </c>
      <c r="BB1399" t="s">
        <v>24398</v>
      </c>
      <c r="BC1399">
        <v>0.35799999999999998</v>
      </c>
      <c r="BD1399" t="s">
        <v>65</v>
      </c>
      <c r="BE1399">
        <v>53</v>
      </c>
      <c r="BF1399">
        <v>16</v>
      </c>
      <c r="BG1399" t="s">
        <v>24399</v>
      </c>
      <c r="BH1399" t="s">
        <v>24400</v>
      </c>
      <c r="BI1399" t="s">
        <v>24401</v>
      </c>
      <c r="BJ1399">
        <v>8.4250000000000005E-2</v>
      </c>
      <c r="BK1399">
        <v>1</v>
      </c>
      <c r="BL1399" t="s">
        <v>69</v>
      </c>
      <c r="BM1399">
        <v>-1.1200000000000001</v>
      </c>
      <c r="BN1399">
        <v>-1.9450000000000001</v>
      </c>
    </row>
    <row r="1400" spans="2:66">
      <c r="B1400">
        <v>2470</v>
      </c>
      <c r="C1400">
        <v>75</v>
      </c>
      <c r="D1400">
        <v>0</v>
      </c>
      <c r="E1400">
        <v>6</v>
      </c>
      <c r="F1400">
        <v>2</v>
      </c>
      <c r="J1400">
        <v>0</v>
      </c>
      <c r="K1400">
        <v>25</v>
      </c>
      <c r="L1400">
        <v>0</v>
      </c>
      <c r="M1400" t="s">
        <v>25022</v>
      </c>
      <c r="N1400">
        <v>4146</v>
      </c>
      <c r="O1400" t="s">
        <v>24402</v>
      </c>
      <c r="P1400" t="s">
        <v>62</v>
      </c>
      <c r="Q1400">
        <v>4112076</v>
      </c>
      <c r="R1400">
        <v>4113221</v>
      </c>
      <c r="S1400" t="s">
        <v>24403</v>
      </c>
      <c r="T1400">
        <v>382</v>
      </c>
      <c r="U1400" t="s">
        <v>108</v>
      </c>
      <c r="V1400">
        <v>44</v>
      </c>
      <c r="W1400" t="str">
        <f>HYPERLINK("Gene4146-zp_tree_all.dnd", "Gene4146-tree")</f>
        <v>Gene4146-tree</v>
      </c>
      <c r="X1400">
        <v>4</v>
      </c>
      <c r="Y1400">
        <v>29</v>
      </c>
      <c r="Z1400">
        <v>4</v>
      </c>
      <c r="AA1400">
        <v>12</v>
      </c>
      <c r="AB1400">
        <v>0.75</v>
      </c>
      <c r="AC1400" t="s">
        <v>61</v>
      </c>
      <c r="AD1400" t="s">
        <v>1455</v>
      </c>
      <c r="AE1400">
        <v>1.4039999999999999</v>
      </c>
      <c r="AF1400" t="s">
        <v>65</v>
      </c>
      <c r="AG1400">
        <v>10</v>
      </c>
      <c r="AH1400">
        <v>25</v>
      </c>
      <c r="AI1400">
        <v>20</v>
      </c>
      <c r="AJ1400">
        <v>0.55556000000000005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11</v>
      </c>
      <c r="AQ1400">
        <v>0</v>
      </c>
      <c r="AR1400">
        <v>11</v>
      </c>
      <c r="AS1400">
        <v>17</v>
      </c>
      <c r="AT1400">
        <v>0.39285999999999999</v>
      </c>
      <c r="AU1400">
        <v>13</v>
      </c>
      <c r="AV1400">
        <v>12</v>
      </c>
      <c r="AW1400">
        <v>46</v>
      </c>
      <c r="AX1400">
        <v>26</v>
      </c>
      <c r="AY1400">
        <v>54</v>
      </c>
      <c r="AZ1400">
        <v>23</v>
      </c>
      <c r="BA1400" t="s">
        <v>24404</v>
      </c>
      <c r="BB1400" t="s">
        <v>24405</v>
      </c>
      <c r="BC1400">
        <v>0.54400000000000004</v>
      </c>
      <c r="BD1400" t="s">
        <v>65</v>
      </c>
      <c r="BE1400">
        <v>100</v>
      </c>
      <c r="BF1400">
        <v>49</v>
      </c>
      <c r="BG1400" t="s">
        <v>24406</v>
      </c>
      <c r="BH1400" t="s">
        <v>24407</v>
      </c>
      <c r="BI1400" t="s">
        <v>24408</v>
      </c>
      <c r="BJ1400">
        <v>0.14593</v>
      </c>
      <c r="BK1400">
        <v>1</v>
      </c>
      <c r="BL1400" t="s">
        <v>69</v>
      </c>
      <c r="BM1400">
        <v>0.29299999999999998</v>
      </c>
      <c r="BN1400">
        <v>-5.7000000000000002E-2</v>
      </c>
    </row>
    <row r="1401" spans="2:66">
      <c r="B1401">
        <v>2471</v>
      </c>
      <c r="C1401">
        <v>182</v>
      </c>
      <c r="D1401">
        <v>0</v>
      </c>
      <c r="E1401">
        <v>5</v>
      </c>
      <c r="F1401">
        <v>0</v>
      </c>
      <c r="J1401">
        <v>0</v>
      </c>
      <c r="K1401">
        <v>17</v>
      </c>
      <c r="L1401">
        <v>1</v>
      </c>
      <c r="M1401" t="s">
        <v>25022</v>
      </c>
      <c r="N1401">
        <v>4153</v>
      </c>
      <c r="O1401" t="s">
        <v>24450</v>
      </c>
      <c r="P1401" t="s">
        <v>62</v>
      </c>
      <c r="Q1401">
        <v>4121169</v>
      </c>
      <c r="R1401">
        <v>4122605</v>
      </c>
      <c r="S1401" t="s">
        <v>24451</v>
      </c>
      <c r="T1401">
        <v>479</v>
      </c>
      <c r="U1401" t="s">
        <v>11485</v>
      </c>
      <c r="V1401">
        <v>43</v>
      </c>
      <c r="W1401" t="str">
        <f>HYPERLINK("Gene4153-zp_tree_all.dnd", "Gene4153-tree")</f>
        <v>Gene4153-tree</v>
      </c>
      <c r="X1401">
        <v>4</v>
      </c>
      <c r="Y1401">
        <v>30</v>
      </c>
      <c r="Z1401">
        <v>4</v>
      </c>
      <c r="AA1401">
        <v>12</v>
      </c>
      <c r="AB1401">
        <v>0.75</v>
      </c>
      <c r="AC1401" t="s">
        <v>61</v>
      </c>
      <c r="AD1401" t="s">
        <v>23505</v>
      </c>
      <c r="AE1401">
        <v>1.5469999999999999</v>
      </c>
      <c r="AF1401" t="s">
        <v>65</v>
      </c>
      <c r="AG1401">
        <v>6</v>
      </c>
      <c r="AH1401">
        <v>18</v>
      </c>
      <c r="AI1401">
        <v>10</v>
      </c>
      <c r="AJ1401">
        <v>0.64285999999999999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3</v>
      </c>
      <c r="AQ1401">
        <v>2</v>
      </c>
      <c r="AR1401">
        <v>5</v>
      </c>
      <c r="AS1401">
        <v>12</v>
      </c>
      <c r="AT1401">
        <v>0.29411999999999999</v>
      </c>
      <c r="AU1401">
        <v>15</v>
      </c>
      <c r="AV1401">
        <v>11</v>
      </c>
      <c r="AW1401">
        <v>100</v>
      </c>
      <c r="AX1401">
        <v>18</v>
      </c>
      <c r="AY1401">
        <v>39</v>
      </c>
      <c r="AZ1401">
        <v>11</v>
      </c>
      <c r="BA1401" t="s">
        <v>24452</v>
      </c>
      <c r="BB1401" t="s">
        <v>24453</v>
      </c>
      <c r="BC1401">
        <v>1.089</v>
      </c>
      <c r="BD1401" t="s">
        <v>65</v>
      </c>
      <c r="BE1401">
        <v>139</v>
      </c>
      <c r="BF1401">
        <v>29</v>
      </c>
      <c r="BG1401" t="s">
        <v>24454</v>
      </c>
      <c r="BH1401" t="s">
        <v>24455</v>
      </c>
      <c r="BI1401" t="s">
        <v>24456</v>
      </c>
      <c r="BJ1401">
        <v>5.509E-2</v>
      </c>
      <c r="BK1401">
        <v>1</v>
      </c>
      <c r="BL1401" t="s">
        <v>69</v>
      </c>
      <c r="BM1401">
        <v>-0.71399999999999997</v>
      </c>
      <c r="BN1401">
        <v>-1.2869999999999999</v>
      </c>
    </row>
    <row r="1402" spans="2:66">
      <c r="B1402">
        <v>2472</v>
      </c>
      <c r="C1402">
        <v>9</v>
      </c>
      <c r="D1402">
        <v>0</v>
      </c>
      <c r="E1402">
        <v>2</v>
      </c>
      <c r="F1402">
        <v>0</v>
      </c>
      <c r="J1402">
        <v>0</v>
      </c>
      <c r="K1402">
        <v>2</v>
      </c>
      <c r="L1402">
        <v>0</v>
      </c>
      <c r="M1402" t="s">
        <v>25022</v>
      </c>
      <c r="N1402">
        <v>4154</v>
      </c>
      <c r="O1402" t="s">
        <v>24457</v>
      </c>
      <c r="P1402" t="s">
        <v>62</v>
      </c>
      <c r="Q1402">
        <v>4122622</v>
      </c>
      <c r="R1402">
        <v>4122849</v>
      </c>
      <c r="S1402" t="s">
        <v>24458</v>
      </c>
      <c r="T1402">
        <v>76</v>
      </c>
      <c r="U1402" t="s">
        <v>24459</v>
      </c>
      <c r="V1402">
        <v>30</v>
      </c>
      <c r="W1402" t="str">
        <f>HYPERLINK("Gene4154-zp_tree_all.dnd", "Gene4154-tree")</f>
        <v>Gene4154-tree</v>
      </c>
      <c r="X1402">
        <v>1</v>
      </c>
      <c r="Y1402">
        <v>6</v>
      </c>
      <c r="Z1402">
        <v>1</v>
      </c>
      <c r="AA1402">
        <v>6</v>
      </c>
      <c r="AB1402">
        <v>0.85714000000000001</v>
      </c>
      <c r="AC1402" t="s">
        <v>175</v>
      </c>
      <c r="AD1402" t="s">
        <v>90</v>
      </c>
      <c r="AE1402" t="s">
        <v>62</v>
      </c>
      <c r="AF1402" t="s">
        <v>62</v>
      </c>
      <c r="AG1402">
        <v>1</v>
      </c>
      <c r="AH1402">
        <v>2</v>
      </c>
      <c r="AI1402">
        <v>7</v>
      </c>
      <c r="AJ1402">
        <v>0.22222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6</v>
      </c>
      <c r="AT1402">
        <v>0</v>
      </c>
      <c r="AU1402">
        <v>4</v>
      </c>
      <c r="AV1402">
        <v>3</v>
      </c>
      <c r="AW1402">
        <v>3</v>
      </c>
      <c r="AX1402">
        <v>5</v>
      </c>
      <c r="AY1402">
        <v>3</v>
      </c>
      <c r="AZ1402">
        <v>4</v>
      </c>
      <c r="BA1402" t="s">
        <v>24460</v>
      </c>
      <c r="BB1402" t="s">
        <v>24461</v>
      </c>
      <c r="BC1402">
        <v>0.19900000000000001</v>
      </c>
      <c r="BD1402" t="s">
        <v>65</v>
      </c>
      <c r="BE1402">
        <v>6</v>
      </c>
      <c r="BF1402">
        <v>9</v>
      </c>
      <c r="BG1402" t="s">
        <v>24462</v>
      </c>
      <c r="BH1402" t="s">
        <v>24463</v>
      </c>
      <c r="BI1402" t="s">
        <v>24464</v>
      </c>
      <c r="BJ1402">
        <v>0.45599000000000001</v>
      </c>
      <c r="BK1402">
        <v>0.89800000000000002</v>
      </c>
      <c r="BL1402" t="s">
        <v>635</v>
      </c>
      <c r="BM1402">
        <v>-0.54900000000000004</v>
      </c>
      <c r="BN1402">
        <v>-1.589</v>
      </c>
    </row>
    <row r="1403" spans="2:66">
      <c r="B1403">
        <v>2473</v>
      </c>
      <c r="C1403">
        <v>246</v>
      </c>
      <c r="D1403">
        <v>0</v>
      </c>
      <c r="E1403">
        <v>9</v>
      </c>
      <c r="F1403">
        <v>2</v>
      </c>
      <c r="J1403">
        <v>0</v>
      </c>
      <c r="K1403">
        <v>5</v>
      </c>
      <c r="L1403">
        <v>2</v>
      </c>
      <c r="M1403" t="s">
        <v>25022</v>
      </c>
      <c r="N1403">
        <v>4157</v>
      </c>
      <c r="O1403" t="s">
        <v>24477</v>
      </c>
      <c r="P1403" t="s">
        <v>62</v>
      </c>
      <c r="Q1403">
        <v>4124223</v>
      </c>
      <c r="R1403">
        <v>4124942</v>
      </c>
      <c r="S1403" t="s">
        <v>24478</v>
      </c>
      <c r="T1403">
        <v>240</v>
      </c>
      <c r="U1403" t="s">
        <v>24479</v>
      </c>
      <c r="V1403">
        <v>37</v>
      </c>
      <c r="W1403" t="str">
        <f>HYPERLINK("Gene4157-zp_tree_all.dnd", "Gene4157-tree")</f>
        <v>Gene4157-tree</v>
      </c>
      <c r="X1403">
        <v>3</v>
      </c>
      <c r="Y1403">
        <v>6</v>
      </c>
      <c r="Z1403">
        <v>3</v>
      </c>
      <c r="AA1403">
        <v>6</v>
      </c>
      <c r="AB1403">
        <v>0.66666999999999998</v>
      </c>
      <c r="AC1403" t="s">
        <v>324</v>
      </c>
      <c r="AD1403" t="s">
        <v>90</v>
      </c>
      <c r="AE1403" t="s">
        <v>62</v>
      </c>
      <c r="AF1403" t="s">
        <v>62</v>
      </c>
      <c r="AG1403">
        <v>3</v>
      </c>
      <c r="AH1403">
        <v>7</v>
      </c>
      <c r="AI1403">
        <v>3</v>
      </c>
      <c r="AJ1403">
        <v>0.7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4</v>
      </c>
      <c r="AQ1403">
        <v>2</v>
      </c>
      <c r="AR1403">
        <v>6</v>
      </c>
      <c r="AS1403">
        <v>3</v>
      </c>
      <c r="AT1403">
        <v>0.66666999999999998</v>
      </c>
      <c r="AU1403">
        <v>8</v>
      </c>
      <c r="AV1403">
        <v>5</v>
      </c>
      <c r="AW1403">
        <v>13</v>
      </c>
      <c r="AX1403">
        <v>9</v>
      </c>
      <c r="AY1403">
        <v>13</v>
      </c>
      <c r="AZ1403">
        <v>1</v>
      </c>
      <c r="BA1403" t="s">
        <v>24480</v>
      </c>
      <c r="BB1403" t="s">
        <v>24481</v>
      </c>
      <c r="BC1403">
        <v>1.9450000000000001</v>
      </c>
      <c r="BD1403" t="s">
        <v>65</v>
      </c>
      <c r="BE1403">
        <v>26</v>
      </c>
      <c r="BF1403">
        <v>10</v>
      </c>
      <c r="BG1403" t="s">
        <v>24482</v>
      </c>
      <c r="BH1403" t="s">
        <v>24483</v>
      </c>
      <c r="BI1403" t="s">
        <v>24484</v>
      </c>
      <c r="BJ1403">
        <v>7.4130000000000001E-2</v>
      </c>
      <c r="BK1403">
        <v>1</v>
      </c>
      <c r="BL1403" t="s">
        <v>69</v>
      </c>
      <c r="BM1403">
        <v>-0.252</v>
      </c>
      <c r="BN1403">
        <v>0.109</v>
      </c>
    </row>
    <row r="1404" spans="2:66">
      <c r="B1404">
        <v>2474</v>
      </c>
      <c r="C1404">
        <v>11</v>
      </c>
      <c r="D1404">
        <v>0</v>
      </c>
      <c r="E1404">
        <v>6</v>
      </c>
      <c r="F1404">
        <v>0</v>
      </c>
      <c r="J1404">
        <v>0</v>
      </c>
      <c r="K1404">
        <v>3</v>
      </c>
      <c r="L1404">
        <v>2</v>
      </c>
      <c r="M1404" t="s">
        <v>25022</v>
      </c>
      <c r="N1404">
        <v>4158</v>
      </c>
      <c r="O1404" t="s">
        <v>24485</v>
      </c>
      <c r="P1404" t="s">
        <v>62</v>
      </c>
      <c r="Q1404">
        <v>4124966</v>
      </c>
      <c r="R1404">
        <v>4125592</v>
      </c>
      <c r="S1404" t="s">
        <v>24486</v>
      </c>
      <c r="T1404">
        <v>209</v>
      </c>
      <c r="U1404" t="s">
        <v>24479</v>
      </c>
      <c r="V1404">
        <v>37</v>
      </c>
      <c r="W1404" t="str">
        <f>HYPERLINK("Gene4158-zp_tree_all.dnd", "Gene4158-tree")</f>
        <v>Gene4158-tree</v>
      </c>
      <c r="X1404">
        <v>5</v>
      </c>
      <c r="Y1404">
        <v>6</v>
      </c>
      <c r="Z1404">
        <v>5</v>
      </c>
      <c r="AA1404">
        <v>6</v>
      </c>
      <c r="AB1404">
        <v>0.54544999999999999</v>
      </c>
      <c r="AC1404" t="s">
        <v>199</v>
      </c>
      <c r="AD1404" t="s">
        <v>90</v>
      </c>
      <c r="AE1404" t="s">
        <v>62</v>
      </c>
      <c r="AF1404" t="s">
        <v>62</v>
      </c>
      <c r="AG1404">
        <v>2</v>
      </c>
      <c r="AH1404">
        <v>5</v>
      </c>
      <c r="AI1404">
        <v>3</v>
      </c>
      <c r="AJ1404">
        <v>0.625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3</v>
      </c>
      <c r="AQ1404">
        <v>2</v>
      </c>
      <c r="AR1404">
        <v>5</v>
      </c>
      <c r="AS1404">
        <v>3</v>
      </c>
      <c r="AT1404">
        <v>0.625</v>
      </c>
      <c r="AU1404">
        <v>9</v>
      </c>
      <c r="AV1404">
        <v>4</v>
      </c>
      <c r="AW1404">
        <v>20</v>
      </c>
      <c r="AX1404">
        <v>6</v>
      </c>
      <c r="AY1404">
        <v>8</v>
      </c>
      <c r="AZ1404">
        <v>2</v>
      </c>
      <c r="BA1404" t="s">
        <v>24487</v>
      </c>
      <c r="BB1404" t="s">
        <v>24488</v>
      </c>
      <c r="BC1404">
        <v>0.115</v>
      </c>
      <c r="BD1404" t="s">
        <v>65</v>
      </c>
      <c r="BE1404">
        <v>28</v>
      </c>
      <c r="BF1404">
        <v>8</v>
      </c>
      <c r="BG1404" t="s">
        <v>24489</v>
      </c>
      <c r="BH1404" t="s">
        <v>24490</v>
      </c>
      <c r="BI1404" t="s">
        <v>24491</v>
      </c>
      <c r="BJ1404">
        <v>6.4079999999999998E-2</v>
      </c>
      <c r="BK1404">
        <v>1</v>
      </c>
      <c r="BL1404" t="s">
        <v>69</v>
      </c>
      <c r="BM1404">
        <v>-1.4970000000000001</v>
      </c>
      <c r="BN1404">
        <v>-1.075</v>
      </c>
    </row>
    <row r="1405" spans="2:66">
      <c r="B1405">
        <v>2475</v>
      </c>
      <c r="C1405">
        <v>51</v>
      </c>
      <c r="D1405">
        <v>0</v>
      </c>
      <c r="E1405">
        <v>2</v>
      </c>
      <c r="F1405">
        <v>0</v>
      </c>
      <c r="J1405">
        <v>0</v>
      </c>
      <c r="K1405">
        <v>0</v>
      </c>
      <c r="L1405">
        <v>0</v>
      </c>
      <c r="M1405" t="s">
        <v>25022</v>
      </c>
      <c r="N1405">
        <v>4159</v>
      </c>
      <c r="O1405" t="s">
        <v>24492</v>
      </c>
      <c r="P1405" t="s">
        <v>62</v>
      </c>
      <c r="Q1405">
        <v>4125745</v>
      </c>
      <c r="R1405">
        <v>4126500</v>
      </c>
      <c r="S1405" t="s">
        <v>24493</v>
      </c>
      <c r="T1405">
        <v>252</v>
      </c>
      <c r="U1405" t="s">
        <v>24494</v>
      </c>
      <c r="V1405">
        <v>22</v>
      </c>
      <c r="W1405" t="str">
        <f>HYPERLINK("Gene4159-zp_tree_all.dnd", "Gene4159-tree")</f>
        <v>Gene4159-tree</v>
      </c>
      <c r="X1405">
        <v>1</v>
      </c>
      <c r="Y1405">
        <v>3</v>
      </c>
      <c r="Z1405">
        <v>1</v>
      </c>
      <c r="AA1405">
        <v>3</v>
      </c>
      <c r="AB1405">
        <v>0.75</v>
      </c>
      <c r="AC1405" t="s">
        <v>175</v>
      </c>
      <c r="AD1405" t="s">
        <v>324</v>
      </c>
      <c r="AE1405" t="s">
        <v>62</v>
      </c>
      <c r="AF1405" t="s">
        <v>62</v>
      </c>
      <c r="AG1405">
        <v>0</v>
      </c>
      <c r="AH1405">
        <v>0</v>
      </c>
      <c r="AI1405">
        <v>6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6</v>
      </c>
      <c r="AT1405">
        <v>0</v>
      </c>
      <c r="AU1405">
        <v>4</v>
      </c>
      <c r="AV1405">
        <v>1</v>
      </c>
      <c r="AW1405">
        <v>8</v>
      </c>
      <c r="AX1405">
        <v>6</v>
      </c>
      <c r="AY1405">
        <v>3</v>
      </c>
      <c r="AZ1405">
        <v>0</v>
      </c>
      <c r="BA1405" t="s">
        <v>24495</v>
      </c>
      <c r="BB1405" t="s">
        <v>193</v>
      </c>
      <c r="BC1405">
        <v>1.3859999999999999</v>
      </c>
      <c r="BD1405" t="s">
        <v>65</v>
      </c>
      <c r="BE1405">
        <v>11</v>
      </c>
      <c r="BF1405">
        <v>6</v>
      </c>
      <c r="BG1405" t="s">
        <v>24496</v>
      </c>
      <c r="BH1405" t="s">
        <v>24497</v>
      </c>
      <c r="BI1405" t="s">
        <v>24498</v>
      </c>
      <c r="BJ1405">
        <v>0.12887000000000001</v>
      </c>
      <c r="BK1405">
        <v>1</v>
      </c>
      <c r="BL1405" t="s">
        <v>69</v>
      </c>
      <c r="BM1405">
        <v>-2.0139999999999998</v>
      </c>
      <c r="BN1405">
        <v>-2.2639999999999998</v>
      </c>
    </row>
    <row r="1406" spans="2:66">
      <c r="B1406">
        <v>2477</v>
      </c>
      <c r="C1406">
        <v>406</v>
      </c>
      <c r="D1406">
        <v>0</v>
      </c>
      <c r="E1406">
        <v>25</v>
      </c>
      <c r="F1406">
        <v>0</v>
      </c>
      <c r="J1406">
        <v>0</v>
      </c>
      <c r="K1406">
        <v>0</v>
      </c>
      <c r="L1406">
        <v>0</v>
      </c>
      <c r="M1406" t="s">
        <v>25022</v>
      </c>
      <c r="N1406">
        <v>4160</v>
      </c>
      <c r="O1406" t="s">
        <v>24499</v>
      </c>
      <c r="P1406" t="s">
        <v>62</v>
      </c>
      <c r="Q1406">
        <v>4126484</v>
      </c>
      <c r="R1406">
        <v>4127440</v>
      </c>
      <c r="S1406" t="s">
        <v>24500</v>
      </c>
      <c r="T1406">
        <v>319</v>
      </c>
      <c r="U1406" t="s">
        <v>24494</v>
      </c>
      <c r="V1406">
        <v>22</v>
      </c>
      <c r="W1406" t="str">
        <f>HYPERLINK("Gene4160-zp_tree_all.dnd", "Gene4160-tree")</f>
        <v>Gene4160-tree</v>
      </c>
      <c r="X1406">
        <v>2</v>
      </c>
      <c r="Y1406">
        <v>2</v>
      </c>
      <c r="Z1406">
        <v>2</v>
      </c>
      <c r="AA1406">
        <v>2</v>
      </c>
      <c r="AB1406">
        <v>0.5</v>
      </c>
      <c r="AC1406" t="s">
        <v>81</v>
      </c>
      <c r="AD1406" t="s">
        <v>81</v>
      </c>
      <c r="AE1406" t="s">
        <v>62</v>
      </c>
      <c r="AF1406" t="s">
        <v>62</v>
      </c>
      <c r="AG1406">
        <v>0</v>
      </c>
      <c r="AH1406">
        <v>0</v>
      </c>
      <c r="AI1406">
        <v>4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4</v>
      </c>
      <c r="AT1406">
        <v>0</v>
      </c>
      <c r="AU1406">
        <v>4</v>
      </c>
      <c r="AV1406">
        <v>1</v>
      </c>
      <c r="AW1406">
        <v>19</v>
      </c>
      <c r="AX1406">
        <v>4</v>
      </c>
      <c r="AY1406">
        <v>1</v>
      </c>
      <c r="AZ1406">
        <v>0</v>
      </c>
      <c r="BA1406" t="s">
        <v>24501</v>
      </c>
      <c r="BB1406" t="s">
        <v>193</v>
      </c>
      <c r="BC1406">
        <v>0.53200000000000003</v>
      </c>
      <c r="BD1406" t="s">
        <v>65</v>
      </c>
      <c r="BE1406">
        <v>20</v>
      </c>
      <c r="BF1406">
        <v>4</v>
      </c>
      <c r="BG1406" t="s">
        <v>24502</v>
      </c>
      <c r="BH1406" t="s">
        <v>24503</v>
      </c>
      <c r="BI1406" t="s">
        <v>24504</v>
      </c>
      <c r="BJ1406">
        <v>4.7399999999999998E-2</v>
      </c>
      <c r="BK1406">
        <v>1</v>
      </c>
      <c r="BL1406" t="s">
        <v>69</v>
      </c>
      <c r="BM1406">
        <v>-2.3039999999999998</v>
      </c>
      <c r="BN1406">
        <v>-3.335</v>
      </c>
    </row>
    <row r="1407" spans="2:66">
      <c r="B1407">
        <v>2478</v>
      </c>
      <c r="C1407">
        <v>224</v>
      </c>
      <c r="D1407">
        <v>0</v>
      </c>
      <c r="E1407">
        <v>6</v>
      </c>
      <c r="F1407">
        <v>0</v>
      </c>
      <c r="J1407">
        <v>0</v>
      </c>
      <c r="K1407">
        <v>0</v>
      </c>
      <c r="L1407">
        <v>0</v>
      </c>
      <c r="M1407" t="s">
        <v>25022</v>
      </c>
      <c r="N1407">
        <v>4161</v>
      </c>
      <c r="O1407" t="s">
        <v>24505</v>
      </c>
      <c r="P1407" t="s">
        <v>62</v>
      </c>
      <c r="Q1407">
        <v>4127501</v>
      </c>
      <c r="R1407">
        <v>4127647</v>
      </c>
      <c r="S1407" t="s">
        <v>24506</v>
      </c>
      <c r="T1407">
        <v>49</v>
      </c>
      <c r="U1407" t="s">
        <v>24494</v>
      </c>
      <c r="V1407">
        <v>22</v>
      </c>
      <c r="W1407" t="str">
        <f>HYPERLINK("Gene4161-zp_tree_all.dnd", "Gene4161-tree")</f>
        <v>Gene4161-tree</v>
      </c>
      <c r="X1407">
        <v>3</v>
      </c>
      <c r="Y1407">
        <v>1</v>
      </c>
      <c r="Z1407">
        <v>3</v>
      </c>
      <c r="AA1407">
        <v>1</v>
      </c>
      <c r="AB1407">
        <v>0.25</v>
      </c>
      <c r="AC1407" t="s">
        <v>324</v>
      </c>
      <c r="AD1407" t="s">
        <v>175</v>
      </c>
      <c r="AE1407" t="s">
        <v>62</v>
      </c>
      <c r="AF1407" t="s">
        <v>62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3</v>
      </c>
      <c r="AV1407">
        <v>0</v>
      </c>
      <c r="AW1407">
        <v>2</v>
      </c>
      <c r="AX1407">
        <v>1</v>
      </c>
      <c r="AY1407">
        <v>0</v>
      </c>
      <c r="AZ1407">
        <v>0</v>
      </c>
      <c r="BA1407" t="s">
        <v>24507</v>
      </c>
      <c r="BB1407" t="s">
        <v>193</v>
      </c>
      <c r="BC1407">
        <v>0.69299999999999995</v>
      </c>
      <c r="BD1407" t="s">
        <v>65</v>
      </c>
      <c r="BE1407">
        <v>2</v>
      </c>
      <c r="BF1407">
        <v>1</v>
      </c>
      <c r="BG1407" t="s">
        <v>24508</v>
      </c>
      <c r="BH1407" t="s">
        <v>24509</v>
      </c>
      <c r="BI1407" t="s">
        <v>24510</v>
      </c>
      <c r="BJ1407">
        <v>0.11405999999999999</v>
      </c>
      <c r="BK1407">
        <v>1</v>
      </c>
      <c r="BL1407" t="s">
        <v>69</v>
      </c>
      <c r="BM1407">
        <v>-1.0349999999999999</v>
      </c>
      <c r="BN1407">
        <v>-1.3089999999999999</v>
      </c>
    </row>
    <row r="1408" spans="2:66">
      <c r="B1408">
        <v>2479</v>
      </c>
      <c r="C1408">
        <v>312</v>
      </c>
      <c r="D1408">
        <v>0</v>
      </c>
      <c r="E1408">
        <v>10</v>
      </c>
      <c r="F1408">
        <v>2</v>
      </c>
      <c r="J1408">
        <v>0</v>
      </c>
      <c r="K1408">
        <v>6</v>
      </c>
      <c r="L1408">
        <v>0</v>
      </c>
      <c r="M1408" t="s">
        <v>25022</v>
      </c>
      <c r="N1408">
        <v>4166</v>
      </c>
      <c r="O1408" t="s">
        <v>24518</v>
      </c>
      <c r="P1408" t="s">
        <v>62</v>
      </c>
      <c r="Q1408">
        <v>4134439</v>
      </c>
      <c r="R1408">
        <v>4134915</v>
      </c>
      <c r="S1408" t="s">
        <v>24519</v>
      </c>
      <c r="T1408">
        <v>159</v>
      </c>
      <c r="U1408" t="s">
        <v>214</v>
      </c>
      <c r="V1408">
        <v>48</v>
      </c>
      <c r="W1408" t="str">
        <f>HYPERLINK("Gene4166-zp_tree_all.dnd", "Gene4166-tree")</f>
        <v>Gene4166-tree</v>
      </c>
      <c r="X1408">
        <v>11</v>
      </c>
      <c r="Y1408">
        <v>7</v>
      </c>
      <c r="Z1408">
        <v>11</v>
      </c>
      <c r="AA1408">
        <v>7</v>
      </c>
      <c r="AB1408">
        <v>0.38889000000000001</v>
      </c>
      <c r="AC1408" t="s">
        <v>73</v>
      </c>
      <c r="AD1408" t="s">
        <v>152</v>
      </c>
      <c r="AE1408" t="s">
        <v>62</v>
      </c>
      <c r="AF1408" t="s">
        <v>62</v>
      </c>
      <c r="AG1408">
        <v>3</v>
      </c>
      <c r="AH1408">
        <v>6</v>
      </c>
      <c r="AI1408">
        <v>5</v>
      </c>
      <c r="AJ1408">
        <v>0.54544999999999999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4</v>
      </c>
      <c r="AQ1408">
        <v>0</v>
      </c>
      <c r="AR1408">
        <v>4</v>
      </c>
      <c r="AS1408">
        <v>5</v>
      </c>
      <c r="AT1408">
        <v>0.44444</v>
      </c>
      <c r="AU1408">
        <v>17</v>
      </c>
      <c r="AV1408">
        <v>14</v>
      </c>
      <c r="AW1408">
        <v>79</v>
      </c>
      <c r="AX1408">
        <v>9</v>
      </c>
      <c r="AY1408">
        <v>35</v>
      </c>
      <c r="AZ1408">
        <v>3</v>
      </c>
      <c r="BA1408" t="s">
        <v>24520</v>
      </c>
      <c r="BB1408" t="s">
        <v>24521</v>
      </c>
      <c r="BC1408">
        <v>0.155</v>
      </c>
      <c r="BD1408" t="s">
        <v>65</v>
      </c>
      <c r="BE1408">
        <v>114</v>
      </c>
      <c r="BF1408">
        <v>12</v>
      </c>
      <c r="BG1408" t="s">
        <v>24522</v>
      </c>
      <c r="BH1408" t="s">
        <v>24523</v>
      </c>
      <c r="BI1408" t="s">
        <v>24524</v>
      </c>
      <c r="BJ1408">
        <v>3.1399999999999997E-2</v>
      </c>
      <c r="BK1408">
        <v>1</v>
      </c>
      <c r="BL1408" t="s">
        <v>69</v>
      </c>
      <c r="BM1408">
        <v>-0.17100000000000001</v>
      </c>
      <c r="BN1408">
        <v>-1.39</v>
      </c>
    </row>
    <row r="1409" spans="2:66">
      <c r="B1409">
        <v>2480</v>
      </c>
      <c r="C1409">
        <v>113</v>
      </c>
      <c r="D1409">
        <v>0</v>
      </c>
      <c r="E1409">
        <v>4</v>
      </c>
      <c r="F1409">
        <v>0</v>
      </c>
      <c r="J1409">
        <v>0</v>
      </c>
      <c r="K1409">
        <v>4</v>
      </c>
      <c r="L1409">
        <v>0</v>
      </c>
      <c r="M1409" t="s">
        <v>25022</v>
      </c>
      <c r="N1409">
        <v>4167</v>
      </c>
      <c r="O1409" t="s">
        <v>24525</v>
      </c>
      <c r="P1409" t="s">
        <v>62</v>
      </c>
      <c r="Q1409">
        <v>4134999</v>
      </c>
      <c r="R1409">
        <v>4135166</v>
      </c>
      <c r="S1409" t="s">
        <v>288</v>
      </c>
      <c r="T1409">
        <v>56</v>
      </c>
      <c r="U1409" t="s">
        <v>59</v>
      </c>
      <c r="V1409">
        <v>49</v>
      </c>
      <c r="W1409" t="str">
        <f>HYPERLINK("Gene4167-zp_tree_all.dnd", "Gene4167-tree")</f>
        <v>Gene4167-tree</v>
      </c>
      <c r="X1409">
        <v>31</v>
      </c>
      <c r="Y1409">
        <v>4</v>
      </c>
      <c r="Z1409">
        <v>7</v>
      </c>
      <c r="AA1409">
        <v>4</v>
      </c>
      <c r="AB1409">
        <v>0.36364000000000002</v>
      </c>
      <c r="AC1409" t="s">
        <v>6799</v>
      </c>
      <c r="AD1409" t="s">
        <v>61</v>
      </c>
      <c r="AE1409" t="s">
        <v>62</v>
      </c>
      <c r="AF1409" t="s">
        <v>62</v>
      </c>
      <c r="AG1409">
        <v>2</v>
      </c>
      <c r="AH1409">
        <v>4</v>
      </c>
      <c r="AI1409">
        <v>1</v>
      </c>
      <c r="AJ1409">
        <v>0.8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2</v>
      </c>
      <c r="AQ1409">
        <v>0</v>
      </c>
      <c r="AR1409">
        <v>2</v>
      </c>
      <c r="AS1409">
        <v>2</v>
      </c>
      <c r="AT1409">
        <v>0.5</v>
      </c>
      <c r="AU1409">
        <v>7</v>
      </c>
      <c r="AV1409">
        <v>4</v>
      </c>
      <c r="AW1409">
        <v>6</v>
      </c>
      <c r="AX1409">
        <v>4</v>
      </c>
      <c r="AY1409">
        <v>4</v>
      </c>
      <c r="AZ1409">
        <v>1</v>
      </c>
      <c r="BA1409" t="s">
        <v>24526</v>
      </c>
      <c r="BB1409" t="s">
        <v>24527</v>
      </c>
      <c r="BC1409">
        <v>0.67600000000000005</v>
      </c>
      <c r="BD1409" t="s">
        <v>65</v>
      </c>
      <c r="BE1409">
        <v>10</v>
      </c>
      <c r="BF1409">
        <v>5</v>
      </c>
      <c r="BG1409" t="s">
        <v>24528</v>
      </c>
      <c r="BH1409" t="s">
        <v>24529</v>
      </c>
      <c r="BI1409" t="s">
        <v>24530</v>
      </c>
      <c r="BJ1409">
        <v>0.1011</v>
      </c>
      <c r="BK1409">
        <v>1</v>
      </c>
      <c r="BL1409" t="s">
        <v>69</v>
      </c>
      <c r="BM1409">
        <v>-0.91100000000000003</v>
      </c>
      <c r="BN1409">
        <v>-0.67400000000000004</v>
      </c>
    </row>
    <row r="1410" spans="2:66">
      <c r="B1410">
        <v>2481</v>
      </c>
      <c r="C1410">
        <v>440</v>
      </c>
      <c r="D1410">
        <v>0</v>
      </c>
      <c r="E1410">
        <v>2</v>
      </c>
      <c r="F1410">
        <v>2</v>
      </c>
      <c r="J1410">
        <v>0</v>
      </c>
      <c r="K1410">
        <v>2</v>
      </c>
      <c r="L1410">
        <v>0</v>
      </c>
      <c r="M1410" t="s">
        <v>25022</v>
      </c>
      <c r="N1410">
        <v>4169</v>
      </c>
      <c r="O1410" t="s">
        <v>24538</v>
      </c>
      <c r="P1410" t="s">
        <v>62</v>
      </c>
      <c r="Q1410">
        <v>4135801</v>
      </c>
      <c r="R1410">
        <v>4137024</v>
      </c>
      <c r="S1410" t="s">
        <v>2900</v>
      </c>
      <c r="T1410">
        <v>408</v>
      </c>
      <c r="U1410" t="s">
        <v>6390</v>
      </c>
      <c r="V1410">
        <v>45</v>
      </c>
      <c r="W1410" t="str">
        <f>HYPERLINK("Gene4169-zp_tree_all.dnd", "Gene4169-tree")</f>
        <v>Gene4169-tree</v>
      </c>
      <c r="X1410">
        <v>26</v>
      </c>
      <c r="Y1410">
        <v>11</v>
      </c>
      <c r="Z1410">
        <v>7</v>
      </c>
      <c r="AA1410">
        <v>11</v>
      </c>
      <c r="AB1410">
        <v>0.61111000000000004</v>
      </c>
      <c r="AC1410" t="s">
        <v>191</v>
      </c>
      <c r="AD1410" t="s">
        <v>73</v>
      </c>
      <c r="AE1410">
        <v>4.22</v>
      </c>
      <c r="AF1410" t="s">
        <v>267</v>
      </c>
      <c r="AG1410">
        <v>1</v>
      </c>
      <c r="AH1410">
        <v>2</v>
      </c>
      <c r="AI1410">
        <v>16</v>
      </c>
      <c r="AJ1410">
        <v>0.11111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2</v>
      </c>
      <c r="AQ1410">
        <v>0</v>
      </c>
      <c r="AR1410">
        <v>2</v>
      </c>
      <c r="AS1410">
        <v>15</v>
      </c>
      <c r="AT1410">
        <v>0.11765</v>
      </c>
      <c r="AU1410">
        <v>15</v>
      </c>
      <c r="AV1410">
        <v>15</v>
      </c>
      <c r="AW1410">
        <v>150</v>
      </c>
      <c r="AX1410">
        <v>12</v>
      </c>
      <c r="AY1410">
        <v>109</v>
      </c>
      <c r="AZ1410">
        <v>6</v>
      </c>
      <c r="BA1410" t="s">
        <v>24539</v>
      </c>
      <c r="BB1410" t="s">
        <v>24540</v>
      </c>
      <c r="BC1410">
        <v>0.15</v>
      </c>
      <c r="BD1410" t="s">
        <v>65</v>
      </c>
      <c r="BE1410">
        <v>259</v>
      </c>
      <c r="BF1410">
        <v>18</v>
      </c>
      <c r="BG1410" t="s">
        <v>24541</v>
      </c>
      <c r="BH1410" t="s">
        <v>24542</v>
      </c>
      <c r="BI1410" t="s">
        <v>24543</v>
      </c>
      <c r="BJ1410">
        <v>2.1329999999999998E-2</v>
      </c>
      <c r="BK1410">
        <v>1</v>
      </c>
      <c r="BL1410" t="s">
        <v>69</v>
      </c>
      <c r="BM1410">
        <v>-0.54300000000000004</v>
      </c>
      <c r="BN1410">
        <v>-1.3380000000000001</v>
      </c>
    </row>
    <row r="1411" spans="2:66">
      <c r="B1411">
        <v>2486</v>
      </c>
      <c r="C1411">
        <v>117</v>
      </c>
      <c r="D1411">
        <v>0</v>
      </c>
      <c r="E1411">
        <v>2</v>
      </c>
      <c r="F1411">
        <v>0</v>
      </c>
      <c r="J1411">
        <v>0</v>
      </c>
      <c r="K1411">
        <v>3</v>
      </c>
      <c r="L1411">
        <v>0</v>
      </c>
      <c r="M1411" t="s">
        <v>25022</v>
      </c>
      <c r="N1411">
        <v>4170</v>
      </c>
      <c r="O1411" t="s">
        <v>24544</v>
      </c>
      <c r="P1411" t="s">
        <v>62</v>
      </c>
      <c r="Q1411">
        <v>4137090</v>
      </c>
      <c r="R1411">
        <v>4137257</v>
      </c>
      <c r="S1411" t="s">
        <v>2302</v>
      </c>
      <c r="T1411">
        <v>56</v>
      </c>
      <c r="U1411" t="s">
        <v>24545</v>
      </c>
      <c r="V1411">
        <v>42</v>
      </c>
      <c r="W1411" t="str">
        <f>HYPERLINK("Gene4170-zp_tree_all.dnd", "Gene4170-tree")</f>
        <v>Gene4170-tree</v>
      </c>
      <c r="X1411">
        <v>6</v>
      </c>
      <c r="Y1411">
        <v>5</v>
      </c>
      <c r="Z1411">
        <v>6</v>
      </c>
      <c r="AA1411">
        <v>5</v>
      </c>
      <c r="AB1411">
        <v>0.45455000000000001</v>
      </c>
      <c r="AC1411" t="s">
        <v>90</v>
      </c>
      <c r="AD1411" t="s">
        <v>199</v>
      </c>
      <c r="AE1411" t="s">
        <v>62</v>
      </c>
      <c r="AF1411" t="s">
        <v>62</v>
      </c>
      <c r="AG1411">
        <v>1</v>
      </c>
      <c r="AH1411">
        <v>3</v>
      </c>
      <c r="AI1411">
        <v>6</v>
      </c>
      <c r="AJ1411">
        <v>0.33333000000000002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2</v>
      </c>
      <c r="AQ1411">
        <v>0</v>
      </c>
      <c r="AR1411">
        <v>2</v>
      </c>
      <c r="AS1411">
        <v>4</v>
      </c>
      <c r="AT1411">
        <v>0.33333000000000002</v>
      </c>
      <c r="AU1411">
        <v>7</v>
      </c>
      <c r="AV1411">
        <v>6</v>
      </c>
      <c r="AW1411">
        <v>4</v>
      </c>
      <c r="AX1411">
        <v>6</v>
      </c>
      <c r="AY1411">
        <v>6</v>
      </c>
      <c r="AZ1411">
        <v>3</v>
      </c>
      <c r="BA1411" t="s">
        <v>24546</v>
      </c>
      <c r="BB1411" t="s">
        <v>24547</v>
      </c>
      <c r="BC1411">
        <v>1.236</v>
      </c>
      <c r="BD1411" t="s">
        <v>65</v>
      </c>
      <c r="BE1411">
        <v>10</v>
      </c>
      <c r="BF1411">
        <v>9</v>
      </c>
      <c r="BG1411" t="s">
        <v>24548</v>
      </c>
      <c r="BH1411" t="s">
        <v>24549</v>
      </c>
      <c r="BI1411" t="s">
        <v>24550</v>
      </c>
      <c r="BJ1411">
        <v>0.23227</v>
      </c>
      <c r="BK1411">
        <v>0.99</v>
      </c>
      <c r="BL1411" t="s">
        <v>69</v>
      </c>
      <c r="BM1411">
        <v>-0.28899999999999998</v>
      </c>
      <c r="BN1411">
        <v>-0.91300000000000003</v>
      </c>
    </row>
    <row r="1412" spans="2:66">
      <c r="B1412">
        <v>2489</v>
      </c>
      <c r="C1412">
        <v>390</v>
      </c>
      <c r="D1412">
        <v>2</v>
      </c>
      <c r="E1412">
        <v>9</v>
      </c>
      <c r="F1412">
        <v>3</v>
      </c>
      <c r="J1412">
        <v>0</v>
      </c>
      <c r="K1412">
        <v>2</v>
      </c>
      <c r="L1412">
        <v>0</v>
      </c>
      <c r="M1412" t="s">
        <v>25022</v>
      </c>
      <c r="N1412">
        <v>4171</v>
      </c>
      <c r="O1412" t="s">
        <v>24551</v>
      </c>
      <c r="P1412" t="s">
        <v>62</v>
      </c>
      <c r="Q1412">
        <v>4137365</v>
      </c>
      <c r="R1412">
        <v>4137610</v>
      </c>
      <c r="S1412" t="s">
        <v>4672</v>
      </c>
      <c r="T1412">
        <v>82</v>
      </c>
      <c r="U1412" t="s">
        <v>24552</v>
      </c>
      <c r="V1412">
        <v>33</v>
      </c>
      <c r="W1412" t="str">
        <f>HYPERLINK("Gene4171-zp_tree_all.dnd", "Gene4171-tree")</f>
        <v>Gene4171-tree</v>
      </c>
      <c r="X1412">
        <v>4</v>
      </c>
      <c r="Y1412">
        <v>4</v>
      </c>
      <c r="Z1412">
        <v>4</v>
      </c>
      <c r="AA1412">
        <v>4</v>
      </c>
      <c r="AB1412">
        <v>0.5</v>
      </c>
      <c r="AC1412" t="s">
        <v>61</v>
      </c>
      <c r="AD1412" t="s">
        <v>61</v>
      </c>
      <c r="AE1412" t="s">
        <v>62</v>
      </c>
      <c r="AF1412" t="s">
        <v>62</v>
      </c>
      <c r="AG1412">
        <v>1</v>
      </c>
      <c r="AH1412">
        <v>2</v>
      </c>
      <c r="AI1412">
        <v>8</v>
      </c>
      <c r="AJ1412">
        <v>0.2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6</v>
      </c>
      <c r="AT1412">
        <v>0</v>
      </c>
      <c r="AU1412">
        <v>7</v>
      </c>
      <c r="AV1412">
        <v>5</v>
      </c>
      <c r="AW1412">
        <v>13</v>
      </c>
      <c r="AX1412">
        <v>6</v>
      </c>
      <c r="AY1412">
        <v>3</v>
      </c>
      <c r="AZ1412">
        <v>4</v>
      </c>
      <c r="BA1412" t="s">
        <v>24553</v>
      </c>
      <c r="BB1412" t="s">
        <v>24554</v>
      </c>
      <c r="BC1412">
        <v>1.1439999999999999</v>
      </c>
      <c r="BD1412" t="s">
        <v>65</v>
      </c>
      <c r="BE1412">
        <v>16</v>
      </c>
      <c r="BF1412">
        <v>10</v>
      </c>
      <c r="BG1412" t="s">
        <v>24555</v>
      </c>
      <c r="BH1412" t="s">
        <v>24556</v>
      </c>
      <c r="BI1412" t="s">
        <v>24557</v>
      </c>
      <c r="BJ1412">
        <v>0.24009</v>
      </c>
      <c r="BK1412">
        <v>0.99</v>
      </c>
      <c r="BL1412" t="s">
        <v>69</v>
      </c>
      <c r="BM1412">
        <v>0.80800000000000005</v>
      </c>
      <c r="BN1412">
        <v>-0.29599999999999999</v>
      </c>
    </row>
    <row r="1413" spans="2:66">
      <c r="B1413">
        <v>2490</v>
      </c>
      <c r="C1413">
        <v>53</v>
      </c>
      <c r="D1413">
        <v>0</v>
      </c>
      <c r="E1413">
        <v>5</v>
      </c>
      <c r="F1413">
        <v>0</v>
      </c>
      <c r="J1413">
        <v>0</v>
      </c>
      <c r="K1413">
        <v>53</v>
      </c>
      <c r="L1413">
        <v>7</v>
      </c>
      <c r="M1413" t="s">
        <v>25022</v>
      </c>
      <c r="N1413">
        <v>4172</v>
      </c>
      <c r="O1413" t="s">
        <v>24558</v>
      </c>
      <c r="P1413" t="s">
        <v>62</v>
      </c>
      <c r="Q1413">
        <v>4137629</v>
      </c>
      <c r="R1413">
        <v>4138789</v>
      </c>
      <c r="S1413" t="s">
        <v>288</v>
      </c>
      <c r="T1413">
        <v>387</v>
      </c>
      <c r="U1413" t="s">
        <v>24559</v>
      </c>
      <c r="V1413">
        <v>35</v>
      </c>
      <c r="W1413" t="str">
        <f>HYPERLINK("Gene4172-zp_tree_all.dnd", "Gene4172-tree")</f>
        <v>Gene4172-tree</v>
      </c>
      <c r="X1413">
        <v>1</v>
      </c>
      <c r="Y1413">
        <v>11</v>
      </c>
      <c r="Z1413">
        <v>1</v>
      </c>
      <c r="AA1413">
        <v>11</v>
      </c>
      <c r="AB1413">
        <v>0.91666999999999998</v>
      </c>
      <c r="AC1413" t="s">
        <v>175</v>
      </c>
      <c r="AD1413" t="s">
        <v>73</v>
      </c>
      <c r="AE1413">
        <v>1144612630.289</v>
      </c>
      <c r="AF1413" t="s">
        <v>267</v>
      </c>
      <c r="AG1413">
        <v>22</v>
      </c>
      <c r="AH1413">
        <v>60</v>
      </c>
      <c r="AI1413">
        <v>32</v>
      </c>
      <c r="AJ1413">
        <v>0.65217000000000003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16</v>
      </c>
      <c r="AQ1413">
        <v>9</v>
      </c>
      <c r="AR1413">
        <v>25</v>
      </c>
      <c r="AS1413">
        <v>36</v>
      </c>
      <c r="AT1413">
        <v>0.40983999999999998</v>
      </c>
      <c r="AU1413">
        <v>12</v>
      </c>
      <c r="AV1413">
        <v>9</v>
      </c>
      <c r="AW1413">
        <v>75</v>
      </c>
      <c r="AX1413">
        <v>64</v>
      </c>
      <c r="AY1413">
        <v>48</v>
      </c>
      <c r="AZ1413">
        <v>33</v>
      </c>
      <c r="BA1413" t="s">
        <v>24560</v>
      </c>
      <c r="BB1413" t="s">
        <v>24561</v>
      </c>
      <c r="BC1413">
        <v>0.64500000000000002</v>
      </c>
      <c r="BD1413" t="s">
        <v>65</v>
      </c>
      <c r="BE1413">
        <v>123</v>
      </c>
      <c r="BF1413">
        <v>97</v>
      </c>
      <c r="BG1413" t="s">
        <v>24562</v>
      </c>
      <c r="BH1413" t="s">
        <v>24563</v>
      </c>
      <c r="BI1413" t="s">
        <v>24564</v>
      </c>
      <c r="BJ1413">
        <v>0.21065999999999999</v>
      </c>
      <c r="BK1413">
        <v>1</v>
      </c>
      <c r="BL1413" t="s">
        <v>69</v>
      </c>
      <c r="BM1413">
        <v>-0.29599999999999999</v>
      </c>
      <c r="BN1413">
        <v>-0.70599999999999996</v>
      </c>
    </row>
    <row r="1414" spans="2:66">
      <c r="B1414">
        <v>2492</v>
      </c>
      <c r="C1414">
        <v>135</v>
      </c>
      <c r="D1414">
        <v>2</v>
      </c>
      <c r="E1414">
        <v>14</v>
      </c>
      <c r="F1414">
        <v>2</v>
      </c>
      <c r="J1414">
        <v>0</v>
      </c>
      <c r="K1414">
        <v>4</v>
      </c>
      <c r="L1414">
        <v>4</v>
      </c>
      <c r="M1414" t="s">
        <v>25022</v>
      </c>
      <c r="N1414">
        <v>4173</v>
      </c>
      <c r="O1414" t="s">
        <v>24565</v>
      </c>
      <c r="P1414" t="s">
        <v>62</v>
      </c>
      <c r="Q1414">
        <v>4138803</v>
      </c>
      <c r="R1414">
        <v>4139537</v>
      </c>
      <c r="S1414" t="s">
        <v>24566</v>
      </c>
      <c r="T1414">
        <v>245</v>
      </c>
      <c r="U1414" t="s">
        <v>1174</v>
      </c>
      <c r="V1414">
        <v>42</v>
      </c>
      <c r="W1414" t="str">
        <f>HYPERLINK("Gene4173-zp_tree_all.dnd", "Gene4173-tree")</f>
        <v>Gene4173-tree</v>
      </c>
      <c r="X1414">
        <v>8</v>
      </c>
      <c r="Y1414">
        <v>8</v>
      </c>
      <c r="Z1414">
        <v>8</v>
      </c>
      <c r="AA1414">
        <v>8</v>
      </c>
      <c r="AB1414">
        <v>0.5</v>
      </c>
      <c r="AC1414" t="s">
        <v>136</v>
      </c>
      <c r="AD1414" t="s">
        <v>136</v>
      </c>
      <c r="AE1414" t="s">
        <v>62</v>
      </c>
      <c r="AF1414" t="s">
        <v>62</v>
      </c>
      <c r="AG1414">
        <v>4</v>
      </c>
      <c r="AH1414">
        <v>8</v>
      </c>
      <c r="AI1414">
        <v>10</v>
      </c>
      <c r="AJ1414">
        <v>0.44444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4</v>
      </c>
      <c r="AR1414">
        <v>4</v>
      </c>
      <c r="AS1414">
        <v>12</v>
      </c>
      <c r="AT1414">
        <v>0.25</v>
      </c>
      <c r="AU1414">
        <v>14</v>
      </c>
      <c r="AV1414">
        <v>12</v>
      </c>
      <c r="AW1414">
        <v>42</v>
      </c>
      <c r="AX1414">
        <v>17</v>
      </c>
      <c r="AY1414">
        <v>21</v>
      </c>
      <c r="AZ1414">
        <v>2</v>
      </c>
      <c r="BA1414" t="s">
        <v>24567</v>
      </c>
      <c r="BB1414" t="s">
        <v>24568</v>
      </c>
      <c r="BC1414">
        <v>1.2010000000000001</v>
      </c>
      <c r="BD1414" t="s">
        <v>65</v>
      </c>
      <c r="BE1414">
        <v>63</v>
      </c>
      <c r="BF1414">
        <v>19</v>
      </c>
      <c r="BG1414" t="s">
        <v>24569</v>
      </c>
      <c r="BH1414" t="s">
        <v>24570</v>
      </c>
      <c r="BI1414" t="s">
        <v>24571</v>
      </c>
      <c r="BJ1414">
        <v>7.8990000000000005E-2</v>
      </c>
      <c r="BK1414">
        <v>1</v>
      </c>
      <c r="BL1414" t="s">
        <v>69</v>
      </c>
      <c r="BM1414">
        <v>-0.64500000000000002</v>
      </c>
      <c r="BN1414">
        <v>-2.7949999999999999</v>
      </c>
    </row>
    <row r="1415" spans="2:66">
      <c r="B1415">
        <v>2494</v>
      </c>
      <c r="C1415">
        <v>21</v>
      </c>
      <c r="D1415">
        <v>0</v>
      </c>
      <c r="E1415">
        <v>13</v>
      </c>
      <c r="F1415">
        <v>0</v>
      </c>
      <c r="J1415">
        <v>0</v>
      </c>
      <c r="K1415">
        <v>11</v>
      </c>
      <c r="L1415">
        <v>6</v>
      </c>
      <c r="M1415" t="s">
        <v>25022</v>
      </c>
      <c r="N1415">
        <v>4174</v>
      </c>
      <c r="O1415" t="s">
        <v>24572</v>
      </c>
      <c r="P1415" t="s">
        <v>62</v>
      </c>
      <c r="Q1415">
        <v>4139682</v>
      </c>
      <c r="R1415">
        <v>4140149</v>
      </c>
      <c r="S1415" t="s">
        <v>3718</v>
      </c>
      <c r="T1415">
        <v>156</v>
      </c>
      <c r="U1415" t="s">
        <v>1174</v>
      </c>
      <c r="V1415">
        <v>42</v>
      </c>
      <c r="W1415" t="str">
        <f>HYPERLINK("Gene4174-zp_tree_all.dnd", "Gene4174-tree")</f>
        <v>Gene4174-tree</v>
      </c>
      <c r="X1415">
        <v>4</v>
      </c>
      <c r="Y1415">
        <v>27</v>
      </c>
      <c r="Z1415">
        <v>4</v>
      </c>
      <c r="AA1415">
        <v>10</v>
      </c>
      <c r="AB1415">
        <v>0.71428999999999998</v>
      </c>
      <c r="AC1415" t="s">
        <v>61</v>
      </c>
      <c r="AD1415" t="s">
        <v>2980</v>
      </c>
      <c r="AE1415">
        <v>1.81</v>
      </c>
      <c r="AF1415" t="s">
        <v>65</v>
      </c>
      <c r="AG1415">
        <v>7</v>
      </c>
      <c r="AH1415">
        <v>17</v>
      </c>
      <c r="AI1415">
        <v>10</v>
      </c>
      <c r="AJ1415">
        <v>0.62963000000000002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4</v>
      </c>
      <c r="AQ1415">
        <v>6</v>
      </c>
      <c r="AR1415">
        <v>10</v>
      </c>
      <c r="AS1415">
        <v>11</v>
      </c>
      <c r="AT1415">
        <v>0.47619</v>
      </c>
      <c r="AU1415">
        <v>9</v>
      </c>
      <c r="AV1415">
        <v>9</v>
      </c>
      <c r="AW1415">
        <v>20</v>
      </c>
      <c r="AX1415">
        <v>18</v>
      </c>
      <c r="AY1415">
        <v>23</v>
      </c>
      <c r="AZ1415">
        <v>9</v>
      </c>
      <c r="BA1415" t="s">
        <v>24573</v>
      </c>
      <c r="BB1415" t="s">
        <v>24574</v>
      </c>
      <c r="BC1415">
        <v>1.919</v>
      </c>
      <c r="BD1415" t="s">
        <v>65</v>
      </c>
      <c r="BE1415">
        <v>43</v>
      </c>
      <c r="BF1415">
        <v>27</v>
      </c>
      <c r="BG1415" t="s">
        <v>24575</v>
      </c>
      <c r="BH1415" t="s">
        <v>24576</v>
      </c>
      <c r="BI1415" t="s">
        <v>24577</v>
      </c>
      <c r="BJ1415">
        <v>0.16733000000000001</v>
      </c>
      <c r="BK1415">
        <v>1</v>
      </c>
      <c r="BL1415" t="s">
        <v>69</v>
      </c>
      <c r="BM1415">
        <v>-0.438</v>
      </c>
      <c r="BN1415">
        <v>-0.77200000000000002</v>
      </c>
    </row>
    <row r="1416" spans="2:66">
      <c r="B1416">
        <v>2495</v>
      </c>
      <c r="C1416">
        <v>84</v>
      </c>
      <c r="D1416">
        <v>0</v>
      </c>
      <c r="E1416">
        <v>4</v>
      </c>
      <c r="F1416">
        <v>0</v>
      </c>
      <c r="J1416">
        <v>0</v>
      </c>
      <c r="K1416">
        <v>0</v>
      </c>
      <c r="L1416">
        <v>0</v>
      </c>
      <c r="M1416" t="s">
        <v>25022</v>
      </c>
      <c r="N1416">
        <v>4177</v>
      </c>
      <c r="O1416" t="s">
        <v>24590</v>
      </c>
      <c r="P1416" t="s">
        <v>62</v>
      </c>
      <c r="Q1416">
        <v>4141714</v>
      </c>
      <c r="R1416">
        <v>4142601</v>
      </c>
      <c r="S1416" t="s">
        <v>24591</v>
      </c>
      <c r="T1416">
        <v>296</v>
      </c>
      <c r="U1416" t="s">
        <v>108</v>
      </c>
      <c r="V1416">
        <v>44</v>
      </c>
      <c r="W1416" t="str">
        <f>HYPERLINK("Gene4177-zp_tree_all.dnd", "Gene4177-tree")</f>
        <v>Gene4177-tree</v>
      </c>
      <c r="X1416">
        <v>31</v>
      </c>
      <c r="Y1416">
        <v>1</v>
      </c>
      <c r="Z1416">
        <v>14</v>
      </c>
      <c r="AA1416">
        <v>1</v>
      </c>
      <c r="AB1416">
        <v>6.6669999999999993E-2</v>
      </c>
      <c r="AC1416" t="s">
        <v>4627</v>
      </c>
      <c r="AD1416" t="s">
        <v>175</v>
      </c>
      <c r="AE1416" t="s">
        <v>62</v>
      </c>
      <c r="AF1416" t="s">
        <v>62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14</v>
      </c>
      <c r="AV1416">
        <v>12</v>
      </c>
      <c r="AW1416">
        <v>44</v>
      </c>
      <c r="AX1416">
        <v>1</v>
      </c>
      <c r="AY1416">
        <v>20</v>
      </c>
      <c r="AZ1416">
        <v>0</v>
      </c>
      <c r="BA1416" t="s">
        <v>24592</v>
      </c>
      <c r="BB1416" t="s">
        <v>193</v>
      </c>
      <c r="BC1416">
        <v>0.28000000000000003</v>
      </c>
      <c r="BD1416" t="s">
        <v>65</v>
      </c>
      <c r="BE1416">
        <v>64</v>
      </c>
      <c r="BF1416">
        <v>1</v>
      </c>
      <c r="BG1416" t="s">
        <v>24593</v>
      </c>
      <c r="BH1416" t="s">
        <v>24594</v>
      </c>
      <c r="BI1416" t="s">
        <v>24595</v>
      </c>
      <c r="BJ1416">
        <v>3.8899999999999998E-3</v>
      </c>
      <c r="BK1416">
        <v>1</v>
      </c>
      <c r="BL1416" t="s">
        <v>69</v>
      </c>
      <c r="BM1416">
        <v>-0.71699999999999997</v>
      </c>
      <c r="BN1416">
        <v>-1.5960000000000001</v>
      </c>
    </row>
    <row r="1417" spans="2:66">
      <c r="B1417">
        <v>2496</v>
      </c>
      <c r="C1417">
        <v>45</v>
      </c>
      <c r="D1417">
        <v>0</v>
      </c>
      <c r="E1417">
        <v>4</v>
      </c>
      <c r="F1417">
        <v>0</v>
      </c>
      <c r="J1417">
        <v>0</v>
      </c>
      <c r="K1417">
        <v>9</v>
      </c>
      <c r="L1417">
        <v>0</v>
      </c>
      <c r="M1417" t="s">
        <v>25022</v>
      </c>
      <c r="N1417">
        <v>4178</v>
      </c>
      <c r="O1417" t="s">
        <v>24596</v>
      </c>
      <c r="P1417" t="s">
        <v>62</v>
      </c>
      <c r="Q1417">
        <v>4142678</v>
      </c>
      <c r="R1417">
        <v>4144078</v>
      </c>
      <c r="S1417" t="s">
        <v>24597</v>
      </c>
      <c r="T1417">
        <v>467</v>
      </c>
      <c r="U1417" t="s">
        <v>108</v>
      </c>
      <c r="V1417">
        <v>44</v>
      </c>
      <c r="W1417" t="str">
        <f>HYPERLINK("Gene4178-zp_tree_all.dnd", "Gene4178-tree")</f>
        <v>Gene4178-tree</v>
      </c>
      <c r="X1417">
        <v>27</v>
      </c>
      <c r="Y1417">
        <v>7</v>
      </c>
      <c r="Z1417">
        <v>10</v>
      </c>
      <c r="AA1417">
        <v>7</v>
      </c>
      <c r="AB1417">
        <v>0.41176000000000001</v>
      </c>
      <c r="AC1417" t="s">
        <v>2980</v>
      </c>
      <c r="AD1417" t="s">
        <v>152</v>
      </c>
      <c r="AE1417" t="s">
        <v>62</v>
      </c>
      <c r="AF1417" t="s">
        <v>62</v>
      </c>
      <c r="AG1417">
        <v>2</v>
      </c>
      <c r="AH1417">
        <v>9</v>
      </c>
      <c r="AI1417">
        <v>11</v>
      </c>
      <c r="AJ1417">
        <v>0.45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3</v>
      </c>
      <c r="AQ1417">
        <v>0</v>
      </c>
      <c r="AR1417">
        <v>3</v>
      </c>
      <c r="AS1417">
        <v>4</v>
      </c>
      <c r="AT1417">
        <v>0.42857000000000001</v>
      </c>
      <c r="AU1417">
        <v>15</v>
      </c>
      <c r="AV1417">
        <v>13</v>
      </c>
      <c r="AW1417">
        <v>80</v>
      </c>
      <c r="AX1417">
        <v>7</v>
      </c>
      <c r="AY1417">
        <v>92</v>
      </c>
      <c r="AZ1417">
        <v>14</v>
      </c>
      <c r="BA1417" t="s">
        <v>24598</v>
      </c>
      <c r="BB1417" t="s">
        <v>24599</v>
      </c>
      <c r="BC1417">
        <v>0.29499999999999998</v>
      </c>
      <c r="BD1417" t="s">
        <v>65</v>
      </c>
      <c r="BE1417">
        <v>172</v>
      </c>
      <c r="BF1417">
        <v>21</v>
      </c>
      <c r="BG1417" t="s">
        <v>24600</v>
      </c>
      <c r="BH1417" t="s">
        <v>24601</v>
      </c>
      <c r="BI1417" t="s">
        <v>24602</v>
      </c>
      <c r="BJ1417">
        <v>5.0250000000000003E-2</v>
      </c>
      <c r="BK1417">
        <v>1</v>
      </c>
      <c r="BL1417" t="s">
        <v>69</v>
      </c>
      <c r="BM1417">
        <v>0.20499999999999999</v>
      </c>
      <c r="BN1417">
        <v>-0.191</v>
      </c>
    </row>
    <row r="1418" spans="2:66">
      <c r="B1418">
        <v>2497</v>
      </c>
      <c r="C1418">
        <v>64</v>
      </c>
      <c r="D1418">
        <v>0</v>
      </c>
      <c r="E1418">
        <v>6</v>
      </c>
      <c r="F1418">
        <v>0</v>
      </c>
      <c r="J1418">
        <v>0</v>
      </c>
      <c r="K1418">
        <v>16</v>
      </c>
      <c r="L1418">
        <v>0</v>
      </c>
      <c r="M1418" t="s">
        <v>25022</v>
      </c>
      <c r="N1418">
        <v>4179</v>
      </c>
      <c r="O1418" t="s">
        <v>24603</v>
      </c>
      <c r="P1418" t="s">
        <v>62</v>
      </c>
      <c r="Q1418">
        <v>4144304</v>
      </c>
      <c r="R1418">
        <v>4145506</v>
      </c>
      <c r="S1418" t="s">
        <v>24604</v>
      </c>
      <c r="T1418">
        <v>401</v>
      </c>
      <c r="U1418" t="s">
        <v>72</v>
      </c>
      <c r="V1418">
        <v>45</v>
      </c>
      <c r="W1418" t="str">
        <f>HYPERLINK("Gene4179-zp_tree_all.dnd", "Gene4179-tree")</f>
        <v>Gene4179-tree</v>
      </c>
      <c r="X1418">
        <v>4</v>
      </c>
      <c r="Y1418">
        <v>30</v>
      </c>
      <c r="Z1418">
        <v>4</v>
      </c>
      <c r="AA1418">
        <v>12</v>
      </c>
      <c r="AB1418">
        <v>0.75</v>
      </c>
      <c r="AC1418" t="s">
        <v>61</v>
      </c>
      <c r="AD1418" t="s">
        <v>23505</v>
      </c>
      <c r="AE1418">
        <v>1.5469999999999999</v>
      </c>
      <c r="AF1418" t="s">
        <v>65</v>
      </c>
      <c r="AG1418">
        <v>4</v>
      </c>
      <c r="AH1418">
        <v>16</v>
      </c>
      <c r="AI1418">
        <v>6</v>
      </c>
      <c r="AJ1418">
        <v>0.72726999999999997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10</v>
      </c>
      <c r="AQ1418">
        <v>2</v>
      </c>
      <c r="AR1418">
        <v>12</v>
      </c>
      <c r="AS1418">
        <v>5</v>
      </c>
      <c r="AT1418">
        <v>0.70587999999999995</v>
      </c>
      <c r="AU1418">
        <v>15</v>
      </c>
      <c r="AV1418">
        <v>13</v>
      </c>
      <c r="AW1418">
        <v>112</v>
      </c>
      <c r="AX1418">
        <v>16</v>
      </c>
      <c r="AY1418">
        <v>47</v>
      </c>
      <c r="AZ1418">
        <v>6</v>
      </c>
      <c r="BA1418" t="s">
        <v>24605</v>
      </c>
      <c r="BB1418" t="s">
        <v>24606</v>
      </c>
      <c r="BC1418">
        <v>9.8000000000000004E-2</v>
      </c>
      <c r="BD1418" t="s">
        <v>65</v>
      </c>
      <c r="BE1418">
        <v>159</v>
      </c>
      <c r="BF1418">
        <v>22</v>
      </c>
      <c r="BG1418" t="s">
        <v>24607</v>
      </c>
      <c r="BH1418" t="s">
        <v>24608</v>
      </c>
      <c r="BI1418" t="s">
        <v>24609</v>
      </c>
      <c r="BJ1418">
        <v>3.3709999999999997E-2</v>
      </c>
      <c r="BK1418">
        <v>1</v>
      </c>
      <c r="BL1418" t="s">
        <v>69</v>
      </c>
      <c r="BM1418">
        <v>-0.67300000000000004</v>
      </c>
      <c r="BN1418">
        <v>-2.613</v>
      </c>
    </row>
    <row r="1419" spans="2:66">
      <c r="B1419">
        <v>2499</v>
      </c>
      <c r="C1419">
        <v>27</v>
      </c>
      <c r="D1419">
        <v>0</v>
      </c>
      <c r="E1419">
        <v>2</v>
      </c>
      <c r="F1419">
        <v>0</v>
      </c>
      <c r="J1419">
        <v>0</v>
      </c>
      <c r="K1419">
        <v>0</v>
      </c>
      <c r="L1419">
        <v>0</v>
      </c>
      <c r="M1419" t="s">
        <v>25022</v>
      </c>
      <c r="N1419">
        <v>4182</v>
      </c>
      <c r="O1419" t="s">
        <v>24617</v>
      </c>
      <c r="P1419" t="s">
        <v>62</v>
      </c>
      <c r="Q1419">
        <v>4147422</v>
      </c>
      <c r="R1419">
        <v>4147547</v>
      </c>
      <c r="S1419" t="s">
        <v>24618</v>
      </c>
      <c r="T1419">
        <v>42</v>
      </c>
      <c r="U1419" t="s">
        <v>24619</v>
      </c>
      <c r="V1419">
        <v>24</v>
      </c>
      <c r="W1419" t="str">
        <f>HYPERLINK("Gene4182-zp_tree_all.dnd", "Gene4182-tree")</f>
        <v>Gene4182-tree</v>
      </c>
      <c r="X1419">
        <v>2</v>
      </c>
      <c r="Y1419">
        <v>2</v>
      </c>
      <c r="Z1419">
        <v>2</v>
      </c>
      <c r="AA1419">
        <v>2</v>
      </c>
      <c r="AB1419">
        <v>0.5</v>
      </c>
      <c r="AC1419" t="s">
        <v>81</v>
      </c>
      <c r="AD1419" t="s">
        <v>81</v>
      </c>
      <c r="AE1419" t="s">
        <v>62</v>
      </c>
      <c r="AF1419" t="s">
        <v>62</v>
      </c>
      <c r="AG1419">
        <v>0</v>
      </c>
      <c r="AH1419">
        <v>0</v>
      </c>
      <c r="AI1419">
        <v>2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2</v>
      </c>
      <c r="AT1419">
        <v>0</v>
      </c>
      <c r="AU1419">
        <v>3</v>
      </c>
      <c r="AV1419">
        <v>0</v>
      </c>
      <c r="AW1419">
        <v>1</v>
      </c>
      <c r="AX1419">
        <v>2</v>
      </c>
      <c r="AY1419">
        <v>0</v>
      </c>
      <c r="AZ1419">
        <v>0</v>
      </c>
      <c r="BA1419" t="s">
        <v>24620</v>
      </c>
      <c r="BB1419" t="s">
        <v>193</v>
      </c>
      <c r="BC1419">
        <v>0.69299999999999995</v>
      </c>
      <c r="BD1419" t="s">
        <v>65</v>
      </c>
      <c r="BE1419">
        <v>1</v>
      </c>
      <c r="BF1419">
        <v>2</v>
      </c>
      <c r="BG1419" t="s">
        <v>24621</v>
      </c>
      <c r="BH1419" t="s">
        <v>24622</v>
      </c>
      <c r="BI1419" t="s">
        <v>24623</v>
      </c>
      <c r="BJ1419">
        <v>0.54100999999999999</v>
      </c>
      <c r="BK1419">
        <v>0.36199999999999999</v>
      </c>
      <c r="BL1419" t="s">
        <v>635</v>
      </c>
      <c r="BM1419">
        <v>-0.122</v>
      </c>
      <c r="BN1419">
        <v>-0.189</v>
      </c>
    </row>
    <row r="1420" spans="2:66">
      <c r="B1420">
        <v>2500</v>
      </c>
      <c r="C1420">
        <v>29</v>
      </c>
      <c r="D1420">
        <v>0</v>
      </c>
      <c r="E1420">
        <v>2</v>
      </c>
      <c r="F1420">
        <v>2</v>
      </c>
      <c r="J1420">
        <v>0</v>
      </c>
      <c r="K1420">
        <v>0</v>
      </c>
      <c r="L1420">
        <v>0</v>
      </c>
      <c r="M1420" t="s">
        <v>25022</v>
      </c>
      <c r="N1420">
        <v>4183</v>
      </c>
      <c r="O1420" t="s">
        <v>24624</v>
      </c>
      <c r="P1420" t="s">
        <v>62</v>
      </c>
      <c r="Q1420">
        <v>4148854</v>
      </c>
      <c r="R1420">
        <v>4149645</v>
      </c>
      <c r="S1420" t="s">
        <v>2512</v>
      </c>
      <c r="T1420">
        <v>264</v>
      </c>
      <c r="U1420" t="s">
        <v>465</v>
      </c>
      <c r="V1420">
        <v>46</v>
      </c>
      <c r="W1420" t="str">
        <f>HYPERLINK("Gene4183-zp_tree_all.dnd", "Gene4183-tree")</f>
        <v>Gene4183-tree</v>
      </c>
      <c r="X1420">
        <v>12</v>
      </c>
      <c r="Y1420">
        <v>21</v>
      </c>
      <c r="Z1420">
        <v>12</v>
      </c>
      <c r="AA1420">
        <v>3</v>
      </c>
      <c r="AB1420">
        <v>0.2</v>
      </c>
      <c r="AC1420" t="s">
        <v>109</v>
      </c>
      <c r="AD1420" t="s">
        <v>24625</v>
      </c>
      <c r="AE1420">
        <v>6.7370000000000001</v>
      </c>
      <c r="AF1420" t="s">
        <v>65</v>
      </c>
      <c r="AG1420">
        <v>0</v>
      </c>
      <c r="AH1420">
        <v>0</v>
      </c>
      <c r="AI1420">
        <v>6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4</v>
      </c>
      <c r="AT1420">
        <v>0</v>
      </c>
      <c r="AU1420">
        <v>13</v>
      </c>
      <c r="AV1420">
        <v>11</v>
      </c>
      <c r="AW1420">
        <v>41</v>
      </c>
      <c r="AX1420">
        <v>4</v>
      </c>
      <c r="AY1420">
        <v>55</v>
      </c>
      <c r="AZ1420">
        <v>2</v>
      </c>
      <c r="BA1420" t="s">
        <v>24626</v>
      </c>
      <c r="BB1420" t="s">
        <v>24627</v>
      </c>
      <c r="BC1420">
        <v>0.45600000000000002</v>
      </c>
      <c r="BD1420" t="s">
        <v>65</v>
      </c>
      <c r="BE1420">
        <v>96</v>
      </c>
      <c r="BF1420">
        <v>6</v>
      </c>
      <c r="BG1420" t="s">
        <v>24628</v>
      </c>
      <c r="BH1420" t="s">
        <v>24629</v>
      </c>
      <c r="BI1420" t="s">
        <v>24630</v>
      </c>
      <c r="BJ1420">
        <v>1.4579999999999999E-2</v>
      </c>
      <c r="BK1420">
        <v>1</v>
      </c>
      <c r="BL1420" t="s">
        <v>69</v>
      </c>
      <c r="BM1420">
        <v>-0.68100000000000005</v>
      </c>
      <c r="BN1420">
        <v>0.48699999999999999</v>
      </c>
    </row>
    <row r="1421" spans="2:66">
      <c r="B1421">
        <v>2502</v>
      </c>
      <c r="C1421">
        <v>33</v>
      </c>
      <c r="D1421">
        <v>0</v>
      </c>
      <c r="E1421">
        <v>10</v>
      </c>
      <c r="F1421">
        <v>0</v>
      </c>
      <c r="J1421">
        <v>0</v>
      </c>
      <c r="K1421">
        <v>4</v>
      </c>
      <c r="L1421">
        <v>1</v>
      </c>
      <c r="M1421" t="s">
        <v>25022</v>
      </c>
      <c r="N1421">
        <v>4184</v>
      </c>
      <c r="O1421" t="s">
        <v>24631</v>
      </c>
      <c r="P1421" t="s">
        <v>62</v>
      </c>
      <c r="Q1421">
        <v>4149670</v>
      </c>
      <c r="R1421">
        <v>4150509</v>
      </c>
      <c r="S1421" t="s">
        <v>24632</v>
      </c>
      <c r="T1421">
        <v>280</v>
      </c>
      <c r="U1421" t="s">
        <v>160</v>
      </c>
      <c r="V1421">
        <v>45</v>
      </c>
      <c r="W1421" t="str">
        <f>HYPERLINK("Gene4184-zp_tree_all.dnd", "Gene4184-tree")</f>
        <v>Gene4184-tree</v>
      </c>
      <c r="X1421">
        <v>29</v>
      </c>
      <c r="Y1421">
        <v>3</v>
      </c>
      <c r="Z1421">
        <v>11</v>
      </c>
      <c r="AA1421">
        <v>3</v>
      </c>
      <c r="AB1421">
        <v>0.21429000000000001</v>
      </c>
      <c r="AC1421" t="s">
        <v>2086</v>
      </c>
      <c r="AD1421" t="s">
        <v>324</v>
      </c>
      <c r="AE1421" t="s">
        <v>62</v>
      </c>
      <c r="AF1421" t="s">
        <v>62</v>
      </c>
      <c r="AG1421">
        <v>2</v>
      </c>
      <c r="AH1421">
        <v>5</v>
      </c>
      <c r="AI1421">
        <v>11</v>
      </c>
      <c r="AJ1421">
        <v>0.3125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2</v>
      </c>
      <c r="AR1421">
        <v>2</v>
      </c>
      <c r="AS1421">
        <v>10</v>
      </c>
      <c r="AT1421">
        <v>0.16667000000000001</v>
      </c>
      <c r="AU1421">
        <v>11</v>
      </c>
      <c r="AV1421">
        <v>8</v>
      </c>
      <c r="AW1421">
        <v>54</v>
      </c>
      <c r="AX1421">
        <v>11</v>
      </c>
      <c r="AY1421">
        <v>16</v>
      </c>
      <c r="AZ1421">
        <v>5</v>
      </c>
      <c r="BA1421" t="s">
        <v>24633</v>
      </c>
      <c r="BB1421" t="s">
        <v>24634</v>
      </c>
      <c r="BC1421">
        <v>0.21</v>
      </c>
      <c r="BD1421" t="s">
        <v>65</v>
      </c>
      <c r="BE1421">
        <v>70</v>
      </c>
      <c r="BF1421">
        <v>16</v>
      </c>
      <c r="BG1421" t="s">
        <v>24635</v>
      </c>
      <c r="BH1421" t="s">
        <v>24636</v>
      </c>
      <c r="BI1421" t="s">
        <v>24637</v>
      </c>
      <c r="BJ1421">
        <v>6.2399999999999997E-2</v>
      </c>
      <c r="BK1421">
        <v>1</v>
      </c>
      <c r="BL1421" t="s">
        <v>69</v>
      </c>
      <c r="BM1421">
        <v>-1.151</v>
      </c>
      <c r="BN1421">
        <v>-2.669</v>
      </c>
    </row>
    <row r="1422" spans="2:66">
      <c r="B1422">
        <v>2503</v>
      </c>
      <c r="C1422">
        <v>184</v>
      </c>
      <c r="D1422">
        <v>0</v>
      </c>
      <c r="E1422">
        <v>4</v>
      </c>
      <c r="F1422">
        <v>0</v>
      </c>
      <c r="J1422">
        <v>0</v>
      </c>
      <c r="K1422">
        <v>8</v>
      </c>
      <c r="L1422">
        <v>0</v>
      </c>
      <c r="M1422" t="s">
        <v>25022</v>
      </c>
      <c r="N1422">
        <v>4185</v>
      </c>
      <c r="O1422" t="s">
        <v>24638</v>
      </c>
      <c r="P1422" t="s">
        <v>62</v>
      </c>
      <c r="Q1422">
        <v>4150499</v>
      </c>
      <c r="R1422">
        <v>4151863</v>
      </c>
      <c r="S1422" t="s">
        <v>24639</v>
      </c>
      <c r="T1422">
        <v>455</v>
      </c>
      <c r="U1422" t="s">
        <v>108</v>
      </c>
      <c r="V1422">
        <v>44</v>
      </c>
      <c r="W1422" t="str">
        <f>HYPERLINK("Gene4185-zp_tree_all.dnd", "Gene4185-tree")</f>
        <v>Gene4185-tree</v>
      </c>
      <c r="X1422">
        <v>8</v>
      </c>
      <c r="Y1422">
        <v>9</v>
      </c>
      <c r="Z1422">
        <v>8</v>
      </c>
      <c r="AA1422">
        <v>9</v>
      </c>
      <c r="AB1422">
        <v>0.52941000000000005</v>
      </c>
      <c r="AC1422" t="s">
        <v>136</v>
      </c>
      <c r="AD1422" t="s">
        <v>135</v>
      </c>
      <c r="AE1422" t="s">
        <v>62</v>
      </c>
      <c r="AF1422" t="s">
        <v>62</v>
      </c>
      <c r="AG1422">
        <v>3</v>
      </c>
      <c r="AH1422">
        <v>8</v>
      </c>
      <c r="AI1422">
        <v>10</v>
      </c>
      <c r="AJ1422">
        <v>0.44444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10</v>
      </c>
      <c r="AT1422">
        <v>0</v>
      </c>
      <c r="AU1422">
        <v>13</v>
      </c>
      <c r="AV1422">
        <v>14</v>
      </c>
      <c r="AW1422">
        <v>55</v>
      </c>
      <c r="AX1422">
        <v>8</v>
      </c>
      <c r="AY1422">
        <v>56</v>
      </c>
      <c r="AZ1422">
        <v>10</v>
      </c>
      <c r="BA1422" t="s">
        <v>24640</v>
      </c>
      <c r="BB1422" t="s">
        <v>24641</v>
      </c>
      <c r="BC1422">
        <v>0.36099999999999999</v>
      </c>
      <c r="BD1422" t="s">
        <v>65</v>
      </c>
      <c r="BE1422">
        <v>111</v>
      </c>
      <c r="BF1422">
        <v>18</v>
      </c>
      <c r="BG1422" t="s">
        <v>24642</v>
      </c>
      <c r="BH1422" t="s">
        <v>24643</v>
      </c>
      <c r="BI1422" t="s">
        <v>24644</v>
      </c>
      <c r="BJ1422">
        <v>4.9169999999999998E-2</v>
      </c>
      <c r="BK1422">
        <v>1</v>
      </c>
      <c r="BL1422" t="s">
        <v>69</v>
      </c>
      <c r="BM1422">
        <v>9.0999999999999998E-2</v>
      </c>
      <c r="BN1422">
        <v>-0.38400000000000001</v>
      </c>
    </row>
    <row r="1423" spans="2:66">
      <c r="B1423">
        <v>2504</v>
      </c>
      <c r="C1423">
        <v>132</v>
      </c>
      <c r="D1423">
        <v>0</v>
      </c>
      <c r="E1423">
        <v>0</v>
      </c>
      <c r="F1423">
        <v>2</v>
      </c>
      <c r="J1423">
        <v>0</v>
      </c>
      <c r="K1423">
        <v>0</v>
      </c>
      <c r="L1423">
        <v>0</v>
      </c>
      <c r="M1423" t="s">
        <v>25022</v>
      </c>
      <c r="N1423">
        <v>4186</v>
      </c>
      <c r="O1423" t="s">
        <v>24645</v>
      </c>
      <c r="P1423" t="s">
        <v>62</v>
      </c>
      <c r="Q1423">
        <v>4151856</v>
      </c>
      <c r="R1423">
        <v>4153688</v>
      </c>
      <c r="S1423" t="s">
        <v>24646</v>
      </c>
      <c r="T1423">
        <v>611</v>
      </c>
      <c r="U1423" t="s">
        <v>99</v>
      </c>
      <c r="V1423">
        <v>47</v>
      </c>
      <c r="W1423" t="str">
        <f>HYPERLINK("Gene4186-zp_tree_all.dnd", "Gene4186-tree")</f>
        <v>Gene4186-tree</v>
      </c>
      <c r="X1423">
        <v>15</v>
      </c>
      <c r="Y1423">
        <v>5</v>
      </c>
      <c r="Z1423">
        <v>15</v>
      </c>
      <c r="AA1423">
        <v>5</v>
      </c>
      <c r="AB1423">
        <v>0.25</v>
      </c>
      <c r="AC1423" t="s">
        <v>100</v>
      </c>
      <c r="AD1423" t="s">
        <v>199</v>
      </c>
      <c r="AE1423" t="s">
        <v>62</v>
      </c>
      <c r="AF1423" t="s">
        <v>62</v>
      </c>
      <c r="AG1423">
        <v>0</v>
      </c>
      <c r="AH1423">
        <v>0</v>
      </c>
      <c r="AI1423">
        <v>10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5</v>
      </c>
      <c r="AT1423">
        <v>0</v>
      </c>
      <c r="AU1423">
        <v>18</v>
      </c>
      <c r="AV1423">
        <v>15</v>
      </c>
      <c r="AW1423">
        <v>118</v>
      </c>
      <c r="AX1423">
        <v>6</v>
      </c>
      <c r="AY1423">
        <v>116</v>
      </c>
      <c r="AZ1423">
        <v>6</v>
      </c>
      <c r="BA1423" t="s">
        <v>24647</v>
      </c>
      <c r="BB1423" t="s">
        <v>24648</v>
      </c>
      <c r="BC1423">
        <v>3.0000000000000001E-3</v>
      </c>
      <c r="BD1423" t="s">
        <v>65</v>
      </c>
      <c r="BE1423">
        <v>234</v>
      </c>
      <c r="BF1423">
        <v>12</v>
      </c>
      <c r="BG1423" t="s">
        <v>24649</v>
      </c>
      <c r="BH1423" t="s">
        <v>24650</v>
      </c>
      <c r="BI1423" t="s">
        <v>22808</v>
      </c>
      <c r="BJ1423">
        <v>1.49E-2</v>
      </c>
      <c r="BK1423">
        <v>1</v>
      </c>
      <c r="BL1423" t="s">
        <v>69</v>
      </c>
      <c r="BM1423">
        <v>-1.2430000000000001</v>
      </c>
      <c r="BN1423">
        <v>-1.363</v>
      </c>
    </row>
    <row r="1424" spans="2:66">
      <c r="B1424">
        <v>2505</v>
      </c>
      <c r="C1424">
        <v>133</v>
      </c>
      <c r="D1424">
        <v>0</v>
      </c>
      <c r="E1424">
        <v>17</v>
      </c>
      <c r="F1424">
        <v>4</v>
      </c>
      <c r="J1424">
        <v>0</v>
      </c>
      <c r="K1424">
        <v>0</v>
      </c>
      <c r="L1424">
        <v>0</v>
      </c>
      <c r="M1424" t="s">
        <v>25022</v>
      </c>
      <c r="N1424">
        <v>4187</v>
      </c>
      <c r="O1424" t="s">
        <v>24651</v>
      </c>
      <c r="P1424" t="s">
        <v>62</v>
      </c>
      <c r="Q1424">
        <v>4153699</v>
      </c>
      <c r="R1424">
        <v>4154403</v>
      </c>
      <c r="S1424" t="s">
        <v>24652</v>
      </c>
      <c r="T1424">
        <v>235</v>
      </c>
      <c r="U1424" t="s">
        <v>59</v>
      </c>
      <c r="V1424">
        <v>49</v>
      </c>
      <c r="W1424" t="str">
        <f>HYPERLINK("Gene4187-zp_tree_all.dnd", "Gene4187-tree")</f>
        <v>Gene4187-tree</v>
      </c>
      <c r="X1424">
        <v>19</v>
      </c>
      <c r="Y1424">
        <v>1</v>
      </c>
      <c r="Z1424">
        <v>19</v>
      </c>
      <c r="AA1424">
        <v>1</v>
      </c>
      <c r="AB1424">
        <v>0.05</v>
      </c>
      <c r="AC1424" t="s">
        <v>587</v>
      </c>
      <c r="AD1424" t="s">
        <v>175</v>
      </c>
      <c r="AE1424" t="s">
        <v>62</v>
      </c>
      <c r="AF1424" t="s">
        <v>62</v>
      </c>
      <c r="AG1424">
        <v>0</v>
      </c>
      <c r="AH1424">
        <v>0</v>
      </c>
      <c r="AI1424">
        <v>2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18</v>
      </c>
      <c r="AV1424">
        <v>13</v>
      </c>
      <c r="AW1424">
        <v>28</v>
      </c>
      <c r="AX1424">
        <v>1</v>
      </c>
      <c r="AY1424">
        <v>46</v>
      </c>
      <c r="AZ1424">
        <v>1</v>
      </c>
      <c r="BA1424" t="s">
        <v>24653</v>
      </c>
      <c r="BB1424" t="s">
        <v>24654</v>
      </c>
      <c r="BC1424">
        <v>8.4000000000000005E-2</v>
      </c>
      <c r="BD1424" t="s">
        <v>65</v>
      </c>
      <c r="BE1424">
        <v>74</v>
      </c>
      <c r="BF1424">
        <v>2</v>
      </c>
      <c r="BG1424" t="s">
        <v>24655</v>
      </c>
      <c r="BH1424" t="s">
        <v>24656</v>
      </c>
      <c r="BI1424" t="s">
        <v>24657</v>
      </c>
      <c r="BJ1424">
        <v>5.9500000000000004E-3</v>
      </c>
      <c r="BK1424">
        <v>1</v>
      </c>
      <c r="BL1424" t="s">
        <v>69</v>
      </c>
      <c r="BM1424">
        <v>-1.2230000000000001</v>
      </c>
      <c r="BN1424">
        <v>-0.184</v>
      </c>
    </row>
    <row r="1425" spans="2:66">
      <c r="B1425">
        <v>2507</v>
      </c>
      <c r="C1425">
        <v>205</v>
      </c>
      <c r="D1425">
        <v>0</v>
      </c>
      <c r="E1425">
        <v>5</v>
      </c>
      <c r="F1425">
        <v>1</v>
      </c>
      <c r="J1425">
        <v>0</v>
      </c>
      <c r="K1425">
        <v>2</v>
      </c>
      <c r="L1425">
        <v>0</v>
      </c>
      <c r="M1425" t="s">
        <v>25022</v>
      </c>
      <c r="N1425">
        <v>4188</v>
      </c>
      <c r="O1425" t="s">
        <v>24658</v>
      </c>
      <c r="P1425" t="s">
        <v>62</v>
      </c>
      <c r="Q1425">
        <v>4155436</v>
      </c>
      <c r="R1425">
        <v>4156725</v>
      </c>
      <c r="S1425" t="s">
        <v>24659</v>
      </c>
      <c r="T1425">
        <v>430</v>
      </c>
      <c r="U1425" t="s">
        <v>59</v>
      </c>
      <c r="V1425">
        <v>49</v>
      </c>
      <c r="W1425" t="str">
        <f>HYPERLINK("Gene4188-zp_tree_all.dnd", "Gene4188-tree")</f>
        <v>Gene4188-tree</v>
      </c>
      <c r="X1425">
        <v>10</v>
      </c>
      <c r="Y1425">
        <v>10</v>
      </c>
      <c r="Z1425">
        <v>10</v>
      </c>
      <c r="AA1425">
        <v>10</v>
      </c>
      <c r="AB1425">
        <v>0.5</v>
      </c>
      <c r="AC1425" t="s">
        <v>117</v>
      </c>
      <c r="AD1425" t="s">
        <v>117</v>
      </c>
      <c r="AE1425" t="s">
        <v>62</v>
      </c>
      <c r="AF1425" t="s">
        <v>62</v>
      </c>
      <c r="AG1425">
        <v>1</v>
      </c>
      <c r="AH1425">
        <v>2</v>
      </c>
      <c r="AI1425">
        <v>12</v>
      </c>
      <c r="AJ1425">
        <v>0.14285999999999999</v>
      </c>
      <c r="AK1425">
        <v>0</v>
      </c>
      <c r="AL1425">
        <v>0</v>
      </c>
      <c r="AM1425">
        <v>0</v>
      </c>
      <c r="AN1425">
        <v>3</v>
      </c>
      <c r="AO1425">
        <v>0</v>
      </c>
      <c r="AP1425">
        <v>0</v>
      </c>
      <c r="AQ1425">
        <v>0</v>
      </c>
      <c r="AR1425">
        <v>0</v>
      </c>
      <c r="AS1425">
        <v>10</v>
      </c>
      <c r="AT1425">
        <v>0</v>
      </c>
      <c r="AU1425">
        <v>17</v>
      </c>
      <c r="AV1425">
        <v>12</v>
      </c>
      <c r="AW1425">
        <v>48</v>
      </c>
      <c r="AX1425">
        <v>9</v>
      </c>
      <c r="AY1425">
        <v>82</v>
      </c>
      <c r="AZ1425">
        <v>5</v>
      </c>
      <c r="BA1425" t="s">
        <v>24660</v>
      </c>
      <c r="BB1425" t="s">
        <v>24661</v>
      </c>
      <c r="BC1425">
        <v>0.75600000000000001</v>
      </c>
      <c r="BD1425" t="s">
        <v>65</v>
      </c>
      <c r="BE1425">
        <v>130</v>
      </c>
      <c r="BF1425">
        <v>14</v>
      </c>
      <c r="BG1425" t="s">
        <v>24662</v>
      </c>
      <c r="BH1425" t="s">
        <v>24663</v>
      </c>
      <c r="BI1425" t="s">
        <v>24664</v>
      </c>
      <c r="BJ1425">
        <v>2.7609999999999999E-2</v>
      </c>
      <c r="BK1425">
        <v>1</v>
      </c>
      <c r="BL1425" t="s">
        <v>69</v>
      </c>
      <c r="BM1425">
        <v>-1.385</v>
      </c>
      <c r="BN1425">
        <v>-0.7</v>
      </c>
    </row>
    <row r="1426" spans="2:66">
      <c r="B1426">
        <v>2508</v>
      </c>
      <c r="C1426">
        <v>467</v>
      </c>
      <c r="D1426">
        <v>0</v>
      </c>
      <c r="E1426">
        <v>0</v>
      </c>
      <c r="F1426">
        <v>2</v>
      </c>
      <c r="J1426">
        <v>0</v>
      </c>
      <c r="K1426">
        <v>6</v>
      </c>
      <c r="L1426">
        <v>1</v>
      </c>
      <c r="M1426" t="s">
        <v>25022</v>
      </c>
      <c r="N1426">
        <v>4189</v>
      </c>
      <c r="O1426" t="s">
        <v>24665</v>
      </c>
      <c r="P1426" t="s">
        <v>62</v>
      </c>
      <c r="Q1426">
        <v>4156934</v>
      </c>
      <c r="R1426">
        <v>4157350</v>
      </c>
      <c r="S1426" t="s">
        <v>288</v>
      </c>
      <c r="T1426">
        <v>139</v>
      </c>
      <c r="U1426" t="s">
        <v>108</v>
      </c>
      <c r="V1426">
        <v>44</v>
      </c>
      <c r="W1426" t="str">
        <f>HYPERLINK("Gene4189-zp_tree_all.dnd", "Gene4189-tree")</f>
        <v>Gene4189-tree</v>
      </c>
      <c r="X1426">
        <v>1</v>
      </c>
      <c r="Y1426">
        <v>11</v>
      </c>
      <c r="Z1426">
        <v>1</v>
      </c>
      <c r="AA1426">
        <v>11</v>
      </c>
      <c r="AB1426">
        <v>0.91666999999999998</v>
      </c>
      <c r="AC1426" t="s">
        <v>175</v>
      </c>
      <c r="AD1426" t="s">
        <v>73</v>
      </c>
      <c r="AE1426">
        <v>1144612630.289</v>
      </c>
      <c r="AF1426" t="s">
        <v>267</v>
      </c>
      <c r="AG1426">
        <v>3</v>
      </c>
      <c r="AH1426">
        <v>7</v>
      </c>
      <c r="AI1426">
        <v>11</v>
      </c>
      <c r="AJ1426">
        <v>0.38889000000000001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4</v>
      </c>
      <c r="AQ1426">
        <v>1</v>
      </c>
      <c r="AR1426">
        <v>5</v>
      </c>
      <c r="AS1426">
        <v>10</v>
      </c>
      <c r="AT1426">
        <v>0.33333000000000002</v>
      </c>
      <c r="AU1426">
        <v>11</v>
      </c>
      <c r="AV1426">
        <v>7</v>
      </c>
      <c r="AW1426">
        <v>16</v>
      </c>
      <c r="AX1426">
        <v>14</v>
      </c>
      <c r="AY1426">
        <v>4</v>
      </c>
      <c r="AZ1426">
        <v>4</v>
      </c>
      <c r="BA1426" t="s">
        <v>24666</v>
      </c>
      <c r="BB1426" t="s">
        <v>24667</v>
      </c>
      <c r="BC1426">
        <v>0.21099999999999999</v>
      </c>
      <c r="BD1426" t="s">
        <v>65</v>
      </c>
      <c r="BE1426">
        <v>20</v>
      </c>
      <c r="BF1426">
        <v>18</v>
      </c>
      <c r="BG1426" t="s">
        <v>24668</v>
      </c>
      <c r="BH1426" t="s">
        <v>24669</v>
      </c>
      <c r="BI1426" t="s">
        <v>24670</v>
      </c>
      <c r="BJ1426">
        <v>0.27722000000000002</v>
      </c>
      <c r="BK1426">
        <v>1</v>
      </c>
      <c r="BL1426" t="s">
        <v>69</v>
      </c>
      <c r="BM1426">
        <v>-0.623</v>
      </c>
      <c r="BN1426">
        <v>-1.92</v>
      </c>
    </row>
    <row r="1427" spans="2:66">
      <c r="B1427">
        <v>2509</v>
      </c>
      <c r="C1427">
        <v>97</v>
      </c>
      <c r="D1427">
        <v>0</v>
      </c>
      <c r="E1427">
        <v>4</v>
      </c>
      <c r="F1427">
        <v>0</v>
      </c>
      <c r="J1427">
        <v>0</v>
      </c>
      <c r="K1427">
        <v>4</v>
      </c>
      <c r="L1427">
        <v>0</v>
      </c>
      <c r="M1427" t="s">
        <v>25022</v>
      </c>
      <c r="N1427">
        <v>4190</v>
      </c>
      <c r="O1427" t="s">
        <v>24671</v>
      </c>
      <c r="P1427" t="s">
        <v>62</v>
      </c>
      <c r="Q1427">
        <v>4157474</v>
      </c>
      <c r="R1427">
        <v>4158835</v>
      </c>
      <c r="S1427" t="s">
        <v>24672</v>
      </c>
      <c r="T1427">
        <v>454</v>
      </c>
      <c r="U1427" t="s">
        <v>59</v>
      </c>
      <c r="V1427">
        <v>49</v>
      </c>
      <c r="W1427" t="str">
        <f>HYPERLINK("Gene4190-zp_tree_all.dnd", "Gene4190-tree")</f>
        <v>Gene4190-tree</v>
      </c>
      <c r="X1427">
        <v>15</v>
      </c>
      <c r="Y1427">
        <v>5</v>
      </c>
      <c r="Z1427">
        <v>15</v>
      </c>
      <c r="AA1427">
        <v>5</v>
      </c>
      <c r="AB1427">
        <v>0.25</v>
      </c>
      <c r="AC1427" t="s">
        <v>100</v>
      </c>
      <c r="AD1427" t="s">
        <v>199</v>
      </c>
      <c r="AE1427" t="s">
        <v>62</v>
      </c>
      <c r="AF1427" t="s">
        <v>62</v>
      </c>
      <c r="AG1427">
        <v>1</v>
      </c>
      <c r="AH1427">
        <v>4</v>
      </c>
      <c r="AI1427">
        <v>6</v>
      </c>
      <c r="AJ1427">
        <v>0.4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3</v>
      </c>
      <c r="AQ1427">
        <v>0</v>
      </c>
      <c r="AR1427">
        <v>3</v>
      </c>
      <c r="AS1427">
        <v>4</v>
      </c>
      <c r="AT1427">
        <v>0.42857000000000001</v>
      </c>
      <c r="AU1427">
        <v>17</v>
      </c>
      <c r="AV1427">
        <v>15</v>
      </c>
      <c r="AW1427">
        <v>59</v>
      </c>
      <c r="AX1427">
        <v>6</v>
      </c>
      <c r="AY1427">
        <v>112</v>
      </c>
      <c r="AZ1427">
        <v>4</v>
      </c>
      <c r="BA1427" t="s">
        <v>24673</v>
      </c>
      <c r="BB1427" t="s">
        <v>24674</v>
      </c>
      <c r="BC1427">
        <v>0.54900000000000004</v>
      </c>
      <c r="BD1427" t="s">
        <v>65</v>
      </c>
      <c r="BE1427">
        <v>171</v>
      </c>
      <c r="BF1427">
        <v>10</v>
      </c>
      <c r="BG1427" t="s">
        <v>24675</v>
      </c>
      <c r="BH1427" t="s">
        <v>24676</v>
      </c>
      <c r="BI1427" t="s">
        <v>24677</v>
      </c>
      <c r="BJ1427">
        <v>8.3999999999999995E-3</v>
      </c>
      <c r="BK1427">
        <v>1</v>
      </c>
      <c r="BL1427" t="s">
        <v>69</v>
      </c>
      <c r="BM1427">
        <v>-0.76200000000000001</v>
      </c>
      <c r="BN1427">
        <v>-0.28899999999999998</v>
      </c>
    </row>
    <row r="1428" spans="2:66">
      <c r="B1428">
        <v>2511</v>
      </c>
      <c r="C1428">
        <v>48</v>
      </c>
      <c r="D1428">
        <v>0</v>
      </c>
      <c r="E1428">
        <v>12</v>
      </c>
      <c r="F1428">
        <v>0</v>
      </c>
      <c r="J1428">
        <v>0</v>
      </c>
      <c r="K1428">
        <v>0</v>
      </c>
      <c r="L1428">
        <v>0</v>
      </c>
      <c r="M1428" t="s">
        <v>25022</v>
      </c>
      <c r="N1428">
        <v>4192</v>
      </c>
      <c r="O1428" t="s">
        <v>24683</v>
      </c>
      <c r="P1428" t="s">
        <v>62</v>
      </c>
      <c r="Q1428">
        <v>4159256</v>
      </c>
      <c r="R1428">
        <v>4159456</v>
      </c>
      <c r="S1428" t="s">
        <v>116</v>
      </c>
      <c r="T1428">
        <v>67</v>
      </c>
      <c r="U1428" t="s">
        <v>108</v>
      </c>
      <c r="V1428">
        <v>44</v>
      </c>
      <c r="W1428" t="str">
        <f>HYPERLINK("Gene4192-zp_tree_all.dnd", "Gene4192-tree")</f>
        <v>Gene4192-tree</v>
      </c>
      <c r="X1428">
        <v>5</v>
      </c>
      <c r="Y1428">
        <v>3</v>
      </c>
      <c r="Z1428">
        <v>5</v>
      </c>
      <c r="AA1428">
        <v>3</v>
      </c>
      <c r="AB1428">
        <v>0.375</v>
      </c>
      <c r="AC1428" t="s">
        <v>199</v>
      </c>
      <c r="AD1428" t="s">
        <v>324</v>
      </c>
      <c r="AE1428" t="s">
        <v>62</v>
      </c>
      <c r="AF1428" t="s">
        <v>62</v>
      </c>
      <c r="AG1428">
        <v>0</v>
      </c>
      <c r="AH1428">
        <v>0</v>
      </c>
      <c r="AI1428">
        <v>4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3</v>
      </c>
      <c r="AT1428">
        <v>0</v>
      </c>
      <c r="AU1428">
        <v>5</v>
      </c>
      <c r="AV1428">
        <v>2</v>
      </c>
      <c r="AW1428">
        <v>2</v>
      </c>
      <c r="AX1428">
        <v>3</v>
      </c>
      <c r="AY1428">
        <v>2</v>
      </c>
      <c r="AZ1428">
        <v>1</v>
      </c>
      <c r="BA1428" t="s">
        <v>24684</v>
      </c>
      <c r="BB1428" t="s">
        <v>24685</v>
      </c>
      <c r="BC1428">
        <v>0.626</v>
      </c>
      <c r="BD1428" t="s">
        <v>65</v>
      </c>
      <c r="BE1428">
        <v>4</v>
      </c>
      <c r="BF1428">
        <v>4</v>
      </c>
      <c r="BG1428" t="s">
        <v>24686</v>
      </c>
      <c r="BH1428" t="s">
        <v>24687</v>
      </c>
      <c r="BI1428" t="s">
        <v>24688</v>
      </c>
      <c r="BJ1428">
        <v>0.22051999999999999</v>
      </c>
      <c r="BK1428">
        <v>0.9</v>
      </c>
      <c r="BL1428" t="s">
        <v>635</v>
      </c>
      <c r="BM1428">
        <v>-5.8999999999999997E-2</v>
      </c>
      <c r="BN1428">
        <v>-8.2000000000000003E-2</v>
      </c>
    </row>
    <row r="1429" spans="2:66">
      <c r="B1429">
        <v>2514</v>
      </c>
      <c r="C1429">
        <v>208</v>
      </c>
      <c r="D1429">
        <v>0</v>
      </c>
      <c r="E1429">
        <v>8</v>
      </c>
      <c r="F1429">
        <v>0</v>
      </c>
      <c r="J1429">
        <v>0</v>
      </c>
      <c r="K1429">
        <v>0</v>
      </c>
      <c r="L1429">
        <v>0</v>
      </c>
      <c r="M1429" t="s">
        <v>25022</v>
      </c>
      <c r="N1429">
        <v>4196</v>
      </c>
      <c r="O1429" t="s">
        <v>24708</v>
      </c>
      <c r="P1429" t="s">
        <v>62</v>
      </c>
      <c r="Q1429">
        <v>4163200</v>
      </c>
      <c r="R1429">
        <v>4163646</v>
      </c>
      <c r="S1429" t="s">
        <v>24709</v>
      </c>
      <c r="T1429">
        <v>149</v>
      </c>
      <c r="U1429" t="s">
        <v>125</v>
      </c>
      <c r="V1429">
        <v>48</v>
      </c>
      <c r="W1429" t="str">
        <f>HYPERLINK("Gene4196-zp_tree_all.dnd", "Gene4196-tree")</f>
        <v>Gene4196-tree</v>
      </c>
      <c r="X1429">
        <v>13</v>
      </c>
      <c r="Y1429">
        <v>2</v>
      </c>
      <c r="Z1429">
        <v>13</v>
      </c>
      <c r="AA1429">
        <v>2</v>
      </c>
      <c r="AB1429">
        <v>0.13333</v>
      </c>
      <c r="AC1429" t="s">
        <v>507</v>
      </c>
      <c r="AD1429" t="s">
        <v>81</v>
      </c>
      <c r="AE1429" t="s">
        <v>62</v>
      </c>
      <c r="AF1429" t="s">
        <v>62</v>
      </c>
      <c r="AG1429">
        <v>0</v>
      </c>
      <c r="AH1429">
        <v>0</v>
      </c>
      <c r="AI1429">
        <v>4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2</v>
      </c>
      <c r="AT1429">
        <v>0</v>
      </c>
      <c r="AU1429">
        <v>10</v>
      </c>
      <c r="AV1429">
        <v>7</v>
      </c>
      <c r="AW1429">
        <v>13</v>
      </c>
      <c r="AX1429">
        <v>2</v>
      </c>
      <c r="AY1429">
        <v>28</v>
      </c>
      <c r="AZ1429">
        <v>2</v>
      </c>
      <c r="BA1429" t="s">
        <v>24710</v>
      </c>
      <c r="BB1429" t="s">
        <v>24711</v>
      </c>
      <c r="BC1429">
        <v>0.36399999999999999</v>
      </c>
      <c r="BD1429" t="s">
        <v>65</v>
      </c>
      <c r="BE1429">
        <v>41</v>
      </c>
      <c r="BF1429">
        <v>4</v>
      </c>
      <c r="BG1429" t="s">
        <v>24712</v>
      </c>
      <c r="BH1429" t="s">
        <v>24713</v>
      </c>
      <c r="BI1429" t="s">
        <v>24714</v>
      </c>
      <c r="BJ1429">
        <v>2.3810000000000001E-2</v>
      </c>
      <c r="BK1429">
        <v>1</v>
      </c>
      <c r="BL1429" t="s">
        <v>69</v>
      </c>
      <c r="BM1429">
        <v>-1.238</v>
      </c>
      <c r="BN1429">
        <v>-0.27200000000000002</v>
      </c>
    </row>
    <row r="1430" spans="2:66">
      <c r="B1430">
        <v>2515</v>
      </c>
      <c r="C1430">
        <v>263</v>
      </c>
      <c r="D1430">
        <v>0</v>
      </c>
      <c r="E1430">
        <v>3</v>
      </c>
      <c r="F1430">
        <v>2</v>
      </c>
      <c r="J1430">
        <v>0</v>
      </c>
      <c r="K1430">
        <v>4</v>
      </c>
      <c r="L1430">
        <v>0</v>
      </c>
      <c r="M1430" t="s">
        <v>25022</v>
      </c>
      <c r="N1430">
        <v>4197</v>
      </c>
      <c r="O1430" t="s">
        <v>24715</v>
      </c>
      <c r="P1430" t="s">
        <v>62</v>
      </c>
      <c r="Q1430">
        <v>4163646</v>
      </c>
      <c r="R1430">
        <v>4165622</v>
      </c>
      <c r="S1430" t="s">
        <v>24716</v>
      </c>
      <c r="T1430">
        <v>659</v>
      </c>
      <c r="U1430" t="s">
        <v>59</v>
      </c>
      <c r="V1430">
        <v>49</v>
      </c>
      <c r="W1430" t="str">
        <f>HYPERLINK("Gene4197-zp_tree_all.dnd", "Gene4197-tree")</f>
        <v>Gene4197-tree</v>
      </c>
      <c r="X1430">
        <v>13</v>
      </c>
      <c r="Y1430">
        <v>7</v>
      </c>
      <c r="Z1430">
        <v>13</v>
      </c>
      <c r="AA1430">
        <v>7</v>
      </c>
      <c r="AB1430">
        <v>0.35</v>
      </c>
      <c r="AC1430" t="s">
        <v>507</v>
      </c>
      <c r="AD1430" t="s">
        <v>152</v>
      </c>
      <c r="AE1430" t="s">
        <v>62</v>
      </c>
      <c r="AF1430" t="s">
        <v>62</v>
      </c>
      <c r="AG1430">
        <v>2</v>
      </c>
      <c r="AH1430">
        <v>4</v>
      </c>
      <c r="AI1430">
        <v>15</v>
      </c>
      <c r="AJ1430">
        <v>0.21052999999999999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7</v>
      </c>
      <c r="AT1430">
        <v>0</v>
      </c>
      <c r="AU1430">
        <v>18</v>
      </c>
      <c r="AV1430">
        <v>14</v>
      </c>
      <c r="AW1430">
        <v>83</v>
      </c>
      <c r="AX1430">
        <v>7</v>
      </c>
      <c r="AY1430">
        <v>114</v>
      </c>
      <c r="AZ1430">
        <v>12</v>
      </c>
      <c r="BA1430" t="s">
        <v>24717</v>
      </c>
      <c r="BB1430" t="s">
        <v>24718</v>
      </c>
      <c r="BC1430">
        <v>0.11700000000000001</v>
      </c>
      <c r="BD1430" t="s">
        <v>65</v>
      </c>
      <c r="BE1430">
        <v>197</v>
      </c>
      <c r="BF1430">
        <v>19</v>
      </c>
      <c r="BG1430" t="s">
        <v>24719</v>
      </c>
      <c r="BH1430" t="s">
        <v>24720</v>
      </c>
      <c r="BI1430" t="s">
        <v>24721</v>
      </c>
      <c r="BJ1430">
        <v>2.6749999999999999E-2</v>
      </c>
      <c r="BK1430">
        <v>1</v>
      </c>
      <c r="BL1430" t="s">
        <v>69</v>
      </c>
      <c r="BM1430">
        <v>-1.2729999999999999</v>
      </c>
      <c r="BN1430">
        <v>-0.5</v>
      </c>
    </row>
    <row r="1431" spans="2:66">
      <c r="B1431">
        <v>2516</v>
      </c>
      <c r="C1431">
        <v>76</v>
      </c>
      <c r="D1431">
        <v>0</v>
      </c>
      <c r="E1431">
        <v>15</v>
      </c>
      <c r="F1431">
        <v>0</v>
      </c>
      <c r="J1431">
        <v>0</v>
      </c>
      <c r="K1431">
        <v>10</v>
      </c>
      <c r="L1431">
        <v>9</v>
      </c>
      <c r="M1431" t="s">
        <v>25022</v>
      </c>
      <c r="N1431">
        <v>4198</v>
      </c>
      <c r="O1431" t="s">
        <v>24722</v>
      </c>
      <c r="P1431" t="s">
        <v>62</v>
      </c>
      <c r="Q1431">
        <v>4165662</v>
      </c>
      <c r="R1431">
        <v>4166588</v>
      </c>
      <c r="S1431" t="s">
        <v>3095</v>
      </c>
      <c r="T1431">
        <v>309</v>
      </c>
      <c r="U1431" t="s">
        <v>24723</v>
      </c>
      <c r="V1431">
        <v>46</v>
      </c>
      <c r="W1431" t="str">
        <f>HYPERLINK("Gene4198-zp_tree_all.dnd", "Gene4198-tree")</f>
        <v>Gene4198-tree</v>
      </c>
      <c r="X1431">
        <v>2</v>
      </c>
      <c r="Y1431">
        <v>14</v>
      </c>
      <c r="Z1431">
        <v>2</v>
      </c>
      <c r="AA1431">
        <v>14</v>
      </c>
      <c r="AB1431">
        <v>0.875</v>
      </c>
      <c r="AC1431" t="s">
        <v>81</v>
      </c>
      <c r="AD1431" t="s">
        <v>543</v>
      </c>
      <c r="AE1431">
        <v>860908720.12699997</v>
      </c>
      <c r="AF1431" t="s">
        <v>267</v>
      </c>
      <c r="AG1431">
        <v>7</v>
      </c>
      <c r="AH1431">
        <v>19</v>
      </c>
      <c r="AI1431">
        <v>24</v>
      </c>
      <c r="AJ1431">
        <v>0.44185999999999998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3</v>
      </c>
      <c r="AQ1431">
        <v>6</v>
      </c>
      <c r="AR1431">
        <v>9</v>
      </c>
      <c r="AS1431">
        <v>13</v>
      </c>
      <c r="AT1431">
        <v>0.40909000000000001</v>
      </c>
      <c r="AU1431">
        <v>12</v>
      </c>
      <c r="AV1431">
        <v>9</v>
      </c>
      <c r="AW1431">
        <v>20</v>
      </c>
      <c r="AX1431">
        <v>16</v>
      </c>
      <c r="AY1431">
        <v>38</v>
      </c>
      <c r="AZ1431">
        <v>27</v>
      </c>
      <c r="BA1431" t="s">
        <v>24724</v>
      </c>
      <c r="BB1431" t="s">
        <v>24725</v>
      </c>
      <c r="BC1431">
        <v>0.16200000000000001</v>
      </c>
      <c r="BD1431" t="s">
        <v>65</v>
      </c>
      <c r="BE1431">
        <v>58</v>
      </c>
      <c r="BF1431">
        <v>43</v>
      </c>
      <c r="BG1431" t="s">
        <v>24726</v>
      </c>
      <c r="BH1431" t="s">
        <v>24727</v>
      </c>
      <c r="BI1431" t="s">
        <v>24728</v>
      </c>
      <c r="BJ1431">
        <v>0.18905</v>
      </c>
      <c r="BK1431">
        <v>1</v>
      </c>
      <c r="BL1431" t="s">
        <v>69</v>
      </c>
      <c r="BM1431">
        <v>-1.3340000000000001</v>
      </c>
      <c r="BN1431">
        <v>-0.54400000000000004</v>
      </c>
    </row>
    <row r="1432" spans="2:66">
      <c r="B1432">
        <v>2517</v>
      </c>
      <c r="C1432">
        <v>258</v>
      </c>
      <c r="D1432">
        <v>0</v>
      </c>
      <c r="E1432">
        <v>13</v>
      </c>
      <c r="F1432">
        <v>0</v>
      </c>
      <c r="J1432">
        <v>0</v>
      </c>
      <c r="K1432">
        <v>0</v>
      </c>
      <c r="L1432">
        <v>0</v>
      </c>
      <c r="M1432" t="s">
        <v>25022</v>
      </c>
      <c r="N1432">
        <v>4199</v>
      </c>
      <c r="O1432" t="s">
        <v>24729</v>
      </c>
      <c r="P1432" t="s">
        <v>62</v>
      </c>
      <c r="Q1432">
        <v>4166818</v>
      </c>
      <c r="R1432">
        <v>4166964</v>
      </c>
      <c r="S1432" t="s">
        <v>2302</v>
      </c>
      <c r="T1432">
        <v>49</v>
      </c>
      <c r="U1432" t="s">
        <v>59</v>
      </c>
      <c r="V1432">
        <v>49</v>
      </c>
      <c r="W1432" t="str">
        <f>HYPERLINK("Gene4199-zp_tree_all.dnd", "Gene4199-tree")</f>
        <v>Gene4199-tree</v>
      </c>
      <c r="X1432">
        <v>6</v>
      </c>
      <c r="Y1432">
        <v>1</v>
      </c>
      <c r="Z1432">
        <v>6</v>
      </c>
      <c r="AA1432">
        <v>1</v>
      </c>
      <c r="AB1432">
        <v>0.14285999999999999</v>
      </c>
      <c r="AC1432" t="s">
        <v>90</v>
      </c>
      <c r="AD1432" t="s">
        <v>175</v>
      </c>
      <c r="AE1432" t="s">
        <v>62</v>
      </c>
      <c r="AF1432" t="s">
        <v>62</v>
      </c>
      <c r="AG1432">
        <v>0</v>
      </c>
      <c r="AH1432">
        <v>0</v>
      </c>
      <c r="AI1432">
        <v>3</v>
      </c>
      <c r="AJ1432">
        <v>0</v>
      </c>
      <c r="AK1432">
        <v>0</v>
      </c>
      <c r="AL1432">
        <v>0</v>
      </c>
      <c r="AM1432">
        <v>0</v>
      </c>
      <c r="AN1432">
        <v>2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4</v>
      </c>
      <c r="AV1432">
        <v>2</v>
      </c>
      <c r="AW1432">
        <v>4</v>
      </c>
      <c r="AX1432">
        <v>1</v>
      </c>
      <c r="AY1432">
        <v>1</v>
      </c>
      <c r="AZ1432">
        <v>2</v>
      </c>
      <c r="BA1432" t="s">
        <v>24730</v>
      </c>
      <c r="BB1432" t="s">
        <v>24731</v>
      </c>
      <c r="BC1432">
        <v>1.196</v>
      </c>
      <c r="BD1432" t="s">
        <v>65</v>
      </c>
      <c r="BE1432">
        <v>5</v>
      </c>
      <c r="BF1432">
        <v>3</v>
      </c>
      <c r="BG1432" t="s">
        <v>24732</v>
      </c>
      <c r="BH1432" t="s">
        <v>24733</v>
      </c>
      <c r="BI1432" t="s">
        <v>24734</v>
      </c>
      <c r="BJ1432">
        <v>0.18340000000000001</v>
      </c>
      <c r="BK1432">
        <v>0.97599999999999998</v>
      </c>
      <c r="BL1432" t="s">
        <v>69</v>
      </c>
      <c r="BM1432">
        <v>-1.7809999999999999</v>
      </c>
      <c r="BN1432">
        <v>-1.5409999999999999</v>
      </c>
    </row>
    <row r="1433" spans="2:66">
      <c r="B1433">
        <v>2518</v>
      </c>
      <c r="C1433">
        <v>24</v>
      </c>
      <c r="D1433">
        <v>0</v>
      </c>
      <c r="E1433">
        <v>12</v>
      </c>
      <c r="F1433">
        <v>2</v>
      </c>
      <c r="J1433">
        <v>0</v>
      </c>
      <c r="K1433">
        <v>4</v>
      </c>
      <c r="L1433">
        <v>0</v>
      </c>
      <c r="M1433" t="s">
        <v>25022</v>
      </c>
      <c r="N1433">
        <v>4201</v>
      </c>
      <c r="O1433" t="s">
        <v>24741</v>
      </c>
      <c r="P1433" t="s">
        <v>62</v>
      </c>
      <c r="Q1433">
        <v>4167625</v>
      </c>
      <c r="R1433">
        <v>4167999</v>
      </c>
      <c r="S1433" t="s">
        <v>24742</v>
      </c>
      <c r="T1433">
        <v>125</v>
      </c>
      <c r="U1433" t="s">
        <v>108</v>
      </c>
      <c r="V1433">
        <v>44</v>
      </c>
      <c r="W1433" t="str">
        <f>HYPERLINK("Gene4201-zp_tree_all.dnd", "Gene4201-tree")</f>
        <v>Gene4201-tree</v>
      </c>
      <c r="X1433">
        <v>4</v>
      </c>
      <c r="Y1433">
        <v>4</v>
      </c>
      <c r="Z1433">
        <v>4</v>
      </c>
      <c r="AA1433">
        <v>4</v>
      </c>
      <c r="AB1433">
        <v>0.5</v>
      </c>
      <c r="AC1433" t="s">
        <v>61</v>
      </c>
      <c r="AD1433" t="s">
        <v>61</v>
      </c>
      <c r="AE1433" t="s">
        <v>62</v>
      </c>
      <c r="AF1433" t="s">
        <v>62</v>
      </c>
      <c r="AG1433">
        <v>2</v>
      </c>
      <c r="AH1433">
        <v>4</v>
      </c>
      <c r="AI1433">
        <v>1</v>
      </c>
      <c r="AJ1433">
        <v>0.8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4</v>
      </c>
      <c r="AQ1433">
        <v>0</v>
      </c>
      <c r="AR1433">
        <v>4</v>
      </c>
      <c r="AS1433">
        <v>1</v>
      </c>
      <c r="AT1433">
        <v>0.8</v>
      </c>
      <c r="AU1433">
        <v>5</v>
      </c>
      <c r="AV1433">
        <v>3</v>
      </c>
      <c r="AW1433">
        <v>13</v>
      </c>
      <c r="AX1433">
        <v>2</v>
      </c>
      <c r="AY1433">
        <v>5</v>
      </c>
      <c r="AZ1433">
        <v>3</v>
      </c>
      <c r="BA1433" t="s">
        <v>24743</v>
      </c>
      <c r="BB1433" t="s">
        <v>24744</v>
      </c>
      <c r="BC1433">
        <v>1.234</v>
      </c>
      <c r="BD1433" t="s">
        <v>65</v>
      </c>
      <c r="BE1433">
        <v>18</v>
      </c>
      <c r="BF1433">
        <v>5</v>
      </c>
      <c r="BG1433" t="s">
        <v>24745</v>
      </c>
      <c r="BH1433" t="s">
        <v>24746</v>
      </c>
      <c r="BI1433" t="s">
        <v>24747</v>
      </c>
      <c r="BJ1433">
        <v>8.0100000000000005E-2</v>
      </c>
      <c r="BK1433">
        <v>1</v>
      </c>
      <c r="BL1433" t="s">
        <v>69</v>
      </c>
      <c r="BM1433">
        <v>1.5329999999999999</v>
      </c>
      <c r="BN1433">
        <v>0.40300000000000002</v>
      </c>
    </row>
    <row r="1434" spans="2:66">
      <c r="B1434">
        <v>2519</v>
      </c>
      <c r="C1434">
        <v>40</v>
      </c>
      <c r="D1434">
        <v>0</v>
      </c>
      <c r="E1434">
        <v>11</v>
      </c>
      <c r="F1434">
        <v>0</v>
      </c>
      <c r="J1434">
        <v>0</v>
      </c>
      <c r="K1434">
        <v>4</v>
      </c>
      <c r="L1434">
        <v>0</v>
      </c>
      <c r="M1434" t="s">
        <v>25022</v>
      </c>
      <c r="N1434">
        <v>4203</v>
      </c>
      <c r="O1434" t="s">
        <v>24755</v>
      </c>
      <c r="P1434" t="s">
        <v>62</v>
      </c>
      <c r="Q1434">
        <v>4169169</v>
      </c>
      <c r="R1434">
        <v>4169612</v>
      </c>
      <c r="S1434" t="s">
        <v>24756</v>
      </c>
      <c r="T1434">
        <v>148</v>
      </c>
      <c r="U1434" t="s">
        <v>108</v>
      </c>
      <c r="V1434">
        <v>44</v>
      </c>
      <c r="W1434" t="str">
        <f>HYPERLINK("Gene4203-zp_tree_all.dnd", "Gene4203-tree")</f>
        <v>Gene4203-tree</v>
      </c>
      <c r="X1434">
        <v>8</v>
      </c>
      <c r="Y1434">
        <v>6</v>
      </c>
      <c r="Z1434">
        <v>8</v>
      </c>
      <c r="AA1434">
        <v>6</v>
      </c>
      <c r="AB1434">
        <v>0.42857000000000001</v>
      </c>
      <c r="AC1434" t="s">
        <v>136</v>
      </c>
      <c r="AD1434" t="s">
        <v>90</v>
      </c>
      <c r="AE1434" t="s">
        <v>62</v>
      </c>
      <c r="AF1434" t="s">
        <v>62</v>
      </c>
      <c r="AG1434">
        <v>2</v>
      </c>
      <c r="AH1434">
        <v>4</v>
      </c>
      <c r="AI1434">
        <v>11</v>
      </c>
      <c r="AJ1434">
        <v>0.26667000000000002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10</v>
      </c>
      <c r="AT1434">
        <v>0</v>
      </c>
      <c r="AU1434">
        <v>11</v>
      </c>
      <c r="AV1434">
        <v>7</v>
      </c>
      <c r="AW1434">
        <v>27</v>
      </c>
      <c r="AX1434">
        <v>8</v>
      </c>
      <c r="AY1434">
        <v>5</v>
      </c>
      <c r="AZ1434">
        <v>7</v>
      </c>
      <c r="BA1434" t="s">
        <v>24757</v>
      </c>
      <c r="BB1434" t="s">
        <v>24758</v>
      </c>
      <c r="BC1434">
        <v>1.548</v>
      </c>
      <c r="BD1434" t="s">
        <v>65</v>
      </c>
      <c r="BE1434">
        <v>32</v>
      </c>
      <c r="BF1434">
        <v>15</v>
      </c>
      <c r="BG1434" t="s">
        <v>24759</v>
      </c>
      <c r="BH1434" t="s">
        <v>24760</v>
      </c>
      <c r="BI1434" t="s">
        <v>24761</v>
      </c>
      <c r="BJ1434">
        <v>0.17352000000000001</v>
      </c>
      <c r="BK1434">
        <v>1</v>
      </c>
      <c r="BL1434" t="s">
        <v>69</v>
      </c>
      <c r="BM1434">
        <v>-1.1319999999999999</v>
      </c>
      <c r="BN1434">
        <v>-1.071</v>
      </c>
    </row>
    <row r="1435" spans="2:66">
      <c r="B1435">
        <v>2520</v>
      </c>
      <c r="C1435">
        <v>213</v>
      </c>
      <c r="D1435">
        <v>0</v>
      </c>
      <c r="E1435">
        <v>5</v>
      </c>
      <c r="F1435">
        <v>2</v>
      </c>
      <c r="J1435">
        <v>0</v>
      </c>
      <c r="K1435">
        <v>2</v>
      </c>
      <c r="L1435">
        <v>2</v>
      </c>
      <c r="M1435" t="s">
        <v>25022</v>
      </c>
      <c r="N1435">
        <v>4214</v>
      </c>
      <c r="O1435" t="s">
        <v>24767</v>
      </c>
      <c r="P1435" t="s">
        <v>62</v>
      </c>
      <c r="Q1435">
        <v>4176903</v>
      </c>
      <c r="R1435">
        <v>4177688</v>
      </c>
      <c r="S1435" t="s">
        <v>17007</v>
      </c>
      <c r="T1435">
        <v>262</v>
      </c>
      <c r="U1435" t="s">
        <v>24768</v>
      </c>
      <c r="V1435">
        <v>41</v>
      </c>
      <c r="W1435" t="str">
        <f>HYPERLINK("Gene4214-zp_tree_all.dnd", "Gene4214-tree")</f>
        <v>Gene4214-tree</v>
      </c>
      <c r="X1435">
        <v>1</v>
      </c>
      <c r="Y1435">
        <v>7</v>
      </c>
      <c r="Z1435">
        <v>1</v>
      </c>
      <c r="AA1435">
        <v>7</v>
      </c>
      <c r="AB1435">
        <v>0.875</v>
      </c>
      <c r="AC1435" t="s">
        <v>175</v>
      </c>
      <c r="AD1435" t="s">
        <v>152</v>
      </c>
      <c r="AE1435" t="s">
        <v>62</v>
      </c>
      <c r="AF1435" t="s">
        <v>62</v>
      </c>
      <c r="AG1435">
        <v>2</v>
      </c>
      <c r="AH1435">
        <v>4</v>
      </c>
      <c r="AI1435">
        <v>17</v>
      </c>
      <c r="AJ1435">
        <v>0.19048000000000001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2</v>
      </c>
      <c r="AQ1435">
        <v>2</v>
      </c>
      <c r="AR1435">
        <v>4</v>
      </c>
      <c r="AS1435">
        <v>17</v>
      </c>
      <c r="AT1435">
        <v>0.19048000000000001</v>
      </c>
      <c r="AU1435">
        <v>7</v>
      </c>
      <c r="AV1435">
        <v>4</v>
      </c>
      <c r="AW1435">
        <v>17</v>
      </c>
      <c r="AX1435">
        <v>21</v>
      </c>
      <c r="AY1435">
        <v>6</v>
      </c>
      <c r="AZ1435">
        <v>2</v>
      </c>
      <c r="BA1435" t="s">
        <v>24769</v>
      </c>
      <c r="BB1435" t="s">
        <v>24770</v>
      </c>
      <c r="BC1435">
        <v>0.93500000000000005</v>
      </c>
      <c r="BD1435" t="s">
        <v>65</v>
      </c>
      <c r="BE1435">
        <v>23</v>
      </c>
      <c r="BF1435">
        <v>23</v>
      </c>
      <c r="BG1435" t="s">
        <v>24771</v>
      </c>
      <c r="BH1435" t="s">
        <v>24772</v>
      </c>
      <c r="BI1435" t="s">
        <v>24773</v>
      </c>
      <c r="BJ1435">
        <v>0.26917000000000002</v>
      </c>
      <c r="BK1435">
        <v>1</v>
      </c>
      <c r="BL1435" t="s">
        <v>69</v>
      </c>
      <c r="BM1435">
        <v>1.4059999999999999</v>
      </c>
      <c r="BN1435">
        <v>0.34799999999999998</v>
      </c>
    </row>
    <row r="1436" spans="2:66">
      <c r="B1436">
        <v>2525</v>
      </c>
      <c r="C1436">
        <v>44</v>
      </c>
      <c r="D1436">
        <v>0</v>
      </c>
      <c r="E1436">
        <v>3</v>
      </c>
      <c r="F1436">
        <v>0</v>
      </c>
      <c r="J1436">
        <v>0</v>
      </c>
      <c r="K1436">
        <v>9</v>
      </c>
      <c r="L1436">
        <v>2</v>
      </c>
      <c r="M1436" t="s">
        <v>25022</v>
      </c>
      <c r="N1436">
        <v>4215</v>
      </c>
      <c r="O1436" t="s">
        <v>24774</v>
      </c>
      <c r="P1436" t="s">
        <v>62</v>
      </c>
      <c r="Q1436">
        <v>4177759</v>
      </c>
      <c r="R1436">
        <v>4178145</v>
      </c>
      <c r="S1436" t="s">
        <v>288</v>
      </c>
      <c r="T1436">
        <v>129</v>
      </c>
      <c r="U1436" t="s">
        <v>108</v>
      </c>
      <c r="V1436">
        <v>44</v>
      </c>
      <c r="W1436" t="str">
        <f>HYPERLINK("Gene4215-zp_tree_all.dnd", "Gene4215-tree")</f>
        <v>Gene4215-tree</v>
      </c>
      <c r="X1436">
        <v>22</v>
      </c>
      <c r="Y1436">
        <v>7</v>
      </c>
      <c r="Z1436">
        <v>5</v>
      </c>
      <c r="AA1436">
        <v>7</v>
      </c>
      <c r="AB1436">
        <v>0.58333000000000002</v>
      </c>
      <c r="AC1436" t="s">
        <v>1682</v>
      </c>
      <c r="AD1436" t="s">
        <v>152</v>
      </c>
      <c r="AE1436" t="s">
        <v>62</v>
      </c>
      <c r="AF1436" t="s">
        <v>62</v>
      </c>
      <c r="AG1436">
        <v>4</v>
      </c>
      <c r="AH1436">
        <v>11</v>
      </c>
      <c r="AI1436">
        <v>7</v>
      </c>
      <c r="AJ1436">
        <v>0.61111000000000004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6</v>
      </c>
      <c r="AQ1436">
        <v>2</v>
      </c>
      <c r="AR1436">
        <v>8</v>
      </c>
      <c r="AS1436">
        <v>5</v>
      </c>
      <c r="AT1436">
        <v>0.61538000000000004</v>
      </c>
      <c r="AU1436">
        <v>10</v>
      </c>
      <c r="AV1436">
        <v>7</v>
      </c>
      <c r="AW1436">
        <v>19</v>
      </c>
      <c r="AX1436">
        <v>11</v>
      </c>
      <c r="AY1436">
        <v>7</v>
      </c>
      <c r="AZ1436">
        <v>7</v>
      </c>
      <c r="BA1436" t="s">
        <v>24775</v>
      </c>
      <c r="BB1436" t="s">
        <v>24776</v>
      </c>
      <c r="BC1436">
        <v>1.014</v>
      </c>
      <c r="BD1436" t="s">
        <v>65</v>
      </c>
      <c r="BE1436">
        <v>26</v>
      </c>
      <c r="BF1436">
        <v>18</v>
      </c>
      <c r="BG1436" t="s">
        <v>24777</v>
      </c>
      <c r="BH1436" t="s">
        <v>24778</v>
      </c>
      <c r="BI1436" t="s">
        <v>24779</v>
      </c>
      <c r="BJ1436">
        <v>0.1527</v>
      </c>
      <c r="BK1436">
        <v>1</v>
      </c>
      <c r="BL1436" t="s">
        <v>69</v>
      </c>
      <c r="BM1436">
        <v>-0.16500000000000001</v>
      </c>
      <c r="BN1436">
        <v>-0.29199999999999998</v>
      </c>
    </row>
    <row r="1437" spans="2:66">
      <c r="B1437">
        <v>2526</v>
      </c>
      <c r="C1437">
        <v>170</v>
      </c>
      <c r="D1437">
        <v>0</v>
      </c>
      <c r="E1437">
        <v>7</v>
      </c>
      <c r="F1437">
        <v>0</v>
      </c>
      <c r="J1437">
        <v>0</v>
      </c>
      <c r="K1437">
        <v>23</v>
      </c>
      <c r="L1437">
        <v>4</v>
      </c>
      <c r="M1437" t="s">
        <v>25022</v>
      </c>
      <c r="N1437">
        <v>4217</v>
      </c>
      <c r="O1437" t="s">
        <v>24786</v>
      </c>
      <c r="P1437" t="s">
        <v>62</v>
      </c>
      <c r="Q1437">
        <v>4179166</v>
      </c>
      <c r="R1437">
        <v>4180377</v>
      </c>
      <c r="S1437" t="s">
        <v>1123</v>
      </c>
      <c r="T1437">
        <v>404</v>
      </c>
      <c r="U1437" t="s">
        <v>2078</v>
      </c>
      <c r="V1437">
        <v>36</v>
      </c>
      <c r="W1437" t="str">
        <f>HYPERLINK("Gene4217-zp_tree_all.dnd", "Gene4217-tree")</f>
        <v>Gene4217-tree</v>
      </c>
      <c r="X1437">
        <v>0</v>
      </c>
      <c r="Y1437">
        <v>10</v>
      </c>
      <c r="Z1437">
        <v>0</v>
      </c>
      <c r="AA1437">
        <v>10</v>
      </c>
      <c r="AB1437">
        <v>1</v>
      </c>
      <c r="AC1437" t="s">
        <v>62</v>
      </c>
      <c r="AD1437" t="s">
        <v>117</v>
      </c>
      <c r="AE1437" t="s">
        <v>62</v>
      </c>
      <c r="AF1437" t="s">
        <v>62</v>
      </c>
      <c r="AG1437">
        <v>11</v>
      </c>
      <c r="AH1437">
        <v>27</v>
      </c>
      <c r="AI1437">
        <v>13</v>
      </c>
      <c r="AJ1437">
        <v>0.67500000000000004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4</v>
      </c>
      <c r="AQ1437">
        <v>4</v>
      </c>
      <c r="AR1437">
        <v>8</v>
      </c>
      <c r="AS1437">
        <v>15</v>
      </c>
      <c r="AT1437">
        <v>0.34782999999999997</v>
      </c>
      <c r="AU1437">
        <v>10</v>
      </c>
      <c r="AV1437">
        <v>7</v>
      </c>
      <c r="AW1437">
        <v>44</v>
      </c>
      <c r="AX1437">
        <v>23</v>
      </c>
      <c r="AY1437">
        <v>26</v>
      </c>
      <c r="AZ1437">
        <v>17</v>
      </c>
      <c r="BA1437" t="s">
        <v>24787</v>
      </c>
      <c r="BB1437" t="s">
        <v>24788</v>
      </c>
      <c r="BC1437">
        <v>0.63500000000000001</v>
      </c>
      <c r="BD1437" t="s">
        <v>65</v>
      </c>
      <c r="BE1437">
        <v>70</v>
      </c>
      <c r="BF1437">
        <v>40</v>
      </c>
      <c r="BG1437" t="s">
        <v>24789</v>
      </c>
      <c r="BH1437" t="s">
        <v>24790</v>
      </c>
      <c r="BI1437" t="s">
        <v>24791</v>
      </c>
      <c r="BJ1437">
        <v>0.17566000000000001</v>
      </c>
      <c r="BK1437">
        <v>1</v>
      </c>
      <c r="BL1437" t="s">
        <v>69</v>
      </c>
      <c r="BM1437">
        <v>8.9999999999999993E-3</v>
      </c>
      <c r="BN1437">
        <v>-0.20300000000000001</v>
      </c>
    </row>
    <row r="1438" spans="2:66">
      <c r="B1438">
        <v>2527</v>
      </c>
      <c r="C1438">
        <v>136</v>
      </c>
      <c r="D1438">
        <v>0</v>
      </c>
      <c r="E1438">
        <v>2</v>
      </c>
      <c r="F1438">
        <v>0</v>
      </c>
      <c r="J1438">
        <v>0</v>
      </c>
      <c r="K1438">
        <v>4</v>
      </c>
      <c r="L1438">
        <v>0</v>
      </c>
      <c r="M1438" t="s">
        <v>25022</v>
      </c>
      <c r="N1438">
        <v>4221</v>
      </c>
      <c r="O1438" t="s">
        <v>24810</v>
      </c>
      <c r="P1438" t="s">
        <v>62</v>
      </c>
      <c r="Q1438">
        <v>4182639</v>
      </c>
      <c r="R1438">
        <v>4183298</v>
      </c>
      <c r="S1438" t="s">
        <v>2512</v>
      </c>
      <c r="T1438">
        <v>220</v>
      </c>
      <c r="U1438" t="s">
        <v>2078</v>
      </c>
      <c r="V1438">
        <v>36</v>
      </c>
      <c r="W1438" t="str">
        <f>HYPERLINK("Gene4221-zp_tree_all.dnd", "Gene4221-tree")</f>
        <v>Gene4221-tree</v>
      </c>
      <c r="X1438">
        <v>3</v>
      </c>
      <c r="Y1438">
        <v>6</v>
      </c>
      <c r="Z1438">
        <v>3</v>
      </c>
      <c r="AA1438">
        <v>6</v>
      </c>
      <c r="AB1438">
        <v>0.66666999999999998</v>
      </c>
      <c r="AC1438" t="s">
        <v>324</v>
      </c>
      <c r="AD1438" t="s">
        <v>90</v>
      </c>
      <c r="AE1438" t="s">
        <v>62</v>
      </c>
      <c r="AF1438" t="s">
        <v>62</v>
      </c>
      <c r="AG1438">
        <v>2</v>
      </c>
      <c r="AH1438">
        <v>4</v>
      </c>
      <c r="AI1438">
        <v>13</v>
      </c>
      <c r="AJ1438">
        <v>0.23529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13</v>
      </c>
      <c r="AT1438">
        <v>0</v>
      </c>
      <c r="AU1438">
        <v>8</v>
      </c>
      <c r="AV1438">
        <v>5</v>
      </c>
      <c r="AW1438">
        <v>24</v>
      </c>
      <c r="AX1438">
        <v>13</v>
      </c>
      <c r="AY1438">
        <v>18</v>
      </c>
      <c r="AZ1438">
        <v>5</v>
      </c>
      <c r="BA1438" t="s">
        <v>24811</v>
      </c>
      <c r="BB1438" t="s">
        <v>24812</v>
      </c>
      <c r="BC1438">
        <v>0.89600000000000002</v>
      </c>
      <c r="BD1438" t="s">
        <v>65</v>
      </c>
      <c r="BE1438">
        <v>42</v>
      </c>
      <c r="BF1438">
        <v>18</v>
      </c>
      <c r="BG1438" t="s">
        <v>24813</v>
      </c>
      <c r="BH1438" t="s">
        <v>24814</v>
      </c>
      <c r="BI1438" t="s">
        <v>23961</v>
      </c>
      <c r="BJ1438">
        <v>0.11053</v>
      </c>
      <c r="BK1438">
        <v>1</v>
      </c>
      <c r="BL1438" t="s">
        <v>69</v>
      </c>
      <c r="BM1438">
        <v>0.109</v>
      </c>
      <c r="BN1438">
        <v>-0.39400000000000002</v>
      </c>
    </row>
    <row r="1439" spans="2:66">
      <c r="B1439">
        <v>2528</v>
      </c>
      <c r="C1439">
        <v>251</v>
      </c>
      <c r="D1439">
        <v>0</v>
      </c>
      <c r="E1439">
        <v>2</v>
      </c>
      <c r="F1439">
        <v>0</v>
      </c>
      <c r="J1439">
        <v>0</v>
      </c>
      <c r="K1439">
        <v>0</v>
      </c>
      <c r="L1439">
        <v>0</v>
      </c>
      <c r="M1439" t="s">
        <v>25022</v>
      </c>
      <c r="N1439">
        <v>4222</v>
      </c>
      <c r="O1439" t="s">
        <v>24815</v>
      </c>
      <c r="P1439" t="s">
        <v>62</v>
      </c>
      <c r="Q1439">
        <v>4183448</v>
      </c>
      <c r="R1439">
        <v>4183897</v>
      </c>
      <c r="S1439" t="s">
        <v>24816</v>
      </c>
      <c r="T1439">
        <v>150</v>
      </c>
      <c r="U1439" t="s">
        <v>108</v>
      </c>
      <c r="V1439">
        <v>44</v>
      </c>
      <c r="W1439" t="str">
        <f>HYPERLINK("Gene4222-zp_tree_all.dnd", "Gene4222-tree")</f>
        <v>Gene4222-tree</v>
      </c>
      <c r="X1439">
        <v>8</v>
      </c>
      <c r="Y1439">
        <v>0</v>
      </c>
      <c r="Z1439">
        <v>8</v>
      </c>
      <c r="AA1439">
        <v>0</v>
      </c>
      <c r="AB1439">
        <v>0</v>
      </c>
      <c r="AC1439" t="s">
        <v>136</v>
      </c>
      <c r="AD1439" t="s">
        <v>62</v>
      </c>
      <c r="AE1439" t="s">
        <v>62</v>
      </c>
      <c r="AF1439" t="s">
        <v>62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5</v>
      </c>
      <c r="AV1439">
        <v>3</v>
      </c>
      <c r="AW1439">
        <v>15</v>
      </c>
      <c r="AX1439">
        <v>0</v>
      </c>
      <c r="AY1439">
        <v>4</v>
      </c>
      <c r="AZ1439">
        <v>0</v>
      </c>
      <c r="BA1439" t="s">
        <v>193</v>
      </c>
      <c r="BB1439" t="s">
        <v>193</v>
      </c>
      <c r="BC1439">
        <v>0</v>
      </c>
      <c r="BD1439" t="s">
        <v>65</v>
      </c>
      <c r="BE1439">
        <v>19</v>
      </c>
      <c r="BF1439">
        <v>0</v>
      </c>
      <c r="BG1439" t="s">
        <v>24817</v>
      </c>
      <c r="BH1439" t="s">
        <v>24818</v>
      </c>
      <c r="BI1439" t="s">
        <v>193</v>
      </c>
      <c r="BJ1439">
        <v>0</v>
      </c>
      <c r="BK1439">
        <v>1</v>
      </c>
      <c r="BL1439" t="s">
        <v>69</v>
      </c>
      <c r="BM1439">
        <v>-0.94799999999999995</v>
      </c>
      <c r="BN1439">
        <v>-2.6120000000000001</v>
      </c>
    </row>
    <row r="1440" spans="2:66">
      <c r="B1440">
        <v>2529</v>
      </c>
      <c r="C1440">
        <v>53</v>
      </c>
      <c r="D1440">
        <v>0</v>
      </c>
      <c r="E1440">
        <v>4</v>
      </c>
      <c r="F1440">
        <v>0</v>
      </c>
      <c r="J1440">
        <v>0</v>
      </c>
      <c r="K1440">
        <v>0</v>
      </c>
      <c r="L1440">
        <v>0</v>
      </c>
      <c r="M1440" t="s">
        <v>25022</v>
      </c>
      <c r="N1440">
        <v>4228</v>
      </c>
      <c r="O1440" t="s">
        <v>24837</v>
      </c>
      <c r="P1440" t="s">
        <v>62</v>
      </c>
      <c r="Q1440">
        <v>4187684</v>
      </c>
      <c r="R1440">
        <v>4189057</v>
      </c>
      <c r="S1440" t="s">
        <v>24838</v>
      </c>
      <c r="T1440">
        <v>458</v>
      </c>
      <c r="U1440" t="s">
        <v>24839</v>
      </c>
      <c r="V1440">
        <v>30</v>
      </c>
      <c r="W1440" t="str">
        <f>HYPERLINK("Gene4228-zp_tree_all.dnd", "Gene4228-tree")</f>
        <v>Gene4228-tree</v>
      </c>
      <c r="X1440">
        <v>4</v>
      </c>
      <c r="Y1440">
        <v>4</v>
      </c>
      <c r="Z1440">
        <v>4</v>
      </c>
      <c r="AA1440">
        <v>4</v>
      </c>
      <c r="AB1440">
        <v>0.5</v>
      </c>
      <c r="AC1440" t="s">
        <v>61</v>
      </c>
      <c r="AD1440" t="s">
        <v>61</v>
      </c>
      <c r="AE1440" t="s">
        <v>62</v>
      </c>
      <c r="AF1440" t="s">
        <v>62</v>
      </c>
      <c r="AG1440">
        <v>0</v>
      </c>
      <c r="AH1440">
        <v>0</v>
      </c>
      <c r="AI1440">
        <v>14</v>
      </c>
      <c r="AJ1440">
        <v>0</v>
      </c>
      <c r="AK1440">
        <v>0</v>
      </c>
      <c r="AL1440">
        <v>0</v>
      </c>
      <c r="AM1440">
        <v>0</v>
      </c>
      <c r="AN1440">
        <v>3</v>
      </c>
      <c r="AO1440">
        <v>0</v>
      </c>
      <c r="AP1440">
        <v>0</v>
      </c>
      <c r="AQ1440">
        <v>0</v>
      </c>
      <c r="AR1440">
        <v>0</v>
      </c>
      <c r="AS1440">
        <v>6</v>
      </c>
      <c r="AT1440">
        <v>0</v>
      </c>
      <c r="AU1440">
        <v>6</v>
      </c>
      <c r="AV1440">
        <v>4</v>
      </c>
      <c r="AW1440">
        <v>7</v>
      </c>
      <c r="AX1440">
        <v>6</v>
      </c>
      <c r="AY1440">
        <v>21</v>
      </c>
      <c r="AZ1440">
        <v>8</v>
      </c>
      <c r="BA1440" t="s">
        <v>24840</v>
      </c>
      <c r="BB1440" t="s">
        <v>24841</v>
      </c>
      <c r="BC1440">
        <v>1.0660000000000001</v>
      </c>
      <c r="BD1440" t="s">
        <v>65</v>
      </c>
      <c r="BE1440">
        <v>28</v>
      </c>
      <c r="BF1440">
        <v>14</v>
      </c>
      <c r="BG1440" t="s">
        <v>24842</v>
      </c>
      <c r="BH1440" t="s">
        <v>24843</v>
      </c>
      <c r="BI1440" t="s">
        <v>24844</v>
      </c>
      <c r="BJ1440">
        <v>0.15404000000000001</v>
      </c>
      <c r="BK1440">
        <v>1</v>
      </c>
      <c r="BL1440" t="s">
        <v>69</v>
      </c>
      <c r="BM1440">
        <v>-1.121</v>
      </c>
      <c r="BN1440">
        <v>0.34499999999999997</v>
      </c>
    </row>
    <row r="1441" spans="2:66">
      <c r="B1441">
        <v>2534</v>
      </c>
      <c r="C1441">
        <v>53</v>
      </c>
      <c r="D1441">
        <v>0</v>
      </c>
      <c r="E1441">
        <v>0</v>
      </c>
      <c r="F1441">
        <v>2</v>
      </c>
      <c r="J1441">
        <v>0</v>
      </c>
      <c r="K1441">
        <v>2</v>
      </c>
      <c r="L1441">
        <v>2</v>
      </c>
      <c r="M1441" t="s">
        <v>25022</v>
      </c>
      <c r="N1441">
        <v>4234</v>
      </c>
      <c r="O1441" t="s">
        <v>24865</v>
      </c>
      <c r="P1441" t="s">
        <v>62</v>
      </c>
      <c r="Q1441">
        <v>4193267</v>
      </c>
      <c r="R1441">
        <v>4194163</v>
      </c>
      <c r="S1441" t="s">
        <v>24866</v>
      </c>
      <c r="T1441">
        <v>299</v>
      </c>
      <c r="U1441" t="s">
        <v>108</v>
      </c>
      <c r="V1441">
        <v>44</v>
      </c>
      <c r="W1441" t="str">
        <f>HYPERLINK("Gene4234-zp_tree_all.dnd", "Gene4234-tree")</f>
        <v>Gene4234-tree</v>
      </c>
      <c r="X1441">
        <v>5</v>
      </c>
      <c r="Y1441">
        <v>28</v>
      </c>
      <c r="Z1441">
        <v>5</v>
      </c>
      <c r="AA1441">
        <v>9</v>
      </c>
      <c r="AB1441">
        <v>0.64285999999999999</v>
      </c>
      <c r="AC1441" t="s">
        <v>199</v>
      </c>
      <c r="AD1441" t="s">
        <v>2825</v>
      </c>
      <c r="AE1441">
        <v>2.7650000000000001</v>
      </c>
      <c r="AF1441" t="s">
        <v>65</v>
      </c>
      <c r="AG1441">
        <v>2</v>
      </c>
      <c r="AH1441">
        <v>4</v>
      </c>
      <c r="AI1441">
        <v>16</v>
      </c>
      <c r="AJ1441">
        <v>0.2</v>
      </c>
      <c r="AK1441">
        <v>0</v>
      </c>
      <c r="AL1441">
        <v>0</v>
      </c>
      <c r="AM1441">
        <v>0</v>
      </c>
      <c r="AN1441">
        <v>3</v>
      </c>
      <c r="AO1441">
        <v>0</v>
      </c>
      <c r="AP1441">
        <v>0</v>
      </c>
      <c r="AQ1441">
        <v>2</v>
      </c>
      <c r="AR1441">
        <v>2</v>
      </c>
      <c r="AS1441">
        <v>13</v>
      </c>
      <c r="AT1441">
        <v>0.13333</v>
      </c>
      <c r="AU1441">
        <v>13</v>
      </c>
      <c r="AV1441">
        <v>9</v>
      </c>
      <c r="AW1441">
        <v>45</v>
      </c>
      <c r="AX1441">
        <v>16</v>
      </c>
      <c r="AY1441">
        <v>23</v>
      </c>
      <c r="AZ1441">
        <v>5</v>
      </c>
      <c r="BA1441" t="s">
        <v>24867</v>
      </c>
      <c r="BB1441" t="s">
        <v>24868</v>
      </c>
      <c r="BC1441">
        <v>0.45900000000000002</v>
      </c>
      <c r="BD1441" t="s">
        <v>65</v>
      </c>
      <c r="BE1441">
        <v>68</v>
      </c>
      <c r="BF1441">
        <v>21</v>
      </c>
      <c r="BG1441" t="s">
        <v>24869</v>
      </c>
      <c r="BH1441" t="s">
        <v>24870</v>
      </c>
      <c r="BI1441" t="s">
        <v>24871</v>
      </c>
      <c r="BJ1441">
        <v>0.10316</v>
      </c>
      <c r="BK1441">
        <v>1</v>
      </c>
      <c r="BL1441" t="s">
        <v>69</v>
      </c>
      <c r="BM1441">
        <v>-2.5999999999999999E-2</v>
      </c>
      <c r="BN1441">
        <v>-0.48399999999999999</v>
      </c>
    </row>
    <row r="1442" spans="2:66">
      <c r="B1442">
        <v>2536</v>
      </c>
      <c r="C1442">
        <v>22</v>
      </c>
      <c r="D1442">
        <v>0</v>
      </c>
      <c r="E1442">
        <v>6</v>
      </c>
      <c r="F1442">
        <v>0</v>
      </c>
      <c r="J1442">
        <v>0</v>
      </c>
      <c r="K1442">
        <v>0</v>
      </c>
      <c r="L1442">
        <v>2</v>
      </c>
      <c r="M1442" t="s">
        <v>25022</v>
      </c>
      <c r="N1442">
        <v>4236</v>
      </c>
      <c r="O1442" t="s">
        <v>24879</v>
      </c>
      <c r="P1442" t="s">
        <v>62</v>
      </c>
      <c r="Q1442">
        <v>4195781</v>
      </c>
      <c r="R1442">
        <v>4196332</v>
      </c>
      <c r="S1442" t="s">
        <v>24880</v>
      </c>
      <c r="T1442">
        <v>184</v>
      </c>
      <c r="U1442" t="s">
        <v>1933</v>
      </c>
      <c r="V1442">
        <v>39</v>
      </c>
      <c r="W1442" t="str">
        <f>HYPERLINK("Gene4236-zp_tree_all.dnd", "Gene4236-tree")</f>
        <v>Gene4236-tree</v>
      </c>
      <c r="X1442">
        <v>4</v>
      </c>
      <c r="Y1442">
        <v>7</v>
      </c>
      <c r="Z1442">
        <v>4</v>
      </c>
      <c r="AA1442">
        <v>7</v>
      </c>
      <c r="AB1442">
        <v>0.63636000000000004</v>
      </c>
      <c r="AC1442" t="s">
        <v>61</v>
      </c>
      <c r="AD1442" t="s">
        <v>152</v>
      </c>
      <c r="AE1442" t="s">
        <v>62</v>
      </c>
      <c r="AF1442" t="s">
        <v>62</v>
      </c>
      <c r="AG1442">
        <v>1</v>
      </c>
      <c r="AH1442">
        <v>2</v>
      </c>
      <c r="AI1442">
        <v>13</v>
      </c>
      <c r="AJ1442">
        <v>0.13333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12</v>
      </c>
      <c r="AT1442">
        <v>0</v>
      </c>
      <c r="AU1442">
        <v>9</v>
      </c>
      <c r="AV1442">
        <v>6</v>
      </c>
      <c r="AW1442">
        <v>21</v>
      </c>
      <c r="AX1442">
        <v>12</v>
      </c>
      <c r="AY1442">
        <v>6</v>
      </c>
      <c r="AZ1442">
        <v>4</v>
      </c>
      <c r="BA1442" t="s">
        <v>24881</v>
      </c>
      <c r="BB1442" t="s">
        <v>24882</v>
      </c>
      <c r="BC1442">
        <v>0.32400000000000001</v>
      </c>
      <c r="BD1442" t="s">
        <v>65</v>
      </c>
      <c r="BE1442">
        <v>27</v>
      </c>
      <c r="BF1442">
        <v>16</v>
      </c>
      <c r="BG1442" t="s">
        <v>24883</v>
      </c>
      <c r="BH1442" t="s">
        <v>24884</v>
      </c>
      <c r="BI1442" t="s">
        <v>24885</v>
      </c>
      <c r="BJ1442">
        <v>0.18706</v>
      </c>
      <c r="BK1442">
        <v>1</v>
      </c>
      <c r="BL1442" t="s">
        <v>69</v>
      </c>
      <c r="BM1442">
        <v>-1.167</v>
      </c>
      <c r="BN1442">
        <v>-1.7529999999999999</v>
      </c>
    </row>
    <row r="1443" spans="2:66">
      <c r="B1443">
        <v>2539</v>
      </c>
      <c r="C1443">
        <v>72</v>
      </c>
      <c r="D1443">
        <v>0</v>
      </c>
      <c r="E1443">
        <v>2</v>
      </c>
      <c r="F1443">
        <v>2</v>
      </c>
      <c r="J1443">
        <v>0</v>
      </c>
      <c r="K1443">
        <v>7</v>
      </c>
      <c r="L1443">
        <v>1</v>
      </c>
      <c r="M1443" t="s">
        <v>25022</v>
      </c>
      <c r="N1443">
        <v>4237</v>
      </c>
      <c r="O1443" t="s">
        <v>24886</v>
      </c>
      <c r="P1443" t="s">
        <v>62</v>
      </c>
      <c r="Q1443">
        <v>4196353</v>
      </c>
      <c r="R1443">
        <v>4196730</v>
      </c>
      <c r="S1443" t="s">
        <v>11323</v>
      </c>
      <c r="T1443">
        <v>126</v>
      </c>
      <c r="U1443" t="s">
        <v>1933</v>
      </c>
      <c r="V1443">
        <v>39</v>
      </c>
      <c r="W1443" t="str">
        <f>HYPERLINK("Gene4237-zp_tree_all.dnd", "Gene4237-tree")</f>
        <v>Gene4237-tree</v>
      </c>
      <c r="X1443">
        <v>7</v>
      </c>
      <c r="Y1443">
        <v>6</v>
      </c>
      <c r="Z1443">
        <v>7</v>
      </c>
      <c r="AA1443">
        <v>6</v>
      </c>
      <c r="AB1443">
        <v>0.46154000000000001</v>
      </c>
      <c r="AC1443" t="s">
        <v>152</v>
      </c>
      <c r="AD1443" t="s">
        <v>90</v>
      </c>
      <c r="AE1443" t="s">
        <v>62</v>
      </c>
      <c r="AF1443" t="s">
        <v>62</v>
      </c>
      <c r="AG1443">
        <v>3</v>
      </c>
      <c r="AH1443">
        <v>8</v>
      </c>
      <c r="AI1443">
        <v>8</v>
      </c>
      <c r="AJ1443">
        <v>0.5</v>
      </c>
      <c r="AK1443">
        <v>0</v>
      </c>
      <c r="AL1443">
        <v>0</v>
      </c>
      <c r="AM1443">
        <v>0</v>
      </c>
      <c r="AN1443">
        <v>4</v>
      </c>
      <c r="AO1443">
        <v>0</v>
      </c>
      <c r="AP1443">
        <v>2</v>
      </c>
      <c r="AQ1443">
        <v>2</v>
      </c>
      <c r="AR1443">
        <v>4</v>
      </c>
      <c r="AS1443">
        <v>6</v>
      </c>
      <c r="AT1443">
        <v>0.4</v>
      </c>
      <c r="AU1443">
        <v>8</v>
      </c>
      <c r="AV1443">
        <v>7</v>
      </c>
      <c r="AW1443">
        <v>21</v>
      </c>
      <c r="AX1443">
        <v>9</v>
      </c>
      <c r="AY1443">
        <v>8</v>
      </c>
      <c r="AZ1443">
        <v>7</v>
      </c>
      <c r="BA1443" t="s">
        <v>24887</v>
      </c>
      <c r="BB1443" t="s">
        <v>24888</v>
      </c>
      <c r="BC1443">
        <v>0.76600000000000001</v>
      </c>
      <c r="BD1443" t="s">
        <v>65</v>
      </c>
      <c r="BE1443">
        <v>29</v>
      </c>
      <c r="BF1443">
        <v>16</v>
      </c>
      <c r="BG1443" t="s">
        <v>24889</v>
      </c>
      <c r="BH1443" t="s">
        <v>24890</v>
      </c>
      <c r="BI1443" t="s">
        <v>24891</v>
      </c>
      <c r="BJ1443">
        <v>0.17244000000000001</v>
      </c>
      <c r="BK1443">
        <v>1</v>
      </c>
      <c r="BL1443" t="s">
        <v>69</v>
      </c>
      <c r="BM1443">
        <v>-1.625</v>
      </c>
      <c r="BN1443">
        <v>-2.2559999999999998</v>
      </c>
    </row>
    <row r="1444" spans="2:66">
      <c r="B1444">
        <v>2540</v>
      </c>
      <c r="C1444">
        <v>60</v>
      </c>
      <c r="D1444">
        <v>0</v>
      </c>
      <c r="E1444">
        <v>7</v>
      </c>
      <c r="F1444">
        <v>4</v>
      </c>
      <c r="J1444">
        <v>0</v>
      </c>
      <c r="K1444">
        <v>18</v>
      </c>
      <c r="L1444">
        <v>6</v>
      </c>
      <c r="M1444" t="s">
        <v>25022</v>
      </c>
      <c r="N1444">
        <v>4238</v>
      </c>
      <c r="O1444" t="s">
        <v>24892</v>
      </c>
      <c r="P1444" t="s">
        <v>62</v>
      </c>
      <c r="Q1444">
        <v>4196789</v>
      </c>
      <c r="R1444">
        <v>4197721</v>
      </c>
      <c r="S1444" t="s">
        <v>24893</v>
      </c>
      <c r="T1444">
        <v>311</v>
      </c>
      <c r="U1444" t="s">
        <v>1933</v>
      </c>
      <c r="V1444">
        <v>39</v>
      </c>
      <c r="W1444" t="str">
        <f>HYPERLINK("Gene4238-zp_tree_all.dnd", "Gene4238-tree")</f>
        <v>Gene4238-tree</v>
      </c>
      <c r="X1444">
        <v>2</v>
      </c>
      <c r="Y1444">
        <v>14</v>
      </c>
      <c r="Z1444">
        <v>2</v>
      </c>
      <c r="AA1444">
        <v>14</v>
      </c>
      <c r="AB1444">
        <v>0.875</v>
      </c>
      <c r="AC1444" t="s">
        <v>81</v>
      </c>
      <c r="AD1444" t="s">
        <v>543</v>
      </c>
      <c r="AE1444">
        <v>860908720.12699997</v>
      </c>
      <c r="AF1444" t="s">
        <v>267</v>
      </c>
      <c r="AG1444">
        <v>9</v>
      </c>
      <c r="AH1444">
        <v>24</v>
      </c>
      <c r="AI1444">
        <v>17</v>
      </c>
      <c r="AJ1444">
        <v>0.58536999999999995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6</v>
      </c>
      <c r="AQ1444">
        <v>7</v>
      </c>
      <c r="AR1444">
        <v>13</v>
      </c>
      <c r="AS1444">
        <v>18</v>
      </c>
      <c r="AT1444">
        <v>0.41935</v>
      </c>
      <c r="AU1444">
        <v>16</v>
      </c>
      <c r="AV1444">
        <v>9</v>
      </c>
      <c r="AW1444">
        <v>42</v>
      </c>
      <c r="AX1444">
        <v>31</v>
      </c>
      <c r="AY1444">
        <v>12</v>
      </c>
      <c r="AZ1444">
        <v>10</v>
      </c>
      <c r="BA1444" t="s">
        <v>24894</v>
      </c>
      <c r="BB1444" t="s">
        <v>24895</v>
      </c>
      <c r="BC1444">
        <v>0.249</v>
      </c>
      <c r="BD1444" t="s">
        <v>65</v>
      </c>
      <c r="BE1444">
        <v>54</v>
      </c>
      <c r="BF1444">
        <v>41</v>
      </c>
      <c r="BG1444" t="s">
        <v>24896</v>
      </c>
      <c r="BH1444" t="s">
        <v>24897</v>
      </c>
      <c r="BI1444" t="s">
        <v>24898</v>
      </c>
      <c r="BJ1444">
        <v>0.21994</v>
      </c>
      <c r="BK1444">
        <v>1</v>
      </c>
      <c r="BL1444" t="s">
        <v>69</v>
      </c>
      <c r="BM1444">
        <v>-1.8280000000000001</v>
      </c>
      <c r="BN1444">
        <v>-2.7879999999999998</v>
      </c>
    </row>
    <row r="1445" spans="2:66">
      <c r="B1445">
        <v>2545</v>
      </c>
      <c r="C1445">
        <v>166</v>
      </c>
      <c r="D1445">
        <v>3</v>
      </c>
      <c r="E1445">
        <v>1</v>
      </c>
      <c r="F1445">
        <v>4</v>
      </c>
      <c r="J1445">
        <v>0</v>
      </c>
      <c r="K1445">
        <v>5</v>
      </c>
      <c r="L1445">
        <v>0</v>
      </c>
      <c r="M1445" t="s">
        <v>25022</v>
      </c>
      <c r="N1445">
        <v>4239</v>
      </c>
      <c r="O1445" t="s">
        <v>24899</v>
      </c>
      <c r="P1445" t="s">
        <v>62</v>
      </c>
      <c r="Q1445">
        <v>4197783</v>
      </c>
      <c r="R1445">
        <v>4198538</v>
      </c>
      <c r="S1445" t="s">
        <v>24900</v>
      </c>
      <c r="T1445">
        <v>252</v>
      </c>
      <c r="U1445" t="s">
        <v>108</v>
      </c>
      <c r="V1445">
        <v>44</v>
      </c>
      <c r="W1445" t="str">
        <f>HYPERLINK("Gene4239-zp_tree_all.dnd", "Gene4239-tree")</f>
        <v>Gene4239-tree</v>
      </c>
      <c r="X1445">
        <v>27</v>
      </c>
      <c r="Y1445">
        <v>7</v>
      </c>
      <c r="Z1445">
        <v>8</v>
      </c>
      <c r="AA1445">
        <v>7</v>
      </c>
      <c r="AB1445">
        <v>0.46666999999999997</v>
      </c>
      <c r="AC1445" t="s">
        <v>282</v>
      </c>
      <c r="AD1445" t="s">
        <v>152</v>
      </c>
      <c r="AE1445" t="s">
        <v>62</v>
      </c>
      <c r="AF1445" t="s">
        <v>62</v>
      </c>
      <c r="AG1445">
        <v>2</v>
      </c>
      <c r="AH1445">
        <v>5</v>
      </c>
      <c r="AI1445">
        <v>12</v>
      </c>
      <c r="AJ1445">
        <v>0.29411999999999999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12</v>
      </c>
      <c r="AT1445">
        <v>0</v>
      </c>
      <c r="AU1445">
        <v>13</v>
      </c>
      <c r="AV1445">
        <v>8</v>
      </c>
      <c r="AW1445">
        <v>28</v>
      </c>
      <c r="AX1445">
        <v>12</v>
      </c>
      <c r="AY1445">
        <v>13</v>
      </c>
      <c r="AZ1445">
        <v>5</v>
      </c>
      <c r="BA1445" t="s">
        <v>24901</v>
      </c>
      <c r="BB1445" t="s">
        <v>24902</v>
      </c>
      <c r="BC1445">
        <v>0.115</v>
      </c>
      <c r="BD1445" t="s">
        <v>65</v>
      </c>
      <c r="BE1445">
        <v>41</v>
      </c>
      <c r="BF1445">
        <v>17</v>
      </c>
      <c r="BG1445" t="s">
        <v>24903</v>
      </c>
      <c r="BH1445" t="s">
        <v>24904</v>
      </c>
      <c r="BI1445" t="s">
        <v>24905</v>
      </c>
      <c r="BJ1445">
        <v>0.13100000000000001</v>
      </c>
      <c r="BK1445">
        <v>1</v>
      </c>
      <c r="BL1445" t="s">
        <v>69</v>
      </c>
      <c r="BM1445">
        <v>-1.2629999999999999</v>
      </c>
      <c r="BN1445">
        <v>-2.6019999999999999</v>
      </c>
    </row>
    <row r="1446" spans="2:66">
      <c r="B1446">
        <v>2548</v>
      </c>
      <c r="C1446">
        <v>20</v>
      </c>
      <c r="D1446">
        <v>0</v>
      </c>
      <c r="E1446">
        <v>5</v>
      </c>
      <c r="F1446">
        <v>0</v>
      </c>
      <c r="J1446">
        <v>0</v>
      </c>
      <c r="K1446">
        <v>0</v>
      </c>
      <c r="L1446">
        <v>0</v>
      </c>
      <c r="M1446" t="s">
        <v>25022</v>
      </c>
      <c r="N1446">
        <v>4240</v>
      </c>
      <c r="O1446" t="s">
        <v>24906</v>
      </c>
      <c r="P1446" t="s">
        <v>62</v>
      </c>
      <c r="Q1446">
        <v>4198606</v>
      </c>
      <c r="R1446">
        <v>4198842</v>
      </c>
      <c r="S1446" t="s">
        <v>24907</v>
      </c>
      <c r="T1446">
        <v>79</v>
      </c>
      <c r="U1446" t="s">
        <v>59</v>
      </c>
      <c r="V1446">
        <v>49</v>
      </c>
      <c r="W1446" t="str">
        <f>HYPERLINK("Gene4240-zp_tree_all.dnd", "Gene4240-tree")</f>
        <v>Gene4240-tree</v>
      </c>
      <c r="X1446">
        <v>8</v>
      </c>
      <c r="Y1446">
        <v>0</v>
      </c>
      <c r="Z1446">
        <v>8</v>
      </c>
      <c r="AA1446">
        <v>0</v>
      </c>
      <c r="AB1446">
        <v>0</v>
      </c>
      <c r="AC1446" t="s">
        <v>136</v>
      </c>
      <c r="AD1446" t="s">
        <v>62</v>
      </c>
      <c r="AE1446" t="s">
        <v>62</v>
      </c>
      <c r="AF1446" t="s">
        <v>62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7</v>
      </c>
      <c r="AV1446">
        <v>1</v>
      </c>
      <c r="AW1446">
        <v>7</v>
      </c>
      <c r="AX1446">
        <v>0</v>
      </c>
      <c r="AY1446">
        <v>2</v>
      </c>
      <c r="AZ1446">
        <v>0</v>
      </c>
      <c r="BA1446" t="s">
        <v>193</v>
      </c>
      <c r="BB1446" t="s">
        <v>193</v>
      </c>
      <c r="BC1446">
        <v>0</v>
      </c>
      <c r="BD1446" t="s">
        <v>65</v>
      </c>
      <c r="BE1446">
        <v>9</v>
      </c>
      <c r="BF1446">
        <v>0</v>
      </c>
      <c r="BG1446" t="s">
        <v>24908</v>
      </c>
      <c r="BH1446" t="s">
        <v>24909</v>
      </c>
      <c r="BI1446" t="s">
        <v>193</v>
      </c>
      <c r="BJ1446">
        <v>0</v>
      </c>
      <c r="BK1446">
        <v>1</v>
      </c>
      <c r="BL1446" t="s">
        <v>69</v>
      </c>
      <c r="BM1446">
        <v>-1.675</v>
      </c>
      <c r="BN1446">
        <v>-1.5409999999999999</v>
      </c>
    </row>
    <row r="1447" spans="2:66">
      <c r="B1447">
        <v>2550</v>
      </c>
      <c r="C1447">
        <v>19</v>
      </c>
      <c r="D1447">
        <v>0</v>
      </c>
      <c r="E1447">
        <v>0</v>
      </c>
      <c r="F1447">
        <v>2</v>
      </c>
      <c r="J1447">
        <v>0</v>
      </c>
      <c r="K1447">
        <v>0</v>
      </c>
      <c r="L1447">
        <v>0</v>
      </c>
      <c r="M1447" t="s">
        <v>25022</v>
      </c>
      <c r="N1447">
        <v>4241</v>
      </c>
      <c r="O1447" t="s">
        <v>24910</v>
      </c>
      <c r="P1447" t="s">
        <v>62</v>
      </c>
      <c r="Q1447">
        <v>4198889</v>
      </c>
      <c r="R1447">
        <v>4199404</v>
      </c>
      <c r="S1447" t="s">
        <v>22058</v>
      </c>
      <c r="T1447">
        <v>172</v>
      </c>
      <c r="U1447" t="s">
        <v>59</v>
      </c>
      <c r="V1447">
        <v>49</v>
      </c>
      <c r="W1447" t="str">
        <f>HYPERLINK("Gene4241-zp_tree_all.dnd", "Gene4241-tree")</f>
        <v>Gene4241-tree</v>
      </c>
      <c r="X1447">
        <v>6</v>
      </c>
      <c r="Y1447">
        <v>1</v>
      </c>
      <c r="Z1447">
        <v>6</v>
      </c>
      <c r="AA1447">
        <v>1</v>
      </c>
      <c r="AB1447">
        <v>0.14285999999999999</v>
      </c>
      <c r="AC1447" t="s">
        <v>90</v>
      </c>
      <c r="AD1447" t="s">
        <v>175</v>
      </c>
      <c r="AE1447" t="s">
        <v>62</v>
      </c>
      <c r="AF1447" t="s">
        <v>62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6</v>
      </c>
      <c r="AV1447">
        <v>2</v>
      </c>
      <c r="AW1447">
        <v>8</v>
      </c>
      <c r="AX1447">
        <v>1</v>
      </c>
      <c r="AY1447">
        <v>5</v>
      </c>
      <c r="AZ1447">
        <v>0</v>
      </c>
      <c r="BA1447" t="s">
        <v>24911</v>
      </c>
      <c r="BB1447" t="s">
        <v>193</v>
      </c>
      <c r="BC1447">
        <v>0.46100000000000002</v>
      </c>
      <c r="BD1447" t="s">
        <v>65</v>
      </c>
      <c r="BE1447">
        <v>13</v>
      </c>
      <c r="BF1447">
        <v>1</v>
      </c>
      <c r="BG1447" t="s">
        <v>24912</v>
      </c>
      <c r="BH1447" t="s">
        <v>24913</v>
      </c>
      <c r="BI1447" t="s">
        <v>24914</v>
      </c>
      <c r="BJ1447">
        <v>1.6199999999999999E-2</v>
      </c>
      <c r="BK1447">
        <v>1</v>
      </c>
      <c r="BL1447" t="s">
        <v>69</v>
      </c>
      <c r="BM1447">
        <v>-1.6519999999999999</v>
      </c>
      <c r="BN1447">
        <v>-2.0430000000000001</v>
      </c>
    </row>
    <row r="1448" spans="2:66">
      <c r="B1448">
        <v>2551</v>
      </c>
      <c r="C1448">
        <v>149</v>
      </c>
      <c r="D1448">
        <v>0</v>
      </c>
      <c r="E1448">
        <v>9</v>
      </c>
      <c r="F1448">
        <v>4</v>
      </c>
      <c r="J1448">
        <v>0</v>
      </c>
      <c r="K1448">
        <v>2</v>
      </c>
      <c r="L1448">
        <v>0</v>
      </c>
      <c r="M1448" t="s">
        <v>25022</v>
      </c>
      <c r="N1448">
        <v>4242</v>
      </c>
      <c r="O1448" t="s">
        <v>24915</v>
      </c>
      <c r="P1448" t="s">
        <v>62</v>
      </c>
      <c r="Q1448">
        <v>4199448</v>
      </c>
      <c r="R1448">
        <v>4199732</v>
      </c>
      <c r="S1448" t="s">
        <v>24916</v>
      </c>
      <c r="T1448">
        <v>95</v>
      </c>
      <c r="U1448" t="s">
        <v>59</v>
      </c>
      <c r="V1448">
        <v>49</v>
      </c>
      <c r="W1448" t="str">
        <f>HYPERLINK("Gene4242-zp_tree_all.dnd", "Gene4242-tree")</f>
        <v>Gene4242-tree</v>
      </c>
      <c r="X1448">
        <v>1</v>
      </c>
      <c r="Y1448">
        <v>5</v>
      </c>
      <c r="Z1448">
        <v>1</v>
      </c>
      <c r="AA1448">
        <v>5</v>
      </c>
      <c r="AB1448">
        <v>0.83333000000000002</v>
      </c>
      <c r="AC1448" t="s">
        <v>175</v>
      </c>
      <c r="AD1448" t="s">
        <v>199</v>
      </c>
      <c r="AE1448" t="s">
        <v>62</v>
      </c>
      <c r="AF1448" t="s">
        <v>62</v>
      </c>
      <c r="AG1448">
        <v>1</v>
      </c>
      <c r="AH1448">
        <v>2</v>
      </c>
      <c r="AI1448">
        <v>4</v>
      </c>
      <c r="AJ1448">
        <v>0.33333000000000002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</v>
      </c>
      <c r="AQ1448">
        <v>0</v>
      </c>
      <c r="AR1448">
        <v>2</v>
      </c>
      <c r="AS1448">
        <v>3</v>
      </c>
      <c r="AT1448">
        <v>0.4</v>
      </c>
      <c r="AU1448">
        <v>5</v>
      </c>
      <c r="AV1448">
        <v>2</v>
      </c>
      <c r="AW1448">
        <v>2</v>
      </c>
      <c r="AX1448">
        <v>4</v>
      </c>
      <c r="AY1448">
        <v>0</v>
      </c>
      <c r="AZ1448">
        <v>2</v>
      </c>
      <c r="BA1448" t="s">
        <v>24917</v>
      </c>
      <c r="BB1448" t="s">
        <v>193</v>
      </c>
      <c r="BC1448">
        <v>1.278</v>
      </c>
      <c r="BD1448" t="s">
        <v>65</v>
      </c>
      <c r="BE1448">
        <v>2</v>
      </c>
      <c r="BF1448">
        <v>6</v>
      </c>
      <c r="BG1448" t="s">
        <v>24918</v>
      </c>
      <c r="BH1448" t="s">
        <v>24919</v>
      </c>
      <c r="BI1448" t="s">
        <v>24920</v>
      </c>
      <c r="BJ1448">
        <v>0.96480999999999995</v>
      </c>
      <c r="BK1448">
        <v>0.36099999999999999</v>
      </c>
      <c r="BL1448" t="s">
        <v>635</v>
      </c>
      <c r="BM1448">
        <v>-1.405</v>
      </c>
      <c r="BN1448">
        <v>-1.859</v>
      </c>
    </row>
    <row r="1449" spans="2:66">
      <c r="B1449">
        <v>2553</v>
      </c>
      <c r="C1449">
        <v>23</v>
      </c>
      <c r="D1449">
        <v>0</v>
      </c>
      <c r="E1449">
        <v>7</v>
      </c>
      <c r="F1449">
        <v>0</v>
      </c>
      <c r="J1449">
        <v>0</v>
      </c>
      <c r="K1449">
        <v>0</v>
      </c>
      <c r="L1449">
        <v>0</v>
      </c>
      <c r="M1449" t="s">
        <v>25022</v>
      </c>
      <c r="N1449">
        <v>4243</v>
      </c>
      <c r="O1449" t="s">
        <v>24921</v>
      </c>
      <c r="P1449" t="s">
        <v>62</v>
      </c>
      <c r="Q1449">
        <v>4199846</v>
      </c>
      <c r="R1449">
        <v>4200943</v>
      </c>
      <c r="S1449" t="s">
        <v>24922</v>
      </c>
      <c r="T1449">
        <v>366</v>
      </c>
      <c r="U1449" t="s">
        <v>108</v>
      </c>
      <c r="V1449">
        <v>44</v>
      </c>
      <c r="W1449" t="str">
        <f>HYPERLINK("Gene4243-zp_tree_all.dnd", "Gene4243-tree")</f>
        <v>Gene4243-tree</v>
      </c>
      <c r="X1449">
        <v>11</v>
      </c>
      <c r="Y1449">
        <v>1</v>
      </c>
      <c r="Z1449">
        <v>11</v>
      </c>
      <c r="AA1449">
        <v>1</v>
      </c>
      <c r="AB1449">
        <v>8.3330000000000001E-2</v>
      </c>
      <c r="AC1449" t="s">
        <v>73</v>
      </c>
      <c r="AD1449" t="s">
        <v>175</v>
      </c>
      <c r="AE1449" t="s">
        <v>62</v>
      </c>
      <c r="AF1449" t="s">
        <v>62</v>
      </c>
      <c r="AG1449">
        <v>0</v>
      </c>
      <c r="AH1449">
        <v>0</v>
      </c>
      <c r="AI1449">
        <v>2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10</v>
      </c>
      <c r="AV1449">
        <v>3</v>
      </c>
      <c r="AW1449">
        <v>18</v>
      </c>
      <c r="AX1449">
        <v>1</v>
      </c>
      <c r="AY1449">
        <v>11</v>
      </c>
      <c r="AZ1449">
        <v>1</v>
      </c>
      <c r="BA1449" t="s">
        <v>24923</v>
      </c>
      <c r="BB1449" t="s">
        <v>24924</v>
      </c>
      <c r="BC1449">
        <v>0.16900000000000001</v>
      </c>
      <c r="BD1449" t="s">
        <v>65</v>
      </c>
      <c r="BE1449">
        <v>29</v>
      </c>
      <c r="BF1449">
        <v>2</v>
      </c>
      <c r="BG1449" t="s">
        <v>24925</v>
      </c>
      <c r="BH1449" t="s">
        <v>24926</v>
      </c>
      <c r="BI1449" t="s">
        <v>17444</v>
      </c>
      <c r="BJ1449">
        <v>2.6790000000000001E-2</v>
      </c>
      <c r="BK1449">
        <v>1</v>
      </c>
      <c r="BL1449" t="s">
        <v>69</v>
      </c>
      <c r="BM1449">
        <v>-0.24299999999999999</v>
      </c>
      <c r="BN1449">
        <v>0.60599999999999998</v>
      </c>
    </row>
    <row r="1450" spans="2:66">
      <c r="B1450">
        <v>2555</v>
      </c>
      <c r="C1450">
        <v>259</v>
      </c>
      <c r="D1450">
        <v>0</v>
      </c>
      <c r="E1450">
        <v>0</v>
      </c>
      <c r="F1450">
        <v>2</v>
      </c>
      <c r="J1450">
        <v>0</v>
      </c>
      <c r="K1450">
        <v>22</v>
      </c>
      <c r="L1450">
        <v>0</v>
      </c>
      <c r="M1450" t="s">
        <v>25022</v>
      </c>
      <c r="N1450">
        <v>4244</v>
      </c>
      <c r="O1450" t="s">
        <v>24927</v>
      </c>
      <c r="P1450" t="s">
        <v>62</v>
      </c>
      <c r="Q1450">
        <v>4201073</v>
      </c>
      <c r="R1450">
        <v>4203073</v>
      </c>
      <c r="S1450" t="s">
        <v>24928</v>
      </c>
      <c r="T1450">
        <v>667</v>
      </c>
      <c r="U1450" t="s">
        <v>108</v>
      </c>
      <c r="V1450">
        <v>44</v>
      </c>
      <c r="W1450" t="str">
        <f>HYPERLINK("Gene4244-zp_tree_all.dnd", "Gene4244-tree")</f>
        <v>Gene4244-tree</v>
      </c>
      <c r="X1450">
        <v>2</v>
      </c>
      <c r="Y1450">
        <v>12</v>
      </c>
      <c r="Z1450">
        <v>2</v>
      </c>
      <c r="AA1450">
        <v>12</v>
      </c>
      <c r="AB1450">
        <v>0.85714000000000001</v>
      </c>
      <c r="AC1450" t="s">
        <v>81</v>
      </c>
      <c r="AD1450" t="s">
        <v>109</v>
      </c>
      <c r="AE1450" t="s">
        <v>62</v>
      </c>
      <c r="AF1450" t="s">
        <v>62</v>
      </c>
      <c r="AG1450">
        <v>9</v>
      </c>
      <c r="AH1450">
        <v>22</v>
      </c>
      <c r="AI1450">
        <v>25</v>
      </c>
      <c r="AJ1450">
        <v>0.46809000000000001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8</v>
      </c>
      <c r="AQ1450">
        <v>0</v>
      </c>
      <c r="AR1450">
        <v>8</v>
      </c>
      <c r="AS1450">
        <v>26</v>
      </c>
      <c r="AT1450">
        <v>0.23529</v>
      </c>
      <c r="AU1450">
        <v>14</v>
      </c>
      <c r="AV1450">
        <v>11</v>
      </c>
      <c r="AW1450">
        <v>59</v>
      </c>
      <c r="AX1450">
        <v>34</v>
      </c>
      <c r="AY1450">
        <v>61</v>
      </c>
      <c r="AZ1450">
        <v>13</v>
      </c>
      <c r="BA1450" t="s">
        <v>24929</v>
      </c>
      <c r="BB1450" t="s">
        <v>24930</v>
      </c>
      <c r="BC1450">
        <v>3.1520000000000001</v>
      </c>
      <c r="BD1450" t="s">
        <v>267</v>
      </c>
      <c r="BE1450">
        <v>120</v>
      </c>
      <c r="BF1450">
        <v>47</v>
      </c>
      <c r="BG1450" t="s">
        <v>24931</v>
      </c>
      <c r="BH1450" t="s">
        <v>24932</v>
      </c>
      <c r="BI1450" t="s">
        <v>24933</v>
      </c>
      <c r="BJ1450">
        <v>9.2539999999999997E-2</v>
      </c>
      <c r="BK1450">
        <v>1</v>
      </c>
      <c r="BL1450" t="s">
        <v>69</v>
      </c>
      <c r="BM1450">
        <v>-0.14499999999999999</v>
      </c>
      <c r="BN1450">
        <v>-0.71</v>
      </c>
    </row>
    <row r="1451" spans="2:66">
      <c r="B1451">
        <v>2557</v>
      </c>
      <c r="C1451">
        <v>33</v>
      </c>
      <c r="D1451">
        <v>0</v>
      </c>
      <c r="E1451">
        <v>12</v>
      </c>
      <c r="F1451">
        <v>2</v>
      </c>
      <c r="J1451">
        <v>0</v>
      </c>
      <c r="K1451">
        <v>0</v>
      </c>
      <c r="L1451">
        <v>0</v>
      </c>
      <c r="M1451" t="s">
        <v>25022</v>
      </c>
      <c r="N1451">
        <v>4245</v>
      </c>
      <c r="O1451" t="s">
        <v>24934</v>
      </c>
      <c r="P1451" t="s">
        <v>62</v>
      </c>
      <c r="Q1451">
        <v>4203127</v>
      </c>
      <c r="R1451">
        <v>4203330</v>
      </c>
      <c r="S1451" t="s">
        <v>16377</v>
      </c>
      <c r="T1451">
        <v>68</v>
      </c>
      <c r="U1451" t="s">
        <v>96</v>
      </c>
      <c r="V1451">
        <v>48</v>
      </c>
      <c r="W1451" t="str">
        <f>HYPERLINK("Gene4245-zp_tree_all.dnd", "Gene4245-tree")</f>
        <v>Gene4245-tree</v>
      </c>
      <c r="X1451">
        <v>5</v>
      </c>
      <c r="Y1451">
        <v>0</v>
      </c>
      <c r="Z1451">
        <v>5</v>
      </c>
      <c r="AA1451">
        <v>0</v>
      </c>
      <c r="AB1451">
        <v>0</v>
      </c>
      <c r="AC1451" t="s">
        <v>199</v>
      </c>
      <c r="AD1451" t="s">
        <v>62</v>
      </c>
      <c r="AE1451" t="s">
        <v>62</v>
      </c>
      <c r="AF1451" t="s">
        <v>62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3</v>
      </c>
      <c r="AV1451">
        <v>1</v>
      </c>
      <c r="AW1451">
        <v>4</v>
      </c>
      <c r="AX1451">
        <v>0</v>
      </c>
      <c r="AY1451">
        <v>1</v>
      </c>
      <c r="AZ1451">
        <v>1</v>
      </c>
      <c r="BA1451" t="s">
        <v>193</v>
      </c>
      <c r="BB1451" t="s">
        <v>24935</v>
      </c>
      <c r="BC1451">
        <v>0</v>
      </c>
      <c r="BD1451" t="s">
        <v>65</v>
      </c>
      <c r="BE1451">
        <v>5</v>
      </c>
      <c r="BF1451">
        <v>1</v>
      </c>
      <c r="BG1451" t="s">
        <v>24936</v>
      </c>
      <c r="BH1451" t="s">
        <v>24937</v>
      </c>
      <c r="BI1451" t="s">
        <v>24938</v>
      </c>
      <c r="BJ1451">
        <v>6.8879999999999997E-2</v>
      </c>
      <c r="BK1451">
        <v>1</v>
      </c>
      <c r="BL1451" t="s">
        <v>69</v>
      </c>
      <c r="BM1451">
        <v>-0.92700000000000005</v>
      </c>
      <c r="BN1451">
        <v>-0.81200000000000006</v>
      </c>
    </row>
    <row r="1452" spans="2:66">
      <c r="B1452">
        <v>2558</v>
      </c>
      <c r="C1452">
        <v>65</v>
      </c>
      <c r="D1452">
        <v>0</v>
      </c>
      <c r="E1452">
        <v>7</v>
      </c>
      <c r="F1452">
        <v>0</v>
      </c>
      <c r="J1452">
        <v>0</v>
      </c>
      <c r="K1452">
        <v>3</v>
      </c>
      <c r="L1452">
        <v>2</v>
      </c>
      <c r="M1452" t="s">
        <v>25022</v>
      </c>
      <c r="N1452">
        <v>4246</v>
      </c>
      <c r="O1452" t="s">
        <v>24939</v>
      </c>
      <c r="P1452" t="s">
        <v>62</v>
      </c>
      <c r="Q1452">
        <v>4203427</v>
      </c>
      <c r="R1452">
        <v>4204440</v>
      </c>
      <c r="S1452" t="s">
        <v>2569</v>
      </c>
      <c r="T1452">
        <v>338</v>
      </c>
      <c r="U1452" t="s">
        <v>2498</v>
      </c>
      <c r="V1452">
        <v>44</v>
      </c>
      <c r="W1452" t="str">
        <f>HYPERLINK("Gene4246-zp_tree_all.dnd", "Gene4246-tree")</f>
        <v>Gene4246-tree</v>
      </c>
      <c r="X1452">
        <v>12</v>
      </c>
      <c r="Y1452">
        <v>4</v>
      </c>
      <c r="Z1452">
        <v>12</v>
      </c>
      <c r="AA1452">
        <v>4</v>
      </c>
      <c r="AB1452">
        <v>0.25</v>
      </c>
      <c r="AC1452" t="s">
        <v>109</v>
      </c>
      <c r="AD1452" t="s">
        <v>61</v>
      </c>
      <c r="AE1452" t="s">
        <v>62</v>
      </c>
      <c r="AF1452" t="s">
        <v>62</v>
      </c>
      <c r="AG1452">
        <v>2</v>
      </c>
      <c r="AH1452">
        <v>5</v>
      </c>
      <c r="AI1452">
        <v>10</v>
      </c>
      <c r="AJ1452">
        <v>0.33333000000000002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4</v>
      </c>
      <c r="AR1452">
        <v>4</v>
      </c>
      <c r="AS1452">
        <v>10</v>
      </c>
      <c r="AT1452">
        <v>0.28571000000000002</v>
      </c>
      <c r="AU1452">
        <v>13</v>
      </c>
      <c r="AV1452">
        <v>6</v>
      </c>
      <c r="AW1452">
        <v>65</v>
      </c>
      <c r="AX1452">
        <v>14</v>
      </c>
      <c r="AY1452">
        <v>9</v>
      </c>
      <c r="AZ1452">
        <v>1</v>
      </c>
      <c r="BA1452" t="s">
        <v>24940</v>
      </c>
      <c r="BB1452" t="s">
        <v>24941</v>
      </c>
      <c r="BC1452">
        <v>0.14399999999999999</v>
      </c>
      <c r="BD1452" t="s">
        <v>65</v>
      </c>
      <c r="BE1452">
        <v>74</v>
      </c>
      <c r="BF1452">
        <v>15</v>
      </c>
      <c r="BG1452" t="s">
        <v>24942</v>
      </c>
      <c r="BH1452" t="s">
        <v>24943</v>
      </c>
      <c r="BI1452" t="s">
        <v>16731</v>
      </c>
      <c r="BJ1452">
        <v>5.7270000000000001E-2</v>
      </c>
      <c r="BK1452">
        <v>1</v>
      </c>
      <c r="BL1452" t="s">
        <v>69</v>
      </c>
      <c r="BM1452">
        <v>-2.0979999999999999</v>
      </c>
      <c r="BN1452">
        <v>-4.6159999999999997</v>
      </c>
    </row>
    <row r="1453" spans="2:66">
      <c r="B1453">
        <v>2559</v>
      </c>
      <c r="C1453">
        <v>209</v>
      </c>
      <c r="D1453">
        <v>0</v>
      </c>
      <c r="E1453">
        <v>12</v>
      </c>
      <c r="F1453">
        <v>0</v>
      </c>
      <c r="J1453">
        <v>0</v>
      </c>
      <c r="K1453">
        <v>0</v>
      </c>
      <c r="L1453">
        <v>0</v>
      </c>
      <c r="M1453" t="s">
        <v>25022</v>
      </c>
      <c r="N1453">
        <v>4248</v>
      </c>
      <c r="O1453" t="s">
        <v>24951</v>
      </c>
      <c r="P1453" t="s">
        <v>62</v>
      </c>
      <c r="Q1453">
        <v>4205559</v>
      </c>
      <c r="R1453">
        <v>4206404</v>
      </c>
      <c r="S1453" t="s">
        <v>24952</v>
      </c>
      <c r="T1453">
        <v>282</v>
      </c>
      <c r="U1453" t="s">
        <v>2803</v>
      </c>
      <c r="V1453">
        <v>45</v>
      </c>
      <c r="W1453" t="str">
        <f>HYPERLINK("Gene4248-zp_tree_all.dnd", "Gene4248-tree")</f>
        <v>Gene4248-tree</v>
      </c>
      <c r="X1453">
        <v>9</v>
      </c>
      <c r="Y1453">
        <v>6</v>
      </c>
      <c r="Z1453">
        <v>9</v>
      </c>
      <c r="AA1453">
        <v>6</v>
      </c>
      <c r="AB1453">
        <v>0.4</v>
      </c>
      <c r="AC1453" t="s">
        <v>135</v>
      </c>
      <c r="AD1453" t="s">
        <v>90</v>
      </c>
      <c r="AE1453" t="s">
        <v>62</v>
      </c>
      <c r="AF1453" t="s">
        <v>62</v>
      </c>
      <c r="AG1453">
        <v>0</v>
      </c>
      <c r="AH1453">
        <v>0</v>
      </c>
      <c r="AI1453">
        <v>9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9</v>
      </c>
      <c r="AT1453">
        <v>0</v>
      </c>
      <c r="AU1453">
        <v>13</v>
      </c>
      <c r="AV1453">
        <v>9</v>
      </c>
      <c r="AW1453">
        <v>52</v>
      </c>
      <c r="AX1453">
        <v>9</v>
      </c>
      <c r="AY1453">
        <v>22</v>
      </c>
      <c r="AZ1453">
        <v>1</v>
      </c>
      <c r="BA1453" t="s">
        <v>24953</v>
      </c>
      <c r="BB1453" t="s">
        <v>24954</v>
      </c>
      <c r="BC1453">
        <v>0.42199999999999999</v>
      </c>
      <c r="BD1453" t="s">
        <v>65</v>
      </c>
      <c r="BE1453">
        <v>74</v>
      </c>
      <c r="BF1453">
        <v>10</v>
      </c>
      <c r="BG1453" t="s">
        <v>24955</v>
      </c>
      <c r="BH1453" t="s">
        <v>24956</v>
      </c>
      <c r="BI1453" t="s">
        <v>24957</v>
      </c>
      <c r="BJ1453">
        <v>3.1130000000000001E-2</v>
      </c>
      <c r="BK1453">
        <v>1</v>
      </c>
      <c r="BL1453" t="s">
        <v>69</v>
      </c>
      <c r="BM1453">
        <v>-1.2749999999999999</v>
      </c>
      <c r="BN1453">
        <v>-2.7839999999999998</v>
      </c>
    </row>
    <row r="1454" spans="2:66">
      <c r="B1454">
        <v>2560</v>
      </c>
      <c r="C1454">
        <v>297</v>
      </c>
      <c r="D1454">
        <v>0</v>
      </c>
      <c r="E1454">
        <v>4</v>
      </c>
      <c r="F1454">
        <v>0</v>
      </c>
      <c r="J1454">
        <v>0</v>
      </c>
      <c r="K1454">
        <v>0</v>
      </c>
      <c r="L1454">
        <v>0</v>
      </c>
      <c r="M1454" t="s">
        <v>25022</v>
      </c>
      <c r="N1454">
        <v>4249</v>
      </c>
      <c r="O1454" t="s">
        <v>24958</v>
      </c>
      <c r="P1454" t="s">
        <v>62</v>
      </c>
      <c r="Q1454">
        <v>4206400</v>
      </c>
      <c r="R1454">
        <v>4207158</v>
      </c>
      <c r="S1454" t="s">
        <v>24959</v>
      </c>
      <c r="T1454">
        <v>253</v>
      </c>
      <c r="U1454" t="s">
        <v>125</v>
      </c>
      <c r="V1454">
        <v>48</v>
      </c>
      <c r="W1454" t="str">
        <f>HYPERLINK("Gene4249-zp_tree_all.dnd", "Gene4249-tree")</f>
        <v>Gene4249-tree</v>
      </c>
      <c r="X1454">
        <v>13</v>
      </c>
      <c r="Y1454">
        <v>0</v>
      </c>
      <c r="Z1454">
        <v>13</v>
      </c>
      <c r="AA1454">
        <v>0</v>
      </c>
      <c r="AB1454">
        <v>0</v>
      </c>
      <c r="AC1454" t="s">
        <v>507</v>
      </c>
      <c r="AD1454" t="s">
        <v>62</v>
      </c>
      <c r="AE1454" t="s">
        <v>62</v>
      </c>
      <c r="AF1454" t="s">
        <v>62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8</v>
      </c>
      <c r="AV1454">
        <v>7</v>
      </c>
      <c r="AW1454">
        <v>13</v>
      </c>
      <c r="AX1454">
        <v>0</v>
      </c>
      <c r="AY1454">
        <v>41</v>
      </c>
      <c r="AZ1454">
        <v>0</v>
      </c>
      <c r="BA1454" t="s">
        <v>193</v>
      </c>
      <c r="BB1454" t="s">
        <v>193</v>
      </c>
      <c r="BC1454">
        <v>0</v>
      </c>
      <c r="BD1454" t="s">
        <v>65</v>
      </c>
      <c r="BE1454">
        <v>54</v>
      </c>
      <c r="BF1454">
        <v>0</v>
      </c>
      <c r="BG1454" t="s">
        <v>24960</v>
      </c>
      <c r="BH1454" t="s">
        <v>24961</v>
      </c>
      <c r="BI1454" t="s">
        <v>193</v>
      </c>
      <c r="BJ1454">
        <v>0</v>
      </c>
      <c r="BK1454">
        <v>1</v>
      </c>
      <c r="BL1454" t="s">
        <v>69</v>
      </c>
      <c r="BM1454">
        <v>-1.119</v>
      </c>
      <c r="BN1454">
        <v>1.19</v>
      </c>
    </row>
    <row r="1455" spans="2:66">
      <c r="B1455">
        <v>2561</v>
      </c>
      <c r="C1455">
        <v>22</v>
      </c>
      <c r="D1455">
        <v>0</v>
      </c>
      <c r="E1455">
        <v>2</v>
      </c>
      <c r="F1455">
        <v>2</v>
      </c>
      <c r="J1455">
        <v>0</v>
      </c>
      <c r="K1455">
        <v>0</v>
      </c>
      <c r="L1455">
        <v>0</v>
      </c>
      <c r="M1455" t="s">
        <v>25022</v>
      </c>
      <c r="N1455">
        <v>4251</v>
      </c>
      <c r="O1455" t="s">
        <v>24969</v>
      </c>
      <c r="P1455" t="s">
        <v>62</v>
      </c>
      <c r="Q1455">
        <v>4207900</v>
      </c>
      <c r="R1455">
        <v>4208748</v>
      </c>
      <c r="S1455" t="s">
        <v>24970</v>
      </c>
      <c r="T1455">
        <v>283</v>
      </c>
      <c r="U1455" t="s">
        <v>59</v>
      </c>
      <c r="V1455">
        <v>49</v>
      </c>
      <c r="W1455" t="str">
        <f>HYPERLINK("Gene4251-zp_tree_all.dnd", "Gene4251-tree")</f>
        <v>Gene4251-tree</v>
      </c>
      <c r="X1455">
        <v>20</v>
      </c>
      <c r="Y1455">
        <v>0</v>
      </c>
      <c r="Z1455">
        <v>20</v>
      </c>
      <c r="AA1455">
        <v>0</v>
      </c>
      <c r="AB1455">
        <v>0</v>
      </c>
      <c r="AC1455" t="s">
        <v>528</v>
      </c>
      <c r="AD1455" t="s">
        <v>62</v>
      </c>
      <c r="AE1455" t="s">
        <v>62</v>
      </c>
      <c r="AF1455" t="s">
        <v>62</v>
      </c>
      <c r="AG1455">
        <v>0</v>
      </c>
      <c r="AH1455">
        <v>0</v>
      </c>
      <c r="AI1455">
        <v>3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13</v>
      </c>
      <c r="AV1455">
        <v>12</v>
      </c>
      <c r="AW1455">
        <v>21</v>
      </c>
      <c r="AX1455">
        <v>0</v>
      </c>
      <c r="AY1455">
        <v>34</v>
      </c>
      <c r="AZ1455">
        <v>3</v>
      </c>
      <c r="BA1455" t="s">
        <v>193</v>
      </c>
      <c r="BB1455" t="s">
        <v>24971</v>
      </c>
      <c r="BC1455">
        <v>0.39100000000000001</v>
      </c>
      <c r="BD1455" t="s">
        <v>65</v>
      </c>
      <c r="BE1455">
        <v>55</v>
      </c>
      <c r="BF1455">
        <v>3</v>
      </c>
      <c r="BG1455" t="s">
        <v>24972</v>
      </c>
      <c r="BH1455" t="s">
        <v>24973</v>
      </c>
      <c r="BI1455" t="s">
        <v>24974</v>
      </c>
      <c r="BJ1455">
        <v>2.504E-2</v>
      </c>
      <c r="BK1455">
        <v>1</v>
      </c>
      <c r="BL1455" t="s">
        <v>69</v>
      </c>
      <c r="BM1455">
        <v>-0.93</v>
      </c>
      <c r="BN1455">
        <v>-0.13200000000000001</v>
      </c>
    </row>
    <row r="1456" spans="2:66">
      <c r="B1456">
        <v>2564</v>
      </c>
      <c r="C1456">
        <v>150</v>
      </c>
      <c r="D1456">
        <v>0</v>
      </c>
      <c r="E1456">
        <v>6</v>
      </c>
      <c r="F1456">
        <v>0</v>
      </c>
      <c r="J1456">
        <v>0</v>
      </c>
      <c r="K1456">
        <v>7</v>
      </c>
      <c r="L1456">
        <v>2</v>
      </c>
      <c r="M1456" t="s">
        <v>25022</v>
      </c>
      <c r="N1456">
        <v>4252</v>
      </c>
      <c r="O1456" t="s">
        <v>24975</v>
      </c>
      <c r="P1456" t="s">
        <v>62</v>
      </c>
      <c r="Q1456">
        <v>4208873</v>
      </c>
      <c r="R1456">
        <v>4209589</v>
      </c>
      <c r="S1456" t="s">
        <v>24976</v>
      </c>
      <c r="T1456">
        <v>239</v>
      </c>
      <c r="U1456" t="s">
        <v>59</v>
      </c>
      <c r="V1456">
        <v>49</v>
      </c>
      <c r="W1456" t="str">
        <f>HYPERLINK("Gene4252-zp_tree_all.dnd", "Gene4252-tree")</f>
        <v>Gene4252-tree</v>
      </c>
      <c r="X1456">
        <v>12</v>
      </c>
      <c r="Y1456">
        <v>9</v>
      </c>
      <c r="Z1456">
        <v>12</v>
      </c>
      <c r="AA1456">
        <v>9</v>
      </c>
      <c r="AB1456">
        <v>0.42857000000000001</v>
      </c>
      <c r="AC1456" t="s">
        <v>109</v>
      </c>
      <c r="AD1456" t="s">
        <v>135</v>
      </c>
      <c r="AE1456" t="s">
        <v>62</v>
      </c>
      <c r="AF1456" t="s">
        <v>62</v>
      </c>
      <c r="AG1456">
        <v>3</v>
      </c>
      <c r="AH1456">
        <v>9</v>
      </c>
      <c r="AI1456">
        <v>7</v>
      </c>
      <c r="AJ1456">
        <v>0.5625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5</v>
      </c>
      <c r="AQ1456">
        <v>1</v>
      </c>
      <c r="AR1456">
        <v>6</v>
      </c>
      <c r="AS1456">
        <v>6</v>
      </c>
      <c r="AT1456">
        <v>0.5</v>
      </c>
      <c r="AU1456">
        <v>18</v>
      </c>
      <c r="AV1456">
        <v>12</v>
      </c>
      <c r="AW1456">
        <v>42</v>
      </c>
      <c r="AX1456">
        <v>12</v>
      </c>
      <c r="AY1456">
        <v>45</v>
      </c>
      <c r="AZ1456">
        <v>5</v>
      </c>
      <c r="BA1456" t="s">
        <v>24977</v>
      </c>
      <c r="BB1456" t="s">
        <v>24978</v>
      </c>
      <c r="BC1456">
        <v>0.69699999999999995</v>
      </c>
      <c r="BD1456" t="s">
        <v>65</v>
      </c>
      <c r="BE1456">
        <v>87</v>
      </c>
      <c r="BF1456">
        <v>17</v>
      </c>
      <c r="BG1456" t="s">
        <v>24979</v>
      </c>
      <c r="BH1456" t="s">
        <v>24980</v>
      </c>
      <c r="BI1456" t="s">
        <v>24981</v>
      </c>
      <c r="BJ1456">
        <v>3.8460000000000001E-2</v>
      </c>
      <c r="BK1456">
        <v>1</v>
      </c>
      <c r="BL1456" t="s">
        <v>69</v>
      </c>
      <c r="BM1456">
        <v>-0.98799999999999999</v>
      </c>
      <c r="BN1456">
        <v>-1.38</v>
      </c>
    </row>
    <row r="1457" spans="2:66">
      <c r="B1457">
        <v>2565</v>
      </c>
      <c r="C1457">
        <v>96</v>
      </c>
      <c r="D1457">
        <v>0</v>
      </c>
      <c r="E1457">
        <v>2</v>
      </c>
      <c r="F1457">
        <v>0</v>
      </c>
      <c r="J1457">
        <v>0</v>
      </c>
      <c r="K1457">
        <v>0</v>
      </c>
      <c r="L1457">
        <v>0</v>
      </c>
      <c r="M1457" t="s">
        <v>25022</v>
      </c>
      <c r="N1457">
        <v>4253</v>
      </c>
      <c r="O1457" t="s">
        <v>24982</v>
      </c>
      <c r="P1457" t="s">
        <v>62</v>
      </c>
      <c r="Q1457">
        <v>4209606</v>
      </c>
      <c r="R1457">
        <v>4211489</v>
      </c>
      <c r="S1457" t="s">
        <v>24983</v>
      </c>
      <c r="T1457">
        <v>628</v>
      </c>
      <c r="U1457" t="s">
        <v>59</v>
      </c>
      <c r="V1457">
        <v>49</v>
      </c>
      <c r="W1457" t="str">
        <f>HYPERLINK("Gene4253-zp_tree_all.dnd", "Gene4253-tree")</f>
        <v>Gene4253-tree</v>
      </c>
      <c r="X1457">
        <v>16</v>
      </c>
      <c r="Y1457">
        <v>4</v>
      </c>
      <c r="Z1457">
        <v>16</v>
      </c>
      <c r="AA1457">
        <v>4</v>
      </c>
      <c r="AB1457">
        <v>0.2</v>
      </c>
      <c r="AC1457" t="s">
        <v>60</v>
      </c>
      <c r="AD1457" t="s">
        <v>61</v>
      </c>
      <c r="AE1457" t="s">
        <v>62</v>
      </c>
      <c r="AF1457" t="s">
        <v>62</v>
      </c>
      <c r="AG1457">
        <v>0</v>
      </c>
      <c r="AH1457">
        <v>0</v>
      </c>
      <c r="AI1457">
        <v>8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6</v>
      </c>
      <c r="AT1457">
        <v>0</v>
      </c>
      <c r="AU1457">
        <v>18</v>
      </c>
      <c r="AV1457">
        <v>17</v>
      </c>
      <c r="AW1457">
        <v>101</v>
      </c>
      <c r="AX1457">
        <v>6</v>
      </c>
      <c r="AY1457">
        <v>138</v>
      </c>
      <c r="AZ1457">
        <v>2</v>
      </c>
      <c r="BA1457" t="s">
        <v>24984</v>
      </c>
      <c r="BB1457" t="s">
        <v>24985</v>
      </c>
      <c r="BC1457">
        <v>0.42599999999999999</v>
      </c>
      <c r="BD1457" t="s">
        <v>65</v>
      </c>
      <c r="BE1457">
        <v>239</v>
      </c>
      <c r="BF1457">
        <v>8</v>
      </c>
      <c r="BG1457" t="s">
        <v>24986</v>
      </c>
      <c r="BH1457" t="s">
        <v>24987</v>
      </c>
      <c r="BI1457" t="s">
        <v>9063</v>
      </c>
      <c r="BJ1457">
        <v>7.7400000000000004E-3</v>
      </c>
      <c r="BK1457">
        <v>1</v>
      </c>
      <c r="BL1457" t="s">
        <v>69</v>
      </c>
      <c r="BM1457">
        <v>-1.1579999999999999</v>
      </c>
      <c r="BN1457">
        <v>-1.3129999999999999</v>
      </c>
    </row>
    <row r="1458" spans="2:66">
      <c r="B1458">
        <v>2566</v>
      </c>
      <c r="C1458">
        <v>215</v>
      </c>
      <c r="D1458">
        <v>0</v>
      </c>
      <c r="E1458">
        <v>2</v>
      </c>
      <c r="F1458">
        <v>2</v>
      </c>
      <c r="J1458">
        <v>0</v>
      </c>
      <c r="K1458">
        <v>4</v>
      </c>
      <c r="L1458">
        <v>0</v>
      </c>
      <c r="M1458" t="s">
        <v>25022</v>
      </c>
      <c r="N1458">
        <v>4254</v>
      </c>
      <c r="O1458" t="s">
        <v>24988</v>
      </c>
      <c r="P1458" t="s">
        <v>62</v>
      </c>
      <c r="Q1458">
        <v>4211513</v>
      </c>
      <c r="R1458">
        <v>4212889</v>
      </c>
      <c r="S1458" t="s">
        <v>24989</v>
      </c>
      <c r="T1458">
        <v>459</v>
      </c>
      <c r="U1458" t="s">
        <v>59</v>
      </c>
      <c r="V1458">
        <v>49</v>
      </c>
      <c r="W1458" t="str">
        <f>HYPERLINK("Gene4254-zp_tree_all.dnd", "Gene4254-tree")</f>
        <v>Gene4254-tree</v>
      </c>
      <c r="X1458">
        <v>16</v>
      </c>
      <c r="Y1458">
        <v>5</v>
      </c>
      <c r="Z1458">
        <v>16</v>
      </c>
      <c r="AA1458">
        <v>5</v>
      </c>
      <c r="AB1458">
        <v>0.23810000000000001</v>
      </c>
      <c r="AC1458" t="s">
        <v>60</v>
      </c>
      <c r="AD1458" t="s">
        <v>199</v>
      </c>
      <c r="AE1458" t="s">
        <v>62</v>
      </c>
      <c r="AF1458" t="s">
        <v>62</v>
      </c>
      <c r="AG1458">
        <v>2</v>
      </c>
      <c r="AH1458">
        <v>4</v>
      </c>
      <c r="AI1458">
        <v>9</v>
      </c>
      <c r="AJ1458">
        <v>0.30769000000000002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2</v>
      </c>
      <c r="AQ1458">
        <v>0</v>
      </c>
      <c r="AR1458">
        <v>2</v>
      </c>
      <c r="AS1458">
        <v>4</v>
      </c>
      <c r="AT1458">
        <v>0.33333000000000002</v>
      </c>
      <c r="AU1458">
        <v>20</v>
      </c>
      <c r="AV1458">
        <v>17</v>
      </c>
      <c r="AW1458">
        <v>69</v>
      </c>
      <c r="AX1458">
        <v>6</v>
      </c>
      <c r="AY1458">
        <v>102</v>
      </c>
      <c r="AZ1458">
        <v>7</v>
      </c>
      <c r="BA1458" t="s">
        <v>24990</v>
      </c>
      <c r="BB1458" t="s">
        <v>24991</v>
      </c>
      <c r="BC1458">
        <v>0.17100000000000001</v>
      </c>
      <c r="BD1458" t="s">
        <v>65</v>
      </c>
      <c r="BE1458">
        <v>171</v>
      </c>
      <c r="BF1458">
        <v>13</v>
      </c>
      <c r="BG1458" t="s">
        <v>24992</v>
      </c>
      <c r="BH1458" t="s">
        <v>24993</v>
      </c>
      <c r="BI1458" t="s">
        <v>24994</v>
      </c>
      <c r="BJ1458">
        <v>2.0930000000000001E-2</v>
      </c>
      <c r="BK1458">
        <v>1</v>
      </c>
      <c r="BL1458" t="s">
        <v>69</v>
      </c>
      <c r="BM1458">
        <v>-0.86</v>
      </c>
      <c r="BN1458">
        <v>-0.55200000000000005</v>
      </c>
    </row>
    <row r="1459" spans="2:66">
      <c r="B1459">
        <v>2567</v>
      </c>
      <c r="C1459">
        <v>11</v>
      </c>
      <c r="D1459">
        <v>0</v>
      </c>
      <c r="E1459">
        <v>0</v>
      </c>
      <c r="F1459">
        <v>2</v>
      </c>
      <c r="J1459">
        <v>0</v>
      </c>
      <c r="K1459">
        <v>0</v>
      </c>
      <c r="L1459">
        <v>2</v>
      </c>
      <c r="M1459" t="s">
        <v>25022</v>
      </c>
      <c r="N1459">
        <v>4255</v>
      </c>
      <c r="O1459" t="s">
        <v>24995</v>
      </c>
      <c r="P1459" t="s">
        <v>62</v>
      </c>
      <c r="Q1459">
        <v>4213203</v>
      </c>
      <c r="R1459">
        <v>4213826</v>
      </c>
      <c r="S1459" t="s">
        <v>24996</v>
      </c>
      <c r="T1459">
        <v>208</v>
      </c>
      <c r="U1459" t="s">
        <v>108</v>
      </c>
      <c r="V1459">
        <v>44</v>
      </c>
      <c r="W1459" t="str">
        <f>HYPERLINK("Gene4255-zp_tree_all.dnd", "Gene4255-tree")</f>
        <v>Gene4255-tree</v>
      </c>
      <c r="X1459">
        <v>11</v>
      </c>
      <c r="Y1459">
        <v>2</v>
      </c>
      <c r="Z1459">
        <v>11</v>
      </c>
      <c r="AA1459">
        <v>2</v>
      </c>
      <c r="AB1459">
        <v>0.15384999999999999</v>
      </c>
      <c r="AC1459" t="s">
        <v>73</v>
      </c>
      <c r="AD1459" t="s">
        <v>81</v>
      </c>
      <c r="AE1459" t="s">
        <v>62</v>
      </c>
      <c r="AF1459" t="s">
        <v>62</v>
      </c>
      <c r="AG1459">
        <v>1</v>
      </c>
      <c r="AH1459">
        <v>2</v>
      </c>
      <c r="AI1459">
        <v>3</v>
      </c>
      <c r="AJ1459">
        <v>0.4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3</v>
      </c>
      <c r="AT1459">
        <v>0</v>
      </c>
      <c r="AU1459">
        <v>9</v>
      </c>
      <c r="AV1459">
        <v>7</v>
      </c>
      <c r="AW1459">
        <v>23</v>
      </c>
      <c r="AX1459">
        <v>3</v>
      </c>
      <c r="AY1459">
        <v>10</v>
      </c>
      <c r="AZ1459">
        <v>2</v>
      </c>
      <c r="BA1459" t="s">
        <v>24997</v>
      </c>
      <c r="BB1459" t="s">
        <v>24998</v>
      </c>
      <c r="BC1459">
        <v>0.13800000000000001</v>
      </c>
      <c r="BD1459" t="s">
        <v>65</v>
      </c>
      <c r="BE1459">
        <v>33</v>
      </c>
      <c r="BF1459">
        <v>5</v>
      </c>
      <c r="BG1459" t="s">
        <v>24999</v>
      </c>
      <c r="BH1459" t="s">
        <v>25000</v>
      </c>
      <c r="BI1459" t="s">
        <v>25001</v>
      </c>
      <c r="BJ1459">
        <v>4.7570000000000001E-2</v>
      </c>
      <c r="BK1459">
        <v>1</v>
      </c>
      <c r="BL1459" t="s">
        <v>69</v>
      </c>
      <c r="BM1459">
        <v>0.315</v>
      </c>
      <c r="BN1459">
        <v>1.294</v>
      </c>
    </row>
    <row r="1460" spans="2:66">
      <c r="B1460">
        <v>2569</v>
      </c>
      <c r="C1460">
        <v>58</v>
      </c>
      <c r="D1460">
        <v>0</v>
      </c>
      <c r="E1460">
        <v>4</v>
      </c>
      <c r="F1460">
        <v>5</v>
      </c>
      <c r="J1460">
        <v>0</v>
      </c>
      <c r="K1460">
        <v>2</v>
      </c>
      <c r="L1460">
        <v>0</v>
      </c>
      <c r="M1460" t="s">
        <v>25022</v>
      </c>
      <c r="N1460">
        <v>4256</v>
      </c>
      <c r="O1460" t="s">
        <v>25002</v>
      </c>
      <c r="P1460" t="s">
        <v>62</v>
      </c>
      <c r="Q1460">
        <v>4213826</v>
      </c>
      <c r="R1460">
        <v>4214608</v>
      </c>
      <c r="S1460" t="s">
        <v>14519</v>
      </c>
      <c r="T1460">
        <v>261</v>
      </c>
      <c r="U1460" t="s">
        <v>59</v>
      </c>
      <c r="V1460">
        <v>49</v>
      </c>
      <c r="W1460" t="str">
        <f>HYPERLINK("Gene4256-zp_tree_all.dnd", "Gene4256-tree")</f>
        <v>Gene4256-tree</v>
      </c>
      <c r="X1460">
        <v>17</v>
      </c>
      <c r="Y1460">
        <v>2</v>
      </c>
      <c r="Z1460">
        <v>17</v>
      </c>
      <c r="AA1460">
        <v>2</v>
      </c>
      <c r="AB1460">
        <v>0.10526000000000001</v>
      </c>
      <c r="AC1460" t="s">
        <v>266</v>
      </c>
      <c r="AD1460" t="s">
        <v>81</v>
      </c>
      <c r="AE1460" t="s">
        <v>62</v>
      </c>
      <c r="AF1460" t="s">
        <v>62</v>
      </c>
      <c r="AG1460">
        <v>1</v>
      </c>
      <c r="AH1460">
        <v>2</v>
      </c>
      <c r="AI1460">
        <v>2</v>
      </c>
      <c r="AJ1460">
        <v>0.5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2</v>
      </c>
      <c r="AT1460">
        <v>0</v>
      </c>
      <c r="AU1460">
        <v>16</v>
      </c>
      <c r="AV1460">
        <v>10</v>
      </c>
      <c r="AW1460">
        <v>35</v>
      </c>
      <c r="AX1460">
        <v>2</v>
      </c>
      <c r="AY1460">
        <v>34</v>
      </c>
      <c r="AZ1460">
        <v>2</v>
      </c>
      <c r="BA1460" t="s">
        <v>25003</v>
      </c>
      <c r="BB1460" t="s">
        <v>25004</v>
      </c>
      <c r="BC1460">
        <v>8.9999999999999993E-3</v>
      </c>
      <c r="BD1460" t="s">
        <v>65</v>
      </c>
      <c r="BE1460">
        <v>69</v>
      </c>
      <c r="BF1460">
        <v>4</v>
      </c>
      <c r="BG1460" t="s">
        <v>25005</v>
      </c>
      <c r="BH1460" t="s">
        <v>25006</v>
      </c>
      <c r="BI1460" t="s">
        <v>25007</v>
      </c>
      <c r="BJ1460">
        <v>1.6199999999999999E-2</v>
      </c>
      <c r="BK1460">
        <v>1</v>
      </c>
      <c r="BL1460" t="s">
        <v>69</v>
      </c>
      <c r="BM1460">
        <v>-1.5029999999999999</v>
      </c>
      <c r="BN1460">
        <v>-1.3169999999999999</v>
      </c>
    </row>
    <row r="1461" spans="2:66">
      <c r="B1461">
        <v>2570</v>
      </c>
      <c r="C1461">
        <v>98</v>
      </c>
      <c r="D1461">
        <v>0</v>
      </c>
      <c r="E1461">
        <v>9</v>
      </c>
      <c r="F1461">
        <v>0</v>
      </c>
      <c r="J1461">
        <v>0</v>
      </c>
      <c r="K1461">
        <v>0</v>
      </c>
      <c r="L1461">
        <v>2</v>
      </c>
      <c r="M1461" t="s">
        <v>25022</v>
      </c>
      <c r="N1461">
        <v>4257</v>
      </c>
      <c r="O1461" t="s">
        <v>25008</v>
      </c>
      <c r="P1461" t="s">
        <v>62</v>
      </c>
      <c r="Q1461">
        <v>4214756</v>
      </c>
      <c r="R1461">
        <v>4215103</v>
      </c>
      <c r="S1461" t="s">
        <v>25009</v>
      </c>
      <c r="T1461">
        <v>116</v>
      </c>
      <c r="U1461" t="s">
        <v>59</v>
      </c>
      <c r="V1461">
        <v>49</v>
      </c>
      <c r="W1461" t="str">
        <f>HYPERLINK("Gene4257-zp_tree_all.dnd", "Gene4257-tree")</f>
        <v>Gene4257-tree</v>
      </c>
      <c r="X1461">
        <v>36</v>
      </c>
      <c r="Y1461">
        <v>4</v>
      </c>
      <c r="Z1461">
        <v>6</v>
      </c>
      <c r="AA1461">
        <v>4</v>
      </c>
      <c r="AB1461">
        <v>0.4</v>
      </c>
      <c r="AC1461" t="s">
        <v>7321</v>
      </c>
      <c r="AD1461" t="s">
        <v>61</v>
      </c>
      <c r="AE1461" t="s">
        <v>62</v>
      </c>
      <c r="AF1461" t="s">
        <v>62</v>
      </c>
      <c r="AG1461">
        <v>1</v>
      </c>
      <c r="AH1461">
        <v>2</v>
      </c>
      <c r="AI1461">
        <v>3</v>
      </c>
      <c r="AJ1461">
        <v>0.4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4</v>
      </c>
      <c r="AT1461">
        <v>0</v>
      </c>
      <c r="AU1461">
        <v>8</v>
      </c>
      <c r="AV1461">
        <v>3</v>
      </c>
      <c r="AW1461">
        <v>8</v>
      </c>
      <c r="AX1461">
        <v>4</v>
      </c>
      <c r="AY1461">
        <v>14</v>
      </c>
      <c r="AZ1461">
        <v>1</v>
      </c>
      <c r="BA1461" t="s">
        <v>25010</v>
      </c>
      <c r="BB1461" t="s">
        <v>25011</v>
      </c>
      <c r="BC1461">
        <v>1.802</v>
      </c>
      <c r="BD1461" t="s">
        <v>65</v>
      </c>
      <c r="BE1461">
        <v>22</v>
      </c>
      <c r="BF1461">
        <v>5</v>
      </c>
      <c r="BG1461" t="s">
        <v>25012</v>
      </c>
      <c r="BH1461" t="s">
        <v>25013</v>
      </c>
      <c r="BI1461" t="s">
        <v>7246</v>
      </c>
      <c r="BJ1461">
        <v>3.6729999999999999E-2</v>
      </c>
      <c r="BK1461">
        <v>1</v>
      </c>
      <c r="BL1461" t="s">
        <v>69</v>
      </c>
      <c r="BM1461">
        <v>-1.502</v>
      </c>
      <c r="BN1461">
        <v>-0.61199999999999999</v>
      </c>
    </row>
    <row r="1462" spans="2:66">
      <c r="B1462">
        <v>2571</v>
      </c>
      <c r="C1462">
        <v>34</v>
      </c>
      <c r="D1462">
        <v>0</v>
      </c>
      <c r="E1462">
        <v>8</v>
      </c>
      <c r="F1462">
        <v>0</v>
      </c>
      <c r="J1462">
        <v>0</v>
      </c>
      <c r="K1462">
        <v>0</v>
      </c>
      <c r="L1462">
        <v>0</v>
      </c>
      <c r="M1462" t="s">
        <v>25022</v>
      </c>
      <c r="N1462">
        <v>4258</v>
      </c>
      <c r="O1462" t="s">
        <v>25014</v>
      </c>
      <c r="P1462" t="s">
        <v>62</v>
      </c>
      <c r="Q1462">
        <v>4215258</v>
      </c>
      <c r="R1462">
        <v>4215389</v>
      </c>
      <c r="S1462" t="s">
        <v>25015</v>
      </c>
      <c r="T1462">
        <v>44</v>
      </c>
      <c r="U1462" t="s">
        <v>515</v>
      </c>
      <c r="V1462">
        <v>51</v>
      </c>
      <c r="W1462" t="str">
        <f>HYPERLINK("Gene4258-zp_tree_all.dnd", "Gene4258-tree")</f>
        <v>Gene4258-tree</v>
      </c>
      <c r="X1462">
        <v>4</v>
      </c>
      <c r="Y1462">
        <v>0</v>
      </c>
      <c r="Z1462">
        <v>4</v>
      </c>
      <c r="AA1462">
        <v>0</v>
      </c>
      <c r="AB1462">
        <v>0</v>
      </c>
      <c r="AC1462" t="s">
        <v>61</v>
      </c>
      <c r="AD1462" t="s">
        <v>62</v>
      </c>
      <c r="AE1462" t="s">
        <v>62</v>
      </c>
      <c r="AF1462" t="s">
        <v>62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3</v>
      </c>
      <c r="AV1462">
        <v>0</v>
      </c>
      <c r="AW1462">
        <v>3</v>
      </c>
      <c r="AX1462">
        <v>0</v>
      </c>
      <c r="AY1462">
        <v>0</v>
      </c>
      <c r="AZ1462">
        <v>0</v>
      </c>
      <c r="BA1462" t="s">
        <v>193</v>
      </c>
      <c r="BB1462" t="s">
        <v>193</v>
      </c>
      <c r="BC1462">
        <v>0</v>
      </c>
      <c r="BD1462" t="s">
        <v>65</v>
      </c>
      <c r="BE1462">
        <v>3</v>
      </c>
      <c r="BF1462">
        <v>0</v>
      </c>
      <c r="BG1462" t="s">
        <v>25016</v>
      </c>
      <c r="BH1462" t="s">
        <v>25017</v>
      </c>
      <c r="BI1462" t="s">
        <v>193</v>
      </c>
      <c r="BJ1462">
        <v>0</v>
      </c>
      <c r="BK1462">
        <v>1</v>
      </c>
      <c r="BL1462" t="s">
        <v>69</v>
      </c>
      <c r="BM1462">
        <v>-0.72599999999999998</v>
      </c>
      <c r="BN1462">
        <v>0.89</v>
      </c>
    </row>
    <row r="1463" spans="2:66">
      <c r="B1463">
        <v>2572</v>
      </c>
      <c r="C1463">
        <v>9</v>
      </c>
      <c r="D1463">
        <v>0</v>
      </c>
      <c r="E1463">
        <v>11</v>
      </c>
      <c r="F1463">
        <v>3</v>
      </c>
      <c r="J1463">
        <v>0</v>
      </c>
      <c r="K1463">
        <v>0</v>
      </c>
      <c r="L1463">
        <v>0</v>
      </c>
      <c r="M1463" t="s">
        <v>25022</v>
      </c>
      <c r="N1463">
        <v>1</v>
      </c>
      <c r="O1463" t="s">
        <v>56</v>
      </c>
      <c r="P1463" t="s">
        <v>57</v>
      </c>
      <c r="Q1463">
        <v>410</v>
      </c>
      <c r="R1463">
        <v>1747</v>
      </c>
      <c r="S1463" t="s">
        <v>58</v>
      </c>
      <c r="T1463">
        <v>446</v>
      </c>
      <c r="U1463" t="s">
        <v>59</v>
      </c>
      <c r="V1463">
        <v>49</v>
      </c>
      <c r="W1463" t="str">
        <f>HYPERLINK("Gene1-zp_tree_all.dnd", "Gene1-tree")</f>
        <v>Gene1-tree</v>
      </c>
      <c r="X1463">
        <v>16</v>
      </c>
      <c r="Y1463">
        <v>4</v>
      </c>
      <c r="Z1463">
        <v>16</v>
      </c>
      <c r="AA1463">
        <v>4</v>
      </c>
      <c r="AB1463">
        <v>0.2</v>
      </c>
      <c r="AC1463" t="s">
        <v>60</v>
      </c>
      <c r="AD1463" t="s">
        <v>61</v>
      </c>
      <c r="AE1463" t="s">
        <v>62</v>
      </c>
      <c r="AF1463" t="s">
        <v>62</v>
      </c>
      <c r="AG1463">
        <v>0</v>
      </c>
      <c r="AH1463">
        <v>0</v>
      </c>
      <c r="AI1463">
        <v>6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5</v>
      </c>
      <c r="AT1463">
        <v>0</v>
      </c>
      <c r="AU1463">
        <v>17</v>
      </c>
      <c r="AV1463">
        <v>15</v>
      </c>
      <c r="AW1463">
        <v>51</v>
      </c>
      <c r="AX1463">
        <v>5</v>
      </c>
      <c r="AY1463">
        <v>77</v>
      </c>
      <c r="AZ1463">
        <v>1</v>
      </c>
      <c r="BA1463" t="s">
        <v>63</v>
      </c>
      <c r="BB1463" t="s">
        <v>64</v>
      </c>
      <c r="BC1463">
        <v>0.70599999999999996</v>
      </c>
      <c r="BD1463" t="s">
        <v>65</v>
      </c>
      <c r="BE1463">
        <v>128</v>
      </c>
      <c r="BF1463">
        <v>6</v>
      </c>
      <c r="BG1463" t="s">
        <v>66</v>
      </c>
      <c r="BH1463" t="s">
        <v>67</v>
      </c>
      <c r="BI1463" t="s">
        <v>68</v>
      </c>
      <c r="BJ1463">
        <v>8.2500000000000004E-3</v>
      </c>
      <c r="BK1463">
        <v>1</v>
      </c>
      <c r="BL1463" t="s">
        <v>69</v>
      </c>
      <c r="BM1463">
        <v>-1.3049999999999999</v>
      </c>
      <c r="BN1463">
        <v>-1.022</v>
      </c>
    </row>
    <row r="1464" spans="2:66">
      <c r="B1464">
        <v>2573</v>
      </c>
      <c r="C1464">
        <v>86</v>
      </c>
      <c r="D1464">
        <v>0</v>
      </c>
      <c r="E1464">
        <v>2</v>
      </c>
      <c r="F1464">
        <v>0</v>
      </c>
      <c r="J1464">
        <v>0</v>
      </c>
      <c r="K1464">
        <v>4</v>
      </c>
      <c r="L1464">
        <v>1</v>
      </c>
      <c r="M1464" t="s">
        <v>25022</v>
      </c>
      <c r="N1464">
        <v>2</v>
      </c>
      <c r="O1464" t="s">
        <v>70</v>
      </c>
      <c r="P1464" t="s">
        <v>57</v>
      </c>
      <c r="Q1464">
        <v>1939</v>
      </c>
      <c r="R1464">
        <v>3072</v>
      </c>
      <c r="S1464" t="s">
        <v>71</v>
      </c>
      <c r="T1464">
        <v>378</v>
      </c>
      <c r="U1464" t="s">
        <v>72</v>
      </c>
      <c r="V1464">
        <v>45</v>
      </c>
      <c r="W1464" t="str">
        <f>HYPERLINK("Gene2-zp_tree_all.dnd", "Gene2-tree")</f>
        <v>Gene2-tree</v>
      </c>
      <c r="X1464">
        <v>11</v>
      </c>
      <c r="Y1464">
        <v>4</v>
      </c>
      <c r="Z1464">
        <v>11</v>
      </c>
      <c r="AA1464">
        <v>4</v>
      </c>
      <c r="AB1464">
        <v>0.26667000000000002</v>
      </c>
      <c r="AC1464" t="s">
        <v>73</v>
      </c>
      <c r="AD1464" t="s">
        <v>61</v>
      </c>
      <c r="AE1464" t="s">
        <v>62</v>
      </c>
      <c r="AF1464" t="s">
        <v>62</v>
      </c>
      <c r="AG1464">
        <v>1</v>
      </c>
      <c r="AH1464">
        <v>5</v>
      </c>
      <c r="AI1464">
        <v>2</v>
      </c>
      <c r="AJ1464">
        <v>0.71428999999999998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2</v>
      </c>
      <c r="AQ1464">
        <v>1</v>
      </c>
      <c r="AR1464">
        <v>3</v>
      </c>
      <c r="AS1464">
        <v>2</v>
      </c>
      <c r="AT1464">
        <v>0.6</v>
      </c>
      <c r="AU1464">
        <v>12</v>
      </c>
      <c r="AV1464">
        <v>12</v>
      </c>
      <c r="AW1464">
        <v>77</v>
      </c>
      <c r="AX1464">
        <v>5</v>
      </c>
      <c r="AY1464">
        <v>26</v>
      </c>
      <c r="AZ1464">
        <v>2</v>
      </c>
      <c r="BA1464" t="s">
        <v>74</v>
      </c>
      <c r="BB1464" t="s">
        <v>75</v>
      </c>
      <c r="BC1464">
        <v>0.105</v>
      </c>
      <c r="BD1464" t="s">
        <v>65</v>
      </c>
      <c r="BE1464">
        <v>103</v>
      </c>
      <c r="BF1464">
        <v>7</v>
      </c>
      <c r="BG1464" t="s">
        <v>76</v>
      </c>
      <c r="BH1464" t="s">
        <v>77</v>
      </c>
      <c r="BI1464" t="s">
        <v>78</v>
      </c>
      <c r="BJ1464">
        <v>1.4800000000000001E-2</v>
      </c>
      <c r="BK1464">
        <v>1</v>
      </c>
      <c r="BL1464" t="s">
        <v>69</v>
      </c>
      <c r="BM1464">
        <v>-1.5289999999999999</v>
      </c>
      <c r="BN1464">
        <v>-4.3529999999999998</v>
      </c>
    </row>
    <row r="1465" spans="2:66">
      <c r="B1465">
        <v>2574</v>
      </c>
      <c r="C1465">
        <v>29</v>
      </c>
      <c r="D1465">
        <v>0</v>
      </c>
      <c r="E1465">
        <v>12</v>
      </c>
      <c r="F1465">
        <v>1</v>
      </c>
      <c r="J1465">
        <v>0</v>
      </c>
      <c r="K1465">
        <v>0</v>
      </c>
      <c r="L1465">
        <v>2</v>
      </c>
      <c r="M1465" t="s">
        <v>25022</v>
      </c>
      <c r="N1465">
        <v>3</v>
      </c>
      <c r="O1465" t="s">
        <v>79</v>
      </c>
      <c r="P1465" t="s">
        <v>57</v>
      </c>
      <c r="Q1465">
        <v>3206</v>
      </c>
      <c r="R1465">
        <v>3418</v>
      </c>
      <c r="S1465" t="s">
        <v>80</v>
      </c>
      <c r="T1465">
        <v>71</v>
      </c>
      <c r="U1465" t="s">
        <v>59</v>
      </c>
      <c r="V1465">
        <v>49</v>
      </c>
      <c r="W1465" t="str">
        <f>HYPERLINK("Gene3-zp_tree_all.dnd", "Gene3-tree")</f>
        <v>Gene3-tree</v>
      </c>
      <c r="X1465">
        <v>4</v>
      </c>
      <c r="Y1465">
        <v>2</v>
      </c>
      <c r="Z1465">
        <v>4</v>
      </c>
      <c r="AA1465">
        <v>2</v>
      </c>
      <c r="AB1465">
        <v>0.33333000000000002</v>
      </c>
      <c r="AC1465" t="s">
        <v>61</v>
      </c>
      <c r="AD1465" t="s">
        <v>81</v>
      </c>
      <c r="AE1465" t="s">
        <v>62</v>
      </c>
      <c r="AF1465" t="s">
        <v>62</v>
      </c>
      <c r="AG1465">
        <v>1</v>
      </c>
      <c r="AH1465">
        <v>2</v>
      </c>
      <c r="AI1465">
        <v>1</v>
      </c>
      <c r="AJ1465">
        <v>0.66666999999999998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2</v>
      </c>
      <c r="AT1465">
        <v>0</v>
      </c>
      <c r="AU1465">
        <v>4</v>
      </c>
      <c r="AV1465">
        <v>3</v>
      </c>
      <c r="AW1465">
        <v>3</v>
      </c>
      <c r="AX1465">
        <v>2</v>
      </c>
      <c r="AY1465">
        <v>7</v>
      </c>
      <c r="AZ1465">
        <v>1</v>
      </c>
      <c r="BA1465" t="s">
        <v>82</v>
      </c>
      <c r="BB1465" t="s">
        <v>83</v>
      </c>
      <c r="BC1465">
        <v>1.0760000000000001</v>
      </c>
      <c r="BD1465" t="s">
        <v>65</v>
      </c>
      <c r="BE1465">
        <v>10</v>
      </c>
      <c r="BF1465">
        <v>3</v>
      </c>
      <c r="BG1465" t="s">
        <v>84</v>
      </c>
      <c r="BH1465" t="s">
        <v>85</v>
      </c>
      <c r="BI1465" t="s">
        <v>86</v>
      </c>
      <c r="BJ1465">
        <v>6.9709999999999994E-2</v>
      </c>
      <c r="BK1465">
        <v>1</v>
      </c>
      <c r="BL1465" t="s">
        <v>69</v>
      </c>
      <c r="BM1465">
        <v>-1.204</v>
      </c>
      <c r="BN1465">
        <v>0.86799999999999999</v>
      </c>
    </row>
    <row r="1466" spans="2:66">
      <c r="B1466">
        <v>2576</v>
      </c>
      <c r="C1466">
        <v>194</v>
      </c>
      <c r="D1466">
        <v>0</v>
      </c>
      <c r="E1466">
        <v>2</v>
      </c>
      <c r="F1466">
        <v>0</v>
      </c>
      <c r="J1466">
        <v>0</v>
      </c>
      <c r="K1466">
        <v>2</v>
      </c>
      <c r="L1466">
        <v>2</v>
      </c>
      <c r="M1466" t="s">
        <v>25022</v>
      </c>
      <c r="N1466">
        <v>4</v>
      </c>
      <c r="O1466" t="s">
        <v>87</v>
      </c>
      <c r="P1466" t="s">
        <v>57</v>
      </c>
      <c r="Q1466">
        <v>3437</v>
      </c>
      <c r="R1466">
        <v>4546</v>
      </c>
      <c r="S1466" t="s">
        <v>88</v>
      </c>
      <c r="T1466">
        <v>370</v>
      </c>
      <c r="U1466" t="s">
        <v>59</v>
      </c>
      <c r="V1466">
        <v>49</v>
      </c>
      <c r="W1466" t="str">
        <f>HYPERLINK("Gene4-zp_tree_all.dnd", "Gene4-tree")</f>
        <v>Gene4-tree</v>
      </c>
      <c r="X1466">
        <v>30</v>
      </c>
      <c r="Y1466">
        <v>6</v>
      </c>
      <c r="Z1466">
        <v>11</v>
      </c>
      <c r="AA1466">
        <v>6</v>
      </c>
      <c r="AB1466">
        <v>0.35293999999999998</v>
      </c>
      <c r="AC1466" t="s">
        <v>89</v>
      </c>
      <c r="AD1466" t="s">
        <v>90</v>
      </c>
      <c r="AE1466" t="s">
        <v>62</v>
      </c>
      <c r="AF1466" t="s">
        <v>62</v>
      </c>
      <c r="AG1466">
        <v>2</v>
      </c>
      <c r="AH1466">
        <v>4</v>
      </c>
      <c r="AI1466">
        <v>8</v>
      </c>
      <c r="AJ1466">
        <v>0.33333000000000002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7</v>
      </c>
      <c r="AT1466">
        <v>0</v>
      </c>
      <c r="AU1466">
        <v>16</v>
      </c>
      <c r="AV1466">
        <v>7</v>
      </c>
      <c r="AW1466">
        <v>30</v>
      </c>
      <c r="AX1466">
        <v>7</v>
      </c>
      <c r="AY1466">
        <v>53</v>
      </c>
      <c r="AZ1466">
        <v>7</v>
      </c>
      <c r="BA1466" t="s">
        <v>91</v>
      </c>
      <c r="BB1466" t="s">
        <v>92</v>
      </c>
      <c r="BC1466">
        <v>0.496</v>
      </c>
      <c r="BD1466" t="s">
        <v>65</v>
      </c>
      <c r="BE1466">
        <v>83</v>
      </c>
      <c r="BF1466">
        <v>14</v>
      </c>
      <c r="BG1466" t="s">
        <v>93</v>
      </c>
      <c r="BH1466" t="s">
        <v>94</v>
      </c>
      <c r="BI1466" t="s">
        <v>95</v>
      </c>
      <c r="BJ1466">
        <v>3.8089999999999999E-2</v>
      </c>
      <c r="BK1466">
        <v>1</v>
      </c>
      <c r="BL1466" t="s">
        <v>69</v>
      </c>
      <c r="BM1466">
        <v>-1.446</v>
      </c>
      <c r="BN1466">
        <v>0.19600000000000001</v>
      </c>
    </row>
    <row r="1467" spans="2:66">
      <c r="B1467">
        <v>2577</v>
      </c>
      <c r="C1467">
        <v>415</v>
      </c>
      <c r="D1467">
        <v>0</v>
      </c>
      <c r="E1467">
        <v>11</v>
      </c>
      <c r="F1467">
        <v>0</v>
      </c>
      <c r="J1467">
        <v>0</v>
      </c>
      <c r="K1467">
        <v>0</v>
      </c>
      <c r="L1467">
        <v>4</v>
      </c>
      <c r="M1467" t="s">
        <v>25022</v>
      </c>
      <c r="N1467">
        <v>6</v>
      </c>
      <c r="O1467" t="s">
        <v>97</v>
      </c>
      <c r="P1467" t="s">
        <v>57</v>
      </c>
      <c r="Q1467">
        <v>4867</v>
      </c>
      <c r="R1467">
        <v>6780</v>
      </c>
      <c r="S1467" t="s">
        <v>98</v>
      </c>
      <c r="T1467">
        <v>638</v>
      </c>
      <c r="U1467" t="s">
        <v>99</v>
      </c>
      <c r="V1467">
        <v>47</v>
      </c>
      <c r="W1467" t="str">
        <f>HYPERLINK("Gene6-zp_tree_all.dnd", "Gene6-tree")</f>
        <v>Gene6-tree</v>
      </c>
      <c r="X1467">
        <v>15</v>
      </c>
      <c r="Y1467">
        <v>2</v>
      </c>
      <c r="Z1467">
        <v>15</v>
      </c>
      <c r="AA1467">
        <v>2</v>
      </c>
      <c r="AB1467">
        <v>0.11765</v>
      </c>
      <c r="AC1467" t="s">
        <v>100</v>
      </c>
      <c r="AD1467" t="s">
        <v>81</v>
      </c>
      <c r="AE1467" t="s">
        <v>62</v>
      </c>
      <c r="AF1467" t="s">
        <v>62</v>
      </c>
      <c r="AG1467">
        <v>2</v>
      </c>
      <c r="AH1467">
        <v>4</v>
      </c>
      <c r="AI1467">
        <v>8</v>
      </c>
      <c r="AJ1467">
        <v>0.33333000000000002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6</v>
      </c>
      <c r="AT1467">
        <v>0</v>
      </c>
      <c r="AU1467">
        <v>17</v>
      </c>
      <c r="AV1467">
        <v>13</v>
      </c>
      <c r="AW1467">
        <v>89</v>
      </c>
      <c r="AX1467">
        <v>6</v>
      </c>
      <c r="AY1467">
        <v>122</v>
      </c>
      <c r="AZ1467">
        <v>6</v>
      </c>
      <c r="BA1467" t="s">
        <v>101</v>
      </c>
      <c r="BB1467" t="s">
        <v>102</v>
      </c>
      <c r="BC1467">
        <v>8.4000000000000005E-2</v>
      </c>
      <c r="BD1467" t="s">
        <v>65</v>
      </c>
      <c r="BE1467">
        <v>211</v>
      </c>
      <c r="BF1467">
        <v>12</v>
      </c>
      <c r="BG1467" t="s">
        <v>103</v>
      </c>
      <c r="BH1467" t="s">
        <v>104</v>
      </c>
      <c r="BI1467" t="s">
        <v>105</v>
      </c>
      <c r="BJ1467">
        <v>1.5779999999999999E-2</v>
      </c>
      <c r="BK1467">
        <v>1</v>
      </c>
      <c r="BL1467" t="s">
        <v>69</v>
      </c>
      <c r="BM1467">
        <v>-1.528</v>
      </c>
      <c r="BN1467">
        <v>-1.1299999999999999</v>
      </c>
    </row>
    <row r="1468" spans="2:66">
      <c r="B1468">
        <v>2578</v>
      </c>
      <c r="C1468">
        <v>104</v>
      </c>
      <c r="D1468">
        <v>0</v>
      </c>
      <c r="E1468">
        <v>2</v>
      </c>
      <c r="F1468">
        <v>2</v>
      </c>
      <c r="J1468">
        <v>0</v>
      </c>
      <c r="K1468">
        <v>3</v>
      </c>
      <c r="L1468">
        <v>0</v>
      </c>
      <c r="M1468" t="s">
        <v>25022</v>
      </c>
      <c r="N1468">
        <v>7</v>
      </c>
      <c r="O1468" t="s">
        <v>106</v>
      </c>
      <c r="P1468" t="s">
        <v>57</v>
      </c>
      <c r="Q1468">
        <v>6994</v>
      </c>
      <c r="R1468">
        <v>9456</v>
      </c>
      <c r="S1468" t="s">
        <v>107</v>
      </c>
      <c r="T1468">
        <v>821</v>
      </c>
      <c r="U1468" t="s">
        <v>108</v>
      </c>
      <c r="V1468">
        <v>44</v>
      </c>
      <c r="W1468" t="str">
        <f>HYPERLINK("Gene7-zp_tree_all.dnd", "Gene7-tree")</f>
        <v>Gene7-tree</v>
      </c>
      <c r="X1468">
        <v>12</v>
      </c>
      <c r="Y1468">
        <v>2</v>
      </c>
      <c r="Z1468">
        <v>12</v>
      </c>
      <c r="AA1468">
        <v>2</v>
      </c>
      <c r="AB1468">
        <v>0.14285999999999999</v>
      </c>
      <c r="AC1468" t="s">
        <v>109</v>
      </c>
      <c r="AD1468" t="s">
        <v>81</v>
      </c>
      <c r="AE1468" t="s">
        <v>62</v>
      </c>
      <c r="AF1468" t="s">
        <v>62</v>
      </c>
      <c r="AG1468">
        <v>1</v>
      </c>
      <c r="AH1468">
        <v>3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2</v>
      </c>
      <c r="AQ1468">
        <v>0</v>
      </c>
      <c r="AR1468">
        <v>2</v>
      </c>
      <c r="AS1468">
        <v>0</v>
      </c>
      <c r="AT1468">
        <v>1</v>
      </c>
      <c r="AU1468">
        <v>12</v>
      </c>
      <c r="AV1468">
        <v>11</v>
      </c>
      <c r="AW1468">
        <v>75</v>
      </c>
      <c r="AX1468">
        <v>2</v>
      </c>
      <c r="AY1468">
        <v>54</v>
      </c>
      <c r="AZ1468">
        <v>1</v>
      </c>
      <c r="BA1468" t="s">
        <v>110</v>
      </c>
      <c r="BB1468" t="s">
        <v>111</v>
      </c>
      <c r="BC1468">
        <v>0.113</v>
      </c>
      <c r="BD1468" t="s">
        <v>65</v>
      </c>
      <c r="BE1468">
        <v>129</v>
      </c>
      <c r="BF1468">
        <v>3</v>
      </c>
      <c r="BG1468" t="s">
        <v>112</v>
      </c>
      <c r="BH1468" t="s">
        <v>113</v>
      </c>
      <c r="BI1468" t="s">
        <v>114</v>
      </c>
      <c r="BJ1468">
        <v>6.8100000000000001E-3</v>
      </c>
      <c r="BK1468">
        <v>1</v>
      </c>
      <c r="BL1468" t="s">
        <v>69</v>
      </c>
      <c r="BM1468">
        <v>-0.377</v>
      </c>
      <c r="BN1468">
        <v>-0.72699999999999998</v>
      </c>
    </row>
    <row r="1469" spans="2:66">
      <c r="B1469">
        <v>2579</v>
      </c>
      <c r="C1469">
        <v>39</v>
      </c>
      <c r="D1469">
        <v>0</v>
      </c>
      <c r="E1469">
        <v>0</v>
      </c>
      <c r="F1469">
        <v>2</v>
      </c>
      <c r="J1469">
        <v>0</v>
      </c>
      <c r="K1469">
        <v>0</v>
      </c>
      <c r="L1469">
        <v>0</v>
      </c>
      <c r="M1469" t="s">
        <v>25022</v>
      </c>
      <c r="N1469">
        <v>9</v>
      </c>
      <c r="O1469" t="s">
        <v>123</v>
      </c>
      <c r="P1469" t="s">
        <v>57</v>
      </c>
      <c r="Q1469">
        <v>15915</v>
      </c>
      <c r="R1469">
        <v>17378</v>
      </c>
      <c r="S1469" t="s">
        <v>124</v>
      </c>
      <c r="T1469">
        <v>488</v>
      </c>
      <c r="U1469" t="s">
        <v>125</v>
      </c>
      <c r="V1469">
        <v>48</v>
      </c>
      <c r="W1469" t="str">
        <f>HYPERLINK("Gene9-zp_tree_all.dnd", "Gene9-tree")</f>
        <v>Gene9-tree</v>
      </c>
      <c r="X1469">
        <v>33</v>
      </c>
      <c r="Y1469">
        <v>4</v>
      </c>
      <c r="Z1469">
        <v>14</v>
      </c>
      <c r="AA1469">
        <v>4</v>
      </c>
      <c r="AB1469">
        <v>0.22222</v>
      </c>
      <c r="AC1469" t="s">
        <v>126</v>
      </c>
      <c r="AD1469" t="s">
        <v>61</v>
      </c>
      <c r="AE1469" t="s">
        <v>62</v>
      </c>
      <c r="AF1469" t="s">
        <v>62</v>
      </c>
      <c r="AG1469">
        <v>0</v>
      </c>
      <c r="AH1469">
        <v>0</v>
      </c>
      <c r="AI1469">
        <v>8</v>
      </c>
      <c r="AJ1469">
        <v>0</v>
      </c>
      <c r="AK1469">
        <v>0</v>
      </c>
      <c r="AL1469">
        <v>0</v>
      </c>
      <c r="AM1469">
        <v>0</v>
      </c>
      <c r="AN1469">
        <v>2</v>
      </c>
      <c r="AO1469">
        <v>0</v>
      </c>
      <c r="AP1469">
        <v>0</v>
      </c>
      <c r="AQ1469">
        <v>0</v>
      </c>
      <c r="AR1469">
        <v>0</v>
      </c>
      <c r="AS1469">
        <v>4</v>
      </c>
      <c r="AT1469">
        <v>0</v>
      </c>
      <c r="AU1469">
        <v>14</v>
      </c>
      <c r="AV1469">
        <v>11</v>
      </c>
      <c r="AW1469">
        <v>37</v>
      </c>
      <c r="AX1469">
        <v>4</v>
      </c>
      <c r="AY1469">
        <v>115</v>
      </c>
      <c r="AZ1469">
        <v>4</v>
      </c>
      <c r="BA1469" t="s">
        <v>127</v>
      </c>
      <c r="BB1469" t="s">
        <v>128</v>
      </c>
      <c r="BC1469">
        <v>0.73099999999999998</v>
      </c>
      <c r="BD1469" t="s">
        <v>65</v>
      </c>
      <c r="BE1469">
        <v>152</v>
      </c>
      <c r="BF1469">
        <v>8</v>
      </c>
      <c r="BG1469" t="s">
        <v>129</v>
      </c>
      <c r="BH1469" t="s">
        <v>130</v>
      </c>
      <c r="BI1469" t="s">
        <v>131</v>
      </c>
      <c r="BJ1469">
        <v>1.3939999999999999E-2</v>
      </c>
      <c r="BK1469">
        <v>1</v>
      </c>
      <c r="BL1469" t="s">
        <v>69</v>
      </c>
      <c r="BM1469">
        <v>-1.3169999999999999</v>
      </c>
      <c r="BN1469">
        <v>0.871</v>
      </c>
    </row>
    <row r="1470" spans="2:66">
      <c r="B1470">
        <v>2581</v>
      </c>
      <c r="C1470">
        <v>20</v>
      </c>
      <c r="D1470">
        <v>0</v>
      </c>
      <c r="E1470">
        <v>8</v>
      </c>
      <c r="F1470">
        <v>0</v>
      </c>
      <c r="J1470">
        <v>0</v>
      </c>
      <c r="K1470">
        <v>7</v>
      </c>
      <c r="L1470">
        <v>0</v>
      </c>
      <c r="M1470" t="s">
        <v>25022</v>
      </c>
      <c r="N1470">
        <v>10</v>
      </c>
      <c r="O1470" t="s">
        <v>132</v>
      </c>
      <c r="P1470" t="s">
        <v>57</v>
      </c>
      <c r="Q1470">
        <v>17534</v>
      </c>
      <c r="R1470">
        <v>18862</v>
      </c>
      <c r="S1470" t="s">
        <v>133</v>
      </c>
      <c r="T1470">
        <v>443</v>
      </c>
      <c r="U1470" t="s">
        <v>134</v>
      </c>
      <c r="V1470">
        <v>46</v>
      </c>
      <c r="W1470" t="str">
        <f>HYPERLINK("Gene10-zp_tree_all.dnd", "Gene10-tree")</f>
        <v>Gene10-tree</v>
      </c>
      <c r="X1470">
        <v>9</v>
      </c>
      <c r="Y1470">
        <v>8</v>
      </c>
      <c r="Z1470">
        <v>9</v>
      </c>
      <c r="AA1470">
        <v>8</v>
      </c>
      <c r="AB1470">
        <v>0.47059000000000001</v>
      </c>
      <c r="AC1470" t="s">
        <v>135</v>
      </c>
      <c r="AD1470" t="s">
        <v>136</v>
      </c>
      <c r="AE1470" t="s">
        <v>62</v>
      </c>
      <c r="AF1470" t="s">
        <v>62</v>
      </c>
      <c r="AG1470">
        <v>3</v>
      </c>
      <c r="AH1470">
        <v>7</v>
      </c>
      <c r="AI1470">
        <v>15</v>
      </c>
      <c r="AJ1470">
        <v>0.31818000000000002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4</v>
      </c>
      <c r="AQ1470">
        <v>0</v>
      </c>
      <c r="AR1470">
        <v>4</v>
      </c>
      <c r="AS1470">
        <v>9</v>
      </c>
      <c r="AT1470">
        <v>0.30769000000000002</v>
      </c>
      <c r="AU1470">
        <v>16</v>
      </c>
      <c r="AV1470">
        <v>12</v>
      </c>
      <c r="AW1470">
        <v>45</v>
      </c>
      <c r="AX1470">
        <v>13</v>
      </c>
      <c r="AY1470">
        <v>52</v>
      </c>
      <c r="AZ1470">
        <v>9</v>
      </c>
      <c r="BA1470" t="s">
        <v>137</v>
      </c>
      <c r="BB1470" t="s">
        <v>138</v>
      </c>
      <c r="BC1470">
        <v>0.26300000000000001</v>
      </c>
      <c r="BD1470" t="s">
        <v>65</v>
      </c>
      <c r="BE1470">
        <v>97</v>
      </c>
      <c r="BF1470">
        <v>22</v>
      </c>
      <c r="BG1470" t="s">
        <v>139</v>
      </c>
      <c r="BH1470" t="s">
        <v>140</v>
      </c>
      <c r="BI1470" t="s">
        <v>141</v>
      </c>
      <c r="BJ1470">
        <v>5.527E-2</v>
      </c>
      <c r="BK1470">
        <v>1</v>
      </c>
      <c r="BL1470" t="s">
        <v>69</v>
      </c>
      <c r="BM1470">
        <v>-1.5189999999999999</v>
      </c>
      <c r="BN1470">
        <v>-0.48599999999999999</v>
      </c>
    </row>
    <row r="1471" spans="2:66">
      <c r="B1471">
        <v>2584</v>
      </c>
      <c r="C1471">
        <v>264</v>
      </c>
      <c r="D1471">
        <v>0</v>
      </c>
      <c r="E1471">
        <v>6</v>
      </c>
      <c r="F1471">
        <v>0</v>
      </c>
      <c r="J1471">
        <v>0</v>
      </c>
      <c r="K1471">
        <v>0</v>
      </c>
      <c r="L1471">
        <v>0</v>
      </c>
      <c r="M1471" t="s">
        <v>25022</v>
      </c>
      <c r="N1471">
        <v>11</v>
      </c>
      <c r="O1471" t="s">
        <v>142</v>
      </c>
      <c r="P1471" t="s">
        <v>57</v>
      </c>
      <c r="Q1471">
        <v>19062</v>
      </c>
      <c r="R1471">
        <v>19943</v>
      </c>
      <c r="S1471" t="s">
        <v>143</v>
      </c>
      <c r="T1471">
        <v>294</v>
      </c>
      <c r="U1471" t="s">
        <v>59</v>
      </c>
      <c r="V1471">
        <v>49</v>
      </c>
      <c r="W1471" t="str">
        <f>HYPERLINK("Gene11-zp_tree_all.dnd", "Gene11-tree")</f>
        <v>Gene11-tree</v>
      </c>
      <c r="X1471">
        <v>18</v>
      </c>
      <c r="Y1471">
        <v>2</v>
      </c>
      <c r="Z1471">
        <v>18</v>
      </c>
      <c r="AA1471">
        <v>2</v>
      </c>
      <c r="AB1471">
        <v>0.1</v>
      </c>
      <c r="AC1471" t="s">
        <v>144</v>
      </c>
      <c r="AD1471" t="s">
        <v>81</v>
      </c>
      <c r="AE1471" t="s">
        <v>62</v>
      </c>
      <c r="AF1471" t="s">
        <v>62</v>
      </c>
      <c r="AG1471">
        <v>0</v>
      </c>
      <c r="AH1471">
        <v>0</v>
      </c>
      <c r="AI1471">
        <v>9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5</v>
      </c>
      <c r="AT1471">
        <v>0</v>
      </c>
      <c r="AU1471">
        <v>15</v>
      </c>
      <c r="AV1471">
        <v>13</v>
      </c>
      <c r="AW1471">
        <v>33</v>
      </c>
      <c r="AX1471">
        <v>5</v>
      </c>
      <c r="AY1471">
        <v>51</v>
      </c>
      <c r="AZ1471">
        <v>4</v>
      </c>
      <c r="BA1471" t="s">
        <v>145</v>
      </c>
      <c r="BB1471" t="s">
        <v>146</v>
      </c>
      <c r="BC1471">
        <v>0.17499999999999999</v>
      </c>
      <c r="BD1471" t="s">
        <v>65</v>
      </c>
      <c r="BE1471">
        <v>84</v>
      </c>
      <c r="BF1471">
        <v>9</v>
      </c>
      <c r="BG1471" t="s">
        <v>147</v>
      </c>
      <c r="BH1471" t="s">
        <v>148</v>
      </c>
      <c r="BI1471" t="s">
        <v>149</v>
      </c>
      <c r="BJ1471">
        <v>2.8039999999999999E-2</v>
      </c>
      <c r="BK1471">
        <v>1</v>
      </c>
      <c r="BL1471" t="s">
        <v>69</v>
      </c>
      <c r="BM1471">
        <v>-1.1160000000000001</v>
      </c>
      <c r="BN1471">
        <v>-0.56200000000000006</v>
      </c>
    </row>
    <row r="1472" spans="2:66">
      <c r="B1472">
        <v>2585</v>
      </c>
      <c r="C1472">
        <v>152</v>
      </c>
      <c r="D1472">
        <v>0</v>
      </c>
      <c r="E1472">
        <v>8</v>
      </c>
      <c r="F1472">
        <v>4</v>
      </c>
      <c r="J1472">
        <v>0</v>
      </c>
      <c r="K1472">
        <v>0</v>
      </c>
      <c r="L1472">
        <v>0</v>
      </c>
      <c r="M1472" t="s">
        <v>25022</v>
      </c>
      <c r="N1472">
        <v>12</v>
      </c>
      <c r="O1472" t="s">
        <v>150</v>
      </c>
      <c r="P1472" t="s">
        <v>57</v>
      </c>
      <c r="Q1472">
        <v>19968</v>
      </c>
      <c r="R1472">
        <v>20555</v>
      </c>
      <c r="S1472" t="s">
        <v>151</v>
      </c>
      <c r="T1472">
        <v>196</v>
      </c>
      <c r="U1472" t="s">
        <v>108</v>
      </c>
      <c r="V1472">
        <v>44</v>
      </c>
      <c r="W1472" t="str">
        <f>HYPERLINK("Gene12-zp_tree_all.dnd", "Gene12-tree")</f>
        <v>Gene12-tree</v>
      </c>
      <c r="X1472">
        <v>7</v>
      </c>
      <c r="Y1472">
        <v>6</v>
      </c>
      <c r="Z1472">
        <v>7</v>
      </c>
      <c r="AA1472">
        <v>6</v>
      </c>
      <c r="AB1472">
        <v>0.46154000000000001</v>
      </c>
      <c r="AC1472" t="s">
        <v>152</v>
      </c>
      <c r="AD1472" t="s">
        <v>90</v>
      </c>
      <c r="AE1472" t="s">
        <v>62</v>
      </c>
      <c r="AF1472" t="s">
        <v>62</v>
      </c>
      <c r="AG1472">
        <v>0</v>
      </c>
      <c r="AH1472">
        <v>0</v>
      </c>
      <c r="AI1472">
        <v>7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7</v>
      </c>
      <c r="AT1472">
        <v>0</v>
      </c>
      <c r="AU1472">
        <v>8</v>
      </c>
      <c r="AV1472">
        <v>6</v>
      </c>
      <c r="AW1472">
        <v>8</v>
      </c>
      <c r="AX1472">
        <v>5</v>
      </c>
      <c r="AY1472">
        <v>8</v>
      </c>
      <c r="AZ1472">
        <v>2</v>
      </c>
      <c r="BA1472" t="s">
        <v>153</v>
      </c>
      <c r="BB1472" t="s">
        <v>154</v>
      </c>
      <c r="BC1472">
        <v>0.67400000000000004</v>
      </c>
      <c r="BD1472" t="s">
        <v>65</v>
      </c>
      <c r="BE1472">
        <v>16</v>
      </c>
      <c r="BF1472">
        <v>7</v>
      </c>
      <c r="BG1472" t="s">
        <v>155</v>
      </c>
      <c r="BH1472" t="s">
        <v>156</v>
      </c>
      <c r="BI1472" t="s">
        <v>157</v>
      </c>
      <c r="BJ1472">
        <v>0.12255000000000001</v>
      </c>
      <c r="BK1472">
        <v>1</v>
      </c>
      <c r="BL1472" t="s">
        <v>69</v>
      </c>
      <c r="BM1472">
        <v>-0.84499999999999997</v>
      </c>
      <c r="BN1472">
        <v>0.09</v>
      </c>
    </row>
    <row r="1473" spans="2:66">
      <c r="B1473">
        <v>2587</v>
      </c>
      <c r="C1473">
        <v>210</v>
      </c>
      <c r="D1473">
        <v>0</v>
      </c>
      <c r="E1473">
        <v>2</v>
      </c>
      <c r="F1473">
        <v>0</v>
      </c>
      <c r="J1473">
        <v>0</v>
      </c>
      <c r="K1473">
        <v>7</v>
      </c>
      <c r="L1473">
        <v>0</v>
      </c>
      <c r="M1473" t="s">
        <v>25022</v>
      </c>
      <c r="N1473">
        <v>13</v>
      </c>
      <c r="O1473" t="s">
        <v>158</v>
      </c>
      <c r="P1473" t="s">
        <v>57</v>
      </c>
      <c r="Q1473">
        <v>20880</v>
      </c>
      <c r="R1473">
        <v>22154</v>
      </c>
      <c r="S1473" t="s">
        <v>159</v>
      </c>
      <c r="T1473">
        <v>425</v>
      </c>
      <c r="U1473" t="s">
        <v>160</v>
      </c>
      <c r="V1473">
        <v>45</v>
      </c>
      <c r="W1473" t="str">
        <f>HYPERLINK("Gene13-zp_tree_all.dnd", "Gene13-tree")</f>
        <v>Gene13-tree</v>
      </c>
      <c r="X1473">
        <v>8</v>
      </c>
      <c r="Y1473">
        <v>8</v>
      </c>
      <c r="Z1473">
        <v>8</v>
      </c>
      <c r="AA1473">
        <v>8</v>
      </c>
      <c r="AB1473">
        <v>0.5</v>
      </c>
      <c r="AC1473" t="s">
        <v>136</v>
      </c>
      <c r="AD1473" t="s">
        <v>136</v>
      </c>
      <c r="AE1473" t="s">
        <v>62</v>
      </c>
      <c r="AF1473" t="s">
        <v>62</v>
      </c>
      <c r="AG1473">
        <v>1</v>
      </c>
      <c r="AH1473">
        <v>7</v>
      </c>
      <c r="AI1473">
        <v>12</v>
      </c>
      <c r="AJ1473">
        <v>0.36842000000000003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3</v>
      </c>
      <c r="AQ1473">
        <v>0</v>
      </c>
      <c r="AR1473">
        <v>3</v>
      </c>
      <c r="AS1473">
        <v>10</v>
      </c>
      <c r="AT1473">
        <v>0.23077</v>
      </c>
      <c r="AU1473">
        <v>13</v>
      </c>
      <c r="AV1473">
        <v>9</v>
      </c>
      <c r="AW1473">
        <v>87</v>
      </c>
      <c r="AX1473">
        <v>14</v>
      </c>
      <c r="AY1473">
        <v>21</v>
      </c>
      <c r="AZ1473">
        <v>6</v>
      </c>
      <c r="BA1473" t="s">
        <v>161</v>
      </c>
      <c r="BB1473" t="s">
        <v>162</v>
      </c>
      <c r="BC1473">
        <v>0.438</v>
      </c>
      <c r="BD1473" t="s">
        <v>65</v>
      </c>
      <c r="BE1473">
        <v>108</v>
      </c>
      <c r="BF1473">
        <v>20</v>
      </c>
      <c r="BG1473" t="s">
        <v>163</v>
      </c>
      <c r="BH1473" t="s">
        <v>164</v>
      </c>
      <c r="BI1473" t="s">
        <v>165</v>
      </c>
      <c r="BJ1473">
        <v>3.9359999999999999E-2</v>
      </c>
      <c r="BK1473">
        <v>1</v>
      </c>
      <c r="BL1473" t="s">
        <v>69</v>
      </c>
      <c r="BM1473">
        <v>-1.9419999999999999</v>
      </c>
      <c r="BN1473">
        <v>-4.3090000000000002</v>
      </c>
    </row>
    <row r="1474" spans="2:66">
      <c r="B1474">
        <v>2589</v>
      </c>
      <c r="C1474">
        <v>364</v>
      </c>
      <c r="D1474">
        <v>0</v>
      </c>
      <c r="E1474">
        <v>22</v>
      </c>
      <c r="F1474">
        <v>5</v>
      </c>
      <c r="J1474">
        <v>0</v>
      </c>
      <c r="K1474">
        <v>0</v>
      </c>
      <c r="L1474">
        <v>0</v>
      </c>
      <c r="M1474" t="s">
        <v>25022</v>
      </c>
      <c r="N1474">
        <v>18</v>
      </c>
      <c r="O1474" t="s">
        <v>197</v>
      </c>
      <c r="P1474" t="s">
        <v>57</v>
      </c>
      <c r="Q1474">
        <v>25852</v>
      </c>
      <c r="R1474">
        <v>26334</v>
      </c>
      <c r="S1474" t="s">
        <v>198</v>
      </c>
      <c r="T1474">
        <v>161</v>
      </c>
      <c r="U1474" t="s">
        <v>108</v>
      </c>
      <c r="V1474">
        <v>44</v>
      </c>
      <c r="W1474" t="str">
        <f>HYPERLINK("Gene18-zp_tree_all.dnd", "Gene18-tree")</f>
        <v>Gene18-tree</v>
      </c>
      <c r="X1474">
        <v>9</v>
      </c>
      <c r="Y1474">
        <v>5</v>
      </c>
      <c r="Z1474">
        <v>9</v>
      </c>
      <c r="AA1474">
        <v>5</v>
      </c>
      <c r="AB1474">
        <v>0.35714000000000001</v>
      </c>
      <c r="AC1474" t="s">
        <v>135</v>
      </c>
      <c r="AD1474" t="s">
        <v>199</v>
      </c>
      <c r="AE1474" t="s">
        <v>62</v>
      </c>
      <c r="AF1474" t="s">
        <v>62</v>
      </c>
      <c r="AG1474">
        <v>0</v>
      </c>
      <c r="AH1474">
        <v>0</v>
      </c>
      <c r="AI1474">
        <v>10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9</v>
      </c>
      <c r="AT1474">
        <v>0</v>
      </c>
      <c r="AU1474">
        <v>10</v>
      </c>
      <c r="AV1474">
        <v>8</v>
      </c>
      <c r="AW1474">
        <v>17</v>
      </c>
      <c r="AX1474">
        <v>9</v>
      </c>
      <c r="AY1474">
        <v>12</v>
      </c>
      <c r="AZ1474">
        <v>1</v>
      </c>
      <c r="BA1474" t="s">
        <v>200</v>
      </c>
      <c r="BB1474" t="s">
        <v>201</v>
      </c>
      <c r="BC1474">
        <v>1.252</v>
      </c>
      <c r="BD1474" t="s">
        <v>65</v>
      </c>
      <c r="BE1474">
        <v>29</v>
      </c>
      <c r="BF1474">
        <v>10</v>
      </c>
      <c r="BG1474" t="s">
        <v>202</v>
      </c>
      <c r="BH1474" t="s">
        <v>203</v>
      </c>
      <c r="BI1474" t="s">
        <v>204</v>
      </c>
      <c r="BJ1474">
        <v>7.7479999999999993E-2</v>
      </c>
      <c r="BK1474">
        <v>1</v>
      </c>
      <c r="BL1474" t="s">
        <v>69</v>
      </c>
      <c r="BM1474">
        <v>4.3999999999999997E-2</v>
      </c>
      <c r="BN1474">
        <v>-0.31</v>
      </c>
    </row>
    <row r="1475" spans="2:66">
      <c r="B1475">
        <v>2591</v>
      </c>
      <c r="C1475">
        <v>110</v>
      </c>
      <c r="D1475">
        <v>0</v>
      </c>
      <c r="E1475">
        <v>13</v>
      </c>
      <c r="F1475">
        <v>0</v>
      </c>
      <c r="J1475">
        <v>0</v>
      </c>
      <c r="K1475">
        <v>4</v>
      </c>
      <c r="L1475">
        <v>0</v>
      </c>
      <c r="M1475" t="s">
        <v>25022</v>
      </c>
      <c r="N1475">
        <v>19</v>
      </c>
      <c r="O1475" t="s">
        <v>205</v>
      </c>
      <c r="P1475" t="s">
        <v>57</v>
      </c>
      <c r="Q1475">
        <v>26814</v>
      </c>
      <c r="R1475">
        <v>28502</v>
      </c>
      <c r="S1475" t="s">
        <v>206</v>
      </c>
      <c r="T1475">
        <v>563</v>
      </c>
      <c r="U1475" t="s">
        <v>108</v>
      </c>
      <c r="V1475">
        <v>44</v>
      </c>
      <c r="W1475" t="str">
        <f>HYPERLINK("Gene19-zp_tree_all.dnd", "Gene19-tree")</f>
        <v>Gene19-tree</v>
      </c>
      <c r="X1475">
        <v>5</v>
      </c>
      <c r="Y1475">
        <v>9</v>
      </c>
      <c r="Z1475">
        <v>5</v>
      </c>
      <c r="AA1475">
        <v>9</v>
      </c>
      <c r="AB1475">
        <v>0.64285999999999999</v>
      </c>
      <c r="AC1475" t="s">
        <v>199</v>
      </c>
      <c r="AD1475" t="s">
        <v>135</v>
      </c>
      <c r="AE1475" t="s">
        <v>62</v>
      </c>
      <c r="AF1475" t="s">
        <v>62</v>
      </c>
      <c r="AG1475">
        <v>2</v>
      </c>
      <c r="AH1475">
        <v>4</v>
      </c>
      <c r="AI1475">
        <v>10</v>
      </c>
      <c r="AJ1475">
        <v>0.28571000000000002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4</v>
      </c>
      <c r="AQ1475">
        <v>0</v>
      </c>
      <c r="AR1475">
        <v>4</v>
      </c>
      <c r="AS1475">
        <v>9</v>
      </c>
      <c r="AT1475">
        <v>0.30769000000000002</v>
      </c>
      <c r="AU1475">
        <v>13</v>
      </c>
      <c r="AV1475">
        <v>5</v>
      </c>
      <c r="AW1475">
        <v>32</v>
      </c>
      <c r="AX1475">
        <v>12</v>
      </c>
      <c r="AY1475">
        <v>5</v>
      </c>
      <c r="AZ1475">
        <v>2</v>
      </c>
      <c r="BA1475" t="s">
        <v>207</v>
      </c>
      <c r="BB1475" t="s">
        <v>208</v>
      </c>
      <c r="BC1475">
        <v>7.0999999999999994E-2</v>
      </c>
      <c r="BD1475" t="s">
        <v>65</v>
      </c>
      <c r="BE1475">
        <v>37</v>
      </c>
      <c r="BF1475">
        <v>14</v>
      </c>
      <c r="BG1475" t="s">
        <v>209</v>
      </c>
      <c r="BH1475" t="s">
        <v>210</v>
      </c>
      <c r="BI1475" t="s">
        <v>211</v>
      </c>
      <c r="BJ1475">
        <v>0.10858</v>
      </c>
      <c r="BK1475">
        <v>1</v>
      </c>
      <c r="BL1475" t="s">
        <v>69</v>
      </c>
      <c r="BM1475">
        <v>-1.2250000000000001</v>
      </c>
      <c r="BN1475">
        <v>-0.31900000000000001</v>
      </c>
    </row>
    <row r="1476" spans="2:66">
      <c r="B1476">
        <v>2593</v>
      </c>
      <c r="C1476">
        <v>318</v>
      </c>
      <c r="D1476">
        <v>0</v>
      </c>
      <c r="E1476">
        <v>28</v>
      </c>
      <c r="F1476">
        <v>4</v>
      </c>
      <c r="J1476">
        <v>0</v>
      </c>
      <c r="K1476">
        <v>0</v>
      </c>
      <c r="L1476">
        <v>0</v>
      </c>
      <c r="M1476" t="s">
        <v>25022</v>
      </c>
      <c r="N1476">
        <v>20</v>
      </c>
      <c r="O1476" t="s">
        <v>212</v>
      </c>
      <c r="P1476" t="s">
        <v>57</v>
      </c>
      <c r="Q1476">
        <v>28529</v>
      </c>
      <c r="R1476">
        <v>28849</v>
      </c>
      <c r="S1476" t="s">
        <v>213</v>
      </c>
      <c r="T1476">
        <v>107</v>
      </c>
      <c r="U1476" t="s">
        <v>214</v>
      </c>
      <c r="V1476">
        <v>48</v>
      </c>
      <c r="W1476" t="str">
        <f>HYPERLINK("Gene20-zp_tree_all.dnd", "Gene20-tree")</f>
        <v>Gene20-tree</v>
      </c>
      <c r="X1476">
        <v>48</v>
      </c>
      <c r="Y1476">
        <v>0</v>
      </c>
      <c r="Z1476">
        <v>8</v>
      </c>
      <c r="AA1476">
        <v>0</v>
      </c>
      <c r="AB1476">
        <v>0</v>
      </c>
      <c r="AC1476" t="s">
        <v>215</v>
      </c>
      <c r="AD1476" t="s">
        <v>62</v>
      </c>
      <c r="AE1476" t="s">
        <v>62</v>
      </c>
      <c r="AF1476" t="s">
        <v>62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4</v>
      </c>
      <c r="AV1476">
        <v>4</v>
      </c>
      <c r="AW1476">
        <v>4</v>
      </c>
      <c r="AX1476">
        <v>0</v>
      </c>
      <c r="AY1476">
        <v>10</v>
      </c>
      <c r="AZ1476">
        <v>0</v>
      </c>
      <c r="BA1476" t="s">
        <v>193</v>
      </c>
      <c r="BB1476" t="s">
        <v>193</v>
      </c>
      <c r="BC1476">
        <v>0</v>
      </c>
      <c r="BD1476" t="s">
        <v>65</v>
      </c>
      <c r="BE1476">
        <v>14</v>
      </c>
      <c r="BF1476">
        <v>0</v>
      </c>
      <c r="BG1476" t="s">
        <v>216</v>
      </c>
      <c r="BH1476" t="s">
        <v>217</v>
      </c>
      <c r="BI1476" t="s">
        <v>193</v>
      </c>
      <c r="BJ1476">
        <v>0</v>
      </c>
      <c r="BK1476">
        <v>1</v>
      </c>
      <c r="BL1476" t="s">
        <v>69</v>
      </c>
      <c r="BM1476">
        <v>-1.514</v>
      </c>
      <c r="BN1476">
        <v>-1.014</v>
      </c>
    </row>
    <row r="1477" spans="2:66">
      <c r="B1477">
        <v>2594</v>
      </c>
      <c r="C1477">
        <v>138</v>
      </c>
      <c r="D1477">
        <v>0</v>
      </c>
      <c r="E1477">
        <v>10</v>
      </c>
      <c r="F1477">
        <v>3</v>
      </c>
      <c r="J1477">
        <v>0</v>
      </c>
      <c r="K1477">
        <v>0</v>
      </c>
      <c r="L1477">
        <v>0</v>
      </c>
      <c r="M1477" t="s">
        <v>25022</v>
      </c>
      <c r="N1477">
        <v>21</v>
      </c>
      <c r="O1477" t="s">
        <v>218</v>
      </c>
      <c r="P1477" t="s">
        <v>57</v>
      </c>
      <c r="Q1477">
        <v>28867</v>
      </c>
      <c r="R1477">
        <v>29460</v>
      </c>
      <c r="S1477" t="s">
        <v>219</v>
      </c>
      <c r="T1477">
        <v>198</v>
      </c>
      <c r="U1477" t="s">
        <v>59</v>
      </c>
      <c r="V1477">
        <v>49</v>
      </c>
      <c r="W1477" t="str">
        <f>HYPERLINK("Gene21-zp_tree_all.dnd", "Gene21-tree")</f>
        <v>Gene21-tree</v>
      </c>
      <c r="X1477">
        <v>16</v>
      </c>
      <c r="Y1477">
        <v>1</v>
      </c>
      <c r="Z1477">
        <v>16</v>
      </c>
      <c r="AA1477">
        <v>1</v>
      </c>
      <c r="AB1477">
        <v>5.8819999999999997E-2</v>
      </c>
      <c r="AC1477" t="s">
        <v>60</v>
      </c>
      <c r="AD1477" t="s">
        <v>175</v>
      </c>
      <c r="AE1477" t="s">
        <v>62</v>
      </c>
      <c r="AF1477" t="s">
        <v>62</v>
      </c>
      <c r="AG1477">
        <v>0</v>
      </c>
      <c r="AH1477">
        <v>0</v>
      </c>
      <c r="AI1477">
        <v>2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11</v>
      </c>
      <c r="AV1477">
        <v>10</v>
      </c>
      <c r="AW1477">
        <v>15</v>
      </c>
      <c r="AX1477">
        <v>1</v>
      </c>
      <c r="AY1477">
        <v>24</v>
      </c>
      <c r="AZ1477">
        <v>1</v>
      </c>
      <c r="BA1477" t="s">
        <v>220</v>
      </c>
      <c r="BB1477" t="s">
        <v>221</v>
      </c>
      <c r="BC1477">
        <v>0.105</v>
      </c>
      <c r="BD1477" t="s">
        <v>65</v>
      </c>
      <c r="BE1477">
        <v>39</v>
      </c>
      <c r="BF1477">
        <v>2</v>
      </c>
      <c r="BG1477" t="s">
        <v>222</v>
      </c>
      <c r="BH1477" t="s">
        <v>223</v>
      </c>
      <c r="BI1477" t="s">
        <v>224</v>
      </c>
      <c r="BJ1477">
        <v>1.112E-2</v>
      </c>
      <c r="BK1477">
        <v>1</v>
      </c>
      <c r="BL1477" t="s">
        <v>69</v>
      </c>
      <c r="BM1477">
        <v>-0.56499999999999995</v>
      </c>
      <c r="BN1477">
        <v>-0.60099999999999998</v>
      </c>
    </row>
    <row r="1478" spans="2:66">
      <c r="B1478">
        <v>2596</v>
      </c>
      <c r="C1478">
        <v>76</v>
      </c>
      <c r="D1478">
        <v>0</v>
      </c>
      <c r="E1478">
        <v>4</v>
      </c>
      <c r="F1478">
        <v>0</v>
      </c>
      <c r="J1478">
        <v>0</v>
      </c>
      <c r="K1478">
        <v>0</v>
      </c>
      <c r="L1478">
        <v>2</v>
      </c>
      <c r="M1478" t="s">
        <v>25022</v>
      </c>
      <c r="N1478">
        <v>22</v>
      </c>
      <c r="O1478" t="s">
        <v>225</v>
      </c>
      <c r="P1478" t="s">
        <v>57</v>
      </c>
      <c r="Q1478">
        <v>29481</v>
      </c>
      <c r="R1478">
        <v>29702</v>
      </c>
      <c r="S1478" t="s">
        <v>116</v>
      </c>
      <c r="T1478">
        <v>74</v>
      </c>
      <c r="U1478" t="s">
        <v>59</v>
      </c>
      <c r="V1478">
        <v>49</v>
      </c>
      <c r="W1478" t="str">
        <f>HYPERLINK("Gene22-zp_tree_all.dnd", "Gene22-tree")</f>
        <v>Gene22-tree</v>
      </c>
      <c r="X1478">
        <v>37</v>
      </c>
      <c r="Y1478">
        <v>1</v>
      </c>
      <c r="Z1478">
        <v>9</v>
      </c>
      <c r="AA1478">
        <v>1</v>
      </c>
      <c r="AB1478">
        <v>0.1</v>
      </c>
      <c r="AC1478" t="s">
        <v>226</v>
      </c>
      <c r="AD1478" t="s">
        <v>175</v>
      </c>
      <c r="AE1478" t="s">
        <v>62</v>
      </c>
      <c r="AF1478" t="s">
        <v>62</v>
      </c>
      <c r="AG1478">
        <v>1</v>
      </c>
      <c r="AH1478">
        <v>2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6</v>
      </c>
      <c r="AV1478">
        <v>5</v>
      </c>
      <c r="AW1478">
        <v>9</v>
      </c>
      <c r="AX1478">
        <v>1</v>
      </c>
      <c r="AY1478">
        <v>11</v>
      </c>
      <c r="AZ1478">
        <v>1</v>
      </c>
      <c r="BA1478" t="s">
        <v>227</v>
      </c>
      <c r="BB1478" t="s">
        <v>228</v>
      </c>
      <c r="BC1478">
        <v>7.0999999999999994E-2</v>
      </c>
      <c r="BD1478" t="s">
        <v>65</v>
      </c>
      <c r="BE1478">
        <v>20</v>
      </c>
      <c r="BF1478">
        <v>2</v>
      </c>
      <c r="BG1478" t="s">
        <v>229</v>
      </c>
      <c r="BH1478" t="s">
        <v>230</v>
      </c>
      <c r="BI1478" t="s">
        <v>231</v>
      </c>
      <c r="BJ1478">
        <v>2.3769999999999999E-2</v>
      </c>
      <c r="BK1478">
        <v>1</v>
      </c>
      <c r="BL1478" t="s">
        <v>69</v>
      </c>
      <c r="BM1478">
        <v>-1.7729999999999999</v>
      </c>
      <c r="BN1478">
        <v>-0.89100000000000001</v>
      </c>
    </row>
    <row r="1479" spans="2:66">
      <c r="B1479">
        <v>2598</v>
      </c>
      <c r="C1479">
        <v>31</v>
      </c>
      <c r="D1479">
        <v>0</v>
      </c>
      <c r="E1479">
        <v>2</v>
      </c>
      <c r="F1479">
        <v>0</v>
      </c>
      <c r="J1479">
        <v>0</v>
      </c>
      <c r="K1479">
        <v>0</v>
      </c>
      <c r="L1479">
        <v>0</v>
      </c>
      <c r="M1479" t="s">
        <v>25022</v>
      </c>
      <c r="N1479">
        <v>23</v>
      </c>
      <c r="O1479" t="s">
        <v>232</v>
      </c>
      <c r="P1479" t="s">
        <v>57</v>
      </c>
      <c r="Q1479">
        <v>29772</v>
      </c>
      <c r="R1479">
        <v>30032</v>
      </c>
      <c r="S1479" t="s">
        <v>233</v>
      </c>
      <c r="T1479">
        <v>87</v>
      </c>
      <c r="U1479" t="s">
        <v>160</v>
      </c>
      <c r="V1479">
        <v>45</v>
      </c>
      <c r="W1479" t="str">
        <f>HYPERLINK("Gene23-zp_tree_all.dnd", "Gene23-tree")</f>
        <v>Gene23-tree</v>
      </c>
      <c r="X1479">
        <v>29</v>
      </c>
      <c r="Y1479">
        <v>4</v>
      </c>
      <c r="Z1479">
        <v>9</v>
      </c>
      <c r="AA1479">
        <v>4</v>
      </c>
      <c r="AB1479">
        <v>0.30769000000000002</v>
      </c>
      <c r="AC1479" t="s">
        <v>234</v>
      </c>
      <c r="AD1479" t="s">
        <v>61</v>
      </c>
      <c r="AE1479" t="s">
        <v>62</v>
      </c>
      <c r="AF1479" t="s">
        <v>62</v>
      </c>
      <c r="AG1479">
        <v>0</v>
      </c>
      <c r="AH1479">
        <v>0</v>
      </c>
      <c r="AI1479">
        <v>5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4</v>
      </c>
      <c r="AT1479">
        <v>0</v>
      </c>
      <c r="AU1479">
        <v>8</v>
      </c>
      <c r="AV1479">
        <v>6</v>
      </c>
      <c r="AW1479">
        <v>16</v>
      </c>
      <c r="AX1479">
        <v>4</v>
      </c>
      <c r="AY1479">
        <v>9</v>
      </c>
      <c r="AZ1479">
        <v>1</v>
      </c>
      <c r="BA1479" t="s">
        <v>235</v>
      </c>
      <c r="BB1479" t="s">
        <v>236</v>
      </c>
      <c r="BC1479">
        <v>0.36</v>
      </c>
      <c r="BD1479" t="s">
        <v>65</v>
      </c>
      <c r="BE1479">
        <v>25</v>
      </c>
      <c r="BF1479">
        <v>5</v>
      </c>
      <c r="BG1479" t="s">
        <v>237</v>
      </c>
      <c r="BH1479" t="s">
        <v>238</v>
      </c>
      <c r="BI1479" t="s">
        <v>239</v>
      </c>
      <c r="BJ1479">
        <v>7.639E-2</v>
      </c>
      <c r="BK1479">
        <v>1</v>
      </c>
      <c r="BL1479" t="s">
        <v>69</v>
      </c>
      <c r="BM1479">
        <v>-1.1859999999999999</v>
      </c>
      <c r="BN1479">
        <v>-3.218</v>
      </c>
    </row>
    <row r="1480" spans="2:66">
      <c r="B1480">
        <v>2599</v>
      </c>
      <c r="C1480">
        <v>42</v>
      </c>
      <c r="D1480">
        <v>0</v>
      </c>
      <c r="E1480">
        <v>2</v>
      </c>
      <c r="F1480">
        <v>0</v>
      </c>
      <c r="J1480">
        <v>0</v>
      </c>
      <c r="K1480">
        <v>0</v>
      </c>
      <c r="L1480">
        <v>0</v>
      </c>
      <c r="M1480" t="s">
        <v>25022</v>
      </c>
      <c r="N1480">
        <v>24</v>
      </c>
      <c r="O1480" t="s">
        <v>240</v>
      </c>
      <c r="P1480" t="s">
        <v>57</v>
      </c>
      <c r="Q1480">
        <v>35531</v>
      </c>
      <c r="R1480">
        <v>35722</v>
      </c>
      <c r="S1480" t="s">
        <v>241</v>
      </c>
      <c r="T1480">
        <v>64</v>
      </c>
      <c r="U1480" t="s">
        <v>59</v>
      </c>
      <c r="V1480">
        <v>49</v>
      </c>
      <c r="W1480" t="str">
        <f>HYPERLINK("Gene24-zp_tree_all.dnd", "Gene24-tree")</f>
        <v>Gene24-tree</v>
      </c>
      <c r="X1480">
        <v>4</v>
      </c>
      <c r="Y1480">
        <v>5</v>
      </c>
      <c r="Z1480">
        <v>4</v>
      </c>
      <c r="AA1480">
        <v>5</v>
      </c>
      <c r="AB1480">
        <v>0.55556000000000005</v>
      </c>
      <c r="AC1480" t="s">
        <v>61</v>
      </c>
      <c r="AD1480" t="s">
        <v>199</v>
      </c>
      <c r="AE1480" t="s">
        <v>62</v>
      </c>
      <c r="AF1480" t="s">
        <v>62</v>
      </c>
      <c r="AG1480">
        <v>0</v>
      </c>
      <c r="AH1480">
        <v>0</v>
      </c>
      <c r="AI1480">
        <v>7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5</v>
      </c>
      <c r="AT1480">
        <v>0</v>
      </c>
      <c r="AU1480">
        <v>7</v>
      </c>
      <c r="AV1480">
        <v>4</v>
      </c>
      <c r="AW1480">
        <v>7</v>
      </c>
      <c r="AX1480">
        <v>4</v>
      </c>
      <c r="AY1480">
        <v>5</v>
      </c>
      <c r="AZ1480">
        <v>3</v>
      </c>
      <c r="BA1480" t="s">
        <v>242</v>
      </c>
      <c r="BB1480" t="s">
        <v>243</v>
      </c>
      <c r="BC1480">
        <v>3.2000000000000001E-2</v>
      </c>
      <c r="BD1480" t="s">
        <v>65</v>
      </c>
      <c r="BE1480">
        <v>12</v>
      </c>
      <c r="BF1480">
        <v>7</v>
      </c>
      <c r="BG1480" t="s">
        <v>244</v>
      </c>
      <c r="BH1480" t="s">
        <v>245</v>
      </c>
      <c r="BI1480" t="s">
        <v>246</v>
      </c>
      <c r="BJ1480">
        <v>0.15048</v>
      </c>
      <c r="BK1480">
        <v>0.99</v>
      </c>
      <c r="BL1480" t="s">
        <v>69</v>
      </c>
      <c r="BM1480">
        <v>-1.881</v>
      </c>
      <c r="BN1480">
        <v>-1.78</v>
      </c>
    </row>
    <row r="1481" spans="2:66">
      <c r="B1481">
        <v>2600</v>
      </c>
      <c r="C1481">
        <v>79</v>
      </c>
      <c r="D1481">
        <v>0</v>
      </c>
      <c r="E1481">
        <v>2</v>
      </c>
      <c r="F1481">
        <v>1</v>
      </c>
      <c r="J1481">
        <v>0</v>
      </c>
      <c r="K1481">
        <v>2</v>
      </c>
      <c r="L1481">
        <v>0</v>
      </c>
      <c r="M1481" t="s">
        <v>25022</v>
      </c>
      <c r="N1481">
        <v>25</v>
      </c>
      <c r="O1481" t="s">
        <v>247</v>
      </c>
      <c r="P1481" t="s">
        <v>57</v>
      </c>
      <c r="Q1481">
        <v>35845</v>
      </c>
      <c r="R1481">
        <v>36456</v>
      </c>
      <c r="S1481" t="s">
        <v>248</v>
      </c>
      <c r="T1481">
        <v>204</v>
      </c>
      <c r="U1481" t="s">
        <v>249</v>
      </c>
      <c r="V1481">
        <v>42</v>
      </c>
      <c r="W1481" t="str">
        <f>HYPERLINK("Gene25-zp_tree_all.dnd", "Gene25-tree")</f>
        <v>Gene25-tree</v>
      </c>
      <c r="X1481">
        <v>2</v>
      </c>
      <c r="Y1481">
        <v>30</v>
      </c>
      <c r="Z1481">
        <v>2</v>
      </c>
      <c r="AA1481">
        <v>10</v>
      </c>
      <c r="AB1481">
        <v>0.83333000000000002</v>
      </c>
      <c r="AC1481" t="s">
        <v>81</v>
      </c>
      <c r="AD1481" t="s">
        <v>250</v>
      </c>
      <c r="AE1481">
        <v>0</v>
      </c>
      <c r="AF1481" t="s">
        <v>65</v>
      </c>
      <c r="AG1481">
        <v>1</v>
      </c>
      <c r="AH1481">
        <v>2</v>
      </c>
      <c r="AI1481">
        <v>14</v>
      </c>
      <c r="AJ1481">
        <v>0.125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2</v>
      </c>
      <c r="AQ1481">
        <v>0</v>
      </c>
      <c r="AR1481">
        <v>2</v>
      </c>
      <c r="AS1481">
        <v>13</v>
      </c>
      <c r="AT1481">
        <v>0.13333</v>
      </c>
      <c r="AU1481">
        <v>7</v>
      </c>
      <c r="AV1481">
        <v>6</v>
      </c>
      <c r="AW1481">
        <v>10</v>
      </c>
      <c r="AX1481">
        <v>10</v>
      </c>
      <c r="AY1481">
        <v>4</v>
      </c>
      <c r="AZ1481">
        <v>6</v>
      </c>
      <c r="BA1481" t="s">
        <v>251</v>
      </c>
      <c r="BB1481" t="s">
        <v>252</v>
      </c>
      <c r="BC1481">
        <v>0.49199999999999999</v>
      </c>
      <c r="BD1481" t="s">
        <v>65</v>
      </c>
      <c r="BE1481">
        <v>14</v>
      </c>
      <c r="BF1481">
        <v>16</v>
      </c>
      <c r="BG1481" t="s">
        <v>253</v>
      </c>
      <c r="BH1481" t="s">
        <v>254</v>
      </c>
      <c r="BI1481" t="s">
        <v>255</v>
      </c>
      <c r="BJ1481">
        <v>0.35693000000000003</v>
      </c>
      <c r="BK1481">
        <v>0.96</v>
      </c>
      <c r="BL1481" t="s">
        <v>69</v>
      </c>
      <c r="BM1481">
        <v>-0.42699999999999999</v>
      </c>
      <c r="BN1481">
        <v>-0.23</v>
      </c>
    </row>
    <row r="1482" spans="2:66">
      <c r="B1482">
        <v>2601</v>
      </c>
      <c r="C1482">
        <v>239</v>
      </c>
      <c r="D1482">
        <v>0</v>
      </c>
      <c r="E1482">
        <v>9</v>
      </c>
      <c r="F1482">
        <v>0</v>
      </c>
      <c r="J1482">
        <v>0</v>
      </c>
      <c r="K1482">
        <v>6</v>
      </c>
      <c r="L1482">
        <v>0</v>
      </c>
      <c r="M1482" t="s">
        <v>25022</v>
      </c>
      <c r="N1482">
        <v>26</v>
      </c>
      <c r="O1482" t="s">
        <v>256</v>
      </c>
      <c r="P1482" t="s">
        <v>57</v>
      </c>
      <c r="Q1482">
        <v>36478</v>
      </c>
      <c r="R1482">
        <v>37635</v>
      </c>
      <c r="S1482" t="s">
        <v>257</v>
      </c>
      <c r="T1482">
        <v>386</v>
      </c>
      <c r="U1482" t="s">
        <v>108</v>
      </c>
      <c r="V1482">
        <v>44</v>
      </c>
      <c r="W1482" t="str">
        <f>HYPERLINK("Gene26-zp_tree_all.dnd", "Gene26-tree")</f>
        <v>Gene26-tree</v>
      </c>
      <c r="X1482">
        <v>6</v>
      </c>
      <c r="Y1482">
        <v>8</v>
      </c>
      <c r="Z1482">
        <v>6</v>
      </c>
      <c r="AA1482">
        <v>8</v>
      </c>
      <c r="AB1482">
        <v>0.57142999999999999</v>
      </c>
      <c r="AC1482" t="s">
        <v>90</v>
      </c>
      <c r="AD1482" t="s">
        <v>136</v>
      </c>
      <c r="AE1482" t="s">
        <v>62</v>
      </c>
      <c r="AF1482" t="s">
        <v>62</v>
      </c>
      <c r="AG1482">
        <v>2</v>
      </c>
      <c r="AH1482">
        <v>6</v>
      </c>
      <c r="AI1482">
        <v>12</v>
      </c>
      <c r="AJ1482">
        <v>0.33333000000000002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2</v>
      </c>
      <c r="AQ1482">
        <v>0</v>
      </c>
      <c r="AR1482">
        <v>2</v>
      </c>
      <c r="AS1482">
        <v>11</v>
      </c>
      <c r="AT1482">
        <v>0.15384999999999999</v>
      </c>
      <c r="AU1482">
        <v>13</v>
      </c>
      <c r="AV1482">
        <v>9</v>
      </c>
      <c r="AW1482">
        <v>31</v>
      </c>
      <c r="AX1482">
        <v>13</v>
      </c>
      <c r="AY1482">
        <v>28</v>
      </c>
      <c r="AZ1482">
        <v>5</v>
      </c>
      <c r="BA1482" t="s">
        <v>258</v>
      </c>
      <c r="BB1482" t="s">
        <v>259</v>
      </c>
      <c r="BC1482">
        <v>0.98299999999999998</v>
      </c>
      <c r="BD1482" t="s">
        <v>65</v>
      </c>
      <c r="BE1482">
        <v>59</v>
      </c>
      <c r="BF1482">
        <v>18</v>
      </c>
      <c r="BG1482" t="s">
        <v>260</v>
      </c>
      <c r="BH1482" t="s">
        <v>261</v>
      </c>
      <c r="BI1482" t="s">
        <v>262</v>
      </c>
      <c r="BJ1482">
        <v>6.5629999999999994E-2</v>
      </c>
      <c r="BK1482">
        <v>1</v>
      </c>
      <c r="BL1482" t="s">
        <v>69</v>
      </c>
      <c r="BM1482">
        <v>-1.036</v>
      </c>
      <c r="BN1482">
        <v>-1.2809999999999999</v>
      </c>
    </row>
    <row r="1483" spans="2:66">
      <c r="B1483">
        <v>2602</v>
      </c>
      <c r="C1483">
        <v>695</v>
      </c>
      <c r="D1483">
        <v>0</v>
      </c>
      <c r="E1483">
        <v>2</v>
      </c>
      <c r="F1483">
        <v>0</v>
      </c>
      <c r="J1483">
        <v>0</v>
      </c>
      <c r="K1483">
        <v>24</v>
      </c>
      <c r="L1483">
        <v>1</v>
      </c>
      <c r="M1483" t="s">
        <v>25022</v>
      </c>
      <c r="N1483">
        <v>27</v>
      </c>
      <c r="O1483" t="s">
        <v>263</v>
      </c>
      <c r="P1483" t="s">
        <v>57</v>
      </c>
      <c r="Q1483">
        <v>37720</v>
      </c>
      <c r="R1483">
        <v>39159</v>
      </c>
      <c r="S1483" t="s">
        <v>264</v>
      </c>
      <c r="T1483">
        <v>480</v>
      </c>
      <c r="U1483" t="s">
        <v>265</v>
      </c>
      <c r="V1483">
        <v>43</v>
      </c>
      <c r="W1483" t="str">
        <f>HYPERLINK("Gene27-zp_tree_all.dnd", "Gene27-tree")</f>
        <v>Gene27-tree</v>
      </c>
      <c r="X1483">
        <v>1</v>
      </c>
      <c r="Y1483">
        <v>17</v>
      </c>
      <c r="Z1483">
        <v>1</v>
      </c>
      <c r="AA1483">
        <v>17</v>
      </c>
      <c r="AB1483">
        <v>0.94443999999999995</v>
      </c>
      <c r="AC1483" t="s">
        <v>175</v>
      </c>
      <c r="AD1483" t="s">
        <v>266</v>
      </c>
      <c r="AE1483">
        <v>1113605517.5209999</v>
      </c>
      <c r="AF1483" t="s">
        <v>267</v>
      </c>
      <c r="AG1483">
        <v>8</v>
      </c>
      <c r="AH1483">
        <v>25</v>
      </c>
      <c r="AI1483">
        <v>24</v>
      </c>
      <c r="AJ1483">
        <v>0.51019999999999999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13</v>
      </c>
      <c r="AQ1483">
        <v>1</v>
      </c>
      <c r="AR1483">
        <v>14</v>
      </c>
      <c r="AS1483">
        <v>23</v>
      </c>
      <c r="AT1483">
        <v>0.37837999999999999</v>
      </c>
      <c r="AU1483">
        <v>15</v>
      </c>
      <c r="AV1483">
        <v>14</v>
      </c>
      <c r="AW1483">
        <v>44</v>
      </c>
      <c r="AX1483">
        <v>34</v>
      </c>
      <c r="AY1483">
        <v>29</v>
      </c>
      <c r="AZ1483">
        <v>18</v>
      </c>
      <c r="BA1483" t="s">
        <v>268</v>
      </c>
      <c r="BB1483" t="s">
        <v>269</v>
      </c>
      <c r="BC1483">
        <v>0.54400000000000004</v>
      </c>
      <c r="BD1483" t="s">
        <v>65</v>
      </c>
      <c r="BE1483">
        <v>73</v>
      </c>
      <c r="BF1483">
        <v>52</v>
      </c>
      <c r="BG1483" t="s">
        <v>270</v>
      </c>
      <c r="BH1483" t="s">
        <v>271</v>
      </c>
      <c r="BI1483" t="s">
        <v>272</v>
      </c>
      <c r="BJ1483">
        <v>0.21965999999999999</v>
      </c>
      <c r="BK1483">
        <v>1</v>
      </c>
      <c r="BL1483" t="s">
        <v>69</v>
      </c>
      <c r="BM1483">
        <v>-0.58399999999999996</v>
      </c>
      <c r="BN1483">
        <v>-1.903</v>
      </c>
    </row>
    <row r="1484" spans="2:66">
      <c r="B1484">
        <v>2604</v>
      </c>
      <c r="C1484">
        <v>103</v>
      </c>
      <c r="D1484">
        <v>0</v>
      </c>
      <c r="E1484">
        <v>2</v>
      </c>
      <c r="F1484">
        <v>0</v>
      </c>
      <c r="J1484">
        <v>0</v>
      </c>
      <c r="K1484">
        <v>2</v>
      </c>
      <c r="L1484">
        <v>0</v>
      </c>
      <c r="M1484" t="s">
        <v>25022</v>
      </c>
      <c r="N1484">
        <v>28</v>
      </c>
      <c r="O1484" t="s">
        <v>273</v>
      </c>
      <c r="P1484" t="s">
        <v>57</v>
      </c>
      <c r="Q1484">
        <v>39159</v>
      </c>
      <c r="R1484">
        <v>39794</v>
      </c>
      <c r="S1484" t="s">
        <v>274</v>
      </c>
      <c r="T1484">
        <v>212</v>
      </c>
      <c r="U1484" t="s">
        <v>108</v>
      </c>
      <c r="V1484">
        <v>44</v>
      </c>
      <c r="W1484" t="str">
        <f>HYPERLINK("Gene28-zp_tree_all.dnd", "Gene28-tree")</f>
        <v>Gene28-tree</v>
      </c>
      <c r="X1484">
        <v>8</v>
      </c>
      <c r="Y1484">
        <v>7</v>
      </c>
      <c r="Z1484">
        <v>8</v>
      </c>
      <c r="AA1484">
        <v>7</v>
      </c>
      <c r="AB1484">
        <v>0.46666999999999997</v>
      </c>
      <c r="AC1484" t="s">
        <v>136</v>
      </c>
      <c r="AD1484" t="s">
        <v>152</v>
      </c>
      <c r="AE1484" t="s">
        <v>62</v>
      </c>
      <c r="AF1484" t="s">
        <v>62</v>
      </c>
      <c r="AG1484">
        <v>1</v>
      </c>
      <c r="AH1484">
        <v>2</v>
      </c>
      <c r="AI1484">
        <v>8</v>
      </c>
      <c r="AJ1484">
        <v>0.2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8</v>
      </c>
      <c r="AT1484">
        <v>0</v>
      </c>
      <c r="AU1484">
        <v>11</v>
      </c>
      <c r="AV1484">
        <v>7</v>
      </c>
      <c r="AW1484">
        <v>19</v>
      </c>
      <c r="AX1484">
        <v>7</v>
      </c>
      <c r="AY1484">
        <v>12</v>
      </c>
      <c r="AZ1484">
        <v>3</v>
      </c>
      <c r="BA1484" t="s">
        <v>275</v>
      </c>
      <c r="BB1484" t="s">
        <v>276</v>
      </c>
      <c r="BC1484">
        <v>0.39300000000000002</v>
      </c>
      <c r="BD1484" t="s">
        <v>65</v>
      </c>
      <c r="BE1484">
        <v>31</v>
      </c>
      <c r="BF1484">
        <v>10</v>
      </c>
      <c r="BG1484" t="s">
        <v>277</v>
      </c>
      <c r="BH1484" t="s">
        <v>278</v>
      </c>
      <c r="BI1484" t="s">
        <v>279</v>
      </c>
      <c r="BJ1484">
        <v>7.6520000000000005E-2</v>
      </c>
      <c r="BK1484">
        <v>1</v>
      </c>
      <c r="BL1484" t="s">
        <v>69</v>
      </c>
      <c r="BM1484">
        <v>-0.77400000000000002</v>
      </c>
      <c r="BN1484">
        <v>-2.42</v>
      </c>
    </row>
    <row r="1485" spans="2:66">
      <c r="B1485">
        <v>2605</v>
      </c>
      <c r="C1485">
        <v>93</v>
      </c>
      <c r="D1485">
        <v>0</v>
      </c>
      <c r="E1485">
        <v>2</v>
      </c>
      <c r="F1485">
        <v>0</v>
      </c>
      <c r="J1485">
        <v>0</v>
      </c>
      <c r="K1485">
        <v>0</v>
      </c>
      <c r="L1485">
        <v>0</v>
      </c>
      <c r="M1485" t="s">
        <v>25022</v>
      </c>
      <c r="N1485">
        <v>29</v>
      </c>
      <c r="O1485" t="s">
        <v>280</v>
      </c>
      <c r="P1485" t="s">
        <v>57</v>
      </c>
      <c r="Q1485">
        <v>39871</v>
      </c>
      <c r="R1485">
        <v>40197</v>
      </c>
      <c r="S1485" t="s">
        <v>281</v>
      </c>
      <c r="T1485">
        <v>109</v>
      </c>
      <c r="U1485" t="s">
        <v>59</v>
      </c>
      <c r="V1485">
        <v>49</v>
      </c>
      <c r="W1485" t="str">
        <f>HYPERLINK("Gene29-zp_tree_all.dnd", "Gene29-tree")</f>
        <v>Gene29-tree</v>
      </c>
      <c r="X1485">
        <v>27</v>
      </c>
      <c r="Y1485">
        <v>0</v>
      </c>
      <c r="Z1485">
        <v>8</v>
      </c>
      <c r="AA1485">
        <v>0</v>
      </c>
      <c r="AB1485">
        <v>0</v>
      </c>
      <c r="AC1485" t="s">
        <v>282</v>
      </c>
      <c r="AD1485" t="s">
        <v>62</v>
      </c>
      <c r="AE1485" t="s">
        <v>62</v>
      </c>
      <c r="AF1485" t="s">
        <v>62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6</v>
      </c>
      <c r="AV1485">
        <v>3</v>
      </c>
      <c r="AW1485">
        <v>9</v>
      </c>
      <c r="AX1485">
        <v>0</v>
      </c>
      <c r="AY1485">
        <v>11</v>
      </c>
      <c r="AZ1485">
        <v>1</v>
      </c>
      <c r="BA1485" t="s">
        <v>193</v>
      </c>
      <c r="BB1485" t="s">
        <v>283</v>
      </c>
      <c r="BC1485">
        <v>0.745</v>
      </c>
      <c r="BD1485" t="s">
        <v>65</v>
      </c>
      <c r="BE1485">
        <v>20</v>
      </c>
      <c r="BF1485">
        <v>1</v>
      </c>
      <c r="BG1485" t="s">
        <v>284</v>
      </c>
      <c r="BH1485" t="s">
        <v>285</v>
      </c>
      <c r="BI1485" t="s">
        <v>286</v>
      </c>
      <c r="BJ1485">
        <v>2.0410000000000001E-2</v>
      </c>
      <c r="BK1485">
        <v>1</v>
      </c>
      <c r="BL1485" t="s">
        <v>69</v>
      </c>
      <c r="BM1485">
        <v>-0.65700000000000003</v>
      </c>
      <c r="BN1485">
        <v>0.44700000000000001</v>
      </c>
    </row>
    <row r="1486" spans="2:66">
      <c r="B1486">
        <v>2608</v>
      </c>
      <c r="C1486">
        <v>46</v>
      </c>
      <c r="D1486">
        <v>0</v>
      </c>
      <c r="E1486">
        <v>0</v>
      </c>
      <c r="F1486">
        <v>2</v>
      </c>
      <c r="J1486">
        <v>0</v>
      </c>
      <c r="K1486">
        <v>2</v>
      </c>
      <c r="L1486">
        <v>2</v>
      </c>
      <c r="M1486" t="s">
        <v>25022</v>
      </c>
      <c r="N1486">
        <v>30</v>
      </c>
      <c r="O1486" t="s">
        <v>287</v>
      </c>
      <c r="P1486" t="s">
        <v>57</v>
      </c>
      <c r="Q1486">
        <v>40213</v>
      </c>
      <c r="R1486">
        <v>40650</v>
      </c>
      <c r="S1486" t="s">
        <v>288</v>
      </c>
      <c r="T1486">
        <v>146</v>
      </c>
      <c r="U1486" t="s">
        <v>289</v>
      </c>
      <c r="V1486">
        <v>46</v>
      </c>
      <c r="W1486" t="str">
        <f>HYPERLINK("Gene30-zp_tree_all.dnd", "Gene30-tree")</f>
        <v>Gene30-tree</v>
      </c>
      <c r="X1486">
        <v>12</v>
      </c>
      <c r="Y1486">
        <v>4</v>
      </c>
      <c r="Z1486">
        <v>12</v>
      </c>
      <c r="AA1486">
        <v>4</v>
      </c>
      <c r="AB1486">
        <v>0.25</v>
      </c>
      <c r="AC1486" t="s">
        <v>109</v>
      </c>
      <c r="AD1486" t="s">
        <v>61</v>
      </c>
      <c r="AE1486" t="s">
        <v>62</v>
      </c>
      <c r="AF1486" t="s">
        <v>62</v>
      </c>
      <c r="AG1486">
        <v>2</v>
      </c>
      <c r="AH1486">
        <v>4</v>
      </c>
      <c r="AI1486">
        <v>2</v>
      </c>
      <c r="AJ1486">
        <v>0.66666999999999998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</v>
      </c>
      <c r="AQ1486">
        <v>2</v>
      </c>
      <c r="AR1486">
        <v>4</v>
      </c>
      <c r="AS1486">
        <v>2</v>
      </c>
      <c r="AT1486">
        <v>0.66666999999999998</v>
      </c>
      <c r="AU1486">
        <v>11</v>
      </c>
      <c r="AV1486">
        <v>8</v>
      </c>
      <c r="AW1486">
        <v>17</v>
      </c>
      <c r="AX1486">
        <v>3</v>
      </c>
      <c r="AY1486">
        <v>24</v>
      </c>
      <c r="AZ1486">
        <v>3</v>
      </c>
      <c r="BA1486" t="s">
        <v>290</v>
      </c>
      <c r="BB1486" t="s">
        <v>291</v>
      </c>
      <c r="BC1486">
        <v>0.13800000000000001</v>
      </c>
      <c r="BD1486" t="s">
        <v>65</v>
      </c>
      <c r="BE1486">
        <v>41</v>
      </c>
      <c r="BF1486">
        <v>6</v>
      </c>
      <c r="BG1486" t="s">
        <v>292</v>
      </c>
      <c r="BH1486" t="s">
        <v>293</v>
      </c>
      <c r="BI1486" t="s">
        <v>294</v>
      </c>
      <c r="BJ1486">
        <v>3.1280000000000002E-2</v>
      </c>
      <c r="BK1486">
        <v>1</v>
      </c>
      <c r="BL1486" t="s">
        <v>69</v>
      </c>
      <c r="BM1486">
        <v>-1.3759999999999999</v>
      </c>
      <c r="BN1486">
        <v>-0.30399999999999999</v>
      </c>
    </row>
    <row r="1487" spans="2:66">
      <c r="B1487">
        <v>2609</v>
      </c>
      <c r="C1487">
        <v>294</v>
      </c>
      <c r="D1487">
        <v>0</v>
      </c>
      <c r="E1487">
        <v>2</v>
      </c>
      <c r="F1487">
        <v>0</v>
      </c>
      <c r="J1487">
        <v>0</v>
      </c>
      <c r="K1487">
        <v>0</v>
      </c>
      <c r="L1487">
        <v>0</v>
      </c>
      <c r="M1487" t="s">
        <v>25022</v>
      </c>
      <c r="N1487">
        <v>31</v>
      </c>
      <c r="O1487" t="s">
        <v>295</v>
      </c>
      <c r="P1487" t="s">
        <v>57</v>
      </c>
      <c r="Q1487">
        <v>40665</v>
      </c>
      <c r="R1487">
        <v>41651</v>
      </c>
      <c r="S1487" t="s">
        <v>296</v>
      </c>
      <c r="T1487">
        <v>329</v>
      </c>
      <c r="U1487" t="s">
        <v>59</v>
      </c>
      <c r="V1487">
        <v>49</v>
      </c>
      <c r="W1487" t="str">
        <f>HYPERLINK("Gene31-zp_tree_all.dnd", "Gene31-tree")</f>
        <v>Gene31-tree</v>
      </c>
      <c r="X1487">
        <v>12</v>
      </c>
      <c r="Y1487">
        <v>5</v>
      </c>
      <c r="Z1487">
        <v>12</v>
      </c>
      <c r="AA1487">
        <v>5</v>
      </c>
      <c r="AB1487">
        <v>0.29411999999999999</v>
      </c>
      <c r="AC1487" t="s">
        <v>109</v>
      </c>
      <c r="AD1487" t="s">
        <v>199</v>
      </c>
      <c r="AE1487" t="s">
        <v>62</v>
      </c>
      <c r="AF1487" t="s">
        <v>62</v>
      </c>
      <c r="AG1487">
        <v>0</v>
      </c>
      <c r="AH1487">
        <v>0</v>
      </c>
      <c r="AI1487">
        <v>10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5</v>
      </c>
      <c r="AT1487">
        <v>0</v>
      </c>
      <c r="AU1487">
        <v>14</v>
      </c>
      <c r="AV1487">
        <v>9</v>
      </c>
      <c r="AW1487">
        <v>25</v>
      </c>
      <c r="AX1487">
        <v>5</v>
      </c>
      <c r="AY1487">
        <v>40</v>
      </c>
      <c r="AZ1487">
        <v>5</v>
      </c>
      <c r="BA1487" t="s">
        <v>297</v>
      </c>
      <c r="BB1487" t="s">
        <v>298</v>
      </c>
      <c r="BC1487">
        <v>0.35199999999999998</v>
      </c>
      <c r="BD1487" t="s">
        <v>65</v>
      </c>
      <c r="BE1487">
        <v>65</v>
      </c>
      <c r="BF1487">
        <v>10</v>
      </c>
      <c r="BG1487" t="s">
        <v>299</v>
      </c>
      <c r="BH1487" t="s">
        <v>300</v>
      </c>
      <c r="BI1487" t="s">
        <v>301</v>
      </c>
      <c r="BJ1487">
        <v>3.712E-2</v>
      </c>
      <c r="BK1487">
        <v>1</v>
      </c>
      <c r="BL1487" t="s">
        <v>69</v>
      </c>
      <c r="BM1487">
        <v>-1.57</v>
      </c>
      <c r="BN1487">
        <v>-0.78200000000000003</v>
      </c>
    </row>
    <row r="1488" spans="2:66">
      <c r="B1488">
        <v>2614</v>
      </c>
      <c r="C1488">
        <v>65</v>
      </c>
      <c r="D1488">
        <v>0</v>
      </c>
      <c r="E1488">
        <v>0</v>
      </c>
      <c r="F1488">
        <v>2</v>
      </c>
      <c r="J1488">
        <v>0</v>
      </c>
      <c r="K1488">
        <v>2</v>
      </c>
      <c r="L1488">
        <v>0</v>
      </c>
      <c r="M1488" t="s">
        <v>25022</v>
      </c>
      <c r="N1488">
        <v>32</v>
      </c>
      <c r="O1488" t="s">
        <v>302</v>
      </c>
      <c r="P1488" t="s">
        <v>57</v>
      </c>
      <c r="Q1488">
        <v>41657</v>
      </c>
      <c r="R1488">
        <v>42481</v>
      </c>
      <c r="S1488" t="s">
        <v>303</v>
      </c>
      <c r="T1488">
        <v>275</v>
      </c>
      <c r="U1488" t="s">
        <v>59</v>
      </c>
      <c r="V1488">
        <v>49</v>
      </c>
      <c r="W1488" t="str">
        <f>HYPERLINK("Gene32-zp_tree_all.dnd", "Gene32-tree")</f>
        <v>Gene32-tree</v>
      </c>
      <c r="X1488">
        <v>16</v>
      </c>
      <c r="Y1488">
        <v>2</v>
      </c>
      <c r="Z1488">
        <v>16</v>
      </c>
      <c r="AA1488">
        <v>2</v>
      </c>
      <c r="AB1488">
        <v>0.11111</v>
      </c>
      <c r="AC1488" t="s">
        <v>60</v>
      </c>
      <c r="AD1488" t="s">
        <v>81</v>
      </c>
      <c r="AE1488" t="s">
        <v>62</v>
      </c>
      <c r="AF1488" t="s">
        <v>62</v>
      </c>
      <c r="AG1488">
        <v>1</v>
      </c>
      <c r="AH1488">
        <v>2</v>
      </c>
      <c r="AI1488">
        <v>3</v>
      </c>
      <c r="AJ1488">
        <v>0.4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2</v>
      </c>
      <c r="AT1488">
        <v>0</v>
      </c>
      <c r="AU1488">
        <v>13</v>
      </c>
      <c r="AV1488">
        <v>8</v>
      </c>
      <c r="AW1488">
        <v>25</v>
      </c>
      <c r="AX1488">
        <v>2</v>
      </c>
      <c r="AY1488">
        <v>40</v>
      </c>
      <c r="AZ1488">
        <v>3</v>
      </c>
      <c r="BA1488" t="s">
        <v>304</v>
      </c>
      <c r="BB1488" t="s">
        <v>305</v>
      </c>
      <c r="BC1488">
        <v>0.04</v>
      </c>
      <c r="BD1488" t="s">
        <v>65</v>
      </c>
      <c r="BE1488">
        <v>65</v>
      </c>
      <c r="BF1488">
        <v>5</v>
      </c>
      <c r="BG1488" t="s">
        <v>306</v>
      </c>
      <c r="BH1488" t="s">
        <v>307</v>
      </c>
      <c r="BI1488" t="s">
        <v>308</v>
      </c>
      <c r="BJ1488">
        <v>1.542E-2</v>
      </c>
      <c r="BK1488">
        <v>1</v>
      </c>
      <c r="BL1488" t="s">
        <v>69</v>
      </c>
      <c r="BM1488">
        <v>-1.1399999999999999</v>
      </c>
      <c r="BN1488">
        <v>-0.58499999999999996</v>
      </c>
    </row>
    <row r="1489" spans="2:66">
      <c r="B1489">
        <v>2615</v>
      </c>
      <c r="C1489">
        <v>163</v>
      </c>
      <c r="D1489">
        <v>0</v>
      </c>
      <c r="E1489">
        <v>3</v>
      </c>
      <c r="F1489">
        <v>0</v>
      </c>
      <c r="J1489">
        <v>0</v>
      </c>
      <c r="K1489">
        <v>0</v>
      </c>
      <c r="L1489">
        <v>0</v>
      </c>
      <c r="M1489" t="s">
        <v>25022</v>
      </c>
      <c r="N1489">
        <v>33</v>
      </c>
      <c r="O1489" t="s">
        <v>309</v>
      </c>
      <c r="P1489" t="s">
        <v>57</v>
      </c>
      <c r="Q1489">
        <v>42499</v>
      </c>
      <c r="R1489">
        <v>42855</v>
      </c>
      <c r="S1489" t="s">
        <v>310</v>
      </c>
      <c r="T1489">
        <v>119</v>
      </c>
      <c r="U1489" t="s">
        <v>59</v>
      </c>
      <c r="V1489">
        <v>49</v>
      </c>
      <c r="W1489" t="str">
        <f>HYPERLINK("Gene33-zp_tree_all.dnd", "Gene33-tree")</f>
        <v>Gene33-tree</v>
      </c>
      <c r="X1489">
        <v>12</v>
      </c>
      <c r="Y1489">
        <v>1</v>
      </c>
      <c r="Z1489">
        <v>12</v>
      </c>
      <c r="AA1489">
        <v>1</v>
      </c>
      <c r="AB1489">
        <v>7.6920000000000002E-2</v>
      </c>
      <c r="AC1489" t="s">
        <v>109</v>
      </c>
      <c r="AD1489" t="s">
        <v>175</v>
      </c>
      <c r="AE1489" t="s">
        <v>62</v>
      </c>
      <c r="AF1489" t="s">
        <v>62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6</v>
      </c>
      <c r="AV1489">
        <v>6</v>
      </c>
      <c r="AW1489">
        <v>7</v>
      </c>
      <c r="AX1489">
        <v>1</v>
      </c>
      <c r="AY1489">
        <v>7</v>
      </c>
      <c r="AZ1489">
        <v>0</v>
      </c>
      <c r="BA1489" t="s">
        <v>311</v>
      </c>
      <c r="BB1489" t="s">
        <v>193</v>
      </c>
      <c r="BC1489">
        <v>0.45800000000000002</v>
      </c>
      <c r="BD1489" t="s">
        <v>65</v>
      </c>
      <c r="BE1489">
        <v>14</v>
      </c>
      <c r="BF1489">
        <v>1</v>
      </c>
      <c r="BG1489" t="s">
        <v>312</v>
      </c>
      <c r="BH1489" t="s">
        <v>313</v>
      </c>
      <c r="BI1489" t="s">
        <v>314</v>
      </c>
      <c r="BJ1489">
        <v>1.2290000000000001E-2</v>
      </c>
      <c r="BK1489">
        <v>1</v>
      </c>
      <c r="BL1489" t="s">
        <v>69</v>
      </c>
      <c r="BM1489">
        <v>-0.80900000000000005</v>
      </c>
      <c r="BN1489">
        <v>-0.13600000000000001</v>
      </c>
    </row>
    <row r="1490" spans="2:66">
      <c r="B1490">
        <v>2616</v>
      </c>
      <c r="C1490">
        <v>435</v>
      </c>
      <c r="D1490">
        <v>0</v>
      </c>
      <c r="E1490">
        <v>2</v>
      </c>
      <c r="F1490">
        <v>0</v>
      </c>
      <c r="J1490">
        <v>0</v>
      </c>
      <c r="K1490">
        <v>2</v>
      </c>
      <c r="L1490">
        <v>0</v>
      </c>
      <c r="M1490" t="s">
        <v>25022</v>
      </c>
      <c r="N1490">
        <v>34</v>
      </c>
      <c r="O1490" t="s">
        <v>315</v>
      </c>
      <c r="P1490" t="s">
        <v>57</v>
      </c>
      <c r="Q1490">
        <v>42917</v>
      </c>
      <c r="R1490">
        <v>43657</v>
      </c>
      <c r="S1490" t="s">
        <v>316</v>
      </c>
      <c r="T1490">
        <v>247</v>
      </c>
      <c r="U1490" t="s">
        <v>108</v>
      </c>
      <c r="V1490">
        <v>44</v>
      </c>
      <c r="W1490" t="str">
        <f>HYPERLINK("Gene34-zp_tree_all.dnd", "Gene34-tree")</f>
        <v>Gene34-tree</v>
      </c>
      <c r="X1490">
        <v>11</v>
      </c>
      <c r="Y1490">
        <v>6</v>
      </c>
      <c r="Z1490">
        <v>11</v>
      </c>
      <c r="AA1490">
        <v>6</v>
      </c>
      <c r="AB1490">
        <v>0.35293999999999998</v>
      </c>
      <c r="AC1490" t="s">
        <v>73</v>
      </c>
      <c r="AD1490" t="s">
        <v>90</v>
      </c>
      <c r="AE1490" t="s">
        <v>62</v>
      </c>
      <c r="AF1490" t="s">
        <v>62</v>
      </c>
      <c r="AG1490">
        <v>1</v>
      </c>
      <c r="AH1490">
        <v>2</v>
      </c>
      <c r="AI1490">
        <v>9</v>
      </c>
      <c r="AJ1490">
        <v>0.18182000000000001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8</v>
      </c>
      <c r="AT1490">
        <v>0</v>
      </c>
      <c r="AU1490">
        <v>14</v>
      </c>
      <c r="AV1490">
        <v>13</v>
      </c>
      <c r="AW1490">
        <v>32</v>
      </c>
      <c r="AX1490">
        <v>9</v>
      </c>
      <c r="AY1490">
        <v>26</v>
      </c>
      <c r="AZ1490">
        <v>3</v>
      </c>
      <c r="BA1490" t="s">
        <v>317</v>
      </c>
      <c r="BB1490" t="s">
        <v>318</v>
      </c>
      <c r="BC1490">
        <v>0.57999999999999996</v>
      </c>
      <c r="BD1490" t="s">
        <v>65</v>
      </c>
      <c r="BE1490">
        <v>58</v>
      </c>
      <c r="BF1490">
        <v>12</v>
      </c>
      <c r="BG1490" t="s">
        <v>319</v>
      </c>
      <c r="BH1490" t="s">
        <v>320</v>
      </c>
      <c r="BI1490" t="s">
        <v>321</v>
      </c>
      <c r="BJ1490">
        <v>5.3960000000000001E-2</v>
      </c>
      <c r="BK1490">
        <v>1</v>
      </c>
      <c r="BL1490" t="s">
        <v>69</v>
      </c>
      <c r="BM1490">
        <v>-0.60099999999999998</v>
      </c>
      <c r="BN1490">
        <v>-0.85099999999999998</v>
      </c>
    </row>
    <row r="1491" spans="2:66">
      <c r="B1491">
        <v>2617</v>
      </c>
      <c r="C1491">
        <v>161</v>
      </c>
      <c r="D1491">
        <v>0</v>
      </c>
      <c r="E1491">
        <v>5</v>
      </c>
      <c r="F1491">
        <v>4</v>
      </c>
      <c r="J1491">
        <v>0</v>
      </c>
      <c r="K1491">
        <v>0</v>
      </c>
      <c r="L1491">
        <v>2</v>
      </c>
      <c r="M1491" t="s">
        <v>25022</v>
      </c>
      <c r="N1491">
        <v>35</v>
      </c>
      <c r="O1491" t="s">
        <v>322</v>
      </c>
      <c r="P1491" t="s">
        <v>57</v>
      </c>
      <c r="Q1491">
        <v>43647</v>
      </c>
      <c r="R1491">
        <v>43943</v>
      </c>
      <c r="S1491" t="s">
        <v>323</v>
      </c>
      <c r="T1491">
        <v>99</v>
      </c>
      <c r="U1491" t="s">
        <v>108</v>
      </c>
      <c r="V1491">
        <v>44</v>
      </c>
      <c r="W1491" t="str">
        <f>HYPERLINK("Gene35-zp_tree_all.dnd", "Gene35-tree")</f>
        <v>Gene35-tree</v>
      </c>
      <c r="X1491">
        <v>9</v>
      </c>
      <c r="Y1491">
        <v>3</v>
      </c>
      <c r="Z1491">
        <v>9</v>
      </c>
      <c r="AA1491">
        <v>3</v>
      </c>
      <c r="AB1491">
        <v>0.25</v>
      </c>
      <c r="AC1491" t="s">
        <v>135</v>
      </c>
      <c r="AD1491" t="s">
        <v>324</v>
      </c>
      <c r="AE1491" t="s">
        <v>62</v>
      </c>
      <c r="AF1491" t="s">
        <v>62</v>
      </c>
      <c r="AG1491">
        <v>1</v>
      </c>
      <c r="AH1491">
        <v>2</v>
      </c>
      <c r="AI1491">
        <v>3</v>
      </c>
      <c r="AJ1491">
        <v>0.4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4</v>
      </c>
      <c r="AT1491">
        <v>0</v>
      </c>
      <c r="AU1491">
        <v>9</v>
      </c>
      <c r="AV1491">
        <v>5</v>
      </c>
      <c r="AW1491">
        <v>9</v>
      </c>
      <c r="AX1491">
        <v>4</v>
      </c>
      <c r="AY1491">
        <v>5</v>
      </c>
      <c r="AZ1491">
        <v>1</v>
      </c>
      <c r="BA1491" t="s">
        <v>325</v>
      </c>
      <c r="BB1491" t="s">
        <v>326</v>
      </c>
      <c r="BC1491">
        <v>0.42599999999999999</v>
      </c>
      <c r="BD1491" t="s">
        <v>65</v>
      </c>
      <c r="BE1491">
        <v>14</v>
      </c>
      <c r="BF1491">
        <v>5</v>
      </c>
      <c r="BG1491" t="s">
        <v>327</v>
      </c>
      <c r="BH1491" t="s">
        <v>328</v>
      </c>
      <c r="BI1491" t="s">
        <v>329</v>
      </c>
      <c r="BJ1491">
        <v>9.1899999999999996E-2</v>
      </c>
      <c r="BK1491">
        <v>1</v>
      </c>
      <c r="BL1491" t="s">
        <v>69</v>
      </c>
      <c r="BM1491">
        <v>-1.04</v>
      </c>
      <c r="BN1491">
        <v>-0.94499999999999995</v>
      </c>
    </row>
    <row r="1492" spans="2:66">
      <c r="B1492">
        <v>2619</v>
      </c>
      <c r="C1492">
        <v>2</v>
      </c>
      <c r="D1492">
        <v>0</v>
      </c>
      <c r="E1492">
        <v>10</v>
      </c>
      <c r="F1492">
        <v>2</v>
      </c>
      <c r="J1492">
        <v>0</v>
      </c>
      <c r="K1492">
        <v>2</v>
      </c>
      <c r="L1492">
        <v>2</v>
      </c>
      <c r="M1492" t="s">
        <v>25022</v>
      </c>
      <c r="N1492">
        <v>36</v>
      </c>
      <c r="O1492" t="s">
        <v>330</v>
      </c>
      <c r="P1492" t="s">
        <v>57</v>
      </c>
      <c r="Q1492">
        <v>43921</v>
      </c>
      <c r="R1492">
        <v>44796</v>
      </c>
      <c r="S1492" t="s">
        <v>331</v>
      </c>
      <c r="T1492">
        <v>292</v>
      </c>
      <c r="U1492" t="s">
        <v>108</v>
      </c>
      <c r="V1492">
        <v>44</v>
      </c>
      <c r="W1492" t="str">
        <f>HYPERLINK("Gene36-zp_tree_all.dnd", "Gene36-tree")</f>
        <v>Gene36-tree</v>
      </c>
      <c r="X1492">
        <v>9</v>
      </c>
      <c r="Y1492">
        <v>6</v>
      </c>
      <c r="Z1492">
        <v>9</v>
      </c>
      <c r="AA1492">
        <v>6</v>
      </c>
      <c r="AB1492">
        <v>0.4</v>
      </c>
      <c r="AC1492" t="s">
        <v>135</v>
      </c>
      <c r="AD1492" t="s">
        <v>90</v>
      </c>
      <c r="AE1492" t="s">
        <v>62</v>
      </c>
      <c r="AF1492" t="s">
        <v>62</v>
      </c>
      <c r="AG1492">
        <v>2</v>
      </c>
      <c r="AH1492">
        <v>4</v>
      </c>
      <c r="AI1492">
        <v>4</v>
      </c>
      <c r="AJ1492">
        <v>0.5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6</v>
      </c>
      <c r="AT1492">
        <v>0</v>
      </c>
      <c r="AU1492">
        <v>14</v>
      </c>
      <c r="AV1492">
        <v>7</v>
      </c>
      <c r="AW1492">
        <v>37</v>
      </c>
      <c r="AX1492">
        <v>6</v>
      </c>
      <c r="AY1492">
        <v>17</v>
      </c>
      <c r="AZ1492">
        <v>2</v>
      </c>
      <c r="BA1492" t="s">
        <v>332</v>
      </c>
      <c r="BB1492" t="s">
        <v>333</v>
      </c>
      <c r="BC1492">
        <v>0.313</v>
      </c>
      <c r="BD1492" t="s">
        <v>65</v>
      </c>
      <c r="BE1492">
        <v>54</v>
      </c>
      <c r="BF1492">
        <v>8</v>
      </c>
      <c r="BG1492" t="s">
        <v>334</v>
      </c>
      <c r="BH1492" t="s">
        <v>335</v>
      </c>
      <c r="BI1492" t="s">
        <v>336</v>
      </c>
      <c r="BJ1492">
        <v>3.8580000000000003E-2</v>
      </c>
      <c r="BK1492">
        <v>1</v>
      </c>
      <c r="BL1492" t="s">
        <v>69</v>
      </c>
      <c r="BM1492">
        <v>-0.157</v>
      </c>
      <c r="BN1492">
        <v>-0.6</v>
      </c>
    </row>
    <row r="1493" spans="2:66">
      <c r="B1493">
        <v>2623</v>
      </c>
      <c r="C1493">
        <v>449</v>
      </c>
      <c r="D1493">
        <v>0</v>
      </c>
      <c r="E1493">
        <v>2</v>
      </c>
      <c r="F1493">
        <v>0</v>
      </c>
      <c r="J1493">
        <v>0</v>
      </c>
      <c r="K1493">
        <v>7</v>
      </c>
      <c r="L1493">
        <v>0</v>
      </c>
      <c r="M1493" t="s">
        <v>25022</v>
      </c>
      <c r="N1493">
        <v>38</v>
      </c>
      <c r="O1493" t="s">
        <v>341</v>
      </c>
      <c r="P1493" t="s">
        <v>57</v>
      </c>
      <c r="Q1493">
        <v>45633</v>
      </c>
      <c r="R1493">
        <v>47624</v>
      </c>
      <c r="S1493" t="s">
        <v>342</v>
      </c>
      <c r="T1493">
        <v>664</v>
      </c>
      <c r="U1493" t="s">
        <v>108</v>
      </c>
      <c r="V1493">
        <v>44</v>
      </c>
      <c r="W1493" t="str">
        <f>HYPERLINK("Gene38-zp_tree_all.dnd", "Gene38-tree")</f>
        <v>Gene38-tree</v>
      </c>
      <c r="X1493">
        <v>9</v>
      </c>
      <c r="Y1493">
        <v>7</v>
      </c>
      <c r="Z1493">
        <v>9</v>
      </c>
      <c r="AA1493">
        <v>7</v>
      </c>
      <c r="AB1493">
        <v>0.4375</v>
      </c>
      <c r="AC1493" t="s">
        <v>135</v>
      </c>
      <c r="AD1493" t="s">
        <v>152</v>
      </c>
      <c r="AE1493" t="s">
        <v>62</v>
      </c>
      <c r="AF1493" t="s">
        <v>62</v>
      </c>
      <c r="AG1493">
        <v>3</v>
      </c>
      <c r="AH1493">
        <v>7</v>
      </c>
      <c r="AI1493">
        <v>7</v>
      </c>
      <c r="AJ1493">
        <v>0.5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2</v>
      </c>
      <c r="AQ1493">
        <v>0</v>
      </c>
      <c r="AR1493">
        <v>2</v>
      </c>
      <c r="AS1493">
        <v>5</v>
      </c>
      <c r="AT1493">
        <v>0.28571000000000002</v>
      </c>
      <c r="AU1493">
        <v>15</v>
      </c>
      <c r="AV1493">
        <v>13</v>
      </c>
      <c r="AW1493">
        <v>51</v>
      </c>
      <c r="AX1493">
        <v>7</v>
      </c>
      <c r="AY1493">
        <v>68</v>
      </c>
      <c r="AZ1493">
        <v>7</v>
      </c>
      <c r="BA1493" t="s">
        <v>343</v>
      </c>
      <c r="BB1493" t="s">
        <v>344</v>
      </c>
      <c r="BC1493">
        <v>0.38600000000000001</v>
      </c>
      <c r="BD1493" t="s">
        <v>65</v>
      </c>
      <c r="BE1493">
        <v>119</v>
      </c>
      <c r="BF1493">
        <v>14</v>
      </c>
      <c r="BG1493" t="s">
        <v>345</v>
      </c>
      <c r="BH1493" t="s">
        <v>346</v>
      </c>
      <c r="BI1493" t="s">
        <v>347</v>
      </c>
      <c r="BJ1493">
        <v>3.5110000000000002E-2</v>
      </c>
      <c r="BK1493">
        <v>1</v>
      </c>
      <c r="BL1493" t="s">
        <v>69</v>
      </c>
      <c r="BM1493">
        <v>-0.34300000000000003</v>
      </c>
      <c r="BN1493">
        <v>-0.995</v>
      </c>
    </row>
    <row r="1494" spans="2:66">
      <c r="B1494">
        <v>2624</v>
      </c>
      <c r="C1494">
        <v>21</v>
      </c>
      <c r="D1494">
        <v>0</v>
      </c>
      <c r="E1494">
        <v>0</v>
      </c>
      <c r="F1494">
        <v>6</v>
      </c>
      <c r="J1494">
        <v>0</v>
      </c>
      <c r="K1494">
        <v>0</v>
      </c>
      <c r="L1494">
        <v>0</v>
      </c>
      <c r="M1494" t="s">
        <v>25022</v>
      </c>
      <c r="N1494">
        <v>39</v>
      </c>
      <c r="O1494" t="s">
        <v>348</v>
      </c>
      <c r="P1494" t="s">
        <v>57</v>
      </c>
      <c r="Q1494">
        <v>47706</v>
      </c>
      <c r="R1494">
        <v>48470</v>
      </c>
      <c r="S1494" t="s">
        <v>349</v>
      </c>
      <c r="T1494">
        <v>255</v>
      </c>
      <c r="U1494" t="s">
        <v>108</v>
      </c>
      <c r="V1494">
        <v>44</v>
      </c>
      <c r="W1494" t="str">
        <f>HYPERLINK("Gene39-zp_tree_all.dnd", "Gene39-tree")</f>
        <v>Gene39-tree</v>
      </c>
      <c r="X1494">
        <v>6</v>
      </c>
      <c r="Y1494">
        <v>6</v>
      </c>
      <c r="Z1494">
        <v>6</v>
      </c>
      <c r="AA1494">
        <v>6</v>
      </c>
      <c r="AB1494">
        <v>0.5</v>
      </c>
      <c r="AC1494" t="s">
        <v>90</v>
      </c>
      <c r="AD1494" t="s">
        <v>90</v>
      </c>
      <c r="AE1494" t="s">
        <v>62</v>
      </c>
      <c r="AF1494" t="s">
        <v>62</v>
      </c>
      <c r="AG1494">
        <v>0</v>
      </c>
      <c r="AH1494">
        <v>0</v>
      </c>
      <c r="AI1494">
        <v>6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6</v>
      </c>
      <c r="AT1494">
        <v>0</v>
      </c>
      <c r="AU1494">
        <v>10</v>
      </c>
      <c r="AV1494">
        <v>4</v>
      </c>
      <c r="AW1494">
        <v>11</v>
      </c>
      <c r="AX1494">
        <v>6</v>
      </c>
      <c r="AY1494">
        <v>7</v>
      </c>
      <c r="AZ1494">
        <v>0</v>
      </c>
      <c r="BA1494" t="s">
        <v>350</v>
      </c>
      <c r="BB1494" t="s">
        <v>193</v>
      </c>
      <c r="BC1494">
        <v>1.306</v>
      </c>
      <c r="BD1494" t="s">
        <v>65</v>
      </c>
      <c r="BE1494">
        <v>18</v>
      </c>
      <c r="BF1494">
        <v>6</v>
      </c>
      <c r="BG1494" t="s">
        <v>351</v>
      </c>
      <c r="BH1494" t="s">
        <v>352</v>
      </c>
      <c r="BI1494" t="s">
        <v>353</v>
      </c>
      <c r="BJ1494">
        <v>5.9970000000000002E-2</v>
      </c>
      <c r="BK1494">
        <v>1</v>
      </c>
      <c r="BL1494" t="s">
        <v>69</v>
      </c>
      <c r="BM1494">
        <v>-0.20300000000000001</v>
      </c>
      <c r="BN1494">
        <v>-0.27200000000000002</v>
      </c>
    </row>
    <row r="1495" spans="2:66">
      <c r="B1495">
        <v>2625</v>
      </c>
      <c r="C1495">
        <v>35</v>
      </c>
      <c r="D1495">
        <v>0</v>
      </c>
      <c r="E1495">
        <v>0</v>
      </c>
      <c r="F1495">
        <v>2</v>
      </c>
      <c r="J1495">
        <v>0</v>
      </c>
      <c r="K1495">
        <v>2</v>
      </c>
      <c r="L1495">
        <v>3</v>
      </c>
      <c r="M1495" t="s">
        <v>25022</v>
      </c>
      <c r="N1495">
        <v>40</v>
      </c>
      <c r="O1495" t="s">
        <v>354</v>
      </c>
      <c r="P1495" t="s">
        <v>57</v>
      </c>
      <c r="Q1495">
        <v>48629</v>
      </c>
      <c r="R1495">
        <v>49939</v>
      </c>
      <c r="S1495" t="s">
        <v>355</v>
      </c>
      <c r="T1495">
        <v>437</v>
      </c>
      <c r="U1495" t="s">
        <v>59</v>
      </c>
      <c r="V1495">
        <v>49</v>
      </c>
      <c r="W1495" t="str">
        <f>HYPERLINK("Gene40-zp_tree_all.dnd", "Gene40-tree")</f>
        <v>Gene40-tree</v>
      </c>
      <c r="X1495">
        <v>10</v>
      </c>
      <c r="Y1495">
        <v>10</v>
      </c>
      <c r="Z1495">
        <v>10</v>
      </c>
      <c r="AA1495">
        <v>10</v>
      </c>
      <c r="AB1495">
        <v>0.5</v>
      </c>
      <c r="AC1495" t="s">
        <v>117</v>
      </c>
      <c r="AD1495" t="s">
        <v>117</v>
      </c>
      <c r="AE1495" t="s">
        <v>62</v>
      </c>
      <c r="AF1495" t="s">
        <v>62</v>
      </c>
      <c r="AG1495">
        <v>2</v>
      </c>
      <c r="AH1495">
        <v>5</v>
      </c>
      <c r="AI1495">
        <v>23</v>
      </c>
      <c r="AJ1495">
        <v>0.17857000000000001</v>
      </c>
      <c r="AK1495">
        <v>0</v>
      </c>
      <c r="AL1495">
        <v>0</v>
      </c>
      <c r="AM1495">
        <v>0</v>
      </c>
      <c r="AN1495">
        <v>2</v>
      </c>
      <c r="AO1495">
        <v>0</v>
      </c>
      <c r="AP1495">
        <v>0</v>
      </c>
      <c r="AQ1495">
        <v>0</v>
      </c>
      <c r="AR1495">
        <v>0</v>
      </c>
      <c r="AS1495">
        <v>15</v>
      </c>
      <c r="AT1495">
        <v>0</v>
      </c>
      <c r="AU1495">
        <v>18</v>
      </c>
      <c r="AV1495">
        <v>12</v>
      </c>
      <c r="AW1495">
        <v>30</v>
      </c>
      <c r="AX1495">
        <v>15</v>
      </c>
      <c r="AY1495">
        <v>49</v>
      </c>
      <c r="AZ1495">
        <v>13</v>
      </c>
      <c r="BA1495" t="s">
        <v>356</v>
      </c>
      <c r="BB1495" t="s">
        <v>357</v>
      </c>
      <c r="BC1495">
        <v>0.72399999999999998</v>
      </c>
      <c r="BD1495" t="s">
        <v>65</v>
      </c>
      <c r="BE1495">
        <v>79</v>
      </c>
      <c r="BF1495">
        <v>28</v>
      </c>
      <c r="BG1495" t="s">
        <v>358</v>
      </c>
      <c r="BH1495" t="s">
        <v>359</v>
      </c>
      <c r="BI1495" t="s">
        <v>360</v>
      </c>
      <c r="BJ1495">
        <v>7.5789999999999996E-2</v>
      </c>
      <c r="BK1495">
        <v>1</v>
      </c>
      <c r="BL1495" t="s">
        <v>69</v>
      </c>
      <c r="BM1495">
        <v>-1.7330000000000001</v>
      </c>
      <c r="BN1495">
        <v>-1.087</v>
      </c>
    </row>
    <row r="1496" spans="2:66">
      <c r="B1496">
        <v>2628</v>
      </c>
      <c r="C1496">
        <v>232</v>
      </c>
      <c r="D1496">
        <v>0</v>
      </c>
      <c r="E1496">
        <v>12</v>
      </c>
      <c r="F1496">
        <v>0</v>
      </c>
      <c r="J1496">
        <v>0</v>
      </c>
      <c r="K1496">
        <v>0</v>
      </c>
      <c r="L1496">
        <v>3</v>
      </c>
      <c r="M1496" t="s">
        <v>25022</v>
      </c>
      <c r="N1496">
        <v>41</v>
      </c>
      <c r="O1496" t="s">
        <v>361</v>
      </c>
      <c r="P1496" t="s">
        <v>57</v>
      </c>
      <c r="Q1496">
        <v>50087</v>
      </c>
      <c r="R1496">
        <v>50644</v>
      </c>
      <c r="S1496" t="s">
        <v>362</v>
      </c>
      <c r="T1496">
        <v>186</v>
      </c>
      <c r="U1496" t="s">
        <v>363</v>
      </c>
      <c r="V1496">
        <v>46</v>
      </c>
      <c r="W1496" t="str">
        <f>HYPERLINK("Gene41-zp_tree_all.dnd", "Gene41-tree")</f>
        <v>Gene41-tree</v>
      </c>
      <c r="X1496">
        <v>7</v>
      </c>
      <c r="Y1496">
        <v>8</v>
      </c>
      <c r="Z1496">
        <v>7</v>
      </c>
      <c r="AA1496">
        <v>8</v>
      </c>
      <c r="AB1496">
        <v>0.53332999999999997</v>
      </c>
      <c r="AC1496" t="s">
        <v>152</v>
      </c>
      <c r="AD1496" t="s">
        <v>136</v>
      </c>
      <c r="AE1496" t="s">
        <v>62</v>
      </c>
      <c r="AF1496" t="s">
        <v>62</v>
      </c>
      <c r="AG1496">
        <v>1</v>
      </c>
      <c r="AH1496">
        <v>3</v>
      </c>
      <c r="AI1496">
        <v>11</v>
      </c>
      <c r="AJ1496">
        <v>0.21429000000000001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2</v>
      </c>
      <c r="AR1496">
        <v>2</v>
      </c>
      <c r="AS1496">
        <v>8</v>
      </c>
      <c r="AT1496">
        <v>0.2</v>
      </c>
      <c r="AU1496">
        <v>11</v>
      </c>
      <c r="AV1496">
        <v>8</v>
      </c>
      <c r="AW1496">
        <v>30</v>
      </c>
      <c r="AX1496">
        <v>10</v>
      </c>
      <c r="AY1496">
        <v>17</v>
      </c>
      <c r="AZ1496">
        <v>4</v>
      </c>
      <c r="BA1496" t="s">
        <v>364</v>
      </c>
      <c r="BB1496" t="s">
        <v>365</v>
      </c>
      <c r="BC1496">
        <v>0.26200000000000001</v>
      </c>
      <c r="BD1496" t="s">
        <v>65</v>
      </c>
      <c r="BE1496">
        <v>47</v>
      </c>
      <c r="BF1496">
        <v>14</v>
      </c>
      <c r="BG1496" t="s">
        <v>366</v>
      </c>
      <c r="BH1496" t="s">
        <v>367</v>
      </c>
      <c r="BI1496" t="s">
        <v>368</v>
      </c>
      <c r="BJ1496">
        <v>6.9819999999999993E-2</v>
      </c>
      <c r="BK1496">
        <v>1</v>
      </c>
      <c r="BL1496" t="s">
        <v>69</v>
      </c>
      <c r="BM1496">
        <v>-1.972</v>
      </c>
      <c r="BN1496">
        <v>-3.3370000000000002</v>
      </c>
    </row>
    <row r="1497" spans="2:66">
      <c r="B1497">
        <v>2632</v>
      </c>
      <c r="C1497">
        <v>114</v>
      </c>
      <c r="D1497">
        <v>0</v>
      </c>
      <c r="E1497">
        <v>0</v>
      </c>
      <c r="F1497">
        <v>4</v>
      </c>
      <c r="J1497">
        <v>0</v>
      </c>
      <c r="K1497">
        <v>5</v>
      </c>
      <c r="L1497">
        <v>0</v>
      </c>
      <c r="M1497" t="s">
        <v>25022</v>
      </c>
      <c r="N1497">
        <v>42</v>
      </c>
      <c r="O1497" t="s">
        <v>369</v>
      </c>
      <c r="P1497" t="s">
        <v>57</v>
      </c>
      <c r="Q1497">
        <v>50640</v>
      </c>
      <c r="R1497">
        <v>51515</v>
      </c>
      <c r="S1497" t="s">
        <v>370</v>
      </c>
      <c r="T1497">
        <v>292</v>
      </c>
      <c r="U1497" t="s">
        <v>108</v>
      </c>
      <c r="V1497">
        <v>44</v>
      </c>
      <c r="W1497" t="str">
        <f>HYPERLINK("Gene42-zp_tree_all.dnd", "Gene42-tree")</f>
        <v>Gene42-tree</v>
      </c>
      <c r="X1497">
        <v>7</v>
      </c>
      <c r="Y1497">
        <v>32</v>
      </c>
      <c r="Z1497">
        <v>7</v>
      </c>
      <c r="AA1497">
        <v>6</v>
      </c>
      <c r="AB1497">
        <v>0.46154000000000001</v>
      </c>
      <c r="AC1497" t="s">
        <v>152</v>
      </c>
      <c r="AD1497" t="s">
        <v>371</v>
      </c>
      <c r="AE1497">
        <v>5.5030000000000001</v>
      </c>
      <c r="AF1497" t="s">
        <v>65</v>
      </c>
      <c r="AG1497">
        <v>2</v>
      </c>
      <c r="AH1497">
        <v>5</v>
      </c>
      <c r="AI1497">
        <v>5</v>
      </c>
      <c r="AJ1497">
        <v>0.5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4</v>
      </c>
      <c r="AQ1497">
        <v>0</v>
      </c>
      <c r="AR1497">
        <v>4</v>
      </c>
      <c r="AS1497">
        <v>4</v>
      </c>
      <c r="AT1497">
        <v>0.5</v>
      </c>
      <c r="AU1497">
        <v>13</v>
      </c>
      <c r="AV1497">
        <v>8</v>
      </c>
      <c r="AW1497">
        <v>49</v>
      </c>
      <c r="AX1497">
        <v>8</v>
      </c>
      <c r="AY1497">
        <v>28</v>
      </c>
      <c r="AZ1497">
        <v>2</v>
      </c>
      <c r="BA1497" t="s">
        <v>372</v>
      </c>
      <c r="BB1497" t="s">
        <v>373</v>
      </c>
      <c r="BC1497">
        <v>0.77200000000000002</v>
      </c>
      <c r="BD1497" t="s">
        <v>65</v>
      </c>
      <c r="BE1497">
        <v>77</v>
      </c>
      <c r="BF1497">
        <v>10</v>
      </c>
      <c r="BG1497" t="s">
        <v>374</v>
      </c>
      <c r="BH1497" t="s">
        <v>375</v>
      </c>
      <c r="BI1497" t="s">
        <v>376</v>
      </c>
      <c r="BJ1497">
        <v>4.2279999999999998E-2</v>
      </c>
      <c r="BK1497">
        <v>1</v>
      </c>
      <c r="BL1497" t="s">
        <v>69</v>
      </c>
      <c r="BM1497">
        <v>-0.95499999999999996</v>
      </c>
      <c r="BN1497">
        <v>-1.4590000000000001</v>
      </c>
    </row>
    <row r="1498" spans="2:66">
      <c r="B1498">
        <v>2634</v>
      </c>
      <c r="C1498">
        <v>11</v>
      </c>
      <c r="D1498">
        <v>0</v>
      </c>
      <c r="E1498">
        <v>2</v>
      </c>
      <c r="F1498">
        <v>0</v>
      </c>
      <c r="J1498">
        <v>0</v>
      </c>
      <c r="K1498">
        <v>2</v>
      </c>
      <c r="L1498">
        <v>0</v>
      </c>
      <c r="M1498" t="s">
        <v>25022</v>
      </c>
      <c r="N1498">
        <v>43</v>
      </c>
      <c r="O1498" t="s">
        <v>377</v>
      </c>
      <c r="P1498" t="s">
        <v>57</v>
      </c>
      <c r="Q1498">
        <v>51680</v>
      </c>
      <c r="R1498">
        <v>52549</v>
      </c>
      <c r="S1498" t="s">
        <v>378</v>
      </c>
      <c r="T1498">
        <v>290</v>
      </c>
      <c r="U1498" t="s">
        <v>108</v>
      </c>
      <c r="V1498">
        <v>44</v>
      </c>
      <c r="W1498" t="str">
        <f>HYPERLINK("Gene43-zp_tree_all.dnd", "Gene43-tree")</f>
        <v>Gene43-tree</v>
      </c>
      <c r="X1498">
        <v>11</v>
      </c>
      <c r="Y1498">
        <v>3</v>
      </c>
      <c r="Z1498">
        <v>11</v>
      </c>
      <c r="AA1498">
        <v>3</v>
      </c>
      <c r="AB1498">
        <v>0.21429000000000001</v>
      </c>
      <c r="AC1498" t="s">
        <v>73</v>
      </c>
      <c r="AD1498" t="s">
        <v>324</v>
      </c>
      <c r="AE1498" t="s">
        <v>62</v>
      </c>
      <c r="AF1498" t="s">
        <v>62</v>
      </c>
      <c r="AG1498">
        <v>1</v>
      </c>
      <c r="AH1498">
        <v>2</v>
      </c>
      <c r="AI1498">
        <v>5</v>
      </c>
      <c r="AJ1498">
        <v>0.28571000000000002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6</v>
      </c>
      <c r="AT1498">
        <v>0</v>
      </c>
      <c r="AU1498">
        <v>10</v>
      </c>
      <c r="AV1498">
        <v>7</v>
      </c>
      <c r="AW1498">
        <v>27</v>
      </c>
      <c r="AX1498">
        <v>6</v>
      </c>
      <c r="AY1498">
        <v>19</v>
      </c>
      <c r="AZ1498">
        <v>1</v>
      </c>
      <c r="BA1498" t="s">
        <v>379</v>
      </c>
      <c r="BB1498" t="s">
        <v>380</v>
      </c>
      <c r="BC1498">
        <v>0.46500000000000002</v>
      </c>
      <c r="BD1498" t="s">
        <v>65</v>
      </c>
      <c r="BE1498">
        <v>46</v>
      </c>
      <c r="BF1498">
        <v>7</v>
      </c>
      <c r="BG1498" t="s">
        <v>381</v>
      </c>
      <c r="BH1498" t="s">
        <v>382</v>
      </c>
      <c r="BI1498" t="s">
        <v>383</v>
      </c>
      <c r="BJ1498">
        <v>3.5229999999999997E-2</v>
      </c>
      <c r="BK1498">
        <v>1</v>
      </c>
      <c r="BL1498" t="s">
        <v>69</v>
      </c>
      <c r="BM1498">
        <v>-0.39200000000000002</v>
      </c>
      <c r="BN1498">
        <v>-2.3039999999999998</v>
      </c>
    </row>
    <row r="1499" spans="2:66">
      <c r="B1499">
        <v>2637</v>
      </c>
      <c r="C1499">
        <v>38</v>
      </c>
      <c r="D1499">
        <v>0</v>
      </c>
      <c r="E1499">
        <v>2</v>
      </c>
      <c r="F1499">
        <v>0</v>
      </c>
      <c r="J1499">
        <v>0</v>
      </c>
      <c r="K1499">
        <v>0</v>
      </c>
      <c r="L1499">
        <v>0</v>
      </c>
      <c r="M1499" t="s">
        <v>25022</v>
      </c>
      <c r="N1499">
        <v>44</v>
      </c>
      <c r="O1499" t="s">
        <v>384</v>
      </c>
      <c r="P1499" t="s">
        <v>57</v>
      </c>
      <c r="Q1499">
        <v>52763</v>
      </c>
      <c r="R1499">
        <v>53020</v>
      </c>
      <c r="S1499" t="s">
        <v>288</v>
      </c>
      <c r="T1499">
        <v>86</v>
      </c>
      <c r="U1499" t="s">
        <v>59</v>
      </c>
      <c r="V1499">
        <v>49</v>
      </c>
      <c r="W1499" t="str">
        <f>HYPERLINK("Gene44-zp_tree_all.dnd", "Gene44-tree")</f>
        <v>Gene44-tree</v>
      </c>
      <c r="X1499">
        <v>48</v>
      </c>
      <c r="Y1499">
        <v>0</v>
      </c>
      <c r="Z1499">
        <v>5</v>
      </c>
      <c r="AA1499">
        <v>0</v>
      </c>
      <c r="AB1499">
        <v>0</v>
      </c>
      <c r="AC1499" t="s">
        <v>385</v>
      </c>
      <c r="AD1499" t="s">
        <v>62</v>
      </c>
      <c r="AE1499" t="s">
        <v>62</v>
      </c>
      <c r="AF1499" t="s">
        <v>62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3</v>
      </c>
      <c r="AV1499">
        <v>1</v>
      </c>
      <c r="AW1499">
        <v>4</v>
      </c>
      <c r="AX1499">
        <v>0</v>
      </c>
      <c r="AY1499">
        <v>1</v>
      </c>
      <c r="AZ1499">
        <v>0</v>
      </c>
      <c r="BA1499" t="s">
        <v>193</v>
      </c>
      <c r="BB1499" t="s">
        <v>193</v>
      </c>
      <c r="BC1499">
        <v>0</v>
      </c>
      <c r="BD1499" t="s">
        <v>65</v>
      </c>
      <c r="BE1499">
        <v>5</v>
      </c>
      <c r="BF1499">
        <v>0</v>
      </c>
      <c r="BG1499" t="s">
        <v>386</v>
      </c>
      <c r="BH1499" t="s">
        <v>387</v>
      </c>
      <c r="BI1499" t="s">
        <v>193</v>
      </c>
      <c r="BJ1499">
        <v>0</v>
      </c>
      <c r="BK1499">
        <v>1</v>
      </c>
      <c r="BL1499" t="s">
        <v>69</v>
      </c>
      <c r="BM1499">
        <v>-1.821</v>
      </c>
      <c r="BN1499">
        <v>-1.78</v>
      </c>
    </row>
    <row r="1500" spans="2:66">
      <c r="B1500">
        <v>2638</v>
      </c>
      <c r="C1500">
        <v>354</v>
      </c>
      <c r="D1500">
        <v>0</v>
      </c>
      <c r="E1500">
        <v>2</v>
      </c>
      <c r="F1500">
        <v>2</v>
      </c>
      <c r="J1500">
        <v>0</v>
      </c>
      <c r="K1500">
        <v>0</v>
      </c>
      <c r="L1500">
        <v>0</v>
      </c>
      <c r="M1500" t="s">
        <v>25022</v>
      </c>
      <c r="N1500">
        <v>45</v>
      </c>
      <c r="O1500" t="s">
        <v>388</v>
      </c>
      <c r="P1500" t="s">
        <v>57</v>
      </c>
      <c r="Q1500">
        <v>53183</v>
      </c>
      <c r="R1500">
        <v>53365</v>
      </c>
      <c r="S1500" t="s">
        <v>389</v>
      </c>
      <c r="T1500">
        <v>61</v>
      </c>
      <c r="U1500" t="s">
        <v>59</v>
      </c>
      <c r="V1500">
        <v>49</v>
      </c>
      <c r="W1500" t="str">
        <f>HYPERLINK("Gene45-zp_tree_all.dnd", "Gene45-tree")</f>
        <v>Gene45-tree</v>
      </c>
      <c r="X1500">
        <v>11</v>
      </c>
      <c r="Y1500">
        <v>0</v>
      </c>
      <c r="Z1500">
        <v>11</v>
      </c>
      <c r="AA1500">
        <v>0</v>
      </c>
      <c r="AB1500">
        <v>0</v>
      </c>
      <c r="AC1500" t="s">
        <v>73</v>
      </c>
      <c r="AD1500" t="s">
        <v>62</v>
      </c>
      <c r="AE1500" t="s">
        <v>62</v>
      </c>
      <c r="AF1500" t="s">
        <v>62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6</v>
      </c>
      <c r="AV1500">
        <v>6</v>
      </c>
      <c r="AW1500">
        <v>10</v>
      </c>
      <c r="AX1500">
        <v>0</v>
      </c>
      <c r="AY1500">
        <v>7</v>
      </c>
      <c r="AZ1500">
        <v>0</v>
      </c>
      <c r="BA1500" t="s">
        <v>193</v>
      </c>
      <c r="BB1500" t="s">
        <v>193</v>
      </c>
      <c r="BC1500">
        <v>0</v>
      </c>
      <c r="BD1500" t="s">
        <v>65</v>
      </c>
      <c r="BE1500">
        <v>17</v>
      </c>
      <c r="BF1500">
        <v>0</v>
      </c>
      <c r="BG1500" t="s">
        <v>390</v>
      </c>
      <c r="BH1500" t="s">
        <v>391</v>
      </c>
      <c r="BI1500" t="s">
        <v>193</v>
      </c>
      <c r="BJ1500">
        <v>0</v>
      </c>
      <c r="BK1500">
        <v>1</v>
      </c>
      <c r="BL1500" t="s">
        <v>69</v>
      </c>
      <c r="BM1500">
        <v>0.53100000000000003</v>
      </c>
      <c r="BN1500">
        <v>-1.2E-2</v>
      </c>
    </row>
    <row r="1501" spans="2:66">
      <c r="B1501">
        <v>2641</v>
      </c>
      <c r="C1501">
        <v>187</v>
      </c>
      <c r="D1501">
        <v>0</v>
      </c>
      <c r="E1501">
        <v>2</v>
      </c>
      <c r="F1501">
        <v>0</v>
      </c>
      <c r="J1501">
        <v>0</v>
      </c>
      <c r="K1501">
        <v>0</v>
      </c>
      <c r="L1501">
        <v>0</v>
      </c>
      <c r="M1501" t="s">
        <v>25022</v>
      </c>
      <c r="N1501">
        <v>46</v>
      </c>
      <c r="O1501" t="s">
        <v>392</v>
      </c>
      <c r="P1501" t="s">
        <v>57</v>
      </c>
      <c r="Q1501">
        <v>53516</v>
      </c>
      <c r="R1501">
        <v>54382</v>
      </c>
      <c r="S1501" t="s">
        <v>393</v>
      </c>
      <c r="T1501">
        <v>289</v>
      </c>
      <c r="U1501" t="s">
        <v>394</v>
      </c>
      <c r="V1501">
        <v>48</v>
      </c>
      <c r="W1501" t="str">
        <f>HYPERLINK("Gene46-zp_tree_all.dnd", "Gene46-tree")</f>
        <v>Gene46-tree</v>
      </c>
      <c r="X1501">
        <v>16</v>
      </c>
      <c r="Y1501">
        <v>1</v>
      </c>
      <c r="Z1501">
        <v>16</v>
      </c>
      <c r="AA1501">
        <v>1</v>
      </c>
      <c r="AB1501">
        <v>5.8819999999999997E-2</v>
      </c>
      <c r="AC1501" t="s">
        <v>60</v>
      </c>
      <c r="AD1501" t="s">
        <v>175</v>
      </c>
      <c r="AE1501" t="s">
        <v>62</v>
      </c>
      <c r="AF1501" t="s">
        <v>62</v>
      </c>
      <c r="AG1501">
        <v>0</v>
      </c>
      <c r="AH1501">
        <v>0</v>
      </c>
      <c r="AI1501">
        <v>6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12</v>
      </c>
      <c r="AV1501">
        <v>12</v>
      </c>
      <c r="AW1501">
        <v>45</v>
      </c>
      <c r="AX1501">
        <v>1</v>
      </c>
      <c r="AY1501">
        <v>47</v>
      </c>
      <c r="AZ1501">
        <v>6</v>
      </c>
      <c r="BA1501" t="s">
        <v>395</v>
      </c>
      <c r="BB1501" t="s">
        <v>396</v>
      </c>
      <c r="BC1501">
        <v>0.35499999999999998</v>
      </c>
      <c r="BD1501" t="s">
        <v>65</v>
      </c>
      <c r="BE1501">
        <v>92</v>
      </c>
      <c r="BF1501">
        <v>7</v>
      </c>
      <c r="BG1501" t="s">
        <v>397</v>
      </c>
      <c r="BH1501" t="s">
        <v>398</v>
      </c>
      <c r="BI1501" t="s">
        <v>399</v>
      </c>
      <c r="BJ1501">
        <v>3.2530000000000003E-2</v>
      </c>
      <c r="BK1501">
        <v>1</v>
      </c>
      <c r="BL1501" t="s">
        <v>69</v>
      </c>
      <c r="BM1501">
        <v>-1.4359999999999999</v>
      </c>
      <c r="BN1501">
        <v>-1.5469999999999999</v>
      </c>
    </row>
    <row r="1502" spans="2:66">
      <c r="B1502">
        <v>2642</v>
      </c>
      <c r="C1502">
        <v>13</v>
      </c>
      <c r="D1502">
        <v>0</v>
      </c>
      <c r="E1502">
        <v>6</v>
      </c>
      <c r="F1502">
        <v>2</v>
      </c>
      <c r="J1502">
        <v>0</v>
      </c>
      <c r="K1502">
        <v>0</v>
      </c>
      <c r="L1502">
        <v>0</v>
      </c>
      <c r="M1502" t="s">
        <v>25022</v>
      </c>
      <c r="N1502">
        <v>47</v>
      </c>
      <c r="O1502" t="s">
        <v>400</v>
      </c>
      <c r="P1502" t="s">
        <v>57</v>
      </c>
      <c r="Q1502">
        <v>54441</v>
      </c>
      <c r="R1502">
        <v>55295</v>
      </c>
      <c r="S1502" t="s">
        <v>401</v>
      </c>
      <c r="T1502">
        <v>285</v>
      </c>
      <c r="U1502" t="s">
        <v>59</v>
      </c>
      <c r="V1502">
        <v>49</v>
      </c>
      <c r="W1502" t="str">
        <f>HYPERLINK("Gene47-zp_tree_all.dnd", "Gene47-tree")</f>
        <v>Gene47-tree</v>
      </c>
      <c r="X1502">
        <v>16</v>
      </c>
      <c r="Y1502">
        <v>1</v>
      </c>
      <c r="Z1502">
        <v>16</v>
      </c>
      <c r="AA1502">
        <v>1</v>
      </c>
      <c r="AB1502">
        <v>5.8819999999999997E-2</v>
      </c>
      <c r="AC1502" t="s">
        <v>60</v>
      </c>
      <c r="AD1502" t="s">
        <v>175</v>
      </c>
      <c r="AE1502" t="s">
        <v>62</v>
      </c>
      <c r="AF1502" t="s">
        <v>62</v>
      </c>
      <c r="AG1502">
        <v>0</v>
      </c>
      <c r="AH1502">
        <v>0</v>
      </c>
      <c r="AI1502">
        <v>3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12</v>
      </c>
      <c r="AV1502">
        <v>10</v>
      </c>
      <c r="AW1502">
        <v>26</v>
      </c>
      <c r="AX1502">
        <v>1</v>
      </c>
      <c r="AY1502">
        <v>37</v>
      </c>
      <c r="AZ1502">
        <v>2</v>
      </c>
      <c r="BA1502" t="s">
        <v>402</v>
      </c>
      <c r="BB1502" t="s">
        <v>403</v>
      </c>
      <c r="BC1502">
        <v>0.09</v>
      </c>
      <c r="BD1502" t="s">
        <v>65</v>
      </c>
      <c r="BE1502">
        <v>63</v>
      </c>
      <c r="BF1502">
        <v>3</v>
      </c>
      <c r="BG1502" t="s">
        <v>404</v>
      </c>
      <c r="BH1502" t="s">
        <v>405</v>
      </c>
      <c r="BI1502" t="s">
        <v>406</v>
      </c>
      <c r="BJ1502">
        <v>1.468E-2</v>
      </c>
      <c r="BK1502">
        <v>1</v>
      </c>
      <c r="BL1502" t="s">
        <v>69</v>
      </c>
      <c r="BM1502">
        <v>-1.196</v>
      </c>
      <c r="BN1502">
        <v>-0.52</v>
      </c>
    </row>
    <row r="1503" spans="2:66">
      <c r="B1503">
        <v>2645</v>
      </c>
      <c r="C1503">
        <v>35</v>
      </c>
      <c r="D1503">
        <v>0</v>
      </c>
      <c r="E1503">
        <v>2</v>
      </c>
      <c r="F1503">
        <v>0</v>
      </c>
      <c r="J1503">
        <v>0</v>
      </c>
      <c r="K1503">
        <v>0</v>
      </c>
      <c r="L1503">
        <v>0</v>
      </c>
      <c r="M1503" t="s">
        <v>25022</v>
      </c>
      <c r="N1503">
        <v>48</v>
      </c>
      <c r="O1503" t="s">
        <v>407</v>
      </c>
      <c r="P1503" t="s">
        <v>57</v>
      </c>
      <c r="Q1503">
        <v>55295</v>
      </c>
      <c r="R1503">
        <v>55669</v>
      </c>
      <c r="S1503" t="s">
        <v>408</v>
      </c>
      <c r="T1503">
        <v>125</v>
      </c>
      <c r="U1503" t="s">
        <v>409</v>
      </c>
      <c r="V1503">
        <v>45</v>
      </c>
      <c r="W1503" t="str">
        <f>HYPERLINK("Gene48-zp_tree_all.dnd", "Gene48-tree")</f>
        <v>Gene48-tree</v>
      </c>
      <c r="X1503">
        <v>10</v>
      </c>
      <c r="Y1503">
        <v>3</v>
      </c>
      <c r="Z1503">
        <v>10</v>
      </c>
      <c r="AA1503">
        <v>3</v>
      </c>
      <c r="AB1503">
        <v>0.23077</v>
      </c>
      <c r="AC1503" t="s">
        <v>117</v>
      </c>
      <c r="AD1503" t="s">
        <v>324</v>
      </c>
      <c r="AE1503" t="s">
        <v>62</v>
      </c>
      <c r="AF1503" t="s">
        <v>62</v>
      </c>
      <c r="AG1503">
        <v>0</v>
      </c>
      <c r="AH1503">
        <v>0</v>
      </c>
      <c r="AI1503">
        <v>3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3</v>
      </c>
      <c r="AT1503">
        <v>0</v>
      </c>
      <c r="AU1503">
        <v>11</v>
      </c>
      <c r="AV1503">
        <v>3</v>
      </c>
      <c r="AW1503">
        <v>30</v>
      </c>
      <c r="AX1503">
        <v>3</v>
      </c>
      <c r="AY1503">
        <v>4</v>
      </c>
      <c r="AZ1503">
        <v>0</v>
      </c>
      <c r="BA1503" t="s">
        <v>410</v>
      </c>
      <c r="BB1503" t="s">
        <v>193</v>
      </c>
      <c r="BC1503">
        <v>0.64400000000000002</v>
      </c>
      <c r="BD1503" t="s">
        <v>65</v>
      </c>
      <c r="BE1503">
        <v>34</v>
      </c>
      <c r="BF1503">
        <v>3</v>
      </c>
      <c r="BG1503" t="s">
        <v>411</v>
      </c>
      <c r="BH1503" t="s">
        <v>412</v>
      </c>
      <c r="BI1503" t="s">
        <v>413</v>
      </c>
      <c r="BJ1503">
        <v>2.018E-2</v>
      </c>
      <c r="BK1503">
        <v>1</v>
      </c>
      <c r="BL1503" t="s">
        <v>69</v>
      </c>
      <c r="BM1503">
        <v>-1.7789999999999999</v>
      </c>
      <c r="BN1503">
        <v>-4.2649999999999997</v>
      </c>
    </row>
    <row r="1504" spans="2:66">
      <c r="B1504">
        <v>2647</v>
      </c>
      <c r="C1504">
        <v>224</v>
      </c>
      <c r="D1504">
        <v>0</v>
      </c>
      <c r="E1504">
        <v>2</v>
      </c>
      <c r="F1504">
        <v>1</v>
      </c>
      <c r="J1504">
        <v>0</v>
      </c>
      <c r="K1504">
        <v>0</v>
      </c>
      <c r="L1504">
        <v>0</v>
      </c>
      <c r="M1504" t="s">
        <v>25022</v>
      </c>
      <c r="N1504">
        <v>49</v>
      </c>
      <c r="O1504" t="s">
        <v>414</v>
      </c>
      <c r="P1504" t="s">
        <v>57</v>
      </c>
      <c r="Q1504">
        <v>55866</v>
      </c>
      <c r="R1504">
        <v>56156</v>
      </c>
      <c r="S1504" t="s">
        <v>415</v>
      </c>
      <c r="T1504">
        <v>97</v>
      </c>
      <c r="U1504" t="s">
        <v>59</v>
      </c>
      <c r="V1504">
        <v>49</v>
      </c>
      <c r="W1504" t="str">
        <f>HYPERLINK("Gene49-zp_tree_all.dnd", "Gene49-tree")</f>
        <v>Gene49-tree</v>
      </c>
      <c r="X1504">
        <v>4</v>
      </c>
      <c r="Y1504">
        <v>13</v>
      </c>
      <c r="Z1504">
        <v>4</v>
      </c>
      <c r="AA1504">
        <v>2</v>
      </c>
      <c r="AB1504">
        <v>0.33333000000000002</v>
      </c>
      <c r="AC1504" t="s">
        <v>61</v>
      </c>
      <c r="AD1504" t="s">
        <v>416</v>
      </c>
      <c r="AE1504">
        <v>4.8609999999999998</v>
      </c>
      <c r="AF1504" t="s">
        <v>65</v>
      </c>
      <c r="AG1504">
        <v>0</v>
      </c>
      <c r="AH1504">
        <v>0</v>
      </c>
      <c r="AI1504">
        <v>2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3</v>
      </c>
      <c r="AV1504">
        <v>2</v>
      </c>
      <c r="AW1504">
        <v>2</v>
      </c>
      <c r="AX1504">
        <v>1</v>
      </c>
      <c r="AY1504">
        <v>2</v>
      </c>
      <c r="AZ1504">
        <v>1</v>
      </c>
      <c r="BA1504" t="s">
        <v>417</v>
      </c>
      <c r="BB1504" t="s">
        <v>418</v>
      </c>
      <c r="BC1504">
        <v>5.0000000000000001E-3</v>
      </c>
      <c r="BD1504" t="s">
        <v>65</v>
      </c>
      <c r="BE1504">
        <v>4</v>
      </c>
      <c r="BF1504">
        <v>2</v>
      </c>
      <c r="BG1504" t="s">
        <v>419</v>
      </c>
      <c r="BH1504" t="s">
        <v>420</v>
      </c>
      <c r="BI1504" t="s">
        <v>421</v>
      </c>
      <c r="BJ1504">
        <v>0.1502</v>
      </c>
      <c r="BK1504">
        <v>0.95299999999999996</v>
      </c>
      <c r="BL1504" t="s">
        <v>69</v>
      </c>
      <c r="BM1504">
        <v>-1.048</v>
      </c>
      <c r="BN1504">
        <v>-0.53600000000000003</v>
      </c>
    </row>
    <row r="1505" spans="2:66">
      <c r="B1505">
        <v>2651</v>
      </c>
      <c r="C1505">
        <v>87</v>
      </c>
      <c r="D1505">
        <v>0</v>
      </c>
      <c r="E1505">
        <v>0</v>
      </c>
      <c r="F1505">
        <v>2</v>
      </c>
      <c r="J1505">
        <v>0</v>
      </c>
      <c r="K1505">
        <v>2</v>
      </c>
      <c r="L1505">
        <v>4</v>
      </c>
      <c r="M1505" t="s">
        <v>25022</v>
      </c>
      <c r="N1505">
        <v>50</v>
      </c>
      <c r="O1505" t="s">
        <v>422</v>
      </c>
      <c r="P1505" t="s">
        <v>57</v>
      </c>
      <c r="Q1505">
        <v>56352</v>
      </c>
      <c r="R1505">
        <v>57719</v>
      </c>
      <c r="S1505" t="s">
        <v>423</v>
      </c>
      <c r="T1505">
        <v>456</v>
      </c>
      <c r="U1505" t="s">
        <v>59</v>
      </c>
      <c r="V1505">
        <v>49</v>
      </c>
      <c r="W1505" t="str">
        <f>HYPERLINK("Gene50-zp_tree_all.dnd", "Gene50-tree")</f>
        <v>Gene50-tree</v>
      </c>
      <c r="X1505">
        <v>12</v>
      </c>
      <c r="Y1505">
        <v>9</v>
      </c>
      <c r="Z1505">
        <v>12</v>
      </c>
      <c r="AA1505">
        <v>9</v>
      </c>
      <c r="AB1505">
        <v>0.42857000000000001</v>
      </c>
      <c r="AC1505" t="s">
        <v>109</v>
      </c>
      <c r="AD1505" t="s">
        <v>135</v>
      </c>
      <c r="AE1505" t="s">
        <v>62</v>
      </c>
      <c r="AF1505" t="s">
        <v>62</v>
      </c>
      <c r="AG1505">
        <v>3</v>
      </c>
      <c r="AH1505">
        <v>6</v>
      </c>
      <c r="AI1505">
        <v>11</v>
      </c>
      <c r="AJ1505">
        <v>0.35293999999999998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10</v>
      </c>
      <c r="AT1505">
        <v>0</v>
      </c>
      <c r="AU1505">
        <v>17</v>
      </c>
      <c r="AV1505">
        <v>14</v>
      </c>
      <c r="AW1505">
        <v>40</v>
      </c>
      <c r="AX1505">
        <v>10</v>
      </c>
      <c r="AY1505">
        <v>64</v>
      </c>
      <c r="AZ1505">
        <v>7</v>
      </c>
      <c r="BA1505" t="s">
        <v>424</v>
      </c>
      <c r="BB1505" t="s">
        <v>425</v>
      </c>
      <c r="BC1505">
        <v>0.87</v>
      </c>
      <c r="BD1505" t="s">
        <v>65</v>
      </c>
      <c r="BE1505">
        <v>104</v>
      </c>
      <c r="BF1505">
        <v>17</v>
      </c>
      <c r="BG1505" t="s">
        <v>426</v>
      </c>
      <c r="BH1505" t="s">
        <v>427</v>
      </c>
      <c r="BI1505" t="s">
        <v>428</v>
      </c>
      <c r="BJ1505">
        <v>3.6740000000000002E-2</v>
      </c>
      <c r="BK1505">
        <v>1</v>
      </c>
      <c r="BL1505" t="s">
        <v>69</v>
      </c>
      <c r="BM1505">
        <v>-1.3149999999999999</v>
      </c>
      <c r="BN1505">
        <v>-1.613</v>
      </c>
    </row>
    <row r="1506" spans="2:66">
      <c r="B1506">
        <v>2653</v>
      </c>
      <c r="C1506">
        <v>87</v>
      </c>
      <c r="D1506">
        <v>0</v>
      </c>
      <c r="E1506">
        <v>5</v>
      </c>
      <c r="F1506">
        <v>0</v>
      </c>
      <c r="J1506">
        <v>0</v>
      </c>
      <c r="K1506">
        <v>2</v>
      </c>
      <c r="L1506">
        <v>0</v>
      </c>
      <c r="M1506" t="s">
        <v>25022</v>
      </c>
      <c r="N1506">
        <v>51</v>
      </c>
      <c r="O1506" t="s">
        <v>429</v>
      </c>
      <c r="P1506" t="s">
        <v>57</v>
      </c>
      <c r="Q1506">
        <v>57745</v>
      </c>
      <c r="R1506">
        <v>58695</v>
      </c>
      <c r="S1506" t="s">
        <v>430</v>
      </c>
      <c r="T1506">
        <v>317</v>
      </c>
      <c r="U1506" t="s">
        <v>59</v>
      </c>
      <c r="V1506">
        <v>49</v>
      </c>
      <c r="W1506" t="str">
        <f>HYPERLINK("Gene51-zp_tree_all.dnd", "Gene51-tree")</f>
        <v>Gene51-tree</v>
      </c>
      <c r="X1506">
        <v>11</v>
      </c>
      <c r="Y1506">
        <v>3</v>
      </c>
      <c r="Z1506">
        <v>11</v>
      </c>
      <c r="AA1506">
        <v>3</v>
      </c>
      <c r="AB1506">
        <v>0.21429000000000001</v>
      </c>
      <c r="AC1506" t="s">
        <v>73</v>
      </c>
      <c r="AD1506" t="s">
        <v>324</v>
      </c>
      <c r="AE1506" t="s">
        <v>62</v>
      </c>
      <c r="AF1506" t="s">
        <v>62</v>
      </c>
      <c r="AG1506">
        <v>1</v>
      </c>
      <c r="AH1506">
        <v>2</v>
      </c>
      <c r="AI1506">
        <v>1</v>
      </c>
      <c r="AJ1506">
        <v>0.66666999999999998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</v>
      </c>
      <c r="AQ1506">
        <v>0</v>
      </c>
      <c r="AR1506">
        <v>2</v>
      </c>
      <c r="AS1506">
        <v>1</v>
      </c>
      <c r="AT1506">
        <v>0.66666999999999998</v>
      </c>
      <c r="AU1506">
        <v>10</v>
      </c>
      <c r="AV1506">
        <v>8</v>
      </c>
      <c r="AW1506">
        <v>23</v>
      </c>
      <c r="AX1506">
        <v>3</v>
      </c>
      <c r="AY1506">
        <v>36</v>
      </c>
      <c r="AZ1506">
        <v>0</v>
      </c>
      <c r="BA1506" t="s">
        <v>431</v>
      </c>
      <c r="BB1506" t="s">
        <v>193</v>
      </c>
      <c r="BC1506">
        <v>1.0860000000000001</v>
      </c>
      <c r="BD1506" t="s">
        <v>65</v>
      </c>
      <c r="BE1506">
        <v>59</v>
      </c>
      <c r="BF1506">
        <v>3</v>
      </c>
      <c r="BG1506" t="s">
        <v>432</v>
      </c>
      <c r="BH1506" t="s">
        <v>433</v>
      </c>
      <c r="BI1506" t="s">
        <v>434</v>
      </c>
      <c r="BJ1506">
        <v>7.4999999999999997E-3</v>
      </c>
      <c r="BK1506">
        <v>1</v>
      </c>
      <c r="BL1506" t="s">
        <v>69</v>
      </c>
      <c r="BM1506">
        <v>-1.369</v>
      </c>
      <c r="BN1506">
        <v>-0.224</v>
      </c>
    </row>
    <row r="1507" spans="2:66">
      <c r="B1507">
        <v>2655</v>
      </c>
      <c r="C1507">
        <v>94</v>
      </c>
      <c r="D1507">
        <v>0</v>
      </c>
      <c r="E1507">
        <v>2</v>
      </c>
      <c r="F1507">
        <v>0</v>
      </c>
      <c r="J1507">
        <v>0</v>
      </c>
      <c r="K1507">
        <v>2</v>
      </c>
      <c r="L1507">
        <v>2</v>
      </c>
      <c r="M1507" t="s">
        <v>25022</v>
      </c>
      <c r="N1507">
        <v>52</v>
      </c>
      <c r="O1507" t="s">
        <v>435</v>
      </c>
      <c r="P1507" t="s">
        <v>57</v>
      </c>
      <c r="Q1507">
        <v>58783</v>
      </c>
      <c r="R1507">
        <v>59394</v>
      </c>
      <c r="S1507" t="s">
        <v>436</v>
      </c>
      <c r="T1507">
        <v>204</v>
      </c>
      <c r="U1507" t="s">
        <v>289</v>
      </c>
      <c r="V1507">
        <v>46</v>
      </c>
      <c r="W1507" t="str">
        <f>HYPERLINK("Gene52-zp_tree_all.dnd", "Gene52-tree")</f>
        <v>Gene52-tree</v>
      </c>
      <c r="X1507">
        <v>7</v>
      </c>
      <c r="Y1507">
        <v>7</v>
      </c>
      <c r="Z1507">
        <v>7</v>
      </c>
      <c r="AA1507">
        <v>7</v>
      </c>
      <c r="AB1507">
        <v>0.5</v>
      </c>
      <c r="AC1507" t="s">
        <v>152</v>
      </c>
      <c r="AD1507" t="s">
        <v>152</v>
      </c>
      <c r="AE1507" t="s">
        <v>62</v>
      </c>
      <c r="AF1507" t="s">
        <v>62</v>
      </c>
      <c r="AG1507">
        <v>2</v>
      </c>
      <c r="AH1507">
        <v>4</v>
      </c>
      <c r="AI1507">
        <v>9</v>
      </c>
      <c r="AJ1507">
        <v>0.30769000000000002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2</v>
      </c>
      <c r="AQ1507">
        <v>0</v>
      </c>
      <c r="AR1507">
        <v>2</v>
      </c>
      <c r="AS1507">
        <v>7</v>
      </c>
      <c r="AT1507">
        <v>0.22222</v>
      </c>
      <c r="AU1507">
        <v>11</v>
      </c>
      <c r="AV1507">
        <v>7</v>
      </c>
      <c r="AW1507">
        <v>13</v>
      </c>
      <c r="AX1507">
        <v>8</v>
      </c>
      <c r="AY1507">
        <v>32</v>
      </c>
      <c r="AZ1507">
        <v>5</v>
      </c>
      <c r="BA1507" t="s">
        <v>437</v>
      </c>
      <c r="BB1507" t="s">
        <v>438</v>
      </c>
      <c r="BC1507">
        <v>0.98799999999999999</v>
      </c>
      <c r="BD1507" t="s">
        <v>65</v>
      </c>
      <c r="BE1507">
        <v>45</v>
      </c>
      <c r="BF1507">
        <v>13</v>
      </c>
      <c r="BG1507" t="s">
        <v>439</v>
      </c>
      <c r="BH1507" t="s">
        <v>440</v>
      </c>
      <c r="BI1507" t="s">
        <v>441</v>
      </c>
      <c r="BJ1507">
        <v>6.9889999999999994E-2</v>
      </c>
      <c r="BK1507">
        <v>1</v>
      </c>
      <c r="BL1507" t="s">
        <v>69</v>
      </c>
      <c r="BM1507">
        <v>-1.72</v>
      </c>
      <c r="BN1507">
        <v>-1.2E-2</v>
      </c>
    </row>
    <row r="1508" spans="2:66">
      <c r="B1508">
        <v>2659</v>
      </c>
      <c r="C1508">
        <v>13</v>
      </c>
      <c r="D1508">
        <v>0</v>
      </c>
      <c r="E1508">
        <v>4</v>
      </c>
      <c r="F1508">
        <v>2</v>
      </c>
      <c r="J1508">
        <v>0</v>
      </c>
      <c r="K1508">
        <v>2</v>
      </c>
      <c r="L1508">
        <v>0</v>
      </c>
      <c r="M1508" t="s">
        <v>25022</v>
      </c>
      <c r="N1508">
        <v>53</v>
      </c>
      <c r="O1508" t="s">
        <v>442</v>
      </c>
      <c r="P1508" t="s">
        <v>57</v>
      </c>
      <c r="Q1508">
        <v>59504</v>
      </c>
      <c r="R1508">
        <v>60067</v>
      </c>
      <c r="S1508" t="s">
        <v>443</v>
      </c>
      <c r="T1508">
        <v>188</v>
      </c>
      <c r="U1508" t="s">
        <v>59</v>
      </c>
      <c r="V1508">
        <v>49</v>
      </c>
      <c r="W1508" t="str">
        <f>HYPERLINK("Gene53-zp_tree_all.dnd", "Gene53-tree")</f>
        <v>Gene53-tree</v>
      </c>
      <c r="X1508">
        <v>9</v>
      </c>
      <c r="Y1508">
        <v>6</v>
      </c>
      <c r="Z1508">
        <v>9</v>
      </c>
      <c r="AA1508">
        <v>6</v>
      </c>
      <c r="AB1508">
        <v>0.4</v>
      </c>
      <c r="AC1508" t="s">
        <v>135</v>
      </c>
      <c r="AD1508" t="s">
        <v>90</v>
      </c>
      <c r="AE1508" t="s">
        <v>62</v>
      </c>
      <c r="AF1508" t="s">
        <v>62</v>
      </c>
      <c r="AG1508">
        <v>1</v>
      </c>
      <c r="AH1508">
        <v>2</v>
      </c>
      <c r="AI1508">
        <v>10</v>
      </c>
      <c r="AJ1508">
        <v>0.16667000000000001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8</v>
      </c>
      <c r="AT1508">
        <v>0</v>
      </c>
      <c r="AU1508">
        <v>13</v>
      </c>
      <c r="AV1508">
        <v>6</v>
      </c>
      <c r="AW1508">
        <v>25</v>
      </c>
      <c r="AX1508">
        <v>8</v>
      </c>
      <c r="AY1508">
        <v>32</v>
      </c>
      <c r="AZ1508">
        <v>4</v>
      </c>
      <c r="BA1508" t="s">
        <v>444</v>
      </c>
      <c r="BB1508" t="s">
        <v>445</v>
      </c>
      <c r="BC1508">
        <v>0.74299999999999999</v>
      </c>
      <c r="BD1508" t="s">
        <v>65</v>
      </c>
      <c r="BE1508">
        <v>57</v>
      </c>
      <c r="BF1508">
        <v>12</v>
      </c>
      <c r="BG1508" t="s">
        <v>446</v>
      </c>
      <c r="BH1508" t="s">
        <v>447</v>
      </c>
      <c r="BI1508" t="s">
        <v>448</v>
      </c>
      <c r="BJ1508">
        <v>5.1959999999999999E-2</v>
      </c>
      <c r="BK1508">
        <v>1</v>
      </c>
      <c r="BL1508" t="s">
        <v>69</v>
      </c>
      <c r="BM1508">
        <v>-1.625</v>
      </c>
      <c r="BN1508">
        <v>-0.96599999999999997</v>
      </c>
    </row>
    <row r="1509" spans="2:66">
      <c r="B1509">
        <v>2661</v>
      </c>
      <c r="C1509">
        <v>457</v>
      </c>
      <c r="D1509">
        <v>0</v>
      </c>
      <c r="E1509">
        <v>40</v>
      </c>
      <c r="F1509">
        <v>2</v>
      </c>
      <c r="J1509">
        <v>0</v>
      </c>
      <c r="K1509">
        <v>0</v>
      </c>
      <c r="L1509">
        <v>2</v>
      </c>
      <c r="M1509" t="s">
        <v>25022</v>
      </c>
      <c r="N1509">
        <v>54</v>
      </c>
      <c r="O1509" t="s">
        <v>449</v>
      </c>
      <c r="P1509" t="s">
        <v>57</v>
      </c>
      <c r="Q1509">
        <v>60130</v>
      </c>
      <c r="R1509">
        <v>60357</v>
      </c>
      <c r="S1509" t="s">
        <v>450</v>
      </c>
      <c r="T1509">
        <v>76</v>
      </c>
      <c r="U1509" t="s">
        <v>59</v>
      </c>
      <c r="V1509">
        <v>49</v>
      </c>
      <c r="W1509" t="str">
        <f>HYPERLINK("Gene54-zp_tree_all.dnd", "Gene54-tree")</f>
        <v>Gene54-tree</v>
      </c>
      <c r="X1509">
        <v>5</v>
      </c>
      <c r="Y1509">
        <v>3</v>
      </c>
      <c r="Z1509">
        <v>5</v>
      </c>
      <c r="AA1509">
        <v>3</v>
      </c>
      <c r="AB1509">
        <v>0.375</v>
      </c>
      <c r="AC1509" t="s">
        <v>199</v>
      </c>
      <c r="AD1509" t="s">
        <v>324</v>
      </c>
      <c r="AE1509" t="s">
        <v>62</v>
      </c>
      <c r="AF1509" t="s">
        <v>62</v>
      </c>
      <c r="AG1509">
        <v>1</v>
      </c>
      <c r="AH1509">
        <v>2</v>
      </c>
      <c r="AI1509">
        <v>4</v>
      </c>
      <c r="AJ1509">
        <v>0.33333000000000002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3</v>
      </c>
      <c r="AT1509">
        <v>0</v>
      </c>
      <c r="AU1509">
        <v>6</v>
      </c>
      <c r="AV1509">
        <v>4</v>
      </c>
      <c r="AW1509">
        <v>6</v>
      </c>
      <c r="AX1509">
        <v>3</v>
      </c>
      <c r="AY1509">
        <v>6</v>
      </c>
      <c r="AZ1509">
        <v>3</v>
      </c>
      <c r="BA1509" t="s">
        <v>451</v>
      </c>
      <c r="BB1509" t="s">
        <v>452</v>
      </c>
      <c r="BC1509">
        <v>5.0000000000000001E-3</v>
      </c>
      <c r="BD1509" t="s">
        <v>65</v>
      </c>
      <c r="BE1509">
        <v>12</v>
      </c>
      <c r="BF1509">
        <v>6</v>
      </c>
      <c r="BG1509" t="s">
        <v>453</v>
      </c>
      <c r="BH1509" t="s">
        <v>454</v>
      </c>
      <c r="BI1509" t="s">
        <v>455</v>
      </c>
      <c r="BJ1509">
        <v>0.11128</v>
      </c>
      <c r="BK1509">
        <v>1</v>
      </c>
      <c r="BL1509" t="s">
        <v>69</v>
      </c>
      <c r="BM1509">
        <v>-1.3149999999999999</v>
      </c>
      <c r="BN1509">
        <v>-0.58299999999999996</v>
      </c>
    </row>
    <row r="1510" spans="2:66">
      <c r="B1510">
        <v>2663</v>
      </c>
      <c r="C1510">
        <v>44</v>
      </c>
      <c r="D1510">
        <v>0</v>
      </c>
      <c r="E1510">
        <v>10</v>
      </c>
      <c r="F1510">
        <v>1</v>
      </c>
      <c r="J1510">
        <v>0</v>
      </c>
      <c r="K1510">
        <v>11</v>
      </c>
      <c r="L1510">
        <v>0</v>
      </c>
      <c r="M1510" t="s">
        <v>25022</v>
      </c>
      <c r="N1510">
        <v>55</v>
      </c>
      <c r="O1510" t="s">
        <v>456</v>
      </c>
      <c r="P1510" t="s">
        <v>57</v>
      </c>
      <c r="Q1510">
        <v>60430</v>
      </c>
      <c r="R1510">
        <v>63960</v>
      </c>
      <c r="S1510" t="s">
        <v>457</v>
      </c>
      <c r="T1510">
        <v>1177</v>
      </c>
      <c r="U1510" t="s">
        <v>108</v>
      </c>
      <c r="V1510">
        <v>44</v>
      </c>
      <c r="W1510" t="str">
        <f>HYPERLINK("Gene55-zp_tree_all.dnd", "Gene55-tree")</f>
        <v>Gene55-tree</v>
      </c>
      <c r="X1510">
        <v>8</v>
      </c>
      <c r="Y1510">
        <v>9</v>
      </c>
      <c r="Z1510">
        <v>8</v>
      </c>
      <c r="AA1510">
        <v>9</v>
      </c>
      <c r="AB1510">
        <v>0.52941000000000005</v>
      </c>
      <c r="AC1510" t="s">
        <v>136</v>
      </c>
      <c r="AD1510" t="s">
        <v>135</v>
      </c>
      <c r="AE1510" t="s">
        <v>62</v>
      </c>
      <c r="AF1510" t="s">
        <v>62</v>
      </c>
      <c r="AG1510">
        <v>4</v>
      </c>
      <c r="AH1510">
        <v>11</v>
      </c>
      <c r="AI1510">
        <v>9</v>
      </c>
      <c r="AJ1510">
        <v>0.55000000000000004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3</v>
      </c>
      <c r="AQ1510">
        <v>0</v>
      </c>
      <c r="AR1510">
        <v>3</v>
      </c>
      <c r="AS1510">
        <v>10</v>
      </c>
      <c r="AT1510">
        <v>0.23077</v>
      </c>
      <c r="AU1510">
        <v>17</v>
      </c>
      <c r="AV1510">
        <v>14</v>
      </c>
      <c r="AW1510">
        <v>122</v>
      </c>
      <c r="AX1510">
        <v>14</v>
      </c>
      <c r="AY1510">
        <v>72</v>
      </c>
      <c r="AZ1510">
        <v>7</v>
      </c>
      <c r="BA1510" t="s">
        <v>458</v>
      </c>
      <c r="BB1510" t="s">
        <v>459</v>
      </c>
      <c r="BC1510">
        <v>0.21299999999999999</v>
      </c>
      <c r="BD1510" t="s">
        <v>65</v>
      </c>
      <c r="BE1510">
        <v>194</v>
      </c>
      <c r="BF1510">
        <v>21</v>
      </c>
      <c r="BG1510" t="s">
        <v>460</v>
      </c>
      <c r="BH1510" t="s">
        <v>461</v>
      </c>
      <c r="BI1510" t="s">
        <v>462</v>
      </c>
      <c r="BJ1510">
        <v>2.7640000000000001E-2</v>
      </c>
      <c r="BK1510">
        <v>1</v>
      </c>
      <c r="BL1510" t="s">
        <v>69</v>
      </c>
      <c r="BM1510">
        <v>-0.65300000000000002</v>
      </c>
      <c r="BN1510">
        <v>-0.98799999999999999</v>
      </c>
    </row>
    <row r="1511" spans="2:66">
      <c r="B1511">
        <v>2664</v>
      </c>
      <c r="C1511">
        <v>30</v>
      </c>
      <c r="D1511">
        <v>0</v>
      </c>
      <c r="E1511">
        <v>8</v>
      </c>
      <c r="F1511">
        <v>2</v>
      </c>
      <c r="J1511">
        <v>0</v>
      </c>
      <c r="K1511">
        <v>0</v>
      </c>
      <c r="L1511">
        <v>0</v>
      </c>
      <c r="M1511" t="s">
        <v>25022</v>
      </c>
      <c r="N1511">
        <v>56</v>
      </c>
      <c r="O1511" t="s">
        <v>463</v>
      </c>
      <c r="P1511" t="s">
        <v>57</v>
      </c>
      <c r="Q1511">
        <v>64099</v>
      </c>
      <c r="R1511">
        <v>64632</v>
      </c>
      <c r="S1511" t="s">
        <v>464</v>
      </c>
      <c r="T1511">
        <v>178</v>
      </c>
      <c r="U1511" t="s">
        <v>465</v>
      </c>
      <c r="V1511">
        <v>46</v>
      </c>
      <c r="W1511" t="str">
        <f>HYPERLINK("Gene56-zp_tree_all.dnd", "Gene56-tree")</f>
        <v>Gene56-tree</v>
      </c>
      <c r="X1511">
        <v>33</v>
      </c>
      <c r="Y1511">
        <v>0</v>
      </c>
      <c r="Z1511">
        <v>11</v>
      </c>
      <c r="AA1511">
        <v>0</v>
      </c>
      <c r="AB1511">
        <v>0</v>
      </c>
      <c r="AC1511" t="s">
        <v>466</v>
      </c>
      <c r="AD1511" t="s">
        <v>62</v>
      </c>
      <c r="AE1511" t="s">
        <v>62</v>
      </c>
      <c r="AF1511" t="s">
        <v>62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6</v>
      </c>
      <c r="AV1511">
        <v>5</v>
      </c>
      <c r="AW1511">
        <v>32</v>
      </c>
      <c r="AX1511">
        <v>0</v>
      </c>
      <c r="AY1511">
        <v>6</v>
      </c>
      <c r="AZ1511">
        <v>0</v>
      </c>
      <c r="BA1511" t="s">
        <v>193</v>
      </c>
      <c r="BB1511" t="s">
        <v>193</v>
      </c>
      <c r="BC1511">
        <v>0</v>
      </c>
      <c r="BD1511" t="s">
        <v>65</v>
      </c>
      <c r="BE1511">
        <v>38</v>
      </c>
      <c r="BF1511">
        <v>0</v>
      </c>
      <c r="BG1511" t="s">
        <v>467</v>
      </c>
      <c r="BH1511" t="s">
        <v>468</v>
      </c>
      <c r="BI1511" t="s">
        <v>193</v>
      </c>
      <c r="BJ1511">
        <v>0</v>
      </c>
      <c r="BK1511">
        <v>1</v>
      </c>
      <c r="BL1511" t="s">
        <v>69</v>
      </c>
      <c r="BM1511">
        <v>-1.3180000000000001</v>
      </c>
      <c r="BN1511">
        <v>1.123</v>
      </c>
    </row>
    <row r="1512" spans="2:66">
      <c r="B1512">
        <v>2665</v>
      </c>
      <c r="C1512">
        <v>24</v>
      </c>
      <c r="D1512">
        <v>0</v>
      </c>
      <c r="E1512">
        <v>4</v>
      </c>
      <c r="F1512">
        <v>4</v>
      </c>
      <c r="J1512">
        <v>4</v>
      </c>
      <c r="K1512">
        <v>32</v>
      </c>
      <c r="L1512">
        <v>3</v>
      </c>
      <c r="M1512" t="s">
        <v>25022</v>
      </c>
      <c r="N1512">
        <v>57</v>
      </c>
      <c r="O1512" t="s">
        <v>469</v>
      </c>
      <c r="P1512" t="s">
        <v>57</v>
      </c>
      <c r="Q1512">
        <v>64817</v>
      </c>
      <c r="R1512">
        <v>66412</v>
      </c>
      <c r="S1512" t="s">
        <v>470</v>
      </c>
      <c r="T1512">
        <v>532</v>
      </c>
      <c r="U1512" t="s">
        <v>108</v>
      </c>
      <c r="V1512">
        <v>44</v>
      </c>
      <c r="W1512" t="str">
        <f>HYPERLINK("Gene57-zp_tree_all.dnd", "Gene57-tree")</f>
        <v>Gene57-tree</v>
      </c>
      <c r="X1512">
        <v>0</v>
      </c>
      <c r="Y1512">
        <v>16</v>
      </c>
      <c r="Z1512">
        <v>0</v>
      </c>
      <c r="AA1512">
        <v>16</v>
      </c>
      <c r="AB1512">
        <v>1</v>
      </c>
      <c r="AC1512" t="s">
        <v>62</v>
      </c>
      <c r="AD1512" t="s">
        <v>60</v>
      </c>
      <c r="AE1512" t="s">
        <v>62</v>
      </c>
      <c r="AF1512" t="s">
        <v>62</v>
      </c>
      <c r="AG1512">
        <v>13</v>
      </c>
      <c r="AH1512">
        <v>39</v>
      </c>
      <c r="AI1512">
        <v>20</v>
      </c>
      <c r="AJ1512">
        <v>0.66102000000000005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8</v>
      </c>
      <c r="AQ1512">
        <v>6</v>
      </c>
      <c r="AR1512">
        <v>14</v>
      </c>
      <c r="AS1512">
        <v>25</v>
      </c>
      <c r="AT1512">
        <v>0.35897000000000001</v>
      </c>
      <c r="AU1512">
        <v>15</v>
      </c>
      <c r="AV1512">
        <v>13</v>
      </c>
      <c r="AW1512">
        <v>94</v>
      </c>
      <c r="AX1512">
        <v>38</v>
      </c>
      <c r="AY1512">
        <v>54</v>
      </c>
      <c r="AZ1512">
        <v>21</v>
      </c>
      <c r="BA1512" t="s">
        <v>471</v>
      </c>
      <c r="BB1512" t="s">
        <v>472</v>
      </c>
      <c r="BC1512">
        <v>7.8E-2</v>
      </c>
      <c r="BD1512" t="s">
        <v>65</v>
      </c>
      <c r="BE1512">
        <v>148</v>
      </c>
      <c r="BF1512">
        <v>59</v>
      </c>
      <c r="BG1512" t="s">
        <v>473</v>
      </c>
      <c r="BH1512" t="s">
        <v>474</v>
      </c>
      <c r="BI1512" t="s">
        <v>475</v>
      </c>
      <c r="BJ1512">
        <v>0.11794</v>
      </c>
      <c r="BK1512">
        <v>1</v>
      </c>
      <c r="BL1512" t="s">
        <v>69</v>
      </c>
      <c r="BM1512">
        <v>-0.57799999999999996</v>
      </c>
      <c r="BN1512">
        <v>-1.218</v>
      </c>
    </row>
    <row r="1513" spans="2:66">
      <c r="B1513">
        <v>2666</v>
      </c>
      <c r="C1513">
        <v>114</v>
      </c>
      <c r="D1513">
        <v>0</v>
      </c>
      <c r="E1513">
        <v>2</v>
      </c>
      <c r="F1513">
        <v>0</v>
      </c>
      <c r="J1513">
        <v>0</v>
      </c>
      <c r="K1513">
        <v>6</v>
      </c>
      <c r="L1513">
        <v>2</v>
      </c>
      <c r="M1513" t="s">
        <v>25022</v>
      </c>
      <c r="N1513">
        <v>58</v>
      </c>
      <c r="O1513" t="s">
        <v>476</v>
      </c>
      <c r="P1513" t="s">
        <v>57</v>
      </c>
      <c r="Q1513">
        <v>66405</v>
      </c>
      <c r="R1513">
        <v>67871</v>
      </c>
      <c r="S1513" t="s">
        <v>477</v>
      </c>
      <c r="T1513">
        <v>489</v>
      </c>
      <c r="U1513" t="s">
        <v>108</v>
      </c>
      <c r="V1513">
        <v>44</v>
      </c>
      <c r="W1513" t="str">
        <f>HYPERLINK("Gene58-zp_tree_all.dnd", "Gene58-tree")</f>
        <v>Gene58-tree</v>
      </c>
      <c r="X1513">
        <v>8</v>
      </c>
      <c r="Y1513">
        <v>7</v>
      </c>
      <c r="Z1513">
        <v>8</v>
      </c>
      <c r="AA1513">
        <v>7</v>
      </c>
      <c r="AB1513">
        <v>0.46666999999999997</v>
      </c>
      <c r="AC1513" t="s">
        <v>136</v>
      </c>
      <c r="AD1513" t="s">
        <v>152</v>
      </c>
      <c r="AE1513" t="s">
        <v>62</v>
      </c>
      <c r="AF1513" t="s">
        <v>62</v>
      </c>
      <c r="AG1513">
        <v>3</v>
      </c>
      <c r="AH1513">
        <v>8</v>
      </c>
      <c r="AI1513">
        <v>18</v>
      </c>
      <c r="AJ1513">
        <v>0.30769000000000002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2</v>
      </c>
      <c r="AQ1513">
        <v>0</v>
      </c>
      <c r="AR1513">
        <v>2</v>
      </c>
      <c r="AS1513">
        <v>12</v>
      </c>
      <c r="AT1513">
        <v>0.14285999999999999</v>
      </c>
      <c r="AU1513">
        <v>13</v>
      </c>
      <c r="AV1513">
        <v>11</v>
      </c>
      <c r="AW1513">
        <v>52</v>
      </c>
      <c r="AX1513">
        <v>15</v>
      </c>
      <c r="AY1513">
        <v>39</v>
      </c>
      <c r="AZ1513">
        <v>12</v>
      </c>
      <c r="BA1513" t="s">
        <v>478</v>
      </c>
      <c r="BB1513" t="s">
        <v>479</v>
      </c>
      <c r="BC1513">
        <v>7.3999999999999996E-2</v>
      </c>
      <c r="BD1513" t="s">
        <v>65</v>
      </c>
      <c r="BE1513">
        <v>91</v>
      </c>
      <c r="BF1513">
        <v>27</v>
      </c>
      <c r="BG1513" t="s">
        <v>480</v>
      </c>
      <c r="BH1513" t="s">
        <v>481</v>
      </c>
      <c r="BI1513" t="s">
        <v>482</v>
      </c>
      <c r="BJ1513">
        <v>8.6800000000000002E-2</v>
      </c>
      <c r="BK1513">
        <v>1</v>
      </c>
      <c r="BL1513" t="s">
        <v>69</v>
      </c>
      <c r="BM1513">
        <v>-1.0149999999999999</v>
      </c>
      <c r="BN1513">
        <v>-1.7769999999999999</v>
      </c>
    </row>
    <row r="1514" spans="2:66">
      <c r="B1514">
        <v>2667</v>
      </c>
      <c r="C1514">
        <v>97</v>
      </c>
      <c r="D1514">
        <v>0</v>
      </c>
      <c r="E1514">
        <v>0</v>
      </c>
      <c r="F1514">
        <v>2</v>
      </c>
      <c r="J1514">
        <v>0</v>
      </c>
      <c r="K1514">
        <v>0</v>
      </c>
      <c r="L1514">
        <v>0</v>
      </c>
      <c r="M1514" t="s">
        <v>25022</v>
      </c>
      <c r="N1514">
        <v>59</v>
      </c>
      <c r="O1514" t="s">
        <v>483</v>
      </c>
      <c r="P1514" t="s">
        <v>57</v>
      </c>
      <c r="Q1514">
        <v>67877</v>
      </c>
      <c r="R1514">
        <v>68134</v>
      </c>
      <c r="S1514" t="s">
        <v>484</v>
      </c>
      <c r="T1514">
        <v>86</v>
      </c>
      <c r="U1514" t="s">
        <v>72</v>
      </c>
      <c r="V1514">
        <v>45</v>
      </c>
      <c r="W1514" t="str">
        <f>HYPERLINK("Gene59-zp_tree_all.dnd", "Gene59-tree")</f>
        <v>Gene59-tree</v>
      </c>
      <c r="X1514">
        <v>31</v>
      </c>
      <c r="Y1514">
        <v>1</v>
      </c>
      <c r="Z1514">
        <v>5</v>
      </c>
      <c r="AA1514">
        <v>1</v>
      </c>
      <c r="AB1514">
        <v>0.16667000000000001</v>
      </c>
      <c r="AC1514" t="s">
        <v>485</v>
      </c>
      <c r="AD1514" t="s">
        <v>175</v>
      </c>
      <c r="AE1514" t="s">
        <v>62</v>
      </c>
      <c r="AF1514" t="s">
        <v>62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4</v>
      </c>
      <c r="AV1514">
        <v>1</v>
      </c>
      <c r="AW1514">
        <v>14</v>
      </c>
      <c r="AX1514">
        <v>1</v>
      </c>
      <c r="AY1514">
        <v>1</v>
      </c>
      <c r="AZ1514">
        <v>0</v>
      </c>
      <c r="BA1514" t="s">
        <v>486</v>
      </c>
      <c r="BB1514" t="s">
        <v>193</v>
      </c>
      <c r="BC1514">
        <v>0.42699999999999999</v>
      </c>
      <c r="BD1514" t="s">
        <v>65</v>
      </c>
      <c r="BE1514">
        <v>15</v>
      </c>
      <c r="BF1514">
        <v>1</v>
      </c>
      <c r="BG1514" t="s">
        <v>487</v>
      </c>
      <c r="BH1514" t="s">
        <v>488</v>
      </c>
      <c r="BI1514" t="s">
        <v>489</v>
      </c>
      <c r="BJ1514">
        <v>1.6920000000000001E-2</v>
      </c>
      <c r="BK1514">
        <v>1</v>
      </c>
      <c r="BL1514" t="s">
        <v>69</v>
      </c>
      <c r="BM1514">
        <v>-1.7430000000000001</v>
      </c>
      <c r="BN1514">
        <v>-3.3450000000000002</v>
      </c>
    </row>
    <row r="1515" spans="2:66">
      <c r="B1515">
        <v>2675</v>
      </c>
      <c r="C1515">
        <v>163</v>
      </c>
      <c r="D1515">
        <v>0</v>
      </c>
      <c r="E1515">
        <v>21</v>
      </c>
      <c r="F1515">
        <v>1</v>
      </c>
      <c r="J1515">
        <v>0</v>
      </c>
      <c r="K1515">
        <v>0</v>
      </c>
      <c r="L1515">
        <v>0</v>
      </c>
      <c r="M1515" t="s">
        <v>25022</v>
      </c>
      <c r="N1515">
        <v>60</v>
      </c>
      <c r="O1515" t="s">
        <v>490</v>
      </c>
      <c r="P1515" t="s">
        <v>57</v>
      </c>
      <c r="Q1515">
        <v>68216</v>
      </c>
      <c r="R1515">
        <v>68515</v>
      </c>
      <c r="S1515" t="s">
        <v>491</v>
      </c>
      <c r="T1515">
        <v>100</v>
      </c>
      <c r="U1515" t="s">
        <v>59</v>
      </c>
      <c r="V1515">
        <v>49</v>
      </c>
      <c r="W1515" t="str">
        <f>HYPERLINK("Gene60-zp_tree_all.dnd", "Gene60-tree")</f>
        <v>Gene60-tree</v>
      </c>
      <c r="X1515">
        <v>48</v>
      </c>
      <c r="Y1515">
        <v>1</v>
      </c>
      <c r="Z1515">
        <v>9</v>
      </c>
      <c r="AA1515">
        <v>1</v>
      </c>
      <c r="AB1515">
        <v>0.1</v>
      </c>
      <c r="AC1515" t="s">
        <v>492</v>
      </c>
      <c r="AD1515" t="s">
        <v>175</v>
      </c>
      <c r="AE1515" t="s">
        <v>62</v>
      </c>
      <c r="AF1515" t="s">
        <v>62</v>
      </c>
      <c r="AG1515">
        <v>0</v>
      </c>
      <c r="AH1515">
        <v>0</v>
      </c>
      <c r="AI1515">
        <v>4</v>
      </c>
      <c r="AJ1515">
        <v>0</v>
      </c>
      <c r="AK1515">
        <v>0</v>
      </c>
      <c r="AL1515">
        <v>0</v>
      </c>
      <c r="AM1515">
        <v>0</v>
      </c>
      <c r="AN1515">
        <v>2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7</v>
      </c>
      <c r="AV1515">
        <v>4</v>
      </c>
      <c r="AW1515">
        <v>11</v>
      </c>
      <c r="AX1515">
        <v>1</v>
      </c>
      <c r="AY1515">
        <v>12</v>
      </c>
      <c r="AZ1515">
        <v>3</v>
      </c>
      <c r="BA1515" t="s">
        <v>493</v>
      </c>
      <c r="BB1515" t="s">
        <v>494</v>
      </c>
      <c r="BC1515">
        <v>0.61699999999999999</v>
      </c>
      <c r="BD1515" t="s">
        <v>65</v>
      </c>
      <c r="BE1515">
        <v>23</v>
      </c>
      <c r="BF1515">
        <v>4</v>
      </c>
      <c r="BG1515" t="s">
        <v>495</v>
      </c>
      <c r="BH1515" t="s">
        <v>496</v>
      </c>
      <c r="BI1515" t="s">
        <v>497</v>
      </c>
      <c r="BJ1515">
        <v>5.5870000000000003E-2</v>
      </c>
      <c r="BK1515">
        <v>1</v>
      </c>
      <c r="BL1515" t="s">
        <v>69</v>
      </c>
      <c r="BM1515">
        <v>-1.9590000000000001</v>
      </c>
      <c r="BN1515">
        <v>-1.6279999999999999</v>
      </c>
    </row>
    <row r="1516" spans="2:66">
      <c r="B1516">
        <v>2676</v>
      </c>
      <c r="C1516">
        <v>193</v>
      </c>
      <c r="D1516">
        <v>0</v>
      </c>
      <c r="E1516">
        <v>11</v>
      </c>
      <c r="F1516">
        <v>0</v>
      </c>
      <c r="J1516">
        <v>0</v>
      </c>
      <c r="K1516">
        <v>13</v>
      </c>
      <c r="L1516">
        <v>5</v>
      </c>
      <c r="M1516" t="s">
        <v>25022</v>
      </c>
      <c r="N1516">
        <v>61</v>
      </c>
      <c r="O1516" t="s">
        <v>498</v>
      </c>
      <c r="P1516" t="s">
        <v>57</v>
      </c>
      <c r="Q1516">
        <v>68515</v>
      </c>
      <c r="R1516">
        <v>69147</v>
      </c>
      <c r="S1516" t="s">
        <v>499</v>
      </c>
      <c r="T1516">
        <v>211</v>
      </c>
      <c r="U1516" t="s">
        <v>59</v>
      </c>
      <c r="V1516">
        <v>49</v>
      </c>
      <c r="W1516" t="str">
        <f>HYPERLINK("Gene61-zp_tree_all.dnd", "Gene61-tree")</f>
        <v>Gene61-tree</v>
      </c>
      <c r="X1516">
        <v>3</v>
      </c>
      <c r="Y1516">
        <v>12</v>
      </c>
      <c r="Z1516">
        <v>3</v>
      </c>
      <c r="AA1516">
        <v>12</v>
      </c>
      <c r="AB1516">
        <v>0.8</v>
      </c>
      <c r="AC1516" t="s">
        <v>324</v>
      </c>
      <c r="AD1516" t="s">
        <v>109</v>
      </c>
      <c r="AE1516" t="s">
        <v>62</v>
      </c>
      <c r="AF1516" t="s">
        <v>62</v>
      </c>
      <c r="AG1516">
        <v>7</v>
      </c>
      <c r="AH1516">
        <v>18</v>
      </c>
      <c r="AI1516">
        <v>18</v>
      </c>
      <c r="AJ1516">
        <v>0.5</v>
      </c>
      <c r="AK1516">
        <v>0</v>
      </c>
      <c r="AL1516">
        <v>0</v>
      </c>
      <c r="AM1516">
        <v>0</v>
      </c>
      <c r="AN1516">
        <v>2</v>
      </c>
      <c r="AO1516">
        <v>0</v>
      </c>
      <c r="AP1516">
        <v>6</v>
      </c>
      <c r="AQ1516">
        <v>1</v>
      </c>
      <c r="AR1516">
        <v>7</v>
      </c>
      <c r="AS1516">
        <v>16</v>
      </c>
      <c r="AT1516">
        <v>0.30435000000000001</v>
      </c>
      <c r="AU1516">
        <v>11</v>
      </c>
      <c r="AV1516">
        <v>8</v>
      </c>
      <c r="AW1516">
        <v>14</v>
      </c>
      <c r="AX1516">
        <v>18</v>
      </c>
      <c r="AY1516">
        <v>19</v>
      </c>
      <c r="AZ1516">
        <v>18</v>
      </c>
      <c r="BA1516" t="s">
        <v>500</v>
      </c>
      <c r="BB1516" t="s">
        <v>501</v>
      </c>
      <c r="BC1516">
        <v>0.316</v>
      </c>
      <c r="BD1516" t="s">
        <v>65</v>
      </c>
      <c r="BE1516">
        <v>33</v>
      </c>
      <c r="BF1516">
        <v>36</v>
      </c>
      <c r="BG1516" t="s">
        <v>502</v>
      </c>
      <c r="BH1516" t="s">
        <v>503</v>
      </c>
      <c r="BI1516" t="s">
        <v>504</v>
      </c>
      <c r="BJ1516">
        <v>0.28362999999999999</v>
      </c>
      <c r="BK1516">
        <v>1</v>
      </c>
      <c r="BL1516" t="s">
        <v>69</v>
      </c>
      <c r="BM1516">
        <v>-1.0580000000000001</v>
      </c>
      <c r="BN1516">
        <v>-0.51500000000000001</v>
      </c>
    </row>
    <row r="1517" spans="2:66">
      <c r="B1517">
        <v>2677</v>
      </c>
      <c r="C1517">
        <v>58</v>
      </c>
      <c r="D1517">
        <v>0</v>
      </c>
      <c r="E1517">
        <v>7</v>
      </c>
      <c r="F1517">
        <v>0</v>
      </c>
      <c r="J1517">
        <v>0</v>
      </c>
      <c r="K1517">
        <v>0</v>
      </c>
      <c r="L1517">
        <v>0</v>
      </c>
      <c r="M1517" t="s">
        <v>25022</v>
      </c>
      <c r="N1517">
        <v>62</v>
      </c>
      <c r="O1517" t="s">
        <v>505</v>
      </c>
      <c r="P1517" t="s">
        <v>57</v>
      </c>
      <c r="Q1517">
        <v>69168</v>
      </c>
      <c r="R1517">
        <v>69542</v>
      </c>
      <c r="S1517" t="s">
        <v>506</v>
      </c>
      <c r="T1517">
        <v>125</v>
      </c>
      <c r="U1517" t="s">
        <v>59</v>
      </c>
      <c r="V1517">
        <v>49</v>
      </c>
      <c r="W1517" t="str">
        <f>HYPERLINK("Gene62-zp_tree_all.dnd", "Gene62-tree")</f>
        <v>Gene62-tree</v>
      </c>
      <c r="X1517">
        <v>13</v>
      </c>
      <c r="Y1517">
        <v>2</v>
      </c>
      <c r="Z1517">
        <v>13</v>
      </c>
      <c r="AA1517">
        <v>2</v>
      </c>
      <c r="AB1517">
        <v>0.13333</v>
      </c>
      <c r="AC1517" t="s">
        <v>507</v>
      </c>
      <c r="AD1517" t="s">
        <v>81</v>
      </c>
      <c r="AE1517" t="s">
        <v>62</v>
      </c>
      <c r="AF1517" t="s">
        <v>62</v>
      </c>
      <c r="AG1517">
        <v>0</v>
      </c>
      <c r="AH1517">
        <v>0</v>
      </c>
      <c r="AI1517">
        <v>3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2</v>
      </c>
      <c r="AT1517">
        <v>0</v>
      </c>
      <c r="AU1517">
        <v>11</v>
      </c>
      <c r="AV1517">
        <v>6</v>
      </c>
      <c r="AW1517">
        <v>14</v>
      </c>
      <c r="AX1517">
        <v>2</v>
      </c>
      <c r="AY1517">
        <v>15</v>
      </c>
      <c r="AZ1517">
        <v>1</v>
      </c>
      <c r="BA1517" t="s">
        <v>508</v>
      </c>
      <c r="BB1517" t="s">
        <v>509</v>
      </c>
      <c r="BC1517">
        <v>0.3</v>
      </c>
      <c r="BD1517" t="s">
        <v>65</v>
      </c>
      <c r="BE1517">
        <v>29</v>
      </c>
      <c r="BF1517">
        <v>3</v>
      </c>
      <c r="BG1517" t="s">
        <v>510</v>
      </c>
      <c r="BH1517" t="s">
        <v>511</v>
      </c>
      <c r="BI1517" t="s">
        <v>512</v>
      </c>
      <c r="BJ1517">
        <v>3.1789999999999999E-2</v>
      </c>
      <c r="BK1517">
        <v>1</v>
      </c>
      <c r="BL1517" t="s">
        <v>69</v>
      </c>
      <c r="BM1517">
        <v>-1.4810000000000001</v>
      </c>
      <c r="BN1517">
        <v>-0.161</v>
      </c>
    </row>
    <row r="1518" spans="2:66">
      <c r="B1518">
        <v>2678</v>
      </c>
      <c r="C1518">
        <v>159</v>
      </c>
      <c r="D1518">
        <v>0</v>
      </c>
      <c r="E1518">
        <v>2</v>
      </c>
      <c r="F1518">
        <v>0</v>
      </c>
      <c r="J1518">
        <v>0</v>
      </c>
      <c r="K1518">
        <v>0</v>
      </c>
      <c r="L1518">
        <v>0</v>
      </c>
      <c r="M1518" t="s">
        <v>25022</v>
      </c>
      <c r="N1518">
        <v>63</v>
      </c>
      <c r="O1518" t="s">
        <v>513</v>
      </c>
      <c r="P1518" t="s">
        <v>57</v>
      </c>
      <c r="Q1518">
        <v>69626</v>
      </c>
      <c r="R1518">
        <v>70009</v>
      </c>
      <c r="S1518" t="s">
        <v>514</v>
      </c>
      <c r="T1518">
        <v>128</v>
      </c>
      <c r="U1518" t="s">
        <v>515</v>
      </c>
      <c r="V1518">
        <v>51</v>
      </c>
      <c r="W1518" t="str">
        <f>HYPERLINK("Gene63-zp_tree_all.dnd", "Gene63-tree")</f>
        <v>Gene63-tree</v>
      </c>
      <c r="X1518">
        <v>4</v>
      </c>
      <c r="Y1518">
        <v>1</v>
      </c>
      <c r="Z1518">
        <v>4</v>
      </c>
      <c r="AA1518">
        <v>1</v>
      </c>
      <c r="AB1518">
        <v>0.2</v>
      </c>
      <c r="AC1518" t="s">
        <v>61</v>
      </c>
      <c r="AD1518" t="s">
        <v>175</v>
      </c>
      <c r="AE1518" t="s">
        <v>62</v>
      </c>
      <c r="AF1518" t="s">
        <v>62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2</v>
      </c>
      <c r="AV1518">
        <v>2</v>
      </c>
      <c r="AW1518">
        <v>17</v>
      </c>
      <c r="AX1518">
        <v>2</v>
      </c>
      <c r="AY1518">
        <v>2</v>
      </c>
      <c r="AZ1518">
        <v>0</v>
      </c>
      <c r="BA1518" t="s">
        <v>516</v>
      </c>
      <c r="BB1518" t="s">
        <v>193</v>
      </c>
      <c r="BC1518">
        <v>0.97099999999999997</v>
      </c>
      <c r="BD1518" t="s">
        <v>65</v>
      </c>
      <c r="BE1518">
        <v>19</v>
      </c>
      <c r="BF1518">
        <v>2</v>
      </c>
      <c r="BG1518" t="s">
        <v>517</v>
      </c>
      <c r="BH1518" t="s">
        <v>518</v>
      </c>
      <c r="BI1518" t="s">
        <v>519</v>
      </c>
      <c r="BJ1518">
        <v>2.5649999999999999E-2</v>
      </c>
      <c r="BK1518">
        <v>1</v>
      </c>
      <c r="BL1518" t="s">
        <v>69</v>
      </c>
      <c r="BM1518">
        <v>-1.609</v>
      </c>
      <c r="BN1518">
        <v>1.6679999999999999</v>
      </c>
    </row>
    <row r="1519" spans="2:66">
      <c r="B1519">
        <v>2681</v>
      </c>
      <c r="C1519">
        <v>356</v>
      </c>
      <c r="D1519">
        <v>0</v>
      </c>
      <c r="E1519">
        <v>4</v>
      </c>
      <c r="F1519">
        <v>4</v>
      </c>
      <c r="J1519">
        <v>0</v>
      </c>
      <c r="K1519">
        <v>2</v>
      </c>
      <c r="L1519">
        <v>0</v>
      </c>
      <c r="M1519" t="s">
        <v>25022</v>
      </c>
      <c r="N1519">
        <v>64</v>
      </c>
      <c r="O1519" t="s">
        <v>520</v>
      </c>
      <c r="P1519" t="s">
        <v>57</v>
      </c>
      <c r="Q1519">
        <v>70538</v>
      </c>
      <c r="R1519">
        <v>73018</v>
      </c>
      <c r="S1519" t="s">
        <v>521</v>
      </c>
      <c r="T1519">
        <v>827</v>
      </c>
      <c r="U1519" t="s">
        <v>108</v>
      </c>
      <c r="V1519">
        <v>44</v>
      </c>
      <c r="W1519" t="str">
        <f>HYPERLINK("Gene64-zp_tree_all.dnd", "Gene64-tree")</f>
        <v>Gene64-tree</v>
      </c>
      <c r="X1519">
        <v>11</v>
      </c>
      <c r="Y1519">
        <v>7</v>
      </c>
      <c r="Z1519">
        <v>11</v>
      </c>
      <c r="AA1519">
        <v>7</v>
      </c>
      <c r="AB1519">
        <v>0.38889000000000001</v>
      </c>
      <c r="AC1519" t="s">
        <v>73</v>
      </c>
      <c r="AD1519" t="s">
        <v>152</v>
      </c>
      <c r="AE1519" t="s">
        <v>62</v>
      </c>
      <c r="AF1519" t="s">
        <v>62</v>
      </c>
      <c r="AG1519">
        <v>1</v>
      </c>
      <c r="AH1519">
        <v>2</v>
      </c>
      <c r="AI1519">
        <v>7</v>
      </c>
      <c r="AJ1519">
        <v>0.22222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6</v>
      </c>
      <c r="AT1519">
        <v>0</v>
      </c>
      <c r="AU1519">
        <v>15</v>
      </c>
      <c r="AV1519">
        <v>14</v>
      </c>
      <c r="AW1519">
        <v>95</v>
      </c>
      <c r="AX1519">
        <v>6</v>
      </c>
      <c r="AY1519">
        <v>88</v>
      </c>
      <c r="AZ1519">
        <v>3</v>
      </c>
      <c r="BA1519" t="s">
        <v>522</v>
      </c>
      <c r="BB1519" t="s">
        <v>523</v>
      </c>
      <c r="BC1519">
        <v>0.60299999999999998</v>
      </c>
      <c r="BD1519" t="s">
        <v>65</v>
      </c>
      <c r="BE1519">
        <v>183</v>
      </c>
      <c r="BF1519">
        <v>9</v>
      </c>
      <c r="BG1519" t="s">
        <v>524</v>
      </c>
      <c r="BH1519" t="s">
        <v>525</v>
      </c>
      <c r="BI1519" t="s">
        <v>526</v>
      </c>
      <c r="BJ1519">
        <v>1.443E-2</v>
      </c>
      <c r="BK1519">
        <v>1</v>
      </c>
      <c r="BL1519" t="s">
        <v>69</v>
      </c>
      <c r="BM1519">
        <v>-0.44</v>
      </c>
      <c r="BN1519">
        <v>-0.65800000000000003</v>
      </c>
    </row>
    <row r="1520" spans="2:66">
      <c r="B1520">
        <v>2687</v>
      </c>
      <c r="C1520">
        <v>80</v>
      </c>
      <c r="D1520">
        <v>0</v>
      </c>
      <c r="E1520">
        <v>2</v>
      </c>
      <c r="F1520">
        <v>0</v>
      </c>
      <c r="J1520">
        <v>0</v>
      </c>
      <c r="K1520">
        <v>0</v>
      </c>
      <c r="L1520">
        <v>2</v>
      </c>
      <c r="M1520" t="s">
        <v>25022</v>
      </c>
      <c r="N1520">
        <v>65</v>
      </c>
      <c r="O1520" t="s">
        <v>527</v>
      </c>
      <c r="P1520" t="s">
        <v>57</v>
      </c>
      <c r="Q1520">
        <v>73106</v>
      </c>
      <c r="R1520">
        <v>73840</v>
      </c>
      <c r="S1520" t="s">
        <v>116</v>
      </c>
      <c r="T1520">
        <v>245</v>
      </c>
      <c r="U1520" t="s">
        <v>59</v>
      </c>
      <c r="V1520">
        <v>49</v>
      </c>
      <c r="W1520" t="str">
        <f>HYPERLINK("Gene65-zp_tree_all.dnd", "Gene65-tree")</f>
        <v>Gene65-tree</v>
      </c>
      <c r="X1520">
        <v>20</v>
      </c>
      <c r="Y1520">
        <v>1</v>
      </c>
      <c r="Z1520">
        <v>20</v>
      </c>
      <c r="AA1520">
        <v>1</v>
      </c>
      <c r="AB1520">
        <v>4.7620000000000003E-2</v>
      </c>
      <c r="AC1520" t="s">
        <v>528</v>
      </c>
      <c r="AD1520" t="s">
        <v>175</v>
      </c>
      <c r="AE1520" t="s">
        <v>62</v>
      </c>
      <c r="AF1520" t="s">
        <v>62</v>
      </c>
      <c r="AG1520">
        <v>1</v>
      </c>
      <c r="AH1520">
        <v>2</v>
      </c>
      <c r="AI1520">
        <v>4</v>
      </c>
      <c r="AJ1520">
        <v>0.33333000000000002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2</v>
      </c>
      <c r="AT1520">
        <v>0</v>
      </c>
      <c r="AU1520">
        <v>14</v>
      </c>
      <c r="AV1520">
        <v>12</v>
      </c>
      <c r="AW1520">
        <v>34</v>
      </c>
      <c r="AX1520">
        <v>2</v>
      </c>
      <c r="AY1520">
        <v>47</v>
      </c>
      <c r="AZ1520">
        <v>4</v>
      </c>
      <c r="BA1520" t="s">
        <v>529</v>
      </c>
      <c r="BB1520" t="s">
        <v>530</v>
      </c>
      <c r="BC1520">
        <v>0.106</v>
      </c>
      <c r="BD1520" t="s">
        <v>65</v>
      </c>
      <c r="BE1520">
        <v>81</v>
      </c>
      <c r="BF1520">
        <v>6</v>
      </c>
      <c r="BG1520" t="s">
        <v>531</v>
      </c>
      <c r="BH1520" t="s">
        <v>532</v>
      </c>
      <c r="BI1520" t="s">
        <v>533</v>
      </c>
      <c r="BJ1520">
        <v>2.043E-2</v>
      </c>
      <c r="BK1520">
        <v>1</v>
      </c>
      <c r="BL1520" t="s">
        <v>69</v>
      </c>
      <c r="BM1520">
        <v>-1.2869999999999999</v>
      </c>
      <c r="BN1520">
        <v>-0.84199999999999997</v>
      </c>
    </row>
    <row r="1521" spans="2:66">
      <c r="B1521">
        <v>2743</v>
      </c>
      <c r="C1521">
        <v>25</v>
      </c>
      <c r="D1521">
        <v>0</v>
      </c>
      <c r="E1521">
        <v>0</v>
      </c>
      <c r="F1521">
        <v>2</v>
      </c>
      <c r="J1521">
        <v>0</v>
      </c>
      <c r="K1521">
        <v>10</v>
      </c>
      <c r="L1521">
        <v>6</v>
      </c>
      <c r="M1521" t="s">
        <v>25022</v>
      </c>
      <c r="N1521">
        <v>66</v>
      </c>
      <c r="O1521" t="s">
        <v>534</v>
      </c>
      <c r="P1521" t="s">
        <v>57</v>
      </c>
      <c r="Q1521">
        <v>73809</v>
      </c>
      <c r="R1521">
        <v>74822</v>
      </c>
      <c r="S1521" t="s">
        <v>535</v>
      </c>
      <c r="T1521">
        <v>338</v>
      </c>
      <c r="U1521" t="s">
        <v>72</v>
      </c>
      <c r="V1521">
        <v>45</v>
      </c>
      <c r="W1521" t="str">
        <f>HYPERLINK("Gene66-zp_tree_all.dnd", "Gene66-tree")</f>
        <v>Gene66-tree</v>
      </c>
      <c r="X1521">
        <v>6</v>
      </c>
      <c r="Y1521">
        <v>12</v>
      </c>
      <c r="Z1521">
        <v>6</v>
      </c>
      <c r="AA1521">
        <v>12</v>
      </c>
      <c r="AB1521">
        <v>0.66666999999999998</v>
      </c>
      <c r="AC1521" t="s">
        <v>90</v>
      </c>
      <c r="AD1521" t="s">
        <v>109</v>
      </c>
      <c r="AE1521" t="s">
        <v>62</v>
      </c>
      <c r="AF1521" t="s">
        <v>62</v>
      </c>
      <c r="AG1521">
        <v>7</v>
      </c>
      <c r="AH1521">
        <v>16</v>
      </c>
      <c r="AI1521">
        <v>18</v>
      </c>
      <c r="AJ1521">
        <v>0.47059000000000001</v>
      </c>
      <c r="AK1521">
        <v>0</v>
      </c>
      <c r="AL1521">
        <v>0</v>
      </c>
      <c r="AM1521">
        <v>0</v>
      </c>
      <c r="AN1521">
        <v>2</v>
      </c>
      <c r="AO1521">
        <v>0</v>
      </c>
      <c r="AP1521">
        <v>0</v>
      </c>
      <c r="AQ1521">
        <v>10</v>
      </c>
      <c r="AR1521">
        <v>10</v>
      </c>
      <c r="AS1521">
        <v>17</v>
      </c>
      <c r="AT1521">
        <v>0.37036999999999998</v>
      </c>
      <c r="AU1521">
        <v>15</v>
      </c>
      <c r="AV1521">
        <v>8</v>
      </c>
      <c r="AW1521">
        <v>57</v>
      </c>
      <c r="AX1521">
        <v>30</v>
      </c>
      <c r="AY1521">
        <v>11</v>
      </c>
      <c r="AZ1521">
        <v>7</v>
      </c>
      <c r="BA1521" t="s">
        <v>536</v>
      </c>
      <c r="BB1521" t="s">
        <v>537</v>
      </c>
      <c r="BC1521">
        <v>0.16</v>
      </c>
      <c r="BD1521" t="s">
        <v>65</v>
      </c>
      <c r="BE1521">
        <v>68</v>
      </c>
      <c r="BF1521">
        <v>37</v>
      </c>
      <c r="BG1521" t="s">
        <v>538</v>
      </c>
      <c r="BH1521" t="s">
        <v>539</v>
      </c>
      <c r="BI1521" t="s">
        <v>540</v>
      </c>
      <c r="BJ1521">
        <v>0.17352999999999999</v>
      </c>
      <c r="BK1521">
        <v>1</v>
      </c>
      <c r="BL1521" t="s">
        <v>69</v>
      </c>
      <c r="BM1521">
        <v>-1.944</v>
      </c>
      <c r="BN1521">
        <v>-4.0640000000000001</v>
      </c>
    </row>
    <row r="1522" spans="2:66">
      <c r="B1522">
        <v>2754</v>
      </c>
      <c r="C1522">
        <v>245</v>
      </c>
      <c r="D1522">
        <v>0</v>
      </c>
      <c r="E1522">
        <v>6</v>
      </c>
      <c r="F1522">
        <v>0</v>
      </c>
      <c r="J1522">
        <v>0</v>
      </c>
      <c r="K1522">
        <v>16</v>
      </c>
      <c r="L1522">
        <v>6</v>
      </c>
      <c r="M1522" t="s">
        <v>25022</v>
      </c>
      <c r="N1522">
        <v>67</v>
      </c>
      <c r="O1522" t="s">
        <v>541</v>
      </c>
      <c r="P1522" t="s">
        <v>57</v>
      </c>
      <c r="Q1522">
        <v>74929</v>
      </c>
      <c r="R1522">
        <v>76344</v>
      </c>
      <c r="S1522" t="s">
        <v>542</v>
      </c>
      <c r="T1522">
        <v>472</v>
      </c>
      <c r="U1522" t="s">
        <v>59</v>
      </c>
      <c r="V1522">
        <v>49</v>
      </c>
      <c r="W1522" t="str">
        <f>HYPERLINK("Gene67-zp_tree_all.dnd", "Gene67-tree")</f>
        <v>Gene67-tree</v>
      </c>
      <c r="X1522">
        <v>6</v>
      </c>
      <c r="Y1522">
        <v>14</v>
      </c>
      <c r="Z1522">
        <v>6</v>
      </c>
      <c r="AA1522">
        <v>14</v>
      </c>
      <c r="AB1522">
        <v>0.7</v>
      </c>
      <c r="AC1522" t="s">
        <v>90</v>
      </c>
      <c r="AD1522" t="s">
        <v>543</v>
      </c>
      <c r="AE1522">
        <v>191313048.917</v>
      </c>
      <c r="AF1522" t="s">
        <v>267</v>
      </c>
      <c r="AG1522">
        <v>9</v>
      </c>
      <c r="AH1522">
        <v>22</v>
      </c>
      <c r="AI1522">
        <v>31</v>
      </c>
      <c r="AJ1522">
        <v>0.41509000000000001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2</v>
      </c>
      <c r="AQ1522">
        <v>0</v>
      </c>
      <c r="AR1522">
        <v>2</v>
      </c>
      <c r="AS1522">
        <v>25</v>
      </c>
      <c r="AT1522">
        <v>7.4069999999999997E-2</v>
      </c>
      <c r="AU1522">
        <v>18</v>
      </c>
      <c r="AV1522">
        <v>15</v>
      </c>
      <c r="AW1522">
        <v>44</v>
      </c>
      <c r="AX1522">
        <v>26</v>
      </c>
      <c r="AY1522">
        <v>79</v>
      </c>
      <c r="AZ1522">
        <v>27</v>
      </c>
      <c r="BA1522" t="s">
        <v>544</v>
      </c>
      <c r="BB1522" t="s">
        <v>545</v>
      </c>
      <c r="BC1522">
        <v>0.55400000000000005</v>
      </c>
      <c r="BD1522" t="s">
        <v>65</v>
      </c>
      <c r="BE1522">
        <v>123</v>
      </c>
      <c r="BF1522">
        <v>53</v>
      </c>
      <c r="BG1522" t="s">
        <v>546</v>
      </c>
      <c r="BH1522" t="s">
        <v>547</v>
      </c>
      <c r="BI1522" t="s">
        <v>548</v>
      </c>
      <c r="BJ1522">
        <v>9.8229999999999998E-2</v>
      </c>
      <c r="BK1522">
        <v>1</v>
      </c>
      <c r="BL1522" t="s">
        <v>69</v>
      </c>
      <c r="BM1522">
        <v>-1.3049999999999999</v>
      </c>
      <c r="BN1522">
        <v>-5.8999999999999997E-2</v>
      </c>
    </row>
    <row r="1523" spans="2:66">
      <c r="B1523">
        <v>2757</v>
      </c>
      <c r="C1523">
        <v>160</v>
      </c>
      <c r="D1523">
        <v>0</v>
      </c>
      <c r="E1523">
        <v>4</v>
      </c>
      <c r="F1523">
        <v>2</v>
      </c>
      <c r="J1523">
        <v>0</v>
      </c>
      <c r="K1523">
        <v>0</v>
      </c>
      <c r="L1523">
        <v>0</v>
      </c>
      <c r="M1523" t="s">
        <v>25022</v>
      </c>
      <c r="N1523">
        <v>68</v>
      </c>
      <c r="O1523" t="s">
        <v>549</v>
      </c>
      <c r="P1523" t="s">
        <v>57</v>
      </c>
      <c r="Q1523">
        <v>76344</v>
      </c>
      <c r="R1523">
        <v>76883</v>
      </c>
      <c r="S1523" t="s">
        <v>550</v>
      </c>
      <c r="T1523">
        <v>180</v>
      </c>
      <c r="U1523" t="s">
        <v>59</v>
      </c>
      <c r="V1523">
        <v>49</v>
      </c>
      <c r="W1523" t="str">
        <f>HYPERLINK("Gene68-zp_tree_all.dnd", "Gene68-tree")</f>
        <v>Gene68-tree</v>
      </c>
      <c r="X1523">
        <v>12</v>
      </c>
      <c r="Y1523">
        <v>0</v>
      </c>
      <c r="Z1523">
        <v>12</v>
      </c>
      <c r="AA1523">
        <v>0</v>
      </c>
      <c r="AB1523">
        <v>0</v>
      </c>
      <c r="AC1523" t="s">
        <v>109</v>
      </c>
      <c r="AD1523" t="s">
        <v>62</v>
      </c>
      <c r="AE1523" t="s">
        <v>62</v>
      </c>
      <c r="AF1523" t="s">
        <v>62</v>
      </c>
      <c r="AG1523">
        <v>0</v>
      </c>
      <c r="AH1523">
        <v>0</v>
      </c>
      <c r="AI1523">
        <v>2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8</v>
      </c>
      <c r="AV1523">
        <v>4</v>
      </c>
      <c r="AW1523">
        <v>10</v>
      </c>
      <c r="AX1523">
        <v>0</v>
      </c>
      <c r="AY1523">
        <v>7</v>
      </c>
      <c r="AZ1523">
        <v>2</v>
      </c>
      <c r="BA1523" t="s">
        <v>193</v>
      </c>
      <c r="BB1523" t="s">
        <v>551</v>
      </c>
      <c r="BC1523">
        <v>0.89900000000000002</v>
      </c>
      <c r="BD1523" t="s">
        <v>65</v>
      </c>
      <c r="BE1523">
        <v>17</v>
      </c>
      <c r="BF1523">
        <v>2</v>
      </c>
      <c r="BG1523" t="s">
        <v>552</v>
      </c>
      <c r="BH1523" t="s">
        <v>553</v>
      </c>
      <c r="BI1523" t="s">
        <v>554</v>
      </c>
      <c r="BJ1523">
        <v>4.7890000000000002E-2</v>
      </c>
      <c r="BK1523">
        <v>1</v>
      </c>
      <c r="BL1523" t="s">
        <v>69</v>
      </c>
      <c r="BM1523">
        <v>-1.42</v>
      </c>
      <c r="BN1523">
        <v>-4.4999999999999998E-2</v>
      </c>
    </row>
    <row r="1524" spans="2:66">
      <c r="B1524">
        <v>2758</v>
      </c>
      <c r="C1524">
        <v>100</v>
      </c>
      <c r="D1524">
        <v>0</v>
      </c>
      <c r="E1524">
        <v>2</v>
      </c>
      <c r="F1524">
        <v>0</v>
      </c>
      <c r="J1524">
        <v>0</v>
      </c>
      <c r="K1524">
        <v>0</v>
      </c>
      <c r="L1524">
        <v>0</v>
      </c>
      <c r="M1524" t="s">
        <v>25022</v>
      </c>
      <c r="N1524">
        <v>69</v>
      </c>
      <c r="O1524" t="s">
        <v>555</v>
      </c>
      <c r="P1524" t="s">
        <v>57</v>
      </c>
      <c r="Q1524">
        <v>76984</v>
      </c>
      <c r="R1524">
        <v>78894</v>
      </c>
      <c r="S1524" t="s">
        <v>556</v>
      </c>
      <c r="T1524">
        <v>637</v>
      </c>
      <c r="U1524" t="s">
        <v>59</v>
      </c>
      <c r="V1524">
        <v>49</v>
      </c>
      <c r="W1524" t="str">
        <f>HYPERLINK("Gene69-zp_tree_all.dnd", "Gene69-tree")</f>
        <v>Gene69-tree</v>
      </c>
      <c r="X1524">
        <v>21</v>
      </c>
      <c r="Y1524">
        <v>1</v>
      </c>
      <c r="Z1524">
        <v>21</v>
      </c>
      <c r="AA1524">
        <v>1</v>
      </c>
      <c r="AB1524">
        <v>4.5449999999999997E-2</v>
      </c>
      <c r="AC1524" t="s">
        <v>557</v>
      </c>
      <c r="AD1524" t="s">
        <v>175</v>
      </c>
      <c r="AE1524" t="s">
        <v>62</v>
      </c>
      <c r="AF1524" t="s">
        <v>62</v>
      </c>
      <c r="AG1524">
        <v>0</v>
      </c>
      <c r="AH1524">
        <v>0</v>
      </c>
      <c r="AI1524">
        <v>3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20</v>
      </c>
      <c r="AV1524">
        <v>14</v>
      </c>
      <c r="AW1524">
        <v>85</v>
      </c>
      <c r="AX1524">
        <v>1</v>
      </c>
      <c r="AY1524">
        <v>106</v>
      </c>
      <c r="AZ1524">
        <v>2</v>
      </c>
      <c r="BA1524" t="s">
        <v>558</v>
      </c>
      <c r="BB1524" t="s">
        <v>559</v>
      </c>
      <c r="BC1524">
        <v>0.10199999999999999</v>
      </c>
      <c r="BD1524" t="s">
        <v>65</v>
      </c>
      <c r="BE1524">
        <v>191</v>
      </c>
      <c r="BF1524">
        <v>3</v>
      </c>
      <c r="BG1524" t="s">
        <v>560</v>
      </c>
      <c r="BH1524" t="s">
        <v>561</v>
      </c>
      <c r="BI1524" t="s">
        <v>562</v>
      </c>
      <c r="BJ1524">
        <v>5.7200000000000003E-3</v>
      </c>
      <c r="BK1524">
        <v>1</v>
      </c>
      <c r="BL1524" t="s">
        <v>69</v>
      </c>
      <c r="BM1524">
        <v>-1.171</v>
      </c>
      <c r="BN1524">
        <v>-0.93100000000000005</v>
      </c>
    </row>
    <row r="1525" spans="2:66">
      <c r="B1525">
        <v>2763</v>
      </c>
      <c r="C1525">
        <v>38</v>
      </c>
      <c r="D1525">
        <v>0</v>
      </c>
      <c r="E1525">
        <v>2</v>
      </c>
      <c r="F1525">
        <v>0</v>
      </c>
      <c r="J1525">
        <v>0</v>
      </c>
      <c r="K1525">
        <v>0</v>
      </c>
      <c r="L1525">
        <v>0</v>
      </c>
      <c r="M1525" t="s">
        <v>25022</v>
      </c>
      <c r="N1525">
        <v>70</v>
      </c>
      <c r="O1525" t="s">
        <v>563</v>
      </c>
      <c r="P1525" t="s">
        <v>57</v>
      </c>
      <c r="Q1525">
        <v>79092</v>
      </c>
      <c r="R1525">
        <v>79865</v>
      </c>
      <c r="S1525" t="s">
        <v>564</v>
      </c>
      <c r="T1525">
        <v>258</v>
      </c>
      <c r="U1525" t="s">
        <v>394</v>
      </c>
      <c r="V1525">
        <v>48</v>
      </c>
      <c r="W1525" t="str">
        <f>HYPERLINK("Gene70-zp_tree_all.dnd", "Gene70-tree")</f>
        <v>Gene70-tree</v>
      </c>
      <c r="X1525">
        <v>16</v>
      </c>
      <c r="Y1525">
        <v>2</v>
      </c>
      <c r="Z1525">
        <v>16</v>
      </c>
      <c r="AA1525">
        <v>2</v>
      </c>
      <c r="AB1525">
        <v>0.11111</v>
      </c>
      <c r="AC1525" t="s">
        <v>60</v>
      </c>
      <c r="AD1525" t="s">
        <v>81</v>
      </c>
      <c r="AE1525" t="s">
        <v>62</v>
      </c>
      <c r="AF1525" t="s">
        <v>62</v>
      </c>
      <c r="AG1525">
        <v>0</v>
      </c>
      <c r="AH1525">
        <v>0</v>
      </c>
      <c r="AI1525">
        <v>3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2</v>
      </c>
      <c r="AT1525">
        <v>0</v>
      </c>
      <c r="AU1525">
        <v>14</v>
      </c>
      <c r="AV1525">
        <v>9</v>
      </c>
      <c r="AW1525">
        <v>34</v>
      </c>
      <c r="AX1525">
        <v>2</v>
      </c>
      <c r="AY1525">
        <v>36</v>
      </c>
      <c r="AZ1525">
        <v>1</v>
      </c>
      <c r="BA1525" t="s">
        <v>565</v>
      </c>
      <c r="BB1525" t="s">
        <v>566</v>
      </c>
      <c r="BC1525">
        <v>0.224</v>
      </c>
      <c r="BD1525" t="s">
        <v>65</v>
      </c>
      <c r="BE1525">
        <v>70</v>
      </c>
      <c r="BF1525">
        <v>3</v>
      </c>
      <c r="BG1525" t="s">
        <v>567</v>
      </c>
      <c r="BH1525" t="s">
        <v>568</v>
      </c>
      <c r="BI1525" t="s">
        <v>569</v>
      </c>
      <c r="BJ1525">
        <v>1.142E-2</v>
      </c>
      <c r="BK1525">
        <v>1</v>
      </c>
      <c r="BL1525" t="s">
        <v>69</v>
      </c>
      <c r="BM1525">
        <v>-1.167</v>
      </c>
      <c r="BN1525">
        <v>-1.351</v>
      </c>
    </row>
    <row r="1526" spans="2:66">
      <c r="B1526">
        <v>2764</v>
      </c>
      <c r="C1526">
        <v>112</v>
      </c>
      <c r="D1526">
        <v>0</v>
      </c>
      <c r="E1526">
        <v>2</v>
      </c>
      <c r="F1526">
        <v>0</v>
      </c>
      <c r="J1526">
        <v>0</v>
      </c>
      <c r="K1526">
        <v>0</v>
      </c>
      <c r="L1526">
        <v>0</v>
      </c>
      <c r="M1526" t="s">
        <v>25022</v>
      </c>
      <c r="N1526">
        <v>71</v>
      </c>
      <c r="O1526" t="s">
        <v>570</v>
      </c>
      <c r="P1526" t="s">
        <v>57</v>
      </c>
      <c r="Q1526">
        <v>79880</v>
      </c>
      <c r="R1526">
        <v>80752</v>
      </c>
      <c r="S1526" t="s">
        <v>571</v>
      </c>
      <c r="T1526">
        <v>291</v>
      </c>
      <c r="U1526" t="s">
        <v>572</v>
      </c>
      <c r="V1526">
        <v>48</v>
      </c>
      <c r="W1526" t="str">
        <f>HYPERLINK("Gene71-zp_tree_all.dnd", "Gene71-tree")</f>
        <v>Gene71-tree</v>
      </c>
      <c r="X1526">
        <v>16</v>
      </c>
      <c r="Y1526">
        <v>5</v>
      </c>
      <c r="Z1526">
        <v>16</v>
      </c>
      <c r="AA1526">
        <v>5</v>
      </c>
      <c r="AB1526">
        <v>0.23810000000000001</v>
      </c>
      <c r="AC1526" t="s">
        <v>60</v>
      </c>
      <c r="AD1526" t="s">
        <v>199</v>
      </c>
      <c r="AE1526" t="s">
        <v>62</v>
      </c>
      <c r="AF1526" t="s">
        <v>62</v>
      </c>
      <c r="AG1526">
        <v>0</v>
      </c>
      <c r="AH1526">
        <v>0</v>
      </c>
      <c r="AI1526">
        <v>10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8</v>
      </c>
      <c r="AT1526">
        <v>0</v>
      </c>
      <c r="AU1526">
        <v>16</v>
      </c>
      <c r="AV1526">
        <v>13</v>
      </c>
      <c r="AW1526">
        <v>61</v>
      </c>
      <c r="AX1526">
        <v>7</v>
      </c>
      <c r="AY1526">
        <v>54</v>
      </c>
      <c r="AZ1526">
        <v>3</v>
      </c>
      <c r="BA1526" t="s">
        <v>573</v>
      </c>
      <c r="BB1526" t="s">
        <v>574</v>
      </c>
      <c r="BC1526">
        <v>0.31900000000000001</v>
      </c>
      <c r="BD1526" t="s">
        <v>65</v>
      </c>
      <c r="BE1526">
        <v>115</v>
      </c>
      <c r="BF1526">
        <v>10</v>
      </c>
      <c r="BG1526" t="s">
        <v>575</v>
      </c>
      <c r="BH1526" t="s">
        <v>576</v>
      </c>
      <c r="BI1526" t="s">
        <v>577</v>
      </c>
      <c r="BJ1526">
        <v>2.2689999999999998E-2</v>
      </c>
      <c r="BK1526">
        <v>1</v>
      </c>
      <c r="BL1526" t="s">
        <v>69</v>
      </c>
      <c r="BM1526">
        <v>-1.504</v>
      </c>
      <c r="BN1526">
        <v>-3.1440000000000001</v>
      </c>
    </row>
    <row r="1527" spans="2:66">
      <c r="B1527">
        <v>2765</v>
      </c>
      <c r="C1527">
        <v>334</v>
      </c>
      <c r="D1527">
        <v>0</v>
      </c>
      <c r="E1527">
        <v>13</v>
      </c>
      <c r="F1527">
        <v>4</v>
      </c>
      <c r="J1527">
        <v>0</v>
      </c>
      <c r="K1527">
        <v>7</v>
      </c>
      <c r="L1527">
        <v>2</v>
      </c>
      <c r="M1527" t="s">
        <v>25022</v>
      </c>
      <c r="N1527">
        <v>72</v>
      </c>
      <c r="O1527" t="s">
        <v>578</v>
      </c>
      <c r="P1527" t="s">
        <v>57</v>
      </c>
      <c r="Q1527">
        <v>80802</v>
      </c>
      <c r="R1527">
        <v>81692</v>
      </c>
      <c r="S1527" t="s">
        <v>579</v>
      </c>
      <c r="T1527">
        <v>297</v>
      </c>
      <c r="U1527" t="s">
        <v>108</v>
      </c>
      <c r="V1527">
        <v>44</v>
      </c>
      <c r="W1527" t="str">
        <f>HYPERLINK("Gene72-zp_tree_all.dnd", "Gene72-tree")</f>
        <v>Gene72-tree</v>
      </c>
      <c r="X1527">
        <v>9</v>
      </c>
      <c r="Y1527">
        <v>7</v>
      </c>
      <c r="Z1527">
        <v>9</v>
      </c>
      <c r="AA1527">
        <v>7</v>
      </c>
      <c r="AB1527">
        <v>0.4375</v>
      </c>
      <c r="AC1527" t="s">
        <v>135</v>
      </c>
      <c r="AD1527" t="s">
        <v>152</v>
      </c>
      <c r="AE1527" t="s">
        <v>62</v>
      </c>
      <c r="AF1527" t="s">
        <v>62</v>
      </c>
      <c r="AG1527">
        <v>4</v>
      </c>
      <c r="AH1527">
        <v>9</v>
      </c>
      <c r="AI1527">
        <v>2</v>
      </c>
      <c r="AJ1527">
        <v>0.81818000000000002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4</v>
      </c>
      <c r="AQ1527">
        <v>0</v>
      </c>
      <c r="AR1527">
        <v>4</v>
      </c>
      <c r="AS1527">
        <v>3</v>
      </c>
      <c r="AT1527">
        <v>0.57142999999999999</v>
      </c>
      <c r="AU1527">
        <v>10</v>
      </c>
      <c r="AV1527">
        <v>10</v>
      </c>
      <c r="AW1527">
        <v>27</v>
      </c>
      <c r="AX1527">
        <v>4</v>
      </c>
      <c r="AY1527">
        <v>11</v>
      </c>
      <c r="AZ1527">
        <v>7</v>
      </c>
      <c r="BA1527" t="s">
        <v>580</v>
      </c>
      <c r="BB1527" t="s">
        <v>581</v>
      </c>
      <c r="BC1527">
        <v>2.5720000000000001</v>
      </c>
      <c r="BD1527" t="s">
        <v>65</v>
      </c>
      <c r="BE1527">
        <v>38</v>
      </c>
      <c r="BF1527">
        <v>11</v>
      </c>
      <c r="BG1527" t="s">
        <v>582</v>
      </c>
      <c r="BH1527" t="s">
        <v>583</v>
      </c>
      <c r="BI1527" t="s">
        <v>584</v>
      </c>
      <c r="BJ1527">
        <v>9.3240000000000003E-2</v>
      </c>
      <c r="BK1527">
        <v>1</v>
      </c>
      <c r="BL1527" t="s">
        <v>69</v>
      </c>
      <c r="BM1527">
        <v>-0.503</v>
      </c>
      <c r="BN1527">
        <v>-0.69199999999999995</v>
      </c>
    </row>
    <row r="1528" spans="2:66">
      <c r="B1528">
        <v>2766</v>
      </c>
      <c r="C1528">
        <v>40</v>
      </c>
      <c r="D1528">
        <v>0</v>
      </c>
      <c r="E1528">
        <v>11</v>
      </c>
      <c r="F1528">
        <v>0</v>
      </c>
      <c r="J1528">
        <v>0</v>
      </c>
      <c r="K1528">
        <v>0</v>
      </c>
      <c r="L1528">
        <v>2</v>
      </c>
      <c r="M1528" t="s">
        <v>25022</v>
      </c>
      <c r="N1528">
        <v>73</v>
      </c>
      <c r="O1528" t="s">
        <v>585</v>
      </c>
      <c r="P1528" t="s">
        <v>57</v>
      </c>
      <c r="Q1528">
        <v>81771</v>
      </c>
      <c r="R1528">
        <v>82694</v>
      </c>
      <c r="S1528" t="s">
        <v>586</v>
      </c>
      <c r="T1528">
        <v>308</v>
      </c>
      <c r="U1528" t="s">
        <v>59</v>
      </c>
      <c r="V1528">
        <v>49</v>
      </c>
      <c r="W1528" t="str">
        <f>HYPERLINK("Gene73-zp_tree_all.dnd", "Gene73-tree")</f>
        <v>Gene73-tree</v>
      </c>
      <c r="X1528">
        <v>19</v>
      </c>
      <c r="Y1528">
        <v>2</v>
      </c>
      <c r="Z1528">
        <v>19</v>
      </c>
      <c r="AA1528">
        <v>2</v>
      </c>
      <c r="AB1528">
        <v>9.5240000000000005E-2</v>
      </c>
      <c r="AC1528" t="s">
        <v>587</v>
      </c>
      <c r="AD1528" t="s">
        <v>81</v>
      </c>
      <c r="AE1528" t="s">
        <v>62</v>
      </c>
      <c r="AF1528" t="s">
        <v>62</v>
      </c>
      <c r="AG1528">
        <v>1</v>
      </c>
      <c r="AH1528">
        <v>2</v>
      </c>
      <c r="AI1528">
        <v>4</v>
      </c>
      <c r="AJ1528">
        <v>0.33333000000000002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2</v>
      </c>
      <c r="AT1528">
        <v>0</v>
      </c>
      <c r="AU1528">
        <v>18</v>
      </c>
      <c r="AV1528">
        <v>16</v>
      </c>
      <c r="AW1528">
        <v>62</v>
      </c>
      <c r="AX1528">
        <v>2</v>
      </c>
      <c r="AY1528">
        <v>71</v>
      </c>
      <c r="AZ1528">
        <v>4</v>
      </c>
      <c r="BA1528" t="s">
        <v>588</v>
      </c>
      <c r="BB1528" t="s">
        <v>589</v>
      </c>
      <c r="BC1528">
        <v>0.22800000000000001</v>
      </c>
      <c r="BD1528" t="s">
        <v>65</v>
      </c>
      <c r="BE1528">
        <v>133</v>
      </c>
      <c r="BF1528">
        <v>6</v>
      </c>
      <c r="BG1528" t="s">
        <v>590</v>
      </c>
      <c r="BH1528" t="s">
        <v>591</v>
      </c>
      <c r="BI1528" t="s">
        <v>592</v>
      </c>
      <c r="BJ1528">
        <v>1.274E-2</v>
      </c>
      <c r="BK1528">
        <v>1</v>
      </c>
      <c r="BL1528" t="s">
        <v>69</v>
      </c>
      <c r="BM1528">
        <v>-0.78400000000000003</v>
      </c>
      <c r="BN1528">
        <v>-9.2999999999999999E-2</v>
      </c>
    </row>
    <row r="1529" spans="2:66">
      <c r="B1529">
        <v>2767</v>
      </c>
      <c r="C1529">
        <v>46</v>
      </c>
      <c r="D1529">
        <v>0</v>
      </c>
      <c r="E1529">
        <v>12</v>
      </c>
      <c r="F1529">
        <v>1</v>
      </c>
      <c r="J1529">
        <v>0</v>
      </c>
      <c r="K1529">
        <v>10</v>
      </c>
      <c r="L1529">
        <v>0</v>
      </c>
      <c r="M1529" t="s">
        <v>25022</v>
      </c>
      <c r="N1529">
        <v>74</v>
      </c>
      <c r="O1529" t="s">
        <v>593</v>
      </c>
      <c r="P1529" t="s">
        <v>57</v>
      </c>
      <c r="Q1529">
        <v>82864</v>
      </c>
      <c r="R1529">
        <v>84273</v>
      </c>
      <c r="S1529" t="s">
        <v>594</v>
      </c>
      <c r="T1529">
        <v>470</v>
      </c>
      <c r="U1529" t="s">
        <v>108</v>
      </c>
      <c r="V1529">
        <v>44</v>
      </c>
      <c r="W1529" t="str">
        <f>HYPERLINK("Gene74-zp_tree_all.dnd", "Gene74-tree")</f>
        <v>Gene74-tree</v>
      </c>
      <c r="X1529">
        <v>9</v>
      </c>
      <c r="Y1529">
        <v>8</v>
      </c>
      <c r="Z1529">
        <v>9</v>
      </c>
      <c r="AA1529">
        <v>8</v>
      </c>
      <c r="AB1529">
        <v>0.47059000000000001</v>
      </c>
      <c r="AC1529" t="s">
        <v>135</v>
      </c>
      <c r="AD1529" t="s">
        <v>136</v>
      </c>
      <c r="AE1529" t="s">
        <v>62</v>
      </c>
      <c r="AF1529" t="s">
        <v>62</v>
      </c>
      <c r="AG1529">
        <v>5</v>
      </c>
      <c r="AH1529">
        <v>10</v>
      </c>
      <c r="AI1529">
        <v>12</v>
      </c>
      <c r="AJ1529">
        <v>0.45455000000000001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2</v>
      </c>
      <c r="AQ1529">
        <v>0</v>
      </c>
      <c r="AR1529">
        <v>2</v>
      </c>
      <c r="AS1529">
        <v>11</v>
      </c>
      <c r="AT1529">
        <v>0.15384999999999999</v>
      </c>
      <c r="AU1529">
        <v>14</v>
      </c>
      <c r="AV1529">
        <v>12</v>
      </c>
      <c r="AW1529">
        <v>37</v>
      </c>
      <c r="AX1529">
        <v>13</v>
      </c>
      <c r="AY1529">
        <v>22</v>
      </c>
      <c r="AZ1529">
        <v>9</v>
      </c>
      <c r="BA1529" t="s">
        <v>595</v>
      </c>
      <c r="BB1529" t="s">
        <v>596</v>
      </c>
      <c r="BC1529">
        <v>0.125</v>
      </c>
      <c r="BD1529" t="s">
        <v>65</v>
      </c>
      <c r="BE1529">
        <v>59</v>
      </c>
      <c r="BF1529">
        <v>22</v>
      </c>
      <c r="BG1529" t="s">
        <v>597</v>
      </c>
      <c r="BH1529" t="s">
        <v>598</v>
      </c>
      <c r="BI1529" t="s">
        <v>599</v>
      </c>
      <c r="BJ1529">
        <v>0.12742000000000001</v>
      </c>
      <c r="BK1529">
        <v>1</v>
      </c>
      <c r="BL1529" t="s">
        <v>69</v>
      </c>
      <c r="BM1529">
        <v>-0.41399999999999998</v>
      </c>
      <c r="BN1529">
        <v>-0.871</v>
      </c>
    </row>
    <row r="1530" spans="2:66">
      <c r="B1530">
        <v>2769</v>
      </c>
      <c r="C1530">
        <v>309</v>
      </c>
      <c r="D1530">
        <v>0</v>
      </c>
      <c r="E1530">
        <v>12</v>
      </c>
      <c r="F1530">
        <v>0</v>
      </c>
      <c r="J1530">
        <v>0</v>
      </c>
      <c r="K1530">
        <v>3</v>
      </c>
      <c r="L1530">
        <v>2</v>
      </c>
      <c r="M1530" t="s">
        <v>25022</v>
      </c>
      <c r="N1530">
        <v>75</v>
      </c>
      <c r="O1530" t="s">
        <v>600</v>
      </c>
      <c r="P1530" t="s">
        <v>57</v>
      </c>
      <c r="Q1530">
        <v>84290</v>
      </c>
      <c r="R1530">
        <v>84871</v>
      </c>
      <c r="S1530" t="s">
        <v>601</v>
      </c>
      <c r="T1530">
        <v>194</v>
      </c>
      <c r="U1530" t="s">
        <v>108</v>
      </c>
      <c r="V1530">
        <v>44</v>
      </c>
      <c r="W1530" t="str">
        <f>HYPERLINK("Gene75-zp_tree_all.dnd", "Gene75-tree")</f>
        <v>Gene75-tree</v>
      </c>
      <c r="X1530">
        <v>9</v>
      </c>
      <c r="Y1530">
        <v>6</v>
      </c>
      <c r="Z1530">
        <v>9</v>
      </c>
      <c r="AA1530">
        <v>6</v>
      </c>
      <c r="AB1530">
        <v>0.4</v>
      </c>
      <c r="AC1530" t="s">
        <v>135</v>
      </c>
      <c r="AD1530" t="s">
        <v>90</v>
      </c>
      <c r="AE1530" t="s">
        <v>62</v>
      </c>
      <c r="AF1530" t="s">
        <v>62</v>
      </c>
      <c r="AG1530">
        <v>2</v>
      </c>
      <c r="AH1530">
        <v>5</v>
      </c>
      <c r="AI1530">
        <v>4</v>
      </c>
      <c r="AJ1530">
        <v>0.55556000000000005</v>
      </c>
      <c r="AK1530">
        <v>2</v>
      </c>
      <c r="AL1530">
        <v>0</v>
      </c>
      <c r="AM1530">
        <v>2</v>
      </c>
      <c r="AN1530">
        <v>0</v>
      </c>
      <c r="AO1530">
        <v>1</v>
      </c>
      <c r="AP1530">
        <v>0</v>
      </c>
      <c r="AQ1530">
        <v>2</v>
      </c>
      <c r="AR1530">
        <v>2</v>
      </c>
      <c r="AS1530">
        <v>4</v>
      </c>
      <c r="AT1530">
        <v>0.33333000000000002</v>
      </c>
      <c r="AU1530">
        <v>10</v>
      </c>
      <c r="AV1530">
        <v>8</v>
      </c>
      <c r="AW1530">
        <v>14</v>
      </c>
      <c r="AX1530">
        <v>6</v>
      </c>
      <c r="AY1530">
        <v>12</v>
      </c>
      <c r="AZ1530">
        <v>3</v>
      </c>
      <c r="BA1530" t="s">
        <v>602</v>
      </c>
      <c r="BB1530" t="s">
        <v>603</v>
      </c>
      <c r="BC1530">
        <v>0.63</v>
      </c>
      <c r="BD1530" t="s">
        <v>65</v>
      </c>
      <c r="BE1530">
        <v>26</v>
      </c>
      <c r="BF1530">
        <v>9</v>
      </c>
      <c r="BG1530" t="s">
        <v>604</v>
      </c>
      <c r="BH1530" t="s">
        <v>605</v>
      </c>
      <c r="BI1530" t="s">
        <v>606</v>
      </c>
      <c r="BJ1530">
        <v>8.0810000000000007E-2</v>
      </c>
      <c r="BK1530">
        <v>1</v>
      </c>
      <c r="BL1530" t="s">
        <v>69</v>
      </c>
      <c r="BM1530">
        <v>-0.94199999999999995</v>
      </c>
      <c r="BN1530">
        <v>0.43</v>
      </c>
    </row>
    <row r="1531" spans="2:66">
      <c r="B1531">
        <v>2770</v>
      </c>
      <c r="C1531">
        <v>176</v>
      </c>
      <c r="D1531">
        <v>0</v>
      </c>
      <c r="E1531">
        <v>6</v>
      </c>
      <c r="F1531">
        <v>1</v>
      </c>
      <c r="J1531">
        <v>2</v>
      </c>
      <c r="K1531">
        <v>11</v>
      </c>
      <c r="L1531">
        <v>0</v>
      </c>
      <c r="M1531" t="s">
        <v>25022</v>
      </c>
      <c r="N1531">
        <v>76</v>
      </c>
      <c r="O1531" t="s">
        <v>607</v>
      </c>
      <c r="P1531" t="s">
        <v>57</v>
      </c>
      <c r="Q1531">
        <v>84874</v>
      </c>
      <c r="R1531">
        <v>85752</v>
      </c>
      <c r="S1531" t="s">
        <v>608</v>
      </c>
      <c r="T1531">
        <v>293</v>
      </c>
      <c r="U1531" t="s">
        <v>108</v>
      </c>
      <c r="V1531">
        <v>44</v>
      </c>
      <c r="W1531" t="str">
        <f>HYPERLINK("Gene76-zp_tree_all.dnd", "Gene76-tree")</f>
        <v>Gene76-tree</v>
      </c>
      <c r="X1531">
        <v>7</v>
      </c>
      <c r="Y1531">
        <v>11</v>
      </c>
      <c r="Z1531">
        <v>7</v>
      </c>
      <c r="AA1531">
        <v>11</v>
      </c>
      <c r="AB1531">
        <v>0.61111000000000004</v>
      </c>
      <c r="AC1531" t="s">
        <v>152</v>
      </c>
      <c r="AD1531" t="s">
        <v>73</v>
      </c>
      <c r="AE1531">
        <v>65406436.016999997</v>
      </c>
      <c r="AF1531" t="s">
        <v>267</v>
      </c>
      <c r="AG1531">
        <v>3</v>
      </c>
      <c r="AH1531">
        <v>13</v>
      </c>
      <c r="AI1531">
        <v>16</v>
      </c>
      <c r="AJ1531">
        <v>0.44828000000000001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8</v>
      </c>
      <c r="AQ1531">
        <v>2</v>
      </c>
      <c r="AR1531">
        <v>10</v>
      </c>
      <c r="AS1531">
        <v>14</v>
      </c>
      <c r="AT1531">
        <v>0.41666999999999998</v>
      </c>
      <c r="AU1531">
        <v>12</v>
      </c>
      <c r="AV1531">
        <v>14</v>
      </c>
      <c r="AW1531">
        <v>18</v>
      </c>
      <c r="AX1531">
        <v>22</v>
      </c>
      <c r="AY1531">
        <v>23</v>
      </c>
      <c r="AZ1531">
        <v>7</v>
      </c>
      <c r="BA1531" t="s">
        <v>609</v>
      </c>
      <c r="BB1531" t="s">
        <v>610</v>
      </c>
      <c r="BC1531">
        <v>1.83</v>
      </c>
      <c r="BD1531" t="s">
        <v>65</v>
      </c>
      <c r="BE1531">
        <v>41</v>
      </c>
      <c r="BF1531">
        <v>29</v>
      </c>
      <c r="BG1531" t="s">
        <v>611</v>
      </c>
      <c r="BH1531" t="s">
        <v>612</v>
      </c>
      <c r="BI1531" t="s">
        <v>613</v>
      </c>
      <c r="BJ1531">
        <v>0.12092</v>
      </c>
      <c r="BK1531">
        <v>1</v>
      </c>
      <c r="BL1531" t="s">
        <v>69</v>
      </c>
      <c r="BM1531">
        <v>-0.66300000000000003</v>
      </c>
      <c r="BN1531">
        <v>-0.751</v>
      </c>
    </row>
    <row r="1532" spans="2:66">
      <c r="B1532">
        <v>2771</v>
      </c>
      <c r="C1532">
        <v>296</v>
      </c>
      <c r="D1532">
        <v>0</v>
      </c>
      <c r="E1532">
        <v>4</v>
      </c>
      <c r="F1532">
        <v>5</v>
      </c>
      <c r="J1532">
        <v>0</v>
      </c>
      <c r="K1532">
        <v>10</v>
      </c>
      <c r="L1532">
        <v>0</v>
      </c>
      <c r="M1532" t="s">
        <v>25022</v>
      </c>
      <c r="N1532">
        <v>77</v>
      </c>
      <c r="O1532" t="s">
        <v>614</v>
      </c>
      <c r="P1532" t="s">
        <v>57</v>
      </c>
      <c r="Q1532">
        <v>85737</v>
      </c>
      <c r="R1532">
        <v>86591</v>
      </c>
      <c r="S1532" t="s">
        <v>615</v>
      </c>
      <c r="T1532">
        <v>285</v>
      </c>
      <c r="U1532" t="s">
        <v>108</v>
      </c>
      <c r="V1532">
        <v>44</v>
      </c>
      <c r="W1532" t="str">
        <f>HYPERLINK("Gene77-zp_tree_all.dnd", "Gene77-tree")</f>
        <v>Gene77-tree</v>
      </c>
      <c r="X1532">
        <v>4</v>
      </c>
      <c r="Y1532">
        <v>12</v>
      </c>
      <c r="Z1532">
        <v>4</v>
      </c>
      <c r="AA1532">
        <v>12</v>
      </c>
      <c r="AB1532">
        <v>0.75</v>
      </c>
      <c r="AC1532" t="s">
        <v>61</v>
      </c>
      <c r="AD1532" t="s">
        <v>109</v>
      </c>
      <c r="AE1532" t="s">
        <v>62</v>
      </c>
      <c r="AF1532" t="s">
        <v>62</v>
      </c>
      <c r="AG1532">
        <v>4</v>
      </c>
      <c r="AH1532">
        <v>10</v>
      </c>
      <c r="AI1532">
        <v>13</v>
      </c>
      <c r="AJ1532">
        <v>0.43478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8</v>
      </c>
      <c r="AQ1532">
        <v>0</v>
      </c>
      <c r="AR1532">
        <v>8</v>
      </c>
      <c r="AS1532">
        <v>14</v>
      </c>
      <c r="AT1532">
        <v>0.36364000000000002</v>
      </c>
      <c r="AU1532">
        <v>13</v>
      </c>
      <c r="AV1532">
        <v>11</v>
      </c>
      <c r="AW1532">
        <v>16</v>
      </c>
      <c r="AX1532">
        <v>21</v>
      </c>
      <c r="AY1532">
        <v>18</v>
      </c>
      <c r="AZ1532">
        <v>2</v>
      </c>
      <c r="BA1532" t="s">
        <v>616</v>
      </c>
      <c r="BB1532" t="s">
        <v>617</v>
      </c>
      <c r="BC1532">
        <v>1.198</v>
      </c>
      <c r="BD1532" t="s">
        <v>65</v>
      </c>
      <c r="BE1532">
        <v>34</v>
      </c>
      <c r="BF1532">
        <v>23</v>
      </c>
      <c r="BG1532" t="s">
        <v>618</v>
      </c>
      <c r="BH1532" t="s">
        <v>619</v>
      </c>
      <c r="BI1532" t="s">
        <v>620</v>
      </c>
      <c r="BJ1532">
        <v>0.11737</v>
      </c>
      <c r="BK1532">
        <v>1</v>
      </c>
      <c r="BL1532" t="s">
        <v>69</v>
      </c>
      <c r="BM1532">
        <v>-0.78700000000000003</v>
      </c>
      <c r="BN1532">
        <v>-1.1080000000000001</v>
      </c>
    </row>
    <row r="1533" spans="2:66">
      <c r="B1533">
        <v>2772</v>
      </c>
      <c r="C1533">
        <v>215</v>
      </c>
      <c r="D1533">
        <v>0</v>
      </c>
      <c r="E1533">
        <v>2</v>
      </c>
      <c r="F1533">
        <v>0</v>
      </c>
      <c r="J1533">
        <v>0</v>
      </c>
      <c r="K1533">
        <v>0</v>
      </c>
      <c r="L1533">
        <v>2</v>
      </c>
      <c r="M1533" t="s">
        <v>25022</v>
      </c>
      <c r="N1533">
        <v>78</v>
      </c>
      <c r="O1533" t="s">
        <v>621</v>
      </c>
      <c r="P1533" t="s">
        <v>57</v>
      </c>
      <c r="Q1533">
        <v>86587</v>
      </c>
      <c r="R1533">
        <v>86946</v>
      </c>
      <c r="S1533" t="s">
        <v>622</v>
      </c>
      <c r="T1533">
        <v>120</v>
      </c>
      <c r="U1533" t="s">
        <v>108</v>
      </c>
      <c r="V1533">
        <v>44</v>
      </c>
      <c r="W1533" t="str">
        <f>HYPERLINK("Gene78-zp_tree_all.dnd", "Gene78-tree")</f>
        <v>Gene78-tree</v>
      </c>
      <c r="X1533">
        <v>9</v>
      </c>
      <c r="Y1533">
        <v>2</v>
      </c>
      <c r="Z1533">
        <v>9</v>
      </c>
      <c r="AA1533">
        <v>2</v>
      </c>
      <c r="AB1533">
        <v>0.18182000000000001</v>
      </c>
      <c r="AC1533" t="s">
        <v>135</v>
      </c>
      <c r="AD1533" t="s">
        <v>81</v>
      </c>
      <c r="AE1533" t="s">
        <v>62</v>
      </c>
      <c r="AF1533" t="s">
        <v>62</v>
      </c>
      <c r="AG1533">
        <v>1</v>
      </c>
      <c r="AH1533">
        <v>2</v>
      </c>
      <c r="AI1533">
        <v>2</v>
      </c>
      <c r="AJ1533">
        <v>0.5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2</v>
      </c>
      <c r="AR1533">
        <v>2</v>
      </c>
      <c r="AS1533">
        <v>2</v>
      </c>
      <c r="AT1533">
        <v>0.5</v>
      </c>
      <c r="AU1533">
        <v>8</v>
      </c>
      <c r="AV1533">
        <v>5</v>
      </c>
      <c r="AW1533">
        <v>15</v>
      </c>
      <c r="AX1533">
        <v>4</v>
      </c>
      <c r="AY1533">
        <v>6</v>
      </c>
      <c r="AZ1533">
        <v>0</v>
      </c>
      <c r="BA1533" t="s">
        <v>623</v>
      </c>
      <c r="BB1533" t="s">
        <v>193</v>
      </c>
      <c r="BC1533">
        <v>0.89</v>
      </c>
      <c r="BD1533" t="s">
        <v>65</v>
      </c>
      <c r="BE1533">
        <v>21</v>
      </c>
      <c r="BF1533">
        <v>4</v>
      </c>
      <c r="BG1533" t="s">
        <v>624</v>
      </c>
      <c r="BH1533" t="s">
        <v>625</v>
      </c>
      <c r="BI1533" t="s">
        <v>626</v>
      </c>
      <c r="BJ1533">
        <v>4.3999999999999997E-2</v>
      </c>
      <c r="BK1533">
        <v>1</v>
      </c>
      <c r="BL1533" t="s">
        <v>69</v>
      </c>
      <c r="BM1533">
        <v>-3.1E-2</v>
      </c>
      <c r="BN1533">
        <v>0.32200000000000001</v>
      </c>
    </row>
    <row r="1534" spans="2:66">
      <c r="B1534">
        <v>2774</v>
      </c>
      <c r="C1534">
        <v>290</v>
      </c>
      <c r="D1534">
        <v>0</v>
      </c>
      <c r="E1534">
        <v>2</v>
      </c>
      <c r="F1534">
        <v>0</v>
      </c>
      <c r="J1534">
        <v>0</v>
      </c>
      <c r="K1534">
        <v>3</v>
      </c>
      <c r="L1534">
        <v>0</v>
      </c>
      <c r="M1534" t="s">
        <v>25022</v>
      </c>
      <c r="N1534">
        <v>79</v>
      </c>
      <c r="O1534" t="s">
        <v>627</v>
      </c>
      <c r="P1534" t="s">
        <v>57</v>
      </c>
      <c r="Q1534">
        <v>86946</v>
      </c>
      <c r="R1534">
        <v>87446</v>
      </c>
      <c r="S1534" t="s">
        <v>628</v>
      </c>
      <c r="T1534">
        <v>167</v>
      </c>
      <c r="U1534" t="s">
        <v>629</v>
      </c>
      <c r="V1534">
        <v>43</v>
      </c>
      <c r="W1534" t="str">
        <f>HYPERLINK("Gene79-zp_tree_all.dnd", "Gene79-tree")</f>
        <v>Gene79-tree</v>
      </c>
      <c r="X1534">
        <v>4</v>
      </c>
      <c r="Y1534">
        <v>6</v>
      </c>
      <c r="Z1534">
        <v>4</v>
      </c>
      <c r="AA1534">
        <v>6</v>
      </c>
      <c r="AB1534">
        <v>0.6</v>
      </c>
      <c r="AC1534" t="s">
        <v>61</v>
      </c>
      <c r="AD1534" t="s">
        <v>90</v>
      </c>
      <c r="AE1534" t="s">
        <v>62</v>
      </c>
      <c r="AF1534" t="s">
        <v>62</v>
      </c>
      <c r="AG1534">
        <v>1</v>
      </c>
      <c r="AH1534">
        <v>3</v>
      </c>
      <c r="AI1534">
        <v>5</v>
      </c>
      <c r="AJ1534">
        <v>0.375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2</v>
      </c>
      <c r="AQ1534">
        <v>0</v>
      </c>
      <c r="AR1534">
        <v>2</v>
      </c>
      <c r="AS1534">
        <v>4</v>
      </c>
      <c r="AT1534">
        <v>0.33333000000000002</v>
      </c>
      <c r="AU1534">
        <v>5</v>
      </c>
      <c r="AV1534">
        <v>5</v>
      </c>
      <c r="AW1534">
        <v>4</v>
      </c>
      <c r="AX1534">
        <v>5</v>
      </c>
      <c r="AY1534">
        <v>2</v>
      </c>
      <c r="AZ1534">
        <v>3</v>
      </c>
      <c r="BA1534" t="s">
        <v>630</v>
      </c>
      <c r="BB1534" t="s">
        <v>631</v>
      </c>
      <c r="BC1534">
        <v>0.154</v>
      </c>
      <c r="BD1534" t="s">
        <v>65</v>
      </c>
      <c r="BE1534">
        <v>6</v>
      </c>
      <c r="BF1534">
        <v>8</v>
      </c>
      <c r="BG1534" t="s">
        <v>632</v>
      </c>
      <c r="BH1534" t="s">
        <v>633</v>
      </c>
      <c r="BI1534" t="s">
        <v>634</v>
      </c>
      <c r="BJ1534">
        <v>0.30385000000000001</v>
      </c>
      <c r="BK1534">
        <v>0.92800000000000005</v>
      </c>
      <c r="BL1534" t="s">
        <v>635</v>
      </c>
      <c r="BM1534">
        <v>-0.629</v>
      </c>
      <c r="BN1534">
        <v>-8.3000000000000004E-2</v>
      </c>
    </row>
    <row r="1535" spans="2:66">
      <c r="B1535">
        <v>2775</v>
      </c>
      <c r="C1535">
        <v>68</v>
      </c>
      <c r="D1535">
        <v>0</v>
      </c>
      <c r="E1535">
        <v>2</v>
      </c>
      <c r="F1535">
        <v>0</v>
      </c>
      <c r="J1535">
        <v>0</v>
      </c>
      <c r="K1535">
        <v>2</v>
      </c>
      <c r="L1535">
        <v>0</v>
      </c>
      <c r="M1535" t="s">
        <v>25022</v>
      </c>
      <c r="N1535">
        <v>80</v>
      </c>
      <c r="O1535" t="s">
        <v>636</v>
      </c>
      <c r="P1535" t="s">
        <v>57</v>
      </c>
      <c r="Q1535">
        <v>87401</v>
      </c>
      <c r="R1535">
        <v>87607</v>
      </c>
      <c r="S1535" t="s">
        <v>637</v>
      </c>
      <c r="T1535">
        <v>69</v>
      </c>
      <c r="U1535" t="s">
        <v>515</v>
      </c>
      <c r="V1535">
        <v>51</v>
      </c>
      <c r="W1535" t="str">
        <f>HYPERLINK("Gene80-zp_tree_all.dnd", "Gene80-tree")</f>
        <v>Gene80-tree</v>
      </c>
      <c r="X1535">
        <v>24</v>
      </c>
      <c r="Y1535">
        <v>2</v>
      </c>
      <c r="Z1535">
        <v>7</v>
      </c>
      <c r="AA1535">
        <v>2</v>
      </c>
      <c r="AB1535">
        <v>0.22222</v>
      </c>
      <c r="AC1535" t="s">
        <v>638</v>
      </c>
      <c r="AD1535" t="s">
        <v>81</v>
      </c>
      <c r="AE1535" t="s">
        <v>62</v>
      </c>
      <c r="AF1535" t="s">
        <v>62</v>
      </c>
      <c r="AG1535">
        <v>1</v>
      </c>
      <c r="AH1535">
        <v>2</v>
      </c>
      <c r="AI1535">
        <v>3</v>
      </c>
      <c r="AJ1535">
        <v>0.4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2</v>
      </c>
      <c r="AT1535">
        <v>0</v>
      </c>
      <c r="AU1535">
        <v>6</v>
      </c>
      <c r="AV1535">
        <v>4</v>
      </c>
      <c r="AW1535">
        <v>7</v>
      </c>
      <c r="AX1535">
        <v>1</v>
      </c>
      <c r="AY1535">
        <v>9</v>
      </c>
      <c r="AZ1535">
        <v>4</v>
      </c>
      <c r="BA1535" t="s">
        <v>639</v>
      </c>
      <c r="BB1535" t="s">
        <v>640</v>
      </c>
      <c r="BC1535">
        <v>0.76400000000000001</v>
      </c>
      <c r="BD1535" t="s">
        <v>65</v>
      </c>
      <c r="BE1535">
        <v>16</v>
      </c>
      <c r="BF1535">
        <v>5</v>
      </c>
      <c r="BG1535" t="s">
        <v>641</v>
      </c>
      <c r="BH1535" t="s">
        <v>642</v>
      </c>
      <c r="BI1535" t="s">
        <v>643</v>
      </c>
      <c r="BJ1535">
        <v>8.9270000000000002E-2</v>
      </c>
      <c r="BK1535">
        <v>1</v>
      </c>
      <c r="BL1535" t="s">
        <v>69</v>
      </c>
      <c r="BM1535">
        <v>-1.571</v>
      </c>
      <c r="BN1535">
        <v>-0.371</v>
      </c>
    </row>
    <row r="1536" spans="2:66">
      <c r="B1536">
        <v>2776</v>
      </c>
      <c r="C1536">
        <v>7</v>
      </c>
      <c r="D1536">
        <v>0</v>
      </c>
      <c r="E1536">
        <v>22</v>
      </c>
      <c r="F1536">
        <v>3</v>
      </c>
      <c r="J1536">
        <v>0</v>
      </c>
      <c r="K1536">
        <v>0</v>
      </c>
      <c r="L1536">
        <v>0</v>
      </c>
      <c r="M1536" t="s">
        <v>25022</v>
      </c>
      <c r="N1536">
        <v>81</v>
      </c>
      <c r="O1536" t="s">
        <v>644</v>
      </c>
      <c r="P1536" t="s">
        <v>57</v>
      </c>
      <c r="Q1536">
        <v>87634</v>
      </c>
      <c r="R1536">
        <v>88632</v>
      </c>
      <c r="S1536" t="s">
        <v>645</v>
      </c>
      <c r="T1536">
        <v>333</v>
      </c>
      <c r="U1536" t="s">
        <v>465</v>
      </c>
      <c r="V1536">
        <v>46</v>
      </c>
      <c r="W1536" t="str">
        <f>HYPERLINK("Gene81-zp_tree_all.dnd", "Gene81-tree")</f>
        <v>Gene81-tree</v>
      </c>
      <c r="X1536">
        <v>13</v>
      </c>
      <c r="Y1536">
        <v>5</v>
      </c>
      <c r="Z1536">
        <v>13</v>
      </c>
      <c r="AA1536">
        <v>5</v>
      </c>
      <c r="AB1536">
        <v>0.27778000000000003</v>
      </c>
      <c r="AC1536" t="s">
        <v>507</v>
      </c>
      <c r="AD1536" t="s">
        <v>199</v>
      </c>
      <c r="AE1536" t="s">
        <v>62</v>
      </c>
      <c r="AF1536" t="s">
        <v>62</v>
      </c>
      <c r="AG1536">
        <v>0</v>
      </c>
      <c r="AH1536">
        <v>0</v>
      </c>
      <c r="AI1536">
        <v>11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6</v>
      </c>
      <c r="AT1536">
        <v>0</v>
      </c>
      <c r="AU1536">
        <v>14</v>
      </c>
      <c r="AV1536">
        <v>9</v>
      </c>
      <c r="AW1536">
        <v>25</v>
      </c>
      <c r="AX1536">
        <v>6</v>
      </c>
      <c r="AY1536">
        <v>45</v>
      </c>
      <c r="AZ1536">
        <v>5</v>
      </c>
      <c r="BA1536" t="s">
        <v>646</v>
      </c>
      <c r="BB1536" t="s">
        <v>647</v>
      </c>
      <c r="BC1536">
        <v>0.36699999999999999</v>
      </c>
      <c r="BD1536" t="s">
        <v>65</v>
      </c>
      <c r="BE1536">
        <v>70</v>
      </c>
      <c r="BF1536">
        <v>11</v>
      </c>
      <c r="BG1536" t="s">
        <v>648</v>
      </c>
      <c r="BH1536" t="s">
        <v>649</v>
      </c>
      <c r="BI1536" t="s">
        <v>650</v>
      </c>
      <c r="BJ1536">
        <v>3.7359999999999997E-2</v>
      </c>
      <c r="BK1536">
        <v>1</v>
      </c>
      <c r="BL1536" t="s">
        <v>69</v>
      </c>
      <c r="BM1536">
        <v>-1.6259999999999999</v>
      </c>
      <c r="BN1536">
        <v>6.0000000000000001E-3</v>
      </c>
    </row>
    <row r="1537" spans="2:66">
      <c r="B1537">
        <v>2778</v>
      </c>
      <c r="C1537">
        <v>23</v>
      </c>
      <c r="D1537">
        <v>0</v>
      </c>
      <c r="E1537">
        <v>2</v>
      </c>
      <c r="F1537">
        <v>0</v>
      </c>
      <c r="J1537">
        <v>0</v>
      </c>
      <c r="K1537">
        <v>0</v>
      </c>
      <c r="L1537">
        <v>0</v>
      </c>
      <c r="M1537" t="s">
        <v>25022</v>
      </c>
      <c r="N1537">
        <v>82</v>
      </c>
      <c r="O1537" t="s">
        <v>651</v>
      </c>
      <c r="P1537" t="s">
        <v>57</v>
      </c>
      <c r="Q1537">
        <v>88727</v>
      </c>
      <c r="R1537">
        <v>90223</v>
      </c>
      <c r="S1537" t="s">
        <v>652</v>
      </c>
      <c r="T1537">
        <v>499</v>
      </c>
      <c r="U1537" t="s">
        <v>653</v>
      </c>
      <c r="V1537">
        <v>47</v>
      </c>
      <c r="W1537" t="str">
        <f>HYPERLINK("Gene82-zp_tree_all.dnd", "Gene82-tree")</f>
        <v>Gene82-tree</v>
      </c>
      <c r="X1537">
        <v>15</v>
      </c>
      <c r="Y1537">
        <v>4</v>
      </c>
      <c r="Z1537">
        <v>15</v>
      </c>
      <c r="AA1537">
        <v>4</v>
      </c>
      <c r="AB1537">
        <v>0.21052999999999999</v>
      </c>
      <c r="AC1537" t="s">
        <v>100</v>
      </c>
      <c r="AD1537" t="s">
        <v>61</v>
      </c>
      <c r="AE1537" t="s">
        <v>62</v>
      </c>
      <c r="AF1537" t="s">
        <v>62</v>
      </c>
      <c r="AG1537">
        <v>0</v>
      </c>
      <c r="AH1537">
        <v>0</v>
      </c>
      <c r="AI1537">
        <v>8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6</v>
      </c>
      <c r="AT1537">
        <v>0</v>
      </c>
      <c r="AU1537">
        <v>15</v>
      </c>
      <c r="AV1537">
        <v>13</v>
      </c>
      <c r="AW1537">
        <v>85</v>
      </c>
      <c r="AX1537">
        <v>6</v>
      </c>
      <c r="AY1537">
        <v>82</v>
      </c>
      <c r="AZ1537">
        <v>2</v>
      </c>
      <c r="BA1537" t="s">
        <v>654</v>
      </c>
      <c r="BB1537" t="s">
        <v>655</v>
      </c>
      <c r="BC1537">
        <v>0.38500000000000001</v>
      </c>
      <c r="BD1537" t="s">
        <v>65</v>
      </c>
      <c r="BE1537">
        <v>167</v>
      </c>
      <c r="BF1537">
        <v>8</v>
      </c>
      <c r="BG1537" t="s">
        <v>656</v>
      </c>
      <c r="BH1537" t="s">
        <v>657</v>
      </c>
      <c r="BI1537" t="s">
        <v>658</v>
      </c>
      <c r="BJ1537">
        <v>9.5499999999999995E-3</v>
      </c>
      <c r="BK1537">
        <v>1</v>
      </c>
      <c r="BL1537" t="s">
        <v>69</v>
      </c>
      <c r="BM1537">
        <v>-1.583</v>
      </c>
      <c r="BN1537">
        <v>-1.605</v>
      </c>
    </row>
    <row r="1538" spans="2:66">
      <c r="B1538">
        <v>2779</v>
      </c>
      <c r="C1538">
        <v>2</v>
      </c>
      <c r="D1538">
        <v>0</v>
      </c>
      <c r="E1538">
        <v>2</v>
      </c>
      <c r="F1538">
        <v>0</v>
      </c>
      <c r="J1538">
        <v>0</v>
      </c>
      <c r="K1538">
        <v>0</v>
      </c>
      <c r="L1538">
        <v>0</v>
      </c>
      <c r="M1538" t="s">
        <v>25022</v>
      </c>
      <c r="N1538">
        <v>83</v>
      </c>
      <c r="O1538" t="s">
        <v>659</v>
      </c>
      <c r="P1538" t="s">
        <v>57</v>
      </c>
      <c r="Q1538">
        <v>101449</v>
      </c>
      <c r="R1538">
        <v>101910</v>
      </c>
      <c r="S1538" t="s">
        <v>660</v>
      </c>
      <c r="T1538">
        <v>154</v>
      </c>
      <c r="U1538" t="s">
        <v>59</v>
      </c>
      <c r="V1538">
        <v>49</v>
      </c>
      <c r="W1538" t="str">
        <f>HYPERLINK("Gene83-zp_tree_all.dnd", "Gene83-tree")</f>
        <v>Gene83-tree</v>
      </c>
      <c r="X1538">
        <v>36</v>
      </c>
      <c r="Y1538">
        <v>2</v>
      </c>
      <c r="Z1538">
        <v>12</v>
      </c>
      <c r="AA1538">
        <v>2</v>
      </c>
      <c r="AB1538">
        <v>0.14285999999999999</v>
      </c>
      <c r="AC1538" t="s">
        <v>661</v>
      </c>
      <c r="AD1538" t="s">
        <v>81</v>
      </c>
      <c r="AE1538" t="s">
        <v>62</v>
      </c>
      <c r="AF1538" t="s">
        <v>62</v>
      </c>
      <c r="AG1538">
        <v>0</v>
      </c>
      <c r="AH1538">
        <v>0</v>
      </c>
      <c r="AI1538">
        <v>4</v>
      </c>
      <c r="AJ1538">
        <v>0</v>
      </c>
      <c r="AK1538">
        <v>0</v>
      </c>
      <c r="AL1538">
        <v>0</v>
      </c>
      <c r="AM1538">
        <v>0</v>
      </c>
      <c r="AN1538">
        <v>2</v>
      </c>
      <c r="AO1538">
        <v>0</v>
      </c>
      <c r="AP1538">
        <v>0</v>
      </c>
      <c r="AQ1538">
        <v>0</v>
      </c>
      <c r="AR1538">
        <v>0</v>
      </c>
      <c r="AS1538">
        <v>2</v>
      </c>
      <c r="AT1538">
        <v>0</v>
      </c>
      <c r="AU1538">
        <v>9</v>
      </c>
      <c r="AV1538">
        <v>6</v>
      </c>
      <c r="AW1538">
        <v>11</v>
      </c>
      <c r="AX1538">
        <v>2</v>
      </c>
      <c r="AY1538">
        <v>9</v>
      </c>
      <c r="AZ1538">
        <v>3</v>
      </c>
      <c r="BA1538" t="s">
        <v>662</v>
      </c>
      <c r="BB1538" t="s">
        <v>663</v>
      </c>
      <c r="BC1538">
        <v>0.19</v>
      </c>
      <c r="BD1538" t="s">
        <v>65</v>
      </c>
      <c r="BE1538">
        <v>20</v>
      </c>
      <c r="BF1538">
        <v>5</v>
      </c>
      <c r="BG1538" t="s">
        <v>664</v>
      </c>
      <c r="BH1538" t="s">
        <v>665</v>
      </c>
      <c r="BI1538" t="s">
        <v>666</v>
      </c>
      <c r="BJ1538">
        <v>5.2749999999999998E-2</v>
      </c>
      <c r="BK1538">
        <v>1</v>
      </c>
      <c r="BL1538" t="s">
        <v>69</v>
      </c>
      <c r="BM1538">
        <v>-1.552</v>
      </c>
      <c r="BN1538">
        <v>-1.7549999999999999</v>
      </c>
    </row>
    <row r="1539" spans="2:66">
      <c r="B1539">
        <v>2781</v>
      </c>
      <c r="C1539">
        <v>270</v>
      </c>
      <c r="D1539">
        <v>0</v>
      </c>
      <c r="E1539">
        <v>3</v>
      </c>
      <c r="F1539">
        <v>2</v>
      </c>
      <c r="J1539">
        <v>0</v>
      </c>
      <c r="K1539">
        <v>0</v>
      </c>
      <c r="L1539">
        <v>0</v>
      </c>
      <c r="M1539" t="s">
        <v>25022</v>
      </c>
      <c r="N1539">
        <v>84</v>
      </c>
      <c r="O1539" t="s">
        <v>667</v>
      </c>
      <c r="P1539" t="s">
        <v>57</v>
      </c>
      <c r="Q1539">
        <v>101927</v>
      </c>
      <c r="R1539">
        <v>102481</v>
      </c>
      <c r="S1539" t="s">
        <v>668</v>
      </c>
      <c r="T1539">
        <v>185</v>
      </c>
      <c r="U1539" t="s">
        <v>59</v>
      </c>
      <c r="V1539">
        <v>49</v>
      </c>
      <c r="W1539" t="str">
        <f>HYPERLINK("Gene84-zp_tree_all.dnd", "Gene84-tree")</f>
        <v>Gene84-tree</v>
      </c>
      <c r="X1539">
        <v>7</v>
      </c>
      <c r="Y1539">
        <v>6</v>
      </c>
      <c r="Z1539">
        <v>7</v>
      </c>
      <c r="AA1539">
        <v>6</v>
      </c>
      <c r="AB1539">
        <v>0.46154000000000001</v>
      </c>
      <c r="AC1539" t="s">
        <v>152</v>
      </c>
      <c r="AD1539" t="s">
        <v>90</v>
      </c>
      <c r="AE1539" t="s">
        <v>62</v>
      </c>
      <c r="AF1539" t="s">
        <v>62</v>
      </c>
      <c r="AG1539">
        <v>0</v>
      </c>
      <c r="AH1539">
        <v>0</v>
      </c>
      <c r="AI1539">
        <v>11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8</v>
      </c>
      <c r="AT1539">
        <v>0</v>
      </c>
      <c r="AU1539">
        <v>12</v>
      </c>
      <c r="AV1539">
        <v>6</v>
      </c>
      <c r="AW1539">
        <v>18</v>
      </c>
      <c r="AX1539">
        <v>8</v>
      </c>
      <c r="AY1539">
        <v>26</v>
      </c>
      <c r="AZ1539">
        <v>3</v>
      </c>
      <c r="BA1539" t="s">
        <v>669</v>
      </c>
      <c r="BB1539" t="s">
        <v>670</v>
      </c>
      <c r="BC1539">
        <v>1.091</v>
      </c>
      <c r="BD1539" t="s">
        <v>65</v>
      </c>
      <c r="BE1539">
        <v>44</v>
      </c>
      <c r="BF1539">
        <v>11</v>
      </c>
      <c r="BG1539" t="s">
        <v>671</v>
      </c>
      <c r="BH1539" t="s">
        <v>672</v>
      </c>
      <c r="BI1539" t="s">
        <v>673</v>
      </c>
      <c r="BJ1539">
        <v>3.7819999999999999E-2</v>
      </c>
      <c r="BK1539">
        <v>1</v>
      </c>
      <c r="BL1539" t="s">
        <v>69</v>
      </c>
      <c r="BM1539">
        <v>-1.3740000000000001</v>
      </c>
      <c r="BN1539">
        <v>-0.81599999999999995</v>
      </c>
    </row>
    <row r="1540" spans="2:66">
      <c r="B1540">
        <v>2786</v>
      </c>
      <c r="C1540">
        <v>17</v>
      </c>
      <c r="D1540">
        <v>0</v>
      </c>
      <c r="E1540">
        <v>8</v>
      </c>
      <c r="F1540">
        <v>0</v>
      </c>
      <c r="J1540">
        <v>0</v>
      </c>
      <c r="K1540">
        <v>0</v>
      </c>
      <c r="L1540">
        <v>0</v>
      </c>
      <c r="M1540" t="s">
        <v>25022</v>
      </c>
      <c r="N1540">
        <v>85</v>
      </c>
      <c r="O1540" t="s">
        <v>674</v>
      </c>
      <c r="P1540" t="s">
        <v>57</v>
      </c>
      <c r="Q1540">
        <v>102484</v>
      </c>
      <c r="R1540">
        <v>103572</v>
      </c>
      <c r="S1540" t="s">
        <v>675</v>
      </c>
      <c r="T1540">
        <v>363</v>
      </c>
      <c r="U1540" t="s">
        <v>59</v>
      </c>
      <c r="V1540">
        <v>49</v>
      </c>
      <c r="W1540" t="str">
        <f>HYPERLINK("Gene85-zp_tree_all.dnd", "Gene85-tree")</f>
        <v>Gene85-tree</v>
      </c>
      <c r="X1540">
        <v>15</v>
      </c>
      <c r="Y1540">
        <v>5</v>
      </c>
      <c r="Z1540">
        <v>15</v>
      </c>
      <c r="AA1540">
        <v>5</v>
      </c>
      <c r="AB1540">
        <v>0.25</v>
      </c>
      <c r="AC1540" t="s">
        <v>100</v>
      </c>
      <c r="AD1540" t="s">
        <v>199</v>
      </c>
      <c r="AE1540" t="s">
        <v>62</v>
      </c>
      <c r="AF1540" t="s">
        <v>62</v>
      </c>
      <c r="AG1540">
        <v>0</v>
      </c>
      <c r="AH1540">
        <v>0</v>
      </c>
      <c r="AI1540">
        <v>12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5</v>
      </c>
      <c r="AT1540">
        <v>0</v>
      </c>
      <c r="AU1540">
        <v>17</v>
      </c>
      <c r="AV1540">
        <v>13</v>
      </c>
      <c r="AW1540">
        <v>44</v>
      </c>
      <c r="AX1540">
        <v>5</v>
      </c>
      <c r="AY1540">
        <v>63</v>
      </c>
      <c r="AZ1540">
        <v>8</v>
      </c>
      <c r="BA1540" t="s">
        <v>676</v>
      </c>
      <c r="BB1540" t="s">
        <v>677</v>
      </c>
      <c r="BC1540">
        <v>4.3999999999999997E-2</v>
      </c>
      <c r="BD1540" t="s">
        <v>65</v>
      </c>
      <c r="BE1540">
        <v>107</v>
      </c>
      <c r="BF1540">
        <v>13</v>
      </c>
      <c r="BG1540" t="s">
        <v>678</v>
      </c>
      <c r="BH1540" t="s">
        <v>679</v>
      </c>
      <c r="BI1540" t="s">
        <v>680</v>
      </c>
      <c r="BJ1540">
        <v>3.6069999999999998E-2</v>
      </c>
      <c r="BK1540">
        <v>1</v>
      </c>
      <c r="BL1540" t="s">
        <v>69</v>
      </c>
      <c r="BM1540">
        <v>-1.163</v>
      </c>
      <c r="BN1540">
        <v>-1.238</v>
      </c>
    </row>
    <row r="1541" spans="2:66">
      <c r="B1541">
        <v>2787</v>
      </c>
      <c r="C1541">
        <v>57</v>
      </c>
      <c r="D1541">
        <v>0</v>
      </c>
      <c r="E1541">
        <v>9</v>
      </c>
      <c r="F1541">
        <v>2</v>
      </c>
      <c r="J1541">
        <v>0</v>
      </c>
      <c r="K1541">
        <v>2</v>
      </c>
      <c r="L1541">
        <v>0</v>
      </c>
      <c r="M1541" t="s">
        <v>25022</v>
      </c>
      <c r="N1541">
        <v>86</v>
      </c>
      <c r="O1541" t="s">
        <v>681</v>
      </c>
      <c r="P1541" t="s">
        <v>57</v>
      </c>
      <c r="Q1541">
        <v>103572</v>
      </c>
      <c r="R1541">
        <v>106001</v>
      </c>
      <c r="S1541" t="s">
        <v>682</v>
      </c>
      <c r="T1541">
        <v>810</v>
      </c>
      <c r="U1541" t="s">
        <v>108</v>
      </c>
      <c r="V1541">
        <v>44</v>
      </c>
      <c r="W1541" t="str">
        <f>HYPERLINK("Gene86-zp_tree_all.dnd", "Gene86-tree")</f>
        <v>Gene86-tree</v>
      </c>
      <c r="X1541">
        <v>11</v>
      </c>
      <c r="Y1541">
        <v>2</v>
      </c>
      <c r="Z1541">
        <v>11</v>
      </c>
      <c r="AA1541">
        <v>2</v>
      </c>
      <c r="AB1541">
        <v>0.15384999999999999</v>
      </c>
      <c r="AC1541" t="s">
        <v>73</v>
      </c>
      <c r="AD1541" t="s">
        <v>81</v>
      </c>
      <c r="AE1541" t="s">
        <v>62</v>
      </c>
      <c r="AF1541" t="s">
        <v>62</v>
      </c>
      <c r="AG1541">
        <v>1</v>
      </c>
      <c r="AH1541">
        <v>2</v>
      </c>
      <c r="AI1541">
        <v>2</v>
      </c>
      <c r="AJ1541">
        <v>0.5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3</v>
      </c>
      <c r="AT1541">
        <v>0</v>
      </c>
      <c r="AU1541">
        <v>13</v>
      </c>
      <c r="AV1541">
        <v>8</v>
      </c>
      <c r="AW1541">
        <v>62</v>
      </c>
      <c r="AX1541">
        <v>3</v>
      </c>
      <c r="AY1541">
        <v>29</v>
      </c>
      <c r="AZ1541">
        <v>1</v>
      </c>
      <c r="BA1541" t="s">
        <v>683</v>
      </c>
      <c r="BB1541" t="s">
        <v>684</v>
      </c>
      <c r="BC1541">
        <v>0.113</v>
      </c>
      <c r="BD1541" t="s">
        <v>65</v>
      </c>
      <c r="BE1541">
        <v>91</v>
      </c>
      <c r="BF1541">
        <v>4</v>
      </c>
      <c r="BG1541" t="s">
        <v>685</v>
      </c>
      <c r="BH1541" t="s">
        <v>686</v>
      </c>
      <c r="BI1541" t="s">
        <v>687</v>
      </c>
      <c r="BJ1541">
        <v>1.2959999999999999E-2</v>
      </c>
      <c r="BK1541">
        <v>1</v>
      </c>
      <c r="BL1541" t="s">
        <v>69</v>
      </c>
      <c r="BM1541">
        <v>-0.14699999999999999</v>
      </c>
      <c r="BN1541">
        <v>-0.48399999999999999</v>
      </c>
    </row>
    <row r="1542" spans="2:66">
      <c r="B1542">
        <v>2788</v>
      </c>
      <c r="C1542">
        <v>262</v>
      </c>
      <c r="D1542">
        <v>0</v>
      </c>
      <c r="E1542">
        <v>7</v>
      </c>
      <c r="F1542">
        <v>0</v>
      </c>
      <c r="J1542">
        <v>0</v>
      </c>
      <c r="K1542">
        <v>2</v>
      </c>
      <c r="L1542">
        <v>0</v>
      </c>
      <c r="M1542" t="s">
        <v>25022</v>
      </c>
      <c r="N1542">
        <v>87</v>
      </c>
      <c r="O1542" t="s">
        <v>688</v>
      </c>
      <c r="P1542" t="s">
        <v>57</v>
      </c>
      <c r="Q1542">
        <v>106096</v>
      </c>
      <c r="R1542">
        <v>107469</v>
      </c>
      <c r="S1542" t="s">
        <v>689</v>
      </c>
      <c r="T1542">
        <v>458</v>
      </c>
      <c r="U1542" t="s">
        <v>108</v>
      </c>
      <c r="V1542">
        <v>44</v>
      </c>
      <c r="W1542" t="str">
        <f>HYPERLINK("Gene87-zp_tree_all.dnd", "Gene87-tree")</f>
        <v>Gene87-tree</v>
      </c>
      <c r="X1542">
        <v>9</v>
      </c>
      <c r="Y1542">
        <v>23</v>
      </c>
      <c r="Z1542">
        <v>9</v>
      </c>
      <c r="AA1542">
        <v>4</v>
      </c>
      <c r="AB1542">
        <v>0.30769000000000002</v>
      </c>
      <c r="AC1542" t="s">
        <v>135</v>
      </c>
      <c r="AD1542" t="s">
        <v>690</v>
      </c>
      <c r="AE1542">
        <v>5.6079999999999997</v>
      </c>
      <c r="AF1542" t="s">
        <v>65</v>
      </c>
      <c r="AG1542">
        <v>1</v>
      </c>
      <c r="AH1542">
        <v>2</v>
      </c>
      <c r="AI1542">
        <v>5</v>
      </c>
      <c r="AJ1542">
        <v>0.28571000000000002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5</v>
      </c>
      <c r="AT1542">
        <v>0</v>
      </c>
      <c r="AU1542">
        <v>12</v>
      </c>
      <c r="AV1542">
        <v>8</v>
      </c>
      <c r="AW1542">
        <v>29</v>
      </c>
      <c r="AX1542">
        <v>5</v>
      </c>
      <c r="AY1542">
        <v>30</v>
      </c>
      <c r="AZ1542">
        <v>2</v>
      </c>
      <c r="BA1542" t="s">
        <v>691</v>
      </c>
      <c r="BB1542" t="s">
        <v>692</v>
      </c>
      <c r="BC1542">
        <v>0.63300000000000001</v>
      </c>
      <c r="BD1542" t="s">
        <v>65</v>
      </c>
      <c r="BE1542">
        <v>59</v>
      </c>
      <c r="BF1542">
        <v>7</v>
      </c>
      <c r="BG1542" t="s">
        <v>693</v>
      </c>
      <c r="BH1542" t="s">
        <v>694</v>
      </c>
      <c r="BI1542" t="s">
        <v>695</v>
      </c>
      <c r="BJ1542">
        <v>3.8490000000000003E-2</v>
      </c>
      <c r="BK1542">
        <v>1</v>
      </c>
      <c r="BL1542" t="s">
        <v>69</v>
      </c>
      <c r="BM1542">
        <v>-0.152</v>
      </c>
      <c r="BN1542">
        <v>-0.751</v>
      </c>
    </row>
    <row r="1543" spans="2:66">
      <c r="B1543">
        <v>2789</v>
      </c>
      <c r="C1543">
        <v>306</v>
      </c>
      <c r="D1543">
        <v>0</v>
      </c>
      <c r="E1543">
        <v>12</v>
      </c>
      <c r="F1543">
        <v>0</v>
      </c>
      <c r="J1543">
        <v>0</v>
      </c>
      <c r="K1543">
        <v>0</v>
      </c>
      <c r="L1543">
        <v>0</v>
      </c>
      <c r="M1543" t="s">
        <v>25022</v>
      </c>
      <c r="N1543">
        <v>88</v>
      </c>
      <c r="O1543" t="s">
        <v>696</v>
      </c>
      <c r="P1543" t="s">
        <v>57</v>
      </c>
      <c r="Q1543">
        <v>107476</v>
      </c>
      <c r="R1543">
        <v>108555</v>
      </c>
      <c r="S1543" t="s">
        <v>697</v>
      </c>
      <c r="T1543">
        <v>360</v>
      </c>
      <c r="U1543" t="s">
        <v>698</v>
      </c>
      <c r="V1543">
        <v>47</v>
      </c>
      <c r="W1543" t="str">
        <f>HYPERLINK("Gene88-zp_tree_all.dnd", "Gene88-tree")</f>
        <v>Gene88-tree</v>
      </c>
      <c r="X1543">
        <v>16</v>
      </c>
      <c r="Y1543">
        <v>0</v>
      </c>
      <c r="Z1543">
        <v>16</v>
      </c>
      <c r="AA1543">
        <v>0</v>
      </c>
      <c r="AB1543">
        <v>0</v>
      </c>
      <c r="AC1543" t="s">
        <v>60</v>
      </c>
      <c r="AD1543" t="s">
        <v>62</v>
      </c>
      <c r="AE1543" t="s">
        <v>62</v>
      </c>
      <c r="AF1543" t="s">
        <v>62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11</v>
      </c>
      <c r="AV1543">
        <v>10</v>
      </c>
      <c r="AW1543">
        <v>31</v>
      </c>
      <c r="AX1543">
        <v>0</v>
      </c>
      <c r="AY1543">
        <v>48</v>
      </c>
      <c r="AZ1543">
        <v>2</v>
      </c>
      <c r="BA1543" t="s">
        <v>193</v>
      </c>
      <c r="BB1543" t="s">
        <v>699</v>
      </c>
      <c r="BC1543">
        <v>0.43</v>
      </c>
      <c r="BD1543" t="s">
        <v>65</v>
      </c>
      <c r="BE1543">
        <v>79</v>
      </c>
      <c r="BF1543">
        <v>2</v>
      </c>
      <c r="BG1543" t="s">
        <v>700</v>
      </c>
      <c r="BH1543" t="s">
        <v>701</v>
      </c>
      <c r="BI1543" t="s">
        <v>702</v>
      </c>
      <c r="BJ1543">
        <v>8.2299999999999995E-3</v>
      </c>
      <c r="BK1543">
        <v>1</v>
      </c>
      <c r="BL1543" t="s">
        <v>69</v>
      </c>
      <c r="BM1543">
        <v>-1.4550000000000001</v>
      </c>
      <c r="BN1543">
        <v>-0.81399999999999995</v>
      </c>
    </row>
    <row r="1544" spans="2:66">
      <c r="B1544">
        <v>2790</v>
      </c>
      <c r="C1544">
        <v>15</v>
      </c>
      <c r="D1544">
        <v>0</v>
      </c>
      <c r="E1544">
        <v>8</v>
      </c>
      <c r="F1544">
        <v>2</v>
      </c>
      <c r="J1544">
        <v>0</v>
      </c>
      <c r="K1544">
        <v>4</v>
      </c>
      <c r="L1544">
        <v>0</v>
      </c>
      <c r="M1544" t="s">
        <v>25022</v>
      </c>
      <c r="N1544">
        <v>89</v>
      </c>
      <c r="O1544" t="s">
        <v>703</v>
      </c>
      <c r="P1544" t="s">
        <v>57</v>
      </c>
      <c r="Q1544">
        <v>108674</v>
      </c>
      <c r="R1544">
        <v>109771</v>
      </c>
      <c r="S1544" t="s">
        <v>704</v>
      </c>
      <c r="T1544">
        <v>366</v>
      </c>
      <c r="U1544" t="s">
        <v>59</v>
      </c>
      <c r="V1544">
        <v>49</v>
      </c>
      <c r="W1544" t="str">
        <f>HYPERLINK("Gene89-zp_tree_all.dnd", "Gene89-tree")</f>
        <v>Gene89-tree</v>
      </c>
      <c r="X1544">
        <v>33</v>
      </c>
      <c r="Y1544">
        <v>2</v>
      </c>
      <c r="Z1544">
        <v>12</v>
      </c>
      <c r="AA1544">
        <v>2</v>
      </c>
      <c r="AB1544">
        <v>0.14285999999999999</v>
      </c>
      <c r="AC1544" t="s">
        <v>705</v>
      </c>
      <c r="AD1544" t="s">
        <v>81</v>
      </c>
      <c r="AE1544" t="s">
        <v>62</v>
      </c>
      <c r="AF1544" t="s">
        <v>62</v>
      </c>
      <c r="AG1544">
        <v>2</v>
      </c>
      <c r="AH1544">
        <v>4</v>
      </c>
      <c r="AI1544">
        <v>1</v>
      </c>
      <c r="AJ1544">
        <v>0.8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2</v>
      </c>
      <c r="AT1544">
        <v>0</v>
      </c>
      <c r="AU1544">
        <v>10</v>
      </c>
      <c r="AV1544">
        <v>7</v>
      </c>
      <c r="AW1544">
        <v>37</v>
      </c>
      <c r="AX1544">
        <v>2</v>
      </c>
      <c r="AY1544">
        <v>40</v>
      </c>
      <c r="AZ1544">
        <v>3</v>
      </c>
      <c r="BA1544" t="s">
        <v>706</v>
      </c>
      <c r="BB1544" t="s">
        <v>707</v>
      </c>
      <c r="BC1544">
        <v>0.125</v>
      </c>
      <c r="BD1544" t="s">
        <v>65</v>
      </c>
      <c r="BE1544">
        <v>77</v>
      </c>
      <c r="BF1544">
        <v>5</v>
      </c>
      <c r="BG1544" t="s">
        <v>708</v>
      </c>
      <c r="BH1544" t="s">
        <v>709</v>
      </c>
      <c r="BI1544" t="s">
        <v>710</v>
      </c>
      <c r="BJ1544">
        <v>1.678E-2</v>
      </c>
      <c r="BK1544">
        <v>1</v>
      </c>
      <c r="BL1544" t="s">
        <v>69</v>
      </c>
      <c r="BM1544">
        <v>-1.546</v>
      </c>
      <c r="BN1544">
        <v>-0.71099999999999997</v>
      </c>
    </row>
    <row r="1545" spans="2:66">
      <c r="B1545">
        <v>2791</v>
      </c>
      <c r="C1545">
        <v>15</v>
      </c>
      <c r="D1545">
        <v>0</v>
      </c>
      <c r="E1545">
        <v>4</v>
      </c>
      <c r="F1545">
        <v>0</v>
      </c>
      <c r="J1545">
        <v>0</v>
      </c>
      <c r="K1545">
        <v>4</v>
      </c>
      <c r="L1545">
        <v>3</v>
      </c>
      <c r="M1545" t="s">
        <v>25022</v>
      </c>
      <c r="N1545">
        <v>90</v>
      </c>
      <c r="O1545" t="s">
        <v>711</v>
      </c>
      <c r="P1545" t="s">
        <v>57</v>
      </c>
      <c r="Q1545">
        <v>109789</v>
      </c>
      <c r="R1545">
        <v>110484</v>
      </c>
      <c r="S1545" t="s">
        <v>712</v>
      </c>
      <c r="T1545">
        <v>232</v>
      </c>
      <c r="U1545" t="s">
        <v>289</v>
      </c>
      <c r="V1545">
        <v>46</v>
      </c>
      <c r="W1545" t="str">
        <f>HYPERLINK("Gene90-zp_tree_all.dnd", "Gene90-tree")</f>
        <v>Gene90-tree</v>
      </c>
      <c r="X1545">
        <v>10</v>
      </c>
      <c r="Y1545">
        <v>6</v>
      </c>
      <c r="Z1545">
        <v>10</v>
      </c>
      <c r="AA1545">
        <v>6</v>
      </c>
      <c r="AB1545">
        <v>0.375</v>
      </c>
      <c r="AC1545" t="s">
        <v>117</v>
      </c>
      <c r="AD1545" t="s">
        <v>90</v>
      </c>
      <c r="AE1545" t="s">
        <v>62</v>
      </c>
      <c r="AF1545" t="s">
        <v>62</v>
      </c>
      <c r="AG1545">
        <v>3</v>
      </c>
      <c r="AH1545">
        <v>7</v>
      </c>
      <c r="AI1545">
        <v>11</v>
      </c>
      <c r="AJ1545">
        <v>0.38889000000000001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2</v>
      </c>
      <c r="AR1545">
        <v>2</v>
      </c>
      <c r="AS1545">
        <v>5</v>
      </c>
      <c r="AT1545">
        <v>0.28571000000000002</v>
      </c>
      <c r="AU1545">
        <v>13</v>
      </c>
      <c r="AV1545">
        <v>9</v>
      </c>
      <c r="AW1545">
        <v>13</v>
      </c>
      <c r="AX1545">
        <v>7</v>
      </c>
      <c r="AY1545">
        <v>28</v>
      </c>
      <c r="AZ1545">
        <v>11</v>
      </c>
      <c r="BA1545" t="s">
        <v>713</v>
      </c>
      <c r="BB1545" t="s">
        <v>714</v>
      </c>
      <c r="BC1545">
        <v>0.23300000000000001</v>
      </c>
      <c r="BD1545" t="s">
        <v>65</v>
      </c>
      <c r="BE1545">
        <v>41</v>
      </c>
      <c r="BF1545">
        <v>18</v>
      </c>
      <c r="BG1545" t="s">
        <v>715</v>
      </c>
      <c r="BH1545" t="s">
        <v>716</v>
      </c>
      <c r="BI1545" t="s">
        <v>717</v>
      </c>
      <c r="BJ1545">
        <v>0.13019</v>
      </c>
      <c r="BK1545">
        <v>1</v>
      </c>
      <c r="BL1545" t="s">
        <v>69</v>
      </c>
      <c r="BM1545">
        <v>-1.304</v>
      </c>
      <c r="BN1545">
        <v>0.307</v>
      </c>
    </row>
    <row r="1546" spans="2:66">
      <c r="B1546">
        <v>2795</v>
      </c>
      <c r="C1546">
        <v>97</v>
      </c>
      <c r="D1546">
        <v>0</v>
      </c>
      <c r="E1546">
        <v>5</v>
      </c>
      <c r="F1546">
        <v>0</v>
      </c>
      <c r="J1546">
        <v>0</v>
      </c>
      <c r="K1546">
        <v>2</v>
      </c>
      <c r="L1546">
        <v>0</v>
      </c>
      <c r="M1546" t="s">
        <v>25022</v>
      </c>
      <c r="N1546">
        <v>91</v>
      </c>
      <c r="O1546" t="s">
        <v>718</v>
      </c>
      <c r="P1546" t="s">
        <v>57</v>
      </c>
      <c r="Q1546">
        <v>110480</v>
      </c>
      <c r="R1546">
        <v>110953</v>
      </c>
      <c r="S1546" t="s">
        <v>719</v>
      </c>
      <c r="T1546">
        <v>158</v>
      </c>
      <c r="U1546" t="s">
        <v>108</v>
      </c>
      <c r="V1546">
        <v>44</v>
      </c>
      <c r="W1546" t="str">
        <f>HYPERLINK("Gene91-zp_tree_all.dnd", "Gene91-tree")</f>
        <v>Gene91-tree</v>
      </c>
      <c r="X1546">
        <v>8</v>
      </c>
      <c r="Y1546">
        <v>3</v>
      </c>
      <c r="Z1546">
        <v>8</v>
      </c>
      <c r="AA1546">
        <v>3</v>
      </c>
      <c r="AB1546">
        <v>0.27272999999999997</v>
      </c>
      <c r="AC1546" t="s">
        <v>136</v>
      </c>
      <c r="AD1546" t="s">
        <v>324</v>
      </c>
      <c r="AE1546" t="s">
        <v>62</v>
      </c>
      <c r="AF1546" t="s">
        <v>62</v>
      </c>
      <c r="AG1546">
        <v>1</v>
      </c>
      <c r="AH1546">
        <v>2</v>
      </c>
      <c r="AI1546">
        <v>2</v>
      </c>
      <c r="AJ1546">
        <v>0.5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3</v>
      </c>
      <c r="AT1546">
        <v>0</v>
      </c>
      <c r="AU1546">
        <v>8</v>
      </c>
      <c r="AV1546">
        <v>6</v>
      </c>
      <c r="AW1546">
        <v>10</v>
      </c>
      <c r="AX1546">
        <v>3</v>
      </c>
      <c r="AY1546">
        <v>5</v>
      </c>
      <c r="AZ1546">
        <v>1</v>
      </c>
      <c r="BA1546" t="s">
        <v>720</v>
      </c>
      <c r="BB1546" t="s">
        <v>721</v>
      </c>
      <c r="BC1546">
        <v>0.21</v>
      </c>
      <c r="BD1546" t="s">
        <v>65</v>
      </c>
      <c r="BE1546">
        <v>15</v>
      </c>
      <c r="BF1546">
        <v>4</v>
      </c>
      <c r="BG1546" t="s">
        <v>722</v>
      </c>
      <c r="BH1546" t="s">
        <v>723</v>
      </c>
      <c r="BI1546" t="s">
        <v>724</v>
      </c>
      <c r="BJ1546">
        <v>6.7049999999999998E-2</v>
      </c>
      <c r="BK1546">
        <v>1</v>
      </c>
      <c r="BL1546" t="s">
        <v>69</v>
      </c>
      <c r="BM1546">
        <v>-0.16900000000000001</v>
      </c>
      <c r="BN1546">
        <v>-0.33</v>
      </c>
    </row>
    <row r="1547" spans="2:66">
      <c r="B1547">
        <v>2796</v>
      </c>
      <c r="C1547">
        <v>302</v>
      </c>
      <c r="D1547">
        <v>0</v>
      </c>
      <c r="E1547">
        <v>4</v>
      </c>
      <c r="F1547">
        <v>4</v>
      </c>
      <c r="J1547">
        <v>0</v>
      </c>
      <c r="K1547">
        <v>5</v>
      </c>
      <c r="L1547">
        <v>0</v>
      </c>
      <c r="M1547" t="s">
        <v>25022</v>
      </c>
      <c r="N1547">
        <v>92</v>
      </c>
      <c r="O1547" t="s">
        <v>725</v>
      </c>
      <c r="P1547" t="s">
        <v>57</v>
      </c>
      <c r="Q1547">
        <v>111047</v>
      </c>
      <c r="R1547">
        <v>112495</v>
      </c>
      <c r="S1547" t="s">
        <v>726</v>
      </c>
      <c r="T1547">
        <v>483</v>
      </c>
      <c r="U1547" t="s">
        <v>727</v>
      </c>
      <c r="V1547">
        <v>48</v>
      </c>
      <c r="W1547" t="str">
        <f>HYPERLINK("Gene92-zp_tree_all.dnd", "Gene92-tree")</f>
        <v>Gene92-tree</v>
      </c>
      <c r="X1547">
        <v>14</v>
      </c>
      <c r="Y1547">
        <v>4</v>
      </c>
      <c r="Z1547">
        <v>14</v>
      </c>
      <c r="AA1547">
        <v>4</v>
      </c>
      <c r="AB1547">
        <v>0.22222</v>
      </c>
      <c r="AC1547" t="s">
        <v>543</v>
      </c>
      <c r="AD1547" t="s">
        <v>61</v>
      </c>
      <c r="AE1547" t="s">
        <v>62</v>
      </c>
      <c r="AF1547" t="s">
        <v>62</v>
      </c>
      <c r="AG1547">
        <v>2</v>
      </c>
      <c r="AH1547">
        <v>5</v>
      </c>
      <c r="AI1547">
        <v>11</v>
      </c>
      <c r="AJ1547">
        <v>0.3125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6</v>
      </c>
      <c r="AT1547">
        <v>0</v>
      </c>
      <c r="AU1547">
        <v>18</v>
      </c>
      <c r="AV1547">
        <v>15</v>
      </c>
      <c r="AW1547">
        <v>79</v>
      </c>
      <c r="AX1547">
        <v>6</v>
      </c>
      <c r="AY1547">
        <v>94</v>
      </c>
      <c r="AZ1547">
        <v>11</v>
      </c>
      <c r="BA1547" t="s">
        <v>728</v>
      </c>
      <c r="BB1547" t="s">
        <v>729</v>
      </c>
      <c r="BC1547">
        <v>0.26500000000000001</v>
      </c>
      <c r="BD1547" t="s">
        <v>65</v>
      </c>
      <c r="BE1547">
        <v>173</v>
      </c>
      <c r="BF1547">
        <v>17</v>
      </c>
      <c r="BG1547" t="s">
        <v>730</v>
      </c>
      <c r="BH1547" t="s">
        <v>731</v>
      </c>
      <c r="BI1547" t="s">
        <v>732</v>
      </c>
      <c r="BJ1547">
        <v>2.5659999999999999E-2</v>
      </c>
      <c r="BK1547">
        <v>1</v>
      </c>
      <c r="BL1547" t="s">
        <v>69</v>
      </c>
      <c r="BM1547">
        <v>-0.57699999999999996</v>
      </c>
      <c r="BN1547">
        <v>-0.27300000000000002</v>
      </c>
    </row>
    <row r="1548" spans="2:66">
      <c r="B1548">
        <v>2797</v>
      </c>
      <c r="C1548">
        <v>44</v>
      </c>
      <c r="D1548">
        <v>0</v>
      </c>
      <c r="E1548">
        <v>4</v>
      </c>
      <c r="F1548">
        <v>0</v>
      </c>
      <c r="J1548">
        <v>0</v>
      </c>
      <c r="K1548">
        <v>0</v>
      </c>
      <c r="L1548">
        <v>0</v>
      </c>
      <c r="M1548" t="s">
        <v>25022</v>
      </c>
      <c r="N1548">
        <v>93</v>
      </c>
      <c r="O1548" t="s">
        <v>733</v>
      </c>
      <c r="P1548" t="s">
        <v>57</v>
      </c>
      <c r="Q1548">
        <v>112800</v>
      </c>
      <c r="R1548">
        <v>113450</v>
      </c>
      <c r="S1548" t="s">
        <v>734</v>
      </c>
      <c r="T1548">
        <v>217</v>
      </c>
      <c r="U1548" t="s">
        <v>59</v>
      </c>
      <c r="V1548">
        <v>49</v>
      </c>
      <c r="W1548" t="str">
        <f>HYPERLINK("Gene93-zp_tree_all.dnd", "Gene93-tree")</f>
        <v>Gene93-tree</v>
      </c>
      <c r="X1548">
        <v>15</v>
      </c>
      <c r="Y1548">
        <v>3</v>
      </c>
      <c r="Z1548">
        <v>15</v>
      </c>
      <c r="AA1548">
        <v>3</v>
      </c>
      <c r="AB1548">
        <v>0.16667000000000001</v>
      </c>
      <c r="AC1548" t="s">
        <v>100</v>
      </c>
      <c r="AD1548" t="s">
        <v>324</v>
      </c>
      <c r="AE1548" t="s">
        <v>62</v>
      </c>
      <c r="AF1548" t="s">
        <v>62</v>
      </c>
      <c r="AG1548">
        <v>0</v>
      </c>
      <c r="AH1548">
        <v>0</v>
      </c>
      <c r="AI1548">
        <v>5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3</v>
      </c>
      <c r="AT1548">
        <v>0</v>
      </c>
      <c r="AU1548">
        <v>13</v>
      </c>
      <c r="AV1548">
        <v>9</v>
      </c>
      <c r="AW1548">
        <v>28</v>
      </c>
      <c r="AX1548">
        <v>3</v>
      </c>
      <c r="AY1548">
        <v>24</v>
      </c>
      <c r="AZ1548">
        <v>2</v>
      </c>
      <c r="BA1548" t="s">
        <v>735</v>
      </c>
      <c r="BB1548" t="s">
        <v>736</v>
      </c>
      <c r="BC1548">
        <v>0.155</v>
      </c>
      <c r="BD1548" t="s">
        <v>65</v>
      </c>
      <c r="BE1548">
        <v>52</v>
      </c>
      <c r="BF1548">
        <v>5</v>
      </c>
      <c r="BG1548" t="s">
        <v>737</v>
      </c>
      <c r="BH1548" t="s">
        <v>738</v>
      </c>
      <c r="BI1548" t="s">
        <v>739</v>
      </c>
      <c r="BJ1548">
        <v>2.4740000000000002E-2</v>
      </c>
      <c r="BK1548">
        <v>1</v>
      </c>
      <c r="BL1548" t="s">
        <v>69</v>
      </c>
      <c r="BM1548">
        <v>-1.3740000000000001</v>
      </c>
      <c r="BN1548">
        <v>-0.73899999999999999</v>
      </c>
    </row>
    <row r="1549" spans="2:66">
      <c r="B1549">
        <v>2798</v>
      </c>
      <c r="C1549">
        <v>13</v>
      </c>
      <c r="D1549">
        <v>0</v>
      </c>
      <c r="E1549">
        <v>2</v>
      </c>
      <c r="F1549">
        <v>1</v>
      </c>
      <c r="J1549">
        <v>0</v>
      </c>
      <c r="K1549">
        <v>3</v>
      </c>
      <c r="L1549">
        <v>2</v>
      </c>
      <c r="M1549" t="s">
        <v>25022</v>
      </c>
      <c r="N1549">
        <v>94</v>
      </c>
      <c r="O1549" t="s">
        <v>740</v>
      </c>
      <c r="P1549" t="s">
        <v>57</v>
      </c>
      <c r="Q1549">
        <v>113450</v>
      </c>
      <c r="R1549">
        <v>114847</v>
      </c>
      <c r="S1549" t="s">
        <v>741</v>
      </c>
      <c r="T1549">
        <v>466</v>
      </c>
      <c r="U1549" t="s">
        <v>465</v>
      </c>
      <c r="V1549">
        <v>46</v>
      </c>
      <c r="W1549" t="str">
        <f>HYPERLINK("Gene94-zp_tree_all.dnd", "Gene94-tree")</f>
        <v>Gene94-tree</v>
      </c>
      <c r="X1549">
        <v>7</v>
      </c>
      <c r="Y1549">
        <v>9</v>
      </c>
      <c r="Z1549">
        <v>7</v>
      </c>
      <c r="AA1549">
        <v>9</v>
      </c>
      <c r="AB1549">
        <v>0.5625</v>
      </c>
      <c r="AC1549" t="s">
        <v>152</v>
      </c>
      <c r="AD1549" t="s">
        <v>135</v>
      </c>
      <c r="AE1549" t="s">
        <v>62</v>
      </c>
      <c r="AF1549" t="s">
        <v>62</v>
      </c>
      <c r="AG1549">
        <v>2</v>
      </c>
      <c r="AH1549">
        <v>5</v>
      </c>
      <c r="AI1549">
        <v>7</v>
      </c>
      <c r="AJ1549">
        <v>0.41666999999999998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9</v>
      </c>
      <c r="AT1549">
        <v>0</v>
      </c>
      <c r="AU1549">
        <v>15</v>
      </c>
      <c r="AV1549">
        <v>11</v>
      </c>
      <c r="AW1549">
        <v>102</v>
      </c>
      <c r="AX1549">
        <v>9</v>
      </c>
      <c r="AY1549">
        <v>30</v>
      </c>
      <c r="AZ1549">
        <v>3</v>
      </c>
      <c r="BA1549" t="s">
        <v>742</v>
      </c>
      <c r="BB1549" t="s">
        <v>743</v>
      </c>
      <c r="BC1549">
        <v>0.108</v>
      </c>
      <c r="BD1549" t="s">
        <v>65</v>
      </c>
      <c r="BE1549">
        <v>132</v>
      </c>
      <c r="BF1549">
        <v>12</v>
      </c>
      <c r="BG1549" t="s">
        <v>744</v>
      </c>
      <c r="BH1549" t="s">
        <v>745</v>
      </c>
      <c r="BI1549" t="s">
        <v>746</v>
      </c>
      <c r="BJ1549">
        <v>2.1510000000000001E-2</v>
      </c>
      <c r="BK1549">
        <v>1</v>
      </c>
      <c r="BL1549" t="s">
        <v>69</v>
      </c>
      <c r="BM1549">
        <v>-1.5069999999999999</v>
      </c>
      <c r="BN1549">
        <v>0.182</v>
      </c>
    </row>
    <row r="1550" spans="2:66">
      <c r="B1550">
        <v>2800</v>
      </c>
      <c r="C1550">
        <v>139</v>
      </c>
      <c r="D1550">
        <v>0</v>
      </c>
      <c r="E1550">
        <v>5</v>
      </c>
      <c r="F1550">
        <v>0</v>
      </c>
      <c r="J1550">
        <v>0</v>
      </c>
      <c r="K1550">
        <v>3</v>
      </c>
      <c r="L1550">
        <v>0</v>
      </c>
      <c r="M1550" t="s">
        <v>25022</v>
      </c>
      <c r="N1550">
        <v>95</v>
      </c>
      <c r="O1550" t="s">
        <v>747</v>
      </c>
      <c r="P1550" t="s">
        <v>57</v>
      </c>
      <c r="Q1550">
        <v>114854</v>
      </c>
      <c r="R1550">
        <v>115282</v>
      </c>
      <c r="S1550" t="s">
        <v>748</v>
      </c>
      <c r="T1550">
        <v>143</v>
      </c>
      <c r="U1550" t="s">
        <v>749</v>
      </c>
      <c r="V1550">
        <v>47</v>
      </c>
      <c r="W1550" t="str">
        <f>HYPERLINK("Gene95-zp_tree_all.dnd", "Gene95-tree")</f>
        <v>Gene95-tree</v>
      </c>
      <c r="X1550">
        <v>9</v>
      </c>
      <c r="Y1550">
        <v>3</v>
      </c>
      <c r="Z1550">
        <v>9</v>
      </c>
      <c r="AA1550">
        <v>3</v>
      </c>
      <c r="AB1550">
        <v>0.25</v>
      </c>
      <c r="AC1550" t="s">
        <v>135</v>
      </c>
      <c r="AD1550" t="s">
        <v>324</v>
      </c>
      <c r="AE1550" t="s">
        <v>62</v>
      </c>
      <c r="AF1550" t="s">
        <v>62</v>
      </c>
      <c r="AG1550">
        <v>1</v>
      </c>
      <c r="AH1550">
        <v>3</v>
      </c>
      <c r="AI1550">
        <v>6</v>
      </c>
      <c r="AJ1550">
        <v>0.33333000000000002</v>
      </c>
      <c r="AK1550">
        <v>2</v>
      </c>
      <c r="AL1550">
        <v>0</v>
      </c>
      <c r="AM1550">
        <v>2</v>
      </c>
      <c r="AN1550">
        <v>3</v>
      </c>
      <c r="AO1550">
        <v>0.4</v>
      </c>
      <c r="AP1550">
        <v>0</v>
      </c>
      <c r="AQ1550">
        <v>0</v>
      </c>
      <c r="AR1550">
        <v>0</v>
      </c>
      <c r="AS1550">
        <v>4</v>
      </c>
      <c r="AT1550">
        <v>0</v>
      </c>
      <c r="AU1550">
        <v>7</v>
      </c>
      <c r="AV1550">
        <v>5</v>
      </c>
      <c r="AW1550">
        <v>11</v>
      </c>
      <c r="AX1550">
        <v>4</v>
      </c>
      <c r="AY1550">
        <v>12</v>
      </c>
      <c r="AZ1550">
        <v>5</v>
      </c>
      <c r="BA1550" t="s">
        <v>750</v>
      </c>
      <c r="BB1550" t="s">
        <v>751</v>
      </c>
      <c r="BC1550">
        <v>5.8000000000000003E-2</v>
      </c>
      <c r="BD1550" t="s">
        <v>65</v>
      </c>
      <c r="BE1550">
        <v>23</v>
      </c>
      <c r="BF1550">
        <v>9</v>
      </c>
      <c r="BG1550" t="s">
        <v>752</v>
      </c>
      <c r="BH1550" t="s">
        <v>753</v>
      </c>
      <c r="BI1550" t="s">
        <v>754</v>
      </c>
      <c r="BJ1550">
        <v>9.7199999999999995E-2</v>
      </c>
      <c r="BK1550">
        <v>1</v>
      </c>
      <c r="BL1550" t="s">
        <v>69</v>
      </c>
      <c r="BM1550">
        <v>-2.0489999999999999</v>
      </c>
      <c r="BN1550">
        <v>-1.5880000000000001</v>
      </c>
    </row>
    <row r="1551" spans="2:66">
      <c r="B1551">
        <v>2801</v>
      </c>
      <c r="C1551">
        <v>32</v>
      </c>
      <c r="D1551">
        <v>0</v>
      </c>
      <c r="E1551">
        <v>4</v>
      </c>
      <c r="F1551">
        <v>6</v>
      </c>
      <c r="J1551">
        <v>0</v>
      </c>
      <c r="K1551">
        <v>0</v>
      </c>
      <c r="L1551">
        <v>0</v>
      </c>
      <c r="M1551" t="s">
        <v>25022</v>
      </c>
      <c r="N1551">
        <v>96</v>
      </c>
      <c r="O1551" t="s">
        <v>755</v>
      </c>
      <c r="P1551" t="s">
        <v>57</v>
      </c>
      <c r="Q1551">
        <v>115269</v>
      </c>
      <c r="R1551">
        <v>116015</v>
      </c>
      <c r="S1551" t="s">
        <v>756</v>
      </c>
      <c r="T1551">
        <v>249</v>
      </c>
      <c r="U1551" t="s">
        <v>698</v>
      </c>
      <c r="V1551">
        <v>47</v>
      </c>
      <c r="W1551" t="str">
        <f>HYPERLINK("Gene96-zp_tree_all.dnd", "Gene96-tree")</f>
        <v>Gene96-tree</v>
      </c>
      <c r="X1551">
        <v>13</v>
      </c>
      <c r="Y1551">
        <v>3</v>
      </c>
      <c r="Z1551">
        <v>13</v>
      </c>
      <c r="AA1551">
        <v>3</v>
      </c>
      <c r="AB1551">
        <v>0.1875</v>
      </c>
      <c r="AC1551" t="s">
        <v>507</v>
      </c>
      <c r="AD1551" t="s">
        <v>324</v>
      </c>
      <c r="AE1551" t="s">
        <v>62</v>
      </c>
      <c r="AF1551" t="s">
        <v>62</v>
      </c>
      <c r="AG1551">
        <v>0</v>
      </c>
      <c r="AH1551">
        <v>0</v>
      </c>
      <c r="AI1551">
        <v>5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3</v>
      </c>
      <c r="AT1551">
        <v>0</v>
      </c>
      <c r="AU1551">
        <v>14</v>
      </c>
      <c r="AV1551">
        <v>7</v>
      </c>
      <c r="AW1551">
        <v>22</v>
      </c>
      <c r="AX1551">
        <v>3</v>
      </c>
      <c r="AY1551">
        <v>39</v>
      </c>
      <c r="AZ1551">
        <v>2</v>
      </c>
      <c r="BA1551" t="s">
        <v>757</v>
      </c>
      <c r="BB1551" t="s">
        <v>758</v>
      </c>
      <c r="BC1551">
        <v>0.39600000000000002</v>
      </c>
      <c r="BD1551" t="s">
        <v>65</v>
      </c>
      <c r="BE1551">
        <v>61</v>
      </c>
      <c r="BF1551">
        <v>5</v>
      </c>
      <c r="BG1551" t="s">
        <v>759</v>
      </c>
      <c r="BH1551" t="s">
        <v>760</v>
      </c>
      <c r="BI1551" t="s">
        <v>761</v>
      </c>
      <c r="BJ1551">
        <v>2.1989999999999999E-2</v>
      </c>
      <c r="BK1551">
        <v>1</v>
      </c>
      <c r="BL1551" t="s">
        <v>69</v>
      </c>
      <c r="BM1551">
        <v>-1.484</v>
      </c>
      <c r="BN1551">
        <v>-0.872</v>
      </c>
    </row>
    <row r="1552" spans="2:66">
      <c r="B1552">
        <v>2802</v>
      </c>
      <c r="C1552">
        <v>188</v>
      </c>
      <c r="D1552">
        <v>0</v>
      </c>
      <c r="E1552">
        <v>26</v>
      </c>
      <c r="F1552">
        <v>13</v>
      </c>
      <c r="J1552">
        <v>0</v>
      </c>
      <c r="K1552">
        <v>2</v>
      </c>
      <c r="L1552">
        <v>0</v>
      </c>
      <c r="M1552" t="s">
        <v>25022</v>
      </c>
      <c r="N1552">
        <v>97</v>
      </c>
      <c r="O1552" t="s">
        <v>762</v>
      </c>
      <c r="P1552" t="s">
        <v>57</v>
      </c>
      <c r="Q1552">
        <v>116025</v>
      </c>
      <c r="R1552">
        <v>116534</v>
      </c>
      <c r="S1552" t="s">
        <v>763</v>
      </c>
      <c r="T1552">
        <v>170</v>
      </c>
      <c r="U1552" t="s">
        <v>59</v>
      </c>
      <c r="V1552">
        <v>49</v>
      </c>
      <c r="W1552" t="str">
        <f>HYPERLINK("Gene97-zp_tree_all.dnd", "Gene97-tree")</f>
        <v>Gene97-tree</v>
      </c>
      <c r="X1552">
        <v>13</v>
      </c>
      <c r="Y1552">
        <v>1</v>
      </c>
      <c r="Z1552">
        <v>13</v>
      </c>
      <c r="AA1552">
        <v>1</v>
      </c>
      <c r="AB1552">
        <v>7.1429999999999993E-2</v>
      </c>
      <c r="AC1552" t="s">
        <v>507</v>
      </c>
      <c r="AD1552" t="s">
        <v>175</v>
      </c>
      <c r="AE1552" t="s">
        <v>62</v>
      </c>
      <c r="AF1552" t="s">
        <v>62</v>
      </c>
      <c r="AG1552">
        <v>1</v>
      </c>
      <c r="AH1552">
        <v>2</v>
      </c>
      <c r="AI1552">
        <v>2</v>
      </c>
      <c r="AJ1552">
        <v>0.5</v>
      </c>
      <c r="AK1552">
        <v>0</v>
      </c>
      <c r="AL1552">
        <v>0</v>
      </c>
      <c r="AM1552">
        <v>0</v>
      </c>
      <c r="AN1552">
        <v>3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9</v>
      </c>
      <c r="AV1552">
        <v>6</v>
      </c>
      <c r="AW1552">
        <v>13</v>
      </c>
      <c r="AX1552">
        <v>1</v>
      </c>
      <c r="AY1552">
        <v>16</v>
      </c>
      <c r="AZ1552">
        <v>3</v>
      </c>
      <c r="BA1552" t="s">
        <v>764</v>
      </c>
      <c r="BB1552" t="s">
        <v>765</v>
      </c>
      <c r="BC1552">
        <v>0.36199999999999999</v>
      </c>
      <c r="BD1552" t="s">
        <v>65</v>
      </c>
      <c r="BE1552">
        <v>29</v>
      </c>
      <c r="BF1552">
        <v>4</v>
      </c>
      <c r="BG1552" t="s">
        <v>766</v>
      </c>
      <c r="BH1552" t="s">
        <v>767</v>
      </c>
      <c r="BI1552" t="s">
        <v>768</v>
      </c>
      <c r="BJ1552">
        <v>4.1500000000000002E-2</v>
      </c>
      <c r="BK1552">
        <v>1</v>
      </c>
      <c r="BL1552" t="s">
        <v>69</v>
      </c>
      <c r="BM1552">
        <v>-1.6930000000000001</v>
      </c>
      <c r="BN1552">
        <v>-0.23400000000000001</v>
      </c>
    </row>
    <row r="1553" spans="2:66">
      <c r="B1553">
        <v>2804</v>
      </c>
      <c r="C1553">
        <v>12</v>
      </c>
      <c r="D1553">
        <v>0</v>
      </c>
      <c r="E1553">
        <v>3</v>
      </c>
      <c r="F1553">
        <v>2</v>
      </c>
      <c r="J1553">
        <v>0</v>
      </c>
      <c r="K1553">
        <v>0</v>
      </c>
      <c r="L1553">
        <v>0</v>
      </c>
      <c r="M1553" t="s">
        <v>25022</v>
      </c>
      <c r="N1553">
        <v>98</v>
      </c>
      <c r="O1553" t="s">
        <v>769</v>
      </c>
      <c r="P1553" t="s">
        <v>57</v>
      </c>
      <c r="Q1553">
        <v>116600</v>
      </c>
      <c r="R1553">
        <v>117253</v>
      </c>
      <c r="S1553" t="s">
        <v>770</v>
      </c>
      <c r="T1553">
        <v>218</v>
      </c>
      <c r="U1553" t="s">
        <v>59</v>
      </c>
      <c r="V1553">
        <v>49</v>
      </c>
      <c r="W1553" t="str">
        <f>HYPERLINK("Gene98-zp_tree_all.dnd", "Gene98-tree")</f>
        <v>Gene98-tree</v>
      </c>
      <c r="X1553">
        <v>13</v>
      </c>
      <c r="Y1553">
        <v>12</v>
      </c>
      <c r="Z1553">
        <v>13</v>
      </c>
      <c r="AA1553">
        <v>1</v>
      </c>
      <c r="AB1553">
        <v>7.1429999999999993E-2</v>
      </c>
      <c r="AC1553" t="s">
        <v>507</v>
      </c>
      <c r="AD1553" t="s">
        <v>175</v>
      </c>
      <c r="AE1553" t="s">
        <v>62</v>
      </c>
      <c r="AF1553" t="s">
        <v>62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11</v>
      </c>
      <c r="AV1553">
        <v>6</v>
      </c>
      <c r="AW1553">
        <v>19</v>
      </c>
      <c r="AX1553">
        <v>1</v>
      </c>
      <c r="AY1553">
        <v>19</v>
      </c>
      <c r="AZ1553">
        <v>0</v>
      </c>
      <c r="BA1553" t="s">
        <v>771</v>
      </c>
      <c r="BB1553" t="s">
        <v>193</v>
      </c>
      <c r="BC1553">
        <v>0.30599999999999999</v>
      </c>
      <c r="BD1553" t="s">
        <v>65</v>
      </c>
      <c r="BE1553">
        <v>38</v>
      </c>
      <c r="BF1553">
        <v>1</v>
      </c>
      <c r="BG1553" t="s">
        <v>772</v>
      </c>
      <c r="BH1553" t="s">
        <v>773</v>
      </c>
      <c r="BI1553" t="s">
        <v>774</v>
      </c>
      <c r="BJ1553">
        <v>3.8400000000000001E-3</v>
      </c>
      <c r="BK1553">
        <v>1</v>
      </c>
      <c r="BL1553" t="s">
        <v>69</v>
      </c>
      <c r="BM1553">
        <v>-1.514</v>
      </c>
      <c r="BN1553">
        <v>-1.401</v>
      </c>
    </row>
    <row r="1554" spans="2:66">
      <c r="B1554">
        <v>2805</v>
      </c>
      <c r="C1554">
        <v>30</v>
      </c>
      <c r="D1554">
        <v>0</v>
      </c>
      <c r="E1554">
        <v>2</v>
      </c>
      <c r="F1554">
        <v>0</v>
      </c>
      <c r="J1554">
        <v>0</v>
      </c>
      <c r="K1554">
        <v>0</v>
      </c>
      <c r="L1554">
        <v>0</v>
      </c>
      <c r="M1554" t="s">
        <v>25022</v>
      </c>
      <c r="N1554">
        <v>99</v>
      </c>
      <c r="O1554" t="s">
        <v>775</v>
      </c>
      <c r="P1554" t="s">
        <v>57</v>
      </c>
      <c r="Q1554">
        <v>117349</v>
      </c>
      <c r="R1554">
        <v>117495</v>
      </c>
      <c r="S1554" t="s">
        <v>776</v>
      </c>
      <c r="T1554">
        <v>49</v>
      </c>
      <c r="U1554" t="s">
        <v>59</v>
      </c>
      <c r="V1554">
        <v>49</v>
      </c>
      <c r="W1554" t="str">
        <f>HYPERLINK("Gene99-zp_tree_all.dnd", "Gene99-tree")</f>
        <v>Gene99-tree</v>
      </c>
      <c r="X1554">
        <v>5</v>
      </c>
      <c r="Y1554">
        <v>0</v>
      </c>
      <c r="Z1554">
        <v>5</v>
      </c>
      <c r="AA1554">
        <v>0</v>
      </c>
      <c r="AB1554">
        <v>0</v>
      </c>
      <c r="AC1554" t="s">
        <v>199</v>
      </c>
      <c r="AD1554" t="s">
        <v>62</v>
      </c>
      <c r="AE1554" t="s">
        <v>62</v>
      </c>
      <c r="AF1554" t="s">
        <v>62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3</v>
      </c>
      <c r="AV1554">
        <v>1</v>
      </c>
      <c r="AW1554">
        <v>3</v>
      </c>
      <c r="AX1554">
        <v>0</v>
      </c>
      <c r="AY1554">
        <v>1</v>
      </c>
      <c r="AZ1554">
        <v>0</v>
      </c>
      <c r="BA1554" t="s">
        <v>193</v>
      </c>
      <c r="BB1554" t="s">
        <v>193</v>
      </c>
      <c r="BC1554">
        <v>0</v>
      </c>
      <c r="BD1554" t="s">
        <v>65</v>
      </c>
      <c r="BE1554">
        <v>4</v>
      </c>
      <c r="BF1554">
        <v>0</v>
      </c>
      <c r="BG1554" t="s">
        <v>777</v>
      </c>
      <c r="BH1554" t="s">
        <v>778</v>
      </c>
      <c r="BI1554" t="s">
        <v>193</v>
      </c>
      <c r="BJ1554">
        <v>0</v>
      </c>
      <c r="BK1554">
        <v>1</v>
      </c>
      <c r="BL1554" t="s">
        <v>69</v>
      </c>
      <c r="BM1554">
        <v>-1.4930000000000001</v>
      </c>
      <c r="BN1554">
        <v>-2.29</v>
      </c>
    </row>
    <row r="1555" spans="2:66">
      <c r="B1555">
        <v>2808</v>
      </c>
      <c r="C1555">
        <v>178</v>
      </c>
      <c r="D1555">
        <v>0</v>
      </c>
      <c r="E1555">
        <v>6</v>
      </c>
      <c r="F1555">
        <v>0</v>
      </c>
      <c r="J1555">
        <v>0</v>
      </c>
      <c r="K1555">
        <v>2</v>
      </c>
      <c r="L1555">
        <v>0</v>
      </c>
      <c r="M1555" t="s">
        <v>25022</v>
      </c>
      <c r="N1555">
        <v>100</v>
      </c>
      <c r="O1555" t="s">
        <v>779</v>
      </c>
      <c r="P1555" t="s">
        <v>57</v>
      </c>
      <c r="Q1555">
        <v>117532</v>
      </c>
      <c r="R1555">
        <v>117708</v>
      </c>
      <c r="S1555" t="s">
        <v>780</v>
      </c>
      <c r="T1555">
        <v>59</v>
      </c>
      <c r="U1555" t="s">
        <v>59</v>
      </c>
      <c r="V1555">
        <v>49</v>
      </c>
      <c r="W1555" t="str">
        <f>HYPERLINK("Gene100-zp_tree_all.dnd", "Gene100-tree")</f>
        <v>Gene100-tree</v>
      </c>
      <c r="X1555">
        <v>0</v>
      </c>
      <c r="Y1555">
        <v>6</v>
      </c>
      <c r="Z1555">
        <v>0</v>
      </c>
      <c r="AA1555">
        <v>6</v>
      </c>
      <c r="AB1555">
        <v>1</v>
      </c>
      <c r="AC1555" t="s">
        <v>62</v>
      </c>
      <c r="AD1555" t="s">
        <v>90</v>
      </c>
      <c r="AE1555" t="s">
        <v>62</v>
      </c>
      <c r="AF1555" t="s">
        <v>62</v>
      </c>
      <c r="AG1555">
        <v>1</v>
      </c>
      <c r="AH1555">
        <v>2</v>
      </c>
      <c r="AI1555">
        <v>3</v>
      </c>
      <c r="AJ1555">
        <v>0.4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2</v>
      </c>
      <c r="AQ1555">
        <v>0</v>
      </c>
      <c r="AR1555">
        <v>2</v>
      </c>
      <c r="AS1555">
        <v>3</v>
      </c>
      <c r="AT1555">
        <v>0.4</v>
      </c>
      <c r="AU1555">
        <v>3</v>
      </c>
      <c r="AV1555">
        <v>2</v>
      </c>
      <c r="AW1555">
        <v>0</v>
      </c>
      <c r="AX1555">
        <v>3</v>
      </c>
      <c r="AY1555">
        <v>1</v>
      </c>
      <c r="AZ1555">
        <v>2</v>
      </c>
      <c r="BA1555" t="s">
        <v>193</v>
      </c>
      <c r="BB1555" t="s">
        <v>781</v>
      </c>
      <c r="BC1555">
        <v>1.4139999999999999</v>
      </c>
      <c r="BD1555" t="s">
        <v>65</v>
      </c>
      <c r="BE1555">
        <v>1</v>
      </c>
      <c r="BF1555">
        <v>5</v>
      </c>
      <c r="BG1555" t="s">
        <v>782</v>
      </c>
      <c r="BH1555" t="s">
        <v>783</v>
      </c>
      <c r="BI1555" t="s">
        <v>784</v>
      </c>
      <c r="BJ1555">
        <v>0.95043</v>
      </c>
      <c r="BK1555">
        <v>0.26</v>
      </c>
      <c r="BL1555" t="s">
        <v>635</v>
      </c>
      <c r="BM1555">
        <v>-0.94599999999999995</v>
      </c>
      <c r="BN1555">
        <v>0.13900000000000001</v>
      </c>
    </row>
    <row r="1556" spans="2:66">
      <c r="B1556">
        <v>2810</v>
      </c>
      <c r="C1556">
        <v>86</v>
      </c>
      <c r="D1556">
        <v>0</v>
      </c>
      <c r="E1556">
        <v>4</v>
      </c>
      <c r="F1556">
        <v>0</v>
      </c>
      <c r="J1556">
        <v>0</v>
      </c>
      <c r="K1556">
        <v>0</v>
      </c>
      <c r="L1556">
        <v>0</v>
      </c>
      <c r="M1556" t="s">
        <v>25022</v>
      </c>
      <c r="N1556">
        <v>101</v>
      </c>
      <c r="O1556" t="s">
        <v>785</v>
      </c>
      <c r="P1556" t="s">
        <v>57</v>
      </c>
      <c r="Q1556">
        <v>117890</v>
      </c>
      <c r="R1556">
        <v>118420</v>
      </c>
      <c r="S1556" t="s">
        <v>786</v>
      </c>
      <c r="T1556">
        <v>177</v>
      </c>
      <c r="U1556" t="s">
        <v>59</v>
      </c>
      <c r="V1556">
        <v>49</v>
      </c>
      <c r="W1556" t="str">
        <f>HYPERLINK("Gene101-zp_tree_all.dnd", "Gene101-tree")</f>
        <v>Gene101-tree</v>
      </c>
      <c r="X1556">
        <v>17</v>
      </c>
      <c r="Y1556">
        <v>1</v>
      </c>
      <c r="Z1556">
        <v>17</v>
      </c>
      <c r="AA1556">
        <v>1</v>
      </c>
      <c r="AB1556">
        <v>5.5559999999999998E-2</v>
      </c>
      <c r="AC1556" t="s">
        <v>266</v>
      </c>
      <c r="AD1556" t="s">
        <v>175</v>
      </c>
      <c r="AE1556" t="s">
        <v>62</v>
      </c>
      <c r="AF1556" t="s">
        <v>62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14</v>
      </c>
      <c r="AV1556">
        <v>9</v>
      </c>
      <c r="AW1556">
        <v>27</v>
      </c>
      <c r="AX1556">
        <v>1</v>
      </c>
      <c r="AY1556">
        <v>26</v>
      </c>
      <c r="AZ1556">
        <v>0</v>
      </c>
      <c r="BA1556" t="s">
        <v>787</v>
      </c>
      <c r="BB1556" t="s">
        <v>193</v>
      </c>
      <c r="BC1556">
        <v>0.26800000000000002</v>
      </c>
      <c r="BD1556" t="s">
        <v>65</v>
      </c>
      <c r="BE1556">
        <v>53</v>
      </c>
      <c r="BF1556">
        <v>1</v>
      </c>
      <c r="BG1556" t="s">
        <v>788</v>
      </c>
      <c r="BH1556" t="s">
        <v>789</v>
      </c>
      <c r="BI1556" t="s">
        <v>790</v>
      </c>
      <c r="BJ1556">
        <v>2.5699999999999998E-3</v>
      </c>
      <c r="BK1556">
        <v>1</v>
      </c>
      <c r="BL1556" t="s">
        <v>69</v>
      </c>
      <c r="BM1556">
        <v>-0.92900000000000005</v>
      </c>
      <c r="BN1556">
        <v>-0.81599999999999995</v>
      </c>
    </row>
    <row r="1557" spans="2:66">
      <c r="B1557">
        <v>2813</v>
      </c>
      <c r="C1557">
        <v>77</v>
      </c>
      <c r="D1557">
        <v>0</v>
      </c>
      <c r="E1557">
        <v>7</v>
      </c>
      <c r="F1557">
        <v>0</v>
      </c>
      <c r="J1557">
        <v>0</v>
      </c>
      <c r="K1557">
        <v>0</v>
      </c>
      <c r="L1557">
        <v>0</v>
      </c>
      <c r="M1557" t="s">
        <v>25022</v>
      </c>
      <c r="N1557">
        <v>102</v>
      </c>
      <c r="O1557" t="s">
        <v>791</v>
      </c>
      <c r="P1557" t="s">
        <v>57</v>
      </c>
      <c r="Q1557">
        <v>118591</v>
      </c>
      <c r="R1557">
        <v>119013</v>
      </c>
      <c r="S1557" t="s">
        <v>792</v>
      </c>
      <c r="T1557">
        <v>141</v>
      </c>
      <c r="U1557" t="s">
        <v>515</v>
      </c>
      <c r="V1557">
        <v>51</v>
      </c>
      <c r="W1557" t="str">
        <f>HYPERLINK("Gene102-zp_tree_all.dnd", "Gene102-tree")</f>
        <v>Gene102-tree</v>
      </c>
      <c r="X1557">
        <v>6</v>
      </c>
      <c r="Y1557">
        <v>0</v>
      </c>
      <c r="Z1557">
        <v>6</v>
      </c>
      <c r="AA1557">
        <v>0</v>
      </c>
      <c r="AB1557">
        <v>0</v>
      </c>
      <c r="AC1557" t="s">
        <v>90</v>
      </c>
      <c r="AD1557" t="s">
        <v>62</v>
      </c>
      <c r="AE1557" t="s">
        <v>62</v>
      </c>
      <c r="AF1557" t="s">
        <v>62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5</v>
      </c>
      <c r="AV1557">
        <v>2</v>
      </c>
      <c r="AW1557">
        <v>13</v>
      </c>
      <c r="AX1557">
        <v>0</v>
      </c>
      <c r="AY1557">
        <v>2</v>
      </c>
      <c r="AZ1557">
        <v>0</v>
      </c>
      <c r="BA1557" t="s">
        <v>193</v>
      </c>
      <c r="BB1557" t="s">
        <v>193</v>
      </c>
      <c r="BC1557">
        <v>0</v>
      </c>
      <c r="BD1557" t="s">
        <v>65</v>
      </c>
      <c r="BE1557">
        <v>15</v>
      </c>
      <c r="BF1557">
        <v>0</v>
      </c>
      <c r="BG1557" t="s">
        <v>793</v>
      </c>
      <c r="BH1557" t="s">
        <v>794</v>
      </c>
      <c r="BI1557" t="s">
        <v>193</v>
      </c>
      <c r="BJ1557">
        <v>0</v>
      </c>
      <c r="BK1557">
        <v>1</v>
      </c>
      <c r="BL1557" t="s">
        <v>69</v>
      </c>
      <c r="BM1557">
        <v>-1.718</v>
      </c>
      <c r="BN1557">
        <v>1.0569999999999999</v>
      </c>
    </row>
    <row r="1558" spans="2:66">
      <c r="B1558">
        <v>2815</v>
      </c>
      <c r="C1558">
        <v>433</v>
      </c>
      <c r="D1558">
        <v>0</v>
      </c>
      <c r="E1558">
        <v>28</v>
      </c>
      <c r="F1558">
        <v>2</v>
      </c>
      <c r="J1558">
        <v>0</v>
      </c>
      <c r="K1558">
        <v>0</v>
      </c>
      <c r="L1558">
        <v>0</v>
      </c>
      <c r="M1558" t="s">
        <v>25022</v>
      </c>
      <c r="N1558">
        <v>103</v>
      </c>
      <c r="O1558" t="s">
        <v>795</v>
      </c>
      <c r="P1558" t="s">
        <v>57</v>
      </c>
      <c r="Q1558">
        <v>119111</v>
      </c>
      <c r="R1558">
        <v>119806</v>
      </c>
      <c r="S1558" t="s">
        <v>796</v>
      </c>
      <c r="T1558">
        <v>232</v>
      </c>
      <c r="U1558" t="s">
        <v>59</v>
      </c>
      <c r="V1558">
        <v>49</v>
      </c>
      <c r="W1558" t="str">
        <f>HYPERLINK("Gene103-zp_tree_all.dnd", "Gene103-tree")</f>
        <v>Gene103-tree</v>
      </c>
      <c r="X1558">
        <v>14</v>
      </c>
      <c r="Y1558">
        <v>2</v>
      </c>
      <c r="Z1558">
        <v>14</v>
      </c>
      <c r="AA1558">
        <v>2</v>
      </c>
      <c r="AB1558">
        <v>0.125</v>
      </c>
      <c r="AC1558" t="s">
        <v>543</v>
      </c>
      <c r="AD1558" t="s">
        <v>81</v>
      </c>
      <c r="AE1558" t="s">
        <v>62</v>
      </c>
      <c r="AF1558" t="s">
        <v>62</v>
      </c>
      <c r="AG1558">
        <v>0</v>
      </c>
      <c r="AH1558">
        <v>0</v>
      </c>
      <c r="AI1558">
        <v>5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4</v>
      </c>
      <c r="AT1558">
        <v>0</v>
      </c>
      <c r="AU1558">
        <v>10</v>
      </c>
      <c r="AV1558">
        <v>8</v>
      </c>
      <c r="AW1558">
        <v>32</v>
      </c>
      <c r="AX1558">
        <v>4</v>
      </c>
      <c r="AY1558">
        <v>16</v>
      </c>
      <c r="AZ1558">
        <v>1</v>
      </c>
      <c r="BA1558" t="s">
        <v>797</v>
      </c>
      <c r="BB1558" t="s">
        <v>798</v>
      </c>
      <c r="BC1558">
        <v>0.185</v>
      </c>
      <c r="BD1558" t="s">
        <v>65</v>
      </c>
      <c r="BE1558">
        <v>48</v>
      </c>
      <c r="BF1558">
        <v>5</v>
      </c>
      <c r="BG1558" t="s">
        <v>799</v>
      </c>
      <c r="BH1558" t="s">
        <v>800</v>
      </c>
      <c r="BI1558" t="s">
        <v>801</v>
      </c>
      <c r="BJ1558">
        <v>3.3050000000000003E-2</v>
      </c>
      <c r="BK1558">
        <v>1</v>
      </c>
      <c r="BL1558" t="s">
        <v>69</v>
      </c>
      <c r="BM1558">
        <v>-1.746</v>
      </c>
      <c r="BN1558">
        <v>-2.78</v>
      </c>
    </row>
    <row r="1559" spans="2:66">
      <c r="B1559">
        <v>2817</v>
      </c>
      <c r="C1559">
        <v>132</v>
      </c>
      <c r="D1559">
        <v>0</v>
      </c>
      <c r="E1559">
        <v>2</v>
      </c>
      <c r="F1559">
        <v>0</v>
      </c>
      <c r="J1559">
        <v>0</v>
      </c>
      <c r="K1559">
        <v>0</v>
      </c>
      <c r="L1559">
        <v>0</v>
      </c>
      <c r="M1559" t="s">
        <v>25022</v>
      </c>
      <c r="N1559">
        <v>104</v>
      </c>
      <c r="O1559" t="s">
        <v>802</v>
      </c>
      <c r="P1559" t="s">
        <v>57</v>
      </c>
      <c r="Q1559">
        <v>120061</v>
      </c>
      <c r="R1559">
        <v>120558</v>
      </c>
      <c r="S1559" t="s">
        <v>803</v>
      </c>
      <c r="T1559">
        <v>166</v>
      </c>
      <c r="U1559" t="s">
        <v>804</v>
      </c>
      <c r="V1559">
        <v>47</v>
      </c>
      <c r="W1559" t="str">
        <f>HYPERLINK("Gene104-zp_tree_all.dnd", "Gene104-tree")</f>
        <v>Gene104-tree</v>
      </c>
      <c r="X1559">
        <v>34</v>
      </c>
      <c r="Y1559">
        <v>1</v>
      </c>
      <c r="Z1559">
        <v>7</v>
      </c>
      <c r="AA1559">
        <v>1</v>
      </c>
      <c r="AB1559">
        <v>0.125</v>
      </c>
      <c r="AC1559" t="s">
        <v>805</v>
      </c>
      <c r="AD1559" t="s">
        <v>175</v>
      </c>
      <c r="AE1559" t="s">
        <v>62</v>
      </c>
      <c r="AF1559" t="s">
        <v>62</v>
      </c>
      <c r="AG1559">
        <v>0</v>
      </c>
      <c r="AH1559">
        <v>0</v>
      </c>
      <c r="AI1559">
        <v>4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5</v>
      </c>
      <c r="AV1559">
        <v>3</v>
      </c>
      <c r="AW1559">
        <v>4</v>
      </c>
      <c r="AX1559">
        <v>1</v>
      </c>
      <c r="AY1559">
        <v>2</v>
      </c>
      <c r="AZ1559">
        <v>3</v>
      </c>
      <c r="BA1559" t="s">
        <v>806</v>
      </c>
      <c r="BB1559" t="s">
        <v>807</v>
      </c>
      <c r="BC1559">
        <v>1.119</v>
      </c>
      <c r="BD1559" t="s">
        <v>65</v>
      </c>
      <c r="BE1559">
        <v>6</v>
      </c>
      <c r="BF1559">
        <v>4</v>
      </c>
      <c r="BG1559" t="s">
        <v>808</v>
      </c>
      <c r="BH1559" t="s">
        <v>809</v>
      </c>
      <c r="BI1559" t="s">
        <v>810</v>
      </c>
      <c r="BJ1559">
        <v>0.26955000000000001</v>
      </c>
      <c r="BK1559">
        <v>0.90400000000000003</v>
      </c>
      <c r="BL1559" t="s">
        <v>635</v>
      </c>
      <c r="BM1559">
        <v>-1.2330000000000001</v>
      </c>
      <c r="BN1559">
        <v>0.19</v>
      </c>
    </row>
    <row r="1560" spans="2:66">
      <c r="B1560">
        <v>2819</v>
      </c>
      <c r="C1560">
        <v>118</v>
      </c>
      <c r="D1560">
        <v>0</v>
      </c>
      <c r="E1560">
        <v>4</v>
      </c>
      <c r="F1560">
        <v>0</v>
      </c>
      <c r="J1560">
        <v>0</v>
      </c>
      <c r="K1560">
        <v>0</v>
      </c>
      <c r="L1560">
        <v>0</v>
      </c>
      <c r="M1560" t="s">
        <v>25022</v>
      </c>
      <c r="N1560">
        <v>105</v>
      </c>
      <c r="O1560" t="s">
        <v>811</v>
      </c>
      <c r="P1560" t="s">
        <v>57</v>
      </c>
      <c r="Q1560">
        <v>120607</v>
      </c>
      <c r="R1560">
        <v>120975</v>
      </c>
      <c r="S1560" t="s">
        <v>812</v>
      </c>
      <c r="T1560">
        <v>123</v>
      </c>
      <c r="U1560" t="s">
        <v>515</v>
      </c>
      <c r="V1560">
        <v>51</v>
      </c>
      <c r="W1560" t="str">
        <f>HYPERLINK("Gene105-zp_tree_all.dnd", "Gene105-tree")</f>
        <v>Gene105-tree</v>
      </c>
      <c r="X1560">
        <v>10</v>
      </c>
      <c r="Y1560">
        <v>0</v>
      </c>
      <c r="Z1560">
        <v>10</v>
      </c>
      <c r="AA1560">
        <v>0</v>
      </c>
      <c r="AB1560">
        <v>0</v>
      </c>
      <c r="AC1560" t="s">
        <v>117</v>
      </c>
      <c r="AD1560" t="s">
        <v>62</v>
      </c>
      <c r="AE1560" t="s">
        <v>62</v>
      </c>
      <c r="AF1560" t="s">
        <v>62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5</v>
      </c>
      <c r="AV1560">
        <v>4</v>
      </c>
      <c r="AW1560">
        <v>5</v>
      </c>
      <c r="AX1560">
        <v>0</v>
      </c>
      <c r="AY1560">
        <v>8</v>
      </c>
      <c r="AZ1560">
        <v>0</v>
      </c>
      <c r="BA1560" t="s">
        <v>193</v>
      </c>
      <c r="BB1560" t="s">
        <v>193</v>
      </c>
      <c r="BC1560">
        <v>0</v>
      </c>
      <c r="BD1560" t="s">
        <v>65</v>
      </c>
      <c r="BE1560">
        <v>13</v>
      </c>
      <c r="BF1560">
        <v>0</v>
      </c>
      <c r="BG1560" t="s">
        <v>813</v>
      </c>
      <c r="BH1560" t="s">
        <v>814</v>
      </c>
      <c r="BI1560" t="s">
        <v>193</v>
      </c>
      <c r="BJ1560">
        <v>0</v>
      </c>
      <c r="BK1560">
        <v>1</v>
      </c>
      <c r="BL1560" t="s">
        <v>69</v>
      </c>
      <c r="BM1560">
        <v>-0.47799999999999998</v>
      </c>
      <c r="BN1560">
        <v>0.86199999999999999</v>
      </c>
    </row>
    <row r="1561" spans="2:66">
      <c r="B1561">
        <v>2820</v>
      </c>
      <c r="C1561">
        <v>838</v>
      </c>
      <c r="D1561">
        <v>0</v>
      </c>
      <c r="E1561">
        <v>31</v>
      </c>
      <c r="F1561">
        <v>0</v>
      </c>
      <c r="J1561">
        <v>0</v>
      </c>
      <c r="K1561">
        <v>7</v>
      </c>
      <c r="L1561">
        <v>1</v>
      </c>
      <c r="M1561" t="s">
        <v>25022</v>
      </c>
      <c r="N1561">
        <v>106</v>
      </c>
      <c r="O1561" t="s">
        <v>815</v>
      </c>
      <c r="P1561" t="s">
        <v>57</v>
      </c>
      <c r="Q1561">
        <v>121068</v>
      </c>
      <c r="R1561">
        <v>121670</v>
      </c>
      <c r="S1561" t="s">
        <v>816</v>
      </c>
      <c r="T1561">
        <v>201</v>
      </c>
      <c r="U1561" t="s">
        <v>59</v>
      </c>
      <c r="V1561">
        <v>49</v>
      </c>
      <c r="W1561" t="str">
        <f>HYPERLINK("Gene106-zp_tree_all.dnd", "Gene106-tree")</f>
        <v>Gene106-tree</v>
      </c>
      <c r="X1561">
        <v>30</v>
      </c>
      <c r="Y1561">
        <v>8</v>
      </c>
      <c r="Z1561">
        <v>11</v>
      </c>
      <c r="AA1561">
        <v>8</v>
      </c>
      <c r="AB1561">
        <v>0.42104999999999998</v>
      </c>
      <c r="AC1561" t="s">
        <v>89</v>
      </c>
      <c r="AD1561" t="s">
        <v>136</v>
      </c>
      <c r="AE1561" t="s">
        <v>62</v>
      </c>
      <c r="AF1561" t="s">
        <v>62</v>
      </c>
      <c r="AG1561">
        <v>3</v>
      </c>
      <c r="AH1561">
        <v>8</v>
      </c>
      <c r="AI1561">
        <v>9</v>
      </c>
      <c r="AJ1561">
        <v>0.47059000000000001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4</v>
      </c>
      <c r="AQ1561">
        <v>0</v>
      </c>
      <c r="AR1561">
        <v>4</v>
      </c>
      <c r="AS1561">
        <v>6</v>
      </c>
      <c r="AT1561">
        <v>0.4</v>
      </c>
      <c r="AU1561">
        <v>12</v>
      </c>
      <c r="AV1561">
        <v>13</v>
      </c>
      <c r="AW1561">
        <v>14</v>
      </c>
      <c r="AX1561">
        <v>10</v>
      </c>
      <c r="AY1561">
        <v>35</v>
      </c>
      <c r="AZ1561">
        <v>7</v>
      </c>
      <c r="BA1561" t="s">
        <v>817</v>
      </c>
      <c r="BB1561" t="s">
        <v>818</v>
      </c>
      <c r="BC1561">
        <v>1.395</v>
      </c>
      <c r="BD1561" t="s">
        <v>65</v>
      </c>
      <c r="BE1561">
        <v>49</v>
      </c>
      <c r="BF1561">
        <v>17</v>
      </c>
      <c r="BG1561" t="s">
        <v>819</v>
      </c>
      <c r="BH1561" t="s">
        <v>820</v>
      </c>
      <c r="BI1561" t="s">
        <v>821</v>
      </c>
      <c r="BJ1561">
        <v>6.6570000000000004E-2</v>
      </c>
      <c r="BK1561">
        <v>1</v>
      </c>
      <c r="BL1561" t="s">
        <v>69</v>
      </c>
      <c r="BM1561">
        <v>-0.52300000000000002</v>
      </c>
      <c r="BN1561">
        <v>-9.5000000000000001E-2</v>
      </c>
    </row>
    <row r="1562" spans="2:66">
      <c r="B1562">
        <v>2821</v>
      </c>
      <c r="C1562">
        <v>14</v>
      </c>
      <c r="D1562">
        <v>0</v>
      </c>
      <c r="E1562">
        <v>0</v>
      </c>
      <c r="F1562">
        <v>2</v>
      </c>
      <c r="J1562">
        <v>0</v>
      </c>
      <c r="K1562">
        <v>0</v>
      </c>
      <c r="L1562">
        <v>0</v>
      </c>
      <c r="M1562" t="s">
        <v>25022</v>
      </c>
      <c r="N1562">
        <v>107</v>
      </c>
      <c r="O1562" t="s">
        <v>822</v>
      </c>
      <c r="P1562" t="s">
        <v>57</v>
      </c>
      <c r="Q1562">
        <v>121919</v>
      </c>
      <c r="R1562">
        <v>125497</v>
      </c>
      <c r="S1562" t="s">
        <v>823</v>
      </c>
      <c r="T1562">
        <v>1193</v>
      </c>
      <c r="U1562" t="s">
        <v>59</v>
      </c>
      <c r="V1562">
        <v>49</v>
      </c>
      <c r="W1562" t="str">
        <f>HYPERLINK("Gene107-zp_tree_all.dnd", "Gene107-tree")</f>
        <v>Gene107-tree</v>
      </c>
      <c r="X1562">
        <v>20</v>
      </c>
      <c r="Y1562">
        <v>2</v>
      </c>
      <c r="Z1562">
        <v>20</v>
      </c>
      <c r="AA1562">
        <v>2</v>
      </c>
      <c r="AB1562">
        <v>9.0910000000000005E-2</v>
      </c>
      <c r="AC1562" t="s">
        <v>528</v>
      </c>
      <c r="AD1562" t="s">
        <v>81</v>
      </c>
      <c r="AE1562" t="s">
        <v>62</v>
      </c>
      <c r="AF1562" t="s">
        <v>62</v>
      </c>
      <c r="AG1562">
        <v>0</v>
      </c>
      <c r="AH1562">
        <v>0</v>
      </c>
      <c r="AI1562">
        <v>8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4</v>
      </c>
      <c r="AT1562">
        <v>0</v>
      </c>
      <c r="AU1562">
        <v>19</v>
      </c>
      <c r="AV1562">
        <v>18</v>
      </c>
      <c r="AW1562">
        <v>112</v>
      </c>
      <c r="AX1562">
        <v>5</v>
      </c>
      <c r="AY1562">
        <v>139</v>
      </c>
      <c r="AZ1562">
        <v>4</v>
      </c>
      <c r="BA1562" t="s">
        <v>824</v>
      </c>
      <c r="BB1562" t="s">
        <v>825</v>
      </c>
      <c r="BC1562">
        <v>0.14299999999999999</v>
      </c>
      <c r="BD1562" t="s">
        <v>65</v>
      </c>
      <c r="BE1562">
        <v>251</v>
      </c>
      <c r="BF1562">
        <v>9</v>
      </c>
      <c r="BG1562" t="s">
        <v>826</v>
      </c>
      <c r="BH1562" t="s">
        <v>827</v>
      </c>
      <c r="BI1562" t="s">
        <v>828</v>
      </c>
      <c r="BJ1562">
        <v>9.4500000000000001E-3</v>
      </c>
      <c r="BK1562">
        <v>1</v>
      </c>
      <c r="BL1562" t="s">
        <v>69</v>
      </c>
      <c r="BM1562">
        <v>-1.591</v>
      </c>
      <c r="BN1562">
        <v>-1.4350000000000001</v>
      </c>
    </row>
    <row r="1563" spans="2:66">
      <c r="B1563">
        <v>2822</v>
      </c>
      <c r="C1563">
        <v>16</v>
      </c>
      <c r="D1563">
        <v>0</v>
      </c>
      <c r="E1563">
        <v>4</v>
      </c>
      <c r="F1563">
        <v>0</v>
      </c>
      <c r="J1563">
        <v>0</v>
      </c>
      <c r="K1563">
        <v>0</v>
      </c>
      <c r="L1563">
        <v>0</v>
      </c>
      <c r="M1563" t="s">
        <v>25022</v>
      </c>
      <c r="N1563">
        <v>108</v>
      </c>
      <c r="O1563" t="s">
        <v>829</v>
      </c>
      <c r="P1563" t="s">
        <v>57</v>
      </c>
      <c r="Q1563">
        <v>125562</v>
      </c>
      <c r="R1563">
        <v>129158</v>
      </c>
      <c r="S1563" t="s">
        <v>830</v>
      </c>
      <c r="T1563">
        <v>1199</v>
      </c>
      <c r="U1563" t="s">
        <v>59</v>
      </c>
      <c r="V1563">
        <v>49</v>
      </c>
      <c r="W1563" t="str">
        <f>HYPERLINK("Gene108-zp_tree_all.dnd", "Gene108-tree")</f>
        <v>Gene108-tree</v>
      </c>
      <c r="X1563">
        <v>18</v>
      </c>
      <c r="Y1563">
        <v>3</v>
      </c>
      <c r="Z1563">
        <v>18</v>
      </c>
      <c r="AA1563">
        <v>3</v>
      </c>
      <c r="AB1563">
        <v>0.14285999999999999</v>
      </c>
      <c r="AC1563" t="s">
        <v>144</v>
      </c>
      <c r="AD1563" t="s">
        <v>324</v>
      </c>
      <c r="AE1563" t="s">
        <v>62</v>
      </c>
      <c r="AF1563" t="s">
        <v>62</v>
      </c>
      <c r="AG1563">
        <v>0</v>
      </c>
      <c r="AH1563">
        <v>0</v>
      </c>
      <c r="AI1563">
        <v>6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3</v>
      </c>
      <c r="AT1563">
        <v>0</v>
      </c>
      <c r="AU1563">
        <v>18</v>
      </c>
      <c r="AV1563">
        <v>16</v>
      </c>
      <c r="AW1563">
        <v>127</v>
      </c>
      <c r="AX1563">
        <v>3</v>
      </c>
      <c r="AY1563">
        <v>149</v>
      </c>
      <c r="AZ1563">
        <v>3</v>
      </c>
      <c r="BA1563" t="s">
        <v>831</v>
      </c>
      <c r="BB1563" t="s">
        <v>832</v>
      </c>
      <c r="BC1563">
        <v>6.2E-2</v>
      </c>
      <c r="BD1563" t="s">
        <v>65</v>
      </c>
      <c r="BE1563">
        <v>276</v>
      </c>
      <c r="BF1563">
        <v>6</v>
      </c>
      <c r="BG1563" t="s">
        <v>833</v>
      </c>
      <c r="BH1563" t="s">
        <v>834</v>
      </c>
      <c r="BI1563" t="s">
        <v>835</v>
      </c>
      <c r="BJ1563">
        <v>7.5799999999999999E-3</v>
      </c>
      <c r="BK1563">
        <v>1</v>
      </c>
      <c r="BL1563" t="s">
        <v>69</v>
      </c>
      <c r="BM1563">
        <v>-1.2210000000000001</v>
      </c>
      <c r="BN1563">
        <v>-0.98299999999999998</v>
      </c>
    </row>
    <row r="1564" spans="2:66">
      <c r="B1564">
        <v>2823</v>
      </c>
      <c r="C1564">
        <v>148</v>
      </c>
      <c r="D1564">
        <v>0</v>
      </c>
      <c r="E1564">
        <v>12</v>
      </c>
      <c r="F1564">
        <v>0</v>
      </c>
      <c r="J1564">
        <v>0</v>
      </c>
      <c r="K1564">
        <v>0</v>
      </c>
      <c r="L1564">
        <v>0</v>
      </c>
      <c r="M1564" t="s">
        <v>25022</v>
      </c>
      <c r="N1564">
        <v>109</v>
      </c>
      <c r="O1564" t="s">
        <v>836</v>
      </c>
      <c r="P1564" t="s">
        <v>57</v>
      </c>
      <c r="Q1564">
        <v>129340</v>
      </c>
      <c r="R1564">
        <v>129585</v>
      </c>
      <c r="S1564" t="s">
        <v>837</v>
      </c>
      <c r="T1564">
        <v>82</v>
      </c>
      <c r="U1564" t="s">
        <v>59</v>
      </c>
      <c r="V1564">
        <v>49</v>
      </c>
      <c r="W1564" t="str">
        <f>HYPERLINK("Gene109-zp_tree_all.dnd", "Gene109-tree")</f>
        <v>Gene109-tree</v>
      </c>
      <c r="X1564">
        <v>7</v>
      </c>
      <c r="Y1564">
        <v>1</v>
      </c>
      <c r="Z1564">
        <v>7</v>
      </c>
      <c r="AA1564">
        <v>1</v>
      </c>
      <c r="AB1564">
        <v>0.125</v>
      </c>
      <c r="AC1564" t="s">
        <v>152</v>
      </c>
      <c r="AD1564" t="s">
        <v>175</v>
      </c>
      <c r="AE1564" t="s">
        <v>62</v>
      </c>
      <c r="AF1564" t="s">
        <v>62</v>
      </c>
      <c r="AG1564">
        <v>0</v>
      </c>
      <c r="AH1564">
        <v>0</v>
      </c>
      <c r="AI1564">
        <v>2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4</v>
      </c>
      <c r="AV1564">
        <v>4</v>
      </c>
      <c r="AW1564">
        <v>3</v>
      </c>
      <c r="AX1564">
        <v>1</v>
      </c>
      <c r="AY1564">
        <v>4</v>
      </c>
      <c r="AZ1564">
        <v>1</v>
      </c>
      <c r="BA1564" t="s">
        <v>838</v>
      </c>
      <c r="BB1564" t="s">
        <v>839</v>
      </c>
      <c r="BC1564">
        <v>0.124</v>
      </c>
      <c r="BD1564" t="s">
        <v>65</v>
      </c>
      <c r="BE1564">
        <v>7</v>
      </c>
      <c r="BF1564">
        <v>2</v>
      </c>
      <c r="BG1564" t="s">
        <v>840</v>
      </c>
      <c r="BH1564" t="s">
        <v>841</v>
      </c>
      <c r="BI1564" t="s">
        <v>842</v>
      </c>
      <c r="BJ1564">
        <v>8.4159999999999999E-2</v>
      </c>
      <c r="BK1564">
        <v>1</v>
      </c>
      <c r="BL1564" t="s">
        <v>69</v>
      </c>
      <c r="BM1564">
        <v>-1.498</v>
      </c>
      <c r="BN1564">
        <v>-0.83</v>
      </c>
    </row>
    <row r="1565" spans="2:66">
      <c r="B1565">
        <v>2824</v>
      </c>
      <c r="C1565">
        <v>81</v>
      </c>
      <c r="D1565">
        <v>0</v>
      </c>
      <c r="E1565">
        <v>4</v>
      </c>
      <c r="F1565">
        <v>0</v>
      </c>
      <c r="J1565">
        <v>0</v>
      </c>
      <c r="K1565">
        <v>0</v>
      </c>
      <c r="L1565">
        <v>0</v>
      </c>
      <c r="M1565" t="s">
        <v>25022</v>
      </c>
      <c r="N1565">
        <v>110</v>
      </c>
      <c r="O1565" t="s">
        <v>843</v>
      </c>
      <c r="P1565" t="s">
        <v>57</v>
      </c>
      <c r="Q1565">
        <v>129702</v>
      </c>
      <c r="R1565">
        <v>130115</v>
      </c>
      <c r="S1565" t="s">
        <v>844</v>
      </c>
      <c r="T1565">
        <v>138</v>
      </c>
      <c r="U1565" t="s">
        <v>515</v>
      </c>
      <c r="V1565">
        <v>51</v>
      </c>
      <c r="W1565" t="str">
        <f>HYPERLINK("Gene110-zp_tree_all.dnd", "Gene110-tree")</f>
        <v>Gene110-tree</v>
      </c>
      <c r="X1565">
        <v>7</v>
      </c>
      <c r="Y1565">
        <v>1</v>
      </c>
      <c r="Z1565">
        <v>7</v>
      </c>
      <c r="AA1565">
        <v>1</v>
      </c>
      <c r="AB1565">
        <v>0.125</v>
      </c>
      <c r="AC1565" t="s">
        <v>152</v>
      </c>
      <c r="AD1565" t="s">
        <v>175</v>
      </c>
      <c r="AE1565" t="s">
        <v>62</v>
      </c>
      <c r="AF1565" t="s">
        <v>62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6</v>
      </c>
      <c r="AV1565">
        <v>2</v>
      </c>
      <c r="AW1565">
        <v>19</v>
      </c>
      <c r="AX1565">
        <v>1</v>
      </c>
      <c r="AY1565">
        <v>3</v>
      </c>
      <c r="AZ1565">
        <v>0</v>
      </c>
      <c r="BA1565" t="s">
        <v>845</v>
      </c>
      <c r="BB1565" t="s">
        <v>193</v>
      </c>
      <c r="BC1565">
        <v>0.308</v>
      </c>
      <c r="BD1565" t="s">
        <v>65</v>
      </c>
      <c r="BE1565">
        <v>22</v>
      </c>
      <c r="BF1565">
        <v>1</v>
      </c>
      <c r="BG1565" t="s">
        <v>846</v>
      </c>
      <c r="BH1565" t="s">
        <v>847</v>
      </c>
      <c r="BI1565" t="s">
        <v>848</v>
      </c>
      <c r="BJ1565">
        <v>1.2409999999999999E-2</v>
      </c>
      <c r="BK1565">
        <v>1</v>
      </c>
      <c r="BL1565" t="s">
        <v>69</v>
      </c>
      <c r="BM1565">
        <v>-1.9630000000000001</v>
      </c>
      <c r="BN1565">
        <v>1.18</v>
      </c>
    </row>
    <row r="1566" spans="2:66">
      <c r="B1566">
        <v>2825</v>
      </c>
      <c r="C1566">
        <v>272</v>
      </c>
      <c r="D1566">
        <v>0</v>
      </c>
      <c r="E1566">
        <v>9</v>
      </c>
      <c r="F1566">
        <v>1</v>
      </c>
      <c r="J1566">
        <v>0</v>
      </c>
      <c r="K1566">
        <v>0</v>
      </c>
      <c r="L1566">
        <v>0</v>
      </c>
      <c r="M1566" t="s">
        <v>25022</v>
      </c>
      <c r="N1566">
        <v>111</v>
      </c>
      <c r="O1566" t="s">
        <v>849</v>
      </c>
      <c r="P1566" t="s">
        <v>57</v>
      </c>
      <c r="Q1566">
        <v>130160</v>
      </c>
      <c r="R1566">
        <v>130627</v>
      </c>
      <c r="S1566" t="s">
        <v>850</v>
      </c>
      <c r="T1566">
        <v>156</v>
      </c>
      <c r="U1566" t="s">
        <v>59</v>
      </c>
      <c r="V1566">
        <v>49</v>
      </c>
      <c r="W1566" t="str">
        <f>HYPERLINK("Gene111-zp_tree_all.dnd", "Gene111-tree")</f>
        <v>Gene111-tree</v>
      </c>
      <c r="X1566">
        <v>11</v>
      </c>
      <c r="Y1566">
        <v>0</v>
      </c>
      <c r="Z1566">
        <v>11</v>
      </c>
      <c r="AA1566">
        <v>0</v>
      </c>
      <c r="AB1566">
        <v>0</v>
      </c>
      <c r="AC1566" t="s">
        <v>73</v>
      </c>
      <c r="AD1566" t="s">
        <v>62</v>
      </c>
      <c r="AE1566" t="s">
        <v>62</v>
      </c>
      <c r="AF1566" t="s">
        <v>62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7</v>
      </c>
      <c r="AV1566">
        <v>6</v>
      </c>
      <c r="AW1566">
        <v>10</v>
      </c>
      <c r="AX1566">
        <v>0</v>
      </c>
      <c r="AY1566">
        <v>7</v>
      </c>
      <c r="AZ1566">
        <v>0</v>
      </c>
      <c r="BA1566" t="s">
        <v>193</v>
      </c>
      <c r="BB1566" t="s">
        <v>193</v>
      </c>
      <c r="BC1566">
        <v>0</v>
      </c>
      <c r="BD1566" t="s">
        <v>65</v>
      </c>
      <c r="BE1566">
        <v>17</v>
      </c>
      <c r="BF1566">
        <v>0</v>
      </c>
      <c r="BG1566" t="s">
        <v>851</v>
      </c>
      <c r="BH1566" t="s">
        <v>852</v>
      </c>
      <c r="BI1566" t="s">
        <v>193</v>
      </c>
      <c r="BJ1566">
        <v>0</v>
      </c>
      <c r="BK1566">
        <v>1</v>
      </c>
      <c r="BL1566" t="s">
        <v>69</v>
      </c>
      <c r="BM1566">
        <v>-0.52300000000000002</v>
      </c>
      <c r="BN1566">
        <v>-0.14699999999999999</v>
      </c>
    </row>
    <row r="1567" spans="2:66">
      <c r="B1567">
        <v>2826</v>
      </c>
      <c r="C1567">
        <v>209</v>
      </c>
      <c r="D1567">
        <v>3</v>
      </c>
      <c r="E1567">
        <v>35</v>
      </c>
      <c r="F1567">
        <v>12</v>
      </c>
      <c r="J1567">
        <v>0</v>
      </c>
      <c r="K1567">
        <v>0</v>
      </c>
      <c r="L1567">
        <v>0</v>
      </c>
      <c r="M1567" t="s">
        <v>25022</v>
      </c>
      <c r="N1567">
        <v>112</v>
      </c>
      <c r="O1567" t="s">
        <v>853</v>
      </c>
      <c r="P1567" t="s">
        <v>57</v>
      </c>
      <c r="Q1567">
        <v>130684</v>
      </c>
      <c r="R1567">
        <v>132759</v>
      </c>
      <c r="S1567" t="s">
        <v>854</v>
      </c>
      <c r="T1567">
        <v>692</v>
      </c>
      <c r="U1567" t="s">
        <v>59</v>
      </c>
      <c r="V1567">
        <v>49</v>
      </c>
      <c r="W1567" t="str">
        <f>HYPERLINK("Gene112-zp_tree_all.dnd", "Gene112-tree")</f>
        <v>Gene112-tree</v>
      </c>
      <c r="X1567">
        <v>18</v>
      </c>
      <c r="Y1567">
        <v>1</v>
      </c>
      <c r="Z1567">
        <v>18</v>
      </c>
      <c r="AA1567">
        <v>1</v>
      </c>
      <c r="AB1567">
        <v>5.2630000000000003E-2</v>
      </c>
      <c r="AC1567" t="s">
        <v>144</v>
      </c>
      <c r="AD1567" t="s">
        <v>175</v>
      </c>
      <c r="AE1567" t="s">
        <v>62</v>
      </c>
      <c r="AF1567" t="s">
        <v>62</v>
      </c>
      <c r="AG1567">
        <v>0</v>
      </c>
      <c r="AH1567">
        <v>0</v>
      </c>
      <c r="AI1567">
        <v>14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15</v>
      </c>
      <c r="AV1567">
        <v>14</v>
      </c>
      <c r="AW1567">
        <v>54</v>
      </c>
      <c r="AX1567">
        <v>1</v>
      </c>
      <c r="AY1567">
        <v>72</v>
      </c>
      <c r="AZ1567">
        <v>15</v>
      </c>
      <c r="BA1567" t="s">
        <v>855</v>
      </c>
      <c r="BB1567" t="s">
        <v>856</v>
      </c>
      <c r="BC1567">
        <v>0.5</v>
      </c>
      <c r="BD1567" t="s">
        <v>65</v>
      </c>
      <c r="BE1567">
        <v>126</v>
      </c>
      <c r="BF1567">
        <v>16</v>
      </c>
      <c r="BG1567" t="s">
        <v>857</v>
      </c>
      <c r="BH1567" t="s">
        <v>858</v>
      </c>
      <c r="BI1567" t="s">
        <v>859</v>
      </c>
      <c r="BJ1567">
        <v>4.5699999999999998E-2</v>
      </c>
      <c r="BK1567">
        <v>1</v>
      </c>
      <c r="BL1567" t="s">
        <v>69</v>
      </c>
      <c r="BM1567">
        <v>-1.3640000000000001</v>
      </c>
      <c r="BN1567">
        <v>-1.2170000000000001</v>
      </c>
    </row>
    <row r="1568" spans="2:66">
      <c r="B1568">
        <v>2827</v>
      </c>
      <c r="C1568">
        <v>25</v>
      </c>
      <c r="D1568">
        <v>0</v>
      </c>
      <c r="E1568">
        <v>2</v>
      </c>
      <c r="F1568">
        <v>0</v>
      </c>
      <c r="J1568">
        <v>0</v>
      </c>
      <c r="K1568">
        <v>6</v>
      </c>
      <c r="L1568">
        <v>0</v>
      </c>
      <c r="M1568" t="s">
        <v>25022</v>
      </c>
      <c r="N1568">
        <v>113</v>
      </c>
      <c r="O1568" t="s">
        <v>860</v>
      </c>
      <c r="P1568" t="s">
        <v>57</v>
      </c>
      <c r="Q1568">
        <v>132882</v>
      </c>
      <c r="R1568">
        <v>134069</v>
      </c>
      <c r="S1568" t="s">
        <v>861</v>
      </c>
      <c r="T1568">
        <v>396</v>
      </c>
      <c r="U1568" t="s">
        <v>515</v>
      </c>
      <c r="V1568">
        <v>51</v>
      </c>
      <c r="W1568" t="str">
        <f>HYPERLINK("Gene113-zp_tree_all.dnd", "Gene113-tree")</f>
        <v>Gene113-tree</v>
      </c>
      <c r="X1568">
        <v>18</v>
      </c>
      <c r="Y1568">
        <v>2</v>
      </c>
      <c r="Z1568">
        <v>18</v>
      </c>
      <c r="AA1568">
        <v>2</v>
      </c>
      <c r="AB1568">
        <v>0.1</v>
      </c>
      <c r="AC1568" t="s">
        <v>144</v>
      </c>
      <c r="AD1568" t="s">
        <v>81</v>
      </c>
      <c r="AE1568" t="s">
        <v>62</v>
      </c>
      <c r="AF1568" t="s">
        <v>62</v>
      </c>
      <c r="AG1568">
        <v>3</v>
      </c>
      <c r="AH1568">
        <v>6</v>
      </c>
      <c r="AI1568">
        <v>12</v>
      </c>
      <c r="AJ1568">
        <v>0.33333000000000002</v>
      </c>
      <c r="AK1568">
        <v>0</v>
      </c>
      <c r="AL1568">
        <v>0</v>
      </c>
      <c r="AM1568">
        <v>0</v>
      </c>
      <c r="AN1568">
        <v>12</v>
      </c>
      <c r="AO1568">
        <v>0</v>
      </c>
      <c r="AP1568">
        <v>0</v>
      </c>
      <c r="AQ1568">
        <v>0</v>
      </c>
      <c r="AR1568">
        <v>0</v>
      </c>
      <c r="AS1568">
        <v>3</v>
      </c>
      <c r="AT1568">
        <v>0</v>
      </c>
      <c r="AU1568">
        <v>16</v>
      </c>
      <c r="AV1568">
        <v>10</v>
      </c>
      <c r="AW1568">
        <v>29</v>
      </c>
      <c r="AX1568">
        <v>3</v>
      </c>
      <c r="AY1568">
        <v>39</v>
      </c>
      <c r="AZ1568">
        <v>18</v>
      </c>
      <c r="BA1568" t="s">
        <v>862</v>
      </c>
      <c r="BB1568" t="s">
        <v>863</v>
      </c>
      <c r="BC1568">
        <v>0.38600000000000001</v>
      </c>
      <c r="BD1568" t="s">
        <v>65</v>
      </c>
      <c r="BE1568">
        <v>68</v>
      </c>
      <c r="BF1568">
        <v>21</v>
      </c>
      <c r="BG1568" t="s">
        <v>864</v>
      </c>
      <c r="BH1568" t="s">
        <v>865</v>
      </c>
      <c r="BI1568" t="s">
        <v>866</v>
      </c>
      <c r="BJ1568">
        <v>0.12773999999999999</v>
      </c>
      <c r="BK1568">
        <v>1</v>
      </c>
      <c r="BL1568" t="s">
        <v>69</v>
      </c>
      <c r="BM1568">
        <v>-1.6739999999999999</v>
      </c>
      <c r="BN1568">
        <v>0.113</v>
      </c>
    </row>
    <row r="1569" spans="2:66">
      <c r="B1569">
        <v>2828</v>
      </c>
      <c r="C1569">
        <v>897</v>
      </c>
      <c r="D1569">
        <v>0</v>
      </c>
      <c r="E1569">
        <v>59</v>
      </c>
      <c r="F1569">
        <v>4</v>
      </c>
      <c r="J1569">
        <v>0</v>
      </c>
      <c r="K1569">
        <v>10</v>
      </c>
      <c r="L1569">
        <v>7</v>
      </c>
      <c r="M1569" t="s">
        <v>25022</v>
      </c>
      <c r="N1569">
        <v>114</v>
      </c>
      <c r="O1569" t="s">
        <v>867</v>
      </c>
      <c r="P1569" t="s">
        <v>57</v>
      </c>
      <c r="Q1569">
        <v>134171</v>
      </c>
      <c r="R1569">
        <v>135124</v>
      </c>
      <c r="S1569" t="s">
        <v>868</v>
      </c>
      <c r="T1569">
        <v>318</v>
      </c>
      <c r="U1569" t="s">
        <v>108</v>
      </c>
      <c r="V1569">
        <v>44</v>
      </c>
      <c r="W1569" t="str">
        <f>HYPERLINK("Gene114-zp_tree_all.dnd", "Gene114-tree")</f>
        <v>Gene114-tree</v>
      </c>
      <c r="X1569">
        <v>0</v>
      </c>
      <c r="Y1569">
        <v>16</v>
      </c>
      <c r="Z1569">
        <v>0</v>
      </c>
      <c r="AA1569">
        <v>16</v>
      </c>
      <c r="AB1569">
        <v>1</v>
      </c>
      <c r="AC1569" t="s">
        <v>62</v>
      </c>
      <c r="AD1569" t="s">
        <v>60</v>
      </c>
      <c r="AE1569" t="s">
        <v>62</v>
      </c>
      <c r="AF1569" t="s">
        <v>62</v>
      </c>
      <c r="AG1569">
        <v>7</v>
      </c>
      <c r="AH1569">
        <v>17</v>
      </c>
      <c r="AI1569">
        <v>27</v>
      </c>
      <c r="AJ1569">
        <v>0.38635999999999998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5</v>
      </c>
      <c r="AR1569">
        <v>5</v>
      </c>
      <c r="AS1569">
        <v>25</v>
      </c>
      <c r="AT1569">
        <v>0.16667000000000001</v>
      </c>
      <c r="AU1569">
        <v>13</v>
      </c>
      <c r="AV1569">
        <v>12</v>
      </c>
      <c r="AW1569">
        <v>17</v>
      </c>
      <c r="AX1569">
        <v>21</v>
      </c>
      <c r="AY1569">
        <v>31</v>
      </c>
      <c r="AZ1569">
        <v>23</v>
      </c>
      <c r="BA1569" t="s">
        <v>869</v>
      </c>
      <c r="BB1569" t="s">
        <v>870</v>
      </c>
      <c r="BC1569">
        <v>0.85499999999999998</v>
      </c>
      <c r="BD1569" t="s">
        <v>65</v>
      </c>
      <c r="BE1569">
        <v>48</v>
      </c>
      <c r="BF1569">
        <v>44</v>
      </c>
      <c r="BG1569" t="s">
        <v>871</v>
      </c>
      <c r="BH1569" t="s">
        <v>872</v>
      </c>
      <c r="BI1569" t="s">
        <v>873</v>
      </c>
      <c r="BJ1569">
        <v>0.23341999999999999</v>
      </c>
      <c r="BK1569">
        <v>1</v>
      </c>
      <c r="BL1569" t="s">
        <v>69</v>
      </c>
      <c r="BM1569">
        <v>0.248</v>
      </c>
      <c r="BN1569">
        <v>-0.55200000000000005</v>
      </c>
    </row>
    <row r="1570" spans="2:66">
      <c r="B1570">
        <v>2830</v>
      </c>
      <c r="C1570">
        <v>149</v>
      </c>
      <c r="D1570">
        <v>0</v>
      </c>
      <c r="E1570">
        <v>2</v>
      </c>
      <c r="F1570">
        <v>2</v>
      </c>
      <c r="J1570">
        <v>0</v>
      </c>
      <c r="K1570">
        <v>0</v>
      </c>
      <c r="L1570">
        <v>0</v>
      </c>
      <c r="M1570" t="s">
        <v>25022</v>
      </c>
      <c r="N1570">
        <v>115</v>
      </c>
      <c r="O1570" t="s">
        <v>874</v>
      </c>
      <c r="P1570" t="s">
        <v>57</v>
      </c>
      <c r="Q1570">
        <v>135364</v>
      </c>
      <c r="R1570">
        <v>135669</v>
      </c>
      <c r="S1570" t="s">
        <v>875</v>
      </c>
      <c r="T1570">
        <v>102</v>
      </c>
      <c r="U1570" t="s">
        <v>515</v>
      </c>
      <c r="V1570">
        <v>51</v>
      </c>
      <c r="W1570" t="str">
        <f>HYPERLINK("Gene115-zp_tree_all.dnd", "Gene115-tree")</f>
        <v>Gene115-tree</v>
      </c>
      <c r="X1570">
        <v>7</v>
      </c>
      <c r="Y1570">
        <v>0</v>
      </c>
      <c r="Z1570">
        <v>7</v>
      </c>
      <c r="AA1570">
        <v>0</v>
      </c>
      <c r="AB1570">
        <v>0</v>
      </c>
      <c r="AC1570" t="s">
        <v>152</v>
      </c>
      <c r="AD1570" t="s">
        <v>62</v>
      </c>
      <c r="AE1570" t="s">
        <v>62</v>
      </c>
      <c r="AF1570" t="s">
        <v>62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5</v>
      </c>
      <c r="AV1570">
        <v>3</v>
      </c>
      <c r="AW1570">
        <v>6</v>
      </c>
      <c r="AX1570">
        <v>0</v>
      </c>
      <c r="AY1570">
        <v>7</v>
      </c>
      <c r="AZ1570">
        <v>0</v>
      </c>
      <c r="BA1570" t="s">
        <v>193</v>
      </c>
      <c r="BB1570" t="s">
        <v>193</v>
      </c>
      <c r="BC1570">
        <v>0</v>
      </c>
      <c r="BD1570" t="s">
        <v>65</v>
      </c>
      <c r="BE1570">
        <v>13</v>
      </c>
      <c r="BF1570">
        <v>0</v>
      </c>
      <c r="BG1570" t="s">
        <v>876</v>
      </c>
      <c r="BH1570" t="s">
        <v>877</v>
      </c>
      <c r="BI1570" t="s">
        <v>193</v>
      </c>
      <c r="BJ1570">
        <v>0</v>
      </c>
      <c r="BK1570">
        <v>1</v>
      </c>
      <c r="BL1570" t="s">
        <v>69</v>
      </c>
      <c r="BM1570">
        <v>-1.181</v>
      </c>
      <c r="BN1570">
        <v>0.28499999999999998</v>
      </c>
    </row>
    <row r="1571" spans="2:66">
      <c r="B1571">
        <v>2832</v>
      </c>
      <c r="C1571">
        <v>162</v>
      </c>
      <c r="D1571">
        <v>0</v>
      </c>
      <c r="E1571">
        <v>2</v>
      </c>
      <c r="F1571">
        <v>0</v>
      </c>
      <c r="J1571">
        <v>0</v>
      </c>
      <c r="K1571">
        <v>0</v>
      </c>
      <c r="L1571">
        <v>0</v>
      </c>
      <c r="M1571" t="s">
        <v>25022</v>
      </c>
      <c r="N1571">
        <v>116</v>
      </c>
      <c r="O1571" t="s">
        <v>878</v>
      </c>
      <c r="P1571" t="s">
        <v>57</v>
      </c>
      <c r="Q1571">
        <v>135712</v>
      </c>
      <c r="R1571">
        <v>136338</v>
      </c>
      <c r="S1571" t="s">
        <v>879</v>
      </c>
      <c r="T1571">
        <v>209</v>
      </c>
      <c r="U1571" t="s">
        <v>515</v>
      </c>
      <c r="V1571">
        <v>51</v>
      </c>
      <c r="W1571" t="str">
        <f>HYPERLINK("Gene116-zp_tree_all.dnd", "Gene116-tree")</f>
        <v>Gene116-tree</v>
      </c>
      <c r="X1571">
        <v>11</v>
      </c>
      <c r="Y1571">
        <v>0</v>
      </c>
      <c r="Z1571">
        <v>11</v>
      </c>
      <c r="AA1571">
        <v>0</v>
      </c>
      <c r="AB1571">
        <v>0</v>
      </c>
      <c r="AC1571" t="s">
        <v>73</v>
      </c>
      <c r="AD1571" t="s">
        <v>62</v>
      </c>
      <c r="AE1571" t="s">
        <v>62</v>
      </c>
      <c r="AF1571" t="s">
        <v>62</v>
      </c>
      <c r="AG1571">
        <v>0</v>
      </c>
      <c r="AH1571">
        <v>0</v>
      </c>
      <c r="AI1571">
        <v>7</v>
      </c>
      <c r="AJ1571">
        <v>0</v>
      </c>
      <c r="AK1571">
        <v>0</v>
      </c>
      <c r="AL1571">
        <v>0</v>
      </c>
      <c r="AM1571">
        <v>0</v>
      </c>
      <c r="AN1571">
        <v>7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6</v>
      </c>
      <c r="AV1571">
        <v>4</v>
      </c>
      <c r="AW1571">
        <v>8</v>
      </c>
      <c r="AX1571">
        <v>0</v>
      </c>
      <c r="AY1571">
        <v>27</v>
      </c>
      <c r="AZ1571">
        <v>7</v>
      </c>
      <c r="BA1571" t="s">
        <v>193</v>
      </c>
      <c r="BB1571" t="s">
        <v>880</v>
      </c>
      <c r="BC1571">
        <v>0.55200000000000005</v>
      </c>
      <c r="BD1571" t="s">
        <v>65</v>
      </c>
      <c r="BE1571">
        <v>35</v>
      </c>
      <c r="BF1571">
        <v>7</v>
      </c>
      <c r="BG1571" t="s">
        <v>881</v>
      </c>
      <c r="BH1571" t="s">
        <v>882</v>
      </c>
      <c r="BI1571" t="s">
        <v>883</v>
      </c>
      <c r="BJ1571">
        <v>6.2420000000000003E-2</v>
      </c>
      <c r="BK1571">
        <v>1</v>
      </c>
      <c r="BL1571" t="s">
        <v>69</v>
      </c>
      <c r="BM1571">
        <v>-1.804</v>
      </c>
      <c r="BN1571">
        <v>1.0489999999999999</v>
      </c>
    </row>
    <row r="1572" spans="2:66">
      <c r="B1572">
        <v>2833</v>
      </c>
      <c r="C1572">
        <v>119</v>
      </c>
      <c r="D1572">
        <v>0</v>
      </c>
      <c r="E1572">
        <v>2</v>
      </c>
      <c r="F1572">
        <v>0</v>
      </c>
      <c r="J1572">
        <v>0</v>
      </c>
      <c r="K1572">
        <v>2</v>
      </c>
      <c r="L1572">
        <v>0</v>
      </c>
      <c r="M1572" t="s">
        <v>25022</v>
      </c>
      <c r="N1572">
        <v>117</v>
      </c>
      <c r="O1572" t="s">
        <v>884</v>
      </c>
      <c r="P1572" t="s">
        <v>57</v>
      </c>
      <c r="Q1572">
        <v>136369</v>
      </c>
      <c r="R1572">
        <v>136989</v>
      </c>
      <c r="S1572" t="s">
        <v>885</v>
      </c>
      <c r="T1572">
        <v>207</v>
      </c>
      <c r="U1572" t="s">
        <v>515</v>
      </c>
      <c r="V1572">
        <v>51</v>
      </c>
      <c r="W1572" t="str">
        <f>HYPERLINK("Gene117-zp_tree_all.dnd", "Gene117-tree")</f>
        <v>Gene117-tree</v>
      </c>
      <c r="X1572">
        <v>12</v>
      </c>
      <c r="Y1572">
        <v>3</v>
      </c>
      <c r="Z1572">
        <v>12</v>
      </c>
      <c r="AA1572">
        <v>3</v>
      </c>
      <c r="AB1572">
        <v>0.2</v>
      </c>
      <c r="AC1572" t="s">
        <v>109</v>
      </c>
      <c r="AD1572" t="s">
        <v>324</v>
      </c>
      <c r="AE1572" t="s">
        <v>62</v>
      </c>
      <c r="AF1572" t="s">
        <v>62</v>
      </c>
      <c r="AG1572">
        <v>1</v>
      </c>
      <c r="AH1572">
        <v>2</v>
      </c>
      <c r="AI1572">
        <v>6</v>
      </c>
      <c r="AJ1572">
        <v>0.25</v>
      </c>
      <c r="AK1572">
        <v>0</v>
      </c>
      <c r="AL1572">
        <v>0</v>
      </c>
      <c r="AM1572">
        <v>0</v>
      </c>
      <c r="AN1572">
        <v>2</v>
      </c>
      <c r="AO1572">
        <v>0</v>
      </c>
      <c r="AP1572">
        <v>0</v>
      </c>
      <c r="AQ1572">
        <v>0</v>
      </c>
      <c r="AR1572">
        <v>0</v>
      </c>
      <c r="AS1572">
        <v>6</v>
      </c>
      <c r="AT1572">
        <v>0</v>
      </c>
      <c r="AU1572">
        <v>7</v>
      </c>
      <c r="AV1572">
        <v>8</v>
      </c>
      <c r="AW1572">
        <v>7</v>
      </c>
      <c r="AX1572">
        <v>2</v>
      </c>
      <c r="AY1572">
        <v>31</v>
      </c>
      <c r="AZ1572">
        <v>7</v>
      </c>
      <c r="BA1572" t="s">
        <v>886</v>
      </c>
      <c r="BB1572" t="s">
        <v>887</v>
      </c>
      <c r="BC1572">
        <v>0.122</v>
      </c>
      <c r="BD1572" t="s">
        <v>65</v>
      </c>
      <c r="BE1572">
        <v>38</v>
      </c>
      <c r="BF1572">
        <v>9</v>
      </c>
      <c r="BG1572" t="s">
        <v>888</v>
      </c>
      <c r="BH1572" t="s">
        <v>889</v>
      </c>
      <c r="BI1572" t="s">
        <v>890</v>
      </c>
      <c r="BJ1572">
        <v>6.6449999999999995E-2</v>
      </c>
      <c r="BK1572">
        <v>1</v>
      </c>
      <c r="BL1572" t="s">
        <v>69</v>
      </c>
      <c r="BM1572">
        <v>-1.5269999999999999</v>
      </c>
      <c r="BN1572">
        <v>0.92</v>
      </c>
    </row>
    <row r="1573" spans="2:66">
      <c r="B1573">
        <v>2836</v>
      </c>
      <c r="C1573">
        <v>2</v>
      </c>
      <c r="D1573">
        <v>0</v>
      </c>
      <c r="E1573">
        <v>0</v>
      </c>
      <c r="F1573">
        <v>2</v>
      </c>
      <c r="J1573">
        <v>0</v>
      </c>
      <c r="K1573">
        <v>0</v>
      </c>
      <c r="L1573">
        <v>0</v>
      </c>
      <c r="M1573" t="s">
        <v>25022</v>
      </c>
      <c r="N1573">
        <v>118</v>
      </c>
      <c r="O1573" t="s">
        <v>891</v>
      </c>
      <c r="P1573" t="s">
        <v>57</v>
      </c>
      <c r="Q1573">
        <v>136992</v>
      </c>
      <c r="R1573">
        <v>137276</v>
      </c>
      <c r="S1573" t="s">
        <v>892</v>
      </c>
      <c r="T1573">
        <v>95</v>
      </c>
      <c r="U1573" t="s">
        <v>515</v>
      </c>
      <c r="V1573">
        <v>51</v>
      </c>
      <c r="W1573" t="str">
        <f>HYPERLINK("Gene118-zp_tree_all.dnd", "Gene118-tree")</f>
        <v>Gene118-tree</v>
      </c>
      <c r="X1573">
        <v>10</v>
      </c>
      <c r="Y1573">
        <v>0</v>
      </c>
      <c r="Z1573">
        <v>10</v>
      </c>
      <c r="AA1573">
        <v>0</v>
      </c>
      <c r="AB1573">
        <v>0</v>
      </c>
      <c r="AC1573" t="s">
        <v>117</v>
      </c>
      <c r="AD1573" t="s">
        <v>62</v>
      </c>
      <c r="AE1573" t="s">
        <v>62</v>
      </c>
      <c r="AF1573" t="s">
        <v>62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5</v>
      </c>
      <c r="AV1573">
        <v>4</v>
      </c>
      <c r="AW1573">
        <v>7</v>
      </c>
      <c r="AX1573">
        <v>0</v>
      </c>
      <c r="AY1573">
        <v>11</v>
      </c>
      <c r="AZ1573">
        <v>1</v>
      </c>
      <c r="BA1573" t="s">
        <v>193</v>
      </c>
      <c r="BB1573" t="s">
        <v>893</v>
      </c>
      <c r="BC1573">
        <v>0.46</v>
      </c>
      <c r="BD1573" t="s">
        <v>65</v>
      </c>
      <c r="BE1573">
        <v>18</v>
      </c>
      <c r="BF1573">
        <v>1</v>
      </c>
      <c r="BG1573" t="s">
        <v>894</v>
      </c>
      <c r="BH1573" t="s">
        <v>895</v>
      </c>
      <c r="BI1573" t="s">
        <v>896</v>
      </c>
      <c r="BJ1573">
        <v>2.427E-2</v>
      </c>
      <c r="BK1573">
        <v>1</v>
      </c>
      <c r="BL1573" t="s">
        <v>69</v>
      </c>
      <c r="BM1573">
        <v>-0.66600000000000004</v>
      </c>
      <c r="BN1573">
        <v>1.0569999999999999</v>
      </c>
    </row>
    <row r="1574" spans="2:66">
      <c r="B1574">
        <v>2837</v>
      </c>
      <c r="C1574">
        <v>64</v>
      </c>
      <c r="D1574">
        <v>0</v>
      </c>
      <c r="E1574">
        <v>2</v>
      </c>
      <c r="F1574">
        <v>0</v>
      </c>
      <c r="J1574">
        <v>0</v>
      </c>
      <c r="K1574">
        <v>0</v>
      </c>
      <c r="L1574">
        <v>0</v>
      </c>
      <c r="M1574" t="s">
        <v>25022</v>
      </c>
      <c r="N1574">
        <v>119</v>
      </c>
      <c r="O1574" t="s">
        <v>897</v>
      </c>
      <c r="P1574" t="s">
        <v>57</v>
      </c>
      <c r="Q1574">
        <v>137311</v>
      </c>
      <c r="R1574">
        <v>138141</v>
      </c>
      <c r="S1574" t="s">
        <v>898</v>
      </c>
      <c r="T1574">
        <v>277</v>
      </c>
      <c r="U1574" t="s">
        <v>515</v>
      </c>
      <c r="V1574">
        <v>51</v>
      </c>
      <c r="W1574" t="str">
        <f>HYPERLINK("Gene119-zp_tree_all.dnd", "Gene119-tree")</f>
        <v>Gene119-tree</v>
      </c>
      <c r="X1574">
        <v>10</v>
      </c>
      <c r="Y1574">
        <v>1</v>
      </c>
      <c r="Z1574">
        <v>10</v>
      </c>
      <c r="AA1574">
        <v>1</v>
      </c>
      <c r="AB1574">
        <v>9.0910000000000005E-2</v>
      </c>
      <c r="AC1574" t="s">
        <v>117</v>
      </c>
      <c r="AD1574" t="s">
        <v>175</v>
      </c>
      <c r="AE1574" t="s">
        <v>62</v>
      </c>
      <c r="AF1574" t="s">
        <v>62</v>
      </c>
      <c r="AG1574">
        <v>0</v>
      </c>
      <c r="AH1574">
        <v>0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10</v>
      </c>
      <c r="AV1574">
        <v>5</v>
      </c>
      <c r="AW1574">
        <v>14</v>
      </c>
      <c r="AX1574">
        <v>1</v>
      </c>
      <c r="AY1574">
        <v>36</v>
      </c>
      <c r="AZ1574">
        <v>3</v>
      </c>
      <c r="BA1574" t="s">
        <v>899</v>
      </c>
      <c r="BB1574" t="s">
        <v>900</v>
      </c>
      <c r="BC1574">
        <v>2.5000000000000001E-2</v>
      </c>
      <c r="BD1574" t="s">
        <v>65</v>
      </c>
      <c r="BE1574">
        <v>50</v>
      </c>
      <c r="BF1574">
        <v>4</v>
      </c>
      <c r="BG1574" t="s">
        <v>901</v>
      </c>
      <c r="BH1574" t="s">
        <v>902</v>
      </c>
      <c r="BI1574" t="s">
        <v>903</v>
      </c>
      <c r="BJ1574">
        <v>2.4080000000000001E-2</v>
      </c>
      <c r="BK1574">
        <v>1</v>
      </c>
      <c r="BL1574" t="s">
        <v>69</v>
      </c>
      <c r="BM1574">
        <v>-2.0539999999999998</v>
      </c>
      <c r="BN1574">
        <v>1.9E-2</v>
      </c>
    </row>
    <row r="1575" spans="2:66">
      <c r="B1575">
        <v>2838</v>
      </c>
      <c r="C1575">
        <v>205</v>
      </c>
      <c r="D1575">
        <v>0</v>
      </c>
      <c r="E1575">
        <v>7</v>
      </c>
      <c r="F1575">
        <v>0</v>
      </c>
      <c r="J1575">
        <v>0</v>
      </c>
      <c r="K1575">
        <v>0</v>
      </c>
      <c r="L1575">
        <v>0</v>
      </c>
      <c r="M1575" t="s">
        <v>25022</v>
      </c>
      <c r="N1575">
        <v>120</v>
      </c>
      <c r="O1575" t="s">
        <v>904</v>
      </c>
      <c r="P1575" t="s">
        <v>57</v>
      </c>
      <c r="Q1575">
        <v>138202</v>
      </c>
      <c r="R1575">
        <v>138477</v>
      </c>
      <c r="S1575" t="s">
        <v>905</v>
      </c>
      <c r="T1575">
        <v>92</v>
      </c>
      <c r="U1575" t="s">
        <v>59</v>
      </c>
      <c r="V1575">
        <v>49</v>
      </c>
      <c r="W1575" t="str">
        <f>HYPERLINK("Gene120-zp_tree_all.dnd", "Gene120-tree")</f>
        <v>Gene120-tree</v>
      </c>
      <c r="X1575">
        <v>5</v>
      </c>
      <c r="Y1575">
        <v>0</v>
      </c>
      <c r="Z1575">
        <v>5</v>
      </c>
      <c r="AA1575">
        <v>0</v>
      </c>
      <c r="AB1575">
        <v>0</v>
      </c>
      <c r="AC1575" t="s">
        <v>199</v>
      </c>
      <c r="AD1575" t="s">
        <v>62</v>
      </c>
      <c r="AE1575" t="s">
        <v>62</v>
      </c>
      <c r="AF1575" t="s">
        <v>62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3</v>
      </c>
      <c r="AV1575">
        <v>1</v>
      </c>
      <c r="AW1575">
        <v>3</v>
      </c>
      <c r="AX1575">
        <v>0</v>
      </c>
      <c r="AY1575">
        <v>2</v>
      </c>
      <c r="AZ1575">
        <v>0</v>
      </c>
      <c r="BA1575" t="s">
        <v>193</v>
      </c>
      <c r="BB1575" t="s">
        <v>193</v>
      </c>
      <c r="BC1575">
        <v>0</v>
      </c>
      <c r="BD1575" t="s">
        <v>65</v>
      </c>
      <c r="BE1575">
        <v>5</v>
      </c>
      <c r="BF1575">
        <v>0</v>
      </c>
      <c r="BG1575" t="s">
        <v>906</v>
      </c>
      <c r="BH1575" t="s">
        <v>907</v>
      </c>
      <c r="BI1575" t="s">
        <v>193</v>
      </c>
      <c r="BJ1575">
        <v>0</v>
      </c>
      <c r="BK1575">
        <v>1</v>
      </c>
      <c r="BL1575" t="s">
        <v>69</v>
      </c>
      <c r="BM1575">
        <v>-0.56599999999999995</v>
      </c>
      <c r="BN1575">
        <v>1.099</v>
      </c>
    </row>
    <row r="1576" spans="2:66">
      <c r="B1576">
        <v>2839</v>
      </c>
      <c r="C1576">
        <v>2</v>
      </c>
      <c r="D1576">
        <v>0</v>
      </c>
      <c r="E1576">
        <v>7</v>
      </c>
      <c r="F1576">
        <v>1</v>
      </c>
      <c r="J1576">
        <v>0</v>
      </c>
      <c r="K1576">
        <v>0</v>
      </c>
      <c r="L1576">
        <v>0</v>
      </c>
      <c r="M1576" t="s">
        <v>25022</v>
      </c>
      <c r="N1576">
        <v>121</v>
      </c>
      <c r="O1576" t="s">
        <v>908</v>
      </c>
      <c r="P1576" t="s">
        <v>57</v>
      </c>
      <c r="Q1576">
        <v>138497</v>
      </c>
      <c r="R1576">
        <v>138835</v>
      </c>
      <c r="S1576" t="s">
        <v>909</v>
      </c>
      <c r="T1576">
        <v>113</v>
      </c>
      <c r="U1576" t="s">
        <v>59</v>
      </c>
      <c r="V1576">
        <v>49</v>
      </c>
      <c r="W1576" t="str">
        <f>HYPERLINK("Gene121-zp_tree_all.dnd", "Gene121-tree")</f>
        <v>Gene121-tree</v>
      </c>
      <c r="X1576">
        <v>42</v>
      </c>
      <c r="Y1576">
        <v>1</v>
      </c>
      <c r="Z1576">
        <v>3</v>
      </c>
      <c r="AA1576">
        <v>1</v>
      </c>
      <c r="AB1576">
        <v>0.25</v>
      </c>
      <c r="AC1576" t="s">
        <v>910</v>
      </c>
      <c r="AD1576" t="s">
        <v>175</v>
      </c>
      <c r="AE1576" t="s">
        <v>62</v>
      </c>
      <c r="AF1576" t="s">
        <v>62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3</v>
      </c>
      <c r="AV1576">
        <v>0</v>
      </c>
      <c r="AW1576">
        <v>4</v>
      </c>
      <c r="AX1576">
        <v>1</v>
      </c>
      <c r="AY1576">
        <v>0</v>
      </c>
      <c r="AZ1576">
        <v>0</v>
      </c>
      <c r="BA1576" t="s">
        <v>911</v>
      </c>
      <c r="BB1576" t="s">
        <v>193</v>
      </c>
      <c r="BC1576">
        <v>0.6</v>
      </c>
      <c r="BD1576" t="s">
        <v>65</v>
      </c>
      <c r="BE1576">
        <v>4</v>
      </c>
      <c r="BF1576">
        <v>1</v>
      </c>
      <c r="BG1576" t="s">
        <v>912</v>
      </c>
      <c r="BH1576" t="s">
        <v>913</v>
      </c>
      <c r="BI1576" t="s">
        <v>914</v>
      </c>
      <c r="BJ1576">
        <v>7.7359999999999998E-2</v>
      </c>
      <c r="BK1576">
        <v>0.97399999999999998</v>
      </c>
      <c r="BL1576" t="s">
        <v>69</v>
      </c>
      <c r="BM1576">
        <v>-1.5369999999999999</v>
      </c>
      <c r="BN1576">
        <v>-2.74</v>
      </c>
    </row>
    <row r="1577" spans="2:66">
      <c r="B1577">
        <v>2840</v>
      </c>
      <c r="C1577">
        <v>151</v>
      </c>
      <c r="D1577">
        <v>0</v>
      </c>
      <c r="E1577">
        <v>5</v>
      </c>
      <c r="F1577">
        <v>0</v>
      </c>
      <c r="J1577">
        <v>0</v>
      </c>
      <c r="K1577">
        <v>0</v>
      </c>
      <c r="L1577">
        <v>0</v>
      </c>
      <c r="M1577" t="s">
        <v>25022</v>
      </c>
      <c r="N1577">
        <v>122</v>
      </c>
      <c r="O1577" t="s">
        <v>915</v>
      </c>
      <c r="P1577" t="s">
        <v>57</v>
      </c>
      <c r="Q1577">
        <v>138842</v>
      </c>
      <c r="R1577">
        <v>139495</v>
      </c>
      <c r="S1577" t="s">
        <v>916</v>
      </c>
      <c r="T1577">
        <v>218</v>
      </c>
      <c r="U1577" t="s">
        <v>515</v>
      </c>
      <c r="V1577">
        <v>51</v>
      </c>
      <c r="W1577" t="str">
        <f>HYPERLINK("Gene122-zp_tree_all.dnd", "Gene122-tree")</f>
        <v>Gene122-tree</v>
      </c>
      <c r="X1577">
        <v>12</v>
      </c>
      <c r="Y1577">
        <v>1</v>
      </c>
      <c r="Z1577">
        <v>12</v>
      </c>
      <c r="AA1577">
        <v>1</v>
      </c>
      <c r="AB1577">
        <v>7.6920000000000002E-2</v>
      </c>
      <c r="AC1577" t="s">
        <v>109</v>
      </c>
      <c r="AD1577" t="s">
        <v>175</v>
      </c>
      <c r="AE1577" t="s">
        <v>62</v>
      </c>
      <c r="AF1577" t="s">
        <v>62</v>
      </c>
      <c r="AG1577">
        <v>0</v>
      </c>
      <c r="AH1577">
        <v>0</v>
      </c>
      <c r="AI1577">
        <v>3</v>
      </c>
      <c r="AJ1577">
        <v>0</v>
      </c>
      <c r="AK1577">
        <v>0</v>
      </c>
      <c r="AL1577">
        <v>0</v>
      </c>
      <c r="AM1577">
        <v>0</v>
      </c>
      <c r="AN1577">
        <v>2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8</v>
      </c>
      <c r="AV1577">
        <v>7</v>
      </c>
      <c r="AW1577">
        <v>15</v>
      </c>
      <c r="AX1577">
        <v>1</v>
      </c>
      <c r="AY1577">
        <v>28</v>
      </c>
      <c r="AZ1577">
        <v>2</v>
      </c>
      <c r="BA1577" t="s">
        <v>917</v>
      </c>
      <c r="BB1577" t="s">
        <v>918</v>
      </c>
      <c r="BC1577">
        <v>6.0000000000000001E-3</v>
      </c>
      <c r="BD1577" t="s">
        <v>65</v>
      </c>
      <c r="BE1577">
        <v>43</v>
      </c>
      <c r="BF1577">
        <v>3</v>
      </c>
      <c r="BG1577" t="s">
        <v>919</v>
      </c>
      <c r="BH1577" t="s">
        <v>920</v>
      </c>
      <c r="BI1577" t="s">
        <v>921</v>
      </c>
      <c r="BJ1577">
        <v>2.1669999999999998E-2</v>
      </c>
      <c r="BK1577">
        <v>1</v>
      </c>
      <c r="BL1577" t="s">
        <v>69</v>
      </c>
      <c r="BM1577">
        <v>-1.5449999999999999</v>
      </c>
      <c r="BN1577">
        <v>0.39900000000000002</v>
      </c>
    </row>
    <row r="1578" spans="2:66">
      <c r="B1578">
        <v>2842</v>
      </c>
      <c r="C1578">
        <v>119</v>
      </c>
      <c r="D1578">
        <v>0</v>
      </c>
      <c r="E1578">
        <v>2</v>
      </c>
      <c r="F1578">
        <v>2</v>
      </c>
      <c r="J1578">
        <v>0</v>
      </c>
      <c r="K1578">
        <v>0</v>
      </c>
      <c r="L1578">
        <v>0</v>
      </c>
      <c r="M1578" t="s">
        <v>25022</v>
      </c>
      <c r="N1578">
        <v>123</v>
      </c>
      <c r="O1578" t="s">
        <v>922</v>
      </c>
      <c r="P1578" t="s">
        <v>57</v>
      </c>
      <c r="Q1578">
        <v>139500</v>
      </c>
      <c r="R1578">
        <v>139931</v>
      </c>
      <c r="S1578" t="s">
        <v>923</v>
      </c>
      <c r="T1578">
        <v>144</v>
      </c>
      <c r="U1578" t="s">
        <v>59</v>
      </c>
      <c r="V1578">
        <v>49</v>
      </c>
      <c r="W1578" t="str">
        <f>HYPERLINK("Gene123-zp_tree_all.dnd", "Gene123-tree")</f>
        <v>Gene123-tree</v>
      </c>
      <c r="X1578">
        <v>7</v>
      </c>
      <c r="Y1578">
        <v>0</v>
      </c>
      <c r="Z1578">
        <v>7</v>
      </c>
      <c r="AA1578">
        <v>0</v>
      </c>
      <c r="AB1578">
        <v>0</v>
      </c>
      <c r="AC1578" t="s">
        <v>152</v>
      </c>
      <c r="AD1578" t="s">
        <v>62</v>
      </c>
      <c r="AE1578" t="s">
        <v>62</v>
      </c>
      <c r="AF1578" t="s">
        <v>62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5</v>
      </c>
      <c r="AV1578">
        <v>3</v>
      </c>
      <c r="AW1578">
        <v>6</v>
      </c>
      <c r="AX1578">
        <v>0</v>
      </c>
      <c r="AY1578">
        <v>4</v>
      </c>
      <c r="AZ1578">
        <v>0</v>
      </c>
      <c r="BA1578" t="s">
        <v>193</v>
      </c>
      <c r="BB1578" t="s">
        <v>193</v>
      </c>
      <c r="BC1578">
        <v>0</v>
      </c>
      <c r="BD1578" t="s">
        <v>65</v>
      </c>
      <c r="BE1578">
        <v>10</v>
      </c>
      <c r="BF1578">
        <v>0</v>
      </c>
      <c r="BG1578" t="s">
        <v>924</v>
      </c>
      <c r="BH1578" t="s">
        <v>925</v>
      </c>
      <c r="BI1578" t="s">
        <v>193</v>
      </c>
      <c r="BJ1578">
        <v>0</v>
      </c>
      <c r="BK1578">
        <v>1</v>
      </c>
      <c r="BL1578" t="s">
        <v>69</v>
      </c>
      <c r="BM1578">
        <v>-6.6000000000000003E-2</v>
      </c>
      <c r="BN1578">
        <v>1.353</v>
      </c>
    </row>
    <row r="1579" spans="2:66">
      <c r="B1579">
        <v>2843</v>
      </c>
      <c r="C1579">
        <v>112</v>
      </c>
      <c r="D1579">
        <v>0</v>
      </c>
      <c r="E1579">
        <v>8</v>
      </c>
      <c r="F1579">
        <v>0</v>
      </c>
      <c r="J1579">
        <v>0</v>
      </c>
      <c r="K1579">
        <v>0</v>
      </c>
      <c r="L1579">
        <v>0</v>
      </c>
      <c r="M1579" t="s">
        <v>25022</v>
      </c>
      <c r="N1579">
        <v>125</v>
      </c>
      <c r="O1579" t="s">
        <v>926</v>
      </c>
      <c r="P1579" t="s">
        <v>57</v>
      </c>
      <c r="Q1579">
        <v>140147</v>
      </c>
      <c r="R1579">
        <v>140407</v>
      </c>
      <c r="S1579" t="s">
        <v>927</v>
      </c>
      <c r="T1579">
        <v>87</v>
      </c>
      <c r="U1579" t="s">
        <v>59</v>
      </c>
      <c r="V1579">
        <v>49</v>
      </c>
      <c r="W1579" t="str">
        <f>HYPERLINK("Gene125-zp_tree_all.dnd", "Gene125-tree")</f>
        <v>Gene125-tree</v>
      </c>
      <c r="X1579">
        <v>5</v>
      </c>
      <c r="Y1579">
        <v>2</v>
      </c>
      <c r="Z1579">
        <v>5</v>
      </c>
      <c r="AA1579">
        <v>2</v>
      </c>
      <c r="AB1579">
        <v>0.28571000000000002</v>
      </c>
      <c r="AC1579" t="s">
        <v>199</v>
      </c>
      <c r="AD1579" t="s">
        <v>81</v>
      </c>
      <c r="AE1579" t="s">
        <v>62</v>
      </c>
      <c r="AF1579" t="s">
        <v>62</v>
      </c>
      <c r="AG1579">
        <v>0</v>
      </c>
      <c r="AH1579">
        <v>0</v>
      </c>
      <c r="AI1579">
        <v>2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</v>
      </c>
      <c r="AT1579">
        <v>0</v>
      </c>
      <c r="AU1579">
        <v>4</v>
      </c>
      <c r="AV1579">
        <v>3</v>
      </c>
      <c r="AW1579">
        <v>2</v>
      </c>
      <c r="AX1579">
        <v>2</v>
      </c>
      <c r="AY1579">
        <v>7</v>
      </c>
      <c r="AZ1579">
        <v>0</v>
      </c>
      <c r="BA1579" t="s">
        <v>928</v>
      </c>
      <c r="BB1579" t="s">
        <v>193</v>
      </c>
      <c r="BC1579">
        <v>1</v>
      </c>
      <c r="BD1579" t="s">
        <v>65</v>
      </c>
      <c r="BE1579">
        <v>9</v>
      </c>
      <c r="BF1579">
        <v>2</v>
      </c>
      <c r="BG1579" t="s">
        <v>929</v>
      </c>
      <c r="BH1579" t="s">
        <v>930</v>
      </c>
      <c r="BI1579" t="s">
        <v>931</v>
      </c>
      <c r="BJ1579">
        <v>3.696E-2</v>
      </c>
      <c r="BK1579">
        <v>1</v>
      </c>
      <c r="BL1579" t="s">
        <v>69</v>
      </c>
      <c r="BM1579">
        <v>-1.2929999999999999</v>
      </c>
      <c r="BN1579">
        <v>-0.27500000000000002</v>
      </c>
    </row>
    <row r="1580" spans="2:66">
      <c r="B1580">
        <v>2847</v>
      </c>
      <c r="C1580">
        <v>87</v>
      </c>
      <c r="D1580">
        <v>0</v>
      </c>
      <c r="E1580">
        <v>2</v>
      </c>
      <c r="F1580">
        <v>2</v>
      </c>
      <c r="J1580">
        <v>0</v>
      </c>
      <c r="K1580">
        <v>0</v>
      </c>
      <c r="L1580">
        <v>0</v>
      </c>
      <c r="M1580" t="s">
        <v>25022</v>
      </c>
      <c r="N1580">
        <v>127</v>
      </c>
      <c r="O1580" t="s">
        <v>932</v>
      </c>
      <c r="P1580" t="s">
        <v>57</v>
      </c>
      <c r="Q1580">
        <v>140857</v>
      </c>
      <c r="R1580">
        <v>141165</v>
      </c>
      <c r="S1580" t="s">
        <v>933</v>
      </c>
      <c r="T1580">
        <v>103</v>
      </c>
      <c r="U1580" t="s">
        <v>515</v>
      </c>
      <c r="V1580">
        <v>51</v>
      </c>
      <c r="W1580" t="str">
        <f>HYPERLINK("Gene127-zp_tree_all.dnd", "Gene127-tree")</f>
        <v>Gene127-tree</v>
      </c>
      <c r="X1580">
        <v>6</v>
      </c>
      <c r="Y1580">
        <v>0</v>
      </c>
      <c r="Z1580">
        <v>6</v>
      </c>
      <c r="AA1580">
        <v>0</v>
      </c>
      <c r="AB1580">
        <v>0</v>
      </c>
      <c r="AC1580" t="s">
        <v>90</v>
      </c>
      <c r="AD1580" t="s">
        <v>62</v>
      </c>
      <c r="AE1580" t="s">
        <v>62</v>
      </c>
      <c r="AF1580" t="s">
        <v>62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3</v>
      </c>
      <c r="AV1580">
        <v>2</v>
      </c>
      <c r="AW1580">
        <v>3</v>
      </c>
      <c r="AX1580">
        <v>0</v>
      </c>
      <c r="AY1580">
        <v>15</v>
      </c>
      <c r="AZ1580">
        <v>0</v>
      </c>
      <c r="BA1580" t="s">
        <v>193</v>
      </c>
      <c r="BB1580" t="s">
        <v>193</v>
      </c>
      <c r="BC1580">
        <v>0</v>
      </c>
      <c r="BD1580" t="s">
        <v>65</v>
      </c>
      <c r="BE1580">
        <v>18</v>
      </c>
      <c r="BF1580">
        <v>0</v>
      </c>
      <c r="BG1580" t="s">
        <v>934</v>
      </c>
      <c r="BH1580" t="s">
        <v>935</v>
      </c>
      <c r="BI1580" t="s">
        <v>193</v>
      </c>
      <c r="BJ1580">
        <v>0</v>
      </c>
      <c r="BK1580">
        <v>1</v>
      </c>
      <c r="BL1580" t="s">
        <v>69</v>
      </c>
      <c r="BM1580">
        <v>-1.5509999999999999</v>
      </c>
      <c r="BN1580">
        <v>1.1100000000000001</v>
      </c>
    </row>
    <row r="1581" spans="2:66">
      <c r="B1581">
        <v>2848</v>
      </c>
      <c r="C1581">
        <v>157</v>
      </c>
      <c r="D1581">
        <v>0</v>
      </c>
      <c r="E1581">
        <v>4</v>
      </c>
      <c r="F1581">
        <v>0</v>
      </c>
      <c r="J1581">
        <v>0</v>
      </c>
      <c r="K1581">
        <v>0</v>
      </c>
      <c r="L1581">
        <v>0</v>
      </c>
      <c r="M1581" t="s">
        <v>25022</v>
      </c>
      <c r="N1581">
        <v>128</v>
      </c>
      <c r="O1581" t="s">
        <v>936</v>
      </c>
      <c r="P1581" t="s">
        <v>57</v>
      </c>
      <c r="Q1581">
        <v>141195</v>
      </c>
      <c r="R1581">
        <v>141731</v>
      </c>
      <c r="S1581" t="s">
        <v>937</v>
      </c>
      <c r="T1581">
        <v>179</v>
      </c>
      <c r="U1581" t="s">
        <v>515</v>
      </c>
      <c r="V1581">
        <v>51</v>
      </c>
      <c r="W1581" t="str">
        <f>HYPERLINK("Gene128-zp_tree_all.dnd", "Gene128-tree")</f>
        <v>Gene128-tree</v>
      </c>
      <c r="X1581">
        <v>29</v>
      </c>
      <c r="Y1581">
        <v>1</v>
      </c>
      <c r="Z1581">
        <v>9</v>
      </c>
      <c r="AA1581">
        <v>1</v>
      </c>
      <c r="AB1581">
        <v>0.1</v>
      </c>
      <c r="AC1581" t="s">
        <v>234</v>
      </c>
      <c r="AD1581" t="s">
        <v>175</v>
      </c>
      <c r="AE1581" t="s">
        <v>62</v>
      </c>
      <c r="AF1581" t="s">
        <v>62</v>
      </c>
      <c r="AG1581">
        <v>0</v>
      </c>
      <c r="AH1581">
        <v>0</v>
      </c>
      <c r="AI1581">
        <v>3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3</v>
      </c>
      <c r="AT1581">
        <v>0</v>
      </c>
      <c r="AU1581">
        <v>7</v>
      </c>
      <c r="AV1581">
        <v>2</v>
      </c>
      <c r="AW1581">
        <v>22</v>
      </c>
      <c r="AX1581">
        <v>3</v>
      </c>
      <c r="AY1581">
        <v>3</v>
      </c>
      <c r="AZ1581">
        <v>0</v>
      </c>
      <c r="BA1581" t="s">
        <v>938</v>
      </c>
      <c r="BB1581" t="s">
        <v>193</v>
      </c>
      <c r="BC1581">
        <v>0.31</v>
      </c>
      <c r="BD1581" t="s">
        <v>65</v>
      </c>
      <c r="BE1581">
        <v>25</v>
      </c>
      <c r="BF1581">
        <v>3</v>
      </c>
      <c r="BG1581" t="s">
        <v>939</v>
      </c>
      <c r="BH1581" t="s">
        <v>940</v>
      </c>
      <c r="BI1581" t="s">
        <v>941</v>
      </c>
      <c r="BJ1581">
        <v>3.2660000000000002E-2</v>
      </c>
      <c r="BK1581">
        <v>1</v>
      </c>
      <c r="BL1581" t="s">
        <v>69</v>
      </c>
      <c r="BM1581">
        <v>-1.452</v>
      </c>
      <c r="BN1581">
        <v>1.073</v>
      </c>
    </row>
    <row r="1582" spans="2:66">
      <c r="B1582">
        <v>2849</v>
      </c>
      <c r="C1582">
        <v>299</v>
      </c>
      <c r="D1582">
        <v>0</v>
      </c>
      <c r="E1582">
        <v>2</v>
      </c>
      <c r="F1582">
        <v>0</v>
      </c>
      <c r="J1582">
        <v>0</v>
      </c>
      <c r="K1582">
        <v>0</v>
      </c>
      <c r="L1582">
        <v>0</v>
      </c>
      <c r="M1582" t="s">
        <v>25022</v>
      </c>
      <c r="N1582">
        <v>130</v>
      </c>
      <c r="O1582" t="s">
        <v>942</v>
      </c>
      <c r="P1582" t="s">
        <v>57</v>
      </c>
      <c r="Q1582">
        <v>141974</v>
      </c>
      <c r="R1582">
        <v>142369</v>
      </c>
      <c r="S1582" t="s">
        <v>943</v>
      </c>
      <c r="T1582">
        <v>132</v>
      </c>
      <c r="U1582" t="s">
        <v>515</v>
      </c>
      <c r="V1582">
        <v>51</v>
      </c>
      <c r="W1582" t="str">
        <f>HYPERLINK("Gene130-zp_tree_all.dnd", "Gene130-tree")</f>
        <v>Gene130-tree</v>
      </c>
      <c r="X1582">
        <v>8</v>
      </c>
      <c r="Y1582">
        <v>2</v>
      </c>
      <c r="Z1582">
        <v>8</v>
      </c>
      <c r="AA1582">
        <v>2</v>
      </c>
      <c r="AB1582">
        <v>0.2</v>
      </c>
      <c r="AC1582" t="s">
        <v>136</v>
      </c>
      <c r="AD1582" t="s">
        <v>81</v>
      </c>
      <c r="AE1582" t="s">
        <v>62</v>
      </c>
      <c r="AF1582" t="s">
        <v>62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2</v>
      </c>
      <c r="AT1582">
        <v>0</v>
      </c>
      <c r="AU1582">
        <v>6</v>
      </c>
      <c r="AV1582">
        <v>3</v>
      </c>
      <c r="AW1582">
        <v>9</v>
      </c>
      <c r="AX1582">
        <v>2</v>
      </c>
      <c r="AY1582">
        <v>3</v>
      </c>
      <c r="AZ1582">
        <v>0</v>
      </c>
      <c r="BA1582" t="s">
        <v>944</v>
      </c>
      <c r="BB1582" t="s">
        <v>193</v>
      </c>
      <c r="BC1582">
        <v>0.95</v>
      </c>
      <c r="BD1582" t="s">
        <v>65</v>
      </c>
      <c r="BE1582">
        <v>12</v>
      </c>
      <c r="BF1582">
        <v>2</v>
      </c>
      <c r="BG1582" t="s">
        <v>945</v>
      </c>
      <c r="BH1582" t="s">
        <v>946</v>
      </c>
      <c r="BI1582" t="s">
        <v>947</v>
      </c>
      <c r="BJ1582">
        <v>4.224E-2</v>
      </c>
      <c r="BK1582">
        <v>1</v>
      </c>
      <c r="BL1582" t="s">
        <v>69</v>
      </c>
      <c r="BM1582">
        <v>-0.72499999999999998</v>
      </c>
      <c r="BN1582">
        <v>0.28499999999999998</v>
      </c>
    </row>
    <row r="1583" spans="2:66">
      <c r="B1583">
        <v>2850</v>
      </c>
      <c r="C1583">
        <v>43</v>
      </c>
      <c r="D1583">
        <v>0</v>
      </c>
      <c r="E1583">
        <v>0</v>
      </c>
      <c r="F1583">
        <v>2</v>
      </c>
      <c r="J1583">
        <v>0</v>
      </c>
      <c r="K1583">
        <v>0</v>
      </c>
      <c r="L1583">
        <v>0</v>
      </c>
      <c r="M1583" t="s">
        <v>25022</v>
      </c>
      <c r="N1583">
        <v>131</v>
      </c>
      <c r="O1583" t="s">
        <v>948</v>
      </c>
      <c r="P1583" t="s">
        <v>57</v>
      </c>
      <c r="Q1583">
        <v>142402</v>
      </c>
      <c r="R1583">
        <v>142938</v>
      </c>
      <c r="S1583" t="s">
        <v>949</v>
      </c>
      <c r="T1583">
        <v>179</v>
      </c>
      <c r="U1583" t="s">
        <v>59</v>
      </c>
      <c r="V1583">
        <v>49</v>
      </c>
      <c r="W1583" t="str">
        <f>HYPERLINK("Gene131-zp_tree_all.dnd", "Gene131-tree")</f>
        <v>Gene131-tree</v>
      </c>
      <c r="X1583">
        <v>46</v>
      </c>
      <c r="Y1583">
        <v>2</v>
      </c>
      <c r="Z1583">
        <v>7</v>
      </c>
      <c r="AA1583">
        <v>2</v>
      </c>
      <c r="AB1583">
        <v>0.22222</v>
      </c>
      <c r="AC1583" t="s">
        <v>950</v>
      </c>
      <c r="AD1583" t="s">
        <v>81</v>
      </c>
      <c r="AE1583" t="s">
        <v>62</v>
      </c>
      <c r="AF1583" t="s">
        <v>62</v>
      </c>
      <c r="AG1583">
        <v>0</v>
      </c>
      <c r="AH1583">
        <v>0</v>
      </c>
      <c r="AI1583">
        <v>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2</v>
      </c>
      <c r="AT1583">
        <v>0</v>
      </c>
      <c r="AU1583">
        <v>7</v>
      </c>
      <c r="AV1583">
        <v>4</v>
      </c>
      <c r="AW1583">
        <v>14</v>
      </c>
      <c r="AX1583">
        <v>2</v>
      </c>
      <c r="AY1583">
        <v>12</v>
      </c>
      <c r="AZ1583">
        <v>2</v>
      </c>
      <c r="BA1583" t="s">
        <v>951</v>
      </c>
      <c r="BB1583" t="s">
        <v>952</v>
      </c>
      <c r="BC1583">
        <v>0.106</v>
      </c>
      <c r="BD1583" t="s">
        <v>65</v>
      </c>
      <c r="BE1583">
        <v>26</v>
      </c>
      <c r="BF1583">
        <v>4</v>
      </c>
      <c r="BG1583" t="s">
        <v>953</v>
      </c>
      <c r="BH1583" t="s">
        <v>954</v>
      </c>
      <c r="BI1583" t="s">
        <v>955</v>
      </c>
      <c r="BJ1583">
        <v>6.0760000000000002E-2</v>
      </c>
      <c r="BK1583">
        <v>1</v>
      </c>
      <c r="BL1583" t="s">
        <v>69</v>
      </c>
      <c r="BM1583">
        <v>-1.72</v>
      </c>
      <c r="BN1583">
        <v>-1.7549999999999999</v>
      </c>
    </row>
    <row r="1584" spans="2:66">
      <c r="B1584">
        <v>2853</v>
      </c>
      <c r="C1584">
        <v>251</v>
      </c>
      <c r="D1584">
        <v>0</v>
      </c>
      <c r="E1584">
        <v>12</v>
      </c>
      <c r="F1584">
        <v>0</v>
      </c>
      <c r="J1584">
        <v>0</v>
      </c>
      <c r="K1584">
        <v>0</v>
      </c>
      <c r="L1584">
        <v>0</v>
      </c>
      <c r="M1584" t="s">
        <v>25022</v>
      </c>
      <c r="N1584">
        <v>132</v>
      </c>
      <c r="O1584" t="s">
        <v>956</v>
      </c>
      <c r="P1584" t="s">
        <v>57</v>
      </c>
      <c r="Q1584">
        <v>142974</v>
      </c>
      <c r="R1584">
        <v>143333</v>
      </c>
      <c r="S1584" t="s">
        <v>957</v>
      </c>
      <c r="T1584">
        <v>120</v>
      </c>
      <c r="U1584" t="s">
        <v>59</v>
      </c>
      <c r="V1584">
        <v>49</v>
      </c>
      <c r="W1584" t="str">
        <f>HYPERLINK("Gene132-zp_tree_all.dnd", "Gene132-tree")</f>
        <v>Gene132-tree</v>
      </c>
      <c r="X1584">
        <v>3</v>
      </c>
      <c r="Y1584">
        <v>3</v>
      </c>
      <c r="Z1584">
        <v>3</v>
      </c>
      <c r="AA1584">
        <v>3</v>
      </c>
      <c r="AB1584">
        <v>0.5</v>
      </c>
      <c r="AC1584" t="s">
        <v>324</v>
      </c>
      <c r="AD1584" t="s">
        <v>324</v>
      </c>
      <c r="AE1584" t="s">
        <v>62</v>
      </c>
      <c r="AF1584" t="s">
        <v>62</v>
      </c>
      <c r="AG1584">
        <v>0</v>
      </c>
      <c r="AH1584">
        <v>0</v>
      </c>
      <c r="AI1584">
        <v>4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3</v>
      </c>
      <c r="AT1584">
        <v>0</v>
      </c>
      <c r="AU1584">
        <v>5</v>
      </c>
      <c r="AV1584">
        <v>2</v>
      </c>
      <c r="AW1584">
        <v>2</v>
      </c>
      <c r="AX1584">
        <v>3</v>
      </c>
      <c r="AY1584">
        <v>2</v>
      </c>
      <c r="AZ1584">
        <v>1</v>
      </c>
      <c r="BA1584" t="s">
        <v>958</v>
      </c>
      <c r="BB1584" t="s">
        <v>959</v>
      </c>
      <c r="BC1584">
        <v>0.66900000000000004</v>
      </c>
      <c r="BD1584" t="s">
        <v>65</v>
      </c>
      <c r="BE1584">
        <v>4</v>
      </c>
      <c r="BF1584">
        <v>4</v>
      </c>
      <c r="BG1584" t="s">
        <v>960</v>
      </c>
      <c r="BH1584" t="s">
        <v>961</v>
      </c>
      <c r="BI1584" t="s">
        <v>962</v>
      </c>
      <c r="BJ1584">
        <v>0.29044999999999999</v>
      </c>
      <c r="BK1584">
        <v>0.87</v>
      </c>
      <c r="BL1584" t="s">
        <v>635</v>
      </c>
      <c r="BM1584">
        <v>-1.7789999999999999</v>
      </c>
      <c r="BN1584">
        <v>-0.83</v>
      </c>
    </row>
    <row r="1585" spans="2:66">
      <c r="B1585">
        <v>2854</v>
      </c>
      <c r="C1585">
        <v>65</v>
      </c>
      <c r="D1585">
        <v>0</v>
      </c>
      <c r="E1585">
        <v>4</v>
      </c>
      <c r="F1585">
        <v>0</v>
      </c>
      <c r="J1585">
        <v>0</v>
      </c>
      <c r="K1585">
        <v>0</v>
      </c>
      <c r="L1585">
        <v>0</v>
      </c>
      <c r="M1585" t="s">
        <v>25022</v>
      </c>
      <c r="N1585">
        <v>133</v>
      </c>
      <c r="O1585" t="s">
        <v>963</v>
      </c>
      <c r="P1585" t="s">
        <v>57</v>
      </c>
      <c r="Q1585">
        <v>143361</v>
      </c>
      <c r="R1585">
        <v>143858</v>
      </c>
      <c r="S1585" t="s">
        <v>964</v>
      </c>
      <c r="T1585">
        <v>166</v>
      </c>
      <c r="U1585" t="s">
        <v>515</v>
      </c>
      <c r="V1585">
        <v>51</v>
      </c>
      <c r="W1585" t="str">
        <f>HYPERLINK("Gene133-zp_tree_all.dnd", "Gene133-tree")</f>
        <v>Gene133-tree</v>
      </c>
      <c r="X1585">
        <v>25</v>
      </c>
      <c r="Y1585">
        <v>1</v>
      </c>
      <c r="Z1585">
        <v>6</v>
      </c>
      <c r="AA1585">
        <v>1</v>
      </c>
      <c r="AB1585">
        <v>0.14285999999999999</v>
      </c>
      <c r="AC1585" t="s">
        <v>965</v>
      </c>
      <c r="AD1585" t="s">
        <v>175</v>
      </c>
      <c r="AE1585" t="s">
        <v>62</v>
      </c>
      <c r="AF1585" t="s">
        <v>62</v>
      </c>
      <c r="AG1585">
        <v>0</v>
      </c>
      <c r="AH1585">
        <v>0</v>
      </c>
      <c r="AI1585">
        <v>2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4</v>
      </c>
      <c r="AV1585">
        <v>3</v>
      </c>
      <c r="AW1585">
        <v>6</v>
      </c>
      <c r="AX1585">
        <v>1</v>
      </c>
      <c r="AY1585">
        <v>16</v>
      </c>
      <c r="AZ1585">
        <v>1</v>
      </c>
      <c r="BA1585" t="s">
        <v>966</v>
      </c>
      <c r="BB1585" t="s">
        <v>967</v>
      </c>
      <c r="BC1585">
        <v>0.36</v>
      </c>
      <c r="BD1585" t="s">
        <v>65</v>
      </c>
      <c r="BE1585">
        <v>22</v>
      </c>
      <c r="BF1585">
        <v>2</v>
      </c>
      <c r="BG1585" t="s">
        <v>968</v>
      </c>
      <c r="BH1585" t="s">
        <v>969</v>
      </c>
      <c r="BI1585" t="s">
        <v>970</v>
      </c>
      <c r="BJ1585">
        <v>2.8240000000000001E-2</v>
      </c>
      <c r="BK1585">
        <v>1</v>
      </c>
      <c r="BL1585" t="s">
        <v>69</v>
      </c>
      <c r="BM1585">
        <v>-1.571</v>
      </c>
      <c r="BN1585">
        <v>1.4339999999999999</v>
      </c>
    </row>
    <row r="1586" spans="2:66">
      <c r="B1586">
        <v>2855</v>
      </c>
      <c r="C1586">
        <v>74</v>
      </c>
      <c r="D1586">
        <v>0</v>
      </c>
      <c r="E1586">
        <v>8</v>
      </c>
      <c r="F1586">
        <v>0</v>
      </c>
      <c r="J1586">
        <v>0</v>
      </c>
      <c r="K1586">
        <v>0</v>
      </c>
      <c r="L1586">
        <v>0</v>
      </c>
      <c r="M1586" t="s">
        <v>25022</v>
      </c>
      <c r="N1586">
        <v>134</v>
      </c>
      <c r="O1586" t="s">
        <v>971</v>
      </c>
      <c r="P1586" t="s">
        <v>57</v>
      </c>
      <c r="Q1586">
        <v>143875</v>
      </c>
      <c r="R1586">
        <v>144051</v>
      </c>
      <c r="S1586" t="s">
        <v>972</v>
      </c>
      <c r="T1586">
        <v>59</v>
      </c>
      <c r="U1586" t="s">
        <v>515</v>
      </c>
      <c r="V1586">
        <v>51</v>
      </c>
      <c r="W1586" t="str">
        <f>HYPERLINK("Gene134-zp_tree_all.dnd", "Gene134-tree")</f>
        <v>Gene134-tree</v>
      </c>
      <c r="X1586">
        <v>7</v>
      </c>
      <c r="Y1586">
        <v>1</v>
      </c>
      <c r="Z1586">
        <v>7</v>
      </c>
      <c r="AA1586">
        <v>1</v>
      </c>
      <c r="AB1586">
        <v>0.125</v>
      </c>
      <c r="AC1586" t="s">
        <v>152</v>
      </c>
      <c r="AD1586" t="s">
        <v>175</v>
      </c>
      <c r="AE1586" t="s">
        <v>62</v>
      </c>
      <c r="AF1586" t="s">
        <v>62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6</v>
      </c>
      <c r="AV1586">
        <v>2</v>
      </c>
      <c r="AW1586">
        <v>12</v>
      </c>
      <c r="AX1586">
        <v>1</v>
      </c>
      <c r="AY1586">
        <v>2</v>
      </c>
      <c r="AZ1586">
        <v>0</v>
      </c>
      <c r="BA1586" t="s">
        <v>973</v>
      </c>
      <c r="BB1586" t="s">
        <v>193</v>
      </c>
      <c r="BC1586">
        <v>0.40300000000000002</v>
      </c>
      <c r="BD1586" t="s">
        <v>65</v>
      </c>
      <c r="BE1586">
        <v>14</v>
      </c>
      <c r="BF1586">
        <v>1</v>
      </c>
      <c r="BG1586" t="s">
        <v>974</v>
      </c>
      <c r="BH1586" t="s">
        <v>975</v>
      </c>
      <c r="BI1586" t="s">
        <v>976</v>
      </c>
      <c r="BJ1586">
        <v>1.7409999999999998E-2</v>
      </c>
      <c r="BK1586">
        <v>1</v>
      </c>
      <c r="BL1586" t="s">
        <v>69</v>
      </c>
      <c r="BM1586">
        <v>-1.752</v>
      </c>
      <c r="BN1586">
        <v>-2.7E-2</v>
      </c>
    </row>
    <row r="1587" spans="2:66">
      <c r="B1587">
        <v>2856</v>
      </c>
      <c r="C1587">
        <v>121</v>
      </c>
      <c r="D1587">
        <v>0</v>
      </c>
      <c r="E1587">
        <v>4</v>
      </c>
      <c r="F1587">
        <v>0</v>
      </c>
      <c r="J1587">
        <v>0</v>
      </c>
      <c r="K1587">
        <v>0</v>
      </c>
      <c r="L1587">
        <v>0</v>
      </c>
      <c r="M1587" t="s">
        <v>25022</v>
      </c>
      <c r="N1587">
        <v>135</v>
      </c>
      <c r="O1587" t="s">
        <v>977</v>
      </c>
      <c r="P1587" t="s">
        <v>57</v>
      </c>
      <c r="Q1587">
        <v>144085</v>
      </c>
      <c r="R1587">
        <v>144522</v>
      </c>
      <c r="S1587" t="s">
        <v>978</v>
      </c>
      <c r="T1587">
        <v>146</v>
      </c>
      <c r="U1587" t="s">
        <v>515</v>
      </c>
      <c r="V1587">
        <v>51</v>
      </c>
      <c r="W1587" t="str">
        <f>HYPERLINK("Gene135-zp_tree_all.dnd", "Gene135-tree")</f>
        <v>Gene135-tree</v>
      </c>
      <c r="X1587">
        <v>7</v>
      </c>
      <c r="Y1587">
        <v>1</v>
      </c>
      <c r="Z1587">
        <v>7</v>
      </c>
      <c r="AA1587">
        <v>1</v>
      </c>
      <c r="AB1587">
        <v>0.125</v>
      </c>
      <c r="AC1587" t="s">
        <v>152</v>
      </c>
      <c r="AD1587" t="s">
        <v>175</v>
      </c>
      <c r="AE1587" t="s">
        <v>62</v>
      </c>
      <c r="AF1587" t="s">
        <v>62</v>
      </c>
      <c r="AG1587">
        <v>0</v>
      </c>
      <c r="AH1587">
        <v>0</v>
      </c>
      <c r="AI1587">
        <v>4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4</v>
      </c>
      <c r="AT1587">
        <v>0</v>
      </c>
      <c r="AU1587">
        <v>6</v>
      </c>
      <c r="AV1587">
        <v>2</v>
      </c>
      <c r="AW1587">
        <v>16</v>
      </c>
      <c r="AX1587">
        <v>5</v>
      </c>
      <c r="AY1587">
        <v>2</v>
      </c>
      <c r="AZ1587">
        <v>0</v>
      </c>
      <c r="BA1587" t="s">
        <v>979</v>
      </c>
      <c r="BB1587" t="s">
        <v>193</v>
      </c>
      <c r="BC1587">
        <v>0.37</v>
      </c>
      <c r="BD1587" t="s">
        <v>65</v>
      </c>
      <c r="BE1587">
        <v>18</v>
      </c>
      <c r="BF1587">
        <v>5</v>
      </c>
      <c r="BG1587" t="s">
        <v>980</v>
      </c>
      <c r="BH1587" t="s">
        <v>981</v>
      </c>
      <c r="BI1587" t="s">
        <v>982</v>
      </c>
      <c r="BJ1587">
        <v>7.886E-2</v>
      </c>
      <c r="BK1587">
        <v>1</v>
      </c>
      <c r="BL1587" t="s">
        <v>69</v>
      </c>
      <c r="BM1587">
        <v>-1.4610000000000001</v>
      </c>
      <c r="BN1587">
        <v>1.7070000000000001</v>
      </c>
    </row>
    <row r="1588" spans="2:66">
      <c r="B1588">
        <v>2857</v>
      </c>
      <c r="C1588">
        <v>11</v>
      </c>
      <c r="D1588">
        <v>0</v>
      </c>
      <c r="E1588">
        <v>9</v>
      </c>
      <c r="F1588">
        <v>2</v>
      </c>
      <c r="J1588">
        <v>0</v>
      </c>
      <c r="K1588">
        <v>0</v>
      </c>
      <c r="L1588">
        <v>0</v>
      </c>
      <c r="M1588" t="s">
        <v>25022</v>
      </c>
      <c r="N1588">
        <v>136</v>
      </c>
      <c r="O1588" t="s">
        <v>983</v>
      </c>
      <c r="P1588" t="s">
        <v>57</v>
      </c>
      <c r="Q1588">
        <v>144527</v>
      </c>
      <c r="R1588">
        <v>145819</v>
      </c>
      <c r="S1588" t="s">
        <v>780</v>
      </c>
      <c r="T1588">
        <v>431</v>
      </c>
      <c r="U1588" t="s">
        <v>59</v>
      </c>
      <c r="V1588">
        <v>49</v>
      </c>
      <c r="W1588" t="str">
        <f>HYPERLINK("Gene136-zp_tree_all.dnd", "Gene136-tree")</f>
        <v>Gene136-tree</v>
      </c>
      <c r="X1588">
        <v>16</v>
      </c>
      <c r="Y1588">
        <v>3</v>
      </c>
      <c r="Z1588">
        <v>16</v>
      </c>
      <c r="AA1588">
        <v>3</v>
      </c>
      <c r="AB1588">
        <v>0.15789</v>
      </c>
      <c r="AC1588" t="s">
        <v>60</v>
      </c>
      <c r="AD1588" t="s">
        <v>324</v>
      </c>
      <c r="AE1588" t="s">
        <v>62</v>
      </c>
      <c r="AF1588" t="s">
        <v>62</v>
      </c>
      <c r="AG1588">
        <v>0</v>
      </c>
      <c r="AH1588">
        <v>0</v>
      </c>
      <c r="AI1588">
        <v>9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3</v>
      </c>
      <c r="AT1588">
        <v>0</v>
      </c>
      <c r="AU1588">
        <v>14</v>
      </c>
      <c r="AV1588">
        <v>12</v>
      </c>
      <c r="AW1588">
        <v>28</v>
      </c>
      <c r="AX1588">
        <v>3</v>
      </c>
      <c r="AY1588">
        <v>29</v>
      </c>
      <c r="AZ1588">
        <v>6</v>
      </c>
      <c r="BA1588" t="s">
        <v>984</v>
      </c>
      <c r="BB1588" t="s">
        <v>985</v>
      </c>
      <c r="BC1588">
        <v>0.34100000000000003</v>
      </c>
      <c r="BD1588" t="s">
        <v>65</v>
      </c>
      <c r="BE1588">
        <v>57</v>
      </c>
      <c r="BF1588">
        <v>9</v>
      </c>
      <c r="BG1588" t="s">
        <v>986</v>
      </c>
      <c r="BH1588" t="s">
        <v>987</v>
      </c>
      <c r="BI1588" t="s">
        <v>988</v>
      </c>
      <c r="BJ1588">
        <v>6.8040000000000003E-2</v>
      </c>
      <c r="BK1588">
        <v>1</v>
      </c>
      <c r="BL1588" t="s">
        <v>69</v>
      </c>
      <c r="BM1588">
        <v>-1.4430000000000001</v>
      </c>
      <c r="BN1588">
        <v>-1.5509999999999999</v>
      </c>
    </row>
    <row r="1589" spans="2:66">
      <c r="B1589">
        <v>2861</v>
      </c>
      <c r="C1589">
        <v>51</v>
      </c>
      <c r="D1589">
        <v>2</v>
      </c>
      <c r="E1589">
        <v>4</v>
      </c>
      <c r="F1589">
        <v>8</v>
      </c>
      <c r="J1589">
        <v>0</v>
      </c>
      <c r="K1589">
        <v>2</v>
      </c>
      <c r="L1589">
        <v>0</v>
      </c>
      <c r="M1589" t="s">
        <v>25022</v>
      </c>
      <c r="N1589">
        <v>137</v>
      </c>
      <c r="O1589" t="s">
        <v>989</v>
      </c>
      <c r="P1589" t="s">
        <v>57</v>
      </c>
      <c r="Q1589">
        <v>145877</v>
      </c>
      <c r="R1589">
        <v>146527</v>
      </c>
      <c r="S1589" t="s">
        <v>990</v>
      </c>
      <c r="T1589">
        <v>217</v>
      </c>
      <c r="U1589" t="s">
        <v>59</v>
      </c>
      <c r="V1589">
        <v>49</v>
      </c>
      <c r="W1589" t="str">
        <f>HYPERLINK("Gene137-zp_tree_all.dnd", "Gene137-tree")</f>
        <v>Gene137-tree</v>
      </c>
      <c r="X1589">
        <v>9</v>
      </c>
      <c r="Y1589">
        <v>4</v>
      </c>
      <c r="Z1589">
        <v>9</v>
      </c>
      <c r="AA1589">
        <v>4</v>
      </c>
      <c r="AB1589">
        <v>0.30769000000000002</v>
      </c>
      <c r="AC1589" t="s">
        <v>135</v>
      </c>
      <c r="AD1589" t="s">
        <v>61</v>
      </c>
      <c r="AE1589" t="s">
        <v>62</v>
      </c>
      <c r="AF1589" t="s">
        <v>62</v>
      </c>
      <c r="AG1589">
        <v>1</v>
      </c>
      <c r="AH1589">
        <v>2</v>
      </c>
      <c r="AI1589">
        <v>4</v>
      </c>
      <c r="AJ1589">
        <v>0.33333000000000002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4</v>
      </c>
      <c r="AT1589">
        <v>0</v>
      </c>
      <c r="AU1589">
        <v>9</v>
      </c>
      <c r="AV1589">
        <v>8</v>
      </c>
      <c r="AW1589">
        <v>9</v>
      </c>
      <c r="AX1589">
        <v>4</v>
      </c>
      <c r="AY1589">
        <v>14</v>
      </c>
      <c r="AZ1589">
        <v>2</v>
      </c>
      <c r="BA1589" t="s">
        <v>991</v>
      </c>
      <c r="BB1589" t="s">
        <v>992</v>
      </c>
      <c r="BC1589">
        <v>0.83599999999999997</v>
      </c>
      <c r="BD1589" t="s">
        <v>65</v>
      </c>
      <c r="BE1589">
        <v>23</v>
      </c>
      <c r="BF1589">
        <v>6</v>
      </c>
      <c r="BG1589" t="s">
        <v>993</v>
      </c>
      <c r="BH1589" t="s">
        <v>994</v>
      </c>
      <c r="BI1589" t="s">
        <v>995</v>
      </c>
      <c r="BJ1589">
        <v>6.1940000000000002E-2</v>
      </c>
      <c r="BK1589">
        <v>1</v>
      </c>
      <c r="BL1589" t="s">
        <v>69</v>
      </c>
      <c r="BM1589">
        <v>-0.59399999999999997</v>
      </c>
      <c r="BN1589">
        <v>-0.70199999999999996</v>
      </c>
    </row>
    <row r="1590" spans="2:66">
      <c r="B1590">
        <v>2863</v>
      </c>
      <c r="C1590">
        <v>184</v>
      </c>
      <c r="D1590">
        <v>0</v>
      </c>
      <c r="E1590">
        <v>6</v>
      </c>
      <c r="F1590">
        <v>0</v>
      </c>
      <c r="J1590">
        <v>0</v>
      </c>
      <c r="K1590">
        <v>0</v>
      </c>
      <c r="L1590">
        <v>0</v>
      </c>
      <c r="M1590" t="s">
        <v>25022</v>
      </c>
      <c r="N1590">
        <v>138</v>
      </c>
      <c r="O1590" t="s">
        <v>996</v>
      </c>
      <c r="P1590" t="s">
        <v>57</v>
      </c>
      <c r="Q1590">
        <v>146527</v>
      </c>
      <c r="R1590">
        <v>147270</v>
      </c>
      <c r="S1590" t="s">
        <v>997</v>
      </c>
      <c r="T1590">
        <v>248</v>
      </c>
      <c r="U1590" t="s">
        <v>59</v>
      </c>
      <c r="V1590">
        <v>49</v>
      </c>
      <c r="W1590" t="str">
        <f>HYPERLINK("Gene138-zp_tree_all.dnd", "Gene138-tree")</f>
        <v>Gene138-tree</v>
      </c>
      <c r="X1590">
        <v>9</v>
      </c>
      <c r="Y1590">
        <v>1</v>
      </c>
      <c r="Z1590">
        <v>9</v>
      </c>
      <c r="AA1590">
        <v>1</v>
      </c>
      <c r="AB1590">
        <v>0.1</v>
      </c>
      <c r="AC1590" t="s">
        <v>135</v>
      </c>
      <c r="AD1590" t="s">
        <v>175</v>
      </c>
      <c r="AE1590" t="s">
        <v>62</v>
      </c>
      <c r="AF1590" t="s">
        <v>62</v>
      </c>
      <c r="AG1590">
        <v>0</v>
      </c>
      <c r="AH1590">
        <v>0</v>
      </c>
      <c r="AI1590">
        <v>2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7</v>
      </c>
      <c r="AV1590">
        <v>3</v>
      </c>
      <c r="AW1590">
        <v>9</v>
      </c>
      <c r="AX1590">
        <v>1</v>
      </c>
      <c r="AY1590">
        <v>3</v>
      </c>
      <c r="AZ1590">
        <v>1</v>
      </c>
      <c r="BA1590" t="s">
        <v>998</v>
      </c>
      <c r="BB1590" t="s">
        <v>999</v>
      </c>
      <c r="BC1590">
        <v>0.47299999999999998</v>
      </c>
      <c r="BD1590" t="s">
        <v>65</v>
      </c>
      <c r="BE1590">
        <v>12</v>
      </c>
      <c r="BF1590">
        <v>2</v>
      </c>
      <c r="BG1590" t="s">
        <v>1000</v>
      </c>
      <c r="BH1590" t="s">
        <v>1001</v>
      </c>
      <c r="BI1590" t="s">
        <v>1002</v>
      </c>
      <c r="BJ1590">
        <v>5.042E-2</v>
      </c>
      <c r="BK1590">
        <v>1</v>
      </c>
      <c r="BL1590" t="s">
        <v>69</v>
      </c>
      <c r="BM1590">
        <v>-1.778</v>
      </c>
      <c r="BN1590">
        <v>-2.3069999999999999</v>
      </c>
    </row>
    <row r="1591" spans="2:66">
      <c r="B1591">
        <v>2864</v>
      </c>
      <c r="C1591">
        <v>297</v>
      </c>
      <c r="D1591">
        <v>0</v>
      </c>
      <c r="E1591">
        <v>4</v>
      </c>
      <c r="F1591">
        <v>2</v>
      </c>
      <c r="J1591">
        <v>0</v>
      </c>
      <c r="K1591">
        <v>0</v>
      </c>
      <c r="L1591">
        <v>0</v>
      </c>
      <c r="M1591" t="s">
        <v>25022</v>
      </c>
      <c r="N1591">
        <v>139</v>
      </c>
      <c r="O1591" t="s">
        <v>1003</v>
      </c>
      <c r="P1591" t="s">
        <v>57</v>
      </c>
      <c r="Q1591">
        <v>147312</v>
      </c>
      <c r="R1591">
        <v>147533</v>
      </c>
      <c r="S1591" t="s">
        <v>1004</v>
      </c>
      <c r="T1591">
        <v>74</v>
      </c>
      <c r="U1591" t="s">
        <v>108</v>
      </c>
      <c r="V1591">
        <v>44</v>
      </c>
      <c r="W1591" t="str">
        <f>HYPERLINK("Gene139-zp_tree_all.dnd", "Gene139-tree")</f>
        <v>Gene139-tree</v>
      </c>
      <c r="X1591">
        <v>22</v>
      </c>
      <c r="Y1591">
        <v>1</v>
      </c>
      <c r="Z1591">
        <v>3</v>
      </c>
      <c r="AA1591">
        <v>1</v>
      </c>
      <c r="AB1591">
        <v>0.25</v>
      </c>
      <c r="AC1591" t="s">
        <v>1005</v>
      </c>
      <c r="AD1591" t="s">
        <v>175</v>
      </c>
      <c r="AE1591" t="s">
        <v>62</v>
      </c>
      <c r="AF1591" t="s">
        <v>62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3</v>
      </c>
      <c r="AV1591">
        <v>0</v>
      </c>
      <c r="AW1591">
        <v>2</v>
      </c>
      <c r="AX1591">
        <v>1</v>
      </c>
      <c r="AY1591">
        <v>0</v>
      </c>
      <c r="AZ1591">
        <v>0</v>
      </c>
      <c r="BA1591" t="s">
        <v>1006</v>
      </c>
      <c r="BB1591" t="s">
        <v>193</v>
      </c>
      <c r="BC1591">
        <v>0.69299999999999995</v>
      </c>
      <c r="BD1591" t="s">
        <v>65</v>
      </c>
      <c r="BE1591">
        <v>2</v>
      </c>
      <c r="BF1591">
        <v>1</v>
      </c>
      <c r="BG1591" t="s">
        <v>1007</v>
      </c>
      <c r="BH1591" t="s">
        <v>1008</v>
      </c>
      <c r="BI1591" t="s">
        <v>1009</v>
      </c>
      <c r="BJ1591">
        <v>0.14424000000000001</v>
      </c>
      <c r="BK1591">
        <v>1</v>
      </c>
      <c r="BL1591" t="s">
        <v>69</v>
      </c>
      <c r="BM1591">
        <v>1.014</v>
      </c>
      <c r="BN1591">
        <v>0.90500000000000003</v>
      </c>
    </row>
    <row r="1592" spans="2:66">
      <c r="B1592">
        <v>2865</v>
      </c>
      <c r="C1592">
        <v>93</v>
      </c>
      <c r="D1592">
        <v>0</v>
      </c>
      <c r="E1592">
        <v>9</v>
      </c>
      <c r="F1592">
        <v>0</v>
      </c>
      <c r="J1592">
        <v>0</v>
      </c>
      <c r="K1592">
        <v>0</v>
      </c>
      <c r="L1592">
        <v>0</v>
      </c>
      <c r="M1592" t="s">
        <v>25022</v>
      </c>
      <c r="N1592">
        <v>142</v>
      </c>
      <c r="O1592" t="s">
        <v>1010</v>
      </c>
      <c r="P1592" t="s">
        <v>57</v>
      </c>
      <c r="Q1592">
        <v>147973</v>
      </c>
      <c r="R1592">
        <v>148335</v>
      </c>
      <c r="S1592" t="s">
        <v>1011</v>
      </c>
      <c r="T1592">
        <v>121</v>
      </c>
      <c r="U1592" t="s">
        <v>515</v>
      </c>
      <c r="V1592">
        <v>51</v>
      </c>
      <c r="W1592" t="str">
        <f>HYPERLINK("Gene142-zp_tree_all.dnd", "Gene142-tree")</f>
        <v>Gene142-tree</v>
      </c>
      <c r="X1592">
        <v>8</v>
      </c>
      <c r="Y1592">
        <v>0</v>
      </c>
      <c r="Z1592">
        <v>8</v>
      </c>
      <c r="AA1592">
        <v>0</v>
      </c>
      <c r="AB1592">
        <v>0</v>
      </c>
      <c r="AC1592" t="s">
        <v>136</v>
      </c>
      <c r="AD1592" t="s">
        <v>62</v>
      </c>
      <c r="AE1592" t="s">
        <v>62</v>
      </c>
      <c r="AF1592" t="s">
        <v>62</v>
      </c>
      <c r="AG1592">
        <v>0</v>
      </c>
      <c r="AH1592">
        <v>0</v>
      </c>
      <c r="AI1592">
        <v>2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4</v>
      </c>
      <c r="AV1592">
        <v>4</v>
      </c>
      <c r="AW1592">
        <v>8</v>
      </c>
      <c r="AX1592">
        <v>0</v>
      </c>
      <c r="AY1592">
        <v>13</v>
      </c>
      <c r="AZ1592">
        <v>2</v>
      </c>
      <c r="BA1592" t="s">
        <v>193</v>
      </c>
      <c r="BB1592" t="s">
        <v>1012</v>
      </c>
      <c r="BC1592">
        <v>0.52400000000000002</v>
      </c>
      <c r="BD1592" t="s">
        <v>65</v>
      </c>
      <c r="BE1592">
        <v>21</v>
      </c>
      <c r="BF1592">
        <v>2</v>
      </c>
      <c r="BG1592" t="s">
        <v>1013</v>
      </c>
      <c r="BH1592" t="s">
        <v>1014</v>
      </c>
      <c r="BI1592" t="s">
        <v>1015</v>
      </c>
      <c r="BJ1592">
        <v>3.934E-2</v>
      </c>
      <c r="BK1592">
        <v>1</v>
      </c>
      <c r="BL1592" t="s">
        <v>69</v>
      </c>
      <c r="BM1592">
        <v>-1.625</v>
      </c>
      <c r="BN1592">
        <v>0.68700000000000006</v>
      </c>
    </row>
    <row r="1593" spans="2:66">
      <c r="B1593">
        <v>2867</v>
      </c>
      <c r="C1593">
        <v>186</v>
      </c>
      <c r="D1593">
        <v>0</v>
      </c>
      <c r="E1593">
        <v>2</v>
      </c>
      <c r="F1593">
        <v>0</v>
      </c>
      <c r="J1593">
        <v>0</v>
      </c>
      <c r="K1593">
        <v>0</v>
      </c>
      <c r="L1593">
        <v>0</v>
      </c>
      <c r="M1593" t="s">
        <v>25022</v>
      </c>
      <c r="N1593">
        <v>143</v>
      </c>
      <c r="O1593" t="s">
        <v>1016</v>
      </c>
      <c r="P1593" t="s">
        <v>57</v>
      </c>
      <c r="Q1593">
        <v>148359</v>
      </c>
      <c r="R1593">
        <v>148751</v>
      </c>
      <c r="S1593" t="s">
        <v>1017</v>
      </c>
      <c r="T1593">
        <v>131</v>
      </c>
      <c r="U1593" t="s">
        <v>59</v>
      </c>
      <c r="V1593">
        <v>49</v>
      </c>
      <c r="W1593" t="str">
        <f>HYPERLINK("Gene143-zp_tree_all.dnd", "Gene143-tree")</f>
        <v>Gene143-tree</v>
      </c>
      <c r="X1593">
        <v>6</v>
      </c>
      <c r="Y1593">
        <v>1</v>
      </c>
      <c r="Z1593">
        <v>6</v>
      </c>
      <c r="AA1593">
        <v>1</v>
      </c>
      <c r="AB1593">
        <v>0.14285999999999999</v>
      </c>
      <c r="AC1593" t="s">
        <v>90</v>
      </c>
      <c r="AD1593" t="s">
        <v>175</v>
      </c>
      <c r="AE1593" t="s">
        <v>62</v>
      </c>
      <c r="AF1593" t="s">
        <v>62</v>
      </c>
      <c r="AG1593">
        <v>0</v>
      </c>
      <c r="AH1593">
        <v>0</v>
      </c>
      <c r="AI1593">
        <v>3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6</v>
      </c>
      <c r="AV1593">
        <v>1</v>
      </c>
      <c r="AW1593">
        <v>12</v>
      </c>
      <c r="AX1593">
        <v>1</v>
      </c>
      <c r="AY1593">
        <v>2</v>
      </c>
      <c r="AZ1593">
        <v>2</v>
      </c>
      <c r="BA1593" t="s">
        <v>1018</v>
      </c>
      <c r="BB1593" t="s">
        <v>1019</v>
      </c>
      <c r="BC1593">
        <v>4.8010000000000002</v>
      </c>
      <c r="BD1593" t="s">
        <v>65</v>
      </c>
      <c r="BE1593">
        <v>14</v>
      </c>
      <c r="BF1593">
        <v>3</v>
      </c>
      <c r="BG1593" t="s">
        <v>1020</v>
      </c>
      <c r="BH1593" t="s">
        <v>1021</v>
      </c>
      <c r="BI1593" t="s">
        <v>1022</v>
      </c>
      <c r="BJ1593">
        <v>0.1057</v>
      </c>
      <c r="BK1593">
        <v>1</v>
      </c>
      <c r="BL1593" t="s">
        <v>69</v>
      </c>
      <c r="BM1593">
        <v>-1.7849999999999999</v>
      </c>
      <c r="BN1593">
        <v>0.496</v>
      </c>
    </row>
    <row r="1594" spans="2:66">
      <c r="B1594">
        <v>2868</v>
      </c>
      <c r="C1594">
        <v>124</v>
      </c>
      <c r="D1594">
        <v>0</v>
      </c>
      <c r="E1594">
        <v>4</v>
      </c>
      <c r="F1594">
        <v>3</v>
      </c>
      <c r="J1594">
        <v>0</v>
      </c>
      <c r="K1594">
        <v>0</v>
      </c>
      <c r="L1594">
        <v>0</v>
      </c>
      <c r="M1594" t="s">
        <v>25022</v>
      </c>
      <c r="N1594">
        <v>144</v>
      </c>
      <c r="O1594" t="s">
        <v>1023</v>
      </c>
      <c r="P1594" t="s">
        <v>57</v>
      </c>
      <c r="Q1594">
        <v>148931</v>
      </c>
      <c r="R1594">
        <v>149872</v>
      </c>
      <c r="S1594" t="s">
        <v>1024</v>
      </c>
      <c r="T1594">
        <v>314</v>
      </c>
      <c r="U1594" t="s">
        <v>59</v>
      </c>
      <c r="V1594">
        <v>49</v>
      </c>
      <c r="W1594" t="str">
        <f>HYPERLINK("Gene144-zp_tree_all.dnd", "Gene144-tree")</f>
        <v>Gene144-tree</v>
      </c>
      <c r="X1594">
        <v>49</v>
      </c>
      <c r="Y1594">
        <v>0</v>
      </c>
      <c r="Z1594">
        <v>8</v>
      </c>
      <c r="AA1594">
        <v>0</v>
      </c>
      <c r="AB1594">
        <v>0</v>
      </c>
      <c r="AC1594" t="s">
        <v>1025</v>
      </c>
      <c r="AD1594" t="s">
        <v>62</v>
      </c>
      <c r="AE1594" t="s">
        <v>62</v>
      </c>
      <c r="AF1594" t="s">
        <v>62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5</v>
      </c>
      <c r="AV1594">
        <v>2</v>
      </c>
      <c r="AW1594">
        <v>11</v>
      </c>
      <c r="AX1594">
        <v>0</v>
      </c>
      <c r="AY1594">
        <v>5</v>
      </c>
      <c r="AZ1594">
        <v>0</v>
      </c>
      <c r="BA1594" t="s">
        <v>193</v>
      </c>
      <c r="BB1594" t="s">
        <v>193</v>
      </c>
      <c r="BC1594">
        <v>0</v>
      </c>
      <c r="BD1594" t="s">
        <v>65</v>
      </c>
      <c r="BE1594">
        <v>16</v>
      </c>
      <c r="BF1594">
        <v>0</v>
      </c>
      <c r="BG1594" t="s">
        <v>1026</v>
      </c>
      <c r="BH1594" t="s">
        <v>1027</v>
      </c>
      <c r="BI1594" t="s">
        <v>193</v>
      </c>
      <c r="BJ1594">
        <v>0</v>
      </c>
      <c r="BK1594">
        <v>1</v>
      </c>
      <c r="BL1594" t="s">
        <v>69</v>
      </c>
      <c r="BM1594">
        <v>-2.0009999999999999</v>
      </c>
      <c r="BN1594">
        <v>-3.198</v>
      </c>
    </row>
    <row r="1595" spans="2:66">
      <c r="B1595">
        <v>2869</v>
      </c>
      <c r="C1595">
        <v>62</v>
      </c>
      <c r="D1595">
        <v>0</v>
      </c>
      <c r="E1595">
        <v>4</v>
      </c>
      <c r="F1595">
        <v>0</v>
      </c>
      <c r="J1595">
        <v>0</v>
      </c>
      <c r="K1595">
        <v>0</v>
      </c>
      <c r="L1595">
        <v>0</v>
      </c>
      <c r="M1595" t="s">
        <v>25022</v>
      </c>
      <c r="N1595">
        <v>145</v>
      </c>
      <c r="O1595" t="s">
        <v>1028</v>
      </c>
      <c r="P1595" t="s">
        <v>57</v>
      </c>
      <c r="Q1595">
        <v>149953</v>
      </c>
      <c r="R1595">
        <v>150312</v>
      </c>
      <c r="S1595" t="s">
        <v>1029</v>
      </c>
      <c r="T1595">
        <v>120</v>
      </c>
      <c r="U1595" t="s">
        <v>59</v>
      </c>
      <c r="V1595">
        <v>49</v>
      </c>
      <c r="W1595" t="str">
        <f>HYPERLINK("Gene145-zp_tree_all.dnd", "Gene145-tree")</f>
        <v>Gene145-tree</v>
      </c>
      <c r="X1595">
        <v>26</v>
      </c>
      <c r="Y1595">
        <v>0</v>
      </c>
      <c r="Z1595">
        <v>6</v>
      </c>
      <c r="AA1595">
        <v>0</v>
      </c>
      <c r="AB1595">
        <v>0</v>
      </c>
      <c r="AC1595" t="s">
        <v>1030</v>
      </c>
      <c r="AD1595" t="s">
        <v>62</v>
      </c>
      <c r="AE1595" t="s">
        <v>62</v>
      </c>
      <c r="AF1595" t="s">
        <v>62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3</v>
      </c>
      <c r="AV1595">
        <v>2</v>
      </c>
      <c r="AW1595">
        <v>3</v>
      </c>
      <c r="AX1595">
        <v>0</v>
      </c>
      <c r="AY1595">
        <v>2</v>
      </c>
      <c r="AZ1595">
        <v>0</v>
      </c>
      <c r="BA1595" t="s">
        <v>193</v>
      </c>
      <c r="BB1595" t="s">
        <v>193</v>
      </c>
      <c r="BC1595">
        <v>0</v>
      </c>
      <c r="BD1595" t="s">
        <v>65</v>
      </c>
      <c r="BE1595">
        <v>5</v>
      </c>
      <c r="BF1595">
        <v>0</v>
      </c>
      <c r="BG1595" t="s">
        <v>1031</v>
      </c>
      <c r="BH1595" t="s">
        <v>1032</v>
      </c>
      <c r="BI1595" t="s">
        <v>193</v>
      </c>
      <c r="BJ1595">
        <v>0</v>
      </c>
      <c r="BK1595">
        <v>1</v>
      </c>
      <c r="BL1595" t="s">
        <v>69</v>
      </c>
      <c r="BM1595">
        <v>0.68500000000000005</v>
      </c>
      <c r="BN1595">
        <v>0.13900000000000001</v>
      </c>
    </row>
    <row r="1596" spans="2:66">
      <c r="B1596">
        <v>2870</v>
      </c>
      <c r="C1596">
        <v>153</v>
      </c>
      <c r="D1596">
        <v>0</v>
      </c>
      <c r="E1596">
        <v>8</v>
      </c>
      <c r="F1596">
        <v>0</v>
      </c>
      <c r="J1596">
        <v>0</v>
      </c>
      <c r="K1596">
        <v>5</v>
      </c>
      <c r="L1596">
        <v>0</v>
      </c>
      <c r="M1596" t="s">
        <v>25022</v>
      </c>
      <c r="N1596">
        <v>146</v>
      </c>
      <c r="O1596" t="s">
        <v>1033</v>
      </c>
      <c r="P1596" t="s">
        <v>57</v>
      </c>
      <c r="Q1596">
        <v>150443</v>
      </c>
      <c r="R1596">
        <v>151285</v>
      </c>
      <c r="S1596" t="s">
        <v>1034</v>
      </c>
      <c r="T1596">
        <v>281</v>
      </c>
      <c r="U1596" t="s">
        <v>59</v>
      </c>
      <c r="V1596">
        <v>49</v>
      </c>
      <c r="W1596" t="str">
        <f>HYPERLINK("Gene146-zp_tree_all.dnd", "Gene146-tree")</f>
        <v>Gene146-tree</v>
      </c>
      <c r="X1596">
        <v>12</v>
      </c>
      <c r="Y1596">
        <v>7</v>
      </c>
      <c r="Z1596">
        <v>12</v>
      </c>
      <c r="AA1596">
        <v>7</v>
      </c>
      <c r="AB1596">
        <v>0.36842000000000003</v>
      </c>
      <c r="AC1596" t="s">
        <v>109</v>
      </c>
      <c r="AD1596" t="s">
        <v>152</v>
      </c>
      <c r="AE1596" t="s">
        <v>62</v>
      </c>
      <c r="AF1596" t="s">
        <v>62</v>
      </c>
      <c r="AG1596">
        <v>2</v>
      </c>
      <c r="AH1596">
        <v>5</v>
      </c>
      <c r="AI1596">
        <v>10</v>
      </c>
      <c r="AJ1596">
        <v>0.33333000000000002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8</v>
      </c>
      <c r="AT1596">
        <v>0</v>
      </c>
      <c r="AU1596">
        <v>15</v>
      </c>
      <c r="AV1596">
        <v>12</v>
      </c>
      <c r="AW1596">
        <v>26</v>
      </c>
      <c r="AX1596">
        <v>8</v>
      </c>
      <c r="AY1596">
        <v>35</v>
      </c>
      <c r="AZ1596">
        <v>7</v>
      </c>
      <c r="BA1596" t="s">
        <v>1035</v>
      </c>
      <c r="BB1596" t="s">
        <v>1036</v>
      </c>
      <c r="BC1596">
        <v>0.33800000000000002</v>
      </c>
      <c r="BD1596" t="s">
        <v>65</v>
      </c>
      <c r="BE1596">
        <v>61</v>
      </c>
      <c r="BF1596">
        <v>15</v>
      </c>
      <c r="BG1596" t="s">
        <v>1037</v>
      </c>
      <c r="BH1596" t="s">
        <v>1038</v>
      </c>
      <c r="BI1596" t="s">
        <v>1039</v>
      </c>
      <c r="BJ1596">
        <v>5.391E-2</v>
      </c>
      <c r="BK1596">
        <v>1</v>
      </c>
      <c r="BL1596" t="s">
        <v>69</v>
      </c>
      <c r="BM1596">
        <v>-1.611</v>
      </c>
      <c r="BN1596">
        <v>-1.2929999999999999</v>
      </c>
    </row>
    <row r="1597" spans="2:66">
      <c r="B1597">
        <v>2872</v>
      </c>
      <c r="C1597">
        <v>103</v>
      </c>
      <c r="D1597">
        <v>0</v>
      </c>
      <c r="E1597">
        <v>2</v>
      </c>
      <c r="F1597">
        <v>0</v>
      </c>
      <c r="J1597">
        <v>0</v>
      </c>
      <c r="K1597">
        <v>0</v>
      </c>
      <c r="L1597">
        <v>2</v>
      </c>
      <c r="M1597" t="s">
        <v>25022</v>
      </c>
      <c r="N1597">
        <v>147</v>
      </c>
      <c r="O1597" t="s">
        <v>1040</v>
      </c>
      <c r="P1597" t="s">
        <v>57</v>
      </c>
      <c r="Q1597">
        <v>151303</v>
      </c>
      <c r="R1597">
        <v>152130</v>
      </c>
      <c r="S1597" t="s">
        <v>1034</v>
      </c>
      <c r="T1597">
        <v>276</v>
      </c>
      <c r="U1597" t="s">
        <v>108</v>
      </c>
      <c r="V1597">
        <v>44</v>
      </c>
      <c r="W1597" t="str">
        <f>HYPERLINK("Gene147-zp_tree_all.dnd", "Gene147-tree")</f>
        <v>Gene147-tree</v>
      </c>
      <c r="X1597">
        <v>9</v>
      </c>
      <c r="Y1597">
        <v>7</v>
      </c>
      <c r="Z1597">
        <v>9</v>
      </c>
      <c r="AA1597">
        <v>7</v>
      </c>
      <c r="AB1597">
        <v>0.4375</v>
      </c>
      <c r="AC1597" t="s">
        <v>135</v>
      </c>
      <c r="AD1597" t="s">
        <v>152</v>
      </c>
      <c r="AE1597" t="s">
        <v>62</v>
      </c>
      <c r="AF1597" t="s">
        <v>62</v>
      </c>
      <c r="AG1597">
        <v>1</v>
      </c>
      <c r="AH1597">
        <v>2</v>
      </c>
      <c r="AI1597">
        <v>11</v>
      </c>
      <c r="AJ1597">
        <v>0.15384999999999999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2</v>
      </c>
      <c r="AR1597">
        <v>2</v>
      </c>
      <c r="AS1597">
        <v>7</v>
      </c>
      <c r="AT1597">
        <v>0.22222</v>
      </c>
      <c r="AU1597">
        <v>13</v>
      </c>
      <c r="AV1597">
        <v>9</v>
      </c>
      <c r="AW1597">
        <v>29</v>
      </c>
      <c r="AX1597">
        <v>9</v>
      </c>
      <c r="AY1597">
        <v>12</v>
      </c>
      <c r="AZ1597">
        <v>4</v>
      </c>
      <c r="BA1597" t="s">
        <v>1041</v>
      </c>
      <c r="BB1597" t="s">
        <v>1042</v>
      </c>
      <c r="BC1597">
        <v>8.7999999999999995E-2</v>
      </c>
      <c r="BD1597" t="s">
        <v>65</v>
      </c>
      <c r="BE1597">
        <v>41</v>
      </c>
      <c r="BF1597">
        <v>13</v>
      </c>
      <c r="BG1597" t="s">
        <v>1043</v>
      </c>
      <c r="BH1597" t="s">
        <v>1044</v>
      </c>
      <c r="BI1597" t="s">
        <v>1045</v>
      </c>
      <c r="BJ1597">
        <v>0.11165</v>
      </c>
      <c r="BK1597">
        <v>1</v>
      </c>
      <c r="BL1597" t="s">
        <v>69</v>
      </c>
      <c r="BM1597">
        <v>-1.22</v>
      </c>
      <c r="BN1597">
        <v>-1.9650000000000001</v>
      </c>
    </row>
    <row r="1598" spans="2:66">
      <c r="B1598">
        <v>2875</v>
      </c>
      <c r="C1598">
        <v>157</v>
      </c>
      <c r="D1598">
        <v>0</v>
      </c>
      <c r="E1598">
        <v>4</v>
      </c>
      <c r="F1598">
        <v>2</v>
      </c>
      <c r="J1598">
        <v>0</v>
      </c>
      <c r="K1598">
        <v>9</v>
      </c>
      <c r="L1598">
        <v>0</v>
      </c>
      <c r="M1598" t="s">
        <v>25022</v>
      </c>
      <c r="N1598">
        <v>148</v>
      </c>
      <c r="O1598" t="s">
        <v>1046</v>
      </c>
      <c r="P1598" t="s">
        <v>57</v>
      </c>
      <c r="Q1598">
        <v>152130</v>
      </c>
      <c r="R1598">
        <v>152924</v>
      </c>
      <c r="S1598" t="s">
        <v>1047</v>
      </c>
      <c r="T1598">
        <v>265</v>
      </c>
      <c r="U1598" t="s">
        <v>108</v>
      </c>
      <c r="V1598">
        <v>44</v>
      </c>
      <c r="W1598" t="str">
        <f>HYPERLINK("Gene148-zp_tree_all.dnd", "Gene148-tree")</f>
        <v>Gene148-tree</v>
      </c>
      <c r="X1598">
        <v>27</v>
      </c>
      <c r="Y1598">
        <v>8</v>
      </c>
      <c r="Z1598">
        <v>8</v>
      </c>
      <c r="AA1598">
        <v>8</v>
      </c>
      <c r="AB1598">
        <v>0.5</v>
      </c>
      <c r="AC1598" t="s">
        <v>282</v>
      </c>
      <c r="AD1598" t="s">
        <v>136</v>
      </c>
      <c r="AE1598" t="s">
        <v>62</v>
      </c>
      <c r="AF1598" t="s">
        <v>62</v>
      </c>
      <c r="AG1598">
        <v>3</v>
      </c>
      <c r="AH1598">
        <v>9</v>
      </c>
      <c r="AI1598">
        <v>9</v>
      </c>
      <c r="AJ1598">
        <v>0.5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5</v>
      </c>
      <c r="AQ1598">
        <v>0</v>
      </c>
      <c r="AR1598">
        <v>5</v>
      </c>
      <c r="AS1598">
        <v>10</v>
      </c>
      <c r="AT1598">
        <v>0.33333000000000002</v>
      </c>
      <c r="AU1598">
        <v>13</v>
      </c>
      <c r="AV1598">
        <v>8</v>
      </c>
      <c r="AW1598">
        <v>21</v>
      </c>
      <c r="AX1598">
        <v>16</v>
      </c>
      <c r="AY1598">
        <v>10</v>
      </c>
      <c r="AZ1598">
        <v>3</v>
      </c>
      <c r="BA1598" t="s">
        <v>1048</v>
      </c>
      <c r="BB1598" t="s">
        <v>1049</v>
      </c>
      <c r="BC1598">
        <v>0.81599999999999995</v>
      </c>
      <c r="BD1598" t="s">
        <v>65</v>
      </c>
      <c r="BE1598">
        <v>31</v>
      </c>
      <c r="BF1598">
        <v>19</v>
      </c>
      <c r="BG1598" t="s">
        <v>1050</v>
      </c>
      <c r="BH1598" t="s">
        <v>1051</v>
      </c>
      <c r="BI1598" t="s">
        <v>1052</v>
      </c>
      <c r="BJ1598">
        <v>0.13535</v>
      </c>
      <c r="BK1598">
        <v>1</v>
      </c>
      <c r="BL1598" t="s">
        <v>69</v>
      </c>
      <c r="BM1598">
        <v>-1.2849999999999999</v>
      </c>
      <c r="BN1598">
        <v>-2.85</v>
      </c>
    </row>
    <row r="1599" spans="2:66">
      <c r="B1599">
        <v>2876</v>
      </c>
      <c r="C1599">
        <v>527</v>
      </c>
      <c r="D1599">
        <v>0</v>
      </c>
      <c r="E1599">
        <v>7</v>
      </c>
      <c r="F1599">
        <v>0</v>
      </c>
      <c r="J1599">
        <v>0</v>
      </c>
      <c r="K1599">
        <v>6</v>
      </c>
      <c r="L1599">
        <v>3</v>
      </c>
      <c r="M1599" t="s">
        <v>25022</v>
      </c>
      <c r="N1599">
        <v>149</v>
      </c>
      <c r="O1599" t="s">
        <v>1053</v>
      </c>
      <c r="P1599" t="s">
        <v>57</v>
      </c>
      <c r="Q1599">
        <v>152937</v>
      </c>
      <c r="R1599">
        <v>153677</v>
      </c>
      <c r="S1599" t="s">
        <v>1054</v>
      </c>
      <c r="T1599">
        <v>247</v>
      </c>
      <c r="U1599" t="s">
        <v>59</v>
      </c>
      <c r="V1599">
        <v>49</v>
      </c>
      <c r="W1599" t="str">
        <f>HYPERLINK("Gene149-zp_tree_all.dnd", "Gene149-tree")</f>
        <v>Gene149-tree</v>
      </c>
      <c r="X1599">
        <v>27</v>
      </c>
      <c r="Y1599">
        <v>11</v>
      </c>
      <c r="Z1599">
        <v>6</v>
      </c>
      <c r="AA1599">
        <v>11</v>
      </c>
      <c r="AB1599">
        <v>0.64705999999999997</v>
      </c>
      <c r="AC1599" t="s">
        <v>1055</v>
      </c>
      <c r="AD1599" t="s">
        <v>73</v>
      </c>
      <c r="AE1599">
        <v>4.9870000000000001</v>
      </c>
      <c r="AF1599" t="s">
        <v>267</v>
      </c>
      <c r="AG1599">
        <v>4</v>
      </c>
      <c r="AH1599">
        <v>9</v>
      </c>
      <c r="AI1599">
        <v>18</v>
      </c>
      <c r="AJ1599">
        <v>0.33333000000000002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4</v>
      </c>
      <c r="AQ1599">
        <v>2</v>
      </c>
      <c r="AR1599">
        <v>6</v>
      </c>
      <c r="AS1599">
        <v>12</v>
      </c>
      <c r="AT1599">
        <v>0.33333000000000002</v>
      </c>
      <c r="AU1599">
        <v>14</v>
      </c>
      <c r="AV1599">
        <v>10</v>
      </c>
      <c r="AW1599">
        <v>40</v>
      </c>
      <c r="AX1599">
        <v>18</v>
      </c>
      <c r="AY1599">
        <v>25</v>
      </c>
      <c r="AZ1599">
        <v>9</v>
      </c>
      <c r="BA1599" t="s">
        <v>1056</v>
      </c>
      <c r="BB1599" t="s">
        <v>1057</v>
      </c>
      <c r="BC1599">
        <v>0.23100000000000001</v>
      </c>
      <c r="BD1599" t="s">
        <v>65</v>
      </c>
      <c r="BE1599">
        <v>65</v>
      </c>
      <c r="BF1599">
        <v>27</v>
      </c>
      <c r="BG1599" t="s">
        <v>1058</v>
      </c>
      <c r="BH1599" t="s">
        <v>1059</v>
      </c>
      <c r="BI1599" t="s">
        <v>1060</v>
      </c>
      <c r="BJ1599">
        <v>0.12078</v>
      </c>
      <c r="BK1599">
        <v>1</v>
      </c>
      <c r="BL1599" t="s">
        <v>69</v>
      </c>
      <c r="BM1599">
        <v>-1.889</v>
      </c>
      <c r="BN1599">
        <v>-2.246</v>
      </c>
    </row>
    <row r="1600" spans="2:66">
      <c r="B1600">
        <v>2878</v>
      </c>
      <c r="C1600">
        <v>156</v>
      </c>
      <c r="D1600">
        <v>0</v>
      </c>
      <c r="E1600">
        <v>8</v>
      </c>
      <c r="F1600">
        <v>2</v>
      </c>
      <c r="J1600">
        <v>0</v>
      </c>
      <c r="K1600">
        <v>0</v>
      </c>
      <c r="L1600">
        <v>0</v>
      </c>
      <c r="M1600" t="s">
        <v>25022</v>
      </c>
      <c r="N1600">
        <v>150</v>
      </c>
      <c r="O1600" t="s">
        <v>1061</v>
      </c>
      <c r="P1600" t="s">
        <v>57</v>
      </c>
      <c r="Q1600">
        <v>153842</v>
      </c>
      <c r="R1600">
        <v>154276</v>
      </c>
      <c r="S1600" t="s">
        <v>1062</v>
      </c>
      <c r="T1600">
        <v>145</v>
      </c>
      <c r="U1600" t="s">
        <v>515</v>
      </c>
      <c r="V1600">
        <v>51</v>
      </c>
      <c r="W1600" t="str">
        <f>HYPERLINK("Gene150-zp_tree_all.dnd", "Gene150-tree")</f>
        <v>Gene150-tree</v>
      </c>
      <c r="X1600">
        <v>6</v>
      </c>
      <c r="Y1600">
        <v>0</v>
      </c>
      <c r="Z1600">
        <v>6</v>
      </c>
      <c r="AA1600">
        <v>0</v>
      </c>
      <c r="AB1600">
        <v>0</v>
      </c>
      <c r="AC1600" t="s">
        <v>90</v>
      </c>
      <c r="AD1600" t="s">
        <v>62</v>
      </c>
      <c r="AE1600" t="s">
        <v>62</v>
      </c>
      <c r="AF1600" t="s">
        <v>62</v>
      </c>
      <c r="AG1600">
        <v>0</v>
      </c>
      <c r="AH1600">
        <v>0</v>
      </c>
      <c r="AI1600">
        <v>2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5</v>
      </c>
      <c r="AV1600">
        <v>3</v>
      </c>
      <c r="AW1600">
        <v>7</v>
      </c>
      <c r="AX1600">
        <v>0</v>
      </c>
      <c r="AY1600">
        <v>6</v>
      </c>
      <c r="AZ1600">
        <v>2</v>
      </c>
      <c r="BA1600" t="s">
        <v>193</v>
      </c>
      <c r="BB1600" t="s">
        <v>1063</v>
      </c>
      <c r="BC1600">
        <v>0.68899999999999995</v>
      </c>
      <c r="BD1600" t="s">
        <v>65</v>
      </c>
      <c r="BE1600">
        <v>13</v>
      </c>
      <c r="BF1600">
        <v>2</v>
      </c>
      <c r="BG1600" t="s">
        <v>1064</v>
      </c>
      <c r="BH1600" t="s">
        <v>1065</v>
      </c>
      <c r="BI1600" t="s">
        <v>1066</v>
      </c>
      <c r="BJ1600">
        <v>6.3649999999999998E-2</v>
      </c>
      <c r="BK1600">
        <v>1</v>
      </c>
      <c r="BL1600" t="s">
        <v>69</v>
      </c>
      <c r="BM1600">
        <v>-2.0430000000000001</v>
      </c>
      <c r="BN1600">
        <v>-1.202</v>
      </c>
    </row>
    <row r="1601" spans="2:66">
      <c r="B1601">
        <v>2879</v>
      </c>
      <c r="C1601">
        <v>204</v>
      </c>
      <c r="D1601">
        <v>0</v>
      </c>
      <c r="E1601">
        <v>2</v>
      </c>
      <c r="F1601">
        <v>0</v>
      </c>
      <c r="J1601">
        <v>0</v>
      </c>
      <c r="K1601">
        <v>0</v>
      </c>
      <c r="L1601">
        <v>0</v>
      </c>
      <c r="M1601" t="s">
        <v>25022</v>
      </c>
      <c r="N1601">
        <v>151</v>
      </c>
      <c r="O1601" t="s">
        <v>1067</v>
      </c>
      <c r="P1601" t="s">
        <v>57</v>
      </c>
      <c r="Q1601">
        <v>154300</v>
      </c>
      <c r="R1601">
        <v>154689</v>
      </c>
      <c r="S1601" t="s">
        <v>1068</v>
      </c>
      <c r="T1601">
        <v>130</v>
      </c>
      <c r="U1601" t="s">
        <v>515</v>
      </c>
      <c r="V1601">
        <v>51</v>
      </c>
      <c r="W1601" t="str">
        <f>HYPERLINK("Gene151-zp_tree_all.dnd", "Gene151-tree")</f>
        <v>Gene151-tree</v>
      </c>
      <c r="X1601">
        <v>9</v>
      </c>
      <c r="Y1601">
        <v>2</v>
      </c>
      <c r="Z1601">
        <v>9</v>
      </c>
      <c r="AA1601">
        <v>2</v>
      </c>
      <c r="AB1601">
        <v>0.18182000000000001</v>
      </c>
      <c r="AC1601" t="s">
        <v>135</v>
      </c>
      <c r="AD1601" t="s">
        <v>81</v>
      </c>
      <c r="AE1601" t="s">
        <v>62</v>
      </c>
      <c r="AF1601" t="s">
        <v>62</v>
      </c>
      <c r="AG1601">
        <v>0</v>
      </c>
      <c r="AH1601">
        <v>0</v>
      </c>
      <c r="AI1601">
        <v>3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2</v>
      </c>
      <c r="AT1601">
        <v>0</v>
      </c>
      <c r="AU1601">
        <v>7</v>
      </c>
      <c r="AV1601">
        <v>4</v>
      </c>
      <c r="AW1601">
        <v>10</v>
      </c>
      <c r="AX1601">
        <v>1</v>
      </c>
      <c r="AY1601">
        <v>8</v>
      </c>
      <c r="AZ1601">
        <v>2</v>
      </c>
      <c r="BA1601" t="s">
        <v>1069</v>
      </c>
      <c r="BB1601" t="s">
        <v>1070</v>
      </c>
      <c r="BC1601">
        <v>0.497</v>
      </c>
      <c r="BD1601" t="s">
        <v>65</v>
      </c>
      <c r="BE1601">
        <v>18</v>
      </c>
      <c r="BF1601">
        <v>3</v>
      </c>
      <c r="BG1601" t="s">
        <v>1071</v>
      </c>
      <c r="BH1601" t="s">
        <v>1072</v>
      </c>
      <c r="BI1601" t="s">
        <v>1073</v>
      </c>
      <c r="BJ1601">
        <v>6.0499999999999998E-2</v>
      </c>
      <c r="BK1601">
        <v>1</v>
      </c>
      <c r="BL1601" t="s">
        <v>69</v>
      </c>
      <c r="BM1601">
        <v>-1.0309999999999999</v>
      </c>
      <c r="BN1601">
        <v>0.19900000000000001</v>
      </c>
    </row>
    <row r="1602" spans="2:66">
      <c r="B1602">
        <v>2880</v>
      </c>
      <c r="C1602">
        <v>42</v>
      </c>
      <c r="D1602">
        <v>0</v>
      </c>
      <c r="E1602">
        <v>2</v>
      </c>
      <c r="F1602">
        <v>2</v>
      </c>
      <c r="J1602">
        <v>0</v>
      </c>
      <c r="K1602">
        <v>11</v>
      </c>
      <c r="L1602">
        <v>0</v>
      </c>
      <c r="M1602" t="s">
        <v>25022</v>
      </c>
      <c r="N1602">
        <v>152</v>
      </c>
      <c r="O1602" t="s">
        <v>1074</v>
      </c>
      <c r="P1602" t="s">
        <v>57</v>
      </c>
      <c r="Q1602">
        <v>155156</v>
      </c>
      <c r="R1602">
        <v>155920</v>
      </c>
      <c r="S1602" t="s">
        <v>1075</v>
      </c>
      <c r="T1602">
        <v>255</v>
      </c>
      <c r="U1602" t="s">
        <v>108</v>
      </c>
      <c r="V1602">
        <v>44</v>
      </c>
      <c r="W1602" t="str">
        <f>HYPERLINK("Gene152-zp_tree_all.dnd", "Gene152-tree")</f>
        <v>Gene152-tree</v>
      </c>
      <c r="X1602">
        <v>8</v>
      </c>
      <c r="Y1602">
        <v>7</v>
      </c>
      <c r="Z1602">
        <v>8</v>
      </c>
      <c r="AA1602">
        <v>7</v>
      </c>
      <c r="AB1602">
        <v>0.46666999999999997</v>
      </c>
      <c r="AC1602" t="s">
        <v>136</v>
      </c>
      <c r="AD1602" t="s">
        <v>152</v>
      </c>
      <c r="AE1602" t="s">
        <v>62</v>
      </c>
      <c r="AF1602" t="s">
        <v>62</v>
      </c>
      <c r="AG1602">
        <v>5</v>
      </c>
      <c r="AH1602">
        <v>11</v>
      </c>
      <c r="AI1602">
        <v>9</v>
      </c>
      <c r="AJ1602">
        <v>0.55000000000000004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11</v>
      </c>
      <c r="AT1602">
        <v>0</v>
      </c>
      <c r="AU1602">
        <v>11</v>
      </c>
      <c r="AV1602">
        <v>10</v>
      </c>
      <c r="AW1602">
        <v>22</v>
      </c>
      <c r="AX1602">
        <v>10</v>
      </c>
      <c r="AY1602">
        <v>15</v>
      </c>
      <c r="AZ1602">
        <v>10</v>
      </c>
      <c r="BA1602" t="s">
        <v>1076</v>
      </c>
      <c r="BB1602" t="s">
        <v>1077</v>
      </c>
      <c r="BC1602">
        <v>0.60299999999999998</v>
      </c>
      <c r="BD1602" t="s">
        <v>65</v>
      </c>
      <c r="BE1602">
        <v>37</v>
      </c>
      <c r="BF1602">
        <v>20</v>
      </c>
      <c r="BG1602" t="s">
        <v>1078</v>
      </c>
      <c r="BH1602" t="s">
        <v>1079</v>
      </c>
      <c r="BI1602" t="s">
        <v>1080</v>
      </c>
      <c r="BJ1602">
        <v>0.14362</v>
      </c>
      <c r="BK1602">
        <v>1</v>
      </c>
      <c r="BL1602" t="s">
        <v>69</v>
      </c>
      <c r="BM1602">
        <v>-0.47599999999999998</v>
      </c>
      <c r="BN1602">
        <v>-1.752</v>
      </c>
    </row>
    <row r="1603" spans="2:66">
      <c r="B1603">
        <v>2881</v>
      </c>
      <c r="C1603">
        <v>486</v>
      </c>
      <c r="D1603">
        <v>0</v>
      </c>
      <c r="E1603">
        <v>4</v>
      </c>
      <c r="F1603">
        <v>0</v>
      </c>
      <c r="J1603">
        <v>0</v>
      </c>
      <c r="K1603">
        <v>4</v>
      </c>
      <c r="L1603">
        <v>1</v>
      </c>
      <c r="M1603" t="s">
        <v>25022</v>
      </c>
      <c r="N1603">
        <v>153</v>
      </c>
      <c r="O1603" t="s">
        <v>1081</v>
      </c>
      <c r="P1603" t="s">
        <v>57</v>
      </c>
      <c r="Q1603">
        <v>156109</v>
      </c>
      <c r="R1603">
        <v>156549</v>
      </c>
      <c r="S1603" t="s">
        <v>116</v>
      </c>
      <c r="T1603">
        <v>147</v>
      </c>
      <c r="U1603" t="s">
        <v>698</v>
      </c>
      <c r="V1603">
        <v>47</v>
      </c>
      <c r="W1603" t="str">
        <f>HYPERLINK("Gene153-zp_tree_all.dnd", "Gene153-tree")</f>
        <v>Gene153-tree</v>
      </c>
      <c r="X1603">
        <v>9</v>
      </c>
      <c r="Y1603">
        <v>8</v>
      </c>
      <c r="Z1603">
        <v>9</v>
      </c>
      <c r="AA1603">
        <v>8</v>
      </c>
      <c r="AB1603">
        <v>0.47059000000000001</v>
      </c>
      <c r="AC1603" t="s">
        <v>135</v>
      </c>
      <c r="AD1603" t="s">
        <v>136</v>
      </c>
      <c r="AE1603" t="s">
        <v>62</v>
      </c>
      <c r="AF1603" t="s">
        <v>62</v>
      </c>
      <c r="AG1603">
        <v>2</v>
      </c>
      <c r="AH1603">
        <v>5</v>
      </c>
      <c r="AI1603">
        <v>10</v>
      </c>
      <c r="AJ1603">
        <v>0.33333000000000002</v>
      </c>
      <c r="AK1603">
        <v>0</v>
      </c>
      <c r="AL1603">
        <v>0</v>
      </c>
      <c r="AM1603">
        <v>0</v>
      </c>
      <c r="AN1603">
        <v>2</v>
      </c>
      <c r="AO1603">
        <v>0</v>
      </c>
      <c r="AP1603">
        <v>4</v>
      </c>
      <c r="AQ1603">
        <v>0</v>
      </c>
      <c r="AR1603">
        <v>4</v>
      </c>
      <c r="AS1603">
        <v>6</v>
      </c>
      <c r="AT1603">
        <v>0.4</v>
      </c>
      <c r="AU1603">
        <v>12</v>
      </c>
      <c r="AV1603">
        <v>11</v>
      </c>
      <c r="AW1603">
        <v>12</v>
      </c>
      <c r="AX1603">
        <v>9</v>
      </c>
      <c r="AY1603">
        <v>22</v>
      </c>
      <c r="AZ1603">
        <v>6</v>
      </c>
      <c r="BA1603" t="s">
        <v>1082</v>
      </c>
      <c r="BB1603" t="s">
        <v>1083</v>
      </c>
      <c r="BC1603">
        <v>0.92500000000000004</v>
      </c>
      <c r="BD1603" t="s">
        <v>65</v>
      </c>
      <c r="BE1603">
        <v>34</v>
      </c>
      <c r="BF1603">
        <v>15</v>
      </c>
      <c r="BG1603" t="s">
        <v>1084</v>
      </c>
      <c r="BH1603" t="s">
        <v>1085</v>
      </c>
      <c r="BI1603" t="s">
        <v>1086</v>
      </c>
      <c r="BJ1603">
        <v>7.6289999999999997E-2</v>
      </c>
      <c r="BK1603">
        <v>1</v>
      </c>
      <c r="BL1603" t="s">
        <v>69</v>
      </c>
      <c r="BM1603">
        <v>-0.29899999999999999</v>
      </c>
      <c r="BN1603">
        <v>-0.26800000000000002</v>
      </c>
    </row>
    <row r="1604" spans="2:66">
      <c r="B1604">
        <v>2882</v>
      </c>
      <c r="C1604">
        <v>127</v>
      </c>
      <c r="D1604">
        <v>0</v>
      </c>
      <c r="E1604">
        <v>2</v>
      </c>
      <c r="F1604">
        <v>0</v>
      </c>
      <c r="J1604">
        <v>0</v>
      </c>
      <c r="K1604">
        <v>0</v>
      </c>
      <c r="L1604">
        <v>0</v>
      </c>
      <c r="M1604" t="s">
        <v>25022</v>
      </c>
      <c r="N1604">
        <v>154</v>
      </c>
      <c r="O1604" t="s">
        <v>1087</v>
      </c>
      <c r="P1604" t="s">
        <v>57</v>
      </c>
      <c r="Q1604">
        <v>156612</v>
      </c>
      <c r="R1604">
        <v>157322</v>
      </c>
      <c r="S1604" t="s">
        <v>1088</v>
      </c>
      <c r="T1604">
        <v>237</v>
      </c>
      <c r="U1604" t="s">
        <v>108</v>
      </c>
      <c r="V1604">
        <v>44</v>
      </c>
      <c r="W1604" t="str">
        <f>HYPERLINK("Gene154-zp_tree_all.dnd", "Gene154-tree")</f>
        <v>Gene154-tree</v>
      </c>
      <c r="X1604">
        <v>10</v>
      </c>
      <c r="Y1604">
        <v>2</v>
      </c>
      <c r="Z1604">
        <v>10</v>
      </c>
      <c r="AA1604">
        <v>2</v>
      </c>
      <c r="AB1604">
        <v>0.16667000000000001</v>
      </c>
      <c r="AC1604" t="s">
        <v>117</v>
      </c>
      <c r="AD1604" t="s">
        <v>81</v>
      </c>
      <c r="AE1604" t="s">
        <v>62</v>
      </c>
      <c r="AF1604" t="s">
        <v>62</v>
      </c>
      <c r="AG1604">
        <v>0</v>
      </c>
      <c r="AH1604">
        <v>0</v>
      </c>
      <c r="AI1604">
        <v>5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0</v>
      </c>
      <c r="AU1604">
        <v>8</v>
      </c>
      <c r="AV1604">
        <v>6</v>
      </c>
      <c r="AW1604">
        <v>13</v>
      </c>
      <c r="AX1604">
        <v>2</v>
      </c>
      <c r="AY1604">
        <v>8</v>
      </c>
      <c r="AZ1604">
        <v>3</v>
      </c>
      <c r="BA1604" t="s">
        <v>1089</v>
      </c>
      <c r="BB1604" t="s">
        <v>1090</v>
      </c>
      <c r="BC1604">
        <v>0.88100000000000001</v>
      </c>
      <c r="BD1604" t="s">
        <v>65</v>
      </c>
      <c r="BE1604">
        <v>21</v>
      </c>
      <c r="BF1604">
        <v>5</v>
      </c>
      <c r="BG1604" t="s">
        <v>1091</v>
      </c>
      <c r="BH1604" t="s">
        <v>1092</v>
      </c>
      <c r="BI1604" t="s">
        <v>1093</v>
      </c>
      <c r="BJ1604">
        <v>9.5000000000000001E-2</v>
      </c>
      <c r="BK1604">
        <v>1</v>
      </c>
      <c r="BL1604" t="s">
        <v>69</v>
      </c>
      <c r="BM1604">
        <v>-0.58499999999999996</v>
      </c>
      <c r="BN1604">
        <v>-0.82399999999999995</v>
      </c>
    </row>
    <row r="1605" spans="2:66">
      <c r="B1605">
        <v>2883</v>
      </c>
      <c r="C1605">
        <v>99</v>
      </c>
      <c r="D1605">
        <v>0</v>
      </c>
      <c r="E1605">
        <v>2</v>
      </c>
      <c r="F1605">
        <v>0</v>
      </c>
      <c r="J1605">
        <v>0</v>
      </c>
      <c r="K1605">
        <v>0</v>
      </c>
      <c r="L1605">
        <v>0</v>
      </c>
      <c r="M1605" t="s">
        <v>25022</v>
      </c>
      <c r="N1605">
        <v>155</v>
      </c>
      <c r="O1605" t="s">
        <v>1094</v>
      </c>
      <c r="P1605" t="s">
        <v>57</v>
      </c>
      <c r="Q1605">
        <v>157421</v>
      </c>
      <c r="R1605">
        <v>158476</v>
      </c>
      <c r="S1605" t="s">
        <v>1095</v>
      </c>
      <c r="T1605">
        <v>352</v>
      </c>
      <c r="U1605" t="s">
        <v>108</v>
      </c>
      <c r="V1605">
        <v>44</v>
      </c>
      <c r="W1605" t="str">
        <f>HYPERLINK("Gene155-zp_tree_all.dnd", "Gene155-tree")</f>
        <v>Gene155-tree</v>
      </c>
      <c r="X1605">
        <v>7</v>
      </c>
      <c r="Y1605">
        <v>4</v>
      </c>
      <c r="Z1605">
        <v>7</v>
      </c>
      <c r="AA1605">
        <v>4</v>
      </c>
      <c r="AB1605">
        <v>0.36364000000000002</v>
      </c>
      <c r="AC1605" t="s">
        <v>152</v>
      </c>
      <c r="AD1605" t="s">
        <v>61</v>
      </c>
      <c r="AE1605" t="s">
        <v>62</v>
      </c>
      <c r="AF1605" t="s">
        <v>62</v>
      </c>
      <c r="AG1605">
        <v>0</v>
      </c>
      <c r="AH1605">
        <v>0</v>
      </c>
      <c r="AI1605">
        <v>6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5</v>
      </c>
      <c r="AT1605">
        <v>0</v>
      </c>
      <c r="AU1605">
        <v>10</v>
      </c>
      <c r="AV1605">
        <v>6</v>
      </c>
      <c r="AW1605">
        <v>32</v>
      </c>
      <c r="AX1605">
        <v>5</v>
      </c>
      <c r="AY1605">
        <v>19</v>
      </c>
      <c r="AZ1605">
        <v>1</v>
      </c>
      <c r="BA1605" t="s">
        <v>1096</v>
      </c>
      <c r="BB1605" t="s">
        <v>1097</v>
      </c>
      <c r="BC1605">
        <v>0.61599999999999999</v>
      </c>
      <c r="BD1605" t="s">
        <v>65</v>
      </c>
      <c r="BE1605">
        <v>51</v>
      </c>
      <c r="BF1605">
        <v>6</v>
      </c>
      <c r="BG1605" t="s">
        <v>1098</v>
      </c>
      <c r="BH1605" t="s">
        <v>1099</v>
      </c>
      <c r="BI1605" t="s">
        <v>1100</v>
      </c>
      <c r="BJ1605">
        <v>2.8400000000000002E-2</v>
      </c>
      <c r="BK1605">
        <v>1</v>
      </c>
      <c r="BL1605" t="s">
        <v>69</v>
      </c>
      <c r="BM1605">
        <v>-0.58399999999999996</v>
      </c>
      <c r="BN1605">
        <v>-1.4219999999999999</v>
      </c>
    </row>
    <row r="1606" spans="2:66">
      <c r="B1606">
        <v>2886</v>
      </c>
      <c r="C1606">
        <v>37</v>
      </c>
      <c r="D1606">
        <v>0</v>
      </c>
      <c r="E1606">
        <v>3</v>
      </c>
      <c r="F1606">
        <v>0</v>
      </c>
      <c r="J1606">
        <v>0</v>
      </c>
      <c r="K1606">
        <v>0</v>
      </c>
      <c r="L1606">
        <v>0</v>
      </c>
      <c r="M1606" t="s">
        <v>25022</v>
      </c>
      <c r="N1606">
        <v>157</v>
      </c>
      <c r="O1606" t="s">
        <v>1108</v>
      </c>
      <c r="P1606" t="s">
        <v>57</v>
      </c>
      <c r="Q1606">
        <v>159182</v>
      </c>
      <c r="R1606">
        <v>159775</v>
      </c>
      <c r="S1606" t="s">
        <v>1109</v>
      </c>
      <c r="T1606">
        <v>198</v>
      </c>
      <c r="U1606" t="s">
        <v>698</v>
      </c>
      <c r="V1606">
        <v>47</v>
      </c>
      <c r="W1606" t="str">
        <f>HYPERLINK("Gene157-zp_tree_all.dnd", "Gene157-tree")</f>
        <v>Gene157-tree</v>
      </c>
      <c r="X1606">
        <v>8</v>
      </c>
      <c r="Y1606">
        <v>6</v>
      </c>
      <c r="Z1606">
        <v>8</v>
      </c>
      <c r="AA1606">
        <v>6</v>
      </c>
      <c r="AB1606">
        <v>0.42857000000000001</v>
      </c>
      <c r="AC1606" t="s">
        <v>136</v>
      </c>
      <c r="AD1606" t="s">
        <v>90</v>
      </c>
      <c r="AE1606" t="s">
        <v>62</v>
      </c>
      <c r="AF1606" t="s">
        <v>62</v>
      </c>
      <c r="AG1606">
        <v>0</v>
      </c>
      <c r="AH1606">
        <v>0</v>
      </c>
      <c r="AI1606">
        <v>8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6</v>
      </c>
      <c r="AT1606">
        <v>0</v>
      </c>
      <c r="AU1606">
        <v>13</v>
      </c>
      <c r="AV1606">
        <v>7</v>
      </c>
      <c r="AW1606">
        <v>24</v>
      </c>
      <c r="AX1606">
        <v>6</v>
      </c>
      <c r="AY1606">
        <v>27</v>
      </c>
      <c r="AZ1606">
        <v>2</v>
      </c>
      <c r="BA1606" t="s">
        <v>1110</v>
      </c>
      <c r="BB1606" t="s">
        <v>1111</v>
      </c>
      <c r="BC1606">
        <v>0.77100000000000002</v>
      </c>
      <c r="BD1606" t="s">
        <v>65</v>
      </c>
      <c r="BE1606">
        <v>51</v>
      </c>
      <c r="BF1606">
        <v>8</v>
      </c>
      <c r="BG1606" t="s">
        <v>1112</v>
      </c>
      <c r="BH1606" t="s">
        <v>1113</v>
      </c>
      <c r="BI1606" t="s">
        <v>1114</v>
      </c>
      <c r="BJ1606">
        <v>3.7159999999999999E-2</v>
      </c>
      <c r="BK1606">
        <v>1</v>
      </c>
      <c r="BL1606" t="s">
        <v>69</v>
      </c>
      <c r="BM1606">
        <v>-1.3959999999999999</v>
      </c>
      <c r="BN1606">
        <v>-2.2389999999999999</v>
      </c>
    </row>
    <row r="1607" spans="2:66">
      <c r="B1607">
        <v>2891</v>
      </c>
      <c r="C1607">
        <v>286</v>
      </c>
      <c r="D1607">
        <v>0</v>
      </c>
      <c r="E1607">
        <v>4</v>
      </c>
      <c r="F1607">
        <v>0</v>
      </c>
      <c r="J1607">
        <v>0</v>
      </c>
      <c r="K1607">
        <v>0</v>
      </c>
      <c r="L1607">
        <v>6</v>
      </c>
      <c r="M1607" t="s">
        <v>25022</v>
      </c>
      <c r="N1607">
        <v>159</v>
      </c>
      <c r="O1607" t="s">
        <v>1122</v>
      </c>
      <c r="P1607" t="s">
        <v>57</v>
      </c>
      <c r="Q1607">
        <v>177083</v>
      </c>
      <c r="R1607">
        <v>178516</v>
      </c>
      <c r="S1607" t="s">
        <v>1123</v>
      </c>
      <c r="T1607">
        <v>478</v>
      </c>
      <c r="U1607" t="s">
        <v>1124</v>
      </c>
      <c r="V1607">
        <v>43</v>
      </c>
      <c r="W1607" t="str">
        <f>HYPERLINK("Gene159-zp_tree_all.dnd", "Gene159-tree")</f>
        <v>Gene159-tree</v>
      </c>
      <c r="X1607">
        <v>7</v>
      </c>
      <c r="Y1607">
        <v>9</v>
      </c>
      <c r="Z1607">
        <v>7</v>
      </c>
      <c r="AA1607">
        <v>9</v>
      </c>
      <c r="AB1607">
        <v>0.5625</v>
      </c>
      <c r="AC1607" t="s">
        <v>152</v>
      </c>
      <c r="AD1607" t="s">
        <v>135</v>
      </c>
      <c r="AE1607" t="s">
        <v>62</v>
      </c>
      <c r="AF1607" t="s">
        <v>62</v>
      </c>
      <c r="AG1607">
        <v>3</v>
      </c>
      <c r="AH1607">
        <v>6</v>
      </c>
      <c r="AI1607">
        <v>13</v>
      </c>
      <c r="AJ1607">
        <v>0.31579000000000002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2</v>
      </c>
      <c r="AR1607">
        <v>2</v>
      </c>
      <c r="AS1607">
        <v>13</v>
      </c>
      <c r="AT1607">
        <v>0.13333</v>
      </c>
      <c r="AU1607">
        <v>12</v>
      </c>
      <c r="AV1607">
        <v>13</v>
      </c>
      <c r="AW1607">
        <v>51</v>
      </c>
      <c r="AX1607">
        <v>14</v>
      </c>
      <c r="AY1607">
        <v>51</v>
      </c>
      <c r="AZ1607">
        <v>5</v>
      </c>
      <c r="BA1607" t="s">
        <v>1125</v>
      </c>
      <c r="BB1607" t="s">
        <v>1126</v>
      </c>
      <c r="BC1607">
        <v>1.198</v>
      </c>
      <c r="BD1607" t="s">
        <v>65</v>
      </c>
      <c r="BE1607">
        <v>102</v>
      </c>
      <c r="BF1607">
        <v>19</v>
      </c>
      <c r="BG1607" t="s">
        <v>1127</v>
      </c>
      <c r="BH1607" t="s">
        <v>1128</v>
      </c>
      <c r="BI1607" t="s">
        <v>1129</v>
      </c>
      <c r="BJ1607">
        <v>5.0430000000000003E-2</v>
      </c>
      <c r="BK1607">
        <v>1</v>
      </c>
      <c r="BL1607" t="s">
        <v>69</v>
      </c>
      <c r="BM1607">
        <v>-1.234</v>
      </c>
      <c r="BN1607">
        <v>-1.67</v>
      </c>
    </row>
    <row r="1608" spans="2:66">
      <c r="B1608">
        <v>2892</v>
      </c>
      <c r="C1608">
        <v>33</v>
      </c>
      <c r="D1608">
        <v>0</v>
      </c>
      <c r="E1608">
        <v>4</v>
      </c>
      <c r="F1608">
        <v>0</v>
      </c>
      <c r="J1608">
        <v>0</v>
      </c>
      <c r="K1608">
        <v>4</v>
      </c>
      <c r="L1608">
        <v>0</v>
      </c>
      <c r="M1608" t="s">
        <v>25022</v>
      </c>
      <c r="N1608">
        <v>160</v>
      </c>
      <c r="O1608" t="s">
        <v>1130</v>
      </c>
      <c r="P1608" t="s">
        <v>57</v>
      </c>
      <c r="Q1608">
        <v>178665</v>
      </c>
      <c r="R1608">
        <v>179582</v>
      </c>
      <c r="S1608" t="s">
        <v>1131</v>
      </c>
      <c r="T1608">
        <v>306</v>
      </c>
      <c r="U1608" t="s">
        <v>108</v>
      </c>
      <c r="V1608">
        <v>44</v>
      </c>
      <c r="W1608" t="str">
        <f>HYPERLINK("Gene160-zp_tree_all.dnd", "Gene160-tree")</f>
        <v>Gene160-tree</v>
      </c>
      <c r="X1608">
        <v>9</v>
      </c>
      <c r="Y1608">
        <v>5</v>
      </c>
      <c r="Z1608">
        <v>9</v>
      </c>
      <c r="AA1608">
        <v>5</v>
      </c>
      <c r="AB1608">
        <v>0.35714000000000001</v>
      </c>
      <c r="AC1608" t="s">
        <v>135</v>
      </c>
      <c r="AD1608" t="s">
        <v>199</v>
      </c>
      <c r="AE1608" t="s">
        <v>62</v>
      </c>
      <c r="AF1608" t="s">
        <v>62</v>
      </c>
      <c r="AG1608">
        <v>2</v>
      </c>
      <c r="AH1608">
        <v>4</v>
      </c>
      <c r="AI1608">
        <v>6</v>
      </c>
      <c r="AJ1608">
        <v>0.4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2</v>
      </c>
      <c r="AQ1608">
        <v>0</v>
      </c>
      <c r="AR1608">
        <v>2</v>
      </c>
      <c r="AS1608">
        <v>5</v>
      </c>
      <c r="AT1608">
        <v>0.28571000000000002</v>
      </c>
      <c r="AU1608">
        <v>13</v>
      </c>
      <c r="AV1608">
        <v>7</v>
      </c>
      <c r="AW1608">
        <v>43</v>
      </c>
      <c r="AX1608">
        <v>8</v>
      </c>
      <c r="AY1608">
        <v>15</v>
      </c>
      <c r="AZ1608">
        <v>3</v>
      </c>
      <c r="BA1608" t="s">
        <v>1132</v>
      </c>
      <c r="BB1608" t="s">
        <v>1133</v>
      </c>
      <c r="BC1608">
        <v>5.8000000000000003E-2</v>
      </c>
      <c r="BD1608" t="s">
        <v>65</v>
      </c>
      <c r="BE1608">
        <v>58</v>
      </c>
      <c r="BF1608">
        <v>11</v>
      </c>
      <c r="BG1608" t="s">
        <v>1134</v>
      </c>
      <c r="BH1608" t="s">
        <v>1135</v>
      </c>
      <c r="BI1608" t="s">
        <v>1136</v>
      </c>
      <c r="BJ1608">
        <v>6.6960000000000006E-2</v>
      </c>
      <c r="BK1608">
        <v>1</v>
      </c>
      <c r="BL1608" t="s">
        <v>69</v>
      </c>
      <c r="BM1608">
        <v>-1.196</v>
      </c>
      <c r="BN1608">
        <v>-2.871</v>
      </c>
    </row>
    <row r="1609" spans="2:66">
      <c r="B1609">
        <v>2894</v>
      </c>
      <c r="C1609">
        <v>13</v>
      </c>
      <c r="D1609">
        <v>0</v>
      </c>
      <c r="E1609">
        <v>0</v>
      </c>
      <c r="F1609">
        <v>2</v>
      </c>
      <c r="J1609">
        <v>0</v>
      </c>
      <c r="K1609">
        <v>2</v>
      </c>
      <c r="L1609">
        <v>0</v>
      </c>
      <c r="M1609" t="s">
        <v>25022</v>
      </c>
      <c r="N1609">
        <v>174</v>
      </c>
      <c r="O1609" t="s">
        <v>1229</v>
      </c>
      <c r="P1609" t="s">
        <v>57</v>
      </c>
      <c r="Q1609">
        <v>194849</v>
      </c>
      <c r="R1609">
        <v>195409</v>
      </c>
      <c r="S1609" t="s">
        <v>1230</v>
      </c>
      <c r="T1609">
        <v>187</v>
      </c>
      <c r="U1609" t="s">
        <v>59</v>
      </c>
      <c r="V1609">
        <v>49</v>
      </c>
      <c r="W1609" t="str">
        <f>HYPERLINK("Gene174-zp_tree_all.dnd", "Gene174-tree")</f>
        <v>Gene174-tree</v>
      </c>
      <c r="X1609">
        <v>10</v>
      </c>
      <c r="Y1609">
        <v>2</v>
      </c>
      <c r="Z1609">
        <v>10</v>
      </c>
      <c r="AA1609">
        <v>2</v>
      </c>
      <c r="AB1609">
        <v>0.16667000000000001</v>
      </c>
      <c r="AC1609" t="s">
        <v>117</v>
      </c>
      <c r="AD1609" t="s">
        <v>81</v>
      </c>
      <c r="AE1609" t="s">
        <v>62</v>
      </c>
      <c r="AF1609" t="s">
        <v>62</v>
      </c>
      <c r="AG1609">
        <v>1</v>
      </c>
      <c r="AH1609">
        <v>2</v>
      </c>
      <c r="AI1609">
        <v>3</v>
      </c>
      <c r="AJ1609">
        <v>0.4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3</v>
      </c>
      <c r="AT1609">
        <v>0</v>
      </c>
      <c r="AU1609">
        <v>9</v>
      </c>
      <c r="AV1609">
        <v>5</v>
      </c>
      <c r="AW1609">
        <v>16</v>
      </c>
      <c r="AX1609">
        <v>4</v>
      </c>
      <c r="AY1609">
        <v>19</v>
      </c>
      <c r="AZ1609">
        <v>2</v>
      </c>
      <c r="BA1609" t="s">
        <v>1231</v>
      </c>
      <c r="BB1609" t="s">
        <v>1232</v>
      </c>
      <c r="BC1609">
        <v>0.30199999999999999</v>
      </c>
      <c r="BD1609" t="s">
        <v>65</v>
      </c>
      <c r="BE1609">
        <v>35</v>
      </c>
      <c r="BF1609">
        <v>6</v>
      </c>
      <c r="BG1609" t="s">
        <v>1233</v>
      </c>
      <c r="BH1609" t="s">
        <v>1234</v>
      </c>
      <c r="BI1609" t="s">
        <v>1235</v>
      </c>
      <c r="BJ1609">
        <v>3.099E-2</v>
      </c>
      <c r="BK1609">
        <v>1</v>
      </c>
      <c r="BL1609" t="s">
        <v>69</v>
      </c>
      <c r="BM1609">
        <v>-1.278</v>
      </c>
      <c r="BN1609">
        <v>-1.157</v>
      </c>
    </row>
    <row r="1610" spans="2:66">
      <c r="B1610">
        <v>2897</v>
      </c>
      <c r="C1610">
        <v>458</v>
      </c>
      <c r="D1610">
        <v>0</v>
      </c>
      <c r="E1610">
        <v>8</v>
      </c>
      <c r="F1610">
        <v>0</v>
      </c>
      <c r="J1610">
        <v>0</v>
      </c>
      <c r="K1610">
        <v>9</v>
      </c>
      <c r="L1610">
        <v>4</v>
      </c>
      <c r="M1610" t="s">
        <v>25022</v>
      </c>
      <c r="N1610">
        <v>175</v>
      </c>
      <c r="O1610" t="s">
        <v>1236</v>
      </c>
      <c r="P1610" t="s">
        <v>57</v>
      </c>
      <c r="Q1610">
        <v>195426</v>
      </c>
      <c r="R1610">
        <v>196049</v>
      </c>
      <c r="S1610" t="s">
        <v>1237</v>
      </c>
      <c r="T1610">
        <v>208</v>
      </c>
      <c r="U1610" t="s">
        <v>59</v>
      </c>
      <c r="V1610">
        <v>49</v>
      </c>
      <c r="W1610" t="str">
        <f>HYPERLINK("Gene175-zp_tree_all.dnd", "Gene175-tree")</f>
        <v>Gene175-tree</v>
      </c>
      <c r="X1610">
        <v>17</v>
      </c>
      <c r="Y1610">
        <v>4</v>
      </c>
      <c r="Z1610">
        <v>17</v>
      </c>
      <c r="AA1610">
        <v>4</v>
      </c>
      <c r="AB1610">
        <v>0.19048000000000001</v>
      </c>
      <c r="AC1610" t="s">
        <v>266</v>
      </c>
      <c r="AD1610" t="s">
        <v>61</v>
      </c>
      <c r="AE1610" t="s">
        <v>62</v>
      </c>
      <c r="AF1610" t="s">
        <v>62</v>
      </c>
      <c r="AG1610">
        <v>6</v>
      </c>
      <c r="AH1610">
        <v>13</v>
      </c>
      <c r="AI1610">
        <v>11</v>
      </c>
      <c r="AJ1610">
        <v>0.54166999999999998</v>
      </c>
      <c r="AK1610">
        <v>2</v>
      </c>
      <c r="AL1610">
        <v>0</v>
      </c>
      <c r="AM1610">
        <v>2</v>
      </c>
      <c r="AN1610">
        <v>8</v>
      </c>
      <c r="AO1610">
        <v>0.2</v>
      </c>
      <c r="AP1610">
        <v>2</v>
      </c>
      <c r="AQ1610">
        <v>0</v>
      </c>
      <c r="AR1610">
        <v>2</v>
      </c>
      <c r="AS1610">
        <v>3</v>
      </c>
      <c r="AT1610">
        <v>0.4</v>
      </c>
      <c r="AU1610">
        <v>14</v>
      </c>
      <c r="AV1610">
        <v>12</v>
      </c>
      <c r="AW1610">
        <v>17</v>
      </c>
      <c r="AX1610">
        <v>5</v>
      </c>
      <c r="AY1610">
        <v>36</v>
      </c>
      <c r="AZ1610">
        <v>19</v>
      </c>
      <c r="BA1610" t="s">
        <v>1238</v>
      </c>
      <c r="BB1610" t="s">
        <v>1239</v>
      </c>
      <c r="BC1610">
        <v>0.4</v>
      </c>
      <c r="BD1610" t="s">
        <v>65</v>
      </c>
      <c r="BE1610">
        <v>53</v>
      </c>
      <c r="BF1610">
        <v>24</v>
      </c>
      <c r="BG1610" t="s">
        <v>1240</v>
      </c>
      <c r="BH1610" t="s">
        <v>1241</v>
      </c>
      <c r="BI1610" t="s">
        <v>1242</v>
      </c>
      <c r="BJ1610">
        <v>0.12504999999999999</v>
      </c>
      <c r="BK1610">
        <v>1</v>
      </c>
      <c r="BL1610" t="s">
        <v>69</v>
      </c>
      <c r="BM1610">
        <v>-1.4059999999999999</v>
      </c>
      <c r="BN1610">
        <v>-0.14599999999999999</v>
      </c>
    </row>
    <row r="1611" spans="2:66">
      <c r="B1611">
        <v>2898</v>
      </c>
      <c r="C1611">
        <v>209</v>
      </c>
      <c r="D1611">
        <v>0</v>
      </c>
      <c r="E1611">
        <v>2</v>
      </c>
      <c r="F1611">
        <v>0</v>
      </c>
      <c r="J1611">
        <v>0</v>
      </c>
      <c r="K1611">
        <v>0</v>
      </c>
      <c r="L1611">
        <v>0</v>
      </c>
      <c r="M1611" t="s">
        <v>25022</v>
      </c>
      <c r="N1611">
        <v>176</v>
      </c>
      <c r="O1611" t="s">
        <v>1243</v>
      </c>
      <c r="P1611" t="s">
        <v>57</v>
      </c>
      <c r="Q1611">
        <v>196213</v>
      </c>
      <c r="R1611">
        <v>197031</v>
      </c>
      <c r="S1611" t="s">
        <v>1244</v>
      </c>
      <c r="T1611">
        <v>273</v>
      </c>
      <c r="U1611" t="s">
        <v>59</v>
      </c>
      <c r="V1611">
        <v>49</v>
      </c>
      <c r="W1611" t="str">
        <f>HYPERLINK("Gene176-zp_tree_all.dnd", "Gene176-tree")</f>
        <v>Gene176-tree</v>
      </c>
      <c r="X1611">
        <v>17</v>
      </c>
      <c r="Y1611">
        <v>3</v>
      </c>
      <c r="Z1611">
        <v>17</v>
      </c>
      <c r="AA1611">
        <v>3</v>
      </c>
      <c r="AB1611">
        <v>0.15</v>
      </c>
      <c r="AC1611" t="s">
        <v>266</v>
      </c>
      <c r="AD1611" t="s">
        <v>324</v>
      </c>
      <c r="AE1611" t="s">
        <v>62</v>
      </c>
      <c r="AF1611" t="s">
        <v>62</v>
      </c>
      <c r="AG1611">
        <v>0</v>
      </c>
      <c r="AH1611">
        <v>0</v>
      </c>
      <c r="AI1611">
        <v>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3</v>
      </c>
      <c r="AT1611">
        <v>0</v>
      </c>
      <c r="AU1611">
        <v>18</v>
      </c>
      <c r="AV1611">
        <v>13</v>
      </c>
      <c r="AW1611">
        <v>48</v>
      </c>
      <c r="AX1611">
        <v>3</v>
      </c>
      <c r="AY1611">
        <v>55</v>
      </c>
      <c r="AZ1611">
        <v>0</v>
      </c>
      <c r="BA1611" t="s">
        <v>1245</v>
      </c>
      <c r="BB1611" t="s">
        <v>193</v>
      </c>
      <c r="BC1611">
        <v>0.76800000000000002</v>
      </c>
      <c r="BD1611" t="s">
        <v>65</v>
      </c>
      <c r="BE1611">
        <v>103</v>
      </c>
      <c r="BF1611">
        <v>3</v>
      </c>
      <c r="BG1611" t="s">
        <v>1246</v>
      </c>
      <c r="BH1611" t="s">
        <v>1247</v>
      </c>
      <c r="BI1611" t="s">
        <v>1248</v>
      </c>
      <c r="BJ1611">
        <v>5.2199999999999998E-3</v>
      </c>
      <c r="BK1611">
        <v>1</v>
      </c>
      <c r="BL1611" t="s">
        <v>69</v>
      </c>
      <c r="BM1611">
        <v>-1.0609999999999999</v>
      </c>
      <c r="BN1611">
        <v>-1.19</v>
      </c>
    </row>
    <row r="1612" spans="2:66">
      <c r="B1612">
        <v>2900</v>
      </c>
      <c r="C1612">
        <v>264</v>
      </c>
      <c r="D1612">
        <v>0</v>
      </c>
      <c r="E1612">
        <v>2</v>
      </c>
      <c r="F1612">
        <v>0</v>
      </c>
      <c r="J1612">
        <v>0</v>
      </c>
      <c r="K1612">
        <v>3</v>
      </c>
      <c r="L1612">
        <v>0</v>
      </c>
      <c r="M1612" t="s">
        <v>25022</v>
      </c>
      <c r="N1612">
        <v>178</v>
      </c>
      <c r="O1612" t="s">
        <v>1249</v>
      </c>
      <c r="P1612" t="s">
        <v>57</v>
      </c>
      <c r="Q1612">
        <v>198497</v>
      </c>
      <c r="R1612">
        <v>199840</v>
      </c>
      <c r="S1612" t="s">
        <v>1250</v>
      </c>
      <c r="T1612">
        <v>448</v>
      </c>
      <c r="U1612" t="s">
        <v>125</v>
      </c>
      <c r="V1612">
        <v>48</v>
      </c>
      <c r="W1612" t="str">
        <f>HYPERLINK("Gene178-zp_tree_all.dnd", "Gene178-tree")</f>
        <v>Gene178-tree</v>
      </c>
      <c r="X1612">
        <v>15</v>
      </c>
      <c r="Y1612">
        <v>3</v>
      </c>
      <c r="Z1612">
        <v>15</v>
      </c>
      <c r="AA1612">
        <v>3</v>
      </c>
      <c r="AB1612">
        <v>0.16667000000000001</v>
      </c>
      <c r="AC1612" t="s">
        <v>100</v>
      </c>
      <c r="AD1612" t="s">
        <v>324</v>
      </c>
      <c r="AE1612" t="s">
        <v>62</v>
      </c>
      <c r="AF1612" t="s">
        <v>62</v>
      </c>
      <c r="AG1612">
        <v>1</v>
      </c>
      <c r="AH1612">
        <v>3</v>
      </c>
      <c r="AI1612">
        <v>4</v>
      </c>
      <c r="AJ1612">
        <v>0.42857000000000001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2</v>
      </c>
      <c r="AQ1612">
        <v>0</v>
      </c>
      <c r="AR1612">
        <v>2</v>
      </c>
      <c r="AS1612">
        <v>1</v>
      </c>
      <c r="AT1612">
        <v>0.66666999999999998</v>
      </c>
      <c r="AU1612">
        <v>16</v>
      </c>
      <c r="AV1612">
        <v>13</v>
      </c>
      <c r="AW1612">
        <v>54</v>
      </c>
      <c r="AX1612">
        <v>3</v>
      </c>
      <c r="AY1612">
        <v>102</v>
      </c>
      <c r="AZ1612">
        <v>5</v>
      </c>
      <c r="BA1612" t="s">
        <v>1251</v>
      </c>
      <c r="BB1612" t="s">
        <v>1252</v>
      </c>
      <c r="BC1612">
        <v>0.10199999999999999</v>
      </c>
      <c r="BD1612" t="s">
        <v>65</v>
      </c>
      <c r="BE1612">
        <v>156</v>
      </c>
      <c r="BF1612">
        <v>8</v>
      </c>
      <c r="BG1612" t="s">
        <v>1253</v>
      </c>
      <c r="BH1612" t="s">
        <v>1254</v>
      </c>
      <c r="BI1612" t="s">
        <v>1255</v>
      </c>
      <c r="BJ1612">
        <v>1.6650000000000002E-2</v>
      </c>
      <c r="BK1612">
        <v>1</v>
      </c>
      <c r="BL1612" t="s">
        <v>69</v>
      </c>
      <c r="BM1612">
        <v>-1.4059999999999999</v>
      </c>
      <c r="BN1612">
        <v>0.13100000000000001</v>
      </c>
    </row>
    <row r="1613" spans="2:66">
      <c r="B1613">
        <v>2901</v>
      </c>
      <c r="C1613">
        <v>98</v>
      </c>
      <c r="D1613">
        <v>0</v>
      </c>
      <c r="E1613">
        <v>2</v>
      </c>
      <c r="F1613">
        <v>2</v>
      </c>
      <c r="J1613">
        <v>0</v>
      </c>
      <c r="K1613">
        <v>0</v>
      </c>
      <c r="L1613">
        <v>0</v>
      </c>
      <c r="M1613" t="s">
        <v>25022</v>
      </c>
      <c r="N1613">
        <v>179</v>
      </c>
      <c r="O1613" t="s">
        <v>1256</v>
      </c>
      <c r="P1613" t="s">
        <v>57</v>
      </c>
      <c r="Q1613">
        <v>200277</v>
      </c>
      <c r="R1613">
        <v>202076</v>
      </c>
      <c r="S1613" t="s">
        <v>1257</v>
      </c>
      <c r="T1613">
        <v>600</v>
      </c>
      <c r="U1613" t="s">
        <v>59</v>
      </c>
      <c r="V1613">
        <v>49</v>
      </c>
      <c r="W1613" t="str">
        <f>HYPERLINK("Gene179-zp_tree_all.dnd", "Gene179-tree")</f>
        <v>Gene179-tree</v>
      </c>
      <c r="X1613">
        <v>15</v>
      </c>
      <c r="Y1613">
        <v>4</v>
      </c>
      <c r="Z1613">
        <v>15</v>
      </c>
      <c r="AA1613">
        <v>4</v>
      </c>
      <c r="AB1613">
        <v>0.21052999999999999</v>
      </c>
      <c r="AC1613" t="s">
        <v>100</v>
      </c>
      <c r="AD1613" t="s">
        <v>61</v>
      </c>
      <c r="AE1613" t="s">
        <v>62</v>
      </c>
      <c r="AF1613" t="s">
        <v>62</v>
      </c>
      <c r="AG1613">
        <v>0</v>
      </c>
      <c r="AH1613">
        <v>0</v>
      </c>
      <c r="AI1613">
        <v>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4</v>
      </c>
      <c r="AT1613">
        <v>0</v>
      </c>
      <c r="AU1613">
        <v>16</v>
      </c>
      <c r="AV1613">
        <v>15</v>
      </c>
      <c r="AW1613">
        <v>81</v>
      </c>
      <c r="AX1613">
        <v>4</v>
      </c>
      <c r="AY1613">
        <v>113</v>
      </c>
      <c r="AZ1613">
        <v>5</v>
      </c>
      <c r="BA1613" t="s">
        <v>1258</v>
      </c>
      <c r="BB1613" t="s">
        <v>1259</v>
      </c>
      <c r="BC1613">
        <v>7.1999999999999995E-2</v>
      </c>
      <c r="BD1613" t="s">
        <v>65</v>
      </c>
      <c r="BE1613">
        <v>194</v>
      </c>
      <c r="BF1613">
        <v>9</v>
      </c>
      <c r="BG1613" t="s">
        <v>1260</v>
      </c>
      <c r="BH1613" t="s">
        <v>1261</v>
      </c>
      <c r="BI1613" t="s">
        <v>1262</v>
      </c>
      <c r="BJ1613">
        <v>1.5810000000000001E-2</v>
      </c>
      <c r="BK1613">
        <v>1</v>
      </c>
      <c r="BL1613" t="s">
        <v>69</v>
      </c>
      <c r="BM1613">
        <v>-0.94899999999999995</v>
      </c>
      <c r="BN1613">
        <v>-1.109</v>
      </c>
    </row>
    <row r="1614" spans="2:66">
      <c r="B1614">
        <v>2902</v>
      </c>
      <c r="C1614">
        <v>274</v>
      </c>
      <c r="D1614">
        <v>0</v>
      </c>
      <c r="E1614">
        <v>4</v>
      </c>
      <c r="F1614">
        <v>9</v>
      </c>
      <c r="J1614">
        <v>0</v>
      </c>
      <c r="K1614">
        <v>2</v>
      </c>
      <c r="L1614">
        <v>0</v>
      </c>
      <c r="M1614" t="s">
        <v>25022</v>
      </c>
      <c r="N1614">
        <v>180</v>
      </c>
      <c r="O1614" t="s">
        <v>1263</v>
      </c>
      <c r="P1614" t="s">
        <v>57</v>
      </c>
      <c r="Q1614">
        <v>202126</v>
      </c>
      <c r="R1614">
        <v>202263</v>
      </c>
      <c r="S1614" t="s">
        <v>1264</v>
      </c>
      <c r="T1614">
        <v>46</v>
      </c>
      <c r="U1614" t="s">
        <v>1265</v>
      </c>
      <c r="V1614">
        <v>28</v>
      </c>
      <c r="W1614" t="str">
        <f>HYPERLINK("Gene180-zp_tree_all.dnd", "Gene180-tree")</f>
        <v>Gene180-tree</v>
      </c>
      <c r="X1614">
        <v>1</v>
      </c>
      <c r="Y1614">
        <v>4</v>
      </c>
      <c r="Z1614">
        <v>1</v>
      </c>
      <c r="AA1614">
        <v>4</v>
      </c>
      <c r="AB1614">
        <v>0.8</v>
      </c>
      <c r="AC1614" t="s">
        <v>175</v>
      </c>
      <c r="AD1614" t="s">
        <v>61</v>
      </c>
      <c r="AE1614" t="s">
        <v>62</v>
      </c>
      <c r="AF1614" t="s">
        <v>62</v>
      </c>
      <c r="AG1614">
        <v>1</v>
      </c>
      <c r="AH1614">
        <v>2</v>
      </c>
      <c r="AI1614">
        <v>5</v>
      </c>
      <c r="AJ1614">
        <v>0.28571000000000002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2</v>
      </c>
      <c r="AQ1614">
        <v>0</v>
      </c>
      <c r="AR1614">
        <v>2</v>
      </c>
      <c r="AS1614">
        <v>4</v>
      </c>
      <c r="AT1614">
        <v>0.33333000000000002</v>
      </c>
      <c r="AU1614">
        <v>4</v>
      </c>
      <c r="AV1614">
        <v>2</v>
      </c>
      <c r="AW1614">
        <v>1</v>
      </c>
      <c r="AX1614">
        <v>6</v>
      </c>
      <c r="AY1614">
        <v>1</v>
      </c>
      <c r="AZ1614">
        <v>1</v>
      </c>
      <c r="BA1614" t="s">
        <v>1266</v>
      </c>
      <c r="BB1614" t="s">
        <v>1267</v>
      </c>
      <c r="BC1614">
        <v>0.495</v>
      </c>
      <c r="BD1614" t="s">
        <v>65</v>
      </c>
      <c r="BE1614">
        <v>2</v>
      </c>
      <c r="BF1614">
        <v>7</v>
      </c>
      <c r="BG1614" t="s">
        <v>1268</v>
      </c>
      <c r="BH1614" t="s">
        <v>1269</v>
      </c>
      <c r="BI1614" t="s">
        <v>1270</v>
      </c>
      <c r="BJ1614">
        <v>0.76690999999999998</v>
      </c>
      <c r="BK1614">
        <v>0.435</v>
      </c>
      <c r="BL1614" t="s">
        <v>635</v>
      </c>
      <c r="BM1614">
        <v>-0.159</v>
      </c>
      <c r="BN1614">
        <v>-0.54</v>
      </c>
    </row>
    <row r="1615" spans="2:66">
      <c r="B1615">
        <v>2903</v>
      </c>
      <c r="C1615">
        <v>412</v>
      </c>
      <c r="D1615">
        <v>0</v>
      </c>
      <c r="E1615">
        <v>18</v>
      </c>
      <c r="F1615">
        <v>2</v>
      </c>
      <c r="J1615">
        <v>0</v>
      </c>
      <c r="K1615">
        <v>9</v>
      </c>
      <c r="L1615">
        <v>2</v>
      </c>
      <c r="M1615" t="s">
        <v>25022</v>
      </c>
      <c r="N1615">
        <v>181</v>
      </c>
      <c r="O1615" t="s">
        <v>1271</v>
      </c>
      <c r="P1615" t="s">
        <v>57</v>
      </c>
      <c r="Q1615">
        <v>203729</v>
      </c>
      <c r="R1615">
        <v>204361</v>
      </c>
      <c r="S1615" t="s">
        <v>1272</v>
      </c>
      <c r="T1615">
        <v>211</v>
      </c>
      <c r="U1615" t="s">
        <v>1273</v>
      </c>
      <c r="V1615">
        <v>35</v>
      </c>
      <c r="W1615" t="str">
        <f>HYPERLINK("Gene181-zp_tree_all.dnd", "Gene181-tree")</f>
        <v>Gene181-tree</v>
      </c>
      <c r="X1615">
        <v>3</v>
      </c>
      <c r="Y1615">
        <v>8</v>
      </c>
      <c r="Z1615">
        <v>3</v>
      </c>
      <c r="AA1615">
        <v>8</v>
      </c>
      <c r="AB1615">
        <v>0.72726999999999997</v>
      </c>
      <c r="AC1615" t="s">
        <v>324</v>
      </c>
      <c r="AD1615" t="s">
        <v>136</v>
      </c>
      <c r="AE1615" t="s">
        <v>62</v>
      </c>
      <c r="AF1615" t="s">
        <v>62</v>
      </c>
      <c r="AG1615">
        <v>5</v>
      </c>
      <c r="AH1615">
        <v>11</v>
      </c>
      <c r="AI1615">
        <v>24</v>
      </c>
      <c r="AJ1615">
        <v>0.31429000000000001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2</v>
      </c>
      <c r="AR1615">
        <v>2</v>
      </c>
      <c r="AS1615">
        <v>26</v>
      </c>
      <c r="AT1615">
        <v>7.1429999999999993E-2</v>
      </c>
      <c r="AU1615">
        <v>10</v>
      </c>
      <c r="AV1615">
        <v>7</v>
      </c>
      <c r="AW1615">
        <v>16</v>
      </c>
      <c r="AX1615">
        <v>27</v>
      </c>
      <c r="AY1615">
        <v>9</v>
      </c>
      <c r="AZ1615">
        <v>8</v>
      </c>
      <c r="BA1615" t="s">
        <v>1274</v>
      </c>
      <c r="BB1615" t="s">
        <v>1275</v>
      </c>
      <c r="BC1615">
        <v>0.40100000000000002</v>
      </c>
      <c r="BD1615" t="s">
        <v>65</v>
      </c>
      <c r="BE1615">
        <v>25</v>
      </c>
      <c r="BF1615">
        <v>35</v>
      </c>
      <c r="BG1615" t="s">
        <v>1276</v>
      </c>
      <c r="BH1615" t="s">
        <v>1277</v>
      </c>
      <c r="BI1615" t="s">
        <v>1278</v>
      </c>
      <c r="BJ1615">
        <v>0.32440999999999998</v>
      </c>
      <c r="BK1615">
        <v>1</v>
      </c>
      <c r="BL1615" t="s">
        <v>69</v>
      </c>
      <c r="BM1615">
        <v>-1.149</v>
      </c>
      <c r="BN1615">
        <v>-2.7069999999999999</v>
      </c>
    </row>
    <row r="1616" spans="2:66">
      <c r="B1616">
        <v>2904</v>
      </c>
      <c r="C1616">
        <v>159</v>
      </c>
      <c r="D1616">
        <v>0</v>
      </c>
      <c r="E1616">
        <v>0</v>
      </c>
      <c r="F1616">
        <v>2</v>
      </c>
      <c r="J1616">
        <v>0</v>
      </c>
      <c r="K1616">
        <v>2</v>
      </c>
      <c r="L1616">
        <v>1</v>
      </c>
      <c r="M1616" t="s">
        <v>25022</v>
      </c>
      <c r="N1616">
        <v>182</v>
      </c>
      <c r="O1616" t="s">
        <v>1279</v>
      </c>
      <c r="P1616" t="s">
        <v>57</v>
      </c>
      <c r="Q1616">
        <v>204351</v>
      </c>
      <c r="R1616">
        <v>204887</v>
      </c>
      <c r="S1616" t="s">
        <v>1280</v>
      </c>
      <c r="T1616">
        <v>179</v>
      </c>
      <c r="U1616" t="s">
        <v>1281</v>
      </c>
      <c r="V1616">
        <v>33</v>
      </c>
      <c r="W1616" t="str">
        <f>HYPERLINK("Gene182-zp_tree_all.dnd", "Gene182-tree")</f>
        <v>Gene182-tree</v>
      </c>
      <c r="X1616">
        <v>2</v>
      </c>
      <c r="Y1616">
        <v>6</v>
      </c>
      <c r="Z1616">
        <v>2</v>
      </c>
      <c r="AA1616">
        <v>6</v>
      </c>
      <c r="AB1616">
        <v>0.75</v>
      </c>
      <c r="AC1616" t="s">
        <v>81</v>
      </c>
      <c r="AD1616" t="s">
        <v>90</v>
      </c>
      <c r="AE1616" t="s">
        <v>62</v>
      </c>
      <c r="AF1616" t="s">
        <v>62</v>
      </c>
      <c r="AG1616">
        <v>1</v>
      </c>
      <c r="AH1616">
        <v>3</v>
      </c>
      <c r="AI1616">
        <v>4</v>
      </c>
      <c r="AJ1616">
        <v>0.42857000000000001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2</v>
      </c>
      <c r="AQ1616">
        <v>1</v>
      </c>
      <c r="AR1616">
        <v>3</v>
      </c>
      <c r="AS1616">
        <v>4</v>
      </c>
      <c r="AT1616">
        <v>0.42857000000000001</v>
      </c>
      <c r="AU1616">
        <v>4</v>
      </c>
      <c r="AV1616">
        <v>4</v>
      </c>
      <c r="AW1616">
        <v>3</v>
      </c>
      <c r="AX1616">
        <v>4</v>
      </c>
      <c r="AY1616">
        <v>3</v>
      </c>
      <c r="AZ1616">
        <v>3</v>
      </c>
      <c r="BA1616" t="s">
        <v>1282</v>
      </c>
      <c r="BB1616" t="s">
        <v>1283</v>
      </c>
      <c r="BC1616">
        <v>0.35399999999999998</v>
      </c>
      <c r="BD1616" t="s">
        <v>65</v>
      </c>
      <c r="BE1616">
        <v>6</v>
      </c>
      <c r="BF1616">
        <v>7</v>
      </c>
      <c r="BG1616" t="s">
        <v>1284</v>
      </c>
      <c r="BH1616" t="s">
        <v>1285</v>
      </c>
      <c r="BI1616" t="s">
        <v>1286</v>
      </c>
      <c r="BJ1616">
        <v>0.29557</v>
      </c>
      <c r="BK1616">
        <v>0.92600000000000005</v>
      </c>
      <c r="BL1616" t="s">
        <v>635</v>
      </c>
      <c r="BM1616">
        <v>-0.63300000000000001</v>
      </c>
      <c r="BN1616">
        <v>-0.621</v>
      </c>
    </row>
    <row r="1617" spans="2:66">
      <c r="B1617">
        <v>2906</v>
      </c>
      <c r="C1617">
        <v>275</v>
      </c>
      <c r="D1617">
        <v>0</v>
      </c>
      <c r="E1617">
        <v>2</v>
      </c>
      <c r="F1617">
        <v>2</v>
      </c>
      <c r="J1617">
        <v>2</v>
      </c>
      <c r="K1617">
        <v>14</v>
      </c>
      <c r="L1617">
        <v>4</v>
      </c>
      <c r="M1617" t="s">
        <v>25022</v>
      </c>
      <c r="N1617">
        <v>183</v>
      </c>
      <c r="O1617" t="s">
        <v>1287</v>
      </c>
      <c r="P1617" t="s">
        <v>57</v>
      </c>
      <c r="Q1617">
        <v>205409</v>
      </c>
      <c r="R1617">
        <v>206923</v>
      </c>
      <c r="S1617" t="s">
        <v>1288</v>
      </c>
      <c r="T1617">
        <v>505</v>
      </c>
      <c r="U1617" t="s">
        <v>1289</v>
      </c>
      <c r="V1617">
        <v>42</v>
      </c>
      <c r="W1617" t="str">
        <f>HYPERLINK("Gene183-zp_tree_all.dnd", "Gene183-tree")</f>
        <v>Gene183-tree</v>
      </c>
      <c r="X1617">
        <v>8</v>
      </c>
      <c r="Y1617">
        <v>8</v>
      </c>
      <c r="Z1617">
        <v>8</v>
      </c>
      <c r="AA1617">
        <v>8</v>
      </c>
      <c r="AB1617">
        <v>0.5</v>
      </c>
      <c r="AC1617" t="s">
        <v>136</v>
      </c>
      <c r="AD1617" t="s">
        <v>136</v>
      </c>
      <c r="AE1617" t="s">
        <v>62</v>
      </c>
      <c r="AF1617" t="s">
        <v>62</v>
      </c>
      <c r="AG1617">
        <v>9</v>
      </c>
      <c r="AH1617">
        <v>20</v>
      </c>
      <c r="AI1617">
        <v>22</v>
      </c>
      <c r="AJ1617">
        <v>0.47619</v>
      </c>
      <c r="AK1617">
        <v>0</v>
      </c>
      <c r="AL1617">
        <v>0</v>
      </c>
      <c r="AM1617">
        <v>0</v>
      </c>
      <c r="AN1617">
        <v>4</v>
      </c>
      <c r="AO1617">
        <v>0</v>
      </c>
      <c r="AP1617">
        <v>0</v>
      </c>
      <c r="AQ1617">
        <v>0</v>
      </c>
      <c r="AR1617">
        <v>0</v>
      </c>
      <c r="AS1617">
        <v>19</v>
      </c>
      <c r="AT1617">
        <v>0</v>
      </c>
      <c r="AU1617">
        <v>13</v>
      </c>
      <c r="AV1617">
        <v>13</v>
      </c>
      <c r="AW1617">
        <v>48</v>
      </c>
      <c r="AX1617">
        <v>19</v>
      </c>
      <c r="AY1617">
        <v>44</v>
      </c>
      <c r="AZ1617">
        <v>24</v>
      </c>
      <c r="BA1617" t="s">
        <v>1290</v>
      </c>
      <c r="BB1617" t="s">
        <v>1291</v>
      </c>
      <c r="BC1617">
        <v>0.64</v>
      </c>
      <c r="BD1617" t="s">
        <v>65</v>
      </c>
      <c r="BE1617">
        <v>92</v>
      </c>
      <c r="BF1617">
        <v>43</v>
      </c>
      <c r="BG1617" t="s">
        <v>1292</v>
      </c>
      <c r="BH1617" t="s">
        <v>1293</v>
      </c>
      <c r="BI1617" t="s">
        <v>1294</v>
      </c>
      <c r="BJ1617">
        <v>0.19026999999999999</v>
      </c>
      <c r="BK1617">
        <v>1</v>
      </c>
      <c r="BL1617" t="s">
        <v>69</v>
      </c>
      <c r="BM1617">
        <v>0.45900000000000002</v>
      </c>
      <c r="BN1617">
        <v>-0.84299999999999997</v>
      </c>
    </row>
    <row r="1618" spans="2:66">
      <c r="B1618">
        <v>2908</v>
      </c>
      <c r="C1618">
        <v>309</v>
      </c>
      <c r="D1618">
        <v>0</v>
      </c>
      <c r="E1618">
        <v>4</v>
      </c>
      <c r="F1618">
        <v>0</v>
      </c>
      <c r="J1618">
        <v>2</v>
      </c>
      <c r="K1618">
        <v>35</v>
      </c>
      <c r="L1618">
        <v>7</v>
      </c>
      <c r="M1618" t="s">
        <v>25022</v>
      </c>
      <c r="N1618">
        <v>184</v>
      </c>
      <c r="O1618" t="s">
        <v>1295</v>
      </c>
      <c r="P1618" t="s">
        <v>57</v>
      </c>
      <c r="Q1618">
        <v>206941</v>
      </c>
      <c r="R1618">
        <v>209553</v>
      </c>
      <c r="S1618" t="s">
        <v>1296</v>
      </c>
      <c r="T1618">
        <v>871</v>
      </c>
      <c r="U1618" t="s">
        <v>1297</v>
      </c>
      <c r="V1618">
        <v>42</v>
      </c>
      <c r="W1618" t="str">
        <f>HYPERLINK("Gene184-zp_tree_all.dnd", "Gene184-tree")</f>
        <v>Gene184-tree</v>
      </c>
      <c r="X1618">
        <v>1</v>
      </c>
      <c r="Y1618">
        <v>15</v>
      </c>
      <c r="Z1618">
        <v>1</v>
      </c>
      <c r="AA1618">
        <v>15</v>
      </c>
      <c r="AB1618">
        <v>0.9375</v>
      </c>
      <c r="AC1618" t="s">
        <v>175</v>
      </c>
      <c r="AD1618" t="s">
        <v>100</v>
      </c>
      <c r="AE1618" t="s">
        <v>62</v>
      </c>
      <c r="AF1618" t="s">
        <v>62</v>
      </c>
      <c r="AG1618">
        <v>16</v>
      </c>
      <c r="AH1618">
        <v>44</v>
      </c>
      <c r="AI1618">
        <v>37</v>
      </c>
      <c r="AJ1618">
        <v>0.54320999999999997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18</v>
      </c>
      <c r="AQ1618">
        <v>6</v>
      </c>
      <c r="AR1618">
        <v>24</v>
      </c>
      <c r="AS1618">
        <v>36</v>
      </c>
      <c r="AT1618">
        <v>0.4</v>
      </c>
      <c r="AU1618">
        <v>15</v>
      </c>
      <c r="AV1618">
        <v>11</v>
      </c>
      <c r="AW1618">
        <v>102</v>
      </c>
      <c r="AX1618">
        <v>62</v>
      </c>
      <c r="AY1618">
        <v>47</v>
      </c>
      <c r="AZ1618">
        <v>23</v>
      </c>
      <c r="BA1618" t="s">
        <v>1298</v>
      </c>
      <c r="BB1618" t="s">
        <v>1299</v>
      </c>
      <c r="BC1618">
        <v>0.39500000000000002</v>
      </c>
      <c r="BD1618" t="s">
        <v>65</v>
      </c>
      <c r="BE1618">
        <v>149</v>
      </c>
      <c r="BF1618">
        <v>85</v>
      </c>
      <c r="BG1618" t="s">
        <v>1300</v>
      </c>
      <c r="BH1618" t="s">
        <v>1301</v>
      </c>
      <c r="BI1618" t="s">
        <v>1302</v>
      </c>
      <c r="BJ1618">
        <v>0.14202000000000001</v>
      </c>
      <c r="BK1618">
        <v>1</v>
      </c>
      <c r="BL1618" t="s">
        <v>69</v>
      </c>
      <c r="BM1618">
        <v>-0.67700000000000005</v>
      </c>
      <c r="BN1618">
        <v>-1.456</v>
      </c>
    </row>
    <row r="1619" spans="2:66">
      <c r="B1619">
        <v>2913</v>
      </c>
      <c r="C1619">
        <v>205</v>
      </c>
      <c r="D1619">
        <v>0</v>
      </c>
      <c r="E1619">
        <v>2</v>
      </c>
      <c r="F1619">
        <v>0</v>
      </c>
      <c r="J1619">
        <v>0</v>
      </c>
      <c r="K1619">
        <v>15</v>
      </c>
      <c r="L1619">
        <v>4</v>
      </c>
      <c r="M1619" t="s">
        <v>25022</v>
      </c>
      <c r="N1619">
        <v>185</v>
      </c>
      <c r="O1619" t="s">
        <v>1303</v>
      </c>
      <c r="P1619" t="s">
        <v>57</v>
      </c>
      <c r="Q1619">
        <v>209633</v>
      </c>
      <c r="R1619">
        <v>210157</v>
      </c>
      <c r="S1619" t="s">
        <v>1304</v>
      </c>
      <c r="T1619">
        <v>175</v>
      </c>
      <c r="U1619" t="s">
        <v>1305</v>
      </c>
      <c r="V1619">
        <v>43</v>
      </c>
      <c r="W1619" t="str">
        <f>HYPERLINK("Gene185-zp_tree_all.dnd", "Gene185-tree")</f>
        <v>Gene185-tree</v>
      </c>
      <c r="X1619">
        <v>1</v>
      </c>
      <c r="Y1619">
        <v>13</v>
      </c>
      <c r="Z1619">
        <v>1</v>
      </c>
      <c r="AA1619">
        <v>13</v>
      </c>
      <c r="AB1619">
        <v>0.92857000000000001</v>
      </c>
      <c r="AC1619" t="s">
        <v>175</v>
      </c>
      <c r="AD1619" t="s">
        <v>507</v>
      </c>
      <c r="AE1619" t="s">
        <v>62</v>
      </c>
      <c r="AF1619" t="s">
        <v>62</v>
      </c>
      <c r="AG1619">
        <v>7</v>
      </c>
      <c r="AH1619">
        <v>19</v>
      </c>
      <c r="AI1619">
        <v>16</v>
      </c>
      <c r="AJ1619">
        <v>0.54286000000000001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4</v>
      </c>
      <c r="AQ1619">
        <v>6</v>
      </c>
      <c r="AR1619">
        <v>10</v>
      </c>
      <c r="AS1619">
        <v>15</v>
      </c>
      <c r="AT1619">
        <v>0.4</v>
      </c>
      <c r="AU1619">
        <v>10</v>
      </c>
      <c r="AV1619">
        <v>9</v>
      </c>
      <c r="AW1619">
        <v>11</v>
      </c>
      <c r="AX1619">
        <v>19</v>
      </c>
      <c r="AY1619">
        <v>7</v>
      </c>
      <c r="AZ1619">
        <v>16</v>
      </c>
      <c r="BA1619" t="s">
        <v>1306</v>
      </c>
      <c r="BB1619" t="s">
        <v>1307</v>
      </c>
      <c r="BC1619">
        <v>0.40500000000000003</v>
      </c>
      <c r="BD1619" t="s">
        <v>65</v>
      </c>
      <c r="BE1619">
        <v>18</v>
      </c>
      <c r="BF1619">
        <v>35</v>
      </c>
      <c r="BG1619" t="s">
        <v>1308</v>
      </c>
      <c r="BH1619" t="s">
        <v>1309</v>
      </c>
      <c r="BI1619" t="s">
        <v>1310</v>
      </c>
      <c r="BJ1619">
        <v>0.52685999999999999</v>
      </c>
      <c r="BK1619">
        <v>0.86</v>
      </c>
      <c r="BL1619" t="s">
        <v>635</v>
      </c>
      <c r="BM1619">
        <v>-0.1</v>
      </c>
      <c r="BN1619">
        <v>4.5999999999999999E-2</v>
      </c>
    </row>
    <row r="1620" spans="2:66">
      <c r="B1620">
        <v>2914</v>
      </c>
      <c r="C1620">
        <v>261</v>
      </c>
      <c r="D1620">
        <v>0</v>
      </c>
      <c r="E1620">
        <v>2</v>
      </c>
      <c r="F1620">
        <v>0</v>
      </c>
      <c r="J1620">
        <v>0</v>
      </c>
      <c r="K1620">
        <v>2</v>
      </c>
      <c r="L1620">
        <v>0</v>
      </c>
      <c r="M1620" t="s">
        <v>25022</v>
      </c>
      <c r="N1620">
        <v>186</v>
      </c>
      <c r="O1620" t="s">
        <v>1311</v>
      </c>
      <c r="P1620" t="s">
        <v>57</v>
      </c>
      <c r="Q1620">
        <v>210224</v>
      </c>
      <c r="R1620">
        <v>210511</v>
      </c>
      <c r="S1620" t="s">
        <v>1312</v>
      </c>
      <c r="T1620">
        <v>96</v>
      </c>
      <c r="U1620" t="s">
        <v>1305</v>
      </c>
      <c r="V1620">
        <v>43</v>
      </c>
      <c r="W1620" t="str">
        <f>HYPERLINK("Gene186-zp_tree_all.dnd", "Gene186-tree")</f>
        <v>Gene186-tree</v>
      </c>
      <c r="X1620">
        <v>5</v>
      </c>
      <c r="Y1620">
        <v>4</v>
      </c>
      <c r="Z1620">
        <v>5</v>
      </c>
      <c r="AA1620">
        <v>4</v>
      </c>
      <c r="AB1620">
        <v>0.44444</v>
      </c>
      <c r="AC1620" t="s">
        <v>199</v>
      </c>
      <c r="AD1620" t="s">
        <v>61</v>
      </c>
      <c r="AE1620" t="s">
        <v>62</v>
      </c>
      <c r="AF1620" t="s">
        <v>62</v>
      </c>
      <c r="AG1620">
        <v>1</v>
      </c>
      <c r="AH1620">
        <v>2</v>
      </c>
      <c r="AI1620">
        <v>3</v>
      </c>
      <c r="AJ1620">
        <v>0.4</v>
      </c>
      <c r="AK1620">
        <v>0</v>
      </c>
      <c r="AL1620">
        <v>0</v>
      </c>
      <c r="AM1620">
        <v>0</v>
      </c>
      <c r="AN1620">
        <v>2</v>
      </c>
      <c r="AO1620">
        <v>0</v>
      </c>
      <c r="AP1620">
        <v>0</v>
      </c>
      <c r="AQ1620">
        <v>0</v>
      </c>
      <c r="AR1620">
        <v>0</v>
      </c>
      <c r="AS1620">
        <v>3</v>
      </c>
      <c r="AT1620">
        <v>0</v>
      </c>
      <c r="AU1620">
        <v>5</v>
      </c>
      <c r="AV1620">
        <v>4</v>
      </c>
      <c r="AW1620">
        <v>2</v>
      </c>
      <c r="AX1620">
        <v>3</v>
      </c>
      <c r="AY1620">
        <v>2</v>
      </c>
      <c r="AZ1620">
        <v>2</v>
      </c>
      <c r="BA1620" t="s">
        <v>1313</v>
      </c>
      <c r="BB1620" t="s">
        <v>1314</v>
      </c>
      <c r="BC1620">
        <v>0.28299999999999997</v>
      </c>
      <c r="BD1620" t="s">
        <v>65</v>
      </c>
      <c r="BE1620">
        <v>4</v>
      </c>
      <c r="BF1620">
        <v>5</v>
      </c>
      <c r="BG1620" t="s">
        <v>1315</v>
      </c>
      <c r="BH1620" t="s">
        <v>1316</v>
      </c>
      <c r="BI1620" t="s">
        <v>1317</v>
      </c>
      <c r="BJ1620">
        <v>0.24351999999999999</v>
      </c>
      <c r="BK1620">
        <v>0.95199999999999996</v>
      </c>
      <c r="BL1620" t="s">
        <v>69</v>
      </c>
      <c r="BM1620">
        <v>-0.504</v>
      </c>
      <c r="BN1620">
        <v>-7.3999999999999996E-2</v>
      </c>
    </row>
    <row r="1621" spans="2:66">
      <c r="B1621">
        <v>2915</v>
      </c>
      <c r="C1621">
        <v>168</v>
      </c>
      <c r="D1621">
        <v>0</v>
      </c>
      <c r="E1621">
        <v>5</v>
      </c>
      <c r="F1621">
        <v>0</v>
      </c>
      <c r="J1621">
        <v>0</v>
      </c>
      <c r="K1621">
        <v>0</v>
      </c>
      <c r="L1621">
        <v>0</v>
      </c>
      <c r="M1621" t="s">
        <v>25022</v>
      </c>
      <c r="N1621">
        <v>187</v>
      </c>
      <c r="O1621" t="s">
        <v>1318</v>
      </c>
      <c r="P1621" t="s">
        <v>57</v>
      </c>
      <c r="Q1621">
        <v>210572</v>
      </c>
      <c r="R1621">
        <v>210943</v>
      </c>
      <c r="S1621" t="s">
        <v>1319</v>
      </c>
      <c r="T1621">
        <v>124</v>
      </c>
      <c r="U1621" t="s">
        <v>1320</v>
      </c>
      <c r="V1621">
        <v>44</v>
      </c>
      <c r="W1621" t="str">
        <f>HYPERLINK("Gene187-zp_tree_all.dnd", "Gene187-tree")</f>
        <v>Gene187-tree</v>
      </c>
      <c r="X1621">
        <v>9</v>
      </c>
      <c r="Y1621">
        <v>2</v>
      </c>
      <c r="Z1621">
        <v>9</v>
      </c>
      <c r="AA1621">
        <v>2</v>
      </c>
      <c r="AB1621">
        <v>0.18182000000000001</v>
      </c>
      <c r="AC1621" t="s">
        <v>135</v>
      </c>
      <c r="AD1621" t="s">
        <v>81</v>
      </c>
      <c r="AE1621" t="s">
        <v>62</v>
      </c>
      <c r="AF1621" t="s">
        <v>62</v>
      </c>
      <c r="AG1621">
        <v>0</v>
      </c>
      <c r="AH1621">
        <v>0</v>
      </c>
      <c r="AI1621">
        <v>5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5</v>
      </c>
      <c r="AT1621">
        <v>0</v>
      </c>
      <c r="AU1621">
        <v>10</v>
      </c>
      <c r="AV1621">
        <v>5</v>
      </c>
      <c r="AW1621">
        <v>22</v>
      </c>
      <c r="AX1621">
        <v>5</v>
      </c>
      <c r="AY1621">
        <v>6</v>
      </c>
      <c r="AZ1621">
        <v>0</v>
      </c>
      <c r="BA1621" t="s">
        <v>1321</v>
      </c>
      <c r="BB1621" t="s">
        <v>193</v>
      </c>
      <c r="BC1621">
        <v>0.40400000000000003</v>
      </c>
      <c r="BD1621" t="s">
        <v>65</v>
      </c>
      <c r="BE1621">
        <v>28</v>
      </c>
      <c r="BF1621">
        <v>5</v>
      </c>
      <c r="BG1621" t="s">
        <v>1322</v>
      </c>
      <c r="BH1621" t="s">
        <v>1323</v>
      </c>
      <c r="BI1621" t="s">
        <v>1324</v>
      </c>
      <c r="BJ1621">
        <v>4.8770000000000001E-2</v>
      </c>
      <c r="BK1621">
        <v>1</v>
      </c>
      <c r="BL1621" t="s">
        <v>69</v>
      </c>
      <c r="BM1621">
        <v>-1.2589999999999999</v>
      </c>
      <c r="BN1621">
        <v>-2.0089999999999999</v>
      </c>
    </row>
    <row r="1622" spans="2:66">
      <c r="B1622">
        <v>2916</v>
      </c>
      <c r="C1622">
        <v>137</v>
      </c>
      <c r="D1622">
        <v>0</v>
      </c>
      <c r="E1622">
        <v>0</v>
      </c>
      <c r="F1622">
        <v>2</v>
      </c>
      <c r="J1622">
        <v>0</v>
      </c>
      <c r="K1622">
        <v>2</v>
      </c>
      <c r="L1622">
        <v>0</v>
      </c>
      <c r="M1622" t="s">
        <v>25022</v>
      </c>
      <c r="N1622">
        <v>188</v>
      </c>
      <c r="O1622" t="s">
        <v>1325</v>
      </c>
      <c r="P1622" t="s">
        <v>57</v>
      </c>
      <c r="Q1622">
        <v>211429</v>
      </c>
      <c r="R1622">
        <v>211728</v>
      </c>
      <c r="S1622" t="s">
        <v>1326</v>
      </c>
      <c r="T1622">
        <v>100</v>
      </c>
      <c r="U1622" t="s">
        <v>1327</v>
      </c>
      <c r="V1622">
        <v>39</v>
      </c>
      <c r="W1622" t="str">
        <f>HYPERLINK("Gene188-zp_tree_all.dnd", "Gene188-tree")</f>
        <v>Gene188-tree</v>
      </c>
      <c r="X1622">
        <v>9</v>
      </c>
      <c r="Y1622">
        <v>3</v>
      </c>
      <c r="Z1622">
        <v>9</v>
      </c>
      <c r="AA1622">
        <v>3</v>
      </c>
      <c r="AB1622">
        <v>0.25</v>
      </c>
      <c r="AC1622" t="s">
        <v>135</v>
      </c>
      <c r="AD1622" t="s">
        <v>324</v>
      </c>
      <c r="AE1622" t="s">
        <v>62</v>
      </c>
      <c r="AF1622" t="s">
        <v>62</v>
      </c>
      <c r="AG1622">
        <v>1</v>
      </c>
      <c r="AH1622">
        <v>2</v>
      </c>
      <c r="AI1622">
        <v>1</v>
      </c>
      <c r="AJ1622">
        <v>0.66666999999999998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2</v>
      </c>
      <c r="AQ1622">
        <v>0</v>
      </c>
      <c r="AR1622">
        <v>2</v>
      </c>
      <c r="AS1622">
        <v>1</v>
      </c>
      <c r="AT1622">
        <v>0.66666999999999998</v>
      </c>
      <c r="AU1622">
        <v>7</v>
      </c>
      <c r="AV1622">
        <v>7</v>
      </c>
      <c r="AW1622">
        <v>9</v>
      </c>
      <c r="AX1622">
        <v>3</v>
      </c>
      <c r="AY1622">
        <v>17</v>
      </c>
      <c r="AZ1622">
        <v>0</v>
      </c>
      <c r="BA1622" t="s">
        <v>1328</v>
      </c>
      <c r="BB1622" t="s">
        <v>193</v>
      </c>
      <c r="BC1622">
        <v>1.2110000000000001</v>
      </c>
      <c r="BD1622" t="s">
        <v>65</v>
      </c>
      <c r="BE1622">
        <v>26</v>
      </c>
      <c r="BF1622">
        <v>3</v>
      </c>
      <c r="BG1622" t="s">
        <v>1329</v>
      </c>
      <c r="BH1622" t="s">
        <v>1330</v>
      </c>
      <c r="BI1622" t="s">
        <v>1331</v>
      </c>
      <c r="BJ1622">
        <v>1.9779999999999999E-2</v>
      </c>
      <c r="BK1622">
        <v>1</v>
      </c>
      <c r="BL1622" t="s">
        <v>69</v>
      </c>
      <c r="BM1622">
        <v>-0.10100000000000001</v>
      </c>
      <c r="BN1622">
        <v>-0.49399999999999999</v>
      </c>
    </row>
    <row r="1623" spans="2:66">
      <c r="B1623">
        <v>2918</v>
      </c>
      <c r="C1623">
        <v>169</v>
      </c>
      <c r="D1623">
        <v>0</v>
      </c>
      <c r="E1623">
        <v>2</v>
      </c>
      <c r="F1623">
        <v>0</v>
      </c>
      <c r="J1623">
        <v>0</v>
      </c>
      <c r="K1623">
        <v>18</v>
      </c>
      <c r="L1623">
        <v>5</v>
      </c>
      <c r="M1623" t="s">
        <v>25022</v>
      </c>
      <c r="N1623">
        <v>189</v>
      </c>
      <c r="O1623" t="s">
        <v>1332</v>
      </c>
      <c r="P1623" t="s">
        <v>57</v>
      </c>
      <c r="Q1623">
        <v>211859</v>
      </c>
      <c r="R1623">
        <v>213028</v>
      </c>
      <c r="S1623" t="s">
        <v>1333</v>
      </c>
      <c r="T1623">
        <v>390</v>
      </c>
      <c r="U1623" t="s">
        <v>1334</v>
      </c>
      <c r="V1623">
        <v>37</v>
      </c>
      <c r="W1623" t="str">
        <f>HYPERLINK("Gene189-zp_tree_all.dnd", "Gene189-tree")</f>
        <v>Gene189-tree</v>
      </c>
      <c r="X1623">
        <v>2</v>
      </c>
      <c r="Y1623">
        <v>14</v>
      </c>
      <c r="Z1623">
        <v>2</v>
      </c>
      <c r="AA1623">
        <v>14</v>
      </c>
      <c r="AB1623">
        <v>0.875</v>
      </c>
      <c r="AC1623" t="s">
        <v>81</v>
      </c>
      <c r="AD1623" t="s">
        <v>543</v>
      </c>
      <c r="AE1623">
        <v>860908720.12699997</v>
      </c>
      <c r="AF1623" t="s">
        <v>267</v>
      </c>
      <c r="AG1623">
        <v>9</v>
      </c>
      <c r="AH1623">
        <v>23</v>
      </c>
      <c r="AI1623">
        <v>18</v>
      </c>
      <c r="AJ1623">
        <v>0.56098000000000003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13</v>
      </c>
      <c r="AQ1623">
        <v>5</v>
      </c>
      <c r="AR1623">
        <v>18</v>
      </c>
      <c r="AS1623">
        <v>12</v>
      </c>
      <c r="AT1623">
        <v>0.6</v>
      </c>
      <c r="AU1623">
        <v>13</v>
      </c>
      <c r="AV1623">
        <v>12</v>
      </c>
      <c r="AW1623">
        <v>70</v>
      </c>
      <c r="AX1623">
        <v>29</v>
      </c>
      <c r="AY1623">
        <v>57</v>
      </c>
      <c r="AZ1623">
        <v>13</v>
      </c>
      <c r="BA1623" t="s">
        <v>1335</v>
      </c>
      <c r="BB1623" t="s">
        <v>1336</v>
      </c>
      <c r="BC1623">
        <v>0.67600000000000005</v>
      </c>
      <c r="BD1623" t="s">
        <v>65</v>
      </c>
      <c r="BE1623">
        <v>127</v>
      </c>
      <c r="BF1623">
        <v>42</v>
      </c>
      <c r="BG1623" t="s">
        <v>1337</v>
      </c>
      <c r="BH1623" t="s">
        <v>1338</v>
      </c>
      <c r="BI1623" t="s">
        <v>1339</v>
      </c>
      <c r="BJ1623">
        <v>8.8179999999999994E-2</v>
      </c>
      <c r="BK1623">
        <v>1</v>
      </c>
      <c r="BL1623" t="s">
        <v>69</v>
      </c>
      <c r="BM1623">
        <v>-1.349</v>
      </c>
      <c r="BN1623">
        <v>-1.395</v>
      </c>
    </row>
    <row r="1624" spans="2:66">
      <c r="B1624">
        <v>2920</v>
      </c>
      <c r="C1624">
        <v>11</v>
      </c>
      <c r="D1624">
        <v>0</v>
      </c>
      <c r="E1624">
        <v>2</v>
      </c>
      <c r="F1624">
        <v>2</v>
      </c>
      <c r="J1624">
        <v>0</v>
      </c>
      <c r="K1624">
        <v>0</v>
      </c>
      <c r="L1624">
        <v>0</v>
      </c>
      <c r="M1624" t="s">
        <v>25022</v>
      </c>
      <c r="N1624">
        <v>193</v>
      </c>
      <c r="O1624" t="s">
        <v>1342</v>
      </c>
      <c r="P1624" t="s">
        <v>57</v>
      </c>
      <c r="Q1624">
        <v>215404</v>
      </c>
      <c r="R1624">
        <v>216891</v>
      </c>
      <c r="S1624" t="s">
        <v>1343</v>
      </c>
      <c r="T1624">
        <v>496</v>
      </c>
      <c r="U1624" t="s">
        <v>1341</v>
      </c>
      <c r="V1624">
        <v>22</v>
      </c>
      <c r="W1624" t="str">
        <f>HYPERLINK("Gene193-zp_tree_all.dnd", "Gene193-tree")</f>
        <v>Gene193-tree</v>
      </c>
      <c r="X1624">
        <v>0</v>
      </c>
      <c r="Y1624">
        <v>4</v>
      </c>
      <c r="Z1624">
        <v>0</v>
      </c>
      <c r="AA1624">
        <v>4</v>
      </c>
      <c r="AB1624">
        <v>1</v>
      </c>
      <c r="AC1624" t="s">
        <v>62</v>
      </c>
      <c r="AD1624" t="s">
        <v>61</v>
      </c>
      <c r="AE1624" t="s">
        <v>62</v>
      </c>
      <c r="AF1624" t="s">
        <v>62</v>
      </c>
      <c r="AG1624">
        <v>0</v>
      </c>
      <c r="AH1624">
        <v>0</v>
      </c>
      <c r="AI1624">
        <v>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3</v>
      </c>
      <c r="AT1624">
        <v>0</v>
      </c>
      <c r="AU1624">
        <v>3</v>
      </c>
      <c r="AV1624">
        <v>0</v>
      </c>
      <c r="AW1624">
        <v>0</v>
      </c>
      <c r="AX1624">
        <v>3</v>
      </c>
      <c r="AY1624">
        <v>0</v>
      </c>
      <c r="AZ1624">
        <v>0</v>
      </c>
      <c r="BA1624" t="s">
        <v>193</v>
      </c>
      <c r="BB1624" t="s">
        <v>193</v>
      </c>
      <c r="BC1624">
        <v>0</v>
      </c>
      <c r="BD1624" t="s">
        <v>65</v>
      </c>
      <c r="BE1624">
        <v>0</v>
      </c>
      <c r="BF1624">
        <v>3</v>
      </c>
      <c r="BG1624" t="s">
        <v>1344</v>
      </c>
      <c r="BH1624" t="s">
        <v>193</v>
      </c>
      <c r="BI1624" t="s">
        <v>1345</v>
      </c>
      <c r="BJ1624" t="s">
        <v>1346</v>
      </c>
      <c r="BK1624">
        <v>1</v>
      </c>
      <c r="BL1624" t="s">
        <v>69</v>
      </c>
      <c r="BM1624">
        <v>-1.7290000000000001</v>
      </c>
      <c r="BN1624">
        <v>-2.46</v>
      </c>
    </row>
    <row r="1625" spans="2:66">
      <c r="B1625">
        <v>2921</v>
      </c>
      <c r="C1625">
        <v>125</v>
      </c>
      <c r="D1625">
        <v>0</v>
      </c>
      <c r="E1625">
        <v>2</v>
      </c>
      <c r="F1625">
        <v>1</v>
      </c>
      <c r="J1625">
        <v>0</v>
      </c>
      <c r="K1625">
        <v>2</v>
      </c>
      <c r="L1625">
        <v>0</v>
      </c>
      <c r="M1625" t="s">
        <v>25022</v>
      </c>
      <c r="N1625">
        <v>198</v>
      </c>
      <c r="O1625" t="s">
        <v>1347</v>
      </c>
      <c r="P1625" t="s">
        <v>57</v>
      </c>
      <c r="Q1625">
        <v>220279</v>
      </c>
      <c r="R1625">
        <v>221253</v>
      </c>
      <c r="S1625" t="s">
        <v>1348</v>
      </c>
      <c r="T1625">
        <v>325</v>
      </c>
      <c r="U1625" t="s">
        <v>1349</v>
      </c>
      <c r="V1625">
        <v>34</v>
      </c>
      <c r="W1625" t="str">
        <f>HYPERLINK("Gene198-zp_tree_all.dnd", "Gene198-tree")</f>
        <v>Gene198-tree</v>
      </c>
      <c r="X1625">
        <v>4</v>
      </c>
      <c r="Y1625">
        <v>4</v>
      </c>
      <c r="Z1625">
        <v>4</v>
      </c>
      <c r="AA1625">
        <v>4</v>
      </c>
      <c r="AB1625">
        <v>0.5</v>
      </c>
      <c r="AC1625" t="s">
        <v>61</v>
      </c>
      <c r="AD1625" t="s">
        <v>61</v>
      </c>
      <c r="AE1625" t="s">
        <v>62</v>
      </c>
      <c r="AF1625" t="s">
        <v>62</v>
      </c>
      <c r="AG1625">
        <v>1</v>
      </c>
      <c r="AH1625">
        <v>2</v>
      </c>
      <c r="AI1625">
        <v>9</v>
      </c>
      <c r="AJ1625">
        <v>0.18182000000000001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2</v>
      </c>
      <c r="AQ1625">
        <v>0</v>
      </c>
      <c r="AR1625">
        <v>2</v>
      </c>
      <c r="AS1625">
        <v>7</v>
      </c>
      <c r="AT1625">
        <v>0.22222</v>
      </c>
      <c r="AU1625">
        <v>7</v>
      </c>
      <c r="AV1625">
        <v>5</v>
      </c>
      <c r="AW1625">
        <v>26</v>
      </c>
      <c r="AX1625">
        <v>9</v>
      </c>
      <c r="AY1625">
        <v>6</v>
      </c>
      <c r="AZ1625">
        <v>2</v>
      </c>
      <c r="BA1625" t="s">
        <v>1350</v>
      </c>
      <c r="BB1625" t="s">
        <v>1351</v>
      </c>
      <c r="BC1625">
        <v>2.9000000000000001E-2</v>
      </c>
      <c r="BD1625" t="s">
        <v>65</v>
      </c>
      <c r="BE1625">
        <v>32</v>
      </c>
      <c r="BF1625">
        <v>11</v>
      </c>
      <c r="BG1625" t="s">
        <v>1352</v>
      </c>
      <c r="BH1625" t="s">
        <v>1353</v>
      </c>
      <c r="BI1625" t="s">
        <v>1354</v>
      </c>
      <c r="BJ1625">
        <v>9.6390000000000003E-2</v>
      </c>
      <c r="BK1625">
        <v>1</v>
      </c>
      <c r="BL1625" t="s">
        <v>69</v>
      </c>
      <c r="BM1625">
        <v>-1.0529999999999999</v>
      </c>
      <c r="BN1625">
        <v>-1.97</v>
      </c>
    </row>
    <row r="1626" spans="2:66">
      <c r="B1626">
        <v>2922</v>
      </c>
      <c r="C1626">
        <v>33</v>
      </c>
      <c r="D1626">
        <v>0</v>
      </c>
      <c r="E1626">
        <v>21</v>
      </c>
      <c r="F1626">
        <v>2</v>
      </c>
      <c r="J1626">
        <v>0</v>
      </c>
      <c r="K1626">
        <v>2</v>
      </c>
      <c r="L1626">
        <v>0</v>
      </c>
      <c r="M1626" t="s">
        <v>25022</v>
      </c>
      <c r="N1626">
        <v>199</v>
      </c>
      <c r="O1626" t="s">
        <v>1355</v>
      </c>
      <c r="P1626" t="s">
        <v>57</v>
      </c>
      <c r="Q1626">
        <v>221258</v>
      </c>
      <c r="R1626">
        <v>221926</v>
      </c>
      <c r="S1626" t="s">
        <v>1356</v>
      </c>
      <c r="T1626">
        <v>223</v>
      </c>
      <c r="U1626" t="s">
        <v>1349</v>
      </c>
      <c r="V1626">
        <v>34</v>
      </c>
      <c r="W1626" t="str">
        <f>HYPERLINK("Gene199-zp_tree_all.dnd", "Gene199-tree")</f>
        <v>Gene199-tree</v>
      </c>
      <c r="X1626">
        <v>4</v>
      </c>
      <c r="Y1626">
        <v>4</v>
      </c>
      <c r="Z1626">
        <v>4</v>
      </c>
      <c r="AA1626">
        <v>4</v>
      </c>
      <c r="AB1626">
        <v>0.5</v>
      </c>
      <c r="AC1626" t="s">
        <v>61</v>
      </c>
      <c r="AD1626" t="s">
        <v>61</v>
      </c>
      <c r="AE1626" t="s">
        <v>62</v>
      </c>
      <c r="AF1626" t="s">
        <v>62</v>
      </c>
      <c r="AG1626">
        <v>1</v>
      </c>
      <c r="AH1626">
        <v>2</v>
      </c>
      <c r="AI1626">
        <v>6</v>
      </c>
      <c r="AJ1626">
        <v>0.25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2</v>
      </c>
      <c r="AQ1626">
        <v>0</v>
      </c>
      <c r="AR1626">
        <v>2</v>
      </c>
      <c r="AS1626">
        <v>5</v>
      </c>
      <c r="AT1626">
        <v>0.28571000000000002</v>
      </c>
      <c r="AU1626">
        <v>7</v>
      </c>
      <c r="AV1626">
        <v>5</v>
      </c>
      <c r="AW1626">
        <v>18</v>
      </c>
      <c r="AX1626">
        <v>7</v>
      </c>
      <c r="AY1626">
        <v>11</v>
      </c>
      <c r="AZ1626">
        <v>1</v>
      </c>
      <c r="BA1626" t="s">
        <v>1357</v>
      </c>
      <c r="BB1626" t="s">
        <v>1358</v>
      </c>
      <c r="BC1626">
        <v>1.145</v>
      </c>
      <c r="BD1626" t="s">
        <v>65</v>
      </c>
      <c r="BE1626">
        <v>29</v>
      </c>
      <c r="BF1626">
        <v>8</v>
      </c>
      <c r="BG1626" t="s">
        <v>1359</v>
      </c>
      <c r="BH1626" t="s">
        <v>1360</v>
      </c>
      <c r="BI1626" t="s">
        <v>1361</v>
      </c>
      <c r="BJ1626">
        <v>6.6879999999999995E-2</v>
      </c>
      <c r="BK1626">
        <v>1</v>
      </c>
      <c r="BL1626" t="s">
        <v>69</v>
      </c>
      <c r="BM1626">
        <v>-8.8999999999999996E-2</v>
      </c>
      <c r="BN1626">
        <v>-0.10199999999999999</v>
      </c>
    </row>
    <row r="1627" spans="2:66">
      <c r="B1627">
        <v>2923</v>
      </c>
      <c r="C1627">
        <v>67</v>
      </c>
      <c r="D1627">
        <v>0</v>
      </c>
      <c r="E1627">
        <v>2</v>
      </c>
      <c r="F1627">
        <v>4</v>
      </c>
      <c r="J1627">
        <v>0</v>
      </c>
      <c r="K1627">
        <v>16</v>
      </c>
      <c r="L1627">
        <v>1</v>
      </c>
      <c r="M1627" t="s">
        <v>25022</v>
      </c>
      <c r="N1627">
        <v>200</v>
      </c>
      <c r="O1627" t="s">
        <v>1362</v>
      </c>
      <c r="P1627" t="s">
        <v>57</v>
      </c>
      <c r="Q1627">
        <v>221950</v>
      </c>
      <c r="R1627">
        <v>222909</v>
      </c>
      <c r="S1627" t="s">
        <v>1363</v>
      </c>
      <c r="T1627">
        <v>320</v>
      </c>
      <c r="U1627" t="s">
        <v>1364</v>
      </c>
      <c r="V1627">
        <v>42</v>
      </c>
      <c r="W1627" t="str">
        <f>HYPERLINK("Gene200-zp_tree_all.dnd", "Gene200-tree")</f>
        <v>Gene200-tree</v>
      </c>
      <c r="X1627">
        <v>1</v>
      </c>
      <c r="Y1627">
        <v>13</v>
      </c>
      <c r="Z1627">
        <v>1</v>
      </c>
      <c r="AA1627">
        <v>13</v>
      </c>
      <c r="AB1627">
        <v>0.92857000000000001</v>
      </c>
      <c r="AC1627" t="s">
        <v>175</v>
      </c>
      <c r="AD1627" t="s">
        <v>507</v>
      </c>
      <c r="AE1627" t="s">
        <v>62</v>
      </c>
      <c r="AF1627" t="s">
        <v>62</v>
      </c>
      <c r="AG1627">
        <v>6</v>
      </c>
      <c r="AH1627">
        <v>17</v>
      </c>
      <c r="AI1627">
        <v>16</v>
      </c>
      <c r="AJ1627">
        <v>0.51515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16</v>
      </c>
      <c r="AQ1627">
        <v>1</v>
      </c>
      <c r="AR1627">
        <v>17</v>
      </c>
      <c r="AS1627">
        <v>13</v>
      </c>
      <c r="AT1627">
        <v>0.56667000000000001</v>
      </c>
      <c r="AU1627">
        <v>12</v>
      </c>
      <c r="AV1627">
        <v>8</v>
      </c>
      <c r="AW1627">
        <v>17</v>
      </c>
      <c r="AX1627">
        <v>22</v>
      </c>
      <c r="AY1627">
        <v>15</v>
      </c>
      <c r="AZ1627">
        <v>12</v>
      </c>
      <c r="BA1627" t="s">
        <v>1365</v>
      </c>
      <c r="BB1627" t="s">
        <v>1366</v>
      </c>
      <c r="BC1627">
        <v>0.57999999999999996</v>
      </c>
      <c r="BD1627" t="s">
        <v>65</v>
      </c>
      <c r="BE1627">
        <v>32</v>
      </c>
      <c r="BF1627">
        <v>34</v>
      </c>
      <c r="BG1627" t="s">
        <v>1367</v>
      </c>
      <c r="BH1627" t="s">
        <v>1368</v>
      </c>
      <c r="BI1627" t="s">
        <v>1369</v>
      </c>
      <c r="BJ1627">
        <v>0.27167000000000002</v>
      </c>
      <c r="BK1627">
        <v>1</v>
      </c>
      <c r="BL1627" t="s">
        <v>69</v>
      </c>
      <c r="BM1627">
        <v>-0.53500000000000003</v>
      </c>
      <c r="BN1627">
        <v>-0.99299999999999999</v>
      </c>
    </row>
    <row r="1628" spans="2:66">
      <c r="B1628">
        <v>2924</v>
      </c>
      <c r="C1628">
        <v>413</v>
      </c>
      <c r="D1628">
        <v>0</v>
      </c>
      <c r="E1628">
        <v>9</v>
      </c>
      <c r="F1628">
        <v>0</v>
      </c>
      <c r="J1628">
        <v>0</v>
      </c>
      <c r="K1628">
        <v>0</v>
      </c>
      <c r="L1628">
        <v>0</v>
      </c>
      <c r="M1628" t="s">
        <v>25022</v>
      </c>
      <c r="N1628">
        <v>201</v>
      </c>
      <c r="O1628" t="s">
        <v>1370</v>
      </c>
      <c r="P1628" t="s">
        <v>57</v>
      </c>
      <c r="Q1628">
        <v>222971</v>
      </c>
      <c r="R1628">
        <v>223231</v>
      </c>
      <c r="S1628" t="s">
        <v>116</v>
      </c>
      <c r="T1628">
        <v>87</v>
      </c>
      <c r="U1628" t="s">
        <v>1371</v>
      </c>
      <c r="V1628">
        <v>39</v>
      </c>
      <c r="W1628" t="str">
        <f>HYPERLINK("Gene201-zp_tree_all.dnd", "Gene201-tree")</f>
        <v>Gene201-tree</v>
      </c>
      <c r="X1628">
        <v>2</v>
      </c>
      <c r="Y1628">
        <v>4</v>
      </c>
      <c r="Z1628">
        <v>2</v>
      </c>
      <c r="AA1628">
        <v>4</v>
      </c>
      <c r="AB1628">
        <v>0.66666999999999998</v>
      </c>
      <c r="AC1628" t="s">
        <v>81</v>
      </c>
      <c r="AD1628" t="s">
        <v>61</v>
      </c>
      <c r="AE1628" t="s">
        <v>62</v>
      </c>
      <c r="AF1628" t="s">
        <v>62</v>
      </c>
      <c r="AG1628">
        <v>0</v>
      </c>
      <c r="AH1628">
        <v>0</v>
      </c>
      <c r="AI1628">
        <v>8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8</v>
      </c>
      <c r="AT1628">
        <v>0</v>
      </c>
      <c r="AU1628">
        <v>4</v>
      </c>
      <c r="AV1628">
        <v>1</v>
      </c>
      <c r="AW1628">
        <v>2</v>
      </c>
      <c r="AX1628">
        <v>7</v>
      </c>
      <c r="AY1628">
        <v>0</v>
      </c>
      <c r="AZ1628">
        <v>1</v>
      </c>
      <c r="BA1628" t="s">
        <v>1372</v>
      </c>
      <c r="BB1628" t="s">
        <v>193</v>
      </c>
      <c r="BC1628">
        <v>1.1619999999999999</v>
      </c>
      <c r="BD1628" t="s">
        <v>65</v>
      </c>
      <c r="BE1628">
        <v>2</v>
      </c>
      <c r="BF1628">
        <v>8</v>
      </c>
      <c r="BG1628" t="s">
        <v>1373</v>
      </c>
      <c r="BH1628" t="s">
        <v>1374</v>
      </c>
      <c r="BI1628" t="s">
        <v>1375</v>
      </c>
      <c r="BJ1628">
        <v>1.56338</v>
      </c>
      <c r="BK1628">
        <v>8.3000000000000004E-2</v>
      </c>
      <c r="BL1628" t="s">
        <v>635</v>
      </c>
      <c r="BM1628">
        <v>-0.91300000000000003</v>
      </c>
      <c r="BN1628">
        <v>0.76800000000000002</v>
      </c>
    </row>
    <row r="1629" spans="2:66">
      <c r="B1629">
        <v>2927</v>
      </c>
      <c r="C1629">
        <v>9</v>
      </c>
      <c r="D1629">
        <v>0</v>
      </c>
      <c r="E1629">
        <v>9</v>
      </c>
      <c r="F1629">
        <v>0</v>
      </c>
      <c r="J1629">
        <v>0</v>
      </c>
      <c r="K1629">
        <v>18</v>
      </c>
      <c r="L1629">
        <v>3</v>
      </c>
      <c r="M1629" t="s">
        <v>25022</v>
      </c>
      <c r="N1629">
        <v>204</v>
      </c>
      <c r="O1629" t="s">
        <v>1391</v>
      </c>
      <c r="P1629" t="s">
        <v>57</v>
      </c>
      <c r="Q1629">
        <v>225064</v>
      </c>
      <c r="R1629">
        <v>226245</v>
      </c>
      <c r="S1629" t="s">
        <v>1385</v>
      </c>
      <c r="T1629">
        <v>394</v>
      </c>
      <c r="U1629" t="s">
        <v>1392</v>
      </c>
      <c r="V1629">
        <v>43</v>
      </c>
      <c r="W1629" t="str">
        <f>HYPERLINK("Gene204-zp_tree_all.dnd", "Gene204-tree")</f>
        <v>Gene204-tree</v>
      </c>
      <c r="X1629">
        <v>3</v>
      </c>
      <c r="Y1629">
        <v>10</v>
      </c>
      <c r="Z1629">
        <v>3</v>
      </c>
      <c r="AA1629">
        <v>10</v>
      </c>
      <c r="AB1629">
        <v>0.76922999999999997</v>
      </c>
      <c r="AC1629" t="s">
        <v>324</v>
      </c>
      <c r="AD1629" t="s">
        <v>117</v>
      </c>
      <c r="AE1629" t="s">
        <v>62</v>
      </c>
      <c r="AF1629" t="s">
        <v>62</v>
      </c>
      <c r="AG1629">
        <v>9</v>
      </c>
      <c r="AH1629">
        <v>21</v>
      </c>
      <c r="AI1629">
        <v>20</v>
      </c>
      <c r="AJ1629">
        <v>0.51219999999999999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6</v>
      </c>
      <c r="AQ1629">
        <v>0</v>
      </c>
      <c r="AR1629">
        <v>6</v>
      </c>
      <c r="AS1629">
        <v>19</v>
      </c>
      <c r="AT1629">
        <v>0.24</v>
      </c>
      <c r="AU1629">
        <v>12</v>
      </c>
      <c r="AV1629">
        <v>9</v>
      </c>
      <c r="AW1629">
        <v>33</v>
      </c>
      <c r="AX1629">
        <v>26</v>
      </c>
      <c r="AY1629">
        <v>30</v>
      </c>
      <c r="AZ1629">
        <v>16</v>
      </c>
      <c r="BA1629" t="s">
        <v>1393</v>
      </c>
      <c r="BB1629" t="s">
        <v>1394</v>
      </c>
      <c r="BC1629">
        <v>0.64900000000000002</v>
      </c>
      <c r="BD1629" t="s">
        <v>65</v>
      </c>
      <c r="BE1629">
        <v>63</v>
      </c>
      <c r="BF1629">
        <v>42</v>
      </c>
      <c r="BG1629" t="s">
        <v>1395</v>
      </c>
      <c r="BH1629" t="s">
        <v>1396</v>
      </c>
      <c r="BI1629" t="s">
        <v>1397</v>
      </c>
      <c r="BJ1629">
        <v>0.18559</v>
      </c>
      <c r="BK1629">
        <v>1</v>
      </c>
      <c r="BL1629" t="s">
        <v>69</v>
      </c>
      <c r="BM1629">
        <v>-0.8</v>
      </c>
      <c r="BN1629">
        <v>-0.78100000000000003</v>
      </c>
    </row>
    <row r="1630" spans="2:66">
      <c r="B1630">
        <v>2928</v>
      </c>
      <c r="C1630">
        <v>417</v>
      </c>
      <c r="D1630">
        <v>0</v>
      </c>
      <c r="E1630">
        <v>25</v>
      </c>
      <c r="F1630">
        <v>4</v>
      </c>
      <c r="J1630">
        <v>0</v>
      </c>
      <c r="K1630">
        <v>3</v>
      </c>
      <c r="L1630">
        <v>0</v>
      </c>
      <c r="M1630" t="s">
        <v>25022</v>
      </c>
      <c r="N1630">
        <v>205</v>
      </c>
      <c r="O1630" t="s">
        <v>1398</v>
      </c>
      <c r="P1630" t="s">
        <v>57</v>
      </c>
      <c r="Q1630">
        <v>226566</v>
      </c>
      <c r="R1630">
        <v>227951</v>
      </c>
      <c r="S1630" t="s">
        <v>1399</v>
      </c>
      <c r="T1630">
        <v>462</v>
      </c>
      <c r="U1630" t="s">
        <v>108</v>
      </c>
      <c r="V1630">
        <v>44</v>
      </c>
      <c r="W1630" t="str">
        <f>HYPERLINK("Gene205-zp_tree_all.dnd", "Gene205-tree")</f>
        <v>Gene205-tree</v>
      </c>
      <c r="X1630">
        <v>8</v>
      </c>
      <c r="Y1630">
        <v>8</v>
      </c>
      <c r="Z1630">
        <v>8</v>
      </c>
      <c r="AA1630">
        <v>8</v>
      </c>
      <c r="AB1630">
        <v>0.5</v>
      </c>
      <c r="AC1630" t="s">
        <v>136</v>
      </c>
      <c r="AD1630" t="s">
        <v>136</v>
      </c>
      <c r="AE1630" t="s">
        <v>62</v>
      </c>
      <c r="AF1630" t="s">
        <v>62</v>
      </c>
      <c r="AG1630">
        <v>1</v>
      </c>
      <c r="AH1630">
        <v>3</v>
      </c>
      <c r="AI1630">
        <v>8</v>
      </c>
      <c r="AJ1630">
        <v>0.27272999999999997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2</v>
      </c>
      <c r="AQ1630">
        <v>0</v>
      </c>
      <c r="AR1630">
        <v>2</v>
      </c>
      <c r="AS1630">
        <v>6</v>
      </c>
      <c r="AT1630">
        <v>0.25</v>
      </c>
      <c r="AU1630">
        <v>14</v>
      </c>
      <c r="AV1630">
        <v>12</v>
      </c>
      <c r="AW1630">
        <v>45</v>
      </c>
      <c r="AX1630">
        <v>7</v>
      </c>
      <c r="AY1630">
        <v>24</v>
      </c>
      <c r="AZ1630">
        <v>4</v>
      </c>
      <c r="BA1630" t="s">
        <v>1400</v>
      </c>
      <c r="BB1630" t="s">
        <v>1401</v>
      </c>
      <c r="BC1630">
        <v>6.3E-2</v>
      </c>
      <c r="BD1630" t="s">
        <v>65</v>
      </c>
      <c r="BE1630">
        <v>69</v>
      </c>
      <c r="BF1630">
        <v>11</v>
      </c>
      <c r="BG1630" t="s">
        <v>1149</v>
      </c>
      <c r="BH1630" t="s">
        <v>1402</v>
      </c>
      <c r="BI1630" t="s">
        <v>1403</v>
      </c>
      <c r="BJ1630">
        <v>4.1770000000000002E-2</v>
      </c>
      <c r="BK1630">
        <v>1</v>
      </c>
      <c r="BL1630" t="s">
        <v>69</v>
      </c>
      <c r="BM1630">
        <v>-0.83799999999999997</v>
      </c>
      <c r="BN1630">
        <v>-1.179</v>
      </c>
    </row>
    <row r="1631" spans="2:66">
      <c r="B1631">
        <v>2930</v>
      </c>
      <c r="C1631">
        <v>4</v>
      </c>
      <c r="D1631">
        <v>0</v>
      </c>
      <c r="E1631">
        <v>7</v>
      </c>
      <c r="F1631">
        <v>1</v>
      </c>
      <c r="J1631">
        <v>0</v>
      </c>
      <c r="K1631">
        <v>0</v>
      </c>
      <c r="L1631">
        <v>2</v>
      </c>
      <c r="M1631" t="s">
        <v>25022</v>
      </c>
      <c r="N1631">
        <v>206</v>
      </c>
      <c r="O1631" t="s">
        <v>1404</v>
      </c>
      <c r="P1631" t="s">
        <v>57</v>
      </c>
      <c r="Q1631">
        <v>228066</v>
      </c>
      <c r="R1631">
        <v>228311</v>
      </c>
      <c r="S1631" t="s">
        <v>1405</v>
      </c>
      <c r="T1631">
        <v>82</v>
      </c>
      <c r="U1631" t="s">
        <v>59</v>
      </c>
      <c r="V1631">
        <v>49</v>
      </c>
      <c r="W1631" t="str">
        <f>HYPERLINK("Gene206-zp_tree_all.dnd", "Gene206-tree")</f>
        <v>Gene206-tree</v>
      </c>
      <c r="X1631">
        <v>29</v>
      </c>
      <c r="Y1631">
        <v>6</v>
      </c>
      <c r="Z1631">
        <v>7</v>
      </c>
      <c r="AA1631">
        <v>6</v>
      </c>
      <c r="AB1631">
        <v>0.46154000000000001</v>
      </c>
      <c r="AC1631" t="s">
        <v>1406</v>
      </c>
      <c r="AD1631" t="s">
        <v>90</v>
      </c>
      <c r="AE1631" t="s">
        <v>62</v>
      </c>
      <c r="AF1631" t="s">
        <v>62</v>
      </c>
      <c r="AG1631">
        <v>1</v>
      </c>
      <c r="AH1631">
        <v>2</v>
      </c>
      <c r="AI1631">
        <v>6</v>
      </c>
      <c r="AJ1631">
        <v>0.25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6</v>
      </c>
      <c r="AT1631">
        <v>0</v>
      </c>
      <c r="AU1631">
        <v>11</v>
      </c>
      <c r="AV1631">
        <v>5</v>
      </c>
      <c r="AW1631">
        <v>8</v>
      </c>
      <c r="AX1631">
        <v>6</v>
      </c>
      <c r="AY1631">
        <v>11</v>
      </c>
      <c r="AZ1631">
        <v>2</v>
      </c>
      <c r="BA1631" t="s">
        <v>1407</v>
      </c>
      <c r="BB1631" t="s">
        <v>1408</v>
      </c>
      <c r="BC1631">
        <v>1.86</v>
      </c>
      <c r="BD1631" t="s">
        <v>65</v>
      </c>
      <c r="BE1631">
        <v>19</v>
      </c>
      <c r="BF1631">
        <v>8</v>
      </c>
      <c r="BG1631" t="s">
        <v>1409</v>
      </c>
      <c r="BH1631" t="s">
        <v>1410</v>
      </c>
      <c r="BI1631" t="s">
        <v>1411</v>
      </c>
      <c r="BJ1631">
        <v>6.905E-2</v>
      </c>
      <c r="BK1631">
        <v>1</v>
      </c>
      <c r="BL1631" t="s">
        <v>69</v>
      </c>
      <c r="BM1631">
        <v>-1.655</v>
      </c>
      <c r="BN1631">
        <v>-1.0109999999999999</v>
      </c>
    </row>
    <row r="1632" spans="2:66">
      <c r="B1632">
        <v>2931</v>
      </c>
      <c r="C1632">
        <v>177</v>
      </c>
      <c r="D1632">
        <v>0</v>
      </c>
      <c r="E1632">
        <v>2</v>
      </c>
      <c r="F1632">
        <v>0</v>
      </c>
      <c r="J1632">
        <v>0</v>
      </c>
      <c r="K1632">
        <v>0</v>
      </c>
      <c r="L1632">
        <v>0</v>
      </c>
      <c r="M1632" t="s">
        <v>25022</v>
      </c>
      <c r="N1632">
        <v>207</v>
      </c>
      <c r="O1632" t="s">
        <v>1412</v>
      </c>
      <c r="P1632" t="s">
        <v>57</v>
      </c>
      <c r="Q1632">
        <v>228331</v>
      </c>
      <c r="R1632">
        <v>228519</v>
      </c>
      <c r="S1632" t="s">
        <v>116</v>
      </c>
      <c r="T1632">
        <v>63</v>
      </c>
      <c r="U1632" t="s">
        <v>59</v>
      </c>
      <c r="V1632">
        <v>49</v>
      </c>
      <c r="W1632" t="str">
        <f>HYPERLINK("Gene207-zp_tree_all.dnd", "Gene207-tree")</f>
        <v>Gene207-tree</v>
      </c>
      <c r="X1632">
        <v>6</v>
      </c>
      <c r="Y1632">
        <v>3</v>
      </c>
      <c r="Z1632">
        <v>6</v>
      </c>
      <c r="AA1632">
        <v>3</v>
      </c>
      <c r="AB1632">
        <v>0.33333000000000002</v>
      </c>
      <c r="AC1632" t="s">
        <v>90</v>
      </c>
      <c r="AD1632" t="s">
        <v>324</v>
      </c>
      <c r="AE1632" t="s">
        <v>62</v>
      </c>
      <c r="AF1632" t="s">
        <v>62</v>
      </c>
      <c r="AG1632">
        <v>0</v>
      </c>
      <c r="AH1632">
        <v>0</v>
      </c>
      <c r="AI1632">
        <v>5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3</v>
      </c>
      <c r="AT1632">
        <v>0</v>
      </c>
      <c r="AU1632">
        <v>6</v>
      </c>
      <c r="AV1632">
        <v>5</v>
      </c>
      <c r="AW1632">
        <v>10</v>
      </c>
      <c r="AX1632">
        <v>3</v>
      </c>
      <c r="AY1632">
        <v>5</v>
      </c>
      <c r="AZ1632">
        <v>2</v>
      </c>
      <c r="BA1632" t="s">
        <v>1413</v>
      </c>
      <c r="BB1632" t="s">
        <v>1414</v>
      </c>
      <c r="BC1632">
        <v>0.27200000000000002</v>
      </c>
      <c r="BD1632" t="s">
        <v>65</v>
      </c>
      <c r="BE1632">
        <v>15</v>
      </c>
      <c r="BF1632">
        <v>5</v>
      </c>
      <c r="BG1632" t="s">
        <v>1415</v>
      </c>
      <c r="BH1632" t="s">
        <v>1416</v>
      </c>
      <c r="BI1632" t="s">
        <v>1417</v>
      </c>
      <c r="BJ1632">
        <v>9.128E-2</v>
      </c>
      <c r="BK1632">
        <v>1</v>
      </c>
      <c r="BL1632" t="s">
        <v>69</v>
      </c>
      <c r="BM1632">
        <v>-1.58</v>
      </c>
      <c r="BN1632">
        <v>-1.0189999999999999</v>
      </c>
    </row>
    <row r="1633" spans="2:66">
      <c r="B1633">
        <v>2934</v>
      </c>
      <c r="C1633">
        <v>450</v>
      </c>
      <c r="D1633">
        <v>0</v>
      </c>
      <c r="E1633">
        <v>0</v>
      </c>
      <c r="F1633">
        <v>2</v>
      </c>
      <c r="J1633">
        <v>0</v>
      </c>
      <c r="K1633">
        <v>6</v>
      </c>
      <c r="L1633">
        <v>0</v>
      </c>
      <c r="M1633" t="s">
        <v>25022</v>
      </c>
      <c r="N1633">
        <v>209</v>
      </c>
      <c r="O1633" t="s">
        <v>1425</v>
      </c>
      <c r="P1633" t="s">
        <v>57</v>
      </c>
      <c r="Q1633">
        <v>229525</v>
      </c>
      <c r="R1633">
        <v>230775</v>
      </c>
      <c r="S1633" t="s">
        <v>1426</v>
      </c>
      <c r="T1633">
        <v>417</v>
      </c>
      <c r="U1633" t="s">
        <v>108</v>
      </c>
      <c r="V1633">
        <v>44</v>
      </c>
      <c r="W1633" t="str">
        <f>HYPERLINK("Gene209-zp_tree_all.dnd", "Gene209-tree")</f>
        <v>Gene209-tree</v>
      </c>
      <c r="X1633">
        <v>2</v>
      </c>
      <c r="Y1633">
        <v>12</v>
      </c>
      <c r="Z1633">
        <v>2</v>
      </c>
      <c r="AA1633">
        <v>12</v>
      </c>
      <c r="AB1633">
        <v>0.85714000000000001</v>
      </c>
      <c r="AC1633" t="s">
        <v>81</v>
      </c>
      <c r="AD1633" t="s">
        <v>109</v>
      </c>
      <c r="AE1633" t="s">
        <v>62</v>
      </c>
      <c r="AF1633" t="s">
        <v>62</v>
      </c>
      <c r="AG1633">
        <v>3</v>
      </c>
      <c r="AH1633">
        <v>6</v>
      </c>
      <c r="AI1633">
        <v>25</v>
      </c>
      <c r="AJ1633">
        <v>0.19355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21</v>
      </c>
      <c r="AT1633">
        <v>0</v>
      </c>
      <c r="AU1633">
        <v>13</v>
      </c>
      <c r="AV1633">
        <v>10</v>
      </c>
      <c r="AW1633">
        <v>40</v>
      </c>
      <c r="AX1633">
        <v>21</v>
      </c>
      <c r="AY1633">
        <v>45</v>
      </c>
      <c r="AZ1633">
        <v>10</v>
      </c>
      <c r="BA1633" t="s">
        <v>1427</v>
      </c>
      <c r="BB1633" t="s">
        <v>1428</v>
      </c>
      <c r="BC1633">
        <v>1.093</v>
      </c>
      <c r="BD1633" t="s">
        <v>65</v>
      </c>
      <c r="BE1633">
        <v>85</v>
      </c>
      <c r="BF1633">
        <v>31</v>
      </c>
      <c r="BG1633" t="s">
        <v>1429</v>
      </c>
      <c r="BH1633" t="s">
        <v>1430</v>
      </c>
      <c r="BI1633" t="s">
        <v>1431</v>
      </c>
      <c r="BJ1633">
        <v>0.10266</v>
      </c>
      <c r="BK1633">
        <v>1</v>
      </c>
      <c r="BL1633" t="s">
        <v>69</v>
      </c>
      <c r="BM1633">
        <v>-0.65600000000000003</v>
      </c>
      <c r="BN1633">
        <v>0.76</v>
      </c>
    </row>
    <row r="1634" spans="2:66">
      <c r="B1634">
        <v>2935</v>
      </c>
      <c r="C1634">
        <v>100</v>
      </c>
      <c r="D1634">
        <v>0</v>
      </c>
      <c r="E1634">
        <v>3</v>
      </c>
      <c r="F1634">
        <v>0</v>
      </c>
      <c r="J1634">
        <v>0</v>
      </c>
      <c r="K1634">
        <v>2</v>
      </c>
      <c r="L1634">
        <v>0</v>
      </c>
      <c r="M1634" t="s">
        <v>25022</v>
      </c>
      <c r="N1634">
        <v>211</v>
      </c>
      <c r="O1634" t="s">
        <v>1438</v>
      </c>
      <c r="P1634" t="s">
        <v>57</v>
      </c>
      <c r="Q1634">
        <v>231348</v>
      </c>
      <c r="R1634">
        <v>232964</v>
      </c>
      <c r="S1634" t="s">
        <v>1439</v>
      </c>
      <c r="T1634">
        <v>539</v>
      </c>
      <c r="U1634" t="s">
        <v>108</v>
      </c>
      <c r="V1634">
        <v>44</v>
      </c>
      <c r="W1634" t="str">
        <f>HYPERLINK("Gene211-zp_tree_all.dnd", "Gene211-tree")</f>
        <v>Gene211-tree</v>
      </c>
      <c r="X1634">
        <v>11</v>
      </c>
      <c r="Y1634">
        <v>6</v>
      </c>
      <c r="Z1634">
        <v>11</v>
      </c>
      <c r="AA1634">
        <v>6</v>
      </c>
      <c r="AB1634">
        <v>0.35293999999999998</v>
      </c>
      <c r="AC1634" t="s">
        <v>73</v>
      </c>
      <c r="AD1634" t="s">
        <v>90</v>
      </c>
      <c r="AE1634" t="s">
        <v>62</v>
      </c>
      <c r="AF1634" t="s">
        <v>62</v>
      </c>
      <c r="AG1634">
        <v>1</v>
      </c>
      <c r="AH1634">
        <v>2</v>
      </c>
      <c r="AI1634">
        <v>6</v>
      </c>
      <c r="AJ1634">
        <v>0.25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6</v>
      </c>
      <c r="AT1634">
        <v>0</v>
      </c>
      <c r="AU1634">
        <v>13</v>
      </c>
      <c r="AV1634">
        <v>12</v>
      </c>
      <c r="AW1634">
        <v>62</v>
      </c>
      <c r="AX1634">
        <v>5</v>
      </c>
      <c r="AY1634">
        <v>53</v>
      </c>
      <c r="AZ1634">
        <v>3</v>
      </c>
      <c r="BA1634" t="s">
        <v>1440</v>
      </c>
      <c r="BB1634" t="s">
        <v>1441</v>
      </c>
      <c r="BC1634">
        <v>0.307</v>
      </c>
      <c r="BD1634" t="s">
        <v>65</v>
      </c>
      <c r="BE1634">
        <v>115</v>
      </c>
      <c r="BF1634">
        <v>8</v>
      </c>
      <c r="BG1634" t="s">
        <v>1442</v>
      </c>
      <c r="BH1634" t="s">
        <v>1443</v>
      </c>
      <c r="BI1634" t="s">
        <v>1444</v>
      </c>
      <c r="BJ1634">
        <v>2.0830000000000001E-2</v>
      </c>
      <c r="BK1634">
        <v>1</v>
      </c>
      <c r="BL1634" t="s">
        <v>69</v>
      </c>
      <c r="BM1634">
        <v>0.20300000000000001</v>
      </c>
      <c r="BN1634">
        <v>-0.127</v>
      </c>
    </row>
    <row r="1635" spans="2:66">
      <c r="B1635">
        <v>2936</v>
      </c>
      <c r="C1635">
        <v>139</v>
      </c>
      <c r="D1635">
        <v>0</v>
      </c>
      <c r="E1635">
        <v>2</v>
      </c>
      <c r="F1635">
        <v>0</v>
      </c>
      <c r="J1635">
        <v>0</v>
      </c>
      <c r="K1635">
        <v>0</v>
      </c>
      <c r="L1635">
        <v>0</v>
      </c>
      <c r="M1635" t="s">
        <v>25022</v>
      </c>
      <c r="N1635">
        <v>214</v>
      </c>
      <c r="O1635" t="s">
        <v>1460</v>
      </c>
      <c r="P1635" t="s">
        <v>57</v>
      </c>
      <c r="Q1635">
        <v>235625</v>
      </c>
      <c r="R1635">
        <v>235870</v>
      </c>
      <c r="S1635" t="s">
        <v>116</v>
      </c>
      <c r="T1635">
        <v>82</v>
      </c>
      <c r="U1635" t="s">
        <v>1392</v>
      </c>
      <c r="V1635">
        <v>43</v>
      </c>
      <c r="W1635" t="str">
        <f>HYPERLINK("Gene214-zp_tree_all.dnd", "Gene214-tree")</f>
        <v>Gene214-tree</v>
      </c>
      <c r="X1635">
        <v>4</v>
      </c>
      <c r="Y1635">
        <v>3</v>
      </c>
      <c r="Z1635">
        <v>4</v>
      </c>
      <c r="AA1635">
        <v>3</v>
      </c>
      <c r="AB1635">
        <v>0.42857000000000001</v>
      </c>
      <c r="AC1635" t="s">
        <v>61</v>
      </c>
      <c r="AD1635" t="s">
        <v>324</v>
      </c>
      <c r="AE1635" t="s">
        <v>62</v>
      </c>
      <c r="AF1635" t="s">
        <v>62</v>
      </c>
      <c r="AG1635">
        <v>0</v>
      </c>
      <c r="AH1635">
        <v>0</v>
      </c>
      <c r="AI1635">
        <v>3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3</v>
      </c>
      <c r="AT1635">
        <v>0</v>
      </c>
      <c r="AU1635">
        <v>5</v>
      </c>
      <c r="AV1635">
        <v>1</v>
      </c>
      <c r="AW1635">
        <v>2</v>
      </c>
      <c r="AX1635">
        <v>3</v>
      </c>
      <c r="AY1635">
        <v>1</v>
      </c>
      <c r="AZ1635">
        <v>0</v>
      </c>
      <c r="BA1635" t="s">
        <v>1461</v>
      </c>
      <c r="BB1635" t="s">
        <v>193</v>
      </c>
      <c r="BC1635">
        <v>1.032</v>
      </c>
      <c r="BD1635" t="s">
        <v>65</v>
      </c>
      <c r="BE1635">
        <v>3</v>
      </c>
      <c r="BF1635">
        <v>3</v>
      </c>
      <c r="BG1635" t="s">
        <v>1462</v>
      </c>
      <c r="BH1635" t="s">
        <v>1463</v>
      </c>
      <c r="BI1635" t="s">
        <v>1464</v>
      </c>
      <c r="BJ1635">
        <v>0.25591000000000003</v>
      </c>
      <c r="BK1635">
        <v>0.91700000000000004</v>
      </c>
      <c r="BL1635" t="s">
        <v>635</v>
      </c>
      <c r="BM1635">
        <v>-1.171</v>
      </c>
      <c r="BN1635">
        <v>-1.32</v>
      </c>
    </row>
    <row r="1636" spans="2:66">
      <c r="B1636">
        <v>2937</v>
      </c>
      <c r="C1636">
        <v>97</v>
      </c>
      <c r="D1636">
        <v>0</v>
      </c>
      <c r="E1636">
        <v>2</v>
      </c>
      <c r="F1636">
        <v>0</v>
      </c>
      <c r="J1636">
        <v>0</v>
      </c>
      <c r="K1636">
        <v>7</v>
      </c>
      <c r="L1636">
        <v>4</v>
      </c>
      <c r="M1636" t="s">
        <v>25022</v>
      </c>
      <c r="N1636">
        <v>215</v>
      </c>
      <c r="O1636" t="s">
        <v>1465</v>
      </c>
      <c r="P1636" t="s">
        <v>57</v>
      </c>
      <c r="Q1636">
        <v>235965</v>
      </c>
      <c r="R1636">
        <v>236879</v>
      </c>
      <c r="S1636" t="s">
        <v>1466</v>
      </c>
      <c r="T1636">
        <v>305</v>
      </c>
      <c r="U1636" t="s">
        <v>108</v>
      </c>
      <c r="V1636">
        <v>44</v>
      </c>
      <c r="W1636" t="str">
        <f>HYPERLINK("Gene215-zp_tree_all.dnd", "Gene215-tree")</f>
        <v>Gene215-tree</v>
      </c>
      <c r="X1636">
        <v>3</v>
      </c>
      <c r="Y1636">
        <v>9</v>
      </c>
      <c r="Z1636">
        <v>3</v>
      </c>
      <c r="AA1636">
        <v>9</v>
      </c>
      <c r="AB1636">
        <v>0.75</v>
      </c>
      <c r="AC1636" t="s">
        <v>324</v>
      </c>
      <c r="AD1636" t="s">
        <v>135</v>
      </c>
      <c r="AE1636" t="s">
        <v>62</v>
      </c>
      <c r="AF1636" t="s">
        <v>62</v>
      </c>
      <c r="AG1636">
        <v>4</v>
      </c>
      <c r="AH1636">
        <v>11</v>
      </c>
      <c r="AI1636">
        <v>15</v>
      </c>
      <c r="AJ1636">
        <v>0.42308000000000001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2</v>
      </c>
      <c r="AQ1636">
        <v>4</v>
      </c>
      <c r="AR1636">
        <v>6</v>
      </c>
      <c r="AS1636">
        <v>15</v>
      </c>
      <c r="AT1636">
        <v>0.28571000000000002</v>
      </c>
      <c r="AU1636">
        <v>9</v>
      </c>
      <c r="AV1636">
        <v>8</v>
      </c>
      <c r="AW1636">
        <v>20</v>
      </c>
      <c r="AX1636">
        <v>22</v>
      </c>
      <c r="AY1636">
        <v>19</v>
      </c>
      <c r="AZ1636">
        <v>6</v>
      </c>
      <c r="BA1636" t="s">
        <v>1467</v>
      </c>
      <c r="BB1636" t="s">
        <v>1468</v>
      </c>
      <c r="BC1636">
        <v>1.0089999999999999</v>
      </c>
      <c r="BD1636" t="s">
        <v>65</v>
      </c>
      <c r="BE1636">
        <v>39</v>
      </c>
      <c r="BF1636">
        <v>28</v>
      </c>
      <c r="BG1636" t="s">
        <v>1469</v>
      </c>
      <c r="BH1636" t="s">
        <v>1470</v>
      </c>
      <c r="BI1636" t="s">
        <v>1471</v>
      </c>
      <c r="BJ1636">
        <v>0.15554000000000001</v>
      </c>
      <c r="BK1636">
        <v>1</v>
      </c>
      <c r="BL1636" t="s">
        <v>69</v>
      </c>
      <c r="BM1636">
        <v>-0.97499999999999998</v>
      </c>
      <c r="BN1636">
        <v>-2.1190000000000002</v>
      </c>
    </row>
    <row r="1637" spans="2:66">
      <c r="B1637">
        <v>2938</v>
      </c>
      <c r="C1637">
        <v>69</v>
      </c>
      <c r="D1637">
        <v>0</v>
      </c>
      <c r="E1637">
        <v>3</v>
      </c>
      <c r="F1637">
        <v>0</v>
      </c>
      <c r="J1637">
        <v>0</v>
      </c>
      <c r="K1637">
        <v>9</v>
      </c>
      <c r="L1637">
        <v>2</v>
      </c>
      <c r="M1637" t="s">
        <v>25022</v>
      </c>
      <c r="N1637">
        <v>216</v>
      </c>
      <c r="O1637" t="s">
        <v>1472</v>
      </c>
      <c r="P1637" t="s">
        <v>57</v>
      </c>
      <c r="Q1637">
        <v>236879</v>
      </c>
      <c r="R1637">
        <v>238126</v>
      </c>
      <c r="S1637" t="s">
        <v>1473</v>
      </c>
      <c r="T1637">
        <v>416</v>
      </c>
      <c r="U1637" t="s">
        <v>108</v>
      </c>
      <c r="V1637">
        <v>44</v>
      </c>
      <c r="W1637" t="str">
        <f>HYPERLINK("Gene216-zp_tree_all.dnd", "Gene216-tree")</f>
        <v>Gene216-tree</v>
      </c>
      <c r="X1637">
        <v>3</v>
      </c>
      <c r="Y1637">
        <v>30</v>
      </c>
      <c r="Z1637">
        <v>3</v>
      </c>
      <c r="AA1637">
        <v>10</v>
      </c>
      <c r="AB1637">
        <v>0.76922999999999997</v>
      </c>
      <c r="AC1637" t="s">
        <v>324</v>
      </c>
      <c r="AD1637" t="s">
        <v>250</v>
      </c>
      <c r="AE1637">
        <v>1.494</v>
      </c>
      <c r="AF1637" t="s">
        <v>65</v>
      </c>
      <c r="AG1637">
        <v>5</v>
      </c>
      <c r="AH1637">
        <v>11</v>
      </c>
      <c r="AI1637">
        <v>16</v>
      </c>
      <c r="AJ1637">
        <v>0.40740999999999999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4</v>
      </c>
      <c r="AQ1637">
        <v>0</v>
      </c>
      <c r="AR1637">
        <v>4</v>
      </c>
      <c r="AS1637">
        <v>16</v>
      </c>
      <c r="AT1637">
        <v>0.2</v>
      </c>
      <c r="AU1637">
        <v>11</v>
      </c>
      <c r="AV1637">
        <v>10</v>
      </c>
      <c r="AW1637">
        <v>44</v>
      </c>
      <c r="AX1637">
        <v>18</v>
      </c>
      <c r="AY1637">
        <v>34</v>
      </c>
      <c r="AZ1637">
        <v>10</v>
      </c>
      <c r="BA1637" t="s">
        <v>1474</v>
      </c>
      <c r="BB1637" t="s">
        <v>1475</v>
      </c>
      <c r="BC1637">
        <v>0.33600000000000002</v>
      </c>
      <c r="BD1637" t="s">
        <v>65</v>
      </c>
      <c r="BE1637">
        <v>78</v>
      </c>
      <c r="BF1637">
        <v>28</v>
      </c>
      <c r="BG1637" t="s">
        <v>1476</v>
      </c>
      <c r="BH1637" t="s">
        <v>1477</v>
      </c>
      <c r="BI1637" t="s">
        <v>1478</v>
      </c>
      <c r="BJ1637">
        <v>0.12230000000000001</v>
      </c>
      <c r="BK1637">
        <v>1</v>
      </c>
      <c r="BL1637" t="s">
        <v>69</v>
      </c>
      <c r="BM1637">
        <v>-0.91800000000000004</v>
      </c>
      <c r="BN1637">
        <v>-1.9730000000000001</v>
      </c>
    </row>
    <row r="1638" spans="2:66">
      <c r="B1638">
        <v>2940</v>
      </c>
      <c r="C1638">
        <v>120</v>
      </c>
      <c r="D1638">
        <v>0</v>
      </c>
      <c r="E1638">
        <v>8</v>
      </c>
      <c r="F1638">
        <v>0</v>
      </c>
      <c r="J1638">
        <v>0</v>
      </c>
      <c r="K1638">
        <v>9</v>
      </c>
      <c r="L1638">
        <v>0</v>
      </c>
      <c r="M1638" t="s">
        <v>25022</v>
      </c>
      <c r="N1638">
        <v>223</v>
      </c>
      <c r="O1638" t="s">
        <v>1508</v>
      </c>
      <c r="P1638" t="s">
        <v>57</v>
      </c>
      <c r="Q1638">
        <v>243892</v>
      </c>
      <c r="R1638">
        <v>245043</v>
      </c>
      <c r="S1638" t="s">
        <v>1509</v>
      </c>
      <c r="T1638">
        <v>384</v>
      </c>
      <c r="U1638" t="s">
        <v>108</v>
      </c>
      <c r="V1638">
        <v>44</v>
      </c>
      <c r="W1638" t="str">
        <f>HYPERLINK("Gene223-zp_tree_all.dnd", "Gene223-tree")</f>
        <v>Gene223-tree</v>
      </c>
      <c r="X1638">
        <v>6</v>
      </c>
      <c r="Y1638">
        <v>9</v>
      </c>
      <c r="Z1638">
        <v>6</v>
      </c>
      <c r="AA1638">
        <v>9</v>
      </c>
      <c r="AB1638">
        <v>0.6</v>
      </c>
      <c r="AC1638" t="s">
        <v>90</v>
      </c>
      <c r="AD1638" t="s">
        <v>135</v>
      </c>
      <c r="AE1638" t="s">
        <v>62</v>
      </c>
      <c r="AF1638" t="s">
        <v>62</v>
      </c>
      <c r="AG1638">
        <v>4</v>
      </c>
      <c r="AH1638">
        <v>9</v>
      </c>
      <c r="AI1638">
        <v>18</v>
      </c>
      <c r="AJ1638">
        <v>0.33333000000000002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8</v>
      </c>
      <c r="AQ1638">
        <v>0</v>
      </c>
      <c r="AR1638">
        <v>8</v>
      </c>
      <c r="AS1638">
        <v>14</v>
      </c>
      <c r="AT1638">
        <v>0.36364000000000002</v>
      </c>
      <c r="AU1638">
        <v>13</v>
      </c>
      <c r="AV1638">
        <v>11</v>
      </c>
      <c r="AW1638">
        <v>43</v>
      </c>
      <c r="AX1638">
        <v>22</v>
      </c>
      <c r="AY1638">
        <v>36</v>
      </c>
      <c r="AZ1638">
        <v>5</v>
      </c>
      <c r="BA1638" t="s">
        <v>1510</v>
      </c>
      <c r="BB1638" t="s">
        <v>1511</v>
      </c>
      <c r="BC1638">
        <v>1.6160000000000001</v>
      </c>
      <c r="BD1638" t="s">
        <v>65</v>
      </c>
      <c r="BE1638">
        <v>79</v>
      </c>
      <c r="BF1638">
        <v>27</v>
      </c>
      <c r="BG1638" t="s">
        <v>1512</v>
      </c>
      <c r="BH1638" t="s">
        <v>1513</v>
      </c>
      <c r="BI1638" t="s">
        <v>1514</v>
      </c>
      <c r="BJ1638">
        <v>9.9750000000000005E-2</v>
      </c>
      <c r="BK1638">
        <v>1</v>
      </c>
      <c r="BL1638" t="s">
        <v>69</v>
      </c>
      <c r="BM1638">
        <v>-0.245</v>
      </c>
      <c r="BN1638">
        <v>-1.1439999999999999</v>
      </c>
    </row>
    <row r="1639" spans="2:66">
      <c r="B1639">
        <v>2941</v>
      </c>
      <c r="C1639">
        <v>304</v>
      </c>
      <c r="D1639">
        <v>0</v>
      </c>
      <c r="E1639">
        <v>4</v>
      </c>
      <c r="F1639">
        <v>0</v>
      </c>
      <c r="J1639">
        <v>0</v>
      </c>
      <c r="K1639">
        <v>2</v>
      </c>
      <c r="L1639">
        <v>0</v>
      </c>
      <c r="M1639" t="s">
        <v>25022</v>
      </c>
      <c r="N1639">
        <v>224</v>
      </c>
      <c r="O1639" t="s">
        <v>1515</v>
      </c>
      <c r="P1639" t="s">
        <v>57</v>
      </c>
      <c r="Q1639">
        <v>245190</v>
      </c>
      <c r="R1639">
        <v>246128</v>
      </c>
      <c r="S1639" t="s">
        <v>1516</v>
      </c>
      <c r="T1639">
        <v>313</v>
      </c>
      <c r="U1639" t="s">
        <v>108</v>
      </c>
      <c r="V1639">
        <v>44</v>
      </c>
      <c r="W1639" t="str">
        <f>HYPERLINK("Gene224-zp_tree_all.dnd", "Gene224-tree")</f>
        <v>Gene224-tree</v>
      </c>
      <c r="X1639">
        <v>10</v>
      </c>
      <c r="Y1639">
        <v>4</v>
      </c>
      <c r="Z1639">
        <v>10</v>
      </c>
      <c r="AA1639">
        <v>4</v>
      </c>
      <c r="AB1639">
        <v>0.28571000000000002</v>
      </c>
      <c r="AC1639" t="s">
        <v>117</v>
      </c>
      <c r="AD1639" t="s">
        <v>61</v>
      </c>
      <c r="AE1639" t="s">
        <v>62</v>
      </c>
      <c r="AF1639" t="s">
        <v>62</v>
      </c>
      <c r="AG1639">
        <v>1</v>
      </c>
      <c r="AH1639">
        <v>2</v>
      </c>
      <c r="AI1639">
        <v>9</v>
      </c>
      <c r="AJ1639">
        <v>0.18182000000000001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6</v>
      </c>
      <c r="AT1639">
        <v>0</v>
      </c>
      <c r="AU1639">
        <v>13</v>
      </c>
      <c r="AV1639">
        <v>10</v>
      </c>
      <c r="AW1639">
        <v>39</v>
      </c>
      <c r="AX1639">
        <v>6</v>
      </c>
      <c r="AY1639">
        <v>18</v>
      </c>
      <c r="AZ1639">
        <v>5</v>
      </c>
      <c r="BA1639" t="s">
        <v>1517</v>
      </c>
      <c r="BB1639" t="s">
        <v>1518</v>
      </c>
      <c r="BC1639">
        <v>0.34100000000000003</v>
      </c>
      <c r="BD1639" t="s">
        <v>65</v>
      </c>
      <c r="BE1639">
        <v>57</v>
      </c>
      <c r="BF1639">
        <v>11</v>
      </c>
      <c r="BG1639" t="s">
        <v>1519</v>
      </c>
      <c r="BH1639" t="s">
        <v>1520</v>
      </c>
      <c r="BI1639" t="s">
        <v>1521</v>
      </c>
      <c r="BJ1639">
        <v>7.7579999999999996E-2</v>
      </c>
      <c r="BK1639">
        <v>1</v>
      </c>
      <c r="BL1639" t="s">
        <v>69</v>
      </c>
      <c r="BM1639">
        <v>-0.84099999999999997</v>
      </c>
      <c r="BN1639">
        <v>-1.161</v>
      </c>
    </row>
    <row r="1640" spans="2:66">
      <c r="B1640">
        <v>2942</v>
      </c>
      <c r="C1640">
        <v>185</v>
      </c>
      <c r="D1640">
        <v>0</v>
      </c>
      <c r="E1640">
        <v>7</v>
      </c>
      <c r="F1640">
        <v>0</v>
      </c>
      <c r="J1640">
        <v>0</v>
      </c>
      <c r="K1640">
        <v>2</v>
      </c>
      <c r="L1640">
        <v>0</v>
      </c>
      <c r="M1640" t="s">
        <v>25022</v>
      </c>
      <c r="N1640">
        <v>225</v>
      </c>
      <c r="O1640" t="s">
        <v>1522</v>
      </c>
      <c r="P1640" t="s">
        <v>57</v>
      </c>
      <c r="Q1640">
        <v>246094</v>
      </c>
      <c r="R1640">
        <v>246489</v>
      </c>
      <c r="S1640" t="s">
        <v>1523</v>
      </c>
      <c r="T1640">
        <v>132</v>
      </c>
      <c r="U1640" t="s">
        <v>108</v>
      </c>
      <c r="V1640">
        <v>44</v>
      </c>
      <c r="W1640" t="str">
        <f>HYPERLINK("Gene225-zp_tree_all.dnd", "Gene225-tree")</f>
        <v>Gene225-tree</v>
      </c>
      <c r="X1640">
        <v>7</v>
      </c>
      <c r="Y1640">
        <v>5</v>
      </c>
      <c r="Z1640">
        <v>7</v>
      </c>
      <c r="AA1640">
        <v>5</v>
      </c>
      <c r="AB1640">
        <v>0.41666999999999998</v>
      </c>
      <c r="AC1640" t="s">
        <v>152</v>
      </c>
      <c r="AD1640" t="s">
        <v>199</v>
      </c>
      <c r="AE1640" t="s">
        <v>62</v>
      </c>
      <c r="AF1640" t="s">
        <v>62</v>
      </c>
      <c r="AG1640">
        <v>1</v>
      </c>
      <c r="AH1640">
        <v>2</v>
      </c>
      <c r="AI1640">
        <v>6</v>
      </c>
      <c r="AJ1640">
        <v>0.25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6</v>
      </c>
      <c r="AT1640">
        <v>0</v>
      </c>
      <c r="AU1640">
        <v>7</v>
      </c>
      <c r="AV1640">
        <v>5</v>
      </c>
      <c r="AW1640">
        <v>5</v>
      </c>
      <c r="AX1640">
        <v>5</v>
      </c>
      <c r="AY1640">
        <v>6</v>
      </c>
      <c r="AZ1640">
        <v>3</v>
      </c>
      <c r="BA1640" t="s">
        <v>1524</v>
      </c>
      <c r="BB1640" t="s">
        <v>1525</v>
      </c>
      <c r="BC1640">
        <v>0.80700000000000005</v>
      </c>
      <c r="BD1640" t="s">
        <v>65</v>
      </c>
      <c r="BE1640">
        <v>11</v>
      </c>
      <c r="BF1640">
        <v>8</v>
      </c>
      <c r="BG1640" t="s">
        <v>1526</v>
      </c>
      <c r="BH1640" t="s">
        <v>1527</v>
      </c>
      <c r="BI1640" t="s">
        <v>1528</v>
      </c>
      <c r="BJ1640">
        <v>0.21611</v>
      </c>
      <c r="BK1640">
        <v>0.97</v>
      </c>
      <c r="BL1640" t="s">
        <v>69</v>
      </c>
      <c r="BM1640">
        <v>-0.59</v>
      </c>
      <c r="BN1640">
        <v>-0.19600000000000001</v>
      </c>
    </row>
    <row r="1641" spans="2:66">
      <c r="B1641">
        <v>2943</v>
      </c>
      <c r="C1641">
        <v>283</v>
      </c>
      <c r="D1641">
        <v>0</v>
      </c>
      <c r="E1641">
        <v>2</v>
      </c>
      <c r="F1641">
        <v>2</v>
      </c>
      <c r="J1641">
        <v>0</v>
      </c>
      <c r="K1641">
        <v>16</v>
      </c>
      <c r="L1641">
        <v>1</v>
      </c>
      <c r="M1641" t="s">
        <v>25022</v>
      </c>
      <c r="N1641">
        <v>226</v>
      </c>
      <c r="O1641" t="s">
        <v>1529</v>
      </c>
      <c r="P1641" t="s">
        <v>57</v>
      </c>
      <c r="Q1641">
        <v>246658</v>
      </c>
      <c r="R1641">
        <v>247545</v>
      </c>
      <c r="S1641" t="s">
        <v>1530</v>
      </c>
      <c r="T1641">
        <v>296</v>
      </c>
      <c r="U1641" t="s">
        <v>108</v>
      </c>
      <c r="V1641">
        <v>44</v>
      </c>
      <c r="W1641" t="str">
        <f>HYPERLINK("Gene226-zp_tree_all.dnd", "Gene226-tree")</f>
        <v>Gene226-tree</v>
      </c>
      <c r="X1641">
        <v>1</v>
      </c>
      <c r="Y1641">
        <v>11</v>
      </c>
      <c r="Z1641">
        <v>1</v>
      </c>
      <c r="AA1641">
        <v>11</v>
      </c>
      <c r="AB1641">
        <v>0.91666999999999998</v>
      </c>
      <c r="AC1641" t="s">
        <v>175</v>
      </c>
      <c r="AD1641" t="s">
        <v>73</v>
      </c>
      <c r="AE1641">
        <v>1144612630.289</v>
      </c>
      <c r="AF1641" t="s">
        <v>267</v>
      </c>
      <c r="AG1641">
        <v>7</v>
      </c>
      <c r="AH1641">
        <v>17</v>
      </c>
      <c r="AI1641">
        <v>11</v>
      </c>
      <c r="AJ1641">
        <v>0.60714000000000001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12</v>
      </c>
      <c r="AQ1641">
        <v>1</v>
      </c>
      <c r="AR1641">
        <v>13</v>
      </c>
      <c r="AS1641">
        <v>11</v>
      </c>
      <c r="AT1641">
        <v>0.54166999999999998</v>
      </c>
      <c r="AU1641">
        <v>9</v>
      </c>
      <c r="AV1641">
        <v>7</v>
      </c>
      <c r="AW1641">
        <v>26</v>
      </c>
      <c r="AX1641">
        <v>20</v>
      </c>
      <c r="AY1641">
        <v>4</v>
      </c>
      <c r="AZ1641">
        <v>8</v>
      </c>
      <c r="BA1641" t="s">
        <v>1531</v>
      </c>
      <c r="BB1641" t="s">
        <v>1532</v>
      </c>
      <c r="BC1641">
        <v>0.747</v>
      </c>
      <c r="BD1641" t="s">
        <v>65</v>
      </c>
      <c r="BE1641">
        <v>30</v>
      </c>
      <c r="BF1641">
        <v>28</v>
      </c>
      <c r="BG1641" t="s">
        <v>1533</v>
      </c>
      <c r="BH1641" t="s">
        <v>1534</v>
      </c>
      <c r="BI1641" t="s">
        <v>1535</v>
      </c>
      <c r="BJ1641">
        <v>0.28991</v>
      </c>
      <c r="BK1641">
        <v>1</v>
      </c>
      <c r="BL1641" t="s">
        <v>69</v>
      </c>
      <c r="BM1641">
        <v>-0.44400000000000001</v>
      </c>
      <c r="BN1641">
        <v>-2.15</v>
      </c>
    </row>
    <row r="1642" spans="2:66">
      <c r="B1642">
        <v>2944</v>
      </c>
      <c r="C1642">
        <v>211</v>
      </c>
      <c r="D1642">
        <v>0</v>
      </c>
      <c r="E1642">
        <v>4</v>
      </c>
      <c r="F1642">
        <v>0</v>
      </c>
      <c r="J1642">
        <v>0</v>
      </c>
      <c r="K1642">
        <v>0</v>
      </c>
      <c r="L1642">
        <v>0</v>
      </c>
      <c r="M1642" t="s">
        <v>25022</v>
      </c>
      <c r="N1642">
        <v>227</v>
      </c>
      <c r="O1642" t="s">
        <v>1536</v>
      </c>
      <c r="P1642" t="s">
        <v>57</v>
      </c>
      <c r="Q1642">
        <v>247744</v>
      </c>
      <c r="R1642">
        <v>248274</v>
      </c>
      <c r="S1642" t="s">
        <v>1537</v>
      </c>
      <c r="T1642">
        <v>177</v>
      </c>
      <c r="U1642" t="s">
        <v>108</v>
      </c>
      <c r="V1642">
        <v>44</v>
      </c>
      <c r="W1642" t="str">
        <f>HYPERLINK("Gene227-zp_tree_all.dnd", "Gene227-tree")</f>
        <v>Gene227-tree</v>
      </c>
      <c r="X1642">
        <v>7</v>
      </c>
      <c r="Y1642">
        <v>2</v>
      </c>
      <c r="Z1642">
        <v>7</v>
      </c>
      <c r="AA1642">
        <v>2</v>
      </c>
      <c r="AB1642">
        <v>0.22222</v>
      </c>
      <c r="AC1642" t="s">
        <v>152</v>
      </c>
      <c r="AD1642" t="s">
        <v>81</v>
      </c>
      <c r="AE1642" t="s">
        <v>62</v>
      </c>
      <c r="AF1642" t="s">
        <v>62</v>
      </c>
      <c r="AG1642">
        <v>0</v>
      </c>
      <c r="AH1642">
        <v>0</v>
      </c>
      <c r="AI1642">
        <v>3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</v>
      </c>
      <c r="AT1642">
        <v>0</v>
      </c>
      <c r="AU1642">
        <v>7</v>
      </c>
      <c r="AV1642">
        <v>5</v>
      </c>
      <c r="AW1642">
        <v>9</v>
      </c>
      <c r="AX1642">
        <v>2</v>
      </c>
      <c r="AY1642">
        <v>5</v>
      </c>
      <c r="AZ1642">
        <v>1</v>
      </c>
      <c r="BA1642" t="s">
        <v>1538</v>
      </c>
      <c r="BB1642" t="s">
        <v>1539</v>
      </c>
      <c r="BC1642">
        <v>4.9000000000000002E-2</v>
      </c>
      <c r="BD1642" t="s">
        <v>65</v>
      </c>
      <c r="BE1642">
        <v>14</v>
      </c>
      <c r="BF1642">
        <v>3</v>
      </c>
      <c r="BG1642" t="s">
        <v>1540</v>
      </c>
      <c r="BH1642" t="s">
        <v>1541</v>
      </c>
      <c r="BI1642" t="s">
        <v>1542</v>
      </c>
      <c r="BJ1642">
        <v>8.6749999999999994E-2</v>
      </c>
      <c r="BK1642">
        <v>1</v>
      </c>
      <c r="BL1642" t="s">
        <v>69</v>
      </c>
      <c r="BM1642">
        <v>0.433</v>
      </c>
      <c r="BN1642">
        <v>-0.78600000000000003</v>
      </c>
    </row>
    <row r="1643" spans="2:66">
      <c r="B1643">
        <v>2945</v>
      </c>
      <c r="C1643">
        <v>184</v>
      </c>
      <c r="D1643">
        <v>0</v>
      </c>
      <c r="E1643">
        <v>12</v>
      </c>
      <c r="F1643">
        <v>3</v>
      </c>
      <c r="J1643">
        <v>0</v>
      </c>
      <c r="K1643">
        <v>0</v>
      </c>
      <c r="L1643">
        <v>0</v>
      </c>
      <c r="M1643" t="s">
        <v>25022</v>
      </c>
      <c r="N1643">
        <v>228</v>
      </c>
      <c r="O1643" t="s">
        <v>1543</v>
      </c>
      <c r="P1643" t="s">
        <v>57</v>
      </c>
      <c r="Q1643">
        <v>248268</v>
      </c>
      <c r="R1643">
        <v>248753</v>
      </c>
      <c r="S1643" t="s">
        <v>1544</v>
      </c>
      <c r="T1643">
        <v>162</v>
      </c>
      <c r="U1643" t="s">
        <v>108</v>
      </c>
      <c r="V1643">
        <v>44</v>
      </c>
      <c r="W1643" t="str">
        <f>HYPERLINK("Gene228-zp_tree_all.dnd", "Gene228-tree")</f>
        <v>Gene228-tree</v>
      </c>
      <c r="X1643">
        <v>10</v>
      </c>
      <c r="Y1643">
        <v>1</v>
      </c>
      <c r="Z1643">
        <v>10</v>
      </c>
      <c r="AA1643">
        <v>1</v>
      </c>
      <c r="AB1643">
        <v>9.0910000000000005E-2</v>
      </c>
      <c r="AC1643" t="s">
        <v>117</v>
      </c>
      <c r="AD1643" t="s">
        <v>175</v>
      </c>
      <c r="AE1643" t="s">
        <v>62</v>
      </c>
      <c r="AF1643" t="s">
        <v>62</v>
      </c>
      <c r="AG1643">
        <v>0</v>
      </c>
      <c r="AH1643">
        <v>0</v>
      </c>
      <c r="AI1643">
        <v>2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0</v>
      </c>
      <c r="AU1643">
        <v>7</v>
      </c>
      <c r="AV1643">
        <v>6</v>
      </c>
      <c r="AW1643">
        <v>16</v>
      </c>
      <c r="AX1643">
        <v>2</v>
      </c>
      <c r="AY1643">
        <v>8</v>
      </c>
      <c r="AZ1643">
        <v>0</v>
      </c>
      <c r="BA1643" t="s">
        <v>1545</v>
      </c>
      <c r="BB1643" t="s">
        <v>193</v>
      </c>
      <c r="BC1643">
        <v>0.41499999999999998</v>
      </c>
      <c r="BD1643" t="s">
        <v>65</v>
      </c>
      <c r="BE1643">
        <v>24</v>
      </c>
      <c r="BF1643">
        <v>2</v>
      </c>
      <c r="BG1643" t="s">
        <v>1546</v>
      </c>
      <c r="BH1643" t="s">
        <v>1547</v>
      </c>
      <c r="BI1643" t="s">
        <v>1548</v>
      </c>
      <c r="BJ1643">
        <v>2.6079999999999999E-2</v>
      </c>
      <c r="BK1643">
        <v>1</v>
      </c>
      <c r="BL1643" t="s">
        <v>69</v>
      </c>
      <c r="BM1643">
        <v>-0.66</v>
      </c>
      <c r="BN1643">
        <v>-2.2389999999999999</v>
      </c>
    </row>
    <row r="1644" spans="2:66">
      <c r="B1644">
        <v>2948</v>
      </c>
      <c r="C1644">
        <v>249</v>
      </c>
      <c r="D1644">
        <v>0</v>
      </c>
      <c r="E1644">
        <v>7</v>
      </c>
      <c r="F1644">
        <v>0</v>
      </c>
      <c r="J1644">
        <v>0</v>
      </c>
      <c r="K1644">
        <v>9</v>
      </c>
      <c r="L1644">
        <v>0</v>
      </c>
      <c r="M1644" t="s">
        <v>25022</v>
      </c>
      <c r="N1644">
        <v>229</v>
      </c>
      <c r="O1644" t="s">
        <v>1549</v>
      </c>
      <c r="P1644" t="s">
        <v>57</v>
      </c>
      <c r="Q1644">
        <v>248749</v>
      </c>
      <c r="R1644">
        <v>249537</v>
      </c>
      <c r="S1644" t="s">
        <v>1550</v>
      </c>
      <c r="T1644">
        <v>263</v>
      </c>
      <c r="U1644" t="s">
        <v>108</v>
      </c>
      <c r="V1644">
        <v>44</v>
      </c>
      <c r="W1644" t="str">
        <f>HYPERLINK("Gene229-zp_tree_all.dnd", "Gene229-tree")</f>
        <v>Gene229-tree</v>
      </c>
      <c r="X1644">
        <v>12</v>
      </c>
      <c r="Y1644">
        <v>5</v>
      </c>
      <c r="Z1644">
        <v>12</v>
      </c>
      <c r="AA1644">
        <v>5</v>
      </c>
      <c r="AB1644">
        <v>0.29411999999999999</v>
      </c>
      <c r="AC1644" t="s">
        <v>109</v>
      </c>
      <c r="AD1644" t="s">
        <v>199</v>
      </c>
      <c r="AE1644" t="s">
        <v>62</v>
      </c>
      <c r="AF1644" t="s">
        <v>62</v>
      </c>
      <c r="AG1644">
        <v>4</v>
      </c>
      <c r="AH1644">
        <v>9</v>
      </c>
      <c r="AI1644">
        <v>5</v>
      </c>
      <c r="AJ1644">
        <v>0.64285999999999999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8</v>
      </c>
      <c r="AT1644">
        <v>0</v>
      </c>
      <c r="AU1644">
        <v>14</v>
      </c>
      <c r="AV1644">
        <v>12</v>
      </c>
      <c r="AW1644">
        <v>47</v>
      </c>
      <c r="AX1644">
        <v>8</v>
      </c>
      <c r="AY1644">
        <v>32</v>
      </c>
      <c r="AZ1644">
        <v>6</v>
      </c>
      <c r="BA1644" t="s">
        <v>1551</v>
      </c>
      <c r="BB1644" t="s">
        <v>1552</v>
      </c>
      <c r="BC1644">
        <v>7.0999999999999994E-2</v>
      </c>
      <c r="BD1644" t="s">
        <v>65</v>
      </c>
      <c r="BE1644">
        <v>79</v>
      </c>
      <c r="BF1644">
        <v>14</v>
      </c>
      <c r="BG1644" t="s">
        <v>1553</v>
      </c>
      <c r="BH1644" t="s">
        <v>1554</v>
      </c>
      <c r="BI1644" t="s">
        <v>1555</v>
      </c>
      <c r="BJ1644">
        <v>6.6259999999999999E-2</v>
      </c>
      <c r="BK1644">
        <v>1</v>
      </c>
      <c r="BL1644" t="s">
        <v>69</v>
      </c>
      <c r="BM1644">
        <v>-0.245</v>
      </c>
      <c r="BN1644">
        <v>-1.9790000000000001</v>
      </c>
    </row>
    <row r="1645" spans="2:66">
      <c r="B1645">
        <v>2949</v>
      </c>
      <c r="C1645">
        <v>25</v>
      </c>
      <c r="D1645">
        <v>0</v>
      </c>
      <c r="E1645">
        <v>4</v>
      </c>
      <c r="F1645">
        <v>0</v>
      </c>
      <c r="J1645">
        <v>0</v>
      </c>
      <c r="K1645">
        <v>2</v>
      </c>
      <c r="L1645">
        <v>2</v>
      </c>
      <c r="M1645" t="s">
        <v>25022</v>
      </c>
      <c r="N1645">
        <v>230</v>
      </c>
      <c r="O1645" t="s">
        <v>1556</v>
      </c>
      <c r="P1645" t="s">
        <v>57</v>
      </c>
      <c r="Q1645">
        <v>249595</v>
      </c>
      <c r="R1645">
        <v>249870</v>
      </c>
      <c r="S1645" t="s">
        <v>116</v>
      </c>
      <c r="T1645">
        <v>92</v>
      </c>
      <c r="U1645" t="s">
        <v>1557</v>
      </c>
      <c r="V1645">
        <v>40</v>
      </c>
      <c r="W1645" t="str">
        <f>HYPERLINK("Gene230-zp_tree_all.dnd", "Gene230-tree")</f>
        <v>Gene230-tree</v>
      </c>
      <c r="X1645">
        <v>1</v>
      </c>
      <c r="Y1645">
        <v>10</v>
      </c>
      <c r="Z1645">
        <v>1</v>
      </c>
      <c r="AA1645">
        <v>10</v>
      </c>
      <c r="AB1645">
        <v>0.90908999999999995</v>
      </c>
      <c r="AC1645" t="s">
        <v>175</v>
      </c>
      <c r="AD1645" t="s">
        <v>117</v>
      </c>
      <c r="AE1645" t="s">
        <v>62</v>
      </c>
      <c r="AF1645" t="s">
        <v>62</v>
      </c>
      <c r="AG1645">
        <v>2</v>
      </c>
      <c r="AH1645">
        <v>4</v>
      </c>
      <c r="AI1645">
        <v>8</v>
      </c>
      <c r="AJ1645">
        <v>0.33333000000000002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2</v>
      </c>
      <c r="AQ1645">
        <v>2</v>
      </c>
      <c r="AR1645">
        <v>4</v>
      </c>
      <c r="AS1645">
        <v>6</v>
      </c>
      <c r="AT1645">
        <v>0.4</v>
      </c>
      <c r="AU1645">
        <v>7</v>
      </c>
      <c r="AV1645">
        <v>5</v>
      </c>
      <c r="AW1645">
        <v>10</v>
      </c>
      <c r="AX1645">
        <v>7</v>
      </c>
      <c r="AY1645">
        <v>2</v>
      </c>
      <c r="AZ1645">
        <v>5</v>
      </c>
      <c r="BA1645" t="s">
        <v>1558</v>
      </c>
      <c r="BB1645" t="s">
        <v>1559</v>
      </c>
      <c r="BC1645">
        <v>1.0589999999999999</v>
      </c>
      <c r="BD1645" t="s">
        <v>65</v>
      </c>
      <c r="BE1645">
        <v>12</v>
      </c>
      <c r="BF1645">
        <v>12</v>
      </c>
      <c r="BG1645" t="s">
        <v>1560</v>
      </c>
      <c r="BH1645" t="s">
        <v>1561</v>
      </c>
      <c r="BI1645" t="s">
        <v>1562</v>
      </c>
      <c r="BJ1645">
        <v>0.30567</v>
      </c>
      <c r="BK1645">
        <v>0.95</v>
      </c>
      <c r="BL1645" t="s">
        <v>635</v>
      </c>
      <c r="BM1645">
        <v>-0.79400000000000004</v>
      </c>
      <c r="BN1645">
        <v>-1.637</v>
      </c>
    </row>
    <row r="1646" spans="2:66">
      <c r="B1646">
        <v>2950</v>
      </c>
      <c r="C1646">
        <v>139</v>
      </c>
      <c r="D1646">
        <v>0</v>
      </c>
      <c r="E1646">
        <v>2</v>
      </c>
      <c r="F1646">
        <v>2</v>
      </c>
      <c r="J1646">
        <v>0</v>
      </c>
      <c r="K1646">
        <v>21</v>
      </c>
      <c r="L1646">
        <v>8</v>
      </c>
      <c r="M1646" t="s">
        <v>25022</v>
      </c>
      <c r="N1646">
        <v>231</v>
      </c>
      <c r="O1646" t="s">
        <v>1563</v>
      </c>
      <c r="P1646" t="s">
        <v>57</v>
      </c>
      <c r="Q1646">
        <v>249979</v>
      </c>
      <c r="R1646">
        <v>251316</v>
      </c>
      <c r="S1646" t="s">
        <v>1564</v>
      </c>
      <c r="T1646">
        <v>446</v>
      </c>
      <c r="U1646" t="s">
        <v>1565</v>
      </c>
      <c r="V1646">
        <v>41</v>
      </c>
      <c r="W1646" t="str">
        <f>HYPERLINK("Gene231-zp_tree_all.dnd", "Gene231-tree")</f>
        <v>Gene231-tree</v>
      </c>
      <c r="X1646">
        <v>2</v>
      </c>
      <c r="Y1646">
        <v>11</v>
      </c>
      <c r="Z1646">
        <v>2</v>
      </c>
      <c r="AA1646">
        <v>11</v>
      </c>
      <c r="AB1646">
        <v>0.84614999999999996</v>
      </c>
      <c r="AC1646" t="s">
        <v>81</v>
      </c>
      <c r="AD1646" t="s">
        <v>73</v>
      </c>
      <c r="AE1646">
        <v>515075683.63</v>
      </c>
      <c r="AF1646" t="s">
        <v>267</v>
      </c>
      <c r="AG1646">
        <v>12</v>
      </c>
      <c r="AH1646">
        <v>29</v>
      </c>
      <c r="AI1646">
        <v>31</v>
      </c>
      <c r="AJ1646">
        <v>0.48332999999999998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8</v>
      </c>
      <c r="AQ1646">
        <v>7</v>
      </c>
      <c r="AR1646">
        <v>15</v>
      </c>
      <c r="AS1646">
        <v>25</v>
      </c>
      <c r="AT1646">
        <v>0.375</v>
      </c>
      <c r="AU1646">
        <v>11</v>
      </c>
      <c r="AV1646">
        <v>10</v>
      </c>
      <c r="AW1646">
        <v>36</v>
      </c>
      <c r="AX1646">
        <v>39</v>
      </c>
      <c r="AY1646">
        <v>84</v>
      </c>
      <c r="AZ1646">
        <v>25</v>
      </c>
      <c r="BA1646" t="s">
        <v>1566</v>
      </c>
      <c r="BB1646" t="s">
        <v>1567</v>
      </c>
      <c r="BC1646">
        <v>0.42299999999999999</v>
      </c>
      <c r="BD1646" t="s">
        <v>65</v>
      </c>
      <c r="BE1646">
        <v>120</v>
      </c>
      <c r="BF1646">
        <v>64</v>
      </c>
      <c r="BG1646" t="s">
        <v>1568</v>
      </c>
      <c r="BH1646" t="s">
        <v>1569</v>
      </c>
      <c r="BI1646" t="s">
        <v>1570</v>
      </c>
      <c r="BJ1646">
        <v>0.13128000000000001</v>
      </c>
      <c r="BK1646">
        <v>1</v>
      </c>
      <c r="BL1646" t="s">
        <v>69</v>
      </c>
      <c r="BM1646">
        <v>0.23300000000000001</v>
      </c>
      <c r="BN1646">
        <v>-0.373</v>
      </c>
    </row>
    <row r="1647" spans="2:66">
      <c r="B1647">
        <v>2951</v>
      </c>
      <c r="C1647">
        <v>94</v>
      </c>
      <c r="D1647">
        <v>0</v>
      </c>
      <c r="E1647">
        <v>4</v>
      </c>
      <c r="F1647">
        <v>0</v>
      </c>
      <c r="J1647">
        <v>0</v>
      </c>
      <c r="K1647">
        <v>0</v>
      </c>
      <c r="L1647">
        <v>0</v>
      </c>
      <c r="M1647" t="s">
        <v>25022</v>
      </c>
      <c r="N1647">
        <v>232</v>
      </c>
      <c r="O1647" t="s">
        <v>1571</v>
      </c>
      <c r="P1647" t="s">
        <v>57</v>
      </c>
      <c r="Q1647">
        <v>251427</v>
      </c>
      <c r="R1647">
        <v>252311</v>
      </c>
      <c r="S1647" t="s">
        <v>1572</v>
      </c>
      <c r="T1647">
        <v>295</v>
      </c>
      <c r="U1647" t="s">
        <v>1573</v>
      </c>
      <c r="V1647">
        <v>33</v>
      </c>
      <c r="W1647" t="str">
        <f>HYPERLINK("Gene232-zp_tree_all.dnd", "Gene232-tree")</f>
        <v>Gene232-tree</v>
      </c>
      <c r="X1647">
        <v>4</v>
      </c>
      <c r="Y1647">
        <v>1</v>
      </c>
      <c r="Z1647">
        <v>4</v>
      </c>
      <c r="AA1647">
        <v>1</v>
      </c>
      <c r="AB1647">
        <v>0.2</v>
      </c>
      <c r="AC1647" t="s">
        <v>61</v>
      </c>
      <c r="AD1647" t="s">
        <v>175</v>
      </c>
      <c r="AE1647" t="s">
        <v>62</v>
      </c>
      <c r="AF1647" t="s">
        <v>62</v>
      </c>
      <c r="AG1647">
        <v>0</v>
      </c>
      <c r="AH1647">
        <v>0</v>
      </c>
      <c r="AI1647">
        <v>5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5</v>
      </c>
      <c r="AT1647">
        <v>0</v>
      </c>
      <c r="AU1647">
        <v>2</v>
      </c>
      <c r="AV1647">
        <v>2</v>
      </c>
      <c r="AW1647">
        <v>19</v>
      </c>
      <c r="AX1647">
        <v>5</v>
      </c>
      <c r="AY1647">
        <v>2</v>
      </c>
      <c r="AZ1647">
        <v>0</v>
      </c>
      <c r="BA1647" t="s">
        <v>1574</v>
      </c>
      <c r="BB1647" t="s">
        <v>193</v>
      </c>
      <c r="BC1647">
        <v>0.78100000000000003</v>
      </c>
      <c r="BD1647" t="s">
        <v>65</v>
      </c>
      <c r="BE1647">
        <v>21</v>
      </c>
      <c r="BF1647">
        <v>5</v>
      </c>
      <c r="BG1647" t="s">
        <v>1575</v>
      </c>
      <c r="BH1647" t="s">
        <v>1576</v>
      </c>
      <c r="BI1647" t="s">
        <v>1577</v>
      </c>
      <c r="BJ1647">
        <v>5.6930000000000001E-2</v>
      </c>
      <c r="BK1647">
        <v>1</v>
      </c>
      <c r="BL1647" t="s">
        <v>69</v>
      </c>
      <c r="BM1647">
        <v>-2.556</v>
      </c>
      <c r="BN1647">
        <v>-4.5110000000000001</v>
      </c>
    </row>
    <row r="1648" spans="2:66">
      <c r="B1648">
        <v>2952</v>
      </c>
      <c r="C1648">
        <v>44</v>
      </c>
      <c r="D1648">
        <v>0</v>
      </c>
      <c r="E1648">
        <v>4</v>
      </c>
      <c r="F1648">
        <v>2</v>
      </c>
      <c r="J1648">
        <v>0</v>
      </c>
      <c r="K1648">
        <v>2</v>
      </c>
      <c r="L1648">
        <v>2</v>
      </c>
      <c r="M1648" t="s">
        <v>25022</v>
      </c>
      <c r="N1648">
        <v>233</v>
      </c>
      <c r="O1648" t="s">
        <v>1578</v>
      </c>
      <c r="P1648" t="s">
        <v>57</v>
      </c>
      <c r="Q1648">
        <v>252514</v>
      </c>
      <c r="R1648">
        <v>253479</v>
      </c>
      <c r="S1648" t="s">
        <v>1579</v>
      </c>
      <c r="T1648">
        <v>322</v>
      </c>
      <c r="U1648" t="s">
        <v>698</v>
      </c>
      <c r="V1648">
        <v>47</v>
      </c>
      <c r="W1648" t="str">
        <f>HYPERLINK("Gene233-zp_tree_all.dnd", "Gene233-tree")</f>
        <v>Gene233-tree</v>
      </c>
      <c r="X1648">
        <v>12</v>
      </c>
      <c r="Y1648">
        <v>4</v>
      </c>
      <c r="Z1648">
        <v>12</v>
      </c>
      <c r="AA1648">
        <v>4</v>
      </c>
      <c r="AB1648">
        <v>0.25</v>
      </c>
      <c r="AC1648" t="s">
        <v>109</v>
      </c>
      <c r="AD1648" t="s">
        <v>61</v>
      </c>
      <c r="AE1648" t="s">
        <v>62</v>
      </c>
      <c r="AF1648" t="s">
        <v>62</v>
      </c>
      <c r="AG1648">
        <v>2</v>
      </c>
      <c r="AH1648">
        <v>4</v>
      </c>
      <c r="AI1648">
        <v>8</v>
      </c>
      <c r="AJ1648">
        <v>0.33333000000000002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2</v>
      </c>
      <c r="AQ1648">
        <v>0</v>
      </c>
      <c r="AR1648">
        <v>2</v>
      </c>
      <c r="AS1648">
        <v>4</v>
      </c>
      <c r="AT1648">
        <v>0.33333000000000002</v>
      </c>
      <c r="AU1648">
        <v>13</v>
      </c>
      <c r="AV1648">
        <v>12</v>
      </c>
      <c r="AW1648">
        <v>27</v>
      </c>
      <c r="AX1648">
        <v>6</v>
      </c>
      <c r="AY1648">
        <v>43</v>
      </c>
      <c r="AZ1648">
        <v>7</v>
      </c>
      <c r="BA1648" t="s">
        <v>1580</v>
      </c>
      <c r="BB1648" t="s">
        <v>1581</v>
      </c>
      <c r="BC1648">
        <v>0.114</v>
      </c>
      <c r="BD1648" t="s">
        <v>65</v>
      </c>
      <c r="BE1648">
        <v>70</v>
      </c>
      <c r="BF1648">
        <v>13</v>
      </c>
      <c r="BG1648" t="s">
        <v>1582</v>
      </c>
      <c r="BH1648" t="s">
        <v>1583</v>
      </c>
      <c r="BI1648" t="s">
        <v>1584</v>
      </c>
      <c r="BJ1648">
        <v>4.6649999999999997E-2</v>
      </c>
      <c r="BK1648">
        <v>1</v>
      </c>
      <c r="BL1648" t="s">
        <v>69</v>
      </c>
      <c r="BM1648">
        <v>-0.98799999999999999</v>
      </c>
      <c r="BN1648">
        <v>0.13900000000000001</v>
      </c>
    </row>
    <row r="1649" spans="2:66">
      <c r="B1649">
        <v>2955</v>
      </c>
      <c r="C1649">
        <v>255</v>
      </c>
      <c r="D1649">
        <v>0</v>
      </c>
      <c r="E1649">
        <v>4</v>
      </c>
      <c r="F1649">
        <v>2</v>
      </c>
      <c r="J1649">
        <v>0</v>
      </c>
      <c r="K1649">
        <v>0</v>
      </c>
      <c r="L1649">
        <v>0</v>
      </c>
      <c r="M1649" t="s">
        <v>25022</v>
      </c>
      <c r="N1649">
        <v>237</v>
      </c>
      <c r="O1649" t="s">
        <v>1605</v>
      </c>
      <c r="P1649" t="s">
        <v>57</v>
      </c>
      <c r="Q1649">
        <v>257791</v>
      </c>
      <c r="R1649">
        <v>258495</v>
      </c>
      <c r="S1649" t="s">
        <v>1606</v>
      </c>
      <c r="T1649">
        <v>235</v>
      </c>
      <c r="U1649" t="s">
        <v>1607</v>
      </c>
      <c r="V1649">
        <v>47</v>
      </c>
      <c r="W1649" t="str">
        <f>HYPERLINK("Gene237-zp_tree_all.dnd", "Gene237-tree")</f>
        <v>Gene237-tree</v>
      </c>
      <c r="X1649">
        <v>33</v>
      </c>
      <c r="Y1649">
        <v>2</v>
      </c>
      <c r="Z1649">
        <v>15</v>
      </c>
      <c r="AA1649">
        <v>2</v>
      </c>
      <c r="AB1649">
        <v>0.11765</v>
      </c>
      <c r="AC1649" t="s">
        <v>1608</v>
      </c>
      <c r="AD1649" t="s">
        <v>81</v>
      </c>
      <c r="AE1649" t="s">
        <v>62</v>
      </c>
      <c r="AF1649" t="s">
        <v>62</v>
      </c>
      <c r="AG1649">
        <v>0</v>
      </c>
      <c r="AH1649">
        <v>0</v>
      </c>
      <c r="AI1649">
        <v>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0</v>
      </c>
      <c r="AU1649">
        <v>13</v>
      </c>
      <c r="AV1649">
        <v>11</v>
      </c>
      <c r="AW1649">
        <v>42</v>
      </c>
      <c r="AX1649">
        <v>2</v>
      </c>
      <c r="AY1649">
        <v>43</v>
      </c>
      <c r="AZ1649">
        <v>1</v>
      </c>
      <c r="BA1649" t="s">
        <v>1609</v>
      </c>
      <c r="BB1649" t="s">
        <v>1610</v>
      </c>
      <c r="BC1649">
        <v>0.20100000000000001</v>
      </c>
      <c r="BD1649" t="s">
        <v>65</v>
      </c>
      <c r="BE1649">
        <v>85</v>
      </c>
      <c r="BF1649">
        <v>3</v>
      </c>
      <c r="BG1649" t="s">
        <v>1611</v>
      </c>
      <c r="BH1649" t="s">
        <v>1612</v>
      </c>
      <c r="BI1649" t="s">
        <v>1613</v>
      </c>
      <c r="BJ1649">
        <v>8.2699999999999996E-3</v>
      </c>
      <c r="BK1649">
        <v>1</v>
      </c>
      <c r="BL1649" t="s">
        <v>69</v>
      </c>
      <c r="BM1649">
        <v>-1.5569999999999999</v>
      </c>
      <c r="BN1649">
        <v>-1.0189999999999999</v>
      </c>
    </row>
    <row r="1650" spans="2:66">
      <c r="B1650">
        <v>2957</v>
      </c>
      <c r="C1650">
        <v>80</v>
      </c>
      <c r="D1650">
        <v>0</v>
      </c>
      <c r="E1650">
        <v>2</v>
      </c>
      <c r="F1650">
        <v>1</v>
      </c>
      <c r="J1650">
        <v>0</v>
      </c>
      <c r="K1650">
        <v>2</v>
      </c>
      <c r="L1650">
        <v>0</v>
      </c>
      <c r="M1650" t="s">
        <v>25022</v>
      </c>
      <c r="N1650">
        <v>238</v>
      </c>
      <c r="O1650" t="s">
        <v>1614</v>
      </c>
      <c r="P1650" t="s">
        <v>57</v>
      </c>
      <c r="Q1650">
        <v>258532</v>
      </c>
      <c r="R1650">
        <v>258804</v>
      </c>
      <c r="S1650" t="s">
        <v>1615</v>
      </c>
      <c r="T1650">
        <v>91</v>
      </c>
      <c r="U1650" t="s">
        <v>1392</v>
      </c>
      <c r="V1650">
        <v>43</v>
      </c>
      <c r="W1650" t="str">
        <f>HYPERLINK("Gene238-zp_tree_all.dnd", "Gene238-tree")</f>
        <v>Gene238-tree</v>
      </c>
      <c r="X1650">
        <v>0</v>
      </c>
      <c r="Y1650">
        <v>26</v>
      </c>
      <c r="Z1650">
        <v>0</v>
      </c>
      <c r="AA1650">
        <v>8</v>
      </c>
      <c r="AB1650">
        <v>1</v>
      </c>
      <c r="AC1650" t="s">
        <v>62</v>
      </c>
      <c r="AD1650" t="s">
        <v>1616</v>
      </c>
      <c r="AE1650">
        <v>4.5199999999999996</v>
      </c>
      <c r="AF1650" t="s">
        <v>65</v>
      </c>
      <c r="AG1650">
        <v>1</v>
      </c>
      <c r="AH1650">
        <v>2</v>
      </c>
      <c r="AI1650">
        <v>10</v>
      </c>
      <c r="AJ1650">
        <v>0.16667000000000001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2</v>
      </c>
      <c r="AQ1650">
        <v>0</v>
      </c>
      <c r="AR1650">
        <v>2</v>
      </c>
      <c r="AS1650">
        <v>10</v>
      </c>
      <c r="AT1650">
        <v>0.16667000000000001</v>
      </c>
      <c r="AU1650">
        <v>5</v>
      </c>
      <c r="AV1650">
        <v>2</v>
      </c>
      <c r="AW1650">
        <v>6</v>
      </c>
      <c r="AX1650">
        <v>10</v>
      </c>
      <c r="AY1650">
        <v>1</v>
      </c>
      <c r="AZ1650">
        <v>2</v>
      </c>
      <c r="BA1650" t="s">
        <v>1617</v>
      </c>
      <c r="BB1650" t="s">
        <v>1618</v>
      </c>
      <c r="BC1650">
        <v>0.123</v>
      </c>
      <c r="BD1650" t="s">
        <v>65</v>
      </c>
      <c r="BE1650">
        <v>7</v>
      </c>
      <c r="BF1650">
        <v>12</v>
      </c>
      <c r="BG1650" t="s">
        <v>1619</v>
      </c>
      <c r="BH1650" t="s">
        <v>1620</v>
      </c>
      <c r="BI1650" t="s">
        <v>1621</v>
      </c>
      <c r="BJ1650">
        <v>0.54144999999999999</v>
      </c>
      <c r="BK1650">
        <v>0.77</v>
      </c>
      <c r="BL1650" t="s">
        <v>635</v>
      </c>
      <c r="BM1650">
        <v>-0.56599999999999995</v>
      </c>
      <c r="BN1650">
        <v>0.86599999999999999</v>
      </c>
    </row>
    <row r="1651" spans="2:66">
      <c r="B1651">
        <v>2959</v>
      </c>
      <c r="C1651">
        <v>110</v>
      </c>
      <c r="D1651">
        <v>0</v>
      </c>
      <c r="E1651">
        <v>0</v>
      </c>
      <c r="F1651">
        <v>2</v>
      </c>
      <c r="J1651">
        <v>0</v>
      </c>
      <c r="K1651">
        <v>8</v>
      </c>
      <c r="L1651">
        <v>0</v>
      </c>
      <c r="M1651" t="s">
        <v>25022</v>
      </c>
      <c r="N1651">
        <v>239</v>
      </c>
      <c r="O1651" t="s">
        <v>1622</v>
      </c>
      <c r="P1651" t="s">
        <v>57</v>
      </c>
      <c r="Q1651">
        <v>259016</v>
      </c>
      <c r="R1651">
        <v>260083</v>
      </c>
      <c r="S1651" t="s">
        <v>1623</v>
      </c>
      <c r="T1651">
        <v>356</v>
      </c>
      <c r="U1651" t="s">
        <v>108</v>
      </c>
      <c r="V1651">
        <v>44</v>
      </c>
      <c r="W1651" t="str">
        <f>HYPERLINK("Gene239-zp_tree_all.dnd", "Gene239-tree")</f>
        <v>Gene239-tree</v>
      </c>
      <c r="X1651">
        <v>6</v>
      </c>
      <c r="Y1651">
        <v>8</v>
      </c>
      <c r="Z1651">
        <v>6</v>
      </c>
      <c r="AA1651">
        <v>8</v>
      </c>
      <c r="AB1651">
        <v>0.57142999999999999</v>
      </c>
      <c r="AC1651" t="s">
        <v>90</v>
      </c>
      <c r="AD1651" t="s">
        <v>136</v>
      </c>
      <c r="AE1651" t="s">
        <v>62</v>
      </c>
      <c r="AF1651" t="s">
        <v>62</v>
      </c>
      <c r="AG1651">
        <v>4</v>
      </c>
      <c r="AH1651">
        <v>8</v>
      </c>
      <c r="AI1651">
        <v>18</v>
      </c>
      <c r="AJ1651">
        <v>0.30769000000000002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16</v>
      </c>
      <c r="AT1651">
        <v>0</v>
      </c>
      <c r="AU1651">
        <v>12</v>
      </c>
      <c r="AV1651">
        <v>10</v>
      </c>
      <c r="AW1651">
        <v>51</v>
      </c>
      <c r="AX1651">
        <v>14</v>
      </c>
      <c r="AY1651">
        <v>47</v>
      </c>
      <c r="AZ1651">
        <v>12</v>
      </c>
      <c r="BA1651" t="s">
        <v>1624</v>
      </c>
      <c r="BB1651" t="s">
        <v>1625</v>
      </c>
      <c r="BC1651">
        <v>4.9000000000000002E-2</v>
      </c>
      <c r="BD1651" t="s">
        <v>65</v>
      </c>
      <c r="BE1651">
        <v>98</v>
      </c>
      <c r="BF1651">
        <v>26</v>
      </c>
      <c r="BG1651" t="s">
        <v>1626</v>
      </c>
      <c r="BH1651" t="s">
        <v>1627</v>
      </c>
      <c r="BI1651" t="s">
        <v>1628</v>
      </c>
      <c r="BJ1651">
        <v>8.4470000000000003E-2</v>
      </c>
      <c r="BK1651">
        <v>1</v>
      </c>
      <c r="BL1651" t="s">
        <v>69</v>
      </c>
      <c r="BM1651">
        <v>-0.45500000000000002</v>
      </c>
      <c r="BN1651">
        <v>-0.27300000000000002</v>
      </c>
    </row>
    <row r="1652" spans="2:66">
      <c r="B1652">
        <v>2960</v>
      </c>
      <c r="C1652">
        <v>210</v>
      </c>
      <c r="D1652">
        <v>0</v>
      </c>
      <c r="E1652">
        <v>2</v>
      </c>
      <c r="F1652">
        <v>0</v>
      </c>
      <c r="J1652">
        <v>0</v>
      </c>
      <c r="K1652">
        <v>2</v>
      </c>
      <c r="L1652">
        <v>0</v>
      </c>
      <c r="M1652" t="s">
        <v>25022</v>
      </c>
      <c r="N1652">
        <v>244</v>
      </c>
      <c r="O1652" t="s">
        <v>1658</v>
      </c>
      <c r="P1652" t="s">
        <v>57</v>
      </c>
      <c r="Q1652">
        <v>265476</v>
      </c>
      <c r="R1652">
        <v>266705</v>
      </c>
      <c r="S1652" t="s">
        <v>1659</v>
      </c>
      <c r="T1652">
        <v>410</v>
      </c>
      <c r="U1652" t="s">
        <v>265</v>
      </c>
      <c r="V1652">
        <v>43</v>
      </c>
      <c r="W1652" t="str">
        <f>HYPERLINK("Gene244-zp_tree_all.dnd", "Gene244-tree")</f>
        <v>Gene244-tree</v>
      </c>
      <c r="X1652">
        <v>23</v>
      </c>
      <c r="Y1652">
        <v>8</v>
      </c>
      <c r="Z1652">
        <v>5</v>
      </c>
      <c r="AA1652">
        <v>8</v>
      </c>
      <c r="AB1652">
        <v>0.61538000000000004</v>
      </c>
      <c r="AC1652" t="s">
        <v>1652</v>
      </c>
      <c r="AD1652" t="s">
        <v>136</v>
      </c>
      <c r="AE1652" t="s">
        <v>62</v>
      </c>
      <c r="AF1652" t="s">
        <v>62</v>
      </c>
      <c r="AG1652">
        <v>1</v>
      </c>
      <c r="AH1652">
        <v>2</v>
      </c>
      <c r="AI1652">
        <v>9</v>
      </c>
      <c r="AJ1652">
        <v>0.18182000000000001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8</v>
      </c>
      <c r="AT1652">
        <v>0</v>
      </c>
      <c r="AU1652">
        <v>10</v>
      </c>
      <c r="AV1652">
        <v>7</v>
      </c>
      <c r="AW1652">
        <v>21</v>
      </c>
      <c r="AX1652">
        <v>8</v>
      </c>
      <c r="AY1652">
        <v>10</v>
      </c>
      <c r="AZ1652">
        <v>3</v>
      </c>
      <c r="BA1652" t="s">
        <v>1660</v>
      </c>
      <c r="BB1652" t="s">
        <v>1661</v>
      </c>
      <c r="BC1652">
        <v>0.35299999999999998</v>
      </c>
      <c r="BD1652" t="s">
        <v>65</v>
      </c>
      <c r="BE1652">
        <v>31</v>
      </c>
      <c r="BF1652">
        <v>11</v>
      </c>
      <c r="BG1652" t="s">
        <v>1662</v>
      </c>
      <c r="BH1652" t="s">
        <v>1663</v>
      </c>
      <c r="BI1652" t="s">
        <v>1664</v>
      </c>
      <c r="BJ1652">
        <v>0.10642</v>
      </c>
      <c r="BK1652">
        <v>1</v>
      </c>
      <c r="BL1652" t="s">
        <v>69</v>
      </c>
      <c r="BM1652">
        <v>-1.2130000000000001</v>
      </c>
      <c r="BN1652">
        <v>-1.9430000000000001</v>
      </c>
    </row>
    <row r="1653" spans="2:66">
      <c r="B1653">
        <v>2968</v>
      </c>
      <c r="C1653">
        <v>13</v>
      </c>
      <c r="D1653">
        <v>0</v>
      </c>
      <c r="E1653">
        <v>5</v>
      </c>
      <c r="F1653">
        <v>0</v>
      </c>
      <c r="J1653">
        <v>0</v>
      </c>
      <c r="K1653">
        <v>2</v>
      </c>
      <c r="L1653">
        <v>0</v>
      </c>
      <c r="M1653" t="s">
        <v>25022</v>
      </c>
      <c r="N1653">
        <v>245</v>
      </c>
      <c r="O1653" t="s">
        <v>1665</v>
      </c>
      <c r="P1653" t="s">
        <v>57</v>
      </c>
      <c r="Q1653">
        <v>266719</v>
      </c>
      <c r="R1653">
        <v>267660</v>
      </c>
      <c r="S1653" t="s">
        <v>1666</v>
      </c>
      <c r="T1653">
        <v>314</v>
      </c>
      <c r="U1653" t="s">
        <v>265</v>
      </c>
      <c r="V1653">
        <v>43</v>
      </c>
      <c r="W1653" t="str">
        <f>HYPERLINK("Gene245-zp_tree_all.dnd", "Gene245-tree")</f>
        <v>Gene245-tree</v>
      </c>
      <c r="X1653">
        <v>25</v>
      </c>
      <c r="Y1653">
        <v>6</v>
      </c>
      <c r="Z1653">
        <v>8</v>
      </c>
      <c r="AA1653">
        <v>6</v>
      </c>
      <c r="AB1653">
        <v>0.42857000000000001</v>
      </c>
      <c r="AC1653" t="s">
        <v>1667</v>
      </c>
      <c r="AD1653" t="s">
        <v>90</v>
      </c>
      <c r="AE1653" t="s">
        <v>62</v>
      </c>
      <c r="AF1653" t="s">
        <v>62</v>
      </c>
      <c r="AG1653">
        <v>1</v>
      </c>
      <c r="AH1653">
        <v>2</v>
      </c>
      <c r="AI1653">
        <v>16</v>
      </c>
      <c r="AJ1653">
        <v>0.11111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2</v>
      </c>
      <c r="AQ1653">
        <v>0</v>
      </c>
      <c r="AR1653">
        <v>2</v>
      </c>
      <c r="AS1653">
        <v>14</v>
      </c>
      <c r="AT1653">
        <v>0.125</v>
      </c>
      <c r="AU1653">
        <v>10</v>
      </c>
      <c r="AV1653">
        <v>6</v>
      </c>
      <c r="AW1653">
        <v>46</v>
      </c>
      <c r="AX1653">
        <v>16</v>
      </c>
      <c r="AY1653">
        <v>8</v>
      </c>
      <c r="AZ1653">
        <v>2</v>
      </c>
      <c r="BA1653" t="s">
        <v>1668</v>
      </c>
      <c r="BB1653" t="s">
        <v>1669</v>
      </c>
      <c r="BC1653">
        <v>0.107</v>
      </c>
      <c r="BD1653" t="s">
        <v>65</v>
      </c>
      <c r="BE1653">
        <v>54</v>
      </c>
      <c r="BF1653">
        <v>18</v>
      </c>
      <c r="BG1653" t="s">
        <v>1670</v>
      </c>
      <c r="BH1653" t="s">
        <v>1671</v>
      </c>
      <c r="BI1653" t="s">
        <v>1672</v>
      </c>
      <c r="BJ1653">
        <v>8.6180000000000007E-2</v>
      </c>
      <c r="BK1653">
        <v>1</v>
      </c>
      <c r="BL1653" t="s">
        <v>69</v>
      </c>
      <c r="BM1653">
        <v>-2.0539999999999998</v>
      </c>
      <c r="BN1653">
        <v>-4.6589999999999998</v>
      </c>
    </row>
    <row r="1654" spans="2:66">
      <c r="B1654">
        <v>2969</v>
      </c>
      <c r="C1654">
        <v>167</v>
      </c>
      <c r="D1654">
        <v>0</v>
      </c>
      <c r="E1654">
        <v>6</v>
      </c>
      <c r="F1654">
        <v>0</v>
      </c>
      <c r="J1654">
        <v>0</v>
      </c>
      <c r="K1654">
        <v>0</v>
      </c>
      <c r="L1654">
        <v>0</v>
      </c>
      <c r="M1654" t="s">
        <v>25022</v>
      </c>
      <c r="N1654">
        <v>246</v>
      </c>
      <c r="O1654" t="s">
        <v>1673</v>
      </c>
      <c r="P1654" t="s">
        <v>57</v>
      </c>
      <c r="Q1654">
        <v>267890</v>
      </c>
      <c r="R1654">
        <v>268813</v>
      </c>
      <c r="S1654" t="s">
        <v>1674</v>
      </c>
      <c r="T1654">
        <v>308</v>
      </c>
      <c r="U1654" t="s">
        <v>108</v>
      </c>
      <c r="V1654">
        <v>44</v>
      </c>
      <c r="W1654" t="str">
        <f>HYPERLINK("Gene246-zp_tree_all.dnd", "Gene246-tree")</f>
        <v>Gene246-tree</v>
      </c>
      <c r="X1654">
        <v>11</v>
      </c>
      <c r="Y1654">
        <v>3</v>
      </c>
      <c r="Z1654">
        <v>11</v>
      </c>
      <c r="AA1654">
        <v>3</v>
      </c>
      <c r="AB1654">
        <v>0.21429000000000001</v>
      </c>
      <c r="AC1654" t="s">
        <v>73</v>
      </c>
      <c r="AD1654" t="s">
        <v>324</v>
      </c>
      <c r="AE1654" t="s">
        <v>62</v>
      </c>
      <c r="AF1654" t="s">
        <v>62</v>
      </c>
      <c r="AG1654">
        <v>0</v>
      </c>
      <c r="AH1654">
        <v>0</v>
      </c>
      <c r="AI1654">
        <v>5</v>
      </c>
      <c r="AJ1654">
        <v>0</v>
      </c>
      <c r="AK1654">
        <v>0</v>
      </c>
      <c r="AL1654">
        <v>0</v>
      </c>
      <c r="AM1654">
        <v>0</v>
      </c>
      <c r="AN1654">
        <v>2</v>
      </c>
      <c r="AO1654">
        <v>0</v>
      </c>
      <c r="AP1654">
        <v>0</v>
      </c>
      <c r="AQ1654">
        <v>0</v>
      </c>
      <c r="AR1654">
        <v>0</v>
      </c>
      <c r="AS1654">
        <v>3</v>
      </c>
      <c r="AT1654">
        <v>0</v>
      </c>
      <c r="AU1654">
        <v>8</v>
      </c>
      <c r="AV1654">
        <v>7</v>
      </c>
      <c r="AW1654">
        <v>19</v>
      </c>
      <c r="AX1654">
        <v>3</v>
      </c>
      <c r="AY1654">
        <v>13</v>
      </c>
      <c r="AZ1654">
        <v>3</v>
      </c>
      <c r="BA1654" t="s">
        <v>1675</v>
      </c>
      <c r="BB1654" t="s">
        <v>1676</v>
      </c>
      <c r="BC1654">
        <v>0.124</v>
      </c>
      <c r="BD1654" t="s">
        <v>65</v>
      </c>
      <c r="BE1654">
        <v>32</v>
      </c>
      <c r="BF1654">
        <v>6</v>
      </c>
      <c r="BG1654" t="s">
        <v>1677</v>
      </c>
      <c r="BH1654" t="s">
        <v>1678</v>
      </c>
      <c r="BI1654" t="s">
        <v>1679</v>
      </c>
      <c r="BJ1654">
        <v>5.9929999999999997E-2</v>
      </c>
      <c r="BK1654">
        <v>1</v>
      </c>
      <c r="BL1654" t="s">
        <v>69</v>
      </c>
      <c r="BM1654">
        <v>-0.56799999999999995</v>
      </c>
      <c r="BN1654">
        <v>-1.67</v>
      </c>
    </row>
    <row r="1655" spans="2:66">
      <c r="B1655">
        <v>2971</v>
      </c>
      <c r="C1655">
        <v>123</v>
      </c>
      <c r="D1655">
        <v>0</v>
      </c>
      <c r="E1655">
        <v>2</v>
      </c>
      <c r="F1655">
        <v>2</v>
      </c>
      <c r="J1655">
        <v>0</v>
      </c>
      <c r="K1655">
        <v>10</v>
      </c>
      <c r="L1655">
        <v>2</v>
      </c>
      <c r="M1655" t="s">
        <v>25022</v>
      </c>
      <c r="N1655">
        <v>247</v>
      </c>
      <c r="O1655" t="s">
        <v>1680</v>
      </c>
      <c r="P1655" t="s">
        <v>57</v>
      </c>
      <c r="Q1655">
        <v>268846</v>
      </c>
      <c r="R1655">
        <v>270309</v>
      </c>
      <c r="S1655" t="s">
        <v>1681</v>
      </c>
      <c r="T1655">
        <v>488</v>
      </c>
      <c r="U1655" t="s">
        <v>108</v>
      </c>
      <c r="V1655">
        <v>44</v>
      </c>
      <c r="W1655" t="str">
        <f>HYPERLINK("Gene247-zp_tree_all.dnd", "Gene247-tree")</f>
        <v>Gene247-tree</v>
      </c>
      <c r="X1655">
        <v>22</v>
      </c>
      <c r="Y1655">
        <v>10</v>
      </c>
      <c r="Z1655">
        <v>5</v>
      </c>
      <c r="AA1655">
        <v>10</v>
      </c>
      <c r="AB1655">
        <v>0.66666999999999998</v>
      </c>
      <c r="AC1655" t="s">
        <v>1682</v>
      </c>
      <c r="AD1655" t="s">
        <v>117</v>
      </c>
      <c r="AE1655" t="s">
        <v>62</v>
      </c>
      <c r="AF1655" t="s">
        <v>62</v>
      </c>
      <c r="AG1655">
        <v>6</v>
      </c>
      <c r="AH1655">
        <v>12</v>
      </c>
      <c r="AI1655">
        <v>10</v>
      </c>
      <c r="AJ1655">
        <v>0.54544999999999999</v>
      </c>
      <c r="AK1655">
        <v>0</v>
      </c>
      <c r="AL1655">
        <v>0</v>
      </c>
      <c r="AM1655">
        <v>0</v>
      </c>
      <c r="AN1655">
        <v>2</v>
      </c>
      <c r="AO1655">
        <v>0</v>
      </c>
      <c r="AP1655">
        <v>6</v>
      </c>
      <c r="AQ1655">
        <v>0</v>
      </c>
      <c r="AR1655">
        <v>6</v>
      </c>
      <c r="AS1655">
        <v>10</v>
      </c>
      <c r="AT1655">
        <v>0.375</v>
      </c>
      <c r="AU1655">
        <v>14</v>
      </c>
      <c r="AV1655">
        <v>11</v>
      </c>
      <c r="AW1655">
        <v>47</v>
      </c>
      <c r="AX1655">
        <v>16</v>
      </c>
      <c r="AY1655">
        <v>43</v>
      </c>
      <c r="AZ1655">
        <v>6</v>
      </c>
      <c r="BA1655" t="s">
        <v>1683</v>
      </c>
      <c r="BB1655" t="s">
        <v>1684</v>
      </c>
      <c r="BC1655">
        <v>1.365</v>
      </c>
      <c r="BD1655" t="s">
        <v>65</v>
      </c>
      <c r="BE1655">
        <v>90</v>
      </c>
      <c r="BF1655">
        <v>22</v>
      </c>
      <c r="BG1655" t="s">
        <v>1685</v>
      </c>
      <c r="BH1655" t="s">
        <v>1686</v>
      </c>
      <c r="BI1655" t="s">
        <v>1687</v>
      </c>
      <c r="BJ1655">
        <v>6.7860000000000004E-2</v>
      </c>
      <c r="BK1655">
        <v>1</v>
      </c>
      <c r="BL1655" t="s">
        <v>69</v>
      </c>
      <c r="BM1655">
        <v>-0.28399999999999997</v>
      </c>
      <c r="BN1655">
        <v>9.9000000000000005E-2</v>
      </c>
    </row>
    <row r="1656" spans="2:66">
      <c r="B1656">
        <v>2973</v>
      </c>
      <c r="C1656">
        <v>68</v>
      </c>
      <c r="D1656">
        <v>0</v>
      </c>
      <c r="E1656">
        <v>2</v>
      </c>
      <c r="F1656">
        <v>4</v>
      </c>
      <c r="J1656">
        <v>0</v>
      </c>
      <c r="K1656">
        <v>3</v>
      </c>
      <c r="L1656">
        <v>0</v>
      </c>
      <c r="M1656" t="s">
        <v>25022</v>
      </c>
      <c r="N1656">
        <v>248</v>
      </c>
      <c r="O1656" t="s">
        <v>1688</v>
      </c>
      <c r="P1656" t="s">
        <v>57</v>
      </c>
      <c r="Q1656">
        <v>270396</v>
      </c>
      <c r="R1656">
        <v>271760</v>
      </c>
      <c r="S1656" t="s">
        <v>1689</v>
      </c>
      <c r="T1656">
        <v>455</v>
      </c>
      <c r="U1656" t="s">
        <v>265</v>
      </c>
      <c r="V1656">
        <v>43</v>
      </c>
      <c r="W1656" t="str">
        <f>HYPERLINK("Gene248-zp_tree_all.dnd", "Gene248-tree")</f>
        <v>Gene248-tree</v>
      </c>
      <c r="X1656">
        <v>12</v>
      </c>
      <c r="Y1656">
        <v>2</v>
      </c>
      <c r="Z1656">
        <v>12</v>
      </c>
      <c r="AA1656">
        <v>2</v>
      </c>
      <c r="AB1656">
        <v>0.14285999999999999</v>
      </c>
      <c r="AC1656" t="s">
        <v>109</v>
      </c>
      <c r="AD1656" t="s">
        <v>81</v>
      </c>
      <c r="AE1656" t="s">
        <v>62</v>
      </c>
      <c r="AF1656" t="s">
        <v>62</v>
      </c>
      <c r="AG1656">
        <v>1</v>
      </c>
      <c r="AH1656">
        <v>3</v>
      </c>
      <c r="AI1656">
        <v>4</v>
      </c>
      <c r="AJ1656">
        <v>0.42857000000000001</v>
      </c>
      <c r="AK1656">
        <v>0</v>
      </c>
      <c r="AL1656">
        <v>0</v>
      </c>
      <c r="AM1656">
        <v>0</v>
      </c>
      <c r="AN1656">
        <v>2</v>
      </c>
      <c r="AO1656">
        <v>0</v>
      </c>
      <c r="AP1656">
        <v>0</v>
      </c>
      <c r="AQ1656">
        <v>0</v>
      </c>
      <c r="AR1656">
        <v>0</v>
      </c>
      <c r="AS1656">
        <v>3</v>
      </c>
      <c r="AT1656">
        <v>0</v>
      </c>
      <c r="AU1656">
        <v>11</v>
      </c>
      <c r="AV1656">
        <v>10</v>
      </c>
      <c r="AW1656">
        <v>46</v>
      </c>
      <c r="AX1656">
        <v>3</v>
      </c>
      <c r="AY1656">
        <v>33</v>
      </c>
      <c r="AZ1656">
        <v>4</v>
      </c>
      <c r="BA1656" t="s">
        <v>1690</v>
      </c>
      <c r="BB1656" t="s">
        <v>1691</v>
      </c>
      <c r="BC1656">
        <v>0.42099999999999999</v>
      </c>
      <c r="BD1656" t="s">
        <v>65</v>
      </c>
      <c r="BE1656">
        <v>79</v>
      </c>
      <c r="BF1656">
        <v>7</v>
      </c>
      <c r="BG1656" t="s">
        <v>1692</v>
      </c>
      <c r="BH1656" t="s">
        <v>1693</v>
      </c>
      <c r="BI1656" t="s">
        <v>1694</v>
      </c>
      <c r="BJ1656">
        <v>2.9430000000000001E-2</v>
      </c>
      <c r="BK1656">
        <v>1</v>
      </c>
      <c r="BL1656" t="s">
        <v>69</v>
      </c>
      <c r="BM1656">
        <v>-5.8000000000000003E-2</v>
      </c>
      <c r="BN1656">
        <v>-1.613</v>
      </c>
    </row>
    <row r="1657" spans="2:66">
      <c r="B1657">
        <v>2975</v>
      </c>
      <c r="C1657">
        <v>262</v>
      </c>
      <c r="D1657">
        <v>0</v>
      </c>
      <c r="E1657">
        <v>11</v>
      </c>
      <c r="F1657">
        <v>0</v>
      </c>
      <c r="J1657">
        <v>0</v>
      </c>
      <c r="K1657">
        <v>8</v>
      </c>
      <c r="L1657">
        <v>0</v>
      </c>
      <c r="M1657" t="s">
        <v>25022</v>
      </c>
      <c r="N1657">
        <v>249</v>
      </c>
      <c r="O1657" t="s">
        <v>1695</v>
      </c>
      <c r="P1657" t="s">
        <v>57</v>
      </c>
      <c r="Q1657">
        <v>271800</v>
      </c>
      <c r="R1657">
        <v>273164</v>
      </c>
      <c r="S1657" t="s">
        <v>1696</v>
      </c>
      <c r="T1657">
        <v>455</v>
      </c>
      <c r="U1657" t="s">
        <v>108</v>
      </c>
      <c r="V1657">
        <v>44</v>
      </c>
      <c r="W1657" t="str">
        <f>HYPERLINK("Gene249-zp_tree_all.dnd", "Gene249-tree")</f>
        <v>Gene249-tree</v>
      </c>
      <c r="X1657">
        <v>3</v>
      </c>
      <c r="Y1657">
        <v>10</v>
      </c>
      <c r="Z1657">
        <v>3</v>
      </c>
      <c r="AA1657">
        <v>10</v>
      </c>
      <c r="AB1657">
        <v>0.76922999999999997</v>
      </c>
      <c r="AC1657" t="s">
        <v>324</v>
      </c>
      <c r="AD1657" t="s">
        <v>117</v>
      </c>
      <c r="AE1657" t="s">
        <v>62</v>
      </c>
      <c r="AF1657" t="s">
        <v>62</v>
      </c>
      <c r="AG1657">
        <v>3</v>
      </c>
      <c r="AH1657">
        <v>8</v>
      </c>
      <c r="AI1657">
        <v>16</v>
      </c>
      <c r="AJ1657">
        <v>0.33333000000000002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4</v>
      </c>
      <c r="AQ1657">
        <v>0</v>
      </c>
      <c r="AR1657">
        <v>4</v>
      </c>
      <c r="AS1657">
        <v>15</v>
      </c>
      <c r="AT1657">
        <v>0.21052999999999999</v>
      </c>
      <c r="AU1657">
        <v>12</v>
      </c>
      <c r="AV1657">
        <v>9</v>
      </c>
      <c r="AW1657">
        <v>40</v>
      </c>
      <c r="AX1657">
        <v>19</v>
      </c>
      <c r="AY1657">
        <v>24</v>
      </c>
      <c r="AZ1657">
        <v>5</v>
      </c>
      <c r="BA1657" t="s">
        <v>1697</v>
      </c>
      <c r="BB1657" t="s">
        <v>1698</v>
      </c>
      <c r="BC1657">
        <v>0.89100000000000001</v>
      </c>
      <c r="BD1657" t="s">
        <v>65</v>
      </c>
      <c r="BE1657">
        <v>64</v>
      </c>
      <c r="BF1657">
        <v>24</v>
      </c>
      <c r="BG1657" t="s">
        <v>1699</v>
      </c>
      <c r="BH1657" t="s">
        <v>1700</v>
      </c>
      <c r="BI1657" t="s">
        <v>1701</v>
      </c>
      <c r="BJ1657">
        <v>0.10750999999999999</v>
      </c>
      <c r="BK1657">
        <v>1</v>
      </c>
      <c r="BL1657" t="s">
        <v>69</v>
      </c>
      <c r="BM1657">
        <v>-0.48499999999999999</v>
      </c>
      <c r="BN1657">
        <v>-1.417</v>
      </c>
    </row>
    <row r="1658" spans="2:66">
      <c r="B1658">
        <v>2976</v>
      </c>
      <c r="C1658">
        <v>202</v>
      </c>
      <c r="D1658">
        <v>0</v>
      </c>
      <c r="E1658">
        <v>6</v>
      </c>
      <c r="F1658">
        <v>1</v>
      </c>
      <c r="J1658">
        <v>0</v>
      </c>
      <c r="K1658">
        <v>0</v>
      </c>
      <c r="L1658">
        <v>0</v>
      </c>
      <c r="M1658" t="s">
        <v>25022</v>
      </c>
      <c r="N1658">
        <v>250</v>
      </c>
      <c r="O1658" t="s">
        <v>1702</v>
      </c>
      <c r="P1658" t="s">
        <v>57</v>
      </c>
      <c r="Q1658">
        <v>273237</v>
      </c>
      <c r="R1658">
        <v>273935</v>
      </c>
      <c r="S1658" t="s">
        <v>1703</v>
      </c>
      <c r="T1658">
        <v>233</v>
      </c>
      <c r="U1658" t="s">
        <v>108</v>
      </c>
      <c r="V1658">
        <v>44</v>
      </c>
      <c r="W1658" t="str">
        <f>HYPERLINK("Gene250-zp_tree_all.dnd", "Gene250-tree")</f>
        <v>Gene250-tree</v>
      </c>
      <c r="X1658">
        <v>11</v>
      </c>
      <c r="Y1658">
        <v>2</v>
      </c>
      <c r="Z1658">
        <v>11</v>
      </c>
      <c r="AA1658">
        <v>2</v>
      </c>
      <c r="AB1658">
        <v>0.15384999999999999</v>
      </c>
      <c r="AC1658" t="s">
        <v>73</v>
      </c>
      <c r="AD1658" t="s">
        <v>81</v>
      </c>
      <c r="AE1658" t="s">
        <v>62</v>
      </c>
      <c r="AF1658" t="s">
        <v>62</v>
      </c>
      <c r="AG1658">
        <v>0</v>
      </c>
      <c r="AH1658">
        <v>0</v>
      </c>
      <c r="AI1658">
        <v>3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2</v>
      </c>
      <c r="AT1658">
        <v>0</v>
      </c>
      <c r="AU1658">
        <v>10</v>
      </c>
      <c r="AV1658">
        <v>6</v>
      </c>
      <c r="AW1658">
        <v>21</v>
      </c>
      <c r="AX1658">
        <v>2</v>
      </c>
      <c r="AY1658">
        <v>10</v>
      </c>
      <c r="AZ1658">
        <v>1</v>
      </c>
      <c r="BA1658" t="s">
        <v>1704</v>
      </c>
      <c r="BB1658" t="s">
        <v>1705</v>
      </c>
      <c r="BC1658">
        <v>1.9E-2</v>
      </c>
      <c r="BD1658" t="s">
        <v>65</v>
      </c>
      <c r="BE1658">
        <v>31</v>
      </c>
      <c r="BF1658">
        <v>3</v>
      </c>
      <c r="BG1658" t="s">
        <v>1706</v>
      </c>
      <c r="BH1658" t="s">
        <v>1707</v>
      </c>
      <c r="BI1658" t="s">
        <v>1708</v>
      </c>
      <c r="BJ1658">
        <v>3.4810000000000001E-2</v>
      </c>
      <c r="BK1658">
        <v>1</v>
      </c>
      <c r="BL1658" t="s">
        <v>69</v>
      </c>
      <c r="BM1658">
        <v>-0.51300000000000001</v>
      </c>
      <c r="BN1658">
        <v>-1.5209999999999999</v>
      </c>
    </row>
    <row r="1659" spans="2:66">
      <c r="B1659">
        <v>2977</v>
      </c>
      <c r="C1659">
        <v>115</v>
      </c>
      <c r="D1659">
        <v>0</v>
      </c>
      <c r="E1659">
        <v>0</v>
      </c>
      <c r="F1659">
        <v>2</v>
      </c>
      <c r="J1659">
        <v>0</v>
      </c>
      <c r="K1659">
        <v>2</v>
      </c>
      <c r="L1659">
        <v>4</v>
      </c>
      <c r="M1659" t="s">
        <v>25022</v>
      </c>
      <c r="N1659">
        <v>251</v>
      </c>
      <c r="O1659" t="s">
        <v>1709</v>
      </c>
      <c r="P1659" t="s">
        <v>57</v>
      </c>
      <c r="Q1659">
        <v>274029</v>
      </c>
      <c r="R1659">
        <v>275558</v>
      </c>
      <c r="S1659" t="s">
        <v>1710</v>
      </c>
      <c r="T1659">
        <v>510</v>
      </c>
      <c r="U1659" t="s">
        <v>108</v>
      </c>
      <c r="V1659">
        <v>44</v>
      </c>
      <c r="W1659" t="str">
        <f>HYPERLINK("Gene251-zp_tree_all.dnd", "Gene251-tree")</f>
        <v>Gene251-tree</v>
      </c>
      <c r="X1659">
        <v>8</v>
      </c>
      <c r="Y1659">
        <v>8</v>
      </c>
      <c r="Z1659">
        <v>8</v>
      </c>
      <c r="AA1659">
        <v>8</v>
      </c>
      <c r="AB1659">
        <v>0.5</v>
      </c>
      <c r="AC1659" t="s">
        <v>136</v>
      </c>
      <c r="AD1659" t="s">
        <v>136</v>
      </c>
      <c r="AE1659" t="s">
        <v>62</v>
      </c>
      <c r="AF1659" t="s">
        <v>62</v>
      </c>
      <c r="AG1659">
        <v>3</v>
      </c>
      <c r="AH1659">
        <v>6</v>
      </c>
      <c r="AI1659">
        <v>14</v>
      </c>
      <c r="AJ1659">
        <v>0.3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2</v>
      </c>
      <c r="AQ1659">
        <v>2</v>
      </c>
      <c r="AR1659">
        <v>4</v>
      </c>
      <c r="AS1659">
        <v>10</v>
      </c>
      <c r="AT1659">
        <v>0.28571000000000002</v>
      </c>
      <c r="AU1659">
        <v>13</v>
      </c>
      <c r="AV1659">
        <v>13</v>
      </c>
      <c r="AW1659">
        <v>85</v>
      </c>
      <c r="AX1659">
        <v>13</v>
      </c>
      <c r="AY1659">
        <v>44</v>
      </c>
      <c r="AZ1659">
        <v>7</v>
      </c>
      <c r="BA1659" t="s">
        <v>1711</v>
      </c>
      <c r="BB1659" t="s">
        <v>1712</v>
      </c>
      <c r="BC1659">
        <v>5.8999999999999997E-2</v>
      </c>
      <c r="BD1659" t="s">
        <v>65</v>
      </c>
      <c r="BE1659">
        <v>129</v>
      </c>
      <c r="BF1659">
        <v>20</v>
      </c>
      <c r="BG1659" t="s">
        <v>1713</v>
      </c>
      <c r="BH1659" t="s">
        <v>1714</v>
      </c>
      <c r="BI1659" t="s">
        <v>1715</v>
      </c>
      <c r="BJ1659">
        <v>5.4149999999999997E-2</v>
      </c>
      <c r="BK1659">
        <v>1</v>
      </c>
      <c r="BL1659" t="s">
        <v>69</v>
      </c>
      <c r="BM1659">
        <v>-0.71799999999999997</v>
      </c>
      <c r="BN1659">
        <v>-1.8069999999999999</v>
      </c>
    </row>
    <row r="1660" spans="2:66">
      <c r="B1660">
        <v>2979</v>
      </c>
      <c r="C1660">
        <v>74</v>
      </c>
      <c r="D1660">
        <v>0</v>
      </c>
      <c r="E1660">
        <v>4</v>
      </c>
      <c r="F1660">
        <v>0</v>
      </c>
      <c r="J1660">
        <v>0</v>
      </c>
      <c r="K1660">
        <v>14</v>
      </c>
      <c r="L1660">
        <v>3</v>
      </c>
      <c r="M1660" t="s">
        <v>25022</v>
      </c>
      <c r="N1660">
        <v>252</v>
      </c>
      <c r="O1660" t="s">
        <v>1716</v>
      </c>
      <c r="P1660" t="s">
        <v>57</v>
      </c>
      <c r="Q1660">
        <v>275838</v>
      </c>
      <c r="R1660">
        <v>276755</v>
      </c>
      <c r="S1660" t="s">
        <v>1717</v>
      </c>
      <c r="T1660">
        <v>306</v>
      </c>
      <c r="U1660" t="s">
        <v>1392</v>
      </c>
      <c r="V1660">
        <v>43</v>
      </c>
      <c r="W1660" t="str">
        <f>HYPERLINK("Gene252-zp_tree_all.dnd", "Gene252-tree")</f>
        <v>Gene252-tree</v>
      </c>
      <c r="X1660">
        <v>3</v>
      </c>
      <c r="Y1660">
        <v>10</v>
      </c>
      <c r="Z1660">
        <v>3</v>
      </c>
      <c r="AA1660">
        <v>10</v>
      </c>
      <c r="AB1660">
        <v>0.76922999999999997</v>
      </c>
      <c r="AC1660" t="s">
        <v>324</v>
      </c>
      <c r="AD1660" t="s">
        <v>117</v>
      </c>
      <c r="AE1660" t="s">
        <v>62</v>
      </c>
      <c r="AF1660" t="s">
        <v>62</v>
      </c>
      <c r="AG1660">
        <v>7</v>
      </c>
      <c r="AH1660">
        <v>17</v>
      </c>
      <c r="AI1660">
        <v>17</v>
      </c>
      <c r="AJ1660">
        <v>0.5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2</v>
      </c>
      <c r="AQ1660">
        <v>0</v>
      </c>
      <c r="AR1660">
        <v>2</v>
      </c>
      <c r="AS1660">
        <v>15</v>
      </c>
      <c r="AT1660">
        <v>0.11765</v>
      </c>
      <c r="AU1660">
        <v>10</v>
      </c>
      <c r="AV1660">
        <v>10</v>
      </c>
      <c r="AW1660">
        <v>27</v>
      </c>
      <c r="AX1660">
        <v>15</v>
      </c>
      <c r="AY1660">
        <v>47</v>
      </c>
      <c r="AZ1660">
        <v>20</v>
      </c>
      <c r="BA1660" t="s">
        <v>1718</v>
      </c>
      <c r="BB1660" t="s">
        <v>1719</v>
      </c>
      <c r="BC1660">
        <v>0.47099999999999997</v>
      </c>
      <c r="BD1660" t="s">
        <v>65</v>
      </c>
      <c r="BE1660">
        <v>74</v>
      </c>
      <c r="BF1660">
        <v>35</v>
      </c>
      <c r="BG1660" t="s">
        <v>1720</v>
      </c>
      <c r="BH1660" t="s">
        <v>1721</v>
      </c>
      <c r="BI1660" t="s">
        <v>1722</v>
      </c>
      <c r="BJ1660">
        <v>0.11563</v>
      </c>
      <c r="BK1660">
        <v>1</v>
      </c>
      <c r="BL1660" t="s">
        <v>69</v>
      </c>
      <c r="BM1660">
        <v>-0.42</v>
      </c>
      <c r="BN1660">
        <v>-0.35699999999999998</v>
      </c>
    </row>
    <row r="1661" spans="2:66">
      <c r="B1661">
        <v>2980</v>
      </c>
      <c r="C1661">
        <v>316</v>
      </c>
      <c r="D1661">
        <v>0</v>
      </c>
      <c r="E1661">
        <v>10</v>
      </c>
      <c r="F1661">
        <v>0</v>
      </c>
      <c r="J1661">
        <v>0</v>
      </c>
      <c r="K1661">
        <v>0</v>
      </c>
      <c r="L1661">
        <v>0</v>
      </c>
      <c r="M1661" t="s">
        <v>25022</v>
      </c>
      <c r="N1661">
        <v>253</v>
      </c>
      <c r="O1661" t="s">
        <v>1723</v>
      </c>
      <c r="P1661" t="s">
        <v>57</v>
      </c>
      <c r="Q1661">
        <v>277160</v>
      </c>
      <c r="R1661">
        <v>277318</v>
      </c>
      <c r="S1661" t="s">
        <v>1724</v>
      </c>
      <c r="T1661">
        <v>53</v>
      </c>
      <c r="U1661" t="s">
        <v>108</v>
      </c>
      <c r="V1661">
        <v>44</v>
      </c>
      <c r="W1661" t="str">
        <f>HYPERLINK("Gene253-zp_tree_all.dnd", "Gene253-tree")</f>
        <v>Gene253-tree</v>
      </c>
      <c r="X1661">
        <v>23</v>
      </c>
      <c r="Y1661">
        <v>2</v>
      </c>
      <c r="Z1661">
        <v>3</v>
      </c>
      <c r="AA1661">
        <v>2</v>
      </c>
      <c r="AB1661">
        <v>0.4</v>
      </c>
      <c r="AC1661" t="s">
        <v>1725</v>
      </c>
      <c r="AD1661" t="s">
        <v>81</v>
      </c>
      <c r="AE1661" t="s">
        <v>62</v>
      </c>
      <c r="AF1661" t="s">
        <v>62</v>
      </c>
      <c r="AG1661">
        <v>0</v>
      </c>
      <c r="AH1661">
        <v>0</v>
      </c>
      <c r="AI1661">
        <v>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2</v>
      </c>
      <c r="AT1661">
        <v>0</v>
      </c>
      <c r="AU1661">
        <v>3</v>
      </c>
      <c r="AV1661">
        <v>1</v>
      </c>
      <c r="AW1661">
        <v>1</v>
      </c>
      <c r="AX1661">
        <v>2</v>
      </c>
      <c r="AY1661">
        <v>1</v>
      </c>
      <c r="AZ1661">
        <v>0</v>
      </c>
      <c r="BA1661" t="s">
        <v>1726</v>
      </c>
      <c r="BB1661" t="s">
        <v>193</v>
      </c>
      <c r="BC1661">
        <v>0.69299999999999995</v>
      </c>
      <c r="BD1661" t="s">
        <v>65</v>
      </c>
      <c r="BE1661">
        <v>2</v>
      </c>
      <c r="BF1661">
        <v>2</v>
      </c>
      <c r="BG1661" t="s">
        <v>1727</v>
      </c>
      <c r="BH1661" t="s">
        <v>1728</v>
      </c>
      <c r="BI1661" t="s">
        <v>1729</v>
      </c>
      <c r="BJ1661">
        <v>0.23407</v>
      </c>
      <c r="BK1661">
        <v>0.90200000000000002</v>
      </c>
      <c r="BL1661" t="s">
        <v>635</v>
      </c>
      <c r="BM1661">
        <v>0.03</v>
      </c>
      <c r="BN1661">
        <v>-6.4000000000000001E-2</v>
      </c>
    </row>
    <row r="1662" spans="2:66">
      <c r="B1662">
        <v>2981</v>
      </c>
      <c r="C1662">
        <v>24</v>
      </c>
      <c r="D1662">
        <v>0</v>
      </c>
      <c r="E1662">
        <v>4</v>
      </c>
      <c r="F1662">
        <v>3</v>
      </c>
      <c r="J1662">
        <v>0</v>
      </c>
      <c r="K1662">
        <v>8</v>
      </c>
      <c r="L1662">
        <v>2</v>
      </c>
      <c r="M1662" t="s">
        <v>25022</v>
      </c>
      <c r="N1662">
        <v>254</v>
      </c>
      <c r="O1662" t="s">
        <v>1730</v>
      </c>
      <c r="P1662" t="s">
        <v>57</v>
      </c>
      <c r="Q1662">
        <v>277342</v>
      </c>
      <c r="R1662">
        <v>278277</v>
      </c>
      <c r="S1662" t="s">
        <v>1731</v>
      </c>
      <c r="T1662">
        <v>312</v>
      </c>
      <c r="U1662" t="s">
        <v>1124</v>
      </c>
      <c r="V1662">
        <v>43</v>
      </c>
      <c r="W1662" t="str">
        <f>HYPERLINK("Gene254-zp_tree_all.dnd", "Gene254-tree")</f>
        <v>Gene254-tree</v>
      </c>
      <c r="X1662">
        <v>0</v>
      </c>
      <c r="Y1662">
        <v>14</v>
      </c>
      <c r="Z1662">
        <v>0</v>
      </c>
      <c r="AA1662">
        <v>14</v>
      </c>
      <c r="AB1662">
        <v>1</v>
      </c>
      <c r="AC1662" t="s">
        <v>62</v>
      </c>
      <c r="AD1662" t="s">
        <v>543</v>
      </c>
      <c r="AE1662">
        <v>143484786.68799999</v>
      </c>
      <c r="AF1662" t="s">
        <v>65</v>
      </c>
      <c r="AG1662">
        <v>5</v>
      </c>
      <c r="AH1662">
        <v>10</v>
      </c>
      <c r="AI1662">
        <v>16</v>
      </c>
      <c r="AJ1662">
        <v>0.38462000000000002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6</v>
      </c>
      <c r="AQ1662">
        <v>0</v>
      </c>
      <c r="AR1662">
        <v>6</v>
      </c>
      <c r="AS1662">
        <v>12</v>
      </c>
      <c r="AT1662">
        <v>0.33333000000000002</v>
      </c>
      <c r="AU1662">
        <v>11</v>
      </c>
      <c r="AV1662">
        <v>9</v>
      </c>
      <c r="AW1662">
        <v>14</v>
      </c>
      <c r="AX1662">
        <v>14</v>
      </c>
      <c r="AY1662">
        <v>20</v>
      </c>
      <c r="AZ1662">
        <v>12</v>
      </c>
      <c r="BA1662" t="s">
        <v>1732</v>
      </c>
      <c r="BB1662" t="s">
        <v>1733</v>
      </c>
      <c r="BC1662">
        <v>0.82</v>
      </c>
      <c r="BD1662" t="s">
        <v>65</v>
      </c>
      <c r="BE1662">
        <v>34</v>
      </c>
      <c r="BF1662">
        <v>26</v>
      </c>
      <c r="BG1662" t="s">
        <v>1734</v>
      </c>
      <c r="BH1662" t="s">
        <v>1735</v>
      </c>
      <c r="BI1662" t="s">
        <v>1736</v>
      </c>
      <c r="BJ1662">
        <v>0.27298</v>
      </c>
      <c r="BK1662">
        <v>1</v>
      </c>
      <c r="BL1662" t="s">
        <v>69</v>
      </c>
      <c r="BM1662">
        <v>0.108</v>
      </c>
      <c r="BN1662">
        <v>3.3000000000000002E-2</v>
      </c>
    </row>
    <row r="1663" spans="2:66">
      <c r="B1663">
        <v>2984</v>
      </c>
      <c r="C1663">
        <v>173</v>
      </c>
      <c r="D1663">
        <v>0</v>
      </c>
      <c r="E1663">
        <v>21</v>
      </c>
      <c r="F1663">
        <v>1</v>
      </c>
      <c r="J1663">
        <v>0</v>
      </c>
      <c r="K1663">
        <v>4</v>
      </c>
      <c r="L1663">
        <v>0</v>
      </c>
      <c r="M1663" t="s">
        <v>25022</v>
      </c>
      <c r="N1663">
        <v>255</v>
      </c>
      <c r="O1663" t="s">
        <v>1737</v>
      </c>
      <c r="P1663" t="s">
        <v>57</v>
      </c>
      <c r="Q1663">
        <v>278377</v>
      </c>
      <c r="R1663">
        <v>279054</v>
      </c>
      <c r="S1663" t="s">
        <v>1738</v>
      </c>
      <c r="T1663">
        <v>226</v>
      </c>
      <c r="U1663" t="s">
        <v>1392</v>
      </c>
      <c r="V1663">
        <v>43</v>
      </c>
      <c r="W1663" t="str">
        <f>HYPERLINK("Gene255-zp_tree_all.dnd", "Gene255-tree")</f>
        <v>Gene255-tree</v>
      </c>
      <c r="X1663">
        <v>6</v>
      </c>
      <c r="Y1663">
        <v>5</v>
      </c>
      <c r="Z1663">
        <v>6</v>
      </c>
      <c r="AA1663">
        <v>5</v>
      </c>
      <c r="AB1663">
        <v>0.45455000000000001</v>
      </c>
      <c r="AC1663" t="s">
        <v>90</v>
      </c>
      <c r="AD1663" t="s">
        <v>199</v>
      </c>
      <c r="AE1663" t="s">
        <v>62</v>
      </c>
      <c r="AF1663" t="s">
        <v>62</v>
      </c>
      <c r="AG1663">
        <v>2</v>
      </c>
      <c r="AH1663">
        <v>4</v>
      </c>
      <c r="AI1663">
        <v>9</v>
      </c>
      <c r="AJ1663">
        <v>0.30769000000000002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2</v>
      </c>
      <c r="AQ1663">
        <v>0</v>
      </c>
      <c r="AR1663">
        <v>2</v>
      </c>
      <c r="AS1663">
        <v>7</v>
      </c>
      <c r="AT1663">
        <v>0.22222</v>
      </c>
      <c r="AU1663">
        <v>9</v>
      </c>
      <c r="AV1663">
        <v>7</v>
      </c>
      <c r="AW1663">
        <v>29</v>
      </c>
      <c r="AX1663">
        <v>9</v>
      </c>
      <c r="AY1663">
        <v>11</v>
      </c>
      <c r="AZ1663">
        <v>4</v>
      </c>
      <c r="BA1663" t="s">
        <v>1739</v>
      </c>
      <c r="BB1663" t="s">
        <v>1740</v>
      </c>
      <c r="BC1663">
        <v>0.28699999999999998</v>
      </c>
      <c r="BD1663" t="s">
        <v>65</v>
      </c>
      <c r="BE1663">
        <v>40</v>
      </c>
      <c r="BF1663">
        <v>13</v>
      </c>
      <c r="BG1663" t="s">
        <v>1741</v>
      </c>
      <c r="BH1663" t="s">
        <v>1742</v>
      </c>
      <c r="BI1663" t="s">
        <v>1743</v>
      </c>
      <c r="BJ1663">
        <v>0.1017</v>
      </c>
      <c r="BK1663">
        <v>1</v>
      </c>
      <c r="BL1663" t="s">
        <v>69</v>
      </c>
      <c r="BM1663">
        <v>-0.46600000000000003</v>
      </c>
      <c r="BN1663">
        <v>-0.76600000000000001</v>
      </c>
    </row>
    <row r="1664" spans="2:66">
      <c r="B1664">
        <v>2985</v>
      </c>
      <c r="C1664">
        <v>96</v>
      </c>
      <c r="D1664">
        <v>2</v>
      </c>
      <c r="E1664">
        <v>20</v>
      </c>
      <c r="F1664">
        <v>1</v>
      </c>
      <c r="J1664">
        <v>0</v>
      </c>
      <c r="K1664">
        <v>15</v>
      </c>
      <c r="L1664">
        <v>3</v>
      </c>
      <c r="M1664" t="s">
        <v>25022</v>
      </c>
      <c r="N1664">
        <v>256</v>
      </c>
      <c r="O1664" t="s">
        <v>1744</v>
      </c>
      <c r="P1664" t="s">
        <v>57</v>
      </c>
      <c r="Q1664">
        <v>279059</v>
      </c>
      <c r="R1664">
        <v>279991</v>
      </c>
      <c r="S1664" t="s">
        <v>1745</v>
      </c>
      <c r="T1664">
        <v>311</v>
      </c>
      <c r="U1664" t="s">
        <v>1392</v>
      </c>
      <c r="V1664">
        <v>43</v>
      </c>
      <c r="W1664" t="str">
        <f>HYPERLINK("Gene256-zp_tree_all.dnd", "Gene256-tree")</f>
        <v>Gene256-tree</v>
      </c>
      <c r="X1664">
        <v>8</v>
      </c>
      <c r="Y1664">
        <v>6</v>
      </c>
      <c r="Z1664">
        <v>8</v>
      </c>
      <c r="AA1664">
        <v>6</v>
      </c>
      <c r="AB1664">
        <v>0.42857000000000001</v>
      </c>
      <c r="AC1664" t="s">
        <v>136</v>
      </c>
      <c r="AD1664" t="s">
        <v>90</v>
      </c>
      <c r="AE1664" t="s">
        <v>62</v>
      </c>
      <c r="AF1664" t="s">
        <v>62</v>
      </c>
      <c r="AG1664">
        <v>7</v>
      </c>
      <c r="AH1664">
        <v>18</v>
      </c>
      <c r="AI1664">
        <v>11</v>
      </c>
      <c r="AJ1664">
        <v>0.62068999999999996</v>
      </c>
      <c r="AK1664">
        <v>0</v>
      </c>
      <c r="AL1664">
        <v>0</v>
      </c>
      <c r="AM1664">
        <v>0</v>
      </c>
      <c r="AN1664">
        <v>3</v>
      </c>
      <c r="AO1664">
        <v>0</v>
      </c>
      <c r="AP1664">
        <v>2</v>
      </c>
      <c r="AQ1664">
        <v>2</v>
      </c>
      <c r="AR1664">
        <v>4</v>
      </c>
      <c r="AS1664">
        <v>12</v>
      </c>
      <c r="AT1664">
        <v>0.25</v>
      </c>
      <c r="AU1664">
        <v>12</v>
      </c>
      <c r="AV1664">
        <v>11</v>
      </c>
      <c r="AW1664">
        <v>21</v>
      </c>
      <c r="AX1664">
        <v>16</v>
      </c>
      <c r="AY1664">
        <v>32</v>
      </c>
      <c r="AZ1664">
        <v>14</v>
      </c>
      <c r="BA1664" t="s">
        <v>1746</v>
      </c>
      <c r="BB1664" t="s">
        <v>1747</v>
      </c>
      <c r="BC1664">
        <v>0.7</v>
      </c>
      <c r="BD1664" t="s">
        <v>65</v>
      </c>
      <c r="BE1664">
        <v>53</v>
      </c>
      <c r="BF1664">
        <v>30</v>
      </c>
      <c r="BG1664" t="s">
        <v>1748</v>
      </c>
      <c r="BH1664" t="s">
        <v>1749</v>
      </c>
      <c r="BI1664" t="s">
        <v>1750</v>
      </c>
      <c r="BJ1664">
        <v>0.14465</v>
      </c>
      <c r="BK1664">
        <v>1</v>
      </c>
      <c r="BL1664" t="s">
        <v>69</v>
      </c>
      <c r="BM1664">
        <v>-0.39300000000000002</v>
      </c>
      <c r="BN1664">
        <v>-0.48699999999999999</v>
      </c>
    </row>
    <row r="1665" spans="2:66">
      <c r="B1665">
        <v>2986</v>
      </c>
      <c r="C1665">
        <v>121</v>
      </c>
      <c r="D1665">
        <v>2</v>
      </c>
      <c r="E1665">
        <v>15</v>
      </c>
      <c r="F1665">
        <v>2</v>
      </c>
      <c r="J1665">
        <v>0</v>
      </c>
      <c r="K1665">
        <v>12</v>
      </c>
      <c r="L1665">
        <v>3</v>
      </c>
      <c r="M1665" t="s">
        <v>25022</v>
      </c>
      <c r="N1665">
        <v>257</v>
      </c>
      <c r="O1665" t="s">
        <v>1751</v>
      </c>
      <c r="P1665" t="s">
        <v>57</v>
      </c>
      <c r="Q1665">
        <v>280086</v>
      </c>
      <c r="R1665">
        <v>281006</v>
      </c>
      <c r="S1665" t="s">
        <v>1752</v>
      </c>
      <c r="T1665">
        <v>307</v>
      </c>
      <c r="U1665" t="s">
        <v>1753</v>
      </c>
      <c r="V1665">
        <v>44</v>
      </c>
      <c r="W1665" t="str">
        <f>HYPERLINK("Gene257-zp_tree_all.dnd", "Gene257-tree")</f>
        <v>Gene257-tree</v>
      </c>
      <c r="X1665">
        <v>2</v>
      </c>
      <c r="Y1665">
        <v>11</v>
      </c>
      <c r="Z1665">
        <v>2</v>
      </c>
      <c r="AA1665">
        <v>11</v>
      </c>
      <c r="AB1665">
        <v>0.84614999999999996</v>
      </c>
      <c r="AC1665" t="s">
        <v>81</v>
      </c>
      <c r="AD1665" t="s">
        <v>73</v>
      </c>
      <c r="AE1665">
        <v>515075683.63</v>
      </c>
      <c r="AF1665" t="s">
        <v>267</v>
      </c>
      <c r="AG1665">
        <v>6</v>
      </c>
      <c r="AH1665">
        <v>15</v>
      </c>
      <c r="AI1665">
        <v>18</v>
      </c>
      <c r="AJ1665">
        <v>0.45455000000000001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4</v>
      </c>
      <c r="AQ1665">
        <v>4</v>
      </c>
      <c r="AR1665">
        <v>8</v>
      </c>
      <c r="AS1665">
        <v>18</v>
      </c>
      <c r="AT1665">
        <v>0.30769000000000002</v>
      </c>
      <c r="AU1665">
        <v>13</v>
      </c>
      <c r="AV1665">
        <v>10</v>
      </c>
      <c r="AW1665">
        <v>50</v>
      </c>
      <c r="AX1665">
        <v>26</v>
      </c>
      <c r="AY1665">
        <v>50</v>
      </c>
      <c r="AZ1665">
        <v>7</v>
      </c>
      <c r="BA1665" t="s">
        <v>1754</v>
      </c>
      <c r="BB1665" t="s">
        <v>1755</v>
      </c>
      <c r="BC1665">
        <v>0.66900000000000004</v>
      </c>
      <c r="BD1665" t="s">
        <v>65</v>
      </c>
      <c r="BE1665">
        <v>100</v>
      </c>
      <c r="BF1665">
        <v>33</v>
      </c>
      <c r="BG1665" t="s">
        <v>1756</v>
      </c>
      <c r="BH1665" t="s">
        <v>1757</v>
      </c>
      <c r="BI1665" t="s">
        <v>1758</v>
      </c>
      <c r="BJ1665">
        <v>7.3899999999999993E-2</v>
      </c>
      <c r="BK1665">
        <v>1</v>
      </c>
      <c r="BL1665" t="s">
        <v>69</v>
      </c>
      <c r="BM1665">
        <v>-0.98699999999999999</v>
      </c>
      <c r="BN1665">
        <v>-1.337</v>
      </c>
    </row>
    <row r="1666" spans="2:66">
      <c r="B1666">
        <v>2989</v>
      </c>
      <c r="C1666">
        <v>474</v>
      </c>
      <c r="D1666">
        <v>0</v>
      </c>
      <c r="E1666">
        <v>5</v>
      </c>
      <c r="F1666">
        <v>0</v>
      </c>
      <c r="J1666">
        <v>0</v>
      </c>
      <c r="K1666">
        <v>8</v>
      </c>
      <c r="L1666">
        <v>1</v>
      </c>
      <c r="M1666" t="s">
        <v>25022</v>
      </c>
      <c r="N1666">
        <v>258</v>
      </c>
      <c r="O1666" t="s">
        <v>1759</v>
      </c>
      <c r="P1666" t="s">
        <v>57</v>
      </c>
      <c r="Q1666">
        <v>281028</v>
      </c>
      <c r="R1666">
        <v>281711</v>
      </c>
      <c r="S1666" t="s">
        <v>1760</v>
      </c>
      <c r="T1666">
        <v>228</v>
      </c>
      <c r="U1666" t="s">
        <v>1392</v>
      </c>
      <c r="V1666">
        <v>43</v>
      </c>
      <c r="W1666" t="str">
        <f>HYPERLINK("Gene258-zp_tree_all.dnd", "Gene258-tree")</f>
        <v>Gene258-tree</v>
      </c>
      <c r="X1666">
        <v>5</v>
      </c>
      <c r="Y1666">
        <v>8</v>
      </c>
      <c r="Z1666">
        <v>5</v>
      </c>
      <c r="AA1666">
        <v>8</v>
      </c>
      <c r="AB1666">
        <v>0.61538000000000004</v>
      </c>
      <c r="AC1666" t="s">
        <v>199</v>
      </c>
      <c r="AD1666" t="s">
        <v>136</v>
      </c>
      <c r="AE1666" t="s">
        <v>62</v>
      </c>
      <c r="AF1666" t="s">
        <v>62</v>
      </c>
      <c r="AG1666">
        <v>3</v>
      </c>
      <c r="AH1666">
        <v>9</v>
      </c>
      <c r="AI1666">
        <v>10</v>
      </c>
      <c r="AJ1666">
        <v>0.47367999999999999</v>
      </c>
      <c r="AK1666">
        <v>0</v>
      </c>
      <c r="AL1666">
        <v>0</v>
      </c>
      <c r="AM1666">
        <v>0</v>
      </c>
      <c r="AN1666">
        <v>3</v>
      </c>
      <c r="AO1666">
        <v>0</v>
      </c>
      <c r="AP1666">
        <v>3</v>
      </c>
      <c r="AQ1666">
        <v>1</v>
      </c>
      <c r="AR1666">
        <v>4</v>
      </c>
      <c r="AS1666">
        <v>9</v>
      </c>
      <c r="AT1666">
        <v>0.30769000000000002</v>
      </c>
      <c r="AU1666">
        <v>10</v>
      </c>
      <c r="AV1666">
        <v>7</v>
      </c>
      <c r="AW1666">
        <v>5</v>
      </c>
      <c r="AX1666">
        <v>11</v>
      </c>
      <c r="AY1666">
        <v>8</v>
      </c>
      <c r="AZ1666">
        <v>8</v>
      </c>
      <c r="BA1666" t="s">
        <v>1761</v>
      </c>
      <c r="BB1666" t="s">
        <v>1762</v>
      </c>
      <c r="BC1666">
        <v>0.80400000000000005</v>
      </c>
      <c r="BD1666" t="s">
        <v>65</v>
      </c>
      <c r="BE1666">
        <v>13</v>
      </c>
      <c r="BF1666">
        <v>19</v>
      </c>
      <c r="BG1666" t="s">
        <v>1763</v>
      </c>
      <c r="BH1666" t="s">
        <v>1764</v>
      </c>
      <c r="BI1666" t="s">
        <v>1765</v>
      </c>
      <c r="BJ1666">
        <v>0.30453000000000002</v>
      </c>
      <c r="BK1666">
        <v>0.99</v>
      </c>
      <c r="BL1666" t="s">
        <v>69</v>
      </c>
      <c r="BM1666">
        <v>-1.198</v>
      </c>
      <c r="BN1666">
        <v>-1</v>
      </c>
    </row>
    <row r="1667" spans="2:66">
      <c r="B1667">
        <v>2990</v>
      </c>
      <c r="C1667">
        <v>20</v>
      </c>
      <c r="D1667">
        <v>0</v>
      </c>
      <c r="E1667">
        <v>8</v>
      </c>
      <c r="F1667">
        <v>0</v>
      </c>
      <c r="J1667">
        <v>0</v>
      </c>
      <c r="K1667">
        <v>2</v>
      </c>
      <c r="L1667">
        <v>0</v>
      </c>
      <c r="M1667" t="s">
        <v>25022</v>
      </c>
      <c r="N1667">
        <v>260</v>
      </c>
      <c r="O1667" t="s">
        <v>1773</v>
      </c>
      <c r="P1667" t="s">
        <v>57</v>
      </c>
      <c r="Q1667">
        <v>282469</v>
      </c>
      <c r="R1667">
        <v>282894</v>
      </c>
      <c r="S1667" t="s">
        <v>1774</v>
      </c>
      <c r="T1667">
        <v>142</v>
      </c>
      <c r="U1667" t="s">
        <v>465</v>
      </c>
      <c r="V1667">
        <v>46</v>
      </c>
      <c r="W1667" t="str">
        <f>HYPERLINK("Gene260-zp_tree_all.dnd", "Gene260-tree")</f>
        <v>Gene260-tree</v>
      </c>
      <c r="X1667">
        <v>6</v>
      </c>
      <c r="Y1667">
        <v>4</v>
      </c>
      <c r="Z1667">
        <v>6</v>
      </c>
      <c r="AA1667">
        <v>4</v>
      </c>
      <c r="AB1667">
        <v>0.4</v>
      </c>
      <c r="AC1667" t="s">
        <v>90</v>
      </c>
      <c r="AD1667" t="s">
        <v>61</v>
      </c>
      <c r="AE1667" t="s">
        <v>62</v>
      </c>
      <c r="AF1667" t="s">
        <v>62</v>
      </c>
      <c r="AG1667">
        <v>1</v>
      </c>
      <c r="AH1667">
        <v>2</v>
      </c>
      <c r="AI1667">
        <v>6</v>
      </c>
      <c r="AJ1667">
        <v>0.25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5</v>
      </c>
      <c r="AT1667">
        <v>0</v>
      </c>
      <c r="AU1667">
        <v>8</v>
      </c>
      <c r="AV1667">
        <v>6</v>
      </c>
      <c r="AW1667">
        <v>22</v>
      </c>
      <c r="AX1667">
        <v>5</v>
      </c>
      <c r="AY1667">
        <v>17</v>
      </c>
      <c r="AZ1667">
        <v>3</v>
      </c>
      <c r="BA1667" t="s">
        <v>1775</v>
      </c>
      <c r="BB1667" t="s">
        <v>1776</v>
      </c>
      <c r="BC1667">
        <v>0.112</v>
      </c>
      <c r="BD1667" t="s">
        <v>65</v>
      </c>
      <c r="BE1667">
        <v>39</v>
      </c>
      <c r="BF1667">
        <v>8</v>
      </c>
      <c r="BG1667" t="s">
        <v>1777</v>
      </c>
      <c r="BH1667" t="s">
        <v>1778</v>
      </c>
      <c r="BI1667" t="s">
        <v>1779</v>
      </c>
      <c r="BJ1667">
        <v>5.348E-2</v>
      </c>
      <c r="BK1667">
        <v>1</v>
      </c>
      <c r="BL1667" t="s">
        <v>69</v>
      </c>
      <c r="BM1667">
        <v>-1.619</v>
      </c>
      <c r="BN1667">
        <v>-0.36299999999999999</v>
      </c>
    </row>
    <row r="1668" spans="2:66">
      <c r="B1668">
        <v>2991</v>
      </c>
      <c r="C1668">
        <v>221</v>
      </c>
      <c r="D1668">
        <v>0</v>
      </c>
      <c r="E1668">
        <v>2</v>
      </c>
      <c r="F1668">
        <v>1</v>
      </c>
      <c r="J1668">
        <v>0</v>
      </c>
      <c r="K1668">
        <v>4</v>
      </c>
      <c r="L1668">
        <v>1</v>
      </c>
      <c r="M1668" t="s">
        <v>25022</v>
      </c>
      <c r="N1668">
        <v>261</v>
      </c>
      <c r="O1668" t="s">
        <v>1780</v>
      </c>
      <c r="P1668" t="s">
        <v>57</v>
      </c>
      <c r="Q1668">
        <v>283003</v>
      </c>
      <c r="R1668">
        <v>283731</v>
      </c>
      <c r="S1668" t="s">
        <v>116</v>
      </c>
      <c r="T1668">
        <v>243</v>
      </c>
      <c r="U1668" t="s">
        <v>1781</v>
      </c>
      <c r="V1668">
        <v>43</v>
      </c>
      <c r="W1668" t="str">
        <f>HYPERLINK("Gene261-zp_tree_all.dnd", "Gene261-tree")</f>
        <v>Gene261-tree</v>
      </c>
      <c r="X1668">
        <v>1</v>
      </c>
      <c r="Y1668">
        <v>32</v>
      </c>
      <c r="Z1668">
        <v>1</v>
      </c>
      <c r="AA1668">
        <v>12</v>
      </c>
      <c r="AB1668">
        <v>0.92308000000000001</v>
      </c>
      <c r="AC1668" t="s">
        <v>175</v>
      </c>
      <c r="AD1668" t="s">
        <v>1782</v>
      </c>
      <c r="AE1668">
        <v>5.3220000000000001</v>
      </c>
      <c r="AF1668" t="s">
        <v>267</v>
      </c>
      <c r="AG1668">
        <v>2</v>
      </c>
      <c r="AH1668">
        <v>5</v>
      </c>
      <c r="AI1668">
        <v>13</v>
      </c>
      <c r="AJ1668">
        <v>0.27778000000000003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2</v>
      </c>
      <c r="AQ1668">
        <v>1</v>
      </c>
      <c r="AR1668">
        <v>3</v>
      </c>
      <c r="AS1668">
        <v>13</v>
      </c>
      <c r="AT1668">
        <v>0.1875</v>
      </c>
      <c r="AU1668">
        <v>10</v>
      </c>
      <c r="AV1668">
        <v>4</v>
      </c>
      <c r="AW1668">
        <v>9</v>
      </c>
      <c r="AX1668">
        <v>15</v>
      </c>
      <c r="AY1668">
        <v>1</v>
      </c>
      <c r="AZ1668">
        <v>3</v>
      </c>
      <c r="BA1668" t="s">
        <v>1783</v>
      </c>
      <c r="BB1668" t="s">
        <v>1784</v>
      </c>
      <c r="BC1668">
        <v>0.26600000000000001</v>
      </c>
      <c r="BD1668" t="s">
        <v>65</v>
      </c>
      <c r="BE1668">
        <v>10</v>
      </c>
      <c r="BF1668">
        <v>18</v>
      </c>
      <c r="BG1668" t="s">
        <v>1785</v>
      </c>
      <c r="BH1668" t="s">
        <v>1786</v>
      </c>
      <c r="BI1668" t="s">
        <v>1787</v>
      </c>
      <c r="BJ1668">
        <v>0.48010999999999998</v>
      </c>
      <c r="BK1668">
        <v>0.77</v>
      </c>
      <c r="BL1668" t="s">
        <v>635</v>
      </c>
      <c r="BM1668">
        <v>-1.498</v>
      </c>
      <c r="BN1668">
        <v>-1.1000000000000001</v>
      </c>
    </row>
    <row r="1669" spans="2:66">
      <c r="B1669">
        <v>2992</v>
      </c>
      <c r="C1669">
        <v>18</v>
      </c>
      <c r="D1669">
        <v>0</v>
      </c>
      <c r="E1669">
        <v>11</v>
      </c>
      <c r="F1669">
        <v>0</v>
      </c>
      <c r="J1669">
        <v>0</v>
      </c>
      <c r="K1669">
        <v>2</v>
      </c>
      <c r="L1669">
        <v>0</v>
      </c>
      <c r="M1669" t="s">
        <v>25022</v>
      </c>
      <c r="N1669">
        <v>262</v>
      </c>
      <c r="O1669" t="s">
        <v>1788</v>
      </c>
      <c r="P1669" t="s">
        <v>57</v>
      </c>
      <c r="Q1669">
        <v>283816</v>
      </c>
      <c r="R1669">
        <v>283989</v>
      </c>
      <c r="S1669" t="s">
        <v>116</v>
      </c>
      <c r="T1669">
        <v>58</v>
      </c>
      <c r="U1669" t="s">
        <v>108</v>
      </c>
      <c r="V1669">
        <v>44</v>
      </c>
      <c r="W1669" t="str">
        <f>HYPERLINK("Gene262-zp_tree_all.dnd", "Gene262-tree")</f>
        <v>Gene262-tree</v>
      </c>
      <c r="X1669">
        <v>4</v>
      </c>
      <c r="Y1669">
        <v>4</v>
      </c>
      <c r="Z1669">
        <v>4</v>
      </c>
      <c r="AA1669">
        <v>4</v>
      </c>
      <c r="AB1669">
        <v>0.5</v>
      </c>
      <c r="AC1669" t="s">
        <v>61</v>
      </c>
      <c r="AD1669" t="s">
        <v>61</v>
      </c>
      <c r="AE1669" t="s">
        <v>62</v>
      </c>
      <c r="AF1669" t="s">
        <v>62</v>
      </c>
      <c r="AG1669">
        <v>1</v>
      </c>
      <c r="AH1669">
        <v>2</v>
      </c>
      <c r="AI1669">
        <v>3</v>
      </c>
      <c r="AJ1669">
        <v>0.4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4</v>
      </c>
      <c r="AT1669">
        <v>0</v>
      </c>
      <c r="AU1669">
        <v>4</v>
      </c>
      <c r="AV1669">
        <v>3</v>
      </c>
      <c r="AW1669">
        <v>2</v>
      </c>
      <c r="AX1669">
        <v>3</v>
      </c>
      <c r="AY1669">
        <v>1</v>
      </c>
      <c r="AZ1669">
        <v>2</v>
      </c>
      <c r="BA1669" t="s">
        <v>1789</v>
      </c>
      <c r="BB1669" t="s">
        <v>1790</v>
      </c>
      <c r="BC1669">
        <v>0.16400000000000001</v>
      </c>
      <c r="BD1669" t="s">
        <v>65</v>
      </c>
      <c r="BE1669">
        <v>3</v>
      </c>
      <c r="BF1669">
        <v>5</v>
      </c>
      <c r="BG1669" t="s">
        <v>1791</v>
      </c>
      <c r="BH1669" t="s">
        <v>1792</v>
      </c>
      <c r="BI1669" t="s">
        <v>1793</v>
      </c>
      <c r="BJ1669">
        <v>0.41997000000000001</v>
      </c>
      <c r="BK1669">
        <v>0.61</v>
      </c>
      <c r="BL1669" t="s">
        <v>635</v>
      </c>
      <c r="BM1669">
        <v>-0.09</v>
      </c>
      <c r="BN1669">
        <v>-0.26800000000000002</v>
      </c>
    </row>
    <row r="1670" spans="2:66">
      <c r="B1670">
        <v>2993</v>
      </c>
      <c r="C1670">
        <v>323</v>
      </c>
      <c r="D1670">
        <v>0</v>
      </c>
      <c r="E1670">
        <v>28</v>
      </c>
      <c r="F1670">
        <v>2</v>
      </c>
      <c r="J1670">
        <v>0</v>
      </c>
      <c r="K1670">
        <v>0</v>
      </c>
      <c r="L1670">
        <v>2</v>
      </c>
      <c r="M1670" t="s">
        <v>25022</v>
      </c>
      <c r="N1670">
        <v>263</v>
      </c>
      <c r="O1670" t="s">
        <v>1794</v>
      </c>
      <c r="P1670" t="s">
        <v>57</v>
      </c>
      <c r="Q1670">
        <v>284011</v>
      </c>
      <c r="R1670">
        <v>285759</v>
      </c>
      <c r="S1670" t="s">
        <v>1795</v>
      </c>
      <c r="T1670">
        <v>583</v>
      </c>
      <c r="U1670" t="s">
        <v>265</v>
      </c>
      <c r="V1670">
        <v>43</v>
      </c>
      <c r="W1670" t="str">
        <f>HYPERLINK("Gene263-zp_tree_all.dnd", "Gene263-tree")</f>
        <v>Gene263-tree</v>
      </c>
      <c r="X1670">
        <v>10</v>
      </c>
      <c r="Y1670">
        <v>19</v>
      </c>
      <c r="Z1670">
        <v>10</v>
      </c>
      <c r="AA1670">
        <v>8</v>
      </c>
      <c r="AB1670">
        <v>0.44444</v>
      </c>
      <c r="AC1670" t="s">
        <v>117</v>
      </c>
      <c r="AD1670" t="s">
        <v>1796</v>
      </c>
      <c r="AE1670">
        <v>2.484</v>
      </c>
      <c r="AF1670" t="s">
        <v>65</v>
      </c>
      <c r="AG1670">
        <v>1</v>
      </c>
      <c r="AH1670">
        <v>2</v>
      </c>
      <c r="AI1670">
        <v>10</v>
      </c>
      <c r="AJ1670">
        <v>0.16667000000000001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2</v>
      </c>
      <c r="AR1670">
        <v>2</v>
      </c>
      <c r="AS1670">
        <v>7</v>
      </c>
      <c r="AT1670">
        <v>0.22222</v>
      </c>
      <c r="AU1670">
        <v>14</v>
      </c>
      <c r="AV1670">
        <v>13</v>
      </c>
      <c r="AW1670">
        <v>58</v>
      </c>
      <c r="AX1670">
        <v>8</v>
      </c>
      <c r="AY1670">
        <v>54</v>
      </c>
      <c r="AZ1670">
        <v>4</v>
      </c>
      <c r="BA1670" t="s">
        <v>1797</v>
      </c>
      <c r="BB1670" t="s">
        <v>1798</v>
      </c>
      <c r="BC1670">
        <v>0.70099999999999996</v>
      </c>
      <c r="BD1670" t="s">
        <v>65</v>
      </c>
      <c r="BE1670">
        <v>112</v>
      </c>
      <c r="BF1670">
        <v>12</v>
      </c>
      <c r="BG1670" t="s">
        <v>1799</v>
      </c>
      <c r="BH1670" t="s">
        <v>1800</v>
      </c>
      <c r="BI1670" t="s">
        <v>1801</v>
      </c>
      <c r="BJ1670">
        <v>3.5380000000000002E-2</v>
      </c>
      <c r="BK1670">
        <v>1</v>
      </c>
      <c r="BL1670" t="s">
        <v>69</v>
      </c>
      <c r="BM1670">
        <v>-0.32400000000000001</v>
      </c>
      <c r="BN1670">
        <v>-1.1819999999999999</v>
      </c>
    </row>
    <row r="1671" spans="2:66">
      <c r="B1671">
        <v>2994</v>
      </c>
      <c r="C1671">
        <v>73</v>
      </c>
      <c r="D1671">
        <v>0</v>
      </c>
      <c r="E1671">
        <v>9</v>
      </c>
      <c r="F1671">
        <v>0</v>
      </c>
      <c r="J1671">
        <v>0</v>
      </c>
      <c r="K1671">
        <v>0</v>
      </c>
      <c r="L1671">
        <v>0</v>
      </c>
      <c r="M1671" t="s">
        <v>25022</v>
      </c>
      <c r="N1671">
        <v>264</v>
      </c>
      <c r="O1671" t="s">
        <v>1802</v>
      </c>
      <c r="P1671" t="s">
        <v>57</v>
      </c>
      <c r="Q1671">
        <v>285775</v>
      </c>
      <c r="R1671">
        <v>285984</v>
      </c>
      <c r="S1671" t="s">
        <v>1803</v>
      </c>
      <c r="T1671">
        <v>70</v>
      </c>
      <c r="U1671" t="s">
        <v>59</v>
      </c>
      <c r="V1671">
        <v>49</v>
      </c>
      <c r="W1671" t="str">
        <f>HYPERLINK("Gene264-zp_tree_all.dnd", "Gene264-tree")</f>
        <v>Gene264-tree</v>
      </c>
      <c r="X1671">
        <v>13</v>
      </c>
      <c r="Y1671">
        <v>0</v>
      </c>
      <c r="Z1671">
        <v>13</v>
      </c>
      <c r="AA1671">
        <v>0</v>
      </c>
      <c r="AB1671">
        <v>0</v>
      </c>
      <c r="AC1671" t="s">
        <v>507</v>
      </c>
      <c r="AD1671" t="s">
        <v>62</v>
      </c>
      <c r="AE1671" t="s">
        <v>62</v>
      </c>
      <c r="AF1671" t="s">
        <v>62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9</v>
      </c>
      <c r="AV1671">
        <v>4</v>
      </c>
      <c r="AW1671">
        <v>13</v>
      </c>
      <c r="AX1671">
        <v>0</v>
      </c>
      <c r="AY1671">
        <v>5</v>
      </c>
      <c r="AZ1671">
        <v>0</v>
      </c>
      <c r="BA1671" t="s">
        <v>193</v>
      </c>
      <c r="BB1671" t="s">
        <v>193</v>
      </c>
      <c r="BC1671">
        <v>0</v>
      </c>
      <c r="BD1671" t="s">
        <v>65</v>
      </c>
      <c r="BE1671">
        <v>18</v>
      </c>
      <c r="BF1671">
        <v>0</v>
      </c>
      <c r="BG1671" t="s">
        <v>1804</v>
      </c>
      <c r="BH1671" t="s">
        <v>1805</v>
      </c>
      <c r="BI1671" t="s">
        <v>1806</v>
      </c>
      <c r="BJ1671">
        <v>2.0200000000000001E-3</v>
      </c>
      <c r="BK1671">
        <v>1</v>
      </c>
      <c r="BL1671" t="s">
        <v>69</v>
      </c>
      <c r="BM1671">
        <v>-1.008</v>
      </c>
      <c r="BN1671">
        <v>-0.14699999999999999</v>
      </c>
    </row>
    <row r="1672" spans="2:66">
      <c r="B1672">
        <v>2996</v>
      </c>
      <c r="C1672">
        <v>303</v>
      </c>
      <c r="D1672">
        <v>0</v>
      </c>
      <c r="E1672">
        <v>21</v>
      </c>
      <c r="F1672">
        <v>2</v>
      </c>
      <c r="J1672">
        <v>0</v>
      </c>
      <c r="K1672">
        <v>2</v>
      </c>
      <c r="L1672">
        <v>0</v>
      </c>
      <c r="M1672" t="s">
        <v>25022</v>
      </c>
      <c r="N1672">
        <v>265</v>
      </c>
      <c r="O1672" t="s">
        <v>1807</v>
      </c>
      <c r="P1672" t="s">
        <v>57</v>
      </c>
      <c r="Q1672">
        <v>286048</v>
      </c>
      <c r="R1672">
        <v>286773</v>
      </c>
      <c r="S1672" t="s">
        <v>1803</v>
      </c>
      <c r="T1672">
        <v>242</v>
      </c>
      <c r="U1672" t="s">
        <v>108</v>
      </c>
      <c r="V1672">
        <v>44</v>
      </c>
      <c r="W1672" t="str">
        <f>HYPERLINK("Gene265-zp_tree_all.dnd", "Gene265-tree")</f>
        <v>Gene265-tree</v>
      </c>
      <c r="X1672">
        <v>10</v>
      </c>
      <c r="Y1672">
        <v>8</v>
      </c>
      <c r="Z1672">
        <v>10</v>
      </c>
      <c r="AA1672">
        <v>8</v>
      </c>
      <c r="AB1672">
        <v>0.44444</v>
      </c>
      <c r="AC1672" t="s">
        <v>117</v>
      </c>
      <c r="AD1672" t="s">
        <v>136</v>
      </c>
      <c r="AE1672" t="s">
        <v>62</v>
      </c>
      <c r="AF1672" t="s">
        <v>62</v>
      </c>
      <c r="AG1672">
        <v>1</v>
      </c>
      <c r="AH1672">
        <v>2</v>
      </c>
      <c r="AI1672">
        <v>9</v>
      </c>
      <c r="AJ1672">
        <v>0.18182000000000001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10</v>
      </c>
      <c r="AT1672">
        <v>0</v>
      </c>
      <c r="AU1672">
        <v>11</v>
      </c>
      <c r="AV1672">
        <v>12</v>
      </c>
      <c r="AW1672">
        <v>14</v>
      </c>
      <c r="AX1672">
        <v>7</v>
      </c>
      <c r="AY1672">
        <v>24</v>
      </c>
      <c r="AZ1672">
        <v>4</v>
      </c>
      <c r="BA1672" t="s">
        <v>1808</v>
      </c>
      <c r="BB1672" t="s">
        <v>1809</v>
      </c>
      <c r="BC1672">
        <v>0.751</v>
      </c>
      <c r="BD1672" t="s">
        <v>65</v>
      </c>
      <c r="BE1672">
        <v>38</v>
      </c>
      <c r="BF1672">
        <v>11</v>
      </c>
      <c r="BG1672" t="s">
        <v>1810</v>
      </c>
      <c r="BH1672" t="s">
        <v>1811</v>
      </c>
      <c r="BI1672" t="s">
        <v>1812</v>
      </c>
      <c r="BJ1672">
        <v>7.9089999999999994E-2</v>
      </c>
      <c r="BK1672">
        <v>1</v>
      </c>
      <c r="BL1672" t="s">
        <v>69</v>
      </c>
      <c r="BM1672">
        <v>-0.51</v>
      </c>
      <c r="BN1672">
        <v>-1.214</v>
      </c>
    </row>
    <row r="1673" spans="2:66">
      <c r="B1673">
        <v>2997</v>
      </c>
      <c r="C1673">
        <v>41</v>
      </c>
      <c r="D1673">
        <v>0</v>
      </c>
      <c r="E1673">
        <v>4</v>
      </c>
      <c r="F1673">
        <v>0</v>
      </c>
      <c r="J1673">
        <v>3</v>
      </c>
      <c r="K1673">
        <v>20</v>
      </c>
      <c r="L1673">
        <v>4</v>
      </c>
      <c r="M1673" t="s">
        <v>25022</v>
      </c>
      <c r="N1673">
        <v>267</v>
      </c>
      <c r="O1673" t="s">
        <v>1820</v>
      </c>
      <c r="P1673" t="s">
        <v>57</v>
      </c>
      <c r="Q1673">
        <v>287499</v>
      </c>
      <c r="R1673">
        <v>288608</v>
      </c>
      <c r="S1673" t="s">
        <v>1821</v>
      </c>
      <c r="T1673">
        <v>370</v>
      </c>
      <c r="U1673" t="s">
        <v>108</v>
      </c>
      <c r="V1673">
        <v>44</v>
      </c>
      <c r="W1673" t="str">
        <f>HYPERLINK("Gene267-zp_tree_all.dnd", "Gene267-tree")</f>
        <v>Gene267-tree</v>
      </c>
      <c r="X1673">
        <v>5</v>
      </c>
      <c r="Y1673">
        <v>11</v>
      </c>
      <c r="Z1673">
        <v>5</v>
      </c>
      <c r="AA1673">
        <v>11</v>
      </c>
      <c r="AB1673">
        <v>0.6875</v>
      </c>
      <c r="AC1673" t="s">
        <v>199</v>
      </c>
      <c r="AD1673" t="s">
        <v>73</v>
      </c>
      <c r="AE1673">
        <v>137353515.63499999</v>
      </c>
      <c r="AF1673" t="s">
        <v>267</v>
      </c>
      <c r="AG1673">
        <v>11</v>
      </c>
      <c r="AH1673">
        <v>27</v>
      </c>
      <c r="AI1673">
        <v>31</v>
      </c>
      <c r="AJ1673">
        <v>0.46551999999999999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8</v>
      </c>
      <c r="AQ1673">
        <v>4</v>
      </c>
      <c r="AR1673">
        <v>12</v>
      </c>
      <c r="AS1673">
        <v>31</v>
      </c>
      <c r="AT1673">
        <v>0.27906999999999998</v>
      </c>
      <c r="AU1673">
        <v>14</v>
      </c>
      <c r="AV1673">
        <v>12</v>
      </c>
      <c r="AW1673">
        <v>48</v>
      </c>
      <c r="AX1673">
        <v>38</v>
      </c>
      <c r="AY1673">
        <v>25</v>
      </c>
      <c r="AZ1673">
        <v>23</v>
      </c>
      <c r="BA1673" t="s">
        <v>1822</v>
      </c>
      <c r="BB1673" t="s">
        <v>1823</v>
      </c>
      <c r="BC1673">
        <v>0.29599999999999999</v>
      </c>
      <c r="BD1673" t="s">
        <v>65</v>
      </c>
      <c r="BE1673">
        <v>73</v>
      </c>
      <c r="BF1673">
        <v>61</v>
      </c>
      <c r="BG1673" t="s">
        <v>1824</v>
      </c>
      <c r="BH1673" t="s">
        <v>1825</v>
      </c>
      <c r="BI1673" t="s">
        <v>1826</v>
      </c>
      <c r="BJ1673">
        <v>0.28414</v>
      </c>
      <c r="BK1673">
        <v>1</v>
      </c>
      <c r="BL1673" t="s">
        <v>69</v>
      </c>
      <c r="BM1673">
        <v>-0.54600000000000004</v>
      </c>
      <c r="BN1673">
        <v>-1.163</v>
      </c>
    </row>
    <row r="1674" spans="2:66">
      <c r="B1674">
        <v>2998</v>
      </c>
      <c r="C1674">
        <v>85</v>
      </c>
      <c r="D1674">
        <v>0</v>
      </c>
      <c r="E1674">
        <v>7</v>
      </c>
      <c r="F1674">
        <v>0</v>
      </c>
      <c r="J1674">
        <v>0</v>
      </c>
      <c r="K1674">
        <v>6</v>
      </c>
      <c r="L1674">
        <v>2</v>
      </c>
      <c r="M1674" t="s">
        <v>25022</v>
      </c>
      <c r="N1674">
        <v>270</v>
      </c>
      <c r="O1674" t="s">
        <v>1841</v>
      </c>
      <c r="P1674" t="s">
        <v>57</v>
      </c>
      <c r="Q1674">
        <v>290915</v>
      </c>
      <c r="R1674">
        <v>292039</v>
      </c>
      <c r="S1674" t="s">
        <v>1842</v>
      </c>
      <c r="T1674">
        <v>375</v>
      </c>
      <c r="U1674" t="s">
        <v>108</v>
      </c>
      <c r="V1674">
        <v>44</v>
      </c>
      <c r="W1674" t="str">
        <f>HYPERLINK("Gene270-zp_tree_all.dnd", "Gene270-tree")</f>
        <v>Gene270-tree</v>
      </c>
      <c r="X1674">
        <v>5</v>
      </c>
      <c r="Y1674">
        <v>10</v>
      </c>
      <c r="Z1674">
        <v>5</v>
      </c>
      <c r="AA1674">
        <v>10</v>
      </c>
      <c r="AB1674">
        <v>0.66666999999999998</v>
      </c>
      <c r="AC1674" t="s">
        <v>199</v>
      </c>
      <c r="AD1674" t="s">
        <v>117</v>
      </c>
      <c r="AE1674" t="s">
        <v>62</v>
      </c>
      <c r="AF1674" t="s">
        <v>62</v>
      </c>
      <c r="AG1674">
        <v>4</v>
      </c>
      <c r="AH1674">
        <v>8</v>
      </c>
      <c r="AI1674">
        <v>12</v>
      </c>
      <c r="AJ1674">
        <v>0.4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2</v>
      </c>
      <c r="AQ1674">
        <v>2</v>
      </c>
      <c r="AR1674">
        <v>4</v>
      </c>
      <c r="AS1674">
        <v>11</v>
      </c>
      <c r="AT1674">
        <v>0.26667000000000002</v>
      </c>
      <c r="AU1674">
        <v>12</v>
      </c>
      <c r="AV1674">
        <v>10</v>
      </c>
      <c r="AW1674">
        <v>25</v>
      </c>
      <c r="AX1674">
        <v>16</v>
      </c>
      <c r="AY1674">
        <v>22</v>
      </c>
      <c r="AZ1674">
        <v>5</v>
      </c>
      <c r="BA1674" t="s">
        <v>1843</v>
      </c>
      <c r="BB1674" t="s">
        <v>1844</v>
      </c>
      <c r="BC1674">
        <v>0.98</v>
      </c>
      <c r="BD1674" t="s">
        <v>65</v>
      </c>
      <c r="BE1674">
        <v>47</v>
      </c>
      <c r="BF1674">
        <v>21</v>
      </c>
      <c r="BG1674" t="s">
        <v>1845</v>
      </c>
      <c r="BH1674" t="s">
        <v>1846</v>
      </c>
      <c r="BI1674" t="s">
        <v>1847</v>
      </c>
      <c r="BJ1674">
        <v>0.1181</v>
      </c>
      <c r="BK1674">
        <v>1</v>
      </c>
      <c r="BL1674" t="s">
        <v>69</v>
      </c>
      <c r="BM1674">
        <v>-0.56799999999999995</v>
      </c>
      <c r="BN1674">
        <v>-1.0780000000000001</v>
      </c>
    </row>
    <row r="1675" spans="2:66">
      <c r="B1675">
        <v>3005</v>
      </c>
      <c r="C1675">
        <v>41</v>
      </c>
      <c r="D1675">
        <v>0</v>
      </c>
      <c r="E1675">
        <v>7</v>
      </c>
      <c r="F1675">
        <v>0</v>
      </c>
      <c r="J1675">
        <v>0</v>
      </c>
      <c r="K1675">
        <v>4</v>
      </c>
      <c r="L1675">
        <v>0</v>
      </c>
      <c r="M1675" t="s">
        <v>25022</v>
      </c>
      <c r="N1675">
        <v>271</v>
      </c>
      <c r="O1675" t="s">
        <v>1848</v>
      </c>
      <c r="P1675" t="s">
        <v>57</v>
      </c>
      <c r="Q1675">
        <v>292205</v>
      </c>
      <c r="R1675">
        <v>292840</v>
      </c>
      <c r="S1675" t="s">
        <v>1849</v>
      </c>
      <c r="T1675">
        <v>212</v>
      </c>
      <c r="U1675" t="s">
        <v>108</v>
      </c>
      <c r="V1675">
        <v>44</v>
      </c>
      <c r="W1675" t="str">
        <f>HYPERLINK("Gene271-zp_tree_all.dnd", "Gene271-tree")</f>
        <v>Gene271-tree</v>
      </c>
      <c r="X1675">
        <v>8</v>
      </c>
      <c r="Y1675">
        <v>6</v>
      </c>
      <c r="Z1675">
        <v>8</v>
      </c>
      <c r="AA1675">
        <v>6</v>
      </c>
      <c r="AB1675">
        <v>0.42857000000000001</v>
      </c>
      <c r="AC1675" t="s">
        <v>136</v>
      </c>
      <c r="AD1675" t="s">
        <v>90</v>
      </c>
      <c r="AE1675" t="s">
        <v>62</v>
      </c>
      <c r="AF1675" t="s">
        <v>62</v>
      </c>
      <c r="AG1675">
        <v>2</v>
      </c>
      <c r="AH1675">
        <v>4</v>
      </c>
      <c r="AI1675">
        <v>3</v>
      </c>
      <c r="AJ1675">
        <v>0.57142999999999999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4</v>
      </c>
      <c r="AQ1675">
        <v>0</v>
      </c>
      <c r="AR1675">
        <v>4</v>
      </c>
      <c r="AS1675">
        <v>2</v>
      </c>
      <c r="AT1675">
        <v>0.66666999999999998</v>
      </c>
      <c r="AU1675">
        <v>11</v>
      </c>
      <c r="AV1675">
        <v>7</v>
      </c>
      <c r="AW1675">
        <v>26</v>
      </c>
      <c r="AX1675">
        <v>6</v>
      </c>
      <c r="AY1675">
        <v>16</v>
      </c>
      <c r="AZ1675">
        <v>4</v>
      </c>
      <c r="BA1675" t="s">
        <v>1850</v>
      </c>
      <c r="BB1675" t="s">
        <v>1851</v>
      </c>
      <c r="BC1675">
        <v>3.4000000000000002E-2</v>
      </c>
      <c r="BD1675" t="s">
        <v>65</v>
      </c>
      <c r="BE1675">
        <v>42</v>
      </c>
      <c r="BF1675">
        <v>10</v>
      </c>
      <c r="BG1675" t="s">
        <v>1852</v>
      </c>
      <c r="BH1675" t="s">
        <v>1853</v>
      </c>
      <c r="BI1675" t="s">
        <v>1854</v>
      </c>
      <c r="BJ1675">
        <v>9.0490000000000001E-2</v>
      </c>
      <c r="BK1675">
        <v>1</v>
      </c>
      <c r="BL1675" t="s">
        <v>69</v>
      </c>
      <c r="BM1675">
        <v>-1.2250000000000001</v>
      </c>
      <c r="BN1675">
        <v>-0.23100000000000001</v>
      </c>
    </row>
    <row r="1676" spans="2:66">
      <c r="B1676">
        <v>3008</v>
      </c>
      <c r="C1676">
        <v>124</v>
      </c>
      <c r="D1676">
        <v>0</v>
      </c>
      <c r="E1676">
        <v>2</v>
      </c>
      <c r="F1676">
        <v>0</v>
      </c>
      <c r="J1676">
        <v>0</v>
      </c>
      <c r="K1676">
        <v>2</v>
      </c>
      <c r="L1676">
        <v>0</v>
      </c>
      <c r="M1676" t="s">
        <v>25022</v>
      </c>
      <c r="N1676">
        <v>273</v>
      </c>
      <c r="O1676" t="s">
        <v>1863</v>
      </c>
      <c r="P1676" t="s">
        <v>57</v>
      </c>
      <c r="Q1676">
        <v>293499</v>
      </c>
      <c r="R1676">
        <v>294572</v>
      </c>
      <c r="S1676" t="s">
        <v>116</v>
      </c>
      <c r="T1676">
        <v>358</v>
      </c>
      <c r="U1676" t="s">
        <v>108</v>
      </c>
      <c r="V1676">
        <v>44</v>
      </c>
      <c r="W1676" t="str">
        <f>HYPERLINK("Gene273-zp_tree_all.dnd", "Gene273-tree")</f>
        <v>Gene273-tree</v>
      </c>
      <c r="X1676">
        <v>7</v>
      </c>
      <c r="Y1676">
        <v>9</v>
      </c>
      <c r="Z1676">
        <v>7</v>
      </c>
      <c r="AA1676">
        <v>9</v>
      </c>
      <c r="AB1676">
        <v>0.5625</v>
      </c>
      <c r="AC1676" t="s">
        <v>152</v>
      </c>
      <c r="AD1676" t="s">
        <v>135</v>
      </c>
      <c r="AE1676" t="s">
        <v>62</v>
      </c>
      <c r="AF1676" t="s">
        <v>62</v>
      </c>
      <c r="AG1676">
        <v>1</v>
      </c>
      <c r="AH1676">
        <v>2</v>
      </c>
      <c r="AI1676">
        <v>11</v>
      </c>
      <c r="AJ1676">
        <v>0.15384999999999999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12</v>
      </c>
      <c r="AT1676">
        <v>0</v>
      </c>
      <c r="AU1676">
        <v>13</v>
      </c>
      <c r="AV1676">
        <v>12</v>
      </c>
      <c r="AW1676">
        <v>34</v>
      </c>
      <c r="AX1676">
        <v>12</v>
      </c>
      <c r="AY1676">
        <v>23</v>
      </c>
      <c r="AZ1676">
        <v>1</v>
      </c>
      <c r="BA1676" t="s">
        <v>1864</v>
      </c>
      <c r="BB1676" t="s">
        <v>1865</v>
      </c>
      <c r="BC1676">
        <v>1.575</v>
      </c>
      <c r="BD1676" t="s">
        <v>65</v>
      </c>
      <c r="BE1676">
        <v>57</v>
      </c>
      <c r="BF1676">
        <v>13</v>
      </c>
      <c r="BG1676" t="s">
        <v>1866</v>
      </c>
      <c r="BH1676" t="s">
        <v>1867</v>
      </c>
      <c r="BI1676" t="s">
        <v>1868</v>
      </c>
      <c r="BJ1676">
        <v>5.1950000000000003E-2</v>
      </c>
      <c r="BK1676">
        <v>1</v>
      </c>
      <c r="BL1676" t="s">
        <v>69</v>
      </c>
      <c r="BM1676">
        <v>-1.0589999999999999</v>
      </c>
      <c r="BN1676">
        <v>-1.59</v>
      </c>
    </row>
    <row r="1677" spans="2:66">
      <c r="B1677">
        <v>3009</v>
      </c>
      <c r="C1677">
        <v>513</v>
      </c>
      <c r="D1677">
        <v>0</v>
      </c>
      <c r="E1677">
        <v>4</v>
      </c>
      <c r="F1677">
        <v>0</v>
      </c>
      <c r="J1677">
        <v>0</v>
      </c>
      <c r="K1677">
        <v>0</v>
      </c>
      <c r="L1677">
        <v>2</v>
      </c>
      <c r="M1677" t="s">
        <v>25022</v>
      </c>
      <c r="N1677">
        <v>276</v>
      </c>
      <c r="O1677" t="s">
        <v>1884</v>
      </c>
      <c r="P1677" t="s">
        <v>57</v>
      </c>
      <c r="Q1677">
        <v>296429</v>
      </c>
      <c r="R1677">
        <v>297166</v>
      </c>
      <c r="S1677" t="s">
        <v>1885</v>
      </c>
      <c r="T1677">
        <v>246</v>
      </c>
      <c r="U1677" t="s">
        <v>125</v>
      </c>
      <c r="V1677">
        <v>48</v>
      </c>
      <c r="W1677" t="str">
        <f>HYPERLINK("Gene276-zp_tree_all.dnd", "Gene276-tree")</f>
        <v>Gene276-tree</v>
      </c>
      <c r="X1677">
        <v>10</v>
      </c>
      <c r="Y1677">
        <v>6</v>
      </c>
      <c r="Z1677">
        <v>10</v>
      </c>
      <c r="AA1677">
        <v>6</v>
      </c>
      <c r="AB1677">
        <v>0.375</v>
      </c>
      <c r="AC1677" t="s">
        <v>117</v>
      </c>
      <c r="AD1677" t="s">
        <v>90</v>
      </c>
      <c r="AE1677" t="s">
        <v>62</v>
      </c>
      <c r="AF1677" t="s">
        <v>62</v>
      </c>
      <c r="AG1677">
        <v>1</v>
      </c>
      <c r="AH1677">
        <v>2</v>
      </c>
      <c r="AI1677">
        <v>11</v>
      </c>
      <c r="AJ1677">
        <v>0.15384999999999999</v>
      </c>
      <c r="AK1677">
        <v>0</v>
      </c>
      <c r="AL1677">
        <v>0</v>
      </c>
      <c r="AM1677">
        <v>0</v>
      </c>
      <c r="AN1677">
        <v>5</v>
      </c>
      <c r="AO1677">
        <v>0</v>
      </c>
      <c r="AP1677">
        <v>0</v>
      </c>
      <c r="AQ1677">
        <v>0</v>
      </c>
      <c r="AR1677">
        <v>0</v>
      </c>
      <c r="AS1677">
        <v>6</v>
      </c>
      <c r="AT1677">
        <v>0</v>
      </c>
      <c r="AU1677">
        <v>13</v>
      </c>
      <c r="AV1677">
        <v>9</v>
      </c>
      <c r="AW1677">
        <v>32</v>
      </c>
      <c r="AX1677">
        <v>7</v>
      </c>
      <c r="AY1677">
        <v>37</v>
      </c>
      <c r="AZ1677">
        <v>7</v>
      </c>
      <c r="BA1677" t="s">
        <v>1886</v>
      </c>
      <c r="BB1677" t="s">
        <v>1887</v>
      </c>
      <c r="BC1677">
        <v>8.8999999999999996E-2</v>
      </c>
      <c r="BD1677" t="s">
        <v>65</v>
      </c>
      <c r="BE1677">
        <v>69</v>
      </c>
      <c r="BF1677">
        <v>14</v>
      </c>
      <c r="BG1677" t="s">
        <v>1888</v>
      </c>
      <c r="BH1677" t="s">
        <v>1889</v>
      </c>
      <c r="BI1677" t="s">
        <v>1890</v>
      </c>
      <c r="BJ1677">
        <v>6.8159999999999998E-2</v>
      </c>
      <c r="BK1677">
        <v>1</v>
      </c>
      <c r="BL1677" t="s">
        <v>69</v>
      </c>
      <c r="BM1677">
        <v>-1.472</v>
      </c>
      <c r="BN1677">
        <v>-1.3580000000000001</v>
      </c>
    </row>
    <row r="1678" spans="2:66">
      <c r="B1678">
        <v>3012</v>
      </c>
      <c r="C1678">
        <v>176</v>
      </c>
      <c r="D1678">
        <v>0</v>
      </c>
      <c r="E1678">
        <v>2</v>
      </c>
      <c r="F1678">
        <v>0</v>
      </c>
      <c r="J1678">
        <v>0</v>
      </c>
      <c r="K1678">
        <v>14</v>
      </c>
      <c r="L1678">
        <v>0</v>
      </c>
      <c r="M1678" t="s">
        <v>25022</v>
      </c>
      <c r="N1678">
        <v>277</v>
      </c>
      <c r="O1678" t="s">
        <v>1891</v>
      </c>
      <c r="P1678" t="s">
        <v>57</v>
      </c>
      <c r="Q1678">
        <v>297170</v>
      </c>
      <c r="R1678">
        <v>298327</v>
      </c>
      <c r="S1678" t="s">
        <v>1892</v>
      </c>
      <c r="T1678">
        <v>386</v>
      </c>
      <c r="U1678" t="s">
        <v>465</v>
      </c>
      <c r="V1678">
        <v>46</v>
      </c>
      <c r="W1678" t="str">
        <f>HYPERLINK("Gene277-zp_tree_all.dnd", "Gene277-tree")</f>
        <v>Gene277-tree</v>
      </c>
      <c r="X1678">
        <v>7</v>
      </c>
      <c r="Y1678">
        <v>11</v>
      </c>
      <c r="Z1678">
        <v>7</v>
      </c>
      <c r="AA1678">
        <v>11</v>
      </c>
      <c r="AB1678">
        <v>0.61111000000000004</v>
      </c>
      <c r="AC1678" t="s">
        <v>152</v>
      </c>
      <c r="AD1678" t="s">
        <v>73</v>
      </c>
      <c r="AE1678">
        <v>65406436.016999997</v>
      </c>
      <c r="AF1678" t="s">
        <v>267</v>
      </c>
      <c r="AG1678">
        <v>6</v>
      </c>
      <c r="AH1678">
        <v>14</v>
      </c>
      <c r="AI1678">
        <v>27</v>
      </c>
      <c r="AJ1678">
        <v>0.34145999999999999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4</v>
      </c>
      <c r="AQ1678">
        <v>0</v>
      </c>
      <c r="AR1678">
        <v>4</v>
      </c>
      <c r="AS1678">
        <v>16</v>
      </c>
      <c r="AT1678">
        <v>0.2</v>
      </c>
      <c r="AU1678">
        <v>16</v>
      </c>
      <c r="AV1678">
        <v>13</v>
      </c>
      <c r="AW1678">
        <v>41</v>
      </c>
      <c r="AX1678">
        <v>19</v>
      </c>
      <c r="AY1678">
        <v>51</v>
      </c>
      <c r="AZ1678">
        <v>22</v>
      </c>
      <c r="BA1678" t="s">
        <v>1893</v>
      </c>
      <c r="BB1678" t="s">
        <v>1894</v>
      </c>
      <c r="BC1678">
        <v>5.0999999999999997E-2</v>
      </c>
      <c r="BD1678" t="s">
        <v>65</v>
      </c>
      <c r="BE1678">
        <v>92</v>
      </c>
      <c r="BF1678">
        <v>41</v>
      </c>
      <c r="BG1678" t="s">
        <v>1895</v>
      </c>
      <c r="BH1678" t="s">
        <v>1896</v>
      </c>
      <c r="BI1678" t="s">
        <v>1897</v>
      </c>
      <c r="BJ1678">
        <v>0.12154</v>
      </c>
      <c r="BK1678">
        <v>1</v>
      </c>
      <c r="BL1678" t="s">
        <v>69</v>
      </c>
      <c r="BM1678">
        <v>-1.522</v>
      </c>
      <c r="BN1678">
        <v>1.6E-2</v>
      </c>
    </row>
    <row r="1679" spans="2:66">
      <c r="B1679">
        <v>3014</v>
      </c>
      <c r="C1679">
        <v>114</v>
      </c>
      <c r="D1679">
        <v>0</v>
      </c>
      <c r="E1679">
        <v>2</v>
      </c>
      <c r="F1679">
        <v>0</v>
      </c>
      <c r="J1679">
        <v>0</v>
      </c>
      <c r="K1679">
        <v>9</v>
      </c>
      <c r="L1679">
        <v>2</v>
      </c>
      <c r="M1679" t="s">
        <v>25022</v>
      </c>
      <c r="N1679">
        <v>278</v>
      </c>
      <c r="O1679" t="s">
        <v>1898</v>
      </c>
      <c r="P1679" t="s">
        <v>57</v>
      </c>
      <c r="Q1679">
        <v>298466</v>
      </c>
      <c r="R1679">
        <v>299395</v>
      </c>
      <c r="S1679" t="s">
        <v>1899</v>
      </c>
      <c r="T1679">
        <v>310</v>
      </c>
      <c r="U1679" t="s">
        <v>1174</v>
      </c>
      <c r="V1679">
        <v>42</v>
      </c>
      <c r="W1679" t="str">
        <f>HYPERLINK("Gene278-zp_tree_all.dnd", "Gene278-tree")</f>
        <v>Gene278-tree</v>
      </c>
      <c r="X1679">
        <v>6</v>
      </c>
      <c r="Y1679">
        <v>8</v>
      </c>
      <c r="Z1679">
        <v>6</v>
      </c>
      <c r="AA1679">
        <v>8</v>
      </c>
      <c r="AB1679">
        <v>0.57142999999999999</v>
      </c>
      <c r="AC1679" t="s">
        <v>90</v>
      </c>
      <c r="AD1679" t="s">
        <v>136</v>
      </c>
      <c r="AE1679" t="s">
        <v>62</v>
      </c>
      <c r="AF1679" t="s">
        <v>62</v>
      </c>
      <c r="AG1679">
        <v>4</v>
      </c>
      <c r="AH1679">
        <v>11</v>
      </c>
      <c r="AI1679">
        <v>19</v>
      </c>
      <c r="AJ1679">
        <v>0.36667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4</v>
      </c>
      <c r="AQ1679">
        <v>0</v>
      </c>
      <c r="AR1679">
        <v>4</v>
      </c>
      <c r="AS1679">
        <v>19</v>
      </c>
      <c r="AT1679">
        <v>0.17391000000000001</v>
      </c>
      <c r="AU1679">
        <v>14</v>
      </c>
      <c r="AV1679">
        <v>11</v>
      </c>
      <c r="AW1679">
        <v>48</v>
      </c>
      <c r="AX1679">
        <v>23</v>
      </c>
      <c r="AY1679">
        <v>19</v>
      </c>
      <c r="AZ1679">
        <v>7</v>
      </c>
      <c r="BA1679" t="s">
        <v>1900</v>
      </c>
      <c r="BB1679" t="s">
        <v>1901</v>
      </c>
      <c r="BC1679">
        <v>0.10100000000000001</v>
      </c>
      <c r="BD1679" t="s">
        <v>65</v>
      </c>
      <c r="BE1679">
        <v>67</v>
      </c>
      <c r="BF1679">
        <v>30</v>
      </c>
      <c r="BG1679" t="s">
        <v>1902</v>
      </c>
      <c r="BH1679" t="s">
        <v>1903</v>
      </c>
      <c r="BI1679" t="s">
        <v>1904</v>
      </c>
      <c r="BJ1679">
        <v>0.12776999999999999</v>
      </c>
      <c r="BK1679">
        <v>1</v>
      </c>
      <c r="BL1679" t="s">
        <v>69</v>
      </c>
      <c r="BM1679">
        <v>-1.4470000000000001</v>
      </c>
      <c r="BN1679">
        <v>-3.266</v>
      </c>
    </row>
    <row r="1680" spans="2:66">
      <c r="B1680">
        <v>3020</v>
      </c>
      <c r="C1680">
        <v>6</v>
      </c>
      <c r="D1680">
        <v>0</v>
      </c>
      <c r="E1680">
        <v>2</v>
      </c>
      <c r="F1680">
        <v>0</v>
      </c>
      <c r="J1680">
        <v>0</v>
      </c>
      <c r="K1680">
        <v>17</v>
      </c>
      <c r="L1680">
        <v>5</v>
      </c>
      <c r="M1680" t="s">
        <v>25022</v>
      </c>
      <c r="N1680">
        <v>281</v>
      </c>
      <c r="O1680" t="s">
        <v>1918</v>
      </c>
      <c r="P1680" t="s">
        <v>57</v>
      </c>
      <c r="Q1680">
        <v>302435</v>
      </c>
      <c r="R1680">
        <v>303793</v>
      </c>
      <c r="S1680" t="s">
        <v>116</v>
      </c>
      <c r="T1680">
        <v>453</v>
      </c>
      <c r="U1680" t="s">
        <v>629</v>
      </c>
      <c r="V1680">
        <v>43</v>
      </c>
      <c r="W1680" t="str">
        <f>HYPERLINK("Gene281-zp_tree_all.dnd", "Gene281-tree")</f>
        <v>Gene281-tree</v>
      </c>
      <c r="X1680">
        <v>3</v>
      </c>
      <c r="Y1680">
        <v>15</v>
      </c>
      <c r="Z1680">
        <v>3</v>
      </c>
      <c r="AA1680">
        <v>15</v>
      </c>
      <c r="AB1680">
        <v>0.83333000000000002</v>
      </c>
      <c r="AC1680" t="s">
        <v>324</v>
      </c>
      <c r="AD1680" t="s">
        <v>100</v>
      </c>
      <c r="AE1680" t="s">
        <v>62</v>
      </c>
      <c r="AF1680" t="s">
        <v>62</v>
      </c>
      <c r="AG1680">
        <v>9</v>
      </c>
      <c r="AH1680">
        <v>22</v>
      </c>
      <c r="AI1680">
        <v>34</v>
      </c>
      <c r="AJ1680">
        <v>0.39285999999999999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12</v>
      </c>
      <c r="AQ1680">
        <v>5</v>
      </c>
      <c r="AR1680">
        <v>17</v>
      </c>
      <c r="AS1680">
        <v>23</v>
      </c>
      <c r="AT1680">
        <v>0.42499999999999999</v>
      </c>
      <c r="AU1680">
        <v>15</v>
      </c>
      <c r="AV1680">
        <v>12</v>
      </c>
      <c r="AW1680">
        <v>33</v>
      </c>
      <c r="AX1680">
        <v>34</v>
      </c>
      <c r="AY1680">
        <v>34</v>
      </c>
      <c r="AZ1680">
        <v>22</v>
      </c>
      <c r="BA1680" t="s">
        <v>1919</v>
      </c>
      <c r="BB1680" t="s">
        <v>1920</v>
      </c>
      <c r="BC1680">
        <v>0.95099999999999996</v>
      </c>
      <c r="BD1680" t="s">
        <v>65</v>
      </c>
      <c r="BE1680">
        <v>67</v>
      </c>
      <c r="BF1680">
        <v>56</v>
      </c>
      <c r="BG1680" t="s">
        <v>1921</v>
      </c>
      <c r="BH1680" t="s">
        <v>1922</v>
      </c>
      <c r="BI1680" t="s">
        <v>1923</v>
      </c>
      <c r="BJ1680">
        <v>0.22847999999999999</v>
      </c>
      <c r="BK1680">
        <v>1</v>
      </c>
      <c r="BL1680" t="s">
        <v>69</v>
      </c>
      <c r="BM1680">
        <v>-0.32300000000000001</v>
      </c>
      <c r="BN1680">
        <v>-1.3779999999999999</v>
      </c>
    </row>
    <row r="1681" spans="2:66">
      <c r="B1681">
        <v>3022</v>
      </c>
      <c r="C1681">
        <v>186</v>
      </c>
      <c r="D1681">
        <v>0</v>
      </c>
      <c r="E1681">
        <v>5</v>
      </c>
      <c r="F1681">
        <v>2</v>
      </c>
      <c r="J1681">
        <v>0</v>
      </c>
      <c r="K1681">
        <v>4</v>
      </c>
      <c r="L1681">
        <v>0</v>
      </c>
      <c r="M1681" t="s">
        <v>25022</v>
      </c>
      <c r="N1681">
        <v>283</v>
      </c>
      <c r="O1681" t="s">
        <v>1931</v>
      </c>
      <c r="P1681" t="s">
        <v>57</v>
      </c>
      <c r="Q1681">
        <v>304430</v>
      </c>
      <c r="R1681">
        <v>305548</v>
      </c>
      <c r="S1681" t="s">
        <v>1932</v>
      </c>
      <c r="T1681">
        <v>373</v>
      </c>
      <c r="U1681" t="s">
        <v>1933</v>
      </c>
      <c r="V1681">
        <v>39</v>
      </c>
      <c r="W1681" t="str">
        <f>HYPERLINK("Gene283-zp_tree_all.dnd", "Gene283-tree")</f>
        <v>Gene283-tree</v>
      </c>
      <c r="X1681">
        <v>8</v>
      </c>
      <c r="Y1681">
        <v>8</v>
      </c>
      <c r="Z1681">
        <v>8</v>
      </c>
      <c r="AA1681">
        <v>8</v>
      </c>
      <c r="AB1681">
        <v>0.5</v>
      </c>
      <c r="AC1681" t="s">
        <v>136</v>
      </c>
      <c r="AD1681" t="s">
        <v>136</v>
      </c>
      <c r="AE1681" t="s">
        <v>62</v>
      </c>
      <c r="AF1681" t="s">
        <v>62</v>
      </c>
      <c r="AG1681">
        <v>2</v>
      </c>
      <c r="AH1681">
        <v>4</v>
      </c>
      <c r="AI1681">
        <v>12</v>
      </c>
      <c r="AJ1681">
        <v>0.25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2</v>
      </c>
      <c r="AQ1681">
        <v>0</v>
      </c>
      <c r="AR1681">
        <v>2</v>
      </c>
      <c r="AS1681">
        <v>12</v>
      </c>
      <c r="AT1681">
        <v>0.14285999999999999</v>
      </c>
      <c r="AU1681">
        <v>12</v>
      </c>
      <c r="AV1681">
        <v>11</v>
      </c>
      <c r="AW1681">
        <v>39</v>
      </c>
      <c r="AX1681">
        <v>14</v>
      </c>
      <c r="AY1681">
        <v>21</v>
      </c>
      <c r="AZ1681">
        <v>2</v>
      </c>
      <c r="BA1681" t="s">
        <v>1934</v>
      </c>
      <c r="BB1681" t="s">
        <v>1935</v>
      </c>
      <c r="BC1681">
        <v>0.75900000000000001</v>
      </c>
      <c r="BD1681" t="s">
        <v>65</v>
      </c>
      <c r="BE1681">
        <v>60</v>
      </c>
      <c r="BF1681">
        <v>16</v>
      </c>
      <c r="BG1681" t="s">
        <v>1936</v>
      </c>
      <c r="BH1681" t="s">
        <v>1937</v>
      </c>
      <c r="BI1681" t="s">
        <v>1938</v>
      </c>
      <c r="BJ1681">
        <v>6.4769999999999994E-2</v>
      </c>
      <c r="BK1681">
        <v>1</v>
      </c>
      <c r="BL1681" t="s">
        <v>69</v>
      </c>
      <c r="BM1681">
        <v>-1.1120000000000001</v>
      </c>
      <c r="BN1681">
        <v>-2.109</v>
      </c>
    </row>
    <row r="1682" spans="2:66">
      <c r="B1682">
        <v>3023</v>
      </c>
      <c r="C1682">
        <v>61</v>
      </c>
      <c r="D1682">
        <v>0</v>
      </c>
      <c r="E1682">
        <v>0</v>
      </c>
      <c r="F1682">
        <v>2</v>
      </c>
      <c r="J1682">
        <v>0</v>
      </c>
      <c r="K1682">
        <v>2</v>
      </c>
      <c r="L1682">
        <v>0</v>
      </c>
      <c r="M1682" t="s">
        <v>25022</v>
      </c>
      <c r="N1682">
        <v>284</v>
      </c>
      <c r="O1682" t="s">
        <v>1939</v>
      </c>
      <c r="P1682" t="s">
        <v>57</v>
      </c>
      <c r="Q1682">
        <v>305658</v>
      </c>
      <c r="R1682">
        <v>306431</v>
      </c>
      <c r="S1682" t="s">
        <v>1940</v>
      </c>
      <c r="T1682">
        <v>258</v>
      </c>
      <c r="U1682" t="s">
        <v>108</v>
      </c>
      <c r="V1682">
        <v>44</v>
      </c>
      <c r="W1682" t="str">
        <f>HYPERLINK("Gene284-zp_tree_all.dnd", "Gene284-tree")</f>
        <v>Gene284-tree</v>
      </c>
      <c r="X1682">
        <v>11</v>
      </c>
      <c r="Y1682">
        <v>5</v>
      </c>
      <c r="Z1682">
        <v>11</v>
      </c>
      <c r="AA1682">
        <v>5</v>
      </c>
      <c r="AB1682">
        <v>0.3125</v>
      </c>
      <c r="AC1682" t="s">
        <v>73</v>
      </c>
      <c r="AD1682" t="s">
        <v>199</v>
      </c>
      <c r="AE1682" t="s">
        <v>62</v>
      </c>
      <c r="AF1682" t="s">
        <v>62</v>
      </c>
      <c r="AG1682">
        <v>1</v>
      </c>
      <c r="AH1682">
        <v>2</v>
      </c>
      <c r="AI1682">
        <v>10</v>
      </c>
      <c r="AJ1682">
        <v>0.16667000000000001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10</v>
      </c>
      <c r="AT1682">
        <v>0</v>
      </c>
      <c r="AU1682">
        <v>15</v>
      </c>
      <c r="AV1682">
        <v>10</v>
      </c>
      <c r="AW1682">
        <v>24</v>
      </c>
      <c r="AX1682">
        <v>10</v>
      </c>
      <c r="AY1682">
        <v>18</v>
      </c>
      <c r="AZ1682">
        <v>2</v>
      </c>
      <c r="BA1682" t="s">
        <v>1941</v>
      </c>
      <c r="BB1682" t="s">
        <v>1942</v>
      </c>
      <c r="BC1682">
        <v>0.82</v>
      </c>
      <c r="BD1682" t="s">
        <v>65</v>
      </c>
      <c r="BE1682">
        <v>42</v>
      </c>
      <c r="BF1682">
        <v>12</v>
      </c>
      <c r="BG1682" t="s">
        <v>1943</v>
      </c>
      <c r="BH1682" t="s">
        <v>1944</v>
      </c>
      <c r="BI1682" t="s">
        <v>1945</v>
      </c>
      <c r="BJ1682">
        <v>7.1050000000000002E-2</v>
      </c>
      <c r="BK1682">
        <v>1</v>
      </c>
      <c r="BL1682" t="s">
        <v>69</v>
      </c>
      <c r="BM1682">
        <v>6.5000000000000002E-2</v>
      </c>
      <c r="BN1682">
        <v>-0.49199999999999999</v>
      </c>
    </row>
    <row r="1683" spans="2:66">
      <c r="B1683">
        <v>3024</v>
      </c>
      <c r="C1683">
        <v>274</v>
      </c>
      <c r="D1683">
        <v>0</v>
      </c>
      <c r="E1683">
        <v>4</v>
      </c>
      <c r="F1683">
        <v>0</v>
      </c>
      <c r="J1683">
        <v>0</v>
      </c>
      <c r="K1683">
        <v>25</v>
      </c>
      <c r="L1683">
        <v>1</v>
      </c>
      <c r="M1683" t="s">
        <v>25022</v>
      </c>
      <c r="N1683">
        <v>285</v>
      </c>
      <c r="O1683" t="s">
        <v>1946</v>
      </c>
      <c r="P1683" t="s">
        <v>57</v>
      </c>
      <c r="Q1683">
        <v>306459</v>
      </c>
      <c r="R1683">
        <v>308141</v>
      </c>
      <c r="S1683" t="s">
        <v>1947</v>
      </c>
      <c r="T1683">
        <v>561</v>
      </c>
      <c r="U1683" t="s">
        <v>108</v>
      </c>
      <c r="V1683">
        <v>44</v>
      </c>
      <c r="W1683" t="str">
        <f>HYPERLINK("Gene285-zp_tree_all.dnd", "Gene285-tree")</f>
        <v>Gene285-tree</v>
      </c>
      <c r="X1683">
        <v>1</v>
      </c>
      <c r="Y1683">
        <v>14</v>
      </c>
      <c r="Z1683">
        <v>1</v>
      </c>
      <c r="AA1683">
        <v>14</v>
      </c>
      <c r="AB1683">
        <v>0.93332999999999999</v>
      </c>
      <c r="AC1683" t="s">
        <v>175</v>
      </c>
      <c r="AD1683" t="s">
        <v>543</v>
      </c>
      <c r="AE1683">
        <v>1865302226.941</v>
      </c>
      <c r="AF1683" t="s">
        <v>267</v>
      </c>
      <c r="AG1683">
        <v>10</v>
      </c>
      <c r="AH1683">
        <v>26</v>
      </c>
      <c r="AI1683">
        <v>27</v>
      </c>
      <c r="AJ1683">
        <v>0.49057000000000001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10</v>
      </c>
      <c r="AQ1683">
        <v>3</v>
      </c>
      <c r="AR1683">
        <v>13</v>
      </c>
      <c r="AS1683">
        <v>23</v>
      </c>
      <c r="AT1683">
        <v>0.36110999999999999</v>
      </c>
      <c r="AU1683">
        <v>14</v>
      </c>
      <c r="AV1683">
        <v>12</v>
      </c>
      <c r="AW1683">
        <v>48</v>
      </c>
      <c r="AX1683">
        <v>33</v>
      </c>
      <c r="AY1683">
        <v>24</v>
      </c>
      <c r="AZ1683">
        <v>20</v>
      </c>
      <c r="BA1683" t="s">
        <v>1948</v>
      </c>
      <c r="BB1683" t="s">
        <v>1949</v>
      </c>
      <c r="BC1683">
        <v>0.44800000000000001</v>
      </c>
      <c r="BD1683" t="s">
        <v>65</v>
      </c>
      <c r="BE1683">
        <v>72</v>
      </c>
      <c r="BF1683">
        <v>53</v>
      </c>
      <c r="BG1683" t="s">
        <v>1950</v>
      </c>
      <c r="BH1683" t="s">
        <v>1951</v>
      </c>
      <c r="BI1683" t="s">
        <v>1952</v>
      </c>
      <c r="BJ1683">
        <v>0.18640999999999999</v>
      </c>
      <c r="BK1683">
        <v>1</v>
      </c>
      <c r="BL1683" t="s">
        <v>69</v>
      </c>
      <c r="BM1683">
        <v>-0.91400000000000003</v>
      </c>
      <c r="BN1683">
        <v>-2.35</v>
      </c>
    </row>
    <row r="1684" spans="2:66">
      <c r="B1684">
        <v>3025</v>
      </c>
      <c r="C1684">
        <v>354</v>
      </c>
      <c r="D1684">
        <v>0</v>
      </c>
      <c r="E1684">
        <v>6</v>
      </c>
      <c r="F1684">
        <v>0</v>
      </c>
      <c r="J1684">
        <v>0</v>
      </c>
      <c r="K1684">
        <v>0</v>
      </c>
      <c r="L1684">
        <v>0</v>
      </c>
      <c r="M1684" t="s">
        <v>25022</v>
      </c>
      <c r="N1684">
        <v>286</v>
      </c>
      <c r="O1684" t="s">
        <v>1953</v>
      </c>
      <c r="P1684" t="s">
        <v>57</v>
      </c>
      <c r="Q1684">
        <v>308332</v>
      </c>
      <c r="R1684">
        <v>309288</v>
      </c>
      <c r="S1684" t="s">
        <v>1954</v>
      </c>
      <c r="T1684">
        <v>319</v>
      </c>
      <c r="U1684" t="s">
        <v>108</v>
      </c>
      <c r="V1684">
        <v>44</v>
      </c>
      <c r="W1684" t="str">
        <f>HYPERLINK("Gene286-zp_tree_all.dnd", "Gene286-tree")</f>
        <v>Gene286-tree</v>
      </c>
      <c r="X1684">
        <v>9</v>
      </c>
      <c r="Y1684">
        <v>5</v>
      </c>
      <c r="Z1684">
        <v>9</v>
      </c>
      <c r="AA1684">
        <v>5</v>
      </c>
      <c r="AB1684">
        <v>0.35714000000000001</v>
      </c>
      <c r="AC1684" t="s">
        <v>135</v>
      </c>
      <c r="AD1684" t="s">
        <v>199</v>
      </c>
      <c r="AE1684" t="s">
        <v>62</v>
      </c>
      <c r="AF1684" t="s">
        <v>62</v>
      </c>
      <c r="AG1684">
        <v>0</v>
      </c>
      <c r="AH1684">
        <v>0</v>
      </c>
      <c r="AI1684">
        <v>7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6</v>
      </c>
      <c r="AT1684">
        <v>0</v>
      </c>
      <c r="AU1684">
        <v>13</v>
      </c>
      <c r="AV1684">
        <v>7</v>
      </c>
      <c r="AW1684">
        <v>30</v>
      </c>
      <c r="AX1684">
        <v>6</v>
      </c>
      <c r="AY1684">
        <v>17</v>
      </c>
      <c r="AZ1684">
        <v>1</v>
      </c>
      <c r="BA1684" t="s">
        <v>1955</v>
      </c>
      <c r="BB1684" t="s">
        <v>1956</v>
      </c>
      <c r="BC1684">
        <v>0.76400000000000001</v>
      </c>
      <c r="BD1684" t="s">
        <v>65</v>
      </c>
      <c r="BE1684">
        <v>47</v>
      </c>
      <c r="BF1684">
        <v>7</v>
      </c>
      <c r="BG1684" t="s">
        <v>1957</v>
      </c>
      <c r="BH1684" t="s">
        <v>1958</v>
      </c>
      <c r="BI1684" t="s">
        <v>1959</v>
      </c>
      <c r="BJ1684">
        <v>5.0900000000000001E-2</v>
      </c>
      <c r="BK1684">
        <v>1</v>
      </c>
      <c r="BL1684" t="s">
        <v>69</v>
      </c>
      <c r="BM1684">
        <v>-0.64800000000000002</v>
      </c>
      <c r="BN1684">
        <v>-1.738</v>
      </c>
    </row>
    <row r="1685" spans="2:66">
      <c r="B1685">
        <v>3026</v>
      </c>
      <c r="C1685">
        <v>61</v>
      </c>
      <c r="D1685">
        <v>0</v>
      </c>
      <c r="E1685">
        <v>18</v>
      </c>
      <c r="F1685">
        <v>1</v>
      </c>
      <c r="J1685">
        <v>0</v>
      </c>
      <c r="K1685">
        <v>0</v>
      </c>
      <c r="L1685">
        <v>0</v>
      </c>
      <c r="M1685" t="s">
        <v>25022</v>
      </c>
      <c r="N1685">
        <v>287</v>
      </c>
      <c r="O1685" t="s">
        <v>1960</v>
      </c>
      <c r="P1685" t="s">
        <v>57</v>
      </c>
      <c r="Q1685">
        <v>309347</v>
      </c>
      <c r="R1685">
        <v>310039</v>
      </c>
      <c r="S1685" t="s">
        <v>1961</v>
      </c>
      <c r="T1685">
        <v>231</v>
      </c>
      <c r="U1685" t="s">
        <v>72</v>
      </c>
      <c r="V1685">
        <v>45</v>
      </c>
      <c r="W1685" t="str">
        <f>HYPERLINK("Gene287-zp_tree_all.dnd", "Gene287-tree")</f>
        <v>Gene287-tree</v>
      </c>
      <c r="X1685">
        <v>11</v>
      </c>
      <c r="Y1685">
        <v>2</v>
      </c>
      <c r="Z1685">
        <v>11</v>
      </c>
      <c r="AA1685">
        <v>2</v>
      </c>
      <c r="AB1685">
        <v>0.15384999999999999</v>
      </c>
      <c r="AC1685" t="s">
        <v>73</v>
      </c>
      <c r="AD1685" t="s">
        <v>81</v>
      </c>
      <c r="AE1685" t="s">
        <v>62</v>
      </c>
      <c r="AF1685" t="s">
        <v>62</v>
      </c>
      <c r="AG1685">
        <v>0</v>
      </c>
      <c r="AH1685">
        <v>0</v>
      </c>
      <c r="AI1685">
        <v>2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</v>
      </c>
      <c r="AT1685">
        <v>0</v>
      </c>
      <c r="AU1685">
        <v>9</v>
      </c>
      <c r="AV1685">
        <v>5</v>
      </c>
      <c r="AW1685">
        <v>45</v>
      </c>
      <c r="AX1685">
        <v>2</v>
      </c>
      <c r="AY1685">
        <v>6</v>
      </c>
      <c r="AZ1685">
        <v>0</v>
      </c>
      <c r="BA1685" t="s">
        <v>1962</v>
      </c>
      <c r="BB1685" t="s">
        <v>193</v>
      </c>
      <c r="BC1685">
        <v>0.42799999999999999</v>
      </c>
      <c r="BD1685" t="s">
        <v>65</v>
      </c>
      <c r="BE1685">
        <v>51</v>
      </c>
      <c r="BF1685">
        <v>2</v>
      </c>
      <c r="BG1685" t="s">
        <v>1963</v>
      </c>
      <c r="BH1685" t="s">
        <v>1964</v>
      </c>
      <c r="BI1685" t="s">
        <v>1965</v>
      </c>
      <c r="BJ1685">
        <v>8.7299999999999999E-3</v>
      </c>
      <c r="BK1685">
        <v>1</v>
      </c>
      <c r="BL1685" t="s">
        <v>69</v>
      </c>
      <c r="BM1685">
        <v>-1.6220000000000001</v>
      </c>
      <c r="BN1685">
        <v>-4.4960000000000004</v>
      </c>
    </row>
    <row r="1686" spans="2:66">
      <c r="B1686">
        <v>3029</v>
      </c>
      <c r="C1686">
        <v>260</v>
      </c>
      <c r="D1686">
        <v>0</v>
      </c>
      <c r="E1686">
        <v>2</v>
      </c>
      <c r="F1686">
        <v>0</v>
      </c>
      <c r="J1686">
        <v>0</v>
      </c>
      <c r="K1686">
        <v>0</v>
      </c>
      <c r="L1686">
        <v>0</v>
      </c>
      <c r="M1686" t="s">
        <v>25022</v>
      </c>
      <c r="N1686">
        <v>288</v>
      </c>
      <c r="O1686" t="s">
        <v>1966</v>
      </c>
      <c r="P1686" t="s">
        <v>57</v>
      </c>
      <c r="Q1686">
        <v>310000</v>
      </c>
      <c r="R1686">
        <v>310839</v>
      </c>
      <c r="S1686" t="s">
        <v>1967</v>
      </c>
      <c r="T1686">
        <v>280</v>
      </c>
      <c r="U1686" t="s">
        <v>108</v>
      </c>
      <c r="V1686">
        <v>44</v>
      </c>
      <c r="W1686" t="str">
        <f>HYPERLINK("Gene288-zp_tree_all.dnd", "Gene288-tree")</f>
        <v>Gene288-tree</v>
      </c>
      <c r="X1686">
        <v>11</v>
      </c>
      <c r="Y1686">
        <v>2</v>
      </c>
      <c r="Z1686">
        <v>11</v>
      </c>
      <c r="AA1686">
        <v>2</v>
      </c>
      <c r="AB1686">
        <v>0.15384999999999999</v>
      </c>
      <c r="AC1686" t="s">
        <v>73</v>
      </c>
      <c r="AD1686" t="s">
        <v>81</v>
      </c>
      <c r="AE1686" t="s">
        <v>62</v>
      </c>
      <c r="AF1686" t="s">
        <v>62</v>
      </c>
      <c r="AG1686">
        <v>0</v>
      </c>
      <c r="AH1686">
        <v>0</v>
      </c>
      <c r="AI1686">
        <v>3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2</v>
      </c>
      <c r="AT1686">
        <v>0</v>
      </c>
      <c r="AU1686">
        <v>10</v>
      </c>
      <c r="AV1686">
        <v>5</v>
      </c>
      <c r="AW1686">
        <v>21</v>
      </c>
      <c r="AX1686">
        <v>2</v>
      </c>
      <c r="AY1686">
        <v>8</v>
      </c>
      <c r="AZ1686">
        <v>1</v>
      </c>
      <c r="BA1686" t="s">
        <v>1968</v>
      </c>
      <c r="BB1686" t="s">
        <v>1969</v>
      </c>
      <c r="BC1686">
        <v>0.104</v>
      </c>
      <c r="BD1686" t="s">
        <v>65</v>
      </c>
      <c r="BE1686">
        <v>29</v>
      </c>
      <c r="BF1686">
        <v>3</v>
      </c>
      <c r="BG1686" t="s">
        <v>1970</v>
      </c>
      <c r="BH1686" t="s">
        <v>1971</v>
      </c>
      <c r="BI1686" t="s">
        <v>1972</v>
      </c>
      <c r="BJ1686">
        <v>3.1199999999999999E-2</v>
      </c>
      <c r="BK1686">
        <v>1</v>
      </c>
      <c r="BL1686" t="s">
        <v>69</v>
      </c>
      <c r="BM1686">
        <v>-0.92700000000000005</v>
      </c>
      <c r="BN1686">
        <v>-2.2970000000000002</v>
      </c>
    </row>
    <row r="1687" spans="2:66">
      <c r="B1687">
        <v>3030</v>
      </c>
      <c r="C1687">
        <v>139</v>
      </c>
      <c r="D1687">
        <v>0</v>
      </c>
      <c r="E1687">
        <v>3</v>
      </c>
      <c r="F1687">
        <v>0</v>
      </c>
      <c r="J1687">
        <v>0</v>
      </c>
      <c r="K1687">
        <v>4</v>
      </c>
      <c r="L1687">
        <v>0</v>
      </c>
      <c r="M1687" t="s">
        <v>25022</v>
      </c>
      <c r="N1687">
        <v>290</v>
      </c>
      <c r="O1687" t="s">
        <v>1980</v>
      </c>
      <c r="P1687" t="s">
        <v>57</v>
      </c>
      <c r="Q1687">
        <v>312159</v>
      </c>
      <c r="R1687">
        <v>312755</v>
      </c>
      <c r="S1687" t="s">
        <v>1981</v>
      </c>
      <c r="T1687">
        <v>199</v>
      </c>
      <c r="U1687" t="s">
        <v>108</v>
      </c>
      <c r="V1687">
        <v>44</v>
      </c>
      <c r="W1687" t="str">
        <f>HYPERLINK("Gene290-zp_tree_all.dnd", "Gene290-tree")</f>
        <v>Gene290-tree</v>
      </c>
      <c r="X1687">
        <v>7</v>
      </c>
      <c r="Y1687">
        <v>6</v>
      </c>
      <c r="Z1687">
        <v>7</v>
      </c>
      <c r="AA1687">
        <v>6</v>
      </c>
      <c r="AB1687">
        <v>0.46154000000000001</v>
      </c>
      <c r="AC1687" t="s">
        <v>152</v>
      </c>
      <c r="AD1687" t="s">
        <v>90</v>
      </c>
      <c r="AE1687" t="s">
        <v>62</v>
      </c>
      <c r="AF1687" t="s">
        <v>62</v>
      </c>
      <c r="AG1687">
        <v>2</v>
      </c>
      <c r="AH1687">
        <v>4</v>
      </c>
      <c r="AI1687">
        <v>5</v>
      </c>
      <c r="AJ1687">
        <v>0.44444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</v>
      </c>
      <c r="AQ1687">
        <v>0</v>
      </c>
      <c r="AR1687">
        <v>2</v>
      </c>
      <c r="AS1687">
        <v>4</v>
      </c>
      <c r="AT1687">
        <v>0.33333000000000002</v>
      </c>
      <c r="AU1687">
        <v>12</v>
      </c>
      <c r="AV1687">
        <v>6</v>
      </c>
      <c r="AW1687">
        <v>21</v>
      </c>
      <c r="AX1687">
        <v>6</v>
      </c>
      <c r="AY1687">
        <v>7</v>
      </c>
      <c r="AZ1687">
        <v>3</v>
      </c>
      <c r="BA1687" t="s">
        <v>1982</v>
      </c>
      <c r="BB1687" t="s">
        <v>1983</v>
      </c>
      <c r="BC1687">
        <v>0.41699999999999998</v>
      </c>
      <c r="BD1687" t="s">
        <v>65</v>
      </c>
      <c r="BE1687">
        <v>28</v>
      </c>
      <c r="BF1687">
        <v>9</v>
      </c>
      <c r="BG1687" t="s">
        <v>1984</v>
      </c>
      <c r="BH1687" t="s">
        <v>1985</v>
      </c>
      <c r="BI1687" t="s">
        <v>1986</v>
      </c>
      <c r="BJ1687">
        <v>9.4939999999999997E-2</v>
      </c>
      <c r="BK1687">
        <v>1</v>
      </c>
      <c r="BL1687" t="s">
        <v>69</v>
      </c>
      <c r="BM1687">
        <v>-0.13900000000000001</v>
      </c>
      <c r="BN1687">
        <v>0.52600000000000002</v>
      </c>
    </row>
    <row r="1688" spans="2:66">
      <c r="B1688">
        <v>3031</v>
      </c>
      <c r="C1688">
        <v>36</v>
      </c>
      <c r="D1688">
        <v>0</v>
      </c>
      <c r="E1688">
        <v>0</v>
      </c>
      <c r="F1688">
        <v>2</v>
      </c>
      <c r="J1688">
        <v>0</v>
      </c>
      <c r="K1688">
        <v>0</v>
      </c>
      <c r="L1688">
        <v>0</v>
      </c>
      <c r="M1688" t="s">
        <v>25022</v>
      </c>
      <c r="N1688">
        <v>291</v>
      </c>
      <c r="O1688" t="s">
        <v>1987</v>
      </c>
      <c r="P1688" t="s">
        <v>57</v>
      </c>
      <c r="Q1688">
        <v>312780</v>
      </c>
      <c r="R1688">
        <v>313358</v>
      </c>
      <c r="S1688" t="s">
        <v>1981</v>
      </c>
      <c r="T1688">
        <v>193</v>
      </c>
      <c r="U1688" t="s">
        <v>265</v>
      </c>
      <c r="V1688">
        <v>43</v>
      </c>
      <c r="W1688" t="str">
        <f>HYPERLINK("Gene291-zp_tree_all.dnd", "Gene291-tree")</f>
        <v>Gene291-tree</v>
      </c>
      <c r="X1688">
        <v>10</v>
      </c>
      <c r="Y1688">
        <v>1</v>
      </c>
      <c r="Z1688">
        <v>10</v>
      </c>
      <c r="AA1688">
        <v>1</v>
      </c>
      <c r="AB1688">
        <v>9.0910000000000005E-2</v>
      </c>
      <c r="AC1688" t="s">
        <v>117</v>
      </c>
      <c r="AD1688" t="s">
        <v>175</v>
      </c>
      <c r="AE1688" t="s">
        <v>62</v>
      </c>
      <c r="AF1688" t="s">
        <v>62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7</v>
      </c>
      <c r="AV1688">
        <v>3</v>
      </c>
      <c r="AW1688">
        <v>13</v>
      </c>
      <c r="AX1688">
        <v>1</v>
      </c>
      <c r="AY1688">
        <v>5</v>
      </c>
      <c r="AZ1688">
        <v>0</v>
      </c>
      <c r="BA1688" t="s">
        <v>1988</v>
      </c>
      <c r="BB1688" t="s">
        <v>193</v>
      </c>
      <c r="BC1688">
        <v>0.42599999999999999</v>
      </c>
      <c r="BD1688" t="s">
        <v>65</v>
      </c>
      <c r="BE1688">
        <v>18</v>
      </c>
      <c r="BF1688">
        <v>1</v>
      </c>
      <c r="BG1688" t="s">
        <v>1989</v>
      </c>
      <c r="BH1688" t="s">
        <v>1990</v>
      </c>
      <c r="BI1688" t="s">
        <v>1991</v>
      </c>
      <c r="BJ1688">
        <v>1.17E-2</v>
      </c>
      <c r="BK1688">
        <v>1</v>
      </c>
      <c r="BL1688" t="s">
        <v>69</v>
      </c>
      <c r="BM1688">
        <v>-0.63800000000000001</v>
      </c>
      <c r="BN1688">
        <v>-1.8169999999999999</v>
      </c>
    </row>
    <row r="1689" spans="2:66">
      <c r="B1689">
        <v>3032</v>
      </c>
      <c r="C1689">
        <v>141</v>
      </c>
      <c r="D1689">
        <v>0</v>
      </c>
      <c r="E1689">
        <v>2</v>
      </c>
      <c r="F1689">
        <v>0</v>
      </c>
      <c r="J1689">
        <v>0</v>
      </c>
      <c r="K1689">
        <v>0</v>
      </c>
      <c r="L1689">
        <v>2</v>
      </c>
      <c r="M1689" t="s">
        <v>25022</v>
      </c>
      <c r="N1689">
        <v>292</v>
      </c>
      <c r="O1689" t="s">
        <v>1992</v>
      </c>
      <c r="P1689" t="s">
        <v>57</v>
      </c>
      <c r="Q1689">
        <v>313396</v>
      </c>
      <c r="R1689">
        <v>313971</v>
      </c>
      <c r="S1689" t="s">
        <v>1981</v>
      </c>
      <c r="T1689">
        <v>192</v>
      </c>
      <c r="U1689" t="s">
        <v>59</v>
      </c>
      <c r="V1689">
        <v>49</v>
      </c>
      <c r="W1689" t="str">
        <f>HYPERLINK("Gene292-zp_tree_all.dnd", "Gene292-tree")</f>
        <v>Gene292-tree</v>
      </c>
      <c r="X1689">
        <v>12</v>
      </c>
      <c r="Y1689">
        <v>3</v>
      </c>
      <c r="Z1689">
        <v>12</v>
      </c>
      <c r="AA1689">
        <v>3</v>
      </c>
      <c r="AB1689">
        <v>0.2</v>
      </c>
      <c r="AC1689" t="s">
        <v>109</v>
      </c>
      <c r="AD1689" t="s">
        <v>324</v>
      </c>
      <c r="AE1689" t="s">
        <v>62</v>
      </c>
      <c r="AF1689" t="s">
        <v>62</v>
      </c>
      <c r="AG1689">
        <v>1</v>
      </c>
      <c r="AH1689">
        <v>2</v>
      </c>
      <c r="AI1689">
        <v>3</v>
      </c>
      <c r="AJ1689">
        <v>0.4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2</v>
      </c>
      <c r="AR1689">
        <v>2</v>
      </c>
      <c r="AS1689">
        <v>2</v>
      </c>
      <c r="AT1689">
        <v>0.5</v>
      </c>
      <c r="AU1689">
        <v>9</v>
      </c>
      <c r="AV1689">
        <v>10</v>
      </c>
      <c r="AW1689">
        <v>27</v>
      </c>
      <c r="AX1689">
        <v>3</v>
      </c>
      <c r="AY1689">
        <v>22</v>
      </c>
      <c r="AZ1689">
        <v>2</v>
      </c>
      <c r="BA1689" t="s">
        <v>1993</v>
      </c>
      <c r="BB1689" t="s">
        <v>1994</v>
      </c>
      <c r="BC1689">
        <v>8.6999999999999994E-2</v>
      </c>
      <c r="BD1689" t="s">
        <v>65</v>
      </c>
      <c r="BE1689">
        <v>49</v>
      </c>
      <c r="BF1689">
        <v>5</v>
      </c>
      <c r="BG1689" t="s">
        <v>1995</v>
      </c>
      <c r="BH1689" t="s">
        <v>1996</v>
      </c>
      <c r="BI1689" t="s">
        <v>1997</v>
      </c>
      <c r="BJ1689">
        <v>2.2579999999999999E-2</v>
      </c>
      <c r="BK1689">
        <v>1</v>
      </c>
      <c r="BL1689" t="s">
        <v>69</v>
      </c>
      <c r="BM1689">
        <v>-1.4490000000000001</v>
      </c>
      <c r="BN1689">
        <v>-0.88700000000000001</v>
      </c>
    </row>
    <row r="1690" spans="2:66">
      <c r="B1690">
        <v>3037</v>
      </c>
      <c r="C1690">
        <v>120</v>
      </c>
      <c r="D1690">
        <v>0</v>
      </c>
      <c r="E1690">
        <v>2</v>
      </c>
      <c r="F1690">
        <v>2</v>
      </c>
      <c r="J1690">
        <v>0</v>
      </c>
      <c r="K1690">
        <v>2</v>
      </c>
      <c r="L1690">
        <v>0</v>
      </c>
      <c r="M1690" t="s">
        <v>25022</v>
      </c>
      <c r="N1690">
        <v>293</v>
      </c>
      <c r="O1690" t="s">
        <v>1998</v>
      </c>
      <c r="P1690" t="s">
        <v>57</v>
      </c>
      <c r="Q1690">
        <v>314025</v>
      </c>
      <c r="R1690">
        <v>314795</v>
      </c>
      <c r="S1690" t="s">
        <v>1999</v>
      </c>
      <c r="T1690">
        <v>257</v>
      </c>
      <c r="U1690" t="s">
        <v>465</v>
      </c>
      <c r="V1690">
        <v>46</v>
      </c>
      <c r="W1690" t="str">
        <f>HYPERLINK("Gene293-zp_tree_all.dnd", "Gene293-tree")</f>
        <v>Gene293-tree</v>
      </c>
      <c r="X1690">
        <v>16</v>
      </c>
      <c r="Y1690">
        <v>0</v>
      </c>
      <c r="Z1690">
        <v>16</v>
      </c>
      <c r="AA1690">
        <v>0</v>
      </c>
      <c r="AB1690">
        <v>0</v>
      </c>
      <c r="AC1690" t="s">
        <v>60</v>
      </c>
      <c r="AD1690" t="s">
        <v>62</v>
      </c>
      <c r="AE1690" t="s">
        <v>62</v>
      </c>
      <c r="AF1690" t="s">
        <v>62</v>
      </c>
      <c r="AG1690">
        <v>1</v>
      </c>
      <c r="AH1690">
        <v>2</v>
      </c>
      <c r="AI1690">
        <v>6</v>
      </c>
      <c r="AJ1690">
        <v>0.25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12</v>
      </c>
      <c r="AV1690">
        <v>12</v>
      </c>
      <c r="AW1690">
        <v>25</v>
      </c>
      <c r="AX1690">
        <v>0</v>
      </c>
      <c r="AY1690">
        <v>45</v>
      </c>
      <c r="AZ1690">
        <v>8</v>
      </c>
      <c r="BA1690" t="s">
        <v>193</v>
      </c>
      <c r="BB1690" t="s">
        <v>2000</v>
      </c>
      <c r="BC1690">
        <v>0.28999999999999998</v>
      </c>
      <c r="BD1690" t="s">
        <v>65</v>
      </c>
      <c r="BE1690">
        <v>70</v>
      </c>
      <c r="BF1690">
        <v>8</v>
      </c>
      <c r="BG1690" t="s">
        <v>2001</v>
      </c>
      <c r="BH1690" t="s">
        <v>2002</v>
      </c>
      <c r="BI1690" t="s">
        <v>2003</v>
      </c>
      <c r="BJ1690">
        <v>3.9730000000000001E-2</v>
      </c>
      <c r="BK1690">
        <v>1</v>
      </c>
      <c r="BL1690" t="s">
        <v>69</v>
      </c>
      <c r="BM1690">
        <v>-1.3560000000000001</v>
      </c>
      <c r="BN1690">
        <v>-0.111</v>
      </c>
    </row>
    <row r="1691" spans="2:66">
      <c r="B1691">
        <v>3039</v>
      </c>
      <c r="C1691">
        <v>299</v>
      </c>
      <c r="D1691">
        <v>0</v>
      </c>
      <c r="E1691">
        <v>3</v>
      </c>
      <c r="F1691">
        <v>4</v>
      </c>
      <c r="J1691">
        <v>0</v>
      </c>
      <c r="K1691">
        <v>13</v>
      </c>
      <c r="L1691">
        <v>0</v>
      </c>
      <c r="M1691" t="s">
        <v>25022</v>
      </c>
      <c r="N1691">
        <v>294</v>
      </c>
      <c r="O1691" t="s">
        <v>2004</v>
      </c>
      <c r="P1691" t="s">
        <v>57</v>
      </c>
      <c r="Q1691">
        <v>314883</v>
      </c>
      <c r="R1691">
        <v>316493</v>
      </c>
      <c r="S1691" t="s">
        <v>2005</v>
      </c>
      <c r="T1691">
        <v>537</v>
      </c>
      <c r="U1691" t="s">
        <v>108</v>
      </c>
      <c r="V1691">
        <v>44</v>
      </c>
      <c r="W1691" t="str">
        <f>HYPERLINK("Gene294-zp_tree_all.dnd", "Gene294-tree")</f>
        <v>Gene294-tree</v>
      </c>
      <c r="X1691">
        <v>4</v>
      </c>
      <c r="Y1691">
        <v>11</v>
      </c>
      <c r="Z1691">
        <v>4</v>
      </c>
      <c r="AA1691">
        <v>11</v>
      </c>
      <c r="AB1691">
        <v>0.73333000000000004</v>
      </c>
      <c r="AC1691" t="s">
        <v>61</v>
      </c>
      <c r="AD1691" t="s">
        <v>73</v>
      </c>
      <c r="AE1691">
        <v>200307210.301</v>
      </c>
      <c r="AF1691" t="s">
        <v>267</v>
      </c>
      <c r="AG1691">
        <v>5</v>
      </c>
      <c r="AH1691">
        <v>13</v>
      </c>
      <c r="AI1691">
        <v>12</v>
      </c>
      <c r="AJ1691">
        <v>0.52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2</v>
      </c>
      <c r="AQ1691">
        <v>0</v>
      </c>
      <c r="AR1691">
        <v>2</v>
      </c>
      <c r="AS1691">
        <v>13</v>
      </c>
      <c r="AT1691">
        <v>0.13333</v>
      </c>
      <c r="AU1691">
        <v>14</v>
      </c>
      <c r="AV1691">
        <v>12</v>
      </c>
      <c r="AW1691">
        <v>57</v>
      </c>
      <c r="AX1691">
        <v>15</v>
      </c>
      <c r="AY1691">
        <v>27</v>
      </c>
      <c r="AZ1691">
        <v>10</v>
      </c>
      <c r="BA1691" t="s">
        <v>2006</v>
      </c>
      <c r="BB1691" t="s">
        <v>2007</v>
      </c>
      <c r="BC1691">
        <v>0.71899999999999997</v>
      </c>
      <c r="BD1691" t="s">
        <v>65</v>
      </c>
      <c r="BE1691">
        <v>84</v>
      </c>
      <c r="BF1691">
        <v>25</v>
      </c>
      <c r="BG1691" t="s">
        <v>2008</v>
      </c>
      <c r="BH1691" t="s">
        <v>2009</v>
      </c>
      <c r="BI1691" t="s">
        <v>2010</v>
      </c>
      <c r="BJ1691">
        <v>8.0180000000000001E-2</v>
      </c>
      <c r="BK1691">
        <v>1</v>
      </c>
      <c r="BL1691" t="s">
        <v>69</v>
      </c>
      <c r="BM1691">
        <v>-0.80300000000000005</v>
      </c>
      <c r="BN1691">
        <v>-0.43099999999999999</v>
      </c>
    </row>
    <row r="1692" spans="2:66">
      <c r="B1692">
        <v>3043</v>
      </c>
      <c r="C1692">
        <v>306</v>
      </c>
      <c r="D1692">
        <v>0</v>
      </c>
      <c r="E1692">
        <v>2</v>
      </c>
      <c r="F1692">
        <v>2</v>
      </c>
      <c r="J1692">
        <v>0</v>
      </c>
      <c r="K1692">
        <v>2</v>
      </c>
      <c r="L1692">
        <v>0</v>
      </c>
      <c r="M1692" t="s">
        <v>25022</v>
      </c>
      <c r="N1692">
        <v>295</v>
      </c>
      <c r="O1692" t="s">
        <v>2011</v>
      </c>
      <c r="P1692" t="s">
        <v>57</v>
      </c>
      <c r="Q1692">
        <v>316512</v>
      </c>
      <c r="R1692">
        <v>317600</v>
      </c>
      <c r="S1692" t="s">
        <v>2012</v>
      </c>
      <c r="T1692">
        <v>363</v>
      </c>
      <c r="U1692" t="s">
        <v>1607</v>
      </c>
      <c r="V1692">
        <v>47</v>
      </c>
      <c r="W1692" t="str">
        <f>HYPERLINK("Gene295-zp_tree_all.dnd", "Gene295-tree")</f>
        <v>Gene295-tree</v>
      </c>
      <c r="X1692">
        <v>12</v>
      </c>
      <c r="Y1692">
        <v>6</v>
      </c>
      <c r="Z1692">
        <v>12</v>
      </c>
      <c r="AA1692">
        <v>6</v>
      </c>
      <c r="AB1692">
        <v>0.33333000000000002</v>
      </c>
      <c r="AC1692" t="s">
        <v>109</v>
      </c>
      <c r="AD1692" t="s">
        <v>90</v>
      </c>
      <c r="AE1692" t="s">
        <v>62</v>
      </c>
      <c r="AF1692" t="s">
        <v>62</v>
      </c>
      <c r="AG1692">
        <v>1</v>
      </c>
      <c r="AH1692">
        <v>2</v>
      </c>
      <c r="AI1692">
        <v>8</v>
      </c>
      <c r="AJ1692">
        <v>0.2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2</v>
      </c>
      <c r="AQ1692">
        <v>0</v>
      </c>
      <c r="AR1692">
        <v>2</v>
      </c>
      <c r="AS1692">
        <v>5</v>
      </c>
      <c r="AT1692">
        <v>0.28571000000000002</v>
      </c>
      <c r="AU1692">
        <v>16</v>
      </c>
      <c r="AV1692">
        <v>14</v>
      </c>
      <c r="AW1692">
        <v>60</v>
      </c>
      <c r="AX1692">
        <v>7</v>
      </c>
      <c r="AY1692">
        <v>64</v>
      </c>
      <c r="AZ1692">
        <v>3</v>
      </c>
      <c r="BA1692" t="s">
        <v>2013</v>
      </c>
      <c r="BB1692" t="s">
        <v>2014</v>
      </c>
      <c r="BC1692">
        <v>0.50700000000000001</v>
      </c>
      <c r="BD1692" t="s">
        <v>65</v>
      </c>
      <c r="BE1692">
        <v>124</v>
      </c>
      <c r="BF1692">
        <v>10</v>
      </c>
      <c r="BG1692" t="s">
        <v>2015</v>
      </c>
      <c r="BH1692" t="s">
        <v>2016</v>
      </c>
      <c r="BI1692" t="s">
        <v>2017</v>
      </c>
      <c r="BJ1692">
        <v>1.6930000000000001E-2</v>
      </c>
      <c r="BK1692">
        <v>1</v>
      </c>
      <c r="BL1692" t="s">
        <v>69</v>
      </c>
      <c r="BM1692">
        <v>-1.49</v>
      </c>
      <c r="BN1692">
        <v>-1.2689999999999999</v>
      </c>
    </row>
    <row r="1693" spans="2:66">
      <c r="B1693">
        <v>3044</v>
      </c>
      <c r="C1693">
        <v>30</v>
      </c>
      <c r="D1693">
        <v>0</v>
      </c>
      <c r="E1693">
        <v>2</v>
      </c>
      <c r="F1693">
        <v>2</v>
      </c>
      <c r="J1693">
        <v>0</v>
      </c>
      <c r="K1693">
        <v>4</v>
      </c>
      <c r="L1693">
        <v>0</v>
      </c>
      <c r="M1693" t="s">
        <v>25022</v>
      </c>
      <c r="N1693">
        <v>296</v>
      </c>
      <c r="O1693" t="s">
        <v>2018</v>
      </c>
      <c r="P1693" t="s">
        <v>57</v>
      </c>
      <c r="Q1693">
        <v>317725</v>
      </c>
      <c r="R1693">
        <v>318924</v>
      </c>
      <c r="S1693" t="s">
        <v>2019</v>
      </c>
      <c r="T1693">
        <v>400</v>
      </c>
      <c r="U1693" t="s">
        <v>108</v>
      </c>
      <c r="V1693">
        <v>44</v>
      </c>
      <c r="W1693" t="str">
        <f>HYPERLINK("Gene296-zp_tree_all.dnd", "Gene296-tree")</f>
        <v>Gene296-tree</v>
      </c>
      <c r="X1693">
        <v>7</v>
      </c>
      <c r="Y1693">
        <v>7</v>
      </c>
      <c r="Z1693">
        <v>7</v>
      </c>
      <c r="AA1693">
        <v>7</v>
      </c>
      <c r="AB1693">
        <v>0.5</v>
      </c>
      <c r="AC1693" t="s">
        <v>152</v>
      </c>
      <c r="AD1693" t="s">
        <v>152</v>
      </c>
      <c r="AE1693" t="s">
        <v>62</v>
      </c>
      <c r="AF1693" t="s">
        <v>62</v>
      </c>
      <c r="AG1693">
        <v>2</v>
      </c>
      <c r="AH1693">
        <v>4</v>
      </c>
      <c r="AI1693">
        <v>8</v>
      </c>
      <c r="AJ1693">
        <v>0.33333000000000002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2</v>
      </c>
      <c r="AQ1693">
        <v>0</v>
      </c>
      <c r="AR1693">
        <v>2</v>
      </c>
      <c r="AS1693">
        <v>8</v>
      </c>
      <c r="AT1693">
        <v>0.2</v>
      </c>
      <c r="AU1693">
        <v>14</v>
      </c>
      <c r="AV1693">
        <v>9</v>
      </c>
      <c r="AW1693">
        <v>48</v>
      </c>
      <c r="AX1693">
        <v>10</v>
      </c>
      <c r="AY1693">
        <v>29</v>
      </c>
      <c r="AZ1693">
        <v>2</v>
      </c>
      <c r="BA1693" t="s">
        <v>2020</v>
      </c>
      <c r="BB1693" t="s">
        <v>2021</v>
      </c>
      <c r="BC1693">
        <v>1.008</v>
      </c>
      <c r="BD1693" t="s">
        <v>65</v>
      </c>
      <c r="BE1693">
        <v>77</v>
      </c>
      <c r="BF1693">
        <v>12</v>
      </c>
      <c r="BG1693" t="s">
        <v>2022</v>
      </c>
      <c r="BH1693" t="s">
        <v>2023</v>
      </c>
      <c r="BI1693" t="s">
        <v>2024</v>
      </c>
      <c r="BJ1693">
        <v>5.1569999999999998E-2</v>
      </c>
      <c r="BK1693">
        <v>1</v>
      </c>
      <c r="BL1693" t="s">
        <v>69</v>
      </c>
      <c r="BM1693">
        <v>-0.20499999999999999</v>
      </c>
      <c r="BN1693">
        <v>-0.123</v>
      </c>
    </row>
    <row r="1694" spans="2:66">
      <c r="B1694">
        <v>3046</v>
      </c>
      <c r="C1694">
        <v>252</v>
      </c>
      <c r="D1694">
        <v>0</v>
      </c>
      <c r="E1694">
        <v>4</v>
      </c>
      <c r="F1694">
        <v>0</v>
      </c>
      <c r="J1694">
        <v>0</v>
      </c>
      <c r="K1694">
        <v>8</v>
      </c>
      <c r="L1694">
        <v>2</v>
      </c>
      <c r="M1694" t="s">
        <v>25022</v>
      </c>
      <c r="N1694">
        <v>299</v>
      </c>
      <c r="O1694" t="s">
        <v>2039</v>
      </c>
      <c r="P1694" t="s">
        <v>57</v>
      </c>
      <c r="Q1694">
        <v>321013</v>
      </c>
      <c r="R1694">
        <v>322266</v>
      </c>
      <c r="S1694" t="s">
        <v>2040</v>
      </c>
      <c r="T1694">
        <v>418</v>
      </c>
      <c r="U1694" t="s">
        <v>289</v>
      </c>
      <c r="V1694">
        <v>46</v>
      </c>
      <c r="W1694" t="str">
        <f>HYPERLINK("Gene299-zp_tree_all.dnd", "Gene299-tree")</f>
        <v>Gene299-tree</v>
      </c>
      <c r="X1694">
        <v>33</v>
      </c>
      <c r="Y1694">
        <v>4</v>
      </c>
      <c r="Z1694">
        <v>13</v>
      </c>
      <c r="AA1694">
        <v>4</v>
      </c>
      <c r="AB1694">
        <v>0.23529</v>
      </c>
      <c r="AC1694" t="s">
        <v>2041</v>
      </c>
      <c r="AD1694" t="s">
        <v>61</v>
      </c>
      <c r="AE1694" t="s">
        <v>62</v>
      </c>
      <c r="AF1694" t="s">
        <v>62</v>
      </c>
      <c r="AG1694">
        <v>3</v>
      </c>
      <c r="AH1694">
        <v>10</v>
      </c>
      <c r="AI1694">
        <v>6</v>
      </c>
      <c r="AJ1694">
        <v>0.625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2</v>
      </c>
      <c r="AQ1694">
        <v>0</v>
      </c>
      <c r="AR1694">
        <v>2</v>
      </c>
      <c r="AS1694">
        <v>2</v>
      </c>
      <c r="AT1694">
        <v>0.5</v>
      </c>
      <c r="AU1694">
        <v>13</v>
      </c>
      <c r="AV1694">
        <v>13</v>
      </c>
      <c r="AW1694">
        <v>35</v>
      </c>
      <c r="AX1694">
        <v>4</v>
      </c>
      <c r="AY1694">
        <v>84</v>
      </c>
      <c r="AZ1694">
        <v>14</v>
      </c>
      <c r="BA1694" t="s">
        <v>2042</v>
      </c>
      <c r="BB1694" t="s">
        <v>2043</v>
      </c>
      <c r="BC1694">
        <v>0.26</v>
      </c>
      <c r="BD1694" t="s">
        <v>65</v>
      </c>
      <c r="BE1694">
        <v>119</v>
      </c>
      <c r="BF1694">
        <v>18</v>
      </c>
      <c r="BG1694" t="s">
        <v>2044</v>
      </c>
      <c r="BH1694" t="s">
        <v>2045</v>
      </c>
      <c r="BI1694" t="s">
        <v>2046</v>
      </c>
      <c r="BJ1694">
        <v>4.4639999999999999E-2</v>
      </c>
      <c r="BK1694">
        <v>1</v>
      </c>
      <c r="BL1694" t="s">
        <v>69</v>
      </c>
      <c r="BM1694">
        <v>-0.42099999999999999</v>
      </c>
      <c r="BN1694">
        <v>1.0289999999999999</v>
      </c>
    </row>
    <row r="1695" spans="2:66">
      <c r="B1695">
        <v>3047</v>
      </c>
      <c r="C1695">
        <v>349</v>
      </c>
      <c r="D1695">
        <v>0</v>
      </c>
      <c r="E1695">
        <v>8</v>
      </c>
      <c r="F1695">
        <v>0</v>
      </c>
      <c r="J1695">
        <v>0</v>
      </c>
      <c r="K1695">
        <v>2</v>
      </c>
      <c r="L1695">
        <v>0</v>
      </c>
      <c r="M1695" t="s">
        <v>25022</v>
      </c>
      <c r="N1695">
        <v>300</v>
      </c>
      <c r="O1695" t="s">
        <v>2047</v>
      </c>
      <c r="P1695" t="s">
        <v>57</v>
      </c>
      <c r="Q1695">
        <v>322271</v>
      </c>
      <c r="R1695">
        <v>323116</v>
      </c>
      <c r="S1695" t="s">
        <v>2048</v>
      </c>
      <c r="T1695">
        <v>282</v>
      </c>
      <c r="U1695" t="s">
        <v>59</v>
      </c>
      <c r="V1695">
        <v>49</v>
      </c>
      <c r="W1695" t="str">
        <f>HYPERLINK("Gene300-zp_tree_all.dnd", "Gene300-tree")</f>
        <v>Gene300-tree</v>
      </c>
      <c r="X1695">
        <v>15</v>
      </c>
      <c r="Y1695">
        <v>3</v>
      </c>
      <c r="Z1695">
        <v>15</v>
      </c>
      <c r="AA1695">
        <v>3</v>
      </c>
      <c r="AB1695">
        <v>0.16667000000000001</v>
      </c>
      <c r="AC1695" t="s">
        <v>100</v>
      </c>
      <c r="AD1695" t="s">
        <v>324</v>
      </c>
      <c r="AE1695" t="s">
        <v>62</v>
      </c>
      <c r="AF1695" t="s">
        <v>62</v>
      </c>
      <c r="AG1695">
        <v>1</v>
      </c>
      <c r="AH1695">
        <v>2</v>
      </c>
      <c r="AI1695">
        <v>4</v>
      </c>
      <c r="AJ1695">
        <v>0.33333000000000002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4</v>
      </c>
      <c r="AT1695">
        <v>0</v>
      </c>
      <c r="AU1695">
        <v>13</v>
      </c>
      <c r="AV1695">
        <v>13</v>
      </c>
      <c r="AW1695">
        <v>53</v>
      </c>
      <c r="AX1695">
        <v>4</v>
      </c>
      <c r="AY1695">
        <v>50</v>
      </c>
      <c r="AZ1695">
        <v>2</v>
      </c>
      <c r="BA1695" t="s">
        <v>2049</v>
      </c>
      <c r="BB1695" t="s">
        <v>2050</v>
      </c>
      <c r="BC1695">
        <v>0.29599999999999999</v>
      </c>
      <c r="BD1695" t="s">
        <v>65</v>
      </c>
      <c r="BE1695">
        <v>103</v>
      </c>
      <c r="BF1695">
        <v>6</v>
      </c>
      <c r="BG1695" t="s">
        <v>2051</v>
      </c>
      <c r="BH1695" t="s">
        <v>2052</v>
      </c>
      <c r="BI1695" t="s">
        <v>2053</v>
      </c>
      <c r="BJ1695">
        <v>2.0650000000000002E-2</v>
      </c>
      <c r="BK1695">
        <v>1</v>
      </c>
      <c r="BL1695" t="s">
        <v>69</v>
      </c>
      <c r="BM1695">
        <v>-0.94699999999999995</v>
      </c>
      <c r="BN1695">
        <v>-1.1839999999999999</v>
      </c>
    </row>
    <row r="1696" spans="2:66">
      <c r="B1696">
        <v>3049</v>
      </c>
      <c r="C1696">
        <v>361</v>
      </c>
      <c r="D1696">
        <v>0</v>
      </c>
      <c r="E1696">
        <v>4</v>
      </c>
      <c r="F1696">
        <v>0</v>
      </c>
      <c r="J1696">
        <v>0</v>
      </c>
      <c r="K1696">
        <v>2</v>
      </c>
      <c r="L1696">
        <v>0</v>
      </c>
      <c r="M1696" t="s">
        <v>25022</v>
      </c>
      <c r="N1696">
        <v>301</v>
      </c>
      <c r="O1696" t="s">
        <v>2054</v>
      </c>
      <c r="P1696" t="s">
        <v>57</v>
      </c>
      <c r="Q1696">
        <v>323119</v>
      </c>
      <c r="R1696">
        <v>323997</v>
      </c>
      <c r="S1696" t="s">
        <v>2055</v>
      </c>
      <c r="T1696">
        <v>293</v>
      </c>
      <c r="U1696" t="s">
        <v>108</v>
      </c>
      <c r="V1696">
        <v>44</v>
      </c>
      <c r="W1696" t="str">
        <f>HYPERLINK("Gene301-zp_tree_all.dnd", "Gene301-tree")</f>
        <v>Gene301-tree</v>
      </c>
      <c r="X1696">
        <v>11</v>
      </c>
      <c r="Y1696">
        <v>4</v>
      </c>
      <c r="Z1696">
        <v>11</v>
      </c>
      <c r="AA1696">
        <v>4</v>
      </c>
      <c r="AB1696">
        <v>0.26667000000000002</v>
      </c>
      <c r="AC1696" t="s">
        <v>73</v>
      </c>
      <c r="AD1696" t="s">
        <v>61</v>
      </c>
      <c r="AE1696" t="s">
        <v>62</v>
      </c>
      <c r="AF1696" t="s">
        <v>62</v>
      </c>
      <c r="AG1696">
        <v>1</v>
      </c>
      <c r="AH1696">
        <v>2</v>
      </c>
      <c r="AI1696">
        <v>5</v>
      </c>
      <c r="AJ1696">
        <v>0.28571000000000002</v>
      </c>
      <c r="AK1696">
        <v>0</v>
      </c>
      <c r="AL1696">
        <v>0</v>
      </c>
      <c r="AM1696">
        <v>0</v>
      </c>
      <c r="AN1696">
        <v>3</v>
      </c>
      <c r="AO1696">
        <v>0</v>
      </c>
      <c r="AP1696">
        <v>0</v>
      </c>
      <c r="AQ1696">
        <v>0</v>
      </c>
      <c r="AR1696">
        <v>0</v>
      </c>
      <c r="AS1696">
        <v>4</v>
      </c>
      <c r="AT1696">
        <v>0</v>
      </c>
      <c r="AU1696">
        <v>11</v>
      </c>
      <c r="AV1696">
        <v>9</v>
      </c>
      <c r="AW1696">
        <v>23</v>
      </c>
      <c r="AX1696">
        <v>4</v>
      </c>
      <c r="AY1696">
        <v>20</v>
      </c>
      <c r="AZ1696">
        <v>3</v>
      </c>
      <c r="BA1696" t="s">
        <v>2056</v>
      </c>
      <c r="BB1696" t="s">
        <v>2057</v>
      </c>
      <c r="BC1696">
        <v>0.09</v>
      </c>
      <c r="BD1696" t="s">
        <v>65</v>
      </c>
      <c r="BE1696">
        <v>43</v>
      </c>
      <c r="BF1696">
        <v>7</v>
      </c>
      <c r="BG1696" t="s">
        <v>2058</v>
      </c>
      <c r="BH1696" t="s">
        <v>2059</v>
      </c>
      <c r="BI1696" t="s">
        <v>2060</v>
      </c>
      <c r="BJ1696">
        <v>4.5690000000000001E-2</v>
      </c>
      <c r="BK1696">
        <v>1</v>
      </c>
      <c r="BL1696" t="s">
        <v>69</v>
      </c>
      <c r="BM1696">
        <v>-0.49099999999999999</v>
      </c>
      <c r="BN1696">
        <v>-1.2999999999999999E-2</v>
      </c>
    </row>
    <row r="1697" spans="2:66">
      <c r="B1697">
        <v>3051</v>
      </c>
      <c r="C1697">
        <v>27</v>
      </c>
      <c r="D1697">
        <v>0</v>
      </c>
      <c r="E1697">
        <v>4</v>
      </c>
      <c r="F1697">
        <v>2</v>
      </c>
      <c r="J1697">
        <v>0</v>
      </c>
      <c r="K1697">
        <v>7</v>
      </c>
      <c r="L1697">
        <v>0</v>
      </c>
      <c r="M1697" t="s">
        <v>25022</v>
      </c>
      <c r="N1697">
        <v>303</v>
      </c>
      <c r="O1697" t="s">
        <v>2068</v>
      </c>
      <c r="P1697" t="s">
        <v>57</v>
      </c>
      <c r="Q1697">
        <v>325339</v>
      </c>
      <c r="R1697">
        <v>326769</v>
      </c>
      <c r="S1697" t="s">
        <v>2069</v>
      </c>
      <c r="T1697">
        <v>477</v>
      </c>
      <c r="U1697" t="s">
        <v>108</v>
      </c>
      <c r="V1697">
        <v>44</v>
      </c>
      <c r="W1697" t="str">
        <f>HYPERLINK("Gene303-zp_tree_all.dnd", "Gene303-tree")</f>
        <v>Gene303-tree</v>
      </c>
      <c r="X1697">
        <v>7</v>
      </c>
      <c r="Y1697">
        <v>10</v>
      </c>
      <c r="Z1697">
        <v>7</v>
      </c>
      <c r="AA1697">
        <v>10</v>
      </c>
      <c r="AB1697">
        <v>0.58823999999999999</v>
      </c>
      <c r="AC1697" t="s">
        <v>152</v>
      </c>
      <c r="AD1697" t="s">
        <v>117</v>
      </c>
      <c r="AE1697" t="s">
        <v>62</v>
      </c>
      <c r="AF1697" t="s">
        <v>62</v>
      </c>
      <c r="AG1697">
        <v>3</v>
      </c>
      <c r="AH1697">
        <v>7</v>
      </c>
      <c r="AI1697">
        <v>13</v>
      </c>
      <c r="AJ1697">
        <v>0.35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2</v>
      </c>
      <c r="AQ1697">
        <v>0</v>
      </c>
      <c r="AR1697">
        <v>2</v>
      </c>
      <c r="AS1697">
        <v>13</v>
      </c>
      <c r="AT1697">
        <v>0.13333</v>
      </c>
      <c r="AU1697">
        <v>14</v>
      </c>
      <c r="AV1697">
        <v>11</v>
      </c>
      <c r="AW1697">
        <v>47</v>
      </c>
      <c r="AX1697">
        <v>15</v>
      </c>
      <c r="AY1697">
        <v>32</v>
      </c>
      <c r="AZ1697">
        <v>5</v>
      </c>
      <c r="BA1697" t="s">
        <v>2070</v>
      </c>
      <c r="BB1697" t="s">
        <v>2071</v>
      </c>
      <c r="BC1697">
        <v>0.67300000000000004</v>
      </c>
      <c r="BD1697" t="s">
        <v>65</v>
      </c>
      <c r="BE1697">
        <v>79</v>
      </c>
      <c r="BF1697">
        <v>20</v>
      </c>
      <c r="BG1697" t="s">
        <v>2072</v>
      </c>
      <c r="BH1697" t="s">
        <v>2073</v>
      </c>
      <c r="BI1697" t="s">
        <v>2074</v>
      </c>
      <c r="BJ1697">
        <v>5.8720000000000001E-2</v>
      </c>
      <c r="BK1697">
        <v>1</v>
      </c>
      <c r="BL1697" t="s">
        <v>69</v>
      </c>
      <c r="BM1697">
        <v>-0.85699999999999998</v>
      </c>
      <c r="BN1697">
        <v>-1.4790000000000001</v>
      </c>
    </row>
    <row r="1698" spans="2:66">
      <c r="B1698">
        <v>3053</v>
      </c>
      <c r="C1698">
        <v>49</v>
      </c>
      <c r="D1698">
        <v>0</v>
      </c>
      <c r="E1698">
        <v>2</v>
      </c>
      <c r="F1698">
        <v>2</v>
      </c>
      <c r="J1698">
        <v>0</v>
      </c>
      <c r="K1698">
        <v>17</v>
      </c>
      <c r="L1698">
        <v>1</v>
      </c>
      <c r="M1698" t="s">
        <v>25022</v>
      </c>
      <c r="N1698">
        <v>305</v>
      </c>
      <c r="O1698" t="s">
        <v>2076</v>
      </c>
      <c r="P1698" t="s">
        <v>57</v>
      </c>
      <c r="Q1698">
        <v>327618</v>
      </c>
      <c r="R1698">
        <v>329594</v>
      </c>
      <c r="S1698" t="s">
        <v>2077</v>
      </c>
      <c r="T1698">
        <v>659</v>
      </c>
      <c r="U1698" t="s">
        <v>2078</v>
      </c>
      <c r="V1698">
        <v>36</v>
      </c>
      <c r="W1698" t="str">
        <f>HYPERLINK("Gene305-zp_tree_all.dnd", "Gene305-tree")</f>
        <v>Gene305-tree</v>
      </c>
      <c r="X1698">
        <v>2</v>
      </c>
      <c r="Y1698">
        <v>11</v>
      </c>
      <c r="Z1698">
        <v>2</v>
      </c>
      <c r="AA1698">
        <v>11</v>
      </c>
      <c r="AB1698">
        <v>0.84614999999999996</v>
      </c>
      <c r="AC1698" t="s">
        <v>81</v>
      </c>
      <c r="AD1698" t="s">
        <v>73</v>
      </c>
      <c r="AE1698">
        <v>515075683.63</v>
      </c>
      <c r="AF1698" t="s">
        <v>267</v>
      </c>
      <c r="AG1698">
        <v>8</v>
      </c>
      <c r="AH1698">
        <v>18</v>
      </c>
      <c r="AI1698">
        <v>30</v>
      </c>
      <c r="AJ1698">
        <v>0.375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14</v>
      </c>
      <c r="AQ1698">
        <v>2</v>
      </c>
      <c r="AR1698">
        <v>16</v>
      </c>
      <c r="AS1698">
        <v>21</v>
      </c>
      <c r="AT1698">
        <v>0.43242999999999998</v>
      </c>
      <c r="AU1698">
        <v>11</v>
      </c>
      <c r="AV1698">
        <v>9</v>
      </c>
      <c r="AW1698">
        <v>61</v>
      </c>
      <c r="AX1698">
        <v>32</v>
      </c>
      <c r="AY1698">
        <v>74</v>
      </c>
      <c r="AZ1698">
        <v>16</v>
      </c>
      <c r="BA1698" t="s">
        <v>2079</v>
      </c>
      <c r="BB1698" t="s">
        <v>2080</v>
      </c>
      <c r="BC1698">
        <v>1.2869999999999999</v>
      </c>
      <c r="BD1698" t="s">
        <v>65</v>
      </c>
      <c r="BE1698">
        <v>135</v>
      </c>
      <c r="BF1698">
        <v>48</v>
      </c>
      <c r="BG1698" t="s">
        <v>2081</v>
      </c>
      <c r="BH1698" t="s">
        <v>2082</v>
      </c>
      <c r="BI1698" t="s">
        <v>2083</v>
      </c>
      <c r="BJ1698">
        <v>0.10582</v>
      </c>
      <c r="BK1698">
        <v>1</v>
      </c>
      <c r="BL1698" t="s">
        <v>69</v>
      </c>
      <c r="BM1698">
        <v>-0.25</v>
      </c>
      <c r="BN1698">
        <v>-0.45800000000000002</v>
      </c>
    </row>
    <row r="1699" spans="2:66">
      <c r="B1699">
        <v>3054</v>
      </c>
      <c r="C1699">
        <v>50</v>
      </c>
      <c r="D1699">
        <v>0</v>
      </c>
      <c r="E1699">
        <v>2</v>
      </c>
      <c r="F1699">
        <v>2</v>
      </c>
      <c r="J1699">
        <v>0</v>
      </c>
      <c r="K1699">
        <v>6</v>
      </c>
      <c r="L1699">
        <v>0</v>
      </c>
      <c r="M1699" t="s">
        <v>25022</v>
      </c>
      <c r="N1699">
        <v>306</v>
      </c>
      <c r="O1699" t="s">
        <v>2084</v>
      </c>
      <c r="P1699" t="s">
        <v>57</v>
      </c>
      <c r="Q1699">
        <v>329774</v>
      </c>
      <c r="R1699">
        <v>330736</v>
      </c>
      <c r="S1699" t="s">
        <v>2085</v>
      </c>
      <c r="T1699">
        <v>321</v>
      </c>
      <c r="U1699" t="s">
        <v>465</v>
      </c>
      <c r="V1699">
        <v>46</v>
      </c>
      <c r="W1699" t="str">
        <f>HYPERLINK("Gene306-zp_tree_all.dnd", "Gene306-tree")</f>
        <v>Gene306-tree</v>
      </c>
      <c r="X1699">
        <v>29</v>
      </c>
      <c r="Y1699">
        <v>6</v>
      </c>
      <c r="Z1699">
        <v>11</v>
      </c>
      <c r="AA1699">
        <v>6</v>
      </c>
      <c r="AB1699">
        <v>0.35293999999999998</v>
      </c>
      <c r="AC1699" t="s">
        <v>2086</v>
      </c>
      <c r="AD1699" t="s">
        <v>90</v>
      </c>
      <c r="AE1699" t="s">
        <v>62</v>
      </c>
      <c r="AF1699" t="s">
        <v>62</v>
      </c>
      <c r="AG1699">
        <v>3</v>
      </c>
      <c r="AH1699">
        <v>6</v>
      </c>
      <c r="AI1699">
        <v>7</v>
      </c>
      <c r="AJ1699">
        <v>0.46154000000000001</v>
      </c>
      <c r="AK1699">
        <v>0</v>
      </c>
      <c r="AL1699">
        <v>0</v>
      </c>
      <c r="AM1699">
        <v>0</v>
      </c>
      <c r="AN1699">
        <v>3</v>
      </c>
      <c r="AO1699">
        <v>0</v>
      </c>
      <c r="AP1699">
        <v>2</v>
      </c>
      <c r="AQ1699">
        <v>0</v>
      </c>
      <c r="AR1699">
        <v>2</v>
      </c>
      <c r="AS1699">
        <v>7</v>
      </c>
      <c r="AT1699">
        <v>0.22222</v>
      </c>
      <c r="AU1699">
        <v>14</v>
      </c>
      <c r="AV1699">
        <v>9</v>
      </c>
      <c r="AW1699">
        <v>32</v>
      </c>
      <c r="AX1699">
        <v>9</v>
      </c>
      <c r="AY1699">
        <v>46</v>
      </c>
      <c r="AZ1699">
        <v>4</v>
      </c>
      <c r="BA1699" t="s">
        <v>2087</v>
      </c>
      <c r="BB1699" t="s">
        <v>2088</v>
      </c>
      <c r="BC1699">
        <v>0.81399999999999995</v>
      </c>
      <c r="BD1699" t="s">
        <v>65</v>
      </c>
      <c r="BE1699">
        <v>78</v>
      </c>
      <c r="BF1699">
        <v>13</v>
      </c>
      <c r="BG1699" t="s">
        <v>2089</v>
      </c>
      <c r="BH1699" t="s">
        <v>2090</v>
      </c>
      <c r="BI1699" t="s">
        <v>2091</v>
      </c>
      <c r="BJ1699">
        <v>3.6979999999999999E-2</v>
      </c>
      <c r="BK1699">
        <v>1</v>
      </c>
      <c r="BL1699" t="s">
        <v>69</v>
      </c>
      <c r="BM1699">
        <v>-1.3859999999999999</v>
      </c>
      <c r="BN1699">
        <v>-2E-3</v>
      </c>
    </row>
    <row r="1700" spans="2:66">
      <c r="B1700">
        <v>3055</v>
      </c>
      <c r="C1700">
        <v>5</v>
      </c>
      <c r="D1700">
        <v>0</v>
      </c>
      <c r="E1700">
        <v>4</v>
      </c>
      <c r="F1700">
        <v>1</v>
      </c>
      <c r="J1700">
        <v>0</v>
      </c>
      <c r="K1700">
        <v>14</v>
      </c>
      <c r="L1700">
        <v>3</v>
      </c>
      <c r="M1700" t="s">
        <v>25022</v>
      </c>
      <c r="N1700">
        <v>307</v>
      </c>
      <c r="O1700" t="s">
        <v>2092</v>
      </c>
      <c r="P1700" t="s">
        <v>57</v>
      </c>
      <c r="Q1700">
        <v>330771</v>
      </c>
      <c r="R1700">
        <v>332393</v>
      </c>
      <c r="S1700" t="s">
        <v>2093</v>
      </c>
      <c r="T1700">
        <v>541</v>
      </c>
      <c r="U1700" t="s">
        <v>108</v>
      </c>
      <c r="V1700">
        <v>44</v>
      </c>
      <c r="W1700" t="str">
        <f>HYPERLINK("Gene307-zp_tree_all.dnd", "Gene307-tree")</f>
        <v>Gene307-tree</v>
      </c>
      <c r="X1700">
        <v>2</v>
      </c>
      <c r="Y1700">
        <v>16</v>
      </c>
      <c r="Z1700">
        <v>2</v>
      </c>
      <c r="AA1700">
        <v>16</v>
      </c>
      <c r="AB1700">
        <v>0.88888999999999996</v>
      </c>
      <c r="AC1700" t="s">
        <v>81</v>
      </c>
      <c r="AD1700" t="s">
        <v>60</v>
      </c>
      <c r="AE1700" t="s">
        <v>62</v>
      </c>
      <c r="AF1700" t="s">
        <v>62</v>
      </c>
      <c r="AG1700">
        <v>7</v>
      </c>
      <c r="AH1700">
        <v>17</v>
      </c>
      <c r="AI1700">
        <v>19</v>
      </c>
      <c r="AJ1700">
        <v>0.47221999999999997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6</v>
      </c>
      <c r="AQ1700">
        <v>2</v>
      </c>
      <c r="AR1700">
        <v>8</v>
      </c>
      <c r="AS1700">
        <v>20</v>
      </c>
      <c r="AT1700">
        <v>0.28571000000000002</v>
      </c>
      <c r="AU1700">
        <v>16</v>
      </c>
      <c r="AV1700">
        <v>13</v>
      </c>
      <c r="AW1700">
        <v>82</v>
      </c>
      <c r="AX1700">
        <v>27</v>
      </c>
      <c r="AY1700">
        <v>44</v>
      </c>
      <c r="AZ1700">
        <v>9</v>
      </c>
      <c r="BA1700" t="s">
        <v>2094</v>
      </c>
      <c r="BB1700" t="s">
        <v>2095</v>
      </c>
      <c r="BC1700">
        <v>0.879</v>
      </c>
      <c r="BD1700" t="s">
        <v>65</v>
      </c>
      <c r="BE1700">
        <v>126</v>
      </c>
      <c r="BF1700">
        <v>36</v>
      </c>
      <c r="BG1700" t="s">
        <v>2096</v>
      </c>
      <c r="BH1700" t="s">
        <v>2097</v>
      </c>
      <c r="BI1700" t="s">
        <v>2098</v>
      </c>
      <c r="BJ1700">
        <v>9.0039999999999995E-2</v>
      </c>
      <c r="BK1700">
        <v>1</v>
      </c>
      <c r="BL1700" t="s">
        <v>69</v>
      </c>
      <c r="BM1700">
        <v>-0.76400000000000001</v>
      </c>
      <c r="BN1700">
        <v>-1.113</v>
      </c>
    </row>
    <row r="1701" spans="2:66">
      <c r="B1701">
        <v>3056</v>
      </c>
      <c r="C1701">
        <v>171</v>
      </c>
      <c r="D1701">
        <v>0</v>
      </c>
      <c r="E1701">
        <v>2</v>
      </c>
      <c r="F1701">
        <v>0</v>
      </c>
      <c r="J1701">
        <v>0</v>
      </c>
      <c r="K1701">
        <v>0</v>
      </c>
      <c r="L1701">
        <v>0</v>
      </c>
      <c r="M1701" t="s">
        <v>25022</v>
      </c>
      <c r="N1701">
        <v>309</v>
      </c>
      <c r="O1701" t="s">
        <v>2107</v>
      </c>
      <c r="P1701" t="s">
        <v>57</v>
      </c>
      <c r="Q1701">
        <v>334092</v>
      </c>
      <c r="R1701">
        <v>334553</v>
      </c>
      <c r="S1701" t="s">
        <v>637</v>
      </c>
      <c r="T1701">
        <v>154</v>
      </c>
      <c r="U1701" t="s">
        <v>2078</v>
      </c>
      <c r="V1701">
        <v>36</v>
      </c>
      <c r="W1701" t="str">
        <f>HYPERLINK("Gene309-zp_tree_all.dnd", "Gene309-tree")</f>
        <v>Gene309-tree</v>
      </c>
      <c r="X1701">
        <v>27</v>
      </c>
      <c r="Y1701">
        <v>2</v>
      </c>
      <c r="Z1701">
        <v>9</v>
      </c>
      <c r="AA1701">
        <v>2</v>
      </c>
      <c r="AB1701">
        <v>0.18182000000000001</v>
      </c>
      <c r="AC1701" t="s">
        <v>2108</v>
      </c>
      <c r="AD1701" t="s">
        <v>81</v>
      </c>
      <c r="AE1701" t="s">
        <v>62</v>
      </c>
      <c r="AF1701" t="s">
        <v>62</v>
      </c>
      <c r="AG1701">
        <v>0</v>
      </c>
      <c r="AH1701">
        <v>0</v>
      </c>
      <c r="AI1701">
        <v>2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2</v>
      </c>
      <c r="AT1701">
        <v>0</v>
      </c>
      <c r="AU1701">
        <v>10</v>
      </c>
      <c r="AV1701">
        <v>5</v>
      </c>
      <c r="AW1701">
        <v>17</v>
      </c>
      <c r="AX1701">
        <v>2</v>
      </c>
      <c r="AY1701">
        <v>6</v>
      </c>
      <c r="AZ1701">
        <v>0</v>
      </c>
      <c r="BA1701" t="s">
        <v>2109</v>
      </c>
      <c r="BB1701" t="s">
        <v>193</v>
      </c>
      <c r="BC1701">
        <v>0.73799999999999999</v>
      </c>
      <c r="BD1701" t="s">
        <v>65</v>
      </c>
      <c r="BE1701">
        <v>23</v>
      </c>
      <c r="BF1701">
        <v>2</v>
      </c>
      <c r="BG1701" t="s">
        <v>2110</v>
      </c>
      <c r="BH1701" t="s">
        <v>2111</v>
      </c>
      <c r="BI1701" t="s">
        <v>2112</v>
      </c>
      <c r="BJ1701">
        <v>2.188E-2</v>
      </c>
      <c r="BK1701">
        <v>1</v>
      </c>
      <c r="BL1701" t="s">
        <v>69</v>
      </c>
      <c r="BM1701">
        <v>-0.79</v>
      </c>
      <c r="BN1701">
        <v>-0.79300000000000004</v>
      </c>
    </row>
    <row r="1702" spans="2:66">
      <c r="B1702">
        <v>3057</v>
      </c>
      <c r="C1702">
        <v>15</v>
      </c>
      <c r="D1702">
        <v>0</v>
      </c>
      <c r="E1702">
        <v>2</v>
      </c>
      <c r="F1702">
        <v>0</v>
      </c>
      <c r="J1702">
        <v>0</v>
      </c>
      <c r="K1702">
        <v>0</v>
      </c>
      <c r="L1702">
        <v>0</v>
      </c>
      <c r="M1702" t="s">
        <v>25022</v>
      </c>
      <c r="N1702">
        <v>310</v>
      </c>
      <c r="O1702" t="s">
        <v>2113</v>
      </c>
      <c r="P1702" t="s">
        <v>57</v>
      </c>
      <c r="Q1702">
        <v>334630</v>
      </c>
      <c r="R1702">
        <v>335256</v>
      </c>
      <c r="S1702" t="s">
        <v>2114</v>
      </c>
      <c r="T1702">
        <v>209</v>
      </c>
      <c r="U1702" t="s">
        <v>2078</v>
      </c>
      <c r="V1702">
        <v>36</v>
      </c>
      <c r="W1702" t="str">
        <f>HYPERLINK("Gene310-zp_tree_all.dnd", "Gene310-tree")</f>
        <v>Gene310-tree</v>
      </c>
      <c r="X1702">
        <v>29</v>
      </c>
      <c r="Y1702">
        <v>1</v>
      </c>
      <c r="Z1702">
        <v>9</v>
      </c>
      <c r="AA1702">
        <v>1</v>
      </c>
      <c r="AB1702">
        <v>0.1</v>
      </c>
      <c r="AC1702" t="s">
        <v>234</v>
      </c>
      <c r="AD1702" t="s">
        <v>175</v>
      </c>
      <c r="AE1702" t="s">
        <v>62</v>
      </c>
      <c r="AF1702" t="s">
        <v>62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7</v>
      </c>
      <c r="AV1702">
        <v>5</v>
      </c>
      <c r="AW1702">
        <v>14</v>
      </c>
      <c r="AX1702">
        <v>1</v>
      </c>
      <c r="AY1702">
        <v>6</v>
      </c>
      <c r="AZ1702">
        <v>0</v>
      </c>
      <c r="BA1702" t="s">
        <v>2115</v>
      </c>
      <c r="BB1702" t="s">
        <v>193</v>
      </c>
      <c r="BC1702">
        <v>0.41099999999999998</v>
      </c>
      <c r="BD1702" t="s">
        <v>65</v>
      </c>
      <c r="BE1702">
        <v>20</v>
      </c>
      <c r="BF1702">
        <v>1</v>
      </c>
      <c r="BG1702" t="s">
        <v>2116</v>
      </c>
      <c r="BH1702" t="s">
        <v>2117</v>
      </c>
      <c r="BI1702" t="s">
        <v>2118</v>
      </c>
      <c r="BJ1702">
        <v>1.1860000000000001E-2</v>
      </c>
      <c r="BK1702">
        <v>1</v>
      </c>
      <c r="BL1702" t="s">
        <v>69</v>
      </c>
      <c r="BM1702">
        <v>-1.2509999999999999</v>
      </c>
      <c r="BN1702">
        <v>-0.34599999999999997</v>
      </c>
    </row>
    <row r="1703" spans="2:66">
      <c r="B1703">
        <v>3058</v>
      </c>
      <c r="C1703">
        <v>72</v>
      </c>
      <c r="D1703">
        <v>0</v>
      </c>
      <c r="E1703">
        <v>2</v>
      </c>
      <c r="F1703">
        <v>0</v>
      </c>
      <c r="J1703">
        <v>0</v>
      </c>
      <c r="K1703">
        <v>5</v>
      </c>
      <c r="L1703">
        <v>0</v>
      </c>
      <c r="M1703" t="s">
        <v>25022</v>
      </c>
      <c r="N1703">
        <v>311</v>
      </c>
      <c r="O1703" t="s">
        <v>2119</v>
      </c>
      <c r="P1703" t="s">
        <v>57</v>
      </c>
      <c r="Q1703">
        <v>335329</v>
      </c>
      <c r="R1703">
        <v>336087</v>
      </c>
      <c r="S1703" t="s">
        <v>2120</v>
      </c>
      <c r="T1703">
        <v>253</v>
      </c>
      <c r="U1703" t="s">
        <v>108</v>
      </c>
      <c r="V1703">
        <v>44</v>
      </c>
      <c r="W1703" t="str">
        <f>HYPERLINK("Gene311-zp_tree_all.dnd", "Gene311-tree")</f>
        <v>Gene311-tree</v>
      </c>
      <c r="X1703">
        <v>7</v>
      </c>
      <c r="Y1703">
        <v>5</v>
      </c>
      <c r="Z1703">
        <v>7</v>
      </c>
      <c r="AA1703">
        <v>5</v>
      </c>
      <c r="AB1703">
        <v>0.41666999999999998</v>
      </c>
      <c r="AC1703" t="s">
        <v>152</v>
      </c>
      <c r="AD1703" t="s">
        <v>199</v>
      </c>
      <c r="AE1703" t="s">
        <v>62</v>
      </c>
      <c r="AF1703" t="s">
        <v>62</v>
      </c>
      <c r="AG1703">
        <v>2</v>
      </c>
      <c r="AH1703">
        <v>5</v>
      </c>
      <c r="AI1703">
        <v>13</v>
      </c>
      <c r="AJ1703">
        <v>0.27778000000000003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2</v>
      </c>
      <c r="AQ1703">
        <v>0</v>
      </c>
      <c r="AR1703">
        <v>2</v>
      </c>
      <c r="AS1703">
        <v>7</v>
      </c>
      <c r="AT1703">
        <v>0.22222</v>
      </c>
      <c r="AU1703">
        <v>9</v>
      </c>
      <c r="AV1703">
        <v>7</v>
      </c>
      <c r="AW1703">
        <v>12</v>
      </c>
      <c r="AX1703">
        <v>5</v>
      </c>
      <c r="AY1703">
        <v>25</v>
      </c>
      <c r="AZ1703">
        <v>13</v>
      </c>
      <c r="BA1703" t="s">
        <v>2121</v>
      </c>
      <c r="BB1703" t="s">
        <v>2122</v>
      </c>
      <c r="BC1703">
        <v>0.15</v>
      </c>
      <c r="BD1703" t="s">
        <v>65</v>
      </c>
      <c r="BE1703">
        <v>37</v>
      </c>
      <c r="BF1703">
        <v>18</v>
      </c>
      <c r="BG1703" t="s">
        <v>2123</v>
      </c>
      <c r="BH1703" t="s">
        <v>2124</v>
      </c>
      <c r="BI1703" t="s">
        <v>2125</v>
      </c>
      <c r="BJ1703">
        <v>0.14940999999999999</v>
      </c>
      <c r="BK1703">
        <v>1</v>
      </c>
      <c r="BL1703" t="s">
        <v>69</v>
      </c>
      <c r="BM1703">
        <v>0.41399999999999998</v>
      </c>
      <c r="BN1703">
        <v>0.98699999999999999</v>
      </c>
    </row>
    <row r="1704" spans="2:66">
      <c r="B1704">
        <v>3060</v>
      </c>
      <c r="C1704">
        <v>72</v>
      </c>
      <c r="D1704">
        <v>0</v>
      </c>
      <c r="E1704">
        <v>0</v>
      </c>
      <c r="F1704">
        <v>2</v>
      </c>
      <c r="J1704">
        <v>0</v>
      </c>
      <c r="K1704">
        <v>0</v>
      </c>
      <c r="L1704">
        <v>0</v>
      </c>
      <c r="M1704" t="s">
        <v>25022</v>
      </c>
      <c r="N1704">
        <v>313</v>
      </c>
      <c r="O1704" t="s">
        <v>2133</v>
      </c>
      <c r="P1704" t="s">
        <v>57</v>
      </c>
      <c r="Q1704">
        <v>337562</v>
      </c>
      <c r="R1704">
        <v>338155</v>
      </c>
      <c r="S1704" t="s">
        <v>2134</v>
      </c>
      <c r="T1704">
        <v>198</v>
      </c>
      <c r="U1704" t="s">
        <v>108</v>
      </c>
      <c r="V1704">
        <v>44</v>
      </c>
      <c r="W1704" t="str">
        <f>HYPERLINK("Gene313-zp_tree_all.dnd", "Gene313-tree")</f>
        <v>Gene313-tree</v>
      </c>
      <c r="X1704">
        <v>29</v>
      </c>
      <c r="Y1704">
        <v>3</v>
      </c>
      <c r="Z1704">
        <v>11</v>
      </c>
      <c r="AA1704">
        <v>3</v>
      </c>
      <c r="AB1704">
        <v>0.21429000000000001</v>
      </c>
      <c r="AC1704" t="s">
        <v>2086</v>
      </c>
      <c r="AD1704" t="s">
        <v>324</v>
      </c>
      <c r="AE1704" t="s">
        <v>62</v>
      </c>
      <c r="AF1704" t="s">
        <v>62</v>
      </c>
      <c r="AG1704">
        <v>0</v>
      </c>
      <c r="AH1704">
        <v>0</v>
      </c>
      <c r="AI1704">
        <v>3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3</v>
      </c>
      <c r="AT1704">
        <v>0</v>
      </c>
      <c r="AU1704">
        <v>9</v>
      </c>
      <c r="AV1704">
        <v>4</v>
      </c>
      <c r="AW1704">
        <v>15</v>
      </c>
      <c r="AX1704">
        <v>2</v>
      </c>
      <c r="AY1704">
        <v>4</v>
      </c>
      <c r="AZ1704">
        <v>1</v>
      </c>
      <c r="BA1704" t="s">
        <v>2135</v>
      </c>
      <c r="BB1704" t="s">
        <v>2136</v>
      </c>
      <c r="BC1704">
        <v>0.28299999999999997</v>
      </c>
      <c r="BD1704" t="s">
        <v>65</v>
      </c>
      <c r="BE1704">
        <v>19</v>
      </c>
      <c r="BF1704">
        <v>3</v>
      </c>
      <c r="BG1704" t="s">
        <v>2137</v>
      </c>
      <c r="BH1704" t="s">
        <v>2138</v>
      </c>
      <c r="BI1704" t="s">
        <v>2139</v>
      </c>
      <c r="BJ1704">
        <v>4.82E-2</v>
      </c>
      <c r="BK1704">
        <v>1</v>
      </c>
      <c r="BL1704" t="s">
        <v>69</v>
      </c>
      <c r="BM1704">
        <v>-1.2689999999999999</v>
      </c>
      <c r="BN1704">
        <v>-3.1579999999999999</v>
      </c>
    </row>
    <row r="1705" spans="2:66">
      <c r="B1705">
        <v>3061</v>
      </c>
      <c r="C1705">
        <v>9</v>
      </c>
      <c r="D1705">
        <v>0</v>
      </c>
      <c r="E1705">
        <v>0</v>
      </c>
      <c r="F1705">
        <v>4</v>
      </c>
      <c r="J1705">
        <v>0</v>
      </c>
      <c r="K1705">
        <v>2</v>
      </c>
      <c r="L1705">
        <v>0</v>
      </c>
      <c r="M1705" t="s">
        <v>25022</v>
      </c>
      <c r="N1705">
        <v>314</v>
      </c>
      <c r="O1705" t="s">
        <v>2140</v>
      </c>
      <c r="P1705" t="s">
        <v>57</v>
      </c>
      <c r="Q1705">
        <v>338288</v>
      </c>
      <c r="R1705">
        <v>339103</v>
      </c>
      <c r="S1705" t="s">
        <v>2141</v>
      </c>
      <c r="T1705">
        <v>272</v>
      </c>
      <c r="U1705" t="s">
        <v>108</v>
      </c>
      <c r="V1705">
        <v>44</v>
      </c>
      <c r="W1705" t="str">
        <f>HYPERLINK("Gene314-zp_tree_all.dnd", "Gene314-tree")</f>
        <v>Gene314-tree</v>
      </c>
      <c r="X1705">
        <v>30</v>
      </c>
      <c r="Y1705">
        <v>5</v>
      </c>
      <c r="Z1705">
        <v>9</v>
      </c>
      <c r="AA1705">
        <v>5</v>
      </c>
      <c r="AB1705">
        <v>0.35714000000000001</v>
      </c>
      <c r="AC1705" t="s">
        <v>2142</v>
      </c>
      <c r="AD1705" t="s">
        <v>199</v>
      </c>
      <c r="AE1705" t="s">
        <v>62</v>
      </c>
      <c r="AF1705" t="s">
        <v>62</v>
      </c>
      <c r="AG1705">
        <v>1</v>
      </c>
      <c r="AH1705">
        <v>2</v>
      </c>
      <c r="AI1705">
        <v>4</v>
      </c>
      <c r="AJ1705">
        <v>0.33333000000000002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5</v>
      </c>
      <c r="AT1705">
        <v>0</v>
      </c>
      <c r="AU1705">
        <v>11</v>
      </c>
      <c r="AV1705">
        <v>9</v>
      </c>
      <c r="AW1705">
        <v>17</v>
      </c>
      <c r="AX1705">
        <v>5</v>
      </c>
      <c r="AY1705">
        <v>12</v>
      </c>
      <c r="AZ1705">
        <v>1</v>
      </c>
      <c r="BA1705" t="s">
        <v>2143</v>
      </c>
      <c r="BB1705" t="s">
        <v>2144</v>
      </c>
      <c r="BC1705">
        <v>0.68799999999999994</v>
      </c>
      <c r="BD1705" t="s">
        <v>65</v>
      </c>
      <c r="BE1705">
        <v>29</v>
      </c>
      <c r="BF1705">
        <v>6</v>
      </c>
      <c r="BG1705" t="s">
        <v>2145</v>
      </c>
      <c r="BH1705" t="s">
        <v>2146</v>
      </c>
      <c r="BI1705" t="s">
        <v>2147</v>
      </c>
      <c r="BJ1705">
        <v>4.6289999999999998E-2</v>
      </c>
      <c r="BK1705">
        <v>1</v>
      </c>
      <c r="BL1705" t="s">
        <v>69</v>
      </c>
      <c r="BM1705">
        <v>-0.64900000000000002</v>
      </c>
      <c r="BN1705">
        <v>-1.2250000000000001</v>
      </c>
    </row>
    <row r="1706" spans="2:66">
      <c r="B1706">
        <v>3062</v>
      </c>
      <c r="C1706">
        <v>74</v>
      </c>
      <c r="D1706">
        <v>0</v>
      </c>
      <c r="E1706">
        <v>12</v>
      </c>
      <c r="F1706">
        <v>0</v>
      </c>
      <c r="J1706">
        <v>0</v>
      </c>
      <c r="K1706">
        <v>4</v>
      </c>
      <c r="L1706">
        <v>0</v>
      </c>
      <c r="M1706" t="s">
        <v>25022</v>
      </c>
      <c r="N1706">
        <v>316</v>
      </c>
      <c r="O1706" t="s">
        <v>2155</v>
      </c>
      <c r="P1706" t="s">
        <v>57</v>
      </c>
      <c r="Q1706">
        <v>340025</v>
      </c>
      <c r="R1706">
        <v>340582</v>
      </c>
      <c r="S1706" t="s">
        <v>2156</v>
      </c>
      <c r="T1706">
        <v>186</v>
      </c>
      <c r="U1706" t="s">
        <v>2157</v>
      </c>
      <c r="V1706">
        <v>47</v>
      </c>
      <c r="W1706" t="str">
        <f>HYPERLINK("Gene316-zp_tree_all.dnd", "Gene316-tree")</f>
        <v>Gene316-tree</v>
      </c>
      <c r="X1706">
        <v>14</v>
      </c>
      <c r="Y1706">
        <v>4</v>
      </c>
      <c r="Z1706">
        <v>14</v>
      </c>
      <c r="AA1706">
        <v>4</v>
      </c>
      <c r="AB1706">
        <v>0.22222</v>
      </c>
      <c r="AC1706" t="s">
        <v>543</v>
      </c>
      <c r="AD1706" t="s">
        <v>61</v>
      </c>
      <c r="AE1706" t="s">
        <v>62</v>
      </c>
      <c r="AF1706" t="s">
        <v>62</v>
      </c>
      <c r="AG1706">
        <v>2</v>
      </c>
      <c r="AH1706">
        <v>4</v>
      </c>
      <c r="AI1706">
        <v>7</v>
      </c>
      <c r="AJ1706">
        <v>0.36364000000000002</v>
      </c>
      <c r="AK1706">
        <v>2</v>
      </c>
      <c r="AL1706">
        <v>0</v>
      </c>
      <c r="AM1706">
        <v>2</v>
      </c>
      <c r="AN1706">
        <v>0</v>
      </c>
      <c r="AO1706">
        <v>1</v>
      </c>
      <c r="AP1706">
        <v>2</v>
      </c>
      <c r="AQ1706">
        <v>0</v>
      </c>
      <c r="AR1706">
        <v>2</v>
      </c>
      <c r="AS1706">
        <v>3</v>
      </c>
      <c r="AT1706">
        <v>0.4</v>
      </c>
      <c r="AU1706">
        <v>11</v>
      </c>
      <c r="AV1706">
        <v>9</v>
      </c>
      <c r="AW1706">
        <v>29</v>
      </c>
      <c r="AX1706">
        <v>4</v>
      </c>
      <c r="AY1706">
        <v>21</v>
      </c>
      <c r="AZ1706">
        <v>7</v>
      </c>
      <c r="BA1706" t="s">
        <v>2158</v>
      </c>
      <c r="BB1706" t="s">
        <v>2159</v>
      </c>
      <c r="BC1706">
        <v>0.40300000000000002</v>
      </c>
      <c r="BD1706" t="s">
        <v>65</v>
      </c>
      <c r="BE1706">
        <v>50</v>
      </c>
      <c r="BF1706">
        <v>11</v>
      </c>
      <c r="BG1706" t="s">
        <v>2160</v>
      </c>
      <c r="BH1706" t="s">
        <v>2161</v>
      </c>
      <c r="BI1706" t="s">
        <v>2162</v>
      </c>
      <c r="BJ1706">
        <v>6.4890000000000003E-2</v>
      </c>
      <c r="BK1706">
        <v>1</v>
      </c>
      <c r="BL1706" t="s">
        <v>69</v>
      </c>
      <c r="BM1706">
        <v>-1.7969999999999999</v>
      </c>
      <c r="BN1706">
        <v>-2.4449999999999998</v>
      </c>
    </row>
    <row r="1707" spans="2:66">
      <c r="B1707">
        <v>3064</v>
      </c>
      <c r="C1707">
        <v>120</v>
      </c>
      <c r="D1707">
        <v>0</v>
      </c>
      <c r="E1707">
        <v>2</v>
      </c>
      <c r="F1707">
        <v>0</v>
      </c>
      <c r="J1707">
        <v>0</v>
      </c>
      <c r="K1707">
        <v>21</v>
      </c>
      <c r="L1707">
        <v>1</v>
      </c>
      <c r="M1707" t="s">
        <v>25022</v>
      </c>
      <c r="N1707">
        <v>318</v>
      </c>
      <c r="O1707" t="s">
        <v>2169</v>
      </c>
      <c r="P1707" t="s">
        <v>57</v>
      </c>
      <c r="Q1707">
        <v>341492</v>
      </c>
      <c r="R1707">
        <v>342463</v>
      </c>
      <c r="S1707" t="s">
        <v>2170</v>
      </c>
      <c r="T1707">
        <v>324</v>
      </c>
      <c r="U1707" t="s">
        <v>108</v>
      </c>
      <c r="V1707">
        <v>44</v>
      </c>
      <c r="W1707" t="str">
        <f>HYPERLINK("Gene318-zp_tree_all.dnd", "Gene318-tree")</f>
        <v>Gene318-tree</v>
      </c>
      <c r="X1707">
        <v>3</v>
      </c>
      <c r="Y1707">
        <v>12</v>
      </c>
      <c r="Z1707">
        <v>3</v>
      </c>
      <c r="AA1707">
        <v>12</v>
      </c>
      <c r="AB1707">
        <v>0.8</v>
      </c>
      <c r="AC1707" t="s">
        <v>324</v>
      </c>
      <c r="AD1707" t="s">
        <v>109</v>
      </c>
      <c r="AE1707" t="s">
        <v>62</v>
      </c>
      <c r="AF1707" t="s">
        <v>62</v>
      </c>
      <c r="AG1707">
        <v>7</v>
      </c>
      <c r="AH1707">
        <v>22</v>
      </c>
      <c r="AI1707">
        <v>21</v>
      </c>
      <c r="AJ1707">
        <v>0.51163000000000003</v>
      </c>
      <c r="AK1707">
        <v>0</v>
      </c>
      <c r="AL1707">
        <v>0</v>
      </c>
      <c r="AM1707">
        <v>0</v>
      </c>
      <c r="AN1707">
        <v>5</v>
      </c>
      <c r="AO1707">
        <v>0</v>
      </c>
      <c r="AP1707">
        <v>12</v>
      </c>
      <c r="AQ1707">
        <v>3</v>
      </c>
      <c r="AR1707">
        <v>15</v>
      </c>
      <c r="AS1707">
        <v>13</v>
      </c>
      <c r="AT1707">
        <v>0.53571000000000002</v>
      </c>
      <c r="AU1707">
        <v>14</v>
      </c>
      <c r="AV1707">
        <v>10</v>
      </c>
      <c r="AW1707">
        <v>37</v>
      </c>
      <c r="AX1707">
        <v>28</v>
      </c>
      <c r="AY1707">
        <v>28</v>
      </c>
      <c r="AZ1707">
        <v>16</v>
      </c>
      <c r="BA1707" t="s">
        <v>2171</v>
      </c>
      <c r="BB1707" t="s">
        <v>2172</v>
      </c>
      <c r="BC1707">
        <v>0.51400000000000001</v>
      </c>
      <c r="BD1707" t="s">
        <v>65</v>
      </c>
      <c r="BE1707">
        <v>65</v>
      </c>
      <c r="BF1707">
        <v>44</v>
      </c>
      <c r="BG1707" t="s">
        <v>2173</v>
      </c>
      <c r="BH1707" t="s">
        <v>2174</v>
      </c>
      <c r="BI1707" t="s">
        <v>2175</v>
      </c>
      <c r="BJ1707">
        <v>0.19484000000000001</v>
      </c>
      <c r="BK1707">
        <v>1</v>
      </c>
      <c r="BL1707" t="s">
        <v>69</v>
      </c>
      <c r="BM1707">
        <v>-0.82599999999999996</v>
      </c>
      <c r="BN1707">
        <v>-0.41599999999999998</v>
      </c>
    </row>
    <row r="1708" spans="2:66">
      <c r="B1708">
        <v>3068</v>
      </c>
      <c r="C1708">
        <v>134</v>
      </c>
      <c r="D1708">
        <v>0</v>
      </c>
      <c r="E1708">
        <v>2</v>
      </c>
      <c r="F1708">
        <v>0</v>
      </c>
      <c r="J1708">
        <v>0</v>
      </c>
      <c r="K1708">
        <v>7</v>
      </c>
      <c r="L1708">
        <v>2</v>
      </c>
      <c r="M1708" t="s">
        <v>25022</v>
      </c>
      <c r="N1708">
        <v>319</v>
      </c>
      <c r="O1708" t="s">
        <v>2176</v>
      </c>
      <c r="P1708" t="s">
        <v>57</v>
      </c>
      <c r="Q1708">
        <v>342538</v>
      </c>
      <c r="R1708">
        <v>343491</v>
      </c>
      <c r="S1708" t="s">
        <v>2177</v>
      </c>
      <c r="T1708">
        <v>318</v>
      </c>
      <c r="U1708" t="s">
        <v>108</v>
      </c>
      <c r="V1708">
        <v>44</v>
      </c>
      <c r="W1708" t="str">
        <f>HYPERLINK("Gene319-zp_tree_all.dnd", "Gene319-tree")</f>
        <v>Gene319-tree</v>
      </c>
      <c r="X1708">
        <v>6</v>
      </c>
      <c r="Y1708">
        <v>8</v>
      </c>
      <c r="Z1708">
        <v>6</v>
      </c>
      <c r="AA1708">
        <v>8</v>
      </c>
      <c r="AB1708">
        <v>0.57142999999999999</v>
      </c>
      <c r="AC1708" t="s">
        <v>90</v>
      </c>
      <c r="AD1708" t="s">
        <v>136</v>
      </c>
      <c r="AE1708" t="s">
        <v>62</v>
      </c>
      <c r="AF1708" t="s">
        <v>62</v>
      </c>
      <c r="AG1708">
        <v>3</v>
      </c>
      <c r="AH1708">
        <v>9</v>
      </c>
      <c r="AI1708">
        <v>9</v>
      </c>
      <c r="AJ1708">
        <v>0.5</v>
      </c>
      <c r="AK1708">
        <v>0</v>
      </c>
      <c r="AL1708">
        <v>0</v>
      </c>
      <c r="AM1708">
        <v>0</v>
      </c>
      <c r="AN1708">
        <v>2</v>
      </c>
      <c r="AO1708">
        <v>0</v>
      </c>
      <c r="AP1708">
        <v>5</v>
      </c>
      <c r="AQ1708">
        <v>0</v>
      </c>
      <c r="AR1708">
        <v>5</v>
      </c>
      <c r="AS1708">
        <v>9</v>
      </c>
      <c r="AT1708">
        <v>0.35714000000000001</v>
      </c>
      <c r="AU1708">
        <v>11</v>
      </c>
      <c r="AV1708">
        <v>8</v>
      </c>
      <c r="AW1708">
        <v>23</v>
      </c>
      <c r="AX1708">
        <v>13</v>
      </c>
      <c r="AY1708">
        <v>12</v>
      </c>
      <c r="AZ1708">
        <v>5</v>
      </c>
      <c r="BA1708" t="s">
        <v>2178</v>
      </c>
      <c r="BB1708" t="s">
        <v>2179</v>
      </c>
      <c r="BC1708">
        <v>0.312</v>
      </c>
      <c r="BD1708" t="s">
        <v>65</v>
      </c>
      <c r="BE1708">
        <v>35</v>
      </c>
      <c r="BF1708">
        <v>18</v>
      </c>
      <c r="BG1708" t="s">
        <v>2180</v>
      </c>
      <c r="BH1708" t="s">
        <v>2181</v>
      </c>
      <c r="BI1708" t="s">
        <v>2182</v>
      </c>
      <c r="BJ1708">
        <v>0.12062</v>
      </c>
      <c r="BK1708">
        <v>1</v>
      </c>
      <c r="BL1708" t="s">
        <v>69</v>
      </c>
      <c r="BM1708">
        <v>-0.84899999999999998</v>
      </c>
      <c r="BN1708">
        <v>-0.46200000000000002</v>
      </c>
    </row>
    <row r="1709" spans="2:66">
      <c r="B1709">
        <v>3069</v>
      </c>
      <c r="C1709">
        <v>32</v>
      </c>
      <c r="D1709">
        <v>0</v>
      </c>
      <c r="E1709">
        <v>2</v>
      </c>
      <c r="F1709">
        <v>0</v>
      </c>
      <c r="J1709">
        <v>0</v>
      </c>
      <c r="K1709">
        <v>2</v>
      </c>
      <c r="L1709">
        <v>2</v>
      </c>
      <c r="M1709" t="s">
        <v>25022</v>
      </c>
      <c r="N1709">
        <v>320</v>
      </c>
      <c r="O1709" t="s">
        <v>2183</v>
      </c>
      <c r="P1709" t="s">
        <v>57</v>
      </c>
      <c r="Q1709">
        <v>343578</v>
      </c>
      <c r="R1709">
        <v>344357</v>
      </c>
      <c r="S1709" t="s">
        <v>116</v>
      </c>
      <c r="T1709">
        <v>260</v>
      </c>
      <c r="U1709" t="s">
        <v>108</v>
      </c>
      <c r="V1709">
        <v>44</v>
      </c>
      <c r="W1709" t="str">
        <f>HYPERLINK("Gene320-zp_tree_all.dnd", "Gene320-tree")</f>
        <v>Gene320-tree</v>
      </c>
      <c r="X1709">
        <v>29</v>
      </c>
      <c r="Y1709">
        <v>5</v>
      </c>
      <c r="Z1709">
        <v>10</v>
      </c>
      <c r="AA1709">
        <v>5</v>
      </c>
      <c r="AB1709">
        <v>0.33333000000000002</v>
      </c>
      <c r="AC1709" t="s">
        <v>2184</v>
      </c>
      <c r="AD1709" t="s">
        <v>199</v>
      </c>
      <c r="AE1709" t="s">
        <v>62</v>
      </c>
      <c r="AF1709" t="s">
        <v>62</v>
      </c>
      <c r="AG1709">
        <v>2</v>
      </c>
      <c r="AH1709">
        <v>4</v>
      </c>
      <c r="AI1709">
        <v>8</v>
      </c>
      <c r="AJ1709">
        <v>0.33333000000000002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8</v>
      </c>
      <c r="AT1709">
        <v>0</v>
      </c>
      <c r="AU1709">
        <v>12</v>
      </c>
      <c r="AV1709">
        <v>10</v>
      </c>
      <c r="AW1709">
        <v>41</v>
      </c>
      <c r="AX1709">
        <v>6</v>
      </c>
      <c r="AY1709">
        <v>15</v>
      </c>
      <c r="AZ1709">
        <v>7</v>
      </c>
      <c r="BA1709" t="s">
        <v>2185</v>
      </c>
      <c r="BB1709" t="s">
        <v>2186</v>
      </c>
      <c r="BC1709">
        <v>1.1919999999999999</v>
      </c>
      <c r="BD1709" t="s">
        <v>65</v>
      </c>
      <c r="BE1709">
        <v>56</v>
      </c>
      <c r="BF1709">
        <v>13</v>
      </c>
      <c r="BG1709" t="s">
        <v>2187</v>
      </c>
      <c r="BH1709" t="s">
        <v>2188</v>
      </c>
      <c r="BI1709" t="s">
        <v>2189</v>
      </c>
      <c r="BJ1709">
        <v>8.5070000000000007E-2</v>
      </c>
      <c r="BK1709">
        <v>1</v>
      </c>
      <c r="BL1709" t="s">
        <v>69</v>
      </c>
      <c r="BM1709">
        <v>-0.38900000000000001</v>
      </c>
      <c r="BN1709">
        <v>-0.16400000000000001</v>
      </c>
    </row>
    <row r="1710" spans="2:66">
      <c r="B1710">
        <v>3070</v>
      </c>
      <c r="C1710">
        <v>109</v>
      </c>
      <c r="D1710">
        <v>0</v>
      </c>
      <c r="E1710">
        <v>4</v>
      </c>
      <c r="F1710">
        <v>0</v>
      </c>
      <c r="J1710">
        <v>0</v>
      </c>
      <c r="K1710">
        <v>4</v>
      </c>
      <c r="L1710">
        <v>0</v>
      </c>
      <c r="M1710" t="s">
        <v>25022</v>
      </c>
      <c r="N1710">
        <v>321</v>
      </c>
      <c r="O1710" t="s">
        <v>2190</v>
      </c>
      <c r="P1710" t="s">
        <v>57</v>
      </c>
      <c r="Q1710">
        <v>344551</v>
      </c>
      <c r="R1710">
        <v>345459</v>
      </c>
      <c r="S1710" t="s">
        <v>2191</v>
      </c>
      <c r="T1710">
        <v>303</v>
      </c>
      <c r="U1710" t="s">
        <v>59</v>
      </c>
      <c r="V1710">
        <v>49</v>
      </c>
      <c r="W1710" t="str">
        <f>HYPERLINK("Gene321-zp_tree_all.dnd", "Gene321-tree")</f>
        <v>Gene321-tree</v>
      </c>
      <c r="X1710">
        <v>9</v>
      </c>
      <c r="Y1710">
        <v>7</v>
      </c>
      <c r="Z1710">
        <v>9</v>
      </c>
      <c r="AA1710">
        <v>7</v>
      </c>
      <c r="AB1710">
        <v>0.4375</v>
      </c>
      <c r="AC1710" t="s">
        <v>135</v>
      </c>
      <c r="AD1710" t="s">
        <v>152</v>
      </c>
      <c r="AE1710" t="s">
        <v>62</v>
      </c>
      <c r="AF1710" t="s">
        <v>62</v>
      </c>
      <c r="AG1710">
        <v>2</v>
      </c>
      <c r="AH1710">
        <v>4</v>
      </c>
      <c r="AI1710">
        <v>17</v>
      </c>
      <c r="AJ1710">
        <v>0.19048000000000001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2</v>
      </c>
      <c r="AQ1710">
        <v>0</v>
      </c>
      <c r="AR1710">
        <v>2</v>
      </c>
      <c r="AS1710">
        <v>10</v>
      </c>
      <c r="AT1710">
        <v>0.16667000000000001</v>
      </c>
      <c r="AU1710">
        <v>13</v>
      </c>
      <c r="AV1710">
        <v>9</v>
      </c>
      <c r="AW1710">
        <v>36</v>
      </c>
      <c r="AX1710">
        <v>12</v>
      </c>
      <c r="AY1710">
        <v>35</v>
      </c>
      <c r="AZ1710">
        <v>9</v>
      </c>
      <c r="BA1710" t="s">
        <v>2192</v>
      </c>
      <c r="BB1710" t="s">
        <v>2193</v>
      </c>
      <c r="BC1710">
        <v>0.24099999999999999</v>
      </c>
      <c r="BD1710" t="s">
        <v>65</v>
      </c>
      <c r="BE1710">
        <v>71</v>
      </c>
      <c r="BF1710">
        <v>21</v>
      </c>
      <c r="BG1710" t="s">
        <v>2194</v>
      </c>
      <c r="BH1710" t="s">
        <v>2195</v>
      </c>
      <c r="BI1710" t="s">
        <v>2196</v>
      </c>
      <c r="BJ1710">
        <v>8.7609999999999993E-2</v>
      </c>
      <c r="BK1710">
        <v>1</v>
      </c>
      <c r="BL1710" t="s">
        <v>69</v>
      </c>
      <c r="BM1710">
        <v>-1.734</v>
      </c>
      <c r="BN1710">
        <v>-1.6819999999999999</v>
      </c>
    </row>
    <row r="1711" spans="2:66">
      <c r="B1711">
        <v>3071</v>
      </c>
      <c r="C1711">
        <v>101</v>
      </c>
      <c r="D1711">
        <v>0</v>
      </c>
      <c r="E1711">
        <v>9</v>
      </c>
      <c r="F1711">
        <v>0</v>
      </c>
      <c r="J1711">
        <v>0</v>
      </c>
      <c r="K1711">
        <v>0</v>
      </c>
      <c r="L1711">
        <v>0</v>
      </c>
      <c r="M1711" t="s">
        <v>25022</v>
      </c>
      <c r="N1711">
        <v>322</v>
      </c>
      <c r="O1711" t="s">
        <v>2197</v>
      </c>
      <c r="P1711" t="s">
        <v>57</v>
      </c>
      <c r="Q1711">
        <v>345479</v>
      </c>
      <c r="R1711">
        <v>347023</v>
      </c>
      <c r="S1711" t="s">
        <v>2198</v>
      </c>
      <c r="T1711">
        <v>515</v>
      </c>
      <c r="U1711" t="s">
        <v>289</v>
      </c>
      <c r="V1711">
        <v>46</v>
      </c>
      <c r="W1711" t="str">
        <f>HYPERLINK("Gene322-zp_tree_all.dnd", "Gene322-tree")</f>
        <v>Gene322-tree</v>
      </c>
      <c r="X1711">
        <v>12</v>
      </c>
      <c r="Y1711">
        <v>5</v>
      </c>
      <c r="Z1711">
        <v>12</v>
      </c>
      <c r="AA1711">
        <v>5</v>
      </c>
      <c r="AB1711">
        <v>0.29411999999999999</v>
      </c>
      <c r="AC1711" t="s">
        <v>109</v>
      </c>
      <c r="AD1711" t="s">
        <v>199</v>
      </c>
      <c r="AE1711" t="s">
        <v>62</v>
      </c>
      <c r="AF1711" t="s">
        <v>62</v>
      </c>
      <c r="AG1711">
        <v>0</v>
      </c>
      <c r="AH1711">
        <v>0</v>
      </c>
      <c r="AI1711">
        <v>9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5</v>
      </c>
      <c r="AT1711">
        <v>0</v>
      </c>
      <c r="AU1711">
        <v>13</v>
      </c>
      <c r="AV1711">
        <v>11</v>
      </c>
      <c r="AW1711">
        <v>34</v>
      </c>
      <c r="AX1711">
        <v>5</v>
      </c>
      <c r="AY1711">
        <v>79</v>
      </c>
      <c r="AZ1711">
        <v>4</v>
      </c>
      <c r="BA1711" t="s">
        <v>2199</v>
      </c>
      <c r="BB1711" t="s">
        <v>2200</v>
      </c>
      <c r="BC1711">
        <v>0.50600000000000001</v>
      </c>
      <c r="BD1711" t="s">
        <v>65</v>
      </c>
      <c r="BE1711">
        <v>113</v>
      </c>
      <c r="BF1711">
        <v>9</v>
      </c>
      <c r="BG1711" t="s">
        <v>2201</v>
      </c>
      <c r="BH1711" t="s">
        <v>2202</v>
      </c>
      <c r="BI1711" t="s">
        <v>2203</v>
      </c>
      <c r="BJ1711">
        <v>1.907E-2</v>
      </c>
      <c r="BK1711">
        <v>1</v>
      </c>
      <c r="BL1711" t="s">
        <v>69</v>
      </c>
      <c r="BM1711">
        <v>-1.853</v>
      </c>
      <c r="BN1711">
        <v>-1.0469999999999999</v>
      </c>
    </row>
    <row r="1712" spans="2:66">
      <c r="B1712">
        <v>3072</v>
      </c>
      <c r="C1712">
        <v>39</v>
      </c>
      <c r="D1712">
        <v>0</v>
      </c>
      <c r="E1712">
        <v>4</v>
      </c>
      <c r="F1712">
        <v>1</v>
      </c>
      <c r="J1712">
        <v>0</v>
      </c>
      <c r="K1712">
        <v>0</v>
      </c>
      <c r="L1712">
        <v>0</v>
      </c>
      <c r="M1712" t="s">
        <v>25022</v>
      </c>
      <c r="N1712">
        <v>323</v>
      </c>
      <c r="O1712" t="s">
        <v>2204</v>
      </c>
      <c r="P1712" t="s">
        <v>57</v>
      </c>
      <c r="Q1712">
        <v>347150</v>
      </c>
      <c r="R1712">
        <v>348568</v>
      </c>
      <c r="S1712" t="s">
        <v>2205</v>
      </c>
      <c r="T1712">
        <v>473</v>
      </c>
      <c r="U1712" t="s">
        <v>2206</v>
      </c>
      <c r="V1712">
        <v>42</v>
      </c>
      <c r="W1712" t="str">
        <f>HYPERLINK("Gene323-zp_tree_all.dnd", "Gene323-tree")</f>
        <v>Gene323-tree</v>
      </c>
      <c r="X1712">
        <v>12</v>
      </c>
      <c r="Y1712">
        <v>3</v>
      </c>
      <c r="Z1712">
        <v>12</v>
      </c>
      <c r="AA1712">
        <v>3</v>
      </c>
      <c r="AB1712">
        <v>0.2</v>
      </c>
      <c r="AC1712" t="s">
        <v>109</v>
      </c>
      <c r="AD1712" t="s">
        <v>324</v>
      </c>
      <c r="AE1712" t="s">
        <v>62</v>
      </c>
      <c r="AF1712" t="s">
        <v>62</v>
      </c>
      <c r="AG1712">
        <v>0</v>
      </c>
      <c r="AH1712">
        <v>0</v>
      </c>
      <c r="AI1712">
        <v>6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3</v>
      </c>
      <c r="AT1712">
        <v>0</v>
      </c>
      <c r="AU1712">
        <v>12</v>
      </c>
      <c r="AV1712">
        <v>11</v>
      </c>
      <c r="AW1712">
        <v>55</v>
      </c>
      <c r="AX1712">
        <v>3</v>
      </c>
      <c r="AY1712">
        <v>50</v>
      </c>
      <c r="AZ1712">
        <v>3</v>
      </c>
      <c r="BA1712" t="s">
        <v>2207</v>
      </c>
      <c r="BB1712" t="s">
        <v>2208</v>
      </c>
      <c r="BC1712">
        <v>4.4999999999999998E-2</v>
      </c>
      <c r="BD1712" t="s">
        <v>65</v>
      </c>
      <c r="BE1712">
        <v>105</v>
      </c>
      <c r="BF1712">
        <v>6</v>
      </c>
      <c r="BG1712" t="s">
        <v>2209</v>
      </c>
      <c r="BH1712" t="s">
        <v>2210</v>
      </c>
      <c r="BI1712" t="s">
        <v>2211</v>
      </c>
      <c r="BJ1712">
        <v>2.6349999999999998E-2</v>
      </c>
      <c r="BK1712">
        <v>1</v>
      </c>
      <c r="BL1712" t="s">
        <v>69</v>
      </c>
      <c r="BM1712">
        <v>-0.48299999999999998</v>
      </c>
      <c r="BN1712">
        <v>-0.875</v>
      </c>
    </row>
    <row r="1713" spans="2:66">
      <c r="B1713">
        <v>3073</v>
      </c>
      <c r="C1713">
        <v>89</v>
      </c>
      <c r="D1713">
        <v>0</v>
      </c>
      <c r="E1713">
        <v>20</v>
      </c>
      <c r="F1713">
        <v>3</v>
      </c>
      <c r="J1713">
        <v>0</v>
      </c>
      <c r="K1713">
        <v>0</v>
      </c>
      <c r="L1713">
        <v>0</v>
      </c>
      <c r="M1713" t="s">
        <v>25022</v>
      </c>
      <c r="N1713">
        <v>324</v>
      </c>
      <c r="O1713" t="s">
        <v>2212</v>
      </c>
      <c r="P1713" t="s">
        <v>57</v>
      </c>
      <c r="Q1713">
        <v>348724</v>
      </c>
      <c r="R1713">
        <v>349956</v>
      </c>
      <c r="S1713" t="s">
        <v>2213</v>
      </c>
      <c r="T1713">
        <v>411</v>
      </c>
      <c r="U1713" t="s">
        <v>59</v>
      </c>
      <c r="V1713">
        <v>49</v>
      </c>
      <c r="W1713" t="str">
        <f>HYPERLINK("Gene324-zp_tree_all.dnd", "Gene324-tree")</f>
        <v>Gene324-tree</v>
      </c>
      <c r="X1713">
        <v>19</v>
      </c>
      <c r="Y1713">
        <v>1</v>
      </c>
      <c r="Z1713">
        <v>19</v>
      </c>
      <c r="AA1713">
        <v>1</v>
      </c>
      <c r="AB1713">
        <v>0.05</v>
      </c>
      <c r="AC1713" t="s">
        <v>587</v>
      </c>
      <c r="AD1713" t="s">
        <v>175</v>
      </c>
      <c r="AE1713" t="s">
        <v>62</v>
      </c>
      <c r="AF1713" t="s">
        <v>62</v>
      </c>
      <c r="AG1713">
        <v>0</v>
      </c>
      <c r="AH1713">
        <v>0</v>
      </c>
      <c r="AI1713">
        <v>9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15</v>
      </c>
      <c r="AV1713">
        <v>15</v>
      </c>
      <c r="AW1713">
        <v>60</v>
      </c>
      <c r="AX1713">
        <v>1</v>
      </c>
      <c r="AY1713">
        <v>77</v>
      </c>
      <c r="AZ1713">
        <v>8</v>
      </c>
      <c r="BA1713" t="s">
        <v>2214</v>
      </c>
      <c r="BB1713" t="s">
        <v>2215</v>
      </c>
      <c r="BC1713">
        <v>0.45500000000000002</v>
      </c>
      <c r="BD1713" t="s">
        <v>65</v>
      </c>
      <c r="BE1713">
        <v>137</v>
      </c>
      <c r="BF1713">
        <v>9</v>
      </c>
      <c r="BG1713" t="s">
        <v>2216</v>
      </c>
      <c r="BH1713" t="s">
        <v>2217</v>
      </c>
      <c r="BI1713" t="s">
        <v>2218</v>
      </c>
      <c r="BJ1713">
        <v>2.1569999999999999E-2</v>
      </c>
      <c r="BK1713">
        <v>1</v>
      </c>
      <c r="BL1713" t="s">
        <v>69</v>
      </c>
      <c r="BM1713">
        <v>-1.468</v>
      </c>
      <c r="BN1713">
        <v>-0.91300000000000003</v>
      </c>
    </row>
    <row r="1714" spans="2:66">
      <c r="B1714">
        <v>3074</v>
      </c>
      <c r="C1714">
        <v>134</v>
      </c>
      <c r="D1714">
        <v>0</v>
      </c>
      <c r="E1714">
        <v>8</v>
      </c>
      <c r="F1714">
        <v>2</v>
      </c>
      <c r="J1714">
        <v>0</v>
      </c>
      <c r="K1714">
        <v>25</v>
      </c>
      <c r="L1714">
        <v>0</v>
      </c>
      <c r="M1714" t="s">
        <v>25022</v>
      </c>
      <c r="N1714">
        <v>328</v>
      </c>
      <c r="O1714" t="s">
        <v>2239</v>
      </c>
      <c r="P1714" t="s">
        <v>57</v>
      </c>
      <c r="Q1714">
        <v>352858</v>
      </c>
      <c r="R1714">
        <v>353865</v>
      </c>
      <c r="S1714" t="s">
        <v>2240</v>
      </c>
      <c r="T1714">
        <v>336</v>
      </c>
      <c r="U1714" t="s">
        <v>108</v>
      </c>
      <c r="V1714">
        <v>44</v>
      </c>
      <c r="W1714" t="str">
        <f>HYPERLINK("Gene328-zp_tree_all.dnd", "Gene328-tree")</f>
        <v>Gene328-tree</v>
      </c>
      <c r="X1714">
        <v>6</v>
      </c>
      <c r="Y1714">
        <v>10</v>
      </c>
      <c r="Z1714">
        <v>6</v>
      </c>
      <c r="AA1714">
        <v>10</v>
      </c>
      <c r="AB1714">
        <v>0.625</v>
      </c>
      <c r="AC1714" t="s">
        <v>90</v>
      </c>
      <c r="AD1714" t="s">
        <v>117</v>
      </c>
      <c r="AE1714" t="s">
        <v>62</v>
      </c>
      <c r="AF1714" t="s">
        <v>62</v>
      </c>
      <c r="AG1714">
        <v>9</v>
      </c>
      <c r="AH1714">
        <v>25</v>
      </c>
      <c r="AI1714">
        <v>18</v>
      </c>
      <c r="AJ1714">
        <v>0.58140000000000003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10</v>
      </c>
      <c r="AQ1714">
        <v>0</v>
      </c>
      <c r="AR1714">
        <v>10</v>
      </c>
      <c r="AS1714">
        <v>13</v>
      </c>
      <c r="AT1714">
        <v>0.43478</v>
      </c>
      <c r="AU1714">
        <v>14</v>
      </c>
      <c r="AV1714">
        <v>11</v>
      </c>
      <c r="AW1714">
        <v>82</v>
      </c>
      <c r="AX1714">
        <v>23</v>
      </c>
      <c r="AY1714">
        <v>63</v>
      </c>
      <c r="AZ1714">
        <v>21</v>
      </c>
      <c r="BA1714" t="s">
        <v>2241</v>
      </c>
      <c r="BB1714" t="s">
        <v>2242</v>
      </c>
      <c r="BC1714">
        <v>0.26400000000000001</v>
      </c>
      <c r="BD1714" t="s">
        <v>65</v>
      </c>
      <c r="BE1714">
        <v>145</v>
      </c>
      <c r="BF1714">
        <v>44</v>
      </c>
      <c r="BG1714" t="s">
        <v>2243</v>
      </c>
      <c r="BH1714" t="s">
        <v>2244</v>
      </c>
      <c r="BI1714" t="s">
        <v>2245</v>
      </c>
      <c r="BJ1714">
        <v>8.9639999999999997E-2</v>
      </c>
      <c r="BK1714">
        <v>1</v>
      </c>
      <c r="BL1714" t="s">
        <v>69</v>
      </c>
      <c r="BM1714">
        <v>0.41899999999999998</v>
      </c>
      <c r="BN1714">
        <v>0.114</v>
      </c>
    </row>
    <row r="1715" spans="2:66">
      <c r="B1715">
        <v>3077</v>
      </c>
      <c r="C1715">
        <v>378</v>
      </c>
      <c r="D1715">
        <v>0</v>
      </c>
      <c r="E1715">
        <v>9</v>
      </c>
      <c r="F1715">
        <v>2</v>
      </c>
      <c r="J1715">
        <v>0</v>
      </c>
      <c r="K1715">
        <v>2</v>
      </c>
      <c r="L1715">
        <v>0</v>
      </c>
      <c r="M1715" t="s">
        <v>25022</v>
      </c>
      <c r="N1715">
        <v>334</v>
      </c>
      <c r="O1715" t="s">
        <v>2280</v>
      </c>
      <c r="P1715" t="s">
        <v>57</v>
      </c>
      <c r="Q1715">
        <v>362937</v>
      </c>
      <c r="R1715">
        <v>364139</v>
      </c>
      <c r="S1715" t="s">
        <v>2281</v>
      </c>
      <c r="T1715">
        <v>401</v>
      </c>
      <c r="U1715" t="s">
        <v>108</v>
      </c>
      <c r="V1715">
        <v>44</v>
      </c>
      <c r="W1715" t="str">
        <f>HYPERLINK("Gene334-zp_tree_all.dnd", "Gene334-tree")</f>
        <v>Gene334-tree</v>
      </c>
      <c r="X1715">
        <v>9</v>
      </c>
      <c r="Y1715">
        <v>6</v>
      </c>
      <c r="Z1715">
        <v>9</v>
      </c>
      <c r="AA1715">
        <v>6</v>
      </c>
      <c r="AB1715">
        <v>0.4</v>
      </c>
      <c r="AC1715" t="s">
        <v>135</v>
      </c>
      <c r="AD1715" t="s">
        <v>90</v>
      </c>
      <c r="AE1715" t="s">
        <v>62</v>
      </c>
      <c r="AF1715" t="s">
        <v>62</v>
      </c>
      <c r="AG1715">
        <v>1</v>
      </c>
      <c r="AH1715">
        <v>2</v>
      </c>
      <c r="AI1715">
        <v>7</v>
      </c>
      <c r="AJ1715">
        <v>0.22222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8</v>
      </c>
      <c r="AT1715">
        <v>0</v>
      </c>
      <c r="AU1715">
        <v>13</v>
      </c>
      <c r="AV1715">
        <v>11</v>
      </c>
      <c r="AW1715">
        <v>64</v>
      </c>
      <c r="AX1715">
        <v>8</v>
      </c>
      <c r="AY1715">
        <v>27</v>
      </c>
      <c r="AZ1715">
        <v>1</v>
      </c>
      <c r="BA1715" t="s">
        <v>2282</v>
      </c>
      <c r="BB1715" t="s">
        <v>2283</v>
      </c>
      <c r="BC1715">
        <v>0.64300000000000002</v>
      </c>
      <c r="BD1715" t="s">
        <v>65</v>
      </c>
      <c r="BE1715">
        <v>91</v>
      </c>
      <c r="BF1715">
        <v>9</v>
      </c>
      <c r="BG1715" t="s">
        <v>2284</v>
      </c>
      <c r="BH1715" t="s">
        <v>2285</v>
      </c>
      <c r="BI1715" t="s">
        <v>2286</v>
      </c>
      <c r="BJ1715">
        <v>3.313E-2</v>
      </c>
      <c r="BK1715">
        <v>1</v>
      </c>
      <c r="BL1715" t="s">
        <v>69</v>
      </c>
      <c r="BM1715">
        <v>-0.42299999999999999</v>
      </c>
      <c r="BN1715">
        <v>-2.3079999999999998</v>
      </c>
    </row>
    <row r="1716" spans="2:66">
      <c r="B1716">
        <v>3078</v>
      </c>
      <c r="C1716">
        <v>402</v>
      </c>
      <c r="D1716">
        <v>0</v>
      </c>
      <c r="E1716">
        <v>3</v>
      </c>
      <c r="F1716">
        <v>0</v>
      </c>
      <c r="J1716">
        <v>0</v>
      </c>
      <c r="K1716">
        <v>10</v>
      </c>
      <c r="L1716">
        <v>3</v>
      </c>
      <c r="M1716" t="s">
        <v>25022</v>
      </c>
      <c r="N1716">
        <v>335</v>
      </c>
      <c r="O1716" t="s">
        <v>2287</v>
      </c>
      <c r="P1716" t="s">
        <v>57</v>
      </c>
      <c r="Q1716">
        <v>364259</v>
      </c>
      <c r="R1716">
        <v>365170</v>
      </c>
      <c r="S1716" t="s">
        <v>2288</v>
      </c>
      <c r="T1716">
        <v>304</v>
      </c>
      <c r="U1716" t="s">
        <v>2289</v>
      </c>
      <c r="V1716">
        <v>37</v>
      </c>
      <c r="W1716" t="str">
        <f>HYPERLINK("Gene335-zp_tree_all.dnd", "Gene335-tree")</f>
        <v>Gene335-tree</v>
      </c>
      <c r="X1716">
        <v>4</v>
      </c>
      <c r="Y1716">
        <v>9</v>
      </c>
      <c r="Z1716">
        <v>4</v>
      </c>
      <c r="AA1716">
        <v>9</v>
      </c>
      <c r="AB1716">
        <v>0.69230999999999998</v>
      </c>
      <c r="AC1716" t="s">
        <v>61</v>
      </c>
      <c r="AD1716" t="s">
        <v>135</v>
      </c>
      <c r="AE1716" t="s">
        <v>62</v>
      </c>
      <c r="AF1716" t="s">
        <v>62</v>
      </c>
      <c r="AG1716">
        <v>6</v>
      </c>
      <c r="AH1716">
        <v>13</v>
      </c>
      <c r="AI1716">
        <v>14</v>
      </c>
      <c r="AJ1716">
        <v>0.48148000000000002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2</v>
      </c>
      <c r="AQ1716">
        <v>2</v>
      </c>
      <c r="AR1716">
        <v>4</v>
      </c>
      <c r="AS1716">
        <v>17</v>
      </c>
      <c r="AT1716">
        <v>0.19048000000000001</v>
      </c>
      <c r="AU1716">
        <v>11</v>
      </c>
      <c r="AV1716">
        <v>9</v>
      </c>
      <c r="AW1716">
        <v>35</v>
      </c>
      <c r="AX1716">
        <v>22</v>
      </c>
      <c r="AY1716">
        <v>14</v>
      </c>
      <c r="AZ1716">
        <v>6</v>
      </c>
      <c r="BA1716" t="s">
        <v>2290</v>
      </c>
      <c r="BB1716" t="s">
        <v>2291</v>
      </c>
      <c r="BC1716">
        <v>0.69199999999999995</v>
      </c>
      <c r="BD1716" t="s">
        <v>65</v>
      </c>
      <c r="BE1716">
        <v>49</v>
      </c>
      <c r="BF1716">
        <v>28</v>
      </c>
      <c r="BG1716" t="s">
        <v>2292</v>
      </c>
      <c r="BH1716" t="s">
        <v>2293</v>
      </c>
      <c r="BI1716" t="s">
        <v>2294</v>
      </c>
      <c r="BJ1716">
        <v>0.15967999999999999</v>
      </c>
      <c r="BK1716">
        <v>1</v>
      </c>
      <c r="BL1716" t="s">
        <v>69</v>
      </c>
      <c r="BM1716">
        <v>-1.349</v>
      </c>
      <c r="BN1716">
        <v>-2.1749999999999998</v>
      </c>
    </row>
    <row r="1717" spans="2:66">
      <c r="B1717">
        <v>3079</v>
      </c>
      <c r="C1717">
        <v>482</v>
      </c>
      <c r="D1717">
        <v>0</v>
      </c>
      <c r="E1717">
        <v>5</v>
      </c>
      <c r="F1717">
        <v>0</v>
      </c>
      <c r="J1717">
        <v>0</v>
      </c>
      <c r="K1717">
        <v>9</v>
      </c>
      <c r="L1717">
        <v>5</v>
      </c>
      <c r="M1717" t="s">
        <v>25022</v>
      </c>
      <c r="N1717">
        <v>336</v>
      </c>
      <c r="O1717" t="s">
        <v>2295</v>
      </c>
      <c r="P1717" t="s">
        <v>57</v>
      </c>
      <c r="Q1717">
        <v>365170</v>
      </c>
      <c r="R1717">
        <v>365751</v>
      </c>
      <c r="S1717" t="s">
        <v>2296</v>
      </c>
      <c r="T1717">
        <v>194</v>
      </c>
      <c r="U1717" t="s">
        <v>108</v>
      </c>
      <c r="V1717">
        <v>44</v>
      </c>
      <c r="W1717" t="str">
        <f>HYPERLINK("Gene336-zp_tree_all.dnd", "Gene336-tree")</f>
        <v>Gene336-tree</v>
      </c>
      <c r="X1717">
        <v>0</v>
      </c>
      <c r="Y1717">
        <v>13</v>
      </c>
      <c r="Z1717">
        <v>0</v>
      </c>
      <c r="AA1717">
        <v>13</v>
      </c>
      <c r="AB1717">
        <v>1</v>
      </c>
      <c r="AC1717" t="s">
        <v>62</v>
      </c>
      <c r="AD1717" t="s">
        <v>507</v>
      </c>
      <c r="AE1717" t="s">
        <v>62</v>
      </c>
      <c r="AF1717" t="s">
        <v>62</v>
      </c>
      <c r="AG1717">
        <v>5</v>
      </c>
      <c r="AH1717">
        <v>14</v>
      </c>
      <c r="AI1717">
        <v>19</v>
      </c>
      <c r="AJ1717">
        <v>0.42424000000000001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8</v>
      </c>
      <c r="AQ1717">
        <v>1</v>
      </c>
      <c r="AR1717">
        <v>9</v>
      </c>
      <c r="AS1717">
        <v>11</v>
      </c>
      <c r="AT1717">
        <v>0.45</v>
      </c>
      <c r="AU1717">
        <v>10</v>
      </c>
      <c r="AV1717">
        <v>6</v>
      </c>
      <c r="AW1717">
        <v>10</v>
      </c>
      <c r="AX1717">
        <v>17</v>
      </c>
      <c r="AY1717">
        <v>17</v>
      </c>
      <c r="AZ1717">
        <v>16</v>
      </c>
      <c r="BA1717" t="s">
        <v>2297</v>
      </c>
      <c r="BB1717" t="s">
        <v>2298</v>
      </c>
      <c r="BC1717">
        <v>0.44400000000000001</v>
      </c>
      <c r="BD1717" t="s">
        <v>65</v>
      </c>
      <c r="BE1717">
        <v>27</v>
      </c>
      <c r="BF1717">
        <v>33</v>
      </c>
      <c r="BG1717" t="s">
        <v>2299</v>
      </c>
      <c r="BH1717" t="s">
        <v>2300</v>
      </c>
      <c r="BI1717" t="s">
        <v>2301</v>
      </c>
      <c r="BJ1717">
        <v>0.26576</v>
      </c>
      <c r="BK1717">
        <v>1</v>
      </c>
      <c r="BL1717" t="s">
        <v>69</v>
      </c>
      <c r="BM1717">
        <v>-0.83799999999999997</v>
      </c>
      <c r="BN1717">
        <v>-0.28199999999999997</v>
      </c>
    </row>
    <row r="1718" spans="2:66">
      <c r="B1718">
        <v>3080</v>
      </c>
      <c r="C1718">
        <v>263</v>
      </c>
      <c r="D1718">
        <v>0</v>
      </c>
      <c r="E1718">
        <v>2</v>
      </c>
      <c r="F1718">
        <v>0</v>
      </c>
      <c r="J1718">
        <v>0</v>
      </c>
      <c r="K1718">
        <v>7</v>
      </c>
      <c r="L1718">
        <v>4</v>
      </c>
      <c r="M1718" t="s">
        <v>25022</v>
      </c>
      <c r="N1718">
        <v>338</v>
      </c>
      <c r="O1718" t="s">
        <v>2303</v>
      </c>
      <c r="P1718" t="s">
        <v>57</v>
      </c>
      <c r="Q1718">
        <v>366063</v>
      </c>
      <c r="R1718">
        <v>367253</v>
      </c>
      <c r="S1718" t="s">
        <v>2304</v>
      </c>
      <c r="T1718">
        <v>397</v>
      </c>
      <c r="U1718" t="s">
        <v>108</v>
      </c>
      <c r="V1718">
        <v>44</v>
      </c>
      <c r="W1718" t="str">
        <f>HYPERLINK("Gene338-zp_tree_all.dnd", "Gene338-tree")</f>
        <v>Gene338-tree</v>
      </c>
      <c r="X1718">
        <v>5</v>
      </c>
      <c r="Y1718">
        <v>9</v>
      </c>
      <c r="Z1718">
        <v>5</v>
      </c>
      <c r="AA1718">
        <v>9</v>
      </c>
      <c r="AB1718">
        <v>0.64285999999999999</v>
      </c>
      <c r="AC1718" t="s">
        <v>199</v>
      </c>
      <c r="AD1718" t="s">
        <v>135</v>
      </c>
      <c r="AE1718" t="s">
        <v>62</v>
      </c>
      <c r="AF1718" t="s">
        <v>62</v>
      </c>
      <c r="AG1718">
        <v>4</v>
      </c>
      <c r="AH1718">
        <v>11</v>
      </c>
      <c r="AI1718">
        <v>13</v>
      </c>
      <c r="AJ1718">
        <v>0.45833000000000002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2</v>
      </c>
      <c r="AQ1718">
        <v>4</v>
      </c>
      <c r="AR1718">
        <v>6</v>
      </c>
      <c r="AS1718">
        <v>12</v>
      </c>
      <c r="AT1718">
        <v>0.33333000000000002</v>
      </c>
      <c r="AU1718">
        <v>13</v>
      </c>
      <c r="AV1718">
        <v>11</v>
      </c>
      <c r="AW1718">
        <v>54</v>
      </c>
      <c r="AX1718">
        <v>19</v>
      </c>
      <c r="AY1718">
        <v>24</v>
      </c>
      <c r="AZ1718">
        <v>6</v>
      </c>
      <c r="BA1718" t="s">
        <v>2305</v>
      </c>
      <c r="BB1718" t="s">
        <v>2306</v>
      </c>
      <c r="BC1718">
        <v>0.53400000000000003</v>
      </c>
      <c r="BD1718" t="s">
        <v>65</v>
      </c>
      <c r="BE1718">
        <v>78</v>
      </c>
      <c r="BF1718">
        <v>25</v>
      </c>
      <c r="BG1718" t="s">
        <v>2307</v>
      </c>
      <c r="BH1718" t="s">
        <v>2308</v>
      </c>
      <c r="BI1718" t="s">
        <v>2189</v>
      </c>
      <c r="BJ1718">
        <v>7.9310000000000005E-2</v>
      </c>
      <c r="BK1718">
        <v>1</v>
      </c>
      <c r="BL1718" t="s">
        <v>69</v>
      </c>
      <c r="BM1718">
        <v>-0.92600000000000005</v>
      </c>
      <c r="BN1718">
        <v>-2.3319999999999999</v>
      </c>
    </row>
    <row r="1719" spans="2:66">
      <c r="B1719">
        <v>3081</v>
      </c>
      <c r="C1719">
        <v>72</v>
      </c>
      <c r="D1719">
        <v>0</v>
      </c>
      <c r="E1719">
        <v>2</v>
      </c>
      <c r="F1719">
        <v>0</v>
      </c>
      <c r="J1719">
        <v>0</v>
      </c>
      <c r="K1719">
        <v>0</v>
      </c>
      <c r="L1719">
        <v>0</v>
      </c>
      <c r="M1719" t="s">
        <v>25022</v>
      </c>
      <c r="N1719">
        <v>341</v>
      </c>
      <c r="O1719" t="s">
        <v>2323</v>
      </c>
      <c r="P1719" t="s">
        <v>57</v>
      </c>
      <c r="Q1719">
        <v>369020</v>
      </c>
      <c r="R1719">
        <v>369214</v>
      </c>
      <c r="S1719" t="s">
        <v>2324</v>
      </c>
      <c r="T1719">
        <v>65</v>
      </c>
      <c r="U1719" t="s">
        <v>2325</v>
      </c>
      <c r="V1719">
        <v>29</v>
      </c>
      <c r="W1719" t="str">
        <f>HYPERLINK("Gene341-zp_tree_all.dnd", "Gene341-tree")</f>
        <v>Gene341-tree</v>
      </c>
      <c r="X1719">
        <v>0</v>
      </c>
      <c r="Y1719">
        <v>25</v>
      </c>
      <c r="Z1719">
        <v>0</v>
      </c>
      <c r="AA1719">
        <v>4</v>
      </c>
      <c r="AB1719">
        <v>1</v>
      </c>
      <c r="AC1719" t="s">
        <v>62</v>
      </c>
      <c r="AD1719" t="s">
        <v>2326</v>
      </c>
      <c r="AE1719">
        <v>7.1360000000000001</v>
      </c>
      <c r="AF1719" t="s">
        <v>65</v>
      </c>
      <c r="AG1719">
        <v>0</v>
      </c>
      <c r="AH1719">
        <v>0</v>
      </c>
      <c r="AI1719">
        <v>9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9</v>
      </c>
      <c r="AT1719">
        <v>0</v>
      </c>
      <c r="AU1719">
        <v>3</v>
      </c>
      <c r="AV1719">
        <v>0</v>
      </c>
      <c r="AW1719">
        <v>3</v>
      </c>
      <c r="AX1719">
        <v>10</v>
      </c>
      <c r="AY1719">
        <v>0</v>
      </c>
      <c r="AZ1719">
        <v>0</v>
      </c>
      <c r="BA1719" t="s">
        <v>2327</v>
      </c>
      <c r="BB1719" t="s">
        <v>193</v>
      </c>
      <c r="BC1719">
        <v>1.7230000000000001</v>
      </c>
      <c r="BD1719" t="s">
        <v>65</v>
      </c>
      <c r="BE1719">
        <v>3</v>
      </c>
      <c r="BF1719">
        <v>10</v>
      </c>
      <c r="BG1719" t="s">
        <v>2328</v>
      </c>
      <c r="BH1719" t="s">
        <v>2329</v>
      </c>
      <c r="BI1719" t="s">
        <v>2330</v>
      </c>
      <c r="BJ1719">
        <v>0.83191999999999999</v>
      </c>
      <c r="BK1719">
        <v>0.45400000000000001</v>
      </c>
      <c r="BL1719" t="s">
        <v>635</v>
      </c>
      <c r="BM1719">
        <v>-1.97</v>
      </c>
      <c r="BN1719">
        <v>-3.302</v>
      </c>
    </row>
    <row r="1720" spans="2:66">
      <c r="B1720">
        <v>3082</v>
      </c>
      <c r="C1720">
        <v>14</v>
      </c>
      <c r="D1720">
        <v>0</v>
      </c>
      <c r="E1720">
        <v>2</v>
      </c>
      <c r="F1720">
        <v>0</v>
      </c>
      <c r="J1720">
        <v>0</v>
      </c>
      <c r="K1720">
        <v>2</v>
      </c>
      <c r="L1720">
        <v>0</v>
      </c>
      <c r="M1720" t="s">
        <v>25022</v>
      </c>
      <c r="N1720">
        <v>342</v>
      </c>
      <c r="O1720" t="s">
        <v>2331</v>
      </c>
      <c r="P1720" t="s">
        <v>57</v>
      </c>
      <c r="Q1720">
        <v>369773</v>
      </c>
      <c r="R1720">
        <v>370102</v>
      </c>
      <c r="S1720" t="s">
        <v>2332</v>
      </c>
      <c r="T1720">
        <v>110</v>
      </c>
      <c r="U1720" t="s">
        <v>108</v>
      </c>
      <c r="V1720">
        <v>44</v>
      </c>
      <c r="W1720" t="str">
        <f>HYPERLINK("Gene342-zp_tree_all.dnd", "Gene342-tree")</f>
        <v>Gene342-tree</v>
      </c>
      <c r="X1720">
        <v>3</v>
      </c>
      <c r="Y1720">
        <v>26</v>
      </c>
      <c r="Z1720">
        <v>3</v>
      </c>
      <c r="AA1720">
        <v>4</v>
      </c>
      <c r="AB1720">
        <v>0.57142999999999999</v>
      </c>
      <c r="AC1720" t="s">
        <v>324</v>
      </c>
      <c r="AD1720" t="s">
        <v>2333</v>
      </c>
      <c r="AE1720">
        <v>4.2779999999999996</v>
      </c>
      <c r="AF1720" t="s">
        <v>65</v>
      </c>
      <c r="AG1720">
        <v>1</v>
      </c>
      <c r="AH1720">
        <v>2</v>
      </c>
      <c r="AI1720">
        <v>6</v>
      </c>
      <c r="AJ1720">
        <v>0.25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5</v>
      </c>
      <c r="AT1720">
        <v>0</v>
      </c>
      <c r="AU1720">
        <v>5</v>
      </c>
      <c r="AV1720">
        <v>3</v>
      </c>
      <c r="AW1720">
        <v>5</v>
      </c>
      <c r="AX1720">
        <v>5</v>
      </c>
      <c r="AY1720">
        <v>3</v>
      </c>
      <c r="AZ1720">
        <v>3</v>
      </c>
      <c r="BA1720" t="s">
        <v>2334</v>
      </c>
      <c r="BB1720" t="s">
        <v>2335</v>
      </c>
      <c r="BC1720">
        <v>1.9E-2</v>
      </c>
      <c r="BD1720" t="s">
        <v>65</v>
      </c>
      <c r="BE1720">
        <v>8</v>
      </c>
      <c r="BF1720">
        <v>8</v>
      </c>
      <c r="BG1720" t="s">
        <v>2336</v>
      </c>
      <c r="BH1720" t="s">
        <v>2337</v>
      </c>
      <c r="BI1720" t="s">
        <v>2338</v>
      </c>
      <c r="BJ1720">
        <v>0.25341000000000002</v>
      </c>
      <c r="BK1720">
        <v>0.94899999999999995</v>
      </c>
      <c r="BL1720" t="s">
        <v>635</v>
      </c>
      <c r="BM1720">
        <v>0.57399999999999995</v>
      </c>
      <c r="BN1720">
        <v>0.13700000000000001</v>
      </c>
    </row>
    <row r="1721" spans="2:66">
      <c r="B1721">
        <v>3083</v>
      </c>
      <c r="C1721">
        <v>55</v>
      </c>
      <c r="D1721">
        <v>0</v>
      </c>
      <c r="E1721">
        <v>17</v>
      </c>
      <c r="F1721">
        <v>2</v>
      </c>
      <c r="J1721">
        <v>0</v>
      </c>
      <c r="K1721">
        <v>20</v>
      </c>
      <c r="L1721">
        <v>1</v>
      </c>
      <c r="M1721" t="s">
        <v>25022</v>
      </c>
      <c r="N1721">
        <v>343</v>
      </c>
      <c r="O1721" t="s">
        <v>2339</v>
      </c>
      <c r="P1721" t="s">
        <v>57</v>
      </c>
      <c r="Q1721">
        <v>370259</v>
      </c>
      <c r="R1721">
        <v>371689</v>
      </c>
      <c r="S1721" t="s">
        <v>2340</v>
      </c>
      <c r="T1721">
        <v>477</v>
      </c>
      <c r="U1721" t="s">
        <v>108</v>
      </c>
      <c r="V1721">
        <v>44</v>
      </c>
      <c r="W1721" t="str">
        <f>HYPERLINK("Gene343-zp_tree_all.dnd", "Gene343-tree")</f>
        <v>Gene343-tree</v>
      </c>
      <c r="X1721">
        <v>1</v>
      </c>
      <c r="Y1721">
        <v>13</v>
      </c>
      <c r="Z1721">
        <v>1</v>
      </c>
      <c r="AA1721">
        <v>13</v>
      </c>
      <c r="AB1721">
        <v>0.92857000000000001</v>
      </c>
      <c r="AC1721" t="s">
        <v>175</v>
      </c>
      <c r="AD1721" t="s">
        <v>507</v>
      </c>
      <c r="AE1721" t="s">
        <v>62</v>
      </c>
      <c r="AF1721" t="s">
        <v>62</v>
      </c>
      <c r="AG1721">
        <v>8</v>
      </c>
      <c r="AH1721">
        <v>21</v>
      </c>
      <c r="AI1721">
        <v>29</v>
      </c>
      <c r="AJ1721">
        <v>0.42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8</v>
      </c>
      <c r="AQ1721">
        <v>0</v>
      </c>
      <c r="AR1721">
        <v>8</v>
      </c>
      <c r="AS1721">
        <v>28</v>
      </c>
      <c r="AT1721">
        <v>0.22222</v>
      </c>
      <c r="AU1721">
        <v>12</v>
      </c>
      <c r="AV1721">
        <v>11</v>
      </c>
      <c r="AW1721">
        <v>25</v>
      </c>
      <c r="AX1721">
        <v>34</v>
      </c>
      <c r="AY1721">
        <v>12</v>
      </c>
      <c r="AZ1721">
        <v>16</v>
      </c>
      <c r="BA1721" t="s">
        <v>2341</v>
      </c>
      <c r="BB1721" t="s">
        <v>2342</v>
      </c>
      <c r="BC1721">
        <v>3.5000000000000003E-2</v>
      </c>
      <c r="BD1721" t="s">
        <v>65</v>
      </c>
      <c r="BE1721">
        <v>37</v>
      </c>
      <c r="BF1721">
        <v>50</v>
      </c>
      <c r="BG1721" t="s">
        <v>2343</v>
      </c>
      <c r="BH1721" t="s">
        <v>2344</v>
      </c>
      <c r="BI1721" t="s">
        <v>2345</v>
      </c>
      <c r="BJ1721">
        <v>0.34306999999999999</v>
      </c>
      <c r="BK1721">
        <v>0.99</v>
      </c>
      <c r="BL1721" t="s">
        <v>69</v>
      </c>
      <c r="BM1721">
        <v>-0.68400000000000005</v>
      </c>
      <c r="BN1721">
        <v>-1.2649999999999999</v>
      </c>
    </row>
    <row r="1722" spans="2:66">
      <c r="B1722">
        <v>3085</v>
      </c>
      <c r="C1722">
        <v>349</v>
      </c>
      <c r="D1722">
        <v>0</v>
      </c>
      <c r="E1722">
        <v>2</v>
      </c>
      <c r="F1722">
        <v>0</v>
      </c>
      <c r="J1722">
        <v>0</v>
      </c>
      <c r="K1722">
        <v>0</v>
      </c>
      <c r="L1722">
        <v>0</v>
      </c>
      <c r="M1722" t="s">
        <v>25022</v>
      </c>
      <c r="N1722">
        <v>349</v>
      </c>
      <c r="O1722" t="s">
        <v>2381</v>
      </c>
      <c r="P1722" t="s">
        <v>57</v>
      </c>
      <c r="Q1722">
        <v>376032</v>
      </c>
      <c r="R1722">
        <v>376391</v>
      </c>
      <c r="S1722" t="s">
        <v>2382</v>
      </c>
      <c r="T1722">
        <v>120</v>
      </c>
      <c r="U1722" t="s">
        <v>698</v>
      </c>
      <c r="V1722">
        <v>47</v>
      </c>
      <c r="W1722" t="str">
        <f>HYPERLINK("Gene349-zp_tree_all.dnd", "Gene349-tree")</f>
        <v>Gene349-tree</v>
      </c>
      <c r="X1722">
        <v>10</v>
      </c>
      <c r="Y1722">
        <v>3</v>
      </c>
      <c r="Z1722">
        <v>10</v>
      </c>
      <c r="AA1722">
        <v>3</v>
      </c>
      <c r="AB1722">
        <v>0.23077</v>
      </c>
      <c r="AC1722" t="s">
        <v>117</v>
      </c>
      <c r="AD1722" t="s">
        <v>324</v>
      </c>
      <c r="AE1722" t="s">
        <v>62</v>
      </c>
      <c r="AF1722" t="s">
        <v>62</v>
      </c>
      <c r="AG1722">
        <v>0</v>
      </c>
      <c r="AH1722">
        <v>0</v>
      </c>
      <c r="AI1722">
        <v>8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4</v>
      </c>
      <c r="AT1722">
        <v>0</v>
      </c>
      <c r="AU1722">
        <v>8</v>
      </c>
      <c r="AV1722">
        <v>7</v>
      </c>
      <c r="AW1722">
        <v>13</v>
      </c>
      <c r="AX1722">
        <v>3</v>
      </c>
      <c r="AY1722">
        <v>16</v>
      </c>
      <c r="AZ1722">
        <v>5</v>
      </c>
      <c r="BA1722" t="s">
        <v>2383</v>
      </c>
      <c r="BB1722" t="s">
        <v>2384</v>
      </c>
      <c r="BC1722">
        <v>0.17699999999999999</v>
      </c>
      <c r="BD1722" t="s">
        <v>65</v>
      </c>
      <c r="BE1722">
        <v>29</v>
      </c>
      <c r="BF1722">
        <v>8</v>
      </c>
      <c r="BG1722" t="s">
        <v>2385</v>
      </c>
      <c r="BH1722" t="s">
        <v>2386</v>
      </c>
      <c r="BI1722" t="s">
        <v>2387</v>
      </c>
      <c r="BJ1722">
        <v>8.0070000000000002E-2</v>
      </c>
      <c r="BK1722">
        <v>1</v>
      </c>
      <c r="BL1722" t="s">
        <v>69</v>
      </c>
      <c r="BM1722">
        <v>-1.619</v>
      </c>
      <c r="BN1722">
        <v>-1.4870000000000001</v>
      </c>
    </row>
    <row r="1723" spans="2:66">
      <c r="B1723">
        <v>3088</v>
      </c>
      <c r="C1723">
        <v>114</v>
      </c>
      <c r="D1723">
        <v>0</v>
      </c>
      <c r="E1723">
        <v>2</v>
      </c>
      <c r="F1723">
        <v>4</v>
      </c>
      <c r="J1723">
        <v>2</v>
      </c>
      <c r="K1723">
        <v>140</v>
      </c>
      <c r="L1723">
        <v>13</v>
      </c>
      <c r="M1723" t="s">
        <v>25022</v>
      </c>
      <c r="N1723">
        <v>350</v>
      </c>
      <c r="O1723" t="s">
        <v>2388</v>
      </c>
      <c r="P1723" t="s">
        <v>57</v>
      </c>
      <c r="Q1723">
        <v>376968</v>
      </c>
      <c r="R1723">
        <v>387728</v>
      </c>
      <c r="S1723" t="s">
        <v>2389</v>
      </c>
      <c r="T1723">
        <v>3587</v>
      </c>
      <c r="U1723" t="s">
        <v>2390</v>
      </c>
      <c r="V1723">
        <v>41</v>
      </c>
      <c r="W1723" t="str">
        <f>HYPERLINK("Gene350-zp_tree_all.dnd", "Gene350-tree")</f>
        <v>Gene350-tree</v>
      </c>
      <c r="X1723">
        <v>4</v>
      </c>
      <c r="Y1723">
        <v>13</v>
      </c>
      <c r="Z1723">
        <v>4</v>
      </c>
      <c r="AA1723">
        <v>13</v>
      </c>
      <c r="AB1723">
        <v>0.76471</v>
      </c>
      <c r="AC1723" t="s">
        <v>61</v>
      </c>
      <c r="AD1723" t="s">
        <v>507</v>
      </c>
      <c r="AE1723" t="s">
        <v>62</v>
      </c>
      <c r="AF1723" t="s">
        <v>62</v>
      </c>
      <c r="AG1723">
        <v>61</v>
      </c>
      <c r="AH1723">
        <v>155</v>
      </c>
      <c r="AI1723">
        <v>137</v>
      </c>
      <c r="AJ1723">
        <v>0.53081999999999996</v>
      </c>
      <c r="AK1723">
        <v>0</v>
      </c>
      <c r="AL1723">
        <v>0</v>
      </c>
      <c r="AM1723">
        <v>0</v>
      </c>
      <c r="AN1723">
        <v>2</v>
      </c>
      <c r="AO1723">
        <v>0</v>
      </c>
      <c r="AP1723">
        <v>37</v>
      </c>
      <c r="AQ1723">
        <v>28</v>
      </c>
      <c r="AR1723">
        <v>65</v>
      </c>
      <c r="AS1723">
        <v>125</v>
      </c>
      <c r="AT1723">
        <v>0.34211000000000003</v>
      </c>
      <c r="AU1723">
        <v>16</v>
      </c>
      <c r="AV1723">
        <v>14</v>
      </c>
      <c r="AW1723">
        <v>523</v>
      </c>
      <c r="AX1723">
        <v>197</v>
      </c>
      <c r="AY1723">
        <v>393</v>
      </c>
      <c r="AZ1723">
        <v>114</v>
      </c>
      <c r="BA1723" t="s">
        <v>2391</v>
      </c>
      <c r="BB1723" t="s">
        <v>2392</v>
      </c>
      <c r="BC1723">
        <v>0.53500000000000003</v>
      </c>
      <c r="BD1723" t="s">
        <v>65</v>
      </c>
      <c r="BE1723">
        <v>916</v>
      </c>
      <c r="BF1723">
        <v>311</v>
      </c>
      <c r="BG1723" t="s">
        <v>2393</v>
      </c>
      <c r="BH1723" t="s">
        <v>2394</v>
      </c>
      <c r="BI1723" t="s">
        <v>2395</v>
      </c>
      <c r="BJ1723">
        <v>9.7979999999999998E-2</v>
      </c>
      <c r="BK1723">
        <v>1</v>
      </c>
      <c r="BL1723" t="s">
        <v>69</v>
      </c>
      <c r="BM1723">
        <v>-0.80700000000000005</v>
      </c>
      <c r="BN1723">
        <v>-1.2929999999999999</v>
      </c>
    </row>
    <row r="1724" spans="2:66">
      <c r="B1724">
        <v>3089</v>
      </c>
      <c r="C1724">
        <v>247</v>
      </c>
      <c r="D1724">
        <v>0</v>
      </c>
      <c r="E1724">
        <v>2</v>
      </c>
      <c r="F1724">
        <v>0</v>
      </c>
      <c r="J1724">
        <v>4</v>
      </c>
      <c r="K1724">
        <v>162</v>
      </c>
      <c r="L1724">
        <v>12</v>
      </c>
      <c r="M1724" t="s">
        <v>25022</v>
      </c>
      <c r="N1724">
        <v>351</v>
      </c>
      <c r="O1724" t="s">
        <v>2396</v>
      </c>
      <c r="P1724" t="s">
        <v>57</v>
      </c>
      <c r="Q1724">
        <v>387744</v>
      </c>
      <c r="R1724">
        <v>398492</v>
      </c>
      <c r="S1724" t="s">
        <v>2389</v>
      </c>
      <c r="T1724">
        <v>3583</v>
      </c>
      <c r="U1724" t="s">
        <v>2397</v>
      </c>
      <c r="V1724">
        <v>41</v>
      </c>
      <c r="W1724" t="str">
        <f>HYPERLINK("Gene351-zp_tree_all.dnd", "Gene351-tree")</f>
        <v>Gene351-tree</v>
      </c>
      <c r="X1724">
        <v>3</v>
      </c>
      <c r="Y1724">
        <v>17</v>
      </c>
      <c r="Z1724">
        <v>3</v>
      </c>
      <c r="AA1724">
        <v>17</v>
      </c>
      <c r="AB1724">
        <v>0.85</v>
      </c>
      <c r="AC1724" t="s">
        <v>324</v>
      </c>
      <c r="AD1724" t="s">
        <v>266</v>
      </c>
      <c r="AE1724">
        <v>324801609.27700001</v>
      </c>
      <c r="AF1724" t="s">
        <v>267</v>
      </c>
      <c r="AG1724">
        <v>62</v>
      </c>
      <c r="AH1724">
        <v>178</v>
      </c>
      <c r="AI1724">
        <v>139</v>
      </c>
      <c r="AJ1724">
        <v>0.56150999999999995</v>
      </c>
      <c r="AK1724">
        <v>0</v>
      </c>
      <c r="AL1724">
        <v>0</v>
      </c>
      <c r="AM1724">
        <v>0</v>
      </c>
      <c r="AN1724">
        <v>5</v>
      </c>
      <c r="AO1724">
        <v>0</v>
      </c>
      <c r="AP1724">
        <v>37</v>
      </c>
      <c r="AQ1724">
        <v>42</v>
      </c>
      <c r="AR1724">
        <v>79</v>
      </c>
      <c r="AS1724">
        <v>130</v>
      </c>
      <c r="AT1724">
        <v>0.37798999999999999</v>
      </c>
      <c r="AU1724">
        <v>17</v>
      </c>
      <c r="AV1724">
        <v>16</v>
      </c>
      <c r="AW1724">
        <v>557</v>
      </c>
      <c r="AX1724">
        <v>204</v>
      </c>
      <c r="AY1724">
        <v>492</v>
      </c>
      <c r="AZ1724">
        <v>132</v>
      </c>
      <c r="BA1724" t="s">
        <v>2398</v>
      </c>
      <c r="BB1724" t="s">
        <v>2399</v>
      </c>
      <c r="BC1724">
        <v>0.67400000000000004</v>
      </c>
      <c r="BD1724" t="s">
        <v>65</v>
      </c>
      <c r="BE1724">
        <v>1049</v>
      </c>
      <c r="BF1724">
        <v>336</v>
      </c>
      <c r="BG1724" t="s">
        <v>2400</v>
      </c>
      <c r="BH1724" t="s">
        <v>2401</v>
      </c>
      <c r="BI1724" t="s">
        <v>2402</v>
      </c>
      <c r="BJ1724">
        <v>9.8409999999999997E-2</v>
      </c>
      <c r="BK1724">
        <v>1</v>
      </c>
      <c r="BL1724" t="s">
        <v>69</v>
      </c>
      <c r="BM1724">
        <v>-0.49199999999999999</v>
      </c>
      <c r="BN1724">
        <v>-0.95599999999999996</v>
      </c>
    </row>
    <row r="1725" spans="2:66">
      <c r="B1725">
        <v>3092</v>
      </c>
      <c r="C1725">
        <v>189</v>
      </c>
      <c r="D1725">
        <v>0</v>
      </c>
      <c r="E1725">
        <v>4</v>
      </c>
      <c r="F1725">
        <v>2</v>
      </c>
      <c r="J1725">
        <v>0</v>
      </c>
      <c r="K1725">
        <v>0</v>
      </c>
      <c r="L1725">
        <v>0</v>
      </c>
      <c r="M1725" t="s">
        <v>25022</v>
      </c>
      <c r="N1725">
        <v>352</v>
      </c>
      <c r="O1725" t="s">
        <v>2403</v>
      </c>
      <c r="P1725" t="s">
        <v>57</v>
      </c>
      <c r="Q1725">
        <v>390880</v>
      </c>
      <c r="R1725">
        <v>391017</v>
      </c>
      <c r="S1725" t="s">
        <v>2404</v>
      </c>
      <c r="T1725">
        <v>46</v>
      </c>
      <c r="U1725" t="s">
        <v>59</v>
      </c>
      <c r="V1725">
        <v>49</v>
      </c>
      <c r="W1725" t="str">
        <f>HYPERLINK("Gene352-zp_tree_all.dnd", "Gene352-tree")</f>
        <v>Gene352-tree</v>
      </c>
      <c r="X1725">
        <v>3</v>
      </c>
      <c r="Y1725">
        <v>5</v>
      </c>
      <c r="Z1725">
        <v>3</v>
      </c>
      <c r="AA1725">
        <v>5</v>
      </c>
      <c r="AB1725">
        <v>0.625</v>
      </c>
      <c r="AC1725" t="s">
        <v>324</v>
      </c>
      <c r="AD1725" t="s">
        <v>199</v>
      </c>
      <c r="AE1725" t="s">
        <v>62</v>
      </c>
      <c r="AF1725" t="s">
        <v>62</v>
      </c>
      <c r="AG1725">
        <v>0</v>
      </c>
      <c r="AH1725">
        <v>0</v>
      </c>
      <c r="AI1725">
        <v>5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5</v>
      </c>
      <c r="AT1725">
        <v>0</v>
      </c>
      <c r="AU1725">
        <v>6</v>
      </c>
      <c r="AV1725">
        <v>2</v>
      </c>
      <c r="AW1725">
        <v>2</v>
      </c>
      <c r="AX1725">
        <v>5</v>
      </c>
      <c r="AY1725">
        <v>2</v>
      </c>
      <c r="AZ1725">
        <v>0</v>
      </c>
      <c r="BA1725" t="s">
        <v>2405</v>
      </c>
      <c r="BB1725" t="s">
        <v>193</v>
      </c>
      <c r="BC1725">
        <v>1.113</v>
      </c>
      <c r="BD1725" t="s">
        <v>65</v>
      </c>
      <c r="BE1725">
        <v>4</v>
      </c>
      <c r="BF1725">
        <v>5</v>
      </c>
      <c r="BG1725" t="s">
        <v>2406</v>
      </c>
      <c r="BH1725" t="s">
        <v>2407</v>
      </c>
      <c r="BI1725" t="s">
        <v>2408</v>
      </c>
      <c r="BJ1725">
        <v>0.25464999999999999</v>
      </c>
      <c r="BK1725">
        <v>0.83</v>
      </c>
      <c r="BL1725" t="s">
        <v>635</v>
      </c>
      <c r="BM1725">
        <v>-1.0409999999999999</v>
      </c>
      <c r="BN1725">
        <v>-0.83</v>
      </c>
    </row>
    <row r="1726" spans="2:66">
      <c r="B1726">
        <v>3094</v>
      </c>
      <c r="C1726">
        <v>81</v>
      </c>
      <c r="D1726">
        <v>0</v>
      </c>
      <c r="E1726">
        <v>4</v>
      </c>
      <c r="F1726">
        <v>0</v>
      </c>
      <c r="J1726">
        <v>0</v>
      </c>
      <c r="K1726">
        <v>36</v>
      </c>
      <c r="L1726">
        <v>10</v>
      </c>
      <c r="M1726" t="s">
        <v>25022</v>
      </c>
      <c r="N1726">
        <v>353</v>
      </c>
      <c r="O1726" t="s">
        <v>2409</v>
      </c>
      <c r="P1726" t="s">
        <v>57</v>
      </c>
      <c r="Q1726">
        <v>398532</v>
      </c>
      <c r="R1726">
        <v>402356</v>
      </c>
      <c r="S1726" t="s">
        <v>2389</v>
      </c>
      <c r="T1726">
        <v>1275</v>
      </c>
      <c r="U1726" t="s">
        <v>108</v>
      </c>
      <c r="V1726">
        <v>44</v>
      </c>
      <c r="W1726" t="str">
        <f>HYPERLINK("Gene353-zp_tree_all.dnd", "Gene353-tree")</f>
        <v>Gene353-tree</v>
      </c>
      <c r="X1726">
        <v>4</v>
      </c>
      <c r="Y1726">
        <v>12</v>
      </c>
      <c r="Z1726">
        <v>4</v>
      </c>
      <c r="AA1726">
        <v>12</v>
      </c>
      <c r="AB1726">
        <v>0.75</v>
      </c>
      <c r="AC1726" t="s">
        <v>61</v>
      </c>
      <c r="AD1726" t="s">
        <v>109</v>
      </c>
      <c r="AE1726" t="s">
        <v>62</v>
      </c>
      <c r="AF1726" t="s">
        <v>62</v>
      </c>
      <c r="AG1726">
        <v>19</v>
      </c>
      <c r="AH1726">
        <v>46</v>
      </c>
      <c r="AI1726">
        <v>51</v>
      </c>
      <c r="AJ1726">
        <v>0.47422999999999998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19</v>
      </c>
      <c r="AQ1726">
        <v>2</v>
      </c>
      <c r="AR1726">
        <v>21</v>
      </c>
      <c r="AS1726">
        <v>43</v>
      </c>
      <c r="AT1726">
        <v>0.32812999999999998</v>
      </c>
      <c r="AU1726">
        <v>13</v>
      </c>
      <c r="AV1726">
        <v>13</v>
      </c>
      <c r="AW1726">
        <v>148</v>
      </c>
      <c r="AX1726">
        <v>61</v>
      </c>
      <c r="AY1726">
        <v>99</v>
      </c>
      <c r="AZ1726">
        <v>36</v>
      </c>
      <c r="BA1726" t="s">
        <v>2410</v>
      </c>
      <c r="BB1726" t="s">
        <v>2411</v>
      </c>
      <c r="BC1726">
        <v>0.32400000000000001</v>
      </c>
      <c r="BD1726" t="s">
        <v>65</v>
      </c>
      <c r="BE1726">
        <v>247</v>
      </c>
      <c r="BF1726">
        <v>97</v>
      </c>
      <c r="BG1726" t="s">
        <v>2412</v>
      </c>
      <c r="BH1726" t="s">
        <v>2413</v>
      </c>
      <c r="BI1726" t="s">
        <v>2414</v>
      </c>
      <c r="BJ1726">
        <v>0.12174</v>
      </c>
      <c r="BK1726">
        <v>1</v>
      </c>
      <c r="BL1726" t="s">
        <v>69</v>
      </c>
      <c r="BM1726">
        <v>-0.13500000000000001</v>
      </c>
      <c r="BN1726">
        <v>-0.52500000000000002</v>
      </c>
    </row>
    <row r="1727" spans="2:66">
      <c r="B1727">
        <v>3096</v>
      </c>
      <c r="C1727">
        <v>88</v>
      </c>
      <c r="D1727">
        <v>0</v>
      </c>
      <c r="E1727">
        <v>3</v>
      </c>
      <c r="F1727">
        <v>0</v>
      </c>
      <c r="J1727">
        <v>0</v>
      </c>
      <c r="K1727">
        <v>3</v>
      </c>
      <c r="L1727">
        <v>2</v>
      </c>
      <c r="M1727" t="s">
        <v>25022</v>
      </c>
      <c r="N1727">
        <v>354</v>
      </c>
      <c r="O1727" t="s">
        <v>2415</v>
      </c>
      <c r="P1727" t="s">
        <v>57</v>
      </c>
      <c r="Q1727">
        <v>402388</v>
      </c>
      <c r="R1727">
        <v>403113</v>
      </c>
      <c r="S1727" t="s">
        <v>2389</v>
      </c>
      <c r="T1727">
        <v>242</v>
      </c>
      <c r="U1727" t="s">
        <v>108</v>
      </c>
      <c r="V1727">
        <v>44</v>
      </c>
      <c r="W1727" t="str">
        <f>HYPERLINK("Gene354-zp_tree_all.dnd", "Gene354-tree")</f>
        <v>Gene354-tree</v>
      </c>
      <c r="X1727">
        <v>8</v>
      </c>
      <c r="Y1727">
        <v>6</v>
      </c>
      <c r="Z1727">
        <v>8</v>
      </c>
      <c r="AA1727">
        <v>6</v>
      </c>
      <c r="AB1727">
        <v>0.42857000000000001</v>
      </c>
      <c r="AC1727" t="s">
        <v>136</v>
      </c>
      <c r="AD1727" t="s">
        <v>90</v>
      </c>
      <c r="AE1727" t="s">
        <v>62</v>
      </c>
      <c r="AF1727" t="s">
        <v>62</v>
      </c>
      <c r="AG1727">
        <v>2</v>
      </c>
      <c r="AH1727">
        <v>5</v>
      </c>
      <c r="AI1727">
        <v>8</v>
      </c>
      <c r="AJ1727">
        <v>0.38462000000000002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2</v>
      </c>
      <c r="AQ1727">
        <v>0</v>
      </c>
      <c r="AR1727">
        <v>2</v>
      </c>
      <c r="AS1727">
        <v>7</v>
      </c>
      <c r="AT1727">
        <v>0.22222</v>
      </c>
      <c r="AU1727">
        <v>10</v>
      </c>
      <c r="AV1727">
        <v>9</v>
      </c>
      <c r="AW1727">
        <v>17</v>
      </c>
      <c r="AX1727">
        <v>8</v>
      </c>
      <c r="AY1727">
        <v>12</v>
      </c>
      <c r="AZ1727">
        <v>5</v>
      </c>
      <c r="BA1727" t="s">
        <v>2416</v>
      </c>
      <c r="BB1727" t="s">
        <v>2417</v>
      </c>
      <c r="BC1727">
        <v>0.128</v>
      </c>
      <c r="BD1727" t="s">
        <v>65</v>
      </c>
      <c r="BE1727">
        <v>29</v>
      </c>
      <c r="BF1727">
        <v>13</v>
      </c>
      <c r="BG1727" t="s">
        <v>2418</v>
      </c>
      <c r="BH1727" t="s">
        <v>2419</v>
      </c>
      <c r="BI1727" t="s">
        <v>2420</v>
      </c>
      <c r="BJ1727">
        <v>0.12664</v>
      </c>
      <c r="BK1727">
        <v>1</v>
      </c>
      <c r="BL1727" t="s">
        <v>69</v>
      </c>
      <c r="BM1727">
        <v>-1.01</v>
      </c>
      <c r="BN1727">
        <v>-1.2370000000000001</v>
      </c>
    </row>
    <row r="1728" spans="2:66">
      <c r="B1728">
        <v>3098</v>
      </c>
      <c r="C1728">
        <v>206</v>
      </c>
      <c r="D1728">
        <v>2</v>
      </c>
      <c r="E1728">
        <v>44</v>
      </c>
      <c r="F1728">
        <v>6</v>
      </c>
      <c r="J1728">
        <v>0</v>
      </c>
      <c r="K1728">
        <v>10</v>
      </c>
      <c r="L1728">
        <v>0</v>
      </c>
      <c r="M1728" t="s">
        <v>25022</v>
      </c>
      <c r="N1728">
        <v>355</v>
      </c>
      <c r="O1728" t="s">
        <v>2421</v>
      </c>
      <c r="P1728" t="s">
        <v>57</v>
      </c>
      <c r="Q1728">
        <v>403217</v>
      </c>
      <c r="R1728">
        <v>404440</v>
      </c>
      <c r="S1728" t="s">
        <v>2422</v>
      </c>
      <c r="T1728">
        <v>408</v>
      </c>
      <c r="U1728" t="s">
        <v>265</v>
      </c>
      <c r="V1728">
        <v>43</v>
      </c>
      <c r="W1728" t="str">
        <f>HYPERLINK("Gene355-zp_tree_all.dnd", "Gene355-tree")</f>
        <v>Gene355-tree</v>
      </c>
      <c r="X1728">
        <v>6</v>
      </c>
      <c r="Y1728">
        <v>11</v>
      </c>
      <c r="Z1728">
        <v>6</v>
      </c>
      <c r="AA1728">
        <v>11</v>
      </c>
      <c r="AB1728">
        <v>0.64705999999999997</v>
      </c>
      <c r="AC1728" t="s">
        <v>90</v>
      </c>
      <c r="AD1728" t="s">
        <v>73</v>
      </c>
      <c r="AE1728">
        <v>95384385.856999993</v>
      </c>
      <c r="AF1728" t="s">
        <v>267</v>
      </c>
      <c r="AG1728">
        <v>4</v>
      </c>
      <c r="AH1728">
        <v>10</v>
      </c>
      <c r="AI1728">
        <v>22</v>
      </c>
      <c r="AJ1728">
        <v>0.3125</v>
      </c>
      <c r="AK1728">
        <v>0</v>
      </c>
      <c r="AL1728">
        <v>0</v>
      </c>
      <c r="AM1728">
        <v>0</v>
      </c>
      <c r="AN1728">
        <v>2</v>
      </c>
      <c r="AO1728">
        <v>0</v>
      </c>
      <c r="AP1728">
        <v>4</v>
      </c>
      <c r="AQ1728">
        <v>0</v>
      </c>
      <c r="AR1728">
        <v>4</v>
      </c>
      <c r="AS1728">
        <v>17</v>
      </c>
      <c r="AT1728">
        <v>0.19048000000000001</v>
      </c>
      <c r="AU1728">
        <v>15</v>
      </c>
      <c r="AV1728">
        <v>13</v>
      </c>
      <c r="AW1728">
        <v>45</v>
      </c>
      <c r="AX1728">
        <v>20</v>
      </c>
      <c r="AY1728">
        <v>54</v>
      </c>
      <c r="AZ1728">
        <v>12</v>
      </c>
      <c r="BA1728" t="s">
        <v>2423</v>
      </c>
      <c r="BB1728" t="s">
        <v>2424</v>
      </c>
      <c r="BC1728">
        <v>0.97</v>
      </c>
      <c r="BD1728" t="s">
        <v>65</v>
      </c>
      <c r="BE1728">
        <v>99</v>
      </c>
      <c r="BF1728">
        <v>32</v>
      </c>
      <c r="BG1728" t="s">
        <v>2425</v>
      </c>
      <c r="BH1728" t="s">
        <v>2426</v>
      </c>
      <c r="BI1728" t="s">
        <v>2427</v>
      </c>
      <c r="BJ1728">
        <v>9.4759999999999997E-2</v>
      </c>
      <c r="BK1728">
        <v>1</v>
      </c>
      <c r="BL1728" t="s">
        <v>69</v>
      </c>
      <c r="BM1728">
        <v>-0.11600000000000001</v>
      </c>
      <c r="BN1728">
        <v>-0.73199999999999998</v>
      </c>
    </row>
    <row r="1729" spans="2:66">
      <c r="B1729">
        <v>3100</v>
      </c>
      <c r="C1729">
        <v>172</v>
      </c>
      <c r="D1729">
        <v>0</v>
      </c>
      <c r="E1729">
        <v>0</v>
      </c>
      <c r="F1729">
        <v>2</v>
      </c>
      <c r="J1729">
        <v>5</v>
      </c>
      <c r="K1729">
        <v>35</v>
      </c>
      <c r="L1729">
        <v>4</v>
      </c>
      <c r="M1729" t="s">
        <v>25022</v>
      </c>
      <c r="N1729">
        <v>358</v>
      </c>
      <c r="O1729" t="s">
        <v>2440</v>
      </c>
      <c r="P1729" t="s">
        <v>57</v>
      </c>
      <c r="Q1729">
        <v>406131</v>
      </c>
      <c r="R1729">
        <v>407462</v>
      </c>
      <c r="S1729" t="s">
        <v>2441</v>
      </c>
      <c r="T1729">
        <v>444</v>
      </c>
      <c r="U1729" t="s">
        <v>108</v>
      </c>
      <c r="V1729">
        <v>44</v>
      </c>
      <c r="W1729" t="str">
        <f>HYPERLINK("Gene358-zp_tree_all.dnd", "Gene358-tree")</f>
        <v>Gene358-tree</v>
      </c>
      <c r="X1729">
        <v>1</v>
      </c>
      <c r="Y1729">
        <v>32</v>
      </c>
      <c r="Z1729">
        <v>1</v>
      </c>
      <c r="AA1729">
        <v>15</v>
      </c>
      <c r="AB1729">
        <v>0.9375</v>
      </c>
      <c r="AC1729" t="s">
        <v>175</v>
      </c>
      <c r="AD1729" t="s">
        <v>2442</v>
      </c>
      <c r="AE1729">
        <v>7.19</v>
      </c>
      <c r="AF1729" t="s">
        <v>267</v>
      </c>
      <c r="AG1729">
        <v>17</v>
      </c>
      <c r="AH1729">
        <v>44</v>
      </c>
      <c r="AI1729">
        <v>19</v>
      </c>
      <c r="AJ1729">
        <v>0.69840999999999998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13</v>
      </c>
      <c r="AQ1729">
        <v>4</v>
      </c>
      <c r="AR1729">
        <v>17</v>
      </c>
      <c r="AS1729">
        <v>24</v>
      </c>
      <c r="AT1729">
        <v>0.41463</v>
      </c>
      <c r="AU1729">
        <v>15</v>
      </c>
      <c r="AV1729">
        <v>13</v>
      </c>
      <c r="AW1729">
        <v>75</v>
      </c>
      <c r="AX1729">
        <v>41</v>
      </c>
      <c r="AY1729">
        <v>46</v>
      </c>
      <c r="AZ1729">
        <v>24</v>
      </c>
      <c r="BA1729" t="s">
        <v>2443</v>
      </c>
      <c r="BB1729" t="s">
        <v>2444</v>
      </c>
      <c r="BC1729">
        <v>0.106</v>
      </c>
      <c r="BD1729" t="s">
        <v>65</v>
      </c>
      <c r="BE1729">
        <v>121</v>
      </c>
      <c r="BF1729">
        <v>65</v>
      </c>
      <c r="BG1729" t="s">
        <v>2445</v>
      </c>
      <c r="BH1729" t="s">
        <v>2446</v>
      </c>
      <c r="BI1729" t="s">
        <v>2447</v>
      </c>
      <c r="BJ1729">
        <v>0.15257999999999999</v>
      </c>
      <c r="BK1729">
        <v>1</v>
      </c>
      <c r="BL1729" t="s">
        <v>69</v>
      </c>
      <c r="BM1729">
        <v>-0.183</v>
      </c>
      <c r="BN1729">
        <v>-0.44400000000000001</v>
      </c>
    </row>
    <row r="1730" spans="2:66">
      <c r="B1730">
        <v>3102</v>
      </c>
      <c r="C1730">
        <v>3</v>
      </c>
      <c r="D1730">
        <v>0</v>
      </c>
      <c r="E1730">
        <v>0</v>
      </c>
      <c r="F1730">
        <v>2</v>
      </c>
      <c r="J1730">
        <v>0</v>
      </c>
      <c r="K1730">
        <v>5</v>
      </c>
      <c r="L1730">
        <v>1</v>
      </c>
      <c r="M1730" t="s">
        <v>25022</v>
      </c>
      <c r="N1730">
        <v>366</v>
      </c>
      <c r="O1730" t="s">
        <v>2482</v>
      </c>
      <c r="P1730" t="s">
        <v>57</v>
      </c>
      <c r="Q1730">
        <v>412540</v>
      </c>
      <c r="R1730">
        <v>413151</v>
      </c>
      <c r="S1730" t="s">
        <v>2483</v>
      </c>
      <c r="T1730">
        <v>204</v>
      </c>
      <c r="U1730" t="s">
        <v>125</v>
      </c>
      <c r="V1730">
        <v>48</v>
      </c>
      <c r="W1730" t="str">
        <f>HYPERLINK("Gene366-zp_tree_all.dnd", "Gene366-tree")</f>
        <v>Gene366-tree</v>
      </c>
      <c r="X1730">
        <v>11</v>
      </c>
      <c r="Y1730">
        <v>8</v>
      </c>
      <c r="Z1730">
        <v>11</v>
      </c>
      <c r="AA1730">
        <v>8</v>
      </c>
      <c r="AB1730">
        <v>0.42104999999999998</v>
      </c>
      <c r="AC1730" t="s">
        <v>73</v>
      </c>
      <c r="AD1730" t="s">
        <v>136</v>
      </c>
      <c r="AE1730" t="s">
        <v>62</v>
      </c>
      <c r="AF1730" t="s">
        <v>62</v>
      </c>
      <c r="AG1730">
        <v>2</v>
      </c>
      <c r="AH1730">
        <v>6</v>
      </c>
      <c r="AI1730">
        <v>10</v>
      </c>
      <c r="AJ1730">
        <v>0.375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2</v>
      </c>
      <c r="AQ1730">
        <v>2</v>
      </c>
      <c r="AR1730">
        <v>4</v>
      </c>
      <c r="AS1730">
        <v>8</v>
      </c>
      <c r="AT1730">
        <v>0.33333000000000002</v>
      </c>
      <c r="AU1730">
        <v>14</v>
      </c>
      <c r="AV1730">
        <v>11</v>
      </c>
      <c r="AW1730">
        <v>26</v>
      </c>
      <c r="AX1730">
        <v>12</v>
      </c>
      <c r="AY1730">
        <v>32</v>
      </c>
      <c r="AZ1730">
        <v>4</v>
      </c>
      <c r="BA1730" t="s">
        <v>2484</v>
      </c>
      <c r="BB1730" t="s">
        <v>2485</v>
      </c>
      <c r="BC1730">
        <v>0.95699999999999996</v>
      </c>
      <c r="BD1730" t="s">
        <v>65</v>
      </c>
      <c r="BE1730">
        <v>58</v>
      </c>
      <c r="BF1730">
        <v>16</v>
      </c>
      <c r="BG1730" t="s">
        <v>2486</v>
      </c>
      <c r="BH1730" t="s">
        <v>2487</v>
      </c>
      <c r="BI1730" t="s">
        <v>2488</v>
      </c>
      <c r="BJ1730">
        <v>6.3549999999999995E-2</v>
      </c>
      <c r="BK1730">
        <v>1</v>
      </c>
      <c r="BL1730" t="s">
        <v>69</v>
      </c>
      <c r="BM1730">
        <v>-0.98799999999999999</v>
      </c>
      <c r="BN1730">
        <v>-0.68200000000000005</v>
      </c>
    </row>
    <row r="1731" spans="2:66">
      <c r="B1731">
        <v>3105</v>
      </c>
      <c r="C1731">
        <v>5</v>
      </c>
      <c r="D1731">
        <v>0</v>
      </c>
      <c r="E1731">
        <v>4</v>
      </c>
      <c r="F1731">
        <v>0</v>
      </c>
      <c r="J1731">
        <v>0</v>
      </c>
      <c r="K1731">
        <v>2</v>
      </c>
      <c r="L1731">
        <v>0</v>
      </c>
      <c r="M1731" t="s">
        <v>25022</v>
      </c>
      <c r="N1731">
        <v>367</v>
      </c>
      <c r="O1731" t="s">
        <v>2489</v>
      </c>
      <c r="P1731" t="s">
        <v>57</v>
      </c>
      <c r="Q1731">
        <v>413157</v>
      </c>
      <c r="R1731">
        <v>414575</v>
      </c>
      <c r="S1731" t="s">
        <v>2490</v>
      </c>
      <c r="T1731">
        <v>473</v>
      </c>
      <c r="U1731" t="s">
        <v>108</v>
      </c>
      <c r="V1731">
        <v>44</v>
      </c>
      <c r="W1731" t="str">
        <f>HYPERLINK("Gene367-zp_tree_all.dnd", "Gene367-tree")</f>
        <v>Gene367-tree</v>
      </c>
      <c r="X1731">
        <v>9</v>
      </c>
      <c r="Y1731">
        <v>5</v>
      </c>
      <c r="Z1731">
        <v>9</v>
      </c>
      <c r="AA1731">
        <v>5</v>
      </c>
      <c r="AB1731">
        <v>0.35714000000000001</v>
      </c>
      <c r="AC1731" t="s">
        <v>135</v>
      </c>
      <c r="AD1731" t="s">
        <v>199</v>
      </c>
      <c r="AE1731" t="s">
        <v>62</v>
      </c>
      <c r="AF1731" t="s">
        <v>62</v>
      </c>
      <c r="AG1731">
        <v>1</v>
      </c>
      <c r="AH1731">
        <v>2</v>
      </c>
      <c r="AI1731">
        <v>6</v>
      </c>
      <c r="AJ1731">
        <v>0.25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6</v>
      </c>
      <c r="AT1731">
        <v>0</v>
      </c>
      <c r="AU1731">
        <v>13</v>
      </c>
      <c r="AV1731">
        <v>10</v>
      </c>
      <c r="AW1731">
        <v>49</v>
      </c>
      <c r="AX1731">
        <v>6</v>
      </c>
      <c r="AY1731">
        <v>35</v>
      </c>
      <c r="AZ1731">
        <v>2</v>
      </c>
      <c r="BA1731" t="s">
        <v>2491</v>
      </c>
      <c r="BB1731" t="s">
        <v>2492</v>
      </c>
      <c r="BC1731">
        <v>0.61599999999999999</v>
      </c>
      <c r="BD1731" t="s">
        <v>65</v>
      </c>
      <c r="BE1731">
        <v>84</v>
      </c>
      <c r="BF1731">
        <v>8</v>
      </c>
      <c r="BG1731" t="s">
        <v>2493</v>
      </c>
      <c r="BH1731" t="s">
        <v>2494</v>
      </c>
      <c r="BI1731" t="s">
        <v>2495</v>
      </c>
      <c r="BJ1731">
        <v>2.077E-2</v>
      </c>
      <c r="BK1731">
        <v>1</v>
      </c>
      <c r="BL1731" t="s">
        <v>69</v>
      </c>
      <c r="BM1731">
        <v>0.21299999999999999</v>
      </c>
      <c r="BN1731">
        <v>-2.4E-2</v>
      </c>
    </row>
    <row r="1732" spans="2:66">
      <c r="B1732">
        <v>3106</v>
      </c>
      <c r="C1732">
        <v>46</v>
      </c>
      <c r="D1732">
        <v>0</v>
      </c>
      <c r="E1732">
        <v>4</v>
      </c>
      <c r="F1732">
        <v>0</v>
      </c>
      <c r="J1732">
        <v>0</v>
      </c>
      <c r="K1732">
        <v>0</v>
      </c>
      <c r="L1732">
        <v>2</v>
      </c>
      <c r="M1732" t="s">
        <v>25022</v>
      </c>
      <c r="N1732">
        <v>368</v>
      </c>
      <c r="O1732" t="s">
        <v>2496</v>
      </c>
      <c r="P1732" t="s">
        <v>57</v>
      </c>
      <c r="Q1732">
        <v>414595</v>
      </c>
      <c r="R1732">
        <v>414819</v>
      </c>
      <c r="S1732" t="s">
        <v>2497</v>
      </c>
      <c r="T1732">
        <v>75</v>
      </c>
      <c r="U1732" t="s">
        <v>2498</v>
      </c>
      <c r="V1732">
        <v>44</v>
      </c>
      <c r="W1732" t="str">
        <f>HYPERLINK("Gene368-zp_tree_all.dnd", "Gene368-tree")</f>
        <v>Gene368-tree</v>
      </c>
      <c r="X1732">
        <v>6</v>
      </c>
      <c r="Y1732">
        <v>2</v>
      </c>
      <c r="Z1732">
        <v>6</v>
      </c>
      <c r="AA1732">
        <v>2</v>
      </c>
      <c r="AB1732">
        <v>0.25</v>
      </c>
      <c r="AC1732" t="s">
        <v>90</v>
      </c>
      <c r="AD1732" t="s">
        <v>81</v>
      </c>
      <c r="AE1732" t="s">
        <v>62</v>
      </c>
      <c r="AF1732" t="s">
        <v>62</v>
      </c>
      <c r="AG1732">
        <v>1</v>
      </c>
      <c r="AH1732">
        <v>2</v>
      </c>
      <c r="AI1732">
        <v>1</v>
      </c>
      <c r="AJ1732">
        <v>0.66666999999999998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2</v>
      </c>
      <c r="AT1732">
        <v>0</v>
      </c>
      <c r="AU1732">
        <v>5</v>
      </c>
      <c r="AV1732">
        <v>2</v>
      </c>
      <c r="AW1732">
        <v>13</v>
      </c>
      <c r="AX1732">
        <v>2</v>
      </c>
      <c r="AY1732">
        <v>1</v>
      </c>
      <c r="AZ1732">
        <v>1</v>
      </c>
      <c r="BA1732" t="s">
        <v>2499</v>
      </c>
      <c r="BB1732" t="s">
        <v>2500</v>
      </c>
      <c r="BC1732">
        <v>0.60199999999999998</v>
      </c>
      <c r="BD1732" t="s">
        <v>65</v>
      </c>
      <c r="BE1732">
        <v>14</v>
      </c>
      <c r="BF1732">
        <v>3</v>
      </c>
      <c r="BG1732" t="s">
        <v>2501</v>
      </c>
      <c r="BH1732" t="s">
        <v>2502</v>
      </c>
      <c r="BI1732" t="s">
        <v>2503</v>
      </c>
      <c r="BJ1732">
        <v>6.7909999999999998E-2</v>
      </c>
      <c r="BK1732">
        <v>1</v>
      </c>
      <c r="BL1732" t="s">
        <v>69</v>
      </c>
      <c r="BM1732">
        <v>-1.7210000000000001</v>
      </c>
      <c r="BN1732">
        <v>-3.3149999999999999</v>
      </c>
    </row>
    <row r="1733" spans="2:66">
      <c r="B1733">
        <v>3110</v>
      </c>
      <c r="C1733">
        <v>400</v>
      </c>
      <c r="D1733">
        <v>0</v>
      </c>
      <c r="E1733">
        <v>40</v>
      </c>
      <c r="F1733">
        <v>2</v>
      </c>
      <c r="J1733">
        <v>0</v>
      </c>
      <c r="K1733">
        <v>12</v>
      </c>
      <c r="L1733">
        <v>4</v>
      </c>
      <c r="M1733" t="s">
        <v>25022</v>
      </c>
      <c r="N1733">
        <v>369</v>
      </c>
      <c r="O1733" t="s">
        <v>2504</v>
      </c>
      <c r="P1733" t="s">
        <v>57</v>
      </c>
      <c r="Q1733">
        <v>414819</v>
      </c>
      <c r="R1733">
        <v>415280</v>
      </c>
      <c r="S1733" t="s">
        <v>2505</v>
      </c>
      <c r="T1733">
        <v>154</v>
      </c>
      <c r="U1733" t="s">
        <v>108</v>
      </c>
      <c r="V1733">
        <v>44</v>
      </c>
      <c r="W1733" t="str">
        <f>HYPERLINK("Gene369-zp_tree_all.dnd", "Gene369-tree")</f>
        <v>Gene369-tree</v>
      </c>
      <c r="X1733">
        <v>4</v>
      </c>
      <c r="Y1733">
        <v>11</v>
      </c>
      <c r="Z1733">
        <v>4</v>
      </c>
      <c r="AA1733">
        <v>11</v>
      </c>
      <c r="AB1733">
        <v>0.73333000000000004</v>
      </c>
      <c r="AC1733" t="s">
        <v>61</v>
      </c>
      <c r="AD1733" t="s">
        <v>73</v>
      </c>
      <c r="AE1733">
        <v>200307210.301</v>
      </c>
      <c r="AF1733" t="s">
        <v>267</v>
      </c>
      <c r="AG1733">
        <v>6</v>
      </c>
      <c r="AH1733">
        <v>16</v>
      </c>
      <c r="AI1733">
        <v>12</v>
      </c>
      <c r="AJ1733">
        <v>0.57142999999999999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7</v>
      </c>
      <c r="AQ1733">
        <v>2</v>
      </c>
      <c r="AR1733">
        <v>9</v>
      </c>
      <c r="AS1733">
        <v>11</v>
      </c>
      <c r="AT1733">
        <v>0.45</v>
      </c>
      <c r="AU1733">
        <v>10</v>
      </c>
      <c r="AV1733">
        <v>11</v>
      </c>
      <c r="AW1733">
        <v>17</v>
      </c>
      <c r="AX1733">
        <v>19</v>
      </c>
      <c r="AY1733">
        <v>15</v>
      </c>
      <c r="AZ1733">
        <v>9</v>
      </c>
      <c r="BA1733" t="s">
        <v>2506</v>
      </c>
      <c r="BB1733" t="s">
        <v>2507</v>
      </c>
      <c r="BC1733">
        <v>1.0129999999999999</v>
      </c>
      <c r="BD1733" t="s">
        <v>65</v>
      </c>
      <c r="BE1733">
        <v>32</v>
      </c>
      <c r="BF1733">
        <v>28</v>
      </c>
      <c r="BG1733" t="s">
        <v>2508</v>
      </c>
      <c r="BH1733" t="s">
        <v>2509</v>
      </c>
      <c r="BI1733" t="s">
        <v>2510</v>
      </c>
      <c r="BJ1733">
        <v>0.2702</v>
      </c>
      <c r="BK1733">
        <v>1</v>
      </c>
      <c r="BL1733" t="s">
        <v>69</v>
      </c>
      <c r="BM1733">
        <v>-5.5E-2</v>
      </c>
      <c r="BN1733">
        <v>-0.27800000000000002</v>
      </c>
    </row>
    <row r="1734" spans="2:66">
      <c r="B1734">
        <v>3113</v>
      </c>
      <c r="C1734">
        <v>66</v>
      </c>
      <c r="D1734">
        <v>0</v>
      </c>
      <c r="E1734">
        <v>8</v>
      </c>
      <c r="F1734">
        <v>4</v>
      </c>
      <c r="J1734">
        <v>0</v>
      </c>
      <c r="K1734">
        <v>20</v>
      </c>
      <c r="L1734">
        <v>0</v>
      </c>
      <c r="M1734" t="s">
        <v>25022</v>
      </c>
      <c r="N1734">
        <v>370</v>
      </c>
      <c r="O1734" t="s">
        <v>2511</v>
      </c>
      <c r="P1734" t="s">
        <v>57</v>
      </c>
      <c r="Q1734">
        <v>415350</v>
      </c>
      <c r="R1734">
        <v>416192</v>
      </c>
      <c r="S1734" t="s">
        <v>2512</v>
      </c>
      <c r="T1734">
        <v>281</v>
      </c>
      <c r="U1734" t="s">
        <v>2513</v>
      </c>
      <c r="V1734">
        <v>43</v>
      </c>
      <c r="W1734" t="str">
        <f>HYPERLINK("Gene370-zp_tree_all.dnd", "Gene370-tree")</f>
        <v>Gene370-tree</v>
      </c>
      <c r="X1734">
        <v>4</v>
      </c>
      <c r="Y1734">
        <v>11</v>
      </c>
      <c r="Z1734">
        <v>4</v>
      </c>
      <c r="AA1734">
        <v>11</v>
      </c>
      <c r="AB1734">
        <v>0.73333000000000004</v>
      </c>
      <c r="AC1734" t="s">
        <v>61</v>
      </c>
      <c r="AD1734" t="s">
        <v>73</v>
      </c>
      <c r="AE1734">
        <v>200307210.301</v>
      </c>
      <c r="AF1734" t="s">
        <v>267</v>
      </c>
      <c r="AG1734">
        <v>9</v>
      </c>
      <c r="AH1734">
        <v>20</v>
      </c>
      <c r="AI1734">
        <v>30</v>
      </c>
      <c r="AJ1734">
        <v>0.4</v>
      </c>
      <c r="AK1734">
        <v>0</v>
      </c>
      <c r="AL1734">
        <v>0</v>
      </c>
      <c r="AM1734">
        <v>0</v>
      </c>
      <c r="AN1734">
        <v>4</v>
      </c>
      <c r="AO1734">
        <v>0</v>
      </c>
      <c r="AP1734">
        <v>6</v>
      </c>
      <c r="AQ1734">
        <v>2</v>
      </c>
      <c r="AR1734">
        <v>8</v>
      </c>
      <c r="AS1734">
        <v>19</v>
      </c>
      <c r="AT1734">
        <v>0.29630000000000001</v>
      </c>
      <c r="AU1734">
        <v>13</v>
      </c>
      <c r="AV1734">
        <v>12</v>
      </c>
      <c r="AW1734">
        <v>33</v>
      </c>
      <c r="AX1734">
        <v>27</v>
      </c>
      <c r="AY1734">
        <v>23</v>
      </c>
      <c r="AZ1734">
        <v>23</v>
      </c>
      <c r="BA1734" t="s">
        <v>2514</v>
      </c>
      <c r="BB1734" t="s">
        <v>2515</v>
      </c>
      <c r="BC1734">
        <v>0.23100000000000001</v>
      </c>
      <c r="BD1734" t="s">
        <v>65</v>
      </c>
      <c r="BE1734">
        <v>56</v>
      </c>
      <c r="BF1734">
        <v>50</v>
      </c>
      <c r="BG1734" t="s">
        <v>2516</v>
      </c>
      <c r="BH1734" t="s">
        <v>2517</v>
      </c>
      <c r="BI1734" t="s">
        <v>2518</v>
      </c>
      <c r="BJ1734">
        <v>0.24782999999999999</v>
      </c>
      <c r="BK1734">
        <v>1</v>
      </c>
      <c r="BL1734" t="s">
        <v>69</v>
      </c>
      <c r="BM1734">
        <v>-0.52600000000000002</v>
      </c>
      <c r="BN1734">
        <v>0.20599999999999999</v>
      </c>
    </row>
    <row r="1735" spans="2:66">
      <c r="B1735">
        <v>3114</v>
      </c>
      <c r="C1735">
        <v>6</v>
      </c>
      <c r="D1735">
        <v>0</v>
      </c>
      <c r="E1735">
        <v>0</v>
      </c>
      <c r="F1735">
        <v>2</v>
      </c>
      <c r="J1735">
        <v>0</v>
      </c>
      <c r="K1735">
        <v>15</v>
      </c>
      <c r="L1735">
        <v>3</v>
      </c>
      <c r="M1735" t="s">
        <v>25022</v>
      </c>
      <c r="N1735">
        <v>372</v>
      </c>
      <c r="O1735" t="s">
        <v>2527</v>
      </c>
      <c r="P1735" t="s">
        <v>57</v>
      </c>
      <c r="Q1735">
        <v>417993</v>
      </c>
      <c r="R1735">
        <v>419744</v>
      </c>
      <c r="S1735" t="s">
        <v>2528</v>
      </c>
      <c r="T1735">
        <v>584</v>
      </c>
      <c r="U1735" t="s">
        <v>108</v>
      </c>
      <c r="V1735">
        <v>44</v>
      </c>
      <c r="W1735" t="str">
        <f>HYPERLINK("Gene372-zp_tree_all.dnd", "Gene372-tree")</f>
        <v>Gene372-tree</v>
      </c>
      <c r="X1735">
        <v>6</v>
      </c>
      <c r="Y1735">
        <v>10</v>
      </c>
      <c r="Z1735">
        <v>6</v>
      </c>
      <c r="AA1735">
        <v>10</v>
      </c>
      <c r="AB1735">
        <v>0.625</v>
      </c>
      <c r="AC1735" t="s">
        <v>90</v>
      </c>
      <c r="AD1735" t="s">
        <v>117</v>
      </c>
      <c r="AE1735" t="s">
        <v>62</v>
      </c>
      <c r="AF1735" t="s">
        <v>62</v>
      </c>
      <c r="AG1735">
        <v>7</v>
      </c>
      <c r="AH1735">
        <v>18</v>
      </c>
      <c r="AI1735">
        <v>16</v>
      </c>
      <c r="AJ1735">
        <v>0.52941000000000005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2</v>
      </c>
      <c r="AQ1735">
        <v>4</v>
      </c>
      <c r="AR1735">
        <v>6</v>
      </c>
      <c r="AS1735">
        <v>12</v>
      </c>
      <c r="AT1735">
        <v>0.33333000000000002</v>
      </c>
      <c r="AU1735">
        <v>14</v>
      </c>
      <c r="AV1735">
        <v>11</v>
      </c>
      <c r="AW1735">
        <v>48</v>
      </c>
      <c r="AX1735">
        <v>15</v>
      </c>
      <c r="AY1735">
        <v>51</v>
      </c>
      <c r="AZ1735">
        <v>19</v>
      </c>
      <c r="BA1735" t="s">
        <v>2529</v>
      </c>
      <c r="BB1735" t="s">
        <v>2530</v>
      </c>
      <c r="BC1735">
        <v>0.23400000000000001</v>
      </c>
      <c r="BD1735" t="s">
        <v>65</v>
      </c>
      <c r="BE1735">
        <v>99</v>
      </c>
      <c r="BF1735">
        <v>34</v>
      </c>
      <c r="BG1735" t="s">
        <v>2531</v>
      </c>
      <c r="BH1735" t="s">
        <v>2532</v>
      </c>
      <c r="BI1735" t="s">
        <v>2533</v>
      </c>
      <c r="BJ1735">
        <v>0.10568</v>
      </c>
      <c r="BK1735">
        <v>1</v>
      </c>
      <c r="BL1735" t="s">
        <v>69</v>
      </c>
      <c r="BM1735">
        <v>6.2E-2</v>
      </c>
      <c r="BN1735">
        <v>-0.152</v>
      </c>
    </row>
    <row r="1736" spans="2:66">
      <c r="B1736">
        <v>3115</v>
      </c>
      <c r="C1736">
        <v>357</v>
      </c>
      <c r="D1736">
        <v>0</v>
      </c>
      <c r="E1736">
        <v>8</v>
      </c>
      <c r="F1736">
        <v>0</v>
      </c>
      <c r="J1736">
        <v>2</v>
      </c>
      <c r="K1736">
        <v>15</v>
      </c>
      <c r="L1736">
        <v>0</v>
      </c>
      <c r="M1736" t="s">
        <v>25022</v>
      </c>
      <c r="N1736">
        <v>374</v>
      </c>
      <c r="O1736" t="s">
        <v>2540</v>
      </c>
      <c r="P1736" t="s">
        <v>57</v>
      </c>
      <c r="Q1736">
        <v>420110</v>
      </c>
      <c r="R1736">
        <v>421741</v>
      </c>
      <c r="S1736" t="s">
        <v>2541</v>
      </c>
      <c r="T1736">
        <v>544</v>
      </c>
      <c r="U1736" t="s">
        <v>108</v>
      </c>
      <c r="V1736">
        <v>44</v>
      </c>
      <c r="W1736" t="str">
        <f>HYPERLINK("Gene374-zp_tree_all.dnd", "Gene374-tree")</f>
        <v>Gene374-tree</v>
      </c>
      <c r="X1736">
        <v>8</v>
      </c>
      <c r="Y1736">
        <v>8</v>
      </c>
      <c r="Z1736">
        <v>8</v>
      </c>
      <c r="AA1736">
        <v>8</v>
      </c>
      <c r="AB1736">
        <v>0.5</v>
      </c>
      <c r="AC1736" t="s">
        <v>136</v>
      </c>
      <c r="AD1736" t="s">
        <v>136</v>
      </c>
      <c r="AE1736" t="s">
        <v>62</v>
      </c>
      <c r="AF1736" t="s">
        <v>62</v>
      </c>
      <c r="AG1736">
        <v>8</v>
      </c>
      <c r="AH1736">
        <v>17</v>
      </c>
      <c r="AI1736">
        <v>24</v>
      </c>
      <c r="AJ1736">
        <v>0.41463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2</v>
      </c>
      <c r="AQ1736">
        <v>0</v>
      </c>
      <c r="AR1736">
        <v>2</v>
      </c>
      <c r="AS1736">
        <v>21</v>
      </c>
      <c r="AT1736">
        <v>8.6959999999999996E-2</v>
      </c>
      <c r="AU1736">
        <v>10</v>
      </c>
      <c r="AV1736">
        <v>13</v>
      </c>
      <c r="AW1736">
        <v>43</v>
      </c>
      <c r="AX1736">
        <v>9</v>
      </c>
      <c r="AY1736">
        <v>86</v>
      </c>
      <c r="AZ1736">
        <v>35</v>
      </c>
      <c r="BA1736" t="s">
        <v>2542</v>
      </c>
      <c r="BB1736" t="s">
        <v>2543</v>
      </c>
      <c r="BC1736">
        <v>0.61099999999999999</v>
      </c>
      <c r="BD1736" t="s">
        <v>65</v>
      </c>
      <c r="BE1736">
        <v>129</v>
      </c>
      <c r="BF1736">
        <v>44</v>
      </c>
      <c r="BG1736" t="s">
        <v>2544</v>
      </c>
      <c r="BH1736" t="s">
        <v>2545</v>
      </c>
      <c r="BI1736" t="s">
        <v>2546</v>
      </c>
      <c r="BJ1736">
        <v>0.10943</v>
      </c>
      <c r="BK1736">
        <v>1</v>
      </c>
      <c r="BL1736" t="s">
        <v>69</v>
      </c>
      <c r="BM1736">
        <v>-0.41899999999999998</v>
      </c>
      <c r="BN1736">
        <v>-0.53900000000000003</v>
      </c>
    </row>
    <row r="1737" spans="2:66">
      <c r="B1737">
        <v>3116</v>
      </c>
      <c r="C1737">
        <v>212</v>
      </c>
      <c r="D1737">
        <v>0</v>
      </c>
      <c r="E1737">
        <v>4</v>
      </c>
      <c r="F1737">
        <v>2</v>
      </c>
      <c r="J1737">
        <v>0</v>
      </c>
      <c r="K1737">
        <v>0</v>
      </c>
      <c r="L1737">
        <v>2</v>
      </c>
      <c r="M1737" t="s">
        <v>25022</v>
      </c>
      <c r="N1737">
        <v>375</v>
      </c>
      <c r="O1737" t="s">
        <v>2547</v>
      </c>
      <c r="P1737" t="s">
        <v>57</v>
      </c>
      <c r="Q1737">
        <v>421734</v>
      </c>
      <c r="R1737">
        <v>422954</v>
      </c>
      <c r="S1737" t="s">
        <v>2541</v>
      </c>
      <c r="T1737">
        <v>407</v>
      </c>
      <c r="U1737" t="s">
        <v>2548</v>
      </c>
      <c r="V1737">
        <v>37</v>
      </c>
      <c r="W1737" t="str">
        <f>HYPERLINK("Gene375-zp_tree_all.dnd", "Gene375-tree")</f>
        <v>Gene375-tree</v>
      </c>
      <c r="X1737">
        <v>7</v>
      </c>
      <c r="Y1737">
        <v>2</v>
      </c>
      <c r="Z1737">
        <v>7</v>
      </c>
      <c r="AA1737">
        <v>2</v>
      </c>
      <c r="AB1737">
        <v>0.22222</v>
      </c>
      <c r="AC1737" t="s">
        <v>152</v>
      </c>
      <c r="AD1737" t="s">
        <v>81</v>
      </c>
      <c r="AE1737" t="s">
        <v>62</v>
      </c>
      <c r="AF1737" t="s">
        <v>62</v>
      </c>
      <c r="AG1737">
        <v>1</v>
      </c>
      <c r="AH1737">
        <v>2</v>
      </c>
      <c r="AI1737">
        <v>13</v>
      </c>
      <c r="AJ1737">
        <v>0.13333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4</v>
      </c>
      <c r="AT1737">
        <v>0</v>
      </c>
      <c r="AU1737">
        <v>8</v>
      </c>
      <c r="AV1737">
        <v>3</v>
      </c>
      <c r="AW1737">
        <v>10</v>
      </c>
      <c r="AX1737">
        <v>5</v>
      </c>
      <c r="AY1737">
        <v>15</v>
      </c>
      <c r="AZ1737">
        <v>12</v>
      </c>
      <c r="BA1737" t="s">
        <v>2549</v>
      </c>
      <c r="BB1737" t="s">
        <v>2550</v>
      </c>
      <c r="BC1737">
        <v>0.28699999999999998</v>
      </c>
      <c r="BD1737" t="s">
        <v>65</v>
      </c>
      <c r="BE1737">
        <v>25</v>
      </c>
      <c r="BF1737">
        <v>17</v>
      </c>
      <c r="BG1737" t="s">
        <v>2551</v>
      </c>
      <c r="BH1737" t="s">
        <v>2552</v>
      </c>
      <c r="BI1737" t="s">
        <v>2553</v>
      </c>
      <c r="BJ1737">
        <v>0.21224999999999999</v>
      </c>
      <c r="BK1737">
        <v>1</v>
      </c>
      <c r="BL1737" t="s">
        <v>69</v>
      </c>
      <c r="BM1737">
        <v>1.0089999999999999</v>
      </c>
      <c r="BN1737">
        <v>0.498</v>
      </c>
    </row>
    <row r="1738" spans="2:66">
      <c r="B1738">
        <v>3117</v>
      </c>
      <c r="C1738">
        <v>342</v>
      </c>
      <c r="D1738">
        <v>0</v>
      </c>
      <c r="E1738">
        <v>34</v>
      </c>
      <c r="F1738">
        <v>3</v>
      </c>
      <c r="J1738">
        <v>2</v>
      </c>
      <c r="K1738">
        <v>8</v>
      </c>
      <c r="L1738">
        <v>0</v>
      </c>
      <c r="M1738" t="s">
        <v>25022</v>
      </c>
      <c r="N1738">
        <v>376</v>
      </c>
      <c r="O1738" t="s">
        <v>2554</v>
      </c>
      <c r="P1738" t="s">
        <v>57</v>
      </c>
      <c r="Q1738">
        <v>422982</v>
      </c>
      <c r="R1738">
        <v>424100</v>
      </c>
      <c r="S1738" t="s">
        <v>2541</v>
      </c>
      <c r="T1738">
        <v>373</v>
      </c>
      <c r="U1738" t="s">
        <v>2555</v>
      </c>
      <c r="V1738">
        <v>34</v>
      </c>
      <c r="W1738" t="str">
        <f>HYPERLINK("Gene376-zp_tree_all.dnd", "Gene376-tree")</f>
        <v>Gene376-tree</v>
      </c>
      <c r="X1738">
        <v>4</v>
      </c>
      <c r="Y1738">
        <v>6</v>
      </c>
      <c r="Z1738">
        <v>4</v>
      </c>
      <c r="AA1738">
        <v>6</v>
      </c>
      <c r="AB1738">
        <v>0.6</v>
      </c>
      <c r="AC1738" t="s">
        <v>61</v>
      </c>
      <c r="AD1738" t="s">
        <v>90</v>
      </c>
      <c r="AE1738" t="s">
        <v>62</v>
      </c>
      <c r="AF1738" t="s">
        <v>62</v>
      </c>
      <c r="AG1738">
        <v>4</v>
      </c>
      <c r="AH1738">
        <v>10</v>
      </c>
      <c r="AI1738">
        <v>18</v>
      </c>
      <c r="AJ1738">
        <v>0.35714000000000001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2</v>
      </c>
      <c r="AQ1738">
        <v>3</v>
      </c>
      <c r="AR1738">
        <v>5</v>
      </c>
      <c r="AS1738">
        <v>11</v>
      </c>
      <c r="AT1738">
        <v>0.3125</v>
      </c>
      <c r="AU1738">
        <v>10</v>
      </c>
      <c r="AV1738">
        <v>7</v>
      </c>
      <c r="AW1738">
        <v>31</v>
      </c>
      <c r="AX1738">
        <v>17</v>
      </c>
      <c r="AY1738">
        <v>60</v>
      </c>
      <c r="AZ1738">
        <v>13</v>
      </c>
      <c r="BA1738" t="s">
        <v>2556</v>
      </c>
      <c r="BB1738" t="s">
        <v>2557</v>
      </c>
      <c r="BC1738">
        <v>0.85699999999999998</v>
      </c>
      <c r="BD1738" t="s">
        <v>65</v>
      </c>
      <c r="BE1738">
        <v>91</v>
      </c>
      <c r="BF1738">
        <v>30</v>
      </c>
      <c r="BG1738" t="s">
        <v>2558</v>
      </c>
      <c r="BH1738" t="s">
        <v>2559</v>
      </c>
      <c r="BI1738" t="s">
        <v>2560</v>
      </c>
      <c r="BJ1738">
        <v>8.6819999999999994E-2</v>
      </c>
      <c r="BK1738">
        <v>1</v>
      </c>
      <c r="BL1738" t="s">
        <v>69</v>
      </c>
      <c r="BM1738">
        <v>-0.372</v>
      </c>
      <c r="BN1738">
        <v>0.53600000000000003</v>
      </c>
    </row>
    <row r="1739" spans="2:66">
      <c r="B1739">
        <v>3118</v>
      </c>
      <c r="C1739">
        <v>212</v>
      </c>
      <c r="D1739">
        <v>0</v>
      </c>
      <c r="E1739">
        <v>2</v>
      </c>
      <c r="F1739">
        <v>2</v>
      </c>
      <c r="J1739">
        <v>0</v>
      </c>
      <c r="K1739">
        <v>0</v>
      </c>
      <c r="L1739">
        <v>0</v>
      </c>
      <c r="M1739" t="s">
        <v>25022</v>
      </c>
      <c r="N1739">
        <v>379</v>
      </c>
      <c r="O1739" t="s">
        <v>2576</v>
      </c>
      <c r="P1739" t="s">
        <v>57</v>
      </c>
      <c r="Q1739">
        <v>426577</v>
      </c>
      <c r="R1739">
        <v>427257</v>
      </c>
      <c r="S1739" t="s">
        <v>2577</v>
      </c>
      <c r="T1739">
        <v>227</v>
      </c>
      <c r="U1739" t="s">
        <v>125</v>
      </c>
      <c r="V1739">
        <v>48</v>
      </c>
      <c r="W1739" t="str">
        <f>HYPERLINK("Gene379-zp_tree_all.dnd", "Gene379-tree")</f>
        <v>Gene379-tree</v>
      </c>
      <c r="X1739">
        <v>14</v>
      </c>
      <c r="Y1739">
        <v>3</v>
      </c>
      <c r="Z1739">
        <v>14</v>
      </c>
      <c r="AA1739">
        <v>3</v>
      </c>
      <c r="AB1739">
        <v>0.17646999999999999</v>
      </c>
      <c r="AC1739" t="s">
        <v>543</v>
      </c>
      <c r="AD1739" t="s">
        <v>324</v>
      </c>
      <c r="AE1739" t="s">
        <v>62</v>
      </c>
      <c r="AF1739" t="s">
        <v>62</v>
      </c>
      <c r="AG1739">
        <v>0</v>
      </c>
      <c r="AH1739">
        <v>0</v>
      </c>
      <c r="AI1739">
        <v>9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5</v>
      </c>
      <c r="AT1739">
        <v>0</v>
      </c>
      <c r="AU1739">
        <v>12</v>
      </c>
      <c r="AV1739">
        <v>12</v>
      </c>
      <c r="AW1739">
        <v>33</v>
      </c>
      <c r="AX1739">
        <v>5</v>
      </c>
      <c r="AY1739">
        <v>44</v>
      </c>
      <c r="AZ1739">
        <v>4</v>
      </c>
      <c r="BA1739" t="s">
        <v>2578</v>
      </c>
      <c r="BB1739" t="s">
        <v>2579</v>
      </c>
      <c r="BC1739">
        <v>0.313</v>
      </c>
      <c r="BD1739" t="s">
        <v>65</v>
      </c>
      <c r="BE1739">
        <v>77</v>
      </c>
      <c r="BF1739">
        <v>9</v>
      </c>
      <c r="BG1739" t="s">
        <v>2580</v>
      </c>
      <c r="BH1739" t="s">
        <v>2581</v>
      </c>
      <c r="BI1739" t="s">
        <v>2582</v>
      </c>
      <c r="BJ1739">
        <v>3.3919999999999999E-2</v>
      </c>
      <c r="BK1739">
        <v>1</v>
      </c>
      <c r="BL1739" t="s">
        <v>69</v>
      </c>
      <c r="BM1739">
        <v>-1.0960000000000001</v>
      </c>
      <c r="BN1739">
        <v>-0.20799999999999999</v>
      </c>
    </row>
    <row r="1740" spans="2:66">
      <c r="B1740">
        <v>3120</v>
      </c>
      <c r="C1740">
        <v>45</v>
      </c>
      <c r="D1740">
        <v>0</v>
      </c>
      <c r="E1740">
        <v>2</v>
      </c>
      <c r="F1740">
        <v>1</v>
      </c>
      <c r="J1740">
        <v>0</v>
      </c>
      <c r="K1740">
        <v>15</v>
      </c>
      <c r="L1740">
        <v>2</v>
      </c>
      <c r="M1740" t="s">
        <v>25022</v>
      </c>
      <c r="N1740">
        <v>380</v>
      </c>
      <c r="O1740" t="s">
        <v>2583</v>
      </c>
      <c r="P1740" t="s">
        <v>57</v>
      </c>
      <c r="Q1740">
        <v>427247</v>
      </c>
      <c r="R1740">
        <v>428665</v>
      </c>
      <c r="S1740" t="s">
        <v>2584</v>
      </c>
      <c r="T1740">
        <v>473</v>
      </c>
      <c r="U1740" t="s">
        <v>108</v>
      </c>
      <c r="V1740">
        <v>44</v>
      </c>
      <c r="W1740" t="str">
        <f>HYPERLINK("Gene380-zp_tree_all.dnd", "Gene380-tree")</f>
        <v>Gene380-tree</v>
      </c>
      <c r="X1740">
        <v>2</v>
      </c>
      <c r="Y1740">
        <v>13</v>
      </c>
      <c r="Z1740">
        <v>2</v>
      </c>
      <c r="AA1740">
        <v>13</v>
      </c>
      <c r="AB1740">
        <v>0.86667000000000005</v>
      </c>
      <c r="AC1740" t="s">
        <v>81</v>
      </c>
      <c r="AD1740" t="s">
        <v>507</v>
      </c>
      <c r="AE1740" t="s">
        <v>62</v>
      </c>
      <c r="AF1740" t="s">
        <v>62</v>
      </c>
      <c r="AG1740">
        <v>6</v>
      </c>
      <c r="AH1740">
        <v>17</v>
      </c>
      <c r="AI1740">
        <v>9</v>
      </c>
      <c r="AJ1740">
        <v>0.65385000000000004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9</v>
      </c>
      <c r="AQ1740">
        <v>1</v>
      </c>
      <c r="AR1740">
        <v>10</v>
      </c>
      <c r="AS1740">
        <v>8</v>
      </c>
      <c r="AT1740">
        <v>0.55556000000000005</v>
      </c>
      <c r="AU1740">
        <v>13</v>
      </c>
      <c r="AV1740">
        <v>11</v>
      </c>
      <c r="AW1740">
        <v>55</v>
      </c>
      <c r="AX1740">
        <v>15</v>
      </c>
      <c r="AY1740">
        <v>39</v>
      </c>
      <c r="AZ1740">
        <v>11</v>
      </c>
      <c r="BA1740" t="s">
        <v>2585</v>
      </c>
      <c r="BB1740" t="s">
        <v>2586</v>
      </c>
      <c r="BC1740">
        <v>8.5000000000000006E-2</v>
      </c>
      <c r="BD1740" t="s">
        <v>65</v>
      </c>
      <c r="BE1740">
        <v>94</v>
      </c>
      <c r="BF1740">
        <v>26</v>
      </c>
      <c r="BG1740" t="s">
        <v>2587</v>
      </c>
      <c r="BH1740" t="s">
        <v>2588</v>
      </c>
      <c r="BI1740" t="s">
        <v>2589</v>
      </c>
      <c r="BJ1740">
        <v>8.3140000000000006E-2</v>
      </c>
      <c r="BK1740">
        <v>1</v>
      </c>
      <c r="BL1740" t="s">
        <v>69</v>
      </c>
      <c r="BM1740">
        <v>-0.76200000000000001</v>
      </c>
      <c r="BN1740">
        <v>-1.6419999999999999</v>
      </c>
    </row>
    <row r="1741" spans="2:66">
      <c r="B1741">
        <v>3122</v>
      </c>
      <c r="C1741">
        <v>37</v>
      </c>
      <c r="D1741">
        <v>0</v>
      </c>
      <c r="E1741">
        <v>4</v>
      </c>
      <c r="F1741">
        <v>4</v>
      </c>
      <c r="J1741">
        <v>0</v>
      </c>
      <c r="K1741">
        <v>8</v>
      </c>
      <c r="L1741">
        <v>2</v>
      </c>
      <c r="M1741" t="s">
        <v>25022</v>
      </c>
      <c r="N1741">
        <v>381</v>
      </c>
      <c r="O1741" t="s">
        <v>2590</v>
      </c>
      <c r="P1741" t="s">
        <v>57</v>
      </c>
      <c r="Q1741">
        <v>428831</v>
      </c>
      <c r="R1741">
        <v>429976</v>
      </c>
      <c r="S1741" t="s">
        <v>1932</v>
      </c>
      <c r="T1741">
        <v>382</v>
      </c>
      <c r="U1741" t="s">
        <v>59</v>
      </c>
      <c r="V1741">
        <v>49</v>
      </c>
      <c r="W1741" t="str">
        <f>HYPERLINK("Gene381-zp_tree_all.dnd", "Gene381-tree")</f>
        <v>Gene381-tree</v>
      </c>
      <c r="X1741">
        <v>12</v>
      </c>
      <c r="Y1741">
        <v>6</v>
      </c>
      <c r="Z1741">
        <v>12</v>
      </c>
      <c r="AA1741">
        <v>6</v>
      </c>
      <c r="AB1741">
        <v>0.33333000000000002</v>
      </c>
      <c r="AC1741" t="s">
        <v>109</v>
      </c>
      <c r="AD1741" t="s">
        <v>90</v>
      </c>
      <c r="AE1741" t="s">
        <v>62</v>
      </c>
      <c r="AF1741" t="s">
        <v>62</v>
      </c>
      <c r="AG1741">
        <v>5</v>
      </c>
      <c r="AH1741">
        <v>10</v>
      </c>
      <c r="AI1741">
        <v>9</v>
      </c>
      <c r="AJ1741">
        <v>0.52632000000000001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2</v>
      </c>
      <c r="AQ1741">
        <v>0</v>
      </c>
      <c r="AR1741">
        <v>2</v>
      </c>
      <c r="AS1741">
        <v>5</v>
      </c>
      <c r="AT1741">
        <v>0.28571000000000002</v>
      </c>
      <c r="AU1741">
        <v>15</v>
      </c>
      <c r="AV1741">
        <v>11</v>
      </c>
      <c r="AW1741">
        <v>47</v>
      </c>
      <c r="AX1741">
        <v>7</v>
      </c>
      <c r="AY1741">
        <v>65</v>
      </c>
      <c r="AZ1741">
        <v>12</v>
      </c>
      <c r="BA1741" t="s">
        <v>2591</v>
      </c>
      <c r="BB1741" t="s">
        <v>2592</v>
      </c>
      <c r="BC1741">
        <v>0.14699999999999999</v>
      </c>
      <c r="BD1741" t="s">
        <v>65</v>
      </c>
      <c r="BE1741">
        <v>112</v>
      </c>
      <c r="BF1741">
        <v>19</v>
      </c>
      <c r="BG1741" t="s">
        <v>2593</v>
      </c>
      <c r="BH1741" t="s">
        <v>2594</v>
      </c>
      <c r="BI1741" t="s">
        <v>2595</v>
      </c>
      <c r="BJ1741">
        <v>4.6809999999999997E-2</v>
      </c>
      <c r="BK1741">
        <v>1</v>
      </c>
      <c r="BL1741" t="s">
        <v>69</v>
      </c>
      <c r="BM1741">
        <v>-1.0349999999999999</v>
      </c>
      <c r="BN1741">
        <v>-0.41</v>
      </c>
    </row>
    <row r="1742" spans="2:66">
      <c r="B1742">
        <v>3125</v>
      </c>
      <c r="C1742">
        <v>203</v>
      </c>
      <c r="D1742">
        <v>0</v>
      </c>
      <c r="E1742">
        <v>9</v>
      </c>
      <c r="F1742">
        <v>0</v>
      </c>
      <c r="J1742">
        <v>0</v>
      </c>
      <c r="K1742">
        <v>0</v>
      </c>
      <c r="L1742">
        <v>0</v>
      </c>
      <c r="M1742" t="s">
        <v>25022</v>
      </c>
      <c r="N1742">
        <v>382</v>
      </c>
      <c r="O1742" t="s">
        <v>2596</v>
      </c>
      <c r="P1742" t="s">
        <v>57</v>
      </c>
      <c r="Q1742">
        <v>429963</v>
      </c>
      <c r="R1742">
        <v>430082</v>
      </c>
      <c r="S1742" t="s">
        <v>2597</v>
      </c>
      <c r="T1742">
        <v>40</v>
      </c>
      <c r="U1742" t="s">
        <v>2598</v>
      </c>
      <c r="V1742">
        <v>48</v>
      </c>
      <c r="W1742" t="str">
        <f>HYPERLINK("Gene382-zp_tree_all.dnd", "Gene382-tree")</f>
        <v>Gene382-tree</v>
      </c>
      <c r="X1742">
        <v>3</v>
      </c>
      <c r="Y1742">
        <v>1</v>
      </c>
      <c r="Z1742">
        <v>3</v>
      </c>
      <c r="AA1742">
        <v>1</v>
      </c>
      <c r="AB1742">
        <v>0.25</v>
      </c>
      <c r="AC1742" t="s">
        <v>324</v>
      </c>
      <c r="AD1742" t="s">
        <v>175</v>
      </c>
      <c r="AE1742" t="s">
        <v>62</v>
      </c>
      <c r="AF1742" t="s">
        <v>62</v>
      </c>
      <c r="AG1742">
        <v>0</v>
      </c>
      <c r="AH1742">
        <v>0</v>
      </c>
      <c r="AI1742">
        <v>2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</v>
      </c>
      <c r="AT1742">
        <v>0</v>
      </c>
      <c r="AU1742">
        <v>2</v>
      </c>
      <c r="AV1742">
        <v>1</v>
      </c>
      <c r="AW1742">
        <v>3</v>
      </c>
      <c r="AX1742">
        <v>2</v>
      </c>
      <c r="AY1742">
        <v>1</v>
      </c>
      <c r="AZ1742">
        <v>0</v>
      </c>
      <c r="BA1742" t="s">
        <v>2599</v>
      </c>
      <c r="BB1742" t="s">
        <v>193</v>
      </c>
      <c r="BC1742">
        <v>1.264</v>
      </c>
      <c r="BD1742" t="s">
        <v>65</v>
      </c>
      <c r="BE1742">
        <v>4</v>
      </c>
      <c r="BF1742">
        <v>2</v>
      </c>
      <c r="BG1742" t="s">
        <v>2600</v>
      </c>
      <c r="BH1742" t="s">
        <v>2601</v>
      </c>
      <c r="BI1742" t="s">
        <v>2602</v>
      </c>
      <c r="BJ1742">
        <v>0.13305</v>
      </c>
      <c r="BK1742">
        <v>0.96</v>
      </c>
      <c r="BL1742" t="s">
        <v>69</v>
      </c>
      <c r="BM1742">
        <v>-1.3580000000000001</v>
      </c>
      <c r="BN1742">
        <v>1.1779999999999999</v>
      </c>
    </row>
    <row r="1743" spans="2:66">
      <c r="B1743">
        <v>3126</v>
      </c>
      <c r="C1743">
        <v>345</v>
      </c>
      <c r="D1743">
        <v>0</v>
      </c>
      <c r="E1743">
        <v>6</v>
      </c>
      <c r="F1743">
        <v>2</v>
      </c>
      <c r="J1743">
        <v>0</v>
      </c>
      <c r="K1743">
        <v>0</v>
      </c>
      <c r="L1743">
        <v>2</v>
      </c>
      <c r="M1743" t="s">
        <v>25022</v>
      </c>
      <c r="N1743">
        <v>386</v>
      </c>
      <c r="O1743" t="s">
        <v>2611</v>
      </c>
      <c r="P1743" t="s">
        <v>57</v>
      </c>
      <c r="Q1743">
        <v>432372</v>
      </c>
      <c r="R1743">
        <v>433319</v>
      </c>
      <c r="S1743" t="s">
        <v>2612</v>
      </c>
      <c r="T1743">
        <v>316</v>
      </c>
      <c r="U1743" t="s">
        <v>96</v>
      </c>
      <c r="V1743">
        <v>48</v>
      </c>
      <c r="W1743" t="str">
        <f>HYPERLINK("Gene386-zp_tree_all.dnd", "Gene386-tree")</f>
        <v>Gene386-tree</v>
      </c>
      <c r="X1743">
        <v>10</v>
      </c>
      <c r="Y1743">
        <v>6</v>
      </c>
      <c r="Z1743">
        <v>10</v>
      </c>
      <c r="AA1743">
        <v>6</v>
      </c>
      <c r="AB1743">
        <v>0.375</v>
      </c>
      <c r="AC1743" t="s">
        <v>117</v>
      </c>
      <c r="AD1743" t="s">
        <v>90</v>
      </c>
      <c r="AE1743" t="s">
        <v>62</v>
      </c>
      <c r="AF1743" t="s">
        <v>62</v>
      </c>
      <c r="AG1743">
        <v>1</v>
      </c>
      <c r="AH1743">
        <v>2</v>
      </c>
      <c r="AI1743">
        <v>13</v>
      </c>
      <c r="AJ1743">
        <v>0.13333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7</v>
      </c>
      <c r="AT1743">
        <v>0</v>
      </c>
      <c r="AU1743">
        <v>15</v>
      </c>
      <c r="AV1743">
        <v>11</v>
      </c>
      <c r="AW1743">
        <v>54</v>
      </c>
      <c r="AX1743">
        <v>7</v>
      </c>
      <c r="AY1743">
        <v>45</v>
      </c>
      <c r="AZ1743">
        <v>8</v>
      </c>
      <c r="BA1743" t="s">
        <v>2613</v>
      </c>
      <c r="BB1743" t="s">
        <v>2614</v>
      </c>
      <c r="BC1743">
        <v>0.18</v>
      </c>
      <c r="BD1743" t="s">
        <v>65</v>
      </c>
      <c r="BE1743">
        <v>99</v>
      </c>
      <c r="BF1743">
        <v>15</v>
      </c>
      <c r="BG1743" t="s">
        <v>2615</v>
      </c>
      <c r="BH1743" t="s">
        <v>2616</v>
      </c>
      <c r="BI1743" t="s">
        <v>2617</v>
      </c>
      <c r="BJ1743">
        <v>5.0099999999999999E-2</v>
      </c>
      <c r="BK1743">
        <v>1</v>
      </c>
      <c r="BL1743" t="s">
        <v>69</v>
      </c>
      <c r="BM1743">
        <v>-1.6719999999999999</v>
      </c>
      <c r="BN1743">
        <v>-2.4950000000000001</v>
      </c>
    </row>
    <row r="1744" spans="2:66">
      <c r="B1744">
        <v>3127</v>
      </c>
      <c r="C1744">
        <v>4</v>
      </c>
      <c r="D1744">
        <v>0</v>
      </c>
      <c r="E1744">
        <v>8</v>
      </c>
      <c r="F1744">
        <v>0</v>
      </c>
      <c r="J1744">
        <v>0</v>
      </c>
      <c r="K1744">
        <v>4</v>
      </c>
      <c r="L1744">
        <v>0</v>
      </c>
      <c r="M1744" t="s">
        <v>25022</v>
      </c>
      <c r="N1744">
        <v>387</v>
      </c>
      <c r="O1744" t="s">
        <v>2618</v>
      </c>
      <c r="P1744" t="s">
        <v>57</v>
      </c>
      <c r="Q1744">
        <v>433315</v>
      </c>
      <c r="R1744">
        <v>434259</v>
      </c>
      <c r="S1744" t="s">
        <v>2612</v>
      </c>
      <c r="T1744">
        <v>315</v>
      </c>
      <c r="U1744" t="s">
        <v>59</v>
      </c>
      <c r="V1744">
        <v>49</v>
      </c>
      <c r="W1744" t="str">
        <f>HYPERLINK("Gene387-zp_tree_all.dnd", "Gene387-tree")</f>
        <v>Gene387-tree</v>
      </c>
      <c r="X1744">
        <v>12</v>
      </c>
      <c r="Y1744">
        <v>7</v>
      </c>
      <c r="Z1744">
        <v>12</v>
      </c>
      <c r="AA1744">
        <v>7</v>
      </c>
      <c r="AB1744">
        <v>0.36842000000000003</v>
      </c>
      <c r="AC1744" t="s">
        <v>109</v>
      </c>
      <c r="AD1744" t="s">
        <v>152</v>
      </c>
      <c r="AE1744" t="s">
        <v>62</v>
      </c>
      <c r="AF1744" t="s">
        <v>62</v>
      </c>
      <c r="AG1744">
        <v>2</v>
      </c>
      <c r="AH1744">
        <v>4</v>
      </c>
      <c r="AI1744">
        <v>14</v>
      </c>
      <c r="AJ1744">
        <v>0.22222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10</v>
      </c>
      <c r="AT1744">
        <v>0</v>
      </c>
      <c r="AU1744">
        <v>16</v>
      </c>
      <c r="AV1744">
        <v>11</v>
      </c>
      <c r="AW1744">
        <v>41</v>
      </c>
      <c r="AX1744">
        <v>10</v>
      </c>
      <c r="AY1744">
        <v>47</v>
      </c>
      <c r="AZ1744">
        <v>10</v>
      </c>
      <c r="BA1744" t="s">
        <v>2619</v>
      </c>
      <c r="BB1744" t="s">
        <v>2620</v>
      </c>
      <c r="BC1744">
        <v>0.111</v>
      </c>
      <c r="BD1744" t="s">
        <v>65</v>
      </c>
      <c r="BE1744">
        <v>88</v>
      </c>
      <c r="BF1744">
        <v>20</v>
      </c>
      <c r="BG1744" t="s">
        <v>2621</v>
      </c>
      <c r="BH1744" t="s">
        <v>2622</v>
      </c>
      <c r="BI1744" t="s">
        <v>2623</v>
      </c>
      <c r="BJ1744">
        <v>6.8559999999999996E-2</v>
      </c>
      <c r="BK1744">
        <v>1</v>
      </c>
      <c r="BL1744" t="s">
        <v>69</v>
      </c>
      <c r="BM1744">
        <v>-1.3660000000000001</v>
      </c>
      <c r="BN1744">
        <v>-0.98299999999999998</v>
      </c>
    </row>
    <row r="1745" spans="2:66">
      <c r="B1745">
        <v>3128</v>
      </c>
      <c r="C1745">
        <v>293</v>
      </c>
      <c r="D1745">
        <v>2</v>
      </c>
      <c r="E1745">
        <v>8</v>
      </c>
      <c r="F1745">
        <v>5</v>
      </c>
      <c r="J1745">
        <v>0</v>
      </c>
      <c r="K1745">
        <v>0</v>
      </c>
      <c r="L1745">
        <v>0</v>
      </c>
      <c r="M1745" t="s">
        <v>25022</v>
      </c>
      <c r="N1745">
        <v>388</v>
      </c>
      <c r="O1745" t="s">
        <v>2624</v>
      </c>
      <c r="P1745" t="s">
        <v>57</v>
      </c>
      <c r="Q1745">
        <v>434256</v>
      </c>
      <c r="R1745">
        <v>435011</v>
      </c>
      <c r="S1745" t="s">
        <v>2625</v>
      </c>
      <c r="T1745">
        <v>252</v>
      </c>
      <c r="U1745" t="s">
        <v>108</v>
      </c>
      <c r="V1745">
        <v>44</v>
      </c>
      <c r="W1745" t="str">
        <f>HYPERLINK("Gene388-zp_tree_all.dnd", "Gene388-tree")</f>
        <v>Gene388-tree</v>
      </c>
      <c r="X1745">
        <v>8</v>
      </c>
      <c r="Y1745">
        <v>5</v>
      </c>
      <c r="Z1745">
        <v>8</v>
      </c>
      <c r="AA1745">
        <v>5</v>
      </c>
      <c r="AB1745">
        <v>0.38462000000000002</v>
      </c>
      <c r="AC1745" t="s">
        <v>136</v>
      </c>
      <c r="AD1745" t="s">
        <v>199</v>
      </c>
      <c r="AE1745" t="s">
        <v>62</v>
      </c>
      <c r="AF1745" t="s">
        <v>62</v>
      </c>
      <c r="AG1745">
        <v>0</v>
      </c>
      <c r="AH1745">
        <v>0</v>
      </c>
      <c r="AI1745">
        <v>6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5</v>
      </c>
      <c r="AT1745">
        <v>0</v>
      </c>
      <c r="AU1745">
        <v>12</v>
      </c>
      <c r="AV1745">
        <v>7</v>
      </c>
      <c r="AW1745">
        <v>26</v>
      </c>
      <c r="AX1745">
        <v>5</v>
      </c>
      <c r="AY1745">
        <v>17</v>
      </c>
      <c r="AZ1745">
        <v>1</v>
      </c>
      <c r="BA1745" t="s">
        <v>2626</v>
      </c>
      <c r="BB1745" t="s">
        <v>2627</v>
      </c>
      <c r="BC1745">
        <v>0.65500000000000003</v>
      </c>
      <c r="BD1745" t="s">
        <v>65</v>
      </c>
      <c r="BE1745">
        <v>43</v>
      </c>
      <c r="BF1745">
        <v>6</v>
      </c>
      <c r="BG1745" t="s">
        <v>2628</v>
      </c>
      <c r="BH1745" t="s">
        <v>2629</v>
      </c>
      <c r="BI1745" t="s">
        <v>2630</v>
      </c>
      <c r="BJ1745">
        <v>3.7019999999999997E-2</v>
      </c>
      <c r="BK1745">
        <v>1</v>
      </c>
      <c r="BL1745" t="s">
        <v>69</v>
      </c>
      <c r="BM1745">
        <v>-0.61399999999999999</v>
      </c>
      <c r="BN1745">
        <v>-0.65800000000000003</v>
      </c>
    </row>
    <row r="1746" spans="2:66">
      <c r="B1746">
        <v>3129</v>
      </c>
      <c r="C1746">
        <v>13</v>
      </c>
      <c r="D1746">
        <v>0</v>
      </c>
      <c r="E1746">
        <v>4</v>
      </c>
      <c r="F1746">
        <v>4</v>
      </c>
      <c r="J1746">
        <v>0</v>
      </c>
      <c r="K1746">
        <v>6</v>
      </c>
      <c r="L1746">
        <v>0</v>
      </c>
      <c r="M1746" t="s">
        <v>25022</v>
      </c>
      <c r="N1746">
        <v>389</v>
      </c>
      <c r="O1746" t="s">
        <v>2631</v>
      </c>
      <c r="P1746" t="s">
        <v>57</v>
      </c>
      <c r="Q1746">
        <v>435036</v>
      </c>
      <c r="R1746">
        <v>435986</v>
      </c>
      <c r="S1746" t="s">
        <v>2632</v>
      </c>
      <c r="T1746">
        <v>317</v>
      </c>
      <c r="U1746" t="s">
        <v>2633</v>
      </c>
      <c r="V1746">
        <v>25</v>
      </c>
      <c r="W1746" t="str">
        <f>HYPERLINK("Gene389-zp_tree_all.dnd", "Gene389-tree")</f>
        <v>Gene389-tree</v>
      </c>
      <c r="X1746">
        <v>0</v>
      </c>
      <c r="Y1746">
        <v>22</v>
      </c>
      <c r="Z1746">
        <v>0</v>
      </c>
      <c r="AA1746">
        <v>4</v>
      </c>
      <c r="AB1746">
        <v>1</v>
      </c>
      <c r="AC1746" t="s">
        <v>62</v>
      </c>
      <c r="AD1746" t="s">
        <v>2634</v>
      </c>
      <c r="AE1746">
        <v>6.282</v>
      </c>
      <c r="AF1746" t="s">
        <v>65</v>
      </c>
      <c r="AG1746">
        <v>3</v>
      </c>
      <c r="AH1746">
        <v>6</v>
      </c>
      <c r="AI1746">
        <v>13</v>
      </c>
      <c r="AJ1746">
        <v>0.31579000000000002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6</v>
      </c>
      <c r="AQ1746">
        <v>0</v>
      </c>
      <c r="AR1746">
        <v>6</v>
      </c>
      <c r="AS1746">
        <v>13</v>
      </c>
      <c r="AT1746">
        <v>0.31579000000000002</v>
      </c>
      <c r="AU1746">
        <v>3</v>
      </c>
      <c r="AV1746">
        <v>1</v>
      </c>
      <c r="AW1746">
        <v>55</v>
      </c>
      <c r="AX1746">
        <v>13</v>
      </c>
      <c r="AY1746">
        <v>19</v>
      </c>
      <c r="AZ1746">
        <v>6</v>
      </c>
      <c r="BA1746" t="s">
        <v>2635</v>
      </c>
      <c r="BB1746" t="s">
        <v>2636</v>
      </c>
      <c r="BC1746">
        <v>7.7489999999999997</v>
      </c>
      <c r="BD1746" t="s">
        <v>65</v>
      </c>
      <c r="BE1746">
        <v>74</v>
      </c>
      <c r="BF1746">
        <v>19</v>
      </c>
      <c r="BG1746" t="s">
        <v>2637</v>
      </c>
      <c r="BH1746" t="s">
        <v>2638</v>
      </c>
      <c r="BI1746" t="s">
        <v>2639</v>
      </c>
      <c r="BJ1746">
        <v>7.0849999999999996E-2</v>
      </c>
      <c r="BK1746">
        <v>1</v>
      </c>
      <c r="BL1746" t="s">
        <v>69</v>
      </c>
      <c r="BM1746">
        <v>-0.33900000000000002</v>
      </c>
      <c r="BN1746">
        <v>-0.56200000000000006</v>
      </c>
    </row>
    <row r="1747" spans="2:66">
      <c r="B1747">
        <v>3130</v>
      </c>
      <c r="C1747">
        <v>174</v>
      </c>
      <c r="D1747">
        <v>2</v>
      </c>
      <c r="E1747">
        <v>22</v>
      </c>
      <c r="F1747">
        <v>5</v>
      </c>
      <c r="J1747">
        <v>0</v>
      </c>
      <c r="K1747">
        <v>0</v>
      </c>
      <c r="L1747">
        <v>0</v>
      </c>
      <c r="M1747" t="s">
        <v>25022</v>
      </c>
      <c r="N1747">
        <v>394</v>
      </c>
      <c r="O1747" t="s">
        <v>2667</v>
      </c>
      <c r="P1747" t="s">
        <v>57</v>
      </c>
      <c r="Q1747">
        <v>439709</v>
      </c>
      <c r="R1747">
        <v>440020</v>
      </c>
      <c r="S1747" t="s">
        <v>2033</v>
      </c>
      <c r="T1747">
        <v>104</v>
      </c>
      <c r="U1747" t="s">
        <v>72</v>
      </c>
      <c r="V1747">
        <v>45</v>
      </c>
      <c r="W1747" t="str">
        <f>HYPERLINK("Gene394-zp_tree_all.dnd", "Gene394-tree")</f>
        <v>Gene394-tree</v>
      </c>
      <c r="X1747">
        <v>24</v>
      </c>
      <c r="Y1747">
        <v>1</v>
      </c>
      <c r="Z1747">
        <v>5</v>
      </c>
      <c r="AA1747">
        <v>1</v>
      </c>
      <c r="AB1747">
        <v>0.16667000000000001</v>
      </c>
      <c r="AC1747" t="s">
        <v>2668</v>
      </c>
      <c r="AD1747" t="s">
        <v>175</v>
      </c>
      <c r="AE1747" t="s">
        <v>62</v>
      </c>
      <c r="AF1747" t="s">
        <v>62</v>
      </c>
      <c r="AG1747">
        <v>0</v>
      </c>
      <c r="AH1747">
        <v>0</v>
      </c>
      <c r="AI1747">
        <v>2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2</v>
      </c>
      <c r="AT1747">
        <v>0</v>
      </c>
      <c r="AU1747">
        <v>5</v>
      </c>
      <c r="AV1747">
        <v>0</v>
      </c>
      <c r="AW1747">
        <v>16</v>
      </c>
      <c r="AX1747">
        <v>2</v>
      </c>
      <c r="AY1747">
        <v>0</v>
      </c>
      <c r="AZ1747">
        <v>0</v>
      </c>
      <c r="BA1747" t="s">
        <v>2669</v>
      </c>
      <c r="BB1747" t="s">
        <v>193</v>
      </c>
      <c r="BC1747">
        <v>0.371</v>
      </c>
      <c r="BD1747" t="s">
        <v>65</v>
      </c>
      <c r="BE1747">
        <v>16</v>
      </c>
      <c r="BF1747">
        <v>2</v>
      </c>
      <c r="BG1747" t="s">
        <v>2670</v>
      </c>
      <c r="BH1747" t="s">
        <v>2671</v>
      </c>
      <c r="BI1747" t="s">
        <v>2672</v>
      </c>
      <c r="BJ1747">
        <v>3.4329999999999999E-2</v>
      </c>
      <c r="BK1747">
        <v>1</v>
      </c>
      <c r="BL1747" t="s">
        <v>69</v>
      </c>
      <c r="BM1747">
        <v>-1.8340000000000001</v>
      </c>
      <c r="BN1747">
        <v>-4.1950000000000003</v>
      </c>
    </row>
    <row r="1748" spans="2:66">
      <c r="B1748">
        <v>3131</v>
      </c>
      <c r="C1748">
        <v>206</v>
      </c>
      <c r="D1748">
        <v>0</v>
      </c>
      <c r="E1748">
        <v>21</v>
      </c>
      <c r="F1748">
        <v>0</v>
      </c>
      <c r="J1748">
        <v>0</v>
      </c>
      <c r="K1748">
        <v>5</v>
      </c>
      <c r="L1748">
        <v>1</v>
      </c>
      <c r="M1748" t="s">
        <v>25022</v>
      </c>
      <c r="N1748">
        <v>396</v>
      </c>
      <c r="O1748" t="s">
        <v>2681</v>
      </c>
      <c r="P1748" t="s">
        <v>57</v>
      </c>
      <c r="Q1748">
        <v>441571</v>
      </c>
      <c r="R1748">
        <v>442878</v>
      </c>
      <c r="S1748" t="s">
        <v>2682</v>
      </c>
      <c r="T1748">
        <v>436</v>
      </c>
      <c r="U1748" t="s">
        <v>108</v>
      </c>
      <c r="V1748">
        <v>44</v>
      </c>
      <c r="W1748" t="str">
        <f>HYPERLINK("Gene396-zp_tree_all.dnd", "Gene396-tree")</f>
        <v>Gene396-tree</v>
      </c>
      <c r="X1748">
        <v>25</v>
      </c>
      <c r="Y1748">
        <v>8</v>
      </c>
      <c r="Z1748">
        <v>7</v>
      </c>
      <c r="AA1748">
        <v>8</v>
      </c>
      <c r="AB1748">
        <v>0.53332999999999997</v>
      </c>
      <c r="AC1748" t="s">
        <v>2683</v>
      </c>
      <c r="AD1748" t="s">
        <v>136</v>
      </c>
      <c r="AE1748" t="s">
        <v>62</v>
      </c>
      <c r="AF1748" t="s">
        <v>62</v>
      </c>
      <c r="AG1748">
        <v>2</v>
      </c>
      <c r="AH1748">
        <v>6</v>
      </c>
      <c r="AI1748">
        <v>15</v>
      </c>
      <c r="AJ1748">
        <v>0.28571000000000002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2</v>
      </c>
      <c r="AR1748">
        <v>2</v>
      </c>
      <c r="AS1748">
        <v>12</v>
      </c>
      <c r="AT1748">
        <v>0.14285999999999999</v>
      </c>
      <c r="AU1748">
        <v>14</v>
      </c>
      <c r="AV1748">
        <v>11</v>
      </c>
      <c r="AW1748">
        <v>62</v>
      </c>
      <c r="AX1748">
        <v>15</v>
      </c>
      <c r="AY1748">
        <v>42</v>
      </c>
      <c r="AZ1748">
        <v>7</v>
      </c>
      <c r="BA1748" t="s">
        <v>2684</v>
      </c>
      <c r="BB1748" t="s">
        <v>2685</v>
      </c>
      <c r="BC1748">
        <v>0.45700000000000002</v>
      </c>
      <c r="BD1748" t="s">
        <v>65</v>
      </c>
      <c r="BE1748">
        <v>104</v>
      </c>
      <c r="BF1748">
        <v>22</v>
      </c>
      <c r="BG1748" t="s">
        <v>2686</v>
      </c>
      <c r="BH1748" t="s">
        <v>2687</v>
      </c>
      <c r="BI1748" t="s">
        <v>2688</v>
      </c>
      <c r="BJ1748">
        <v>6.3030000000000003E-2</v>
      </c>
      <c r="BK1748">
        <v>1</v>
      </c>
      <c r="BL1748" t="s">
        <v>69</v>
      </c>
      <c r="BM1748">
        <v>-0.56399999999999995</v>
      </c>
      <c r="BN1748">
        <v>-0.879</v>
      </c>
    </row>
    <row r="1749" spans="2:66">
      <c r="B1749">
        <v>3132</v>
      </c>
      <c r="C1749">
        <v>43</v>
      </c>
      <c r="D1749">
        <v>0</v>
      </c>
      <c r="E1749">
        <v>3</v>
      </c>
      <c r="F1749">
        <v>0</v>
      </c>
      <c r="J1749">
        <v>0</v>
      </c>
      <c r="K1749">
        <v>7</v>
      </c>
      <c r="L1749">
        <v>2</v>
      </c>
      <c r="M1749" t="s">
        <v>25022</v>
      </c>
      <c r="N1749">
        <v>397</v>
      </c>
      <c r="O1749" t="s">
        <v>2689</v>
      </c>
      <c r="P1749" t="s">
        <v>57</v>
      </c>
      <c r="Q1749">
        <v>442950</v>
      </c>
      <c r="R1749">
        <v>444335</v>
      </c>
      <c r="S1749" t="s">
        <v>2690</v>
      </c>
      <c r="T1749">
        <v>462</v>
      </c>
      <c r="U1749" t="s">
        <v>108</v>
      </c>
      <c r="V1749">
        <v>44</v>
      </c>
      <c r="W1749" t="str">
        <f>HYPERLINK("Gene397-zp_tree_all.dnd", "Gene397-tree")</f>
        <v>Gene397-tree</v>
      </c>
      <c r="X1749">
        <v>7</v>
      </c>
      <c r="Y1749">
        <v>9</v>
      </c>
      <c r="Z1749">
        <v>7</v>
      </c>
      <c r="AA1749">
        <v>9</v>
      </c>
      <c r="AB1749">
        <v>0.5625</v>
      </c>
      <c r="AC1749" t="s">
        <v>152</v>
      </c>
      <c r="AD1749" t="s">
        <v>135</v>
      </c>
      <c r="AE1749" t="s">
        <v>62</v>
      </c>
      <c r="AF1749" t="s">
        <v>62</v>
      </c>
      <c r="AG1749">
        <v>3</v>
      </c>
      <c r="AH1749">
        <v>9</v>
      </c>
      <c r="AI1749">
        <v>7</v>
      </c>
      <c r="AJ1749">
        <v>0.5625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5</v>
      </c>
      <c r="AQ1749">
        <v>2</v>
      </c>
      <c r="AR1749">
        <v>7</v>
      </c>
      <c r="AS1749">
        <v>7</v>
      </c>
      <c r="AT1749">
        <v>0.5</v>
      </c>
      <c r="AU1749">
        <v>15</v>
      </c>
      <c r="AV1749">
        <v>13</v>
      </c>
      <c r="AW1749">
        <v>82</v>
      </c>
      <c r="AX1749">
        <v>14</v>
      </c>
      <c r="AY1749">
        <v>58</v>
      </c>
      <c r="AZ1749">
        <v>2</v>
      </c>
      <c r="BA1749" t="s">
        <v>2691</v>
      </c>
      <c r="BB1749" t="s">
        <v>2692</v>
      </c>
      <c r="BC1749">
        <v>1.6739999999999999</v>
      </c>
      <c r="BD1749" t="s">
        <v>65</v>
      </c>
      <c r="BE1749">
        <v>140</v>
      </c>
      <c r="BF1749">
        <v>16</v>
      </c>
      <c r="BG1749" t="s">
        <v>2693</v>
      </c>
      <c r="BH1749" t="s">
        <v>2694</v>
      </c>
      <c r="BI1749" t="s">
        <v>2695</v>
      </c>
      <c r="BJ1749">
        <v>2.8170000000000001E-2</v>
      </c>
      <c r="BK1749">
        <v>1</v>
      </c>
      <c r="BL1749" t="s">
        <v>69</v>
      </c>
      <c r="BM1749">
        <v>-0.38300000000000001</v>
      </c>
      <c r="BN1749">
        <v>-0.154</v>
      </c>
    </row>
    <row r="1750" spans="2:66">
      <c r="B1750">
        <v>3134</v>
      </c>
      <c r="C1750">
        <v>86</v>
      </c>
      <c r="D1750">
        <v>0</v>
      </c>
      <c r="E1750">
        <v>31</v>
      </c>
      <c r="F1750">
        <v>3</v>
      </c>
      <c r="J1750">
        <v>0</v>
      </c>
      <c r="K1750">
        <v>0</v>
      </c>
      <c r="L1750">
        <v>0</v>
      </c>
      <c r="M1750" t="s">
        <v>25022</v>
      </c>
      <c r="N1750">
        <v>398</v>
      </c>
      <c r="O1750" t="s">
        <v>2696</v>
      </c>
      <c r="P1750" t="s">
        <v>57</v>
      </c>
      <c r="Q1750">
        <v>444461</v>
      </c>
      <c r="R1750">
        <v>445321</v>
      </c>
      <c r="S1750" t="s">
        <v>2697</v>
      </c>
      <c r="T1750">
        <v>287</v>
      </c>
      <c r="U1750" t="s">
        <v>108</v>
      </c>
      <c r="V1750">
        <v>44</v>
      </c>
      <c r="W1750" t="str">
        <f>HYPERLINK("Gene398-zp_tree_all.dnd", "Gene398-tree")</f>
        <v>Gene398-tree</v>
      </c>
      <c r="X1750">
        <v>14</v>
      </c>
      <c r="Y1750">
        <v>0</v>
      </c>
      <c r="Z1750">
        <v>14</v>
      </c>
      <c r="AA1750">
        <v>0</v>
      </c>
      <c r="AB1750">
        <v>0</v>
      </c>
      <c r="AC1750" t="s">
        <v>543</v>
      </c>
      <c r="AD1750" t="s">
        <v>62</v>
      </c>
      <c r="AE1750" t="s">
        <v>62</v>
      </c>
      <c r="AF1750" t="s">
        <v>62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14</v>
      </c>
      <c r="AV1750">
        <v>6</v>
      </c>
      <c r="AW1750">
        <v>40</v>
      </c>
      <c r="AX1750">
        <v>0</v>
      </c>
      <c r="AY1750">
        <v>8</v>
      </c>
      <c r="AZ1750">
        <v>0</v>
      </c>
      <c r="BA1750" t="s">
        <v>193</v>
      </c>
      <c r="BB1750" t="s">
        <v>193</v>
      </c>
      <c r="BC1750">
        <v>0</v>
      </c>
      <c r="BD1750" t="s">
        <v>65</v>
      </c>
      <c r="BE1750">
        <v>48</v>
      </c>
      <c r="BF1750">
        <v>0</v>
      </c>
      <c r="BG1750" t="s">
        <v>2698</v>
      </c>
      <c r="BH1750" t="s">
        <v>2699</v>
      </c>
      <c r="BI1750" t="s">
        <v>2700</v>
      </c>
      <c r="BJ1750">
        <v>1.2800000000000001E-3</v>
      </c>
      <c r="BK1750">
        <v>1</v>
      </c>
      <c r="BL1750" t="s">
        <v>69</v>
      </c>
      <c r="BM1750">
        <v>-1.387</v>
      </c>
      <c r="BN1750">
        <v>-1.321</v>
      </c>
    </row>
    <row r="1751" spans="2:66">
      <c r="B1751">
        <v>3135</v>
      </c>
      <c r="C1751">
        <v>140</v>
      </c>
      <c r="D1751">
        <v>0</v>
      </c>
      <c r="E1751">
        <v>8</v>
      </c>
      <c r="F1751">
        <v>0</v>
      </c>
      <c r="J1751">
        <v>0</v>
      </c>
      <c r="K1751">
        <v>0</v>
      </c>
      <c r="L1751">
        <v>0</v>
      </c>
      <c r="M1751" t="s">
        <v>25022</v>
      </c>
      <c r="N1751">
        <v>399</v>
      </c>
      <c r="O1751" t="s">
        <v>2701</v>
      </c>
      <c r="P1751" t="s">
        <v>57</v>
      </c>
      <c r="Q1751">
        <v>445344</v>
      </c>
      <c r="R1751">
        <v>446126</v>
      </c>
      <c r="S1751" t="s">
        <v>2702</v>
      </c>
      <c r="T1751">
        <v>261</v>
      </c>
      <c r="U1751" t="s">
        <v>2703</v>
      </c>
      <c r="V1751">
        <v>40</v>
      </c>
      <c r="W1751" t="str">
        <f>HYPERLINK("Gene399-zp_tree_all.dnd", "Gene399-tree")</f>
        <v>Gene399-tree</v>
      </c>
      <c r="X1751">
        <v>30</v>
      </c>
      <c r="Y1751">
        <v>2</v>
      </c>
      <c r="Z1751">
        <v>13</v>
      </c>
      <c r="AA1751">
        <v>2</v>
      </c>
      <c r="AB1751">
        <v>0.13333</v>
      </c>
      <c r="AC1751" t="s">
        <v>2704</v>
      </c>
      <c r="AD1751" t="s">
        <v>81</v>
      </c>
      <c r="AE1751" t="s">
        <v>62</v>
      </c>
      <c r="AF1751" t="s">
        <v>62</v>
      </c>
      <c r="AG1751">
        <v>0</v>
      </c>
      <c r="AH1751">
        <v>0</v>
      </c>
      <c r="AI1751">
        <v>11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3</v>
      </c>
      <c r="AT1751">
        <v>0</v>
      </c>
      <c r="AU1751">
        <v>9</v>
      </c>
      <c r="AV1751">
        <v>10</v>
      </c>
      <c r="AW1751">
        <v>40</v>
      </c>
      <c r="AX1751">
        <v>4</v>
      </c>
      <c r="AY1751">
        <v>68</v>
      </c>
      <c r="AZ1751">
        <v>8</v>
      </c>
      <c r="BA1751" t="s">
        <v>2705</v>
      </c>
      <c r="BB1751" t="s">
        <v>2706</v>
      </c>
      <c r="BC1751">
        <v>7.5999999999999998E-2</v>
      </c>
      <c r="BD1751" t="s">
        <v>65</v>
      </c>
      <c r="BE1751">
        <v>108</v>
      </c>
      <c r="BF1751">
        <v>12</v>
      </c>
      <c r="BG1751" t="s">
        <v>2707</v>
      </c>
      <c r="BH1751" t="s">
        <v>2708</v>
      </c>
      <c r="BI1751" t="s">
        <v>2709</v>
      </c>
      <c r="BJ1751">
        <v>3.4270000000000002E-2</v>
      </c>
      <c r="BK1751">
        <v>1</v>
      </c>
      <c r="BL1751" t="s">
        <v>69</v>
      </c>
      <c r="BM1751">
        <v>-0.45600000000000002</v>
      </c>
      <c r="BN1751">
        <v>0.79100000000000004</v>
      </c>
    </row>
    <row r="1752" spans="2:66">
      <c r="B1752">
        <v>3136</v>
      </c>
      <c r="C1752">
        <v>145</v>
      </c>
      <c r="D1752">
        <v>0</v>
      </c>
      <c r="E1752">
        <v>9</v>
      </c>
      <c r="F1752">
        <v>2</v>
      </c>
      <c r="J1752">
        <v>0</v>
      </c>
      <c r="K1752">
        <v>0</v>
      </c>
      <c r="L1752">
        <v>0</v>
      </c>
      <c r="M1752" t="s">
        <v>25022</v>
      </c>
      <c r="N1752">
        <v>403</v>
      </c>
      <c r="O1752" t="s">
        <v>2731</v>
      </c>
      <c r="P1752" t="s">
        <v>57</v>
      </c>
      <c r="Q1752">
        <v>449198</v>
      </c>
      <c r="R1752">
        <v>449548</v>
      </c>
      <c r="S1752" t="s">
        <v>2732</v>
      </c>
      <c r="T1752">
        <v>117</v>
      </c>
      <c r="U1752" t="s">
        <v>1196</v>
      </c>
      <c r="V1752">
        <v>39</v>
      </c>
      <c r="W1752" t="str">
        <f>HYPERLINK("Gene403-zp_tree_all.dnd", "Gene403-tree")</f>
        <v>Gene403-tree</v>
      </c>
      <c r="X1752">
        <v>35</v>
      </c>
      <c r="Y1752">
        <v>2</v>
      </c>
      <c r="Z1752">
        <v>7</v>
      </c>
      <c r="AA1752">
        <v>2</v>
      </c>
      <c r="AB1752">
        <v>0.22222</v>
      </c>
      <c r="AC1752" t="s">
        <v>2733</v>
      </c>
      <c r="AD1752" t="s">
        <v>81</v>
      </c>
      <c r="AE1752" t="s">
        <v>62</v>
      </c>
      <c r="AF1752" t="s">
        <v>62</v>
      </c>
      <c r="AG1752">
        <v>0</v>
      </c>
      <c r="AH1752">
        <v>0</v>
      </c>
      <c r="AI1752">
        <v>3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2</v>
      </c>
      <c r="AT1752">
        <v>0</v>
      </c>
      <c r="AU1752">
        <v>5</v>
      </c>
      <c r="AV1752">
        <v>5</v>
      </c>
      <c r="AW1752">
        <v>8</v>
      </c>
      <c r="AX1752">
        <v>1</v>
      </c>
      <c r="AY1752">
        <v>16</v>
      </c>
      <c r="AZ1752">
        <v>2</v>
      </c>
      <c r="BA1752" t="s">
        <v>2734</v>
      </c>
      <c r="BB1752" t="s">
        <v>2735</v>
      </c>
      <c r="BC1752">
        <v>1.0999999999999999E-2</v>
      </c>
      <c r="BD1752" t="s">
        <v>65</v>
      </c>
      <c r="BE1752">
        <v>24</v>
      </c>
      <c r="BF1752">
        <v>3</v>
      </c>
      <c r="BG1752" t="s">
        <v>2736</v>
      </c>
      <c r="BH1752" t="s">
        <v>2737</v>
      </c>
      <c r="BI1752" t="s">
        <v>2738</v>
      </c>
      <c r="BJ1752">
        <v>4.6809999999999997E-2</v>
      </c>
      <c r="BK1752">
        <v>1</v>
      </c>
      <c r="BL1752" t="s">
        <v>69</v>
      </c>
      <c r="BM1752">
        <v>-0.64100000000000001</v>
      </c>
      <c r="BN1752">
        <v>0.108</v>
      </c>
    </row>
    <row r="1753" spans="2:66">
      <c r="B1753">
        <v>3137</v>
      </c>
      <c r="C1753">
        <v>27</v>
      </c>
      <c r="D1753">
        <v>2</v>
      </c>
      <c r="E1753">
        <v>32</v>
      </c>
      <c r="F1753">
        <v>2</v>
      </c>
      <c r="J1753">
        <v>0</v>
      </c>
      <c r="K1753">
        <v>3</v>
      </c>
      <c r="L1753">
        <v>0</v>
      </c>
      <c r="M1753" t="s">
        <v>25022</v>
      </c>
      <c r="N1753">
        <v>404</v>
      </c>
      <c r="O1753" t="s">
        <v>2739</v>
      </c>
      <c r="P1753" t="s">
        <v>57</v>
      </c>
      <c r="Q1753">
        <v>449724</v>
      </c>
      <c r="R1753">
        <v>451157</v>
      </c>
      <c r="S1753" t="s">
        <v>2740</v>
      </c>
      <c r="T1753">
        <v>478</v>
      </c>
      <c r="U1753" t="s">
        <v>265</v>
      </c>
      <c r="V1753">
        <v>43</v>
      </c>
      <c r="W1753" t="str">
        <f>HYPERLINK("Gene404-zp_tree_all.dnd", "Gene404-tree")</f>
        <v>Gene404-tree</v>
      </c>
      <c r="X1753">
        <v>10</v>
      </c>
      <c r="Y1753">
        <v>7</v>
      </c>
      <c r="Z1753">
        <v>10</v>
      </c>
      <c r="AA1753">
        <v>7</v>
      </c>
      <c r="AB1753">
        <v>0.41176000000000001</v>
      </c>
      <c r="AC1753" t="s">
        <v>117</v>
      </c>
      <c r="AD1753" t="s">
        <v>152</v>
      </c>
      <c r="AE1753" t="s">
        <v>62</v>
      </c>
      <c r="AF1753" t="s">
        <v>62</v>
      </c>
      <c r="AG1753">
        <v>1</v>
      </c>
      <c r="AH1753">
        <v>3</v>
      </c>
      <c r="AI1753">
        <v>11</v>
      </c>
      <c r="AJ1753">
        <v>0.21429000000000001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2</v>
      </c>
      <c r="AQ1753">
        <v>0</v>
      </c>
      <c r="AR1753">
        <v>2</v>
      </c>
      <c r="AS1753">
        <v>9</v>
      </c>
      <c r="AT1753">
        <v>0.18182000000000001</v>
      </c>
      <c r="AU1753">
        <v>14</v>
      </c>
      <c r="AV1753">
        <v>13</v>
      </c>
      <c r="AW1753">
        <v>65</v>
      </c>
      <c r="AX1753">
        <v>11</v>
      </c>
      <c r="AY1753">
        <v>45</v>
      </c>
      <c r="AZ1753">
        <v>3</v>
      </c>
      <c r="BA1753" t="s">
        <v>2741</v>
      </c>
      <c r="BB1753" t="s">
        <v>2742</v>
      </c>
      <c r="BC1753">
        <v>0.36899999999999999</v>
      </c>
      <c r="BD1753" t="s">
        <v>65</v>
      </c>
      <c r="BE1753">
        <v>110</v>
      </c>
      <c r="BF1753">
        <v>14</v>
      </c>
      <c r="BG1753" t="s">
        <v>2743</v>
      </c>
      <c r="BH1753" t="s">
        <v>2744</v>
      </c>
      <c r="BI1753" t="s">
        <v>2745</v>
      </c>
      <c r="BJ1753">
        <v>3.7920000000000002E-2</v>
      </c>
      <c r="BK1753">
        <v>1</v>
      </c>
      <c r="BL1753" t="s">
        <v>69</v>
      </c>
      <c r="BM1753">
        <v>-1.1020000000000001</v>
      </c>
      <c r="BN1753">
        <v>-3.1840000000000002</v>
      </c>
    </row>
    <row r="1754" spans="2:66">
      <c r="B1754">
        <v>3138</v>
      </c>
      <c r="C1754">
        <v>67</v>
      </c>
      <c r="D1754">
        <v>2</v>
      </c>
      <c r="E1754">
        <v>8</v>
      </c>
      <c r="F1754">
        <v>4</v>
      </c>
      <c r="J1754">
        <v>0</v>
      </c>
      <c r="K1754">
        <v>0</v>
      </c>
      <c r="L1754">
        <v>2</v>
      </c>
      <c r="M1754" t="s">
        <v>25022</v>
      </c>
      <c r="N1754">
        <v>405</v>
      </c>
      <c r="O1754" t="s">
        <v>2746</v>
      </c>
      <c r="P1754" t="s">
        <v>57</v>
      </c>
      <c r="Q1754">
        <v>451185</v>
      </c>
      <c r="R1754">
        <v>451613</v>
      </c>
      <c r="S1754" t="s">
        <v>2747</v>
      </c>
      <c r="T1754">
        <v>143</v>
      </c>
      <c r="U1754" t="s">
        <v>2748</v>
      </c>
      <c r="V1754">
        <v>42</v>
      </c>
      <c r="W1754" t="str">
        <f>HYPERLINK("Gene405-zp_tree_all.dnd", "Gene405-tree")</f>
        <v>Gene405-tree</v>
      </c>
      <c r="X1754">
        <v>8</v>
      </c>
      <c r="Y1754">
        <v>4</v>
      </c>
      <c r="Z1754">
        <v>8</v>
      </c>
      <c r="AA1754">
        <v>4</v>
      </c>
      <c r="AB1754">
        <v>0.33333000000000002</v>
      </c>
      <c r="AC1754" t="s">
        <v>136</v>
      </c>
      <c r="AD1754" t="s">
        <v>61</v>
      </c>
      <c r="AE1754" t="s">
        <v>62</v>
      </c>
      <c r="AF1754" t="s">
        <v>62</v>
      </c>
      <c r="AG1754">
        <v>1</v>
      </c>
      <c r="AH1754">
        <v>2</v>
      </c>
      <c r="AI1754">
        <v>3</v>
      </c>
      <c r="AJ1754">
        <v>0.4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2</v>
      </c>
      <c r="AR1754">
        <v>2</v>
      </c>
      <c r="AS1754">
        <v>3</v>
      </c>
      <c r="AT1754">
        <v>0.4</v>
      </c>
      <c r="AU1754">
        <v>10</v>
      </c>
      <c r="AV1754">
        <v>7</v>
      </c>
      <c r="AW1754">
        <v>19</v>
      </c>
      <c r="AX1754">
        <v>5</v>
      </c>
      <c r="AY1754">
        <v>9</v>
      </c>
      <c r="AZ1754">
        <v>0</v>
      </c>
      <c r="BA1754" t="s">
        <v>2749</v>
      </c>
      <c r="BB1754" t="s">
        <v>193</v>
      </c>
      <c r="BC1754">
        <v>0.99299999999999999</v>
      </c>
      <c r="BD1754" t="s">
        <v>65</v>
      </c>
      <c r="BE1754">
        <v>28</v>
      </c>
      <c r="BF1754">
        <v>5</v>
      </c>
      <c r="BG1754" t="s">
        <v>2750</v>
      </c>
      <c r="BH1754" t="s">
        <v>2751</v>
      </c>
      <c r="BI1754" t="s">
        <v>2752</v>
      </c>
      <c r="BJ1754">
        <v>3.6839999999999998E-2</v>
      </c>
      <c r="BK1754">
        <v>1</v>
      </c>
      <c r="BL1754" t="s">
        <v>69</v>
      </c>
      <c r="BM1754">
        <v>-0.63700000000000001</v>
      </c>
      <c r="BN1754">
        <v>-0.59899999999999998</v>
      </c>
    </row>
    <row r="1755" spans="2:66">
      <c r="B1755">
        <v>3139</v>
      </c>
      <c r="C1755">
        <v>187</v>
      </c>
      <c r="D1755">
        <v>0</v>
      </c>
      <c r="E1755">
        <v>8</v>
      </c>
      <c r="F1755">
        <v>0</v>
      </c>
      <c r="J1755">
        <v>0</v>
      </c>
      <c r="K1755">
        <v>9</v>
      </c>
      <c r="L1755">
        <v>0</v>
      </c>
      <c r="M1755" t="s">
        <v>25022</v>
      </c>
      <c r="N1755">
        <v>406</v>
      </c>
      <c r="O1755" t="s">
        <v>2753</v>
      </c>
      <c r="P1755" t="s">
        <v>57</v>
      </c>
      <c r="Q1755">
        <v>451618</v>
      </c>
      <c r="R1755">
        <v>452736</v>
      </c>
      <c r="S1755" t="s">
        <v>2754</v>
      </c>
      <c r="T1755">
        <v>373</v>
      </c>
      <c r="U1755" t="s">
        <v>1392</v>
      </c>
      <c r="V1755">
        <v>43</v>
      </c>
      <c r="W1755" t="str">
        <f>HYPERLINK("Gene406-zp_tree_all.dnd", "Gene406-tree")</f>
        <v>Gene406-tree</v>
      </c>
      <c r="X1755">
        <v>5</v>
      </c>
      <c r="Y1755">
        <v>10</v>
      </c>
      <c r="Z1755">
        <v>5</v>
      </c>
      <c r="AA1755">
        <v>10</v>
      </c>
      <c r="AB1755">
        <v>0.66666999999999998</v>
      </c>
      <c r="AC1755" t="s">
        <v>199</v>
      </c>
      <c r="AD1755" t="s">
        <v>117</v>
      </c>
      <c r="AE1755" t="s">
        <v>62</v>
      </c>
      <c r="AF1755" t="s">
        <v>62</v>
      </c>
      <c r="AG1755">
        <v>4</v>
      </c>
      <c r="AH1755">
        <v>9</v>
      </c>
      <c r="AI1755">
        <v>12</v>
      </c>
      <c r="AJ1755">
        <v>0.42857000000000001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11</v>
      </c>
      <c r="AT1755">
        <v>0</v>
      </c>
      <c r="AU1755">
        <v>13</v>
      </c>
      <c r="AV1755">
        <v>11</v>
      </c>
      <c r="AW1755">
        <v>45</v>
      </c>
      <c r="AX1755">
        <v>9</v>
      </c>
      <c r="AY1755">
        <v>40</v>
      </c>
      <c r="AZ1755">
        <v>12</v>
      </c>
      <c r="BA1755" t="s">
        <v>2755</v>
      </c>
      <c r="BB1755" t="s">
        <v>2756</v>
      </c>
      <c r="BC1755">
        <v>0.97599999999999998</v>
      </c>
      <c r="BD1755" t="s">
        <v>65</v>
      </c>
      <c r="BE1755">
        <v>85</v>
      </c>
      <c r="BF1755">
        <v>21</v>
      </c>
      <c r="BG1755" t="s">
        <v>2757</v>
      </c>
      <c r="BH1755" t="s">
        <v>2758</v>
      </c>
      <c r="BI1755" t="s">
        <v>2759</v>
      </c>
      <c r="BJ1755">
        <v>7.6749999999999999E-2</v>
      </c>
      <c r="BK1755">
        <v>1</v>
      </c>
      <c r="BL1755" t="s">
        <v>69</v>
      </c>
      <c r="BM1755">
        <v>0.23699999999999999</v>
      </c>
      <c r="BN1755">
        <v>0.107</v>
      </c>
    </row>
    <row r="1756" spans="2:66">
      <c r="B1756">
        <v>3140</v>
      </c>
      <c r="C1756">
        <v>93</v>
      </c>
      <c r="D1756">
        <v>0</v>
      </c>
      <c r="E1756">
        <v>11</v>
      </c>
      <c r="F1756">
        <v>4</v>
      </c>
      <c r="J1756">
        <v>0</v>
      </c>
      <c r="K1756">
        <v>4</v>
      </c>
      <c r="L1756">
        <v>0</v>
      </c>
      <c r="M1756" t="s">
        <v>25022</v>
      </c>
      <c r="N1756">
        <v>407</v>
      </c>
      <c r="O1756" t="s">
        <v>2760</v>
      </c>
      <c r="P1756" t="s">
        <v>57</v>
      </c>
      <c r="Q1756">
        <v>452830</v>
      </c>
      <c r="R1756">
        <v>453891</v>
      </c>
      <c r="S1756" t="s">
        <v>2761</v>
      </c>
      <c r="T1756">
        <v>354</v>
      </c>
      <c r="U1756" t="s">
        <v>265</v>
      </c>
      <c r="V1756">
        <v>43</v>
      </c>
      <c r="W1756" t="str">
        <f>HYPERLINK("Gene407-zp_tree_all.dnd", "Gene407-tree")</f>
        <v>Gene407-tree</v>
      </c>
      <c r="X1756">
        <v>7</v>
      </c>
      <c r="Y1756">
        <v>9</v>
      </c>
      <c r="Z1756">
        <v>7</v>
      </c>
      <c r="AA1756">
        <v>9</v>
      </c>
      <c r="AB1756">
        <v>0.5625</v>
      </c>
      <c r="AC1756" t="s">
        <v>152</v>
      </c>
      <c r="AD1756" t="s">
        <v>135</v>
      </c>
      <c r="AE1756" t="s">
        <v>62</v>
      </c>
      <c r="AF1756" t="s">
        <v>62</v>
      </c>
      <c r="AG1756">
        <v>2</v>
      </c>
      <c r="AH1756">
        <v>4</v>
      </c>
      <c r="AI1756">
        <v>12</v>
      </c>
      <c r="AJ1756">
        <v>0.25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4</v>
      </c>
      <c r="AQ1756">
        <v>0</v>
      </c>
      <c r="AR1756">
        <v>4</v>
      </c>
      <c r="AS1756">
        <v>11</v>
      </c>
      <c r="AT1756">
        <v>0.26667000000000002</v>
      </c>
      <c r="AU1756">
        <v>15</v>
      </c>
      <c r="AV1756">
        <v>11</v>
      </c>
      <c r="AW1756">
        <v>41</v>
      </c>
      <c r="AX1756">
        <v>15</v>
      </c>
      <c r="AY1756">
        <v>17</v>
      </c>
      <c r="AZ1756">
        <v>1</v>
      </c>
      <c r="BA1756" t="s">
        <v>2762</v>
      </c>
      <c r="BB1756" t="s">
        <v>2763</v>
      </c>
      <c r="BC1756">
        <v>0.59799999999999998</v>
      </c>
      <c r="BD1756" t="s">
        <v>65</v>
      </c>
      <c r="BE1756">
        <v>58</v>
      </c>
      <c r="BF1756">
        <v>16</v>
      </c>
      <c r="BG1756" t="s">
        <v>2764</v>
      </c>
      <c r="BH1756" t="s">
        <v>2765</v>
      </c>
      <c r="BI1756" t="s">
        <v>2766</v>
      </c>
      <c r="BJ1756">
        <v>5.6759999999999998E-2</v>
      </c>
      <c r="BK1756">
        <v>1</v>
      </c>
      <c r="BL1756" t="s">
        <v>69</v>
      </c>
      <c r="BM1756">
        <v>-1.3440000000000001</v>
      </c>
      <c r="BN1756">
        <v>-3.1419999999999999</v>
      </c>
    </row>
    <row r="1757" spans="2:66">
      <c r="B1757">
        <v>3141</v>
      </c>
      <c r="C1757">
        <v>243</v>
      </c>
      <c r="D1757">
        <v>0</v>
      </c>
      <c r="E1757">
        <v>14</v>
      </c>
      <c r="F1757">
        <v>0</v>
      </c>
      <c r="J1757">
        <v>0</v>
      </c>
      <c r="K1757">
        <v>2</v>
      </c>
      <c r="L1757">
        <v>2</v>
      </c>
      <c r="M1757" t="s">
        <v>25022</v>
      </c>
      <c r="N1757">
        <v>408</v>
      </c>
      <c r="O1757" t="s">
        <v>2767</v>
      </c>
      <c r="P1757" t="s">
        <v>57</v>
      </c>
      <c r="Q1757">
        <v>454029</v>
      </c>
      <c r="R1757">
        <v>454589</v>
      </c>
      <c r="S1757" t="s">
        <v>2768</v>
      </c>
      <c r="T1757">
        <v>187</v>
      </c>
      <c r="U1757" t="s">
        <v>265</v>
      </c>
      <c r="V1757">
        <v>43</v>
      </c>
      <c r="W1757" t="str">
        <f>HYPERLINK("Gene408-zp_tree_all.dnd", "Gene408-tree")</f>
        <v>Gene408-tree</v>
      </c>
      <c r="X1757">
        <v>7</v>
      </c>
      <c r="Y1757">
        <v>5</v>
      </c>
      <c r="Z1757">
        <v>7</v>
      </c>
      <c r="AA1757">
        <v>5</v>
      </c>
      <c r="AB1757">
        <v>0.41666999999999998</v>
      </c>
      <c r="AC1757" t="s">
        <v>152</v>
      </c>
      <c r="AD1757" t="s">
        <v>199</v>
      </c>
      <c r="AE1757" t="s">
        <v>62</v>
      </c>
      <c r="AF1757" t="s">
        <v>62</v>
      </c>
      <c r="AG1757">
        <v>2</v>
      </c>
      <c r="AH1757">
        <v>4</v>
      </c>
      <c r="AI1757">
        <v>11</v>
      </c>
      <c r="AJ1757">
        <v>0.26667000000000002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9</v>
      </c>
      <c r="AT1757">
        <v>0</v>
      </c>
      <c r="AU1757">
        <v>9</v>
      </c>
      <c r="AV1757">
        <v>8</v>
      </c>
      <c r="AW1757">
        <v>11</v>
      </c>
      <c r="AX1757">
        <v>9</v>
      </c>
      <c r="AY1757">
        <v>11</v>
      </c>
      <c r="AZ1757">
        <v>7</v>
      </c>
      <c r="BA1757" t="s">
        <v>2769</v>
      </c>
      <c r="BB1757" t="s">
        <v>2770</v>
      </c>
      <c r="BC1757">
        <v>0.34899999999999998</v>
      </c>
      <c r="BD1757" t="s">
        <v>65</v>
      </c>
      <c r="BE1757">
        <v>22</v>
      </c>
      <c r="BF1757">
        <v>16</v>
      </c>
      <c r="BG1757" t="s">
        <v>2771</v>
      </c>
      <c r="BH1757" t="s">
        <v>2772</v>
      </c>
      <c r="BI1757" t="s">
        <v>2773</v>
      </c>
      <c r="BJ1757">
        <v>0.18367</v>
      </c>
      <c r="BK1757">
        <v>1</v>
      </c>
      <c r="BL1757" t="s">
        <v>69</v>
      </c>
      <c r="BM1757">
        <v>-0.57399999999999995</v>
      </c>
      <c r="BN1757">
        <v>-1.5880000000000001</v>
      </c>
    </row>
    <row r="1758" spans="2:66">
      <c r="B1758">
        <v>3142</v>
      </c>
      <c r="C1758">
        <v>11</v>
      </c>
      <c r="D1758">
        <v>0</v>
      </c>
      <c r="E1758">
        <v>22</v>
      </c>
      <c r="F1758">
        <v>0</v>
      </c>
      <c r="J1758">
        <v>0</v>
      </c>
      <c r="K1758">
        <v>0</v>
      </c>
      <c r="L1758">
        <v>0</v>
      </c>
      <c r="M1758" t="s">
        <v>25022</v>
      </c>
      <c r="N1758">
        <v>410</v>
      </c>
      <c r="O1758" t="s">
        <v>2781</v>
      </c>
      <c r="P1758" t="s">
        <v>57</v>
      </c>
      <c r="Q1758">
        <v>455346</v>
      </c>
      <c r="R1758">
        <v>455735</v>
      </c>
      <c r="S1758" t="s">
        <v>2782</v>
      </c>
      <c r="T1758">
        <v>130</v>
      </c>
      <c r="U1758" t="s">
        <v>108</v>
      </c>
      <c r="V1758">
        <v>44</v>
      </c>
      <c r="W1758" t="str">
        <f>HYPERLINK("Gene410-zp_tree_all.dnd", "Gene410-tree")</f>
        <v>Gene410-tree</v>
      </c>
      <c r="X1758">
        <v>27</v>
      </c>
      <c r="Y1758">
        <v>5</v>
      </c>
      <c r="Z1758">
        <v>5</v>
      </c>
      <c r="AA1758">
        <v>5</v>
      </c>
      <c r="AB1758">
        <v>0.5</v>
      </c>
      <c r="AC1758" t="s">
        <v>2783</v>
      </c>
      <c r="AD1758" t="s">
        <v>199</v>
      </c>
      <c r="AE1758" t="s">
        <v>62</v>
      </c>
      <c r="AF1758" t="s">
        <v>62</v>
      </c>
      <c r="AG1758">
        <v>0</v>
      </c>
      <c r="AH1758">
        <v>0</v>
      </c>
      <c r="AI1758">
        <v>9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8</v>
      </c>
      <c r="AT1758">
        <v>0</v>
      </c>
      <c r="AU1758">
        <v>7</v>
      </c>
      <c r="AV1758">
        <v>3</v>
      </c>
      <c r="AW1758">
        <v>6</v>
      </c>
      <c r="AX1758">
        <v>8</v>
      </c>
      <c r="AY1758">
        <v>3</v>
      </c>
      <c r="AZ1758">
        <v>1</v>
      </c>
      <c r="BA1758" t="s">
        <v>2784</v>
      </c>
      <c r="BB1758" t="s">
        <v>2785</v>
      </c>
      <c r="BC1758">
        <v>1.333</v>
      </c>
      <c r="BD1758" t="s">
        <v>65</v>
      </c>
      <c r="BE1758">
        <v>9</v>
      </c>
      <c r="BF1758">
        <v>9</v>
      </c>
      <c r="BG1758" t="s">
        <v>2786</v>
      </c>
      <c r="BH1758" t="s">
        <v>2787</v>
      </c>
      <c r="BI1758" t="s">
        <v>2788</v>
      </c>
      <c r="BJ1758">
        <v>0.27376</v>
      </c>
      <c r="BK1758">
        <v>0.99</v>
      </c>
      <c r="BL1758" t="s">
        <v>69</v>
      </c>
      <c r="BM1758">
        <v>-1.181</v>
      </c>
      <c r="BN1758">
        <v>-0.80700000000000005</v>
      </c>
    </row>
    <row r="1759" spans="2:66">
      <c r="B1759">
        <v>3144</v>
      </c>
      <c r="C1759">
        <v>104</v>
      </c>
      <c r="D1759">
        <v>0</v>
      </c>
      <c r="E1759">
        <v>5</v>
      </c>
      <c r="F1759">
        <v>0</v>
      </c>
      <c r="J1759">
        <v>0</v>
      </c>
      <c r="K1759">
        <v>0</v>
      </c>
      <c r="L1759">
        <v>0</v>
      </c>
      <c r="M1759" t="s">
        <v>25022</v>
      </c>
      <c r="N1759">
        <v>412</v>
      </c>
      <c r="O1759" t="s">
        <v>2794</v>
      </c>
      <c r="P1759" t="s">
        <v>57</v>
      </c>
      <c r="Q1759">
        <v>456068</v>
      </c>
      <c r="R1759">
        <v>456814</v>
      </c>
      <c r="S1759" t="s">
        <v>2795</v>
      </c>
      <c r="T1759">
        <v>249</v>
      </c>
      <c r="U1759" t="s">
        <v>108</v>
      </c>
      <c r="V1759">
        <v>44</v>
      </c>
      <c r="W1759" t="str">
        <f>HYPERLINK("Gene412-zp_tree_all.dnd", "Gene412-tree")</f>
        <v>Gene412-tree</v>
      </c>
      <c r="X1759">
        <v>29</v>
      </c>
      <c r="Y1759">
        <v>3</v>
      </c>
      <c r="Z1759">
        <v>9</v>
      </c>
      <c r="AA1759">
        <v>3</v>
      </c>
      <c r="AB1759">
        <v>0.25</v>
      </c>
      <c r="AC1759" t="s">
        <v>234</v>
      </c>
      <c r="AD1759" t="s">
        <v>324</v>
      </c>
      <c r="AE1759" t="s">
        <v>62</v>
      </c>
      <c r="AF1759" t="s">
        <v>62</v>
      </c>
      <c r="AG1759">
        <v>0</v>
      </c>
      <c r="AH1759">
        <v>0</v>
      </c>
      <c r="AI1759">
        <v>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3</v>
      </c>
      <c r="AT1759">
        <v>0</v>
      </c>
      <c r="AU1759">
        <v>8</v>
      </c>
      <c r="AV1759">
        <v>5</v>
      </c>
      <c r="AW1759">
        <v>11</v>
      </c>
      <c r="AX1759">
        <v>3</v>
      </c>
      <c r="AY1759">
        <v>14</v>
      </c>
      <c r="AZ1759">
        <v>2</v>
      </c>
      <c r="BA1759" t="s">
        <v>2796</v>
      </c>
      <c r="BB1759" t="s">
        <v>2797</v>
      </c>
      <c r="BC1759">
        <v>0.35599999999999998</v>
      </c>
      <c r="BD1759" t="s">
        <v>65</v>
      </c>
      <c r="BE1759">
        <v>25</v>
      </c>
      <c r="BF1759">
        <v>5</v>
      </c>
      <c r="BG1759" t="s">
        <v>2798</v>
      </c>
      <c r="BH1759" t="s">
        <v>2799</v>
      </c>
      <c r="BI1759" t="s">
        <v>2800</v>
      </c>
      <c r="BJ1759">
        <v>5.8099999999999999E-2</v>
      </c>
      <c r="BK1759">
        <v>1</v>
      </c>
      <c r="BL1759" t="s">
        <v>69</v>
      </c>
      <c r="BM1759">
        <v>-0.84099999999999997</v>
      </c>
      <c r="BN1759">
        <v>-0.60199999999999998</v>
      </c>
    </row>
    <row r="1760" spans="2:66">
      <c r="B1760">
        <v>3145</v>
      </c>
      <c r="C1760">
        <v>128</v>
      </c>
      <c r="D1760">
        <v>0</v>
      </c>
      <c r="E1760">
        <v>5</v>
      </c>
      <c r="F1760">
        <v>1</v>
      </c>
      <c r="J1760">
        <v>0</v>
      </c>
      <c r="K1760">
        <v>5</v>
      </c>
      <c r="L1760">
        <v>2</v>
      </c>
      <c r="M1760" t="s">
        <v>25022</v>
      </c>
      <c r="N1760">
        <v>413</v>
      </c>
      <c r="O1760" t="s">
        <v>2801</v>
      </c>
      <c r="P1760" t="s">
        <v>57</v>
      </c>
      <c r="Q1760">
        <v>457023</v>
      </c>
      <c r="R1760">
        <v>457793</v>
      </c>
      <c r="S1760" t="s">
        <v>2802</v>
      </c>
      <c r="T1760">
        <v>257</v>
      </c>
      <c r="U1760" t="s">
        <v>2803</v>
      </c>
      <c r="V1760">
        <v>45</v>
      </c>
      <c r="W1760" t="str">
        <f>HYPERLINK("Gene413-zp_tree_all.dnd", "Gene413-tree")</f>
        <v>Gene413-tree</v>
      </c>
      <c r="X1760">
        <v>5</v>
      </c>
      <c r="Y1760">
        <v>9</v>
      </c>
      <c r="Z1760">
        <v>5</v>
      </c>
      <c r="AA1760">
        <v>9</v>
      </c>
      <c r="AB1760">
        <v>0.64285999999999999</v>
      </c>
      <c r="AC1760" t="s">
        <v>199</v>
      </c>
      <c r="AD1760" t="s">
        <v>135</v>
      </c>
      <c r="AE1760" t="s">
        <v>62</v>
      </c>
      <c r="AF1760" t="s">
        <v>62</v>
      </c>
      <c r="AG1760">
        <v>2</v>
      </c>
      <c r="AH1760">
        <v>7</v>
      </c>
      <c r="AI1760">
        <v>14</v>
      </c>
      <c r="AJ1760">
        <v>0.33333000000000002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3</v>
      </c>
      <c r="AQ1760">
        <v>2</v>
      </c>
      <c r="AR1760">
        <v>5</v>
      </c>
      <c r="AS1760">
        <v>10</v>
      </c>
      <c r="AT1760">
        <v>0.33333000000000002</v>
      </c>
      <c r="AU1760">
        <v>12</v>
      </c>
      <c r="AV1760">
        <v>7</v>
      </c>
      <c r="AW1760">
        <v>46</v>
      </c>
      <c r="AX1760">
        <v>14</v>
      </c>
      <c r="AY1760">
        <v>13</v>
      </c>
      <c r="AZ1760">
        <v>7</v>
      </c>
      <c r="BA1760" t="s">
        <v>2804</v>
      </c>
      <c r="BB1760" t="s">
        <v>2805</v>
      </c>
      <c r="BC1760">
        <v>0.54</v>
      </c>
      <c r="BD1760" t="s">
        <v>65</v>
      </c>
      <c r="BE1760">
        <v>59</v>
      </c>
      <c r="BF1760">
        <v>21</v>
      </c>
      <c r="BG1760" t="s">
        <v>2806</v>
      </c>
      <c r="BH1760" t="s">
        <v>2807</v>
      </c>
      <c r="BI1760" t="s">
        <v>2808</v>
      </c>
      <c r="BJ1760">
        <v>0.12806000000000001</v>
      </c>
      <c r="BK1760">
        <v>1</v>
      </c>
      <c r="BL1760" t="s">
        <v>69</v>
      </c>
      <c r="BM1760">
        <v>-1.69</v>
      </c>
      <c r="BN1760">
        <v>-4.0970000000000004</v>
      </c>
    </row>
    <row r="1761" spans="2:66">
      <c r="B1761">
        <v>3147</v>
      </c>
      <c r="C1761">
        <v>591</v>
      </c>
      <c r="D1761">
        <v>0</v>
      </c>
      <c r="E1761">
        <v>20</v>
      </c>
      <c r="F1761">
        <v>4</v>
      </c>
      <c r="J1761">
        <v>0</v>
      </c>
      <c r="K1761">
        <v>2</v>
      </c>
      <c r="L1761">
        <v>0</v>
      </c>
      <c r="M1761" t="s">
        <v>25022</v>
      </c>
      <c r="N1761">
        <v>414</v>
      </c>
      <c r="O1761" t="s">
        <v>2809</v>
      </c>
      <c r="P1761" t="s">
        <v>57</v>
      </c>
      <c r="Q1761">
        <v>457811</v>
      </c>
      <c r="R1761">
        <v>459022</v>
      </c>
      <c r="S1761" t="s">
        <v>2810</v>
      </c>
      <c r="T1761">
        <v>404</v>
      </c>
      <c r="U1761" t="s">
        <v>108</v>
      </c>
      <c r="V1761">
        <v>44</v>
      </c>
      <c r="W1761" t="str">
        <f>HYPERLINK("Gene414-zp_tree_all.dnd", "Gene414-tree")</f>
        <v>Gene414-tree</v>
      </c>
      <c r="X1761">
        <v>13</v>
      </c>
      <c r="Y1761">
        <v>3</v>
      </c>
      <c r="Z1761">
        <v>13</v>
      </c>
      <c r="AA1761">
        <v>3</v>
      </c>
      <c r="AB1761">
        <v>0.1875</v>
      </c>
      <c r="AC1761" t="s">
        <v>507</v>
      </c>
      <c r="AD1761" t="s">
        <v>324</v>
      </c>
      <c r="AE1761" t="s">
        <v>62</v>
      </c>
      <c r="AF1761" t="s">
        <v>62</v>
      </c>
      <c r="AG1761">
        <v>1</v>
      </c>
      <c r="AH1761">
        <v>2</v>
      </c>
      <c r="AI1761">
        <v>4</v>
      </c>
      <c r="AJ1761">
        <v>0.33333000000000002</v>
      </c>
      <c r="AK1761">
        <v>0</v>
      </c>
      <c r="AL1761">
        <v>0</v>
      </c>
      <c r="AM1761">
        <v>0</v>
      </c>
      <c r="AN1761">
        <v>2</v>
      </c>
      <c r="AO1761">
        <v>0</v>
      </c>
      <c r="AP1761">
        <v>0</v>
      </c>
      <c r="AQ1761">
        <v>0</v>
      </c>
      <c r="AR1761">
        <v>0</v>
      </c>
      <c r="AS1761">
        <v>3</v>
      </c>
      <c r="AT1761">
        <v>0</v>
      </c>
      <c r="AU1761">
        <v>12</v>
      </c>
      <c r="AV1761">
        <v>11</v>
      </c>
      <c r="AW1761">
        <v>19</v>
      </c>
      <c r="AX1761">
        <v>3</v>
      </c>
      <c r="AY1761">
        <v>15</v>
      </c>
      <c r="AZ1761">
        <v>5</v>
      </c>
      <c r="BA1761" t="s">
        <v>2811</v>
      </c>
      <c r="BB1761" t="s">
        <v>2812</v>
      </c>
      <c r="BC1761">
        <v>0.437</v>
      </c>
      <c r="BD1761" t="s">
        <v>65</v>
      </c>
      <c r="BE1761">
        <v>34</v>
      </c>
      <c r="BF1761">
        <v>8</v>
      </c>
      <c r="BG1761" t="s">
        <v>2813</v>
      </c>
      <c r="BH1761" t="s">
        <v>2814</v>
      </c>
      <c r="BI1761" t="s">
        <v>2815</v>
      </c>
      <c r="BJ1761">
        <v>8.1900000000000001E-2</v>
      </c>
      <c r="BK1761">
        <v>1</v>
      </c>
      <c r="BL1761" t="s">
        <v>69</v>
      </c>
      <c r="BM1761">
        <v>-0.32900000000000001</v>
      </c>
      <c r="BN1761">
        <v>-1.5209999999999999</v>
      </c>
    </row>
    <row r="1762" spans="2:66">
      <c r="B1762">
        <v>3148</v>
      </c>
      <c r="C1762">
        <v>93</v>
      </c>
      <c r="D1762">
        <v>0</v>
      </c>
      <c r="E1762">
        <v>2</v>
      </c>
      <c r="F1762">
        <v>0</v>
      </c>
      <c r="J1762">
        <v>0</v>
      </c>
      <c r="K1762">
        <v>6</v>
      </c>
      <c r="L1762">
        <v>0</v>
      </c>
      <c r="M1762" t="s">
        <v>25022</v>
      </c>
      <c r="N1762">
        <v>415</v>
      </c>
      <c r="O1762" t="s">
        <v>2816</v>
      </c>
      <c r="P1762" t="s">
        <v>57</v>
      </c>
      <c r="Q1762">
        <v>459049</v>
      </c>
      <c r="R1762">
        <v>459819</v>
      </c>
      <c r="S1762" t="s">
        <v>2817</v>
      </c>
      <c r="T1762">
        <v>257</v>
      </c>
      <c r="U1762" t="s">
        <v>108</v>
      </c>
      <c r="V1762">
        <v>44</v>
      </c>
      <c r="W1762" t="str">
        <f>HYPERLINK("Gene415-zp_tree_all.dnd", "Gene415-tree")</f>
        <v>Gene415-tree</v>
      </c>
      <c r="X1762">
        <v>7</v>
      </c>
      <c r="Y1762">
        <v>8</v>
      </c>
      <c r="Z1762">
        <v>7</v>
      </c>
      <c r="AA1762">
        <v>8</v>
      </c>
      <c r="AB1762">
        <v>0.53332999999999997</v>
      </c>
      <c r="AC1762" t="s">
        <v>152</v>
      </c>
      <c r="AD1762" t="s">
        <v>136</v>
      </c>
      <c r="AE1762" t="s">
        <v>62</v>
      </c>
      <c r="AF1762" t="s">
        <v>62</v>
      </c>
      <c r="AG1762">
        <v>3</v>
      </c>
      <c r="AH1762">
        <v>6</v>
      </c>
      <c r="AI1762">
        <v>11</v>
      </c>
      <c r="AJ1762">
        <v>0.35293999999999998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4</v>
      </c>
      <c r="AQ1762">
        <v>0</v>
      </c>
      <c r="AR1762">
        <v>4</v>
      </c>
      <c r="AS1762">
        <v>12</v>
      </c>
      <c r="AT1762">
        <v>0.25</v>
      </c>
      <c r="AU1762">
        <v>12</v>
      </c>
      <c r="AV1762">
        <v>9</v>
      </c>
      <c r="AW1762">
        <v>22</v>
      </c>
      <c r="AX1762">
        <v>16</v>
      </c>
      <c r="AY1762">
        <v>18</v>
      </c>
      <c r="AZ1762">
        <v>1</v>
      </c>
      <c r="BA1762" t="s">
        <v>2818</v>
      </c>
      <c r="BB1762" t="s">
        <v>2819</v>
      </c>
      <c r="BC1762">
        <v>1.6220000000000001</v>
      </c>
      <c r="BD1762" t="s">
        <v>65</v>
      </c>
      <c r="BE1762">
        <v>40</v>
      </c>
      <c r="BF1762">
        <v>17</v>
      </c>
      <c r="BG1762" t="s">
        <v>2820</v>
      </c>
      <c r="BH1762" t="s">
        <v>2821</v>
      </c>
      <c r="BI1762" t="s">
        <v>2822</v>
      </c>
      <c r="BJ1762">
        <v>0.10705000000000001</v>
      </c>
      <c r="BK1762">
        <v>1</v>
      </c>
      <c r="BL1762" t="s">
        <v>69</v>
      </c>
      <c r="BM1762">
        <v>-1.3680000000000001</v>
      </c>
      <c r="BN1762">
        <v>-2.99</v>
      </c>
    </row>
    <row r="1763" spans="2:66">
      <c r="B1763">
        <v>3150</v>
      </c>
      <c r="C1763">
        <v>359</v>
      </c>
      <c r="D1763">
        <v>0</v>
      </c>
      <c r="E1763">
        <v>10</v>
      </c>
      <c r="F1763">
        <v>0</v>
      </c>
      <c r="J1763">
        <v>0</v>
      </c>
      <c r="K1763">
        <v>5</v>
      </c>
      <c r="L1763">
        <v>0</v>
      </c>
      <c r="M1763" t="s">
        <v>25022</v>
      </c>
      <c r="N1763">
        <v>416</v>
      </c>
      <c r="O1763" t="s">
        <v>2823</v>
      </c>
      <c r="P1763" t="s">
        <v>57</v>
      </c>
      <c r="Q1763">
        <v>459867</v>
      </c>
      <c r="R1763">
        <v>460586</v>
      </c>
      <c r="S1763" t="s">
        <v>2824</v>
      </c>
      <c r="T1763">
        <v>240</v>
      </c>
      <c r="U1763" t="s">
        <v>108</v>
      </c>
      <c r="V1763">
        <v>44</v>
      </c>
      <c r="W1763" t="str">
        <f>HYPERLINK("Gene416-zp_tree_all.dnd", "Gene416-tree")</f>
        <v>Gene416-tree</v>
      </c>
      <c r="X1763">
        <v>28</v>
      </c>
      <c r="Y1763">
        <v>8</v>
      </c>
      <c r="Z1763">
        <v>9</v>
      </c>
      <c r="AA1763">
        <v>8</v>
      </c>
      <c r="AB1763">
        <v>0.47059000000000001</v>
      </c>
      <c r="AC1763" t="s">
        <v>2825</v>
      </c>
      <c r="AD1763" t="s">
        <v>136</v>
      </c>
      <c r="AE1763" t="s">
        <v>62</v>
      </c>
      <c r="AF1763" t="s">
        <v>62</v>
      </c>
      <c r="AG1763">
        <v>2</v>
      </c>
      <c r="AH1763">
        <v>5</v>
      </c>
      <c r="AI1763">
        <v>9</v>
      </c>
      <c r="AJ1763">
        <v>0.35714000000000001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9</v>
      </c>
      <c r="AT1763">
        <v>0</v>
      </c>
      <c r="AU1763">
        <v>13</v>
      </c>
      <c r="AV1763">
        <v>12</v>
      </c>
      <c r="AW1763">
        <v>20</v>
      </c>
      <c r="AX1763">
        <v>9</v>
      </c>
      <c r="AY1763">
        <v>17</v>
      </c>
      <c r="AZ1763">
        <v>6</v>
      </c>
      <c r="BA1763" t="s">
        <v>2826</v>
      </c>
      <c r="BB1763" t="s">
        <v>2827</v>
      </c>
      <c r="BC1763">
        <v>0.29399999999999998</v>
      </c>
      <c r="BD1763" t="s">
        <v>65</v>
      </c>
      <c r="BE1763">
        <v>37</v>
      </c>
      <c r="BF1763">
        <v>15</v>
      </c>
      <c r="BG1763" t="s">
        <v>2828</v>
      </c>
      <c r="BH1763" t="s">
        <v>2829</v>
      </c>
      <c r="BI1763" t="s">
        <v>2830</v>
      </c>
      <c r="BJ1763">
        <v>0.13613</v>
      </c>
      <c r="BK1763">
        <v>1</v>
      </c>
      <c r="BL1763" t="s">
        <v>69</v>
      </c>
      <c r="BM1763">
        <v>-0.28000000000000003</v>
      </c>
      <c r="BN1763">
        <v>-0.98899999999999999</v>
      </c>
    </row>
    <row r="1764" spans="2:66">
      <c r="B1764">
        <v>3151</v>
      </c>
      <c r="C1764">
        <v>16</v>
      </c>
      <c r="D1764">
        <v>0</v>
      </c>
      <c r="E1764">
        <v>4</v>
      </c>
      <c r="F1764">
        <v>0</v>
      </c>
      <c r="J1764">
        <v>0</v>
      </c>
      <c r="K1764">
        <v>4</v>
      </c>
      <c r="L1764">
        <v>0</v>
      </c>
      <c r="M1764" t="s">
        <v>25022</v>
      </c>
      <c r="N1764">
        <v>417</v>
      </c>
      <c r="O1764" t="s">
        <v>2831</v>
      </c>
      <c r="P1764" t="s">
        <v>57</v>
      </c>
      <c r="Q1764">
        <v>460592</v>
      </c>
      <c r="R1764">
        <v>461596</v>
      </c>
      <c r="S1764" t="s">
        <v>2832</v>
      </c>
      <c r="T1764">
        <v>335</v>
      </c>
      <c r="U1764" t="s">
        <v>108</v>
      </c>
      <c r="V1764">
        <v>44</v>
      </c>
      <c r="W1764" t="str">
        <f>HYPERLINK("Gene417-zp_tree_all.dnd", "Gene417-tree")</f>
        <v>Gene417-tree</v>
      </c>
      <c r="X1764">
        <v>6</v>
      </c>
      <c r="Y1764">
        <v>7</v>
      </c>
      <c r="Z1764">
        <v>6</v>
      </c>
      <c r="AA1764">
        <v>7</v>
      </c>
      <c r="AB1764">
        <v>0.53846000000000005</v>
      </c>
      <c r="AC1764" t="s">
        <v>90</v>
      </c>
      <c r="AD1764" t="s">
        <v>152</v>
      </c>
      <c r="AE1764" t="s">
        <v>62</v>
      </c>
      <c r="AF1764" t="s">
        <v>62</v>
      </c>
      <c r="AG1764">
        <v>2</v>
      </c>
      <c r="AH1764">
        <v>4</v>
      </c>
      <c r="AI1764">
        <v>11</v>
      </c>
      <c r="AJ1764">
        <v>0.26667000000000002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4</v>
      </c>
      <c r="AQ1764">
        <v>0</v>
      </c>
      <c r="AR1764">
        <v>4</v>
      </c>
      <c r="AS1764">
        <v>10</v>
      </c>
      <c r="AT1764">
        <v>0.28571000000000002</v>
      </c>
      <c r="AU1764">
        <v>11</v>
      </c>
      <c r="AV1764">
        <v>6</v>
      </c>
      <c r="AW1764">
        <v>29</v>
      </c>
      <c r="AX1764">
        <v>14</v>
      </c>
      <c r="AY1764">
        <v>19</v>
      </c>
      <c r="AZ1764">
        <v>1</v>
      </c>
      <c r="BA1764" t="s">
        <v>2833</v>
      </c>
      <c r="BB1764" t="s">
        <v>2834</v>
      </c>
      <c r="BC1764">
        <v>1.522</v>
      </c>
      <c r="BD1764" t="s">
        <v>65</v>
      </c>
      <c r="BE1764">
        <v>48</v>
      </c>
      <c r="BF1764">
        <v>15</v>
      </c>
      <c r="BG1764" t="s">
        <v>2835</v>
      </c>
      <c r="BH1764" t="s">
        <v>2836</v>
      </c>
      <c r="BI1764" t="s">
        <v>2837</v>
      </c>
      <c r="BJ1764">
        <v>8.5050000000000001E-2</v>
      </c>
      <c r="BK1764">
        <v>1</v>
      </c>
      <c r="BL1764" t="s">
        <v>69</v>
      </c>
      <c r="BM1764">
        <v>-1.121</v>
      </c>
      <c r="BN1764">
        <v>-1.7030000000000001</v>
      </c>
    </row>
    <row r="1765" spans="2:66">
      <c r="B1765">
        <v>3152</v>
      </c>
      <c r="C1765">
        <v>381</v>
      </c>
      <c r="D1765">
        <v>0</v>
      </c>
      <c r="E1765">
        <v>16</v>
      </c>
      <c r="F1765">
        <v>4</v>
      </c>
      <c r="J1765">
        <v>0</v>
      </c>
      <c r="K1765">
        <v>0</v>
      </c>
      <c r="L1765">
        <v>0</v>
      </c>
      <c r="M1765" t="s">
        <v>25022</v>
      </c>
      <c r="N1765">
        <v>418</v>
      </c>
      <c r="O1765" t="s">
        <v>2838</v>
      </c>
      <c r="P1765" t="s">
        <v>57</v>
      </c>
      <c r="Q1765">
        <v>461615</v>
      </c>
      <c r="R1765">
        <v>462364</v>
      </c>
      <c r="S1765" t="s">
        <v>2839</v>
      </c>
      <c r="T1765">
        <v>250</v>
      </c>
      <c r="U1765" t="s">
        <v>108</v>
      </c>
      <c r="V1765">
        <v>44</v>
      </c>
      <c r="W1765" t="str">
        <f>HYPERLINK("Gene418-zp_tree_all.dnd", "Gene418-tree")</f>
        <v>Gene418-tree</v>
      </c>
      <c r="X1765">
        <v>30</v>
      </c>
      <c r="Y1765">
        <v>3</v>
      </c>
      <c r="Z1765">
        <v>9</v>
      </c>
      <c r="AA1765">
        <v>3</v>
      </c>
      <c r="AB1765">
        <v>0.25</v>
      </c>
      <c r="AC1765" t="s">
        <v>2142</v>
      </c>
      <c r="AD1765" t="s">
        <v>324</v>
      </c>
      <c r="AE1765" t="s">
        <v>62</v>
      </c>
      <c r="AF1765" t="s">
        <v>62</v>
      </c>
      <c r="AG1765">
        <v>0</v>
      </c>
      <c r="AH1765">
        <v>0</v>
      </c>
      <c r="AI1765">
        <v>6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4</v>
      </c>
      <c r="AT1765">
        <v>0</v>
      </c>
      <c r="AU1765">
        <v>11</v>
      </c>
      <c r="AV1765">
        <v>6</v>
      </c>
      <c r="AW1765">
        <v>20</v>
      </c>
      <c r="AX1765">
        <v>4</v>
      </c>
      <c r="AY1765">
        <v>10</v>
      </c>
      <c r="AZ1765">
        <v>2</v>
      </c>
      <c r="BA1765" t="s">
        <v>2840</v>
      </c>
      <c r="BB1765" t="s">
        <v>2841</v>
      </c>
      <c r="BC1765">
        <v>1E-3</v>
      </c>
      <c r="BD1765" t="s">
        <v>65</v>
      </c>
      <c r="BE1765">
        <v>30</v>
      </c>
      <c r="BF1765">
        <v>6</v>
      </c>
      <c r="BG1765" t="s">
        <v>2842</v>
      </c>
      <c r="BH1765" t="s">
        <v>2843</v>
      </c>
      <c r="BI1765" t="s">
        <v>2844</v>
      </c>
      <c r="BJ1765">
        <v>7.8609999999999999E-2</v>
      </c>
      <c r="BK1765">
        <v>1</v>
      </c>
      <c r="BL1765" t="s">
        <v>69</v>
      </c>
      <c r="BM1765">
        <v>-1.417</v>
      </c>
      <c r="BN1765">
        <v>-1.627</v>
      </c>
    </row>
    <row r="1766" spans="2:66">
      <c r="B1766">
        <v>3154</v>
      </c>
      <c r="C1766">
        <v>210</v>
      </c>
      <c r="D1766">
        <v>0</v>
      </c>
      <c r="E1766">
        <v>0</v>
      </c>
      <c r="F1766">
        <v>4</v>
      </c>
      <c r="J1766">
        <v>0</v>
      </c>
      <c r="K1766">
        <v>4</v>
      </c>
      <c r="L1766">
        <v>0</v>
      </c>
      <c r="M1766" t="s">
        <v>25022</v>
      </c>
      <c r="N1766">
        <v>419</v>
      </c>
      <c r="O1766" t="s">
        <v>2845</v>
      </c>
      <c r="P1766" t="s">
        <v>57</v>
      </c>
      <c r="Q1766">
        <v>462431</v>
      </c>
      <c r="R1766">
        <v>463069</v>
      </c>
      <c r="S1766" t="s">
        <v>2846</v>
      </c>
      <c r="T1766">
        <v>213</v>
      </c>
      <c r="U1766" t="s">
        <v>108</v>
      </c>
      <c r="V1766">
        <v>44</v>
      </c>
      <c r="W1766" t="str">
        <f>HYPERLINK("Gene419-zp_tree_all.dnd", "Gene419-tree")</f>
        <v>Gene419-tree</v>
      </c>
      <c r="X1766">
        <v>22</v>
      </c>
      <c r="Y1766">
        <v>10</v>
      </c>
      <c r="Z1766">
        <v>2</v>
      </c>
      <c r="AA1766">
        <v>10</v>
      </c>
      <c r="AB1766">
        <v>0.83333000000000002</v>
      </c>
      <c r="AC1766" t="s">
        <v>2847</v>
      </c>
      <c r="AD1766" t="s">
        <v>117</v>
      </c>
      <c r="AE1766" t="s">
        <v>62</v>
      </c>
      <c r="AF1766" t="s">
        <v>62</v>
      </c>
      <c r="AG1766">
        <v>2</v>
      </c>
      <c r="AH1766">
        <v>4</v>
      </c>
      <c r="AI1766">
        <v>13</v>
      </c>
      <c r="AJ1766">
        <v>0.23529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13</v>
      </c>
      <c r="AT1766">
        <v>0</v>
      </c>
      <c r="AU1766">
        <v>9</v>
      </c>
      <c r="AV1766">
        <v>4</v>
      </c>
      <c r="AW1766">
        <v>13</v>
      </c>
      <c r="AX1766">
        <v>11</v>
      </c>
      <c r="AY1766">
        <v>12</v>
      </c>
      <c r="AZ1766">
        <v>7</v>
      </c>
      <c r="BA1766" t="s">
        <v>2848</v>
      </c>
      <c r="BB1766" t="s">
        <v>2849</v>
      </c>
      <c r="BC1766">
        <v>0.434</v>
      </c>
      <c r="BD1766" t="s">
        <v>65</v>
      </c>
      <c r="BE1766">
        <v>25</v>
      </c>
      <c r="BF1766">
        <v>18</v>
      </c>
      <c r="BG1766" t="s">
        <v>2850</v>
      </c>
      <c r="BH1766" t="s">
        <v>2851</v>
      </c>
      <c r="BI1766" t="s">
        <v>2852</v>
      </c>
      <c r="BJ1766">
        <v>0.17799000000000001</v>
      </c>
      <c r="BK1766">
        <v>1</v>
      </c>
      <c r="BL1766" t="s">
        <v>69</v>
      </c>
      <c r="BM1766">
        <v>-0.72499999999999998</v>
      </c>
      <c r="BN1766">
        <v>-1.9219999999999999</v>
      </c>
    </row>
    <row r="1767" spans="2:66">
      <c r="B1767">
        <v>3155</v>
      </c>
      <c r="C1767">
        <v>66</v>
      </c>
      <c r="D1767">
        <v>0</v>
      </c>
      <c r="E1767">
        <v>9</v>
      </c>
      <c r="F1767">
        <v>3</v>
      </c>
      <c r="J1767">
        <v>0</v>
      </c>
      <c r="K1767">
        <v>0</v>
      </c>
      <c r="L1767">
        <v>0</v>
      </c>
      <c r="M1767" t="s">
        <v>25022</v>
      </c>
      <c r="N1767">
        <v>420</v>
      </c>
      <c r="O1767" t="s">
        <v>2853</v>
      </c>
      <c r="P1767" t="s">
        <v>57</v>
      </c>
      <c r="Q1767">
        <v>463245</v>
      </c>
      <c r="R1767">
        <v>463487</v>
      </c>
      <c r="S1767" t="s">
        <v>116</v>
      </c>
      <c r="T1767">
        <v>81</v>
      </c>
      <c r="U1767" t="s">
        <v>125</v>
      </c>
      <c r="V1767">
        <v>48</v>
      </c>
      <c r="W1767" t="str">
        <f>HYPERLINK("Gene420-zp_tree_all.dnd", "Gene420-tree")</f>
        <v>Gene420-tree</v>
      </c>
      <c r="X1767">
        <v>31</v>
      </c>
      <c r="Y1767">
        <v>1</v>
      </c>
      <c r="Z1767">
        <v>10</v>
      </c>
      <c r="AA1767">
        <v>1</v>
      </c>
      <c r="AB1767">
        <v>9.0910000000000005E-2</v>
      </c>
      <c r="AC1767" t="s">
        <v>2854</v>
      </c>
      <c r="AD1767" t="s">
        <v>175</v>
      </c>
      <c r="AE1767" t="s">
        <v>62</v>
      </c>
      <c r="AF1767" t="s">
        <v>62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</v>
      </c>
      <c r="AT1767">
        <v>0</v>
      </c>
      <c r="AU1767">
        <v>7</v>
      </c>
      <c r="AV1767">
        <v>4</v>
      </c>
      <c r="AW1767">
        <v>8</v>
      </c>
      <c r="AX1767">
        <v>2</v>
      </c>
      <c r="AY1767">
        <v>10</v>
      </c>
      <c r="AZ1767">
        <v>0</v>
      </c>
      <c r="BA1767" t="s">
        <v>2855</v>
      </c>
      <c r="BB1767" t="s">
        <v>193</v>
      </c>
      <c r="BC1767">
        <v>0.434</v>
      </c>
      <c r="BD1767" t="s">
        <v>65</v>
      </c>
      <c r="BE1767">
        <v>18</v>
      </c>
      <c r="BF1767">
        <v>2</v>
      </c>
      <c r="BG1767" t="s">
        <v>2856</v>
      </c>
      <c r="BH1767" t="s">
        <v>2857</v>
      </c>
      <c r="BI1767" t="s">
        <v>2858</v>
      </c>
      <c r="BJ1767">
        <v>1.8620000000000001E-2</v>
      </c>
      <c r="BK1767">
        <v>1</v>
      </c>
      <c r="BL1767" t="s">
        <v>69</v>
      </c>
      <c r="BM1767">
        <v>-0.61899999999999999</v>
      </c>
      <c r="BN1767">
        <v>0.84899999999999998</v>
      </c>
    </row>
    <row r="1768" spans="2:66">
      <c r="B1768">
        <v>3156</v>
      </c>
      <c r="C1768">
        <v>384</v>
      </c>
      <c r="D1768">
        <v>0</v>
      </c>
      <c r="E1768">
        <v>7</v>
      </c>
      <c r="F1768">
        <v>0</v>
      </c>
      <c r="J1768">
        <v>0</v>
      </c>
      <c r="K1768">
        <v>6</v>
      </c>
      <c r="L1768">
        <v>0</v>
      </c>
      <c r="M1768" t="s">
        <v>25022</v>
      </c>
      <c r="N1768">
        <v>422</v>
      </c>
      <c r="O1768" t="s">
        <v>2866</v>
      </c>
      <c r="P1768" t="s">
        <v>57</v>
      </c>
      <c r="Q1768">
        <v>463934</v>
      </c>
      <c r="R1768">
        <v>465937</v>
      </c>
      <c r="S1768" t="s">
        <v>2867</v>
      </c>
      <c r="T1768">
        <v>668</v>
      </c>
      <c r="U1768" t="s">
        <v>108</v>
      </c>
      <c r="V1768">
        <v>44</v>
      </c>
      <c r="W1768" t="str">
        <f>HYPERLINK("Gene422-zp_tree_all.dnd", "Gene422-tree")</f>
        <v>Gene422-tree</v>
      </c>
      <c r="X1768">
        <v>5</v>
      </c>
      <c r="Y1768">
        <v>11</v>
      </c>
      <c r="Z1768">
        <v>5</v>
      </c>
      <c r="AA1768">
        <v>11</v>
      </c>
      <c r="AB1768">
        <v>0.6875</v>
      </c>
      <c r="AC1768" t="s">
        <v>199</v>
      </c>
      <c r="AD1768" t="s">
        <v>73</v>
      </c>
      <c r="AE1768">
        <v>137353515.63499999</v>
      </c>
      <c r="AF1768" t="s">
        <v>267</v>
      </c>
      <c r="AG1768">
        <v>2</v>
      </c>
      <c r="AH1768">
        <v>6</v>
      </c>
      <c r="AI1768">
        <v>18</v>
      </c>
      <c r="AJ1768">
        <v>0.25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4</v>
      </c>
      <c r="AQ1768">
        <v>0</v>
      </c>
      <c r="AR1768">
        <v>4</v>
      </c>
      <c r="AS1768">
        <v>12</v>
      </c>
      <c r="AT1768">
        <v>0.25</v>
      </c>
      <c r="AU1768">
        <v>14</v>
      </c>
      <c r="AV1768">
        <v>11</v>
      </c>
      <c r="AW1768">
        <v>51</v>
      </c>
      <c r="AX1768">
        <v>15</v>
      </c>
      <c r="AY1768">
        <v>34</v>
      </c>
      <c r="AZ1768">
        <v>9</v>
      </c>
      <c r="BA1768" t="s">
        <v>2868</v>
      </c>
      <c r="BB1768" t="s">
        <v>2869</v>
      </c>
      <c r="BC1768">
        <v>7.1999999999999995E-2</v>
      </c>
      <c r="BD1768" t="s">
        <v>65</v>
      </c>
      <c r="BE1768">
        <v>85</v>
      </c>
      <c r="BF1768">
        <v>24</v>
      </c>
      <c r="BG1768" t="s">
        <v>2870</v>
      </c>
      <c r="BH1768" t="s">
        <v>2871</v>
      </c>
      <c r="BI1768" t="s">
        <v>2872</v>
      </c>
      <c r="BJ1768">
        <v>9.1689999999999994E-2</v>
      </c>
      <c r="BK1768">
        <v>1</v>
      </c>
      <c r="BL1768" t="s">
        <v>69</v>
      </c>
      <c r="BM1768">
        <v>-1.1930000000000001</v>
      </c>
      <c r="BN1768">
        <v>-2.9409999999999998</v>
      </c>
    </row>
    <row r="1769" spans="2:66">
      <c r="B1769">
        <v>3158</v>
      </c>
      <c r="C1769">
        <v>191</v>
      </c>
      <c r="D1769">
        <v>0</v>
      </c>
      <c r="E1769">
        <v>17</v>
      </c>
      <c r="F1769">
        <v>2</v>
      </c>
      <c r="J1769">
        <v>0</v>
      </c>
      <c r="K1769">
        <v>16</v>
      </c>
      <c r="L1769">
        <v>0</v>
      </c>
      <c r="M1769" t="s">
        <v>25022</v>
      </c>
      <c r="N1769">
        <v>423</v>
      </c>
      <c r="O1769" t="s">
        <v>2873</v>
      </c>
      <c r="P1769" t="s">
        <v>57</v>
      </c>
      <c r="Q1769">
        <v>466042</v>
      </c>
      <c r="R1769">
        <v>466941</v>
      </c>
      <c r="S1769" t="s">
        <v>1940</v>
      </c>
      <c r="T1769">
        <v>300</v>
      </c>
      <c r="U1769" t="s">
        <v>108</v>
      </c>
      <c r="V1769">
        <v>44</v>
      </c>
      <c r="W1769" t="str">
        <f>HYPERLINK("Gene423-zp_tree_all.dnd", "Gene423-tree")</f>
        <v>Gene423-tree</v>
      </c>
      <c r="X1769">
        <v>5</v>
      </c>
      <c r="Y1769">
        <v>8</v>
      </c>
      <c r="Z1769">
        <v>5</v>
      </c>
      <c r="AA1769">
        <v>8</v>
      </c>
      <c r="AB1769">
        <v>0.61538000000000004</v>
      </c>
      <c r="AC1769" t="s">
        <v>199</v>
      </c>
      <c r="AD1769" t="s">
        <v>136</v>
      </c>
      <c r="AE1769" t="s">
        <v>62</v>
      </c>
      <c r="AF1769" t="s">
        <v>62</v>
      </c>
      <c r="AG1769">
        <v>6</v>
      </c>
      <c r="AH1769">
        <v>16</v>
      </c>
      <c r="AI1769">
        <v>12</v>
      </c>
      <c r="AJ1769">
        <v>0.57142999999999999</v>
      </c>
      <c r="AK1769">
        <v>0</v>
      </c>
      <c r="AL1769">
        <v>0</v>
      </c>
      <c r="AM1769">
        <v>0</v>
      </c>
      <c r="AN1769">
        <v>3</v>
      </c>
      <c r="AO1769">
        <v>0</v>
      </c>
      <c r="AP1769">
        <v>4</v>
      </c>
      <c r="AQ1769">
        <v>0</v>
      </c>
      <c r="AR1769">
        <v>4</v>
      </c>
      <c r="AS1769">
        <v>14</v>
      </c>
      <c r="AT1769">
        <v>0.22222</v>
      </c>
      <c r="AU1769">
        <v>12</v>
      </c>
      <c r="AV1769">
        <v>9</v>
      </c>
      <c r="AW1769">
        <v>49</v>
      </c>
      <c r="AX1769">
        <v>18</v>
      </c>
      <c r="AY1769">
        <v>27</v>
      </c>
      <c r="AZ1769">
        <v>12</v>
      </c>
      <c r="BA1769" t="s">
        <v>2874</v>
      </c>
      <c r="BB1769" t="s">
        <v>2875</v>
      </c>
      <c r="BC1769">
        <v>0.34200000000000003</v>
      </c>
      <c r="BD1769" t="s">
        <v>65</v>
      </c>
      <c r="BE1769">
        <v>76</v>
      </c>
      <c r="BF1769">
        <v>30</v>
      </c>
      <c r="BG1769" t="s">
        <v>2876</v>
      </c>
      <c r="BH1769" t="s">
        <v>2877</v>
      </c>
      <c r="BI1769" t="s">
        <v>2878</v>
      </c>
      <c r="BJ1769">
        <v>0.11179</v>
      </c>
      <c r="BK1769">
        <v>1</v>
      </c>
      <c r="BL1769" t="s">
        <v>69</v>
      </c>
      <c r="BM1769">
        <v>-0.27800000000000002</v>
      </c>
      <c r="BN1769">
        <v>-1.823</v>
      </c>
    </row>
    <row r="1770" spans="2:66">
      <c r="B1770">
        <v>3159</v>
      </c>
      <c r="C1770">
        <v>271</v>
      </c>
      <c r="D1770">
        <v>0</v>
      </c>
      <c r="E1770">
        <v>2</v>
      </c>
      <c r="F1770">
        <v>0</v>
      </c>
      <c r="J1770">
        <v>0</v>
      </c>
      <c r="K1770">
        <v>19</v>
      </c>
      <c r="L1770">
        <v>4</v>
      </c>
      <c r="M1770" t="s">
        <v>25022</v>
      </c>
      <c r="N1770">
        <v>424</v>
      </c>
      <c r="O1770" t="s">
        <v>2879</v>
      </c>
      <c r="P1770" t="s">
        <v>57</v>
      </c>
      <c r="Q1770">
        <v>467130</v>
      </c>
      <c r="R1770">
        <v>469211</v>
      </c>
      <c r="S1770" t="s">
        <v>2880</v>
      </c>
      <c r="T1770">
        <v>694</v>
      </c>
      <c r="U1770" t="s">
        <v>108</v>
      </c>
      <c r="V1770">
        <v>44</v>
      </c>
      <c r="W1770" t="str">
        <f>HYPERLINK("Gene424-zp_tree_all.dnd", "Gene424-tree")</f>
        <v>Gene424-tree</v>
      </c>
      <c r="X1770">
        <v>1</v>
      </c>
      <c r="Y1770">
        <v>15</v>
      </c>
      <c r="Z1770">
        <v>1</v>
      </c>
      <c r="AA1770">
        <v>15</v>
      </c>
      <c r="AB1770">
        <v>0.9375</v>
      </c>
      <c r="AC1770" t="s">
        <v>175</v>
      </c>
      <c r="AD1770" t="s">
        <v>100</v>
      </c>
      <c r="AE1770" t="s">
        <v>62</v>
      </c>
      <c r="AF1770" t="s">
        <v>62</v>
      </c>
      <c r="AG1770">
        <v>8</v>
      </c>
      <c r="AH1770">
        <v>23</v>
      </c>
      <c r="AI1770">
        <v>20</v>
      </c>
      <c r="AJ1770">
        <v>0.53488000000000002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11</v>
      </c>
      <c r="AQ1770">
        <v>1</v>
      </c>
      <c r="AR1770">
        <v>12</v>
      </c>
      <c r="AS1770">
        <v>17</v>
      </c>
      <c r="AT1770">
        <v>0.41378999999999999</v>
      </c>
      <c r="AU1770">
        <v>14</v>
      </c>
      <c r="AV1770">
        <v>11</v>
      </c>
      <c r="AW1770">
        <v>71</v>
      </c>
      <c r="AX1770">
        <v>23</v>
      </c>
      <c r="AY1770">
        <v>30</v>
      </c>
      <c r="AZ1770">
        <v>20</v>
      </c>
      <c r="BA1770" t="s">
        <v>2881</v>
      </c>
      <c r="BB1770" t="s">
        <v>2882</v>
      </c>
      <c r="BC1770">
        <v>0.78</v>
      </c>
      <c r="BD1770" t="s">
        <v>65</v>
      </c>
      <c r="BE1770">
        <v>101</v>
      </c>
      <c r="BF1770">
        <v>43</v>
      </c>
      <c r="BG1770" t="s">
        <v>2883</v>
      </c>
      <c r="BH1770" t="s">
        <v>2884</v>
      </c>
      <c r="BI1770" t="s">
        <v>2885</v>
      </c>
      <c r="BJ1770">
        <v>0.12858</v>
      </c>
      <c r="BK1770">
        <v>1</v>
      </c>
      <c r="BL1770" t="s">
        <v>69</v>
      </c>
      <c r="BM1770">
        <v>-0.67400000000000004</v>
      </c>
      <c r="BN1770">
        <v>-1.5129999999999999</v>
      </c>
    </row>
    <row r="1771" spans="2:66">
      <c r="B1771">
        <v>3160</v>
      </c>
      <c r="C1771">
        <v>204</v>
      </c>
      <c r="D1771">
        <v>0</v>
      </c>
      <c r="E1771">
        <v>3</v>
      </c>
      <c r="F1771">
        <v>2</v>
      </c>
      <c r="J1771">
        <v>0</v>
      </c>
      <c r="K1771">
        <v>12</v>
      </c>
      <c r="L1771">
        <v>2</v>
      </c>
      <c r="M1771" t="s">
        <v>25022</v>
      </c>
      <c r="N1771">
        <v>425</v>
      </c>
      <c r="O1771" t="s">
        <v>2886</v>
      </c>
      <c r="P1771" t="s">
        <v>57</v>
      </c>
      <c r="Q1771">
        <v>469426</v>
      </c>
      <c r="R1771">
        <v>470934</v>
      </c>
      <c r="S1771" t="s">
        <v>2887</v>
      </c>
      <c r="T1771">
        <v>503</v>
      </c>
      <c r="U1771" t="s">
        <v>108</v>
      </c>
      <c r="V1771">
        <v>44</v>
      </c>
      <c r="W1771" t="str">
        <f>HYPERLINK("Gene425-zp_tree_all.dnd", "Gene425-tree")</f>
        <v>Gene425-tree</v>
      </c>
      <c r="X1771">
        <v>5</v>
      </c>
      <c r="Y1771">
        <v>28</v>
      </c>
      <c r="Z1771">
        <v>5</v>
      </c>
      <c r="AA1771">
        <v>9</v>
      </c>
      <c r="AB1771">
        <v>0.64285999999999999</v>
      </c>
      <c r="AC1771" t="s">
        <v>199</v>
      </c>
      <c r="AD1771" t="s">
        <v>2825</v>
      </c>
      <c r="AE1771">
        <v>2.7650000000000001</v>
      </c>
      <c r="AF1771" t="s">
        <v>65</v>
      </c>
      <c r="AG1771">
        <v>6</v>
      </c>
      <c r="AH1771">
        <v>14</v>
      </c>
      <c r="AI1771">
        <v>16</v>
      </c>
      <c r="AJ1771">
        <v>0.46666999999999997</v>
      </c>
      <c r="AK1771">
        <v>0</v>
      </c>
      <c r="AL1771">
        <v>0</v>
      </c>
      <c r="AM1771">
        <v>0</v>
      </c>
      <c r="AN1771">
        <v>7</v>
      </c>
      <c r="AO1771">
        <v>0</v>
      </c>
      <c r="AP1771">
        <v>2</v>
      </c>
      <c r="AQ1771">
        <v>2</v>
      </c>
      <c r="AR1771">
        <v>4</v>
      </c>
      <c r="AS1771">
        <v>13</v>
      </c>
      <c r="AT1771">
        <v>0.23529</v>
      </c>
      <c r="AU1771">
        <v>11</v>
      </c>
      <c r="AV1771">
        <v>11</v>
      </c>
      <c r="AW1771">
        <v>29</v>
      </c>
      <c r="AX1771">
        <v>17</v>
      </c>
      <c r="AY1771">
        <v>56</v>
      </c>
      <c r="AZ1771">
        <v>15</v>
      </c>
      <c r="BA1771" t="s">
        <v>2888</v>
      </c>
      <c r="BB1771" t="s">
        <v>2889</v>
      </c>
      <c r="BC1771">
        <v>0.85</v>
      </c>
      <c r="BD1771" t="s">
        <v>65</v>
      </c>
      <c r="BE1771">
        <v>85</v>
      </c>
      <c r="BF1771">
        <v>32</v>
      </c>
      <c r="BG1771" t="s">
        <v>2890</v>
      </c>
      <c r="BH1771" t="s">
        <v>2891</v>
      </c>
      <c r="BI1771" t="s">
        <v>2892</v>
      </c>
      <c r="BJ1771">
        <v>0.1011</v>
      </c>
      <c r="BK1771">
        <v>1</v>
      </c>
      <c r="BL1771" t="s">
        <v>69</v>
      </c>
      <c r="BM1771">
        <v>-0.443</v>
      </c>
      <c r="BN1771">
        <v>-0.51</v>
      </c>
    </row>
    <row r="1772" spans="2:66">
      <c r="B1772">
        <v>3161</v>
      </c>
      <c r="C1772">
        <v>127</v>
      </c>
      <c r="D1772">
        <v>0</v>
      </c>
      <c r="E1772">
        <v>8</v>
      </c>
      <c r="F1772">
        <v>4</v>
      </c>
      <c r="J1772">
        <v>0</v>
      </c>
      <c r="K1772">
        <v>2</v>
      </c>
      <c r="L1772">
        <v>0</v>
      </c>
      <c r="M1772" t="s">
        <v>25022</v>
      </c>
      <c r="N1772">
        <v>427</v>
      </c>
      <c r="O1772" t="s">
        <v>2899</v>
      </c>
      <c r="P1772" t="s">
        <v>57</v>
      </c>
      <c r="Q1772">
        <v>471709</v>
      </c>
      <c r="R1772">
        <v>472566</v>
      </c>
      <c r="S1772" t="s">
        <v>2900</v>
      </c>
      <c r="T1772">
        <v>286</v>
      </c>
      <c r="U1772" t="s">
        <v>108</v>
      </c>
      <c r="V1772">
        <v>44</v>
      </c>
      <c r="W1772" t="str">
        <f>HYPERLINK("Gene427-zp_tree_all.dnd", "Gene427-tree")</f>
        <v>Gene427-tree</v>
      </c>
      <c r="X1772">
        <v>9</v>
      </c>
      <c r="Y1772">
        <v>6</v>
      </c>
      <c r="Z1772">
        <v>9</v>
      </c>
      <c r="AA1772">
        <v>6</v>
      </c>
      <c r="AB1772">
        <v>0.4</v>
      </c>
      <c r="AC1772" t="s">
        <v>135</v>
      </c>
      <c r="AD1772" t="s">
        <v>90</v>
      </c>
      <c r="AE1772" t="s">
        <v>62</v>
      </c>
      <c r="AF1772" t="s">
        <v>62</v>
      </c>
      <c r="AG1772">
        <v>1</v>
      </c>
      <c r="AH1772">
        <v>2</v>
      </c>
      <c r="AI1772">
        <v>6</v>
      </c>
      <c r="AJ1772">
        <v>0.25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5</v>
      </c>
      <c r="AT1772">
        <v>0</v>
      </c>
      <c r="AU1772">
        <v>13</v>
      </c>
      <c r="AV1772">
        <v>10</v>
      </c>
      <c r="AW1772">
        <v>24</v>
      </c>
      <c r="AX1772">
        <v>5</v>
      </c>
      <c r="AY1772">
        <v>21</v>
      </c>
      <c r="AZ1772">
        <v>3</v>
      </c>
      <c r="BA1772" t="s">
        <v>2901</v>
      </c>
      <c r="BB1772" t="s">
        <v>2902</v>
      </c>
      <c r="BC1772">
        <v>0.34799999999999998</v>
      </c>
      <c r="BD1772" t="s">
        <v>65</v>
      </c>
      <c r="BE1772">
        <v>45</v>
      </c>
      <c r="BF1772">
        <v>8</v>
      </c>
      <c r="BG1772" t="s">
        <v>2903</v>
      </c>
      <c r="BH1772" t="s">
        <v>2904</v>
      </c>
      <c r="BI1772" t="s">
        <v>2905</v>
      </c>
      <c r="BJ1772">
        <v>6.6900000000000001E-2</v>
      </c>
      <c r="BK1772">
        <v>1</v>
      </c>
      <c r="BL1772" t="s">
        <v>69</v>
      </c>
      <c r="BM1772">
        <v>-0.50600000000000001</v>
      </c>
      <c r="BN1772">
        <v>-1.135</v>
      </c>
    </row>
    <row r="1773" spans="2:66">
      <c r="B1773">
        <v>3165</v>
      </c>
      <c r="C1773">
        <v>165</v>
      </c>
      <c r="D1773">
        <v>0</v>
      </c>
      <c r="E1773">
        <v>6</v>
      </c>
      <c r="F1773">
        <v>0</v>
      </c>
      <c r="J1773">
        <v>0</v>
      </c>
      <c r="K1773">
        <v>0</v>
      </c>
      <c r="L1773">
        <v>0</v>
      </c>
      <c r="M1773" t="s">
        <v>25022</v>
      </c>
      <c r="N1773">
        <v>428</v>
      </c>
      <c r="O1773" t="s">
        <v>2906</v>
      </c>
      <c r="P1773" t="s">
        <v>57</v>
      </c>
      <c r="Q1773">
        <v>472585</v>
      </c>
      <c r="R1773">
        <v>473085</v>
      </c>
      <c r="S1773" t="s">
        <v>2907</v>
      </c>
      <c r="T1773">
        <v>167</v>
      </c>
      <c r="U1773" t="s">
        <v>108</v>
      </c>
      <c r="V1773">
        <v>44</v>
      </c>
      <c r="W1773" t="str">
        <f>HYPERLINK("Gene428-zp_tree_all.dnd", "Gene428-tree")</f>
        <v>Gene428-tree</v>
      </c>
      <c r="X1773">
        <v>7</v>
      </c>
      <c r="Y1773">
        <v>4</v>
      </c>
      <c r="Z1773">
        <v>7</v>
      </c>
      <c r="AA1773">
        <v>4</v>
      </c>
      <c r="AB1773">
        <v>0.36364000000000002</v>
      </c>
      <c r="AC1773" t="s">
        <v>152</v>
      </c>
      <c r="AD1773" t="s">
        <v>61</v>
      </c>
      <c r="AE1773" t="s">
        <v>62</v>
      </c>
      <c r="AF1773" t="s">
        <v>62</v>
      </c>
      <c r="AG1773">
        <v>0</v>
      </c>
      <c r="AH1773">
        <v>0</v>
      </c>
      <c r="AI1773">
        <v>4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4</v>
      </c>
      <c r="AT1773">
        <v>0</v>
      </c>
      <c r="AU1773">
        <v>10</v>
      </c>
      <c r="AV1773">
        <v>6</v>
      </c>
      <c r="AW1773">
        <v>21</v>
      </c>
      <c r="AX1773">
        <v>4</v>
      </c>
      <c r="AY1773">
        <v>9</v>
      </c>
      <c r="AZ1773">
        <v>0</v>
      </c>
      <c r="BA1773" t="s">
        <v>2908</v>
      </c>
      <c r="BB1773" t="s">
        <v>193</v>
      </c>
      <c r="BC1773">
        <v>1.5569999999999999</v>
      </c>
      <c r="BD1773" t="s">
        <v>65</v>
      </c>
      <c r="BE1773">
        <v>30</v>
      </c>
      <c r="BF1773">
        <v>4</v>
      </c>
      <c r="BG1773" t="s">
        <v>2909</v>
      </c>
      <c r="BH1773" t="s">
        <v>2910</v>
      </c>
      <c r="BI1773" t="s">
        <v>2911</v>
      </c>
      <c r="BJ1773">
        <v>3.014E-2</v>
      </c>
      <c r="BK1773">
        <v>1</v>
      </c>
      <c r="BL1773" t="s">
        <v>69</v>
      </c>
      <c r="BM1773">
        <v>-0.80700000000000005</v>
      </c>
      <c r="BN1773">
        <v>-1.627</v>
      </c>
    </row>
    <row r="1774" spans="2:66">
      <c r="B1774">
        <v>3166</v>
      </c>
      <c r="C1774">
        <v>277</v>
      </c>
      <c r="D1774">
        <v>0</v>
      </c>
      <c r="E1774">
        <v>2</v>
      </c>
      <c r="F1774">
        <v>0</v>
      </c>
      <c r="J1774">
        <v>0</v>
      </c>
      <c r="K1774">
        <v>9</v>
      </c>
      <c r="L1774">
        <v>2</v>
      </c>
      <c r="M1774" t="s">
        <v>25022</v>
      </c>
      <c r="N1774">
        <v>429</v>
      </c>
      <c r="O1774" t="s">
        <v>2912</v>
      </c>
      <c r="P1774" t="s">
        <v>57</v>
      </c>
      <c r="Q1774">
        <v>473174</v>
      </c>
      <c r="R1774">
        <v>473722</v>
      </c>
      <c r="S1774" t="s">
        <v>2913</v>
      </c>
      <c r="T1774">
        <v>183</v>
      </c>
      <c r="U1774" t="s">
        <v>2914</v>
      </c>
      <c r="V1774">
        <v>38</v>
      </c>
      <c r="W1774" t="str">
        <f>HYPERLINK("Gene429-zp_tree_all.dnd", "Gene429-tree")</f>
        <v>Gene429-tree</v>
      </c>
      <c r="X1774">
        <v>3</v>
      </c>
      <c r="Y1774">
        <v>8</v>
      </c>
      <c r="Z1774">
        <v>3</v>
      </c>
      <c r="AA1774">
        <v>8</v>
      </c>
      <c r="AB1774">
        <v>0.72726999999999997</v>
      </c>
      <c r="AC1774" t="s">
        <v>324</v>
      </c>
      <c r="AD1774" t="s">
        <v>136</v>
      </c>
      <c r="AE1774" t="s">
        <v>62</v>
      </c>
      <c r="AF1774" t="s">
        <v>62</v>
      </c>
      <c r="AG1774">
        <v>5</v>
      </c>
      <c r="AH1774">
        <v>11</v>
      </c>
      <c r="AI1774">
        <v>11</v>
      </c>
      <c r="AJ1774">
        <v>0.5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2</v>
      </c>
      <c r="AQ1774">
        <v>2</v>
      </c>
      <c r="AR1774">
        <v>4</v>
      </c>
      <c r="AS1774">
        <v>8</v>
      </c>
      <c r="AT1774">
        <v>0.33333000000000002</v>
      </c>
      <c r="AU1774">
        <v>9</v>
      </c>
      <c r="AV1774">
        <v>7</v>
      </c>
      <c r="AW1774">
        <v>11</v>
      </c>
      <c r="AX1774">
        <v>11</v>
      </c>
      <c r="AY1774">
        <v>11</v>
      </c>
      <c r="AZ1774">
        <v>12</v>
      </c>
      <c r="BA1774" t="s">
        <v>2915</v>
      </c>
      <c r="BB1774" t="s">
        <v>2916</v>
      </c>
      <c r="BC1774">
        <v>0.104</v>
      </c>
      <c r="BD1774" t="s">
        <v>65</v>
      </c>
      <c r="BE1774">
        <v>22</v>
      </c>
      <c r="BF1774">
        <v>23</v>
      </c>
      <c r="BG1774" t="s">
        <v>2917</v>
      </c>
      <c r="BH1774" t="s">
        <v>2918</v>
      </c>
      <c r="BI1774" t="s">
        <v>2919</v>
      </c>
      <c r="BJ1774">
        <v>0.28895999999999999</v>
      </c>
      <c r="BK1774">
        <v>1</v>
      </c>
      <c r="BL1774" t="s">
        <v>69</v>
      </c>
      <c r="BM1774">
        <v>0.153</v>
      </c>
      <c r="BN1774">
        <v>-0.59799999999999998</v>
      </c>
    </row>
    <row r="1775" spans="2:66">
      <c r="B1775">
        <v>3167</v>
      </c>
      <c r="C1775">
        <v>184</v>
      </c>
      <c r="D1775">
        <v>0</v>
      </c>
      <c r="E1775">
        <v>2</v>
      </c>
      <c r="F1775">
        <v>0</v>
      </c>
      <c r="J1775">
        <v>0</v>
      </c>
      <c r="K1775">
        <v>0</v>
      </c>
      <c r="L1775">
        <v>2</v>
      </c>
      <c r="M1775" t="s">
        <v>25022</v>
      </c>
      <c r="N1775">
        <v>430</v>
      </c>
      <c r="O1775" t="s">
        <v>2920</v>
      </c>
      <c r="P1775" t="s">
        <v>57</v>
      </c>
      <c r="Q1775">
        <v>473803</v>
      </c>
      <c r="R1775">
        <v>474222</v>
      </c>
      <c r="S1775" t="s">
        <v>2921</v>
      </c>
      <c r="T1775">
        <v>140</v>
      </c>
      <c r="U1775" t="s">
        <v>698</v>
      </c>
      <c r="V1775">
        <v>47</v>
      </c>
      <c r="W1775" t="str">
        <f>HYPERLINK("Gene430-zp_tree_all.dnd", "Gene430-tree")</f>
        <v>Gene430-tree</v>
      </c>
      <c r="X1775">
        <v>9</v>
      </c>
      <c r="Y1775">
        <v>4</v>
      </c>
      <c r="Z1775">
        <v>9</v>
      </c>
      <c r="AA1775">
        <v>4</v>
      </c>
      <c r="AB1775">
        <v>0.30769000000000002</v>
      </c>
      <c r="AC1775" t="s">
        <v>135</v>
      </c>
      <c r="AD1775" t="s">
        <v>61</v>
      </c>
      <c r="AE1775" t="s">
        <v>62</v>
      </c>
      <c r="AF1775" t="s">
        <v>62</v>
      </c>
      <c r="AG1775">
        <v>1</v>
      </c>
      <c r="AH1775">
        <v>2</v>
      </c>
      <c r="AI1775">
        <v>5</v>
      </c>
      <c r="AJ1775">
        <v>0.28571000000000002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6</v>
      </c>
      <c r="AT1775">
        <v>0</v>
      </c>
      <c r="AU1775">
        <v>10</v>
      </c>
      <c r="AV1775">
        <v>5</v>
      </c>
      <c r="AW1775">
        <v>16</v>
      </c>
      <c r="AX1775">
        <v>6</v>
      </c>
      <c r="AY1775">
        <v>14</v>
      </c>
      <c r="AZ1775">
        <v>1</v>
      </c>
      <c r="BA1775" t="s">
        <v>2922</v>
      </c>
      <c r="BB1775" t="s">
        <v>2923</v>
      </c>
      <c r="BC1775">
        <v>0.63500000000000001</v>
      </c>
      <c r="BD1775" t="s">
        <v>65</v>
      </c>
      <c r="BE1775">
        <v>30</v>
      </c>
      <c r="BF1775">
        <v>7</v>
      </c>
      <c r="BG1775" t="s">
        <v>2924</v>
      </c>
      <c r="BH1775" t="s">
        <v>2925</v>
      </c>
      <c r="BI1775" t="s">
        <v>2926</v>
      </c>
      <c r="BJ1775">
        <v>4.0489999999999998E-2</v>
      </c>
      <c r="BK1775">
        <v>1</v>
      </c>
      <c r="BL1775" t="s">
        <v>69</v>
      </c>
      <c r="BM1775">
        <v>-1.5309999999999999</v>
      </c>
      <c r="BN1775">
        <v>-1.726</v>
      </c>
    </row>
    <row r="1776" spans="2:66">
      <c r="B1776">
        <v>3168</v>
      </c>
      <c r="C1776">
        <v>69</v>
      </c>
      <c r="D1776">
        <v>0</v>
      </c>
      <c r="E1776">
        <v>2</v>
      </c>
      <c r="F1776">
        <v>3</v>
      </c>
      <c r="J1776">
        <v>0</v>
      </c>
      <c r="K1776">
        <v>6</v>
      </c>
      <c r="L1776">
        <v>1</v>
      </c>
      <c r="M1776" t="s">
        <v>25022</v>
      </c>
      <c r="N1776">
        <v>431</v>
      </c>
      <c r="O1776" t="s">
        <v>2927</v>
      </c>
      <c r="P1776" t="s">
        <v>57</v>
      </c>
      <c r="Q1776">
        <v>474731</v>
      </c>
      <c r="R1776">
        <v>475537</v>
      </c>
      <c r="S1776" t="s">
        <v>2928</v>
      </c>
      <c r="T1776">
        <v>269</v>
      </c>
      <c r="U1776" t="s">
        <v>108</v>
      </c>
      <c r="V1776">
        <v>44</v>
      </c>
      <c r="W1776" t="str">
        <f>HYPERLINK("Gene431-zp_tree_all.dnd", "Gene431-tree")</f>
        <v>Gene431-tree</v>
      </c>
      <c r="X1776">
        <v>12</v>
      </c>
      <c r="Y1776">
        <v>6</v>
      </c>
      <c r="Z1776">
        <v>12</v>
      </c>
      <c r="AA1776">
        <v>6</v>
      </c>
      <c r="AB1776">
        <v>0.33333000000000002</v>
      </c>
      <c r="AC1776" t="s">
        <v>109</v>
      </c>
      <c r="AD1776" t="s">
        <v>90</v>
      </c>
      <c r="AE1776" t="s">
        <v>62</v>
      </c>
      <c r="AF1776" t="s">
        <v>62</v>
      </c>
      <c r="AG1776">
        <v>2</v>
      </c>
      <c r="AH1776">
        <v>7</v>
      </c>
      <c r="AI1776">
        <v>7</v>
      </c>
      <c r="AJ1776">
        <v>0.5</v>
      </c>
      <c r="AK1776">
        <v>0</v>
      </c>
      <c r="AL1776">
        <v>0</v>
      </c>
      <c r="AM1776">
        <v>0</v>
      </c>
      <c r="AN1776">
        <v>2</v>
      </c>
      <c r="AO1776">
        <v>0</v>
      </c>
      <c r="AP1776">
        <v>0</v>
      </c>
      <c r="AQ1776">
        <v>0</v>
      </c>
      <c r="AR1776">
        <v>0</v>
      </c>
      <c r="AS1776">
        <v>7</v>
      </c>
      <c r="AT1776">
        <v>0</v>
      </c>
      <c r="AU1776">
        <v>12</v>
      </c>
      <c r="AV1776">
        <v>12</v>
      </c>
      <c r="AW1776">
        <v>33</v>
      </c>
      <c r="AX1776">
        <v>6</v>
      </c>
      <c r="AY1776">
        <v>48</v>
      </c>
      <c r="AZ1776">
        <v>8</v>
      </c>
      <c r="BA1776" t="s">
        <v>2929</v>
      </c>
      <c r="BB1776" t="s">
        <v>2930</v>
      </c>
      <c r="BC1776">
        <v>0.104</v>
      </c>
      <c r="BD1776" t="s">
        <v>65</v>
      </c>
      <c r="BE1776">
        <v>81</v>
      </c>
      <c r="BF1776">
        <v>14</v>
      </c>
      <c r="BG1776" t="s">
        <v>2931</v>
      </c>
      <c r="BH1776" t="s">
        <v>2932</v>
      </c>
      <c r="BI1776" t="s">
        <v>2933</v>
      </c>
      <c r="BJ1776">
        <v>4.5490000000000003E-2</v>
      </c>
      <c r="BK1776">
        <v>1</v>
      </c>
      <c r="BL1776" t="s">
        <v>69</v>
      </c>
      <c r="BM1776">
        <v>0.192</v>
      </c>
      <c r="BN1776">
        <v>-0.40400000000000003</v>
      </c>
    </row>
    <row r="1777" spans="2:66">
      <c r="B1777">
        <v>3169</v>
      </c>
      <c r="C1777">
        <v>165</v>
      </c>
      <c r="D1777">
        <v>0</v>
      </c>
      <c r="E1777">
        <v>4</v>
      </c>
      <c r="F1777">
        <v>0</v>
      </c>
      <c r="J1777">
        <v>0</v>
      </c>
      <c r="K1777">
        <v>0</v>
      </c>
      <c r="L1777">
        <v>0</v>
      </c>
      <c r="M1777" t="s">
        <v>25022</v>
      </c>
      <c r="N1777">
        <v>433</v>
      </c>
      <c r="O1777" t="s">
        <v>2941</v>
      </c>
      <c r="P1777" t="s">
        <v>57</v>
      </c>
      <c r="Q1777">
        <v>476059</v>
      </c>
      <c r="R1777">
        <v>476490</v>
      </c>
      <c r="S1777" t="s">
        <v>2942</v>
      </c>
      <c r="T1777">
        <v>144</v>
      </c>
      <c r="U1777" t="s">
        <v>2943</v>
      </c>
      <c r="V1777">
        <v>45</v>
      </c>
      <c r="W1777" t="str">
        <f>HYPERLINK("Gene433-zp_tree_all.dnd", "Gene433-tree")</f>
        <v>Gene433-tree</v>
      </c>
      <c r="X1777">
        <v>14</v>
      </c>
      <c r="Y1777">
        <v>2</v>
      </c>
      <c r="Z1777">
        <v>14</v>
      </c>
      <c r="AA1777">
        <v>2</v>
      </c>
      <c r="AB1777">
        <v>0.125</v>
      </c>
      <c r="AC1777" t="s">
        <v>543</v>
      </c>
      <c r="AD1777" t="s">
        <v>81</v>
      </c>
      <c r="AE1777" t="s">
        <v>62</v>
      </c>
      <c r="AF1777" t="s">
        <v>62</v>
      </c>
      <c r="AG1777">
        <v>0</v>
      </c>
      <c r="AH1777">
        <v>0</v>
      </c>
      <c r="AI1777">
        <v>3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3</v>
      </c>
      <c r="AT1777">
        <v>0</v>
      </c>
      <c r="AU1777">
        <v>12</v>
      </c>
      <c r="AV1777">
        <v>10</v>
      </c>
      <c r="AW1777">
        <v>20</v>
      </c>
      <c r="AX1777">
        <v>3</v>
      </c>
      <c r="AY1777">
        <v>28</v>
      </c>
      <c r="AZ1777">
        <v>0</v>
      </c>
      <c r="BA1777" t="s">
        <v>2944</v>
      </c>
      <c r="BB1777" t="s">
        <v>193</v>
      </c>
      <c r="BC1777">
        <v>0.59</v>
      </c>
      <c r="BD1777" t="s">
        <v>65</v>
      </c>
      <c r="BE1777">
        <v>48</v>
      </c>
      <c r="BF1777">
        <v>3</v>
      </c>
      <c r="BG1777" t="s">
        <v>2945</v>
      </c>
      <c r="BH1777" t="s">
        <v>2946</v>
      </c>
      <c r="BI1777" t="s">
        <v>2947</v>
      </c>
      <c r="BJ1777">
        <v>9.1199999999999996E-3</v>
      </c>
      <c r="BK1777">
        <v>1</v>
      </c>
      <c r="BL1777" t="s">
        <v>69</v>
      </c>
      <c r="BM1777">
        <v>-1.4610000000000001</v>
      </c>
      <c r="BN1777">
        <v>-0.93899999999999995</v>
      </c>
    </row>
    <row r="1778" spans="2:66">
      <c r="B1778">
        <v>3170</v>
      </c>
      <c r="C1778">
        <v>169</v>
      </c>
      <c r="D1778">
        <v>0</v>
      </c>
      <c r="E1778">
        <v>2</v>
      </c>
      <c r="F1778">
        <v>2</v>
      </c>
      <c r="J1778">
        <v>0</v>
      </c>
      <c r="K1778">
        <v>6</v>
      </c>
      <c r="L1778">
        <v>0</v>
      </c>
      <c r="M1778" t="s">
        <v>25022</v>
      </c>
      <c r="N1778">
        <v>434</v>
      </c>
      <c r="O1778" t="s">
        <v>2948</v>
      </c>
      <c r="P1778" t="s">
        <v>57</v>
      </c>
      <c r="Q1778">
        <v>476558</v>
      </c>
      <c r="R1778">
        <v>478738</v>
      </c>
      <c r="S1778" t="s">
        <v>2949</v>
      </c>
      <c r="T1778">
        <v>727</v>
      </c>
      <c r="U1778" t="s">
        <v>2950</v>
      </c>
      <c r="V1778">
        <v>41</v>
      </c>
      <c r="W1778" t="str">
        <f>HYPERLINK("Gene434-zp_tree_all.dnd", "Gene434-tree")</f>
        <v>Gene434-tree</v>
      </c>
      <c r="X1778">
        <v>6</v>
      </c>
      <c r="Y1778">
        <v>10</v>
      </c>
      <c r="Z1778">
        <v>6</v>
      </c>
      <c r="AA1778">
        <v>10</v>
      </c>
      <c r="AB1778">
        <v>0.625</v>
      </c>
      <c r="AC1778" t="s">
        <v>90</v>
      </c>
      <c r="AD1778" t="s">
        <v>117</v>
      </c>
      <c r="AE1778" t="s">
        <v>62</v>
      </c>
      <c r="AF1778" t="s">
        <v>62</v>
      </c>
      <c r="AG1778">
        <v>2</v>
      </c>
      <c r="AH1778">
        <v>6</v>
      </c>
      <c r="AI1778">
        <v>14</v>
      </c>
      <c r="AJ1778">
        <v>0.3</v>
      </c>
      <c r="AK1778">
        <v>0</v>
      </c>
      <c r="AL1778">
        <v>0</v>
      </c>
      <c r="AM1778">
        <v>0</v>
      </c>
      <c r="AN1778">
        <v>2</v>
      </c>
      <c r="AO1778">
        <v>0</v>
      </c>
      <c r="AP1778">
        <v>5</v>
      </c>
      <c r="AQ1778">
        <v>0</v>
      </c>
      <c r="AR1778">
        <v>5</v>
      </c>
      <c r="AS1778">
        <v>9</v>
      </c>
      <c r="AT1778">
        <v>0.35714000000000001</v>
      </c>
      <c r="AU1778">
        <v>14</v>
      </c>
      <c r="AV1778">
        <v>13</v>
      </c>
      <c r="AW1778">
        <v>96</v>
      </c>
      <c r="AX1778">
        <v>14</v>
      </c>
      <c r="AY1778">
        <v>42</v>
      </c>
      <c r="AZ1778">
        <v>7</v>
      </c>
      <c r="BA1778" t="s">
        <v>2951</v>
      </c>
      <c r="BB1778" t="s">
        <v>2952</v>
      </c>
      <c r="BC1778">
        <v>0.183</v>
      </c>
      <c r="BD1778" t="s">
        <v>65</v>
      </c>
      <c r="BE1778">
        <v>138</v>
      </c>
      <c r="BF1778">
        <v>21</v>
      </c>
      <c r="BG1778" t="s">
        <v>2953</v>
      </c>
      <c r="BH1778" t="s">
        <v>2954</v>
      </c>
      <c r="BI1778" t="s">
        <v>2955</v>
      </c>
      <c r="BJ1778">
        <v>4.99E-2</v>
      </c>
      <c r="BK1778">
        <v>1</v>
      </c>
      <c r="BL1778" t="s">
        <v>69</v>
      </c>
      <c r="BM1778">
        <v>-0.61399999999999999</v>
      </c>
      <c r="BN1778">
        <v>-1.4810000000000001</v>
      </c>
    </row>
    <row r="1779" spans="2:66">
      <c r="B1779">
        <v>3171</v>
      </c>
      <c r="C1779">
        <v>228</v>
      </c>
      <c r="D1779">
        <v>0</v>
      </c>
      <c r="E1779">
        <v>2</v>
      </c>
      <c r="F1779">
        <v>1</v>
      </c>
      <c r="J1779">
        <v>0</v>
      </c>
      <c r="K1779">
        <v>8</v>
      </c>
      <c r="L1779">
        <v>1</v>
      </c>
      <c r="M1779" t="s">
        <v>25022</v>
      </c>
      <c r="N1779">
        <v>435</v>
      </c>
      <c r="O1779" t="s">
        <v>2956</v>
      </c>
      <c r="P1779" t="s">
        <v>57</v>
      </c>
      <c r="Q1779">
        <v>478944</v>
      </c>
      <c r="R1779">
        <v>480029</v>
      </c>
      <c r="S1779" t="s">
        <v>2957</v>
      </c>
      <c r="T1779">
        <v>362</v>
      </c>
      <c r="U1779" t="s">
        <v>2958</v>
      </c>
      <c r="V1779">
        <v>34</v>
      </c>
      <c r="W1779" t="str">
        <f>HYPERLINK("Gene435-zp_tree_all.dnd", "Gene435-tree")</f>
        <v>Gene435-tree</v>
      </c>
      <c r="X1779">
        <v>2</v>
      </c>
      <c r="Y1779">
        <v>11</v>
      </c>
      <c r="Z1779">
        <v>2</v>
      </c>
      <c r="AA1779">
        <v>11</v>
      </c>
      <c r="AB1779">
        <v>0.84614999999999996</v>
      </c>
      <c r="AC1779" t="s">
        <v>81</v>
      </c>
      <c r="AD1779" t="s">
        <v>73</v>
      </c>
      <c r="AE1779">
        <v>515075683.63</v>
      </c>
      <c r="AF1779" t="s">
        <v>267</v>
      </c>
      <c r="AG1779">
        <v>4</v>
      </c>
      <c r="AH1779">
        <v>9</v>
      </c>
      <c r="AI1779">
        <v>20</v>
      </c>
      <c r="AJ1779">
        <v>0.31034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4</v>
      </c>
      <c r="AQ1779">
        <v>0</v>
      </c>
      <c r="AR1779">
        <v>4</v>
      </c>
      <c r="AS1779">
        <v>16</v>
      </c>
      <c r="AT1779">
        <v>0.2</v>
      </c>
      <c r="AU1779">
        <v>11</v>
      </c>
      <c r="AV1779">
        <v>9</v>
      </c>
      <c r="AW1779">
        <v>20</v>
      </c>
      <c r="AX1779">
        <v>20</v>
      </c>
      <c r="AY1779">
        <v>11</v>
      </c>
      <c r="AZ1779">
        <v>10</v>
      </c>
      <c r="BA1779" t="s">
        <v>2959</v>
      </c>
      <c r="BB1779" t="s">
        <v>2960</v>
      </c>
      <c r="BC1779">
        <v>0.16600000000000001</v>
      </c>
      <c r="BD1779" t="s">
        <v>65</v>
      </c>
      <c r="BE1779">
        <v>31</v>
      </c>
      <c r="BF1779">
        <v>30</v>
      </c>
      <c r="BG1779" t="s">
        <v>2961</v>
      </c>
      <c r="BH1779" t="s">
        <v>2962</v>
      </c>
      <c r="BI1779" t="s">
        <v>2963</v>
      </c>
      <c r="BJ1779">
        <v>0.27900999999999998</v>
      </c>
      <c r="BK1779">
        <v>1</v>
      </c>
      <c r="BL1779" t="s">
        <v>69</v>
      </c>
      <c r="BM1779">
        <v>-0.80800000000000005</v>
      </c>
      <c r="BN1779">
        <v>-0.84099999999999997</v>
      </c>
    </row>
    <row r="1780" spans="2:66">
      <c r="B1780">
        <v>3173</v>
      </c>
      <c r="C1780">
        <v>4</v>
      </c>
      <c r="D1780">
        <v>0</v>
      </c>
      <c r="E1780">
        <v>2</v>
      </c>
      <c r="F1780">
        <v>0</v>
      </c>
      <c r="J1780">
        <v>0</v>
      </c>
      <c r="K1780">
        <v>8</v>
      </c>
      <c r="L1780">
        <v>2</v>
      </c>
      <c r="M1780" t="s">
        <v>25022</v>
      </c>
      <c r="N1780">
        <v>436</v>
      </c>
      <c r="O1780" t="s">
        <v>2964</v>
      </c>
      <c r="P1780" t="s">
        <v>57</v>
      </c>
      <c r="Q1780">
        <v>480013</v>
      </c>
      <c r="R1780">
        <v>480861</v>
      </c>
      <c r="S1780" t="s">
        <v>2965</v>
      </c>
      <c r="T1780">
        <v>283</v>
      </c>
      <c r="U1780" t="s">
        <v>2958</v>
      </c>
      <c r="V1780">
        <v>34</v>
      </c>
      <c r="W1780" t="str">
        <f>HYPERLINK("Gene436-zp_tree_all.dnd", "Gene436-tree")</f>
        <v>Gene436-tree</v>
      </c>
      <c r="X1780">
        <v>7</v>
      </c>
      <c r="Y1780">
        <v>6</v>
      </c>
      <c r="Z1780">
        <v>7</v>
      </c>
      <c r="AA1780">
        <v>6</v>
      </c>
      <c r="AB1780">
        <v>0.46154000000000001</v>
      </c>
      <c r="AC1780" t="s">
        <v>152</v>
      </c>
      <c r="AD1780" t="s">
        <v>90</v>
      </c>
      <c r="AE1780" t="s">
        <v>62</v>
      </c>
      <c r="AF1780" t="s">
        <v>62</v>
      </c>
      <c r="AG1780">
        <v>4</v>
      </c>
      <c r="AH1780">
        <v>10</v>
      </c>
      <c r="AI1780">
        <v>15</v>
      </c>
      <c r="AJ1780">
        <v>0.4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2</v>
      </c>
      <c r="AR1780">
        <v>2</v>
      </c>
      <c r="AS1780">
        <v>11</v>
      </c>
      <c r="AT1780">
        <v>0.15384999999999999</v>
      </c>
      <c r="AU1780">
        <v>13</v>
      </c>
      <c r="AV1780">
        <v>10</v>
      </c>
      <c r="AW1780">
        <v>34</v>
      </c>
      <c r="AX1780">
        <v>13</v>
      </c>
      <c r="AY1780">
        <v>22</v>
      </c>
      <c r="AZ1780">
        <v>13</v>
      </c>
      <c r="BA1780" t="s">
        <v>2966</v>
      </c>
      <c r="BB1780" t="s">
        <v>2967</v>
      </c>
      <c r="BC1780">
        <v>0.44500000000000001</v>
      </c>
      <c r="BD1780" t="s">
        <v>65</v>
      </c>
      <c r="BE1780">
        <v>56</v>
      </c>
      <c r="BF1780">
        <v>26</v>
      </c>
      <c r="BG1780" t="s">
        <v>2968</v>
      </c>
      <c r="BH1780" t="s">
        <v>2969</v>
      </c>
      <c r="BI1780" t="s">
        <v>2970</v>
      </c>
      <c r="BJ1780">
        <v>0.15190999999999999</v>
      </c>
      <c r="BK1780">
        <v>1</v>
      </c>
      <c r="BL1780" t="s">
        <v>69</v>
      </c>
      <c r="BM1780">
        <v>-1.006</v>
      </c>
      <c r="BN1780">
        <v>-0.96799999999999997</v>
      </c>
    </row>
    <row r="1781" spans="2:66">
      <c r="B1781">
        <v>3174</v>
      </c>
      <c r="C1781">
        <v>116</v>
      </c>
      <c r="D1781">
        <v>0</v>
      </c>
      <c r="E1781">
        <v>8</v>
      </c>
      <c r="F1781">
        <v>0</v>
      </c>
      <c r="J1781">
        <v>0</v>
      </c>
      <c r="K1781">
        <v>16</v>
      </c>
      <c r="L1781">
        <v>2</v>
      </c>
      <c r="M1781" t="s">
        <v>25022</v>
      </c>
      <c r="N1781">
        <v>437</v>
      </c>
      <c r="O1781" t="s">
        <v>2971</v>
      </c>
      <c r="P1781" t="s">
        <v>57</v>
      </c>
      <c r="Q1781">
        <v>480875</v>
      </c>
      <c r="R1781">
        <v>482581</v>
      </c>
      <c r="S1781" t="s">
        <v>116</v>
      </c>
      <c r="T1781">
        <v>569</v>
      </c>
      <c r="U1781" t="s">
        <v>2958</v>
      </c>
      <c r="V1781">
        <v>34</v>
      </c>
      <c r="W1781" t="str">
        <f>HYPERLINK("Gene437-zp_tree_all.dnd", "Gene437-tree")</f>
        <v>Gene437-tree</v>
      </c>
      <c r="X1781">
        <v>2</v>
      </c>
      <c r="Y1781">
        <v>13</v>
      </c>
      <c r="Z1781">
        <v>2</v>
      </c>
      <c r="AA1781">
        <v>13</v>
      </c>
      <c r="AB1781">
        <v>0.86667000000000005</v>
      </c>
      <c r="AC1781" t="s">
        <v>81</v>
      </c>
      <c r="AD1781" t="s">
        <v>507</v>
      </c>
      <c r="AE1781" t="s">
        <v>62</v>
      </c>
      <c r="AF1781" t="s">
        <v>62</v>
      </c>
      <c r="AG1781">
        <v>7</v>
      </c>
      <c r="AH1781">
        <v>18</v>
      </c>
      <c r="AI1781">
        <v>31</v>
      </c>
      <c r="AJ1781">
        <v>0.36735000000000001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12</v>
      </c>
      <c r="AQ1781">
        <v>0</v>
      </c>
      <c r="AR1781">
        <v>12</v>
      </c>
      <c r="AS1781">
        <v>26</v>
      </c>
      <c r="AT1781">
        <v>0.31579000000000002</v>
      </c>
      <c r="AU1781">
        <v>13</v>
      </c>
      <c r="AV1781">
        <v>11</v>
      </c>
      <c r="AW1781">
        <v>58</v>
      </c>
      <c r="AX1781">
        <v>38</v>
      </c>
      <c r="AY1781">
        <v>48</v>
      </c>
      <c r="AZ1781">
        <v>11</v>
      </c>
      <c r="BA1781" t="s">
        <v>2972</v>
      </c>
      <c r="BB1781" t="s">
        <v>2973</v>
      </c>
      <c r="BC1781">
        <v>2.1989999999999998</v>
      </c>
      <c r="BD1781" t="s">
        <v>267</v>
      </c>
      <c r="BE1781">
        <v>106</v>
      </c>
      <c r="BF1781">
        <v>49</v>
      </c>
      <c r="BG1781" t="s">
        <v>2974</v>
      </c>
      <c r="BH1781" t="s">
        <v>2975</v>
      </c>
      <c r="BI1781" t="s">
        <v>2976</v>
      </c>
      <c r="BJ1781">
        <v>0.13164000000000001</v>
      </c>
      <c r="BK1781">
        <v>1</v>
      </c>
      <c r="BL1781" t="s">
        <v>69</v>
      </c>
      <c r="BM1781">
        <v>-0.77900000000000003</v>
      </c>
      <c r="BN1781">
        <v>-1.45</v>
      </c>
    </row>
    <row r="1782" spans="2:66">
      <c r="B1782">
        <v>3175</v>
      </c>
      <c r="C1782">
        <v>307</v>
      </c>
      <c r="D1782">
        <v>0</v>
      </c>
      <c r="E1782">
        <v>9</v>
      </c>
      <c r="F1782">
        <v>0</v>
      </c>
      <c r="J1782">
        <v>0</v>
      </c>
      <c r="K1782">
        <v>2</v>
      </c>
      <c r="L1782">
        <v>0</v>
      </c>
      <c r="M1782" t="s">
        <v>25022</v>
      </c>
      <c r="N1782">
        <v>438</v>
      </c>
      <c r="O1782" t="s">
        <v>2977</v>
      </c>
      <c r="P1782" t="s">
        <v>57</v>
      </c>
      <c r="Q1782">
        <v>482577</v>
      </c>
      <c r="R1782">
        <v>483836</v>
      </c>
      <c r="S1782" t="s">
        <v>2978</v>
      </c>
      <c r="T1782">
        <v>420</v>
      </c>
      <c r="U1782" t="s">
        <v>2979</v>
      </c>
      <c r="V1782">
        <v>38</v>
      </c>
      <c r="W1782" t="str">
        <f>HYPERLINK("Gene438-zp_tree_all.dnd", "Gene438-tree")</f>
        <v>Gene438-tree</v>
      </c>
      <c r="X1782">
        <v>27</v>
      </c>
      <c r="Y1782">
        <v>6</v>
      </c>
      <c r="Z1782">
        <v>10</v>
      </c>
      <c r="AA1782">
        <v>6</v>
      </c>
      <c r="AB1782">
        <v>0.375</v>
      </c>
      <c r="AC1782" t="s">
        <v>2980</v>
      </c>
      <c r="AD1782" t="s">
        <v>90</v>
      </c>
      <c r="AE1782" t="s">
        <v>62</v>
      </c>
      <c r="AF1782" t="s">
        <v>62</v>
      </c>
      <c r="AG1782">
        <v>1</v>
      </c>
      <c r="AH1782">
        <v>2</v>
      </c>
      <c r="AI1782">
        <v>11</v>
      </c>
      <c r="AJ1782">
        <v>0.15384999999999999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9</v>
      </c>
      <c r="AT1782">
        <v>0</v>
      </c>
      <c r="AU1782">
        <v>13</v>
      </c>
      <c r="AV1782">
        <v>13</v>
      </c>
      <c r="AW1782">
        <v>45</v>
      </c>
      <c r="AX1782">
        <v>8</v>
      </c>
      <c r="AY1782">
        <v>89</v>
      </c>
      <c r="AZ1782">
        <v>5</v>
      </c>
      <c r="BA1782" t="s">
        <v>2981</v>
      </c>
      <c r="BB1782" t="s">
        <v>2982</v>
      </c>
      <c r="BC1782">
        <v>0.747</v>
      </c>
      <c r="BD1782" t="s">
        <v>65</v>
      </c>
      <c r="BE1782">
        <v>134</v>
      </c>
      <c r="BF1782">
        <v>13</v>
      </c>
      <c r="BG1782" t="s">
        <v>2983</v>
      </c>
      <c r="BH1782" t="s">
        <v>2984</v>
      </c>
      <c r="BI1782" t="s">
        <v>2985</v>
      </c>
      <c r="BJ1782">
        <v>2.0250000000000001E-2</v>
      </c>
      <c r="BK1782">
        <v>1</v>
      </c>
      <c r="BL1782" t="s">
        <v>69</v>
      </c>
      <c r="BM1782">
        <v>-1.236</v>
      </c>
      <c r="BN1782">
        <v>-0.58799999999999997</v>
      </c>
    </row>
    <row r="1783" spans="2:66">
      <c r="B1783">
        <v>3178</v>
      </c>
      <c r="C1783">
        <v>18</v>
      </c>
      <c r="D1783">
        <v>0</v>
      </c>
      <c r="E1783">
        <v>0</v>
      </c>
      <c r="F1783">
        <v>2</v>
      </c>
      <c r="J1783">
        <v>0</v>
      </c>
      <c r="K1783">
        <v>20</v>
      </c>
      <c r="L1783">
        <v>5</v>
      </c>
      <c r="M1783" t="s">
        <v>25022</v>
      </c>
      <c r="N1783">
        <v>439</v>
      </c>
      <c r="O1783" t="s">
        <v>2986</v>
      </c>
      <c r="P1783" t="s">
        <v>57</v>
      </c>
      <c r="Q1783">
        <v>483845</v>
      </c>
      <c r="R1783">
        <v>485953</v>
      </c>
      <c r="S1783" t="s">
        <v>2987</v>
      </c>
      <c r="T1783">
        <v>703</v>
      </c>
      <c r="U1783" t="s">
        <v>2958</v>
      </c>
      <c r="V1783">
        <v>34</v>
      </c>
      <c r="W1783" t="str">
        <f>HYPERLINK("Gene439-zp_tree_all.dnd", "Gene439-tree")</f>
        <v>Gene439-tree</v>
      </c>
      <c r="X1783">
        <v>4</v>
      </c>
      <c r="Y1783">
        <v>12</v>
      </c>
      <c r="Z1783">
        <v>4</v>
      </c>
      <c r="AA1783">
        <v>12</v>
      </c>
      <c r="AB1783">
        <v>0.75</v>
      </c>
      <c r="AC1783" t="s">
        <v>61</v>
      </c>
      <c r="AD1783" t="s">
        <v>109</v>
      </c>
      <c r="AE1783" t="s">
        <v>62</v>
      </c>
      <c r="AF1783" t="s">
        <v>62</v>
      </c>
      <c r="AG1783">
        <v>9</v>
      </c>
      <c r="AH1783">
        <v>25</v>
      </c>
      <c r="AI1783">
        <v>35</v>
      </c>
      <c r="AJ1783">
        <v>0.41666999999999998</v>
      </c>
      <c r="AK1783">
        <v>0</v>
      </c>
      <c r="AL1783">
        <v>0</v>
      </c>
      <c r="AM1783">
        <v>0</v>
      </c>
      <c r="AN1783">
        <v>6</v>
      </c>
      <c r="AO1783">
        <v>0</v>
      </c>
      <c r="AP1783">
        <v>11</v>
      </c>
      <c r="AQ1783">
        <v>2</v>
      </c>
      <c r="AR1783">
        <v>13</v>
      </c>
      <c r="AS1783">
        <v>31</v>
      </c>
      <c r="AT1783">
        <v>0.29544999999999999</v>
      </c>
      <c r="AU1783">
        <v>12</v>
      </c>
      <c r="AV1783">
        <v>13</v>
      </c>
      <c r="AW1783">
        <v>66</v>
      </c>
      <c r="AX1783">
        <v>39</v>
      </c>
      <c r="AY1783">
        <v>63</v>
      </c>
      <c r="AZ1783">
        <v>21</v>
      </c>
      <c r="BA1783" t="s">
        <v>2988</v>
      </c>
      <c r="BB1783" t="s">
        <v>2989</v>
      </c>
      <c r="BC1783">
        <v>1.085</v>
      </c>
      <c r="BD1783" t="s">
        <v>65</v>
      </c>
      <c r="BE1783">
        <v>129</v>
      </c>
      <c r="BF1783">
        <v>60</v>
      </c>
      <c r="BG1783" t="s">
        <v>2990</v>
      </c>
      <c r="BH1783" t="s">
        <v>2991</v>
      </c>
      <c r="BI1783" t="s">
        <v>2992</v>
      </c>
      <c r="BJ1783">
        <v>0.12872</v>
      </c>
      <c r="BK1783">
        <v>1</v>
      </c>
      <c r="BL1783" t="s">
        <v>69</v>
      </c>
      <c r="BM1783">
        <v>-1.056</v>
      </c>
      <c r="BN1783">
        <v>-1.163</v>
      </c>
    </row>
    <row r="1784" spans="2:66">
      <c r="B1784">
        <v>3179</v>
      </c>
      <c r="C1784">
        <v>11</v>
      </c>
      <c r="D1784">
        <v>0</v>
      </c>
      <c r="E1784">
        <v>6</v>
      </c>
      <c r="F1784">
        <v>1</v>
      </c>
      <c r="J1784">
        <v>0</v>
      </c>
      <c r="K1784">
        <v>2</v>
      </c>
      <c r="L1784">
        <v>0</v>
      </c>
      <c r="M1784" t="s">
        <v>25022</v>
      </c>
      <c r="N1784">
        <v>440</v>
      </c>
      <c r="O1784" t="s">
        <v>2993</v>
      </c>
      <c r="P1784" t="s">
        <v>57</v>
      </c>
      <c r="Q1784">
        <v>486432</v>
      </c>
      <c r="R1784">
        <v>488252</v>
      </c>
      <c r="S1784" t="s">
        <v>2994</v>
      </c>
      <c r="T1784">
        <v>607</v>
      </c>
      <c r="U1784" t="s">
        <v>2958</v>
      </c>
      <c r="V1784">
        <v>34</v>
      </c>
      <c r="W1784" t="str">
        <f>HYPERLINK("Gene440-zp_tree_all.dnd", "Gene440-tree")</f>
        <v>Gene440-tree</v>
      </c>
      <c r="X1784">
        <v>11</v>
      </c>
      <c r="Y1784">
        <v>18</v>
      </c>
      <c r="Z1784">
        <v>11</v>
      </c>
      <c r="AA1784">
        <v>2</v>
      </c>
      <c r="AB1784">
        <v>0.15384999999999999</v>
      </c>
      <c r="AC1784" t="s">
        <v>73</v>
      </c>
      <c r="AD1784" t="s">
        <v>2995</v>
      </c>
      <c r="AE1784">
        <v>8.3780000000000001</v>
      </c>
      <c r="AF1784" t="s">
        <v>65</v>
      </c>
      <c r="AG1784">
        <v>1</v>
      </c>
      <c r="AH1784">
        <v>2</v>
      </c>
      <c r="AI1784">
        <v>5</v>
      </c>
      <c r="AJ1784">
        <v>0.28571000000000002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5</v>
      </c>
      <c r="AT1784">
        <v>0</v>
      </c>
      <c r="AU1784">
        <v>13</v>
      </c>
      <c r="AV1784">
        <v>10</v>
      </c>
      <c r="AW1784">
        <v>104</v>
      </c>
      <c r="AX1784">
        <v>5</v>
      </c>
      <c r="AY1784">
        <v>33</v>
      </c>
      <c r="AZ1784">
        <v>2</v>
      </c>
      <c r="BA1784" t="s">
        <v>2996</v>
      </c>
      <c r="BB1784" t="s">
        <v>2997</v>
      </c>
      <c r="BC1784">
        <v>9.1999999999999998E-2</v>
      </c>
      <c r="BD1784" t="s">
        <v>65</v>
      </c>
      <c r="BE1784">
        <v>137</v>
      </c>
      <c r="BF1784">
        <v>7</v>
      </c>
      <c r="BG1784" t="s">
        <v>2998</v>
      </c>
      <c r="BH1784" t="s">
        <v>2999</v>
      </c>
      <c r="BI1784" t="s">
        <v>3000</v>
      </c>
      <c r="BJ1784">
        <v>1.651E-2</v>
      </c>
      <c r="BK1784">
        <v>1</v>
      </c>
      <c r="BL1784" t="s">
        <v>69</v>
      </c>
      <c r="BM1784">
        <v>-0.76100000000000001</v>
      </c>
      <c r="BN1784">
        <v>-2.4220000000000002</v>
      </c>
    </row>
    <row r="1785" spans="2:66">
      <c r="B1785">
        <v>3181</v>
      </c>
      <c r="C1785">
        <v>29</v>
      </c>
      <c r="D1785">
        <v>0</v>
      </c>
      <c r="E1785">
        <v>0</v>
      </c>
      <c r="F1785">
        <v>2</v>
      </c>
      <c r="J1785">
        <v>0</v>
      </c>
      <c r="K1785">
        <v>2</v>
      </c>
      <c r="L1785">
        <v>2</v>
      </c>
      <c r="M1785" t="s">
        <v>25022</v>
      </c>
      <c r="N1785">
        <v>441</v>
      </c>
      <c r="O1785" t="s">
        <v>3001</v>
      </c>
      <c r="P1785" t="s">
        <v>57</v>
      </c>
      <c r="Q1785">
        <v>488314</v>
      </c>
      <c r="R1785">
        <v>488760</v>
      </c>
      <c r="S1785" t="s">
        <v>3002</v>
      </c>
      <c r="T1785">
        <v>149</v>
      </c>
      <c r="U1785" t="s">
        <v>3003</v>
      </c>
      <c r="V1785">
        <v>37</v>
      </c>
      <c r="W1785" t="str">
        <f>HYPERLINK("Gene441-zp_tree_all.dnd", "Gene441-tree")</f>
        <v>Gene441-tree</v>
      </c>
      <c r="X1785">
        <v>7</v>
      </c>
      <c r="Y1785">
        <v>6</v>
      </c>
      <c r="Z1785">
        <v>7</v>
      </c>
      <c r="AA1785">
        <v>6</v>
      </c>
      <c r="AB1785">
        <v>0.46154000000000001</v>
      </c>
      <c r="AC1785" t="s">
        <v>152</v>
      </c>
      <c r="AD1785" t="s">
        <v>90</v>
      </c>
      <c r="AE1785" t="s">
        <v>62</v>
      </c>
      <c r="AF1785" t="s">
        <v>62</v>
      </c>
      <c r="AG1785">
        <v>2</v>
      </c>
      <c r="AH1785">
        <v>4</v>
      </c>
      <c r="AI1785">
        <v>15</v>
      </c>
      <c r="AJ1785">
        <v>0.21052999999999999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11</v>
      </c>
      <c r="AT1785">
        <v>0</v>
      </c>
      <c r="AU1785">
        <v>9</v>
      </c>
      <c r="AV1785">
        <v>10</v>
      </c>
      <c r="AW1785">
        <v>13</v>
      </c>
      <c r="AX1785">
        <v>11</v>
      </c>
      <c r="AY1785">
        <v>11</v>
      </c>
      <c r="AZ1785">
        <v>8</v>
      </c>
      <c r="BA1785" t="s">
        <v>3004</v>
      </c>
      <c r="BB1785" t="s">
        <v>3005</v>
      </c>
      <c r="BC1785">
        <v>0.19500000000000001</v>
      </c>
      <c r="BD1785" t="s">
        <v>65</v>
      </c>
      <c r="BE1785">
        <v>24</v>
      </c>
      <c r="BF1785">
        <v>19</v>
      </c>
      <c r="BG1785" t="s">
        <v>3006</v>
      </c>
      <c r="BH1785" t="s">
        <v>3007</v>
      </c>
      <c r="BI1785" t="s">
        <v>3008</v>
      </c>
      <c r="BJ1785">
        <v>0.29098000000000002</v>
      </c>
      <c r="BK1785">
        <v>1</v>
      </c>
      <c r="BL1785" t="s">
        <v>69</v>
      </c>
      <c r="BM1785">
        <v>-0.54500000000000004</v>
      </c>
      <c r="BN1785">
        <v>-1.669</v>
      </c>
    </row>
    <row r="1786" spans="2:66">
      <c r="B1786">
        <v>3183</v>
      </c>
      <c r="C1786">
        <v>98</v>
      </c>
      <c r="D1786">
        <v>0</v>
      </c>
      <c r="E1786">
        <v>2</v>
      </c>
      <c r="F1786">
        <v>0</v>
      </c>
      <c r="J1786">
        <v>0</v>
      </c>
      <c r="K1786">
        <v>5</v>
      </c>
      <c r="L1786">
        <v>0</v>
      </c>
      <c r="M1786" t="s">
        <v>25022</v>
      </c>
      <c r="N1786">
        <v>442</v>
      </c>
      <c r="O1786" t="s">
        <v>3009</v>
      </c>
      <c r="P1786" t="s">
        <v>57</v>
      </c>
      <c r="Q1786">
        <v>488830</v>
      </c>
      <c r="R1786">
        <v>490551</v>
      </c>
      <c r="S1786" t="s">
        <v>3010</v>
      </c>
      <c r="T1786">
        <v>574</v>
      </c>
      <c r="U1786" t="s">
        <v>2950</v>
      </c>
      <c r="V1786">
        <v>41</v>
      </c>
      <c r="W1786" t="str">
        <f>HYPERLINK("Gene442-zp_tree_all.dnd", "Gene442-tree")</f>
        <v>Gene442-tree</v>
      </c>
      <c r="X1786">
        <v>5</v>
      </c>
      <c r="Y1786">
        <v>12</v>
      </c>
      <c r="Z1786">
        <v>5</v>
      </c>
      <c r="AA1786">
        <v>12</v>
      </c>
      <c r="AB1786">
        <v>0.70587999999999995</v>
      </c>
      <c r="AC1786" t="s">
        <v>199</v>
      </c>
      <c r="AD1786" t="s">
        <v>109</v>
      </c>
      <c r="AE1786" t="s">
        <v>62</v>
      </c>
      <c r="AF1786" t="s">
        <v>62</v>
      </c>
      <c r="AG1786">
        <v>2</v>
      </c>
      <c r="AH1786">
        <v>5</v>
      </c>
      <c r="AI1786">
        <v>15</v>
      </c>
      <c r="AJ1786">
        <v>0.25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4</v>
      </c>
      <c r="AQ1786">
        <v>0</v>
      </c>
      <c r="AR1786">
        <v>4</v>
      </c>
      <c r="AS1786">
        <v>12</v>
      </c>
      <c r="AT1786">
        <v>0.25</v>
      </c>
      <c r="AU1786">
        <v>15</v>
      </c>
      <c r="AV1786">
        <v>13</v>
      </c>
      <c r="AW1786">
        <v>55</v>
      </c>
      <c r="AX1786">
        <v>16</v>
      </c>
      <c r="AY1786">
        <v>85</v>
      </c>
      <c r="AZ1786">
        <v>4</v>
      </c>
      <c r="BA1786" t="s">
        <v>3011</v>
      </c>
      <c r="BB1786" t="s">
        <v>3012</v>
      </c>
      <c r="BC1786">
        <v>2.78</v>
      </c>
      <c r="BD1786" t="s">
        <v>267</v>
      </c>
      <c r="BE1786">
        <v>140</v>
      </c>
      <c r="BF1786">
        <v>20</v>
      </c>
      <c r="BG1786" t="s">
        <v>3013</v>
      </c>
      <c r="BH1786" t="s">
        <v>3014</v>
      </c>
      <c r="BI1786" t="s">
        <v>3015</v>
      </c>
      <c r="BJ1786">
        <v>3.3930000000000002E-2</v>
      </c>
      <c r="BK1786">
        <v>1</v>
      </c>
      <c r="BL1786" t="s">
        <v>69</v>
      </c>
      <c r="BM1786">
        <v>0.21099999999999999</v>
      </c>
      <c r="BN1786">
        <v>-0.53800000000000003</v>
      </c>
    </row>
    <row r="1787" spans="2:66">
      <c r="B1787">
        <v>3185</v>
      </c>
      <c r="C1787">
        <v>79</v>
      </c>
      <c r="D1787">
        <v>0</v>
      </c>
      <c r="E1787">
        <v>2</v>
      </c>
      <c r="F1787">
        <v>0</v>
      </c>
      <c r="J1787">
        <v>0</v>
      </c>
      <c r="K1787">
        <v>6</v>
      </c>
      <c r="L1787">
        <v>2</v>
      </c>
      <c r="M1787" t="s">
        <v>25022</v>
      </c>
      <c r="N1787">
        <v>447</v>
      </c>
      <c r="O1787" t="s">
        <v>3033</v>
      </c>
      <c r="P1787" t="s">
        <v>57</v>
      </c>
      <c r="Q1787">
        <v>493559</v>
      </c>
      <c r="R1787">
        <v>494374</v>
      </c>
      <c r="S1787" t="s">
        <v>116</v>
      </c>
      <c r="T1787">
        <v>272</v>
      </c>
      <c r="U1787" t="s">
        <v>265</v>
      </c>
      <c r="V1787">
        <v>43</v>
      </c>
      <c r="W1787" t="str">
        <f>HYPERLINK("Gene447-zp_tree_all.dnd", "Gene447-tree")</f>
        <v>Gene447-tree</v>
      </c>
      <c r="X1787">
        <v>4</v>
      </c>
      <c r="Y1787">
        <v>8</v>
      </c>
      <c r="Z1787">
        <v>4</v>
      </c>
      <c r="AA1787">
        <v>8</v>
      </c>
      <c r="AB1787">
        <v>0.66666999999999998</v>
      </c>
      <c r="AC1787" t="s">
        <v>61</v>
      </c>
      <c r="AD1787" t="s">
        <v>136</v>
      </c>
      <c r="AE1787" t="s">
        <v>62</v>
      </c>
      <c r="AF1787" t="s">
        <v>62</v>
      </c>
      <c r="AG1787">
        <v>4</v>
      </c>
      <c r="AH1787">
        <v>8</v>
      </c>
      <c r="AI1787">
        <v>5</v>
      </c>
      <c r="AJ1787">
        <v>0.61538000000000004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2</v>
      </c>
      <c r="AQ1787">
        <v>0</v>
      </c>
      <c r="AR1787">
        <v>2</v>
      </c>
      <c r="AS1787">
        <v>8</v>
      </c>
      <c r="AT1787">
        <v>0.2</v>
      </c>
      <c r="AU1787">
        <v>9</v>
      </c>
      <c r="AV1787">
        <v>7</v>
      </c>
      <c r="AW1787">
        <v>21</v>
      </c>
      <c r="AX1787">
        <v>9</v>
      </c>
      <c r="AY1787">
        <v>9</v>
      </c>
      <c r="AZ1787">
        <v>4</v>
      </c>
      <c r="BA1787" t="s">
        <v>3034</v>
      </c>
      <c r="BB1787" t="s">
        <v>3035</v>
      </c>
      <c r="BC1787">
        <v>4.3999999999999997E-2</v>
      </c>
      <c r="BD1787" t="s">
        <v>65</v>
      </c>
      <c r="BE1787">
        <v>30</v>
      </c>
      <c r="BF1787">
        <v>13</v>
      </c>
      <c r="BG1787" t="s">
        <v>3036</v>
      </c>
      <c r="BH1787" t="s">
        <v>3037</v>
      </c>
      <c r="BI1787" t="s">
        <v>3038</v>
      </c>
      <c r="BJ1787">
        <v>0.11638</v>
      </c>
      <c r="BK1787">
        <v>1</v>
      </c>
      <c r="BL1787" t="s">
        <v>69</v>
      </c>
      <c r="BM1787">
        <v>-0.91100000000000003</v>
      </c>
      <c r="BN1787">
        <v>-1.8169999999999999</v>
      </c>
    </row>
    <row r="1788" spans="2:66">
      <c r="B1788">
        <v>3186</v>
      </c>
      <c r="C1788">
        <v>2</v>
      </c>
      <c r="D1788">
        <v>0</v>
      </c>
      <c r="E1788">
        <v>2</v>
      </c>
      <c r="F1788">
        <v>0</v>
      </c>
      <c r="J1788">
        <v>0</v>
      </c>
      <c r="K1788">
        <v>0</v>
      </c>
      <c r="L1788">
        <v>3</v>
      </c>
      <c r="M1788" t="s">
        <v>25022</v>
      </c>
      <c r="N1788">
        <v>448</v>
      </c>
      <c r="O1788" t="s">
        <v>3039</v>
      </c>
      <c r="P1788" t="s">
        <v>57</v>
      </c>
      <c r="Q1788">
        <v>494506</v>
      </c>
      <c r="R1788">
        <v>494874</v>
      </c>
      <c r="S1788" t="s">
        <v>3040</v>
      </c>
      <c r="T1788">
        <v>123</v>
      </c>
      <c r="U1788" t="s">
        <v>3041</v>
      </c>
      <c r="V1788">
        <v>48</v>
      </c>
      <c r="W1788" t="str">
        <f>HYPERLINK("Gene448-zp_tree_all.dnd", "Gene448-tree")</f>
        <v>Gene448-tree</v>
      </c>
      <c r="X1788">
        <v>14</v>
      </c>
      <c r="Y1788">
        <v>2</v>
      </c>
      <c r="Z1788">
        <v>14</v>
      </c>
      <c r="AA1788">
        <v>2</v>
      </c>
      <c r="AB1788">
        <v>0.125</v>
      </c>
      <c r="AC1788" t="s">
        <v>543</v>
      </c>
      <c r="AD1788" t="s">
        <v>81</v>
      </c>
      <c r="AE1788" t="s">
        <v>62</v>
      </c>
      <c r="AF1788" t="s">
        <v>62</v>
      </c>
      <c r="AG1788">
        <v>1</v>
      </c>
      <c r="AH1788">
        <v>3</v>
      </c>
      <c r="AI1788">
        <v>7</v>
      </c>
      <c r="AJ1788">
        <v>0.3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3</v>
      </c>
      <c r="AT1788">
        <v>0</v>
      </c>
      <c r="AU1788">
        <v>12</v>
      </c>
      <c r="AV1788">
        <v>11</v>
      </c>
      <c r="AW1788">
        <v>20</v>
      </c>
      <c r="AX1788">
        <v>3</v>
      </c>
      <c r="AY1788">
        <v>27</v>
      </c>
      <c r="AZ1788">
        <v>7</v>
      </c>
      <c r="BA1788" t="s">
        <v>3042</v>
      </c>
      <c r="BB1788" t="s">
        <v>3043</v>
      </c>
      <c r="BC1788">
        <v>0.36799999999999999</v>
      </c>
      <c r="BD1788" t="s">
        <v>65</v>
      </c>
      <c r="BE1788">
        <v>47</v>
      </c>
      <c r="BF1788">
        <v>10</v>
      </c>
      <c r="BG1788" t="s">
        <v>3044</v>
      </c>
      <c r="BH1788" t="s">
        <v>3045</v>
      </c>
      <c r="BI1788" t="s">
        <v>3046</v>
      </c>
      <c r="BJ1788">
        <v>6.8570000000000006E-2</v>
      </c>
      <c r="BK1788">
        <v>1</v>
      </c>
      <c r="BL1788" t="s">
        <v>69</v>
      </c>
      <c r="BM1788">
        <v>-0.745</v>
      </c>
      <c r="BN1788">
        <v>-0.77200000000000002</v>
      </c>
    </row>
    <row r="1789" spans="2:66">
      <c r="B1789">
        <v>3187</v>
      </c>
      <c r="C1789">
        <v>358</v>
      </c>
      <c r="D1789">
        <v>0</v>
      </c>
      <c r="E1789">
        <v>3</v>
      </c>
      <c r="F1789">
        <v>0</v>
      </c>
      <c r="J1789">
        <v>0</v>
      </c>
      <c r="K1789">
        <v>0</v>
      </c>
      <c r="L1789">
        <v>0</v>
      </c>
      <c r="M1789" t="s">
        <v>25022</v>
      </c>
      <c r="N1789">
        <v>449</v>
      </c>
      <c r="O1789" t="s">
        <v>3047</v>
      </c>
      <c r="P1789" t="s">
        <v>57</v>
      </c>
      <c r="Q1789">
        <v>495009</v>
      </c>
      <c r="R1789">
        <v>495347</v>
      </c>
      <c r="S1789" t="s">
        <v>3048</v>
      </c>
      <c r="T1789">
        <v>113</v>
      </c>
      <c r="U1789" t="s">
        <v>108</v>
      </c>
      <c r="V1789">
        <v>44</v>
      </c>
      <c r="W1789" t="str">
        <f>HYPERLINK("Gene449-zp_tree_all.dnd", "Gene449-tree")</f>
        <v>Gene449-tree</v>
      </c>
      <c r="X1789">
        <v>6</v>
      </c>
      <c r="Y1789">
        <v>5</v>
      </c>
      <c r="Z1789">
        <v>6</v>
      </c>
      <c r="AA1789">
        <v>5</v>
      </c>
      <c r="AB1789">
        <v>0.45455000000000001</v>
      </c>
      <c r="AC1789" t="s">
        <v>90</v>
      </c>
      <c r="AD1789" t="s">
        <v>199</v>
      </c>
      <c r="AE1789" t="s">
        <v>62</v>
      </c>
      <c r="AF1789" t="s">
        <v>62</v>
      </c>
      <c r="AG1789">
        <v>0</v>
      </c>
      <c r="AH1789">
        <v>0</v>
      </c>
      <c r="AI1789">
        <v>8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6</v>
      </c>
      <c r="AT1789">
        <v>0</v>
      </c>
      <c r="AU1789">
        <v>8</v>
      </c>
      <c r="AV1789">
        <v>5</v>
      </c>
      <c r="AW1789">
        <v>5</v>
      </c>
      <c r="AX1789">
        <v>6</v>
      </c>
      <c r="AY1789">
        <v>7</v>
      </c>
      <c r="AZ1789">
        <v>2</v>
      </c>
      <c r="BA1789" t="s">
        <v>3049</v>
      </c>
      <c r="BB1789" t="s">
        <v>3050</v>
      </c>
      <c r="BC1789">
        <v>0.96599999999999997</v>
      </c>
      <c r="BD1789" t="s">
        <v>65</v>
      </c>
      <c r="BE1789">
        <v>12</v>
      </c>
      <c r="BF1789">
        <v>8</v>
      </c>
      <c r="BG1789" t="s">
        <v>3051</v>
      </c>
      <c r="BH1789" t="s">
        <v>3052</v>
      </c>
      <c r="BI1789" t="s">
        <v>3053</v>
      </c>
      <c r="BJ1789">
        <v>0.16661999999999999</v>
      </c>
      <c r="BK1789">
        <v>1</v>
      </c>
      <c r="BL1789" t="s">
        <v>69</v>
      </c>
      <c r="BM1789">
        <v>-0.65200000000000002</v>
      </c>
      <c r="BN1789">
        <v>-0.40400000000000003</v>
      </c>
    </row>
    <row r="1790" spans="2:66">
      <c r="B1790">
        <v>3188</v>
      </c>
      <c r="C1790">
        <v>329</v>
      </c>
      <c r="D1790">
        <v>0</v>
      </c>
      <c r="E1790">
        <v>9</v>
      </c>
      <c r="F1790">
        <v>0</v>
      </c>
      <c r="J1790">
        <v>0</v>
      </c>
      <c r="K1790">
        <v>4</v>
      </c>
      <c r="L1790">
        <v>1</v>
      </c>
      <c r="M1790" t="s">
        <v>25022</v>
      </c>
      <c r="N1790">
        <v>450</v>
      </c>
      <c r="O1790" t="s">
        <v>3054</v>
      </c>
      <c r="P1790" t="s">
        <v>57</v>
      </c>
      <c r="Q1790">
        <v>495344</v>
      </c>
      <c r="R1790">
        <v>495700</v>
      </c>
      <c r="S1790" t="s">
        <v>116</v>
      </c>
      <c r="T1790">
        <v>119</v>
      </c>
      <c r="U1790" t="s">
        <v>108</v>
      </c>
      <c r="V1790">
        <v>44</v>
      </c>
      <c r="W1790" t="str">
        <f>HYPERLINK("Gene450-zp_tree_all.dnd", "Gene450-tree")</f>
        <v>Gene450-tree</v>
      </c>
      <c r="X1790">
        <v>3</v>
      </c>
      <c r="Y1790">
        <v>9</v>
      </c>
      <c r="Z1790">
        <v>3</v>
      </c>
      <c r="AA1790">
        <v>9</v>
      </c>
      <c r="AB1790">
        <v>0.75</v>
      </c>
      <c r="AC1790" t="s">
        <v>324</v>
      </c>
      <c r="AD1790" t="s">
        <v>135</v>
      </c>
      <c r="AE1790" t="s">
        <v>62</v>
      </c>
      <c r="AF1790" t="s">
        <v>62</v>
      </c>
      <c r="AG1790">
        <v>2</v>
      </c>
      <c r="AH1790">
        <v>5</v>
      </c>
      <c r="AI1790">
        <v>10</v>
      </c>
      <c r="AJ1790">
        <v>0.33333000000000002</v>
      </c>
      <c r="AK1790">
        <v>0</v>
      </c>
      <c r="AL1790">
        <v>0</v>
      </c>
      <c r="AM1790">
        <v>0</v>
      </c>
      <c r="AN1790">
        <v>3</v>
      </c>
      <c r="AO1790">
        <v>0</v>
      </c>
      <c r="AP1790">
        <v>2</v>
      </c>
      <c r="AQ1790">
        <v>0</v>
      </c>
      <c r="AR1790">
        <v>2</v>
      </c>
      <c r="AS1790">
        <v>9</v>
      </c>
      <c r="AT1790">
        <v>0.18182000000000001</v>
      </c>
      <c r="AU1790">
        <v>9</v>
      </c>
      <c r="AV1790">
        <v>4</v>
      </c>
      <c r="AW1790">
        <v>9</v>
      </c>
      <c r="AX1790">
        <v>10</v>
      </c>
      <c r="AY1790">
        <v>8</v>
      </c>
      <c r="AZ1790">
        <v>5</v>
      </c>
      <c r="BA1790" t="s">
        <v>3055</v>
      </c>
      <c r="BB1790" t="s">
        <v>3056</v>
      </c>
      <c r="BC1790">
        <v>0.52300000000000002</v>
      </c>
      <c r="BD1790" t="s">
        <v>65</v>
      </c>
      <c r="BE1790">
        <v>17</v>
      </c>
      <c r="BF1790">
        <v>15</v>
      </c>
      <c r="BG1790" t="s">
        <v>3057</v>
      </c>
      <c r="BH1790" t="s">
        <v>3058</v>
      </c>
      <c r="BI1790" t="s">
        <v>3059</v>
      </c>
      <c r="BJ1790">
        <v>0.20671999999999999</v>
      </c>
      <c r="BK1790">
        <v>1</v>
      </c>
      <c r="BL1790" t="s">
        <v>69</v>
      </c>
      <c r="BM1790">
        <v>-0.34399999999999997</v>
      </c>
      <c r="BN1790">
        <v>3.3000000000000002E-2</v>
      </c>
    </row>
    <row r="1791" spans="2:66">
      <c r="B1791">
        <v>3189</v>
      </c>
      <c r="C1791">
        <v>40</v>
      </c>
      <c r="D1791">
        <v>0</v>
      </c>
      <c r="E1791">
        <v>0</v>
      </c>
      <c r="F1791">
        <v>2</v>
      </c>
      <c r="J1791">
        <v>0</v>
      </c>
      <c r="K1791">
        <v>10</v>
      </c>
      <c r="L1791">
        <v>0</v>
      </c>
      <c r="M1791" t="s">
        <v>25022</v>
      </c>
      <c r="N1791">
        <v>453</v>
      </c>
      <c r="O1791" t="s">
        <v>3073</v>
      </c>
      <c r="P1791" t="s">
        <v>57</v>
      </c>
      <c r="Q1791">
        <v>497768</v>
      </c>
      <c r="R1791">
        <v>499372</v>
      </c>
      <c r="S1791" t="s">
        <v>3074</v>
      </c>
      <c r="T1791">
        <v>535</v>
      </c>
      <c r="U1791" t="s">
        <v>108</v>
      </c>
      <c r="V1791">
        <v>44</v>
      </c>
      <c r="W1791" t="str">
        <f>HYPERLINK("Gene453-zp_tree_all.dnd", "Gene453-tree")</f>
        <v>Gene453-tree</v>
      </c>
      <c r="X1791">
        <v>7</v>
      </c>
      <c r="Y1791">
        <v>8</v>
      </c>
      <c r="Z1791">
        <v>7</v>
      </c>
      <c r="AA1791">
        <v>8</v>
      </c>
      <c r="AB1791">
        <v>0.53332999999999997</v>
      </c>
      <c r="AC1791" t="s">
        <v>152</v>
      </c>
      <c r="AD1791" t="s">
        <v>136</v>
      </c>
      <c r="AE1791" t="s">
        <v>62</v>
      </c>
      <c r="AF1791" t="s">
        <v>62</v>
      </c>
      <c r="AG1791">
        <v>4</v>
      </c>
      <c r="AH1791">
        <v>10</v>
      </c>
      <c r="AI1791">
        <v>10</v>
      </c>
      <c r="AJ1791">
        <v>0.5</v>
      </c>
      <c r="AK1791">
        <v>0</v>
      </c>
      <c r="AL1791">
        <v>0</v>
      </c>
      <c r="AM1791">
        <v>0</v>
      </c>
      <c r="AN1791">
        <v>2</v>
      </c>
      <c r="AO1791">
        <v>0</v>
      </c>
      <c r="AP1791">
        <v>5</v>
      </c>
      <c r="AQ1791">
        <v>0</v>
      </c>
      <c r="AR1791">
        <v>5</v>
      </c>
      <c r="AS1791">
        <v>11</v>
      </c>
      <c r="AT1791">
        <v>0.3125</v>
      </c>
      <c r="AU1791">
        <v>13</v>
      </c>
      <c r="AV1791">
        <v>11</v>
      </c>
      <c r="AW1791">
        <v>53</v>
      </c>
      <c r="AX1791">
        <v>16</v>
      </c>
      <c r="AY1791">
        <v>37</v>
      </c>
      <c r="AZ1791">
        <v>4</v>
      </c>
      <c r="BA1791" t="s">
        <v>3075</v>
      </c>
      <c r="BB1791" t="s">
        <v>3076</v>
      </c>
      <c r="BC1791">
        <v>1.6379999999999999</v>
      </c>
      <c r="BD1791" t="s">
        <v>65</v>
      </c>
      <c r="BE1791">
        <v>90</v>
      </c>
      <c r="BF1791">
        <v>20</v>
      </c>
      <c r="BG1791" t="s">
        <v>3077</v>
      </c>
      <c r="BH1791" t="s">
        <v>3078</v>
      </c>
      <c r="BI1791" t="s">
        <v>3079</v>
      </c>
      <c r="BJ1791">
        <v>6.1019999999999998E-2</v>
      </c>
      <c r="BK1791">
        <v>1</v>
      </c>
      <c r="BL1791" t="s">
        <v>69</v>
      </c>
      <c r="BM1791">
        <v>4.1000000000000002E-2</v>
      </c>
      <c r="BN1791">
        <v>-6.5000000000000002E-2</v>
      </c>
    </row>
    <row r="1792" spans="2:66">
      <c r="B1792">
        <v>3190</v>
      </c>
      <c r="C1792">
        <v>134</v>
      </c>
      <c r="D1792">
        <v>0</v>
      </c>
      <c r="E1792">
        <v>7</v>
      </c>
      <c r="F1792">
        <v>0</v>
      </c>
      <c r="J1792">
        <v>0</v>
      </c>
      <c r="K1792">
        <v>0</v>
      </c>
      <c r="L1792">
        <v>2</v>
      </c>
      <c r="M1792" t="s">
        <v>25022</v>
      </c>
      <c r="N1792">
        <v>454</v>
      </c>
      <c r="O1792" t="s">
        <v>3080</v>
      </c>
      <c r="P1792" t="s">
        <v>57</v>
      </c>
      <c r="Q1792">
        <v>499365</v>
      </c>
      <c r="R1792">
        <v>500042</v>
      </c>
      <c r="S1792" t="s">
        <v>3081</v>
      </c>
      <c r="T1792">
        <v>226</v>
      </c>
      <c r="U1792" t="s">
        <v>108</v>
      </c>
      <c r="V1792">
        <v>44</v>
      </c>
      <c r="W1792" t="str">
        <f>HYPERLINK("Gene454-zp_tree_all.dnd", "Gene454-tree")</f>
        <v>Gene454-tree</v>
      </c>
      <c r="X1792">
        <v>11</v>
      </c>
      <c r="Y1792">
        <v>5</v>
      </c>
      <c r="Z1792">
        <v>11</v>
      </c>
      <c r="AA1792">
        <v>5</v>
      </c>
      <c r="AB1792">
        <v>0.3125</v>
      </c>
      <c r="AC1792" t="s">
        <v>73</v>
      </c>
      <c r="AD1792" t="s">
        <v>199</v>
      </c>
      <c r="AE1792" t="s">
        <v>62</v>
      </c>
      <c r="AF1792" t="s">
        <v>62</v>
      </c>
      <c r="AG1792">
        <v>1</v>
      </c>
      <c r="AH1792">
        <v>2</v>
      </c>
      <c r="AI1792">
        <v>6</v>
      </c>
      <c r="AJ1792">
        <v>0.25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5</v>
      </c>
      <c r="AT1792">
        <v>0</v>
      </c>
      <c r="AU1792">
        <v>13</v>
      </c>
      <c r="AV1792">
        <v>8</v>
      </c>
      <c r="AW1792">
        <v>26</v>
      </c>
      <c r="AX1792">
        <v>6</v>
      </c>
      <c r="AY1792">
        <v>9</v>
      </c>
      <c r="AZ1792">
        <v>3</v>
      </c>
      <c r="BA1792" t="s">
        <v>3082</v>
      </c>
      <c r="BB1792" t="s">
        <v>3083</v>
      </c>
      <c r="BC1792">
        <v>0.24299999999999999</v>
      </c>
      <c r="BD1792" t="s">
        <v>65</v>
      </c>
      <c r="BE1792">
        <v>35</v>
      </c>
      <c r="BF1792">
        <v>9</v>
      </c>
      <c r="BG1792" t="s">
        <v>3084</v>
      </c>
      <c r="BH1792" t="s">
        <v>3085</v>
      </c>
      <c r="BI1792" t="s">
        <v>3086</v>
      </c>
      <c r="BJ1792">
        <v>9.3679999999999999E-2</v>
      </c>
      <c r="BK1792">
        <v>1</v>
      </c>
      <c r="BL1792" t="s">
        <v>69</v>
      </c>
      <c r="BM1792">
        <v>-1.5580000000000001</v>
      </c>
      <c r="BN1792">
        <v>-3.5750000000000002</v>
      </c>
    </row>
    <row r="1793" spans="2:66">
      <c r="B1793">
        <v>3191</v>
      </c>
      <c r="C1793">
        <v>232</v>
      </c>
      <c r="D1793">
        <v>0</v>
      </c>
      <c r="E1793">
        <v>25</v>
      </c>
      <c r="F1793">
        <v>3</v>
      </c>
      <c r="J1793">
        <v>0</v>
      </c>
      <c r="K1793">
        <v>4</v>
      </c>
      <c r="L1793">
        <v>2</v>
      </c>
      <c r="M1793" t="s">
        <v>25022</v>
      </c>
      <c r="N1793">
        <v>455</v>
      </c>
      <c r="O1793" t="s">
        <v>3087</v>
      </c>
      <c r="P1793" t="s">
        <v>57</v>
      </c>
      <c r="Q1793">
        <v>500166</v>
      </c>
      <c r="R1793">
        <v>501428</v>
      </c>
      <c r="S1793" t="s">
        <v>3088</v>
      </c>
      <c r="T1793">
        <v>421</v>
      </c>
      <c r="U1793" t="s">
        <v>59</v>
      </c>
      <c r="V1793">
        <v>49</v>
      </c>
      <c r="W1793" t="str">
        <f>HYPERLINK("Gene455-zp_tree_all.dnd", "Gene455-tree")</f>
        <v>Gene455-tree</v>
      </c>
      <c r="X1793">
        <v>14</v>
      </c>
      <c r="Y1793">
        <v>5</v>
      </c>
      <c r="Z1793">
        <v>14</v>
      </c>
      <c r="AA1793">
        <v>5</v>
      </c>
      <c r="AB1793">
        <v>0.26316000000000001</v>
      </c>
      <c r="AC1793" t="s">
        <v>543</v>
      </c>
      <c r="AD1793" t="s">
        <v>199</v>
      </c>
      <c r="AE1793" t="s">
        <v>62</v>
      </c>
      <c r="AF1793" t="s">
        <v>62</v>
      </c>
      <c r="AG1793">
        <v>3</v>
      </c>
      <c r="AH1793">
        <v>6</v>
      </c>
      <c r="AI1793">
        <v>5</v>
      </c>
      <c r="AJ1793">
        <v>0.54544999999999999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5</v>
      </c>
      <c r="AT1793">
        <v>0</v>
      </c>
      <c r="AU1793">
        <v>17</v>
      </c>
      <c r="AV1793">
        <v>16</v>
      </c>
      <c r="AW1793">
        <v>64</v>
      </c>
      <c r="AX1793">
        <v>5</v>
      </c>
      <c r="AY1793">
        <v>88</v>
      </c>
      <c r="AZ1793">
        <v>6</v>
      </c>
      <c r="BA1793" t="s">
        <v>3089</v>
      </c>
      <c r="BB1793" t="s">
        <v>3090</v>
      </c>
      <c r="BC1793">
        <v>0.11700000000000001</v>
      </c>
      <c r="BD1793" t="s">
        <v>65</v>
      </c>
      <c r="BE1793">
        <v>152</v>
      </c>
      <c r="BF1793">
        <v>11</v>
      </c>
      <c r="BG1793" t="s">
        <v>3091</v>
      </c>
      <c r="BH1793" t="s">
        <v>3092</v>
      </c>
      <c r="BI1793" t="s">
        <v>3093</v>
      </c>
      <c r="BJ1793">
        <v>2.172E-2</v>
      </c>
      <c r="BK1793">
        <v>1</v>
      </c>
      <c r="BL1793" t="s">
        <v>69</v>
      </c>
      <c r="BM1793">
        <v>-0.86599999999999999</v>
      </c>
      <c r="BN1793">
        <v>-0.19500000000000001</v>
      </c>
    </row>
    <row r="1794" spans="2:66">
      <c r="B1794">
        <v>3192</v>
      </c>
      <c r="C1794">
        <v>122</v>
      </c>
      <c r="D1794">
        <v>0</v>
      </c>
      <c r="E1794">
        <v>7</v>
      </c>
      <c r="F1794">
        <v>0</v>
      </c>
      <c r="J1794">
        <v>0</v>
      </c>
      <c r="K1794">
        <v>0</v>
      </c>
      <c r="L1794">
        <v>0</v>
      </c>
      <c r="M1794" t="s">
        <v>25022</v>
      </c>
      <c r="N1794">
        <v>456</v>
      </c>
      <c r="O1794" t="s">
        <v>3094</v>
      </c>
      <c r="P1794" t="s">
        <v>57</v>
      </c>
      <c r="Q1794">
        <v>501579</v>
      </c>
      <c r="R1794">
        <v>502628</v>
      </c>
      <c r="S1794" t="s">
        <v>3095</v>
      </c>
      <c r="T1794">
        <v>350</v>
      </c>
      <c r="U1794" t="s">
        <v>108</v>
      </c>
      <c r="V1794">
        <v>44</v>
      </c>
      <c r="W1794" t="str">
        <f>HYPERLINK("Gene456-zp_tree_all.dnd", "Gene456-tree")</f>
        <v>Gene456-tree</v>
      </c>
      <c r="X1794">
        <v>12</v>
      </c>
      <c r="Y1794">
        <v>2</v>
      </c>
      <c r="Z1794">
        <v>12</v>
      </c>
      <c r="AA1794">
        <v>2</v>
      </c>
      <c r="AB1794">
        <v>0.14285999999999999</v>
      </c>
      <c r="AC1794" t="s">
        <v>109</v>
      </c>
      <c r="AD1794" t="s">
        <v>81</v>
      </c>
      <c r="AE1794" t="s">
        <v>62</v>
      </c>
      <c r="AF1794" t="s">
        <v>62</v>
      </c>
      <c r="AG1794">
        <v>0</v>
      </c>
      <c r="AH1794">
        <v>0</v>
      </c>
      <c r="AI1794">
        <v>3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3</v>
      </c>
      <c r="AT1794">
        <v>0</v>
      </c>
      <c r="AU1794">
        <v>11</v>
      </c>
      <c r="AV1794">
        <v>8</v>
      </c>
      <c r="AW1794">
        <v>28</v>
      </c>
      <c r="AX1794">
        <v>3</v>
      </c>
      <c r="AY1794">
        <v>18</v>
      </c>
      <c r="AZ1794">
        <v>0</v>
      </c>
      <c r="BA1794" t="s">
        <v>3096</v>
      </c>
      <c r="BB1794" t="s">
        <v>193</v>
      </c>
      <c r="BC1794">
        <v>0.53800000000000003</v>
      </c>
      <c r="BD1794" t="s">
        <v>65</v>
      </c>
      <c r="BE1794">
        <v>46</v>
      </c>
      <c r="BF1794">
        <v>3</v>
      </c>
      <c r="BG1794" t="s">
        <v>3097</v>
      </c>
      <c r="BH1794" t="s">
        <v>3098</v>
      </c>
      <c r="BI1794" t="s">
        <v>3099</v>
      </c>
      <c r="BJ1794">
        <v>1.315E-2</v>
      </c>
      <c r="BK1794">
        <v>1</v>
      </c>
      <c r="BL1794" t="s">
        <v>69</v>
      </c>
      <c r="BM1794">
        <v>-0.79200000000000004</v>
      </c>
      <c r="BN1794">
        <v>-1.752</v>
      </c>
    </row>
    <row r="1795" spans="2:66">
      <c r="B1795">
        <v>3193</v>
      </c>
      <c r="C1795">
        <v>237</v>
      </c>
      <c r="D1795">
        <v>0</v>
      </c>
      <c r="E1795">
        <v>2</v>
      </c>
      <c r="F1795">
        <v>0</v>
      </c>
      <c r="J1795">
        <v>0</v>
      </c>
      <c r="K1795">
        <v>4</v>
      </c>
      <c r="L1795">
        <v>0</v>
      </c>
      <c r="M1795" t="s">
        <v>25022</v>
      </c>
      <c r="N1795">
        <v>457</v>
      </c>
      <c r="O1795" t="s">
        <v>3100</v>
      </c>
      <c r="P1795" t="s">
        <v>57</v>
      </c>
      <c r="Q1795">
        <v>502908</v>
      </c>
      <c r="R1795">
        <v>503831</v>
      </c>
      <c r="S1795" t="s">
        <v>3101</v>
      </c>
      <c r="T1795">
        <v>308</v>
      </c>
      <c r="U1795" t="s">
        <v>108</v>
      </c>
      <c r="V1795">
        <v>44</v>
      </c>
      <c r="W1795" t="str">
        <f>HYPERLINK("Gene457-zp_tree_all.dnd", "Gene457-tree")</f>
        <v>Gene457-tree</v>
      </c>
      <c r="X1795">
        <v>7</v>
      </c>
      <c r="Y1795">
        <v>9</v>
      </c>
      <c r="Z1795">
        <v>7</v>
      </c>
      <c r="AA1795">
        <v>9</v>
      </c>
      <c r="AB1795">
        <v>0.5625</v>
      </c>
      <c r="AC1795" t="s">
        <v>152</v>
      </c>
      <c r="AD1795" t="s">
        <v>135</v>
      </c>
      <c r="AE1795" t="s">
        <v>62</v>
      </c>
      <c r="AF1795" t="s">
        <v>62</v>
      </c>
      <c r="AG1795">
        <v>2</v>
      </c>
      <c r="AH1795">
        <v>4</v>
      </c>
      <c r="AI1795">
        <v>13</v>
      </c>
      <c r="AJ1795">
        <v>0.23529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12</v>
      </c>
      <c r="AT1795">
        <v>0</v>
      </c>
      <c r="AU1795">
        <v>13</v>
      </c>
      <c r="AV1795">
        <v>10</v>
      </c>
      <c r="AW1795">
        <v>41</v>
      </c>
      <c r="AX1795">
        <v>11</v>
      </c>
      <c r="AY1795">
        <v>35</v>
      </c>
      <c r="AZ1795">
        <v>6</v>
      </c>
      <c r="BA1795" t="s">
        <v>3102</v>
      </c>
      <c r="BB1795" t="s">
        <v>3103</v>
      </c>
      <c r="BC1795">
        <v>0.48099999999999998</v>
      </c>
      <c r="BD1795" t="s">
        <v>65</v>
      </c>
      <c r="BE1795">
        <v>76</v>
      </c>
      <c r="BF1795">
        <v>17</v>
      </c>
      <c r="BG1795" t="s">
        <v>3104</v>
      </c>
      <c r="BH1795" t="s">
        <v>3105</v>
      </c>
      <c r="BI1795" t="s">
        <v>3106</v>
      </c>
      <c r="BJ1795">
        <v>6.9010000000000002E-2</v>
      </c>
      <c r="BK1795">
        <v>1</v>
      </c>
      <c r="BL1795" t="s">
        <v>69</v>
      </c>
      <c r="BM1795">
        <v>-1.073</v>
      </c>
      <c r="BN1795">
        <v>-1.359</v>
      </c>
    </row>
    <row r="1796" spans="2:66">
      <c r="B1796">
        <v>3194</v>
      </c>
      <c r="C1796">
        <v>41</v>
      </c>
      <c r="D1796">
        <v>0</v>
      </c>
      <c r="E1796">
        <v>13</v>
      </c>
      <c r="F1796">
        <v>1</v>
      </c>
      <c r="J1796">
        <v>0</v>
      </c>
      <c r="K1796">
        <v>0</v>
      </c>
      <c r="L1796">
        <v>0</v>
      </c>
      <c r="M1796" t="s">
        <v>25022</v>
      </c>
      <c r="N1796">
        <v>458</v>
      </c>
      <c r="O1796" t="s">
        <v>3107</v>
      </c>
      <c r="P1796" t="s">
        <v>57</v>
      </c>
      <c r="Q1796">
        <v>503854</v>
      </c>
      <c r="R1796">
        <v>504591</v>
      </c>
      <c r="S1796" t="s">
        <v>3108</v>
      </c>
      <c r="T1796">
        <v>246</v>
      </c>
      <c r="U1796" t="s">
        <v>108</v>
      </c>
      <c r="V1796">
        <v>44</v>
      </c>
      <c r="W1796" t="str">
        <f>HYPERLINK("Gene458-zp_tree_all.dnd", "Gene458-tree")</f>
        <v>Gene458-tree</v>
      </c>
      <c r="X1796">
        <v>7</v>
      </c>
      <c r="Y1796">
        <v>8</v>
      </c>
      <c r="Z1796">
        <v>7</v>
      </c>
      <c r="AA1796">
        <v>8</v>
      </c>
      <c r="AB1796">
        <v>0.53332999999999997</v>
      </c>
      <c r="AC1796" t="s">
        <v>152</v>
      </c>
      <c r="AD1796" t="s">
        <v>136</v>
      </c>
      <c r="AE1796" t="s">
        <v>62</v>
      </c>
      <c r="AF1796" t="s">
        <v>62</v>
      </c>
      <c r="AG1796">
        <v>0</v>
      </c>
      <c r="AH1796">
        <v>0</v>
      </c>
      <c r="AI1796">
        <v>8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7</v>
      </c>
      <c r="AT1796">
        <v>0</v>
      </c>
      <c r="AU1796">
        <v>11</v>
      </c>
      <c r="AV1796">
        <v>8</v>
      </c>
      <c r="AW1796">
        <v>20</v>
      </c>
      <c r="AX1796">
        <v>6</v>
      </c>
      <c r="AY1796">
        <v>14</v>
      </c>
      <c r="AZ1796">
        <v>2</v>
      </c>
      <c r="BA1796" t="s">
        <v>3109</v>
      </c>
      <c r="BB1796" t="s">
        <v>3110</v>
      </c>
      <c r="BC1796">
        <v>0.54</v>
      </c>
      <c r="BD1796" t="s">
        <v>65</v>
      </c>
      <c r="BE1796">
        <v>34</v>
      </c>
      <c r="BF1796">
        <v>8</v>
      </c>
      <c r="BG1796" t="s">
        <v>3111</v>
      </c>
      <c r="BH1796" t="s">
        <v>3112</v>
      </c>
      <c r="BI1796" t="s">
        <v>3113</v>
      </c>
      <c r="BJ1796">
        <v>6.9550000000000001E-2</v>
      </c>
      <c r="BK1796">
        <v>1</v>
      </c>
      <c r="BL1796" t="s">
        <v>69</v>
      </c>
      <c r="BM1796">
        <v>-1.1599999999999999</v>
      </c>
      <c r="BN1796">
        <v>-1.71</v>
      </c>
    </row>
    <row r="1797" spans="2:66">
      <c r="B1797">
        <v>3195</v>
      </c>
      <c r="C1797">
        <v>111</v>
      </c>
      <c r="D1797">
        <v>0</v>
      </c>
      <c r="E1797">
        <v>23</v>
      </c>
      <c r="F1797">
        <v>3</v>
      </c>
      <c r="J1797">
        <v>0</v>
      </c>
      <c r="K1797">
        <v>0</v>
      </c>
      <c r="L1797">
        <v>0</v>
      </c>
      <c r="M1797" t="s">
        <v>25022</v>
      </c>
      <c r="N1797">
        <v>459</v>
      </c>
      <c r="O1797" t="s">
        <v>3114</v>
      </c>
      <c r="P1797" t="s">
        <v>57</v>
      </c>
      <c r="Q1797">
        <v>504689</v>
      </c>
      <c r="R1797">
        <v>505021</v>
      </c>
      <c r="S1797" t="s">
        <v>3115</v>
      </c>
      <c r="T1797">
        <v>111</v>
      </c>
      <c r="U1797" t="s">
        <v>59</v>
      </c>
      <c r="V1797">
        <v>49</v>
      </c>
      <c r="W1797" t="str">
        <f>HYPERLINK("Gene459-zp_tree_all.dnd", "Gene459-tree")</f>
        <v>Gene459-tree</v>
      </c>
      <c r="X1797">
        <v>7</v>
      </c>
      <c r="Y1797">
        <v>2</v>
      </c>
      <c r="Z1797">
        <v>7</v>
      </c>
      <c r="AA1797">
        <v>2</v>
      </c>
      <c r="AB1797">
        <v>0.22222</v>
      </c>
      <c r="AC1797" t="s">
        <v>152</v>
      </c>
      <c r="AD1797" t="s">
        <v>81</v>
      </c>
      <c r="AE1797" t="s">
        <v>62</v>
      </c>
      <c r="AF1797" t="s">
        <v>62</v>
      </c>
      <c r="AG1797">
        <v>0</v>
      </c>
      <c r="AH1797">
        <v>0</v>
      </c>
      <c r="AI1797">
        <v>3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</v>
      </c>
      <c r="AT1797">
        <v>0</v>
      </c>
      <c r="AU1797">
        <v>6</v>
      </c>
      <c r="AV1797">
        <v>6</v>
      </c>
      <c r="AW1797">
        <v>9</v>
      </c>
      <c r="AX1797">
        <v>2</v>
      </c>
      <c r="AY1797">
        <v>15</v>
      </c>
      <c r="AZ1797">
        <v>2</v>
      </c>
      <c r="BA1797" t="s">
        <v>3116</v>
      </c>
      <c r="BB1797" t="s">
        <v>3117</v>
      </c>
      <c r="BC1797">
        <v>0.35299999999999998</v>
      </c>
      <c r="BD1797" t="s">
        <v>65</v>
      </c>
      <c r="BE1797">
        <v>24</v>
      </c>
      <c r="BF1797">
        <v>4</v>
      </c>
      <c r="BG1797" t="s">
        <v>3118</v>
      </c>
      <c r="BH1797" t="s">
        <v>3119</v>
      </c>
      <c r="BI1797" t="s">
        <v>3120</v>
      </c>
      <c r="BJ1797">
        <v>4.863E-2</v>
      </c>
      <c r="BK1797">
        <v>1</v>
      </c>
      <c r="BL1797" t="s">
        <v>69</v>
      </c>
      <c r="BM1797">
        <v>-1.4259999999999999</v>
      </c>
      <c r="BN1797">
        <v>-1.117</v>
      </c>
    </row>
    <row r="1798" spans="2:66">
      <c r="B1798">
        <v>3197</v>
      </c>
      <c r="C1798">
        <v>12</v>
      </c>
      <c r="D1798">
        <v>0</v>
      </c>
      <c r="E1798">
        <v>2</v>
      </c>
      <c r="F1798">
        <v>0</v>
      </c>
      <c r="J1798">
        <v>0</v>
      </c>
      <c r="K1798">
        <v>6</v>
      </c>
      <c r="L1798">
        <v>2</v>
      </c>
      <c r="M1798" t="s">
        <v>25022</v>
      </c>
      <c r="N1798">
        <v>460</v>
      </c>
      <c r="O1798" t="s">
        <v>3121</v>
      </c>
      <c r="P1798" t="s">
        <v>57</v>
      </c>
      <c r="Q1798">
        <v>505152</v>
      </c>
      <c r="R1798">
        <v>506294</v>
      </c>
      <c r="S1798" t="s">
        <v>3122</v>
      </c>
      <c r="T1798">
        <v>381</v>
      </c>
      <c r="U1798" t="s">
        <v>629</v>
      </c>
      <c r="V1798">
        <v>43</v>
      </c>
      <c r="W1798" t="str">
        <f>HYPERLINK("Gene460-zp_tree_all.dnd", "Gene460-tree")</f>
        <v>Gene460-tree</v>
      </c>
      <c r="X1798">
        <v>4</v>
      </c>
      <c r="Y1798">
        <v>10</v>
      </c>
      <c r="Z1798">
        <v>4</v>
      </c>
      <c r="AA1798">
        <v>10</v>
      </c>
      <c r="AB1798">
        <v>0.71428999999999998</v>
      </c>
      <c r="AC1798" t="s">
        <v>61</v>
      </c>
      <c r="AD1798" t="s">
        <v>117</v>
      </c>
      <c r="AE1798" t="s">
        <v>62</v>
      </c>
      <c r="AF1798" t="s">
        <v>62</v>
      </c>
      <c r="AG1798">
        <v>4</v>
      </c>
      <c r="AH1798">
        <v>8</v>
      </c>
      <c r="AI1798">
        <v>22</v>
      </c>
      <c r="AJ1798">
        <v>0.26667000000000002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6</v>
      </c>
      <c r="AQ1798">
        <v>2</v>
      </c>
      <c r="AR1798">
        <v>8</v>
      </c>
      <c r="AS1798">
        <v>20</v>
      </c>
      <c r="AT1798">
        <v>0.28571000000000002</v>
      </c>
      <c r="AU1798">
        <v>11</v>
      </c>
      <c r="AV1798">
        <v>10</v>
      </c>
      <c r="AW1798">
        <v>94</v>
      </c>
      <c r="AX1798">
        <v>28</v>
      </c>
      <c r="AY1798">
        <v>38</v>
      </c>
      <c r="AZ1798">
        <v>3</v>
      </c>
      <c r="BA1798" t="s">
        <v>3123</v>
      </c>
      <c r="BB1798" t="s">
        <v>3124</v>
      </c>
      <c r="BC1798">
        <v>0.84599999999999997</v>
      </c>
      <c r="BD1798" t="s">
        <v>65</v>
      </c>
      <c r="BE1798">
        <v>132</v>
      </c>
      <c r="BF1798">
        <v>31</v>
      </c>
      <c r="BG1798" t="s">
        <v>3125</v>
      </c>
      <c r="BH1798" t="s">
        <v>3126</v>
      </c>
      <c r="BI1798" t="s">
        <v>3127</v>
      </c>
      <c r="BJ1798">
        <v>6.2260000000000003E-2</v>
      </c>
      <c r="BK1798">
        <v>1</v>
      </c>
      <c r="BL1798" t="s">
        <v>69</v>
      </c>
      <c r="BM1798">
        <v>-1.1919999999999999</v>
      </c>
      <c r="BN1798">
        <v>-0.76800000000000002</v>
      </c>
    </row>
    <row r="1799" spans="2:66">
      <c r="B1799">
        <v>3198</v>
      </c>
      <c r="C1799">
        <v>570</v>
      </c>
      <c r="D1799">
        <v>0</v>
      </c>
      <c r="E1799">
        <v>2</v>
      </c>
      <c r="F1799">
        <v>2</v>
      </c>
      <c r="J1799">
        <v>0</v>
      </c>
      <c r="K1799">
        <v>0</v>
      </c>
      <c r="L1799">
        <v>0</v>
      </c>
      <c r="M1799" t="s">
        <v>25022</v>
      </c>
      <c r="N1799">
        <v>463</v>
      </c>
      <c r="O1799" t="s">
        <v>3141</v>
      </c>
      <c r="P1799" t="s">
        <v>57</v>
      </c>
      <c r="Q1799">
        <v>506866</v>
      </c>
      <c r="R1799">
        <v>507735</v>
      </c>
      <c r="S1799" t="s">
        <v>3142</v>
      </c>
      <c r="T1799">
        <v>290</v>
      </c>
      <c r="U1799" t="s">
        <v>3143</v>
      </c>
      <c r="V1799">
        <v>41</v>
      </c>
      <c r="W1799" t="str">
        <f>HYPERLINK("Gene463-zp_tree_all.dnd", "Gene463-tree")</f>
        <v>Gene463-tree</v>
      </c>
      <c r="X1799">
        <v>9</v>
      </c>
      <c r="Y1799">
        <v>5</v>
      </c>
      <c r="Z1799">
        <v>9</v>
      </c>
      <c r="AA1799">
        <v>5</v>
      </c>
      <c r="AB1799">
        <v>0.35714000000000001</v>
      </c>
      <c r="AC1799" t="s">
        <v>135</v>
      </c>
      <c r="AD1799" t="s">
        <v>199</v>
      </c>
      <c r="AE1799" t="s">
        <v>62</v>
      </c>
      <c r="AF1799" t="s">
        <v>62</v>
      </c>
      <c r="AG1799">
        <v>0</v>
      </c>
      <c r="AH1799">
        <v>0</v>
      </c>
      <c r="AI1799">
        <v>5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5</v>
      </c>
      <c r="AT1799">
        <v>0</v>
      </c>
      <c r="AU1799">
        <v>12</v>
      </c>
      <c r="AV1799">
        <v>8</v>
      </c>
      <c r="AW1799">
        <v>30</v>
      </c>
      <c r="AX1799">
        <v>5</v>
      </c>
      <c r="AY1799">
        <v>11</v>
      </c>
      <c r="AZ1799">
        <v>0</v>
      </c>
      <c r="BA1799" t="s">
        <v>3144</v>
      </c>
      <c r="BB1799" t="s">
        <v>193</v>
      </c>
      <c r="BC1799">
        <v>1.6120000000000001</v>
      </c>
      <c r="BD1799" t="s">
        <v>65</v>
      </c>
      <c r="BE1799">
        <v>41</v>
      </c>
      <c r="BF1799">
        <v>5</v>
      </c>
      <c r="BG1799" t="s">
        <v>3145</v>
      </c>
      <c r="BH1799" t="s">
        <v>3146</v>
      </c>
      <c r="BI1799" t="s">
        <v>3147</v>
      </c>
      <c r="BJ1799">
        <v>3.024E-2</v>
      </c>
      <c r="BK1799">
        <v>1</v>
      </c>
      <c r="BL1799" t="s">
        <v>69</v>
      </c>
      <c r="BM1799">
        <v>-1.2410000000000001</v>
      </c>
      <c r="BN1799">
        <v>-1.202</v>
      </c>
    </row>
    <row r="1800" spans="2:66">
      <c r="B1800">
        <v>3200</v>
      </c>
      <c r="C1800">
        <v>103</v>
      </c>
      <c r="D1800">
        <v>0</v>
      </c>
      <c r="E1800">
        <v>4</v>
      </c>
      <c r="F1800">
        <v>0</v>
      </c>
      <c r="J1800">
        <v>0</v>
      </c>
      <c r="K1800">
        <v>9</v>
      </c>
      <c r="L1800">
        <v>2</v>
      </c>
      <c r="M1800" t="s">
        <v>25022</v>
      </c>
      <c r="N1800">
        <v>465</v>
      </c>
      <c r="O1800" t="s">
        <v>3155</v>
      </c>
      <c r="P1800" t="s">
        <v>57</v>
      </c>
      <c r="Q1800">
        <v>508248</v>
      </c>
      <c r="R1800">
        <v>509309</v>
      </c>
      <c r="S1800" t="s">
        <v>3156</v>
      </c>
      <c r="T1800">
        <v>354</v>
      </c>
      <c r="U1800" t="s">
        <v>394</v>
      </c>
      <c r="V1800">
        <v>48</v>
      </c>
      <c r="W1800" t="str">
        <f>HYPERLINK("Gene465-zp_tree_all.dnd", "Gene465-tree")</f>
        <v>Gene465-tree</v>
      </c>
      <c r="X1800">
        <v>10</v>
      </c>
      <c r="Y1800">
        <v>9</v>
      </c>
      <c r="Z1800">
        <v>10</v>
      </c>
      <c r="AA1800">
        <v>9</v>
      </c>
      <c r="AB1800">
        <v>0.47367999999999999</v>
      </c>
      <c r="AC1800" t="s">
        <v>117</v>
      </c>
      <c r="AD1800" t="s">
        <v>135</v>
      </c>
      <c r="AE1800" t="s">
        <v>62</v>
      </c>
      <c r="AF1800" t="s">
        <v>62</v>
      </c>
      <c r="AG1800">
        <v>5</v>
      </c>
      <c r="AH1800">
        <v>11</v>
      </c>
      <c r="AI1800">
        <v>16</v>
      </c>
      <c r="AJ1800">
        <v>0.40740999999999999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3</v>
      </c>
      <c r="AQ1800">
        <v>2</v>
      </c>
      <c r="AR1800">
        <v>5</v>
      </c>
      <c r="AS1800">
        <v>17</v>
      </c>
      <c r="AT1800">
        <v>0.22727</v>
      </c>
      <c r="AU1800">
        <v>17</v>
      </c>
      <c r="AV1800">
        <v>16</v>
      </c>
      <c r="AW1800">
        <v>81</v>
      </c>
      <c r="AX1800">
        <v>22</v>
      </c>
      <c r="AY1800">
        <v>70</v>
      </c>
      <c r="AZ1800">
        <v>5</v>
      </c>
      <c r="BA1800" t="s">
        <v>3157</v>
      </c>
      <c r="BB1800" t="s">
        <v>3158</v>
      </c>
      <c r="BC1800">
        <v>0.90200000000000002</v>
      </c>
      <c r="BD1800" t="s">
        <v>65</v>
      </c>
      <c r="BE1800">
        <v>151</v>
      </c>
      <c r="BF1800">
        <v>27</v>
      </c>
      <c r="BG1800" t="s">
        <v>3159</v>
      </c>
      <c r="BH1800" t="s">
        <v>3160</v>
      </c>
      <c r="BI1800" t="s">
        <v>3161</v>
      </c>
      <c r="BJ1800">
        <v>4.1619999999999997E-2</v>
      </c>
      <c r="BK1800">
        <v>1</v>
      </c>
      <c r="BL1800" t="s">
        <v>69</v>
      </c>
      <c r="BM1800">
        <v>-0.63800000000000001</v>
      </c>
      <c r="BN1800">
        <v>-0.78200000000000003</v>
      </c>
    </row>
    <row r="1801" spans="2:66">
      <c r="B1801">
        <v>3201</v>
      </c>
      <c r="C1801">
        <v>119</v>
      </c>
      <c r="D1801">
        <v>0</v>
      </c>
      <c r="E1801">
        <v>5</v>
      </c>
      <c r="F1801">
        <v>2</v>
      </c>
      <c r="J1801">
        <v>0</v>
      </c>
      <c r="K1801">
        <v>25</v>
      </c>
      <c r="L1801">
        <v>7</v>
      </c>
      <c r="M1801" t="s">
        <v>25022</v>
      </c>
      <c r="N1801">
        <v>466</v>
      </c>
      <c r="O1801" t="s">
        <v>3162</v>
      </c>
      <c r="P1801" t="s">
        <v>57</v>
      </c>
      <c r="Q1801">
        <v>509384</v>
      </c>
      <c r="R1801">
        <v>510754</v>
      </c>
      <c r="S1801" t="s">
        <v>3163</v>
      </c>
      <c r="T1801">
        <v>457</v>
      </c>
      <c r="U1801" t="s">
        <v>3143</v>
      </c>
      <c r="V1801">
        <v>41</v>
      </c>
      <c r="W1801" t="str">
        <f>HYPERLINK("Gene466-zp_tree_all.dnd", "Gene466-tree")</f>
        <v>Gene466-tree</v>
      </c>
      <c r="X1801">
        <v>1</v>
      </c>
      <c r="Y1801">
        <v>14</v>
      </c>
      <c r="Z1801">
        <v>1</v>
      </c>
      <c r="AA1801">
        <v>14</v>
      </c>
      <c r="AB1801">
        <v>0.93332999999999999</v>
      </c>
      <c r="AC1801" t="s">
        <v>175</v>
      </c>
      <c r="AD1801" t="s">
        <v>543</v>
      </c>
      <c r="AE1801">
        <v>1865302226.941</v>
      </c>
      <c r="AF1801" t="s">
        <v>267</v>
      </c>
      <c r="AG1801">
        <v>11</v>
      </c>
      <c r="AH1801">
        <v>32</v>
      </c>
      <c r="AI1801">
        <v>13</v>
      </c>
      <c r="AJ1801">
        <v>0.71111000000000002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10</v>
      </c>
      <c r="AQ1801">
        <v>0</v>
      </c>
      <c r="AR1801">
        <v>10</v>
      </c>
      <c r="AS1801">
        <v>16</v>
      </c>
      <c r="AT1801">
        <v>0.38462000000000002</v>
      </c>
      <c r="AU1801">
        <v>15</v>
      </c>
      <c r="AV1801">
        <v>12</v>
      </c>
      <c r="AW1801">
        <v>58</v>
      </c>
      <c r="AX1801">
        <v>26</v>
      </c>
      <c r="AY1801">
        <v>35</v>
      </c>
      <c r="AZ1801">
        <v>20</v>
      </c>
      <c r="BA1801" t="s">
        <v>3164</v>
      </c>
      <c r="BB1801" t="s">
        <v>3165</v>
      </c>
      <c r="BC1801">
        <v>0.65300000000000002</v>
      </c>
      <c r="BD1801" t="s">
        <v>65</v>
      </c>
      <c r="BE1801">
        <v>93</v>
      </c>
      <c r="BF1801">
        <v>46</v>
      </c>
      <c r="BG1801" t="s">
        <v>3166</v>
      </c>
      <c r="BH1801" t="s">
        <v>3167</v>
      </c>
      <c r="BI1801" t="s">
        <v>3168</v>
      </c>
      <c r="BJ1801">
        <v>0.15209</v>
      </c>
      <c r="BK1801">
        <v>1</v>
      </c>
      <c r="BL1801" t="s">
        <v>69</v>
      </c>
      <c r="BM1801">
        <v>-3.9E-2</v>
      </c>
      <c r="BN1801">
        <v>-1.149</v>
      </c>
    </row>
    <row r="1802" spans="2:66">
      <c r="B1802">
        <v>3202</v>
      </c>
      <c r="C1802">
        <v>282</v>
      </c>
      <c r="D1802">
        <v>0</v>
      </c>
      <c r="E1802">
        <v>12</v>
      </c>
      <c r="F1802">
        <v>0</v>
      </c>
      <c r="J1802">
        <v>0</v>
      </c>
      <c r="K1802">
        <v>2</v>
      </c>
      <c r="L1802">
        <v>0</v>
      </c>
      <c r="M1802" t="s">
        <v>25022</v>
      </c>
      <c r="N1802">
        <v>467</v>
      </c>
      <c r="O1802" t="s">
        <v>3169</v>
      </c>
      <c r="P1802" t="s">
        <v>57</v>
      </c>
      <c r="Q1802">
        <v>511157</v>
      </c>
      <c r="R1802">
        <v>512638</v>
      </c>
      <c r="S1802" t="s">
        <v>3170</v>
      </c>
      <c r="T1802">
        <v>494</v>
      </c>
      <c r="U1802" t="s">
        <v>59</v>
      </c>
      <c r="V1802">
        <v>49</v>
      </c>
      <c r="W1802" t="str">
        <f>HYPERLINK("Gene467-zp_tree_all.dnd", "Gene467-tree")</f>
        <v>Gene467-tree</v>
      </c>
      <c r="X1802">
        <v>36</v>
      </c>
      <c r="Y1802">
        <v>3</v>
      </c>
      <c r="Z1802">
        <v>19</v>
      </c>
      <c r="AA1802">
        <v>3</v>
      </c>
      <c r="AB1802">
        <v>0.13636000000000001</v>
      </c>
      <c r="AC1802" t="s">
        <v>3171</v>
      </c>
      <c r="AD1802" t="s">
        <v>324</v>
      </c>
      <c r="AE1802" t="s">
        <v>62</v>
      </c>
      <c r="AF1802" t="s">
        <v>62</v>
      </c>
      <c r="AG1802">
        <v>1</v>
      </c>
      <c r="AH1802">
        <v>2</v>
      </c>
      <c r="AI1802">
        <v>8</v>
      </c>
      <c r="AJ1802">
        <v>0.2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6</v>
      </c>
      <c r="AT1802">
        <v>0</v>
      </c>
      <c r="AU1802">
        <v>17</v>
      </c>
      <c r="AV1802">
        <v>18</v>
      </c>
      <c r="AW1802">
        <v>47</v>
      </c>
      <c r="AX1802">
        <v>6</v>
      </c>
      <c r="AY1802">
        <v>98</v>
      </c>
      <c r="AZ1802">
        <v>4</v>
      </c>
      <c r="BA1802" t="s">
        <v>3172</v>
      </c>
      <c r="BB1802" t="s">
        <v>3173</v>
      </c>
      <c r="BC1802">
        <v>0.38800000000000001</v>
      </c>
      <c r="BD1802" t="s">
        <v>65</v>
      </c>
      <c r="BE1802">
        <v>145</v>
      </c>
      <c r="BF1802">
        <v>10</v>
      </c>
      <c r="BG1802" t="s">
        <v>3174</v>
      </c>
      <c r="BH1802" t="s">
        <v>3175</v>
      </c>
      <c r="BI1802" t="s">
        <v>1694</v>
      </c>
      <c r="BJ1802">
        <v>1.7309999999999999E-2</v>
      </c>
      <c r="BK1802">
        <v>1</v>
      </c>
      <c r="BL1802" t="s">
        <v>69</v>
      </c>
      <c r="BM1802">
        <v>-0.441</v>
      </c>
      <c r="BN1802">
        <v>0.83299999999999996</v>
      </c>
    </row>
    <row r="1803" spans="2:66">
      <c r="B1803">
        <v>3203</v>
      </c>
      <c r="C1803">
        <v>93</v>
      </c>
      <c r="D1803">
        <v>0</v>
      </c>
      <c r="E1803">
        <v>22</v>
      </c>
      <c r="F1803">
        <v>3</v>
      </c>
      <c r="J1803">
        <v>0</v>
      </c>
      <c r="K1803">
        <v>0</v>
      </c>
      <c r="L1803">
        <v>0</v>
      </c>
      <c r="M1803" t="s">
        <v>25022</v>
      </c>
      <c r="N1803">
        <v>468</v>
      </c>
      <c r="O1803" t="s">
        <v>3176</v>
      </c>
      <c r="P1803" t="s">
        <v>57</v>
      </c>
      <c r="Q1803">
        <v>512814</v>
      </c>
      <c r="R1803">
        <v>513290</v>
      </c>
      <c r="S1803" t="s">
        <v>3177</v>
      </c>
      <c r="T1803">
        <v>159</v>
      </c>
      <c r="U1803" t="s">
        <v>3178</v>
      </c>
      <c r="V1803">
        <v>41</v>
      </c>
      <c r="W1803" t="str">
        <f>HYPERLINK("Gene468-zp_tree_all.dnd", "Gene468-tree")</f>
        <v>Gene468-tree</v>
      </c>
      <c r="X1803">
        <v>27</v>
      </c>
      <c r="Y1803">
        <v>1</v>
      </c>
      <c r="Z1803">
        <v>10</v>
      </c>
      <c r="AA1803">
        <v>1</v>
      </c>
      <c r="AB1803">
        <v>9.0910000000000005E-2</v>
      </c>
      <c r="AC1803" t="s">
        <v>2980</v>
      </c>
      <c r="AD1803" t="s">
        <v>175</v>
      </c>
      <c r="AE1803" t="s">
        <v>62</v>
      </c>
      <c r="AF1803" t="s">
        <v>62</v>
      </c>
      <c r="AG1803">
        <v>0</v>
      </c>
      <c r="AH1803">
        <v>0</v>
      </c>
      <c r="AI1803">
        <v>4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3</v>
      </c>
      <c r="AT1803">
        <v>0</v>
      </c>
      <c r="AU1803">
        <v>8</v>
      </c>
      <c r="AV1803">
        <v>6</v>
      </c>
      <c r="AW1803">
        <v>26</v>
      </c>
      <c r="AX1803">
        <v>3</v>
      </c>
      <c r="AY1803">
        <v>12</v>
      </c>
      <c r="AZ1803">
        <v>1</v>
      </c>
      <c r="BA1803" t="s">
        <v>3179</v>
      </c>
      <c r="BB1803" t="s">
        <v>3180</v>
      </c>
      <c r="BC1803">
        <v>7.0000000000000007E-2</v>
      </c>
      <c r="BD1803" t="s">
        <v>65</v>
      </c>
      <c r="BE1803">
        <v>38</v>
      </c>
      <c r="BF1803">
        <v>4</v>
      </c>
      <c r="BG1803" t="s">
        <v>3181</v>
      </c>
      <c r="BH1803" t="s">
        <v>3182</v>
      </c>
      <c r="BI1803" t="s">
        <v>3183</v>
      </c>
      <c r="BJ1803">
        <v>3.1550000000000002E-2</v>
      </c>
      <c r="BK1803">
        <v>1</v>
      </c>
      <c r="BL1803" t="s">
        <v>69</v>
      </c>
      <c r="BM1803">
        <v>-1.345</v>
      </c>
      <c r="BN1803">
        <v>-3.3319999999999999</v>
      </c>
    </row>
    <row r="1804" spans="2:66">
      <c r="B1804">
        <v>3204</v>
      </c>
      <c r="C1804">
        <v>37</v>
      </c>
      <c r="D1804">
        <v>0</v>
      </c>
      <c r="E1804">
        <v>17</v>
      </c>
      <c r="F1804">
        <v>2</v>
      </c>
      <c r="J1804">
        <v>0</v>
      </c>
      <c r="K1804">
        <v>10</v>
      </c>
      <c r="L1804">
        <v>4</v>
      </c>
      <c r="M1804" t="s">
        <v>25022</v>
      </c>
      <c r="N1804">
        <v>469</v>
      </c>
      <c r="O1804" t="s">
        <v>3184</v>
      </c>
      <c r="P1804" t="s">
        <v>57</v>
      </c>
      <c r="Q1804">
        <v>513283</v>
      </c>
      <c r="R1804">
        <v>514761</v>
      </c>
      <c r="S1804" t="s">
        <v>3177</v>
      </c>
      <c r="T1804">
        <v>493</v>
      </c>
      <c r="U1804" t="s">
        <v>3185</v>
      </c>
      <c r="V1804">
        <v>40</v>
      </c>
      <c r="W1804" t="str">
        <f>HYPERLINK("Gene469-zp_tree_all.dnd", "Gene469-tree")</f>
        <v>Gene469-tree</v>
      </c>
      <c r="X1804">
        <v>8</v>
      </c>
      <c r="Y1804">
        <v>8</v>
      </c>
      <c r="Z1804">
        <v>8</v>
      </c>
      <c r="AA1804">
        <v>8</v>
      </c>
      <c r="AB1804">
        <v>0.5</v>
      </c>
      <c r="AC1804" t="s">
        <v>136</v>
      </c>
      <c r="AD1804" t="s">
        <v>136</v>
      </c>
      <c r="AE1804" t="s">
        <v>62</v>
      </c>
      <c r="AF1804" t="s">
        <v>62</v>
      </c>
      <c r="AG1804">
        <v>6</v>
      </c>
      <c r="AH1804">
        <v>14</v>
      </c>
      <c r="AI1804">
        <v>18</v>
      </c>
      <c r="AJ1804">
        <v>0.4375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19</v>
      </c>
      <c r="AT1804">
        <v>0</v>
      </c>
      <c r="AU1804">
        <v>12</v>
      </c>
      <c r="AV1804">
        <v>13</v>
      </c>
      <c r="AW1804">
        <v>49</v>
      </c>
      <c r="AX1804">
        <v>18</v>
      </c>
      <c r="AY1804">
        <v>58</v>
      </c>
      <c r="AZ1804">
        <v>14</v>
      </c>
      <c r="BA1804" t="s">
        <v>3186</v>
      </c>
      <c r="BB1804" t="s">
        <v>3187</v>
      </c>
      <c r="BC1804">
        <v>0.28299999999999997</v>
      </c>
      <c r="BD1804" t="s">
        <v>65</v>
      </c>
      <c r="BE1804">
        <v>107</v>
      </c>
      <c r="BF1804">
        <v>32</v>
      </c>
      <c r="BG1804" t="s">
        <v>3188</v>
      </c>
      <c r="BH1804" t="s">
        <v>3189</v>
      </c>
      <c r="BI1804" t="s">
        <v>3190</v>
      </c>
      <c r="BJ1804">
        <v>7.8990000000000005E-2</v>
      </c>
      <c r="BK1804">
        <v>1</v>
      </c>
      <c r="BL1804" t="s">
        <v>69</v>
      </c>
      <c r="BM1804">
        <v>-0.41499999999999998</v>
      </c>
      <c r="BN1804">
        <v>-1.143</v>
      </c>
    </row>
    <row r="1805" spans="2:66">
      <c r="B1805">
        <v>3205</v>
      </c>
      <c r="C1805">
        <v>118</v>
      </c>
      <c r="D1805">
        <v>0</v>
      </c>
      <c r="E1805">
        <v>7</v>
      </c>
      <c r="F1805">
        <v>0</v>
      </c>
      <c r="J1805">
        <v>0</v>
      </c>
      <c r="K1805">
        <v>0</v>
      </c>
      <c r="L1805">
        <v>0</v>
      </c>
      <c r="M1805" t="s">
        <v>25022</v>
      </c>
      <c r="N1805">
        <v>471</v>
      </c>
      <c r="O1805" t="s">
        <v>3199</v>
      </c>
      <c r="P1805" t="s">
        <v>57</v>
      </c>
      <c r="Q1805">
        <v>515710</v>
      </c>
      <c r="R1805">
        <v>516072</v>
      </c>
      <c r="S1805" t="s">
        <v>3200</v>
      </c>
      <c r="T1805">
        <v>121</v>
      </c>
      <c r="U1805" t="s">
        <v>3143</v>
      </c>
      <c r="V1805">
        <v>41</v>
      </c>
      <c r="W1805" t="str">
        <f>HYPERLINK("Gene471-zp_tree_all.dnd", "Gene471-tree")</f>
        <v>Gene471-tree</v>
      </c>
      <c r="X1805">
        <v>25</v>
      </c>
      <c r="Y1805">
        <v>3</v>
      </c>
      <c r="Z1805">
        <v>8</v>
      </c>
      <c r="AA1805">
        <v>3</v>
      </c>
      <c r="AB1805">
        <v>0.27272999999999997</v>
      </c>
      <c r="AC1805" t="s">
        <v>1667</v>
      </c>
      <c r="AD1805" t="s">
        <v>324</v>
      </c>
      <c r="AE1805" t="s">
        <v>62</v>
      </c>
      <c r="AF1805" t="s">
        <v>62</v>
      </c>
      <c r="AG1805">
        <v>0</v>
      </c>
      <c r="AH1805">
        <v>0</v>
      </c>
      <c r="AI1805">
        <v>6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4</v>
      </c>
      <c r="AT1805">
        <v>0</v>
      </c>
      <c r="AU1805">
        <v>10</v>
      </c>
      <c r="AV1805">
        <v>6</v>
      </c>
      <c r="AW1805">
        <v>16</v>
      </c>
      <c r="AX1805">
        <v>4</v>
      </c>
      <c r="AY1805">
        <v>7</v>
      </c>
      <c r="AZ1805">
        <v>2</v>
      </c>
      <c r="BA1805" t="s">
        <v>3201</v>
      </c>
      <c r="BB1805" t="s">
        <v>3202</v>
      </c>
      <c r="BC1805">
        <v>9.9000000000000005E-2</v>
      </c>
      <c r="BD1805" t="s">
        <v>65</v>
      </c>
      <c r="BE1805">
        <v>23</v>
      </c>
      <c r="BF1805">
        <v>6</v>
      </c>
      <c r="BG1805" t="s">
        <v>3203</v>
      </c>
      <c r="BH1805" t="s">
        <v>3204</v>
      </c>
      <c r="BI1805" t="s">
        <v>3205</v>
      </c>
      <c r="BJ1805">
        <v>9.2050000000000007E-2</v>
      </c>
      <c r="BK1805">
        <v>1</v>
      </c>
      <c r="BL1805" t="s">
        <v>69</v>
      </c>
      <c r="BM1805">
        <v>-0.217</v>
      </c>
      <c r="BN1805">
        <v>8.6999999999999994E-2</v>
      </c>
    </row>
    <row r="1806" spans="2:66">
      <c r="B1806">
        <v>3206</v>
      </c>
      <c r="C1806">
        <v>271</v>
      </c>
      <c r="D1806">
        <v>0</v>
      </c>
      <c r="E1806">
        <v>5</v>
      </c>
      <c r="F1806">
        <v>2</v>
      </c>
      <c r="J1806">
        <v>0</v>
      </c>
      <c r="K1806">
        <v>2</v>
      </c>
      <c r="L1806">
        <v>0</v>
      </c>
      <c r="M1806" t="s">
        <v>25022</v>
      </c>
      <c r="N1806">
        <v>472</v>
      </c>
      <c r="O1806" t="s">
        <v>3206</v>
      </c>
      <c r="P1806" t="s">
        <v>57</v>
      </c>
      <c r="Q1806">
        <v>516241</v>
      </c>
      <c r="R1806">
        <v>517254</v>
      </c>
      <c r="S1806" t="s">
        <v>1523</v>
      </c>
      <c r="T1806">
        <v>338</v>
      </c>
      <c r="U1806" t="s">
        <v>289</v>
      </c>
      <c r="V1806">
        <v>46</v>
      </c>
      <c r="W1806" t="str">
        <f>HYPERLINK("Gene472-zp_tree_all.dnd", "Gene472-tree")</f>
        <v>Gene472-tree</v>
      </c>
      <c r="X1806">
        <v>30</v>
      </c>
      <c r="Y1806">
        <v>3</v>
      </c>
      <c r="Z1806">
        <v>13</v>
      </c>
      <c r="AA1806">
        <v>3</v>
      </c>
      <c r="AB1806">
        <v>0.1875</v>
      </c>
      <c r="AC1806" t="s">
        <v>2704</v>
      </c>
      <c r="AD1806" t="s">
        <v>324</v>
      </c>
      <c r="AE1806" t="s">
        <v>62</v>
      </c>
      <c r="AF1806" t="s">
        <v>62</v>
      </c>
      <c r="AG1806">
        <v>1</v>
      </c>
      <c r="AH1806">
        <v>2</v>
      </c>
      <c r="AI1806">
        <v>4</v>
      </c>
      <c r="AJ1806">
        <v>0.33333000000000002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2</v>
      </c>
      <c r="AQ1806">
        <v>0</v>
      </c>
      <c r="AR1806">
        <v>2</v>
      </c>
      <c r="AS1806">
        <v>1</v>
      </c>
      <c r="AT1806">
        <v>0.66666999999999998</v>
      </c>
      <c r="AU1806">
        <v>14</v>
      </c>
      <c r="AV1806">
        <v>10</v>
      </c>
      <c r="AW1806">
        <v>40</v>
      </c>
      <c r="AX1806">
        <v>3</v>
      </c>
      <c r="AY1806">
        <v>63</v>
      </c>
      <c r="AZ1806">
        <v>3</v>
      </c>
      <c r="BA1806" t="s">
        <v>3207</v>
      </c>
      <c r="BB1806" t="s">
        <v>3208</v>
      </c>
      <c r="BC1806">
        <v>0.30299999999999999</v>
      </c>
      <c r="BD1806" t="s">
        <v>65</v>
      </c>
      <c r="BE1806">
        <v>103</v>
      </c>
      <c r="BF1806">
        <v>6</v>
      </c>
      <c r="BG1806" t="s">
        <v>3209</v>
      </c>
      <c r="BH1806" t="s">
        <v>3210</v>
      </c>
      <c r="BI1806" t="s">
        <v>3211</v>
      </c>
      <c r="BJ1806">
        <v>1.5959999999999998E-2</v>
      </c>
      <c r="BK1806">
        <v>1</v>
      </c>
      <c r="BL1806" t="s">
        <v>69</v>
      </c>
      <c r="BM1806">
        <v>-0.97599999999999998</v>
      </c>
      <c r="BN1806">
        <v>0.46600000000000003</v>
      </c>
    </row>
    <row r="1807" spans="2:66">
      <c r="B1807">
        <v>3207</v>
      </c>
      <c r="C1807">
        <v>334</v>
      </c>
      <c r="D1807">
        <v>0</v>
      </c>
      <c r="E1807">
        <v>5</v>
      </c>
      <c r="F1807">
        <v>0</v>
      </c>
      <c r="J1807">
        <v>0</v>
      </c>
      <c r="K1807">
        <v>6</v>
      </c>
      <c r="L1807">
        <v>0</v>
      </c>
      <c r="M1807" t="s">
        <v>25022</v>
      </c>
      <c r="N1807">
        <v>473</v>
      </c>
      <c r="O1807" t="s">
        <v>3212</v>
      </c>
      <c r="P1807" t="s">
        <v>57</v>
      </c>
      <c r="Q1807">
        <v>517372</v>
      </c>
      <c r="R1807">
        <v>518538</v>
      </c>
      <c r="S1807" t="s">
        <v>3213</v>
      </c>
      <c r="T1807">
        <v>389</v>
      </c>
      <c r="U1807" t="s">
        <v>108</v>
      </c>
      <c r="V1807">
        <v>44</v>
      </c>
      <c r="W1807" t="str">
        <f>HYPERLINK("Gene473-zp_tree_all.dnd", "Gene473-tree")</f>
        <v>Gene473-tree</v>
      </c>
      <c r="X1807">
        <v>5</v>
      </c>
      <c r="Y1807">
        <v>8</v>
      </c>
      <c r="Z1807">
        <v>5</v>
      </c>
      <c r="AA1807">
        <v>8</v>
      </c>
      <c r="AB1807">
        <v>0.61538000000000004</v>
      </c>
      <c r="AC1807" t="s">
        <v>199</v>
      </c>
      <c r="AD1807" t="s">
        <v>136</v>
      </c>
      <c r="AE1807" t="s">
        <v>62</v>
      </c>
      <c r="AF1807" t="s">
        <v>62</v>
      </c>
      <c r="AG1807">
        <v>3</v>
      </c>
      <c r="AH1807">
        <v>6</v>
      </c>
      <c r="AI1807">
        <v>8</v>
      </c>
      <c r="AJ1807">
        <v>0.42857000000000001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6</v>
      </c>
      <c r="AQ1807">
        <v>0</v>
      </c>
      <c r="AR1807">
        <v>6</v>
      </c>
      <c r="AS1807">
        <v>8</v>
      </c>
      <c r="AT1807">
        <v>0.42857000000000001</v>
      </c>
      <c r="AU1807">
        <v>13</v>
      </c>
      <c r="AV1807">
        <v>8</v>
      </c>
      <c r="AW1807">
        <v>43</v>
      </c>
      <c r="AX1807">
        <v>14</v>
      </c>
      <c r="AY1807">
        <v>25</v>
      </c>
      <c r="AZ1807">
        <v>0</v>
      </c>
      <c r="BA1807" t="s">
        <v>3214</v>
      </c>
      <c r="BB1807" t="s">
        <v>193</v>
      </c>
      <c r="BC1807">
        <v>2.637</v>
      </c>
      <c r="BD1807" t="s">
        <v>267</v>
      </c>
      <c r="BE1807">
        <v>68</v>
      </c>
      <c r="BF1807">
        <v>14</v>
      </c>
      <c r="BG1807" t="s">
        <v>3215</v>
      </c>
      <c r="BH1807" t="s">
        <v>3216</v>
      </c>
      <c r="BI1807" t="s">
        <v>3217</v>
      </c>
      <c r="BJ1807">
        <v>4.759E-2</v>
      </c>
      <c r="BK1807">
        <v>1</v>
      </c>
      <c r="BL1807" t="s">
        <v>69</v>
      </c>
      <c r="BM1807">
        <v>-0.08</v>
      </c>
      <c r="BN1807">
        <v>9.2999999999999999E-2</v>
      </c>
    </row>
    <row r="1808" spans="2:66">
      <c r="B1808">
        <v>3208</v>
      </c>
      <c r="C1808">
        <v>216</v>
      </c>
      <c r="D1808">
        <v>0</v>
      </c>
      <c r="E1808">
        <v>11</v>
      </c>
      <c r="F1808">
        <v>2</v>
      </c>
      <c r="J1808">
        <v>0</v>
      </c>
      <c r="K1808">
        <v>0</v>
      </c>
      <c r="L1808">
        <v>0</v>
      </c>
      <c r="M1808" t="s">
        <v>25022</v>
      </c>
      <c r="N1808">
        <v>475</v>
      </c>
      <c r="O1808" t="s">
        <v>3218</v>
      </c>
      <c r="P1808" t="s">
        <v>57</v>
      </c>
      <c r="Q1808">
        <v>518943</v>
      </c>
      <c r="R1808">
        <v>519290</v>
      </c>
      <c r="S1808" t="s">
        <v>3219</v>
      </c>
      <c r="T1808">
        <v>116</v>
      </c>
      <c r="U1808" t="s">
        <v>515</v>
      </c>
      <c r="V1808">
        <v>51</v>
      </c>
      <c r="W1808" t="str">
        <f>HYPERLINK("Gene475-zp_tree_all.dnd", "Gene475-tree")</f>
        <v>Gene475-tree</v>
      </c>
      <c r="X1808">
        <v>45</v>
      </c>
      <c r="Y1808">
        <v>0</v>
      </c>
      <c r="Z1808">
        <v>6</v>
      </c>
      <c r="AA1808">
        <v>0</v>
      </c>
      <c r="AB1808">
        <v>0</v>
      </c>
      <c r="AC1808" t="s">
        <v>3220</v>
      </c>
      <c r="AD1808" t="s">
        <v>62</v>
      </c>
      <c r="AE1808" t="s">
        <v>62</v>
      </c>
      <c r="AF1808" t="s">
        <v>62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3</v>
      </c>
      <c r="AV1808">
        <v>2</v>
      </c>
      <c r="AW1808">
        <v>4</v>
      </c>
      <c r="AX1808">
        <v>0</v>
      </c>
      <c r="AY1808">
        <v>14</v>
      </c>
      <c r="AZ1808">
        <v>0</v>
      </c>
      <c r="BA1808" t="s">
        <v>193</v>
      </c>
      <c r="BB1808" t="s">
        <v>193</v>
      </c>
      <c r="BC1808">
        <v>0</v>
      </c>
      <c r="BD1808" t="s">
        <v>65</v>
      </c>
      <c r="BE1808">
        <v>18</v>
      </c>
      <c r="BF1808">
        <v>0</v>
      </c>
      <c r="BG1808" t="s">
        <v>3221</v>
      </c>
      <c r="BH1808" t="s">
        <v>3222</v>
      </c>
      <c r="BI1808" t="s">
        <v>193</v>
      </c>
      <c r="BJ1808">
        <v>0</v>
      </c>
      <c r="BK1808">
        <v>1</v>
      </c>
      <c r="BL1808" t="s">
        <v>69</v>
      </c>
      <c r="BM1808">
        <v>-1.9830000000000001</v>
      </c>
      <c r="BN1808">
        <v>0.436</v>
      </c>
    </row>
    <row r="1809" spans="2:66">
      <c r="B1809">
        <v>3209</v>
      </c>
      <c r="C1809">
        <v>44</v>
      </c>
      <c r="D1809">
        <v>0</v>
      </c>
      <c r="E1809">
        <v>7</v>
      </c>
      <c r="F1809">
        <v>3</v>
      </c>
      <c r="J1809">
        <v>0</v>
      </c>
      <c r="K1809">
        <v>2</v>
      </c>
      <c r="L1809">
        <v>0</v>
      </c>
      <c r="M1809" t="s">
        <v>25022</v>
      </c>
      <c r="N1809">
        <v>476</v>
      </c>
      <c r="O1809" t="s">
        <v>3223</v>
      </c>
      <c r="P1809" t="s">
        <v>57</v>
      </c>
      <c r="Q1809">
        <v>519408</v>
      </c>
      <c r="R1809">
        <v>520229</v>
      </c>
      <c r="S1809" t="s">
        <v>3224</v>
      </c>
      <c r="T1809">
        <v>274</v>
      </c>
      <c r="U1809" t="s">
        <v>108</v>
      </c>
      <c r="V1809">
        <v>44</v>
      </c>
      <c r="W1809" t="str">
        <f>HYPERLINK("Gene476-zp_tree_all.dnd", "Gene476-tree")</f>
        <v>Gene476-tree</v>
      </c>
      <c r="X1809">
        <v>13</v>
      </c>
      <c r="Y1809">
        <v>3</v>
      </c>
      <c r="Z1809">
        <v>13</v>
      </c>
      <c r="AA1809">
        <v>3</v>
      </c>
      <c r="AB1809">
        <v>0.1875</v>
      </c>
      <c r="AC1809" t="s">
        <v>507</v>
      </c>
      <c r="AD1809" t="s">
        <v>324</v>
      </c>
      <c r="AE1809" t="s">
        <v>62</v>
      </c>
      <c r="AF1809" t="s">
        <v>62</v>
      </c>
      <c r="AG1809">
        <v>1</v>
      </c>
      <c r="AH1809">
        <v>2</v>
      </c>
      <c r="AI1809">
        <v>2</v>
      </c>
      <c r="AJ1809">
        <v>0.5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2</v>
      </c>
      <c r="AQ1809">
        <v>0</v>
      </c>
      <c r="AR1809">
        <v>2</v>
      </c>
      <c r="AS1809">
        <v>2</v>
      </c>
      <c r="AT1809">
        <v>0.5</v>
      </c>
      <c r="AU1809">
        <v>13</v>
      </c>
      <c r="AV1809">
        <v>11</v>
      </c>
      <c r="AW1809">
        <v>52</v>
      </c>
      <c r="AX1809">
        <v>4</v>
      </c>
      <c r="AY1809">
        <v>18</v>
      </c>
      <c r="AZ1809">
        <v>0</v>
      </c>
      <c r="BA1809" t="s">
        <v>3225</v>
      </c>
      <c r="BB1809" t="s">
        <v>193</v>
      </c>
      <c r="BC1809">
        <v>0.68</v>
      </c>
      <c r="BD1809" t="s">
        <v>65</v>
      </c>
      <c r="BE1809">
        <v>70</v>
      </c>
      <c r="BF1809">
        <v>4</v>
      </c>
      <c r="BG1809" t="s">
        <v>3226</v>
      </c>
      <c r="BH1809" t="s">
        <v>3227</v>
      </c>
      <c r="BI1809" t="s">
        <v>3228</v>
      </c>
      <c r="BJ1809">
        <v>1.37E-2</v>
      </c>
      <c r="BK1809">
        <v>1</v>
      </c>
      <c r="BL1809" t="s">
        <v>69</v>
      </c>
      <c r="BM1809">
        <v>-1.0740000000000001</v>
      </c>
      <c r="BN1809">
        <v>-0.64900000000000002</v>
      </c>
    </row>
    <row r="1810" spans="2:66">
      <c r="B1810">
        <v>3210</v>
      </c>
      <c r="C1810">
        <v>430</v>
      </c>
      <c r="D1810">
        <v>0</v>
      </c>
      <c r="E1810">
        <v>16</v>
      </c>
      <c r="F1810">
        <v>0</v>
      </c>
      <c r="J1810">
        <v>0</v>
      </c>
      <c r="K1810">
        <v>0</v>
      </c>
      <c r="L1810">
        <v>0</v>
      </c>
      <c r="M1810" t="s">
        <v>25022</v>
      </c>
      <c r="N1810">
        <v>477</v>
      </c>
      <c r="O1810" t="s">
        <v>3229</v>
      </c>
      <c r="P1810" t="s">
        <v>57</v>
      </c>
      <c r="Q1810">
        <v>520237</v>
      </c>
      <c r="R1810">
        <v>520599</v>
      </c>
      <c r="S1810" t="s">
        <v>3230</v>
      </c>
      <c r="T1810">
        <v>121</v>
      </c>
      <c r="U1810" t="s">
        <v>108</v>
      </c>
      <c r="V1810">
        <v>44</v>
      </c>
      <c r="W1810" t="str">
        <f>HYPERLINK("Gene477-zp_tree_all.dnd", "Gene477-tree")</f>
        <v>Gene477-tree</v>
      </c>
      <c r="X1810">
        <v>10</v>
      </c>
      <c r="Y1810">
        <v>2</v>
      </c>
      <c r="Z1810">
        <v>10</v>
      </c>
      <c r="AA1810">
        <v>2</v>
      </c>
      <c r="AB1810">
        <v>0.16667000000000001</v>
      </c>
      <c r="AC1810" t="s">
        <v>117</v>
      </c>
      <c r="AD1810" t="s">
        <v>81</v>
      </c>
      <c r="AE1810" t="s">
        <v>62</v>
      </c>
      <c r="AF1810" t="s">
        <v>62</v>
      </c>
      <c r="AG1810">
        <v>0</v>
      </c>
      <c r="AH1810">
        <v>0</v>
      </c>
      <c r="AI1810">
        <v>2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>
        <v>0</v>
      </c>
      <c r="AU1810">
        <v>8</v>
      </c>
      <c r="AV1810">
        <v>7</v>
      </c>
      <c r="AW1810">
        <v>9</v>
      </c>
      <c r="AX1810">
        <v>2</v>
      </c>
      <c r="AY1810">
        <v>9</v>
      </c>
      <c r="AZ1810">
        <v>0</v>
      </c>
      <c r="BA1810" t="s">
        <v>3231</v>
      </c>
      <c r="BB1810" t="s">
        <v>193</v>
      </c>
      <c r="BC1810">
        <v>0.76600000000000001</v>
      </c>
      <c r="BD1810" t="s">
        <v>65</v>
      </c>
      <c r="BE1810">
        <v>18</v>
      </c>
      <c r="BF1810">
        <v>2</v>
      </c>
      <c r="BG1810" t="s">
        <v>3232</v>
      </c>
      <c r="BH1810" t="s">
        <v>3233</v>
      </c>
      <c r="BI1810" t="s">
        <v>3234</v>
      </c>
      <c r="BJ1810">
        <v>2.043E-2</v>
      </c>
      <c r="BK1810">
        <v>1</v>
      </c>
      <c r="BL1810" t="s">
        <v>69</v>
      </c>
      <c r="BM1810">
        <v>-0.108</v>
      </c>
      <c r="BN1810">
        <v>-0.65300000000000002</v>
      </c>
    </row>
    <row r="1811" spans="2:66">
      <c r="B1811">
        <v>3211</v>
      </c>
      <c r="C1811">
        <v>442</v>
      </c>
      <c r="D1811">
        <v>0</v>
      </c>
      <c r="E1811">
        <v>20</v>
      </c>
      <c r="F1811">
        <v>3</v>
      </c>
      <c r="J1811">
        <v>0</v>
      </c>
      <c r="K1811">
        <v>2</v>
      </c>
      <c r="L1811">
        <v>3</v>
      </c>
      <c r="M1811" t="s">
        <v>25022</v>
      </c>
      <c r="N1811">
        <v>478</v>
      </c>
      <c r="O1811" t="s">
        <v>3235</v>
      </c>
      <c r="P1811" t="s">
        <v>57</v>
      </c>
      <c r="Q1811">
        <v>520606</v>
      </c>
      <c r="R1811">
        <v>521004</v>
      </c>
      <c r="S1811" t="s">
        <v>3236</v>
      </c>
      <c r="T1811">
        <v>133</v>
      </c>
      <c r="U1811" t="s">
        <v>363</v>
      </c>
      <c r="V1811">
        <v>46</v>
      </c>
      <c r="W1811" t="str">
        <f>HYPERLINK("Gene478-zp_tree_all.dnd", "Gene478-tree")</f>
        <v>Gene478-tree</v>
      </c>
      <c r="X1811">
        <v>10</v>
      </c>
      <c r="Y1811">
        <v>2</v>
      </c>
      <c r="Z1811">
        <v>10</v>
      </c>
      <c r="AA1811">
        <v>2</v>
      </c>
      <c r="AB1811">
        <v>0.16667000000000001</v>
      </c>
      <c r="AC1811" t="s">
        <v>117</v>
      </c>
      <c r="AD1811" t="s">
        <v>81</v>
      </c>
      <c r="AE1811" t="s">
        <v>62</v>
      </c>
      <c r="AF1811" t="s">
        <v>62</v>
      </c>
      <c r="AG1811">
        <v>2</v>
      </c>
      <c r="AH1811">
        <v>5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2</v>
      </c>
      <c r="AO1811">
        <v>0</v>
      </c>
      <c r="AP1811">
        <v>0</v>
      </c>
      <c r="AQ1811">
        <v>2</v>
      </c>
      <c r="AR1811">
        <v>2</v>
      </c>
      <c r="AS1811">
        <v>0</v>
      </c>
      <c r="AT1811">
        <v>1</v>
      </c>
      <c r="AU1811">
        <v>9</v>
      </c>
      <c r="AV1811">
        <v>6</v>
      </c>
      <c r="AW1811">
        <v>13</v>
      </c>
      <c r="AX1811">
        <v>3</v>
      </c>
      <c r="AY1811">
        <v>18</v>
      </c>
      <c r="AZ1811">
        <v>3</v>
      </c>
      <c r="BA1811" t="s">
        <v>3237</v>
      </c>
      <c r="BB1811" t="s">
        <v>3238</v>
      </c>
      <c r="BC1811">
        <v>0.17100000000000001</v>
      </c>
      <c r="BD1811" t="s">
        <v>65</v>
      </c>
      <c r="BE1811">
        <v>31</v>
      </c>
      <c r="BF1811">
        <v>6</v>
      </c>
      <c r="BG1811" t="s">
        <v>3239</v>
      </c>
      <c r="BH1811" t="s">
        <v>3240</v>
      </c>
      <c r="BI1811" t="s">
        <v>3241</v>
      </c>
      <c r="BJ1811">
        <v>4.3099999999999999E-2</v>
      </c>
      <c r="BK1811">
        <v>1</v>
      </c>
      <c r="BL1811" t="s">
        <v>69</v>
      </c>
      <c r="BM1811">
        <v>-1.8029999999999999</v>
      </c>
      <c r="BN1811">
        <v>-1.046</v>
      </c>
    </row>
    <row r="1812" spans="2:66">
      <c r="B1812">
        <v>3212</v>
      </c>
      <c r="C1812">
        <v>322</v>
      </c>
      <c r="D1812">
        <v>0</v>
      </c>
      <c r="E1812">
        <v>8</v>
      </c>
      <c r="F1812">
        <v>0</v>
      </c>
      <c r="J1812">
        <v>0</v>
      </c>
      <c r="K1812">
        <v>0</v>
      </c>
      <c r="L1812">
        <v>0</v>
      </c>
      <c r="M1812" t="s">
        <v>25022</v>
      </c>
      <c r="N1812">
        <v>479</v>
      </c>
      <c r="O1812" t="s">
        <v>3242</v>
      </c>
      <c r="P1812" t="s">
        <v>57</v>
      </c>
      <c r="Q1812">
        <v>521019</v>
      </c>
      <c r="R1812">
        <v>522023</v>
      </c>
      <c r="S1812" t="s">
        <v>3243</v>
      </c>
      <c r="T1812">
        <v>335</v>
      </c>
      <c r="U1812" t="s">
        <v>394</v>
      </c>
      <c r="V1812">
        <v>48</v>
      </c>
      <c r="W1812" t="str">
        <f>HYPERLINK("Gene479-zp_tree_all.dnd", "Gene479-tree")</f>
        <v>Gene479-tree</v>
      </c>
      <c r="X1812">
        <v>31</v>
      </c>
      <c r="Y1812">
        <v>6</v>
      </c>
      <c r="Z1812">
        <v>11</v>
      </c>
      <c r="AA1812">
        <v>6</v>
      </c>
      <c r="AB1812">
        <v>0.35293999999999998</v>
      </c>
      <c r="AC1812" t="s">
        <v>2860</v>
      </c>
      <c r="AD1812" t="s">
        <v>90</v>
      </c>
      <c r="AE1812" t="s">
        <v>62</v>
      </c>
      <c r="AF1812" t="s">
        <v>62</v>
      </c>
      <c r="AG1812">
        <v>0</v>
      </c>
      <c r="AH1812">
        <v>0</v>
      </c>
      <c r="AI1812">
        <v>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6</v>
      </c>
      <c r="AT1812">
        <v>0</v>
      </c>
      <c r="AU1812">
        <v>15</v>
      </c>
      <c r="AV1812">
        <v>11</v>
      </c>
      <c r="AW1812">
        <v>53</v>
      </c>
      <c r="AX1812">
        <v>6</v>
      </c>
      <c r="AY1812">
        <v>53</v>
      </c>
      <c r="AZ1812">
        <v>5</v>
      </c>
      <c r="BA1812" t="s">
        <v>3244</v>
      </c>
      <c r="BB1812" t="s">
        <v>3245</v>
      </c>
      <c r="BC1812">
        <v>0.113</v>
      </c>
      <c r="BD1812" t="s">
        <v>65</v>
      </c>
      <c r="BE1812">
        <v>106</v>
      </c>
      <c r="BF1812">
        <v>11</v>
      </c>
      <c r="BG1812" t="s">
        <v>3246</v>
      </c>
      <c r="BH1812" t="s">
        <v>3247</v>
      </c>
      <c r="BI1812" t="s">
        <v>3248</v>
      </c>
      <c r="BJ1812">
        <v>2.6769999999999999E-2</v>
      </c>
      <c r="BK1812">
        <v>1</v>
      </c>
      <c r="BL1812" t="s">
        <v>69</v>
      </c>
      <c r="BM1812">
        <v>-1.4059999999999999</v>
      </c>
      <c r="BN1812">
        <v>-1</v>
      </c>
    </row>
    <row r="1813" spans="2:66">
      <c r="B1813">
        <v>3214</v>
      </c>
      <c r="C1813">
        <v>123</v>
      </c>
      <c r="D1813">
        <v>0</v>
      </c>
      <c r="E1813">
        <v>13</v>
      </c>
      <c r="F1813">
        <v>0</v>
      </c>
      <c r="J1813">
        <v>0</v>
      </c>
      <c r="K1813">
        <v>2</v>
      </c>
      <c r="L1813">
        <v>0</v>
      </c>
      <c r="M1813" t="s">
        <v>25022</v>
      </c>
      <c r="N1813">
        <v>480</v>
      </c>
      <c r="O1813" t="s">
        <v>3249</v>
      </c>
      <c r="P1813" t="s">
        <v>57</v>
      </c>
      <c r="Q1813">
        <v>522088</v>
      </c>
      <c r="R1813">
        <v>522414</v>
      </c>
      <c r="S1813" t="s">
        <v>3250</v>
      </c>
      <c r="T1813">
        <v>109</v>
      </c>
      <c r="U1813" t="s">
        <v>465</v>
      </c>
      <c r="V1813">
        <v>46</v>
      </c>
      <c r="W1813" t="str">
        <f>HYPERLINK("Gene480-zp_tree_all.dnd", "Gene480-tree")</f>
        <v>Gene480-tree</v>
      </c>
      <c r="X1813">
        <v>38</v>
      </c>
      <c r="Y1813">
        <v>1</v>
      </c>
      <c r="Z1813">
        <v>10</v>
      </c>
      <c r="AA1813">
        <v>1</v>
      </c>
      <c r="AB1813">
        <v>9.0910000000000005E-2</v>
      </c>
      <c r="AC1813" t="s">
        <v>3251</v>
      </c>
      <c r="AD1813" t="s">
        <v>175</v>
      </c>
      <c r="AE1813" t="s">
        <v>62</v>
      </c>
      <c r="AF1813" t="s">
        <v>62</v>
      </c>
      <c r="AG1813">
        <v>1</v>
      </c>
      <c r="AH1813">
        <v>2</v>
      </c>
      <c r="AI1813">
        <v>3</v>
      </c>
      <c r="AJ1813">
        <v>0.4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9</v>
      </c>
      <c r="AV1813">
        <v>5</v>
      </c>
      <c r="AW1813">
        <v>12</v>
      </c>
      <c r="AX1813">
        <v>1</v>
      </c>
      <c r="AY1813">
        <v>12</v>
      </c>
      <c r="AZ1813">
        <v>5</v>
      </c>
      <c r="BA1813" t="s">
        <v>3252</v>
      </c>
      <c r="BB1813" t="s">
        <v>3253</v>
      </c>
      <c r="BC1813">
        <v>0.75</v>
      </c>
      <c r="BD1813" t="s">
        <v>65</v>
      </c>
      <c r="BE1813">
        <v>24</v>
      </c>
      <c r="BF1813">
        <v>6</v>
      </c>
      <c r="BG1813" t="s">
        <v>3254</v>
      </c>
      <c r="BH1813" t="s">
        <v>3255</v>
      </c>
      <c r="BI1813" t="s">
        <v>3256</v>
      </c>
      <c r="BJ1813">
        <v>8.3269999999999997E-2</v>
      </c>
      <c r="BK1813">
        <v>1</v>
      </c>
      <c r="BL1813" t="s">
        <v>69</v>
      </c>
      <c r="BM1813">
        <v>-1.4910000000000001</v>
      </c>
      <c r="BN1813">
        <v>-0.755</v>
      </c>
    </row>
    <row r="1814" spans="2:66">
      <c r="B1814">
        <v>3216</v>
      </c>
      <c r="C1814">
        <v>30</v>
      </c>
      <c r="D1814">
        <v>0</v>
      </c>
      <c r="E1814">
        <v>8</v>
      </c>
      <c r="F1814">
        <v>2</v>
      </c>
      <c r="J1814">
        <v>0</v>
      </c>
      <c r="K1814">
        <v>4</v>
      </c>
      <c r="L1814">
        <v>0</v>
      </c>
      <c r="M1814" t="s">
        <v>25022</v>
      </c>
      <c r="N1814">
        <v>481</v>
      </c>
      <c r="O1814" t="s">
        <v>3257</v>
      </c>
      <c r="P1814" t="s">
        <v>57</v>
      </c>
      <c r="Q1814">
        <v>522414</v>
      </c>
      <c r="R1814">
        <v>522893</v>
      </c>
      <c r="S1814" t="s">
        <v>3258</v>
      </c>
      <c r="T1814">
        <v>160</v>
      </c>
      <c r="U1814" t="s">
        <v>125</v>
      </c>
      <c r="V1814">
        <v>48</v>
      </c>
      <c r="W1814" t="str">
        <f>HYPERLINK("Gene481-zp_tree_all.dnd", "Gene481-tree")</f>
        <v>Gene481-tree</v>
      </c>
      <c r="X1814">
        <v>42</v>
      </c>
      <c r="Y1814">
        <v>2</v>
      </c>
      <c r="Z1814">
        <v>12</v>
      </c>
      <c r="AA1814">
        <v>2</v>
      </c>
      <c r="AB1814">
        <v>0.14285999999999999</v>
      </c>
      <c r="AC1814" t="s">
        <v>3259</v>
      </c>
      <c r="AD1814" t="s">
        <v>81</v>
      </c>
      <c r="AE1814" t="s">
        <v>62</v>
      </c>
      <c r="AF1814" t="s">
        <v>62</v>
      </c>
      <c r="AG1814">
        <v>2</v>
      </c>
      <c r="AH1814">
        <v>4</v>
      </c>
      <c r="AI1814">
        <v>5</v>
      </c>
      <c r="AJ1814">
        <v>0.44444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3</v>
      </c>
      <c r="AT1814">
        <v>0</v>
      </c>
      <c r="AU1814">
        <v>10</v>
      </c>
      <c r="AV1814">
        <v>8</v>
      </c>
      <c r="AW1814">
        <v>19</v>
      </c>
      <c r="AX1814">
        <v>3</v>
      </c>
      <c r="AY1814">
        <v>30</v>
      </c>
      <c r="AZ1814">
        <v>6</v>
      </c>
      <c r="BA1814" t="s">
        <v>3260</v>
      </c>
      <c r="BB1814" t="s">
        <v>3261</v>
      </c>
      <c r="BC1814">
        <v>0.108</v>
      </c>
      <c r="BD1814" t="s">
        <v>65</v>
      </c>
      <c r="BE1814">
        <v>49</v>
      </c>
      <c r="BF1814">
        <v>9</v>
      </c>
      <c r="BG1814" t="s">
        <v>3262</v>
      </c>
      <c r="BH1814" t="s">
        <v>3263</v>
      </c>
      <c r="BI1814" t="s">
        <v>3264</v>
      </c>
      <c r="BJ1814">
        <v>4.725E-2</v>
      </c>
      <c r="BK1814">
        <v>1</v>
      </c>
      <c r="BL1814" t="s">
        <v>69</v>
      </c>
      <c r="BM1814">
        <v>-1.389</v>
      </c>
      <c r="BN1814">
        <v>-0.02</v>
      </c>
    </row>
    <row r="1815" spans="2:66">
      <c r="B1815">
        <v>3217</v>
      </c>
      <c r="C1815">
        <v>250</v>
      </c>
      <c r="D1815">
        <v>0</v>
      </c>
      <c r="E1815">
        <v>9</v>
      </c>
      <c r="F1815">
        <v>0</v>
      </c>
      <c r="J1815">
        <v>0</v>
      </c>
      <c r="K1815">
        <v>0</v>
      </c>
      <c r="L1815">
        <v>2</v>
      </c>
      <c r="M1815" t="s">
        <v>25022</v>
      </c>
      <c r="N1815">
        <v>482</v>
      </c>
      <c r="O1815" t="s">
        <v>3265</v>
      </c>
      <c r="P1815" t="s">
        <v>57</v>
      </c>
      <c r="Q1815">
        <v>522862</v>
      </c>
      <c r="R1815">
        <v>523647</v>
      </c>
      <c r="S1815" t="s">
        <v>3266</v>
      </c>
      <c r="T1815">
        <v>262</v>
      </c>
      <c r="U1815" t="s">
        <v>125</v>
      </c>
      <c r="V1815">
        <v>48</v>
      </c>
      <c r="W1815" t="str">
        <f>HYPERLINK("Gene482-zp_tree_all.dnd", "Gene482-tree")</f>
        <v>Gene482-tree</v>
      </c>
      <c r="X1815">
        <v>13</v>
      </c>
      <c r="Y1815">
        <v>5</v>
      </c>
      <c r="Z1815">
        <v>13</v>
      </c>
      <c r="AA1815">
        <v>5</v>
      </c>
      <c r="AB1815">
        <v>0.27778000000000003</v>
      </c>
      <c r="AC1815" t="s">
        <v>507</v>
      </c>
      <c r="AD1815" t="s">
        <v>199</v>
      </c>
      <c r="AE1815" t="s">
        <v>62</v>
      </c>
      <c r="AF1815" t="s">
        <v>62</v>
      </c>
      <c r="AG1815">
        <v>1</v>
      </c>
      <c r="AH1815">
        <v>2</v>
      </c>
      <c r="AI1815">
        <v>6</v>
      </c>
      <c r="AJ1815">
        <v>0.25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5</v>
      </c>
      <c r="AT1815">
        <v>0</v>
      </c>
      <c r="AU1815">
        <v>12</v>
      </c>
      <c r="AV1815">
        <v>13</v>
      </c>
      <c r="AW1815">
        <v>21</v>
      </c>
      <c r="AX1815">
        <v>4</v>
      </c>
      <c r="AY1815">
        <v>48</v>
      </c>
      <c r="AZ1815">
        <v>5</v>
      </c>
      <c r="BA1815" t="s">
        <v>3267</v>
      </c>
      <c r="BB1815" t="s">
        <v>3268</v>
      </c>
      <c r="BC1815">
        <v>0.29899999999999999</v>
      </c>
      <c r="BD1815" t="s">
        <v>65</v>
      </c>
      <c r="BE1815">
        <v>69</v>
      </c>
      <c r="BF1815">
        <v>9</v>
      </c>
      <c r="BG1815" t="s">
        <v>3269</v>
      </c>
      <c r="BH1815" t="s">
        <v>3270</v>
      </c>
      <c r="BI1815" t="s">
        <v>3271</v>
      </c>
      <c r="BJ1815">
        <v>3.5220000000000001E-2</v>
      </c>
      <c r="BK1815">
        <v>1</v>
      </c>
      <c r="BL1815" t="s">
        <v>69</v>
      </c>
      <c r="BM1815">
        <v>-0.96699999999999997</v>
      </c>
      <c r="BN1815">
        <v>0.29199999999999998</v>
      </c>
    </row>
    <row r="1816" spans="2:66">
      <c r="B1816">
        <v>3218</v>
      </c>
      <c r="C1816">
        <v>11</v>
      </c>
      <c r="D1816">
        <v>0</v>
      </c>
      <c r="E1816">
        <v>4</v>
      </c>
      <c r="F1816">
        <v>1</v>
      </c>
      <c r="J1816">
        <v>0</v>
      </c>
      <c r="K1816">
        <v>2</v>
      </c>
      <c r="L1816">
        <v>0</v>
      </c>
      <c r="M1816" t="s">
        <v>25022</v>
      </c>
      <c r="N1816">
        <v>483</v>
      </c>
      <c r="O1816" t="s">
        <v>3272</v>
      </c>
      <c r="P1816" t="s">
        <v>57</v>
      </c>
      <c r="Q1816">
        <v>523650</v>
      </c>
      <c r="R1816">
        <v>524246</v>
      </c>
      <c r="S1816" t="s">
        <v>3273</v>
      </c>
      <c r="T1816">
        <v>199</v>
      </c>
      <c r="U1816" t="s">
        <v>3274</v>
      </c>
      <c r="V1816">
        <v>46</v>
      </c>
      <c r="W1816" t="str">
        <f>HYPERLINK("Gene483-zp_tree_all.dnd", "Gene483-tree")</f>
        <v>Gene483-tree</v>
      </c>
      <c r="X1816">
        <v>8</v>
      </c>
      <c r="Y1816">
        <v>6</v>
      </c>
      <c r="Z1816">
        <v>8</v>
      </c>
      <c r="AA1816">
        <v>6</v>
      </c>
      <c r="AB1816">
        <v>0.42857000000000001</v>
      </c>
      <c r="AC1816" t="s">
        <v>136</v>
      </c>
      <c r="AD1816" t="s">
        <v>90</v>
      </c>
      <c r="AE1816" t="s">
        <v>62</v>
      </c>
      <c r="AF1816" t="s">
        <v>62</v>
      </c>
      <c r="AG1816">
        <v>1</v>
      </c>
      <c r="AH1816">
        <v>2</v>
      </c>
      <c r="AI1816">
        <v>7</v>
      </c>
      <c r="AJ1816">
        <v>0.22222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2</v>
      </c>
      <c r="AQ1816">
        <v>0</v>
      </c>
      <c r="AR1816">
        <v>2</v>
      </c>
      <c r="AS1816">
        <v>5</v>
      </c>
      <c r="AT1816">
        <v>0.28571000000000002</v>
      </c>
      <c r="AU1816">
        <v>8</v>
      </c>
      <c r="AV1816">
        <v>8</v>
      </c>
      <c r="AW1816">
        <v>14</v>
      </c>
      <c r="AX1816">
        <v>5</v>
      </c>
      <c r="AY1816">
        <v>23</v>
      </c>
      <c r="AZ1816">
        <v>4</v>
      </c>
      <c r="BA1816" t="s">
        <v>3275</v>
      </c>
      <c r="BB1816" t="s">
        <v>3276</v>
      </c>
      <c r="BC1816">
        <v>0.53300000000000003</v>
      </c>
      <c r="BD1816" t="s">
        <v>65</v>
      </c>
      <c r="BE1816">
        <v>37</v>
      </c>
      <c r="BF1816">
        <v>9</v>
      </c>
      <c r="BG1816" t="s">
        <v>3277</v>
      </c>
      <c r="BH1816" t="s">
        <v>3278</v>
      </c>
      <c r="BI1816" t="s">
        <v>3279</v>
      </c>
      <c r="BJ1816">
        <v>6.3070000000000001E-2</v>
      </c>
      <c r="BK1816">
        <v>1</v>
      </c>
      <c r="BL1816" t="s">
        <v>69</v>
      </c>
      <c r="BM1816">
        <v>-1.73</v>
      </c>
      <c r="BN1816">
        <v>-0.95799999999999996</v>
      </c>
    </row>
    <row r="1817" spans="2:66">
      <c r="B1817">
        <v>3220</v>
      </c>
      <c r="C1817">
        <v>16</v>
      </c>
      <c r="D1817">
        <v>0</v>
      </c>
      <c r="E1817">
        <v>4</v>
      </c>
      <c r="F1817">
        <v>3</v>
      </c>
      <c r="J1817">
        <v>0</v>
      </c>
      <c r="K1817">
        <v>0</v>
      </c>
      <c r="L1817">
        <v>0</v>
      </c>
      <c r="M1817" t="s">
        <v>25022</v>
      </c>
      <c r="N1817">
        <v>485</v>
      </c>
      <c r="O1817" t="s">
        <v>3280</v>
      </c>
      <c r="P1817" t="s">
        <v>57</v>
      </c>
      <c r="Q1817">
        <v>524782</v>
      </c>
      <c r="R1817">
        <v>525219</v>
      </c>
      <c r="S1817" t="s">
        <v>116</v>
      </c>
      <c r="T1817">
        <v>146</v>
      </c>
      <c r="U1817" t="s">
        <v>3281</v>
      </c>
      <c r="V1817">
        <v>33</v>
      </c>
      <c r="W1817" t="str">
        <f>HYPERLINK("Gene485-zp_tree_all.dnd", "Gene485-tree")</f>
        <v>Gene485-tree</v>
      </c>
      <c r="X1817">
        <v>4</v>
      </c>
      <c r="Y1817">
        <v>2</v>
      </c>
      <c r="Z1817">
        <v>4</v>
      </c>
      <c r="AA1817">
        <v>2</v>
      </c>
      <c r="AB1817">
        <v>0.33333000000000002</v>
      </c>
      <c r="AC1817" t="s">
        <v>61</v>
      </c>
      <c r="AD1817" t="s">
        <v>81</v>
      </c>
      <c r="AE1817" t="s">
        <v>62</v>
      </c>
      <c r="AF1817" t="s">
        <v>62</v>
      </c>
      <c r="AG1817">
        <v>0</v>
      </c>
      <c r="AH1817">
        <v>0</v>
      </c>
      <c r="AI1817">
        <v>4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4</v>
      </c>
      <c r="AT1817">
        <v>0</v>
      </c>
      <c r="AU1817">
        <v>3</v>
      </c>
      <c r="AV1817">
        <v>3</v>
      </c>
      <c r="AW1817">
        <v>8</v>
      </c>
      <c r="AX1817">
        <v>5</v>
      </c>
      <c r="AY1817">
        <v>4</v>
      </c>
      <c r="AZ1817">
        <v>0</v>
      </c>
      <c r="BA1817" t="s">
        <v>3282</v>
      </c>
      <c r="BB1817" t="s">
        <v>193</v>
      </c>
      <c r="BC1817">
        <v>0.9</v>
      </c>
      <c r="BD1817" t="s">
        <v>65</v>
      </c>
      <c r="BE1817">
        <v>12</v>
      </c>
      <c r="BF1817">
        <v>5</v>
      </c>
      <c r="BG1817" t="s">
        <v>3283</v>
      </c>
      <c r="BH1817" t="s">
        <v>3284</v>
      </c>
      <c r="BI1817" t="s">
        <v>3285</v>
      </c>
      <c r="BJ1817">
        <v>0.10098</v>
      </c>
      <c r="BK1817">
        <v>1</v>
      </c>
      <c r="BL1817" t="s">
        <v>69</v>
      </c>
      <c r="BM1817">
        <v>-1.3149999999999999</v>
      </c>
      <c r="BN1817">
        <v>-2.2919999999999998</v>
      </c>
    </row>
    <row r="1818" spans="2:66">
      <c r="B1818">
        <v>3221</v>
      </c>
      <c r="C1818">
        <v>76</v>
      </c>
      <c r="D1818">
        <v>0</v>
      </c>
      <c r="E1818">
        <v>5</v>
      </c>
      <c r="F1818">
        <v>0</v>
      </c>
      <c r="J1818">
        <v>0</v>
      </c>
      <c r="K1818">
        <v>0</v>
      </c>
      <c r="L1818">
        <v>0</v>
      </c>
      <c r="M1818" t="s">
        <v>25022</v>
      </c>
      <c r="N1818">
        <v>486</v>
      </c>
      <c r="O1818" t="s">
        <v>3286</v>
      </c>
      <c r="P1818" t="s">
        <v>57</v>
      </c>
      <c r="Q1818">
        <v>525206</v>
      </c>
      <c r="R1818">
        <v>525646</v>
      </c>
      <c r="S1818" t="s">
        <v>637</v>
      </c>
      <c r="T1818">
        <v>147</v>
      </c>
      <c r="U1818" t="s">
        <v>3281</v>
      </c>
      <c r="V1818">
        <v>33</v>
      </c>
      <c r="W1818" t="str">
        <f>HYPERLINK("Gene486-zp_tree_all.dnd", "Gene486-tree")</f>
        <v>Gene486-tree</v>
      </c>
      <c r="X1818">
        <v>2</v>
      </c>
      <c r="Y1818">
        <v>2</v>
      </c>
      <c r="Z1818">
        <v>2</v>
      </c>
      <c r="AA1818">
        <v>2</v>
      </c>
      <c r="AB1818">
        <v>0.5</v>
      </c>
      <c r="AC1818" t="s">
        <v>81</v>
      </c>
      <c r="AD1818" t="s">
        <v>81</v>
      </c>
      <c r="AE1818" t="s">
        <v>62</v>
      </c>
      <c r="AF1818" t="s">
        <v>62</v>
      </c>
      <c r="AG1818">
        <v>0</v>
      </c>
      <c r="AH1818">
        <v>0</v>
      </c>
      <c r="AI1818">
        <v>2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2</v>
      </c>
      <c r="AT1818">
        <v>0</v>
      </c>
      <c r="AU1818">
        <v>2</v>
      </c>
      <c r="AV1818">
        <v>1</v>
      </c>
      <c r="AW1818">
        <v>2</v>
      </c>
      <c r="AX1818">
        <v>2</v>
      </c>
      <c r="AY1818">
        <v>3</v>
      </c>
      <c r="AZ1818">
        <v>0</v>
      </c>
      <c r="BA1818" t="s">
        <v>3287</v>
      </c>
      <c r="BB1818" t="s">
        <v>193</v>
      </c>
      <c r="BC1818">
        <v>1.4139999999999999</v>
      </c>
      <c r="BD1818" t="s">
        <v>65</v>
      </c>
      <c r="BE1818">
        <v>5</v>
      </c>
      <c r="BF1818">
        <v>2</v>
      </c>
      <c r="BG1818" t="s">
        <v>3288</v>
      </c>
      <c r="BH1818" t="s">
        <v>3289</v>
      </c>
      <c r="BI1818" t="s">
        <v>3290</v>
      </c>
      <c r="BJ1818">
        <v>8.8289999999999993E-2</v>
      </c>
      <c r="BK1818">
        <v>0.98899999999999999</v>
      </c>
      <c r="BL1818" t="s">
        <v>69</v>
      </c>
      <c r="BM1818">
        <v>2.181</v>
      </c>
      <c r="BN1818">
        <v>1.268</v>
      </c>
    </row>
    <row r="1819" spans="2:66">
      <c r="B1819">
        <v>3222</v>
      </c>
      <c r="C1819">
        <v>359</v>
      </c>
      <c r="D1819">
        <v>0</v>
      </c>
      <c r="E1819">
        <v>2</v>
      </c>
      <c r="F1819">
        <v>0</v>
      </c>
      <c r="J1819">
        <v>0</v>
      </c>
      <c r="K1819">
        <v>17</v>
      </c>
      <c r="L1819">
        <v>0</v>
      </c>
      <c r="M1819" t="s">
        <v>25022</v>
      </c>
      <c r="N1819">
        <v>487</v>
      </c>
      <c r="O1819" t="s">
        <v>3291</v>
      </c>
      <c r="P1819" t="s">
        <v>57</v>
      </c>
      <c r="Q1819">
        <v>525743</v>
      </c>
      <c r="R1819">
        <v>527899</v>
      </c>
      <c r="S1819" t="s">
        <v>3292</v>
      </c>
      <c r="T1819">
        <v>719</v>
      </c>
      <c r="U1819" t="s">
        <v>108</v>
      </c>
      <c r="V1819">
        <v>44</v>
      </c>
      <c r="W1819" t="str">
        <f>HYPERLINK("Gene487-zp_tree_all.dnd", "Gene487-tree")</f>
        <v>Gene487-tree</v>
      </c>
      <c r="X1819">
        <v>5</v>
      </c>
      <c r="Y1819">
        <v>9</v>
      </c>
      <c r="Z1819">
        <v>5</v>
      </c>
      <c r="AA1819">
        <v>9</v>
      </c>
      <c r="AB1819">
        <v>0.64285999999999999</v>
      </c>
      <c r="AC1819" t="s">
        <v>199</v>
      </c>
      <c r="AD1819" t="s">
        <v>135</v>
      </c>
      <c r="AE1819" t="s">
        <v>62</v>
      </c>
      <c r="AF1819" t="s">
        <v>62</v>
      </c>
      <c r="AG1819">
        <v>6</v>
      </c>
      <c r="AH1819">
        <v>17</v>
      </c>
      <c r="AI1819">
        <v>14</v>
      </c>
      <c r="AJ1819">
        <v>0.54839000000000004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8</v>
      </c>
      <c r="AQ1819">
        <v>0</v>
      </c>
      <c r="AR1819">
        <v>8</v>
      </c>
      <c r="AS1819">
        <v>14</v>
      </c>
      <c r="AT1819">
        <v>0.36364000000000002</v>
      </c>
      <c r="AU1819">
        <v>14</v>
      </c>
      <c r="AV1819">
        <v>11</v>
      </c>
      <c r="AW1819">
        <v>100</v>
      </c>
      <c r="AX1819">
        <v>22</v>
      </c>
      <c r="AY1819">
        <v>70</v>
      </c>
      <c r="AZ1819">
        <v>10</v>
      </c>
      <c r="BA1819" t="s">
        <v>3293</v>
      </c>
      <c r="BB1819" t="s">
        <v>3294</v>
      </c>
      <c r="BC1819">
        <v>0.70299999999999996</v>
      </c>
      <c r="BD1819" t="s">
        <v>65</v>
      </c>
      <c r="BE1819">
        <v>170</v>
      </c>
      <c r="BF1819">
        <v>32</v>
      </c>
      <c r="BG1819" t="s">
        <v>3295</v>
      </c>
      <c r="BH1819" t="s">
        <v>3296</v>
      </c>
      <c r="BI1819" t="s">
        <v>3297</v>
      </c>
      <c r="BJ1819">
        <v>4.8210000000000003E-2</v>
      </c>
      <c r="BK1819">
        <v>1</v>
      </c>
      <c r="BL1819" t="s">
        <v>69</v>
      </c>
      <c r="BM1819">
        <v>-0.40799999999999997</v>
      </c>
      <c r="BN1819">
        <v>-0.59599999999999997</v>
      </c>
    </row>
    <row r="1820" spans="2:66">
      <c r="B1820">
        <v>3223</v>
      </c>
      <c r="C1820">
        <v>177</v>
      </c>
      <c r="D1820">
        <v>0</v>
      </c>
      <c r="E1820">
        <v>4</v>
      </c>
      <c r="F1820">
        <v>0</v>
      </c>
      <c r="J1820">
        <v>0</v>
      </c>
      <c r="K1820">
        <v>8</v>
      </c>
      <c r="L1820">
        <v>2</v>
      </c>
      <c r="M1820" t="s">
        <v>25022</v>
      </c>
      <c r="N1820">
        <v>497</v>
      </c>
      <c r="O1820" t="s">
        <v>3302</v>
      </c>
      <c r="P1820" t="s">
        <v>57</v>
      </c>
      <c r="Q1820">
        <v>534773</v>
      </c>
      <c r="R1820">
        <v>535828</v>
      </c>
      <c r="S1820" t="s">
        <v>3303</v>
      </c>
      <c r="T1820">
        <v>352</v>
      </c>
      <c r="U1820" t="s">
        <v>3304</v>
      </c>
      <c r="V1820">
        <v>18</v>
      </c>
      <c r="W1820" t="str">
        <f>HYPERLINK("Gene497-zp_tree_all.dnd", "Gene497-tree")</f>
        <v>Gene497-tree</v>
      </c>
      <c r="X1820">
        <v>0</v>
      </c>
      <c r="Y1820">
        <v>4</v>
      </c>
      <c r="Z1820">
        <v>0</v>
      </c>
      <c r="AA1820">
        <v>4</v>
      </c>
      <c r="AB1820">
        <v>1</v>
      </c>
      <c r="AC1820" t="s">
        <v>62</v>
      </c>
      <c r="AD1820" t="s">
        <v>61</v>
      </c>
      <c r="AE1820" t="s">
        <v>62</v>
      </c>
      <c r="AF1820" t="s">
        <v>62</v>
      </c>
      <c r="AG1820">
        <v>5</v>
      </c>
      <c r="AH1820">
        <v>10</v>
      </c>
      <c r="AI1820">
        <v>15</v>
      </c>
      <c r="AJ1820">
        <v>0.4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8</v>
      </c>
      <c r="AQ1820">
        <v>2</v>
      </c>
      <c r="AR1820">
        <v>10</v>
      </c>
      <c r="AS1820">
        <v>14</v>
      </c>
      <c r="AT1820">
        <v>0.41666999999999998</v>
      </c>
      <c r="AU1820">
        <v>4</v>
      </c>
      <c r="AV1820">
        <v>1</v>
      </c>
      <c r="AW1820">
        <v>47</v>
      </c>
      <c r="AX1820">
        <v>24</v>
      </c>
      <c r="AY1820">
        <v>13</v>
      </c>
      <c r="AZ1820">
        <v>2</v>
      </c>
      <c r="BA1820" t="s">
        <v>3305</v>
      </c>
      <c r="BB1820" t="s">
        <v>3306</v>
      </c>
      <c r="BC1820">
        <v>4.7510000000000003</v>
      </c>
      <c r="BD1820" t="s">
        <v>267</v>
      </c>
      <c r="BE1820">
        <v>60</v>
      </c>
      <c r="BF1820">
        <v>26</v>
      </c>
      <c r="BG1820" t="s">
        <v>3307</v>
      </c>
      <c r="BH1820" t="s">
        <v>3308</v>
      </c>
      <c r="BI1820" t="s">
        <v>3309</v>
      </c>
      <c r="BJ1820">
        <v>9.289E-2</v>
      </c>
      <c r="BK1820">
        <v>1</v>
      </c>
      <c r="BL1820" t="s">
        <v>69</v>
      </c>
      <c r="BM1820">
        <v>-0.214</v>
      </c>
      <c r="BN1820">
        <v>-0.64900000000000002</v>
      </c>
    </row>
    <row r="1821" spans="2:66">
      <c r="B1821">
        <v>3226</v>
      </c>
      <c r="C1821">
        <v>211</v>
      </c>
      <c r="D1821">
        <v>0</v>
      </c>
      <c r="E1821">
        <v>6</v>
      </c>
      <c r="F1821">
        <v>0</v>
      </c>
      <c r="J1821">
        <v>0</v>
      </c>
      <c r="K1821">
        <v>0</v>
      </c>
      <c r="L1821">
        <v>0</v>
      </c>
      <c r="M1821" t="s">
        <v>25022</v>
      </c>
      <c r="N1821">
        <v>502</v>
      </c>
      <c r="O1821" t="s">
        <v>3310</v>
      </c>
      <c r="P1821" t="s">
        <v>57</v>
      </c>
      <c r="Q1821">
        <v>538061</v>
      </c>
      <c r="R1821">
        <v>538306</v>
      </c>
      <c r="S1821" t="s">
        <v>3311</v>
      </c>
      <c r="T1821">
        <v>82</v>
      </c>
      <c r="U1821" t="s">
        <v>3312</v>
      </c>
      <c r="V1821">
        <v>20</v>
      </c>
      <c r="W1821" t="str">
        <f>HYPERLINK("Gene502-zp_tree_all.dnd", "Gene502-tree")</f>
        <v>Gene502-tree</v>
      </c>
      <c r="X1821">
        <v>1</v>
      </c>
      <c r="Y1821">
        <v>3</v>
      </c>
      <c r="Z1821">
        <v>1</v>
      </c>
      <c r="AA1821">
        <v>3</v>
      </c>
      <c r="AB1821">
        <v>0.75</v>
      </c>
      <c r="AC1821" t="s">
        <v>175</v>
      </c>
      <c r="AD1821" t="s">
        <v>324</v>
      </c>
      <c r="AE1821" t="s">
        <v>62</v>
      </c>
      <c r="AF1821" t="s">
        <v>62</v>
      </c>
      <c r="AG1821">
        <v>0</v>
      </c>
      <c r="AH1821">
        <v>0</v>
      </c>
      <c r="AI1821">
        <v>4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3</v>
      </c>
      <c r="AT1821">
        <v>0</v>
      </c>
      <c r="AU1821">
        <v>3</v>
      </c>
      <c r="AV1821">
        <v>1</v>
      </c>
      <c r="AW1821">
        <v>13</v>
      </c>
      <c r="AX1821">
        <v>3</v>
      </c>
      <c r="AY1821">
        <v>0</v>
      </c>
      <c r="AZ1821">
        <v>1</v>
      </c>
      <c r="BA1821" t="s">
        <v>3313</v>
      </c>
      <c r="BB1821" t="s">
        <v>193</v>
      </c>
      <c r="BC1821">
        <v>2.2719999999999998</v>
      </c>
      <c r="BD1821" t="s">
        <v>267</v>
      </c>
      <c r="BE1821">
        <v>13</v>
      </c>
      <c r="BF1821">
        <v>4</v>
      </c>
      <c r="BG1821" t="s">
        <v>3314</v>
      </c>
      <c r="BH1821" t="s">
        <v>3315</v>
      </c>
      <c r="BI1821" t="s">
        <v>3316</v>
      </c>
      <c r="BJ1821">
        <v>8.4320000000000006E-2</v>
      </c>
      <c r="BK1821">
        <v>1</v>
      </c>
      <c r="BL1821" t="s">
        <v>69</v>
      </c>
      <c r="BM1821">
        <v>-7.0000000000000007E-2</v>
      </c>
      <c r="BN1821">
        <v>0.154</v>
      </c>
    </row>
    <row r="1822" spans="2:66">
      <c r="B1822">
        <v>3229</v>
      </c>
      <c r="C1822">
        <v>303</v>
      </c>
      <c r="D1822">
        <v>0</v>
      </c>
      <c r="E1822">
        <v>20</v>
      </c>
      <c r="F1822">
        <v>3</v>
      </c>
      <c r="J1822">
        <v>0</v>
      </c>
      <c r="K1822">
        <v>0</v>
      </c>
      <c r="L1822">
        <v>2</v>
      </c>
      <c r="M1822" t="s">
        <v>25022</v>
      </c>
      <c r="N1822">
        <v>504</v>
      </c>
      <c r="O1822" t="s">
        <v>3317</v>
      </c>
      <c r="P1822" t="s">
        <v>57</v>
      </c>
      <c r="Q1822">
        <v>538734</v>
      </c>
      <c r="R1822">
        <v>541226</v>
      </c>
      <c r="S1822" t="s">
        <v>3318</v>
      </c>
      <c r="T1822">
        <v>831</v>
      </c>
      <c r="U1822" t="s">
        <v>3312</v>
      </c>
      <c r="V1822">
        <v>20</v>
      </c>
      <c r="W1822" t="str">
        <f>HYPERLINK("Gene504-zp_tree_all.dnd", "Gene504-tree")</f>
        <v>Gene504-tree</v>
      </c>
      <c r="X1822">
        <v>2</v>
      </c>
      <c r="Y1822">
        <v>2</v>
      </c>
      <c r="Z1822">
        <v>2</v>
      </c>
      <c r="AA1822">
        <v>2</v>
      </c>
      <c r="AB1822">
        <v>0.5</v>
      </c>
      <c r="AC1822" t="s">
        <v>81</v>
      </c>
      <c r="AD1822" t="s">
        <v>81</v>
      </c>
      <c r="AE1822" t="s">
        <v>62</v>
      </c>
      <c r="AF1822" t="s">
        <v>62</v>
      </c>
      <c r="AG1822">
        <v>1</v>
      </c>
      <c r="AH1822">
        <v>2</v>
      </c>
      <c r="AI1822">
        <v>8</v>
      </c>
      <c r="AJ1822">
        <v>0.2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7</v>
      </c>
      <c r="AT1822">
        <v>0</v>
      </c>
      <c r="AU1822">
        <v>3</v>
      </c>
      <c r="AV1822">
        <v>1</v>
      </c>
      <c r="AW1822">
        <v>57</v>
      </c>
      <c r="AX1822">
        <v>8</v>
      </c>
      <c r="AY1822">
        <v>22</v>
      </c>
      <c r="AZ1822">
        <v>3</v>
      </c>
      <c r="BA1822" t="s">
        <v>3319</v>
      </c>
      <c r="BB1822" t="s">
        <v>3320</v>
      </c>
      <c r="BC1822">
        <v>0.02</v>
      </c>
      <c r="BD1822" t="s">
        <v>65</v>
      </c>
      <c r="BE1822">
        <v>79</v>
      </c>
      <c r="BF1822">
        <v>11</v>
      </c>
      <c r="BG1822" t="s">
        <v>3321</v>
      </c>
      <c r="BH1822" t="s">
        <v>3322</v>
      </c>
      <c r="BI1822" t="s">
        <v>3323</v>
      </c>
      <c r="BJ1822">
        <v>3.2660000000000002E-2</v>
      </c>
      <c r="BK1822">
        <v>1</v>
      </c>
      <c r="BL1822" t="s">
        <v>69</v>
      </c>
      <c r="BM1822">
        <v>0.19</v>
      </c>
      <c r="BN1822">
        <v>-1.448</v>
      </c>
    </row>
    <row r="1823" spans="2:66">
      <c r="B1823">
        <v>3230</v>
      </c>
      <c r="C1823">
        <v>12</v>
      </c>
      <c r="D1823">
        <v>0</v>
      </c>
      <c r="E1823">
        <v>6</v>
      </c>
      <c r="F1823">
        <v>1</v>
      </c>
      <c r="J1823">
        <v>0</v>
      </c>
      <c r="K1823">
        <v>2</v>
      </c>
      <c r="L1823">
        <v>0</v>
      </c>
      <c r="M1823" t="s">
        <v>25022</v>
      </c>
      <c r="N1823">
        <v>507</v>
      </c>
      <c r="O1823" t="s">
        <v>3324</v>
      </c>
      <c r="P1823" t="s">
        <v>57</v>
      </c>
      <c r="Q1823">
        <v>544022</v>
      </c>
      <c r="R1823">
        <v>545008</v>
      </c>
      <c r="S1823" t="s">
        <v>3325</v>
      </c>
      <c r="T1823">
        <v>329</v>
      </c>
      <c r="U1823" t="s">
        <v>3326</v>
      </c>
      <c r="V1823">
        <v>19</v>
      </c>
      <c r="W1823" t="str">
        <f>HYPERLINK("Gene507-zp_tree_all.dnd", "Gene507-tree")</f>
        <v>Gene507-tree</v>
      </c>
      <c r="X1823">
        <v>1</v>
      </c>
      <c r="Y1823">
        <v>4</v>
      </c>
      <c r="Z1823">
        <v>1</v>
      </c>
      <c r="AA1823">
        <v>4</v>
      </c>
      <c r="AB1823">
        <v>0.8</v>
      </c>
      <c r="AC1823" t="s">
        <v>175</v>
      </c>
      <c r="AD1823" t="s">
        <v>61</v>
      </c>
      <c r="AE1823" t="s">
        <v>62</v>
      </c>
      <c r="AF1823" t="s">
        <v>62</v>
      </c>
      <c r="AG1823">
        <v>1</v>
      </c>
      <c r="AH1823">
        <v>2</v>
      </c>
      <c r="AI1823">
        <v>15</v>
      </c>
      <c r="AJ1823">
        <v>0.11765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2</v>
      </c>
      <c r="AQ1823">
        <v>0</v>
      </c>
      <c r="AR1823">
        <v>2</v>
      </c>
      <c r="AS1823">
        <v>15</v>
      </c>
      <c r="AT1823">
        <v>0.11765</v>
      </c>
      <c r="AU1823">
        <v>5</v>
      </c>
      <c r="AV1823">
        <v>2</v>
      </c>
      <c r="AW1823">
        <v>47</v>
      </c>
      <c r="AX1823">
        <v>17</v>
      </c>
      <c r="AY1823">
        <v>17</v>
      </c>
      <c r="AZ1823">
        <v>0</v>
      </c>
      <c r="BA1823" t="s">
        <v>3327</v>
      </c>
      <c r="BB1823" t="s">
        <v>193</v>
      </c>
      <c r="BC1823">
        <v>1.2110000000000001</v>
      </c>
      <c r="BD1823" t="s">
        <v>65</v>
      </c>
      <c r="BE1823">
        <v>64</v>
      </c>
      <c r="BF1823">
        <v>17</v>
      </c>
      <c r="BG1823" t="s">
        <v>3328</v>
      </c>
      <c r="BH1823" t="s">
        <v>3329</v>
      </c>
      <c r="BI1823" t="s">
        <v>3330</v>
      </c>
      <c r="BJ1823">
        <v>6.2960000000000002E-2</v>
      </c>
      <c r="BK1823">
        <v>1</v>
      </c>
      <c r="BL1823" t="s">
        <v>69</v>
      </c>
      <c r="BM1823">
        <v>-0.51500000000000001</v>
      </c>
      <c r="BN1823">
        <v>-1.74</v>
      </c>
    </row>
    <row r="1824" spans="2:66">
      <c r="B1824">
        <v>3232</v>
      </c>
      <c r="C1824">
        <v>93</v>
      </c>
      <c r="D1824">
        <v>0</v>
      </c>
      <c r="E1824">
        <v>5</v>
      </c>
      <c r="F1824">
        <v>0</v>
      </c>
      <c r="J1824">
        <v>0</v>
      </c>
      <c r="K1824">
        <v>0</v>
      </c>
      <c r="L1824">
        <v>0</v>
      </c>
      <c r="M1824" t="s">
        <v>25022</v>
      </c>
      <c r="N1824">
        <v>515</v>
      </c>
      <c r="O1824" t="s">
        <v>3339</v>
      </c>
      <c r="P1824" t="s">
        <v>57</v>
      </c>
      <c r="Q1824">
        <v>551519</v>
      </c>
      <c r="R1824">
        <v>551926</v>
      </c>
      <c r="S1824" t="s">
        <v>2942</v>
      </c>
      <c r="T1824">
        <v>136</v>
      </c>
      <c r="U1824" t="s">
        <v>3340</v>
      </c>
      <c r="V1824">
        <v>24</v>
      </c>
      <c r="W1824" t="str">
        <f>HYPERLINK("Gene515-zp_tree_all.dnd", "Gene515-tree")</f>
        <v>Gene515-tree</v>
      </c>
      <c r="X1824">
        <v>3</v>
      </c>
      <c r="Y1824">
        <v>2</v>
      </c>
      <c r="Z1824">
        <v>3</v>
      </c>
      <c r="AA1824">
        <v>2</v>
      </c>
      <c r="AB1824">
        <v>0.4</v>
      </c>
      <c r="AC1824" t="s">
        <v>324</v>
      </c>
      <c r="AD1824" t="s">
        <v>81</v>
      </c>
      <c r="AE1824" t="s">
        <v>62</v>
      </c>
      <c r="AF1824" t="s">
        <v>62</v>
      </c>
      <c r="AG1824">
        <v>0</v>
      </c>
      <c r="AH1824">
        <v>0</v>
      </c>
      <c r="AI1824">
        <v>4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>
        <v>0</v>
      </c>
      <c r="AU1824">
        <v>4</v>
      </c>
      <c r="AV1824">
        <v>2</v>
      </c>
      <c r="AW1824">
        <v>7</v>
      </c>
      <c r="AX1824">
        <v>2</v>
      </c>
      <c r="AY1824">
        <v>3</v>
      </c>
      <c r="AZ1824">
        <v>2</v>
      </c>
      <c r="BA1824" t="s">
        <v>3341</v>
      </c>
      <c r="BB1824" t="s">
        <v>3342</v>
      </c>
      <c r="BC1824">
        <v>1.6910000000000001</v>
      </c>
      <c r="BD1824" t="s">
        <v>65</v>
      </c>
      <c r="BE1824">
        <v>10</v>
      </c>
      <c r="BF1824">
        <v>4</v>
      </c>
      <c r="BG1824" t="s">
        <v>3343</v>
      </c>
      <c r="BH1824" t="s">
        <v>3344</v>
      </c>
      <c r="BI1824" t="s">
        <v>3345</v>
      </c>
      <c r="BJ1824">
        <v>0.12806999999999999</v>
      </c>
      <c r="BK1824">
        <v>0.98</v>
      </c>
      <c r="BL1824" t="s">
        <v>69</v>
      </c>
      <c r="BM1824">
        <v>-1.655</v>
      </c>
      <c r="BN1824">
        <v>-1.1559999999999999</v>
      </c>
    </row>
    <row r="1825" spans="2:66">
      <c r="B1825">
        <v>3233</v>
      </c>
      <c r="C1825">
        <v>322</v>
      </c>
      <c r="D1825">
        <v>0</v>
      </c>
      <c r="E1825">
        <v>10</v>
      </c>
      <c r="F1825">
        <v>0</v>
      </c>
      <c r="J1825">
        <v>0</v>
      </c>
      <c r="K1825">
        <v>0</v>
      </c>
      <c r="L1825">
        <v>0</v>
      </c>
      <c r="M1825" t="s">
        <v>25022</v>
      </c>
      <c r="N1825">
        <v>518</v>
      </c>
      <c r="O1825" t="s">
        <v>3353</v>
      </c>
      <c r="P1825" t="s">
        <v>57</v>
      </c>
      <c r="Q1825">
        <v>553711</v>
      </c>
      <c r="R1825">
        <v>554472</v>
      </c>
      <c r="S1825" t="s">
        <v>3354</v>
      </c>
      <c r="T1825">
        <v>254</v>
      </c>
      <c r="U1825" t="s">
        <v>3340</v>
      </c>
      <c r="V1825">
        <v>24</v>
      </c>
      <c r="W1825" t="str">
        <f>HYPERLINK("Gene518-zp_tree_all.dnd", "Gene518-tree")</f>
        <v>Gene518-tree</v>
      </c>
      <c r="X1825">
        <v>1</v>
      </c>
      <c r="Y1825">
        <v>4</v>
      </c>
      <c r="Z1825">
        <v>1</v>
      </c>
      <c r="AA1825">
        <v>4</v>
      </c>
      <c r="AB1825">
        <v>0.8</v>
      </c>
      <c r="AC1825" t="s">
        <v>175</v>
      </c>
      <c r="AD1825" t="s">
        <v>61</v>
      </c>
      <c r="AE1825" t="s">
        <v>62</v>
      </c>
      <c r="AF1825" t="s">
        <v>62</v>
      </c>
      <c r="AG1825">
        <v>0</v>
      </c>
      <c r="AH1825">
        <v>0</v>
      </c>
      <c r="AI1825">
        <v>10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9</v>
      </c>
      <c r="AT1825">
        <v>0</v>
      </c>
      <c r="AU1825">
        <v>5</v>
      </c>
      <c r="AV1825">
        <v>2</v>
      </c>
      <c r="AW1825">
        <v>14</v>
      </c>
      <c r="AX1825">
        <v>10</v>
      </c>
      <c r="AY1825">
        <v>6</v>
      </c>
      <c r="AZ1825">
        <v>1</v>
      </c>
      <c r="BA1825" t="s">
        <v>3355</v>
      </c>
      <c r="BB1825" t="s">
        <v>3356</v>
      </c>
      <c r="BC1825">
        <v>0.79500000000000004</v>
      </c>
      <c r="BD1825" t="s">
        <v>65</v>
      </c>
      <c r="BE1825">
        <v>20</v>
      </c>
      <c r="BF1825">
        <v>11</v>
      </c>
      <c r="BG1825" t="s">
        <v>3357</v>
      </c>
      <c r="BH1825" t="s">
        <v>3358</v>
      </c>
      <c r="BI1825" t="s">
        <v>3359</v>
      </c>
      <c r="BJ1825">
        <v>0.13951</v>
      </c>
      <c r="BK1825">
        <v>1</v>
      </c>
      <c r="BL1825" t="s">
        <v>69</v>
      </c>
      <c r="BM1825">
        <v>-2.198</v>
      </c>
      <c r="BN1825">
        <v>-3.0910000000000002</v>
      </c>
    </row>
    <row r="1826" spans="2:66">
      <c r="B1826">
        <v>3234</v>
      </c>
      <c r="C1826">
        <v>315</v>
      </c>
      <c r="D1826">
        <v>0</v>
      </c>
      <c r="E1826">
        <v>5</v>
      </c>
      <c r="F1826">
        <v>0</v>
      </c>
      <c r="J1826">
        <v>0</v>
      </c>
      <c r="K1826">
        <v>0</v>
      </c>
      <c r="L1826">
        <v>0</v>
      </c>
      <c r="M1826" t="s">
        <v>25022</v>
      </c>
      <c r="N1826">
        <v>519</v>
      </c>
      <c r="O1826" t="s">
        <v>3360</v>
      </c>
      <c r="P1826" t="s">
        <v>57</v>
      </c>
      <c r="Q1826">
        <v>554669</v>
      </c>
      <c r="R1826">
        <v>555976</v>
      </c>
      <c r="S1826" t="s">
        <v>1123</v>
      </c>
      <c r="T1826">
        <v>436</v>
      </c>
      <c r="U1826" t="s">
        <v>3340</v>
      </c>
      <c r="V1826">
        <v>24</v>
      </c>
      <c r="W1826" t="str">
        <f>HYPERLINK("Gene519-zp_tree_all.dnd", "Gene519-tree")</f>
        <v>Gene519-tree</v>
      </c>
      <c r="X1826">
        <v>2</v>
      </c>
      <c r="Y1826">
        <v>3</v>
      </c>
      <c r="Z1826">
        <v>2</v>
      </c>
      <c r="AA1826">
        <v>3</v>
      </c>
      <c r="AB1826">
        <v>0.6</v>
      </c>
      <c r="AC1826" t="s">
        <v>81</v>
      </c>
      <c r="AD1826" t="s">
        <v>324</v>
      </c>
      <c r="AE1826" t="s">
        <v>62</v>
      </c>
      <c r="AF1826" t="s">
        <v>62</v>
      </c>
      <c r="AG1826">
        <v>0</v>
      </c>
      <c r="AH1826">
        <v>0</v>
      </c>
      <c r="AI1826">
        <v>16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12</v>
      </c>
      <c r="AT1826">
        <v>0</v>
      </c>
      <c r="AU1826">
        <v>5</v>
      </c>
      <c r="AV1826">
        <v>2</v>
      </c>
      <c r="AW1826">
        <v>33</v>
      </c>
      <c r="AX1826">
        <v>12</v>
      </c>
      <c r="AY1826">
        <v>20</v>
      </c>
      <c r="AZ1826">
        <v>4</v>
      </c>
      <c r="BA1826" t="s">
        <v>3361</v>
      </c>
      <c r="BB1826" t="s">
        <v>3362</v>
      </c>
      <c r="BC1826">
        <v>0.34499999999999997</v>
      </c>
      <c r="BD1826" t="s">
        <v>65</v>
      </c>
      <c r="BE1826">
        <v>53</v>
      </c>
      <c r="BF1826">
        <v>16</v>
      </c>
      <c r="BG1826" t="s">
        <v>3363</v>
      </c>
      <c r="BH1826" t="s">
        <v>3364</v>
      </c>
      <c r="BI1826" t="s">
        <v>3365</v>
      </c>
      <c r="BJ1826">
        <v>9.5049999999999996E-2</v>
      </c>
      <c r="BK1826">
        <v>1</v>
      </c>
      <c r="BL1826" t="s">
        <v>69</v>
      </c>
      <c r="BM1826">
        <v>-2.2229999999999999</v>
      </c>
      <c r="BN1826">
        <v>-2.1240000000000001</v>
      </c>
    </row>
    <row r="1827" spans="2:66">
      <c r="B1827">
        <v>3236</v>
      </c>
      <c r="C1827">
        <v>21</v>
      </c>
      <c r="D1827">
        <v>0</v>
      </c>
      <c r="E1827">
        <v>17</v>
      </c>
      <c r="F1827">
        <v>2</v>
      </c>
      <c r="J1827">
        <v>0</v>
      </c>
      <c r="K1827">
        <v>0</v>
      </c>
      <c r="L1827">
        <v>0</v>
      </c>
      <c r="M1827" t="s">
        <v>25022</v>
      </c>
      <c r="N1827">
        <v>520</v>
      </c>
      <c r="O1827" t="s">
        <v>3366</v>
      </c>
      <c r="P1827" t="s">
        <v>57</v>
      </c>
      <c r="Q1827">
        <v>556562</v>
      </c>
      <c r="R1827">
        <v>556735</v>
      </c>
      <c r="S1827" t="s">
        <v>3367</v>
      </c>
      <c r="T1827">
        <v>58</v>
      </c>
      <c r="U1827" t="s">
        <v>3368</v>
      </c>
      <c r="V1827">
        <v>36</v>
      </c>
      <c r="W1827" t="str">
        <f>HYPERLINK("Gene520-zp_tree_all.dnd", "Gene520-tree")</f>
        <v>Gene520-tree</v>
      </c>
      <c r="X1827">
        <v>34</v>
      </c>
      <c r="Y1827">
        <v>0</v>
      </c>
      <c r="Z1827">
        <v>4</v>
      </c>
      <c r="AA1827">
        <v>0</v>
      </c>
      <c r="AB1827">
        <v>0</v>
      </c>
      <c r="AC1827" t="s">
        <v>3369</v>
      </c>
      <c r="AD1827" t="s">
        <v>62</v>
      </c>
      <c r="AE1827" t="s">
        <v>62</v>
      </c>
      <c r="AF1827" t="s">
        <v>62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2</v>
      </c>
      <c r="AV1827">
        <v>1</v>
      </c>
      <c r="AW1827">
        <v>2</v>
      </c>
      <c r="AX1827">
        <v>0</v>
      </c>
      <c r="AY1827">
        <v>1</v>
      </c>
      <c r="AZ1827">
        <v>0</v>
      </c>
      <c r="BA1827" t="s">
        <v>193</v>
      </c>
      <c r="BB1827" t="s">
        <v>193</v>
      </c>
      <c r="BC1827">
        <v>0</v>
      </c>
      <c r="BD1827" t="s">
        <v>65</v>
      </c>
      <c r="BE1827">
        <v>3</v>
      </c>
      <c r="BF1827">
        <v>0</v>
      </c>
      <c r="BG1827" t="s">
        <v>3370</v>
      </c>
      <c r="BH1827" t="s">
        <v>3371</v>
      </c>
      <c r="BI1827" t="s">
        <v>193</v>
      </c>
      <c r="BJ1827">
        <v>0</v>
      </c>
      <c r="BK1827">
        <v>1</v>
      </c>
      <c r="BL1827" t="s">
        <v>69</v>
      </c>
      <c r="BM1827">
        <v>-0.97199999999999998</v>
      </c>
      <c r="BN1827">
        <v>-0.31900000000000001</v>
      </c>
    </row>
    <row r="1828" spans="2:66">
      <c r="B1828">
        <v>3237</v>
      </c>
      <c r="C1828">
        <v>16</v>
      </c>
      <c r="D1828">
        <v>0</v>
      </c>
      <c r="E1828">
        <v>2</v>
      </c>
      <c r="F1828">
        <v>1</v>
      </c>
      <c r="J1828">
        <v>0</v>
      </c>
      <c r="K1828">
        <v>0</v>
      </c>
      <c r="L1828">
        <v>0</v>
      </c>
      <c r="M1828" t="s">
        <v>25022</v>
      </c>
      <c r="N1828">
        <v>521</v>
      </c>
      <c r="O1828" t="s">
        <v>3372</v>
      </c>
      <c r="P1828" t="s">
        <v>57</v>
      </c>
      <c r="Q1828">
        <v>556763</v>
      </c>
      <c r="R1828">
        <v>557446</v>
      </c>
      <c r="S1828" t="s">
        <v>3373</v>
      </c>
      <c r="T1828">
        <v>228</v>
      </c>
      <c r="U1828" t="s">
        <v>3368</v>
      </c>
      <c r="V1828">
        <v>36</v>
      </c>
      <c r="W1828" t="str">
        <f>HYPERLINK("Gene521-zp_tree_all.dnd", "Gene521-tree")</f>
        <v>Gene521-tree</v>
      </c>
      <c r="X1828">
        <v>0</v>
      </c>
      <c r="Y1828">
        <v>5</v>
      </c>
      <c r="Z1828">
        <v>0</v>
      </c>
      <c r="AA1828">
        <v>5</v>
      </c>
      <c r="AB1828">
        <v>1</v>
      </c>
      <c r="AC1828" t="s">
        <v>62</v>
      </c>
      <c r="AD1828" t="s">
        <v>199</v>
      </c>
      <c r="AE1828" t="s">
        <v>62</v>
      </c>
      <c r="AF1828" t="s">
        <v>62</v>
      </c>
      <c r="AG1828">
        <v>0</v>
      </c>
      <c r="AH1828">
        <v>0</v>
      </c>
      <c r="AI1828">
        <v>12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11</v>
      </c>
      <c r="AT1828">
        <v>0</v>
      </c>
      <c r="AU1828">
        <v>4</v>
      </c>
      <c r="AV1828">
        <v>1</v>
      </c>
      <c r="AW1828">
        <v>17</v>
      </c>
      <c r="AX1828">
        <v>11</v>
      </c>
      <c r="AY1828">
        <v>2</v>
      </c>
      <c r="AZ1828">
        <v>1</v>
      </c>
      <c r="BA1828" t="s">
        <v>3374</v>
      </c>
      <c r="BB1828" t="s">
        <v>3375</v>
      </c>
      <c r="BC1828">
        <v>0.153</v>
      </c>
      <c r="BD1828" t="s">
        <v>65</v>
      </c>
      <c r="BE1828">
        <v>19</v>
      </c>
      <c r="BF1828">
        <v>12</v>
      </c>
      <c r="BG1828" t="s">
        <v>3376</v>
      </c>
      <c r="BH1828" t="s">
        <v>3377</v>
      </c>
      <c r="BI1828" t="s">
        <v>3378</v>
      </c>
      <c r="BJ1828">
        <v>0.16592999999999999</v>
      </c>
      <c r="BK1828">
        <v>1</v>
      </c>
      <c r="BL1828" t="s">
        <v>69</v>
      </c>
      <c r="BM1828">
        <v>-2.2959999999999998</v>
      </c>
      <c r="BN1828">
        <v>-3.5339999999999998</v>
      </c>
    </row>
    <row r="1829" spans="2:66">
      <c r="B1829">
        <v>3238</v>
      </c>
      <c r="C1829">
        <v>9</v>
      </c>
      <c r="D1829">
        <v>0</v>
      </c>
      <c r="E1829">
        <v>16</v>
      </c>
      <c r="F1829">
        <v>7</v>
      </c>
      <c r="J1829">
        <v>0</v>
      </c>
      <c r="K1829">
        <v>2</v>
      </c>
      <c r="L1829">
        <v>0</v>
      </c>
      <c r="M1829" t="s">
        <v>25022</v>
      </c>
      <c r="N1829">
        <v>524</v>
      </c>
      <c r="O1829" t="s">
        <v>3379</v>
      </c>
      <c r="P1829" t="s">
        <v>57</v>
      </c>
      <c r="Q1829">
        <v>559264</v>
      </c>
      <c r="R1829">
        <v>559461</v>
      </c>
      <c r="S1829" t="s">
        <v>3380</v>
      </c>
      <c r="T1829">
        <v>66</v>
      </c>
      <c r="U1829" t="s">
        <v>515</v>
      </c>
      <c r="V1829">
        <v>51</v>
      </c>
      <c r="W1829" t="str">
        <f>HYPERLINK("Gene524-zp_tree_all.dnd", "Gene524-tree")</f>
        <v>Gene524-tree</v>
      </c>
      <c r="X1829">
        <v>7</v>
      </c>
      <c r="Y1829">
        <v>2</v>
      </c>
      <c r="Z1829">
        <v>7</v>
      </c>
      <c r="AA1829">
        <v>2</v>
      </c>
      <c r="AB1829">
        <v>0.22222</v>
      </c>
      <c r="AC1829" t="s">
        <v>152</v>
      </c>
      <c r="AD1829" t="s">
        <v>81</v>
      </c>
      <c r="AE1829" t="s">
        <v>62</v>
      </c>
      <c r="AF1829" t="s">
        <v>62</v>
      </c>
      <c r="AG1829">
        <v>1</v>
      </c>
      <c r="AH1829">
        <v>2</v>
      </c>
      <c r="AI1829">
        <v>2</v>
      </c>
      <c r="AJ1829">
        <v>0.5</v>
      </c>
      <c r="AK1829">
        <v>0</v>
      </c>
      <c r="AL1829">
        <v>0</v>
      </c>
      <c r="AM1829">
        <v>0</v>
      </c>
      <c r="AN1829">
        <v>2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>
        <v>0</v>
      </c>
      <c r="AU1829">
        <v>5</v>
      </c>
      <c r="AV1829">
        <v>4</v>
      </c>
      <c r="AW1829">
        <v>6</v>
      </c>
      <c r="AX1829">
        <v>2</v>
      </c>
      <c r="AY1829">
        <v>7</v>
      </c>
      <c r="AZ1829">
        <v>2</v>
      </c>
      <c r="BA1829" t="s">
        <v>3381</v>
      </c>
      <c r="BB1829" t="s">
        <v>3382</v>
      </c>
      <c r="BC1829">
        <v>0.17699999999999999</v>
      </c>
      <c r="BD1829" t="s">
        <v>65</v>
      </c>
      <c r="BE1829">
        <v>13</v>
      </c>
      <c r="BF1829">
        <v>4</v>
      </c>
      <c r="BG1829" t="s">
        <v>3383</v>
      </c>
      <c r="BH1829" t="s">
        <v>3384</v>
      </c>
      <c r="BI1829" t="s">
        <v>3385</v>
      </c>
      <c r="BJ1829">
        <v>8.0329999999999999E-2</v>
      </c>
      <c r="BK1829">
        <v>1</v>
      </c>
      <c r="BL1829" t="s">
        <v>69</v>
      </c>
      <c r="BM1829">
        <v>-1.2290000000000001</v>
      </c>
      <c r="BN1829">
        <v>-1.238</v>
      </c>
    </row>
    <row r="1830" spans="2:66">
      <c r="B1830">
        <v>3240</v>
      </c>
      <c r="C1830">
        <v>234</v>
      </c>
      <c r="D1830">
        <v>0</v>
      </c>
      <c r="E1830">
        <v>5</v>
      </c>
      <c r="F1830">
        <v>0</v>
      </c>
      <c r="J1830">
        <v>0</v>
      </c>
      <c r="K1830">
        <v>5</v>
      </c>
      <c r="L1830">
        <v>7</v>
      </c>
      <c r="M1830" t="s">
        <v>25022</v>
      </c>
      <c r="N1830">
        <v>528</v>
      </c>
      <c r="O1830" t="s">
        <v>3407</v>
      </c>
      <c r="P1830" t="s">
        <v>57</v>
      </c>
      <c r="Q1830">
        <v>562502</v>
      </c>
      <c r="R1830">
        <v>563458</v>
      </c>
      <c r="S1830" t="s">
        <v>1123</v>
      </c>
      <c r="T1830">
        <v>319</v>
      </c>
      <c r="U1830" t="s">
        <v>108</v>
      </c>
      <c r="V1830">
        <v>44</v>
      </c>
      <c r="W1830" t="str">
        <f>HYPERLINK("Gene528-zp_tree_all.dnd", "Gene528-tree")</f>
        <v>Gene528-tree</v>
      </c>
      <c r="X1830">
        <v>8</v>
      </c>
      <c r="Y1830">
        <v>7</v>
      </c>
      <c r="Z1830">
        <v>8</v>
      </c>
      <c r="AA1830">
        <v>7</v>
      </c>
      <c r="AB1830">
        <v>0.46666999999999997</v>
      </c>
      <c r="AC1830" t="s">
        <v>136</v>
      </c>
      <c r="AD1830" t="s">
        <v>152</v>
      </c>
      <c r="AE1830" t="s">
        <v>62</v>
      </c>
      <c r="AF1830" t="s">
        <v>62</v>
      </c>
      <c r="AG1830">
        <v>5</v>
      </c>
      <c r="AH1830">
        <v>12</v>
      </c>
      <c r="AI1830">
        <v>17</v>
      </c>
      <c r="AJ1830">
        <v>0.41378999999999999</v>
      </c>
      <c r="AK1830">
        <v>0</v>
      </c>
      <c r="AL1830">
        <v>0</v>
      </c>
      <c r="AM1830">
        <v>0</v>
      </c>
      <c r="AN1830">
        <v>2</v>
      </c>
      <c r="AO1830">
        <v>0</v>
      </c>
      <c r="AP1830">
        <v>2</v>
      </c>
      <c r="AQ1830">
        <v>2</v>
      </c>
      <c r="AR1830">
        <v>4</v>
      </c>
      <c r="AS1830">
        <v>11</v>
      </c>
      <c r="AT1830">
        <v>0.26667000000000002</v>
      </c>
      <c r="AU1830">
        <v>12</v>
      </c>
      <c r="AV1830">
        <v>11</v>
      </c>
      <c r="AW1830">
        <v>31</v>
      </c>
      <c r="AX1830">
        <v>14</v>
      </c>
      <c r="AY1830">
        <v>29</v>
      </c>
      <c r="AZ1830">
        <v>15</v>
      </c>
      <c r="BA1830" t="s">
        <v>3408</v>
      </c>
      <c r="BB1830" t="s">
        <v>3409</v>
      </c>
      <c r="BC1830">
        <v>0.115</v>
      </c>
      <c r="BD1830" t="s">
        <v>65</v>
      </c>
      <c r="BE1830">
        <v>60</v>
      </c>
      <c r="BF1830">
        <v>29</v>
      </c>
      <c r="BG1830" t="s">
        <v>3410</v>
      </c>
      <c r="BH1830" t="s">
        <v>3411</v>
      </c>
      <c r="BI1830" t="s">
        <v>3412</v>
      </c>
      <c r="BJ1830">
        <v>0.1482</v>
      </c>
      <c r="BK1830">
        <v>1</v>
      </c>
      <c r="BL1830" t="s">
        <v>69</v>
      </c>
      <c r="BM1830">
        <v>0.57099999999999995</v>
      </c>
      <c r="BN1830">
        <v>-0.91800000000000004</v>
      </c>
    </row>
    <row r="1831" spans="2:66">
      <c r="B1831">
        <v>3241</v>
      </c>
      <c r="C1831">
        <v>355</v>
      </c>
      <c r="D1831">
        <v>0</v>
      </c>
      <c r="E1831">
        <v>10</v>
      </c>
      <c r="F1831">
        <v>0</v>
      </c>
      <c r="J1831">
        <v>0</v>
      </c>
      <c r="K1831">
        <v>20</v>
      </c>
      <c r="L1831">
        <v>1</v>
      </c>
      <c r="M1831" t="s">
        <v>25022</v>
      </c>
      <c r="N1831">
        <v>530</v>
      </c>
      <c r="O1831" t="s">
        <v>3420</v>
      </c>
      <c r="P1831" t="s">
        <v>57</v>
      </c>
      <c r="Q1831">
        <v>564713</v>
      </c>
      <c r="R1831">
        <v>566098</v>
      </c>
      <c r="S1831" t="s">
        <v>2441</v>
      </c>
      <c r="T1831">
        <v>462</v>
      </c>
      <c r="U1831" t="s">
        <v>2914</v>
      </c>
      <c r="V1831">
        <v>38</v>
      </c>
      <c r="W1831" t="str">
        <f>HYPERLINK("Gene530-zp_tree_all.dnd", "Gene530-tree")</f>
        <v>Gene530-tree</v>
      </c>
      <c r="X1831">
        <v>1</v>
      </c>
      <c r="Y1831">
        <v>9</v>
      </c>
      <c r="Z1831">
        <v>1</v>
      </c>
      <c r="AA1831">
        <v>9</v>
      </c>
      <c r="AB1831">
        <v>0.9</v>
      </c>
      <c r="AC1831" t="s">
        <v>175</v>
      </c>
      <c r="AD1831" t="s">
        <v>135</v>
      </c>
      <c r="AE1831" t="s">
        <v>62</v>
      </c>
      <c r="AF1831" t="s">
        <v>62</v>
      </c>
      <c r="AG1831">
        <v>10</v>
      </c>
      <c r="AH1831">
        <v>21</v>
      </c>
      <c r="AI1831">
        <v>18</v>
      </c>
      <c r="AJ1831">
        <v>0.53846000000000005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8</v>
      </c>
      <c r="AQ1831">
        <v>1</v>
      </c>
      <c r="AR1831">
        <v>9</v>
      </c>
      <c r="AS1831">
        <v>16</v>
      </c>
      <c r="AT1831">
        <v>0.36</v>
      </c>
      <c r="AU1831">
        <v>10</v>
      </c>
      <c r="AV1831">
        <v>7</v>
      </c>
      <c r="AW1831">
        <v>68</v>
      </c>
      <c r="AX1831">
        <v>25</v>
      </c>
      <c r="AY1831">
        <v>27</v>
      </c>
      <c r="AZ1831">
        <v>14</v>
      </c>
      <c r="BA1831" t="s">
        <v>3421</v>
      </c>
      <c r="BB1831" t="s">
        <v>3422</v>
      </c>
      <c r="BC1831">
        <v>0.97499999999999998</v>
      </c>
      <c r="BD1831" t="s">
        <v>65</v>
      </c>
      <c r="BE1831">
        <v>95</v>
      </c>
      <c r="BF1831">
        <v>39</v>
      </c>
      <c r="BG1831" t="s">
        <v>3423</v>
      </c>
      <c r="BH1831" t="s">
        <v>3424</v>
      </c>
      <c r="BI1831" t="s">
        <v>3425</v>
      </c>
      <c r="BJ1831">
        <v>0.13195000000000001</v>
      </c>
      <c r="BK1831">
        <v>1</v>
      </c>
      <c r="BL1831" t="s">
        <v>69</v>
      </c>
      <c r="BM1831">
        <v>-0.46700000000000003</v>
      </c>
      <c r="BN1831">
        <v>0.09</v>
      </c>
    </row>
    <row r="1832" spans="2:66">
      <c r="B1832">
        <v>3242</v>
      </c>
      <c r="C1832">
        <v>66</v>
      </c>
      <c r="D1832">
        <v>0</v>
      </c>
      <c r="E1832">
        <v>9</v>
      </c>
      <c r="F1832">
        <v>1</v>
      </c>
      <c r="J1832">
        <v>0</v>
      </c>
      <c r="K1832">
        <v>13</v>
      </c>
      <c r="L1832">
        <v>2</v>
      </c>
      <c r="M1832" t="s">
        <v>25022</v>
      </c>
      <c r="N1832">
        <v>531</v>
      </c>
      <c r="O1832" t="s">
        <v>3426</v>
      </c>
      <c r="P1832" t="s">
        <v>57</v>
      </c>
      <c r="Q1832">
        <v>566211</v>
      </c>
      <c r="R1832">
        <v>567500</v>
      </c>
      <c r="S1832" t="s">
        <v>1123</v>
      </c>
      <c r="T1832">
        <v>430</v>
      </c>
      <c r="U1832" t="s">
        <v>3427</v>
      </c>
      <c r="V1832">
        <v>41</v>
      </c>
      <c r="W1832" t="str">
        <f>HYPERLINK("Gene531-zp_tree_all.dnd", "Gene531-tree")</f>
        <v>Gene531-tree</v>
      </c>
      <c r="X1832">
        <v>3</v>
      </c>
      <c r="Y1832">
        <v>9</v>
      </c>
      <c r="Z1832">
        <v>3</v>
      </c>
      <c r="AA1832">
        <v>9</v>
      </c>
      <c r="AB1832">
        <v>0.75</v>
      </c>
      <c r="AC1832" t="s">
        <v>324</v>
      </c>
      <c r="AD1832" t="s">
        <v>135</v>
      </c>
      <c r="AE1832" t="s">
        <v>62</v>
      </c>
      <c r="AF1832" t="s">
        <v>62</v>
      </c>
      <c r="AG1832">
        <v>7</v>
      </c>
      <c r="AH1832">
        <v>15</v>
      </c>
      <c r="AI1832">
        <v>16</v>
      </c>
      <c r="AJ1832">
        <v>0.48387000000000002</v>
      </c>
      <c r="AK1832">
        <v>0</v>
      </c>
      <c r="AL1832">
        <v>0</v>
      </c>
      <c r="AM1832">
        <v>0</v>
      </c>
      <c r="AN1832">
        <v>8</v>
      </c>
      <c r="AO1832">
        <v>0</v>
      </c>
      <c r="AP1832">
        <v>6</v>
      </c>
      <c r="AQ1832">
        <v>0</v>
      </c>
      <c r="AR1832">
        <v>6</v>
      </c>
      <c r="AS1832">
        <v>9</v>
      </c>
      <c r="AT1832">
        <v>0.4</v>
      </c>
      <c r="AU1832">
        <v>9</v>
      </c>
      <c r="AV1832">
        <v>9</v>
      </c>
      <c r="AW1832">
        <v>30</v>
      </c>
      <c r="AX1832">
        <v>14</v>
      </c>
      <c r="AY1832">
        <v>42</v>
      </c>
      <c r="AZ1832">
        <v>17</v>
      </c>
      <c r="BA1832" t="s">
        <v>3428</v>
      </c>
      <c r="BB1832" t="s">
        <v>3429</v>
      </c>
      <c r="BC1832">
        <v>0.14599999999999999</v>
      </c>
      <c r="BD1832" t="s">
        <v>65</v>
      </c>
      <c r="BE1832">
        <v>72</v>
      </c>
      <c r="BF1832">
        <v>31</v>
      </c>
      <c r="BG1832" t="s">
        <v>3430</v>
      </c>
      <c r="BH1832" t="s">
        <v>3431</v>
      </c>
      <c r="BI1832" t="s">
        <v>3432</v>
      </c>
      <c r="BJ1832">
        <v>0.15762000000000001</v>
      </c>
      <c r="BK1832">
        <v>1</v>
      </c>
      <c r="BL1832" t="s">
        <v>69</v>
      </c>
      <c r="BM1832">
        <v>0.03</v>
      </c>
      <c r="BN1832">
        <v>-0.64200000000000002</v>
      </c>
    </row>
    <row r="1833" spans="2:66">
      <c r="B1833">
        <v>3245</v>
      </c>
      <c r="C1833">
        <v>56</v>
      </c>
      <c r="D1833">
        <v>0</v>
      </c>
      <c r="E1833">
        <v>0</v>
      </c>
      <c r="F1833">
        <v>2</v>
      </c>
      <c r="J1833">
        <v>0</v>
      </c>
      <c r="K1833">
        <v>2</v>
      </c>
      <c r="L1833">
        <v>0</v>
      </c>
      <c r="M1833" t="s">
        <v>25022</v>
      </c>
      <c r="N1833">
        <v>532</v>
      </c>
      <c r="O1833" t="s">
        <v>3433</v>
      </c>
      <c r="P1833" t="s">
        <v>57</v>
      </c>
      <c r="Q1833">
        <v>567662</v>
      </c>
      <c r="R1833">
        <v>568105</v>
      </c>
      <c r="S1833" t="s">
        <v>3095</v>
      </c>
      <c r="T1833">
        <v>148</v>
      </c>
      <c r="U1833" t="s">
        <v>1174</v>
      </c>
      <c r="V1833">
        <v>42</v>
      </c>
      <c r="W1833" t="str">
        <f>HYPERLINK("Gene532-zp_tree_all.dnd", "Gene532-tree")</f>
        <v>Gene532-tree</v>
      </c>
      <c r="X1833">
        <v>7</v>
      </c>
      <c r="Y1833">
        <v>6</v>
      </c>
      <c r="Z1833">
        <v>7</v>
      </c>
      <c r="AA1833">
        <v>6</v>
      </c>
      <c r="AB1833">
        <v>0.46154000000000001</v>
      </c>
      <c r="AC1833" t="s">
        <v>152</v>
      </c>
      <c r="AD1833" t="s">
        <v>90</v>
      </c>
      <c r="AE1833" t="s">
        <v>62</v>
      </c>
      <c r="AF1833" t="s">
        <v>62</v>
      </c>
      <c r="AG1833">
        <v>1</v>
      </c>
      <c r="AH1833">
        <v>2</v>
      </c>
      <c r="AI1833">
        <v>9</v>
      </c>
      <c r="AJ1833">
        <v>0.18182000000000001</v>
      </c>
      <c r="AK1833">
        <v>0</v>
      </c>
      <c r="AL1833">
        <v>0</v>
      </c>
      <c r="AM1833">
        <v>0</v>
      </c>
      <c r="AN1833">
        <v>4</v>
      </c>
      <c r="AO1833">
        <v>0</v>
      </c>
      <c r="AP1833">
        <v>0</v>
      </c>
      <c r="AQ1833">
        <v>0</v>
      </c>
      <c r="AR1833">
        <v>0</v>
      </c>
      <c r="AS1833">
        <v>7</v>
      </c>
      <c r="AT1833">
        <v>0</v>
      </c>
      <c r="AU1833">
        <v>10</v>
      </c>
      <c r="AV1833">
        <v>5</v>
      </c>
      <c r="AW1833">
        <v>12</v>
      </c>
      <c r="AX1833">
        <v>7</v>
      </c>
      <c r="AY1833">
        <v>8</v>
      </c>
      <c r="AZ1833">
        <v>4</v>
      </c>
      <c r="BA1833" t="s">
        <v>3434</v>
      </c>
      <c r="BB1833" t="s">
        <v>3435</v>
      </c>
      <c r="BC1833">
        <v>0.159</v>
      </c>
      <c r="BD1833" t="s">
        <v>65</v>
      </c>
      <c r="BE1833">
        <v>20</v>
      </c>
      <c r="BF1833">
        <v>11</v>
      </c>
      <c r="BG1833" t="s">
        <v>3436</v>
      </c>
      <c r="BH1833" t="s">
        <v>3437</v>
      </c>
      <c r="BI1833" t="s">
        <v>3438</v>
      </c>
      <c r="BJ1833">
        <v>0.20241999999999999</v>
      </c>
      <c r="BK1833">
        <v>1</v>
      </c>
      <c r="BL1833" t="s">
        <v>69</v>
      </c>
      <c r="BM1833">
        <v>-0.115</v>
      </c>
      <c r="BN1833">
        <v>-1.417</v>
      </c>
    </row>
    <row r="1834" spans="2:66">
      <c r="B1834">
        <v>3247</v>
      </c>
      <c r="C1834">
        <v>176</v>
      </c>
      <c r="D1834">
        <v>0</v>
      </c>
      <c r="E1834">
        <v>7</v>
      </c>
      <c r="F1834">
        <v>0</v>
      </c>
      <c r="J1834">
        <v>0</v>
      </c>
      <c r="K1834">
        <v>11</v>
      </c>
      <c r="L1834">
        <v>0</v>
      </c>
      <c r="M1834" t="s">
        <v>25022</v>
      </c>
      <c r="N1834">
        <v>533</v>
      </c>
      <c r="O1834" t="s">
        <v>3439</v>
      </c>
      <c r="P1834" t="s">
        <v>57</v>
      </c>
      <c r="Q1834">
        <v>568345</v>
      </c>
      <c r="R1834">
        <v>568935</v>
      </c>
      <c r="S1834" t="s">
        <v>288</v>
      </c>
      <c r="T1834">
        <v>197</v>
      </c>
      <c r="U1834" t="s">
        <v>108</v>
      </c>
      <c r="V1834">
        <v>44</v>
      </c>
      <c r="W1834" t="str">
        <f>HYPERLINK("Gene533-zp_tree_all.dnd", "Gene533-tree")</f>
        <v>Gene533-tree</v>
      </c>
      <c r="X1834">
        <v>3</v>
      </c>
      <c r="Y1834">
        <v>9</v>
      </c>
      <c r="Z1834">
        <v>3</v>
      </c>
      <c r="AA1834">
        <v>9</v>
      </c>
      <c r="AB1834">
        <v>0.75</v>
      </c>
      <c r="AC1834" t="s">
        <v>324</v>
      </c>
      <c r="AD1834" t="s">
        <v>135</v>
      </c>
      <c r="AE1834" t="s">
        <v>62</v>
      </c>
      <c r="AF1834" t="s">
        <v>62</v>
      </c>
      <c r="AG1834">
        <v>5</v>
      </c>
      <c r="AH1834">
        <v>11</v>
      </c>
      <c r="AI1834">
        <v>8</v>
      </c>
      <c r="AJ1834">
        <v>0.57894999999999996</v>
      </c>
      <c r="AK1834">
        <v>0</v>
      </c>
      <c r="AL1834">
        <v>0</v>
      </c>
      <c r="AM1834">
        <v>0</v>
      </c>
      <c r="AN1834">
        <v>2</v>
      </c>
      <c r="AO1834">
        <v>0</v>
      </c>
      <c r="AP1834">
        <v>2</v>
      </c>
      <c r="AQ1834">
        <v>0</v>
      </c>
      <c r="AR1834">
        <v>2</v>
      </c>
      <c r="AS1834">
        <v>9</v>
      </c>
      <c r="AT1834">
        <v>0.18182000000000001</v>
      </c>
      <c r="AU1834">
        <v>9</v>
      </c>
      <c r="AV1834">
        <v>7</v>
      </c>
      <c r="AW1834">
        <v>15</v>
      </c>
      <c r="AX1834">
        <v>10</v>
      </c>
      <c r="AY1834">
        <v>14</v>
      </c>
      <c r="AZ1834">
        <v>9</v>
      </c>
      <c r="BA1834" t="s">
        <v>3440</v>
      </c>
      <c r="BB1834" t="s">
        <v>3441</v>
      </c>
      <c r="BC1834">
        <v>6.8000000000000005E-2</v>
      </c>
      <c r="BD1834" t="s">
        <v>65</v>
      </c>
      <c r="BE1834">
        <v>29</v>
      </c>
      <c r="BF1834">
        <v>19</v>
      </c>
      <c r="BG1834" t="s">
        <v>3442</v>
      </c>
      <c r="BH1834" t="s">
        <v>3443</v>
      </c>
      <c r="BI1834" t="s">
        <v>3444</v>
      </c>
      <c r="BJ1834">
        <v>0.18073</v>
      </c>
      <c r="BK1834">
        <v>1</v>
      </c>
      <c r="BL1834" t="s">
        <v>69</v>
      </c>
      <c r="BM1834">
        <v>1.325</v>
      </c>
      <c r="BN1834">
        <v>-0.115</v>
      </c>
    </row>
    <row r="1835" spans="2:66">
      <c r="B1835">
        <v>3250</v>
      </c>
      <c r="C1835">
        <v>80</v>
      </c>
      <c r="D1835">
        <v>0</v>
      </c>
      <c r="E1835">
        <v>4</v>
      </c>
      <c r="F1835">
        <v>1</v>
      </c>
      <c r="J1835">
        <v>0</v>
      </c>
      <c r="K1835">
        <v>17</v>
      </c>
      <c r="L1835">
        <v>1</v>
      </c>
      <c r="M1835" t="s">
        <v>25022</v>
      </c>
      <c r="N1835">
        <v>536</v>
      </c>
      <c r="O1835" t="s">
        <v>3458</v>
      </c>
      <c r="P1835" t="s">
        <v>57</v>
      </c>
      <c r="Q1835">
        <v>571389</v>
      </c>
      <c r="R1835">
        <v>572777</v>
      </c>
      <c r="S1835" t="s">
        <v>2441</v>
      </c>
      <c r="T1835">
        <v>463</v>
      </c>
      <c r="U1835" t="s">
        <v>108</v>
      </c>
      <c r="V1835">
        <v>44</v>
      </c>
      <c r="W1835" t="str">
        <f>HYPERLINK("Gene536-zp_tree_all.dnd", "Gene536-tree")</f>
        <v>Gene536-tree</v>
      </c>
      <c r="X1835">
        <v>2</v>
      </c>
      <c r="Y1835">
        <v>11</v>
      </c>
      <c r="Z1835">
        <v>2</v>
      </c>
      <c r="AA1835">
        <v>11</v>
      </c>
      <c r="AB1835">
        <v>0.84614999999999996</v>
      </c>
      <c r="AC1835" t="s">
        <v>81</v>
      </c>
      <c r="AD1835" t="s">
        <v>73</v>
      </c>
      <c r="AE1835">
        <v>515075683.63</v>
      </c>
      <c r="AF1835" t="s">
        <v>267</v>
      </c>
      <c r="AG1835">
        <v>6</v>
      </c>
      <c r="AH1835">
        <v>18</v>
      </c>
      <c r="AI1835">
        <v>19</v>
      </c>
      <c r="AJ1835">
        <v>0.48648999999999998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10</v>
      </c>
      <c r="AQ1835">
        <v>0</v>
      </c>
      <c r="AR1835">
        <v>10</v>
      </c>
      <c r="AS1835">
        <v>10</v>
      </c>
      <c r="AT1835">
        <v>0.5</v>
      </c>
      <c r="AU1835">
        <v>12</v>
      </c>
      <c r="AV1835">
        <v>10</v>
      </c>
      <c r="AW1835">
        <v>36</v>
      </c>
      <c r="AX1835">
        <v>20</v>
      </c>
      <c r="AY1835">
        <v>37</v>
      </c>
      <c r="AZ1835">
        <v>17</v>
      </c>
      <c r="BA1835" t="s">
        <v>3459</v>
      </c>
      <c r="BB1835" t="s">
        <v>3460</v>
      </c>
      <c r="BC1835">
        <v>0.436</v>
      </c>
      <c r="BD1835" t="s">
        <v>65</v>
      </c>
      <c r="BE1835">
        <v>73</v>
      </c>
      <c r="BF1835">
        <v>37</v>
      </c>
      <c r="BG1835" t="s">
        <v>3461</v>
      </c>
      <c r="BH1835" t="s">
        <v>3462</v>
      </c>
      <c r="BI1835" t="s">
        <v>3463</v>
      </c>
      <c r="BJ1835">
        <v>0.14141000000000001</v>
      </c>
      <c r="BK1835">
        <v>1</v>
      </c>
      <c r="BL1835" t="s">
        <v>69</v>
      </c>
      <c r="BM1835">
        <v>-7.0999999999999994E-2</v>
      </c>
      <c r="BN1835">
        <v>-0.24</v>
      </c>
    </row>
    <row r="1836" spans="2:66">
      <c r="B1836">
        <v>3251</v>
      </c>
      <c r="C1836">
        <v>257</v>
      </c>
      <c r="D1836">
        <v>0</v>
      </c>
      <c r="E1836">
        <v>0</v>
      </c>
      <c r="F1836">
        <v>2</v>
      </c>
      <c r="J1836">
        <v>0</v>
      </c>
      <c r="K1836">
        <v>2</v>
      </c>
      <c r="L1836">
        <v>0</v>
      </c>
      <c r="M1836" t="s">
        <v>25022</v>
      </c>
      <c r="N1836">
        <v>537</v>
      </c>
      <c r="O1836" t="s">
        <v>3464</v>
      </c>
      <c r="P1836" t="s">
        <v>57</v>
      </c>
      <c r="Q1836">
        <v>572974</v>
      </c>
      <c r="R1836">
        <v>573396</v>
      </c>
      <c r="S1836" t="s">
        <v>3465</v>
      </c>
      <c r="T1836">
        <v>141</v>
      </c>
      <c r="U1836" t="s">
        <v>108</v>
      </c>
      <c r="V1836">
        <v>44</v>
      </c>
      <c r="W1836" t="str">
        <f>HYPERLINK("Gene537-zp_tree_all.dnd", "Gene537-tree")</f>
        <v>Gene537-tree</v>
      </c>
      <c r="X1836">
        <v>7</v>
      </c>
      <c r="Y1836">
        <v>3</v>
      </c>
      <c r="Z1836">
        <v>7</v>
      </c>
      <c r="AA1836">
        <v>3</v>
      </c>
      <c r="AB1836">
        <v>0.3</v>
      </c>
      <c r="AC1836" t="s">
        <v>152</v>
      </c>
      <c r="AD1836" t="s">
        <v>324</v>
      </c>
      <c r="AE1836" t="s">
        <v>62</v>
      </c>
      <c r="AF1836" t="s">
        <v>62</v>
      </c>
      <c r="AG1836">
        <v>1</v>
      </c>
      <c r="AH1836">
        <v>2</v>
      </c>
      <c r="AI1836">
        <v>6</v>
      </c>
      <c r="AJ1836">
        <v>0.25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2</v>
      </c>
      <c r="AQ1836">
        <v>0</v>
      </c>
      <c r="AR1836">
        <v>2</v>
      </c>
      <c r="AS1836">
        <v>3</v>
      </c>
      <c r="AT1836">
        <v>0.4</v>
      </c>
      <c r="AU1836">
        <v>7</v>
      </c>
      <c r="AV1836">
        <v>4</v>
      </c>
      <c r="AW1836">
        <v>16</v>
      </c>
      <c r="AX1836">
        <v>6</v>
      </c>
      <c r="AY1836">
        <v>5</v>
      </c>
      <c r="AZ1836">
        <v>3</v>
      </c>
      <c r="BA1836" t="s">
        <v>3466</v>
      </c>
      <c r="BB1836" t="s">
        <v>3467</v>
      </c>
      <c r="BC1836">
        <v>0.32200000000000001</v>
      </c>
      <c r="BD1836" t="s">
        <v>65</v>
      </c>
      <c r="BE1836">
        <v>21</v>
      </c>
      <c r="BF1836">
        <v>9</v>
      </c>
      <c r="BG1836" t="s">
        <v>3468</v>
      </c>
      <c r="BH1836" t="s">
        <v>3469</v>
      </c>
      <c r="BI1836" t="s">
        <v>3470</v>
      </c>
      <c r="BJ1836">
        <v>0.13655</v>
      </c>
      <c r="BK1836">
        <v>1</v>
      </c>
      <c r="BL1836" t="s">
        <v>69</v>
      </c>
      <c r="BM1836">
        <v>-1.345</v>
      </c>
      <c r="BN1836">
        <v>-2.097</v>
      </c>
    </row>
    <row r="1837" spans="2:66">
      <c r="B1837">
        <v>3252</v>
      </c>
      <c r="C1837">
        <v>90</v>
      </c>
      <c r="D1837">
        <v>0</v>
      </c>
      <c r="E1837">
        <v>0</v>
      </c>
      <c r="F1837">
        <v>4</v>
      </c>
      <c r="J1837">
        <v>0</v>
      </c>
      <c r="K1837">
        <v>8</v>
      </c>
      <c r="L1837">
        <v>0</v>
      </c>
      <c r="M1837" t="s">
        <v>25022</v>
      </c>
      <c r="N1837">
        <v>540</v>
      </c>
      <c r="O1837" t="s">
        <v>3485</v>
      </c>
      <c r="P1837" t="s">
        <v>57</v>
      </c>
      <c r="Q1837">
        <v>574690</v>
      </c>
      <c r="R1837">
        <v>575559</v>
      </c>
      <c r="S1837" t="s">
        <v>3095</v>
      </c>
      <c r="T1837">
        <v>290</v>
      </c>
      <c r="U1837" t="s">
        <v>1196</v>
      </c>
      <c r="V1837">
        <v>39</v>
      </c>
      <c r="W1837" t="str">
        <f>HYPERLINK("Gene540-zp_tree_all.dnd", "Gene540-tree")</f>
        <v>Gene540-tree</v>
      </c>
      <c r="X1837">
        <v>6</v>
      </c>
      <c r="Y1837">
        <v>5</v>
      </c>
      <c r="Z1837">
        <v>6</v>
      </c>
      <c r="AA1837">
        <v>5</v>
      </c>
      <c r="AB1837">
        <v>0.45455000000000001</v>
      </c>
      <c r="AC1837" t="s">
        <v>90</v>
      </c>
      <c r="AD1837" t="s">
        <v>199</v>
      </c>
      <c r="AE1837" t="s">
        <v>62</v>
      </c>
      <c r="AF1837" t="s">
        <v>62</v>
      </c>
      <c r="AG1837">
        <v>3</v>
      </c>
      <c r="AH1837">
        <v>8</v>
      </c>
      <c r="AI1837">
        <v>2</v>
      </c>
      <c r="AJ1837">
        <v>0.8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2</v>
      </c>
      <c r="AQ1837">
        <v>0</v>
      </c>
      <c r="AR1837">
        <v>2</v>
      </c>
      <c r="AS1837">
        <v>3</v>
      </c>
      <c r="AT1837">
        <v>0.4</v>
      </c>
      <c r="AU1837">
        <v>10</v>
      </c>
      <c r="AV1837">
        <v>7</v>
      </c>
      <c r="AW1837">
        <v>24</v>
      </c>
      <c r="AX1837">
        <v>4</v>
      </c>
      <c r="AY1837">
        <v>12</v>
      </c>
      <c r="AZ1837">
        <v>6</v>
      </c>
      <c r="BA1837" t="s">
        <v>3486</v>
      </c>
      <c r="BB1837" t="s">
        <v>3487</v>
      </c>
      <c r="BC1837">
        <v>1.2649999999999999</v>
      </c>
      <c r="BD1837" t="s">
        <v>65</v>
      </c>
      <c r="BE1837">
        <v>36</v>
      </c>
      <c r="BF1837">
        <v>10</v>
      </c>
      <c r="BG1837" t="s">
        <v>3488</v>
      </c>
      <c r="BH1837" t="s">
        <v>3489</v>
      </c>
      <c r="BI1837" t="s">
        <v>3490</v>
      </c>
      <c r="BJ1837">
        <v>8.0990000000000006E-2</v>
      </c>
      <c r="BK1837">
        <v>1</v>
      </c>
      <c r="BL1837" t="s">
        <v>69</v>
      </c>
      <c r="BM1837">
        <v>-0.217</v>
      </c>
      <c r="BN1837">
        <v>-0.67500000000000004</v>
      </c>
    </row>
    <row r="1838" spans="2:66">
      <c r="B1838">
        <v>3253</v>
      </c>
      <c r="C1838">
        <v>102</v>
      </c>
      <c r="D1838">
        <v>0</v>
      </c>
      <c r="E1838">
        <v>4</v>
      </c>
      <c r="F1838">
        <v>2</v>
      </c>
      <c r="J1838">
        <v>0</v>
      </c>
      <c r="K1838">
        <v>0</v>
      </c>
      <c r="L1838">
        <v>0</v>
      </c>
      <c r="M1838" t="s">
        <v>25022</v>
      </c>
      <c r="N1838">
        <v>542</v>
      </c>
      <c r="O1838" t="s">
        <v>3497</v>
      </c>
      <c r="P1838" t="s">
        <v>57</v>
      </c>
      <c r="Q1838">
        <v>576209</v>
      </c>
      <c r="R1838">
        <v>576799</v>
      </c>
      <c r="S1838" t="s">
        <v>3498</v>
      </c>
      <c r="T1838">
        <v>197</v>
      </c>
      <c r="U1838" t="s">
        <v>3492</v>
      </c>
      <c r="V1838">
        <v>31</v>
      </c>
      <c r="W1838" t="str">
        <f>HYPERLINK("Gene542-zp_tree_all.dnd", "Gene542-tree")</f>
        <v>Gene542-tree</v>
      </c>
      <c r="X1838">
        <v>3</v>
      </c>
      <c r="Y1838">
        <v>24</v>
      </c>
      <c r="Z1838">
        <v>3</v>
      </c>
      <c r="AA1838">
        <v>4</v>
      </c>
      <c r="AB1838">
        <v>0.57142999999999999</v>
      </c>
      <c r="AC1838" t="s">
        <v>324</v>
      </c>
      <c r="AD1838" t="s">
        <v>1495</v>
      </c>
      <c r="AE1838">
        <v>3.8879999999999999</v>
      </c>
      <c r="AF1838" t="s">
        <v>65</v>
      </c>
      <c r="AG1838">
        <v>0</v>
      </c>
      <c r="AH1838">
        <v>0</v>
      </c>
      <c r="AI1838">
        <v>4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4</v>
      </c>
      <c r="AT1838">
        <v>0</v>
      </c>
      <c r="AU1838">
        <v>5</v>
      </c>
      <c r="AV1838">
        <v>3</v>
      </c>
      <c r="AW1838">
        <v>4</v>
      </c>
      <c r="AX1838">
        <v>4</v>
      </c>
      <c r="AY1838">
        <v>5</v>
      </c>
      <c r="AZ1838">
        <v>0</v>
      </c>
      <c r="BA1838" t="s">
        <v>3499</v>
      </c>
      <c r="BB1838" t="s">
        <v>193</v>
      </c>
      <c r="BC1838">
        <v>0.93799999999999994</v>
      </c>
      <c r="BD1838" t="s">
        <v>65</v>
      </c>
      <c r="BE1838">
        <v>9</v>
      </c>
      <c r="BF1838">
        <v>4</v>
      </c>
      <c r="BG1838" t="s">
        <v>3500</v>
      </c>
      <c r="BH1838" t="s">
        <v>3501</v>
      </c>
      <c r="BI1838" t="s">
        <v>3502</v>
      </c>
      <c r="BJ1838">
        <v>9.4969999999999999E-2</v>
      </c>
      <c r="BK1838">
        <v>1</v>
      </c>
      <c r="BL1838" t="s">
        <v>69</v>
      </c>
      <c r="BM1838">
        <v>-0.89300000000000002</v>
      </c>
      <c r="BN1838">
        <v>-0.89800000000000002</v>
      </c>
    </row>
    <row r="1839" spans="2:66">
      <c r="B1839">
        <v>3255</v>
      </c>
      <c r="C1839">
        <v>26</v>
      </c>
      <c r="D1839">
        <v>0</v>
      </c>
      <c r="E1839">
        <v>15</v>
      </c>
      <c r="F1839">
        <v>2</v>
      </c>
      <c r="J1839">
        <v>0</v>
      </c>
      <c r="K1839">
        <v>4</v>
      </c>
      <c r="L1839">
        <v>0</v>
      </c>
      <c r="M1839" t="s">
        <v>25022</v>
      </c>
      <c r="N1839">
        <v>544</v>
      </c>
      <c r="O1839" t="s">
        <v>3509</v>
      </c>
      <c r="P1839" t="s">
        <v>57</v>
      </c>
      <c r="Q1839">
        <v>578337</v>
      </c>
      <c r="R1839">
        <v>578930</v>
      </c>
      <c r="S1839" t="s">
        <v>2647</v>
      </c>
      <c r="T1839">
        <v>198</v>
      </c>
      <c r="U1839" t="s">
        <v>2555</v>
      </c>
      <c r="V1839">
        <v>34</v>
      </c>
      <c r="W1839" t="str">
        <f>HYPERLINK("Gene544-zp_tree_all.dnd", "Gene544-tree")</f>
        <v>Gene544-tree</v>
      </c>
      <c r="X1839">
        <v>4</v>
      </c>
      <c r="Y1839">
        <v>5</v>
      </c>
      <c r="Z1839">
        <v>4</v>
      </c>
      <c r="AA1839">
        <v>5</v>
      </c>
      <c r="AB1839">
        <v>0.55556000000000005</v>
      </c>
      <c r="AC1839" t="s">
        <v>61</v>
      </c>
      <c r="AD1839" t="s">
        <v>199</v>
      </c>
      <c r="AE1839" t="s">
        <v>62</v>
      </c>
      <c r="AF1839" t="s">
        <v>62</v>
      </c>
      <c r="AG1839">
        <v>2</v>
      </c>
      <c r="AH1839">
        <v>4</v>
      </c>
      <c r="AI1839">
        <v>2</v>
      </c>
      <c r="AJ1839">
        <v>0.66666999999999998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2</v>
      </c>
      <c r="AQ1839">
        <v>0</v>
      </c>
      <c r="AR1839">
        <v>2</v>
      </c>
      <c r="AS1839">
        <v>3</v>
      </c>
      <c r="AT1839">
        <v>0.4</v>
      </c>
      <c r="AU1839">
        <v>7</v>
      </c>
      <c r="AV1839">
        <v>5</v>
      </c>
      <c r="AW1839">
        <v>8</v>
      </c>
      <c r="AX1839">
        <v>5</v>
      </c>
      <c r="AY1839">
        <v>7</v>
      </c>
      <c r="AZ1839">
        <v>1</v>
      </c>
      <c r="BA1839" t="s">
        <v>3510</v>
      </c>
      <c r="BB1839" t="s">
        <v>3511</v>
      </c>
      <c r="BC1839">
        <v>1.4410000000000001</v>
      </c>
      <c r="BD1839" t="s">
        <v>65</v>
      </c>
      <c r="BE1839">
        <v>15</v>
      </c>
      <c r="BF1839">
        <v>6</v>
      </c>
      <c r="BG1839" t="s">
        <v>3512</v>
      </c>
      <c r="BH1839" t="s">
        <v>3513</v>
      </c>
      <c r="BI1839" t="s">
        <v>3514</v>
      </c>
      <c r="BJ1839">
        <v>9.2990000000000003E-2</v>
      </c>
      <c r="BK1839">
        <v>1</v>
      </c>
      <c r="BL1839" t="s">
        <v>69</v>
      </c>
      <c r="BM1839">
        <v>-0.38700000000000001</v>
      </c>
      <c r="BN1839">
        <v>0.47699999999999998</v>
      </c>
    </row>
    <row r="1840" spans="2:66">
      <c r="B1840">
        <v>3256</v>
      </c>
      <c r="C1840">
        <v>87</v>
      </c>
      <c r="D1840">
        <v>0</v>
      </c>
      <c r="E1840">
        <v>2</v>
      </c>
      <c r="F1840">
        <v>1</v>
      </c>
      <c r="J1840">
        <v>0</v>
      </c>
      <c r="K1840">
        <v>0</v>
      </c>
      <c r="L1840">
        <v>0</v>
      </c>
      <c r="M1840" t="s">
        <v>25022</v>
      </c>
      <c r="N1840">
        <v>545</v>
      </c>
      <c r="O1840" t="s">
        <v>3515</v>
      </c>
      <c r="P1840" t="s">
        <v>57</v>
      </c>
      <c r="Q1840">
        <v>579047</v>
      </c>
      <c r="R1840">
        <v>579229</v>
      </c>
      <c r="S1840" t="s">
        <v>2302</v>
      </c>
      <c r="T1840">
        <v>61</v>
      </c>
      <c r="U1840" t="s">
        <v>3516</v>
      </c>
      <c r="V1840">
        <v>29</v>
      </c>
      <c r="W1840" t="str">
        <f>HYPERLINK("Gene545-zp_tree_all.dnd", "Gene545-tree")</f>
        <v>Gene545-tree</v>
      </c>
      <c r="X1840">
        <v>2</v>
      </c>
      <c r="Y1840">
        <v>2</v>
      </c>
      <c r="Z1840">
        <v>2</v>
      </c>
      <c r="AA1840">
        <v>2</v>
      </c>
      <c r="AB1840">
        <v>0.5</v>
      </c>
      <c r="AC1840" t="s">
        <v>81</v>
      </c>
      <c r="AD1840" t="s">
        <v>81</v>
      </c>
      <c r="AE1840" t="s">
        <v>62</v>
      </c>
      <c r="AF1840" t="s">
        <v>62</v>
      </c>
      <c r="AG1840">
        <v>0</v>
      </c>
      <c r="AH1840">
        <v>0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2</v>
      </c>
      <c r="AV1840">
        <v>1</v>
      </c>
      <c r="AW1840">
        <v>1</v>
      </c>
      <c r="AX1840">
        <v>1</v>
      </c>
      <c r="AY1840">
        <v>0</v>
      </c>
      <c r="AZ1840">
        <v>1</v>
      </c>
      <c r="BA1840" t="s">
        <v>3517</v>
      </c>
      <c r="BB1840" t="s">
        <v>193</v>
      </c>
      <c r="BC1840">
        <v>0.70699999999999996</v>
      </c>
      <c r="BD1840" t="s">
        <v>65</v>
      </c>
      <c r="BE1840">
        <v>1</v>
      </c>
      <c r="BF1840">
        <v>2</v>
      </c>
      <c r="BG1840" t="s">
        <v>3518</v>
      </c>
      <c r="BH1840" t="s">
        <v>3519</v>
      </c>
      <c r="BI1840" t="s">
        <v>3520</v>
      </c>
      <c r="BJ1840">
        <v>0.65329000000000004</v>
      </c>
      <c r="BK1840">
        <v>0.28100000000000003</v>
      </c>
      <c r="BL1840" t="s">
        <v>635</v>
      </c>
      <c r="BM1840">
        <v>0.88800000000000001</v>
      </c>
      <c r="BN1840">
        <v>0.95399999999999996</v>
      </c>
    </row>
    <row r="1841" spans="2:66">
      <c r="B1841">
        <v>3261</v>
      </c>
      <c r="C1841">
        <v>212</v>
      </c>
      <c r="D1841">
        <v>0</v>
      </c>
      <c r="E1841">
        <v>3</v>
      </c>
      <c r="F1841">
        <v>4</v>
      </c>
      <c r="J1841">
        <v>0</v>
      </c>
      <c r="K1841">
        <v>0</v>
      </c>
      <c r="L1841">
        <v>0</v>
      </c>
      <c r="M1841" t="s">
        <v>25022</v>
      </c>
      <c r="N1841">
        <v>546</v>
      </c>
      <c r="O1841" t="s">
        <v>3521</v>
      </c>
      <c r="P1841" t="s">
        <v>57</v>
      </c>
      <c r="Q1841">
        <v>579541</v>
      </c>
      <c r="R1841">
        <v>579873</v>
      </c>
      <c r="S1841" t="s">
        <v>3522</v>
      </c>
      <c r="T1841">
        <v>111</v>
      </c>
      <c r="U1841" t="s">
        <v>1392</v>
      </c>
      <c r="V1841">
        <v>43</v>
      </c>
      <c r="W1841" t="str">
        <f>HYPERLINK("Gene546-zp_tree_all.dnd", "Gene546-tree")</f>
        <v>Gene546-tree</v>
      </c>
      <c r="X1841">
        <v>6</v>
      </c>
      <c r="Y1841">
        <v>3</v>
      </c>
      <c r="Z1841">
        <v>6</v>
      </c>
      <c r="AA1841">
        <v>3</v>
      </c>
      <c r="AB1841">
        <v>0.33333000000000002</v>
      </c>
      <c r="AC1841" t="s">
        <v>90</v>
      </c>
      <c r="AD1841" t="s">
        <v>324</v>
      </c>
      <c r="AE1841" t="s">
        <v>62</v>
      </c>
      <c r="AF1841" t="s">
        <v>62</v>
      </c>
      <c r="AG1841">
        <v>0</v>
      </c>
      <c r="AH1841">
        <v>0</v>
      </c>
      <c r="AI1841">
        <v>4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3</v>
      </c>
      <c r="AT1841">
        <v>0</v>
      </c>
      <c r="AU1841">
        <v>6</v>
      </c>
      <c r="AV1841">
        <v>3</v>
      </c>
      <c r="AW1841">
        <v>7</v>
      </c>
      <c r="AX1841">
        <v>3</v>
      </c>
      <c r="AY1841">
        <v>3</v>
      </c>
      <c r="AZ1841">
        <v>1</v>
      </c>
      <c r="BA1841" t="s">
        <v>3523</v>
      </c>
      <c r="BB1841" t="s">
        <v>3524</v>
      </c>
      <c r="BC1841">
        <v>0.14599999999999999</v>
      </c>
      <c r="BD1841" t="s">
        <v>65</v>
      </c>
      <c r="BE1841">
        <v>10</v>
      </c>
      <c r="BF1841">
        <v>4</v>
      </c>
      <c r="BG1841" t="s">
        <v>3525</v>
      </c>
      <c r="BH1841" t="s">
        <v>3526</v>
      </c>
      <c r="BI1841" t="s">
        <v>3527</v>
      </c>
      <c r="BJ1841">
        <v>9.3869999999999995E-2</v>
      </c>
      <c r="BK1841">
        <v>1</v>
      </c>
      <c r="BL1841" t="s">
        <v>69</v>
      </c>
      <c r="BM1841">
        <v>0.33200000000000002</v>
      </c>
      <c r="BN1841">
        <v>-0.60299999999999998</v>
      </c>
    </row>
    <row r="1842" spans="2:66">
      <c r="B1842">
        <v>3262</v>
      </c>
      <c r="C1842">
        <v>42</v>
      </c>
      <c r="D1842">
        <v>0</v>
      </c>
      <c r="E1842">
        <v>4</v>
      </c>
      <c r="F1842">
        <v>0</v>
      </c>
      <c r="J1842">
        <v>0</v>
      </c>
      <c r="K1842">
        <v>0</v>
      </c>
      <c r="L1842">
        <v>0</v>
      </c>
      <c r="M1842" t="s">
        <v>25022</v>
      </c>
      <c r="N1842">
        <v>547</v>
      </c>
      <c r="O1842" t="s">
        <v>3528</v>
      </c>
      <c r="P1842" t="s">
        <v>57</v>
      </c>
      <c r="Q1842">
        <v>579889</v>
      </c>
      <c r="R1842">
        <v>581193</v>
      </c>
      <c r="S1842" t="s">
        <v>3529</v>
      </c>
      <c r="T1842">
        <v>435</v>
      </c>
      <c r="U1842" t="s">
        <v>108</v>
      </c>
      <c r="V1842">
        <v>44</v>
      </c>
      <c r="W1842" t="str">
        <f>HYPERLINK("Gene547-zp_tree_all.dnd", "Gene547-tree")</f>
        <v>Gene547-tree</v>
      </c>
      <c r="X1842">
        <v>7</v>
      </c>
      <c r="Y1842">
        <v>25</v>
      </c>
      <c r="Z1842">
        <v>7</v>
      </c>
      <c r="AA1842">
        <v>3</v>
      </c>
      <c r="AB1842">
        <v>0.3</v>
      </c>
      <c r="AC1842" t="s">
        <v>152</v>
      </c>
      <c r="AD1842" t="s">
        <v>3530</v>
      </c>
      <c r="AE1842">
        <v>7.4009999999999998</v>
      </c>
      <c r="AF1842" t="s">
        <v>65</v>
      </c>
      <c r="AG1842">
        <v>0</v>
      </c>
      <c r="AH1842">
        <v>0</v>
      </c>
      <c r="AI1842">
        <v>11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10</v>
      </c>
      <c r="AT1842">
        <v>0</v>
      </c>
      <c r="AU1842">
        <v>10</v>
      </c>
      <c r="AV1842">
        <v>6</v>
      </c>
      <c r="AW1842">
        <v>53</v>
      </c>
      <c r="AX1842">
        <v>10</v>
      </c>
      <c r="AY1842">
        <v>10</v>
      </c>
      <c r="AZ1842">
        <v>1</v>
      </c>
      <c r="BA1842" t="s">
        <v>3531</v>
      </c>
      <c r="BB1842" t="s">
        <v>3532</v>
      </c>
      <c r="BC1842">
        <v>0.17699999999999999</v>
      </c>
      <c r="BD1842" t="s">
        <v>65</v>
      </c>
      <c r="BE1842">
        <v>63</v>
      </c>
      <c r="BF1842">
        <v>11</v>
      </c>
      <c r="BG1842" t="s">
        <v>3533</v>
      </c>
      <c r="BH1842" t="s">
        <v>3534</v>
      </c>
      <c r="BI1842" t="s">
        <v>3535</v>
      </c>
      <c r="BJ1842">
        <v>5.7709999999999997E-2</v>
      </c>
      <c r="BK1842">
        <v>1</v>
      </c>
      <c r="BL1842" t="s">
        <v>69</v>
      </c>
      <c r="BM1842">
        <v>-1.03</v>
      </c>
      <c r="BN1842">
        <v>-2.246</v>
      </c>
    </row>
    <row r="1843" spans="2:66">
      <c r="B1843">
        <v>3263</v>
      </c>
      <c r="C1843">
        <v>293</v>
      </c>
      <c r="D1843">
        <v>0</v>
      </c>
      <c r="E1843">
        <v>22</v>
      </c>
      <c r="F1843">
        <v>0</v>
      </c>
      <c r="J1843">
        <v>0</v>
      </c>
      <c r="K1843">
        <v>8</v>
      </c>
      <c r="L1843">
        <v>3</v>
      </c>
      <c r="M1843" t="s">
        <v>25022</v>
      </c>
      <c r="N1843">
        <v>550</v>
      </c>
      <c r="O1843" t="s">
        <v>3536</v>
      </c>
      <c r="P1843" t="s">
        <v>57</v>
      </c>
      <c r="Q1843">
        <v>581694</v>
      </c>
      <c r="R1843">
        <v>582476</v>
      </c>
      <c r="S1843" t="s">
        <v>3537</v>
      </c>
      <c r="T1843">
        <v>261</v>
      </c>
      <c r="U1843" t="s">
        <v>108</v>
      </c>
      <c r="V1843">
        <v>44</v>
      </c>
      <c r="W1843" t="str">
        <f>HYPERLINK("Gene550-zp_tree_all.dnd", "Gene550-tree")</f>
        <v>Gene550-tree</v>
      </c>
      <c r="X1843">
        <v>1</v>
      </c>
      <c r="Y1843">
        <v>9</v>
      </c>
      <c r="Z1843">
        <v>1</v>
      </c>
      <c r="AA1843">
        <v>9</v>
      </c>
      <c r="AB1843">
        <v>0.9</v>
      </c>
      <c r="AC1843" t="s">
        <v>175</v>
      </c>
      <c r="AD1843" t="s">
        <v>135</v>
      </c>
      <c r="AE1843" t="s">
        <v>62</v>
      </c>
      <c r="AF1843" t="s">
        <v>62</v>
      </c>
      <c r="AG1843">
        <v>5</v>
      </c>
      <c r="AH1843">
        <v>11</v>
      </c>
      <c r="AI1843">
        <v>16</v>
      </c>
      <c r="AJ1843">
        <v>0.40740999999999999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8</v>
      </c>
      <c r="AQ1843">
        <v>3</v>
      </c>
      <c r="AR1843">
        <v>11</v>
      </c>
      <c r="AS1843">
        <v>15</v>
      </c>
      <c r="AT1843">
        <v>0.42308000000000001</v>
      </c>
      <c r="AU1843">
        <v>10</v>
      </c>
      <c r="AV1843">
        <v>7</v>
      </c>
      <c r="AW1843">
        <v>24</v>
      </c>
      <c r="AX1843">
        <v>27</v>
      </c>
      <c r="AY1843">
        <v>11</v>
      </c>
      <c r="AZ1843">
        <v>1</v>
      </c>
      <c r="BA1843" t="s">
        <v>3538</v>
      </c>
      <c r="BB1843" t="s">
        <v>3539</v>
      </c>
      <c r="BC1843">
        <v>1.3680000000000001</v>
      </c>
      <c r="BD1843" t="s">
        <v>65</v>
      </c>
      <c r="BE1843">
        <v>35</v>
      </c>
      <c r="BF1843">
        <v>28</v>
      </c>
      <c r="BG1843" t="s">
        <v>3540</v>
      </c>
      <c r="BH1843" t="s">
        <v>3541</v>
      </c>
      <c r="BI1843" t="s">
        <v>3542</v>
      </c>
      <c r="BJ1843">
        <v>0.17548</v>
      </c>
      <c r="BK1843">
        <v>1</v>
      </c>
      <c r="BL1843" t="s">
        <v>69</v>
      </c>
      <c r="BM1843">
        <v>-0.54600000000000004</v>
      </c>
      <c r="BN1843">
        <v>-1.2450000000000001</v>
      </c>
    </row>
    <row r="1844" spans="2:66">
      <c r="B1844">
        <v>3265</v>
      </c>
      <c r="C1844">
        <v>127</v>
      </c>
      <c r="D1844">
        <v>0</v>
      </c>
      <c r="E1844">
        <v>7</v>
      </c>
      <c r="F1844">
        <v>3</v>
      </c>
      <c r="J1844">
        <v>0</v>
      </c>
      <c r="K1844">
        <v>10</v>
      </c>
      <c r="L1844">
        <v>2</v>
      </c>
      <c r="M1844" t="s">
        <v>25022</v>
      </c>
      <c r="N1844">
        <v>552</v>
      </c>
      <c r="O1844" t="s">
        <v>3551</v>
      </c>
      <c r="P1844" t="s">
        <v>57</v>
      </c>
      <c r="Q1844">
        <v>583589</v>
      </c>
      <c r="R1844">
        <v>585034</v>
      </c>
      <c r="S1844" t="s">
        <v>2441</v>
      </c>
      <c r="T1844">
        <v>482</v>
      </c>
      <c r="U1844" t="s">
        <v>108</v>
      </c>
      <c r="V1844">
        <v>44</v>
      </c>
      <c r="W1844" t="str">
        <f>HYPERLINK("Gene552-zp_tree_all.dnd", "Gene552-tree")</f>
        <v>Gene552-tree</v>
      </c>
      <c r="X1844">
        <v>0</v>
      </c>
      <c r="Y1844">
        <v>15</v>
      </c>
      <c r="Z1844">
        <v>0</v>
      </c>
      <c r="AA1844">
        <v>15</v>
      </c>
      <c r="AB1844">
        <v>1</v>
      </c>
      <c r="AC1844" t="s">
        <v>62</v>
      </c>
      <c r="AD1844" t="s">
        <v>100</v>
      </c>
      <c r="AE1844" t="s">
        <v>62</v>
      </c>
      <c r="AF1844" t="s">
        <v>62</v>
      </c>
      <c r="AG1844">
        <v>5</v>
      </c>
      <c r="AH1844">
        <v>12</v>
      </c>
      <c r="AI1844">
        <v>22</v>
      </c>
      <c r="AJ1844">
        <v>0.35293999999999998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6</v>
      </c>
      <c r="AQ1844">
        <v>2</v>
      </c>
      <c r="AR1844">
        <v>8</v>
      </c>
      <c r="AS1844">
        <v>18</v>
      </c>
      <c r="AT1844">
        <v>0.30769000000000002</v>
      </c>
      <c r="AU1844">
        <v>12</v>
      </c>
      <c r="AV1844">
        <v>12</v>
      </c>
      <c r="AW1844">
        <v>38</v>
      </c>
      <c r="AX1844">
        <v>23</v>
      </c>
      <c r="AY1844">
        <v>35</v>
      </c>
      <c r="AZ1844">
        <v>11</v>
      </c>
      <c r="BA1844" t="s">
        <v>3552</v>
      </c>
      <c r="BB1844" t="s">
        <v>3553</v>
      </c>
      <c r="BC1844">
        <v>0.442</v>
      </c>
      <c r="BD1844" t="s">
        <v>65</v>
      </c>
      <c r="BE1844">
        <v>73</v>
      </c>
      <c r="BF1844">
        <v>34</v>
      </c>
      <c r="BG1844" t="s">
        <v>3554</v>
      </c>
      <c r="BH1844" t="s">
        <v>3555</v>
      </c>
      <c r="BI1844" t="s">
        <v>3556</v>
      </c>
      <c r="BJ1844">
        <v>0.12378</v>
      </c>
      <c r="BK1844">
        <v>1</v>
      </c>
      <c r="BL1844" t="s">
        <v>69</v>
      </c>
      <c r="BM1844">
        <v>-0.81299999999999994</v>
      </c>
      <c r="BN1844">
        <v>-1.8660000000000001</v>
      </c>
    </row>
    <row r="1845" spans="2:66">
      <c r="B1845">
        <v>3266</v>
      </c>
      <c r="C1845">
        <v>82</v>
      </c>
      <c r="D1845">
        <v>0</v>
      </c>
      <c r="E1845">
        <v>2</v>
      </c>
      <c r="F1845">
        <v>0</v>
      </c>
      <c r="J1845">
        <v>0</v>
      </c>
      <c r="K1845">
        <v>2</v>
      </c>
      <c r="L1845">
        <v>3</v>
      </c>
      <c r="M1845" t="s">
        <v>25022</v>
      </c>
      <c r="N1845">
        <v>554</v>
      </c>
      <c r="O1845" t="s">
        <v>3564</v>
      </c>
      <c r="P1845" t="s">
        <v>57</v>
      </c>
      <c r="Q1845">
        <v>585868</v>
      </c>
      <c r="R1845">
        <v>586545</v>
      </c>
      <c r="S1845" t="s">
        <v>637</v>
      </c>
      <c r="T1845">
        <v>226</v>
      </c>
      <c r="U1845" t="s">
        <v>108</v>
      </c>
      <c r="V1845">
        <v>44</v>
      </c>
      <c r="W1845" t="str">
        <f>HYPERLINK("Gene554-zp_tree_all.dnd", "Gene554-tree")</f>
        <v>Gene554-tree</v>
      </c>
      <c r="X1845">
        <v>29</v>
      </c>
      <c r="Y1845">
        <v>4</v>
      </c>
      <c r="Z1845">
        <v>9</v>
      </c>
      <c r="AA1845">
        <v>4</v>
      </c>
      <c r="AB1845">
        <v>0.30769000000000002</v>
      </c>
      <c r="AC1845" t="s">
        <v>234</v>
      </c>
      <c r="AD1845" t="s">
        <v>61</v>
      </c>
      <c r="AE1845" t="s">
        <v>62</v>
      </c>
      <c r="AF1845" t="s">
        <v>62</v>
      </c>
      <c r="AG1845">
        <v>2</v>
      </c>
      <c r="AH1845">
        <v>5</v>
      </c>
      <c r="AI1845">
        <v>2</v>
      </c>
      <c r="AJ1845">
        <v>0.71428999999999998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</v>
      </c>
      <c r="AR1845">
        <v>2</v>
      </c>
      <c r="AS1845">
        <v>2</v>
      </c>
      <c r="AT1845">
        <v>0.5</v>
      </c>
      <c r="AU1845">
        <v>11</v>
      </c>
      <c r="AV1845">
        <v>8</v>
      </c>
      <c r="AW1845">
        <v>18</v>
      </c>
      <c r="AX1845">
        <v>4</v>
      </c>
      <c r="AY1845">
        <v>14</v>
      </c>
      <c r="AZ1845">
        <v>3</v>
      </c>
      <c r="BA1845" t="s">
        <v>3565</v>
      </c>
      <c r="BB1845" t="s">
        <v>3566</v>
      </c>
      <c r="BC1845">
        <v>2.9000000000000001E-2</v>
      </c>
      <c r="BD1845" t="s">
        <v>65</v>
      </c>
      <c r="BE1845">
        <v>32</v>
      </c>
      <c r="BF1845">
        <v>7</v>
      </c>
      <c r="BG1845" t="s">
        <v>3567</v>
      </c>
      <c r="BH1845" t="s">
        <v>3568</v>
      </c>
      <c r="BI1845" t="s">
        <v>3569</v>
      </c>
      <c r="BJ1845">
        <v>5.9589999999999997E-2</v>
      </c>
      <c r="BK1845">
        <v>1</v>
      </c>
      <c r="BL1845" t="s">
        <v>69</v>
      </c>
      <c r="BM1845">
        <v>-0.439</v>
      </c>
      <c r="BN1845">
        <v>-0.57399999999999995</v>
      </c>
    </row>
    <row r="1846" spans="2:66">
      <c r="B1846">
        <v>3267</v>
      </c>
      <c r="C1846">
        <v>150</v>
      </c>
      <c r="D1846">
        <v>0</v>
      </c>
      <c r="E1846">
        <v>7</v>
      </c>
      <c r="F1846">
        <v>1</v>
      </c>
      <c r="J1846">
        <v>0</v>
      </c>
      <c r="K1846">
        <v>15</v>
      </c>
      <c r="L1846">
        <v>0</v>
      </c>
      <c r="M1846" t="s">
        <v>25022</v>
      </c>
      <c r="N1846">
        <v>558</v>
      </c>
      <c r="O1846" t="s">
        <v>3587</v>
      </c>
      <c r="P1846" t="s">
        <v>57</v>
      </c>
      <c r="Q1846">
        <v>587744</v>
      </c>
      <c r="R1846">
        <v>588964</v>
      </c>
      <c r="S1846" t="s">
        <v>3588</v>
      </c>
      <c r="T1846">
        <v>407</v>
      </c>
      <c r="U1846" t="s">
        <v>2914</v>
      </c>
      <c r="V1846">
        <v>38</v>
      </c>
      <c r="W1846" t="str">
        <f>HYPERLINK("Gene558-zp_tree_all.dnd", "Gene558-tree")</f>
        <v>Gene558-tree</v>
      </c>
      <c r="X1846">
        <v>3</v>
      </c>
      <c r="Y1846">
        <v>23</v>
      </c>
      <c r="Z1846">
        <v>3</v>
      </c>
      <c r="AA1846">
        <v>6</v>
      </c>
      <c r="AB1846">
        <v>0.66666999999999998</v>
      </c>
      <c r="AC1846" t="s">
        <v>324</v>
      </c>
      <c r="AD1846" t="s">
        <v>3589</v>
      </c>
      <c r="AE1846">
        <v>2.27</v>
      </c>
      <c r="AF1846" t="s">
        <v>65</v>
      </c>
      <c r="AG1846">
        <v>7</v>
      </c>
      <c r="AH1846">
        <v>15</v>
      </c>
      <c r="AI1846">
        <v>13</v>
      </c>
      <c r="AJ1846">
        <v>0.53571000000000002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8</v>
      </c>
      <c r="AQ1846">
        <v>0</v>
      </c>
      <c r="AR1846">
        <v>8</v>
      </c>
      <c r="AS1846">
        <v>11</v>
      </c>
      <c r="AT1846">
        <v>0.42104999999999998</v>
      </c>
      <c r="AU1846">
        <v>7</v>
      </c>
      <c r="AV1846">
        <v>6</v>
      </c>
      <c r="AW1846">
        <v>15</v>
      </c>
      <c r="AX1846">
        <v>10</v>
      </c>
      <c r="AY1846">
        <v>16</v>
      </c>
      <c r="AZ1846">
        <v>18</v>
      </c>
      <c r="BA1846" t="s">
        <v>3590</v>
      </c>
      <c r="BB1846" t="s">
        <v>3591</v>
      </c>
      <c r="BC1846">
        <v>0.69799999999999995</v>
      </c>
      <c r="BD1846" t="s">
        <v>65</v>
      </c>
      <c r="BE1846">
        <v>31</v>
      </c>
      <c r="BF1846">
        <v>28</v>
      </c>
      <c r="BG1846" t="s">
        <v>3592</v>
      </c>
      <c r="BH1846" t="s">
        <v>3593</v>
      </c>
      <c r="BI1846" t="s">
        <v>3594</v>
      </c>
      <c r="BJ1846">
        <v>0.26289000000000001</v>
      </c>
      <c r="BK1846">
        <v>1</v>
      </c>
      <c r="BL1846" t="s">
        <v>69</v>
      </c>
      <c r="BM1846">
        <v>0.46600000000000003</v>
      </c>
      <c r="BN1846">
        <v>-0.34100000000000003</v>
      </c>
    </row>
    <row r="1847" spans="2:66">
      <c r="B1847">
        <v>3268</v>
      </c>
      <c r="C1847">
        <v>406</v>
      </c>
      <c r="D1847">
        <v>2</v>
      </c>
      <c r="E1847">
        <v>9</v>
      </c>
      <c r="F1847">
        <v>2</v>
      </c>
      <c r="J1847">
        <v>0</v>
      </c>
      <c r="K1847">
        <v>4</v>
      </c>
      <c r="L1847">
        <v>0</v>
      </c>
      <c r="M1847" t="s">
        <v>25022</v>
      </c>
      <c r="N1847">
        <v>559</v>
      </c>
      <c r="O1847" t="s">
        <v>3595</v>
      </c>
      <c r="P1847" t="s">
        <v>57</v>
      </c>
      <c r="Q1847">
        <v>588960</v>
      </c>
      <c r="R1847">
        <v>589598</v>
      </c>
      <c r="S1847" t="s">
        <v>3596</v>
      </c>
      <c r="T1847">
        <v>213</v>
      </c>
      <c r="U1847" t="s">
        <v>108</v>
      </c>
      <c r="V1847">
        <v>44</v>
      </c>
      <c r="W1847" t="str">
        <f>HYPERLINK("Gene559-zp_tree_all.dnd", "Gene559-tree")</f>
        <v>Gene559-tree</v>
      </c>
      <c r="X1847">
        <v>10</v>
      </c>
      <c r="Y1847">
        <v>5</v>
      </c>
      <c r="Z1847">
        <v>10</v>
      </c>
      <c r="AA1847">
        <v>5</v>
      </c>
      <c r="AB1847">
        <v>0.33333000000000002</v>
      </c>
      <c r="AC1847" t="s">
        <v>117</v>
      </c>
      <c r="AD1847" t="s">
        <v>199</v>
      </c>
      <c r="AE1847" t="s">
        <v>62</v>
      </c>
      <c r="AF1847" t="s">
        <v>62</v>
      </c>
      <c r="AG1847">
        <v>2</v>
      </c>
      <c r="AH1847">
        <v>4</v>
      </c>
      <c r="AI1847">
        <v>6</v>
      </c>
      <c r="AJ1847">
        <v>0.4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7</v>
      </c>
      <c r="AT1847">
        <v>0</v>
      </c>
      <c r="AU1847">
        <v>13</v>
      </c>
      <c r="AV1847">
        <v>9</v>
      </c>
      <c r="AW1847">
        <v>18</v>
      </c>
      <c r="AX1847">
        <v>7</v>
      </c>
      <c r="AY1847">
        <v>9</v>
      </c>
      <c r="AZ1847">
        <v>3</v>
      </c>
      <c r="BA1847" t="s">
        <v>3597</v>
      </c>
      <c r="BB1847" t="s">
        <v>3598</v>
      </c>
      <c r="BC1847">
        <v>0.14599999999999999</v>
      </c>
      <c r="BD1847" t="s">
        <v>65</v>
      </c>
      <c r="BE1847">
        <v>27</v>
      </c>
      <c r="BF1847">
        <v>10</v>
      </c>
      <c r="BG1847" t="s">
        <v>3599</v>
      </c>
      <c r="BH1847" t="s">
        <v>3600</v>
      </c>
      <c r="BI1847" t="s">
        <v>3601</v>
      </c>
      <c r="BJ1847">
        <v>0.11475</v>
      </c>
      <c r="BK1847">
        <v>1</v>
      </c>
      <c r="BL1847" t="s">
        <v>69</v>
      </c>
      <c r="BM1847">
        <v>-0.23599999999999999</v>
      </c>
      <c r="BN1847">
        <v>-1.82</v>
      </c>
    </row>
    <row r="1848" spans="2:66">
      <c r="B1848">
        <v>3269</v>
      </c>
      <c r="C1848">
        <v>109</v>
      </c>
      <c r="D1848">
        <v>0</v>
      </c>
      <c r="E1848">
        <v>5</v>
      </c>
      <c r="F1848">
        <v>1</v>
      </c>
      <c r="J1848">
        <v>0</v>
      </c>
      <c r="K1848">
        <v>23</v>
      </c>
      <c r="L1848">
        <v>4</v>
      </c>
      <c r="M1848" t="s">
        <v>25022</v>
      </c>
      <c r="N1848">
        <v>560</v>
      </c>
      <c r="O1848" t="s">
        <v>3602</v>
      </c>
      <c r="P1848" t="s">
        <v>57</v>
      </c>
      <c r="Q1848">
        <v>589717</v>
      </c>
      <c r="R1848">
        <v>591888</v>
      </c>
      <c r="S1848" t="s">
        <v>3603</v>
      </c>
      <c r="T1848">
        <v>724</v>
      </c>
      <c r="U1848" t="s">
        <v>108</v>
      </c>
      <c r="V1848">
        <v>44</v>
      </c>
      <c r="W1848" t="str">
        <f>HYPERLINK("Gene560-zp_tree_all.dnd", "Gene560-tree")</f>
        <v>Gene560-tree</v>
      </c>
      <c r="X1848">
        <v>2</v>
      </c>
      <c r="Y1848">
        <v>13</v>
      </c>
      <c r="Z1848">
        <v>2</v>
      </c>
      <c r="AA1848">
        <v>13</v>
      </c>
      <c r="AB1848">
        <v>0.86667000000000005</v>
      </c>
      <c r="AC1848" t="s">
        <v>81</v>
      </c>
      <c r="AD1848" t="s">
        <v>507</v>
      </c>
      <c r="AE1848" t="s">
        <v>62</v>
      </c>
      <c r="AF1848" t="s">
        <v>62</v>
      </c>
      <c r="AG1848">
        <v>10</v>
      </c>
      <c r="AH1848">
        <v>27</v>
      </c>
      <c r="AI1848">
        <v>38</v>
      </c>
      <c r="AJ1848">
        <v>0.41538000000000003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16</v>
      </c>
      <c r="AQ1848">
        <v>2</v>
      </c>
      <c r="AR1848">
        <v>18</v>
      </c>
      <c r="AS1848">
        <v>35</v>
      </c>
      <c r="AT1848">
        <v>0.33961999999999998</v>
      </c>
      <c r="AU1848">
        <v>14</v>
      </c>
      <c r="AV1848">
        <v>12</v>
      </c>
      <c r="AW1848">
        <v>85</v>
      </c>
      <c r="AX1848">
        <v>54</v>
      </c>
      <c r="AY1848">
        <v>68</v>
      </c>
      <c r="AZ1848">
        <v>12</v>
      </c>
      <c r="BA1848" t="s">
        <v>3604</v>
      </c>
      <c r="BB1848" t="s">
        <v>3605</v>
      </c>
      <c r="BC1848">
        <v>2.0270000000000001</v>
      </c>
      <c r="BD1848" t="s">
        <v>267</v>
      </c>
      <c r="BE1848">
        <v>153</v>
      </c>
      <c r="BF1848">
        <v>66</v>
      </c>
      <c r="BG1848" t="s">
        <v>3606</v>
      </c>
      <c r="BH1848" t="s">
        <v>3607</v>
      </c>
      <c r="BI1848" t="s">
        <v>3608</v>
      </c>
      <c r="BJ1848">
        <v>0.11595999999999999</v>
      </c>
      <c r="BK1848">
        <v>1</v>
      </c>
      <c r="BL1848" t="s">
        <v>69</v>
      </c>
      <c r="BM1848">
        <v>-0.628</v>
      </c>
      <c r="BN1848">
        <v>-1.175</v>
      </c>
    </row>
    <row r="1849" spans="2:66">
      <c r="B1849">
        <v>3271</v>
      </c>
      <c r="C1849">
        <v>453</v>
      </c>
      <c r="D1849">
        <v>0</v>
      </c>
      <c r="E1849">
        <v>2</v>
      </c>
      <c r="F1849">
        <v>0</v>
      </c>
      <c r="J1849">
        <v>0</v>
      </c>
      <c r="K1849">
        <v>9</v>
      </c>
      <c r="L1849">
        <v>2</v>
      </c>
      <c r="M1849" t="s">
        <v>25022</v>
      </c>
      <c r="N1849">
        <v>565</v>
      </c>
      <c r="O1849" t="s">
        <v>3637</v>
      </c>
      <c r="P1849" t="s">
        <v>57</v>
      </c>
      <c r="Q1849">
        <v>596478</v>
      </c>
      <c r="R1849">
        <v>597095</v>
      </c>
      <c r="S1849" t="s">
        <v>1940</v>
      </c>
      <c r="T1849">
        <v>206</v>
      </c>
      <c r="U1849" t="s">
        <v>108</v>
      </c>
      <c r="V1849">
        <v>44</v>
      </c>
      <c r="W1849" t="str">
        <f>HYPERLINK("Gene565-zp_tree_all.dnd", "Gene565-tree")</f>
        <v>Gene565-tree</v>
      </c>
      <c r="X1849">
        <v>3</v>
      </c>
      <c r="Y1849">
        <v>10</v>
      </c>
      <c r="Z1849">
        <v>3</v>
      </c>
      <c r="AA1849">
        <v>10</v>
      </c>
      <c r="AB1849">
        <v>0.76922999999999997</v>
      </c>
      <c r="AC1849" t="s">
        <v>324</v>
      </c>
      <c r="AD1849" t="s">
        <v>117</v>
      </c>
      <c r="AE1849" t="s">
        <v>62</v>
      </c>
      <c r="AF1849" t="s">
        <v>62</v>
      </c>
      <c r="AG1849">
        <v>5</v>
      </c>
      <c r="AH1849">
        <v>11</v>
      </c>
      <c r="AI1849">
        <v>10</v>
      </c>
      <c r="AJ1849">
        <v>0.52381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6</v>
      </c>
      <c r="AQ1849">
        <v>0</v>
      </c>
      <c r="AR1849">
        <v>6</v>
      </c>
      <c r="AS1849">
        <v>9</v>
      </c>
      <c r="AT1849">
        <v>0.4</v>
      </c>
      <c r="AU1849">
        <v>11</v>
      </c>
      <c r="AV1849">
        <v>10</v>
      </c>
      <c r="AW1849">
        <v>20</v>
      </c>
      <c r="AX1849">
        <v>12</v>
      </c>
      <c r="AY1849">
        <v>16</v>
      </c>
      <c r="AZ1849">
        <v>9</v>
      </c>
      <c r="BA1849" t="s">
        <v>3638</v>
      </c>
      <c r="BB1849" t="s">
        <v>3639</v>
      </c>
      <c r="BC1849">
        <v>7.2999999999999995E-2</v>
      </c>
      <c r="BD1849" t="s">
        <v>65</v>
      </c>
      <c r="BE1849">
        <v>36</v>
      </c>
      <c r="BF1849">
        <v>21</v>
      </c>
      <c r="BG1849" t="s">
        <v>3640</v>
      </c>
      <c r="BH1849" t="s">
        <v>3641</v>
      </c>
      <c r="BI1849" t="s">
        <v>2773</v>
      </c>
      <c r="BJ1849">
        <v>0.16789000000000001</v>
      </c>
      <c r="BK1849">
        <v>1</v>
      </c>
      <c r="BL1849" t="s">
        <v>69</v>
      </c>
      <c r="BM1849">
        <v>-0.28199999999999997</v>
      </c>
      <c r="BN1849">
        <v>-0.27800000000000002</v>
      </c>
    </row>
    <row r="1850" spans="2:66">
      <c r="B1850">
        <v>3273</v>
      </c>
      <c r="C1850">
        <v>340</v>
      </c>
      <c r="D1850">
        <v>0</v>
      </c>
      <c r="E1850">
        <v>3</v>
      </c>
      <c r="F1850">
        <v>0</v>
      </c>
      <c r="J1850">
        <v>0</v>
      </c>
      <c r="K1850">
        <v>4</v>
      </c>
      <c r="L1850">
        <v>2</v>
      </c>
      <c r="M1850" t="s">
        <v>25022</v>
      </c>
      <c r="N1850">
        <v>566</v>
      </c>
      <c r="O1850" t="s">
        <v>3642</v>
      </c>
      <c r="P1850" t="s">
        <v>57</v>
      </c>
      <c r="Q1850">
        <v>597114</v>
      </c>
      <c r="R1850">
        <v>598049</v>
      </c>
      <c r="S1850" t="s">
        <v>3643</v>
      </c>
      <c r="T1850">
        <v>312</v>
      </c>
      <c r="U1850" t="s">
        <v>108</v>
      </c>
      <c r="V1850">
        <v>44</v>
      </c>
      <c r="W1850" t="str">
        <f>HYPERLINK("Gene566-zp_tree_all.dnd", "Gene566-tree")</f>
        <v>Gene566-tree</v>
      </c>
      <c r="X1850">
        <v>2</v>
      </c>
      <c r="Y1850">
        <v>11</v>
      </c>
      <c r="Z1850">
        <v>2</v>
      </c>
      <c r="AA1850">
        <v>11</v>
      </c>
      <c r="AB1850">
        <v>0.84614999999999996</v>
      </c>
      <c r="AC1850" t="s">
        <v>81</v>
      </c>
      <c r="AD1850" t="s">
        <v>73</v>
      </c>
      <c r="AE1850">
        <v>515075683.63</v>
      </c>
      <c r="AF1850" t="s">
        <v>267</v>
      </c>
      <c r="AG1850">
        <v>3</v>
      </c>
      <c r="AH1850">
        <v>6</v>
      </c>
      <c r="AI1850">
        <v>12</v>
      </c>
      <c r="AJ1850">
        <v>0.33333000000000002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2</v>
      </c>
      <c r="AR1850">
        <v>2</v>
      </c>
      <c r="AS1850">
        <v>12</v>
      </c>
      <c r="AT1850">
        <v>0.14285999999999999</v>
      </c>
      <c r="AU1850">
        <v>12</v>
      </c>
      <c r="AV1850">
        <v>8</v>
      </c>
      <c r="AW1850">
        <v>20</v>
      </c>
      <c r="AX1850">
        <v>13</v>
      </c>
      <c r="AY1850">
        <v>19</v>
      </c>
      <c r="AZ1850">
        <v>5</v>
      </c>
      <c r="BA1850" t="s">
        <v>3644</v>
      </c>
      <c r="BB1850" t="s">
        <v>3645</v>
      </c>
      <c r="BC1850">
        <v>2.3719999999999999</v>
      </c>
      <c r="BD1850" t="s">
        <v>267</v>
      </c>
      <c r="BE1850">
        <v>39</v>
      </c>
      <c r="BF1850">
        <v>18</v>
      </c>
      <c r="BG1850" t="s">
        <v>3646</v>
      </c>
      <c r="BH1850" t="s">
        <v>3647</v>
      </c>
      <c r="BI1850" t="s">
        <v>3648</v>
      </c>
      <c r="BJ1850">
        <v>0.13270999999999999</v>
      </c>
      <c r="BK1850">
        <v>1</v>
      </c>
      <c r="BL1850" t="s">
        <v>69</v>
      </c>
      <c r="BM1850">
        <v>-0.67100000000000004</v>
      </c>
      <c r="BN1850">
        <v>-1.56</v>
      </c>
    </row>
    <row r="1851" spans="2:66">
      <c r="B1851">
        <v>3274</v>
      </c>
      <c r="C1851">
        <v>487</v>
      </c>
      <c r="D1851">
        <v>0</v>
      </c>
      <c r="E1851">
        <v>6</v>
      </c>
      <c r="F1851">
        <v>0</v>
      </c>
      <c r="J1851">
        <v>0</v>
      </c>
      <c r="K1851">
        <v>0</v>
      </c>
      <c r="L1851">
        <v>0</v>
      </c>
      <c r="M1851" t="s">
        <v>25022</v>
      </c>
      <c r="N1851">
        <v>567</v>
      </c>
      <c r="O1851" t="s">
        <v>3649</v>
      </c>
      <c r="P1851" t="s">
        <v>57</v>
      </c>
      <c r="Q1851">
        <v>598154</v>
      </c>
      <c r="R1851">
        <v>598540</v>
      </c>
      <c r="S1851" t="s">
        <v>3650</v>
      </c>
      <c r="T1851">
        <v>129</v>
      </c>
      <c r="U1851" t="s">
        <v>1174</v>
      </c>
      <c r="V1851">
        <v>42</v>
      </c>
      <c r="W1851" t="str">
        <f>HYPERLINK("Gene567-zp_tree_all.dnd", "Gene567-tree")</f>
        <v>Gene567-tree</v>
      </c>
      <c r="X1851">
        <v>8</v>
      </c>
      <c r="Y1851">
        <v>2</v>
      </c>
      <c r="Z1851">
        <v>8</v>
      </c>
      <c r="AA1851">
        <v>2</v>
      </c>
      <c r="AB1851">
        <v>0.2</v>
      </c>
      <c r="AC1851" t="s">
        <v>136</v>
      </c>
      <c r="AD1851" t="s">
        <v>81</v>
      </c>
      <c r="AE1851" t="s">
        <v>62</v>
      </c>
      <c r="AF1851" t="s">
        <v>62</v>
      </c>
      <c r="AG1851">
        <v>0</v>
      </c>
      <c r="AH1851">
        <v>0</v>
      </c>
      <c r="AI1851">
        <v>2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>
        <v>0</v>
      </c>
      <c r="AU1851">
        <v>6</v>
      </c>
      <c r="AV1851">
        <v>4</v>
      </c>
      <c r="AW1851">
        <v>5</v>
      </c>
      <c r="AX1851">
        <v>2</v>
      </c>
      <c r="AY1851">
        <v>5</v>
      </c>
      <c r="AZ1851">
        <v>0</v>
      </c>
      <c r="BA1851" t="s">
        <v>3651</v>
      </c>
      <c r="BB1851" t="s">
        <v>193</v>
      </c>
      <c r="BC1851">
        <v>1.113</v>
      </c>
      <c r="BD1851" t="s">
        <v>65</v>
      </c>
      <c r="BE1851">
        <v>10</v>
      </c>
      <c r="BF1851">
        <v>2</v>
      </c>
      <c r="BG1851" t="s">
        <v>3652</v>
      </c>
      <c r="BH1851" t="s">
        <v>3653</v>
      </c>
      <c r="BI1851" t="s">
        <v>3654</v>
      </c>
      <c r="BJ1851">
        <v>4.0009999999999997E-2</v>
      </c>
      <c r="BK1851">
        <v>1</v>
      </c>
      <c r="BL1851" t="s">
        <v>69</v>
      </c>
      <c r="BM1851">
        <v>-0.35499999999999998</v>
      </c>
      <c r="BN1851">
        <v>-7.3999999999999996E-2</v>
      </c>
    </row>
    <row r="1852" spans="2:66">
      <c r="B1852">
        <v>3275</v>
      </c>
      <c r="C1852">
        <v>123</v>
      </c>
      <c r="D1852">
        <v>0</v>
      </c>
      <c r="E1852">
        <v>0</v>
      </c>
      <c r="F1852">
        <v>2</v>
      </c>
      <c r="J1852">
        <v>0</v>
      </c>
      <c r="K1852">
        <v>9</v>
      </c>
      <c r="L1852">
        <v>0</v>
      </c>
      <c r="M1852" t="s">
        <v>25022</v>
      </c>
      <c r="N1852">
        <v>568</v>
      </c>
      <c r="O1852" t="s">
        <v>3655</v>
      </c>
      <c r="P1852" t="s">
        <v>57</v>
      </c>
      <c r="Q1852">
        <v>598729</v>
      </c>
      <c r="R1852">
        <v>599064</v>
      </c>
      <c r="S1852" t="s">
        <v>3149</v>
      </c>
      <c r="T1852">
        <v>112</v>
      </c>
      <c r="U1852" t="s">
        <v>108</v>
      </c>
      <c r="V1852">
        <v>44</v>
      </c>
      <c r="W1852" t="str">
        <f>HYPERLINK("Gene568-zp_tree_all.dnd", "Gene568-tree")</f>
        <v>Gene568-tree</v>
      </c>
      <c r="X1852">
        <v>4</v>
      </c>
      <c r="Y1852">
        <v>8</v>
      </c>
      <c r="Z1852">
        <v>4</v>
      </c>
      <c r="AA1852">
        <v>8</v>
      </c>
      <c r="AB1852">
        <v>0.66666999999999998</v>
      </c>
      <c r="AC1852" t="s">
        <v>61</v>
      </c>
      <c r="AD1852" t="s">
        <v>136</v>
      </c>
      <c r="AE1852" t="s">
        <v>62</v>
      </c>
      <c r="AF1852" t="s">
        <v>62</v>
      </c>
      <c r="AG1852">
        <v>4</v>
      </c>
      <c r="AH1852">
        <v>9</v>
      </c>
      <c r="AI1852">
        <v>8</v>
      </c>
      <c r="AJ1852">
        <v>0.52941000000000005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6</v>
      </c>
      <c r="AQ1852">
        <v>0</v>
      </c>
      <c r="AR1852">
        <v>6</v>
      </c>
      <c r="AS1852">
        <v>7</v>
      </c>
      <c r="AT1852">
        <v>0.46154000000000001</v>
      </c>
      <c r="AU1852">
        <v>9</v>
      </c>
      <c r="AV1852">
        <v>7</v>
      </c>
      <c r="AW1852">
        <v>7</v>
      </c>
      <c r="AX1852">
        <v>10</v>
      </c>
      <c r="AY1852">
        <v>3</v>
      </c>
      <c r="AZ1852">
        <v>7</v>
      </c>
      <c r="BA1852" t="s">
        <v>3656</v>
      </c>
      <c r="BB1852" t="s">
        <v>3657</v>
      </c>
      <c r="BC1852">
        <v>0.499</v>
      </c>
      <c r="BD1852" t="s">
        <v>65</v>
      </c>
      <c r="BE1852">
        <v>10</v>
      </c>
      <c r="BF1852">
        <v>17</v>
      </c>
      <c r="BG1852" t="s">
        <v>3658</v>
      </c>
      <c r="BH1852" t="s">
        <v>3659</v>
      </c>
      <c r="BI1852" t="s">
        <v>3660</v>
      </c>
      <c r="BJ1852">
        <v>0.49952000000000002</v>
      </c>
      <c r="BK1852">
        <v>0.82799999999999996</v>
      </c>
      <c r="BL1852" t="s">
        <v>635</v>
      </c>
      <c r="BM1852">
        <v>0.248</v>
      </c>
      <c r="BN1852">
        <v>0.17399999999999999</v>
      </c>
    </row>
    <row r="1853" spans="2:66">
      <c r="B1853">
        <v>3276</v>
      </c>
      <c r="C1853">
        <v>204</v>
      </c>
      <c r="D1853">
        <v>0</v>
      </c>
      <c r="E1853">
        <v>2</v>
      </c>
      <c r="F1853">
        <v>0</v>
      </c>
      <c r="J1853">
        <v>0</v>
      </c>
      <c r="K1853">
        <v>0</v>
      </c>
      <c r="L1853">
        <v>0</v>
      </c>
      <c r="M1853" t="s">
        <v>25022</v>
      </c>
      <c r="N1853">
        <v>572</v>
      </c>
      <c r="O1853" t="s">
        <v>3680</v>
      </c>
      <c r="P1853" t="s">
        <v>57</v>
      </c>
      <c r="Q1853">
        <v>601019</v>
      </c>
      <c r="R1853">
        <v>601723</v>
      </c>
      <c r="S1853" t="s">
        <v>288</v>
      </c>
      <c r="T1853">
        <v>235</v>
      </c>
      <c r="U1853" t="s">
        <v>3681</v>
      </c>
      <c r="V1853">
        <v>38</v>
      </c>
      <c r="W1853" t="str">
        <f>HYPERLINK("Gene572-zp_tree_all.dnd", "Gene572-tree")</f>
        <v>Gene572-tree</v>
      </c>
      <c r="X1853">
        <v>2</v>
      </c>
      <c r="Y1853">
        <v>5</v>
      </c>
      <c r="Z1853">
        <v>2</v>
      </c>
      <c r="AA1853">
        <v>5</v>
      </c>
      <c r="AB1853">
        <v>0.71428999999999998</v>
      </c>
      <c r="AC1853" t="s">
        <v>81</v>
      </c>
      <c r="AD1853" t="s">
        <v>199</v>
      </c>
      <c r="AE1853" t="s">
        <v>62</v>
      </c>
      <c r="AF1853" t="s">
        <v>62</v>
      </c>
      <c r="AG1853">
        <v>0</v>
      </c>
      <c r="AH1853">
        <v>0</v>
      </c>
      <c r="AI1853">
        <v>6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5</v>
      </c>
      <c r="AT1853">
        <v>0</v>
      </c>
      <c r="AU1853">
        <v>6</v>
      </c>
      <c r="AV1853">
        <v>3</v>
      </c>
      <c r="AW1853">
        <v>12</v>
      </c>
      <c r="AX1853">
        <v>4</v>
      </c>
      <c r="AY1853">
        <v>6</v>
      </c>
      <c r="AZ1853">
        <v>2</v>
      </c>
      <c r="BA1853" t="s">
        <v>3682</v>
      </c>
      <c r="BB1853" t="s">
        <v>3683</v>
      </c>
      <c r="BC1853">
        <v>8.9999999999999993E-3</v>
      </c>
      <c r="BD1853" t="s">
        <v>65</v>
      </c>
      <c r="BE1853">
        <v>18</v>
      </c>
      <c r="BF1853">
        <v>6</v>
      </c>
      <c r="BG1853" t="s">
        <v>3684</v>
      </c>
      <c r="BH1853" t="s">
        <v>3685</v>
      </c>
      <c r="BI1853" t="s">
        <v>3686</v>
      </c>
      <c r="BJ1853">
        <v>9.9690000000000001E-2</v>
      </c>
      <c r="BK1853">
        <v>1</v>
      </c>
      <c r="BL1853" t="s">
        <v>69</v>
      </c>
      <c r="BM1853">
        <v>-0.85899999999999999</v>
      </c>
      <c r="BN1853">
        <v>-1.5860000000000001</v>
      </c>
    </row>
    <row r="1854" spans="2:66">
      <c r="B1854">
        <v>3277</v>
      </c>
      <c r="C1854">
        <v>14</v>
      </c>
      <c r="D1854">
        <v>0</v>
      </c>
      <c r="E1854">
        <v>3</v>
      </c>
      <c r="F1854">
        <v>0</v>
      </c>
      <c r="J1854">
        <v>0</v>
      </c>
      <c r="K1854">
        <v>7</v>
      </c>
      <c r="L1854">
        <v>0</v>
      </c>
      <c r="M1854" t="s">
        <v>25022</v>
      </c>
      <c r="N1854">
        <v>576</v>
      </c>
      <c r="O1854" t="s">
        <v>3705</v>
      </c>
      <c r="P1854" t="s">
        <v>57</v>
      </c>
      <c r="Q1854">
        <v>603012</v>
      </c>
      <c r="R1854">
        <v>603596</v>
      </c>
      <c r="S1854" t="s">
        <v>637</v>
      </c>
      <c r="T1854">
        <v>195</v>
      </c>
      <c r="U1854" t="s">
        <v>108</v>
      </c>
      <c r="V1854">
        <v>44</v>
      </c>
      <c r="W1854" t="str">
        <f>HYPERLINK("Gene576-zp_tree_all.dnd", "Gene576-tree")</f>
        <v>Gene576-tree</v>
      </c>
      <c r="X1854">
        <v>0</v>
      </c>
      <c r="Y1854">
        <v>31</v>
      </c>
      <c r="Z1854">
        <v>0</v>
      </c>
      <c r="AA1854">
        <v>11</v>
      </c>
      <c r="AB1854">
        <v>1</v>
      </c>
      <c r="AC1854" t="s">
        <v>62</v>
      </c>
      <c r="AD1854" t="s">
        <v>2860</v>
      </c>
      <c r="AE1854">
        <v>4.3319999999999999</v>
      </c>
      <c r="AF1854" t="s">
        <v>65</v>
      </c>
      <c r="AG1854">
        <v>3</v>
      </c>
      <c r="AH1854">
        <v>7</v>
      </c>
      <c r="AI1854">
        <v>18</v>
      </c>
      <c r="AJ1854">
        <v>0.28000000000000003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4</v>
      </c>
      <c r="AQ1854">
        <v>0</v>
      </c>
      <c r="AR1854">
        <v>4</v>
      </c>
      <c r="AS1854">
        <v>19</v>
      </c>
      <c r="AT1854">
        <v>0.17391000000000001</v>
      </c>
      <c r="AU1854">
        <v>10</v>
      </c>
      <c r="AV1854">
        <v>7</v>
      </c>
      <c r="AW1854">
        <v>25</v>
      </c>
      <c r="AX1854">
        <v>23</v>
      </c>
      <c r="AY1854">
        <v>7</v>
      </c>
      <c r="AZ1854">
        <v>4</v>
      </c>
      <c r="BA1854" t="s">
        <v>3706</v>
      </c>
      <c r="BB1854" t="s">
        <v>3707</v>
      </c>
      <c r="BC1854">
        <v>0.39500000000000002</v>
      </c>
      <c r="BD1854" t="s">
        <v>65</v>
      </c>
      <c r="BE1854">
        <v>32</v>
      </c>
      <c r="BF1854">
        <v>27</v>
      </c>
      <c r="BG1854" t="s">
        <v>3708</v>
      </c>
      <c r="BH1854" t="s">
        <v>3709</v>
      </c>
      <c r="BI1854" t="s">
        <v>3710</v>
      </c>
      <c r="BJ1854">
        <v>0.21382000000000001</v>
      </c>
      <c r="BK1854">
        <v>1</v>
      </c>
      <c r="BL1854" t="s">
        <v>69</v>
      </c>
      <c r="BM1854">
        <v>-0.64400000000000002</v>
      </c>
      <c r="BN1854">
        <v>-0.64900000000000002</v>
      </c>
    </row>
    <row r="1855" spans="2:66">
      <c r="B1855">
        <v>3278</v>
      </c>
      <c r="C1855">
        <v>19</v>
      </c>
      <c r="D1855">
        <v>0</v>
      </c>
      <c r="E1855">
        <v>4</v>
      </c>
      <c r="F1855">
        <v>0</v>
      </c>
      <c r="J1855">
        <v>0</v>
      </c>
      <c r="K1855">
        <v>4</v>
      </c>
      <c r="L1855">
        <v>1</v>
      </c>
      <c r="M1855" t="s">
        <v>25022</v>
      </c>
      <c r="N1855">
        <v>577</v>
      </c>
      <c r="O1855" t="s">
        <v>3711</v>
      </c>
      <c r="P1855" t="s">
        <v>57</v>
      </c>
      <c r="Q1855">
        <v>603596</v>
      </c>
      <c r="R1855">
        <v>603937</v>
      </c>
      <c r="S1855" t="s">
        <v>288</v>
      </c>
      <c r="T1855">
        <v>114</v>
      </c>
      <c r="U1855" t="s">
        <v>108</v>
      </c>
      <c r="V1855">
        <v>44</v>
      </c>
      <c r="W1855" t="str">
        <f>HYPERLINK("Gene577-zp_tree_all.dnd", "Gene577-tree")</f>
        <v>Gene577-tree</v>
      </c>
      <c r="X1855">
        <v>4</v>
      </c>
      <c r="Y1855">
        <v>8</v>
      </c>
      <c r="Z1855">
        <v>4</v>
      </c>
      <c r="AA1855">
        <v>8</v>
      </c>
      <c r="AB1855">
        <v>0.66666999999999998</v>
      </c>
      <c r="AC1855" t="s">
        <v>61</v>
      </c>
      <c r="AD1855" t="s">
        <v>136</v>
      </c>
      <c r="AE1855" t="s">
        <v>62</v>
      </c>
      <c r="AF1855" t="s">
        <v>62</v>
      </c>
      <c r="AG1855">
        <v>2</v>
      </c>
      <c r="AH1855">
        <v>5</v>
      </c>
      <c r="AI1855">
        <v>13</v>
      </c>
      <c r="AJ1855">
        <v>0.27778000000000003</v>
      </c>
      <c r="AK1855">
        <v>0</v>
      </c>
      <c r="AL1855">
        <v>0</v>
      </c>
      <c r="AM1855">
        <v>0</v>
      </c>
      <c r="AN1855">
        <v>3</v>
      </c>
      <c r="AO1855">
        <v>0</v>
      </c>
      <c r="AP1855">
        <v>0</v>
      </c>
      <c r="AQ1855">
        <v>2</v>
      </c>
      <c r="AR1855">
        <v>2</v>
      </c>
      <c r="AS1855">
        <v>10</v>
      </c>
      <c r="AT1855">
        <v>0.16667000000000001</v>
      </c>
      <c r="AU1855">
        <v>8</v>
      </c>
      <c r="AV1855">
        <v>7</v>
      </c>
      <c r="AW1855">
        <v>4</v>
      </c>
      <c r="AX1855">
        <v>11</v>
      </c>
      <c r="AY1855">
        <v>10</v>
      </c>
      <c r="AZ1855">
        <v>7</v>
      </c>
      <c r="BA1855" t="s">
        <v>3712</v>
      </c>
      <c r="BB1855" t="s">
        <v>3713</v>
      </c>
      <c r="BC1855">
        <v>1.0780000000000001</v>
      </c>
      <c r="BD1855" t="s">
        <v>65</v>
      </c>
      <c r="BE1855">
        <v>14</v>
      </c>
      <c r="BF1855">
        <v>18</v>
      </c>
      <c r="BG1855" t="s">
        <v>3714</v>
      </c>
      <c r="BH1855" t="s">
        <v>3715</v>
      </c>
      <c r="BI1855" t="s">
        <v>3716</v>
      </c>
      <c r="BJ1855">
        <v>0.28970000000000001</v>
      </c>
      <c r="BK1855">
        <v>0.99</v>
      </c>
      <c r="BL1855" t="s">
        <v>69</v>
      </c>
      <c r="BM1855">
        <v>-0.113</v>
      </c>
      <c r="BN1855">
        <v>3.3000000000000002E-2</v>
      </c>
    </row>
    <row r="1856" spans="2:66">
      <c r="B1856">
        <v>3279</v>
      </c>
      <c r="C1856">
        <v>512</v>
      </c>
      <c r="D1856">
        <v>0</v>
      </c>
      <c r="E1856">
        <v>9</v>
      </c>
      <c r="F1856">
        <v>0</v>
      </c>
      <c r="J1856">
        <v>0</v>
      </c>
      <c r="K1856">
        <v>15</v>
      </c>
      <c r="L1856">
        <v>0</v>
      </c>
      <c r="M1856" t="s">
        <v>25022</v>
      </c>
      <c r="N1856">
        <v>578</v>
      </c>
      <c r="O1856" t="s">
        <v>3717</v>
      </c>
      <c r="P1856" t="s">
        <v>57</v>
      </c>
      <c r="Q1856">
        <v>604103</v>
      </c>
      <c r="R1856">
        <v>604573</v>
      </c>
      <c r="S1856" t="s">
        <v>3718</v>
      </c>
      <c r="T1856">
        <v>157</v>
      </c>
      <c r="U1856" t="s">
        <v>108</v>
      </c>
      <c r="V1856">
        <v>44</v>
      </c>
      <c r="W1856" t="str">
        <f>HYPERLINK("Gene578-zp_tree_all.dnd", "Gene578-tree")</f>
        <v>Gene578-tree</v>
      </c>
      <c r="X1856">
        <v>3</v>
      </c>
      <c r="Y1856">
        <v>8</v>
      </c>
      <c r="Z1856">
        <v>3</v>
      </c>
      <c r="AA1856">
        <v>8</v>
      </c>
      <c r="AB1856">
        <v>0.72726999999999997</v>
      </c>
      <c r="AC1856" t="s">
        <v>324</v>
      </c>
      <c r="AD1856" t="s">
        <v>136</v>
      </c>
      <c r="AE1856" t="s">
        <v>62</v>
      </c>
      <c r="AF1856" t="s">
        <v>62</v>
      </c>
      <c r="AG1856">
        <v>5</v>
      </c>
      <c r="AH1856">
        <v>15</v>
      </c>
      <c r="AI1856">
        <v>14</v>
      </c>
      <c r="AJ1856">
        <v>0.51724000000000003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7</v>
      </c>
      <c r="AQ1856">
        <v>2</v>
      </c>
      <c r="AR1856">
        <v>9</v>
      </c>
      <c r="AS1856">
        <v>12</v>
      </c>
      <c r="AT1856">
        <v>0.42857000000000001</v>
      </c>
      <c r="AU1856">
        <v>11</v>
      </c>
      <c r="AV1856">
        <v>7</v>
      </c>
      <c r="AW1856">
        <v>24</v>
      </c>
      <c r="AX1856">
        <v>21</v>
      </c>
      <c r="AY1856">
        <v>10</v>
      </c>
      <c r="AZ1856">
        <v>8</v>
      </c>
      <c r="BA1856" t="s">
        <v>3719</v>
      </c>
      <c r="BB1856" t="s">
        <v>3720</v>
      </c>
      <c r="BC1856">
        <v>0.113</v>
      </c>
      <c r="BD1856" t="s">
        <v>65</v>
      </c>
      <c r="BE1856">
        <v>34</v>
      </c>
      <c r="BF1856">
        <v>29</v>
      </c>
      <c r="BG1856" t="s">
        <v>3721</v>
      </c>
      <c r="BH1856" t="s">
        <v>3722</v>
      </c>
      <c r="BI1856" t="s">
        <v>3723</v>
      </c>
      <c r="BJ1856">
        <v>0.18976999999999999</v>
      </c>
      <c r="BK1856">
        <v>1</v>
      </c>
      <c r="BL1856" t="s">
        <v>69</v>
      </c>
      <c r="BM1856">
        <v>-1.2150000000000001</v>
      </c>
      <c r="BN1856">
        <v>-2.7890000000000001</v>
      </c>
    </row>
    <row r="1857" spans="2:66">
      <c r="B1857">
        <v>3282</v>
      </c>
      <c r="C1857">
        <v>87</v>
      </c>
      <c r="D1857">
        <v>0</v>
      </c>
      <c r="E1857">
        <v>15</v>
      </c>
      <c r="F1857">
        <v>0</v>
      </c>
      <c r="J1857">
        <v>0</v>
      </c>
      <c r="K1857">
        <v>2</v>
      </c>
      <c r="L1857">
        <v>0</v>
      </c>
      <c r="M1857" t="s">
        <v>25022</v>
      </c>
      <c r="N1857">
        <v>582</v>
      </c>
      <c r="O1857" t="s">
        <v>3744</v>
      </c>
      <c r="P1857" t="s">
        <v>57</v>
      </c>
      <c r="Q1857">
        <v>608933</v>
      </c>
      <c r="R1857">
        <v>609388</v>
      </c>
      <c r="S1857" t="s">
        <v>3745</v>
      </c>
      <c r="T1857">
        <v>152</v>
      </c>
      <c r="U1857" t="s">
        <v>108</v>
      </c>
      <c r="V1857">
        <v>44</v>
      </c>
      <c r="W1857" t="str">
        <f>HYPERLINK("Gene582-zp_tree_all.dnd", "Gene582-tree")</f>
        <v>Gene582-tree</v>
      </c>
      <c r="X1857">
        <v>6</v>
      </c>
      <c r="Y1857">
        <v>6</v>
      </c>
      <c r="Z1857">
        <v>6</v>
      </c>
      <c r="AA1857">
        <v>6</v>
      </c>
      <c r="AB1857">
        <v>0.5</v>
      </c>
      <c r="AC1857" t="s">
        <v>90</v>
      </c>
      <c r="AD1857" t="s">
        <v>90</v>
      </c>
      <c r="AE1857" t="s">
        <v>62</v>
      </c>
      <c r="AF1857" t="s">
        <v>62</v>
      </c>
      <c r="AG1857">
        <v>1</v>
      </c>
      <c r="AH1857">
        <v>2</v>
      </c>
      <c r="AI1857">
        <v>6</v>
      </c>
      <c r="AJ1857">
        <v>0.25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7</v>
      </c>
      <c r="AT1857">
        <v>0</v>
      </c>
      <c r="AU1857">
        <v>11</v>
      </c>
      <c r="AV1857">
        <v>5</v>
      </c>
      <c r="AW1857">
        <v>7</v>
      </c>
      <c r="AX1857">
        <v>7</v>
      </c>
      <c r="AY1857">
        <v>6</v>
      </c>
      <c r="AZ1857">
        <v>1</v>
      </c>
      <c r="BA1857" t="s">
        <v>3746</v>
      </c>
      <c r="BB1857" t="s">
        <v>3747</v>
      </c>
      <c r="BC1857">
        <v>1.464</v>
      </c>
      <c r="BD1857" t="s">
        <v>65</v>
      </c>
      <c r="BE1857">
        <v>13</v>
      </c>
      <c r="BF1857">
        <v>8</v>
      </c>
      <c r="BG1857" t="s">
        <v>3748</v>
      </c>
      <c r="BH1857" t="s">
        <v>3749</v>
      </c>
      <c r="BI1857" t="s">
        <v>3750</v>
      </c>
      <c r="BJ1857">
        <v>0.11148</v>
      </c>
      <c r="BK1857">
        <v>1</v>
      </c>
      <c r="BL1857" t="s">
        <v>69</v>
      </c>
      <c r="BM1857">
        <v>-0.82199999999999995</v>
      </c>
      <c r="BN1857">
        <v>-1.1719999999999999</v>
      </c>
    </row>
    <row r="1858" spans="2:66">
      <c r="B1858">
        <v>3285</v>
      </c>
      <c r="C1858">
        <v>19</v>
      </c>
      <c r="D1858">
        <v>0</v>
      </c>
      <c r="E1858">
        <v>5</v>
      </c>
      <c r="F1858">
        <v>0</v>
      </c>
      <c r="J1858">
        <v>2</v>
      </c>
      <c r="K1858">
        <v>29</v>
      </c>
      <c r="L1858">
        <v>2</v>
      </c>
      <c r="M1858" t="s">
        <v>25022</v>
      </c>
      <c r="N1858">
        <v>583</v>
      </c>
      <c r="O1858" t="s">
        <v>3751</v>
      </c>
      <c r="P1858" t="s">
        <v>57</v>
      </c>
      <c r="Q1858">
        <v>609388</v>
      </c>
      <c r="R1858">
        <v>612042</v>
      </c>
      <c r="S1858" t="s">
        <v>3752</v>
      </c>
      <c r="T1858">
        <v>885</v>
      </c>
      <c r="U1858" t="s">
        <v>108</v>
      </c>
      <c r="V1858">
        <v>44</v>
      </c>
      <c r="W1858" t="str">
        <f>HYPERLINK("Gene583-zp_tree_all.dnd", "Gene583-tree")</f>
        <v>Gene583-tree</v>
      </c>
      <c r="X1858">
        <v>1</v>
      </c>
      <c r="Y1858">
        <v>14</v>
      </c>
      <c r="Z1858">
        <v>1</v>
      </c>
      <c r="AA1858">
        <v>14</v>
      </c>
      <c r="AB1858">
        <v>0.93332999999999999</v>
      </c>
      <c r="AC1858" t="s">
        <v>175</v>
      </c>
      <c r="AD1858" t="s">
        <v>543</v>
      </c>
      <c r="AE1858">
        <v>1865302226.941</v>
      </c>
      <c r="AF1858" t="s">
        <v>267</v>
      </c>
      <c r="AG1858">
        <v>11</v>
      </c>
      <c r="AH1858">
        <v>33</v>
      </c>
      <c r="AI1858">
        <v>34</v>
      </c>
      <c r="AJ1858">
        <v>0.49253999999999998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16</v>
      </c>
      <c r="AQ1858">
        <v>1</v>
      </c>
      <c r="AR1858">
        <v>17</v>
      </c>
      <c r="AS1858">
        <v>27</v>
      </c>
      <c r="AT1858">
        <v>0.38635999999999998</v>
      </c>
      <c r="AU1858">
        <v>15</v>
      </c>
      <c r="AV1858">
        <v>12</v>
      </c>
      <c r="AW1858">
        <v>137</v>
      </c>
      <c r="AX1858">
        <v>44</v>
      </c>
      <c r="AY1858">
        <v>98</v>
      </c>
      <c r="AZ1858">
        <v>24</v>
      </c>
      <c r="BA1858" t="s">
        <v>3753</v>
      </c>
      <c r="BB1858" t="s">
        <v>3754</v>
      </c>
      <c r="BC1858">
        <v>0.41099999999999998</v>
      </c>
      <c r="BD1858" t="s">
        <v>65</v>
      </c>
      <c r="BE1858">
        <v>235</v>
      </c>
      <c r="BF1858">
        <v>68</v>
      </c>
      <c r="BG1858" t="s">
        <v>3755</v>
      </c>
      <c r="BH1858" t="s">
        <v>3756</v>
      </c>
      <c r="BI1858" t="s">
        <v>3757</v>
      </c>
      <c r="BJ1858">
        <v>8.8029999999999997E-2</v>
      </c>
      <c r="BK1858">
        <v>1</v>
      </c>
      <c r="BL1858" t="s">
        <v>69</v>
      </c>
      <c r="BM1858">
        <v>-0.74399999999999999</v>
      </c>
      <c r="BN1858">
        <v>-1.5940000000000001</v>
      </c>
    </row>
    <row r="1859" spans="2:66">
      <c r="B1859">
        <v>3286</v>
      </c>
      <c r="C1859">
        <v>89</v>
      </c>
      <c r="D1859">
        <v>0</v>
      </c>
      <c r="E1859">
        <v>6</v>
      </c>
      <c r="F1859">
        <v>0</v>
      </c>
      <c r="J1859">
        <v>0</v>
      </c>
      <c r="K1859">
        <v>4</v>
      </c>
      <c r="L1859">
        <v>0</v>
      </c>
      <c r="M1859" t="s">
        <v>25022</v>
      </c>
      <c r="N1859">
        <v>586</v>
      </c>
      <c r="O1859" t="s">
        <v>3771</v>
      </c>
      <c r="P1859" t="s">
        <v>57</v>
      </c>
      <c r="Q1859">
        <v>613641</v>
      </c>
      <c r="R1859">
        <v>614846</v>
      </c>
      <c r="S1859" t="s">
        <v>2641</v>
      </c>
      <c r="T1859">
        <v>402</v>
      </c>
      <c r="U1859" t="s">
        <v>108</v>
      </c>
      <c r="V1859">
        <v>44</v>
      </c>
      <c r="W1859" t="str">
        <f>HYPERLINK("Gene586-zp_tree_all.dnd", "Gene586-tree")</f>
        <v>Gene586-tree</v>
      </c>
      <c r="X1859">
        <v>10</v>
      </c>
      <c r="Y1859">
        <v>4</v>
      </c>
      <c r="Z1859">
        <v>10</v>
      </c>
      <c r="AA1859">
        <v>4</v>
      </c>
      <c r="AB1859">
        <v>0.28571000000000002</v>
      </c>
      <c r="AC1859" t="s">
        <v>117</v>
      </c>
      <c r="AD1859" t="s">
        <v>61</v>
      </c>
      <c r="AE1859" t="s">
        <v>62</v>
      </c>
      <c r="AF1859" t="s">
        <v>62</v>
      </c>
      <c r="AG1859">
        <v>2</v>
      </c>
      <c r="AH1859">
        <v>4</v>
      </c>
      <c r="AI1859">
        <v>2</v>
      </c>
      <c r="AJ1859">
        <v>0.66666999999999998</v>
      </c>
      <c r="AK1859">
        <v>0</v>
      </c>
      <c r="AL1859">
        <v>0</v>
      </c>
      <c r="AM1859">
        <v>0</v>
      </c>
      <c r="AN1859">
        <v>2</v>
      </c>
      <c r="AO1859">
        <v>0</v>
      </c>
      <c r="AP1859">
        <v>0</v>
      </c>
      <c r="AQ1859">
        <v>0</v>
      </c>
      <c r="AR1859">
        <v>0</v>
      </c>
      <c r="AS1859">
        <v>4</v>
      </c>
      <c r="AT1859">
        <v>0</v>
      </c>
      <c r="AU1859">
        <v>11</v>
      </c>
      <c r="AV1859">
        <v>10</v>
      </c>
      <c r="AW1859">
        <v>29</v>
      </c>
      <c r="AX1859">
        <v>3</v>
      </c>
      <c r="AY1859">
        <v>15</v>
      </c>
      <c r="AZ1859">
        <v>5</v>
      </c>
      <c r="BA1859" t="s">
        <v>3772</v>
      </c>
      <c r="BB1859" t="s">
        <v>3773</v>
      </c>
      <c r="BC1859">
        <v>1.3859999999999999</v>
      </c>
      <c r="BD1859" t="s">
        <v>65</v>
      </c>
      <c r="BE1859">
        <v>44</v>
      </c>
      <c r="BF1859">
        <v>8</v>
      </c>
      <c r="BG1859" t="s">
        <v>3774</v>
      </c>
      <c r="BH1859" t="s">
        <v>3775</v>
      </c>
      <c r="BI1859" t="s">
        <v>3776</v>
      </c>
      <c r="BJ1859">
        <v>7.5560000000000002E-2</v>
      </c>
      <c r="BK1859">
        <v>1</v>
      </c>
      <c r="BL1859" t="s">
        <v>69</v>
      </c>
      <c r="BM1859">
        <v>5.2999999999999999E-2</v>
      </c>
      <c r="BN1859">
        <v>-0.622</v>
      </c>
    </row>
    <row r="1860" spans="2:66">
      <c r="B1860">
        <v>3293</v>
      </c>
      <c r="C1860">
        <v>313</v>
      </c>
      <c r="D1860">
        <v>0</v>
      </c>
      <c r="E1860">
        <v>0</v>
      </c>
      <c r="F1860">
        <v>2</v>
      </c>
      <c r="J1860">
        <v>0</v>
      </c>
      <c r="K1860">
        <v>3</v>
      </c>
      <c r="L1860">
        <v>2</v>
      </c>
      <c r="M1860" t="s">
        <v>25022</v>
      </c>
      <c r="N1860">
        <v>588</v>
      </c>
      <c r="O1860" t="s">
        <v>3783</v>
      </c>
      <c r="P1860" t="s">
        <v>57</v>
      </c>
      <c r="Q1860">
        <v>615871</v>
      </c>
      <c r="R1860">
        <v>616542</v>
      </c>
      <c r="S1860" t="s">
        <v>3784</v>
      </c>
      <c r="T1860">
        <v>224</v>
      </c>
      <c r="U1860" t="s">
        <v>108</v>
      </c>
      <c r="V1860">
        <v>44</v>
      </c>
      <c r="W1860" t="str">
        <f>HYPERLINK("Gene588-zp_tree_all.dnd", "Gene588-tree")</f>
        <v>Gene588-tree</v>
      </c>
      <c r="X1860">
        <v>6</v>
      </c>
      <c r="Y1860">
        <v>7</v>
      </c>
      <c r="Z1860">
        <v>6</v>
      </c>
      <c r="AA1860">
        <v>7</v>
      </c>
      <c r="AB1860">
        <v>0.53846000000000005</v>
      </c>
      <c r="AC1860" t="s">
        <v>90</v>
      </c>
      <c r="AD1860" t="s">
        <v>152</v>
      </c>
      <c r="AE1860" t="s">
        <v>62</v>
      </c>
      <c r="AF1860" t="s">
        <v>62</v>
      </c>
      <c r="AG1860">
        <v>2</v>
      </c>
      <c r="AH1860">
        <v>5</v>
      </c>
      <c r="AI1860">
        <v>6</v>
      </c>
      <c r="AJ1860">
        <v>0.45455000000000001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3</v>
      </c>
      <c r="AQ1860">
        <v>0</v>
      </c>
      <c r="AR1860">
        <v>3</v>
      </c>
      <c r="AS1860">
        <v>7</v>
      </c>
      <c r="AT1860">
        <v>0.3</v>
      </c>
      <c r="AU1860">
        <v>11</v>
      </c>
      <c r="AV1860">
        <v>8</v>
      </c>
      <c r="AW1860">
        <v>17</v>
      </c>
      <c r="AX1860">
        <v>7</v>
      </c>
      <c r="AY1860">
        <v>21</v>
      </c>
      <c r="AZ1860">
        <v>4</v>
      </c>
      <c r="BA1860" t="s">
        <v>3785</v>
      </c>
      <c r="BB1860" t="s">
        <v>3786</v>
      </c>
      <c r="BC1860">
        <v>0.54800000000000004</v>
      </c>
      <c r="BD1860" t="s">
        <v>65</v>
      </c>
      <c r="BE1860">
        <v>38</v>
      </c>
      <c r="BF1860">
        <v>11</v>
      </c>
      <c r="BG1860" t="s">
        <v>3787</v>
      </c>
      <c r="BH1860" t="s">
        <v>3788</v>
      </c>
      <c r="BI1860" t="s">
        <v>3789</v>
      </c>
      <c r="BJ1860">
        <v>6.3380000000000006E-2</v>
      </c>
      <c r="BK1860">
        <v>1</v>
      </c>
      <c r="BL1860" t="s">
        <v>69</v>
      </c>
      <c r="BM1860">
        <v>-0.45400000000000001</v>
      </c>
      <c r="BN1860">
        <v>-0.99399999999999999</v>
      </c>
    </row>
    <row r="1861" spans="2:66">
      <c r="B1861">
        <v>3295</v>
      </c>
      <c r="C1861">
        <v>56</v>
      </c>
      <c r="D1861">
        <v>0</v>
      </c>
      <c r="E1861">
        <v>2</v>
      </c>
      <c r="F1861">
        <v>2</v>
      </c>
      <c r="J1861">
        <v>0</v>
      </c>
      <c r="K1861">
        <v>4</v>
      </c>
      <c r="L1861">
        <v>1</v>
      </c>
      <c r="M1861" t="s">
        <v>25022</v>
      </c>
      <c r="N1861">
        <v>589</v>
      </c>
      <c r="O1861" t="s">
        <v>3790</v>
      </c>
      <c r="P1861" t="s">
        <v>57</v>
      </c>
      <c r="Q1861">
        <v>616672</v>
      </c>
      <c r="R1861">
        <v>617931</v>
      </c>
      <c r="S1861" t="s">
        <v>3791</v>
      </c>
      <c r="T1861">
        <v>420</v>
      </c>
      <c r="U1861" t="s">
        <v>108</v>
      </c>
      <c r="V1861">
        <v>44</v>
      </c>
      <c r="W1861" t="str">
        <f>HYPERLINK("Gene589-zp_tree_all.dnd", "Gene589-tree")</f>
        <v>Gene589-tree</v>
      </c>
      <c r="X1861">
        <v>5</v>
      </c>
      <c r="Y1861">
        <v>11</v>
      </c>
      <c r="Z1861">
        <v>5</v>
      </c>
      <c r="AA1861">
        <v>11</v>
      </c>
      <c r="AB1861">
        <v>0.6875</v>
      </c>
      <c r="AC1861" t="s">
        <v>199</v>
      </c>
      <c r="AD1861" t="s">
        <v>73</v>
      </c>
      <c r="AE1861">
        <v>137353515.63499999</v>
      </c>
      <c r="AF1861" t="s">
        <v>267</v>
      </c>
      <c r="AG1861">
        <v>2</v>
      </c>
      <c r="AH1861">
        <v>5</v>
      </c>
      <c r="AI1861">
        <v>14</v>
      </c>
      <c r="AJ1861">
        <v>0.26316000000000001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2</v>
      </c>
      <c r="AQ1861">
        <v>0</v>
      </c>
      <c r="AR1861">
        <v>2</v>
      </c>
      <c r="AS1861">
        <v>14</v>
      </c>
      <c r="AT1861">
        <v>0.125</v>
      </c>
      <c r="AU1861">
        <v>14</v>
      </c>
      <c r="AV1861">
        <v>12</v>
      </c>
      <c r="AW1861">
        <v>59</v>
      </c>
      <c r="AX1861">
        <v>13</v>
      </c>
      <c r="AY1861">
        <v>100</v>
      </c>
      <c r="AZ1861">
        <v>7</v>
      </c>
      <c r="BA1861" t="s">
        <v>3792</v>
      </c>
      <c r="BB1861" t="s">
        <v>3793</v>
      </c>
      <c r="BC1861">
        <v>1.4019999999999999</v>
      </c>
      <c r="BD1861" t="s">
        <v>65</v>
      </c>
      <c r="BE1861">
        <v>159</v>
      </c>
      <c r="BF1861">
        <v>20</v>
      </c>
      <c r="BG1861" t="s">
        <v>3794</v>
      </c>
      <c r="BH1861" t="s">
        <v>3795</v>
      </c>
      <c r="BI1861" t="s">
        <v>3796</v>
      </c>
      <c r="BJ1861">
        <v>3.2640000000000002E-2</v>
      </c>
      <c r="BK1861">
        <v>1</v>
      </c>
      <c r="BL1861" t="s">
        <v>69</v>
      </c>
      <c r="BM1861">
        <v>-0.19900000000000001</v>
      </c>
      <c r="BN1861">
        <v>-0.24299999999999999</v>
      </c>
    </row>
    <row r="1862" spans="2:66">
      <c r="B1862">
        <v>3297</v>
      </c>
      <c r="C1862">
        <v>66</v>
      </c>
      <c r="D1862">
        <v>0</v>
      </c>
      <c r="E1862">
        <v>0</v>
      </c>
      <c r="F1862">
        <v>3</v>
      </c>
      <c r="J1862">
        <v>0</v>
      </c>
      <c r="K1862">
        <v>4</v>
      </c>
      <c r="L1862">
        <v>2</v>
      </c>
      <c r="M1862" t="s">
        <v>25022</v>
      </c>
      <c r="N1862">
        <v>590</v>
      </c>
      <c r="O1862" t="s">
        <v>3797</v>
      </c>
      <c r="P1862" t="s">
        <v>57</v>
      </c>
      <c r="Q1862">
        <v>618095</v>
      </c>
      <c r="R1862">
        <v>619279</v>
      </c>
      <c r="S1862" t="s">
        <v>3798</v>
      </c>
      <c r="T1862">
        <v>395</v>
      </c>
      <c r="U1862" t="s">
        <v>108</v>
      </c>
      <c r="V1862">
        <v>44</v>
      </c>
      <c r="W1862" t="str">
        <f>HYPERLINK("Gene590-zp_tree_all.dnd", "Gene590-tree")</f>
        <v>Gene590-tree</v>
      </c>
      <c r="X1862">
        <v>5</v>
      </c>
      <c r="Y1862">
        <v>9</v>
      </c>
      <c r="Z1862">
        <v>5</v>
      </c>
      <c r="AA1862">
        <v>9</v>
      </c>
      <c r="AB1862">
        <v>0.64285999999999999</v>
      </c>
      <c r="AC1862" t="s">
        <v>199</v>
      </c>
      <c r="AD1862" t="s">
        <v>135</v>
      </c>
      <c r="AE1862" t="s">
        <v>62</v>
      </c>
      <c r="AF1862" t="s">
        <v>62</v>
      </c>
      <c r="AG1862">
        <v>3</v>
      </c>
      <c r="AH1862">
        <v>6</v>
      </c>
      <c r="AI1862">
        <v>15</v>
      </c>
      <c r="AJ1862">
        <v>0.28571000000000002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4</v>
      </c>
      <c r="AQ1862">
        <v>0</v>
      </c>
      <c r="AR1862">
        <v>4</v>
      </c>
      <c r="AS1862">
        <v>16</v>
      </c>
      <c r="AT1862">
        <v>0.2</v>
      </c>
      <c r="AU1862">
        <v>13</v>
      </c>
      <c r="AV1862">
        <v>10</v>
      </c>
      <c r="AW1862">
        <v>29</v>
      </c>
      <c r="AX1862">
        <v>20</v>
      </c>
      <c r="AY1862">
        <v>15</v>
      </c>
      <c r="AZ1862">
        <v>2</v>
      </c>
      <c r="BA1862" t="s">
        <v>3799</v>
      </c>
      <c r="BB1862" t="s">
        <v>3800</v>
      </c>
      <c r="BC1862">
        <v>0.89100000000000001</v>
      </c>
      <c r="BD1862" t="s">
        <v>65</v>
      </c>
      <c r="BE1862">
        <v>44</v>
      </c>
      <c r="BF1862">
        <v>22</v>
      </c>
      <c r="BG1862" t="s">
        <v>3801</v>
      </c>
      <c r="BH1862" t="s">
        <v>3802</v>
      </c>
      <c r="BI1862" t="s">
        <v>3803</v>
      </c>
      <c r="BJ1862">
        <v>0.11958000000000001</v>
      </c>
      <c r="BK1862">
        <v>1</v>
      </c>
      <c r="BL1862" t="s">
        <v>69</v>
      </c>
      <c r="BM1862">
        <v>-0.98899999999999999</v>
      </c>
      <c r="BN1862">
        <v>-3.2410000000000001</v>
      </c>
    </row>
    <row r="1863" spans="2:66">
      <c r="B1863">
        <v>3299</v>
      </c>
      <c r="C1863">
        <v>21</v>
      </c>
      <c r="D1863">
        <v>0</v>
      </c>
      <c r="E1863">
        <v>5</v>
      </c>
      <c r="F1863">
        <v>0</v>
      </c>
      <c r="J1863">
        <v>0</v>
      </c>
      <c r="K1863">
        <v>3</v>
      </c>
      <c r="L1863">
        <v>1</v>
      </c>
      <c r="M1863" t="s">
        <v>25022</v>
      </c>
      <c r="N1863">
        <v>593</v>
      </c>
      <c r="O1863" t="s">
        <v>3818</v>
      </c>
      <c r="P1863" t="s">
        <v>57</v>
      </c>
      <c r="Q1863">
        <v>621847</v>
      </c>
      <c r="R1863">
        <v>622215</v>
      </c>
      <c r="S1863" t="s">
        <v>3819</v>
      </c>
      <c r="T1863">
        <v>123</v>
      </c>
      <c r="U1863" t="s">
        <v>3820</v>
      </c>
      <c r="V1863">
        <v>42</v>
      </c>
      <c r="W1863" t="str">
        <f>HYPERLINK("Gene593-zp_tree_all.dnd", "Gene593-tree")</f>
        <v>Gene593-tree</v>
      </c>
      <c r="X1863">
        <v>7</v>
      </c>
      <c r="Y1863">
        <v>25</v>
      </c>
      <c r="Z1863">
        <v>7</v>
      </c>
      <c r="AA1863">
        <v>6</v>
      </c>
      <c r="AB1863">
        <v>0.46154000000000001</v>
      </c>
      <c r="AC1863" t="s">
        <v>152</v>
      </c>
      <c r="AD1863" t="s">
        <v>965</v>
      </c>
      <c r="AE1863">
        <v>4.1539999999999999</v>
      </c>
      <c r="AF1863" t="s">
        <v>65</v>
      </c>
      <c r="AG1863">
        <v>1</v>
      </c>
      <c r="AH1863">
        <v>4</v>
      </c>
      <c r="AI1863">
        <v>8</v>
      </c>
      <c r="AJ1863">
        <v>0.33333000000000002</v>
      </c>
      <c r="AK1863">
        <v>2</v>
      </c>
      <c r="AL1863">
        <v>0</v>
      </c>
      <c r="AM1863">
        <v>2</v>
      </c>
      <c r="AN1863">
        <v>1</v>
      </c>
      <c r="AO1863">
        <v>0.66666999999999998</v>
      </c>
      <c r="AP1863">
        <v>0</v>
      </c>
      <c r="AQ1863">
        <v>2</v>
      </c>
      <c r="AR1863">
        <v>2</v>
      </c>
      <c r="AS1863">
        <v>6</v>
      </c>
      <c r="AT1863">
        <v>0.25</v>
      </c>
      <c r="AU1863">
        <v>10</v>
      </c>
      <c r="AV1863">
        <v>8</v>
      </c>
      <c r="AW1863">
        <v>13</v>
      </c>
      <c r="AX1863">
        <v>8</v>
      </c>
      <c r="AY1863">
        <v>17</v>
      </c>
      <c r="AZ1863">
        <v>4</v>
      </c>
      <c r="BA1863" t="s">
        <v>3821</v>
      </c>
      <c r="BB1863" t="s">
        <v>3822</v>
      </c>
      <c r="BC1863">
        <v>0.89300000000000002</v>
      </c>
      <c r="BD1863" t="s">
        <v>65</v>
      </c>
      <c r="BE1863">
        <v>30</v>
      </c>
      <c r="BF1863">
        <v>12</v>
      </c>
      <c r="BG1863" t="s">
        <v>3823</v>
      </c>
      <c r="BH1863" t="s">
        <v>3824</v>
      </c>
      <c r="BI1863" t="s">
        <v>3825</v>
      </c>
      <c r="BJ1863">
        <v>0.10947999999999999</v>
      </c>
      <c r="BK1863">
        <v>1</v>
      </c>
      <c r="BL1863" t="s">
        <v>69</v>
      </c>
      <c r="BM1863">
        <v>0.50600000000000001</v>
      </c>
      <c r="BN1863">
        <v>0.33700000000000002</v>
      </c>
    </row>
    <row r="1864" spans="2:66">
      <c r="B1864">
        <v>3300</v>
      </c>
      <c r="C1864">
        <v>105</v>
      </c>
      <c r="D1864">
        <v>0</v>
      </c>
      <c r="E1864">
        <v>2</v>
      </c>
      <c r="F1864">
        <v>0</v>
      </c>
      <c r="J1864">
        <v>0</v>
      </c>
      <c r="K1864">
        <v>26</v>
      </c>
      <c r="L1864">
        <v>1</v>
      </c>
      <c r="M1864" t="s">
        <v>25022</v>
      </c>
      <c r="N1864">
        <v>596</v>
      </c>
      <c r="O1864" t="s">
        <v>3838</v>
      </c>
      <c r="P1864" t="s">
        <v>57</v>
      </c>
      <c r="Q1864">
        <v>623373</v>
      </c>
      <c r="R1864">
        <v>624347</v>
      </c>
      <c r="S1864" t="s">
        <v>3839</v>
      </c>
      <c r="T1864">
        <v>325</v>
      </c>
      <c r="U1864" t="s">
        <v>108</v>
      </c>
      <c r="V1864">
        <v>44</v>
      </c>
      <c r="W1864" t="str">
        <f>HYPERLINK("Gene596-zp_tree_all.dnd", "Gene596-tree")</f>
        <v>Gene596-tree</v>
      </c>
      <c r="X1864">
        <v>1</v>
      </c>
      <c r="Y1864">
        <v>13</v>
      </c>
      <c r="Z1864">
        <v>1</v>
      </c>
      <c r="AA1864">
        <v>13</v>
      </c>
      <c r="AB1864">
        <v>0.92857000000000001</v>
      </c>
      <c r="AC1864" t="s">
        <v>175</v>
      </c>
      <c r="AD1864" t="s">
        <v>507</v>
      </c>
      <c r="AE1864" t="s">
        <v>62</v>
      </c>
      <c r="AF1864" t="s">
        <v>62</v>
      </c>
      <c r="AG1864">
        <v>10</v>
      </c>
      <c r="AH1864">
        <v>27</v>
      </c>
      <c r="AI1864">
        <v>24</v>
      </c>
      <c r="AJ1864">
        <v>0.52941000000000005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15</v>
      </c>
      <c r="AQ1864">
        <v>1</v>
      </c>
      <c r="AR1864">
        <v>16</v>
      </c>
      <c r="AS1864">
        <v>24</v>
      </c>
      <c r="AT1864">
        <v>0.4</v>
      </c>
      <c r="AU1864">
        <v>13</v>
      </c>
      <c r="AV1864">
        <v>11</v>
      </c>
      <c r="AW1864">
        <v>53</v>
      </c>
      <c r="AX1864">
        <v>35</v>
      </c>
      <c r="AY1864">
        <v>27</v>
      </c>
      <c r="AZ1864">
        <v>16</v>
      </c>
      <c r="BA1864" t="s">
        <v>3840</v>
      </c>
      <c r="BB1864" t="s">
        <v>3841</v>
      </c>
      <c r="BC1864">
        <v>0.157</v>
      </c>
      <c r="BD1864" t="s">
        <v>65</v>
      </c>
      <c r="BE1864">
        <v>80</v>
      </c>
      <c r="BF1864">
        <v>51</v>
      </c>
      <c r="BG1864" t="s">
        <v>3842</v>
      </c>
      <c r="BH1864" t="s">
        <v>3843</v>
      </c>
      <c r="BI1864" t="s">
        <v>3844</v>
      </c>
      <c r="BJ1864">
        <v>0.18819</v>
      </c>
      <c r="BK1864">
        <v>1</v>
      </c>
      <c r="BL1864" t="s">
        <v>69</v>
      </c>
      <c r="BM1864">
        <v>-0.377</v>
      </c>
      <c r="BN1864">
        <v>-1.506</v>
      </c>
    </row>
    <row r="1865" spans="2:66">
      <c r="B1865">
        <v>3303</v>
      </c>
      <c r="C1865">
        <v>70</v>
      </c>
      <c r="D1865">
        <v>0</v>
      </c>
      <c r="E1865">
        <v>7</v>
      </c>
      <c r="F1865">
        <v>2</v>
      </c>
      <c r="J1865">
        <v>0</v>
      </c>
      <c r="K1865">
        <v>4</v>
      </c>
      <c r="L1865">
        <v>0</v>
      </c>
      <c r="M1865" t="s">
        <v>25022</v>
      </c>
      <c r="N1865">
        <v>597</v>
      </c>
      <c r="O1865" t="s">
        <v>3845</v>
      </c>
      <c r="P1865" t="s">
        <v>57</v>
      </c>
      <c r="Q1865">
        <v>624492</v>
      </c>
      <c r="R1865">
        <v>625106</v>
      </c>
      <c r="S1865" t="s">
        <v>2302</v>
      </c>
      <c r="T1865">
        <v>205</v>
      </c>
      <c r="U1865" t="s">
        <v>108</v>
      </c>
      <c r="V1865">
        <v>44</v>
      </c>
      <c r="W1865" t="str">
        <f>HYPERLINK("Gene597-zp_tree_all.dnd", "Gene597-tree")</f>
        <v>Gene597-tree</v>
      </c>
      <c r="X1865">
        <v>5</v>
      </c>
      <c r="Y1865">
        <v>7</v>
      </c>
      <c r="Z1865">
        <v>5</v>
      </c>
      <c r="AA1865">
        <v>7</v>
      </c>
      <c r="AB1865">
        <v>0.58333000000000002</v>
      </c>
      <c r="AC1865" t="s">
        <v>199</v>
      </c>
      <c r="AD1865" t="s">
        <v>152</v>
      </c>
      <c r="AE1865" t="s">
        <v>62</v>
      </c>
      <c r="AF1865" t="s">
        <v>62</v>
      </c>
      <c r="AG1865">
        <v>2</v>
      </c>
      <c r="AH1865">
        <v>4</v>
      </c>
      <c r="AI1865">
        <v>13</v>
      </c>
      <c r="AJ1865">
        <v>0.23529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2</v>
      </c>
      <c r="AQ1865">
        <v>0</v>
      </c>
      <c r="AR1865">
        <v>2</v>
      </c>
      <c r="AS1865">
        <v>12</v>
      </c>
      <c r="AT1865">
        <v>0.14285999999999999</v>
      </c>
      <c r="AU1865">
        <v>10</v>
      </c>
      <c r="AV1865">
        <v>9</v>
      </c>
      <c r="AW1865">
        <v>22</v>
      </c>
      <c r="AX1865">
        <v>14</v>
      </c>
      <c r="AY1865">
        <v>15</v>
      </c>
      <c r="AZ1865">
        <v>3</v>
      </c>
      <c r="BA1865" t="s">
        <v>3846</v>
      </c>
      <c r="BB1865" t="s">
        <v>3847</v>
      </c>
      <c r="BC1865">
        <v>1.6910000000000001</v>
      </c>
      <c r="BD1865" t="s">
        <v>65</v>
      </c>
      <c r="BE1865">
        <v>37</v>
      </c>
      <c r="BF1865">
        <v>17</v>
      </c>
      <c r="BG1865" t="s">
        <v>3848</v>
      </c>
      <c r="BH1865" t="s">
        <v>3849</v>
      </c>
      <c r="BI1865" t="s">
        <v>3850</v>
      </c>
      <c r="BJ1865">
        <v>0.10986</v>
      </c>
      <c r="BK1865">
        <v>1</v>
      </c>
      <c r="BL1865" t="s">
        <v>69</v>
      </c>
      <c r="BM1865">
        <v>-0.81200000000000006</v>
      </c>
      <c r="BN1865">
        <v>-1.27</v>
      </c>
    </row>
    <row r="1866" spans="2:66">
      <c r="B1866">
        <v>3304</v>
      </c>
      <c r="C1866">
        <v>102</v>
      </c>
      <c r="D1866">
        <v>0</v>
      </c>
      <c r="E1866">
        <v>3</v>
      </c>
      <c r="F1866">
        <v>0</v>
      </c>
      <c r="J1866">
        <v>0</v>
      </c>
      <c r="K1866">
        <v>0</v>
      </c>
      <c r="L1866">
        <v>0</v>
      </c>
      <c r="M1866" t="s">
        <v>25022</v>
      </c>
      <c r="N1866">
        <v>599</v>
      </c>
      <c r="O1866" t="s">
        <v>3857</v>
      </c>
      <c r="P1866" t="s">
        <v>57</v>
      </c>
      <c r="Q1866">
        <v>626622</v>
      </c>
      <c r="R1866">
        <v>626930</v>
      </c>
      <c r="S1866" t="s">
        <v>3858</v>
      </c>
      <c r="T1866">
        <v>103</v>
      </c>
      <c r="U1866" t="s">
        <v>3859</v>
      </c>
      <c r="V1866">
        <v>42</v>
      </c>
      <c r="W1866" t="str">
        <f>HYPERLINK("Gene599-zp_tree_all.dnd", "Gene599-tree")</f>
        <v>Gene599-tree</v>
      </c>
      <c r="X1866">
        <v>9</v>
      </c>
      <c r="Y1866">
        <v>2</v>
      </c>
      <c r="Z1866">
        <v>9</v>
      </c>
      <c r="AA1866">
        <v>2</v>
      </c>
      <c r="AB1866">
        <v>0.18182000000000001</v>
      </c>
      <c r="AC1866" t="s">
        <v>135</v>
      </c>
      <c r="AD1866" t="s">
        <v>81</v>
      </c>
      <c r="AE1866" t="s">
        <v>62</v>
      </c>
      <c r="AF1866" t="s">
        <v>62</v>
      </c>
      <c r="AG1866">
        <v>0</v>
      </c>
      <c r="AH1866">
        <v>0</v>
      </c>
      <c r="AI1866">
        <v>4</v>
      </c>
      <c r="AJ1866">
        <v>0</v>
      </c>
      <c r="AK1866">
        <v>0</v>
      </c>
      <c r="AL1866">
        <v>0</v>
      </c>
      <c r="AM1866">
        <v>0</v>
      </c>
      <c r="AN1866">
        <v>2</v>
      </c>
      <c r="AO1866">
        <v>0</v>
      </c>
      <c r="AP1866">
        <v>0</v>
      </c>
      <c r="AQ1866">
        <v>0</v>
      </c>
      <c r="AR1866">
        <v>0</v>
      </c>
      <c r="AS1866">
        <v>2</v>
      </c>
      <c r="AT1866">
        <v>0</v>
      </c>
      <c r="AU1866">
        <v>5</v>
      </c>
      <c r="AV1866">
        <v>6</v>
      </c>
      <c r="AW1866">
        <v>9</v>
      </c>
      <c r="AX1866">
        <v>2</v>
      </c>
      <c r="AY1866">
        <v>7</v>
      </c>
      <c r="AZ1866">
        <v>2</v>
      </c>
      <c r="BA1866" t="s">
        <v>3860</v>
      </c>
      <c r="BB1866" t="s">
        <v>3861</v>
      </c>
      <c r="BC1866">
        <v>0.193</v>
      </c>
      <c r="BD1866" t="s">
        <v>65</v>
      </c>
      <c r="BE1866">
        <v>16</v>
      </c>
      <c r="BF1866">
        <v>4</v>
      </c>
      <c r="BG1866" t="s">
        <v>3862</v>
      </c>
      <c r="BH1866" t="s">
        <v>3863</v>
      </c>
      <c r="BI1866" t="s">
        <v>3864</v>
      </c>
      <c r="BJ1866">
        <v>7.6300000000000007E-2</v>
      </c>
      <c r="BK1866">
        <v>1</v>
      </c>
      <c r="BL1866" t="s">
        <v>69</v>
      </c>
      <c r="BM1866">
        <v>0.06</v>
      </c>
      <c r="BN1866">
        <v>-1.5720000000000001</v>
      </c>
    </row>
    <row r="1867" spans="2:66">
      <c r="B1867">
        <v>3306</v>
      </c>
      <c r="C1867">
        <v>1234</v>
      </c>
      <c r="D1867">
        <v>0</v>
      </c>
      <c r="E1867">
        <v>34</v>
      </c>
      <c r="F1867">
        <v>6</v>
      </c>
      <c r="J1867">
        <v>0</v>
      </c>
      <c r="K1867">
        <v>0</v>
      </c>
      <c r="L1867">
        <v>0</v>
      </c>
      <c r="M1867" t="s">
        <v>25022</v>
      </c>
      <c r="N1867">
        <v>600</v>
      </c>
      <c r="O1867" t="s">
        <v>3865</v>
      </c>
      <c r="P1867" t="s">
        <v>57</v>
      </c>
      <c r="Q1867">
        <v>626933</v>
      </c>
      <c r="R1867">
        <v>627262</v>
      </c>
      <c r="S1867" t="s">
        <v>3866</v>
      </c>
      <c r="T1867">
        <v>110</v>
      </c>
      <c r="U1867" t="s">
        <v>3867</v>
      </c>
      <c r="V1867">
        <v>28</v>
      </c>
      <c r="W1867" t="str">
        <f>HYPERLINK("Gene600-zp_tree_all.dnd", "Gene600-tree")</f>
        <v>Gene600-tree</v>
      </c>
      <c r="X1867">
        <v>5</v>
      </c>
      <c r="Y1867">
        <v>4</v>
      </c>
      <c r="Z1867">
        <v>5</v>
      </c>
      <c r="AA1867">
        <v>4</v>
      </c>
      <c r="AB1867">
        <v>0.44444</v>
      </c>
      <c r="AC1867" t="s">
        <v>199</v>
      </c>
      <c r="AD1867" t="s">
        <v>61</v>
      </c>
      <c r="AE1867" t="s">
        <v>62</v>
      </c>
      <c r="AF1867" t="s">
        <v>62</v>
      </c>
      <c r="AG1867">
        <v>0</v>
      </c>
      <c r="AH1867">
        <v>0</v>
      </c>
      <c r="AI1867">
        <v>7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5</v>
      </c>
      <c r="AT1867">
        <v>0</v>
      </c>
      <c r="AU1867">
        <v>6</v>
      </c>
      <c r="AV1867">
        <v>4</v>
      </c>
      <c r="AW1867">
        <v>10</v>
      </c>
      <c r="AX1867">
        <v>7</v>
      </c>
      <c r="AY1867">
        <v>4</v>
      </c>
      <c r="AZ1867">
        <v>2</v>
      </c>
      <c r="BA1867" t="s">
        <v>3868</v>
      </c>
      <c r="BB1867" t="s">
        <v>3869</v>
      </c>
      <c r="BC1867">
        <v>0.16700000000000001</v>
      </c>
      <c r="BD1867" t="s">
        <v>65</v>
      </c>
      <c r="BE1867">
        <v>14</v>
      </c>
      <c r="BF1867">
        <v>9</v>
      </c>
      <c r="BG1867" t="s">
        <v>3870</v>
      </c>
      <c r="BH1867" t="s">
        <v>3871</v>
      </c>
      <c r="BI1867" t="s">
        <v>3872</v>
      </c>
      <c r="BJ1867">
        <v>0.1522</v>
      </c>
      <c r="BK1867">
        <v>1</v>
      </c>
      <c r="BL1867" t="s">
        <v>69</v>
      </c>
      <c r="BM1867">
        <v>-1.3879999999999999</v>
      </c>
      <c r="BN1867">
        <v>-2.5640000000000001</v>
      </c>
    </row>
    <row r="1868" spans="2:66">
      <c r="B1868">
        <v>3307</v>
      </c>
      <c r="C1868">
        <v>4</v>
      </c>
      <c r="D1868">
        <v>0</v>
      </c>
      <c r="E1868">
        <v>3</v>
      </c>
      <c r="F1868">
        <v>0</v>
      </c>
      <c r="J1868">
        <v>0</v>
      </c>
      <c r="K1868">
        <v>4</v>
      </c>
      <c r="L1868">
        <v>2</v>
      </c>
      <c r="M1868" t="s">
        <v>25022</v>
      </c>
      <c r="N1868">
        <v>601</v>
      </c>
      <c r="O1868" t="s">
        <v>3873</v>
      </c>
      <c r="P1868" t="s">
        <v>57</v>
      </c>
      <c r="Q1868">
        <v>627284</v>
      </c>
      <c r="R1868">
        <v>628609</v>
      </c>
      <c r="S1868" t="s">
        <v>3874</v>
      </c>
      <c r="T1868">
        <v>442</v>
      </c>
      <c r="U1868" t="s">
        <v>3859</v>
      </c>
      <c r="V1868">
        <v>42</v>
      </c>
      <c r="W1868" t="str">
        <f>HYPERLINK("Gene601-zp_tree_all.dnd", "Gene601-tree")</f>
        <v>Gene601-tree</v>
      </c>
      <c r="X1868">
        <v>6</v>
      </c>
      <c r="Y1868">
        <v>8</v>
      </c>
      <c r="Z1868">
        <v>6</v>
      </c>
      <c r="AA1868">
        <v>8</v>
      </c>
      <c r="AB1868">
        <v>0.57142999999999999</v>
      </c>
      <c r="AC1868" t="s">
        <v>90</v>
      </c>
      <c r="AD1868" t="s">
        <v>136</v>
      </c>
      <c r="AE1868" t="s">
        <v>62</v>
      </c>
      <c r="AF1868" t="s">
        <v>62</v>
      </c>
      <c r="AG1868">
        <v>3</v>
      </c>
      <c r="AH1868">
        <v>6</v>
      </c>
      <c r="AI1868">
        <v>8</v>
      </c>
      <c r="AJ1868">
        <v>0.42857000000000001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2</v>
      </c>
      <c r="AQ1868">
        <v>2</v>
      </c>
      <c r="AR1868">
        <v>4</v>
      </c>
      <c r="AS1868">
        <v>8</v>
      </c>
      <c r="AT1868">
        <v>0.33333000000000002</v>
      </c>
      <c r="AU1868">
        <v>12</v>
      </c>
      <c r="AV1868">
        <v>10</v>
      </c>
      <c r="AW1868">
        <v>76</v>
      </c>
      <c r="AX1868">
        <v>13</v>
      </c>
      <c r="AY1868">
        <v>37</v>
      </c>
      <c r="AZ1868">
        <v>2</v>
      </c>
      <c r="BA1868" t="s">
        <v>3875</v>
      </c>
      <c r="BB1868" t="s">
        <v>3876</v>
      </c>
      <c r="BC1868">
        <v>1.288</v>
      </c>
      <c r="BD1868" t="s">
        <v>65</v>
      </c>
      <c r="BE1868">
        <v>113</v>
      </c>
      <c r="BF1868">
        <v>15</v>
      </c>
      <c r="BG1868" t="s">
        <v>3877</v>
      </c>
      <c r="BH1868" t="s">
        <v>3878</v>
      </c>
      <c r="BI1868" t="s">
        <v>3879</v>
      </c>
      <c r="BJ1868">
        <v>3.524E-2</v>
      </c>
      <c r="BK1868">
        <v>1</v>
      </c>
      <c r="BL1868" t="s">
        <v>69</v>
      </c>
      <c r="BM1868">
        <v>-2.1000000000000001E-2</v>
      </c>
      <c r="BN1868">
        <v>-0.54300000000000004</v>
      </c>
    </row>
    <row r="1869" spans="2:66">
      <c r="B1869">
        <v>3308</v>
      </c>
      <c r="C1869">
        <v>57</v>
      </c>
      <c r="D1869">
        <v>0</v>
      </c>
      <c r="E1869">
        <v>0</v>
      </c>
      <c r="F1869">
        <v>2</v>
      </c>
      <c r="J1869">
        <v>2</v>
      </c>
      <c r="K1869">
        <v>15</v>
      </c>
      <c r="L1869">
        <v>3</v>
      </c>
      <c r="M1869" t="s">
        <v>25022</v>
      </c>
      <c r="N1869">
        <v>602</v>
      </c>
      <c r="O1869" t="s">
        <v>3880</v>
      </c>
      <c r="P1869" t="s">
        <v>57</v>
      </c>
      <c r="Q1869">
        <v>628630</v>
      </c>
      <c r="R1869">
        <v>630024</v>
      </c>
      <c r="S1869" t="s">
        <v>3881</v>
      </c>
      <c r="T1869">
        <v>465</v>
      </c>
      <c r="U1869" t="s">
        <v>3859</v>
      </c>
      <c r="V1869">
        <v>42</v>
      </c>
      <c r="W1869" t="str">
        <f>HYPERLINK("Gene602-zp_tree_all.dnd", "Gene602-tree")</f>
        <v>Gene602-tree</v>
      </c>
      <c r="X1869">
        <v>3</v>
      </c>
      <c r="Y1869">
        <v>10</v>
      </c>
      <c r="Z1869">
        <v>3</v>
      </c>
      <c r="AA1869">
        <v>10</v>
      </c>
      <c r="AB1869">
        <v>0.76922999999999997</v>
      </c>
      <c r="AC1869" t="s">
        <v>324</v>
      </c>
      <c r="AD1869" t="s">
        <v>117</v>
      </c>
      <c r="AE1869" t="s">
        <v>62</v>
      </c>
      <c r="AF1869" t="s">
        <v>62</v>
      </c>
      <c r="AG1869">
        <v>9</v>
      </c>
      <c r="AH1869">
        <v>20</v>
      </c>
      <c r="AI1869">
        <v>19</v>
      </c>
      <c r="AJ1869">
        <v>0.51282000000000005</v>
      </c>
      <c r="AK1869">
        <v>0</v>
      </c>
      <c r="AL1869">
        <v>0</v>
      </c>
      <c r="AM1869">
        <v>0</v>
      </c>
      <c r="AN1869">
        <v>5</v>
      </c>
      <c r="AO1869">
        <v>0</v>
      </c>
      <c r="AP1869">
        <v>4</v>
      </c>
      <c r="AQ1869">
        <v>0</v>
      </c>
      <c r="AR1869">
        <v>4</v>
      </c>
      <c r="AS1869">
        <v>25</v>
      </c>
      <c r="AT1869">
        <v>0.13793</v>
      </c>
      <c r="AU1869">
        <v>11</v>
      </c>
      <c r="AV1869">
        <v>10</v>
      </c>
      <c r="AW1869">
        <v>66</v>
      </c>
      <c r="AX1869">
        <v>29</v>
      </c>
      <c r="AY1869">
        <v>51</v>
      </c>
      <c r="AZ1869">
        <v>11</v>
      </c>
      <c r="BA1869" t="s">
        <v>3882</v>
      </c>
      <c r="BB1869" t="s">
        <v>3883</v>
      </c>
      <c r="BC1869">
        <v>0.95299999999999996</v>
      </c>
      <c r="BD1869" t="s">
        <v>65</v>
      </c>
      <c r="BE1869">
        <v>117</v>
      </c>
      <c r="BF1869">
        <v>40</v>
      </c>
      <c r="BG1869" t="s">
        <v>3884</v>
      </c>
      <c r="BH1869" t="s">
        <v>3885</v>
      </c>
      <c r="BI1869" t="s">
        <v>3886</v>
      </c>
      <c r="BJ1869">
        <v>8.054E-2</v>
      </c>
      <c r="BK1869">
        <v>1</v>
      </c>
      <c r="BL1869" t="s">
        <v>69</v>
      </c>
      <c r="BM1869">
        <v>-0.51200000000000001</v>
      </c>
      <c r="BN1869">
        <v>-0.28399999999999997</v>
      </c>
    </row>
    <row r="1870" spans="2:66">
      <c r="B1870">
        <v>3310</v>
      </c>
      <c r="C1870">
        <v>308</v>
      </c>
      <c r="D1870">
        <v>0</v>
      </c>
      <c r="E1870">
        <v>14</v>
      </c>
      <c r="F1870">
        <v>0</v>
      </c>
      <c r="J1870">
        <v>0</v>
      </c>
      <c r="K1870">
        <v>3</v>
      </c>
      <c r="L1870">
        <v>2</v>
      </c>
      <c r="M1870" t="s">
        <v>25022</v>
      </c>
      <c r="N1870">
        <v>603</v>
      </c>
      <c r="O1870" t="s">
        <v>3887</v>
      </c>
      <c r="P1870" t="s">
        <v>57</v>
      </c>
      <c r="Q1870">
        <v>630170</v>
      </c>
      <c r="R1870">
        <v>630880</v>
      </c>
      <c r="S1870" t="s">
        <v>1703</v>
      </c>
      <c r="T1870">
        <v>237</v>
      </c>
      <c r="U1870" t="s">
        <v>409</v>
      </c>
      <c r="V1870">
        <v>45</v>
      </c>
      <c r="W1870" t="str">
        <f>HYPERLINK("Gene603-zp_tree_all.dnd", "Gene603-tree")</f>
        <v>Gene603-tree</v>
      </c>
      <c r="X1870">
        <v>9</v>
      </c>
      <c r="Y1870">
        <v>4</v>
      </c>
      <c r="Z1870">
        <v>9</v>
      </c>
      <c r="AA1870">
        <v>4</v>
      </c>
      <c r="AB1870">
        <v>0.30769000000000002</v>
      </c>
      <c r="AC1870" t="s">
        <v>135</v>
      </c>
      <c r="AD1870" t="s">
        <v>61</v>
      </c>
      <c r="AE1870" t="s">
        <v>62</v>
      </c>
      <c r="AF1870" t="s">
        <v>62</v>
      </c>
      <c r="AG1870">
        <v>2</v>
      </c>
      <c r="AH1870">
        <v>5</v>
      </c>
      <c r="AI1870">
        <v>9</v>
      </c>
      <c r="AJ1870">
        <v>0.35714000000000001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2</v>
      </c>
      <c r="AR1870">
        <v>2</v>
      </c>
      <c r="AS1870">
        <v>4</v>
      </c>
      <c r="AT1870">
        <v>0.33333000000000002</v>
      </c>
      <c r="AU1870">
        <v>11</v>
      </c>
      <c r="AV1870">
        <v>8</v>
      </c>
      <c r="AW1870">
        <v>39</v>
      </c>
      <c r="AX1870">
        <v>6</v>
      </c>
      <c r="AY1870">
        <v>24</v>
      </c>
      <c r="AZ1870">
        <v>8</v>
      </c>
      <c r="BA1870" t="s">
        <v>3888</v>
      </c>
      <c r="BB1870" t="s">
        <v>3889</v>
      </c>
      <c r="BC1870">
        <v>0.41699999999999998</v>
      </c>
      <c r="BD1870" t="s">
        <v>65</v>
      </c>
      <c r="BE1870">
        <v>63</v>
      </c>
      <c r="BF1870">
        <v>14</v>
      </c>
      <c r="BG1870" t="s">
        <v>3890</v>
      </c>
      <c r="BH1870" t="s">
        <v>3891</v>
      </c>
      <c r="BI1870" t="s">
        <v>3892</v>
      </c>
      <c r="BJ1870">
        <v>6.4399999999999999E-2</v>
      </c>
      <c r="BK1870">
        <v>1</v>
      </c>
      <c r="BL1870" t="s">
        <v>69</v>
      </c>
      <c r="BM1870">
        <v>-0.70899999999999996</v>
      </c>
      <c r="BN1870">
        <v>0.37</v>
      </c>
    </row>
    <row r="1871" spans="2:66">
      <c r="B1871">
        <v>3311</v>
      </c>
      <c r="C1871">
        <v>333</v>
      </c>
      <c r="D1871">
        <v>0</v>
      </c>
      <c r="E1871">
        <v>4</v>
      </c>
      <c r="F1871">
        <v>0</v>
      </c>
      <c r="J1871">
        <v>0</v>
      </c>
      <c r="K1871">
        <v>21</v>
      </c>
      <c r="L1871">
        <v>5</v>
      </c>
      <c r="M1871" t="s">
        <v>25022</v>
      </c>
      <c r="N1871">
        <v>604</v>
      </c>
      <c r="O1871" t="s">
        <v>3893</v>
      </c>
      <c r="P1871" t="s">
        <v>57</v>
      </c>
      <c r="Q1871">
        <v>630912</v>
      </c>
      <c r="R1871">
        <v>631808</v>
      </c>
      <c r="S1871" t="s">
        <v>3894</v>
      </c>
      <c r="T1871">
        <v>299</v>
      </c>
      <c r="U1871" t="s">
        <v>3859</v>
      </c>
      <c r="V1871">
        <v>42</v>
      </c>
      <c r="W1871" t="str">
        <f>HYPERLINK("Gene604-zp_tree_all.dnd", "Gene604-tree")</f>
        <v>Gene604-tree</v>
      </c>
      <c r="X1871">
        <v>4</v>
      </c>
      <c r="Y1871">
        <v>9</v>
      </c>
      <c r="Z1871">
        <v>4</v>
      </c>
      <c r="AA1871">
        <v>9</v>
      </c>
      <c r="AB1871">
        <v>0.69230999999999998</v>
      </c>
      <c r="AC1871" t="s">
        <v>61</v>
      </c>
      <c r="AD1871" t="s">
        <v>135</v>
      </c>
      <c r="AE1871" t="s">
        <v>62</v>
      </c>
      <c r="AF1871" t="s">
        <v>62</v>
      </c>
      <c r="AG1871">
        <v>11</v>
      </c>
      <c r="AH1871">
        <v>26</v>
      </c>
      <c r="AI1871">
        <v>21</v>
      </c>
      <c r="AJ1871">
        <v>0.55318999999999996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4</v>
      </c>
      <c r="AQ1871">
        <v>6</v>
      </c>
      <c r="AR1871">
        <v>10</v>
      </c>
      <c r="AS1871">
        <v>20</v>
      </c>
      <c r="AT1871">
        <v>0.33333000000000002</v>
      </c>
      <c r="AU1871">
        <v>11</v>
      </c>
      <c r="AV1871">
        <v>9</v>
      </c>
      <c r="AW1871">
        <v>37</v>
      </c>
      <c r="AX1871">
        <v>33</v>
      </c>
      <c r="AY1871">
        <v>49</v>
      </c>
      <c r="AZ1871">
        <v>21</v>
      </c>
      <c r="BA1871" t="s">
        <v>3895</v>
      </c>
      <c r="BB1871" t="s">
        <v>3896</v>
      </c>
      <c r="BC1871">
        <v>0.79100000000000004</v>
      </c>
      <c r="BD1871" t="s">
        <v>65</v>
      </c>
      <c r="BE1871">
        <v>86</v>
      </c>
      <c r="BF1871">
        <v>54</v>
      </c>
      <c r="BG1871" t="s">
        <v>3897</v>
      </c>
      <c r="BH1871" t="s">
        <v>3898</v>
      </c>
      <c r="BI1871" t="s">
        <v>3899</v>
      </c>
      <c r="BJ1871">
        <v>0.14224000000000001</v>
      </c>
      <c r="BK1871">
        <v>1</v>
      </c>
      <c r="BL1871" t="s">
        <v>69</v>
      </c>
      <c r="BM1871">
        <v>0.38500000000000001</v>
      </c>
      <c r="BN1871">
        <v>-1.056</v>
      </c>
    </row>
    <row r="1872" spans="2:66">
      <c r="B1872">
        <v>3313</v>
      </c>
      <c r="C1872">
        <v>41</v>
      </c>
      <c r="D1872">
        <v>0</v>
      </c>
      <c r="E1872">
        <v>2</v>
      </c>
      <c r="F1872">
        <v>2</v>
      </c>
      <c r="J1872">
        <v>0</v>
      </c>
      <c r="K1872">
        <v>14</v>
      </c>
      <c r="L1872">
        <v>2</v>
      </c>
      <c r="M1872" t="s">
        <v>25022</v>
      </c>
      <c r="N1872">
        <v>605</v>
      </c>
      <c r="O1872" t="s">
        <v>3900</v>
      </c>
      <c r="P1872" t="s">
        <v>57</v>
      </c>
      <c r="Q1872">
        <v>631808</v>
      </c>
      <c r="R1872">
        <v>632752</v>
      </c>
      <c r="S1872" t="s">
        <v>3901</v>
      </c>
      <c r="T1872">
        <v>315</v>
      </c>
      <c r="U1872" t="s">
        <v>3902</v>
      </c>
      <c r="V1872">
        <v>35</v>
      </c>
      <c r="W1872" t="str">
        <f>HYPERLINK("Gene605-zp_tree_all.dnd", "Gene605-tree")</f>
        <v>Gene605-tree</v>
      </c>
      <c r="X1872">
        <v>6</v>
      </c>
      <c r="Y1872">
        <v>8</v>
      </c>
      <c r="Z1872">
        <v>6</v>
      </c>
      <c r="AA1872">
        <v>8</v>
      </c>
      <c r="AB1872">
        <v>0.57142999999999999</v>
      </c>
      <c r="AC1872" t="s">
        <v>90</v>
      </c>
      <c r="AD1872" t="s">
        <v>136</v>
      </c>
      <c r="AE1872" t="s">
        <v>62</v>
      </c>
      <c r="AF1872" t="s">
        <v>62</v>
      </c>
      <c r="AG1872">
        <v>7</v>
      </c>
      <c r="AH1872">
        <v>16</v>
      </c>
      <c r="AI1872">
        <v>14</v>
      </c>
      <c r="AJ1872">
        <v>0.53332999999999997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9</v>
      </c>
      <c r="AQ1872">
        <v>0</v>
      </c>
      <c r="AR1872">
        <v>9</v>
      </c>
      <c r="AS1872">
        <v>14</v>
      </c>
      <c r="AT1872">
        <v>0.39129999999999998</v>
      </c>
      <c r="AU1872">
        <v>11</v>
      </c>
      <c r="AV1872">
        <v>7</v>
      </c>
      <c r="AW1872">
        <v>45</v>
      </c>
      <c r="AX1872">
        <v>21</v>
      </c>
      <c r="AY1872">
        <v>30</v>
      </c>
      <c r="AZ1872">
        <v>10</v>
      </c>
      <c r="BA1872" t="s">
        <v>3903</v>
      </c>
      <c r="BB1872" t="s">
        <v>3904</v>
      </c>
      <c r="BC1872">
        <v>0.59</v>
      </c>
      <c r="BD1872" t="s">
        <v>65</v>
      </c>
      <c r="BE1872">
        <v>75</v>
      </c>
      <c r="BF1872">
        <v>31</v>
      </c>
      <c r="BG1872" t="s">
        <v>3905</v>
      </c>
      <c r="BH1872" t="s">
        <v>3906</v>
      </c>
      <c r="BI1872" t="s">
        <v>3907</v>
      </c>
      <c r="BJ1872">
        <v>0.10086000000000001</v>
      </c>
      <c r="BK1872">
        <v>1</v>
      </c>
      <c r="BL1872" t="s">
        <v>69</v>
      </c>
      <c r="BM1872">
        <v>-0.129</v>
      </c>
      <c r="BN1872">
        <v>-1.1379999999999999</v>
      </c>
    </row>
    <row r="1873" spans="2:66">
      <c r="B1873">
        <v>3314</v>
      </c>
      <c r="C1873">
        <v>735</v>
      </c>
      <c r="D1873">
        <v>3</v>
      </c>
      <c r="E1873">
        <v>120</v>
      </c>
      <c r="F1873">
        <v>9</v>
      </c>
      <c r="J1873">
        <v>0</v>
      </c>
      <c r="K1873">
        <v>19</v>
      </c>
      <c r="L1873">
        <v>3</v>
      </c>
      <c r="M1873" t="s">
        <v>25022</v>
      </c>
      <c r="N1873">
        <v>606</v>
      </c>
      <c r="O1873" t="s">
        <v>3908</v>
      </c>
      <c r="P1873" t="s">
        <v>57</v>
      </c>
      <c r="Q1873">
        <v>632774</v>
      </c>
      <c r="R1873">
        <v>633859</v>
      </c>
      <c r="S1873" t="s">
        <v>3909</v>
      </c>
      <c r="T1873">
        <v>362</v>
      </c>
      <c r="U1873" t="s">
        <v>3859</v>
      </c>
      <c r="V1873">
        <v>42</v>
      </c>
      <c r="W1873" t="str">
        <f>HYPERLINK("Gene606-zp_tree_all.dnd", "Gene606-tree")</f>
        <v>Gene606-tree</v>
      </c>
      <c r="X1873">
        <v>2</v>
      </c>
      <c r="Y1873">
        <v>12</v>
      </c>
      <c r="Z1873">
        <v>2</v>
      </c>
      <c r="AA1873">
        <v>12</v>
      </c>
      <c r="AB1873">
        <v>0.85714000000000001</v>
      </c>
      <c r="AC1873" t="s">
        <v>81</v>
      </c>
      <c r="AD1873" t="s">
        <v>109</v>
      </c>
      <c r="AE1873" t="s">
        <v>62</v>
      </c>
      <c r="AF1873" t="s">
        <v>62</v>
      </c>
      <c r="AG1873">
        <v>8</v>
      </c>
      <c r="AH1873">
        <v>22</v>
      </c>
      <c r="AI1873">
        <v>20</v>
      </c>
      <c r="AJ1873">
        <v>0.52381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8</v>
      </c>
      <c r="AQ1873">
        <v>3</v>
      </c>
      <c r="AR1873">
        <v>11</v>
      </c>
      <c r="AS1873">
        <v>17</v>
      </c>
      <c r="AT1873">
        <v>0.39285999999999999</v>
      </c>
      <c r="AU1873">
        <v>14</v>
      </c>
      <c r="AV1873">
        <v>10</v>
      </c>
      <c r="AW1873">
        <v>45</v>
      </c>
      <c r="AX1873">
        <v>29</v>
      </c>
      <c r="AY1873">
        <v>41</v>
      </c>
      <c r="AZ1873">
        <v>14</v>
      </c>
      <c r="BA1873" t="s">
        <v>3910</v>
      </c>
      <c r="BB1873" t="s">
        <v>3911</v>
      </c>
      <c r="BC1873">
        <v>0.84899999999999998</v>
      </c>
      <c r="BD1873" t="s">
        <v>65</v>
      </c>
      <c r="BE1873">
        <v>86</v>
      </c>
      <c r="BF1873">
        <v>43</v>
      </c>
      <c r="BG1873" t="s">
        <v>3912</v>
      </c>
      <c r="BH1873" t="s">
        <v>3913</v>
      </c>
      <c r="BI1873" t="s">
        <v>3914</v>
      </c>
      <c r="BJ1873">
        <v>0.12145</v>
      </c>
      <c r="BK1873">
        <v>1</v>
      </c>
      <c r="BL1873" t="s">
        <v>69</v>
      </c>
      <c r="BM1873">
        <v>0.124</v>
      </c>
      <c r="BN1873">
        <v>-0.49199999999999999</v>
      </c>
    </row>
    <row r="1874" spans="2:66">
      <c r="B1874">
        <v>3315</v>
      </c>
      <c r="C1874">
        <v>86</v>
      </c>
      <c r="D1874">
        <v>0</v>
      </c>
      <c r="E1874">
        <v>4</v>
      </c>
      <c r="F1874">
        <v>0</v>
      </c>
      <c r="J1874">
        <v>0</v>
      </c>
      <c r="K1874">
        <v>22</v>
      </c>
      <c r="L1874">
        <v>3</v>
      </c>
      <c r="M1874" t="s">
        <v>25022</v>
      </c>
      <c r="N1874">
        <v>609</v>
      </c>
      <c r="O1874" t="s">
        <v>3915</v>
      </c>
      <c r="P1874" t="s">
        <v>57</v>
      </c>
      <c r="Q1874">
        <v>640662</v>
      </c>
      <c r="R1874">
        <v>641636</v>
      </c>
      <c r="S1874" t="s">
        <v>3916</v>
      </c>
      <c r="T1874">
        <v>325</v>
      </c>
      <c r="U1874" t="s">
        <v>108</v>
      </c>
      <c r="V1874">
        <v>44</v>
      </c>
      <c r="W1874" t="str">
        <f>HYPERLINK("Gene609-zp_tree_all.dnd", "Gene609-tree")</f>
        <v>Gene609-tree</v>
      </c>
      <c r="X1874">
        <v>1</v>
      </c>
      <c r="Y1874">
        <v>11</v>
      </c>
      <c r="Z1874">
        <v>1</v>
      </c>
      <c r="AA1874">
        <v>11</v>
      </c>
      <c r="AB1874">
        <v>0.91666999999999998</v>
      </c>
      <c r="AC1874" t="s">
        <v>175</v>
      </c>
      <c r="AD1874" t="s">
        <v>73</v>
      </c>
      <c r="AE1874">
        <v>1144612630.289</v>
      </c>
      <c r="AF1874" t="s">
        <v>267</v>
      </c>
      <c r="AG1874">
        <v>11</v>
      </c>
      <c r="AH1874">
        <v>25</v>
      </c>
      <c r="AI1874">
        <v>19</v>
      </c>
      <c r="AJ1874">
        <v>0.56818000000000002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2</v>
      </c>
      <c r="AQ1874">
        <v>4</v>
      </c>
      <c r="AR1874">
        <v>6</v>
      </c>
      <c r="AS1874">
        <v>23</v>
      </c>
      <c r="AT1874">
        <v>0.2069</v>
      </c>
      <c r="AU1874">
        <v>11</v>
      </c>
      <c r="AV1874">
        <v>8</v>
      </c>
      <c r="AW1874">
        <v>33</v>
      </c>
      <c r="AX1874">
        <v>29</v>
      </c>
      <c r="AY1874">
        <v>22</v>
      </c>
      <c r="AZ1874">
        <v>15</v>
      </c>
      <c r="BA1874" t="s">
        <v>3917</v>
      </c>
      <c r="BB1874" t="s">
        <v>3918</v>
      </c>
      <c r="BC1874">
        <v>0.42599999999999999</v>
      </c>
      <c r="BD1874" t="s">
        <v>65</v>
      </c>
      <c r="BE1874">
        <v>55</v>
      </c>
      <c r="BF1874">
        <v>44</v>
      </c>
      <c r="BG1874" t="s">
        <v>3919</v>
      </c>
      <c r="BH1874" t="s">
        <v>3920</v>
      </c>
      <c r="BI1874" t="s">
        <v>3921</v>
      </c>
      <c r="BJ1874">
        <v>0.21228</v>
      </c>
      <c r="BK1874">
        <v>1</v>
      </c>
      <c r="BL1874" t="s">
        <v>69</v>
      </c>
      <c r="BM1874">
        <v>-4.2999999999999997E-2</v>
      </c>
      <c r="BN1874">
        <v>-0.626</v>
      </c>
    </row>
    <row r="1875" spans="2:66">
      <c r="B1875">
        <v>3316</v>
      </c>
      <c r="C1875">
        <v>269</v>
      </c>
      <c r="D1875">
        <v>0</v>
      </c>
      <c r="E1875">
        <v>8</v>
      </c>
      <c r="F1875">
        <v>0</v>
      </c>
      <c r="J1875">
        <v>0</v>
      </c>
      <c r="K1875">
        <v>4</v>
      </c>
      <c r="L1875">
        <v>0</v>
      </c>
      <c r="M1875" t="s">
        <v>25022</v>
      </c>
      <c r="N1875">
        <v>610</v>
      </c>
      <c r="O1875" t="s">
        <v>3922</v>
      </c>
      <c r="P1875" t="s">
        <v>57</v>
      </c>
      <c r="Q1875">
        <v>641654</v>
      </c>
      <c r="R1875">
        <v>642127</v>
      </c>
      <c r="S1875" t="s">
        <v>3923</v>
      </c>
      <c r="T1875">
        <v>158</v>
      </c>
      <c r="U1875" t="s">
        <v>108</v>
      </c>
      <c r="V1875">
        <v>44</v>
      </c>
      <c r="W1875" t="str">
        <f>HYPERLINK("Gene610-zp_tree_all.dnd", "Gene610-tree")</f>
        <v>Gene610-tree</v>
      </c>
      <c r="X1875">
        <v>2</v>
      </c>
      <c r="Y1875">
        <v>8</v>
      </c>
      <c r="Z1875">
        <v>2</v>
      </c>
      <c r="AA1875">
        <v>8</v>
      </c>
      <c r="AB1875">
        <v>0.8</v>
      </c>
      <c r="AC1875" t="s">
        <v>81</v>
      </c>
      <c r="AD1875" t="s">
        <v>136</v>
      </c>
      <c r="AE1875" t="s">
        <v>62</v>
      </c>
      <c r="AF1875" t="s">
        <v>62</v>
      </c>
      <c r="AG1875">
        <v>2</v>
      </c>
      <c r="AH1875">
        <v>4</v>
      </c>
      <c r="AI1875">
        <v>5</v>
      </c>
      <c r="AJ1875">
        <v>0.44444</v>
      </c>
      <c r="AK1875">
        <v>0</v>
      </c>
      <c r="AL1875">
        <v>0</v>
      </c>
      <c r="AM1875">
        <v>0</v>
      </c>
      <c r="AN1875">
        <v>2</v>
      </c>
      <c r="AO1875">
        <v>0</v>
      </c>
      <c r="AP1875">
        <v>2</v>
      </c>
      <c r="AQ1875">
        <v>0</v>
      </c>
      <c r="AR1875">
        <v>2</v>
      </c>
      <c r="AS1875">
        <v>5</v>
      </c>
      <c r="AT1875">
        <v>0.28571000000000002</v>
      </c>
      <c r="AU1875">
        <v>5</v>
      </c>
      <c r="AV1875">
        <v>4</v>
      </c>
      <c r="AW1875">
        <v>3</v>
      </c>
      <c r="AX1875">
        <v>5</v>
      </c>
      <c r="AY1875">
        <v>3</v>
      </c>
      <c r="AZ1875">
        <v>4</v>
      </c>
      <c r="BA1875" t="s">
        <v>3924</v>
      </c>
      <c r="BB1875" t="s">
        <v>3925</v>
      </c>
      <c r="BC1875">
        <v>0.22600000000000001</v>
      </c>
      <c r="BD1875" t="s">
        <v>65</v>
      </c>
      <c r="BE1875">
        <v>6</v>
      </c>
      <c r="BF1875">
        <v>9</v>
      </c>
      <c r="BG1875" t="s">
        <v>3926</v>
      </c>
      <c r="BH1875" t="s">
        <v>3927</v>
      </c>
      <c r="BI1875" t="s">
        <v>3928</v>
      </c>
      <c r="BJ1875">
        <v>0.38973000000000002</v>
      </c>
      <c r="BK1875">
        <v>0.89700000000000002</v>
      </c>
      <c r="BL1875" t="s">
        <v>635</v>
      </c>
      <c r="BM1875">
        <v>0.23200000000000001</v>
      </c>
      <c r="BN1875">
        <v>-0.61599999999999999</v>
      </c>
    </row>
    <row r="1876" spans="2:66">
      <c r="B1876">
        <v>3317</v>
      </c>
      <c r="C1876">
        <v>174</v>
      </c>
      <c r="D1876">
        <v>0</v>
      </c>
      <c r="E1876">
        <v>12</v>
      </c>
      <c r="F1876">
        <v>1</v>
      </c>
      <c r="J1876">
        <v>0</v>
      </c>
      <c r="K1876">
        <v>2</v>
      </c>
      <c r="L1876">
        <v>1</v>
      </c>
      <c r="M1876" t="s">
        <v>25022</v>
      </c>
      <c r="N1876">
        <v>611</v>
      </c>
      <c r="O1876" t="s">
        <v>3929</v>
      </c>
      <c r="P1876" t="s">
        <v>57</v>
      </c>
      <c r="Q1876">
        <v>642111</v>
      </c>
      <c r="R1876">
        <v>642797</v>
      </c>
      <c r="S1876" t="s">
        <v>3930</v>
      </c>
      <c r="T1876">
        <v>229</v>
      </c>
      <c r="U1876" t="s">
        <v>108</v>
      </c>
      <c r="V1876">
        <v>44</v>
      </c>
      <c r="W1876" t="str">
        <f>HYPERLINK("Gene611-zp_tree_all.dnd", "Gene611-tree")</f>
        <v>Gene611-tree</v>
      </c>
      <c r="X1876">
        <v>11</v>
      </c>
      <c r="Y1876">
        <v>2</v>
      </c>
      <c r="Z1876">
        <v>11</v>
      </c>
      <c r="AA1876">
        <v>2</v>
      </c>
      <c r="AB1876">
        <v>0.15384999999999999</v>
      </c>
      <c r="AC1876" t="s">
        <v>73</v>
      </c>
      <c r="AD1876" t="s">
        <v>81</v>
      </c>
      <c r="AE1876" t="s">
        <v>62</v>
      </c>
      <c r="AF1876" t="s">
        <v>62</v>
      </c>
      <c r="AG1876">
        <v>1</v>
      </c>
      <c r="AH1876">
        <v>3</v>
      </c>
      <c r="AI1876">
        <v>7</v>
      </c>
      <c r="AJ1876">
        <v>0.3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3</v>
      </c>
      <c r="AT1876">
        <v>0</v>
      </c>
      <c r="AU1876">
        <v>10</v>
      </c>
      <c r="AV1876">
        <v>8</v>
      </c>
      <c r="AW1876">
        <v>21</v>
      </c>
      <c r="AX1876">
        <v>3</v>
      </c>
      <c r="AY1876">
        <v>23</v>
      </c>
      <c r="AZ1876">
        <v>7</v>
      </c>
      <c r="BA1876" t="s">
        <v>3931</v>
      </c>
      <c r="BB1876" t="s">
        <v>3932</v>
      </c>
      <c r="BC1876">
        <v>0.61899999999999999</v>
      </c>
      <c r="BD1876" t="s">
        <v>65</v>
      </c>
      <c r="BE1876">
        <v>44</v>
      </c>
      <c r="BF1876">
        <v>10</v>
      </c>
      <c r="BG1876" t="s">
        <v>3933</v>
      </c>
      <c r="BH1876" t="s">
        <v>3934</v>
      </c>
      <c r="BI1876" t="s">
        <v>3935</v>
      </c>
      <c r="BJ1876">
        <v>9.8890000000000006E-2</v>
      </c>
      <c r="BK1876">
        <v>1</v>
      </c>
      <c r="BL1876" t="s">
        <v>69</v>
      </c>
      <c r="BM1876">
        <v>0.29199999999999998</v>
      </c>
      <c r="BN1876">
        <v>-0.432</v>
      </c>
    </row>
    <row r="1877" spans="2:66">
      <c r="B1877">
        <v>3318</v>
      </c>
      <c r="C1877">
        <v>5</v>
      </c>
      <c r="D1877">
        <v>0</v>
      </c>
      <c r="E1877">
        <v>2</v>
      </c>
      <c r="F1877">
        <v>0</v>
      </c>
      <c r="J1877">
        <v>0</v>
      </c>
      <c r="K1877">
        <v>2</v>
      </c>
      <c r="L1877">
        <v>0</v>
      </c>
      <c r="M1877" t="s">
        <v>25022</v>
      </c>
      <c r="N1877">
        <v>612</v>
      </c>
      <c r="O1877" t="s">
        <v>3936</v>
      </c>
      <c r="P1877" t="s">
        <v>57</v>
      </c>
      <c r="Q1877">
        <v>642810</v>
      </c>
      <c r="R1877">
        <v>643262</v>
      </c>
      <c r="S1877" t="s">
        <v>3937</v>
      </c>
      <c r="T1877">
        <v>151</v>
      </c>
      <c r="U1877" t="s">
        <v>572</v>
      </c>
      <c r="V1877">
        <v>48</v>
      </c>
      <c r="W1877" t="str">
        <f>HYPERLINK("Gene612-zp_tree_all.dnd", "Gene612-tree")</f>
        <v>Gene612-tree</v>
      </c>
      <c r="X1877">
        <v>6</v>
      </c>
      <c r="Y1877">
        <v>7</v>
      </c>
      <c r="Z1877">
        <v>6</v>
      </c>
      <c r="AA1877">
        <v>7</v>
      </c>
      <c r="AB1877">
        <v>0.53846000000000005</v>
      </c>
      <c r="AC1877" t="s">
        <v>90</v>
      </c>
      <c r="AD1877" t="s">
        <v>152</v>
      </c>
      <c r="AE1877" t="s">
        <v>62</v>
      </c>
      <c r="AF1877" t="s">
        <v>62</v>
      </c>
      <c r="AG1877">
        <v>1</v>
      </c>
      <c r="AH1877">
        <v>2</v>
      </c>
      <c r="AI1877">
        <v>15</v>
      </c>
      <c r="AJ1877">
        <v>0.11765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10</v>
      </c>
      <c r="AT1877">
        <v>0</v>
      </c>
      <c r="AU1877">
        <v>9</v>
      </c>
      <c r="AV1877">
        <v>6</v>
      </c>
      <c r="AW1877">
        <v>16</v>
      </c>
      <c r="AX1877">
        <v>9</v>
      </c>
      <c r="AY1877">
        <v>18</v>
      </c>
      <c r="AZ1877">
        <v>8</v>
      </c>
      <c r="BA1877" t="s">
        <v>3938</v>
      </c>
      <c r="BB1877" t="s">
        <v>3939</v>
      </c>
      <c r="BC1877">
        <v>0.34300000000000003</v>
      </c>
      <c r="BD1877" t="s">
        <v>65</v>
      </c>
      <c r="BE1877">
        <v>34</v>
      </c>
      <c r="BF1877">
        <v>17</v>
      </c>
      <c r="BG1877" t="s">
        <v>3940</v>
      </c>
      <c r="BH1877" t="s">
        <v>3941</v>
      </c>
      <c r="BI1877" t="s">
        <v>3942</v>
      </c>
      <c r="BJ1877">
        <v>0.13447999999999999</v>
      </c>
      <c r="BK1877">
        <v>1</v>
      </c>
      <c r="BL1877" t="s">
        <v>69</v>
      </c>
      <c r="BM1877">
        <v>-1.536</v>
      </c>
      <c r="BN1877">
        <v>-1.3839999999999999</v>
      </c>
    </row>
    <row r="1878" spans="2:66">
      <c r="B1878">
        <v>3319</v>
      </c>
      <c r="C1878">
        <v>50</v>
      </c>
      <c r="D1878">
        <v>0</v>
      </c>
      <c r="E1878">
        <v>3</v>
      </c>
      <c r="F1878">
        <v>2</v>
      </c>
      <c r="J1878">
        <v>0</v>
      </c>
      <c r="K1878">
        <v>3</v>
      </c>
      <c r="L1878">
        <v>0</v>
      </c>
      <c r="M1878" t="s">
        <v>25022</v>
      </c>
      <c r="N1878">
        <v>613</v>
      </c>
      <c r="O1878" t="s">
        <v>3943</v>
      </c>
      <c r="P1878" t="s">
        <v>57</v>
      </c>
      <c r="Q1878">
        <v>643258</v>
      </c>
      <c r="R1878">
        <v>644295</v>
      </c>
      <c r="S1878" t="s">
        <v>3944</v>
      </c>
      <c r="T1878">
        <v>346</v>
      </c>
      <c r="U1878" t="s">
        <v>108</v>
      </c>
      <c r="V1878">
        <v>44</v>
      </c>
      <c r="W1878" t="str">
        <f>HYPERLINK("Gene613-zp_tree_all.dnd", "Gene613-tree")</f>
        <v>Gene613-tree</v>
      </c>
      <c r="X1878">
        <v>5</v>
      </c>
      <c r="Y1878">
        <v>9</v>
      </c>
      <c r="Z1878">
        <v>5</v>
      </c>
      <c r="AA1878">
        <v>9</v>
      </c>
      <c r="AB1878">
        <v>0.64285999999999999</v>
      </c>
      <c r="AC1878" t="s">
        <v>199</v>
      </c>
      <c r="AD1878" t="s">
        <v>135</v>
      </c>
      <c r="AE1878" t="s">
        <v>62</v>
      </c>
      <c r="AF1878" t="s">
        <v>62</v>
      </c>
      <c r="AG1878">
        <v>1</v>
      </c>
      <c r="AH1878">
        <v>3</v>
      </c>
      <c r="AI1878">
        <v>8</v>
      </c>
      <c r="AJ1878">
        <v>0.27272999999999997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3</v>
      </c>
      <c r="AQ1878">
        <v>0</v>
      </c>
      <c r="AR1878">
        <v>3</v>
      </c>
      <c r="AS1878">
        <v>8</v>
      </c>
      <c r="AT1878">
        <v>0.27272999999999997</v>
      </c>
      <c r="AU1878">
        <v>12</v>
      </c>
      <c r="AV1878">
        <v>6</v>
      </c>
      <c r="AW1878">
        <v>13</v>
      </c>
      <c r="AX1878">
        <v>10</v>
      </c>
      <c r="AY1878">
        <v>12</v>
      </c>
      <c r="AZ1878">
        <v>1</v>
      </c>
      <c r="BA1878" t="s">
        <v>3945</v>
      </c>
      <c r="BB1878" t="s">
        <v>3946</v>
      </c>
      <c r="BC1878">
        <v>1.3160000000000001</v>
      </c>
      <c r="BD1878" t="s">
        <v>65</v>
      </c>
      <c r="BE1878">
        <v>25</v>
      </c>
      <c r="BF1878">
        <v>11</v>
      </c>
      <c r="BG1878" t="s">
        <v>3947</v>
      </c>
      <c r="BH1878" t="s">
        <v>3948</v>
      </c>
      <c r="BI1878" t="s">
        <v>3949</v>
      </c>
      <c r="BJ1878">
        <v>8.7359999999999993E-2</v>
      </c>
      <c r="BK1878">
        <v>1</v>
      </c>
      <c r="BL1878" t="s">
        <v>69</v>
      </c>
      <c r="BM1878">
        <v>-1.3320000000000001</v>
      </c>
      <c r="BN1878">
        <v>-2.0539999999999998</v>
      </c>
    </row>
    <row r="1879" spans="2:66">
      <c r="B1879">
        <v>3320</v>
      </c>
      <c r="C1879">
        <v>32</v>
      </c>
      <c r="D1879">
        <v>0</v>
      </c>
      <c r="E1879">
        <v>2</v>
      </c>
      <c r="F1879">
        <v>0</v>
      </c>
      <c r="J1879">
        <v>0</v>
      </c>
      <c r="K1879">
        <v>0</v>
      </c>
      <c r="L1879">
        <v>2</v>
      </c>
      <c r="M1879" t="s">
        <v>25022</v>
      </c>
      <c r="N1879">
        <v>615</v>
      </c>
      <c r="O1879" t="s">
        <v>3958</v>
      </c>
      <c r="P1879" t="s">
        <v>57</v>
      </c>
      <c r="Q1879">
        <v>646582</v>
      </c>
      <c r="R1879">
        <v>647091</v>
      </c>
      <c r="S1879" t="s">
        <v>3959</v>
      </c>
      <c r="T1879">
        <v>170</v>
      </c>
      <c r="U1879" t="s">
        <v>59</v>
      </c>
      <c r="V1879">
        <v>49</v>
      </c>
      <c r="W1879" t="str">
        <f>HYPERLINK("Gene615-zp_tree_all.dnd", "Gene615-tree")</f>
        <v>Gene615-tree</v>
      </c>
      <c r="X1879">
        <v>15</v>
      </c>
      <c r="Y1879">
        <v>4</v>
      </c>
      <c r="Z1879">
        <v>15</v>
      </c>
      <c r="AA1879">
        <v>4</v>
      </c>
      <c r="AB1879">
        <v>0.21052999999999999</v>
      </c>
      <c r="AC1879" t="s">
        <v>100</v>
      </c>
      <c r="AD1879" t="s">
        <v>61</v>
      </c>
      <c r="AE1879" t="s">
        <v>62</v>
      </c>
      <c r="AF1879" t="s">
        <v>62</v>
      </c>
      <c r="AG1879">
        <v>1</v>
      </c>
      <c r="AH1879">
        <v>2</v>
      </c>
      <c r="AI1879">
        <v>4</v>
      </c>
      <c r="AJ1879">
        <v>0.33333000000000002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2</v>
      </c>
      <c r="AR1879">
        <v>2</v>
      </c>
      <c r="AS1879">
        <v>3</v>
      </c>
      <c r="AT1879">
        <v>0.4</v>
      </c>
      <c r="AU1879">
        <v>15</v>
      </c>
      <c r="AV1879">
        <v>10</v>
      </c>
      <c r="AW1879">
        <v>32</v>
      </c>
      <c r="AX1879">
        <v>5</v>
      </c>
      <c r="AY1879">
        <v>19</v>
      </c>
      <c r="AZ1879">
        <v>1</v>
      </c>
      <c r="BA1879" t="s">
        <v>3960</v>
      </c>
      <c r="BB1879" t="s">
        <v>3961</v>
      </c>
      <c r="BC1879">
        <v>0.45100000000000001</v>
      </c>
      <c r="BD1879" t="s">
        <v>65</v>
      </c>
      <c r="BE1879">
        <v>51</v>
      </c>
      <c r="BF1879">
        <v>6</v>
      </c>
      <c r="BG1879" t="s">
        <v>3962</v>
      </c>
      <c r="BH1879" t="s">
        <v>3963</v>
      </c>
      <c r="BI1879" t="s">
        <v>3964</v>
      </c>
      <c r="BJ1879">
        <v>2.545E-2</v>
      </c>
      <c r="BK1879">
        <v>1</v>
      </c>
      <c r="BL1879" t="s">
        <v>69</v>
      </c>
      <c r="BM1879">
        <v>-1.131</v>
      </c>
      <c r="BN1879">
        <v>-2.6890000000000001</v>
      </c>
    </row>
    <row r="1880" spans="2:66">
      <c r="B1880">
        <v>3321</v>
      </c>
      <c r="C1880">
        <v>105</v>
      </c>
      <c r="D1880">
        <v>0</v>
      </c>
      <c r="E1880">
        <v>0</v>
      </c>
      <c r="F1880">
        <v>4</v>
      </c>
      <c r="J1880">
        <v>0</v>
      </c>
      <c r="K1880">
        <v>0</v>
      </c>
      <c r="L1880">
        <v>0</v>
      </c>
      <c r="M1880" t="s">
        <v>25022</v>
      </c>
      <c r="N1880">
        <v>616</v>
      </c>
      <c r="O1880" t="s">
        <v>3965</v>
      </c>
      <c r="P1880" t="s">
        <v>57</v>
      </c>
      <c r="Q1880">
        <v>647091</v>
      </c>
      <c r="R1880">
        <v>647735</v>
      </c>
      <c r="S1880" t="s">
        <v>3966</v>
      </c>
      <c r="T1880">
        <v>215</v>
      </c>
      <c r="U1880" t="s">
        <v>59</v>
      </c>
      <c r="V1880">
        <v>49</v>
      </c>
      <c r="W1880" t="str">
        <f>HYPERLINK("Gene616-zp_tree_all.dnd", "Gene616-tree")</f>
        <v>Gene616-tree</v>
      </c>
      <c r="X1880">
        <v>18</v>
      </c>
      <c r="Y1880">
        <v>0</v>
      </c>
      <c r="Z1880">
        <v>18</v>
      </c>
      <c r="AA1880">
        <v>0</v>
      </c>
      <c r="AB1880">
        <v>0</v>
      </c>
      <c r="AC1880" t="s">
        <v>144</v>
      </c>
      <c r="AD1880" t="s">
        <v>62</v>
      </c>
      <c r="AE1880" t="s">
        <v>62</v>
      </c>
      <c r="AF1880" t="s">
        <v>62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13</v>
      </c>
      <c r="AV1880">
        <v>10</v>
      </c>
      <c r="AW1880">
        <v>26</v>
      </c>
      <c r="AX1880">
        <v>0</v>
      </c>
      <c r="AY1880">
        <v>20</v>
      </c>
      <c r="AZ1880">
        <v>1</v>
      </c>
      <c r="BA1880" t="s">
        <v>193</v>
      </c>
      <c r="BB1880" t="s">
        <v>3967</v>
      </c>
      <c r="BC1880">
        <v>0.32200000000000001</v>
      </c>
      <c r="BD1880" t="s">
        <v>65</v>
      </c>
      <c r="BE1880">
        <v>46</v>
      </c>
      <c r="BF1880">
        <v>1</v>
      </c>
      <c r="BG1880" t="s">
        <v>3968</v>
      </c>
      <c r="BH1880" t="s">
        <v>3969</v>
      </c>
      <c r="BI1880" t="s">
        <v>3970</v>
      </c>
      <c r="BJ1880">
        <v>1.362E-2</v>
      </c>
      <c r="BK1880">
        <v>1</v>
      </c>
      <c r="BL1880" t="s">
        <v>69</v>
      </c>
      <c r="BM1880">
        <v>-1.399</v>
      </c>
      <c r="BN1880">
        <v>-1.8480000000000001</v>
      </c>
    </row>
    <row r="1881" spans="2:66">
      <c r="B1881">
        <v>3323</v>
      </c>
      <c r="C1881">
        <v>430</v>
      </c>
      <c r="D1881">
        <v>0</v>
      </c>
      <c r="E1881">
        <v>2</v>
      </c>
      <c r="F1881">
        <v>0</v>
      </c>
      <c r="J1881">
        <v>0</v>
      </c>
      <c r="K1881">
        <v>0</v>
      </c>
      <c r="L1881">
        <v>0</v>
      </c>
      <c r="M1881" t="s">
        <v>25022</v>
      </c>
      <c r="N1881">
        <v>617</v>
      </c>
      <c r="O1881" t="s">
        <v>3971</v>
      </c>
      <c r="P1881" t="s">
        <v>57</v>
      </c>
      <c r="Q1881">
        <v>647760</v>
      </c>
      <c r="R1881">
        <v>647930</v>
      </c>
      <c r="S1881" t="s">
        <v>1803</v>
      </c>
      <c r="T1881">
        <v>57</v>
      </c>
      <c r="U1881" t="s">
        <v>59</v>
      </c>
      <c r="V1881">
        <v>49</v>
      </c>
      <c r="W1881" t="str">
        <f>HYPERLINK("Gene617-zp_tree_all.dnd", "Gene617-tree")</f>
        <v>Gene617-tree</v>
      </c>
      <c r="X1881">
        <v>13</v>
      </c>
      <c r="Y1881">
        <v>0</v>
      </c>
      <c r="Z1881">
        <v>13</v>
      </c>
      <c r="AA1881">
        <v>0</v>
      </c>
      <c r="AB1881">
        <v>0</v>
      </c>
      <c r="AC1881" t="s">
        <v>507</v>
      </c>
      <c r="AD1881" t="s">
        <v>62</v>
      </c>
      <c r="AE1881" t="s">
        <v>62</v>
      </c>
      <c r="AF1881" t="s">
        <v>62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8</v>
      </c>
      <c r="AV1881">
        <v>6</v>
      </c>
      <c r="AW1881">
        <v>10</v>
      </c>
      <c r="AX1881">
        <v>0</v>
      </c>
      <c r="AY1881">
        <v>11</v>
      </c>
      <c r="AZ1881">
        <v>1</v>
      </c>
      <c r="BA1881" t="s">
        <v>193</v>
      </c>
      <c r="BB1881" t="s">
        <v>3972</v>
      </c>
      <c r="BC1881">
        <v>0.42299999999999999</v>
      </c>
      <c r="BD1881" t="s">
        <v>65</v>
      </c>
      <c r="BE1881">
        <v>21</v>
      </c>
      <c r="BF1881">
        <v>1</v>
      </c>
      <c r="BG1881" t="s">
        <v>3973</v>
      </c>
      <c r="BH1881" t="s">
        <v>3974</v>
      </c>
      <c r="BI1881" t="s">
        <v>3975</v>
      </c>
      <c r="BJ1881">
        <v>2.9770000000000001E-2</v>
      </c>
      <c r="BK1881">
        <v>1</v>
      </c>
      <c r="BL1881" t="s">
        <v>69</v>
      </c>
      <c r="BM1881">
        <v>-1.1120000000000001</v>
      </c>
      <c r="BN1881">
        <v>-2.327</v>
      </c>
    </row>
    <row r="1882" spans="2:66">
      <c r="B1882">
        <v>3324</v>
      </c>
      <c r="C1882">
        <v>67</v>
      </c>
      <c r="D1882">
        <v>0</v>
      </c>
      <c r="E1882">
        <v>5</v>
      </c>
      <c r="F1882">
        <v>3</v>
      </c>
      <c r="J1882">
        <v>0</v>
      </c>
      <c r="K1882">
        <v>3</v>
      </c>
      <c r="L1882">
        <v>0</v>
      </c>
      <c r="M1882" t="s">
        <v>25022</v>
      </c>
      <c r="N1882">
        <v>618</v>
      </c>
      <c r="O1882" t="s">
        <v>3976</v>
      </c>
      <c r="P1882" t="s">
        <v>57</v>
      </c>
      <c r="Q1882">
        <v>647940</v>
      </c>
      <c r="R1882">
        <v>648701</v>
      </c>
      <c r="S1882" t="s">
        <v>1803</v>
      </c>
      <c r="T1882">
        <v>254</v>
      </c>
      <c r="U1882" t="s">
        <v>289</v>
      </c>
      <c r="V1882">
        <v>46</v>
      </c>
      <c r="W1882" t="str">
        <f>HYPERLINK("Gene618-zp_tree_all.dnd", "Gene618-tree")</f>
        <v>Gene618-tree</v>
      </c>
      <c r="X1882">
        <v>9</v>
      </c>
      <c r="Y1882">
        <v>24</v>
      </c>
      <c r="Z1882">
        <v>9</v>
      </c>
      <c r="AA1882">
        <v>7</v>
      </c>
      <c r="AB1882">
        <v>0.4375</v>
      </c>
      <c r="AC1882" t="s">
        <v>135</v>
      </c>
      <c r="AD1882" t="s">
        <v>638</v>
      </c>
      <c r="AE1882">
        <v>3.6880000000000002</v>
      </c>
      <c r="AF1882" t="s">
        <v>65</v>
      </c>
      <c r="AG1882">
        <v>1</v>
      </c>
      <c r="AH1882">
        <v>3</v>
      </c>
      <c r="AI1882">
        <v>6</v>
      </c>
      <c r="AJ1882">
        <v>0.33333000000000002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6</v>
      </c>
      <c r="AT1882">
        <v>0</v>
      </c>
      <c r="AU1882">
        <v>13</v>
      </c>
      <c r="AV1882">
        <v>12</v>
      </c>
      <c r="AW1882">
        <v>32</v>
      </c>
      <c r="AX1882">
        <v>6</v>
      </c>
      <c r="AY1882">
        <v>46</v>
      </c>
      <c r="AZ1882">
        <v>3</v>
      </c>
      <c r="BA1882" t="s">
        <v>3977</v>
      </c>
      <c r="BB1882" t="s">
        <v>3978</v>
      </c>
      <c r="BC1882">
        <v>1.107</v>
      </c>
      <c r="BD1882" t="s">
        <v>65</v>
      </c>
      <c r="BE1882">
        <v>78</v>
      </c>
      <c r="BF1882">
        <v>9</v>
      </c>
      <c r="BG1882" t="s">
        <v>3979</v>
      </c>
      <c r="BH1882" t="s">
        <v>3980</v>
      </c>
      <c r="BI1882" t="s">
        <v>3981</v>
      </c>
      <c r="BJ1882">
        <v>2.8420000000000001E-2</v>
      </c>
      <c r="BK1882">
        <v>1</v>
      </c>
      <c r="BL1882" t="s">
        <v>69</v>
      </c>
      <c r="BM1882">
        <v>-0.48699999999999999</v>
      </c>
      <c r="BN1882">
        <v>-1.266</v>
      </c>
    </row>
    <row r="1883" spans="2:66">
      <c r="B1883">
        <v>3326</v>
      </c>
      <c r="C1883">
        <v>53</v>
      </c>
      <c r="D1883">
        <v>0</v>
      </c>
      <c r="E1883">
        <v>4</v>
      </c>
      <c r="F1883">
        <v>0</v>
      </c>
      <c r="J1883">
        <v>0</v>
      </c>
      <c r="K1883">
        <v>0</v>
      </c>
      <c r="L1883">
        <v>0</v>
      </c>
      <c r="M1883" t="s">
        <v>25022</v>
      </c>
      <c r="N1883">
        <v>621</v>
      </c>
      <c r="O1883" t="s">
        <v>3991</v>
      </c>
      <c r="P1883" t="s">
        <v>57</v>
      </c>
      <c r="Q1883">
        <v>649903</v>
      </c>
      <c r="R1883">
        <v>650184</v>
      </c>
      <c r="S1883" t="s">
        <v>3992</v>
      </c>
      <c r="T1883">
        <v>94</v>
      </c>
      <c r="U1883" t="s">
        <v>515</v>
      </c>
      <c r="V1883">
        <v>51</v>
      </c>
      <c r="W1883" t="str">
        <f>HYPERLINK("Gene621-zp_tree_all.dnd", "Gene621-tree")</f>
        <v>Gene621-tree</v>
      </c>
      <c r="X1883">
        <v>41</v>
      </c>
      <c r="Y1883">
        <v>0</v>
      </c>
      <c r="Z1883">
        <v>6</v>
      </c>
      <c r="AA1883">
        <v>0</v>
      </c>
      <c r="AB1883">
        <v>0</v>
      </c>
      <c r="AC1883" t="s">
        <v>3993</v>
      </c>
      <c r="AD1883" t="s">
        <v>62</v>
      </c>
      <c r="AE1883" t="s">
        <v>62</v>
      </c>
      <c r="AF1883" t="s">
        <v>62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4</v>
      </c>
      <c r="AV1883">
        <v>1</v>
      </c>
      <c r="AW1883">
        <v>4</v>
      </c>
      <c r="AX1883">
        <v>0</v>
      </c>
      <c r="AY1883">
        <v>8</v>
      </c>
      <c r="AZ1883">
        <v>0</v>
      </c>
      <c r="BA1883" t="s">
        <v>193</v>
      </c>
      <c r="BB1883" t="s">
        <v>193</v>
      </c>
      <c r="BC1883">
        <v>0</v>
      </c>
      <c r="BD1883" t="s">
        <v>65</v>
      </c>
      <c r="BE1883">
        <v>12</v>
      </c>
      <c r="BF1883">
        <v>0</v>
      </c>
      <c r="BG1883" t="s">
        <v>3994</v>
      </c>
      <c r="BH1883" t="s">
        <v>3995</v>
      </c>
      <c r="BI1883" t="s">
        <v>193</v>
      </c>
      <c r="BJ1883">
        <v>0</v>
      </c>
      <c r="BK1883">
        <v>1</v>
      </c>
      <c r="BL1883" t="s">
        <v>69</v>
      </c>
      <c r="BM1883">
        <v>-1.72</v>
      </c>
      <c r="BN1883">
        <v>0.39100000000000001</v>
      </c>
    </row>
    <row r="1884" spans="2:66">
      <c r="B1884">
        <v>3327</v>
      </c>
      <c r="C1884">
        <v>41</v>
      </c>
      <c r="D1884">
        <v>0</v>
      </c>
      <c r="E1884">
        <v>3</v>
      </c>
      <c r="F1884">
        <v>1</v>
      </c>
      <c r="J1884">
        <v>0</v>
      </c>
      <c r="K1884">
        <v>4</v>
      </c>
      <c r="L1884">
        <v>2</v>
      </c>
      <c r="M1884" t="s">
        <v>25022</v>
      </c>
      <c r="N1884">
        <v>622</v>
      </c>
      <c r="O1884" t="s">
        <v>3996</v>
      </c>
      <c r="P1884" t="s">
        <v>57</v>
      </c>
      <c r="Q1884">
        <v>650234</v>
      </c>
      <c r="R1884">
        <v>651865</v>
      </c>
      <c r="S1884" t="s">
        <v>3997</v>
      </c>
      <c r="T1884">
        <v>544</v>
      </c>
      <c r="U1884" t="s">
        <v>59</v>
      </c>
      <c r="V1884">
        <v>49</v>
      </c>
      <c r="W1884" t="str">
        <f>HYPERLINK("Gene622-zp_tree_all.dnd", "Gene622-tree")</f>
        <v>Gene622-tree</v>
      </c>
      <c r="X1884">
        <v>14</v>
      </c>
      <c r="Y1884">
        <v>6</v>
      </c>
      <c r="Z1884">
        <v>14</v>
      </c>
      <c r="AA1884">
        <v>6</v>
      </c>
      <c r="AB1884">
        <v>0.3</v>
      </c>
      <c r="AC1884" t="s">
        <v>543</v>
      </c>
      <c r="AD1884" t="s">
        <v>90</v>
      </c>
      <c r="AE1884" t="s">
        <v>62</v>
      </c>
      <c r="AF1884" t="s">
        <v>62</v>
      </c>
      <c r="AG1884">
        <v>3</v>
      </c>
      <c r="AH1884">
        <v>6</v>
      </c>
      <c r="AI1884">
        <v>11</v>
      </c>
      <c r="AJ1884">
        <v>0.35293999999999998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13</v>
      </c>
      <c r="AT1884">
        <v>0</v>
      </c>
      <c r="AU1884">
        <v>19</v>
      </c>
      <c r="AV1884">
        <v>16</v>
      </c>
      <c r="AW1884">
        <v>138</v>
      </c>
      <c r="AX1884">
        <v>14</v>
      </c>
      <c r="AY1884">
        <v>55</v>
      </c>
      <c r="AZ1884">
        <v>4</v>
      </c>
      <c r="BA1884" t="s">
        <v>3998</v>
      </c>
      <c r="BB1884" t="s">
        <v>3999</v>
      </c>
      <c r="BC1884">
        <v>0.13700000000000001</v>
      </c>
      <c r="BD1884" t="s">
        <v>65</v>
      </c>
      <c r="BE1884">
        <v>193</v>
      </c>
      <c r="BF1884">
        <v>18</v>
      </c>
      <c r="BG1884" t="s">
        <v>4000</v>
      </c>
      <c r="BH1884" t="s">
        <v>4001</v>
      </c>
      <c r="BI1884" t="s">
        <v>1201</v>
      </c>
      <c r="BJ1884">
        <v>3.1969999999999998E-2</v>
      </c>
      <c r="BK1884">
        <v>1</v>
      </c>
      <c r="BL1884" t="s">
        <v>69</v>
      </c>
      <c r="BM1884">
        <v>-1.3029999999999999</v>
      </c>
      <c r="BN1884">
        <v>-3.6440000000000001</v>
      </c>
    </row>
    <row r="1885" spans="2:66">
      <c r="B1885">
        <v>3328</v>
      </c>
      <c r="C1885">
        <v>90</v>
      </c>
      <c r="D1885">
        <v>0</v>
      </c>
      <c r="E1885">
        <v>3</v>
      </c>
      <c r="F1885">
        <v>0</v>
      </c>
      <c r="J1885">
        <v>0</v>
      </c>
      <c r="K1885">
        <v>8</v>
      </c>
      <c r="L1885">
        <v>0</v>
      </c>
      <c r="M1885" t="s">
        <v>25022</v>
      </c>
      <c r="N1885">
        <v>647</v>
      </c>
      <c r="O1885" t="s">
        <v>4011</v>
      </c>
      <c r="P1885" t="s">
        <v>57</v>
      </c>
      <c r="Q1885">
        <v>667466</v>
      </c>
      <c r="R1885">
        <v>668524</v>
      </c>
      <c r="S1885" t="s">
        <v>4012</v>
      </c>
      <c r="T1885">
        <v>353</v>
      </c>
      <c r="U1885" t="s">
        <v>4013</v>
      </c>
      <c r="V1885">
        <v>43</v>
      </c>
      <c r="W1885" t="str">
        <f>HYPERLINK("Gene647-zp_tree_all.dnd", "Gene647-tree")</f>
        <v>Gene647-tree</v>
      </c>
      <c r="X1885">
        <v>3</v>
      </c>
      <c r="Y1885">
        <v>9</v>
      </c>
      <c r="Z1885">
        <v>3</v>
      </c>
      <c r="AA1885">
        <v>9</v>
      </c>
      <c r="AB1885">
        <v>0.75</v>
      </c>
      <c r="AC1885" t="s">
        <v>324</v>
      </c>
      <c r="AD1885" t="s">
        <v>135</v>
      </c>
      <c r="AE1885" t="s">
        <v>62</v>
      </c>
      <c r="AF1885" t="s">
        <v>62</v>
      </c>
      <c r="AG1885">
        <v>3</v>
      </c>
      <c r="AH1885">
        <v>8</v>
      </c>
      <c r="AI1885">
        <v>12</v>
      </c>
      <c r="AJ1885">
        <v>0.4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2</v>
      </c>
      <c r="AQ1885">
        <v>0</v>
      </c>
      <c r="AR1885">
        <v>2</v>
      </c>
      <c r="AS1885">
        <v>13</v>
      </c>
      <c r="AT1885">
        <v>0.13333</v>
      </c>
      <c r="AU1885">
        <v>11</v>
      </c>
      <c r="AV1885">
        <v>9</v>
      </c>
      <c r="AW1885">
        <v>82</v>
      </c>
      <c r="AX1885">
        <v>16</v>
      </c>
      <c r="AY1885">
        <v>51</v>
      </c>
      <c r="AZ1885">
        <v>5</v>
      </c>
      <c r="BA1885" t="s">
        <v>4014</v>
      </c>
      <c r="BB1885" t="s">
        <v>4015</v>
      </c>
      <c r="BC1885">
        <v>0.82499999999999996</v>
      </c>
      <c r="BD1885" t="s">
        <v>65</v>
      </c>
      <c r="BE1885">
        <v>133</v>
      </c>
      <c r="BF1885">
        <v>21</v>
      </c>
      <c r="BG1885" t="s">
        <v>4016</v>
      </c>
      <c r="BH1885" t="s">
        <v>4017</v>
      </c>
      <c r="BI1885" t="s">
        <v>4018</v>
      </c>
      <c r="BJ1885">
        <v>4.215E-2</v>
      </c>
      <c r="BK1885">
        <v>1</v>
      </c>
      <c r="BL1885" t="s">
        <v>69</v>
      </c>
      <c r="BM1885">
        <v>-0.67900000000000005</v>
      </c>
      <c r="BN1885">
        <v>-1.18</v>
      </c>
    </row>
    <row r="1886" spans="2:66">
      <c r="B1886">
        <v>3329</v>
      </c>
      <c r="C1886">
        <v>219</v>
      </c>
      <c r="D1886">
        <v>0</v>
      </c>
      <c r="E1886">
        <v>5</v>
      </c>
      <c r="F1886">
        <v>0</v>
      </c>
      <c r="J1886">
        <v>0</v>
      </c>
      <c r="K1886">
        <v>22</v>
      </c>
      <c r="L1886">
        <v>1</v>
      </c>
      <c r="M1886" t="s">
        <v>25022</v>
      </c>
      <c r="N1886">
        <v>648</v>
      </c>
      <c r="O1886" t="s">
        <v>4019</v>
      </c>
      <c r="P1886" t="s">
        <v>57</v>
      </c>
      <c r="Q1886">
        <v>668601</v>
      </c>
      <c r="R1886">
        <v>669989</v>
      </c>
      <c r="S1886" t="s">
        <v>4020</v>
      </c>
      <c r="T1886">
        <v>463</v>
      </c>
      <c r="U1886" t="s">
        <v>4013</v>
      </c>
      <c r="V1886">
        <v>43</v>
      </c>
      <c r="W1886" t="str">
        <f>HYPERLINK("Gene648-zp_tree_all.dnd", "Gene648-tree")</f>
        <v>Gene648-tree</v>
      </c>
      <c r="X1886">
        <v>2</v>
      </c>
      <c r="Y1886">
        <v>10</v>
      </c>
      <c r="Z1886">
        <v>2</v>
      </c>
      <c r="AA1886">
        <v>10</v>
      </c>
      <c r="AB1886">
        <v>0.83333000000000002</v>
      </c>
      <c r="AC1886" t="s">
        <v>81</v>
      </c>
      <c r="AD1886" t="s">
        <v>117</v>
      </c>
      <c r="AE1886" t="s">
        <v>62</v>
      </c>
      <c r="AF1886" t="s">
        <v>62</v>
      </c>
      <c r="AG1886">
        <v>9</v>
      </c>
      <c r="AH1886">
        <v>23</v>
      </c>
      <c r="AI1886">
        <v>9</v>
      </c>
      <c r="AJ1886">
        <v>0.71875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14</v>
      </c>
      <c r="AQ1886">
        <v>0</v>
      </c>
      <c r="AR1886">
        <v>14</v>
      </c>
      <c r="AS1886">
        <v>11</v>
      </c>
      <c r="AT1886">
        <v>0.56000000000000005</v>
      </c>
      <c r="AU1886">
        <v>12</v>
      </c>
      <c r="AV1886">
        <v>9</v>
      </c>
      <c r="AW1886">
        <v>92</v>
      </c>
      <c r="AX1886">
        <v>25</v>
      </c>
      <c r="AY1886">
        <v>47</v>
      </c>
      <c r="AZ1886">
        <v>7</v>
      </c>
      <c r="BA1886" t="s">
        <v>4021</v>
      </c>
      <c r="BB1886" t="s">
        <v>4022</v>
      </c>
      <c r="BC1886">
        <v>0.70499999999999996</v>
      </c>
      <c r="BD1886" t="s">
        <v>65</v>
      </c>
      <c r="BE1886">
        <v>139</v>
      </c>
      <c r="BF1886">
        <v>32</v>
      </c>
      <c r="BG1886" t="s">
        <v>4023</v>
      </c>
      <c r="BH1886" t="s">
        <v>4024</v>
      </c>
      <c r="BI1886" t="s">
        <v>4025</v>
      </c>
      <c r="BJ1886">
        <v>6.5310000000000007E-2</v>
      </c>
      <c r="BK1886">
        <v>1</v>
      </c>
      <c r="BL1886" t="s">
        <v>69</v>
      </c>
      <c r="BM1886">
        <v>-8.5000000000000006E-2</v>
      </c>
      <c r="BN1886">
        <v>-0.629</v>
      </c>
    </row>
    <row r="1887" spans="2:66">
      <c r="B1887">
        <v>3331</v>
      </c>
      <c r="C1887">
        <v>96</v>
      </c>
      <c r="D1887">
        <v>0</v>
      </c>
      <c r="E1887">
        <v>7</v>
      </c>
      <c r="F1887">
        <v>7</v>
      </c>
      <c r="J1887">
        <v>0</v>
      </c>
      <c r="K1887">
        <v>19</v>
      </c>
      <c r="L1887">
        <v>0</v>
      </c>
      <c r="M1887" t="s">
        <v>25022</v>
      </c>
      <c r="N1887">
        <v>649</v>
      </c>
      <c r="O1887" t="s">
        <v>4026</v>
      </c>
      <c r="P1887" t="s">
        <v>57</v>
      </c>
      <c r="Q1887">
        <v>670087</v>
      </c>
      <c r="R1887">
        <v>671046</v>
      </c>
      <c r="S1887" t="s">
        <v>4027</v>
      </c>
      <c r="T1887">
        <v>320</v>
      </c>
      <c r="U1887" t="s">
        <v>4013</v>
      </c>
      <c r="V1887">
        <v>43</v>
      </c>
      <c r="W1887" t="str">
        <f>HYPERLINK("Gene649-zp_tree_all.dnd", "Gene649-tree")</f>
        <v>Gene649-tree</v>
      </c>
      <c r="X1887">
        <v>5</v>
      </c>
      <c r="Y1887">
        <v>10</v>
      </c>
      <c r="Z1887">
        <v>5</v>
      </c>
      <c r="AA1887">
        <v>10</v>
      </c>
      <c r="AB1887">
        <v>0.66666999999999998</v>
      </c>
      <c r="AC1887" t="s">
        <v>199</v>
      </c>
      <c r="AD1887" t="s">
        <v>117</v>
      </c>
      <c r="AE1887" t="s">
        <v>62</v>
      </c>
      <c r="AF1887" t="s">
        <v>62</v>
      </c>
      <c r="AG1887">
        <v>8</v>
      </c>
      <c r="AH1887">
        <v>19</v>
      </c>
      <c r="AI1887">
        <v>15</v>
      </c>
      <c r="AJ1887">
        <v>0.55881999999999998</v>
      </c>
      <c r="AK1887">
        <v>0</v>
      </c>
      <c r="AL1887">
        <v>0</v>
      </c>
      <c r="AM1887">
        <v>0</v>
      </c>
      <c r="AN1887">
        <v>5</v>
      </c>
      <c r="AO1887">
        <v>0</v>
      </c>
      <c r="AP1887">
        <v>4</v>
      </c>
      <c r="AQ1887">
        <v>0</v>
      </c>
      <c r="AR1887">
        <v>4</v>
      </c>
      <c r="AS1887">
        <v>15</v>
      </c>
      <c r="AT1887">
        <v>0.21052999999999999</v>
      </c>
      <c r="AU1887">
        <v>13</v>
      </c>
      <c r="AV1887">
        <v>12</v>
      </c>
      <c r="AW1887">
        <v>40</v>
      </c>
      <c r="AX1887">
        <v>18</v>
      </c>
      <c r="AY1887">
        <v>49</v>
      </c>
      <c r="AZ1887">
        <v>16</v>
      </c>
      <c r="BA1887" t="s">
        <v>4028</v>
      </c>
      <c r="BB1887" t="s">
        <v>4029</v>
      </c>
      <c r="BC1887">
        <v>0.57199999999999995</v>
      </c>
      <c r="BD1887" t="s">
        <v>65</v>
      </c>
      <c r="BE1887">
        <v>89</v>
      </c>
      <c r="BF1887">
        <v>34</v>
      </c>
      <c r="BG1887" t="s">
        <v>4030</v>
      </c>
      <c r="BH1887" t="s">
        <v>4031</v>
      </c>
      <c r="BI1887" t="s">
        <v>4032</v>
      </c>
      <c r="BJ1887">
        <v>0.10254000000000001</v>
      </c>
      <c r="BK1887">
        <v>1</v>
      </c>
      <c r="BL1887" t="s">
        <v>69</v>
      </c>
      <c r="BM1887">
        <v>-0.128</v>
      </c>
      <c r="BN1887">
        <v>0.23899999999999999</v>
      </c>
    </row>
    <row r="1888" spans="2:66">
      <c r="B1888">
        <v>3332</v>
      </c>
      <c r="C1888">
        <v>98</v>
      </c>
      <c r="D1888">
        <v>0</v>
      </c>
      <c r="E1888">
        <v>5</v>
      </c>
      <c r="F1888">
        <v>0</v>
      </c>
      <c r="J1888">
        <v>0</v>
      </c>
      <c r="K1888">
        <v>2</v>
      </c>
      <c r="L1888">
        <v>0</v>
      </c>
      <c r="M1888" t="s">
        <v>25022</v>
      </c>
      <c r="N1888">
        <v>650</v>
      </c>
      <c r="O1888" t="s">
        <v>4033</v>
      </c>
      <c r="P1888" t="s">
        <v>57</v>
      </c>
      <c r="Q1888">
        <v>671245</v>
      </c>
      <c r="R1888">
        <v>671925</v>
      </c>
      <c r="S1888" t="s">
        <v>4034</v>
      </c>
      <c r="T1888">
        <v>227</v>
      </c>
      <c r="U1888" t="s">
        <v>4035</v>
      </c>
      <c r="V1888">
        <v>38</v>
      </c>
      <c r="W1888" t="str">
        <f>HYPERLINK("Gene650-zp_tree_all.dnd", "Gene650-tree")</f>
        <v>Gene650-tree</v>
      </c>
      <c r="X1888">
        <v>6</v>
      </c>
      <c r="Y1888">
        <v>8</v>
      </c>
      <c r="Z1888">
        <v>6</v>
      </c>
      <c r="AA1888">
        <v>8</v>
      </c>
      <c r="AB1888">
        <v>0.57142999999999999</v>
      </c>
      <c r="AC1888" t="s">
        <v>90</v>
      </c>
      <c r="AD1888" t="s">
        <v>136</v>
      </c>
      <c r="AE1888" t="s">
        <v>62</v>
      </c>
      <c r="AF1888" t="s">
        <v>62</v>
      </c>
      <c r="AG1888">
        <v>1</v>
      </c>
      <c r="AH1888">
        <v>2</v>
      </c>
      <c r="AI1888">
        <v>14</v>
      </c>
      <c r="AJ1888">
        <v>0.125</v>
      </c>
      <c r="AK1888">
        <v>0</v>
      </c>
      <c r="AL1888">
        <v>0</v>
      </c>
      <c r="AM1888">
        <v>0</v>
      </c>
      <c r="AN1888">
        <v>2</v>
      </c>
      <c r="AO1888">
        <v>0</v>
      </c>
      <c r="AP1888">
        <v>0</v>
      </c>
      <c r="AQ1888">
        <v>0</v>
      </c>
      <c r="AR1888">
        <v>0</v>
      </c>
      <c r="AS1888">
        <v>13</v>
      </c>
      <c r="AT1888">
        <v>0</v>
      </c>
      <c r="AU1888">
        <v>8</v>
      </c>
      <c r="AV1888">
        <v>9</v>
      </c>
      <c r="AW1888">
        <v>27</v>
      </c>
      <c r="AX1888">
        <v>12</v>
      </c>
      <c r="AY1888">
        <v>12</v>
      </c>
      <c r="AZ1888">
        <v>5</v>
      </c>
      <c r="BA1888" t="s">
        <v>4036</v>
      </c>
      <c r="BB1888" t="s">
        <v>4037</v>
      </c>
      <c r="BC1888">
        <v>1.7000000000000001E-2</v>
      </c>
      <c r="BD1888" t="s">
        <v>65</v>
      </c>
      <c r="BE1888">
        <v>39</v>
      </c>
      <c r="BF1888">
        <v>17</v>
      </c>
      <c r="BG1888" t="s">
        <v>4038</v>
      </c>
      <c r="BH1888" t="s">
        <v>4039</v>
      </c>
      <c r="BI1888" t="s">
        <v>4040</v>
      </c>
      <c r="BJ1888">
        <v>9.7430000000000003E-2</v>
      </c>
      <c r="BK1888">
        <v>1</v>
      </c>
      <c r="BL1888" t="s">
        <v>69</v>
      </c>
      <c r="BM1888">
        <v>-1.33</v>
      </c>
      <c r="BN1888">
        <v>-2.8460000000000001</v>
      </c>
    </row>
    <row r="1889" spans="2:66">
      <c r="B1889">
        <v>3333</v>
      </c>
      <c r="C1889">
        <v>64</v>
      </c>
      <c r="D1889">
        <v>0</v>
      </c>
      <c r="E1889">
        <v>5</v>
      </c>
      <c r="F1889">
        <v>0</v>
      </c>
      <c r="J1889">
        <v>0</v>
      </c>
      <c r="K1889">
        <v>7</v>
      </c>
      <c r="L1889">
        <v>2</v>
      </c>
      <c r="M1889" t="s">
        <v>25022</v>
      </c>
      <c r="N1889">
        <v>651</v>
      </c>
      <c r="O1889" t="s">
        <v>4041</v>
      </c>
      <c r="P1889" t="s">
        <v>57</v>
      </c>
      <c r="Q1889">
        <v>671994</v>
      </c>
      <c r="R1889">
        <v>673016</v>
      </c>
      <c r="S1889" t="s">
        <v>4042</v>
      </c>
      <c r="T1889">
        <v>341</v>
      </c>
      <c r="U1889" t="s">
        <v>4043</v>
      </c>
      <c r="V1889">
        <v>44</v>
      </c>
      <c r="W1889" t="str">
        <f>HYPERLINK("Gene651-zp_tree_all.dnd", "Gene651-tree")</f>
        <v>Gene651-tree</v>
      </c>
      <c r="X1889">
        <v>6</v>
      </c>
      <c r="Y1889">
        <v>10</v>
      </c>
      <c r="Z1889">
        <v>6</v>
      </c>
      <c r="AA1889">
        <v>10</v>
      </c>
      <c r="AB1889">
        <v>0.625</v>
      </c>
      <c r="AC1889" t="s">
        <v>90</v>
      </c>
      <c r="AD1889" t="s">
        <v>117</v>
      </c>
      <c r="AE1889" t="s">
        <v>62</v>
      </c>
      <c r="AF1889" t="s">
        <v>62</v>
      </c>
      <c r="AG1889">
        <v>3</v>
      </c>
      <c r="AH1889">
        <v>9</v>
      </c>
      <c r="AI1889">
        <v>18</v>
      </c>
      <c r="AJ1889">
        <v>0.33333000000000002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4</v>
      </c>
      <c r="AQ1889">
        <v>0</v>
      </c>
      <c r="AR1889">
        <v>4</v>
      </c>
      <c r="AS1889">
        <v>12</v>
      </c>
      <c r="AT1889">
        <v>0.25</v>
      </c>
      <c r="AU1889">
        <v>13</v>
      </c>
      <c r="AV1889">
        <v>11</v>
      </c>
      <c r="AW1889">
        <v>35</v>
      </c>
      <c r="AX1889">
        <v>16</v>
      </c>
      <c r="AY1889">
        <v>46</v>
      </c>
      <c r="AZ1889">
        <v>12</v>
      </c>
      <c r="BA1889" t="s">
        <v>4044</v>
      </c>
      <c r="BB1889" t="s">
        <v>4045</v>
      </c>
      <c r="BC1889">
        <v>0.34100000000000003</v>
      </c>
      <c r="BD1889" t="s">
        <v>65</v>
      </c>
      <c r="BE1889">
        <v>81</v>
      </c>
      <c r="BF1889">
        <v>28</v>
      </c>
      <c r="BG1889" t="s">
        <v>4046</v>
      </c>
      <c r="BH1889" t="s">
        <v>4047</v>
      </c>
      <c r="BI1889" t="s">
        <v>4048</v>
      </c>
      <c r="BJ1889">
        <v>8.0449999999999994E-2</v>
      </c>
      <c r="BK1889">
        <v>1</v>
      </c>
      <c r="BL1889" t="s">
        <v>69</v>
      </c>
      <c r="BM1889">
        <v>-1.03</v>
      </c>
      <c r="BN1889">
        <v>-0.34300000000000003</v>
      </c>
    </row>
    <row r="1890" spans="2:66">
      <c r="B1890">
        <v>3339</v>
      </c>
      <c r="C1890">
        <v>4</v>
      </c>
      <c r="D1890">
        <v>0</v>
      </c>
      <c r="E1890">
        <v>2</v>
      </c>
      <c r="F1890">
        <v>4</v>
      </c>
      <c r="J1890">
        <v>0</v>
      </c>
      <c r="K1890">
        <v>10</v>
      </c>
      <c r="L1890">
        <v>2</v>
      </c>
      <c r="M1890" t="s">
        <v>25022</v>
      </c>
      <c r="N1890">
        <v>652</v>
      </c>
      <c r="O1890" t="s">
        <v>4049</v>
      </c>
      <c r="P1890" t="s">
        <v>57</v>
      </c>
      <c r="Q1890">
        <v>673019</v>
      </c>
      <c r="R1890">
        <v>673780</v>
      </c>
      <c r="S1890" t="s">
        <v>4002</v>
      </c>
      <c r="T1890">
        <v>254</v>
      </c>
      <c r="U1890" t="s">
        <v>4005</v>
      </c>
      <c r="V1890">
        <v>42</v>
      </c>
      <c r="W1890" t="str">
        <f>HYPERLINK("Gene652-zp_tree_all.dnd", "Gene652-tree")</f>
        <v>Gene652-tree</v>
      </c>
      <c r="X1890">
        <v>2</v>
      </c>
      <c r="Y1890">
        <v>28</v>
      </c>
      <c r="Z1890">
        <v>2</v>
      </c>
      <c r="AA1890">
        <v>11</v>
      </c>
      <c r="AB1890">
        <v>0.84614999999999996</v>
      </c>
      <c r="AC1890" t="s">
        <v>81</v>
      </c>
      <c r="AD1890" t="s">
        <v>4050</v>
      </c>
      <c r="AE1890">
        <v>0.67300000000000004</v>
      </c>
      <c r="AF1890" t="s">
        <v>65</v>
      </c>
      <c r="AG1890">
        <v>5</v>
      </c>
      <c r="AH1890">
        <v>12</v>
      </c>
      <c r="AI1890">
        <v>21</v>
      </c>
      <c r="AJ1890">
        <v>0.36364000000000002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6</v>
      </c>
      <c r="AQ1890">
        <v>2</v>
      </c>
      <c r="AR1890">
        <v>8</v>
      </c>
      <c r="AS1890">
        <v>13</v>
      </c>
      <c r="AT1890">
        <v>0.38095000000000001</v>
      </c>
      <c r="AU1890">
        <v>12</v>
      </c>
      <c r="AV1890">
        <v>7</v>
      </c>
      <c r="AW1890">
        <v>30</v>
      </c>
      <c r="AX1890">
        <v>21</v>
      </c>
      <c r="AY1890">
        <v>21</v>
      </c>
      <c r="AZ1890">
        <v>12</v>
      </c>
      <c r="BA1890" t="s">
        <v>4051</v>
      </c>
      <c r="BB1890" t="s">
        <v>4052</v>
      </c>
      <c r="BC1890">
        <v>0.13</v>
      </c>
      <c r="BD1890" t="s">
        <v>65</v>
      </c>
      <c r="BE1890">
        <v>51</v>
      </c>
      <c r="BF1890">
        <v>33</v>
      </c>
      <c r="BG1890" t="s">
        <v>4053</v>
      </c>
      <c r="BH1890" t="s">
        <v>4054</v>
      </c>
      <c r="BI1890" t="s">
        <v>4055</v>
      </c>
      <c r="BJ1890">
        <v>0.18936</v>
      </c>
      <c r="BK1890">
        <v>1</v>
      </c>
      <c r="BL1890" t="s">
        <v>69</v>
      </c>
      <c r="BM1890">
        <v>-0.52300000000000002</v>
      </c>
      <c r="BN1890">
        <v>0.20599999999999999</v>
      </c>
    </row>
    <row r="1891" spans="2:66">
      <c r="B1891">
        <v>3341</v>
      </c>
      <c r="C1891">
        <v>413</v>
      </c>
      <c r="D1891">
        <v>0</v>
      </c>
      <c r="E1891">
        <v>47</v>
      </c>
      <c r="F1891">
        <v>1</v>
      </c>
      <c r="J1891">
        <v>0</v>
      </c>
      <c r="K1891">
        <v>0</v>
      </c>
      <c r="L1891">
        <v>0</v>
      </c>
      <c r="M1891" t="s">
        <v>25022</v>
      </c>
      <c r="N1891">
        <v>653</v>
      </c>
      <c r="O1891" t="s">
        <v>4056</v>
      </c>
      <c r="P1891" t="s">
        <v>57</v>
      </c>
      <c r="Q1891">
        <v>673814</v>
      </c>
      <c r="R1891">
        <v>674782</v>
      </c>
      <c r="S1891" t="s">
        <v>4057</v>
      </c>
      <c r="T1891">
        <v>323</v>
      </c>
      <c r="U1891" t="s">
        <v>4058</v>
      </c>
      <c r="V1891">
        <v>41</v>
      </c>
      <c r="W1891" t="str">
        <f>HYPERLINK("Gene653-zp_tree_all.dnd", "Gene653-tree")</f>
        <v>Gene653-tree</v>
      </c>
      <c r="X1891">
        <v>3</v>
      </c>
      <c r="Y1891">
        <v>23</v>
      </c>
      <c r="Z1891">
        <v>3</v>
      </c>
      <c r="AA1891">
        <v>6</v>
      </c>
      <c r="AB1891">
        <v>0.66666999999999998</v>
      </c>
      <c r="AC1891" t="s">
        <v>324</v>
      </c>
      <c r="AD1891" t="s">
        <v>3589</v>
      </c>
      <c r="AE1891">
        <v>2.27</v>
      </c>
      <c r="AF1891" t="s">
        <v>65</v>
      </c>
      <c r="AG1891">
        <v>0</v>
      </c>
      <c r="AH1891">
        <v>0</v>
      </c>
      <c r="AI1891">
        <v>14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12</v>
      </c>
      <c r="AT1891">
        <v>0</v>
      </c>
      <c r="AU1891">
        <v>8</v>
      </c>
      <c r="AV1891">
        <v>4</v>
      </c>
      <c r="AW1891">
        <v>11</v>
      </c>
      <c r="AX1891">
        <v>13</v>
      </c>
      <c r="AY1891">
        <v>6</v>
      </c>
      <c r="AZ1891">
        <v>2</v>
      </c>
      <c r="BA1891" t="s">
        <v>4059</v>
      </c>
      <c r="BB1891" t="s">
        <v>4060</v>
      </c>
      <c r="BC1891">
        <v>1.7829999999999999</v>
      </c>
      <c r="BD1891" t="s">
        <v>65</v>
      </c>
      <c r="BE1891">
        <v>17</v>
      </c>
      <c r="BF1891">
        <v>15</v>
      </c>
      <c r="BG1891" t="s">
        <v>4061</v>
      </c>
      <c r="BH1891" t="s">
        <v>4062</v>
      </c>
      <c r="BI1891" t="s">
        <v>4063</v>
      </c>
      <c r="BJ1891">
        <v>0.18937000000000001</v>
      </c>
      <c r="BK1891">
        <v>1</v>
      </c>
      <c r="BL1891" t="s">
        <v>69</v>
      </c>
      <c r="BM1891">
        <v>-1.117</v>
      </c>
      <c r="BN1891">
        <v>-0.95099999999999996</v>
      </c>
    </row>
    <row r="1892" spans="2:66">
      <c r="B1892">
        <v>3342</v>
      </c>
      <c r="C1892">
        <v>79</v>
      </c>
      <c r="D1892">
        <v>0</v>
      </c>
      <c r="E1892">
        <v>2</v>
      </c>
      <c r="F1892">
        <v>0</v>
      </c>
      <c r="J1892">
        <v>0</v>
      </c>
      <c r="K1892">
        <v>5</v>
      </c>
      <c r="L1892">
        <v>0</v>
      </c>
      <c r="M1892" t="s">
        <v>25022</v>
      </c>
      <c r="N1892">
        <v>655</v>
      </c>
      <c r="O1892" t="s">
        <v>4072</v>
      </c>
      <c r="P1892" t="s">
        <v>57</v>
      </c>
      <c r="Q1892">
        <v>676442</v>
      </c>
      <c r="R1892">
        <v>677860</v>
      </c>
      <c r="S1892" t="s">
        <v>4073</v>
      </c>
      <c r="T1892">
        <v>473</v>
      </c>
      <c r="U1892" t="s">
        <v>4013</v>
      </c>
      <c r="V1892">
        <v>43</v>
      </c>
      <c r="W1892" t="str">
        <f>HYPERLINK("Gene655-zp_tree_all.dnd", "Gene655-tree")</f>
        <v>Gene655-tree</v>
      </c>
      <c r="X1892">
        <v>26</v>
      </c>
      <c r="Y1892">
        <v>6</v>
      </c>
      <c r="Z1892">
        <v>7</v>
      </c>
      <c r="AA1892">
        <v>6</v>
      </c>
      <c r="AB1892">
        <v>0.46154000000000001</v>
      </c>
      <c r="AC1892" t="s">
        <v>191</v>
      </c>
      <c r="AD1892" t="s">
        <v>90</v>
      </c>
      <c r="AE1892" t="s">
        <v>62</v>
      </c>
      <c r="AF1892" t="s">
        <v>62</v>
      </c>
      <c r="AG1892">
        <v>2</v>
      </c>
      <c r="AH1892">
        <v>5</v>
      </c>
      <c r="AI1892">
        <v>6</v>
      </c>
      <c r="AJ1892">
        <v>0.45455000000000001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2</v>
      </c>
      <c r="AQ1892">
        <v>0</v>
      </c>
      <c r="AR1892">
        <v>2</v>
      </c>
      <c r="AS1892">
        <v>5</v>
      </c>
      <c r="AT1892">
        <v>0.28571000000000002</v>
      </c>
      <c r="AU1892">
        <v>11</v>
      </c>
      <c r="AV1892">
        <v>10</v>
      </c>
      <c r="AW1892">
        <v>54</v>
      </c>
      <c r="AX1892">
        <v>7</v>
      </c>
      <c r="AY1892">
        <v>41</v>
      </c>
      <c r="AZ1892">
        <v>4</v>
      </c>
      <c r="BA1892" t="s">
        <v>4074</v>
      </c>
      <c r="BB1892" t="s">
        <v>4075</v>
      </c>
      <c r="BC1892">
        <v>0.36599999999999999</v>
      </c>
      <c r="BD1892" t="s">
        <v>65</v>
      </c>
      <c r="BE1892">
        <v>95</v>
      </c>
      <c r="BF1892">
        <v>11</v>
      </c>
      <c r="BG1892" t="s">
        <v>4076</v>
      </c>
      <c r="BH1892" t="s">
        <v>4077</v>
      </c>
      <c r="BI1892" t="s">
        <v>4078</v>
      </c>
      <c r="BJ1892">
        <v>3.9460000000000002E-2</v>
      </c>
      <c r="BK1892">
        <v>1</v>
      </c>
      <c r="BL1892" t="s">
        <v>69</v>
      </c>
      <c r="BM1892">
        <v>-8.8999999999999996E-2</v>
      </c>
      <c r="BN1892">
        <v>-0.60799999999999998</v>
      </c>
    </row>
    <row r="1893" spans="2:66">
      <c r="B1893">
        <v>3343</v>
      </c>
      <c r="C1893">
        <v>278</v>
      </c>
      <c r="D1893">
        <v>0</v>
      </c>
      <c r="E1893">
        <v>4</v>
      </c>
      <c r="F1893">
        <v>0</v>
      </c>
      <c r="J1893">
        <v>0</v>
      </c>
      <c r="K1893">
        <v>2</v>
      </c>
      <c r="L1893">
        <v>0</v>
      </c>
      <c r="M1893" t="s">
        <v>25022</v>
      </c>
      <c r="N1893">
        <v>657</v>
      </c>
      <c r="O1893" t="s">
        <v>4086</v>
      </c>
      <c r="P1893" t="s">
        <v>57</v>
      </c>
      <c r="Q1893">
        <v>679390</v>
      </c>
      <c r="R1893">
        <v>679758</v>
      </c>
      <c r="S1893" t="s">
        <v>4087</v>
      </c>
      <c r="T1893">
        <v>123</v>
      </c>
      <c r="U1893" t="s">
        <v>4088</v>
      </c>
      <c r="V1893">
        <v>48</v>
      </c>
      <c r="W1893" t="str">
        <f>HYPERLINK("Gene657-zp_tree_all.dnd", "Gene657-tree")</f>
        <v>Gene657-tree</v>
      </c>
      <c r="X1893">
        <v>11</v>
      </c>
      <c r="Y1893">
        <v>1</v>
      </c>
      <c r="Z1893">
        <v>11</v>
      </c>
      <c r="AA1893">
        <v>1</v>
      </c>
      <c r="AB1893">
        <v>8.3330000000000001E-2</v>
      </c>
      <c r="AC1893" t="s">
        <v>73</v>
      </c>
      <c r="AD1893" t="s">
        <v>175</v>
      </c>
      <c r="AE1893" t="s">
        <v>62</v>
      </c>
      <c r="AF1893" t="s">
        <v>62</v>
      </c>
      <c r="AG1893">
        <v>1</v>
      </c>
      <c r="AH1893">
        <v>2</v>
      </c>
      <c r="AI1893">
        <v>1</v>
      </c>
      <c r="AJ1893">
        <v>0.66666999999999998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9</v>
      </c>
      <c r="AV1893">
        <v>6</v>
      </c>
      <c r="AW1893">
        <v>12</v>
      </c>
      <c r="AX1893">
        <v>1</v>
      </c>
      <c r="AY1893">
        <v>13</v>
      </c>
      <c r="AZ1893">
        <v>2</v>
      </c>
      <c r="BA1893" t="s">
        <v>4089</v>
      </c>
      <c r="BB1893" t="s">
        <v>4090</v>
      </c>
      <c r="BC1893">
        <v>0.22500000000000001</v>
      </c>
      <c r="BD1893" t="s">
        <v>65</v>
      </c>
      <c r="BE1893">
        <v>25</v>
      </c>
      <c r="BF1893">
        <v>3</v>
      </c>
      <c r="BG1893" t="s">
        <v>4091</v>
      </c>
      <c r="BH1893" t="s">
        <v>4092</v>
      </c>
      <c r="BI1893" t="s">
        <v>4093</v>
      </c>
      <c r="BJ1893">
        <v>3.1989999999999998E-2</v>
      </c>
      <c r="BK1893">
        <v>1</v>
      </c>
      <c r="BL1893" t="s">
        <v>69</v>
      </c>
      <c r="BM1893">
        <v>-1.232</v>
      </c>
      <c r="BN1893">
        <v>-1.869</v>
      </c>
    </row>
    <row r="1894" spans="2:66">
      <c r="B1894">
        <v>3344</v>
      </c>
      <c r="C1894">
        <v>47</v>
      </c>
      <c r="D1894">
        <v>2</v>
      </c>
      <c r="E1894">
        <v>0</v>
      </c>
      <c r="F1894">
        <v>1</v>
      </c>
      <c r="J1894">
        <v>0</v>
      </c>
      <c r="K1894">
        <v>24</v>
      </c>
      <c r="L1894">
        <v>4</v>
      </c>
      <c r="M1894" t="s">
        <v>25022</v>
      </c>
      <c r="N1894">
        <v>658</v>
      </c>
      <c r="O1894" t="s">
        <v>4094</v>
      </c>
      <c r="P1894" t="s">
        <v>57</v>
      </c>
      <c r="Q1894">
        <v>679827</v>
      </c>
      <c r="R1894">
        <v>680870</v>
      </c>
      <c r="S1894" t="s">
        <v>4095</v>
      </c>
      <c r="T1894">
        <v>348</v>
      </c>
      <c r="U1894" t="s">
        <v>4096</v>
      </c>
      <c r="V1894">
        <v>42</v>
      </c>
      <c r="W1894" t="str">
        <f>HYPERLINK("Gene658-zp_tree_all.dnd", "Gene658-tree")</f>
        <v>Gene658-tree</v>
      </c>
      <c r="X1894">
        <v>3</v>
      </c>
      <c r="Y1894">
        <v>30</v>
      </c>
      <c r="Z1894">
        <v>3</v>
      </c>
      <c r="AA1894">
        <v>14</v>
      </c>
      <c r="AB1894">
        <v>0.82352999999999998</v>
      </c>
      <c r="AC1894" t="s">
        <v>324</v>
      </c>
      <c r="AD1894" t="s">
        <v>4097</v>
      </c>
      <c r="AE1894">
        <v>2.3E-2</v>
      </c>
      <c r="AF1894" t="s">
        <v>65</v>
      </c>
      <c r="AG1894">
        <v>11</v>
      </c>
      <c r="AH1894">
        <v>28</v>
      </c>
      <c r="AI1894">
        <v>16</v>
      </c>
      <c r="AJ1894">
        <v>0.63636000000000004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7</v>
      </c>
      <c r="AQ1894">
        <v>2</v>
      </c>
      <c r="AR1894">
        <v>9</v>
      </c>
      <c r="AS1894">
        <v>20</v>
      </c>
      <c r="AT1894">
        <v>0.31034</v>
      </c>
      <c r="AU1894">
        <v>15</v>
      </c>
      <c r="AV1894">
        <v>12</v>
      </c>
      <c r="AW1894">
        <v>36</v>
      </c>
      <c r="AX1894">
        <v>27</v>
      </c>
      <c r="AY1894">
        <v>28</v>
      </c>
      <c r="AZ1894">
        <v>17</v>
      </c>
      <c r="BA1894" t="s">
        <v>4098</v>
      </c>
      <c r="BB1894" t="s">
        <v>4099</v>
      </c>
      <c r="BC1894">
        <v>0.36099999999999999</v>
      </c>
      <c r="BD1894" t="s">
        <v>65</v>
      </c>
      <c r="BE1894">
        <v>64</v>
      </c>
      <c r="BF1894">
        <v>44</v>
      </c>
      <c r="BG1894" t="s">
        <v>4100</v>
      </c>
      <c r="BH1894" t="s">
        <v>4101</v>
      </c>
      <c r="BI1894" t="s">
        <v>4102</v>
      </c>
      <c r="BJ1894">
        <v>0.16088</v>
      </c>
      <c r="BK1894">
        <v>1</v>
      </c>
      <c r="BL1894" t="s">
        <v>69</v>
      </c>
      <c r="BM1894">
        <v>-0.504</v>
      </c>
      <c r="BN1894">
        <v>-1.325</v>
      </c>
    </row>
    <row r="1895" spans="2:66">
      <c r="B1895">
        <v>3345</v>
      </c>
      <c r="C1895">
        <v>297</v>
      </c>
      <c r="D1895">
        <v>0</v>
      </c>
      <c r="E1895">
        <v>2</v>
      </c>
      <c r="F1895">
        <v>0</v>
      </c>
      <c r="J1895">
        <v>0</v>
      </c>
      <c r="K1895">
        <v>4</v>
      </c>
      <c r="L1895">
        <v>0</v>
      </c>
      <c r="M1895" t="s">
        <v>25022</v>
      </c>
      <c r="N1895">
        <v>666</v>
      </c>
      <c r="O1895" t="s">
        <v>4148</v>
      </c>
      <c r="P1895" t="s">
        <v>57</v>
      </c>
      <c r="Q1895">
        <v>686962</v>
      </c>
      <c r="R1895">
        <v>687831</v>
      </c>
      <c r="S1895" t="s">
        <v>4149</v>
      </c>
      <c r="T1895">
        <v>290</v>
      </c>
      <c r="U1895" t="s">
        <v>4150</v>
      </c>
      <c r="V1895">
        <v>42</v>
      </c>
      <c r="W1895" t="str">
        <f>HYPERLINK("Gene666-zp_tree_all.dnd", "Gene666-tree")</f>
        <v>Gene666-tree</v>
      </c>
      <c r="X1895">
        <v>8</v>
      </c>
      <c r="Y1895">
        <v>5</v>
      </c>
      <c r="Z1895">
        <v>8</v>
      </c>
      <c r="AA1895">
        <v>5</v>
      </c>
      <c r="AB1895">
        <v>0.38462000000000002</v>
      </c>
      <c r="AC1895" t="s">
        <v>136</v>
      </c>
      <c r="AD1895" t="s">
        <v>199</v>
      </c>
      <c r="AE1895" t="s">
        <v>62</v>
      </c>
      <c r="AF1895" t="s">
        <v>62</v>
      </c>
      <c r="AG1895">
        <v>2</v>
      </c>
      <c r="AH1895">
        <v>4</v>
      </c>
      <c r="AI1895">
        <v>5</v>
      </c>
      <c r="AJ1895">
        <v>0.44444</v>
      </c>
      <c r="AK1895">
        <v>0</v>
      </c>
      <c r="AL1895">
        <v>0</v>
      </c>
      <c r="AM1895">
        <v>0</v>
      </c>
      <c r="AN1895">
        <v>3</v>
      </c>
      <c r="AO1895">
        <v>0</v>
      </c>
      <c r="AP1895">
        <v>0</v>
      </c>
      <c r="AQ1895">
        <v>0</v>
      </c>
      <c r="AR1895">
        <v>0</v>
      </c>
      <c r="AS1895">
        <v>5</v>
      </c>
      <c r="AT1895">
        <v>0</v>
      </c>
      <c r="AU1895">
        <v>11</v>
      </c>
      <c r="AV1895">
        <v>9</v>
      </c>
      <c r="AW1895">
        <v>25</v>
      </c>
      <c r="AX1895">
        <v>5</v>
      </c>
      <c r="AY1895">
        <v>16</v>
      </c>
      <c r="AZ1895">
        <v>4</v>
      </c>
      <c r="BA1895" t="s">
        <v>4151</v>
      </c>
      <c r="BB1895" t="s">
        <v>4152</v>
      </c>
      <c r="BC1895">
        <v>0.11600000000000001</v>
      </c>
      <c r="BD1895" t="s">
        <v>65</v>
      </c>
      <c r="BE1895">
        <v>41</v>
      </c>
      <c r="BF1895">
        <v>9</v>
      </c>
      <c r="BG1895" t="s">
        <v>4153</v>
      </c>
      <c r="BH1895" t="s">
        <v>4154</v>
      </c>
      <c r="BI1895" t="s">
        <v>4155</v>
      </c>
      <c r="BJ1895">
        <v>6.8970000000000004E-2</v>
      </c>
      <c r="BK1895">
        <v>1</v>
      </c>
      <c r="BL1895" t="s">
        <v>69</v>
      </c>
      <c r="BM1895">
        <v>-0.20499999999999999</v>
      </c>
      <c r="BN1895">
        <v>-0.81</v>
      </c>
    </row>
    <row r="1896" spans="2:66">
      <c r="B1896">
        <v>3346</v>
      </c>
      <c r="C1896">
        <v>44</v>
      </c>
      <c r="D1896">
        <v>0</v>
      </c>
      <c r="E1896">
        <v>0</v>
      </c>
      <c r="F1896">
        <v>2</v>
      </c>
      <c r="J1896">
        <v>2</v>
      </c>
      <c r="K1896">
        <v>6</v>
      </c>
      <c r="L1896">
        <v>1</v>
      </c>
      <c r="M1896" t="s">
        <v>25022</v>
      </c>
      <c r="N1896">
        <v>667</v>
      </c>
      <c r="O1896" t="s">
        <v>4156</v>
      </c>
      <c r="P1896" t="s">
        <v>57</v>
      </c>
      <c r="Q1896">
        <v>688184</v>
      </c>
      <c r="R1896">
        <v>689143</v>
      </c>
      <c r="S1896" t="s">
        <v>4157</v>
      </c>
      <c r="T1896">
        <v>320</v>
      </c>
      <c r="U1896" t="s">
        <v>4158</v>
      </c>
      <c r="V1896">
        <v>42</v>
      </c>
      <c r="W1896" t="str">
        <f>HYPERLINK("Gene667-zp_tree_all.dnd", "Gene667-tree")</f>
        <v>Gene667-tree</v>
      </c>
      <c r="X1896">
        <v>5</v>
      </c>
      <c r="Y1896">
        <v>9</v>
      </c>
      <c r="Z1896">
        <v>5</v>
      </c>
      <c r="AA1896">
        <v>9</v>
      </c>
      <c r="AB1896">
        <v>0.64285999999999999</v>
      </c>
      <c r="AC1896" t="s">
        <v>199</v>
      </c>
      <c r="AD1896" t="s">
        <v>135</v>
      </c>
      <c r="AE1896" t="s">
        <v>62</v>
      </c>
      <c r="AF1896" t="s">
        <v>62</v>
      </c>
      <c r="AG1896">
        <v>3</v>
      </c>
      <c r="AH1896">
        <v>9</v>
      </c>
      <c r="AI1896">
        <v>8</v>
      </c>
      <c r="AJ1896">
        <v>0.52941000000000005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</v>
      </c>
      <c r="AQ1896">
        <v>2</v>
      </c>
      <c r="AR1896">
        <v>4</v>
      </c>
      <c r="AS1896">
        <v>8</v>
      </c>
      <c r="AT1896">
        <v>0.33333000000000002</v>
      </c>
      <c r="AU1896">
        <v>11</v>
      </c>
      <c r="AV1896">
        <v>11</v>
      </c>
      <c r="AW1896">
        <v>28</v>
      </c>
      <c r="AX1896">
        <v>9</v>
      </c>
      <c r="AY1896">
        <v>15</v>
      </c>
      <c r="AZ1896">
        <v>8</v>
      </c>
      <c r="BA1896" t="s">
        <v>4159</v>
      </c>
      <c r="BB1896" t="s">
        <v>4160</v>
      </c>
      <c r="BC1896">
        <v>1.034</v>
      </c>
      <c r="BD1896" t="s">
        <v>65</v>
      </c>
      <c r="BE1896">
        <v>43</v>
      </c>
      <c r="BF1896">
        <v>17</v>
      </c>
      <c r="BG1896" t="s">
        <v>4161</v>
      </c>
      <c r="BH1896" t="s">
        <v>4162</v>
      </c>
      <c r="BI1896" t="s">
        <v>4163</v>
      </c>
      <c r="BJ1896">
        <v>0.11204</v>
      </c>
      <c r="BK1896">
        <v>1</v>
      </c>
      <c r="BL1896" t="s">
        <v>69</v>
      </c>
      <c r="BM1896">
        <v>-0.23200000000000001</v>
      </c>
      <c r="BN1896">
        <v>-0.81899999999999995</v>
      </c>
    </row>
    <row r="1897" spans="2:66">
      <c r="B1897">
        <v>3347</v>
      </c>
      <c r="C1897">
        <v>194</v>
      </c>
      <c r="D1897">
        <v>0</v>
      </c>
      <c r="E1897">
        <v>2</v>
      </c>
      <c r="F1897">
        <v>0</v>
      </c>
      <c r="J1897">
        <v>0</v>
      </c>
      <c r="K1897">
        <v>16</v>
      </c>
      <c r="L1897">
        <v>0</v>
      </c>
      <c r="M1897" t="s">
        <v>25022</v>
      </c>
      <c r="N1897">
        <v>668</v>
      </c>
      <c r="O1897" t="s">
        <v>4164</v>
      </c>
      <c r="P1897" t="s">
        <v>57</v>
      </c>
      <c r="Q1897">
        <v>689146</v>
      </c>
      <c r="R1897">
        <v>690339</v>
      </c>
      <c r="S1897" t="s">
        <v>288</v>
      </c>
      <c r="T1897">
        <v>398</v>
      </c>
      <c r="U1897" t="s">
        <v>4005</v>
      </c>
      <c r="V1897">
        <v>42</v>
      </c>
      <c r="W1897" t="str">
        <f>HYPERLINK("Gene668-zp_tree_all.dnd", "Gene668-tree")</f>
        <v>Gene668-tree</v>
      </c>
      <c r="X1897">
        <v>1</v>
      </c>
      <c r="Y1897">
        <v>14</v>
      </c>
      <c r="Z1897">
        <v>1</v>
      </c>
      <c r="AA1897">
        <v>14</v>
      </c>
      <c r="AB1897">
        <v>0.93332999999999999</v>
      </c>
      <c r="AC1897" t="s">
        <v>175</v>
      </c>
      <c r="AD1897" t="s">
        <v>543</v>
      </c>
      <c r="AE1897">
        <v>1865302226.941</v>
      </c>
      <c r="AF1897" t="s">
        <v>267</v>
      </c>
      <c r="AG1897">
        <v>7</v>
      </c>
      <c r="AH1897">
        <v>16</v>
      </c>
      <c r="AI1897">
        <v>15</v>
      </c>
      <c r="AJ1897">
        <v>0.51612999999999998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10</v>
      </c>
      <c r="AQ1897">
        <v>0</v>
      </c>
      <c r="AR1897">
        <v>10</v>
      </c>
      <c r="AS1897">
        <v>13</v>
      </c>
      <c r="AT1897">
        <v>0.43478</v>
      </c>
      <c r="AU1897">
        <v>13</v>
      </c>
      <c r="AV1897">
        <v>10</v>
      </c>
      <c r="AW1897">
        <v>26</v>
      </c>
      <c r="AX1897">
        <v>22</v>
      </c>
      <c r="AY1897">
        <v>29</v>
      </c>
      <c r="AZ1897">
        <v>9</v>
      </c>
      <c r="BA1897" t="s">
        <v>4165</v>
      </c>
      <c r="BB1897" t="s">
        <v>4166</v>
      </c>
      <c r="BC1897">
        <v>1.325</v>
      </c>
      <c r="BD1897" t="s">
        <v>65</v>
      </c>
      <c r="BE1897">
        <v>55</v>
      </c>
      <c r="BF1897">
        <v>31</v>
      </c>
      <c r="BG1897" t="s">
        <v>4167</v>
      </c>
      <c r="BH1897" t="s">
        <v>4168</v>
      </c>
      <c r="BI1897" t="s">
        <v>4169</v>
      </c>
      <c r="BJ1897">
        <v>0.1542</v>
      </c>
      <c r="BK1897">
        <v>1</v>
      </c>
      <c r="BL1897" t="s">
        <v>69</v>
      </c>
      <c r="BM1897">
        <v>-0.58099999999999996</v>
      </c>
      <c r="BN1897">
        <v>8.2000000000000003E-2</v>
      </c>
    </row>
    <row r="1898" spans="2:66">
      <c r="B1898">
        <v>3348</v>
      </c>
      <c r="C1898">
        <v>102</v>
      </c>
      <c r="D1898">
        <v>0</v>
      </c>
      <c r="E1898">
        <v>2</v>
      </c>
      <c r="F1898">
        <v>0</v>
      </c>
      <c r="J1898">
        <v>0</v>
      </c>
      <c r="K1898">
        <v>21</v>
      </c>
      <c r="L1898">
        <v>4</v>
      </c>
      <c r="M1898" t="s">
        <v>25022</v>
      </c>
      <c r="N1898">
        <v>669</v>
      </c>
      <c r="O1898" t="s">
        <v>4170</v>
      </c>
      <c r="P1898" t="s">
        <v>57</v>
      </c>
      <c r="Q1898">
        <v>690364</v>
      </c>
      <c r="R1898">
        <v>692574</v>
      </c>
      <c r="S1898" t="s">
        <v>288</v>
      </c>
      <c r="T1898">
        <v>737</v>
      </c>
      <c r="U1898" t="s">
        <v>4066</v>
      </c>
      <c r="V1898">
        <v>42</v>
      </c>
      <c r="W1898" t="str">
        <f>HYPERLINK("Gene669-zp_tree_all.dnd", "Gene669-tree")</f>
        <v>Gene669-tree</v>
      </c>
      <c r="X1898">
        <v>0</v>
      </c>
      <c r="Y1898">
        <v>14</v>
      </c>
      <c r="Z1898">
        <v>0</v>
      </c>
      <c r="AA1898">
        <v>14</v>
      </c>
      <c r="AB1898">
        <v>1</v>
      </c>
      <c r="AC1898" t="s">
        <v>62</v>
      </c>
      <c r="AD1898" t="s">
        <v>543</v>
      </c>
      <c r="AE1898">
        <v>143484786.68799999</v>
      </c>
      <c r="AF1898" t="s">
        <v>65</v>
      </c>
      <c r="AG1898">
        <v>11</v>
      </c>
      <c r="AH1898">
        <v>25</v>
      </c>
      <c r="AI1898">
        <v>23</v>
      </c>
      <c r="AJ1898">
        <v>0.52083000000000002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15</v>
      </c>
      <c r="AQ1898">
        <v>3</v>
      </c>
      <c r="AR1898">
        <v>18</v>
      </c>
      <c r="AS1898">
        <v>21</v>
      </c>
      <c r="AT1898">
        <v>0.46154000000000001</v>
      </c>
      <c r="AU1898">
        <v>13</v>
      </c>
      <c r="AV1898">
        <v>9</v>
      </c>
      <c r="AW1898">
        <v>74</v>
      </c>
      <c r="AX1898">
        <v>40</v>
      </c>
      <c r="AY1898">
        <v>34</v>
      </c>
      <c r="AZ1898">
        <v>11</v>
      </c>
      <c r="BA1898" t="s">
        <v>4171</v>
      </c>
      <c r="BB1898" t="s">
        <v>4172</v>
      </c>
      <c r="BC1898">
        <v>1.194</v>
      </c>
      <c r="BD1898" t="s">
        <v>65</v>
      </c>
      <c r="BE1898">
        <v>108</v>
      </c>
      <c r="BF1898">
        <v>51</v>
      </c>
      <c r="BG1898" t="s">
        <v>4173</v>
      </c>
      <c r="BH1898" t="s">
        <v>4174</v>
      </c>
      <c r="BI1898" t="s">
        <v>4175</v>
      </c>
      <c r="BJ1898">
        <v>0.14563999999999999</v>
      </c>
      <c r="BK1898">
        <v>1</v>
      </c>
      <c r="BL1898" t="s">
        <v>69</v>
      </c>
      <c r="BM1898">
        <v>-0.55000000000000004</v>
      </c>
      <c r="BN1898">
        <v>-1.393</v>
      </c>
    </row>
    <row r="1899" spans="2:66">
      <c r="B1899">
        <v>3350</v>
      </c>
      <c r="C1899">
        <v>71</v>
      </c>
      <c r="D1899">
        <v>0</v>
      </c>
      <c r="E1899">
        <v>4</v>
      </c>
      <c r="F1899">
        <v>0</v>
      </c>
      <c r="J1899">
        <v>0</v>
      </c>
      <c r="K1899">
        <v>5</v>
      </c>
      <c r="L1899">
        <v>0</v>
      </c>
      <c r="M1899" t="s">
        <v>25022</v>
      </c>
      <c r="N1899">
        <v>670</v>
      </c>
      <c r="O1899" t="s">
        <v>4176</v>
      </c>
      <c r="P1899" t="s">
        <v>57</v>
      </c>
      <c r="Q1899">
        <v>692740</v>
      </c>
      <c r="R1899">
        <v>694278</v>
      </c>
      <c r="S1899" t="s">
        <v>4177</v>
      </c>
      <c r="T1899">
        <v>513</v>
      </c>
      <c r="U1899" t="s">
        <v>4088</v>
      </c>
      <c r="V1899">
        <v>48</v>
      </c>
      <c r="W1899" t="str">
        <f>HYPERLINK("Gene670-zp_tree_all.dnd", "Gene670-tree")</f>
        <v>Gene670-tree</v>
      </c>
      <c r="X1899">
        <v>15</v>
      </c>
      <c r="Y1899">
        <v>4</v>
      </c>
      <c r="Z1899">
        <v>15</v>
      </c>
      <c r="AA1899">
        <v>4</v>
      </c>
      <c r="AB1899">
        <v>0.21052999999999999</v>
      </c>
      <c r="AC1899" t="s">
        <v>100</v>
      </c>
      <c r="AD1899" t="s">
        <v>61</v>
      </c>
      <c r="AE1899" t="s">
        <v>62</v>
      </c>
      <c r="AF1899" t="s">
        <v>62</v>
      </c>
      <c r="AG1899">
        <v>2</v>
      </c>
      <c r="AH1899">
        <v>5</v>
      </c>
      <c r="AI1899">
        <v>9</v>
      </c>
      <c r="AJ1899">
        <v>0.35714000000000001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4</v>
      </c>
      <c r="AT1899">
        <v>0</v>
      </c>
      <c r="AU1899">
        <v>19</v>
      </c>
      <c r="AV1899">
        <v>14</v>
      </c>
      <c r="AW1899">
        <v>68</v>
      </c>
      <c r="AX1899">
        <v>4</v>
      </c>
      <c r="AY1899">
        <v>91</v>
      </c>
      <c r="AZ1899">
        <v>10</v>
      </c>
      <c r="BA1899" t="s">
        <v>4178</v>
      </c>
      <c r="BB1899" t="s">
        <v>4179</v>
      </c>
      <c r="BC1899">
        <v>0.49099999999999999</v>
      </c>
      <c r="BD1899" t="s">
        <v>65</v>
      </c>
      <c r="BE1899">
        <v>159</v>
      </c>
      <c r="BF1899">
        <v>14</v>
      </c>
      <c r="BG1899" t="s">
        <v>4180</v>
      </c>
      <c r="BH1899" t="s">
        <v>4181</v>
      </c>
      <c r="BI1899" t="s">
        <v>4182</v>
      </c>
      <c r="BJ1899">
        <v>3.4540000000000001E-2</v>
      </c>
      <c r="BK1899">
        <v>1</v>
      </c>
      <c r="BL1899" t="s">
        <v>69</v>
      </c>
      <c r="BM1899">
        <v>-1.0900000000000001</v>
      </c>
      <c r="BN1899">
        <v>-0.52300000000000002</v>
      </c>
    </row>
    <row r="1900" spans="2:66">
      <c r="B1900">
        <v>3352</v>
      </c>
      <c r="C1900">
        <v>69</v>
      </c>
      <c r="D1900">
        <v>0</v>
      </c>
      <c r="E1900">
        <v>2</v>
      </c>
      <c r="F1900">
        <v>0</v>
      </c>
      <c r="J1900">
        <v>0</v>
      </c>
      <c r="K1900">
        <v>13</v>
      </c>
      <c r="L1900">
        <v>2</v>
      </c>
      <c r="M1900" t="s">
        <v>25022</v>
      </c>
      <c r="N1900">
        <v>671</v>
      </c>
      <c r="O1900" t="s">
        <v>4183</v>
      </c>
      <c r="P1900" t="s">
        <v>57</v>
      </c>
      <c r="Q1900">
        <v>694662</v>
      </c>
      <c r="R1900">
        <v>695981</v>
      </c>
      <c r="S1900" t="s">
        <v>4184</v>
      </c>
      <c r="T1900">
        <v>440</v>
      </c>
      <c r="U1900" t="s">
        <v>4110</v>
      </c>
      <c r="V1900">
        <v>45</v>
      </c>
      <c r="W1900" t="str">
        <f>HYPERLINK("Gene671-zp_tree_all.dnd", "Gene671-tree")</f>
        <v>Gene671-tree</v>
      </c>
      <c r="X1900">
        <v>12</v>
      </c>
      <c r="Y1900">
        <v>7</v>
      </c>
      <c r="Z1900">
        <v>12</v>
      </c>
      <c r="AA1900">
        <v>7</v>
      </c>
      <c r="AB1900">
        <v>0.36842000000000003</v>
      </c>
      <c r="AC1900" t="s">
        <v>109</v>
      </c>
      <c r="AD1900" t="s">
        <v>152</v>
      </c>
      <c r="AE1900" t="s">
        <v>62</v>
      </c>
      <c r="AF1900" t="s">
        <v>62</v>
      </c>
      <c r="AG1900">
        <v>5</v>
      </c>
      <c r="AH1900">
        <v>15</v>
      </c>
      <c r="AI1900">
        <v>5</v>
      </c>
      <c r="AJ1900">
        <v>0.75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2</v>
      </c>
      <c r="AQ1900">
        <v>0</v>
      </c>
      <c r="AR1900">
        <v>2</v>
      </c>
      <c r="AS1900">
        <v>6</v>
      </c>
      <c r="AT1900">
        <v>0.25</v>
      </c>
      <c r="AU1900">
        <v>18</v>
      </c>
      <c r="AV1900">
        <v>16</v>
      </c>
      <c r="AW1900">
        <v>93</v>
      </c>
      <c r="AX1900">
        <v>8</v>
      </c>
      <c r="AY1900">
        <v>91</v>
      </c>
      <c r="AZ1900">
        <v>12</v>
      </c>
      <c r="BA1900" t="s">
        <v>4185</v>
      </c>
      <c r="BB1900" t="s">
        <v>4186</v>
      </c>
      <c r="BC1900">
        <v>0.24</v>
      </c>
      <c r="BD1900" t="s">
        <v>65</v>
      </c>
      <c r="BE1900">
        <v>184</v>
      </c>
      <c r="BF1900">
        <v>20</v>
      </c>
      <c r="BG1900" t="s">
        <v>4187</v>
      </c>
      <c r="BH1900" t="s">
        <v>4188</v>
      </c>
      <c r="BI1900" t="s">
        <v>4189</v>
      </c>
      <c r="BJ1900">
        <v>4.3770000000000003E-2</v>
      </c>
      <c r="BK1900">
        <v>1</v>
      </c>
      <c r="BL1900" t="s">
        <v>69</v>
      </c>
      <c r="BM1900">
        <v>-0.82599999999999996</v>
      </c>
      <c r="BN1900">
        <v>-0.84</v>
      </c>
    </row>
    <row r="1901" spans="2:66">
      <c r="B1901">
        <v>3354</v>
      </c>
      <c r="C1901">
        <v>30</v>
      </c>
      <c r="D1901">
        <v>0</v>
      </c>
      <c r="E1901">
        <v>6</v>
      </c>
      <c r="F1901">
        <v>0</v>
      </c>
      <c r="J1901">
        <v>0</v>
      </c>
      <c r="K1901">
        <v>6</v>
      </c>
      <c r="L1901">
        <v>0</v>
      </c>
      <c r="M1901" t="s">
        <v>25022</v>
      </c>
      <c r="N1901">
        <v>672</v>
      </c>
      <c r="O1901" t="s">
        <v>4190</v>
      </c>
      <c r="P1901" t="s">
        <v>57</v>
      </c>
      <c r="Q1901">
        <v>696195</v>
      </c>
      <c r="R1901">
        <v>696995</v>
      </c>
      <c r="S1901" t="s">
        <v>3095</v>
      </c>
      <c r="T1901">
        <v>267</v>
      </c>
      <c r="U1901" t="s">
        <v>4013</v>
      </c>
      <c r="V1901">
        <v>43</v>
      </c>
      <c r="W1901" t="str">
        <f>HYPERLINK("Gene672-zp_tree_all.dnd", "Gene672-tree")</f>
        <v>Gene672-tree</v>
      </c>
      <c r="X1901">
        <v>8</v>
      </c>
      <c r="Y1901">
        <v>8</v>
      </c>
      <c r="Z1901">
        <v>8</v>
      </c>
      <c r="AA1901">
        <v>8</v>
      </c>
      <c r="AB1901">
        <v>0.5</v>
      </c>
      <c r="AC1901" t="s">
        <v>136</v>
      </c>
      <c r="AD1901" t="s">
        <v>136</v>
      </c>
      <c r="AE1901" t="s">
        <v>62</v>
      </c>
      <c r="AF1901" t="s">
        <v>62</v>
      </c>
      <c r="AG1901">
        <v>3</v>
      </c>
      <c r="AH1901">
        <v>6</v>
      </c>
      <c r="AI1901">
        <v>4</v>
      </c>
      <c r="AJ1901">
        <v>0.6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6</v>
      </c>
      <c r="AQ1901">
        <v>0</v>
      </c>
      <c r="AR1901">
        <v>6</v>
      </c>
      <c r="AS1901">
        <v>4</v>
      </c>
      <c r="AT1901">
        <v>0.6</v>
      </c>
      <c r="AU1901">
        <v>14</v>
      </c>
      <c r="AV1901">
        <v>7</v>
      </c>
      <c r="AW1901">
        <v>21</v>
      </c>
      <c r="AX1901">
        <v>9</v>
      </c>
      <c r="AY1901">
        <v>7</v>
      </c>
      <c r="AZ1901">
        <v>1</v>
      </c>
      <c r="BA1901" t="s">
        <v>4191</v>
      </c>
      <c r="BB1901" t="s">
        <v>4192</v>
      </c>
      <c r="BC1901">
        <v>0.70799999999999996</v>
      </c>
      <c r="BD1901" t="s">
        <v>65</v>
      </c>
      <c r="BE1901">
        <v>28</v>
      </c>
      <c r="BF1901">
        <v>10</v>
      </c>
      <c r="BG1901" t="s">
        <v>4193</v>
      </c>
      <c r="BH1901" t="s">
        <v>4194</v>
      </c>
      <c r="BI1901" t="s">
        <v>4195</v>
      </c>
      <c r="BJ1901">
        <v>8.7800000000000003E-2</v>
      </c>
      <c r="BK1901">
        <v>1</v>
      </c>
      <c r="BL1901" t="s">
        <v>69</v>
      </c>
      <c r="BM1901">
        <v>-0.64600000000000002</v>
      </c>
      <c r="BN1901">
        <v>-0.73599999999999999</v>
      </c>
    </row>
    <row r="1902" spans="2:66">
      <c r="B1902">
        <v>3355</v>
      </c>
      <c r="C1902">
        <v>240</v>
      </c>
      <c r="D1902">
        <v>0</v>
      </c>
      <c r="E1902">
        <v>10</v>
      </c>
      <c r="F1902">
        <v>1</v>
      </c>
      <c r="J1902">
        <v>0</v>
      </c>
      <c r="K1902">
        <v>0</v>
      </c>
      <c r="L1902">
        <v>0</v>
      </c>
      <c r="M1902" t="s">
        <v>25022</v>
      </c>
      <c r="N1902">
        <v>673</v>
      </c>
      <c r="O1902" t="s">
        <v>4196</v>
      </c>
      <c r="P1902" t="s">
        <v>57</v>
      </c>
      <c r="Q1902">
        <v>697157</v>
      </c>
      <c r="R1902">
        <v>697321</v>
      </c>
      <c r="S1902" t="s">
        <v>2302</v>
      </c>
      <c r="T1902">
        <v>55</v>
      </c>
      <c r="U1902" t="s">
        <v>4197</v>
      </c>
      <c r="V1902">
        <v>44</v>
      </c>
      <c r="W1902" t="str">
        <f>HYPERLINK("Gene673-zp_tree_all.dnd", "Gene673-tree")</f>
        <v>Gene673-tree</v>
      </c>
      <c r="X1902">
        <v>9</v>
      </c>
      <c r="Y1902">
        <v>2</v>
      </c>
      <c r="Z1902">
        <v>9</v>
      </c>
      <c r="AA1902">
        <v>2</v>
      </c>
      <c r="AB1902">
        <v>0.18182000000000001</v>
      </c>
      <c r="AC1902" t="s">
        <v>135</v>
      </c>
      <c r="AD1902" t="s">
        <v>81</v>
      </c>
      <c r="AE1902" t="s">
        <v>62</v>
      </c>
      <c r="AF1902" t="s">
        <v>62</v>
      </c>
      <c r="AG1902">
        <v>0</v>
      </c>
      <c r="AH1902">
        <v>0</v>
      </c>
      <c r="AI1902">
        <v>3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2</v>
      </c>
      <c r="AT1902">
        <v>0</v>
      </c>
      <c r="AU1902">
        <v>6</v>
      </c>
      <c r="AV1902">
        <v>4</v>
      </c>
      <c r="AW1902">
        <v>11</v>
      </c>
      <c r="AX1902">
        <v>2</v>
      </c>
      <c r="AY1902">
        <v>3</v>
      </c>
      <c r="AZ1902">
        <v>1</v>
      </c>
      <c r="BA1902" t="s">
        <v>4198</v>
      </c>
      <c r="BB1902" t="s">
        <v>4199</v>
      </c>
      <c r="BC1902">
        <v>0.27100000000000002</v>
      </c>
      <c r="BD1902" t="s">
        <v>65</v>
      </c>
      <c r="BE1902">
        <v>14</v>
      </c>
      <c r="BF1902">
        <v>3</v>
      </c>
      <c r="BG1902" t="s">
        <v>4200</v>
      </c>
      <c r="BH1902" t="s">
        <v>4201</v>
      </c>
      <c r="BI1902" t="s">
        <v>4202</v>
      </c>
      <c r="BJ1902">
        <v>5.867E-2</v>
      </c>
      <c r="BK1902">
        <v>1</v>
      </c>
      <c r="BL1902" t="s">
        <v>69</v>
      </c>
      <c r="BM1902">
        <v>-0.97</v>
      </c>
      <c r="BN1902">
        <v>-2.9319999999999999</v>
      </c>
    </row>
    <row r="1903" spans="2:66">
      <c r="B1903">
        <v>3356</v>
      </c>
      <c r="C1903">
        <v>130</v>
      </c>
      <c r="D1903">
        <v>0</v>
      </c>
      <c r="E1903">
        <v>4</v>
      </c>
      <c r="F1903">
        <v>0</v>
      </c>
      <c r="J1903">
        <v>0</v>
      </c>
      <c r="K1903">
        <v>4</v>
      </c>
      <c r="L1903">
        <v>0</v>
      </c>
      <c r="M1903" t="s">
        <v>25022</v>
      </c>
      <c r="N1903">
        <v>674</v>
      </c>
      <c r="O1903" t="s">
        <v>4203</v>
      </c>
      <c r="P1903" t="s">
        <v>57</v>
      </c>
      <c r="Q1903">
        <v>697538</v>
      </c>
      <c r="R1903">
        <v>698089</v>
      </c>
      <c r="S1903" t="s">
        <v>288</v>
      </c>
      <c r="T1903">
        <v>184</v>
      </c>
      <c r="U1903" t="s">
        <v>4088</v>
      </c>
      <c r="V1903">
        <v>48</v>
      </c>
      <c r="W1903" t="str">
        <f>HYPERLINK("Gene674-zp_tree_all.dnd", "Gene674-tree")</f>
        <v>Gene674-tree</v>
      </c>
      <c r="X1903">
        <v>16</v>
      </c>
      <c r="Y1903">
        <v>3</v>
      </c>
      <c r="Z1903">
        <v>16</v>
      </c>
      <c r="AA1903">
        <v>3</v>
      </c>
      <c r="AB1903">
        <v>0.15789</v>
      </c>
      <c r="AC1903" t="s">
        <v>60</v>
      </c>
      <c r="AD1903" t="s">
        <v>324</v>
      </c>
      <c r="AE1903" t="s">
        <v>62</v>
      </c>
      <c r="AF1903" t="s">
        <v>62</v>
      </c>
      <c r="AG1903">
        <v>1</v>
      </c>
      <c r="AH1903">
        <v>4</v>
      </c>
      <c r="AI1903">
        <v>5</v>
      </c>
      <c r="AJ1903">
        <v>0.44444</v>
      </c>
      <c r="AK1903">
        <v>2</v>
      </c>
      <c r="AL1903">
        <v>0</v>
      </c>
      <c r="AM1903">
        <v>2</v>
      </c>
      <c r="AN1903">
        <v>1</v>
      </c>
      <c r="AO1903">
        <v>0.66666999999999998</v>
      </c>
      <c r="AP1903">
        <v>0</v>
      </c>
      <c r="AQ1903">
        <v>0</v>
      </c>
      <c r="AR1903">
        <v>0</v>
      </c>
      <c r="AS1903">
        <v>3</v>
      </c>
      <c r="AT1903">
        <v>0</v>
      </c>
      <c r="AU1903">
        <v>9</v>
      </c>
      <c r="AV1903">
        <v>13</v>
      </c>
      <c r="AW1903">
        <v>21</v>
      </c>
      <c r="AX1903">
        <v>3</v>
      </c>
      <c r="AY1903">
        <v>32</v>
      </c>
      <c r="AZ1903">
        <v>6</v>
      </c>
      <c r="BA1903" t="s">
        <v>4204</v>
      </c>
      <c r="BB1903" t="s">
        <v>4205</v>
      </c>
      <c r="BC1903">
        <v>0.21199999999999999</v>
      </c>
      <c r="BD1903" t="s">
        <v>65</v>
      </c>
      <c r="BE1903">
        <v>53</v>
      </c>
      <c r="BF1903">
        <v>9</v>
      </c>
      <c r="BG1903" t="s">
        <v>4206</v>
      </c>
      <c r="BH1903" t="s">
        <v>4207</v>
      </c>
      <c r="BI1903" t="s">
        <v>4208</v>
      </c>
      <c r="BJ1903">
        <v>4.648E-2</v>
      </c>
      <c r="BK1903">
        <v>1</v>
      </c>
      <c r="BL1903" t="s">
        <v>69</v>
      </c>
      <c r="BM1903">
        <v>-1.43</v>
      </c>
      <c r="BN1903">
        <v>-0.76800000000000002</v>
      </c>
    </row>
    <row r="1904" spans="2:66">
      <c r="B1904">
        <v>3358</v>
      </c>
      <c r="C1904">
        <v>61</v>
      </c>
      <c r="D1904">
        <v>0</v>
      </c>
      <c r="E1904">
        <v>4</v>
      </c>
      <c r="F1904">
        <v>2</v>
      </c>
      <c r="J1904">
        <v>0</v>
      </c>
      <c r="K1904">
        <v>0</v>
      </c>
      <c r="L1904">
        <v>0</v>
      </c>
      <c r="M1904" t="s">
        <v>25022</v>
      </c>
      <c r="N1904">
        <v>675</v>
      </c>
      <c r="O1904" t="s">
        <v>4209</v>
      </c>
      <c r="P1904" t="s">
        <v>57</v>
      </c>
      <c r="Q1904">
        <v>698092</v>
      </c>
      <c r="R1904">
        <v>698286</v>
      </c>
      <c r="S1904" t="s">
        <v>288</v>
      </c>
      <c r="T1904">
        <v>65</v>
      </c>
      <c r="U1904" t="s">
        <v>4088</v>
      </c>
      <c r="V1904">
        <v>48</v>
      </c>
      <c r="W1904" t="str">
        <f>HYPERLINK("Gene675-zp_tree_all.dnd", "Gene675-tree")</f>
        <v>Gene675-tree</v>
      </c>
      <c r="X1904">
        <v>42</v>
      </c>
      <c r="Y1904">
        <v>1</v>
      </c>
      <c r="Z1904">
        <v>8</v>
      </c>
      <c r="AA1904">
        <v>1</v>
      </c>
      <c r="AB1904">
        <v>0.11111</v>
      </c>
      <c r="AC1904" t="s">
        <v>4210</v>
      </c>
      <c r="AD1904" t="s">
        <v>175</v>
      </c>
      <c r="AE1904" t="s">
        <v>62</v>
      </c>
      <c r="AF1904" t="s">
        <v>62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8</v>
      </c>
      <c r="AV1904">
        <v>3</v>
      </c>
      <c r="AW1904">
        <v>8</v>
      </c>
      <c r="AX1904">
        <v>1</v>
      </c>
      <c r="AY1904">
        <v>5</v>
      </c>
      <c r="AZ1904">
        <v>0</v>
      </c>
      <c r="BA1904" t="s">
        <v>4211</v>
      </c>
      <c r="BB1904" t="s">
        <v>193</v>
      </c>
      <c r="BC1904">
        <v>0.39</v>
      </c>
      <c r="BD1904" t="s">
        <v>65</v>
      </c>
      <c r="BE1904">
        <v>13</v>
      </c>
      <c r="BF1904">
        <v>1</v>
      </c>
      <c r="BG1904" t="s">
        <v>4212</v>
      </c>
      <c r="BH1904" t="s">
        <v>4213</v>
      </c>
      <c r="BI1904" t="s">
        <v>4214</v>
      </c>
      <c r="BJ1904">
        <v>1.4330000000000001E-2</v>
      </c>
      <c r="BK1904">
        <v>1</v>
      </c>
      <c r="BL1904" t="s">
        <v>69</v>
      </c>
      <c r="BM1904">
        <v>-1.9239999999999999</v>
      </c>
      <c r="BN1904">
        <v>-1.732</v>
      </c>
    </row>
    <row r="1905" spans="2:66">
      <c r="B1905">
        <v>3359</v>
      </c>
      <c r="C1905">
        <v>289</v>
      </c>
      <c r="D1905">
        <v>0</v>
      </c>
      <c r="E1905">
        <v>12</v>
      </c>
      <c r="F1905">
        <v>4</v>
      </c>
      <c r="J1905">
        <v>0</v>
      </c>
      <c r="K1905">
        <v>3</v>
      </c>
      <c r="L1905">
        <v>0</v>
      </c>
      <c r="M1905" t="s">
        <v>25022</v>
      </c>
      <c r="N1905">
        <v>676</v>
      </c>
      <c r="O1905" t="s">
        <v>4215</v>
      </c>
      <c r="P1905" t="s">
        <v>57</v>
      </c>
      <c r="Q1905">
        <v>698612</v>
      </c>
      <c r="R1905">
        <v>699097</v>
      </c>
      <c r="S1905" t="s">
        <v>4216</v>
      </c>
      <c r="T1905">
        <v>162</v>
      </c>
      <c r="U1905" t="s">
        <v>4088</v>
      </c>
      <c r="V1905">
        <v>48</v>
      </c>
      <c r="W1905" t="str">
        <f>HYPERLINK("Gene676-zp_tree_all.dnd", "Gene676-tree")</f>
        <v>Gene676-tree</v>
      </c>
      <c r="X1905">
        <v>13</v>
      </c>
      <c r="Y1905">
        <v>3</v>
      </c>
      <c r="Z1905">
        <v>13</v>
      </c>
      <c r="AA1905">
        <v>3</v>
      </c>
      <c r="AB1905">
        <v>0.1875</v>
      </c>
      <c r="AC1905" t="s">
        <v>507</v>
      </c>
      <c r="AD1905" t="s">
        <v>324</v>
      </c>
      <c r="AE1905" t="s">
        <v>62</v>
      </c>
      <c r="AF1905" t="s">
        <v>62</v>
      </c>
      <c r="AG1905">
        <v>1</v>
      </c>
      <c r="AH1905">
        <v>3</v>
      </c>
      <c r="AI1905">
        <v>5</v>
      </c>
      <c r="AJ1905">
        <v>0.375</v>
      </c>
      <c r="AK1905">
        <v>0</v>
      </c>
      <c r="AL1905">
        <v>0</v>
      </c>
      <c r="AM1905">
        <v>0</v>
      </c>
      <c r="AN1905">
        <v>2</v>
      </c>
      <c r="AO1905">
        <v>0</v>
      </c>
      <c r="AP1905">
        <v>2</v>
      </c>
      <c r="AQ1905">
        <v>0</v>
      </c>
      <c r="AR1905">
        <v>2</v>
      </c>
      <c r="AS1905">
        <v>1</v>
      </c>
      <c r="AT1905">
        <v>0.66666999999999998</v>
      </c>
      <c r="AU1905">
        <v>10</v>
      </c>
      <c r="AV1905">
        <v>8</v>
      </c>
      <c r="AW1905">
        <v>16</v>
      </c>
      <c r="AX1905">
        <v>3</v>
      </c>
      <c r="AY1905">
        <v>32</v>
      </c>
      <c r="AZ1905">
        <v>5</v>
      </c>
      <c r="BA1905" t="s">
        <v>4217</v>
      </c>
      <c r="BB1905" t="s">
        <v>4218</v>
      </c>
      <c r="BC1905">
        <v>0.188</v>
      </c>
      <c r="BD1905" t="s">
        <v>65</v>
      </c>
      <c r="BE1905">
        <v>48</v>
      </c>
      <c r="BF1905">
        <v>8</v>
      </c>
      <c r="BG1905" t="s">
        <v>4219</v>
      </c>
      <c r="BH1905" t="s">
        <v>4220</v>
      </c>
      <c r="BI1905" t="s">
        <v>4221</v>
      </c>
      <c r="BJ1905">
        <v>5.7540000000000001E-2</v>
      </c>
      <c r="BK1905">
        <v>1</v>
      </c>
      <c r="BL1905" t="s">
        <v>69</v>
      </c>
      <c r="BM1905">
        <v>-1.478</v>
      </c>
      <c r="BN1905">
        <v>-0.115</v>
      </c>
    </row>
    <row r="1906" spans="2:66">
      <c r="B1906">
        <v>3361</v>
      </c>
      <c r="C1906">
        <v>53</v>
      </c>
      <c r="D1906">
        <v>0</v>
      </c>
      <c r="E1906">
        <v>18</v>
      </c>
      <c r="F1906">
        <v>0</v>
      </c>
      <c r="J1906">
        <v>0</v>
      </c>
      <c r="K1906">
        <v>9</v>
      </c>
      <c r="L1906">
        <v>7</v>
      </c>
      <c r="M1906" t="s">
        <v>25022</v>
      </c>
      <c r="N1906">
        <v>677</v>
      </c>
      <c r="O1906" t="s">
        <v>4222</v>
      </c>
      <c r="P1906" t="s">
        <v>57</v>
      </c>
      <c r="Q1906">
        <v>699093</v>
      </c>
      <c r="R1906">
        <v>700232</v>
      </c>
      <c r="S1906" t="s">
        <v>4223</v>
      </c>
      <c r="T1906">
        <v>380</v>
      </c>
      <c r="U1906" t="s">
        <v>4224</v>
      </c>
      <c r="V1906">
        <v>44</v>
      </c>
      <c r="W1906" t="str">
        <f>HYPERLINK("Gene677-zp_tree_all.dnd", "Gene677-tree")</f>
        <v>Gene677-tree</v>
      </c>
      <c r="X1906">
        <v>4</v>
      </c>
      <c r="Y1906">
        <v>11</v>
      </c>
      <c r="Z1906">
        <v>4</v>
      </c>
      <c r="AA1906">
        <v>11</v>
      </c>
      <c r="AB1906">
        <v>0.73333000000000004</v>
      </c>
      <c r="AC1906" t="s">
        <v>61</v>
      </c>
      <c r="AD1906" t="s">
        <v>73</v>
      </c>
      <c r="AE1906">
        <v>200307210.301</v>
      </c>
      <c r="AF1906" t="s">
        <v>267</v>
      </c>
      <c r="AG1906">
        <v>7</v>
      </c>
      <c r="AH1906">
        <v>16</v>
      </c>
      <c r="AI1906">
        <v>26</v>
      </c>
      <c r="AJ1906">
        <v>0.38095000000000001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6</v>
      </c>
      <c r="AQ1906">
        <v>6</v>
      </c>
      <c r="AR1906">
        <v>12</v>
      </c>
      <c r="AS1906">
        <v>21</v>
      </c>
      <c r="AT1906">
        <v>0.36364000000000002</v>
      </c>
      <c r="AU1906">
        <v>15</v>
      </c>
      <c r="AV1906">
        <v>10</v>
      </c>
      <c r="AW1906">
        <v>74</v>
      </c>
      <c r="AX1906">
        <v>35</v>
      </c>
      <c r="AY1906">
        <v>15</v>
      </c>
      <c r="AZ1906">
        <v>10</v>
      </c>
      <c r="BA1906" t="s">
        <v>4225</v>
      </c>
      <c r="BB1906" t="s">
        <v>4226</v>
      </c>
      <c r="BC1906">
        <v>0.32100000000000001</v>
      </c>
      <c r="BD1906" t="s">
        <v>65</v>
      </c>
      <c r="BE1906">
        <v>89</v>
      </c>
      <c r="BF1906">
        <v>45</v>
      </c>
      <c r="BG1906" t="s">
        <v>4227</v>
      </c>
      <c r="BH1906" t="s">
        <v>4228</v>
      </c>
      <c r="BI1906" t="s">
        <v>4229</v>
      </c>
      <c r="BJ1906">
        <v>0.15770999999999999</v>
      </c>
      <c r="BK1906">
        <v>1</v>
      </c>
      <c r="BL1906" t="s">
        <v>69</v>
      </c>
      <c r="BM1906">
        <v>-1.3819999999999999</v>
      </c>
      <c r="BN1906">
        <v>-3.613</v>
      </c>
    </row>
    <row r="1907" spans="2:66">
      <c r="B1907">
        <v>3362</v>
      </c>
      <c r="C1907">
        <v>424</v>
      </c>
      <c r="D1907">
        <v>0</v>
      </c>
      <c r="E1907">
        <v>13</v>
      </c>
      <c r="F1907">
        <v>2</v>
      </c>
      <c r="J1907">
        <v>0</v>
      </c>
      <c r="K1907">
        <v>9</v>
      </c>
      <c r="L1907">
        <v>0</v>
      </c>
      <c r="M1907" t="s">
        <v>25022</v>
      </c>
      <c r="N1907">
        <v>678</v>
      </c>
      <c r="O1907" t="s">
        <v>4230</v>
      </c>
      <c r="P1907" t="s">
        <v>57</v>
      </c>
      <c r="Q1907">
        <v>700232</v>
      </c>
      <c r="R1907">
        <v>701524</v>
      </c>
      <c r="S1907" t="s">
        <v>4231</v>
      </c>
      <c r="T1907">
        <v>431</v>
      </c>
      <c r="U1907" t="s">
        <v>4088</v>
      </c>
      <c r="V1907">
        <v>48</v>
      </c>
      <c r="W1907" t="str">
        <f>HYPERLINK("Gene678-zp_tree_all.dnd", "Gene678-tree")</f>
        <v>Gene678-tree</v>
      </c>
      <c r="X1907">
        <v>16</v>
      </c>
      <c r="Y1907">
        <v>6</v>
      </c>
      <c r="Z1907">
        <v>16</v>
      </c>
      <c r="AA1907">
        <v>6</v>
      </c>
      <c r="AB1907">
        <v>0.27272999999999997</v>
      </c>
      <c r="AC1907" t="s">
        <v>60</v>
      </c>
      <c r="AD1907" t="s">
        <v>90</v>
      </c>
      <c r="AE1907" t="s">
        <v>62</v>
      </c>
      <c r="AF1907" t="s">
        <v>62</v>
      </c>
      <c r="AG1907">
        <v>2</v>
      </c>
      <c r="AH1907">
        <v>9</v>
      </c>
      <c r="AI1907">
        <v>3</v>
      </c>
      <c r="AJ1907">
        <v>0.75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4</v>
      </c>
      <c r="AQ1907">
        <v>0</v>
      </c>
      <c r="AR1907">
        <v>4</v>
      </c>
      <c r="AS1907">
        <v>2</v>
      </c>
      <c r="AT1907">
        <v>0.66666999999999998</v>
      </c>
      <c r="AU1907">
        <v>20</v>
      </c>
      <c r="AV1907">
        <v>19</v>
      </c>
      <c r="AW1907">
        <v>113</v>
      </c>
      <c r="AX1907">
        <v>6</v>
      </c>
      <c r="AY1907">
        <v>125</v>
      </c>
      <c r="AZ1907">
        <v>6</v>
      </c>
      <c r="BA1907" t="s">
        <v>4232</v>
      </c>
      <c r="BB1907" t="s">
        <v>4233</v>
      </c>
      <c r="BC1907">
        <v>0.121</v>
      </c>
      <c r="BD1907" t="s">
        <v>65</v>
      </c>
      <c r="BE1907">
        <v>238</v>
      </c>
      <c r="BF1907">
        <v>12</v>
      </c>
      <c r="BG1907" t="s">
        <v>4234</v>
      </c>
      <c r="BH1907" t="s">
        <v>4235</v>
      </c>
      <c r="BI1907" t="s">
        <v>4236</v>
      </c>
      <c r="BJ1907">
        <v>1.1339999999999999E-2</v>
      </c>
      <c r="BK1907">
        <v>1</v>
      </c>
      <c r="BL1907" t="s">
        <v>69</v>
      </c>
      <c r="BM1907">
        <v>-0.315</v>
      </c>
      <c r="BN1907">
        <v>-0.114</v>
      </c>
    </row>
    <row r="1908" spans="2:66">
      <c r="B1908">
        <v>3363</v>
      </c>
      <c r="C1908">
        <v>91</v>
      </c>
      <c r="D1908">
        <v>0</v>
      </c>
      <c r="E1908">
        <v>24</v>
      </c>
      <c r="F1908">
        <v>0</v>
      </c>
      <c r="J1908">
        <v>0</v>
      </c>
      <c r="K1908">
        <v>10</v>
      </c>
      <c r="L1908">
        <v>3</v>
      </c>
      <c r="M1908" t="s">
        <v>25022</v>
      </c>
      <c r="N1908">
        <v>679</v>
      </c>
      <c r="O1908" t="s">
        <v>4237</v>
      </c>
      <c r="P1908" t="s">
        <v>57</v>
      </c>
      <c r="Q1908">
        <v>701601</v>
      </c>
      <c r="R1908">
        <v>702323</v>
      </c>
      <c r="S1908" t="s">
        <v>4238</v>
      </c>
      <c r="T1908">
        <v>241</v>
      </c>
      <c r="U1908" t="s">
        <v>4239</v>
      </c>
      <c r="V1908">
        <v>47</v>
      </c>
      <c r="W1908" t="str">
        <f>HYPERLINK("Gene679-zp_tree_all.dnd", "Gene679-tree")</f>
        <v>Gene679-tree</v>
      </c>
      <c r="X1908">
        <v>7</v>
      </c>
      <c r="Y1908">
        <v>12</v>
      </c>
      <c r="Z1908">
        <v>7</v>
      </c>
      <c r="AA1908">
        <v>12</v>
      </c>
      <c r="AB1908">
        <v>0.63158000000000003</v>
      </c>
      <c r="AC1908" t="s">
        <v>152</v>
      </c>
      <c r="AD1908" t="s">
        <v>109</v>
      </c>
      <c r="AE1908" t="s">
        <v>62</v>
      </c>
      <c r="AF1908" t="s">
        <v>62</v>
      </c>
      <c r="AG1908">
        <v>5</v>
      </c>
      <c r="AH1908">
        <v>13</v>
      </c>
      <c r="AI1908">
        <v>11</v>
      </c>
      <c r="AJ1908">
        <v>0.54166999999999998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2</v>
      </c>
      <c r="AQ1908">
        <v>1</v>
      </c>
      <c r="AR1908">
        <v>3</v>
      </c>
      <c r="AS1908">
        <v>13</v>
      </c>
      <c r="AT1908">
        <v>0.1875</v>
      </c>
      <c r="AU1908">
        <v>13</v>
      </c>
      <c r="AV1908">
        <v>15</v>
      </c>
      <c r="AW1908">
        <v>38</v>
      </c>
      <c r="AX1908">
        <v>11</v>
      </c>
      <c r="AY1908">
        <v>61</v>
      </c>
      <c r="AZ1908">
        <v>16</v>
      </c>
      <c r="BA1908" t="s">
        <v>4240</v>
      </c>
      <c r="BB1908" t="s">
        <v>4241</v>
      </c>
      <c r="BC1908">
        <v>0.107</v>
      </c>
      <c r="BD1908" t="s">
        <v>65</v>
      </c>
      <c r="BE1908">
        <v>99</v>
      </c>
      <c r="BF1908">
        <v>27</v>
      </c>
      <c r="BG1908" t="s">
        <v>4242</v>
      </c>
      <c r="BH1908" t="s">
        <v>4243</v>
      </c>
      <c r="BI1908" t="s">
        <v>4244</v>
      </c>
      <c r="BJ1908">
        <v>6.5939999999999999E-2</v>
      </c>
      <c r="BK1908">
        <v>1</v>
      </c>
      <c r="BL1908" t="s">
        <v>69</v>
      </c>
      <c r="BM1908">
        <v>-0.19</v>
      </c>
      <c r="BN1908">
        <v>-0.41799999999999998</v>
      </c>
    </row>
    <row r="1909" spans="2:66">
      <c r="B1909">
        <v>3364</v>
      </c>
      <c r="C1909">
        <v>13</v>
      </c>
      <c r="D1909">
        <v>0</v>
      </c>
      <c r="E1909">
        <v>9</v>
      </c>
      <c r="F1909">
        <v>2</v>
      </c>
      <c r="J1909">
        <v>0</v>
      </c>
      <c r="K1909">
        <v>0</v>
      </c>
      <c r="L1909">
        <v>0</v>
      </c>
      <c r="M1909" t="s">
        <v>25022</v>
      </c>
      <c r="N1909">
        <v>680</v>
      </c>
      <c r="O1909" t="s">
        <v>4245</v>
      </c>
      <c r="P1909" t="s">
        <v>57</v>
      </c>
      <c r="Q1909">
        <v>702319</v>
      </c>
      <c r="R1909">
        <v>702570</v>
      </c>
      <c r="S1909" t="s">
        <v>4246</v>
      </c>
      <c r="T1909">
        <v>84</v>
      </c>
      <c r="U1909" t="s">
        <v>4088</v>
      </c>
      <c r="V1909">
        <v>48</v>
      </c>
      <c r="W1909" t="str">
        <f>HYPERLINK("Gene680-zp_tree_all.dnd", "Gene680-tree")</f>
        <v>Gene680-tree</v>
      </c>
      <c r="X1909">
        <v>11</v>
      </c>
      <c r="Y1909">
        <v>2</v>
      </c>
      <c r="Z1909">
        <v>11</v>
      </c>
      <c r="AA1909">
        <v>2</v>
      </c>
      <c r="AB1909">
        <v>0.15384999999999999</v>
      </c>
      <c r="AC1909" t="s">
        <v>73</v>
      </c>
      <c r="AD1909" t="s">
        <v>81</v>
      </c>
      <c r="AE1909" t="s">
        <v>62</v>
      </c>
      <c r="AF1909" t="s">
        <v>62</v>
      </c>
      <c r="AG1909">
        <v>0</v>
      </c>
      <c r="AH1909">
        <v>0</v>
      </c>
      <c r="AI1909">
        <v>3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0</v>
      </c>
      <c r="AU1909">
        <v>8</v>
      </c>
      <c r="AV1909">
        <v>6</v>
      </c>
      <c r="AW1909">
        <v>12</v>
      </c>
      <c r="AX1909">
        <v>2</v>
      </c>
      <c r="AY1909">
        <v>11</v>
      </c>
      <c r="AZ1909">
        <v>1</v>
      </c>
      <c r="BA1909" t="s">
        <v>4247</v>
      </c>
      <c r="BB1909" t="s">
        <v>4248</v>
      </c>
      <c r="BC1909">
        <v>0.27700000000000002</v>
      </c>
      <c r="BD1909" t="s">
        <v>65</v>
      </c>
      <c r="BE1909">
        <v>23</v>
      </c>
      <c r="BF1909">
        <v>3</v>
      </c>
      <c r="BG1909" t="s">
        <v>4249</v>
      </c>
      <c r="BH1909" t="s">
        <v>4250</v>
      </c>
      <c r="BI1909" t="s">
        <v>4251</v>
      </c>
      <c r="BJ1909">
        <v>2.9690000000000001E-2</v>
      </c>
      <c r="BK1909">
        <v>1</v>
      </c>
      <c r="BL1909" t="s">
        <v>69</v>
      </c>
      <c r="BM1909">
        <v>-1.046</v>
      </c>
      <c r="BN1909">
        <v>-0.76300000000000001</v>
      </c>
    </row>
    <row r="1910" spans="2:66">
      <c r="B1910">
        <v>3366</v>
      </c>
      <c r="C1910">
        <v>3</v>
      </c>
      <c r="D1910">
        <v>0</v>
      </c>
      <c r="E1910">
        <v>4</v>
      </c>
      <c r="F1910">
        <v>0</v>
      </c>
      <c r="J1910">
        <v>0</v>
      </c>
      <c r="K1910">
        <v>4</v>
      </c>
      <c r="L1910">
        <v>2</v>
      </c>
      <c r="M1910" t="s">
        <v>25022</v>
      </c>
      <c r="N1910">
        <v>681</v>
      </c>
      <c r="O1910" t="s">
        <v>4252</v>
      </c>
      <c r="P1910" t="s">
        <v>57</v>
      </c>
      <c r="Q1910">
        <v>702570</v>
      </c>
      <c r="R1910">
        <v>703250</v>
      </c>
      <c r="S1910" t="s">
        <v>4253</v>
      </c>
      <c r="T1910">
        <v>227</v>
      </c>
      <c r="U1910" t="s">
        <v>4088</v>
      </c>
      <c r="V1910">
        <v>48</v>
      </c>
      <c r="W1910" t="str">
        <f>HYPERLINK("Gene681-zp_tree_all.dnd", "Gene681-tree")</f>
        <v>Gene681-tree</v>
      </c>
      <c r="X1910">
        <v>10</v>
      </c>
      <c r="Y1910">
        <v>10</v>
      </c>
      <c r="Z1910">
        <v>10</v>
      </c>
      <c r="AA1910">
        <v>10</v>
      </c>
      <c r="AB1910">
        <v>0.5</v>
      </c>
      <c r="AC1910" t="s">
        <v>117</v>
      </c>
      <c r="AD1910" t="s">
        <v>117</v>
      </c>
      <c r="AE1910" t="s">
        <v>62</v>
      </c>
      <c r="AF1910" t="s">
        <v>62</v>
      </c>
      <c r="AG1910">
        <v>3</v>
      </c>
      <c r="AH1910">
        <v>6</v>
      </c>
      <c r="AI1910">
        <v>10</v>
      </c>
      <c r="AJ1910">
        <v>0.375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2</v>
      </c>
      <c r="AQ1910">
        <v>2</v>
      </c>
      <c r="AR1910">
        <v>4</v>
      </c>
      <c r="AS1910">
        <v>9</v>
      </c>
      <c r="AT1910">
        <v>0.30769000000000002</v>
      </c>
      <c r="AU1910">
        <v>17</v>
      </c>
      <c r="AV1910">
        <v>13</v>
      </c>
      <c r="AW1910">
        <v>33</v>
      </c>
      <c r="AX1910">
        <v>12</v>
      </c>
      <c r="AY1910">
        <v>56</v>
      </c>
      <c r="AZ1910">
        <v>4</v>
      </c>
      <c r="BA1910" t="s">
        <v>4254</v>
      </c>
      <c r="BB1910" t="s">
        <v>4255</v>
      </c>
      <c r="BC1910">
        <v>1.45</v>
      </c>
      <c r="BD1910" t="s">
        <v>65</v>
      </c>
      <c r="BE1910">
        <v>89</v>
      </c>
      <c r="BF1910">
        <v>16</v>
      </c>
      <c r="BG1910" t="s">
        <v>4256</v>
      </c>
      <c r="BH1910" t="s">
        <v>4257</v>
      </c>
      <c r="BI1910" t="s">
        <v>4258</v>
      </c>
      <c r="BJ1910">
        <v>4.632E-2</v>
      </c>
      <c r="BK1910">
        <v>1</v>
      </c>
      <c r="BL1910" t="s">
        <v>69</v>
      </c>
      <c r="BM1910">
        <v>-0.95799999999999996</v>
      </c>
      <c r="BN1910">
        <v>-1.3580000000000001</v>
      </c>
    </row>
    <row r="1911" spans="2:66">
      <c r="B1911">
        <v>3367</v>
      </c>
      <c r="C1911">
        <v>414</v>
      </c>
      <c r="D1911">
        <v>3</v>
      </c>
      <c r="E1911">
        <v>35</v>
      </c>
      <c r="F1911">
        <v>3</v>
      </c>
      <c r="J1911">
        <v>0</v>
      </c>
      <c r="K1911">
        <v>10</v>
      </c>
      <c r="L1911">
        <v>1</v>
      </c>
      <c r="M1911" t="s">
        <v>25022</v>
      </c>
      <c r="N1911">
        <v>682</v>
      </c>
      <c r="O1911" t="s">
        <v>4259</v>
      </c>
      <c r="P1911" t="s">
        <v>57</v>
      </c>
      <c r="Q1911">
        <v>703237</v>
      </c>
      <c r="R1911">
        <v>705462</v>
      </c>
      <c r="S1911" t="s">
        <v>4260</v>
      </c>
      <c r="T1911">
        <v>742</v>
      </c>
      <c r="U1911" t="s">
        <v>4013</v>
      </c>
      <c r="V1911">
        <v>43</v>
      </c>
      <c r="W1911" t="str">
        <f>HYPERLINK("Gene682-zp_tree_all.dnd", "Gene682-tree")</f>
        <v>Gene682-tree</v>
      </c>
      <c r="X1911">
        <v>6</v>
      </c>
      <c r="Y1911">
        <v>11</v>
      </c>
      <c r="Z1911">
        <v>6</v>
      </c>
      <c r="AA1911">
        <v>11</v>
      </c>
      <c r="AB1911">
        <v>0.64705999999999997</v>
      </c>
      <c r="AC1911" t="s">
        <v>90</v>
      </c>
      <c r="AD1911" t="s">
        <v>73</v>
      </c>
      <c r="AE1911">
        <v>95384385.856999993</v>
      </c>
      <c r="AF1911" t="s">
        <v>267</v>
      </c>
      <c r="AG1911">
        <v>5</v>
      </c>
      <c r="AH1911">
        <v>11</v>
      </c>
      <c r="AI1911">
        <v>12</v>
      </c>
      <c r="AJ1911">
        <v>0.47826000000000002</v>
      </c>
      <c r="AK1911">
        <v>0</v>
      </c>
      <c r="AL1911">
        <v>0</v>
      </c>
      <c r="AM1911">
        <v>0</v>
      </c>
      <c r="AN1911">
        <v>2</v>
      </c>
      <c r="AO1911">
        <v>0</v>
      </c>
      <c r="AP1911">
        <v>2</v>
      </c>
      <c r="AQ1911">
        <v>2</v>
      </c>
      <c r="AR1911">
        <v>4</v>
      </c>
      <c r="AS1911">
        <v>14</v>
      </c>
      <c r="AT1911">
        <v>0.22222</v>
      </c>
      <c r="AU1911">
        <v>15</v>
      </c>
      <c r="AV1911">
        <v>13</v>
      </c>
      <c r="AW1911">
        <v>124</v>
      </c>
      <c r="AX1911">
        <v>19</v>
      </c>
      <c r="AY1911">
        <v>54</v>
      </c>
      <c r="AZ1911">
        <v>5</v>
      </c>
      <c r="BA1911" t="s">
        <v>4261</v>
      </c>
      <c r="BB1911" t="s">
        <v>4262</v>
      </c>
      <c r="BC1911">
        <v>0.748</v>
      </c>
      <c r="BD1911" t="s">
        <v>65</v>
      </c>
      <c r="BE1911">
        <v>178</v>
      </c>
      <c r="BF1911">
        <v>24</v>
      </c>
      <c r="BG1911" t="s">
        <v>4263</v>
      </c>
      <c r="BH1911" t="s">
        <v>4264</v>
      </c>
      <c r="BI1911" t="s">
        <v>4265</v>
      </c>
      <c r="BJ1911">
        <v>3.8559999999999997E-2</v>
      </c>
      <c r="BK1911">
        <v>1</v>
      </c>
      <c r="BL1911" t="s">
        <v>69</v>
      </c>
      <c r="BM1911">
        <v>-0.753</v>
      </c>
      <c r="BN1911">
        <v>-1.173</v>
      </c>
    </row>
    <row r="1912" spans="2:66">
      <c r="B1912">
        <v>3368</v>
      </c>
      <c r="C1912">
        <v>18</v>
      </c>
      <c r="D1912">
        <v>0</v>
      </c>
      <c r="E1912">
        <v>15</v>
      </c>
      <c r="F1912">
        <v>4</v>
      </c>
      <c r="J1912">
        <v>0</v>
      </c>
      <c r="K1912">
        <v>0</v>
      </c>
      <c r="L1912">
        <v>0</v>
      </c>
      <c r="M1912" t="s">
        <v>25022</v>
      </c>
      <c r="N1912">
        <v>683</v>
      </c>
      <c r="O1912" t="s">
        <v>4266</v>
      </c>
      <c r="P1912" t="s">
        <v>57</v>
      </c>
      <c r="Q1912">
        <v>705441</v>
      </c>
      <c r="R1912">
        <v>706868</v>
      </c>
      <c r="S1912" t="s">
        <v>4267</v>
      </c>
      <c r="T1912">
        <v>476</v>
      </c>
      <c r="U1912" t="s">
        <v>4013</v>
      </c>
      <c r="V1912">
        <v>43</v>
      </c>
      <c r="W1912" t="str">
        <f>HYPERLINK("Gene683-zp_tree_all.dnd", "Gene683-tree")</f>
        <v>Gene683-tree</v>
      </c>
      <c r="X1912">
        <v>12</v>
      </c>
      <c r="Y1912">
        <v>1</v>
      </c>
      <c r="Z1912">
        <v>12</v>
      </c>
      <c r="AA1912">
        <v>1</v>
      </c>
      <c r="AB1912">
        <v>7.6920000000000002E-2</v>
      </c>
      <c r="AC1912" t="s">
        <v>109</v>
      </c>
      <c r="AD1912" t="s">
        <v>175</v>
      </c>
      <c r="AE1912" t="s">
        <v>62</v>
      </c>
      <c r="AF1912" t="s">
        <v>62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12</v>
      </c>
      <c r="AV1912">
        <v>10</v>
      </c>
      <c r="AW1912">
        <v>85</v>
      </c>
      <c r="AX1912">
        <v>1</v>
      </c>
      <c r="AY1912">
        <v>56</v>
      </c>
      <c r="AZ1912">
        <v>0</v>
      </c>
      <c r="BA1912" t="s">
        <v>4268</v>
      </c>
      <c r="BB1912" t="s">
        <v>193</v>
      </c>
      <c r="BC1912">
        <v>0.29799999999999999</v>
      </c>
      <c r="BD1912" t="s">
        <v>65</v>
      </c>
      <c r="BE1912">
        <v>141</v>
      </c>
      <c r="BF1912">
        <v>1</v>
      </c>
      <c r="BG1912" t="s">
        <v>4269</v>
      </c>
      <c r="BH1912" t="s">
        <v>4270</v>
      </c>
      <c r="BI1912" t="s">
        <v>4271</v>
      </c>
      <c r="BJ1912">
        <v>1.91E-3</v>
      </c>
      <c r="BK1912">
        <v>1</v>
      </c>
      <c r="BL1912" t="s">
        <v>69</v>
      </c>
      <c r="BM1912">
        <v>-0.42799999999999999</v>
      </c>
      <c r="BN1912">
        <v>-1.081</v>
      </c>
    </row>
    <row r="1913" spans="2:66">
      <c r="B1913">
        <v>3369</v>
      </c>
      <c r="C1913">
        <v>3</v>
      </c>
      <c r="D1913">
        <v>0</v>
      </c>
      <c r="E1913">
        <v>12</v>
      </c>
      <c r="F1913">
        <v>2</v>
      </c>
      <c r="J1913">
        <v>0</v>
      </c>
      <c r="K1913">
        <v>0</v>
      </c>
      <c r="L1913">
        <v>0</v>
      </c>
      <c r="M1913" t="s">
        <v>25022</v>
      </c>
      <c r="N1913">
        <v>684</v>
      </c>
      <c r="O1913" t="s">
        <v>4272</v>
      </c>
      <c r="P1913" t="s">
        <v>57</v>
      </c>
      <c r="Q1913">
        <v>706973</v>
      </c>
      <c r="R1913">
        <v>708010</v>
      </c>
      <c r="S1913" t="s">
        <v>4273</v>
      </c>
      <c r="T1913">
        <v>346</v>
      </c>
      <c r="U1913" t="s">
        <v>108</v>
      </c>
      <c r="V1913">
        <v>44</v>
      </c>
      <c r="W1913" t="str">
        <f>HYPERLINK("Gene684-zp_tree_all.dnd", "Gene684-tree")</f>
        <v>Gene684-tree</v>
      </c>
      <c r="X1913">
        <v>9</v>
      </c>
      <c r="Y1913">
        <v>5</v>
      </c>
      <c r="Z1913">
        <v>9</v>
      </c>
      <c r="AA1913">
        <v>5</v>
      </c>
      <c r="AB1913">
        <v>0.35714000000000001</v>
      </c>
      <c r="AC1913" t="s">
        <v>135</v>
      </c>
      <c r="AD1913" t="s">
        <v>199</v>
      </c>
      <c r="AE1913" t="s">
        <v>62</v>
      </c>
      <c r="AF1913" t="s">
        <v>62</v>
      </c>
      <c r="AG1913">
        <v>0</v>
      </c>
      <c r="AH1913">
        <v>0</v>
      </c>
      <c r="AI1913">
        <v>6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6</v>
      </c>
      <c r="AT1913">
        <v>0</v>
      </c>
      <c r="AU1913">
        <v>14</v>
      </c>
      <c r="AV1913">
        <v>10</v>
      </c>
      <c r="AW1913">
        <v>55</v>
      </c>
      <c r="AX1913">
        <v>6</v>
      </c>
      <c r="AY1913">
        <v>21</v>
      </c>
      <c r="AZ1913">
        <v>0</v>
      </c>
      <c r="BA1913" t="s">
        <v>4274</v>
      </c>
      <c r="BB1913" t="s">
        <v>193</v>
      </c>
      <c r="BC1913">
        <v>1.4279999999999999</v>
      </c>
      <c r="BD1913" t="s">
        <v>65</v>
      </c>
      <c r="BE1913">
        <v>76</v>
      </c>
      <c r="BF1913">
        <v>6</v>
      </c>
      <c r="BG1913" t="s">
        <v>4275</v>
      </c>
      <c r="BH1913" t="s">
        <v>4276</v>
      </c>
      <c r="BI1913" t="s">
        <v>4277</v>
      </c>
      <c r="BJ1913">
        <v>2.0719999999999999E-2</v>
      </c>
      <c r="BK1913">
        <v>1</v>
      </c>
      <c r="BL1913" t="s">
        <v>69</v>
      </c>
      <c r="BM1913">
        <v>-2.9000000000000001E-2</v>
      </c>
      <c r="BN1913">
        <v>-0.16300000000000001</v>
      </c>
    </row>
    <row r="1914" spans="2:66">
      <c r="B1914">
        <v>3370</v>
      </c>
      <c r="C1914">
        <v>155</v>
      </c>
      <c r="D1914">
        <v>0</v>
      </c>
      <c r="E1914">
        <v>33</v>
      </c>
      <c r="F1914">
        <v>6</v>
      </c>
      <c r="J1914">
        <v>0</v>
      </c>
      <c r="K1914">
        <v>2</v>
      </c>
      <c r="L1914">
        <v>0</v>
      </c>
      <c r="M1914" t="s">
        <v>25022</v>
      </c>
      <c r="N1914">
        <v>685</v>
      </c>
      <c r="O1914" t="s">
        <v>4278</v>
      </c>
      <c r="P1914" t="s">
        <v>57</v>
      </c>
      <c r="Q1914">
        <v>708010</v>
      </c>
      <c r="R1914">
        <v>708594</v>
      </c>
      <c r="S1914" t="s">
        <v>4279</v>
      </c>
      <c r="T1914">
        <v>195</v>
      </c>
      <c r="U1914" t="s">
        <v>108</v>
      </c>
      <c r="V1914">
        <v>44</v>
      </c>
      <c r="W1914" t="str">
        <f>HYPERLINK("Gene685-zp_tree_all.dnd", "Gene685-tree")</f>
        <v>Gene685-tree</v>
      </c>
      <c r="X1914">
        <v>9</v>
      </c>
      <c r="Y1914">
        <v>6</v>
      </c>
      <c r="Z1914">
        <v>9</v>
      </c>
      <c r="AA1914">
        <v>6</v>
      </c>
      <c r="AB1914">
        <v>0.4</v>
      </c>
      <c r="AC1914" t="s">
        <v>135</v>
      </c>
      <c r="AD1914" t="s">
        <v>90</v>
      </c>
      <c r="AE1914" t="s">
        <v>62</v>
      </c>
      <c r="AF1914" t="s">
        <v>62</v>
      </c>
      <c r="AG1914">
        <v>1</v>
      </c>
      <c r="AH1914">
        <v>2</v>
      </c>
      <c r="AI1914">
        <v>6</v>
      </c>
      <c r="AJ1914">
        <v>0.25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6</v>
      </c>
      <c r="AT1914">
        <v>0</v>
      </c>
      <c r="AU1914">
        <v>12</v>
      </c>
      <c r="AV1914">
        <v>10</v>
      </c>
      <c r="AW1914">
        <v>27</v>
      </c>
      <c r="AX1914">
        <v>6</v>
      </c>
      <c r="AY1914">
        <v>14</v>
      </c>
      <c r="AZ1914">
        <v>2</v>
      </c>
      <c r="BA1914" t="s">
        <v>4280</v>
      </c>
      <c r="BB1914" t="s">
        <v>4281</v>
      </c>
      <c r="BC1914">
        <v>0.36599999999999999</v>
      </c>
      <c r="BD1914" t="s">
        <v>65</v>
      </c>
      <c r="BE1914">
        <v>41</v>
      </c>
      <c r="BF1914">
        <v>8</v>
      </c>
      <c r="BG1914" t="s">
        <v>4282</v>
      </c>
      <c r="BH1914" t="s">
        <v>4283</v>
      </c>
      <c r="BI1914" t="s">
        <v>4284</v>
      </c>
      <c r="BJ1914">
        <v>5.663E-2</v>
      </c>
      <c r="BK1914">
        <v>1</v>
      </c>
      <c r="BL1914" t="s">
        <v>69</v>
      </c>
      <c r="BM1914">
        <v>-0.39900000000000002</v>
      </c>
      <c r="BN1914">
        <v>-0.27800000000000002</v>
      </c>
    </row>
    <row r="1915" spans="2:66">
      <c r="B1915">
        <v>3371</v>
      </c>
      <c r="C1915">
        <v>340</v>
      </c>
      <c r="D1915">
        <v>0</v>
      </c>
      <c r="E1915">
        <v>4</v>
      </c>
      <c r="F1915">
        <v>0</v>
      </c>
      <c r="J1915">
        <v>0</v>
      </c>
      <c r="K1915">
        <v>7</v>
      </c>
      <c r="L1915">
        <v>2</v>
      </c>
      <c r="M1915" t="s">
        <v>25022</v>
      </c>
      <c r="N1915">
        <v>686</v>
      </c>
      <c r="O1915" t="s">
        <v>4285</v>
      </c>
      <c r="P1915" t="s">
        <v>57</v>
      </c>
      <c r="Q1915">
        <v>708594</v>
      </c>
      <c r="R1915">
        <v>710129</v>
      </c>
      <c r="S1915" t="s">
        <v>4286</v>
      </c>
      <c r="T1915">
        <v>512</v>
      </c>
      <c r="U1915" t="s">
        <v>108</v>
      </c>
      <c r="V1915">
        <v>44</v>
      </c>
      <c r="W1915" t="str">
        <f>HYPERLINK("Gene686-zp_tree_all.dnd", "Gene686-tree")</f>
        <v>Gene686-tree</v>
      </c>
      <c r="X1915">
        <v>5</v>
      </c>
      <c r="Y1915">
        <v>10</v>
      </c>
      <c r="Z1915">
        <v>5</v>
      </c>
      <c r="AA1915">
        <v>10</v>
      </c>
      <c r="AB1915">
        <v>0.66666999999999998</v>
      </c>
      <c r="AC1915" t="s">
        <v>199</v>
      </c>
      <c r="AD1915" t="s">
        <v>117</v>
      </c>
      <c r="AE1915" t="s">
        <v>62</v>
      </c>
      <c r="AF1915" t="s">
        <v>62</v>
      </c>
      <c r="AG1915">
        <v>4</v>
      </c>
      <c r="AH1915">
        <v>9</v>
      </c>
      <c r="AI1915">
        <v>14</v>
      </c>
      <c r="AJ1915">
        <v>0.39129999999999998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4</v>
      </c>
      <c r="AQ1915">
        <v>2</v>
      </c>
      <c r="AR1915">
        <v>6</v>
      </c>
      <c r="AS1915">
        <v>12</v>
      </c>
      <c r="AT1915">
        <v>0.33333000000000002</v>
      </c>
      <c r="AU1915">
        <v>14</v>
      </c>
      <c r="AV1915">
        <v>12</v>
      </c>
      <c r="AW1915">
        <v>98</v>
      </c>
      <c r="AX1915">
        <v>18</v>
      </c>
      <c r="AY1915">
        <v>74</v>
      </c>
      <c r="AZ1915">
        <v>5</v>
      </c>
      <c r="BA1915" t="s">
        <v>4287</v>
      </c>
      <c r="BB1915" t="s">
        <v>4288</v>
      </c>
      <c r="BC1915">
        <v>1.4079999999999999</v>
      </c>
      <c r="BD1915" t="s">
        <v>65</v>
      </c>
      <c r="BE1915">
        <v>172</v>
      </c>
      <c r="BF1915">
        <v>23</v>
      </c>
      <c r="BG1915" t="s">
        <v>4289</v>
      </c>
      <c r="BH1915" t="s">
        <v>4290</v>
      </c>
      <c r="BI1915" t="s">
        <v>4291</v>
      </c>
      <c r="BJ1915">
        <v>4.0280000000000003E-2</v>
      </c>
      <c r="BK1915">
        <v>1</v>
      </c>
      <c r="BL1915" t="s">
        <v>69</v>
      </c>
      <c r="BM1915">
        <v>0.34699999999999998</v>
      </c>
      <c r="BN1915">
        <v>-0.21199999999999999</v>
      </c>
    </row>
    <row r="1916" spans="2:66">
      <c r="B1916">
        <v>3372</v>
      </c>
      <c r="C1916">
        <v>116</v>
      </c>
      <c r="D1916">
        <v>0</v>
      </c>
      <c r="E1916">
        <v>19</v>
      </c>
      <c r="F1916">
        <v>3</v>
      </c>
      <c r="J1916">
        <v>0</v>
      </c>
      <c r="K1916">
        <v>20</v>
      </c>
      <c r="L1916">
        <v>3</v>
      </c>
      <c r="M1916" t="s">
        <v>25022</v>
      </c>
      <c r="N1916">
        <v>687</v>
      </c>
      <c r="O1916" t="s">
        <v>4292</v>
      </c>
      <c r="P1916" t="s">
        <v>57</v>
      </c>
      <c r="Q1916">
        <v>710148</v>
      </c>
      <c r="R1916">
        <v>711413</v>
      </c>
      <c r="S1916" t="s">
        <v>4293</v>
      </c>
      <c r="T1916">
        <v>422</v>
      </c>
      <c r="U1916" t="s">
        <v>108</v>
      </c>
      <c r="V1916">
        <v>44</v>
      </c>
      <c r="W1916" t="str">
        <f>HYPERLINK("Gene687-zp_tree_all.dnd", "Gene687-tree")</f>
        <v>Gene687-tree</v>
      </c>
      <c r="X1916">
        <v>5</v>
      </c>
      <c r="Y1916">
        <v>12</v>
      </c>
      <c r="Z1916">
        <v>5</v>
      </c>
      <c r="AA1916">
        <v>12</v>
      </c>
      <c r="AB1916">
        <v>0.70587999999999995</v>
      </c>
      <c r="AC1916" t="s">
        <v>199</v>
      </c>
      <c r="AD1916" t="s">
        <v>109</v>
      </c>
      <c r="AE1916" t="s">
        <v>62</v>
      </c>
      <c r="AF1916" t="s">
        <v>62</v>
      </c>
      <c r="AG1916">
        <v>8</v>
      </c>
      <c r="AH1916">
        <v>23</v>
      </c>
      <c r="AI1916">
        <v>13</v>
      </c>
      <c r="AJ1916">
        <v>0.63888999999999996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3</v>
      </c>
      <c r="AQ1916">
        <v>2</v>
      </c>
      <c r="AR1916">
        <v>5</v>
      </c>
      <c r="AS1916">
        <v>13</v>
      </c>
      <c r="AT1916">
        <v>0.27778000000000003</v>
      </c>
      <c r="AU1916">
        <v>16</v>
      </c>
      <c r="AV1916">
        <v>14</v>
      </c>
      <c r="AW1916">
        <v>77</v>
      </c>
      <c r="AX1916">
        <v>18</v>
      </c>
      <c r="AY1916">
        <v>70</v>
      </c>
      <c r="AZ1916">
        <v>18</v>
      </c>
      <c r="BA1916" t="s">
        <v>4294</v>
      </c>
      <c r="BB1916" t="s">
        <v>4295</v>
      </c>
      <c r="BC1916">
        <v>0.26500000000000001</v>
      </c>
      <c r="BD1916" t="s">
        <v>65</v>
      </c>
      <c r="BE1916">
        <v>147</v>
      </c>
      <c r="BF1916">
        <v>36</v>
      </c>
      <c r="BG1916" t="s">
        <v>4296</v>
      </c>
      <c r="BH1916" t="s">
        <v>4297</v>
      </c>
      <c r="BI1916" t="s">
        <v>4298</v>
      </c>
      <c r="BJ1916">
        <v>6.386E-2</v>
      </c>
      <c r="BK1916">
        <v>1</v>
      </c>
      <c r="BL1916" t="s">
        <v>69</v>
      </c>
      <c r="BM1916">
        <v>0.55500000000000005</v>
      </c>
      <c r="BN1916">
        <v>-8.7999999999999995E-2</v>
      </c>
    </row>
    <row r="1917" spans="2:66">
      <c r="B1917">
        <v>3374</v>
      </c>
      <c r="C1917">
        <v>360</v>
      </c>
      <c r="D1917">
        <v>0</v>
      </c>
      <c r="E1917">
        <v>0</v>
      </c>
      <c r="F1917">
        <v>2</v>
      </c>
      <c r="J1917">
        <v>0</v>
      </c>
      <c r="K1917">
        <v>45</v>
      </c>
      <c r="L1917">
        <v>7</v>
      </c>
      <c r="M1917" t="s">
        <v>25022</v>
      </c>
      <c r="N1917">
        <v>689</v>
      </c>
      <c r="O1917" t="s">
        <v>4306</v>
      </c>
      <c r="P1917" t="s">
        <v>57</v>
      </c>
      <c r="Q1917">
        <v>712019</v>
      </c>
      <c r="R1917">
        <v>713290</v>
      </c>
      <c r="S1917" t="s">
        <v>4307</v>
      </c>
      <c r="T1917">
        <v>424</v>
      </c>
      <c r="U1917" t="s">
        <v>4308</v>
      </c>
      <c r="V1917">
        <v>41</v>
      </c>
      <c r="W1917" t="str">
        <f>HYPERLINK("Gene689-zp_tree_all.dnd", "Gene689-tree")</f>
        <v>Gene689-tree</v>
      </c>
      <c r="X1917">
        <v>3</v>
      </c>
      <c r="Y1917">
        <v>12</v>
      </c>
      <c r="Z1917">
        <v>3</v>
      </c>
      <c r="AA1917">
        <v>12</v>
      </c>
      <c r="AB1917">
        <v>0.8</v>
      </c>
      <c r="AC1917" t="s">
        <v>324</v>
      </c>
      <c r="AD1917" t="s">
        <v>109</v>
      </c>
      <c r="AE1917" t="s">
        <v>62</v>
      </c>
      <c r="AF1917" t="s">
        <v>62</v>
      </c>
      <c r="AG1917">
        <v>20</v>
      </c>
      <c r="AH1917">
        <v>52</v>
      </c>
      <c r="AI1917">
        <v>30</v>
      </c>
      <c r="AJ1917">
        <v>0.63414999999999999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14</v>
      </c>
      <c r="AQ1917">
        <v>7</v>
      </c>
      <c r="AR1917">
        <v>21</v>
      </c>
      <c r="AS1917">
        <v>30</v>
      </c>
      <c r="AT1917">
        <v>0.41176000000000001</v>
      </c>
      <c r="AU1917">
        <v>15</v>
      </c>
      <c r="AV1917">
        <v>12</v>
      </c>
      <c r="AW1917">
        <v>151</v>
      </c>
      <c r="AX1917">
        <v>52</v>
      </c>
      <c r="AY1917">
        <v>96</v>
      </c>
      <c r="AZ1917">
        <v>32</v>
      </c>
      <c r="BA1917" t="s">
        <v>4309</v>
      </c>
      <c r="BB1917" t="s">
        <v>4310</v>
      </c>
      <c r="BC1917">
        <v>5.5E-2</v>
      </c>
      <c r="BD1917" t="s">
        <v>65</v>
      </c>
      <c r="BE1917">
        <v>247</v>
      </c>
      <c r="BF1917">
        <v>84</v>
      </c>
      <c r="BG1917" t="s">
        <v>4311</v>
      </c>
      <c r="BH1917" t="s">
        <v>4312</v>
      </c>
      <c r="BI1917" t="s">
        <v>4313</v>
      </c>
      <c r="BJ1917">
        <v>0.11038000000000001</v>
      </c>
      <c r="BK1917">
        <v>1</v>
      </c>
      <c r="BL1917" t="s">
        <v>69</v>
      </c>
      <c r="BM1917">
        <v>2.5000000000000001E-2</v>
      </c>
      <c r="BN1917">
        <v>-0.20499999999999999</v>
      </c>
    </row>
    <row r="1918" spans="2:66">
      <c r="B1918">
        <v>3375</v>
      </c>
      <c r="C1918">
        <v>122</v>
      </c>
      <c r="D1918">
        <v>0</v>
      </c>
      <c r="E1918">
        <v>2</v>
      </c>
      <c r="F1918">
        <v>6</v>
      </c>
      <c r="J1918">
        <v>0</v>
      </c>
      <c r="K1918">
        <v>12</v>
      </c>
      <c r="L1918">
        <v>3</v>
      </c>
      <c r="M1918" t="s">
        <v>25022</v>
      </c>
      <c r="N1918">
        <v>691</v>
      </c>
      <c r="O1918" t="s">
        <v>4320</v>
      </c>
      <c r="P1918" t="s">
        <v>57</v>
      </c>
      <c r="Q1918">
        <v>713664</v>
      </c>
      <c r="R1918">
        <v>715403</v>
      </c>
      <c r="S1918" t="s">
        <v>4321</v>
      </c>
      <c r="T1918">
        <v>580</v>
      </c>
      <c r="U1918" t="s">
        <v>125</v>
      </c>
      <c r="V1918">
        <v>48</v>
      </c>
      <c r="W1918" t="str">
        <f>HYPERLINK("Gene691-zp_tree_all.dnd", "Gene691-tree")</f>
        <v>Gene691-tree</v>
      </c>
      <c r="X1918">
        <v>7</v>
      </c>
      <c r="Y1918">
        <v>12</v>
      </c>
      <c r="Z1918">
        <v>7</v>
      </c>
      <c r="AA1918">
        <v>12</v>
      </c>
      <c r="AB1918">
        <v>0.63158000000000003</v>
      </c>
      <c r="AC1918" t="s">
        <v>152</v>
      </c>
      <c r="AD1918" t="s">
        <v>109</v>
      </c>
      <c r="AE1918" t="s">
        <v>62</v>
      </c>
      <c r="AF1918" t="s">
        <v>62</v>
      </c>
      <c r="AG1918">
        <v>7</v>
      </c>
      <c r="AH1918">
        <v>15</v>
      </c>
      <c r="AI1918">
        <v>24</v>
      </c>
      <c r="AJ1918">
        <v>0.38462000000000002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4</v>
      </c>
      <c r="AQ1918">
        <v>2</v>
      </c>
      <c r="AR1918">
        <v>6</v>
      </c>
      <c r="AS1918">
        <v>20</v>
      </c>
      <c r="AT1918">
        <v>0.23077</v>
      </c>
      <c r="AU1918">
        <v>18</v>
      </c>
      <c r="AV1918">
        <v>13</v>
      </c>
      <c r="AW1918">
        <v>99</v>
      </c>
      <c r="AX1918">
        <v>25</v>
      </c>
      <c r="AY1918">
        <v>117</v>
      </c>
      <c r="AZ1918">
        <v>16</v>
      </c>
      <c r="BA1918" t="s">
        <v>4322</v>
      </c>
      <c r="BB1918" t="s">
        <v>4323</v>
      </c>
      <c r="BC1918">
        <v>0.66800000000000004</v>
      </c>
      <c r="BD1918" t="s">
        <v>65</v>
      </c>
      <c r="BE1918">
        <v>216</v>
      </c>
      <c r="BF1918">
        <v>41</v>
      </c>
      <c r="BG1918" t="s">
        <v>4324</v>
      </c>
      <c r="BH1918" t="s">
        <v>4325</v>
      </c>
      <c r="BI1918" t="s">
        <v>4326</v>
      </c>
      <c r="BJ1918">
        <v>4.1939999999999998E-2</v>
      </c>
      <c r="BK1918">
        <v>1</v>
      </c>
      <c r="BL1918" t="s">
        <v>69</v>
      </c>
      <c r="BM1918">
        <v>-1.2490000000000001</v>
      </c>
      <c r="BN1918">
        <v>-0.33</v>
      </c>
    </row>
    <row r="1919" spans="2:66">
      <c r="B1919">
        <v>3376</v>
      </c>
      <c r="C1919">
        <v>85</v>
      </c>
      <c r="D1919">
        <v>0</v>
      </c>
      <c r="E1919">
        <v>4</v>
      </c>
      <c r="F1919">
        <v>2</v>
      </c>
      <c r="J1919">
        <v>0</v>
      </c>
      <c r="K1919">
        <v>16</v>
      </c>
      <c r="L1919">
        <v>9</v>
      </c>
      <c r="M1919" t="s">
        <v>25022</v>
      </c>
      <c r="N1919">
        <v>692</v>
      </c>
      <c r="O1919" t="s">
        <v>4327</v>
      </c>
      <c r="P1919" t="s">
        <v>57</v>
      </c>
      <c r="Q1919">
        <v>715433</v>
      </c>
      <c r="R1919">
        <v>716425</v>
      </c>
      <c r="S1919" t="s">
        <v>1523</v>
      </c>
      <c r="T1919">
        <v>331</v>
      </c>
      <c r="U1919" t="s">
        <v>125</v>
      </c>
      <c r="V1919">
        <v>48</v>
      </c>
      <c r="W1919" t="str">
        <f>HYPERLINK("Gene692-zp_tree_all.dnd", "Gene692-tree")</f>
        <v>Gene692-tree</v>
      </c>
      <c r="X1919">
        <v>5</v>
      </c>
      <c r="Y1919">
        <v>14</v>
      </c>
      <c r="Z1919">
        <v>5</v>
      </c>
      <c r="AA1919">
        <v>14</v>
      </c>
      <c r="AB1919">
        <v>0.73684000000000005</v>
      </c>
      <c r="AC1919" t="s">
        <v>199</v>
      </c>
      <c r="AD1919" t="s">
        <v>543</v>
      </c>
      <c r="AE1919">
        <v>258272616.03799999</v>
      </c>
      <c r="AF1919" t="s">
        <v>267</v>
      </c>
      <c r="AG1919">
        <v>10</v>
      </c>
      <c r="AH1919">
        <v>25</v>
      </c>
      <c r="AI1919">
        <v>24</v>
      </c>
      <c r="AJ1919">
        <v>0.51019999999999999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8</v>
      </c>
      <c r="AQ1919">
        <v>1</v>
      </c>
      <c r="AR1919">
        <v>9</v>
      </c>
      <c r="AS1919">
        <v>20</v>
      </c>
      <c r="AT1919">
        <v>0.31034</v>
      </c>
      <c r="AU1919">
        <v>17</v>
      </c>
      <c r="AV1919">
        <v>13</v>
      </c>
      <c r="AW1919">
        <v>27</v>
      </c>
      <c r="AX1919">
        <v>25</v>
      </c>
      <c r="AY1919">
        <v>36</v>
      </c>
      <c r="AZ1919">
        <v>24</v>
      </c>
      <c r="BA1919" t="s">
        <v>4328</v>
      </c>
      <c r="BB1919" t="s">
        <v>4329</v>
      </c>
      <c r="BC1919">
        <v>0.28499999999999998</v>
      </c>
      <c r="BD1919" t="s">
        <v>65</v>
      </c>
      <c r="BE1919">
        <v>63</v>
      </c>
      <c r="BF1919">
        <v>49</v>
      </c>
      <c r="BG1919" t="s">
        <v>4330</v>
      </c>
      <c r="BH1919" t="s">
        <v>4331</v>
      </c>
      <c r="BI1919" t="s">
        <v>4332</v>
      </c>
      <c r="BJ1919">
        <v>0.189</v>
      </c>
      <c r="BK1919">
        <v>1</v>
      </c>
      <c r="BL1919" t="s">
        <v>69</v>
      </c>
      <c r="BM1919">
        <v>-1.1970000000000001</v>
      </c>
      <c r="BN1919">
        <v>0.21</v>
      </c>
    </row>
    <row r="1920" spans="2:66">
      <c r="B1920">
        <v>3377</v>
      </c>
      <c r="C1920">
        <v>102</v>
      </c>
      <c r="D1920">
        <v>0</v>
      </c>
      <c r="E1920">
        <v>4</v>
      </c>
      <c r="F1920">
        <v>0</v>
      </c>
      <c r="J1920">
        <v>0</v>
      </c>
      <c r="K1920">
        <v>0</v>
      </c>
      <c r="L1920">
        <v>0</v>
      </c>
      <c r="M1920" t="s">
        <v>25022</v>
      </c>
      <c r="N1920">
        <v>693</v>
      </c>
      <c r="O1920" t="s">
        <v>4333</v>
      </c>
      <c r="P1920" t="s">
        <v>57</v>
      </c>
      <c r="Q1920">
        <v>716431</v>
      </c>
      <c r="R1920">
        <v>716742</v>
      </c>
      <c r="S1920" t="s">
        <v>4334</v>
      </c>
      <c r="T1920">
        <v>104</v>
      </c>
      <c r="U1920" t="s">
        <v>59</v>
      </c>
      <c r="V1920">
        <v>49</v>
      </c>
      <c r="W1920" t="str">
        <f>HYPERLINK("Gene693-zp_tree_all.dnd", "Gene693-tree")</f>
        <v>Gene693-tree</v>
      </c>
      <c r="X1920">
        <v>16</v>
      </c>
      <c r="Y1920">
        <v>1</v>
      </c>
      <c r="Z1920">
        <v>16</v>
      </c>
      <c r="AA1920">
        <v>1</v>
      </c>
      <c r="AB1920">
        <v>5.8819999999999997E-2</v>
      </c>
      <c r="AC1920" t="s">
        <v>60</v>
      </c>
      <c r="AD1920" t="s">
        <v>175</v>
      </c>
      <c r="AE1920" t="s">
        <v>62</v>
      </c>
      <c r="AF1920" t="s">
        <v>62</v>
      </c>
      <c r="AG1920">
        <v>0</v>
      </c>
      <c r="AH1920">
        <v>0</v>
      </c>
      <c r="AI1920">
        <v>2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10</v>
      </c>
      <c r="AV1920">
        <v>9</v>
      </c>
      <c r="AW1920">
        <v>13</v>
      </c>
      <c r="AX1920">
        <v>1</v>
      </c>
      <c r="AY1920">
        <v>15</v>
      </c>
      <c r="AZ1920">
        <v>1</v>
      </c>
      <c r="BA1920" t="s">
        <v>4335</v>
      </c>
      <c r="BB1920" t="s">
        <v>4336</v>
      </c>
      <c r="BC1920">
        <v>3.5999999999999997E-2</v>
      </c>
      <c r="BD1920" t="s">
        <v>65</v>
      </c>
      <c r="BE1920">
        <v>28</v>
      </c>
      <c r="BF1920">
        <v>2</v>
      </c>
      <c r="BG1920" t="s">
        <v>4337</v>
      </c>
      <c r="BH1920" t="s">
        <v>4338</v>
      </c>
      <c r="BI1920" t="s">
        <v>4339</v>
      </c>
      <c r="BJ1920">
        <v>1.7739999999999999E-2</v>
      </c>
      <c r="BK1920">
        <v>1</v>
      </c>
      <c r="BL1920" t="s">
        <v>69</v>
      </c>
      <c r="BM1920">
        <v>-0.58199999999999996</v>
      </c>
      <c r="BN1920">
        <v>-0.52300000000000002</v>
      </c>
    </row>
    <row r="1921" spans="2:66">
      <c r="B1921">
        <v>3379</v>
      </c>
      <c r="C1921">
        <v>59</v>
      </c>
      <c r="D1921">
        <v>0</v>
      </c>
      <c r="E1921">
        <v>17</v>
      </c>
      <c r="F1921">
        <v>2</v>
      </c>
      <c r="J1921">
        <v>0</v>
      </c>
      <c r="K1921">
        <v>7</v>
      </c>
      <c r="L1921">
        <v>0</v>
      </c>
      <c r="M1921" t="s">
        <v>25022</v>
      </c>
      <c r="N1921">
        <v>695</v>
      </c>
      <c r="O1921" t="s">
        <v>4347</v>
      </c>
      <c r="P1921" t="s">
        <v>57</v>
      </c>
      <c r="Q1921">
        <v>718622</v>
      </c>
      <c r="R1921">
        <v>719305</v>
      </c>
      <c r="S1921" t="s">
        <v>4348</v>
      </c>
      <c r="T1921">
        <v>228</v>
      </c>
      <c r="U1921" t="s">
        <v>108</v>
      </c>
      <c r="V1921">
        <v>44</v>
      </c>
      <c r="W1921" t="str">
        <f>HYPERLINK("Gene695-zp_tree_all.dnd", "Gene695-tree")</f>
        <v>Gene695-tree</v>
      </c>
      <c r="X1921">
        <v>6</v>
      </c>
      <c r="Y1921">
        <v>9</v>
      </c>
      <c r="Z1921">
        <v>6</v>
      </c>
      <c r="AA1921">
        <v>9</v>
      </c>
      <c r="AB1921">
        <v>0.6</v>
      </c>
      <c r="AC1921" t="s">
        <v>90</v>
      </c>
      <c r="AD1921" t="s">
        <v>135</v>
      </c>
      <c r="AE1921" t="s">
        <v>62</v>
      </c>
      <c r="AF1921" t="s">
        <v>62</v>
      </c>
      <c r="AG1921">
        <v>2</v>
      </c>
      <c r="AH1921">
        <v>7</v>
      </c>
      <c r="AI1921">
        <v>8</v>
      </c>
      <c r="AJ1921">
        <v>0.46666999999999997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3</v>
      </c>
      <c r="AQ1921">
        <v>0</v>
      </c>
      <c r="AR1921">
        <v>3</v>
      </c>
      <c r="AS1921">
        <v>8</v>
      </c>
      <c r="AT1921">
        <v>0.27272999999999997</v>
      </c>
      <c r="AU1921">
        <v>14</v>
      </c>
      <c r="AV1921">
        <v>10</v>
      </c>
      <c r="AW1921">
        <v>35</v>
      </c>
      <c r="AX1921">
        <v>10</v>
      </c>
      <c r="AY1921">
        <v>15</v>
      </c>
      <c r="AZ1921">
        <v>5</v>
      </c>
      <c r="BA1921" t="s">
        <v>4349</v>
      </c>
      <c r="BB1921" t="s">
        <v>4350</v>
      </c>
      <c r="BC1921">
        <v>0.20399999999999999</v>
      </c>
      <c r="BD1921" t="s">
        <v>65</v>
      </c>
      <c r="BE1921">
        <v>50</v>
      </c>
      <c r="BF1921">
        <v>15</v>
      </c>
      <c r="BG1921" t="s">
        <v>4351</v>
      </c>
      <c r="BH1921" t="s">
        <v>4352</v>
      </c>
      <c r="BI1921" t="s">
        <v>4353</v>
      </c>
      <c r="BJ1921">
        <v>8.3529999999999993E-2</v>
      </c>
      <c r="BK1921">
        <v>1</v>
      </c>
      <c r="BL1921" t="s">
        <v>69</v>
      </c>
      <c r="BM1921">
        <v>-0.23200000000000001</v>
      </c>
      <c r="BN1921">
        <v>-1.06</v>
      </c>
    </row>
    <row r="1922" spans="2:66">
      <c r="B1922">
        <v>3380</v>
      </c>
      <c r="C1922">
        <v>312</v>
      </c>
      <c r="D1922">
        <v>0</v>
      </c>
      <c r="E1922">
        <v>6</v>
      </c>
      <c r="F1922">
        <v>0</v>
      </c>
      <c r="J1922">
        <v>0</v>
      </c>
      <c r="K1922">
        <v>5</v>
      </c>
      <c r="L1922">
        <v>0</v>
      </c>
      <c r="M1922" t="s">
        <v>25022</v>
      </c>
      <c r="N1922">
        <v>696</v>
      </c>
      <c r="O1922" t="s">
        <v>4354</v>
      </c>
      <c r="P1922" t="s">
        <v>57</v>
      </c>
      <c r="Q1922">
        <v>719370</v>
      </c>
      <c r="R1922">
        <v>721586</v>
      </c>
      <c r="S1922" t="s">
        <v>4355</v>
      </c>
      <c r="T1922">
        <v>739</v>
      </c>
      <c r="U1922" t="s">
        <v>108</v>
      </c>
      <c r="V1922">
        <v>44</v>
      </c>
      <c r="W1922" t="str">
        <f>HYPERLINK("Gene696-zp_tree_all.dnd", "Gene696-tree")</f>
        <v>Gene696-tree</v>
      </c>
      <c r="X1922">
        <v>10</v>
      </c>
      <c r="Y1922">
        <v>5</v>
      </c>
      <c r="Z1922">
        <v>10</v>
      </c>
      <c r="AA1922">
        <v>5</v>
      </c>
      <c r="AB1922">
        <v>0.33333000000000002</v>
      </c>
      <c r="AC1922" t="s">
        <v>117</v>
      </c>
      <c r="AD1922" t="s">
        <v>199</v>
      </c>
      <c r="AE1922" t="s">
        <v>62</v>
      </c>
      <c r="AF1922" t="s">
        <v>62</v>
      </c>
      <c r="AG1922">
        <v>2</v>
      </c>
      <c r="AH1922">
        <v>5</v>
      </c>
      <c r="AI1922">
        <v>4</v>
      </c>
      <c r="AJ1922">
        <v>0.55556000000000005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3</v>
      </c>
      <c r="AQ1922">
        <v>0</v>
      </c>
      <c r="AR1922">
        <v>3</v>
      </c>
      <c r="AS1922">
        <v>5</v>
      </c>
      <c r="AT1922">
        <v>0.375</v>
      </c>
      <c r="AU1922">
        <v>15</v>
      </c>
      <c r="AV1922">
        <v>12</v>
      </c>
      <c r="AW1922">
        <v>143</v>
      </c>
      <c r="AX1922">
        <v>8</v>
      </c>
      <c r="AY1922">
        <v>64</v>
      </c>
      <c r="AZ1922">
        <v>1</v>
      </c>
      <c r="BA1922" t="s">
        <v>4356</v>
      </c>
      <c r="BB1922" t="s">
        <v>4357</v>
      </c>
      <c r="BC1922">
        <v>0.59199999999999997</v>
      </c>
      <c r="BD1922" t="s">
        <v>65</v>
      </c>
      <c r="BE1922">
        <v>207</v>
      </c>
      <c r="BF1922">
        <v>9</v>
      </c>
      <c r="BG1922" t="s">
        <v>4358</v>
      </c>
      <c r="BH1922" t="s">
        <v>4359</v>
      </c>
      <c r="BI1922" t="s">
        <v>4360</v>
      </c>
      <c r="BJ1922">
        <v>1.1860000000000001E-2</v>
      </c>
      <c r="BK1922">
        <v>1</v>
      </c>
      <c r="BL1922" t="s">
        <v>69</v>
      </c>
      <c r="BM1922">
        <v>4.0000000000000001E-3</v>
      </c>
      <c r="BN1922">
        <v>-0.73599999999999999</v>
      </c>
    </row>
    <row r="1923" spans="2:66">
      <c r="B1923">
        <v>3381</v>
      </c>
      <c r="C1923">
        <v>29</v>
      </c>
      <c r="D1923">
        <v>0</v>
      </c>
      <c r="E1923">
        <v>2</v>
      </c>
      <c r="F1923">
        <v>0</v>
      </c>
      <c r="J1923">
        <v>0</v>
      </c>
      <c r="K1923">
        <v>4</v>
      </c>
      <c r="L1923">
        <v>0</v>
      </c>
      <c r="M1923" t="s">
        <v>25022</v>
      </c>
      <c r="N1923">
        <v>697</v>
      </c>
      <c r="O1923" t="s">
        <v>4361</v>
      </c>
      <c r="P1923" t="s">
        <v>57</v>
      </c>
      <c r="Q1923">
        <v>721613</v>
      </c>
      <c r="R1923">
        <v>723616</v>
      </c>
      <c r="S1923" t="s">
        <v>4362</v>
      </c>
      <c r="T1923">
        <v>668</v>
      </c>
      <c r="U1923" t="s">
        <v>108</v>
      </c>
      <c r="V1923">
        <v>44</v>
      </c>
      <c r="W1923" t="str">
        <f>HYPERLINK("Gene697-zp_tree_all.dnd", "Gene697-tree")</f>
        <v>Gene697-tree</v>
      </c>
      <c r="X1923">
        <v>7</v>
      </c>
      <c r="Y1923">
        <v>8</v>
      </c>
      <c r="Z1923">
        <v>7</v>
      </c>
      <c r="AA1923">
        <v>8</v>
      </c>
      <c r="AB1923">
        <v>0.53332999999999997</v>
      </c>
      <c r="AC1923" t="s">
        <v>152</v>
      </c>
      <c r="AD1923" t="s">
        <v>136</v>
      </c>
      <c r="AE1923" t="s">
        <v>62</v>
      </c>
      <c r="AF1923" t="s">
        <v>62</v>
      </c>
      <c r="AG1923">
        <v>2</v>
      </c>
      <c r="AH1923">
        <v>4</v>
      </c>
      <c r="AI1923">
        <v>19</v>
      </c>
      <c r="AJ1923">
        <v>0.17391000000000001</v>
      </c>
      <c r="AK1923">
        <v>0</v>
      </c>
      <c r="AL1923">
        <v>0</v>
      </c>
      <c r="AM1923">
        <v>0</v>
      </c>
      <c r="AN1923">
        <v>2</v>
      </c>
      <c r="AO1923">
        <v>0</v>
      </c>
      <c r="AP1923">
        <v>0</v>
      </c>
      <c r="AQ1923">
        <v>0</v>
      </c>
      <c r="AR1923">
        <v>0</v>
      </c>
      <c r="AS1923">
        <v>18</v>
      </c>
      <c r="AT1923">
        <v>0</v>
      </c>
      <c r="AU1923">
        <v>14</v>
      </c>
      <c r="AV1923">
        <v>11</v>
      </c>
      <c r="AW1923">
        <v>159</v>
      </c>
      <c r="AX1923">
        <v>19</v>
      </c>
      <c r="AY1923">
        <v>85</v>
      </c>
      <c r="AZ1923">
        <v>7</v>
      </c>
      <c r="BA1923" t="s">
        <v>4363</v>
      </c>
      <c r="BB1923" t="s">
        <v>4364</v>
      </c>
      <c r="BC1923">
        <v>0.34200000000000003</v>
      </c>
      <c r="BD1923" t="s">
        <v>65</v>
      </c>
      <c r="BE1923">
        <v>244</v>
      </c>
      <c r="BF1923">
        <v>26</v>
      </c>
      <c r="BG1923" t="s">
        <v>4365</v>
      </c>
      <c r="BH1923" t="s">
        <v>4366</v>
      </c>
      <c r="BI1923" t="s">
        <v>4367</v>
      </c>
      <c r="BJ1923">
        <v>4.3060000000000001E-2</v>
      </c>
      <c r="BK1923">
        <v>1</v>
      </c>
      <c r="BL1923" t="s">
        <v>69</v>
      </c>
      <c r="BM1923">
        <v>-0.72299999999999998</v>
      </c>
      <c r="BN1923">
        <v>-1.407</v>
      </c>
    </row>
    <row r="1924" spans="2:66">
      <c r="B1924">
        <v>3382</v>
      </c>
      <c r="C1924">
        <v>191</v>
      </c>
      <c r="D1924">
        <v>0</v>
      </c>
      <c r="E1924">
        <v>24</v>
      </c>
      <c r="F1924">
        <v>7</v>
      </c>
      <c r="J1924">
        <v>0</v>
      </c>
      <c r="K1924">
        <v>4</v>
      </c>
      <c r="L1924">
        <v>0</v>
      </c>
      <c r="M1924" t="s">
        <v>25022</v>
      </c>
      <c r="N1924">
        <v>698</v>
      </c>
      <c r="O1924" t="s">
        <v>4368</v>
      </c>
      <c r="P1924" t="s">
        <v>57</v>
      </c>
      <c r="Q1924">
        <v>723635</v>
      </c>
      <c r="R1924">
        <v>724822</v>
      </c>
      <c r="S1924" t="s">
        <v>1523</v>
      </c>
      <c r="T1924">
        <v>396</v>
      </c>
      <c r="U1924" t="s">
        <v>108</v>
      </c>
      <c r="V1924">
        <v>44</v>
      </c>
      <c r="W1924" t="str">
        <f>HYPERLINK("Gene698-zp_tree_all.dnd", "Gene698-tree")</f>
        <v>Gene698-tree</v>
      </c>
      <c r="X1924">
        <v>12</v>
      </c>
      <c r="Y1924">
        <v>5</v>
      </c>
      <c r="Z1924">
        <v>12</v>
      </c>
      <c r="AA1924">
        <v>5</v>
      </c>
      <c r="AB1924">
        <v>0.29411999999999999</v>
      </c>
      <c r="AC1924" t="s">
        <v>109</v>
      </c>
      <c r="AD1924" t="s">
        <v>199</v>
      </c>
      <c r="AE1924" t="s">
        <v>62</v>
      </c>
      <c r="AF1924" t="s">
        <v>62</v>
      </c>
      <c r="AG1924">
        <v>2</v>
      </c>
      <c r="AH1924">
        <v>4</v>
      </c>
      <c r="AI1924">
        <v>5</v>
      </c>
      <c r="AJ1924">
        <v>0.44444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7</v>
      </c>
      <c r="AT1924">
        <v>0</v>
      </c>
      <c r="AU1924">
        <v>14</v>
      </c>
      <c r="AV1924">
        <v>13</v>
      </c>
      <c r="AW1924">
        <v>84</v>
      </c>
      <c r="AX1924">
        <v>8</v>
      </c>
      <c r="AY1924">
        <v>44</v>
      </c>
      <c r="AZ1924">
        <v>2</v>
      </c>
      <c r="BA1924" t="s">
        <v>4369</v>
      </c>
      <c r="BB1924" t="s">
        <v>4370</v>
      </c>
      <c r="BC1924">
        <v>0.40400000000000003</v>
      </c>
      <c r="BD1924" t="s">
        <v>65</v>
      </c>
      <c r="BE1924">
        <v>128</v>
      </c>
      <c r="BF1924">
        <v>10</v>
      </c>
      <c r="BG1924" t="s">
        <v>4371</v>
      </c>
      <c r="BH1924" t="s">
        <v>4372</v>
      </c>
      <c r="BI1924" t="s">
        <v>4373</v>
      </c>
      <c r="BJ1924">
        <v>2.5250000000000002E-2</v>
      </c>
      <c r="BK1924">
        <v>1</v>
      </c>
      <c r="BL1924" t="s">
        <v>69</v>
      </c>
      <c r="BM1924">
        <v>-0.111</v>
      </c>
      <c r="BN1924">
        <v>-1.633</v>
      </c>
    </row>
    <row r="1925" spans="2:66">
      <c r="B1925">
        <v>3385</v>
      </c>
      <c r="C1925">
        <v>117</v>
      </c>
      <c r="D1925">
        <v>0</v>
      </c>
      <c r="E1925">
        <v>12</v>
      </c>
      <c r="F1925">
        <v>4</v>
      </c>
      <c r="J1925">
        <v>0</v>
      </c>
      <c r="K1925">
        <v>11</v>
      </c>
      <c r="L1925">
        <v>0</v>
      </c>
      <c r="M1925" t="s">
        <v>25022</v>
      </c>
      <c r="N1925">
        <v>699</v>
      </c>
      <c r="O1925" t="s">
        <v>4374</v>
      </c>
      <c r="P1925" t="s">
        <v>57</v>
      </c>
      <c r="Q1925">
        <v>724987</v>
      </c>
      <c r="R1925">
        <v>725994</v>
      </c>
      <c r="S1925" t="s">
        <v>4375</v>
      </c>
      <c r="T1925">
        <v>336</v>
      </c>
      <c r="U1925" t="s">
        <v>108</v>
      </c>
      <c r="V1925">
        <v>44</v>
      </c>
      <c r="W1925" t="str">
        <f>HYPERLINK("Gene699-zp_tree_all.dnd", "Gene699-tree")</f>
        <v>Gene699-tree</v>
      </c>
      <c r="X1925">
        <v>4</v>
      </c>
      <c r="Y1925">
        <v>10</v>
      </c>
      <c r="Z1925">
        <v>4</v>
      </c>
      <c r="AA1925">
        <v>10</v>
      </c>
      <c r="AB1925">
        <v>0.71428999999999998</v>
      </c>
      <c r="AC1925" t="s">
        <v>61</v>
      </c>
      <c r="AD1925" t="s">
        <v>117</v>
      </c>
      <c r="AE1925" t="s">
        <v>62</v>
      </c>
      <c r="AF1925" t="s">
        <v>62</v>
      </c>
      <c r="AG1925">
        <v>4</v>
      </c>
      <c r="AH1925">
        <v>11</v>
      </c>
      <c r="AI1925">
        <v>13</v>
      </c>
      <c r="AJ1925">
        <v>0.45833000000000002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7</v>
      </c>
      <c r="AQ1925">
        <v>0</v>
      </c>
      <c r="AR1925">
        <v>7</v>
      </c>
      <c r="AS1925">
        <v>10</v>
      </c>
      <c r="AT1925">
        <v>0.41176000000000001</v>
      </c>
      <c r="AU1925">
        <v>12</v>
      </c>
      <c r="AV1925">
        <v>8</v>
      </c>
      <c r="AW1925">
        <v>27</v>
      </c>
      <c r="AX1925">
        <v>17</v>
      </c>
      <c r="AY1925">
        <v>7</v>
      </c>
      <c r="AZ1925">
        <v>9</v>
      </c>
      <c r="BA1925" t="s">
        <v>4376</v>
      </c>
      <c r="BB1925" t="s">
        <v>4377</v>
      </c>
      <c r="BC1925">
        <v>1.1719999999999999</v>
      </c>
      <c r="BD1925" t="s">
        <v>65</v>
      </c>
      <c r="BE1925">
        <v>34</v>
      </c>
      <c r="BF1925">
        <v>26</v>
      </c>
      <c r="BG1925" t="s">
        <v>4378</v>
      </c>
      <c r="BH1925" t="s">
        <v>4379</v>
      </c>
      <c r="BI1925" t="s">
        <v>4380</v>
      </c>
      <c r="BJ1925">
        <v>0.20474999999999999</v>
      </c>
      <c r="BK1925">
        <v>1</v>
      </c>
      <c r="BL1925" t="s">
        <v>69</v>
      </c>
      <c r="BM1925">
        <v>-1.1379999999999999</v>
      </c>
      <c r="BN1925">
        <v>-1.2270000000000001</v>
      </c>
    </row>
    <row r="1926" spans="2:66">
      <c r="B1926">
        <v>3386</v>
      </c>
      <c r="C1926">
        <v>3</v>
      </c>
      <c r="D1926">
        <v>0</v>
      </c>
      <c r="E1926">
        <v>0</v>
      </c>
      <c r="F1926">
        <v>2</v>
      </c>
      <c r="J1926">
        <v>0</v>
      </c>
      <c r="K1926">
        <v>0</v>
      </c>
      <c r="L1926">
        <v>0</v>
      </c>
      <c r="M1926" t="s">
        <v>25022</v>
      </c>
      <c r="N1926">
        <v>702</v>
      </c>
      <c r="O1926" t="s">
        <v>4395</v>
      </c>
      <c r="P1926" t="s">
        <v>57</v>
      </c>
      <c r="Q1926">
        <v>728732</v>
      </c>
      <c r="R1926">
        <v>729019</v>
      </c>
      <c r="S1926" t="s">
        <v>4396</v>
      </c>
      <c r="T1926">
        <v>96</v>
      </c>
      <c r="U1926" t="s">
        <v>59</v>
      </c>
      <c r="V1926">
        <v>49</v>
      </c>
      <c r="W1926" t="str">
        <f>HYPERLINK("Gene702-zp_tree_all.dnd", "Gene702-tree")</f>
        <v>Gene702-tree</v>
      </c>
      <c r="X1926">
        <v>8</v>
      </c>
      <c r="Y1926">
        <v>1</v>
      </c>
      <c r="Z1926">
        <v>8</v>
      </c>
      <c r="AA1926">
        <v>1</v>
      </c>
      <c r="AB1926">
        <v>0.11111</v>
      </c>
      <c r="AC1926" t="s">
        <v>136</v>
      </c>
      <c r="AD1926" t="s">
        <v>175</v>
      </c>
      <c r="AE1926" t="s">
        <v>62</v>
      </c>
      <c r="AF1926" t="s">
        <v>62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6</v>
      </c>
      <c r="AV1926">
        <v>3</v>
      </c>
      <c r="AW1926">
        <v>7</v>
      </c>
      <c r="AX1926">
        <v>1</v>
      </c>
      <c r="AY1926">
        <v>7</v>
      </c>
      <c r="AZ1926">
        <v>0</v>
      </c>
      <c r="BA1926" t="s">
        <v>4397</v>
      </c>
      <c r="BB1926" t="s">
        <v>193</v>
      </c>
      <c r="BC1926">
        <v>0.48</v>
      </c>
      <c r="BD1926" t="s">
        <v>65</v>
      </c>
      <c r="BE1926">
        <v>14</v>
      </c>
      <c r="BF1926">
        <v>1</v>
      </c>
      <c r="BG1926" t="s">
        <v>4398</v>
      </c>
      <c r="BH1926" t="s">
        <v>4399</v>
      </c>
      <c r="BI1926" t="s">
        <v>4400</v>
      </c>
      <c r="BJ1926">
        <v>1.192E-2</v>
      </c>
      <c r="BK1926">
        <v>1</v>
      </c>
      <c r="BL1926" t="s">
        <v>69</v>
      </c>
      <c r="BM1926">
        <v>-1.363</v>
      </c>
      <c r="BN1926">
        <v>0.19900000000000001</v>
      </c>
    </row>
    <row r="1927" spans="2:66">
      <c r="B1927">
        <v>3387</v>
      </c>
      <c r="C1927">
        <v>277</v>
      </c>
      <c r="D1927">
        <v>0</v>
      </c>
      <c r="E1927">
        <v>2</v>
      </c>
      <c r="F1927">
        <v>0</v>
      </c>
      <c r="J1927">
        <v>0</v>
      </c>
      <c r="K1927">
        <v>2</v>
      </c>
      <c r="L1927">
        <v>1</v>
      </c>
      <c r="M1927" t="s">
        <v>25022</v>
      </c>
      <c r="N1927">
        <v>703</v>
      </c>
      <c r="O1927" t="s">
        <v>4401</v>
      </c>
      <c r="P1927" t="s">
        <v>57</v>
      </c>
      <c r="Q1927">
        <v>729038</v>
      </c>
      <c r="R1927">
        <v>730492</v>
      </c>
      <c r="S1927" t="s">
        <v>4402</v>
      </c>
      <c r="T1927">
        <v>485</v>
      </c>
      <c r="U1927" t="s">
        <v>59</v>
      </c>
      <c r="V1927">
        <v>49</v>
      </c>
      <c r="W1927" t="str">
        <f>HYPERLINK("Gene703-zp_tree_all.dnd", "Gene703-tree")</f>
        <v>Gene703-tree</v>
      </c>
      <c r="X1927">
        <v>15</v>
      </c>
      <c r="Y1927">
        <v>6</v>
      </c>
      <c r="Z1927">
        <v>15</v>
      </c>
      <c r="AA1927">
        <v>6</v>
      </c>
      <c r="AB1927">
        <v>0.28571000000000002</v>
      </c>
      <c r="AC1927" t="s">
        <v>100</v>
      </c>
      <c r="AD1927" t="s">
        <v>90</v>
      </c>
      <c r="AE1927" t="s">
        <v>62</v>
      </c>
      <c r="AF1927" t="s">
        <v>62</v>
      </c>
      <c r="AG1927">
        <v>1</v>
      </c>
      <c r="AH1927">
        <v>3</v>
      </c>
      <c r="AI1927">
        <v>9</v>
      </c>
      <c r="AJ1927">
        <v>0.25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8</v>
      </c>
      <c r="AT1927">
        <v>0</v>
      </c>
      <c r="AU1927">
        <v>18</v>
      </c>
      <c r="AV1927">
        <v>17</v>
      </c>
      <c r="AW1927">
        <v>111</v>
      </c>
      <c r="AX1927">
        <v>8</v>
      </c>
      <c r="AY1927">
        <v>142</v>
      </c>
      <c r="AZ1927">
        <v>4</v>
      </c>
      <c r="BA1927" t="s">
        <v>4403</v>
      </c>
      <c r="BB1927" t="s">
        <v>4404</v>
      </c>
      <c r="BC1927">
        <v>0.61499999999999999</v>
      </c>
      <c r="BD1927" t="s">
        <v>65</v>
      </c>
      <c r="BE1927">
        <v>253</v>
      </c>
      <c r="BF1927">
        <v>12</v>
      </c>
      <c r="BG1927" t="s">
        <v>4405</v>
      </c>
      <c r="BH1927" t="s">
        <v>4406</v>
      </c>
      <c r="BI1927" t="s">
        <v>4407</v>
      </c>
      <c r="BJ1927">
        <v>1.387E-2</v>
      </c>
      <c r="BK1927">
        <v>1</v>
      </c>
      <c r="BL1927" t="s">
        <v>69</v>
      </c>
      <c r="BM1927">
        <v>-0.96899999999999997</v>
      </c>
      <c r="BN1927">
        <v>-0.91</v>
      </c>
    </row>
    <row r="1928" spans="2:66">
      <c r="B1928">
        <v>3389</v>
      </c>
      <c r="C1928">
        <v>231</v>
      </c>
      <c r="D1928">
        <v>0</v>
      </c>
      <c r="E1928">
        <v>2</v>
      </c>
      <c r="F1928">
        <v>0</v>
      </c>
      <c r="J1928">
        <v>0</v>
      </c>
      <c r="K1928">
        <v>0</v>
      </c>
      <c r="L1928">
        <v>0</v>
      </c>
      <c r="M1928" t="s">
        <v>25022</v>
      </c>
      <c r="N1928">
        <v>704</v>
      </c>
      <c r="O1928" t="s">
        <v>4408</v>
      </c>
      <c r="P1928" t="s">
        <v>57</v>
      </c>
      <c r="Q1928">
        <v>730509</v>
      </c>
      <c r="R1928">
        <v>731936</v>
      </c>
      <c r="S1928" t="s">
        <v>4409</v>
      </c>
      <c r="T1928">
        <v>476</v>
      </c>
      <c r="U1928" t="s">
        <v>59</v>
      </c>
      <c r="V1928">
        <v>49</v>
      </c>
      <c r="W1928" t="str">
        <f>HYPERLINK("Gene704-zp_tree_all.dnd", "Gene704-tree")</f>
        <v>Gene704-tree</v>
      </c>
      <c r="X1928">
        <v>18</v>
      </c>
      <c r="Y1928">
        <v>2</v>
      </c>
      <c r="Z1928">
        <v>18</v>
      </c>
      <c r="AA1928">
        <v>2</v>
      </c>
      <c r="AB1928">
        <v>0.1</v>
      </c>
      <c r="AC1928" t="s">
        <v>144</v>
      </c>
      <c r="AD1928" t="s">
        <v>81</v>
      </c>
      <c r="AE1928" t="s">
        <v>62</v>
      </c>
      <c r="AF1928" t="s">
        <v>62</v>
      </c>
      <c r="AG1928">
        <v>0</v>
      </c>
      <c r="AH1928">
        <v>0</v>
      </c>
      <c r="AI1928">
        <v>4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3</v>
      </c>
      <c r="AT1928">
        <v>0</v>
      </c>
      <c r="AU1928">
        <v>18</v>
      </c>
      <c r="AV1928">
        <v>14</v>
      </c>
      <c r="AW1928">
        <v>109</v>
      </c>
      <c r="AX1928">
        <v>3</v>
      </c>
      <c r="AY1928">
        <v>82</v>
      </c>
      <c r="AZ1928">
        <v>1</v>
      </c>
      <c r="BA1928" t="s">
        <v>4410</v>
      </c>
      <c r="BB1928" t="s">
        <v>4411</v>
      </c>
      <c r="BC1928">
        <v>0.2</v>
      </c>
      <c r="BD1928" t="s">
        <v>65</v>
      </c>
      <c r="BE1928">
        <v>191</v>
      </c>
      <c r="BF1928">
        <v>4</v>
      </c>
      <c r="BG1928" t="s">
        <v>4412</v>
      </c>
      <c r="BH1928" t="s">
        <v>4413</v>
      </c>
      <c r="BI1928" t="s">
        <v>4414</v>
      </c>
      <c r="BJ1928">
        <v>4.3299999999999996E-3</v>
      </c>
      <c r="BK1928">
        <v>1</v>
      </c>
      <c r="BL1928" t="s">
        <v>69</v>
      </c>
      <c r="BM1928">
        <v>-1.3520000000000001</v>
      </c>
      <c r="BN1928">
        <v>-1.6859999999999999</v>
      </c>
    </row>
    <row r="1929" spans="2:66">
      <c r="B1929">
        <v>3390</v>
      </c>
      <c r="C1929">
        <v>85</v>
      </c>
      <c r="D1929">
        <v>0</v>
      </c>
      <c r="E1929">
        <v>6</v>
      </c>
      <c r="F1929">
        <v>1</v>
      </c>
      <c r="J1929">
        <v>0</v>
      </c>
      <c r="K1929">
        <v>14</v>
      </c>
      <c r="L1929">
        <v>2</v>
      </c>
      <c r="M1929" t="s">
        <v>25022</v>
      </c>
      <c r="N1929">
        <v>706</v>
      </c>
      <c r="O1929" t="s">
        <v>4416</v>
      </c>
      <c r="P1929" t="s">
        <v>57</v>
      </c>
      <c r="Q1929">
        <v>732955</v>
      </c>
      <c r="R1929">
        <v>736110</v>
      </c>
      <c r="S1929" t="s">
        <v>4417</v>
      </c>
      <c r="T1929">
        <v>1052</v>
      </c>
      <c r="U1929" t="s">
        <v>289</v>
      </c>
      <c r="V1929">
        <v>46</v>
      </c>
      <c r="W1929" t="str">
        <f>HYPERLINK("Gene706-zp_tree_all.dnd", "Gene706-tree")</f>
        <v>Gene706-tree</v>
      </c>
      <c r="X1929">
        <v>7</v>
      </c>
      <c r="Y1929">
        <v>28</v>
      </c>
      <c r="Z1929">
        <v>7</v>
      </c>
      <c r="AA1929">
        <v>11</v>
      </c>
      <c r="AB1929">
        <v>0.61111000000000004</v>
      </c>
      <c r="AC1929" t="s">
        <v>152</v>
      </c>
      <c r="AD1929" t="s">
        <v>4050</v>
      </c>
      <c r="AE1929">
        <v>2.5750000000000002</v>
      </c>
      <c r="AF1929" t="s">
        <v>65</v>
      </c>
      <c r="AG1929">
        <v>6</v>
      </c>
      <c r="AH1929">
        <v>16</v>
      </c>
      <c r="AI1929">
        <v>29</v>
      </c>
      <c r="AJ1929">
        <v>0.35555999999999999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6</v>
      </c>
      <c r="AQ1929">
        <v>2</v>
      </c>
      <c r="AR1929">
        <v>8</v>
      </c>
      <c r="AS1929">
        <v>12</v>
      </c>
      <c r="AT1929">
        <v>0.4</v>
      </c>
      <c r="AU1929">
        <v>17</v>
      </c>
      <c r="AV1929">
        <v>15</v>
      </c>
      <c r="AW1929">
        <v>235</v>
      </c>
      <c r="AX1929">
        <v>16</v>
      </c>
      <c r="AY1929">
        <v>232</v>
      </c>
      <c r="AZ1929">
        <v>31</v>
      </c>
      <c r="BA1929" t="s">
        <v>4418</v>
      </c>
      <c r="BB1929" t="s">
        <v>4419</v>
      </c>
      <c r="BC1929">
        <v>0.28599999999999998</v>
      </c>
      <c r="BD1929" t="s">
        <v>65</v>
      </c>
      <c r="BE1929">
        <v>467</v>
      </c>
      <c r="BF1929">
        <v>47</v>
      </c>
      <c r="BG1929" t="s">
        <v>4420</v>
      </c>
      <c r="BH1929" t="s">
        <v>4421</v>
      </c>
      <c r="BI1929" t="s">
        <v>4422</v>
      </c>
      <c r="BJ1929">
        <v>3.7479999999999999E-2</v>
      </c>
      <c r="BK1929">
        <v>1</v>
      </c>
      <c r="BL1929" t="s">
        <v>69</v>
      </c>
      <c r="BM1929">
        <v>-0.89900000000000002</v>
      </c>
      <c r="BN1929">
        <v>-0.21</v>
      </c>
    </row>
    <row r="1930" spans="2:66">
      <c r="B1930">
        <v>3391</v>
      </c>
      <c r="C1930">
        <v>197</v>
      </c>
      <c r="D1930">
        <v>0</v>
      </c>
      <c r="E1930">
        <v>4</v>
      </c>
      <c r="F1930">
        <v>0</v>
      </c>
      <c r="J1930">
        <v>0</v>
      </c>
      <c r="K1930">
        <v>0</v>
      </c>
      <c r="L1930">
        <v>0</v>
      </c>
      <c r="M1930" t="s">
        <v>25022</v>
      </c>
      <c r="N1930">
        <v>707</v>
      </c>
      <c r="O1930" t="s">
        <v>4423</v>
      </c>
      <c r="P1930" t="s">
        <v>57</v>
      </c>
      <c r="Q1930">
        <v>736436</v>
      </c>
      <c r="R1930">
        <v>737344</v>
      </c>
      <c r="S1930" t="s">
        <v>4424</v>
      </c>
      <c r="T1930">
        <v>303</v>
      </c>
      <c r="U1930" t="s">
        <v>59</v>
      </c>
      <c r="V1930">
        <v>49</v>
      </c>
      <c r="W1930" t="str">
        <f>HYPERLINK("Gene707-zp_tree_all.dnd", "Gene707-tree")</f>
        <v>Gene707-tree</v>
      </c>
      <c r="X1930">
        <v>18</v>
      </c>
      <c r="Y1930">
        <v>2</v>
      </c>
      <c r="Z1930">
        <v>18</v>
      </c>
      <c r="AA1930">
        <v>2</v>
      </c>
      <c r="AB1930">
        <v>0.1</v>
      </c>
      <c r="AC1930" t="s">
        <v>144</v>
      </c>
      <c r="AD1930" t="s">
        <v>81</v>
      </c>
      <c r="AE1930" t="s">
        <v>62</v>
      </c>
      <c r="AF1930" t="s">
        <v>62</v>
      </c>
      <c r="AG1930">
        <v>0</v>
      </c>
      <c r="AH1930">
        <v>0</v>
      </c>
      <c r="AI1930">
        <v>4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</v>
      </c>
      <c r="AT1930">
        <v>0</v>
      </c>
      <c r="AU1930">
        <v>18</v>
      </c>
      <c r="AV1930">
        <v>14</v>
      </c>
      <c r="AW1930">
        <v>102</v>
      </c>
      <c r="AX1930">
        <v>2</v>
      </c>
      <c r="AY1930">
        <v>57</v>
      </c>
      <c r="AZ1930">
        <v>3</v>
      </c>
      <c r="BA1930" t="s">
        <v>4425</v>
      </c>
      <c r="BB1930" t="s">
        <v>4426</v>
      </c>
      <c r="BC1930">
        <v>0.17100000000000001</v>
      </c>
      <c r="BD1930" t="s">
        <v>65</v>
      </c>
      <c r="BE1930">
        <v>159</v>
      </c>
      <c r="BF1930">
        <v>5</v>
      </c>
      <c r="BG1930" t="s">
        <v>4427</v>
      </c>
      <c r="BH1930" t="s">
        <v>4428</v>
      </c>
      <c r="BI1930" t="s">
        <v>4429</v>
      </c>
      <c r="BJ1930">
        <v>2.0060000000000001E-2</v>
      </c>
      <c r="BK1930">
        <v>1</v>
      </c>
      <c r="BL1930" t="s">
        <v>69</v>
      </c>
      <c r="BM1930">
        <v>-0.76600000000000001</v>
      </c>
      <c r="BN1930">
        <v>-1.7030000000000001</v>
      </c>
    </row>
    <row r="1931" spans="2:66">
      <c r="B1931">
        <v>3394</v>
      </c>
      <c r="C1931">
        <v>163</v>
      </c>
      <c r="D1931">
        <v>0</v>
      </c>
      <c r="E1931">
        <v>4</v>
      </c>
      <c r="F1931">
        <v>2</v>
      </c>
      <c r="J1931">
        <v>0</v>
      </c>
      <c r="K1931">
        <v>4</v>
      </c>
      <c r="L1931">
        <v>2</v>
      </c>
      <c r="M1931" t="s">
        <v>25022</v>
      </c>
      <c r="N1931">
        <v>708</v>
      </c>
      <c r="O1931" t="s">
        <v>4430</v>
      </c>
      <c r="P1931" t="s">
        <v>57</v>
      </c>
      <c r="Q1931">
        <v>737603</v>
      </c>
      <c r="R1931">
        <v>738979</v>
      </c>
      <c r="S1931" t="s">
        <v>4431</v>
      </c>
      <c r="T1931">
        <v>459</v>
      </c>
      <c r="U1931" t="s">
        <v>4432</v>
      </c>
      <c r="V1931">
        <v>27</v>
      </c>
      <c r="W1931" t="str">
        <f>HYPERLINK("Gene708-zp_tree_all.dnd", "Gene708-tree")</f>
        <v>Gene708-tree</v>
      </c>
      <c r="X1931">
        <v>3</v>
      </c>
      <c r="Y1931">
        <v>5</v>
      </c>
      <c r="Z1931">
        <v>3</v>
      </c>
      <c r="AA1931">
        <v>5</v>
      </c>
      <c r="AB1931">
        <v>0.625</v>
      </c>
      <c r="AC1931" t="s">
        <v>324</v>
      </c>
      <c r="AD1931" t="s">
        <v>199</v>
      </c>
      <c r="AE1931" t="s">
        <v>62</v>
      </c>
      <c r="AF1931" t="s">
        <v>62</v>
      </c>
      <c r="AG1931">
        <v>3</v>
      </c>
      <c r="AH1931">
        <v>6</v>
      </c>
      <c r="AI1931">
        <v>8</v>
      </c>
      <c r="AJ1931">
        <v>0.42857000000000001</v>
      </c>
      <c r="AK1931">
        <v>0</v>
      </c>
      <c r="AL1931">
        <v>0</v>
      </c>
      <c r="AM1931">
        <v>0</v>
      </c>
      <c r="AN1931">
        <v>3</v>
      </c>
      <c r="AO1931">
        <v>0</v>
      </c>
      <c r="AP1931">
        <v>0</v>
      </c>
      <c r="AQ1931">
        <v>0</v>
      </c>
      <c r="AR1931">
        <v>0</v>
      </c>
      <c r="AS1931">
        <v>8</v>
      </c>
      <c r="AT1931">
        <v>0</v>
      </c>
      <c r="AU1931">
        <v>7</v>
      </c>
      <c r="AV1931">
        <v>5</v>
      </c>
      <c r="AW1931">
        <v>81</v>
      </c>
      <c r="AX1931">
        <v>9</v>
      </c>
      <c r="AY1931">
        <v>78</v>
      </c>
      <c r="AZ1931">
        <v>9</v>
      </c>
      <c r="BA1931" t="s">
        <v>4433</v>
      </c>
      <c r="BB1931" t="s">
        <v>4434</v>
      </c>
      <c r="BC1931">
        <v>2.8000000000000001E-2</v>
      </c>
      <c r="BD1931" t="s">
        <v>65</v>
      </c>
      <c r="BE1931">
        <v>159</v>
      </c>
      <c r="BF1931">
        <v>18</v>
      </c>
      <c r="BG1931" t="s">
        <v>4435</v>
      </c>
      <c r="BH1931" t="s">
        <v>4436</v>
      </c>
      <c r="BI1931" t="s">
        <v>4437</v>
      </c>
      <c r="BJ1931">
        <v>3.4509999999999999E-2</v>
      </c>
      <c r="BK1931">
        <v>1</v>
      </c>
      <c r="BL1931" t="s">
        <v>69</v>
      </c>
      <c r="BM1931">
        <v>-0.629</v>
      </c>
      <c r="BN1931">
        <v>-0.53700000000000003</v>
      </c>
    </row>
    <row r="1932" spans="2:66">
      <c r="B1932">
        <v>3396</v>
      </c>
      <c r="C1932">
        <v>76</v>
      </c>
      <c r="D1932">
        <v>0</v>
      </c>
      <c r="E1932">
        <v>2</v>
      </c>
      <c r="F1932">
        <v>4</v>
      </c>
      <c r="J1932">
        <v>0</v>
      </c>
      <c r="K1932">
        <v>0</v>
      </c>
      <c r="L1932">
        <v>4</v>
      </c>
      <c r="M1932" t="s">
        <v>25022</v>
      </c>
      <c r="N1932">
        <v>718</v>
      </c>
      <c r="O1932" t="s">
        <v>4446</v>
      </c>
      <c r="P1932" t="s">
        <v>57</v>
      </c>
      <c r="Q1932">
        <v>749775</v>
      </c>
      <c r="R1932">
        <v>750794</v>
      </c>
      <c r="S1932" t="s">
        <v>4447</v>
      </c>
      <c r="T1932">
        <v>340</v>
      </c>
      <c r="U1932" t="s">
        <v>4448</v>
      </c>
      <c r="V1932">
        <v>23</v>
      </c>
      <c r="W1932" t="str">
        <f>HYPERLINK("Gene718-zp_tree_all.dnd", "Gene718-tree")</f>
        <v>Gene718-tree</v>
      </c>
      <c r="X1932">
        <v>2</v>
      </c>
      <c r="Y1932">
        <v>2</v>
      </c>
      <c r="Z1932">
        <v>2</v>
      </c>
      <c r="AA1932">
        <v>2</v>
      </c>
      <c r="AB1932">
        <v>0.5</v>
      </c>
      <c r="AC1932" t="s">
        <v>81</v>
      </c>
      <c r="AD1932" t="s">
        <v>81</v>
      </c>
      <c r="AE1932" t="s">
        <v>62</v>
      </c>
      <c r="AF1932" t="s">
        <v>62</v>
      </c>
      <c r="AG1932">
        <v>2</v>
      </c>
      <c r="AH1932">
        <v>4</v>
      </c>
      <c r="AI1932">
        <v>32</v>
      </c>
      <c r="AJ1932">
        <v>0.11111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24</v>
      </c>
      <c r="AT1932">
        <v>0</v>
      </c>
      <c r="AU1932">
        <v>3</v>
      </c>
      <c r="AV1932">
        <v>1</v>
      </c>
      <c r="AW1932">
        <v>24</v>
      </c>
      <c r="AX1932">
        <v>24</v>
      </c>
      <c r="AY1932">
        <v>10</v>
      </c>
      <c r="AZ1932">
        <v>12</v>
      </c>
      <c r="BA1932" t="s">
        <v>4449</v>
      </c>
      <c r="BB1932" t="s">
        <v>4450</v>
      </c>
      <c r="BC1932">
        <v>0.316</v>
      </c>
      <c r="BD1932" t="s">
        <v>65</v>
      </c>
      <c r="BE1932">
        <v>34</v>
      </c>
      <c r="BF1932">
        <v>36</v>
      </c>
      <c r="BG1932" t="s">
        <v>4451</v>
      </c>
      <c r="BH1932" t="s">
        <v>4452</v>
      </c>
      <c r="BI1932" t="s">
        <v>4453</v>
      </c>
      <c r="BJ1932">
        <v>0.28793999999999997</v>
      </c>
      <c r="BK1932">
        <v>1</v>
      </c>
      <c r="BL1932" t="s">
        <v>69</v>
      </c>
      <c r="BM1932">
        <v>-1.224</v>
      </c>
      <c r="BN1932">
        <v>-0.91900000000000004</v>
      </c>
    </row>
    <row r="1933" spans="2:66">
      <c r="B1933">
        <v>3398</v>
      </c>
      <c r="C1933">
        <v>13</v>
      </c>
      <c r="D1933">
        <v>0</v>
      </c>
      <c r="E1933">
        <v>2</v>
      </c>
      <c r="F1933">
        <v>2</v>
      </c>
      <c r="J1933">
        <v>0</v>
      </c>
      <c r="K1933">
        <v>18</v>
      </c>
      <c r="L1933">
        <v>4</v>
      </c>
      <c r="M1933" t="s">
        <v>25022</v>
      </c>
      <c r="N1933">
        <v>719</v>
      </c>
      <c r="O1933" t="s">
        <v>4454</v>
      </c>
      <c r="P1933" t="s">
        <v>57</v>
      </c>
      <c r="Q1933">
        <v>750959</v>
      </c>
      <c r="R1933">
        <v>752086</v>
      </c>
      <c r="S1933" t="s">
        <v>1932</v>
      </c>
      <c r="T1933">
        <v>376</v>
      </c>
      <c r="U1933" t="s">
        <v>108</v>
      </c>
      <c r="V1933">
        <v>44</v>
      </c>
      <c r="W1933" t="str">
        <f>HYPERLINK("Gene719-zp_tree_all.dnd", "Gene719-tree")</f>
        <v>Gene719-tree</v>
      </c>
      <c r="X1933">
        <v>5</v>
      </c>
      <c r="Y1933">
        <v>12</v>
      </c>
      <c r="Z1933">
        <v>5</v>
      </c>
      <c r="AA1933">
        <v>12</v>
      </c>
      <c r="AB1933">
        <v>0.70587999999999995</v>
      </c>
      <c r="AC1933" t="s">
        <v>199</v>
      </c>
      <c r="AD1933" t="s">
        <v>109</v>
      </c>
      <c r="AE1933" t="s">
        <v>62</v>
      </c>
      <c r="AF1933" t="s">
        <v>62</v>
      </c>
      <c r="AG1933">
        <v>8</v>
      </c>
      <c r="AH1933">
        <v>22</v>
      </c>
      <c r="AI1933">
        <v>24</v>
      </c>
      <c r="AJ1933">
        <v>0.47826000000000002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4</v>
      </c>
      <c r="AQ1933">
        <v>1</v>
      </c>
      <c r="AR1933">
        <v>5</v>
      </c>
      <c r="AS1933">
        <v>28</v>
      </c>
      <c r="AT1933">
        <v>0.15151999999999999</v>
      </c>
      <c r="AU1933">
        <v>16</v>
      </c>
      <c r="AV1933">
        <v>13</v>
      </c>
      <c r="AW1933">
        <v>77</v>
      </c>
      <c r="AX1933">
        <v>33</v>
      </c>
      <c r="AY1933">
        <v>55</v>
      </c>
      <c r="AZ1933">
        <v>17</v>
      </c>
      <c r="BA1933" t="s">
        <v>4455</v>
      </c>
      <c r="BB1933" t="s">
        <v>4456</v>
      </c>
      <c r="BC1933">
        <v>0.56899999999999995</v>
      </c>
      <c r="BD1933" t="s">
        <v>65</v>
      </c>
      <c r="BE1933">
        <v>132</v>
      </c>
      <c r="BF1933">
        <v>50</v>
      </c>
      <c r="BG1933" t="s">
        <v>4457</v>
      </c>
      <c r="BH1933" t="s">
        <v>4458</v>
      </c>
      <c r="BI1933" t="s">
        <v>4459</v>
      </c>
      <c r="BJ1933">
        <v>0.1067</v>
      </c>
      <c r="BK1933">
        <v>1</v>
      </c>
      <c r="BL1933" t="s">
        <v>69</v>
      </c>
      <c r="BM1933">
        <v>-0.19900000000000001</v>
      </c>
      <c r="BN1933">
        <v>-0.52700000000000002</v>
      </c>
    </row>
    <row r="1934" spans="2:66">
      <c r="B1934">
        <v>3399</v>
      </c>
      <c r="C1934">
        <v>53</v>
      </c>
      <c r="D1934">
        <v>0</v>
      </c>
      <c r="E1934">
        <v>2</v>
      </c>
      <c r="F1934">
        <v>0</v>
      </c>
      <c r="J1934">
        <v>0</v>
      </c>
      <c r="K1934">
        <v>3</v>
      </c>
      <c r="L1934">
        <v>0</v>
      </c>
      <c r="M1934" t="s">
        <v>25022</v>
      </c>
      <c r="N1934">
        <v>720</v>
      </c>
      <c r="O1934" t="s">
        <v>4460</v>
      </c>
      <c r="P1934" t="s">
        <v>57</v>
      </c>
      <c r="Q1934">
        <v>752079</v>
      </c>
      <c r="R1934">
        <v>752249</v>
      </c>
      <c r="S1934" t="s">
        <v>4461</v>
      </c>
      <c r="T1934">
        <v>57</v>
      </c>
      <c r="U1934" t="s">
        <v>4462</v>
      </c>
      <c r="V1934">
        <v>41</v>
      </c>
      <c r="W1934" t="str">
        <f>HYPERLINK("Gene720-zp_tree_all.dnd", "Gene720-tree")</f>
        <v>Gene720-tree</v>
      </c>
      <c r="X1934">
        <v>2</v>
      </c>
      <c r="Y1934">
        <v>9</v>
      </c>
      <c r="Z1934">
        <v>2</v>
      </c>
      <c r="AA1934">
        <v>9</v>
      </c>
      <c r="AB1934">
        <v>0.81818000000000002</v>
      </c>
      <c r="AC1934" t="s">
        <v>81</v>
      </c>
      <c r="AD1934" t="s">
        <v>135</v>
      </c>
      <c r="AE1934" t="s">
        <v>62</v>
      </c>
      <c r="AF1934" t="s">
        <v>62</v>
      </c>
      <c r="AG1934">
        <v>1</v>
      </c>
      <c r="AH1934">
        <v>3</v>
      </c>
      <c r="AI1934">
        <v>9</v>
      </c>
      <c r="AJ1934">
        <v>0.25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2</v>
      </c>
      <c r="AQ1934">
        <v>0</v>
      </c>
      <c r="AR1934">
        <v>2</v>
      </c>
      <c r="AS1934">
        <v>8</v>
      </c>
      <c r="AT1934">
        <v>0.2</v>
      </c>
      <c r="AU1934">
        <v>10</v>
      </c>
      <c r="AV1934">
        <v>6</v>
      </c>
      <c r="AW1934">
        <v>4</v>
      </c>
      <c r="AX1934">
        <v>10</v>
      </c>
      <c r="AY1934">
        <v>4</v>
      </c>
      <c r="AZ1934">
        <v>3</v>
      </c>
      <c r="BA1934" t="s">
        <v>4463</v>
      </c>
      <c r="BB1934" t="s">
        <v>4464</v>
      </c>
      <c r="BC1934">
        <v>0.69299999999999995</v>
      </c>
      <c r="BD1934" t="s">
        <v>65</v>
      </c>
      <c r="BE1934">
        <v>8</v>
      </c>
      <c r="BF1934">
        <v>13</v>
      </c>
      <c r="BG1934" t="s">
        <v>4465</v>
      </c>
      <c r="BH1934" t="s">
        <v>4466</v>
      </c>
      <c r="BI1934" t="s">
        <v>4467</v>
      </c>
      <c r="BJ1934">
        <v>0.44468000000000002</v>
      </c>
      <c r="BK1934">
        <v>0.84699999999999998</v>
      </c>
      <c r="BL1934" t="s">
        <v>635</v>
      </c>
      <c r="BM1934">
        <v>-0.42599999999999999</v>
      </c>
      <c r="BN1934">
        <v>-1.1559999999999999</v>
      </c>
    </row>
    <row r="1935" spans="2:66">
      <c r="B1935">
        <v>3403</v>
      </c>
      <c r="C1935">
        <v>592</v>
      </c>
      <c r="D1935">
        <v>0</v>
      </c>
      <c r="E1935">
        <v>4</v>
      </c>
      <c r="F1935">
        <v>2</v>
      </c>
      <c r="J1935">
        <v>0</v>
      </c>
      <c r="K1935">
        <v>0</v>
      </c>
      <c r="L1935">
        <v>0</v>
      </c>
      <c r="M1935" t="s">
        <v>25022</v>
      </c>
      <c r="N1935">
        <v>721</v>
      </c>
      <c r="O1935" t="s">
        <v>4468</v>
      </c>
      <c r="P1935" t="s">
        <v>57</v>
      </c>
      <c r="Q1935">
        <v>752412</v>
      </c>
      <c r="R1935">
        <v>753128</v>
      </c>
      <c r="S1935" t="s">
        <v>4469</v>
      </c>
      <c r="T1935">
        <v>239</v>
      </c>
      <c r="U1935" t="s">
        <v>289</v>
      </c>
      <c r="V1935">
        <v>46</v>
      </c>
      <c r="W1935" t="str">
        <f>HYPERLINK("Gene721-zp_tree_all.dnd", "Gene721-tree")</f>
        <v>Gene721-tree</v>
      </c>
      <c r="X1935">
        <v>16</v>
      </c>
      <c r="Y1935">
        <v>1</v>
      </c>
      <c r="Z1935">
        <v>16</v>
      </c>
      <c r="AA1935">
        <v>1</v>
      </c>
      <c r="AB1935">
        <v>5.8819999999999997E-2</v>
      </c>
      <c r="AC1935" t="s">
        <v>60</v>
      </c>
      <c r="AD1935" t="s">
        <v>175</v>
      </c>
      <c r="AE1935" t="s">
        <v>62</v>
      </c>
      <c r="AF1935" t="s">
        <v>62</v>
      </c>
      <c r="AG1935">
        <v>0</v>
      </c>
      <c r="AH1935">
        <v>0</v>
      </c>
      <c r="AI1935">
        <v>4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13</v>
      </c>
      <c r="AV1935">
        <v>9</v>
      </c>
      <c r="AW1935">
        <v>28</v>
      </c>
      <c r="AX1935">
        <v>1</v>
      </c>
      <c r="AY1935">
        <v>31</v>
      </c>
      <c r="AZ1935">
        <v>3</v>
      </c>
      <c r="BA1935" t="s">
        <v>4470</v>
      </c>
      <c r="BB1935" t="s">
        <v>4471</v>
      </c>
      <c r="BC1935">
        <v>0.26100000000000001</v>
      </c>
      <c r="BD1935" t="s">
        <v>65</v>
      </c>
      <c r="BE1935">
        <v>59</v>
      </c>
      <c r="BF1935">
        <v>4</v>
      </c>
      <c r="BG1935" t="s">
        <v>4472</v>
      </c>
      <c r="BH1935" t="s">
        <v>4473</v>
      </c>
      <c r="BI1935" t="s">
        <v>4474</v>
      </c>
      <c r="BJ1935">
        <v>2.7539999999999999E-2</v>
      </c>
      <c r="BK1935">
        <v>1</v>
      </c>
      <c r="BL1935" t="s">
        <v>69</v>
      </c>
      <c r="BM1935">
        <v>-1.2969999999999999</v>
      </c>
      <c r="BN1935">
        <v>-0.90200000000000002</v>
      </c>
    </row>
    <row r="1936" spans="2:66">
      <c r="B1936">
        <v>3404</v>
      </c>
      <c r="C1936">
        <v>206</v>
      </c>
      <c r="D1936">
        <v>0</v>
      </c>
      <c r="E1936">
        <v>0</v>
      </c>
      <c r="F1936">
        <v>2</v>
      </c>
      <c r="J1936">
        <v>0</v>
      </c>
      <c r="K1936">
        <v>7</v>
      </c>
      <c r="L1936">
        <v>8</v>
      </c>
      <c r="M1936" t="s">
        <v>25022</v>
      </c>
      <c r="N1936">
        <v>723</v>
      </c>
      <c r="O1936" t="s">
        <v>4475</v>
      </c>
      <c r="P1936" t="s">
        <v>57</v>
      </c>
      <c r="Q1936">
        <v>753817</v>
      </c>
      <c r="R1936">
        <v>754398</v>
      </c>
      <c r="S1936" t="s">
        <v>4476</v>
      </c>
      <c r="T1936">
        <v>194</v>
      </c>
      <c r="U1936" t="s">
        <v>108</v>
      </c>
      <c r="V1936">
        <v>44</v>
      </c>
      <c r="W1936" t="str">
        <f>HYPERLINK("Gene723-zp_tree_all.dnd", "Gene723-tree")</f>
        <v>Gene723-tree</v>
      </c>
      <c r="X1936">
        <v>6</v>
      </c>
      <c r="Y1936">
        <v>7</v>
      </c>
      <c r="Z1936">
        <v>6</v>
      </c>
      <c r="AA1936">
        <v>7</v>
      </c>
      <c r="AB1936">
        <v>0.53846000000000005</v>
      </c>
      <c r="AC1936" t="s">
        <v>90</v>
      </c>
      <c r="AD1936" t="s">
        <v>152</v>
      </c>
      <c r="AE1936" t="s">
        <v>62</v>
      </c>
      <c r="AF1936" t="s">
        <v>62</v>
      </c>
      <c r="AG1936">
        <v>7</v>
      </c>
      <c r="AH1936">
        <v>15</v>
      </c>
      <c r="AI1936">
        <v>12</v>
      </c>
      <c r="AJ1936">
        <v>0.55556000000000005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2</v>
      </c>
      <c r="AQ1936">
        <v>4</v>
      </c>
      <c r="AR1936">
        <v>6</v>
      </c>
      <c r="AS1936">
        <v>11</v>
      </c>
      <c r="AT1936">
        <v>0.35293999999999998</v>
      </c>
      <c r="AU1936">
        <v>13</v>
      </c>
      <c r="AV1936">
        <v>9</v>
      </c>
      <c r="AW1936">
        <v>33</v>
      </c>
      <c r="AX1936">
        <v>17</v>
      </c>
      <c r="AY1936">
        <v>33</v>
      </c>
      <c r="AZ1936">
        <v>10</v>
      </c>
      <c r="BA1936" t="s">
        <v>4477</v>
      </c>
      <c r="BB1936" t="s">
        <v>4478</v>
      </c>
      <c r="BC1936">
        <v>0.76600000000000001</v>
      </c>
      <c r="BD1936" t="s">
        <v>65</v>
      </c>
      <c r="BE1936">
        <v>66</v>
      </c>
      <c r="BF1936">
        <v>27</v>
      </c>
      <c r="BG1936" t="s">
        <v>4479</v>
      </c>
      <c r="BH1936" t="s">
        <v>4480</v>
      </c>
      <c r="BI1936" t="s">
        <v>4481</v>
      </c>
      <c r="BJ1936">
        <v>0.11491999999999999</v>
      </c>
      <c r="BK1936">
        <v>1</v>
      </c>
      <c r="BL1936" t="s">
        <v>69</v>
      </c>
      <c r="BM1936">
        <v>0.499</v>
      </c>
      <c r="BN1936">
        <v>-0.32900000000000001</v>
      </c>
    </row>
    <row r="1937" spans="2:66">
      <c r="B1937">
        <v>3405</v>
      </c>
      <c r="C1937">
        <v>66</v>
      </c>
      <c r="D1937">
        <v>0</v>
      </c>
      <c r="E1937">
        <v>19</v>
      </c>
      <c r="F1937">
        <v>3</v>
      </c>
      <c r="J1937">
        <v>2</v>
      </c>
      <c r="K1937">
        <v>9</v>
      </c>
      <c r="L1937">
        <v>1</v>
      </c>
      <c r="M1937" t="s">
        <v>25022</v>
      </c>
      <c r="N1937">
        <v>724</v>
      </c>
      <c r="O1937" t="s">
        <v>4482</v>
      </c>
      <c r="P1937" t="s">
        <v>57</v>
      </c>
      <c r="Q1937">
        <v>754480</v>
      </c>
      <c r="R1937">
        <v>754920</v>
      </c>
      <c r="S1937" t="s">
        <v>288</v>
      </c>
      <c r="T1937">
        <v>147</v>
      </c>
      <c r="U1937" t="s">
        <v>1933</v>
      </c>
      <c r="V1937">
        <v>39</v>
      </c>
      <c r="W1937" t="str">
        <f>HYPERLINK("Gene724-zp_tree_all.dnd", "Gene724-tree")</f>
        <v>Gene724-tree</v>
      </c>
      <c r="X1937">
        <v>5</v>
      </c>
      <c r="Y1937">
        <v>8</v>
      </c>
      <c r="Z1937">
        <v>5</v>
      </c>
      <c r="AA1937">
        <v>8</v>
      </c>
      <c r="AB1937">
        <v>0.61538000000000004</v>
      </c>
      <c r="AC1937" t="s">
        <v>199</v>
      </c>
      <c r="AD1937" t="s">
        <v>136</v>
      </c>
      <c r="AE1937" t="s">
        <v>62</v>
      </c>
      <c r="AF1937" t="s">
        <v>62</v>
      </c>
      <c r="AG1937">
        <v>4</v>
      </c>
      <c r="AH1937">
        <v>12</v>
      </c>
      <c r="AI1937">
        <v>12</v>
      </c>
      <c r="AJ1937">
        <v>0.5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5</v>
      </c>
      <c r="AQ1937">
        <v>2</v>
      </c>
      <c r="AR1937">
        <v>7</v>
      </c>
      <c r="AS1937">
        <v>8</v>
      </c>
      <c r="AT1937">
        <v>0.46666999999999997</v>
      </c>
      <c r="AU1937">
        <v>12</v>
      </c>
      <c r="AV1937">
        <v>9</v>
      </c>
      <c r="AW1937">
        <v>23</v>
      </c>
      <c r="AX1937">
        <v>16</v>
      </c>
      <c r="AY1937">
        <v>10</v>
      </c>
      <c r="AZ1937">
        <v>9</v>
      </c>
      <c r="BA1937" t="s">
        <v>4483</v>
      </c>
      <c r="BB1937" t="s">
        <v>4484</v>
      </c>
      <c r="BC1937">
        <v>0.63900000000000001</v>
      </c>
      <c r="BD1937" t="s">
        <v>65</v>
      </c>
      <c r="BE1937">
        <v>33</v>
      </c>
      <c r="BF1937">
        <v>25</v>
      </c>
      <c r="BG1937" t="s">
        <v>4485</v>
      </c>
      <c r="BH1937" t="s">
        <v>4486</v>
      </c>
      <c r="BI1937" t="s">
        <v>4487</v>
      </c>
      <c r="BJ1937">
        <v>0.23207</v>
      </c>
      <c r="BK1937">
        <v>1</v>
      </c>
      <c r="BL1937" t="s">
        <v>69</v>
      </c>
      <c r="BM1937">
        <v>-0.72399999999999998</v>
      </c>
      <c r="BN1937">
        <v>-0.95399999999999996</v>
      </c>
    </row>
    <row r="1938" spans="2:66">
      <c r="B1938">
        <v>3407</v>
      </c>
      <c r="C1938">
        <v>237</v>
      </c>
      <c r="D1938">
        <v>0</v>
      </c>
      <c r="E1938">
        <v>8</v>
      </c>
      <c r="F1938">
        <v>2</v>
      </c>
      <c r="J1938">
        <v>0</v>
      </c>
      <c r="K1938">
        <v>0</v>
      </c>
      <c r="L1938">
        <v>0</v>
      </c>
      <c r="M1938" t="s">
        <v>25022</v>
      </c>
      <c r="N1938">
        <v>725</v>
      </c>
      <c r="O1938" t="s">
        <v>4488</v>
      </c>
      <c r="P1938" t="s">
        <v>57</v>
      </c>
      <c r="Q1938">
        <v>754920</v>
      </c>
      <c r="R1938">
        <v>755777</v>
      </c>
      <c r="S1938" t="s">
        <v>1940</v>
      </c>
      <c r="T1938">
        <v>286</v>
      </c>
      <c r="U1938" t="s">
        <v>4489</v>
      </c>
      <c r="V1938">
        <v>33</v>
      </c>
      <c r="W1938" t="str">
        <f>HYPERLINK("Gene725-zp_tree_all.dnd", "Gene725-tree")</f>
        <v>Gene725-tree</v>
      </c>
      <c r="X1938">
        <v>5</v>
      </c>
      <c r="Y1938">
        <v>6</v>
      </c>
      <c r="Z1938">
        <v>5</v>
      </c>
      <c r="AA1938">
        <v>6</v>
      </c>
      <c r="AB1938">
        <v>0.54544999999999999</v>
      </c>
      <c r="AC1938" t="s">
        <v>199</v>
      </c>
      <c r="AD1938" t="s">
        <v>90</v>
      </c>
      <c r="AE1938" t="s">
        <v>62</v>
      </c>
      <c r="AF1938" t="s">
        <v>62</v>
      </c>
      <c r="AG1938">
        <v>0</v>
      </c>
      <c r="AH1938">
        <v>0</v>
      </c>
      <c r="AI1938">
        <v>24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17</v>
      </c>
      <c r="AT1938">
        <v>0</v>
      </c>
      <c r="AU1938">
        <v>10</v>
      </c>
      <c r="AV1938">
        <v>7</v>
      </c>
      <c r="AW1938">
        <v>31</v>
      </c>
      <c r="AX1938">
        <v>20</v>
      </c>
      <c r="AY1938">
        <v>17</v>
      </c>
      <c r="AZ1938">
        <v>10</v>
      </c>
      <c r="BA1938" t="s">
        <v>4490</v>
      </c>
      <c r="BB1938" t="s">
        <v>4491</v>
      </c>
      <c r="BC1938">
        <v>0.06</v>
      </c>
      <c r="BD1938" t="s">
        <v>65</v>
      </c>
      <c r="BE1938">
        <v>48</v>
      </c>
      <c r="BF1938">
        <v>30</v>
      </c>
      <c r="BG1938" t="s">
        <v>4492</v>
      </c>
      <c r="BH1938" t="s">
        <v>4493</v>
      </c>
      <c r="BI1938" t="s">
        <v>4494</v>
      </c>
      <c r="BJ1938">
        <v>0.20422999999999999</v>
      </c>
      <c r="BK1938">
        <v>1</v>
      </c>
      <c r="BL1938" t="s">
        <v>69</v>
      </c>
      <c r="BM1938">
        <v>-0.93799999999999994</v>
      </c>
      <c r="BN1938">
        <v>-1.5820000000000001</v>
      </c>
    </row>
    <row r="1939" spans="2:66">
      <c r="B1939">
        <v>3409</v>
      </c>
      <c r="C1939">
        <v>88</v>
      </c>
      <c r="D1939">
        <v>0</v>
      </c>
      <c r="E1939">
        <v>0</v>
      </c>
      <c r="F1939">
        <v>2</v>
      </c>
      <c r="J1939">
        <v>0</v>
      </c>
      <c r="K1939">
        <v>0</v>
      </c>
      <c r="L1939">
        <v>0</v>
      </c>
      <c r="M1939" t="s">
        <v>25022</v>
      </c>
      <c r="N1939">
        <v>726</v>
      </c>
      <c r="O1939" t="s">
        <v>4495</v>
      </c>
      <c r="P1939" t="s">
        <v>57</v>
      </c>
      <c r="Q1939">
        <v>755907</v>
      </c>
      <c r="R1939">
        <v>756152</v>
      </c>
      <c r="S1939" t="s">
        <v>4496</v>
      </c>
      <c r="T1939">
        <v>82</v>
      </c>
      <c r="U1939" t="s">
        <v>59</v>
      </c>
      <c r="V1939">
        <v>49</v>
      </c>
      <c r="W1939" t="str">
        <f>HYPERLINK("Gene726-zp_tree_all.dnd", "Gene726-tree")</f>
        <v>Gene726-tree</v>
      </c>
      <c r="X1939">
        <v>7</v>
      </c>
      <c r="Y1939">
        <v>2</v>
      </c>
      <c r="Z1939">
        <v>7</v>
      </c>
      <c r="AA1939">
        <v>2</v>
      </c>
      <c r="AB1939">
        <v>0.22222</v>
      </c>
      <c r="AC1939" t="s">
        <v>152</v>
      </c>
      <c r="AD1939" t="s">
        <v>81</v>
      </c>
      <c r="AE1939" t="s">
        <v>62</v>
      </c>
      <c r="AF1939" t="s">
        <v>62</v>
      </c>
      <c r="AG1939">
        <v>0</v>
      </c>
      <c r="AH1939">
        <v>0</v>
      </c>
      <c r="AI1939">
        <v>4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3</v>
      </c>
      <c r="AT1939">
        <v>0</v>
      </c>
      <c r="AU1939">
        <v>7</v>
      </c>
      <c r="AV1939">
        <v>3</v>
      </c>
      <c r="AW1939">
        <v>5</v>
      </c>
      <c r="AX1939">
        <v>3</v>
      </c>
      <c r="AY1939">
        <v>7</v>
      </c>
      <c r="AZ1939">
        <v>1</v>
      </c>
      <c r="BA1939" t="s">
        <v>4497</v>
      </c>
      <c r="BB1939" t="s">
        <v>4498</v>
      </c>
      <c r="BC1939">
        <v>0.59599999999999997</v>
      </c>
      <c r="BD1939" t="s">
        <v>65</v>
      </c>
      <c r="BE1939">
        <v>12</v>
      </c>
      <c r="BF1939">
        <v>4</v>
      </c>
      <c r="BG1939" t="s">
        <v>4499</v>
      </c>
      <c r="BH1939" t="s">
        <v>4500</v>
      </c>
      <c r="BI1939" t="s">
        <v>4501</v>
      </c>
      <c r="BJ1939">
        <v>7.288E-2</v>
      </c>
      <c r="BK1939">
        <v>1</v>
      </c>
      <c r="BL1939" t="s">
        <v>69</v>
      </c>
      <c r="BM1939">
        <v>-1.6619999999999999</v>
      </c>
      <c r="BN1939">
        <v>-0.25900000000000001</v>
      </c>
    </row>
    <row r="1940" spans="2:66">
      <c r="B1940">
        <v>3410</v>
      </c>
      <c r="C1940">
        <v>54</v>
      </c>
      <c r="D1940">
        <v>0</v>
      </c>
      <c r="E1940">
        <v>2</v>
      </c>
      <c r="F1940">
        <v>0</v>
      </c>
      <c r="J1940">
        <v>0</v>
      </c>
      <c r="K1940">
        <v>0</v>
      </c>
      <c r="L1940">
        <v>0</v>
      </c>
      <c r="M1940" t="s">
        <v>25022</v>
      </c>
      <c r="N1940">
        <v>727</v>
      </c>
      <c r="O1940" t="s">
        <v>4502</v>
      </c>
      <c r="P1940" t="s">
        <v>57</v>
      </c>
      <c r="Q1940">
        <v>756139</v>
      </c>
      <c r="R1940">
        <v>756399</v>
      </c>
      <c r="S1940" t="s">
        <v>4496</v>
      </c>
      <c r="T1940">
        <v>87</v>
      </c>
      <c r="U1940" t="s">
        <v>409</v>
      </c>
      <c r="V1940">
        <v>45</v>
      </c>
      <c r="W1940" t="str">
        <f>HYPERLINK("Gene727-zp_tree_all.dnd", "Gene727-tree")</f>
        <v>Gene727-tree</v>
      </c>
      <c r="X1940">
        <v>9</v>
      </c>
      <c r="Y1940">
        <v>1</v>
      </c>
      <c r="Z1940">
        <v>9</v>
      </c>
      <c r="AA1940">
        <v>1</v>
      </c>
      <c r="AB1940">
        <v>0.1</v>
      </c>
      <c r="AC1940" t="s">
        <v>135</v>
      </c>
      <c r="AD1940" t="s">
        <v>175</v>
      </c>
      <c r="AE1940" t="s">
        <v>62</v>
      </c>
      <c r="AF1940" t="s">
        <v>62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7</v>
      </c>
      <c r="AV1940">
        <v>2</v>
      </c>
      <c r="AW1940">
        <v>10</v>
      </c>
      <c r="AX1940">
        <v>1</v>
      </c>
      <c r="AY1940">
        <v>3</v>
      </c>
      <c r="AZ1940">
        <v>0</v>
      </c>
      <c r="BA1940" t="s">
        <v>4503</v>
      </c>
      <c r="BB1940" t="s">
        <v>193</v>
      </c>
      <c r="BC1940">
        <v>0.42199999999999999</v>
      </c>
      <c r="BD1940" t="s">
        <v>65</v>
      </c>
      <c r="BE1940">
        <v>13</v>
      </c>
      <c r="BF1940">
        <v>1</v>
      </c>
      <c r="BG1940" t="s">
        <v>4504</v>
      </c>
      <c r="BH1940" t="s">
        <v>4505</v>
      </c>
      <c r="BI1940" t="s">
        <v>4506</v>
      </c>
      <c r="BJ1940">
        <v>2.043E-2</v>
      </c>
      <c r="BK1940">
        <v>1</v>
      </c>
      <c r="BL1940" t="s">
        <v>69</v>
      </c>
      <c r="BM1940">
        <v>-0.45600000000000002</v>
      </c>
      <c r="BN1940">
        <v>0.20300000000000001</v>
      </c>
    </row>
    <row r="1941" spans="2:66">
      <c r="B1941">
        <v>3411</v>
      </c>
      <c r="C1941">
        <v>337</v>
      </c>
      <c r="D1941">
        <v>0</v>
      </c>
      <c r="E1941">
        <v>5</v>
      </c>
      <c r="F1941">
        <v>0</v>
      </c>
      <c r="J1941">
        <v>0</v>
      </c>
      <c r="K1941">
        <v>2</v>
      </c>
      <c r="L1941">
        <v>0</v>
      </c>
      <c r="M1941" t="s">
        <v>25022</v>
      </c>
      <c r="N1941">
        <v>728</v>
      </c>
      <c r="O1941" t="s">
        <v>4507</v>
      </c>
      <c r="P1941" t="s">
        <v>57</v>
      </c>
      <c r="Q1941">
        <v>756417</v>
      </c>
      <c r="R1941">
        <v>756983</v>
      </c>
      <c r="S1941" t="s">
        <v>4508</v>
      </c>
      <c r="T1941">
        <v>189</v>
      </c>
      <c r="U1941" t="s">
        <v>698</v>
      </c>
      <c r="V1941">
        <v>47</v>
      </c>
      <c r="W1941" t="str">
        <f>HYPERLINK("Gene728-zp_tree_all.dnd", "Gene728-tree")</f>
        <v>Gene728-tree</v>
      </c>
      <c r="X1941">
        <v>13</v>
      </c>
      <c r="Y1941">
        <v>2</v>
      </c>
      <c r="Z1941">
        <v>13</v>
      </c>
      <c r="AA1941">
        <v>2</v>
      </c>
      <c r="AB1941">
        <v>0.13333</v>
      </c>
      <c r="AC1941" t="s">
        <v>507</v>
      </c>
      <c r="AD1941" t="s">
        <v>81</v>
      </c>
      <c r="AE1941" t="s">
        <v>62</v>
      </c>
      <c r="AF1941" t="s">
        <v>62</v>
      </c>
      <c r="AG1941">
        <v>1</v>
      </c>
      <c r="AH1941">
        <v>2</v>
      </c>
      <c r="AI1941">
        <v>2</v>
      </c>
      <c r="AJ1941">
        <v>0.5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</v>
      </c>
      <c r="AQ1941">
        <v>0</v>
      </c>
      <c r="AR1941">
        <v>2</v>
      </c>
      <c r="AS1941">
        <v>0</v>
      </c>
      <c r="AT1941">
        <v>1</v>
      </c>
      <c r="AU1941">
        <v>11</v>
      </c>
      <c r="AV1941">
        <v>6</v>
      </c>
      <c r="AW1941">
        <v>27</v>
      </c>
      <c r="AX1941">
        <v>2</v>
      </c>
      <c r="AY1941">
        <v>23</v>
      </c>
      <c r="AZ1941">
        <v>2</v>
      </c>
      <c r="BA1941" t="s">
        <v>4509</v>
      </c>
      <c r="BB1941" t="s">
        <v>4510</v>
      </c>
      <c r="BC1941">
        <v>2.8000000000000001E-2</v>
      </c>
      <c r="BD1941" t="s">
        <v>65</v>
      </c>
      <c r="BE1941">
        <v>50</v>
      </c>
      <c r="BF1941">
        <v>4</v>
      </c>
      <c r="BG1941" t="s">
        <v>4511</v>
      </c>
      <c r="BH1941" t="s">
        <v>4512</v>
      </c>
      <c r="BI1941" t="s">
        <v>4513</v>
      </c>
      <c r="BJ1941">
        <v>2.1610000000000001E-2</v>
      </c>
      <c r="BK1941">
        <v>1</v>
      </c>
      <c r="BL1941" t="s">
        <v>69</v>
      </c>
      <c r="BM1941">
        <v>-1.42</v>
      </c>
      <c r="BN1941">
        <v>-0.50600000000000001</v>
      </c>
    </row>
    <row r="1942" spans="2:66">
      <c r="B1942">
        <v>3412</v>
      </c>
      <c r="C1942">
        <v>112</v>
      </c>
      <c r="D1942">
        <v>0</v>
      </c>
      <c r="E1942">
        <v>4</v>
      </c>
      <c r="F1942">
        <v>0</v>
      </c>
      <c r="J1942">
        <v>0</v>
      </c>
      <c r="K1942">
        <v>2</v>
      </c>
      <c r="L1942">
        <v>0</v>
      </c>
      <c r="M1942" t="s">
        <v>25022</v>
      </c>
      <c r="N1942">
        <v>729</v>
      </c>
      <c r="O1942" t="s">
        <v>4514</v>
      </c>
      <c r="P1942" t="s">
        <v>57</v>
      </c>
      <c r="Q1942">
        <v>757111</v>
      </c>
      <c r="R1942">
        <v>757650</v>
      </c>
      <c r="S1942" t="s">
        <v>3537</v>
      </c>
      <c r="T1942">
        <v>180</v>
      </c>
      <c r="U1942" t="s">
        <v>108</v>
      </c>
      <c r="V1942">
        <v>44</v>
      </c>
      <c r="W1942" t="str">
        <f>HYPERLINK("Gene729-zp_tree_all.dnd", "Gene729-tree")</f>
        <v>Gene729-tree</v>
      </c>
      <c r="X1942">
        <v>6</v>
      </c>
      <c r="Y1942">
        <v>9</v>
      </c>
      <c r="Z1942">
        <v>6</v>
      </c>
      <c r="AA1942">
        <v>9</v>
      </c>
      <c r="AB1942">
        <v>0.6</v>
      </c>
      <c r="AC1942" t="s">
        <v>90</v>
      </c>
      <c r="AD1942" t="s">
        <v>135</v>
      </c>
      <c r="AE1942" t="s">
        <v>62</v>
      </c>
      <c r="AF1942" t="s">
        <v>62</v>
      </c>
      <c r="AG1942">
        <v>1</v>
      </c>
      <c r="AH1942">
        <v>2</v>
      </c>
      <c r="AI1942">
        <v>12</v>
      </c>
      <c r="AJ1942">
        <v>0.14285999999999999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11</v>
      </c>
      <c r="AT1942">
        <v>0</v>
      </c>
      <c r="AU1942">
        <v>9</v>
      </c>
      <c r="AV1942">
        <v>8</v>
      </c>
      <c r="AW1942">
        <v>10</v>
      </c>
      <c r="AX1942">
        <v>10</v>
      </c>
      <c r="AY1942">
        <v>9</v>
      </c>
      <c r="AZ1942">
        <v>4</v>
      </c>
      <c r="BA1942" t="s">
        <v>4515</v>
      </c>
      <c r="BB1942" t="s">
        <v>4516</v>
      </c>
      <c r="BC1942">
        <v>1.2569999999999999</v>
      </c>
      <c r="BD1942" t="s">
        <v>65</v>
      </c>
      <c r="BE1942">
        <v>19</v>
      </c>
      <c r="BF1942">
        <v>14</v>
      </c>
      <c r="BG1942" t="s">
        <v>4517</v>
      </c>
      <c r="BH1942" t="s">
        <v>4518</v>
      </c>
      <c r="BI1942" t="s">
        <v>4519</v>
      </c>
      <c r="BJ1942">
        <v>0.18595999999999999</v>
      </c>
      <c r="BK1942">
        <v>1</v>
      </c>
      <c r="BL1942" t="s">
        <v>69</v>
      </c>
      <c r="BM1942">
        <v>-0.33100000000000002</v>
      </c>
      <c r="BN1942">
        <v>-1.0309999999999999</v>
      </c>
    </row>
    <row r="1943" spans="2:66">
      <c r="B1943">
        <v>3413</v>
      </c>
      <c r="C1943">
        <v>111</v>
      </c>
      <c r="D1943">
        <v>0</v>
      </c>
      <c r="E1943">
        <v>2</v>
      </c>
      <c r="F1943">
        <v>2</v>
      </c>
      <c r="J1943">
        <v>0</v>
      </c>
      <c r="K1943">
        <v>4</v>
      </c>
      <c r="L1943">
        <v>3</v>
      </c>
      <c r="M1943" t="s">
        <v>25022</v>
      </c>
      <c r="N1943">
        <v>730</v>
      </c>
      <c r="O1943" t="s">
        <v>4520</v>
      </c>
      <c r="P1943" t="s">
        <v>57</v>
      </c>
      <c r="Q1943">
        <v>757676</v>
      </c>
      <c r="R1943">
        <v>757975</v>
      </c>
      <c r="S1943" t="s">
        <v>3752</v>
      </c>
      <c r="T1943">
        <v>100</v>
      </c>
      <c r="U1943" t="s">
        <v>4521</v>
      </c>
      <c r="V1943">
        <v>32</v>
      </c>
      <c r="W1943" t="str">
        <f>HYPERLINK("Gene730-zp_tree_all.dnd", "Gene730-tree")</f>
        <v>Gene730-tree</v>
      </c>
      <c r="X1943">
        <v>1</v>
      </c>
      <c r="Y1943">
        <v>8</v>
      </c>
      <c r="Z1943">
        <v>1</v>
      </c>
      <c r="AA1943">
        <v>8</v>
      </c>
      <c r="AB1943">
        <v>0.88888999999999996</v>
      </c>
      <c r="AC1943" t="s">
        <v>175</v>
      </c>
      <c r="AD1943" t="s">
        <v>136</v>
      </c>
      <c r="AE1943" t="s">
        <v>62</v>
      </c>
      <c r="AF1943" t="s">
        <v>62</v>
      </c>
      <c r="AG1943">
        <v>3</v>
      </c>
      <c r="AH1943">
        <v>7</v>
      </c>
      <c r="AI1943">
        <v>8</v>
      </c>
      <c r="AJ1943">
        <v>0.46666999999999997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2</v>
      </c>
      <c r="AQ1943">
        <v>1</v>
      </c>
      <c r="AR1943">
        <v>3</v>
      </c>
      <c r="AS1943">
        <v>10</v>
      </c>
      <c r="AT1943">
        <v>0.23077</v>
      </c>
      <c r="AU1943">
        <v>7</v>
      </c>
      <c r="AV1943">
        <v>4</v>
      </c>
      <c r="AW1943">
        <v>3</v>
      </c>
      <c r="AX1943">
        <v>12</v>
      </c>
      <c r="AY1943">
        <v>2</v>
      </c>
      <c r="AZ1943">
        <v>8</v>
      </c>
      <c r="BA1943" t="s">
        <v>4522</v>
      </c>
      <c r="BB1943" t="s">
        <v>4523</v>
      </c>
      <c r="BC1943">
        <v>2E-3</v>
      </c>
      <c r="BD1943" t="s">
        <v>65</v>
      </c>
      <c r="BE1943">
        <v>5</v>
      </c>
      <c r="BF1943">
        <v>20</v>
      </c>
      <c r="BG1943" t="s">
        <v>4524</v>
      </c>
      <c r="BH1943" t="s">
        <v>4525</v>
      </c>
      <c r="BI1943" t="s">
        <v>4526</v>
      </c>
      <c r="BJ1943">
        <v>1.3128</v>
      </c>
      <c r="BK1943">
        <v>0.22</v>
      </c>
      <c r="BL1943" t="s">
        <v>635</v>
      </c>
      <c r="BM1943">
        <v>1.226</v>
      </c>
      <c r="BN1943">
        <v>0.28999999999999998</v>
      </c>
    </row>
    <row r="1944" spans="2:66">
      <c r="B1944">
        <v>3414</v>
      </c>
      <c r="C1944">
        <v>73</v>
      </c>
      <c r="D1944">
        <v>0</v>
      </c>
      <c r="E1944">
        <v>4</v>
      </c>
      <c r="F1944">
        <v>4</v>
      </c>
      <c r="J1944">
        <v>0</v>
      </c>
      <c r="K1944">
        <v>3</v>
      </c>
      <c r="L1944">
        <v>4</v>
      </c>
      <c r="M1944" t="s">
        <v>25022</v>
      </c>
      <c r="N1944">
        <v>731</v>
      </c>
      <c r="O1944" t="s">
        <v>4527</v>
      </c>
      <c r="P1944" t="s">
        <v>57</v>
      </c>
      <c r="Q1944">
        <v>758093</v>
      </c>
      <c r="R1944">
        <v>758719</v>
      </c>
      <c r="S1944" t="s">
        <v>4528</v>
      </c>
      <c r="T1944">
        <v>209</v>
      </c>
      <c r="U1944" t="s">
        <v>108</v>
      </c>
      <c r="V1944">
        <v>44</v>
      </c>
      <c r="W1944" t="str">
        <f>HYPERLINK("Gene731-zp_tree_all.dnd", "Gene731-tree")</f>
        <v>Gene731-tree</v>
      </c>
      <c r="X1944">
        <v>8</v>
      </c>
      <c r="Y1944">
        <v>8</v>
      </c>
      <c r="Z1944">
        <v>8</v>
      </c>
      <c r="AA1944">
        <v>8</v>
      </c>
      <c r="AB1944">
        <v>0.5</v>
      </c>
      <c r="AC1944" t="s">
        <v>136</v>
      </c>
      <c r="AD1944" t="s">
        <v>136</v>
      </c>
      <c r="AE1944" t="s">
        <v>62</v>
      </c>
      <c r="AF1944" t="s">
        <v>62</v>
      </c>
      <c r="AG1944">
        <v>3</v>
      </c>
      <c r="AH1944">
        <v>7</v>
      </c>
      <c r="AI1944">
        <v>10</v>
      </c>
      <c r="AJ1944">
        <v>0.41176000000000001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2</v>
      </c>
      <c r="AQ1944">
        <v>0</v>
      </c>
      <c r="AR1944">
        <v>2</v>
      </c>
      <c r="AS1944">
        <v>9</v>
      </c>
      <c r="AT1944">
        <v>0.18182000000000001</v>
      </c>
      <c r="AU1944">
        <v>13</v>
      </c>
      <c r="AV1944">
        <v>9</v>
      </c>
      <c r="AW1944">
        <v>22</v>
      </c>
      <c r="AX1944">
        <v>11</v>
      </c>
      <c r="AY1944">
        <v>8</v>
      </c>
      <c r="AZ1944">
        <v>6</v>
      </c>
      <c r="BA1944" t="s">
        <v>4529</v>
      </c>
      <c r="BB1944" t="s">
        <v>4530</v>
      </c>
      <c r="BC1944">
        <v>0.47</v>
      </c>
      <c r="BD1944" t="s">
        <v>65</v>
      </c>
      <c r="BE1944">
        <v>30</v>
      </c>
      <c r="BF1944">
        <v>17</v>
      </c>
      <c r="BG1944" t="s">
        <v>4531</v>
      </c>
      <c r="BH1944" t="s">
        <v>4532</v>
      </c>
      <c r="BI1944" t="s">
        <v>4533</v>
      </c>
      <c r="BJ1944">
        <v>0.1774</v>
      </c>
      <c r="BK1944">
        <v>1</v>
      </c>
      <c r="BL1944" t="s">
        <v>69</v>
      </c>
      <c r="BM1944">
        <v>-0.94199999999999995</v>
      </c>
      <c r="BN1944">
        <v>-1.8360000000000001</v>
      </c>
    </row>
    <row r="1945" spans="2:66">
      <c r="B1945">
        <v>3417</v>
      </c>
      <c r="C1945">
        <v>219</v>
      </c>
      <c r="D1945">
        <v>0</v>
      </c>
      <c r="E1945">
        <v>0</v>
      </c>
      <c r="F1945">
        <v>4</v>
      </c>
      <c r="J1945">
        <v>0</v>
      </c>
      <c r="K1945">
        <v>8</v>
      </c>
      <c r="L1945">
        <v>0</v>
      </c>
      <c r="M1945" t="s">
        <v>25022</v>
      </c>
      <c r="N1945">
        <v>732</v>
      </c>
      <c r="O1945" t="s">
        <v>4534</v>
      </c>
      <c r="P1945" t="s">
        <v>57</v>
      </c>
      <c r="Q1945">
        <v>758719</v>
      </c>
      <c r="R1945">
        <v>760449</v>
      </c>
      <c r="S1945" t="s">
        <v>4535</v>
      </c>
      <c r="T1945">
        <v>577</v>
      </c>
      <c r="U1945" t="s">
        <v>108</v>
      </c>
      <c r="V1945">
        <v>44</v>
      </c>
      <c r="W1945" t="str">
        <f>HYPERLINK("Gene732-zp_tree_all.dnd", "Gene732-tree")</f>
        <v>Gene732-tree</v>
      </c>
      <c r="X1945">
        <v>8</v>
      </c>
      <c r="Y1945">
        <v>10</v>
      </c>
      <c r="Z1945">
        <v>8</v>
      </c>
      <c r="AA1945">
        <v>10</v>
      </c>
      <c r="AB1945">
        <v>0.55556000000000005</v>
      </c>
      <c r="AC1945" t="s">
        <v>136</v>
      </c>
      <c r="AD1945" t="s">
        <v>117</v>
      </c>
      <c r="AE1945" t="s">
        <v>62</v>
      </c>
      <c r="AF1945" t="s">
        <v>62</v>
      </c>
      <c r="AG1945">
        <v>4</v>
      </c>
      <c r="AH1945">
        <v>8</v>
      </c>
      <c r="AI1945">
        <v>24</v>
      </c>
      <c r="AJ1945">
        <v>0.25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</v>
      </c>
      <c r="AQ1945">
        <v>0</v>
      </c>
      <c r="AR1945">
        <v>2</v>
      </c>
      <c r="AS1945">
        <v>14</v>
      </c>
      <c r="AT1945">
        <v>0.125</v>
      </c>
      <c r="AU1945">
        <v>16</v>
      </c>
      <c r="AV1945">
        <v>14</v>
      </c>
      <c r="AW1945">
        <v>64</v>
      </c>
      <c r="AX1945">
        <v>14</v>
      </c>
      <c r="AY1945">
        <v>62</v>
      </c>
      <c r="AZ1945">
        <v>18</v>
      </c>
      <c r="BA1945" t="s">
        <v>4536</v>
      </c>
      <c r="BB1945" t="s">
        <v>4537</v>
      </c>
      <c r="BC1945">
        <v>0.39200000000000002</v>
      </c>
      <c r="BD1945" t="s">
        <v>65</v>
      </c>
      <c r="BE1945">
        <v>126</v>
      </c>
      <c r="BF1945">
        <v>32</v>
      </c>
      <c r="BG1945" t="s">
        <v>4538</v>
      </c>
      <c r="BH1945" t="s">
        <v>4539</v>
      </c>
      <c r="BI1945" t="s">
        <v>4540</v>
      </c>
      <c r="BJ1945">
        <v>9.0939999999999993E-2</v>
      </c>
      <c r="BK1945">
        <v>1</v>
      </c>
      <c r="BL1945" t="s">
        <v>69</v>
      </c>
      <c r="BM1945">
        <v>-0.25900000000000001</v>
      </c>
      <c r="BN1945">
        <v>-0.49199999999999999</v>
      </c>
    </row>
    <row r="1946" spans="2:66">
      <c r="B1946">
        <v>3421</v>
      </c>
      <c r="C1946">
        <v>219</v>
      </c>
      <c r="D1946">
        <v>0</v>
      </c>
      <c r="E1946">
        <v>8</v>
      </c>
      <c r="F1946">
        <v>0</v>
      </c>
      <c r="J1946">
        <v>2</v>
      </c>
      <c r="K1946">
        <v>8</v>
      </c>
      <c r="L1946">
        <v>0</v>
      </c>
      <c r="M1946" t="s">
        <v>25022</v>
      </c>
      <c r="N1946">
        <v>733</v>
      </c>
      <c r="O1946" t="s">
        <v>4541</v>
      </c>
      <c r="P1946" t="s">
        <v>57</v>
      </c>
      <c r="Q1946">
        <v>760452</v>
      </c>
      <c r="R1946">
        <v>761555</v>
      </c>
      <c r="S1946" t="s">
        <v>4542</v>
      </c>
      <c r="T1946">
        <v>368</v>
      </c>
      <c r="U1946" t="s">
        <v>108</v>
      </c>
      <c r="V1946">
        <v>44</v>
      </c>
      <c r="W1946" t="str">
        <f>HYPERLINK("Gene733-zp_tree_all.dnd", "Gene733-tree")</f>
        <v>Gene733-tree</v>
      </c>
      <c r="X1946">
        <v>3</v>
      </c>
      <c r="Y1946">
        <v>11</v>
      </c>
      <c r="Z1946">
        <v>3</v>
      </c>
      <c r="AA1946">
        <v>11</v>
      </c>
      <c r="AB1946">
        <v>0.78571000000000002</v>
      </c>
      <c r="AC1946" t="s">
        <v>324</v>
      </c>
      <c r="AD1946" t="s">
        <v>73</v>
      </c>
      <c r="AE1946">
        <v>305230034.74400002</v>
      </c>
      <c r="AF1946" t="s">
        <v>267</v>
      </c>
      <c r="AG1946">
        <v>4</v>
      </c>
      <c r="AH1946">
        <v>10</v>
      </c>
      <c r="AI1946">
        <v>17</v>
      </c>
      <c r="AJ1946">
        <v>0.37036999999999998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</v>
      </c>
      <c r="AR1946">
        <v>3</v>
      </c>
      <c r="AS1946">
        <v>15</v>
      </c>
      <c r="AT1946">
        <v>0.16667000000000001</v>
      </c>
      <c r="AU1946">
        <v>13</v>
      </c>
      <c r="AV1946">
        <v>11</v>
      </c>
      <c r="AW1946">
        <v>34</v>
      </c>
      <c r="AX1946">
        <v>16</v>
      </c>
      <c r="AY1946">
        <v>36</v>
      </c>
      <c r="AZ1946">
        <v>12</v>
      </c>
      <c r="BA1946" t="s">
        <v>4543</v>
      </c>
      <c r="BB1946" t="s">
        <v>4544</v>
      </c>
      <c r="BC1946">
        <v>0.69799999999999995</v>
      </c>
      <c r="BD1946" t="s">
        <v>65</v>
      </c>
      <c r="BE1946">
        <v>70</v>
      </c>
      <c r="BF1946">
        <v>28</v>
      </c>
      <c r="BG1946" t="s">
        <v>4545</v>
      </c>
      <c r="BH1946" t="s">
        <v>4546</v>
      </c>
      <c r="BI1946" t="s">
        <v>4547</v>
      </c>
      <c r="BJ1946">
        <v>0.11749</v>
      </c>
      <c r="BK1946">
        <v>1</v>
      </c>
      <c r="BL1946" t="s">
        <v>69</v>
      </c>
      <c r="BM1946">
        <v>0.54600000000000004</v>
      </c>
      <c r="BN1946">
        <v>0.60399999999999998</v>
      </c>
    </row>
    <row r="1947" spans="2:66">
      <c r="B1947">
        <v>3423</v>
      </c>
      <c r="C1947">
        <v>320</v>
      </c>
      <c r="D1947">
        <v>0</v>
      </c>
      <c r="E1947">
        <v>3</v>
      </c>
      <c r="F1947">
        <v>0</v>
      </c>
      <c r="J1947">
        <v>0</v>
      </c>
      <c r="K1947">
        <v>10</v>
      </c>
      <c r="L1947">
        <v>0</v>
      </c>
      <c r="M1947" t="s">
        <v>25022</v>
      </c>
      <c r="N1947">
        <v>734</v>
      </c>
      <c r="O1947" t="s">
        <v>4548</v>
      </c>
      <c r="P1947" t="s">
        <v>57</v>
      </c>
      <c r="Q1947">
        <v>761662</v>
      </c>
      <c r="R1947">
        <v>762942</v>
      </c>
      <c r="S1947" t="s">
        <v>4549</v>
      </c>
      <c r="T1947">
        <v>427</v>
      </c>
      <c r="U1947" t="s">
        <v>108</v>
      </c>
      <c r="V1947">
        <v>44</v>
      </c>
      <c r="W1947" t="str">
        <f>HYPERLINK("Gene734-zp_tree_all.dnd", "Gene734-tree")</f>
        <v>Gene734-tree</v>
      </c>
      <c r="X1947">
        <v>8</v>
      </c>
      <c r="Y1947">
        <v>8</v>
      </c>
      <c r="Z1947">
        <v>8</v>
      </c>
      <c r="AA1947">
        <v>8</v>
      </c>
      <c r="AB1947">
        <v>0.5</v>
      </c>
      <c r="AC1947" t="s">
        <v>136</v>
      </c>
      <c r="AD1947" t="s">
        <v>136</v>
      </c>
      <c r="AE1947" t="s">
        <v>62</v>
      </c>
      <c r="AF1947" t="s">
        <v>62</v>
      </c>
      <c r="AG1947">
        <v>2</v>
      </c>
      <c r="AH1947">
        <v>10</v>
      </c>
      <c r="AI1947">
        <v>18</v>
      </c>
      <c r="AJ1947">
        <v>0.35714000000000001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3</v>
      </c>
      <c r="AQ1947">
        <v>0</v>
      </c>
      <c r="AR1947">
        <v>3</v>
      </c>
      <c r="AS1947">
        <v>9</v>
      </c>
      <c r="AT1947">
        <v>0.25</v>
      </c>
      <c r="AU1947">
        <v>14</v>
      </c>
      <c r="AV1947">
        <v>12</v>
      </c>
      <c r="AW1947">
        <v>46</v>
      </c>
      <c r="AX1947">
        <v>10</v>
      </c>
      <c r="AY1947">
        <v>39</v>
      </c>
      <c r="AZ1947">
        <v>18</v>
      </c>
      <c r="BA1947" t="s">
        <v>4550</v>
      </c>
      <c r="BB1947" t="s">
        <v>4551</v>
      </c>
      <c r="BC1947">
        <v>0.97699999999999998</v>
      </c>
      <c r="BD1947" t="s">
        <v>65</v>
      </c>
      <c r="BE1947">
        <v>85</v>
      </c>
      <c r="BF1947">
        <v>28</v>
      </c>
      <c r="BG1947" t="s">
        <v>4552</v>
      </c>
      <c r="BH1947" t="s">
        <v>4553</v>
      </c>
      <c r="BI1947" t="s">
        <v>4554</v>
      </c>
      <c r="BJ1947">
        <v>9.6990000000000007E-2</v>
      </c>
      <c r="BK1947">
        <v>1</v>
      </c>
      <c r="BL1947" t="s">
        <v>69</v>
      </c>
      <c r="BM1947">
        <v>-0.39700000000000002</v>
      </c>
      <c r="BN1947">
        <v>-1.0269999999999999</v>
      </c>
    </row>
    <row r="1948" spans="2:66">
      <c r="B1948">
        <v>3430</v>
      </c>
      <c r="C1948">
        <v>48</v>
      </c>
      <c r="D1948">
        <v>0</v>
      </c>
      <c r="E1948">
        <v>5</v>
      </c>
      <c r="F1948">
        <v>0</v>
      </c>
      <c r="J1948">
        <v>0</v>
      </c>
      <c r="K1948">
        <v>0</v>
      </c>
      <c r="L1948">
        <v>2</v>
      </c>
      <c r="M1948" t="s">
        <v>25022</v>
      </c>
      <c r="N1948">
        <v>735</v>
      </c>
      <c r="O1948" t="s">
        <v>4555</v>
      </c>
      <c r="P1948" t="s">
        <v>57</v>
      </c>
      <c r="Q1948">
        <v>762942</v>
      </c>
      <c r="R1948">
        <v>763868</v>
      </c>
      <c r="S1948" t="s">
        <v>4556</v>
      </c>
      <c r="T1948">
        <v>309</v>
      </c>
      <c r="U1948" t="s">
        <v>99</v>
      </c>
      <c r="V1948">
        <v>47</v>
      </c>
      <c r="W1948" t="str">
        <f>HYPERLINK("Gene735-zp_tree_all.dnd", "Gene735-tree")</f>
        <v>Gene735-tree</v>
      </c>
      <c r="X1948">
        <v>14</v>
      </c>
      <c r="Y1948">
        <v>5</v>
      </c>
      <c r="Z1948">
        <v>14</v>
      </c>
      <c r="AA1948">
        <v>5</v>
      </c>
      <c r="AB1948">
        <v>0.26316000000000001</v>
      </c>
      <c r="AC1948" t="s">
        <v>543</v>
      </c>
      <c r="AD1948" t="s">
        <v>199</v>
      </c>
      <c r="AE1948" t="s">
        <v>62</v>
      </c>
      <c r="AF1948" t="s">
        <v>62</v>
      </c>
      <c r="AG1948">
        <v>1</v>
      </c>
      <c r="AH1948">
        <v>2</v>
      </c>
      <c r="AI1948">
        <v>12</v>
      </c>
      <c r="AJ1948">
        <v>0.14285999999999999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8</v>
      </c>
      <c r="AT1948">
        <v>0</v>
      </c>
      <c r="AU1948">
        <v>16</v>
      </c>
      <c r="AV1948">
        <v>10</v>
      </c>
      <c r="AW1948">
        <v>53</v>
      </c>
      <c r="AX1948">
        <v>8</v>
      </c>
      <c r="AY1948">
        <v>43</v>
      </c>
      <c r="AZ1948">
        <v>6</v>
      </c>
      <c r="BA1948" t="s">
        <v>4557</v>
      </c>
      <c r="BB1948" t="s">
        <v>4558</v>
      </c>
      <c r="BC1948">
        <v>0.03</v>
      </c>
      <c r="BD1948" t="s">
        <v>65</v>
      </c>
      <c r="BE1948">
        <v>96</v>
      </c>
      <c r="BF1948">
        <v>14</v>
      </c>
      <c r="BG1948" t="s">
        <v>4559</v>
      </c>
      <c r="BH1948" t="s">
        <v>4560</v>
      </c>
      <c r="BI1948" t="s">
        <v>4561</v>
      </c>
      <c r="BJ1948">
        <v>5.0139999999999997E-2</v>
      </c>
      <c r="BK1948">
        <v>1</v>
      </c>
      <c r="BL1948" t="s">
        <v>69</v>
      </c>
      <c r="BM1948">
        <v>-1.756</v>
      </c>
      <c r="BN1948">
        <v>-1.984</v>
      </c>
    </row>
    <row r="1949" spans="2:66">
      <c r="B1949">
        <v>3431</v>
      </c>
      <c r="C1949">
        <v>162</v>
      </c>
      <c r="D1949">
        <v>0</v>
      </c>
      <c r="E1949">
        <v>6</v>
      </c>
      <c r="F1949">
        <v>4</v>
      </c>
      <c r="J1949">
        <v>0</v>
      </c>
      <c r="K1949">
        <v>13</v>
      </c>
      <c r="L1949">
        <v>2</v>
      </c>
      <c r="M1949" t="s">
        <v>25022</v>
      </c>
      <c r="N1949">
        <v>736</v>
      </c>
      <c r="O1949" t="s">
        <v>4562</v>
      </c>
      <c r="P1949" t="s">
        <v>57</v>
      </c>
      <c r="Q1949">
        <v>763875</v>
      </c>
      <c r="R1949">
        <v>764762</v>
      </c>
      <c r="S1949" t="s">
        <v>4556</v>
      </c>
      <c r="T1949">
        <v>296</v>
      </c>
      <c r="U1949" t="s">
        <v>289</v>
      </c>
      <c r="V1949">
        <v>46</v>
      </c>
      <c r="W1949" t="str">
        <f>HYPERLINK("Gene736-zp_tree_all.dnd", "Gene736-tree")</f>
        <v>Gene736-tree</v>
      </c>
      <c r="X1949">
        <v>7</v>
      </c>
      <c r="Y1949">
        <v>11</v>
      </c>
      <c r="Z1949">
        <v>7</v>
      </c>
      <c r="AA1949">
        <v>11</v>
      </c>
      <c r="AB1949">
        <v>0.61111000000000004</v>
      </c>
      <c r="AC1949" t="s">
        <v>152</v>
      </c>
      <c r="AD1949" t="s">
        <v>73</v>
      </c>
      <c r="AE1949">
        <v>65406436.016999997</v>
      </c>
      <c r="AF1949" t="s">
        <v>267</v>
      </c>
      <c r="AG1949">
        <v>5</v>
      </c>
      <c r="AH1949">
        <v>15</v>
      </c>
      <c r="AI1949">
        <v>10</v>
      </c>
      <c r="AJ1949">
        <v>0.6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4</v>
      </c>
      <c r="AQ1949">
        <v>0</v>
      </c>
      <c r="AR1949">
        <v>4</v>
      </c>
      <c r="AS1949">
        <v>9</v>
      </c>
      <c r="AT1949">
        <v>0.30769000000000002</v>
      </c>
      <c r="AU1949">
        <v>16</v>
      </c>
      <c r="AV1949">
        <v>11</v>
      </c>
      <c r="AW1949">
        <v>50</v>
      </c>
      <c r="AX1949">
        <v>13</v>
      </c>
      <c r="AY1949">
        <v>63</v>
      </c>
      <c r="AZ1949">
        <v>12</v>
      </c>
      <c r="BA1949" t="s">
        <v>4563</v>
      </c>
      <c r="BB1949" t="s">
        <v>4564</v>
      </c>
      <c r="BC1949">
        <v>0.33900000000000002</v>
      </c>
      <c r="BD1949" t="s">
        <v>65</v>
      </c>
      <c r="BE1949">
        <v>113</v>
      </c>
      <c r="BF1949">
        <v>25</v>
      </c>
      <c r="BG1949" t="s">
        <v>4565</v>
      </c>
      <c r="BH1949" t="s">
        <v>4566</v>
      </c>
      <c r="BI1949" t="s">
        <v>4567</v>
      </c>
      <c r="BJ1949">
        <v>6.3850000000000004E-2</v>
      </c>
      <c r="BK1949">
        <v>1</v>
      </c>
      <c r="BL1949" t="s">
        <v>69</v>
      </c>
      <c r="BM1949">
        <v>-0.92200000000000004</v>
      </c>
      <c r="BN1949">
        <v>-1.401</v>
      </c>
    </row>
    <row r="1950" spans="2:66">
      <c r="B1950">
        <v>3432</v>
      </c>
      <c r="C1950">
        <v>210</v>
      </c>
      <c r="D1950">
        <v>0</v>
      </c>
      <c r="E1950">
        <v>9</v>
      </c>
      <c r="F1950">
        <v>4</v>
      </c>
      <c r="J1950">
        <v>0</v>
      </c>
      <c r="K1950">
        <v>10</v>
      </c>
      <c r="L1950">
        <v>0</v>
      </c>
      <c r="M1950" t="s">
        <v>25022</v>
      </c>
      <c r="N1950">
        <v>737</v>
      </c>
      <c r="O1950" t="s">
        <v>4568</v>
      </c>
      <c r="P1950" t="s">
        <v>57</v>
      </c>
      <c r="Q1950">
        <v>764781</v>
      </c>
      <c r="R1950">
        <v>765812</v>
      </c>
      <c r="S1950" t="s">
        <v>4569</v>
      </c>
      <c r="T1950">
        <v>344</v>
      </c>
      <c r="U1950" t="s">
        <v>3401</v>
      </c>
      <c r="V1950">
        <v>42</v>
      </c>
      <c r="W1950" t="str">
        <f>HYPERLINK("Gene737-zp_tree_all.dnd", "Gene737-tree")</f>
        <v>Gene737-tree</v>
      </c>
      <c r="X1950">
        <v>5</v>
      </c>
      <c r="Y1950">
        <v>10</v>
      </c>
      <c r="Z1950">
        <v>5</v>
      </c>
      <c r="AA1950">
        <v>10</v>
      </c>
      <c r="AB1950">
        <v>0.66666999999999998</v>
      </c>
      <c r="AC1950" t="s">
        <v>199</v>
      </c>
      <c r="AD1950" t="s">
        <v>117</v>
      </c>
      <c r="AE1950" t="s">
        <v>62</v>
      </c>
      <c r="AF1950" t="s">
        <v>62</v>
      </c>
      <c r="AG1950">
        <v>3</v>
      </c>
      <c r="AH1950">
        <v>10</v>
      </c>
      <c r="AI1950">
        <v>10</v>
      </c>
      <c r="AJ1950">
        <v>0.5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6</v>
      </c>
      <c r="AQ1950">
        <v>0</v>
      </c>
      <c r="AR1950">
        <v>6</v>
      </c>
      <c r="AS1950">
        <v>10</v>
      </c>
      <c r="AT1950">
        <v>0.375</v>
      </c>
      <c r="AU1950">
        <v>12</v>
      </c>
      <c r="AV1950">
        <v>11</v>
      </c>
      <c r="AW1950">
        <v>34</v>
      </c>
      <c r="AX1950">
        <v>16</v>
      </c>
      <c r="AY1950">
        <v>29</v>
      </c>
      <c r="AZ1950">
        <v>4</v>
      </c>
      <c r="BA1950" t="s">
        <v>4570</v>
      </c>
      <c r="BB1950" t="s">
        <v>4571</v>
      </c>
      <c r="BC1950">
        <v>1.966</v>
      </c>
      <c r="BD1950" t="s">
        <v>267</v>
      </c>
      <c r="BE1950">
        <v>63</v>
      </c>
      <c r="BF1950">
        <v>20</v>
      </c>
      <c r="BG1950" t="s">
        <v>4572</v>
      </c>
      <c r="BH1950" t="s">
        <v>4573</v>
      </c>
      <c r="BI1950" t="s">
        <v>4574</v>
      </c>
      <c r="BJ1950">
        <v>6.1150000000000003E-2</v>
      </c>
      <c r="BK1950">
        <v>1</v>
      </c>
      <c r="BL1950" t="s">
        <v>69</v>
      </c>
      <c r="BM1950">
        <v>-0.19400000000000001</v>
      </c>
      <c r="BN1950">
        <v>-0.51900000000000002</v>
      </c>
    </row>
    <row r="1951" spans="2:66">
      <c r="B1951">
        <v>3433</v>
      </c>
      <c r="C1951">
        <v>71</v>
      </c>
      <c r="D1951">
        <v>0</v>
      </c>
      <c r="E1951">
        <v>4</v>
      </c>
      <c r="F1951">
        <v>0</v>
      </c>
      <c r="J1951">
        <v>0</v>
      </c>
      <c r="K1951">
        <v>80</v>
      </c>
      <c r="L1951">
        <v>14</v>
      </c>
      <c r="M1951" t="s">
        <v>25022</v>
      </c>
      <c r="N1951">
        <v>738</v>
      </c>
      <c r="O1951" t="s">
        <v>4575</v>
      </c>
      <c r="P1951" t="s">
        <v>57</v>
      </c>
      <c r="Q1951">
        <v>765838</v>
      </c>
      <c r="R1951">
        <v>768120</v>
      </c>
      <c r="S1951" t="s">
        <v>4576</v>
      </c>
      <c r="T1951">
        <v>761</v>
      </c>
      <c r="U1951" t="s">
        <v>3401</v>
      </c>
      <c r="V1951">
        <v>42</v>
      </c>
      <c r="W1951" t="str">
        <f>HYPERLINK("Gene738-zp_tree_all.dnd", "Gene738-tree")</f>
        <v>Gene738-tree</v>
      </c>
      <c r="X1951">
        <v>1</v>
      </c>
      <c r="Y1951">
        <v>16</v>
      </c>
      <c r="Z1951">
        <v>1</v>
      </c>
      <c r="AA1951">
        <v>16</v>
      </c>
      <c r="AB1951">
        <v>0.94118000000000002</v>
      </c>
      <c r="AC1951" t="s">
        <v>175</v>
      </c>
      <c r="AD1951" t="s">
        <v>60</v>
      </c>
      <c r="AE1951" t="s">
        <v>62</v>
      </c>
      <c r="AF1951" t="s">
        <v>62</v>
      </c>
      <c r="AG1951">
        <v>32</v>
      </c>
      <c r="AH1951">
        <v>94</v>
      </c>
      <c r="AI1951">
        <v>32</v>
      </c>
      <c r="AJ1951">
        <v>0.74602999999999997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25</v>
      </c>
      <c r="AQ1951">
        <v>14</v>
      </c>
      <c r="AR1951">
        <v>39</v>
      </c>
      <c r="AS1951">
        <v>36</v>
      </c>
      <c r="AT1951">
        <v>0.52</v>
      </c>
      <c r="AU1951">
        <v>15</v>
      </c>
      <c r="AV1951">
        <v>14</v>
      </c>
      <c r="AW1951">
        <v>109</v>
      </c>
      <c r="AX1951">
        <v>74</v>
      </c>
      <c r="AY1951">
        <v>90</v>
      </c>
      <c r="AZ1951">
        <v>66</v>
      </c>
      <c r="BA1951" t="s">
        <v>4577</v>
      </c>
      <c r="BB1951" t="s">
        <v>4578</v>
      </c>
      <c r="BC1951">
        <v>0.32700000000000001</v>
      </c>
      <c r="BD1951" t="s">
        <v>65</v>
      </c>
      <c r="BE1951">
        <v>199</v>
      </c>
      <c r="BF1951">
        <v>140</v>
      </c>
      <c r="BG1951" t="s">
        <v>4579</v>
      </c>
      <c r="BH1951" t="s">
        <v>4580</v>
      </c>
      <c r="BI1951" t="s">
        <v>4581</v>
      </c>
      <c r="BJ1951">
        <v>0.19055</v>
      </c>
      <c r="BK1951">
        <v>1</v>
      </c>
      <c r="BL1951" t="s">
        <v>69</v>
      </c>
      <c r="BM1951">
        <v>-0.39600000000000002</v>
      </c>
      <c r="BN1951">
        <v>-1.121</v>
      </c>
    </row>
    <row r="1952" spans="2:66">
      <c r="B1952">
        <v>3434</v>
      </c>
      <c r="C1952">
        <v>26</v>
      </c>
      <c r="D1952">
        <v>0</v>
      </c>
      <c r="E1952">
        <v>9</v>
      </c>
      <c r="F1952">
        <v>0</v>
      </c>
      <c r="J1952">
        <v>2</v>
      </c>
      <c r="K1952">
        <v>17</v>
      </c>
      <c r="L1952">
        <v>5</v>
      </c>
      <c r="M1952" t="s">
        <v>25022</v>
      </c>
      <c r="N1952">
        <v>739</v>
      </c>
      <c r="O1952" t="s">
        <v>4582</v>
      </c>
      <c r="P1952" t="s">
        <v>57</v>
      </c>
      <c r="Q1952">
        <v>768137</v>
      </c>
      <c r="R1952">
        <v>768832</v>
      </c>
      <c r="S1952" t="s">
        <v>4583</v>
      </c>
      <c r="T1952">
        <v>232</v>
      </c>
      <c r="U1952" t="s">
        <v>3401</v>
      </c>
      <c r="V1952">
        <v>42</v>
      </c>
      <c r="W1952" t="str">
        <f>HYPERLINK("Gene739-zp_tree_all.dnd", "Gene739-tree")</f>
        <v>Gene739-tree</v>
      </c>
      <c r="X1952">
        <v>2</v>
      </c>
      <c r="Y1952">
        <v>13</v>
      </c>
      <c r="Z1952">
        <v>2</v>
      </c>
      <c r="AA1952">
        <v>13</v>
      </c>
      <c r="AB1952">
        <v>0.86667000000000005</v>
      </c>
      <c r="AC1952" t="s">
        <v>81</v>
      </c>
      <c r="AD1952" t="s">
        <v>507</v>
      </c>
      <c r="AE1952" t="s">
        <v>62</v>
      </c>
      <c r="AF1952" t="s">
        <v>62</v>
      </c>
      <c r="AG1952">
        <v>9</v>
      </c>
      <c r="AH1952">
        <v>24</v>
      </c>
      <c r="AI1952">
        <v>11</v>
      </c>
      <c r="AJ1952">
        <v>0.68571000000000004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10</v>
      </c>
      <c r="AQ1952">
        <v>4</v>
      </c>
      <c r="AR1952">
        <v>14</v>
      </c>
      <c r="AS1952">
        <v>11</v>
      </c>
      <c r="AT1952">
        <v>0.56000000000000005</v>
      </c>
      <c r="AU1952">
        <v>15</v>
      </c>
      <c r="AV1952">
        <v>11</v>
      </c>
      <c r="AW1952">
        <v>29</v>
      </c>
      <c r="AX1952">
        <v>25</v>
      </c>
      <c r="AY1952">
        <v>19</v>
      </c>
      <c r="AZ1952">
        <v>10</v>
      </c>
      <c r="BA1952" t="s">
        <v>4584</v>
      </c>
      <c r="BB1952" t="s">
        <v>4585</v>
      </c>
      <c r="BC1952">
        <v>0.84699999999999998</v>
      </c>
      <c r="BD1952" t="s">
        <v>65</v>
      </c>
      <c r="BE1952">
        <v>48</v>
      </c>
      <c r="BF1952">
        <v>35</v>
      </c>
      <c r="BG1952" t="s">
        <v>4586</v>
      </c>
      <c r="BH1952" t="s">
        <v>4587</v>
      </c>
      <c r="BI1952" t="s">
        <v>4588</v>
      </c>
      <c r="BJ1952">
        <v>0.22422</v>
      </c>
      <c r="BK1952">
        <v>1</v>
      </c>
      <c r="BL1952" t="s">
        <v>69</v>
      </c>
      <c r="BM1952">
        <v>-0.66400000000000003</v>
      </c>
      <c r="BN1952">
        <v>-0.99299999999999999</v>
      </c>
    </row>
    <row r="1953" spans="2:66">
      <c r="B1953">
        <v>3435</v>
      </c>
      <c r="C1953">
        <v>89</v>
      </c>
      <c r="D1953">
        <v>0</v>
      </c>
      <c r="E1953">
        <v>8</v>
      </c>
      <c r="F1953">
        <v>0</v>
      </c>
      <c r="J1953">
        <v>0</v>
      </c>
      <c r="K1953">
        <v>21</v>
      </c>
      <c r="L1953">
        <v>2</v>
      </c>
      <c r="M1953" t="s">
        <v>25022</v>
      </c>
      <c r="N1953">
        <v>740</v>
      </c>
      <c r="O1953" t="s">
        <v>4589</v>
      </c>
      <c r="P1953" t="s">
        <v>57</v>
      </c>
      <c r="Q1953">
        <v>768828</v>
      </c>
      <c r="R1953">
        <v>769487</v>
      </c>
      <c r="S1953" t="s">
        <v>1340</v>
      </c>
      <c r="T1953">
        <v>220</v>
      </c>
      <c r="U1953" t="s">
        <v>3401</v>
      </c>
      <c r="V1953">
        <v>42</v>
      </c>
      <c r="W1953" t="str">
        <f>HYPERLINK("Gene740-zp_tree_all.dnd", "Gene740-tree")</f>
        <v>Gene740-tree</v>
      </c>
      <c r="X1953">
        <v>2</v>
      </c>
      <c r="Y1953">
        <v>14</v>
      </c>
      <c r="Z1953">
        <v>2</v>
      </c>
      <c r="AA1953">
        <v>14</v>
      </c>
      <c r="AB1953">
        <v>0.875</v>
      </c>
      <c r="AC1953" t="s">
        <v>81</v>
      </c>
      <c r="AD1953" t="s">
        <v>543</v>
      </c>
      <c r="AE1953">
        <v>860908720.12699997</v>
      </c>
      <c r="AF1953" t="s">
        <v>267</v>
      </c>
      <c r="AG1953">
        <v>7</v>
      </c>
      <c r="AH1953">
        <v>23</v>
      </c>
      <c r="AI1953">
        <v>16</v>
      </c>
      <c r="AJ1953">
        <v>0.58974000000000004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11</v>
      </c>
      <c r="AQ1953">
        <v>0</v>
      </c>
      <c r="AR1953">
        <v>11</v>
      </c>
      <c r="AS1953">
        <v>14</v>
      </c>
      <c r="AT1953">
        <v>0.44</v>
      </c>
      <c r="AU1953">
        <v>13</v>
      </c>
      <c r="AV1953">
        <v>10</v>
      </c>
      <c r="AW1953">
        <v>34</v>
      </c>
      <c r="AX1953">
        <v>19</v>
      </c>
      <c r="AY1953">
        <v>36</v>
      </c>
      <c r="AZ1953">
        <v>23</v>
      </c>
      <c r="BA1953" t="s">
        <v>4590</v>
      </c>
      <c r="BB1953" t="s">
        <v>4591</v>
      </c>
      <c r="BC1953">
        <v>0.23599999999999999</v>
      </c>
      <c r="BD1953" t="s">
        <v>65</v>
      </c>
      <c r="BE1953">
        <v>70</v>
      </c>
      <c r="BF1953">
        <v>42</v>
      </c>
      <c r="BG1953" t="s">
        <v>4592</v>
      </c>
      <c r="BH1953" t="s">
        <v>4593</v>
      </c>
      <c r="BI1953" t="s">
        <v>4594</v>
      </c>
      <c r="BJ1953">
        <v>0.16563</v>
      </c>
      <c r="BK1953">
        <v>1</v>
      </c>
      <c r="BL1953" t="s">
        <v>69</v>
      </c>
      <c r="BM1953">
        <v>0.53900000000000003</v>
      </c>
      <c r="BN1953">
        <v>-0.48799999999999999</v>
      </c>
    </row>
    <row r="1954" spans="2:66">
      <c r="B1954">
        <v>3436</v>
      </c>
      <c r="C1954">
        <v>275</v>
      </c>
      <c r="D1954">
        <v>0</v>
      </c>
      <c r="E1954">
        <v>16</v>
      </c>
      <c r="F1954">
        <v>7</v>
      </c>
      <c r="J1954">
        <v>0</v>
      </c>
      <c r="K1954">
        <v>15</v>
      </c>
      <c r="L1954">
        <v>3</v>
      </c>
      <c r="M1954" t="s">
        <v>25022</v>
      </c>
      <c r="N1954">
        <v>741</v>
      </c>
      <c r="O1954" t="s">
        <v>4595</v>
      </c>
      <c r="P1954" t="s">
        <v>57</v>
      </c>
      <c r="Q1954">
        <v>769487</v>
      </c>
      <c r="R1954">
        <v>770110</v>
      </c>
      <c r="S1954" t="s">
        <v>4596</v>
      </c>
      <c r="T1954">
        <v>208</v>
      </c>
      <c r="U1954" t="s">
        <v>3401</v>
      </c>
      <c r="V1954">
        <v>42</v>
      </c>
      <c r="W1954" t="str">
        <f>HYPERLINK("Gene741-zp_tree_all.dnd", "Gene741-tree")</f>
        <v>Gene741-tree</v>
      </c>
      <c r="X1954">
        <v>6</v>
      </c>
      <c r="Y1954">
        <v>12</v>
      </c>
      <c r="Z1954">
        <v>6</v>
      </c>
      <c r="AA1954">
        <v>12</v>
      </c>
      <c r="AB1954">
        <v>0.66666999999999998</v>
      </c>
      <c r="AC1954" t="s">
        <v>90</v>
      </c>
      <c r="AD1954" t="s">
        <v>109</v>
      </c>
      <c r="AE1954" t="s">
        <v>62</v>
      </c>
      <c r="AF1954" t="s">
        <v>62</v>
      </c>
      <c r="AG1954">
        <v>6</v>
      </c>
      <c r="AH1954">
        <v>18</v>
      </c>
      <c r="AI1954">
        <v>12</v>
      </c>
      <c r="AJ1954">
        <v>0.6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5</v>
      </c>
      <c r="AQ1954">
        <v>2</v>
      </c>
      <c r="AR1954">
        <v>7</v>
      </c>
      <c r="AS1954">
        <v>11</v>
      </c>
      <c r="AT1954">
        <v>0.38889000000000001</v>
      </c>
      <c r="AU1954">
        <v>15</v>
      </c>
      <c r="AV1954">
        <v>14</v>
      </c>
      <c r="AW1954">
        <v>18</v>
      </c>
      <c r="AX1954">
        <v>18</v>
      </c>
      <c r="AY1954">
        <v>27</v>
      </c>
      <c r="AZ1954">
        <v>12</v>
      </c>
      <c r="BA1954" t="s">
        <v>4597</v>
      </c>
      <c r="BB1954" t="s">
        <v>4598</v>
      </c>
      <c r="BC1954">
        <v>0.91300000000000003</v>
      </c>
      <c r="BD1954" t="s">
        <v>65</v>
      </c>
      <c r="BE1954">
        <v>45</v>
      </c>
      <c r="BF1954">
        <v>30</v>
      </c>
      <c r="BG1954" t="s">
        <v>4599</v>
      </c>
      <c r="BH1954" t="s">
        <v>4600</v>
      </c>
      <c r="BI1954" t="s">
        <v>4601</v>
      </c>
      <c r="BJ1954">
        <v>0.17768</v>
      </c>
      <c r="BK1954">
        <v>1</v>
      </c>
      <c r="BL1954" t="s">
        <v>69</v>
      </c>
      <c r="BM1954">
        <v>-0.13200000000000001</v>
      </c>
      <c r="BN1954">
        <v>-0.377</v>
      </c>
    </row>
    <row r="1955" spans="2:66">
      <c r="B1955">
        <v>3437</v>
      </c>
      <c r="C1955">
        <v>191</v>
      </c>
      <c r="D1955">
        <v>0</v>
      </c>
      <c r="E1955">
        <v>5</v>
      </c>
      <c r="F1955">
        <v>0</v>
      </c>
      <c r="J1955">
        <v>0</v>
      </c>
      <c r="K1955">
        <v>10</v>
      </c>
      <c r="L1955">
        <v>3</v>
      </c>
      <c r="M1955" t="s">
        <v>25022</v>
      </c>
      <c r="N1955">
        <v>742</v>
      </c>
      <c r="O1955" t="s">
        <v>4602</v>
      </c>
      <c r="P1955" t="s">
        <v>57</v>
      </c>
      <c r="Q1955">
        <v>770234</v>
      </c>
      <c r="R1955">
        <v>772093</v>
      </c>
      <c r="S1955" t="s">
        <v>4603</v>
      </c>
      <c r="T1955">
        <v>620</v>
      </c>
      <c r="U1955" t="s">
        <v>3401</v>
      </c>
      <c r="V1955">
        <v>42</v>
      </c>
      <c r="W1955" t="str">
        <f>HYPERLINK("Gene742-zp_tree_all.dnd", "Gene742-tree")</f>
        <v>Gene742-tree</v>
      </c>
      <c r="X1955">
        <v>5</v>
      </c>
      <c r="Y1955">
        <v>29</v>
      </c>
      <c r="Z1955">
        <v>5</v>
      </c>
      <c r="AA1955">
        <v>12</v>
      </c>
      <c r="AB1955">
        <v>0.70587999999999995</v>
      </c>
      <c r="AC1955" t="s">
        <v>199</v>
      </c>
      <c r="AD1955" t="s">
        <v>1455</v>
      </c>
      <c r="AE1955">
        <v>1.8779999999999999</v>
      </c>
      <c r="AF1955" t="s">
        <v>65</v>
      </c>
      <c r="AG1955">
        <v>5</v>
      </c>
      <c r="AH1955">
        <v>13</v>
      </c>
      <c r="AI1955">
        <v>35</v>
      </c>
      <c r="AJ1955">
        <v>0.27083000000000002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32</v>
      </c>
      <c r="AT1955">
        <v>0</v>
      </c>
      <c r="AU1955">
        <v>16</v>
      </c>
      <c r="AV1955">
        <v>14</v>
      </c>
      <c r="AW1955">
        <v>95</v>
      </c>
      <c r="AX1955">
        <v>32</v>
      </c>
      <c r="AY1955">
        <v>43</v>
      </c>
      <c r="AZ1955">
        <v>16</v>
      </c>
      <c r="BA1955" t="s">
        <v>4604</v>
      </c>
      <c r="BB1955" t="s">
        <v>4605</v>
      </c>
      <c r="BC1955">
        <v>0.15</v>
      </c>
      <c r="BD1955" t="s">
        <v>65</v>
      </c>
      <c r="BE1955">
        <v>138</v>
      </c>
      <c r="BF1955">
        <v>48</v>
      </c>
      <c r="BG1955" t="s">
        <v>4606</v>
      </c>
      <c r="BH1955" t="s">
        <v>4607</v>
      </c>
      <c r="BI1955" t="s">
        <v>4608</v>
      </c>
      <c r="BJ1955">
        <v>0.11898</v>
      </c>
      <c r="BK1955">
        <v>1</v>
      </c>
      <c r="BL1955" t="s">
        <v>69</v>
      </c>
      <c r="BM1955">
        <v>-1.161</v>
      </c>
      <c r="BN1955">
        <v>-1.976</v>
      </c>
    </row>
    <row r="1956" spans="2:66">
      <c r="B1956">
        <v>3438</v>
      </c>
      <c r="C1956">
        <v>37</v>
      </c>
      <c r="D1956">
        <v>0</v>
      </c>
      <c r="E1956">
        <v>5</v>
      </c>
      <c r="F1956">
        <v>1</v>
      </c>
      <c r="J1956">
        <v>0</v>
      </c>
      <c r="K1956">
        <v>31</v>
      </c>
      <c r="L1956">
        <v>5</v>
      </c>
      <c r="M1956" t="s">
        <v>25022</v>
      </c>
      <c r="N1956">
        <v>743</v>
      </c>
      <c r="O1956" t="s">
        <v>4609</v>
      </c>
      <c r="P1956" t="s">
        <v>57</v>
      </c>
      <c r="Q1956">
        <v>772142</v>
      </c>
      <c r="R1956">
        <v>773977</v>
      </c>
      <c r="S1956" t="s">
        <v>4610</v>
      </c>
      <c r="T1956">
        <v>612</v>
      </c>
      <c r="U1956" t="s">
        <v>4611</v>
      </c>
      <c r="V1956">
        <v>41</v>
      </c>
      <c r="W1956" t="str">
        <f>HYPERLINK("Gene743-zp_tree_all.dnd", "Gene743-tree")</f>
        <v>Gene743-tree</v>
      </c>
      <c r="X1956">
        <v>0</v>
      </c>
      <c r="Y1956">
        <v>16</v>
      </c>
      <c r="Z1956">
        <v>0</v>
      </c>
      <c r="AA1956">
        <v>16</v>
      </c>
      <c r="AB1956">
        <v>1</v>
      </c>
      <c r="AC1956" t="s">
        <v>62</v>
      </c>
      <c r="AD1956" t="s">
        <v>60</v>
      </c>
      <c r="AE1956" t="s">
        <v>62</v>
      </c>
      <c r="AF1956" t="s">
        <v>62</v>
      </c>
      <c r="AG1956">
        <v>13</v>
      </c>
      <c r="AH1956">
        <v>36</v>
      </c>
      <c r="AI1956">
        <v>37</v>
      </c>
      <c r="AJ1956">
        <v>0.49314999999999998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19</v>
      </c>
      <c r="AQ1956">
        <v>1</v>
      </c>
      <c r="AR1956">
        <v>20</v>
      </c>
      <c r="AS1956">
        <v>29</v>
      </c>
      <c r="AT1956">
        <v>0.40816000000000002</v>
      </c>
      <c r="AU1956">
        <v>15</v>
      </c>
      <c r="AV1956">
        <v>13</v>
      </c>
      <c r="AW1956">
        <v>145</v>
      </c>
      <c r="AX1956">
        <v>43</v>
      </c>
      <c r="AY1956">
        <v>90</v>
      </c>
      <c r="AZ1956">
        <v>31</v>
      </c>
      <c r="BA1956" t="s">
        <v>4612</v>
      </c>
      <c r="BB1956" t="s">
        <v>4613</v>
      </c>
      <c r="BC1956">
        <v>0.315</v>
      </c>
      <c r="BD1956" t="s">
        <v>65</v>
      </c>
      <c r="BE1956">
        <v>235</v>
      </c>
      <c r="BF1956">
        <v>74</v>
      </c>
      <c r="BG1956" t="s">
        <v>4614</v>
      </c>
      <c r="BH1956" t="s">
        <v>4615</v>
      </c>
      <c r="BI1956" t="s">
        <v>4616</v>
      </c>
      <c r="BJ1956">
        <v>0.10579</v>
      </c>
      <c r="BK1956">
        <v>1</v>
      </c>
      <c r="BL1956" t="s">
        <v>69</v>
      </c>
      <c r="BM1956">
        <v>-0.221</v>
      </c>
      <c r="BN1956">
        <v>-0.752</v>
      </c>
    </row>
    <row r="1957" spans="2:66">
      <c r="B1957">
        <v>3439</v>
      </c>
      <c r="C1957">
        <v>3</v>
      </c>
      <c r="D1957">
        <v>0</v>
      </c>
      <c r="E1957">
        <v>7</v>
      </c>
      <c r="F1957">
        <v>0</v>
      </c>
      <c r="J1957">
        <v>0</v>
      </c>
      <c r="K1957">
        <v>4</v>
      </c>
      <c r="L1957">
        <v>2</v>
      </c>
      <c r="M1957" t="s">
        <v>25022</v>
      </c>
      <c r="N1957">
        <v>744</v>
      </c>
      <c r="O1957" t="s">
        <v>4617</v>
      </c>
      <c r="P1957" t="s">
        <v>57</v>
      </c>
      <c r="Q1957">
        <v>774138</v>
      </c>
      <c r="R1957">
        <v>774788</v>
      </c>
      <c r="S1957" t="s">
        <v>4583</v>
      </c>
      <c r="T1957">
        <v>217</v>
      </c>
      <c r="U1957" t="s">
        <v>4618</v>
      </c>
      <c r="V1957">
        <v>45</v>
      </c>
      <c r="W1957" t="str">
        <f>HYPERLINK("Gene744-zp_tree_all.dnd", "Gene744-tree")</f>
        <v>Gene744-tree</v>
      </c>
      <c r="X1957">
        <v>11</v>
      </c>
      <c r="Y1957">
        <v>7</v>
      </c>
      <c r="Z1957">
        <v>11</v>
      </c>
      <c r="AA1957">
        <v>7</v>
      </c>
      <c r="AB1957">
        <v>0.38889000000000001</v>
      </c>
      <c r="AC1957" t="s">
        <v>73</v>
      </c>
      <c r="AD1957" t="s">
        <v>152</v>
      </c>
      <c r="AE1957" t="s">
        <v>62</v>
      </c>
      <c r="AF1957" t="s">
        <v>62</v>
      </c>
      <c r="AG1957">
        <v>3</v>
      </c>
      <c r="AH1957">
        <v>6</v>
      </c>
      <c r="AI1957">
        <v>11</v>
      </c>
      <c r="AJ1957">
        <v>0.35293999999999998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2</v>
      </c>
      <c r="AR1957">
        <v>2</v>
      </c>
      <c r="AS1957">
        <v>10</v>
      </c>
      <c r="AT1957">
        <v>0.16667000000000001</v>
      </c>
      <c r="AU1957">
        <v>15</v>
      </c>
      <c r="AV1957">
        <v>14</v>
      </c>
      <c r="AW1957">
        <v>47</v>
      </c>
      <c r="AX1957">
        <v>12</v>
      </c>
      <c r="AY1957">
        <v>46</v>
      </c>
      <c r="AZ1957">
        <v>5</v>
      </c>
      <c r="BA1957" t="s">
        <v>4619</v>
      </c>
      <c r="BB1957" t="s">
        <v>4620</v>
      </c>
      <c r="BC1957">
        <v>0.59599999999999997</v>
      </c>
      <c r="BD1957" t="s">
        <v>65</v>
      </c>
      <c r="BE1957">
        <v>93</v>
      </c>
      <c r="BF1957">
        <v>17</v>
      </c>
      <c r="BG1957" t="s">
        <v>4621</v>
      </c>
      <c r="BH1957" t="s">
        <v>4622</v>
      </c>
      <c r="BI1957" t="s">
        <v>4623</v>
      </c>
      <c r="BJ1957">
        <v>4.1480000000000003E-2</v>
      </c>
      <c r="BK1957">
        <v>1</v>
      </c>
      <c r="BL1957" t="s">
        <v>69</v>
      </c>
      <c r="BM1957">
        <v>-1.157</v>
      </c>
      <c r="BN1957">
        <v>-1.6639999999999999</v>
      </c>
    </row>
    <row r="1958" spans="2:66">
      <c r="B1958">
        <v>3440</v>
      </c>
      <c r="C1958">
        <v>118</v>
      </c>
      <c r="D1958">
        <v>0</v>
      </c>
      <c r="E1958">
        <v>11</v>
      </c>
      <c r="F1958">
        <v>0</v>
      </c>
      <c r="J1958">
        <v>0</v>
      </c>
      <c r="K1958">
        <v>26</v>
      </c>
      <c r="L1958">
        <v>4</v>
      </c>
      <c r="M1958" t="s">
        <v>25022</v>
      </c>
      <c r="N1958">
        <v>745</v>
      </c>
      <c r="O1958" t="s">
        <v>4624</v>
      </c>
      <c r="P1958" t="s">
        <v>57</v>
      </c>
      <c r="Q1958">
        <v>774799</v>
      </c>
      <c r="R1958">
        <v>776787</v>
      </c>
      <c r="S1958" t="s">
        <v>4625</v>
      </c>
      <c r="T1958">
        <v>663</v>
      </c>
      <c r="U1958" t="s">
        <v>4626</v>
      </c>
      <c r="V1958">
        <v>37</v>
      </c>
      <c r="W1958" t="str">
        <f>HYPERLINK("Gene745-zp_tree_all.dnd", "Gene745-tree")</f>
        <v>Gene745-tree</v>
      </c>
      <c r="X1958">
        <v>0</v>
      </c>
      <c r="Y1958">
        <v>31</v>
      </c>
      <c r="Z1958">
        <v>0</v>
      </c>
      <c r="AA1958">
        <v>14</v>
      </c>
      <c r="AB1958">
        <v>1</v>
      </c>
      <c r="AC1958" t="s">
        <v>62</v>
      </c>
      <c r="AD1958" t="s">
        <v>4627</v>
      </c>
      <c r="AE1958">
        <v>3.6080000000000001</v>
      </c>
      <c r="AF1958" t="s">
        <v>65</v>
      </c>
      <c r="AG1958">
        <v>12</v>
      </c>
      <c r="AH1958">
        <v>30</v>
      </c>
      <c r="AI1958">
        <v>35</v>
      </c>
      <c r="AJ1958">
        <v>0.46154000000000001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10</v>
      </c>
      <c r="AQ1958">
        <v>0</v>
      </c>
      <c r="AR1958">
        <v>10</v>
      </c>
      <c r="AS1958">
        <v>33</v>
      </c>
      <c r="AT1958">
        <v>0.23255999999999999</v>
      </c>
      <c r="AU1958">
        <v>13</v>
      </c>
      <c r="AV1958">
        <v>11</v>
      </c>
      <c r="AW1958">
        <v>105</v>
      </c>
      <c r="AX1958">
        <v>43</v>
      </c>
      <c r="AY1958">
        <v>73</v>
      </c>
      <c r="AZ1958">
        <v>23</v>
      </c>
      <c r="BA1958" t="s">
        <v>4628</v>
      </c>
      <c r="BB1958" t="s">
        <v>4629</v>
      </c>
      <c r="BC1958">
        <v>0.88300000000000001</v>
      </c>
      <c r="BD1958" t="s">
        <v>65</v>
      </c>
      <c r="BE1958">
        <v>178</v>
      </c>
      <c r="BF1958">
        <v>66</v>
      </c>
      <c r="BG1958" t="s">
        <v>4630</v>
      </c>
      <c r="BH1958" t="s">
        <v>4631</v>
      </c>
      <c r="BI1958" t="s">
        <v>4632</v>
      </c>
      <c r="BJ1958">
        <v>0.11762</v>
      </c>
      <c r="BK1958">
        <v>1</v>
      </c>
      <c r="BL1958" t="s">
        <v>69</v>
      </c>
      <c r="BM1958">
        <v>-0.46400000000000002</v>
      </c>
      <c r="BN1958">
        <v>-0.84</v>
      </c>
    </row>
    <row r="1959" spans="2:66">
      <c r="B1959">
        <v>3441</v>
      </c>
      <c r="C1959">
        <v>434</v>
      </c>
      <c r="D1959">
        <v>0</v>
      </c>
      <c r="E1959">
        <v>21</v>
      </c>
      <c r="F1959">
        <v>1</v>
      </c>
      <c r="J1959">
        <v>9</v>
      </c>
      <c r="K1959">
        <v>73</v>
      </c>
      <c r="L1959">
        <v>9</v>
      </c>
      <c r="M1959" t="s">
        <v>25022</v>
      </c>
      <c r="N1959">
        <v>746</v>
      </c>
      <c r="O1959" t="s">
        <v>4633</v>
      </c>
      <c r="P1959" t="s">
        <v>57</v>
      </c>
      <c r="Q1959">
        <v>776834</v>
      </c>
      <c r="R1959">
        <v>779404</v>
      </c>
      <c r="S1959" t="s">
        <v>1340</v>
      </c>
      <c r="T1959">
        <v>857</v>
      </c>
      <c r="U1959" t="s">
        <v>4626</v>
      </c>
      <c r="V1959">
        <v>37</v>
      </c>
      <c r="W1959" t="str">
        <f>HYPERLINK("Gene746-zp_tree_all.dnd", "Gene746-tree")</f>
        <v>Gene746-tree</v>
      </c>
      <c r="X1959">
        <v>0</v>
      </c>
      <c r="Y1959">
        <v>33</v>
      </c>
      <c r="Z1959">
        <v>0</v>
      </c>
      <c r="AA1959">
        <v>16</v>
      </c>
      <c r="AB1959">
        <v>1</v>
      </c>
      <c r="AC1959" t="s">
        <v>62</v>
      </c>
      <c r="AD1959" t="s">
        <v>4634</v>
      </c>
      <c r="AE1959">
        <v>3.4860000000000002</v>
      </c>
      <c r="AF1959" t="s">
        <v>65</v>
      </c>
      <c r="AG1959">
        <v>30</v>
      </c>
      <c r="AH1959">
        <v>91</v>
      </c>
      <c r="AI1959">
        <v>63</v>
      </c>
      <c r="AJ1959">
        <v>0.59091000000000005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39</v>
      </c>
      <c r="AQ1959">
        <v>10</v>
      </c>
      <c r="AR1959">
        <v>49</v>
      </c>
      <c r="AS1959">
        <v>60</v>
      </c>
      <c r="AT1959">
        <v>0.44954</v>
      </c>
      <c r="AU1959">
        <v>13</v>
      </c>
      <c r="AV1959">
        <v>13</v>
      </c>
      <c r="AW1959">
        <v>117</v>
      </c>
      <c r="AX1959">
        <v>82</v>
      </c>
      <c r="AY1959">
        <v>115</v>
      </c>
      <c r="AZ1959">
        <v>77</v>
      </c>
      <c r="BA1959" t="s">
        <v>4635</v>
      </c>
      <c r="BB1959" t="s">
        <v>4636</v>
      </c>
      <c r="BC1959">
        <v>9.6000000000000002E-2</v>
      </c>
      <c r="BD1959" t="s">
        <v>65</v>
      </c>
      <c r="BE1959">
        <v>232</v>
      </c>
      <c r="BF1959">
        <v>159</v>
      </c>
      <c r="BG1959" t="s">
        <v>4637</v>
      </c>
      <c r="BH1959" t="s">
        <v>4638</v>
      </c>
      <c r="BI1959" t="s">
        <v>4639</v>
      </c>
      <c r="BJ1959">
        <v>0.18395</v>
      </c>
      <c r="BK1959">
        <v>1</v>
      </c>
      <c r="BL1959" t="s">
        <v>69</v>
      </c>
      <c r="BM1959">
        <v>-0.41499999999999998</v>
      </c>
      <c r="BN1959">
        <v>-0.50800000000000001</v>
      </c>
    </row>
    <row r="1960" spans="2:66">
      <c r="B1960">
        <v>3442</v>
      </c>
      <c r="C1960">
        <v>256</v>
      </c>
      <c r="D1960">
        <v>0</v>
      </c>
      <c r="E1960">
        <v>7</v>
      </c>
      <c r="F1960">
        <v>0</v>
      </c>
      <c r="J1960">
        <v>2</v>
      </c>
      <c r="K1960">
        <v>19</v>
      </c>
      <c r="L1960">
        <v>4</v>
      </c>
      <c r="M1960" t="s">
        <v>25022</v>
      </c>
      <c r="N1960">
        <v>747</v>
      </c>
      <c r="O1960" t="s">
        <v>4640</v>
      </c>
      <c r="P1960" t="s">
        <v>57</v>
      </c>
      <c r="Q1960">
        <v>779529</v>
      </c>
      <c r="R1960">
        <v>781034</v>
      </c>
      <c r="S1960" t="s">
        <v>4641</v>
      </c>
      <c r="T1960">
        <v>502</v>
      </c>
      <c r="U1960" t="s">
        <v>4642</v>
      </c>
      <c r="V1960">
        <v>43</v>
      </c>
      <c r="W1960" t="str">
        <f>HYPERLINK("Gene747-zp_tree_all.dnd", "Gene747-tree")</f>
        <v>Gene747-tree</v>
      </c>
      <c r="X1960">
        <v>4</v>
      </c>
      <c r="Y1960">
        <v>12</v>
      </c>
      <c r="Z1960">
        <v>4</v>
      </c>
      <c r="AA1960">
        <v>12</v>
      </c>
      <c r="AB1960">
        <v>0.75</v>
      </c>
      <c r="AC1960" t="s">
        <v>61</v>
      </c>
      <c r="AD1960" t="s">
        <v>109</v>
      </c>
      <c r="AE1960" t="s">
        <v>62</v>
      </c>
      <c r="AF1960" t="s">
        <v>62</v>
      </c>
      <c r="AG1960">
        <v>9</v>
      </c>
      <c r="AH1960">
        <v>25</v>
      </c>
      <c r="AI1960">
        <v>21</v>
      </c>
      <c r="AJ1960">
        <v>0.54347999999999996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8</v>
      </c>
      <c r="AQ1960">
        <v>3</v>
      </c>
      <c r="AR1960">
        <v>11</v>
      </c>
      <c r="AS1960">
        <v>17</v>
      </c>
      <c r="AT1960">
        <v>0.39285999999999999</v>
      </c>
      <c r="AU1960">
        <v>13</v>
      </c>
      <c r="AV1960">
        <v>13</v>
      </c>
      <c r="AW1960">
        <v>72</v>
      </c>
      <c r="AX1960">
        <v>27</v>
      </c>
      <c r="AY1960">
        <v>61</v>
      </c>
      <c r="AZ1960">
        <v>19</v>
      </c>
      <c r="BA1960" t="s">
        <v>4643</v>
      </c>
      <c r="BB1960" t="s">
        <v>4644</v>
      </c>
      <c r="BC1960">
        <v>0.16400000000000001</v>
      </c>
      <c r="BD1960" t="s">
        <v>65</v>
      </c>
      <c r="BE1960">
        <v>133</v>
      </c>
      <c r="BF1960">
        <v>46</v>
      </c>
      <c r="BG1960" t="s">
        <v>4645</v>
      </c>
      <c r="BH1960" t="s">
        <v>4646</v>
      </c>
      <c r="BI1960" t="s">
        <v>4647</v>
      </c>
      <c r="BJ1960">
        <v>8.0629999999999993E-2</v>
      </c>
      <c r="BK1960">
        <v>1</v>
      </c>
      <c r="BL1960" t="s">
        <v>69</v>
      </c>
      <c r="BM1960">
        <v>-1.135</v>
      </c>
      <c r="BN1960">
        <v>-1.006</v>
      </c>
    </row>
    <row r="1961" spans="2:66">
      <c r="B1961">
        <v>3443</v>
      </c>
      <c r="C1961">
        <v>15</v>
      </c>
      <c r="D1961">
        <v>0</v>
      </c>
      <c r="E1961">
        <v>16</v>
      </c>
      <c r="F1961">
        <v>0</v>
      </c>
      <c r="J1961">
        <v>0</v>
      </c>
      <c r="K1961">
        <v>9</v>
      </c>
      <c r="L1961">
        <v>0</v>
      </c>
      <c r="M1961" t="s">
        <v>25022</v>
      </c>
      <c r="N1961">
        <v>748</v>
      </c>
      <c r="O1961" t="s">
        <v>4648</v>
      </c>
      <c r="P1961" t="s">
        <v>57</v>
      </c>
      <c r="Q1961">
        <v>781092</v>
      </c>
      <c r="R1961">
        <v>782045</v>
      </c>
      <c r="S1961" t="s">
        <v>4649</v>
      </c>
      <c r="T1961">
        <v>318</v>
      </c>
      <c r="U1961" t="s">
        <v>4650</v>
      </c>
      <c r="V1961">
        <v>43</v>
      </c>
      <c r="W1961" t="str">
        <f>HYPERLINK("Gene748-zp_tree_all.dnd", "Gene748-tree")</f>
        <v>Gene748-tree</v>
      </c>
      <c r="X1961">
        <v>6</v>
      </c>
      <c r="Y1961">
        <v>11</v>
      </c>
      <c r="Z1961">
        <v>6</v>
      </c>
      <c r="AA1961">
        <v>11</v>
      </c>
      <c r="AB1961">
        <v>0.64705999999999997</v>
      </c>
      <c r="AC1961" t="s">
        <v>90</v>
      </c>
      <c r="AD1961" t="s">
        <v>73</v>
      </c>
      <c r="AE1961">
        <v>95384385.856999993</v>
      </c>
      <c r="AF1961" t="s">
        <v>267</v>
      </c>
      <c r="AG1961">
        <v>3</v>
      </c>
      <c r="AH1961">
        <v>9</v>
      </c>
      <c r="AI1961">
        <v>10</v>
      </c>
      <c r="AJ1961">
        <v>0.47367999999999999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5</v>
      </c>
      <c r="AQ1961">
        <v>0</v>
      </c>
      <c r="AR1961">
        <v>5</v>
      </c>
      <c r="AS1961">
        <v>10</v>
      </c>
      <c r="AT1961">
        <v>0.33333000000000002</v>
      </c>
      <c r="AU1961">
        <v>16</v>
      </c>
      <c r="AV1961">
        <v>10</v>
      </c>
      <c r="AW1961">
        <v>84</v>
      </c>
      <c r="AX1961">
        <v>13</v>
      </c>
      <c r="AY1961">
        <v>27</v>
      </c>
      <c r="AZ1961">
        <v>6</v>
      </c>
      <c r="BA1961" t="s">
        <v>4651</v>
      </c>
      <c r="BB1961" t="s">
        <v>4652</v>
      </c>
      <c r="BC1961">
        <v>0.4</v>
      </c>
      <c r="BD1961" t="s">
        <v>65</v>
      </c>
      <c r="BE1961">
        <v>111</v>
      </c>
      <c r="BF1961">
        <v>19</v>
      </c>
      <c r="BG1961" t="s">
        <v>4653</v>
      </c>
      <c r="BH1961" t="s">
        <v>4654</v>
      </c>
      <c r="BI1961" t="s">
        <v>4655</v>
      </c>
      <c r="BJ1961">
        <v>4.999E-2</v>
      </c>
      <c r="BK1961">
        <v>1</v>
      </c>
      <c r="BL1961" t="s">
        <v>69</v>
      </c>
      <c r="BM1961">
        <v>-1.3</v>
      </c>
      <c r="BN1961">
        <v>-3.2989999999999999</v>
      </c>
    </row>
    <row r="1962" spans="2:66">
      <c r="B1962">
        <v>3444</v>
      </c>
      <c r="C1962">
        <v>145</v>
      </c>
      <c r="D1962">
        <v>0</v>
      </c>
      <c r="E1962">
        <v>6</v>
      </c>
      <c r="F1962">
        <v>0</v>
      </c>
      <c r="J1962">
        <v>0</v>
      </c>
      <c r="K1962">
        <v>2</v>
      </c>
      <c r="L1962">
        <v>0</v>
      </c>
      <c r="M1962" t="s">
        <v>25022</v>
      </c>
      <c r="N1962">
        <v>749</v>
      </c>
      <c r="O1962" t="s">
        <v>4656</v>
      </c>
      <c r="P1962" t="s">
        <v>57</v>
      </c>
      <c r="Q1962">
        <v>782062</v>
      </c>
      <c r="R1962">
        <v>782946</v>
      </c>
      <c r="S1962" t="s">
        <v>4649</v>
      </c>
      <c r="T1962">
        <v>295</v>
      </c>
      <c r="U1962" t="s">
        <v>4657</v>
      </c>
      <c r="V1962">
        <v>46</v>
      </c>
      <c r="W1962" t="str">
        <f>HYPERLINK("Gene749-zp_tree_all.dnd", "Gene749-tree")</f>
        <v>Gene749-tree</v>
      </c>
      <c r="X1962">
        <v>15</v>
      </c>
      <c r="Y1962">
        <v>4</v>
      </c>
      <c r="Z1962">
        <v>15</v>
      </c>
      <c r="AA1962">
        <v>4</v>
      </c>
      <c r="AB1962">
        <v>0.21052999999999999</v>
      </c>
      <c r="AC1962" t="s">
        <v>100</v>
      </c>
      <c r="AD1962" t="s">
        <v>61</v>
      </c>
      <c r="AE1962" t="s">
        <v>62</v>
      </c>
      <c r="AF1962" t="s">
        <v>62</v>
      </c>
      <c r="AG1962">
        <v>1</v>
      </c>
      <c r="AH1962">
        <v>2</v>
      </c>
      <c r="AI1962">
        <v>6</v>
      </c>
      <c r="AJ1962">
        <v>0.25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2</v>
      </c>
      <c r="AQ1962">
        <v>0</v>
      </c>
      <c r="AR1962">
        <v>2</v>
      </c>
      <c r="AS1962">
        <v>4</v>
      </c>
      <c r="AT1962">
        <v>0.33333000000000002</v>
      </c>
      <c r="AU1962">
        <v>15</v>
      </c>
      <c r="AV1962">
        <v>16</v>
      </c>
      <c r="AW1962">
        <v>55</v>
      </c>
      <c r="AX1962">
        <v>6</v>
      </c>
      <c r="AY1962">
        <v>74</v>
      </c>
      <c r="AZ1962">
        <v>2</v>
      </c>
      <c r="BA1962" t="s">
        <v>4658</v>
      </c>
      <c r="BB1962" t="s">
        <v>4659</v>
      </c>
      <c r="BC1962">
        <v>0.54600000000000004</v>
      </c>
      <c r="BD1962" t="s">
        <v>65</v>
      </c>
      <c r="BE1962">
        <v>129</v>
      </c>
      <c r="BF1962">
        <v>8</v>
      </c>
      <c r="BG1962" t="s">
        <v>4660</v>
      </c>
      <c r="BH1962" t="s">
        <v>4661</v>
      </c>
      <c r="BI1962" t="s">
        <v>4662</v>
      </c>
      <c r="BJ1962">
        <v>1.7180000000000001E-2</v>
      </c>
      <c r="BK1962">
        <v>1</v>
      </c>
      <c r="BL1962" t="s">
        <v>69</v>
      </c>
      <c r="BM1962">
        <v>-1.159</v>
      </c>
      <c r="BN1962">
        <v>-0.48599999999999999</v>
      </c>
    </row>
    <row r="1963" spans="2:66">
      <c r="B1963">
        <v>3445</v>
      </c>
      <c r="C1963">
        <v>244</v>
      </c>
      <c r="D1963">
        <v>0</v>
      </c>
      <c r="E1963">
        <v>3</v>
      </c>
      <c r="F1963">
        <v>0</v>
      </c>
      <c r="J1963">
        <v>0</v>
      </c>
      <c r="K1963">
        <v>9</v>
      </c>
      <c r="L1963">
        <v>3</v>
      </c>
      <c r="M1963" t="s">
        <v>25022</v>
      </c>
      <c r="N1963">
        <v>750</v>
      </c>
      <c r="O1963" t="s">
        <v>4663</v>
      </c>
      <c r="P1963" t="s">
        <v>57</v>
      </c>
      <c r="Q1963">
        <v>782958</v>
      </c>
      <c r="R1963">
        <v>784295</v>
      </c>
      <c r="S1963" t="s">
        <v>4664</v>
      </c>
      <c r="T1963">
        <v>446</v>
      </c>
      <c r="U1963" t="s">
        <v>4665</v>
      </c>
      <c r="V1963">
        <v>34</v>
      </c>
      <c r="W1963" t="str">
        <f>HYPERLINK("Gene750-zp_tree_all.dnd", "Gene750-tree")</f>
        <v>Gene750-tree</v>
      </c>
      <c r="X1963">
        <v>0</v>
      </c>
      <c r="Y1963">
        <v>11</v>
      </c>
      <c r="Z1963">
        <v>0</v>
      </c>
      <c r="AA1963">
        <v>11</v>
      </c>
      <c r="AB1963">
        <v>1</v>
      </c>
      <c r="AC1963" t="s">
        <v>62</v>
      </c>
      <c r="AD1963" t="s">
        <v>73</v>
      </c>
      <c r="AE1963">
        <v>114461263.029</v>
      </c>
      <c r="AF1963" t="s">
        <v>65</v>
      </c>
      <c r="AG1963">
        <v>5</v>
      </c>
      <c r="AH1963">
        <v>12</v>
      </c>
      <c r="AI1963">
        <v>28</v>
      </c>
      <c r="AJ1963">
        <v>0.3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6</v>
      </c>
      <c r="AQ1963">
        <v>2</v>
      </c>
      <c r="AR1963">
        <v>8</v>
      </c>
      <c r="AS1963">
        <v>22</v>
      </c>
      <c r="AT1963">
        <v>0.26667000000000002</v>
      </c>
      <c r="AU1963">
        <v>10</v>
      </c>
      <c r="AV1963">
        <v>6</v>
      </c>
      <c r="AW1963">
        <v>41</v>
      </c>
      <c r="AX1963">
        <v>30</v>
      </c>
      <c r="AY1963">
        <v>24</v>
      </c>
      <c r="AZ1963">
        <v>11</v>
      </c>
      <c r="BA1963" t="s">
        <v>4666</v>
      </c>
      <c r="BB1963" t="s">
        <v>4667</v>
      </c>
      <c r="BC1963">
        <v>0.77500000000000002</v>
      </c>
      <c r="BD1963" t="s">
        <v>65</v>
      </c>
      <c r="BE1963">
        <v>65</v>
      </c>
      <c r="BF1963">
        <v>41</v>
      </c>
      <c r="BG1963" t="s">
        <v>4668</v>
      </c>
      <c r="BH1963" t="s">
        <v>4669</v>
      </c>
      <c r="BI1963" t="s">
        <v>4670</v>
      </c>
      <c r="BJ1963">
        <v>0.19040000000000001</v>
      </c>
      <c r="BK1963">
        <v>1</v>
      </c>
      <c r="BL1963" t="s">
        <v>69</v>
      </c>
      <c r="BM1963">
        <v>-1.139</v>
      </c>
      <c r="BN1963">
        <v>-1.6419999999999999</v>
      </c>
    </row>
    <row r="1964" spans="2:66">
      <c r="B1964">
        <v>3446</v>
      </c>
      <c r="C1964">
        <v>97</v>
      </c>
      <c r="D1964">
        <v>0</v>
      </c>
      <c r="E1964">
        <v>11</v>
      </c>
      <c r="F1964">
        <v>0</v>
      </c>
      <c r="J1964">
        <v>0</v>
      </c>
      <c r="K1964">
        <v>2</v>
      </c>
      <c r="L1964">
        <v>1</v>
      </c>
      <c r="M1964" t="s">
        <v>25022</v>
      </c>
      <c r="N1964">
        <v>751</v>
      </c>
      <c r="O1964" t="s">
        <v>4671</v>
      </c>
      <c r="P1964" t="s">
        <v>57</v>
      </c>
      <c r="Q1964">
        <v>784381</v>
      </c>
      <c r="R1964">
        <v>785073</v>
      </c>
      <c r="S1964" t="s">
        <v>4672</v>
      </c>
      <c r="T1964">
        <v>231</v>
      </c>
      <c r="U1964" t="s">
        <v>3401</v>
      </c>
      <c r="V1964">
        <v>42</v>
      </c>
      <c r="W1964" t="str">
        <f>HYPERLINK("Gene751-zp_tree_all.dnd", "Gene751-tree")</f>
        <v>Gene751-tree</v>
      </c>
      <c r="X1964">
        <v>8</v>
      </c>
      <c r="Y1964">
        <v>4</v>
      </c>
      <c r="Z1964">
        <v>8</v>
      </c>
      <c r="AA1964">
        <v>4</v>
      </c>
      <c r="AB1964">
        <v>0.33333000000000002</v>
      </c>
      <c r="AC1964" t="s">
        <v>136</v>
      </c>
      <c r="AD1964" t="s">
        <v>61</v>
      </c>
      <c r="AE1964" t="s">
        <v>62</v>
      </c>
      <c r="AF1964" t="s">
        <v>62</v>
      </c>
      <c r="AG1964">
        <v>1</v>
      </c>
      <c r="AH1964">
        <v>3</v>
      </c>
      <c r="AI1964">
        <v>9</v>
      </c>
      <c r="AJ1964">
        <v>0.25</v>
      </c>
      <c r="AK1964">
        <v>0</v>
      </c>
      <c r="AL1964">
        <v>0</v>
      </c>
      <c r="AM1964">
        <v>0</v>
      </c>
      <c r="AN1964">
        <v>3</v>
      </c>
      <c r="AO1964">
        <v>0</v>
      </c>
      <c r="AP1964">
        <v>2</v>
      </c>
      <c r="AQ1964">
        <v>0</v>
      </c>
      <c r="AR1964">
        <v>2</v>
      </c>
      <c r="AS1964">
        <v>3</v>
      </c>
      <c r="AT1964">
        <v>0.4</v>
      </c>
      <c r="AU1964">
        <v>8</v>
      </c>
      <c r="AV1964">
        <v>8</v>
      </c>
      <c r="AW1964">
        <v>29</v>
      </c>
      <c r="AX1964">
        <v>6</v>
      </c>
      <c r="AY1964">
        <v>46</v>
      </c>
      <c r="AZ1964">
        <v>8</v>
      </c>
      <c r="BA1964" t="s">
        <v>4673</v>
      </c>
      <c r="BB1964" t="s">
        <v>4674</v>
      </c>
      <c r="BC1964">
        <v>0.22800000000000001</v>
      </c>
      <c r="BD1964" t="s">
        <v>65</v>
      </c>
      <c r="BE1964">
        <v>75</v>
      </c>
      <c r="BF1964">
        <v>14</v>
      </c>
      <c r="BG1964" t="s">
        <v>4675</v>
      </c>
      <c r="BH1964" t="s">
        <v>4676</v>
      </c>
      <c r="BI1964" t="s">
        <v>4677</v>
      </c>
      <c r="BJ1964">
        <v>6.7930000000000004E-2</v>
      </c>
      <c r="BK1964">
        <v>1</v>
      </c>
      <c r="BL1964" t="s">
        <v>69</v>
      </c>
      <c r="BM1964">
        <v>1.4350000000000001</v>
      </c>
      <c r="BN1964">
        <v>0.65800000000000003</v>
      </c>
    </row>
    <row r="1965" spans="2:66">
      <c r="B1965">
        <v>3448</v>
      </c>
      <c r="C1965">
        <v>2</v>
      </c>
      <c r="D1965">
        <v>0</v>
      </c>
      <c r="E1965">
        <v>4</v>
      </c>
      <c r="F1965">
        <v>0</v>
      </c>
      <c r="J1965">
        <v>0</v>
      </c>
      <c r="K1965">
        <v>4</v>
      </c>
      <c r="L1965">
        <v>0</v>
      </c>
      <c r="M1965" t="s">
        <v>25022</v>
      </c>
      <c r="N1965">
        <v>756</v>
      </c>
      <c r="O1965" t="s">
        <v>4692</v>
      </c>
      <c r="P1965" t="s">
        <v>57</v>
      </c>
      <c r="Q1965">
        <v>787715</v>
      </c>
      <c r="R1965">
        <v>787879</v>
      </c>
      <c r="S1965" t="s">
        <v>288</v>
      </c>
      <c r="T1965">
        <v>55</v>
      </c>
      <c r="U1965" t="s">
        <v>4693</v>
      </c>
      <c r="V1965">
        <v>47</v>
      </c>
      <c r="W1965" t="str">
        <f>HYPERLINK("Gene756-zp_tree_all.dnd", "Gene756-tree")</f>
        <v>Gene756-tree</v>
      </c>
      <c r="X1965">
        <v>9</v>
      </c>
      <c r="Y1965">
        <v>4</v>
      </c>
      <c r="Z1965">
        <v>9</v>
      </c>
      <c r="AA1965">
        <v>4</v>
      </c>
      <c r="AB1965">
        <v>0.30769000000000002</v>
      </c>
      <c r="AC1965" t="s">
        <v>135</v>
      </c>
      <c r="AD1965" t="s">
        <v>61</v>
      </c>
      <c r="AE1965" t="s">
        <v>62</v>
      </c>
      <c r="AF1965" t="s">
        <v>62</v>
      </c>
      <c r="AG1965">
        <v>2</v>
      </c>
      <c r="AH1965">
        <v>4</v>
      </c>
      <c r="AI1965">
        <v>2</v>
      </c>
      <c r="AJ1965">
        <v>0.66666999999999998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2</v>
      </c>
      <c r="AQ1965">
        <v>0</v>
      </c>
      <c r="AR1965">
        <v>2</v>
      </c>
      <c r="AS1965">
        <v>2</v>
      </c>
      <c r="AT1965">
        <v>0.5</v>
      </c>
      <c r="AU1965">
        <v>8</v>
      </c>
      <c r="AV1965">
        <v>7</v>
      </c>
      <c r="AW1965">
        <v>10</v>
      </c>
      <c r="AX1965">
        <v>3</v>
      </c>
      <c r="AY1965">
        <v>7</v>
      </c>
      <c r="AZ1965">
        <v>3</v>
      </c>
      <c r="BA1965" t="s">
        <v>4694</v>
      </c>
      <c r="BB1965" t="s">
        <v>4695</v>
      </c>
      <c r="BC1965">
        <v>0.38200000000000001</v>
      </c>
      <c r="BD1965" t="s">
        <v>65</v>
      </c>
      <c r="BE1965">
        <v>17</v>
      </c>
      <c r="BF1965">
        <v>6</v>
      </c>
      <c r="BG1965" t="s">
        <v>4696</v>
      </c>
      <c r="BH1965" t="s">
        <v>4697</v>
      </c>
      <c r="BI1965" t="s">
        <v>4698</v>
      </c>
      <c r="BJ1965">
        <v>0.10528</v>
      </c>
      <c r="BK1965">
        <v>1</v>
      </c>
      <c r="BL1965" t="s">
        <v>69</v>
      </c>
      <c r="BM1965">
        <v>-1.042</v>
      </c>
      <c r="BN1965">
        <v>-1.262</v>
      </c>
    </row>
    <row r="1966" spans="2:66">
      <c r="B1966">
        <v>3451</v>
      </c>
      <c r="C1966">
        <v>146</v>
      </c>
      <c r="D1966">
        <v>0</v>
      </c>
      <c r="E1966">
        <v>3</v>
      </c>
      <c r="F1966">
        <v>0</v>
      </c>
      <c r="J1966">
        <v>0</v>
      </c>
      <c r="K1966">
        <v>3</v>
      </c>
      <c r="L1966">
        <v>0</v>
      </c>
      <c r="M1966" t="s">
        <v>25022</v>
      </c>
      <c r="N1966">
        <v>757</v>
      </c>
      <c r="O1966" t="s">
        <v>4699</v>
      </c>
      <c r="P1966" t="s">
        <v>57</v>
      </c>
      <c r="Q1966">
        <v>787992</v>
      </c>
      <c r="R1966">
        <v>788633</v>
      </c>
      <c r="S1966" t="s">
        <v>4700</v>
      </c>
      <c r="T1966">
        <v>214</v>
      </c>
      <c r="U1966" t="s">
        <v>3401</v>
      </c>
      <c r="V1966">
        <v>42</v>
      </c>
      <c r="W1966" t="str">
        <f>HYPERLINK("Gene757-zp_tree_all.dnd", "Gene757-tree")</f>
        <v>Gene757-tree</v>
      </c>
      <c r="X1966">
        <v>7</v>
      </c>
      <c r="Y1966">
        <v>7</v>
      </c>
      <c r="Z1966">
        <v>7</v>
      </c>
      <c r="AA1966">
        <v>7</v>
      </c>
      <c r="AB1966">
        <v>0.5</v>
      </c>
      <c r="AC1966" t="s">
        <v>152</v>
      </c>
      <c r="AD1966" t="s">
        <v>152</v>
      </c>
      <c r="AE1966" t="s">
        <v>62</v>
      </c>
      <c r="AF1966" t="s">
        <v>62</v>
      </c>
      <c r="AG1966">
        <v>1</v>
      </c>
      <c r="AH1966">
        <v>3</v>
      </c>
      <c r="AI1966">
        <v>6</v>
      </c>
      <c r="AJ1966">
        <v>0.33333000000000002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3</v>
      </c>
      <c r="AQ1966">
        <v>0</v>
      </c>
      <c r="AR1966">
        <v>3</v>
      </c>
      <c r="AS1966">
        <v>4</v>
      </c>
      <c r="AT1966">
        <v>0.42857000000000001</v>
      </c>
      <c r="AU1966">
        <v>11</v>
      </c>
      <c r="AV1966">
        <v>10</v>
      </c>
      <c r="AW1966">
        <v>24</v>
      </c>
      <c r="AX1966">
        <v>6</v>
      </c>
      <c r="AY1966">
        <v>19</v>
      </c>
      <c r="AZ1966">
        <v>3</v>
      </c>
      <c r="BA1966" t="s">
        <v>4701</v>
      </c>
      <c r="BB1966" t="s">
        <v>4702</v>
      </c>
      <c r="BC1966">
        <v>0.51800000000000002</v>
      </c>
      <c r="BD1966" t="s">
        <v>65</v>
      </c>
      <c r="BE1966">
        <v>43</v>
      </c>
      <c r="BF1966">
        <v>9</v>
      </c>
      <c r="BG1966" t="s">
        <v>4703</v>
      </c>
      <c r="BH1966" t="s">
        <v>4704</v>
      </c>
      <c r="BI1966" t="s">
        <v>4705</v>
      </c>
      <c r="BJ1966">
        <v>6.4390000000000003E-2</v>
      </c>
      <c r="BK1966">
        <v>1</v>
      </c>
      <c r="BL1966" t="s">
        <v>69</v>
      </c>
      <c r="BM1966">
        <v>-0.40699999999999997</v>
      </c>
      <c r="BN1966">
        <v>-1.1100000000000001</v>
      </c>
    </row>
    <row r="1967" spans="2:66">
      <c r="B1967">
        <v>3453</v>
      </c>
      <c r="C1967">
        <v>177</v>
      </c>
      <c r="D1967">
        <v>0</v>
      </c>
      <c r="E1967">
        <v>3</v>
      </c>
      <c r="F1967">
        <v>0</v>
      </c>
      <c r="J1967">
        <v>0</v>
      </c>
      <c r="K1967">
        <v>9</v>
      </c>
      <c r="L1967">
        <v>2</v>
      </c>
      <c r="M1967" t="s">
        <v>25022</v>
      </c>
      <c r="N1967">
        <v>760</v>
      </c>
      <c r="O1967" t="s">
        <v>4714</v>
      </c>
      <c r="P1967" t="s">
        <v>57</v>
      </c>
      <c r="Q1967">
        <v>790318</v>
      </c>
      <c r="R1967">
        <v>791424</v>
      </c>
      <c r="S1967" t="s">
        <v>4715</v>
      </c>
      <c r="T1967">
        <v>369</v>
      </c>
      <c r="U1967" t="s">
        <v>4716</v>
      </c>
      <c r="V1967">
        <v>29</v>
      </c>
      <c r="W1967" t="str">
        <f>HYPERLINK("Gene760-zp_tree_all.dnd", "Gene760-tree")</f>
        <v>Gene760-tree</v>
      </c>
      <c r="X1967">
        <v>0</v>
      </c>
      <c r="Y1967">
        <v>7</v>
      </c>
      <c r="Z1967">
        <v>0</v>
      </c>
      <c r="AA1967">
        <v>7</v>
      </c>
      <c r="AB1967">
        <v>1</v>
      </c>
      <c r="AC1967" t="s">
        <v>62</v>
      </c>
      <c r="AD1967" t="s">
        <v>152</v>
      </c>
      <c r="AE1967" t="s">
        <v>62</v>
      </c>
      <c r="AF1967" t="s">
        <v>62</v>
      </c>
      <c r="AG1967">
        <v>5</v>
      </c>
      <c r="AH1967">
        <v>11</v>
      </c>
      <c r="AI1967">
        <v>24</v>
      </c>
      <c r="AJ1967">
        <v>0.31429000000000001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</v>
      </c>
      <c r="AQ1967">
        <v>0</v>
      </c>
      <c r="AR1967">
        <v>2</v>
      </c>
      <c r="AS1967">
        <v>23</v>
      </c>
      <c r="AT1967">
        <v>0.08</v>
      </c>
      <c r="AU1967">
        <v>7</v>
      </c>
      <c r="AV1967">
        <v>4</v>
      </c>
      <c r="AW1967">
        <v>43</v>
      </c>
      <c r="AX1967">
        <v>26</v>
      </c>
      <c r="AY1967">
        <v>20</v>
      </c>
      <c r="AZ1967">
        <v>10</v>
      </c>
      <c r="BA1967" t="s">
        <v>4717</v>
      </c>
      <c r="BB1967" t="s">
        <v>4718</v>
      </c>
      <c r="BC1967">
        <v>0.32200000000000001</v>
      </c>
      <c r="BD1967" t="s">
        <v>65</v>
      </c>
      <c r="BE1967">
        <v>63</v>
      </c>
      <c r="BF1967">
        <v>36</v>
      </c>
      <c r="BG1967" t="s">
        <v>4719</v>
      </c>
      <c r="BH1967" t="s">
        <v>4720</v>
      </c>
      <c r="BI1967" t="s">
        <v>4721</v>
      </c>
      <c r="BJ1967">
        <v>0.16009999999999999</v>
      </c>
      <c r="BK1967">
        <v>1</v>
      </c>
      <c r="BL1967" t="s">
        <v>69</v>
      </c>
      <c r="BM1967">
        <v>-0.35</v>
      </c>
      <c r="BN1967">
        <v>-0.46500000000000002</v>
      </c>
    </row>
    <row r="1968" spans="2:66">
      <c r="B1968">
        <v>3455</v>
      </c>
      <c r="C1968">
        <v>149</v>
      </c>
      <c r="D1968">
        <v>0</v>
      </c>
      <c r="E1968">
        <v>6</v>
      </c>
      <c r="F1968">
        <v>2</v>
      </c>
      <c r="J1968">
        <v>0</v>
      </c>
      <c r="K1968">
        <v>56</v>
      </c>
      <c r="L1968">
        <v>0</v>
      </c>
      <c r="M1968" t="s">
        <v>25022</v>
      </c>
      <c r="N1968">
        <v>762</v>
      </c>
      <c r="O1968" t="s">
        <v>4729</v>
      </c>
      <c r="P1968" t="s">
        <v>57</v>
      </c>
      <c r="Q1968">
        <v>792682</v>
      </c>
      <c r="R1968">
        <v>795864</v>
      </c>
      <c r="S1968" t="s">
        <v>4730</v>
      </c>
      <c r="T1968">
        <v>1061</v>
      </c>
      <c r="U1968" t="s">
        <v>108</v>
      </c>
      <c r="V1968">
        <v>44</v>
      </c>
      <c r="W1968" t="str">
        <f>HYPERLINK("Gene762-zp_tree_all.dnd", "Gene762-tree")</f>
        <v>Gene762-tree</v>
      </c>
      <c r="X1968">
        <v>5</v>
      </c>
      <c r="Y1968">
        <v>14</v>
      </c>
      <c r="Z1968">
        <v>5</v>
      </c>
      <c r="AA1968">
        <v>14</v>
      </c>
      <c r="AB1968">
        <v>0.73684000000000005</v>
      </c>
      <c r="AC1968" t="s">
        <v>199</v>
      </c>
      <c r="AD1968" t="s">
        <v>543</v>
      </c>
      <c r="AE1968">
        <v>258272616.03799999</v>
      </c>
      <c r="AF1968" t="s">
        <v>267</v>
      </c>
      <c r="AG1968">
        <v>23</v>
      </c>
      <c r="AH1968">
        <v>56</v>
      </c>
      <c r="AI1968">
        <v>45</v>
      </c>
      <c r="AJ1968">
        <v>0.55445999999999995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18</v>
      </c>
      <c r="AQ1968">
        <v>0</v>
      </c>
      <c r="AR1968">
        <v>18</v>
      </c>
      <c r="AS1968">
        <v>43</v>
      </c>
      <c r="AT1968">
        <v>0.29508000000000001</v>
      </c>
      <c r="AU1968">
        <v>17</v>
      </c>
      <c r="AV1968">
        <v>14</v>
      </c>
      <c r="AW1968">
        <v>167</v>
      </c>
      <c r="AX1968">
        <v>54</v>
      </c>
      <c r="AY1968">
        <v>181</v>
      </c>
      <c r="AZ1968">
        <v>47</v>
      </c>
      <c r="BA1968" t="s">
        <v>4731</v>
      </c>
      <c r="BB1968" t="s">
        <v>4732</v>
      </c>
      <c r="BC1968">
        <v>0.46400000000000002</v>
      </c>
      <c r="BD1968" t="s">
        <v>65</v>
      </c>
      <c r="BE1968">
        <v>348</v>
      </c>
      <c r="BF1968">
        <v>101</v>
      </c>
      <c r="BG1968" t="s">
        <v>4733</v>
      </c>
      <c r="BH1968" t="s">
        <v>4734</v>
      </c>
      <c r="BI1968" t="s">
        <v>4735</v>
      </c>
      <c r="BJ1968">
        <v>8.1199999999999994E-2</v>
      </c>
      <c r="BK1968">
        <v>1</v>
      </c>
      <c r="BL1968" t="s">
        <v>69</v>
      </c>
      <c r="BM1968">
        <v>0.28399999999999997</v>
      </c>
      <c r="BN1968">
        <v>-0.63100000000000001</v>
      </c>
    </row>
    <row r="1969" spans="2:66">
      <c r="B1969">
        <v>3457</v>
      </c>
      <c r="C1969">
        <v>241</v>
      </c>
      <c r="D1969">
        <v>0</v>
      </c>
      <c r="E1969">
        <v>2</v>
      </c>
      <c r="F1969">
        <v>2</v>
      </c>
      <c r="J1969">
        <v>0</v>
      </c>
      <c r="K1969">
        <v>4</v>
      </c>
      <c r="L1969">
        <v>0</v>
      </c>
      <c r="M1969" t="s">
        <v>25022</v>
      </c>
      <c r="N1969">
        <v>763</v>
      </c>
      <c r="O1969" t="s">
        <v>4736</v>
      </c>
      <c r="P1969" t="s">
        <v>57</v>
      </c>
      <c r="Q1969">
        <v>796314</v>
      </c>
      <c r="R1969">
        <v>798230</v>
      </c>
      <c r="S1969" t="s">
        <v>4737</v>
      </c>
      <c r="T1969">
        <v>639</v>
      </c>
      <c r="U1969" t="s">
        <v>108</v>
      </c>
      <c r="V1969">
        <v>44</v>
      </c>
      <c r="W1969" t="str">
        <f>HYPERLINK("Gene763-zp_tree_all.dnd", "Gene763-tree")</f>
        <v>Gene763-tree</v>
      </c>
      <c r="X1969">
        <v>7</v>
      </c>
      <c r="Y1969">
        <v>8</v>
      </c>
      <c r="Z1969">
        <v>7</v>
      </c>
      <c r="AA1969">
        <v>8</v>
      </c>
      <c r="AB1969">
        <v>0.53332999999999997</v>
      </c>
      <c r="AC1969" t="s">
        <v>152</v>
      </c>
      <c r="AD1969" t="s">
        <v>136</v>
      </c>
      <c r="AE1969" t="s">
        <v>62</v>
      </c>
      <c r="AF1969" t="s">
        <v>62</v>
      </c>
      <c r="AG1969">
        <v>1</v>
      </c>
      <c r="AH1969">
        <v>4</v>
      </c>
      <c r="AI1969">
        <v>12</v>
      </c>
      <c r="AJ1969">
        <v>0.25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2</v>
      </c>
      <c r="AQ1969">
        <v>0</v>
      </c>
      <c r="AR1969">
        <v>2</v>
      </c>
      <c r="AS1969">
        <v>9</v>
      </c>
      <c r="AT1969">
        <v>0.18182000000000001</v>
      </c>
      <c r="AU1969">
        <v>14</v>
      </c>
      <c r="AV1969">
        <v>11</v>
      </c>
      <c r="AW1969">
        <v>81</v>
      </c>
      <c r="AX1969">
        <v>11</v>
      </c>
      <c r="AY1969">
        <v>44</v>
      </c>
      <c r="AZ1969">
        <v>5</v>
      </c>
      <c r="BA1969" t="s">
        <v>4738</v>
      </c>
      <c r="BB1969" t="s">
        <v>4739</v>
      </c>
      <c r="BC1969">
        <v>0.16500000000000001</v>
      </c>
      <c r="BD1969" t="s">
        <v>65</v>
      </c>
      <c r="BE1969">
        <v>125</v>
      </c>
      <c r="BF1969">
        <v>16</v>
      </c>
      <c r="BG1969" t="s">
        <v>4740</v>
      </c>
      <c r="BH1969" t="s">
        <v>4741</v>
      </c>
      <c r="BI1969" t="s">
        <v>4742</v>
      </c>
      <c r="BJ1969">
        <v>4.0739999999999998E-2</v>
      </c>
      <c r="BK1969">
        <v>1</v>
      </c>
      <c r="BL1969" t="s">
        <v>69</v>
      </c>
      <c r="BM1969">
        <v>-0.47299999999999998</v>
      </c>
      <c r="BN1969">
        <v>-0.81599999999999995</v>
      </c>
    </row>
    <row r="1970" spans="2:66">
      <c r="B1970">
        <v>3458</v>
      </c>
      <c r="C1970">
        <v>44</v>
      </c>
      <c r="D1970">
        <v>0</v>
      </c>
      <c r="E1970">
        <v>4</v>
      </c>
      <c r="F1970">
        <v>0</v>
      </c>
      <c r="J1970">
        <v>0</v>
      </c>
      <c r="K1970">
        <v>4</v>
      </c>
      <c r="L1970">
        <v>2</v>
      </c>
      <c r="M1970" t="s">
        <v>25022</v>
      </c>
      <c r="N1970">
        <v>764</v>
      </c>
      <c r="O1970" t="s">
        <v>4743</v>
      </c>
      <c r="P1970" t="s">
        <v>57</v>
      </c>
      <c r="Q1970">
        <v>798469</v>
      </c>
      <c r="R1970">
        <v>799230</v>
      </c>
      <c r="S1970" t="s">
        <v>4744</v>
      </c>
      <c r="T1970">
        <v>254</v>
      </c>
      <c r="U1970" t="s">
        <v>59</v>
      </c>
      <c r="V1970">
        <v>49</v>
      </c>
      <c r="W1970" t="str">
        <f>HYPERLINK("Gene764-zp_tree_all.dnd", "Gene764-tree")</f>
        <v>Gene764-tree</v>
      </c>
      <c r="X1970">
        <v>8</v>
      </c>
      <c r="Y1970">
        <v>29</v>
      </c>
      <c r="Z1970">
        <v>8</v>
      </c>
      <c r="AA1970">
        <v>8</v>
      </c>
      <c r="AB1970">
        <v>0.5</v>
      </c>
      <c r="AC1970" t="s">
        <v>136</v>
      </c>
      <c r="AD1970" t="s">
        <v>4745</v>
      </c>
      <c r="AE1970">
        <v>3.9870000000000001</v>
      </c>
      <c r="AF1970" t="s">
        <v>65</v>
      </c>
      <c r="AG1970">
        <v>3</v>
      </c>
      <c r="AH1970">
        <v>6</v>
      </c>
      <c r="AI1970">
        <v>11</v>
      </c>
      <c r="AJ1970">
        <v>0.35293999999999998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13</v>
      </c>
      <c r="AT1970">
        <v>0</v>
      </c>
      <c r="AU1970">
        <v>12</v>
      </c>
      <c r="AV1970">
        <v>12</v>
      </c>
      <c r="AW1970">
        <v>29</v>
      </c>
      <c r="AX1970">
        <v>10</v>
      </c>
      <c r="AY1970">
        <v>39</v>
      </c>
      <c r="AZ1970">
        <v>7</v>
      </c>
      <c r="BA1970" t="s">
        <v>4746</v>
      </c>
      <c r="BB1970" t="s">
        <v>4747</v>
      </c>
      <c r="BC1970">
        <v>0.68100000000000005</v>
      </c>
      <c r="BD1970" t="s">
        <v>65</v>
      </c>
      <c r="BE1970">
        <v>68</v>
      </c>
      <c r="BF1970">
        <v>17</v>
      </c>
      <c r="BG1970" t="s">
        <v>4748</v>
      </c>
      <c r="BH1970" t="s">
        <v>4749</v>
      </c>
      <c r="BI1970" t="s">
        <v>4750</v>
      </c>
      <c r="BJ1970">
        <v>6.3930000000000001E-2</v>
      </c>
      <c r="BK1970">
        <v>1</v>
      </c>
      <c r="BL1970" t="s">
        <v>69</v>
      </c>
      <c r="BM1970">
        <v>-0.78800000000000003</v>
      </c>
      <c r="BN1970">
        <v>-0.254</v>
      </c>
    </row>
    <row r="1971" spans="2:66">
      <c r="B1971">
        <v>3459</v>
      </c>
      <c r="C1971">
        <v>307</v>
      </c>
      <c r="D1971">
        <v>0</v>
      </c>
      <c r="E1971">
        <v>11</v>
      </c>
      <c r="F1971">
        <v>0</v>
      </c>
      <c r="J1971">
        <v>0</v>
      </c>
      <c r="K1971">
        <v>0</v>
      </c>
      <c r="L1971">
        <v>0</v>
      </c>
      <c r="M1971" t="s">
        <v>25022</v>
      </c>
      <c r="N1971">
        <v>765</v>
      </c>
      <c r="O1971" t="s">
        <v>4751</v>
      </c>
      <c r="P1971" t="s">
        <v>57</v>
      </c>
      <c r="Q1971">
        <v>799240</v>
      </c>
      <c r="R1971">
        <v>800205</v>
      </c>
      <c r="S1971" t="s">
        <v>4752</v>
      </c>
      <c r="T1971">
        <v>322</v>
      </c>
      <c r="U1971" t="s">
        <v>108</v>
      </c>
      <c r="V1971">
        <v>44</v>
      </c>
      <c r="W1971" t="str">
        <f>HYPERLINK("Gene765-zp_tree_all.dnd", "Gene765-tree")</f>
        <v>Gene765-tree</v>
      </c>
      <c r="X1971">
        <v>10</v>
      </c>
      <c r="Y1971">
        <v>5</v>
      </c>
      <c r="Z1971">
        <v>10</v>
      </c>
      <c r="AA1971">
        <v>5</v>
      </c>
      <c r="AB1971">
        <v>0.33333000000000002</v>
      </c>
      <c r="AC1971" t="s">
        <v>117</v>
      </c>
      <c r="AD1971" t="s">
        <v>199</v>
      </c>
      <c r="AE1971" t="s">
        <v>62</v>
      </c>
      <c r="AF1971" t="s">
        <v>62</v>
      </c>
      <c r="AG1971">
        <v>0</v>
      </c>
      <c r="AH1971">
        <v>0</v>
      </c>
      <c r="AI1971">
        <v>6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5</v>
      </c>
      <c r="AT1971">
        <v>0</v>
      </c>
      <c r="AU1971">
        <v>12</v>
      </c>
      <c r="AV1971">
        <v>12</v>
      </c>
      <c r="AW1971">
        <v>26</v>
      </c>
      <c r="AX1971">
        <v>5</v>
      </c>
      <c r="AY1971">
        <v>21</v>
      </c>
      <c r="AZ1971">
        <v>1</v>
      </c>
      <c r="BA1971" t="s">
        <v>4753</v>
      </c>
      <c r="BB1971" t="s">
        <v>4754</v>
      </c>
      <c r="BC1971">
        <v>0.65400000000000003</v>
      </c>
      <c r="BD1971" t="s">
        <v>65</v>
      </c>
      <c r="BE1971">
        <v>47</v>
      </c>
      <c r="BF1971">
        <v>6</v>
      </c>
      <c r="BG1971" t="s">
        <v>4755</v>
      </c>
      <c r="BH1971" t="s">
        <v>4756</v>
      </c>
      <c r="BI1971" t="s">
        <v>4757</v>
      </c>
      <c r="BJ1971">
        <v>3.2190000000000003E-2</v>
      </c>
      <c r="BK1971">
        <v>1</v>
      </c>
      <c r="BL1971" t="s">
        <v>69</v>
      </c>
      <c r="BM1971">
        <v>-0.92100000000000004</v>
      </c>
      <c r="BN1971">
        <v>-0.98899999999999999</v>
      </c>
    </row>
    <row r="1972" spans="2:66">
      <c r="B1972">
        <v>3460</v>
      </c>
      <c r="C1972">
        <v>196</v>
      </c>
      <c r="D1972">
        <v>0</v>
      </c>
      <c r="E1972">
        <v>2</v>
      </c>
      <c r="F1972">
        <v>1</v>
      </c>
      <c r="J1972">
        <v>0</v>
      </c>
      <c r="K1972">
        <v>8</v>
      </c>
      <c r="L1972">
        <v>0</v>
      </c>
      <c r="M1972" t="s">
        <v>25022</v>
      </c>
      <c r="N1972">
        <v>766</v>
      </c>
      <c r="O1972" t="s">
        <v>4758</v>
      </c>
      <c r="P1972" t="s">
        <v>57</v>
      </c>
      <c r="Q1972">
        <v>800232</v>
      </c>
      <c r="R1972">
        <v>801140</v>
      </c>
      <c r="S1972" t="s">
        <v>3798</v>
      </c>
      <c r="T1972">
        <v>303</v>
      </c>
      <c r="U1972" t="s">
        <v>108</v>
      </c>
      <c r="V1972">
        <v>44</v>
      </c>
      <c r="W1972" t="str">
        <f>HYPERLINK("Gene766-zp_tree_all.dnd", "Gene766-tree")</f>
        <v>Gene766-tree</v>
      </c>
      <c r="X1972">
        <v>6</v>
      </c>
      <c r="Y1972">
        <v>9</v>
      </c>
      <c r="Z1972">
        <v>6</v>
      </c>
      <c r="AA1972">
        <v>9</v>
      </c>
      <c r="AB1972">
        <v>0.6</v>
      </c>
      <c r="AC1972" t="s">
        <v>90</v>
      </c>
      <c r="AD1972" t="s">
        <v>135</v>
      </c>
      <c r="AE1972" t="s">
        <v>62</v>
      </c>
      <c r="AF1972" t="s">
        <v>62</v>
      </c>
      <c r="AG1972">
        <v>3</v>
      </c>
      <c r="AH1972">
        <v>8</v>
      </c>
      <c r="AI1972">
        <v>9</v>
      </c>
      <c r="AJ1972">
        <v>0.47059000000000001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4</v>
      </c>
      <c r="AQ1972">
        <v>0</v>
      </c>
      <c r="AR1972">
        <v>4</v>
      </c>
      <c r="AS1972">
        <v>9</v>
      </c>
      <c r="AT1972">
        <v>0.30769000000000002</v>
      </c>
      <c r="AU1972">
        <v>14</v>
      </c>
      <c r="AV1972">
        <v>9</v>
      </c>
      <c r="AW1972">
        <v>28</v>
      </c>
      <c r="AX1972">
        <v>13</v>
      </c>
      <c r="AY1972">
        <v>18</v>
      </c>
      <c r="AZ1972">
        <v>4</v>
      </c>
      <c r="BA1972" t="s">
        <v>4759</v>
      </c>
      <c r="BB1972" t="s">
        <v>4760</v>
      </c>
      <c r="BC1972">
        <v>0.89300000000000002</v>
      </c>
      <c r="BD1972" t="s">
        <v>65</v>
      </c>
      <c r="BE1972">
        <v>46</v>
      </c>
      <c r="BF1972">
        <v>17</v>
      </c>
      <c r="BG1972" t="s">
        <v>4761</v>
      </c>
      <c r="BH1972" t="s">
        <v>4762</v>
      </c>
      <c r="BI1972" t="s">
        <v>4763</v>
      </c>
      <c r="BJ1972">
        <v>0.10317999999999999</v>
      </c>
      <c r="BK1972">
        <v>1</v>
      </c>
      <c r="BL1972" t="s">
        <v>69</v>
      </c>
      <c r="BM1972">
        <v>-0.54800000000000004</v>
      </c>
      <c r="BN1972">
        <v>-0.70699999999999996</v>
      </c>
    </row>
    <row r="1973" spans="2:66">
      <c r="B1973">
        <v>3463</v>
      </c>
      <c r="C1973">
        <v>61</v>
      </c>
      <c r="D1973">
        <v>0</v>
      </c>
      <c r="E1973">
        <v>11</v>
      </c>
      <c r="F1973">
        <v>0</v>
      </c>
      <c r="J1973">
        <v>0</v>
      </c>
      <c r="K1973">
        <v>2</v>
      </c>
      <c r="L1973">
        <v>0</v>
      </c>
      <c r="M1973" t="s">
        <v>25022</v>
      </c>
      <c r="N1973">
        <v>767</v>
      </c>
      <c r="O1973" t="s">
        <v>4764</v>
      </c>
      <c r="P1973" t="s">
        <v>57</v>
      </c>
      <c r="Q1973">
        <v>801172</v>
      </c>
      <c r="R1973">
        <v>802347</v>
      </c>
      <c r="S1973" t="s">
        <v>4765</v>
      </c>
      <c r="T1973">
        <v>392</v>
      </c>
      <c r="U1973" t="s">
        <v>108</v>
      </c>
      <c r="V1973">
        <v>44</v>
      </c>
      <c r="W1973" t="str">
        <f>HYPERLINK("Gene767-zp_tree_all.dnd", "Gene767-tree")</f>
        <v>Gene767-tree</v>
      </c>
      <c r="X1973">
        <v>7</v>
      </c>
      <c r="Y1973">
        <v>5</v>
      </c>
      <c r="Z1973">
        <v>7</v>
      </c>
      <c r="AA1973">
        <v>5</v>
      </c>
      <c r="AB1973">
        <v>0.41666999999999998</v>
      </c>
      <c r="AC1973" t="s">
        <v>152</v>
      </c>
      <c r="AD1973" t="s">
        <v>199</v>
      </c>
      <c r="AE1973" t="s">
        <v>62</v>
      </c>
      <c r="AF1973" t="s">
        <v>62</v>
      </c>
      <c r="AG1973">
        <v>1</v>
      </c>
      <c r="AH1973">
        <v>2</v>
      </c>
      <c r="AI1973">
        <v>8</v>
      </c>
      <c r="AJ1973">
        <v>0.2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7</v>
      </c>
      <c r="AT1973">
        <v>0</v>
      </c>
      <c r="AU1973">
        <v>11</v>
      </c>
      <c r="AV1973">
        <v>7</v>
      </c>
      <c r="AW1973">
        <v>25</v>
      </c>
      <c r="AX1973">
        <v>7</v>
      </c>
      <c r="AY1973">
        <v>23</v>
      </c>
      <c r="AZ1973">
        <v>3</v>
      </c>
      <c r="BA1973" t="s">
        <v>4766</v>
      </c>
      <c r="BB1973" t="s">
        <v>4767</v>
      </c>
      <c r="BC1973">
        <v>0.58499999999999996</v>
      </c>
      <c r="BD1973" t="s">
        <v>65</v>
      </c>
      <c r="BE1973">
        <v>48</v>
      </c>
      <c r="BF1973">
        <v>10</v>
      </c>
      <c r="BG1973" t="s">
        <v>4768</v>
      </c>
      <c r="BH1973" t="s">
        <v>4769</v>
      </c>
      <c r="BI1973" t="s">
        <v>4770</v>
      </c>
      <c r="BJ1973">
        <v>5.1409999999999997E-2</v>
      </c>
      <c r="BK1973">
        <v>1</v>
      </c>
      <c r="BL1973" t="s">
        <v>69</v>
      </c>
      <c r="BM1973">
        <v>-0.47699999999999998</v>
      </c>
      <c r="BN1973">
        <v>-0.16700000000000001</v>
      </c>
    </row>
    <row r="1974" spans="2:66">
      <c r="B1974">
        <v>3464</v>
      </c>
      <c r="C1974">
        <v>64</v>
      </c>
      <c r="D1974">
        <v>0</v>
      </c>
      <c r="E1974">
        <v>14</v>
      </c>
      <c r="F1974">
        <v>0</v>
      </c>
      <c r="J1974">
        <v>0</v>
      </c>
      <c r="K1974">
        <v>2</v>
      </c>
      <c r="L1974">
        <v>0</v>
      </c>
      <c r="M1974" t="s">
        <v>25022</v>
      </c>
      <c r="N1974">
        <v>768</v>
      </c>
      <c r="O1974" t="s">
        <v>4771</v>
      </c>
      <c r="P1974" t="s">
        <v>57</v>
      </c>
      <c r="Q1974">
        <v>802351</v>
      </c>
      <c r="R1974">
        <v>803283</v>
      </c>
      <c r="S1974" t="s">
        <v>4765</v>
      </c>
      <c r="T1974">
        <v>311</v>
      </c>
      <c r="U1974" t="s">
        <v>108</v>
      </c>
      <c r="V1974">
        <v>44</v>
      </c>
      <c r="W1974" t="str">
        <f>HYPERLINK("Gene768-zp_tree_all.dnd", "Gene768-tree")</f>
        <v>Gene768-tree</v>
      </c>
      <c r="X1974">
        <v>9</v>
      </c>
      <c r="Y1974">
        <v>5</v>
      </c>
      <c r="Z1974">
        <v>9</v>
      </c>
      <c r="AA1974">
        <v>5</v>
      </c>
      <c r="AB1974">
        <v>0.35714000000000001</v>
      </c>
      <c r="AC1974" t="s">
        <v>135</v>
      </c>
      <c r="AD1974" t="s">
        <v>199</v>
      </c>
      <c r="AE1974" t="s">
        <v>62</v>
      </c>
      <c r="AF1974" t="s">
        <v>62</v>
      </c>
      <c r="AG1974">
        <v>1</v>
      </c>
      <c r="AH1974">
        <v>2</v>
      </c>
      <c r="AI1974">
        <v>9</v>
      </c>
      <c r="AJ1974">
        <v>0.18182000000000001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8</v>
      </c>
      <c r="AT1974">
        <v>0</v>
      </c>
      <c r="AU1974">
        <v>11</v>
      </c>
      <c r="AV1974">
        <v>9</v>
      </c>
      <c r="AW1974">
        <v>24</v>
      </c>
      <c r="AX1974">
        <v>8</v>
      </c>
      <c r="AY1974">
        <v>17</v>
      </c>
      <c r="AZ1974">
        <v>3</v>
      </c>
      <c r="BA1974" t="s">
        <v>4772</v>
      </c>
      <c r="BB1974" t="s">
        <v>4773</v>
      </c>
      <c r="BC1974">
        <v>0.48199999999999998</v>
      </c>
      <c r="BD1974" t="s">
        <v>65</v>
      </c>
      <c r="BE1974">
        <v>41</v>
      </c>
      <c r="BF1974">
        <v>11</v>
      </c>
      <c r="BG1974" t="s">
        <v>4774</v>
      </c>
      <c r="BH1974" t="s">
        <v>4775</v>
      </c>
      <c r="BI1974" t="s">
        <v>4776</v>
      </c>
      <c r="BJ1974">
        <v>7.8700000000000006E-2</v>
      </c>
      <c r="BK1974">
        <v>1</v>
      </c>
      <c r="BL1974" t="s">
        <v>69</v>
      </c>
      <c r="BM1974">
        <v>-0.7</v>
      </c>
      <c r="BN1974">
        <v>-1.421</v>
      </c>
    </row>
    <row r="1975" spans="2:66">
      <c r="B1975">
        <v>3465</v>
      </c>
      <c r="C1975">
        <v>61</v>
      </c>
      <c r="D1975">
        <v>0</v>
      </c>
      <c r="E1975">
        <v>2</v>
      </c>
      <c r="F1975">
        <v>2</v>
      </c>
      <c r="J1975">
        <v>0</v>
      </c>
      <c r="K1975">
        <v>5</v>
      </c>
      <c r="L1975">
        <v>0</v>
      </c>
      <c r="M1975" t="s">
        <v>25022</v>
      </c>
      <c r="N1975">
        <v>772</v>
      </c>
      <c r="O1975" t="s">
        <v>4797</v>
      </c>
      <c r="P1975" t="s">
        <v>57</v>
      </c>
      <c r="Q1975">
        <v>807091</v>
      </c>
      <c r="R1975">
        <v>808545</v>
      </c>
      <c r="S1975" t="s">
        <v>4798</v>
      </c>
      <c r="T1975">
        <v>485</v>
      </c>
      <c r="U1975" t="s">
        <v>108</v>
      </c>
      <c r="V1975">
        <v>44</v>
      </c>
      <c r="W1975" t="str">
        <f>HYPERLINK("Gene772-zp_tree_all.dnd", "Gene772-tree")</f>
        <v>Gene772-tree</v>
      </c>
      <c r="X1975">
        <v>28</v>
      </c>
      <c r="Y1975">
        <v>5</v>
      </c>
      <c r="Z1975">
        <v>8</v>
      </c>
      <c r="AA1975">
        <v>5</v>
      </c>
      <c r="AB1975">
        <v>0.38462000000000002</v>
      </c>
      <c r="AC1975" t="s">
        <v>3778</v>
      </c>
      <c r="AD1975" t="s">
        <v>199</v>
      </c>
      <c r="AE1975" t="s">
        <v>62</v>
      </c>
      <c r="AF1975" t="s">
        <v>62</v>
      </c>
      <c r="AG1975">
        <v>2</v>
      </c>
      <c r="AH1975">
        <v>5</v>
      </c>
      <c r="AI1975">
        <v>6</v>
      </c>
      <c r="AJ1975">
        <v>0.45455000000000001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2</v>
      </c>
      <c r="AQ1975">
        <v>0</v>
      </c>
      <c r="AR1975">
        <v>2</v>
      </c>
      <c r="AS1975">
        <v>6</v>
      </c>
      <c r="AT1975">
        <v>0.25</v>
      </c>
      <c r="AU1975">
        <v>11</v>
      </c>
      <c r="AV1975">
        <v>8</v>
      </c>
      <c r="AW1975">
        <v>90</v>
      </c>
      <c r="AX1975">
        <v>8</v>
      </c>
      <c r="AY1975">
        <v>28</v>
      </c>
      <c r="AZ1975">
        <v>3</v>
      </c>
      <c r="BA1975" t="s">
        <v>4799</v>
      </c>
      <c r="BB1975" t="s">
        <v>4800</v>
      </c>
      <c r="BC1975">
        <v>0.16</v>
      </c>
      <c r="BD1975" t="s">
        <v>65</v>
      </c>
      <c r="BE1975">
        <v>118</v>
      </c>
      <c r="BF1975">
        <v>11</v>
      </c>
      <c r="BG1975" t="s">
        <v>4801</v>
      </c>
      <c r="BH1975" t="s">
        <v>4802</v>
      </c>
      <c r="BI1975" t="s">
        <v>4803</v>
      </c>
      <c r="BJ1975">
        <v>2.6450000000000001E-2</v>
      </c>
      <c r="BK1975">
        <v>1</v>
      </c>
      <c r="BL1975" t="s">
        <v>69</v>
      </c>
      <c r="BM1975">
        <v>-1.1100000000000001</v>
      </c>
      <c r="BN1975">
        <v>-1.7809999999999999</v>
      </c>
    </row>
    <row r="1976" spans="2:66">
      <c r="B1976">
        <v>3466</v>
      </c>
      <c r="C1976">
        <v>59</v>
      </c>
      <c r="D1976">
        <v>2</v>
      </c>
      <c r="E1976">
        <v>5</v>
      </c>
      <c r="F1976">
        <v>0</v>
      </c>
      <c r="J1976">
        <v>0</v>
      </c>
      <c r="K1976">
        <v>0</v>
      </c>
      <c r="L1976">
        <v>0</v>
      </c>
      <c r="M1976" t="s">
        <v>25022</v>
      </c>
      <c r="N1976">
        <v>773</v>
      </c>
      <c r="O1976" t="s">
        <v>4804</v>
      </c>
      <c r="P1976" t="s">
        <v>57</v>
      </c>
      <c r="Q1976">
        <v>808562</v>
      </c>
      <c r="R1976">
        <v>809419</v>
      </c>
      <c r="S1976" t="s">
        <v>4805</v>
      </c>
      <c r="T1976">
        <v>286</v>
      </c>
      <c r="U1976" t="s">
        <v>108</v>
      </c>
      <c r="V1976">
        <v>44</v>
      </c>
      <c r="W1976" t="str">
        <f>HYPERLINK("Gene773-zp_tree_all.dnd", "Gene773-tree")</f>
        <v>Gene773-tree</v>
      </c>
      <c r="X1976">
        <v>30</v>
      </c>
      <c r="Y1976">
        <v>3</v>
      </c>
      <c r="Z1976">
        <v>10</v>
      </c>
      <c r="AA1976">
        <v>3</v>
      </c>
      <c r="AB1976">
        <v>0.23077</v>
      </c>
      <c r="AC1976" t="s">
        <v>250</v>
      </c>
      <c r="AD1976" t="s">
        <v>324</v>
      </c>
      <c r="AE1976" t="s">
        <v>62</v>
      </c>
      <c r="AF1976" t="s">
        <v>62</v>
      </c>
      <c r="AG1976">
        <v>0</v>
      </c>
      <c r="AH1976">
        <v>0</v>
      </c>
      <c r="AI1976">
        <v>6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6</v>
      </c>
      <c r="AT1976">
        <v>0</v>
      </c>
      <c r="AU1976">
        <v>12</v>
      </c>
      <c r="AV1976">
        <v>8</v>
      </c>
      <c r="AW1976">
        <v>57</v>
      </c>
      <c r="AX1976">
        <v>6</v>
      </c>
      <c r="AY1976">
        <v>22</v>
      </c>
      <c r="AZ1976">
        <v>0</v>
      </c>
      <c r="BA1976" t="s">
        <v>4806</v>
      </c>
      <c r="BB1976" t="s">
        <v>193</v>
      </c>
      <c r="BC1976">
        <v>0.61399999999999999</v>
      </c>
      <c r="BD1976" t="s">
        <v>65</v>
      </c>
      <c r="BE1976">
        <v>79</v>
      </c>
      <c r="BF1976">
        <v>6</v>
      </c>
      <c r="BG1976" t="s">
        <v>4807</v>
      </c>
      <c r="BH1976" t="s">
        <v>4808</v>
      </c>
      <c r="BI1976" t="s">
        <v>4809</v>
      </c>
      <c r="BJ1976">
        <v>2.0379999999999999E-2</v>
      </c>
      <c r="BK1976">
        <v>1</v>
      </c>
      <c r="BL1976" t="s">
        <v>69</v>
      </c>
      <c r="BM1976">
        <v>-0.89500000000000002</v>
      </c>
      <c r="BN1976">
        <v>-1.758</v>
      </c>
    </row>
    <row r="1977" spans="2:66">
      <c r="B1977">
        <v>3467</v>
      </c>
      <c r="C1977">
        <v>226</v>
      </c>
      <c r="D1977">
        <v>0</v>
      </c>
      <c r="E1977">
        <v>2</v>
      </c>
      <c r="F1977">
        <v>2</v>
      </c>
      <c r="J1977">
        <v>0</v>
      </c>
      <c r="K1977">
        <v>16</v>
      </c>
      <c r="L1977">
        <v>1</v>
      </c>
      <c r="M1977" t="s">
        <v>25022</v>
      </c>
      <c r="N1977">
        <v>774</v>
      </c>
      <c r="O1977" t="s">
        <v>4810</v>
      </c>
      <c r="P1977" t="s">
        <v>57</v>
      </c>
      <c r="Q1977">
        <v>809557</v>
      </c>
      <c r="R1977">
        <v>811443</v>
      </c>
      <c r="S1977" t="s">
        <v>4811</v>
      </c>
      <c r="T1977">
        <v>629</v>
      </c>
      <c r="U1977" t="s">
        <v>108</v>
      </c>
      <c r="V1977">
        <v>44</v>
      </c>
      <c r="W1977" t="str">
        <f>HYPERLINK("Gene774-zp_tree_all.dnd", "Gene774-tree")</f>
        <v>Gene774-tree</v>
      </c>
      <c r="X1977">
        <v>4</v>
      </c>
      <c r="Y1977">
        <v>9</v>
      </c>
      <c r="Z1977">
        <v>4</v>
      </c>
      <c r="AA1977">
        <v>9</v>
      </c>
      <c r="AB1977">
        <v>0.69230999999999998</v>
      </c>
      <c r="AC1977" t="s">
        <v>61</v>
      </c>
      <c r="AD1977" t="s">
        <v>135</v>
      </c>
      <c r="AE1977" t="s">
        <v>62</v>
      </c>
      <c r="AF1977" t="s">
        <v>62</v>
      </c>
      <c r="AG1977">
        <v>6</v>
      </c>
      <c r="AH1977">
        <v>17</v>
      </c>
      <c r="AI1977">
        <v>14</v>
      </c>
      <c r="AJ1977">
        <v>0.54839000000000004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8</v>
      </c>
      <c r="AQ1977">
        <v>1</v>
      </c>
      <c r="AR1977">
        <v>9</v>
      </c>
      <c r="AS1977">
        <v>13</v>
      </c>
      <c r="AT1977">
        <v>0.40909000000000001</v>
      </c>
      <c r="AU1977">
        <v>12</v>
      </c>
      <c r="AV1977">
        <v>9</v>
      </c>
      <c r="AW1977">
        <v>54</v>
      </c>
      <c r="AX1977">
        <v>22</v>
      </c>
      <c r="AY1977">
        <v>28</v>
      </c>
      <c r="AZ1977">
        <v>9</v>
      </c>
      <c r="BA1977" t="s">
        <v>4812</v>
      </c>
      <c r="BB1977" t="s">
        <v>4813</v>
      </c>
      <c r="BC1977">
        <v>0.38100000000000001</v>
      </c>
      <c r="BD1977" t="s">
        <v>65</v>
      </c>
      <c r="BE1977">
        <v>82</v>
      </c>
      <c r="BF1977">
        <v>31</v>
      </c>
      <c r="BG1977" t="s">
        <v>4814</v>
      </c>
      <c r="BH1977" t="s">
        <v>4815</v>
      </c>
      <c r="BI1977" t="s">
        <v>4816</v>
      </c>
      <c r="BJ1977">
        <v>8.8410000000000002E-2</v>
      </c>
      <c r="BK1977">
        <v>1</v>
      </c>
      <c r="BL1977" t="s">
        <v>69</v>
      </c>
      <c r="BM1977">
        <v>-0.51500000000000001</v>
      </c>
      <c r="BN1977">
        <v>-2.077</v>
      </c>
    </row>
    <row r="1978" spans="2:66">
      <c r="B1978">
        <v>3468</v>
      </c>
      <c r="C1978">
        <v>33</v>
      </c>
      <c r="D1978">
        <v>0</v>
      </c>
      <c r="E1978">
        <v>2</v>
      </c>
      <c r="F1978">
        <v>2</v>
      </c>
      <c r="J1978">
        <v>0</v>
      </c>
      <c r="K1978">
        <v>8</v>
      </c>
      <c r="L1978">
        <v>0</v>
      </c>
      <c r="M1978" t="s">
        <v>25022</v>
      </c>
      <c r="N1978">
        <v>775</v>
      </c>
      <c r="O1978" t="s">
        <v>4817</v>
      </c>
      <c r="P1978" t="s">
        <v>57</v>
      </c>
      <c r="Q1978">
        <v>811569</v>
      </c>
      <c r="R1978">
        <v>812012</v>
      </c>
      <c r="S1978" t="s">
        <v>288</v>
      </c>
      <c r="T1978">
        <v>148</v>
      </c>
      <c r="U1978" t="s">
        <v>108</v>
      </c>
      <c r="V1978">
        <v>44</v>
      </c>
      <c r="W1978" t="str">
        <f>HYPERLINK("Gene775-zp_tree_all.dnd", "Gene775-tree")</f>
        <v>Gene775-tree</v>
      </c>
      <c r="X1978">
        <v>28</v>
      </c>
      <c r="Y1978">
        <v>5</v>
      </c>
      <c r="Z1978">
        <v>8</v>
      </c>
      <c r="AA1978">
        <v>5</v>
      </c>
      <c r="AB1978">
        <v>0.38462000000000002</v>
      </c>
      <c r="AC1978" t="s">
        <v>3778</v>
      </c>
      <c r="AD1978" t="s">
        <v>199</v>
      </c>
      <c r="AE1978" t="s">
        <v>62</v>
      </c>
      <c r="AF1978" t="s">
        <v>62</v>
      </c>
      <c r="AG1978">
        <v>4</v>
      </c>
      <c r="AH1978">
        <v>8</v>
      </c>
      <c r="AI1978">
        <v>8</v>
      </c>
      <c r="AJ1978">
        <v>0.5</v>
      </c>
      <c r="AK1978">
        <v>0</v>
      </c>
      <c r="AL1978">
        <v>0</v>
      </c>
      <c r="AM1978">
        <v>0</v>
      </c>
      <c r="AN1978">
        <v>4</v>
      </c>
      <c r="AO1978">
        <v>0</v>
      </c>
      <c r="AP1978">
        <v>0</v>
      </c>
      <c r="AQ1978">
        <v>0</v>
      </c>
      <c r="AR1978">
        <v>0</v>
      </c>
      <c r="AS1978">
        <v>7</v>
      </c>
      <c r="AT1978">
        <v>0</v>
      </c>
      <c r="AU1978">
        <v>10</v>
      </c>
      <c r="AV1978">
        <v>8</v>
      </c>
      <c r="AW1978">
        <v>14</v>
      </c>
      <c r="AX1978">
        <v>7</v>
      </c>
      <c r="AY1978">
        <v>8</v>
      </c>
      <c r="AZ1978">
        <v>9</v>
      </c>
      <c r="BA1978" t="s">
        <v>4818</v>
      </c>
      <c r="BB1978" t="s">
        <v>4819</v>
      </c>
      <c r="BC1978">
        <v>0.76800000000000002</v>
      </c>
      <c r="BD1978" t="s">
        <v>65</v>
      </c>
      <c r="BE1978">
        <v>22</v>
      </c>
      <c r="BF1978">
        <v>16</v>
      </c>
      <c r="BG1978" t="s">
        <v>4820</v>
      </c>
      <c r="BH1978" t="s">
        <v>4821</v>
      </c>
      <c r="BI1978" t="s">
        <v>4822</v>
      </c>
      <c r="BJ1978">
        <v>0.21706</v>
      </c>
      <c r="BK1978">
        <v>1</v>
      </c>
      <c r="BL1978" t="s">
        <v>69</v>
      </c>
      <c r="BM1978">
        <v>-1.024</v>
      </c>
      <c r="BN1978">
        <v>-1.946</v>
      </c>
    </row>
    <row r="1979" spans="2:66">
      <c r="B1979">
        <v>3469</v>
      </c>
      <c r="C1979">
        <v>207</v>
      </c>
      <c r="D1979">
        <v>0</v>
      </c>
      <c r="E1979">
        <v>5</v>
      </c>
      <c r="F1979">
        <v>0</v>
      </c>
      <c r="J1979">
        <v>0</v>
      </c>
      <c r="K1979">
        <v>0</v>
      </c>
      <c r="L1979">
        <v>2</v>
      </c>
      <c r="M1979" t="s">
        <v>25022</v>
      </c>
      <c r="N1979">
        <v>776</v>
      </c>
      <c r="O1979" t="s">
        <v>4823</v>
      </c>
      <c r="P1979" t="s">
        <v>57</v>
      </c>
      <c r="Q1979">
        <v>812140</v>
      </c>
      <c r="R1979">
        <v>812559</v>
      </c>
      <c r="S1979" t="s">
        <v>4824</v>
      </c>
      <c r="T1979">
        <v>140</v>
      </c>
      <c r="U1979" t="s">
        <v>59</v>
      </c>
      <c r="V1979">
        <v>49</v>
      </c>
      <c r="W1979" t="str">
        <f>HYPERLINK("Gene776-zp_tree_all.dnd", "Gene776-tree")</f>
        <v>Gene776-tree</v>
      </c>
      <c r="X1979">
        <v>13</v>
      </c>
      <c r="Y1979">
        <v>1</v>
      </c>
      <c r="Z1979">
        <v>13</v>
      </c>
      <c r="AA1979">
        <v>1</v>
      </c>
      <c r="AB1979">
        <v>7.1429999999999993E-2</v>
      </c>
      <c r="AC1979" t="s">
        <v>507</v>
      </c>
      <c r="AD1979" t="s">
        <v>175</v>
      </c>
      <c r="AE1979" t="s">
        <v>62</v>
      </c>
      <c r="AF1979" t="s">
        <v>62</v>
      </c>
      <c r="AG1979">
        <v>1</v>
      </c>
      <c r="AH1979">
        <v>2</v>
      </c>
      <c r="AI1979">
        <v>3</v>
      </c>
      <c r="AJ1979">
        <v>0.4</v>
      </c>
      <c r="AK1979">
        <v>0</v>
      </c>
      <c r="AL1979">
        <v>0</v>
      </c>
      <c r="AM1979">
        <v>0</v>
      </c>
      <c r="AN1979">
        <v>2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9</v>
      </c>
      <c r="AV1979">
        <v>9</v>
      </c>
      <c r="AW1979">
        <v>16</v>
      </c>
      <c r="AX1979">
        <v>1</v>
      </c>
      <c r="AY1979">
        <v>14</v>
      </c>
      <c r="AZ1979">
        <v>6</v>
      </c>
      <c r="BA1979" t="s">
        <v>4825</v>
      </c>
      <c r="BB1979" t="s">
        <v>4826</v>
      </c>
      <c r="BC1979">
        <v>1.026</v>
      </c>
      <c r="BD1979" t="s">
        <v>65</v>
      </c>
      <c r="BE1979">
        <v>30</v>
      </c>
      <c r="BF1979">
        <v>7</v>
      </c>
      <c r="BG1979" t="s">
        <v>4827</v>
      </c>
      <c r="BH1979" t="s">
        <v>4828</v>
      </c>
      <c r="BI1979" t="s">
        <v>4829</v>
      </c>
      <c r="BJ1979">
        <v>0.10215</v>
      </c>
      <c r="BK1979">
        <v>1</v>
      </c>
      <c r="BL1979" t="s">
        <v>69</v>
      </c>
      <c r="BM1979">
        <v>-0.60199999999999998</v>
      </c>
      <c r="BN1979">
        <v>-0.44700000000000001</v>
      </c>
    </row>
    <row r="1980" spans="2:66">
      <c r="B1980">
        <v>3470</v>
      </c>
      <c r="C1980">
        <v>353</v>
      </c>
      <c r="D1980">
        <v>0</v>
      </c>
      <c r="E1980">
        <v>4</v>
      </c>
      <c r="F1980">
        <v>0</v>
      </c>
      <c r="J1980">
        <v>0</v>
      </c>
      <c r="K1980">
        <v>7</v>
      </c>
      <c r="L1980">
        <v>2</v>
      </c>
      <c r="M1980" t="s">
        <v>25022</v>
      </c>
      <c r="N1980">
        <v>777</v>
      </c>
      <c r="O1980" t="s">
        <v>4830</v>
      </c>
      <c r="P1980" t="s">
        <v>57</v>
      </c>
      <c r="Q1980">
        <v>812628</v>
      </c>
      <c r="R1980">
        <v>813815</v>
      </c>
      <c r="S1980" t="s">
        <v>4831</v>
      </c>
      <c r="T1980">
        <v>396</v>
      </c>
      <c r="U1980" t="s">
        <v>72</v>
      </c>
      <c r="V1980">
        <v>45</v>
      </c>
      <c r="W1980" t="str">
        <f>HYPERLINK("Gene777-zp_tree_all.dnd", "Gene777-tree")</f>
        <v>Gene777-tree</v>
      </c>
      <c r="X1980">
        <v>6</v>
      </c>
      <c r="Y1980">
        <v>9</v>
      </c>
      <c r="Z1980">
        <v>6</v>
      </c>
      <c r="AA1980">
        <v>9</v>
      </c>
      <c r="AB1980">
        <v>0.6</v>
      </c>
      <c r="AC1980" t="s">
        <v>90</v>
      </c>
      <c r="AD1980" t="s">
        <v>135</v>
      </c>
      <c r="AE1980" t="s">
        <v>62</v>
      </c>
      <c r="AF1980" t="s">
        <v>62</v>
      </c>
      <c r="AG1980">
        <v>3</v>
      </c>
      <c r="AH1980">
        <v>9</v>
      </c>
      <c r="AI1980">
        <v>9</v>
      </c>
      <c r="AJ1980">
        <v>0.5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5</v>
      </c>
      <c r="AQ1980">
        <v>0</v>
      </c>
      <c r="AR1980">
        <v>5</v>
      </c>
      <c r="AS1980">
        <v>8</v>
      </c>
      <c r="AT1980">
        <v>0.38462000000000002</v>
      </c>
      <c r="AU1980">
        <v>13</v>
      </c>
      <c r="AV1980">
        <v>11</v>
      </c>
      <c r="AW1980">
        <v>92</v>
      </c>
      <c r="AX1980">
        <v>13</v>
      </c>
      <c r="AY1980">
        <v>85</v>
      </c>
      <c r="AZ1980">
        <v>6</v>
      </c>
      <c r="BA1980" t="s">
        <v>4832</v>
      </c>
      <c r="BB1980" t="s">
        <v>4833</v>
      </c>
      <c r="BC1980">
        <v>0.82799999999999996</v>
      </c>
      <c r="BD1980" t="s">
        <v>65</v>
      </c>
      <c r="BE1980">
        <v>177</v>
      </c>
      <c r="BF1980">
        <v>19</v>
      </c>
      <c r="BG1980" t="s">
        <v>4834</v>
      </c>
      <c r="BH1980" t="s">
        <v>4835</v>
      </c>
      <c r="BI1980" t="s">
        <v>4836</v>
      </c>
      <c r="BJ1980">
        <v>2.9389999999999999E-2</v>
      </c>
      <c r="BK1980">
        <v>1</v>
      </c>
      <c r="BL1980" t="s">
        <v>69</v>
      </c>
      <c r="BM1980">
        <v>-0.26800000000000002</v>
      </c>
      <c r="BN1980">
        <v>-1.5760000000000001</v>
      </c>
    </row>
    <row r="1981" spans="2:66">
      <c r="B1981">
        <v>3471</v>
      </c>
      <c r="C1981">
        <v>60</v>
      </c>
      <c r="D1981">
        <v>0</v>
      </c>
      <c r="E1981">
        <v>17</v>
      </c>
      <c r="F1981">
        <v>1</v>
      </c>
      <c r="J1981">
        <v>0</v>
      </c>
      <c r="K1981">
        <v>2</v>
      </c>
      <c r="L1981">
        <v>1</v>
      </c>
      <c r="M1981" t="s">
        <v>25022</v>
      </c>
      <c r="N1981">
        <v>778</v>
      </c>
      <c r="O1981" t="s">
        <v>4837</v>
      </c>
      <c r="P1981" t="s">
        <v>57</v>
      </c>
      <c r="Q1981">
        <v>814109</v>
      </c>
      <c r="R1981">
        <v>814261</v>
      </c>
      <c r="S1981" t="s">
        <v>2302</v>
      </c>
      <c r="T1981">
        <v>51</v>
      </c>
      <c r="U1981" t="s">
        <v>4838</v>
      </c>
      <c r="V1981">
        <v>32</v>
      </c>
      <c r="W1981" t="str">
        <f>HYPERLINK("Gene778-zp_tree_all.dnd", "Gene778-tree")</f>
        <v>Gene778-tree</v>
      </c>
      <c r="X1981">
        <v>0</v>
      </c>
      <c r="Y1981">
        <v>25</v>
      </c>
      <c r="Z1981">
        <v>0</v>
      </c>
      <c r="AA1981">
        <v>5</v>
      </c>
      <c r="AB1981">
        <v>1</v>
      </c>
      <c r="AC1981" t="s">
        <v>62</v>
      </c>
      <c r="AD1981" t="s">
        <v>4839</v>
      </c>
      <c r="AE1981">
        <v>6.069</v>
      </c>
      <c r="AF1981" t="s">
        <v>65</v>
      </c>
      <c r="AG1981">
        <v>1</v>
      </c>
      <c r="AH1981">
        <v>3</v>
      </c>
      <c r="AI1981">
        <v>4</v>
      </c>
      <c r="AJ1981">
        <v>0.42857000000000001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2</v>
      </c>
      <c r="AQ1981">
        <v>1</v>
      </c>
      <c r="AR1981">
        <v>3</v>
      </c>
      <c r="AS1981">
        <v>4</v>
      </c>
      <c r="AT1981">
        <v>0.42857000000000001</v>
      </c>
      <c r="AU1981">
        <v>4</v>
      </c>
      <c r="AV1981">
        <v>1</v>
      </c>
      <c r="AW1981">
        <v>4</v>
      </c>
      <c r="AX1981">
        <v>6</v>
      </c>
      <c r="AY1981">
        <v>0</v>
      </c>
      <c r="AZ1981">
        <v>1</v>
      </c>
      <c r="BA1981" t="s">
        <v>4840</v>
      </c>
      <c r="BB1981" t="s">
        <v>193</v>
      </c>
      <c r="BC1981">
        <v>1.0649999999999999</v>
      </c>
      <c r="BD1981" t="s">
        <v>65</v>
      </c>
      <c r="BE1981">
        <v>4</v>
      </c>
      <c r="BF1981">
        <v>7</v>
      </c>
      <c r="BG1981" t="s">
        <v>4841</v>
      </c>
      <c r="BH1981" t="s">
        <v>4842</v>
      </c>
      <c r="BI1981" t="s">
        <v>4843</v>
      </c>
      <c r="BJ1981">
        <v>0.40315000000000001</v>
      </c>
      <c r="BK1981">
        <v>0.91600000000000004</v>
      </c>
      <c r="BL1981" t="s">
        <v>635</v>
      </c>
      <c r="BM1981">
        <v>-0.151</v>
      </c>
      <c r="BN1981">
        <v>-0.78800000000000003</v>
      </c>
    </row>
    <row r="1982" spans="2:66">
      <c r="B1982">
        <v>3472</v>
      </c>
      <c r="C1982">
        <v>113</v>
      </c>
      <c r="D1982">
        <v>0</v>
      </c>
      <c r="E1982">
        <v>48</v>
      </c>
      <c r="F1982">
        <v>6</v>
      </c>
      <c r="J1982">
        <v>0</v>
      </c>
      <c r="K1982">
        <v>10</v>
      </c>
      <c r="L1982">
        <v>2</v>
      </c>
      <c r="M1982" t="s">
        <v>25022</v>
      </c>
      <c r="N1982">
        <v>780</v>
      </c>
      <c r="O1982" t="s">
        <v>4850</v>
      </c>
      <c r="P1982" t="s">
        <v>57</v>
      </c>
      <c r="Q1982">
        <v>816113</v>
      </c>
      <c r="R1982">
        <v>817240</v>
      </c>
      <c r="S1982" t="s">
        <v>4851</v>
      </c>
      <c r="T1982">
        <v>376</v>
      </c>
      <c r="U1982" t="s">
        <v>108</v>
      </c>
      <c r="V1982">
        <v>44</v>
      </c>
      <c r="W1982" t="str">
        <f>HYPERLINK("Gene780-zp_tree_all.dnd", "Gene780-tree")</f>
        <v>Gene780-tree</v>
      </c>
      <c r="X1982">
        <v>6</v>
      </c>
      <c r="Y1982">
        <v>8</v>
      </c>
      <c r="Z1982">
        <v>6</v>
      </c>
      <c r="AA1982">
        <v>8</v>
      </c>
      <c r="AB1982">
        <v>0.57142999999999999</v>
      </c>
      <c r="AC1982" t="s">
        <v>90</v>
      </c>
      <c r="AD1982" t="s">
        <v>136</v>
      </c>
      <c r="AE1982" t="s">
        <v>62</v>
      </c>
      <c r="AF1982" t="s">
        <v>62</v>
      </c>
      <c r="AG1982">
        <v>6</v>
      </c>
      <c r="AH1982">
        <v>12</v>
      </c>
      <c r="AI1982">
        <v>14</v>
      </c>
      <c r="AJ1982">
        <v>0.46154000000000001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15</v>
      </c>
      <c r="AT1982">
        <v>0</v>
      </c>
      <c r="AU1982">
        <v>12</v>
      </c>
      <c r="AV1982">
        <v>11</v>
      </c>
      <c r="AW1982">
        <v>41</v>
      </c>
      <c r="AX1982">
        <v>15</v>
      </c>
      <c r="AY1982">
        <v>63</v>
      </c>
      <c r="AZ1982">
        <v>11</v>
      </c>
      <c r="BA1982" t="s">
        <v>4852</v>
      </c>
      <c r="BB1982" t="s">
        <v>4853</v>
      </c>
      <c r="BC1982">
        <v>0.435</v>
      </c>
      <c r="BD1982" t="s">
        <v>65</v>
      </c>
      <c r="BE1982">
        <v>104</v>
      </c>
      <c r="BF1982">
        <v>26</v>
      </c>
      <c r="BG1982" t="s">
        <v>4854</v>
      </c>
      <c r="BH1982" t="s">
        <v>4855</v>
      </c>
      <c r="BI1982" t="s">
        <v>4856</v>
      </c>
      <c r="BJ1982">
        <v>5.9580000000000001E-2</v>
      </c>
      <c r="BK1982">
        <v>1</v>
      </c>
      <c r="BL1982" t="s">
        <v>69</v>
      </c>
      <c r="BM1982">
        <v>0.28599999999999998</v>
      </c>
      <c r="BN1982">
        <v>-0.82199999999999995</v>
      </c>
    </row>
    <row r="1983" spans="2:66">
      <c r="B1983">
        <v>3474</v>
      </c>
      <c r="C1983">
        <v>127</v>
      </c>
      <c r="D1983">
        <v>0</v>
      </c>
      <c r="E1983">
        <v>2</v>
      </c>
      <c r="F1983">
        <v>0</v>
      </c>
      <c r="J1983">
        <v>0</v>
      </c>
      <c r="K1983">
        <v>2</v>
      </c>
      <c r="L1983">
        <v>6</v>
      </c>
      <c r="M1983" t="s">
        <v>25022</v>
      </c>
      <c r="N1983">
        <v>781</v>
      </c>
      <c r="O1983" t="s">
        <v>4857</v>
      </c>
      <c r="P1983" t="s">
        <v>57</v>
      </c>
      <c r="Q1983">
        <v>817311</v>
      </c>
      <c r="R1983">
        <v>817754</v>
      </c>
      <c r="S1983" t="s">
        <v>3537</v>
      </c>
      <c r="T1983">
        <v>148</v>
      </c>
      <c r="U1983" t="s">
        <v>4858</v>
      </c>
      <c r="V1983">
        <v>34</v>
      </c>
      <c r="W1983" t="str">
        <f>HYPERLINK("Gene781-zp_tree_all.dnd", "Gene781-tree")</f>
        <v>Gene781-tree</v>
      </c>
      <c r="X1983">
        <v>2</v>
      </c>
      <c r="Y1983">
        <v>7</v>
      </c>
      <c r="Z1983">
        <v>2</v>
      </c>
      <c r="AA1983">
        <v>7</v>
      </c>
      <c r="AB1983">
        <v>0.77778000000000003</v>
      </c>
      <c r="AC1983" t="s">
        <v>81</v>
      </c>
      <c r="AD1983" t="s">
        <v>152</v>
      </c>
      <c r="AE1983" t="s">
        <v>62</v>
      </c>
      <c r="AF1983" t="s">
        <v>62</v>
      </c>
      <c r="AG1983">
        <v>4</v>
      </c>
      <c r="AH1983">
        <v>8</v>
      </c>
      <c r="AI1983">
        <v>11</v>
      </c>
      <c r="AJ1983">
        <v>0.42104999999999998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4</v>
      </c>
      <c r="AR1983">
        <v>4</v>
      </c>
      <c r="AS1983">
        <v>9</v>
      </c>
      <c r="AT1983">
        <v>0.30769000000000002</v>
      </c>
      <c r="AU1983">
        <v>7</v>
      </c>
      <c r="AV1983">
        <v>5</v>
      </c>
      <c r="AW1983">
        <v>12</v>
      </c>
      <c r="AX1983">
        <v>8</v>
      </c>
      <c r="AY1983">
        <v>12</v>
      </c>
      <c r="AZ1983">
        <v>11</v>
      </c>
      <c r="BA1983" t="s">
        <v>4859</v>
      </c>
      <c r="BB1983" t="s">
        <v>4860</v>
      </c>
      <c r="BC1983">
        <v>0.53400000000000003</v>
      </c>
      <c r="BD1983" t="s">
        <v>65</v>
      </c>
      <c r="BE1983">
        <v>24</v>
      </c>
      <c r="BF1983">
        <v>19</v>
      </c>
      <c r="BG1983" t="s">
        <v>4861</v>
      </c>
      <c r="BH1983" t="s">
        <v>4862</v>
      </c>
      <c r="BI1983" t="s">
        <v>4863</v>
      </c>
      <c r="BJ1983">
        <v>0.24127000000000001</v>
      </c>
      <c r="BK1983">
        <v>1</v>
      </c>
      <c r="BL1983" t="s">
        <v>69</v>
      </c>
      <c r="BM1983">
        <v>-0.49099999999999999</v>
      </c>
      <c r="BN1983">
        <v>-1.292</v>
      </c>
    </row>
    <row r="1984" spans="2:66">
      <c r="B1984">
        <v>3476</v>
      </c>
      <c r="C1984">
        <v>260</v>
      </c>
      <c r="D1984">
        <v>0</v>
      </c>
      <c r="E1984">
        <v>23</v>
      </c>
      <c r="F1984">
        <v>1</v>
      </c>
      <c r="J1984">
        <v>0</v>
      </c>
      <c r="K1984">
        <v>0</v>
      </c>
      <c r="L1984">
        <v>0</v>
      </c>
      <c r="M1984" t="s">
        <v>25022</v>
      </c>
      <c r="N1984">
        <v>790</v>
      </c>
      <c r="O1984" t="s">
        <v>4910</v>
      </c>
      <c r="P1984" t="s">
        <v>57</v>
      </c>
      <c r="Q1984">
        <v>827455</v>
      </c>
      <c r="R1984">
        <v>827799</v>
      </c>
      <c r="S1984" t="s">
        <v>4911</v>
      </c>
      <c r="T1984">
        <v>115</v>
      </c>
      <c r="U1984" t="s">
        <v>1933</v>
      </c>
      <c r="V1984">
        <v>39</v>
      </c>
      <c r="W1984" t="str">
        <f>HYPERLINK("Gene790-zp_tree_all.dnd", "Gene790-tree")</f>
        <v>Gene790-tree</v>
      </c>
      <c r="X1984">
        <v>28</v>
      </c>
      <c r="Y1984">
        <v>1</v>
      </c>
      <c r="Z1984">
        <v>8</v>
      </c>
      <c r="AA1984">
        <v>1</v>
      </c>
      <c r="AB1984">
        <v>0.11111</v>
      </c>
      <c r="AC1984" t="s">
        <v>3778</v>
      </c>
      <c r="AD1984" t="s">
        <v>175</v>
      </c>
      <c r="AE1984" t="s">
        <v>62</v>
      </c>
      <c r="AF1984" t="s">
        <v>62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6</v>
      </c>
      <c r="AV1984">
        <v>4</v>
      </c>
      <c r="AW1984">
        <v>8</v>
      </c>
      <c r="AX1984">
        <v>1</v>
      </c>
      <c r="AY1984">
        <v>4</v>
      </c>
      <c r="AZ1984">
        <v>0</v>
      </c>
      <c r="BA1984" t="s">
        <v>4912</v>
      </c>
      <c r="BB1984" t="s">
        <v>193</v>
      </c>
      <c r="BC1984">
        <v>0.47799999999999998</v>
      </c>
      <c r="BD1984" t="s">
        <v>65</v>
      </c>
      <c r="BE1984">
        <v>12</v>
      </c>
      <c r="BF1984">
        <v>1</v>
      </c>
      <c r="BG1984" t="s">
        <v>4913</v>
      </c>
      <c r="BH1984" t="s">
        <v>4914</v>
      </c>
      <c r="BI1984" t="s">
        <v>4915</v>
      </c>
      <c r="BJ1984">
        <v>1.506E-2</v>
      </c>
      <c r="BK1984">
        <v>1</v>
      </c>
      <c r="BL1984" t="s">
        <v>69</v>
      </c>
      <c r="BM1984">
        <v>0.60199999999999998</v>
      </c>
      <c r="BN1984">
        <v>0.55100000000000005</v>
      </c>
    </row>
    <row r="1985" spans="2:66">
      <c r="B1985">
        <v>3480</v>
      </c>
      <c r="C1985">
        <v>12</v>
      </c>
      <c r="D1985">
        <v>0</v>
      </c>
      <c r="E1985">
        <v>13</v>
      </c>
      <c r="F1985">
        <v>0</v>
      </c>
      <c r="J1985">
        <v>0</v>
      </c>
      <c r="K1985">
        <v>0</v>
      </c>
      <c r="L1985">
        <v>0</v>
      </c>
      <c r="M1985" t="s">
        <v>25022</v>
      </c>
      <c r="N1985">
        <v>791</v>
      </c>
      <c r="O1985" t="s">
        <v>4916</v>
      </c>
      <c r="P1985" t="s">
        <v>57</v>
      </c>
      <c r="Q1985">
        <v>827993</v>
      </c>
      <c r="R1985">
        <v>829252</v>
      </c>
      <c r="S1985" t="s">
        <v>4917</v>
      </c>
      <c r="T1985">
        <v>420</v>
      </c>
      <c r="U1985" t="s">
        <v>108</v>
      </c>
      <c r="V1985">
        <v>44</v>
      </c>
      <c r="W1985" t="str">
        <f>HYPERLINK("Gene791-zp_tree_all.dnd", "Gene791-tree")</f>
        <v>Gene791-tree</v>
      </c>
      <c r="X1985">
        <v>6</v>
      </c>
      <c r="Y1985">
        <v>8</v>
      </c>
      <c r="Z1985">
        <v>6</v>
      </c>
      <c r="AA1985">
        <v>8</v>
      </c>
      <c r="AB1985">
        <v>0.57142999999999999</v>
      </c>
      <c r="AC1985" t="s">
        <v>90</v>
      </c>
      <c r="AD1985" t="s">
        <v>136</v>
      </c>
      <c r="AE1985" t="s">
        <v>62</v>
      </c>
      <c r="AF1985" t="s">
        <v>62</v>
      </c>
      <c r="AG1985">
        <v>0</v>
      </c>
      <c r="AH1985">
        <v>0</v>
      </c>
      <c r="AI1985">
        <v>10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10</v>
      </c>
      <c r="AT1985">
        <v>0</v>
      </c>
      <c r="AU1985">
        <v>14</v>
      </c>
      <c r="AV1985">
        <v>8</v>
      </c>
      <c r="AW1985">
        <v>43</v>
      </c>
      <c r="AX1985">
        <v>10</v>
      </c>
      <c r="AY1985">
        <v>23</v>
      </c>
      <c r="AZ1985">
        <v>0</v>
      </c>
      <c r="BA1985" t="s">
        <v>4918</v>
      </c>
      <c r="BB1985" t="s">
        <v>193</v>
      </c>
      <c r="BC1985">
        <v>1.48</v>
      </c>
      <c r="BD1985" t="s">
        <v>65</v>
      </c>
      <c r="BE1985">
        <v>66</v>
      </c>
      <c r="BF1985">
        <v>10</v>
      </c>
      <c r="BG1985" t="s">
        <v>4919</v>
      </c>
      <c r="BH1985" t="s">
        <v>4920</v>
      </c>
      <c r="BI1985" t="s">
        <v>4921</v>
      </c>
      <c r="BJ1985">
        <v>3.7150000000000002E-2</v>
      </c>
      <c r="BK1985">
        <v>1</v>
      </c>
      <c r="BL1985" t="s">
        <v>69</v>
      </c>
      <c r="BM1985">
        <v>-1.6639999999999999</v>
      </c>
      <c r="BN1985">
        <v>-2.0859999999999999</v>
      </c>
    </row>
    <row r="1986" spans="2:66">
      <c r="B1986">
        <v>3481</v>
      </c>
      <c r="C1986">
        <v>178</v>
      </c>
      <c r="D1986">
        <v>0</v>
      </c>
      <c r="E1986">
        <v>2</v>
      </c>
      <c r="F1986">
        <v>0</v>
      </c>
      <c r="J1986">
        <v>0</v>
      </c>
      <c r="K1986">
        <v>5</v>
      </c>
      <c r="L1986">
        <v>0</v>
      </c>
      <c r="M1986" t="s">
        <v>25022</v>
      </c>
      <c r="N1986">
        <v>792</v>
      </c>
      <c r="O1986" t="s">
        <v>4922</v>
      </c>
      <c r="P1986" t="s">
        <v>57</v>
      </c>
      <c r="Q1986">
        <v>829382</v>
      </c>
      <c r="R1986">
        <v>830815</v>
      </c>
      <c r="S1986" t="s">
        <v>4923</v>
      </c>
      <c r="T1986">
        <v>478</v>
      </c>
      <c r="U1986" t="s">
        <v>59</v>
      </c>
      <c r="V1986">
        <v>49</v>
      </c>
      <c r="W1986" t="str">
        <f>HYPERLINK("Gene792-zp_tree_all.dnd", "Gene792-tree")</f>
        <v>Gene792-tree</v>
      </c>
      <c r="X1986">
        <v>14</v>
      </c>
      <c r="Y1986">
        <v>8</v>
      </c>
      <c r="Z1986">
        <v>14</v>
      </c>
      <c r="AA1986">
        <v>8</v>
      </c>
      <c r="AB1986">
        <v>0.36364000000000002</v>
      </c>
      <c r="AC1986" t="s">
        <v>543</v>
      </c>
      <c r="AD1986" t="s">
        <v>136</v>
      </c>
      <c r="AE1986" t="s">
        <v>62</v>
      </c>
      <c r="AF1986" t="s">
        <v>62</v>
      </c>
      <c r="AG1986">
        <v>1</v>
      </c>
      <c r="AH1986">
        <v>5</v>
      </c>
      <c r="AI1986">
        <v>18</v>
      </c>
      <c r="AJ1986">
        <v>0.21739</v>
      </c>
      <c r="AK1986">
        <v>0</v>
      </c>
      <c r="AL1986">
        <v>0</v>
      </c>
      <c r="AM1986">
        <v>0</v>
      </c>
      <c r="AN1986">
        <v>5</v>
      </c>
      <c r="AO1986">
        <v>0</v>
      </c>
      <c r="AP1986">
        <v>0</v>
      </c>
      <c r="AQ1986">
        <v>0</v>
      </c>
      <c r="AR1986">
        <v>0</v>
      </c>
      <c r="AS1986">
        <v>10</v>
      </c>
      <c r="AT1986">
        <v>0</v>
      </c>
      <c r="AU1986">
        <v>16</v>
      </c>
      <c r="AV1986">
        <v>15</v>
      </c>
      <c r="AW1986">
        <v>60</v>
      </c>
      <c r="AX1986">
        <v>11</v>
      </c>
      <c r="AY1986">
        <v>88</v>
      </c>
      <c r="AZ1986">
        <v>13</v>
      </c>
      <c r="BA1986" t="s">
        <v>4924</v>
      </c>
      <c r="BB1986" t="s">
        <v>4925</v>
      </c>
      <c r="BC1986">
        <v>0.17899999999999999</v>
      </c>
      <c r="BD1986" t="s">
        <v>65</v>
      </c>
      <c r="BE1986">
        <v>148</v>
      </c>
      <c r="BF1986">
        <v>24</v>
      </c>
      <c r="BG1986" t="s">
        <v>4926</v>
      </c>
      <c r="BH1986" t="s">
        <v>4927</v>
      </c>
      <c r="BI1986" t="s">
        <v>4928</v>
      </c>
      <c r="BJ1986">
        <v>4.1959999999999997E-2</v>
      </c>
      <c r="BK1986">
        <v>1</v>
      </c>
      <c r="BL1986" t="s">
        <v>69</v>
      </c>
      <c r="BM1986">
        <v>-1.452</v>
      </c>
      <c r="BN1986">
        <v>-1.121</v>
      </c>
    </row>
    <row r="1987" spans="2:66">
      <c r="B1987">
        <v>3482</v>
      </c>
      <c r="C1987">
        <v>99</v>
      </c>
      <c r="D1987">
        <v>2</v>
      </c>
      <c r="E1987">
        <v>54</v>
      </c>
      <c r="F1987">
        <v>8</v>
      </c>
      <c r="J1987">
        <v>0</v>
      </c>
      <c r="K1987">
        <v>12</v>
      </c>
      <c r="L1987">
        <v>6</v>
      </c>
      <c r="M1987" t="s">
        <v>25022</v>
      </c>
      <c r="N1987">
        <v>793</v>
      </c>
      <c r="O1987" t="s">
        <v>4929</v>
      </c>
      <c r="P1987" t="s">
        <v>57</v>
      </c>
      <c r="Q1987">
        <v>830945</v>
      </c>
      <c r="R1987">
        <v>832570</v>
      </c>
      <c r="S1987" t="s">
        <v>3074</v>
      </c>
      <c r="T1987">
        <v>542</v>
      </c>
      <c r="U1987" t="s">
        <v>108</v>
      </c>
      <c r="V1987">
        <v>44</v>
      </c>
      <c r="W1987" t="str">
        <f>HYPERLINK("Gene793-zp_tree_all.dnd", "Gene793-tree")</f>
        <v>Gene793-tree</v>
      </c>
      <c r="X1987">
        <v>2</v>
      </c>
      <c r="Y1987">
        <v>14</v>
      </c>
      <c r="Z1987">
        <v>2</v>
      </c>
      <c r="AA1987">
        <v>14</v>
      </c>
      <c r="AB1987">
        <v>0.875</v>
      </c>
      <c r="AC1987" t="s">
        <v>81</v>
      </c>
      <c r="AD1987" t="s">
        <v>543</v>
      </c>
      <c r="AE1987">
        <v>860908720.12699997</v>
      </c>
      <c r="AF1987" t="s">
        <v>267</v>
      </c>
      <c r="AG1987">
        <v>8</v>
      </c>
      <c r="AH1987">
        <v>18</v>
      </c>
      <c r="AI1987">
        <v>22</v>
      </c>
      <c r="AJ1987">
        <v>0.45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4</v>
      </c>
      <c r="AQ1987">
        <v>2</v>
      </c>
      <c r="AR1987">
        <v>6</v>
      </c>
      <c r="AS1987">
        <v>23</v>
      </c>
      <c r="AT1987">
        <v>0.2069</v>
      </c>
      <c r="AU1987">
        <v>13</v>
      </c>
      <c r="AV1987">
        <v>13</v>
      </c>
      <c r="AW1987">
        <v>44</v>
      </c>
      <c r="AX1987">
        <v>24</v>
      </c>
      <c r="AY1987">
        <v>40</v>
      </c>
      <c r="AZ1987">
        <v>17</v>
      </c>
      <c r="BA1987" t="s">
        <v>4930</v>
      </c>
      <c r="BB1987" t="s">
        <v>4931</v>
      </c>
      <c r="BC1987">
        <v>0.29299999999999998</v>
      </c>
      <c r="BD1987" t="s">
        <v>65</v>
      </c>
      <c r="BE1987">
        <v>84</v>
      </c>
      <c r="BF1987">
        <v>41</v>
      </c>
      <c r="BG1987" t="s">
        <v>4932</v>
      </c>
      <c r="BH1987" t="s">
        <v>4933</v>
      </c>
      <c r="BI1987" t="s">
        <v>4934</v>
      </c>
      <c r="BJ1987">
        <v>0.15495</v>
      </c>
      <c r="BK1987">
        <v>1</v>
      </c>
      <c r="BL1987" t="s">
        <v>69</v>
      </c>
      <c r="BM1987">
        <v>-0.47499999999999998</v>
      </c>
      <c r="BN1987">
        <v>-1.492</v>
      </c>
    </row>
    <row r="1988" spans="2:66">
      <c r="B1988">
        <v>3483</v>
      </c>
      <c r="C1988">
        <v>30</v>
      </c>
      <c r="D1988">
        <v>0</v>
      </c>
      <c r="E1988">
        <v>7</v>
      </c>
      <c r="F1988">
        <v>0</v>
      </c>
      <c r="J1988">
        <v>0</v>
      </c>
      <c r="K1988">
        <v>7</v>
      </c>
      <c r="L1988">
        <v>0</v>
      </c>
      <c r="M1988" t="s">
        <v>25022</v>
      </c>
      <c r="N1988">
        <v>794</v>
      </c>
      <c r="O1988" t="s">
        <v>4935</v>
      </c>
      <c r="P1988" t="s">
        <v>57</v>
      </c>
      <c r="Q1988">
        <v>832545</v>
      </c>
      <c r="R1988">
        <v>833222</v>
      </c>
      <c r="S1988" t="s">
        <v>3081</v>
      </c>
      <c r="T1988">
        <v>226</v>
      </c>
      <c r="U1988" t="s">
        <v>108</v>
      </c>
      <c r="V1988">
        <v>44</v>
      </c>
      <c r="W1988" t="str">
        <f>HYPERLINK("Gene794-zp_tree_all.dnd", "Gene794-tree")</f>
        <v>Gene794-tree</v>
      </c>
      <c r="X1988">
        <v>8</v>
      </c>
      <c r="Y1988">
        <v>6</v>
      </c>
      <c r="Z1988">
        <v>8</v>
      </c>
      <c r="AA1988">
        <v>6</v>
      </c>
      <c r="AB1988">
        <v>0.42857000000000001</v>
      </c>
      <c r="AC1988" t="s">
        <v>136</v>
      </c>
      <c r="AD1988" t="s">
        <v>90</v>
      </c>
      <c r="AE1988" t="s">
        <v>62</v>
      </c>
      <c r="AF1988" t="s">
        <v>62</v>
      </c>
      <c r="AG1988">
        <v>3</v>
      </c>
      <c r="AH1988">
        <v>7</v>
      </c>
      <c r="AI1988">
        <v>8</v>
      </c>
      <c r="AJ1988">
        <v>0.46666999999999997</v>
      </c>
      <c r="AK1988">
        <v>2</v>
      </c>
      <c r="AL1988">
        <v>0</v>
      </c>
      <c r="AM1988">
        <v>2</v>
      </c>
      <c r="AN1988">
        <v>2</v>
      </c>
      <c r="AO1988">
        <v>0.5</v>
      </c>
      <c r="AP1988">
        <v>2</v>
      </c>
      <c r="AQ1988">
        <v>0</v>
      </c>
      <c r="AR1988">
        <v>2</v>
      </c>
      <c r="AS1988">
        <v>7</v>
      </c>
      <c r="AT1988">
        <v>0.22222</v>
      </c>
      <c r="AU1988">
        <v>9</v>
      </c>
      <c r="AV1988">
        <v>8</v>
      </c>
      <c r="AW1988">
        <v>14</v>
      </c>
      <c r="AX1988">
        <v>9</v>
      </c>
      <c r="AY1988">
        <v>9</v>
      </c>
      <c r="AZ1988">
        <v>6</v>
      </c>
      <c r="BA1988" t="s">
        <v>4936</v>
      </c>
      <c r="BB1988" t="s">
        <v>4937</v>
      </c>
      <c r="BC1988">
        <v>4.4999999999999998E-2</v>
      </c>
      <c r="BD1988" t="s">
        <v>65</v>
      </c>
      <c r="BE1988">
        <v>23</v>
      </c>
      <c r="BF1988">
        <v>15</v>
      </c>
      <c r="BG1988" t="s">
        <v>4938</v>
      </c>
      <c r="BH1988" t="s">
        <v>4939</v>
      </c>
      <c r="BI1988" t="s">
        <v>2488</v>
      </c>
      <c r="BJ1988">
        <v>0.15715999999999999</v>
      </c>
      <c r="BK1988">
        <v>1</v>
      </c>
      <c r="BL1988" t="s">
        <v>69</v>
      </c>
      <c r="BM1988">
        <v>-0.86799999999999999</v>
      </c>
      <c r="BN1988">
        <v>-2.0539999999999998</v>
      </c>
    </row>
    <row r="1989" spans="2:66">
      <c r="B1989">
        <v>3484</v>
      </c>
      <c r="C1989">
        <v>103</v>
      </c>
      <c r="D1989">
        <v>0</v>
      </c>
      <c r="E1989">
        <v>4</v>
      </c>
      <c r="F1989">
        <v>0</v>
      </c>
      <c r="J1989">
        <v>0</v>
      </c>
      <c r="K1989">
        <v>9</v>
      </c>
      <c r="L1989">
        <v>1</v>
      </c>
      <c r="M1989" t="s">
        <v>25022</v>
      </c>
      <c r="N1989">
        <v>795</v>
      </c>
      <c r="O1989" t="s">
        <v>4940</v>
      </c>
      <c r="P1989" t="s">
        <v>57</v>
      </c>
      <c r="Q1989">
        <v>833228</v>
      </c>
      <c r="R1989">
        <v>834184</v>
      </c>
      <c r="S1989" t="s">
        <v>4941</v>
      </c>
      <c r="T1989">
        <v>319</v>
      </c>
      <c r="U1989" t="s">
        <v>108</v>
      </c>
      <c r="V1989">
        <v>44</v>
      </c>
      <c r="W1989" t="str">
        <f>HYPERLINK("Gene795-zp_tree_all.dnd", "Gene795-tree")</f>
        <v>Gene795-tree</v>
      </c>
      <c r="X1989">
        <v>1</v>
      </c>
      <c r="Y1989">
        <v>12</v>
      </c>
      <c r="Z1989">
        <v>1</v>
      </c>
      <c r="AA1989">
        <v>12</v>
      </c>
      <c r="AB1989">
        <v>0.92308000000000001</v>
      </c>
      <c r="AC1989" t="s">
        <v>175</v>
      </c>
      <c r="AD1989" t="s">
        <v>109</v>
      </c>
      <c r="AE1989" t="s">
        <v>62</v>
      </c>
      <c r="AF1989" t="s">
        <v>62</v>
      </c>
      <c r="AG1989">
        <v>4</v>
      </c>
      <c r="AH1989">
        <v>10</v>
      </c>
      <c r="AI1989">
        <v>15</v>
      </c>
      <c r="AJ1989">
        <v>0.4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4</v>
      </c>
      <c r="AQ1989">
        <v>2</v>
      </c>
      <c r="AR1989">
        <v>6</v>
      </c>
      <c r="AS1989">
        <v>13</v>
      </c>
      <c r="AT1989">
        <v>0.31579000000000002</v>
      </c>
      <c r="AU1989">
        <v>11</v>
      </c>
      <c r="AV1989">
        <v>8</v>
      </c>
      <c r="AW1989">
        <v>29</v>
      </c>
      <c r="AX1989">
        <v>17</v>
      </c>
      <c r="AY1989">
        <v>22</v>
      </c>
      <c r="AZ1989">
        <v>8</v>
      </c>
      <c r="BA1989" t="s">
        <v>4942</v>
      </c>
      <c r="BB1989" t="s">
        <v>4943</v>
      </c>
      <c r="BC1989">
        <v>0.33</v>
      </c>
      <c r="BD1989" t="s">
        <v>65</v>
      </c>
      <c r="BE1989">
        <v>51</v>
      </c>
      <c r="BF1989">
        <v>25</v>
      </c>
      <c r="BG1989" t="s">
        <v>4944</v>
      </c>
      <c r="BH1989" t="s">
        <v>4945</v>
      </c>
      <c r="BI1989" t="s">
        <v>4946</v>
      </c>
      <c r="BJ1989">
        <v>0.12188</v>
      </c>
      <c r="BK1989">
        <v>1</v>
      </c>
      <c r="BL1989" t="s">
        <v>69</v>
      </c>
      <c r="BM1989">
        <v>-0.89300000000000002</v>
      </c>
      <c r="BN1989">
        <v>-1.7849999999999999</v>
      </c>
    </row>
    <row r="1990" spans="2:66">
      <c r="B1990">
        <v>3485</v>
      </c>
      <c r="C1990">
        <v>115</v>
      </c>
      <c r="D1990">
        <v>0</v>
      </c>
      <c r="E1990">
        <v>18</v>
      </c>
      <c r="F1990">
        <v>0</v>
      </c>
      <c r="J1990">
        <v>0</v>
      </c>
      <c r="K1990">
        <v>0</v>
      </c>
      <c r="L1990">
        <v>0</v>
      </c>
      <c r="M1990" t="s">
        <v>25022</v>
      </c>
      <c r="N1990">
        <v>796</v>
      </c>
      <c r="O1990" t="s">
        <v>4947</v>
      </c>
      <c r="P1990" t="s">
        <v>57</v>
      </c>
      <c r="Q1990">
        <v>834383</v>
      </c>
      <c r="R1990">
        <v>835681</v>
      </c>
      <c r="S1990" t="s">
        <v>4948</v>
      </c>
      <c r="T1990">
        <v>433</v>
      </c>
      <c r="U1990" t="s">
        <v>698</v>
      </c>
      <c r="V1990">
        <v>47</v>
      </c>
      <c r="W1990" t="str">
        <f>HYPERLINK("Gene796-zp_tree_all.dnd", "Gene796-tree")</f>
        <v>Gene796-tree</v>
      </c>
      <c r="X1990">
        <v>14</v>
      </c>
      <c r="Y1990">
        <v>4</v>
      </c>
      <c r="Z1990">
        <v>14</v>
      </c>
      <c r="AA1990">
        <v>4</v>
      </c>
      <c r="AB1990">
        <v>0.22222</v>
      </c>
      <c r="AC1990" t="s">
        <v>543</v>
      </c>
      <c r="AD1990" t="s">
        <v>61</v>
      </c>
      <c r="AE1990" t="s">
        <v>62</v>
      </c>
      <c r="AF1990" t="s">
        <v>62</v>
      </c>
      <c r="AG1990">
        <v>0</v>
      </c>
      <c r="AH1990">
        <v>0</v>
      </c>
      <c r="AI1990">
        <v>6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6</v>
      </c>
      <c r="AT1990">
        <v>0</v>
      </c>
      <c r="AU1990">
        <v>14</v>
      </c>
      <c r="AV1990">
        <v>15</v>
      </c>
      <c r="AW1990">
        <v>63</v>
      </c>
      <c r="AX1990">
        <v>6</v>
      </c>
      <c r="AY1990">
        <v>82</v>
      </c>
      <c r="AZ1990">
        <v>0</v>
      </c>
      <c r="BA1990" t="s">
        <v>4949</v>
      </c>
      <c r="BB1990" t="s">
        <v>193</v>
      </c>
      <c r="BC1990">
        <v>0.95299999999999996</v>
      </c>
      <c r="BD1990" t="s">
        <v>65</v>
      </c>
      <c r="BE1990">
        <v>145</v>
      </c>
      <c r="BF1990">
        <v>6</v>
      </c>
      <c r="BG1990" t="s">
        <v>4950</v>
      </c>
      <c r="BH1990" t="s">
        <v>4951</v>
      </c>
      <c r="BI1990" t="s">
        <v>4952</v>
      </c>
      <c r="BJ1990">
        <v>7.4900000000000001E-3</v>
      </c>
      <c r="BK1990">
        <v>1</v>
      </c>
      <c r="BL1990" t="s">
        <v>69</v>
      </c>
      <c r="BM1990">
        <v>-1.5169999999999999</v>
      </c>
      <c r="BN1990">
        <v>-1.536</v>
      </c>
    </row>
    <row r="1991" spans="2:66">
      <c r="B1991">
        <v>3486</v>
      </c>
      <c r="C1991">
        <v>254</v>
      </c>
      <c r="D1991">
        <v>0</v>
      </c>
      <c r="E1991">
        <v>8</v>
      </c>
      <c r="F1991">
        <v>4</v>
      </c>
      <c r="J1991">
        <v>0</v>
      </c>
      <c r="K1991">
        <v>4</v>
      </c>
      <c r="L1991">
        <v>2</v>
      </c>
      <c r="M1991" t="s">
        <v>25022</v>
      </c>
      <c r="N1991">
        <v>797</v>
      </c>
      <c r="O1991" t="s">
        <v>4953</v>
      </c>
      <c r="P1991" t="s">
        <v>57</v>
      </c>
      <c r="Q1991">
        <v>835740</v>
      </c>
      <c r="R1991">
        <v>836531</v>
      </c>
      <c r="S1991" t="s">
        <v>3354</v>
      </c>
      <c r="T1991">
        <v>264</v>
      </c>
      <c r="U1991" t="s">
        <v>108</v>
      </c>
      <c r="V1991">
        <v>44</v>
      </c>
      <c r="W1991" t="str">
        <f>HYPERLINK("Gene797-zp_tree_all.dnd", "Gene797-tree")</f>
        <v>Gene797-tree</v>
      </c>
      <c r="X1991">
        <v>5</v>
      </c>
      <c r="Y1991">
        <v>9</v>
      </c>
      <c r="Z1991">
        <v>5</v>
      </c>
      <c r="AA1991">
        <v>9</v>
      </c>
      <c r="AB1991">
        <v>0.64285999999999999</v>
      </c>
      <c r="AC1991" t="s">
        <v>199</v>
      </c>
      <c r="AD1991" t="s">
        <v>135</v>
      </c>
      <c r="AE1991" t="s">
        <v>62</v>
      </c>
      <c r="AF1991" t="s">
        <v>62</v>
      </c>
      <c r="AG1991">
        <v>3</v>
      </c>
      <c r="AH1991">
        <v>6</v>
      </c>
      <c r="AI1991">
        <v>12</v>
      </c>
      <c r="AJ1991">
        <v>0.33333000000000002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4</v>
      </c>
      <c r="AQ1991">
        <v>2</v>
      </c>
      <c r="AR1991">
        <v>6</v>
      </c>
      <c r="AS1991">
        <v>11</v>
      </c>
      <c r="AT1991">
        <v>0.35293999999999998</v>
      </c>
      <c r="AU1991">
        <v>11</v>
      </c>
      <c r="AV1991">
        <v>9</v>
      </c>
      <c r="AW1991">
        <v>28</v>
      </c>
      <c r="AX1991">
        <v>16</v>
      </c>
      <c r="AY1991">
        <v>15</v>
      </c>
      <c r="AZ1991">
        <v>2</v>
      </c>
      <c r="BA1991" t="s">
        <v>4954</v>
      </c>
      <c r="BB1991" t="s">
        <v>4955</v>
      </c>
      <c r="BC1991">
        <v>1.5009999999999999</v>
      </c>
      <c r="BD1991" t="s">
        <v>65</v>
      </c>
      <c r="BE1991">
        <v>43</v>
      </c>
      <c r="BF1991">
        <v>18</v>
      </c>
      <c r="BG1991" t="s">
        <v>4956</v>
      </c>
      <c r="BH1991" t="s">
        <v>4957</v>
      </c>
      <c r="BI1991" t="s">
        <v>4958</v>
      </c>
      <c r="BJ1991">
        <v>0.10362</v>
      </c>
      <c r="BK1991">
        <v>1</v>
      </c>
      <c r="BL1991" t="s">
        <v>69</v>
      </c>
      <c r="BM1991">
        <v>-0.23499999999999999</v>
      </c>
      <c r="BN1991">
        <v>-1.5960000000000001</v>
      </c>
    </row>
    <row r="1992" spans="2:66">
      <c r="B1992">
        <v>3488</v>
      </c>
      <c r="C1992">
        <v>277</v>
      </c>
      <c r="D1992">
        <v>0</v>
      </c>
      <c r="E1992">
        <v>3</v>
      </c>
      <c r="F1992">
        <v>0</v>
      </c>
      <c r="J1992">
        <v>0</v>
      </c>
      <c r="K1992">
        <v>4</v>
      </c>
      <c r="L1992">
        <v>0</v>
      </c>
      <c r="M1992" t="s">
        <v>25022</v>
      </c>
      <c r="N1992">
        <v>798</v>
      </c>
      <c r="O1992" t="s">
        <v>4959</v>
      </c>
      <c r="P1992" t="s">
        <v>57</v>
      </c>
      <c r="Q1992">
        <v>836653</v>
      </c>
      <c r="R1992">
        <v>837741</v>
      </c>
      <c r="S1992" t="s">
        <v>4960</v>
      </c>
      <c r="T1992">
        <v>363</v>
      </c>
      <c r="U1992" t="s">
        <v>108</v>
      </c>
      <c r="V1992">
        <v>44</v>
      </c>
      <c r="W1992" t="str">
        <f>HYPERLINK("Gene798-zp_tree_all.dnd", "Gene798-tree")</f>
        <v>Gene798-tree</v>
      </c>
      <c r="X1992">
        <v>5</v>
      </c>
      <c r="Y1992">
        <v>29</v>
      </c>
      <c r="Z1992">
        <v>5</v>
      </c>
      <c r="AA1992">
        <v>10</v>
      </c>
      <c r="AB1992">
        <v>0.66666999999999998</v>
      </c>
      <c r="AC1992" t="s">
        <v>199</v>
      </c>
      <c r="AD1992" t="s">
        <v>2184</v>
      </c>
      <c r="AE1992">
        <v>2.544</v>
      </c>
      <c r="AF1992" t="s">
        <v>65</v>
      </c>
      <c r="AG1992">
        <v>2</v>
      </c>
      <c r="AH1992">
        <v>4</v>
      </c>
      <c r="AI1992">
        <v>12</v>
      </c>
      <c r="AJ1992">
        <v>0.25</v>
      </c>
      <c r="AK1992">
        <v>2</v>
      </c>
      <c r="AL1992">
        <v>0</v>
      </c>
      <c r="AM1992">
        <v>2</v>
      </c>
      <c r="AN1992">
        <v>0</v>
      </c>
      <c r="AO1992">
        <v>1</v>
      </c>
      <c r="AP1992">
        <v>2</v>
      </c>
      <c r="AQ1992">
        <v>0</v>
      </c>
      <c r="AR1992">
        <v>2</v>
      </c>
      <c r="AS1992">
        <v>12</v>
      </c>
      <c r="AT1992">
        <v>0.14285999999999999</v>
      </c>
      <c r="AU1992">
        <v>10</v>
      </c>
      <c r="AV1992">
        <v>11</v>
      </c>
      <c r="AW1992">
        <v>28</v>
      </c>
      <c r="AX1992">
        <v>11</v>
      </c>
      <c r="AY1992">
        <v>37</v>
      </c>
      <c r="AZ1992">
        <v>5</v>
      </c>
      <c r="BA1992" t="s">
        <v>4961</v>
      </c>
      <c r="BB1992" t="s">
        <v>4962</v>
      </c>
      <c r="BC1992">
        <v>1.431</v>
      </c>
      <c r="BD1992" t="s">
        <v>65</v>
      </c>
      <c r="BE1992">
        <v>65</v>
      </c>
      <c r="BF1992">
        <v>16</v>
      </c>
      <c r="BG1992" t="s">
        <v>4963</v>
      </c>
      <c r="BH1992" t="s">
        <v>4964</v>
      </c>
      <c r="BI1992" t="s">
        <v>4965</v>
      </c>
      <c r="BJ1992">
        <v>5.8290000000000002E-2</v>
      </c>
      <c r="BK1992">
        <v>1</v>
      </c>
      <c r="BL1992" t="s">
        <v>69</v>
      </c>
      <c r="BM1992">
        <v>-0.28899999999999998</v>
      </c>
      <c r="BN1992">
        <v>-1.9119999999999999</v>
      </c>
    </row>
    <row r="1993" spans="2:66">
      <c r="B1993">
        <v>3491</v>
      </c>
      <c r="C1993">
        <v>101</v>
      </c>
      <c r="D1993">
        <v>0</v>
      </c>
      <c r="E1993">
        <v>4</v>
      </c>
      <c r="F1993">
        <v>2</v>
      </c>
      <c r="J1993">
        <v>0</v>
      </c>
      <c r="K1993">
        <v>2</v>
      </c>
      <c r="L1993">
        <v>0</v>
      </c>
      <c r="M1993" t="s">
        <v>25022</v>
      </c>
      <c r="N1993">
        <v>800</v>
      </c>
      <c r="O1993" t="s">
        <v>4972</v>
      </c>
      <c r="P1993" t="s">
        <v>57</v>
      </c>
      <c r="Q1993">
        <v>838077</v>
      </c>
      <c r="R1993">
        <v>838739</v>
      </c>
      <c r="S1993" t="s">
        <v>4973</v>
      </c>
      <c r="T1993">
        <v>221</v>
      </c>
      <c r="U1993" t="s">
        <v>160</v>
      </c>
      <c r="V1993">
        <v>45</v>
      </c>
      <c r="W1993" t="str">
        <f>HYPERLINK("Gene800-zp_tree_all.dnd", "Gene800-tree")</f>
        <v>Gene800-tree</v>
      </c>
      <c r="X1993">
        <v>9</v>
      </c>
      <c r="Y1993">
        <v>6</v>
      </c>
      <c r="Z1993">
        <v>9</v>
      </c>
      <c r="AA1993">
        <v>6</v>
      </c>
      <c r="AB1993">
        <v>0.4</v>
      </c>
      <c r="AC1993" t="s">
        <v>135</v>
      </c>
      <c r="AD1993" t="s">
        <v>90</v>
      </c>
      <c r="AE1993" t="s">
        <v>62</v>
      </c>
      <c r="AF1993" t="s">
        <v>62</v>
      </c>
      <c r="AG1993">
        <v>1</v>
      </c>
      <c r="AH1993">
        <v>2</v>
      </c>
      <c r="AI1993">
        <v>17</v>
      </c>
      <c r="AJ1993">
        <v>0.10526000000000001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17</v>
      </c>
      <c r="AT1993">
        <v>0</v>
      </c>
      <c r="AU1993">
        <v>11</v>
      </c>
      <c r="AV1993">
        <v>10</v>
      </c>
      <c r="AW1993">
        <v>15</v>
      </c>
      <c r="AX1993">
        <v>18</v>
      </c>
      <c r="AY1993">
        <v>11</v>
      </c>
      <c r="AZ1993">
        <v>2</v>
      </c>
      <c r="BA1993" t="s">
        <v>4974</v>
      </c>
      <c r="BB1993" t="s">
        <v>4975</v>
      </c>
      <c r="BC1993">
        <v>0.93</v>
      </c>
      <c r="BD1993" t="s">
        <v>65</v>
      </c>
      <c r="BE1993">
        <v>26</v>
      </c>
      <c r="BF1993">
        <v>20</v>
      </c>
      <c r="BG1993" t="s">
        <v>4976</v>
      </c>
      <c r="BH1993" t="s">
        <v>4977</v>
      </c>
      <c r="BI1993" t="s">
        <v>4978</v>
      </c>
      <c r="BJ1993">
        <v>0.18912000000000001</v>
      </c>
      <c r="BK1993">
        <v>1</v>
      </c>
      <c r="BL1993" t="s">
        <v>69</v>
      </c>
      <c r="BM1993">
        <v>-1.1220000000000001</v>
      </c>
      <c r="BN1993">
        <v>-3.1360000000000001</v>
      </c>
    </row>
    <row r="1994" spans="2:66">
      <c r="B1994">
        <v>3494</v>
      </c>
      <c r="C1994">
        <v>89</v>
      </c>
      <c r="D1994">
        <v>0</v>
      </c>
      <c r="E1994">
        <v>2</v>
      </c>
      <c r="F1994">
        <v>2</v>
      </c>
      <c r="J1994">
        <v>0</v>
      </c>
      <c r="K1994">
        <v>2</v>
      </c>
      <c r="L1994">
        <v>0</v>
      </c>
      <c r="M1994" t="s">
        <v>25022</v>
      </c>
      <c r="N1994">
        <v>805</v>
      </c>
      <c r="O1994" t="s">
        <v>5006</v>
      </c>
      <c r="P1994" t="s">
        <v>57</v>
      </c>
      <c r="Q1994">
        <v>840656</v>
      </c>
      <c r="R1994">
        <v>842011</v>
      </c>
      <c r="S1994" t="s">
        <v>5007</v>
      </c>
      <c r="T1994">
        <v>452</v>
      </c>
      <c r="U1994" t="s">
        <v>108</v>
      </c>
      <c r="V1994">
        <v>44</v>
      </c>
      <c r="W1994" t="str">
        <f>HYPERLINK("Gene805-zp_tree_all.dnd", "Gene805-tree")</f>
        <v>Gene805-tree</v>
      </c>
      <c r="X1994">
        <v>29</v>
      </c>
      <c r="Y1994">
        <v>4</v>
      </c>
      <c r="Z1994">
        <v>10</v>
      </c>
      <c r="AA1994">
        <v>4</v>
      </c>
      <c r="AB1994">
        <v>0.28571000000000002</v>
      </c>
      <c r="AC1994" t="s">
        <v>2184</v>
      </c>
      <c r="AD1994" t="s">
        <v>61</v>
      </c>
      <c r="AE1994" t="s">
        <v>62</v>
      </c>
      <c r="AF1994" t="s">
        <v>62</v>
      </c>
      <c r="AG1994">
        <v>1</v>
      </c>
      <c r="AH1994">
        <v>2</v>
      </c>
      <c r="AI1994">
        <v>5</v>
      </c>
      <c r="AJ1994">
        <v>0.28571000000000002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4</v>
      </c>
      <c r="AT1994">
        <v>0</v>
      </c>
      <c r="AU1994">
        <v>12</v>
      </c>
      <c r="AV1994">
        <v>11</v>
      </c>
      <c r="AW1994">
        <v>61</v>
      </c>
      <c r="AX1994">
        <v>4</v>
      </c>
      <c r="AY1994">
        <v>44</v>
      </c>
      <c r="AZ1994">
        <v>3</v>
      </c>
      <c r="BA1994" t="s">
        <v>5008</v>
      </c>
      <c r="BB1994" t="s">
        <v>5009</v>
      </c>
      <c r="BC1994">
        <v>3.9E-2</v>
      </c>
      <c r="BD1994" t="s">
        <v>65</v>
      </c>
      <c r="BE1994">
        <v>105</v>
      </c>
      <c r="BF1994">
        <v>7</v>
      </c>
      <c r="BG1994" t="s">
        <v>5010</v>
      </c>
      <c r="BH1994" t="s">
        <v>5011</v>
      </c>
      <c r="BI1994" t="s">
        <v>5012</v>
      </c>
      <c r="BJ1994">
        <v>2.462E-2</v>
      </c>
      <c r="BK1994">
        <v>1</v>
      </c>
      <c r="BL1994" t="s">
        <v>69</v>
      </c>
      <c r="BM1994">
        <v>-0.35099999999999998</v>
      </c>
      <c r="BN1994">
        <v>-1.5760000000000001</v>
      </c>
    </row>
    <row r="1995" spans="2:66">
      <c r="B1995">
        <v>3496</v>
      </c>
      <c r="C1995">
        <v>322</v>
      </c>
      <c r="D1995">
        <v>0</v>
      </c>
      <c r="E1995">
        <v>16</v>
      </c>
      <c r="F1995">
        <v>0</v>
      </c>
      <c r="J1995">
        <v>0</v>
      </c>
      <c r="K1995">
        <v>2</v>
      </c>
      <c r="L1995">
        <v>2</v>
      </c>
      <c r="M1995" t="s">
        <v>25022</v>
      </c>
      <c r="N1995">
        <v>807</v>
      </c>
      <c r="O1995" t="s">
        <v>5020</v>
      </c>
      <c r="P1995" t="s">
        <v>57</v>
      </c>
      <c r="Q1995">
        <v>844097</v>
      </c>
      <c r="R1995">
        <v>844231</v>
      </c>
      <c r="S1995" t="s">
        <v>2302</v>
      </c>
      <c r="T1995">
        <v>45</v>
      </c>
      <c r="U1995" t="s">
        <v>1392</v>
      </c>
      <c r="V1995">
        <v>43</v>
      </c>
      <c r="W1995" t="str">
        <f>HYPERLINK("Gene807-zp_tree_all.dnd", "Gene807-tree")</f>
        <v>Gene807-tree</v>
      </c>
      <c r="X1995">
        <v>2</v>
      </c>
      <c r="Y1995">
        <v>8</v>
      </c>
      <c r="Z1995">
        <v>2</v>
      </c>
      <c r="AA1995">
        <v>8</v>
      </c>
      <c r="AB1995">
        <v>0.8</v>
      </c>
      <c r="AC1995" t="s">
        <v>81</v>
      </c>
      <c r="AD1995" t="s">
        <v>136</v>
      </c>
      <c r="AE1995" t="s">
        <v>62</v>
      </c>
      <c r="AF1995" t="s">
        <v>62</v>
      </c>
      <c r="AG1995">
        <v>2</v>
      </c>
      <c r="AH1995">
        <v>4</v>
      </c>
      <c r="AI1995">
        <v>5</v>
      </c>
      <c r="AJ1995">
        <v>0.44444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2</v>
      </c>
      <c r="AQ1995">
        <v>2</v>
      </c>
      <c r="AR1995">
        <v>4</v>
      </c>
      <c r="AS1995">
        <v>5</v>
      </c>
      <c r="AT1995">
        <v>0.44444</v>
      </c>
      <c r="AU1995">
        <v>5</v>
      </c>
      <c r="AV1995">
        <v>4</v>
      </c>
      <c r="AW1995">
        <v>1</v>
      </c>
      <c r="AX1995">
        <v>6</v>
      </c>
      <c r="AY1995">
        <v>2</v>
      </c>
      <c r="AZ1995">
        <v>3</v>
      </c>
      <c r="BA1995" t="s">
        <v>5021</v>
      </c>
      <c r="BB1995" t="s">
        <v>5022</v>
      </c>
      <c r="BC1995">
        <v>0.40600000000000003</v>
      </c>
      <c r="BD1995" t="s">
        <v>65</v>
      </c>
      <c r="BE1995">
        <v>3</v>
      </c>
      <c r="BF1995">
        <v>9</v>
      </c>
      <c r="BG1995" t="s">
        <v>5023</v>
      </c>
      <c r="BH1995" t="s">
        <v>5024</v>
      </c>
      <c r="BI1995" t="s">
        <v>5025</v>
      </c>
      <c r="BJ1995">
        <v>1.0208999999999999</v>
      </c>
      <c r="BK1995">
        <v>0.35299999999999998</v>
      </c>
      <c r="BL1995" t="s">
        <v>635</v>
      </c>
      <c r="BM1995">
        <v>-0.46400000000000002</v>
      </c>
      <c r="BN1995">
        <v>-1.829</v>
      </c>
    </row>
    <row r="1996" spans="2:66">
      <c r="B1996">
        <v>3497</v>
      </c>
      <c r="C1996">
        <v>35</v>
      </c>
      <c r="D1996">
        <v>0</v>
      </c>
      <c r="E1996">
        <v>4</v>
      </c>
      <c r="F1996">
        <v>0</v>
      </c>
      <c r="J1996">
        <v>0</v>
      </c>
      <c r="K1996">
        <v>0</v>
      </c>
      <c r="L1996">
        <v>0</v>
      </c>
      <c r="M1996" t="s">
        <v>25022</v>
      </c>
      <c r="N1996">
        <v>808</v>
      </c>
      <c r="O1996" t="s">
        <v>5026</v>
      </c>
      <c r="P1996" t="s">
        <v>57</v>
      </c>
      <c r="Q1996">
        <v>844253</v>
      </c>
      <c r="R1996">
        <v>844642</v>
      </c>
      <c r="S1996" t="s">
        <v>288</v>
      </c>
      <c r="T1996">
        <v>130</v>
      </c>
      <c r="U1996" t="s">
        <v>1305</v>
      </c>
      <c r="V1996">
        <v>43</v>
      </c>
      <c r="W1996" t="str">
        <f>HYPERLINK("Gene808-zp_tree_all.dnd", "Gene808-tree")</f>
        <v>Gene808-tree</v>
      </c>
      <c r="X1996">
        <v>37</v>
      </c>
      <c r="Y1996">
        <v>2</v>
      </c>
      <c r="Z1996">
        <v>6</v>
      </c>
      <c r="AA1996">
        <v>2</v>
      </c>
      <c r="AB1996">
        <v>0.25</v>
      </c>
      <c r="AC1996" t="s">
        <v>5027</v>
      </c>
      <c r="AD1996" t="s">
        <v>81</v>
      </c>
      <c r="AE1996" t="s">
        <v>62</v>
      </c>
      <c r="AF1996" t="s">
        <v>62</v>
      </c>
      <c r="AG1996">
        <v>0</v>
      </c>
      <c r="AH1996">
        <v>0</v>
      </c>
      <c r="AI1996">
        <v>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2</v>
      </c>
      <c r="AT1996">
        <v>0</v>
      </c>
      <c r="AU1996">
        <v>6</v>
      </c>
      <c r="AV1996">
        <v>2</v>
      </c>
      <c r="AW1996">
        <v>13</v>
      </c>
      <c r="AX1996">
        <v>2</v>
      </c>
      <c r="AY1996">
        <v>3</v>
      </c>
      <c r="AZ1996">
        <v>0</v>
      </c>
      <c r="BA1996" t="s">
        <v>5028</v>
      </c>
      <c r="BB1996" t="s">
        <v>193</v>
      </c>
      <c r="BC1996">
        <v>0.68</v>
      </c>
      <c r="BD1996" t="s">
        <v>65</v>
      </c>
      <c r="BE1996">
        <v>16</v>
      </c>
      <c r="BF1996">
        <v>2</v>
      </c>
      <c r="BG1996" t="s">
        <v>5029</v>
      </c>
      <c r="BH1996" t="s">
        <v>5030</v>
      </c>
      <c r="BI1996" t="s">
        <v>5031</v>
      </c>
      <c r="BJ1996">
        <v>2.8389999999999999E-2</v>
      </c>
      <c r="BK1996">
        <v>1</v>
      </c>
      <c r="BL1996" t="s">
        <v>69</v>
      </c>
      <c r="BM1996">
        <v>-2.2069999999999999</v>
      </c>
      <c r="BN1996">
        <v>-2.7959999999999998</v>
      </c>
    </row>
    <row r="1997" spans="2:66">
      <c r="B1997">
        <v>3498</v>
      </c>
      <c r="C1997">
        <v>142</v>
      </c>
      <c r="D1997">
        <v>0</v>
      </c>
      <c r="E1997">
        <v>21</v>
      </c>
      <c r="F1997">
        <v>1</v>
      </c>
      <c r="J1997">
        <v>0</v>
      </c>
      <c r="K1997">
        <v>5</v>
      </c>
      <c r="L1997">
        <v>0</v>
      </c>
      <c r="M1997" t="s">
        <v>25022</v>
      </c>
      <c r="N1997">
        <v>809</v>
      </c>
      <c r="O1997" t="s">
        <v>5032</v>
      </c>
      <c r="P1997" t="s">
        <v>57</v>
      </c>
      <c r="Q1997">
        <v>844770</v>
      </c>
      <c r="R1997">
        <v>846182</v>
      </c>
      <c r="S1997" t="s">
        <v>5033</v>
      </c>
      <c r="T1997">
        <v>471</v>
      </c>
      <c r="U1997" t="s">
        <v>5034</v>
      </c>
      <c r="V1997">
        <v>41</v>
      </c>
      <c r="W1997" t="str">
        <f>HYPERLINK("Gene809-zp_tree_all.dnd", "Gene809-tree")</f>
        <v>Gene809-tree</v>
      </c>
      <c r="X1997">
        <v>7</v>
      </c>
      <c r="Y1997">
        <v>7</v>
      </c>
      <c r="Z1997">
        <v>7</v>
      </c>
      <c r="AA1997">
        <v>7</v>
      </c>
      <c r="AB1997">
        <v>0.5</v>
      </c>
      <c r="AC1997" t="s">
        <v>152</v>
      </c>
      <c r="AD1997" t="s">
        <v>152</v>
      </c>
      <c r="AE1997" t="s">
        <v>62</v>
      </c>
      <c r="AF1997" t="s">
        <v>62</v>
      </c>
      <c r="AG1997">
        <v>2</v>
      </c>
      <c r="AH1997">
        <v>5</v>
      </c>
      <c r="AI1997">
        <v>12</v>
      </c>
      <c r="AJ1997">
        <v>0.29411999999999999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4</v>
      </c>
      <c r="AQ1997">
        <v>1</v>
      </c>
      <c r="AR1997">
        <v>5</v>
      </c>
      <c r="AS1997">
        <v>12</v>
      </c>
      <c r="AT1997">
        <v>0.29411999999999999</v>
      </c>
      <c r="AU1997">
        <v>12</v>
      </c>
      <c r="AV1997">
        <v>10</v>
      </c>
      <c r="AW1997">
        <v>72</v>
      </c>
      <c r="AX1997">
        <v>17</v>
      </c>
      <c r="AY1997">
        <v>33</v>
      </c>
      <c r="AZ1997">
        <v>0</v>
      </c>
      <c r="BA1997" t="s">
        <v>5035</v>
      </c>
      <c r="BB1997" t="s">
        <v>193</v>
      </c>
      <c r="BC1997">
        <v>1.1970000000000001</v>
      </c>
      <c r="BD1997" t="s">
        <v>65</v>
      </c>
      <c r="BE1997">
        <v>105</v>
      </c>
      <c r="BF1997">
        <v>17</v>
      </c>
      <c r="BG1997" t="s">
        <v>5036</v>
      </c>
      <c r="BH1997" t="s">
        <v>5037</v>
      </c>
      <c r="BI1997" t="s">
        <v>1997</v>
      </c>
      <c r="BJ1997">
        <v>4.113E-2</v>
      </c>
      <c r="BK1997">
        <v>1</v>
      </c>
      <c r="BL1997" t="s">
        <v>69</v>
      </c>
      <c r="BM1997">
        <v>1.228</v>
      </c>
      <c r="BN1997">
        <v>0.23300000000000001</v>
      </c>
    </row>
    <row r="1998" spans="2:66">
      <c r="B1998">
        <v>3499</v>
      </c>
      <c r="C1998">
        <v>123</v>
      </c>
      <c r="D1998">
        <v>0</v>
      </c>
      <c r="E1998">
        <v>2</v>
      </c>
      <c r="F1998">
        <v>0</v>
      </c>
      <c r="J1998">
        <v>0</v>
      </c>
      <c r="K1998">
        <v>2</v>
      </c>
      <c r="L1998">
        <v>0</v>
      </c>
      <c r="M1998" t="s">
        <v>25022</v>
      </c>
      <c r="N1998">
        <v>814</v>
      </c>
      <c r="O1998" t="s">
        <v>5065</v>
      </c>
      <c r="P1998" t="s">
        <v>57</v>
      </c>
      <c r="Q1998">
        <v>850367</v>
      </c>
      <c r="R1998">
        <v>851776</v>
      </c>
      <c r="S1998" t="s">
        <v>5066</v>
      </c>
      <c r="T1998">
        <v>470</v>
      </c>
      <c r="U1998" t="s">
        <v>108</v>
      </c>
      <c r="V1998">
        <v>44</v>
      </c>
      <c r="W1998" t="str">
        <f>HYPERLINK("Gene814-zp_tree_all.dnd", "Gene814-tree")</f>
        <v>Gene814-tree</v>
      </c>
      <c r="X1998">
        <v>11</v>
      </c>
      <c r="Y1998">
        <v>5</v>
      </c>
      <c r="Z1998">
        <v>11</v>
      </c>
      <c r="AA1998">
        <v>5</v>
      </c>
      <c r="AB1998">
        <v>0.3125</v>
      </c>
      <c r="AC1998" t="s">
        <v>73</v>
      </c>
      <c r="AD1998" t="s">
        <v>199</v>
      </c>
      <c r="AE1998" t="s">
        <v>62</v>
      </c>
      <c r="AF1998" t="s">
        <v>62</v>
      </c>
      <c r="AG1998">
        <v>1</v>
      </c>
      <c r="AH1998">
        <v>2</v>
      </c>
      <c r="AI1998">
        <v>7</v>
      </c>
      <c r="AJ1998">
        <v>0.22222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7</v>
      </c>
      <c r="AT1998">
        <v>0</v>
      </c>
      <c r="AU1998">
        <v>14</v>
      </c>
      <c r="AV1998">
        <v>9</v>
      </c>
      <c r="AW1998">
        <v>50</v>
      </c>
      <c r="AX1998">
        <v>7</v>
      </c>
      <c r="AY1998">
        <v>17</v>
      </c>
      <c r="AZ1998">
        <v>2</v>
      </c>
      <c r="BA1998" t="s">
        <v>5067</v>
      </c>
      <c r="BB1998" t="s">
        <v>5068</v>
      </c>
      <c r="BC1998">
        <v>0.113</v>
      </c>
      <c r="BD1998" t="s">
        <v>65</v>
      </c>
      <c r="BE1998">
        <v>67</v>
      </c>
      <c r="BF1998">
        <v>9</v>
      </c>
      <c r="BG1998" t="s">
        <v>5069</v>
      </c>
      <c r="BH1998" t="s">
        <v>5070</v>
      </c>
      <c r="BI1998" t="s">
        <v>5071</v>
      </c>
      <c r="BJ1998">
        <v>4.1099999999999998E-2</v>
      </c>
      <c r="BK1998">
        <v>1</v>
      </c>
      <c r="BL1998" t="s">
        <v>69</v>
      </c>
      <c r="BM1998">
        <v>-1.7150000000000001</v>
      </c>
      <c r="BN1998">
        <v>-2.5049999999999999</v>
      </c>
    </row>
    <row r="1999" spans="2:66">
      <c r="B1999">
        <v>3500</v>
      </c>
      <c r="C1999">
        <v>129</v>
      </c>
      <c r="D1999">
        <v>0</v>
      </c>
      <c r="E1999">
        <v>14</v>
      </c>
      <c r="F1999">
        <v>0</v>
      </c>
      <c r="J1999">
        <v>0</v>
      </c>
      <c r="K1999">
        <v>0</v>
      </c>
      <c r="L1999">
        <v>0</v>
      </c>
      <c r="M1999" t="s">
        <v>25022</v>
      </c>
      <c r="N1999">
        <v>815</v>
      </c>
      <c r="O1999" t="s">
        <v>5072</v>
      </c>
      <c r="P1999" t="s">
        <v>57</v>
      </c>
      <c r="Q1999">
        <v>851850</v>
      </c>
      <c r="R1999">
        <v>853532</v>
      </c>
      <c r="S1999" t="s">
        <v>5073</v>
      </c>
      <c r="T1999">
        <v>561</v>
      </c>
      <c r="U1999" t="s">
        <v>5074</v>
      </c>
      <c r="V1999">
        <v>33</v>
      </c>
      <c r="W1999" t="str">
        <f>HYPERLINK("Gene815-zp_tree_all.dnd", "Gene815-tree")</f>
        <v>Gene815-tree</v>
      </c>
      <c r="X1999">
        <v>4</v>
      </c>
      <c r="Y1999">
        <v>4</v>
      </c>
      <c r="Z1999">
        <v>4</v>
      </c>
      <c r="AA1999">
        <v>4</v>
      </c>
      <c r="AB1999">
        <v>0.5</v>
      </c>
      <c r="AC1999" t="s">
        <v>61</v>
      </c>
      <c r="AD1999" t="s">
        <v>61</v>
      </c>
      <c r="AE1999" t="s">
        <v>62</v>
      </c>
      <c r="AF1999" t="s">
        <v>62</v>
      </c>
      <c r="AG1999">
        <v>0</v>
      </c>
      <c r="AH1999">
        <v>0</v>
      </c>
      <c r="AI1999">
        <v>13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6</v>
      </c>
      <c r="AT1999">
        <v>0</v>
      </c>
      <c r="AU1999">
        <v>7</v>
      </c>
      <c r="AV1999">
        <v>5</v>
      </c>
      <c r="AW1999">
        <v>37</v>
      </c>
      <c r="AX1999">
        <v>6</v>
      </c>
      <c r="AY1999">
        <v>34</v>
      </c>
      <c r="AZ1999">
        <v>8</v>
      </c>
      <c r="BA1999" t="s">
        <v>5075</v>
      </c>
      <c r="BB1999" t="s">
        <v>5076</v>
      </c>
      <c r="BC1999">
        <v>0.40400000000000003</v>
      </c>
      <c r="BD1999" t="s">
        <v>65</v>
      </c>
      <c r="BE1999">
        <v>71</v>
      </c>
      <c r="BF1999">
        <v>14</v>
      </c>
      <c r="BG1999" t="s">
        <v>5077</v>
      </c>
      <c r="BH1999" t="s">
        <v>5078</v>
      </c>
      <c r="BI1999" t="s">
        <v>5079</v>
      </c>
      <c r="BJ1999">
        <v>6.2700000000000006E-2</v>
      </c>
      <c r="BK1999">
        <v>1</v>
      </c>
      <c r="BL1999" t="s">
        <v>69</v>
      </c>
      <c r="BM1999">
        <v>0.46600000000000003</v>
      </c>
      <c r="BN1999">
        <v>-0.23699999999999999</v>
      </c>
    </row>
    <row r="2000" spans="2:66">
      <c r="B2000">
        <v>3501</v>
      </c>
      <c r="C2000">
        <v>169</v>
      </c>
      <c r="D2000">
        <v>0</v>
      </c>
      <c r="E2000">
        <v>7</v>
      </c>
      <c r="F2000">
        <v>0</v>
      </c>
      <c r="J2000">
        <v>0</v>
      </c>
      <c r="K2000">
        <v>0</v>
      </c>
      <c r="L2000">
        <v>0</v>
      </c>
      <c r="M2000" t="s">
        <v>25022</v>
      </c>
      <c r="N2000">
        <v>816</v>
      </c>
      <c r="O2000" t="s">
        <v>5080</v>
      </c>
      <c r="P2000" t="s">
        <v>57</v>
      </c>
      <c r="Q2000">
        <v>853556</v>
      </c>
      <c r="R2000">
        <v>854269</v>
      </c>
      <c r="S2000" t="s">
        <v>5081</v>
      </c>
      <c r="T2000">
        <v>238</v>
      </c>
      <c r="U2000" t="s">
        <v>72</v>
      </c>
      <c r="V2000">
        <v>45</v>
      </c>
      <c r="W2000" t="str">
        <f>HYPERLINK("Gene816-zp_tree_all.dnd", "Gene816-tree")</f>
        <v>Gene816-tree</v>
      </c>
      <c r="X2000">
        <v>6</v>
      </c>
      <c r="Y2000">
        <v>5</v>
      </c>
      <c r="Z2000">
        <v>6</v>
      </c>
      <c r="AA2000">
        <v>5</v>
      </c>
      <c r="AB2000">
        <v>0.45455000000000001</v>
      </c>
      <c r="AC2000" t="s">
        <v>90</v>
      </c>
      <c r="AD2000" t="s">
        <v>199</v>
      </c>
      <c r="AE2000" t="s">
        <v>62</v>
      </c>
      <c r="AF2000" t="s">
        <v>62</v>
      </c>
      <c r="AG2000">
        <v>0</v>
      </c>
      <c r="AH2000">
        <v>0</v>
      </c>
      <c r="AI2000">
        <v>11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11</v>
      </c>
      <c r="AT2000">
        <v>0</v>
      </c>
      <c r="AU2000">
        <v>7</v>
      </c>
      <c r="AV2000">
        <v>4</v>
      </c>
      <c r="AW2000">
        <v>37</v>
      </c>
      <c r="AX2000">
        <v>12</v>
      </c>
      <c r="AY2000">
        <v>5</v>
      </c>
      <c r="AZ2000">
        <v>0</v>
      </c>
      <c r="BA2000" t="s">
        <v>5082</v>
      </c>
      <c r="BB2000" t="s">
        <v>193</v>
      </c>
      <c r="BC2000">
        <v>0.56399999999999995</v>
      </c>
      <c r="BD2000" t="s">
        <v>65</v>
      </c>
      <c r="BE2000">
        <v>42</v>
      </c>
      <c r="BF2000">
        <v>12</v>
      </c>
      <c r="BG2000" t="s">
        <v>5083</v>
      </c>
      <c r="BH2000" t="s">
        <v>5084</v>
      </c>
      <c r="BI2000" t="s">
        <v>5085</v>
      </c>
      <c r="BJ2000">
        <v>6.719E-2</v>
      </c>
      <c r="BK2000">
        <v>1</v>
      </c>
      <c r="BL2000" t="s">
        <v>69</v>
      </c>
      <c r="BM2000">
        <v>-2.496</v>
      </c>
      <c r="BN2000">
        <v>-4.9950000000000001</v>
      </c>
    </row>
    <row r="2001" spans="2:66">
      <c r="B2001">
        <v>3508</v>
      </c>
      <c r="C2001">
        <v>146</v>
      </c>
      <c r="D2001">
        <v>0</v>
      </c>
      <c r="E2001">
        <v>9</v>
      </c>
      <c r="F2001">
        <v>0</v>
      </c>
      <c r="J2001">
        <v>0</v>
      </c>
      <c r="K2001">
        <v>2</v>
      </c>
      <c r="L2001">
        <v>0</v>
      </c>
      <c r="M2001" t="s">
        <v>25022</v>
      </c>
      <c r="N2001">
        <v>817</v>
      </c>
      <c r="O2001" t="s">
        <v>5086</v>
      </c>
      <c r="P2001" t="s">
        <v>57</v>
      </c>
      <c r="Q2001">
        <v>854412</v>
      </c>
      <c r="R2001">
        <v>855074</v>
      </c>
      <c r="S2001" t="s">
        <v>5087</v>
      </c>
      <c r="T2001">
        <v>221</v>
      </c>
      <c r="U2001" t="s">
        <v>108</v>
      </c>
      <c r="V2001">
        <v>44</v>
      </c>
      <c r="W2001" t="str">
        <f>HYPERLINK("Gene817-zp_tree_all.dnd", "Gene817-tree")</f>
        <v>Gene817-tree</v>
      </c>
      <c r="X2001">
        <v>9</v>
      </c>
      <c r="Y2001">
        <v>3</v>
      </c>
      <c r="Z2001">
        <v>9</v>
      </c>
      <c r="AA2001">
        <v>3</v>
      </c>
      <c r="AB2001">
        <v>0.25</v>
      </c>
      <c r="AC2001" t="s">
        <v>135</v>
      </c>
      <c r="AD2001" t="s">
        <v>324</v>
      </c>
      <c r="AE2001" t="s">
        <v>62</v>
      </c>
      <c r="AF2001" t="s">
        <v>62</v>
      </c>
      <c r="AG2001">
        <v>1</v>
      </c>
      <c r="AH2001">
        <v>2</v>
      </c>
      <c r="AI2001">
        <v>3</v>
      </c>
      <c r="AJ2001">
        <v>0.4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4</v>
      </c>
      <c r="AT2001">
        <v>0</v>
      </c>
      <c r="AU2001">
        <v>10</v>
      </c>
      <c r="AV2001">
        <v>7</v>
      </c>
      <c r="AW2001">
        <v>16</v>
      </c>
      <c r="AX2001">
        <v>4</v>
      </c>
      <c r="AY2001">
        <v>7</v>
      </c>
      <c r="AZ2001">
        <v>1</v>
      </c>
      <c r="BA2001" t="s">
        <v>5088</v>
      </c>
      <c r="BB2001" t="s">
        <v>5089</v>
      </c>
      <c r="BC2001">
        <v>0.254</v>
      </c>
      <c r="BD2001" t="s">
        <v>65</v>
      </c>
      <c r="BE2001">
        <v>23</v>
      </c>
      <c r="BF2001">
        <v>5</v>
      </c>
      <c r="BG2001" t="s">
        <v>5090</v>
      </c>
      <c r="BH2001" t="s">
        <v>5091</v>
      </c>
      <c r="BI2001" t="s">
        <v>5092</v>
      </c>
      <c r="BJ2001">
        <v>4.6489999999999997E-2</v>
      </c>
      <c r="BK2001">
        <v>1</v>
      </c>
      <c r="BL2001" t="s">
        <v>69</v>
      </c>
      <c r="BM2001">
        <v>-0.59</v>
      </c>
      <c r="BN2001">
        <v>0.38700000000000001</v>
      </c>
    </row>
    <row r="2002" spans="2:66">
      <c r="B2002">
        <v>3510</v>
      </c>
      <c r="C2002">
        <v>294</v>
      </c>
      <c r="D2002">
        <v>0</v>
      </c>
      <c r="E2002">
        <v>0</v>
      </c>
      <c r="F2002">
        <v>2</v>
      </c>
      <c r="J2002">
        <v>0</v>
      </c>
      <c r="K2002">
        <v>2</v>
      </c>
      <c r="L2002">
        <v>4</v>
      </c>
      <c r="M2002" t="s">
        <v>25022</v>
      </c>
      <c r="N2002">
        <v>819</v>
      </c>
      <c r="O2002" t="s">
        <v>5101</v>
      </c>
      <c r="P2002" t="s">
        <v>57</v>
      </c>
      <c r="Q2002">
        <v>859745</v>
      </c>
      <c r="R2002">
        <v>860260</v>
      </c>
      <c r="S2002" t="s">
        <v>5102</v>
      </c>
      <c r="T2002">
        <v>172</v>
      </c>
      <c r="U2002" t="s">
        <v>108</v>
      </c>
      <c r="V2002">
        <v>44</v>
      </c>
      <c r="W2002" t="str">
        <f>HYPERLINK("Gene819-zp_tree_all.dnd", "Gene819-tree")</f>
        <v>Gene819-tree</v>
      </c>
      <c r="X2002">
        <v>6</v>
      </c>
      <c r="Y2002">
        <v>24</v>
      </c>
      <c r="Z2002">
        <v>6</v>
      </c>
      <c r="AA2002">
        <v>7</v>
      </c>
      <c r="AB2002">
        <v>0.53846000000000005</v>
      </c>
      <c r="AC2002" t="s">
        <v>90</v>
      </c>
      <c r="AD2002" t="s">
        <v>638</v>
      </c>
      <c r="AE2002">
        <v>3.2440000000000002</v>
      </c>
      <c r="AF2002" t="s">
        <v>65</v>
      </c>
      <c r="AG2002">
        <v>3</v>
      </c>
      <c r="AH2002">
        <v>6</v>
      </c>
      <c r="AI2002">
        <v>5</v>
      </c>
      <c r="AJ2002">
        <v>0.54544999999999999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2</v>
      </c>
      <c r="AQ2002">
        <v>4</v>
      </c>
      <c r="AR2002">
        <v>6</v>
      </c>
      <c r="AS2002">
        <v>3</v>
      </c>
      <c r="AT2002">
        <v>0.66666999999999998</v>
      </c>
      <c r="AU2002">
        <v>9</v>
      </c>
      <c r="AV2002">
        <v>7</v>
      </c>
      <c r="AW2002">
        <v>21</v>
      </c>
      <c r="AX2002">
        <v>9</v>
      </c>
      <c r="AY2002">
        <v>16</v>
      </c>
      <c r="AZ2002">
        <v>2</v>
      </c>
      <c r="BA2002" t="s">
        <v>5103</v>
      </c>
      <c r="BB2002" t="s">
        <v>5104</v>
      </c>
      <c r="BC2002">
        <v>1.2270000000000001</v>
      </c>
      <c r="BD2002" t="s">
        <v>65</v>
      </c>
      <c r="BE2002">
        <v>37</v>
      </c>
      <c r="BF2002">
        <v>11</v>
      </c>
      <c r="BG2002" t="s">
        <v>5105</v>
      </c>
      <c r="BH2002" t="s">
        <v>5106</v>
      </c>
      <c r="BI2002" t="s">
        <v>5107</v>
      </c>
      <c r="BJ2002">
        <v>8.498E-2</v>
      </c>
      <c r="BK2002">
        <v>1</v>
      </c>
      <c r="BL2002" t="s">
        <v>69</v>
      </c>
      <c r="BM2002">
        <v>-0.44500000000000001</v>
      </c>
      <c r="BN2002">
        <v>-0.85099999999999998</v>
      </c>
    </row>
    <row r="2003" spans="2:66">
      <c r="B2003">
        <v>3512</v>
      </c>
      <c r="C2003">
        <v>149</v>
      </c>
      <c r="D2003">
        <v>0</v>
      </c>
      <c r="E2003">
        <v>7</v>
      </c>
      <c r="F2003">
        <v>2</v>
      </c>
      <c r="J2003">
        <v>0</v>
      </c>
      <c r="K2003">
        <v>2</v>
      </c>
      <c r="L2003">
        <v>0</v>
      </c>
      <c r="M2003" t="s">
        <v>25022</v>
      </c>
      <c r="N2003">
        <v>822</v>
      </c>
      <c r="O2003" t="s">
        <v>5120</v>
      </c>
      <c r="P2003" t="s">
        <v>57</v>
      </c>
      <c r="Q2003">
        <v>862004</v>
      </c>
      <c r="R2003">
        <v>862471</v>
      </c>
      <c r="S2003" t="s">
        <v>5121</v>
      </c>
      <c r="T2003">
        <v>156</v>
      </c>
      <c r="U2003" t="s">
        <v>5122</v>
      </c>
      <c r="V2003">
        <v>32</v>
      </c>
      <c r="W2003" t="str">
        <f>HYPERLINK("Gene822-zp_tree_all.dnd", "Gene822-tree")</f>
        <v>Gene822-tree</v>
      </c>
      <c r="X2003">
        <v>7</v>
      </c>
      <c r="Y2003">
        <v>2</v>
      </c>
      <c r="Z2003">
        <v>7</v>
      </c>
      <c r="AA2003">
        <v>2</v>
      </c>
      <c r="AB2003">
        <v>0.22222</v>
      </c>
      <c r="AC2003" t="s">
        <v>152</v>
      </c>
      <c r="AD2003" t="s">
        <v>81</v>
      </c>
      <c r="AE2003" t="s">
        <v>62</v>
      </c>
      <c r="AF2003" t="s">
        <v>62</v>
      </c>
      <c r="AG2003">
        <v>1</v>
      </c>
      <c r="AH2003">
        <v>2</v>
      </c>
      <c r="AI2003">
        <v>5</v>
      </c>
      <c r="AJ2003">
        <v>0.28571000000000002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3</v>
      </c>
      <c r="AT2003">
        <v>0</v>
      </c>
      <c r="AU2003">
        <v>6</v>
      </c>
      <c r="AV2003">
        <v>6</v>
      </c>
      <c r="AW2003">
        <v>7</v>
      </c>
      <c r="AX2003">
        <v>3</v>
      </c>
      <c r="AY2003">
        <v>22</v>
      </c>
      <c r="AZ2003">
        <v>4</v>
      </c>
      <c r="BA2003" t="s">
        <v>5123</v>
      </c>
      <c r="BB2003" t="s">
        <v>5124</v>
      </c>
      <c r="BC2003">
        <v>0.56899999999999995</v>
      </c>
      <c r="BD2003" t="s">
        <v>65</v>
      </c>
      <c r="BE2003">
        <v>29</v>
      </c>
      <c r="BF2003">
        <v>7</v>
      </c>
      <c r="BG2003" t="s">
        <v>5125</v>
      </c>
      <c r="BH2003" t="s">
        <v>5126</v>
      </c>
      <c r="BI2003" t="s">
        <v>5127</v>
      </c>
      <c r="BJ2003">
        <v>5.092E-2</v>
      </c>
      <c r="BK2003">
        <v>1</v>
      </c>
      <c r="BL2003" t="s">
        <v>69</v>
      </c>
      <c r="BM2003">
        <v>0.27500000000000002</v>
      </c>
      <c r="BN2003">
        <v>0.30399999999999999</v>
      </c>
    </row>
    <row r="2004" spans="2:66">
      <c r="B2004">
        <v>3513</v>
      </c>
      <c r="C2004">
        <v>202</v>
      </c>
      <c r="D2004">
        <v>0</v>
      </c>
      <c r="E2004">
        <v>3</v>
      </c>
      <c r="F2004">
        <v>1</v>
      </c>
      <c r="J2004">
        <v>0</v>
      </c>
      <c r="K2004">
        <v>0</v>
      </c>
      <c r="L2004">
        <v>0</v>
      </c>
      <c r="M2004" t="s">
        <v>25022</v>
      </c>
      <c r="N2004">
        <v>823</v>
      </c>
      <c r="O2004" t="s">
        <v>5128</v>
      </c>
      <c r="P2004" t="s">
        <v>57</v>
      </c>
      <c r="Q2004">
        <v>862492</v>
      </c>
      <c r="R2004">
        <v>862809</v>
      </c>
      <c r="S2004" t="s">
        <v>288</v>
      </c>
      <c r="T2004">
        <v>106</v>
      </c>
      <c r="U2004" t="s">
        <v>108</v>
      </c>
      <c r="V2004">
        <v>44</v>
      </c>
      <c r="W2004" t="str">
        <f>HYPERLINK("Gene823-zp_tree_all.dnd", "Gene823-tree")</f>
        <v>Gene823-tree</v>
      </c>
      <c r="X2004">
        <v>6</v>
      </c>
      <c r="Y2004">
        <v>3</v>
      </c>
      <c r="Z2004">
        <v>6</v>
      </c>
      <c r="AA2004">
        <v>3</v>
      </c>
      <c r="AB2004">
        <v>0.33333000000000002</v>
      </c>
      <c r="AC2004" t="s">
        <v>90</v>
      </c>
      <c r="AD2004" t="s">
        <v>324</v>
      </c>
      <c r="AE2004" t="s">
        <v>62</v>
      </c>
      <c r="AF2004" t="s">
        <v>62</v>
      </c>
      <c r="AG2004">
        <v>0</v>
      </c>
      <c r="AH2004">
        <v>0</v>
      </c>
      <c r="AI2004">
        <v>3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3</v>
      </c>
      <c r="AT2004">
        <v>0</v>
      </c>
      <c r="AU2004">
        <v>6</v>
      </c>
      <c r="AV2004">
        <v>4</v>
      </c>
      <c r="AW2004">
        <v>10</v>
      </c>
      <c r="AX2004">
        <v>3</v>
      </c>
      <c r="AY2004">
        <v>9</v>
      </c>
      <c r="AZ2004">
        <v>0</v>
      </c>
      <c r="BA2004" t="s">
        <v>5129</v>
      </c>
      <c r="BB2004" t="s">
        <v>193</v>
      </c>
      <c r="BC2004">
        <v>2.2639999999999998</v>
      </c>
      <c r="BD2004" t="s">
        <v>267</v>
      </c>
      <c r="BE2004">
        <v>19</v>
      </c>
      <c r="BF2004">
        <v>3</v>
      </c>
      <c r="BG2004" t="s">
        <v>5130</v>
      </c>
      <c r="BH2004" t="s">
        <v>5131</v>
      </c>
      <c r="BI2004" t="s">
        <v>5132</v>
      </c>
      <c r="BJ2004">
        <v>2.9579999999999999E-2</v>
      </c>
      <c r="BK2004">
        <v>1</v>
      </c>
      <c r="BL2004" t="s">
        <v>69</v>
      </c>
      <c r="BM2004">
        <v>0.13100000000000001</v>
      </c>
      <c r="BN2004">
        <v>-0.46100000000000002</v>
      </c>
    </row>
    <row r="2005" spans="2:66">
      <c r="B2005">
        <v>3514</v>
      </c>
      <c r="C2005">
        <v>63</v>
      </c>
      <c r="D2005">
        <v>0</v>
      </c>
      <c r="E2005">
        <v>10</v>
      </c>
      <c r="F2005">
        <v>0</v>
      </c>
      <c r="J2005">
        <v>0</v>
      </c>
      <c r="K2005">
        <v>3</v>
      </c>
      <c r="L2005">
        <v>0</v>
      </c>
      <c r="M2005" t="s">
        <v>25022</v>
      </c>
      <c r="N2005">
        <v>824</v>
      </c>
      <c r="O2005" t="s">
        <v>5133</v>
      </c>
      <c r="P2005" t="s">
        <v>57</v>
      </c>
      <c r="Q2005">
        <v>862836</v>
      </c>
      <c r="R2005">
        <v>863660</v>
      </c>
      <c r="S2005" t="s">
        <v>5134</v>
      </c>
      <c r="T2005">
        <v>275</v>
      </c>
      <c r="U2005" t="s">
        <v>108</v>
      </c>
      <c r="V2005">
        <v>44</v>
      </c>
      <c r="W2005" t="str">
        <f>HYPERLINK("Gene824-zp_tree_all.dnd", "Gene824-tree")</f>
        <v>Gene824-tree</v>
      </c>
      <c r="X2005">
        <v>8</v>
      </c>
      <c r="Y2005">
        <v>3</v>
      </c>
      <c r="Z2005">
        <v>8</v>
      </c>
      <c r="AA2005">
        <v>3</v>
      </c>
      <c r="AB2005">
        <v>0.27272999999999997</v>
      </c>
      <c r="AC2005" t="s">
        <v>136</v>
      </c>
      <c r="AD2005" t="s">
        <v>324</v>
      </c>
      <c r="AE2005" t="s">
        <v>62</v>
      </c>
      <c r="AF2005" t="s">
        <v>62</v>
      </c>
      <c r="AG2005">
        <v>1</v>
      </c>
      <c r="AH2005">
        <v>3</v>
      </c>
      <c r="AI2005">
        <v>1</v>
      </c>
      <c r="AJ2005">
        <v>0.75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2</v>
      </c>
      <c r="AQ2005">
        <v>0</v>
      </c>
      <c r="AR2005">
        <v>2</v>
      </c>
      <c r="AS2005">
        <v>1</v>
      </c>
      <c r="AT2005">
        <v>0.66666999999999998</v>
      </c>
      <c r="AU2005">
        <v>10</v>
      </c>
      <c r="AV2005">
        <v>6</v>
      </c>
      <c r="AW2005">
        <v>31</v>
      </c>
      <c r="AX2005">
        <v>3</v>
      </c>
      <c r="AY2005">
        <v>14</v>
      </c>
      <c r="AZ2005">
        <v>1</v>
      </c>
      <c r="BA2005" t="s">
        <v>5135</v>
      </c>
      <c r="BB2005" t="s">
        <v>5136</v>
      </c>
      <c r="BC2005">
        <v>0.13800000000000001</v>
      </c>
      <c r="BD2005" t="s">
        <v>65</v>
      </c>
      <c r="BE2005">
        <v>45</v>
      </c>
      <c r="BF2005">
        <v>4</v>
      </c>
      <c r="BG2005" t="s">
        <v>5137</v>
      </c>
      <c r="BH2005" t="s">
        <v>5138</v>
      </c>
      <c r="BI2005" t="s">
        <v>5139</v>
      </c>
      <c r="BJ2005">
        <v>2.9340000000000001E-2</v>
      </c>
      <c r="BK2005">
        <v>1</v>
      </c>
      <c r="BL2005" t="s">
        <v>69</v>
      </c>
      <c r="BM2005">
        <v>-1.0669999999999999</v>
      </c>
      <c r="BN2005">
        <v>-2.9159999999999999</v>
      </c>
    </row>
    <row r="2006" spans="2:66">
      <c r="B2006">
        <v>3515</v>
      </c>
      <c r="C2006">
        <v>4</v>
      </c>
      <c r="D2006">
        <v>0</v>
      </c>
      <c r="E2006">
        <v>30</v>
      </c>
      <c r="F2006">
        <v>2</v>
      </c>
      <c r="J2006">
        <v>0</v>
      </c>
      <c r="K2006">
        <v>0</v>
      </c>
      <c r="L2006">
        <v>2</v>
      </c>
      <c r="M2006" t="s">
        <v>25022</v>
      </c>
      <c r="N2006">
        <v>826</v>
      </c>
      <c r="O2006" t="s">
        <v>5146</v>
      </c>
      <c r="P2006" t="s">
        <v>57</v>
      </c>
      <c r="Q2006">
        <v>865205</v>
      </c>
      <c r="R2006">
        <v>866257</v>
      </c>
      <c r="S2006" t="s">
        <v>5147</v>
      </c>
      <c r="T2006">
        <v>351</v>
      </c>
      <c r="U2006" t="s">
        <v>108</v>
      </c>
      <c r="V2006">
        <v>44</v>
      </c>
      <c r="W2006" t="str">
        <f>HYPERLINK("Gene826-zp_tree_all.dnd", "Gene826-tree")</f>
        <v>Gene826-tree</v>
      </c>
      <c r="X2006">
        <v>13</v>
      </c>
      <c r="Y2006">
        <v>3</v>
      </c>
      <c r="Z2006">
        <v>13</v>
      </c>
      <c r="AA2006">
        <v>3</v>
      </c>
      <c r="AB2006">
        <v>0.1875</v>
      </c>
      <c r="AC2006" t="s">
        <v>507</v>
      </c>
      <c r="AD2006" t="s">
        <v>324</v>
      </c>
      <c r="AE2006" t="s">
        <v>62</v>
      </c>
      <c r="AF2006" t="s">
        <v>62</v>
      </c>
      <c r="AG2006">
        <v>1</v>
      </c>
      <c r="AH2006">
        <v>2</v>
      </c>
      <c r="AI2006">
        <v>3</v>
      </c>
      <c r="AJ2006">
        <v>0.4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4</v>
      </c>
      <c r="AT2006">
        <v>0</v>
      </c>
      <c r="AU2006">
        <v>13</v>
      </c>
      <c r="AV2006">
        <v>10</v>
      </c>
      <c r="AW2006">
        <v>45</v>
      </c>
      <c r="AX2006">
        <v>4</v>
      </c>
      <c r="AY2006">
        <v>18</v>
      </c>
      <c r="AZ2006">
        <v>1</v>
      </c>
      <c r="BA2006" t="s">
        <v>5148</v>
      </c>
      <c r="BB2006" t="s">
        <v>5149</v>
      </c>
      <c r="BC2006">
        <v>0.159</v>
      </c>
      <c r="BD2006" t="s">
        <v>65</v>
      </c>
      <c r="BE2006">
        <v>63</v>
      </c>
      <c r="BF2006">
        <v>5</v>
      </c>
      <c r="BG2006" t="s">
        <v>5150</v>
      </c>
      <c r="BH2006" t="s">
        <v>5151</v>
      </c>
      <c r="BI2006" t="s">
        <v>5152</v>
      </c>
      <c r="BJ2006">
        <v>2.7269999999999999E-2</v>
      </c>
      <c r="BK2006">
        <v>1</v>
      </c>
      <c r="BL2006" t="s">
        <v>69</v>
      </c>
      <c r="BM2006">
        <v>-1.004</v>
      </c>
      <c r="BN2006">
        <v>-2.8420000000000001</v>
      </c>
    </row>
    <row r="2007" spans="2:66">
      <c r="B2007">
        <v>3516</v>
      </c>
      <c r="C2007">
        <v>130</v>
      </c>
      <c r="D2007">
        <v>0</v>
      </c>
      <c r="E2007">
        <v>2</v>
      </c>
      <c r="F2007">
        <v>0</v>
      </c>
      <c r="J2007">
        <v>0</v>
      </c>
      <c r="K2007">
        <v>0</v>
      </c>
      <c r="L2007">
        <v>0</v>
      </c>
      <c r="M2007" t="s">
        <v>25022</v>
      </c>
      <c r="N2007">
        <v>827</v>
      </c>
      <c r="O2007" t="s">
        <v>5153</v>
      </c>
      <c r="P2007" t="s">
        <v>57</v>
      </c>
      <c r="Q2007">
        <v>866331</v>
      </c>
      <c r="R2007">
        <v>867122</v>
      </c>
      <c r="S2007" t="s">
        <v>288</v>
      </c>
      <c r="T2007">
        <v>264</v>
      </c>
      <c r="U2007" t="s">
        <v>108</v>
      </c>
      <c r="V2007">
        <v>44</v>
      </c>
      <c r="W2007" t="str">
        <f>HYPERLINK("Gene827-zp_tree_all.dnd", "Gene827-tree")</f>
        <v>Gene827-tree</v>
      </c>
      <c r="X2007">
        <v>30</v>
      </c>
      <c r="Y2007">
        <v>3</v>
      </c>
      <c r="Z2007">
        <v>13</v>
      </c>
      <c r="AA2007">
        <v>3</v>
      </c>
      <c r="AB2007">
        <v>0.1875</v>
      </c>
      <c r="AC2007" t="s">
        <v>2704</v>
      </c>
      <c r="AD2007" t="s">
        <v>324</v>
      </c>
      <c r="AE2007" t="s">
        <v>62</v>
      </c>
      <c r="AF2007" t="s">
        <v>62</v>
      </c>
      <c r="AG2007">
        <v>0</v>
      </c>
      <c r="AH2007">
        <v>0</v>
      </c>
      <c r="AI2007">
        <v>3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3</v>
      </c>
      <c r="AT2007">
        <v>0</v>
      </c>
      <c r="AU2007">
        <v>16</v>
      </c>
      <c r="AV2007">
        <v>8</v>
      </c>
      <c r="AW2007">
        <v>32</v>
      </c>
      <c r="AX2007">
        <v>3</v>
      </c>
      <c r="AY2007">
        <v>18</v>
      </c>
      <c r="AZ2007">
        <v>0</v>
      </c>
      <c r="BA2007" t="s">
        <v>5154</v>
      </c>
      <c r="BB2007" t="s">
        <v>193</v>
      </c>
      <c r="BC2007">
        <v>0.86</v>
      </c>
      <c r="BD2007" t="s">
        <v>65</v>
      </c>
      <c r="BE2007">
        <v>50</v>
      </c>
      <c r="BF2007">
        <v>3</v>
      </c>
      <c r="BG2007" t="s">
        <v>5155</v>
      </c>
      <c r="BH2007" t="s">
        <v>5156</v>
      </c>
      <c r="BI2007" t="s">
        <v>5157</v>
      </c>
      <c r="BJ2007">
        <v>1.9429999999999999E-2</v>
      </c>
      <c r="BK2007">
        <v>1</v>
      </c>
      <c r="BL2007" t="s">
        <v>69</v>
      </c>
      <c r="BM2007">
        <v>0.11899999999999999</v>
      </c>
      <c r="BN2007">
        <v>-1.738</v>
      </c>
    </row>
    <row r="2008" spans="2:66">
      <c r="B2008">
        <v>3517</v>
      </c>
      <c r="C2008">
        <v>325</v>
      </c>
      <c r="D2008">
        <v>0</v>
      </c>
      <c r="E2008">
        <v>4</v>
      </c>
      <c r="F2008">
        <v>0</v>
      </c>
      <c r="J2008">
        <v>0</v>
      </c>
      <c r="K2008">
        <v>0</v>
      </c>
      <c r="L2008">
        <v>0</v>
      </c>
      <c r="M2008" t="s">
        <v>25022</v>
      </c>
      <c r="N2008">
        <v>830</v>
      </c>
      <c r="O2008" t="s">
        <v>5172</v>
      </c>
      <c r="P2008" t="s">
        <v>57</v>
      </c>
      <c r="Q2008">
        <v>869273</v>
      </c>
      <c r="R2008">
        <v>869455</v>
      </c>
      <c r="S2008" t="s">
        <v>288</v>
      </c>
      <c r="T2008">
        <v>61</v>
      </c>
      <c r="U2008" t="s">
        <v>59</v>
      </c>
      <c r="V2008">
        <v>49</v>
      </c>
      <c r="W2008" t="str">
        <f>HYPERLINK("Gene830-zp_tree_all.dnd", "Gene830-tree")</f>
        <v>Gene830-tree</v>
      </c>
      <c r="X2008">
        <v>10</v>
      </c>
      <c r="Y2008">
        <v>0</v>
      </c>
      <c r="Z2008">
        <v>10</v>
      </c>
      <c r="AA2008">
        <v>0</v>
      </c>
      <c r="AB2008">
        <v>0</v>
      </c>
      <c r="AC2008" t="s">
        <v>117</v>
      </c>
      <c r="AD2008" t="s">
        <v>62</v>
      </c>
      <c r="AE2008" t="s">
        <v>62</v>
      </c>
      <c r="AF2008" t="s">
        <v>62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6</v>
      </c>
      <c r="AV2008">
        <v>4</v>
      </c>
      <c r="AW2008">
        <v>8</v>
      </c>
      <c r="AX2008">
        <v>0</v>
      </c>
      <c r="AY2008">
        <v>12</v>
      </c>
      <c r="AZ2008">
        <v>1</v>
      </c>
      <c r="BA2008" t="s">
        <v>193</v>
      </c>
      <c r="BB2008" t="s">
        <v>5173</v>
      </c>
      <c r="BC2008">
        <v>0.57999999999999996</v>
      </c>
      <c r="BD2008" t="s">
        <v>65</v>
      </c>
      <c r="BE2008">
        <v>20</v>
      </c>
      <c r="BF2008">
        <v>1</v>
      </c>
      <c r="BG2008" t="s">
        <v>5174</v>
      </c>
      <c r="BH2008" t="s">
        <v>5175</v>
      </c>
      <c r="BI2008" t="s">
        <v>5176</v>
      </c>
      <c r="BJ2008">
        <v>1.2409999999999999E-2</v>
      </c>
      <c r="BK2008">
        <v>1</v>
      </c>
      <c r="BL2008" t="s">
        <v>69</v>
      </c>
      <c r="BM2008">
        <v>-1.1879999999999999</v>
      </c>
      <c r="BN2008">
        <v>1.161</v>
      </c>
    </row>
    <row r="2009" spans="2:66">
      <c r="B2009">
        <v>3518</v>
      </c>
      <c r="C2009">
        <v>56</v>
      </c>
      <c r="D2009">
        <v>0</v>
      </c>
      <c r="E2009">
        <v>10</v>
      </c>
      <c r="F2009">
        <v>0</v>
      </c>
      <c r="J2009">
        <v>0</v>
      </c>
      <c r="K2009">
        <v>0</v>
      </c>
      <c r="L2009">
        <v>0</v>
      </c>
      <c r="M2009" t="s">
        <v>25022</v>
      </c>
      <c r="N2009">
        <v>831</v>
      </c>
      <c r="O2009" t="s">
        <v>5177</v>
      </c>
      <c r="P2009" t="s">
        <v>57</v>
      </c>
      <c r="Q2009">
        <v>869559</v>
      </c>
      <c r="R2009">
        <v>870347</v>
      </c>
      <c r="S2009" t="s">
        <v>5178</v>
      </c>
      <c r="T2009">
        <v>263</v>
      </c>
      <c r="U2009" t="s">
        <v>108</v>
      </c>
      <c r="V2009">
        <v>44</v>
      </c>
      <c r="W2009" t="str">
        <f>HYPERLINK("Gene831-zp_tree_all.dnd", "Gene831-tree")</f>
        <v>Gene831-tree</v>
      </c>
      <c r="X2009">
        <v>11</v>
      </c>
      <c r="Y2009">
        <v>2</v>
      </c>
      <c r="Z2009">
        <v>11</v>
      </c>
      <c r="AA2009">
        <v>2</v>
      </c>
      <c r="AB2009">
        <v>0.15384999999999999</v>
      </c>
      <c r="AC2009" t="s">
        <v>73</v>
      </c>
      <c r="AD2009" t="s">
        <v>81</v>
      </c>
      <c r="AE2009" t="s">
        <v>62</v>
      </c>
      <c r="AF2009" t="s">
        <v>62</v>
      </c>
      <c r="AG2009">
        <v>0</v>
      </c>
      <c r="AH2009">
        <v>0</v>
      </c>
      <c r="AI2009">
        <v>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2</v>
      </c>
      <c r="AT2009">
        <v>0</v>
      </c>
      <c r="AU2009">
        <v>11</v>
      </c>
      <c r="AV2009">
        <v>9</v>
      </c>
      <c r="AW2009">
        <v>21</v>
      </c>
      <c r="AX2009">
        <v>3</v>
      </c>
      <c r="AY2009">
        <v>32</v>
      </c>
      <c r="AZ2009">
        <v>2</v>
      </c>
      <c r="BA2009" t="s">
        <v>5179</v>
      </c>
      <c r="BB2009" t="s">
        <v>5180</v>
      </c>
      <c r="BC2009">
        <v>0.25800000000000001</v>
      </c>
      <c r="BD2009" t="s">
        <v>65</v>
      </c>
      <c r="BE2009">
        <v>53</v>
      </c>
      <c r="BF2009">
        <v>5</v>
      </c>
      <c r="BG2009" t="s">
        <v>5181</v>
      </c>
      <c r="BH2009" t="s">
        <v>5182</v>
      </c>
      <c r="BI2009" t="s">
        <v>5183</v>
      </c>
      <c r="BJ2009">
        <v>3.1730000000000001E-2</v>
      </c>
      <c r="BK2009">
        <v>1</v>
      </c>
      <c r="BL2009" t="s">
        <v>69</v>
      </c>
      <c r="BM2009">
        <v>-4.9000000000000002E-2</v>
      </c>
      <c r="BN2009">
        <v>0.46800000000000003</v>
      </c>
    </row>
    <row r="2010" spans="2:66">
      <c r="B2010">
        <v>3519</v>
      </c>
      <c r="C2010">
        <v>202</v>
      </c>
      <c r="D2010">
        <v>0</v>
      </c>
      <c r="E2010">
        <v>4</v>
      </c>
      <c r="F2010">
        <v>1</v>
      </c>
      <c r="J2010">
        <v>0</v>
      </c>
      <c r="K2010">
        <v>5</v>
      </c>
      <c r="L2010">
        <v>0</v>
      </c>
      <c r="M2010" t="s">
        <v>25022</v>
      </c>
      <c r="N2010">
        <v>834</v>
      </c>
      <c r="O2010" t="s">
        <v>5198</v>
      </c>
      <c r="P2010" t="s">
        <v>57</v>
      </c>
      <c r="Q2010">
        <v>872425</v>
      </c>
      <c r="R2010">
        <v>873285</v>
      </c>
      <c r="S2010" t="s">
        <v>5199</v>
      </c>
      <c r="T2010">
        <v>287</v>
      </c>
      <c r="U2010" t="s">
        <v>108</v>
      </c>
      <c r="V2010">
        <v>44</v>
      </c>
      <c r="W2010" t="str">
        <f>HYPERLINK("Gene834-zp_tree_all.dnd", "Gene834-tree")</f>
        <v>Gene834-tree</v>
      </c>
      <c r="X2010">
        <v>7</v>
      </c>
      <c r="Y2010">
        <v>7</v>
      </c>
      <c r="Z2010">
        <v>7</v>
      </c>
      <c r="AA2010">
        <v>7</v>
      </c>
      <c r="AB2010">
        <v>0.5</v>
      </c>
      <c r="AC2010" t="s">
        <v>152</v>
      </c>
      <c r="AD2010" t="s">
        <v>152</v>
      </c>
      <c r="AE2010" t="s">
        <v>62</v>
      </c>
      <c r="AF2010" t="s">
        <v>62</v>
      </c>
      <c r="AG2010">
        <v>2</v>
      </c>
      <c r="AH2010">
        <v>5</v>
      </c>
      <c r="AI2010">
        <v>6</v>
      </c>
      <c r="AJ2010">
        <v>0.45455000000000001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2</v>
      </c>
      <c r="AQ2010">
        <v>0</v>
      </c>
      <c r="AR2010">
        <v>2</v>
      </c>
      <c r="AS2010">
        <v>7</v>
      </c>
      <c r="AT2010">
        <v>0.22222</v>
      </c>
      <c r="AU2010">
        <v>14</v>
      </c>
      <c r="AV2010">
        <v>10</v>
      </c>
      <c r="AW2010">
        <v>35</v>
      </c>
      <c r="AX2010">
        <v>10</v>
      </c>
      <c r="AY2010">
        <v>20</v>
      </c>
      <c r="AZ2010">
        <v>2</v>
      </c>
      <c r="BA2010" t="s">
        <v>5200</v>
      </c>
      <c r="BB2010" t="s">
        <v>5201</v>
      </c>
      <c r="BC2010">
        <v>0.88600000000000001</v>
      </c>
      <c r="BD2010" t="s">
        <v>65</v>
      </c>
      <c r="BE2010">
        <v>55</v>
      </c>
      <c r="BF2010">
        <v>12</v>
      </c>
      <c r="BG2010" t="s">
        <v>5202</v>
      </c>
      <c r="BH2010" t="s">
        <v>5203</v>
      </c>
      <c r="BI2010" t="s">
        <v>5204</v>
      </c>
      <c r="BJ2010">
        <v>5.5919999999999997E-2</v>
      </c>
      <c r="BK2010">
        <v>1</v>
      </c>
      <c r="BL2010" t="s">
        <v>69</v>
      </c>
      <c r="BM2010">
        <v>-0.32100000000000001</v>
      </c>
      <c r="BN2010">
        <v>-0.70699999999999996</v>
      </c>
    </row>
    <row r="2011" spans="2:66">
      <c r="B2011">
        <v>3520</v>
      </c>
      <c r="C2011">
        <v>87</v>
      </c>
      <c r="D2011">
        <v>0</v>
      </c>
      <c r="E2011">
        <v>0</v>
      </c>
      <c r="F2011">
        <v>2</v>
      </c>
      <c r="J2011">
        <v>0</v>
      </c>
      <c r="K2011">
        <v>5</v>
      </c>
      <c r="L2011">
        <v>2</v>
      </c>
      <c r="M2011" t="s">
        <v>25022</v>
      </c>
      <c r="N2011">
        <v>835</v>
      </c>
      <c r="O2011" t="s">
        <v>5205</v>
      </c>
      <c r="P2011" t="s">
        <v>57</v>
      </c>
      <c r="Q2011">
        <v>873402</v>
      </c>
      <c r="R2011">
        <v>874799</v>
      </c>
      <c r="S2011" t="s">
        <v>5206</v>
      </c>
      <c r="T2011">
        <v>466</v>
      </c>
      <c r="U2011" t="s">
        <v>108</v>
      </c>
      <c r="V2011">
        <v>44</v>
      </c>
      <c r="W2011" t="str">
        <f>HYPERLINK("Gene835-zp_tree_all.dnd", "Gene835-tree")</f>
        <v>Gene835-tree</v>
      </c>
      <c r="X2011">
        <v>9</v>
      </c>
      <c r="Y2011">
        <v>7</v>
      </c>
      <c r="Z2011">
        <v>9</v>
      </c>
      <c r="AA2011">
        <v>7</v>
      </c>
      <c r="AB2011">
        <v>0.4375</v>
      </c>
      <c r="AC2011" t="s">
        <v>135</v>
      </c>
      <c r="AD2011" t="s">
        <v>152</v>
      </c>
      <c r="AE2011" t="s">
        <v>62</v>
      </c>
      <c r="AF2011" t="s">
        <v>62</v>
      </c>
      <c r="AG2011">
        <v>3</v>
      </c>
      <c r="AH2011">
        <v>7</v>
      </c>
      <c r="AI2011">
        <v>9</v>
      </c>
      <c r="AJ2011">
        <v>0.4375</v>
      </c>
      <c r="AK2011">
        <v>2</v>
      </c>
      <c r="AL2011">
        <v>0</v>
      </c>
      <c r="AM2011">
        <v>2</v>
      </c>
      <c r="AN2011">
        <v>2</v>
      </c>
      <c r="AO2011">
        <v>0.5</v>
      </c>
      <c r="AP2011">
        <v>2</v>
      </c>
      <c r="AQ2011">
        <v>2</v>
      </c>
      <c r="AR2011">
        <v>4</v>
      </c>
      <c r="AS2011">
        <v>7</v>
      </c>
      <c r="AT2011">
        <v>0.36364000000000002</v>
      </c>
      <c r="AU2011">
        <v>13</v>
      </c>
      <c r="AV2011">
        <v>12</v>
      </c>
      <c r="AW2011">
        <v>71</v>
      </c>
      <c r="AX2011">
        <v>11</v>
      </c>
      <c r="AY2011">
        <v>48</v>
      </c>
      <c r="AZ2011">
        <v>5</v>
      </c>
      <c r="BA2011" t="s">
        <v>5207</v>
      </c>
      <c r="BB2011" t="s">
        <v>5208</v>
      </c>
      <c r="BC2011">
        <v>0.29199999999999998</v>
      </c>
      <c r="BD2011" t="s">
        <v>65</v>
      </c>
      <c r="BE2011">
        <v>119</v>
      </c>
      <c r="BF2011">
        <v>16</v>
      </c>
      <c r="BG2011" t="s">
        <v>5209</v>
      </c>
      <c r="BH2011" t="s">
        <v>5210</v>
      </c>
      <c r="BI2011" t="s">
        <v>5211</v>
      </c>
      <c r="BJ2011">
        <v>3.2480000000000002E-2</v>
      </c>
      <c r="BK2011">
        <v>1</v>
      </c>
      <c r="BL2011" t="s">
        <v>69</v>
      </c>
      <c r="BM2011">
        <v>-1.008</v>
      </c>
      <c r="BN2011">
        <v>-2.032</v>
      </c>
    </row>
    <row r="2012" spans="2:66">
      <c r="B2012">
        <v>3522</v>
      </c>
      <c r="C2012">
        <v>45</v>
      </c>
      <c r="D2012">
        <v>0</v>
      </c>
      <c r="E2012">
        <v>10</v>
      </c>
      <c r="F2012">
        <v>0</v>
      </c>
      <c r="J2012">
        <v>0</v>
      </c>
      <c r="K2012">
        <v>0</v>
      </c>
      <c r="L2012">
        <v>0</v>
      </c>
      <c r="M2012" t="s">
        <v>25022</v>
      </c>
      <c r="N2012">
        <v>836</v>
      </c>
      <c r="O2012" t="s">
        <v>5212</v>
      </c>
      <c r="P2012" t="s">
        <v>57</v>
      </c>
      <c r="Q2012">
        <v>875428</v>
      </c>
      <c r="R2012">
        <v>875691</v>
      </c>
      <c r="S2012" t="s">
        <v>288</v>
      </c>
      <c r="T2012">
        <v>88</v>
      </c>
      <c r="U2012" t="s">
        <v>5213</v>
      </c>
      <c r="V2012">
        <v>44</v>
      </c>
      <c r="W2012" t="str">
        <f>HYPERLINK("Gene836-zp_tree_all.dnd", "Gene836-tree")</f>
        <v>Gene836-tree</v>
      </c>
      <c r="X2012">
        <v>27</v>
      </c>
      <c r="Y2012">
        <v>7</v>
      </c>
      <c r="Z2012">
        <v>2</v>
      </c>
      <c r="AA2012">
        <v>7</v>
      </c>
      <c r="AB2012">
        <v>0.77778000000000003</v>
      </c>
      <c r="AC2012" t="s">
        <v>5214</v>
      </c>
      <c r="AD2012" t="s">
        <v>152</v>
      </c>
      <c r="AE2012" t="s">
        <v>62</v>
      </c>
      <c r="AF2012" t="s">
        <v>62</v>
      </c>
      <c r="AG2012">
        <v>0</v>
      </c>
      <c r="AH2012">
        <v>0</v>
      </c>
      <c r="AI2012">
        <v>9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9</v>
      </c>
      <c r="AT2012">
        <v>0</v>
      </c>
      <c r="AU2012">
        <v>8</v>
      </c>
      <c r="AV2012">
        <v>1</v>
      </c>
      <c r="AW2012">
        <v>5</v>
      </c>
      <c r="AX2012">
        <v>9</v>
      </c>
      <c r="AY2012">
        <v>1</v>
      </c>
      <c r="AZ2012">
        <v>0</v>
      </c>
      <c r="BA2012" t="s">
        <v>5215</v>
      </c>
      <c r="BB2012" t="s">
        <v>193</v>
      </c>
      <c r="BC2012">
        <v>1.302</v>
      </c>
      <c r="BD2012" t="s">
        <v>65</v>
      </c>
      <c r="BE2012">
        <v>6</v>
      </c>
      <c r="BF2012">
        <v>9</v>
      </c>
      <c r="BG2012" t="s">
        <v>5216</v>
      </c>
      <c r="BH2012" t="s">
        <v>5217</v>
      </c>
      <c r="BI2012" t="s">
        <v>5218</v>
      </c>
      <c r="BJ2012">
        <v>0.35509000000000002</v>
      </c>
      <c r="BK2012">
        <v>0.96</v>
      </c>
      <c r="BL2012" t="s">
        <v>69</v>
      </c>
      <c r="BM2012">
        <v>-2.0089999999999999</v>
      </c>
      <c r="BN2012">
        <v>-3.3149999999999999</v>
      </c>
    </row>
    <row r="2013" spans="2:66">
      <c r="B2013">
        <v>3525</v>
      </c>
      <c r="C2013">
        <v>151</v>
      </c>
      <c r="D2013">
        <v>0</v>
      </c>
      <c r="E2013">
        <v>4</v>
      </c>
      <c r="F2013">
        <v>0</v>
      </c>
      <c r="J2013">
        <v>0</v>
      </c>
      <c r="K2013">
        <v>5</v>
      </c>
      <c r="L2013">
        <v>0</v>
      </c>
      <c r="M2013" t="s">
        <v>25022</v>
      </c>
      <c r="N2013">
        <v>837</v>
      </c>
      <c r="O2013" t="s">
        <v>5219</v>
      </c>
      <c r="P2013" t="s">
        <v>57</v>
      </c>
      <c r="Q2013">
        <v>876426</v>
      </c>
      <c r="R2013">
        <v>877400</v>
      </c>
      <c r="S2013" t="s">
        <v>5220</v>
      </c>
      <c r="T2013">
        <v>325</v>
      </c>
      <c r="U2013" t="s">
        <v>5221</v>
      </c>
      <c r="V2013">
        <v>33</v>
      </c>
      <c r="W2013" t="str">
        <f>HYPERLINK("Gene837-zp_tree_all.dnd", "Gene837-tree")</f>
        <v>Gene837-tree</v>
      </c>
      <c r="X2013">
        <v>3</v>
      </c>
      <c r="Y2013">
        <v>6</v>
      </c>
      <c r="Z2013">
        <v>3</v>
      </c>
      <c r="AA2013">
        <v>6</v>
      </c>
      <c r="AB2013">
        <v>0.66666999999999998</v>
      </c>
      <c r="AC2013" t="s">
        <v>324</v>
      </c>
      <c r="AD2013" t="s">
        <v>90</v>
      </c>
      <c r="AE2013" t="s">
        <v>62</v>
      </c>
      <c r="AF2013" t="s">
        <v>62</v>
      </c>
      <c r="AG2013">
        <v>2</v>
      </c>
      <c r="AH2013">
        <v>5</v>
      </c>
      <c r="AI2013">
        <v>12</v>
      </c>
      <c r="AJ2013">
        <v>0.29411999999999999</v>
      </c>
      <c r="AK2013">
        <v>0</v>
      </c>
      <c r="AL2013">
        <v>0</v>
      </c>
      <c r="AM2013">
        <v>0</v>
      </c>
      <c r="AN2013">
        <v>2</v>
      </c>
      <c r="AO2013">
        <v>0</v>
      </c>
      <c r="AP2013">
        <v>2</v>
      </c>
      <c r="AQ2013">
        <v>0</v>
      </c>
      <c r="AR2013">
        <v>2</v>
      </c>
      <c r="AS2013">
        <v>11</v>
      </c>
      <c r="AT2013">
        <v>0.15384999999999999</v>
      </c>
      <c r="AU2013">
        <v>8</v>
      </c>
      <c r="AV2013">
        <v>6</v>
      </c>
      <c r="AW2013">
        <v>82</v>
      </c>
      <c r="AX2013">
        <v>17</v>
      </c>
      <c r="AY2013">
        <v>41</v>
      </c>
      <c r="AZ2013">
        <v>5</v>
      </c>
      <c r="BA2013" t="s">
        <v>5222</v>
      </c>
      <c r="BB2013" t="s">
        <v>5223</v>
      </c>
      <c r="BC2013">
        <v>0.56999999999999995</v>
      </c>
      <c r="BD2013" t="s">
        <v>65</v>
      </c>
      <c r="BE2013">
        <v>123</v>
      </c>
      <c r="BF2013">
        <v>22</v>
      </c>
      <c r="BG2013" t="s">
        <v>5224</v>
      </c>
      <c r="BH2013" t="s">
        <v>5225</v>
      </c>
      <c r="BI2013" t="s">
        <v>5226</v>
      </c>
      <c r="BJ2013">
        <v>4.4519999999999997E-2</v>
      </c>
      <c r="BK2013">
        <v>1</v>
      </c>
      <c r="BL2013" t="s">
        <v>69</v>
      </c>
      <c r="BM2013">
        <v>-5.3999999999999999E-2</v>
      </c>
      <c r="BN2013">
        <v>-1.2569999999999999</v>
      </c>
    </row>
    <row r="2014" spans="2:66">
      <c r="B2014">
        <v>3526</v>
      </c>
      <c r="C2014">
        <v>287</v>
      </c>
      <c r="D2014">
        <v>0</v>
      </c>
      <c r="E2014">
        <v>5</v>
      </c>
      <c r="F2014">
        <v>0</v>
      </c>
      <c r="J2014">
        <v>4</v>
      </c>
      <c r="K2014">
        <v>6</v>
      </c>
      <c r="L2014">
        <v>2</v>
      </c>
      <c r="M2014" t="s">
        <v>25022</v>
      </c>
      <c r="N2014">
        <v>838</v>
      </c>
      <c r="O2014" t="s">
        <v>5227</v>
      </c>
      <c r="P2014" t="s">
        <v>57</v>
      </c>
      <c r="Q2014">
        <v>877599</v>
      </c>
      <c r="R2014">
        <v>878048</v>
      </c>
      <c r="S2014" t="s">
        <v>288</v>
      </c>
      <c r="T2014">
        <v>150</v>
      </c>
      <c r="U2014" t="s">
        <v>5228</v>
      </c>
      <c r="V2014">
        <v>43</v>
      </c>
      <c r="W2014" t="str">
        <f>HYPERLINK("Gene838-zp_tree_all.dnd", "Gene838-tree")</f>
        <v>Gene838-tree</v>
      </c>
      <c r="X2014">
        <v>4</v>
      </c>
      <c r="Y2014">
        <v>9</v>
      </c>
      <c r="Z2014">
        <v>4</v>
      </c>
      <c r="AA2014">
        <v>9</v>
      </c>
      <c r="AB2014">
        <v>0.69230999999999998</v>
      </c>
      <c r="AC2014" t="s">
        <v>61</v>
      </c>
      <c r="AD2014" t="s">
        <v>135</v>
      </c>
      <c r="AE2014" t="s">
        <v>62</v>
      </c>
      <c r="AF2014" t="s">
        <v>62</v>
      </c>
      <c r="AG2014">
        <v>4</v>
      </c>
      <c r="AH2014">
        <v>12</v>
      </c>
      <c r="AI2014">
        <v>7</v>
      </c>
      <c r="AJ2014">
        <v>0.63158000000000003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7</v>
      </c>
      <c r="AQ2014">
        <v>2</v>
      </c>
      <c r="AR2014">
        <v>9</v>
      </c>
      <c r="AS2014">
        <v>7</v>
      </c>
      <c r="AT2014">
        <v>0.5625</v>
      </c>
      <c r="AU2014">
        <v>8</v>
      </c>
      <c r="AV2014">
        <v>8</v>
      </c>
      <c r="AW2014">
        <v>13</v>
      </c>
      <c r="AX2014">
        <v>15</v>
      </c>
      <c r="AY2014">
        <v>16</v>
      </c>
      <c r="AZ2014">
        <v>5</v>
      </c>
      <c r="BA2014" t="s">
        <v>5229</v>
      </c>
      <c r="BB2014" t="s">
        <v>5230</v>
      </c>
      <c r="BC2014">
        <v>1.44</v>
      </c>
      <c r="BD2014" t="s">
        <v>65</v>
      </c>
      <c r="BE2014">
        <v>29</v>
      </c>
      <c r="BF2014">
        <v>20</v>
      </c>
      <c r="BG2014" t="s">
        <v>5231</v>
      </c>
      <c r="BH2014" t="s">
        <v>5232</v>
      </c>
      <c r="BI2014" t="s">
        <v>5233</v>
      </c>
      <c r="BJ2014">
        <v>0.12983</v>
      </c>
      <c r="BK2014">
        <v>1</v>
      </c>
      <c r="BL2014" t="s">
        <v>69</v>
      </c>
      <c r="BM2014">
        <v>0.19</v>
      </c>
      <c r="BN2014">
        <v>-0.22900000000000001</v>
      </c>
    </row>
    <row r="2015" spans="2:66">
      <c r="B2015">
        <v>3527</v>
      </c>
      <c r="C2015">
        <v>161</v>
      </c>
      <c r="D2015">
        <v>0</v>
      </c>
      <c r="E2015">
        <v>2</v>
      </c>
      <c r="F2015">
        <v>0</v>
      </c>
      <c r="J2015">
        <v>0</v>
      </c>
      <c r="K2015">
        <v>0</v>
      </c>
      <c r="L2015">
        <v>2</v>
      </c>
      <c r="M2015" t="s">
        <v>25022</v>
      </c>
      <c r="N2015">
        <v>839</v>
      </c>
      <c r="O2015" t="s">
        <v>5234</v>
      </c>
      <c r="P2015" t="s">
        <v>57</v>
      </c>
      <c r="Q2015">
        <v>878081</v>
      </c>
      <c r="R2015">
        <v>878767</v>
      </c>
      <c r="S2015" t="s">
        <v>288</v>
      </c>
      <c r="T2015">
        <v>229</v>
      </c>
      <c r="U2015" t="s">
        <v>5235</v>
      </c>
      <c r="V2015">
        <v>33</v>
      </c>
      <c r="W2015" t="str">
        <f>HYPERLINK("Gene839-zp_tree_all.dnd", "Gene839-tree")</f>
        <v>Gene839-tree</v>
      </c>
      <c r="X2015">
        <v>1</v>
      </c>
      <c r="Y2015">
        <v>8</v>
      </c>
      <c r="Z2015">
        <v>1</v>
      </c>
      <c r="AA2015">
        <v>8</v>
      </c>
      <c r="AB2015">
        <v>0.88888999999999996</v>
      </c>
      <c r="AC2015" t="s">
        <v>175</v>
      </c>
      <c r="AD2015" t="s">
        <v>136</v>
      </c>
      <c r="AE2015" t="s">
        <v>62</v>
      </c>
      <c r="AF2015" t="s">
        <v>62</v>
      </c>
      <c r="AG2015">
        <v>1</v>
      </c>
      <c r="AH2015">
        <v>2</v>
      </c>
      <c r="AI2015">
        <v>13</v>
      </c>
      <c r="AJ2015">
        <v>0.13333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2</v>
      </c>
      <c r="AR2015">
        <v>2</v>
      </c>
      <c r="AS2015">
        <v>10</v>
      </c>
      <c r="AT2015">
        <v>0.16667000000000001</v>
      </c>
      <c r="AU2015">
        <v>7</v>
      </c>
      <c r="AV2015">
        <v>4</v>
      </c>
      <c r="AW2015">
        <v>16</v>
      </c>
      <c r="AX2015">
        <v>10</v>
      </c>
      <c r="AY2015">
        <v>8</v>
      </c>
      <c r="AZ2015">
        <v>5</v>
      </c>
      <c r="BA2015" t="s">
        <v>5236</v>
      </c>
      <c r="BB2015" t="s">
        <v>5237</v>
      </c>
      <c r="BC2015">
        <v>1.2999999999999999E-2</v>
      </c>
      <c r="BD2015" t="s">
        <v>65</v>
      </c>
      <c r="BE2015">
        <v>24</v>
      </c>
      <c r="BF2015">
        <v>15</v>
      </c>
      <c r="BG2015" t="s">
        <v>5238</v>
      </c>
      <c r="BH2015" t="s">
        <v>5239</v>
      </c>
      <c r="BI2015" t="s">
        <v>5240</v>
      </c>
      <c r="BJ2015">
        <v>0.20594999999999999</v>
      </c>
      <c r="BK2015">
        <v>1</v>
      </c>
      <c r="BL2015" t="s">
        <v>69</v>
      </c>
      <c r="BM2015">
        <v>-0.57599999999999996</v>
      </c>
      <c r="BN2015">
        <v>-1.5149999999999999</v>
      </c>
    </row>
    <row r="2016" spans="2:66">
      <c r="B2016">
        <v>3529</v>
      </c>
      <c r="C2016">
        <v>74</v>
      </c>
      <c r="D2016">
        <v>2</v>
      </c>
      <c r="E2016">
        <v>8</v>
      </c>
      <c r="F2016">
        <v>5</v>
      </c>
      <c r="J2016">
        <v>0</v>
      </c>
      <c r="K2016">
        <v>7</v>
      </c>
      <c r="L2016">
        <v>0</v>
      </c>
      <c r="M2016" t="s">
        <v>25022</v>
      </c>
      <c r="N2016">
        <v>840</v>
      </c>
      <c r="O2016" t="s">
        <v>5241</v>
      </c>
      <c r="P2016" t="s">
        <v>57</v>
      </c>
      <c r="Q2016">
        <v>879002</v>
      </c>
      <c r="R2016">
        <v>880000</v>
      </c>
      <c r="S2016" t="s">
        <v>5242</v>
      </c>
      <c r="T2016">
        <v>333</v>
      </c>
      <c r="U2016" t="s">
        <v>108</v>
      </c>
      <c r="V2016">
        <v>44</v>
      </c>
      <c r="W2016" t="str">
        <f>HYPERLINK("Gene840-zp_tree_all.dnd", "Gene840-tree")</f>
        <v>Gene840-tree</v>
      </c>
      <c r="X2016">
        <v>8</v>
      </c>
      <c r="Y2016">
        <v>8</v>
      </c>
      <c r="Z2016">
        <v>8</v>
      </c>
      <c r="AA2016">
        <v>8</v>
      </c>
      <c r="AB2016">
        <v>0.5</v>
      </c>
      <c r="AC2016" t="s">
        <v>136</v>
      </c>
      <c r="AD2016" t="s">
        <v>136</v>
      </c>
      <c r="AE2016" t="s">
        <v>62</v>
      </c>
      <c r="AF2016" t="s">
        <v>62</v>
      </c>
      <c r="AG2016">
        <v>2</v>
      </c>
      <c r="AH2016">
        <v>7</v>
      </c>
      <c r="AI2016">
        <v>7</v>
      </c>
      <c r="AJ2016">
        <v>0.5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6</v>
      </c>
      <c r="AQ2016">
        <v>0</v>
      </c>
      <c r="AR2016">
        <v>6</v>
      </c>
      <c r="AS2016">
        <v>7</v>
      </c>
      <c r="AT2016">
        <v>0.46154000000000001</v>
      </c>
      <c r="AU2016">
        <v>14</v>
      </c>
      <c r="AV2016">
        <v>10</v>
      </c>
      <c r="AW2016">
        <v>46</v>
      </c>
      <c r="AX2016">
        <v>14</v>
      </c>
      <c r="AY2016">
        <v>30</v>
      </c>
      <c r="AZ2016">
        <v>1</v>
      </c>
      <c r="BA2016" t="s">
        <v>5243</v>
      </c>
      <c r="BB2016" t="s">
        <v>5244</v>
      </c>
      <c r="BC2016">
        <v>1.621</v>
      </c>
      <c r="BD2016" t="s">
        <v>65</v>
      </c>
      <c r="BE2016">
        <v>76</v>
      </c>
      <c r="BF2016">
        <v>15</v>
      </c>
      <c r="BG2016" t="s">
        <v>5245</v>
      </c>
      <c r="BH2016" t="s">
        <v>5246</v>
      </c>
      <c r="BI2016" t="s">
        <v>5247</v>
      </c>
      <c r="BJ2016">
        <v>4.3180000000000003E-2</v>
      </c>
      <c r="BK2016">
        <v>1</v>
      </c>
      <c r="BL2016" t="s">
        <v>69</v>
      </c>
      <c r="BM2016">
        <v>-1.4039999999999999</v>
      </c>
      <c r="BN2016">
        <v>-1.056</v>
      </c>
    </row>
    <row r="2017" spans="2:66">
      <c r="B2017">
        <v>3530</v>
      </c>
      <c r="C2017">
        <v>198</v>
      </c>
      <c r="D2017">
        <v>0</v>
      </c>
      <c r="E2017">
        <v>2</v>
      </c>
      <c r="F2017">
        <v>2</v>
      </c>
      <c r="J2017">
        <v>0</v>
      </c>
      <c r="K2017">
        <v>16</v>
      </c>
      <c r="L2017">
        <v>0</v>
      </c>
      <c r="M2017" t="s">
        <v>25022</v>
      </c>
      <c r="N2017">
        <v>841</v>
      </c>
      <c r="O2017" t="s">
        <v>5248</v>
      </c>
      <c r="P2017" t="s">
        <v>57</v>
      </c>
      <c r="Q2017">
        <v>880007</v>
      </c>
      <c r="R2017">
        <v>881032</v>
      </c>
      <c r="S2017" t="s">
        <v>5249</v>
      </c>
      <c r="T2017">
        <v>342</v>
      </c>
      <c r="U2017" t="s">
        <v>108</v>
      </c>
      <c r="V2017">
        <v>44</v>
      </c>
      <c r="W2017" t="str">
        <f>HYPERLINK("Gene841-zp_tree_all.dnd", "Gene841-tree")</f>
        <v>Gene841-tree</v>
      </c>
      <c r="X2017">
        <v>5</v>
      </c>
      <c r="Y2017">
        <v>12</v>
      </c>
      <c r="Z2017">
        <v>5</v>
      </c>
      <c r="AA2017">
        <v>12</v>
      </c>
      <c r="AB2017">
        <v>0.70587999999999995</v>
      </c>
      <c r="AC2017" t="s">
        <v>199</v>
      </c>
      <c r="AD2017" t="s">
        <v>109</v>
      </c>
      <c r="AE2017" t="s">
        <v>62</v>
      </c>
      <c r="AF2017" t="s">
        <v>62</v>
      </c>
      <c r="AG2017">
        <v>4</v>
      </c>
      <c r="AH2017">
        <v>16</v>
      </c>
      <c r="AI2017">
        <v>10</v>
      </c>
      <c r="AJ2017">
        <v>0.61538000000000004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8</v>
      </c>
      <c r="AQ2017">
        <v>0</v>
      </c>
      <c r="AR2017">
        <v>8</v>
      </c>
      <c r="AS2017">
        <v>11</v>
      </c>
      <c r="AT2017">
        <v>0.42104999999999998</v>
      </c>
      <c r="AU2017">
        <v>15</v>
      </c>
      <c r="AV2017">
        <v>13</v>
      </c>
      <c r="AW2017">
        <v>51</v>
      </c>
      <c r="AX2017">
        <v>18</v>
      </c>
      <c r="AY2017">
        <v>46</v>
      </c>
      <c r="AZ2017">
        <v>8</v>
      </c>
      <c r="BA2017" t="s">
        <v>5250</v>
      </c>
      <c r="BB2017" t="s">
        <v>5251</v>
      </c>
      <c r="BC2017">
        <v>1.29</v>
      </c>
      <c r="BD2017" t="s">
        <v>65</v>
      </c>
      <c r="BE2017">
        <v>97</v>
      </c>
      <c r="BF2017">
        <v>26</v>
      </c>
      <c r="BG2017" t="s">
        <v>5252</v>
      </c>
      <c r="BH2017" t="s">
        <v>5253</v>
      </c>
      <c r="BI2017" t="s">
        <v>5254</v>
      </c>
      <c r="BJ2017">
        <v>6.071E-2</v>
      </c>
      <c r="BK2017">
        <v>1</v>
      </c>
      <c r="BL2017" t="s">
        <v>69</v>
      </c>
      <c r="BM2017">
        <v>-0.57399999999999995</v>
      </c>
      <c r="BN2017">
        <v>-1.4790000000000001</v>
      </c>
    </row>
    <row r="2018" spans="2:66">
      <c r="B2018">
        <v>3532</v>
      </c>
      <c r="C2018">
        <v>220</v>
      </c>
      <c r="D2018">
        <v>0</v>
      </c>
      <c r="E2018">
        <v>8</v>
      </c>
      <c r="F2018">
        <v>0</v>
      </c>
      <c r="J2018">
        <v>0</v>
      </c>
      <c r="K2018">
        <v>19</v>
      </c>
      <c r="L2018">
        <v>4</v>
      </c>
      <c r="M2018" t="s">
        <v>25022</v>
      </c>
      <c r="N2018">
        <v>842</v>
      </c>
      <c r="O2018" t="s">
        <v>5255</v>
      </c>
      <c r="P2018" t="s">
        <v>57</v>
      </c>
      <c r="Q2018">
        <v>881049</v>
      </c>
      <c r="R2018">
        <v>882242</v>
      </c>
      <c r="S2018" t="s">
        <v>5256</v>
      </c>
      <c r="T2018">
        <v>398</v>
      </c>
      <c r="U2018" t="s">
        <v>108</v>
      </c>
      <c r="V2018">
        <v>44</v>
      </c>
      <c r="W2018" t="str">
        <f>HYPERLINK("Gene842-zp_tree_all.dnd", "Gene842-tree")</f>
        <v>Gene842-tree</v>
      </c>
      <c r="X2018">
        <v>5</v>
      </c>
      <c r="Y2018">
        <v>11</v>
      </c>
      <c r="Z2018">
        <v>5</v>
      </c>
      <c r="AA2018">
        <v>11</v>
      </c>
      <c r="AB2018">
        <v>0.6875</v>
      </c>
      <c r="AC2018" t="s">
        <v>199</v>
      </c>
      <c r="AD2018" t="s">
        <v>73</v>
      </c>
      <c r="AE2018">
        <v>137353515.63499999</v>
      </c>
      <c r="AF2018" t="s">
        <v>267</v>
      </c>
      <c r="AG2018">
        <v>7</v>
      </c>
      <c r="AH2018">
        <v>23</v>
      </c>
      <c r="AI2018">
        <v>15</v>
      </c>
      <c r="AJ2018">
        <v>0.60526000000000002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7</v>
      </c>
      <c r="AQ2018">
        <v>2</v>
      </c>
      <c r="AR2018">
        <v>9</v>
      </c>
      <c r="AS2018">
        <v>15</v>
      </c>
      <c r="AT2018">
        <v>0.375</v>
      </c>
      <c r="AU2018">
        <v>13</v>
      </c>
      <c r="AV2018">
        <v>11</v>
      </c>
      <c r="AW2018">
        <v>60</v>
      </c>
      <c r="AX2018">
        <v>22</v>
      </c>
      <c r="AY2018">
        <v>38</v>
      </c>
      <c r="AZ2018">
        <v>16</v>
      </c>
      <c r="BA2018" t="s">
        <v>5257</v>
      </c>
      <c r="BB2018" t="s">
        <v>5258</v>
      </c>
      <c r="BC2018">
        <v>0.30399999999999999</v>
      </c>
      <c r="BD2018" t="s">
        <v>65</v>
      </c>
      <c r="BE2018">
        <v>98</v>
      </c>
      <c r="BF2018">
        <v>38</v>
      </c>
      <c r="BG2018" t="s">
        <v>5259</v>
      </c>
      <c r="BH2018" t="s">
        <v>5260</v>
      </c>
      <c r="BI2018" t="s">
        <v>5261</v>
      </c>
      <c r="BJ2018">
        <v>0.1024</v>
      </c>
      <c r="BK2018">
        <v>1</v>
      </c>
      <c r="BL2018" t="s">
        <v>69</v>
      </c>
      <c r="BM2018">
        <v>-1.147</v>
      </c>
      <c r="BN2018">
        <v>-2.117</v>
      </c>
    </row>
    <row r="2019" spans="2:66">
      <c r="B2019">
        <v>3533</v>
      </c>
      <c r="C2019">
        <v>183</v>
      </c>
      <c r="D2019">
        <v>0</v>
      </c>
      <c r="E2019">
        <v>3</v>
      </c>
      <c r="F2019">
        <v>0</v>
      </c>
      <c r="J2019">
        <v>0</v>
      </c>
      <c r="K2019">
        <v>16</v>
      </c>
      <c r="L2019">
        <v>0</v>
      </c>
      <c r="M2019" t="s">
        <v>25022</v>
      </c>
      <c r="N2019">
        <v>843</v>
      </c>
      <c r="O2019" t="s">
        <v>5262</v>
      </c>
      <c r="P2019" t="s">
        <v>57</v>
      </c>
      <c r="Q2019">
        <v>882266</v>
      </c>
      <c r="R2019">
        <v>883639</v>
      </c>
      <c r="S2019" t="s">
        <v>5263</v>
      </c>
      <c r="T2019">
        <v>458</v>
      </c>
      <c r="U2019" t="s">
        <v>108</v>
      </c>
      <c r="V2019">
        <v>44</v>
      </c>
      <c r="W2019" t="str">
        <f>HYPERLINK("Gene843-zp_tree_all.dnd", "Gene843-tree")</f>
        <v>Gene843-tree</v>
      </c>
      <c r="X2019">
        <v>4</v>
      </c>
      <c r="Y2019">
        <v>12</v>
      </c>
      <c r="Z2019">
        <v>4</v>
      </c>
      <c r="AA2019">
        <v>12</v>
      </c>
      <c r="AB2019">
        <v>0.75</v>
      </c>
      <c r="AC2019" t="s">
        <v>61</v>
      </c>
      <c r="AD2019" t="s">
        <v>109</v>
      </c>
      <c r="AE2019" t="s">
        <v>62</v>
      </c>
      <c r="AF2019" t="s">
        <v>62</v>
      </c>
      <c r="AG2019">
        <v>7</v>
      </c>
      <c r="AH2019">
        <v>16</v>
      </c>
      <c r="AI2019">
        <v>20</v>
      </c>
      <c r="AJ2019">
        <v>0.44444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10</v>
      </c>
      <c r="AQ2019">
        <v>0</v>
      </c>
      <c r="AR2019">
        <v>10</v>
      </c>
      <c r="AS2019">
        <v>18</v>
      </c>
      <c r="AT2019">
        <v>0.35714000000000001</v>
      </c>
      <c r="AU2019">
        <v>14</v>
      </c>
      <c r="AV2019">
        <v>11</v>
      </c>
      <c r="AW2019">
        <v>51</v>
      </c>
      <c r="AX2019">
        <v>27</v>
      </c>
      <c r="AY2019">
        <v>52</v>
      </c>
      <c r="AZ2019">
        <v>9</v>
      </c>
      <c r="BA2019" t="s">
        <v>5264</v>
      </c>
      <c r="BB2019" t="s">
        <v>5265</v>
      </c>
      <c r="BC2019">
        <v>2.1909999999999998</v>
      </c>
      <c r="BD2019" t="s">
        <v>267</v>
      </c>
      <c r="BE2019">
        <v>103</v>
      </c>
      <c r="BF2019">
        <v>36</v>
      </c>
      <c r="BG2019" t="s">
        <v>5266</v>
      </c>
      <c r="BH2019" t="s">
        <v>5267</v>
      </c>
      <c r="BI2019" t="s">
        <v>5268</v>
      </c>
      <c r="BJ2019">
        <v>0.10018000000000001</v>
      </c>
      <c r="BK2019">
        <v>1</v>
      </c>
      <c r="BL2019" t="s">
        <v>69</v>
      </c>
      <c r="BM2019">
        <v>-0.72599999999999998</v>
      </c>
      <c r="BN2019">
        <v>-0.75700000000000001</v>
      </c>
    </row>
    <row r="2020" spans="2:66">
      <c r="B2020">
        <v>3534</v>
      </c>
      <c r="C2020">
        <v>163</v>
      </c>
      <c r="D2020">
        <v>0</v>
      </c>
      <c r="E2020">
        <v>16</v>
      </c>
      <c r="F2020">
        <v>0</v>
      </c>
      <c r="J2020">
        <v>2</v>
      </c>
      <c r="K2020">
        <v>16</v>
      </c>
      <c r="L2020">
        <v>3</v>
      </c>
      <c r="M2020" t="s">
        <v>25022</v>
      </c>
      <c r="N2020">
        <v>844</v>
      </c>
      <c r="O2020" t="s">
        <v>5269</v>
      </c>
      <c r="P2020" t="s">
        <v>57</v>
      </c>
      <c r="Q2020">
        <v>883758</v>
      </c>
      <c r="R2020">
        <v>885572</v>
      </c>
      <c r="S2020" t="s">
        <v>5270</v>
      </c>
      <c r="T2020">
        <v>605</v>
      </c>
      <c r="U2020" t="s">
        <v>108</v>
      </c>
      <c r="V2020">
        <v>44</v>
      </c>
      <c r="W2020" t="str">
        <f>HYPERLINK("Gene844-zp_tree_all.dnd", "Gene844-tree")</f>
        <v>Gene844-tree</v>
      </c>
      <c r="X2020">
        <v>2</v>
      </c>
      <c r="Y2020">
        <v>14</v>
      </c>
      <c r="Z2020">
        <v>2</v>
      </c>
      <c r="AA2020">
        <v>14</v>
      </c>
      <c r="AB2020">
        <v>0.875</v>
      </c>
      <c r="AC2020" t="s">
        <v>81</v>
      </c>
      <c r="AD2020" t="s">
        <v>543</v>
      </c>
      <c r="AE2020">
        <v>860908720.12699997</v>
      </c>
      <c r="AF2020" t="s">
        <v>267</v>
      </c>
      <c r="AG2020">
        <v>8</v>
      </c>
      <c r="AH2020">
        <v>21</v>
      </c>
      <c r="AI2020">
        <v>30</v>
      </c>
      <c r="AJ2020">
        <v>0.41176000000000001</v>
      </c>
      <c r="AK2020">
        <v>0</v>
      </c>
      <c r="AL2020">
        <v>0</v>
      </c>
      <c r="AM2020">
        <v>0</v>
      </c>
      <c r="AN2020">
        <v>2</v>
      </c>
      <c r="AO2020">
        <v>0</v>
      </c>
      <c r="AP2020">
        <v>2</v>
      </c>
      <c r="AQ2020">
        <v>3</v>
      </c>
      <c r="AR2020">
        <v>5</v>
      </c>
      <c r="AS2020">
        <v>32</v>
      </c>
      <c r="AT2020">
        <v>0.13514000000000001</v>
      </c>
      <c r="AU2020">
        <v>13</v>
      </c>
      <c r="AV2020">
        <v>13</v>
      </c>
      <c r="AW2020">
        <v>89</v>
      </c>
      <c r="AX2020">
        <v>34</v>
      </c>
      <c r="AY2020">
        <v>59</v>
      </c>
      <c r="AZ2020">
        <v>22</v>
      </c>
      <c r="BA2020" t="s">
        <v>5271</v>
      </c>
      <c r="BB2020" t="s">
        <v>5272</v>
      </c>
      <c r="BC2020">
        <v>0.02</v>
      </c>
      <c r="BD2020" t="s">
        <v>65</v>
      </c>
      <c r="BE2020">
        <v>148</v>
      </c>
      <c r="BF2020">
        <v>56</v>
      </c>
      <c r="BG2020" t="s">
        <v>5273</v>
      </c>
      <c r="BH2020" t="s">
        <v>5274</v>
      </c>
      <c r="BI2020" t="s">
        <v>5275</v>
      </c>
      <c r="BJ2020">
        <v>0.10557999999999999</v>
      </c>
      <c r="BK2020">
        <v>1</v>
      </c>
      <c r="BL2020" t="s">
        <v>69</v>
      </c>
      <c r="BM2020">
        <v>0.374</v>
      </c>
      <c r="BN2020">
        <v>-0.60399999999999998</v>
      </c>
    </row>
    <row r="2021" spans="2:66">
      <c r="B2021">
        <v>3535</v>
      </c>
      <c r="C2021">
        <v>84</v>
      </c>
      <c r="D2021">
        <v>0</v>
      </c>
      <c r="E2021">
        <v>4</v>
      </c>
      <c r="F2021">
        <v>0</v>
      </c>
      <c r="J2021">
        <v>0</v>
      </c>
      <c r="K2021">
        <v>2</v>
      </c>
      <c r="L2021">
        <v>0</v>
      </c>
      <c r="M2021" t="s">
        <v>25022</v>
      </c>
      <c r="N2021">
        <v>845</v>
      </c>
      <c r="O2021" t="s">
        <v>5276</v>
      </c>
      <c r="P2021" t="s">
        <v>57</v>
      </c>
      <c r="Q2021">
        <v>885629</v>
      </c>
      <c r="R2021">
        <v>885805</v>
      </c>
      <c r="S2021" t="s">
        <v>389</v>
      </c>
      <c r="T2021">
        <v>59</v>
      </c>
      <c r="U2021" t="s">
        <v>5277</v>
      </c>
      <c r="V2021">
        <v>40</v>
      </c>
      <c r="W2021" t="str">
        <f>HYPERLINK("Gene845-zp_tree_all.dnd", "Gene845-tree")</f>
        <v>Gene845-tree</v>
      </c>
      <c r="X2021">
        <v>5</v>
      </c>
      <c r="Y2021">
        <v>4</v>
      </c>
      <c r="Z2021">
        <v>5</v>
      </c>
      <c r="AA2021">
        <v>4</v>
      </c>
      <c r="AB2021">
        <v>0.44444</v>
      </c>
      <c r="AC2021" t="s">
        <v>199</v>
      </c>
      <c r="AD2021" t="s">
        <v>61</v>
      </c>
      <c r="AE2021" t="s">
        <v>62</v>
      </c>
      <c r="AF2021" t="s">
        <v>62</v>
      </c>
      <c r="AG2021">
        <v>1</v>
      </c>
      <c r="AH2021">
        <v>2</v>
      </c>
      <c r="AI2021">
        <v>4</v>
      </c>
      <c r="AJ2021">
        <v>0.33333000000000002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5</v>
      </c>
      <c r="AT2021">
        <v>0</v>
      </c>
      <c r="AU2021">
        <v>5</v>
      </c>
      <c r="AV2021">
        <v>4</v>
      </c>
      <c r="AW2021">
        <v>7</v>
      </c>
      <c r="AX2021">
        <v>3</v>
      </c>
      <c r="AY2021">
        <v>6</v>
      </c>
      <c r="AZ2021">
        <v>3</v>
      </c>
      <c r="BA2021" t="s">
        <v>5278</v>
      </c>
      <c r="BB2021" t="s">
        <v>5279</v>
      </c>
      <c r="BC2021">
        <v>0.16200000000000001</v>
      </c>
      <c r="BD2021" t="s">
        <v>65</v>
      </c>
      <c r="BE2021">
        <v>13</v>
      </c>
      <c r="BF2021">
        <v>6</v>
      </c>
      <c r="BG2021" t="s">
        <v>5280</v>
      </c>
      <c r="BH2021" t="s">
        <v>5281</v>
      </c>
      <c r="BI2021" t="s">
        <v>5282</v>
      </c>
      <c r="BJ2021">
        <v>0.10551000000000001</v>
      </c>
      <c r="BK2021">
        <v>1</v>
      </c>
      <c r="BL2021" t="s">
        <v>69</v>
      </c>
      <c r="BM2021">
        <v>0.46200000000000002</v>
      </c>
      <c r="BN2021">
        <v>0.17100000000000001</v>
      </c>
    </row>
    <row r="2022" spans="2:66">
      <c r="B2022">
        <v>3536</v>
      </c>
      <c r="C2022">
        <v>23</v>
      </c>
      <c r="D2022">
        <v>0</v>
      </c>
      <c r="E2022">
        <v>19</v>
      </c>
      <c r="F2022">
        <v>0</v>
      </c>
      <c r="J2022">
        <v>0</v>
      </c>
      <c r="K2022">
        <v>2</v>
      </c>
      <c r="L2022">
        <v>0</v>
      </c>
      <c r="M2022" t="s">
        <v>25022</v>
      </c>
      <c r="N2022">
        <v>852</v>
      </c>
      <c r="O2022" t="s">
        <v>5321</v>
      </c>
      <c r="P2022" t="s">
        <v>57</v>
      </c>
      <c r="Q2022">
        <v>890022</v>
      </c>
      <c r="R2022">
        <v>891368</v>
      </c>
      <c r="S2022" t="s">
        <v>5322</v>
      </c>
      <c r="T2022">
        <v>449</v>
      </c>
      <c r="U2022" t="s">
        <v>108</v>
      </c>
      <c r="V2022">
        <v>44</v>
      </c>
      <c r="W2022" t="str">
        <f>HYPERLINK("Gene852-zp_tree_all.dnd", "Gene852-tree")</f>
        <v>Gene852-tree</v>
      </c>
      <c r="X2022">
        <v>7</v>
      </c>
      <c r="Y2022">
        <v>7</v>
      </c>
      <c r="Z2022">
        <v>7</v>
      </c>
      <c r="AA2022">
        <v>7</v>
      </c>
      <c r="AB2022">
        <v>0.5</v>
      </c>
      <c r="AC2022" t="s">
        <v>152</v>
      </c>
      <c r="AD2022" t="s">
        <v>152</v>
      </c>
      <c r="AE2022" t="s">
        <v>62</v>
      </c>
      <c r="AF2022" t="s">
        <v>62</v>
      </c>
      <c r="AG2022">
        <v>1</v>
      </c>
      <c r="AH2022">
        <v>2</v>
      </c>
      <c r="AI2022">
        <v>8</v>
      </c>
      <c r="AJ2022">
        <v>0.2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2</v>
      </c>
      <c r="AQ2022">
        <v>0</v>
      </c>
      <c r="AR2022">
        <v>2</v>
      </c>
      <c r="AS2022">
        <v>7</v>
      </c>
      <c r="AT2022">
        <v>0.22222</v>
      </c>
      <c r="AU2022">
        <v>13</v>
      </c>
      <c r="AV2022">
        <v>8</v>
      </c>
      <c r="AW2022">
        <v>28</v>
      </c>
      <c r="AX2022">
        <v>7</v>
      </c>
      <c r="AY2022">
        <v>43</v>
      </c>
      <c r="AZ2022">
        <v>3</v>
      </c>
      <c r="BA2022" t="s">
        <v>5323</v>
      </c>
      <c r="BB2022" t="s">
        <v>5324</v>
      </c>
      <c r="BC2022">
        <v>1.0620000000000001</v>
      </c>
      <c r="BD2022" t="s">
        <v>65</v>
      </c>
      <c r="BE2022">
        <v>71</v>
      </c>
      <c r="BF2022">
        <v>10</v>
      </c>
      <c r="BG2022" t="s">
        <v>5325</v>
      </c>
      <c r="BH2022" t="s">
        <v>5326</v>
      </c>
      <c r="BI2022" t="s">
        <v>5327</v>
      </c>
      <c r="BJ2022">
        <v>3.0009999999999998E-2</v>
      </c>
      <c r="BK2022">
        <v>1</v>
      </c>
      <c r="BL2022" t="s">
        <v>69</v>
      </c>
      <c r="BM2022">
        <v>1.659</v>
      </c>
      <c r="BN2022">
        <v>3.7999999999999999E-2</v>
      </c>
    </row>
    <row r="2023" spans="2:66">
      <c r="B2023">
        <v>3537</v>
      </c>
      <c r="C2023">
        <v>244</v>
      </c>
      <c r="D2023">
        <v>0</v>
      </c>
      <c r="E2023">
        <v>0</v>
      </c>
      <c r="F2023">
        <v>2</v>
      </c>
      <c r="J2023">
        <v>0</v>
      </c>
      <c r="K2023">
        <v>7</v>
      </c>
      <c r="L2023">
        <v>1</v>
      </c>
      <c r="M2023" t="s">
        <v>25022</v>
      </c>
      <c r="N2023">
        <v>853</v>
      </c>
      <c r="O2023" t="s">
        <v>5328</v>
      </c>
      <c r="P2023" t="s">
        <v>57</v>
      </c>
      <c r="Q2023">
        <v>891436</v>
      </c>
      <c r="R2023">
        <v>892197</v>
      </c>
      <c r="S2023" t="s">
        <v>5329</v>
      </c>
      <c r="T2023">
        <v>254</v>
      </c>
      <c r="U2023" t="s">
        <v>394</v>
      </c>
      <c r="V2023">
        <v>48</v>
      </c>
      <c r="W2023" t="str">
        <f>HYPERLINK("Gene853-zp_tree_all.dnd", "Gene853-tree")</f>
        <v>Gene853-tree</v>
      </c>
      <c r="X2023">
        <v>8</v>
      </c>
      <c r="Y2023">
        <v>9</v>
      </c>
      <c r="Z2023">
        <v>8</v>
      </c>
      <c r="AA2023">
        <v>9</v>
      </c>
      <c r="AB2023">
        <v>0.52941000000000005</v>
      </c>
      <c r="AC2023" t="s">
        <v>136</v>
      </c>
      <c r="AD2023" t="s">
        <v>135</v>
      </c>
      <c r="AE2023" t="s">
        <v>62</v>
      </c>
      <c r="AF2023" t="s">
        <v>62</v>
      </c>
      <c r="AG2023">
        <v>3</v>
      </c>
      <c r="AH2023">
        <v>8</v>
      </c>
      <c r="AI2023">
        <v>15</v>
      </c>
      <c r="AJ2023">
        <v>0.34782999999999997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2</v>
      </c>
      <c r="AQ2023">
        <v>0</v>
      </c>
      <c r="AR2023">
        <v>2</v>
      </c>
      <c r="AS2023">
        <v>11</v>
      </c>
      <c r="AT2023">
        <v>0.15384999999999999</v>
      </c>
      <c r="AU2023">
        <v>16</v>
      </c>
      <c r="AV2023">
        <v>14</v>
      </c>
      <c r="AW2023">
        <v>37</v>
      </c>
      <c r="AX2023">
        <v>13</v>
      </c>
      <c r="AY2023">
        <v>46</v>
      </c>
      <c r="AZ2023">
        <v>11</v>
      </c>
      <c r="BA2023" t="s">
        <v>5330</v>
      </c>
      <c r="BB2023" t="s">
        <v>5331</v>
      </c>
      <c r="BC2023">
        <v>0.30599999999999999</v>
      </c>
      <c r="BD2023" t="s">
        <v>65</v>
      </c>
      <c r="BE2023">
        <v>83</v>
      </c>
      <c r="BF2023">
        <v>24</v>
      </c>
      <c r="BG2023" t="s">
        <v>5332</v>
      </c>
      <c r="BH2023" t="s">
        <v>5333</v>
      </c>
      <c r="BI2023" t="s">
        <v>5334</v>
      </c>
      <c r="BJ2023">
        <v>7.4569999999999997E-2</v>
      </c>
      <c r="BK2023">
        <v>1</v>
      </c>
      <c r="BL2023" t="s">
        <v>69</v>
      </c>
      <c r="BM2023">
        <v>-1.325</v>
      </c>
      <c r="BN2023">
        <v>-0.92300000000000004</v>
      </c>
    </row>
    <row r="2024" spans="2:66">
      <c r="B2024">
        <v>3538</v>
      </c>
      <c r="C2024">
        <v>98</v>
      </c>
      <c r="D2024">
        <v>0</v>
      </c>
      <c r="E2024">
        <v>12</v>
      </c>
      <c r="F2024">
        <v>0</v>
      </c>
      <c r="J2024">
        <v>0</v>
      </c>
      <c r="K2024">
        <v>2</v>
      </c>
      <c r="L2024">
        <v>0</v>
      </c>
      <c r="M2024" t="s">
        <v>25022</v>
      </c>
      <c r="N2024">
        <v>854</v>
      </c>
      <c r="O2024" t="s">
        <v>5335</v>
      </c>
      <c r="P2024" t="s">
        <v>57</v>
      </c>
      <c r="Q2024">
        <v>892215</v>
      </c>
      <c r="R2024">
        <v>893795</v>
      </c>
      <c r="S2024" t="s">
        <v>5336</v>
      </c>
      <c r="T2024">
        <v>527</v>
      </c>
      <c r="U2024" t="s">
        <v>108</v>
      </c>
      <c r="V2024">
        <v>44</v>
      </c>
      <c r="W2024" t="str">
        <f>HYPERLINK("Gene854-zp_tree_all.dnd", "Gene854-tree")</f>
        <v>Gene854-tree</v>
      </c>
      <c r="X2024">
        <v>7</v>
      </c>
      <c r="Y2024">
        <v>8</v>
      </c>
      <c r="Z2024">
        <v>7</v>
      </c>
      <c r="AA2024">
        <v>8</v>
      </c>
      <c r="AB2024">
        <v>0.53332999999999997</v>
      </c>
      <c r="AC2024" t="s">
        <v>152</v>
      </c>
      <c r="AD2024" t="s">
        <v>136</v>
      </c>
      <c r="AE2024" t="s">
        <v>62</v>
      </c>
      <c r="AF2024" t="s">
        <v>62</v>
      </c>
      <c r="AG2024">
        <v>1</v>
      </c>
      <c r="AH2024">
        <v>2</v>
      </c>
      <c r="AI2024">
        <v>8</v>
      </c>
      <c r="AJ2024">
        <v>0.2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2</v>
      </c>
      <c r="AQ2024">
        <v>0</v>
      </c>
      <c r="AR2024">
        <v>2</v>
      </c>
      <c r="AS2024">
        <v>6</v>
      </c>
      <c r="AT2024">
        <v>0.25</v>
      </c>
      <c r="AU2024">
        <v>13</v>
      </c>
      <c r="AV2024">
        <v>10</v>
      </c>
      <c r="AW2024">
        <v>63</v>
      </c>
      <c r="AX2024">
        <v>7</v>
      </c>
      <c r="AY2024">
        <v>51</v>
      </c>
      <c r="AZ2024">
        <v>3</v>
      </c>
      <c r="BA2024" t="s">
        <v>5337</v>
      </c>
      <c r="BB2024" t="s">
        <v>5338</v>
      </c>
      <c r="BC2024">
        <v>0.42499999999999999</v>
      </c>
      <c r="BD2024" t="s">
        <v>65</v>
      </c>
      <c r="BE2024">
        <v>114</v>
      </c>
      <c r="BF2024">
        <v>10</v>
      </c>
      <c r="BG2024" t="s">
        <v>5339</v>
      </c>
      <c r="BH2024" t="s">
        <v>5340</v>
      </c>
      <c r="BI2024" t="s">
        <v>5341</v>
      </c>
      <c r="BJ2024">
        <v>2.6540000000000001E-2</v>
      </c>
      <c r="BK2024">
        <v>1</v>
      </c>
      <c r="BL2024" t="s">
        <v>69</v>
      </c>
      <c r="BM2024">
        <v>-0.39200000000000002</v>
      </c>
      <c r="BN2024">
        <v>-0.67500000000000004</v>
      </c>
    </row>
    <row r="2025" spans="2:66">
      <c r="B2025">
        <v>3539</v>
      </c>
      <c r="C2025">
        <v>7</v>
      </c>
      <c r="D2025">
        <v>0</v>
      </c>
      <c r="E2025">
        <v>11</v>
      </c>
      <c r="F2025">
        <v>2</v>
      </c>
      <c r="J2025">
        <v>0</v>
      </c>
      <c r="K2025">
        <v>19</v>
      </c>
      <c r="L2025">
        <v>1</v>
      </c>
      <c r="M2025" t="s">
        <v>25022</v>
      </c>
      <c r="N2025">
        <v>855</v>
      </c>
      <c r="O2025" t="s">
        <v>5342</v>
      </c>
      <c r="P2025" t="s">
        <v>57</v>
      </c>
      <c r="Q2025">
        <v>893904</v>
      </c>
      <c r="R2025">
        <v>895622</v>
      </c>
      <c r="S2025" t="s">
        <v>5343</v>
      </c>
      <c r="T2025">
        <v>573</v>
      </c>
      <c r="U2025" t="s">
        <v>108</v>
      </c>
      <c r="V2025">
        <v>44</v>
      </c>
      <c r="W2025" t="str">
        <f>HYPERLINK("Gene855-zp_tree_all.dnd", "Gene855-tree")</f>
        <v>Gene855-tree</v>
      </c>
      <c r="X2025">
        <v>23</v>
      </c>
      <c r="Y2025">
        <v>13</v>
      </c>
      <c r="Z2025">
        <v>3</v>
      </c>
      <c r="AA2025">
        <v>13</v>
      </c>
      <c r="AB2025">
        <v>0.8125</v>
      </c>
      <c r="AC2025" t="s">
        <v>1725</v>
      </c>
      <c r="AD2025" t="s">
        <v>507</v>
      </c>
      <c r="AE2025" t="s">
        <v>62</v>
      </c>
      <c r="AF2025" t="s">
        <v>62</v>
      </c>
      <c r="AG2025">
        <v>8</v>
      </c>
      <c r="AH2025">
        <v>20</v>
      </c>
      <c r="AI2025">
        <v>23</v>
      </c>
      <c r="AJ2025">
        <v>0.46511999999999998</v>
      </c>
      <c r="AK2025">
        <v>0</v>
      </c>
      <c r="AL2025">
        <v>0</v>
      </c>
      <c r="AM2025">
        <v>0</v>
      </c>
      <c r="AN2025">
        <v>2</v>
      </c>
      <c r="AO2025">
        <v>0</v>
      </c>
      <c r="AP2025">
        <v>12</v>
      </c>
      <c r="AQ2025">
        <v>1</v>
      </c>
      <c r="AR2025">
        <v>13</v>
      </c>
      <c r="AS2025">
        <v>18</v>
      </c>
      <c r="AT2025">
        <v>0.41935</v>
      </c>
      <c r="AU2025">
        <v>13</v>
      </c>
      <c r="AV2025">
        <v>13</v>
      </c>
      <c r="AW2025">
        <v>79</v>
      </c>
      <c r="AX2025">
        <v>30</v>
      </c>
      <c r="AY2025">
        <v>40</v>
      </c>
      <c r="AZ2025">
        <v>14</v>
      </c>
      <c r="BA2025" t="s">
        <v>5344</v>
      </c>
      <c r="BB2025" t="s">
        <v>5345</v>
      </c>
      <c r="BC2025">
        <v>7.0000000000000007E-2</v>
      </c>
      <c r="BD2025" t="s">
        <v>65</v>
      </c>
      <c r="BE2025">
        <v>119</v>
      </c>
      <c r="BF2025">
        <v>44</v>
      </c>
      <c r="BG2025" t="s">
        <v>5346</v>
      </c>
      <c r="BH2025" t="s">
        <v>5347</v>
      </c>
      <c r="BI2025" t="s">
        <v>5348</v>
      </c>
      <c r="BJ2025">
        <v>0.10834000000000001</v>
      </c>
      <c r="BK2025">
        <v>1</v>
      </c>
      <c r="BL2025" t="s">
        <v>69</v>
      </c>
      <c r="BM2025">
        <v>-1.429</v>
      </c>
      <c r="BN2025">
        <v>-2.9609999999999999</v>
      </c>
    </row>
    <row r="2026" spans="2:66">
      <c r="B2026">
        <v>3540</v>
      </c>
      <c r="C2026">
        <v>262</v>
      </c>
      <c r="D2026">
        <v>0</v>
      </c>
      <c r="E2026">
        <v>16</v>
      </c>
      <c r="F2026">
        <v>0</v>
      </c>
      <c r="J2026">
        <v>2</v>
      </c>
      <c r="K2026">
        <v>6</v>
      </c>
      <c r="L2026">
        <v>1</v>
      </c>
      <c r="M2026" t="s">
        <v>25022</v>
      </c>
      <c r="N2026">
        <v>856</v>
      </c>
      <c r="O2026" t="s">
        <v>5349</v>
      </c>
      <c r="P2026" t="s">
        <v>57</v>
      </c>
      <c r="Q2026">
        <v>895619</v>
      </c>
      <c r="R2026">
        <v>897430</v>
      </c>
      <c r="S2026" t="s">
        <v>5350</v>
      </c>
      <c r="T2026">
        <v>604</v>
      </c>
      <c r="U2026" t="s">
        <v>265</v>
      </c>
      <c r="V2026">
        <v>43</v>
      </c>
      <c r="W2026" t="str">
        <f>HYPERLINK("Gene856-zp_tree_all.dnd", "Gene856-tree")</f>
        <v>Gene856-tree</v>
      </c>
      <c r="X2026">
        <v>7</v>
      </c>
      <c r="Y2026">
        <v>8</v>
      </c>
      <c r="Z2026">
        <v>7</v>
      </c>
      <c r="AA2026">
        <v>8</v>
      </c>
      <c r="AB2026">
        <v>0.53332999999999997</v>
      </c>
      <c r="AC2026" t="s">
        <v>152</v>
      </c>
      <c r="AD2026" t="s">
        <v>136</v>
      </c>
      <c r="AE2026" t="s">
        <v>62</v>
      </c>
      <c r="AF2026" t="s">
        <v>62</v>
      </c>
      <c r="AG2026">
        <v>4</v>
      </c>
      <c r="AH2026">
        <v>9</v>
      </c>
      <c r="AI2026">
        <v>18</v>
      </c>
      <c r="AJ2026">
        <v>0.33333000000000002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2</v>
      </c>
      <c r="AQ2026">
        <v>0</v>
      </c>
      <c r="AR2026">
        <v>2</v>
      </c>
      <c r="AS2026">
        <v>15</v>
      </c>
      <c r="AT2026">
        <v>0.11765</v>
      </c>
      <c r="AU2026">
        <v>13</v>
      </c>
      <c r="AV2026">
        <v>11</v>
      </c>
      <c r="AW2026">
        <v>106</v>
      </c>
      <c r="AX2026">
        <v>18</v>
      </c>
      <c r="AY2026">
        <v>75</v>
      </c>
      <c r="AZ2026">
        <v>10</v>
      </c>
      <c r="BA2026" t="s">
        <v>5351</v>
      </c>
      <c r="BB2026" t="s">
        <v>5352</v>
      </c>
      <c r="BC2026">
        <v>0.151</v>
      </c>
      <c r="BD2026" t="s">
        <v>65</v>
      </c>
      <c r="BE2026">
        <v>181</v>
      </c>
      <c r="BF2026">
        <v>28</v>
      </c>
      <c r="BG2026" t="s">
        <v>5353</v>
      </c>
      <c r="BH2026" t="s">
        <v>5354</v>
      </c>
      <c r="BI2026" t="s">
        <v>5355</v>
      </c>
      <c r="BJ2026">
        <v>5.6660000000000002E-2</v>
      </c>
      <c r="BK2026">
        <v>1</v>
      </c>
      <c r="BL2026" t="s">
        <v>69</v>
      </c>
      <c r="BM2026">
        <v>-0.80600000000000005</v>
      </c>
      <c r="BN2026">
        <v>-2.1749999999999998</v>
      </c>
    </row>
    <row r="2027" spans="2:66">
      <c r="B2027">
        <v>3542</v>
      </c>
      <c r="C2027">
        <v>417</v>
      </c>
      <c r="D2027">
        <v>0</v>
      </c>
      <c r="E2027">
        <v>2</v>
      </c>
      <c r="F2027">
        <v>0</v>
      </c>
      <c r="J2027">
        <v>0</v>
      </c>
      <c r="K2027">
        <v>0</v>
      </c>
      <c r="L2027">
        <v>2</v>
      </c>
      <c r="M2027" t="s">
        <v>25022</v>
      </c>
      <c r="N2027">
        <v>857</v>
      </c>
      <c r="O2027" t="s">
        <v>5356</v>
      </c>
      <c r="P2027" t="s">
        <v>57</v>
      </c>
      <c r="Q2027">
        <v>897588</v>
      </c>
      <c r="R2027">
        <v>897989</v>
      </c>
      <c r="S2027" t="s">
        <v>5357</v>
      </c>
      <c r="T2027">
        <v>134</v>
      </c>
      <c r="U2027" t="s">
        <v>108</v>
      </c>
      <c r="V2027">
        <v>44</v>
      </c>
      <c r="W2027" t="str">
        <f>HYPERLINK("Gene857-zp_tree_all.dnd", "Gene857-tree")</f>
        <v>Gene857-tree</v>
      </c>
      <c r="X2027">
        <v>27</v>
      </c>
      <c r="Y2027">
        <v>3</v>
      </c>
      <c r="Z2027">
        <v>6</v>
      </c>
      <c r="AA2027">
        <v>3</v>
      </c>
      <c r="AB2027">
        <v>0.33333000000000002</v>
      </c>
      <c r="AC2027" t="s">
        <v>1055</v>
      </c>
      <c r="AD2027" t="s">
        <v>324</v>
      </c>
      <c r="AE2027" t="s">
        <v>62</v>
      </c>
      <c r="AF2027" t="s">
        <v>62</v>
      </c>
      <c r="AG2027">
        <v>1</v>
      </c>
      <c r="AH2027">
        <v>2</v>
      </c>
      <c r="AI2027">
        <v>2</v>
      </c>
      <c r="AJ2027">
        <v>0.5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2</v>
      </c>
      <c r="AT2027">
        <v>0</v>
      </c>
      <c r="AU2027">
        <v>6</v>
      </c>
      <c r="AV2027">
        <v>4</v>
      </c>
      <c r="AW2027">
        <v>13</v>
      </c>
      <c r="AX2027">
        <v>2</v>
      </c>
      <c r="AY2027">
        <v>3</v>
      </c>
      <c r="AZ2027">
        <v>2</v>
      </c>
      <c r="BA2027" t="s">
        <v>5358</v>
      </c>
      <c r="BB2027" t="s">
        <v>5359</v>
      </c>
      <c r="BC2027">
        <v>1.0449999999999999</v>
      </c>
      <c r="BD2027" t="s">
        <v>65</v>
      </c>
      <c r="BE2027">
        <v>16</v>
      </c>
      <c r="BF2027">
        <v>4</v>
      </c>
      <c r="BG2027" t="s">
        <v>5360</v>
      </c>
      <c r="BH2027" t="s">
        <v>5361</v>
      </c>
      <c r="BI2027" t="s">
        <v>5362</v>
      </c>
      <c r="BJ2027">
        <v>0.10768</v>
      </c>
      <c r="BK2027">
        <v>1</v>
      </c>
      <c r="BL2027" t="s">
        <v>69</v>
      </c>
      <c r="BM2027">
        <v>-1.0509999999999999</v>
      </c>
      <c r="BN2027">
        <v>-1.677</v>
      </c>
    </row>
    <row r="2028" spans="2:66">
      <c r="B2028">
        <v>3543</v>
      </c>
      <c r="C2028">
        <v>312</v>
      </c>
      <c r="D2028">
        <v>0</v>
      </c>
      <c r="E2028">
        <v>4</v>
      </c>
      <c r="F2028">
        <v>0</v>
      </c>
      <c r="J2028">
        <v>0</v>
      </c>
      <c r="K2028">
        <v>8</v>
      </c>
      <c r="L2028">
        <v>1</v>
      </c>
      <c r="M2028" t="s">
        <v>25022</v>
      </c>
      <c r="N2028">
        <v>858</v>
      </c>
      <c r="O2028" t="s">
        <v>5363</v>
      </c>
      <c r="P2028" t="s">
        <v>57</v>
      </c>
      <c r="Q2028">
        <v>898010</v>
      </c>
      <c r="R2028">
        <v>898864</v>
      </c>
      <c r="S2028" t="s">
        <v>5364</v>
      </c>
      <c r="T2028">
        <v>285</v>
      </c>
      <c r="U2028" t="s">
        <v>108</v>
      </c>
      <c r="V2028">
        <v>44</v>
      </c>
      <c r="W2028" t="str">
        <f>HYPERLINK("Gene858-zp_tree_all.dnd", "Gene858-tree")</f>
        <v>Gene858-tree</v>
      </c>
      <c r="X2028">
        <v>25</v>
      </c>
      <c r="Y2028">
        <v>10</v>
      </c>
      <c r="Z2028">
        <v>5</v>
      </c>
      <c r="AA2028">
        <v>10</v>
      </c>
      <c r="AB2028">
        <v>0.66666999999999998</v>
      </c>
      <c r="AC2028" t="s">
        <v>4839</v>
      </c>
      <c r="AD2028" t="s">
        <v>117</v>
      </c>
      <c r="AE2028" t="s">
        <v>62</v>
      </c>
      <c r="AF2028" t="s">
        <v>62</v>
      </c>
      <c r="AG2028">
        <v>3</v>
      </c>
      <c r="AH2028">
        <v>9</v>
      </c>
      <c r="AI2028">
        <v>6</v>
      </c>
      <c r="AJ2028">
        <v>0.6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4</v>
      </c>
      <c r="AQ2028">
        <v>3</v>
      </c>
      <c r="AR2028">
        <v>7</v>
      </c>
      <c r="AS2028">
        <v>6</v>
      </c>
      <c r="AT2028">
        <v>0.53846000000000005</v>
      </c>
      <c r="AU2028">
        <v>12</v>
      </c>
      <c r="AV2028">
        <v>9</v>
      </c>
      <c r="AW2028">
        <v>26</v>
      </c>
      <c r="AX2028">
        <v>12</v>
      </c>
      <c r="AY2028">
        <v>15</v>
      </c>
      <c r="AZ2028">
        <v>3</v>
      </c>
      <c r="BA2028" t="s">
        <v>5365</v>
      </c>
      <c r="BB2028" t="s">
        <v>5366</v>
      </c>
      <c r="BC2028">
        <v>1.26</v>
      </c>
      <c r="BD2028" t="s">
        <v>65</v>
      </c>
      <c r="BE2028">
        <v>41</v>
      </c>
      <c r="BF2028">
        <v>15</v>
      </c>
      <c r="BG2028" t="s">
        <v>5367</v>
      </c>
      <c r="BH2028" t="s">
        <v>5368</v>
      </c>
      <c r="BI2028" t="s">
        <v>5369</v>
      </c>
      <c r="BJ2028">
        <v>7.5939999999999994E-2</v>
      </c>
      <c r="BK2028">
        <v>1</v>
      </c>
      <c r="BL2028" t="s">
        <v>69</v>
      </c>
      <c r="BM2028">
        <v>-1.0089999999999999</v>
      </c>
      <c r="BN2028">
        <v>-1.161</v>
      </c>
    </row>
    <row r="2029" spans="2:66">
      <c r="B2029">
        <v>3545</v>
      </c>
      <c r="C2029">
        <v>106</v>
      </c>
      <c r="D2029">
        <v>0</v>
      </c>
      <c r="E2029">
        <v>4</v>
      </c>
      <c r="F2029">
        <v>0</v>
      </c>
      <c r="J2029">
        <v>0</v>
      </c>
      <c r="K2029">
        <v>0</v>
      </c>
      <c r="L2029">
        <v>0</v>
      </c>
      <c r="M2029" t="s">
        <v>25022</v>
      </c>
      <c r="N2029">
        <v>860</v>
      </c>
      <c r="O2029" t="s">
        <v>5370</v>
      </c>
      <c r="P2029" t="s">
        <v>57</v>
      </c>
      <c r="Q2029">
        <v>900080</v>
      </c>
      <c r="R2029">
        <v>901525</v>
      </c>
      <c r="S2029" t="s">
        <v>5371</v>
      </c>
      <c r="T2029">
        <v>482</v>
      </c>
      <c r="U2029" t="s">
        <v>5372</v>
      </c>
      <c r="V2029">
        <v>28</v>
      </c>
      <c r="W2029" t="str">
        <f>HYPERLINK("Gene860-zp_tree_all.dnd", "Gene860-tree")</f>
        <v>Gene860-tree</v>
      </c>
      <c r="X2029">
        <v>22</v>
      </c>
      <c r="Y2029">
        <v>1</v>
      </c>
      <c r="Z2029">
        <v>3</v>
      </c>
      <c r="AA2029">
        <v>1</v>
      </c>
      <c r="AB2029">
        <v>0.25</v>
      </c>
      <c r="AC2029" t="s">
        <v>1005</v>
      </c>
      <c r="AD2029" t="s">
        <v>175</v>
      </c>
      <c r="AE2029" t="s">
        <v>62</v>
      </c>
      <c r="AF2029" t="s">
        <v>62</v>
      </c>
      <c r="AG2029">
        <v>0</v>
      </c>
      <c r="AH2029">
        <v>0</v>
      </c>
      <c r="AI2029">
        <v>9</v>
      </c>
      <c r="AJ2029">
        <v>0</v>
      </c>
      <c r="AK2029">
        <v>0</v>
      </c>
      <c r="AL2029">
        <v>0</v>
      </c>
      <c r="AM2029">
        <v>0</v>
      </c>
      <c r="AN2029">
        <v>5</v>
      </c>
      <c r="AO2029">
        <v>0</v>
      </c>
      <c r="AP2029">
        <v>0</v>
      </c>
      <c r="AQ2029">
        <v>0</v>
      </c>
      <c r="AR2029">
        <v>0</v>
      </c>
      <c r="AS2029">
        <v>4</v>
      </c>
      <c r="AT2029">
        <v>0</v>
      </c>
      <c r="AU2029">
        <v>3</v>
      </c>
      <c r="AV2029">
        <v>1</v>
      </c>
      <c r="AW2029">
        <v>11</v>
      </c>
      <c r="AX2029">
        <v>4</v>
      </c>
      <c r="AY2029">
        <v>9</v>
      </c>
      <c r="AZ2029">
        <v>5</v>
      </c>
      <c r="BA2029" t="s">
        <v>5373</v>
      </c>
      <c r="BB2029" t="s">
        <v>5374</v>
      </c>
      <c r="BC2029">
        <v>0.38600000000000001</v>
      </c>
      <c r="BD2029" t="s">
        <v>65</v>
      </c>
      <c r="BE2029">
        <v>20</v>
      </c>
      <c r="BF2029">
        <v>9</v>
      </c>
      <c r="BG2029" t="s">
        <v>5375</v>
      </c>
      <c r="BH2029" t="s">
        <v>5376</v>
      </c>
      <c r="BI2029" t="s">
        <v>5377</v>
      </c>
      <c r="BJ2029">
        <v>0.15064</v>
      </c>
      <c r="BK2029">
        <v>1</v>
      </c>
      <c r="BL2029" t="s">
        <v>69</v>
      </c>
      <c r="BM2029">
        <v>-2.0459999999999998</v>
      </c>
      <c r="BN2029">
        <v>-1.3879999999999999</v>
      </c>
    </row>
    <row r="2030" spans="2:66">
      <c r="B2030">
        <v>3546</v>
      </c>
      <c r="C2030">
        <v>556</v>
      </c>
      <c r="D2030">
        <v>0</v>
      </c>
      <c r="E2030">
        <v>11</v>
      </c>
      <c r="F2030">
        <v>1</v>
      </c>
      <c r="J2030">
        <v>0</v>
      </c>
      <c r="K2030">
        <v>0</v>
      </c>
      <c r="L2030">
        <v>0</v>
      </c>
      <c r="M2030" t="s">
        <v>25022</v>
      </c>
      <c r="N2030">
        <v>861</v>
      </c>
      <c r="O2030" t="s">
        <v>5378</v>
      </c>
      <c r="P2030" t="s">
        <v>57</v>
      </c>
      <c r="Q2030">
        <v>901555</v>
      </c>
      <c r="R2030">
        <v>902493</v>
      </c>
      <c r="S2030" t="s">
        <v>5379</v>
      </c>
      <c r="T2030">
        <v>313</v>
      </c>
      <c r="U2030" t="s">
        <v>5380</v>
      </c>
      <c r="V2030">
        <v>28</v>
      </c>
      <c r="W2030" t="str">
        <f>HYPERLINK("Gene861-zp_tree_all.dnd", "Gene861-tree")</f>
        <v>Gene861-tree</v>
      </c>
      <c r="X2030">
        <v>2</v>
      </c>
      <c r="Y2030">
        <v>2</v>
      </c>
      <c r="Z2030">
        <v>2</v>
      </c>
      <c r="AA2030">
        <v>2</v>
      </c>
      <c r="AB2030">
        <v>0.5</v>
      </c>
      <c r="AC2030" t="s">
        <v>81</v>
      </c>
      <c r="AD2030" t="s">
        <v>81</v>
      </c>
      <c r="AE2030" t="s">
        <v>62</v>
      </c>
      <c r="AF2030" t="s">
        <v>62</v>
      </c>
      <c r="AG2030">
        <v>0</v>
      </c>
      <c r="AH2030">
        <v>0</v>
      </c>
      <c r="AI2030">
        <v>7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7</v>
      </c>
      <c r="AT2030">
        <v>0</v>
      </c>
      <c r="AU2030">
        <v>3</v>
      </c>
      <c r="AV2030">
        <v>0</v>
      </c>
      <c r="AW2030">
        <v>15</v>
      </c>
      <c r="AX2030">
        <v>7</v>
      </c>
      <c r="AY2030">
        <v>0</v>
      </c>
      <c r="AZ2030">
        <v>0</v>
      </c>
      <c r="BA2030" t="s">
        <v>5381</v>
      </c>
      <c r="BB2030" t="s">
        <v>193</v>
      </c>
      <c r="BC2030">
        <v>0.66800000000000004</v>
      </c>
      <c r="BD2030" t="s">
        <v>65</v>
      </c>
      <c r="BE2030">
        <v>15</v>
      </c>
      <c r="BF2030">
        <v>7</v>
      </c>
      <c r="BG2030" t="s">
        <v>5382</v>
      </c>
      <c r="BH2030" t="s">
        <v>5383</v>
      </c>
      <c r="BI2030" t="s">
        <v>5384</v>
      </c>
      <c r="BJ2030">
        <v>0.12736</v>
      </c>
      <c r="BK2030">
        <v>1</v>
      </c>
      <c r="BL2030" t="s">
        <v>69</v>
      </c>
      <c r="BM2030">
        <v>-2.1739999999999999</v>
      </c>
      <c r="BN2030">
        <v>-3.9670000000000001</v>
      </c>
    </row>
    <row r="2031" spans="2:66">
      <c r="B2031">
        <v>3547</v>
      </c>
      <c r="C2031">
        <v>78</v>
      </c>
      <c r="D2031">
        <v>0</v>
      </c>
      <c r="E2031">
        <v>14</v>
      </c>
      <c r="F2031">
        <v>0</v>
      </c>
      <c r="J2031">
        <v>0</v>
      </c>
      <c r="K2031">
        <v>11</v>
      </c>
      <c r="L2031">
        <v>1</v>
      </c>
      <c r="M2031" t="s">
        <v>25022</v>
      </c>
      <c r="N2031">
        <v>863</v>
      </c>
      <c r="O2031" t="s">
        <v>5385</v>
      </c>
      <c r="P2031" t="s">
        <v>57</v>
      </c>
      <c r="Q2031">
        <v>903811</v>
      </c>
      <c r="R2031">
        <v>905010</v>
      </c>
      <c r="S2031" t="s">
        <v>5386</v>
      </c>
      <c r="T2031">
        <v>400</v>
      </c>
      <c r="U2031" t="s">
        <v>5387</v>
      </c>
      <c r="V2031">
        <v>38</v>
      </c>
      <c r="W2031" t="str">
        <f>HYPERLINK("Gene863-zp_tree_all.dnd", "Gene863-tree")</f>
        <v>Gene863-tree</v>
      </c>
      <c r="X2031">
        <v>3</v>
      </c>
      <c r="Y2031">
        <v>8</v>
      </c>
      <c r="Z2031">
        <v>3</v>
      </c>
      <c r="AA2031">
        <v>8</v>
      </c>
      <c r="AB2031">
        <v>0.72726999999999997</v>
      </c>
      <c r="AC2031" t="s">
        <v>324</v>
      </c>
      <c r="AD2031" t="s">
        <v>136</v>
      </c>
      <c r="AE2031" t="s">
        <v>62</v>
      </c>
      <c r="AF2031" t="s">
        <v>62</v>
      </c>
      <c r="AG2031">
        <v>5</v>
      </c>
      <c r="AH2031">
        <v>12</v>
      </c>
      <c r="AI2031">
        <v>18</v>
      </c>
      <c r="AJ2031">
        <v>0.4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</v>
      </c>
      <c r="AQ2031">
        <v>4</v>
      </c>
      <c r="AR2031">
        <v>6</v>
      </c>
      <c r="AS2031">
        <v>19</v>
      </c>
      <c r="AT2031">
        <v>0.24</v>
      </c>
      <c r="AU2031">
        <v>10</v>
      </c>
      <c r="AV2031">
        <v>7</v>
      </c>
      <c r="AW2031">
        <v>48</v>
      </c>
      <c r="AX2031">
        <v>26</v>
      </c>
      <c r="AY2031">
        <v>16</v>
      </c>
      <c r="AZ2031">
        <v>5</v>
      </c>
      <c r="BA2031" t="s">
        <v>5388</v>
      </c>
      <c r="BB2031" t="s">
        <v>5389</v>
      </c>
      <c r="BC2031">
        <v>0.45100000000000001</v>
      </c>
      <c r="BD2031" t="s">
        <v>65</v>
      </c>
      <c r="BE2031">
        <v>64</v>
      </c>
      <c r="BF2031">
        <v>31</v>
      </c>
      <c r="BG2031" t="s">
        <v>5390</v>
      </c>
      <c r="BH2031" t="s">
        <v>5391</v>
      </c>
      <c r="BI2031" t="s">
        <v>5392</v>
      </c>
      <c r="BJ2031">
        <v>0.114</v>
      </c>
      <c r="BK2031">
        <v>1</v>
      </c>
      <c r="BL2031" t="s">
        <v>69</v>
      </c>
      <c r="BM2031">
        <v>-1.157</v>
      </c>
      <c r="BN2031">
        <v>-2.11</v>
      </c>
    </row>
    <row r="2032" spans="2:66">
      <c r="B2032">
        <v>3549</v>
      </c>
      <c r="C2032">
        <v>76</v>
      </c>
      <c r="D2032">
        <v>0</v>
      </c>
      <c r="E2032">
        <v>3</v>
      </c>
      <c r="F2032">
        <v>4</v>
      </c>
      <c r="J2032">
        <v>0</v>
      </c>
      <c r="K2032">
        <v>9</v>
      </c>
      <c r="L2032">
        <v>0</v>
      </c>
      <c r="M2032" t="s">
        <v>25022</v>
      </c>
      <c r="N2032">
        <v>864</v>
      </c>
      <c r="O2032" t="s">
        <v>5393</v>
      </c>
      <c r="P2032" t="s">
        <v>57</v>
      </c>
      <c r="Q2032">
        <v>905010</v>
      </c>
      <c r="R2032">
        <v>905669</v>
      </c>
      <c r="S2032" t="s">
        <v>5394</v>
      </c>
      <c r="T2032">
        <v>220</v>
      </c>
      <c r="U2032" t="s">
        <v>108</v>
      </c>
      <c r="V2032">
        <v>44</v>
      </c>
      <c r="W2032" t="str">
        <f>HYPERLINK("Gene864-zp_tree_all.dnd", "Gene864-tree")</f>
        <v>Gene864-tree</v>
      </c>
      <c r="X2032">
        <v>8</v>
      </c>
      <c r="Y2032">
        <v>6</v>
      </c>
      <c r="Z2032">
        <v>8</v>
      </c>
      <c r="AA2032">
        <v>6</v>
      </c>
      <c r="AB2032">
        <v>0.42857000000000001</v>
      </c>
      <c r="AC2032" t="s">
        <v>136</v>
      </c>
      <c r="AD2032" t="s">
        <v>90</v>
      </c>
      <c r="AE2032" t="s">
        <v>62</v>
      </c>
      <c r="AF2032" t="s">
        <v>62</v>
      </c>
      <c r="AG2032">
        <v>3</v>
      </c>
      <c r="AH2032">
        <v>9</v>
      </c>
      <c r="AI2032">
        <v>7</v>
      </c>
      <c r="AJ2032">
        <v>0.5625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4</v>
      </c>
      <c r="AQ2032">
        <v>0</v>
      </c>
      <c r="AR2032">
        <v>4</v>
      </c>
      <c r="AS2032">
        <v>6</v>
      </c>
      <c r="AT2032">
        <v>0.4</v>
      </c>
      <c r="AU2032">
        <v>13</v>
      </c>
      <c r="AV2032">
        <v>8</v>
      </c>
      <c r="AW2032">
        <v>32</v>
      </c>
      <c r="AX2032">
        <v>10</v>
      </c>
      <c r="AY2032">
        <v>27</v>
      </c>
      <c r="AZ2032">
        <v>6</v>
      </c>
      <c r="BA2032" t="s">
        <v>5395</v>
      </c>
      <c r="BB2032" t="s">
        <v>5396</v>
      </c>
      <c r="BC2032">
        <v>0.316</v>
      </c>
      <c r="BD2032" t="s">
        <v>65</v>
      </c>
      <c r="BE2032">
        <v>59</v>
      </c>
      <c r="BF2032">
        <v>16</v>
      </c>
      <c r="BG2032" t="s">
        <v>5397</v>
      </c>
      <c r="BH2032" t="s">
        <v>5398</v>
      </c>
      <c r="BI2032" t="s">
        <v>5399</v>
      </c>
      <c r="BJ2032">
        <v>5.9270000000000003E-2</v>
      </c>
      <c r="BK2032">
        <v>1</v>
      </c>
      <c r="BL2032" t="s">
        <v>69</v>
      </c>
      <c r="BM2032">
        <v>-0.52900000000000003</v>
      </c>
      <c r="BN2032">
        <v>-0.81599999999999995</v>
      </c>
    </row>
    <row r="2033" spans="2:66">
      <c r="B2033">
        <v>3550</v>
      </c>
      <c r="C2033">
        <v>56</v>
      </c>
      <c r="D2033">
        <v>0</v>
      </c>
      <c r="E2033">
        <v>21</v>
      </c>
      <c r="F2033">
        <v>2</v>
      </c>
      <c r="J2033">
        <v>0</v>
      </c>
      <c r="K2033">
        <v>13</v>
      </c>
      <c r="L2033">
        <v>2</v>
      </c>
      <c r="M2033" t="s">
        <v>25022</v>
      </c>
      <c r="N2033">
        <v>865</v>
      </c>
      <c r="O2033" t="s">
        <v>5400</v>
      </c>
      <c r="P2033" t="s">
        <v>57</v>
      </c>
      <c r="Q2033">
        <v>905816</v>
      </c>
      <c r="R2033">
        <v>906748</v>
      </c>
      <c r="S2033" t="s">
        <v>5401</v>
      </c>
      <c r="T2033">
        <v>311</v>
      </c>
      <c r="U2033" t="s">
        <v>108</v>
      </c>
      <c r="V2033">
        <v>44</v>
      </c>
      <c r="W2033" t="str">
        <f>HYPERLINK("Gene865-zp_tree_all.dnd", "Gene865-tree")</f>
        <v>Gene865-tree</v>
      </c>
      <c r="X2033">
        <v>25</v>
      </c>
      <c r="Y2033">
        <v>11</v>
      </c>
      <c r="Z2033">
        <v>6</v>
      </c>
      <c r="AA2033">
        <v>11</v>
      </c>
      <c r="AB2033">
        <v>0.64705999999999997</v>
      </c>
      <c r="AC2033" t="s">
        <v>965</v>
      </c>
      <c r="AD2033" t="s">
        <v>73</v>
      </c>
      <c r="AE2033">
        <v>4.5810000000000004</v>
      </c>
      <c r="AF2033" t="s">
        <v>267</v>
      </c>
      <c r="AG2033">
        <v>6</v>
      </c>
      <c r="AH2033">
        <v>15</v>
      </c>
      <c r="AI2033">
        <v>19</v>
      </c>
      <c r="AJ2033">
        <v>0.44118000000000002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7</v>
      </c>
      <c r="AQ2033">
        <v>2</v>
      </c>
      <c r="AR2033">
        <v>9</v>
      </c>
      <c r="AS2033">
        <v>12</v>
      </c>
      <c r="AT2033">
        <v>0.42857000000000001</v>
      </c>
      <c r="AU2033">
        <v>15</v>
      </c>
      <c r="AV2033">
        <v>12</v>
      </c>
      <c r="AW2033">
        <v>54</v>
      </c>
      <c r="AX2033">
        <v>21</v>
      </c>
      <c r="AY2033">
        <v>65</v>
      </c>
      <c r="AZ2033">
        <v>13</v>
      </c>
      <c r="BA2033" t="s">
        <v>5402</v>
      </c>
      <c r="BB2033" t="s">
        <v>5403</v>
      </c>
      <c r="BC2033">
        <v>0.87</v>
      </c>
      <c r="BD2033" t="s">
        <v>65</v>
      </c>
      <c r="BE2033">
        <v>119</v>
      </c>
      <c r="BF2033">
        <v>34</v>
      </c>
      <c r="BG2033" t="s">
        <v>5404</v>
      </c>
      <c r="BH2033" t="s">
        <v>5405</v>
      </c>
      <c r="BI2033" t="s">
        <v>5406</v>
      </c>
      <c r="BJ2033">
        <v>9.6890000000000004E-2</v>
      </c>
      <c r="BK2033">
        <v>1</v>
      </c>
      <c r="BL2033" t="s">
        <v>69</v>
      </c>
      <c r="BM2033">
        <v>7.3999999999999996E-2</v>
      </c>
      <c r="BN2033">
        <v>-0.32600000000000001</v>
      </c>
    </row>
    <row r="2034" spans="2:66">
      <c r="B2034">
        <v>3551</v>
      </c>
      <c r="C2034">
        <v>80</v>
      </c>
      <c r="D2034">
        <v>0</v>
      </c>
      <c r="E2034">
        <v>10</v>
      </c>
      <c r="F2034">
        <v>3</v>
      </c>
      <c r="J2034">
        <v>0</v>
      </c>
      <c r="K2034">
        <v>32</v>
      </c>
      <c r="L2034">
        <v>1</v>
      </c>
      <c r="M2034" t="s">
        <v>25022</v>
      </c>
      <c r="N2034">
        <v>866</v>
      </c>
      <c r="O2034" t="s">
        <v>5407</v>
      </c>
      <c r="P2034" t="s">
        <v>57</v>
      </c>
      <c r="Q2034">
        <v>906764</v>
      </c>
      <c r="R2034">
        <v>907951</v>
      </c>
      <c r="S2034" t="s">
        <v>5408</v>
      </c>
      <c r="T2034">
        <v>396</v>
      </c>
      <c r="U2034" t="s">
        <v>108</v>
      </c>
      <c r="V2034">
        <v>44</v>
      </c>
      <c r="W2034" t="str">
        <f>HYPERLINK("Gene866-zp_tree_all.dnd", "Gene866-tree")</f>
        <v>Gene866-tree</v>
      </c>
      <c r="X2034">
        <v>1</v>
      </c>
      <c r="Y2034">
        <v>33</v>
      </c>
      <c r="Z2034">
        <v>1</v>
      </c>
      <c r="AA2034">
        <v>14</v>
      </c>
      <c r="AB2034">
        <v>0.93332999999999999</v>
      </c>
      <c r="AC2034" t="s">
        <v>175</v>
      </c>
      <c r="AD2034" t="s">
        <v>126</v>
      </c>
      <c r="AE2034">
        <v>6.3380000000000001</v>
      </c>
      <c r="AF2034" t="s">
        <v>267</v>
      </c>
      <c r="AG2034">
        <v>12</v>
      </c>
      <c r="AH2034">
        <v>33</v>
      </c>
      <c r="AI2034">
        <v>28</v>
      </c>
      <c r="AJ2034">
        <v>0.54098000000000002</v>
      </c>
      <c r="AK2034">
        <v>0</v>
      </c>
      <c r="AL2034">
        <v>0</v>
      </c>
      <c r="AM2034">
        <v>0</v>
      </c>
      <c r="AN2034">
        <v>4</v>
      </c>
      <c r="AO2034">
        <v>0</v>
      </c>
      <c r="AP2034">
        <v>13</v>
      </c>
      <c r="AQ2034">
        <v>2</v>
      </c>
      <c r="AR2034">
        <v>15</v>
      </c>
      <c r="AS2034">
        <v>19</v>
      </c>
      <c r="AT2034">
        <v>0.44118000000000002</v>
      </c>
      <c r="AU2034">
        <v>13</v>
      </c>
      <c r="AV2034">
        <v>12</v>
      </c>
      <c r="AW2034">
        <v>56</v>
      </c>
      <c r="AX2034">
        <v>27</v>
      </c>
      <c r="AY2034">
        <v>68</v>
      </c>
      <c r="AZ2034">
        <v>34</v>
      </c>
      <c r="BA2034" t="s">
        <v>5409</v>
      </c>
      <c r="BB2034" t="s">
        <v>5410</v>
      </c>
      <c r="BC2034">
        <v>7.8E-2</v>
      </c>
      <c r="BD2034" t="s">
        <v>65</v>
      </c>
      <c r="BE2034">
        <v>124</v>
      </c>
      <c r="BF2034">
        <v>61</v>
      </c>
      <c r="BG2034" t="s">
        <v>5411</v>
      </c>
      <c r="BH2034" t="s">
        <v>5412</v>
      </c>
      <c r="BI2034" t="s">
        <v>5413</v>
      </c>
      <c r="BJ2034">
        <v>0.13891000000000001</v>
      </c>
      <c r="BK2034">
        <v>1</v>
      </c>
      <c r="BL2034" t="s">
        <v>69</v>
      </c>
      <c r="BM2034">
        <v>0.39100000000000001</v>
      </c>
      <c r="BN2034">
        <v>0.28000000000000003</v>
      </c>
    </row>
    <row r="2035" spans="2:66">
      <c r="B2035">
        <v>3552</v>
      </c>
      <c r="C2035">
        <v>67</v>
      </c>
      <c r="D2035">
        <v>0</v>
      </c>
      <c r="E2035">
        <v>2</v>
      </c>
      <c r="F2035">
        <v>0</v>
      </c>
      <c r="J2035">
        <v>2</v>
      </c>
      <c r="K2035">
        <v>40</v>
      </c>
      <c r="L2035">
        <v>7</v>
      </c>
      <c r="M2035" t="s">
        <v>25022</v>
      </c>
      <c r="N2035">
        <v>867</v>
      </c>
      <c r="O2035" t="s">
        <v>5414</v>
      </c>
      <c r="P2035" t="s">
        <v>57</v>
      </c>
      <c r="Q2035">
        <v>907968</v>
      </c>
      <c r="R2035">
        <v>909122</v>
      </c>
      <c r="S2035" t="s">
        <v>5408</v>
      </c>
      <c r="T2035">
        <v>385</v>
      </c>
      <c r="U2035" t="s">
        <v>108</v>
      </c>
      <c r="V2035">
        <v>44</v>
      </c>
      <c r="W2035" t="str">
        <f>HYPERLINK("Gene867-zp_tree_all.dnd", "Gene867-tree")</f>
        <v>Gene867-tree</v>
      </c>
      <c r="X2035">
        <v>3</v>
      </c>
      <c r="Y2035">
        <v>12</v>
      </c>
      <c r="Z2035">
        <v>3</v>
      </c>
      <c r="AA2035">
        <v>12</v>
      </c>
      <c r="AB2035">
        <v>0.8</v>
      </c>
      <c r="AC2035" t="s">
        <v>324</v>
      </c>
      <c r="AD2035" t="s">
        <v>109</v>
      </c>
      <c r="AE2035" t="s">
        <v>62</v>
      </c>
      <c r="AF2035" t="s">
        <v>62</v>
      </c>
      <c r="AG2035">
        <v>17</v>
      </c>
      <c r="AH2035">
        <v>49</v>
      </c>
      <c r="AI2035">
        <v>24</v>
      </c>
      <c r="AJ2035">
        <v>0.67122999999999999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19</v>
      </c>
      <c r="AQ2035">
        <v>11</v>
      </c>
      <c r="AR2035">
        <v>30</v>
      </c>
      <c r="AS2035">
        <v>24</v>
      </c>
      <c r="AT2035">
        <v>0.55556000000000005</v>
      </c>
      <c r="AU2035">
        <v>15</v>
      </c>
      <c r="AV2035">
        <v>11</v>
      </c>
      <c r="AW2035">
        <v>73</v>
      </c>
      <c r="AX2035">
        <v>57</v>
      </c>
      <c r="AY2035">
        <v>63</v>
      </c>
      <c r="AZ2035">
        <v>21</v>
      </c>
      <c r="BA2035" t="s">
        <v>5415</v>
      </c>
      <c r="BB2035" t="s">
        <v>5416</v>
      </c>
      <c r="BC2035">
        <v>1.234</v>
      </c>
      <c r="BD2035" t="s">
        <v>65</v>
      </c>
      <c r="BE2035">
        <v>136</v>
      </c>
      <c r="BF2035">
        <v>78</v>
      </c>
      <c r="BG2035" t="s">
        <v>5417</v>
      </c>
      <c r="BH2035" t="s">
        <v>5418</v>
      </c>
      <c r="BI2035" t="s">
        <v>5419</v>
      </c>
      <c r="BJ2035">
        <v>0.15819</v>
      </c>
      <c r="BK2035">
        <v>1</v>
      </c>
      <c r="BL2035" t="s">
        <v>69</v>
      </c>
      <c r="BM2035">
        <v>0.27100000000000002</v>
      </c>
      <c r="BN2035">
        <v>0.20200000000000001</v>
      </c>
    </row>
    <row r="2036" spans="2:66">
      <c r="B2036">
        <v>3553</v>
      </c>
      <c r="C2036">
        <v>128</v>
      </c>
      <c r="D2036">
        <v>0</v>
      </c>
      <c r="E2036">
        <v>22</v>
      </c>
      <c r="F2036">
        <v>0</v>
      </c>
      <c r="J2036">
        <v>0</v>
      </c>
      <c r="K2036">
        <v>0</v>
      </c>
      <c r="L2036">
        <v>2</v>
      </c>
      <c r="M2036" t="s">
        <v>25022</v>
      </c>
      <c r="N2036">
        <v>869</v>
      </c>
      <c r="O2036" t="s">
        <v>5428</v>
      </c>
      <c r="P2036" t="s">
        <v>57</v>
      </c>
      <c r="Q2036">
        <v>910019</v>
      </c>
      <c r="R2036">
        <v>910648</v>
      </c>
      <c r="S2036" t="s">
        <v>5429</v>
      </c>
      <c r="T2036">
        <v>210</v>
      </c>
      <c r="U2036" t="s">
        <v>108</v>
      </c>
      <c r="V2036">
        <v>44</v>
      </c>
      <c r="W2036" t="str">
        <f>HYPERLINK("Gene869-zp_tree_all.dnd", "Gene869-tree")</f>
        <v>Gene869-tree</v>
      </c>
      <c r="X2036">
        <v>8</v>
      </c>
      <c r="Y2036">
        <v>4</v>
      </c>
      <c r="Z2036">
        <v>8</v>
      </c>
      <c r="AA2036">
        <v>4</v>
      </c>
      <c r="AB2036">
        <v>0.33333000000000002</v>
      </c>
      <c r="AC2036" t="s">
        <v>136</v>
      </c>
      <c r="AD2036" t="s">
        <v>61</v>
      </c>
      <c r="AE2036" t="s">
        <v>62</v>
      </c>
      <c r="AF2036" t="s">
        <v>62</v>
      </c>
      <c r="AG2036">
        <v>1</v>
      </c>
      <c r="AH2036">
        <v>2</v>
      </c>
      <c r="AI2036">
        <v>11</v>
      </c>
      <c r="AJ2036">
        <v>0.15384999999999999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2</v>
      </c>
      <c r="AR2036">
        <v>2</v>
      </c>
      <c r="AS2036">
        <v>11</v>
      </c>
      <c r="AT2036">
        <v>0.15384999999999999</v>
      </c>
      <c r="AU2036">
        <v>11</v>
      </c>
      <c r="AV2036">
        <v>7</v>
      </c>
      <c r="AW2036">
        <v>37</v>
      </c>
      <c r="AX2036">
        <v>13</v>
      </c>
      <c r="AY2036">
        <v>14</v>
      </c>
      <c r="AZ2036">
        <v>0</v>
      </c>
      <c r="BA2036" t="s">
        <v>5430</v>
      </c>
      <c r="BB2036" t="s">
        <v>193</v>
      </c>
      <c r="BC2036">
        <v>0.47599999999999998</v>
      </c>
      <c r="BD2036" t="s">
        <v>65</v>
      </c>
      <c r="BE2036">
        <v>51</v>
      </c>
      <c r="BF2036">
        <v>13</v>
      </c>
      <c r="BG2036" t="s">
        <v>5431</v>
      </c>
      <c r="BH2036" t="s">
        <v>5432</v>
      </c>
      <c r="BI2036" t="s">
        <v>5433</v>
      </c>
      <c r="BJ2036">
        <v>7.374E-2</v>
      </c>
      <c r="BK2036">
        <v>1</v>
      </c>
      <c r="BL2036" t="s">
        <v>69</v>
      </c>
      <c r="BM2036">
        <v>2.8000000000000001E-2</v>
      </c>
      <c r="BN2036">
        <v>1.2290000000000001</v>
      </c>
    </row>
    <row r="2037" spans="2:66">
      <c r="B2037">
        <v>3554</v>
      </c>
      <c r="C2037">
        <v>48</v>
      </c>
      <c r="D2037">
        <v>3</v>
      </c>
      <c r="E2037">
        <v>38</v>
      </c>
      <c r="F2037">
        <v>7</v>
      </c>
      <c r="J2037">
        <v>0</v>
      </c>
      <c r="K2037">
        <v>10</v>
      </c>
      <c r="L2037">
        <v>2</v>
      </c>
      <c r="M2037" t="s">
        <v>25022</v>
      </c>
      <c r="N2037">
        <v>870</v>
      </c>
      <c r="O2037" t="s">
        <v>5434</v>
      </c>
      <c r="P2037" t="s">
        <v>57</v>
      </c>
      <c r="Q2037">
        <v>910840</v>
      </c>
      <c r="R2037">
        <v>911925</v>
      </c>
      <c r="S2037" t="s">
        <v>5435</v>
      </c>
      <c r="T2037">
        <v>362</v>
      </c>
      <c r="U2037" t="s">
        <v>1557</v>
      </c>
      <c r="V2037">
        <v>40</v>
      </c>
      <c r="W2037" t="str">
        <f>HYPERLINK("Gene870-zp_tree_all.dnd", "Gene870-tree")</f>
        <v>Gene870-tree</v>
      </c>
      <c r="X2037">
        <v>3</v>
      </c>
      <c r="Y2037">
        <v>10</v>
      </c>
      <c r="Z2037">
        <v>3</v>
      </c>
      <c r="AA2037">
        <v>10</v>
      </c>
      <c r="AB2037">
        <v>0.76922999999999997</v>
      </c>
      <c r="AC2037" t="s">
        <v>324</v>
      </c>
      <c r="AD2037" t="s">
        <v>117</v>
      </c>
      <c r="AE2037" t="s">
        <v>62</v>
      </c>
      <c r="AF2037" t="s">
        <v>62</v>
      </c>
      <c r="AG2037">
        <v>5</v>
      </c>
      <c r="AH2037">
        <v>12</v>
      </c>
      <c r="AI2037">
        <v>7</v>
      </c>
      <c r="AJ2037">
        <v>0.63158000000000003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4</v>
      </c>
      <c r="AQ2037">
        <v>1</v>
      </c>
      <c r="AR2037">
        <v>5</v>
      </c>
      <c r="AS2037">
        <v>9</v>
      </c>
      <c r="AT2037">
        <v>0.35714000000000001</v>
      </c>
      <c r="AU2037">
        <v>12</v>
      </c>
      <c r="AV2037">
        <v>8</v>
      </c>
      <c r="AW2037">
        <v>36</v>
      </c>
      <c r="AX2037">
        <v>14</v>
      </c>
      <c r="AY2037">
        <v>28</v>
      </c>
      <c r="AZ2037">
        <v>5</v>
      </c>
      <c r="BA2037" t="s">
        <v>5436</v>
      </c>
      <c r="BB2037" t="s">
        <v>5437</v>
      </c>
      <c r="BC2037">
        <v>1.29</v>
      </c>
      <c r="BD2037" t="s">
        <v>65</v>
      </c>
      <c r="BE2037">
        <v>64</v>
      </c>
      <c r="BF2037">
        <v>19</v>
      </c>
      <c r="BG2037" t="s">
        <v>5438</v>
      </c>
      <c r="BH2037" t="s">
        <v>5439</v>
      </c>
      <c r="BI2037" t="s">
        <v>5440</v>
      </c>
      <c r="BJ2037">
        <v>9.2329999999999995E-2</v>
      </c>
      <c r="BK2037">
        <v>1</v>
      </c>
      <c r="BL2037" t="s">
        <v>69</v>
      </c>
      <c r="BM2037">
        <v>-0.95599999999999996</v>
      </c>
      <c r="BN2037">
        <v>-1.18</v>
      </c>
    </row>
    <row r="2038" spans="2:66">
      <c r="B2038">
        <v>3555</v>
      </c>
      <c r="C2038">
        <v>159</v>
      </c>
      <c r="D2038">
        <v>0</v>
      </c>
      <c r="E2038">
        <v>22</v>
      </c>
      <c r="F2038">
        <v>0</v>
      </c>
      <c r="J2038">
        <v>0</v>
      </c>
      <c r="K2038">
        <v>4</v>
      </c>
      <c r="L2038">
        <v>4</v>
      </c>
      <c r="M2038" t="s">
        <v>25022</v>
      </c>
      <c r="N2038">
        <v>873</v>
      </c>
      <c r="O2038" t="s">
        <v>5449</v>
      </c>
      <c r="P2038" t="s">
        <v>57</v>
      </c>
      <c r="Q2038">
        <v>913924</v>
      </c>
      <c r="R2038">
        <v>914457</v>
      </c>
      <c r="S2038" t="s">
        <v>5450</v>
      </c>
      <c r="T2038">
        <v>178</v>
      </c>
      <c r="U2038" t="s">
        <v>5451</v>
      </c>
      <c r="V2038">
        <v>43</v>
      </c>
      <c r="W2038" t="str">
        <f>HYPERLINK("Gene873-zp_tree_all.dnd", "Gene873-tree")</f>
        <v>Gene873-tree</v>
      </c>
      <c r="X2038">
        <v>4</v>
      </c>
      <c r="Y2038">
        <v>8</v>
      </c>
      <c r="Z2038">
        <v>4</v>
      </c>
      <c r="AA2038">
        <v>8</v>
      </c>
      <c r="AB2038">
        <v>0.66666999999999998</v>
      </c>
      <c r="AC2038" t="s">
        <v>61</v>
      </c>
      <c r="AD2038" t="s">
        <v>136</v>
      </c>
      <c r="AE2038" t="s">
        <v>62</v>
      </c>
      <c r="AF2038" t="s">
        <v>62</v>
      </c>
      <c r="AG2038">
        <v>4</v>
      </c>
      <c r="AH2038">
        <v>8</v>
      </c>
      <c r="AI2038">
        <v>8</v>
      </c>
      <c r="AJ2038">
        <v>0.5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4</v>
      </c>
      <c r="AQ2038">
        <v>0</v>
      </c>
      <c r="AR2038">
        <v>4</v>
      </c>
      <c r="AS2038">
        <v>7</v>
      </c>
      <c r="AT2038">
        <v>0.36364000000000002</v>
      </c>
      <c r="AU2038">
        <v>11</v>
      </c>
      <c r="AV2038">
        <v>7</v>
      </c>
      <c r="AW2038">
        <v>23</v>
      </c>
      <c r="AX2038">
        <v>11</v>
      </c>
      <c r="AY2038">
        <v>9</v>
      </c>
      <c r="AZ2038">
        <v>5</v>
      </c>
      <c r="BA2038" t="s">
        <v>5452</v>
      </c>
      <c r="BB2038" t="s">
        <v>5453</v>
      </c>
      <c r="BC2038">
        <v>0.22900000000000001</v>
      </c>
      <c r="BD2038" t="s">
        <v>65</v>
      </c>
      <c r="BE2038">
        <v>32</v>
      </c>
      <c r="BF2038">
        <v>16</v>
      </c>
      <c r="BG2038" t="s">
        <v>5454</v>
      </c>
      <c r="BH2038" t="s">
        <v>5455</v>
      </c>
      <c r="BI2038" t="s">
        <v>5456</v>
      </c>
      <c r="BJ2038">
        <v>0.18718000000000001</v>
      </c>
      <c r="BK2038">
        <v>1</v>
      </c>
      <c r="BL2038" t="s">
        <v>69</v>
      </c>
      <c r="BM2038">
        <v>-0.67700000000000005</v>
      </c>
      <c r="BN2038">
        <v>-0.44600000000000001</v>
      </c>
    </row>
    <row r="2039" spans="2:66">
      <c r="B2039">
        <v>3556</v>
      </c>
      <c r="C2039">
        <v>202</v>
      </c>
      <c r="D2039">
        <v>0</v>
      </c>
      <c r="E2039">
        <v>7</v>
      </c>
      <c r="F2039">
        <v>0</v>
      </c>
      <c r="J2039">
        <v>0</v>
      </c>
      <c r="K2039">
        <v>13</v>
      </c>
      <c r="L2039">
        <v>1</v>
      </c>
      <c r="M2039" t="s">
        <v>25022</v>
      </c>
      <c r="N2039">
        <v>876</v>
      </c>
      <c r="O2039" t="s">
        <v>5469</v>
      </c>
      <c r="P2039" t="s">
        <v>57</v>
      </c>
      <c r="Q2039">
        <v>916778</v>
      </c>
      <c r="R2039">
        <v>919345</v>
      </c>
      <c r="S2039" t="s">
        <v>5470</v>
      </c>
      <c r="T2039">
        <v>856</v>
      </c>
      <c r="U2039" t="s">
        <v>108</v>
      </c>
      <c r="V2039">
        <v>44</v>
      </c>
      <c r="W2039" t="str">
        <f>HYPERLINK("Gene876-zp_tree_all.dnd", "Gene876-tree")</f>
        <v>Gene876-tree</v>
      </c>
      <c r="X2039">
        <v>4</v>
      </c>
      <c r="Y2039">
        <v>11</v>
      </c>
      <c r="Z2039">
        <v>4</v>
      </c>
      <c r="AA2039">
        <v>11</v>
      </c>
      <c r="AB2039">
        <v>0.73333000000000004</v>
      </c>
      <c r="AC2039" t="s">
        <v>61</v>
      </c>
      <c r="AD2039" t="s">
        <v>73</v>
      </c>
      <c r="AE2039">
        <v>200307210.301</v>
      </c>
      <c r="AF2039" t="s">
        <v>267</v>
      </c>
      <c r="AG2039">
        <v>4</v>
      </c>
      <c r="AH2039">
        <v>14</v>
      </c>
      <c r="AI2039">
        <v>5</v>
      </c>
      <c r="AJ2039">
        <v>0.73684000000000005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8</v>
      </c>
      <c r="AQ2039">
        <v>1</v>
      </c>
      <c r="AR2039">
        <v>9</v>
      </c>
      <c r="AS2039">
        <v>5</v>
      </c>
      <c r="AT2039">
        <v>0.64285999999999999</v>
      </c>
      <c r="AU2039">
        <v>14</v>
      </c>
      <c r="AV2039">
        <v>12</v>
      </c>
      <c r="AW2039">
        <v>112</v>
      </c>
      <c r="AX2039">
        <v>14</v>
      </c>
      <c r="AY2039">
        <v>58</v>
      </c>
      <c r="AZ2039">
        <v>9</v>
      </c>
      <c r="BA2039" t="s">
        <v>5471</v>
      </c>
      <c r="BB2039" t="s">
        <v>5472</v>
      </c>
      <c r="BC2039">
        <v>0.42299999999999999</v>
      </c>
      <c r="BD2039" t="s">
        <v>65</v>
      </c>
      <c r="BE2039">
        <v>170</v>
      </c>
      <c r="BF2039">
        <v>23</v>
      </c>
      <c r="BG2039" t="s">
        <v>5473</v>
      </c>
      <c r="BH2039" t="s">
        <v>5474</v>
      </c>
      <c r="BI2039" t="s">
        <v>746</v>
      </c>
      <c r="BJ2039">
        <v>3.5009999999999999E-2</v>
      </c>
      <c r="BK2039">
        <v>1</v>
      </c>
      <c r="BL2039" t="s">
        <v>69</v>
      </c>
      <c r="BM2039">
        <v>-4.2999999999999997E-2</v>
      </c>
      <c r="BN2039">
        <v>-0.57099999999999995</v>
      </c>
    </row>
    <row r="2040" spans="2:66">
      <c r="B2040">
        <v>3557</v>
      </c>
      <c r="C2040">
        <v>161</v>
      </c>
      <c r="D2040">
        <v>0</v>
      </c>
      <c r="E2040">
        <v>4</v>
      </c>
      <c r="F2040">
        <v>0</v>
      </c>
      <c r="J2040">
        <v>0</v>
      </c>
      <c r="K2040">
        <v>0</v>
      </c>
      <c r="L2040">
        <v>0</v>
      </c>
      <c r="M2040" t="s">
        <v>25022</v>
      </c>
      <c r="N2040">
        <v>878</v>
      </c>
      <c r="O2040" t="s">
        <v>5482</v>
      </c>
      <c r="P2040" t="s">
        <v>57</v>
      </c>
      <c r="Q2040">
        <v>920474</v>
      </c>
      <c r="R2040">
        <v>921472</v>
      </c>
      <c r="S2040" t="s">
        <v>5483</v>
      </c>
      <c r="T2040">
        <v>333</v>
      </c>
      <c r="U2040" t="s">
        <v>108</v>
      </c>
      <c r="V2040">
        <v>44</v>
      </c>
      <c r="W2040" t="str">
        <f>HYPERLINK("Gene878-zp_tree_all.dnd", "Gene878-tree")</f>
        <v>Gene878-tree</v>
      </c>
      <c r="X2040">
        <v>11</v>
      </c>
      <c r="Y2040">
        <v>3</v>
      </c>
      <c r="Z2040">
        <v>11</v>
      </c>
      <c r="AA2040">
        <v>3</v>
      </c>
      <c r="AB2040">
        <v>0.21429000000000001</v>
      </c>
      <c r="AC2040" t="s">
        <v>73</v>
      </c>
      <c r="AD2040" t="s">
        <v>324</v>
      </c>
      <c r="AE2040" t="s">
        <v>62</v>
      </c>
      <c r="AF2040" t="s">
        <v>62</v>
      </c>
      <c r="AG2040">
        <v>0</v>
      </c>
      <c r="AH2040">
        <v>0</v>
      </c>
      <c r="AI2040">
        <v>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3</v>
      </c>
      <c r="AT2040">
        <v>0</v>
      </c>
      <c r="AU2040">
        <v>13</v>
      </c>
      <c r="AV2040">
        <v>8</v>
      </c>
      <c r="AW2040">
        <v>36</v>
      </c>
      <c r="AX2040">
        <v>3</v>
      </c>
      <c r="AY2040">
        <v>24</v>
      </c>
      <c r="AZ2040">
        <v>1</v>
      </c>
      <c r="BA2040" t="s">
        <v>5484</v>
      </c>
      <c r="BB2040" t="s">
        <v>5485</v>
      </c>
      <c r="BC2040">
        <v>0.253</v>
      </c>
      <c r="BD2040" t="s">
        <v>65</v>
      </c>
      <c r="BE2040">
        <v>60</v>
      </c>
      <c r="BF2040">
        <v>4</v>
      </c>
      <c r="BG2040" t="s">
        <v>5486</v>
      </c>
      <c r="BH2040" t="s">
        <v>5487</v>
      </c>
      <c r="BI2040" t="s">
        <v>5488</v>
      </c>
      <c r="BJ2040">
        <v>1.8620000000000001E-2</v>
      </c>
      <c r="BK2040">
        <v>1</v>
      </c>
      <c r="BL2040" t="s">
        <v>69</v>
      </c>
      <c r="BM2040">
        <v>-0.105</v>
      </c>
      <c r="BN2040">
        <v>0.58599999999999997</v>
      </c>
    </row>
    <row r="2041" spans="2:66">
      <c r="B2041">
        <v>3558</v>
      </c>
      <c r="C2041">
        <v>137</v>
      </c>
      <c r="D2041">
        <v>0</v>
      </c>
      <c r="E2041">
        <v>8</v>
      </c>
      <c r="F2041">
        <v>1</v>
      </c>
      <c r="J2041">
        <v>0</v>
      </c>
      <c r="K2041">
        <v>7</v>
      </c>
      <c r="L2041">
        <v>0</v>
      </c>
      <c r="M2041" t="s">
        <v>25022</v>
      </c>
      <c r="N2041">
        <v>879</v>
      </c>
      <c r="O2041" t="s">
        <v>5489</v>
      </c>
      <c r="P2041" t="s">
        <v>57</v>
      </c>
      <c r="Q2041">
        <v>921472</v>
      </c>
      <c r="R2041">
        <v>922500</v>
      </c>
      <c r="S2041" t="s">
        <v>5483</v>
      </c>
      <c r="T2041">
        <v>343</v>
      </c>
      <c r="U2041" t="s">
        <v>108</v>
      </c>
      <c r="V2041">
        <v>44</v>
      </c>
      <c r="W2041" t="str">
        <f>HYPERLINK("Gene879-zp_tree_all.dnd", "Gene879-tree")</f>
        <v>Gene879-tree</v>
      </c>
      <c r="X2041">
        <v>9</v>
      </c>
      <c r="Y2041">
        <v>6</v>
      </c>
      <c r="Z2041">
        <v>9</v>
      </c>
      <c r="AA2041">
        <v>6</v>
      </c>
      <c r="AB2041">
        <v>0.4</v>
      </c>
      <c r="AC2041" t="s">
        <v>135</v>
      </c>
      <c r="AD2041" t="s">
        <v>90</v>
      </c>
      <c r="AE2041" t="s">
        <v>62</v>
      </c>
      <c r="AF2041" t="s">
        <v>62</v>
      </c>
      <c r="AG2041">
        <v>2</v>
      </c>
      <c r="AH2041">
        <v>7</v>
      </c>
      <c r="AI2041">
        <v>6</v>
      </c>
      <c r="AJ2041">
        <v>0.53846000000000005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4</v>
      </c>
      <c r="AQ2041">
        <v>0</v>
      </c>
      <c r="AR2041">
        <v>4</v>
      </c>
      <c r="AS2041">
        <v>6</v>
      </c>
      <c r="AT2041">
        <v>0.4</v>
      </c>
      <c r="AU2041">
        <v>12</v>
      </c>
      <c r="AV2041">
        <v>11</v>
      </c>
      <c r="AW2041">
        <v>24</v>
      </c>
      <c r="AX2041">
        <v>10</v>
      </c>
      <c r="AY2041">
        <v>22</v>
      </c>
      <c r="AZ2041">
        <v>3</v>
      </c>
      <c r="BA2041" t="s">
        <v>5490</v>
      </c>
      <c r="BB2041" t="s">
        <v>5491</v>
      </c>
      <c r="BC2041">
        <v>1.1160000000000001</v>
      </c>
      <c r="BD2041" t="s">
        <v>65</v>
      </c>
      <c r="BE2041">
        <v>46</v>
      </c>
      <c r="BF2041">
        <v>13</v>
      </c>
      <c r="BG2041" t="s">
        <v>5492</v>
      </c>
      <c r="BH2041" t="s">
        <v>5493</v>
      </c>
      <c r="BI2041" t="s">
        <v>5494</v>
      </c>
      <c r="BJ2041">
        <v>6.1260000000000002E-2</v>
      </c>
      <c r="BK2041">
        <v>1</v>
      </c>
      <c r="BL2041" t="s">
        <v>69</v>
      </c>
      <c r="BM2041">
        <v>-0.86699999999999999</v>
      </c>
      <c r="BN2041">
        <v>-1.3979999999999999</v>
      </c>
    </row>
    <row r="2042" spans="2:66">
      <c r="B2042">
        <v>3559</v>
      </c>
      <c r="C2042">
        <v>134</v>
      </c>
      <c r="D2042">
        <v>0</v>
      </c>
      <c r="E2042">
        <v>2</v>
      </c>
      <c r="F2042">
        <v>0</v>
      </c>
      <c r="J2042">
        <v>0</v>
      </c>
      <c r="K2042">
        <v>12</v>
      </c>
      <c r="L2042">
        <v>3</v>
      </c>
      <c r="M2042" t="s">
        <v>25022</v>
      </c>
      <c r="N2042">
        <v>880</v>
      </c>
      <c r="O2042" t="s">
        <v>5495</v>
      </c>
      <c r="P2042" t="s">
        <v>57</v>
      </c>
      <c r="Q2042">
        <v>922618</v>
      </c>
      <c r="R2042">
        <v>923496</v>
      </c>
      <c r="S2042" t="s">
        <v>5496</v>
      </c>
      <c r="T2042">
        <v>293</v>
      </c>
      <c r="U2042" t="s">
        <v>108</v>
      </c>
      <c r="V2042">
        <v>44</v>
      </c>
      <c r="W2042" t="str">
        <f>HYPERLINK("Gene880-zp_tree_all.dnd", "Gene880-tree")</f>
        <v>Gene880-tree</v>
      </c>
      <c r="X2042">
        <v>28</v>
      </c>
      <c r="Y2042">
        <v>7</v>
      </c>
      <c r="Z2042">
        <v>6</v>
      </c>
      <c r="AA2042">
        <v>7</v>
      </c>
      <c r="AB2042">
        <v>0.53846000000000005</v>
      </c>
      <c r="AC2042" t="s">
        <v>5497</v>
      </c>
      <c r="AD2042" t="s">
        <v>152</v>
      </c>
      <c r="AE2042" t="s">
        <v>62</v>
      </c>
      <c r="AF2042" t="s">
        <v>62</v>
      </c>
      <c r="AG2042">
        <v>6</v>
      </c>
      <c r="AH2042">
        <v>15</v>
      </c>
      <c r="AI2042">
        <v>9</v>
      </c>
      <c r="AJ2042">
        <v>0.625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8</v>
      </c>
      <c r="AQ2042">
        <v>3</v>
      </c>
      <c r="AR2042">
        <v>11</v>
      </c>
      <c r="AS2042">
        <v>6</v>
      </c>
      <c r="AT2042">
        <v>0.64705999999999997</v>
      </c>
      <c r="AU2042">
        <v>12</v>
      </c>
      <c r="AV2042">
        <v>10</v>
      </c>
      <c r="AW2042">
        <v>46</v>
      </c>
      <c r="AX2042">
        <v>19</v>
      </c>
      <c r="AY2042">
        <v>16</v>
      </c>
      <c r="AZ2042">
        <v>7</v>
      </c>
      <c r="BA2042" t="s">
        <v>5498</v>
      </c>
      <c r="BB2042" t="s">
        <v>5499</v>
      </c>
      <c r="BC2042">
        <v>7.6999999999999999E-2</v>
      </c>
      <c r="BD2042" t="s">
        <v>65</v>
      </c>
      <c r="BE2042">
        <v>62</v>
      </c>
      <c r="BF2042">
        <v>26</v>
      </c>
      <c r="BG2042" t="s">
        <v>5500</v>
      </c>
      <c r="BH2042" t="s">
        <v>5501</v>
      </c>
      <c r="BI2042" t="s">
        <v>5502</v>
      </c>
      <c r="BJ2042">
        <v>0.12689</v>
      </c>
      <c r="BK2042">
        <v>1</v>
      </c>
      <c r="BL2042" t="s">
        <v>69</v>
      </c>
      <c r="BM2042">
        <v>-1.6220000000000001</v>
      </c>
      <c r="BN2042">
        <v>-2.9740000000000002</v>
      </c>
    </row>
    <row r="2043" spans="2:66">
      <c r="B2043">
        <v>3560</v>
      </c>
      <c r="C2043">
        <v>60</v>
      </c>
      <c r="D2043">
        <v>0</v>
      </c>
      <c r="E2043">
        <v>7</v>
      </c>
      <c r="F2043">
        <v>3</v>
      </c>
      <c r="J2043">
        <v>0</v>
      </c>
      <c r="K2043">
        <v>7</v>
      </c>
      <c r="L2043">
        <v>0</v>
      </c>
      <c r="M2043" t="s">
        <v>25022</v>
      </c>
      <c r="N2043">
        <v>881</v>
      </c>
      <c r="O2043" t="s">
        <v>5503</v>
      </c>
      <c r="P2043" t="s">
        <v>57</v>
      </c>
      <c r="Q2043">
        <v>923587</v>
      </c>
      <c r="R2043">
        <v>924168</v>
      </c>
      <c r="S2043" t="s">
        <v>5504</v>
      </c>
      <c r="T2043">
        <v>194</v>
      </c>
      <c r="U2043" t="s">
        <v>1392</v>
      </c>
      <c r="V2043">
        <v>43</v>
      </c>
      <c r="W2043" t="str">
        <f>HYPERLINK("Gene881-zp_tree_all.dnd", "Gene881-tree")</f>
        <v>Gene881-tree</v>
      </c>
      <c r="X2043">
        <v>6</v>
      </c>
      <c r="Y2043">
        <v>7</v>
      </c>
      <c r="Z2043">
        <v>6</v>
      </c>
      <c r="AA2043">
        <v>7</v>
      </c>
      <c r="AB2043">
        <v>0.53846000000000005</v>
      </c>
      <c r="AC2043" t="s">
        <v>90</v>
      </c>
      <c r="AD2043" t="s">
        <v>152</v>
      </c>
      <c r="AE2043" t="s">
        <v>62</v>
      </c>
      <c r="AF2043" t="s">
        <v>62</v>
      </c>
      <c r="AG2043">
        <v>1</v>
      </c>
      <c r="AH2043">
        <v>7</v>
      </c>
      <c r="AI2043">
        <v>9</v>
      </c>
      <c r="AJ2043">
        <v>0.4375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5</v>
      </c>
      <c r="AQ2043">
        <v>0</v>
      </c>
      <c r="AR2043">
        <v>5</v>
      </c>
      <c r="AS2043">
        <v>8</v>
      </c>
      <c r="AT2043">
        <v>0.38462000000000002</v>
      </c>
      <c r="AU2043">
        <v>11</v>
      </c>
      <c r="AV2043">
        <v>7</v>
      </c>
      <c r="AW2043">
        <v>16</v>
      </c>
      <c r="AX2043">
        <v>13</v>
      </c>
      <c r="AY2043">
        <v>10</v>
      </c>
      <c r="AZ2043">
        <v>3</v>
      </c>
      <c r="BA2043" t="s">
        <v>5505</v>
      </c>
      <c r="BB2043" t="s">
        <v>5506</v>
      </c>
      <c r="BC2043">
        <v>1.2390000000000001</v>
      </c>
      <c r="BD2043" t="s">
        <v>65</v>
      </c>
      <c r="BE2043">
        <v>26</v>
      </c>
      <c r="BF2043">
        <v>16</v>
      </c>
      <c r="BG2043" t="s">
        <v>5507</v>
      </c>
      <c r="BH2043" t="s">
        <v>5508</v>
      </c>
      <c r="BI2043" t="s">
        <v>5509</v>
      </c>
      <c r="BJ2043">
        <v>9.5490000000000005E-2</v>
      </c>
      <c r="BK2043">
        <v>1</v>
      </c>
      <c r="BL2043" t="s">
        <v>69</v>
      </c>
      <c r="BM2043">
        <v>-0.67200000000000004</v>
      </c>
      <c r="BN2043">
        <v>-1.08</v>
      </c>
    </row>
    <row r="2044" spans="2:66">
      <c r="B2044">
        <v>3561</v>
      </c>
      <c r="C2044">
        <v>82</v>
      </c>
      <c r="D2044">
        <v>0</v>
      </c>
      <c r="E2044">
        <v>9</v>
      </c>
      <c r="F2044">
        <v>4</v>
      </c>
      <c r="J2044">
        <v>0</v>
      </c>
      <c r="K2044">
        <v>0</v>
      </c>
      <c r="L2044">
        <v>0</v>
      </c>
      <c r="M2044" t="s">
        <v>25022</v>
      </c>
      <c r="N2044">
        <v>885</v>
      </c>
      <c r="O2044" t="s">
        <v>5527</v>
      </c>
      <c r="P2044" t="s">
        <v>57</v>
      </c>
      <c r="Q2044">
        <v>925633</v>
      </c>
      <c r="R2044">
        <v>926424</v>
      </c>
      <c r="S2044" t="s">
        <v>5528</v>
      </c>
      <c r="T2044">
        <v>264</v>
      </c>
      <c r="U2044" t="s">
        <v>108</v>
      </c>
      <c r="V2044">
        <v>44</v>
      </c>
      <c r="W2044" t="str">
        <f>HYPERLINK("Gene885-zp_tree_all.dnd", "Gene885-tree")</f>
        <v>Gene885-tree</v>
      </c>
      <c r="X2044">
        <v>9</v>
      </c>
      <c r="Y2044">
        <v>5</v>
      </c>
      <c r="Z2044">
        <v>9</v>
      </c>
      <c r="AA2044">
        <v>5</v>
      </c>
      <c r="AB2044">
        <v>0.35714000000000001</v>
      </c>
      <c r="AC2044" t="s">
        <v>135</v>
      </c>
      <c r="AD2044" t="s">
        <v>199</v>
      </c>
      <c r="AE2044" t="s">
        <v>62</v>
      </c>
      <c r="AF2044" t="s">
        <v>62</v>
      </c>
      <c r="AG2044">
        <v>0</v>
      </c>
      <c r="AH2044">
        <v>0</v>
      </c>
      <c r="AI2044">
        <v>9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6</v>
      </c>
      <c r="AT2044">
        <v>0</v>
      </c>
      <c r="AU2044">
        <v>12</v>
      </c>
      <c r="AV2044">
        <v>5</v>
      </c>
      <c r="AW2044">
        <v>19</v>
      </c>
      <c r="AX2044">
        <v>6</v>
      </c>
      <c r="AY2044">
        <v>5</v>
      </c>
      <c r="AZ2044">
        <v>3</v>
      </c>
      <c r="BA2044" t="s">
        <v>5529</v>
      </c>
      <c r="BB2044" t="s">
        <v>5530</v>
      </c>
      <c r="BC2044">
        <v>0.64700000000000002</v>
      </c>
      <c r="BD2044" t="s">
        <v>65</v>
      </c>
      <c r="BE2044">
        <v>24</v>
      </c>
      <c r="BF2044">
        <v>9</v>
      </c>
      <c r="BG2044" t="s">
        <v>5531</v>
      </c>
      <c r="BH2044" t="s">
        <v>5532</v>
      </c>
      <c r="BI2044" t="s">
        <v>5533</v>
      </c>
      <c r="BJ2044">
        <v>0.13314999999999999</v>
      </c>
      <c r="BK2044">
        <v>1</v>
      </c>
      <c r="BL2044" t="s">
        <v>69</v>
      </c>
      <c r="BM2044">
        <v>-1.016</v>
      </c>
      <c r="BN2044">
        <v>-1.0309999999999999</v>
      </c>
    </row>
    <row r="2045" spans="2:66">
      <c r="B2045">
        <v>3562</v>
      </c>
      <c r="C2045">
        <v>4</v>
      </c>
      <c r="D2045">
        <v>0</v>
      </c>
      <c r="E2045">
        <v>2</v>
      </c>
      <c r="F2045">
        <v>2</v>
      </c>
      <c r="J2045">
        <v>0</v>
      </c>
      <c r="K2045">
        <v>2</v>
      </c>
      <c r="L2045">
        <v>0</v>
      </c>
      <c r="M2045" t="s">
        <v>25022</v>
      </c>
      <c r="N2045">
        <v>886</v>
      </c>
      <c r="O2045" t="s">
        <v>5534</v>
      </c>
      <c r="P2045" t="s">
        <v>57</v>
      </c>
      <c r="Q2045">
        <v>926429</v>
      </c>
      <c r="R2045">
        <v>926740</v>
      </c>
      <c r="S2045" t="s">
        <v>288</v>
      </c>
      <c r="T2045">
        <v>104</v>
      </c>
      <c r="U2045" t="s">
        <v>108</v>
      </c>
      <c r="V2045">
        <v>44</v>
      </c>
      <c r="W2045" t="str">
        <f>HYPERLINK("Gene886-zp_tree_all.dnd", "Gene886-tree")</f>
        <v>Gene886-tree</v>
      </c>
      <c r="X2045">
        <v>5</v>
      </c>
      <c r="Y2045">
        <v>3</v>
      </c>
      <c r="Z2045">
        <v>5</v>
      </c>
      <c r="AA2045">
        <v>3</v>
      </c>
      <c r="AB2045">
        <v>0.375</v>
      </c>
      <c r="AC2045" t="s">
        <v>199</v>
      </c>
      <c r="AD2045" t="s">
        <v>324</v>
      </c>
      <c r="AE2045" t="s">
        <v>62</v>
      </c>
      <c r="AF2045" t="s">
        <v>62</v>
      </c>
      <c r="AG2045">
        <v>1</v>
      </c>
      <c r="AH2045">
        <v>2</v>
      </c>
      <c r="AI2045">
        <v>4</v>
      </c>
      <c r="AJ2045">
        <v>0.33333000000000002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5</v>
      </c>
      <c r="AT2045">
        <v>0</v>
      </c>
      <c r="AU2045">
        <v>7</v>
      </c>
      <c r="AV2045">
        <v>3</v>
      </c>
      <c r="AW2045">
        <v>11</v>
      </c>
      <c r="AX2045">
        <v>5</v>
      </c>
      <c r="AY2045">
        <v>3</v>
      </c>
      <c r="AZ2045">
        <v>1</v>
      </c>
      <c r="BA2045" t="s">
        <v>5535</v>
      </c>
      <c r="BB2045" t="s">
        <v>5536</v>
      </c>
      <c r="BC2045">
        <v>0.20200000000000001</v>
      </c>
      <c r="BD2045" t="s">
        <v>65</v>
      </c>
      <c r="BE2045">
        <v>14</v>
      </c>
      <c r="BF2045">
        <v>6</v>
      </c>
      <c r="BG2045" t="s">
        <v>5537</v>
      </c>
      <c r="BH2045" t="s">
        <v>5538</v>
      </c>
      <c r="BI2045" t="s">
        <v>5539</v>
      </c>
      <c r="BJ2045">
        <v>0.11167000000000001</v>
      </c>
      <c r="BK2045">
        <v>1</v>
      </c>
      <c r="BL2045" t="s">
        <v>69</v>
      </c>
      <c r="BM2045">
        <v>-0.59599999999999997</v>
      </c>
      <c r="BN2045">
        <v>-0.56699999999999995</v>
      </c>
    </row>
    <row r="2046" spans="2:66">
      <c r="B2046">
        <v>3563</v>
      </c>
      <c r="C2046">
        <v>31</v>
      </c>
      <c r="D2046">
        <v>0</v>
      </c>
      <c r="E2046">
        <v>4</v>
      </c>
      <c r="F2046">
        <v>0</v>
      </c>
      <c r="J2046">
        <v>0</v>
      </c>
      <c r="K2046">
        <v>0</v>
      </c>
      <c r="L2046">
        <v>0</v>
      </c>
      <c r="M2046" t="s">
        <v>25022</v>
      </c>
      <c r="N2046">
        <v>887</v>
      </c>
      <c r="O2046" t="s">
        <v>5540</v>
      </c>
      <c r="P2046" t="s">
        <v>57</v>
      </c>
      <c r="Q2046">
        <v>926886</v>
      </c>
      <c r="R2046">
        <v>928076</v>
      </c>
      <c r="S2046" t="s">
        <v>2641</v>
      </c>
      <c r="T2046">
        <v>397</v>
      </c>
      <c r="U2046" t="s">
        <v>108</v>
      </c>
      <c r="V2046">
        <v>44</v>
      </c>
      <c r="W2046" t="str">
        <f>HYPERLINK("Gene887-zp_tree_all.dnd", "Gene887-tree")</f>
        <v>Gene887-tree</v>
      </c>
      <c r="X2046">
        <v>11</v>
      </c>
      <c r="Y2046">
        <v>4</v>
      </c>
      <c r="Z2046">
        <v>11</v>
      </c>
      <c r="AA2046">
        <v>4</v>
      </c>
      <c r="AB2046">
        <v>0.26667000000000002</v>
      </c>
      <c r="AC2046" t="s">
        <v>73</v>
      </c>
      <c r="AD2046" t="s">
        <v>61</v>
      </c>
      <c r="AE2046" t="s">
        <v>62</v>
      </c>
      <c r="AF2046" t="s">
        <v>62</v>
      </c>
      <c r="AG2046">
        <v>0</v>
      </c>
      <c r="AH2046">
        <v>0</v>
      </c>
      <c r="AI2046">
        <v>7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6</v>
      </c>
      <c r="AT2046">
        <v>0</v>
      </c>
      <c r="AU2046">
        <v>14</v>
      </c>
      <c r="AV2046">
        <v>6</v>
      </c>
      <c r="AW2046">
        <v>39</v>
      </c>
      <c r="AX2046">
        <v>6</v>
      </c>
      <c r="AY2046">
        <v>25</v>
      </c>
      <c r="AZ2046">
        <v>1</v>
      </c>
      <c r="BA2046" t="s">
        <v>5541</v>
      </c>
      <c r="BB2046" t="s">
        <v>5542</v>
      </c>
      <c r="BC2046">
        <v>0.57999999999999996</v>
      </c>
      <c r="BD2046" t="s">
        <v>65</v>
      </c>
      <c r="BE2046">
        <v>64</v>
      </c>
      <c r="BF2046">
        <v>7</v>
      </c>
      <c r="BG2046" t="s">
        <v>5543</v>
      </c>
      <c r="BH2046" t="s">
        <v>5544</v>
      </c>
      <c r="BI2046" t="s">
        <v>5545</v>
      </c>
      <c r="BJ2046">
        <v>4.1689999999999998E-2</v>
      </c>
      <c r="BK2046">
        <v>1</v>
      </c>
      <c r="BL2046" t="s">
        <v>69</v>
      </c>
      <c r="BM2046">
        <v>-0.5</v>
      </c>
      <c r="BN2046">
        <v>0.106</v>
      </c>
    </row>
    <row r="2047" spans="2:66">
      <c r="B2047">
        <v>3565</v>
      </c>
      <c r="C2047">
        <v>60</v>
      </c>
      <c r="D2047">
        <v>0</v>
      </c>
      <c r="E2047">
        <v>45</v>
      </c>
      <c r="F2047">
        <v>6</v>
      </c>
      <c r="J2047">
        <v>0</v>
      </c>
      <c r="K2047">
        <v>0</v>
      </c>
      <c r="L2047">
        <v>0</v>
      </c>
      <c r="M2047" t="s">
        <v>25022</v>
      </c>
      <c r="N2047">
        <v>889</v>
      </c>
      <c r="O2047" t="s">
        <v>5551</v>
      </c>
      <c r="P2047" t="s">
        <v>57</v>
      </c>
      <c r="Q2047">
        <v>928389</v>
      </c>
      <c r="R2047">
        <v>928655</v>
      </c>
      <c r="S2047" t="s">
        <v>288</v>
      </c>
      <c r="T2047">
        <v>89</v>
      </c>
      <c r="U2047" t="s">
        <v>108</v>
      </c>
      <c r="V2047">
        <v>44</v>
      </c>
      <c r="W2047" t="str">
        <f>HYPERLINK("Gene889-zp_tree_all.dnd", "Gene889-tree")</f>
        <v>Gene889-tree</v>
      </c>
      <c r="X2047">
        <v>25</v>
      </c>
      <c r="Y2047">
        <v>0</v>
      </c>
      <c r="Z2047">
        <v>6</v>
      </c>
      <c r="AA2047">
        <v>0</v>
      </c>
      <c r="AB2047">
        <v>0</v>
      </c>
      <c r="AC2047" t="s">
        <v>965</v>
      </c>
      <c r="AD2047" t="s">
        <v>62</v>
      </c>
      <c r="AE2047" t="s">
        <v>62</v>
      </c>
      <c r="AF2047" t="s">
        <v>62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5</v>
      </c>
      <c r="AV2047">
        <v>1</v>
      </c>
      <c r="AW2047">
        <v>5</v>
      </c>
      <c r="AX2047">
        <v>0</v>
      </c>
      <c r="AY2047">
        <v>0</v>
      </c>
      <c r="AZ2047">
        <v>1</v>
      </c>
      <c r="BA2047" t="s">
        <v>193</v>
      </c>
      <c r="BB2047" t="s">
        <v>193</v>
      </c>
      <c r="BC2047">
        <v>0</v>
      </c>
      <c r="BD2047" t="s">
        <v>65</v>
      </c>
      <c r="BE2047">
        <v>5</v>
      </c>
      <c r="BF2047">
        <v>1</v>
      </c>
      <c r="BG2047" t="s">
        <v>5552</v>
      </c>
      <c r="BH2047" t="s">
        <v>5553</v>
      </c>
      <c r="BI2047" t="s">
        <v>5554</v>
      </c>
      <c r="BJ2047">
        <v>8.6120000000000002E-2</v>
      </c>
      <c r="BK2047">
        <v>0.97599999999999998</v>
      </c>
      <c r="BL2047" t="s">
        <v>69</v>
      </c>
      <c r="BM2047">
        <v>-0.53700000000000003</v>
      </c>
      <c r="BN2047">
        <v>0.16600000000000001</v>
      </c>
    </row>
    <row r="2048" spans="2:66">
      <c r="B2048">
        <v>3566</v>
      </c>
      <c r="C2048">
        <v>35</v>
      </c>
      <c r="D2048">
        <v>0</v>
      </c>
      <c r="E2048">
        <v>0</v>
      </c>
      <c r="F2048">
        <v>6</v>
      </c>
      <c r="J2048">
        <v>0</v>
      </c>
      <c r="K2048">
        <v>8</v>
      </c>
      <c r="L2048">
        <v>0</v>
      </c>
      <c r="M2048" t="s">
        <v>25022</v>
      </c>
      <c r="N2048">
        <v>890</v>
      </c>
      <c r="O2048" t="s">
        <v>5555</v>
      </c>
      <c r="P2048" t="s">
        <v>57</v>
      </c>
      <c r="Q2048">
        <v>928803</v>
      </c>
      <c r="R2048">
        <v>929318</v>
      </c>
      <c r="S2048" t="s">
        <v>2332</v>
      </c>
      <c r="T2048">
        <v>172</v>
      </c>
      <c r="U2048" t="s">
        <v>108</v>
      </c>
      <c r="V2048">
        <v>44</v>
      </c>
      <c r="W2048" t="str">
        <f>HYPERLINK("Gene890-zp_tree_all.dnd", "Gene890-tree")</f>
        <v>Gene890-tree</v>
      </c>
      <c r="X2048">
        <v>5</v>
      </c>
      <c r="Y2048">
        <v>8</v>
      </c>
      <c r="Z2048">
        <v>5</v>
      </c>
      <c r="AA2048">
        <v>8</v>
      </c>
      <c r="AB2048">
        <v>0.61538000000000004</v>
      </c>
      <c r="AC2048" t="s">
        <v>199</v>
      </c>
      <c r="AD2048" t="s">
        <v>136</v>
      </c>
      <c r="AE2048" t="s">
        <v>62</v>
      </c>
      <c r="AF2048" t="s">
        <v>62</v>
      </c>
      <c r="AG2048">
        <v>4</v>
      </c>
      <c r="AH2048">
        <v>8</v>
      </c>
      <c r="AI2048">
        <v>10</v>
      </c>
      <c r="AJ2048">
        <v>0.44444</v>
      </c>
      <c r="AK2048">
        <v>0</v>
      </c>
      <c r="AL2048">
        <v>0</v>
      </c>
      <c r="AM2048">
        <v>0</v>
      </c>
      <c r="AN2048">
        <v>2</v>
      </c>
      <c r="AO2048">
        <v>0</v>
      </c>
      <c r="AP2048">
        <v>0</v>
      </c>
      <c r="AQ2048">
        <v>0</v>
      </c>
      <c r="AR2048">
        <v>0</v>
      </c>
      <c r="AS2048">
        <v>9</v>
      </c>
      <c r="AT2048">
        <v>0</v>
      </c>
      <c r="AU2048">
        <v>11</v>
      </c>
      <c r="AV2048">
        <v>5</v>
      </c>
      <c r="AW2048">
        <v>10</v>
      </c>
      <c r="AX2048">
        <v>9</v>
      </c>
      <c r="AY2048">
        <v>8</v>
      </c>
      <c r="AZ2048">
        <v>9</v>
      </c>
      <c r="BA2048" t="s">
        <v>5556</v>
      </c>
      <c r="BB2048" t="s">
        <v>5557</v>
      </c>
      <c r="BC2048">
        <v>0.224</v>
      </c>
      <c r="BD2048" t="s">
        <v>65</v>
      </c>
      <c r="BE2048">
        <v>18</v>
      </c>
      <c r="BF2048">
        <v>18</v>
      </c>
      <c r="BG2048" t="s">
        <v>5558</v>
      </c>
      <c r="BH2048" t="s">
        <v>5559</v>
      </c>
      <c r="BI2048" t="s">
        <v>5560</v>
      </c>
      <c r="BJ2048">
        <v>0.25603999999999999</v>
      </c>
      <c r="BK2048">
        <v>1</v>
      </c>
      <c r="BL2048" t="s">
        <v>69</v>
      </c>
      <c r="BM2048">
        <v>0.74399999999999999</v>
      </c>
      <c r="BN2048">
        <v>-0.24099999999999999</v>
      </c>
    </row>
    <row r="2049" spans="2:66">
      <c r="B2049">
        <v>3569</v>
      </c>
      <c r="C2049">
        <v>137</v>
      </c>
      <c r="D2049">
        <v>5</v>
      </c>
      <c r="E2049">
        <v>13</v>
      </c>
      <c r="F2049">
        <v>6</v>
      </c>
      <c r="J2049">
        <v>0</v>
      </c>
      <c r="K2049">
        <v>0</v>
      </c>
      <c r="L2049">
        <v>0</v>
      </c>
      <c r="M2049" t="s">
        <v>25022</v>
      </c>
      <c r="N2049">
        <v>891</v>
      </c>
      <c r="O2049" t="s">
        <v>5561</v>
      </c>
      <c r="P2049" t="s">
        <v>57</v>
      </c>
      <c r="Q2049">
        <v>929406</v>
      </c>
      <c r="R2049">
        <v>929735</v>
      </c>
      <c r="S2049" t="s">
        <v>5562</v>
      </c>
      <c r="T2049">
        <v>110</v>
      </c>
      <c r="U2049" t="s">
        <v>108</v>
      </c>
      <c r="V2049">
        <v>44</v>
      </c>
      <c r="W2049" t="str">
        <f>HYPERLINK("Gene891-zp_tree_all.dnd", "Gene891-tree")</f>
        <v>Gene891-tree</v>
      </c>
      <c r="X2049">
        <v>4</v>
      </c>
      <c r="Y2049">
        <v>5</v>
      </c>
      <c r="Z2049">
        <v>4</v>
      </c>
      <c r="AA2049">
        <v>5</v>
      </c>
      <c r="AB2049">
        <v>0.55556000000000005</v>
      </c>
      <c r="AC2049" t="s">
        <v>61</v>
      </c>
      <c r="AD2049" t="s">
        <v>199</v>
      </c>
      <c r="AE2049" t="s">
        <v>62</v>
      </c>
      <c r="AF2049" t="s">
        <v>62</v>
      </c>
      <c r="AG2049">
        <v>0</v>
      </c>
      <c r="AH2049">
        <v>0</v>
      </c>
      <c r="AI2049">
        <v>9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8</v>
      </c>
      <c r="AT2049">
        <v>0</v>
      </c>
      <c r="AU2049">
        <v>7</v>
      </c>
      <c r="AV2049">
        <v>4</v>
      </c>
      <c r="AW2049">
        <v>6</v>
      </c>
      <c r="AX2049">
        <v>9</v>
      </c>
      <c r="AY2049">
        <v>3</v>
      </c>
      <c r="AZ2049">
        <v>1</v>
      </c>
      <c r="BA2049" t="s">
        <v>5563</v>
      </c>
      <c r="BB2049" t="s">
        <v>5564</v>
      </c>
      <c r="BC2049">
        <v>1.4470000000000001</v>
      </c>
      <c r="BD2049" t="s">
        <v>65</v>
      </c>
      <c r="BE2049">
        <v>9</v>
      </c>
      <c r="BF2049">
        <v>10</v>
      </c>
      <c r="BG2049" t="s">
        <v>5565</v>
      </c>
      <c r="BH2049" t="s">
        <v>5566</v>
      </c>
      <c r="BI2049" t="s">
        <v>5567</v>
      </c>
      <c r="BJ2049">
        <v>0.31091999999999997</v>
      </c>
      <c r="BK2049">
        <v>0.99</v>
      </c>
      <c r="BL2049" t="s">
        <v>69</v>
      </c>
      <c r="BM2049">
        <v>-1.109</v>
      </c>
      <c r="BN2049">
        <v>-1.0680000000000001</v>
      </c>
    </row>
    <row r="2050" spans="2:66">
      <c r="B2050">
        <v>3570</v>
      </c>
      <c r="C2050">
        <v>257</v>
      </c>
      <c r="D2050">
        <v>0</v>
      </c>
      <c r="E2050">
        <v>30</v>
      </c>
      <c r="F2050">
        <v>0</v>
      </c>
      <c r="J2050">
        <v>0</v>
      </c>
      <c r="K2050">
        <v>2</v>
      </c>
      <c r="L2050">
        <v>2</v>
      </c>
      <c r="M2050" t="s">
        <v>25022</v>
      </c>
      <c r="N2050">
        <v>892</v>
      </c>
      <c r="O2050" t="s">
        <v>5568</v>
      </c>
      <c r="P2050" t="s">
        <v>57</v>
      </c>
      <c r="Q2050">
        <v>929725</v>
      </c>
      <c r="R2050">
        <v>930582</v>
      </c>
      <c r="S2050" t="s">
        <v>5569</v>
      </c>
      <c r="T2050">
        <v>286</v>
      </c>
      <c r="U2050" t="s">
        <v>108</v>
      </c>
      <c r="V2050">
        <v>44</v>
      </c>
      <c r="W2050" t="str">
        <f>HYPERLINK("Gene892-zp_tree_all.dnd", "Gene892-tree")</f>
        <v>Gene892-tree</v>
      </c>
      <c r="X2050">
        <v>4</v>
      </c>
      <c r="Y2050">
        <v>9</v>
      </c>
      <c r="Z2050">
        <v>4</v>
      </c>
      <c r="AA2050">
        <v>9</v>
      </c>
      <c r="AB2050">
        <v>0.69230999999999998</v>
      </c>
      <c r="AC2050" t="s">
        <v>61</v>
      </c>
      <c r="AD2050" t="s">
        <v>135</v>
      </c>
      <c r="AE2050" t="s">
        <v>62</v>
      </c>
      <c r="AF2050" t="s">
        <v>62</v>
      </c>
      <c r="AG2050">
        <v>2</v>
      </c>
      <c r="AH2050">
        <v>4</v>
      </c>
      <c r="AI2050">
        <v>12</v>
      </c>
      <c r="AJ2050">
        <v>0.25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2</v>
      </c>
      <c r="AQ2050">
        <v>0</v>
      </c>
      <c r="AR2050">
        <v>2</v>
      </c>
      <c r="AS2050">
        <v>12</v>
      </c>
      <c r="AT2050">
        <v>0.14285999999999999</v>
      </c>
      <c r="AU2050">
        <v>10</v>
      </c>
      <c r="AV2050">
        <v>8</v>
      </c>
      <c r="AW2050">
        <v>22</v>
      </c>
      <c r="AX2050">
        <v>14</v>
      </c>
      <c r="AY2050">
        <v>12</v>
      </c>
      <c r="AZ2050">
        <v>2</v>
      </c>
      <c r="BA2050" t="s">
        <v>5570</v>
      </c>
      <c r="BB2050" t="s">
        <v>5571</v>
      </c>
      <c r="BC2050">
        <v>1.7350000000000001</v>
      </c>
      <c r="BD2050" t="s">
        <v>65</v>
      </c>
      <c r="BE2050">
        <v>34</v>
      </c>
      <c r="BF2050">
        <v>16</v>
      </c>
      <c r="BG2050" t="s">
        <v>5572</v>
      </c>
      <c r="BH2050" t="s">
        <v>5573</v>
      </c>
      <c r="BI2050" t="s">
        <v>5574</v>
      </c>
      <c r="BJ2050">
        <v>0.10785</v>
      </c>
      <c r="BK2050">
        <v>1</v>
      </c>
      <c r="BL2050" t="s">
        <v>69</v>
      </c>
      <c r="BM2050">
        <v>-0.9</v>
      </c>
      <c r="BN2050">
        <v>-1.8360000000000001</v>
      </c>
    </row>
    <row r="2051" spans="2:66">
      <c r="B2051">
        <v>3571</v>
      </c>
      <c r="C2051">
        <v>382</v>
      </c>
      <c r="D2051">
        <v>0</v>
      </c>
      <c r="E2051">
        <v>13</v>
      </c>
      <c r="F2051">
        <v>2</v>
      </c>
      <c r="J2051">
        <v>0</v>
      </c>
      <c r="K2051">
        <v>0</v>
      </c>
      <c r="L2051">
        <v>0</v>
      </c>
      <c r="M2051" t="s">
        <v>25022</v>
      </c>
      <c r="N2051">
        <v>893</v>
      </c>
      <c r="O2051" t="s">
        <v>5575</v>
      </c>
      <c r="P2051" t="s">
        <v>57</v>
      </c>
      <c r="Q2051">
        <v>930818</v>
      </c>
      <c r="R2051">
        <v>931804</v>
      </c>
      <c r="S2051" t="s">
        <v>5576</v>
      </c>
      <c r="T2051">
        <v>329</v>
      </c>
      <c r="U2051" t="s">
        <v>5577</v>
      </c>
      <c r="V2051">
        <v>43</v>
      </c>
      <c r="W2051" t="str">
        <f>HYPERLINK("Gene893-zp_tree_all.dnd", "Gene893-tree")</f>
        <v>Gene893-tree</v>
      </c>
      <c r="X2051">
        <v>11</v>
      </c>
      <c r="Y2051">
        <v>2</v>
      </c>
      <c r="Z2051">
        <v>11</v>
      </c>
      <c r="AA2051">
        <v>2</v>
      </c>
      <c r="AB2051">
        <v>0.15384999999999999</v>
      </c>
      <c r="AC2051" t="s">
        <v>73</v>
      </c>
      <c r="AD2051" t="s">
        <v>81</v>
      </c>
      <c r="AE2051" t="s">
        <v>62</v>
      </c>
      <c r="AF2051" t="s">
        <v>62</v>
      </c>
      <c r="AG2051">
        <v>0</v>
      </c>
      <c r="AH2051">
        <v>0</v>
      </c>
      <c r="AI2051">
        <v>2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2</v>
      </c>
      <c r="AT2051">
        <v>0</v>
      </c>
      <c r="AU2051">
        <v>10</v>
      </c>
      <c r="AV2051">
        <v>7</v>
      </c>
      <c r="AW2051">
        <v>37</v>
      </c>
      <c r="AX2051">
        <v>2</v>
      </c>
      <c r="AY2051">
        <v>11</v>
      </c>
      <c r="AZ2051">
        <v>0</v>
      </c>
      <c r="BA2051" t="s">
        <v>5578</v>
      </c>
      <c r="BB2051" t="s">
        <v>193</v>
      </c>
      <c r="BC2051">
        <v>0.72</v>
      </c>
      <c r="BD2051" t="s">
        <v>65</v>
      </c>
      <c r="BE2051">
        <v>48</v>
      </c>
      <c r="BF2051">
        <v>2</v>
      </c>
      <c r="BG2051" t="s">
        <v>5579</v>
      </c>
      <c r="BH2051" t="s">
        <v>5580</v>
      </c>
      <c r="BI2051" t="s">
        <v>5581</v>
      </c>
      <c r="BJ2051">
        <v>9.8399999999999998E-3</v>
      </c>
      <c r="BK2051">
        <v>1</v>
      </c>
      <c r="BL2051" t="s">
        <v>69</v>
      </c>
      <c r="BM2051">
        <v>-0.91700000000000004</v>
      </c>
      <c r="BN2051">
        <v>-3.532</v>
      </c>
    </row>
    <row r="2052" spans="2:66">
      <c r="B2052">
        <v>3572</v>
      </c>
      <c r="C2052">
        <v>424</v>
      </c>
      <c r="D2052">
        <v>0</v>
      </c>
      <c r="E2052">
        <v>22</v>
      </c>
      <c r="F2052">
        <v>5</v>
      </c>
      <c r="J2052">
        <v>0</v>
      </c>
      <c r="K2052">
        <v>25</v>
      </c>
      <c r="L2052">
        <v>3</v>
      </c>
      <c r="M2052" t="s">
        <v>25022</v>
      </c>
      <c r="N2052">
        <v>894</v>
      </c>
      <c r="O2052" t="s">
        <v>5582</v>
      </c>
      <c r="P2052" t="s">
        <v>57</v>
      </c>
      <c r="Q2052">
        <v>931879</v>
      </c>
      <c r="R2052">
        <v>934461</v>
      </c>
      <c r="S2052" t="s">
        <v>4672</v>
      </c>
      <c r="T2052">
        <v>861</v>
      </c>
      <c r="U2052" t="s">
        <v>265</v>
      </c>
      <c r="V2052">
        <v>43</v>
      </c>
      <c r="W2052" t="str">
        <f>HYPERLINK("Gene894-zp_tree_all.dnd", "Gene894-tree")</f>
        <v>Gene894-tree</v>
      </c>
      <c r="X2052">
        <v>0</v>
      </c>
      <c r="Y2052">
        <v>16</v>
      </c>
      <c r="Z2052">
        <v>0</v>
      </c>
      <c r="AA2052">
        <v>16</v>
      </c>
      <c r="AB2052">
        <v>1</v>
      </c>
      <c r="AC2052" t="s">
        <v>62</v>
      </c>
      <c r="AD2052" t="s">
        <v>60</v>
      </c>
      <c r="AE2052" t="s">
        <v>62</v>
      </c>
      <c r="AF2052" t="s">
        <v>62</v>
      </c>
      <c r="AG2052">
        <v>12</v>
      </c>
      <c r="AH2052">
        <v>28</v>
      </c>
      <c r="AI2052">
        <v>28</v>
      </c>
      <c r="AJ2052">
        <v>0.5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14</v>
      </c>
      <c r="AQ2052">
        <v>2</v>
      </c>
      <c r="AR2052">
        <v>16</v>
      </c>
      <c r="AS2052">
        <v>21</v>
      </c>
      <c r="AT2052">
        <v>0.43242999999999998</v>
      </c>
      <c r="AU2052">
        <v>14</v>
      </c>
      <c r="AV2052">
        <v>13</v>
      </c>
      <c r="AW2052">
        <v>46</v>
      </c>
      <c r="AX2052">
        <v>35</v>
      </c>
      <c r="AY2052">
        <v>59</v>
      </c>
      <c r="AZ2052">
        <v>21</v>
      </c>
      <c r="BA2052" t="s">
        <v>5583</v>
      </c>
      <c r="BB2052" t="s">
        <v>5584</v>
      </c>
      <c r="BC2052">
        <v>2.153</v>
      </c>
      <c r="BD2052" t="s">
        <v>267</v>
      </c>
      <c r="BE2052">
        <v>105</v>
      </c>
      <c r="BF2052">
        <v>56</v>
      </c>
      <c r="BG2052" t="s">
        <v>5585</v>
      </c>
      <c r="BH2052" t="s">
        <v>5586</v>
      </c>
      <c r="BI2052" t="s">
        <v>5587</v>
      </c>
      <c r="BJ2052">
        <v>0.14831</v>
      </c>
      <c r="BK2052">
        <v>1</v>
      </c>
      <c r="BL2052" t="s">
        <v>69</v>
      </c>
      <c r="BM2052">
        <v>-0.10100000000000001</v>
      </c>
      <c r="BN2052">
        <v>-0.69</v>
      </c>
    </row>
    <row r="2053" spans="2:66">
      <c r="B2053">
        <v>3573</v>
      </c>
      <c r="C2053">
        <v>189</v>
      </c>
      <c r="D2053">
        <v>0</v>
      </c>
      <c r="E2053">
        <v>2</v>
      </c>
      <c r="F2053">
        <v>0</v>
      </c>
      <c r="J2053">
        <v>0</v>
      </c>
      <c r="K2053">
        <v>2</v>
      </c>
      <c r="L2053">
        <v>0</v>
      </c>
      <c r="M2053" t="s">
        <v>25022</v>
      </c>
      <c r="N2053">
        <v>896</v>
      </c>
      <c r="O2053" t="s">
        <v>5595</v>
      </c>
      <c r="P2053" t="s">
        <v>57</v>
      </c>
      <c r="Q2053">
        <v>935656</v>
      </c>
      <c r="R2053">
        <v>936762</v>
      </c>
      <c r="S2053" t="s">
        <v>5596</v>
      </c>
      <c r="T2053">
        <v>369</v>
      </c>
      <c r="U2053" t="s">
        <v>108</v>
      </c>
      <c r="V2053">
        <v>44</v>
      </c>
      <c r="W2053" t="str">
        <f>HYPERLINK("Gene896-zp_tree_all.dnd", "Gene896-tree")</f>
        <v>Gene896-tree</v>
      </c>
      <c r="X2053">
        <v>30</v>
      </c>
      <c r="Y2053">
        <v>2</v>
      </c>
      <c r="Z2053">
        <v>10</v>
      </c>
      <c r="AA2053">
        <v>2</v>
      </c>
      <c r="AB2053">
        <v>0.16667000000000001</v>
      </c>
      <c r="AC2053" t="s">
        <v>250</v>
      </c>
      <c r="AD2053" t="s">
        <v>81</v>
      </c>
      <c r="AE2053" t="s">
        <v>62</v>
      </c>
      <c r="AF2053" t="s">
        <v>62</v>
      </c>
      <c r="AG2053">
        <v>1</v>
      </c>
      <c r="AH2053">
        <v>2</v>
      </c>
      <c r="AI2053">
        <v>4</v>
      </c>
      <c r="AJ2053">
        <v>0.33333000000000002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3</v>
      </c>
      <c r="AT2053">
        <v>0</v>
      </c>
      <c r="AU2053">
        <v>9</v>
      </c>
      <c r="AV2053">
        <v>8</v>
      </c>
      <c r="AW2053">
        <v>20</v>
      </c>
      <c r="AX2053">
        <v>3</v>
      </c>
      <c r="AY2053">
        <v>22</v>
      </c>
      <c r="AZ2053">
        <v>3</v>
      </c>
      <c r="BA2053" t="s">
        <v>5597</v>
      </c>
      <c r="BB2053" t="s">
        <v>5598</v>
      </c>
      <c r="BC2053">
        <v>5.3999999999999999E-2</v>
      </c>
      <c r="BD2053" t="s">
        <v>65</v>
      </c>
      <c r="BE2053">
        <v>42</v>
      </c>
      <c r="BF2053">
        <v>6</v>
      </c>
      <c r="BG2053" t="s">
        <v>5599</v>
      </c>
      <c r="BH2053" t="s">
        <v>5600</v>
      </c>
      <c r="BI2053" t="s">
        <v>5601</v>
      </c>
      <c r="BJ2053">
        <v>4.2320000000000003E-2</v>
      </c>
      <c r="BK2053">
        <v>1</v>
      </c>
      <c r="BL2053" t="s">
        <v>69</v>
      </c>
      <c r="BM2053">
        <v>-0.98099999999999998</v>
      </c>
      <c r="BN2053">
        <v>-1.2470000000000001</v>
      </c>
    </row>
    <row r="2054" spans="2:66">
      <c r="B2054">
        <v>3574</v>
      </c>
      <c r="C2054">
        <v>29</v>
      </c>
      <c r="D2054">
        <v>0</v>
      </c>
      <c r="E2054">
        <v>9</v>
      </c>
      <c r="F2054">
        <v>3</v>
      </c>
      <c r="J2054">
        <v>0</v>
      </c>
      <c r="K2054">
        <v>0</v>
      </c>
      <c r="L2054">
        <v>0</v>
      </c>
      <c r="M2054" t="s">
        <v>25022</v>
      </c>
      <c r="N2054">
        <v>898</v>
      </c>
      <c r="O2054" t="s">
        <v>5610</v>
      </c>
      <c r="P2054" t="s">
        <v>57</v>
      </c>
      <c r="Q2054">
        <v>937079</v>
      </c>
      <c r="R2054">
        <v>937828</v>
      </c>
      <c r="S2054" t="s">
        <v>5611</v>
      </c>
      <c r="T2054">
        <v>250</v>
      </c>
      <c r="U2054" t="s">
        <v>108</v>
      </c>
      <c r="V2054">
        <v>44</v>
      </c>
      <c r="W2054" t="str">
        <f>HYPERLINK("Gene898-zp_tree_all.dnd", "Gene898-tree")</f>
        <v>Gene898-tree</v>
      </c>
      <c r="X2054">
        <v>30</v>
      </c>
      <c r="Y2054">
        <v>0</v>
      </c>
      <c r="Z2054">
        <v>9</v>
      </c>
      <c r="AA2054">
        <v>0</v>
      </c>
      <c r="AB2054">
        <v>0</v>
      </c>
      <c r="AC2054" t="s">
        <v>2142</v>
      </c>
      <c r="AD2054" t="s">
        <v>62</v>
      </c>
      <c r="AE2054" t="s">
        <v>62</v>
      </c>
      <c r="AF2054" t="s">
        <v>62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5</v>
      </c>
      <c r="AV2054">
        <v>4</v>
      </c>
      <c r="AW2054">
        <v>15</v>
      </c>
      <c r="AX2054">
        <v>0</v>
      </c>
      <c r="AY2054">
        <v>6</v>
      </c>
      <c r="AZ2054">
        <v>0</v>
      </c>
      <c r="BA2054" t="s">
        <v>193</v>
      </c>
      <c r="BB2054" t="s">
        <v>193</v>
      </c>
      <c r="BC2054">
        <v>0</v>
      </c>
      <c r="BD2054" t="s">
        <v>65</v>
      </c>
      <c r="BE2054">
        <v>21</v>
      </c>
      <c r="BF2054">
        <v>0</v>
      </c>
      <c r="BG2054" t="s">
        <v>5612</v>
      </c>
      <c r="BH2054" t="s">
        <v>5613</v>
      </c>
      <c r="BI2054" t="s">
        <v>193</v>
      </c>
      <c r="BJ2054">
        <v>0</v>
      </c>
      <c r="BK2054">
        <v>1</v>
      </c>
      <c r="BL2054" t="s">
        <v>69</v>
      </c>
      <c r="BM2054">
        <v>7.0999999999999994E-2</v>
      </c>
      <c r="BN2054">
        <v>-1.454</v>
      </c>
    </row>
    <row r="2055" spans="2:66">
      <c r="B2055">
        <v>3577</v>
      </c>
      <c r="C2055">
        <v>107</v>
      </c>
      <c r="D2055">
        <v>0</v>
      </c>
      <c r="E2055">
        <v>0</v>
      </c>
      <c r="F2055">
        <v>2</v>
      </c>
      <c r="J2055">
        <v>0</v>
      </c>
      <c r="K2055">
        <v>0</v>
      </c>
      <c r="L2055">
        <v>0</v>
      </c>
      <c r="M2055" t="s">
        <v>25022</v>
      </c>
      <c r="N2055">
        <v>899</v>
      </c>
      <c r="O2055" t="s">
        <v>5614</v>
      </c>
      <c r="P2055" t="s">
        <v>57</v>
      </c>
      <c r="Q2055">
        <v>937900</v>
      </c>
      <c r="R2055">
        <v>938151</v>
      </c>
      <c r="S2055" t="s">
        <v>5615</v>
      </c>
      <c r="T2055">
        <v>84</v>
      </c>
      <c r="U2055" t="s">
        <v>108</v>
      </c>
      <c r="V2055">
        <v>44</v>
      </c>
      <c r="W2055" t="str">
        <f>HYPERLINK("Gene899-zp_tree_all.dnd", "Gene899-tree")</f>
        <v>Gene899-tree</v>
      </c>
      <c r="X2055">
        <v>3</v>
      </c>
      <c r="Y2055">
        <v>37</v>
      </c>
      <c r="Z2055">
        <v>3</v>
      </c>
      <c r="AA2055">
        <v>1</v>
      </c>
      <c r="AB2055">
        <v>0.25</v>
      </c>
      <c r="AC2055" t="s">
        <v>324</v>
      </c>
      <c r="AD2055" t="s">
        <v>175</v>
      </c>
      <c r="AE2055" t="s">
        <v>62</v>
      </c>
      <c r="AF2055" t="s">
        <v>62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2</v>
      </c>
      <c r="AV2055">
        <v>1</v>
      </c>
      <c r="AW2055">
        <v>1</v>
      </c>
      <c r="AX2055">
        <v>1</v>
      </c>
      <c r="AY2055">
        <v>1</v>
      </c>
      <c r="AZ2055">
        <v>0</v>
      </c>
      <c r="BA2055" t="s">
        <v>5616</v>
      </c>
      <c r="BB2055" t="s">
        <v>193</v>
      </c>
      <c r="BC2055">
        <v>0.70699999999999996</v>
      </c>
      <c r="BD2055" t="s">
        <v>65</v>
      </c>
      <c r="BE2055">
        <v>2</v>
      </c>
      <c r="BF2055">
        <v>1</v>
      </c>
      <c r="BG2055" t="s">
        <v>5617</v>
      </c>
      <c r="BH2055" t="s">
        <v>5618</v>
      </c>
      <c r="BI2055" t="s">
        <v>5619</v>
      </c>
      <c r="BJ2055">
        <v>9.7220000000000001E-2</v>
      </c>
      <c r="BK2055">
        <v>0.96199999999999997</v>
      </c>
      <c r="BL2055" t="s">
        <v>69</v>
      </c>
      <c r="BM2055">
        <v>-0.87</v>
      </c>
      <c r="BN2055">
        <v>-0.378</v>
      </c>
    </row>
    <row r="2056" spans="2:66">
      <c r="B2056">
        <v>3581</v>
      </c>
      <c r="C2056">
        <v>140</v>
      </c>
      <c r="D2056">
        <v>0</v>
      </c>
      <c r="E2056">
        <v>15</v>
      </c>
      <c r="F2056">
        <v>2</v>
      </c>
      <c r="J2056">
        <v>0</v>
      </c>
      <c r="K2056">
        <v>0</v>
      </c>
      <c r="L2056">
        <v>4</v>
      </c>
      <c r="M2056" t="s">
        <v>25022</v>
      </c>
      <c r="N2056">
        <v>900</v>
      </c>
      <c r="O2056" t="s">
        <v>5620</v>
      </c>
      <c r="P2056" t="s">
        <v>57</v>
      </c>
      <c r="Q2056">
        <v>938243</v>
      </c>
      <c r="R2056">
        <v>938584</v>
      </c>
      <c r="S2056" t="s">
        <v>288</v>
      </c>
      <c r="T2056">
        <v>114</v>
      </c>
      <c r="U2056" t="s">
        <v>125</v>
      </c>
      <c r="V2056">
        <v>48</v>
      </c>
      <c r="W2056" t="str">
        <f>HYPERLINK("Gene900-zp_tree_all.dnd", "Gene900-tree")</f>
        <v>Gene900-tree</v>
      </c>
      <c r="X2056">
        <v>7</v>
      </c>
      <c r="Y2056">
        <v>2</v>
      </c>
      <c r="Z2056">
        <v>7</v>
      </c>
      <c r="AA2056">
        <v>2</v>
      </c>
      <c r="AB2056">
        <v>0.22222</v>
      </c>
      <c r="AC2056" t="s">
        <v>152</v>
      </c>
      <c r="AD2056" t="s">
        <v>81</v>
      </c>
      <c r="AE2056" t="s">
        <v>62</v>
      </c>
      <c r="AF2056" t="s">
        <v>62</v>
      </c>
      <c r="AG2056">
        <v>2</v>
      </c>
      <c r="AH2056">
        <v>4</v>
      </c>
      <c r="AI2056">
        <v>5</v>
      </c>
      <c r="AJ2056">
        <v>0.44444</v>
      </c>
      <c r="AK2056">
        <v>0</v>
      </c>
      <c r="AL2056">
        <v>0</v>
      </c>
      <c r="AM2056">
        <v>0</v>
      </c>
      <c r="AN2056">
        <v>3</v>
      </c>
      <c r="AO2056">
        <v>0</v>
      </c>
      <c r="AP2056">
        <v>0</v>
      </c>
      <c r="AQ2056">
        <v>0</v>
      </c>
      <c r="AR2056">
        <v>0</v>
      </c>
      <c r="AS2056">
        <v>3</v>
      </c>
      <c r="AT2056">
        <v>0</v>
      </c>
      <c r="AU2056">
        <v>5</v>
      </c>
      <c r="AV2056">
        <v>5</v>
      </c>
      <c r="AW2056">
        <v>7</v>
      </c>
      <c r="AX2056">
        <v>3</v>
      </c>
      <c r="AY2056">
        <v>10</v>
      </c>
      <c r="AZ2056">
        <v>6</v>
      </c>
      <c r="BA2056" t="s">
        <v>5621</v>
      </c>
      <c r="BB2056" t="s">
        <v>5622</v>
      </c>
      <c r="BC2056">
        <v>0.191</v>
      </c>
      <c r="BD2056" t="s">
        <v>65</v>
      </c>
      <c r="BE2056">
        <v>17</v>
      </c>
      <c r="BF2056">
        <v>9</v>
      </c>
      <c r="BG2056" t="s">
        <v>5623</v>
      </c>
      <c r="BH2056" t="s">
        <v>5624</v>
      </c>
      <c r="BI2056" t="s">
        <v>5625</v>
      </c>
      <c r="BJ2056">
        <v>0.12209</v>
      </c>
      <c r="BK2056">
        <v>1</v>
      </c>
      <c r="BL2056" t="s">
        <v>69</v>
      </c>
      <c r="BM2056">
        <v>-1.0069999999999999</v>
      </c>
      <c r="BN2056">
        <v>0.7</v>
      </c>
    </row>
    <row r="2057" spans="2:66">
      <c r="B2057">
        <v>3582</v>
      </c>
      <c r="C2057">
        <v>87</v>
      </c>
      <c r="D2057">
        <v>0</v>
      </c>
      <c r="E2057">
        <v>10</v>
      </c>
      <c r="F2057">
        <v>6</v>
      </c>
      <c r="J2057">
        <v>0</v>
      </c>
      <c r="K2057">
        <v>0</v>
      </c>
      <c r="L2057">
        <v>0</v>
      </c>
      <c r="M2057" t="s">
        <v>25022</v>
      </c>
      <c r="N2057">
        <v>901</v>
      </c>
      <c r="O2057" t="s">
        <v>5626</v>
      </c>
      <c r="P2057" t="s">
        <v>57</v>
      </c>
      <c r="Q2057">
        <v>938731</v>
      </c>
      <c r="R2057">
        <v>939258</v>
      </c>
      <c r="S2057" t="s">
        <v>5627</v>
      </c>
      <c r="T2057">
        <v>176</v>
      </c>
      <c r="U2057" t="s">
        <v>59</v>
      </c>
      <c r="V2057">
        <v>49</v>
      </c>
      <c r="W2057" t="str">
        <f>HYPERLINK("Gene901-zp_tree_all.dnd", "Gene901-tree")</f>
        <v>Gene901-tree</v>
      </c>
      <c r="X2057">
        <v>12</v>
      </c>
      <c r="Y2057">
        <v>0</v>
      </c>
      <c r="Z2057">
        <v>12</v>
      </c>
      <c r="AA2057">
        <v>0</v>
      </c>
      <c r="AB2057">
        <v>0</v>
      </c>
      <c r="AC2057" t="s">
        <v>109</v>
      </c>
      <c r="AD2057" t="s">
        <v>62</v>
      </c>
      <c r="AE2057" t="s">
        <v>62</v>
      </c>
      <c r="AF2057" t="s">
        <v>62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8</v>
      </c>
      <c r="AV2057">
        <v>5</v>
      </c>
      <c r="AW2057">
        <v>20</v>
      </c>
      <c r="AX2057">
        <v>0</v>
      </c>
      <c r="AY2057">
        <v>9</v>
      </c>
      <c r="AZ2057">
        <v>1</v>
      </c>
      <c r="BA2057" t="s">
        <v>193</v>
      </c>
      <c r="BB2057" t="s">
        <v>5628</v>
      </c>
      <c r="BC2057">
        <v>0.53500000000000003</v>
      </c>
      <c r="BD2057" t="s">
        <v>65</v>
      </c>
      <c r="BE2057">
        <v>29</v>
      </c>
      <c r="BF2057">
        <v>1</v>
      </c>
      <c r="BG2057" t="s">
        <v>5629</v>
      </c>
      <c r="BH2057" t="s">
        <v>5630</v>
      </c>
      <c r="BI2057" t="s">
        <v>5631</v>
      </c>
      <c r="BJ2057">
        <v>1.123E-2</v>
      </c>
      <c r="BK2057">
        <v>1</v>
      </c>
      <c r="BL2057" t="s">
        <v>69</v>
      </c>
      <c r="BM2057">
        <v>-2.2719999999999998</v>
      </c>
      <c r="BN2057">
        <v>-2.4180000000000001</v>
      </c>
    </row>
    <row r="2058" spans="2:66">
      <c r="B2058">
        <v>3583</v>
      </c>
      <c r="C2058">
        <v>163</v>
      </c>
      <c r="D2058">
        <v>0</v>
      </c>
      <c r="E2058">
        <v>58</v>
      </c>
      <c r="F2058">
        <v>6</v>
      </c>
      <c r="J2058">
        <v>0</v>
      </c>
      <c r="K2058">
        <v>2</v>
      </c>
      <c r="L2058">
        <v>2</v>
      </c>
      <c r="M2058" t="s">
        <v>25022</v>
      </c>
      <c r="N2058">
        <v>902</v>
      </c>
      <c r="O2058" t="s">
        <v>5632</v>
      </c>
      <c r="P2058" t="s">
        <v>57</v>
      </c>
      <c r="Q2058">
        <v>939349</v>
      </c>
      <c r="R2058">
        <v>941088</v>
      </c>
      <c r="S2058" t="s">
        <v>5350</v>
      </c>
      <c r="T2058">
        <v>580</v>
      </c>
      <c r="U2058" t="s">
        <v>108</v>
      </c>
      <c r="V2058">
        <v>44</v>
      </c>
      <c r="W2058" t="str">
        <f>HYPERLINK("Gene902-zp_tree_all.dnd", "Gene902-tree")</f>
        <v>Gene902-tree</v>
      </c>
      <c r="X2058">
        <v>7</v>
      </c>
      <c r="Y2058">
        <v>5</v>
      </c>
      <c r="Z2058">
        <v>7</v>
      </c>
      <c r="AA2058">
        <v>5</v>
      </c>
      <c r="AB2058">
        <v>0.41666999999999998</v>
      </c>
      <c r="AC2058" t="s">
        <v>152</v>
      </c>
      <c r="AD2058" t="s">
        <v>199</v>
      </c>
      <c r="AE2058" t="s">
        <v>62</v>
      </c>
      <c r="AF2058" t="s">
        <v>62</v>
      </c>
      <c r="AG2058">
        <v>2</v>
      </c>
      <c r="AH2058">
        <v>4</v>
      </c>
      <c r="AI2058">
        <v>5</v>
      </c>
      <c r="AJ2058">
        <v>0.44444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</v>
      </c>
      <c r="AR2058">
        <v>2</v>
      </c>
      <c r="AS2058">
        <v>6</v>
      </c>
      <c r="AT2058">
        <v>0.25</v>
      </c>
      <c r="AU2058">
        <v>11</v>
      </c>
      <c r="AV2058">
        <v>8</v>
      </c>
      <c r="AW2058">
        <v>79</v>
      </c>
      <c r="AX2058">
        <v>9</v>
      </c>
      <c r="AY2058">
        <v>18</v>
      </c>
      <c r="AZ2058">
        <v>1</v>
      </c>
      <c r="BA2058" t="s">
        <v>5633</v>
      </c>
      <c r="BB2058" t="s">
        <v>5634</v>
      </c>
      <c r="BC2058">
        <v>0.248</v>
      </c>
      <c r="BD2058" t="s">
        <v>65</v>
      </c>
      <c r="BE2058">
        <v>97</v>
      </c>
      <c r="BF2058">
        <v>10</v>
      </c>
      <c r="BG2058" t="s">
        <v>5635</v>
      </c>
      <c r="BH2058" t="s">
        <v>5636</v>
      </c>
      <c r="BI2058" t="s">
        <v>5637</v>
      </c>
      <c r="BJ2058">
        <v>2.878E-2</v>
      </c>
      <c r="BK2058">
        <v>1</v>
      </c>
      <c r="BL2058" t="s">
        <v>69</v>
      </c>
      <c r="BM2058">
        <v>-1.544</v>
      </c>
      <c r="BN2058">
        <v>-3.1019999999999999</v>
      </c>
    </row>
    <row r="2059" spans="2:66">
      <c r="B2059">
        <v>3584</v>
      </c>
      <c r="C2059">
        <v>63</v>
      </c>
      <c r="D2059">
        <v>0</v>
      </c>
      <c r="E2059">
        <v>31</v>
      </c>
      <c r="F2059">
        <v>5</v>
      </c>
      <c r="J2059">
        <v>0</v>
      </c>
      <c r="K2059">
        <v>2</v>
      </c>
      <c r="L2059">
        <v>0</v>
      </c>
      <c r="M2059" t="s">
        <v>25022</v>
      </c>
      <c r="N2059">
        <v>905</v>
      </c>
      <c r="O2059" t="s">
        <v>5651</v>
      </c>
      <c r="P2059" t="s">
        <v>57</v>
      </c>
      <c r="Q2059">
        <v>943891</v>
      </c>
      <c r="R2059">
        <v>944361</v>
      </c>
      <c r="S2059" t="s">
        <v>5652</v>
      </c>
      <c r="T2059">
        <v>157</v>
      </c>
      <c r="U2059" t="s">
        <v>108</v>
      </c>
      <c r="V2059">
        <v>44</v>
      </c>
      <c r="W2059" t="str">
        <f>HYPERLINK("Gene905-zp_tree_all.dnd", "Gene905-tree")</f>
        <v>Gene905-tree</v>
      </c>
      <c r="X2059">
        <v>9</v>
      </c>
      <c r="Y2059">
        <v>3</v>
      </c>
      <c r="Z2059">
        <v>9</v>
      </c>
      <c r="AA2059">
        <v>3</v>
      </c>
      <c r="AB2059">
        <v>0.25</v>
      </c>
      <c r="AC2059" t="s">
        <v>135</v>
      </c>
      <c r="AD2059" t="s">
        <v>324</v>
      </c>
      <c r="AE2059" t="s">
        <v>62</v>
      </c>
      <c r="AF2059" t="s">
        <v>62</v>
      </c>
      <c r="AG2059">
        <v>1</v>
      </c>
      <c r="AH2059">
        <v>2</v>
      </c>
      <c r="AI2059">
        <v>4</v>
      </c>
      <c r="AJ2059">
        <v>0.33333000000000002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3</v>
      </c>
      <c r="AT2059">
        <v>0</v>
      </c>
      <c r="AU2059">
        <v>11</v>
      </c>
      <c r="AV2059">
        <v>6</v>
      </c>
      <c r="AW2059">
        <v>19</v>
      </c>
      <c r="AX2059">
        <v>3</v>
      </c>
      <c r="AY2059">
        <v>9</v>
      </c>
      <c r="AZ2059">
        <v>3</v>
      </c>
      <c r="BA2059" t="s">
        <v>5653</v>
      </c>
      <c r="BB2059" t="s">
        <v>5654</v>
      </c>
      <c r="BC2059">
        <v>0.73</v>
      </c>
      <c r="BD2059" t="s">
        <v>65</v>
      </c>
      <c r="BE2059">
        <v>28</v>
      </c>
      <c r="BF2059">
        <v>6</v>
      </c>
      <c r="BG2059" t="s">
        <v>5655</v>
      </c>
      <c r="BH2059" t="s">
        <v>5656</v>
      </c>
      <c r="BI2059" t="s">
        <v>5657</v>
      </c>
      <c r="BJ2059">
        <v>6.3369999999999996E-2</v>
      </c>
      <c r="BK2059">
        <v>1</v>
      </c>
      <c r="BL2059" t="s">
        <v>69</v>
      </c>
      <c r="BM2059">
        <v>-8.7999999999999995E-2</v>
      </c>
      <c r="BN2059">
        <v>0.76700000000000002</v>
      </c>
    </row>
    <row r="2060" spans="2:66">
      <c r="B2060">
        <v>3585</v>
      </c>
      <c r="C2060">
        <v>16</v>
      </c>
      <c r="D2060">
        <v>0</v>
      </c>
      <c r="E2060">
        <v>16</v>
      </c>
      <c r="F2060">
        <v>0</v>
      </c>
      <c r="J2060">
        <v>0</v>
      </c>
      <c r="K2060">
        <v>0</v>
      </c>
      <c r="L2060">
        <v>0</v>
      </c>
      <c r="M2060" t="s">
        <v>25022</v>
      </c>
      <c r="N2060">
        <v>906</v>
      </c>
      <c r="O2060" t="s">
        <v>5658</v>
      </c>
      <c r="P2060" t="s">
        <v>57</v>
      </c>
      <c r="Q2060">
        <v>944487</v>
      </c>
      <c r="R2060">
        <v>944921</v>
      </c>
      <c r="S2060" t="s">
        <v>5659</v>
      </c>
      <c r="T2060">
        <v>145</v>
      </c>
      <c r="U2060" t="s">
        <v>59</v>
      </c>
      <c r="V2060">
        <v>49</v>
      </c>
      <c r="W2060" t="str">
        <f>HYPERLINK("Gene906-zp_tree_all.dnd", "Gene906-tree")</f>
        <v>Gene906-tree</v>
      </c>
      <c r="X2060">
        <v>35</v>
      </c>
      <c r="Y2060">
        <v>1</v>
      </c>
      <c r="Z2060">
        <v>13</v>
      </c>
      <c r="AA2060">
        <v>1</v>
      </c>
      <c r="AB2060">
        <v>7.1429999999999993E-2</v>
      </c>
      <c r="AC2060" t="s">
        <v>5660</v>
      </c>
      <c r="AD2060" t="s">
        <v>175</v>
      </c>
      <c r="AE2060" t="s">
        <v>62</v>
      </c>
      <c r="AF2060" t="s">
        <v>62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11</v>
      </c>
      <c r="AV2060">
        <v>6</v>
      </c>
      <c r="AW2060">
        <v>14</v>
      </c>
      <c r="AX2060">
        <v>1</v>
      </c>
      <c r="AY2060">
        <v>21</v>
      </c>
      <c r="AZ2060">
        <v>0</v>
      </c>
      <c r="BA2060" t="s">
        <v>5661</v>
      </c>
      <c r="BB2060" t="s">
        <v>193</v>
      </c>
      <c r="BC2060">
        <v>0.32</v>
      </c>
      <c r="BD2060" t="s">
        <v>65</v>
      </c>
      <c r="BE2060">
        <v>35</v>
      </c>
      <c r="BF2060">
        <v>1</v>
      </c>
      <c r="BG2060" t="s">
        <v>5662</v>
      </c>
      <c r="BH2060" t="s">
        <v>5663</v>
      </c>
      <c r="BI2060" t="s">
        <v>5664</v>
      </c>
      <c r="BJ2060">
        <v>3.96E-3</v>
      </c>
      <c r="BK2060">
        <v>1</v>
      </c>
      <c r="BL2060" t="s">
        <v>69</v>
      </c>
      <c r="BM2060">
        <v>-0.93700000000000006</v>
      </c>
      <c r="BN2060">
        <v>0.17499999999999999</v>
      </c>
    </row>
    <row r="2061" spans="2:66">
      <c r="B2061">
        <v>3586</v>
      </c>
      <c r="C2061">
        <v>156</v>
      </c>
      <c r="D2061">
        <v>0</v>
      </c>
      <c r="E2061">
        <v>9</v>
      </c>
      <c r="F2061">
        <v>0</v>
      </c>
      <c r="J2061">
        <v>0</v>
      </c>
      <c r="K2061">
        <v>0</v>
      </c>
      <c r="L2061">
        <v>0</v>
      </c>
      <c r="M2061" t="s">
        <v>25022</v>
      </c>
      <c r="N2061">
        <v>908</v>
      </c>
      <c r="O2061" t="s">
        <v>5671</v>
      </c>
      <c r="P2061" t="s">
        <v>57</v>
      </c>
      <c r="Q2061">
        <v>945520</v>
      </c>
      <c r="R2061">
        <v>946401</v>
      </c>
      <c r="S2061" t="s">
        <v>288</v>
      </c>
      <c r="T2061">
        <v>294</v>
      </c>
      <c r="U2061" t="s">
        <v>108</v>
      </c>
      <c r="V2061">
        <v>44</v>
      </c>
      <c r="W2061" t="str">
        <f>HYPERLINK("Gene908-zp_tree_all.dnd", "Gene908-tree")</f>
        <v>Gene908-tree</v>
      </c>
      <c r="X2061">
        <v>7</v>
      </c>
      <c r="Y2061">
        <v>3</v>
      </c>
      <c r="Z2061">
        <v>7</v>
      </c>
      <c r="AA2061">
        <v>3</v>
      </c>
      <c r="AB2061">
        <v>0.3</v>
      </c>
      <c r="AC2061" t="s">
        <v>152</v>
      </c>
      <c r="AD2061" t="s">
        <v>324</v>
      </c>
      <c r="AE2061" t="s">
        <v>62</v>
      </c>
      <c r="AF2061" t="s">
        <v>62</v>
      </c>
      <c r="AG2061">
        <v>0</v>
      </c>
      <c r="AH2061">
        <v>0</v>
      </c>
      <c r="AI2061">
        <v>4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4</v>
      </c>
      <c r="AT2061">
        <v>0</v>
      </c>
      <c r="AU2061">
        <v>7</v>
      </c>
      <c r="AV2061">
        <v>5</v>
      </c>
      <c r="AW2061">
        <v>23</v>
      </c>
      <c r="AX2061">
        <v>4</v>
      </c>
      <c r="AY2061">
        <v>12</v>
      </c>
      <c r="AZ2061">
        <v>0</v>
      </c>
      <c r="BA2061" t="s">
        <v>5672</v>
      </c>
      <c r="BB2061" t="s">
        <v>193</v>
      </c>
      <c r="BC2061">
        <v>1.224</v>
      </c>
      <c r="BD2061" t="s">
        <v>65</v>
      </c>
      <c r="BE2061">
        <v>35</v>
      </c>
      <c r="BF2061">
        <v>4</v>
      </c>
      <c r="BG2061" t="s">
        <v>5673</v>
      </c>
      <c r="BH2061" t="s">
        <v>5674</v>
      </c>
      <c r="BI2061" t="s">
        <v>5675</v>
      </c>
      <c r="BJ2061">
        <v>2.6589999999999999E-2</v>
      </c>
      <c r="BK2061">
        <v>1</v>
      </c>
      <c r="BL2061" t="s">
        <v>69</v>
      </c>
      <c r="BM2061">
        <v>-0.505</v>
      </c>
      <c r="BN2061">
        <v>-1.2649999999999999</v>
      </c>
    </row>
    <row r="2062" spans="2:66">
      <c r="B2062">
        <v>3587</v>
      </c>
      <c r="C2062">
        <v>4</v>
      </c>
      <c r="D2062">
        <v>0</v>
      </c>
      <c r="E2062">
        <v>14</v>
      </c>
      <c r="F2062">
        <v>1</v>
      </c>
      <c r="J2062">
        <v>0</v>
      </c>
      <c r="K2062">
        <v>0</v>
      </c>
      <c r="L2062">
        <v>0</v>
      </c>
      <c r="M2062" t="s">
        <v>25022</v>
      </c>
      <c r="N2062">
        <v>910</v>
      </c>
      <c r="O2062" t="s">
        <v>5683</v>
      </c>
      <c r="P2062" t="s">
        <v>57</v>
      </c>
      <c r="Q2062">
        <v>954291</v>
      </c>
      <c r="R2062">
        <v>954491</v>
      </c>
      <c r="S2062" t="s">
        <v>116</v>
      </c>
      <c r="T2062">
        <v>67</v>
      </c>
      <c r="U2062" t="s">
        <v>465</v>
      </c>
      <c r="V2062">
        <v>46</v>
      </c>
      <c r="W2062" t="str">
        <f>HYPERLINK("Gene910-zp_tree_all.dnd", "Gene910-tree")</f>
        <v>Gene910-tree</v>
      </c>
      <c r="X2062">
        <v>30</v>
      </c>
      <c r="Y2062">
        <v>4</v>
      </c>
      <c r="Z2062">
        <v>7</v>
      </c>
      <c r="AA2062">
        <v>4</v>
      </c>
      <c r="AB2062">
        <v>0.36364000000000002</v>
      </c>
      <c r="AC2062" t="s">
        <v>5684</v>
      </c>
      <c r="AD2062" t="s">
        <v>61</v>
      </c>
      <c r="AE2062" t="s">
        <v>62</v>
      </c>
      <c r="AF2062" t="s">
        <v>62</v>
      </c>
      <c r="AG2062">
        <v>0</v>
      </c>
      <c r="AH2062">
        <v>0</v>
      </c>
      <c r="AI2062">
        <v>7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6</v>
      </c>
      <c r="AT2062">
        <v>0</v>
      </c>
      <c r="AU2062">
        <v>7</v>
      </c>
      <c r="AV2062">
        <v>3</v>
      </c>
      <c r="AW2062">
        <v>5</v>
      </c>
      <c r="AX2062">
        <v>3</v>
      </c>
      <c r="AY2062">
        <v>3</v>
      </c>
      <c r="AZ2062">
        <v>4</v>
      </c>
      <c r="BA2062" t="s">
        <v>5685</v>
      </c>
      <c r="BB2062" t="s">
        <v>5686</v>
      </c>
      <c r="BC2062">
        <v>0.57899999999999996</v>
      </c>
      <c r="BD2062" t="s">
        <v>65</v>
      </c>
      <c r="BE2062">
        <v>8</v>
      </c>
      <c r="BF2062">
        <v>7</v>
      </c>
      <c r="BG2062" t="s">
        <v>5687</v>
      </c>
      <c r="BH2062" t="s">
        <v>5688</v>
      </c>
      <c r="BI2062" t="s">
        <v>5689</v>
      </c>
      <c r="BJ2062">
        <v>0.21845000000000001</v>
      </c>
      <c r="BK2062">
        <v>0.98</v>
      </c>
      <c r="BL2062" t="s">
        <v>69</v>
      </c>
      <c r="BM2062">
        <v>-1.2190000000000001</v>
      </c>
      <c r="BN2062">
        <v>-0.35199999999999998</v>
      </c>
    </row>
    <row r="2063" spans="2:66">
      <c r="B2063">
        <v>3588</v>
      </c>
      <c r="C2063">
        <v>283</v>
      </c>
      <c r="D2063">
        <v>0</v>
      </c>
      <c r="E2063">
        <v>59</v>
      </c>
      <c r="F2063">
        <v>4</v>
      </c>
      <c r="J2063">
        <v>0</v>
      </c>
      <c r="K2063">
        <v>0</v>
      </c>
      <c r="L2063">
        <v>7</v>
      </c>
      <c r="M2063" t="s">
        <v>25022</v>
      </c>
      <c r="N2063">
        <v>912</v>
      </c>
      <c r="O2063" t="s">
        <v>5698</v>
      </c>
      <c r="P2063" t="s">
        <v>57</v>
      </c>
      <c r="Q2063">
        <v>954893</v>
      </c>
      <c r="R2063">
        <v>955582</v>
      </c>
      <c r="S2063" t="s">
        <v>5699</v>
      </c>
      <c r="T2063">
        <v>230</v>
      </c>
      <c r="U2063" t="s">
        <v>265</v>
      </c>
      <c r="V2063">
        <v>43</v>
      </c>
      <c r="W2063" t="str">
        <f>HYPERLINK("Gene912-zp_tree_all.dnd", "Gene912-tree")</f>
        <v>Gene912-tree</v>
      </c>
      <c r="X2063">
        <v>4</v>
      </c>
      <c r="Y2063">
        <v>7</v>
      </c>
      <c r="Z2063">
        <v>4</v>
      </c>
      <c r="AA2063">
        <v>7</v>
      </c>
      <c r="AB2063">
        <v>0.63636000000000004</v>
      </c>
      <c r="AC2063" t="s">
        <v>61</v>
      </c>
      <c r="AD2063" t="s">
        <v>152</v>
      </c>
      <c r="AE2063" t="s">
        <v>62</v>
      </c>
      <c r="AF2063" t="s">
        <v>62</v>
      </c>
      <c r="AG2063">
        <v>3</v>
      </c>
      <c r="AH2063">
        <v>7</v>
      </c>
      <c r="AI2063">
        <v>20</v>
      </c>
      <c r="AJ2063">
        <v>0.25925999999999999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4</v>
      </c>
      <c r="AR2063">
        <v>4</v>
      </c>
      <c r="AS2063">
        <v>12</v>
      </c>
      <c r="AT2063">
        <v>0.25</v>
      </c>
      <c r="AU2063">
        <v>8</v>
      </c>
      <c r="AV2063">
        <v>7</v>
      </c>
      <c r="AW2063">
        <v>14</v>
      </c>
      <c r="AX2063">
        <v>15</v>
      </c>
      <c r="AY2063">
        <v>17</v>
      </c>
      <c r="AZ2063">
        <v>12</v>
      </c>
      <c r="BA2063" t="s">
        <v>5700</v>
      </c>
      <c r="BB2063" t="s">
        <v>5701</v>
      </c>
      <c r="BC2063">
        <v>0.503</v>
      </c>
      <c r="BD2063" t="s">
        <v>65</v>
      </c>
      <c r="BE2063">
        <v>31</v>
      </c>
      <c r="BF2063">
        <v>27</v>
      </c>
      <c r="BG2063" t="s">
        <v>5702</v>
      </c>
      <c r="BH2063" t="s">
        <v>5703</v>
      </c>
      <c r="BI2063" t="s">
        <v>5704</v>
      </c>
      <c r="BJ2063">
        <v>0.27526</v>
      </c>
      <c r="BK2063">
        <v>1</v>
      </c>
      <c r="BL2063" t="s">
        <v>69</v>
      </c>
      <c r="BM2063">
        <v>4.4999999999999998E-2</v>
      </c>
      <c r="BN2063">
        <v>-0.19600000000000001</v>
      </c>
    </row>
    <row r="2064" spans="2:66">
      <c r="B2064">
        <v>3589</v>
      </c>
      <c r="C2064">
        <v>212</v>
      </c>
      <c r="D2064">
        <v>0</v>
      </c>
      <c r="E2064">
        <v>3</v>
      </c>
      <c r="F2064">
        <v>0</v>
      </c>
      <c r="J2064">
        <v>0</v>
      </c>
      <c r="K2064">
        <v>2</v>
      </c>
      <c r="L2064">
        <v>0</v>
      </c>
      <c r="M2064" t="s">
        <v>25022</v>
      </c>
      <c r="N2064">
        <v>913</v>
      </c>
      <c r="O2064" t="s">
        <v>5705</v>
      </c>
      <c r="P2064" t="s">
        <v>57</v>
      </c>
      <c r="Q2064">
        <v>955895</v>
      </c>
      <c r="R2064">
        <v>957664</v>
      </c>
      <c r="S2064" t="s">
        <v>5706</v>
      </c>
      <c r="T2064">
        <v>590</v>
      </c>
      <c r="U2064" t="s">
        <v>108</v>
      </c>
      <c r="V2064">
        <v>44</v>
      </c>
      <c r="W2064" t="str">
        <f>HYPERLINK("Gene913-zp_tree_all.dnd", "Gene913-tree")</f>
        <v>Gene913-tree</v>
      </c>
      <c r="X2064">
        <v>25</v>
      </c>
      <c r="Y2064">
        <v>6</v>
      </c>
      <c r="Z2064">
        <v>6</v>
      </c>
      <c r="AA2064">
        <v>6</v>
      </c>
      <c r="AB2064">
        <v>0.5</v>
      </c>
      <c r="AC2064" t="s">
        <v>965</v>
      </c>
      <c r="AD2064" t="s">
        <v>90</v>
      </c>
      <c r="AE2064" t="s">
        <v>62</v>
      </c>
      <c r="AF2064" t="s">
        <v>62</v>
      </c>
      <c r="AG2064">
        <v>1</v>
      </c>
      <c r="AH2064">
        <v>2</v>
      </c>
      <c r="AI2064">
        <v>18</v>
      </c>
      <c r="AJ2064">
        <v>0.1</v>
      </c>
      <c r="AK2064">
        <v>0</v>
      </c>
      <c r="AL2064">
        <v>0</v>
      </c>
      <c r="AM2064">
        <v>0</v>
      </c>
      <c r="AN2064">
        <v>2</v>
      </c>
      <c r="AO2064">
        <v>0</v>
      </c>
      <c r="AP2064">
        <v>2</v>
      </c>
      <c r="AQ2064">
        <v>0</v>
      </c>
      <c r="AR2064">
        <v>2</v>
      </c>
      <c r="AS2064">
        <v>14</v>
      </c>
      <c r="AT2064">
        <v>0.125</v>
      </c>
      <c r="AU2064">
        <v>10</v>
      </c>
      <c r="AV2064">
        <v>8</v>
      </c>
      <c r="AW2064">
        <v>37</v>
      </c>
      <c r="AX2064">
        <v>19</v>
      </c>
      <c r="AY2064">
        <v>29</v>
      </c>
      <c r="AZ2064">
        <v>5</v>
      </c>
      <c r="BA2064" t="s">
        <v>5707</v>
      </c>
      <c r="BB2064" t="s">
        <v>5708</v>
      </c>
      <c r="BC2064">
        <v>0.27600000000000002</v>
      </c>
      <c r="BD2064" t="s">
        <v>65</v>
      </c>
      <c r="BE2064">
        <v>66</v>
      </c>
      <c r="BF2064">
        <v>24</v>
      </c>
      <c r="BG2064" t="s">
        <v>5709</v>
      </c>
      <c r="BH2064" t="s">
        <v>5710</v>
      </c>
      <c r="BI2064" t="s">
        <v>1361</v>
      </c>
      <c r="BJ2064">
        <v>9.6750000000000003E-2</v>
      </c>
      <c r="BK2064">
        <v>1</v>
      </c>
      <c r="BL2064" t="s">
        <v>69</v>
      </c>
      <c r="BM2064">
        <v>-1.139</v>
      </c>
      <c r="BN2064">
        <v>-1.8520000000000001</v>
      </c>
    </row>
    <row r="2065" spans="2:66">
      <c r="B2065">
        <v>3590</v>
      </c>
      <c r="C2065">
        <v>177</v>
      </c>
      <c r="D2065">
        <v>0</v>
      </c>
      <c r="E2065">
        <v>2</v>
      </c>
      <c r="F2065">
        <v>1</v>
      </c>
      <c r="J2065">
        <v>0</v>
      </c>
      <c r="K2065">
        <v>0</v>
      </c>
      <c r="L2065">
        <v>0</v>
      </c>
      <c r="M2065" t="s">
        <v>25022</v>
      </c>
      <c r="N2065">
        <v>915</v>
      </c>
      <c r="O2065" t="s">
        <v>5719</v>
      </c>
      <c r="P2065" t="s">
        <v>57</v>
      </c>
      <c r="Q2065">
        <v>959311</v>
      </c>
      <c r="R2065">
        <v>959505</v>
      </c>
      <c r="S2065" t="s">
        <v>5720</v>
      </c>
      <c r="T2065">
        <v>65</v>
      </c>
      <c r="U2065" t="s">
        <v>265</v>
      </c>
      <c r="V2065">
        <v>43</v>
      </c>
      <c r="W2065" t="str">
        <f>HYPERLINK("Gene915-zp_tree_all.dnd", "Gene915-tree")</f>
        <v>Gene915-tree</v>
      </c>
      <c r="X2065">
        <v>4</v>
      </c>
      <c r="Y2065">
        <v>4</v>
      </c>
      <c r="Z2065">
        <v>4</v>
      </c>
      <c r="AA2065">
        <v>4</v>
      </c>
      <c r="AB2065">
        <v>0.5</v>
      </c>
      <c r="AC2065" t="s">
        <v>61</v>
      </c>
      <c r="AD2065" t="s">
        <v>61</v>
      </c>
      <c r="AE2065" t="s">
        <v>62</v>
      </c>
      <c r="AF2065" t="s">
        <v>62</v>
      </c>
      <c r="AG2065">
        <v>0</v>
      </c>
      <c r="AH2065">
        <v>0</v>
      </c>
      <c r="AI2065">
        <v>6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5</v>
      </c>
      <c r="AT2065">
        <v>0</v>
      </c>
      <c r="AU2065">
        <v>6</v>
      </c>
      <c r="AV2065">
        <v>2</v>
      </c>
      <c r="AW2065">
        <v>5</v>
      </c>
      <c r="AX2065">
        <v>5</v>
      </c>
      <c r="AY2065">
        <v>1</v>
      </c>
      <c r="AZ2065">
        <v>1</v>
      </c>
      <c r="BA2065" t="s">
        <v>5721</v>
      </c>
      <c r="BB2065" t="s">
        <v>5722</v>
      </c>
      <c r="BC2065">
        <v>4.0000000000000001E-3</v>
      </c>
      <c r="BD2065" t="s">
        <v>65</v>
      </c>
      <c r="BE2065">
        <v>6</v>
      </c>
      <c r="BF2065">
        <v>6</v>
      </c>
      <c r="BG2065" t="s">
        <v>5723</v>
      </c>
      <c r="BH2065" t="s">
        <v>5724</v>
      </c>
      <c r="BI2065" t="s">
        <v>5725</v>
      </c>
      <c r="BJ2065">
        <v>0.26944000000000001</v>
      </c>
      <c r="BK2065">
        <v>0.94299999999999995</v>
      </c>
      <c r="BL2065" t="s">
        <v>635</v>
      </c>
      <c r="BM2065">
        <v>-0.438</v>
      </c>
      <c r="BN2065">
        <v>-0.77300000000000002</v>
      </c>
    </row>
    <row r="2066" spans="2:66">
      <c r="B2066">
        <v>3591</v>
      </c>
      <c r="C2066">
        <v>1</v>
      </c>
      <c r="D2066">
        <v>0</v>
      </c>
      <c r="E2066">
        <v>2</v>
      </c>
      <c r="F2066">
        <v>0</v>
      </c>
      <c r="J2066">
        <v>0</v>
      </c>
      <c r="K2066">
        <v>2</v>
      </c>
      <c r="L2066">
        <v>0</v>
      </c>
      <c r="M2066" t="s">
        <v>25022</v>
      </c>
      <c r="N2066">
        <v>917</v>
      </c>
      <c r="O2066" t="s">
        <v>5733</v>
      </c>
      <c r="P2066" t="s">
        <v>57</v>
      </c>
      <c r="Q2066">
        <v>961394</v>
      </c>
      <c r="R2066">
        <v>962158</v>
      </c>
      <c r="S2066" t="s">
        <v>5734</v>
      </c>
      <c r="T2066">
        <v>255</v>
      </c>
      <c r="U2066" t="s">
        <v>108</v>
      </c>
      <c r="V2066">
        <v>44</v>
      </c>
      <c r="W2066" t="str">
        <f>HYPERLINK("Gene917-zp_tree_all.dnd", "Gene917-tree")</f>
        <v>Gene917-tree</v>
      </c>
      <c r="X2066">
        <v>4</v>
      </c>
      <c r="Y2066">
        <v>11</v>
      </c>
      <c r="Z2066">
        <v>4</v>
      </c>
      <c r="AA2066">
        <v>11</v>
      </c>
      <c r="AB2066">
        <v>0.73333000000000004</v>
      </c>
      <c r="AC2066" t="s">
        <v>61</v>
      </c>
      <c r="AD2066" t="s">
        <v>73</v>
      </c>
      <c r="AE2066">
        <v>200307210.301</v>
      </c>
      <c r="AF2066" t="s">
        <v>267</v>
      </c>
      <c r="AG2066">
        <v>1</v>
      </c>
      <c r="AH2066">
        <v>2</v>
      </c>
      <c r="AI2066">
        <v>14</v>
      </c>
      <c r="AJ2066">
        <v>0.125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2</v>
      </c>
      <c r="AQ2066">
        <v>0</v>
      </c>
      <c r="AR2066">
        <v>2</v>
      </c>
      <c r="AS2066">
        <v>12</v>
      </c>
      <c r="AT2066">
        <v>0.14285999999999999</v>
      </c>
      <c r="AU2066">
        <v>12</v>
      </c>
      <c r="AV2066">
        <v>9</v>
      </c>
      <c r="AW2066">
        <v>23</v>
      </c>
      <c r="AX2066">
        <v>13</v>
      </c>
      <c r="AY2066">
        <v>13</v>
      </c>
      <c r="AZ2066">
        <v>3</v>
      </c>
      <c r="BA2066" t="s">
        <v>5735</v>
      </c>
      <c r="BB2066" t="s">
        <v>5736</v>
      </c>
      <c r="BC2066">
        <v>1.042</v>
      </c>
      <c r="BD2066" t="s">
        <v>65</v>
      </c>
      <c r="BE2066">
        <v>36</v>
      </c>
      <c r="BF2066">
        <v>16</v>
      </c>
      <c r="BG2066" t="s">
        <v>5737</v>
      </c>
      <c r="BH2066" t="s">
        <v>5738</v>
      </c>
      <c r="BI2066" t="s">
        <v>5739</v>
      </c>
      <c r="BJ2066">
        <v>0.11772000000000001</v>
      </c>
      <c r="BK2066">
        <v>1</v>
      </c>
      <c r="BL2066" t="s">
        <v>69</v>
      </c>
      <c r="BM2066">
        <v>-1.294</v>
      </c>
      <c r="BN2066">
        <v>-1.5960000000000001</v>
      </c>
    </row>
    <row r="2067" spans="2:66">
      <c r="B2067">
        <v>3592</v>
      </c>
      <c r="C2067">
        <v>338</v>
      </c>
      <c r="D2067">
        <v>0</v>
      </c>
      <c r="E2067">
        <v>8</v>
      </c>
      <c r="F2067">
        <v>0</v>
      </c>
      <c r="J2067">
        <v>0</v>
      </c>
      <c r="K2067">
        <v>7</v>
      </c>
      <c r="L2067">
        <v>0</v>
      </c>
      <c r="M2067" t="s">
        <v>25022</v>
      </c>
      <c r="N2067">
        <v>918</v>
      </c>
      <c r="O2067" t="s">
        <v>5740</v>
      </c>
      <c r="P2067" t="s">
        <v>57</v>
      </c>
      <c r="Q2067">
        <v>962179</v>
      </c>
      <c r="R2067">
        <v>963174</v>
      </c>
      <c r="S2067" t="s">
        <v>5741</v>
      </c>
      <c r="T2067">
        <v>332</v>
      </c>
      <c r="U2067" t="s">
        <v>108</v>
      </c>
      <c r="V2067">
        <v>44</v>
      </c>
      <c r="W2067" t="str">
        <f>HYPERLINK("Gene918-zp_tree_all.dnd", "Gene918-tree")</f>
        <v>Gene918-tree</v>
      </c>
      <c r="X2067">
        <v>4</v>
      </c>
      <c r="Y2067">
        <v>9</v>
      </c>
      <c r="Z2067">
        <v>4</v>
      </c>
      <c r="AA2067">
        <v>9</v>
      </c>
      <c r="AB2067">
        <v>0.69230999999999998</v>
      </c>
      <c r="AC2067" t="s">
        <v>61</v>
      </c>
      <c r="AD2067" t="s">
        <v>135</v>
      </c>
      <c r="AE2067" t="s">
        <v>62</v>
      </c>
      <c r="AF2067" t="s">
        <v>62</v>
      </c>
      <c r="AG2067">
        <v>3</v>
      </c>
      <c r="AH2067">
        <v>7</v>
      </c>
      <c r="AI2067">
        <v>13</v>
      </c>
      <c r="AJ2067">
        <v>0.35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4</v>
      </c>
      <c r="AQ2067">
        <v>0</v>
      </c>
      <c r="AR2067">
        <v>4</v>
      </c>
      <c r="AS2067">
        <v>12</v>
      </c>
      <c r="AT2067">
        <v>0.25</v>
      </c>
      <c r="AU2067">
        <v>13</v>
      </c>
      <c r="AV2067">
        <v>8</v>
      </c>
      <c r="AW2067">
        <v>37</v>
      </c>
      <c r="AX2067">
        <v>16</v>
      </c>
      <c r="AY2067">
        <v>21</v>
      </c>
      <c r="AZ2067">
        <v>4</v>
      </c>
      <c r="BA2067" t="s">
        <v>5742</v>
      </c>
      <c r="BB2067" t="s">
        <v>5743</v>
      </c>
      <c r="BC2067">
        <v>0.91</v>
      </c>
      <c r="BD2067" t="s">
        <v>65</v>
      </c>
      <c r="BE2067">
        <v>58</v>
      </c>
      <c r="BF2067">
        <v>20</v>
      </c>
      <c r="BG2067" t="s">
        <v>5744</v>
      </c>
      <c r="BH2067" t="s">
        <v>5745</v>
      </c>
      <c r="BI2067" t="s">
        <v>5746</v>
      </c>
      <c r="BJ2067">
        <v>7.954E-2</v>
      </c>
      <c r="BK2067">
        <v>1</v>
      </c>
      <c r="BL2067" t="s">
        <v>69</v>
      </c>
      <c r="BM2067">
        <v>-0.67100000000000004</v>
      </c>
      <c r="BN2067">
        <v>-1.145</v>
      </c>
    </row>
    <row r="2068" spans="2:66">
      <c r="B2068">
        <v>3594</v>
      </c>
      <c r="C2068">
        <v>273</v>
      </c>
      <c r="D2068">
        <v>0</v>
      </c>
      <c r="E2068">
        <v>9</v>
      </c>
      <c r="F2068">
        <v>0</v>
      </c>
      <c r="J2068">
        <v>0</v>
      </c>
      <c r="K2068">
        <v>4</v>
      </c>
      <c r="L2068">
        <v>2</v>
      </c>
      <c r="M2068" t="s">
        <v>25022</v>
      </c>
      <c r="N2068">
        <v>919</v>
      </c>
      <c r="O2068" t="s">
        <v>5747</v>
      </c>
      <c r="P2068" t="s">
        <v>57</v>
      </c>
      <c r="Q2068">
        <v>963174</v>
      </c>
      <c r="R2068">
        <v>964001</v>
      </c>
      <c r="S2068" t="s">
        <v>5748</v>
      </c>
      <c r="T2068">
        <v>276</v>
      </c>
      <c r="U2068" t="s">
        <v>108</v>
      </c>
      <c r="V2068">
        <v>44</v>
      </c>
      <c r="W2068" t="str">
        <f>HYPERLINK("Gene919-zp_tree_all.dnd", "Gene919-tree")</f>
        <v>Gene919-tree</v>
      </c>
      <c r="X2068">
        <v>5</v>
      </c>
      <c r="Y2068">
        <v>9</v>
      </c>
      <c r="Z2068">
        <v>5</v>
      </c>
      <c r="AA2068">
        <v>9</v>
      </c>
      <c r="AB2068">
        <v>0.64285999999999999</v>
      </c>
      <c r="AC2068" t="s">
        <v>199</v>
      </c>
      <c r="AD2068" t="s">
        <v>135</v>
      </c>
      <c r="AE2068" t="s">
        <v>62</v>
      </c>
      <c r="AF2068" t="s">
        <v>62</v>
      </c>
      <c r="AG2068">
        <v>3</v>
      </c>
      <c r="AH2068">
        <v>6</v>
      </c>
      <c r="AI2068">
        <v>9</v>
      </c>
      <c r="AJ2068">
        <v>0.4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2</v>
      </c>
      <c r="AQ2068">
        <v>2</v>
      </c>
      <c r="AR2068">
        <v>4</v>
      </c>
      <c r="AS2068">
        <v>8</v>
      </c>
      <c r="AT2068">
        <v>0.33333000000000002</v>
      </c>
      <c r="AU2068">
        <v>11</v>
      </c>
      <c r="AV2068">
        <v>7</v>
      </c>
      <c r="AW2068">
        <v>21</v>
      </c>
      <c r="AX2068">
        <v>11</v>
      </c>
      <c r="AY2068">
        <v>17</v>
      </c>
      <c r="AZ2068">
        <v>5</v>
      </c>
      <c r="BA2068" t="s">
        <v>5749</v>
      </c>
      <c r="BB2068" t="s">
        <v>5750</v>
      </c>
      <c r="BC2068">
        <v>0.58399999999999996</v>
      </c>
      <c r="BD2068" t="s">
        <v>65</v>
      </c>
      <c r="BE2068">
        <v>38</v>
      </c>
      <c r="BF2068">
        <v>16</v>
      </c>
      <c r="BG2068" t="s">
        <v>5751</v>
      </c>
      <c r="BH2068" t="s">
        <v>5752</v>
      </c>
      <c r="BI2068" t="s">
        <v>5753</v>
      </c>
      <c r="BJ2068">
        <v>0.13224</v>
      </c>
      <c r="BK2068">
        <v>1</v>
      </c>
      <c r="BL2068" t="s">
        <v>69</v>
      </c>
      <c r="BM2068">
        <v>-1.2010000000000001</v>
      </c>
      <c r="BN2068">
        <v>-1.161</v>
      </c>
    </row>
    <row r="2069" spans="2:66">
      <c r="B2069">
        <v>3595</v>
      </c>
      <c r="C2069">
        <v>439</v>
      </c>
      <c r="D2069">
        <v>0</v>
      </c>
      <c r="E2069">
        <v>4</v>
      </c>
      <c r="F2069">
        <v>0</v>
      </c>
      <c r="J2069">
        <v>0</v>
      </c>
      <c r="K2069">
        <v>2</v>
      </c>
      <c r="L2069">
        <v>0</v>
      </c>
      <c r="M2069" t="s">
        <v>25022</v>
      </c>
      <c r="N2069">
        <v>920</v>
      </c>
      <c r="O2069" t="s">
        <v>5754</v>
      </c>
      <c r="P2069" t="s">
        <v>57</v>
      </c>
      <c r="Q2069">
        <v>964027</v>
      </c>
      <c r="R2069">
        <v>965154</v>
      </c>
      <c r="S2069" t="s">
        <v>5755</v>
      </c>
      <c r="T2069">
        <v>376</v>
      </c>
      <c r="U2069" t="s">
        <v>108</v>
      </c>
      <c r="V2069">
        <v>44</v>
      </c>
      <c r="W2069" t="str">
        <f>HYPERLINK("Gene920-zp_tree_all.dnd", "Gene920-tree")</f>
        <v>Gene920-tree</v>
      </c>
      <c r="X2069">
        <v>5</v>
      </c>
      <c r="Y2069">
        <v>10</v>
      </c>
      <c r="Z2069">
        <v>5</v>
      </c>
      <c r="AA2069">
        <v>10</v>
      </c>
      <c r="AB2069">
        <v>0.66666999999999998</v>
      </c>
      <c r="AC2069" t="s">
        <v>199</v>
      </c>
      <c r="AD2069" t="s">
        <v>117</v>
      </c>
      <c r="AE2069" t="s">
        <v>62</v>
      </c>
      <c r="AF2069" t="s">
        <v>62</v>
      </c>
      <c r="AG2069">
        <v>1</v>
      </c>
      <c r="AH2069">
        <v>2</v>
      </c>
      <c r="AI2069">
        <v>14</v>
      </c>
      <c r="AJ2069">
        <v>0.125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13</v>
      </c>
      <c r="AT2069">
        <v>0</v>
      </c>
      <c r="AU2069">
        <v>13</v>
      </c>
      <c r="AV2069">
        <v>10</v>
      </c>
      <c r="AW2069">
        <v>51</v>
      </c>
      <c r="AX2069">
        <v>13</v>
      </c>
      <c r="AY2069">
        <v>36</v>
      </c>
      <c r="AZ2069">
        <v>4</v>
      </c>
      <c r="BA2069" t="s">
        <v>5756</v>
      </c>
      <c r="BB2069" t="s">
        <v>5757</v>
      </c>
      <c r="BC2069">
        <v>1.05</v>
      </c>
      <c r="BD2069" t="s">
        <v>65</v>
      </c>
      <c r="BE2069">
        <v>87</v>
      </c>
      <c r="BF2069">
        <v>17</v>
      </c>
      <c r="BG2069" t="s">
        <v>5758</v>
      </c>
      <c r="BH2069" t="s">
        <v>5759</v>
      </c>
      <c r="BI2069" t="s">
        <v>2933</v>
      </c>
      <c r="BJ2069">
        <v>5.7520000000000002E-2</v>
      </c>
      <c r="BK2069">
        <v>1</v>
      </c>
      <c r="BL2069" t="s">
        <v>69</v>
      </c>
      <c r="BM2069">
        <v>-1.161</v>
      </c>
      <c r="BN2069">
        <v>-1.7569999999999999</v>
      </c>
    </row>
    <row r="2070" spans="2:66">
      <c r="B2070">
        <v>3597</v>
      </c>
      <c r="C2070">
        <v>59</v>
      </c>
      <c r="D2070">
        <v>0</v>
      </c>
      <c r="E2070">
        <v>21</v>
      </c>
      <c r="F2070">
        <v>0</v>
      </c>
      <c r="J2070">
        <v>0</v>
      </c>
      <c r="K2070">
        <v>3</v>
      </c>
      <c r="L2070">
        <v>4</v>
      </c>
      <c r="M2070" t="s">
        <v>25022</v>
      </c>
      <c r="N2070">
        <v>921</v>
      </c>
      <c r="O2070" t="s">
        <v>5760</v>
      </c>
      <c r="P2070" t="s">
        <v>57</v>
      </c>
      <c r="Q2070">
        <v>965261</v>
      </c>
      <c r="R2070">
        <v>965794</v>
      </c>
      <c r="S2070" t="s">
        <v>5761</v>
      </c>
      <c r="T2070">
        <v>178</v>
      </c>
      <c r="U2070" t="s">
        <v>5762</v>
      </c>
      <c r="V2070">
        <v>43</v>
      </c>
      <c r="W2070" t="str">
        <f>HYPERLINK("Gene921-zp_tree_all.dnd", "Gene921-tree")</f>
        <v>Gene921-tree</v>
      </c>
      <c r="X2070">
        <v>3</v>
      </c>
      <c r="Y2070">
        <v>8</v>
      </c>
      <c r="Z2070">
        <v>3</v>
      </c>
      <c r="AA2070">
        <v>8</v>
      </c>
      <c r="AB2070">
        <v>0.72726999999999997</v>
      </c>
      <c r="AC2070" t="s">
        <v>324</v>
      </c>
      <c r="AD2070" t="s">
        <v>136</v>
      </c>
      <c r="AE2070" t="s">
        <v>62</v>
      </c>
      <c r="AF2070" t="s">
        <v>62</v>
      </c>
      <c r="AG2070">
        <v>3</v>
      </c>
      <c r="AH2070">
        <v>7</v>
      </c>
      <c r="AI2070">
        <v>18</v>
      </c>
      <c r="AJ2070">
        <v>0.28000000000000003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2</v>
      </c>
      <c r="AQ2070">
        <v>4</v>
      </c>
      <c r="AR2070">
        <v>6</v>
      </c>
      <c r="AS2070">
        <v>13</v>
      </c>
      <c r="AT2070">
        <v>0.31579000000000002</v>
      </c>
      <c r="AU2070">
        <v>10</v>
      </c>
      <c r="AV2070">
        <v>6</v>
      </c>
      <c r="AW2070">
        <v>19</v>
      </c>
      <c r="AX2070">
        <v>19</v>
      </c>
      <c r="AY2070">
        <v>3</v>
      </c>
      <c r="AZ2070">
        <v>6</v>
      </c>
      <c r="BA2070" t="s">
        <v>5763</v>
      </c>
      <c r="BB2070" t="s">
        <v>5764</v>
      </c>
      <c r="BC2070">
        <v>0.57699999999999996</v>
      </c>
      <c r="BD2070" t="s">
        <v>65</v>
      </c>
      <c r="BE2070">
        <v>22</v>
      </c>
      <c r="BF2070">
        <v>25</v>
      </c>
      <c r="BG2070" t="s">
        <v>5765</v>
      </c>
      <c r="BH2070" t="s">
        <v>5766</v>
      </c>
      <c r="BI2070" t="s">
        <v>5767</v>
      </c>
      <c r="BJ2070">
        <v>0.33981</v>
      </c>
      <c r="BK2070">
        <v>1</v>
      </c>
      <c r="BL2070" t="s">
        <v>69</v>
      </c>
      <c r="BM2070">
        <v>-0.68400000000000005</v>
      </c>
      <c r="BN2070">
        <v>-0.83599999999999997</v>
      </c>
    </row>
    <row r="2071" spans="2:66">
      <c r="B2071">
        <v>3598</v>
      </c>
      <c r="C2071">
        <v>213</v>
      </c>
      <c r="D2071">
        <v>0</v>
      </c>
      <c r="E2071">
        <v>2</v>
      </c>
      <c r="F2071">
        <v>0</v>
      </c>
      <c r="J2071">
        <v>0</v>
      </c>
      <c r="K2071">
        <v>2</v>
      </c>
      <c r="L2071">
        <v>0</v>
      </c>
      <c r="M2071" t="s">
        <v>25022</v>
      </c>
      <c r="N2071">
        <v>922</v>
      </c>
      <c r="O2071" t="s">
        <v>5768</v>
      </c>
      <c r="P2071" t="s">
        <v>57</v>
      </c>
      <c r="Q2071">
        <v>965909</v>
      </c>
      <c r="R2071">
        <v>966175</v>
      </c>
      <c r="S2071" t="s">
        <v>5769</v>
      </c>
      <c r="T2071">
        <v>89</v>
      </c>
      <c r="U2071" t="s">
        <v>698</v>
      </c>
      <c r="V2071">
        <v>47</v>
      </c>
      <c r="W2071" t="str">
        <f>HYPERLINK("Gene922-zp_tree_all.dnd", "Gene922-tree")</f>
        <v>Gene922-tree</v>
      </c>
      <c r="X2071">
        <v>33</v>
      </c>
      <c r="Y2071">
        <v>4</v>
      </c>
      <c r="Z2071">
        <v>7</v>
      </c>
      <c r="AA2071">
        <v>4</v>
      </c>
      <c r="AB2071">
        <v>0.36364000000000002</v>
      </c>
      <c r="AC2071" t="s">
        <v>5770</v>
      </c>
      <c r="AD2071" t="s">
        <v>61</v>
      </c>
      <c r="AE2071" t="s">
        <v>62</v>
      </c>
      <c r="AF2071" t="s">
        <v>62</v>
      </c>
      <c r="AG2071">
        <v>1</v>
      </c>
      <c r="AH2071">
        <v>2</v>
      </c>
      <c r="AI2071">
        <v>6</v>
      </c>
      <c r="AJ2071">
        <v>0.25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0</v>
      </c>
      <c r="AQ2071">
        <v>0</v>
      </c>
      <c r="AR2071">
        <v>0</v>
      </c>
      <c r="AS2071">
        <v>5</v>
      </c>
      <c r="AT2071">
        <v>0</v>
      </c>
      <c r="AU2071">
        <v>8</v>
      </c>
      <c r="AV2071">
        <v>5</v>
      </c>
      <c r="AW2071">
        <v>10</v>
      </c>
      <c r="AX2071">
        <v>5</v>
      </c>
      <c r="AY2071">
        <v>9</v>
      </c>
      <c r="AZ2071">
        <v>3</v>
      </c>
      <c r="BA2071" t="s">
        <v>5771</v>
      </c>
      <c r="BB2071" t="s">
        <v>5772</v>
      </c>
      <c r="BC2071">
        <v>0.45500000000000002</v>
      </c>
      <c r="BD2071" t="s">
        <v>65</v>
      </c>
      <c r="BE2071">
        <v>19</v>
      </c>
      <c r="BF2071">
        <v>8</v>
      </c>
      <c r="BG2071" t="s">
        <v>5773</v>
      </c>
      <c r="BH2071" t="s">
        <v>5774</v>
      </c>
      <c r="BI2071" t="s">
        <v>5775</v>
      </c>
      <c r="BJ2071">
        <v>9.1410000000000005E-2</v>
      </c>
      <c r="BK2071">
        <v>1</v>
      </c>
      <c r="BL2071" t="s">
        <v>69</v>
      </c>
      <c r="BM2071">
        <v>-1.3580000000000001</v>
      </c>
      <c r="BN2071">
        <v>-1.2829999999999999</v>
      </c>
    </row>
    <row r="2072" spans="2:66">
      <c r="B2072">
        <v>3599</v>
      </c>
      <c r="C2072">
        <v>10</v>
      </c>
      <c r="D2072">
        <v>0</v>
      </c>
      <c r="E2072">
        <v>7</v>
      </c>
      <c r="F2072">
        <v>0</v>
      </c>
      <c r="J2072">
        <v>0</v>
      </c>
      <c r="K2072">
        <v>2</v>
      </c>
      <c r="L2072">
        <v>0</v>
      </c>
      <c r="M2072" t="s">
        <v>25022</v>
      </c>
      <c r="N2072">
        <v>926</v>
      </c>
      <c r="O2072" t="s">
        <v>5795</v>
      </c>
      <c r="P2072" t="s">
        <v>57</v>
      </c>
      <c r="Q2072">
        <v>967935</v>
      </c>
      <c r="R2072">
        <v>969092</v>
      </c>
      <c r="S2072" t="s">
        <v>5796</v>
      </c>
      <c r="T2072">
        <v>386</v>
      </c>
      <c r="U2072" t="s">
        <v>108</v>
      </c>
      <c r="V2072">
        <v>44</v>
      </c>
      <c r="W2072" t="str">
        <f>HYPERLINK("Gene926-zp_tree_all.dnd", "Gene926-tree")</f>
        <v>Gene926-tree</v>
      </c>
      <c r="X2072">
        <v>9</v>
      </c>
      <c r="Y2072">
        <v>5</v>
      </c>
      <c r="Z2072">
        <v>9</v>
      </c>
      <c r="AA2072">
        <v>5</v>
      </c>
      <c r="AB2072">
        <v>0.35714000000000001</v>
      </c>
      <c r="AC2072" t="s">
        <v>135</v>
      </c>
      <c r="AD2072" t="s">
        <v>199</v>
      </c>
      <c r="AE2072" t="s">
        <v>62</v>
      </c>
      <c r="AF2072" t="s">
        <v>62</v>
      </c>
      <c r="AG2072">
        <v>1</v>
      </c>
      <c r="AH2072">
        <v>2</v>
      </c>
      <c r="AI2072">
        <v>6</v>
      </c>
      <c r="AJ2072">
        <v>0.25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2</v>
      </c>
      <c r="AQ2072">
        <v>0</v>
      </c>
      <c r="AR2072">
        <v>2</v>
      </c>
      <c r="AS2072">
        <v>3</v>
      </c>
      <c r="AT2072">
        <v>0.4</v>
      </c>
      <c r="AU2072">
        <v>13</v>
      </c>
      <c r="AV2072">
        <v>9</v>
      </c>
      <c r="AW2072">
        <v>50</v>
      </c>
      <c r="AX2072">
        <v>5</v>
      </c>
      <c r="AY2072">
        <v>27</v>
      </c>
      <c r="AZ2072">
        <v>3</v>
      </c>
      <c r="BA2072" t="s">
        <v>5797</v>
      </c>
      <c r="BB2072" t="s">
        <v>5798</v>
      </c>
      <c r="BC2072">
        <v>0.122</v>
      </c>
      <c r="BD2072" t="s">
        <v>65</v>
      </c>
      <c r="BE2072">
        <v>77</v>
      </c>
      <c r="BF2072">
        <v>8</v>
      </c>
      <c r="BG2072" t="s">
        <v>5799</v>
      </c>
      <c r="BH2072" t="s">
        <v>5800</v>
      </c>
      <c r="BI2072" t="s">
        <v>1868</v>
      </c>
      <c r="BJ2072">
        <v>4.6170000000000003E-2</v>
      </c>
      <c r="BK2072">
        <v>1</v>
      </c>
      <c r="BL2072" t="s">
        <v>69</v>
      </c>
      <c r="BM2072">
        <v>-0.307</v>
      </c>
      <c r="BN2072">
        <v>-0.6</v>
      </c>
    </row>
    <row r="2073" spans="2:66">
      <c r="B2073">
        <v>3600</v>
      </c>
      <c r="C2073">
        <v>229</v>
      </c>
      <c r="D2073">
        <v>0</v>
      </c>
      <c r="E2073">
        <v>18</v>
      </c>
      <c r="F2073">
        <v>0</v>
      </c>
      <c r="J2073">
        <v>0</v>
      </c>
      <c r="K2073">
        <v>4</v>
      </c>
      <c r="L2073">
        <v>0</v>
      </c>
      <c r="M2073" t="s">
        <v>25022</v>
      </c>
      <c r="N2073">
        <v>927</v>
      </c>
      <c r="O2073" t="s">
        <v>5801</v>
      </c>
      <c r="P2073" t="s">
        <v>57</v>
      </c>
      <c r="Q2073">
        <v>969162</v>
      </c>
      <c r="R2073">
        <v>970094</v>
      </c>
      <c r="S2073" t="s">
        <v>288</v>
      </c>
      <c r="T2073">
        <v>311</v>
      </c>
      <c r="U2073" t="s">
        <v>108</v>
      </c>
      <c r="V2073">
        <v>44</v>
      </c>
      <c r="W2073" t="str">
        <f>HYPERLINK("Gene927-zp_tree_all.dnd", "Gene927-tree")</f>
        <v>Gene927-tree</v>
      </c>
      <c r="X2073">
        <v>4</v>
      </c>
      <c r="Y2073">
        <v>10</v>
      </c>
      <c r="Z2073">
        <v>4</v>
      </c>
      <c r="AA2073">
        <v>10</v>
      </c>
      <c r="AB2073">
        <v>0.71428999999999998</v>
      </c>
      <c r="AC2073" t="s">
        <v>61</v>
      </c>
      <c r="AD2073" t="s">
        <v>117</v>
      </c>
      <c r="AE2073" t="s">
        <v>62</v>
      </c>
      <c r="AF2073" t="s">
        <v>62</v>
      </c>
      <c r="AG2073">
        <v>1</v>
      </c>
      <c r="AH2073">
        <v>4</v>
      </c>
      <c r="AI2073">
        <v>9</v>
      </c>
      <c r="AJ2073">
        <v>0.30769000000000002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2</v>
      </c>
      <c r="AQ2073">
        <v>0</v>
      </c>
      <c r="AR2073">
        <v>2</v>
      </c>
      <c r="AS2073">
        <v>8</v>
      </c>
      <c r="AT2073">
        <v>0.2</v>
      </c>
      <c r="AU2073">
        <v>11</v>
      </c>
      <c r="AV2073">
        <v>9</v>
      </c>
      <c r="AW2073">
        <v>24</v>
      </c>
      <c r="AX2073">
        <v>10</v>
      </c>
      <c r="AY2073">
        <v>10</v>
      </c>
      <c r="AZ2073">
        <v>3</v>
      </c>
      <c r="BA2073" t="s">
        <v>5802</v>
      </c>
      <c r="BB2073" t="s">
        <v>5803</v>
      </c>
      <c r="BC2073">
        <v>0.36299999999999999</v>
      </c>
      <c r="BD2073" t="s">
        <v>65</v>
      </c>
      <c r="BE2073">
        <v>34</v>
      </c>
      <c r="BF2073">
        <v>13</v>
      </c>
      <c r="BG2073" t="s">
        <v>5804</v>
      </c>
      <c r="BH2073" t="s">
        <v>5805</v>
      </c>
      <c r="BI2073" t="s">
        <v>5806</v>
      </c>
      <c r="BJ2073">
        <v>9.2450000000000004E-2</v>
      </c>
      <c r="BK2073">
        <v>1</v>
      </c>
      <c r="BL2073" t="s">
        <v>69</v>
      </c>
      <c r="BM2073">
        <v>-1.081</v>
      </c>
      <c r="BN2073">
        <v>-2.6360000000000001</v>
      </c>
    </row>
    <row r="2074" spans="2:66">
      <c r="B2074">
        <v>3602</v>
      </c>
      <c r="C2074">
        <v>94</v>
      </c>
      <c r="D2074">
        <v>0</v>
      </c>
      <c r="E2074">
        <v>2</v>
      </c>
      <c r="F2074">
        <v>0</v>
      </c>
      <c r="J2074">
        <v>0</v>
      </c>
      <c r="K2074">
        <v>0</v>
      </c>
      <c r="L2074">
        <v>2</v>
      </c>
      <c r="M2074" t="s">
        <v>25022</v>
      </c>
      <c r="N2074">
        <v>928</v>
      </c>
      <c r="O2074" t="s">
        <v>5807</v>
      </c>
      <c r="P2074" t="s">
        <v>57</v>
      </c>
      <c r="Q2074">
        <v>970135</v>
      </c>
      <c r="R2074">
        <v>970614</v>
      </c>
      <c r="S2074" t="s">
        <v>5808</v>
      </c>
      <c r="T2074">
        <v>160</v>
      </c>
      <c r="U2074" t="s">
        <v>59</v>
      </c>
      <c r="V2074">
        <v>49</v>
      </c>
      <c r="W2074" t="str">
        <f>HYPERLINK("Gene928-zp_tree_all.dnd", "Gene928-tree")</f>
        <v>Gene928-tree</v>
      </c>
      <c r="X2074">
        <v>33</v>
      </c>
      <c r="Y2074">
        <v>1</v>
      </c>
      <c r="Z2074">
        <v>15</v>
      </c>
      <c r="AA2074">
        <v>1</v>
      </c>
      <c r="AB2074">
        <v>6.25E-2</v>
      </c>
      <c r="AC2074" t="s">
        <v>1608</v>
      </c>
      <c r="AD2074" t="s">
        <v>175</v>
      </c>
      <c r="AE2074" t="s">
        <v>62</v>
      </c>
      <c r="AF2074" t="s">
        <v>62</v>
      </c>
      <c r="AG2074">
        <v>1</v>
      </c>
      <c r="AH2074">
        <v>2</v>
      </c>
      <c r="AI2074">
        <v>3</v>
      </c>
      <c r="AJ2074">
        <v>0.4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0</v>
      </c>
      <c r="AU2074">
        <v>12</v>
      </c>
      <c r="AV2074">
        <v>9</v>
      </c>
      <c r="AW2074">
        <v>20</v>
      </c>
      <c r="AX2074">
        <v>1</v>
      </c>
      <c r="AY2074">
        <v>21</v>
      </c>
      <c r="AZ2074">
        <v>4</v>
      </c>
      <c r="BA2074" t="s">
        <v>5809</v>
      </c>
      <c r="BB2074" t="s">
        <v>5810</v>
      </c>
      <c r="BC2074">
        <v>0.40600000000000003</v>
      </c>
      <c r="BD2074" t="s">
        <v>65</v>
      </c>
      <c r="BE2074">
        <v>41</v>
      </c>
      <c r="BF2074">
        <v>5</v>
      </c>
      <c r="BG2074" t="s">
        <v>5811</v>
      </c>
      <c r="BH2074" t="s">
        <v>5812</v>
      </c>
      <c r="BI2074" t="s">
        <v>5813</v>
      </c>
      <c r="BJ2074">
        <v>4.0800000000000003E-2</v>
      </c>
      <c r="BK2074">
        <v>1</v>
      </c>
      <c r="BL2074" t="s">
        <v>69</v>
      </c>
      <c r="BM2074">
        <v>-0.91200000000000003</v>
      </c>
      <c r="BN2074">
        <v>-0.85899999999999999</v>
      </c>
    </row>
    <row r="2075" spans="2:66">
      <c r="B2075">
        <v>3603</v>
      </c>
      <c r="C2075">
        <v>129</v>
      </c>
      <c r="D2075">
        <v>0</v>
      </c>
      <c r="E2075">
        <v>6</v>
      </c>
      <c r="F2075">
        <v>0</v>
      </c>
      <c r="J2075">
        <v>0</v>
      </c>
      <c r="K2075">
        <v>4</v>
      </c>
      <c r="L2075">
        <v>2</v>
      </c>
      <c r="M2075" t="s">
        <v>25022</v>
      </c>
      <c r="N2075">
        <v>929</v>
      </c>
      <c r="O2075" t="s">
        <v>5814</v>
      </c>
      <c r="P2075" t="s">
        <v>57</v>
      </c>
      <c r="Q2075">
        <v>970667</v>
      </c>
      <c r="R2075">
        <v>971380</v>
      </c>
      <c r="S2075" t="s">
        <v>5815</v>
      </c>
      <c r="T2075">
        <v>238</v>
      </c>
      <c r="U2075" t="s">
        <v>108</v>
      </c>
      <c r="V2075">
        <v>44</v>
      </c>
      <c r="W2075" t="str">
        <f>HYPERLINK("Gene929-zp_tree_all.dnd", "Gene929-tree")</f>
        <v>Gene929-tree</v>
      </c>
      <c r="X2075">
        <v>6</v>
      </c>
      <c r="Y2075">
        <v>8</v>
      </c>
      <c r="Z2075">
        <v>6</v>
      </c>
      <c r="AA2075">
        <v>8</v>
      </c>
      <c r="AB2075">
        <v>0.57142999999999999</v>
      </c>
      <c r="AC2075" t="s">
        <v>90</v>
      </c>
      <c r="AD2075" t="s">
        <v>136</v>
      </c>
      <c r="AE2075" t="s">
        <v>62</v>
      </c>
      <c r="AF2075" t="s">
        <v>62</v>
      </c>
      <c r="AG2075">
        <v>2</v>
      </c>
      <c r="AH2075">
        <v>6</v>
      </c>
      <c r="AI2075">
        <v>11</v>
      </c>
      <c r="AJ2075">
        <v>0.35293999999999998</v>
      </c>
      <c r="AK2075">
        <v>0</v>
      </c>
      <c r="AL2075">
        <v>0</v>
      </c>
      <c r="AM2075">
        <v>0</v>
      </c>
      <c r="AN2075">
        <v>2</v>
      </c>
      <c r="AO2075">
        <v>0</v>
      </c>
      <c r="AP2075">
        <v>2</v>
      </c>
      <c r="AQ2075">
        <v>2</v>
      </c>
      <c r="AR2075">
        <v>4</v>
      </c>
      <c r="AS2075">
        <v>10</v>
      </c>
      <c r="AT2075">
        <v>0.28571000000000002</v>
      </c>
      <c r="AU2075">
        <v>8</v>
      </c>
      <c r="AV2075">
        <v>8</v>
      </c>
      <c r="AW2075">
        <v>9</v>
      </c>
      <c r="AX2075">
        <v>12</v>
      </c>
      <c r="AY2075">
        <v>4</v>
      </c>
      <c r="AZ2075">
        <v>6</v>
      </c>
      <c r="BA2075" t="s">
        <v>5816</v>
      </c>
      <c r="BB2075" t="s">
        <v>5817</v>
      </c>
      <c r="BC2075">
        <v>0.185</v>
      </c>
      <c r="BD2075" t="s">
        <v>65</v>
      </c>
      <c r="BE2075">
        <v>13</v>
      </c>
      <c r="BF2075">
        <v>18</v>
      </c>
      <c r="BG2075" t="s">
        <v>5818</v>
      </c>
      <c r="BH2075" t="s">
        <v>5819</v>
      </c>
      <c r="BI2075" t="s">
        <v>5820</v>
      </c>
      <c r="BJ2075">
        <v>0.28853000000000001</v>
      </c>
      <c r="BK2075">
        <v>0.98</v>
      </c>
      <c r="BL2075" t="s">
        <v>69</v>
      </c>
      <c r="BM2075">
        <v>-0.93899999999999995</v>
      </c>
      <c r="BN2075">
        <v>-0.54300000000000004</v>
      </c>
    </row>
    <row r="2076" spans="2:66">
      <c r="B2076">
        <v>3605</v>
      </c>
      <c r="C2076">
        <v>144</v>
      </c>
      <c r="D2076">
        <v>0</v>
      </c>
      <c r="E2076">
        <v>3</v>
      </c>
      <c r="F2076">
        <v>2</v>
      </c>
      <c r="J2076">
        <v>0</v>
      </c>
      <c r="K2076">
        <v>7</v>
      </c>
      <c r="L2076">
        <v>3</v>
      </c>
      <c r="M2076" t="s">
        <v>25022</v>
      </c>
      <c r="N2076">
        <v>930</v>
      </c>
      <c r="O2076" t="s">
        <v>5821</v>
      </c>
      <c r="P2076" t="s">
        <v>57</v>
      </c>
      <c r="Q2076">
        <v>971374</v>
      </c>
      <c r="R2076">
        <v>972084</v>
      </c>
      <c r="S2076" t="s">
        <v>5822</v>
      </c>
      <c r="T2076">
        <v>237</v>
      </c>
      <c r="U2076" t="s">
        <v>108</v>
      </c>
      <c r="V2076">
        <v>44</v>
      </c>
      <c r="W2076" t="str">
        <f>HYPERLINK("Gene930-zp_tree_all.dnd", "Gene930-tree")</f>
        <v>Gene930-tree</v>
      </c>
      <c r="X2076">
        <v>4</v>
      </c>
      <c r="Y2076">
        <v>12</v>
      </c>
      <c r="Z2076">
        <v>4</v>
      </c>
      <c r="AA2076">
        <v>12</v>
      </c>
      <c r="AB2076">
        <v>0.75</v>
      </c>
      <c r="AC2076" t="s">
        <v>61</v>
      </c>
      <c r="AD2076" t="s">
        <v>109</v>
      </c>
      <c r="AE2076" t="s">
        <v>62</v>
      </c>
      <c r="AF2076" t="s">
        <v>62</v>
      </c>
      <c r="AG2076">
        <v>4</v>
      </c>
      <c r="AH2076">
        <v>10</v>
      </c>
      <c r="AI2076">
        <v>13</v>
      </c>
      <c r="AJ2076">
        <v>0.43478</v>
      </c>
      <c r="AK2076">
        <v>0</v>
      </c>
      <c r="AL2076">
        <v>0</v>
      </c>
      <c r="AM2076">
        <v>0</v>
      </c>
      <c r="AN2076">
        <v>2</v>
      </c>
      <c r="AO2076">
        <v>0</v>
      </c>
      <c r="AP2076">
        <v>6</v>
      </c>
      <c r="AQ2076">
        <v>1</v>
      </c>
      <c r="AR2076">
        <v>7</v>
      </c>
      <c r="AS2076">
        <v>13</v>
      </c>
      <c r="AT2076">
        <v>0.35</v>
      </c>
      <c r="AU2076">
        <v>12</v>
      </c>
      <c r="AV2076">
        <v>10</v>
      </c>
      <c r="AW2076">
        <v>24</v>
      </c>
      <c r="AX2076">
        <v>19</v>
      </c>
      <c r="AY2076">
        <v>15</v>
      </c>
      <c r="AZ2076">
        <v>5</v>
      </c>
      <c r="BA2076" t="s">
        <v>5823</v>
      </c>
      <c r="BB2076" t="s">
        <v>5824</v>
      </c>
      <c r="BC2076">
        <v>0.79100000000000004</v>
      </c>
      <c r="BD2076" t="s">
        <v>65</v>
      </c>
      <c r="BE2076">
        <v>39</v>
      </c>
      <c r="BF2076">
        <v>24</v>
      </c>
      <c r="BG2076" t="s">
        <v>5825</v>
      </c>
      <c r="BH2076" t="s">
        <v>5826</v>
      </c>
      <c r="BI2076" t="s">
        <v>5827</v>
      </c>
      <c r="BJ2076">
        <v>0.15654000000000001</v>
      </c>
      <c r="BK2076">
        <v>1</v>
      </c>
      <c r="BL2076" t="s">
        <v>69</v>
      </c>
      <c r="BM2076">
        <v>-0.53700000000000003</v>
      </c>
      <c r="BN2076">
        <v>-1.147</v>
      </c>
    </row>
    <row r="2077" spans="2:66">
      <c r="B2077">
        <v>3606</v>
      </c>
      <c r="C2077">
        <v>88</v>
      </c>
      <c r="D2077">
        <v>0</v>
      </c>
      <c r="E2077">
        <v>2</v>
      </c>
      <c r="F2077">
        <v>0</v>
      </c>
      <c r="J2077">
        <v>0</v>
      </c>
      <c r="K2077">
        <v>12</v>
      </c>
      <c r="L2077">
        <v>0</v>
      </c>
      <c r="M2077" t="s">
        <v>25022</v>
      </c>
      <c r="N2077">
        <v>931</v>
      </c>
      <c r="O2077" t="s">
        <v>5828</v>
      </c>
      <c r="P2077" t="s">
        <v>57</v>
      </c>
      <c r="Q2077">
        <v>972099</v>
      </c>
      <c r="R2077">
        <v>972803</v>
      </c>
      <c r="S2077" t="s">
        <v>5822</v>
      </c>
      <c r="T2077">
        <v>235</v>
      </c>
      <c r="U2077" t="s">
        <v>108</v>
      </c>
      <c r="V2077">
        <v>44</v>
      </c>
      <c r="W2077" t="str">
        <f>HYPERLINK("Gene931-zp_tree_all.dnd", "Gene931-tree")</f>
        <v>Gene931-tree</v>
      </c>
      <c r="X2077">
        <v>5</v>
      </c>
      <c r="Y2077">
        <v>9</v>
      </c>
      <c r="Z2077">
        <v>5</v>
      </c>
      <c r="AA2077">
        <v>9</v>
      </c>
      <c r="AB2077">
        <v>0.64285999999999999</v>
      </c>
      <c r="AC2077" t="s">
        <v>199</v>
      </c>
      <c r="AD2077" t="s">
        <v>135</v>
      </c>
      <c r="AE2077" t="s">
        <v>62</v>
      </c>
      <c r="AF2077" t="s">
        <v>62</v>
      </c>
      <c r="AG2077">
        <v>5</v>
      </c>
      <c r="AH2077">
        <v>12</v>
      </c>
      <c r="AI2077">
        <v>13</v>
      </c>
      <c r="AJ2077">
        <v>0.48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4</v>
      </c>
      <c r="AQ2077">
        <v>0</v>
      </c>
      <c r="AR2077">
        <v>4</v>
      </c>
      <c r="AS2077">
        <v>14</v>
      </c>
      <c r="AT2077">
        <v>0.22222</v>
      </c>
      <c r="AU2077">
        <v>11</v>
      </c>
      <c r="AV2077">
        <v>9</v>
      </c>
      <c r="AW2077">
        <v>33</v>
      </c>
      <c r="AX2077">
        <v>18</v>
      </c>
      <c r="AY2077">
        <v>10</v>
      </c>
      <c r="AZ2077">
        <v>7</v>
      </c>
      <c r="BA2077" t="s">
        <v>5829</v>
      </c>
      <c r="BB2077" t="s">
        <v>5830</v>
      </c>
      <c r="BC2077">
        <v>0.27200000000000002</v>
      </c>
      <c r="BD2077" t="s">
        <v>65</v>
      </c>
      <c r="BE2077">
        <v>43</v>
      </c>
      <c r="BF2077">
        <v>25</v>
      </c>
      <c r="BG2077" t="s">
        <v>5831</v>
      </c>
      <c r="BH2077" t="s">
        <v>5832</v>
      </c>
      <c r="BI2077" t="s">
        <v>5833</v>
      </c>
      <c r="BJ2077">
        <v>0.16625999999999999</v>
      </c>
      <c r="BK2077">
        <v>1</v>
      </c>
      <c r="BL2077" t="s">
        <v>69</v>
      </c>
      <c r="BM2077">
        <v>-0.93400000000000005</v>
      </c>
      <c r="BN2077">
        <v>-2.262</v>
      </c>
    </row>
    <row r="2078" spans="2:66">
      <c r="B2078">
        <v>3607</v>
      </c>
      <c r="C2078">
        <v>6</v>
      </c>
      <c r="D2078">
        <v>0</v>
      </c>
      <c r="E2078">
        <v>8</v>
      </c>
      <c r="F2078">
        <v>2</v>
      </c>
      <c r="J2078">
        <v>0</v>
      </c>
      <c r="K2078">
        <v>5</v>
      </c>
      <c r="L2078">
        <v>0</v>
      </c>
      <c r="M2078" t="s">
        <v>25022</v>
      </c>
      <c r="N2078">
        <v>932</v>
      </c>
      <c r="O2078" t="s">
        <v>5834</v>
      </c>
      <c r="P2078" t="s">
        <v>57</v>
      </c>
      <c r="Q2078">
        <v>973156</v>
      </c>
      <c r="R2078">
        <v>975048</v>
      </c>
      <c r="S2078" t="s">
        <v>5835</v>
      </c>
      <c r="T2078">
        <v>631</v>
      </c>
      <c r="U2078" t="s">
        <v>125</v>
      </c>
      <c r="V2078">
        <v>48</v>
      </c>
      <c r="W2078" t="str">
        <f>HYPERLINK("Gene932-zp_tree_all.dnd", "Gene932-tree")</f>
        <v>Gene932-tree</v>
      </c>
      <c r="X2078">
        <v>12</v>
      </c>
      <c r="Y2078">
        <v>4</v>
      </c>
      <c r="Z2078">
        <v>12</v>
      </c>
      <c r="AA2078">
        <v>4</v>
      </c>
      <c r="AB2078">
        <v>0.25</v>
      </c>
      <c r="AC2078" t="s">
        <v>109</v>
      </c>
      <c r="AD2078" t="s">
        <v>61</v>
      </c>
      <c r="AE2078" t="s">
        <v>62</v>
      </c>
      <c r="AF2078" t="s">
        <v>62</v>
      </c>
      <c r="AG2078">
        <v>2</v>
      </c>
      <c r="AH2078">
        <v>5</v>
      </c>
      <c r="AI2078">
        <v>4</v>
      </c>
      <c r="AJ2078">
        <v>0.55556000000000005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5</v>
      </c>
      <c r="AT2078">
        <v>0</v>
      </c>
      <c r="AU2078">
        <v>16</v>
      </c>
      <c r="AV2078">
        <v>12</v>
      </c>
      <c r="AW2078">
        <v>81</v>
      </c>
      <c r="AX2078">
        <v>5</v>
      </c>
      <c r="AY2078">
        <v>146</v>
      </c>
      <c r="AZ2078">
        <v>4</v>
      </c>
      <c r="BA2078" t="s">
        <v>5836</v>
      </c>
      <c r="BB2078" t="s">
        <v>5837</v>
      </c>
      <c r="BC2078">
        <v>0.55000000000000004</v>
      </c>
      <c r="BD2078" t="s">
        <v>65</v>
      </c>
      <c r="BE2078">
        <v>227</v>
      </c>
      <c r="BF2078">
        <v>9</v>
      </c>
      <c r="BG2078" t="s">
        <v>5838</v>
      </c>
      <c r="BH2078" t="s">
        <v>5839</v>
      </c>
      <c r="BI2078" t="s">
        <v>5840</v>
      </c>
      <c r="BJ2078">
        <v>6.62E-3</v>
      </c>
      <c r="BK2078">
        <v>1</v>
      </c>
      <c r="BL2078" t="s">
        <v>69</v>
      </c>
      <c r="BM2078">
        <v>-1.1180000000000001</v>
      </c>
      <c r="BN2078">
        <v>0.23899999999999999</v>
      </c>
    </row>
    <row r="2079" spans="2:66">
      <c r="B2079">
        <v>3608</v>
      </c>
      <c r="C2079">
        <v>386</v>
      </c>
      <c r="D2079">
        <v>0</v>
      </c>
      <c r="E2079">
        <v>12</v>
      </c>
      <c r="F2079">
        <v>0</v>
      </c>
      <c r="J2079">
        <v>0</v>
      </c>
      <c r="K2079">
        <v>0</v>
      </c>
      <c r="L2079">
        <v>0</v>
      </c>
      <c r="M2079" t="s">
        <v>25022</v>
      </c>
      <c r="N2079">
        <v>933</v>
      </c>
      <c r="O2079" t="s">
        <v>5841</v>
      </c>
      <c r="P2079" t="s">
        <v>57</v>
      </c>
      <c r="Q2079">
        <v>975231</v>
      </c>
      <c r="R2079">
        <v>976406</v>
      </c>
      <c r="S2079" t="s">
        <v>5842</v>
      </c>
      <c r="T2079">
        <v>392</v>
      </c>
      <c r="U2079" t="s">
        <v>465</v>
      </c>
      <c r="V2079">
        <v>46</v>
      </c>
      <c r="W2079" t="str">
        <f>HYPERLINK("Gene933-zp_tree_all.dnd", "Gene933-tree")</f>
        <v>Gene933-tree</v>
      </c>
      <c r="X2079">
        <v>14</v>
      </c>
      <c r="Y2079">
        <v>1</v>
      </c>
      <c r="Z2079">
        <v>14</v>
      </c>
      <c r="AA2079">
        <v>1</v>
      </c>
      <c r="AB2079">
        <v>6.6669999999999993E-2</v>
      </c>
      <c r="AC2079" t="s">
        <v>543</v>
      </c>
      <c r="AD2079" t="s">
        <v>175</v>
      </c>
      <c r="AE2079" t="s">
        <v>62</v>
      </c>
      <c r="AF2079" t="s">
        <v>62</v>
      </c>
      <c r="AG2079">
        <v>0</v>
      </c>
      <c r="AH2079">
        <v>0</v>
      </c>
      <c r="AI2079">
        <v>4</v>
      </c>
      <c r="AJ2079">
        <v>0</v>
      </c>
      <c r="AK2079">
        <v>0</v>
      </c>
      <c r="AL2079">
        <v>0</v>
      </c>
      <c r="AM2079">
        <v>0</v>
      </c>
      <c r="AN2079">
        <v>3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12</v>
      </c>
      <c r="AV2079">
        <v>7</v>
      </c>
      <c r="AW2079">
        <v>24</v>
      </c>
      <c r="AX2079">
        <v>1</v>
      </c>
      <c r="AY2079">
        <v>60</v>
      </c>
      <c r="AZ2079">
        <v>3</v>
      </c>
      <c r="BA2079" t="s">
        <v>5843</v>
      </c>
      <c r="BB2079" t="s">
        <v>5844</v>
      </c>
      <c r="BC2079">
        <v>1.6E-2</v>
      </c>
      <c r="BD2079" t="s">
        <v>65</v>
      </c>
      <c r="BE2079">
        <v>84</v>
      </c>
      <c r="BF2079">
        <v>4</v>
      </c>
      <c r="BG2079" t="s">
        <v>5845</v>
      </c>
      <c r="BH2079" t="s">
        <v>5846</v>
      </c>
      <c r="BI2079" t="s">
        <v>5847</v>
      </c>
      <c r="BJ2079">
        <v>1.123E-2</v>
      </c>
      <c r="BK2079">
        <v>1</v>
      </c>
      <c r="BL2079" t="s">
        <v>69</v>
      </c>
      <c r="BM2079">
        <v>-1.7450000000000001</v>
      </c>
      <c r="BN2079">
        <v>0.73299999999999998</v>
      </c>
    </row>
    <row r="2080" spans="2:66">
      <c r="B2080">
        <v>3609</v>
      </c>
      <c r="C2080">
        <v>99</v>
      </c>
      <c r="D2080">
        <v>0</v>
      </c>
      <c r="E2080">
        <v>23</v>
      </c>
      <c r="F2080">
        <v>3</v>
      </c>
      <c r="J2080">
        <v>0</v>
      </c>
      <c r="K2080">
        <v>0</v>
      </c>
      <c r="L2080">
        <v>0</v>
      </c>
      <c r="M2080" t="s">
        <v>25022</v>
      </c>
      <c r="N2080">
        <v>934</v>
      </c>
      <c r="O2080" t="s">
        <v>5848</v>
      </c>
      <c r="P2080" t="s">
        <v>57</v>
      </c>
      <c r="Q2080">
        <v>976569</v>
      </c>
      <c r="R2080">
        <v>977030</v>
      </c>
      <c r="S2080" t="s">
        <v>5849</v>
      </c>
      <c r="T2080">
        <v>154</v>
      </c>
      <c r="U2080" t="s">
        <v>289</v>
      </c>
      <c r="V2080">
        <v>46</v>
      </c>
      <c r="W2080" t="str">
        <f>HYPERLINK("Gene934-zp_tree_all.dnd", "Gene934-tree")</f>
        <v>Gene934-tree</v>
      </c>
      <c r="X2080">
        <v>6</v>
      </c>
      <c r="Y2080">
        <v>2</v>
      </c>
      <c r="Z2080">
        <v>6</v>
      </c>
      <c r="AA2080">
        <v>2</v>
      </c>
      <c r="AB2080">
        <v>0.25</v>
      </c>
      <c r="AC2080" t="s">
        <v>90</v>
      </c>
      <c r="AD2080" t="s">
        <v>81</v>
      </c>
      <c r="AE2080" t="s">
        <v>62</v>
      </c>
      <c r="AF2080" t="s">
        <v>62</v>
      </c>
      <c r="AG2080">
        <v>0</v>
      </c>
      <c r="AH2080">
        <v>0</v>
      </c>
      <c r="AI2080">
        <v>5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2</v>
      </c>
      <c r="AT2080">
        <v>0</v>
      </c>
      <c r="AU2080">
        <v>7</v>
      </c>
      <c r="AV2080">
        <v>2</v>
      </c>
      <c r="AW2080">
        <v>7</v>
      </c>
      <c r="AX2080">
        <v>2</v>
      </c>
      <c r="AY2080">
        <v>14</v>
      </c>
      <c r="AZ2080">
        <v>3</v>
      </c>
      <c r="BA2080" t="s">
        <v>5850</v>
      </c>
      <c r="BB2080" t="s">
        <v>5851</v>
      </c>
      <c r="BC2080">
        <v>0.221</v>
      </c>
      <c r="BD2080" t="s">
        <v>65</v>
      </c>
      <c r="BE2080">
        <v>21</v>
      </c>
      <c r="BF2080">
        <v>5</v>
      </c>
      <c r="BG2080" t="s">
        <v>5852</v>
      </c>
      <c r="BH2080" t="s">
        <v>5853</v>
      </c>
      <c r="BI2080" t="s">
        <v>5854</v>
      </c>
      <c r="BJ2080">
        <v>6.2149999999999997E-2</v>
      </c>
      <c r="BK2080">
        <v>1</v>
      </c>
      <c r="BL2080" t="s">
        <v>69</v>
      </c>
      <c r="BM2080">
        <v>-1.78</v>
      </c>
      <c r="BN2080">
        <v>-5.6000000000000001E-2</v>
      </c>
    </row>
    <row r="2081" spans="2:66">
      <c r="B2081">
        <v>3610</v>
      </c>
      <c r="C2081">
        <v>27</v>
      </c>
      <c r="D2081">
        <v>0</v>
      </c>
      <c r="E2081">
        <v>4</v>
      </c>
      <c r="F2081">
        <v>0</v>
      </c>
      <c r="J2081">
        <v>0</v>
      </c>
      <c r="K2081">
        <v>3</v>
      </c>
      <c r="L2081">
        <v>0</v>
      </c>
      <c r="M2081" t="s">
        <v>25022</v>
      </c>
      <c r="N2081">
        <v>935</v>
      </c>
      <c r="O2081" t="s">
        <v>5855</v>
      </c>
      <c r="P2081" t="s">
        <v>57</v>
      </c>
      <c r="Q2081">
        <v>977069</v>
      </c>
      <c r="R2081">
        <v>977731</v>
      </c>
      <c r="S2081" t="s">
        <v>5856</v>
      </c>
      <c r="T2081">
        <v>221</v>
      </c>
      <c r="U2081" t="s">
        <v>289</v>
      </c>
      <c r="V2081">
        <v>46</v>
      </c>
      <c r="W2081" t="str">
        <f>HYPERLINK("Gene935-zp_tree_all.dnd", "Gene935-tree")</f>
        <v>Gene935-tree</v>
      </c>
      <c r="X2081">
        <v>10</v>
      </c>
      <c r="Y2081">
        <v>2</v>
      </c>
      <c r="Z2081">
        <v>10</v>
      </c>
      <c r="AA2081">
        <v>2</v>
      </c>
      <c r="AB2081">
        <v>0.16667000000000001</v>
      </c>
      <c r="AC2081" t="s">
        <v>117</v>
      </c>
      <c r="AD2081" t="s">
        <v>81</v>
      </c>
      <c r="AE2081" t="s">
        <v>62</v>
      </c>
      <c r="AF2081" t="s">
        <v>62</v>
      </c>
      <c r="AG2081">
        <v>1</v>
      </c>
      <c r="AH2081">
        <v>3</v>
      </c>
      <c r="AI2081">
        <v>5</v>
      </c>
      <c r="AJ2081">
        <v>0.375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</v>
      </c>
      <c r="AT2081">
        <v>0</v>
      </c>
      <c r="AU2081">
        <v>10</v>
      </c>
      <c r="AV2081">
        <v>7</v>
      </c>
      <c r="AW2081">
        <v>17</v>
      </c>
      <c r="AX2081">
        <v>2</v>
      </c>
      <c r="AY2081">
        <v>25</v>
      </c>
      <c r="AZ2081">
        <v>6</v>
      </c>
      <c r="BA2081" t="s">
        <v>5857</v>
      </c>
      <c r="BB2081" t="s">
        <v>5858</v>
      </c>
      <c r="BC2081">
        <v>0.20899999999999999</v>
      </c>
      <c r="BD2081" t="s">
        <v>65</v>
      </c>
      <c r="BE2081">
        <v>42</v>
      </c>
      <c r="BF2081">
        <v>8</v>
      </c>
      <c r="BG2081" t="s">
        <v>5859</v>
      </c>
      <c r="BH2081" t="s">
        <v>5860</v>
      </c>
      <c r="BI2081" t="s">
        <v>5861</v>
      </c>
      <c r="BJ2081">
        <v>5.4620000000000002E-2</v>
      </c>
      <c r="BK2081">
        <v>1</v>
      </c>
      <c r="BL2081" t="s">
        <v>69</v>
      </c>
      <c r="BM2081">
        <v>-0.96199999999999997</v>
      </c>
      <c r="BN2081">
        <v>0.81799999999999995</v>
      </c>
    </row>
    <row r="2082" spans="2:66">
      <c r="B2082">
        <v>3613</v>
      </c>
      <c r="C2082">
        <v>102</v>
      </c>
      <c r="D2082">
        <v>0</v>
      </c>
      <c r="E2082">
        <v>6</v>
      </c>
      <c r="F2082">
        <v>3</v>
      </c>
      <c r="J2082">
        <v>0</v>
      </c>
      <c r="K2082">
        <v>6</v>
      </c>
      <c r="L2082">
        <v>0</v>
      </c>
      <c r="M2082" t="s">
        <v>25022</v>
      </c>
      <c r="N2082">
        <v>936</v>
      </c>
      <c r="O2082" t="s">
        <v>5862</v>
      </c>
      <c r="P2082" t="s">
        <v>57</v>
      </c>
      <c r="Q2082">
        <v>977775</v>
      </c>
      <c r="R2082">
        <v>979370</v>
      </c>
      <c r="S2082" t="s">
        <v>5863</v>
      </c>
      <c r="T2082">
        <v>532</v>
      </c>
      <c r="U2082" t="s">
        <v>108</v>
      </c>
      <c r="V2082">
        <v>44</v>
      </c>
      <c r="W2082" t="str">
        <f>HYPERLINK("Gene936-zp_tree_all.dnd", "Gene936-tree")</f>
        <v>Gene936-tree</v>
      </c>
      <c r="X2082">
        <v>11</v>
      </c>
      <c r="Y2082">
        <v>2</v>
      </c>
      <c r="Z2082">
        <v>11</v>
      </c>
      <c r="AA2082">
        <v>2</v>
      </c>
      <c r="AB2082">
        <v>0.15384999999999999</v>
      </c>
      <c r="AC2082" t="s">
        <v>73</v>
      </c>
      <c r="AD2082" t="s">
        <v>81</v>
      </c>
      <c r="AE2082" t="s">
        <v>62</v>
      </c>
      <c r="AF2082" t="s">
        <v>62</v>
      </c>
      <c r="AG2082">
        <v>3</v>
      </c>
      <c r="AH2082">
        <v>6</v>
      </c>
      <c r="AI2082">
        <v>5</v>
      </c>
      <c r="AJ2082">
        <v>0.54544999999999999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6</v>
      </c>
      <c r="AT2082">
        <v>0</v>
      </c>
      <c r="AU2082">
        <v>8</v>
      </c>
      <c r="AV2082">
        <v>9</v>
      </c>
      <c r="AW2082">
        <v>38</v>
      </c>
      <c r="AX2082">
        <v>6</v>
      </c>
      <c r="AY2082">
        <v>47</v>
      </c>
      <c r="AZ2082">
        <v>5</v>
      </c>
      <c r="BA2082" t="s">
        <v>5864</v>
      </c>
      <c r="BB2082" t="s">
        <v>5865</v>
      </c>
      <c r="BC2082">
        <v>0.11899999999999999</v>
      </c>
      <c r="BD2082" t="s">
        <v>65</v>
      </c>
      <c r="BE2082">
        <v>85</v>
      </c>
      <c r="BF2082">
        <v>11</v>
      </c>
      <c r="BG2082" t="s">
        <v>5866</v>
      </c>
      <c r="BH2082" t="s">
        <v>5867</v>
      </c>
      <c r="BI2082" t="s">
        <v>5868</v>
      </c>
      <c r="BJ2082">
        <v>3.5319999999999997E-2</v>
      </c>
      <c r="BK2082">
        <v>1</v>
      </c>
      <c r="BL2082" t="s">
        <v>69</v>
      </c>
      <c r="BM2082">
        <v>-1.2010000000000001</v>
      </c>
      <c r="BN2082">
        <v>-1.1040000000000001</v>
      </c>
    </row>
    <row r="2083" spans="2:66">
      <c r="B2083">
        <v>3614</v>
      </c>
      <c r="C2083">
        <v>114</v>
      </c>
      <c r="D2083">
        <v>0</v>
      </c>
      <c r="E2083">
        <v>8</v>
      </c>
      <c r="F2083">
        <v>0</v>
      </c>
      <c r="J2083">
        <v>0</v>
      </c>
      <c r="K2083">
        <v>0</v>
      </c>
      <c r="L2083">
        <v>0</v>
      </c>
      <c r="M2083" t="s">
        <v>25022</v>
      </c>
      <c r="N2083">
        <v>937</v>
      </c>
      <c r="O2083" t="s">
        <v>5869</v>
      </c>
      <c r="P2083" t="s">
        <v>57</v>
      </c>
      <c r="Q2083">
        <v>979396</v>
      </c>
      <c r="R2083">
        <v>979923</v>
      </c>
      <c r="S2083" t="s">
        <v>5870</v>
      </c>
      <c r="T2083">
        <v>176</v>
      </c>
      <c r="U2083" t="s">
        <v>108</v>
      </c>
      <c r="V2083">
        <v>44</v>
      </c>
      <c r="W2083" t="str">
        <f>HYPERLINK("Gene937-zp_tree_all.dnd", "Gene937-tree")</f>
        <v>Gene937-tree</v>
      </c>
      <c r="X2083">
        <v>30</v>
      </c>
      <c r="Y2083">
        <v>1</v>
      </c>
      <c r="Z2083">
        <v>9</v>
      </c>
      <c r="AA2083">
        <v>1</v>
      </c>
      <c r="AB2083">
        <v>0.1</v>
      </c>
      <c r="AC2083" t="s">
        <v>2142</v>
      </c>
      <c r="AD2083" t="s">
        <v>175</v>
      </c>
      <c r="AE2083" t="s">
        <v>62</v>
      </c>
      <c r="AF2083" t="s">
        <v>62</v>
      </c>
      <c r="AG2083">
        <v>0</v>
      </c>
      <c r="AH2083">
        <v>0</v>
      </c>
      <c r="AI2083">
        <v>2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6</v>
      </c>
      <c r="AV2083">
        <v>3</v>
      </c>
      <c r="AW2083">
        <v>16</v>
      </c>
      <c r="AX2083">
        <v>1</v>
      </c>
      <c r="AY2083">
        <v>2</v>
      </c>
      <c r="AZ2083">
        <v>1</v>
      </c>
      <c r="BA2083" t="s">
        <v>5871</v>
      </c>
      <c r="BB2083" t="s">
        <v>5872</v>
      </c>
      <c r="BC2083">
        <v>0.59499999999999997</v>
      </c>
      <c r="BD2083" t="s">
        <v>65</v>
      </c>
      <c r="BE2083">
        <v>18</v>
      </c>
      <c r="BF2083">
        <v>2</v>
      </c>
      <c r="BG2083" t="s">
        <v>5873</v>
      </c>
      <c r="BH2083" t="s">
        <v>5874</v>
      </c>
      <c r="BI2083" t="s">
        <v>5875</v>
      </c>
      <c r="BJ2083">
        <v>4.9730000000000003E-2</v>
      </c>
      <c r="BK2083">
        <v>1</v>
      </c>
      <c r="BL2083" t="s">
        <v>69</v>
      </c>
      <c r="BM2083">
        <v>-1.573</v>
      </c>
      <c r="BN2083">
        <v>-1.6140000000000001</v>
      </c>
    </row>
    <row r="2084" spans="2:66">
      <c r="B2084">
        <v>3615</v>
      </c>
      <c r="C2084">
        <v>44</v>
      </c>
      <c r="D2084">
        <v>0</v>
      </c>
      <c r="E2084">
        <v>6</v>
      </c>
      <c r="F2084">
        <v>2</v>
      </c>
      <c r="J2084">
        <v>0</v>
      </c>
      <c r="K2084">
        <v>2</v>
      </c>
      <c r="L2084">
        <v>2</v>
      </c>
      <c r="M2084" t="s">
        <v>25022</v>
      </c>
      <c r="N2084">
        <v>938</v>
      </c>
      <c r="O2084" t="s">
        <v>5876</v>
      </c>
      <c r="P2084" t="s">
        <v>57</v>
      </c>
      <c r="Q2084">
        <v>979939</v>
      </c>
      <c r="R2084">
        <v>980310</v>
      </c>
      <c r="S2084" t="s">
        <v>5877</v>
      </c>
      <c r="T2084">
        <v>124</v>
      </c>
      <c r="U2084" t="s">
        <v>698</v>
      </c>
      <c r="V2084">
        <v>47</v>
      </c>
      <c r="W2084" t="str">
        <f>HYPERLINK("Gene938-zp_tree_all.dnd", "Gene938-tree")</f>
        <v>Gene938-tree</v>
      </c>
      <c r="X2084">
        <v>3</v>
      </c>
      <c r="Y2084">
        <v>8</v>
      </c>
      <c r="Z2084">
        <v>3</v>
      </c>
      <c r="AA2084">
        <v>8</v>
      </c>
      <c r="AB2084">
        <v>0.72726999999999997</v>
      </c>
      <c r="AC2084" t="s">
        <v>324</v>
      </c>
      <c r="AD2084" t="s">
        <v>136</v>
      </c>
      <c r="AE2084" t="s">
        <v>62</v>
      </c>
      <c r="AF2084" t="s">
        <v>62</v>
      </c>
      <c r="AG2084">
        <v>2</v>
      </c>
      <c r="AH2084">
        <v>4</v>
      </c>
      <c r="AI2084">
        <v>11</v>
      </c>
      <c r="AJ2084">
        <v>0.26667000000000002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2</v>
      </c>
      <c r="AQ2084">
        <v>0</v>
      </c>
      <c r="AR2084">
        <v>2</v>
      </c>
      <c r="AS2084">
        <v>8</v>
      </c>
      <c r="AT2084">
        <v>0.2</v>
      </c>
      <c r="AU2084">
        <v>9</v>
      </c>
      <c r="AV2084">
        <v>4</v>
      </c>
      <c r="AW2084">
        <v>11</v>
      </c>
      <c r="AX2084">
        <v>10</v>
      </c>
      <c r="AY2084">
        <v>12</v>
      </c>
      <c r="AZ2084">
        <v>5</v>
      </c>
      <c r="BA2084" t="s">
        <v>5878</v>
      </c>
      <c r="BB2084" t="s">
        <v>5879</v>
      </c>
      <c r="BC2084">
        <v>0.755</v>
      </c>
      <c r="BD2084" t="s">
        <v>65</v>
      </c>
      <c r="BE2084">
        <v>23</v>
      </c>
      <c r="BF2084">
        <v>15</v>
      </c>
      <c r="BG2084" t="s">
        <v>5880</v>
      </c>
      <c r="BH2084" t="s">
        <v>5881</v>
      </c>
      <c r="BI2084" t="s">
        <v>5882</v>
      </c>
      <c r="BJ2084">
        <v>0.15409999999999999</v>
      </c>
      <c r="BK2084">
        <v>1</v>
      </c>
      <c r="BL2084" t="s">
        <v>69</v>
      </c>
      <c r="BM2084">
        <v>-2.0550000000000002</v>
      </c>
      <c r="BN2084">
        <v>-1.9510000000000001</v>
      </c>
    </row>
    <row r="2085" spans="2:66">
      <c r="B2085">
        <v>3616</v>
      </c>
      <c r="C2085">
        <v>158</v>
      </c>
      <c r="D2085">
        <v>0</v>
      </c>
      <c r="E2085">
        <v>7</v>
      </c>
      <c r="F2085">
        <v>0</v>
      </c>
      <c r="J2085">
        <v>0</v>
      </c>
      <c r="K2085">
        <v>0</v>
      </c>
      <c r="L2085">
        <v>0</v>
      </c>
      <c r="M2085" t="s">
        <v>25022</v>
      </c>
      <c r="N2085">
        <v>939</v>
      </c>
      <c r="O2085" t="s">
        <v>5883</v>
      </c>
      <c r="P2085" t="s">
        <v>57</v>
      </c>
      <c r="Q2085">
        <v>980313</v>
      </c>
      <c r="R2085">
        <v>980465</v>
      </c>
      <c r="S2085" t="s">
        <v>2302</v>
      </c>
      <c r="T2085">
        <v>51</v>
      </c>
      <c r="U2085" t="s">
        <v>1392</v>
      </c>
      <c r="V2085">
        <v>43</v>
      </c>
      <c r="W2085" t="str">
        <f>HYPERLINK("Gene939-zp_tree_all.dnd", "Gene939-tree")</f>
        <v>Gene939-tree</v>
      </c>
      <c r="X2085">
        <v>26</v>
      </c>
      <c r="Y2085">
        <v>3</v>
      </c>
      <c r="Z2085">
        <v>2</v>
      </c>
      <c r="AA2085">
        <v>3</v>
      </c>
      <c r="AB2085">
        <v>0.6</v>
      </c>
      <c r="AC2085" t="s">
        <v>5884</v>
      </c>
      <c r="AD2085" t="s">
        <v>324</v>
      </c>
      <c r="AE2085" t="s">
        <v>62</v>
      </c>
      <c r="AF2085" t="s">
        <v>62</v>
      </c>
      <c r="AG2085">
        <v>0</v>
      </c>
      <c r="AH2085">
        <v>0</v>
      </c>
      <c r="AI2085">
        <v>5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5</v>
      </c>
      <c r="AT2085">
        <v>0</v>
      </c>
      <c r="AU2085">
        <v>3</v>
      </c>
      <c r="AV2085">
        <v>1</v>
      </c>
      <c r="AW2085">
        <v>1</v>
      </c>
      <c r="AX2085">
        <v>5</v>
      </c>
      <c r="AY2085">
        <v>0</v>
      </c>
      <c r="AZ2085">
        <v>1</v>
      </c>
      <c r="BA2085" t="s">
        <v>5885</v>
      </c>
      <c r="BB2085" t="s">
        <v>193</v>
      </c>
      <c r="BC2085">
        <v>0.67600000000000005</v>
      </c>
      <c r="BD2085" t="s">
        <v>65</v>
      </c>
      <c r="BE2085">
        <v>1</v>
      </c>
      <c r="BF2085">
        <v>6</v>
      </c>
      <c r="BG2085" t="s">
        <v>5886</v>
      </c>
      <c r="BH2085" t="s">
        <v>5887</v>
      </c>
      <c r="BI2085" t="s">
        <v>5888</v>
      </c>
      <c r="BJ2085">
        <v>2.0253000000000001</v>
      </c>
      <c r="BK2085">
        <v>0.13500000000000001</v>
      </c>
      <c r="BL2085" t="s">
        <v>635</v>
      </c>
      <c r="BM2085">
        <v>-1.081</v>
      </c>
      <c r="BN2085">
        <v>-2.5259999999999998</v>
      </c>
    </row>
    <row r="2086" spans="2:66">
      <c r="B2086">
        <v>3618</v>
      </c>
      <c r="C2086">
        <v>9</v>
      </c>
      <c r="D2086">
        <v>2</v>
      </c>
      <c r="E2086">
        <v>6</v>
      </c>
      <c r="F2086">
        <v>0</v>
      </c>
      <c r="J2086">
        <v>0</v>
      </c>
      <c r="K2086">
        <v>6</v>
      </c>
      <c r="L2086">
        <v>0</v>
      </c>
      <c r="M2086" t="s">
        <v>25022</v>
      </c>
      <c r="N2086">
        <v>940</v>
      </c>
      <c r="O2086" t="s">
        <v>5889</v>
      </c>
      <c r="P2086" t="s">
        <v>57</v>
      </c>
      <c r="Q2086">
        <v>980473</v>
      </c>
      <c r="R2086">
        <v>981231</v>
      </c>
      <c r="S2086" t="s">
        <v>5890</v>
      </c>
      <c r="T2086">
        <v>253</v>
      </c>
      <c r="U2086" t="s">
        <v>465</v>
      </c>
      <c r="V2086">
        <v>46</v>
      </c>
      <c r="W2086" t="str">
        <f>HYPERLINK("Gene940-zp_tree_all.dnd", "Gene940-tree")</f>
        <v>Gene940-tree</v>
      </c>
      <c r="X2086">
        <v>5</v>
      </c>
      <c r="Y2086">
        <v>29</v>
      </c>
      <c r="Z2086">
        <v>5</v>
      </c>
      <c r="AA2086">
        <v>8</v>
      </c>
      <c r="AB2086">
        <v>0.61538000000000004</v>
      </c>
      <c r="AC2086" t="s">
        <v>199</v>
      </c>
      <c r="AD2086" t="s">
        <v>4745</v>
      </c>
      <c r="AE2086">
        <v>3.335</v>
      </c>
      <c r="AF2086" t="s">
        <v>65</v>
      </c>
      <c r="AG2086">
        <v>3</v>
      </c>
      <c r="AH2086">
        <v>6</v>
      </c>
      <c r="AI2086">
        <v>22</v>
      </c>
      <c r="AJ2086">
        <v>0.21429000000000001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15</v>
      </c>
      <c r="AT2086">
        <v>0</v>
      </c>
      <c r="AU2086">
        <v>13</v>
      </c>
      <c r="AV2086">
        <v>8</v>
      </c>
      <c r="AW2086">
        <v>19</v>
      </c>
      <c r="AX2086">
        <v>15</v>
      </c>
      <c r="AY2086">
        <v>25</v>
      </c>
      <c r="AZ2086">
        <v>13</v>
      </c>
      <c r="BA2086" t="s">
        <v>5891</v>
      </c>
      <c r="BB2086" t="s">
        <v>5892</v>
      </c>
      <c r="BC2086">
        <v>0.246</v>
      </c>
      <c r="BD2086" t="s">
        <v>65</v>
      </c>
      <c r="BE2086">
        <v>44</v>
      </c>
      <c r="BF2086">
        <v>28</v>
      </c>
      <c r="BG2086" t="s">
        <v>5893</v>
      </c>
      <c r="BH2086" t="s">
        <v>5894</v>
      </c>
      <c r="BI2086" t="s">
        <v>5895</v>
      </c>
      <c r="BJ2086">
        <v>0.17871000000000001</v>
      </c>
      <c r="BK2086">
        <v>1</v>
      </c>
      <c r="BL2086" t="s">
        <v>69</v>
      </c>
      <c r="BM2086">
        <v>-1.345</v>
      </c>
      <c r="BN2086">
        <v>-0.28499999999999998</v>
      </c>
    </row>
    <row r="2087" spans="2:66">
      <c r="B2087">
        <v>3619</v>
      </c>
      <c r="C2087">
        <v>91</v>
      </c>
      <c r="D2087">
        <v>0</v>
      </c>
      <c r="E2087">
        <v>2</v>
      </c>
      <c r="F2087">
        <v>0</v>
      </c>
      <c r="J2087">
        <v>0</v>
      </c>
      <c r="K2087">
        <v>0</v>
      </c>
      <c r="L2087">
        <v>0</v>
      </c>
      <c r="M2087" t="s">
        <v>25022</v>
      </c>
      <c r="N2087">
        <v>941</v>
      </c>
      <c r="O2087" t="s">
        <v>5896</v>
      </c>
      <c r="P2087" t="s">
        <v>57</v>
      </c>
      <c r="Q2087">
        <v>981237</v>
      </c>
      <c r="R2087">
        <v>981599</v>
      </c>
      <c r="S2087" t="s">
        <v>3784</v>
      </c>
      <c r="T2087">
        <v>121</v>
      </c>
      <c r="U2087" t="s">
        <v>5762</v>
      </c>
      <c r="V2087">
        <v>43</v>
      </c>
      <c r="W2087" t="str">
        <f>HYPERLINK("Gene941-zp_tree_all.dnd", "Gene941-tree")</f>
        <v>Gene941-tree</v>
      </c>
      <c r="X2087">
        <v>27</v>
      </c>
      <c r="Y2087">
        <v>3</v>
      </c>
      <c r="Z2087">
        <v>6</v>
      </c>
      <c r="AA2087">
        <v>3</v>
      </c>
      <c r="AB2087">
        <v>0.33333000000000002</v>
      </c>
      <c r="AC2087" t="s">
        <v>1055</v>
      </c>
      <c r="AD2087" t="s">
        <v>324</v>
      </c>
      <c r="AE2087" t="s">
        <v>62</v>
      </c>
      <c r="AF2087" t="s">
        <v>62</v>
      </c>
      <c r="AG2087">
        <v>0</v>
      </c>
      <c r="AH2087">
        <v>0</v>
      </c>
      <c r="AI2087">
        <v>4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3</v>
      </c>
      <c r="AT2087">
        <v>0</v>
      </c>
      <c r="AU2087">
        <v>7</v>
      </c>
      <c r="AV2087">
        <v>2</v>
      </c>
      <c r="AW2087">
        <v>9</v>
      </c>
      <c r="AX2087">
        <v>3</v>
      </c>
      <c r="AY2087">
        <v>1</v>
      </c>
      <c r="AZ2087">
        <v>1</v>
      </c>
      <c r="BA2087" t="s">
        <v>5897</v>
      </c>
      <c r="BB2087" t="s">
        <v>5898</v>
      </c>
      <c r="BC2087">
        <v>0.46700000000000003</v>
      </c>
      <c r="BD2087" t="s">
        <v>65</v>
      </c>
      <c r="BE2087">
        <v>10</v>
      </c>
      <c r="BF2087">
        <v>4</v>
      </c>
      <c r="BG2087" t="s">
        <v>5899</v>
      </c>
      <c r="BH2087" t="s">
        <v>5900</v>
      </c>
      <c r="BI2087" t="s">
        <v>5901</v>
      </c>
      <c r="BJ2087">
        <v>0.15160999999999999</v>
      </c>
      <c r="BK2087">
        <v>1</v>
      </c>
      <c r="BL2087" t="s">
        <v>69</v>
      </c>
      <c r="BM2087">
        <v>-0.11700000000000001</v>
      </c>
      <c r="BN2087">
        <v>-0.94299999999999995</v>
      </c>
    </row>
    <row r="2088" spans="2:66">
      <c r="B2088">
        <v>3620</v>
      </c>
      <c r="C2088">
        <v>248</v>
      </c>
      <c r="D2088">
        <v>0</v>
      </c>
      <c r="E2088">
        <v>7</v>
      </c>
      <c r="F2088">
        <v>1</v>
      </c>
      <c r="J2088">
        <v>0</v>
      </c>
      <c r="K2088">
        <v>0</v>
      </c>
      <c r="L2088">
        <v>0</v>
      </c>
      <c r="M2088" t="s">
        <v>25022</v>
      </c>
      <c r="N2088">
        <v>942</v>
      </c>
      <c r="O2088" t="s">
        <v>5902</v>
      </c>
      <c r="P2088" t="s">
        <v>57</v>
      </c>
      <c r="Q2088">
        <v>981604</v>
      </c>
      <c r="R2088">
        <v>982299</v>
      </c>
      <c r="S2088" t="s">
        <v>5903</v>
      </c>
      <c r="T2088">
        <v>232</v>
      </c>
      <c r="U2088" t="s">
        <v>5904</v>
      </c>
      <c r="V2088">
        <v>42</v>
      </c>
      <c r="W2088" t="str">
        <f>HYPERLINK("Gene942-zp_tree_all.dnd", "Gene942-tree")</f>
        <v>Gene942-tree</v>
      </c>
      <c r="X2088">
        <v>7</v>
      </c>
      <c r="Y2088">
        <v>4</v>
      </c>
      <c r="Z2088">
        <v>7</v>
      </c>
      <c r="AA2088">
        <v>4</v>
      </c>
      <c r="AB2088">
        <v>0.36364000000000002</v>
      </c>
      <c r="AC2088" t="s">
        <v>152</v>
      </c>
      <c r="AD2088" t="s">
        <v>61</v>
      </c>
      <c r="AE2088" t="s">
        <v>62</v>
      </c>
      <c r="AF2088" t="s">
        <v>62</v>
      </c>
      <c r="AG2088">
        <v>0</v>
      </c>
      <c r="AH2088">
        <v>0</v>
      </c>
      <c r="AI2088">
        <v>6</v>
      </c>
      <c r="AJ2088">
        <v>0</v>
      </c>
      <c r="AK2088">
        <v>0</v>
      </c>
      <c r="AL2088">
        <v>0</v>
      </c>
      <c r="AM2088">
        <v>0</v>
      </c>
      <c r="AN2088">
        <v>2</v>
      </c>
      <c r="AO2088">
        <v>0</v>
      </c>
      <c r="AP2088">
        <v>0</v>
      </c>
      <c r="AQ2088">
        <v>0</v>
      </c>
      <c r="AR2088">
        <v>0</v>
      </c>
      <c r="AS2088">
        <v>4</v>
      </c>
      <c r="AT2088">
        <v>0</v>
      </c>
      <c r="AU2088">
        <v>7</v>
      </c>
      <c r="AV2088">
        <v>4</v>
      </c>
      <c r="AW2088">
        <v>14</v>
      </c>
      <c r="AX2088">
        <v>4</v>
      </c>
      <c r="AY2088">
        <v>5</v>
      </c>
      <c r="AZ2088">
        <v>2</v>
      </c>
      <c r="BA2088" t="s">
        <v>5905</v>
      </c>
      <c r="BB2088" t="s">
        <v>5906</v>
      </c>
      <c r="BC2088">
        <v>0.17899999999999999</v>
      </c>
      <c r="BD2088" t="s">
        <v>65</v>
      </c>
      <c r="BE2088">
        <v>19</v>
      </c>
      <c r="BF2088">
        <v>6</v>
      </c>
      <c r="BG2088" t="s">
        <v>5907</v>
      </c>
      <c r="BH2088" t="s">
        <v>5908</v>
      </c>
      <c r="BI2088" t="s">
        <v>5909</v>
      </c>
      <c r="BJ2088">
        <v>9.6430000000000002E-2</v>
      </c>
      <c r="BK2088">
        <v>1</v>
      </c>
      <c r="BL2088" t="s">
        <v>69</v>
      </c>
      <c r="BM2088">
        <v>-0.67800000000000005</v>
      </c>
      <c r="BN2088">
        <v>-2.67</v>
      </c>
    </row>
    <row r="2089" spans="2:66">
      <c r="B2089">
        <v>3621</v>
      </c>
      <c r="C2089">
        <v>245</v>
      </c>
      <c r="D2089">
        <v>0</v>
      </c>
      <c r="E2089">
        <v>2</v>
      </c>
      <c r="F2089">
        <v>0</v>
      </c>
      <c r="J2089">
        <v>0</v>
      </c>
      <c r="K2089">
        <v>6</v>
      </c>
      <c r="L2089">
        <v>0</v>
      </c>
      <c r="M2089" t="s">
        <v>25022</v>
      </c>
      <c r="N2089">
        <v>943</v>
      </c>
      <c r="O2089" t="s">
        <v>5910</v>
      </c>
      <c r="P2089" t="s">
        <v>57</v>
      </c>
      <c r="Q2089">
        <v>982319</v>
      </c>
      <c r="R2089">
        <v>983233</v>
      </c>
      <c r="S2089" t="s">
        <v>5350</v>
      </c>
      <c r="T2089">
        <v>305</v>
      </c>
      <c r="U2089" t="s">
        <v>5228</v>
      </c>
      <c r="V2089">
        <v>43</v>
      </c>
      <c r="W2089" t="str">
        <f>HYPERLINK("Gene943-zp_tree_all.dnd", "Gene943-tree")</f>
        <v>Gene943-tree</v>
      </c>
      <c r="X2089">
        <v>4</v>
      </c>
      <c r="Y2089">
        <v>8</v>
      </c>
      <c r="Z2089">
        <v>4</v>
      </c>
      <c r="AA2089">
        <v>8</v>
      </c>
      <c r="AB2089">
        <v>0.66666999999999998</v>
      </c>
      <c r="AC2089" t="s">
        <v>61</v>
      </c>
      <c r="AD2089" t="s">
        <v>136</v>
      </c>
      <c r="AE2089" t="s">
        <v>62</v>
      </c>
      <c r="AF2089" t="s">
        <v>62</v>
      </c>
      <c r="AG2089">
        <v>2</v>
      </c>
      <c r="AH2089">
        <v>6</v>
      </c>
      <c r="AI2089">
        <v>9</v>
      </c>
      <c r="AJ2089">
        <v>0.4</v>
      </c>
      <c r="AK2089">
        <v>0</v>
      </c>
      <c r="AL2089">
        <v>0</v>
      </c>
      <c r="AM2089">
        <v>0</v>
      </c>
      <c r="AN2089">
        <v>2</v>
      </c>
      <c r="AO2089">
        <v>0</v>
      </c>
      <c r="AP2089">
        <v>5</v>
      </c>
      <c r="AQ2089">
        <v>0</v>
      </c>
      <c r="AR2089">
        <v>5</v>
      </c>
      <c r="AS2089">
        <v>7</v>
      </c>
      <c r="AT2089">
        <v>0.41666999999999998</v>
      </c>
      <c r="AU2089">
        <v>10</v>
      </c>
      <c r="AV2089">
        <v>7</v>
      </c>
      <c r="AW2089">
        <v>24</v>
      </c>
      <c r="AX2089">
        <v>12</v>
      </c>
      <c r="AY2089">
        <v>10</v>
      </c>
      <c r="AZ2089">
        <v>4</v>
      </c>
      <c r="BA2089" t="s">
        <v>5911</v>
      </c>
      <c r="BB2089" t="s">
        <v>5912</v>
      </c>
      <c r="BC2089">
        <v>0.19900000000000001</v>
      </c>
      <c r="BD2089" t="s">
        <v>65</v>
      </c>
      <c r="BE2089">
        <v>34</v>
      </c>
      <c r="BF2089">
        <v>16</v>
      </c>
      <c r="BG2089" t="s">
        <v>5913</v>
      </c>
      <c r="BH2089" t="s">
        <v>5914</v>
      </c>
      <c r="BI2089" t="s">
        <v>4958</v>
      </c>
      <c r="BJ2089">
        <v>0.15445999999999999</v>
      </c>
      <c r="BK2089">
        <v>1</v>
      </c>
      <c r="BL2089" t="s">
        <v>69</v>
      </c>
      <c r="BM2089">
        <v>-1.0209999999999999</v>
      </c>
      <c r="BN2089">
        <v>-1.845</v>
      </c>
    </row>
    <row r="2090" spans="2:66">
      <c r="B2090">
        <v>3622</v>
      </c>
      <c r="C2090">
        <v>4</v>
      </c>
      <c r="D2090">
        <v>0</v>
      </c>
      <c r="E2090">
        <v>6</v>
      </c>
      <c r="F2090">
        <v>0</v>
      </c>
      <c r="J2090">
        <v>0</v>
      </c>
      <c r="K2090">
        <v>3</v>
      </c>
      <c r="L2090">
        <v>0</v>
      </c>
      <c r="M2090" t="s">
        <v>25022</v>
      </c>
      <c r="N2090">
        <v>944</v>
      </c>
      <c r="O2090" t="s">
        <v>5915</v>
      </c>
      <c r="P2090" t="s">
        <v>57</v>
      </c>
      <c r="Q2090">
        <v>983229</v>
      </c>
      <c r="R2090">
        <v>984167</v>
      </c>
      <c r="S2090" t="s">
        <v>5916</v>
      </c>
      <c r="T2090">
        <v>313</v>
      </c>
      <c r="U2090" t="s">
        <v>5762</v>
      </c>
      <c r="V2090">
        <v>43</v>
      </c>
      <c r="W2090" t="str">
        <f>HYPERLINK("Gene944-zp_tree_all.dnd", "Gene944-tree")</f>
        <v>Gene944-tree</v>
      </c>
      <c r="X2090">
        <v>6</v>
      </c>
      <c r="Y2090">
        <v>6</v>
      </c>
      <c r="Z2090">
        <v>6</v>
      </c>
      <c r="AA2090">
        <v>6</v>
      </c>
      <c r="AB2090">
        <v>0.5</v>
      </c>
      <c r="AC2090" t="s">
        <v>90</v>
      </c>
      <c r="AD2090" t="s">
        <v>90</v>
      </c>
      <c r="AE2090" t="s">
        <v>62</v>
      </c>
      <c r="AF2090" t="s">
        <v>62</v>
      </c>
      <c r="AG2090">
        <v>1</v>
      </c>
      <c r="AH2090">
        <v>3</v>
      </c>
      <c r="AI2090">
        <v>16</v>
      </c>
      <c r="AJ2090">
        <v>0.15789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3</v>
      </c>
      <c r="AQ2090">
        <v>0</v>
      </c>
      <c r="AR2090">
        <v>3</v>
      </c>
      <c r="AS2090">
        <v>14</v>
      </c>
      <c r="AT2090">
        <v>0.17646999999999999</v>
      </c>
      <c r="AU2090">
        <v>12</v>
      </c>
      <c r="AV2090">
        <v>7</v>
      </c>
      <c r="AW2090">
        <v>52</v>
      </c>
      <c r="AX2090">
        <v>18</v>
      </c>
      <c r="AY2090">
        <v>7</v>
      </c>
      <c r="AZ2090">
        <v>2</v>
      </c>
      <c r="BA2090" t="s">
        <v>5917</v>
      </c>
      <c r="BB2090" t="s">
        <v>5918</v>
      </c>
      <c r="BC2090">
        <v>9.0999999999999998E-2</v>
      </c>
      <c r="BD2090" t="s">
        <v>65</v>
      </c>
      <c r="BE2090">
        <v>59</v>
      </c>
      <c r="BF2090">
        <v>20</v>
      </c>
      <c r="BG2090" t="s">
        <v>5919</v>
      </c>
      <c r="BH2090" t="s">
        <v>5920</v>
      </c>
      <c r="BI2090" t="s">
        <v>5921</v>
      </c>
      <c r="BJ2090">
        <v>0.10471999999999999</v>
      </c>
      <c r="BK2090">
        <v>1</v>
      </c>
      <c r="BL2090" t="s">
        <v>69</v>
      </c>
      <c r="BM2090">
        <v>-1.758</v>
      </c>
      <c r="BN2090">
        <v>-3.5329999999999999</v>
      </c>
    </row>
    <row r="2091" spans="2:66">
      <c r="B2091">
        <v>3623</v>
      </c>
      <c r="C2091">
        <v>79</v>
      </c>
      <c r="D2091">
        <v>0</v>
      </c>
      <c r="E2091">
        <v>6</v>
      </c>
      <c r="F2091">
        <v>0</v>
      </c>
      <c r="J2091">
        <v>0</v>
      </c>
      <c r="K2091">
        <v>0</v>
      </c>
      <c r="L2091">
        <v>4</v>
      </c>
      <c r="M2091" t="s">
        <v>25022</v>
      </c>
      <c r="N2091">
        <v>946</v>
      </c>
      <c r="O2091" t="s">
        <v>5929</v>
      </c>
      <c r="P2091" t="s">
        <v>57</v>
      </c>
      <c r="Q2091">
        <v>984901</v>
      </c>
      <c r="R2091">
        <v>985728</v>
      </c>
      <c r="S2091" t="s">
        <v>5930</v>
      </c>
      <c r="T2091">
        <v>276</v>
      </c>
      <c r="U2091" t="s">
        <v>5762</v>
      </c>
      <c r="V2091">
        <v>43</v>
      </c>
      <c r="W2091" t="str">
        <f>HYPERLINK("Gene946-zp_tree_all.dnd", "Gene946-tree")</f>
        <v>Gene946-tree</v>
      </c>
      <c r="X2091">
        <v>4</v>
      </c>
      <c r="Y2091">
        <v>5</v>
      </c>
      <c r="Z2091">
        <v>4</v>
      </c>
      <c r="AA2091">
        <v>5</v>
      </c>
      <c r="AB2091">
        <v>0.55556000000000005</v>
      </c>
      <c r="AC2091" t="s">
        <v>61</v>
      </c>
      <c r="AD2091" t="s">
        <v>199</v>
      </c>
      <c r="AE2091" t="s">
        <v>62</v>
      </c>
      <c r="AF2091" t="s">
        <v>62</v>
      </c>
      <c r="AG2091">
        <v>2</v>
      </c>
      <c r="AH2091">
        <v>4</v>
      </c>
      <c r="AI2091">
        <v>15</v>
      </c>
      <c r="AJ2091">
        <v>0.21052999999999999</v>
      </c>
      <c r="AK2091">
        <v>0</v>
      </c>
      <c r="AL2091">
        <v>0</v>
      </c>
      <c r="AM2091">
        <v>0</v>
      </c>
      <c r="AN2091">
        <v>2</v>
      </c>
      <c r="AO2091">
        <v>0</v>
      </c>
      <c r="AP2091">
        <v>0</v>
      </c>
      <c r="AQ2091">
        <v>0</v>
      </c>
      <c r="AR2091">
        <v>0</v>
      </c>
      <c r="AS2091">
        <v>12</v>
      </c>
      <c r="AT2091">
        <v>0</v>
      </c>
      <c r="AU2091">
        <v>8</v>
      </c>
      <c r="AV2091">
        <v>5</v>
      </c>
      <c r="AW2091">
        <v>23</v>
      </c>
      <c r="AX2091">
        <v>12</v>
      </c>
      <c r="AY2091">
        <v>9</v>
      </c>
      <c r="AZ2091">
        <v>7</v>
      </c>
      <c r="BA2091" t="s">
        <v>5931</v>
      </c>
      <c r="BB2091" t="s">
        <v>5932</v>
      </c>
      <c r="BC2091">
        <v>0.60399999999999998</v>
      </c>
      <c r="BD2091" t="s">
        <v>65</v>
      </c>
      <c r="BE2091">
        <v>32</v>
      </c>
      <c r="BF2091">
        <v>19</v>
      </c>
      <c r="BG2091" t="s">
        <v>5933</v>
      </c>
      <c r="BH2091" t="s">
        <v>5934</v>
      </c>
      <c r="BI2091" t="s">
        <v>5935</v>
      </c>
      <c r="BJ2091">
        <v>0.18295</v>
      </c>
      <c r="BK2091">
        <v>1</v>
      </c>
      <c r="BL2091" t="s">
        <v>69</v>
      </c>
      <c r="BM2091">
        <v>-1.0269999999999999</v>
      </c>
      <c r="BN2091">
        <v>-1.73</v>
      </c>
    </row>
    <row r="2092" spans="2:66">
      <c r="B2092">
        <v>3624</v>
      </c>
      <c r="C2092">
        <v>158</v>
      </c>
      <c r="D2092">
        <v>0</v>
      </c>
      <c r="E2092">
        <v>5</v>
      </c>
      <c r="F2092">
        <v>0</v>
      </c>
      <c r="J2092">
        <v>0</v>
      </c>
      <c r="K2092">
        <v>2</v>
      </c>
      <c r="L2092">
        <v>0</v>
      </c>
      <c r="M2092" t="s">
        <v>25022</v>
      </c>
      <c r="N2092">
        <v>948</v>
      </c>
      <c r="O2092" t="s">
        <v>5943</v>
      </c>
      <c r="P2092" t="s">
        <v>57</v>
      </c>
      <c r="Q2092">
        <v>986986</v>
      </c>
      <c r="R2092">
        <v>988374</v>
      </c>
      <c r="S2092" t="s">
        <v>5944</v>
      </c>
      <c r="T2092">
        <v>463</v>
      </c>
      <c r="U2092" t="s">
        <v>108</v>
      </c>
      <c r="V2092">
        <v>44</v>
      </c>
      <c r="W2092" t="str">
        <f>HYPERLINK("Gene948-zp_tree_all.dnd", "Gene948-tree")</f>
        <v>Gene948-tree</v>
      </c>
      <c r="X2092">
        <v>10</v>
      </c>
      <c r="Y2092">
        <v>4</v>
      </c>
      <c r="Z2092">
        <v>10</v>
      </c>
      <c r="AA2092">
        <v>4</v>
      </c>
      <c r="AB2092">
        <v>0.28571000000000002</v>
      </c>
      <c r="AC2092" t="s">
        <v>117</v>
      </c>
      <c r="AD2092" t="s">
        <v>61</v>
      </c>
      <c r="AE2092" t="s">
        <v>62</v>
      </c>
      <c r="AF2092" t="s">
        <v>62</v>
      </c>
      <c r="AG2092">
        <v>1</v>
      </c>
      <c r="AH2092">
        <v>2</v>
      </c>
      <c r="AI2092">
        <v>3</v>
      </c>
      <c r="AJ2092">
        <v>0.4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2</v>
      </c>
      <c r="AQ2092">
        <v>0</v>
      </c>
      <c r="AR2092">
        <v>2</v>
      </c>
      <c r="AS2092">
        <v>3</v>
      </c>
      <c r="AT2092">
        <v>0.4</v>
      </c>
      <c r="AU2092">
        <v>13</v>
      </c>
      <c r="AV2092">
        <v>10</v>
      </c>
      <c r="AW2092">
        <v>57</v>
      </c>
      <c r="AX2092">
        <v>5</v>
      </c>
      <c r="AY2092">
        <v>26</v>
      </c>
      <c r="AZ2092">
        <v>0</v>
      </c>
      <c r="BA2092" t="s">
        <v>5945</v>
      </c>
      <c r="BB2092" t="s">
        <v>193</v>
      </c>
      <c r="BC2092">
        <v>1.056</v>
      </c>
      <c r="BD2092" t="s">
        <v>65</v>
      </c>
      <c r="BE2092">
        <v>83</v>
      </c>
      <c r="BF2092">
        <v>5</v>
      </c>
      <c r="BG2092" t="s">
        <v>5946</v>
      </c>
      <c r="BH2092" t="s">
        <v>5947</v>
      </c>
      <c r="BI2092" t="s">
        <v>5948</v>
      </c>
      <c r="BJ2092">
        <v>1.5740000000000001E-2</v>
      </c>
      <c r="BK2092">
        <v>1</v>
      </c>
      <c r="BL2092" t="s">
        <v>69</v>
      </c>
      <c r="BM2092">
        <v>-0.67800000000000005</v>
      </c>
      <c r="BN2092">
        <v>-0.75900000000000001</v>
      </c>
    </row>
    <row r="2093" spans="2:66">
      <c r="B2093">
        <v>3625</v>
      </c>
      <c r="C2093">
        <v>51</v>
      </c>
      <c r="D2093">
        <v>0</v>
      </c>
      <c r="E2093">
        <v>12</v>
      </c>
      <c r="F2093">
        <v>1</v>
      </c>
      <c r="J2093">
        <v>0</v>
      </c>
      <c r="K2093">
        <v>4</v>
      </c>
      <c r="L2093">
        <v>0</v>
      </c>
      <c r="M2093" t="s">
        <v>25022</v>
      </c>
      <c r="N2093">
        <v>950</v>
      </c>
      <c r="O2093" t="s">
        <v>5956</v>
      </c>
      <c r="P2093" t="s">
        <v>57</v>
      </c>
      <c r="Q2093">
        <v>989022</v>
      </c>
      <c r="R2093">
        <v>989588</v>
      </c>
      <c r="S2093" t="s">
        <v>5957</v>
      </c>
      <c r="T2093">
        <v>189</v>
      </c>
      <c r="U2093" t="s">
        <v>5958</v>
      </c>
      <c r="V2093">
        <v>35</v>
      </c>
      <c r="W2093" t="str">
        <f>HYPERLINK("Gene950-zp_tree_all.dnd", "Gene950-tree")</f>
        <v>Gene950-tree</v>
      </c>
      <c r="X2093">
        <v>6</v>
      </c>
      <c r="Y2093">
        <v>4</v>
      </c>
      <c r="Z2093">
        <v>6</v>
      </c>
      <c r="AA2093">
        <v>4</v>
      </c>
      <c r="AB2093">
        <v>0.4</v>
      </c>
      <c r="AC2093" t="s">
        <v>90</v>
      </c>
      <c r="AD2093" t="s">
        <v>61</v>
      </c>
      <c r="AE2093" t="s">
        <v>62</v>
      </c>
      <c r="AF2093" t="s">
        <v>62</v>
      </c>
      <c r="AG2093">
        <v>1</v>
      </c>
      <c r="AH2093">
        <v>4</v>
      </c>
      <c r="AI2093">
        <v>4</v>
      </c>
      <c r="AJ2093">
        <v>0.5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3</v>
      </c>
      <c r="AQ2093">
        <v>0</v>
      </c>
      <c r="AR2093">
        <v>3</v>
      </c>
      <c r="AS2093">
        <v>3</v>
      </c>
      <c r="AT2093">
        <v>0.5</v>
      </c>
      <c r="AU2093">
        <v>7</v>
      </c>
      <c r="AV2093">
        <v>6</v>
      </c>
      <c r="AW2093">
        <v>6</v>
      </c>
      <c r="AX2093">
        <v>6</v>
      </c>
      <c r="AY2093">
        <v>8</v>
      </c>
      <c r="AZ2093">
        <v>2</v>
      </c>
      <c r="BA2093" t="s">
        <v>5959</v>
      </c>
      <c r="BB2093" t="s">
        <v>5960</v>
      </c>
      <c r="BC2093">
        <v>0.83899999999999997</v>
      </c>
      <c r="BD2093" t="s">
        <v>65</v>
      </c>
      <c r="BE2093">
        <v>14</v>
      </c>
      <c r="BF2093">
        <v>8</v>
      </c>
      <c r="BG2093" t="s">
        <v>5961</v>
      </c>
      <c r="BH2093" t="s">
        <v>5962</v>
      </c>
      <c r="BI2093" t="s">
        <v>5963</v>
      </c>
      <c r="BJ2093">
        <v>0.10854999999999999</v>
      </c>
      <c r="BK2093">
        <v>1</v>
      </c>
      <c r="BL2093" t="s">
        <v>69</v>
      </c>
      <c r="BM2093">
        <v>-0.64700000000000002</v>
      </c>
      <c r="BN2093">
        <v>-1.032</v>
      </c>
    </row>
    <row r="2094" spans="2:66">
      <c r="B2094">
        <v>3626</v>
      </c>
      <c r="C2094">
        <v>115</v>
      </c>
      <c r="D2094">
        <v>0</v>
      </c>
      <c r="E2094">
        <v>2</v>
      </c>
      <c r="F2094">
        <v>0</v>
      </c>
      <c r="J2094">
        <v>0</v>
      </c>
      <c r="K2094">
        <v>7</v>
      </c>
      <c r="L2094">
        <v>4</v>
      </c>
      <c r="M2094" t="s">
        <v>25022</v>
      </c>
      <c r="N2094">
        <v>951</v>
      </c>
      <c r="O2094" t="s">
        <v>5964</v>
      </c>
      <c r="P2094" t="s">
        <v>57</v>
      </c>
      <c r="Q2094">
        <v>989712</v>
      </c>
      <c r="R2094">
        <v>990677</v>
      </c>
      <c r="S2094" t="s">
        <v>5965</v>
      </c>
      <c r="T2094">
        <v>322</v>
      </c>
      <c r="U2094" t="s">
        <v>5966</v>
      </c>
      <c r="V2094">
        <v>36</v>
      </c>
      <c r="W2094" t="str">
        <f>HYPERLINK("Gene951-zp_tree_all.dnd", "Gene951-tree")</f>
        <v>Gene951-tree</v>
      </c>
      <c r="X2094">
        <v>7</v>
      </c>
      <c r="Y2094">
        <v>6</v>
      </c>
      <c r="Z2094">
        <v>7</v>
      </c>
      <c r="AA2094">
        <v>6</v>
      </c>
      <c r="AB2094">
        <v>0.46154000000000001</v>
      </c>
      <c r="AC2094" t="s">
        <v>152</v>
      </c>
      <c r="AD2094" t="s">
        <v>90</v>
      </c>
      <c r="AE2094" t="s">
        <v>62</v>
      </c>
      <c r="AF2094" t="s">
        <v>62</v>
      </c>
      <c r="AG2094">
        <v>5</v>
      </c>
      <c r="AH2094">
        <v>11</v>
      </c>
      <c r="AI2094">
        <v>28</v>
      </c>
      <c r="AJ2094">
        <v>0.28205000000000002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7</v>
      </c>
      <c r="AQ2094">
        <v>4</v>
      </c>
      <c r="AR2094">
        <v>11</v>
      </c>
      <c r="AS2094">
        <v>26</v>
      </c>
      <c r="AT2094">
        <v>0.29730000000000001</v>
      </c>
      <c r="AU2094">
        <v>9</v>
      </c>
      <c r="AV2094">
        <v>8</v>
      </c>
      <c r="AW2094">
        <v>38</v>
      </c>
      <c r="AX2094">
        <v>36</v>
      </c>
      <c r="AY2094">
        <v>17</v>
      </c>
      <c r="AZ2094">
        <v>4</v>
      </c>
      <c r="BA2094" t="s">
        <v>5967</v>
      </c>
      <c r="BB2094" t="s">
        <v>5968</v>
      </c>
      <c r="BC2094">
        <v>0.38100000000000001</v>
      </c>
      <c r="BD2094" t="s">
        <v>65</v>
      </c>
      <c r="BE2094">
        <v>55</v>
      </c>
      <c r="BF2094">
        <v>40</v>
      </c>
      <c r="BG2094" t="s">
        <v>5969</v>
      </c>
      <c r="BH2094" t="s">
        <v>5970</v>
      </c>
      <c r="BI2094" t="s">
        <v>5971</v>
      </c>
      <c r="BJ2094">
        <v>0.16458999999999999</v>
      </c>
      <c r="BK2094">
        <v>1</v>
      </c>
      <c r="BL2094" t="s">
        <v>69</v>
      </c>
      <c r="BM2094">
        <v>-2.1829999999999998</v>
      </c>
      <c r="BN2094">
        <v>-3.6579999999999999</v>
      </c>
    </row>
    <row r="2095" spans="2:66">
      <c r="B2095">
        <v>3627</v>
      </c>
      <c r="C2095">
        <v>309</v>
      </c>
      <c r="D2095">
        <v>0</v>
      </c>
      <c r="E2095">
        <v>2</v>
      </c>
      <c r="F2095">
        <v>0</v>
      </c>
      <c r="J2095">
        <v>0</v>
      </c>
      <c r="K2095">
        <v>20</v>
      </c>
      <c r="L2095">
        <v>4</v>
      </c>
      <c r="M2095" t="s">
        <v>25022</v>
      </c>
      <c r="N2095">
        <v>953</v>
      </c>
      <c r="O2095" t="s">
        <v>5977</v>
      </c>
      <c r="P2095" t="s">
        <v>57</v>
      </c>
      <c r="Q2095">
        <v>991348</v>
      </c>
      <c r="R2095">
        <v>994998</v>
      </c>
      <c r="S2095" t="s">
        <v>5978</v>
      </c>
      <c r="T2095">
        <v>1217</v>
      </c>
      <c r="U2095" t="s">
        <v>5979</v>
      </c>
      <c r="V2095">
        <v>34</v>
      </c>
      <c r="W2095" t="str">
        <f>HYPERLINK("Gene953-zp_tree_all.dnd", "Gene953-tree")</f>
        <v>Gene953-tree</v>
      </c>
      <c r="X2095">
        <v>1</v>
      </c>
      <c r="Y2095">
        <v>9</v>
      </c>
      <c r="Z2095">
        <v>1</v>
      </c>
      <c r="AA2095">
        <v>9</v>
      </c>
      <c r="AB2095">
        <v>0.9</v>
      </c>
      <c r="AC2095" t="s">
        <v>175</v>
      </c>
      <c r="AD2095" t="s">
        <v>135</v>
      </c>
      <c r="AE2095" t="s">
        <v>62</v>
      </c>
      <c r="AF2095" t="s">
        <v>62</v>
      </c>
      <c r="AG2095">
        <v>11</v>
      </c>
      <c r="AH2095">
        <v>24</v>
      </c>
      <c r="AI2095">
        <v>47</v>
      </c>
      <c r="AJ2095">
        <v>0.33803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4</v>
      </c>
      <c r="AQ2095">
        <v>2</v>
      </c>
      <c r="AR2095">
        <v>6</v>
      </c>
      <c r="AS2095">
        <v>40</v>
      </c>
      <c r="AT2095">
        <v>0.13042999999999999</v>
      </c>
      <c r="AU2095">
        <v>9</v>
      </c>
      <c r="AV2095">
        <v>6</v>
      </c>
      <c r="AW2095">
        <v>59</v>
      </c>
      <c r="AX2095">
        <v>47</v>
      </c>
      <c r="AY2095">
        <v>47</v>
      </c>
      <c r="AZ2095">
        <v>26</v>
      </c>
      <c r="BA2095" t="s">
        <v>5980</v>
      </c>
      <c r="BB2095" t="s">
        <v>5981</v>
      </c>
      <c r="BC2095">
        <v>0.308</v>
      </c>
      <c r="BD2095" t="s">
        <v>65</v>
      </c>
      <c r="BE2095">
        <v>106</v>
      </c>
      <c r="BF2095">
        <v>73</v>
      </c>
      <c r="BG2095" t="s">
        <v>5982</v>
      </c>
      <c r="BH2095" t="s">
        <v>5983</v>
      </c>
      <c r="BI2095" t="s">
        <v>5984</v>
      </c>
      <c r="BJ2095">
        <v>0.18242</v>
      </c>
      <c r="BK2095">
        <v>1</v>
      </c>
      <c r="BL2095" t="s">
        <v>69</v>
      </c>
      <c r="BM2095">
        <v>-0.60299999999999998</v>
      </c>
      <c r="BN2095">
        <v>-1.006</v>
      </c>
    </row>
    <row r="2096" spans="2:66">
      <c r="B2096">
        <v>3628</v>
      </c>
      <c r="C2096">
        <v>52</v>
      </c>
      <c r="D2096">
        <v>3</v>
      </c>
      <c r="E2096">
        <v>7</v>
      </c>
      <c r="F2096">
        <v>2</v>
      </c>
      <c r="J2096">
        <v>0</v>
      </c>
      <c r="K2096">
        <v>13</v>
      </c>
      <c r="L2096">
        <v>3</v>
      </c>
      <c r="M2096" t="s">
        <v>25022</v>
      </c>
      <c r="N2096">
        <v>954</v>
      </c>
      <c r="O2096" t="s">
        <v>5985</v>
      </c>
      <c r="P2096" t="s">
        <v>57</v>
      </c>
      <c r="Q2096">
        <v>994998</v>
      </c>
      <c r="R2096">
        <v>995591</v>
      </c>
      <c r="S2096" t="s">
        <v>5986</v>
      </c>
      <c r="T2096">
        <v>198</v>
      </c>
      <c r="U2096" t="s">
        <v>108</v>
      </c>
      <c r="V2096">
        <v>44</v>
      </c>
      <c r="W2096" t="str">
        <f>HYPERLINK("Gene954-zp_tree_all.dnd", "Gene954-tree")</f>
        <v>Gene954-tree</v>
      </c>
      <c r="X2096">
        <v>5</v>
      </c>
      <c r="Y2096">
        <v>9</v>
      </c>
      <c r="Z2096">
        <v>5</v>
      </c>
      <c r="AA2096">
        <v>9</v>
      </c>
      <c r="AB2096">
        <v>0.64285999999999999</v>
      </c>
      <c r="AC2096" t="s">
        <v>199</v>
      </c>
      <c r="AD2096" t="s">
        <v>135</v>
      </c>
      <c r="AE2096" t="s">
        <v>62</v>
      </c>
      <c r="AF2096" t="s">
        <v>62</v>
      </c>
      <c r="AG2096">
        <v>7</v>
      </c>
      <c r="AH2096">
        <v>16</v>
      </c>
      <c r="AI2096">
        <v>10</v>
      </c>
      <c r="AJ2096">
        <v>0.61538000000000004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2</v>
      </c>
      <c r="AQ2096">
        <v>2</v>
      </c>
      <c r="AR2096">
        <v>4</v>
      </c>
      <c r="AS2096">
        <v>14</v>
      </c>
      <c r="AT2096">
        <v>0.22222</v>
      </c>
      <c r="AU2096">
        <v>11</v>
      </c>
      <c r="AV2096">
        <v>11</v>
      </c>
      <c r="AW2096">
        <v>25</v>
      </c>
      <c r="AX2096">
        <v>17</v>
      </c>
      <c r="AY2096">
        <v>13</v>
      </c>
      <c r="AZ2096">
        <v>9</v>
      </c>
      <c r="BA2096" t="s">
        <v>5987</v>
      </c>
      <c r="BB2096" t="s">
        <v>5988</v>
      </c>
      <c r="BC2096">
        <v>3.7999999999999999E-2</v>
      </c>
      <c r="BD2096" t="s">
        <v>65</v>
      </c>
      <c r="BE2096">
        <v>38</v>
      </c>
      <c r="BF2096">
        <v>26</v>
      </c>
      <c r="BG2096" t="s">
        <v>5989</v>
      </c>
      <c r="BH2096" t="s">
        <v>5990</v>
      </c>
      <c r="BI2096" t="s">
        <v>5991</v>
      </c>
      <c r="BJ2096">
        <v>0.19983000000000001</v>
      </c>
      <c r="BK2096">
        <v>1</v>
      </c>
      <c r="BL2096" t="s">
        <v>69</v>
      </c>
      <c r="BM2096">
        <v>-0.21</v>
      </c>
      <c r="BN2096">
        <v>-0.56399999999999995</v>
      </c>
    </row>
    <row r="2097" spans="2:66">
      <c r="B2097">
        <v>3629</v>
      </c>
      <c r="C2097">
        <v>151</v>
      </c>
      <c r="D2097">
        <v>0</v>
      </c>
      <c r="E2097">
        <v>11</v>
      </c>
      <c r="F2097">
        <v>0</v>
      </c>
      <c r="J2097">
        <v>0</v>
      </c>
      <c r="K2097">
        <v>7</v>
      </c>
      <c r="L2097">
        <v>5</v>
      </c>
      <c r="M2097" t="s">
        <v>25022</v>
      </c>
      <c r="N2097">
        <v>956</v>
      </c>
      <c r="O2097" t="s">
        <v>5999</v>
      </c>
      <c r="P2097" t="s">
        <v>57</v>
      </c>
      <c r="Q2097">
        <v>996643</v>
      </c>
      <c r="R2097">
        <v>997035</v>
      </c>
      <c r="S2097" t="s">
        <v>116</v>
      </c>
      <c r="T2097">
        <v>131</v>
      </c>
      <c r="U2097" t="s">
        <v>59</v>
      </c>
      <c r="V2097">
        <v>49</v>
      </c>
      <c r="W2097" t="str">
        <f>HYPERLINK("Gene956-zp_tree_all.dnd", "Gene956-tree")</f>
        <v>Gene956-tree</v>
      </c>
      <c r="X2097">
        <v>3</v>
      </c>
      <c r="Y2097">
        <v>10</v>
      </c>
      <c r="Z2097">
        <v>3</v>
      </c>
      <c r="AA2097">
        <v>10</v>
      </c>
      <c r="AB2097">
        <v>0.76922999999999997</v>
      </c>
      <c r="AC2097" t="s">
        <v>324</v>
      </c>
      <c r="AD2097" t="s">
        <v>117</v>
      </c>
      <c r="AE2097" t="s">
        <v>62</v>
      </c>
      <c r="AF2097" t="s">
        <v>62</v>
      </c>
      <c r="AG2097">
        <v>1</v>
      </c>
      <c r="AH2097">
        <v>2</v>
      </c>
      <c r="AI2097">
        <v>13</v>
      </c>
      <c r="AJ2097">
        <v>0.13333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18</v>
      </c>
      <c r="AT2097">
        <v>0</v>
      </c>
      <c r="AU2097">
        <v>12</v>
      </c>
      <c r="AV2097">
        <v>4</v>
      </c>
      <c r="AW2097">
        <v>12</v>
      </c>
      <c r="AX2097">
        <v>18</v>
      </c>
      <c r="AY2097">
        <v>8</v>
      </c>
      <c r="AZ2097">
        <v>7</v>
      </c>
      <c r="BA2097" t="s">
        <v>6000</v>
      </c>
      <c r="BB2097" t="s">
        <v>6001</v>
      </c>
      <c r="BC2097">
        <v>0.74399999999999999</v>
      </c>
      <c r="BD2097" t="s">
        <v>65</v>
      </c>
      <c r="BE2097">
        <v>20</v>
      </c>
      <c r="BF2097">
        <v>25</v>
      </c>
      <c r="BG2097" t="s">
        <v>6002</v>
      </c>
      <c r="BH2097" t="s">
        <v>6003</v>
      </c>
      <c r="BI2097" t="s">
        <v>6004</v>
      </c>
      <c r="BJ2097">
        <v>0.22278000000000001</v>
      </c>
      <c r="BK2097">
        <v>1</v>
      </c>
      <c r="BL2097" t="s">
        <v>69</v>
      </c>
      <c r="BM2097">
        <v>-2.1150000000000002</v>
      </c>
      <c r="BN2097">
        <v>-2.915</v>
      </c>
    </row>
    <row r="2098" spans="2:66">
      <c r="B2098">
        <v>3630</v>
      </c>
      <c r="C2098">
        <v>21</v>
      </c>
      <c r="D2098">
        <v>0</v>
      </c>
      <c r="E2098">
        <v>0</v>
      </c>
      <c r="F2098">
        <v>2</v>
      </c>
      <c r="J2098">
        <v>0</v>
      </c>
      <c r="K2098">
        <v>2</v>
      </c>
      <c r="L2098">
        <v>0</v>
      </c>
      <c r="M2098" t="s">
        <v>25022</v>
      </c>
      <c r="N2098">
        <v>957</v>
      </c>
      <c r="O2098" t="s">
        <v>6005</v>
      </c>
      <c r="P2098" t="s">
        <v>57</v>
      </c>
      <c r="Q2098">
        <v>997175</v>
      </c>
      <c r="R2098">
        <v>997594</v>
      </c>
      <c r="S2098" t="s">
        <v>6006</v>
      </c>
      <c r="T2098">
        <v>140</v>
      </c>
      <c r="U2098" t="s">
        <v>59</v>
      </c>
      <c r="V2098">
        <v>49</v>
      </c>
      <c r="W2098" t="str">
        <f>HYPERLINK("Gene957-zp_tree_all.dnd", "Gene957-tree")</f>
        <v>Gene957-tree</v>
      </c>
      <c r="X2098">
        <v>6</v>
      </c>
      <c r="Y2098">
        <v>4</v>
      </c>
      <c r="Z2098">
        <v>6</v>
      </c>
      <c r="AA2098">
        <v>4</v>
      </c>
      <c r="AB2098">
        <v>0.4</v>
      </c>
      <c r="AC2098" t="s">
        <v>90</v>
      </c>
      <c r="AD2098" t="s">
        <v>61</v>
      </c>
      <c r="AE2098" t="s">
        <v>62</v>
      </c>
      <c r="AF2098" t="s">
        <v>62</v>
      </c>
      <c r="AG2098">
        <v>1</v>
      </c>
      <c r="AH2098">
        <v>2</v>
      </c>
      <c r="AI2098">
        <v>9</v>
      </c>
      <c r="AJ2098">
        <v>0.18182000000000001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6</v>
      </c>
      <c r="AT2098">
        <v>0</v>
      </c>
      <c r="AU2098">
        <v>8</v>
      </c>
      <c r="AV2098">
        <v>4</v>
      </c>
      <c r="AW2098">
        <v>7</v>
      </c>
      <c r="AX2098">
        <v>6</v>
      </c>
      <c r="AY2098">
        <v>9</v>
      </c>
      <c r="AZ2098">
        <v>6</v>
      </c>
      <c r="BA2098" t="s">
        <v>6007</v>
      </c>
      <c r="BB2098" t="s">
        <v>6008</v>
      </c>
      <c r="BC2098">
        <v>0.189</v>
      </c>
      <c r="BD2098" t="s">
        <v>65</v>
      </c>
      <c r="BE2098">
        <v>16</v>
      </c>
      <c r="BF2098">
        <v>12</v>
      </c>
      <c r="BG2098" t="s">
        <v>6009</v>
      </c>
      <c r="BH2098" t="s">
        <v>6010</v>
      </c>
      <c r="BI2098" t="s">
        <v>6011</v>
      </c>
      <c r="BJ2098">
        <v>0.19905</v>
      </c>
      <c r="BK2098">
        <v>1</v>
      </c>
      <c r="BL2098" t="s">
        <v>69</v>
      </c>
      <c r="BM2098">
        <v>-1.518</v>
      </c>
      <c r="BN2098">
        <v>-0.23699999999999999</v>
      </c>
    </row>
    <row r="2099" spans="2:66">
      <c r="B2099">
        <v>3631</v>
      </c>
      <c r="C2099">
        <v>28</v>
      </c>
      <c r="D2099">
        <v>0</v>
      </c>
      <c r="E2099">
        <v>45</v>
      </c>
      <c r="F2099">
        <v>3</v>
      </c>
      <c r="J2099">
        <v>0</v>
      </c>
      <c r="K2099">
        <v>9</v>
      </c>
      <c r="L2099">
        <v>0</v>
      </c>
      <c r="M2099" t="s">
        <v>25022</v>
      </c>
      <c r="N2099">
        <v>958</v>
      </c>
      <c r="O2099" t="s">
        <v>6012</v>
      </c>
      <c r="P2099" t="s">
        <v>57</v>
      </c>
      <c r="Q2099">
        <v>997724</v>
      </c>
      <c r="R2099">
        <v>998383</v>
      </c>
      <c r="S2099" t="s">
        <v>6013</v>
      </c>
      <c r="T2099">
        <v>220</v>
      </c>
      <c r="U2099" t="s">
        <v>108</v>
      </c>
      <c r="V2099">
        <v>44</v>
      </c>
      <c r="W2099" t="str">
        <f>HYPERLINK("Gene958-zp_tree_all.dnd", "Gene958-tree")</f>
        <v>Gene958-tree</v>
      </c>
      <c r="X2099">
        <v>9</v>
      </c>
      <c r="Y2099">
        <v>6</v>
      </c>
      <c r="Z2099">
        <v>9</v>
      </c>
      <c r="AA2099">
        <v>6</v>
      </c>
      <c r="AB2099">
        <v>0.4</v>
      </c>
      <c r="AC2099" t="s">
        <v>135</v>
      </c>
      <c r="AD2099" t="s">
        <v>90</v>
      </c>
      <c r="AE2099" t="s">
        <v>62</v>
      </c>
      <c r="AF2099" t="s">
        <v>62</v>
      </c>
      <c r="AG2099">
        <v>3</v>
      </c>
      <c r="AH2099">
        <v>9</v>
      </c>
      <c r="AI2099">
        <v>5</v>
      </c>
      <c r="AJ2099">
        <v>0.64285999999999999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2</v>
      </c>
      <c r="AQ2099">
        <v>0</v>
      </c>
      <c r="AR2099">
        <v>2</v>
      </c>
      <c r="AS2099">
        <v>7</v>
      </c>
      <c r="AT2099">
        <v>0.22222</v>
      </c>
      <c r="AU2099">
        <v>15</v>
      </c>
      <c r="AV2099">
        <v>8</v>
      </c>
      <c r="AW2099">
        <v>29</v>
      </c>
      <c r="AX2099">
        <v>9</v>
      </c>
      <c r="AY2099">
        <v>18</v>
      </c>
      <c r="AZ2099">
        <v>5</v>
      </c>
      <c r="BA2099" t="s">
        <v>6014</v>
      </c>
      <c r="BB2099" t="s">
        <v>6015</v>
      </c>
      <c r="BC2099">
        <v>0.13200000000000001</v>
      </c>
      <c r="BD2099" t="s">
        <v>65</v>
      </c>
      <c r="BE2099">
        <v>47</v>
      </c>
      <c r="BF2099">
        <v>14</v>
      </c>
      <c r="BG2099" t="s">
        <v>6016</v>
      </c>
      <c r="BH2099" t="s">
        <v>6017</v>
      </c>
      <c r="BI2099" t="s">
        <v>6018</v>
      </c>
      <c r="BJ2099">
        <v>7.7329999999999996E-2</v>
      </c>
      <c r="BK2099">
        <v>1</v>
      </c>
      <c r="BL2099" t="s">
        <v>69</v>
      </c>
      <c r="BM2099">
        <v>-0.42799999999999999</v>
      </c>
      <c r="BN2099">
        <v>-1.071</v>
      </c>
    </row>
    <row r="2100" spans="2:66">
      <c r="B2100">
        <v>3643</v>
      </c>
      <c r="C2100">
        <v>230</v>
      </c>
      <c r="D2100">
        <v>0</v>
      </c>
      <c r="E2100">
        <v>4</v>
      </c>
      <c r="F2100">
        <v>0</v>
      </c>
      <c r="J2100">
        <v>0</v>
      </c>
      <c r="K2100">
        <v>2</v>
      </c>
      <c r="L2100">
        <v>0</v>
      </c>
      <c r="M2100" t="s">
        <v>25022</v>
      </c>
      <c r="N2100">
        <v>959</v>
      </c>
      <c r="O2100" t="s">
        <v>6019</v>
      </c>
      <c r="P2100" t="s">
        <v>57</v>
      </c>
      <c r="Q2100">
        <v>998402</v>
      </c>
      <c r="R2100">
        <v>999940</v>
      </c>
      <c r="S2100" t="s">
        <v>2062</v>
      </c>
      <c r="T2100">
        <v>513</v>
      </c>
      <c r="U2100" t="s">
        <v>99</v>
      </c>
      <c r="V2100">
        <v>47</v>
      </c>
      <c r="W2100" t="str">
        <f>HYPERLINK("Gene959-zp_tree_all.dnd", "Gene959-tree")</f>
        <v>Gene959-tree</v>
      </c>
      <c r="X2100">
        <v>14</v>
      </c>
      <c r="Y2100">
        <v>3</v>
      </c>
      <c r="Z2100">
        <v>14</v>
      </c>
      <c r="AA2100">
        <v>3</v>
      </c>
      <c r="AB2100">
        <v>0.17646999999999999</v>
      </c>
      <c r="AC2100" t="s">
        <v>543</v>
      </c>
      <c r="AD2100" t="s">
        <v>324</v>
      </c>
      <c r="AE2100" t="s">
        <v>62</v>
      </c>
      <c r="AF2100" t="s">
        <v>62</v>
      </c>
      <c r="AG2100">
        <v>1</v>
      </c>
      <c r="AH2100">
        <v>2</v>
      </c>
      <c r="AI2100">
        <v>6</v>
      </c>
      <c r="AJ2100">
        <v>0.25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2</v>
      </c>
      <c r="AQ2100">
        <v>0</v>
      </c>
      <c r="AR2100">
        <v>2</v>
      </c>
      <c r="AS2100">
        <v>2</v>
      </c>
      <c r="AT2100">
        <v>0.5</v>
      </c>
      <c r="AU2100">
        <v>15</v>
      </c>
      <c r="AV2100">
        <v>13</v>
      </c>
      <c r="AW2100">
        <v>116</v>
      </c>
      <c r="AX2100">
        <v>4</v>
      </c>
      <c r="AY2100">
        <v>87</v>
      </c>
      <c r="AZ2100">
        <v>4</v>
      </c>
      <c r="BA2100" t="s">
        <v>6020</v>
      </c>
      <c r="BB2100" t="s">
        <v>6021</v>
      </c>
      <c r="BC2100">
        <v>0.153</v>
      </c>
      <c r="BD2100" t="s">
        <v>65</v>
      </c>
      <c r="BE2100">
        <v>203</v>
      </c>
      <c r="BF2100">
        <v>8</v>
      </c>
      <c r="BG2100" t="s">
        <v>6022</v>
      </c>
      <c r="BH2100" t="s">
        <v>6023</v>
      </c>
      <c r="BI2100" t="s">
        <v>592</v>
      </c>
      <c r="BJ2100">
        <v>1.23E-2</v>
      </c>
      <c r="BK2100">
        <v>1</v>
      </c>
      <c r="BL2100" t="s">
        <v>69</v>
      </c>
      <c r="BM2100">
        <v>-1.522</v>
      </c>
      <c r="BN2100">
        <v>-1.7390000000000001</v>
      </c>
    </row>
    <row r="2101" spans="2:66">
      <c r="B2101">
        <v>3644</v>
      </c>
      <c r="C2101">
        <v>163</v>
      </c>
      <c r="D2101">
        <v>0</v>
      </c>
      <c r="E2101">
        <v>4</v>
      </c>
      <c r="F2101">
        <v>0</v>
      </c>
      <c r="J2101">
        <v>0</v>
      </c>
      <c r="K2101">
        <v>0</v>
      </c>
      <c r="L2101">
        <v>2</v>
      </c>
      <c r="M2101" t="s">
        <v>25022</v>
      </c>
      <c r="N2101">
        <v>961</v>
      </c>
      <c r="O2101" t="s">
        <v>6024</v>
      </c>
      <c r="P2101" t="s">
        <v>57</v>
      </c>
      <c r="Q2101">
        <v>1000364</v>
      </c>
      <c r="R2101">
        <v>1001713</v>
      </c>
      <c r="S2101" t="s">
        <v>6025</v>
      </c>
      <c r="T2101">
        <v>450</v>
      </c>
      <c r="U2101" t="s">
        <v>108</v>
      </c>
      <c r="V2101">
        <v>44</v>
      </c>
      <c r="W2101" t="str">
        <f>HYPERLINK("Gene961-zp_tree_all.dnd", "Gene961-tree")</f>
        <v>Gene961-tree</v>
      </c>
      <c r="X2101">
        <v>8</v>
      </c>
      <c r="Y2101">
        <v>6</v>
      </c>
      <c r="Z2101">
        <v>8</v>
      </c>
      <c r="AA2101">
        <v>6</v>
      </c>
      <c r="AB2101">
        <v>0.42857000000000001</v>
      </c>
      <c r="AC2101" t="s">
        <v>136</v>
      </c>
      <c r="AD2101" t="s">
        <v>90</v>
      </c>
      <c r="AE2101" t="s">
        <v>62</v>
      </c>
      <c r="AF2101" t="s">
        <v>62</v>
      </c>
      <c r="AG2101">
        <v>1</v>
      </c>
      <c r="AH2101">
        <v>2</v>
      </c>
      <c r="AI2101">
        <v>11</v>
      </c>
      <c r="AJ2101">
        <v>0.15384999999999999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2</v>
      </c>
      <c r="AR2101">
        <v>2</v>
      </c>
      <c r="AS2101">
        <v>7</v>
      </c>
      <c r="AT2101">
        <v>0.22222</v>
      </c>
      <c r="AU2101">
        <v>13</v>
      </c>
      <c r="AV2101">
        <v>9</v>
      </c>
      <c r="AW2101">
        <v>36</v>
      </c>
      <c r="AX2101">
        <v>9</v>
      </c>
      <c r="AY2101">
        <v>36</v>
      </c>
      <c r="AZ2101">
        <v>4</v>
      </c>
      <c r="BA2101" t="s">
        <v>6026</v>
      </c>
      <c r="BB2101" t="s">
        <v>6027</v>
      </c>
      <c r="BC2101">
        <v>0.77500000000000002</v>
      </c>
      <c r="BD2101" t="s">
        <v>65</v>
      </c>
      <c r="BE2101">
        <v>72</v>
      </c>
      <c r="BF2101">
        <v>13</v>
      </c>
      <c r="BG2101" t="s">
        <v>6028</v>
      </c>
      <c r="BH2101" t="s">
        <v>6029</v>
      </c>
      <c r="BI2101" t="s">
        <v>1664</v>
      </c>
      <c r="BJ2101">
        <v>5.679E-2</v>
      </c>
      <c r="BK2101">
        <v>1</v>
      </c>
      <c r="BL2101" t="s">
        <v>69</v>
      </c>
      <c r="BM2101">
        <v>-0.91500000000000004</v>
      </c>
      <c r="BN2101">
        <v>-1.3520000000000001</v>
      </c>
    </row>
    <row r="2102" spans="2:66">
      <c r="B2102">
        <v>3646</v>
      </c>
      <c r="C2102">
        <v>71</v>
      </c>
      <c r="D2102">
        <v>0</v>
      </c>
      <c r="E2102">
        <v>17</v>
      </c>
      <c r="F2102">
        <v>2</v>
      </c>
      <c r="J2102">
        <v>0</v>
      </c>
      <c r="K2102">
        <v>2</v>
      </c>
      <c r="L2102">
        <v>0</v>
      </c>
      <c r="M2102" t="s">
        <v>25022</v>
      </c>
      <c r="N2102">
        <v>962</v>
      </c>
      <c r="O2102" t="s">
        <v>6030</v>
      </c>
      <c r="P2102" t="s">
        <v>57</v>
      </c>
      <c r="Q2102">
        <v>1001744</v>
      </c>
      <c r="R2102">
        <v>1002319</v>
      </c>
      <c r="S2102" t="s">
        <v>6031</v>
      </c>
      <c r="T2102">
        <v>192</v>
      </c>
      <c r="U2102" t="s">
        <v>108</v>
      </c>
      <c r="V2102">
        <v>44</v>
      </c>
      <c r="W2102" t="str">
        <f>HYPERLINK("Gene962-zp_tree_all.dnd", "Gene962-tree")</f>
        <v>Gene962-tree</v>
      </c>
      <c r="X2102">
        <v>9</v>
      </c>
      <c r="Y2102">
        <v>4</v>
      </c>
      <c r="Z2102">
        <v>9</v>
      </c>
      <c r="AA2102">
        <v>4</v>
      </c>
      <c r="AB2102">
        <v>0.30769000000000002</v>
      </c>
      <c r="AC2102" t="s">
        <v>135</v>
      </c>
      <c r="AD2102" t="s">
        <v>61</v>
      </c>
      <c r="AE2102" t="s">
        <v>62</v>
      </c>
      <c r="AF2102" t="s">
        <v>62</v>
      </c>
      <c r="AG2102">
        <v>1</v>
      </c>
      <c r="AH2102">
        <v>2</v>
      </c>
      <c r="AI2102">
        <v>4</v>
      </c>
      <c r="AJ2102">
        <v>0.33333000000000002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</v>
      </c>
      <c r="AQ2102">
        <v>0</v>
      </c>
      <c r="AR2102">
        <v>2</v>
      </c>
      <c r="AS2102">
        <v>3</v>
      </c>
      <c r="AT2102">
        <v>0.4</v>
      </c>
      <c r="AU2102">
        <v>11</v>
      </c>
      <c r="AV2102">
        <v>3</v>
      </c>
      <c r="AW2102">
        <v>14</v>
      </c>
      <c r="AX2102">
        <v>5</v>
      </c>
      <c r="AY2102">
        <v>4</v>
      </c>
      <c r="AZ2102">
        <v>1</v>
      </c>
      <c r="BA2102" t="s">
        <v>6032</v>
      </c>
      <c r="BB2102" t="s">
        <v>6033</v>
      </c>
      <c r="BC2102">
        <v>0.27100000000000002</v>
      </c>
      <c r="BD2102" t="s">
        <v>65</v>
      </c>
      <c r="BE2102">
        <v>18</v>
      </c>
      <c r="BF2102">
        <v>6</v>
      </c>
      <c r="BG2102" t="s">
        <v>6034</v>
      </c>
      <c r="BH2102" t="s">
        <v>6035</v>
      </c>
      <c r="BI2102" t="s">
        <v>6036</v>
      </c>
      <c r="BJ2102">
        <v>9.0880000000000002E-2</v>
      </c>
      <c r="BK2102">
        <v>1</v>
      </c>
      <c r="BL2102" t="s">
        <v>69</v>
      </c>
      <c r="BM2102">
        <v>-0.88500000000000001</v>
      </c>
      <c r="BN2102">
        <v>-0.1</v>
      </c>
    </row>
    <row r="2103" spans="2:66">
      <c r="B2103">
        <v>3648</v>
      </c>
      <c r="C2103">
        <v>222</v>
      </c>
      <c r="D2103">
        <v>0</v>
      </c>
      <c r="E2103">
        <v>10</v>
      </c>
      <c r="F2103">
        <v>2</v>
      </c>
      <c r="J2103">
        <v>0</v>
      </c>
      <c r="K2103">
        <v>2</v>
      </c>
      <c r="L2103">
        <v>0</v>
      </c>
      <c r="M2103" t="s">
        <v>25022</v>
      </c>
      <c r="N2103">
        <v>963</v>
      </c>
      <c r="O2103" t="s">
        <v>6037</v>
      </c>
      <c r="P2103" t="s">
        <v>57</v>
      </c>
      <c r="Q2103">
        <v>1002501</v>
      </c>
      <c r="R2103">
        <v>1003322</v>
      </c>
      <c r="S2103" t="s">
        <v>6038</v>
      </c>
      <c r="T2103">
        <v>274</v>
      </c>
      <c r="U2103" t="s">
        <v>465</v>
      </c>
      <c r="V2103">
        <v>46</v>
      </c>
      <c r="W2103" t="str">
        <f>HYPERLINK("Gene963-zp_tree_all.dnd", "Gene963-tree")</f>
        <v>Gene963-tree</v>
      </c>
      <c r="X2103">
        <v>14</v>
      </c>
      <c r="Y2103">
        <v>3</v>
      </c>
      <c r="Z2103">
        <v>14</v>
      </c>
      <c r="AA2103">
        <v>3</v>
      </c>
      <c r="AB2103">
        <v>0.17646999999999999</v>
      </c>
      <c r="AC2103" t="s">
        <v>543</v>
      </c>
      <c r="AD2103" t="s">
        <v>324</v>
      </c>
      <c r="AE2103" t="s">
        <v>62</v>
      </c>
      <c r="AF2103" t="s">
        <v>62</v>
      </c>
      <c r="AG2103">
        <v>1</v>
      </c>
      <c r="AH2103">
        <v>2</v>
      </c>
      <c r="AI2103">
        <v>4</v>
      </c>
      <c r="AJ2103">
        <v>0.33333000000000002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4</v>
      </c>
      <c r="AT2103">
        <v>0</v>
      </c>
      <c r="AU2103">
        <v>14</v>
      </c>
      <c r="AV2103">
        <v>8</v>
      </c>
      <c r="AW2103">
        <v>27</v>
      </c>
      <c r="AX2103">
        <v>4</v>
      </c>
      <c r="AY2103">
        <v>41</v>
      </c>
      <c r="AZ2103">
        <v>2</v>
      </c>
      <c r="BA2103" t="s">
        <v>6039</v>
      </c>
      <c r="BB2103" t="s">
        <v>6040</v>
      </c>
      <c r="BC2103">
        <v>0.40400000000000003</v>
      </c>
      <c r="BD2103" t="s">
        <v>65</v>
      </c>
      <c r="BE2103">
        <v>68</v>
      </c>
      <c r="BF2103">
        <v>6</v>
      </c>
      <c r="BG2103" t="s">
        <v>6041</v>
      </c>
      <c r="BH2103" t="s">
        <v>6042</v>
      </c>
      <c r="BI2103" t="s">
        <v>6043</v>
      </c>
      <c r="BJ2103">
        <v>2.1860000000000001E-2</v>
      </c>
      <c r="BK2103">
        <v>1</v>
      </c>
      <c r="BL2103" t="s">
        <v>69</v>
      </c>
      <c r="BM2103">
        <v>-1.4730000000000001</v>
      </c>
      <c r="BN2103">
        <v>-0.29199999999999998</v>
      </c>
    </row>
    <row r="2104" spans="2:66">
      <c r="B2104">
        <v>3649</v>
      </c>
      <c r="C2104">
        <v>391</v>
      </c>
      <c r="D2104">
        <v>0</v>
      </c>
      <c r="E2104">
        <v>2</v>
      </c>
      <c r="F2104">
        <v>0</v>
      </c>
      <c r="J2104">
        <v>0</v>
      </c>
      <c r="K2104">
        <v>0</v>
      </c>
      <c r="L2104">
        <v>0</v>
      </c>
      <c r="M2104" t="s">
        <v>25022</v>
      </c>
      <c r="N2104">
        <v>964</v>
      </c>
      <c r="O2104" t="s">
        <v>6044</v>
      </c>
      <c r="P2104" t="s">
        <v>57</v>
      </c>
      <c r="Q2104">
        <v>1003344</v>
      </c>
      <c r="R2104">
        <v>1004831</v>
      </c>
      <c r="S2104" t="s">
        <v>6045</v>
      </c>
      <c r="T2104">
        <v>496</v>
      </c>
      <c r="U2104" t="s">
        <v>108</v>
      </c>
      <c r="V2104">
        <v>44</v>
      </c>
      <c r="W2104" t="str">
        <f>HYPERLINK("Gene964-zp_tree_all.dnd", "Gene964-tree")</f>
        <v>Gene964-tree</v>
      </c>
      <c r="X2104">
        <v>11</v>
      </c>
      <c r="Y2104">
        <v>3</v>
      </c>
      <c r="Z2104">
        <v>11</v>
      </c>
      <c r="AA2104">
        <v>3</v>
      </c>
      <c r="AB2104">
        <v>0.21429000000000001</v>
      </c>
      <c r="AC2104" t="s">
        <v>73</v>
      </c>
      <c r="AD2104" t="s">
        <v>324</v>
      </c>
      <c r="AE2104" t="s">
        <v>62</v>
      </c>
      <c r="AF2104" t="s">
        <v>62</v>
      </c>
      <c r="AG2104">
        <v>0</v>
      </c>
      <c r="AH2104">
        <v>0</v>
      </c>
      <c r="AI2104">
        <v>3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3</v>
      </c>
      <c r="AT2104">
        <v>0</v>
      </c>
      <c r="AU2104">
        <v>14</v>
      </c>
      <c r="AV2104">
        <v>8</v>
      </c>
      <c r="AW2104">
        <v>69</v>
      </c>
      <c r="AX2104">
        <v>3</v>
      </c>
      <c r="AY2104">
        <v>32</v>
      </c>
      <c r="AZ2104">
        <v>0</v>
      </c>
      <c r="BA2104" t="s">
        <v>6046</v>
      </c>
      <c r="BB2104" t="s">
        <v>193</v>
      </c>
      <c r="BC2104">
        <v>0.84899999999999998</v>
      </c>
      <c r="BD2104" t="s">
        <v>65</v>
      </c>
      <c r="BE2104">
        <v>101</v>
      </c>
      <c r="BF2104">
        <v>3</v>
      </c>
      <c r="BG2104" t="s">
        <v>4118</v>
      </c>
      <c r="BH2104" t="s">
        <v>6047</v>
      </c>
      <c r="BI2104" t="s">
        <v>6048</v>
      </c>
      <c r="BJ2104">
        <v>6.7999999999999996E-3</v>
      </c>
      <c r="BK2104">
        <v>1</v>
      </c>
      <c r="BL2104" t="s">
        <v>69</v>
      </c>
      <c r="BM2104">
        <v>0.29199999999999998</v>
      </c>
      <c r="BN2104">
        <v>0.13900000000000001</v>
      </c>
    </row>
    <row r="2105" spans="2:66">
      <c r="B2105">
        <v>3652</v>
      </c>
      <c r="C2105">
        <v>463</v>
      </c>
      <c r="D2105">
        <v>0</v>
      </c>
      <c r="E2105">
        <v>2</v>
      </c>
      <c r="F2105">
        <v>0</v>
      </c>
      <c r="J2105">
        <v>0</v>
      </c>
      <c r="K2105">
        <v>4</v>
      </c>
      <c r="L2105">
        <v>0</v>
      </c>
      <c r="M2105" t="s">
        <v>25022</v>
      </c>
      <c r="N2105">
        <v>965</v>
      </c>
      <c r="O2105" t="s">
        <v>6049</v>
      </c>
      <c r="P2105" t="s">
        <v>57</v>
      </c>
      <c r="Q2105">
        <v>1004975</v>
      </c>
      <c r="R2105">
        <v>1006639</v>
      </c>
      <c r="S2105" t="s">
        <v>6050</v>
      </c>
      <c r="T2105">
        <v>555</v>
      </c>
      <c r="U2105" t="s">
        <v>108</v>
      </c>
      <c r="V2105">
        <v>44</v>
      </c>
      <c r="W2105" t="str">
        <f>HYPERLINK("Gene965-zp_tree_all.dnd", "Gene965-tree")</f>
        <v>Gene965-tree</v>
      </c>
      <c r="X2105">
        <v>7</v>
      </c>
      <c r="Y2105">
        <v>7</v>
      </c>
      <c r="Z2105">
        <v>7</v>
      </c>
      <c r="AA2105">
        <v>7</v>
      </c>
      <c r="AB2105">
        <v>0.5</v>
      </c>
      <c r="AC2105" t="s">
        <v>152</v>
      </c>
      <c r="AD2105" t="s">
        <v>152</v>
      </c>
      <c r="AE2105" t="s">
        <v>62</v>
      </c>
      <c r="AF2105" t="s">
        <v>62</v>
      </c>
      <c r="AG2105">
        <v>1</v>
      </c>
      <c r="AH2105">
        <v>4</v>
      </c>
      <c r="AI2105">
        <v>12</v>
      </c>
      <c r="AJ2105">
        <v>0.25</v>
      </c>
      <c r="AK2105">
        <v>0</v>
      </c>
      <c r="AL2105">
        <v>0</v>
      </c>
      <c r="AM2105">
        <v>0</v>
      </c>
      <c r="AN2105">
        <v>2</v>
      </c>
      <c r="AO2105">
        <v>0</v>
      </c>
      <c r="AP2105">
        <v>0</v>
      </c>
      <c r="AQ2105">
        <v>0</v>
      </c>
      <c r="AR2105">
        <v>0</v>
      </c>
      <c r="AS2105">
        <v>12</v>
      </c>
      <c r="AT2105">
        <v>0</v>
      </c>
      <c r="AU2105">
        <v>13</v>
      </c>
      <c r="AV2105">
        <v>11</v>
      </c>
      <c r="AW2105">
        <v>40</v>
      </c>
      <c r="AX2105">
        <v>12</v>
      </c>
      <c r="AY2105">
        <v>25</v>
      </c>
      <c r="AZ2105">
        <v>4</v>
      </c>
      <c r="BA2105" t="s">
        <v>6051</v>
      </c>
      <c r="BB2105" t="s">
        <v>6052</v>
      </c>
      <c r="BC2105">
        <v>0.52200000000000002</v>
      </c>
      <c r="BD2105" t="s">
        <v>65</v>
      </c>
      <c r="BE2105">
        <v>65</v>
      </c>
      <c r="BF2105">
        <v>16</v>
      </c>
      <c r="BG2105" t="s">
        <v>6053</v>
      </c>
      <c r="BH2105" t="s">
        <v>6054</v>
      </c>
      <c r="BI2105" t="s">
        <v>6055</v>
      </c>
      <c r="BJ2105">
        <v>5.654E-2</v>
      </c>
      <c r="BK2105">
        <v>1</v>
      </c>
      <c r="BL2105" t="s">
        <v>69</v>
      </c>
      <c r="BM2105">
        <v>-0.90500000000000003</v>
      </c>
      <c r="BN2105">
        <v>-1.135</v>
      </c>
    </row>
    <row r="2106" spans="2:66">
      <c r="B2106">
        <v>3653</v>
      </c>
      <c r="C2106">
        <v>64</v>
      </c>
      <c r="D2106">
        <v>0</v>
      </c>
      <c r="E2106">
        <v>5</v>
      </c>
      <c r="F2106">
        <v>0</v>
      </c>
      <c r="J2106">
        <v>6</v>
      </c>
      <c r="K2106">
        <v>15</v>
      </c>
      <c r="L2106">
        <v>0</v>
      </c>
      <c r="M2106" t="s">
        <v>25022</v>
      </c>
      <c r="N2106">
        <v>966</v>
      </c>
      <c r="O2106" t="s">
        <v>6056</v>
      </c>
      <c r="P2106" t="s">
        <v>57</v>
      </c>
      <c r="Q2106">
        <v>1006774</v>
      </c>
      <c r="R2106">
        <v>1008516</v>
      </c>
      <c r="S2106" t="s">
        <v>6057</v>
      </c>
      <c r="T2106">
        <v>581</v>
      </c>
      <c r="U2106" t="s">
        <v>108</v>
      </c>
      <c r="V2106">
        <v>44</v>
      </c>
      <c r="W2106" t="str">
        <f>HYPERLINK("Gene966-zp_tree_all.dnd", "Gene966-tree")</f>
        <v>Gene966-tree</v>
      </c>
      <c r="X2106">
        <v>2</v>
      </c>
      <c r="Y2106">
        <v>14</v>
      </c>
      <c r="Z2106">
        <v>2</v>
      </c>
      <c r="AA2106">
        <v>14</v>
      </c>
      <c r="AB2106">
        <v>0.875</v>
      </c>
      <c r="AC2106" t="s">
        <v>81</v>
      </c>
      <c r="AD2106" t="s">
        <v>543</v>
      </c>
      <c r="AE2106">
        <v>860908720.12699997</v>
      </c>
      <c r="AF2106" t="s">
        <v>267</v>
      </c>
      <c r="AG2106">
        <v>6</v>
      </c>
      <c r="AH2106">
        <v>21</v>
      </c>
      <c r="AI2106">
        <v>9</v>
      </c>
      <c r="AJ2106">
        <v>0.7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11</v>
      </c>
      <c r="AQ2106">
        <v>2</v>
      </c>
      <c r="AR2106">
        <v>13</v>
      </c>
      <c r="AS2106">
        <v>8</v>
      </c>
      <c r="AT2106">
        <v>0.61904999999999999</v>
      </c>
      <c r="AU2106">
        <v>15</v>
      </c>
      <c r="AV2106">
        <v>12</v>
      </c>
      <c r="AW2106">
        <v>71</v>
      </c>
      <c r="AX2106">
        <v>20</v>
      </c>
      <c r="AY2106">
        <v>47</v>
      </c>
      <c r="AZ2106">
        <v>11</v>
      </c>
      <c r="BA2106" t="s">
        <v>6058</v>
      </c>
      <c r="BB2106" t="s">
        <v>6059</v>
      </c>
      <c r="BC2106">
        <v>0.39</v>
      </c>
      <c r="BD2106" t="s">
        <v>65</v>
      </c>
      <c r="BE2106">
        <v>118</v>
      </c>
      <c r="BF2106">
        <v>31</v>
      </c>
      <c r="BG2106" t="s">
        <v>6060</v>
      </c>
      <c r="BH2106" t="s">
        <v>6061</v>
      </c>
      <c r="BI2106" t="s">
        <v>6062</v>
      </c>
      <c r="BJ2106">
        <v>7.3340000000000002E-2</v>
      </c>
      <c r="BK2106">
        <v>1</v>
      </c>
      <c r="BL2106" t="s">
        <v>69</v>
      </c>
      <c r="BM2106">
        <v>-0.45700000000000002</v>
      </c>
      <c r="BN2106">
        <v>-1.0169999999999999</v>
      </c>
    </row>
    <row r="2107" spans="2:66">
      <c r="B2107">
        <v>3655</v>
      </c>
      <c r="C2107">
        <v>6</v>
      </c>
      <c r="D2107">
        <v>0</v>
      </c>
      <c r="E2107">
        <v>2</v>
      </c>
      <c r="F2107">
        <v>4</v>
      </c>
      <c r="J2107">
        <v>0</v>
      </c>
      <c r="K2107">
        <v>10</v>
      </c>
      <c r="L2107">
        <v>0</v>
      </c>
      <c r="M2107" t="s">
        <v>25022</v>
      </c>
      <c r="N2107">
        <v>967</v>
      </c>
      <c r="O2107" t="s">
        <v>6063</v>
      </c>
      <c r="P2107" t="s">
        <v>57</v>
      </c>
      <c r="Q2107">
        <v>1008668</v>
      </c>
      <c r="R2107">
        <v>1009804</v>
      </c>
      <c r="S2107" t="s">
        <v>6064</v>
      </c>
      <c r="T2107">
        <v>379</v>
      </c>
      <c r="U2107" t="s">
        <v>108</v>
      </c>
      <c r="V2107">
        <v>44</v>
      </c>
      <c r="W2107" t="str">
        <f>HYPERLINK("Gene967-zp_tree_all.dnd", "Gene967-tree")</f>
        <v>Gene967-tree</v>
      </c>
      <c r="X2107">
        <v>4</v>
      </c>
      <c r="Y2107">
        <v>10</v>
      </c>
      <c r="Z2107">
        <v>4</v>
      </c>
      <c r="AA2107">
        <v>10</v>
      </c>
      <c r="AB2107">
        <v>0.71428999999999998</v>
      </c>
      <c r="AC2107" t="s">
        <v>61</v>
      </c>
      <c r="AD2107" t="s">
        <v>117</v>
      </c>
      <c r="AE2107" t="s">
        <v>62</v>
      </c>
      <c r="AF2107" t="s">
        <v>62</v>
      </c>
      <c r="AG2107">
        <v>4</v>
      </c>
      <c r="AH2107">
        <v>10</v>
      </c>
      <c r="AI2107">
        <v>14</v>
      </c>
      <c r="AJ2107">
        <v>0.41666999999999998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7</v>
      </c>
      <c r="AQ2107">
        <v>0</v>
      </c>
      <c r="AR2107">
        <v>7</v>
      </c>
      <c r="AS2107">
        <v>12</v>
      </c>
      <c r="AT2107">
        <v>0.36842000000000003</v>
      </c>
      <c r="AU2107">
        <v>14</v>
      </c>
      <c r="AV2107">
        <v>8</v>
      </c>
      <c r="AW2107">
        <v>55</v>
      </c>
      <c r="AX2107">
        <v>19</v>
      </c>
      <c r="AY2107">
        <v>19</v>
      </c>
      <c r="AZ2107">
        <v>5</v>
      </c>
      <c r="BA2107" t="s">
        <v>6065</v>
      </c>
      <c r="BB2107" t="s">
        <v>6066</v>
      </c>
      <c r="BC2107">
        <v>0.60399999999999998</v>
      </c>
      <c r="BD2107" t="s">
        <v>65</v>
      </c>
      <c r="BE2107">
        <v>74</v>
      </c>
      <c r="BF2107">
        <v>24</v>
      </c>
      <c r="BG2107" t="s">
        <v>6067</v>
      </c>
      <c r="BH2107" t="s">
        <v>6068</v>
      </c>
      <c r="BI2107" t="s">
        <v>6069</v>
      </c>
      <c r="BJ2107">
        <v>8.7929999999999994E-2</v>
      </c>
      <c r="BK2107">
        <v>1</v>
      </c>
      <c r="BL2107" t="s">
        <v>69</v>
      </c>
      <c r="BM2107">
        <v>-0.83599999999999997</v>
      </c>
      <c r="BN2107">
        <v>-0.876</v>
      </c>
    </row>
    <row r="2108" spans="2:66">
      <c r="B2108">
        <v>3656</v>
      </c>
      <c r="C2108">
        <v>32</v>
      </c>
      <c r="D2108">
        <v>0</v>
      </c>
      <c r="E2108">
        <v>2</v>
      </c>
      <c r="F2108">
        <v>1</v>
      </c>
      <c r="J2108">
        <v>0</v>
      </c>
      <c r="K2108">
        <v>10</v>
      </c>
      <c r="L2108">
        <v>1</v>
      </c>
      <c r="M2108" t="s">
        <v>25022</v>
      </c>
      <c r="N2108">
        <v>969</v>
      </c>
      <c r="O2108" t="s">
        <v>6070</v>
      </c>
      <c r="P2108" t="s">
        <v>57</v>
      </c>
      <c r="Q2108">
        <v>1010445</v>
      </c>
      <c r="R2108">
        <v>1010966</v>
      </c>
      <c r="S2108" t="s">
        <v>6071</v>
      </c>
      <c r="T2108">
        <v>174</v>
      </c>
      <c r="U2108" t="s">
        <v>108</v>
      </c>
      <c r="V2108">
        <v>44</v>
      </c>
      <c r="W2108" t="str">
        <f>HYPERLINK("Gene969-zp_tree_all.dnd", "Gene969-tree")</f>
        <v>Gene969-tree</v>
      </c>
      <c r="X2108">
        <v>5</v>
      </c>
      <c r="Y2108">
        <v>8</v>
      </c>
      <c r="Z2108">
        <v>5</v>
      </c>
      <c r="AA2108">
        <v>8</v>
      </c>
      <c r="AB2108">
        <v>0.61538000000000004</v>
      </c>
      <c r="AC2108" t="s">
        <v>199</v>
      </c>
      <c r="AD2108" t="s">
        <v>136</v>
      </c>
      <c r="AE2108" t="s">
        <v>62</v>
      </c>
      <c r="AF2108" t="s">
        <v>62</v>
      </c>
      <c r="AG2108">
        <v>5</v>
      </c>
      <c r="AH2108">
        <v>11</v>
      </c>
      <c r="AI2108">
        <v>9</v>
      </c>
      <c r="AJ2108">
        <v>0.55000000000000004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2</v>
      </c>
      <c r="AQ2108">
        <v>0</v>
      </c>
      <c r="AR2108">
        <v>2</v>
      </c>
      <c r="AS2108">
        <v>10</v>
      </c>
      <c r="AT2108">
        <v>0.16667000000000001</v>
      </c>
      <c r="AU2108">
        <v>10</v>
      </c>
      <c r="AV2108">
        <v>8</v>
      </c>
      <c r="AW2108">
        <v>17</v>
      </c>
      <c r="AX2108">
        <v>11</v>
      </c>
      <c r="AY2108">
        <v>6</v>
      </c>
      <c r="AZ2108">
        <v>9</v>
      </c>
      <c r="BA2108" t="s">
        <v>6072</v>
      </c>
      <c r="BB2108" t="s">
        <v>6073</v>
      </c>
      <c r="BC2108">
        <v>0.66</v>
      </c>
      <c r="BD2108" t="s">
        <v>65</v>
      </c>
      <c r="BE2108">
        <v>23</v>
      </c>
      <c r="BF2108">
        <v>20</v>
      </c>
      <c r="BG2108" t="s">
        <v>6074</v>
      </c>
      <c r="BH2108" t="s">
        <v>6075</v>
      </c>
      <c r="BI2108" t="s">
        <v>6076</v>
      </c>
      <c r="BJ2108">
        <v>0.27611999999999998</v>
      </c>
      <c r="BK2108">
        <v>1</v>
      </c>
      <c r="BL2108" t="s">
        <v>69</v>
      </c>
      <c r="BM2108">
        <v>-0.48399999999999999</v>
      </c>
      <c r="BN2108">
        <v>0.46</v>
      </c>
    </row>
    <row r="2109" spans="2:66">
      <c r="B2109">
        <v>3657</v>
      </c>
      <c r="C2109">
        <v>133</v>
      </c>
      <c r="D2109">
        <v>0</v>
      </c>
      <c r="E2109">
        <v>0</v>
      </c>
      <c r="F2109">
        <v>2</v>
      </c>
      <c r="J2109">
        <v>0</v>
      </c>
      <c r="K2109">
        <v>0</v>
      </c>
      <c r="L2109">
        <v>0</v>
      </c>
      <c r="M2109" t="s">
        <v>25022</v>
      </c>
      <c r="N2109">
        <v>971</v>
      </c>
      <c r="O2109" t="s">
        <v>6082</v>
      </c>
      <c r="P2109" t="s">
        <v>57</v>
      </c>
      <c r="Q2109">
        <v>1011427</v>
      </c>
      <c r="R2109">
        <v>1011747</v>
      </c>
      <c r="S2109" t="s">
        <v>2332</v>
      </c>
      <c r="T2109">
        <v>107</v>
      </c>
      <c r="U2109" t="s">
        <v>108</v>
      </c>
      <c r="V2109">
        <v>44</v>
      </c>
      <c r="W2109" t="str">
        <f>HYPERLINK("Gene971-zp_tree_all.dnd", "Gene971-tree")</f>
        <v>Gene971-tree</v>
      </c>
      <c r="X2109">
        <v>29</v>
      </c>
      <c r="Y2109">
        <v>2</v>
      </c>
      <c r="Z2109">
        <v>8</v>
      </c>
      <c r="AA2109">
        <v>2</v>
      </c>
      <c r="AB2109">
        <v>0.2</v>
      </c>
      <c r="AC2109" t="s">
        <v>4745</v>
      </c>
      <c r="AD2109" t="s">
        <v>81</v>
      </c>
      <c r="AE2109" t="s">
        <v>62</v>
      </c>
      <c r="AF2109" t="s">
        <v>62</v>
      </c>
      <c r="AG2109">
        <v>0</v>
      </c>
      <c r="AH2109">
        <v>0</v>
      </c>
      <c r="AI2109">
        <v>3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2</v>
      </c>
      <c r="AT2109">
        <v>0</v>
      </c>
      <c r="AU2109">
        <v>6</v>
      </c>
      <c r="AV2109">
        <v>4</v>
      </c>
      <c r="AW2109">
        <v>9</v>
      </c>
      <c r="AX2109">
        <v>2</v>
      </c>
      <c r="AY2109">
        <v>3</v>
      </c>
      <c r="AZ2109">
        <v>1</v>
      </c>
      <c r="BA2109" t="s">
        <v>6083</v>
      </c>
      <c r="BB2109" t="s">
        <v>6084</v>
      </c>
      <c r="BC2109">
        <v>0.19</v>
      </c>
      <c r="BD2109" t="s">
        <v>65</v>
      </c>
      <c r="BE2109">
        <v>12</v>
      </c>
      <c r="BF2109">
        <v>3</v>
      </c>
      <c r="BG2109" t="s">
        <v>6085</v>
      </c>
      <c r="BH2109" t="s">
        <v>6086</v>
      </c>
      <c r="BI2109" t="s">
        <v>6087</v>
      </c>
      <c r="BJ2109">
        <v>8.2040000000000002E-2</v>
      </c>
      <c r="BK2109">
        <v>1</v>
      </c>
      <c r="BL2109" t="s">
        <v>69</v>
      </c>
      <c r="BM2109">
        <v>0.158</v>
      </c>
      <c r="BN2109">
        <v>-1.9450000000000001</v>
      </c>
    </row>
    <row r="2110" spans="2:66">
      <c r="B2110">
        <v>3660</v>
      </c>
      <c r="C2110">
        <v>21</v>
      </c>
      <c r="D2110">
        <v>0</v>
      </c>
      <c r="E2110">
        <v>4</v>
      </c>
      <c r="F2110">
        <v>2</v>
      </c>
      <c r="J2110">
        <v>0</v>
      </c>
      <c r="K2110">
        <v>2</v>
      </c>
      <c r="L2110">
        <v>0</v>
      </c>
      <c r="M2110" t="s">
        <v>25022</v>
      </c>
      <c r="N2110">
        <v>975</v>
      </c>
      <c r="O2110" t="s">
        <v>6109</v>
      </c>
      <c r="P2110" t="s">
        <v>57</v>
      </c>
      <c r="Q2110">
        <v>1015647</v>
      </c>
      <c r="R2110">
        <v>1017050</v>
      </c>
      <c r="S2110" t="s">
        <v>6110</v>
      </c>
      <c r="T2110">
        <v>468</v>
      </c>
      <c r="U2110" t="s">
        <v>629</v>
      </c>
      <c r="V2110">
        <v>43</v>
      </c>
      <c r="W2110" t="str">
        <f>HYPERLINK("Gene975-zp_tree_all.dnd", "Gene975-tree")</f>
        <v>Gene975-tree</v>
      </c>
      <c r="X2110">
        <v>14</v>
      </c>
      <c r="Y2110">
        <v>3</v>
      </c>
      <c r="Z2110">
        <v>14</v>
      </c>
      <c r="AA2110">
        <v>3</v>
      </c>
      <c r="AB2110">
        <v>0.17646999999999999</v>
      </c>
      <c r="AC2110" t="s">
        <v>543</v>
      </c>
      <c r="AD2110" t="s">
        <v>324</v>
      </c>
      <c r="AE2110" t="s">
        <v>62</v>
      </c>
      <c r="AF2110" t="s">
        <v>62</v>
      </c>
      <c r="AG2110">
        <v>1</v>
      </c>
      <c r="AH2110">
        <v>2</v>
      </c>
      <c r="AI2110">
        <v>3</v>
      </c>
      <c r="AJ2110">
        <v>0.4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4</v>
      </c>
      <c r="AT2110">
        <v>0</v>
      </c>
      <c r="AU2110">
        <v>13</v>
      </c>
      <c r="AV2110">
        <v>11</v>
      </c>
      <c r="AW2110">
        <v>33</v>
      </c>
      <c r="AX2110">
        <v>4</v>
      </c>
      <c r="AY2110">
        <v>26</v>
      </c>
      <c r="AZ2110">
        <v>1</v>
      </c>
      <c r="BA2110" t="s">
        <v>6111</v>
      </c>
      <c r="BB2110" t="s">
        <v>6112</v>
      </c>
      <c r="BC2110">
        <v>0.44500000000000001</v>
      </c>
      <c r="BD2110" t="s">
        <v>65</v>
      </c>
      <c r="BE2110">
        <v>59</v>
      </c>
      <c r="BF2110">
        <v>5</v>
      </c>
      <c r="BG2110" t="s">
        <v>6113</v>
      </c>
      <c r="BH2110" t="s">
        <v>6114</v>
      </c>
      <c r="BI2110" t="s">
        <v>6115</v>
      </c>
      <c r="BJ2110">
        <v>2.4680000000000001E-2</v>
      </c>
      <c r="BK2110">
        <v>1</v>
      </c>
      <c r="BL2110" t="s">
        <v>69</v>
      </c>
      <c r="BM2110">
        <v>-8.7999999999999995E-2</v>
      </c>
      <c r="BN2110">
        <v>-1.1719999999999999</v>
      </c>
    </row>
    <row r="2111" spans="2:66">
      <c r="B2111">
        <v>3661</v>
      </c>
      <c r="C2111">
        <v>76</v>
      </c>
      <c r="D2111">
        <v>0</v>
      </c>
      <c r="E2111">
        <v>7</v>
      </c>
      <c r="F2111">
        <v>1</v>
      </c>
      <c r="J2111">
        <v>0</v>
      </c>
      <c r="K2111">
        <v>0</v>
      </c>
      <c r="L2111">
        <v>0</v>
      </c>
      <c r="M2111" t="s">
        <v>25022</v>
      </c>
      <c r="N2111">
        <v>977</v>
      </c>
      <c r="O2111" t="s">
        <v>6123</v>
      </c>
      <c r="P2111" t="s">
        <v>57</v>
      </c>
      <c r="Q2111">
        <v>1018998</v>
      </c>
      <c r="R2111">
        <v>1019999</v>
      </c>
      <c r="S2111" t="s">
        <v>6124</v>
      </c>
      <c r="T2111">
        <v>334</v>
      </c>
      <c r="U2111" t="s">
        <v>6125</v>
      </c>
      <c r="V2111">
        <v>39</v>
      </c>
      <c r="W2111" t="str">
        <f>HYPERLINK("Gene977-zp_tree_all.dnd", "Gene977-tree")</f>
        <v>Gene977-tree</v>
      </c>
      <c r="X2111">
        <v>9</v>
      </c>
      <c r="Y2111">
        <v>4</v>
      </c>
      <c r="Z2111">
        <v>9</v>
      </c>
      <c r="AA2111">
        <v>4</v>
      </c>
      <c r="AB2111">
        <v>0.30769000000000002</v>
      </c>
      <c r="AC2111" t="s">
        <v>135</v>
      </c>
      <c r="AD2111" t="s">
        <v>61</v>
      </c>
      <c r="AE2111" t="s">
        <v>62</v>
      </c>
      <c r="AF2111" t="s">
        <v>62</v>
      </c>
      <c r="AG2111">
        <v>0</v>
      </c>
      <c r="AH2111">
        <v>0</v>
      </c>
      <c r="AI2111">
        <v>4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4</v>
      </c>
      <c r="AT2111">
        <v>0</v>
      </c>
      <c r="AU2111">
        <v>11</v>
      </c>
      <c r="AV2111">
        <v>6</v>
      </c>
      <c r="AW2111">
        <v>18</v>
      </c>
      <c r="AX2111">
        <v>4</v>
      </c>
      <c r="AY2111">
        <v>8</v>
      </c>
      <c r="AZ2111">
        <v>0</v>
      </c>
      <c r="BA2111" t="s">
        <v>6126</v>
      </c>
      <c r="BB2111" t="s">
        <v>193</v>
      </c>
      <c r="BC2111">
        <v>1.6240000000000001</v>
      </c>
      <c r="BD2111" t="s">
        <v>65</v>
      </c>
      <c r="BE2111">
        <v>26</v>
      </c>
      <c r="BF2111">
        <v>4</v>
      </c>
      <c r="BG2111" t="s">
        <v>6127</v>
      </c>
      <c r="BH2111" t="s">
        <v>6128</v>
      </c>
      <c r="BI2111" t="s">
        <v>6129</v>
      </c>
      <c r="BJ2111">
        <v>3.6220000000000002E-2</v>
      </c>
      <c r="BK2111">
        <v>1</v>
      </c>
      <c r="BL2111" t="s">
        <v>69</v>
      </c>
      <c r="BM2111">
        <v>-1.3080000000000001</v>
      </c>
      <c r="BN2111">
        <v>-2.2610000000000001</v>
      </c>
    </row>
    <row r="2112" spans="2:66">
      <c r="B2112">
        <v>3663</v>
      </c>
      <c r="C2112">
        <v>39</v>
      </c>
      <c r="D2112">
        <v>0</v>
      </c>
      <c r="E2112">
        <v>4</v>
      </c>
      <c r="F2112">
        <v>2</v>
      </c>
      <c r="J2112">
        <v>0</v>
      </c>
      <c r="K2112">
        <v>13</v>
      </c>
      <c r="L2112">
        <v>0</v>
      </c>
      <c r="M2112" t="s">
        <v>25022</v>
      </c>
      <c r="N2112">
        <v>979</v>
      </c>
      <c r="O2112" t="s">
        <v>6136</v>
      </c>
      <c r="P2112" t="s">
        <v>57</v>
      </c>
      <c r="Q2112">
        <v>1021057</v>
      </c>
      <c r="R2112">
        <v>1022154</v>
      </c>
      <c r="S2112" t="s">
        <v>6137</v>
      </c>
      <c r="T2112">
        <v>366</v>
      </c>
      <c r="U2112" t="s">
        <v>108</v>
      </c>
      <c r="V2112">
        <v>44</v>
      </c>
      <c r="W2112" t="str">
        <f>HYPERLINK("Gene979-zp_tree_all.dnd", "Gene979-tree")</f>
        <v>Gene979-tree</v>
      </c>
      <c r="X2112">
        <v>5</v>
      </c>
      <c r="Y2112">
        <v>10</v>
      </c>
      <c r="Z2112">
        <v>5</v>
      </c>
      <c r="AA2112">
        <v>10</v>
      </c>
      <c r="AB2112">
        <v>0.66666999999999998</v>
      </c>
      <c r="AC2112" t="s">
        <v>199</v>
      </c>
      <c r="AD2112" t="s">
        <v>117</v>
      </c>
      <c r="AE2112" t="s">
        <v>62</v>
      </c>
      <c r="AF2112" t="s">
        <v>62</v>
      </c>
      <c r="AG2112">
        <v>5</v>
      </c>
      <c r="AH2112">
        <v>13</v>
      </c>
      <c r="AI2112">
        <v>11</v>
      </c>
      <c r="AJ2112">
        <v>0.54166999999999998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7</v>
      </c>
      <c r="AQ2112">
        <v>0</v>
      </c>
      <c r="AR2112">
        <v>7</v>
      </c>
      <c r="AS2112">
        <v>11</v>
      </c>
      <c r="AT2112">
        <v>0.38889000000000001</v>
      </c>
      <c r="AU2112">
        <v>14</v>
      </c>
      <c r="AV2112">
        <v>11</v>
      </c>
      <c r="AW2112">
        <v>44</v>
      </c>
      <c r="AX2112">
        <v>18</v>
      </c>
      <c r="AY2112">
        <v>22</v>
      </c>
      <c r="AZ2112">
        <v>7</v>
      </c>
      <c r="BA2112" t="s">
        <v>6138</v>
      </c>
      <c r="BB2112" t="s">
        <v>6139</v>
      </c>
      <c r="BC2112">
        <v>0.24299999999999999</v>
      </c>
      <c r="BD2112" t="s">
        <v>65</v>
      </c>
      <c r="BE2112">
        <v>66</v>
      </c>
      <c r="BF2112">
        <v>25</v>
      </c>
      <c r="BG2112" t="s">
        <v>6140</v>
      </c>
      <c r="BH2112" t="s">
        <v>6141</v>
      </c>
      <c r="BI2112" t="s">
        <v>6142</v>
      </c>
      <c r="BJ2112">
        <v>9.7769999999999996E-2</v>
      </c>
      <c r="BK2112">
        <v>1</v>
      </c>
      <c r="BL2112" t="s">
        <v>69</v>
      </c>
      <c r="BM2112">
        <v>-0.29499999999999998</v>
      </c>
      <c r="BN2112">
        <v>-2.0089999999999999</v>
      </c>
    </row>
    <row r="2113" spans="2:66">
      <c r="B2113">
        <v>3665</v>
      </c>
      <c r="C2113">
        <v>9</v>
      </c>
      <c r="D2113">
        <v>0</v>
      </c>
      <c r="E2113">
        <v>6</v>
      </c>
      <c r="F2113">
        <v>0</v>
      </c>
      <c r="J2113">
        <v>0</v>
      </c>
      <c r="K2113">
        <v>0</v>
      </c>
      <c r="L2113">
        <v>0</v>
      </c>
      <c r="M2113" t="s">
        <v>25022</v>
      </c>
      <c r="N2113">
        <v>980</v>
      </c>
      <c r="O2113" t="s">
        <v>6143</v>
      </c>
      <c r="P2113" t="s">
        <v>57</v>
      </c>
      <c r="Q2113">
        <v>1022231</v>
      </c>
      <c r="R2113">
        <v>1023097</v>
      </c>
      <c r="S2113" t="s">
        <v>6144</v>
      </c>
      <c r="T2113">
        <v>289</v>
      </c>
      <c r="U2113" t="s">
        <v>108</v>
      </c>
      <c r="V2113">
        <v>44</v>
      </c>
      <c r="W2113" t="str">
        <f>HYPERLINK("Gene980-zp_tree_all.dnd", "Gene980-tree")</f>
        <v>Gene980-tree</v>
      </c>
      <c r="X2113">
        <v>10</v>
      </c>
      <c r="Y2113">
        <v>4</v>
      </c>
      <c r="Z2113">
        <v>10</v>
      </c>
      <c r="AA2113">
        <v>4</v>
      </c>
      <c r="AB2113">
        <v>0.28571000000000002</v>
      </c>
      <c r="AC2113" t="s">
        <v>117</v>
      </c>
      <c r="AD2113" t="s">
        <v>61</v>
      </c>
      <c r="AE2113" t="s">
        <v>62</v>
      </c>
      <c r="AF2113" t="s">
        <v>62</v>
      </c>
      <c r="AG2113">
        <v>0</v>
      </c>
      <c r="AH2113">
        <v>0</v>
      </c>
      <c r="AI2113">
        <v>8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5</v>
      </c>
      <c r="AT2113">
        <v>0</v>
      </c>
      <c r="AU2113">
        <v>11</v>
      </c>
      <c r="AV2113">
        <v>8</v>
      </c>
      <c r="AW2113">
        <v>34</v>
      </c>
      <c r="AX2113">
        <v>5</v>
      </c>
      <c r="AY2113">
        <v>13</v>
      </c>
      <c r="AZ2113">
        <v>3</v>
      </c>
      <c r="BA2113" t="s">
        <v>6145</v>
      </c>
      <c r="BB2113" t="s">
        <v>6146</v>
      </c>
      <c r="BC2113">
        <v>0.373</v>
      </c>
      <c r="BD2113" t="s">
        <v>65</v>
      </c>
      <c r="BE2113">
        <v>47</v>
      </c>
      <c r="BF2113">
        <v>8</v>
      </c>
      <c r="BG2113" t="s">
        <v>6147</v>
      </c>
      <c r="BH2113" t="s">
        <v>6148</v>
      </c>
      <c r="BI2113" t="s">
        <v>6149</v>
      </c>
      <c r="BJ2113">
        <v>5.6770000000000001E-2</v>
      </c>
      <c r="BK2113">
        <v>1</v>
      </c>
      <c r="BL2113" t="s">
        <v>69</v>
      </c>
      <c r="BM2113">
        <v>-0.91900000000000004</v>
      </c>
      <c r="BN2113">
        <v>-1.5960000000000001</v>
      </c>
    </row>
    <row r="2114" spans="2:66">
      <c r="B2114">
        <v>3668</v>
      </c>
      <c r="C2114">
        <v>105</v>
      </c>
      <c r="D2114">
        <v>0</v>
      </c>
      <c r="E2114">
        <v>0</v>
      </c>
      <c r="F2114">
        <v>2</v>
      </c>
      <c r="J2114">
        <v>0</v>
      </c>
      <c r="K2114">
        <v>2</v>
      </c>
      <c r="L2114">
        <v>0</v>
      </c>
      <c r="M2114" t="s">
        <v>25022</v>
      </c>
      <c r="N2114">
        <v>981</v>
      </c>
      <c r="O2114" t="s">
        <v>6150</v>
      </c>
      <c r="P2114" t="s">
        <v>57</v>
      </c>
      <c r="Q2114">
        <v>1023350</v>
      </c>
      <c r="R2114">
        <v>1024744</v>
      </c>
      <c r="S2114" t="s">
        <v>6151</v>
      </c>
      <c r="T2114">
        <v>465</v>
      </c>
      <c r="U2114" t="s">
        <v>108</v>
      </c>
      <c r="V2114">
        <v>44</v>
      </c>
      <c r="W2114" t="str">
        <f>HYPERLINK("Gene981-zp_tree_all.dnd", "Gene981-tree")</f>
        <v>Gene981-tree</v>
      </c>
      <c r="X2114">
        <v>11</v>
      </c>
      <c r="Y2114">
        <v>4</v>
      </c>
      <c r="Z2114">
        <v>11</v>
      </c>
      <c r="AA2114">
        <v>4</v>
      </c>
      <c r="AB2114">
        <v>0.26667000000000002</v>
      </c>
      <c r="AC2114" t="s">
        <v>73</v>
      </c>
      <c r="AD2114" t="s">
        <v>61</v>
      </c>
      <c r="AE2114" t="s">
        <v>62</v>
      </c>
      <c r="AF2114" t="s">
        <v>62</v>
      </c>
      <c r="AG2114">
        <v>1</v>
      </c>
      <c r="AH2114">
        <v>2</v>
      </c>
      <c r="AI2114">
        <v>4</v>
      </c>
      <c r="AJ2114">
        <v>0.33333000000000002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4</v>
      </c>
      <c r="AT2114">
        <v>0</v>
      </c>
      <c r="AU2114">
        <v>15</v>
      </c>
      <c r="AV2114">
        <v>12</v>
      </c>
      <c r="AW2114">
        <v>66</v>
      </c>
      <c r="AX2114">
        <v>4</v>
      </c>
      <c r="AY2114">
        <v>48</v>
      </c>
      <c r="AZ2114">
        <v>2</v>
      </c>
      <c r="BA2114" t="s">
        <v>6152</v>
      </c>
      <c r="BB2114" t="s">
        <v>6153</v>
      </c>
      <c r="BC2114">
        <v>0.22</v>
      </c>
      <c r="BD2114" t="s">
        <v>65</v>
      </c>
      <c r="BE2114">
        <v>114</v>
      </c>
      <c r="BF2114">
        <v>6</v>
      </c>
      <c r="BG2114" t="s">
        <v>6154</v>
      </c>
      <c r="BH2114" t="s">
        <v>6155</v>
      </c>
      <c r="BI2114" t="s">
        <v>6156</v>
      </c>
      <c r="BJ2114">
        <v>1.6559999999999998E-2</v>
      </c>
      <c r="BK2114">
        <v>1</v>
      </c>
      <c r="BL2114" t="s">
        <v>69</v>
      </c>
      <c r="BM2114">
        <v>0.108</v>
      </c>
      <c r="BN2114">
        <v>-0.875</v>
      </c>
    </row>
    <row r="2115" spans="2:66">
      <c r="B2115">
        <v>3675</v>
      </c>
      <c r="C2115">
        <v>111</v>
      </c>
      <c r="D2115">
        <v>0</v>
      </c>
      <c r="E2115">
        <v>6</v>
      </c>
      <c r="F2115">
        <v>0</v>
      </c>
      <c r="J2115">
        <v>0</v>
      </c>
      <c r="K2115">
        <v>0</v>
      </c>
      <c r="L2115">
        <v>0</v>
      </c>
      <c r="M2115" t="s">
        <v>25022</v>
      </c>
      <c r="N2115">
        <v>982</v>
      </c>
      <c r="O2115" t="s">
        <v>6157</v>
      </c>
      <c r="P2115" t="s">
        <v>57</v>
      </c>
      <c r="Q2115">
        <v>1024865</v>
      </c>
      <c r="R2115">
        <v>1026217</v>
      </c>
      <c r="S2115" t="s">
        <v>6158</v>
      </c>
      <c r="T2115">
        <v>451</v>
      </c>
      <c r="U2115" t="s">
        <v>108</v>
      </c>
      <c r="V2115">
        <v>44</v>
      </c>
      <c r="W2115" t="str">
        <f>HYPERLINK("Gene982-zp_tree_all.dnd", "Gene982-tree")</f>
        <v>Gene982-tree</v>
      </c>
      <c r="X2115">
        <v>8</v>
      </c>
      <c r="Y2115">
        <v>6</v>
      </c>
      <c r="Z2115">
        <v>8</v>
      </c>
      <c r="AA2115">
        <v>6</v>
      </c>
      <c r="AB2115">
        <v>0.42857000000000001</v>
      </c>
      <c r="AC2115" t="s">
        <v>136</v>
      </c>
      <c r="AD2115" t="s">
        <v>90</v>
      </c>
      <c r="AE2115" t="s">
        <v>62</v>
      </c>
      <c r="AF2115" t="s">
        <v>62</v>
      </c>
      <c r="AG2115">
        <v>0</v>
      </c>
      <c r="AH2115">
        <v>0</v>
      </c>
      <c r="AI2115">
        <v>12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9</v>
      </c>
      <c r="AT2115">
        <v>0</v>
      </c>
      <c r="AU2115">
        <v>14</v>
      </c>
      <c r="AV2115">
        <v>10</v>
      </c>
      <c r="AW2115">
        <v>40</v>
      </c>
      <c r="AX2115">
        <v>9</v>
      </c>
      <c r="AY2115">
        <v>18</v>
      </c>
      <c r="AZ2115">
        <v>3</v>
      </c>
      <c r="BA2115" t="s">
        <v>6159</v>
      </c>
      <c r="BB2115" t="s">
        <v>6160</v>
      </c>
      <c r="BC2115">
        <v>0.185</v>
      </c>
      <c r="BD2115" t="s">
        <v>65</v>
      </c>
      <c r="BE2115">
        <v>58</v>
      </c>
      <c r="BF2115">
        <v>12</v>
      </c>
      <c r="BG2115" t="s">
        <v>6161</v>
      </c>
      <c r="BH2115" t="s">
        <v>6162</v>
      </c>
      <c r="BI2115" t="s">
        <v>6163</v>
      </c>
      <c r="BJ2115">
        <v>7.4069999999999997E-2</v>
      </c>
      <c r="BK2115">
        <v>1</v>
      </c>
      <c r="BL2115" t="s">
        <v>69</v>
      </c>
      <c r="BM2115">
        <v>-0.23100000000000001</v>
      </c>
      <c r="BN2115">
        <v>8.7999999999999995E-2</v>
      </c>
    </row>
    <row r="2116" spans="2:66">
      <c r="B2116">
        <v>3678</v>
      </c>
      <c r="C2116">
        <v>284</v>
      </c>
      <c r="D2116">
        <v>0</v>
      </c>
      <c r="E2116">
        <v>2</v>
      </c>
      <c r="F2116">
        <v>0</v>
      </c>
      <c r="J2116">
        <v>0</v>
      </c>
      <c r="K2116">
        <v>3</v>
      </c>
      <c r="L2116">
        <v>0</v>
      </c>
      <c r="M2116" t="s">
        <v>25022</v>
      </c>
      <c r="N2116">
        <v>984</v>
      </c>
      <c r="O2116" t="s">
        <v>6170</v>
      </c>
      <c r="P2116" t="s">
        <v>57</v>
      </c>
      <c r="Q2116">
        <v>1027774</v>
      </c>
      <c r="R2116">
        <v>1028199</v>
      </c>
      <c r="S2116" t="s">
        <v>3537</v>
      </c>
      <c r="T2116">
        <v>142</v>
      </c>
      <c r="U2116" t="s">
        <v>108</v>
      </c>
      <c r="V2116">
        <v>44</v>
      </c>
      <c r="W2116" t="str">
        <f>HYPERLINK("Gene984-zp_tree_all.dnd", "Gene984-tree")</f>
        <v>Gene984-tree</v>
      </c>
      <c r="X2116">
        <v>6</v>
      </c>
      <c r="Y2116">
        <v>6</v>
      </c>
      <c r="Z2116">
        <v>6</v>
      </c>
      <c r="AA2116">
        <v>6</v>
      </c>
      <c r="AB2116">
        <v>0.5</v>
      </c>
      <c r="AC2116" t="s">
        <v>90</v>
      </c>
      <c r="AD2116" t="s">
        <v>90</v>
      </c>
      <c r="AE2116" t="s">
        <v>62</v>
      </c>
      <c r="AF2116" t="s">
        <v>62</v>
      </c>
      <c r="AG2116">
        <v>1</v>
      </c>
      <c r="AH2116">
        <v>3</v>
      </c>
      <c r="AI2116">
        <v>9</v>
      </c>
      <c r="AJ2116">
        <v>0.25</v>
      </c>
      <c r="AK2116">
        <v>0</v>
      </c>
      <c r="AL2116">
        <v>0</v>
      </c>
      <c r="AM2116">
        <v>0</v>
      </c>
      <c r="AN2116">
        <v>2</v>
      </c>
      <c r="AO2116">
        <v>0</v>
      </c>
      <c r="AP2116">
        <v>2</v>
      </c>
      <c r="AQ2116">
        <v>0</v>
      </c>
      <c r="AR2116">
        <v>2</v>
      </c>
      <c r="AS2116">
        <v>8</v>
      </c>
      <c r="AT2116">
        <v>0.2</v>
      </c>
      <c r="AU2116">
        <v>8</v>
      </c>
      <c r="AV2116">
        <v>3</v>
      </c>
      <c r="AW2116">
        <v>9</v>
      </c>
      <c r="AX2116">
        <v>10</v>
      </c>
      <c r="AY2116">
        <v>2</v>
      </c>
      <c r="AZ2116">
        <v>2</v>
      </c>
      <c r="BA2116" t="s">
        <v>6171</v>
      </c>
      <c r="BB2116" t="s">
        <v>6172</v>
      </c>
      <c r="BC2116">
        <v>5.8999999999999997E-2</v>
      </c>
      <c r="BD2116" t="s">
        <v>65</v>
      </c>
      <c r="BE2116">
        <v>11</v>
      </c>
      <c r="BF2116">
        <v>12</v>
      </c>
      <c r="BG2116" t="s">
        <v>6173</v>
      </c>
      <c r="BH2116" t="s">
        <v>6174</v>
      </c>
      <c r="BI2116" t="s">
        <v>6175</v>
      </c>
      <c r="BJ2116">
        <v>0.26494000000000001</v>
      </c>
      <c r="BK2116">
        <v>1</v>
      </c>
      <c r="BL2116" t="s">
        <v>69</v>
      </c>
      <c r="BM2116">
        <v>-1.5089999999999999</v>
      </c>
      <c r="BN2116">
        <v>-1.5269999999999999</v>
      </c>
    </row>
    <row r="2117" spans="2:66">
      <c r="B2117">
        <v>3680</v>
      </c>
      <c r="C2117">
        <v>341</v>
      </c>
      <c r="D2117">
        <v>0</v>
      </c>
      <c r="E2117">
        <v>10</v>
      </c>
      <c r="F2117">
        <v>3</v>
      </c>
      <c r="J2117">
        <v>0</v>
      </c>
      <c r="K2117">
        <v>0</v>
      </c>
      <c r="L2117">
        <v>0</v>
      </c>
      <c r="M2117" t="s">
        <v>25022</v>
      </c>
      <c r="N2117">
        <v>988</v>
      </c>
      <c r="O2117" t="s">
        <v>6191</v>
      </c>
      <c r="P2117" t="s">
        <v>57</v>
      </c>
      <c r="Q2117">
        <v>1030265</v>
      </c>
      <c r="R2117">
        <v>1031257</v>
      </c>
      <c r="S2117" t="s">
        <v>6192</v>
      </c>
      <c r="T2117">
        <v>331</v>
      </c>
      <c r="U2117" t="s">
        <v>108</v>
      </c>
      <c r="V2117">
        <v>44</v>
      </c>
      <c r="W2117" t="str">
        <f>HYPERLINK("Gene988-zp_tree_all.dnd", "Gene988-tree")</f>
        <v>Gene988-tree</v>
      </c>
      <c r="X2117">
        <v>7</v>
      </c>
      <c r="Y2117">
        <v>9</v>
      </c>
      <c r="Z2117">
        <v>7</v>
      </c>
      <c r="AA2117">
        <v>9</v>
      </c>
      <c r="AB2117">
        <v>0.5625</v>
      </c>
      <c r="AC2117" t="s">
        <v>152</v>
      </c>
      <c r="AD2117" t="s">
        <v>135</v>
      </c>
      <c r="AE2117" t="s">
        <v>62</v>
      </c>
      <c r="AF2117" t="s">
        <v>62</v>
      </c>
      <c r="AG2117">
        <v>0</v>
      </c>
      <c r="AH2117">
        <v>0</v>
      </c>
      <c r="AI2117">
        <v>14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13</v>
      </c>
      <c r="AT2117">
        <v>0</v>
      </c>
      <c r="AU2117">
        <v>12</v>
      </c>
      <c r="AV2117">
        <v>11</v>
      </c>
      <c r="AW2117">
        <v>13</v>
      </c>
      <c r="AX2117">
        <v>13</v>
      </c>
      <c r="AY2117">
        <v>13</v>
      </c>
      <c r="AZ2117">
        <v>3</v>
      </c>
      <c r="BA2117" t="s">
        <v>6193</v>
      </c>
      <c r="BB2117" t="s">
        <v>6194</v>
      </c>
      <c r="BC2117">
        <v>1.123</v>
      </c>
      <c r="BD2117" t="s">
        <v>65</v>
      </c>
      <c r="BE2117">
        <v>26</v>
      </c>
      <c r="BF2117">
        <v>16</v>
      </c>
      <c r="BG2117" t="s">
        <v>6195</v>
      </c>
      <c r="BH2117" t="s">
        <v>6196</v>
      </c>
      <c r="BI2117" t="s">
        <v>6197</v>
      </c>
      <c r="BJ2117">
        <v>0.11940000000000001</v>
      </c>
      <c r="BK2117">
        <v>1</v>
      </c>
      <c r="BL2117" t="s">
        <v>69</v>
      </c>
      <c r="BM2117">
        <v>-0.65700000000000003</v>
      </c>
      <c r="BN2117">
        <v>-2.0920000000000001</v>
      </c>
    </row>
    <row r="2118" spans="2:66">
      <c r="B2118">
        <v>3682</v>
      </c>
      <c r="C2118">
        <v>326</v>
      </c>
      <c r="D2118">
        <v>0</v>
      </c>
      <c r="E2118">
        <v>17</v>
      </c>
      <c r="F2118">
        <v>0</v>
      </c>
      <c r="J2118">
        <v>0</v>
      </c>
      <c r="K2118">
        <v>0</v>
      </c>
      <c r="L2118">
        <v>0</v>
      </c>
      <c r="M2118" t="s">
        <v>25022</v>
      </c>
      <c r="N2118">
        <v>989</v>
      </c>
      <c r="O2118" t="s">
        <v>6198</v>
      </c>
      <c r="P2118" t="s">
        <v>57</v>
      </c>
      <c r="Q2118">
        <v>1031395</v>
      </c>
      <c r="R2118">
        <v>1031991</v>
      </c>
      <c r="S2118" t="s">
        <v>6199</v>
      </c>
      <c r="T2118">
        <v>199</v>
      </c>
      <c r="U2118" t="s">
        <v>698</v>
      </c>
      <c r="V2118">
        <v>47</v>
      </c>
      <c r="W2118" t="str">
        <f>HYPERLINK("Gene989-zp_tree_all.dnd", "Gene989-tree")</f>
        <v>Gene989-tree</v>
      </c>
      <c r="X2118">
        <v>10</v>
      </c>
      <c r="Y2118">
        <v>1</v>
      </c>
      <c r="Z2118">
        <v>10</v>
      </c>
      <c r="AA2118">
        <v>1</v>
      </c>
      <c r="AB2118">
        <v>9.0910000000000005E-2</v>
      </c>
      <c r="AC2118" t="s">
        <v>117</v>
      </c>
      <c r="AD2118" t="s">
        <v>175</v>
      </c>
      <c r="AE2118" t="s">
        <v>62</v>
      </c>
      <c r="AF2118" t="s">
        <v>62</v>
      </c>
      <c r="AG2118">
        <v>0</v>
      </c>
      <c r="AH2118">
        <v>0</v>
      </c>
      <c r="AI2118">
        <v>8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8</v>
      </c>
      <c r="AV2118">
        <v>3</v>
      </c>
      <c r="AW2118">
        <v>17</v>
      </c>
      <c r="AX2118">
        <v>1</v>
      </c>
      <c r="AY2118">
        <v>20</v>
      </c>
      <c r="AZ2118">
        <v>8</v>
      </c>
      <c r="BA2118" t="s">
        <v>6200</v>
      </c>
      <c r="BB2118" t="s">
        <v>6201</v>
      </c>
      <c r="BC2118">
        <v>0.44</v>
      </c>
      <c r="BD2118" t="s">
        <v>65</v>
      </c>
      <c r="BE2118">
        <v>37</v>
      </c>
      <c r="BF2118">
        <v>9</v>
      </c>
      <c r="BG2118" t="s">
        <v>6202</v>
      </c>
      <c r="BH2118" t="s">
        <v>6203</v>
      </c>
      <c r="BI2118" t="s">
        <v>6204</v>
      </c>
      <c r="BJ2118">
        <v>8.3519999999999997E-2</v>
      </c>
      <c r="BK2118">
        <v>1</v>
      </c>
      <c r="BL2118" t="s">
        <v>69</v>
      </c>
      <c r="BM2118">
        <v>-1.762</v>
      </c>
      <c r="BN2118">
        <v>-0.50600000000000001</v>
      </c>
    </row>
    <row r="2119" spans="2:66">
      <c r="B2119">
        <v>3684</v>
      </c>
      <c r="C2119">
        <v>181</v>
      </c>
      <c r="D2119">
        <v>0</v>
      </c>
      <c r="E2119">
        <v>9</v>
      </c>
      <c r="F2119">
        <v>0</v>
      </c>
      <c r="J2119">
        <v>0</v>
      </c>
      <c r="K2119">
        <v>2</v>
      </c>
      <c r="L2119">
        <v>4</v>
      </c>
      <c r="M2119" t="s">
        <v>25022</v>
      </c>
      <c r="N2119">
        <v>992</v>
      </c>
      <c r="O2119" t="s">
        <v>6220</v>
      </c>
      <c r="P2119" t="s">
        <v>57</v>
      </c>
      <c r="Q2119">
        <v>1034046</v>
      </c>
      <c r="R2119">
        <v>1035224</v>
      </c>
      <c r="S2119" t="s">
        <v>6221</v>
      </c>
      <c r="T2119">
        <v>393</v>
      </c>
      <c r="U2119" t="s">
        <v>108</v>
      </c>
      <c r="V2119">
        <v>44</v>
      </c>
      <c r="W2119" t="str">
        <f>HYPERLINK("Gene992-zp_tree_all.dnd", "Gene992-tree")</f>
        <v>Gene992-tree</v>
      </c>
      <c r="X2119">
        <v>5</v>
      </c>
      <c r="Y2119">
        <v>9</v>
      </c>
      <c r="Z2119">
        <v>5</v>
      </c>
      <c r="AA2119">
        <v>9</v>
      </c>
      <c r="AB2119">
        <v>0.64285999999999999</v>
      </c>
      <c r="AC2119" t="s">
        <v>199</v>
      </c>
      <c r="AD2119" t="s">
        <v>135</v>
      </c>
      <c r="AE2119" t="s">
        <v>62</v>
      </c>
      <c r="AF2119" t="s">
        <v>62</v>
      </c>
      <c r="AG2119">
        <v>3</v>
      </c>
      <c r="AH2119">
        <v>6</v>
      </c>
      <c r="AI2119">
        <v>13</v>
      </c>
      <c r="AJ2119">
        <v>0.31579000000000002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4</v>
      </c>
      <c r="AR2119">
        <v>4</v>
      </c>
      <c r="AS2119">
        <v>13</v>
      </c>
      <c r="AT2119">
        <v>0.23529</v>
      </c>
      <c r="AU2119">
        <v>13</v>
      </c>
      <c r="AV2119">
        <v>9</v>
      </c>
      <c r="AW2119">
        <v>26</v>
      </c>
      <c r="AX2119">
        <v>17</v>
      </c>
      <c r="AY2119">
        <v>21</v>
      </c>
      <c r="AZ2119">
        <v>2</v>
      </c>
      <c r="BA2119" t="s">
        <v>6222</v>
      </c>
      <c r="BB2119" t="s">
        <v>6223</v>
      </c>
      <c r="BC2119">
        <v>2.206</v>
      </c>
      <c r="BD2119" t="s">
        <v>267</v>
      </c>
      <c r="BE2119">
        <v>47</v>
      </c>
      <c r="BF2119">
        <v>19</v>
      </c>
      <c r="BG2119" t="s">
        <v>6224</v>
      </c>
      <c r="BH2119" t="s">
        <v>6225</v>
      </c>
      <c r="BI2119" t="s">
        <v>6226</v>
      </c>
      <c r="BJ2119">
        <v>9.7390000000000004E-2</v>
      </c>
      <c r="BK2119">
        <v>1</v>
      </c>
      <c r="BL2119" t="s">
        <v>69</v>
      </c>
      <c r="BM2119">
        <v>-0.74099999999999999</v>
      </c>
      <c r="BN2119">
        <v>-2.173</v>
      </c>
    </row>
    <row r="2120" spans="2:66">
      <c r="B2120">
        <v>3685</v>
      </c>
      <c r="C2120">
        <v>150</v>
      </c>
      <c r="D2120">
        <v>0</v>
      </c>
      <c r="E2120">
        <v>6</v>
      </c>
      <c r="F2120">
        <v>0</v>
      </c>
      <c r="J2120">
        <v>0</v>
      </c>
      <c r="K2120">
        <v>13</v>
      </c>
      <c r="L2120">
        <v>0</v>
      </c>
      <c r="M2120" t="s">
        <v>25022</v>
      </c>
      <c r="N2120">
        <v>993</v>
      </c>
      <c r="O2120" t="s">
        <v>6227</v>
      </c>
      <c r="P2120" t="s">
        <v>57</v>
      </c>
      <c r="Q2120">
        <v>1035554</v>
      </c>
      <c r="R2120">
        <v>1036936</v>
      </c>
      <c r="S2120" t="s">
        <v>4095</v>
      </c>
      <c r="T2120">
        <v>461</v>
      </c>
      <c r="U2120" t="s">
        <v>289</v>
      </c>
      <c r="V2120">
        <v>46</v>
      </c>
      <c r="W2120" t="str">
        <f>HYPERLINK("Gene993-zp_tree_all.dnd", "Gene993-tree")</f>
        <v>Gene993-tree</v>
      </c>
      <c r="X2120">
        <v>6</v>
      </c>
      <c r="Y2120">
        <v>11</v>
      </c>
      <c r="Z2120">
        <v>6</v>
      </c>
      <c r="AA2120">
        <v>11</v>
      </c>
      <c r="AB2120">
        <v>0.64705999999999997</v>
      </c>
      <c r="AC2120" t="s">
        <v>90</v>
      </c>
      <c r="AD2120" t="s">
        <v>73</v>
      </c>
      <c r="AE2120">
        <v>95384385.856999993</v>
      </c>
      <c r="AF2120" t="s">
        <v>267</v>
      </c>
      <c r="AG2120">
        <v>5</v>
      </c>
      <c r="AH2120">
        <v>13</v>
      </c>
      <c r="AI2120">
        <v>18</v>
      </c>
      <c r="AJ2120">
        <v>0.41935</v>
      </c>
      <c r="AK2120">
        <v>0</v>
      </c>
      <c r="AL2120">
        <v>0</v>
      </c>
      <c r="AM2120">
        <v>0</v>
      </c>
      <c r="AN2120">
        <v>1</v>
      </c>
      <c r="AO2120">
        <v>0</v>
      </c>
      <c r="AP2120">
        <v>6</v>
      </c>
      <c r="AQ2120">
        <v>1</v>
      </c>
      <c r="AR2120">
        <v>7</v>
      </c>
      <c r="AS2120">
        <v>11</v>
      </c>
      <c r="AT2120">
        <v>0.38889000000000001</v>
      </c>
      <c r="AU2120">
        <v>14</v>
      </c>
      <c r="AV2120">
        <v>13</v>
      </c>
      <c r="AW2120">
        <v>41</v>
      </c>
      <c r="AX2120">
        <v>18</v>
      </c>
      <c r="AY2120">
        <v>65</v>
      </c>
      <c r="AZ2120">
        <v>13</v>
      </c>
      <c r="BA2120" t="s">
        <v>6228</v>
      </c>
      <c r="BB2120" t="s">
        <v>6229</v>
      </c>
      <c r="BC2120">
        <v>0.47099999999999997</v>
      </c>
      <c r="BD2120" t="s">
        <v>65</v>
      </c>
      <c r="BE2120">
        <v>106</v>
      </c>
      <c r="BF2120">
        <v>31</v>
      </c>
      <c r="BG2120" t="s">
        <v>6230</v>
      </c>
      <c r="BH2120" t="s">
        <v>6231</v>
      </c>
      <c r="BI2120" t="s">
        <v>6232</v>
      </c>
      <c r="BJ2120">
        <v>7.0599999999999996E-2</v>
      </c>
      <c r="BK2120">
        <v>1</v>
      </c>
      <c r="BL2120" t="s">
        <v>69</v>
      </c>
      <c r="BM2120">
        <v>-1.714</v>
      </c>
      <c r="BN2120">
        <v>-0.45300000000000001</v>
      </c>
    </row>
    <row r="2121" spans="2:66">
      <c r="B2121">
        <v>3686</v>
      </c>
      <c r="C2121">
        <v>400</v>
      </c>
      <c r="D2121">
        <v>0</v>
      </c>
      <c r="E2121">
        <v>0</v>
      </c>
      <c r="F2121">
        <v>3</v>
      </c>
      <c r="J2121">
        <v>0</v>
      </c>
      <c r="K2121">
        <v>0</v>
      </c>
      <c r="L2121">
        <v>0</v>
      </c>
      <c r="M2121" t="s">
        <v>25022</v>
      </c>
      <c r="N2121">
        <v>997</v>
      </c>
      <c r="O2121" t="s">
        <v>6254</v>
      </c>
      <c r="P2121" t="s">
        <v>57</v>
      </c>
      <c r="Q2121">
        <v>1038653</v>
      </c>
      <c r="R2121">
        <v>1038757</v>
      </c>
      <c r="S2121" t="s">
        <v>288</v>
      </c>
      <c r="T2121">
        <v>35</v>
      </c>
      <c r="U2121" t="s">
        <v>59</v>
      </c>
      <c r="V2121">
        <v>49</v>
      </c>
      <c r="W2121" t="str">
        <f>HYPERLINK("Gene997-zp_tree_all.dnd", "Gene997-tree")</f>
        <v>Gene997-tree</v>
      </c>
      <c r="X2121">
        <v>3</v>
      </c>
      <c r="Y2121">
        <v>2</v>
      </c>
      <c r="Z2121">
        <v>3</v>
      </c>
      <c r="AA2121">
        <v>2</v>
      </c>
      <c r="AB2121">
        <v>0.4</v>
      </c>
      <c r="AC2121" t="s">
        <v>324</v>
      </c>
      <c r="AD2121" t="s">
        <v>81</v>
      </c>
      <c r="AE2121" t="s">
        <v>62</v>
      </c>
      <c r="AF2121" t="s">
        <v>62</v>
      </c>
      <c r="AG2121">
        <v>0</v>
      </c>
      <c r="AH2121">
        <v>0</v>
      </c>
      <c r="AI2121">
        <v>2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2</v>
      </c>
      <c r="AT2121">
        <v>0</v>
      </c>
      <c r="AU2121">
        <v>3</v>
      </c>
      <c r="AV2121">
        <v>1</v>
      </c>
      <c r="AW2121">
        <v>2</v>
      </c>
      <c r="AX2121">
        <v>1</v>
      </c>
      <c r="AY2121">
        <v>0</v>
      </c>
      <c r="AZ2121">
        <v>1</v>
      </c>
      <c r="BA2121" t="s">
        <v>6255</v>
      </c>
      <c r="BB2121" t="s">
        <v>193</v>
      </c>
      <c r="BC2121">
        <v>0.69299999999999995</v>
      </c>
      <c r="BD2121" t="s">
        <v>65</v>
      </c>
      <c r="BE2121">
        <v>2</v>
      </c>
      <c r="BF2121">
        <v>2</v>
      </c>
      <c r="BG2121" t="s">
        <v>6256</v>
      </c>
      <c r="BH2121" t="s">
        <v>6257</v>
      </c>
      <c r="BI2121" t="s">
        <v>6258</v>
      </c>
      <c r="BJ2121">
        <v>0.30497000000000002</v>
      </c>
      <c r="BK2121">
        <v>0.68799999999999994</v>
      </c>
      <c r="BL2121" t="s">
        <v>635</v>
      </c>
      <c r="BM2121">
        <v>-1.3109999999999999</v>
      </c>
      <c r="BN2121">
        <v>-1.1919999999999999</v>
      </c>
    </row>
    <row r="2122" spans="2:66">
      <c r="B2122">
        <v>3687</v>
      </c>
      <c r="C2122">
        <v>211</v>
      </c>
      <c r="D2122">
        <v>0</v>
      </c>
      <c r="E2122">
        <v>8</v>
      </c>
      <c r="F2122">
        <v>0</v>
      </c>
      <c r="J2122">
        <v>0</v>
      </c>
      <c r="K2122">
        <v>0</v>
      </c>
      <c r="L2122">
        <v>0</v>
      </c>
      <c r="M2122" t="s">
        <v>25022</v>
      </c>
      <c r="N2122">
        <v>998</v>
      </c>
      <c r="O2122" t="s">
        <v>6259</v>
      </c>
      <c r="P2122" t="s">
        <v>57</v>
      </c>
      <c r="Q2122">
        <v>1038909</v>
      </c>
      <c r="R2122">
        <v>1040021</v>
      </c>
      <c r="S2122" t="s">
        <v>6260</v>
      </c>
      <c r="T2122">
        <v>371</v>
      </c>
      <c r="U2122" t="s">
        <v>108</v>
      </c>
      <c r="V2122">
        <v>44</v>
      </c>
      <c r="W2122" t="str">
        <f>HYPERLINK("Gene998-zp_tree_all.dnd", "Gene998-tree")</f>
        <v>Gene998-tree</v>
      </c>
      <c r="X2122">
        <v>9</v>
      </c>
      <c r="Y2122">
        <v>25</v>
      </c>
      <c r="Z2122">
        <v>9</v>
      </c>
      <c r="AA2122">
        <v>6</v>
      </c>
      <c r="AB2122">
        <v>0.4</v>
      </c>
      <c r="AC2122" t="s">
        <v>135</v>
      </c>
      <c r="AD2122" t="s">
        <v>965</v>
      </c>
      <c r="AE2122">
        <v>4.415</v>
      </c>
      <c r="AF2122" t="s">
        <v>65</v>
      </c>
      <c r="AG2122">
        <v>0</v>
      </c>
      <c r="AH2122">
        <v>0</v>
      </c>
      <c r="AI2122">
        <v>7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6</v>
      </c>
      <c r="AT2122">
        <v>0</v>
      </c>
      <c r="AU2122">
        <v>14</v>
      </c>
      <c r="AV2122">
        <v>11</v>
      </c>
      <c r="AW2122">
        <v>43</v>
      </c>
      <c r="AX2122">
        <v>5</v>
      </c>
      <c r="AY2122">
        <v>15</v>
      </c>
      <c r="AZ2122">
        <v>2</v>
      </c>
      <c r="BA2122" t="s">
        <v>6261</v>
      </c>
      <c r="BB2122" t="s">
        <v>6262</v>
      </c>
      <c r="BC2122">
        <v>8.5000000000000006E-2</v>
      </c>
      <c r="BD2122" t="s">
        <v>65</v>
      </c>
      <c r="BE2122">
        <v>58</v>
      </c>
      <c r="BF2122">
        <v>7</v>
      </c>
      <c r="BG2122" t="s">
        <v>6263</v>
      </c>
      <c r="BH2122" t="s">
        <v>6264</v>
      </c>
      <c r="BI2122" t="s">
        <v>6265</v>
      </c>
      <c r="BJ2122">
        <v>4.48E-2</v>
      </c>
      <c r="BK2122">
        <v>1</v>
      </c>
      <c r="BL2122" t="s">
        <v>69</v>
      </c>
      <c r="BM2122">
        <v>-0.28100000000000003</v>
      </c>
      <c r="BN2122">
        <v>-1.2270000000000001</v>
      </c>
    </row>
    <row r="2123" spans="2:66">
      <c r="B2123">
        <v>3691</v>
      </c>
      <c r="C2123">
        <v>392</v>
      </c>
      <c r="D2123">
        <v>0</v>
      </c>
      <c r="E2123">
        <v>2</v>
      </c>
      <c r="F2123">
        <v>0</v>
      </c>
      <c r="J2123">
        <v>0</v>
      </c>
      <c r="K2123">
        <v>7</v>
      </c>
      <c r="L2123">
        <v>0</v>
      </c>
      <c r="M2123" t="s">
        <v>25022</v>
      </c>
      <c r="N2123">
        <v>999</v>
      </c>
      <c r="O2123" t="s">
        <v>6266</v>
      </c>
      <c r="P2123" t="s">
        <v>57</v>
      </c>
      <c r="Q2123">
        <v>1040094</v>
      </c>
      <c r="R2123">
        <v>1040834</v>
      </c>
      <c r="S2123" t="s">
        <v>6267</v>
      </c>
      <c r="T2123">
        <v>247</v>
      </c>
      <c r="U2123" t="s">
        <v>108</v>
      </c>
      <c r="V2123">
        <v>44</v>
      </c>
      <c r="W2123" t="str">
        <f>HYPERLINK("Gene999-zp_tree_all.dnd", "Gene999-tree")</f>
        <v>Gene999-tree</v>
      </c>
      <c r="X2123">
        <v>5</v>
      </c>
      <c r="Y2123">
        <v>29</v>
      </c>
      <c r="Z2123">
        <v>5</v>
      </c>
      <c r="AA2123">
        <v>8</v>
      </c>
      <c r="AB2123">
        <v>0.61538000000000004</v>
      </c>
      <c r="AC2123" t="s">
        <v>199</v>
      </c>
      <c r="AD2123" t="s">
        <v>4745</v>
      </c>
      <c r="AE2123">
        <v>3.335</v>
      </c>
      <c r="AF2123" t="s">
        <v>65</v>
      </c>
      <c r="AG2123">
        <v>3</v>
      </c>
      <c r="AH2123">
        <v>7</v>
      </c>
      <c r="AI2123">
        <v>12</v>
      </c>
      <c r="AJ2123">
        <v>0.36842000000000003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4</v>
      </c>
      <c r="AQ2123">
        <v>0</v>
      </c>
      <c r="AR2123">
        <v>4</v>
      </c>
      <c r="AS2123">
        <v>9</v>
      </c>
      <c r="AT2123">
        <v>0.30769000000000002</v>
      </c>
      <c r="AU2123">
        <v>12</v>
      </c>
      <c r="AV2123">
        <v>7</v>
      </c>
      <c r="AW2123">
        <v>27</v>
      </c>
      <c r="AX2123">
        <v>13</v>
      </c>
      <c r="AY2123">
        <v>12</v>
      </c>
      <c r="AZ2123">
        <v>6</v>
      </c>
      <c r="BA2123" t="s">
        <v>6268</v>
      </c>
      <c r="BB2123" t="s">
        <v>6269</v>
      </c>
      <c r="BC2123">
        <v>6.6000000000000003E-2</v>
      </c>
      <c r="BD2123" t="s">
        <v>65</v>
      </c>
      <c r="BE2123">
        <v>39</v>
      </c>
      <c r="BF2123">
        <v>19</v>
      </c>
      <c r="BG2123" t="s">
        <v>6270</v>
      </c>
      <c r="BH2123" t="s">
        <v>6271</v>
      </c>
      <c r="BI2123" t="s">
        <v>6272</v>
      </c>
      <c r="BJ2123">
        <v>0.13420000000000001</v>
      </c>
      <c r="BK2123">
        <v>1</v>
      </c>
      <c r="BL2123" t="s">
        <v>69</v>
      </c>
      <c r="BM2123">
        <v>-0.45800000000000002</v>
      </c>
      <c r="BN2123">
        <v>-0.79900000000000004</v>
      </c>
    </row>
    <row r="2124" spans="2:66">
      <c r="B2124">
        <v>3695</v>
      </c>
      <c r="C2124">
        <v>228</v>
      </c>
      <c r="D2124">
        <v>0</v>
      </c>
      <c r="E2124">
        <v>14</v>
      </c>
      <c r="F2124">
        <v>2</v>
      </c>
      <c r="J2124">
        <v>0</v>
      </c>
      <c r="K2124">
        <v>4</v>
      </c>
      <c r="L2124">
        <v>0</v>
      </c>
      <c r="M2124" t="s">
        <v>25022</v>
      </c>
      <c r="N2124">
        <v>1001</v>
      </c>
      <c r="O2124" t="s">
        <v>6280</v>
      </c>
      <c r="P2124" t="s">
        <v>57</v>
      </c>
      <c r="Q2124">
        <v>1041994</v>
      </c>
      <c r="R2124">
        <v>1042839</v>
      </c>
      <c r="S2124" t="s">
        <v>6281</v>
      </c>
      <c r="T2124">
        <v>282</v>
      </c>
      <c r="U2124" t="s">
        <v>108</v>
      </c>
      <c r="V2124">
        <v>44</v>
      </c>
      <c r="W2124" t="str">
        <f>HYPERLINK("Gene1001-zp_tree_all.dnd", "Gene1001-tree")</f>
        <v>Gene1001-tree</v>
      </c>
      <c r="X2124">
        <v>4</v>
      </c>
      <c r="Y2124">
        <v>9</v>
      </c>
      <c r="Z2124">
        <v>4</v>
      </c>
      <c r="AA2124">
        <v>9</v>
      </c>
      <c r="AB2124">
        <v>0.69230999999999998</v>
      </c>
      <c r="AC2124" t="s">
        <v>61</v>
      </c>
      <c r="AD2124" t="s">
        <v>135</v>
      </c>
      <c r="AE2124" t="s">
        <v>62</v>
      </c>
      <c r="AF2124" t="s">
        <v>62</v>
      </c>
      <c r="AG2124">
        <v>2</v>
      </c>
      <c r="AH2124">
        <v>4</v>
      </c>
      <c r="AI2124">
        <v>8</v>
      </c>
      <c r="AJ2124">
        <v>0.33333000000000002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2</v>
      </c>
      <c r="AQ2124">
        <v>0</v>
      </c>
      <c r="AR2124">
        <v>2</v>
      </c>
      <c r="AS2124">
        <v>9</v>
      </c>
      <c r="AT2124">
        <v>0.18182000000000001</v>
      </c>
      <c r="AU2124">
        <v>12</v>
      </c>
      <c r="AV2124">
        <v>7</v>
      </c>
      <c r="AW2124">
        <v>41</v>
      </c>
      <c r="AX2124">
        <v>11</v>
      </c>
      <c r="AY2124">
        <v>10</v>
      </c>
      <c r="AZ2124">
        <v>1</v>
      </c>
      <c r="BA2124" t="s">
        <v>6282</v>
      </c>
      <c r="BB2124" t="s">
        <v>6283</v>
      </c>
      <c r="BC2124">
        <v>0.61099999999999999</v>
      </c>
      <c r="BD2124" t="s">
        <v>65</v>
      </c>
      <c r="BE2124">
        <v>51</v>
      </c>
      <c r="BF2124">
        <v>12</v>
      </c>
      <c r="BG2124" t="s">
        <v>6284</v>
      </c>
      <c r="BH2124" t="s">
        <v>6285</v>
      </c>
      <c r="BI2124" t="s">
        <v>6286</v>
      </c>
      <c r="BJ2124">
        <v>6.2350000000000003E-2</v>
      </c>
      <c r="BK2124">
        <v>1</v>
      </c>
      <c r="BL2124" t="s">
        <v>69</v>
      </c>
      <c r="BM2124">
        <v>-1.1439999999999999</v>
      </c>
      <c r="BN2124">
        <v>-2.7650000000000001</v>
      </c>
    </row>
    <row r="2125" spans="2:66">
      <c r="B2125">
        <v>3696</v>
      </c>
      <c r="C2125">
        <v>137</v>
      </c>
      <c r="D2125">
        <v>0</v>
      </c>
      <c r="E2125">
        <v>4</v>
      </c>
      <c r="F2125">
        <v>0</v>
      </c>
      <c r="J2125">
        <v>0</v>
      </c>
      <c r="K2125">
        <v>0</v>
      </c>
      <c r="L2125">
        <v>0</v>
      </c>
      <c r="M2125" t="s">
        <v>25022</v>
      </c>
      <c r="N2125">
        <v>1004</v>
      </c>
      <c r="O2125" t="s">
        <v>6301</v>
      </c>
      <c r="P2125" t="s">
        <v>57</v>
      </c>
      <c r="Q2125">
        <v>1045037</v>
      </c>
      <c r="R2125">
        <v>1045195</v>
      </c>
      <c r="S2125" t="s">
        <v>6302</v>
      </c>
      <c r="T2125">
        <v>53</v>
      </c>
      <c r="U2125" t="s">
        <v>108</v>
      </c>
      <c r="V2125">
        <v>44</v>
      </c>
      <c r="W2125" t="str">
        <f>HYPERLINK("Gene1004-zp_tree_all.dnd", "Gene1004-tree")</f>
        <v>Gene1004-tree</v>
      </c>
      <c r="X2125">
        <v>3</v>
      </c>
      <c r="Y2125">
        <v>1</v>
      </c>
      <c r="Z2125">
        <v>3</v>
      </c>
      <c r="AA2125">
        <v>1</v>
      </c>
      <c r="AB2125">
        <v>0.25</v>
      </c>
      <c r="AC2125" t="s">
        <v>324</v>
      </c>
      <c r="AD2125" t="s">
        <v>175</v>
      </c>
      <c r="AE2125" t="s">
        <v>62</v>
      </c>
      <c r="AF2125" t="s">
        <v>62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3</v>
      </c>
      <c r="AV2125">
        <v>0</v>
      </c>
      <c r="AW2125">
        <v>2</v>
      </c>
      <c r="AX2125">
        <v>1</v>
      </c>
      <c r="AY2125">
        <v>0</v>
      </c>
      <c r="AZ2125">
        <v>0</v>
      </c>
      <c r="BA2125" t="s">
        <v>6303</v>
      </c>
      <c r="BB2125" t="s">
        <v>193</v>
      </c>
      <c r="BC2125">
        <v>0.69299999999999995</v>
      </c>
      <c r="BD2125" t="s">
        <v>65</v>
      </c>
      <c r="BE2125">
        <v>2</v>
      </c>
      <c r="BF2125">
        <v>1</v>
      </c>
      <c r="BG2125" t="s">
        <v>6304</v>
      </c>
      <c r="BH2125" t="s">
        <v>6305</v>
      </c>
      <c r="BI2125" t="s">
        <v>6306</v>
      </c>
      <c r="BJ2125">
        <v>0.13552</v>
      </c>
      <c r="BK2125">
        <v>0.96799999999999997</v>
      </c>
      <c r="BL2125" t="s">
        <v>69</v>
      </c>
      <c r="BM2125">
        <v>-1.3260000000000001</v>
      </c>
      <c r="BN2125">
        <v>-1.66</v>
      </c>
    </row>
    <row r="2126" spans="2:66">
      <c r="B2126">
        <v>3702</v>
      </c>
      <c r="C2126">
        <v>326</v>
      </c>
      <c r="D2126">
        <v>0</v>
      </c>
      <c r="E2126">
        <v>15</v>
      </c>
      <c r="F2126">
        <v>5</v>
      </c>
      <c r="J2126">
        <v>0</v>
      </c>
      <c r="K2126">
        <v>5</v>
      </c>
      <c r="L2126">
        <v>2</v>
      </c>
      <c r="M2126" t="s">
        <v>25022</v>
      </c>
      <c r="N2126">
        <v>1005</v>
      </c>
      <c r="O2126" t="s">
        <v>6307</v>
      </c>
      <c r="P2126" t="s">
        <v>57</v>
      </c>
      <c r="Q2126">
        <v>1045318</v>
      </c>
      <c r="R2126">
        <v>1047072</v>
      </c>
      <c r="S2126" t="s">
        <v>6308</v>
      </c>
      <c r="T2126">
        <v>585</v>
      </c>
      <c r="U2126" t="s">
        <v>265</v>
      </c>
      <c r="V2126">
        <v>43</v>
      </c>
      <c r="W2126" t="str">
        <f>HYPERLINK("Gene1005-zp_tree_all.dnd", "Gene1005-tree")</f>
        <v>Gene1005-tree</v>
      </c>
      <c r="X2126">
        <v>3</v>
      </c>
      <c r="Y2126">
        <v>9</v>
      </c>
      <c r="Z2126">
        <v>3</v>
      </c>
      <c r="AA2126">
        <v>9</v>
      </c>
      <c r="AB2126">
        <v>0.75</v>
      </c>
      <c r="AC2126" t="s">
        <v>324</v>
      </c>
      <c r="AD2126" t="s">
        <v>135</v>
      </c>
      <c r="AE2126" t="s">
        <v>62</v>
      </c>
      <c r="AF2126" t="s">
        <v>62</v>
      </c>
      <c r="AG2126">
        <v>3</v>
      </c>
      <c r="AH2126">
        <v>7</v>
      </c>
      <c r="AI2126">
        <v>14</v>
      </c>
      <c r="AJ2126">
        <v>0.33333000000000002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2</v>
      </c>
      <c r="AQ2126">
        <v>2</v>
      </c>
      <c r="AR2126">
        <v>4</v>
      </c>
      <c r="AS2126">
        <v>13</v>
      </c>
      <c r="AT2126">
        <v>0.23529</v>
      </c>
      <c r="AU2126">
        <v>12</v>
      </c>
      <c r="AV2126">
        <v>7</v>
      </c>
      <c r="AW2126">
        <v>48</v>
      </c>
      <c r="AX2126">
        <v>17</v>
      </c>
      <c r="AY2126">
        <v>29</v>
      </c>
      <c r="AZ2126">
        <v>5</v>
      </c>
      <c r="BA2126" t="s">
        <v>6309</v>
      </c>
      <c r="BB2126" t="s">
        <v>6310</v>
      </c>
      <c r="BC2126">
        <v>0.77500000000000002</v>
      </c>
      <c r="BD2126" t="s">
        <v>65</v>
      </c>
      <c r="BE2126">
        <v>77</v>
      </c>
      <c r="BF2126">
        <v>22</v>
      </c>
      <c r="BG2126" t="s">
        <v>6311</v>
      </c>
      <c r="BH2126" t="s">
        <v>6312</v>
      </c>
      <c r="BI2126" t="s">
        <v>6313</v>
      </c>
      <c r="BJ2126">
        <v>7.1760000000000004E-2</v>
      </c>
      <c r="BK2126">
        <v>1</v>
      </c>
      <c r="BL2126" t="s">
        <v>69</v>
      </c>
      <c r="BM2126">
        <v>-0.97099999999999997</v>
      </c>
      <c r="BN2126">
        <v>-1.4319999999999999</v>
      </c>
    </row>
    <row r="2127" spans="2:66">
      <c r="B2127">
        <v>3704</v>
      </c>
      <c r="C2127">
        <v>337</v>
      </c>
      <c r="D2127">
        <v>0</v>
      </c>
      <c r="E2127">
        <v>2</v>
      </c>
      <c r="F2127">
        <v>0</v>
      </c>
      <c r="J2127">
        <v>0</v>
      </c>
      <c r="K2127">
        <v>10</v>
      </c>
      <c r="L2127">
        <v>2</v>
      </c>
      <c r="M2127" t="s">
        <v>25022</v>
      </c>
      <c r="N2127">
        <v>1006</v>
      </c>
      <c r="O2127" t="s">
        <v>6314</v>
      </c>
      <c r="P2127" t="s">
        <v>57</v>
      </c>
      <c r="Q2127">
        <v>1047072</v>
      </c>
      <c r="R2127">
        <v>1049090</v>
      </c>
      <c r="S2127" t="s">
        <v>6315</v>
      </c>
      <c r="T2127">
        <v>673</v>
      </c>
      <c r="U2127" t="s">
        <v>108</v>
      </c>
      <c r="V2127">
        <v>44</v>
      </c>
      <c r="W2127" t="str">
        <f>HYPERLINK("Gene1006-zp_tree_all.dnd", "Gene1006-tree")</f>
        <v>Gene1006-tree</v>
      </c>
      <c r="X2127">
        <v>5</v>
      </c>
      <c r="Y2127">
        <v>10</v>
      </c>
      <c r="Z2127">
        <v>5</v>
      </c>
      <c r="AA2127">
        <v>10</v>
      </c>
      <c r="AB2127">
        <v>0.66666999999999998</v>
      </c>
      <c r="AC2127" t="s">
        <v>199</v>
      </c>
      <c r="AD2127" t="s">
        <v>117</v>
      </c>
      <c r="AE2127" t="s">
        <v>62</v>
      </c>
      <c r="AF2127" t="s">
        <v>62</v>
      </c>
      <c r="AG2127">
        <v>5</v>
      </c>
      <c r="AH2127">
        <v>12</v>
      </c>
      <c r="AI2127">
        <v>19</v>
      </c>
      <c r="AJ2127">
        <v>0.3871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6</v>
      </c>
      <c r="AQ2127">
        <v>2</v>
      </c>
      <c r="AR2127">
        <v>8</v>
      </c>
      <c r="AS2127">
        <v>18</v>
      </c>
      <c r="AT2127">
        <v>0.30769000000000002</v>
      </c>
      <c r="AU2127">
        <v>13</v>
      </c>
      <c r="AV2127">
        <v>10</v>
      </c>
      <c r="AW2127">
        <v>64</v>
      </c>
      <c r="AX2127">
        <v>22</v>
      </c>
      <c r="AY2127">
        <v>37</v>
      </c>
      <c r="AZ2127">
        <v>9</v>
      </c>
      <c r="BA2127" t="s">
        <v>6316</v>
      </c>
      <c r="BB2127" t="s">
        <v>6317</v>
      </c>
      <c r="BC2127">
        <v>0.36299999999999999</v>
      </c>
      <c r="BD2127" t="s">
        <v>65</v>
      </c>
      <c r="BE2127">
        <v>101</v>
      </c>
      <c r="BF2127">
        <v>31</v>
      </c>
      <c r="BG2127" t="s">
        <v>6318</v>
      </c>
      <c r="BH2127" t="s">
        <v>6319</v>
      </c>
      <c r="BI2127" t="s">
        <v>6320</v>
      </c>
      <c r="BJ2127">
        <v>8.9550000000000005E-2</v>
      </c>
      <c r="BK2127">
        <v>1</v>
      </c>
      <c r="BL2127" t="s">
        <v>69</v>
      </c>
      <c r="BM2127">
        <v>-1.038</v>
      </c>
      <c r="BN2127">
        <v>-1.714</v>
      </c>
    </row>
    <row r="2128" spans="2:66">
      <c r="B2128">
        <v>3710</v>
      </c>
      <c r="C2128">
        <v>665</v>
      </c>
      <c r="D2128">
        <v>0</v>
      </c>
      <c r="E2128">
        <v>33</v>
      </c>
      <c r="F2128">
        <v>5</v>
      </c>
      <c r="J2128">
        <v>0</v>
      </c>
      <c r="K2128">
        <v>6</v>
      </c>
      <c r="L2128">
        <v>0</v>
      </c>
      <c r="M2128" t="s">
        <v>25022</v>
      </c>
      <c r="N2128">
        <v>1013</v>
      </c>
      <c r="O2128" t="s">
        <v>6365</v>
      </c>
      <c r="P2128" t="s">
        <v>57</v>
      </c>
      <c r="Q2128">
        <v>1053520</v>
      </c>
      <c r="R2128">
        <v>1054650</v>
      </c>
      <c r="S2128" t="s">
        <v>288</v>
      </c>
      <c r="T2128">
        <v>377</v>
      </c>
      <c r="U2128" t="s">
        <v>108</v>
      </c>
      <c r="V2128">
        <v>44</v>
      </c>
      <c r="W2128" t="str">
        <f>HYPERLINK("Gene1013-zp_tree_all.dnd", "Gene1013-tree")</f>
        <v>Gene1013-tree</v>
      </c>
      <c r="X2128">
        <v>7</v>
      </c>
      <c r="Y2128">
        <v>7</v>
      </c>
      <c r="Z2128">
        <v>7</v>
      </c>
      <c r="AA2128">
        <v>7</v>
      </c>
      <c r="AB2128">
        <v>0.5</v>
      </c>
      <c r="AC2128" t="s">
        <v>152</v>
      </c>
      <c r="AD2128" t="s">
        <v>152</v>
      </c>
      <c r="AE2128" t="s">
        <v>62</v>
      </c>
      <c r="AF2128" t="s">
        <v>62</v>
      </c>
      <c r="AG2128">
        <v>3</v>
      </c>
      <c r="AH2128">
        <v>6</v>
      </c>
      <c r="AI2128">
        <v>11</v>
      </c>
      <c r="AJ2128">
        <v>0.35293999999999998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11</v>
      </c>
      <c r="AT2128">
        <v>0</v>
      </c>
      <c r="AU2128">
        <v>14</v>
      </c>
      <c r="AV2128">
        <v>8</v>
      </c>
      <c r="AW2128">
        <v>34</v>
      </c>
      <c r="AX2128">
        <v>12</v>
      </c>
      <c r="AY2128">
        <v>14</v>
      </c>
      <c r="AZ2128">
        <v>6</v>
      </c>
      <c r="BA2128" t="s">
        <v>6366</v>
      </c>
      <c r="BB2128" t="s">
        <v>6367</v>
      </c>
      <c r="BC2128">
        <v>0.25800000000000001</v>
      </c>
      <c r="BD2128" t="s">
        <v>65</v>
      </c>
      <c r="BE2128">
        <v>48</v>
      </c>
      <c r="BF2128">
        <v>18</v>
      </c>
      <c r="BG2128" t="s">
        <v>6368</v>
      </c>
      <c r="BH2128" t="s">
        <v>6369</v>
      </c>
      <c r="BI2128" t="s">
        <v>6370</v>
      </c>
      <c r="BJ2128">
        <v>0.12545000000000001</v>
      </c>
      <c r="BK2128">
        <v>1</v>
      </c>
      <c r="BL2128" t="s">
        <v>69</v>
      </c>
      <c r="BM2128">
        <v>-0.72399999999999998</v>
      </c>
      <c r="BN2128">
        <v>-1.0349999999999999</v>
      </c>
    </row>
    <row r="2129" spans="2:66">
      <c r="B2129">
        <v>3711</v>
      </c>
      <c r="C2129">
        <v>200</v>
      </c>
      <c r="D2129">
        <v>0</v>
      </c>
      <c r="E2129">
        <v>14</v>
      </c>
      <c r="F2129">
        <v>6</v>
      </c>
      <c r="J2129">
        <v>0</v>
      </c>
      <c r="K2129">
        <v>0</v>
      </c>
      <c r="L2129">
        <v>0</v>
      </c>
      <c r="M2129" t="s">
        <v>25022</v>
      </c>
      <c r="N2129">
        <v>1014</v>
      </c>
      <c r="O2129" t="s">
        <v>6371</v>
      </c>
      <c r="P2129" t="s">
        <v>57</v>
      </c>
      <c r="Q2129">
        <v>1054746</v>
      </c>
      <c r="R2129">
        <v>1055096</v>
      </c>
      <c r="S2129" t="s">
        <v>288</v>
      </c>
      <c r="T2129">
        <v>117</v>
      </c>
      <c r="U2129" t="s">
        <v>59</v>
      </c>
      <c r="V2129">
        <v>49</v>
      </c>
      <c r="W2129" t="str">
        <f>HYPERLINK("Gene1014-zp_tree_all.dnd", "Gene1014-tree")</f>
        <v>Gene1014-tree</v>
      </c>
      <c r="X2129">
        <v>29</v>
      </c>
      <c r="Y2129">
        <v>3</v>
      </c>
      <c r="Z2129">
        <v>10</v>
      </c>
      <c r="AA2129">
        <v>3</v>
      </c>
      <c r="AB2129">
        <v>0.23077</v>
      </c>
      <c r="AC2129" t="s">
        <v>2184</v>
      </c>
      <c r="AD2129" t="s">
        <v>324</v>
      </c>
      <c r="AE2129" t="s">
        <v>62</v>
      </c>
      <c r="AF2129" t="s">
        <v>62</v>
      </c>
      <c r="AG2129">
        <v>0</v>
      </c>
      <c r="AH2129">
        <v>0</v>
      </c>
      <c r="AI2129">
        <v>4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4</v>
      </c>
      <c r="AT2129">
        <v>0</v>
      </c>
      <c r="AU2129">
        <v>10</v>
      </c>
      <c r="AV2129">
        <v>5</v>
      </c>
      <c r="AW2129">
        <v>8</v>
      </c>
      <c r="AX2129">
        <v>2</v>
      </c>
      <c r="AY2129">
        <v>15</v>
      </c>
      <c r="AZ2129">
        <v>2</v>
      </c>
      <c r="BA2129" t="s">
        <v>6372</v>
      </c>
      <c r="BB2129" t="s">
        <v>6373</v>
      </c>
      <c r="BC2129">
        <v>0.28599999999999998</v>
      </c>
      <c r="BD2129" t="s">
        <v>65</v>
      </c>
      <c r="BE2129">
        <v>23</v>
      </c>
      <c r="BF2129">
        <v>4</v>
      </c>
      <c r="BG2129" t="s">
        <v>6374</v>
      </c>
      <c r="BH2129" t="s">
        <v>6375</v>
      </c>
      <c r="BI2129" t="s">
        <v>6376</v>
      </c>
      <c r="BJ2129">
        <v>3.0669999999999999E-2</v>
      </c>
      <c r="BK2129">
        <v>1</v>
      </c>
      <c r="BL2129" t="s">
        <v>69</v>
      </c>
      <c r="BM2129">
        <v>-1.323</v>
      </c>
      <c r="BN2129">
        <v>0.158</v>
      </c>
    </row>
    <row r="2130" spans="2:66">
      <c r="B2130">
        <v>3712</v>
      </c>
      <c r="C2130">
        <v>70</v>
      </c>
      <c r="D2130">
        <v>0</v>
      </c>
      <c r="E2130">
        <v>2</v>
      </c>
      <c r="F2130">
        <v>2</v>
      </c>
      <c r="J2130">
        <v>0</v>
      </c>
      <c r="K2130">
        <v>0</v>
      </c>
      <c r="L2130">
        <v>0</v>
      </c>
      <c r="M2130" t="s">
        <v>25022</v>
      </c>
      <c r="N2130">
        <v>1016</v>
      </c>
      <c r="O2130" t="s">
        <v>6383</v>
      </c>
      <c r="P2130" t="s">
        <v>57</v>
      </c>
      <c r="Q2130">
        <v>1056702</v>
      </c>
      <c r="R2130">
        <v>1057565</v>
      </c>
      <c r="S2130" t="s">
        <v>2512</v>
      </c>
      <c r="T2130">
        <v>288</v>
      </c>
      <c r="U2130" t="s">
        <v>108</v>
      </c>
      <c r="V2130">
        <v>44</v>
      </c>
      <c r="W2130" t="str">
        <f>HYPERLINK("Gene1016-zp_tree_all.dnd", "Gene1016-tree")</f>
        <v>Gene1016-tree</v>
      </c>
      <c r="X2130">
        <v>11</v>
      </c>
      <c r="Y2130">
        <v>1</v>
      </c>
      <c r="Z2130">
        <v>11</v>
      </c>
      <c r="AA2130">
        <v>1</v>
      </c>
      <c r="AB2130">
        <v>8.3330000000000001E-2</v>
      </c>
      <c r="AC2130" t="s">
        <v>73</v>
      </c>
      <c r="AD2130" t="s">
        <v>175</v>
      </c>
      <c r="AE2130" t="s">
        <v>62</v>
      </c>
      <c r="AF2130" t="s">
        <v>62</v>
      </c>
      <c r="AG2130">
        <v>0</v>
      </c>
      <c r="AH2130">
        <v>0</v>
      </c>
      <c r="AI2130">
        <v>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4</v>
      </c>
      <c r="AT2130">
        <v>0</v>
      </c>
      <c r="AU2130">
        <v>9</v>
      </c>
      <c r="AV2130">
        <v>5</v>
      </c>
      <c r="AW2130">
        <v>43</v>
      </c>
      <c r="AX2130">
        <v>4</v>
      </c>
      <c r="AY2130">
        <v>7</v>
      </c>
      <c r="AZ2130">
        <v>0</v>
      </c>
      <c r="BA2130" t="s">
        <v>6384</v>
      </c>
      <c r="BB2130" t="s">
        <v>193</v>
      </c>
      <c r="BC2130">
        <v>0.27300000000000002</v>
      </c>
      <c r="BD2130" t="s">
        <v>65</v>
      </c>
      <c r="BE2130">
        <v>50</v>
      </c>
      <c r="BF2130">
        <v>4</v>
      </c>
      <c r="BG2130" t="s">
        <v>6385</v>
      </c>
      <c r="BH2130" t="s">
        <v>6386</v>
      </c>
      <c r="BI2130" t="s">
        <v>6387</v>
      </c>
      <c r="BJ2130">
        <v>1.8429999999999998E-2</v>
      </c>
      <c r="BK2130">
        <v>1</v>
      </c>
      <c r="BL2130" t="s">
        <v>69</v>
      </c>
      <c r="BM2130">
        <v>-1.732</v>
      </c>
      <c r="BN2130">
        <v>-4.2629999999999999</v>
      </c>
    </row>
    <row r="2131" spans="2:66">
      <c r="B2131">
        <v>3713</v>
      </c>
      <c r="C2131">
        <v>362</v>
      </c>
      <c r="D2131">
        <v>0</v>
      </c>
      <c r="E2131">
        <v>4</v>
      </c>
      <c r="F2131">
        <v>0</v>
      </c>
      <c r="J2131">
        <v>0</v>
      </c>
      <c r="K2131">
        <v>4</v>
      </c>
      <c r="L2131">
        <v>1</v>
      </c>
      <c r="M2131" t="s">
        <v>25022</v>
      </c>
      <c r="N2131">
        <v>1017</v>
      </c>
      <c r="O2131" t="s">
        <v>6388</v>
      </c>
      <c r="P2131" t="s">
        <v>57</v>
      </c>
      <c r="Q2131">
        <v>1057680</v>
      </c>
      <c r="R2131">
        <v>1059182</v>
      </c>
      <c r="S2131" t="s">
        <v>6389</v>
      </c>
      <c r="T2131">
        <v>501</v>
      </c>
      <c r="U2131" t="s">
        <v>6390</v>
      </c>
      <c r="V2131">
        <v>45</v>
      </c>
      <c r="W2131" t="str">
        <f>HYPERLINK("Gene1017-zp_tree_all.dnd", "Gene1017-tree")</f>
        <v>Gene1017-tree</v>
      </c>
      <c r="X2131">
        <v>9</v>
      </c>
      <c r="Y2131">
        <v>7</v>
      </c>
      <c r="Z2131">
        <v>9</v>
      </c>
      <c r="AA2131">
        <v>7</v>
      </c>
      <c r="AB2131">
        <v>0.4375</v>
      </c>
      <c r="AC2131" t="s">
        <v>135</v>
      </c>
      <c r="AD2131" t="s">
        <v>152</v>
      </c>
      <c r="AE2131" t="s">
        <v>62</v>
      </c>
      <c r="AF2131" t="s">
        <v>62</v>
      </c>
      <c r="AG2131">
        <v>2</v>
      </c>
      <c r="AH2131">
        <v>5</v>
      </c>
      <c r="AI2131">
        <v>17</v>
      </c>
      <c r="AJ2131">
        <v>0.22727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2</v>
      </c>
      <c r="AR2131">
        <v>2</v>
      </c>
      <c r="AS2131">
        <v>16</v>
      </c>
      <c r="AT2131">
        <v>0.11111</v>
      </c>
      <c r="AU2131">
        <v>13</v>
      </c>
      <c r="AV2131">
        <v>12</v>
      </c>
      <c r="AW2131">
        <v>82</v>
      </c>
      <c r="AX2131">
        <v>21</v>
      </c>
      <c r="AY2131">
        <v>40</v>
      </c>
      <c r="AZ2131">
        <v>4</v>
      </c>
      <c r="BA2131" t="s">
        <v>6391</v>
      </c>
      <c r="BB2131" t="s">
        <v>6392</v>
      </c>
      <c r="BC2131">
        <v>0.28299999999999997</v>
      </c>
      <c r="BD2131" t="s">
        <v>65</v>
      </c>
      <c r="BE2131">
        <v>122</v>
      </c>
      <c r="BF2131">
        <v>25</v>
      </c>
      <c r="BG2131" t="s">
        <v>6393</v>
      </c>
      <c r="BH2131" t="s">
        <v>6394</v>
      </c>
      <c r="BI2131" t="s">
        <v>6395</v>
      </c>
      <c r="BJ2131">
        <v>5.3809999999999997E-2</v>
      </c>
      <c r="BK2131">
        <v>1</v>
      </c>
      <c r="BL2131" t="s">
        <v>69</v>
      </c>
      <c r="BM2131">
        <v>-1.528</v>
      </c>
      <c r="BN2131">
        <v>-3.5379999999999998</v>
      </c>
    </row>
    <row r="2132" spans="2:66">
      <c r="B2132">
        <v>3714</v>
      </c>
      <c r="C2132">
        <v>262</v>
      </c>
      <c r="D2132">
        <v>0</v>
      </c>
      <c r="E2132">
        <v>15</v>
      </c>
      <c r="F2132">
        <v>2</v>
      </c>
      <c r="J2132">
        <v>0</v>
      </c>
      <c r="K2132">
        <v>0</v>
      </c>
      <c r="L2132">
        <v>0</v>
      </c>
      <c r="M2132" t="s">
        <v>25022</v>
      </c>
      <c r="N2132">
        <v>1021</v>
      </c>
      <c r="O2132" t="s">
        <v>6415</v>
      </c>
      <c r="P2132" t="s">
        <v>57</v>
      </c>
      <c r="Q2132">
        <v>1061491</v>
      </c>
      <c r="R2132">
        <v>1062255</v>
      </c>
      <c r="S2132" t="s">
        <v>6416</v>
      </c>
      <c r="T2132">
        <v>255</v>
      </c>
      <c r="U2132" t="s">
        <v>108</v>
      </c>
      <c r="V2132">
        <v>44</v>
      </c>
      <c r="W2132" t="str">
        <f>HYPERLINK("Gene1021-zp_tree_all.dnd", "Gene1021-tree")</f>
        <v>Gene1021-tree</v>
      </c>
      <c r="X2132">
        <v>7</v>
      </c>
      <c r="Y2132">
        <v>5</v>
      </c>
      <c r="Z2132">
        <v>7</v>
      </c>
      <c r="AA2132">
        <v>5</v>
      </c>
      <c r="AB2132">
        <v>0.41666999999999998</v>
      </c>
      <c r="AC2132" t="s">
        <v>152</v>
      </c>
      <c r="AD2132" t="s">
        <v>199</v>
      </c>
      <c r="AE2132" t="s">
        <v>62</v>
      </c>
      <c r="AF2132" t="s">
        <v>62</v>
      </c>
      <c r="AG2132">
        <v>0</v>
      </c>
      <c r="AH2132">
        <v>0</v>
      </c>
      <c r="AI2132">
        <v>11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6</v>
      </c>
      <c r="AT2132">
        <v>0</v>
      </c>
      <c r="AU2132">
        <v>11</v>
      </c>
      <c r="AV2132">
        <v>7</v>
      </c>
      <c r="AW2132">
        <v>17</v>
      </c>
      <c r="AX2132">
        <v>6</v>
      </c>
      <c r="AY2132">
        <v>9</v>
      </c>
      <c r="AZ2132">
        <v>5</v>
      </c>
      <c r="BA2132" t="s">
        <v>6417</v>
      </c>
      <c r="BB2132" t="s">
        <v>6418</v>
      </c>
      <c r="BC2132">
        <v>0.44400000000000001</v>
      </c>
      <c r="BD2132" t="s">
        <v>65</v>
      </c>
      <c r="BE2132">
        <v>26</v>
      </c>
      <c r="BF2132">
        <v>11</v>
      </c>
      <c r="BG2132" t="s">
        <v>6419</v>
      </c>
      <c r="BH2132" t="s">
        <v>6420</v>
      </c>
      <c r="BI2132" t="s">
        <v>6421</v>
      </c>
      <c r="BJ2132">
        <v>0.15894</v>
      </c>
      <c r="BK2132">
        <v>1</v>
      </c>
      <c r="BL2132" t="s">
        <v>69</v>
      </c>
      <c r="BM2132">
        <v>-0.16500000000000001</v>
      </c>
      <c r="BN2132">
        <v>-0.31</v>
      </c>
    </row>
    <row r="2133" spans="2:66">
      <c r="B2133">
        <v>3715</v>
      </c>
      <c r="C2133">
        <v>430</v>
      </c>
      <c r="D2133">
        <v>0</v>
      </c>
      <c r="E2133">
        <v>7</v>
      </c>
      <c r="F2133">
        <v>2</v>
      </c>
      <c r="J2133">
        <v>0</v>
      </c>
      <c r="K2133">
        <v>2</v>
      </c>
      <c r="L2133">
        <v>0</v>
      </c>
      <c r="M2133" t="s">
        <v>25022</v>
      </c>
      <c r="N2133">
        <v>1023</v>
      </c>
      <c r="O2133" t="s">
        <v>6427</v>
      </c>
      <c r="P2133" t="s">
        <v>57</v>
      </c>
      <c r="Q2133">
        <v>1062591</v>
      </c>
      <c r="R2133">
        <v>1063484</v>
      </c>
      <c r="S2133" t="s">
        <v>6428</v>
      </c>
      <c r="T2133">
        <v>298</v>
      </c>
      <c r="U2133" t="s">
        <v>108</v>
      </c>
      <c r="V2133">
        <v>44</v>
      </c>
      <c r="W2133" t="str">
        <f>HYPERLINK("Gene1023-zp_tree_all.dnd", "Gene1023-tree")</f>
        <v>Gene1023-tree</v>
      </c>
      <c r="X2133">
        <v>7</v>
      </c>
      <c r="Y2133">
        <v>4</v>
      </c>
      <c r="Z2133">
        <v>7</v>
      </c>
      <c r="AA2133">
        <v>4</v>
      </c>
      <c r="AB2133">
        <v>0.36364000000000002</v>
      </c>
      <c r="AC2133" t="s">
        <v>152</v>
      </c>
      <c r="AD2133" t="s">
        <v>61</v>
      </c>
      <c r="AE2133" t="s">
        <v>62</v>
      </c>
      <c r="AF2133" t="s">
        <v>62</v>
      </c>
      <c r="AG2133">
        <v>1</v>
      </c>
      <c r="AH2133">
        <v>2</v>
      </c>
      <c r="AI2133">
        <v>8</v>
      </c>
      <c r="AJ2133">
        <v>0.2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7</v>
      </c>
      <c r="AT2133">
        <v>0</v>
      </c>
      <c r="AU2133">
        <v>11</v>
      </c>
      <c r="AV2133">
        <v>8</v>
      </c>
      <c r="AW2133">
        <v>49</v>
      </c>
      <c r="AX2133">
        <v>9</v>
      </c>
      <c r="AY2133">
        <v>37</v>
      </c>
      <c r="AZ2133">
        <v>3</v>
      </c>
      <c r="BA2133" t="s">
        <v>6429</v>
      </c>
      <c r="BB2133" t="s">
        <v>6430</v>
      </c>
      <c r="BC2133">
        <v>0.51500000000000001</v>
      </c>
      <c r="BD2133" t="s">
        <v>65</v>
      </c>
      <c r="BE2133">
        <v>86</v>
      </c>
      <c r="BF2133">
        <v>12</v>
      </c>
      <c r="BG2133" t="s">
        <v>6431</v>
      </c>
      <c r="BH2133" t="s">
        <v>6432</v>
      </c>
      <c r="BI2133" t="s">
        <v>6433</v>
      </c>
      <c r="BJ2133">
        <v>3.8010000000000002E-2</v>
      </c>
      <c r="BK2133">
        <v>1</v>
      </c>
      <c r="BL2133" t="s">
        <v>69</v>
      </c>
      <c r="BM2133">
        <v>-1.194</v>
      </c>
      <c r="BN2133">
        <v>-1.579</v>
      </c>
    </row>
    <row r="2134" spans="2:66">
      <c r="B2134">
        <v>3716</v>
      </c>
      <c r="C2134">
        <v>28</v>
      </c>
      <c r="D2134">
        <v>0</v>
      </c>
      <c r="E2134">
        <v>4</v>
      </c>
      <c r="F2134">
        <v>0</v>
      </c>
      <c r="J2134">
        <v>0</v>
      </c>
      <c r="K2134">
        <v>0</v>
      </c>
      <c r="L2134">
        <v>0</v>
      </c>
      <c r="M2134" t="s">
        <v>25022</v>
      </c>
      <c r="N2134">
        <v>1024</v>
      </c>
      <c r="O2134" t="s">
        <v>6434</v>
      </c>
      <c r="P2134" t="s">
        <v>57</v>
      </c>
      <c r="Q2134">
        <v>1063480</v>
      </c>
      <c r="R2134">
        <v>1064736</v>
      </c>
      <c r="S2134" t="s">
        <v>6435</v>
      </c>
      <c r="T2134">
        <v>419</v>
      </c>
      <c r="U2134" t="s">
        <v>108</v>
      </c>
      <c r="V2134">
        <v>44</v>
      </c>
      <c r="W2134" t="str">
        <f>HYPERLINK("Gene1024-zp_tree_all.dnd", "Gene1024-tree")</f>
        <v>Gene1024-tree</v>
      </c>
      <c r="X2134">
        <v>10</v>
      </c>
      <c r="Y2134">
        <v>4</v>
      </c>
      <c r="Z2134">
        <v>10</v>
      </c>
      <c r="AA2134">
        <v>4</v>
      </c>
      <c r="AB2134">
        <v>0.28571000000000002</v>
      </c>
      <c r="AC2134" t="s">
        <v>117</v>
      </c>
      <c r="AD2134" t="s">
        <v>61</v>
      </c>
      <c r="AE2134" t="s">
        <v>62</v>
      </c>
      <c r="AF2134" t="s">
        <v>62</v>
      </c>
      <c r="AG2134">
        <v>0</v>
      </c>
      <c r="AH2134">
        <v>0</v>
      </c>
      <c r="AI2134">
        <v>6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5</v>
      </c>
      <c r="AT2134">
        <v>0</v>
      </c>
      <c r="AU2134">
        <v>12</v>
      </c>
      <c r="AV2134">
        <v>9</v>
      </c>
      <c r="AW2134">
        <v>35</v>
      </c>
      <c r="AX2134">
        <v>5</v>
      </c>
      <c r="AY2134">
        <v>23</v>
      </c>
      <c r="AZ2134">
        <v>1</v>
      </c>
      <c r="BA2134" t="s">
        <v>6436</v>
      </c>
      <c r="BB2134" t="s">
        <v>6437</v>
      </c>
      <c r="BC2134">
        <v>0.60299999999999998</v>
      </c>
      <c r="BD2134" t="s">
        <v>65</v>
      </c>
      <c r="BE2134">
        <v>58</v>
      </c>
      <c r="BF2134">
        <v>6</v>
      </c>
      <c r="BG2134" t="s">
        <v>170</v>
      </c>
      <c r="BH2134" t="s">
        <v>6438</v>
      </c>
      <c r="BI2134" t="s">
        <v>6439</v>
      </c>
      <c r="BJ2134">
        <v>2.9389999999999999E-2</v>
      </c>
      <c r="BK2134">
        <v>1</v>
      </c>
      <c r="BL2134" t="s">
        <v>69</v>
      </c>
      <c r="BM2134">
        <v>-1.1830000000000001</v>
      </c>
      <c r="BN2134">
        <v>-1.3580000000000001</v>
      </c>
    </row>
    <row r="2135" spans="2:66">
      <c r="B2135">
        <v>3717</v>
      </c>
      <c r="C2135">
        <v>53</v>
      </c>
      <c r="D2135">
        <v>0</v>
      </c>
      <c r="E2135">
        <v>6</v>
      </c>
      <c r="F2135">
        <v>4</v>
      </c>
      <c r="J2135">
        <v>0</v>
      </c>
      <c r="K2135">
        <v>13</v>
      </c>
      <c r="L2135">
        <v>4</v>
      </c>
      <c r="M2135" t="s">
        <v>25022</v>
      </c>
      <c r="N2135">
        <v>1025</v>
      </c>
      <c r="O2135" t="s">
        <v>6440</v>
      </c>
      <c r="P2135" t="s">
        <v>57</v>
      </c>
      <c r="Q2135">
        <v>1064846</v>
      </c>
      <c r="R2135">
        <v>1066069</v>
      </c>
      <c r="S2135" t="s">
        <v>6441</v>
      </c>
      <c r="T2135">
        <v>408</v>
      </c>
      <c r="U2135" t="s">
        <v>108</v>
      </c>
      <c r="V2135">
        <v>44</v>
      </c>
      <c r="W2135" t="str">
        <f>HYPERLINK("Gene1025-zp_tree_all.dnd", "Gene1025-tree")</f>
        <v>Gene1025-tree</v>
      </c>
      <c r="X2135">
        <v>3</v>
      </c>
      <c r="Y2135">
        <v>9</v>
      </c>
      <c r="Z2135">
        <v>3</v>
      </c>
      <c r="AA2135">
        <v>9</v>
      </c>
      <c r="AB2135">
        <v>0.75</v>
      </c>
      <c r="AC2135" t="s">
        <v>324</v>
      </c>
      <c r="AD2135" t="s">
        <v>135</v>
      </c>
      <c r="AE2135" t="s">
        <v>62</v>
      </c>
      <c r="AF2135" t="s">
        <v>62</v>
      </c>
      <c r="AG2135">
        <v>8</v>
      </c>
      <c r="AH2135">
        <v>17</v>
      </c>
      <c r="AI2135">
        <v>12</v>
      </c>
      <c r="AJ2135">
        <v>0.58621000000000001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7</v>
      </c>
      <c r="AQ2135">
        <v>4</v>
      </c>
      <c r="AR2135">
        <v>11</v>
      </c>
      <c r="AS2135">
        <v>12</v>
      </c>
      <c r="AT2135">
        <v>0.47826000000000002</v>
      </c>
      <c r="AU2135">
        <v>10</v>
      </c>
      <c r="AV2135">
        <v>7</v>
      </c>
      <c r="AW2135">
        <v>39</v>
      </c>
      <c r="AX2135">
        <v>23</v>
      </c>
      <c r="AY2135">
        <v>10</v>
      </c>
      <c r="AZ2135">
        <v>6</v>
      </c>
      <c r="BA2135" t="s">
        <v>6442</v>
      </c>
      <c r="BB2135" t="s">
        <v>6443</v>
      </c>
      <c r="BC2135">
        <v>0.05</v>
      </c>
      <c r="BD2135" t="s">
        <v>65</v>
      </c>
      <c r="BE2135">
        <v>49</v>
      </c>
      <c r="BF2135">
        <v>29</v>
      </c>
      <c r="BG2135" t="s">
        <v>6444</v>
      </c>
      <c r="BH2135" t="s">
        <v>6445</v>
      </c>
      <c r="BI2135" t="s">
        <v>6446</v>
      </c>
      <c r="BJ2135">
        <v>0.16925000000000001</v>
      </c>
      <c r="BK2135">
        <v>1</v>
      </c>
      <c r="BL2135" t="s">
        <v>69</v>
      </c>
      <c r="BM2135">
        <v>-0.67800000000000005</v>
      </c>
      <c r="BN2135">
        <v>-0.91800000000000004</v>
      </c>
    </row>
    <row r="2136" spans="2:66">
      <c r="B2136">
        <v>3718</v>
      </c>
      <c r="C2136">
        <v>144</v>
      </c>
      <c r="D2136">
        <v>0</v>
      </c>
      <c r="E2136">
        <v>3</v>
      </c>
      <c r="F2136">
        <v>2</v>
      </c>
      <c r="J2136">
        <v>0</v>
      </c>
      <c r="K2136">
        <v>40</v>
      </c>
      <c r="L2136">
        <v>6</v>
      </c>
      <c r="M2136" t="s">
        <v>25022</v>
      </c>
      <c r="N2136">
        <v>1026</v>
      </c>
      <c r="O2136" t="s">
        <v>6447</v>
      </c>
      <c r="P2136" t="s">
        <v>57</v>
      </c>
      <c r="Q2136">
        <v>1066077</v>
      </c>
      <c r="R2136">
        <v>1068965</v>
      </c>
      <c r="S2136" t="s">
        <v>6448</v>
      </c>
      <c r="T2136">
        <v>963</v>
      </c>
      <c r="U2136" t="s">
        <v>108</v>
      </c>
      <c r="V2136">
        <v>44</v>
      </c>
      <c r="W2136" t="str">
        <f>HYPERLINK("Gene1026-zp_tree_all.dnd", "Gene1026-tree")</f>
        <v>Gene1026-tree</v>
      </c>
      <c r="X2136">
        <v>1</v>
      </c>
      <c r="Y2136">
        <v>14</v>
      </c>
      <c r="Z2136">
        <v>1</v>
      </c>
      <c r="AA2136">
        <v>14</v>
      </c>
      <c r="AB2136">
        <v>0.93332999999999999</v>
      </c>
      <c r="AC2136" t="s">
        <v>175</v>
      </c>
      <c r="AD2136" t="s">
        <v>543</v>
      </c>
      <c r="AE2136">
        <v>1865302226.941</v>
      </c>
      <c r="AF2136" t="s">
        <v>267</v>
      </c>
      <c r="AG2136">
        <v>19</v>
      </c>
      <c r="AH2136">
        <v>46</v>
      </c>
      <c r="AI2136">
        <v>38</v>
      </c>
      <c r="AJ2136">
        <v>0.54762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27</v>
      </c>
      <c r="AQ2136">
        <v>2</v>
      </c>
      <c r="AR2136">
        <v>29</v>
      </c>
      <c r="AS2136">
        <v>28</v>
      </c>
      <c r="AT2136">
        <v>0.50876999999999994</v>
      </c>
      <c r="AU2136">
        <v>13</v>
      </c>
      <c r="AV2136">
        <v>11</v>
      </c>
      <c r="AW2136">
        <v>82</v>
      </c>
      <c r="AX2136">
        <v>56</v>
      </c>
      <c r="AY2136">
        <v>48</v>
      </c>
      <c r="AZ2136">
        <v>28</v>
      </c>
      <c r="BA2136" t="s">
        <v>6449</v>
      </c>
      <c r="BB2136" t="s">
        <v>6450</v>
      </c>
      <c r="BC2136">
        <v>0.20399999999999999</v>
      </c>
      <c r="BD2136" t="s">
        <v>65</v>
      </c>
      <c r="BE2136">
        <v>130</v>
      </c>
      <c r="BF2136">
        <v>84</v>
      </c>
      <c r="BG2136" t="s">
        <v>6451</v>
      </c>
      <c r="BH2136" t="s">
        <v>6452</v>
      </c>
      <c r="BI2136" t="s">
        <v>6453</v>
      </c>
      <c r="BJ2136">
        <v>0.17380000000000001</v>
      </c>
      <c r="BK2136">
        <v>1</v>
      </c>
      <c r="BL2136" t="s">
        <v>69</v>
      </c>
      <c r="BM2136">
        <v>-0.66800000000000004</v>
      </c>
      <c r="BN2136">
        <v>-1.1559999999999999</v>
      </c>
    </row>
    <row r="2137" spans="2:66">
      <c r="B2137">
        <v>3719</v>
      </c>
      <c r="C2137">
        <v>52</v>
      </c>
      <c r="D2137">
        <v>0</v>
      </c>
      <c r="E2137">
        <v>2</v>
      </c>
      <c r="F2137">
        <v>0</v>
      </c>
      <c r="J2137">
        <v>0</v>
      </c>
      <c r="K2137">
        <v>0</v>
      </c>
      <c r="L2137">
        <v>0</v>
      </c>
      <c r="M2137" t="s">
        <v>25022</v>
      </c>
      <c r="N2137">
        <v>1027</v>
      </c>
      <c r="O2137" t="s">
        <v>6454</v>
      </c>
      <c r="P2137" t="s">
        <v>57</v>
      </c>
      <c r="Q2137">
        <v>1069042</v>
      </c>
      <c r="R2137">
        <v>1069983</v>
      </c>
      <c r="S2137" t="s">
        <v>6455</v>
      </c>
      <c r="T2137">
        <v>314</v>
      </c>
      <c r="U2137" t="s">
        <v>108</v>
      </c>
      <c r="V2137">
        <v>44</v>
      </c>
      <c r="W2137" t="str">
        <f>HYPERLINK("Gene1027-zp_tree_all.dnd", "Gene1027-tree")</f>
        <v>Gene1027-tree</v>
      </c>
      <c r="X2137">
        <v>12</v>
      </c>
      <c r="Y2137">
        <v>0</v>
      </c>
      <c r="Z2137">
        <v>12</v>
      </c>
      <c r="AA2137">
        <v>0</v>
      </c>
      <c r="AB2137">
        <v>0</v>
      </c>
      <c r="AC2137" t="s">
        <v>109</v>
      </c>
      <c r="AD2137" t="s">
        <v>62</v>
      </c>
      <c r="AE2137" t="s">
        <v>62</v>
      </c>
      <c r="AF2137" t="s">
        <v>62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10</v>
      </c>
      <c r="AV2137">
        <v>7</v>
      </c>
      <c r="AW2137">
        <v>30</v>
      </c>
      <c r="AX2137">
        <v>0</v>
      </c>
      <c r="AY2137">
        <v>17</v>
      </c>
      <c r="AZ2137">
        <v>0</v>
      </c>
      <c r="BA2137" t="s">
        <v>193</v>
      </c>
      <c r="BB2137" t="s">
        <v>193</v>
      </c>
      <c r="BC2137">
        <v>0</v>
      </c>
      <c r="BD2137" t="s">
        <v>65</v>
      </c>
      <c r="BE2137">
        <v>47</v>
      </c>
      <c r="BF2137">
        <v>0</v>
      </c>
      <c r="BG2137" t="s">
        <v>6456</v>
      </c>
      <c r="BH2137" t="s">
        <v>6457</v>
      </c>
      <c r="BI2137" t="s">
        <v>193</v>
      </c>
      <c r="BJ2137">
        <v>0</v>
      </c>
      <c r="BK2137">
        <v>1</v>
      </c>
      <c r="BL2137" t="s">
        <v>69</v>
      </c>
      <c r="BM2137">
        <v>-0.437</v>
      </c>
      <c r="BN2137">
        <v>0.27100000000000002</v>
      </c>
    </row>
    <row r="2138" spans="2:66">
      <c r="B2138">
        <v>3720</v>
      </c>
      <c r="C2138">
        <v>118</v>
      </c>
      <c r="D2138">
        <v>0</v>
      </c>
      <c r="E2138">
        <v>2</v>
      </c>
      <c r="F2138">
        <v>0</v>
      </c>
      <c r="J2138">
        <v>0</v>
      </c>
      <c r="K2138">
        <v>0</v>
      </c>
      <c r="L2138">
        <v>0</v>
      </c>
      <c r="M2138" t="s">
        <v>25022</v>
      </c>
      <c r="N2138">
        <v>1028</v>
      </c>
      <c r="O2138" t="s">
        <v>6458</v>
      </c>
      <c r="P2138" t="s">
        <v>57</v>
      </c>
      <c r="Q2138">
        <v>1070111</v>
      </c>
      <c r="R2138">
        <v>1070320</v>
      </c>
      <c r="S2138" t="s">
        <v>6459</v>
      </c>
      <c r="T2138">
        <v>70</v>
      </c>
      <c r="U2138" t="s">
        <v>108</v>
      </c>
      <c r="V2138">
        <v>44</v>
      </c>
      <c r="W2138" t="str">
        <f>HYPERLINK("Gene1028-zp_tree_all.dnd", "Gene1028-tree")</f>
        <v>Gene1028-tree</v>
      </c>
      <c r="X2138">
        <v>7</v>
      </c>
      <c r="Y2138">
        <v>2</v>
      </c>
      <c r="Z2138">
        <v>7</v>
      </c>
      <c r="AA2138">
        <v>2</v>
      </c>
      <c r="AB2138">
        <v>0.22222</v>
      </c>
      <c r="AC2138" t="s">
        <v>152</v>
      </c>
      <c r="AD2138" t="s">
        <v>81</v>
      </c>
      <c r="AE2138" t="s">
        <v>62</v>
      </c>
      <c r="AF2138" t="s">
        <v>62</v>
      </c>
      <c r="AG2138">
        <v>0</v>
      </c>
      <c r="AH2138">
        <v>0</v>
      </c>
      <c r="AI2138">
        <v>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2</v>
      </c>
      <c r="AT2138">
        <v>0</v>
      </c>
      <c r="AU2138">
        <v>5</v>
      </c>
      <c r="AV2138">
        <v>3</v>
      </c>
      <c r="AW2138">
        <v>5</v>
      </c>
      <c r="AX2138">
        <v>2</v>
      </c>
      <c r="AY2138">
        <v>3</v>
      </c>
      <c r="AZ2138">
        <v>0</v>
      </c>
      <c r="BA2138" t="s">
        <v>6460</v>
      </c>
      <c r="BB2138" t="s">
        <v>193</v>
      </c>
      <c r="BC2138">
        <v>1.1719999999999999</v>
      </c>
      <c r="BD2138" t="s">
        <v>65</v>
      </c>
      <c r="BE2138">
        <v>8</v>
      </c>
      <c r="BF2138">
        <v>2</v>
      </c>
      <c r="BG2138" t="s">
        <v>6461</v>
      </c>
      <c r="BH2138" t="s">
        <v>6462</v>
      </c>
      <c r="BI2138" t="s">
        <v>6463</v>
      </c>
      <c r="BJ2138">
        <v>4.734E-2</v>
      </c>
      <c r="BK2138">
        <v>0.97799999999999998</v>
      </c>
      <c r="BL2138" t="s">
        <v>69</v>
      </c>
      <c r="BM2138">
        <v>-0.98099999999999998</v>
      </c>
      <c r="BN2138">
        <v>-2.165</v>
      </c>
    </row>
    <row r="2139" spans="2:66">
      <c r="B2139">
        <v>3723</v>
      </c>
      <c r="C2139">
        <v>289</v>
      </c>
      <c r="D2139">
        <v>0</v>
      </c>
      <c r="E2139">
        <v>4</v>
      </c>
      <c r="F2139">
        <v>0</v>
      </c>
      <c r="J2139">
        <v>0</v>
      </c>
      <c r="K2139">
        <v>0</v>
      </c>
      <c r="L2139">
        <v>0</v>
      </c>
      <c r="M2139" t="s">
        <v>25022</v>
      </c>
      <c r="N2139">
        <v>1033</v>
      </c>
      <c r="O2139" t="s">
        <v>6478</v>
      </c>
      <c r="P2139" t="s">
        <v>57</v>
      </c>
      <c r="Q2139">
        <v>1072768</v>
      </c>
      <c r="R2139">
        <v>1073106</v>
      </c>
      <c r="S2139" t="s">
        <v>116</v>
      </c>
      <c r="T2139">
        <v>113</v>
      </c>
      <c r="U2139" t="s">
        <v>59</v>
      </c>
      <c r="V2139">
        <v>49</v>
      </c>
      <c r="W2139" t="str">
        <f>HYPERLINK("Gene1033-zp_tree_all.dnd", "Gene1033-tree")</f>
        <v>Gene1033-tree</v>
      </c>
      <c r="X2139">
        <v>8</v>
      </c>
      <c r="Y2139">
        <v>2</v>
      </c>
      <c r="Z2139">
        <v>8</v>
      </c>
      <c r="AA2139">
        <v>2</v>
      </c>
      <c r="AB2139">
        <v>0.2</v>
      </c>
      <c r="AC2139" t="s">
        <v>136</v>
      </c>
      <c r="AD2139" t="s">
        <v>81</v>
      </c>
      <c r="AE2139" t="s">
        <v>62</v>
      </c>
      <c r="AF2139" t="s">
        <v>62</v>
      </c>
      <c r="AG2139">
        <v>0</v>
      </c>
      <c r="AH2139">
        <v>0</v>
      </c>
      <c r="AI2139">
        <v>6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2</v>
      </c>
      <c r="AT2139">
        <v>0</v>
      </c>
      <c r="AU2139">
        <v>7</v>
      </c>
      <c r="AV2139">
        <v>6</v>
      </c>
      <c r="AW2139">
        <v>8</v>
      </c>
      <c r="AX2139">
        <v>2</v>
      </c>
      <c r="AY2139">
        <v>13</v>
      </c>
      <c r="AZ2139">
        <v>4</v>
      </c>
      <c r="BA2139" t="s">
        <v>6479</v>
      </c>
      <c r="BB2139" t="s">
        <v>6480</v>
      </c>
      <c r="BC2139">
        <v>0.14299999999999999</v>
      </c>
      <c r="BD2139" t="s">
        <v>65</v>
      </c>
      <c r="BE2139">
        <v>21</v>
      </c>
      <c r="BF2139">
        <v>6</v>
      </c>
      <c r="BG2139" t="s">
        <v>6481</v>
      </c>
      <c r="BH2139" t="s">
        <v>6482</v>
      </c>
      <c r="BI2139" t="s">
        <v>6483</v>
      </c>
      <c r="BJ2139">
        <v>8.1799999999999998E-2</v>
      </c>
      <c r="BK2139">
        <v>1</v>
      </c>
      <c r="BL2139" t="s">
        <v>69</v>
      </c>
      <c r="BM2139">
        <v>-1.2230000000000001</v>
      </c>
      <c r="BN2139">
        <v>-0.23699999999999999</v>
      </c>
    </row>
    <row r="2140" spans="2:66">
      <c r="B2140">
        <v>3724</v>
      </c>
      <c r="C2140">
        <v>80</v>
      </c>
      <c r="D2140">
        <v>0</v>
      </c>
      <c r="E2140">
        <v>6</v>
      </c>
      <c r="F2140">
        <v>0</v>
      </c>
      <c r="J2140">
        <v>0</v>
      </c>
      <c r="K2140">
        <v>6</v>
      </c>
      <c r="L2140">
        <v>0</v>
      </c>
      <c r="M2140" t="s">
        <v>25022</v>
      </c>
      <c r="N2140">
        <v>1036</v>
      </c>
      <c r="O2140" t="s">
        <v>6498</v>
      </c>
      <c r="P2140" t="s">
        <v>57</v>
      </c>
      <c r="Q2140">
        <v>1074381</v>
      </c>
      <c r="R2140">
        <v>1074569</v>
      </c>
      <c r="S2140" t="s">
        <v>6499</v>
      </c>
      <c r="T2140">
        <v>63</v>
      </c>
      <c r="U2140" t="s">
        <v>59</v>
      </c>
      <c r="V2140">
        <v>49</v>
      </c>
      <c r="W2140" t="str">
        <f>HYPERLINK("Gene1036-zp_tree_all.dnd", "Gene1036-tree")</f>
        <v>Gene1036-tree</v>
      </c>
      <c r="X2140">
        <v>7</v>
      </c>
      <c r="Y2140">
        <v>6</v>
      </c>
      <c r="Z2140">
        <v>7</v>
      </c>
      <c r="AA2140">
        <v>6</v>
      </c>
      <c r="AB2140">
        <v>0.46154000000000001</v>
      </c>
      <c r="AC2140" t="s">
        <v>152</v>
      </c>
      <c r="AD2140" t="s">
        <v>90</v>
      </c>
      <c r="AE2140" t="s">
        <v>62</v>
      </c>
      <c r="AF2140" t="s">
        <v>62</v>
      </c>
      <c r="AG2140">
        <v>2</v>
      </c>
      <c r="AH2140">
        <v>6</v>
      </c>
      <c r="AI2140">
        <v>2</v>
      </c>
      <c r="AJ2140">
        <v>0.75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6</v>
      </c>
      <c r="AQ2140">
        <v>0</v>
      </c>
      <c r="AR2140">
        <v>6</v>
      </c>
      <c r="AS2140">
        <v>0</v>
      </c>
      <c r="AT2140">
        <v>1</v>
      </c>
      <c r="AU2140">
        <v>8</v>
      </c>
      <c r="AV2140">
        <v>6</v>
      </c>
      <c r="AW2140">
        <v>7</v>
      </c>
      <c r="AX2140">
        <v>4</v>
      </c>
      <c r="AY2140">
        <v>7</v>
      </c>
      <c r="AZ2140">
        <v>4</v>
      </c>
      <c r="BA2140" t="s">
        <v>6500</v>
      </c>
      <c r="BB2140" t="s">
        <v>6501</v>
      </c>
      <c r="BC2140">
        <v>3.0000000000000001E-3</v>
      </c>
      <c r="BD2140" t="s">
        <v>65</v>
      </c>
      <c r="BE2140">
        <v>14</v>
      </c>
      <c r="BF2140">
        <v>8</v>
      </c>
      <c r="BG2140" t="s">
        <v>6502</v>
      </c>
      <c r="BH2140" t="s">
        <v>6503</v>
      </c>
      <c r="BI2140" t="s">
        <v>6504</v>
      </c>
      <c r="BJ2140">
        <v>0.17021</v>
      </c>
      <c r="BK2140">
        <v>0.99</v>
      </c>
      <c r="BL2140" t="s">
        <v>69</v>
      </c>
      <c r="BM2140">
        <v>-0.18099999999999999</v>
      </c>
      <c r="BN2140">
        <v>0.72499999999999998</v>
      </c>
    </row>
    <row r="2141" spans="2:66">
      <c r="B2141">
        <v>3725</v>
      </c>
      <c r="C2141">
        <v>72</v>
      </c>
      <c r="D2141">
        <v>0</v>
      </c>
      <c r="E2141">
        <v>9</v>
      </c>
      <c r="F2141">
        <v>0</v>
      </c>
      <c r="J2141">
        <v>0</v>
      </c>
      <c r="K2141">
        <v>0</v>
      </c>
      <c r="L2141">
        <v>2</v>
      </c>
      <c r="M2141" t="s">
        <v>25022</v>
      </c>
      <c r="N2141">
        <v>1040</v>
      </c>
      <c r="O2141" t="s">
        <v>6525</v>
      </c>
      <c r="P2141" t="s">
        <v>57</v>
      </c>
      <c r="Q2141">
        <v>1077440</v>
      </c>
      <c r="R2141">
        <v>1078180</v>
      </c>
      <c r="S2141" t="s">
        <v>6526</v>
      </c>
      <c r="T2141">
        <v>247</v>
      </c>
      <c r="U2141" t="s">
        <v>59</v>
      </c>
      <c r="V2141">
        <v>49</v>
      </c>
      <c r="W2141" t="str">
        <f>HYPERLINK("Gene1040-zp_tree_all.dnd", "Gene1040-tree")</f>
        <v>Gene1040-tree</v>
      </c>
      <c r="X2141">
        <v>31</v>
      </c>
      <c r="Y2141">
        <v>6</v>
      </c>
      <c r="Z2141">
        <v>11</v>
      </c>
      <c r="AA2141">
        <v>6</v>
      </c>
      <c r="AB2141">
        <v>0.35293999999999998</v>
      </c>
      <c r="AC2141" t="s">
        <v>2860</v>
      </c>
      <c r="AD2141" t="s">
        <v>90</v>
      </c>
      <c r="AE2141" t="s">
        <v>62</v>
      </c>
      <c r="AF2141" t="s">
        <v>62</v>
      </c>
      <c r="AG2141">
        <v>1</v>
      </c>
      <c r="AH2141">
        <v>2</v>
      </c>
      <c r="AI2141">
        <v>7</v>
      </c>
      <c r="AJ2141">
        <v>0.22222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8</v>
      </c>
      <c r="AT2141">
        <v>0</v>
      </c>
      <c r="AU2141">
        <v>14</v>
      </c>
      <c r="AV2141">
        <v>9</v>
      </c>
      <c r="AW2141">
        <v>24</v>
      </c>
      <c r="AX2141">
        <v>9</v>
      </c>
      <c r="AY2141">
        <v>47</v>
      </c>
      <c r="AZ2141">
        <v>1</v>
      </c>
      <c r="BA2141" t="s">
        <v>6527</v>
      </c>
      <c r="BB2141" t="s">
        <v>6528</v>
      </c>
      <c r="BC2141">
        <v>1.421</v>
      </c>
      <c r="BD2141" t="s">
        <v>65</v>
      </c>
      <c r="BE2141">
        <v>71</v>
      </c>
      <c r="BF2141">
        <v>10</v>
      </c>
      <c r="BG2141" t="s">
        <v>6529</v>
      </c>
      <c r="BH2141" t="s">
        <v>6530</v>
      </c>
      <c r="BI2141" t="s">
        <v>6531</v>
      </c>
      <c r="BJ2141">
        <v>1.8839999999999999E-2</v>
      </c>
      <c r="BK2141">
        <v>1</v>
      </c>
      <c r="BL2141" t="s">
        <v>69</v>
      </c>
      <c r="BM2141">
        <v>-1.5629999999999999</v>
      </c>
      <c r="BN2141">
        <v>-1.8140000000000001</v>
      </c>
    </row>
    <row r="2142" spans="2:66">
      <c r="B2142">
        <v>3726</v>
      </c>
      <c r="C2142">
        <v>56</v>
      </c>
      <c r="D2142">
        <v>0</v>
      </c>
      <c r="E2142">
        <v>2</v>
      </c>
      <c r="F2142">
        <v>3</v>
      </c>
      <c r="J2142">
        <v>0</v>
      </c>
      <c r="K2142">
        <v>4</v>
      </c>
      <c r="L2142">
        <v>0</v>
      </c>
      <c r="M2142" t="s">
        <v>25022</v>
      </c>
      <c r="N2142">
        <v>1041</v>
      </c>
      <c r="O2142" t="s">
        <v>6532</v>
      </c>
      <c r="P2142" t="s">
        <v>57</v>
      </c>
      <c r="Q2142">
        <v>1078176</v>
      </c>
      <c r="R2142">
        <v>1079399</v>
      </c>
      <c r="S2142" t="s">
        <v>6533</v>
      </c>
      <c r="T2142">
        <v>408</v>
      </c>
      <c r="U2142" t="s">
        <v>265</v>
      </c>
      <c r="V2142">
        <v>43</v>
      </c>
      <c r="W2142" t="str">
        <f>HYPERLINK("Gene1041-zp_tree_all.dnd", "Gene1041-tree")</f>
        <v>Gene1041-tree</v>
      </c>
      <c r="X2142">
        <v>4</v>
      </c>
      <c r="Y2142">
        <v>10</v>
      </c>
      <c r="Z2142">
        <v>4</v>
      </c>
      <c r="AA2142">
        <v>10</v>
      </c>
      <c r="AB2142">
        <v>0.71428999999999998</v>
      </c>
      <c r="AC2142" t="s">
        <v>61</v>
      </c>
      <c r="AD2142" t="s">
        <v>117</v>
      </c>
      <c r="AE2142" t="s">
        <v>62</v>
      </c>
      <c r="AF2142" t="s">
        <v>62</v>
      </c>
      <c r="AG2142">
        <v>2</v>
      </c>
      <c r="AH2142">
        <v>4</v>
      </c>
      <c r="AI2142">
        <v>13</v>
      </c>
      <c r="AJ2142">
        <v>0.23529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14</v>
      </c>
      <c r="AT2142">
        <v>0</v>
      </c>
      <c r="AU2142">
        <v>14</v>
      </c>
      <c r="AV2142">
        <v>10</v>
      </c>
      <c r="AW2142">
        <v>31</v>
      </c>
      <c r="AX2142">
        <v>14</v>
      </c>
      <c r="AY2142">
        <v>21</v>
      </c>
      <c r="AZ2142">
        <v>3</v>
      </c>
      <c r="BA2142" t="s">
        <v>6534</v>
      </c>
      <c r="BB2142" t="s">
        <v>6535</v>
      </c>
      <c r="BC2142">
        <v>1.077</v>
      </c>
      <c r="BD2142" t="s">
        <v>65</v>
      </c>
      <c r="BE2142">
        <v>52</v>
      </c>
      <c r="BF2142">
        <v>17</v>
      </c>
      <c r="BG2142" t="s">
        <v>6536</v>
      </c>
      <c r="BH2142" t="s">
        <v>6537</v>
      </c>
      <c r="BI2142" t="s">
        <v>6538</v>
      </c>
      <c r="BJ2142">
        <v>8.9050000000000004E-2</v>
      </c>
      <c r="BK2142">
        <v>1</v>
      </c>
      <c r="BL2142" t="s">
        <v>69</v>
      </c>
      <c r="BM2142">
        <v>-0.67100000000000004</v>
      </c>
      <c r="BN2142">
        <v>-1.4670000000000001</v>
      </c>
    </row>
    <row r="2143" spans="2:66">
      <c r="B2143">
        <v>3727</v>
      </c>
      <c r="C2143">
        <v>3</v>
      </c>
      <c r="D2143">
        <v>0</v>
      </c>
      <c r="E2143">
        <v>8</v>
      </c>
      <c r="F2143">
        <v>0</v>
      </c>
      <c r="J2143">
        <v>0</v>
      </c>
      <c r="K2143">
        <v>7</v>
      </c>
      <c r="L2143">
        <v>0</v>
      </c>
      <c r="M2143" t="s">
        <v>25022</v>
      </c>
      <c r="N2143">
        <v>1042</v>
      </c>
      <c r="O2143" t="s">
        <v>6539</v>
      </c>
      <c r="P2143" t="s">
        <v>57</v>
      </c>
      <c r="Q2143">
        <v>1079422</v>
      </c>
      <c r="R2143">
        <v>1080129</v>
      </c>
      <c r="S2143" t="s">
        <v>2512</v>
      </c>
      <c r="T2143">
        <v>236</v>
      </c>
      <c r="U2143" t="s">
        <v>108</v>
      </c>
      <c r="V2143">
        <v>44</v>
      </c>
      <c r="W2143" t="str">
        <f>HYPERLINK("Gene1042-zp_tree_all.dnd", "Gene1042-tree")</f>
        <v>Gene1042-tree</v>
      </c>
      <c r="X2143">
        <v>5</v>
      </c>
      <c r="Y2143">
        <v>10</v>
      </c>
      <c r="Z2143">
        <v>5</v>
      </c>
      <c r="AA2143">
        <v>10</v>
      </c>
      <c r="AB2143">
        <v>0.66666999999999998</v>
      </c>
      <c r="AC2143" t="s">
        <v>199</v>
      </c>
      <c r="AD2143" t="s">
        <v>117</v>
      </c>
      <c r="AE2143" t="s">
        <v>62</v>
      </c>
      <c r="AF2143" t="s">
        <v>62</v>
      </c>
      <c r="AG2143">
        <v>3</v>
      </c>
      <c r="AH2143">
        <v>7</v>
      </c>
      <c r="AI2143">
        <v>13</v>
      </c>
      <c r="AJ2143">
        <v>0.35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4</v>
      </c>
      <c r="AQ2143">
        <v>0</v>
      </c>
      <c r="AR2143">
        <v>4</v>
      </c>
      <c r="AS2143">
        <v>13</v>
      </c>
      <c r="AT2143">
        <v>0.23529</v>
      </c>
      <c r="AU2143">
        <v>13</v>
      </c>
      <c r="AV2143">
        <v>11</v>
      </c>
      <c r="AW2143">
        <v>27</v>
      </c>
      <c r="AX2143">
        <v>15</v>
      </c>
      <c r="AY2143">
        <v>15</v>
      </c>
      <c r="AZ2143">
        <v>5</v>
      </c>
      <c r="BA2143" t="s">
        <v>6540</v>
      </c>
      <c r="BB2143" t="s">
        <v>6541</v>
      </c>
      <c r="BC2143">
        <v>0.69699999999999995</v>
      </c>
      <c r="BD2143" t="s">
        <v>65</v>
      </c>
      <c r="BE2143">
        <v>42</v>
      </c>
      <c r="BF2143">
        <v>20</v>
      </c>
      <c r="BG2143" t="s">
        <v>6542</v>
      </c>
      <c r="BH2143" t="s">
        <v>6543</v>
      </c>
      <c r="BI2143" t="s">
        <v>6544</v>
      </c>
      <c r="BJ2143">
        <v>0.10902000000000001</v>
      </c>
      <c r="BK2143">
        <v>1</v>
      </c>
      <c r="BL2143" t="s">
        <v>69</v>
      </c>
      <c r="BM2143">
        <v>-0.17399999999999999</v>
      </c>
      <c r="BN2143">
        <v>-0.98</v>
      </c>
    </row>
    <row r="2144" spans="2:66">
      <c r="B2144">
        <v>3728</v>
      </c>
      <c r="C2144">
        <v>64</v>
      </c>
      <c r="D2144">
        <v>0</v>
      </c>
      <c r="E2144">
        <v>6</v>
      </c>
      <c r="F2144">
        <v>2</v>
      </c>
      <c r="J2144">
        <v>0</v>
      </c>
      <c r="K2144">
        <v>7</v>
      </c>
      <c r="L2144">
        <v>2</v>
      </c>
      <c r="M2144" t="s">
        <v>25022</v>
      </c>
      <c r="N2144">
        <v>1047</v>
      </c>
      <c r="O2144" t="s">
        <v>6564</v>
      </c>
      <c r="P2144" t="s">
        <v>57</v>
      </c>
      <c r="Q2144">
        <v>1083851</v>
      </c>
      <c r="R2144">
        <v>1085992</v>
      </c>
      <c r="S2144" t="s">
        <v>6565</v>
      </c>
      <c r="T2144">
        <v>714</v>
      </c>
      <c r="U2144" t="s">
        <v>108</v>
      </c>
      <c r="V2144">
        <v>44</v>
      </c>
      <c r="W2144" t="str">
        <f>HYPERLINK("Gene1047-zp_tree_all.dnd", "Gene1047-tree")</f>
        <v>Gene1047-tree</v>
      </c>
      <c r="X2144">
        <v>5</v>
      </c>
      <c r="Y2144">
        <v>9</v>
      </c>
      <c r="Z2144">
        <v>5</v>
      </c>
      <c r="AA2144">
        <v>9</v>
      </c>
      <c r="AB2144">
        <v>0.64285999999999999</v>
      </c>
      <c r="AC2144" t="s">
        <v>199</v>
      </c>
      <c r="AD2144" t="s">
        <v>135</v>
      </c>
      <c r="AE2144" t="s">
        <v>62</v>
      </c>
      <c r="AF2144" t="s">
        <v>62</v>
      </c>
      <c r="AG2144">
        <v>4</v>
      </c>
      <c r="AH2144">
        <v>9</v>
      </c>
      <c r="AI2144">
        <v>15</v>
      </c>
      <c r="AJ2144">
        <v>0.375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2</v>
      </c>
      <c r="AQ2144">
        <v>2</v>
      </c>
      <c r="AR2144">
        <v>4</v>
      </c>
      <c r="AS2144">
        <v>12</v>
      </c>
      <c r="AT2144">
        <v>0.25</v>
      </c>
      <c r="AU2144">
        <v>13</v>
      </c>
      <c r="AV2144">
        <v>11</v>
      </c>
      <c r="AW2144">
        <v>71</v>
      </c>
      <c r="AX2144">
        <v>17</v>
      </c>
      <c r="AY2144">
        <v>65</v>
      </c>
      <c r="AZ2144">
        <v>9</v>
      </c>
      <c r="BA2144" t="s">
        <v>6566</v>
      </c>
      <c r="BB2144" t="s">
        <v>6567</v>
      </c>
      <c r="BC2144">
        <v>0.61599999999999999</v>
      </c>
      <c r="BD2144" t="s">
        <v>65</v>
      </c>
      <c r="BE2144">
        <v>136</v>
      </c>
      <c r="BF2144">
        <v>26</v>
      </c>
      <c r="BG2144" t="s">
        <v>6568</v>
      </c>
      <c r="BH2144" t="s">
        <v>6569</v>
      </c>
      <c r="BI2144" t="s">
        <v>6570</v>
      </c>
      <c r="BJ2144">
        <v>6.6960000000000006E-2</v>
      </c>
      <c r="BK2144">
        <v>1</v>
      </c>
      <c r="BL2144" t="s">
        <v>69</v>
      </c>
      <c r="BM2144">
        <v>-0.48199999999999998</v>
      </c>
      <c r="BN2144">
        <v>-1.4630000000000001</v>
      </c>
    </row>
    <row r="2145" spans="2:66">
      <c r="B2145">
        <v>3729</v>
      </c>
      <c r="C2145">
        <v>63</v>
      </c>
      <c r="D2145">
        <v>0</v>
      </c>
      <c r="E2145">
        <v>12</v>
      </c>
      <c r="F2145">
        <v>1</v>
      </c>
      <c r="J2145">
        <v>0</v>
      </c>
      <c r="K2145">
        <v>4</v>
      </c>
      <c r="L2145">
        <v>2</v>
      </c>
      <c r="M2145" t="s">
        <v>25022</v>
      </c>
      <c r="N2145">
        <v>1048</v>
      </c>
      <c r="O2145" t="s">
        <v>6571</v>
      </c>
      <c r="P2145" t="s">
        <v>57</v>
      </c>
      <c r="Q2145">
        <v>1086117</v>
      </c>
      <c r="R2145">
        <v>1087175</v>
      </c>
      <c r="S2145" t="s">
        <v>6572</v>
      </c>
      <c r="T2145">
        <v>353</v>
      </c>
      <c r="U2145" t="s">
        <v>465</v>
      </c>
      <c r="V2145">
        <v>46</v>
      </c>
      <c r="W2145" t="str">
        <f>HYPERLINK("Gene1048-zp_tree_all.dnd", "Gene1048-tree")</f>
        <v>Gene1048-tree</v>
      </c>
      <c r="X2145">
        <v>8</v>
      </c>
      <c r="Y2145">
        <v>8</v>
      </c>
      <c r="Z2145">
        <v>8</v>
      </c>
      <c r="AA2145">
        <v>8</v>
      </c>
      <c r="AB2145">
        <v>0.5</v>
      </c>
      <c r="AC2145" t="s">
        <v>136</v>
      </c>
      <c r="AD2145" t="s">
        <v>136</v>
      </c>
      <c r="AE2145" t="s">
        <v>62</v>
      </c>
      <c r="AF2145" t="s">
        <v>62</v>
      </c>
      <c r="AG2145">
        <v>3</v>
      </c>
      <c r="AH2145">
        <v>6</v>
      </c>
      <c r="AI2145">
        <v>17</v>
      </c>
      <c r="AJ2145">
        <v>0.26086999999999999</v>
      </c>
      <c r="AK2145">
        <v>0</v>
      </c>
      <c r="AL2145">
        <v>0</v>
      </c>
      <c r="AM2145">
        <v>0</v>
      </c>
      <c r="AN2145">
        <v>4</v>
      </c>
      <c r="AO2145">
        <v>0</v>
      </c>
      <c r="AP2145">
        <v>0</v>
      </c>
      <c r="AQ2145">
        <v>0</v>
      </c>
      <c r="AR2145">
        <v>0</v>
      </c>
      <c r="AS2145">
        <v>8</v>
      </c>
      <c r="AT2145">
        <v>0</v>
      </c>
      <c r="AU2145">
        <v>15</v>
      </c>
      <c r="AV2145">
        <v>13</v>
      </c>
      <c r="AW2145">
        <v>28</v>
      </c>
      <c r="AX2145">
        <v>8</v>
      </c>
      <c r="AY2145">
        <v>66</v>
      </c>
      <c r="AZ2145">
        <v>15</v>
      </c>
      <c r="BA2145" t="s">
        <v>6573</v>
      </c>
      <c r="BB2145" t="s">
        <v>6574</v>
      </c>
      <c r="BC2145">
        <v>0.24299999999999999</v>
      </c>
      <c r="BD2145" t="s">
        <v>65</v>
      </c>
      <c r="BE2145">
        <v>94</v>
      </c>
      <c r="BF2145">
        <v>23</v>
      </c>
      <c r="BG2145" t="s">
        <v>6575</v>
      </c>
      <c r="BH2145" t="s">
        <v>6576</v>
      </c>
      <c r="BI2145" t="s">
        <v>6577</v>
      </c>
      <c r="BJ2145">
        <v>7.4490000000000001E-2</v>
      </c>
      <c r="BK2145">
        <v>1</v>
      </c>
      <c r="BL2145" t="s">
        <v>69</v>
      </c>
      <c r="BM2145">
        <v>-1.1240000000000001</v>
      </c>
      <c r="BN2145">
        <v>7.0000000000000007E-2</v>
      </c>
    </row>
    <row r="2146" spans="2:66">
      <c r="B2146">
        <v>3731</v>
      </c>
      <c r="C2146">
        <v>157</v>
      </c>
      <c r="D2146">
        <v>0</v>
      </c>
      <c r="E2146">
        <v>2</v>
      </c>
      <c r="F2146">
        <v>0</v>
      </c>
      <c r="J2146">
        <v>0</v>
      </c>
      <c r="K2146">
        <v>4</v>
      </c>
      <c r="L2146">
        <v>0</v>
      </c>
      <c r="M2146" t="s">
        <v>25022</v>
      </c>
      <c r="N2146">
        <v>1049</v>
      </c>
      <c r="O2146" t="s">
        <v>6578</v>
      </c>
      <c r="P2146" t="s">
        <v>57</v>
      </c>
      <c r="Q2146">
        <v>1087250</v>
      </c>
      <c r="R2146">
        <v>1088179</v>
      </c>
      <c r="S2146" t="s">
        <v>6579</v>
      </c>
      <c r="T2146">
        <v>310</v>
      </c>
      <c r="U2146" t="s">
        <v>108</v>
      </c>
      <c r="V2146">
        <v>44</v>
      </c>
      <c r="W2146" t="str">
        <f>HYPERLINK("Gene1049-zp_tree_all.dnd", "Gene1049-tree")</f>
        <v>Gene1049-tree</v>
      </c>
      <c r="X2146">
        <v>8</v>
      </c>
      <c r="Y2146">
        <v>6</v>
      </c>
      <c r="Z2146">
        <v>8</v>
      </c>
      <c r="AA2146">
        <v>6</v>
      </c>
      <c r="AB2146">
        <v>0.42857000000000001</v>
      </c>
      <c r="AC2146" t="s">
        <v>136</v>
      </c>
      <c r="AD2146" t="s">
        <v>90</v>
      </c>
      <c r="AE2146" t="s">
        <v>62</v>
      </c>
      <c r="AF2146" t="s">
        <v>62</v>
      </c>
      <c r="AG2146">
        <v>2</v>
      </c>
      <c r="AH2146">
        <v>4</v>
      </c>
      <c r="AI2146">
        <v>5</v>
      </c>
      <c r="AJ2146">
        <v>0.44444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0</v>
      </c>
      <c r="AR2146">
        <v>2</v>
      </c>
      <c r="AS2146">
        <v>6</v>
      </c>
      <c r="AT2146">
        <v>0.25</v>
      </c>
      <c r="AU2146">
        <v>13</v>
      </c>
      <c r="AV2146">
        <v>8</v>
      </c>
      <c r="AW2146">
        <v>24</v>
      </c>
      <c r="AX2146">
        <v>8</v>
      </c>
      <c r="AY2146">
        <v>10</v>
      </c>
      <c r="AZ2146">
        <v>1</v>
      </c>
      <c r="BA2146" t="s">
        <v>6580</v>
      </c>
      <c r="BB2146" t="s">
        <v>6581</v>
      </c>
      <c r="BC2146">
        <v>0.73</v>
      </c>
      <c r="BD2146" t="s">
        <v>65</v>
      </c>
      <c r="BE2146">
        <v>34</v>
      </c>
      <c r="BF2146">
        <v>9</v>
      </c>
      <c r="BG2146" t="s">
        <v>6582</v>
      </c>
      <c r="BH2146" t="s">
        <v>6583</v>
      </c>
      <c r="BI2146" t="s">
        <v>6584</v>
      </c>
      <c r="BJ2146">
        <v>7.3279999999999998E-2</v>
      </c>
      <c r="BK2146">
        <v>1</v>
      </c>
      <c r="BL2146" t="s">
        <v>69</v>
      </c>
      <c r="BM2146">
        <v>-0.25700000000000001</v>
      </c>
      <c r="BN2146">
        <v>-1.0089999999999999</v>
      </c>
    </row>
    <row r="2147" spans="2:66">
      <c r="B2147">
        <v>3732</v>
      </c>
      <c r="C2147">
        <v>11</v>
      </c>
      <c r="D2147">
        <v>0</v>
      </c>
      <c r="E2147">
        <v>0</v>
      </c>
      <c r="F2147">
        <v>4</v>
      </c>
      <c r="J2147">
        <v>0</v>
      </c>
      <c r="K2147">
        <v>2</v>
      </c>
      <c r="L2147">
        <v>0</v>
      </c>
      <c r="M2147" t="s">
        <v>25022</v>
      </c>
      <c r="N2147">
        <v>1050</v>
      </c>
      <c r="O2147" t="s">
        <v>6585</v>
      </c>
      <c r="P2147" t="s">
        <v>57</v>
      </c>
      <c r="Q2147">
        <v>1088197</v>
      </c>
      <c r="R2147">
        <v>1089606</v>
      </c>
      <c r="S2147" t="s">
        <v>6586</v>
      </c>
      <c r="T2147">
        <v>470</v>
      </c>
      <c r="U2147" t="s">
        <v>108</v>
      </c>
      <c r="V2147">
        <v>44</v>
      </c>
      <c r="W2147" t="str">
        <f>HYPERLINK("Gene1050-zp_tree_all.dnd", "Gene1050-tree")</f>
        <v>Gene1050-tree</v>
      </c>
      <c r="X2147">
        <v>5</v>
      </c>
      <c r="Y2147">
        <v>10</v>
      </c>
      <c r="Z2147">
        <v>5</v>
      </c>
      <c r="AA2147">
        <v>10</v>
      </c>
      <c r="AB2147">
        <v>0.66666999999999998</v>
      </c>
      <c r="AC2147" t="s">
        <v>199</v>
      </c>
      <c r="AD2147" t="s">
        <v>117</v>
      </c>
      <c r="AE2147" t="s">
        <v>62</v>
      </c>
      <c r="AF2147" t="s">
        <v>62</v>
      </c>
      <c r="AG2147">
        <v>1</v>
      </c>
      <c r="AH2147">
        <v>2</v>
      </c>
      <c r="AI2147">
        <v>15</v>
      </c>
      <c r="AJ2147">
        <v>0.11765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14</v>
      </c>
      <c r="AT2147">
        <v>0</v>
      </c>
      <c r="AU2147">
        <v>13</v>
      </c>
      <c r="AV2147">
        <v>11</v>
      </c>
      <c r="AW2147">
        <v>46</v>
      </c>
      <c r="AX2147">
        <v>12</v>
      </c>
      <c r="AY2147">
        <v>43</v>
      </c>
      <c r="AZ2147">
        <v>5</v>
      </c>
      <c r="BA2147" t="s">
        <v>6587</v>
      </c>
      <c r="BB2147" t="s">
        <v>6588</v>
      </c>
      <c r="BC2147">
        <v>0.70399999999999996</v>
      </c>
      <c r="BD2147" t="s">
        <v>65</v>
      </c>
      <c r="BE2147">
        <v>89</v>
      </c>
      <c r="BF2147">
        <v>17</v>
      </c>
      <c r="BG2147" t="s">
        <v>6589</v>
      </c>
      <c r="BH2147" t="s">
        <v>6590</v>
      </c>
      <c r="BI2147" t="s">
        <v>6591</v>
      </c>
      <c r="BJ2147">
        <v>6.0380000000000003E-2</v>
      </c>
      <c r="BK2147">
        <v>1</v>
      </c>
      <c r="BL2147" t="s">
        <v>69</v>
      </c>
      <c r="BM2147">
        <v>-0.25800000000000001</v>
      </c>
      <c r="BN2147">
        <v>-0.70699999999999996</v>
      </c>
    </row>
    <row r="2148" spans="2:66">
      <c r="B2148">
        <v>3735</v>
      </c>
      <c r="C2148">
        <v>129</v>
      </c>
      <c r="D2148">
        <v>0</v>
      </c>
      <c r="E2148">
        <v>13</v>
      </c>
      <c r="F2148">
        <v>0</v>
      </c>
      <c r="J2148">
        <v>0</v>
      </c>
      <c r="K2148">
        <v>3</v>
      </c>
      <c r="L2148">
        <v>1</v>
      </c>
      <c r="M2148" t="s">
        <v>25022</v>
      </c>
      <c r="N2148">
        <v>1051</v>
      </c>
      <c r="O2148" t="s">
        <v>6592</v>
      </c>
      <c r="P2148" t="s">
        <v>57</v>
      </c>
      <c r="Q2148">
        <v>1089755</v>
      </c>
      <c r="R2148">
        <v>1090327</v>
      </c>
      <c r="S2148" t="s">
        <v>6593</v>
      </c>
      <c r="T2148">
        <v>191</v>
      </c>
      <c r="U2148" t="s">
        <v>6390</v>
      </c>
      <c r="V2148">
        <v>45</v>
      </c>
      <c r="W2148" t="str">
        <f>HYPERLINK("Gene1051-zp_tree_all.dnd", "Gene1051-tree")</f>
        <v>Gene1051-tree</v>
      </c>
      <c r="X2148">
        <v>6</v>
      </c>
      <c r="Y2148">
        <v>8</v>
      </c>
      <c r="Z2148">
        <v>6</v>
      </c>
      <c r="AA2148">
        <v>8</v>
      </c>
      <c r="AB2148">
        <v>0.57142999999999999</v>
      </c>
      <c r="AC2148" t="s">
        <v>90</v>
      </c>
      <c r="AD2148" t="s">
        <v>136</v>
      </c>
      <c r="AE2148" t="s">
        <v>62</v>
      </c>
      <c r="AF2148" t="s">
        <v>62</v>
      </c>
      <c r="AG2148">
        <v>1</v>
      </c>
      <c r="AH2148">
        <v>4</v>
      </c>
      <c r="AI2148">
        <v>7</v>
      </c>
      <c r="AJ2148">
        <v>0.36364000000000002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1</v>
      </c>
      <c r="AR2148">
        <v>3</v>
      </c>
      <c r="AS2148">
        <v>6</v>
      </c>
      <c r="AT2148">
        <v>0.33333000000000002</v>
      </c>
      <c r="AU2148">
        <v>9</v>
      </c>
      <c r="AV2148">
        <v>6</v>
      </c>
      <c r="AW2148">
        <v>29</v>
      </c>
      <c r="AX2148">
        <v>10</v>
      </c>
      <c r="AY2148">
        <v>5</v>
      </c>
      <c r="AZ2148">
        <v>2</v>
      </c>
      <c r="BA2148" t="s">
        <v>6594</v>
      </c>
      <c r="BB2148" t="s">
        <v>6595</v>
      </c>
      <c r="BC2148">
        <v>8.6999999999999994E-2</v>
      </c>
      <c r="BD2148" t="s">
        <v>65</v>
      </c>
      <c r="BE2148">
        <v>34</v>
      </c>
      <c r="BF2148">
        <v>12</v>
      </c>
      <c r="BG2148" t="s">
        <v>6596</v>
      </c>
      <c r="BH2148" t="s">
        <v>6597</v>
      </c>
      <c r="BI2148" t="s">
        <v>6598</v>
      </c>
      <c r="BJ2148">
        <v>7.7439999999999995E-2</v>
      </c>
      <c r="BK2148">
        <v>1</v>
      </c>
      <c r="BL2148" t="s">
        <v>69</v>
      </c>
      <c r="BM2148">
        <v>-1.7889999999999999</v>
      </c>
      <c r="BN2148">
        <v>-5.03</v>
      </c>
    </row>
    <row r="2149" spans="2:66">
      <c r="B2149">
        <v>3736</v>
      </c>
      <c r="C2149">
        <v>59</v>
      </c>
      <c r="D2149">
        <v>0</v>
      </c>
      <c r="E2149">
        <v>6</v>
      </c>
      <c r="F2149">
        <v>0</v>
      </c>
      <c r="J2149">
        <v>0</v>
      </c>
      <c r="K2149">
        <v>28</v>
      </c>
      <c r="L2149">
        <v>2</v>
      </c>
      <c r="M2149" t="s">
        <v>25022</v>
      </c>
      <c r="N2149">
        <v>1052</v>
      </c>
      <c r="O2149" t="s">
        <v>6599</v>
      </c>
      <c r="P2149" t="s">
        <v>57</v>
      </c>
      <c r="Q2149">
        <v>1090401</v>
      </c>
      <c r="R2149">
        <v>1092725</v>
      </c>
      <c r="S2149" t="s">
        <v>6600</v>
      </c>
      <c r="T2149">
        <v>775</v>
      </c>
      <c r="U2149" t="s">
        <v>6601</v>
      </c>
      <c r="V2149">
        <v>36</v>
      </c>
      <c r="W2149" t="str">
        <f>HYPERLINK("Gene1052-zp_tree_all.dnd", "Gene1052-tree")</f>
        <v>Gene1052-tree</v>
      </c>
      <c r="X2149">
        <v>5</v>
      </c>
      <c r="Y2149">
        <v>9</v>
      </c>
      <c r="Z2149">
        <v>5</v>
      </c>
      <c r="AA2149">
        <v>9</v>
      </c>
      <c r="AB2149">
        <v>0.64285999999999999</v>
      </c>
      <c r="AC2149" t="s">
        <v>199</v>
      </c>
      <c r="AD2149" t="s">
        <v>135</v>
      </c>
      <c r="AE2149" t="s">
        <v>62</v>
      </c>
      <c r="AF2149" t="s">
        <v>62</v>
      </c>
      <c r="AG2149">
        <v>14</v>
      </c>
      <c r="AH2149">
        <v>30</v>
      </c>
      <c r="AI2149">
        <v>36</v>
      </c>
      <c r="AJ2149">
        <v>0.45455000000000001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25</v>
      </c>
      <c r="AT2149">
        <v>0</v>
      </c>
      <c r="AU2149">
        <v>12</v>
      </c>
      <c r="AV2149">
        <v>11</v>
      </c>
      <c r="AW2149">
        <v>103</v>
      </c>
      <c r="AX2149">
        <v>25</v>
      </c>
      <c r="AY2149">
        <v>98</v>
      </c>
      <c r="AZ2149">
        <v>48</v>
      </c>
      <c r="BA2149" t="s">
        <v>6602</v>
      </c>
      <c r="BB2149" t="s">
        <v>6603</v>
      </c>
      <c r="BC2149">
        <v>0.38800000000000001</v>
      </c>
      <c r="BD2149" t="s">
        <v>65</v>
      </c>
      <c r="BE2149">
        <v>201</v>
      </c>
      <c r="BF2149">
        <v>73</v>
      </c>
      <c r="BG2149" t="s">
        <v>6604</v>
      </c>
      <c r="BH2149" t="s">
        <v>6605</v>
      </c>
      <c r="BI2149" t="s">
        <v>6606</v>
      </c>
      <c r="BJ2149">
        <v>0.13391</v>
      </c>
      <c r="BK2149">
        <v>1</v>
      </c>
      <c r="BL2149" t="s">
        <v>69</v>
      </c>
      <c r="BM2149">
        <v>-8.9999999999999993E-3</v>
      </c>
      <c r="BN2149">
        <v>0.128</v>
      </c>
    </row>
    <row r="2150" spans="2:66">
      <c r="B2150">
        <v>3738</v>
      </c>
      <c r="C2150">
        <v>324</v>
      </c>
      <c r="D2150">
        <v>0</v>
      </c>
      <c r="E2150">
        <v>5</v>
      </c>
      <c r="F2150">
        <v>0</v>
      </c>
      <c r="J2150">
        <v>0</v>
      </c>
      <c r="K2150">
        <v>8</v>
      </c>
      <c r="L2150">
        <v>0</v>
      </c>
      <c r="M2150" t="s">
        <v>25022</v>
      </c>
      <c r="N2150">
        <v>1054</v>
      </c>
      <c r="O2150" t="s">
        <v>6614</v>
      </c>
      <c r="P2150" t="s">
        <v>57</v>
      </c>
      <c r="Q2150">
        <v>1093874</v>
      </c>
      <c r="R2150">
        <v>1094647</v>
      </c>
      <c r="S2150" t="s">
        <v>6103</v>
      </c>
      <c r="T2150">
        <v>258</v>
      </c>
      <c r="U2150" t="s">
        <v>108</v>
      </c>
      <c r="V2150">
        <v>44</v>
      </c>
      <c r="W2150" t="str">
        <f>HYPERLINK("Gene1054-zp_tree_all.dnd", "Gene1054-tree")</f>
        <v>Gene1054-tree</v>
      </c>
      <c r="X2150">
        <v>3</v>
      </c>
      <c r="Y2150">
        <v>8</v>
      </c>
      <c r="Z2150">
        <v>3</v>
      </c>
      <c r="AA2150">
        <v>8</v>
      </c>
      <c r="AB2150">
        <v>0.72726999999999997</v>
      </c>
      <c r="AC2150" t="s">
        <v>324</v>
      </c>
      <c r="AD2150" t="s">
        <v>136</v>
      </c>
      <c r="AE2150" t="s">
        <v>62</v>
      </c>
      <c r="AF2150" t="s">
        <v>62</v>
      </c>
      <c r="AG2150">
        <v>3</v>
      </c>
      <c r="AH2150">
        <v>8</v>
      </c>
      <c r="AI2150">
        <v>15</v>
      </c>
      <c r="AJ2150">
        <v>0.34782999999999997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4</v>
      </c>
      <c r="AQ2150">
        <v>0</v>
      </c>
      <c r="AR2150">
        <v>4</v>
      </c>
      <c r="AS2150">
        <v>14</v>
      </c>
      <c r="AT2150">
        <v>0.22222</v>
      </c>
      <c r="AU2150">
        <v>10</v>
      </c>
      <c r="AV2150">
        <v>6</v>
      </c>
      <c r="AW2150">
        <v>29</v>
      </c>
      <c r="AX2150">
        <v>18</v>
      </c>
      <c r="AY2150">
        <v>16</v>
      </c>
      <c r="AZ2150">
        <v>5</v>
      </c>
      <c r="BA2150" t="s">
        <v>6615</v>
      </c>
      <c r="BB2150" t="s">
        <v>6616</v>
      </c>
      <c r="BC2150">
        <v>0.94899999999999995</v>
      </c>
      <c r="BD2150" t="s">
        <v>65</v>
      </c>
      <c r="BE2150">
        <v>45</v>
      </c>
      <c r="BF2150">
        <v>23</v>
      </c>
      <c r="BG2150" t="s">
        <v>6617</v>
      </c>
      <c r="BH2150" t="s">
        <v>6618</v>
      </c>
      <c r="BI2150" t="s">
        <v>6619</v>
      </c>
      <c r="BJ2150">
        <v>0.13686000000000001</v>
      </c>
      <c r="BK2150">
        <v>1</v>
      </c>
      <c r="BL2150" t="s">
        <v>69</v>
      </c>
      <c r="BM2150">
        <v>-0.80800000000000005</v>
      </c>
      <c r="BN2150">
        <v>-2.2749999999999999</v>
      </c>
    </row>
    <row r="2151" spans="2:66">
      <c r="B2151">
        <v>3740</v>
      </c>
      <c r="C2151">
        <v>21</v>
      </c>
      <c r="D2151">
        <v>0</v>
      </c>
      <c r="E2151">
        <v>5</v>
      </c>
      <c r="F2151">
        <v>2</v>
      </c>
      <c r="J2151">
        <v>0</v>
      </c>
      <c r="K2151">
        <v>3</v>
      </c>
      <c r="L2151">
        <v>0</v>
      </c>
      <c r="M2151" t="s">
        <v>25022</v>
      </c>
      <c r="N2151">
        <v>1055</v>
      </c>
      <c r="O2151" t="s">
        <v>6620</v>
      </c>
      <c r="P2151" t="s">
        <v>57</v>
      </c>
      <c r="Q2151">
        <v>1095063</v>
      </c>
      <c r="R2151">
        <v>1096100</v>
      </c>
      <c r="S2151" t="s">
        <v>6621</v>
      </c>
      <c r="T2151">
        <v>346</v>
      </c>
      <c r="U2151" t="s">
        <v>72</v>
      </c>
      <c r="V2151">
        <v>45</v>
      </c>
      <c r="W2151" t="str">
        <f>HYPERLINK("Gene1055-zp_tree_all.dnd", "Gene1055-tree")</f>
        <v>Gene1055-tree</v>
      </c>
      <c r="X2151">
        <v>7</v>
      </c>
      <c r="Y2151">
        <v>6</v>
      </c>
      <c r="Z2151">
        <v>7</v>
      </c>
      <c r="AA2151">
        <v>6</v>
      </c>
      <c r="AB2151">
        <v>0.46154000000000001</v>
      </c>
      <c r="AC2151" t="s">
        <v>152</v>
      </c>
      <c r="AD2151" t="s">
        <v>90</v>
      </c>
      <c r="AE2151" t="s">
        <v>62</v>
      </c>
      <c r="AF2151" t="s">
        <v>62</v>
      </c>
      <c r="AG2151">
        <v>1</v>
      </c>
      <c r="AH2151">
        <v>3</v>
      </c>
      <c r="AI2151">
        <v>9</v>
      </c>
      <c r="AJ2151">
        <v>0.25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2</v>
      </c>
      <c r="AQ2151">
        <v>0</v>
      </c>
      <c r="AR2151">
        <v>2</v>
      </c>
      <c r="AS2151">
        <v>8</v>
      </c>
      <c r="AT2151">
        <v>0.2</v>
      </c>
      <c r="AU2151">
        <v>12</v>
      </c>
      <c r="AV2151">
        <v>9</v>
      </c>
      <c r="AW2151">
        <v>72</v>
      </c>
      <c r="AX2151">
        <v>10</v>
      </c>
      <c r="AY2151">
        <v>23</v>
      </c>
      <c r="AZ2151">
        <v>2</v>
      </c>
      <c r="BA2151" t="s">
        <v>6622</v>
      </c>
      <c r="BB2151" t="s">
        <v>6623</v>
      </c>
      <c r="BC2151">
        <v>0.21</v>
      </c>
      <c r="BD2151" t="s">
        <v>65</v>
      </c>
      <c r="BE2151">
        <v>95</v>
      </c>
      <c r="BF2151">
        <v>12</v>
      </c>
      <c r="BG2151" t="s">
        <v>6624</v>
      </c>
      <c r="BH2151" t="s">
        <v>6625</v>
      </c>
      <c r="BI2151" t="s">
        <v>6626</v>
      </c>
      <c r="BJ2151">
        <v>3.2250000000000001E-2</v>
      </c>
      <c r="BK2151">
        <v>1</v>
      </c>
      <c r="BL2151" t="s">
        <v>69</v>
      </c>
      <c r="BM2151">
        <v>-1.571</v>
      </c>
      <c r="BN2151">
        <v>-4.0270000000000001</v>
      </c>
    </row>
    <row r="2152" spans="2:66">
      <c r="B2152">
        <v>3742</v>
      </c>
      <c r="C2152">
        <v>233</v>
      </c>
      <c r="D2152">
        <v>0</v>
      </c>
      <c r="E2152">
        <v>9</v>
      </c>
      <c r="F2152">
        <v>8</v>
      </c>
      <c r="J2152">
        <v>0</v>
      </c>
      <c r="K2152">
        <v>0</v>
      </c>
      <c r="L2152">
        <v>4</v>
      </c>
      <c r="M2152" t="s">
        <v>25022</v>
      </c>
      <c r="N2152">
        <v>1056</v>
      </c>
      <c r="O2152" t="s">
        <v>6627</v>
      </c>
      <c r="P2152" t="s">
        <v>57</v>
      </c>
      <c r="Q2152">
        <v>1096116</v>
      </c>
      <c r="R2152">
        <v>1096520</v>
      </c>
      <c r="S2152" t="s">
        <v>6628</v>
      </c>
      <c r="T2152">
        <v>135</v>
      </c>
      <c r="U2152" t="s">
        <v>108</v>
      </c>
      <c r="V2152">
        <v>44</v>
      </c>
      <c r="W2152" t="str">
        <f>HYPERLINK("Gene1056-zp_tree_all.dnd", "Gene1056-tree")</f>
        <v>Gene1056-tree</v>
      </c>
      <c r="X2152">
        <v>6</v>
      </c>
      <c r="Y2152">
        <v>7</v>
      </c>
      <c r="Z2152">
        <v>6</v>
      </c>
      <c r="AA2152">
        <v>7</v>
      </c>
      <c r="AB2152">
        <v>0.53846000000000005</v>
      </c>
      <c r="AC2152" t="s">
        <v>90</v>
      </c>
      <c r="AD2152" t="s">
        <v>152</v>
      </c>
      <c r="AE2152" t="s">
        <v>62</v>
      </c>
      <c r="AF2152" t="s">
        <v>62</v>
      </c>
      <c r="AG2152">
        <v>2</v>
      </c>
      <c r="AH2152">
        <v>4</v>
      </c>
      <c r="AI2152">
        <v>8</v>
      </c>
      <c r="AJ2152">
        <v>0.33333000000000002</v>
      </c>
      <c r="AK2152">
        <v>0</v>
      </c>
      <c r="AL2152">
        <v>0</v>
      </c>
      <c r="AM2152">
        <v>0</v>
      </c>
      <c r="AN2152">
        <v>2</v>
      </c>
      <c r="AO2152">
        <v>0</v>
      </c>
      <c r="AP2152">
        <v>0</v>
      </c>
      <c r="AQ2152">
        <v>4</v>
      </c>
      <c r="AR2152">
        <v>4</v>
      </c>
      <c r="AS2152">
        <v>5</v>
      </c>
      <c r="AT2152">
        <v>0.44444</v>
      </c>
      <c r="AU2152">
        <v>9</v>
      </c>
      <c r="AV2152">
        <v>7</v>
      </c>
      <c r="AW2152">
        <v>5</v>
      </c>
      <c r="AX2152">
        <v>9</v>
      </c>
      <c r="AY2152">
        <v>10</v>
      </c>
      <c r="AZ2152">
        <v>4</v>
      </c>
      <c r="BA2152" t="s">
        <v>6629</v>
      </c>
      <c r="BB2152" t="s">
        <v>6630</v>
      </c>
      <c r="BC2152">
        <v>1.0549999999999999</v>
      </c>
      <c r="BD2152" t="s">
        <v>65</v>
      </c>
      <c r="BE2152">
        <v>15</v>
      </c>
      <c r="BF2152">
        <v>13</v>
      </c>
      <c r="BG2152" t="s">
        <v>6631</v>
      </c>
      <c r="BH2152" t="s">
        <v>6632</v>
      </c>
      <c r="BI2152" t="s">
        <v>6633</v>
      </c>
      <c r="BJ2152">
        <v>0.16574</v>
      </c>
      <c r="BK2152">
        <v>1</v>
      </c>
      <c r="BL2152" t="s">
        <v>69</v>
      </c>
      <c r="BM2152">
        <v>0.16800000000000001</v>
      </c>
      <c r="BN2152">
        <v>-0.82399999999999995</v>
      </c>
    </row>
    <row r="2153" spans="2:66">
      <c r="B2153">
        <v>3744</v>
      </c>
      <c r="C2153">
        <v>11</v>
      </c>
      <c r="D2153">
        <v>0</v>
      </c>
      <c r="E2153">
        <v>4</v>
      </c>
      <c r="F2153">
        <v>2</v>
      </c>
      <c r="J2153">
        <v>0</v>
      </c>
      <c r="K2153">
        <v>2</v>
      </c>
      <c r="L2153">
        <v>2</v>
      </c>
      <c r="M2153" t="s">
        <v>25022</v>
      </c>
      <c r="N2153">
        <v>1059</v>
      </c>
      <c r="O2153" t="s">
        <v>6646</v>
      </c>
      <c r="P2153" t="s">
        <v>57</v>
      </c>
      <c r="Q2153">
        <v>1098412</v>
      </c>
      <c r="R2153">
        <v>1099143</v>
      </c>
      <c r="S2153" t="s">
        <v>3354</v>
      </c>
      <c r="T2153">
        <v>244</v>
      </c>
      <c r="U2153" t="s">
        <v>6647</v>
      </c>
      <c r="V2153">
        <v>47</v>
      </c>
      <c r="W2153" t="str">
        <f>HYPERLINK("Gene1059-zp_tree_all.dnd", "Gene1059-tree")</f>
        <v>Gene1059-tree</v>
      </c>
      <c r="X2153">
        <v>8</v>
      </c>
      <c r="Y2153">
        <v>8</v>
      </c>
      <c r="Z2153">
        <v>8</v>
      </c>
      <c r="AA2153">
        <v>8</v>
      </c>
      <c r="AB2153">
        <v>0.5</v>
      </c>
      <c r="AC2153" t="s">
        <v>136</v>
      </c>
      <c r="AD2153" t="s">
        <v>136</v>
      </c>
      <c r="AE2153" t="s">
        <v>62</v>
      </c>
      <c r="AF2153" t="s">
        <v>62</v>
      </c>
      <c r="AG2153">
        <v>2</v>
      </c>
      <c r="AH2153">
        <v>4</v>
      </c>
      <c r="AI2153">
        <v>13</v>
      </c>
      <c r="AJ2153">
        <v>0.23529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2</v>
      </c>
      <c r="AR2153">
        <v>2</v>
      </c>
      <c r="AS2153">
        <v>8</v>
      </c>
      <c r="AT2153">
        <v>0.2</v>
      </c>
      <c r="AU2153">
        <v>15</v>
      </c>
      <c r="AV2153">
        <v>9</v>
      </c>
      <c r="AW2153">
        <v>34</v>
      </c>
      <c r="AX2153">
        <v>9</v>
      </c>
      <c r="AY2153">
        <v>41</v>
      </c>
      <c r="AZ2153">
        <v>8</v>
      </c>
      <c r="BA2153" t="s">
        <v>6648</v>
      </c>
      <c r="BB2153" t="s">
        <v>6649</v>
      </c>
      <c r="BC2153">
        <v>0.29299999999999998</v>
      </c>
      <c r="BD2153" t="s">
        <v>65</v>
      </c>
      <c r="BE2153">
        <v>75</v>
      </c>
      <c r="BF2153">
        <v>17</v>
      </c>
      <c r="BG2153" t="s">
        <v>6650</v>
      </c>
      <c r="BH2153" t="s">
        <v>6651</v>
      </c>
      <c r="BI2153" t="s">
        <v>6652</v>
      </c>
      <c r="BJ2153">
        <v>6.0630000000000003E-2</v>
      </c>
      <c r="BK2153">
        <v>1</v>
      </c>
      <c r="BL2153" t="s">
        <v>69</v>
      </c>
      <c r="BM2153">
        <v>-1.145</v>
      </c>
      <c r="BN2153">
        <v>2.4E-2</v>
      </c>
    </row>
    <row r="2154" spans="2:66">
      <c r="B2154">
        <v>3745</v>
      </c>
      <c r="C2154">
        <v>140</v>
      </c>
      <c r="D2154">
        <v>0</v>
      </c>
      <c r="E2154">
        <v>3</v>
      </c>
      <c r="F2154">
        <v>1</v>
      </c>
      <c r="J2154">
        <v>0</v>
      </c>
      <c r="K2154">
        <v>0</v>
      </c>
      <c r="L2154">
        <v>2</v>
      </c>
      <c r="M2154" t="s">
        <v>25022</v>
      </c>
      <c r="N2154">
        <v>1060</v>
      </c>
      <c r="O2154" t="s">
        <v>6653</v>
      </c>
      <c r="P2154" t="s">
        <v>57</v>
      </c>
      <c r="Q2154">
        <v>1099159</v>
      </c>
      <c r="R2154">
        <v>1100151</v>
      </c>
      <c r="S2154" t="s">
        <v>6654</v>
      </c>
      <c r="T2154">
        <v>331</v>
      </c>
      <c r="U2154" t="s">
        <v>108</v>
      </c>
      <c r="V2154">
        <v>44</v>
      </c>
      <c r="W2154" t="str">
        <f>HYPERLINK("Gene1060-zp_tree_all.dnd", "Gene1060-tree")</f>
        <v>Gene1060-tree</v>
      </c>
      <c r="X2154">
        <v>6</v>
      </c>
      <c r="Y2154">
        <v>6</v>
      </c>
      <c r="Z2154">
        <v>6</v>
      </c>
      <c r="AA2154">
        <v>6</v>
      </c>
      <c r="AB2154">
        <v>0.5</v>
      </c>
      <c r="AC2154" t="s">
        <v>90</v>
      </c>
      <c r="AD2154" t="s">
        <v>90</v>
      </c>
      <c r="AE2154" t="s">
        <v>62</v>
      </c>
      <c r="AF2154" t="s">
        <v>62</v>
      </c>
      <c r="AG2154">
        <v>1</v>
      </c>
      <c r="AH2154">
        <v>2</v>
      </c>
      <c r="AI2154">
        <v>6</v>
      </c>
      <c r="AJ2154">
        <v>0.25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2</v>
      </c>
      <c r="AR2154">
        <v>2</v>
      </c>
      <c r="AS2154">
        <v>5</v>
      </c>
      <c r="AT2154">
        <v>0.28571000000000002</v>
      </c>
      <c r="AU2154">
        <v>12</v>
      </c>
      <c r="AV2154">
        <v>9</v>
      </c>
      <c r="AW2154">
        <v>29</v>
      </c>
      <c r="AX2154">
        <v>7</v>
      </c>
      <c r="AY2154">
        <v>19</v>
      </c>
      <c r="AZ2154">
        <v>1</v>
      </c>
      <c r="BA2154" t="s">
        <v>6655</v>
      </c>
      <c r="BB2154" t="s">
        <v>6656</v>
      </c>
      <c r="BC2154">
        <v>1.056</v>
      </c>
      <c r="BD2154" t="s">
        <v>65</v>
      </c>
      <c r="BE2154">
        <v>48</v>
      </c>
      <c r="BF2154">
        <v>8</v>
      </c>
      <c r="BG2154" t="s">
        <v>6657</v>
      </c>
      <c r="BH2154" t="s">
        <v>6658</v>
      </c>
      <c r="BI2154" t="s">
        <v>6659</v>
      </c>
      <c r="BJ2154">
        <v>4.2020000000000002E-2</v>
      </c>
      <c r="BK2154">
        <v>1</v>
      </c>
      <c r="BL2154" t="s">
        <v>69</v>
      </c>
      <c r="BM2154">
        <v>-0.121</v>
      </c>
      <c r="BN2154">
        <v>-1.135</v>
      </c>
    </row>
    <row r="2155" spans="2:66">
      <c r="B2155">
        <v>3746</v>
      </c>
      <c r="C2155">
        <v>40</v>
      </c>
      <c r="D2155">
        <v>0</v>
      </c>
      <c r="E2155">
        <v>4</v>
      </c>
      <c r="F2155">
        <v>0</v>
      </c>
      <c r="J2155">
        <v>0</v>
      </c>
      <c r="K2155">
        <v>8</v>
      </c>
      <c r="L2155">
        <v>4</v>
      </c>
      <c r="M2155" t="s">
        <v>25022</v>
      </c>
      <c r="N2155">
        <v>1061</v>
      </c>
      <c r="O2155" t="s">
        <v>6660</v>
      </c>
      <c r="P2155" t="s">
        <v>57</v>
      </c>
      <c r="Q2155">
        <v>1100219</v>
      </c>
      <c r="R2155">
        <v>1100860</v>
      </c>
      <c r="S2155" t="s">
        <v>6661</v>
      </c>
      <c r="T2155">
        <v>214</v>
      </c>
      <c r="U2155" t="s">
        <v>108</v>
      </c>
      <c r="V2155">
        <v>44</v>
      </c>
      <c r="W2155" t="str">
        <f>HYPERLINK("Gene1061-zp_tree_all.dnd", "Gene1061-tree")</f>
        <v>Gene1061-tree</v>
      </c>
      <c r="X2155">
        <v>4</v>
      </c>
      <c r="Y2155">
        <v>10</v>
      </c>
      <c r="Z2155">
        <v>4</v>
      </c>
      <c r="AA2155">
        <v>10</v>
      </c>
      <c r="AB2155">
        <v>0.71428999999999998</v>
      </c>
      <c r="AC2155" t="s">
        <v>61</v>
      </c>
      <c r="AD2155" t="s">
        <v>117</v>
      </c>
      <c r="AE2155" t="s">
        <v>62</v>
      </c>
      <c r="AF2155" t="s">
        <v>62</v>
      </c>
      <c r="AG2155">
        <v>6</v>
      </c>
      <c r="AH2155">
        <v>12</v>
      </c>
      <c r="AI2155">
        <v>7</v>
      </c>
      <c r="AJ2155">
        <v>0.63158000000000003</v>
      </c>
      <c r="AK2155">
        <v>0</v>
      </c>
      <c r="AL2155">
        <v>0</v>
      </c>
      <c r="AM2155">
        <v>0</v>
      </c>
      <c r="AN2155">
        <v>3</v>
      </c>
      <c r="AO2155">
        <v>0</v>
      </c>
      <c r="AP2155">
        <v>6</v>
      </c>
      <c r="AQ2155">
        <v>2</v>
      </c>
      <c r="AR2155">
        <v>8</v>
      </c>
      <c r="AS2155">
        <v>6</v>
      </c>
      <c r="AT2155">
        <v>0.57142999999999999</v>
      </c>
      <c r="AU2155">
        <v>10</v>
      </c>
      <c r="AV2155">
        <v>8</v>
      </c>
      <c r="AW2155">
        <v>19</v>
      </c>
      <c r="AX2155">
        <v>13</v>
      </c>
      <c r="AY2155">
        <v>13</v>
      </c>
      <c r="AZ2155">
        <v>6</v>
      </c>
      <c r="BA2155" t="s">
        <v>6662</v>
      </c>
      <c r="BB2155" t="s">
        <v>6663</v>
      </c>
      <c r="BC2155">
        <v>0.61899999999999999</v>
      </c>
      <c r="BD2155" t="s">
        <v>65</v>
      </c>
      <c r="BE2155">
        <v>32</v>
      </c>
      <c r="BF2155">
        <v>19</v>
      </c>
      <c r="BG2155" t="s">
        <v>6664</v>
      </c>
      <c r="BH2155" t="s">
        <v>6665</v>
      </c>
      <c r="BI2155" t="s">
        <v>6666</v>
      </c>
      <c r="BJ2155">
        <v>0.17899000000000001</v>
      </c>
      <c r="BK2155">
        <v>1</v>
      </c>
      <c r="BL2155" t="s">
        <v>69</v>
      </c>
      <c r="BM2155">
        <v>-1.1359999999999999</v>
      </c>
      <c r="BN2155">
        <v>-1.214</v>
      </c>
    </row>
    <row r="2156" spans="2:66">
      <c r="B2156">
        <v>3747</v>
      </c>
      <c r="C2156">
        <v>29</v>
      </c>
      <c r="D2156">
        <v>0</v>
      </c>
      <c r="E2156">
        <v>4</v>
      </c>
      <c r="F2156">
        <v>0</v>
      </c>
      <c r="J2156">
        <v>0</v>
      </c>
      <c r="K2156">
        <v>7</v>
      </c>
      <c r="L2156">
        <v>4</v>
      </c>
      <c r="M2156" t="s">
        <v>25022</v>
      </c>
      <c r="N2156">
        <v>1062</v>
      </c>
      <c r="O2156" t="s">
        <v>6667</v>
      </c>
      <c r="P2156" t="s">
        <v>57</v>
      </c>
      <c r="Q2156">
        <v>1100980</v>
      </c>
      <c r="R2156">
        <v>1102518</v>
      </c>
      <c r="S2156" t="s">
        <v>6668</v>
      </c>
      <c r="T2156">
        <v>513</v>
      </c>
      <c r="U2156" t="s">
        <v>108</v>
      </c>
      <c r="V2156">
        <v>44</v>
      </c>
      <c r="W2156" t="str">
        <f>HYPERLINK("Gene1062-zp_tree_all.dnd", "Gene1062-tree")</f>
        <v>Gene1062-tree</v>
      </c>
      <c r="X2156">
        <v>5</v>
      </c>
      <c r="Y2156">
        <v>12</v>
      </c>
      <c r="Z2156">
        <v>5</v>
      </c>
      <c r="AA2156">
        <v>12</v>
      </c>
      <c r="AB2156">
        <v>0.70587999999999995</v>
      </c>
      <c r="AC2156" t="s">
        <v>199</v>
      </c>
      <c r="AD2156" t="s">
        <v>109</v>
      </c>
      <c r="AE2156" t="s">
        <v>62</v>
      </c>
      <c r="AF2156" t="s">
        <v>62</v>
      </c>
      <c r="AG2156">
        <v>5</v>
      </c>
      <c r="AH2156">
        <v>11</v>
      </c>
      <c r="AI2156">
        <v>16</v>
      </c>
      <c r="AJ2156">
        <v>0.40740999999999999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2</v>
      </c>
      <c r="AQ2156">
        <v>2</v>
      </c>
      <c r="AR2156">
        <v>4</v>
      </c>
      <c r="AS2156">
        <v>18</v>
      </c>
      <c r="AT2156">
        <v>0.18182000000000001</v>
      </c>
      <c r="AU2156">
        <v>13</v>
      </c>
      <c r="AV2156">
        <v>12</v>
      </c>
      <c r="AW2156">
        <v>40</v>
      </c>
      <c r="AX2156">
        <v>18</v>
      </c>
      <c r="AY2156">
        <v>37</v>
      </c>
      <c r="AZ2156">
        <v>9</v>
      </c>
      <c r="BA2156" t="s">
        <v>6669</v>
      </c>
      <c r="BB2156" t="s">
        <v>6670</v>
      </c>
      <c r="BC2156">
        <v>0.83599999999999997</v>
      </c>
      <c r="BD2156" t="s">
        <v>65</v>
      </c>
      <c r="BE2156">
        <v>77</v>
      </c>
      <c r="BF2156">
        <v>27</v>
      </c>
      <c r="BG2156" t="s">
        <v>6671</v>
      </c>
      <c r="BH2156" t="s">
        <v>6672</v>
      </c>
      <c r="BI2156" t="s">
        <v>6673</v>
      </c>
      <c r="BJ2156">
        <v>9.1660000000000005E-2</v>
      </c>
      <c r="BK2156">
        <v>1</v>
      </c>
      <c r="BL2156" t="s">
        <v>69</v>
      </c>
      <c r="BM2156">
        <v>-0.78100000000000003</v>
      </c>
      <c r="BN2156">
        <v>-1.55</v>
      </c>
    </row>
    <row r="2157" spans="2:66">
      <c r="B2157">
        <v>3748</v>
      </c>
      <c r="C2157">
        <v>82</v>
      </c>
      <c r="D2157">
        <v>0</v>
      </c>
      <c r="E2157">
        <v>5</v>
      </c>
      <c r="F2157">
        <v>0</v>
      </c>
      <c r="J2157">
        <v>0</v>
      </c>
      <c r="K2157">
        <v>6</v>
      </c>
      <c r="L2157">
        <v>4</v>
      </c>
      <c r="M2157" t="s">
        <v>25022</v>
      </c>
      <c r="N2157">
        <v>1064</v>
      </c>
      <c r="O2157" t="s">
        <v>6680</v>
      </c>
      <c r="P2157" t="s">
        <v>57</v>
      </c>
      <c r="Q2157">
        <v>1103104</v>
      </c>
      <c r="R2157">
        <v>1104381</v>
      </c>
      <c r="S2157" t="s">
        <v>6681</v>
      </c>
      <c r="T2157">
        <v>426</v>
      </c>
      <c r="U2157" t="s">
        <v>265</v>
      </c>
      <c r="V2157">
        <v>43</v>
      </c>
      <c r="W2157" t="str">
        <f>HYPERLINK("Gene1064-zp_tree_all.dnd", "Gene1064-tree")</f>
        <v>Gene1064-tree</v>
      </c>
      <c r="X2157">
        <v>6</v>
      </c>
      <c r="Y2157">
        <v>9</v>
      </c>
      <c r="Z2157">
        <v>6</v>
      </c>
      <c r="AA2157">
        <v>9</v>
      </c>
      <c r="AB2157">
        <v>0.6</v>
      </c>
      <c r="AC2157" t="s">
        <v>90</v>
      </c>
      <c r="AD2157" t="s">
        <v>135</v>
      </c>
      <c r="AE2157" t="s">
        <v>62</v>
      </c>
      <c r="AF2157" t="s">
        <v>62</v>
      </c>
      <c r="AG2157">
        <v>5</v>
      </c>
      <c r="AH2157">
        <v>10</v>
      </c>
      <c r="AI2157">
        <v>14</v>
      </c>
      <c r="AJ2157">
        <v>0.41666999999999998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4</v>
      </c>
      <c r="AR2157">
        <v>4</v>
      </c>
      <c r="AS2157">
        <v>13</v>
      </c>
      <c r="AT2157">
        <v>0.23529</v>
      </c>
      <c r="AU2157">
        <v>14</v>
      </c>
      <c r="AV2157">
        <v>11</v>
      </c>
      <c r="AW2157">
        <v>43</v>
      </c>
      <c r="AX2157">
        <v>17</v>
      </c>
      <c r="AY2157">
        <v>31</v>
      </c>
      <c r="AZ2157">
        <v>7</v>
      </c>
      <c r="BA2157" t="s">
        <v>6682</v>
      </c>
      <c r="BB2157" t="s">
        <v>6683</v>
      </c>
      <c r="BC2157">
        <v>0.55900000000000005</v>
      </c>
      <c r="BD2157" t="s">
        <v>65</v>
      </c>
      <c r="BE2157">
        <v>74</v>
      </c>
      <c r="BF2157">
        <v>24</v>
      </c>
      <c r="BG2157" t="s">
        <v>6684</v>
      </c>
      <c r="BH2157" t="s">
        <v>6685</v>
      </c>
      <c r="BI2157" t="s">
        <v>6686</v>
      </c>
      <c r="BJ2157">
        <v>8.7069999999999995E-2</v>
      </c>
      <c r="BK2157">
        <v>1</v>
      </c>
      <c r="BL2157" t="s">
        <v>69</v>
      </c>
      <c r="BM2157">
        <v>-1.39</v>
      </c>
      <c r="BN2157">
        <v>-2.29</v>
      </c>
    </row>
    <row r="2158" spans="2:66">
      <c r="B2158">
        <v>3755</v>
      </c>
      <c r="C2158">
        <v>421</v>
      </c>
      <c r="D2158">
        <v>0</v>
      </c>
      <c r="E2158">
        <v>10</v>
      </c>
      <c r="F2158">
        <v>4</v>
      </c>
      <c r="J2158">
        <v>0</v>
      </c>
      <c r="K2158">
        <v>18</v>
      </c>
      <c r="L2158">
        <v>6</v>
      </c>
      <c r="M2158" t="s">
        <v>25022</v>
      </c>
      <c r="N2158">
        <v>1066</v>
      </c>
      <c r="O2158" t="s">
        <v>6694</v>
      </c>
      <c r="P2158" t="s">
        <v>57</v>
      </c>
      <c r="Q2158">
        <v>1106003</v>
      </c>
      <c r="R2158">
        <v>1106449</v>
      </c>
      <c r="S2158" t="s">
        <v>3718</v>
      </c>
      <c r="T2158">
        <v>149</v>
      </c>
      <c r="U2158" t="s">
        <v>1557</v>
      </c>
      <c r="V2158">
        <v>40</v>
      </c>
      <c r="W2158" t="str">
        <f>HYPERLINK("Gene1066-zp_tree_all.dnd", "Gene1066-tree")</f>
        <v>Gene1066-tree</v>
      </c>
      <c r="X2158">
        <v>5</v>
      </c>
      <c r="Y2158">
        <v>10</v>
      </c>
      <c r="Z2158">
        <v>5</v>
      </c>
      <c r="AA2158">
        <v>10</v>
      </c>
      <c r="AB2158">
        <v>0.66666999999999998</v>
      </c>
      <c r="AC2158" t="s">
        <v>199</v>
      </c>
      <c r="AD2158" t="s">
        <v>117</v>
      </c>
      <c r="AE2158" t="s">
        <v>62</v>
      </c>
      <c r="AF2158" t="s">
        <v>62</v>
      </c>
      <c r="AG2158">
        <v>8</v>
      </c>
      <c r="AH2158">
        <v>24</v>
      </c>
      <c r="AI2158">
        <v>10</v>
      </c>
      <c r="AJ2158">
        <v>0.70587999999999995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11</v>
      </c>
      <c r="AQ2158">
        <v>5</v>
      </c>
      <c r="AR2158">
        <v>16</v>
      </c>
      <c r="AS2158">
        <v>9</v>
      </c>
      <c r="AT2158">
        <v>0.64</v>
      </c>
      <c r="AU2158">
        <v>13</v>
      </c>
      <c r="AV2158">
        <v>11</v>
      </c>
      <c r="AW2158">
        <v>19</v>
      </c>
      <c r="AX2158">
        <v>25</v>
      </c>
      <c r="AY2158">
        <v>18</v>
      </c>
      <c r="AZ2158">
        <v>12</v>
      </c>
      <c r="BA2158" t="s">
        <v>6695</v>
      </c>
      <c r="BB2158" t="s">
        <v>6696</v>
      </c>
      <c r="BC2158">
        <v>1.18</v>
      </c>
      <c r="BD2158" t="s">
        <v>65</v>
      </c>
      <c r="BE2158">
        <v>37</v>
      </c>
      <c r="BF2158">
        <v>37</v>
      </c>
      <c r="BG2158" t="s">
        <v>6697</v>
      </c>
      <c r="BH2158" t="s">
        <v>6698</v>
      </c>
      <c r="BI2158" t="s">
        <v>6699</v>
      </c>
      <c r="BJ2158">
        <v>0.22358</v>
      </c>
      <c r="BK2158">
        <v>1</v>
      </c>
      <c r="BL2158" t="s">
        <v>69</v>
      </c>
      <c r="BM2158">
        <v>-0.48899999999999999</v>
      </c>
      <c r="BN2158">
        <v>-1.5109999999999999</v>
      </c>
    </row>
    <row r="2159" spans="2:66">
      <c r="B2159">
        <v>3757</v>
      </c>
      <c r="C2159">
        <v>6</v>
      </c>
      <c r="D2159">
        <v>0</v>
      </c>
      <c r="E2159">
        <v>4</v>
      </c>
      <c r="F2159">
        <v>0</v>
      </c>
      <c r="J2159">
        <v>0</v>
      </c>
      <c r="K2159">
        <v>0</v>
      </c>
      <c r="L2159">
        <v>0</v>
      </c>
      <c r="M2159" t="s">
        <v>25022</v>
      </c>
      <c r="N2159">
        <v>1067</v>
      </c>
      <c r="O2159" t="s">
        <v>6700</v>
      </c>
      <c r="P2159" t="s">
        <v>57</v>
      </c>
      <c r="Q2159">
        <v>1106524</v>
      </c>
      <c r="R2159">
        <v>1107513</v>
      </c>
      <c r="S2159" t="s">
        <v>1940</v>
      </c>
      <c r="T2159">
        <v>330</v>
      </c>
      <c r="U2159" t="s">
        <v>108</v>
      </c>
      <c r="V2159">
        <v>44</v>
      </c>
      <c r="W2159" t="str">
        <f>HYPERLINK("Gene1067-zp_tree_all.dnd", "Gene1067-tree")</f>
        <v>Gene1067-tree</v>
      </c>
      <c r="X2159">
        <v>9</v>
      </c>
      <c r="Y2159">
        <v>7</v>
      </c>
      <c r="Z2159">
        <v>9</v>
      </c>
      <c r="AA2159">
        <v>7</v>
      </c>
      <c r="AB2159">
        <v>0.4375</v>
      </c>
      <c r="AC2159" t="s">
        <v>135</v>
      </c>
      <c r="AD2159" t="s">
        <v>152</v>
      </c>
      <c r="AE2159" t="s">
        <v>62</v>
      </c>
      <c r="AF2159" t="s">
        <v>62</v>
      </c>
      <c r="AG2159">
        <v>0</v>
      </c>
      <c r="AH2159">
        <v>0</v>
      </c>
      <c r="AI2159">
        <v>9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9</v>
      </c>
      <c r="AT2159">
        <v>0</v>
      </c>
      <c r="AU2159">
        <v>12</v>
      </c>
      <c r="AV2159">
        <v>10</v>
      </c>
      <c r="AW2159">
        <v>26</v>
      </c>
      <c r="AX2159">
        <v>9</v>
      </c>
      <c r="AY2159">
        <v>22</v>
      </c>
      <c r="AZ2159">
        <v>0</v>
      </c>
      <c r="BA2159" t="s">
        <v>6701</v>
      </c>
      <c r="BB2159" t="s">
        <v>193</v>
      </c>
      <c r="BC2159">
        <v>2.1619999999999999</v>
      </c>
      <c r="BD2159" t="s">
        <v>267</v>
      </c>
      <c r="BE2159">
        <v>48</v>
      </c>
      <c r="BF2159">
        <v>9</v>
      </c>
      <c r="BG2159" t="s">
        <v>6702</v>
      </c>
      <c r="BH2159" t="s">
        <v>6703</v>
      </c>
      <c r="BI2159" t="s">
        <v>6704</v>
      </c>
      <c r="BJ2159">
        <v>4.2169999999999999E-2</v>
      </c>
      <c r="BK2159">
        <v>1</v>
      </c>
      <c r="BL2159" t="s">
        <v>69</v>
      </c>
      <c r="BM2159">
        <v>-0.68600000000000005</v>
      </c>
      <c r="BN2159">
        <v>-0.98</v>
      </c>
    </row>
    <row r="2160" spans="2:66">
      <c r="B2160">
        <v>3758</v>
      </c>
      <c r="C2160">
        <v>123</v>
      </c>
      <c r="D2160">
        <v>0</v>
      </c>
      <c r="E2160">
        <v>2</v>
      </c>
      <c r="F2160">
        <v>0</v>
      </c>
      <c r="J2160">
        <v>0</v>
      </c>
      <c r="K2160">
        <v>0</v>
      </c>
      <c r="L2160">
        <v>0</v>
      </c>
      <c r="M2160" t="s">
        <v>25022</v>
      </c>
      <c r="N2160">
        <v>1068</v>
      </c>
      <c r="O2160" t="s">
        <v>6705</v>
      </c>
      <c r="P2160" t="s">
        <v>57</v>
      </c>
      <c r="Q2160">
        <v>1107733</v>
      </c>
      <c r="R2160">
        <v>1108701</v>
      </c>
      <c r="S2160" t="s">
        <v>6706</v>
      </c>
      <c r="T2160">
        <v>323</v>
      </c>
      <c r="U2160" t="s">
        <v>108</v>
      </c>
      <c r="V2160">
        <v>44</v>
      </c>
      <c r="W2160" t="str">
        <f>HYPERLINK("Gene1068-zp_tree_all.dnd", "Gene1068-tree")</f>
        <v>Gene1068-tree</v>
      </c>
      <c r="X2160">
        <v>9</v>
      </c>
      <c r="Y2160">
        <v>7</v>
      </c>
      <c r="Z2160">
        <v>9</v>
      </c>
      <c r="AA2160">
        <v>7</v>
      </c>
      <c r="AB2160">
        <v>0.4375</v>
      </c>
      <c r="AC2160" t="s">
        <v>135</v>
      </c>
      <c r="AD2160" t="s">
        <v>152</v>
      </c>
      <c r="AE2160" t="s">
        <v>62</v>
      </c>
      <c r="AF2160" t="s">
        <v>62</v>
      </c>
      <c r="AG2160">
        <v>0</v>
      </c>
      <c r="AH2160">
        <v>0</v>
      </c>
      <c r="AI2160">
        <v>13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10</v>
      </c>
      <c r="AT2160">
        <v>0</v>
      </c>
      <c r="AU2160">
        <v>13</v>
      </c>
      <c r="AV2160">
        <v>11</v>
      </c>
      <c r="AW2160">
        <v>29</v>
      </c>
      <c r="AX2160">
        <v>9</v>
      </c>
      <c r="AY2160">
        <v>15</v>
      </c>
      <c r="AZ2160">
        <v>4</v>
      </c>
      <c r="BA2160" t="s">
        <v>6707</v>
      </c>
      <c r="BB2160" t="s">
        <v>6708</v>
      </c>
      <c r="BC2160">
        <v>0.16400000000000001</v>
      </c>
      <c r="BD2160" t="s">
        <v>65</v>
      </c>
      <c r="BE2160">
        <v>44</v>
      </c>
      <c r="BF2160">
        <v>13</v>
      </c>
      <c r="BG2160" t="s">
        <v>6709</v>
      </c>
      <c r="BH2160" t="s">
        <v>6710</v>
      </c>
      <c r="BI2160" t="s">
        <v>6711</v>
      </c>
      <c r="BJ2160">
        <v>7.8539999999999999E-2</v>
      </c>
      <c r="BK2160">
        <v>1</v>
      </c>
      <c r="BL2160" t="s">
        <v>69</v>
      </c>
      <c r="BM2160">
        <v>-0.59</v>
      </c>
      <c r="BN2160">
        <v>-1.296</v>
      </c>
    </row>
    <row r="2161" spans="2:66">
      <c r="B2161">
        <v>3760</v>
      </c>
      <c r="C2161">
        <v>257</v>
      </c>
      <c r="D2161">
        <v>2</v>
      </c>
      <c r="E2161">
        <v>5</v>
      </c>
      <c r="F2161">
        <v>6</v>
      </c>
      <c r="J2161">
        <v>0</v>
      </c>
      <c r="K2161">
        <v>0</v>
      </c>
      <c r="L2161">
        <v>0</v>
      </c>
      <c r="M2161" t="s">
        <v>25022</v>
      </c>
      <c r="N2161">
        <v>1075</v>
      </c>
      <c r="O2161" t="s">
        <v>6754</v>
      </c>
      <c r="P2161" t="s">
        <v>57</v>
      </c>
      <c r="Q2161">
        <v>1115698</v>
      </c>
      <c r="R2161">
        <v>1116552</v>
      </c>
      <c r="S2161" t="s">
        <v>1940</v>
      </c>
      <c r="T2161">
        <v>285</v>
      </c>
      <c r="U2161" t="s">
        <v>108</v>
      </c>
      <c r="V2161">
        <v>44</v>
      </c>
      <c r="W2161" t="str">
        <f>HYPERLINK("Gene1075-zp_tree_all.dnd", "Gene1075-tree")</f>
        <v>Gene1075-tree</v>
      </c>
      <c r="X2161">
        <v>10</v>
      </c>
      <c r="Y2161">
        <v>4</v>
      </c>
      <c r="Z2161">
        <v>10</v>
      </c>
      <c r="AA2161">
        <v>4</v>
      </c>
      <c r="AB2161">
        <v>0.28571000000000002</v>
      </c>
      <c r="AC2161" t="s">
        <v>117</v>
      </c>
      <c r="AD2161" t="s">
        <v>61</v>
      </c>
      <c r="AE2161" t="s">
        <v>62</v>
      </c>
      <c r="AF2161" t="s">
        <v>62</v>
      </c>
      <c r="AG2161">
        <v>0</v>
      </c>
      <c r="AH2161">
        <v>0</v>
      </c>
      <c r="AI2161">
        <v>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4</v>
      </c>
      <c r="AT2161">
        <v>0</v>
      </c>
      <c r="AU2161">
        <v>12</v>
      </c>
      <c r="AV2161">
        <v>8</v>
      </c>
      <c r="AW2161">
        <v>31</v>
      </c>
      <c r="AX2161">
        <v>4</v>
      </c>
      <c r="AY2161">
        <v>14</v>
      </c>
      <c r="AZ2161">
        <v>1</v>
      </c>
      <c r="BA2161" t="s">
        <v>6755</v>
      </c>
      <c r="BB2161" t="s">
        <v>6756</v>
      </c>
      <c r="BC2161">
        <v>0.27200000000000002</v>
      </c>
      <c r="BD2161" t="s">
        <v>65</v>
      </c>
      <c r="BE2161">
        <v>45</v>
      </c>
      <c r="BF2161">
        <v>5</v>
      </c>
      <c r="BG2161" t="s">
        <v>6757</v>
      </c>
      <c r="BH2161" t="s">
        <v>6758</v>
      </c>
      <c r="BI2161" t="s">
        <v>6759</v>
      </c>
      <c r="BJ2161">
        <v>3.7940000000000002E-2</v>
      </c>
      <c r="BK2161">
        <v>1</v>
      </c>
      <c r="BL2161" t="s">
        <v>69</v>
      </c>
      <c r="BM2161">
        <v>-1.498</v>
      </c>
      <c r="BN2161">
        <v>-2.9460000000000002</v>
      </c>
    </row>
    <row r="2162" spans="2:66">
      <c r="B2162">
        <v>3761</v>
      </c>
      <c r="C2162">
        <v>142</v>
      </c>
      <c r="D2162">
        <v>0</v>
      </c>
      <c r="E2162">
        <v>16</v>
      </c>
      <c r="F2162">
        <v>0</v>
      </c>
      <c r="J2162">
        <v>0</v>
      </c>
      <c r="K2162">
        <v>3</v>
      </c>
      <c r="L2162">
        <v>0</v>
      </c>
      <c r="M2162" t="s">
        <v>25022</v>
      </c>
      <c r="N2162">
        <v>1077</v>
      </c>
      <c r="O2162" t="s">
        <v>6766</v>
      </c>
      <c r="P2162" t="s">
        <v>57</v>
      </c>
      <c r="Q2162">
        <v>1117109</v>
      </c>
      <c r="R2162">
        <v>1117684</v>
      </c>
      <c r="S2162" t="s">
        <v>6767</v>
      </c>
      <c r="T2162">
        <v>192</v>
      </c>
      <c r="U2162" t="s">
        <v>108</v>
      </c>
      <c r="V2162">
        <v>44</v>
      </c>
      <c r="W2162" t="str">
        <f>HYPERLINK("Gene1077-zp_tree_all.dnd", "Gene1077-tree")</f>
        <v>Gene1077-tree</v>
      </c>
      <c r="X2162">
        <v>32</v>
      </c>
      <c r="Y2162">
        <v>2</v>
      </c>
      <c r="Z2162">
        <v>12</v>
      </c>
      <c r="AA2162">
        <v>2</v>
      </c>
      <c r="AB2162">
        <v>0.14285999999999999</v>
      </c>
      <c r="AC2162" t="s">
        <v>1782</v>
      </c>
      <c r="AD2162" t="s">
        <v>81</v>
      </c>
      <c r="AE2162" t="s">
        <v>62</v>
      </c>
      <c r="AF2162" t="s">
        <v>62</v>
      </c>
      <c r="AG2162">
        <v>1</v>
      </c>
      <c r="AH2162">
        <v>3</v>
      </c>
      <c r="AI2162">
        <v>1</v>
      </c>
      <c r="AJ2162">
        <v>0.75</v>
      </c>
      <c r="AK2162">
        <v>0</v>
      </c>
      <c r="AL2162">
        <v>0</v>
      </c>
      <c r="AM2162">
        <v>0</v>
      </c>
      <c r="AN2162">
        <v>2</v>
      </c>
      <c r="AO2162">
        <v>0</v>
      </c>
      <c r="AP2162">
        <v>2</v>
      </c>
      <c r="AQ2162">
        <v>0</v>
      </c>
      <c r="AR2162">
        <v>2</v>
      </c>
      <c r="AS2162">
        <v>0</v>
      </c>
      <c r="AT2162">
        <v>1</v>
      </c>
      <c r="AU2162">
        <v>11</v>
      </c>
      <c r="AV2162">
        <v>10</v>
      </c>
      <c r="AW2162">
        <v>19</v>
      </c>
      <c r="AX2162">
        <v>2</v>
      </c>
      <c r="AY2162">
        <v>13</v>
      </c>
      <c r="AZ2162">
        <v>2</v>
      </c>
      <c r="BA2162" t="s">
        <v>6768</v>
      </c>
      <c r="BB2162" t="s">
        <v>6769</v>
      </c>
      <c r="BC2162">
        <v>0.105</v>
      </c>
      <c r="BD2162" t="s">
        <v>65</v>
      </c>
      <c r="BE2162">
        <v>32</v>
      </c>
      <c r="BF2162">
        <v>4</v>
      </c>
      <c r="BG2162" t="s">
        <v>6770</v>
      </c>
      <c r="BH2162" t="s">
        <v>6771</v>
      </c>
      <c r="BI2162" t="s">
        <v>6772</v>
      </c>
      <c r="BJ2162">
        <v>2.92E-2</v>
      </c>
      <c r="BK2162">
        <v>1</v>
      </c>
      <c r="BL2162" t="s">
        <v>69</v>
      </c>
      <c r="BM2162">
        <v>0.6</v>
      </c>
      <c r="BN2162">
        <v>-0.70499999999999996</v>
      </c>
    </row>
    <row r="2163" spans="2:66">
      <c r="B2163">
        <v>3762</v>
      </c>
      <c r="C2163">
        <v>84</v>
      </c>
      <c r="D2163">
        <v>0</v>
      </c>
      <c r="E2163">
        <v>14</v>
      </c>
      <c r="F2163">
        <v>0</v>
      </c>
      <c r="J2163">
        <v>0</v>
      </c>
      <c r="K2163">
        <v>2</v>
      </c>
      <c r="L2163">
        <v>0</v>
      </c>
      <c r="M2163" t="s">
        <v>25022</v>
      </c>
      <c r="N2163">
        <v>1079</v>
      </c>
      <c r="O2163" t="s">
        <v>6779</v>
      </c>
      <c r="P2163" t="s">
        <v>57</v>
      </c>
      <c r="Q2163">
        <v>1118850</v>
      </c>
      <c r="R2163">
        <v>1119116</v>
      </c>
      <c r="S2163" t="s">
        <v>288</v>
      </c>
      <c r="T2163">
        <v>89</v>
      </c>
      <c r="U2163" t="s">
        <v>629</v>
      </c>
      <c r="V2163">
        <v>43</v>
      </c>
      <c r="W2163" t="str">
        <f>HYPERLINK("Gene1079-zp_tree_all.dnd", "Gene1079-tree")</f>
        <v>Gene1079-tree</v>
      </c>
      <c r="X2163">
        <v>24</v>
      </c>
      <c r="Y2163">
        <v>6</v>
      </c>
      <c r="Z2163">
        <v>4</v>
      </c>
      <c r="AA2163">
        <v>6</v>
      </c>
      <c r="AB2163">
        <v>0.6</v>
      </c>
      <c r="AC2163" t="s">
        <v>1495</v>
      </c>
      <c r="AD2163" t="s">
        <v>90</v>
      </c>
      <c r="AE2163" t="s">
        <v>62</v>
      </c>
      <c r="AF2163" t="s">
        <v>62</v>
      </c>
      <c r="AG2163">
        <v>1</v>
      </c>
      <c r="AH2163">
        <v>2</v>
      </c>
      <c r="AI2163">
        <v>8</v>
      </c>
      <c r="AJ2163">
        <v>0.2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7</v>
      </c>
      <c r="AT2163">
        <v>0</v>
      </c>
      <c r="AU2163">
        <v>7</v>
      </c>
      <c r="AV2163">
        <v>5</v>
      </c>
      <c r="AW2163">
        <v>7</v>
      </c>
      <c r="AX2163">
        <v>7</v>
      </c>
      <c r="AY2163">
        <v>8</v>
      </c>
      <c r="AZ2163">
        <v>4</v>
      </c>
      <c r="BA2163" t="s">
        <v>6780</v>
      </c>
      <c r="BB2163" t="s">
        <v>6781</v>
      </c>
      <c r="BC2163">
        <v>0.746</v>
      </c>
      <c r="BD2163" t="s">
        <v>65</v>
      </c>
      <c r="BE2163">
        <v>15</v>
      </c>
      <c r="BF2163">
        <v>11</v>
      </c>
      <c r="BG2163" t="s">
        <v>6782</v>
      </c>
      <c r="BH2163" t="s">
        <v>6783</v>
      </c>
      <c r="BI2163" t="s">
        <v>6784</v>
      </c>
      <c r="BJ2163">
        <v>0.19259999999999999</v>
      </c>
      <c r="BK2163">
        <v>1</v>
      </c>
      <c r="BL2163" t="s">
        <v>69</v>
      </c>
      <c r="BM2163">
        <v>0.59799999999999998</v>
      </c>
      <c r="BN2163">
        <v>-0.91400000000000003</v>
      </c>
    </row>
    <row r="2164" spans="2:66">
      <c r="B2164">
        <v>3764</v>
      </c>
      <c r="C2164">
        <v>89</v>
      </c>
      <c r="D2164">
        <v>0</v>
      </c>
      <c r="E2164">
        <v>0</v>
      </c>
      <c r="F2164">
        <v>2</v>
      </c>
      <c r="J2164">
        <v>0</v>
      </c>
      <c r="K2164">
        <v>4</v>
      </c>
      <c r="L2164">
        <v>4</v>
      </c>
      <c r="M2164" t="s">
        <v>25022</v>
      </c>
      <c r="N2164">
        <v>1083</v>
      </c>
      <c r="O2164" t="s">
        <v>6804</v>
      </c>
      <c r="P2164" t="s">
        <v>57</v>
      </c>
      <c r="Q2164">
        <v>1121550</v>
      </c>
      <c r="R2164">
        <v>1122170</v>
      </c>
      <c r="S2164" t="s">
        <v>6103</v>
      </c>
      <c r="T2164">
        <v>207</v>
      </c>
      <c r="U2164" t="s">
        <v>59</v>
      </c>
      <c r="V2164">
        <v>49</v>
      </c>
      <c r="W2164" t="str">
        <f>HYPERLINK("Gene1083-zp_tree_all.dnd", "Gene1083-tree")</f>
        <v>Gene1083-tree</v>
      </c>
      <c r="X2164">
        <v>11</v>
      </c>
      <c r="Y2164">
        <v>5</v>
      </c>
      <c r="Z2164">
        <v>11</v>
      </c>
      <c r="AA2164">
        <v>5</v>
      </c>
      <c r="AB2164">
        <v>0.3125</v>
      </c>
      <c r="AC2164" t="s">
        <v>73</v>
      </c>
      <c r="AD2164" t="s">
        <v>199</v>
      </c>
      <c r="AE2164" t="s">
        <v>62</v>
      </c>
      <c r="AF2164" t="s">
        <v>62</v>
      </c>
      <c r="AG2164">
        <v>4</v>
      </c>
      <c r="AH2164">
        <v>8</v>
      </c>
      <c r="AI2164">
        <v>6</v>
      </c>
      <c r="AJ2164">
        <v>0.57142999999999999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2</v>
      </c>
      <c r="AQ2164">
        <v>0</v>
      </c>
      <c r="AR2164">
        <v>2</v>
      </c>
      <c r="AS2164">
        <v>6</v>
      </c>
      <c r="AT2164">
        <v>0.25</v>
      </c>
      <c r="AU2164">
        <v>13</v>
      </c>
      <c r="AV2164">
        <v>9</v>
      </c>
      <c r="AW2164">
        <v>33</v>
      </c>
      <c r="AX2164">
        <v>8</v>
      </c>
      <c r="AY2164">
        <v>28</v>
      </c>
      <c r="AZ2164">
        <v>6</v>
      </c>
      <c r="BA2164" t="s">
        <v>6805</v>
      </c>
      <c r="BB2164" t="s">
        <v>6806</v>
      </c>
      <c r="BC2164">
        <v>8.3000000000000004E-2</v>
      </c>
      <c r="BD2164" t="s">
        <v>65</v>
      </c>
      <c r="BE2164">
        <v>61</v>
      </c>
      <c r="BF2164">
        <v>14</v>
      </c>
      <c r="BG2164" t="s">
        <v>6807</v>
      </c>
      <c r="BH2164" t="s">
        <v>6808</v>
      </c>
      <c r="BI2164" t="s">
        <v>6809</v>
      </c>
      <c r="BJ2164">
        <v>6.6210000000000005E-2</v>
      </c>
      <c r="BK2164">
        <v>1</v>
      </c>
      <c r="BL2164" t="s">
        <v>69</v>
      </c>
      <c r="BM2164">
        <v>-1.2749999999999999</v>
      </c>
      <c r="BN2164">
        <v>-1.3049999999999999</v>
      </c>
    </row>
    <row r="2165" spans="2:66">
      <c r="B2165">
        <v>3766</v>
      </c>
      <c r="C2165">
        <v>63</v>
      </c>
      <c r="D2165">
        <v>0</v>
      </c>
      <c r="E2165">
        <v>2</v>
      </c>
      <c r="F2165">
        <v>2</v>
      </c>
      <c r="J2165">
        <v>0</v>
      </c>
      <c r="K2165">
        <v>0</v>
      </c>
      <c r="L2165">
        <v>0</v>
      </c>
      <c r="M2165" t="s">
        <v>25022</v>
      </c>
      <c r="N2165">
        <v>1084</v>
      </c>
      <c r="O2165" t="s">
        <v>6810</v>
      </c>
      <c r="P2165" t="s">
        <v>57</v>
      </c>
      <c r="Q2165">
        <v>1122175</v>
      </c>
      <c r="R2165">
        <v>1122678</v>
      </c>
      <c r="S2165" t="s">
        <v>2768</v>
      </c>
      <c r="T2165">
        <v>168</v>
      </c>
      <c r="U2165" t="s">
        <v>2220</v>
      </c>
      <c r="V2165">
        <v>46</v>
      </c>
      <c r="W2165" t="str">
        <f>HYPERLINK("Gene1084-zp_tree_all.dnd", "Gene1084-tree")</f>
        <v>Gene1084-tree</v>
      </c>
      <c r="X2165">
        <v>6</v>
      </c>
      <c r="Y2165">
        <v>2</v>
      </c>
      <c r="Z2165">
        <v>6</v>
      </c>
      <c r="AA2165">
        <v>2</v>
      </c>
      <c r="AB2165">
        <v>0.25</v>
      </c>
      <c r="AC2165" t="s">
        <v>90</v>
      </c>
      <c r="AD2165" t="s">
        <v>81</v>
      </c>
      <c r="AE2165" t="s">
        <v>62</v>
      </c>
      <c r="AF2165" t="s">
        <v>62</v>
      </c>
      <c r="AG2165">
        <v>0</v>
      </c>
      <c r="AH2165">
        <v>0</v>
      </c>
      <c r="AI2165">
        <v>5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</v>
      </c>
      <c r="AT2165">
        <v>0</v>
      </c>
      <c r="AU2165">
        <v>7</v>
      </c>
      <c r="AV2165">
        <v>1</v>
      </c>
      <c r="AW2165">
        <v>23</v>
      </c>
      <c r="AX2165">
        <v>3</v>
      </c>
      <c r="AY2165">
        <v>12</v>
      </c>
      <c r="AZ2165">
        <v>3</v>
      </c>
      <c r="BA2165" t="s">
        <v>6811</v>
      </c>
      <c r="BB2165" t="s">
        <v>6812</v>
      </c>
      <c r="BC2165">
        <v>0.64</v>
      </c>
      <c r="BD2165" t="s">
        <v>65</v>
      </c>
      <c r="BE2165">
        <v>35</v>
      </c>
      <c r="BF2165">
        <v>6</v>
      </c>
      <c r="BG2165" t="s">
        <v>6813</v>
      </c>
      <c r="BH2165" t="s">
        <v>6814</v>
      </c>
      <c r="BI2165" t="s">
        <v>6815</v>
      </c>
      <c r="BJ2165">
        <v>4.8430000000000001E-2</v>
      </c>
      <c r="BK2165">
        <v>1</v>
      </c>
      <c r="BL2165" t="s">
        <v>69</v>
      </c>
      <c r="BM2165">
        <v>-2.411</v>
      </c>
      <c r="BN2165">
        <v>-2.6880000000000002</v>
      </c>
    </row>
    <row r="2166" spans="2:66">
      <c r="B2166">
        <v>3767</v>
      </c>
      <c r="C2166">
        <v>61</v>
      </c>
      <c r="D2166">
        <v>0</v>
      </c>
      <c r="E2166">
        <v>2</v>
      </c>
      <c r="F2166">
        <v>2</v>
      </c>
      <c r="J2166">
        <v>0</v>
      </c>
      <c r="K2166">
        <v>24</v>
      </c>
      <c r="L2166">
        <v>4</v>
      </c>
      <c r="M2166" t="s">
        <v>25022</v>
      </c>
      <c r="N2166">
        <v>1085</v>
      </c>
      <c r="O2166" t="s">
        <v>6816</v>
      </c>
      <c r="P2166" t="s">
        <v>57</v>
      </c>
      <c r="Q2166">
        <v>1122862</v>
      </c>
      <c r="R2166">
        <v>1124358</v>
      </c>
      <c r="S2166" t="s">
        <v>6817</v>
      </c>
      <c r="T2166">
        <v>499</v>
      </c>
      <c r="U2166" t="s">
        <v>108</v>
      </c>
      <c r="V2166">
        <v>44</v>
      </c>
      <c r="W2166" t="str">
        <f>HYPERLINK("Gene1085-zp_tree_all.dnd", "Gene1085-tree")</f>
        <v>Gene1085-tree</v>
      </c>
      <c r="X2166">
        <v>5</v>
      </c>
      <c r="Y2166">
        <v>11</v>
      </c>
      <c r="Z2166">
        <v>5</v>
      </c>
      <c r="AA2166">
        <v>11</v>
      </c>
      <c r="AB2166">
        <v>0.6875</v>
      </c>
      <c r="AC2166" t="s">
        <v>199</v>
      </c>
      <c r="AD2166" t="s">
        <v>73</v>
      </c>
      <c r="AE2166">
        <v>137353515.63499999</v>
      </c>
      <c r="AF2166" t="s">
        <v>267</v>
      </c>
      <c r="AG2166">
        <v>11</v>
      </c>
      <c r="AH2166">
        <v>28</v>
      </c>
      <c r="AI2166">
        <v>40</v>
      </c>
      <c r="AJ2166">
        <v>0.41176000000000001</v>
      </c>
      <c r="AK2166">
        <v>0</v>
      </c>
      <c r="AL2166">
        <v>2</v>
      </c>
      <c r="AM2166">
        <v>2</v>
      </c>
      <c r="AN2166">
        <v>5</v>
      </c>
      <c r="AO2166">
        <v>0.28571000000000002</v>
      </c>
      <c r="AP2166">
        <v>7</v>
      </c>
      <c r="AQ2166">
        <v>6</v>
      </c>
      <c r="AR2166">
        <v>13</v>
      </c>
      <c r="AS2166">
        <v>35</v>
      </c>
      <c r="AT2166">
        <v>0.27083000000000002</v>
      </c>
      <c r="AU2166">
        <v>13</v>
      </c>
      <c r="AV2166">
        <v>13</v>
      </c>
      <c r="AW2166">
        <v>81</v>
      </c>
      <c r="AX2166">
        <v>50</v>
      </c>
      <c r="AY2166">
        <v>58</v>
      </c>
      <c r="AZ2166">
        <v>20</v>
      </c>
      <c r="BA2166" t="s">
        <v>6818</v>
      </c>
      <c r="BB2166" t="s">
        <v>6819</v>
      </c>
      <c r="BC2166">
        <v>0.61099999999999999</v>
      </c>
      <c r="BD2166" t="s">
        <v>65</v>
      </c>
      <c r="BE2166">
        <v>139</v>
      </c>
      <c r="BF2166">
        <v>70</v>
      </c>
      <c r="BG2166" t="s">
        <v>6820</v>
      </c>
      <c r="BH2166" t="s">
        <v>6821</v>
      </c>
      <c r="BI2166" t="s">
        <v>6822</v>
      </c>
      <c r="BJ2166">
        <v>0.16173000000000001</v>
      </c>
      <c r="BK2166">
        <v>1</v>
      </c>
      <c r="BL2166" t="s">
        <v>69</v>
      </c>
      <c r="BM2166">
        <v>-0.79300000000000004</v>
      </c>
      <c r="BN2166">
        <v>-2.6829999999999998</v>
      </c>
    </row>
    <row r="2167" spans="2:66">
      <c r="B2167">
        <v>3768</v>
      </c>
      <c r="C2167">
        <v>277</v>
      </c>
      <c r="D2167">
        <v>0</v>
      </c>
      <c r="E2167">
        <v>15</v>
      </c>
      <c r="F2167">
        <v>0</v>
      </c>
      <c r="J2167">
        <v>0</v>
      </c>
      <c r="K2167">
        <v>0</v>
      </c>
      <c r="L2167">
        <v>0</v>
      </c>
      <c r="M2167" t="s">
        <v>25022</v>
      </c>
      <c r="N2167">
        <v>1086</v>
      </c>
      <c r="O2167" t="s">
        <v>6823</v>
      </c>
      <c r="P2167" t="s">
        <v>57</v>
      </c>
      <c r="Q2167">
        <v>1124438</v>
      </c>
      <c r="R2167">
        <v>1124962</v>
      </c>
      <c r="S2167" t="s">
        <v>637</v>
      </c>
      <c r="T2167">
        <v>175</v>
      </c>
      <c r="U2167" t="s">
        <v>108</v>
      </c>
      <c r="V2167">
        <v>44</v>
      </c>
      <c r="W2167" t="str">
        <f>HYPERLINK("Gene1086-zp_tree_all.dnd", "Gene1086-tree")</f>
        <v>Gene1086-tree</v>
      </c>
      <c r="X2167">
        <v>10</v>
      </c>
      <c r="Y2167">
        <v>2</v>
      </c>
      <c r="Z2167">
        <v>10</v>
      </c>
      <c r="AA2167">
        <v>2</v>
      </c>
      <c r="AB2167">
        <v>0.16667000000000001</v>
      </c>
      <c r="AC2167" t="s">
        <v>117</v>
      </c>
      <c r="AD2167" t="s">
        <v>81</v>
      </c>
      <c r="AE2167" t="s">
        <v>62</v>
      </c>
      <c r="AF2167" t="s">
        <v>62</v>
      </c>
      <c r="AG2167">
        <v>0</v>
      </c>
      <c r="AH2167">
        <v>0</v>
      </c>
      <c r="AI2167">
        <v>3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2</v>
      </c>
      <c r="AT2167">
        <v>0</v>
      </c>
      <c r="AU2167">
        <v>10</v>
      </c>
      <c r="AV2167">
        <v>5</v>
      </c>
      <c r="AW2167">
        <v>13</v>
      </c>
      <c r="AX2167">
        <v>2</v>
      </c>
      <c r="AY2167">
        <v>4</v>
      </c>
      <c r="AZ2167">
        <v>1</v>
      </c>
      <c r="BA2167" t="s">
        <v>6824</v>
      </c>
      <c r="BB2167" t="s">
        <v>6825</v>
      </c>
      <c r="BC2167">
        <v>0.187</v>
      </c>
      <c r="BD2167" t="s">
        <v>65</v>
      </c>
      <c r="BE2167">
        <v>17</v>
      </c>
      <c r="BF2167">
        <v>3</v>
      </c>
      <c r="BG2167" t="s">
        <v>6826</v>
      </c>
      <c r="BH2167" t="s">
        <v>6827</v>
      </c>
      <c r="BI2167" t="s">
        <v>6828</v>
      </c>
      <c r="BJ2167">
        <v>4.9439999999999998E-2</v>
      </c>
      <c r="BK2167">
        <v>1</v>
      </c>
      <c r="BL2167" t="s">
        <v>69</v>
      </c>
      <c r="BM2167">
        <v>-1.1639999999999999</v>
      </c>
      <c r="BN2167">
        <v>-2.226</v>
      </c>
    </row>
    <row r="2168" spans="2:66">
      <c r="B2168">
        <v>3771</v>
      </c>
      <c r="C2168">
        <v>124</v>
      </c>
      <c r="D2168">
        <v>0</v>
      </c>
      <c r="E2168">
        <v>6</v>
      </c>
      <c r="F2168">
        <v>2</v>
      </c>
      <c r="J2168">
        <v>0</v>
      </c>
      <c r="K2168">
        <v>16</v>
      </c>
      <c r="L2168">
        <v>7</v>
      </c>
      <c r="M2168" t="s">
        <v>25022</v>
      </c>
      <c r="N2168">
        <v>1091</v>
      </c>
      <c r="O2168" t="s">
        <v>6858</v>
      </c>
      <c r="P2168" t="s">
        <v>57</v>
      </c>
      <c r="Q2168">
        <v>1129715</v>
      </c>
      <c r="R2168">
        <v>1130701</v>
      </c>
      <c r="S2168" t="s">
        <v>6859</v>
      </c>
      <c r="T2168">
        <v>329</v>
      </c>
      <c r="U2168" t="s">
        <v>698</v>
      </c>
      <c r="V2168">
        <v>47</v>
      </c>
      <c r="W2168" t="str">
        <f>HYPERLINK("Gene1091-zp_tree_all.dnd", "Gene1091-tree")</f>
        <v>Gene1091-tree</v>
      </c>
      <c r="X2168">
        <v>5</v>
      </c>
      <c r="Y2168">
        <v>12</v>
      </c>
      <c r="Z2168">
        <v>5</v>
      </c>
      <c r="AA2168">
        <v>12</v>
      </c>
      <c r="AB2168">
        <v>0.70587999999999995</v>
      </c>
      <c r="AC2168" t="s">
        <v>199</v>
      </c>
      <c r="AD2168" t="s">
        <v>109</v>
      </c>
      <c r="AE2168" t="s">
        <v>62</v>
      </c>
      <c r="AF2168" t="s">
        <v>62</v>
      </c>
      <c r="AG2168">
        <v>9</v>
      </c>
      <c r="AH2168">
        <v>23</v>
      </c>
      <c r="AI2168">
        <v>16</v>
      </c>
      <c r="AJ2168">
        <v>0.58974000000000004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8</v>
      </c>
      <c r="AQ2168">
        <v>2</v>
      </c>
      <c r="AR2168">
        <v>10</v>
      </c>
      <c r="AS2168">
        <v>13</v>
      </c>
      <c r="AT2168">
        <v>0.43478</v>
      </c>
      <c r="AU2168">
        <v>16</v>
      </c>
      <c r="AV2168">
        <v>12</v>
      </c>
      <c r="AW2168">
        <v>55</v>
      </c>
      <c r="AX2168">
        <v>24</v>
      </c>
      <c r="AY2168">
        <v>37</v>
      </c>
      <c r="AZ2168">
        <v>17</v>
      </c>
      <c r="BA2168" t="s">
        <v>6860</v>
      </c>
      <c r="BB2168" t="s">
        <v>6861</v>
      </c>
      <c r="BC2168">
        <v>4.2000000000000003E-2</v>
      </c>
      <c r="BD2168" t="s">
        <v>65</v>
      </c>
      <c r="BE2168">
        <v>92</v>
      </c>
      <c r="BF2168">
        <v>41</v>
      </c>
      <c r="BG2168" t="s">
        <v>6862</v>
      </c>
      <c r="BH2168" t="s">
        <v>6863</v>
      </c>
      <c r="BI2168" t="s">
        <v>6864</v>
      </c>
      <c r="BJ2168">
        <v>0.12069000000000001</v>
      </c>
      <c r="BK2168">
        <v>1</v>
      </c>
      <c r="BL2168" t="s">
        <v>69</v>
      </c>
      <c r="BM2168">
        <v>-1.107</v>
      </c>
      <c r="BN2168">
        <v>-1.014</v>
      </c>
    </row>
    <row r="2169" spans="2:66">
      <c r="B2169">
        <v>3773</v>
      </c>
      <c r="C2169">
        <v>190</v>
      </c>
      <c r="D2169">
        <v>0</v>
      </c>
      <c r="E2169">
        <v>2</v>
      </c>
      <c r="F2169">
        <v>0</v>
      </c>
      <c r="J2169">
        <v>2</v>
      </c>
      <c r="K2169">
        <v>50</v>
      </c>
      <c r="L2169">
        <v>9</v>
      </c>
      <c r="M2169" t="s">
        <v>25022</v>
      </c>
      <c r="N2169">
        <v>1094</v>
      </c>
      <c r="O2169" t="s">
        <v>6879</v>
      </c>
      <c r="P2169" t="s">
        <v>57</v>
      </c>
      <c r="Q2169">
        <v>1133498</v>
      </c>
      <c r="R2169">
        <v>1135222</v>
      </c>
      <c r="S2169" t="s">
        <v>6880</v>
      </c>
      <c r="T2169">
        <v>575</v>
      </c>
      <c r="U2169" t="s">
        <v>108</v>
      </c>
      <c r="V2169">
        <v>44</v>
      </c>
      <c r="W2169" t="str">
        <f>HYPERLINK("Gene1094-zp_tree_all.dnd", "Gene1094-tree")</f>
        <v>Gene1094-tree</v>
      </c>
      <c r="X2169">
        <v>0</v>
      </c>
      <c r="Y2169">
        <v>35</v>
      </c>
      <c r="Z2169">
        <v>0</v>
      </c>
      <c r="AA2169">
        <v>16</v>
      </c>
      <c r="AB2169">
        <v>1</v>
      </c>
      <c r="AC2169" t="s">
        <v>62</v>
      </c>
      <c r="AD2169" t="s">
        <v>6881</v>
      </c>
      <c r="AE2169">
        <v>3.73</v>
      </c>
      <c r="AF2169" t="s">
        <v>65</v>
      </c>
      <c r="AG2169">
        <v>20</v>
      </c>
      <c r="AH2169">
        <v>61</v>
      </c>
      <c r="AI2169">
        <v>35</v>
      </c>
      <c r="AJ2169">
        <v>0.63541999999999998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24</v>
      </c>
      <c r="AQ2169">
        <v>9</v>
      </c>
      <c r="AR2169">
        <v>33</v>
      </c>
      <c r="AS2169">
        <v>32</v>
      </c>
      <c r="AT2169">
        <v>0.50768999999999997</v>
      </c>
      <c r="AU2169">
        <v>14</v>
      </c>
      <c r="AV2169">
        <v>13</v>
      </c>
      <c r="AW2169">
        <v>63</v>
      </c>
      <c r="AX2169">
        <v>62</v>
      </c>
      <c r="AY2169">
        <v>56</v>
      </c>
      <c r="AZ2169">
        <v>34</v>
      </c>
      <c r="BA2169" t="s">
        <v>6882</v>
      </c>
      <c r="BB2169" t="s">
        <v>6883</v>
      </c>
      <c r="BC2169">
        <v>1.339</v>
      </c>
      <c r="BD2169" t="s">
        <v>65</v>
      </c>
      <c r="BE2169">
        <v>119</v>
      </c>
      <c r="BF2169">
        <v>96</v>
      </c>
      <c r="BG2169" t="s">
        <v>6884</v>
      </c>
      <c r="BH2169" t="s">
        <v>6885</v>
      </c>
      <c r="BI2169" t="s">
        <v>6886</v>
      </c>
      <c r="BJ2169">
        <v>0.19578999999999999</v>
      </c>
      <c r="BK2169">
        <v>1</v>
      </c>
      <c r="BL2169" t="s">
        <v>69</v>
      </c>
      <c r="BM2169">
        <v>-0.63</v>
      </c>
      <c r="BN2169">
        <v>-1.419</v>
      </c>
    </row>
    <row r="2170" spans="2:66">
      <c r="B2170">
        <v>3779</v>
      </c>
      <c r="C2170">
        <v>93</v>
      </c>
      <c r="D2170">
        <v>0</v>
      </c>
      <c r="E2170">
        <v>20</v>
      </c>
      <c r="F2170">
        <v>3</v>
      </c>
      <c r="J2170">
        <v>0</v>
      </c>
      <c r="K2170">
        <v>25</v>
      </c>
      <c r="L2170">
        <v>0</v>
      </c>
      <c r="M2170" t="s">
        <v>25022</v>
      </c>
      <c r="N2170">
        <v>1097</v>
      </c>
      <c r="O2170" t="s">
        <v>6901</v>
      </c>
      <c r="P2170" t="s">
        <v>57</v>
      </c>
      <c r="Q2170">
        <v>1136320</v>
      </c>
      <c r="R2170">
        <v>1139817</v>
      </c>
      <c r="S2170" t="s">
        <v>6902</v>
      </c>
      <c r="T2170">
        <v>1166</v>
      </c>
      <c r="U2170" t="s">
        <v>108</v>
      </c>
      <c r="V2170">
        <v>44</v>
      </c>
      <c r="W2170" t="str">
        <f>HYPERLINK("Gene1097-zp_tree_all.dnd", "Gene1097-tree")</f>
        <v>Gene1097-tree</v>
      </c>
      <c r="X2170">
        <v>21</v>
      </c>
      <c r="Y2170">
        <v>14</v>
      </c>
      <c r="Z2170">
        <v>4</v>
      </c>
      <c r="AA2170">
        <v>14</v>
      </c>
      <c r="AB2170">
        <v>0.77778000000000003</v>
      </c>
      <c r="AC2170" t="s">
        <v>3348</v>
      </c>
      <c r="AD2170" t="s">
        <v>543</v>
      </c>
      <c r="AE2170">
        <v>5.42</v>
      </c>
      <c r="AF2170" t="s">
        <v>267</v>
      </c>
      <c r="AG2170">
        <v>6</v>
      </c>
      <c r="AH2170">
        <v>25</v>
      </c>
      <c r="AI2170">
        <v>23</v>
      </c>
      <c r="AJ2170">
        <v>0.52083000000000002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11</v>
      </c>
      <c r="AQ2170">
        <v>0</v>
      </c>
      <c r="AR2170">
        <v>11</v>
      </c>
      <c r="AS2170">
        <v>19</v>
      </c>
      <c r="AT2170">
        <v>0.36667</v>
      </c>
      <c r="AU2170">
        <v>16</v>
      </c>
      <c r="AV2170">
        <v>12</v>
      </c>
      <c r="AW2170">
        <v>81</v>
      </c>
      <c r="AX2170">
        <v>30</v>
      </c>
      <c r="AY2170">
        <v>62</v>
      </c>
      <c r="AZ2170">
        <v>18</v>
      </c>
      <c r="BA2170" t="s">
        <v>6903</v>
      </c>
      <c r="BB2170" t="s">
        <v>6904</v>
      </c>
      <c r="BC2170">
        <v>0.39900000000000002</v>
      </c>
      <c r="BD2170" t="s">
        <v>65</v>
      </c>
      <c r="BE2170">
        <v>143</v>
      </c>
      <c r="BF2170">
        <v>48</v>
      </c>
      <c r="BG2170" t="s">
        <v>6905</v>
      </c>
      <c r="BH2170" t="s">
        <v>6906</v>
      </c>
      <c r="BI2170" t="s">
        <v>6907</v>
      </c>
      <c r="BJ2170">
        <v>7.9920000000000005E-2</v>
      </c>
      <c r="BK2170">
        <v>1</v>
      </c>
      <c r="BL2170" t="s">
        <v>69</v>
      </c>
      <c r="BM2170">
        <v>-0.88700000000000001</v>
      </c>
      <c r="BN2170">
        <v>-1.851</v>
      </c>
    </row>
    <row r="2171" spans="2:66">
      <c r="B2171">
        <v>3780</v>
      </c>
      <c r="C2171">
        <v>487</v>
      </c>
      <c r="D2171">
        <v>0</v>
      </c>
      <c r="E2171">
        <v>5</v>
      </c>
      <c r="F2171">
        <v>0</v>
      </c>
      <c r="J2171">
        <v>0</v>
      </c>
      <c r="K2171">
        <v>26</v>
      </c>
      <c r="L2171">
        <v>5</v>
      </c>
      <c r="M2171" t="s">
        <v>25022</v>
      </c>
      <c r="N2171">
        <v>1098</v>
      </c>
      <c r="O2171" t="s">
        <v>6908</v>
      </c>
      <c r="P2171" t="s">
        <v>57</v>
      </c>
      <c r="Q2171">
        <v>1139807</v>
      </c>
      <c r="R2171">
        <v>1143502</v>
      </c>
      <c r="S2171" t="s">
        <v>6909</v>
      </c>
      <c r="T2171">
        <v>1232</v>
      </c>
      <c r="U2171" t="s">
        <v>108</v>
      </c>
      <c r="V2171">
        <v>44</v>
      </c>
      <c r="W2171" t="str">
        <f>HYPERLINK("Gene1098-zp_tree_all.dnd", "Gene1098-tree")</f>
        <v>Gene1098-tree</v>
      </c>
      <c r="X2171">
        <v>2</v>
      </c>
      <c r="Y2171">
        <v>14</v>
      </c>
      <c r="Z2171">
        <v>2</v>
      </c>
      <c r="AA2171">
        <v>14</v>
      </c>
      <c r="AB2171">
        <v>0.875</v>
      </c>
      <c r="AC2171" t="s">
        <v>81</v>
      </c>
      <c r="AD2171" t="s">
        <v>543</v>
      </c>
      <c r="AE2171">
        <v>860908720.12699997</v>
      </c>
      <c r="AF2171" t="s">
        <v>267</v>
      </c>
      <c r="AG2171">
        <v>12</v>
      </c>
      <c r="AH2171">
        <v>31</v>
      </c>
      <c r="AI2171">
        <v>31</v>
      </c>
      <c r="AJ2171">
        <v>0.5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16</v>
      </c>
      <c r="AQ2171">
        <v>3</v>
      </c>
      <c r="AR2171">
        <v>19</v>
      </c>
      <c r="AS2171">
        <v>26</v>
      </c>
      <c r="AT2171">
        <v>0.42221999999999998</v>
      </c>
      <c r="AU2171">
        <v>16</v>
      </c>
      <c r="AV2171">
        <v>12</v>
      </c>
      <c r="AW2171">
        <v>135</v>
      </c>
      <c r="AX2171">
        <v>46</v>
      </c>
      <c r="AY2171">
        <v>81</v>
      </c>
      <c r="AZ2171">
        <v>17</v>
      </c>
      <c r="BA2171" t="s">
        <v>6910</v>
      </c>
      <c r="BB2171" t="s">
        <v>6911</v>
      </c>
      <c r="BC2171">
        <v>0.92800000000000005</v>
      </c>
      <c r="BD2171" t="s">
        <v>65</v>
      </c>
      <c r="BE2171">
        <v>216</v>
      </c>
      <c r="BF2171">
        <v>63</v>
      </c>
      <c r="BG2171" t="s">
        <v>6912</v>
      </c>
      <c r="BH2171" t="s">
        <v>6913</v>
      </c>
      <c r="BI2171" t="s">
        <v>6914</v>
      </c>
      <c r="BJ2171">
        <v>7.5800000000000006E-2</v>
      </c>
      <c r="BK2171">
        <v>1</v>
      </c>
      <c r="BL2171" t="s">
        <v>69</v>
      </c>
      <c r="BM2171">
        <v>-0.59299999999999997</v>
      </c>
      <c r="BN2171">
        <v>-1.421</v>
      </c>
    </row>
    <row r="2172" spans="2:66">
      <c r="B2172">
        <v>3781</v>
      </c>
      <c r="C2172">
        <v>354</v>
      </c>
      <c r="D2172">
        <v>0</v>
      </c>
      <c r="E2172">
        <v>9</v>
      </c>
      <c r="F2172">
        <v>2</v>
      </c>
      <c r="J2172">
        <v>0</v>
      </c>
      <c r="K2172">
        <v>9</v>
      </c>
      <c r="L2172">
        <v>2</v>
      </c>
      <c r="M2172" t="s">
        <v>25022</v>
      </c>
      <c r="N2172">
        <v>1099</v>
      </c>
      <c r="O2172" t="s">
        <v>6915</v>
      </c>
      <c r="P2172" t="s">
        <v>57</v>
      </c>
      <c r="Q2172">
        <v>1143577</v>
      </c>
      <c r="R2172">
        <v>1144749</v>
      </c>
      <c r="S2172" t="s">
        <v>6916</v>
      </c>
      <c r="T2172">
        <v>391</v>
      </c>
      <c r="U2172" t="s">
        <v>108</v>
      </c>
      <c r="V2172">
        <v>44</v>
      </c>
      <c r="W2172" t="str">
        <f>HYPERLINK("Gene1099-zp_tree_all.dnd", "Gene1099-tree")</f>
        <v>Gene1099-tree</v>
      </c>
      <c r="X2172">
        <v>8</v>
      </c>
      <c r="Y2172">
        <v>10</v>
      </c>
      <c r="Z2172">
        <v>8</v>
      </c>
      <c r="AA2172">
        <v>10</v>
      </c>
      <c r="AB2172">
        <v>0.55556000000000005</v>
      </c>
      <c r="AC2172" t="s">
        <v>136</v>
      </c>
      <c r="AD2172" t="s">
        <v>117</v>
      </c>
      <c r="AE2172" t="s">
        <v>62</v>
      </c>
      <c r="AF2172" t="s">
        <v>62</v>
      </c>
      <c r="AG2172">
        <v>4</v>
      </c>
      <c r="AH2172">
        <v>11</v>
      </c>
      <c r="AI2172">
        <v>13</v>
      </c>
      <c r="AJ2172">
        <v>0.45833000000000002</v>
      </c>
      <c r="AK2172">
        <v>0</v>
      </c>
      <c r="AL2172">
        <v>0</v>
      </c>
      <c r="AM2172">
        <v>0</v>
      </c>
      <c r="AN2172">
        <v>2</v>
      </c>
      <c r="AO2172">
        <v>0</v>
      </c>
      <c r="AP2172">
        <v>2</v>
      </c>
      <c r="AQ2172">
        <v>1</v>
      </c>
      <c r="AR2172">
        <v>3</v>
      </c>
      <c r="AS2172">
        <v>12</v>
      </c>
      <c r="AT2172">
        <v>0.2</v>
      </c>
      <c r="AU2172">
        <v>16</v>
      </c>
      <c r="AV2172">
        <v>13</v>
      </c>
      <c r="AW2172">
        <v>43</v>
      </c>
      <c r="AX2172">
        <v>15</v>
      </c>
      <c r="AY2172">
        <v>19</v>
      </c>
      <c r="AZ2172">
        <v>9</v>
      </c>
      <c r="BA2172" t="s">
        <v>6917</v>
      </c>
      <c r="BB2172" t="s">
        <v>6918</v>
      </c>
      <c r="BC2172">
        <v>0.29499999999999998</v>
      </c>
      <c r="BD2172" t="s">
        <v>65</v>
      </c>
      <c r="BE2172">
        <v>62</v>
      </c>
      <c r="BF2172">
        <v>24</v>
      </c>
      <c r="BG2172" t="s">
        <v>6919</v>
      </c>
      <c r="BH2172" t="s">
        <v>6920</v>
      </c>
      <c r="BI2172" t="s">
        <v>6921</v>
      </c>
      <c r="BJ2172">
        <v>0.11552</v>
      </c>
      <c r="BK2172">
        <v>1</v>
      </c>
      <c r="BL2172" t="s">
        <v>69</v>
      </c>
      <c r="BM2172">
        <v>-1.581</v>
      </c>
      <c r="BN2172">
        <v>-2.7530000000000001</v>
      </c>
    </row>
    <row r="2173" spans="2:66">
      <c r="B2173">
        <v>3782</v>
      </c>
      <c r="C2173">
        <v>77</v>
      </c>
      <c r="D2173">
        <v>0</v>
      </c>
      <c r="E2173">
        <v>6</v>
      </c>
      <c r="F2173">
        <v>3</v>
      </c>
      <c r="J2173">
        <v>0</v>
      </c>
      <c r="K2173">
        <v>35</v>
      </c>
      <c r="L2173">
        <v>6</v>
      </c>
      <c r="M2173" t="s">
        <v>25022</v>
      </c>
      <c r="N2173">
        <v>1100</v>
      </c>
      <c r="O2173" t="s">
        <v>6922</v>
      </c>
      <c r="P2173" t="s">
        <v>57</v>
      </c>
      <c r="Q2173">
        <v>1144749</v>
      </c>
      <c r="R2173">
        <v>1148138</v>
      </c>
      <c r="S2173" t="s">
        <v>6923</v>
      </c>
      <c r="T2173">
        <v>1130</v>
      </c>
      <c r="U2173" t="s">
        <v>108</v>
      </c>
      <c r="V2173">
        <v>44</v>
      </c>
      <c r="W2173" t="str">
        <f>HYPERLINK("Gene1100-zp_tree_all.dnd", "Gene1100-tree")</f>
        <v>Gene1100-tree</v>
      </c>
      <c r="X2173">
        <v>3</v>
      </c>
      <c r="Y2173">
        <v>14</v>
      </c>
      <c r="Z2173">
        <v>3</v>
      </c>
      <c r="AA2173">
        <v>14</v>
      </c>
      <c r="AB2173">
        <v>0.82352999999999998</v>
      </c>
      <c r="AC2173" t="s">
        <v>324</v>
      </c>
      <c r="AD2173" t="s">
        <v>543</v>
      </c>
      <c r="AE2173">
        <v>526110884.52200001</v>
      </c>
      <c r="AF2173" t="s">
        <v>267</v>
      </c>
      <c r="AG2173">
        <v>17</v>
      </c>
      <c r="AH2173">
        <v>41</v>
      </c>
      <c r="AI2173">
        <v>43</v>
      </c>
      <c r="AJ2173">
        <v>0.48809999999999998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11</v>
      </c>
      <c r="AQ2173">
        <v>2</v>
      </c>
      <c r="AR2173">
        <v>13</v>
      </c>
      <c r="AS2173">
        <v>38</v>
      </c>
      <c r="AT2173">
        <v>0.25490000000000002</v>
      </c>
      <c r="AU2173">
        <v>15</v>
      </c>
      <c r="AV2173">
        <v>14</v>
      </c>
      <c r="AW2173">
        <v>127</v>
      </c>
      <c r="AX2173">
        <v>44</v>
      </c>
      <c r="AY2173">
        <v>85</v>
      </c>
      <c r="AZ2173">
        <v>41</v>
      </c>
      <c r="BA2173" t="s">
        <v>6924</v>
      </c>
      <c r="BB2173" t="s">
        <v>6925</v>
      </c>
      <c r="BC2173">
        <v>0.76500000000000001</v>
      </c>
      <c r="BD2173" t="s">
        <v>65</v>
      </c>
      <c r="BE2173">
        <v>212</v>
      </c>
      <c r="BF2173">
        <v>85</v>
      </c>
      <c r="BG2173" t="s">
        <v>6926</v>
      </c>
      <c r="BH2173" t="s">
        <v>6927</v>
      </c>
      <c r="BI2173" t="s">
        <v>6928</v>
      </c>
      <c r="BJ2173">
        <v>0.12361</v>
      </c>
      <c r="BK2173">
        <v>1</v>
      </c>
      <c r="BL2173" t="s">
        <v>69</v>
      </c>
      <c r="BM2173">
        <v>-0.14499999999999999</v>
      </c>
      <c r="BN2173">
        <v>-1.349</v>
      </c>
    </row>
    <row r="2174" spans="2:66">
      <c r="B2174">
        <v>3784</v>
      </c>
      <c r="C2174">
        <v>137</v>
      </c>
      <c r="D2174">
        <v>0</v>
      </c>
      <c r="E2174">
        <v>11</v>
      </c>
      <c r="F2174">
        <v>0</v>
      </c>
      <c r="J2174">
        <v>0</v>
      </c>
      <c r="K2174">
        <v>3</v>
      </c>
      <c r="L2174">
        <v>0</v>
      </c>
      <c r="M2174" t="s">
        <v>25022</v>
      </c>
      <c r="N2174">
        <v>1101</v>
      </c>
      <c r="O2174" t="s">
        <v>6929</v>
      </c>
      <c r="P2174" t="s">
        <v>57</v>
      </c>
      <c r="Q2174">
        <v>1148155</v>
      </c>
      <c r="R2174">
        <v>1148454</v>
      </c>
      <c r="S2174" t="s">
        <v>6930</v>
      </c>
      <c r="T2174">
        <v>100</v>
      </c>
      <c r="U2174" t="s">
        <v>108</v>
      </c>
      <c r="V2174">
        <v>44</v>
      </c>
      <c r="W2174" t="str">
        <f>HYPERLINK("Gene1101-zp_tree_all.dnd", "Gene1101-tree")</f>
        <v>Gene1101-tree</v>
      </c>
      <c r="X2174">
        <v>4</v>
      </c>
      <c r="Y2174">
        <v>8</v>
      </c>
      <c r="Z2174">
        <v>4</v>
      </c>
      <c r="AA2174">
        <v>8</v>
      </c>
      <c r="AB2174">
        <v>0.66666999999999998</v>
      </c>
      <c r="AC2174" t="s">
        <v>61</v>
      </c>
      <c r="AD2174" t="s">
        <v>136</v>
      </c>
      <c r="AE2174" t="s">
        <v>62</v>
      </c>
      <c r="AF2174" t="s">
        <v>62</v>
      </c>
      <c r="AG2174">
        <v>1</v>
      </c>
      <c r="AH2174">
        <v>3</v>
      </c>
      <c r="AI2174">
        <v>8</v>
      </c>
      <c r="AJ2174">
        <v>0.27272999999999997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2</v>
      </c>
      <c r="AQ2174">
        <v>0</v>
      </c>
      <c r="AR2174">
        <v>2</v>
      </c>
      <c r="AS2174">
        <v>7</v>
      </c>
      <c r="AT2174">
        <v>0.22222</v>
      </c>
      <c r="AU2174">
        <v>9</v>
      </c>
      <c r="AV2174">
        <v>6</v>
      </c>
      <c r="AW2174">
        <v>9</v>
      </c>
      <c r="AX2174">
        <v>9</v>
      </c>
      <c r="AY2174">
        <v>5</v>
      </c>
      <c r="AZ2174">
        <v>3</v>
      </c>
      <c r="BA2174" t="s">
        <v>6931</v>
      </c>
      <c r="BB2174" t="s">
        <v>6932</v>
      </c>
      <c r="BC2174">
        <v>0.54100000000000004</v>
      </c>
      <c r="BD2174" t="s">
        <v>65</v>
      </c>
      <c r="BE2174">
        <v>14</v>
      </c>
      <c r="BF2174">
        <v>12</v>
      </c>
      <c r="BG2174" t="s">
        <v>6933</v>
      </c>
      <c r="BH2174" t="s">
        <v>6934</v>
      </c>
      <c r="BI2174" t="s">
        <v>6935</v>
      </c>
      <c r="BJ2174">
        <v>0.21232000000000001</v>
      </c>
      <c r="BK2174">
        <v>1</v>
      </c>
      <c r="BL2174" t="s">
        <v>69</v>
      </c>
      <c r="BM2174">
        <v>-0.33300000000000002</v>
      </c>
      <c r="BN2174">
        <v>-2.0470000000000002</v>
      </c>
    </row>
    <row r="2175" spans="2:66">
      <c r="B2175">
        <v>3785</v>
      </c>
      <c r="C2175">
        <v>372</v>
      </c>
      <c r="D2175">
        <v>0</v>
      </c>
      <c r="E2175">
        <v>2</v>
      </c>
      <c r="F2175">
        <v>1</v>
      </c>
      <c r="J2175">
        <v>0</v>
      </c>
      <c r="K2175">
        <v>2</v>
      </c>
      <c r="L2175">
        <v>0</v>
      </c>
      <c r="M2175" t="s">
        <v>25022</v>
      </c>
      <c r="N2175">
        <v>1110</v>
      </c>
      <c r="O2175" t="s">
        <v>6978</v>
      </c>
      <c r="P2175" t="s">
        <v>57</v>
      </c>
      <c r="Q2175">
        <v>1152244</v>
      </c>
      <c r="R2175">
        <v>1153146</v>
      </c>
      <c r="S2175" t="s">
        <v>6979</v>
      </c>
      <c r="T2175">
        <v>301</v>
      </c>
      <c r="U2175" t="s">
        <v>2803</v>
      </c>
      <c r="V2175">
        <v>45</v>
      </c>
      <c r="W2175" t="str">
        <f>HYPERLINK("Gene1110-zp_tree_all.dnd", "Gene1110-tree")</f>
        <v>Gene1110-tree</v>
      </c>
      <c r="X2175">
        <v>27</v>
      </c>
      <c r="Y2175">
        <v>4</v>
      </c>
      <c r="Z2175">
        <v>10</v>
      </c>
      <c r="AA2175">
        <v>4</v>
      </c>
      <c r="AB2175">
        <v>0.28571000000000002</v>
      </c>
      <c r="AC2175" t="s">
        <v>2980</v>
      </c>
      <c r="AD2175" t="s">
        <v>61</v>
      </c>
      <c r="AE2175" t="s">
        <v>62</v>
      </c>
      <c r="AF2175" t="s">
        <v>62</v>
      </c>
      <c r="AG2175">
        <v>1</v>
      </c>
      <c r="AH2175">
        <v>2</v>
      </c>
      <c r="AI2175">
        <v>12</v>
      </c>
      <c r="AJ2175">
        <v>0.14285999999999999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12</v>
      </c>
      <c r="AT2175">
        <v>0</v>
      </c>
      <c r="AU2175">
        <v>12</v>
      </c>
      <c r="AV2175">
        <v>9</v>
      </c>
      <c r="AW2175">
        <v>51</v>
      </c>
      <c r="AX2175">
        <v>12</v>
      </c>
      <c r="AY2175">
        <v>11</v>
      </c>
      <c r="AZ2175">
        <v>2</v>
      </c>
      <c r="BA2175" t="s">
        <v>6980</v>
      </c>
      <c r="BB2175" t="s">
        <v>6981</v>
      </c>
      <c r="BC2175">
        <v>7.0999999999999994E-2</v>
      </c>
      <c r="BD2175" t="s">
        <v>65</v>
      </c>
      <c r="BE2175">
        <v>62</v>
      </c>
      <c r="BF2175">
        <v>14</v>
      </c>
      <c r="BG2175" t="s">
        <v>6982</v>
      </c>
      <c r="BH2175" t="s">
        <v>6983</v>
      </c>
      <c r="BI2175" t="s">
        <v>6984</v>
      </c>
      <c r="BJ2175">
        <v>6.0269999999999997E-2</v>
      </c>
      <c r="BK2175">
        <v>1</v>
      </c>
      <c r="BL2175" t="s">
        <v>69</v>
      </c>
      <c r="BM2175">
        <v>-1.889</v>
      </c>
      <c r="BN2175">
        <v>-4.0970000000000004</v>
      </c>
    </row>
    <row r="2176" spans="2:66">
      <c r="B2176">
        <v>3790</v>
      </c>
      <c r="C2176">
        <v>110</v>
      </c>
      <c r="D2176">
        <v>0</v>
      </c>
      <c r="E2176">
        <v>7</v>
      </c>
      <c r="F2176">
        <v>0</v>
      </c>
      <c r="J2176">
        <v>0</v>
      </c>
      <c r="K2176">
        <v>4</v>
      </c>
      <c r="L2176">
        <v>2</v>
      </c>
      <c r="M2176" t="s">
        <v>25022</v>
      </c>
      <c r="N2176">
        <v>1111</v>
      </c>
      <c r="O2176" t="s">
        <v>6985</v>
      </c>
      <c r="P2176" t="s">
        <v>57</v>
      </c>
      <c r="Q2176">
        <v>1153265</v>
      </c>
      <c r="R2176">
        <v>1153618</v>
      </c>
      <c r="S2176" t="s">
        <v>6103</v>
      </c>
      <c r="T2176">
        <v>118</v>
      </c>
      <c r="U2176" t="s">
        <v>394</v>
      </c>
      <c r="V2176">
        <v>48</v>
      </c>
      <c r="W2176" t="str">
        <f>HYPERLINK("Gene1111-zp_tree_all.dnd", "Gene1111-tree")</f>
        <v>Gene1111-tree</v>
      </c>
      <c r="X2176">
        <v>6</v>
      </c>
      <c r="Y2176">
        <v>5</v>
      </c>
      <c r="Z2176">
        <v>6</v>
      </c>
      <c r="AA2176">
        <v>5</v>
      </c>
      <c r="AB2176">
        <v>0.45455000000000001</v>
      </c>
      <c r="AC2176" t="s">
        <v>90</v>
      </c>
      <c r="AD2176" t="s">
        <v>199</v>
      </c>
      <c r="AE2176" t="s">
        <v>62</v>
      </c>
      <c r="AF2176" t="s">
        <v>62</v>
      </c>
      <c r="AG2176">
        <v>3</v>
      </c>
      <c r="AH2176">
        <v>6</v>
      </c>
      <c r="AI2176">
        <v>5</v>
      </c>
      <c r="AJ2176">
        <v>0.54544999999999999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</v>
      </c>
      <c r="AQ2176">
        <v>0</v>
      </c>
      <c r="AR2176">
        <v>2</v>
      </c>
      <c r="AS2176">
        <v>6</v>
      </c>
      <c r="AT2176">
        <v>0.25</v>
      </c>
      <c r="AU2176">
        <v>9</v>
      </c>
      <c r="AV2176">
        <v>4</v>
      </c>
      <c r="AW2176">
        <v>16</v>
      </c>
      <c r="AX2176">
        <v>9</v>
      </c>
      <c r="AY2176">
        <v>6</v>
      </c>
      <c r="AZ2176">
        <v>3</v>
      </c>
      <c r="BA2176" t="s">
        <v>6986</v>
      </c>
      <c r="BB2176" t="s">
        <v>6987</v>
      </c>
      <c r="BC2176">
        <v>8.2000000000000003E-2</v>
      </c>
      <c r="BD2176" t="s">
        <v>65</v>
      </c>
      <c r="BE2176">
        <v>22</v>
      </c>
      <c r="BF2176">
        <v>12</v>
      </c>
      <c r="BG2176" t="s">
        <v>6988</v>
      </c>
      <c r="BH2176" t="s">
        <v>6989</v>
      </c>
      <c r="BI2176" t="s">
        <v>6990</v>
      </c>
      <c r="BJ2176">
        <v>0.15620000000000001</v>
      </c>
      <c r="BK2176">
        <v>1</v>
      </c>
      <c r="BL2176" t="s">
        <v>69</v>
      </c>
      <c r="BM2176">
        <v>-1.8380000000000001</v>
      </c>
      <c r="BN2176">
        <v>-2.4020000000000001</v>
      </c>
    </row>
    <row r="2177" spans="2:66">
      <c r="B2177">
        <v>3791</v>
      </c>
      <c r="C2177">
        <v>21</v>
      </c>
      <c r="D2177">
        <v>0</v>
      </c>
      <c r="E2177">
        <v>18</v>
      </c>
      <c r="F2177">
        <v>0</v>
      </c>
      <c r="J2177">
        <v>0</v>
      </c>
      <c r="K2177">
        <v>22</v>
      </c>
      <c r="L2177">
        <v>0</v>
      </c>
      <c r="M2177" t="s">
        <v>25022</v>
      </c>
      <c r="N2177">
        <v>1112</v>
      </c>
      <c r="O2177" t="s">
        <v>6991</v>
      </c>
      <c r="P2177" t="s">
        <v>57</v>
      </c>
      <c r="Q2177">
        <v>1153789</v>
      </c>
      <c r="R2177">
        <v>1156470</v>
      </c>
      <c r="S2177" t="s">
        <v>6992</v>
      </c>
      <c r="T2177">
        <v>894</v>
      </c>
      <c r="U2177" t="s">
        <v>5228</v>
      </c>
      <c r="V2177">
        <v>43</v>
      </c>
      <c r="W2177" t="str">
        <f>HYPERLINK("Gene1112-zp_tree_all.dnd", "Gene1112-tree")</f>
        <v>Gene1112-tree</v>
      </c>
      <c r="X2177">
        <v>5</v>
      </c>
      <c r="Y2177">
        <v>11</v>
      </c>
      <c r="Z2177">
        <v>5</v>
      </c>
      <c r="AA2177">
        <v>11</v>
      </c>
      <c r="AB2177">
        <v>0.6875</v>
      </c>
      <c r="AC2177" t="s">
        <v>199</v>
      </c>
      <c r="AD2177" t="s">
        <v>73</v>
      </c>
      <c r="AE2177">
        <v>137353515.63499999</v>
      </c>
      <c r="AF2177" t="s">
        <v>267</v>
      </c>
      <c r="AG2177">
        <v>9</v>
      </c>
      <c r="AH2177">
        <v>22</v>
      </c>
      <c r="AI2177">
        <v>21</v>
      </c>
      <c r="AJ2177">
        <v>0.51163000000000003</v>
      </c>
      <c r="AK2177">
        <v>0</v>
      </c>
      <c r="AL2177">
        <v>0</v>
      </c>
      <c r="AM2177">
        <v>0</v>
      </c>
      <c r="AN2177">
        <v>7</v>
      </c>
      <c r="AO2177">
        <v>0</v>
      </c>
      <c r="AP2177">
        <v>15</v>
      </c>
      <c r="AQ2177">
        <v>0</v>
      </c>
      <c r="AR2177">
        <v>15</v>
      </c>
      <c r="AS2177">
        <v>14</v>
      </c>
      <c r="AT2177">
        <v>0.51724000000000003</v>
      </c>
      <c r="AU2177">
        <v>14</v>
      </c>
      <c r="AV2177">
        <v>12</v>
      </c>
      <c r="AW2177">
        <v>86</v>
      </c>
      <c r="AX2177">
        <v>29</v>
      </c>
      <c r="AY2177">
        <v>50</v>
      </c>
      <c r="AZ2177">
        <v>14</v>
      </c>
      <c r="BA2177" t="s">
        <v>6993</v>
      </c>
      <c r="BB2177" t="s">
        <v>6994</v>
      </c>
      <c r="BC2177">
        <v>0.23899999999999999</v>
      </c>
      <c r="BD2177" t="s">
        <v>65</v>
      </c>
      <c r="BE2177">
        <v>136</v>
      </c>
      <c r="BF2177">
        <v>43</v>
      </c>
      <c r="BG2177" t="s">
        <v>6995</v>
      </c>
      <c r="BH2177" t="s">
        <v>6996</v>
      </c>
      <c r="BI2177" t="s">
        <v>6997</v>
      </c>
      <c r="BJ2177">
        <v>9.4539999999999999E-2</v>
      </c>
      <c r="BK2177">
        <v>1</v>
      </c>
      <c r="BL2177" t="s">
        <v>69</v>
      </c>
      <c r="BM2177">
        <v>-0.253</v>
      </c>
      <c r="BN2177">
        <v>-0.72</v>
      </c>
    </row>
    <row r="2178" spans="2:66">
      <c r="B2178">
        <v>3792</v>
      </c>
      <c r="C2178">
        <v>14</v>
      </c>
      <c r="D2178">
        <v>0</v>
      </c>
      <c r="E2178">
        <v>4</v>
      </c>
      <c r="F2178">
        <v>2</v>
      </c>
      <c r="J2178">
        <v>0</v>
      </c>
      <c r="K2178">
        <v>3</v>
      </c>
      <c r="L2178">
        <v>0</v>
      </c>
      <c r="M2178" t="s">
        <v>25022</v>
      </c>
      <c r="N2178">
        <v>1114</v>
      </c>
      <c r="O2178" t="s">
        <v>7004</v>
      </c>
      <c r="P2178" t="s">
        <v>57</v>
      </c>
      <c r="Q2178">
        <v>1157237</v>
      </c>
      <c r="R2178">
        <v>1159078</v>
      </c>
      <c r="S2178" t="s">
        <v>7005</v>
      </c>
      <c r="T2178">
        <v>614</v>
      </c>
      <c r="U2178" t="s">
        <v>108</v>
      </c>
      <c r="V2178">
        <v>44</v>
      </c>
      <c r="W2178" t="str">
        <f>HYPERLINK("Gene1114-zp_tree_all.dnd", "Gene1114-tree")</f>
        <v>Gene1114-tree</v>
      </c>
      <c r="X2178">
        <v>7</v>
      </c>
      <c r="Y2178">
        <v>8</v>
      </c>
      <c r="Z2178">
        <v>7</v>
      </c>
      <c r="AA2178">
        <v>8</v>
      </c>
      <c r="AB2178">
        <v>0.53332999999999997</v>
      </c>
      <c r="AC2178" t="s">
        <v>152</v>
      </c>
      <c r="AD2178" t="s">
        <v>136</v>
      </c>
      <c r="AE2178" t="s">
        <v>62</v>
      </c>
      <c r="AF2178" t="s">
        <v>62</v>
      </c>
      <c r="AG2178">
        <v>1</v>
      </c>
      <c r="AH2178">
        <v>3</v>
      </c>
      <c r="AI2178">
        <v>8</v>
      </c>
      <c r="AJ2178">
        <v>0.27272999999999997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9</v>
      </c>
      <c r="AT2178">
        <v>0</v>
      </c>
      <c r="AU2178">
        <v>15</v>
      </c>
      <c r="AV2178">
        <v>9</v>
      </c>
      <c r="AW2178">
        <v>77</v>
      </c>
      <c r="AX2178">
        <v>9</v>
      </c>
      <c r="AY2178">
        <v>54</v>
      </c>
      <c r="AZ2178">
        <v>2</v>
      </c>
      <c r="BA2178" t="s">
        <v>7006</v>
      </c>
      <c r="BB2178" t="s">
        <v>7007</v>
      </c>
      <c r="BC2178">
        <v>1.05</v>
      </c>
      <c r="BD2178" t="s">
        <v>65</v>
      </c>
      <c r="BE2178">
        <v>131</v>
      </c>
      <c r="BF2178">
        <v>11</v>
      </c>
      <c r="BG2178" t="s">
        <v>7008</v>
      </c>
      <c r="BH2178" t="s">
        <v>7009</v>
      </c>
      <c r="BI2178" t="s">
        <v>7010</v>
      </c>
      <c r="BJ2178">
        <v>2.2610000000000002E-2</v>
      </c>
      <c r="BK2178">
        <v>1</v>
      </c>
      <c r="BL2178" t="s">
        <v>69</v>
      </c>
      <c r="BM2178">
        <v>-8.1000000000000003E-2</v>
      </c>
      <c r="BN2178">
        <v>-0.98699999999999999</v>
      </c>
    </row>
    <row r="2179" spans="2:66">
      <c r="B2179">
        <v>3794</v>
      </c>
      <c r="C2179">
        <v>164</v>
      </c>
      <c r="D2179">
        <v>0</v>
      </c>
      <c r="E2179">
        <v>6</v>
      </c>
      <c r="F2179">
        <v>0</v>
      </c>
      <c r="J2179">
        <v>0</v>
      </c>
      <c r="K2179">
        <v>5</v>
      </c>
      <c r="L2179">
        <v>0</v>
      </c>
      <c r="M2179" t="s">
        <v>25022</v>
      </c>
      <c r="N2179">
        <v>1118</v>
      </c>
      <c r="O2179" t="s">
        <v>7025</v>
      </c>
      <c r="P2179" t="s">
        <v>57</v>
      </c>
      <c r="Q2179">
        <v>1162267</v>
      </c>
      <c r="R2179">
        <v>1163127</v>
      </c>
      <c r="S2179" t="s">
        <v>1572</v>
      </c>
      <c r="T2179">
        <v>287</v>
      </c>
      <c r="U2179" t="s">
        <v>2220</v>
      </c>
      <c r="V2179">
        <v>46</v>
      </c>
      <c r="W2179" t="str">
        <f>HYPERLINK("Gene1118-zp_tree_all.dnd", "Gene1118-tree")</f>
        <v>Gene1118-tree</v>
      </c>
      <c r="X2179">
        <v>8</v>
      </c>
      <c r="Y2179">
        <v>10</v>
      </c>
      <c r="Z2179">
        <v>8</v>
      </c>
      <c r="AA2179">
        <v>10</v>
      </c>
      <c r="AB2179">
        <v>0.55556000000000005</v>
      </c>
      <c r="AC2179" t="s">
        <v>136</v>
      </c>
      <c r="AD2179" t="s">
        <v>117</v>
      </c>
      <c r="AE2179" t="s">
        <v>62</v>
      </c>
      <c r="AF2179" t="s">
        <v>62</v>
      </c>
      <c r="AG2179">
        <v>2</v>
      </c>
      <c r="AH2179">
        <v>5</v>
      </c>
      <c r="AI2179">
        <v>12</v>
      </c>
      <c r="AJ2179">
        <v>0.29411999999999999</v>
      </c>
      <c r="AK2179">
        <v>0</v>
      </c>
      <c r="AL2179">
        <v>0</v>
      </c>
      <c r="AM2179">
        <v>0</v>
      </c>
      <c r="AN2179">
        <v>3</v>
      </c>
      <c r="AO2179">
        <v>0</v>
      </c>
      <c r="AP2179">
        <v>4</v>
      </c>
      <c r="AQ2179">
        <v>0</v>
      </c>
      <c r="AR2179">
        <v>4</v>
      </c>
      <c r="AS2179">
        <v>9</v>
      </c>
      <c r="AT2179">
        <v>0.30769000000000002</v>
      </c>
      <c r="AU2179">
        <v>13</v>
      </c>
      <c r="AV2179">
        <v>8</v>
      </c>
      <c r="AW2179">
        <v>39</v>
      </c>
      <c r="AX2179">
        <v>13</v>
      </c>
      <c r="AY2179">
        <v>31</v>
      </c>
      <c r="AZ2179">
        <v>4</v>
      </c>
      <c r="BA2179" t="s">
        <v>7026</v>
      </c>
      <c r="BB2179" t="s">
        <v>7027</v>
      </c>
      <c r="BC2179">
        <v>0.68799999999999994</v>
      </c>
      <c r="BD2179" t="s">
        <v>65</v>
      </c>
      <c r="BE2179">
        <v>70</v>
      </c>
      <c r="BF2179">
        <v>17</v>
      </c>
      <c r="BG2179" t="s">
        <v>7028</v>
      </c>
      <c r="BH2179" t="s">
        <v>7029</v>
      </c>
      <c r="BI2179" t="s">
        <v>7030</v>
      </c>
      <c r="BJ2179">
        <v>5.3069999999999999E-2</v>
      </c>
      <c r="BK2179">
        <v>1</v>
      </c>
      <c r="BL2179" t="s">
        <v>69</v>
      </c>
      <c r="BM2179">
        <v>-2.008</v>
      </c>
      <c r="BN2179">
        <v>-2.5150000000000001</v>
      </c>
    </row>
    <row r="2180" spans="2:66">
      <c r="B2180">
        <v>3796</v>
      </c>
      <c r="C2180">
        <v>44</v>
      </c>
      <c r="D2180">
        <v>0</v>
      </c>
      <c r="E2180">
        <v>6</v>
      </c>
      <c r="F2180">
        <v>0</v>
      </c>
      <c r="J2180">
        <v>0</v>
      </c>
      <c r="K2180">
        <v>3</v>
      </c>
      <c r="L2180">
        <v>2</v>
      </c>
      <c r="M2180" t="s">
        <v>25022</v>
      </c>
      <c r="N2180">
        <v>1119</v>
      </c>
      <c r="O2180" t="s">
        <v>7031</v>
      </c>
      <c r="P2180" t="s">
        <v>57</v>
      </c>
      <c r="Q2180">
        <v>1163148</v>
      </c>
      <c r="R2180">
        <v>1164158</v>
      </c>
      <c r="S2180" t="s">
        <v>7032</v>
      </c>
      <c r="T2180">
        <v>337</v>
      </c>
      <c r="U2180" t="s">
        <v>108</v>
      </c>
      <c r="V2180">
        <v>44</v>
      </c>
      <c r="W2180" t="str">
        <f>HYPERLINK("Gene1119-zp_tree_all.dnd", "Gene1119-tree")</f>
        <v>Gene1119-tree</v>
      </c>
      <c r="X2180">
        <v>6</v>
      </c>
      <c r="Y2180">
        <v>8</v>
      </c>
      <c r="Z2180">
        <v>6</v>
      </c>
      <c r="AA2180">
        <v>8</v>
      </c>
      <c r="AB2180">
        <v>0.57142999999999999</v>
      </c>
      <c r="AC2180" t="s">
        <v>90</v>
      </c>
      <c r="AD2180" t="s">
        <v>136</v>
      </c>
      <c r="AE2180" t="s">
        <v>62</v>
      </c>
      <c r="AF2180" t="s">
        <v>62</v>
      </c>
      <c r="AG2180">
        <v>2</v>
      </c>
      <c r="AH2180">
        <v>5</v>
      </c>
      <c r="AI2180">
        <v>13</v>
      </c>
      <c r="AJ2180">
        <v>0.27778000000000003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2</v>
      </c>
      <c r="AQ2180">
        <v>2</v>
      </c>
      <c r="AR2180">
        <v>4</v>
      </c>
      <c r="AS2180">
        <v>11</v>
      </c>
      <c r="AT2180">
        <v>0.26667000000000002</v>
      </c>
      <c r="AU2180">
        <v>13</v>
      </c>
      <c r="AV2180">
        <v>8</v>
      </c>
      <c r="AW2180">
        <v>35</v>
      </c>
      <c r="AX2180">
        <v>15</v>
      </c>
      <c r="AY2180">
        <v>11</v>
      </c>
      <c r="AZ2180">
        <v>3</v>
      </c>
      <c r="BA2180" t="s">
        <v>7033</v>
      </c>
      <c r="BB2180" t="s">
        <v>7034</v>
      </c>
      <c r="BC2180">
        <v>0.48499999999999999</v>
      </c>
      <c r="BD2180" t="s">
        <v>65</v>
      </c>
      <c r="BE2180">
        <v>46</v>
      </c>
      <c r="BF2180">
        <v>18</v>
      </c>
      <c r="BG2180" t="s">
        <v>7035</v>
      </c>
      <c r="BH2180" t="s">
        <v>7036</v>
      </c>
      <c r="BI2180" t="s">
        <v>7037</v>
      </c>
      <c r="BJ2180">
        <v>0.10014000000000001</v>
      </c>
      <c r="BK2180">
        <v>1</v>
      </c>
      <c r="BL2180" t="s">
        <v>69</v>
      </c>
      <c r="BM2180">
        <v>-0.73599999999999999</v>
      </c>
      <c r="BN2180">
        <v>-0.64900000000000002</v>
      </c>
    </row>
    <row r="2181" spans="2:66">
      <c r="B2181">
        <v>3797</v>
      </c>
      <c r="C2181">
        <v>100</v>
      </c>
      <c r="D2181">
        <v>0</v>
      </c>
      <c r="E2181">
        <v>0</v>
      </c>
      <c r="F2181">
        <v>2</v>
      </c>
      <c r="J2181">
        <v>0</v>
      </c>
      <c r="K2181">
        <v>19</v>
      </c>
      <c r="L2181">
        <v>4</v>
      </c>
      <c r="M2181" t="s">
        <v>25022</v>
      </c>
      <c r="N2181">
        <v>1120</v>
      </c>
      <c r="O2181" t="s">
        <v>7038</v>
      </c>
      <c r="P2181" t="s">
        <v>57</v>
      </c>
      <c r="Q2181">
        <v>1164370</v>
      </c>
      <c r="R2181">
        <v>1165395</v>
      </c>
      <c r="S2181" t="s">
        <v>7039</v>
      </c>
      <c r="T2181">
        <v>342</v>
      </c>
      <c r="U2181" t="s">
        <v>108</v>
      </c>
      <c r="V2181">
        <v>44</v>
      </c>
      <c r="W2181" t="str">
        <f>HYPERLINK("Gene1120-zp_tree_all.dnd", "Gene1120-tree")</f>
        <v>Gene1120-tree</v>
      </c>
      <c r="X2181">
        <v>5</v>
      </c>
      <c r="Y2181">
        <v>27</v>
      </c>
      <c r="Z2181">
        <v>5</v>
      </c>
      <c r="AA2181">
        <v>10</v>
      </c>
      <c r="AB2181">
        <v>0.66666999999999998</v>
      </c>
      <c r="AC2181" t="s">
        <v>199</v>
      </c>
      <c r="AD2181" t="s">
        <v>2980</v>
      </c>
      <c r="AE2181">
        <v>2.2480000000000002</v>
      </c>
      <c r="AF2181" t="s">
        <v>65</v>
      </c>
      <c r="AG2181">
        <v>10</v>
      </c>
      <c r="AH2181">
        <v>23</v>
      </c>
      <c r="AI2181">
        <v>17</v>
      </c>
      <c r="AJ2181">
        <v>0.57499999999999996</v>
      </c>
      <c r="AK2181">
        <v>0</v>
      </c>
      <c r="AL2181">
        <v>0</v>
      </c>
      <c r="AM2181">
        <v>0</v>
      </c>
      <c r="AN2181">
        <v>2</v>
      </c>
      <c r="AO2181">
        <v>0</v>
      </c>
      <c r="AP2181">
        <v>5</v>
      </c>
      <c r="AQ2181">
        <v>0</v>
      </c>
      <c r="AR2181">
        <v>5</v>
      </c>
      <c r="AS2181">
        <v>18</v>
      </c>
      <c r="AT2181">
        <v>0.21739</v>
      </c>
      <c r="AU2181">
        <v>14</v>
      </c>
      <c r="AV2181">
        <v>12</v>
      </c>
      <c r="AW2181">
        <v>44</v>
      </c>
      <c r="AX2181">
        <v>23</v>
      </c>
      <c r="AY2181">
        <v>55</v>
      </c>
      <c r="AZ2181">
        <v>18</v>
      </c>
      <c r="BA2181" t="s">
        <v>7040</v>
      </c>
      <c r="BB2181" t="s">
        <v>7041</v>
      </c>
      <c r="BC2181">
        <v>0.90200000000000002</v>
      </c>
      <c r="BD2181" t="s">
        <v>65</v>
      </c>
      <c r="BE2181">
        <v>99</v>
      </c>
      <c r="BF2181">
        <v>41</v>
      </c>
      <c r="BG2181" t="s">
        <v>7042</v>
      </c>
      <c r="BH2181" t="s">
        <v>7043</v>
      </c>
      <c r="BI2181" t="s">
        <v>7044</v>
      </c>
      <c r="BJ2181">
        <v>0.12259</v>
      </c>
      <c r="BK2181">
        <v>1</v>
      </c>
      <c r="BL2181" t="s">
        <v>69</v>
      </c>
      <c r="BM2181">
        <v>0.17499999999999999</v>
      </c>
      <c r="BN2181">
        <v>0.92600000000000005</v>
      </c>
    </row>
    <row r="2182" spans="2:66">
      <c r="B2182">
        <v>3798</v>
      </c>
      <c r="C2182">
        <v>33</v>
      </c>
      <c r="D2182">
        <v>0</v>
      </c>
      <c r="E2182">
        <v>4</v>
      </c>
      <c r="F2182">
        <v>0</v>
      </c>
      <c r="J2182">
        <v>0</v>
      </c>
      <c r="K2182">
        <v>13</v>
      </c>
      <c r="L2182">
        <v>1</v>
      </c>
      <c r="M2182" t="s">
        <v>25022</v>
      </c>
      <c r="N2182">
        <v>1123</v>
      </c>
      <c r="O2182" t="s">
        <v>7060</v>
      </c>
      <c r="P2182" t="s">
        <v>57</v>
      </c>
      <c r="Q2182">
        <v>1166737</v>
      </c>
      <c r="R2182">
        <v>1168188</v>
      </c>
      <c r="S2182" t="s">
        <v>2441</v>
      </c>
      <c r="T2182">
        <v>484</v>
      </c>
      <c r="U2182" t="s">
        <v>108</v>
      </c>
      <c r="V2182">
        <v>44</v>
      </c>
      <c r="W2182" t="str">
        <f>HYPERLINK("Gene1123-zp_tree_all.dnd", "Gene1123-tree")</f>
        <v>Gene1123-tree</v>
      </c>
      <c r="X2182">
        <v>2</v>
      </c>
      <c r="Y2182">
        <v>14</v>
      </c>
      <c r="Z2182">
        <v>2</v>
      </c>
      <c r="AA2182">
        <v>14</v>
      </c>
      <c r="AB2182">
        <v>0.875</v>
      </c>
      <c r="AC2182" t="s">
        <v>81</v>
      </c>
      <c r="AD2182" t="s">
        <v>543</v>
      </c>
      <c r="AE2182">
        <v>860908720.12699997</v>
      </c>
      <c r="AF2182" t="s">
        <v>267</v>
      </c>
      <c r="AG2182">
        <v>5</v>
      </c>
      <c r="AH2182">
        <v>14</v>
      </c>
      <c r="AI2182">
        <v>32</v>
      </c>
      <c r="AJ2182">
        <v>0.30435000000000001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11</v>
      </c>
      <c r="AQ2182">
        <v>1</v>
      </c>
      <c r="AR2182">
        <v>12</v>
      </c>
      <c r="AS2182">
        <v>25</v>
      </c>
      <c r="AT2182">
        <v>0.32432</v>
      </c>
      <c r="AU2182">
        <v>13</v>
      </c>
      <c r="AV2182">
        <v>11</v>
      </c>
      <c r="AW2182">
        <v>27</v>
      </c>
      <c r="AX2182">
        <v>27</v>
      </c>
      <c r="AY2182">
        <v>32</v>
      </c>
      <c r="AZ2182">
        <v>19</v>
      </c>
      <c r="BA2182" t="s">
        <v>7061</v>
      </c>
      <c r="BB2182" t="s">
        <v>7062</v>
      </c>
      <c r="BC2182">
        <v>0.47499999999999998</v>
      </c>
      <c r="BD2182" t="s">
        <v>65</v>
      </c>
      <c r="BE2182">
        <v>59</v>
      </c>
      <c r="BF2182">
        <v>46</v>
      </c>
      <c r="BG2182" t="s">
        <v>7063</v>
      </c>
      <c r="BH2182" t="s">
        <v>7064</v>
      </c>
      <c r="BI2182" t="s">
        <v>7065</v>
      </c>
      <c r="BJ2182">
        <v>0.22597999999999999</v>
      </c>
      <c r="BK2182">
        <v>1</v>
      </c>
      <c r="BL2182" t="s">
        <v>69</v>
      </c>
      <c r="BM2182">
        <v>-0.86</v>
      </c>
      <c r="BN2182">
        <v>0.112</v>
      </c>
    </row>
    <row r="2183" spans="2:66">
      <c r="B2183">
        <v>3800</v>
      </c>
      <c r="C2183">
        <v>36</v>
      </c>
      <c r="D2183">
        <v>0</v>
      </c>
      <c r="E2183">
        <v>2</v>
      </c>
      <c r="F2183">
        <v>0</v>
      </c>
      <c r="J2183">
        <v>0</v>
      </c>
      <c r="K2183">
        <v>6</v>
      </c>
      <c r="L2183">
        <v>0</v>
      </c>
      <c r="M2183" t="s">
        <v>25022</v>
      </c>
      <c r="N2183">
        <v>1125</v>
      </c>
      <c r="O2183" t="s">
        <v>7072</v>
      </c>
      <c r="P2183" t="s">
        <v>57</v>
      </c>
      <c r="Q2183">
        <v>1169043</v>
      </c>
      <c r="R2183">
        <v>1169846</v>
      </c>
      <c r="S2183" t="s">
        <v>7073</v>
      </c>
      <c r="T2183">
        <v>268</v>
      </c>
      <c r="U2183" t="s">
        <v>108</v>
      </c>
      <c r="V2183">
        <v>44</v>
      </c>
      <c r="W2183" t="str">
        <f>HYPERLINK("Gene1125-zp_tree_all.dnd", "Gene1125-tree")</f>
        <v>Gene1125-tree</v>
      </c>
      <c r="X2183">
        <v>6</v>
      </c>
      <c r="Y2183">
        <v>7</v>
      </c>
      <c r="Z2183">
        <v>6</v>
      </c>
      <c r="AA2183">
        <v>7</v>
      </c>
      <c r="AB2183">
        <v>0.53846000000000005</v>
      </c>
      <c r="AC2183" t="s">
        <v>90</v>
      </c>
      <c r="AD2183" t="s">
        <v>152</v>
      </c>
      <c r="AE2183" t="s">
        <v>62</v>
      </c>
      <c r="AF2183" t="s">
        <v>62</v>
      </c>
      <c r="AG2183">
        <v>3</v>
      </c>
      <c r="AH2183">
        <v>6</v>
      </c>
      <c r="AI2183">
        <v>7</v>
      </c>
      <c r="AJ2183">
        <v>0.46154000000000001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9</v>
      </c>
      <c r="AT2183">
        <v>0</v>
      </c>
      <c r="AU2183">
        <v>10</v>
      </c>
      <c r="AV2183">
        <v>7</v>
      </c>
      <c r="AW2183">
        <v>19</v>
      </c>
      <c r="AX2183">
        <v>9</v>
      </c>
      <c r="AY2183">
        <v>16</v>
      </c>
      <c r="AZ2183">
        <v>4</v>
      </c>
      <c r="BA2183" t="s">
        <v>7074</v>
      </c>
      <c r="BB2183" t="s">
        <v>7075</v>
      </c>
      <c r="BC2183">
        <v>0.70799999999999996</v>
      </c>
      <c r="BD2183" t="s">
        <v>65</v>
      </c>
      <c r="BE2183">
        <v>35</v>
      </c>
      <c r="BF2183">
        <v>13</v>
      </c>
      <c r="BG2183" t="s">
        <v>7076</v>
      </c>
      <c r="BH2183" t="s">
        <v>7077</v>
      </c>
      <c r="BI2183" t="s">
        <v>7078</v>
      </c>
      <c r="BJ2183">
        <v>9.017E-2</v>
      </c>
      <c r="BK2183">
        <v>1</v>
      </c>
      <c r="BL2183" t="s">
        <v>69</v>
      </c>
      <c r="BM2183">
        <v>-0.245</v>
      </c>
      <c r="BN2183">
        <v>-6.4000000000000001E-2</v>
      </c>
    </row>
    <row r="2184" spans="2:66">
      <c r="B2184">
        <v>3803</v>
      </c>
      <c r="C2184">
        <v>110</v>
      </c>
      <c r="D2184">
        <v>0</v>
      </c>
      <c r="E2184">
        <v>2</v>
      </c>
      <c r="F2184">
        <v>0</v>
      </c>
      <c r="J2184">
        <v>0</v>
      </c>
      <c r="K2184">
        <v>18</v>
      </c>
      <c r="L2184">
        <v>1</v>
      </c>
      <c r="M2184" t="s">
        <v>25022</v>
      </c>
      <c r="N2184">
        <v>1129</v>
      </c>
      <c r="O2184" t="s">
        <v>7099</v>
      </c>
      <c r="P2184" t="s">
        <v>57</v>
      </c>
      <c r="Q2184">
        <v>1172650</v>
      </c>
      <c r="R2184">
        <v>1173333</v>
      </c>
      <c r="S2184" t="s">
        <v>7100</v>
      </c>
      <c r="T2184">
        <v>228</v>
      </c>
      <c r="U2184" t="s">
        <v>7101</v>
      </c>
      <c r="V2184">
        <v>36</v>
      </c>
      <c r="W2184" t="str">
        <f>HYPERLINK("Gene1129-zp_tree_all.dnd", "Gene1129-tree")</f>
        <v>Gene1129-tree</v>
      </c>
      <c r="X2184">
        <v>2</v>
      </c>
      <c r="Y2184">
        <v>8</v>
      </c>
      <c r="Z2184">
        <v>2</v>
      </c>
      <c r="AA2184">
        <v>8</v>
      </c>
      <c r="AB2184">
        <v>0.8</v>
      </c>
      <c r="AC2184" t="s">
        <v>81</v>
      </c>
      <c r="AD2184" t="s">
        <v>136</v>
      </c>
      <c r="AE2184" t="s">
        <v>62</v>
      </c>
      <c r="AF2184" t="s">
        <v>62</v>
      </c>
      <c r="AG2184">
        <v>8</v>
      </c>
      <c r="AH2184">
        <v>19</v>
      </c>
      <c r="AI2184">
        <v>13</v>
      </c>
      <c r="AJ2184">
        <v>0.59375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2</v>
      </c>
      <c r="AQ2184">
        <v>3</v>
      </c>
      <c r="AR2184">
        <v>5</v>
      </c>
      <c r="AS2184">
        <v>16</v>
      </c>
      <c r="AT2184">
        <v>0.23810000000000001</v>
      </c>
      <c r="AU2184">
        <v>10</v>
      </c>
      <c r="AV2184">
        <v>7</v>
      </c>
      <c r="AW2184">
        <v>32</v>
      </c>
      <c r="AX2184">
        <v>22</v>
      </c>
      <c r="AY2184">
        <v>12</v>
      </c>
      <c r="AZ2184">
        <v>11</v>
      </c>
      <c r="BA2184" t="s">
        <v>7102</v>
      </c>
      <c r="BB2184" t="s">
        <v>7103</v>
      </c>
      <c r="BC2184">
        <v>0.80500000000000005</v>
      </c>
      <c r="BD2184" t="s">
        <v>65</v>
      </c>
      <c r="BE2184">
        <v>44</v>
      </c>
      <c r="BF2184">
        <v>33</v>
      </c>
      <c r="BG2184" t="s">
        <v>7104</v>
      </c>
      <c r="BH2184" t="s">
        <v>7105</v>
      </c>
      <c r="BI2184" t="s">
        <v>7106</v>
      </c>
      <c r="BJ2184">
        <v>0.21390000000000001</v>
      </c>
      <c r="BK2184">
        <v>1</v>
      </c>
      <c r="BL2184" t="s">
        <v>69</v>
      </c>
      <c r="BM2184">
        <v>-0.92600000000000005</v>
      </c>
      <c r="BN2184">
        <v>-1.417</v>
      </c>
    </row>
    <row r="2185" spans="2:66">
      <c r="B2185">
        <v>3804</v>
      </c>
      <c r="C2185">
        <v>316</v>
      </c>
      <c r="D2185">
        <v>0</v>
      </c>
      <c r="E2185">
        <v>8</v>
      </c>
      <c r="F2185">
        <v>0</v>
      </c>
      <c r="J2185">
        <v>0</v>
      </c>
      <c r="K2185">
        <v>0</v>
      </c>
      <c r="L2185">
        <v>0</v>
      </c>
      <c r="M2185" t="s">
        <v>25022</v>
      </c>
      <c r="N2185">
        <v>1130</v>
      </c>
      <c r="O2185" t="s">
        <v>7107</v>
      </c>
      <c r="P2185" t="s">
        <v>57</v>
      </c>
      <c r="Q2185">
        <v>1173333</v>
      </c>
      <c r="R2185">
        <v>1174088</v>
      </c>
      <c r="S2185" t="s">
        <v>7108</v>
      </c>
      <c r="T2185">
        <v>252</v>
      </c>
      <c r="U2185" t="s">
        <v>2289</v>
      </c>
      <c r="V2185">
        <v>37</v>
      </c>
      <c r="W2185" t="str">
        <f>HYPERLINK("Gene1130-zp_tree_all.dnd", "Gene1130-tree")</f>
        <v>Gene1130-tree</v>
      </c>
      <c r="X2185">
        <v>31</v>
      </c>
      <c r="Y2185">
        <v>2</v>
      </c>
      <c r="Z2185">
        <v>10</v>
      </c>
      <c r="AA2185">
        <v>2</v>
      </c>
      <c r="AB2185">
        <v>0.16667000000000001</v>
      </c>
      <c r="AC2185" t="s">
        <v>2854</v>
      </c>
      <c r="AD2185" t="s">
        <v>81</v>
      </c>
      <c r="AE2185" t="s">
        <v>62</v>
      </c>
      <c r="AF2185" t="s">
        <v>62</v>
      </c>
      <c r="AG2185">
        <v>0</v>
      </c>
      <c r="AH2185">
        <v>0</v>
      </c>
      <c r="AI2185">
        <v>5</v>
      </c>
      <c r="AJ2185">
        <v>0</v>
      </c>
      <c r="AK2185">
        <v>0</v>
      </c>
      <c r="AL2185">
        <v>0</v>
      </c>
      <c r="AM2185">
        <v>0</v>
      </c>
      <c r="AN2185">
        <v>2</v>
      </c>
      <c r="AO2185">
        <v>0</v>
      </c>
      <c r="AP2185">
        <v>0</v>
      </c>
      <c r="AQ2185">
        <v>0</v>
      </c>
      <c r="AR2185">
        <v>0</v>
      </c>
      <c r="AS2185">
        <v>3</v>
      </c>
      <c r="AT2185">
        <v>0</v>
      </c>
      <c r="AU2185">
        <v>9</v>
      </c>
      <c r="AV2185">
        <v>6</v>
      </c>
      <c r="AW2185">
        <v>25</v>
      </c>
      <c r="AX2185">
        <v>3</v>
      </c>
      <c r="AY2185">
        <v>13</v>
      </c>
      <c r="AZ2185">
        <v>2</v>
      </c>
      <c r="BA2185" t="s">
        <v>7109</v>
      </c>
      <c r="BB2185" t="s">
        <v>7110</v>
      </c>
      <c r="BC2185">
        <v>0.14899999999999999</v>
      </c>
      <c r="BD2185" t="s">
        <v>65</v>
      </c>
      <c r="BE2185">
        <v>38</v>
      </c>
      <c r="BF2185">
        <v>5</v>
      </c>
      <c r="BG2185" t="s">
        <v>7111</v>
      </c>
      <c r="BH2185" t="s">
        <v>7112</v>
      </c>
      <c r="BI2185" t="s">
        <v>7113</v>
      </c>
      <c r="BJ2185">
        <v>5.3069999999999999E-2</v>
      </c>
      <c r="BK2185">
        <v>1</v>
      </c>
      <c r="BL2185" t="s">
        <v>69</v>
      </c>
      <c r="BM2185">
        <v>-1.3320000000000001</v>
      </c>
      <c r="BN2185">
        <v>-2.1859999999999999</v>
      </c>
    </row>
    <row r="2186" spans="2:66">
      <c r="B2186">
        <v>3806</v>
      </c>
      <c r="C2186">
        <v>20</v>
      </c>
      <c r="D2186">
        <v>0</v>
      </c>
      <c r="E2186">
        <v>2</v>
      </c>
      <c r="F2186">
        <v>0</v>
      </c>
      <c r="J2186">
        <v>0</v>
      </c>
      <c r="K2186">
        <v>4</v>
      </c>
      <c r="L2186">
        <v>0</v>
      </c>
      <c r="M2186" t="s">
        <v>25022</v>
      </c>
      <c r="N2186">
        <v>1138</v>
      </c>
      <c r="O2186" t="s">
        <v>7154</v>
      </c>
      <c r="P2186" t="s">
        <v>57</v>
      </c>
      <c r="Q2186">
        <v>1181499</v>
      </c>
      <c r="R2186">
        <v>1182392</v>
      </c>
      <c r="S2186" t="s">
        <v>7155</v>
      </c>
      <c r="T2186">
        <v>298</v>
      </c>
      <c r="U2186" t="s">
        <v>7156</v>
      </c>
      <c r="V2186">
        <v>31</v>
      </c>
      <c r="W2186" t="str">
        <f>HYPERLINK("Gene1138-zp_tree_all.dnd", "Gene1138-tree")</f>
        <v>Gene1138-tree</v>
      </c>
      <c r="X2186">
        <v>5</v>
      </c>
      <c r="Y2186">
        <v>4</v>
      </c>
      <c r="Z2186">
        <v>5</v>
      </c>
      <c r="AA2186">
        <v>4</v>
      </c>
      <c r="AB2186">
        <v>0.44444</v>
      </c>
      <c r="AC2186" t="s">
        <v>199</v>
      </c>
      <c r="AD2186" t="s">
        <v>61</v>
      </c>
      <c r="AE2186" t="s">
        <v>62</v>
      </c>
      <c r="AF2186" t="s">
        <v>62</v>
      </c>
      <c r="AG2186">
        <v>2</v>
      </c>
      <c r="AH2186">
        <v>4</v>
      </c>
      <c r="AI2186">
        <v>7</v>
      </c>
      <c r="AJ2186">
        <v>0.36364000000000002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2</v>
      </c>
      <c r="AQ2186">
        <v>0</v>
      </c>
      <c r="AR2186">
        <v>2</v>
      </c>
      <c r="AS2186">
        <v>6</v>
      </c>
      <c r="AT2186">
        <v>0.25</v>
      </c>
      <c r="AU2186">
        <v>6</v>
      </c>
      <c r="AV2186">
        <v>5</v>
      </c>
      <c r="AW2186">
        <v>14</v>
      </c>
      <c r="AX2186">
        <v>7</v>
      </c>
      <c r="AY2186">
        <v>5</v>
      </c>
      <c r="AZ2186">
        <v>4</v>
      </c>
      <c r="BA2186" t="s">
        <v>7157</v>
      </c>
      <c r="BB2186" t="s">
        <v>7158</v>
      </c>
      <c r="BC2186">
        <v>0.45500000000000002</v>
      </c>
      <c r="BD2186" t="s">
        <v>65</v>
      </c>
      <c r="BE2186">
        <v>19</v>
      </c>
      <c r="BF2186">
        <v>11</v>
      </c>
      <c r="BG2186" t="s">
        <v>7159</v>
      </c>
      <c r="BH2186" t="s">
        <v>7160</v>
      </c>
      <c r="BI2186" t="s">
        <v>7161</v>
      </c>
      <c r="BJ2186">
        <v>0.15447</v>
      </c>
      <c r="BK2186">
        <v>1</v>
      </c>
      <c r="BL2186" t="s">
        <v>69</v>
      </c>
      <c r="BM2186">
        <v>-1.478</v>
      </c>
      <c r="BN2186">
        <v>-2.262</v>
      </c>
    </row>
    <row r="2187" spans="2:66">
      <c r="B2187">
        <v>3807</v>
      </c>
      <c r="C2187">
        <v>49</v>
      </c>
      <c r="D2187">
        <v>0</v>
      </c>
      <c r="E2187">
        <v>2</v>
      </c>
      <c r="F2187">
        <v>0</v>
      </c>
      <c r="J2187">
        <v>0</v>
      </c>
      <c r="K2187">
        <v>0</v>
      </c>
      <c r="L2187">
        <v>0</v>
      </c>
      <c r="M2187" t="s">
        <v>25022</v>
      </c>
      <c r="N2187">
        <v>1142</v>
      </c>
      <c r="O2187" t="s">
        <v>7182</v>
      </c>
      <c r="P2187" t="s">
        <v>57</v>
      </c>
      <c r="Q2187">
        <v>1184657</v>
      </c>
      <c r="R2187">
        <v>1185001</v>
      </c>
      <c r="S2187" t="s">
        <v>637</v>
      </c>
      <c r="T2187">
        <v>115</v>
      </c>
      <c r="U2187" t="s">
        <v>7163</v>
      </c>
      <c r="V2187">
        <v>40</v>
      </c>
      <c r="W2187" t="str">
        <f>HYPERLINK("Gene1142-zp_tree_all.dnd", "Gene1142-tree")</f>
        <v>Gene1142-tree</v>
      </c>
      <c r="X2187">
        <v>8</v>
      </c>
      <c r="Y2187">
        <v>3</v>
      </c>
      <c r="Z2187">
        <v>8</v>
      </c>
      <c r="AA2187">
        <v>3</v>
      </c>
      <c r="AB2187">
        <v>0.27272999999999997</v>
      </c>
      <c r="AC2187" t="s">
        <v>136</v>
      </c>
      <c r="AD2187" t="s">
        <v>324</v>
      </c>
      <c r="AE2187" t="s">
        <v>62</v>
      </c>
      <c r="AF2187" t="s">
        <v>62</v>
      </c>
      <c r="AG2187">
        <v>0</v>
      </c>
      <c r="AH2187">
        <v>0</v>
      </c>
      <c r="AI2187">
        <v>4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3</v>
      </c>
      <c r="AT2187">
        <v>0</v>
      </c>
      <c r="AU2187">
        <v>6</v>
      </c>
      <c r="AV2187">
        <v>6</v>
      </c>
      <c r="AW2187">
        <v>9</v>
      </c>
      <c r="AX2187">
        <v>3</v>
      </c>
      <c r="AY2187">
        <v>13</v>
      </c>
      <c r="AZ2187">
        <v>1</v>
      </c>
      <c r="BA2187" t="s">
        <v>7183</v>
      </c>
      <c r="BB2187" t="s">
        <v>7184</v>
      </c>
      <c r="BC2187">
        <v>0.81399999999999995</v>
      </c>
      <c r="BD2187" t="s">
        <v>65</v>
      </c>
      <c r="BE2187">
        <v>22</v>
      </c>
      <c r="BF2187">
        <v>4</v>
      </c>
      <c r="BG2187" t="s">
        <v>7185</v>
      </c>
      <c r="BH2187" t="s">
        <v>7186</v>
      </c>
      <c r="BI2187" t="s">
        <v>7187</v>
      </c>
      <c r="BJ2187">
        <v>5.3400000000000003E-2</v>
      </c>
      <c r="BK2187">
        <v>1</v>
      </c>
      <c r="BL2187" t="s">
        <v>69</v>
      </c>
      <c r="BM2187">
        <v>-0.91300000000000003</v>
      </c>
      <c r="BN2187">
        <v>2.1000000000000001E-2</v>
      </c>
    </row>
    <row r="2188" spans="2:66">
      <c r="B2188">
        <v>3810</v>
      </c>
      <c r="C2188">
        <v>159</v>
      </c>
      <c r="D2188">
        <v>0</v>
      </c>
      <c r="E2188">
        <v>5</v>
      </c>
      <c r="F2188">
        <v>0</v>
      </c>
      <c r="J2188">
        <v>2</v>
      </c>
      <c r="K2188">
        <v>5</v>
      </c>
      <c r="L2188">
        <v>2</v>
      </c>
      <c r="M2188" t="s">
        <v>25022</v>
      </c>
      <c r="N2188">
        <v>1143</v>
      </c>
      <c r="O2188" t="s">
        <v>7188</v>
      </c>
      <c r="P2188" t="s">
        <v>57</v>
      </c>
      <c r="Q2188">
        <v>1185001</v>
      </c>
      <c r="R2188">
        <v>1185585</v>
      </c>
      <c r="S2188" t="s">
        <v>116</v>
      </c>
      <c r="T2188">
        <v>195</v>
      </c>
      <c r="U2188" t="s">
        <v>7189</v>
      </c>
      <c r="V2188">
        <v>38</v>
      </c>
      <c r="W2188" t="str">
        <f>HYPERLINK("Gene1143-zp_tree_all.dnd", "Gene1143-tree")</f>
        <v>Gene1143-tree</v>
      </c>
      <c r="X2188">
        <v>5</v>
      </c>
      <c r="Y2188">
        <v>9</v>
      </c>
      <c r="Z2188">
        <v>5</v>
      </c>
      <c r="AA2188">
        <v>9</v>
      </c>
      <c r="AB2188">
        <v>0.64285999999999999</v>
      </c>
      <c r="AC2188" t="s">
        <v>199</v>
      </c>
      <c r="AD2188" t="s">
        <v>135</v>
      </c>
      <c r="AE2188" t="s">
        <v>62</v>
      </c>
      <c r="AF2188" t="s">
        <v>62</v>
      </c>
      <c r="AG2188">
        <v>4</v>
      </c>
      <c r="AH2188">
        <v>9</v>
      </c>
      <c r="AI2188">
        <v>11</v>
      </c>
      <c r="AJ2188">
        <v>0.45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14</v>
      </c>
      <c r="AT2188">
        <v>0</v>
      </c>
      <c r="AU2188">
        <v>11</v>
      </c>
      <c r="AV2188">
        <v>6</v>
      </c>
      <c r="AW2188">
        <v>14</v>
      </c>
      <c r="AX2188">
        <v>14</v>
      </c>
      <c r="AY2188">
        <v>5</v>
      </c>
      <c r="AZ2188">
        <v>8</v>
      </c>
      <c r="BA2188" t="s">
        <v>7190</v>
      </c>
      <c r="BB2188" t="s">
        <v>7191</v>
      </c>
      <c r="BC2188">
        <v>0.74299999999999999</v>
      </c>
      <c r="BD2188" t="s">
        <v>65</v>
      </c>
      <c r="BE2188">
        <v>19</v>
      </c>
      <c r="BF2188">
        <v>22</v>
      </c>
      <c r="BG2188" t="s">
        <v>7192</v>
      </c>
      <c r="BH2188" t="s">
        <v>7193</v>
      </c>
      <c r="BI2188" t="s">
        <v>7194</v>
      </c>
      <c r="BJ2188">
        <v>0.41359000000000001</v>
      </c>
      <c r="BK2188">
        <v>0.96</v>
      </c>
      <c r="BL2188" t="s">
        <v>69</v>
      </c>
      <c r="BM2188">
        <v>-1.196</v>
      </c>
      <c r="BN2188">
        <v>-1.8759999999999999</v>
      </c>
    </row>
    <row r="2189" spans="2:66">
      <c r="B2189">
        <v>3811</v>
      </c>
      <c r="C2189">
        <v>137</v>
      </c>
      <c r="D2189">
        <v>0</v>
      </c>
      <c r="E2189">
        <v>3</v>
      </c>
      <c r="F2189">
        <v>0</v>
      </c>
      <c r="J2189">
        <v>0</v>
      </c>
      <c r="K2189">
        <v>0</v>
      </c>
      <c r="L2189">
        <v>0</v>
      </c>
      <c r="M2189" t="s">
        <v>25022</v>
      </c>
      <c r="N2189">
        <v>1144</v>
      </c>
      <c r="O2189" t="s">
        <v>7195</v>
      </c>
      <c r="P2189" t="s">
        <v>57</v>
      </c>
      <c r="Q2189">
        <v>1185608</v>
      </c>
      <c r="R2189">
        <v>1185898</v>
      </c>
      <c r="S2189" t="s">
        <v>116</v>
      </c>
      <c r="T2189">
        <v>97</v>
      </c>
      <c r="U2189" t="s">
        <v>7189</v>
      </c>
      <c r="V2189">
        <v>38</v>
      </c>
      <c r="W2189" t="str">
        <f>HYPERLINK("Gene1144-zp_tree_all.dnd", "Gene1144-tree")</f>
        <v>Gene1144-tree</v>
      </c>
      <c r="X2189">
        <v>26</v>
      </c>
      <c r="Y2189">
        <v>1</v>
      </c>
      <c r="Z2189">
        <v>7</v>
      </c>
      <c r="AA2189">
        <v>1</v>
      </c>
      <c r="AB2189">
        <v>0.125</v>
      </c>
      <c r="AC2189" t="s">
        <v>191</v>
      </c>
      <c r="AD2189" t="s">
        <v>175</v>
      </c>
      <c r="AE2189" t="s">
        <v>62</v>
      </c>
      <c r="AF2189" t="s">
        <v>62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0</v>
      </c>
      <c r="AU2189">
        <v>5</v>
      </c>
      <c r="AV2189">
        <v>2</v>
      </c>
      <c r="AW2189">
        <v>4</v>
      </c>
      <c r="AX2189">
        <v>1</v>
      </c>
      <c r="AY2189">
        <v>2</v>
      </c>
      <c r="AZ2189">
        <v>0</v>
      </c>
      <c r="BA2189" t="s">
        <v>7196</v>
      </c>
      <c r="BB2189" t="s">
        <v>193</v>
      </c>
      <c r="BC2189">
        <v>0.52600000000000002</v>
      </c>
      <c r="BD2189" t="s">
        <v>65</v>
      </c>
      <c r="BE2189">
        <v>6</v>
      </c>
      <c r="BF2189">
        <v>1</v>
      </c>
      <c r="BG2189" t="s">
        <v>7197</v>
      </c>
      <c r="BH2189" t="s">
        <v>7198</v>
      </c>
      <c r="BI2189" t="s">
        <v>7199</v>
      </c>
      <c r="BJ2189">
        <v>3.6089999999999997E-2</v>
      </c>
      <c r="BK2189">
        <v>1</v>
      </c>
      <c r="BL2189" t="s">
        <v>69</v>
      </c>
      <c r="BM2189">
        <v>-0.28299999999999997</v>
      </c>
      <c r="BN2189">
        <v>-0.94799999999999995</v>
      </c>
    </row>
    <row r="2190" spans="2:66">
      <c r="B2190">
        <v>3812</v>
      </c>
      <c r="C2190">
        <v>94</v>
      </c>
      <c r="D2190">
        <v>0</v>
      </c>
      <c r="E2190">
        <v>2</v>
      </c>
      <c r="F2190">
        <v>10</v>
      </c>
      <c r="J2190">
        <v>0</v>
      </c>
      <c r="K2190">
        <v>16</v>
      </c>
      <c r="L2190">
        <v>0</v>
      </c>
      <c r="M2190" t="s">
        <v>25022</v>
      </c>
      <c r="N2190">
        <v>1145</v>
      </c>
      <c r="O2190" t="s">
        <v>7200</v>
      </c>
      <c r="P2190" t="s">
        <v>57</v>
      </c>
      <c r="Q2190">
        <v>1186037</v>
      </c>
      <c r="R2190">
        <v>1187650</v>
      </c>
      <c r="S2190" t="s">
        <v>7201</v>
      </c>
      <c r="T2190">
        <v>538</v>
      </c>
      <c r="U2190" t="s">
        <v>7189</v>
      </c>
      <c r="V2190">
        <v>38</v>
      </c>
      <c r="W2190" t="str">
        <f>HYPERLINK("Gene1145-zp_tree_all.dnd", "Gene1145-tree")</f>
        <v>Gene1145-tree</v>
      </c>
      <c r="X2190">
        <v>2</v>
      </c>
      <c r="Y2190">
        <v>12</v>
      </c>
      <c r="Z2190">
        <v>2</v>
      </c>
      <c r="AA2190">
        <v>12</v>
      </c>
      <c r="AB2190">
        <v>0.85714000000000001</v>
      </c>
      <c r="AC2190" t="s">
        <v>81</v>
      </c>
      <c r="AD2190" t="s">
        <v>109</v>
      </c>
      <c r="AE2190" t="s">
        <v>62</v>
      </c>
      <c r="AF2190" t="s">
        <v>62</v>
      </c>
      <c r="AG2190">
        <v>7</v>
      </c>
      <c r="AH2190">
        <v>16</v>
      </c>
      <c r="AI2190">
        <v>26</v>
      </c>
      <c r="AJ2190">
        <v>0.38095000000000001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6</v>
      </c>
      <c r="AQ2190">
        <v>0</v>
      </c>
      <c r="AR2190">
        <v>6</v>
      </c>
      <c r="AS2190">
        <v>23</v>
      </c>
      <c r="AT2190">
        <v>0.2069</v>
      </c>
      <c r="AU2190">
        <v>12</v>
      </c>
      <c r="AV2190">
        <v>11</v>
      </c>
      <c r="AW2190">
        <v>22</v>
      </c>
      <c r="AX2190">
        <v>22</v>
      </c>
      <c r="AY2190">
        <v>22</v>
      </c>
      <c r="AZ2190">
        <v>20</v>
      </c>
      <c r="BA2190" t="s">
        <v>7202</v>
      </c>
      <c r="BB2190" t="s">
        <v>7203</v>
      </c>
      <c r="BC2190">
        <v>0.18</v>
      </c>
      <c r="BD2190" t="s">
        <v>65</v>
      </c>
      <c r="BE2190">
        <v>44</v>
      </c>
      <c r="BF2190">
        <v>42</v>
      </c>
      <c r="BG2190" t="s">
        <v>7204</v>
      </c>
      <c r="BH2190" t="s">
        <v>7205</v>
      </c>
      <c r="BI2190" t="s">
        <v>7206</v>
      </c>
      <c r="BJ2190">
        <v>0.30565999999999999</v>
      </c>
      <c r="BK2190">
        <v>1</v>
      </c>
      <c r="BL2190" t="s">
        <v>69</v>
      </c>
      <c r="BM2190">
        <v>-0.82</v>
      </c>
      <c r="BN2190">
        <v>-0.46600000000000003</v>
      </c>
    </row>
    <row r="2191" spans="2:66">
      <c r="B2191">
        <v>3814</v>
      </c>
      <c r="C2191">
        <v>136</v>
      </c>
      <c r="D2191">
        <v>0</v>
      </c>
      <c r="E2191">
        <v>2</v>
      </c>
      <c r="F2191">
        <v>0</v>
      </c>
      <c r="J2191">
        <v>0</v>
      </c>
      <c r="K2191">
        <v>2</v>
      </c>
      <c r="L2191">
        <v>0</v>
      </c>
      <c r="M2191" t="s">
        <v>25022</v>
      </c>
      <c r="N2191">
        <v>1147</v>
      </c>
      <c r="O2191" t="s">
        <v>7214</v>
      </c>
      <c r="P2191" t="s">
        <v>57</v>
      </c>
      <c r="Q2191">
        <v>1188689</v>
      </c>
      <c r="R2191">
        <v>1189528</v>
      </c>
      <c r="S2191" t="s">
        <v>6103</v>
      </c>
      <c r="T2191">
        <v>280</v>
      </c>
      <c r="U2191" t="s">
        <v>59</v>
      </c>
      <c r="V2191">
        <v>49</v>
      </c>
      <c r="W2191" t="str">
        <f>HYPERLINK("Gene1147-zp_tree_all.dnd", "Gene1147-tree")</f>
        <v>Gene1147-tree</v>
      </c>
      <c r="X2191">
        <v>17</v>
      </c>
      <c r="Y2191">
        <v>0</v>
      </c>
      <c r="Z2191">
        <v>17</v>
      </c>
      <c r="AA2191">
        <v>0</v>
      </c>
      <c r="AB2191">
        <v>0</v>
      </c>
      <c r="AC2191" t="s">
        <v>266</v>
      </c>
      <c r="AD2191" t="s">
        <v>62</v>
      </c>
      <c r="AE2191" t="s">
        <v>62</v>
      </c>
      <c r="AF2191" t="s">
        <v>62</v>
      </c>
      <c r="AG2191">
        <v>1</v>
      </c>
      <c r="AH2191">
        <v>2</v>
      </c>
      <c r="AI2191">
        <v>2</v>
      </c>
      <c r="AJ2191">
        <v>0.5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14</v>
      </c>
      <c r="AV2191">
        <v>12</v>
      </c>
      <c r="AW2191">
        <v>43</v>
      </c>
      <c r="AX2191">
        <v>0</v>
      </c>
      <c r="AY2191">
        <v>51</v>
      </c>
      <c r="AZ2191">
        <v>4</v>
      </c>
      <c r="BA2191" t="s">
        <v>193</v>
      </c>
      <c r="BB2191" t="s">
        <v>7215</v>
      </c>
      <c r="BC2191">
        <v>0.47799999999999998</v>
      </c>
      <c r="BD2191" t="s">
        <v>65</v>
      </c>
      <c r="BE2191">
        <v>94</v>
      </c>
      <c r="BF2191">
        <v>4</v>
      </c>
      <c r="BG2191" t="s">
        <v>7216</v>
      </c>
      <c r="BH2191" t="s">
        <v>7217</v>
      </c>
      <c r="BI2191" t="s">
        <v>7218</v>
      </c>
      <c r="BJ2191">
        <v>1.9230000000000001E-2</v>
      </c>
      <c r="BK2191">
        <v>1</v>
      </c>
      <c r="BL2191" t="s">
        <v>69</v>
      </c>
      <c r="BM2191">
        <v>-1.115</v>
      </c>
      <c r="BN2191">
        <v>-1.19</v>
      </c>
    </row>
    <row r="2192" spans="2:66">
      <c r="B2192">
        <v>3815</v>
      </c>
      <c r="C2192">
        <v>74</v>
      </c>
      <c r="D2192">
        <v>0</v>
      </c>
      <c r="E2192">
        <v>2</v>
      </c>
      <c r="F2192">
        <v>0</v>
      </c>
      <c r="J2192">
        <v>0</v>
      </c>
      <c r="K2192">
        <v>4</v>
      </c>
      <c r="L2192">
        <v>0</v>
      </c>
      <c r="M2192" t="s">
        <v>25022</v>
      </c>
      <c r="N2192">
        <v>1148</v>
      </c>
      <c r="O2192" t="s">
        <v>7219</v>
      </c>
      <c r="P2192" t="s">
        <v>57</v>
      </c>
      <c r="Q2192">
        <v>1189646</v>
      </c>
      <c r="R2192">
        <v>1190002</v>
      </c>
      <c r="S2192" t="s">
        <v>7220</v>
      </c>
      <c r="T2192">
        <v>119</v>
      </c>
      <c r="U2192" t="s">
        <v>289</v>
      </c>
      <c r="V2192">
        <v>46</v>
      </c>
      <c r="W2192" t="str">
        <f>HYPERLINK("Gene1148-zp_tree_all.dnd", "Gene1148-tree")</f>
        <v>Gene1148-tree</v>
      </c>
      <c r="X2192">
        <v>8</v>
      </c>
      <c r="Y2192">
        <v>24</v>
      </c>
      <c r="Z2192">
        <v>8</v>
      </c>
      <c r="AA2192">
        <v>4</v>
      </c>
      <c r="AB2192">
        <v>0.33333000000000002</v>
      </c>
      <c r="AC2192" t="s">
        <v>136</v>
      </c>
      <c r="AD2192" t="s">
        <v>1495</v>
      </c>
      <c r="AE2192">
        <v>5.74</v>
      </c>
      <c r="AF2192" t="s">
        <v>65</v>
      </c>
      <c r="AG2192">
        <v>2</v>
      </c>
      <c r="AH2192">
        <v>4</v>
      </c>
      <c r="AI2192">
        <v>5</v>
      </c>
      <c r="AJ2192">
        <v>0.44444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4</v>
      </c>
      <c r="AQ2192">
        <v>0</v>
      </c>
      <c r="AR2192">
        <v>4</v>
      </c>
      <c r="AS2192">
        <v>4</v>
      </c>
      <c r="AT2192">
        <v>0.5</v>
      </c>
      <c r="AU2192">
        <v>8</v>
      </c>
      <c r="AV2192">
        <v>4</v>
      </c>
      <c r="AW2192">
        <v>24</v>
      </c>
      <c r="AX2192">
        <v>7</v>
      </c>
      <c r="AY2192">
        <v>3</v>
      </c>
      <c r="AZ2192">
        <v>2</v>
      </c>
      <c r="BA2192" t="s">
        <v>7221</v>
      </c>
      <c r="BB2192" t="s">
        <v>7222</v>
      </c>
      <c r="BC2192">
        <v>0.71399999999999997</v>
      </c>
      <c r="BD2192" t="s">
        <v>65</v>
      </c>
      <c r="BE2192">
        <v>27</v>
      </c>
      <c r="BF2192">
        <v>9</v>
      </c>
      <c r="BG2192" t="s">
        <v>7223</v>
      </c>
      <c r="BH2192" t="s">
        <v>7224</v>
      </c>
      <c r="BI2192" t="s">
        <v>7225</v>
      </c>
      <c r="BJ2192">
        <v>8.269E-2</v>
      </c>
      <c r="BK2192">
        <v>1</v>
      </c>
      <c r="BL2192" t="s">
        <v>69</v>
      </c>
      <c r="BM2192">
        <v>-1.56</v>
      </c>
      <c r="BN2192">
        <v>-1.339</v>
      </c>
    </row>
    <row r="2193" spans="2:66">
      <c r="B2193">
        <v>3818</v>
      </c>
      <c r="C2193">
        <v>488</v>
      </c>
      <c r="D2193">
        <v>0</v>
      </c>
      <c r="E2193">
        <v>8</v>
      </c>
      <c r="F2193">
        <v>0</v>
      </c>
      <c r="J2193">
        <v>0</v>
      </c>
      <c r="K2193">
        <v>0</v>
      </c>
      <c r="L2193">
        <v>2</v>
      </c>
      <c r="M2193" t="s">
        <v>25022</v>
      </c>
      <c r="N2193">
        <v>1151</v>
      </c>
      <c r="O2193" t="s">
        <v>7240</v>
      </c>
      <c r="P2193" t="s">
        <v>57</v>
      </c>
      <c r="Q2193">
        <v>1191423</v>
      </c>
      <c r="R2193">
        <v>1192187</v>
      </c>
      <c r="S2193" t="s">
        <v>7241</v>
      </c>
      <c r="T2193">
        <v>255</v>
      </c>
      <c r="U2193" t="s">
        <v>108</v>
      </c>
      <c r="V2193">
        <v>44</v>
      </c>
      <c r="W2193" t="str">
        <f>HYPERLINK("Gene1151-zp_tree_all.dnd", "Gene1151-tree")</f>
        <v>Gene1151-tree</v>
      </c>
      <c r="X2193">
        <v>28</v>
      </c>
      <c r="Y2193">
        <v>5</v>
      </c>
      <c r="Z2193">
        <v>7</v>
      </c>
      <c r="AA2193">
        <v>5</v>
      </c>
      <c r="AB2193">
        <v>0.41666999999999998</v>
      </c>
      <c r="AC2193" t="s">
        <v>4142</v>
      </c>
      <c r="AD2193" t="s">
        <v>199</v>
      </c>
      <c r="AE2193" t="s">
        <v>62</v>
      </c>
      <c r="AF2193" t="s">
        <v>62</v>
      </c>
      <c r="AG2193">
        <v>1</v>
      </c>
      <c r="AH2193">
        <v>2</v>
      </c>
      <c r="AI2193">
        <v>10</v>
      </c>
      <c r="AJ2193">
        <v>0.16667000000000001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9</v>
      </c>
      <c r="AT2193">
        <v>0</v>
      </c>
      <c r="AU2193">
        <v>10</v>
      </c>
      <c r="AV2193">
        <v>7</v>
      </c>
      <c r="AW2193">
        <v>28</v>
      </c>
      <c r="AX2193">
        <v>9</v>
      </c>
      <c r="AY2193">
        <v>13</v>
      </c>
      <c r="AZ2193">
        <v>3</v>
      </c>
      <c r="BA2193" t="s">
        <v>7242</v>
      </c>
      <c r="BB2193" t="s">
        <v>7243</v>
      </c>
      <c r="BC2193">
        <v>0.28100000000000003</v>
      </c>
      <c r="BD2193" t="s">
        <v>65</v>
      </c>
      <c r="BE2193">
        <v>41</v>
      </c>
      <c r="BF2193">
        <v>12</v>
      </c>
      <c r="BG2193" t="s">
        <v>7244</v>
      </c>
      <c r="BH2193" t="s">
        <v>7245</v>
      </c>
      <c r="BI2193" t="s">
        <v>7246</v>
      </c>
      <c r="BJ2193">
        <v>8.4989999999999996E-2</v>
      </c>
      <c r="BK2193">
        <v>1</v>
      </c>
      <c r="BL2193" t="s">
        <v>69</v>
      </c>
      <c r="BM2193">
        <v>-0.70799999999999996</v>
      </c>
      <c r="BN2193">
        <v>-0.98399999999999999</v>
      </c>
    </row>
    <row r="2194" spans="2:66">
      <c r="B2194">
        <v>3819</v>
      </c>
      <c r="C2194">
        <v>122</v>
      </c>
      <c r="D2194">
        <v>0</v>
      </c>
      <c r="E2194">
        <v>5</v>
      </c>
      <c r="F2194">
        <v>0</v>
      </c>
      <c r="J2194">
        <v>0</v>
      </c>
      <c r="K2194">
        <v>0</v>
      </c>
      <c r="L2194">
        <v>0</v>
      </c>
      <c r="M2194" t="s">
        <v>25022</v>
      </c>
      <c r="N2194">
        <v>1152</v>
      </c>
      <c r="O2194" t="s">
        <v>7247</v>
      </c>
      <c r="P2194" t="s">
        <v>57</v>
      </c>
      <c r="Q2194">
        <v>1192254</v>
      </c>
      <c r="R2194">
        <v>1192559</v>
      </c>
      <c r="S2194" t="s">
        <v>7248</v>
      </c>
      <c r="T2194">
        <v>102</v>
      </c>
      <c r="U2194" t="s">
        <v>108</v>
      </c>
      <c r="V2194">
        <v>44</v>
      </c>
      <c r="W2194" t="str">
        <f>HYPERLINK("Gene1152-zp_tree_all.dnd", "Gene1152-tree")</f>
        <v>Gene1152-tree</v>
      </c>
      <c r="X2194">
        <v>31</v>
      </c>
      <c r="Y2194">
        <v>1</v>
      </c>
      <c r="Z2194">
        <v>8</v>
      </c>
      <c r="AA2194">
        <v>1</v>
      </c>
      <c r="AB2194">
        <v>0.11111</v>
      </c>
      <c r="AC2194" t="s">
        <v>7249</v>
      </c>
      <c r="AD2194" t="s">
        <v>175</v>
      </c>
      <c r="AE2194" t="s">
        <v>62</v>
      </c>
      <c r="AF2194" t="s">
        <v>62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7</v>
      </c>
      <c r="AV2194">
        <v>3</v>
      </c>
      <c r="AW2194">
        <v>6</v>
      </c>
      <c r="AX2194">
        <v>1</v>
      </c>
      <c r="AY2194">
        <v>11</v>
      </c>
      <c r="AZ2194">
        <v>1</v>
      </c>
      <c r="BA2194" t="s">
        <v>7250</v>
      </c>
      <c r="BB2194" t="s">
        <v>7251</v>
      </c>
      <c r="BC2194">
        <v>0.19600000000000001</v>
      </c>
      <c r="BD2194" t="s">
        <v>65</v>
      </c>
      <c r="BE2194">
        <v>17</v>
      </c>
      <c r="BF2194">
        <v>2</v>
      </c>
      <c r="BG2194" t="s">
        <v>7252</v>
      </c>
      <c r="BH2194" t="s">
        <v>7253</v>
      </c>
      <c r="BI2194" t="s">
        <v>7254</v>
      </c>
      <c r="BJ2194">
        <v>2.9780000000000001E-2</v>
      </c>
      <c r="BK2194">
        <v>1</v>
      </c>
      <c r="BL2194" t="s">
        <v>69</v>
      </c>
      <c r="BM2194">
        <v>1.7350000000000001</v>
      </c>
      <c r="BN2194">
        <v>-0.68200000000000005</v>
      </c>
    </row>
    <row r="2195" spans="2:66">
      <c r="B2195">
        <v>3823</v>
      </c>
      <c r="C2195">
        <v>85</v>
      </c>
      <c r="D2195">
        <v>0</v>
      </c>
      <c r="E2195">
        <v>2</v>
      </c>
      <c r="F2195">
        <v>2</v>
      </c>
      <c r="J2195">
        <v>0</v>
      </c>
      <c r="K2195">
        <v>14</v>
      </c>
      <c r="L2195">
        <v>2</v>
      </c>
      <c r="M2195" t="s">
        <v>25022</v>
      </c>
      <c r="N2195">
        <v>1153</v>
      </c>
      <c r="O2195" t="s">
        <v>7255</v>
      </c>
      <c r="P2195" t="s">
        <v>57</v>
      </c>
      <c r="Q2195">
        <v>1192858</v>
      </c>
      <c r="R2195">
        <v>1194285</v>
      </c>
      <c r="S2195" t="s">
        <v>7256</v>
      </c>
      <c r="T2195">
        <v>476</v>
      </c>
      <c r="U2195" t="s">
        <v>108</v>
      </c>
      <c r="V2195">
        <v>44</v>
      </c>
      <c r="W2195" t="str">
        <f>HYPERLINK("Gene1153-zp_tree_all.dnd", "Gene1153-tree")</f>
        <v>Gene1153-tree</v>
      </c>
      <c r="X2195">
        <v>2</v>
      </c>
      <c r="Y2195">
        <v>33</v>
      </c>
      <c r="Z2195">
        <v>2</v>
      </c>
      <c r="AA2195">
        <v>12</v>
      </c>
      <c r="AB2195">
        <v>0.85714000000000001</v>
      </c>
      <c r="AC2195" t="s">
        <v>81</v>
      </c>
      <c r="AD2195" t="s">
        <v>705</v>
      </c>
      <c r="AE2195">
        <v>0.435</v>
      </c>
      <c r="AF2195" t="s">
        <v>65</v>
      </c>
      <c r="AG2195">
        <v>7</v>
      </c>
      <c r="AH2195">
        <v>16</v>
      </c>
      <c r="AI2195">
        <v>23</v>
      </c>
      <c r="AJ2195">
        <v>0.41026000000000001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8</v>
      </c>
      <c r="AQ2195">
        <v>0</v>
      </c>
      <c r="AR2195">
        <v>8</v>
      </c>
      <c r="AS2195">
        <v>23</v>
      </c>
      <c r="AT2195">
        <v>0.25806000000000001</v>
      </c>
      <c r="AU2195">
        <v>13</v>
      </c>
      <c r="AV2195">
        <v>11</v>
      </c>
      <c r="AW2195">
        <v>45</v>
      </c>
      <c r="AX2195">
        <v>28</v>
      </c>
      <c r="AY2195">
        <v>13</v>
      </c>
      <c r="AZ2195">
        <v>11</v>
      </c>
      <c r="BA2195" t="s">
        <v>7257</v>
      </c>
      <c r="BB2195" t="s">
        <v>7258</v>
      </c>
      <c r="BC2195">
        <v>0.41</v>
      </c>
      <c r="BD2195" t="s">
        <v>65</v>
      </c>
      <c r="BE2195">
        <v>58</v>
      </c>
      <c r="BF2195">
        <v>39</v>
      </c>
      <c r="BG2195" t="s">
        <v>7259</v>
      </c>
      <c r="BH2195" t="s">
        <v>7260</v>
      </c>
      <c r="BI2195" t="s">
        <v>7261</v>
      </c>
      <c r="BJ2195">
        <v>0.21321999999999999</v>
      </c>
      <c r="BK2195">
        <v>1</v>
      </c>
      <c r="BL2195" t="s">
        <v>69</v>
      </c>
      <c r="BM2195">
        <v>-0.57899999999999996</v>
      </c>
      <c r="BN2195">
        <v>-1.617</v>
      </c>
    </row>
    <row r="2196" spans="2:66">
      <c r="B2196">
        <v>3825</v>
      </c>
      <c r="C2196">
        <v>405</v>
      </c>
      <c r="D2196">
        <v>0</v>
      </c>
      <c r="E2196">
        <v>4</v>
      </c>
      <c r="F2196">
        <v>0</v>
      </c>
      <c r="J2196">
        <v>0</v>
      </c>
      <c r="K2196">
        <v>0</v>
      </c>
      <c r="L2196">
        <v>0</v>
      </c>
      <c r="M2196" t="s">
        <v>25022</v>
      </c>
      <c r="N2196">
        <v>1154</v>
      </c>
      <c r="O2196" t="s">
        <v>7262</v>
      </c>
      <c r="P2196" t="s">
        <v>57</v>
      </c>
      <c r="Q2196">
        <v>1194333</v>
      </c>
      <c r="R2196">
        <v>1194824</v>
      </c>
      <c r="S2196" t="s">
        <v>7263</v>
      </c>
      <c r="T2196">
        <v>164</v>
      </c>
      <c r="U2196" t="s">
        <v>2078</v>
      </c>
      <c r="V2196">
        <v>36</v>
      </c>
      <c r="W2196" t="str">
        <f>HYPERLINK("Gene1154-zp_tree_all.dnd", "Gene1154-tree")</f>
        <v>Gene1154-tree</v>
      </c>
      <c r="X2196">
        <v>29</v>
      </c>
      <c r="Y2196">
        <v>2</v>
      </c>
      <c r="Z2196">
        <v>8</v>
      </c>
      <c r="AA2196">
        <v>2</v>
      </c>
      <c r="AB2196">
        <v>0.2</v>
      </c>
      <c r="AC2196" t="s">
        <v>4745</v>
      </c>
      <c r="AD2196" t="s">
        <v>81</v>
      </c>
      <c r="AE2196" t="s">
        <v>62</v>
      </c>
      <c r="AF2196" t="s">
        <v>62</v>
      </c>
      <c r="AG2196">
        <v>0</v>
      </c>
      <c r="AH2196">
        <v>0</v>
      </c>
      <c r="AI2196">
        <v>2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2</v>
      </c>
      <c r="AT2196">
        <v>0</v>
      </c>
      <c r="AU2196">
        <v>7</v>
      </c>
      <c r="AV2196">
        <v>6</v>
      </c>
      <c r="AW2196">
        <v>9</v>
      </c>
      <c r="AX2196">
        <v>1</v>
      </c>
      <c r="AY2196">
        <v>5</v>
      </c>
      <c r="AZ2196">
        <v>1</v>
      </c>
      <c r="BA2196" t="s">
        <v>7264</v>
      </c>
      <c r="BB2196" t="s">
        <v>7265</v>
      </c>
      <c r="BC2196">
        <v>0.17799999999999999</v>
      </c>
      <c r="BD2196" t="s">
        <v>65</v>
      </c>
      <c r="BE2196">
        <v>14</v>
      </c>
      <c r="BF2196">
        <v>2</v>
      </c>
      <c r="BG2196" t="s">
        <v>7266</v>
      </c>
      <c r="BH2196" t="s">
        <v>7267</v>
      </c>
      <c r="BI2196" t="s">
        <v>7268</v>
      </c>
      <c r="BJ2196">
        <v>4.1779999999999998E-2</v>
      </c>
      <c r="BK2196">
        <v>1</v>
      </c>
      <c r="BL2196" t="s">
        <v>69</v>
      </c>
      <c r="BM2196">
        <v>-0.16400000000000001</v>
      </c>
      <c r="BN2196">
        <v>-0.11700000000000001</v>
      </c>
    </row>
    <row r="2197" spans="2:66">
      <c r="B2197">
        <v>3827</v>
      </c>
      <c r="C2197">
        <v>101</v>
      </c>
      <c r="D2197">
        <v>0</v>
      </c>
      <c r="E2197">
        <v>2</v>
      </c>
      <c r="F2197">
        <v>0</v>
      </c>
      <c r="J2197">
        <v>0</v>
      </c>
      <c r="K2197">
        <v>7</v>
      </c>
      <c r="L2197">
        <v>0</v>
      </c>
      <c r="M2197" t="s">
        <v>25022</v>
      </c>
      <c r="N2197">
        <v>1155</v>
      </c>
      <c r="O2197" t="s">
        <v>7269</v>
      </c>
      <c r="P2197" t="s">
        <v>57</v>
      </c>
      <c r="Q2197">
        <v>1195034</v>
      </c>
      <c r="R2197">
        <v>1196068</v>
      </c>
      <c r="S2197" t="s">
        <v>7270</v>
      </c>
      <c r="T2197">
        <v>345</v>
      </c>
      <c r="U2197" t="s">
        <v>108</v>
      </c>
      <c r="V2197">
        <v>44</v>
      </c>
      <c r="W2197" t="str">
        <f>HYPERLINK("Gene1155-zp_tree_all.dnd", "Gene1155-tree")</f>
        <v>Gene1155-tree</v>
      </c>
      <c r="X2197">
        <v>3</v>
      </c>
      <c r="Y2197">
        <v>31</v>
      </c>
      <c r="Z2197">
        <v>3</v>
      </c>
      <c r="AA2197">
        <v>11</v>
      </c>
      <c r="AB2197">
        <v>0.78571000000000002</v>
      </c>
      <c r="AC2197" t="s">
        <v>324</v>
      </c>
      <c r="AD2197" t="s">
        <v>2860</v>
      </c>
      <c r="AE2197">
        <v>1.2549999999999999</v>
      </c>
      <c r="AF2197" t="s">
        <v>65</v>
      </c>
      <c r="AG2197">
        <v>3</v>
      </c>
      <c r="AH2197">
        <v>7</v>
      </c>
      <c r="AI2197">
        <v>14</v>
      </c>
      <c r="AJ2197">
        <v>0.33333000000000002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4</v>
      </c>
      <c r="AQ2197">
        <v>0</v>
      </c>
      <c r="AR2197">
        <v>4</v>
      </c>
      <c r="AS2197">
        <v>14</v>
      </c>
      <c r="AT2197">
        <v>0.22222</v>
      </c>
      <c r="AU2197">
        <v>12</v>
      </c>
      <c r="AV2197">
        <v>10</v>
      </c>
      <c r="AW2197">
        <v>21</v>
      </c>
      <c r="AX2197">
        <v>15</v>
      </c>
      <c r="AY2197">
        <v>14</v>
      </c>
      <c r="AZ2197">
        <v>6</v>
      </c>
      <c r="BA2197" t="s">
        <v>7271</v>
      </c>
      <c r="BB2197" t="s">
        <v>7272</v>
      </c>
      <c r="BC2197">
        <v>0.47699999999999998</v>
      </c>
      <c r="BD2197" t="s">
        <v>65</v>
      </c>
      <c r="BE2197">
        <v>35</v>
      </c>
      <c r="BF2197">
        <v>21</v>
      </c>
      <c r="BG2197" t="s">
        <v>7273</v>
      </c>
      <c r="BH2197" t="s">
        <v>7274</v>
      </c>
      <c r="BI2197" t="s">
        <v>7275</v>
      </c>
      <c r="BJ2197">
        <v>0.15337000000000001</v>
      </c>
      <c r="BK2197">
        <v>1</v>
      </c>
      <c r="BL2197" t="s">
        <v>69</v>
      </c>
      <c r="BM2197">
        <v>-0.85899999999999999</v>
      </c>
      <c r="BN2197">
        <v>-1.341</v>
      </c>
    </row>
    <row r="2198" spans="2:66">
      <c r="B2198">
        <v>3828</v>
      </c>
      <c r="C2198">
        <v>25</v>
      </c>
      <c r="D2198">
        <v>0</v>
      </c>
      <c r="E2198">
        <v>2</v>
      </c>
      <c r="F2198">
        <v>3</v>
      </c>
      <c r="J2198">
        <v>0</v>
      </c>
      <c r="K2198">
        <v>4</v>
      </c>
      <c r="L2198">
        <v>0</v>
      </c>
      <c r="M2198" t="s">
        <v>25022</v>
      </c>
      <c r="N2198">
        <v>1156</v>
      </c>
      <c r="O2198" t="s">
        <v>7276</v>
      </c>
      <c r="P2198" t="s">
        <v>57</v>
      </c>
      <c r="Q2198">
        <v>1196091</v>
      </c>
      <c r="R2198">
        <v>1197308</v>
      </c>
      <c r="S2198" t="s">
        <v>7277</v>
      </c>
      <c r="T2198">
        <v>406</v>
      </c>
      <c r="U2198" t="s">
        <v>265</v>
      </c>
      <c r="V2198">
        <v>43</v>
      </c>
      <c r="W2198" t="str">
        <f>HYPERLINK("Gene1156-zp_tree_all.dnd", "Gene1156-tree")</f>
        <v>Gene1156-tree</v>
      </c>
      <c r="X2198">
        <v>2</v>
      </c>
      <c r="Y2198">
        <v>9</v>
      </c>
      <c r="Z2198">
        <v>2</v>
      </c>
      <c r="AA2198">
        <v>9</v>
      </c>
      <c r="AB2198">
        <v>0.81818000000000002</v>
      </c>
      <c r="AC2198" t="s">
        <v>81</v>
      </c>
      <c r="AD2198" t="s">
        <v>135</v>
      </c>
      <c r="AE2198" t="s">
        <v>62</v>
      </c>
      <c r="AF2198" t="s">
        <v>62</v>
      </c>
      <c r="AG2198">
        <v>2</v>
      </c>
      <c r="AH2198">
        <v>4</v>
      </c>
      <c r="AI2198">
        <v>16</v>
      </c>
      <c r="AJ2198">
        <v>0.2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17</v>
      </c>
      <c r="AT2198">
        <v>0</v>
      </c>
      <c r="AU2198">
        <v>10</v>
      </c>
      <c r="AV2198">
        <v>7</v>
      </c>
      <c r="AW2198">
        <v>47</v>
      </c>
      <c r="AX2198">
        <v>17</v>
      </c>
      <c r="AY2198">
        <v>38</v>
      </c>
      <c r="AZ2198">
        <v>3</v>
      </c>
      <c r="BA2198" t="s">
        <v>7278</v>
      </c>
      <c r="BB2198" t="s">
        <v>7279</v>
      </c>
      <c r="BC2198">
        <v>1.8939999999999999</v>
      </c>
      <c r="BD2198" t="s">
        <v>65</v>
      </c>
      <c r="BE2198">
        <v>85</v>
      </c>
      <c r="BF2198">
        <v>20</v>
      </c>
      <c r="BG2198" t="s">
        <v>7280</v>
      </c>
      <c r="BH2198" t="s">
        <v>7281</v>
      </c>
      <c r="BI2198" t="s">
        <v>7282</v>
      </c>
      <c r="BJ2198">
        <v>5.6300000000000003E-2</v>
      </c>
      <c r="BK2198">
        <v>1</v>
      </c>
      <c r="BL2198" t="s">
        <v>69</v>
      </c>
      <c r="BM2198">
        <v>-0.48799999999999999</v>
      </c>
      <c r="BN2198">
        <v>-1.7270000000000001</v>
      </c>
    </row>
    <row r="2199" spans="2:66">
      <c r="B2199">
        <v>3830</v>
      </c>
      <c r="C2199">
        <v>111</v>
      </c>
      <c r="D2199">
        <v>0</v>
      </c>
      <c r="E2199">
        <v>6</v>
      </c>
      <c r="F2199">
        <v>0</v>
      </c>
      <c r="J2199">
        <v>0</v>
      </c>
      <c r="K2199">
        <v>2</v>
      </c>
      <c r="L2199">
        <v>2</v>
      </c>
      <c r="M2199" t="s">
        <v>25022</v>
      </c>
      <c r="N2199">
        <v>1157</v>
      </c>
      <c r="O2199" t="s">
        <v>7283</v>
      </c>
      <c r="P2199" t="s">
        <v>57</v>
      </c>
      <c r="Q2199">
        <v>1197326</v>
      </c>
      <c r="R2199">
        <v>1198099</v>
      </c>
      <c r="S2199" t="s">
        <v>7284</v>
      </c>
      <c r="T2199">
        <v>258</v>
      </c>
      <c r="U2199" t="s">
        <v>629</v>
      </c>
      <c r="V2199">
        <v>43</v>
      </c>
      <c r="W2199" t="str">
        <f>HYPERLINK("Gene1157-zp_tree_all.dnd", "Gene1157-tree")</f>
        <v>Gene1157-tree</v>
      </c>
      <c r="X2199">
        <v>8</v>
      </c>
      <c r="Y2199">
        <v>26</v>
      </c>
      <c r="Z2199">
        <v>8</v>
      </c>
      <c r="AA2199">
        <v>3</v>
      </c>
      <c r="AB2199">
        <v>0.27272999999999997</v>
      </c>
      <c r="AC2199" t="s">
        <v>136</v>
      </c>
      <c r="AD2199" t="s">
        <v>7285</v>
      </c>
      <c r="AE2199">
        <v>7.8959999999999999</v>
      </c>
      <c r="AF2199" t="s">
        <v>65</v>
      </c>
      <c r="AG2199">
        <v>2</v>
      </c>
      <c r="AH2199">
        <v>4</v>
      </c>
      <c r="AI2199">
        <v>2</v>
      </c>
      <c r="AJ2199">
        <v>0.66666999999999998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2</v>
      </c>
      <c r="AR2199">
        <v>2</v>
      </c>
      <c r="AS2199">
        <v>2</v>
      </c>
      <c r="AT2199">
        <v>0.5</v>
      </c>
      <c r="AU2199">
        <v>9</v>
      </c>
      <c r="AV2199">
        <v>6</v>
      </c>
      <c r="AW2199">
        <v>23</v>
      </c>
      <c r="AX2199">
        <v>3</v>
      </c>
      <c r="AY2199">
        <v>12</v>
      </c>
      <c r="AZ2199">
        <v>3</v>
      </c>
      <c r="BA2199" t="s">
        <v>7286</v>
      </c>
      <c r="BB2199" t="s">
        <v>7287</v>
      </c>
      <c r="BC2199">
        <v>0.69899999999999995</v>
      </c>
      <c r="BD2199" t="s">
        <v>65</v>
      </c>
      <c r="BE2199">
        <v>35</v>
      </c>
      <c r="BF2199">
        <v>6</v>
      </c>
      <c r="BG2199" t="s">
        <v>7288</v>
      </c>
      <c r="BH2199" t="s">
        <v>7289</v>
      </c>
      <c r="BI2199" t="s">
        <v>7290</v>
      </c>
      <c r="BJ2199">
        <v>5.7669999999999999E-2</v>
      </c>
      <c r="BK2199">
        <v>1</v>
      </c>
      <c r="BL2199" t="s">
        <v>69</v>
      </c>
      <c r="BM2199">
        <v>-0.25800000000000001</v>
      </c>
      <c r="BN2199">
        <v>-1.752</v>
      </c>
    </row>
    <row r="2200" spans="2:66">
      <c r="B2200">
        <v>3833</v>
      </c>
      <c r="C2200">
        <v>69</v>
      </c>
      <c r="D2200">
        <v>0</v>
      </c>
      <c r="E2200">
        <v>2</v>
      </c>
      <c r="F2200">
        <v>1</v>
      </c>
      <c r="J2200">
        <v>0</v>
      </c>
      <c r="K2200">
        <v>6</v>
      </c>
      <c r="L2200">
        <v>2</v>
      </c>
      <c r="M2200" t="s">
        <v>25022</v>
      </c>
      <c r="N2200">
        <v>1158</v>
      </c>
      <c r="O2200" t="s">
        <v>7291</v>
      </c>
      <c r="P2200" t="s">
        <v>57</v>
      </c>
      <c r="Q2200">
        <v>1198099</v>
      </c>
      <c r="R2200">
        <v>1199253</v>
      </c>
      <c r="S2200" t="s">
        <v>7292</v>
      </c>
      <c r="T2200">
        <v>385</v>
      </c>
      <c r="U2200" t="s">
        <v>108</v>
      </c>
      <c r="V2200">
        <v>44</v>
      </c>
      <c r="W2200" t="str">
        <f>HYPERLINK("Gene1158-zp_tree_all.dnd", "Gene1158-tree")</f>
        <v>Gene1158-tree</v>
      </c>
      <c r="X2200">
        <v>4</v>
      </c>
      <c r="Y2200">
        <v>31</v>
      </c>
      <c r="Z2200">
        <v>4</v>
      </c>
      <c r="AA2200">
        <v>8</v>
      </c>
      <c r="AB2200">
        <v>0.66666999999999998</v>
      </c>
      <c r="AC2200" t="s">
        <v>61</v>
      </c>
      <c r="AD2200" t="s">
        <v>7249</v>
      </c>
      <c r="AE2200">
        <v>3.2010000000000001</v>
      </c>
      <c r="AF2200" t="s">
        <v>65</v>
      </c>
      <c r="AG2200">
        <v>4</v>
      </c>
      <c r="AH2200">
        <v>8</v>
      </c>
      <c r="AI2200">
        <v>9</v>
      </c>
      <c r="AJ2200">
        <v>0.47059000000000001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4</v>
      </c>
      <c r="AQ2200">
        <v>2</v>
      </c>
      <c r="AR2200">
        <v>6</v>
      </c>
      <c r="AS2200">
        <v>8</v>
      </c>
      <c r="AT2200">
        <v>0.42857000000000001</v>
      </c>
      <c r="AU2200">
        <v>12</v>
      </c>
      <c r="AV2200">
        <v>7</v>
      </c>
      <c r="AW2200">
        <v>42</v>
      </c>
      <c r="AX2200">
        <v>15</v>
      </c>
      <c r="AY2200">
        <v>10</v>
      </c>
      <c r="AZ2200">
        <v>3</v>
      </c>
      <c r="BA2200" t="s">
        <v>7293</v>
      </c>
      <c r="BB2200" t="s">
        <v>7294</v>
      </c>
      <c r="BC2200">
        <v>0.22900000000000001</v>
      </c>
      <c r="BD2200" t="s">
        <v>65</v>
      </c>
      <c r="BE2200">
        <v>52</v>
      </c>
      <c r="BF2200">
        <v>18</v>
      </c>
      <c r="BG2200" t="s">
        <v>7295</v>
      </c>
      <c r="BH2200" t="s">
        <v>7296</v>
      </c>
      <c r="BI2200" t="s">
        <v>7297</v>
      </c>
      <c r="BJ2200">
        <v>0.10546999999999999</v>
      </c>
      <c r="BK2200">
        <v>1</v>
      </c>
      <c r="BL2200" t="s">
        <v>69</v>
      </c>
      <c r="BM2200">
        <v>-1.29</v>
      </c>
      <c r="BN2200">
        <v>-2.5099999999999998</v>
      </c>
    </row>
    <row r="2201" spans="2:66">
      <c r="B2201">
        <v>3835</v>
      </c>
      <c r="C2201">
        <v>139</v>
      </c>
      <c r="D2201">
        <v>0</v>
      </c>
      <c r="E2201">
        <v>5</v>
      </c>
      <c r="F2201">
        <v>1</v>
      </c>
      <c r="J2201">
        <v>0</v>
      </c>
      <c r="K2201">
        <v>4</v>
      </c>
      <c r="L2201">
        <v>2</v>
      </c>
      <c r="M2201" t="s">
        <v>25022</v>
      </c>
      <c r="N2201">
        <v>1159</v>
      </c>
      <c r="O2201" t="s">
        <v>7298</v>
      </c>
      <c r="P2201" t="s">
        <v>57</v>
      </c>
      <c r="Q2201">
        <v>1199327</v>
      </c>
      <c r="R2201">
        <v>1200385</v>
      </c>
      <c r="S2201" t="s">
        <v>7299</v>
      </c>
      <c r="T2201">
        <v>353</v>
      </c>
      <c r="U2201" t="s">
        <v>265</v>
      </c>
      <c r="V2201">
        <v>43</v>
      </c>
      <c r="W2201" t="str">
        <f>HYPERLINK("Gene1159-zp_tree_all.dnd", "Gene1159-tree")</f>
        <v>Gene1159-tree</v>
      </c>
      <c r="X2201">
        <v>4</v>
      </c>
      <c r="Y2201">
        <v>9</v>
      </c>
      <c r="Z2201">
        <v>4</v>
      </c>
      <c r="AA2201">
        <v>9</v>
      </c>
      <c r="AB2201">
        <v>0.69230999999999998</v>
      </c>
      <c r="AC2201" t="s">
        <v>61</v>
      </c>
      <c r="AD2201" t="s">
        <v>135</v>
      </c>
      <c r="AE2201" t="s">
        <v>62</v>
      </c>
      <c r="AF2201" t="s">
        <v>62</v>
      </c>
      <c r="AG2201">
        <v>3</v>
      </c>
      <c r="AH2201">
        <v>6</v>
      </c>
      <c r="AI2201">
        <v>9</v>
      </c>
      <c r="AJ2201">
        <v>0.4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4</v>
      </c>
      <c r="AQ2201">
        <v>2</v>
      </c>
      <c r="AR2201">
        <v>6</v>
      </c>
      <c r="AS2201">
        <v>4</v>
      </c>
      <c r="AT2201">
        <v>0.6</v>
      </c>
      <c r="AU2201">
        <v>10</v>
      </c>
      <c r="AV2201">
        <v>9</v>
      </c>
      <c r="AW2201">
        <v>20</v>
      </c>
      <c r="AX2201">
        <v>8</v>
      </c>
      <c r="AY2201">
        <v>32</v>
      </c>
      <c r="AZ2201">
        <v>7</v>
      </c>
      <c r="BA2201" t="s">
        <v>7300</v>
      </c>
      <c r="BB2201" t="s">
        <v>7301</v>
      </c>
      <c r="BC2201">
        <v>0.67</v>
      </c>
      <c r="BD2201" t="s">
        <v>65</v>
      </c>
      <c r="BE2201">
        <v>52</v>
      </c>
      <c r="BF2201">
        <v>15</v>
      </c>
      <c r="BG2201" t="s">
        <v>7302</v>
      </c>
      <c r="BH2201" t="s">
        <v>7303</v>
      </c>
      <c r="BI2201" t="s">
        <v>7304</v>
      </c>
      <c r="BJ2201">
        <v>7.9920000000000005E-2</v>
      </c>
      <c r="BK2201">
        <v>1</v>
      </c>
      <c r="BL2201" t="s">
        <v>69</v>
      </c>
      <c r="BM2201">
        <v>0.36399999999999999</v>
      </c>
      <c r="BN2201">
        <v>-0.89900000000000002</v>
      </c>
    </row>
    <row r="2202" spans="2:66">
      <c r="B2202">
        <v>3836</v>
      </c>
      <c r="C2202">
        <v>151</v>
      </c>
      <c r="D2202">
        <v>0</v>
      </c>
      <c r="E2202">
        <v>2</v>
      </c>
      <c r="F2202">
        <v>0</v>
      </c>
      <c r="J2202">
        <v>0</v>
      </c>
      <c r="K2202">
        <v>15</v>
      </c>
      <c r="L2202">
        <v>4</v>
      </c>
      <c r="M2202" t="s">
        <v>25022</v>
      </c>
      <c r="N2202">
        <v>1160</v>
      </c>
      <c r="O2202" t="s">
        <v>7305</v>
      </c>
      <c r="P2202" t="s">
        <v>57</v>
      </c>
      <c r="Q2202">
        <v>1200381</v>
      </c>
      <c r="R2202">
        <v>1203470</v>
      </c>
      <c r="S2202" t="s">
        <v>7306</v>
      </c>
      <c r="T2202">
        <v>1030</v>
      </c>
      <c r="U2202" t="s">
        <v>108</v>
      </c>
      <c r="V2202">
        <v>44</v>
      </c>
      <c r="W2202" t="str">
        <f>HYPERLINK("Gene1160-zp_tree_all.dnd", "Gene1160-tree")</f>
        <v>Gene1160-tree</v>
      </c>
      <c r="X2202">
        <v>4</v>
      </c>
      <c r="Y2202">
        <v>10</v>
      </c>
      <c r="Z2202">
        <v>4</v>
      </c>
      <c r="AA2202">
        <v>10</v>
      </c>
      <c r="AB2202">
        <v>0.71428999999999998</v>
      </c>
      <c r="AC2202" t="s">
        <v>61</v>
      </c>
      <c r="AD2202" t="s">
        <v>117</v>
      </c>
      <c r="AE2202" t="s">
        <v>62</v>
      </c>
      <c r="AF2202" t="s">
        <v>62</v>
      </c>
      <c r="AG2202">
        <v>8</v>
      </c>
      <c r="AH2202">
        <v>19</v>
      </c>
      <c r="AI2202">
        <v>39</v>
      </c>
      <c r="AJ2202">
        <v>0.32758999999999999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4</v>
      </c>
      <c r="AQ2202">
        <v>2</v>
      </c>
      <c r="AR2202">
        <v>6</v>
      </c>
      <c r="AS2202">
        <v>29</v>
      </c>
      <c r="AT2202">
        <v>0.17143</v>
      </c>
      <c r="AU2202">
        <v>14</v>
      </c>
      <c r="AV2202">
        <v>11</v>
      </c>
      <c r="AW2202">
        <v>124</v>
      </c>
      <c r="AX2202">
        <v>35</v>
      </c>
      <c r="AY2202">
        <v>141</v>
      </c>
      <c r="AZ2202">
        <v>23</v>
      </c>
      <c r="BA2202" t="s">
        <v>7307</v>
      </c>
      <c r="BB2202" t="s">
        <v>7308</v>
      </c>
      <c r="BC2202">
        <v>0.76700000000000002</v>
      </c>
      <c r="BD2202" t="s">
        <v>65</v>
      </c>
      <c r="BE2202">
        <v>265</v>
      </c>
      <c r="BF2202">
        <v>58</v>
      </c>
      <c r="BG2202" t="s">
        <v>7309</v>
      </c>
      <c r="BH2202" t="s">
        <v>7310</v>
      </c>
      <c r="BI2202" t="s">
        <v>7311</v>
      </c>
      <c r="BJ2202">
        <v>6.2239999999999997E-2</v>
      </c>
      <c r="BK2202">
        <v>1</v>
      </c>
      <c r="BL2202" t="s">
        <v>69</v>
      </c>
      <c r="BM2202">
        <v>-0.372</v>
      </c>
      <c r="BN2202">
        <v>-0.69699999999999995</v>
      </c>
    </row>
    <row r="2203" spans="2:66">
      <c r="B2203">
        <v>3837</v>
      </c>
      <c r="C2203">
        <v>82</v>
      </c>
      <c r="D2203">
        <v>0</v>
      </c>
      <c r="E2203">
        <v>0</v>
      </c>
      <c r="F2203">
        <v>2</v>
      </c>
      <c r="J2203">
        <v>0</v>
      </c>
      <c r="K2203">
        <v>4</v>
      </c>
      <c r="L2203">
        <v>0</v>
      </c>
      <c r="M2203" t="s">
        <v>25022</v>
      </c>
      <c r="N2203">
        <v>1161</v>
      </c>
      <c r="O2203" t="s">
        <v>7312</v>
      </c>
      <c r="P2203" t="s">
        <v>57</v>
      </c>
      <c r="Q2203">
        <v>1203461</v>
      </c>
      <c r="R2203">
        <v>1204417</v>
      </c>
      <c r="S2203" t="s">
        <v>7313</v>
      </c>
      <c r="T2203">
        <v>319</v>
      </c>
      <c r="U2203" t="s">
        <v>108</v>
      </c>
      <c r="V2203">
        <v>44</v>
      </c>
      <c r="W2203" t="str">
        <f>HYPERLINK("Gene1161-zp_tree_all.dnd", "Gene1161-tree")</f>
        <v>Gene1161-tree</v>
      </c>
      <c r="X2203">
        <v>0</v>
      </c>
      <c r="Y2203">
        <v>34</v>
      </c>
      <c r="Z2203">
        <v>0</v>
      </c>
      <c r="AA2203">
        <v>11</v>
      </c>
      <c r="AB2203">
        <v>1</v>
      </c>
      <c r="AC2203" t="s">
        <v>62</v>
      </c>
      <c r="AD2203" t="s">
        <v>7314</v>
      </c>
      <c r="AE2203">
        <v>4.7949999999999999</v>
      </c>
      <c r="AF2203" t="s">
        <v>65</v>
      </c>
      <c r="AG2203">
        <v>2</v>
      </c>
      <c r="AH2203">
        <v>4</v>
      </c>
      <c r="AI2203">
        <v>12</v>
      </c>
      <c r="AJ2203">
        <v>0.25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4</v>
      </c>
      <c r="AQ2203">
        <v>0</v>
      </c>
      <c r="AR2203">
        <v>4</v>
      </c>
      <c r="AS2203">
        <v>11</v>
      </c>
      <c r="AT2203">
        <v>0.26667000000000002</v>
      </c>
      <c r="AU2203">
        <v>10</v>
      </c>
      <c r="AV2203">
        <v>8</v>
      </c>
      <c r="AW2203">
        <v>28</v>
      </c>
      <c r="AX2203">
        <v>14</v>
      </c>
      <c r="AY2203">
        <v>18</v>
      </c>
      <c r="AZ2203">
        <v>2</v>
      </c>
      <c r="BA2203" t="s">
        <v>7315</v>
      </c>
      <c r="BB2203" t="s">
        <v>7316</v>
      </c>
      <c r="BC2203">
        <v>2.4590000000000001</v>
      </c>
      <c r="BD2203" t="s">
        <v>267</v>
      </c>
      <c r="BE2203">
        <v>46</v>
      </c>
      <c r="BF2203">
        <v>16</v>
      </c>
      <c r="BG2203" t="s">
        <v>7317</v>
      </c>
      <c r="BH2203" t="s">
        <v>7318</v>
      </c>
      <c r="BI2203" t="s">
        <v>7319</v>
      </c>
      <c r="BJ2203">
        <v>9.8360000000000003E-2</v>
      </c>
      <c r="BK2203">
        <v>1</v>
      </c>
      <c r="BL2203" t="s">
        <v>69</v>
      </c>
      <c r="BM2203">
        <v>-0.45300000000000001</v>
      </c>
      <c r="BN2203">
        <v>-1.161</v>
      </c>
    </row>
    <row r="2204" spans="2:66">
      <c r="B2204">
        <v>3840</v>
      </c>
      <c r="C2204">
        <v>569</v>
      </c>
      <c r="D2204">
        <v>0</v>
      </c>
      <c r="E2204">
        <v>8</v>
      </c>
      <c r="F2204">
        <v>3</v>
      </c>
      <c r="J2204">
        <v>0</v>
      </c>
      <c r="K2204">
        <v>0</v>
      </c>
      <c r="L2204">
        <v>0</v>
      </c>
      <c r="M2204" t="s">
        <v>25022</v>
      </c>
      <c r="N2204">
        <v>1162</v>
      </c>
      <c r="O2204" t="s">
        <v>7320</v>
      </c>
      <c r="P2204" t="s">
        <v>57</v>
      </c>
      <c r="Q2204">
        <v>1204506</v>
      </c>
      <c r="R2204">
        <v>1204682</v>
      </c>
      <c r="S2204" t="s">
        <v>288</v>
      </c>
      <c r="T2204">
        <v>59</v>
      </c>
      <c r="U2204" t="s">
        <v>108</v>
      </c>
      <c r="V2204">
        <v>44</v>
      </c>
      <c r="W2204" t="str">
        <f>HYPERLINK("Gene1162-zp_tree_all.dnd", "Gene1162-tree")</f>
        <v>Gene1162-tree</v>
      </c>
      <c r="X2204">
        <v>36</v>
      </c>
      <c r="Y2204">
        <v>0</v>
      </c>
      <c r="Z2204">
        <v>6</v>
      </c>
      <c r="AA2204">
        <v>0</v>
      </c>
      <c r="AB2204">
        <v>0</v>
      </c>
      <c r="AC2204" t="s">
        <v>7321</v>
      </c>
      <c r="AD2204" t="s">
        <v>62</v>
      </c>
      <c r="AE2204" t="s">
        <v>62</v>
      </c>
      <c r="AF2204" t="s">
        <v>62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4</v>
      </c>
      <c r="AV2204">
        <v>1</v>
      </c>
      <c r="AW2204">
        <v>4</v>
      </c>
      <c r="AX2204">
        <v>0</v>
      </c>
      <c r="AY2204">
        <v>1</v>
      </c>
      <c r="AZ2204">
        <v>0</v>
      </c>
      <c r="BA2204" t="s">
        <v>193</v>
      </c>
      <c r="BB2204" t="s">
        <v>193</v>
      </c>
      <c r="BC2204">
        <v>0</v>
      </c>
      <c r="BD2204" t="s">
        <v>65</v>
      </c>
      <c r="BE2204">
        <v>5</v>
      </c>
      <c r="BF2204">
        <v>0</v>
      </c>
      <c r="BG2204" t="s">
        <v>7322</v>
      </c>
      <c r="BH2204" t="s">
        <v>7323</v>
      </c>
      <c r="BI2204" t="s">
        <v>193</v>
      </c>
      <c r="BJ2204">
        <v>0</v>
      </c>
      <c r="BK2204">
        <v>1</v>
      </c>
      <c r="BL2204" t="s">
        <v>69</v>
      </c>
      <c r="BM2204">
        <v>-0.91700000000000004</v>
      </c>
      <c r="BN2204">
        <v>-1.7190000000000001</v>
      </c>
    </row>
    <row r="2205" spans="2:66">
      <c r="B2205">
        <v>3841</v>
      </c>
      <c r="C2205">
        <v>84</v>
      </c>
      <c r="D2205">
        <v>0</v>
      </c>
      <c r="E2205">
        <v>4</v>
      </c>
      <c r="F2205">
        <v>0</v>
      </c>
      <c r="J2205">
        <v>0</v>
      </c>
      <c r="K2205">
        <v>2</v>
      </c>
      <c r="L2205">
        <v>1</v>
      </c>
      <c r="M2205" t="s">
        <v>25022</v>
      </c>
      <c r="N2205">
        <v>1164</v>
      </c>
      <c r="O2205" t="s">
        <v>7331</v>
      </c>
      <c r="P2205" t="s">
        <v>57</v>
      </c>
      <c r="Q2205">
        <v>1205165</v>
      </c>
      <c r="R2205">
        <v>1205896</v>
      </c>
      <c r="S2205" t="s">
        <v>288</v>
      </c>
      <c r="T2205">
        <v>244</v>
      </c>
      <c r="U2205" t="s">
        <v>1392</v>
      </c>
      <c r="V2205">
        <v>43</v>
      </c>
      <c r="W2205" t="str">
        <f>HYPERLINK("Gene1164-zp_tree_all.dnd", "Gene1164-tree")</f>
        <v>Gene1164-tree</v>
      </c>
      <c r="X2205">
        <v>6</v>
      </c>
      <c r="Y2205">
        <v>3</v>
      </c>
      <c r="Z2205">
        <v>6</v>
      </c>
      <c r="AA2205">
        <v>3</v>
      </c>
      <c r="AB2205">
        <v>0.33333000000000002</v>
      </c>
      <c r="AC2205" t="s">
        <v>90</v>
      </c>
      <c r="AD2205" t="s">
        <v>324</v>
      </c>
      <c r="AE2205" t="s">
        <v>62</v>
      </c>
      <c r="AF2205" t="s">
        <v>62</v>
      </c>
      <c r="AG2205">
        <v>1</v>
      </c>
      <c r="AH2205">
        <v>3</v>
      </c>
      <c r="AI2205">
        <v>2</v>
      </c>
      <c r="AJ2205">
        <v>0.6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2</v>
      </c>
      <c r="AR2205">
        <v>2</v>
      </c>
      <c r="AS2205">
        <v>1</v>
      </c>
      <c r="AT2205">
        <v>0.66666999999999998</v>
      </c>
      <c r="AU2205">
        <v>8</v>
      </c>
      <c r="AV2205">
        <v>5</v>
      </c>
      <c r="AW2205">
        <v>10</v>
      </c>
      <c r="AX2205">
        <v>3</v>
      </c>
      <c r="AY2205">
        <v>6</v>
      </c>
      <c r="AZ2205">
        <v>2</v>
      </c>
      <c r="BA2205" t="s">
        <v>7332</v>
      </c>
      <c r="BB2205" t="s">
        <v>7333</v>
      </c>
      <c r="BC2205">
        <v>9.2999999999999999E-2</v>
      </c>
      <c r="BD2205" t="s">
        <v>65</v>
      </c>
      <c r="BE2205">
        <v>16</v>
      </c>
      <c r="BF2205">
        <v>5</v>
      </c>
      <c r="BG2205" t="s">
        <v>7334</v>
      </c>
      <c r="BH2205" t="s">
        <v>7335</v>
      </c>
      <c r="BI2205" t="s">
        <v>7336</v>
      </c>
      <c r="BJ2205">
        <v>9.0529999999999999E-2</v>
      </c>
      <c r="BK2205">
        <v>1</v>
      </c>
      <c r="BL2205" t="s">
        <v>69</v>
      </c>
      <c r="BM2205">
        <v>-0.14399999999999999</v>
      </c>
      <c r="BN2205">
        <v>-1.1930000000000001</v>
      </c>
    </row>
    <row r="2206" spans="2:66">
      <c r="B2206">
        <v>3845</v>
      </c>
      <c r="C2206">
        <v>167</v>
      </c>
      <c r="D2206">
        <v>0</v>
      </c>
      <c r="E2206">
        <v>2</v>
      </c>
      <c r="F2206">
        <v>0</v>
      </c>
      <c r="J2206">
        <v>0</v>
      </c>
      <c r="K2206">
        <v>4</v>
      </c>
      <c r="L2206">
        <v>2</v>
      </c>
      <c r="M2206" t="s">
        <v>25022</v>
      </c>
      <c r="N2206">
        <v>1165</v>
      </c>
      <c r="O2206" t="s">
        <v>7337</v>
      </c>
      <c r="P2206" t="s">
        <v>57</v>
      </c>
      <c r="Q2206">
        <v>1205981</v>
      </c>
      <c r="R2206">
        <v>1206535</v>
      </c>
      <c r="S2206" t="s">
        <v>7338</v>
      </c>
      <c r="T2206">
        <v>185</v>
      </c>
      <c r="U2206" t="s">
        <v>108</v>
      </c>
      <c r="V2206">
        <v>44</v>
      </c>
      <c r="W2206" t="str">
        <f>HYPERLINK("Gene1165-zp_tree_all.dnd", "Gene1165-tree")</f>
        <v>Gene1165-tree</v>
      </c>
      <c r="X2206">
        <v>4</v>
      </c>
      <c r="Y2206">
        <v>30</v>
      </c>
      <c r="Z2206">
        <v>4</v>
      </c>
      <c r="AA2206">
        <v>7</v>
      </c>
      <c r="AB2206">
        <v>0.63636000000000004</v>
      </c>
      <c r="AC2206" t="s">
        <v>61</v>
      </c>
      <c r="AD2206" t="s">
        <v>5684</v>
      </c>
      <c r="AE2206">
        <v>3.5419999999999998</v>
      </c>
      <c r="AF2206" t="s">
        <v>65</v>
      </c>
      <c r="AG2206">
        <v>3</v>
      </c>
      <c r="AH2206">
        <v>6</v>
      </c>
      <c r="AI2206">
        <v>6</v>
      </c>
      <c r="AJ2206">
        <v>0.5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4</v>
      </c>
      <c r="AQ2206">
        <v>2</v>
      </c>
      <c r="AR2206">
        <v>6</v>
      </c>
      <c r="AS2206">
        <v>4</v>
      </c>
      <c r="AT2206">
        <v>0.6</v>
      </c>
      <c r="AU2206">
        <v>7</v>
      </c>
      <c r="AV2206">
        <v>6</v>
      </c>
      <c r="AW2206">
        <v>8</v>
      </c>
      <c r="AX2206">
        <v>7</v>
      </c>
      <c r="AY2206">
        <v>5</v>
      </c>
      <c r="AZ2206">
        <v>6</v>
      </c>
      <c r="BA2206" t="s">
        <v>7339</v>
      </c>
      <c r="BB2206" t="s">
        <v>7340</v>
      </c>
      <c r="BC2206">
        <v>0.41399999999999998</v>
      </c>
      <c r="BD2206" t="s">
        <v>65</v>
      </c>
      <c r="BE2206">
        <v>13</v>
      </c>
      <c r="BF2206">
        <v>13</v>
      </c>
      <c r="BG2206" t="s">
        <v>7341</v>
      </c>
      <c r="BH2206" t="s">
        <v>7342</v>
      </c>
      <c r="BI2206" t="s">
        <v>7343</v>
      </c>
      <c r="BJ2206">
        <v>0.26574999999999999</v>
      </c>
      <c r="BK2206">
        <v>0.99</v>
      </c>
      <c r="BL2206" t="s">
        <v>69</v>
      </c>
      <c r="BM2206">
        <v>-0.52600000000000002</v>
      </c>
      <c r="BN2206">
        <v>-2.1000000000000001E-2</v>
      </c>
    </row>
    <row r="2207" spans="2:66">
      <c r="B2207">
        <v>3846</v>
      </c>
      <c r="C2207">
        <v>288</v>
      </c>
      <c r="D2207">
        <v>0</v>
      </c>
      <c r="E2207">
        <v>0</v>
      </c>
      <c r="F2207">
        <v>2</v>
      </c>
      <c r="J2207">
        <v>0</v>
      </c>
      <c r="K2207">
        <v>2</v>
      </c>
      <c r="L2207">
        <v>0</v>
      </c>
      <c r="M2207" t="s">
        <v>25022</v>
      </c>
      <c r="N2207">
        <v>1166</v>
      </c>
      <c r="O2207" t="s">
        <v>7344</v>
      </c>
      <c r="P2207" t="s">
        <v>57</v>
      </c>
      <c r="Q2207">
        <v>1206629</v>
      </c>
      <c r="R2207">
        <v>1207579</v>
      </c>
      <c r="S2207" t="s">
        <v>7345</v>
      </c>
      <c r="T2207">
        <v>317</v>
      </c>
      <c r="U2207" t="s">
        <v>108</v>
      </c>
      <c r="V2207">
        <v>44</v>
      </c>
      <c r="W2207" t="str">
        <f>HYPERLINK("Gene1166-zp_tree_all.dnd", "Gene1166-tree")</f>
        <v>Gene1166-tree</v>
      </c>
      <c r="X2207">
        <v>9</v>
      </c>
      <c r="Y2207">
        <v>4</v>
      </c>
      <c r="Z2207">
        <v>9</v>
      </c>
      <c r="AA2207">
        <v>4</v>
      </c>
      <c r="AB2207">
        <v>0.30769000000000002</v>
      </c>
      <c r="AC2207" t="s">
        <v>135</v>
      </c>
      <c r="AD2207" t="s">
        <v>61</v>
      </c>
      <c r="AE2207" t="s">
        <v>62</v>
      </c>
      <c r="AF2207" t="s">
        <v>62</v>
      </c>
      <c r="AG2207">
        <v>1</v>
      </c>
      <c r="AH2207">
        <v>2</v>
      </c>
      <c r="AI2207">
        <v>4</v>
      </c>
      <c r="AJ2207">
        <v>0.33333000000000002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4</v>
      </c>
      <c r="AT2207">
        <v>0</v>
      </c>
      <c r="AU2207">
        <v>9</v>
      </c>
      <c r="AV2207">
        <v>8</v>
      </c>
      <c r="AW2207">
        <v>17</v>
      </c>
      <c r="AX2207">
        <v>4</v>
      </c>
      <c r="AY2207">
        <v>11</v>
      </c>
      <c r="AZ2207">
        <v>2</v>
      </c>
      <c r="BA2207" t="s">
        <v>7346</v>
      </c>
      <c r="BB2207" t="s">
        <v>7347</v>
      </c>
      <c r="BC2207">
        <v>0.21199999999999999</v>
      </c>
      <c r="BD2207" t="s">
        <v>65</v>
      </c>
      <c r="BE2207">
        <v>28</v>
      </c>
      <c r="BF2207">
        <v>6</v>
      </c>
      <c r="BG2207" t="s">
        <v>3615</v>
      </c>
      <c r="BH2207" t="s">
        <v>7348</v>
      </c>
      <c r="BI2207" t="s">
        <v>7349</v>
      </c>
      <c r="BJ2207">
        <v>6.0440000000000001E-2</v>
      </c>
      <c r="BK2207">
        <v>1</v>
      </c>
      <c r="BL2207" t="s">
        <v>69</v>
      </c>
      <c r="BM2207">
        <v>-0.80500000000000005</v>
      </c>
      <c r="BN2207">
        <v>-1.857</v>
      </c>
    </row>
    <row r="2208" spans="2:66">
      <c r="B2208">
        <v>3848</v>
      </c>
      <c r="C2208">
        <v>121</v>
      </c>
      <c r="D2208">
        <v>0</v>
      </c>
      <c r="E2208">
        <v>2</v>
      </c>
      <c r="F2208">
        <v>0</v>
      </c>
      <c r="J2208">
        <v>0</v>
      </c>
      <c r="K2208">
        <v>0</v>
      </c>
      <c r="L2208">
        <v>0</v>
      </c>
      <c r="M2208" t="s">
        <v>25022</v>
      </c>
      <c r="N2208">
        <v>1167</v>
      </c>
      <c r="O2208" t="s">
        <v>7350</v>
      </c>
      <c r="P2208" t="s">
        <v>57</v>
      </c>
      <c r="Q2208">
        <v>1207597</v>
      </c>
      <c r="R2208">
        <v>1207785</v>
      </c>
      <c r="S2208" t="s">
        <v>7351</v>
      </c>
      <c r="T2208">
        <v>63</v>
      </c>
      <c r="U2208" t="s">
        <v>59</v>
      </c>
      <c r="V2208">
        <v>49</v>
      </c>
      <c r="W2208" t="str">
        <f>HYPERLINK("Gene1167-zp_tree_all.dnd", "Gene1167-tree")</f>
        <v>Gene1167-tree</v>
      </c>
      <c r="X2208">
        <v>8</v>
      </c>
      <c r="Y2208">
        <v>1</v>
      </c>
      <c r="Z2208">
        <v>8</v>
      </c>
      <c r="AA2208">
        <v>1</v>
      </c>
      <c r="AB2208">
        <v>0.11111</v>
      </c>
      <c r="AC2208" t="s">
        <v>136</v>
      </c>
      <c r="AD2208" t="s">
        <v>175</v>
      </c>
      <c r="AE2208" t="s">
        <v>62</v>
      </c>
      <c r="AF2208" t="s">
        <v>62</v>
      </c>
      <c r="AG2208">
        <v>0</v>
      </c>
      <c r="AH2208">
        <v>0</v>
      </c>
      <c r="AI2208">
        <v>2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2</v>
      </c>
      <c r="AT2208">
        <v>0</v>
      </c>
      <c r="AU2208">
        <v>5</v>
      </c>
      <c r="AV2208">
        <v>4</v>
      </c>
      <c r="AW2208">
        <v>5</v>
      </c>
      <c r="AX2208">
        <v>2</v>
      </c>
      <c r="AY2208">
        <v>10</v>
      </c>
      <c r="AZ2208">
        <v>0</v>
      </c>
      <c r="BA2208" t="s">
        <v>7352</v>
      </c>
      <c r="BB2208" t="s">
        <v>193</v>
      </c>
      <c r="BC2208">
        <v>0.50700000000000001</v>
      </c>
      <c r="BD2208" t="s">
        <v>65</v>
      </c>
      <c r="BE2208">
        <v>15</v>
      </c>
      <c r="BF2208">
        <v>2</v>
      </c>
      <c r="BG2208" t="s">
        <v>7353</v>
      </c>
      <c r="BH2208" t="s">
        <v>7354</v>
      </c>
      <c r="BI2208" t="s">
        <v>7355</v>
      </c>
      <c r="BJ2208">
        <v>1.7899999999999999E-2</v>
      </c>
      <c r="BK2208">
        <v>1</v>
      </c>
      <c r="BL2208" t="s">
        <v>69</v>
      </c>
      <c r="BM2208">
        <v>-1.145</v>
      </c>
      <c r="BN2208">
        <v>-0.25900000000000001</v>
      </c>
    </row>
    <row r="2209" spans="2:66">
      <c r="B2209">
        <v>3850</v>
      </c>
      <c r="C2209">
        <v>90</v>
      </c>
      <c r="D2209">
        <v>0</v>
      </c>
      <c r="E2209">
        <v>4</v>
      </c>
      <c r="F2209">
        <v>0</v>
      </c>
      <c r="J2209">
        <v>0</v>
      </c>
      <c r="K2209">
        <v>0</v>
      </c>
      <c r="L2209">
        <v>0</v>
      </c>
      <c r="M2209" t="s">
        <v>25022</v>
      </c>
      <c r="N2209">
        <v>1169</v>
      </c>
      <c r="O2209" t="s">
        <v>7361</v>
      </c>
      <c r="P2209" t="s">
        <v>57</v>
      </c>
      <c r="Q2209">
        <v>1208222</v>
      </c>
      <c r="R2209">
        <v>1209157</v>
      </c>
      <c r="S2209" t="s">
        <v>7362</v>
      </c>
      <c r="T2209">
        <v>312</v>
      </c>
      <c r="U2209" t="s">
        <v>289</v>
      </c>
      <c r="V2209">
        <v>46</v>
      </c>
      <c r="W2209" t="str">
        <f>HYPERLINK("Gene1169-zp_tree_all.dnd", "Gene1169-tree")</f>
        <v>Gene1169-tree</v>
      </c>
      <c r="X2209">
        <v>30</v>
      </c>
      <c r="Y2209">
        <v>2</v>
      </c>
      <c r="Z2209">
        <v>14</v>
      </c>
      <c r="AA2209">
        <v>2</v>
      </c>
      <c r="AB2209">
        <v>0.125</v>
      </c>
      <c r="AC2209" t="s">
        <v>4097</v>
      </c>
      <c r="AD2209" t="s">
        <v>81</v>
      </c>
      <c r="AE2209" t="s">
        <v>62</v>
      </c>
      <c r="AF2209" t="s">
        <v>62</v>
      </c>
      <c r="AG2209">
        <v>0</v>
      </c>
      <c r="AH2209">
        <v>0</v>
      </c>
      <c r="AI2209">
        <v>9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3</v>
      </c>
      <c r="AT2209">
        <v>0</v>
      </c>
      <c r="AU2209">
        <v>10</v>
      </c>
      <c r="AV2209">
        <v>10</v>
      </c>
      <c r="AW2209">
        <v>20</v>
      </c>
      <c r="AX2209">
        <v>3</v>
      </c>
      <c r="AY2209">
        <v>33</v>
      </c>
      <c r="AZ2209">
        <v>6</v>
      </c>
      <c r="BA2209" t="s">
        <v>7363</v>
      </c>
      <c r="BB2209" t="s">
        <v>7364</v>
      </c>
      <c r="BC2209">
        <v>4.5999999999999999E-2</v>
      </c>
      <c r="BD2209" t="s">
        <v>65</v>
      </c>
      <c r="BE2209">
        <v>53</v>
      </c>
      <c r="BF2209">
        <v>9</v>
      </c>
      <c r="BG2209" t="s">
        <v>7365</v>
      </c>
      <c r="BH2209" t="s">
        <v>7366</v>
      </c>
      <c r="BI2209" t="s">
        <v>7367</v>
      </c>
      <c r="BJ2209">
        <v>5.1400000000000001E-2</v>
      </c>
      <c r="BK2209">
        <v>1</v>
      </c>
      <c r="BL2209" t="s">
        <v>69</v>
      </c>
      <c r="BM2209">
        <v>-1.704</v>
      </c>
      <c r="BN2209">
        <v>-1.01</v>
      </c>
    </row>
    <row r="2210" spans="2:66">
      <c r="B2210">
        <v>3851</v>
      </c>
      <c r="C2210">
        <v>371</v>
      </c>
      <c r="D2210">
        <v>0</v>
      </c>
      <c r="E2210">
        <v>0</v>
      </c>
      <c r="F2210">
        <v>2</v>
      </c>
      <c r="J2210">
        <v>0</v>
      </c>
      <c r="K2210">
        <v>0</v>
      </c>
      <c r="L2210">
        <v>0</v>
      </c>
      <c r="M2210" t="s">
        <v>25022</v>
      </c>
      <c r="N2210">
        <v>1170</v>
      </c>
      <c r="O2210" t="s">
        <v>7368</v>
      </c>
      <c r="P2210" t="s">
        <v>57</v>
      </c>
      <c r="Q2210">
        <v>1209183</v>
      </c>
      <c r="R2210">
        <v>1210421</v>
      </c>
      <c r="S2210" t="s">
        <v>7369</v>
      </c>
      <c r="T2210">
        <v>413</v>
      </c>
      <c r="U2210" t="s">
        <v>72</v>
      </c>
      <c r="V2210">
        <v>45</v>
      </c>
      <c r="W2210" t="str">
        <f>HYPERLINK("Gene1170-zp_tree_all.dnd", "Gene1170-tree")</f>
        <v>Gene1170-tree</v>
      </c>
      <c r="X2210">
        <v>31</v>
      </c>
      <c r="Y2210">
        <v>3</v>
      </c>
      <c r="Z2210">
        <v>9</v>
      </c>
      <c r="AA2210">
        <v>3</v>
      </c>
      <c r="AB2210">
        <v>0.25</v>
      </c>
      <c r="AC2210" t="s">
        <v>7370</v>
      </c>
      <c r="AD2210" t="s">
        <v>324</v>
      </c>
      <c r="AE2210" t="s">
        <v>62</v>
      </c>
      <c r="AF2210" t="s">
        <v>62</v>
      </c>
      <c r="AG2210">
        <v>0</v>
      </c>
      <c r="AH2210">
        <v>0</v>
      </c>
      <c r="AI2210">
        <v>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5</v>
      </c>
      <c r="AT2210">
        <v>0</v>
      </c>
      <c r="AU2210">
        <v>9</v>
      </c>
      <c r="AV2210">
        <v>6</v>
      </c>
      <c r="AW2210">
        <v>79</v>
      </c>
      <c r="AX2210">
        <v>5</v>
      </c>
      <c r="AY2210">
        <v>10</v>
      </c>
      <c r="AZ2210">
        <v>0</v>
      </c>
      <c r="BA2210" t="s">
        <v>7371</v>
      </c>
      <c r="BB2210" t="s">
        <v>193</v>
      </c>
      <c r="BC2210">
        <v>0.46100000000000002</v>
      </c>
      <c r="BD2210" t="s">
        <v>65</v>
      </c>
      <c r="BE2210">
        <v>89</v>
      </c>
      <c r="BF2210">
        <v>5</v>
      </c>
      <c r="BG2210" t="s">
        <v>7372</v>
      </c>
      <c r="BH2210" t="s">
        <v>7373</v>
      </c>
      <c r="BI2210" t="s">
        <v>7374</v>
      </c>
      <c r="BJ2210">
        <v>1.4840000000000001E-2</v>
      </c>
      <c r="BK2210">
        <v>1</v>
      </c>
      <c r="BL2210" t="s">
        <v>69</v>
      </c>
      <c r="BM2210">
        <v>-2.2330000000000001</v>
      </c>
      <c r="BN2210">
        <v>-4.8490000000000002</v>
      </c>
    </row>
    <row r="2211" spans="2:66">
      <c r="B2211">
        <v>3852</v>
      </c>
      <c r="C2211">
        <v>140</v>
      </c>
      <c r="D2211">
        <v>0</v>
      </c>
      <c r="E2211">
        <v>4</v>
      </c>
      <c r="F2211">
        <v>0</v>
      </c>
      <c r="J2211">
        <v>0</v>
      </c>
      <c r="K2211">
        <v>9</v>
      </c>
      <c r="L2211">
        <v>0</v>
      </c>
      <c r="M2211" t="s">
        <v>25022</v>
      </c>
      <c r="N2211">
        <v>1171</v>
      </c>
      <c r="O2211" t="s">
        <v>7375</v>
      </c>
      <c r="P2211" t="s">
        <v>57</v>
      </c>
      <c r="Q2211">
        <v>1210500</v>
      </c>
      <c r="R2211">
        <v>1211282</v>
      </c>
      <c r="S2211" t="s">
        <v>288</v>
      </c>
      <c r="T2211">
        <v>261</v>
      </c>
      <c r="U2211" t="s">
        <v>265</v>
      </c>
      <c r="V2211">
        <v>43</v>
      </c>
      <c r="W2211" t="str">
        <f>HYPERLINK("Gene1171-zp_tree_all.dnd", "Gene1171-tree")</f>
        <v>Gene1171-tree</v>
      </c>
      <c r="X2211">
        <v>30</v>
      </c>
      <c r="Y2211">
        <v>5</v>
      </c>
      <c r="Z2211">
        <v>7</v>
      </c>
      <c r="AA2211">
        <v>5</v>
      </c>
      <c r="AB2211">
        <v>0.41666999999999998</v>
      </c>
      <c r="AC2211" t="s">
        <v>5684</v>
      </c>
      <c r="AD2211" t="s">
        <v>199</v>
      </c>
      <c r="AE2211" t="s">
        <v>62</v>
      </c>
      <c r="AF2211" t="s">
        <v>62</v>
      </c>
      <c r="AG2211">
        <v>3</v>
      </c>
      <c r="AH2211">
        <v>9</v>
      </c>
      <c r="AI2211">
        <v>7</v>
      </c>
      <c r="AJ2211">
        <v>0.5625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4</v>
      </c>
      <c r="AQ2211">
        <v>0</v>
      </c>
      <c r="AR2211">
        <v>4</v>
      </c>
      <c r="AS2211">
        <v>6</v>
      </c>
      <c r="AT2211">
        <v>0.4</v>
      </c>
      <c r="AU2211">
        <v>10</v>
      </c>
      <c r="AV2211">
        <v>8</v>
      </c>
      <c r="AW2211">
        <v>18</v>
      </c>
      <c r="AX2211">
        <v>10</v>
      </c>
      <c r="AY2211">
        <v>20</v>
      </c>
      <c r="AZ2211">
        <v>6</v>
      </c>
      <c r="BA2211" t="s">
        <v>7376</v>
      </c>
      <c r="BB2211" t="s">
        <v>7377</v>
      </c>
      <c r="BC2211">
        <v>0.42699999999999999</v>
      </c>
      <c r="BD2211" t="s">
        <v>65</v>
      </c>
      <c r="BE2211">
        <v>38</v>
      </c>
      <c r="BF2211">
        <v>16</v>
      </c>
      <c r="BG2211" t="s">
        <v>7378</v>
      </c>
      <c r="BH2211" t="s">
        <v>7379</v>
      </c>
      <c r="BI2211" t="s">
        <v>7380</v>
      </c>
      <c r="BJ2211">
        <v>0.1042</v>
      </c>
      <c r="BK2211">
        <v>1</v>
      </c>
      <c r="BL2211" t="s">
        <v>69</v>
      </c>
      <c r="BM2211">
        <v>-0.26300000000000001</v>
      </c>
      <c r="BN2211">
        <v>-0.41099999999999998</v>
      </c>
    </row>
    <row r="2212" spans="2:66">
      <c r="B2212">
        <v>3853</v>
      </c>
      <c r="C2212">
        <v>181</v>
      </c>
      <c r="D2212">
        <v>0</v>
      </c>
      <c r="E2212">
        <v>11</v>
      </c>
      <c r="F2212">
        <v>0</v>
      </c>
      <c r="J2212">
        <v>0</v>
      </c>
      <c r="K2212">
        <v>4</v>
      </c>
      <c r="L2212">
        <v>0</v>
      </c>
      <c r="M2212" t="s">
        <v>25022</v>
      </c>
      <c r="N2212">
        <v>1172</v>
      </c>
      <c r="O2212" t="s">
        <v>7381</v>
      </c>
      <c r="P2212" t="s">
        <v>57</v>
      </c>
      <c r="Q2212">
        <v>1211477</v>
      </c>
      <c r="R2212">
        <v>1212460</v>
      </c>
      <c r="S2212" t="s">
        <v>7382</v>
      </c>
      <c r="T2212">
        <v>328</v>
      </c>
      <c r="U2212" t="s">
        <v>394</v>
      </c>
      <c r="V2212">
        <v>48</v>
      </c>
      <c r="W2212" t="str">
        <f>HYPERLINK("Gene1172-zp_tree_all.dnd", "Gene1172-tree")</f>
        <v>Gene1172-tree</v>
      </c>
      <c r="X2212">
        <v>12</v>
      </c>
      <c r="Y2212">
        <v>6</v>
      </c>
      <c r="Z2212">
        <v>12</v>
      </c>
      <c r="AA2212">
        <v>6</v>
      </c>
      <c r="AB2212">
        <v>0.33333000000000002</v>
      </c>
      <c r="AC2212" t="s">
        <v>109</v>
      </c>
      <c r="AD2212" t="s">
        <v>90</v>
      </c>
      <c r="AE2212" t="s">
        <v>62</v>
      </c>
      <c r="AF2212" t="s">
        <v>62</v>
      </c>
      <c r="AG2212">
        <v>2</v>
      </c>
      <c r="AH2212">
        <v>4</v>
      </c>
      <c r="AI2212">
        <v>8</v>
      </c>
      <c r="AJ2212">
        <v>0.33333000000000002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</v>
      </c>
      <c r="AQ2212">
        <v>0</v>
      </c>
      <c r="AR2212">
        <v>2</v>
      </c>
      <c r="AS2212">
        <v>8</v>
      </c>
      <c r="AT2212">
        <v>0.2</v>
      </c>
      <c r="AU2212">
        <v>16</v>
      </c>
      <c r="AV2212">
        <v>13</v>
      </c>
      <c r="AW2212">
        <v>65</v>
      </c>
      <c r="AX2212">
        <v>10</v>
      </c>
      <c r="AY2212">
        <v>61</v>
      </c>
      <c r="AZ2212">
        <v>2</v>
      </c>
      <c r="BA2212" t="s">
        <v>7383</v>
      </c>
      <c r="BB2212" t="s">
        <v>7384</v>
      </c>
      <c r="BC2212">
        <v>0.78700000000000003</v>
      </c>
      <c r="BD2212" t="s">
        <v>65</v>
      </c>
      <c r="BE2212">
        <v>126</v>
      </c>
      <c r="BF2212">
        <v>12</v>
      </c>
      <c r="BG2212" t="s">
        <v>7385</v>
      </c>
      <c r="BH2212" t="s">
        <v>7386</v>
      </c>
      <c r="BI2212" t="s">
        <v>7387</v>
      </c>
      <c r="BJ2212">
        <v>2.0789999999999999E-2</v>
      </c>
      <c r="BK2212">
        <v>1</v>
      </c>
      <c r="BL2212" t="s">
        <v>69</v>
      </c>
      <c r="BM2212">
        <v>-1.5960000000000001</v>
      </c>
      <c r="BN2212">
        <v>-1.7130000000000001</v>
      </c>
    </row>
    <row r="2213" spans="2:66">
      <c r="B2213">
        <v>3854</v>
      </c>
      <c r="C2213">
        <v>102</v>
      </c>
      <c r="D2213">
        <v>0</v>
      </c>
      <c r="E2213">
        <v>8</v>
      </c>
      <c r="F2213">
        <v>2</v>
      </c>
      <c r="J2213">
        <v>0</v>
      </c>
      <c r="K2213">
        <v>4</v>
      </c>
      <c r="L2213">
        <v>0</v>
      </c>
      <c r="M2213" t="s">
        <v>25022</v>
      </c>
      <c r="N2213">
        <v>1173</v>
      </c>
      <c r="O2213" t="s">
        <v>7388</v>
      </c>
      <c r="P2213" t="s">
        <v>57</v>
      </c>
      <c r="Q2213">
        <v>1212460</v>
      </c>
      <c r="R2213">
        <v>1213446</v>
      </c>
      <c r="S2213" t="s">
        <v>7382</v>
      </c>
      <c r="T2213">
        <v>329</v>
      </c>
      <c r="U2213" t="s">
        <v>108</v>
      </c>
      <c r="V2213">
        <v>44</v>
      </c>
      <c r="W2213" t="str">
        <f>HYPERLINK("Gene1173-zp_tree_all.dnd", "Gene1173-tree")</f>
        <v>Gene1173-tree</v>
      </c>
      <c r="X2213">
        <v>7</v>
      </c>
      <c r="Y2213">
        <v>6</v>
      </c>
      <c r="Z2213">
        <v>7</v>
      </c>
      <c r="AA2213">
        <v>6</v>
      </c>
      <c r="AB2213">
        <v>0.46154000000000001</v>
      </c>
      <c r="AC2213" t="s">
        <v>152</v>
      </c>
      <c r="AD2213" t="s">
        <v>90</v>
      </c>
      <c r="AE2213" t="s">
        <v>62</v>
      </c>
      <c r="AF2213" t="s">
        <v>62</v>
      </c>
      <c r="AG2213">
        <v>2</v>
      </c>
      <c r="AH2213">
        <v>4</v>
      </c>
      <c r="AI2213">
        <v>6</v>
      </c>
      <c r="AJ2213">
        <v>0.4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2</v>
      </c>
      <c r="AQ2213">
        <v>0</v>
      </c>
      <c r="AR2213">
        <v>2</v>
      </c>
      <c r="AS2213">
        <v>7</v>
      </c>
      <c r="AT2213">
        <v>0.22222</v>
      </c>
      <c r="AU2213">
        <v>12</v>
      </c>
      <c r="AV2213">
        <v>7</v>
      </c>
      <c r="AW2213">
        <v>32</v>
      </c>
      <c r="AX2213">
        <v>9</v>
      </c>
      <c r="AY2213">
        <v>10</v>
      </c>
      <c r="AZ2213">
        <v>1</v>
      </c>
      <c r="BA2213" t="s">
        <v>7389</v>
      </c>
      <c r="BB2213" t="s">
        <v>7390</v>
      </c>
      <c r="BC2213">
        <v>0.61199999999999999</v>
      </c>
      <c r="BD2213" t="s">
        <v>65</v>
      </c>
      <c r="BE2213">
        <v>42</v>
      </c>
      <c r="BF2213">
        <v>10</v>
      </c>
      <c r="BG2213" t="s">
        <v>7391</v>
      </c>
      <c r="BH2213" t="s">
        <v>7392</v>
      </c>
      <c r="BI2213" t="s">
        <v>7393</v>
      </c>
      <c r="BJ2213">
        <v>6.5000000000000002E-2</v>
      </c>
      <c r="BK2213">
        <v>1</v>
      </c>
      <c r="BL2213" t="s">
        <v>69</v>
      </c>
      <c r="BM2213">
        <v>-1.76</v>
      </c>
      <c r="BN2213">
        <v>-2.7240000000000002</v>
      </c>
    </row>
    <row r="2214" spans="2:66">
      <c r="B2214">
        <v>3855</v>
      </c>
      <c r="C2214">
        <v>220</v>
      </c>
      <c r="D2214">
        <v>0</v>
      </c>
      <c r="E2214">
        <v>9</v>
      </c>
      <c r="F2214">
        <v>5</v>
      </c>
      <c r="J2214">
        <v>0</v>
      </c>
      <c r="K2214">
        <v>0</v>
      </c>
      <c r="L2214">
        <v>0</v>
      </c>
      <c r="M2214" t="s">
        <v>25022</v>
      </c>
      <c r="N2214">
        <v>1176</v>
      </c>
      <c r="O2214" t="s">
        <v>7394</v>
      </c>
      <c r="P2214" t="s">
        <v>57</v>
      </c>
      <c r="Q2214">
        <v>1215243</v>
      </c>
      <c r="R2214">
        <v>1216190</v>
      </c>
      <c r="S2214" t="s">
        <v>7395</v>
      </c>
      <c r="T2214">
        <v>316</v>
      </c>
      <c r="U2214" t="s">
        <v>7396</v>
      </c>
      <c r="V2214">
        <v>33</v>
      </c>
      <c r="W2214" t="str">
        <f>HYPERLINK("Gene1176-zp_tree_all.dnd", "Gene1176-tree")</f>
        <v>Gene1176-tree</v>
      </c>
      <c r="X2214">
        <v>26</v>
      </c>
      <c r="Y2214">
        <v>1</v>
      </c>
      <c r="Z2214">
        <v>3</v>
      </c>
      <c r="AA2214">
        <v>1</v>
      </c>
      <c r="AB2214">
        <v>0.25</v>
      </c>
      <c r="AC2214" t="s">
        <v>7285</v>
      </c>
      <c r="AD2214" t="s">
        <v>175</v>
      </c>
      <c r="AE2214" t="s">
        <v>62</v>
      </c>
      <c r="AF2214" t="s">
        <v>62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3</v>
      </c>
      <c r="AV2214">
        <v>1</v>
      </c>
      <c r="AW2214">
        <v>5</v>
      </c>
      <c r="AX2214">
        <v>1</v>
      </c>
      <c r="AY2214">
        <v>1</v>
      </c>
      <c r="AZ2214">
        <v>0</v>
      </c>
      <c r="BA2214" t="s">
        <v>7397</v>
      </c>
      <c r="BB2214" t="s">
        <v>193</v>
      </c>
      <c r="BC2214">
        <v>0.83199999999999996</v>
      </c>
      <c r="BD2214" t="s">
        <v>65</v>
      </c>
      <c r="BE2214">
        <v>6</v>
      </c>
      <c r="BF2214">
        <v>1</v>
      </c>
      <c r="BG2214" t="s">
        <v>7398</v>
      </c>
      <c r="BH2214" t="s">
        <v>7399</v>
      </c>
      <c r="BI2214" t="s">
        <v>7400</v>
      </c>
      <c r="BJ2214">
        <v>4.9820000000000003E-2</v>
      </c>
      <c r="BK2214">
        <v>1</v>
      </c>
      <c r="BL2214" t="s">
        <v>69</v>
      </c>
      <c r="BM2214">
        <v>-0.47799999999999998</v>
      </c>
      <c r="BN2214">
        <v>-1.583</v>
      </c>
    </row>
    <row r="2215" spans="2:66">
      <c r="B2215">
        <v>3856</v>
      </c>
      <c r="C2215">
        <v>181</v>
      </c>
      <c r="D2215">
        <v>0</v>
      </c>
      <c r="E2215">
        <v>13</v>
      </c>
      <c r="F2215">
        <v>2</v>
      </c>
      <c r="J2215">
        <v>0</v>
      </c>
      <c r="K2215">
        <v>0</v>
      </c>
      <c r="L2215">
        <v>0</v>
      </c>
      <c r="M2215" t="s">
        <v>25022</v>
      </c>
      <c r="N2215">
        <v>1177</v>
      </c>
      <c r="O2215" t="s">
        <v>7401</v>
      </c>
      <c r="P2215" t="s">
        <v>57</v>
      </c>
      <c r="Q2215">
        <v>1216210</v>
      </c>
      <c r="R2215">
        <v>1217118</v>
      </c>
      <c r="S2215" t="s">
        <v>7395</v>
      </c>
      <c r="T2215">
        <v>303</v>
      </c>
      <c r="U2215" t="s">
        <v>7402</v>
      </c>
      <c r="V2215">
        <v>38</v>
      </c>
      <c r="W2215" t="str">
        <f>HYPERLINK("Gene1177-zp_tree_all.dnd", "Gene1177-tree")</f>
        <v>Gene1177-tree</v>
      </c>
      <c r="X2215">
        <v>6</v>
      </c>
      <c r="Y2215">
        <v>3</v>
      </c>
      <c r="Z2215">
        <v>6</v>
      </c>
      <c r="AA2215">
        <v>3</v>
      </c>
      <c r="AB2215">
        <v>0.33333000000000002</v>
      </c>
      <c r="AC2215" t="s">
        <v>90</v>
      </c>
      <c r="AD2215" t="s">
        <v>324</v>
      </c>
      <c r="AE2215" t="s">
        <v>62</v>
      </c>
      <c r="AF2215" t="s">
        <v>62</v>
      </c>
      <c r="AG2215">
        <v>0</v>
      </c>
      <c r="AH2215">
        <v>0</v>
      </c>
      <c r="AI2215">
        <v>4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4</v>
      </c>
      <c r="AT2215">
        <v>0</v>
      </c>
      <c r="AU2215">
        <v>7</v>
      </c>
      <c r="AV2215">
        <v>4</v>
      </c>
      <c r="AW2215">
        <v>10</v>
      </c>
      <c r="AX2215">
        <v>4</v>
      </c>
      <c r="AY2215">
        <v>4</v>
      </c>
      <c r="AZ2215">
        <v>0</v>
      </c>
      <c r="BA2215" t="s">
        <v>7403</v>
      </c>
      <c r="BB2215" t="s">
        <v>193</v>
      </c>
      <c r="BC2215">
        <v>1.304</v>
      </c>
      <c r="BD2215" t="s">
        <v>65</v>
      </c>
      <c r="BE2215">
        <v>14</v>
      </c>
      <c r="BF2215">
        <v>4</v>
      </c>
      <c r="BG2215" t="s">
        <v>7404</v>
      </c>
      <c r="BH2215" t="s">
        <v>7405</v>
      </c>
      <c r="BI2215" t="s">
        <v>7406</v>
      </c>
      <c r="BJ2215">
        <v>7.3749999999999996E-2</v>
      </c>
      <c r="BK2215">
        <v>1</v>
      </c>
      <c r="BL2215" t="s">
        <v>69</v>
      </c>
      <c r="BM2215">
        <v>-0.55600000000000005</v>
      </c>
      <c r="BN2215">
        <v>-1.097</v>
      </c>
    </row>
    <row r="2216" spans="2:66">
      <c r="B2216">
        <v>3857</v>
      </c>
      <c r="C2216">
        <v>80</v>
      </c>
      <c r="D2216">
        <v>0</v>
      </c>
      <c r="E2216">
        <v>0</v>
      </c>
      <c r="F2216">
        <v>2</v>
      </c>
      <c r="J2216">
        <v>0</v>
      </c>
      <c r="K2216">
        <v>0</v>
      </c>
      <c r="L2216">
        <v>0</v>
      </c>
      <c r="M2216" t="s">
        <v>25022</v>
      </c>
      <c r="N2216">
        <v>1178</v>
      </c>
      <c r="O2216" t="s">
        <v>7407</v>
      </c>
      <c r="P2216" t="s">
        <v>57</v>
      </c>
      <c r="Q2216">
        <v>1217326</v>
      </c>
      <c r="R2216">
        <v>1218075</v>
      </c>
      <c r="S2216" t="s">
        <v>7408</v>
      </c>
      <c r="T2216">
        <v>250</v>
      </c>
      <c r="U2216" t="s">
        <v>59</v>
      </c>
      <c r="V2216">
        <v>49</v>
      </c>
      <c r="W2216" t="str">
        <f>HYPERLINK("Gene1178-zp_tree_all.dnd", "Gene1178-tree")</f>
        <v>Gene1178-tree</v>
      </c>
      <c r="X2216">
        <v>11</v>
      </c>
      <c r="Y2216">
        <v>6</v>
      </c>
      <c r="Z2216">
        <v>11</v>
      </c>
      <c r="AA2216">
        <v>6</v>
      </c>
      <c r="AB2216">
        <v>0.35293999999999998</v>
      </c>
      <c r="AC2216" t="s">
        <v>73</v>
      </c>
      <c r="AD2216" t="s">
        <v>90</v>
      </c>
      <c r="AE2216" t="s">
        <v>62</v>
      </c>
      <c r="AF2216" t="s">
        <v>62</v>
      </c>
      <c r="AG2216">
        <v>0</v>
      </c>
      <c r="AH2216">
        <v>0</v>
      </c>
      <c r="AI2216">
        <v>9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9</v>
      </c>
      <c r="AT2216">
        <v>0</v>
      </c>
      <c r="AU2216">
        <v>13</v>
      </c>
      <c r="AV2216">
        <v>14</v>
      </c>
      <c r="AW2216">
        <v>32</v>
      </c>
      <c r="AX2216">
        <v>9</v>
      </c>
      <c r="AY2216">
        <v>52</v>
      </c>
      <c r="AZ2216">
        <v>1</v>
      </c>
      <c r="BA2216" t="s">
        <v>7409</v>
      </c>
      <c r="BB2216" t="s">
        <v>7410</v>
      </c>
      <c r="BC2216">
        <v>1.0269999999999999</v>
      </c>
      <c r="BD2216" t="s">
        <v>65</v>
      </c>
      <c r="BE2216">
        <v>84</v>
      </c>
      <c r="BF2216">
        <v>10</v>
      </c>
      <c r="BG2216" t="s">
        <v>7411</v>
      </c>
      <c r="BH2216" t="s">
        <v>7412</v>
      </c>
      <c r="BI2216" t="s">
        <v>650</v>
      </c>
      <c r="BJ2216">
        <v>1.703E-2</v>
      </c>
      <c r="BK2216">
        <v>1</v>
      </c>
      <c r="BL2216" t="s">
        <v>69</v>
      </c>
      <c r="BM2216">
        <v>-0.73</v>
      </c>
      <c r="BN2216">
        <v>-0.54300000000000004</v>
      </c>
    </row>
    <row r="2217" spans="2:66">
      <c r="B2217">
        <v>3859</v>
      </c>
      <c r="C2217">
        <v>225</v>
      </c>
      <c r="D2217">
        <v>0</v>
      </c>
      <c r="E2217">
        <v>23</v>
      </c>
      <c r="F2217">
        <v>1</v>
      </c>
      <c r="J2217">
        <v>0</v>
      </c>
      <c r="K2217">
        <v>0</v>
      </c>
      <c r="L2217">
        <v>0</v>
      </c>
      <c r="M2217" t="s">
        <v>25022</v>
      </c>
      <c r="N2217">
        <v>1180</v>
      </c>
      <c r="O2217" t="s">
        <v>7420</v>
      </c>
      <c r="P2217" t="s">
        <v>57</v>
      </c>
      <c r="Q2217">
        <v>1219849</v>
      </c>
      <c r="R2217">
        <v>1221483</v>
      </c>
      <c r="S2217" t="s">
        <v>7421</v>
      </c>
      <c r="T2217">
        <v>545</v>
      </c>
      <c r="U2217" t="s">
        <v>7422</v>
      </c>
      <c r="V2217">
        <v>42</v>
      </c>
      <c r="W2217" t="str">
        <f>HYPERLINK("Gene1180-zp_tree_all.dnd", "Gene1180-tree")</f>
        <v>Gene1180-tree</v>
      </c>
      <c r="X2217">
        <v>29</v>
      </c>
      <c r="Y2217">
        <v>4</v>
      </c>
      <c r="Z2217">
        <v>8</v>
      </c>
      <c r="AA2217">
        <v>4</v>
      </c>
      <c r="AB2217">
        <v>0.33333000000000002</v>
      </c>
      <c r="AC2217" t="s">
        <v>4745</v>
      </c>
      <c r="AD2217" t="s">
        <v>61</v>
      </c>
      <c r="AE2217" t="s">
        <v>62</v>
      </c>
      <c r="AF2217" t="s">
        <v>62</v>
      </c>
      <c r="AG2217">
        <v>0</v>
      </c>
      <c r="AH2217">
        <v>0</v>
      </c>
      <c r="AI2217">
        <v>6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5</v>
      </c>
      <c r="AT2217">
        <v>0</v>
      </c>
      <c r="AU2217">
        <v>9</v>
      </c>
      <c r="AV2217">
        <v>8</v>
      </c>
      <c r="AW2217">
        <v>27</v>
      </c>
      <c r="AX2217">
        <v>5</v>
      </c>
      <c r="AY2217">
        <v>21</v>
      </c>
      <c r="AZ2217">
        <v>1</v>
      </c>
      <c r="BA2217" t="s">
        <v>7423</v>
      </c>
      <c r="BB2217" t="s">
        <v>7424</v>
      </c>
      <c r="BC2217">
        <v>0.8</v>
      </c>
      <c r="BD2217" t="s">
        <v>65</v>
      </c>
      <c r="BE2217">
        <v>48</v>
      </c>
      <c r="BF2217">
        <v>6</v>
      </c>
      <c r="BG2217" t="s">
        <v>7425</v>
      </c>
      <c r="BH2217" t="s">
        <v>7426</v>
      </c>
      <c r="BI2217" t="s">
        <v>7427</v>
      </c>
      <c r="BJ2217">
        <v>2.5899999999999999E-2</v>
      </c>
      <c r="BK2217">
        <v>1</v>
      </c>
      <c r="BL2217" t="s">
        <v>69</v>
      </c>
      <c r="BM2217">
        <v>-7.0000000000000007E-2</v>
      </c>
      <c r="BN2217">
        <v>-0.755</v>
      </c>
    </row>
    <row r="2218" spans="2:66">
      <c r="B2218">
        <v>3860</v>
      </c>
      <c r="C2218">
        <v>270</v>
      </c>
      <c r="D2218">
        <v>0</v>
      </c>
      <c r="E2218">
        <v>6</v>
      </c>
      <c r="F2218">
        <v>2</v>
      </c>
      <c r="J2218">
        <v>0</v>
      </c>
      <c r="K2218">
        <v>4</v>
      </c>
      <c r="L2218">
        <v>0</v>
      </c>
      <c r="M2218" t="s">
        <v>25022</v>
      </c>
      <c r="N2218">
        <v>1181</v>
      </c>
      <c r="O2218" t="s">
        <v>7428</v>
      </c>
      <c r="P2218" t="s">
        <v>57</v>
      </c>
      <c r="Q2218">
        <v>1221594</v>
      </c>
      <c r="R2218">
        <v>1222526</v>
      </c>
      <c r="S2218" t="s">
        <v>7395</v>
      </c>
      <c r="T2218">
        <v>311</v>
      </c>
      <c r="U2218" t="s">
        <v>7429</v>
      </c>
      <c r="V2218">
        <v>45</v>
      </c>
      <c r="W2218" t="str">
        <f>HYPERLINK("Gene1181-zp_tree_all.dnd", "Gene1181-tree")</f>
        <v>Gene1181-tree</v>
      </c>
      <c r="X2218">
        <v>16</v>
      </c>
      <c r="Y2218">
        <v>1</v>
      </c>
      <c r="Z2218">
        <v>16</v>
      </c>
      <c r="AA2218">
        <v>1</v>
      </c>
      <c r="AB2218">
        <v>5.8819999999999997E-2</v>
      </c>
      <c r="AC2218" t="s">
        <v>60</v>
      </c>
      <c r="AD2218" t="s">
        <v>175</v>
      </c>
      <c r="AE2218" t="s">
        <v>62</v>
      </c>
      <c r="AF2218" t="s">
        <v>62</v>
      </c>
      <c r="AG2218">
        <v>2</v>
      </c>
      <c r="AH2218">
        <v>4</v>
      </c>
      <c r="AI2218">
        <v>4</v>
      </c>
      <c r="AJ2218">
        <v>0.5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0</v>
      </c>
      <c r="AU2218">
        <v>15</v>
      </c>
      <c r="AV2218">
        <v>11</v>
      </c>
      <c r="AW2218">
        <v>41</v>
      </c>
      <c r="AX2218">
        <v>1</v>
      </c>
      <c r="AY2218">
        <v>66</v>
      </c>
      <c r="AZ2218">
        <v>8</v>
      </c>
      <c r="BA2218" t="s">
        <v>7430</v>
      </c>
      <c r="BB2218" t="s">
        <v>7431</v>
      </c>
      <c r="BC2218">
        <v>0.64</v>
      </c>
      <c r="BD2218" t="s">
        <v>65</v>
      </c>
      <c r="BE2218">
        <v>107</v>
      </c>
      <c r="BF2218">
        <v>9</v>
      </c>
      <c r="BG2218" t="s">
        <v>7432</v>
      </c>
      <c r="BH2218" t="s">
        <v>7433</v>
      </c>
      <c r="BI2218" t="s">
        <v>7434</v>
      </c>
      <c r="BJ2218">
        <v>2.947E-2</v>
      </c>
      <c r="BK2218">
        <v>1</v>
      </c>
      <c r="BL2218" t="s">
        <v>69</v>
      </c>
      <c r="BM2218">
        <v>-0.23400000000000001</v>
      </c>
      <c r="BN2218">
        <v>0.254</v>
      </c>
    </row>
    <row r="2219" spans="2:66">
      <c r="B2219">
        <v>3861</v>
      </c>
      <c r="C2219">
        <v>40</v>
      </c>
      <c r="D2219">
        <v>0</v>
      </c>
      <c r="E2219">
        <v>5</v>
      </c>
      <c r="F2219">
        <v>1</v>
      </c>
      <c r="J2219">
        <v>0</v>
      </c>
      <c r="K2219">
        <v>0</v>
      </c>
      <c r="L2219">
        <v>0</v>
      </c>
      <c r="M2219" t="s">
        <v>25022</v>
      </c>
      <c r="N2219">
        <v>1182</v>
      </c>
      <c r="O2219" t="s">
        <v>7435</v>
      </c>
      <c r="P2219" t="s">
        <v>57</v>
      </c>
      <c r="Q2219">
        <v>1222533</v>
      </c>
      <c r="R2219">
        <v>1223447</v>
      </c>
      <c r="S2219" t="s">
        <v>7395</v>
      </c>
      <c r="T2219">
        <v>305</v>
      </c>
      <c r="U2219" t="s">
        <v>7436</v>
      </c>
      <c r="V2219">
        <v>46</v>
      </c>
      <c r="W2219" t="str">
        <f>HYPERLINK("Gene1182-zp_tree_all.dnd", "Gene1182-tree")</f>
        <v>Gene1182-tree</v>
      </c>
      <c r="X2219">
        <v>16</v>
      </c>
      <c r="Y2219">
        <v>4</v>
      </c>
      <c r="Z2219">
        <v>16</v>
      </c>
      <c r="AA2219">
        <v>4</v>
      </c>
      <c r="AB2219">
        <v>0.2</v>
      </c>
      <c r="AC2219" t="s">
        <v>60</v>
      </c>
      <c r="AD2219" t="s">
        <v>61</v>
      </c>
      <c r="AE2219" t="s">
        <v>62</v>
      </c>
      <c r="AF2219" t="s">
        <v>62</v>
      </c>
      <c r="AG2219">
        <v>0</v>
      </c>
      <c r="AH2219">
        <v>0</v>
      </c>
      <c r="AI2219">
        <v>7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5</v>
      </c>
      <c r="AT2219">
        <v>0</v>
      </c>
      <c r="AU2219">
        <v>15</v>
      </c>
      <c r="AV2219">
        <v>16</v>
      </c>
      <c r="AW2219">
        <v>56</v>
      </c>
      <c r="AX2219">
        <v>5</v>
      </c>
      <c r="AY2219">
        <v>68</v>
      </c>
      <c r="AZ2219">
        <v>2</v>
      </c>
      <c r="BA2219" t="s">
        <v>7437</v>
      </c>
      <c r="BB2219" t="s">
        <v>7438</v>
      </c>
      <c r="BC2219">
        <v>0.58299999999999996</v>
      </c>
      <c r="BD2219" t="s">
        <v>65</v>
      </c>
      <c r="BE2219">
        <v>124</v>
      </c>
      <c r="BF2219">
        <v>7</v>
      </c>
      <c r="BG2219" t="s">
        <v>7439</v>
      </c>
      <c r="BH2219" t="s">
        <v>7440</v>
      </c>
      <c r="BI2219" t="s">
        <v>7441</v>
      </c>
      <c r="BJ2219">
        <v>1.4579999999999999E-2</v>
      </c>
      <c r="BK2219">
        <v>1</v>
      </c>
      <c r="BL2219" t="s">
        <v>69</v>
      </c>
      <c r="BM2219">
        <v>-1.24</v>
      </c>
      <c r="BN2219">
        <v>-1.024</v>
      </c>
    </row>
    <row r="2220" spans="2:66">
      <c r="B2220">
        <v>3862</v>
      </c>
      <c r="C2220">
        <v>15</v>
      </c>
      <c r="D2220">
        <v>0</v>
      </c>
      <c r="E2220">
        <v>6</v>
      </c>
      <c r="F2220">
        <v>1</v>
      </c>
      <c r="J2220">
        <v>0</v>
      </c>
      <c r="K2220">
        <v>6</v>
      </c>
      <c r="L2220">
        <v>2</v>
      </c>
      <c r="M2220" t="s">
        <v>25022</v>
      </c>
      <c r="N2220">
        <v>1183</v>
      </c>
      <c r="O2220" t="s">
        <v>7442</v>
      </c>
      <c r="P2220" t="s">
        <v>57</v>
      </c>
      <c r="Q2220">
        <v>1223455</v>
      </c>
      <c r="R2220">
        <v>1224528</v>
      </c>
      <c r="S2220" t="s">
        <v>7382</v>
      </c>
      <c r="T2220">
        <v>358</v>
      </c>
      <c r="U2220" t="s">
        <v>7443</v>
      </c>
      <c r="V2220">
        <v>44</v>
      </c>
      <c r="W2220" t="str">
        <f>HYPERLINK("Gene1183-zp_tree_all.dnd", "Gene1183-tree")</f>
        <v>Gene1183-tree</v>
      </c>
      <c r="X2220">
        <v>10</v>
      </c>
      <c r="Y2220">
        <v>11</v>
      </c>
      <c r="Z2220">
        <v>10</v>
      </c>
      <c r="AA2220">
        <v>8</v>
      </c>
      <c r="AB2220">
        <v>0.44444</v>
      </c>
      <c r="AC2220" t="s">
        <v>117</v>
      </c>
      <c r="AD2220" t="s">
        <v>7444</v>
      </c>
      <c r="AE2220">
        <v>1.139</v>
      </c>
      <c r="AF2220" t="s">
        <v>65</v>
      </c>
      <c r="AG2220">
        <v>3</v>
      </c>
      <c r="AH2220">
        <v>8</v>
      </c>
      <c r="AI2220">
        <v>7</v>
      </c>
      <c r="AJ2220">
        <v>0.53332999999999997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</v>
      </c>
      <c r="AQ2220">
        <v>2</v>
      </c>
      <c r="AR2220">
        <v>4</v>
      </c>
      <c r="AS2220">
        <v>7</v>
      </c>
      <c r="AT2220">
        <v>0.36364000000000002</v>
      </c>
      <c r="AU2220">
        <v>15</v>
      </c>
      <c r="AV2220">
        <v>13</v>
      </c>
      <c r="AW2220">
        <v>58</v>
      </c>
      <c r="AX2220">
        <v>10</v>
      </c>
      <c r="AY2220">
        <v>83</v>
      </c>
      <c r="AZ2220">
        <v>5</v>
      </c>
      <c r="BA2220" t="s">
        <v>7445</v>
      </c>
      <c r="BB2220" t="s">
        <v>7446</v>
      </c>
      <c r="BC2220">
        <v>0.69799999999999995</v>
      </c>
      <c r="BD2220" t="s">
        <v>65</v>
      </c>
      <c r="BE2220">
        <v>141</v>
      </c>
      <c r="BF2220">
        <v>15</v>
      </c>
      <c r="BG2220" t="s">
        <v>7447</v>
      </c>
      <c r="BH2220" t="s">
        <v>7448</v>
      </c>
      <c r="BI2220" t="s">
        <v>7449</v>
      </c>
      <c r="BJ2220">
        <v>2.555E-2</v>
      </c>
      <c r="BK2220">
        <v>1</v>
      </c>
      <c r="BL2220" t="s">
        <v>69</v>
      </c>
      <c r="BM2220">
        <v>-0.59799999999999998</v>
      </c>
      <c r="BN2220">
        <v>-0.49299999999999999</v>
      </c>
    </row>
    <row r="2221" spans="2:66">
      <c r="B2221">
        <v>3863</v>
      </c>
      <c r="C2221">
        <v>371</v>
      </c>
      <c r="D2221">
        <v>0</v>
      </c>
      <c r="E2221">
        <v>9</v>
      </c>
      <c r="F2221">
        <v>0</v>
      </c>
      <c r="J2221">
        <v>0</v>
      </c>
      <c r="K2221">
        <v>2</v>
      </c>
      <c r="L2221">
        <v>0</v>
      </c>
      <c r="M2221" t="s">
        <v>25022</v>
      </c>
      <c r="N2221">
        <v>1184</v>
      </c>
      <c r="O2221" t="s">
        <v>7450</v>
      </c>
      <c r="P2221" t="s">
        <v>57</v>
      </c>
      <c r="Q2221">
        <v>1224533</v>
      </c>
      <c r="R2221">
        <v>1225447</v>
      </c>
      <c r="S2221" t="s">
        <v>7382</v>
      </c>
      <c r="T2221">
        <v>305</v>
      </c>
      <c r="U2221" t="s">
        <v>7451</v>
      </c>
      <c r="V2221">
        <v>43</v>
      </c>
      <c r="W2221" t="str">
        <f>HYPERLINK("Gene1184-zp_tree_all.dnd", "Gene1184-tree")</f>
        <v>Gene1184-tree</v>
      </c>
      <c r="X2221">
        <v>10</v>
      </c>
      <c r="Y2221">
        <v>3</v>
      </c>
      <c r="Z2221">
        <v>10</v>
      </c>
      <c r="AA2221">
        <v>3</v>
      </c>
      <c r="AB2221">
        <v>0.23077</v>
      </c>
      <c r="AC2221" t="s">
        <v>117</v>
      </c>
      <c r="AD2221" t="s">
        <v>324</v>
      </c>
      <c r="AE2221" t="s">
        <v>62</v>
      </c>
      <c r="AF2221" t="s">
        <v>62</v>
      </c>
      <c r="AG2221">
        <v>1</v>
      </c>
      <c r="AH2221">
        <v>2</v>
      </c>
      <c r="AI2221">
        <v>5</v>
      </c>
      <c r="AJ2221">
        <v>0.28571000000000002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3</v>
      </c>
      <c r="AT2221">
        <v>0</v>
      </c>
      <c r="AU2221">
        <v>11</v>
      </c>
      <c r="AV2221">
        <v>9</v>
      </c>
      <c r="AW2221">
        <v>51</v>
      </c>
      <c r="AX2221">
        <v>3</v>
      </c>
      <c r="AY2221">
        <v>50</v>
      </c>
      <c r="AZ2221">
        <v>4</v>
      </c>
      <c r="BA2221" t="s">
        <v>7452</v>
      </c>
      <c r="BB2221" t="s">
        <v>7453</v>
      </c>
      <c r="BC2221">
        <v>7.5999999999999998E-2</v>
      </c>
      <c r="BD2221" t="s">
        <v>65</v>
      </c>
      <c r="BE2221">
        <v>101</v>
      </c>
      <c r="BF2221">
        <v>7</v>
      </c>
      <c r="BG2221" t="s">
        <v>7454</v>
      </c>
      <c r="BH2221" t="s">
        <v>7455</v>
      </c>
      <c r="BI2221" t="s">
        <v>7456</v>
      </c>
      <c r="BJ2221">
        <v>2.027E-2</v>
      </c>
      <c r="BK2221">
        <v>1</v>
      </c>
      <c r="BL2221" t="s">
        <v>69</v>
      </c>
      <c r="BM2221">
        <v>-0.91</v>
      </c>
      <c r="BN2221">
        <v>-0.41799999999999998</v>
      </c>
    </row>
    <row r="2222" spans="2:66">
      <c r="B2222">
        <v>3864</v>
      </c>
      <c r="C2222">
        <v>6</v>
      </c>
      <c r="D2222">
        <v>0</v>
      </c>
      <c r="E2222">
        <v>18</v>
      </c>
      <c r="F2222">
        <v>4</v>
      </c>
      <c r="J2222">
        <v>0</v>
      </c>
      <c r="K2222">
        <v>6</v>
      </c>
      <c r="L2222">
        <v>0</v>
      </c>
      <c r="M2222" t="s">
        <v>25022</v>
      </c>
      <c r="N2222">
        <v>1185</v>
      </c>
      <c r="O2222" t="s">
        <v>7457</v>
      </c>
      <c r="P2222" t="s">
        <v>57</v>
      </c>
      <c r="Q2222">
        <v>1225557</v>
      </c>
      <c r="R2222">
        <v>1226771</v>
      </c>
      <c r="S2222" t="s">
        <v>470</v>
      </c>
      <c r="T2222">
        <v>405</v>
      </c>
      <c r="U2222" t="s">
        <v>108</v>
      </c>
      <c r="V2222">
        <v>44</v>
      </c>
      <c r="W2222" t="str">
        <f>HYPERLINK("Gene1185-zp_tree_all.dnd", "Gene1185-tree")</f>
        <v>Gene1185-tree</v>
      </c>
      <c r="X2222">
        <v>5</v>
      </c>
      <c r="Y2222">
        <v>10</v>
      </c>
      <c r="Z2222">
        <v>5</v>
      </c>
      <c r="AA2222">
        <v>10</v>
      </c>
      <c r="AB2222">
        <v>0.66666999999999998</v>
      </c>
      <c r="AC2222" t="s">
        <v>199</v>
      </c>
      <c r="AD2222" t="s">
        <v>117</v>
      </c>
      <c r="AE2222" t="s">
        <v>62</v>
      </c>
      <c r="AF2222" t="s">
        <v>62</v>
      </c>
      <c r="AG2222">
        <v>3</v>
      </c>
      <c r="AH2222">
        <v>6</v>
      </c>
      <c r="AI2222">
        <v>26</v>
      </c>
      <c r="AJ2222">
        <v>0.1875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0</v>
      </c>
      <c r="AR2222">
        <v>2</v>
      </c>
      <c r="AS2222">
        <v>20</v>
      </c>
      <c r="AT2222">
        <v>9.0910000000000005E-2</v>
      </c>
      <c r="AU2222">
        <v>11</v>
      </c>
      <c r="AV2222">
        <v>11</v>
      </c>
      <c r="AW2222">
        <v>23</v>
      </c>
      <c r="AX2222">
        <v>21</v>
      </c>
      <c r="AY2222">
        <v>24</v>
      </c>
      <c r="AZ2222">
        <v>11</v>
      </c>
      <c r="BA2222" t="s">
        <v>7458</v>
      </c>
      <c r="BB2222" t="s">
        <v>7459</v>
      </c>
      <c r="BC2222">
        <v>1.022</v>
      </c>
      <c r="BD2222" t="s">
        <v>65</v>
      </c>
      <c r="BE2222">
        <v>47</v>
      </c>
      <c r="BF2222">
        <v>32</v>
      </c>
      <c r="BG2222" t="s">
        <v>7460</v>
      </c>
      <c r="BH2222" t="s">
        <v>7461</v>
      </c>
      <c r="BI2222" t="s">
        <v>7462</v>
      </c>
      <c r="BJ2222">
        <v>0.2276</v>
      </c>
      <c r="BK2222">
        <v>1</v>
      </c>
      <c r="BL2222" t="s">
        <v>69</v>
      </c>
      <c r="BM2222">
        <v>-0.95</v>
      </c>
      <c r="BN2222">
        <v>-2.5659999999999998</v>
      </c>
    </row>
    <row r="2223" spans="2:66">
      <c r="B2223">
        <v>3866</v>
      </c>
      <c r="C2223">
        <v>24</v>
      </c>
      <c r="D2223">
        <v>0</v>
      </c>
      <c r="E2223">
        <v>10</v>
      </c>
      <c r="F2223">
        <v>0</v>
      </c>
      <c r="J2223">
        <v>0</v>
      </c>
      <c r="K2223">
        <v>0</v>
      </c>
      <c r="L2223">
        <v>0</v>
      </c>
      <c r="M2223" t="s">
        <v>25022</v>
      </c>
      <c r="N2223">
        <v>1186</v>
      </c>
      <c r="O2223" t="s">
        <v>7463</v>
      </c>
      <c r="P2223" t="s">
        <v>57</v>
      </c>
      <c r="Q2223">
        <v>1226938</v>
      </c>
      <c r="R2223">
        <v>1227513</v>
      </c>
      <c r="S2223" t="s">
        <v>7464</v>
      </c>
      <c r="T2223">
        <v>192</v>
      </c>
      <c r="U2223" t="s">
        <v>59</v>
      </c>
      <c r="V2223">
        <v>49</v>
      </c>
      <c r="W2223" t="str">
        <f>HYPERLINK("Gene1186-zp_tree_all.dnd", "Gene1186-tree")</f>
        <v>Gene1186-tree</v>
      </c>
      <c r="X2223">
        <v>14</v>
      </c>
      <c r="Y2223">
        <v>1</v>
      </c>
      <c r="Z2223">
        <v>14</v>
      </c>
      <c r="AA2223">
        <v>1</v>
      </c>
      <c r="AB2223">
        <v>6.6669999999999993E-2</v>
      </c>
      <c r="AC2223" t="s">
        <v>543</v>
      </c>
      <c r="AD2223" t="s">
        <v>175</v>
      </c>
      <c r="AE2223" t="s">
        <v>62</v>
      </c>
      <c r="AF2223" t="s">
        <v>62</v>
      </c>
      <c r="AG2223">
        <v>0</v>
      </c>
      <c r="AH2223">
        <v>0</v>
      </c>
      <c r="AI2223">
        <v>4</v>
      </c>
      <c r="AJ2223">
        <v>0</v>
      </c>
      <c r="AK2223">
        <v>0</v>
      </c>
      <c r="AL2223">
        <v>0</v>
      </c>
      <c r="AM2223">
        <v>0</v>
      </c>
      <c r="AN2223">
        <v>2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11</v>
      </c>
      <c r="AV2223">
        <v>7</v>
      </c>
      <c r="AW2223">
        <v>12</v>
      </c>
      <c r="AX2223">
        <v>1</v>
      </c>
      <c r="AY2223">
        <v>24</v>
      </c>
      <c r="AZ2223">
        <v>3</v>
      </c>
      <c r="BA2223" t="s">
        <v>7465</v>
      </c>
      <c r="BB2223" t="s">
        <v>7466</v>
      </c>
      <c r="BC2223">
        <v>0.127</v>
      </c>
      <c r="BD2223" t="s">
        <v>65</v>
      </c>
      <c r="BE2223">
        <v>36</v>
      </c>
      <c r="BF2223">
        <v>4</v>
      </c>
      <c r="BG2223" t="s">
        <v>7467</v>
      </c>
      <c r="BH2223" t="s">
        <v>7468</v>
      </c>
      <c r="BI2223" t="s">
        <v>7469</v>
      </c>
      <c r="BJ2223">
        <v>2.2970000000000001E-2</v>
      </c>
      <c r="BK2223">
        <v>1</v>
      </c>
      <c r="BL2223" t="s">
        <v>69</v>
      </c>
      <c r="BM2223">
        <v>-0.435</v>
      </c>
      <c r="BN2223">
        <v>-0.109</v>
      </c>
    </row>
    <row r="2224" spans="2:66">
      <c r="B2224">
        <v>3867</v>
      </c>
      <c r="C2224">
        <v>19</v>
      </c>
      <c r="D2224">
        <v>0</v>
      </c>
      <c r="E2224">
        <v>4</v>
      </c>
      <c r="F2224">
        <v>0</v>
      </c>
      <c r="J2224">
        <v>0</v>
      </c>
      <c r="K2224">
        <v>3</v>
      </c>
      <c r="L2224">
        <v>0</v>
      </c>
      <c r="M2224" t="s">
        <v>25022</v>
      </c>
      <c r="N2224">
        <v>1187</v>
      </c>
      <c r="O2224" t="s">
        <v>7470</v>
      </c>
      <c r="P2224" t="s">
        <v>57</v>
      </c>
      <c r="Q2224">
        <v>1227697</v>
      </c>
      <c r="R2224">
        <v>1228089</v>
      </c>
      <c r="S2224" t="s">
        <v>7471</v>
      </c>
      <c r="T2224">
        <v>131</v>
      </c>
      <c r="U2224" t="s">
        <v>59</v>
      </c>
      <c r="V2224">
        <v>49</v>
      </c>
      <c r="W2224" t="str">
        <f>HYPERLINK("Gene1187-zp_tree_all.dnd", "Gene1187-tree")</f>
        <v>Gene1187-tree</v>
      </c>
      <c r="X2224">
        <v>11</v>
      </c>
      <c r="Y2224">
        <v>2</v>
      </c>
      <c r="Z2224">
        <v>11</v>
      </c>
      <c r="AA2224">
        <v>2</v>
      </c>
      <c r="AB2224">
        <v>0.15384999999999999</v>
      </c>
      <c r="AC2224" t="s">
        <v>73</v>
      </c>
      <c r="AD2224" t="s">
        <v>81</v>
      </c>
      <c r="AE2224" t="s">
        <v>62</v>
      </c>
      <c r="AF2224" t="s">
        <v>62</v>
      </c>
      <c r="AG2224">
        <v>1</v>
      </c>
      <c r="AH2224">
        <v>3</v>
      </c>
      <c r="AI2224">
        <v>2</v>
      </c>
      <c r="AJ2224">
        <v>0.6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>
        <v>0</v>
      </c>
      <c r="AU2224">
        <v>9</v>
      </c>
      <c r="AV2224">
        <v>5</v>
      </c>
      <c r="AW2224">
        <v>17</v>
      </c>
      <c r="AX2224">
        <v>1</v>
      </c>
      <c r="AY2224">
        <v>12</v>
      </c>
      <c r="AZ2224">
        <v>4</v>
      </c>
      <c r="BA2224" t="s">
        <v>7472</v>
      </c>
      <c r="BB2224" t="s">
        <v>7473</v>
      </c>
      <c r="BC2224">
        <v>1.476</v>
      </c>
      <c r="BD2224" t="s">
        <v>65</v>
      </c>
      <c r="BE2224">
        <v>29</v>
      </c>
      <c r="BF2224">
        <v>5</v>
      </c>
      <c r="BG2224" t="s">
        <v>7474</v>
      </c>
      <c r="BH2224" t="s">
        <v>7475</v>
      </c>
      <c r="BI2224" t="s">
        <v>7476</v>
      </c>
      <c r="BJ2224">
        <v>3.669E-2</v>
      </c>
      <c r="BK2224">
        <v>1</v>
      </c>
      <c r="BL2224" t="s">
        <v>69</v>
      </c>
      <c r="BM2224">
        <v>-1.044</v>
      </c>
      <c r="BN2224">
        <v>-1.292</v>
      </c>
    </row>
    <row r="2225" spans="2:66">
      <c r="B2225">
        <v>3868</v>
      </c>
      <c r="C2225">
        <v>167</v>
      </c>
      <c r="D2225">
        <v>0</v>
      </c>
      <c r="E2225">
        <v>5</v>
      </c>
      <c r="F2225">
        <v>0</v>
      </c>
      <c r="J2225">
        <v>0</v>
      </c>
      <c r="K2225">
        <v>2</v>
      </c>
      <c r="L2225">
        <v>0</v>
      </c>
      <c r="M2225" t="s">
        <v>25022</v>
      </c>
      <c r="N2225">
        <v>1191</v>
      </c>
      <c r="O2225" t="s">
        <v>7490</v>
      </c>
      <c r="P2225" t="s">
        <v>57</v>
      </c>
      <c r="Q2225">
        <v>1231083</v>
      </c>
      <c r="R2225">
        <v>1233092</v>
      </c>
      <c r="S2225" t="s">
        <v>7491</v>
      </c>
      <c r="T2225">
        <v>670</v>
      </c>
      <c r="U2225" t="s">
        <v>265</v>
      </c>
      <c r="V2225">
        <v>43</v>
      </c>
      <c r="W2225" t="str">
        <f>HYPERLINK("Gene1191-zp_tree_all.dnd", "Gene1191-tree")</f>
        <v>Gene1191-tree</v>
      </c>
      <c r="X2225">
        <v>29</v>
      </c>
      <c r="Y2225">
        <v>4</v>
      </c>
      <c r="Z2225">
        <v>9</v>
      </c>
      <c r="AA2225">
        <v>4</v>
      </c>
      <c r="AB2225">
        <v>0.30769000000000002</v>
      </c>
      <c r="AC2225" t="s">
        <v>234</v>
      </c>
      <c r="AD2225" t="s">
        <v>61</v>
      </c>
      <c r="AE2225" t="s">
        <v>62</v>
      </c>
      <c r="AF2225" t="s">
        <v>62</v>
      </c>
      <c r="AG2225">
        <v>1</v>
      </c>
      <c r="AH2225">
        <v>2</v>
      </c>
      <c r="AI2225">
        <v>4</v>
      </c>
      <c r="AJ2225">
        <v>0.33333000000000002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2</v>
      </c>
      <c r="AQ2225">
        <v>0</v>
      </c>
      <c r="AR2225">
        <v>2</v>
      </c>
      <c r="AS2225">
        <v>3</v>
      </c>
      <c r="AT2225">
        <v>0.4</v>
      </c>
      <c r="AU2225">
        <v>10</v>
      </c>
      <c r="AV2225">
        <v>10</v>
      </c>
      <c r="AW2225">
        <v>54</v>
      </c>
      <c r="AX2225">
        <v>5</v>
      </c>
      <c r="AY2225">
        <v>29</v>
      </c>
      <c r="AZ2225">
        <v>1</v>
      </c>
      <c r="BA2225" t="s">
        <v>7492</v>
      </c>
      <c r="BB2225" t="s">
        <v>7493</v>
      </c>
      <c r="BC2225">
        <v>0.47</v>
      </c>
      <c r="BD2225" t="s">
        <v>65</v>
      </c>
      <c r="BE2225">
        <v>83</v>
      </c>
      <c r="BF2225">
        <v>6</v>
      </c>
      <c r="BG2225" t="s">
        <v>7494</v>
      </c>
      <c r="BH2225" t="s">
        <v>7495</v>
      </c>
      <c r="BI2225" t="s">
        <v>7496</v>
      </c>
      <c r="BJ2225">
        <v>2.0299999999999999E-2</v>
      </c>
      <c r="BK2225">
        <v>1</v>
      </c>
      <c r="BL2225" t="s">
        <v>69</v>
      </c>
      <c r="BM2225">
        <v>-1.0069999999999999</v>
      </c>
      <c r="BN2225">
        <v>-1.887</v>
      </c>
    </row>
    <row r="2226" spans="2:66">
      <c r="B2226">
        <v>3873</v>
      </c>
      <c r="C2226">
        <v>214</v>
      </c>
      <c r="D2226">
        <v>0</v>
      </c>
      <c r="E2226">
        <v>5</v>
      </c>
      <c r="F2226">
        <v>2</v>
      </c>
      <c r="J2226">
        <v>0</v>
      </c>
      <c r="K2226">
        <v>6</v>
      </c>
      <c r="L2226">
        <v>3</v>
      </c>
      <c r="M2226" t="s">
        <v>25022</v>
      </c>
      <c r="N2226">
        <v>1197</v>
      </c>
      <c r="O2226" t="s">
        <v>7530</v>
      </c>
      <c r="P2226" t="s">
        <v>57</v>
      </c>
      <c r="Q2226">
        <v>1236609</v>
      </c>
      <c r="R2226">
        <v>1236974</v>
      </c>
      <c r="S2226" t="s">
        <v>116</v>
      </c>
      <c r="T2226">
        <v>122</v>
      </c>
      <c r="U2226" t="s">
        <v>59</v>
      </c>
      <c r="V2226">
        <v>49</v>
      </c>
      <c r="W2226" t="str">
        <f>HYPERLINK("Gene1197-zp_tree_all.dnd", "Gene1197-tree")</f>
        <v>Gene1197-tree</v>
      </c>
      <c r="X2226">
        <v>5</v>
      </c>
      <c r="Y2226">
        <v>12</v>
      </c>
      <c r="Z2226">
        <v>5</v>
      </c>
      <c r="AA2226">
        <v>12</v>
      </c>
      <c r="AB2226">
        <v>0.70587999999999995</v>
      </c>
      <c r="AC2226" t="s">
        <v>199</v>
      </c>
      <c r="AD2226" t="s">
        <v>109</v>
      </c>
      <c r="AE2226" t="s">
        <v>62</v>
      </c>
      <c r="AF2226" t="s">
        <v>62</v>
      </c>
      <c r="AG2226">
        <v>4</v>
      </c>
      <c r="AH2226">
        <v>9</v>
      </c>
      <c r="AI2226">
        <v>10</v>
      </c>
      <c r="AJ2226">
        <v>0.47367999999999999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4</v>
      </c>
      <c r="AQ2226">
        <v>1</v>
      </c>
      <c r="AR2226">
        <v>5</v>
      </c>
      <c r="AS2226">
        <v>8</v>
      </c>
      <c r="AT2226">
        <v>0.38462000000000002</v>
      </c>
      <c r="AU2226">
        <v>13</v>
      </c>
      <c r="AV2226">
        <v>8</v>
      </c>
      <c r="AW2226">
        <v>10</v>
      </c>
      <c r="AX2226">
        <v>11</v>
      </c>
      <c r="AY2226">
        <v>14</v>
      </c>
      <c r="AZ2226">
        <v>8</v>
      </c>
      <c r="BA2226" t="s">
        <v>7531</v>
      </c>
      <c r="BB2226" t="s">
        <v>7532</v>
      </c>
      <c r="BC2226">
        <v>0.65800000000000003</v>
      </c>
      <c r="BD2226" t="s">
        <v>65</v>
      </c>
      <c r="BE2226">
        <v>24</v>
      </c>
      <c r="BF2226">
        <v>19</v>
      </c>
      <c r="BG2226" t="s">
        <v>7533</v>
      </c>
      <c r="BH2226" t="s">
        <v>7534</v>
      </c>
      <c r="BI2226" t="s">
        <v>7535</v>
      </c>
      <c r="BJ2226">
        <v>0.16081999999999999</v>
      </c>
      <c r="BK2226">
        <v>1</v>
      </c>
      <c r="BL2226" t="s">
        <v>69</v>
      </c>
      <c r="BM2226">
        <v>-1.5169999999999999</v>
      </c>
      <c r="BN2226">
        <v>-0.442</v>
      </c>
    </row>
    <row r="2227" spans="2:66">
      <c r="B2227">
        <v>3876</v>
      </c>
      <c r="C2227">
        <v>195</v>
      </c>
      <c r="D2227">
        <v>0</v>
      </c>
      <c r="E2227">
        <v>26</v>
      </c>
      <c r="F2227">
        <v>0</v>
      </c>
      <c r="J2227">
        <v>0</v>
      </c>
      <c r="K2227">
        <v>0</v>
      </c>
      <c r="L2227">
        <v>0</v>
      </c>
      <c r="M2227" t="s">
        <v>25022</v>
      </c>
      <c r="N2227">
        <v>1198</v>
      </c>
      <c r="O2227" t="s">
        <v>7536</v>
      </c>
      <c r="P2227" t="s">
        <v>57</v>
      </c>
      <c r="Q2227">
        <v>1237006</v>
      </c>
      <c r="R2227">
        <v>1237638</v>
      </c>
      <c r="S2227" t="s">
        <v>7537</v>
      </c>
      <c r="T2227">
        <v>211</v>
      </c>
      <c r="U2227" t="s">
        <v>125</v>
      </c>
      <c r="V2227">
        <v>48</v>
      </c>
      <c r="W2227" t="str">
        <f>HYPERLINK("Gene1198-zp_tree_all.dnd", "Gene1198-tree")</f>
        <v>Gene1198-tree</v>
      </c>
      <c r="X2227">
        <v>15</v>
      </c>
      <c r="Y2227">
        <v>2</v>
      </c>
      <c r="Z2227">
        <v>15</v>
      </c>
      <c r="AA2227">
        <v>2</v>
      </c>
      <c r="AB2227">
        <v>0.11765</v>
      </c>
      <c r="AC2227" t="s">
        <v>100</v>
      </c>
      <c r="AD2227" t="s">
        <v>81</v>
      </c>
      <c r="AE2227" t="s">
        <v>62</v>
      </c>
      <c r="AF2227" t="s">
        <v>62</v>
      </c>
      <c r="AG2227">
        <v>0</v>
      </c>
      <c r="AH2227">
        <v>0</v>
      </c>
      <c r="AI2227">
        <v>9</v>
      </c>
      <c r="AJ2227">
        <v>0</v>
      </c>
      <c r="AK2227">
        <v>0</v>
      </c>
      <c r="AL2227">
        <v>0</v>
      </c>
      <c r="AM2227">
        <v>0</v>
      </c>
      <c r="AN2227">
        <v>5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>
        <v>0</v>
      </c>
      <c r="AU2227">
        <v>11</v>
      </c>
      <c r="AV2227">
        <v>7</v>
      </c>
      <c r="AW2227">
        <v>21</v>
      </c>
      <c r="AX2227">
        <v>2</v>
      </c>
      <c r="AY2227">
        <v>46</v>
      </c>
      <c r="AZ2227">
        <v>7</v>
      </c>
      <c r="BA2227" t="s">
        <v>7538</v>
      </c>
      <c r="BB2227" t="s">
        <v>7539</v>
      </c>
      <c r="BC2227">
        <v>0.19500000000000001</v>
      </c>
      <c r="BD2227" t="s">
        <v>65</v>
      </c>
      <c r="BE2227">
        <v>67</v>
      </c>
      <c r="BF2227">
        <v>9</v>
      </c>
      <c r="BG2227" t="s">
        <v>7540</v>
      </c>
      <c r="BH2227" t="s">
        <v>7541</v>
      </c>
      <c r="BI2227" t="s">
        <v>7542</v>
      </c>
      <c r="BJ2227">
        <v>3.4079999999999999E-2</v>
      </c>
      <c r="BK2227">
        <v>1</v>
      </c>
      <c r="BL2227" t="s">
        <v>69</v>
      </c>
      <c r="BM2227">
        <v>-1.7809999999999999</v>
      </c>
      <c r="BN2227">
        <v>0.29199999999999998</v>
      </c>
    </row>
    <row r="2228" spans="2:66">
      <c r="B2228">
        <v>3877</v>
      </c>
      <c r="C2228">
        <v>346</v>
      </c>
      <c r="D2228">
        <v>0</v>
      </c>
      <c r="E2228">
        <v>20</v>
      </c>
      <c r="F2228">
        <v>0</v>
      </c>
      <c r="J2228">
        <v>0</v>
      </c>
      <c r="K2228">
        <v>0</v>
      </c>
      <c r="L2228">
        <v>0</v>
      </c>
      <c r="M2228" t="s">
        <v>25022</v>
      </c>
      <c r="N2228">
        <v>1199</v>
      </c>
      <c r="O2228" t="s">
        <v>7543</v>
      </c>
      <c r="P2228" t="s">
        <v>57</v>
      </c>
      <c r="Q2228">
        <v>1237660</v>
      </c>
      <c r="R2228">
        <v>1238457</v>
      </c>
      <c r="S2228" t="s">
        <v>7544</v>
      </c>
      <c r="T2228">
        <v>266</v>
      </c>
      <c r="U2228" t="s">
        <v>99</v>
      </c>
      <c r="V2228">
        <v>47</v>
      </c>
      <c r="W2228" t="str">
        <f>HYPERLINK("Gene1199-zp_tree_all.dnd", "Gene1199-tree")</f>
        <v>Gene1199-tree</v>
      </c>
      <c r="X2228">
        <v>30</v>
      </c>
      <c r="Y2228">
        <v>1</v>
      </c>
      <c r="Z2228">
        <v>11</v>
      </c>
      <c r="AA2228">
        <v>1</v>
      </c>
      <c r="AB2228">
        <v>8.3330000000000001E-2</v>
      </c>
      <c r="AC2228" t="s">
        <v>89</v>
      </c>
      <c r="AD2228" t="s">
        <v>175</v>
      </c>
      <c r="AE2228" t="s">
        <v>62</v>
      </c>
      <c r="AF2228" t="s">
        <v>62</v>
      </c>
      <c r="AG2228">
        <v>0</v>
      </c>
      <c r="AH2228">
        <v>0</v>
      </c>
      <c r="AI2228">
        <v>2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11</v>
      </c>
      <c r="AV2228">
        <v>4</v>
      </c>
      <c r="AW2228">
        <v>36</v>
      </c>
      <c r="AX2228">
        <v>1</v>
      </c>
      <c r="AY2228">
        <v>29</v>
      </c>
      <c r="AZ2228">
        <v>1</v>
      </c>
      <c r="BA2228" t="s">
        <v>7545</v>
      </c>
      <c r="BB2228" t="s">
        <v>7546</v>
      </c>
      <c r="BC2228">
        <v>0.04</v>
      </c>
      <c r="BD2228" t="s">
        <v>65</v>
      </c>
      <c r="BE2228">
        <v>65</v>
      </c>
      <c r="BF2228">
        <v>2</v>
      </c>
      <c r="BG2228" t="s">
        <v>7547</v>
      </c>
      <c r="BH2228" t="s">
        <v>7548</v>
      </c>
      <c r="BI2228" t="s">
        <v>3228</v>
      </c>
      <c r="BJ2228">
        <v>8.7600000000000004E-3</v>
      </c>
      <c r="BK2228">
        <v>1</v>
      </c>
      <c r="BL2228" t="s">
        <v>69</v>
      </c>
      <c r="BM2228">
        <v>-1.7829999999999999</v>
      </c>
      <c r="BN2228">
        <v>-5.0999999999999997E-2</v>
      </c>
    </row>
    <row r="2229" spans="2:66">
      <c r="B2229">
        <v>3878</v>
      </c>
      <c r="C2229">
        <v>273</v>
      </c>
      <c r="D2229">
        <v>0</v>
      </c>
      <c r="E2229">
        <v>11</v>
      </c>
      <c r="F2229">
        <v>1</v>
      </c>
      <c r="J2229">
        <v>0</v>
      </c>
      <c r="K2229">
        <v>7</v>
      </c>
      <c r="L2229">
        <v>0</v>
      </c>
      <c r="M2229" t="s">
        <v>25022</v>
      </c>
      <c r="N2229">
        <v>1200</v>
      </c>
      <c r="O2229" t="s">
        <v>7549</v>
      </c>
      <c r="P2229" t="s">
        <v>57</v>
      </c>
      <c r="Q2229">
        <v>1238523</v>
      </c>
      <c r="R2229">
        <v>1239371</v>
      </c>
      <c r="S2229" t="s">
        <v>7550</v>
      </c>
      <c r="T2229">
        <v>283</v>
      </c>
      <c r="U2229" t="s">
        <v>108</v>
      </c>
      <c r="V2229">
        <v>44</v>
      </c>
      <c r="W2229" t="str">
        <f>HYPERLINK("Gene1200-zp_tree_all.dnd", "Gene1200-tree")</f>
        <v>Gene1200-tree</v>
      </c>
      <c r="X2229">
        <v>8</v>
      </c>
      <c r="Y2229">
        <v>6</v>
      </c>
      <c r="Z2229">
        <v>8</v>
      </c>
      <c r="AA2229">
        <v>6</v>
      </c>
      <c r="AB2229">
        <v>0.42857000000000001</v>
      </c>
      <c r="AC2229" t="s">
        <v>136</v>
      </c>
      <c r="AD2229" t="s">
        <v>90</v>
      </c>
      <c r="AE2229" t="s">
        <v>62</v>
      </c>
      <c r="AF2229" t="s">
        <v>62</v>
      </c>
      <c r="AG2229">
        <v>3</v>
      </c>
      <c r="AH2229">
        <v>7</v>
      </c>
      <c r="AI2229">
        <v>13</v>
      </c>
      <c r="AJ2229">
        <v>0.35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4</v>
      </c>
      <c r="AQ2229">
        <v>0</v>
      </c>
      <c r="AR2229">
        <v>4</v>
      </c>
      <c r="AS2229">
        <v>7</v>
      </c>
      <c r="AT2229">
        <v>0.36364000000000002</v>
      </c>
      <c r="AU2229">
        <v>12</v>
      </c>
      <c r="AV2229">
        <v>9</v>
      </c>
      <c r="AW2229">
        <v>28</v>
      </c>
      <c r="AX2229">
        <v>11</v>
      </c>
      <c r="AY2229">
        <v>19</v>
      </c>
      <c r="AZ2229">
        <v>9</v>
      </c>
      <c r="BA2229" t="s">
        <v>7551</v>
      </c>
      <c r="BB2229" t="s">
        <v>7552</v>
      </c>
      <c r="BC2229">
        <v>0.26500000000000001</v>
      </c>
      <c r="BD2229" t="s">
        <v>65</v>
      </c>
      <c r="BE2229">
        <v>47</v>
      </c>
      <c r="BF2229">
        <v>20</v>
      </c>
      <c r="BG2229" t="s">
        <v>7553</v>
      </c>
      <c r="BH2229" t="s">
        <v>7554</v>
      </c>
      <c r="BI2229" t="s">
        <v>7555</v>
      </c>
      <c r="BJ2229">
        <v>0.11677999999999999</v>
      </c>
      <c r="BK2229">
        <v>1</v>
      </c>
      <c r="BL2229" t="s">
        <v>69</v>
      </c>
      <c r="BM2229">
        <v>-0.35399999999999998</v>
      </c>
      <c r="BN2229">
        <v>-1.2969999999999999</v>
      </c>
    </row>
    <row r="2230" spans="2:66">
      <c r="B2230">
        <v>3879</v>
      </c>
      <c r="C2230">
        <v>148</v>
      </c>
      <c r="D2230">
        <v>0</v>
      </c>
      <c r="E2230">
        <v>7</v>
      </c>
      <c r="F2230">
        <v>2</v>
      </c>
      <c r="J2230">
        <v>0</v>
      </c>
      <c r="K2230">
        <v>9</v>
      </c>
      <c r="L2230">
        <v>0</v>
      </c>
      <c r="M2230" t="s">
        <v>25022</v>
      </c>
      <c r="N2230">
        <v>1202</v>
      </c>
      <c r="O2230" t="s">
        <v>7563</v>
      </c>
      <c r="P2230" t="s">
        <v>57</v>
      </c>
      <c r="Q2230">
        <v>1240356</v>
      </c>
      <c r="R2230">
        <v>1242197</v>
      </c>
      <c r="S2230" t="s">
        <v>7564</v>
      </c>
      <c r="T2230">
        <v>614</v>
      </c>
      <c r="U2230" t="s">
        <v>108</v>
      </c>
      <c r="V2230">
        <v>44</v>
      </c>
      <c r="W2230" t="str">
        <f>HYPERLINK("Gene1202-zp_tree_all.dnd", "Gene1202-tree")</f>
        <v>Gene1202-tree</v>
      </c>
      <c r="X2230">
        <v>9</v>
      </c>
      <c r="Y2230">
        <v>6</v>
      </c>
      <c r="Z2230">
        <v>9</v>
      </c>
      <c r="AA2230">
        <v>6</v>
      </c>
      <c r="AB2230">
        <v>0.4</v>
      </c>
      <c r="AC2230" t="s">
        <v>135</v>
      </c>
      <c r="AD2230" t="s">
        <v>90</v>
      </c>
      <c r="AE2230" t="s">
        <v>62</v>
      </c>
      <c r="AF2230" t="s">
        <v>62</v>
      </c>
      <c r="AG2230">
        <v>4</v>
      </c>
      <c r="AH2230">
        <v>9</v>
      </c>
      <c r="AI2230">
        <v>9</v>
      </c>
      <c r="AJ2230">
        <v>0.5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4</v>
      </c>
      <c r="AQ2230">
        <v>0</v>
      </c>
      <c r="AR2230">
        <v>4</v>
      </c>
      <c r="AS2230">
        <v>9</v>
      </c>
      <c r="AT2230">
        <v>0.30769000000000002</v>
      </c>
      <c r="AU2230">
        <v>13</v>
      </c>
      <c r="AV2230">
        <v>12</v>
      </c>
      <c r="AW2230">
        <v>91</v>
      </c>
      <c r="AX2230">
        <v>13</v>
      </c>
      <c r="AY2230">
        <v>53</v>
      </c>
      <c r="AZ2230">
        <v>5</v>
      </c>
      <c r="BA2230" t="s">
        <v>7565</v>
      </c>
      <c r="BB2230" t="s">
        <v>7566</v>
      </c>
      <c r="BC2230">
        <v>0.371</v>
      </c>
      <c r="BD2230" t="s">
        <v>65</v>
      </c>
      <c r="BE2230">
        <v>144</v>
      </c>
      <c r="BF2230">
        <v>18</v>
      </c>
      <c r="BG2230" t="s">
        <v>7567</v>
      </c>
      <c r="BH2230" t="s">
        <v>7568</v>
      </c>
      <c r="BI2230" t="s">
        <v>7569</v>
      </c>
      <c r="BJ2230">
        <v>3.4180000000000002E-2</v>
      </c>
      <c r="BK2230">
        <v>1</v>
      </c>
      <c r="BL2230" t="s">
        <v>69</v>
      </c>
      <c r="BM2230">
        <v>-0.54700000000000004</v>
      </c>
      <c r="BN2230">
        <v>-0.53100000000000003</v>
      </c>
    </row>
    <row r="2231" spans="2:66">
      <c r="B2231">
        <v>3880</v>
      </c>
      <c r="C2231">
        <v>312</v>
      </c>
      <c r="D2231">
        <v>0</v>
      </c>
      <c r="E2231">
        <v>34</v>
      </c>
      <c r="F2231">
        <v>4</v>
      </c>
      <c r="J2231">
        <v>0</v>
      </c>
      <c r="K2231">
        <v>5</v>
      </c>
      <c r="L2231">
        <v>0</v>
      </c>
      <c r="M2231" t="s">
        <v>25022</v>
      </c>
      <c r="N2231">
        <v>1203</v>
      </c>
      <c r="O2231" t="s">
        <v>7570</v>
      </c>
      <c r="P2231" t="s">
        <v>57</v>
      </c>
      <c r="Q2231">
        <v>1242449</v>
      </c>
      <c r="R2231">
        <v>1243156</v>
      </c>
      <c r="S2231" t="s">
        <v>7571</v>
      </c>
      <c r="T2231">
        <v>236</v>
      </c>
      <c r="U2231" t="s">
        <v>108</v>
      </c>
      <c r="V2231">
        <v>44</v>
      </c>
      <c r="W2231" t="str">
        <f>HYPERLINK("Gene1203-zp_tree_all.dnd", "Gene1203-tree")</f>
        <v>Gene1203-tree</v>
      </c>
      <c r="X2231">
        <v>7</v>
      </c>
      <c r="Y2231">
        <v>7</v>
      </c>
      <c r="Z2231">
        <v>7</v>
      </c>
      <c r="AA2231">
        <v>7</v>
      </c>
      <c r="AB2231">
        <v>0.5</v>
      </c>
      <c r="AC2231" t="s">
        <v>152</v>
      </c>
      <c r="AD2231" t="s">
        <v>152</v>
      </c>
      <c r="AE2231" t="s">
        <v>62</v>
      </c>
      <c r="AF2231" t="s">
        <v>62</v>
      </c>
      <c r="AG2231">
        <v>2</v>
      </c>
      <c r="AH2231">
        <v>5</v>
      </c>
      <c r="AI2231">
        <v>8</v>
      </c>
      <c r="AJ2231">
        <v>0.38462000000000002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3</v>
      </c>
      <c r="AQ2231">
        <v>0</v>
      </c>
      <c r="AR2231">
        <v>3</v>
      </c>
      <c r="AS2231">
        <v>4</v>
      </c>
      <c r="AT2231">
        <v>0.42857000000000001</v>
      </c>
      <c r="AU2231">
        <v>12</v>
      </c>
      <c r="AV2231">
        <v>9</v>
      </c>
      <c r="AW2231">
        <v>23</v>
      </c>
      <c r="AX2231">
        <v>6</v>
      </c>
      <c r="AY2231">
        <v>32</v>
      </c>
      <c r="AZ2231">
        <v>7</v>
      </c>
      <c r="BA2231" t="s">
        <v>7572</v>
      </c>
      <c r="BB2231" t="s">
        <v>7573</v>
      </c>
      <c r="BC2231">
        <v>0.11899999999999999</v>
      </c>
      <c r="BD2231" t="s">
        <v>65</v>
      </c>
      <c r="BE2231">
        <v>55</v>
      </c>
      <c r="BF2231">
        <v>13</v>
      </c>
      <c r="BG2231" t="s">
        <v>7574</v>
      </c>
      <c r="BH2231" t="s">
        <v>7575</v>
      </c>
      <c r="BI2231" t="s">
        <v>7576</v>
      </c>
      <c r="BJ2231">
        <v>5.8840000000000003E-2</v>
      </c>
      <c r="BK2231">
        <v>1</v>
      </c>
      <c r="BL2231" t="s">
        <v>69</v>
      </c>
      <c r="BM2231">
        <v>0.44800000000000001</v>
      </c>
      <c r="BN2231">
        <v>0.32300000000000001</v>
      </c>
    </row>
    <row r="2232" spans="2:66">
      <c r="B2232">
        <v>3881</v>
      </c>
      <c r="C2232">
        <v>310</v>
      </c>
      <c r="D2232">
        <v>2</v>
      </c>
      <c r="E2232">
        <v>30</v>
      </c>
      <c r="F2232">
        <v>11</v>
      </c>
      <c r="J2232">
        <v>0</v>
      </c>
      <c r="K2232">
        <v>2</v>
      </c>
      <c r="L2232">
        <v>2</v>
      </c>
      <c r="M2232" t="s">
        <v>25022</v>
      </c>
      <c r="N2232">
        <v>1204</v>
      </c>
      <c r="O2232" t="s">
        <v>7577</v>
      </c>
      <c r="P2232" t="s">
        <v>57</v>
      </c>
      <c r="Q2232">
        <v>1243134</v>
      </c>
      <c r="R2232">
        <v>1243748</v>
      </c>
      <c r="S2232" t="s">
        <v>7578</v>
      </c>
      <c r="T2232">
        <v>205</v>
      </c>
      <c r="U2232" t="s">
        <v>108</v>
      </c>
      <c r="V2232">
        <v>44</v>
      </c>
      <c r="W2232" t="str">
        <f>HYPERLINK("Gene1204-zp_tree_all.dnd", "Gene1204-tree")</f>
        <v>Gene1204-tree</v>
      </c>
      <c r="X2232">
        <v>2</v>
      </c>
      <c r="Y2232">
        <v>10</v>
      </c>
      <c r="Z2232">
        <v>2</v>
      </c>
      <c r="AA2232">
        <v>10</v>
      </c>
      <c r="AB2232">
        <v>0.83333000000000002</v>
      </c>
      <c r="AC2232" t="s">
        <v>81</v>
      </c>
      <c r="AD2232" t="s">
        <v>117</v>
      </c>
      <c r="AE2232" t="s">
        <v>62</v>
      </c>
      <c r="AF2232" t="s">
        <v>62</v>
      </c>
      <c r="AG2232">
        <v>2</v>
      </c>
      <c r="AH2232">
        <v>4</v>
      </c>
      <c r="AI2232">
        <v>11</v>
      </c>
      <c r="AJ2232">
        <v>0.26667000000000002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2</v>
      </c>
      <c r="AR2232">
        <v>2</v>
      </c>
      <c r="AS2232">
        <v>10</v>
      </c>
      <c r="AT2232">
        <v>0.16667000000000001</v>
      </c>
      <c r="AU2232">
        <v>9</v>
      </c>
      <c r="AV2232">
        <v>9</v>
      </c>
      <c r="AW2232">
        <v>11</v>
      </c>
      <c r="AX2232">
        <v>10</v>
      </c>
      <c r="AY2232">
        <v>15</v>
      </c>
      <c r="AZ2232">
        <v>6</v>
      </c>
      <c r="BA2232" t="s">
        <v>7579</v>
      </c>
      <c r="BB2232" t="s">
        <v>7580</v>
      </c>
      <c r="BC2232">
        <v>1.0720000000000001</v>
      </c>
      <c r="BD2232" t="s">
        <v>65</v>
      </c>
      <c r="BE2232">
        <v>26</v>
      </c>
      <c r="BF2232">
        <v>16</v>
      </c>
      <c r="BG2232" t="s">
        <v>7581</v>
      </c>
      <c r="BH2232" t="s">
        <v>7582</v>
      </c>
      <c r="BI2232" t="s">
        <v>7583</v>
      </c>
      <c r="BJ2232">
        <v>0.1578</v>
      </c>
      <c r="BK2232">
        <v>1</v>
      </c>
      <c r="BL2232" t="s">
        <v>69</v>
      </c>
      <c r="BM2232">
        <v>0.121</v>
      </c>
      <c r="BN2232">
        <v>-0.52900000000000003</v>
      </c>
    </row>
    <row r="2233" spans="2:66">
      <c r="B2233">
        <v>3882</v>
      </c>
      <c r="C2233">
        <v>242</v>
      </c>
      <c r="D2233">
        <v>0</v>
      </c>
      <c r="E2233">
        <v>5</v>
      </c>
      <c r="F2233">
        <v>0</v>
      </c>
      <c r="J2233">
        <v>0</v>
      </c>
      <c r="K2233">
        <v>12</v>
      </c>
      <c r="L2233">
        <v>0</v>
      </c>
      <c r="M2233" t="s">
        <v>25022</v>
      </c>
      <c r="N2233">
        <v>1205</v>
      </c>
      <c r="O2233" t="s">
        <v>7584</v>
      </c>
      <c r="P2233" t="s">
        <v>57</v>
      </c>
      <c r="Q2233">
        <v>1243735</v>
      </c>
      <c r="R2233">
        <v>1244841</v>
      </c>
      <c r="S2233" t="s">
        <v>7585</v>
      </c>
      <c r="T2233">
        <v>369</v>
      </c>
      <c r="U2233" t="s">
        <v>108</v>
      </c>
      <c r="V2233">
        <v>44</v>
      </c>
      <c r="W2233" t="str">
        <f>HYPERLINK("Gene1205-zp_tree_all.dnd", "Gene1205-tree")</f>
        <v>Gene1205-tree</v>
      </c>
      <c r="X2233">
        <v>7</v>
      </c>
      <c r="Y2233">
        <v>9</v>
      </c>
      <c r="Z2233">
        <v>7</v>
      </c>
      <c r="AA2233">
        <v>9</v>
      </c>
      <c r="AB2233">
        <v>0.5625</v>
      </c>
      <c r="AC2233" t="s">
        <v>152</v>
      </c>
      <c r="AD2233" t="s">
        <v>135</v>
      </c>
      <c r="AE2233" t="s">
        <v>62</v>
      </c>
      <c r="AF2233" t="s">
        <v>62</v>
      </c>
      <c r="AG2233">
        <v>4</v>
      </c>
      <c r="AH2233">
        <v>12</v>
      </c>
      <c r="AI2233">
        <v>14</v>
      </c>
      <c r="AJ2233">
        <v>0.46154000000000001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4</v>
      </c>
      <c r="AQ2233">
        <v>0</v>
      </c>
      <c r="AR2233">
        <v>4</v>
      </c>
      <c r="AS2233">
        <v>13</v>
      </c>
      <c r="AT2233">
        <v>0.23529</v>
      </c>
      <c r="AU2233">
        <v>12</v>
      </c>
      <c r="AV2233">
        <v>11</v>
      </c>
      <c r="AW2233">
        <v>30</v>
      </c>
      <c r="AX2233">
        <v>17</v>
      </c>
      <c r="AY2233">
        <v>23</v>
      </c>
      <c r="AZ2233">
        <v>9</v>
      </c>
      <c r="BA2233" t="s">
        <v>7586</v>
      </c>
      <c r="BB2233" t="s">
        <v>7587</v>
      </c>
      <c r="BC2233">
        <v>0.55200000000000005</v>
      </c>
      <c r="BD2233" t="s">
        <v>65</v>
      </c>
      <c r="BE2233">
        <v>53</v>
      </c>
      <c r="BF2233">
        <v>26</v>
      </c>
      <c r="BG2233" t="s">
        <v>7588</v>
      </c>
      <c r="BH2233" t="s">
        <v>7589</v>
      </c>
      <c r="BI2233" t="s">
        <v>7590</v>
      </c>
      <c r="BJ2233">
        <v>0.13145000000000001</v>
      </c>
      <c r="BK2233">
        <v>1</v>
      </c>
      <c r="BL2233" t="s">
        <v>69</v>
      </c>
      <c r="BM2233">
        <v>-0.443</v>
      </c>
      <c r="BN2233">
        <v>-2.0329999999999999</v>
      </c>
    </row>
    <row r="2234" spans="2:66">
      <c r="B2234">
        <v>3887</v>
      </c>
      <c r="C2234">
        <v>655</v>
      </c>
      <c r="D2234">
        <v>0</v>
      </c>
      <c r="E2234">
        <v>8</v>
      </c>
      <c r="F2234">
        <v>1</v>
      </c>
      <c r="J2234">
        <v>0</v>
      </c>
      <c r="K2234">
        <v>0</v>
      </c>
      <c r="L2234">
        <v>0</v>
      </c>
      <c r="M2234" t="s">
        <v>25022</v>
      </c>
      <c r="N2234">
        <v>1206</v>
      </c>
      <c r="O2234" t="s">
        <v>7591</v>
      </c>
      <c r="P2234" t="s">
        <v>57</v>
      </c>
      <c r="Q2234">
        <v>1244844</v>
      </c>
      <c r="R2234">
        <v>1245041</v>
      </c>
      <c r="S2234" t="s">
        <v>7592</v>
      </c>
      <c r="T2234">
        <v>66</v>
      </c>
      <c r="U2234" t="s">
        <v>108</v>
      </c>
      <c r="V2234">
        <v>44</v>
      </c>
      <c r="W2234" t="str">
        <f>HYPERLINK("Gene1206-zp_tree_all.dnd", "Gene1206-tree")</f>
        <v>Gene1206-tree</v>
      </c>
      <c r="X2234">
        <v>5</v>
      </c>
      <c r="Y2234">
        <v>3</v>
      </c>
      <c r="Z2234">
        <v>5</v>
      </c>
      <c r="AA2234">
        <v>3</v>
      </c>
      <c r="AB2234">
        <v>0.375</v>
      </c>
      <c r="AC2234" t="s">
        <v>199</v>
      </c>
      <c r="AD2234" t="s">
        <v>324</v>
      </c>
      <c r="AE2234" t="s">
        <v>62</v>
      </c>
      <c r="AF2234" t="s">
        <v>62</v>
      </c>
      <c r="AG2234">
        <v>0</v>
      </c>
      <c r="AH2234">
        <v>0</v>
      </c>
      <c r="AI2234">
        <v>3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3</v>
      </c>
      <c r="AT2234">
        <v>0</v>
      </c>
      <c r="AU2234">
        <v>4</v>
      </c>
      <c r="AV2234">
        <v>3</v>
      </c>
      <c r="AW2234">
        <v>3</v>
      </c>
      <c r="AX2234">
        <v>2</v>
      </c>
      <c r="AY2234">
        <v>2</v>
      </c>
      <c r="AZ2234">
        <v>1</v>
      </c>
      <c r="BA2234" t="s">
        <v>7593</v>
      </c>
      <c r="BB2234" t="s">
        <v>7594</v>
      </c>
      <c r="BC2234">
        <v>0.19700000000000001</v>
      </c>
      <c r="BD2234" t="s">
        <v>65</v>
      </c>
      <c r="BE2234">
        <v>5</v>
      </c>
      <c r="BF2234">
        <v>3</v>
      </c>
      <c r="BG2234" t="s">
        <v>7595</v>
      </c>
      <c r="BH2234" t="s">
        <v>7596</v>
      </c>
      <c r="BI2234" t="s">
        <v>7597</v>
      </c>
      <c r="BJ2234">
        <v>0.16106000000000001</v>
      </c>
      <c r="BK2234">
        <v>0.98699999999999999</v>
      </c>
      <c r="BL2234" t="s">
        <v>69</v>
      </c>
      <c r="BM2234">
        <v>0.44500000000000001</v>
      </c>
      <c r="BN2234">
        <v>-0.26800000000000002</v>
      </c>
    </row>
    <row r="2235" spans="2:66">
      <c r="B2235">
        <v>3888</v>
      </c>
      <c r="C2235">
        <v>165</v>
      </c>
      <c r="D2235">
        <v>0</v>
      </c>
      <c r="E2235">
        <v>6</v>
      </c>
      <c r="F2235">
        <v>0</v>
      </c>
      <c r="J2235">
        <v>0</v>
      </c>
      <c r="K2235">
        <v>0</v>
      </c>
      <c r="L2235">
        <v>0</v>
      </c>
      <c r="M2235" t="s">
        <v>25022</v>
      </c>
      <c r="N2235">
        <v>1207</v>
      </c>
      <c r="O2235" t="s">
        <v>7598</v>
      </c>
      <c r="P2235" t="s">
        <v>57</v>
      </c>
      <c r="Q2235">
        <v>1245041</v>
      </c>
      <c r="R2235">
        <v>1245808</v>
      </c>
      <c r="S2235" t="s">
        <v>7599</v>
      </c>
      <c r="T2235">
        <v>256</v>
      </c>
      <c r="U2235" t="s">
        <v>108</v>
      </c>
      <c r="V2235">
        <v>44</v>
      </c>
      <c r="W2235" t="str">
        <f>HYPERLINK("Gene1207-zp_tree_all.dnd", "Gene1207-tree")</f>
        <v>Gene1207-tree</v>
      </c>
      <c r="X2235">
        <v>28</v>
      </c>
      <c r="Y2235">
        <v>3</v>
      </c>
      <c r="Z2235">
        <v>9</v>
      </c>
      <c r="AA2235">
        <v>3</v>
      </c>
      <c r="AB2235">
        <v>0.25</v>
      </c>
      <c r="AC2235" t="s">
        <v>2825</v>
      </c>
      <c r="AD2235" t="s">
        <v>324</v>
      </c>
      <c r="AE2235" t="s">
        <v>62</v>
      </c>
      <c r="AF2235" t="s">
        <v>62</v>
      </c>
      <c r="AG2235">
        <v>0</v>
      </c>
      <c r="AH2235">
        <v>0</v>
      </c>
      <c r="AI2235">
        <v>5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5</v>
      </c>
      <c r="AT2235">
        <v>0</v>
      </c>
      <c r="AU2235">
        <v>12</v>
      </c>
      <c r="AV2235">
        <v>9</v>
      </c>
      <c r="AW2235">
        <v>30</v>
      </c>
      <c r="AX2235">
        <v>5</v>
      </c>
      <c r="AY2235">
        <v>19</v>
      </c>
      <c r="AZ2235">
        <v>0</v>
      </c>
      <c r="BA2235" t="s">
        <v>7600</v>
      </c>
      <c r="BB2235" t="s">
        <v>193</v>
      </c>
      <c r="BC2235">
        <v>0.72</v>
      </c>
      <c r="BD2235" t="s">
        <v>65</v>
      </c>
      <c r="BE2235">
        <v>49</v>
      </c>
      <c r="BF2235">
        <v>5</v>
      </c>
      <c r="BG2235" t="s">
        <v>7601</v>
      </c>
      <c r="BH2235" t="s">
        <v>7602</v>
      </c>
      <c r="BI2235" t="s">
        <v>7603</v>
      </c>
      <c r="BJ2235">
        <v>3.0280000000000001E-2</v>
      </c>
      <c r="BK2235">
        <v>1</v>
      </c>
      <c r="BL2235" t="s">
        <v>69</v>
      </c>
      <c r="BM2235">
        <v>0.66500000000000004</v>
      </c>
      <c r="BN2235">
        <v>-0.222</v>
      </c>
    </row>
    <row r="2236" spans="2:66">
      <c r="B2236">
        <v>3891</v>
      </c>
      <c r="C2236">
        <v>128</v>
      </c>
      <c r="D2236">
        <v>0</v>
      </c>
      <c r="E2236">
        <v>2</v>
      </c>
      <c r="F2236">
        <v>0</v>
      </c>
      <c r="J2236">
        <v>0</v>
      </c>
      <c r="K2236">
        <v>7</v>
      </c>
      <c r="L2236">
        <v>0</v>
      </c>
      <c r="M2236" t="s">
        <v>25022</v>
      </c>
      <c r="N2236">
        <v>1208</v>
      </c>
      <c r="O2236" t="s">
        <v>7604</v>
      </c>
      <c r="P2236" t="s">
        <v>57</v>
      </c>
      <c r="Q2236">
        <v>1245808</v>
      </c>
      <c r="R2236">
        <v>1246815</v>
      </c>
      <c r="S2236" t="s">
        <v>7605</v>
      </c>
      <c r="T2236">
        <v>336</v>
      </c>
      <c r="U2236" t="s">
        <v>108</v>
      </c>
      <c r="V2236">
        <v>44</v>
      </c>
      <c r="W2236" t="str">
        <f>HYPERLINK("Gene1208-zp_tree_all.dnd", "Gene1208-tree")</f>
        <v>Gene1208-tree</v>
      </c>
      <c r="X2236">
        <v>3</v>
      </c>
      <c r="Y2236">
        <v>11</v>
      </c>
      <c r="Z2236">
        <v>3</v>
      </c>
      <c r="AA2236">
        <v>11</v>
      </c>
      <c r="AB2236">
        <v>0.78571000000000002</v>
      </c>
      <c r="AC2236" t="s">
        <v>324</v>
      </c>
      <c r="AD2236" t="s">
        <v>73</v>
      </c>
      <c r="AE2236">
        <v>305230034.74400002</v>
      </c>
      <c r="AF2236" t="s">
        <v>267</v>
      </c>
      <c r="AG2236">
        <v>3</v>
      </c>
      <c r="AH2236">
        <v>7</v>
      </c>
      <c r="AI2236">
        <v>16</v>
      </c>
      <c r="AJ2236">
        <v>0.30435000000000001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3</v>
      </c>
      <c r="AQ2236">
        <v>0</v>
      </c>
      <c r="AR2236">
        <v>3</v>
      </c>
      <c r="AS2236">
        <v>13</v>
      </c>
      <c r="AT2236">
        <v>0.1875</v>
      </c>
      <c r="AU2236">
        <v>12</v>
      </c>
      <c r="AV2236">
        <v>9</v>
      </c>
      <c r="AW2236">
        <v>17</v>
      </c>
      <c r="AX2236">
        <v>17</v>
      </c>
      <c r="AY2236">
        <v>25</v>
      </c>
      <c r="AZ2236">
        <v>7</v>
      </c>
      <c r="BA2236" t="s">
        <v>7606</v>
      </c>
      <c r="BB2236" t="s">
        <v>7607</v>
      </c>
      <c r="BC2236">
        <v>1.7509999999999999</v>
      </c>
      <c r="BD2236" t="s">
        <v>65</v>
      </c>
      <c r="BE2236">
        <v>42</v>
      </c>
      <c r="BF2236">
        <v>24</v>
      </c>
      <c r="BG2236" t="s">
        <v>7608</v>
      </c>
      <c r="BH2236" t="s">
        <v>7609</v>
      </c>
      <c r="BI2236" t="s">
        <v>7610</v>
      </c>
      <c r="BJ2236">
        <v>0.15773000000000001</v>
      </c>
      <c r="BK2236">
        <v>1</v>
      </c>
      <c r="BL2236" t="s">
        <v>69</v>
      </c>
      <c r="BM2236">
        <v>-0.105</v>
      </c>
      <c r="BN2236">
        <v>-0.32500000000000001</v>
      </c>
    </row>
    <row r="2237" spans="2:66">
      <c r="B2237">
        <v>3892</v>
      </c>
      <c r="C2237">
        <v>128</v>
      </c>
      <c r="D2237">
        <v>0</v>
      </c>
      <c r="E2237">
        <v>38</v>
      </c>
      <c r="F2237">
        <v>2</v>
      </c>
      <c r="J2237">
        <v>0</v>
      </c>
      <c r="K2237">
        <v>0</v>
      </c>
      <c r="L2237">
        <v>0</v>
      </c>
      <c r="M2237" t="s">
        <v>25022</v>
      </c>
      <c r="N2237">
        <v>1209</v>
      </c>
      <c r="O2237" t="s">
        <v>7611</v>
      </c>
      <c r="P2237" t="s">
        <v>57</v>
      </c>
      <c r="Q2237">
        <v>1246837</v>
      </c>
      <c r="R2237">
        <v>1247649</v>
      </c>
      <c r="S2237" t="s">
        <v>7612</v>
      </c>
      <c r="T2237">
        <v>271</v>
      </c>
      <c r="U2237" t="s">
        <v>108</v>
      </c>
      <c r="V2237">
        <v>44</v>
      </c>
      <c r="W2237" t="str">
        <f>HYPERLINK("Gene1209-zp_tree_all.dnd", "Gene1209-tree")</f>
        <v>Gene1209-tree</v>
      </c>
      <c r="X2237">
        <v>28</v>
      </c>
      <c r="Y2237">
        <v>3</v>
      </c>
      <c r="Z2237">
        <v>10</v>
      </c>
      <c r="AA2237">
        <v>3</v>
      </c>
      <c r="AB2237">
        <v>0.23077</v>
      </c>
      <c r="AC2237" t="s">
        <v>7613</v>
      </c>
      <c r="AD2237" t="s">
        <v>324</v>
      </c>
      <c r="AE2237" t="s">
        <v>62</v>
      </c>
      <c r="AF2237" t="s">
        <v>62</v>
      </c>
      <c r="AG2237">
        <v>0</v>
      </c>
      <c r="AH2237">
        <v>0</v>
      </c>
      <c r="AI2237">
        <v>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3</v>
      </c>
      <c r="AT2237">
        <v>0</v>
      </c>
      <c r="AU2237">
        <v>11</v>
      </c>
      <c r="AV2237">
        <v>7</v>
      </c>
      <c r="AW2237">
        <v>20</v>
      </c>
      <c r="AX2237">
        <v>2</v>
      </c>
      <c r="AY2237">
        <v>8</v>
      </c>
      <c r="AZ2237">
        <v>3</v>
      </c>
      <c r="BA2237" t="s">
        <v>7614</v>
      </c>
      <c r="BB2237" t="s">
        <v>7615</v>
      </c>
      <c r="BC2237">
        <v>1.0329999999999999</v>
      </c>
      <c r="BD2237" t="s">
        <v>65</v>
      </c>
      <c r="BE2237">
        <v>28</v>
      </c>
      <c r="BF2237">
        <v>5</v>
      </c>
      <c r="BG2237" t="s">
        <v>7616</v>
      </c>
      <c r="BH2237" t="s">
        <v>7617</v>
      </c>
      <c r="BI2237" t="s">
        <v>7618</v>
      </c>
      <c r="BJ2237">
        <v>7.7119999999999994E-2</v>
      </c>
      <c r="BK2237">
        <v>1</v>
      </c>
      <c r="BL2237" t="s">
        <v>69</v>
      </c>
      <c r="BM2237">
        <v>7.1999999999999995E-2</v>
      </c>
      <c r="BN2237">
        <v>-0.74</v>
      </c>
    </row>
    <row r="2238" spans="2:66">
      <c r="B2238">
        <v>3894</v>
      </c>
      <c r="C2238">
        <v>124</v>
      </c>
      <c r="D2238">
        <v>0</v>
      </c>
      <c r="E2238">
        <v>6</v>
      </c>
      <c r="F2238">
        <v>0</v>
      </c>
      <c r="J2238">
        <v>0</v>
      </c>
      <c r="K2238">
        <v>0</v>
      </c>
      <c r="L2238">
        <v>0</v>
      </c>
      <c r="M2238" t="s">
        <v>25022</v>
      </c>
      <c r="N2238">
        <v>1210</v>
      </c>
      <c r="O2238" t="s">
        <v>7619</v>
      </c>
      <c r="P2238" t="s">
        <v>57</v>
      </c>
      <c r="Q2238">
        <v>1247788</v>
      </c>
      <c r="R2238">
        <v>1248561</v>
      </c>
      <c r="S2238" t="s">
        <v>7620</v>
      </c>
      <c r="T2238">
        <v>258</v>
      </c>
      <c r="U2238" t="s">
        <v>160</v>
      </c>
      <c r="V2238">
        <v>45</v>
      </c>
      <c r="W2238" t="str">
        <f>HYPERLINK("Gene1210-zp_tree_all.dnd", "Gene1210-tree")</f>
        <v>Gene1210-tree</v>
      </c>
      <c r="X2238">
        <v>11</v>
      </c>
      <c r="Y2238">
        <v>4</v>
      </c>
      <c r="Z2238">
        <v>11</v>
      </c>
      <c r="AA2238">
        <v>4</v>
      </c>
      <c r="AB2238">
        <v>0.26667000000000002</v>
      </c>
      <c r="AC2238" t="s">
        <v>73</v>
      </c>
      <c r="AD2238" t="s">
        <v>61</v>
      </c>
      <c r="AE2238" t="s">
        <v>62</v>
      </c>
      <c r="AF2238" t="s">
        <v>62</v>
      </c>
      <c r="AG2238">
        <v>0</v>
      </c>
      <c r="AH2238">
        <v>0</v>
      </c>
      <c r="AI2238">
        <v>6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5</v>
      </c>
      <c r="AT2238">
        <v>0</v>
      </c>
      <c r="AU2238">
        <v>12</v>
      </c>
      <c r="AV2238">
        <v>9</v>
      </c>
      <c r="AW2238">
        <v>52</v>
      </c>
      <c r="AX2238">
        <v>5</v>
      </c>
      <c r="AY2238">
        <v>19</v>
      </c>
      <c r="AZ2238">
        <v>1</v>
      </c>
      <c r="BA2238" t="s">
        <v>7621</v>
      </c>
      <c r="BB2238" t="s">
        <v>7622</v>
      </c>
      <c r="BC2238">
        <v>0.188</v>
      </c>
      <c r="BD2238" t="s">
        <v>65</v>
      </c>
      <c r="BE2238">
        <v>71</v>
      </c>
      <c r="BF2238">
        <v>6</v>
      </c>
      <c r="BG2238" t="s">
        <v>7623</v>
      </c>
      <c r="BH2238" t="s">
        <v>7624</v>
      </c>
      <c r="BI2238" t="s">
        <v>7084</v>
      </c>
      <c r="BJ2238">
        <v>2.189E-2</v>
      </c>
      <c r="BK2238">
        <v>1</v>
      </c>
      <c r="BL2238" t="s">
        <v>69</v>
      </c>
      <c r="BM2238">
        <v>-1.2629999999999999</v>
      </c>
      <c r="BN2238">
        <v>-3.0739999999999998</v>
      </c>
    </row>
    <row r="2239" spans="2:66">
      <c r="B2239">
        <v>3896</v>
      </c>
      <c r="C2239">
        <v>418</v>
      </c>
      <c r="D2239">
        <v>0</v>
      </c>
      <c r="E2239">
        <v>10</v>
      </c>
      <c r="F2239">
        <v>2</v>
      </c>
      <c r="J2239">
        <v>0</v>
      </c>
      <c r="K2239">
        <v>4</v>
      </c>
      <c r="L2239">
        <v>2</v>
      </c>
      <c r="M2239" t="s">
        <v>25022</v>
      </c>
      <c r="N2239">
        <v>1211</v>
      </c>
      <c r="O2239" t="s">
        <v>7625</v>
      </c>
      <c r="P2239" t="s">
        <v>57</v>
      </c>
      <c r="Q2239">
        <v>1248665</v>
      </c>
      <c r="R2239">
        <v>1249345</v>
      </c>
      <c r="S2239" t="s">
        <v>7626</v>
      </c>
      <c r="T2239">
        <v>227</v>
      </c>
      <c r="U2239" t="s">
        <v>108</v>
      </c>
      <c r="V2239">
        <v>44</v>
      </c>
      <c r="W2239" t="str">
        <f>HYPERLINK("Gene1211-zp_tree_all.dnd", "Gene1211-tree")</f>
        <v>Gene1211-tree</v>
      </c>
      <c r="X2239">
        <v>26</v>
      </c>
      <c r="Y2239">
        <v>7</v>
      </c>
      <c r="Z2239">
        <v>9</v>
      </c>
      <c r="AA2239">
        <v>7</v>
      </c>
      <c r="AB2239">
        <v>0.4375</v>
      </c>
      <c r="AC2239" t="s">
        <v>4723</v>
      </c>
      <c r="AD2239" t="s">
        <v>152</v>
      </c>
      <c r="AE2239" t="s">
        <v>62</v>
      </c>
      <c r="AF2239" t="s">
        <v>62</v>
      </c>
      <c r="AG2239">
        <v>2</v>
      </c>
      <c r="AH2239">
        <v>6</v>
      </c>
      <c r="AI2239">
        <v>14</v>
      </c>
      <c r="AJ2239">
        <v>0.3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2</v>
      </c>
      <c r="AR2239">
        <v>2</v>
      </c>
      <c r="AS2239">
        <v>7</v>
      </c>
      <c r="AT2239">
        <v>0.22222</v>
      </c>
      <c r="AU2239">
        <v>13</v>
      </c>
      <c r="AV2239">
        <v>12</v>
      </c>
      <c r="AW2239">
        <v>30</v>
      </c>
      <c r="AX2239">
        <v>9</v>
      </c>
      <c r="AY2239">
        <v>18</v>
      </c>
      <c r="AZ2239">
        <v>13</v>
      </c>
      <c r="BA2239" t="s">
        <v>7627</v>
      </c>
      <c r="BB2239" t="s">
        <v>7628</v>
      </c>
      <c r="BC2239">
        <v>0.71299999999999997</v>
      </c>
      <c r="BD2239" t="s">
        <v>65</v>
      </c>
      <c r="BE2239">
        <v>48</v>
      </c>
      <c r="BF2239">
        <v>22</v>
      </c>
      <c r="BG2239" t="s">
        <v>7629</v>
      </c>
      <c r="BH2239" t="s">
        <v>7630</v>
      </c>
      <c r="BI2239" t="s">
        <v>7631</v>
      </c>
      <c r="BJ2239">
        <v>0.14996999999999999</v>
      </c>
      <c r="BK2239">
        <v>1</v>
      </c>
      <c r="BL2239" t="s">
        <v>69</v>
      </c>
      <c r="BM2239">
        <v>-1.099</v>
      </c>
      <c r="BN2239">
        <v>-1.994</v>
      </c>
    </row>
    <row r="2240" spans="2:66">
      <c r="B2240">
        <v>3898</v>
      </c>
      <c r="C2240">
        <v>174</v>
      </c>
      <c r="D2240">
        <v>0</v>
      </c>
      <c r="E2240">
        <v>8</v>
      </c>
      <c r="F2240">
        <v>0</v>
      </c>
      <c r="J2240">
        <v>0</v>
      </c>
      <c r="K2240">
        <v>2</v>
      </c>
      <c r="L2240">
        <v>0</v>
      </c>
      <c r="M2240" t="s">
        <v>25022</v>
      </c>
      <c r="N2240">
        <v>1217</v>
      </c>
      <c r="O2240" t="s">
        <v>7653</v>
      </c>
      <c r="P2240" t="s">
        <v>57</v>
      </c>
      <c r="Q2240">
        <v>1252177</v>
      </c>
      <c r="R2240">
        <v>1252530</v>
      </c>
      <c r="S2240" t="s">
        <v>7654</v>
      </c>
      <c r="T2240">
        <v>118</v>
      </c>
      <c r="U2240" t="s">
        <v>108</v>
      </c>
      <c r="V2240">
        <v>44</v>
      </c>
      <c r="W2240" t="str">
        <f>HYPERLINK("Gene1217-zp_tree_all.dnd", "Gene1217-tree")</f>
        <v>Gene1217-tree</v>
      </c>
      <c r="X2240">
        <v>7</v>
      </c>
      <c r="Y2240">
        <v>3</v>
      </c>
      <c r="Z2240">
        <v>7</v>
      </c>
      <c r="AA2240">
        <v>3</v>
      </c>
      <c r="AB2240">
        <v>0.3</v>
      </c>
      <c r="AC2240" t="s">
        <v>152</v>
      </c>
      <c r="AD2240" t="s">
        <v>324</v>
      </c>
      <c r="AE2240" t="s">
        <v>62</v>
      </c>
      <c r="AF2240" t="s">
        <v>62</v>
      </c>
      <c r="AG2240">
        <v>1</v>
      </c>
      <c r="AH2240">
        <v>2</v>
      </c>
      <c r="AI2240">
        <v>6</v>
      </c>
      <c r="AJ2240">
        <v>0.25</v>
      </c>
      <c r="AK2240">
        <v>0</v>
      </c>
      <c r="AL2240">
        <v>0</v>
      </c>
      <c r="AM2240">
        <v>0</v>
      </c>
      <c r="AN2240">
        <v>2</v>
      </c>
      <c r="AO2240">
        <v>0</v>
      </c>
      <c r="AP2240">
        <v>0</v>
      </c>
      <c r="AQ2240">
        <v>0</v>
      </c>
      <c r="AR2240">
        <v>0</v>
      </c>
      <c r="AS2240">
        <v>5</v>
      </c>
      <c r="AT2240">
        <v>0</v>
      </c>
      <c r="AU2240">
        <v>7</v>
      </c>
      <c r="AV2240">
        <v>5</v>
      </c>
      <c r="AW2240">
        <v>16</v>
      </c>
      <c r="AX2240">
        <v>5</v>
      </c>
      <c r="AY2240">
        <v>5</v>
      </c>
      <c r="AZ2240">
        <v>3</v>
      </c>
      <c r="BA2240" t="s">
        <v>7655</v>
      </c>
      <c r="BB2240" t="s">
        <v>7656</v>
      </c>
      <c r="BC2240">
        <v>0.56799999999999995</v>
      </c>
      <c r="BD2240" t="s">
        <v>65</v>
      </c>
      <c r="BE2240">
        <v>21</v>
      </c>
      <c r="BF2240">
        <v>8</v>
      </c>
      <c r="BG2240" t="s">
        <v>7657</v>
      </c>
      <c r="BH2240" t="s">
        <v>7658</v>
      </c>
      <c r="BI2240" t="s">
        <v>7659</v>
      </c>
      <c r="BJ2240">
        <v>0.13133</v>
      </c>
      <c r="BK2240">
        <v>1</v>
      </c>
      <c r="BL2240" t="s">
        <v>69</v>
      </c>
      <c r="BM2240">
        <v>-0.90200000000000002</v>
      </c>
      <c r="BN2240">
        <v>-1.339</v>
      </c>
    </row>
    <row r="2241" spans="2:66">
      <c r="B2241">
        <v>3899</v>
      </c>
      <c r="C2241">
        <v>54</v>
      </c>
      <c r="D2241">
        <v>0</v>
      </c>
      <c r="E2241">
        <v>15</v>
      </c>
      <c r="F2241">
        <v>0</v>
      </c>
      <c r="J2241">
        <v>0</v>
      </c>
      <c r="K2241">
        <v>2</v>
      </c>
      <c r="L2241">
        <v>0</v>
      </c>
      <c r="M2241" t="s">
        <v>25022</v>
      </c>
      <c r="N2241">
        <v>1219</v>
      </c>
      <c r="O2241" t="s">
        <v>7660</v>
      </c>
      <c r="P2241" t="s">
        <v>57</v>
      </c>
      <c r="Q2241">
        <v>1252815</v>
      </c>
      <c r="R2241">
        <v>1253018</v>
      </c>
      <c r="S2241" t="s">
        <v>288</v>
      </c>
      <c r="T2241">
        <v>68</v>
      </c>
      <c r="U2241" t="s">
        <v>7661</v>
      </c>
      <c r="V2241">
        <v>43</v>
      </c>
      <c r="W2241" t="str">
        <f>HYPERLINK("Gene1219-zp_tree_all.dnd", "Gene1219-tree")</f>
        <v>Gene1219-tree</v>
      </c>
      <c r="X2241">
        <v>8</v>
      </c>
      <c r="Y2241">
        <v>1</v>
      </c>
      <c r="Z2241">
        <v>8</v>
      </c>
      <c r="AA2241">
        <v>1</v>
      </c>
      <c r="AB2241">
        <v>0.11111</v>
      </c>
      <c r="AC2241" t="s">
        <v>136</v>
      </c>
      <c r="AD2241" t="s">
        <v>175</v>
      </c>
      <c r="AE2241" t="s">
        <v>62</v>
      </c>
      <c r="AF2241" t="s">
        <v>62</v>
      </c>
      <c r="AG2241">
        <v>1</v>
      </c>
      <c r="AH2241">
        <v>2</v>
      </c>
      <c r="AI2241">
        <v>2</v>
      </c>
      <c r="AJ2241">
        <v>0.5</v>
      </c>
      <c r="AK2241">
        <v>0</v>
      </c>
      <c r="AL2241">
        <v>0</v>
      </c>
      <c r="AM2241">
        <v>0</v>
      </c>
      <c r="AN2241">
        <v>2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0</v>
      </c>
      <c r="AU2241">
        <v>6</v>
      </c>
      <c r="AV2241">
        <v>3</v>
      </c>
      <c r="AW2241">
        <v>8</v>
      </c>
      <c r="AX2241">
        <v>1</v>
      </c>
      <c r="AY2241">
        <v>0</v>
      </c>
      <c r="AZ2241">
        <v>3</v>
      </c>
      <c r="BA2241" t="s">
        <v>7662</v>
      </c>
      <c r="BB2241" t="s">
        <v>193</v>
      </c>
      <c r="BC2241">
        <v>0.47699999999999998</v>
      </c>
      <c r="BD2241" t="s">
        <v>65</v>
      </c>
      <c r="BE2241">
        <v>8</v>
      </c>
      <c r="BF2241">
        <v>4</v>
      </c>
      <c r="BG2241" t="s">
        <v>7663</v>
      </c>
      <c r="BH2241" t="s">
        <v>7664</v>
      </c>
      <c r="BI2241" t="s">
        <v>7665</v>
      </c>
      <c r="BJ2241">
        <v>0.17874999999999999</v>
      </c>
      <c r="BK2241">
        <v>0.92600000000000005</v>
      </c>
      <c r="BL2241" t="s">
        <v>635</v>
      </c>
      <c r="BM2241">
        <v>0.438</v>
      </c>
      <c r="BN2241">
        <v>0.80900000000000005</v>
      </c>
    </row>
    <row r="2242" spans="2:66">
      <c r="B2242">
        <v>3900</v>
      </c>
      <c r="C2242">
        <v>270</v>
      </c>
      <c r="D2242">
        <v>0</v>
      </c>
      <c r="E2242">
        <v>6</v>
      </c>
      <c r="F2242">
        <v>0</v>
      </c>
      <c r="J2242">
        <v>2</v>
      </c>
      <c r="K2242">
        <v>5</v>
      </c>
      <c r="L2242">
        <v>0</v>
      </c>
      <c r="M2242" t="s">
        <v>25022</v>
      </c>
      <c r="N2242">
        <v>1220</v>
      </c>
      <c r="O2242" t="s">
        <v>7666</v>
      </c>
      <c r="P2242" t="s">
        <v>57</v>
      </c>
      <c r="Q2242">
        <v>1252858</v>
      </c>
      <c r="R2242">
        <v>1253070</v>
      </c>
      <c r="S2242" t="s">
        <v>7667</v>
      </c>
      <c r="T2242">
        <v>71</v>
      </c>
      <c r="U2242" t="s">
        <v>7661</v>
      </c>
      <c r="V2242">
        <v>43</v>
      </c>
      <c r="W2242" t="str">
        <f>HYPERLINK("Gene1220-zp_tree_all.dnd", "Gene1220-tree")</f>
        <v>Gene1220-tree</v>
      </c>
      <c r="X2242">
        <v>4</v>
      </c>
      <c r="Y2242">
        <v>7</v>
      </c>
      <c r="Z2242">
        <v>4</v>
      </c>
      <c r="AA2242">
        <v>7</v>
      </c>
      <c r="AB2242">
        <v>0.63636000000000004</v>
      </c>
      <c r="AC2242" t="s">
        <v>61</v>
      </c>
      <c r="AD2242" t="s">
        <v>152</v>
      </c>
      <c r="AE2242" t="s">
        <v>62</v>
      </c>
      <c r="AF2242" t="s">
        <v>62</v>
      </c>
      <c r="AG2242">
        <v>3</v>
      </c>
      <c r="AH2242">
        <v>7</v>
      </c>
      <c r="AI2242">
        <v>5</v>
      </c>
      <c r="AJ2242">
        <v>0.58333000000000002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6</v>
      </c>
      <c r="AQ2242">
        <v>0</v>
      </c>
      <c r="AR2242">
        <v>6</v>
      </c>
      <c r="AS2242">
        <v>5</v>
      </c>
      <c r="AT2242">
        <v>0.54544999999999999</v>
      </c>
      <c r="AU2242">
        <v>5</v>
      </c>
      <c r="AV2242">
        <v>5</v>
      </c>
      <c r="AW2242">
        <v>3</v>
      </c>
      <c r="AX2242">
        <v>8</v>
      </c>
      <c r="AY2242">
        <v>3</v>
      </c>
      <c r="AZ2242">
        <v>4</v>
      </c>
      <c r="BA2242" t="s">
        <v>7668</v>
      </c>
      <c r="BB2242" t="s">
        <v>7669</v>
      </c>
      <c r="BC2242">
        <v>0.45900000000000002</v>
      </c>
      <c r="BD2242" t="s">
        <v>65</v>
      </c>
      <c r="BE2242">
        <v>6</v>
      </c>
      <c r="BF2242">
        <v>12</v>
      </c>
      <c r="BG2242" t="s">
        <v>7670</v>
      </c>
      <c r="BH2242" t="s">
        <v>7671</v>
      </c>
      <c r="BI2242" t="s">
        <v>7672</v>
      </c>
      <c r="BJ2242">
        <v>0.40394999999999998</v>
      </c>
      <c r="BK2242">
        <v>0.85599999999999998</v>
      </c>
      <c r="BL2242" t="s">
        <v>635</v>
      </c>
      <c r="BM2242">
        <v>0.315</v>
      </c>
      <c r="BN2242">
        <v>0.95599999999999996</v>
      </c>
    </row>
    <row r="2243" spans="2:66">
      <c r="B2243">
        <v>3901</v>
      </c>
      <c r="C2243">
        <v>260</v>
      </c>
      <c r="D2243">
        <v>0</v>
      </c>
      <c r="E2243">
        <v>4</v>
      </c>
      <c r="F2243">
        <v>0</v>
      </c>
      <c r="J2243">
        <v>0</v>
      </c>
      <c r="K2243">
        <v>0</v>
      </c>
      <c r="L2243">
        <v>0</v>
      </c>
      <c r="M2243" t="s">
        <v>25022</v>
      </c>
      <c r="N2243">
        <v>1221</v>
      </c>
      <c r="O2243" t="s">
        <v>7673</v>
      </c>
      <c r="P2243" t="s">
        <v>57</v>
      </c>
      <c r="Q2243">
        <v>1253385</v>
      </c>
      <c r="R2243">
        <v>1253636</v>
      </c>
      <c r="S2243" t="s">
        <v>7674</v>
      </c>
      <c r="T2243">
        <v>84</v>
      </c>
      <c r="U2243" t="s">
        <v>108</v>
      </c>
      <c r="V2243">
        <v>44</v>
      </c>
      <c r="W2243" t="str">
        <f>HYPERLINK("Gene1221-zp_tree_all.dnd", "Gene1221-tree")</f>
        <v>Gene1221-tree</v>
      </c>
      <c r="X2243">
        <v>5</v>
      </c>
      <c r="Y2243">
        <v>0</v>
      </c>
      <c r="Z2243">
        <v>5</v>
      </c>
      <c r="AA2243">
        <v>0</v>
      </c>
      <c r="AB2243">
        <v>0</v>
      </c>
      <c r="AC2243" t="s">
        <v>199</v>
      </c>
      <c r="AD2243" t="s">
        <v>62</v>
      </c>
      <c r="AE2243" t="s">
        <v>62</v>
      </c>
      <c r="AF2243" t="s">
        <v>62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4</v>
      </c>
      <c r="AV2243">
        <v>1</v>
      </c>
      <c r="AW2243">
        <v>6</v>
      </c>
      <c r="AX2243">
        <v>0</v>
      </c>
      <c r="AY2243">
        <v>0</v>
      </c>
      <c r="AZ2243">
        <v>1</v>
      </c>
      <c r="BA2243" t="s">
        <v>193</v>
      </c>
      <c r="BB2243" t="s">
        <v>193</v>
      </c>
      <c r="BC2243">
        <v>0</v>
      </c>
      <c r="BD2243" t="s">
        <v>65</v>
      </c>
      <c r="BE2243">
        <v>6</v>
      </c>
      <c r="BF2243">
        <v>1</v>
      </c>
      <c r="BG2243" t="s">
        <v>7675</v>
      </c>
      <c r="BH2243" t="s">
        <v>7676</v>
      </c>
      <c r="BI2243" t="s">
        <v>7677</v>
      </c>
      <c r="BJ2243">
        <v>9.3210000000000001E-2</v>
      </c>
      <c r="BK2243">
        <v>0.98499999999999999</v>
      </c>
      <c r="BL2243" t="s">
        <v>69</v>
      </c>
      <c r="BM2243">
        <v>0.878</v>
      </c>
      <c r="BN2243">
        <v>1.0169999999999999</v>
      </c>
    </row>
    <row r="2244" spans="2:66">
      <c r="B2244">
        <v>3902</v>
      </c>
      <c r="C2244">
        <v>119</v>
      </c>
      <c r="D2244">
        <v>0</v>
      </c>
      <c r="E2244">
        <v>0</v>
      </c>
      <c r="F2244">
        <v>2</v>
      </c>
      <c r="J2244">
        <v>0</v>
      </c>
      <c r="K2244">
        <v>0</v>
      </c>
      <c r="L2244">
        <v>0</v>
      </c>
      <c r="M2244" t="s">
        <v>25022</v>
      </c>
      <c r="N2244">
        <v>1223</v>
      </c>
      <c r="O2244" t="s">
        <v>7685</v>
      </c>
      <c r="P2244" t="s">
        <v>57</v>
      </c>
      <c r="Q2244">
        <v>1256109</v>
      </c>
      <c r="R2244">
        <v>1256360</v>
      </c>
      <c r="S2244" t="s">
        <v>2302</v>
      </c>
      <c r="T2244">
        <v>84</v>
      </c>
      <c r="U2244" t="s">
        <v>3274</v>
      </c>
      <c r="V2244">
        <v>46</v>
      </c>
      <c r="W2244" t="str">
        <f>HYPERLINK("Gene1223-zp_tree_all.dnd", "Gene1223-tree")</f>
        <v>Gene1223-tree</v>
      </c>
      <c r="X2244">
        <v>10</v>
      </c>
      <c r="Y2244">
        <v>0</v>
      </c>
      <c r="Z2244">
        <v>10</v>
      </c>
      <c r="AA2244">
        <v>0</v>
      </c>
      <c r="AB2244">
        <v>0</v>
      </c>
      <c r="AC2244" t="s">
        <v>117</v>
      </c>
      <c r="AD2244" t="s">
        <v>62</v>
      </c>
      <c r="AE2244" t="s">
        <v>62</v>
      </c>
      <c r="AF2244" t="s">
        <v>62</v>
      </c>
      <c r="AG2244">
        <v>0</v>
      </c>
      <c r="AH2244">
        <v>0</v>
      </c>
      <c r="AI2244">
        <v>3</v>
      </c>
      <c r="AJ2244">
        <v>0</v>
      </c>
      <c r="AK2244">
        <v>0</v>
      </c>
      <c r="AL2244">
        <v>0</v>
      </c>
      <c r="AM2244">
        <v>0</v>
      </c>
      <c r="AN2244">
        <v>3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6</v>
      </c>
      <c r="AV2244">
        <v>4</v>
      </c>
      <c r="AW2244">
        <v>7</v>
      </c>
      <c r="AX2244">
        <v>0</v>
      </c>
      <c r="AY2244">
        <v>9</v>
      </c>
      <c r="AZ2244">
        <v>3</v>
      </c>
      <c r="BA2244" t="s">
        <v>193</v>
      </c>
      <c r="BB2244" t="s">
        <v>7686</v>
      </c>
      <c r="BC2244">
        <v>0.501</v>
      </c>
      <c r="BD2244" t="s">
        <v>65</v>
      </c>
      <c r="BE2244">
        <v>16</v>
      </c>
      <c r="BF2244">
        <v>3</v>
      </c>
      <c r="BG2244" t="s">
        <v>7687</v>
      </c>
      <c r="BH2244" t="s">
        <v>7688</v>
      </c>
      <c r="BI2244" t="s">
        <v>7689</v>
      </c>
      <c r="BJ2244">
        <v>6.3950000000000007E-2</v>
      </c>
      <c r="BK2244">
        <v>1</v>
      </c>
      <c r="BL2244" t="s">
        <v>69</v>
      </c>
      <c r="BM2244">
        <v>-1.1240000000000001</v>
      </c>
      <c r="BN2244">
        <v>0.309</v>
      </c>
    </row>
    <row r="2245" spans="2:66">
      <c r="B2245">
        <v>3903</v>
      </c>
      <c r="C2245">
        <v>29</v>
      </c>
      <c r="D2245">
        <v>0</v>
      </c>
      <c r="E2245">
        <v>4</v>
      </c>
      <c r="F2245">
        <v>0</v>
      </c>
      <c r="J2245">
        <v>0</v>
      </c>
      <c r="K2245">
        <v>5</v>
      </c>
      <c r="L2245">
        <v>0</v>
      </c>
      <c r="M2245" t="s">
        <v>25022</v>
      </c>
      <c r="N2245">
        <v>1227</v>
      </c>
      <c r="O2245" t="s">
        <v>7711</v>
      </c>
      <c r="P2245" t="s">
        <v>57</v>
      </c>
      <c r="Q2245">
        <v>1258492</v>
      </c>
      <c r="R2245">
        <v>1259610</v>
      </c>
      <c r="S2245" t="s">
        <v>7712</v>
      </c>
      <c r="T2245">
        <v>373</v>
      </c>
      <c r="U2245" t="s">
        <v>108</v>
      </c>
      <c r="V2245">
        <v>44</v>
      </c>
      <c r="W2245" t="str">
        <f>HYPERLINK("Gene1227-zp_tree_all.dnd", "Gene1227-tree")</f>
        <v>Gene1227-tree</v>
      </c>
      <c r="X2245">
        <v>8</v>
      </c>
      <c r="Y2245">
        <v>7</v>
      </c>
      <c r="Z2245">
        <v>8</v>
      </c>
      <c r="AA2245">
        <v>7</v>
      </c>
      <c r="AB2245">
        <v>0.46666999999999997</v>
      </c>
      <c r="AC2245" t="s">
        <v>136</v>
      </c>
      <c r="AD2245" t="s">
        <v>152</v>
      </c>
      <c r="AE2245" t="s">
        <v>62</v>
      </c>
      <c r="AF2245" t="s">
        <v>62</v>
      </c>
      <c r="AG2245">
        <v>2</v>
      </c>
      <c r="AH2245">
        <v>5</v>
      </c>
      <c r="AI2245">
        <v>6</v>
      </c>
      <c r="AJ2245">
        <v>0.45455000000000001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8</v>
      </c>
      <c r="AT2245">
        <v>0</v>
      </c>
      <c r="AU2245">
        <v>13</v>
      </c>
      <c r="AV2245">
        <v>12</v>
      </c>
      <c r="AW2245">
        <v>29</v>
      </c>
      <c r="AX2245">
        <v>8</v>
      </c>
      <c r="AY2245">
        <v>25</v>
      </c>
      <c r="AZ2245">
        <v>3</v>
      </c>
      <c r="BA2245" t="s">
        <v>7713</v>
      </c>
      <c r="BB2245" t="s">
        <v>7714</v>
      </c>
      <c r="BC2245">
        <v>0.66</v>
      </c>
      <c r="BD2245" t="s">
        <v>65</v>
      </c>
      <c r="BE2245">
        <v>54</v>
      </c>
      <c r="BF2245">
        <v>11</v>
      </c>
      <c r="BG2245" t="s">
        <v>7715</v>
      </c>
      <c r="BH2245" t="s">
        <v>7716</v>
      </c>
      <c r="BI2245" t="s">
        <v>7717</v>
      </c>
      <c r="BJ2245">
        <v>4.3779999999999999E-2</v>
      </c>
      <c r="BK2245">
        <v>1</v>
      </c>
      <c r="BL2245" t="s">
        <v>69</v>
      </c>
      <c r="BM2245">
        <v>-0.95099999999999996</v>
      </c>
      <c r="BN2245">
        <v>-1.4219999999999999</v>
      </c>
    </row>
    <row r="2246" spans="2:66">
      <c r="B2246">
        <v>3904</v>
      </c>
      <c r="C2246">
        <v>209</v>
      </c>
      <c r="D2246">
        <v>0</v>
      </c>
      <c r="E2246">
        <v>9</v>
      </c>
      <c r="F2246">
        <v>4</v>
      </c>
      <c r="J2246">
        <v>0</v>
      </c>
      <c r="K2246">
        <v>5</v>
      </c>
      <c r="L2246">
        <v>2</v>
      </c>
      <c r="M2246" t="s">
        <v>25022</v>
      </c>
      <c r="N2246">
        <v>1228</v>
      </c>
      <c r="O2246" t="s">
        <v>7718</v>
      </c>
      <c r="P2246" t="s">
        <v>57</v>
      </c>
      <c r="Q2246">
        <v>1259606</v>
      </c>
      <c r="R2246">
        <v>1260775</v>
      </c>
      <c r="S2246" t="s">
        <v>7719</v>
      </c>
      <c r="T2246">
        <v>390</v>
      </c>
      <c r="U2246" t="s">
        <v>108</v>
      </c>
      <c r="V2246">
        <v>44</v>
      </c>
      <c r="W2246" t="str">
        <f>HYPERLINK("Gene1228-zp_tree_all.dnd", "Gene1228-tree")</f>
        <v>Gene1228-tree</v>
      </c>
      <c r="X2246">
        <v>3</v>
      </c>
      <c r="Y2246">
        <v>11</v>
      </c>
      <c r="Z2246">
        <v>3</v>
      </c>
      <c r="AA2246">
        <v>11</v>
      </c>
      <c r="AB2246">
        <v>0.78571000000000002</v>
      </c>
      <c r="AC2246" t="s">
        <v>324</v>
      </c>
      <c r="AD2246" t="s">
        <v>73</v>
      </c>
      <c r="AE2246">
        <v>305230034.74400002</v>
      </c>
      <c r="AF2246" t="s">
        <v>267</v>
      </c>
      <c r="AG2246">
        <v>3</v>
      </c>
      <c r="AH2246">
        <v>7</v>
      </c>
      <c r="AI2246">
        <v>14</v>
      </c>
      <c r="AJ2246">
        <v>0.33333000000000002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2</v>
      </c>
      <c r="AQ2246">
        <v>0</v>
      </c>
      <c r="AR2246">
        <v>2</v>
      </c>
      <c r="AS2246">
        <v>15</v>
      </c>
      <c r="AT2246">
        <v>0.11765</v>
      </c>
      <c r="AU2246">
        <v>12</v>
      </c>
      <c r="AV2246">
        <v>10</v>
      </c>
      <c r="AW2246">
        <v>41</v>
      </c>
      <c r="AX2246">
        <v>17</v>
      </c>
      <c r="AY2246">
        <v>54</v>
      </c>
      <c r="AZ2246">
        <v>4</v>
      </c>
      <c r="BA2246" t="s">
        <v>7720</v>
      </c>
      <c r="BB2246" t="s">
        <v>7721</v>
      </c>
      <c r="BC2246">
        <v>1.2969999999999999</v>
      </c>
      <c r="BD2246" t="s">
        <v>65</v>
      </c>
      <c r="BE2246">
        <v>95</v>
      </c>
      <c r="BF2246">
        <v>21</v>
      </c>
      <c r="BG2246" t="s">
        <v>7722</v>
      </c>
      <c r="BH2246" t="s">
        <v>7723</v>
      </c>
      <c r="BI2246" t="s">
        <v>7724</v>
      </c>
      <c r="BJ2246">
        <v>5.3359999999999998E-2</v>
      </c>
      <c r="BK2246">
        <v>1</v>
      </c>
      <c r="BL2246" t="s">
        <v>69</v>
      </c>
      <c r="BM2246">
        <v>-0.33400000000000002</v>
      </c>
      <c r="BN2246">
        <v>-0.84399999999999997</v>
      </c>
    </row>
    <row r="2247" spans="2:66">
      <c r="B2247">
        <v>3905</v>
      </c>
      <c r="C2247">
        <v>27</v>
      </c>
      <c r="D2247">
        <v>0</v>
      </c>
      <c r="E2247">
        <v>16</v>
      </c>
      <c r="F2247">
        <v>0</v>
      </c>
      <c r="J2247">
        <v>0</v>
      </c>
      <c r="K2247">
        <v>0</v>
      </c>
      <c r="L2247">
        <v>0</v>
      </c>
      <c r="M2247" t="s">
        <v>25022</v>
      </c>
      <c r="N2247">
        <v>1234</v>
      </c>
      <c r="O2247" t="s">
        <v>7747</v>
      </c>
      <c r="P2247" t="s">
        <v>57</v>
      </c>
      <c r="Q2247">
        <v>1265677</v>
      </c>
      <c r="R2247">
        <v>1265847</v>
      </c>
      <c r="S2247" t="s">
        <v>2302</v>
      </c>
      <c r="T2247">
        <v>57</v>
      </c>
      <c r="U2247" t="s">
        <v>7748</v>
      </c>
      <c r="V2247">
        <v>25</v>
      </c>
      <c r="W2247" t="str">
        <f>HYPERLINK("Gene1234-zp_tree_all.dnd", "Gene1234-tree")</f>
        <v>Gene1234-tree</v>
      </c>
      <c r="X2247">
        <v>3</v>
      </c>
      <c r="Y2247">
        <v>20</v>
      </c>
      <c r="Z2247">
        <v>3</v>
      </c>
      <c r="AA2247">
        <v>2</v>
      </c>
      <c r="AB2247">
        <v>0.4</v>
      </c>
      <c r="AC2247" t="s">
        <v>324</v>
      </c>
      <c r="AD2247" t="s">
        <v>4872</v>
      </c>
      <c r="AE2247">
        <v>6.5170000000000003</v>
      </c>
      <c r="AF2247" t="s">
        <v>65</v>
      </c>
      <c r="AG2247">
        <v>0</v>
      </c>
      <c r="AH2247">
        <v>0</v>
      </c>
      <c r="AI2247">
        <v>4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4</v>
      </c>
      <c r="AT2247">
        <v>0</v>
      </c>
      <c r="AU2247">
        <v>4</v>
      </c>
      <c r="AV2247">
        <v>0</v>
      </c>
      <c r="AW2247">
        <v>5</v>
      </c>
      <c r="AX2247">
        <v>4</v>
      </c>
      <c r="AY2247">
        <v>0</v>
      </c>
      <c r="AZ2247">
        <v>0</v>
      </c>
      <c r="BA2247" t="s">
        <v>7749</v>
      </c>
      <c r="BB2247" t="s">
        <v>193</v>
      </c>
      <c r="BC2247">
        <v>1.024</v>
      </c>
      <c r="BD2247" t="s">
        <v>65</v>
      </c>
      <c r="BE2247">
        <v>5</v>
      </c>
      <c r="BF2247">
        <v>4</v>
      </c>
      <c r="BG2247" t="s">
        <v>7750</v>
      </c>
      <c r="BH2247" t="s">
        <v>7751</v>
      </c>
      <c r="BI2247" t="s">
        <v>7752</v>
      </c>
      <c r="BJ2247">
        <v>0.20658000000000001</v>
      </c>
      <c r="BK2247">
        <v>0.90200000000000002</v>
      </c>
      <c r="BL2247" t="s">
        <v>635</v>
      </c>
      <c r="BM2247">
        <v>-0.626</v>
      </c>
      <c r="BN2247">
        <v>-0.63300000000000001</v>
      </c>
    </row>
    <row r="2248" spans="2:66">
      <c r="B2248">
        <v>3906</v>
      </c>
      <c r="C2248">
        <v>265</v>
      </c>
      <c r="D2248">
        <v>0</v>
      </c>
      <c r="E2248">
        <v>2</v>
      </c>
      <c r="F2248">
        <v>0</v>
      </c>
      <c r="J2248">
        <v>0</v>
      </c>
      <c r="K2248">
        <v>0</v>
      </c>
      <c r="L2248">
        <v>0</v>
      </c>
      <c r="M2248" t="s">
        <v>25022</v>
      </c>
      <c r="N2248">
        <v>1235</v>
      </c>
      <c r="O2248" t="s">
        <v>7753</v>
      </c>
      <c r="P2248" t="s">
        <v>57</v>
      </c>
      <c r="Q2248">
        <v>1265887</v>
      </c>
      <c r="R2248">
        <v>1266345</v>
      </c>
      <c r="S2248" t="s">
        <v>7754</v>
      </c>
      <c r="T2248">
        <v>153</v>
      </c>
      <c r="U2248" t="s">
        <v>7755</v>
      </c>
      <c r="V2248">
        <v>25</v>
      </c>
      <c r="W2248" t="str">
        <f>HYPERLINK("Gene1235-zp_tree_all.dnd", "Gene1235-tree")</f>
        <v>Gene1235-tree</v>
      </c>
      <c r="X2248">
        <v>1</v>
      </c>
      <c r="Y2248">
        <v>23</v>
      </c>
      <c r="Z2248">
        <v>1</v>
      </c>
      <c r="AA2248">
        <v>5</v>
      </c>
      <c r="AB2248">
        <v>0.83333000000000002</v>
      </c>
      <c r="AC2248" t="s">
        <v>175</v>
      </c>
      <c r="AD2248" t="s">
        <v>1652</v>
      </c>
      <c r="AE2248">
        <v>2.5059999999999998</v>
      </c>
      <c r="AF2248" t="s">
        <v>267</v>
      </c>
      <c r="AG2248">
        <v>0</v>
      </c>
      <c r="AH2248">
        <v>0</v>
      </c>
      <c r="AI2248">
        <v>6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6</v>
      </c>
      <c r="AT2248">
        <v>0</v>
      </c>
      <c r="AU2248">
        <v>6</v>
      </c>
      <c r="AV2248">
        <v>2</v>
      </c>
      <c r="AW2248">
        <v>35</v>
      </c>
      <c r="AX2248">
        <v>7</v>
      </c>
      <c r="AY2248">
        <v>7</v>
      </c>
      <c r="AZ2248">
        <v>0</v>
      </c>
      <c r="BA2248" t="s">
        <v>7756</v>
      </c>
      <c r="BB2248" t="s">
        <v>193</v>
      </c>
      <c r="BC2248">
        <v>3.242</v>
      </c>
      <c r="BD2248" t="s">
        <v>267</v>
      </c>
      <c r="BE2248">
        <v>42</v>
      </c>
      <c r="BF2248">
        <v>7</v>
      </c>
      <c r="BG2248" t="s">
        <v>7757</v>
      </c>
      <c r="BH2248" t="s">
        <v>7758</v>
      </c>
      <c r="BI2248" t="s">
        <v>7759</v>
      </c>
      <c r="BJ2248">
        <v>4.0219999999999999E-2</v>
      </c>
      <c r="BK2248">
        <v>1</v>
      </c>
      <c r="BL2248" t="s">
        <v>69</v>
      </c>
      <c r="BM2248">
        <v>-1.0609999999999999</v>
      </c>
      <c r="BN2248">
        <v>-1.496</v>
      </c>
    </row>
    <row r="2249" spans="2:66">
      <c r="B2249">
        <v>3907</v>
      </c>
      <c r="C2249">
        <v>82</v>
      </c>
      <c r="D2249">
        <v>0</v>
      </c>
      <c r="E2249">
        <v>6</v>
      </c>
      <c r="F2249">
        <v>0</v>
      </c>
      <c r="J2249">
        <v>0</v>
      </c>
      <c r="K2249">
        <v>5</v>
      </c>
      <c r="L2249">
        <v>0</v>
      </c>
      <c r="M2249" t="s">
        <v>25022</v>
      </c>
      <c r="N2249">
        <v>1239</v>
      </c>
      <c r="O2249" t="s">
        <v>7760</v>
      </c>
      <c r="P2249" t="s">
        <v>57</v>
      </c>
      <c r="Q2249">
        <v>1268275</v>
      </c>
      <c r="R2249">
        <v>1268589</v>
      </c>
      <c r="S2249" t="s">
        <v>7740</v>
      </c>
      <c r="T2249">
        <v>105</v>
      </c>
      <c r="U2249" t="s">
        <v>7761</v>
      </c>
      <c r="V2249">
        <v>42</v>
      </c>
      <c r="W2249" t="str">
        <f>HYPERLINK("Gene1239-zp_tree_all.dnd", "Gene1239-tree")</f>
        <v>Gene1239-tree</v>
      </c>
      <c r="X2249">
        <v>3</v>
      </c>
      <c r="Y2249">
        <v>7</v>
      </c>
      <c r="Z2249">
        <v>3</v>
      </c>
      <c r="AA2249">
        <v>7</v>
      </c>
      <c r="AB2249">
        <v>0.7</v>
      </c>
      <c r="AC2249" t="s">
        <v>324</v>
      </c>
      <c r="AD2249" t="s">
        <v>152</v>
      </c>
      <c r="AE2249" t="s">
        <v>62</v>
      </c>
      <c r="AF2249" t="s">
        <v>62</v>
      </c>
      <c r="AG2249">
        <v>2</v>
      </c>
      <c r="AH2249">
        <v>5</v>
      </c>
      <c r="AI2249">
        <v>5</v>
      </c>
      <c r="AJ2249">
        <v>0.5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4</v>
      </c>
      <c r="AQ2249">
        <v>0</v>
      </c>
      <c r="AR2249">
        <v>4</v>
      </c>
      <c r="AS2249">
        <v>5</v>
      </c>
      <c r="AT2249">
        <v>0.44444</v>
      </c>
      <c r="AU2249">
        <v>7</v>
      </c>
      <c r="AV2249">
        <v>3</v>
      </c>
      <c r="AW2249">
        <v>4</v>
      </c>
      <c r="AX2249">
        <v>6</v>
      </c>
      <c r="AY2249">
        <v>2</v>
      </c>
      <c r="AZ2249">
        <v>4</v>
      </c>
      <c r="BA2249" t="s">
        <v>7762</v>
      </c>
      <c r="BB2249" t="s">
        <v>7763</v>
      </c>
      <c r="BC2249">
        <v>0.22800000000000001</v>
      </c>
      <c r="BD2249" t="s">
        <v>65</v>
      </c>
      <c r="BE2249">
        <v>6</v>
      </c>
      <c r="BF2249">
        <v>10</v>
      </c>
      <c r="BG2249" t="s">
        <v>7764</v>
      </c>
      <c r="BH2249" t="s">
        <v>7765</v>
      </c>
      <c r="BI2249" t="s">
        <v>7766</v>
      </c>
      <c r="BJ2249">
        <v>0.32517000000000001</v>
      </c>
      <c r="BK2249">
        <v>0.88700000000000001</v>
      </c>
      <c r="BL2249" t="s">
        <v>635</v>
      </c>
      <c r="BM2249">
        <v>2E-3</v>
      </c>
      <c r="BN2249">
        <v>-0.441</v>
      </c>
    </row>
    <row r="2250" spans="2:66">
      <c r="B2250">
        <v>3908</v>
      </c>
      <c r="C2250">
        <v>102</v>
      </c>
      <c r="D2250">
        <v>0</v>
      </c>
      <c r="E2250">
        <v>7</v>
      </c>
      <c r="F2250">
        <v>3</v>
      </c>
      <c r="J2250">
        <v>0</v>
      </c>
      <c r="K2250">
        <v>5</v>
      </c>
      <c r="L2250">
        <v>2</v>
      </c>
      <c r="M2250" t="s">
        <v>25022</v>
      </c>
      <c r="N2250">
        <v>1240</v>
      </c>
      <c r="O2250" t="s">
        <v>7767</v>
      </c>
      <c r="P2250" t="s">
        <v>57</v>
      </c>
      <c r="Q2250">
        <v>1268829</v>
      </c>
      <c r="R2250">
        <v>1269581</v>
      </c>
      <c r="S2250" t="s">
        <v>7768</v>
      </c>
      <c r="T2250">
        <v>251</v>
      </c>
      <c r="U2250" t="s">
        <v>7769</v>
      </c>
      <c r="V2250">
        <v>32</v>
      </c>
      <c r="W2250" t="str">
        <f>HYPERLINK("Gene1240-zp_tree_all.dnd", "Gene1240-tree")</f>
        <v>Gene1240-tree</v>
      </c>
      <c r="X2250">
        <v>6</v>
      </c>
      <c r="Y2250">
        <v>4</v>
      </c>
      <c r="Z2250">
        <v>6</v>
      </c>
      <c r="AA2250">
        <v>4</v>
      </c>
      <c r="AB2250">
        <v>0.4</v>
      </c>
      <c r="AC2250" t="s">
        <v>90</v>
      </c>
      <c r="AD2250" t="s">
        <v>61</v>
      </c>
      <c r="AE2250" t="s">
        <v>62</v>
      </c>
      <c r="AF2250" t="s">
        <v>62</v>
      </c>
      <c r="AG2250">
        <v>3</v>
      </c>
      <c r="AH2250">
        <v>7</v>
      </c>
      <c r="AI2250">
        <v>8</v>
      </c>
      <c r="AJ2250">
        <v>0.46666999999999997</v>
      </c>
      <c r="AK2250">
        <v>0</v>
      </c>
      <c r="AL2250">
        <v>0</v>
      </c>
      <c r="AM2250">
        <v>0</v>
      </c>
      <c r="AN2250">
        <v>2</v>
      </c>
      <c r="AO2250">
        <v>0</v>
      </c>
      <c r="AP2250">
        <v>2</v>
      </c>
      <c r="AQ2250">
        <v>2</v>
      </c>
      <c r="AR2250">
        <v>4</v>
      </c>
      <c r="AS2250">
        <v>7</v>
      </c>
      <c r="AT2250">
        <v>0.36364000000000002</v>
      </c>
      <c r="AU2250">
        <v>9</v>
      </c>
      <c r="AV2250">
        <v>6</v>
      </c>
      <c r="AW2250">
        <v>35</v>
      </c>
      <c r="AX2250">
        <v>11</v>
      </c>
      <c r="AY2250">
        <v>9</v>
      </c>
      <c r="AZ2250">
        <v>4</v>
      </c>
      <c r="BA2250" t="s">
        <v>7770</v>
      </c>
      <c r="BB2250" t="s">
        <v>7771</v>
      </c>
      <c r="BC2250">
        <v>0.28599999999999998</v>
      </c>
      <c r="BD2250" t="s">
        <v>65</v>
      </c>
      <c r="BE2250">
        <v>44</v>
      </c>
      <c r="BF2250">
        <v>15</v>
      </c>
      <c r="BG2250" t="s">
        <v>7772</v>
      </c>
      <c r="BH2250" t="s">
        <v>7773</v>
      </c>
      <c r="BI2250" t="s">
        <v>7774</v>
      </c>
      <c r="BJ2250">
        <v>9.7860000000000003E-2</v>
      </c>
      <c r="BK2250">
        <v>1</v>
      </c>
      <c r="BL2250" t="s">
        <v>69</v>
      </c>
      <c r="BM2250">
        <v>-1.7909999999999999</v>
      </c>
      <c r="BN2250">
        <v>-2.673</v>
      </c>
    </row>
    <row r="2251" spans="2:66">
      <c r="B2251">
        <v>3911</v>
      </c>
      <c r="C2251">
        <v>49</v>
      </c>
      <c r="D2251">
        <v>0</v>
      </c>
      <c r="E2251">
        <v>8</v>
      </c>
      <c r="F2251">
        <v>0</v>
      </c>
      <c r="J2251">
        <v>0</v>
      </c>
      <c r="K2251">
        <v>24</v>
      </c>
      <c r="L2251">
        <v>2</v>
      </c>
      <c r="M2251" t="s">
        <v>25022</v>
      </c>
      <c r="N2251">
        <v>1242</v>
      </c>
      <c r="O2251" t="s">
        <v>7782</v>
      </c>
      <c r="P2251" t="s">
        <v>57</v>
      </c>
      <c r="Q2251">
        <v>1270631</v>
      </c>
      <c r="R2251">
        <v>1272574</v>
      </c>
      <c r="S2251" t="s">
        <v>7783</v>
      </c>
      <c r="T2251">
        <v>648</v>
      </c>
      <c r="U2251" t="s">
        <v>5762</v>
      </c>
      <c r="V2251">
        <v>43</v>
      </c>
      <c r="W2251" t="str">
        <f>HYPERLINK("Gene1242-zp_tree_all.dnd", "Gene1242-tree")</f>
        <v>Gene1242-tree</v>
      </c>
      <c r="X2251">
        <v>6</v>
      </c>
      <c r="Y2251">
        <v>10</v>
      </c>
      <c r="Z2251">
        <v>6</v>
      </c>
      <c r="AA2251">
        <v>10</v>
      </c>
      <c r="AB2251">
        <v>0.625</v>
      </c>
      <c r="AC2251" t="s">
        <v>90</v>
      </c>
      <c r="AD2251" t="s">
        <v>117</v>
      </c>
      <c r="AE2251" t="s">
        <v>62</v>
      </c>
      <c r="AF2251" t="s">
        <v>62</v>
      </c>
      <c r="AG2251">
        <v>10</v>
      </c>
      <c r="AH2251">
        <v>26</v>
      </c>
      <c r="AI2251">
        <v>40</v>
      </c>
      <c r="AJ2251">
        <v>0.39394000000000001</v>
      </c>
      <c r="AK2251">
        <v>0</v>
      </c>
      <c r="AL2251">
        <v>0</v>
      </c>
      <c r="AM2251">
        <v>0</v>
      </c>
      <c r="AN2251">
        <v>4</v>
      </c>
      <c r="AO2251">
        <v>0</v>
      </c>
      <c r="AP2251">
        <v>4</v>
      </c>
      <c r="AQ2251">
        <v>2</v>
      </c>
      <c r="AR2251">
        <v>6</v>
      </c>
      <c r="AS2251">
        <v>33</v>
      </c>
      <c r="AT2251">
        <v>0.15384999999999999</v>
      </c>
      <c r="AU2251">
        <v>12</v>
      </c>
      <c r="AV2251">
        <v>13</v>
      </c>
      <c r="AW2251">
        <v>83</v>
      </c>
      <c r="AX2251">
        <v>34</v>
      </c>
      <c r="AY2251">
        <v>70</v>
      </c>
      <c r="AZ2251">
        <v>33</v>
      </c>
      <c r="BA2251" t="s">
        <v>7784</v>
      </c>
      <c r="BB2251" t="s">
        <v>7785</v>
      </c>
      <c r="BC2251">
        <v>0.11600000000000001</v>
      </c>
      <c r="BD2251" t="s">
        <v>65</v>
      </c>
      <c r="BE2251">
        <v>153</v>
      </c>
      <c r="BF2251">
        <v>67</v>
      </c>
      <c r="BG2251" t="s">
        <v>7786</v>
      </c>
      <c r="BH2251" t="s">
        <v>7787</v>
      </c>
      <c r="BI2251" t="s">
        <v>7788</v>
      </c>
      <c r="BJ2251">
        <v>0.12329</v>
      </c>
      <c r="BK2251">
        <v>1</v>
      </c>
      <c r="BL2251" t="s">
        <v>69</v>
      </c>
      <c r="BM2251">
        <v>-1.2130000000000001</v>
      </c>
      <c r="BN2251">
        <v>-2.6539999999999999</v>
      </c>
    </row>
    <row r="2252" spans="2:66">
      <c r="B2252">
        <v>3912</v>
      </c>
      <c r="C2252">
        <v>461</v>
      </c>
      <c r="D2252">
        <v>0</v>
      </c>
      <c r="E2252">
        <v>5</v>
      </c>
      <c r="F2252">
        <v>4</v>
      </c>
      <c r="J2252">
        <v>0</v>
      </c>
      <c r="K2252">
        <v>17</v>
      </c>
      <c r="L2252">
        <v>3</v>
      </c>
      <c r="M2252" t="s">
        <v>25022</v>
      </c>
      <c r="N2252">
        <v>1243</v>
      </c>
      <c r="O2252" t="s">
        <v>7789</v>
      </c>
      <c r="P2252" t="s">
        <v>57</v>
      </c>
      <c r="Q2252">
        <v>1272725</v>
      </c>
      <c r="R2252">
        <v>1274674</v>
      </c>
      <c r="S2252" t="s">
        <v>7790</v>
      </c>
      <c r="T2252">
        <v>650</v>
      </c>
      <c r="U2252" t="s">
        <v>5762</v>
      </c>
      <c r="V2252">
        <v>43</v>
      </c>
      <c r="W2252" t="str">
        <f>HYPERLINK("Gene1243-zp_tree_all.dnd", "Gene1243-tree")</f>
        <v>Gene1243-tree</v>
      </c>
      <c r="X2252">
        <v>0</v>
      </c>
      <c r="Y2252">
        <v>31</v>
      </c>
      <c r="Z2252">
        <v>0</v>
      </c>
      <c r="AA2252">
        <v>13</v>
      </c>
      <c r="AB2252">
        <v>1</v>
      </c>
      <c r="AC2252" t="s">
        <v>62</v>
      </c>
      <c r="AD2252" t="s">
        <v>7791</v>
      </c>
      <c r="AE2252">
        <v>3.82</v>
      </c>
      <c r="AF2252" t="s">
        <v>65</v>
      </c>
      <c r="AG2252">
        <v>6</v>
      </c>
      <c r="AH2252">
        <v>20</v>
      </c>
      <c r="AI2252">
        <v>30</v>
      </c>
      <c r="AJ2252">
        <v>0.4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11</v>
      </c>
      <c r="AQ2252">
        <v>3</v>
      </c>
      <c r="AR2252">
        <v>14</v>
      </c>
      <c r="AS2252">
        <v>29</v>
      </c>
      <c r="AT2252">
        <v>0.32557999999999998</v>
      </c>
      <c r="AU2252">
        <v>12</v>
      </c>
      <c r="AV2252">
        <v>9</v>
      </c>
      <c r="AW2252">
        <v>101</v>
      </c>
      <c r="AX2252">
        <v>44</v>
      </c>
      <c r="AY2252">
        <v>38</v>
      </c>
      <c r="AZ2252">
        <v>9</v>
      </c>
      <c r="BA2252" t="s">
        <v>7792</v>
      </c>
      <c r="BB2252" t="s">
        <v>7793</v>
      </c>
      <c r="BC2252">
        <v>1.109</v>
      </c>
      <c r="BD2252" t="s">
        <v>65</v>
      </c>
      <c r="BE2252">
        <v>139</v>
      </c>
      <c r="BF2252">
        <v>53</v>
      </c>
      <c r="BG2252" t="s">
        <v>7794</v>
      </c>
      <c r="BH2252" t="s">
        <v>7795</v>
      </c>
      <c r="BI2252" t="s">
        <v>6693</v>
      </c>
      <c r="BJ2252">
        <v>0.10025000000000001</v>
      </c>
      <c r="BK2252">
        <v>1</v>
      </c>
      <c r="BL2252" t="s">
        <v>69</v>
      </c>
      <c r="BM2252">
        <v>-1.0229999999999999</v>
      </c>
      <c r="BN2252">
        <v>-2.0390000000000001</v>
      </c>
    </row>
    <row r="2253" spans="2:66">
      <c r="B2253">
        <v>3913</v>
      </c>
      <c r="C2253">
        <v>126</v>
      </c>
      <c r="D2253">
        <v>0</v>
      </c>
      <c r="E2253">
        <v>15</v>
      </c>
      <c r="F2253">
        <v>4</v>
      </c>
      <c r="J2253">
        <v>0</v>
      </c>
      <c r="K2253">
        <v>6</v>
      </c>
      <c r="L2253">
        <v>0</v>
      </c>
      <c r="M2253" t="s">
        <v>25022</v>
      </c>
      <c r="N2253">
        <v>1244</v>
      </c>
      <c r="O2253" t="s">
        <v>7796</v>
      </c>
      <c r="P2253" t="s">
        <v>57</v>
      </c>
      <c r="Q2253">
        <v>1274692</v>
      </c>
      <c r="R2253">
        <v>1275636</v>
      </c>
      <c r="S2253" t="s">
        <v>7797</v>
      </c>
      <c r="T2253">
        <v>315</v>
      </c>
      <c r="U2253" t="s">
        <v>5762</v>
      </c>
      <c r="V2253">
        <v>43</v>
      </c>
      <c r="W2253" t="str">
        <f>HYPERLINK("Gene1244-zp_tree_all.dnd", "Gene1244-tree")</f>
        <v>Gene1244-tree</v>
      </c>
      <c r="X2253">
        <v>8</v>
      </c>
      <c r="Y2253">
        <v>6</v>
      </c>
      <c r="Z2253">
        <v>8</v>
      </c>
      <c r="AA2253">
        <v>6</v>
      </c>
      <c r="AB2253">
        <v>0.42857000000000001</v>
      </c>
      <c r="AC2253" t="s">
        <v>136</v>
      </c>
      <c r="AD2253" t="s">
        <v>90</v>
      </c>
      <c r="AE2253" t="s">
        <v>62</v>
      </c>
      <c r="AF2253" t="s">
        <v>62</v>
      </c>
      <c r="AG2253">
        <v>3</v>
      </c>
      <c r="AH2253">
        <v>6</v>
      </c>
      <c r="AI2253">
        <v>15</v>
      </c>
      <c r="AJ2253">
        <v>0.28571000000000002</v>
      </c>
      <c r="AK2253">
        <v>0</v>
      </c>
      <c r="AL2253">
        <v>0</v>
      </c>
      <c r="AM2253">
        <v>0</v>
      </c>
      <c r="AN2253">
        <v>2</v>
      </c>
      <c r="AO2253">
        <v>0</v>
      </c>
      <c r="AP2253">
        <v>0</v>
      </c>
      <c r="AQ2253">
        <v>0</v>
      </c>
      <c r="AR2253">
        <v>0</v>
      </c>
      <c r="AS2253">
        <v>13</v>
      </c>
      <c r="AT2253">
        <v>0</v>
      </c>
      <c r="AU2253">
        <v>11</v>
      </c>
      <c r="AV2253">
        <v>9</v>
      </c>
      <c r="AW2253">
        <v>23</v>
      </c>
      <c r="AX2253">
        <v>13</v>
      </c>
      <c r="AY2253">
        <v>20</v>
      </c>
      <c r="AZ2253">
        <v>8</v>
      </c>
      <c r="BA2253" t="s">
        <v>7798</v>
      </c>
      <c r="BB2253" t="s">
        <v>7799</v>
      </c>
      <c r="BC2253">
        <v>0.30299999999999999</v>
      </c>
      <c r="BD2253" t="s">
        <v>65</v>
      </c>
      <c r="BE2253">
        <v>43</v>
      </c>
      <c r="BF2253">
        <v>21</v>
      </c>
      <c r="BG2253" t="s">
        <v>7800</v>
      </c>
      <c r="BH2253" t="s">
        <v>7801</v>
      </c>
      <c r="BI2253" t="s">
        <v>7802</v>
      </c>
      <c r="BJ2253">
        <v>0.12075</v>
      </c>
      <c r="BK2253">
        <v>1</v>
      </c>
      <c r="BL2253" t="s">
        <v>69</v>
      </c>
      <c r="BM2253">
        <v>-1.1399999999999999</v>
      </c>
      <c r="BN2253">
        <v>-1.845</v>
      </c>
    </row>
    <row r="2254" spans="2:66">
      <c r="B2254">
        <v>3914</v>
      </c>
      <c r="C2254">
        <v>335</v>
      </c>
      <c r="D2254">
        <v>0</v>
      </c>
      <c r="E2254">
        <v>6</v>
      </c>
      <c r="F2254">
        <v>0</v>
      </c>
      <c r="J2254">
        <v>0</v>
      </c>
      <c r="K2254">
        <v>4</v>
      </c>
      <c r="L2254">
        <v>2</v>
      </c>
      <c r="M2254" t="s">
        <v>25022</v>
      </c>
      <c r="N2254">
        <v>1245</v>
      </c>
      <c r="O2254" t="s">
        <v>7803</v>
      </c>
      <c r="P2254" t="s">
        <v>57</v>
      </c>
      <c r="Q2254">
        <v>1275809</v>
      </c>
      <c r="R2254">
        <v>1276288</v>
      </c>
      <c r="S2254" t="s">
        <v>288</v>
      </c>
      <c r="T2254">
        <v>160</v>
      </c>
      <c r="U2254" t="s">
        <v>5762</v>
      </c>
      <c r="V2254">
        <v>43</v>
      </c>
      <c r="W2254" t="str">
        <f>HYPERLINK("Gene1245-zp_tree_all.dnd", "Gene1245-tree")</f>
        <v>Gene1245-tree</v>
      </c>
      <c r="X2254">
        <v>4</v>
      </c>
      <c r="Y2254">
        <v>6</v>
      </c>
      <c r="Z2254">
        <v>4</v>
      </c>
      <c r="AA2254">
        <v>6</v>
      </c>
      <c r="AB2254">
        <v>0.6</v>
      </c>
      <c r="AC2254" t="s">
        <v>61</v>
      </c>
      <c r="AD2254" t="s">
        <v>90</v>
      </c>
      <c r="AE2254" t="s">
        <v>62</v>
      </c>
      <c r="AF2254" t="s">
        <v>62</v>
      </c>
      <c r="AG2254">
        <v>3</v>
      </c>
      <c r="AH2254">
        <v>6</v>
      </c>
      <c r="AI2254">
        <v>11</v>
      </c>
      <c r="AJ2254">
        <v>0.35293999999999998</v>
      </c>
      <c r="AK2254">
        <v>2</v>
      </c>
      <c r="AL2254">
        <v>0</v>
      </c>
      <c r="AM2254">
        <v>2</v>
      </c>
      <c r="AN2254">
        <v>1</v>
      </c>
      <c r="AO2254">
        <v>0.66666999999999998</v>
      </c>
      <c r="AP2254">
        <v>0</v>
      </c>
      <c r="AQ2254">
        <v>2</v>
      </c>
      <c r="AR2254">
        <v>2</v>
      </c>
      <c r="AS2254">
        <v>9</v>
      </c>
      <c r="AT2254">
        <v>0.18182000000000001</v>
      </c>
      <c r="AU2254">
        <v>7</v>
      </c>
      <c r="AV2254">
        <v>6</v>
      </c>
      <c r="AW2254">
        <v>13</v>
      </c>
      <c r="AX2254">
        <v>12</v>
      </c>
      <c r="AY2254">
        <v>6</v>
      </c>
      <c r="AZ2254">
        <v>6</v>
      </c>
      <c r="BA2254" t="s">
        <v>7804</v>
      </c>
      <c r="BB2254" t="s">
        <v>7805</v>
      </c>
      <c r="BC2254">
        <v>7.0999999999999994E-2</v>
      </c>
      <c r="BD2254" t="s">
        <v>65</v>
      </c>
      <c r="BE2254">
        <v>19</v>
      </c>
      <c r="BF2254">
        <v>18</v>
      </c>
      <c r="BG2254" t="s">
        <v>7806</v>
      </c>
      <c r="BH2254" t="s">
        <v>7807</v>
      </c>
      <c r="BI2254" t="s">
        <v>7808</v>
      </c>
      <c r="BJ2254">
        <v>0.22534000000000001</v>
      </c>
      <c r="BK2254">
        <v>1</v>
      </c>
      <c r="BL2254" t="s">
        <v>69</v>
      </c>
      <c r="BM2254">
        <v>-0.77200000000000002</v>
      </c>
      <c r="BN2254">
        <v>-2.5070000000000001</v>
      </c>
    </row>
    <row r="2255" spans="2:66">
      <c r="B2255">
        <v>3915</v>
      </c>
      <c r="C2255">
        <v>381</v>
      </c>
      <c r="D2255">
        <v>0</v>
      </c>
      <c r="E2255">
        <v>2</v>
      </c>
      <c r="F2255">
        <v>0</v>
      </c>
      <c r="J2255">
        <v>0</v>
      </c>
      <c r="K2255">
        <v>4</v>
      </c>
      <c r="L2255">
        <v>0</v>
      </c>
      <c r="M2255" t="s">
        <v>25022</v>
      </c>
      <c r="N2255">
        <v>1248</v>
      </c>
      <c r="O2255" t="s">
        <v>7820</v>
      </c>
      <c r="P2255" t="s">
        <v>57</v>
      </c>
      <c r="Q2255">
        <v>1277686</v>
      </c>
      <c r="R2255">
        <v>1278162</v>
      </c>
      <c r="S2255" t="s">
        <v>7821</v>
      </c>
      <c r="T2255">
        <v>159</v>
      </c>
      <c r="U2255" t="s">
        <v>629</v>
      </c>
      <c r="V2255">
        <v>43</v>
      </c>
      <c r="W2255" t="str">
        <f>HYPERLINK("Gene1248-zp_tree_all.dnd", "Gene1248-tree")</f>
        <v>Gene1248-tree</v>
      </c>
      <c r="X2255">
        <v>2</v>
      </c>
      <c r="Y2255">
        <v>9</v>
      </c>
      <c r="Z2255">
        <v>2</v>
      </c>
      <c r="AA2255">
        <v>9</v>
      </c>
      <c r="AB2255">
        <v>0.81818000000000002</v>
      </c>
      <c r="AC2255" t="s">
        <v>81</v>
      </c>
      <c r="AD2255" t="s">
        <v>135</v>
      </c>
      <c r="AE2255" t="s">
        <v>62</v>
      </c>
      <c r="AF2255" t="s">
        <v>62</v>
      </c>
      <c r="AG2255">
        <v>2</v>
      </c>
      <c r="AH2255">
        <v>4</v>
      </c>
      <c r="AI2255">
        <v>12</v>
      </c>
      <c r="AJ2255">
        <v>0.25</v>
      </c>
      <c r="AK2255">
        <v>0</v>
      </c>
      <c r="AL2255">
        <v>0</v>
      </c>
      <c r="AM2255">
        <v>0</v>
      </c>
      <c r="AN2255">
        <v>2</v>
      </c>
      <c r="AO2255">
        <v>0</v>
      </c>
      <c r="AP2255">
        <v>2</v>
      </c>
      <c r="AQ2255">
        <v>0</v>
      </c>
      <c r="AR2255">
        <v>2</v>
      </c>
      <c r="AS2255">
        <v>10</v>
      </c>
      <c r="AT2255">
        <v>0.16667000000000001</v>
      </c>
      <c r="AU2255">
        <v>9</v>
      </c>
      <c r="AV2255">
        <v>4</v>
      </c>
      <c r="AW2255">
        <v>6</v>
      </c>
      <c r="AX2255">
        <v>11</v>
      </c>
      <c r="AY2255">
        <v>3</v>
      </c>
      <c r="AZ2255">
        <v>5</v>
      </c>
      <c r="BA2255" t="s">
        <v>7822</v>
      </c>
      <c r="BB2255" t="s">
        <v>7823</v>
      </c>
      <c r="BC2255">
        <v>0.121</v>
      </c>
      <c r="BD2255" t="s">
        <v>65</v>
      </c>
      <c r="BE2255">
        <v>9</v>
      </c>
      <c r="BF2255">
        <v>16</v>
      </c>
      <c r="BG2255" t="s">
        <v>7824</v>
      </c>
      <c r="BH2255" t="s">
        <v>7825</v>
      </c>
      <c r="BI2255" t="s">
        <v>7826</v>
      </c>
      <c r="BJ2255">
        <v>0.50149999999999995</v>
      </c>
      <c r="BK2255">
        <v>0.91900000000000004</v>
      </c>
      <c r="BL2255" t="s">
        <v>635</v>
      </c>
      <c r="BM2255">
        <v>-0.61499999999999999</v>
      </c>
      <c r="BN2255">
        <v>6.7000000000000004E-2</v>
      </c>
    </row>
    <row r="2256" spans="2:66">
      <c r="B2256">
        <v>3917</v>
      </c>
      <c r="C2256">
        <v>11</v>
      </c>
      <c r="D2256">
        <v>0</v>
      </c>
      <c r="E2256">
        <v>4</v>
      </c>
      <c r="F2256">
        <v>0</v>
      </c>
      <c r="J2256">
        <v>0</v>
      </c>
      <c r="K2256">
        <v>4</v>
      </c>
      <c r="L2256">
        <v>2</v>
      </c>
      <c r="M2256" t="s">
        <v>25022</v>
      </c>
      <c r="N2256">
        <v>1253</v>
      </c>
      <c r="O2256" t="s">
        <v>7853</v>
      </c>
      <c r="P2256" t="s">
        <v>57</v>
      </c>
      <c r="Q2256">
        <v>1281128</v>
      </c>
      <c r="R2256">
        <v>1282528</v>
      </c>
      <c r="S2256" t="s">
        <v>7854</v>
      </c>
      <c r="T2256">
        <v>467</v>
      </c>
      <c r="U2256" t="s">
        <v>108</v>
      </c>
      <c r="V2256">
        <v>44</v>
      </c>
      <c r="W2256" t="str">
        <f>HYPERLINK("Gene1253-zp_tree_all.dnd", "Gene1253-tree")</f>
        <v>Gene1253-tree</v>
      </c>
      <c r="X2256">
        <v>8</v>
      </c>
      <c r="Y2256">
        <v>8</v>
      </c>
      <c r="Z2256">
        <v>8</v>
      </c>
      <c r="AA2256">
        <v>8</v>
      </c>
      <c r="AB2256">
        <v>0.5</v>
      </c>
      <c r="AC2256" t="s">
        <v>136</v>
      </c>
      <c r="AD2256" t="s">
        <v>136</v>
      </c>
      <c r="AE2256" t="s">
        <v>62</v>
      </c>
      <c r="AF2256" t="s">
        <v>62</v>
      </c>
      <c r="AG2256">
        <v>3</v>
      </c>
      <c r="AH2256">
        <v>6</v>
      </c>
      <c r="AI2256">
        <v>9</v>
      </c>
      <c r="AJ2256">
        <v>0.4</v>
      </c>
      <c r="AK2256">
        <v>0</v>
      </c>
      <c r="AL2256">
        <v>0</v>
      </c>
      <c r="AM2256">
        <v>0</v>
      </c>
      <c r="AN2256">
        <v>4</v>
      </c>
      <c r="AO2256">
        <v>0</v>
      </c>
      <c r="AP2256">
        <v>2</v>
      </c>
      <c r="AQ2256">
        <v>2</v>
      </c>
      <c r="AR2256">
        <v>4</v>
      </c>
      <c r="AS2256">
        <v>5</v>
      </c>
      <c r="AT2256">
        <v>0.44444</v>
      </c>
      <c r="AU2256">
        <v>8</v>
      </c>
      <c r="AV2256">
        <v>12</v>
      </c>
      <c r="AW2256">
        <v>22</v>
      </c>
      <c r="AX2256">
        <v>7</v>
      </c>
      <c r="AY2256">
        <v>20</v>
      </c>
      <c r="AZ2256">
        <v>9</v>
      </c>
      <c r="BA2256" t="s">
        <v>7855</v>
      </c>
      <c r="BB2256" t="s">
        <v>7856</v>
      </c>
      <c r="BC2256">
        <v>0.32</v>
      </c>
      <c r="BD2256" t="s">
        <v>65</v>
      </c>
      <c r="BE2256">
        <v>42</v>
      </c>
      <c r="BF2256">
        <v>16</v>
      </c>
      <c r="BG2256" t="s">
        <v>7857</v>
      </c>
      <c r="BH2256" t="s">
        <v>7858</v>
      </c>
      <c r="BI2256" t="s">
        <v>7859</v>
      </c>
      <c r="BJ2256">
        <v>0.10073</v>
      </c>
      <c r="BK2256">
        <v>1</v>
      </c>
      <c r="BL2256" t="s">
        <v>69</v>
      </c>
      <c r="BM2256">
        <v>-0.23100000000000001</v>
      </c>
      <c r="BN2256">
        <v>-0.35499999999999998</v>
      </c>
    </row>
    <row r="2257" spans="2:66">
      <c r="B2257">
        <v>3918</v>
      </c>
      <c r="C2257">
        <v>78</v>
      </c>
      <c r="D2257">
        <v>0</v>
      </c>
      <c r="E2257">
        <v>8</v>
      </c>
      <c r="F2257">
        <v>2</v>
      </c>
      <c r="J2257">
        <v>0</v>
      </c>
      <c r="K2257">
        <v>19</v>
      </c>
      <c r="L2257">
        <v>3</v>
      </c>
      <c r="M2257" t="s">
        <v>25022</v>
      </c>
      <c r="N2257">
        <v>1256</v>
      </c>
      <c r="O2257" t="s">
        <v>7871</v>
      </c>
      <c r="P2257" t="s">
        <v>57</v>
      </c>
      <c r="Q2257">
        <v>1283463</v>
      </c>
      <c r="R2257">
        <v>1284359</v>
      </c>
      <c r="S2257" t="s">
        <v>288</v>
      </c>
      <c r="T2257">
        <v>299</v>
      </c>
      <c r="U2257" t="s">
        <v>108</v>
      </c>
      <c r="V2257">
        <v>44</v>
      </c>
      <c r="W2257" t="str">
        <f>HYPERLINK("Gene1256-zp_tree_all.dnd", "Gene1256-tree")</f>
        <v>Gene1256-tree</v>
      </c>
      <c r="X2257">
        <v>2</v>
      </c>
      <c r="Y2257">
        <v>11</v>
      </c>
      <c r="Z2257">
        <v>2</v>
      </c>
      <c r="AA2257">
        <v>11</v>
      </c>
      <c r="AB2257">
        <v>0.84614999999999996</v>
      </c>
      <c r="AC2257" t="s">
        <v>81</v>
      </c>
      <c r="AD2257" t="s">
        <v>73</v>
      </c>
      <c r="AE2257">
        <v>515075683.63</v>
      </c>
      <c r="AF2257" t="s">
        <v>267</v>
      </c>
      <c r="AG2257">
        <v>10</v>
      </c>
      <c r="AH2257">
        <v>22</v>
      </c>
      <c r="AI2257">
        <v>31</v>
      </c>
      <c r="AJ2257">
        <v>0.41509000000000001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16</v>
      </c>
      <c r="AQ2257">
        <v>3</v>
      </c>
      <c r="AR2257">
        <v>19</v>
      </c>
      <c r="AS2257">
        <v>24</v>
      </c>
      <c r="AT2257">
        <v>0.44185999999999998</v>
      </c>
      <c r="AU2257">
        <v>11</v>
      </c>
      <c r="AV2257">
        <v>10</v>
      </c>
      <c r="AW2257">
        <v>31</v>
      </c>
      <c r="AX2257">
        <v>35</v>
      </c>
      <c r="AY2257">
        <v>34</v>
      </c>
      <c r="AZ2257">
        <v>19</v>
      </c>
      <c r="BA2257" t="s">
        <v>7872</v>
      </c>
      <c r="BB2257" t="s">
        <v>7873</v>
      </c>
      <c r="BC2257">
        <v>1.014</v>
      </c>
      <c r="BD2257" t="s">
        <v>65</v>
      </c>
      <c r="BE2257">
        <v>65</v>
      </c>
      <c r="BF2257">
        <v>54</v>
      </c>
      <c r="BG2257" t="s">
        <v>7874</v>
      </c>
      <c r="BH2257" t="s">
        <v>7875</v>
      </c>
      <c r="BI2257" t="s">
        <v>7876</v>
      </c>
      <c r="BJ2257">
        <v>0.22661999999999999</v>
      </c>
      <c r="BK2257">
        <v>1</v>
      </c>
      <c r="BL2257" t="s">
        <v>69</v>
      </c>
      <c r="BM2257">
        <v>-0.28199999999999997</v>
      </c>
      <c r="BN2257">
        <v>-0.51300000000000001</v>
      </c>
    </row>
    <row r="2258" spans="2:66">
      <c r="B2258">
        <v>3919</v>
      </c>
      <c r="C2258">
        <v>49</v>
      </c>
      <c r="D2258">
        <v>0</v>
      </c>
      <c r="E2258">
        <v>6</v>
      </c>
      <c r="F2258">
        <v>1</v>
      </c>
      <c r="J2258">
        <v>0</v>
      </c>
      <c r="K2258">
        <v>45</v>
      </c>
      <c r="L2258">
        <v>1</v>
      </c>
      <c r="M2258" t="s">
        <v>25022</v>
      </c>
      <c r="N2258">
        <v>1259</v>
      </c>
      <c r="O2258" t="s">
        <v>7889</v>
      </c>
      <c r="P2258" t="s">
        <v>57</v>
      </c>
      <c r="Q2258">
        <v>1285591</v>
      </c>
      <c r="R2258">
        <v>1288545</v>
      </c>
      <c r="S2258" t="s">
        <v>7890</v>
      </c>
      <c r="T2258">
        <v>985</v>
      </c>
      <c r="U2258" t="s">
        <v>108</v>
      </c>
      <c r="V2258">
        <v>44</v>
      </c>
      <c r="W2258" t="str">
        <f>HYPERLINK("Gene1259-zp_tree_all.dnd", "Gene1259-tree")</f>
        <v>Gene1259-tree</v>
      </c>
      <c r="X2258">
        <v>1</v>
      </c>
      <c r="Y2258">
        <v>15</v>
      </c>
      <c r="Z2258">
        <v>1</v>
      </c>
      <c r="AA2258">
        <v>15</v>
      </c>
      <c r="AB2258">
        <v>0.9375</v>
      </c>
      <c r="AC2258" t="s">
        <v>175</v>
      </c>
      <c r="AD2258" t="s">
        <v>100</v>
      </c>
      <c r="AE2258" t="s">
        <v>62</v>
      </c>
      <c r="AF2258" t="s">
        <v>62</v>
      </c>
      <c r="AG2258">
        <v>14</v>
      </c>
      <c r="AH2258">
        <v>46</v>
      </c>
      <c r="AI2258">
        <v>31</v>
      </c>
      <c r="AJ2258">
        <v>0.59740000000000004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17</v>
      </c>
      <c r="AQ2258">
        <v>1</v>
      </c>
      <c r="AR2258">
        <v>18</v>
      </c>
      <c r="AS2258">
        <v>32</v>
      </c>
      <c r="AT2258">
        <v>0.36</v>
      </c>
      <c r="AU2258">
        <v>14</v>
      </c>
      <c r="AV2258">
        <v>13</v>
      </c>
      <c r="AW2258">
        <v>92</v>
      </c>
      <c r="AX2258">
        <v>41</v>
      </c>
      <c r="AY2258">
        <v>95</v>
      </c>
      <c r="AZ2258">
        <v>37</v>
      </c>
      <c r="BA2258" t="s">
        <v>7891</v>
      </c>
      <c r="BB2258" t="s">
        <v>7892</v>
      </c>
      <c r="BC2258">
        <v>0.28799999999999998</v>
      </c>
      <c r="BD2258" t="s">
        <v>65</v>
      </c>
      <c r="BE2258">
        <v>187</v>
      </c>
      <c r="BF2258">
        <v>78</v>
      </c>
      <c r="BG2258" t="s">
        <v>7893</v>
      </c>
      <c r="BH2258" t="s">
        <v>7894</v>
      </c>
      <c r="BI2258" t="s">
        <v>7895</v>
      </c>
      <c r="BJ2258">
        <v>0.10818999999999999</v>
      </c>
      <c r="BK2258">
        <v>1</v>
      </c>
      <c r="BL2258" t="s">
        <v>69</v>
      </c>
      <c r="BM2258">
        <v>1.2E-2</v>
      </c>
      <c r="BN2258">
        <v>-0.54500000000000004</v>
      </c>
    </row>
    <row r="2259" spans="2:66">
      <c r="B2259">
        <v>3920</v>
      </c>
      <c r="C2259">
        <v>238</v>
      </c>
      <c r="D2259">
        <v>0</v>
      </c>
      <c r="E2259">
        <v>2</v>
      </c>
      <c r="F2259">
        <v>0</v>
      </c>
      <c r="J2259">
        <v>0</v>
      </c>
      <c r="K2259">
        <v>3</v>
      </c>
      <c r="L2259">
        <v>0</v>
      </c>
      <c r="M2259" t="s">
        <v>25022</v>
      </c>
      <c r="N2259">
        <v>1260</v>
      </c>
      <c r="O2259" t="s">
        <v>7896</v>
      </c>
      <c r="P2259" t="s">
        <v>57</v>
      </c>
      <c r="Q2259">
        <v>1288541</v>
      </c>
      <c r="R2259">
        <v>1289098</v>
      </c>
      <c r="S2259" t="s">
        <v>288</v>
      </c>
      <c r="T2259">
        <v>186</v>
      </c>
      <c r="U2259" t="s">
        <v>5228</v>
      </c>
      <c r="V2259">
        <v>43</v>
      </c>
      <c r="W2259" t="str">
        <f>HYPERLINK("Gene1260-zp_tree_all.dnd", "Gene1260-tree")</f>
        <v>Gene1260-tree</v>
      </c>
      <c r="X2259">
        <v>6</v>
      </c>
      <c r="Y2259">
        <v>6</v>
      </c>
      <c r="Z2259">
        <v>6</v>
      </c>
      <c r="AA2259">
        <v>6</v>
      </c>
      <c r="AB2259">
        <v>0.5</v>
      </c>
      <c r="AC2259" t="s">
        <v>90</v>
      </c>
      <c r="AD2259" t="s">
        <v>90</v>
      </c>
      <c r="AE2259" t="s">
        <v>62</v>
      </c>
      <c r="AF2259" t="s">
        <v>62</v>
      </c>
      <c r="AG2259">
        <v>1</v>
      </c>
      <c r="AH2259">
        <v>3</v>
      </c>
      <c r="AI2259">
        <v>6</v>
      </c>
      <c r="AJ2259">
        <v>0.33333000000000002</v>
      </c>
      <c r="AK2259">
        <v>0</v>
      </c>
      <c r="AL2259">
        <v>0</v>
      </c>
      <c r="AM2259">
        <v>0</v>
      </c>
      <c r="AN2259">
        <v>2</v>
      </c>
      <c r="AO2259">
        <v>0</v>
      </c>
      <c r="AP2259">
        <v>2</v>
      </c>
      <c r="AQ2259">
        <v>0</v>
      </c>
      <c r="AR2259">
        <v>2</v>
      </c>
      <c r="AS2259">
        <v>5</v>
      </c>
      <c r="AT2259">
        <v>0.28571000000000002</v>
      </c>
      <c r="AU2259">
        <v>7</v>
      </c>
      <c r="AV2259">
        <v>9</v>
      </c>
      <c r="AW2259">
        <v>41</v>
      </c>
      <c r="AX2259">
        <v>7</v>
      </c>
      <c r="AY2259">
        <v>13</v>
      </c>
      <c r="AZ2259">
        <v>3</v>
      </c>
      <c r="BA2259" t="s">
        <v>7897</v>
      </c>
      <c r="BB2259" t="s">
        <v>7898</v>
      </c>
      <c r="BC2259">
        <v>0.20699999999999999</v>
      </c>
      <c r="BD2259" t="s">
        <v>65</v>
      </c>
      <c r="BE2259">
        <v>54</v>
      </c>
      <c r="BF2259">
        <v>10</v>
      </c>
      <c r="BG2259" t="s">
        <v>7899</v>
      </c>
      <c r="BH2259" t="s">
        <v>7900</v>
      </c>
      <c r="BI2259" t="s">
        <v>7901</v>
      </c>
      <c r="BJ2259">
        <v>5.1139999999999998E-2</v>
      </c>
      <c r="BK2259">
        <v>1</v>
      </c>
      <c r="BL2259" t="s">
        <v>69</v>
      </c>
      <c r="BM2259">
        <v>-1.1399999999999999</v>
      </c>
      <c r="BN2259">
        <v>-2.31</v>
      </c>
    </row>
    <row r="2260" spans="2:66">
      <c r="B2260">
        <v>3921</v>
      </c>
      <c r="C2260">
        <v>52</v>
      </c>
      <c r="D2260">
        <v>0</v>
      </c>
      <c r="E2260">
        <v>23</v>
      </c>
      <c r="F2260">
        <v>5</v>
      </c>
      <c r="J2260">
        <v>0</v>
      </c>
      <c r="K2260">
        <v>0</v>
      </c>
      <c r="L2260">
        <v>2</v>
      </c>
      <c r="M2260" t="s">
        <v>25022</v>
      </c>
      <c r="N2260">
        <v>1261</v>
      </c>
      <c r="O2260" t="s">
        <v>7902</v>
      </c>
      <c r="P2260" t="s">
        <v>57</v>
      </c>
      <c r="Q2260">
        <v>1289298</v>
      </c>
      <c r="R2260">
        <v>1289936</v>
      </c>
      <c r="S2260" t="s">
        <v>1523</v>
      </c>
      <c r="T2260">
        <v>213</v>
      </c>
      <c r="U2260" t="s">
        <v>7903</v>
      </c>
      <c r="V2260">
        <v>26</v>
      </c>
      <c r="W2260" t="str">
        <f>HYPERLINK("Gene1261-zp_tree_all.dnd", "Gene1261-tree")</f>
        <v>Gene1261-tree</v>
      </c>
      <c r="X2260">
        <v>23</v>
      </c>
      <c r="Y2260">
        <v>3</v>
      </c>
      <c r="Z2260">
        <v>2</v>
      </c>
      <c r="AA2260">
        <v>3</v>
      </c>
      <c r="AB2260">
        <v>0.6</v>
      </c>
      <c r="AC2260" t="s">
        <v>7904</v>
      </c>
      <c r="AD2260" t="s">
        <v>324</v>
      </c>
      <c r="AE2260" t="s">
        <v>62</v>
      </c>
      <c r="AF2260" t="s">
        <v>62</v>
      </c>
      <c r="AG2260">
        <v>1</v>
      </c>
      <c r="AH2260">
        <v>2</v>
      </c>
      <c r="AI2260">
        <v>4</v>
      </c>
      <c r="AJ2260">
        <v>0.33333000000000002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2</v>
      </c>
      <c r="AR2260">
        <v>2</v>
      </c>
      <c r="AS2260">
        <v>4</v>
      </c>
      <c r="AT2260">
        <v>0.33333000000000002</v>
      </c>
      <c r="AU2260">
        <v>3</v>
      </c>
      <c r="AV2260">
        <v>1</v>
      </c>
      <c r="AW2260">
        <v>1</v>
      </c>
      <c r="AX2260">
        <v>6</v>
      </c>
      <c r="AY2260">
        <v>1</v>
      </c>
      <c r="AZ2260">
        <v>0</v>
      </c>
      <c r="BA2260" t="s">
        <v>7905</v>
      </c>
      <c r="BB2260" t="s">
        <v>193</v>
      </c>
      <c r="BC2260">
        <v>0.69199999999999995</v>
      </c>
      <c r="BD2260" t="s">
        <v>65</v>
      </c>
      <c r="BE2260">
        <v>2</v>
      </c>
      <c r="BF2260">
        <v>6</v>
      </c>
      <c r="BG2260" t="s">
        <v>7906</v>
      </c>
      <c r="BH2260" t="s">
        <v>7907</v>
      </c>
      <c r="BI2260" t="s">
        <v>7908</v>
      </c>
      <c r="BJ2260">
        <v>0.64078000000000002</v>
      </c>
      <c r="BK2260">
        <v>0.57799999999999996</v>
      </c>
      <c r="BL2260" t="s">
        <v>635</v>
      </c>
      <c r="BM2260">
        <v>-2.0179999999999998</v>
      </c>
      <c r="BN2260">
        <v>-2.94</v>
      </c>
    </row>
    <row r="2261" spans="2:66">
      <c r="B2261">
        <v>3922</v>
      </c>
      <c r="C2261">
        <v>40</v>
      </c>
      <c r="D2261">
        <v>0</v>
      </c>
      <c r="E2261">
        <v>7</v>
      </c>
      <c r="F2261">
        <v>4</v>
      </c>
      <c r="J2261">
        <v>2</v>
      </c>
      <c r="K2261">
        <v>11</v>
      </c>
      <c r="L2261">
        <v>1</v>
      </c>
      <c r="M2261" t="s">
        <v>25022</v>
      </c>
      <c r="N2261">
        <v>1262</v>
      </c>
      <c r="O2261" t="s">
        <v>7909</v>
      </c>
      <c r="P2261" t="s">
        <v>57</v>
      </c>
      <c r="Q2261">
        <v>1290018</v>
      </c>
      <c r="R2261">
        <v>1290641</v>
      </c>
      <c r="S2261" t="s">
        <v>7910</v>
      </c>
      <c r="T2261">
        <v>208</v>
      </c>
      <c r="U2261" t="s">
        <v>7911</v>
      </c>
      <c r="V2261">
        <v>39</v>
      </c>
      <c r="W2261" t="str">
        <f>HYPERLINK("Gene1262-zp_tree_all.dnd", "Gene1262-tree")</f>
        <v>Gene1262-tree</v>
      </c>
      <c r="X2261">
        <v>1</v>
      </c>
      <c r="Y2261">
        <v>10</v>
      </c>
      <c r="Z2261">
        <v>1</v>
      </c>
      <c r="AA2261">
        <v>10</v>
      </c>
      <c r="AB2261">
        <v>0.90908999999999995</v>
      </c>
      <c r="AC2261" t="s">
        <v>175</v>
      </c>
      <c r="AD2261" t="s">
        <v>117</v>
      </c>
      <c r="AE2261" t="s">
        <v>62</v>
      </c>
      <c r="AF2261" t="s">
        <v>62</v>
      </c>
      <c r="AG2261">
        <v>6</v>
      </c>
      <c r="AH2261">
        <v>14</v>
      </c>
      <c r="AI2261">
        <v>16</v>
      </c>
      <c r="AJ2261">
        <v>0.46666999999999997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2</v>
      </c>
      <c r="AQ2261">
        <v>0</v>
      </c>
      <c r="AR2261">
        <v>2</v>
      </c>
      <c r="AS2261">
        <v>17</v>
      </c>
      <c r="AT2261">
        <v>0.10526000000000001</v>
      </c>
      <c r="AU2261">
        <v>10</v>
      </c>
      <c r="AV2261">
        <v>8</v>
      </c>
      <c r="AW2261">
        <v>36</v>
      </c>
      <c r="AX2261">
        <v>20</v>
      </c>
      <c r="AY2261">
        <v>24</v>
      </c>
      <c r="AZ2261">
        <v>12</v>
      </c>
      <c r="BA2261" t="s">
        <v>7912</v>
      </c>
      <c r="BB2261" t="s">
        <v>7913</v>
      </c>
      <c r="BC2261">
        <v>0.16</v>
      </c>
      <c r="BD2261" t="s">
        <v>65</v>
      </c>
      <c r="BE2261">
        <v>60</v>
      </c>
      <c r="BF2261">
        <v>32</v>
      </c>
      <c r="BG2261" t="s">
        <v>7914</v>
      </c>
      <c r="BH2261" t="s">
        <v>7915</v>
      </c>
      <c r="BI2261" t="s">
        <v>7916</v>
      </c>
      <c r="BJ2261">
        <v>0.1668</v>
      </c>
      <c r="BK2261">
        <v>1</v>
      </c>
      <c r="BL2261" t="s">
        <v>69</v>
      </c>
      <c r="BM2261">
        <v>0.104</v>
      </c>
      <c r="BN2261">
        <v>-0.93600000000000005</v>
      </c>
    </row>
    <row r="2262" spans="2:66">
      <c r="B2262">
        <v>3923</v>
      </c>
      <c r="C2262">
        <v>242</v>
      </c>
      <c r="D2262">
        <v>0</v>
      </c>
      <c r="E2262">
        <v>14</v>
      </c>
      <c r="F2262">
        <v>0</v>
      </c>
      <c r="J2262">
        <v>0</v>
      </c>
      <c r="K2262">
        <v>15</v>
      </c>
      <c r="L2262">
        <v>2</v>
      </c>
      <c r="M2262" t="s">
        <v>25022</v>
      </c>
      <c r="N2262">
        <v>1264</v>
      </c>
      <c r="O2262" t="s">
        <v>7924</v>
      </c>
      <c r="P2262" t="s">
        <v>57</v>
      </c>
      <c r="Q2262">
        <v>1291344</v>
      </c>
      <c r="R2262">
        <v>1292531</v>
      </c>
      <c r="S2262" t="s">
        <v>7925</v>
      </c>
      <c r="T2262">
        <v>396</v>
      </c>
      <c r="U2262" t="s">
        <v>108</v>
      </c>
      <c r="V2262">
        <v>44</v>
      </c>
      <c r="W2262" t="str">
        <f>HYPERLINK("Gene1264-zp_tree_all.dnd", "Gene1264-tree")</f>
        <v>Gene1264-tree</v>
      </c>
      <c r="X2262">
        <v>2</v>
      </c>
      <c r="Y2262">
        <v>12</v>
      </c>
      <c r="Z2262">
        <v>2</v>
      </c>
      <c r="AA2262">
        <v>12</v>
      </c>
      <c r="AB2262">
        <v>0.85714000000000001</v>
      </c>
      <c r="AC2262" t="s">
        <v>81</v>
      </c>
      <c r="AD2262" t="s">
        <v>109</v>
      </c>
      <c r="AE2262" t="s">
        <v>62</v>
      </c>
      <c r="AF2262" t="s">
        <v>62</v>
      </c>
      <c r="AG2262">
        <v>6</v>
      </c>
      <c r="AH2262">
        <v>17</v>
      </c>
      <c r="AI2262">
        <v>15</v>
      </c>
      <c r="AJ2262">
        <v>0.53125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11</v>
      </c>
      <c r="AQ2262">
        <v>4</v>
      </c>
      <c r="AR2262">
        <v>15</v>
      </c>
      <c r="AS2262">
        <v>11</v>
      </c>
      <c r="AT2262">
        <v>0.57691999999999999</v>
      </c>
      <c r="AU2262">
        <v>12</v>
      </c>
      <c r="AV2262">
        <v>11</v>
      </c>
      <c r="AW2262">
        <v>45</v>
      </c>
      <c r="AX2262">
        <v>24</v>
      </c>
      <c r="AY2262">
        <v>22</v>
      </c>
      <c r="AZ2262">
        <v>10</v>
      </c>
      <c r="BA2262" t="s">
        <v>7926</v>
      </c>
      <c r="BB2262" t="s">
        <v>7927</v>
      </c>
      <c r="BC2262">
        <v>0.25800000000000001</v>
      </c>
      <c r="BD2262" t="s">
        <v>65</v>
      </c>
      <c r="BE2262">
        <v>67</v>
      </c>
      <c r="BF2262">
        <v>34</v>
      </c>
      <c r="BG2262" t="s">
        <v>7928</v>
      </c>
      <c r="BH2262" t="s">
        <v>7929</v>
      </c>
      <c r="BI2262" t="s">
        <v>7930</v>
      </c>
      <c r="BJ2262">
        <v>0.12756000000000001</v>
      </c>
      <c r="BK2262">
        <v>1</v>
      </c>
      <c r="BL2262" t="s">
        <v>69</v>
      </c>
      <c r="BM2262">
        <v>-0.55700000000000005</v>
      </c>
      <c r="BN2262">
        <v>-0.46500000000000002</v>
      </c>
    </row>
    <row r="2263" spans="2:66">
      <c r="B2263">
        <v>3924</v>
      </c>
      <c r="C2263">
        <v>245</v>
      </c>
      <c r="D2263">
        <v>0</v>
      </c>
      <c r="E2263">
        <v>4</v>
      </c>
      <c r="F2263">
        <v>2</v>
      </c>
      <c r="J2263">
        <v>0</v>
      </c>
      <c r="K2263">
        <v>8</v>
      </c>
      <c r="L2263">
        <v>0</v>
      </c>
      <c r="M2263" t="s">
        <v>25022</v>
      </c>
      <c r="N2263">
        <v>1265</v>
      </c>
      <c r="O2263" t="s">
        <v>7931</v>
      </c>
      <c r="P2263" t="s">
        <v>57</v>
      </c>
      <c r="Q2263">
        <v>1292557</v>
      </c>
      <c r="R2263">
        <v>1293732</v>
      </c>
      <c r="S2263" t="s">
        <v>7932</v>
      </c>
      <c r="T2263">
        <v>392</v>
      </c>
      <c r="U2263" t="s">
        <v>108</v>
      </c>
      <c r="V2263">
        <v>44</v>
      </c>
      <c r="W2263" t="str">
        <f>HYPERLINK("Gene1265-zp_tree_all.dnd", "Gene1265-tree")</f>
        <v>Gene1265-tree</v>
      </c>
      <c r="X2263">
        <v>4</v>
      </c>
      <c r="Y2263">
        <v>9</v>
      </c>
      <c r="Z2263">
        <v>4</v>
      </c>
      <c r="AA2263">
        <v>9</v>
      </c>
      <c r="AB2263">
        <v>0.69230999999999998</v>
      </c>
      <c r="AC2263" t="s">
        <v>61</v>
      </c>
      <c r="AD2263" t="s">
        <v>135</v>
      </c>
      <c r="AE2263" t="s">
        <v>62</v>
      </c>
      <c r="AF2263" t="s">
        <v>62</v>
      </c>
      <c r="AG2263">
        <v>3</v>
      </c>
      <c r="AH2263">
        <v>8</v>
      </c>
      <c r="AI2263">
        <v>15</v>
      </c>
      <c r="AJ2263">
        <v>0.34782999999999997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4</v>
      </c>
      <c r="AQ2263">
        <v>0</v>
      </c>
      <c r="AR2263">
        <v>4</v>
      </c>
      <c r="AS2263">
        <v>17</v>
      </c>
      <c r="AT2263">
        <v>0.19048000000000001</v>
      </c>
      <c r="AU2263">
        <v>9</v>
      </c>
      <c r="AV2263">
        <v>8</v>
      </c>
      <c r="AW2263">
        <v>41</v>
      </c>
      <c r="AX2263">
        <v>16</v>
      </c>
      <c r="AY2263">
        <v>8</v>
      </c>
      <c r="AZ2263">
        <v>7</v>
      </c>
      <c r="BA2263" t="s">
        <v>7933</v>
      </c>
      <c r="BB2263" t="s">
        <v>7934</v>
      </c>
      <c r="BC2263">
        <v>0.57199999999999995</v>
      </c>
      <c r="BD2263" t="s">
        <v>65</v>
      </c>
      <c r="BE2263">
        <v>49</v>
      </c>
      <c r="BF2263">
        <v>23</v>
      </c>
      <c r="BG2263" t="s">
        <v>7935</v>
      </c>
      <c r="BH2263" t="s">
        <v>7936</v>
      </c>
      <c r="BI2263" t="s">
        <v>7937</v>
      </c>
      <c r="BJ2263">
        <v>0.12952</v>
      </c>
      <c r="BK2263">
        <v>1</v>
      </c>
      <c r="BL2263" t="s">
        <v>69</v>
      </c>
      <c r="BM2263">
        <v>-1.5449999999999999</v>
      </c>
      <c r="BN2263">
        <v>-2.16</v>
      </c>
    </row>
    <row r="2264" spans="2:66">
      <c r="B2264">
        <v>3925</v>
      </c>
      <c r="C2264">
        <v>83</v>
      </c>
      <c r="D2264">
        <v>0</v>
      </c>
      <c r="E2264">
        <v>5</v>
      </c>
      <c r="F2264">
        <v>0</v>
      </c>
      <c r="J2264">
        <v>0</v>
      </c>
      <c r="K2264">
        <v>2</v>
      </c>
      <c r="L2264">
        <v>0</v>
      </c>
      <c r="M2264" t="s">
        <v>25022</v>
      </c>
      <c r="N2264">
        <v>1267</v>
      </c>
      <c r="O2264" t="s">
        <v>7943</v>
      </c>
      <c r="P2264" t="s">
        <v>57</v>
      </c>
      <c r="Q2264">
        <v>1294138</v>
      </c>
      <c r="R2264">
        <v>1294947</v>
      </c>
      <c r="S2264" t="s">
        <v>1340</v>
      </c>
      <c r="T2264">
        <v>270</v>
      </c>
      <c r="U2264" t="s">
        <v>7944</v>
      </c>
      <c r="V2264">
        <v>37</v>
      </c>
      <c r="W2264" t="str">
        <f>HYPERLINK("Gene1267-zp_tree_all.dnd", "Gene1267-tree")</f>
        <v>Gene1267-tree</v>
      </c>
      <c r="X2264">
        <v>3</v>
      </c>
      <c r="Y2264">
        <v>6</v>
      </c>
      <c r="Z2264">
        <v>3</v>
      </c>
      <c r="AA2264">
        <v>6</v>
      </c>
      <c r="AB2264">
        <v>0.66666999999999998</v>
      </c>
      <c r="AC2264" t="s">
        <v>324</v>
      </c>
      <c r="AD2264" t="s">
        <v>90</v>
      </c>
      <c r="AE2264" t="s">
        <v>62</v>
      </c>
      <c r="AF2264" t="s">
        <v>62</v>
      </c>
      <c r="AG2264">
        <v>1</v>
      </c>
      <c r="AH2264">
        <v>2</v>
      </c>
      <c r="AI2264">
        <v>9</v>
      </c>
      <c r="AJ2264">
        <v>0.18182000000000001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9</v>
      </c>
      <c r="AT2264">
        <v>0</v>
      </c>
      <c r="AU2264">
        <v>5</v>
      </c>
      <c r="AV2264">
        <v>6</v>
      </c>
      <c r="AW2264">
        <v>5</v>
      </c>
      <c r="AX2264">
        <v>7</v>
      </c>
      <c r="AY2264">
        <v>7</v>
      </c>
      <c r="AZ2264">
        <v>4</v>
      </c>
      <c r="BA2264" t="s">
        <v>7945</v>
      </c>
      <c r="BB2264" t="s">
        <v>7946</v>
      </c>
      <c r="BC2264">
        <v>0.44400000000000001</v>
      </c>
      <c r="BD2264" t="s">
        <v>65</v>
      </c>
      <c r="BE2264">
        <v>12</v>
      </c>
      <c r="BF2264">
        <v>11</v>
      </c>
      <c r="BG2264" t="s">
        <v>7947</v>
      </c>
      <c r="BH2264" t="s">
        <v>7948</v>
      </c>
      <c r="BI2264" t="s">
        <v>7949</v>
      </c>
      <c r="BJ2264">
        <v>0.24356</v>
      </c>
      <c r="BK2264">
        <v>0.97</v>
      </c>
      <c r="BL2264" t="s">
        <v>69</v>
      </c>
      <c r="BM2264">
        <v>-1.165</v>
      </c>
      <c r="BN2264">
        <v>-1.8819999999999999</v>
      </c>
    </row>
    <row r="2265" spans="2:66">
      <c r="B2265">
        <v>3926</v>
      </c>
      <c r="C2265">
        <v>419</v>
      </c>
      <c r="D2265">
        <v>0</v>
      </c>
      <c r="E2265">
        <v>16</v>
      </c>
      <c r="F2265">
        <v>4</v>
      </c>
      <c r="J2265">
        <v>0</v>
      </c>
      <c r="K2265">
        <v>0</v>
      </c>
      <c r="L2265">
        <v>0</v>
      </c>
      <c r="M2265" t="s">
        <v>25022</v>
      </c>
      <c r="N2265">
        <v>1271</v>
      </c>
      <c r="O2265" t="s">
        <v>7967</v>
      </c>
      <c r="P2265" t="s">
        <v>57</v>
      </c>
      <c r="Q2265">
        <v>1297726</v>
      </c>
      <c r="R2265">
        <v>1298220</v>
      </c>
      <c r="S2265" t="s">
        <v>7968</v>
      </c>
      <c r="T2265">
        <v>165</v>
      </c>
      <c r="U2265" t="s">
        <v>2289</v>
      </c>
      <c r="V2265">
        <v>37</v>
      </c>
      <c r="W2265" t="str">
        <f>HYPERLINK("Gene1271-zp_tree_all.dnd", "Gene1271-tree")</f>
        <v>Gene1271-tree</v>
      </c>
      <c r="X2265">
        <v>5</v>
      </c>
      <c r="Y2265">
        <v>9</v>
      </c>
      <c r="Z2265">
        <v>5</v>
      </c>
      <c r="AA2265">
        <v>9</v>
      </c>
      <c r="AB2265">
        <v>0.64285999999999999</v>
      </c>
      <c r="AC2265" t="s">
        <v>199</v>
      </c>
      <c r="AD2265" t="s">
        <v>135</v>
      </c>
      <c r="AE2265" t="s">
        <v>62</v>
      </c>
      <c r="AF2265" t="s">
        <v>62</v>
      </c>
      <c r="AG2265">
        <v>0</v>
      </c>
      <c r="AH2265">
        <v>0</v>
      </c>
      <c r="AI2265">
        <v>15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12</v>
      </c>
      <c r="AT2265">
        <v>0</v>
      </c>
      <c r="AU2265">
        <v>9</v>
      </c>
      <c r="AV2265">
        <v>9</v>
      </c>
      <c r="AW2265">
        <v>6</v>
      </c>
      <c r="AX2265">
        <v>9</v>
      </c>
      <c r="AY2265">
        <v>9</v>
      </c>
      <c r="AZ2265">
        <v>6</v>
      </c>
      <c r="BA2265" t="s">
        <v>7969</v>
      </c>
      <c r="BB2265" t="s">
        <v>7970</v>
      </c>
      <c r="BC2265">
        <v>0.76500000000000001</v>
      </c>
      <c r="BD2265" t="s">
        <v>65</v>
      </c>
      <c r="BE2265">
        <v>15</v>
      </c>
      <c r="BF2265">
        <v>15</v>
      </c>
      <c r="BG2265" t="s">
        <v>7971</v>
      </c>
      <c r="BH2265" t="s">
        <v>7972</v>
      </c>
      <c r="BI2265" t="s">
        <v>7973</v>
      </c>
      <c r="BJ2265">
        <v>0.28556999999999999</v>
      </c>
      <c r="BK2265">
        <v>1</v>
      </c>
      <c r="BL2265" t="s">
        <v>69</v>
      </c>
      <c r="BM2265">
        <v>-0.84699999999999998</v>
      </c>
      <c r="BN2265">
        <v>-0.97399999999999998</v>
      </c>
    </row>
    <row r="2266" spans="2:66">
      <c r="B2266">
        <v>3927</v>
      </c>
      <c r="C2266">
        <v>86</v>
      </c>
      <c r="D2266">
        <v>0</v>
      </c>
      <c r="E2266">
        <v>8</v>
      </c>
      <c r="F2266">
        <v>8</v>
      </c>
      <c r="J2266">
        <v>0</v>
      </c>
      <c r="K2266">
        <v>2</v>
      </c>
      <c r="L2266">
        <v>0</v>
      </c>
      <c r="M2266" t="s">
        <v>25022</v>
      </c>
      <c r="N2266">
        <v>1272</v>
      </c>
      <c r="O2266" t="s">
        <v>7974</v>
      </c>
      <c r="P2266" t="s">
        <v>57</v>
      </c>
      <c r="Q2266">
        <v>1298612</v>
      </c>
      <c r="R2266">
        <v>1299031</v>
      </c>
      <c r="S2266" t="s">
        <v>288</v>
      </c>
      <c r="T2266">
        <v>140</v>
      </c>
      <c r="U2266" t="s">
        <v>59</v>
      </c>
      <c r="V2266">
        <v>49</v>
      </c>
      <c r="W2266" t="str">
        <f>HYPERLINK("Gene1272-zp_tree_all.dnd", "Gene1272-tree")</f>
        <v>Gene1272-tree</v>
      </c>
      <c r="X2266">
        <v>8</v>
      </c>
      <c r="Y2266">
        <v>2</v>
      </c>
      <c r="Z2266">
        <v>8</v>
      </c>
      <c r="AA2266">
        <v>2</v>
      </c>
      <c r="AB2266">
        <v>0.2</v>
      </c>
      <c r="AC2266" t="s">
        <v>136</v>
      </c>
      <c r="AD2266" t="s">
        <v>81</v>
      </c>
      <c r="AE2266" t="s">
        <v>62</v>
      </c>
      <c r="AF2266" t="s">
        <v>62</v>
      </c>
      <c r="AG2266">
        <v>1</v>
      </c>
      <c r="AH2266">
        <v>2</v>
      </c>
      <c r="AI2266">
        <v>1</v>
      </c>
      <c r="AJ2266">
        <v>0.66666999999999998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0</v>
      </c>
      <c r="AS2266">
        <v>2</v>
      </c>
      <c r="AT2266">
        <v>0</v>
      </c>
      <c r="AU2266">
        <v>6</v>
      </c>
      <c r="AV2266">
        <v>6</v>
      </c>
      <c r="AW2266">
        <v>8</v>
      </c>
      <c r="AX2266">
        <v>2</v>
      </c>
      <c r="AY2266">
        <v>21</v>
      </c>
      <c r="AZ2266">
        <v>2</v>
      </c>
      <c r="BA2266" t="s">
        <v>7975</v>
      </c>
      <c r="BB2266" t="s">
        <v>7976</v>
      </c>
      <c r="BC2266">
        <v>0.62</v>
      </c>
      <c r="BD2266" t="s">
        <v>65</v>
      </c>
      <c r="BE2266">
        <v>29</v>
      </c>
      <c r="BF2266">
        <v>4</v>
      </c>
      <c r="BG2266" t="s">
        <v>7977</v>
      </c>
      <c r="BH2266" t="s">
        <v>7978</v>
      </c>
      <c r="BI2266" t="s">
        <v>7979</v>
      </c>
      <c r="BJ2266">
        <v>3.2489999999999998E-2</v>
      </c>
      <c r="BK2266">
        <v>1</v>
      </c>
      <c r="BL2266" t="s">
        <v>69</v>
      </c>
      <c r="BM2266">
        <v>-0.73099999999999998</v>
      </c>
      <c r="BN2266">
        <v>0.53200000000000003</v>
      </c>
    </row>
    <row r="2267" spans="2:66">
      <c r="B2267">
        <v>3931</v>
      </c>
      <c r="C2267">
        <v>49</v>
      </c>
      <c r="D2267">
        <v>0</v>
      </c>
      <c r="E2267">
        <v>5</v>
      </c>
      <c r="F2267">
        <v>0</v>
      </c>
      <c r="J2267">
        <v>0</v>
      </c>
      <c r="K2267">
        <v>4</v>
      </c>
      <c r="L2267">
        <v>0</v>
      </c>
      <c r="M2267" t="s">
        <v>25022</v>
      </c>
      <c r="N2267">
        <v>1273</v>
      </c>
      <c r="O2267" t="s">
        <v>7980</v>
      </c>
      <c r="P2267" t="s">
        <v>57</v>
      </c>
      <c r="Q2267">
        <v>1299074</v>
      </c>
      <c r="R2267">
        <v>1300249</v>
      </c>
      <c r="S2267" t="s">
        <v>7981</v>
      </c>
      <c r="T2267">
        <v>392</v>
      </c>
      <c r="U2267" t="s">
        <v>59</v>
      </c>
      <c r="V2267">
        <v>49</v>
      </c>
      <c r="W2267" t="str">
        <f>HYPERLINK("Gene1273-zp_tree_all.dnd", "Gene1273-tree")</f>
        <v>Gene1273-tree</v>
      </c>
      <c r="X2267">
        <v>17</v>
      </c>
      <c r="Y2267">
        <v>3</v>
      </c>
      <c r="Z2267">
        <v>17</v>
      </c>
      <c r="AA2267">
        <v>3</v>
      </c>
      <c r="AB2267">
        <v>0.15</v>
      </c>
      <c r="AC2267" t="s">
        <v>266</v>
      </c>
      <c r="AD2267" t="s">
        <v>324</v>
      </c>
      <c r="AE2267" t="s">
        <v>62</v>
      </c>
      <c r="AF2267" t="s">
        <v>62</v>
      </c>
      <c r="AG2267">
        <v>2</v>
      </c>
      <c r="AH2267">
        <v>4</v>
      </c>
      <c r="AI2267">
        <v>4</v>
      </c>
      <c r="AJ2267">
        <v>0.5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3</v>
      </c>
      <c r="AT2267">
        <v>0</v>
      </c>
      <c r="AU2267">
        <v>17</v>
      </c>
      <c r="AV2267">
        <v>14</v>
      </c>
      <c r="AW2267">
        <v>56</v>
      </c>
      <c r="AX2267">
        <v>3</v>
      </c>
      <c r="AY2267">
        <v>64</v>
      </c>
      <c r="AZ2267">
        <v>5</v>
      </c>
      <c r="BA2267" t="s">
        <v>7982</v>
      </c>
      <c r="BB2267" t="s">
        <v>7983</v>
      </c>
      <c r="BC2267">
        <v>0.17699999999999999</v>
      </c>
      <c r="BD2267" t="s">
        <v>65</v>
      </c>
      <c r="BE2267">
        <v>120</v>
      </c>
      <c r="BF2267">
        <v>8</v>
      </c>
      <c r="BG2267" t="s">
        <v>7984</v>
      </c>
      <c r="BH2267" t="s">
        <v>7985</v>
      </c>
      <c r="BI2267" t="s">
        <v>7986</v>
      </c>
      <c r="BJ2267">
        <v>2.8469999999999999E-2</v>
      </c>
      <c r="BK2267">
        <v>1</v>
      </c>
      <c r="BL2267" t="s">
        <v>69</v>
      </c>
      <c r="BM2267">
        <v>-0.99099999999999999</v>
      </c>
      <c r="BN2267">
        <v>-1.6830000000000001</v>
      </c>
    </row>
    <row r="2268" spans="2:66">
      <c r="B2268">
        <v>3932</v>
      </c>
      <c r="C2268">
        <v>149</v>
      </c>
      <c r="D2268">
        <v>0</v>
      </c>
      <c r="E2268">
        <v>38</v>
      </c>
      <c r="F2268">
        <v>1</v>
      </c>
      <c r="J2268">
        <v>0</v>
      </c>
      <c r="K2268">
        <v>16</v>
      </c>
      <c r="L2268">
        <v>5</v>
      </c>
      <c r="M2268" t="s">
        <v>25022</v>
      </c>
      <c r="N2268">
        <v>1274</v>
      </c>
      <c r="O2268" t="s">
        <v>7987</v>
      </c>
      <c r="P2268" t="s">
        <v>57</v>
      </c>
      <c r="Q2268">
        <v>1300450</v>
      </c>
      <c r="R2268">
        <v>1301868</v>
      </c>
      <c r="S2268" t="s">
        <v>7988</v>
      </c>
      <c r="T2268">
        <v>473</v>
      </c>
      <c r="U2268" t="s">
        <v>108</v>
      </c>
      <c r="V2268">
        <v>44</v>
      </c>
      <c r="W2268" t="str">
        <f>HYPERLINK("Gene1274-zp_tree_all.dnd", "Gene1274-tree")</f>
        <v>Gene1274-tree</v>
      </c>
      <c r="X2268">
        <v>2</v>
      </c>
      <c r="Y2268">
        <v>14</v>
      </c>
      <c r="Z2268">
        <v>2</v>
      </c>
      <c r="AA2268">
        <v>14</v>
      </c>
      <c r="AB2268">
        <v>0.875</v>
      </c>
      <c r="AC2268" t="s">
        <v>81</v>
      </c>
      <c r="AD2268" t="s">
        <v>543</v>
      </c>
      <c r="AE2268">
        <v>860908720.12699997</v>
      </c>
      <c r="AF2268" t="s">
        <v>267</v>
      </c>
      <c r="AG2268">
        <v>8</v>
      </c>
      <c r="AH2268">
        <v>21</v>
      </c>
      <c r="AI2268">
        <v>29</v>
      </c>
      <c r="AJ2268">
        <v>0.42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6</v>
      </c>
      <c r="AQ2268">
        <v>5</v>
      </c>
      <c r="AR2268">
        <v>11</v>
      </c>
      <c r="AS2268">
        <v>24</v>
      </c>
      <c r="AT2268">
        <v>0.31429000000000001</v>
      </c>
      <c r="AU2268">
        <v>14</v>
      </c>
      <c r="AV2268">
        <v>12</v>
      </c>
      <c r="AW2268">
        <v>67</v>
      </c>
      <c r="AX2268">
        <v>35</v>
      </c>
      <c r="AY2268">
        <v>51</v>
      </c>
      <c r="AZ2268">
        <v>18</v>
      </c>
      <c r="BA2268" t="s">
        <v>7989</v>
      </c>
      <c r="BB2268" t="s">
        <v>7990</v>
      </c>
      <c r="BC2268">
        <v>0.80700000000000005</v>
      </c>
      <c r="BD2268" t="s">
        <v>65</v>
      </c>
      <c r="BE2268">
        <v>118</v>
      </c>
      <c r="BF2268">
        <v>53</v>
      </c>
      <c r="BG2268" t="s">
        <v>7991</v>
      </c>
      <c r="BH2268" t="s">
        <v>7992</v>
      </c>
      <c r="BI2268" t="s">
        <v>7993</v>
      </c>
      <c r="BJ2268">
        <v>0.12454</v>
      </c>
      <c r="BK2268">
        <v>1</v>
      </c>
      <c r="BL2268" t="s">
        <v>69</v>
      </c>
      <c r="BM2268">
        <v>-0.34799999999999998</v>
      </c>
      <c r="BN2268">
        <v>-1.0840000000000001</v>
      </c>
    </row>
    <row r="2269" spans="2:66">
      <c r="B2269">
        <v>3933</v>
      </c>
      <c r="C2269">
        <v>157</v>
      </c>
      <c r="D2269">
        <v>0</v>
      </c>
      <c r="E2269">
        <v>4</v>
      </c>
      <c r="F2269">
        <v>0</v>
      </c>
      <c r="J2269">
        <v>0</v>
      </c>
      <c r="K2269">
        <v>19</v>
      </c>
      <c r="L2269">
        <v>3</v>
      </c>
      <c r="M2269" t="s">
        <v>25022</v>
      </c>
      <c r="N2269">
        <v>1275</v>
      </c>
      <c r="O2269" t="s">
        <v>7994</v>
      </c>
      <c r="P2269" t="s">
        <v>57</v>
      </c>
      <c r="Q2269">
        <v>1301939</v>
      </c>
      <c r="R2269">
        <v>1303315</v>
      </c>
      <c r="S2269" t="s">
        <v>7995</v>
      </c>
      <c r="T2269">
        <v>459</v>
      </c>
      <c r="U2269" t="s">
        <v>698</v>
      </c>
      <c r="V2269">
        <v>47</v>
      </c>
      <c r="W2269" t="str">
        <f>HYPERLINK("Gene1275-zp_tree_all.dnd", "Gene1275-tree")</f>
        <v>Gene1275-tree</v>
      </c>
      <c r="X2269">
        <v>7</v>
      </c>
      <c r="Y2269">
        <v>11</v>
      </c>
      <c r="Z2269">
        <v>7</v>
      </c>
      <c r="AA2269">
        <v>11</v>
      </c>
      <c r="AB2269">
        <v>0.61111000000000004</v>
      </c>
      <c r="AC2269" t="s">
        <v>152</v>
      </c>
      <c r="AD2269" t="s">
        <v>73</v>
      </c>
      <c r="AE2269">
        <v>65406436.016999997</v>
      </c>
      <c r="AF2269" t="s">
        <v>267</v>
      </c>
      <c r="AG2269">
        <v>9</v>
      </c>
      <c r="AH2269">
        <v>22</v>
      </c>
      <c r="AI2269">
        <v>12</v>
      </c>
      <c r="AJ2269">
        <v>0.64705999999999997</v>
      </c>
      <c r="AK2269">
        <v>0</v>
      </c>
      <c r="AL2269">
        <v>0</v>
      </c>
      <c r="AM2269">
        <v>0</v>
      </c>
      <c r="AN2269">
        <v>3</v>
      </c>
      <c r="AO2269">
        <v>0</v>
      </c>
      <c r="AP2269">
        <v>0</v>
      </c>
      <c r="AQ2269">
        <v>2</v>
      </c>
      <c r="AR2269">
        <v>2</v>
      </c>
      <c r="AS2269">
        <v>17</v>
      </c>
      <c r="AT2269">
        <v>0.10526000000000001</v>
      </c>
      <c r="AU2269">
        <v>17</v>
      </c>
      <c r="AV2269">
        <v>14</v>
      </c>
      <c r="AW2269">
        <v>66</v>
      </c>
      <c r="AX2269">
        <v>19</v>
      </c>
      <c r="AY2269">
        <v>90</v>
      </c>
      <c r="AZ2269">
        <v>15</v>
      </c>
      <c r="BA2269" t="s">
        <v>7996</v>
      </c>
      <c r="BB2269" t="s">
        <v>7997</v>
      </c>
      <c r="BC2269">
        <v>0.47399999999999998</v>
      </c>
      <c r="BD2269" t="s">
        <v>65</v>
      </c>
      <c r="BE2269">
        <v>156</v>
      </c>
      <c r="BF2269">
        <v>34</v>
      </c>
      <c r="BG2269" t="s">
        <v>7998</v>
      </c>
      <c r="BH2269" t="s">
        <v>7999</v>
      </c>
      <c r="BI2269" t="s">
        <v>8000</v>
      </c>
      <c r="BJ2269">
        <v>4.9320000000000003E-2</v>
      </c>
      <c r="BK2269">
        <v>1</v>
      </c>
      <c r="BL2269" t="s">
        <v>69</v>
      </c>
      <c r="BM2269">
        <v>-1.429</v>
      </c>
      <c r="BN2269">
        <v>-0.55900000000000005</v>
      </c>
    </row>
    <row r="2270" spans="2:66">
      <c r="B2270">
        <v>3934</v>
      </c>
      <c r="C2270">
        <v>96</v>
      </c>
      <c r="D2270">
        <v>0</v>
      </c>
      <c r="E2270">
        <v>5</v>
      </c>
      <c r="F2270">
        <v>0</v>
      </c>
      <c r="J2270">
        <v>0</v>
      </c>
      <c r="K2270">
        <v>20</v>
      </c>
      <c r="L2270">
        <v>0</v>
      </c>
      <c r="M2270" t="s">
        <v>25022</v>
      </c>
      <c r="N2270">
        <v>1276</v>
      </c>
      <c r="O2270" t="s">
        <v>8001</v>
      </c>
      <c r="P2270" t="s">
        <v>57</v>
      </c>
      <c r="Q2270">
        <v>1303423</v>
      </c>
      <c r="R2270">
        <v>1304433</v>
      </c>
      <c r="S2270" t="s">
        <v>1940</v>
      </c>
      <c r="T2270">
        <v>337</v>
      </c>
      <c r="U2270" t="s">
        <v>108</v>
      </c>
      <c r="V2270">
        <v>44</v>
      </c>
      <c r="W2270" t="str">
        <f>HYPERLINK("Gene1276-zp_tree_all.dnd", "Gene1276-tree")</f>
        <v>Gene1276-tree</v>
      </c>
      <c r="X2270">
        <v>4</v>
      </c>
      <c r="Y2270">
        <v>10</v>
      </c>
      <c r="Z2270">
        <v>4</v>
      </c>
      <c r="AA2270">
        <v>10</v>
      </c>
      <c r="AB2270">
        <v>0.71428999999999998</v>
      </c>
      <c r="AC2270" t="s">
        <v>61</v>
      </c>
      <c r="AD2270" t="s">
        <v>117</v>
      </c>
      <c r="AE2270" t="s">
        <v>62</v>
      </c>
      <c r="AF2270" t="s">
        <v>62</v>
      </c>
      <c r="AG2270">
        <v>7</v>
      </c>
      <c r="AH2270">
        <v>20</v>
      </c>
      <c r="AI2270">
        <v>24</v>
      </c>
      <c r="AJ2270">
        <v>0.45455000000000001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9</v>
      </c>
      <c r="AQ2270">
        <v>0</v>
      </c>
      <c r="AR2270">
        <v>9</v>
      </c>
      <c r="AS2270">
        <v>23</v>
      </c>
      <c r="AT2270">
        <v>0.28125</v>
      </c>
      <c r="AU2270">
        <v>14</v>
      </c>
      <c r="AV2270">
        <v>8</v>
      </c>
      <c r="AW2270">
        <v>44</v>
      </c>
      <c r="AX2270">
        <v>33</v>
      </c>
      <c r="AY2270">
        <v>8</v>
      </c>
      <c r="AZ2270">
        <v>12</v>
      </c>
      <c r="BA2270" t="s">
        <v>8002</v>
      </c>
      <c r="BB2270" t="s">
        <v>8003</v>
      </c>
      <c r="BC2270">
        <v>1.33</v>
      </c>
      <c r="BD2270" t="s">
        <v>65</v>
      </c>
      <c r="BE2270">
        <v>52</v>
      </c>
      <c r="BF2270">
        <v>45</v>
      </c>
      <c r="BG2270" t="s">
        <v>8004</v>
      </c>
      <c r="BH2270" t="s">
        <v>8005</v>
      </c>
      <c r="BI2270" t="s">
        <v>8006</v>
      </c>
      <c r="BJ2270">
        <v>0.22398999999999999</v>
      </c>
      <c r="BK2270">
        <v>1</v>
      </c>
      <c r="BL2270" t="s">
        <v>69</v>
      </c>
      <c r="BM2270">
        <v>-0.54500000000000004</v>
      </c>
      <c r="BN2270">
        <v>-1.405</v>
      </c>
    </row>
    <row r="2271" spans="2:66">
      <c r="B2271">
        <v>3935</v>
      </c>
      <c r="C2271">
        <v>153</v>
      </c>
      <c r="D2271">
        <v>0</v>
      </c>
      <c r="E2271">
        <v>0</v>
      </c>
      <c r="F2271">
        <v>2</v>
      </c>
      <c r="J2271">
        <v>0</v>
      </c>
      <c r="K2271">
        <v>14</v>
      </c>
      <c r="L2271">
        <v>1</v>
      </c>
      <c r="M2271" t="s">
        <v>25022</v>
      </c>
      <c r="N2271">
        <v>1277</v>
      </c>
      <c r="O2271" t="s">
        <v>8007</v>
      </c>
      <c r="P2271" t="s">
        <v>57</v>
      </c>
      <c r="Q2271">
        <v>1304442</v>
      </c>
      <c r="R2271">
        <v>1305458</v>
      </c>
      <c r="S2271" t="s">
        <v>1940</v>
      </c>
      <c r="T2271">
        <v>339</v>
      </c>
      <c r="U2271" t="s">
        <v>108</v>
      </c>
      <c r="V2271">
        <v>44</v>
      </c>
      <c r="W2271" t="str">
        <f>HYPERLINK("Gene1277-zp_tree_all.dnd", "Gene1277-tree")</f>
        <v>Gene1277-tree</v>
      </c>
      <c r="X2271">
        <v>2</v>
      </c>
      <c r="Y2271">
        <v>12</v>
      </c>
      <c r="Z2271">
        <v>2</v>
      </c>
      <c r="AA2271">
        <v>12</v>
      </c>
      <c r="AB2271">
        <v>0.85714000000000001</v>
      </c>
      <c r="AC2271" t="s">
        <v>81</v>
      </c>
      <c r="AD2271" t="s">
        <v>109</v>
      </c>
      <c r="AE2271" t="s">
        <v>62</v>
      </c>
      <c r="AF2271" t="s">
        <v>62</v>
      </c>
      <c r="AG2271">
        <v>6</v>
      </c>
      <c r="AH2271">
        <v>15</v>
      </c>
      <c r="AI2271">
        <v>22</v>
      </c>
      <c r="AJ2271">
        <v>0.40540999999999999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2</v>
      </c>
      <c r="AQ2271">
        <v>0</v>
      </c>
      <c r="AR2271">
        <v>2</v>
      </c>
      <c r="AS2271">
        <v>23</v>
      </c>
      <c r="AT2271">
        <v>0.08</v>
      </c>
      <c r="AU2271">
        <v>12</v>
      </c>
      <c r="AV2271">
        <v>11</v>
      </c>
      <c r="AW2271">
        <v>28</v>
      </c>
      <c r="AX2271">
        <v>18</v>
      </c>
      <c r="AY2271">
        <v>30</v>
      </c>
      <c r="AZ2271">
        <v>22</v>
      </c>
      <c r="BA2271" t="s">
        <v>8008</v>
      </c>
      <c r="BB2271" t="s">
        <v>8009</v>
      </c>
      <c r="BC2271">
        <v>0.23599999999999999</v>
      </c>
      <c r="BD2271" t="s">
        <v>65</v>
      </c>
      <c r="BE2271">
        <v>58</v>
      </c>
      <c r="BF2271">
        <v>40</v>
      </c>
      <c r="BG2271" t="s">
        <v>8010</v>
      </c>
      <c r="BH2271" t="s">
        <v>8011</v>
      </c>
      <c r="BI2271" t="s">
        <v>8012</v>
      </c>
      <c r="BJ2271">
        <v>0.21875</v>
      </c>
      <c r="BK2271">
        <v>1</v>
      </c>
      <c r="BL2271" t="s">
        <v>69</v>
      </c>
      <c r="BM2271">
        <v>-0.61399999999999999</v>
      </c>
      <c r="BN2271">
        <v>-0.70399999999999996</v>
      </c>
    </row>
    <row r="2272" spans="2:66">
      <c r="B2272">
        <v>3938</v>
      </c>
      <c r="C2272">
        <v>4</v>
      </c>
      <c r="D2272">
        <v>0</v>
      </c>
      <c r="E2272">
        <v>2</v>
      </c>
      <c r="F2272">
        <v>1</v>
      </c>
      <c r="J2272">
        <v>0</v>
      </c>
      <c r="K2272">
        <v>4</v>
      </c>
      <c r="L2272">
        <v>3</v>
      </c>
      <c r="M2272" t="s">
        <v>25022</v>
      </c>
      <c r="N2272">
        <v>1278</v>
      </c>
      <c r="O2272" t="s">
        <v>8013</v>
      </c>
      <c r="P2272" t="s">
        <v>57</v>
      </c>
      <c r="Q2272">
        <v>1305486</v>
      </c>
      <c r="R2272">
        <v>1306562</v>
      </c>
      <c r="S2272" t="s">
        <v>8014</v>
      </c>
      <c r="T2272">
        <v>359</v>
      </c>
      <c r="U2272" t="s">
        <v>5762</v>
      </c>
      <c r="V2272">
        <v>43</v>
      </c>
      <c r="W2272" t="str">
        <f>HYPERLINK("Gene1278-zp_tree_all.dnd", "Gene1278-tree")</f>
        <v>Gene1278-tree</v>
      </c>
      <c r="X2272">
        <v>2</v>
      </c>
      <c r="Y2272">
        <v>12</v>
      </c>
      <c r="Z2272">
        <v>2</v>
      </c>
      <c r="AA2272">
        <v>12</v>
      </c>
      <c r="AB2272">
        <v>0.85714000000000001</v>
      </c>
      <c r="AC2272" t="s">
        <v>81</v>
      </c>
      <c r="AD2272" t="s">
        <v>109</v>
      </c>
      <c r="AE2272" t="s">
        <v>62</v>
      </c>
      <c r="AF2272" t="s">
        <v>62</v>
      </c>
      <c r="AG2272">
        <v>3</v>
      </c>
      <c r="AH2272">
        <v>7</v>
      </c>
      <c r="AI2272">
        <v>21</v>
      </c>
      <c r="AJ2272">
        <v>0.25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2</v>
      </c>
      <c r="AQ2272">
        <v>3</v>
      </c>
      <c r="AR2272">
        <v>5</v>
      </c>
      <c r="AS2272">
        <v>20</v>
      </c>
      <c r="AT2272">
        <v>0.2</v>
      </c>
      <c r="AU2272">
        <v>12</v>
      </c>
      <c r="AV2272">
        <v>8</v>
      </c>
      <c r="AW2272">
        <v>30</v>
      </c>
      <c r="AX2272">
        <v>26</v>
      </c>
      <c r="AY2272">
        <v>11</v>
      </c>
      <c r="AZ2272">
        <v>3</v>
      </c>
      <c r="BA2272" t="s">
        <v>8015</v>
      </c>
      <c r="BB2272" t="s">
        <v>8016</v>
      </c>
      <c r="BC2272">
        <v>0.94499999999999995</v>
      </c>
      <c r="BD2272" t="s">
        <v>65</v>
      </c>
      <c r="BE2272">
        <v>41</v>
      </c>
      <c r="BF2272">
        <v>29</v>
      </c>
      <c r="BG2272" t="s">
        <v>8017</v>
      </c>
      <c r="BH2272" t="s">
        <v>8018</v>
      </c>
      <c r="BI2272" t="s">
        <v>8019</v>
      </c>
      <c r="BJ2272">
        <v>0.15742999999999999</v>
      </c>
      <c r="BK2272">
        <v>1</v>
      </c>
      <c r="BL2272" t="s">
        <v>69</v>
      </c>
      <c r="BM2272">
        <v>-1.254</v>
      </c>
      <c r="BN2272">
        <v>-2.4700000000000002</v>
      </c>
    </row>
    <row r="2273" spans="2:66">
      <c r="B2273">
        <v>3939</v>
      </c>
      <c r="C2273">
        <v>52</v>
      </c>
      <c r="D2273">
        <v>0</v>
      </c>
      <c r="E2273">
        <v>0</v>
      </c>
      <c r="F2273">
        <v>2</v>
      </c>
      <c r="J2273">
        <v>0</v>
      </c>
      <c r="K2273">
        <v>8</v>
      </c>
      <c r="L2273">
        <v>0</v>
      </c>
      <c r="M2273" t="s">
        <v>25022</v>
      </c>
      <c r="N2273">
        <v>1279</v>
      </c>
      <c r="O2273" t="s">
        <v>8020</v>
      </c>
      <c r="P2273" t="s">
        <v>57</v>
      </c>
      <c r="Q2273">
        <v>1306562</v>
      </c>
      <c r="R2273">
        <v>1307395</v>
      </c>
      <c r="S2273" t="s">
        <v>8021</v>
      </c>
      <c r="T2273">
        <v>278</v>
      </c>
      <c r="U2273" t="s">
        <v>108</v>
      </c>
      <c r="V2273">
        <v>44</v>
      </c>
      <c r="W2273" t="str">
        <f>HYPERLINK("Gene1279-zp_tree_all.dnd", "Gene1279-tree")</f>
        <v>Gene1279-tree</v>
      </c>
      <c r="X2273">
        <v>8</v>
      </c>
      <c r="Y2273">
        <v>7</v>
      </c>
      <c r="Z2273">
        <v>8</v>
      </c>
      <c r="AA2273">
        <v>7</v>
      </c>
      <c r="AB2273">
        <v>0.46666999999999997</v>
      </c>
      <c r="AC2273" t="s">
        <v>136</v>
      </c>
      <c r="AD2273" t="s">
        <v>152</v>
      </c>
      <c r="AE2273" t="s">
        <v>62</v>
      </c>
      <c r="AF2273" t="s">
        <v>62</v>
      </c>
      <c r="AG2273">
        <v>3</v>
      </c>
      <c r="AH2273">
        <v>8</v>
      </c>
      <c r="AI2273">
        <v>5</v>
      </c>
      <c r="AJ2273">
        <v>0.61538000000000004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7</v>
      </c>
      <c r="AQ2273">
        <v>0</v>
      </c>
      <c r="AR2273">
        <v>7</v>
      </c>
      <c r="AS2273">
        <v>4</v>
      </c>
      <c r="AT2273">
        <v>0.63636000000000004</v>
      </c>
      <c r="AU2273">
        <v>12</v>
      </c>
      <c r="AV2273">
        <v>11</v>
      </c>
      <c r="AW2273">
        <v>32</v>
      </c>
      <c r="AX2273">
        <v>11</v>
      </c>
      <c r="AY2273">
        <v>21</v>
      </c>
      <c r="AZ2273">
        <v>2</v>
      </c>
      <c r="BA2273" t="s">
        <v>8022</v>
      </c>
      <c r="BB2273" t="s">
        <v>8023</v>
      </c>
      <c r="BC2273">
        <v>1.234</v>
      </c>
      <c r="BD2273" t="s">
        <v>65</v>
      </c>
      <c r="BE2273">
        <v>53</v>
      </c>
      <c r="BF2273">
        <v>13</v>
      </c>
      <c r="BG2273" t="s">
        <v>8024</v>
      </c>
      <c r="BH2273" t="s">
        <v>8025</v>
      </c>
      <c r="BI2273" t="s">
        <v>8026</v>
      </c>
      <c r="BJ2273">
        <v>5.7660000000000003E-2</v>
      </c>
      <c r="BK2273">
        <v>1</v>
      </c>
      <c r="BL2273" t="s">
        <v>69</v>
      </c>
      <c r="BM2273">
        <v>0.495</v>
      </c>
      <c r="BN2273">
        <v>-1.135</v>
      </c>
    </row>
    <row r="2274" spans="2:66">
      <c r="B2274">
        <v>3940</v>
      </c>
      <c r="C2274">
        <v>352</v>
      </c>
      <c r="D2274">
        <v>7</v>
      </c>
      <c r="E2274">
        <v>34</v>
      </c>
      <c r="F2274">
        <v>6</v>
      </c>
      <c r="J2274">
        <v>2</v>
      </c>
      <c r="K2274">
        <v>1</v>
      </c>
      <c r="L2274">
        <v>1</v>
      </c>
      <c r="M2274" t="s">
        <v>25022</v>
      </c>
      <c r="N2274">
        <v>1280</v>
      </c>
      <c r="O2274" t="s">
        <v>8027</v>
      </c>
      <c r="P2274" t="s">
        <v>57</v>
      </c>
      <c r="Q2274">
        <v>1307446</v>
      </c>
      <c r="R2274">
        <v>1308711</v>
      </c>
      <c r="S2274" t="s">
        <v>8028</v>
      </c>
      <c r="T2274">
        <v>422</v>
      </c>
      <c r="U2274" t="s">
        <v>108</v>
      </c>
      <c r="V2274">
        <v>44</v>
      </c>
      <c r="W2274" t="str">
        <f>HYPERLINK("Gene1280-zp_tree_all.dnd", "Gene1280-tree")</f>
        <v>Gene1280-tree</v>
      </c>
      <c r="X2274">
        <v>11</v>
      </c>
      <c r="Y2274">
        <v>5</v>
      </c>
      <c r="Z2274">
        <v>11</v>
      </c>
      <c r="AA2274">
        <v>5</v>
      </c>
      <c r="AB2274">
        <v>0.3125</v>
      </c>
      <c r="AC2274" t="s">
        <v>73</v>
      </c>
      <c r="AD2274" t="s">
        <v>199</v>
      </c>
      <c r="AE2274" t="s">
        <v>62</v>
      </c>
      <c r="AF2274" t="s">
        <v>62</v>
      </c>
      <c r="AG2274">
        <v>1</v>
      </c>
      <c r="AH2274">
        <v>4</v>
      </c>
      <c r="AI2274">
        <v>6</v>
      </c>
      <c r="AJ2274">
        <v>0.4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</v>
      </c>
      <c r="AR2274">
        <v>2</v>
      </c>
      <c r="AS2274">
        <v>4</v>
      </c>
      <c r="AT2274">
        <v>0.33333000000000002</v>
      </c>
      <c r="AU2274">
        <v>16</v>
      </c>
      <c r="AV2274">
        <v>12</v>
      </c>
      <c r="AW2274">
        <v>80</v>
      </c>
      <c r="AX2274">
        <v>6</v>
      </c>
      <c r="AY2274">
        <v>39</v>
      </c>
      <c r="AZ2274">
        <v>4</v>
      </c>
      <c r="BA2274" t="s">
        <v>8029</v>
      </c>
      <c r="BB2274" t="s">
        <v>8030</v>
      </c>
      <c r="BC2274">
        <v>0.20799999999999999</v>
      </c>
      <c r="BD2274" t="s">
        <v>65</v>
      </c>
      <c r="BE2274">
        <v>119</v>
      </c>
      <c r="BF2274">
        <v>10</v>
      </c>
      <c r="BG2274" t="s">
        <v>8031</v>
      </c>
      <c r="BH2274" t="s">
        <v>8032</v>
      </c>
      <c r="BI2274" t="s">
        <v>8033</v>
      </c>
      <c r="BJ2274">
        <v>2.3949999999999999E-2</v>
      </c>
      <c r="BK2274">
        <v>1</v>
      </c>
      <c r="BL2274" t="s">
        <v>69</v>
      </c>
      <c r="BM2274">
        <v>-7.2999999999999995E-2</v>
      </c>
      <c r="BN2274">
        <v>-0.74</v>
      </c>
    </row>
    <row r="2275" spans="2:66">
      <c r="B2275">
        <v>3941</v>
      </c>
      <c r="C2275">
        <v>427</v>
      </c>
      <c r="D2275">
        <v>2</v>
      </c>
      <c r="E2275">
        <v>7</v>
      </c>
      <c r="F2275">
        <v>3</v>
      </c>
      <c r="J2275">
        <v>0</v>
      </c>
      <c r="K2275">
        <v>7</v>
      </c>
      <c r="L2275">
        <v>0</v>
      </c>
      <c r="M2275" t="s">
        <v>25022</v>
      </c>
      <c r="N2275">
        <v>1281</v>
      </c>
      <c r="O2275" t="s">
        <v>8034</v>
      </c>
      <c r="P2275" t="s">
        <v>57</v>
      </c>
      <c r="Q2275">
        <v>1308802</v>
      </c>
      <c r="R2275">
        <v>1309800</v>
      </c>
      <c r="S2275" t="s">
        <v>8035</v>
      </c>
      <c r="T2275">
        <v>333</v>
      </c>
      <c r="U2275" t="s">
        <v>108</v>
      </c>
      <c r="V2275">
        <v>44</v>
      </c>
      <c r="W2275" t="str">
        <f>HYPERLINK("Gene1281-zp_tree_all.dnd", "Gene1281-tree")</f>
        <v>Gene1281-tree</v>
      </c>
      <c r="X2275">
        <v>8</v>
      </c>
      <c r="Y2275">
        <v>7</v>
      </c>
      <c r="Z2275">
        <v>8</v>
      </c>
      <c r="AA2275">
        <v>7</v>
      </c>
      <c r="AB2275">
        <v>0.46666999999999997</v>
      </c>
      <c r="AC2275" t="s">
        <v>136</v>
      </c>
      <c r="AD2275" t="s">
        <v>152</v>
      </c>
      <c r="AE2275" t="s">
        <v>62</v>
      </c>
      <c r="AF2275" t="s">
        <v>62</v>
      </c>
      <c r="AG2275">
        <v>3</v>
      </c>
      <c r="AH2275">
        <v>7</v>
      </c>
      <c r="AI2275">
        <v>5</v>
      </c>
      <c r="AJ2275">
        <v>0.58333000000000002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2</v>
      </c>
      <c r="AQ2275">
        <v>0</v>
      </c>
      <c r="AR2275">
        <v>2</v>
      </c>
      <c r="AS2275">
        <v>7</v>
      </c>
      <c r="AT2275">
        <v>0.22222</v>
      </c>
      <c r="AU2275">
        <v>13</v>
      </c>
      <c r="AV2275">
        <v>12</v>
      </c>
      <c r="AW2275">
        <v>47</v>
      </c>
      <c r="AX2275">
        <v>9</v>
      </c>
      <c r="AY2275">
        <v>35</v>
      </c>
      <c r="AZ2275">
        <v>3</v>
      </c>
      <c r="BA2275" t="s">
        <v>8036</v>
      </c>
      <c r="BB2275" t="s">
        <v>8037</v>
      </c>
      <c r="BC2275">
        <v>0.65200000000000002</v>
      </c>
      <c r="BD2275" t="s">
        <v>65</v>
      </c>
      <c r="BE2275">
        <v>82</v>
      </c>
      <c r="BF2275">
        <v>12</v>
      </c>
      <c r="BG2275" t="s">
        <v>8038</v>
      </c>
      <c r="BH2275" t="s">
        <v>8039</v>
      </c>
      <c r="BI2275" t="s">
        <v>8040</v>
      </c>
      <c r="BJ2275">
        <v>3.6659999999999998E-2</v>
      </c>
      <c r="BK2275">
        <v>1</v>
      </c>
      <c r="BL2275" t="s">
        <v>69</v>
      </c>
      <c r="BM2275">
        <v>-0.32400000000000001</v>
      </c>
      <c r="BN2275">
        <v>-1.3320000000000001</v>
      </c>
    </row>
    <row r="2276" spans="2:66">
      <c r="B2276">
        <v>3942</v>
      </c>
      <c r="C2276">
        <v>74</v>
      </c>
      <c r="D2276">
        <v>0</v>
      </c>
      <c r="E2276">
        <v>7</v>
      </c>
      <c r="F2276">
        <v>2</v>
      </c>
      <c r="J2276">
        <v>3</v>
      </c>
      <c r="K2276">
        <v>50</v>
      </c>
      <c r="L2276">
        <v>7</v>
      </c>
      <c r="M2276" t="s">
        <v>25022</v>
      </c>
      <c r="N2276">
        <v>1282</v>
      </c>
      <c r="O2276" t="s">
        <v>8041</v>
      </c>
      <c r="P2276" t="s">
        <v>57</v>
      </c>
      <c r="Q2276">
        <v>1309880</v>
      </c>
      <c r="R2276">
        <v>1311319</v>
      </c>
      <c r="S2276" t="s">
        <v>8042</v>
      </c>
      <c r="T2276">
        <v>480</v>
      </c>
      <c r="U2276" t="s">
        <v>108</v>
      </c>
      <c r="V2276">
        <v>44</v>
      </c>
      <c r="W2276" t="str">
        <f>HYPERLINK("Gene1282-zp_tree_all.dnd", "Gene1282-tree")</f>
        <v>Gene1282-tree</v>
      </c>
      <c r="X2276">
        <v>4</v>
      </c>
      <c r="Y2276">
        <v>12</v>
      </c>
      <c r="Z2276">
        <v>4</v>
      </c>
      <c r="AA2276">
        <v>12</v>
      </c>
      <c r="AB2276">
        <v>0.75</v>
      </c>
      <c r="AC2276" t="s">
        <v>61</v>
      </c>
      <c r="AD2276" t="s">
        <v>109</v>
      </c>
      <c r="AE2276" t="s">
        <v>62</v>
      </c>
      <c r="AF2276" t="s">
        <v>62</v>
      </c>
      <c r="AG2276">
        <v>20</v>
      </c>
      <c r="AH2276">
        <v>60</v>
      </c>
      <c r="AI2276">
        <v>27</v>
      </c>
      <c r="AJ2276">
        <v>0.68966000000000005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21</v>
      </c>
      <c r="AQ2276">
        <v>6</v>
      </c>
      <c r="AR2276">
        <v>27</v>
      </c>
      <c r="AS2276">
        <v>31</v>
      </c>
      <c r="AT2276">
        <v>0.46551999999999999</v>
      </c>
      <c r="AU2276">
        <v>14</v>
      </c>
      <c r="AV2276">
        <v>13</v>
      </c>
      <c r="AW2276">
        <v>75</v>
      </c>
      <c r="AX2276">
        <v>58</v>
      </c>
      <c r="AY2276">
        <v>49</v>
      </c>
      <c r="AZ2276">
        <v>32</v>
      </c>
      <c r="BA2276" t="s">
        <v>8043</v>
      </c>
      <c r="BB2276" t="s">
        <v>8044</v>
      </c>
      <c r="BC2276">
        <v>0.373</v>
      </c>
      <c r="BD2276" t="s">
        <v>65</v>
      </c>
      <c r="BE2276">
        <v>124</v>
      </c>
      <c r="BF2276">
        <v>90</v>
      </c>
      <c r="BG2276" t="s">
        <v>8045</v>
      </c>
      <c r="BH2276" t="s">
        <v>8046</v>
      </c>
      <c r="BI2276" t="s">
        <v>8047</v>
      </c>
      <c r="BJ2276">
        <v>0.17732999999999999</v>
      </c>
      <c r="BK2276">
        <v>1</v>
      </c>
      <c r="BL2276" t="s">
        <v>69</v>
      </c>
      <c r="BM2276">
        <v>-0.35799999999999998</v>
      </c>
      <c r="BN2276">
        <v>-1.621</v>
      </c>
    </row>
    <row r="2277" spans="2:66">
      <c r="B2277">
        <v>3945</v>
      </c>
      <c r="C2277">
        <v>16</v>
      </c>
      <c r="D2277">
        <v>0</v>
      </c>
      <c r="E2277">
        <v>20</v>
      </c>
      <c r="F2277">
        <v>3</v>
      </c>
      <c r="J2277">
        <v>3</v>
      </c>
      <c r="K2277">
        <v>17</v>
      </c>
      <c r="L2277">
        <v>3</v>
      </c>
      <c r="M2277" t="s">
        <v>25022</v>
      </c>
      <c r="N2277">
        <v>1283</v>
      </c>
      <c r="O2277" t="s">
        <v>8048</v>
      </c>
      <c r="P2277" t="s">
        <v>57</v>
      </c>
      <c r="Q2277">
        <v>1311319</v>
      </c>
      <c r="R2277">
        <v>1312809</v>
      </c>
      <c r="S2277" t="s">
        <v>8049</v>
      </c>
      <c r="T2277">
        <v>497</v>
      </c>
      <c r="U2277" t="s">
        <v>108</v>
      </c>
      <c r="V2277">
        <v>44</v>
      </c>
      <c r="W2277" t="str">
        <f>HYPERLINK("Gene1283-zp_tree_all.dnd", "Gene1283-tree")</f>
        <v>Gene1283-tree</v>
      </c>
      <c r="X2277">
        <v>2</v>
      </c>
      <c r="Y2277">
        <v>11</v>
      </c>
      <c r="Z2277">
        <v>2</v>
      </c>
      <c r="AA2277">
        <v>11</v>
      </c>
      <c r="AB2277">
        <v>0.84614999999999996</v>
      </c>
      <c r="AC2277" t="s">
        <v>81</v>
      </c>
      <c r="AD2277" t="s">
        <v>73</v>
      </c>
      <c r="AE2277">
        <v>515075683.63</v>
      </c>
      <c r="AF2277" t="s">
        <v>267</v>
      </c>
      <c r="AG2277">
        <v>9</v>
      </c>
      <c r="AH2277">
        <v>23</v>
      </c>
      <c r="AI2277">
        <v>17</v>
      </c>
      <c r="AJ2277">
        <v>0.57499999999999996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6</v>
      </c>
      <c r="AQ2277">
        <v>5</v>
      </c>
      <c r="AR2277">
        <v>11</v>
      </c>
      <c r="AS2277">
        <v>16</v>
      </c>
      <c r="AT2277">
        <v>0.40740999999999999</v>
      </c>
      <c r="AU2277">
        <v>12</v>
      </c>
      <c r="AV2277">
        <v>9</v>
      </c>
      <c r="AW2277">
        <v>54</v>
      </c>
      <c r="AX2277">
        <v>26</v>
      </c>
      <c r="AY2277">
        <v>39</v>
      </c>
      <c r="AZ2277">
        <v>15</v>
      </c>
      <c r="BA2277" t="s">
        <v>8050</v>
      </c>
      <c r="BB2277" t="s">
        <v>8051</v>
      </c>
      <c r="BC2277">
        <v>0.46600000000000003</v>
      </c>
      <c r="BD2277" t="s">
        <v>65</v>
      </c>
      <c r="BE2277">
        <v>93</v>
      </c>
      <c r="BF2277">
        <v>41</v>
      </c>
      <c r="BG2277" t="s">
        <v>8052</v>
      </c>
      <c r="BH2277" t="s">
        <v>8053</v>
      </c>
      <c r="BI2277" t="s">
        <v>8054</v>
      </c>
      <c r="BJ2277">
        <v>0.12942999999999999</v>
      </c>
      <c r="BK2277">
        <v>1</v>
      </c>
      <c r="BL2277" t="s">
        <v>69</v>
      </c>
      <c r="BM2277">
        <v>0.19800000000000001</v>
      </c>
      <c r="BN2277">
        <v>-0.55900000000000005</v>
      </c>
    </row>
    <row r="2278" spans="2:66">
      <c r="B2278">
        <v>3946</v>
      </c>
      <c r="C2278">
        <v>216</v>
      </c>
      <c r="D2278">
        <v>0</v>
      </c>
      <c r="E2278">
        <v>4</v>
      </c>
      <c r="F2278">
        <v>0</v>
      </c>
      <c r="J2278">
        <v>0</v>
      </c>
      <c r="K2278">
        <v>0</v>
      </c>
      <c r="L2278">
        <v>0</v>
      </c>
      <c r="M2278" t="s">
        <v>25022</v>
      </c>
      <c r="N2278">
        <v>1286</v>
      </c>
      <c r="O2278" t="s">
        <v>8070</v>
      </c>
      <c r="P2278" t="s">
        <v>57</v>
      </c>
      <c r="Q2278">
        <v>1314453</v>
      </c>
      <c r="R2278">
        <v>1315721</v>
      </c>
      <c r="S2278" t="s">
        <v>8071</v>
      </c>
      <c r="T2278">
        <v>423</v>
      </c>
      <c r="U2278" t="s">
        <v>8072</v>
      </c>
      <c r="V2278">
        <v>39</v>
      </c>
      <c r="W2278" t="str">
        <f>HYPERLINK("Gene1286-zp_tree_all.dnd", "Gene1286-tree")</f>
        <v>Gene1286-tree</v>
      </c>
      <c r="X2278">
        <v>4</v>
      </c>
      <c r="Y2278">
        <v>10</v>
      </c>
      <c r="Z2278">
        <v>4</v>
      </c>
      <c r="AA2278">
        <v>10</v>
      </c>
      <c r="AB2278">
        <v>0.71428999999999998</v>
      </c>
      <c r="AC2278" t="s">
        <v>61</v>
      </c>
      <c r="AD2278" t="s">
        <v>117</v>
      </c>
      <c r="AE2278" t="s">
        <v>62</v>
      </c>
      <c r="AF2278" t="s">
        <v>62</v>
      </c>
      <c r="AG2278">
        <v>0</v>
      </c>
      <c r="AH2278">
        <v>0</v>
      </c>
      <c r="AI2278">
        <v>23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17</v>
      </c>
      <c r="AT2278">
        <v>0</v>
      </c>
      <c r="AU2278">
        <v>11</v>
      </c>
      <c r="AV2278">
        <v>6</v>
      </c>
      <c r="AW2278">
        <v>35</v>
      </c>
      <c r="AX2278">
        <v>17</v>
      </c>
      <c r="AY2278">
        <v>29</v>
      </c>
      <c r="AZ2278">
        <v>7</v>
      </c>
      <c r="BA2278" t="s">
        <v>8073</v>
      </c>
      <c r="BB2278" t="s">
        <v>8074</v>
      </c>
      <c r="BC2278">
        <v>0.56299999999999994</v>
      </c>
      <c r="BD2278" t="s">
        <v>65</v>
      </c>
      <c r="BE2278">
        <v>64</v>
      </c>
      <c r="BF2278">
        <v>24</v>
      </c>
      <c r="BG2278" t="s">
        <v>8075</v>
      </c>
      <c r="BH2278" t="s">
        <v>8076</v>
      </c>
      <c r="BI2278" t="s">
        <v>8077</v>
      </c>
      <c r="BJ2278">
        <v>8.5779999999999995E-2</v>
      </c>
      <c r="BK2278">
        <v>1</v>
      </c>
      <c r="BL2278" t="s">
        <v>69</v>
      </c>
      <c r="BM2278">
        <v>-2.1280000000000001</v>
      </c>
      <c r="BN2278">
        <v>-1.851</v>
      </c>
    </row>
    <row r="2279" spans="2:66">
      <c r="B2279">
        <v>3948</v>
      </c>
      <c r="C2279">
        <v>53</v>
      </c>
      <c r="D2279">
        <v>0</v>
      </c>
      <c r="E2279">
        <v>2</v>
      </c>
      <c r="F2279">
        <v>0</v>
      </c>
      <c r="J2279">
        <v>0</v>
      </c>
      <c r="K2279">
        <v>2</v>
      </c>
      <c r="L2279">
        <v>0</v>
      </c>
      <c r="M2279" t="s">
        <v>25022</v>
      </c>
      <c r="N2279">
        <v>1287</v>
      </c>
      <c r="O2279" t="s">
        <v>8078</v>
      </c>
      <c r="P2279" t="s">
        <v>57</v>
      </c>
      <c r="Q2279">
        <v>1315869</v>
      </c>
      <c r="R2279">
        <v>1317002</v>
      </c>
      <c r="S2279" t="s">
        <v>1932</v>
      </c>
      <c r="T2279">
        <v>378</v>
      </c>
      <c r="U2279" t="s">
        <v>727</v>
      </c>
      <c r="V2279">
        <v>48</v>
      </c>
      <c r="W2279" t="str">
        <f>HYPERLINK("Gene1287-zp_tree_all.dnd", "Gene1287-tree")</f>
        <v>Gene1287-tree</v>
      </c>
      <c r="X2279">
        <v>16</v>
      </c>
      <c r="Y2279">
        <v>1</v>
      </c>
      <c r="Z2279">
        <v>16</v>
      </c>
      <c r="AA2279">
        <v>1</v>
      </c>
      <c r="AB2279">
        <v>5.8819999999999997E-2</v>
      </c>
      <c r="AC2279" t="s">
        <v>60</v>
      </c>
      <c r="AD2279" t="s">
        <v>175</v>
      </c>
      <c r="AE2279" t="s">
        <v>62</v>
      </c>
      <c r="AF2279" t="s">
        <v>62</v>
      </c>
      <c r="AG2279">
        <v>1</v>
      </c>
      <c r="AH2279">
        <v>2</v>
      </c>
      <c r="AI2279">
        <v>2</v>
      </c>
      <c r="AJ2279">
        <v>0.5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16</v>
      </c>
      <c r="AV2279">
        <v>13</v>
      </c>
      <c r="AW2279">
        <v>38</v>
      </c>
      <c r="AX2279">
        <v>1</v>
      </c>
      <c r="AY2279">
        <v>46</v>
      </c>
      <c r="AZ2279">
        <v>3</v>
      </c>
      <c r="BA2279" t="s">
        <v>8079</v>
      </c>
      <c r="BB2279" t="s">
        <v>8080</v>
      </c>
      <c r="BC2279">
        <v>0.23200000000000001</v>
      </c>
      <c r="BD2279" t="s">
        <v>65</v>
      </c>
      <c r="BE2279">
        <v>84</v>
      </c>
      <c r="BF2279">
        <v>4</v>
      </c>
      <c r="BG2279" t="s">
        <v>8081</v>
      </c>
      <c r="BH2279" t="s">
        <v>8082</v>
      </c>
      <c r="BI2279" t="s">
        <v>8083</v>
      </c>
      <c r="BJ2279">
        <v>1.085E-2</v>
      </c>
      <c r="BK2279">
        <v>1</v>
      </c>
      <c r="BL2279" t="s">
        <v>69</v>
      </c>
      <c r="BM2279">
        <v>-1.0980000000000001</v>
      </c>
      <c r="BN2279">
        <v>-0.50900000000000001</v>
      </c>
    </row>
    <row r="2280" spans="2:66">
      <c r="B2280">
        <v>3955</v>
      </c>
      <c r="C2280">
        <v>44</v>
      </c>
      <c r="D2280">
        <v>0</v>
      </c>
      <c r="E2280">
        <v>13</v>
      </c>
      <c r="F2280">
        <v>7</v>
      </c>
      <c r="J2280">
        <v>0</v>
      </c>
      <c r="K2280">
        <v>12</v>
      </c>
      <c r="L2280">
        <v>0</v>
      </c>
      <c r="M2280" t="s">
        <v>25022</v>
      </c>
      <c r="N2280">
        <v>1290</v>
      </c>
      <c r="O2280" t="s">
        <v>8091</v>
      </c>
      <c r="P2280" t="s">
        <v>57</v>
      </c>
      <c r="Q2280">
        <v>1317535</v>
      </c>
      <c r="R2280">
        <v>1318485</v>
      </c>
      <c r="S2280" t="s">
        <v>8092</v>
      </c>
      <c r="T2280">
        <v>317</v>
      </c>
      <c r="U2280" t="s">
        <v>1305</v>
      </c>
      <c r="V2280">
        <v>43</v>
      </c>
      <c r="W2280" t="str">
        <f>HYPERLINK("Gene1290-zp_tree_all.dnd", "Gene1290-tree")</f>
        <v>Gene1290-tree</v>
      </c>
      <c r="X2280">
        <v>25</v>
      </c>
      <c r="Y2280">
        <v>6</v>
      </c>
      <c r="Z2280">
        <v>7</v>
      </c>
      <c r="AA2280">
        <v>6</v>
      </c>
      <c r="AB2280">
        <v>0.46154000000000001</v>
      </c>
      <c r="AC2280" t="s">
        <v>2683</v>
      </c>
      <c r="AD2280" t="s">
        <v>90</v>
      </c>
      <c r="AE2280" t="s">
        <v>62</v>
      </c>
      <c r="AF2280" t="s">
        <v>62</v>
      </c>
      <c r="AG2280">
        <v>5</v>
      </c>
      <c r="AH2280">
        <v>12</v>
      </c>
      <c r="AI2280">
        <v>10</v>
      </c>
      <c r="AJ2280">
        <v>0.54544999999999999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3</v>
      </c>
      <c r="AQ2280">
        <v>0</v>
      </c>
      <c r="AR2280">
        <v>3</v>
      </c>
      <c r="AS2280">
        <v>8</v>
      </c>
      <c r="AT2280">
        <v>0.27272999999999997</v>
      </c>
      <c r="AU2280">
        <v>12</v>
      </c>
      <c r="AV2280">
        <v>8</v>
      </c>
      <c r="AW2280">
        <v>30</v>
      </c>
      <c r="AX2280">
        <v>11</v>
      </c>
      <c r="AY2280">
        <v>30</v>
      </c>
      <c r="AZ2280">
        <v>12</v>
      </c>
      <c r="BA2280" t="s">
        <v>8093</v>
      </c>
      <c r="BB2280" t="s">
        <v>8094</v>
      </c>
      <c r="BC2280">
        <v>0.11899999999999999</v>
      </c>
      <c r="BD2280" t="s">
        <v>65</v>
      </c>
      <c r="BE2280">
        <v>60</v>
      </c>
      <c r="BF2280">
        <v>23</v>
      </c>
      <c r="BG2280" t="s">
        <v>8095</v>
      </c>
      <c r="BH2280" t="s">
        <v>8096</v>
      </c>
      <c r="BI2280" t="s">
        <v>8097</v>
      </c>
      <c r="BJ2280">
        <v>0.10621</v>
      </c>
      <c r="BK2280">
        <v>1</v>
      </c>
      <c r="BL2280" t="s">
        <v>69</v>
      </c>
      <c r="BM2280">
        <v>0.6</v>
      </c>
      <c r="BN2280">
        <v>-0.38900000000000001</v>
      </c>
    </row>
    <row r="2281" spans="2:66">
      <c r="B2281">
        <v>3956</v>
      </c>
      <c r="C2281">
        <v>59</v>
      </c>
      <c r="D2281">
        <v>0</v>
      </c>
      <c r="E2281">
        <v>5</v>
      </c>
      <c r="F2281">
        <v>0</v>
      </c>
      <c r="J2281">
        <v>0</v>
      </c>
      <c r="K2281">
        <v>6</v>
      </c>
      <c r="L2281">
        <v>0</v>
      </c>
      <c r="M2281" t="s">
        <v>25022</v>
      </c>
      <c r="N2281">
        <v>1292</v>
      </c>
      <c r="O2281" t="s">
        <v>8106</v>
      </c>
      <c r="P2281" t="s">
        <v>57</v>
      </c>
      <c r="Q2281">
        <v>1319011</v>
      </c>
      <c r="R2281">
        <v>1319610</v>
      </c>
      <c r="S2281" t="s">
        <v>8107</v>
      </c>
      <c r="T2281">
        <v>200</v>
      </c>
      <c r="U2281" t="s">
        <v>8108</v>
      </c>
      <c r="V2281">
        <v>42</v>
      </c>
      <c r="W2281" t="str">
        <f>HYPERLINK("Gene1292-zp_tree_all.dnd", "Gene1292-tree")</f>
        <v>Gene1292-tree</v>
      </c>
      <c r="X2281">
        <v>5</v>
      </c>
      <c r="Y2281">
        <v>5</v>
      </c>
      <c r="Z2281">
        <v>5</v>
      </c>
      <c r="AA2281">
        <v>5</v>
      </c>
      <c r="AB2281">
        <v>0.5</v>
      </c>
      <c r="AC2281" t="s">
        <v>199</v>
      </c>
      <c r="AD2281" t="s">
        <v>199</v>
      </c>
      <c r="AE2281" t="s">
        <v>62</v>
      </c>
      <c r="AF2281" t="s">
        <v>62</v>
      </c>
      <c r="AG2281">
        <v>3</v>
      </c>
      <c r="AH2281">
        <v>6</v>
      </c>
      <c r="AI2281">
        <v>5</v>
      </c>
      <c r="AJ2281">
        <v>0.54544999999999999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4</v>
      </c>
      <c r="AQ2281">
        <v>0</v>
      </c>
      <c r="AR2281">
        <v>4</v>
      </c>
      <c r="AS2281">
        <v>5</v>
      </c>
      <c r="AT2281">
        <v>0.44444</v>
      </c>
      <c r="AU2281">
        <v>6</v>
      </c>
      <c r="AV2281">
        <v>5</v>
      </c>
      <c r="AW2281">
        <v>22</v>
      </c>
      <c r="AX2281">
        <v>9</v>
      </c>
      <c r="AY2281">
        <v>12</v>
      </c>
      <c r="AZ2281">
        <v>2</v>
      </c>
      <c r="BA2281" t="s">
        <v>8109</v>
      </c>
      <c r="BB2281" t="s">
        <v>8110</v>
      </c>
      <c r="BC2281">
        <v>0.57299999999999995</v>
      </c>
      <c r="BD2281" t="s">
        <v>65</v>
      </c>
      <c r="BE2281">
        <v>34</v>
      </c>
      <c r="BF2281">
        <v>11</v>
      </c>
      <c r="BG2281" t="s">
        <v>8111</v>
      </c>
      <c r="BH2281" t="s">
        <v>8112</v>
      </c>
      <c r="BI2281" t="s">
        <v>8113</v>
      </c>
      <c r="BJ2281">
        <v>7.4889999999999998E-2</v>
      </c>
      <c r="BK2281">
        <v>1</v>
      </c>
      <c r="BL2281" t="s">
        <v>69</v>
      </c>
      <c r="BM2281">
        <v>4.7E-2</v>
      </c>
      <c r="BN2281">
        <v>-0.189</v>
      </c>
    </row>
    <row r="2282" spans="2:66">
      <c r="B2282">
        <v>3958</v>
      </c>
      <c r="C2282">
        <v>208</v>
      </c>
      <c r="D2282">
        <v>0</v>
      </c>
      <c r="E2282">
        <v>2</v>
      </c>
      <c r="F2282">
        <v>0</v>
      </c>
      <c r="J2282">
        <v>0</v>
      </c>
      <c r="K2282">
        <v>0</v>
      </c>
      <c r="L2282">
        <v>0</v>
      </c>
      <c r="M2282" t="s">
        <v>25022</v>
      </c>
      <c r="N2282">
        <v>1293</v>
      </c>
      <c r="O2282" t="s">
        <v>8114</v>
      </c>
      <c r="P2282" t="s">
        <v>57</v>
      </c>
      <c r="Q2282">
        <v>1319690</v>
      </c>
      <c r="R2282">
        <v>1320523</v>
      </c>
      <c r="S2282" t="s">
        <v>8115</v>
      </c>
      <c r="T2282">
        <v>278</v>
      </c>
      <c r="U2282" t="s">
        <v>1305</v>
      </c>
      <c r="V2282">
        <v>43</v>
      </c>
      <c r="W2282" t="str">
        <f>HYPERLINK("Gene1293-zp_tree_all.dnd", "Gene1293-tree")</f>
        <v>Gene1293-tree</v>
      </c>
      <c r="X2282">
        <v>10</v>
      </c>
      <c r="Y2282">
        <v>1</v>
      </c>
      <c r="Z2282">
        <v>10</v>
      </c>
      <c r="AA2282">
        <v>1</v>
      </c>
      <c r="AB2282">
        <v>9.0910000000000005E-2</v>
      </c>
      <c r="AC2282" t="s">
        <v>117</v>
      </c>
      <c r="AD2282" t="s">
        <v>175</v>
      </c>
      <c r="AE2282" t="s">
        <v>62</v>
      </c>
      <c r="AF2282" t="s">
        <v>62</v>
      </c>
      <c r="AG2282">
        <v>0</v>
      </c>
      <c r="AH2282">
        <v>0</v>
      </c>
      <c r="AI2282">
        <v>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3</v>
      </c>
      <c r="AT2282">
        <v>0</v>
      </c>
      <c r="AU2282">
        <v>8</v>
      </c>
      <c r="AV2282">
        <v>6</v>
      </c>
      <c r="AW2282">
        <v>30</v>
      </c>
      <c r="AX2282">
        <v>3</v>
      </c>
      <c r="AY2282">
        <v>14</v>
      </c>
      <c r="AZ2282">
        <v>0</v>
      </c>
      <c r="BA2282" t="s">
        <v>8116</v>
      </c>
      <c r="BB2282" t="s">
        <v>193</v>
      </c>
      <c r="BC2282">
        <v>0.29699999999999999</v>
      </c>
      <c r="BD2282" t="s">
        <v>65</v>
      </c>
      <c r="BE2282">
        <v>44</v>
      </c>
      <c r="BF2282">
        <v>3</v>
      </c>
      <c r="BG2282" t="s">
        <v>8117</v>
      </c>
      <c r="BH2282" t="s">
        <v>8118</v>
      </c>
      <c r="BI2282" t="s">
        <v>8119</v>
      </c>
      <c r="BJ2282">
        <v>1.602E-2</v>
      </c>
      <c r="BK2282">
        <v>1</v>
      </c>
      <c r="BL2282" t="s">
        <v>69</v>
      </c>
      <c r="BM2282">
        <v>-1.121</v>
      </c>
      <c r="BN2282">
        <v>-2.4900000000000002</v>
      </c>
    </row>
    <row r="2283" spans="2:66">
      <c r="B2283">
        <v>3960</v>
      </c>
      <c r="C2283">
        <v>88</v>
      </c>
      <c r="D2283">
        <v>0</v>
      </c>
      <c r="E2283">
        <v>0</v>
      </c>
      <c r="F2283">
        <v>3</v>
      </c>
      <c r="J2283">
        <v>0</v>
      </c>
      <c r="K2283">
        <v>2</v>
      </c>
      <c r="L2283">
        <v>1</v>
      </c>
      <c r="M2283" t="s">
        <v>25022</v>
      </c>
      <c r="N2283">
        <v>1296</v>
      </c>
      <c r="O2283" t="s">
        <v>8135</v>
      </c>
      <c r="P2283" t="s">
        <v>57</v>
      </c>
      <c r="Q2283">
        <v>1321848</v>
      </c>
      <c r="R2283">
        <v>1322024</v>
      </c>
      <c r="S2283" t="s">
        <v>8099</v>
      </c>
      <c r="T2283">
        <v>59</v>
      </c>
      <c r="U2283" t="s">
        <v>1305</v>
      </c>
      <c r="V2283">
        <v>43</v>
      </c>
      <c r="W2283" t="str">
        <f>HYPERLINK("Gene1296-zp_tree_all.dnd", "Gene1296-tree")</f>
        <v>Gene1296-tree</v>
      </c>
      <c r="X2283">
        <v>5</v>
      </c>
      <c r="Y2283">
        <v>3</v>
      </c>
      <c r="Z2283">
        <v>5</v>
      </c>
      <c r="AA2283">
        <v>3</v>
      </c>
      <c r="AB2283">
        <v>0.375</v>
      </c>
      <c r="AC2283" t="s">
        <v>199</v>
      </c>
      <c r="AD2283" t="s">
        <v>324</v>
      </c>
      <c r="AE2283" t="s">
        <v>62</v>
      </c>
      <c r="AF2283" t="s">
        <v>62</v>
      </c>
      <c r="AG2283">
        <v>1</v>
      </c>
      <c r="AH2283">
        <v>3</v>
      </c>
      <c r="AI2283">
        <v>2</v>
      </c>
      <c r="AJ2283">
        <v>0.6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2</v>
      </c>
      <c r="AR2283">
        <v>2</v>
      </c>
      <c r="AS2283">
        <v>1</v>
      </c>
      <c r="AT2283">
        <v>0.66666999999999998</v>
      </c>
      <c r="AU2283">
        <v>5</v>
      </c>
      <c r="AV2283">
        <v>3</v>
      </c>
      <c r="AW2283">
        <v>8</v>
      </c>
      <c r="AX2283">
        <v>3</v>
      </c>
      <c r="AY2283">
        <v>5</v>
      </c>
      <c r="AZ2283">
        <v>2</v>
      </c>
      <c r="BA2283" t="s">
        <v>8136</v>
      </c>
      <c r="BB2283" t="s">
        <v>8137</v>
      </c>
      <c r="BC2283">
        <v>7.9000000000000001E-2</v>
      </c>
      <c r="BD2283" t="s">
        <v>65</v>
      </c>
      <c r="BE2283">
        <v>13</v>
      </c>
      <c r="BF2283">
        <v>5</v>
      </c>
      <c r="BG2283" t="s">
        <v>8138</v>
      </c>
      <c r="BH2283" t="s">
        <v>8139</v>
      </c>
      <c r="BI2283" t="s">
        <v>8140</v>
      </c>
      <c r="BJ2283">
        <v>7.782E-2</v>
      </c>
      <c r="BK2283">
        <v>1</v>
      </c>
      <c r="BL2283" t="s">
        <v>69</v>
      </c>
      <c r="BM2283">
        <v>0.125</v>
      </c>
      <c r="BN2283">
        <v>-0.09</v>
      </c>
    </row>
    <row r="2284" spans="2:66">
      <c r="B2284">
        <v>3961</v>
      </c>
      <c r="C2284">
        <v>484</v>
      </c>
      <c r="D2284">
        <v>0</v>
      </c>
      <c r="E2284">
        <v>2</v>
      </c>
      <c r="F2284">
        <v>0</v>
      </c>
      <c r="J2284">
        <v>0</v>
      </c>
      <c r="K2284">
        <v>0</v>
      </c>
      <c r="L2284">
        <v>0</v>
      </c>
      <c r="M2284" t="s">
        <v>25022</v>
      </c>
      <c r="N2284">
        <v>1297</v>
      </c>
      <c r="O2284" t="s">
        <v>8141</v>
      </c>
      <c r="P2284" t="s">
        <v>57</v>
      </c>
      <c r="Q2284">
        <v>1322014</v>
      </c>
      <c r="R2284">
        <v>1322847</v>
      </c>
      <c r="S2284" t="s">
        <v>8099</v>
      </c>
      <c r="T2284">
        <v>278</v>
      </c>
      <c r="U2284" t="s">
        <v>1305</v>
      </c>
      <c r="V2284">
        <v>43</v>
      </c>
      <c r="W2284" t="str">
        <f>HYPERLINK("Gene1297-zp_tree_all.dnd", "Gene1297-tree")</f>
        <v>Gene1297-tree</v>
      </c>
      <c r="X2284">
        <v>4</v>
      </c>
      <c r="Y2284">
        <v>8</v>
      </c>
      <c r="Z2284">
        <v>4</v>
      </c>
      <c r="AA2284">
        <v>8</v>
      </c>
      <c r="AB2284">
        <v>0.66666999999999998</v>
      </c>
      <c r="AC2284" t="s">
        <v>61</v>
      </c>
      <c r="AD2284" t="s">
        <v>136</v>
      </c>
      <c r="AE2284" t="s">
        <v>62</v>
      </c>
      <c r="AF2284" t="s">
        <v>62</v>
      </c>
      <c r="AG2284">
        <v>0</v>
      </c>
      <c r="AH2284">
        <v>0</v>
      </c>
      <c r="AI2284">
        <v>14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14</v>
      </c>
      <c r="AT2284">
        <v>0</v>
      </c>
      <c r="AU2284">
        <v>8</v>
      </c>
      <c r="AV2284">
        <v>7</v>
      </c>
      <c r="AW2284">
        <v>11</v>
      </c>
      <c r="AX2284">
        <v>11</v>
      </c>
      <c r="AY2284">
        <v>14</v>
      </c>
      <c r="AZ2284">
        <v>3</v>
      </c>
      <c r="BA2284" t="s">
        <v>8142</v>
      </c>
      <c r="BB2284" t="s">
        <v>8143</v>
      </c>
      <c r="BC2284">
        <v>1.36</v>
      </c>
      <c r="BD2284" t="s">
        <v>65</v>
      </c>
      <c r="BE2284">
        <v>25</v>
      </c>
      <c r="BF2284">
        <v>14</v>
      </c>
      <c r="BG2284" t="s">
        <v>8144</v>
      </c>
      <c r="BH2284" t="s">
        <v>8145</v>
      </c>
      <c r="BI2284" t="s">
        <v>8146</v>
      </c>
      <c r="BJ2284">
        <v>0.12305000000000001</v>
      </c>
      <c r="BK2284">
        <v>1</v>
      </c>
      <c r="BL2284" t="s">
        <v>69</v>
      </c>
      <c r="BM2284">
        <v>-0.45500000000000002</v>
      </c>
      <c r="BN2284">
        <v>-1.0509999999999999</v>
      </c>
    </row>
    <row r="2285" spans="2:66">
      <c r="B2285">
        <v>3962</v>
      </c>
      <c r="C2285">
        <v>33</v>
      </c>
      <c r="D2285">
        <v>0</v>
      </c>
      <c r="E2285">
        <v>5</v>
      </c>
      <c r="F2285">
        <v>0</v>
      </c>
      <c r="J2285">
        <v>0</v>
      </c>
      <c r="K2285">
        <v>9</v>
      </c>
      <c r="L2285">
        <v>0</v>
      </c>
      <c r="M2285" t="s">
        <v>25022</v>
      </c>
      <c r="N2285">
        <v>1298</v>
      </c>
      <c r="O2285" t="s">
        <v>8147</v>
      </c>
      <c r="P2285" t="s">
        <v>57</v>
      </c>
      <c r="Q2285">
        <v>1322750</v>
      </c>
      <c r="R2285">
        <v>1323547</v>
      </c>
      <c r="S2285" t="s">
        <v>8148</v>
      </c>
      <c r="T2285">
        <v>266</v>
      </c>
      <c r="U2285" t="s">
        <v>1305</v>
      </c>
      <c r="V2285">
        <v>43</v>
      </c>
      <c r="W2285" t="str">
        <f>HYPERLINK("Gene1298-zp_tree_all.dnd", "Gene1298-tree")</f>
        <v>Gene1298-tree</v>
      </c>
      <c r="X2285">
        <v>7</v>
      </c>
      <c r="Y2285">
        <v>25</v>
      </c>
      <c r="Z2285">
        <v>7</v>
      </c>
      <c r="AA2285">
        <v>6</v>
      </c>
      <c r="AB2285">
        <v>0.46154000000000001</v>
      </c>
      <c r="AC2285" t="s">
        <v>152</v>
      </c>
      <c r="AD2285" t="s">
        <v>965</v>
      </c>
      <c r="AE2285">
        <v>4.1539999999999999</v>
      </c>
      <c r="AF2285" t="s">
        <v>65</v>
      </c>
      <c r="AG2285">
        <v>3</v>
      </c>
      <c r="AH2285">
        <v>9</v>
      </c>
      <c r="AI2285">
        <v>4</v>
      </c>
      <c r="AJ2285">
        <v>0.69230999999999998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8</v>
      </c>
      <c r="AQ2285">
        <v>0</v>
      </c>
      <c r="AR2285">
        <v>8</v>
      </c>
      <c r="AS2285">
        <v>1</v>
      </c>
      <c r="AT2285">
        <v>0.88888999999999996</v>
      </c>
      <c r="AU2285">
        <v>11</v>
      </c>
      <c r="AV2285">
        <v>8</v>
      </c>
      <c r="AW2285">
        <v>20</v>
      </c>
      <c r="AX2285">
        <v>6</v>
      </c>
      <c r="AY2285">
        <v>17</v>
      </c>
      <c r="AZ2285">
        <v>7</v>
      </c>
      <c r="BA2285" t="s">
        <v>8149</v>
      </c>
      <c r="BB2285" t="s">
        <v>8150</v>
      </c>
      <c r="BC2285">
        <v>0.25600000000000001</v>
      </c>
      <c r="BD2285" t="s">
        <v>65</v>
      </c>
      <c r="BE2285">
        <v>37</v>
      </c>
      <c r="BF2285">
        <v>13</v>
      </c>
      <c r="BG2285" t="s">
        <v>8151</v>
      </c>
      <c r="BH2285" t="s">
        <v>8152</v>
      </c>
      <c r="BI2285" t="s">
        <v>8153</v>
      </c>
      <c r="BJ2285">
        <v>8.0100000000000005E-2</v>
      </c>
      <c r="BK2285">
        <v>1</v>
      </c>
      <c r="BL2285" t="s">
        <v>69</v>
      </c>
      <c r="BM2285">
        <v>-0.57999999999999996</v>
      </c>
      <c r="BN2285">
        <v>-1.5389999999999999</v>
      </c>
    </row>
    <row r="2286" spans="2:66">
      <c r="B2286">
        <v>3963</v>
      </c>
      <c r="C2286">
        <v>84</v>
      </c>
      <c r="D2286">
        <v>0</v>
      </c>
      <c r="E2286">
        <v>4</v>
      </c>
      <c r="F2286">
        <v>0</v>
      </c>
      <c r="J2286">
        <v>0</v>
      </c>
      <c r="K2286">
        <v>0</v>
      </c>
      <c r="L2286">
        <v>0</v>
      </c>
      <c r="M2286" t="s">
        <v>25022</v>
      </c>
      <c r="N2286">
        <v>1299</v>
      </c>
      <c r="O2286" t="s">
        <v>8154</v>
      </c>
      <c r="P2286" t="s">
        <v>57</v>
      </c>
      <c r="Q2286">
        <v>1323550</v>
      </c>
      <c r="R2286">
        <v>1323714</v>
      </c>
      <c r="S2286" t="s">
        <v>8099</v>
      </c>
      <c r="T2286">
        <v>55</v>
      </c>
      <c r="U2286" t="s">
        <v>1305</v>
      </c>
      <c r="V2286">
        <v>43</v>
      </c>
      <c r="W2286" t="str">
        <f>HYPERLINK("Gene1299-zp_tree_all.dnd", "Gene1299-tree")</f>
        <v>Gene1299-tree</v>
      </c>
      <c r="X2286">
        <v>7</v>
      </c>
      <c r="Y2286">
        <v>1</v>
      </c>
      <c r="Z2286">
        <v>7</v>
      </c>
      <c r="AA2286">
        <v>1</v>
      </c>
      <c r="AB2286">
        <v>0.125</v>
      </c>
      <c r="AC2286" t="s">
        <v>152</v>
      </c>
      <c r="AD2286" t="s">
        <v>175</v>
      </c>
      <c r="AE2286" t="s">
        <v>62</v>
      </c>
      <c r="AF2286" t="s">
        <v>62</v>
      </c>
      <c r="AG2286">
        <v>0</v>
      </c>
      <c r="AH2286">
        <v>0</v>
      </c>
      <c r="AI2286">
        <v>2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5</v>
      </c>
      <c r="AV2286">
        <v>3</v>
      </c>
      <c r="AW2286">
        <v>4</v>
      </c>
      <c r="AX2286">
        <v>1</v>
      </c>
      <c r="AY2286">
        <v>2</v>
      </c>
      <c r="AZ2286">
        <v>1</v>
      </c>
      <c r="BA2286" t="s">
        <v>8155</v>
      </c>
      <c r="BB2286" t="s">
        <v>8156</v>
      </c>
      <c r="BC2286">
        <v>0.28899999999999998</v>
      </c>
      <c r="BD2286" t="s">
        <v>65</v>
      </c>
      <c r="BE2286">
        <v>6</v>
      </c>
      <c r="BF2286">
        <v>2</v>
      </c>
      <c r="BG2286" t="s">
        <v>8157</v>
      </c>
      <c r="BH2286" t="s">
        <v>8158</v>
      </c>
      <c r="BI2286" t="s">
        <v>8159</v>
      </c>
      <c r="BJ2286">
        <v>0.12250999999999999</v>
      </c>
      <c r="BK2286">
        <v>0.97699999999999998</v>
      </c>
      <c r="BL2286" t="s">
        <v>69</v>
      </c>
      <c r="BM2286">
        <v>0.56999999999999995</v>
      </c>
      <c r="BN2286">
        <v>0.35099999999999998</v>
      </c>
    </row>
    <row r="2287" spans="2:66">
      <c r="B2287">
        <v>3964</v>
      </c>
      <c r="C2287">
        <v>349</v>
      </c>
      <c r="D2287">
        <v>0</v>
      </c>
      <c r="E2287">
        <v>8</v>
      </c>
      <c r="F2287">
        <v>1</v>
      </c>
      <c r="J2287">
        <v>0</v>
      </c>
      <c r="K2287">
        <v>10</v>
      </c>
      <c r="L2287">
        <v>1</v>
      </c>
      <c r="M2287" t="s">
        <v>25022</v>
      </c>
      <c r="N2287">
        <v>1300</v>
      </c>
      <c r="O2287" t="s">
        <v>8160</v>
      </c>
      <c r="P2287" t="s">
        <v>57</v>
      </c>
      <c r="Q2287">
        <v>1323802</v>
      </c>
      <c r="R2287">
        <v>1324149</v>
      </c>
      <c r="S2287" t="s">
        <v>8099</v>
      </c>
      <c r="T2287">
        <v>116</v>
      </c>
      <c r="U2287" t="s">
        <v>1305</v>
      </c>
      <c r="V2287">
        <v>43</v>
      </c>
      <c r="W2287" t="str">
        <f>HYPERLINK("Gene1300-zp_tree_all.dnd", "Gene1300-tree")</f>
        <v>Gene1300-tree</v>
      </c>
      <c r="X2287">
        <v>5</v>
      </c>
      <c r="Y2287">
        <v>7</v>
      </c>
      <c r="Z2287">
        <v>5</v>
      </c>
      <c r="AA2287">
        <v>7</v>
      </c>
      <c r="AB2287">
        <v>0.58333000000000002</v>
      </c>
      <c r="AC2287" t="s">
        <v>199</v>
      </c>
      <c r="AD2287" t="s">
        <v>152</v>
      </c>
      <c r="AE2287" t="s">
        <v>62</v>
      </c>
      <c r="AF2287" t="s">
        <v>62</v>
      </c>
      <c r="AG2287">
        <v>5</v>
      </c>
      <c r="AH2287">
        <v>11</v>
      </c>
      <c r="AI2287">
        <v>2</v>
      </c>
      <c r="AJ2287">
        <v>0.84614999999999996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4</v>
      </c>
      <c r="AQ2287">
        <v>1</v>
      </c>
      <c r="AR2287">
        <v>5</v>
      </c>
      <c r="AS2287">
        <v>5</v>
      </c>
      <c r="AT2287">
        <v>0.5</v>
      </c>
      <c r="AU2287">
        <v>10</v>
      </c>
      <c r="AV2287">
        <v>7</v>
      </c>
      <c r="AW2287">
        <v>18</v>
      </c>
      <c r="AX2287">
        <v>10</v>
      </c>
      <c r="AY2287">
        <v>10</v>
      </c>
      <c r="AZ2287">
        <v>3</v>
      </c>
      <c r="BA2287" t="s">
        <v>8161</v>
      </c>
      <c r="BB2287" t="s">
        <v>8162</v>
      </c>
      <c r="BC2287">
        <v>0.51300000000000001</v>
      </c>
      <c r="BD2287" t="s">
        <v>65</v>
      </c>
      <c r="BE2287">
        <v>28</v>
      </c>
      <c r="BF2287">
        <v>13</v>
      </c>
      <c r="BG2287" t="s">
        <v>8163</v>
      </c>
      <c r="BH2287" t="s">
        <v>8164</v>
      </c>
      <c r="BI2287" t="s">
        <v>8165</v>
      </c>
      <c r="BJ2287">
        <v>0.1285</v>
      </c>
      <c r="BK2287">
        <v>1</v>
      </c>
      <c r="BL2287" t="s">
        <v>69</v>
      </c>
      <c r="BM2287">
        <v>0.57399999999999995</v>
      </c>
      <c r="BN2287">
        <v>0.66200000000000003</v>
      </c>
    </row>
    <row r="2288" spans="2:66">
      <c r="B2288">
        <v>3965</v>
      </c>
      <c r="C2288">
        <v>95</v>
      </c>
      <c r="D2288">
        <v>0</v>
      </c>
      <c r="E2288">
        <v>20</v>
      </c>
      <c r="F2288">
        <v>6</v>
      </c>
      <c r="J2288">
        <v>0</v>
      </c>
      <c r="K2288">
        <v>2</v>
      </c>
      <c r="L2288">
        <v>2</v>
      </c>
      <c r="M2288" t="s">
        <v>25022</v>
      </c>
      <c r="N2288">
        <v>1301</v>
      </c>
      <c r="O2288" t="s">
        <v>8166</v>
      </c>
      <c r="P2288" t="s">
        <v>57</v>
      </c>
      <c r="Q2288">
        <v>1324149</v>
      </c>
      <c r="R2288">
        <v>1324352</v>
      </c>
      <c r="S2288" t="s">
        <v>8167</v>
      </c>
      <c r="T2288">
        <v>68</v>
      </c>
      <c r="U2288" t="s">
        <v>1305</v>
      </c>
      <c r="V2288">
        <v>43</v>
      </c>
      <c r="W2288" t="str">
        <f>HYPERLINK("Gene1301-zp_tree_all.dnd", "Gene1301-tree")</f>
        <v>Gene1301-tree</v>
      </c>
      <c r="X2288">
        <v>8</v>
      </c>
      <c r="Y2288">
        <v>3</v>
      </c>
      <c r="Z2288">
        <v>8</v>
      </c>
      <c r="AA2288">
        <v>3</v>
      </c>
      <c r="AB2288">
        <v>0.27272999999999997</v>
      </c>
      <c r="AC2288" t="s">
        <v>136</v>
      </c>
      <c r="AD2288" t="s">
        <v>324</v>
      </c>
      <c r="AE2288" t="s">
        <v>62</v>
      </c>
      <c r="AF2288" t="s">
        <v>62</v>
      </c>
      <c r="AG2288">
        <v>2</v>
      </c>
      <c r="AH2288">
        <v>4</v>
      </c>
      <c r="AI2288">
        <v>3</v>
      </c>
      <c r="AJ2288">
        <v>0.57142999999999999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5</v>
      </c>
      <c r="AT2288">
        <v>0</v>
      </c>
      <c r="AU2288">
        <v>9</v>
      </c>
      <c r="AV2288">
        <v>6</v>
      </c>
      <c r="AW2288">
        <v>13</v>
      </c>
      <c r="AX2288">
        <v>5</v>
      </c>
      <c r="AY2288">
        <v>6</v>
      </c>
      <c r="AZ2288">
        <v>2</v>
      </c>
      <c r="BA2288" t="s">
        <v>8168</v>
      </c>
      <c r="BB2288" t="s">
        <v>8169</v>
      </c>
      <c r="BC2288">
        <v>0.06</v>
      </c>
      <c r="BD2288" t="s">
        <v>65</v>
      </c>
      <c r="BE2288">
        <v>19</v>
      </c>
      <c r="BF2288">
        <v>7</v>
      </c>
      <c r="BG2288" t="s">
        <v>8170</v>
      </c>
      <c r="BH2288" t="s">
        <v>8171</v>
      </c>
      <c r="BI2288" t="s">
        <v>8172</v>
      </c>
      <c r="BJ2288">
        <v>0.12128</v>
      </c>
      <c r="BK2288">
        <v>1</v>
      </c>
      <c r="BL2288" t="s">
        <v>69</v>
      </c>
      <c r="BM2288">
        <v>0.501</v>
      </c>
      <c r="BN2288">
        <v>9.9000000000000005E-2</v>
      </c>
    </row>
    <row r="2289" spans="2:66">
      <c r="B2289">
        <v>3966</v>
      </c>
      <c r="C2289">
        <v>60</v>
      </c>
      <c r="D2289">
        <v>0</v>
      </c>
      <c r="E2289">
        <v>10</v>
      </c>
      <c r="F2289">
        <v>0</v>
      </c>
      <c r="J2289">
        <v>0</v>
      </c>
      <c r="K2289">
        <v>12</v>
      </c>
      <c r="L2289">
        <v>2</v>
      </c>
      <c r="M2289" t="s">
        <v>25022</v>
      </c>
      <c r="N2289">
        <v>1302</v>
      </c>
      <c r="O2289" t="s">
        <v>8173</v>
      </c>
      <c r="P2289" t="s">
        <v>57</v>
      </c>
      <c r="Q2289">
        <v>1324471</v>
      </c>
      <c r="R2289">
        <v>1324977</v>
      </c>
      <c r="S2289" t="s">
        <v>8174</v>
      </c>
      <c r="T2289">
        <v>169</v>
      </c>
      <c r="U2289" t="s">
        <v>1305</v>
      </c>
      <c r="V2289">
        <v>43</v>
      </c>
      <c r="W2289" t="str">
        <f>HYPERLINK("Gene1302-zp_tree_all.dnd", "Gene1302-tree")</f>
        <v>Gene1302-tree</v>
      </c>
      <c r="X2289">
        <v>2</v>
      </c>
      <c r="Y2289">
        <v>8</v>
      </c>
      <c r="Z2289">
        <v>2</v>
      </c>
      <c r="AA2289">
        <v>8</v>
      </c>
      <c r="AB2289">
        <v>0.8</v>
      </c>
      <c r="AC2289" t="s">
        <v>81</v>
      </c>
      <c r="AD2289" t="s">
        <v>136</v>
      </c>
      <c r="AE2289" t="s">
        <v>62</v>
      </c>
      <c r="AF2289" t="s">
        <v>62</v>
      </c>
      <c r="AG2289">
        <v>5</v>
      </c>
      <c r="AH2289">
        <v>14</v>
      </c>
      <c r="AI2289">
        <v>5</v>
      </c>
      <c r="AJ2289">
        <v>0.73684000000000005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4</v>
      </c>
      <c r="AQ2289">
        <v>1</v>
      </c>
      <c r="AR2289">
        <v>5</v>
      </c>
      <c r="AS2289">
        <v>7</v>
      </c>
      <c r="AT2289">
        <v>0.41666999999999998</v>
      </c>
      <c r="AU2289">
        <v>9</v>
      </c>
      <c r="AV2289">
        <v>5</v>
      </c>
      <c r="AW2289">
        <v>13</v>
      </c>
      <c r="AX2289">
        <v>11</v>
      </c>
      <c r="AY2289">
        <v>11</v>
      </c>
      <c r="AZ2289">
        <v>8</v>
      </c>
      <c r="BA2289" t="s">
        <v>8175</v>
      </c>
      <c r="BB2289" t="s">
        <v>8176</v>
      </c>
      <c r="BC2289">
        <v>0.23599999999999999</v>
      </c>
      <c r="BD2289" t="s">
        <v>65</v>
      </c>
      <c r="BE2289">
        <v>24</v>
      </c>
      <c r="BF2289">
        <v>19</v>
      </c>
      <c r="BG2289" t="s">
        <v>8177</v>
      </c>
      <c r="BH2289" t="s">
        <v>8178</v>
      </c>
      <c r="BI2289" t="s">
        <v>8179</v>
      </c>
      <c r="BJ2289">
        <v>0.17654</v>
      </c>
      <c r="BK2289">
        <v>1</v>
      </c>
      <c r="BL2289" t="s">
        <v>69</v>
      </c>
      <c r="BM2289">
        <v>-0.65800000000000003</v>
      </c>
      <c r="BN2289">
        <v>-0.41099999999999998</v>
      </c>
    </row>
    <row r="2290" spans="2:66">
      <c r="B2290">
        <v>3967</v>
      </c>
      <c r="C2290">
        <v>265</v>
      </c>
      <c r="D2290">
        <v>0</v>
      </c>
      <c r="E2290">
        <v>7</v>
      </c>
      <c r="F2290">
        <v>0</v>
      </c>
      <c r="J2290">
        <v>0</v>
      </c>
      <c r="K2290">
        <v>8</v>
      </c>
      <c r="L2290">
        <v>0</v>
      </c>
      <c r="M2290" t="s">
        <v>25022</v>
      </c>
      <c r="N2290">
        <v>1303</v>
      </c>
      <c r="O2290" t="s">
        <v>8180</v>
      </c>
      <c r="P2290" t="s">
        <v>57</v>
      </c>
      <c r="Q2290">
        <v>1325096</v>
      </c>
      <c r="R2290">
        <v>1325890</v>
      </c>
      <c r="S2290" t="s">
        <v>8181</v>
      </c>
      <c r="T2290">
        <v>265</v>
      </c>
      <c r="U2290" t="s">
        <v>1305</v>
      </c>
      <c r="V2290">
        <v>43</v>
      </c>
      <c r="W2290" t="str">
        <f>HYPERLINK("Gene1303-zp_tree_all.dnd", "Gene1303-tree")</f>
        <v>Gene1303-tree</v>
      </c>
      <c r="X2290">
        <v>5</v>
      </c>
      <c r="Y2290">
        <v>7</v>
      </c>
      <c r="Z2290">
        <v>5</v>
      </c>
      <c r="AA2290">
        <v>7</v>
      </c>
      <c r="AB2290">
        <v>0.58333000000000002</v>
      </c>
      <c r="AC2290" t="s">
        <v>199</v>
      </c>
      <c r="AD2290" t="s">
        <v>152</v>
      </c>
      <c r="AE2290" t="s">
        <v>62</v>
      </c>
      <c r="AF2290" t="s">
        <v>62</v>
      </c>
      <c r="AG2290">
        <v>3</v>
      </c>
      <c r="AH2290">
        <v>8</v>
      </c>
      <c r="AI2290">
        <v>5</v>
      </c>
      <c r="AJ2290">
        <v>0.61538000000000004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2</v>
      </c>
      <c r="AQ2290">
        <v>0</v>
      </c>
      <c r="AR2290">
        <v>2</v>
      </c>
      <c r="AS2290">
        <v>6</v>
      </c>
      <c r="AT2290">
        <v>0.25</v>
      </c>
      <c r="AU2290">
        <v>10</v>
      </c>
      <c r="AV2290">
        <v>8</v>
      </c>
      <c r="AW2290">
        <v>28</v>
      </c>
      <c r="AX2290">
        <v>8</v>
      </c>
      <c r="AY2290">
        <v>19</v>
      </c>
      <c r="AZ2290">
        <v>5</v>
      </c>
      <c r="BA2290" t="s">
        <v>8182</v>
      </c>
      <c r="BB2290" t="s">
        <v>8183</v>
      </c>
      <c r="BC2290">
        <v>9.7000000000000003E-2</v>
      </c>
      <c r="BD2290" t="s">
        <v>65</v>
      </c>
      <c r="BE2290">
        <v>47</v>
      </c>
      <c r="BF2290">
        <v>13</v>
      </c>
      <c r="BG2290" t="s">
        <v>8184</v>
      </c>
      <c r="BH2290" t="s">
        <v>8185</v>
      </c>
      <c r="BI2290" t="s">
        <v>8186</v>
      </c>
      <c r="BJ2290">
        <v>6.0089999999999998E-2</v>
      </c>
      <c r="BK2290">
        <v>1</v>
      </c>
      <c r="BL2290" t="s">
        <v>69</v>
      </c>
      <c r="BM2290">
        <v>-0.71399999999999997</v>
      </c>
      <c r="BN2290">
        <v>-1.1539999999999999</v>
      </c>
    </row>
    <row r="2291" spans="2:66">
      <c r="B2291">
        <v>3968</v>
      </c>
      <c r="C2291">
        <v>298</v>
      </c>
      <c r="D2291">
        <v>0</v>
      </c>
      <c r="E2291">
        <v>4</v>
      </c>
      <c r="F2291">
        <v>0</v>
      </c>
      <c r="J2291">
        <v>0</v>
      </c>
      <c r="K2291">
        <v>2</v>
      </c>
      <c r="L2291">
        <v>0</v>
      </c>
      <c r="M2291" t="s">
        <v>25022</v>
      </c>
      <c r="N2291">
        <v>1304</v>
      </c>
      <c r="O2291" t="s">
        <v>8187</v>
      </c>
      <c r="P2291" t="s">
        <v>57</v>
      </c>
      <c r="Q2291">
        <v>1325890</v>
      </c>
      <c r="R2291">
        <v>1327188</v>
      </c>
      <c r="S2291" t="s">
        <v>8188</v>
      </c>
      <c r="T2291">
        <v>433</v>
      </c>
      <c r="U2291" t="s">
        <v>1305</v>
      </c>
      <c r="V2291">
        <v>43</v>
      </c>
      <c r="W2291" t="str">
        <f>HYPERLINK("Gene1304-zp_tree_all.dnd", "Gene1304-tree")</f>
        <v>Gene1304-tree</v>
      </c>
      <c r="X2291">
        <v>7</v>
      </c>
      <c r="Y2291">
        <v>6</v>
      </c>
      <c r="Z2291">
        <v>7</v>
      </c>
      <c r="AA2291">
        <v>6</v>
      </c>
      <c r="AB2291">
        <v>0.46154000000000001</v>
      </c>
      <c r="AC2291" t="s">
        <v>152</v>
      </c>
      <c r="AD2291" t="s">
        <v>90</v>
      </c>
      <c r="AE2291" t="s">
        <v>62</v>
      </c>
      <c r="AF2291" t="s">
        <v>62</v>
      </c>
      <c r="AG2291">
        <v>1</v>
      </c>
      <c r="AH2291">
        <v>2</v>
      </c>
      <c r="AI2291">
        <v>13</v>
      </c>
      <c r="AJ2291">
        <v>0.13333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9</v>
      </c>
      <c r="AT2291">
        <v>0</v>
      </c>
      <c r="AU2291">
        <v>12</v>
      </c>
      <c r="AV2291">
        <v>9</v>
      </c>
      <c r="AW2291">
        <v>56</v>
      </c>
      <c r="AX2291">
        <v>7</v>
      </c>
      <c r="AY2291">
        <v>35</v>
      </c>
      <c r="AZ2291">
        <v>9</v>
      </c>
      <c r="BA2291" t="s">
        <v>8189</v>
      </c>
      <c r="BB2291" t="s">
        <v>8190</v>
      </c>
      <c r="BC2291">
        <v>0.628</v>
      </c>
      <c r="BD2291" t="s">
        <v>65</v>
      </c>
      <c r="BE2291">
        <v>91</v>
      </c>
      <c r="BF2291">
        <v>16</v>
      </c>
      <c r="BG2291" t="s">
        <v>8191</v>
      </c>
      <c r="BH2291" t="s">
        <v>8192</v>
      </c>
      <c r="BI2291" t="s">
        <v>8193</v>
      </c>
      <c r="BJ2291">
        <v>6.1219999999999997E-2</v>
      </c>
      <c r="BK2291">
        <v>1</v>
      </c>
      <c r="BL2291" t="s">
        <v>69</v>
      </c>
      <c r="BM2291">
        <v>-1.0189999999999999</v>
      </c>
      <c r="BN2291">
        <v>-2.3580000000000001</v>
      </c>
    </row>
    <row r="2292" spans="2:66">
      <c r="B2292">
        <v>3970</v>
      </c>
      <c r="C2292">
        <v>156</v>
      </c>
      <c r="D2292">
        <v>0</v>
      </c>
      <c r="E2292">
        <v>3</v>
      </c>
      <c r="F2292">
        <v>0</v>
      </c>
      <c r="J2292">
        <v>0</v>
      </c>
      <c r="K2292">
        <v>9</v>
      </c>
      <c r="L2292">
        <v>2</v>
      </c>
      <c r="M2292" t="s">
        <v>25022</v>
      </c>
      <c r="N2292">
        <v>1305</v>
      </c>
      <c r="O2292" t="s">
        <v>8194</v>
      </c>
      <c r="P2292" t="s">
        <v>57</v>
      </c>
      <c r="Q2292">
        <v>1327195</v>
      </c>
      <c r="R2292">
        <v>1328679</v>
      </c>
      <c r="S2292" t="s">
        <v>8195</v>
      </c>
      <c r="T2292">
        <v>495</v>
      </c>
      <c r="U2292" t="s">
        <v>1305</v>
      </c>
      <c r="V2292">
        <v>43</v>
      </c>
      <c r="W2292" t="str">
        <f>HYPERLINK("Gene1305-zp_tree_all.dnd", "Gene1305-tree")</f>
        <v>Gene1305-tree</v>
      </c>
      <c r="X2292">
        <v>6</v>
      </c>
      <c r="Y2292">
        <v>8</v>
      </c>
      <c r="Z2292">
        <v>6</v>
      </c>
      <c r="AA2292">
        <v>8</v>
      </c>
      <c r="AB2292">
        <v>0.57142999999999999</v>
      </c>
      <c r="AC2292" t="s">
        <v>90</v>
      </c>
      <c r="AD2292" t="s">
        <v>136</v>
      </c>
      <c r="AE2292" t="s">
        <v>62</v>
      </c>
      <c r="AF2292" t="s">
        <v>62</v>
      </c>
      <c r="AG2292">
        <v>4</v>
      </c>
      <c r="AH2292">
        <v>11</v>
      </c>
      <c r="AI2292">
        <v>6</v>
      </c>
      <c r="AJ2292">
        <v>0.64705999999999997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5</v>
      </c>
      <c r="AQ2292">
        <v>2</v>
      </c>
      <c r="AR2292">
        <v>7</v>
      </c>
      <c r="AS2292">
        <v>6</v>
      </c>
      <c r="AT2292">
        <v>0.53846000000000005</v>
      </c>
      <c r="AU2292">
        <v>13</v>
      </c>
      <c r="AV2292">
        <v>10</v>
      </c>
      <c r="AW2292">
        <v>79</v>
      </c>
      <c r="AX2292">
        <v>13</v>
      </c>
      <c r="AY2292">
        <v>35</v>
      </c>
      <c r="AZ2292">
        <v>4</v>
      </c>
      <c r="BA2292" t="s">
        <v>8196</v>
      </c>
      <c r="BB2292" t="s">
        <v>8197</v>
      </c>
      <c r="BC2292">
        <v>0.371</v>
      </c>
      <c r="BD2292" t="s">
        <v>65</v>
      </c>
      <c r="BE2292">
        <v>114</v>
      </c>
      <c r="BF2292">
        <v>17</v>
      </c>
      <c r="BG2292" t="s">
        <v>8198</v>
      </c>
      <c r="BH2292" t="s">
        <v>8199</v>
      </c>
      <c r="BI2292" t="s">
        <v>7393</v>
      </c>
      <c r="BJ2292">
        <v>3.5709999999999999E-2</v>
      </c>
      <c r="BK2292">
        <v>1</v>
      </c>
      <c r="BL2292" t="s">
        <v>69</v>
      </c>
      <c r="BM2292">
        <v>-0.36299999999999999</v>
      </c>
      <c r="BN2292">
        <v>-1.627</v>
      </c>
    </row>
    <row r="2293" spans="2:66">
      <c r="B2293">
        <v>3972</v>
      </c>
      <c r="C2293">
        <v>41</v>
      </c>
      <c r="D2293">
        <v>0</v>
      </c>
      <c r="E2293">
        <v>2</v>
      </c>
      <c r="F2293">
        <v>0</v>
      </c>
      <c r="J2293">
        <v>0</v>
      </c>
      <c r="K2293">
        <v>6</v>
      </c>
      <c r="L2293">
        <v>1</v>
      </c>
      <c r="M2293" t="s">
        <v>25022</v>
      </c>
      <c r="N2293">
        <v>1306</v>
      </c>
      <c r="O2293" t="s">
        <v>8200</v>
      </c>
      <c r="P2293" t="s">
        <v>57</v>
      </c>
      <c r="Q2293">
        <v>1328702</v>
      </c>
      <c r="R2293">
        <v>1329526</v>
      </c>
      <c r="S2293" t="s">
        <v>8099</v>
      </c>
      <c r="T2293">
        <v>275</v>
      </c>
      <c r="U2293" t="s">
        <v>727</v>
      </c>
      <c r="V2293">
        <v>48</v>
      </c>
      <c r="W2293" t="str">
        <f>HYPERLINK("Gene1306-zp_tree_all.dnd", "Gene1306-tree")</f>
        <v>Gene1306-tree</v>
      </c>
      <c r="X2293">
        <v>9</v>
      </c>
      <c r="Y2293">
        <v>9</v>
      </c>
      <c r="Z2293">
        <v>9</v>
      </c>
      <c r="AA2293">
        <v>9</v>
      </c>
      <c r="AB2293">
        <v>0.5</v>
      </c>
      <c r="AC2293" t="s">
        <v>135</v>
      </c>
      <c r="AD2293" t="s">
        <v>135</v>
      </c>
      <c r="AE2293" t="s">
        <v>62</v>
      </c>
      <c r="AF2293" t="s">
        <v>62</v>
      </c>
      <c r="AG2293">
        <v>2</v>
      </c>
      <c r="AH2293">
        <v>7</v>
      </c>
      <c r="AI2293">
        <v>18</v>
      </c>
      <c r="AJ2293">
        <v>0.28000000000000003</v>
      </c>
      <c r="AK2293">
        <v>2</v>
      </c>
      <c r="AL2293">
        <v>0</v>
      </c>
      <c r="AM2293">
        <v>2</v>
      </c>
      <c r="AN2293">
        <v>1</v>
      </c>
      <c r="AO2293">
        <v>0.66666999999999998</v>
      </c>
      <c r="AP2293">
        <v>0</v>
      </c>
      <c r="AQ2293">
        <v>0</v>
      </c>
      <c r="AR2293">
        <v>0</v>
      </c>
      <c r="AS2293">
        <v>11</v>
      </c>
      <c r="AT2293">
        <v>0</v>
      </c>
      <c r="AU2293">
        <v>14</v>
      </c>
      <c r="AV2293">
        <v>13</v>
      </c>
      <c r="AW2293">
        <v>35</v>
      </c>
      <c r="AX2293">
        <v>11</v>
      </c>
      <c r="AY2293">
        <v>45</v>
      </c>
      <c r="AZ2293">
        <v>16</v>
      </c>
      <c r="BA2293" t="s">
        <v>8201</v>
      </c>
      <c r="BB2293" t="s">
        <v>8202</v>
      </c>
      <c r="BC2293">
        <v>0.16500000000000001</v>
      </c>
      <c r="BD2293" t="s">
        <v>65</v>
      </c>
      <c r="BE2293">
        <v>80</v>
      </c>
      <c r="BF2293">
        <v>27</v>
      </c>
      <c r="BG2293" t="s">
        <v>8203</v>
      </c>
      <c r="BH2293" t="s">
        <v>8204</v>
      </c>
      <c r="BI2293" t="s">
        <v>8205</v>
      </c>
      <c r="BJ2293">
        <v>7.5209999999999999E-2</v>
      </c>
      <c r="BK2293">
        <v>1</v>
      </c>
      <c r="BL2293" t="s">
        <v>69</v>
      </c>
      <c r="BM2293">
        <v>-1.4750000000000001</v>
      </c>
      <c r="BN2293">
        <v>-1.3260000000000001</v>
      </c>
    </row>
    <row r="2294" spans="2:66">
      <c r="B2294">
        <v>3973</v>
      </c>
      <c r="C2294">
        <v>285</v>
      </c>
      <c r="D2294">
        <v>0</v>
      </c>
      <c r="E2294">
        <v>13</v>
      </c>
      <c r="F2294">
        <v>0</v>
      </c>
      <c r="J2294">
        <v>0</v>
      </c>
      <c r="K2294">
        <v>0</v>
      </c>
      <c r="L2294">
        <v>2</v>
      </c>
      <c r="M2294" t="s">
        <v>25022</v>
      </c>
      <c r="N2294">
        <v>1307</v>
      </c>
      <c r="O2294" t="s">
        <v>8206</v>
      </c>
      <c r="P2294" t="s">
        <v>57</v>
      </c>
      <c r="Q2294">
        <v>1329555</v>
      </c>
      <c r="R2294">
        <v>1330487</v>
      </c>
      <c r="S2294" t="s">
        <v>8207</v>
      </c>
      <c r="T2294">
        <v>311</v>
      </c>
      <c r="U2294" t="s">
        <v>727</v>
      </c>
      <c r="V2294">
        <v>48</v>
      </c>
      <c r="W2294" t="str">
        <f>HYPERLINK("Gene1307-zp_tree_all.dnd", "Gene1307-tree")</f>
        <v>Gene1307-tree</v>
      </c>
      <c r="X2294">
        <v>14</v>
      </c>
      <c r="Y2294">
        <v>4</v>
      </c>
      <c r="Z2294">
        <v>14</v>
      </c>
      <c r="AA2294">
        <v>4</v>
      </c>
      <c r="AB2294">
        <v>0.22222</v>
      </c>
      <c r="AC2294" t="s">
        <v>543</v>
      </c>
      <c r="AD2294" t="s">
        <v>61</v>
      </c>
      <c r="AE2294" t="s">
        <v>62</v>
      </c>
      <c r="AF2294" t="s">
        <v>62</v>
      </c>
      <c r="AG2294">
        <v>1</v>
      </c>
      <c r="AH2294">
        <v>2</v>
      </c>
      <c r="AI2294">
        <v>4</v>
      </c>
      <c r="AJ2294">
        <v>0.33333000000000002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4</v>
      </c>
      <c r="AT2294">
        <v>0</v>
      </c>
      <c r="AU2294">
        <v>16</v>
      </c>
      <c r="AV2294">
        <v>14</v>
      </c>
      <c r="AW2294">
        <v>61</v>
      </c>
      <c r="AX2294">
        <v>3</v>
      </c>
      <c r="AY2294">
        <v>62</v>
      </c>
      <c r="AZ2294">
        <v>3</v>
      </c>
      <c r="BA2294" t="s">
        <v>8208</v>
      </c>
      <c r="BB2294" t="s">
        <v>8209</v>
      </c>
      <c r="BC2294">
        <v>1.2E-2</v>
      </c>
      <c r="BD2294" t="s">
        <v>65</v>
      </c>
      <c r="BE2294">
        <v>123</v>
      </c>
      <c r="BF2294">
        <v>6</v>
      </c>
      <c r="BG2294" t="s">
        <v>8210</v>
      </c>
      <c r="BH2294" t="s">
        <v>8211</v>
      </c>
      <c r="BI2294" t="s">
        <v>8212</v>
      </c>
      <c r="BJ2294">
        <v>1.35E-2</v>
      </c>
      <c r="BK2294">
        <v>1</v>
      </c>
      <c r="BL2294" t="s">
        <v>69</v>
      </c>
      <c r="BM2294">
        <v>-1.2669999999999999</v>
      </c>
      <c r="BN2294">
        <v>-1.88</v>
      </c>
    </row>
    <row r="2295" spans="2:66">
      <c r="B2295">
        <v>3975</v>
      </c>
      <c r="C2295">
        <v>9</v>
      </c>
      <c r="D2295">
        <v>0</v>
      </c>
      <c r="E2295">
        <v>10</v>
      </c>
      <c r="F2295">
        <v>2</v>
      </c>
      <c r="J2295">
        <v>0</v>
      </c>
      <c r="K2295">
        <v>0</v>
      </c>
      <c r="L2295">
        <v>0</v>
      </c>
      <c r="M2295" t="s">
        <v>25022</v>
      </c>
      <c r="N2295">
        <v>1308</v>
      </c>
      <c r="O2295" t="s">
        <v>8213</v>
      </c>
      <c r="P2295" t="s">
        <v>57</v>
      </c>
      <c r="Q2295">
        <v>1330512</v>
      </c>
      <c r="R2295">
        <v>1330892</v>
      </c>
      <c r="S2295" t="s">
        <v>8099</v>
      </c>
      <c r="T2295">
        <v>127</v>
      </c>
      <c r="U2295" t="s">
        <v>1305</v>
      </c>
      <c r="V2295">
        <v>43</v>
      </c>
      <c r="W2295" t="str">
        <f>HYPERLINK("Gene1308-zp_tree_all.dnd", "Gene1308-tree")</f>
        <v>Gene1308-tree</v>
      </c>
      <c r="X2295">
        <v>2</v>
      </c>
      <c r="Y2295">
        <v>8</v>
      </c>
      <c r="Z2295">
        <v>2</v>
      </c>
      <c r="AA2295">
        <v>8</v>
      </c>
      <c r="AB2295">
        <v>0.8</v>
      </c>
      <c r="AC2295" t="s">
        <v>81</v>
      </c>
      <c r="AD2295" t="s">
        <v>136</v>
      </c>
      <c r="AE2295" t="s">
        <v>62</v>
      </c>
      <c r="AF2295" t="s">
        <v>62</v>
      </c>
      <c r="AG2295">
        <v>0</v>
      </c>
      <c r="AH2295">
        <v>0</v>
      </c>
      <c r="AI2295">
        <v>12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12</v>
      </c>
      <c r="AT2295">
        <v>0</v>
      </c>
      <c r="AU2295">
        <v>8</v>
      </c>
      <c r="AV2295">
        <v>2</v>
      </c>
      <c r="AW2295">
        <v>16</v>
      </c>
      <c r="AX2295">
        <v>10</v>
      </c>
      <c r="AY2295">
        <v>6</v>
      </c>
      <c r="AZ2295">
        <v>2</v>
      </c>
      <c r="BA2295" t="s">
        <v>8214</v>
      </c>
      <c r="BB2295" t="s">
        <v>8215</v>
      </c>
      <c r="BC2295">
        <v>0.69499999999999995</v>
      </c>
      <c r="BD2295" t="s">
        <v>65</v>
      </c>
      <c r="BE2295">
        <v>22</v>
      </c>
      <c r="BF2295">
        <v>12</v>
      </c>
      <c r="BG2295" t="s">
        <v>8216</v>
      </c>
      <c r="BH2295" t="s">
        <v>8217</v>
      </c>
      <c r="BI2295" t="s">
        <v>8218</v>
      </c>
      <c r="BJ2295">
        <v>0.15586</v>
      </c>
      <c r="BK2295">
        <v>1</v>
      </c>
      <c r="BL2295" t="s">
        <v>69</v>
      </c>
      <c r="BM2295">
        <v>-0.43</v>
      </c>
      <c r="BN2295">
        <v>-2.6219999999999999</v>
      </c>
    </row>
    <row r="2296" spans="2:66">
      <c r="B2296">
        <v>3976</v>
      </c>
      <c r="C2296">
        <v>127</v>
      </c>
      <c r="D2296">
        <v>0</v>
      </c>
      <c r="E2296">
        <v>9</v>
      </c>
      <c r="F2296">
        <v>1</v>
      </c>
      <c r="J2296">
        <v>0</v>
      </c>
      <c r="K2296">
        <v>0</v>
      </c>
      <c r="L2296">
        <v>2</v>
      </c>
      <c r="M2296" t="s">
        <v>25022</v>
      </c>
      <c r="N2296">
        <v>1309</v>
      </c>
      <c r="O2296" t="s">
        <v>8219</v>
      </c>
      <c r="P2296" t="s">
        <v>57</v>
      </c>
      <c r="Q2296">
        <v>1330892</v>
      </c>
      <c r="R2296">
        <v>1331245</v>
      </c>
      <c r="S2296" t="s">
        <v>8099</v>
      </c>
      <c r="T2296">
        <v>118</v>
      </c>
      <c r="U2296" t="s">
        <v>8220</v>
      </c>
      <c r="V2296">
        <v>42</v>
      </c>
      <c r="W2296" t="str">
        <f>HYPERLINK("Gene1309-zp_tree_all.dnd", "Gene1309-tree")</f>
        <v>Gene1309-tree</v>
      </c>
      <c r="X2296">
        <v>5</v>
      </c>
      <c r="Y2296">
        <v>4</v>
      </c>
      <c r="Z2296">
        <v>5</v>
      </c>
      <c r="AA2296">
        <v>4</v>
      </c>
      <c r="AB2296">
        <v>0.44444</v>
      </c>
      <c r="AC2296" t="s">
        <v>199</v>
      </c>
      <c r="AD2296" t="s">
        <v>61</v>
      </c>
      <c r="AE2296" t="s">
        <v>62</v>
      </c>
      <c r="AF2296" t="s">
        <v>62</v>
      </c>
      <c r="AG2296">
        <v>1</v>
      </c>
      <c r="AH2296">
        <v>2</v>
      </c>
      <c r="AI2296">
        <v>6</v>
      </c>
      <c r="AJ2296">
        <v>0.25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6</v>
      </c>
      <c r="AT2296">
        <v>0</v>
      </c>
      <c r="AU2296">
        <v>6</v>
      </c>
      <c r="AV2296">
        <v>5</v>
      </c>
      <c r="AW2296">
        <v>13</v>
      </c>
      <c r="AX2296">
        <v>4</v>
      </c>
      <c r="AY2296">
        <v>3</v>
      </c>
      <c r="AZ2296">
        <v>4</v>
      </c>
      <c r="BA2296" t="s">
        <v>8221</v>
      </c>
      <c r="BB2296" t="s">
        <v>8222</v>
      </c>
      <c r="BC2296">
        <v>1.5549999999999999</v>
      </c>
      <c r="BD2296" t="s">
        <v>65</v>
      </c>
      <c r="BE2296">
        <v>16</v>
      </c>
      <c r="BF2296">
        <v>8</v>
      </c>
      <c r="BG2296" t="s">
        <v>8223</v>
      </c>
      <c r="BH2296" t="s">
        <v>8224</v>
      </c>
      <c r="BI2296" t="s">
        <v>8225</v>
      </c>
      <c r="BJ2296">
        <v>0.23343</v>
      </c>
      <c r="BK2296">
        <v>1</v>
      </c>
      <c r="BL2296" t="s">
        <v>69</v>
      </c>
      <c r="BM2296">
        <v>-0.77800000000000002</v>
      </c>
      <c r="BN2296">
        <v>-2.3679999999999999</v>
      </c>
    </row>
    <row r="2297" spans="2:66">
      <c r="B2297">
        <v>3977</v>
      </c>
      <c r="C2297">
        <v>615</v>
      </c>
      <c r="D2297">
        <v>0</v>
      </c>
      <c r="E2297">
        <v>39</v>
      </c>
      <c r="F2297">
        <v>1</v>
      </c>
      <c r="J2297">
        <v>0</v>
      </c>
      <c r="K2297">
        <v>0</v>
      </c>
      <c r="L2297">
        <v>0</v>
      </c>
      <c r="M2297" t="s">
        <v>25022</v>
      </c>
      <c r="N2297">
        <v>1310</v>
      </c>
      <c r="O2297" t="s">
        <v>8226</v>
      </c>
      <c r="P2297" t="s">
        <v>57</v>
      </c>
      <c r="Q2297">
        <v>1331245</v>
      </c>
      <c r="R2297">
        <v>1331727</v>
      </c>
      <c r="S2297" t="s">
        <v>8099</v>
      </c>
      <c r="T2297">
        <v>161</v>
      </c>
      <c r="U2297" t="s">
        <v>1305</v>
      </c>
      <c r="V2297">
        <v>43</v>
      </c>
      <c r="W2297" t="str">
        <f>HYPERLINK("Gene1310-zp_tree_all.dnd", "Gene1310-tree")</f>
        <v>Gene1310-tree</v>
      </c>
      <c r="X2297">
        <v>4</v>
      </c>
      <c r="Y2297">
        <v>7</v>
      </c>
      <c r="Z2297">
        <v>4</v>
      </c>
      <c r="AA2297">
        <v>7</v>
      </c>
      <c r="AB2297">
        <v>0.63636000000000004</v>
      </c>
      <c r="AC2297" t="s">
        <v>61</v>
      </c>
      <c r="AD2297" t="s">
        <v>152</v>
      </c>
      <c r="AE2297" t="s">
        <v>62</v>
      </c>
      <c r="AF2297" t="s">
        <v>62</v>
      </c>
      <c r="AG2297">
        <v>0</v>
      </c>
      <c r="AH2297">
        <v>0</v>
      </c>
      <c r="AI2297">
        <v>14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12</v>
      </c>
      <c r="AT2297">
        <v>0</v>
      </c>
      <c r="AU2297">
        <v>10</v>
      </c>
      <c r="AV2297">
        <v>3</v>
      </c>
      <c r="AW2297">
        <v>7</v>
      </c>
      <c r="AX2297">
        <v>12</v>
      </c>
      <c r="AY2297">
        <v>1</v>
      </c>
      <c r="AZ2297">
        <v>2</v>
      </c>
      <c r="BA2297" t="s">
        <v>8227</v>
      </c>
      <c r="BB2297" t="s">
        <v>8228</v>
      </c>
      <c r="BC2297">
        <v>9.5000000000000001E-2</v>
      </c>
      <c r="BD2297" t="s">
        <v>65</v>
      </c>
      <c r="BE2297">
        <v>8</v>
      </c>
      <c r="BF2297">
        <v>14</v>
      </c>
      <c r="BG2297" t="s">
        <v>8229</v>
      </c>
      <c r="BH2297" t="s">
        <v>8230</v>
      </c>
      <c r="BI2297" t="s">
        <v>8231</v>
      </c>
      <c r="BJ2297">
        <v>0.55864000000000003</v>
      </c>
      <c r="BK2297">
        <v>0.78800000000000003</v>
      </c>
      <c r="BL2297" t="s">
        <v>635</v>
      </c>
      <c r="BM2297">
        <v>-1.3819999999999999</v>
      </c>
      <c r="BN2297">
        <v>-2.5649999999999999</v>
      </c>
    </row>
    <row r="2298" spans="2:66">
      <c r="B2298">
        <v>3978</v>
      </c>
      <c r="C2298">
        <v>408</v>
      </c>
      <c r="D2298">
        <v>0</v>
      </c>
      <c r="E2298">
        <v>14</v>
      </c>
      <c r="F2298">
        <v>0</v>
      </c>
      <c r="J2298">
        <v>0</v>
      </c>
      <c r="K2298">
        <v>0</v>
      </c>
      <c r="L2298">
        <v>0</v>
      </c>
      <c r="M2298" t="s">
        <v>25022</v>
      </c>
      <c r="N2298">
        <v>1311</v>
      </c>
      <c r="O2298" t="s">
        <v>8232</v>
      </c>
      <c r="P2298" t="s">
        <v>57</v>
      </c>
      <c r="Q2298">
        <v>1331743</v>
      </c>
      <c r="R2298">
        <v>1332180</v>
      </c>
      <c r="S2298" t="s">
        <v>8099</v>
      </c>
      <c r="T2298">
        <v>146</v>
      </c>
      <c r="U2298" t="s">
        <v>1305</v>
      </c>
      <c r="V2298">
        <v>43</v>
      </c>
      <c r="W2298" t="str">
        <f>HYPERLINK("Gene1311-zp_tree_all.dnd", "Gene1311-tree")</f>
        <v>Gene1311-tree</v>
      </c>
      <c r="X2298">
        <v>25</v>
      </c>
      <c r="Y2298">
        <v>6</v>
      </c>
      <c r="Z2298">
        <v>6</v>
      </c>
      <c r="AA2298">
        <v>6</v>
      </c>
      <c r="AB2298">
        <v>0.5</v>
      </c>
      <c r="AC2298" t="s">
        <v>965</v>
      </c>
      <c r="AD2298" t="s">
        <v>90</v>
      </c>
      <c r="AE2298" t="s">
        <v>62</v>
      </c>
      <c r="AF2298" t="s">
        <v>62</v>
      </c>
      <c r="AG2298">
        <v>0</v>
      </c>
      <c r="AH2298">
        <v>0</v>
      </c>
      <c r="AI2298">
        <v>9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9</v>
      </c>
      <c r="AT2298">
        <v>0</v>
      </c>
      <c r="AU2298">
        <v>8</v>
      </c>
      <c r="AV2298">
        <v>5</v>
      </c>
      <c r="AW2298">
        <v>14</v>
      </c>
      <c r="AX2298">
        <v>8</v>
      </c>
      <c r="AY2298">
        <v>7</v>
      </c>
      <c r="AZ2298">
        <v>1</v>
      </c>
      <c r="BA2298" t="s">
        <v>8233</v>
      </c>
      <c r="BB2298" t="s">
        <v>8234</v>
      </c>
      <c r="BC2298">
        <v>1.038</v>
      </c>
      <c r="BD2298" t="s">
        <v>65</v>
      </c>
      <c r="BE2298">
        <v>21</v>
      </c>
      <c r="BF2298">
        <v>9</v>
      </c>
      <c r="BG2298" t="s">
        <v>8235</v>
      </c>
      <c r="BH2298" t="s">
        <v>8236</v>
      </c>
      <c r="BI2298" t="s">
        <v>8237</v>
      </c>
      <c r="BJ2298">
        <v>9.9709999999999993E-2</v>
      </c>
      <c r="BK2298">
        <v>1</v>
      </c>
      <c r="BL2298" t="s">
        <v>69</v>
      </c>
      <c r="BM2298">
        <v>-0.65800000000000003</v>
      </c>
      <c r="BN2298">
        <v>-0.44600000000000001</v>
      </c>
    </row>
    <row r="2299" spans="2:66">
      <c r="B2299">
        <v>3979</v>
      </c>
      <c r="C2299">
        <v>137</v>
      </c>
      <c r="D2299">
        <v>0</v>
      </c>
      <c r="E2299">
        <v>9</v>
      </c>
      <c r="F2299">
        <v>0</v>
      </c>
      <c r="J2299">
        <v>0</v>
      </c>
      <c r="K2299">
        <v>2</v>
      </c>
      <c r="L2299">
        <v>0</v>
      </c>
      <c r="M2299" t="s">
        <v>25022</v>
      </c>
      <c r="N2299">
        <v>1312</v>
      </c>
      <c r="O2299" t="s">
        <v>8238</v>
      </c>
      <c r="P2299" t="s">
        <v>57</v>
      </c>
      <c r="Q2299">
        <v>1332187</v>
      </c>
      <c r="R2299">
        <v>1332402</v>
      </c>
      <c r="S2299" t="s">
        <v>8099</v>
      </c>
      <c r="T2299">
        <v>72</v>
      </c>
      <c r="U2299" t="s">
        <v>8239</v>
      </c>
      <c r="V2299">
        <v>46</v>
      </c>
      <c r="W2299" t="str">
        <f>HYPERLINK("Gene1312-zp_tree_all.dnd", "Gene1312-tree")</f>
        <v>Gene1312-tree</v>
      </c>
      <c r="X2299">
        <v>3</v>
      </c>
      <c r="Y2299">
        <v>4</v>
      </c>
      <c r="Z2299">
        <v>3</v>
      </c>
      <c r="AA2299">
        <v>4</v>
      </c>
      <c r="AB2299">
        <v>0.57142999999999999</v>
      </c>
      <c r="AC2299" t="s">
        <v>324</v>
      </c>
      <c r="AD2299" t="s">
        <v>61</v>
      </c>
      <c r="AE2299" t="s">
        <v>62</v>
      </c>
      <c r="AF2299" t="s">
        <v>62</v>
      </c>
      <c r="AG2299">
        <v>1</v>
      </c>
      <c r="AH2299">
        <v>2</v>
      </c>
      <c r="AI2299">
        <v>4</v>
      </c>
      <c r="AJ2299">
        <v>0.33333000000000002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</v>
      </c>
      <c r="AQ2299">
        <v>0</v>
      </c>
      <c r="AR2299">
        <v>2</v>
      </c>
      <c r="AS2299">
        <v>3</v>
      </c>
      <c r="AT2299">
        <v>0.4</v>
      </c>
      <c r="AU2299">
        <v>4</v>
      </c>
      <c r="AV2299">
        <v>3</v>
      </c>
      <c r="AW2299">
        <v>4</v>
      </c>
      <c r="AX2299">
        <v>3</v>
      </c>
      <c r="AY2299">
        <v>4</v>
      </c>
      <c r="AZ2299">
        <v>3</v>
      </c>
      <c r="BA2299" t="s">
        <v>8240</v>
      </c>
      <c r="BB2299" t="s">
        <v>8241</v>
      </c>
      <c r="BC2299">
        <v>1.7999999999999999E-2</v>
      </c>
      <c r="BD2299" t="s">
        <v>65</v>
      </c>
      <c r="BE2299">
        <v>8</v>
      </c>
      <c r="BF2299">
        <v>6</v>
      </c>
      <c r="BG2299" t="s">
        <v>8242</v>
      </c>
      <c r="BH2299" t="s">
        <v>8243</v>
      </c>
      <c r="BI2299" t="s">
        <v>8244</v>
      </c>
      <c r="BJ2299">
        <v>0.15534999999999999</v>
      </c>
      <c r="BK2299">
        <v>1</v>
      </c>
      <c r="BL2299" t="s">
        <v>69</v>
      </c>
      <c r="BM2299">
        <v>-1.8129999999999999</v>
      </c>
      <c r="BN2299">
        <v>-0.82499999999999996</v>
      </c>
    </row>
    <row r="2300" spans="2:66">
      <c r="B2300">
        <v>3980</v>
      </c>
      <c r="C2300">
        <v>227</v>
      </c>
      <c r="D2300">
        <v>0</v>
      </c>
      <c r="E2300">
        <v>8</v>
      </c>
      <c r="F2300">
        <v>0</v>
      </c>
      <c r="J2300">
        <v>0</v>
      </c>
      <c r="K2300">
        <v>0</v>
      </c>
      <c r="L2300">
        <v>0</v>
      </c>
      <c r="M2300" t="s">
        <v>25022</v>
      </c>
      <c r="N2300">
        <v>1313</v>
      </c>
      <c r="O2300" t="s">
        <v>8245</v>
      </c>
      <c r="P2300" t="s">
        <v>57</v>
      </c>
      <c r="Q2300">
        <v>1332402</v>
      </c>
      <c r="R2300">
        <v>1333799</v>
      </c>
      <c r="S2300" t="s">
        <v>8099</v>
      </c>
      <c r="T2300">
        <v>466</v>
      </c>
      <c r="U2300" t="s">
        <v>1297</v>
      </c>
      <c r="V2300">
        <v>42</v>
      </c>
      <c r="W2300" t="str">
        <f>HYPERLINK("Gene1313-zp_tree_all.dnd", "Gene1313-tree")</f>
        <v>Gene1313-tree</v>
      </c>
      <c r="X2300">
        <v>10</v>
      </c>
      <c r="Y2300">
        <v>3</v>
      </c>
      <c r="Z2300">
        <v>10</v>
      </c>
      <c r="AA2300">
        <v>3</v>
      </c>
      <c r="AB2300">
        <v>0.23077</v>
      </c>
      <c r="AC2300" t="s">
        <v>117</v>
      </c>
      <c r="AD2300" t="s">
        <v>324</v>
      </c>
      <c r="AE2300" t="s">
        <v>62</v>
      </c>
      <c r="AF2300" t="s">
        <v>62</v>
      </c>
      <c r="AG2300">
        <v>0</v>
      </c>
      <c r="AH2300">
        <v>0</v>
      </c>
      <c r="AI2300">
        <v>4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4</v>
      </c>
      <c r="AT2300">
        <v>0</v>
      </c>
      <c r="AU2300">
        <v>12</v>
      </c>
      <c r="AV2300">
        <v>9</v>
      </c>
      <c r="AW2300">
        <v>51</v>
      </c>
      <c r="AX2300">
        <v>4</v>
      </c>
      <c r="AY2300">
        <v>29</v>
      </c>
      <c r="AZ2300">
        <v>0</v>
      </c>
      <c r="BA2300" t="s">
        <v>8246</v>
      </c>
      <c r="BB2300" t="s">
        <v>193</v>
      </c>
      <c r="BC2300">
        <v>0.85899999999999999</v>
      </c>
      <c r="BD2300" t="s">
        <v>65</v>
      </c>
      <c r="BE2300">
        <v>80</v>
      </c>
      <c r="BF2300">
        <v>4</v>
      </c>
      <c r="BG2300" t="s">
        <v>8247</v>
      </c>
      <c r="BH2300" t="s">
        <v>8248</v>
      </c>
      <c r="BI2300" t="s">
        <v>8249</v>
      </c>
      <c r="BJ2300">
        <v>1.223E-2</v>
      </c>
      <c r="BK2300">
        <v>1</v>
      </c>
      <c r="BL2300" t="s">
        <v>69</v>
      </c>
      <c r="BM2300">
        <v>-0.39700000000000002</v>
      </c>
      <c r="BN2300">
        <v>-1.3879999999999999</v>
      </c>
    </row>
    <row r="2301" spans="2:66">
      <c r="B2301">
        <v>3981</v>
      </c>
      <c r="C2301">
        <v>8</v>
      </c>
      <c r="D2301">
        <v>0</v>
      </c>
      <c r="E2301">
        <v>10</v>
      </c>
      <c r="F2301">
        <v>4</v>
      </c>
      <c r="J2301">
        <v>0</v>
      </c>
      <c r="K2301">
        <v>0</v>
      </c>
      <c r="L2301">
        <v>0</v>
      </c>
      <c r="M2301" t="s">
        <v>25022</v>
      </c>
      <c r="N2301">
        <v>1314</v>
      </c>
      <c r="O2301" t="s">
        <v>8250</v>
      </c>
      <c r="P2301" t="s">
        <v>57</v>
      </c>
      <c r="Q2301">
        <v>1333804</v>
      </c>
      <c r="R2301">
        <v>1334244</v>
      </c>
      <c r="S2301" t="s">
        <v>8099</v>
      </c>
      <c r="T2301">
        <v>147</v>
      </c>
      <c r="U2301" t="s">
        <v>8251</v>
      </c>
      <c r="V2301">
        <v>42</v>
      </c>
      <c r="W2301" t="str">
        <f>HYPERLINK("Gene1314-zp_tree_all.dnd", "Gene1314-tree")</f>
        <v>Gene1314-tree</v>
      </c>
      <c r="X2301">
        <v>8</v>
      </c>
      <c r="Y2301">
        <v>1</v>
      </c>
      <c r="Z2301">
        <v>8</v>
      </c>
      <c r="AA2301">
        <v>1</v>
      </c>
      <c r="AB2301">
        <v>0.11111</v>
      </c>
      <c r="AC2301" t="s">
        <v>136</v>
      </c>
      <c r="AD2301" t="s">
        <v>175</v>
      </c>
      <c r="AE2301" t="s">
        <v>62</v>
      </c>
      <c r="AF2301" t="s">
        <v>62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8</v>
      </c>
      <c r="AV2301">
        <v>4</v>
      </c>
      <c r="AW2301">
        <v>28</v>
      </c>
      <c r="AX2301">
        <v>1</v>
      </c>
      <c r="AY2301">
        <v>15</v>
      </c>
      <c r="AZ2301">
        <v>0</v>
      </c>
      <c r="BA2301" t="s">
        <v>8252</v>
      </c>
      <c r="BB2301" t="s">
        <v>193</v>
      </c>
      <c r="BC2301">
        <v>0.39100000000000001</v>
      </c>
      <c r="BD2301" t="s">
        <v>65</v>
      </c>
      <c r="BE2301">
        <v>43</v>
      </c>
      <c r="BF2301">
        <v>1</v>
      </c>
      <c r="BG2301" t="s">
        <v>8253</v>
      </c>
      <c r="BH2301" t="s">
        <v>8254</v>
      </c>
      <c r="BI2301" t="s">
        <v>8255</v>
      </c>
      <c r="BJ2301">
        <v>5.8100000000000001E-3</v>
      </c>
      <c r="BK2301">
        <v>1</v>
      </c>
      <c r="BL2301" t="s">
        <v>69</v>
      </c>
      <c r="BM2301">
        <v>0.114</v>
      </c>
      <c r="BN2301">
        <v>-0.80100000000000005</v>
      </c>
    </row>
    <row r="2302" spans="2:66">
      <c r="B2302">
        <v>3983</v>
      </c>
      <c r="C2302">
        <v>391</v>
      </c>
      <c r="D2302">
        <v>0</v>
      </c>
      <c r="E2302">
        <v>9</v>
      </c>
      <c r="F2302">
        <v>3</v>
      </c>
      <c r="J2302">
        <v>0</v>
      </c>
      <c r="K2302">
        <v>0</v>
      </c>
      <c r="L2302">
        <v>0</v>
      </c>
      <c r="M2302" t="s">
        <v>25022</v>
      </c>
      <c r="N2302">
        <v>1315</v>
      </c>
      <c r="O2302" t="s">
        <v>8256</v>
      </c>
      <c r="P2302" t="s">
        <v>57</v>
      </c>
      <c r="Q2302">
        <v>1334339</v>
      </c>
      <c r="R2302">
        <v>1334782</v>
      </c>
      <c r="S2302" t="s">
        <v>8099</v>
      </c>
      <c r="T2302">
        <v>148</v>
      </c>
      <c r="U2302" t="s">
        <v>8257</v>
      </c>
      <c r="V2302">
        <v>28</v>
      </c>
      <c r="W2302" t="str">
        <f>HYPERLINK("Gene1315-zp_tree_all.dnd", "Gene1315-tree")</f>
        <v>Gene1315-tree</v>
      </c>
      <c r="X2302">
        <v>6</v>
      </c>
      <c r="Y2302">
        <v>0</v>
      </c>
      <c r="Z2302">
        <v>6</v>
      </c>
      <c r="AA2302">
        <v>0</v>
      </c>
      <c r="AB2302">
        <v>0</v>
      </c>
      <c r="AC2302" t="s">
        <v>90</v>
      </c>
      <c r="AD2302" t="s">
        <v>62</v>
      </c>
      <c r="AE2302" t="s">
        <v>62</v>
      </c>
      <c r="AF2302" t="s">
        <v>62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4</v>
      </c>
      <c r="AV2302">
        <v>1</v>
      </c>
      <c r="AW2302">
        <v>21</v>
      </c>
      <c r="AX2302">
        <v>0</v>
      </c>
      <c r="AY2302">
        <v>1</v>
      </c>
      <c r="AZ2302">
        <v>0</v>
      </c>
      <c r="BA2302" t="s">
        <v>193</v>
      </c>
      <c r="BB2302" t="s">
        <v>193</v>
      </c>
      <c r="BC2302">
        <v>0</v>
      </c>
      <c r="BD2302" t="s">
        <v>65</v>
      </c>
      <c r="BE2302">
        <v>22</v>
      </c>
      <c r="BF2302">
        <v>0</v>
      </c>
      <c r="BG2302" t="s">
        <v>8258</v>
      </c>
      <c r="BH2302" t="s">
        <v>8259</v>
      </c>
      <c r="BI2302" t="s">
        <v>193</v>
      </c>
      <c r="BJ2302">
        <v>0</v>
      </c>
      <c r="BK2302">
        <v>1</v>
      </c>
      <c r="BL2302" t="s">
        <v>69</v>
      </c>
      <c r="BM2302">
        <v>-2.1349999999999998</v>
      </c>
      <c r="BN2302">
        <v>-3.9119999999999999</v>
      </c>
    </row>
    <row r="2303" spans="2:66">
      <c r="B2303">
        <v>3984</v>
      </c>
      <c r="C2303">
        <v>32</v>
      </c>
      <c r="D2303">
        <v>0</v>
      </c>
      <c r="E2303">
        <v>15</v>
      </c>
      <c r="F2303">
        <v>4</v>
      </c>
      <c r="J2303">
        <v>0</v>
      </c>
      <c r="K2303">
        <v>2</v>
      </c>
      <c r="L2303">
        <v>0</v>
      </c>
      <c r="M2303" t="s">
        <v>25022</v>
      </c>
      <c r="N2303">
        <v>1318</v>
      </c>
      <c r="O2303" t="s">
        <v>8260</v>
      </c>
      <c r="P2303" t="s">
        <v>57</v>
      </c>
      <c r="Q2303">
        <v>1338957</v>
      </c>
      <c r="R2303">
        <v>1339613</v>
      </c>
      <c r="S2303" t="s">
        <v>8261</v>
      </c>
      <c r="T2303">
        <v>219</v>
      </c>
      <c r="U2303" t="s">
        <v>8262</v>
      </c>
      <c r="V2303">
        <v>30</v>
      </c>
      <c r="W2303" t="str">
        <f>HYPERLINK("Gene1318-zp_tree_all.dnd", "Gene1318-tree")</f>
        <v>Gene1318-tree</v>
      </c>
      <c r="X2303">
        <v>2</v>
      </c>
      <c r="Y2303">
        <v>5</v>
      </c>
      <c r="Z2303">
        <v>2</v>
      </c>
      <c r="AA2303">
        <v>5</v>
      </c>
      <c r="AB2303">
        <v>0.71428999999999998</v>
      </c>
      <c r="AC2303" t="s">
        <v>81</v>
      </c>
      <c r="AD2303" t="s">
        <v>199</v>
      </c>
      <c r="AE2303" t="s">
        <v>62</v>
      </c>
      <c r="AF2303" t="s">
        <v>62</v>
      </c>
      <c r="AG2303">
        <v>1</v>
      </c>
      <c r="AH2303">
        <v>2</v>
      </c>
      <c r="AI2303">
        <v>8</v>
      </c>
      <c r="AJ2303">
        <v>0.2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2</v>
      </c>
      <c r="AQ2303">
        <v>0</v>
      </c>
      <c r="AR2303">
        <v>2</v>
      </c>
      <c r="AS2303">
        <v>6</v>
      </c>
      <c r="AT2303">
        <v>0.25</v>
      </c>
      <c r="AU2303">
        <v>7</v>
      </c>
      <c r="AV2303">
        <v>3</v>
      </c>
      <c r="AW2303">
        <v>50</v>
      </c>
      <c r="AX2303">
        <v>8</v>
      </c>
      <c r="AY2303">
        <v>13</v>
      </c>
      <c r="AZ2303">
        <v>2</v>
      </c>
      <c r="BA2303" t="s">
        <v>8263</v>
      </c>
      <c r="BB2303" t="s">
        <v>8264</v>
      </c>
      <c r="BC2303">
        <v>1.2999999999999999E-2</v>
      </c>
      <c r="BD2303" t="s">
        <v>65</v>
      </c>
      <c r="BE2303">
        <v>63</v>
      </c>
      <c r="BF2303">
        <v>10</v>
      </c>
      <c r="BG2303" t="s">
        <v>8265</v>
      </c>
      <c r="BH2303" t="s">
        <v>8266</v>
      </c>
      <c r="BI2303" t="s">
        <v>8267</v>
      </c>
      <c r="BJ2303">
        <v>4.4089999999999997E-2</v>
      </c>
      <c r="BK2303">
        <v>1</v>
      </c>
      <c r="BL2303" t="s">
        <v>69</v>
      </c>
      <c r="BM2303">
        <v>-1.083</v>
      </c>
      <c r="BN2303">
        <v>-2.2040000000000002</v>
      </c>
    </row>
    <row r="2304" spans="2:66">
      <c r="B2304">
        <v>3986</v>
      </c>
      <c r="C2304">
        <v>184</v>
      </c>
      <c r="D2304">
        <v>2</v>
      </c>
      <c r="E2304">
        <v>8</v>
      </c>
      <c r="F2304">
        <v>0</v>
      </c>
      <c r="J2304">
        <v>0</v>
      </c>
      <c r="K2304">
        <v>0</v>
      </c>
      <c r="L2304">
        <v>0</v>
      </c>
      <c r="M2304" t="s">
        <v>25022</v>
      </c>
      <c r="N2304">
        <v>1319</v>
      </c>
      <c r="O2304" t="s">
        <v>8268</v>
      </c>
      <c r="P2304" t="s">
        <v>57</v>
      </c>
      <c r="Q2304">
        <v>1339632</v>
      </c>
      <c r="R2304">
        <v>1340606</v>
      </c>
      <c r="S2304" t="s">
        <v>8099</v>
      </c>
      <c r="T2304">
        <v>325</v>
      </c>
      <c r="U2304" t="s">
        <v>1305</v>
      </c>
      <c r="V2304">
        <v>43</v>
      </c>
      <c r="W2304" t="str">
        <f>HYPERLINK("Gene1319-zp_tree_all.dnd", "Gene1319-tree")</f>
        <v>Gene1319-tree</v>
      </c>
      <c r="X2304">
        <v>10</v>
      </c>
      <c r="Y2304">
        <v>3</v>
      </c>
      <c r="Z2304">
        <v>10</v>
      </c>
      <c r="AA2304">
        <v>3</v>
      </c>
      <c r="AB2304">
        <v>0.23077</v>
      </c>
      <c r="AC2304" t="s">
        <v>117</v>
      </c>
      <c r="AD2304" t="s">
        <v>324</v>
      </c>
      <c r="AE2304" t="s">
        <v>62</v>
      </c>
      <c r="AF2304" t="s">
        <v>62</v>
      </c>
      <c r="AG2304">
        <v>0</v>
      </c>
      <c r="AH2304">
        <v>0</v>
      </c>
      <c r="AI2304">
        <v>5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4</v>
      </c>
      <c r="AT2304">
        <v>0</v>
      </c>
      <c r="AU2304">
        <v>10</v>
      </c>
      <c r="AV2304">
        <v>9</v>
      </c>
      <c r="AW2304">
        <v>47</v>
      </c>
      <c r="AX2304">
        <v>4</v>
      </c>
      <c r="AY2304">
        <v>24</v>
      </c>
      <c r="AZ2304">
        <v>1</v>
      </c>
      <c r="BA2304" t="s">
        <v>8269</v>
      </c>
      <c r="BB2304" t="s">
        <v>8270</v>
      </c>
      <c r="BC2304">
        <v>0.26900000000000002</v>
      </c>
      <c r="BD2304" t="s">
        <v>65</v>
      </c>
      <c r="BE2304">
        <v>71</v>
      </c>
      <c r="BF2304">
        <v>5</v>
      </c>
      <c r="BG2304" t="s">
        <v>8271</v>
      </c>
      <c r="BH2304" t="s">
        <v>8272</v>
      </c>
      <c r="BI2304" t="s">
        <v>8273</v>
      </c>
      <c r="BJ2304">
        <v>1.9259999999999999E-2</v>
      </c>
      <c r="BK2304">
        <v>1</v>
      </c>
      <c r="BL2304" t="s">
        <v>69</v>
      </c>
      <c r="BM2304">
        <v>-0.84399999999999997</v>
      </c>
      <c r="BN2304">
        <v>-3.0379999999999998</v>
      </c>
    </row>
    <row r="2305" spans="2:66">
      <c r="B2305">
        <v>3987</v>
      </c>
      <c r="C2305">
        <v>32</v>
      </c>
      <c r="D2305">
        <v>0</v>
      </c>
      <c r="E2305">
        <v>2</v>
      </c>
      <c r="F2305">
        <v>0</v>
      </c>
      <c r="J2305">
        <v>0</v>
      </c>
      <c r="K2305">
        <v>4</v>
      </c>
      <c r="L2305">
        <v>0</v>
      </c>
      <c r="M2305" t="s">
        <v>25022</v>
      </c>
      <c r="N2305">
        <v>1320</v>
      </c>
      <c r="O2305" t="s">
        <v>8274</v>
      </c>
      <c r="P2305" t="s">
        <v>57</v>
      </c>
      <c r="Q2305">
        <v>1340609</v>
      </c>
      <c r="R2305">
        <v>1340872</v>
      </c>
      <c r="S2305" t="s">
        <v>8099</v>
      </c>
      <c r="T2305">
        <v>88</v>
      </c>
      <c r="U2305" t="s">
        <v>8275</v>
      </c>
      <c r="V2305">
        <v>44</v>
      </c>
      <c r="W2305" t="str">
        <f>HYPERLINK("Gene1320-zp_tree_all.dnd", "Gene1320-tree")</f>
        <v>Gene1320-tree</v>
      </c>
      <c r="X2305">
        <v>6</v>
      </c>
      <c r="Y2305">
        <v>3</v>
      </c>
      <c r="Z2305">
        <v>6</v>
      </c>
      <c r="AA2305">
        <v>3</v>
      </c>
      <c r="AB2305">
        <v>0.33333000000000002</v>
      </c>
      <c r="AC2305" t="s">
        <v>90</v>
      </c>
      <c r="AD2305" t="s">
        <v>324</v>
      </c>
      <c r="AE2305" t="s">
        <v>62</v>
      </c>
      <c r="AF2305" t="s">
        <v>62</v>
      </c>
      <c r="AG2305">
        <v>2</v>
      </c>
      <c r="AH2305">
        <v>4</v>
      </c>
      <c r="AI2305">
        <v>3</v>
      </c>
      <c r="AJ2305">
        <v>0.57142999999999999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2</v>
      </c>
      <c r="AQ2305">
        <v>0</v>
      </c>
      <c r="AR2305">
        <v>2</v>
      </c>
      <c r="AS2305">
        <v>2</v>
      </c>
      <c r="AT2305">
        <v>0.5</v>
      </c>
      <c r="AU2305">
        <v>8</v>
      </c>
      <c r="AV2305">
        <v>3</v>
      </c>
      <c r="AW2305">
        <v>13</v>
      </c>
      <c r="AX2305">
        <v>4</v>
      </c>
      <c r="AY2305">
        <v>3</v>
      </c>
      <c r="AZ2305">
        <v>3</v>
      </c>
      <c r="BA2305" t="s">
        <v>8276</v>
      </c>
      <c r="BB2305" t="s">
        <v>8277</v>
      </c>
      <c r="BC2305">
        <v>1.2669999999999999</v>
      </c>
      <c r="BD2305" t="s">
        <v>65</v>
      </c>
      <c r="BE2305">
        <v>16</v>
      </c>
      <c r="BF2305">
        <v>7</v>
      </c>
      <c r="BG2305" t="s">
        <v>8278</v>
      </c>
      <c r="BH2305" t="s">
        <v>8279</v>
      </c>
      <c r="BI2305" t="s">
        <v>8280</v>
      </c>
      <c r="BJ2305">
        <v>0.17132</v>
      </c>
      <c r="BK2305">
        <v>1</v>
      </c>
      <c r="BL2305" t="s">
        <v>69</v>
      </c>
      <c r="BM2305">
        <v>-1.2350000000000001</v>
      </c>
      <c r="BN2305">
        <v>-1.2110000000000001</v>
      </c>
    </row>
    <row r="2306" spans="2:66">
      <c r="B2306">
        <v>3988</v>
      </c>
      <c r="C2306">
        <v>107</v>
      </c>
      <c r="D2306">
        <v>0</v>
      </c>
      <c r="E2306">
        <v>13</v>
      </c>
      <c r="F2306">
        <v>4</v>
      </c>
      <c r="J2306">
        <v>0</v>
      </c>
      <c r="K2306">
        <v>2</v>
      </c>
      <c r="L2306">
        <v>0</v>
      </c>
      <c r="M2306" t="s">
        <v>25022</v>
      </c>
      <c r="N2306">
        <v>1321</v>
      </c>
      <c r="O2306" t="s">
        <v>8281</v>
      </c>
      <c r="P2306" t="s">
        <v>57</v>
      </c>
      <c r="Q2306">
        <v>1340932</v>
      </c>
      <c r="R2306">
        <v>1341354</v>
      </c>
      <c r="S2306" t="s">
        <v>8099</v>
      </c>
      <c r="T2306">
        <v>141</v>
      </c>
      <c r="U2306" t="s">
        <v>1305</v>
      </c>
      <c r="V2306">
        <v>43</v>
      </c>
      <c r="W2306" t="str">
        <f>HYPERLINK("Gene1321-zp_tree_all.dnd", "Gene1321-tree")</f>
        <v>Gene1321-tree</v>
      </c>
      <c r="X2306">
        <v>3</v>
      </c>
      <c r="Y2306">
        <v>6</v>
      </c>
      <c r="Z2306">
        <v>3</v>
      </c>
      <c r="AA2306">
        <v>6</v>
      </c>
      <c r="AB2306">
        <v>0.66666999999999998</v>
      </c>
      <c r="AC2306" t="s">
        <v>324</v>
      </c>
      <c r="AD2306" t="s">
        <v>90</v>
      </c>
      <c r="AE2306" t="s">
        <v>62</v>
      </c>
      <c r="AF2306" t="s">
        <v>62</v>
      </c>
      <c r="AG2306">
        <v>1</v>
      </c>
      <c r="AH2306">
        <v>2</v>
      </c>
      <c r="AI2306">
        <v>6</v>
      </c>
      <c r="AJ2306">
        <v>0.25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2</v>
      </c>
      <c r="AQ2306">
        <v>0</v>
      </c>
      <c r="AR2306">
        <v>2</v>
      </c>
      <c r="AS2306">
        <v>4</v>
      </c>
      <c r="AT2306">
        <v>0.33333000000000002</v>
      </c>
      <c r="AU2306">
        <v>6</v>
      </c>
      <c r="AV2306">
        <v>6</v>
      </c>
      <c r="AW2306">
        <v>12</v>
      </c>
      <c r="AX2306">
        <v>4</v>
      </c>
      <c r="AY2306">
        <v>11</v>
      </c>
      <c r="AZ2306">
        <v>4</v>
      </c>
      <c r="BA2306" t="s">
        <v>8282</v>
      </c>
      <c r="BB2306" t="s">
        <v>8283</v>
      </c>
      <c r="BC2306">
        <v>0.104</v>
      </c>
      <c r="BD2306" t="s">
        <v>65</v>
      </c>
      <c r="BE2306">
        <v>23</v>
      </c>
      <c r="BF2306">
        <v>8</v>
      </c>
      <c r="BG2306" t="s">
        <v>8284</v>
      </c>
      <c r="BH2306" t="s">
        <v>8285</v>
      </c>
      <c r="BI2306" t="s">
        <v>8286</v>
      </c>
      <c r="BJ2306">
        <v>0.10892</v>
      </c>
      <c r="BK2306">
        <v>1</v>
      </c>
      <c r="BL2306" t="s">
        <v>69</v>
      </c>
      <c r="BM2306">
        <v>-0.19400000000000001</v>
      </c>
      <c r="BN2306">
        <v>0.20699999999999999</v>
      </c>
    </row>
    <row r="2307" spans="2:66">
      <c r="B2307">
        <v>3989</v>
      </c>
      <c r="C2307">
        <v>111</v>
      </c>
      <c r="D2307">
        <v>0</v>
      </c>
      <c r="E2307">
        <v>6</v>
      </c>
      <c r="F2307">
        <v>4</v>
      </c>
      <c r="J2307">
        <v>0</v>
      </c>
      <c r="K2307">
        <v>4</v>
      </c>
      <c r="L2307">
        <v>1</v>
      </c>
      <c r="M2307" t="s">
        <v>25022</v>
      </c>
      <c r="N2307">
        <v>1322</v>
      </c>
      <c r="O2307" t="s">
        <v>8287</v>
      </c>
      <c r="P2307" t="s">
        <v>57</v>
      </c>
      <c r="Q2307">
        <v>1341350</v>
      </c>
      <c r="R2307">
        <v>1342393</v>
      </c>
      <c r="S2307" t="s">
        <v>8288</v>
      </c>
      <c r="T2307">
        <v>348</v>
      </c>
      <c r="U2307" t="s">
        <v>1305</v>
      </c>
      <c r="V2307">
        <v>43</v>
      </c>
      <c r="W2307" t="str">
        <f>HYPERLINK("Gene1322-zp_tree_all.dnd", "Gene1322-tree")</f>
        <v>Gene1322-tree</v>
      </c>
      <c r="X2307">
        <v>4</v>
      </c>
      <c r="Y2307">
        <v>8</v>
      </c>
      <c r="Z2307">
        <v>4</v>
      </c>
      <c r="AA2307">
        <v>8</v>
      </c>
      <c r="AB2307">
        <v>0.66666999999999998</v>
      </c>
      <c r="AC2307" t="s">
        <v>61</v>
      </c>
      <c r="AD2307" t="s">
        <v>136</v>
      </c>
      <c r="AE2307" t="s">
        <v>62</v>
      </c>
      <c r="AF2307" t="s">
        <v>62</v>
      </c>
      <c r="AG2307">
        <v>1</v>
      </c>
      <c r="AH2307">
        <v>5</v>
      </c>
      <c r="AI2307">
        <v>6</v>
      </c>
      <c r="AJ2307">
        <v>0.45455000000000001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3</v>
      </c>
      <c r="AQ2307">
        <v>0</v>
      </c>
      <c r="AR2307">
        <v>3</v>
      </c>
      <c r="AS2307">
        <v>6</v>
      </c>
      <c r="AT2307">
        <v>0.33333000000000002</v>
      </c>
      <c r="AU2307">
        <v>10</v>
      </c>
      <c r="AV2307">
        <v>7</v>
      </c>
      <c r="AW2307">
        <v>39</v>
      </c>
      <c r="AX2307">
        <v>8</v>
      </c>
      <c r="AY2307">
        <v>33</v>
      </c>
      <c r="AZ2307">
        <v>3</v>
      </c>
      <c r="BA2307" t="s">
        <v>8289</v>
      </c>
      <c r="BB2307" t="s">
        <v>8290</v>
      </c>
      <c r="BC2307">
        <v>1.1759999999999999</v>
      </c>
      <c r="BD2307" t="s">
        <v>65</v>
      </c>
      <c r="BE2307">
        <v>72</v>
      </c>
      <c r="BF2307">
        <v>11</v>
      </c>
      <c r="BG2307" t="s">
        <v>8291</v>
      </c>
      <c r="BH2307" t="s">
        <v>8292</v>
      </c>
      <c r="BI2307" t="s">
        <v>8293</v>
      </c>
      <c r="BJ2307">
        <v>3.066E-2</v>
      </c>
      <c r="BK2307">
        <v>1</v>
      </c>
      <c r="BL2307" t="s">
        <v>69</v>
      </c>
      <c r="BM2307">
        <v>0.15</v>
      </c>
      <c r="BN2307">
        <v>0.30499999999999999</v>
      </c>
    </row>
    <row r="2308" spans="2:66">
      <c r="B2308">
        <v>3992</v>
      </c>
      <c r="C2308">
        <v>99</v>
      </c>
      <c r="D2308">
        <v>0</v>
      </c>
      <c r="E2308">
        <v>7</v>
      </c>
      <c r="F2308">
        <v>0</v>
      </c>
      <c r="J2308">
        <v>0</v>
      </c>
      <c r="K2308">
        <v>0</v>
      </c>
      <c r="L2308">
        <v>0</v>
      </c>
      <c r="M2308" t="s">
        <v>25022</v>
      </c>
      <c r="N2308">
        <v>1323</v>
      </c>
      <c r="O2308" t="s">
        <v>8294</v>
      </c>
      <c r="P2308" t="s">
        <v>57</v>
      </c>
      <c r="Q2308">
        <v>1342380</v>
      </c>
      <c r="R2308">
        <v>1342955</v>
      </c>
      <c r="S2308" t="s">
        <v>8099</v>
      </c>
      <c r="T2308">
        <v>192</v>
      </c>
      <c r="U2308" t="s">
        <v>1305</v>
      </c>
      <c r="V2308">
        <v>43</v>
      </c>
      <c r="W2308" t="str">
        <f>HYPERLINK("Gene1323-zp_tree_all.dnd", "Gene1323-tree")</f>
        <v>Gene1323-tree</v>
      </c>
      <c r="X2308">
        <v>8</v>
      </c>
      <c r="Y2308">
        <v>3</v>
      </c>
      <c r="Z2308">
        <v>8</v>
      </c>
      <c r="AA2308">
        <v>3</v>
      </c>
      <c r="AB2308">
        <v>0.27272999999999997</v>
      </c>
      <c r="AC2308" t="s">
        <v>136</v>
      </c>
      <c r="AD2308" t="s">
        <v>324</v>
      </c>
      <c r="AE2308" t="s">
        <v>62</v>
      </c>
      <c r="AF2308" t="s">
        <v>62</v>
      </c>
      <c r="AG2308">
        <v>0</v>
      </c>
      <c r="AH2308">
        <v>0</v>
      </c>
      <c r="AI2308">
        <v>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>
        <v>0</v>
      </c>
      <c r="AU2308">
        <v>10</v>
      </c>
      <c r="AV2308">
        <v>6</v>
      </c>
      <c r="AW2308">
        <v>33</v>
      </c>
      <c r="AX2308">
        <v>3</v>
      </c>
      <c r="AY2308">
        <v>15</v>
      </c>
      <c r="AZ2308">
        <v>2</v>
      </c>
      <c r="BA2308" t="s">
        <v>8295</v>
      </c>
      <c r="BB2308" t="s">
        <v>8296</v>
      </c>
      <c r="BC2308">
        <v>0.14599999999999999</v>
      </c>
      <c r="BD2308" t="s">
        <v>65</v>
      </c>
      <c r="BE2308">
        <v>48</v>
      </c>
      <c r="BF2308">
        <v>5</v>
      </c>
      <c r="BG2308" t="s">
        <v>8297</v>
      </c>
      <c r="BH2308" t="s">
        <v>8298</v>
      </c>
      <c r="BI2308" t="s">
        <v>8299</v>
      </c>
      <c r="BJ2308">
        <v>4.1340000000000002E-2</v>
      </c>
      <c r="BK2308">
        <v>1</v>
      </c>
      <c r="BL2308" t="s">
        <v>69</v>
      </c>
      <c r="BM2308">
        <v>-0.254</v>
      </c>
      <c r="BN2308">
        <v>-0.76600000000000001</v>
      </c>
    </row>
    <row r="2309" spans="2:66">
      <c r="B2309">
        <v>3993</v>
      </c>
      <c r="C2309">
        <v>267</v>
      </c>
      <c r="D2309">
        <v>0</v>
      </c>
      <c r="E2309">
        <v>2</v>
      </c>
      <c r="F2309">
        <v>2</v>
      </c>
      <c r="J2309">
        <v>0</v>
      </c>
      <c r="K2309">
        <v>0</v>
      </c>
      <c r="L2309">
        <v>0</v>
      </c>
      <c r="M2309" t="s">
        <v>25022</v>
      </c>
      <c r="N2309">
        <v>1324</v>
      </c>
      <c r="O2309" t="s">
        <v>8300</v>
      </c>
      <c r="P2309" t="s">
        <v>57</v>
      </c>
      <c r="Q2309">
        <v>1342955</v>
      </c>
      <c r="R2309">
        <v>1343224</v>
      </c>
      <c r="S2309" t="s">
        <v>8099</v>
      </c>
      <c r="T2309">
        <v>90</v>
      </c>
      <c r="U2309" t="s">
        <v>8301</v>
      </c>
      <c r="V2309">
        <v>44</v>
      </c>
      <c r="W2309" t="str">
        <f>HYPERLINK("Gene1324-zp_tree_all.dnd", "Gene1324-tree")</f>
        <v>Gene1324-tree</v>
      </c>
      <c r="X2309">
        <v>7</v>
      </c>
      <c r="Y2309">
        <v>5</v>
      </c>
      <c r="Z2309">
        <v>7</v>
      </c>
      <c r="AA2309">
        <v>5</v>
      </c>
      <c r="AB2309">
        <v>0.41666999999999998</v>
      </c>
      <c r="AC2309" t="s">
        <v>152</v>
      </c>
      <c r="AD2309" t="s">
        <v>199</v>
      </c>
      <c r="AE2309" t="s">
        <v>62</v>
      </c>
      <c r="AF2309" t="s">
        <v>62</v>
      </c>
      <c r="AG2309">
        <v>0</v>
      </c>
      <c r="AH2309">
        <v>0</v>
      </c>
      <c r="AI2309">
        <v>9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5</v>
      </c>
      <c r="AT2309">
        <v>0</v>
      </c>
      <c r="AU2309">
        <v>10</v>
      </c>
      <c r="AV2309">
        <v>6</v>
      </c>
      <c r="AW2309">
        <v>18</v>
      </c>
      <c r="AX2309">
        <v>5</v>
      </c>
      <c r="AY2309">
        <v>5</v>
      </c>
      <c r="AZ2309">
        <v>5</v>
      </c>
      <c r="BA2309" t="s">
        <v>8302</v>
      </c>
      <c r="BB2309" t="s">
        <v>8303</v>
      </c>
      <c r="BC2309">
        <v>1.2270000000000001</v>
      </c>
      <c r="BD2309" t="s">
        <v>65</v>
      </c>
      <c r="BE2309">
        <v>23</v>
      </c>
      <c r="BF2309">
        <v>10</v>
      </c>
      <c r="BG2309" t="s">
        <v>8304</v>
      </c>
      <c r="BH2309" t="s">
        <v>8305</v>
      </c>
      <c r="BI2309" t="s">
        <v>8306</v>
      </c>
      <c r="BJ2309">
        <v>0.15920000000000001</v>
      </c>
      <c r="BK2309">
        <v>1</v>
      </c>
      <c r="BL2309" t="s">
        <v>69</v>
      </c>
      <c r="BM2309">
        <v>-0.83299999999999996</v>
      </c>
      <c r="BN2309">
        <v>-1.4670000000000001</v>
      </c>
    </row>
    <row r="2310" spans="2:66">
      <c r="B2310">
        <v>3996</v>
      </c>
      <c r="C2310">
        <v>445</v>
      </c>
      <c r="D2310">
        <v>0</v>
      </c>
      <c r="E2310">
        <v>5</v>
      </c>
      <c r="F2310">
        <v>2</v>
      </c>
      <c r="J2310">
        <v>0</v>
      </c>
      <c r="K2310">
        <v>0</v>
      </c>
      <c r="L2310">
        <v>4</v>
      </c>
      <c r="M2310" t="s">
        <v>25022</v>
      </c>
      <c r="N2310">
        <v>1327</v>
      </c>
      <c r="O2310" t="s">
        <v>8307</v>
      </c>
      <c r="P2310" t="s">
        <v>57</v>
      </c>
      <c r="Q2310">
        <v>1345631</v>
      </c>
      <c r="R2310">
        <v>1345792</v>
      </c>
      <c r="S2310" t="s">
        <v>8099</v>
      </c>
      <c r="T2310">
        <v>54</v>
      </c>
      <c r="U2310" t="s">
        <v>8308</v>
      </c>
      <c r="V2310">
        <v>43</v>
      </c>
      <c r="W2310" t="str">
        <f>HYPERLINK("Gene1327-zp_tree_all.dnd", "Gene1327-tree")</f>
        <v>Gene1327-tree</v>
      </c>
      <c r="X2310">
        <v>5</v>
      </c>
      <c r="Y2310">
        <v>5</v>
      </c>
      <c r="Z2310">
        <v>5</v>
      </c>
      <c r="AA2310">
        <v>5</v>
      </c>
      <c r="AB2310">
        <v>0.5</v>
      </c>
      <c r="AC2310" t="s">
        <v>199</v>
      </c>
      <c r="AD2310" t="s">
        <v>199</v>
      </c>
      <c r="AE2310" t="s">
        <v>62</v>
      </c>
      <c r="AF2310" t="s">
        <v>62</v>
      </c>
      <c r="AG2310">
        <v>2</v>
      </c>
      <c r="AH2310">
        <v>4</v>
      </c>
      <c r="AI2310">
        <v>4</v>
      </c>
      <c r="AJ2310">
        <v>0.5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2</v>
      </c>
      <c r="AR2310">
        <v>2</v>
      </c>
      <c r="AS2310">
        <v>4</v>
      </c>
      <c r="AT2310">
        <v>0.33333000000000002</v>
      </c>
      <c r="AU2310">
        <v>5</v>
      </c>
      <c r="AV2310">
        <v>5</v>
      </c>
      <c r="AW2310">
        <v>6</v>
      </c>
      <c r="AX2310">
        <v>5</v>
      </c>
      <c r="AY2310">
        <v>6</v>
      </c>
      <c r="AZ2310">
        <v>3</v>
      </c>
      <c r="BA2310" t="s">
        <v>8309</v>
      </c>
      <c r="BB2310" t="s">
        <v>8310</v>
      </c>
      <c r="BC2310">
        <v>0.38500000000000001</v>
      </c>
      <c r="BD2310" t="s">
        <v>65</v>
      </c>
      <c r="BE2310">
        <v>12</v>
      </c>
      <c r="BF2310">
        <v>8</v>
      </c>
      <c r="BG2310" t="s">
        <v>8311</v>
      </c>
      <c r="BH2310" t="s">
        <v>8312</v>
      </c>
      <c r="BI2310" t="s">
        <v>8313</v>
      </c>
      <c r="BJ2310">
        <v>0.15905</v>
      </c>
      <c r="BK2310">
        <v>0.99</v>
      </c>
      <c r="BL2310" t="s">
        <v>69</v>
      </c>
      <c r="BM2310">
        <v>0.55000000000000004</v>
      </c>
      <c r="BN2310">
        <v>-2.1880000000000002</v>
      </c>
    </row>
    <row r="2311" spans="2:66">
      <c r="B2311">
        <v>3998</v>
      </c>
      <c r="C2311">
        <v>79</v>
      </c>
      <c r="D2311">
        <v>0</v>
      </c>
      <c r="E2311">
        <v>14</v>
      </c>
      <c r="F2311">
        <v>0</v>
      </c>
      <c r="J2311">
        <v>0</v>
      </c>
      <c r="K2311">
        <v>22</v>
      </c>
      <c r="L2311">
        <v>0</v>
      </c>
      <c r="M2311" t="s">
        <v>25022</v>
      </c>
      <c r="N2311">
        <v>1328</v>
      </c>
      <c r="O2311" t="s">
        <v>8314</v>
      </c>
      <c r="P2311" t="s">
        <v>57</v>
      </c>
      <c r="Q2311">
        <v>1345839</v>
      </c>
      <c r="R2311">
        <v>1346675</v>
      </c>
      <c r="S2311" t="s">
        <v>8315</v>
      </c>
      <c r="T2311">
        <v>279</v>
      </c>
      <c r="U2311" t="s">
        <v>1305</v>
      </c>
      <c r="V2311">
        <v>43</v>
      </c>
      <c r="W2311" t="str">
        <f>HYPERLINK("Gene1328-zp_tree_all.dnd", "Gene1328-tree")</f>
        <v>Gene1328-tree</v>
      </c>
      <c r="X2311">
        <v>0</v>
      </c>
      <c r="Y2311">
        <v>11</v>
      </c>
      <c r="Z2311">
        <v>0</v>
      </c>
      <c r="AA2311">
        <v>11</v>
      </c>
      <c r="AB2311">
        <v>1</v>
      </c>
      <c r="AC2311" t="s">
        <v>62</v>
      </c>
      <c r="AD2311" t="s">
        <v>73</v>
      </c>
      <c r="AE2311">
        <v>114461263.029</v>
      </c>
      <c r="AF2311" t="s">
        <v>65</v>
      </c>
      <c r="AG2311">
        <v>9</v>
      </c>
      <c r="AH2311">
        <v>22</v>
      </c>
      <c r="AI2311">
        <v>9</v>
      </c>
      <c r="AJ2311">
        <v>0.70967999999999998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9</v>
      </c>
      <c r="AQ2311">
        <v>2</v>
      </c>
      <c r="AR2311">
        <v>11</v>
      </c>
      <c r="AS2311">
        <v>11</v>
      </c>
      <c r="AT2311">
        <v>0.5</v>
      </c>
      <c r="AU2311">
        <v>10</v>
      </c>
      <c r="AV2311">
        <v>7</v>
      </c>
      <c r="AW2311">
        <v>30</v>
      </c>
      <c r="AX2311">
        <v>20</v>
      </c>
      <c r="AY2311">
        <v>30</v>
      </c>
      <c r="AZ2311">
        <v>11</v>
      </c>
      <c r="BA2311" t="s">
        <v>8316</v>
      </c>
      <c r="BB2311" t="s">
        <v>8317</v>
      </c>
      <c r="BC2311">
        <v>1.871</v>
      </c>
      <c r="BD2311" t="s">
        <v>65</v>
      </c>
      <c r="BE2311">
        <v>60</v>
      </c>
      <c r="BF2311">
        <v>31</v>
      </c>
      <c r="BG2311" t="s">
        <v>8318</v>
      </c>
      <c r="BH2311" t="s">
        <v>8319</v>
      </c>
      <c r="BI2311" t="s">
        <v>8320</v>
      </c>
      <c r="BJ2311">
        <v>0.13447000000000001</v>
      </c>
      <c r="BK2311">
        <v>1</v>
      </c>
      <c r="BL2311" t="s">
        <v>69</v>
      </c>
      <c r="BM2311">
        <v>7.8E-2</v>
      </c>
      <c r="BN2311">
        <v>0.55800000000000005</v>
      </c>
    </row>
    <row r="2312" spans="2:66">
      <c r="B2312">
        <v>4000</v>
      </c>
      <c r="C2312">
        <v>41</v>
      </c>
      <c r="D2312">
        <v>0</v>
      </c>
      <c r="E2312">
        <v>2</v>
      </c>
      <c r="F2312">
        <v>0</v>
      </c>
      <c r="J2312">
        <v>0</v>
      </c>
      <c r="K2312">
        <v>0</v>
      </c>
      <c r="L2312">
        <v>0</v>
      </c>
      <c r="M2312" t="s">
        <v>25022</v>
      </c>
      <c r="N2312">
        <v>1329</v>
      </c>
      <c r="O2312" t="s">
        <v>8321</v>
      </c>
      <c r="P2312" t="s">
        <v>57</v>
      </c>
      <c r="Q2312">
        <v>1346731</v>
      </c>
      <c r="R2312">
        <v>1346997</v>
      </c>
      <c r="S2312" t="s">
        <v>8322</v>
      </c>
      <c r="T2312">
        <v>89</v>
      </c>
      <c r="U2312" t="s">
        <v>1305</v>
      </c>
      <c r="V2312">
        <v>43</v>
      </c>
      <c r="W2312" t="str">
        <f>HYPERLINK("Gene1329-zp_tree_all.dnd", "Gene1329-tree")</f>
        <v>Gene1329-tree</v>
      </c>
      <c r="X2312">
        <v>9</v>
      </c>
      <c r="Y2312">
        <v>2</v>
      </c>
      <c r="Z2312">
        <v>9</v>
      </c>
      <c r="AA2312">
        <v>2</v>
      </c>
      <c r="AB2312">
        <v>0.18182000000000001</v>
      </c>
      <c r="AC2312" t="s">
        <v>135</v>
      </c>
      <c r="AD2312" t="s">
        <v>81</v>
      </c>
      <c r="AE2312" t="s">
        <v>62</v>
      </c>
      <c r="AF2312" t="s">
        <v>62</v>
      </c>
      <c r="AG2312">
        <v>0</v>
      </c>
      <c r="AH2312">
        <v>0</v>
      </c>
      <c r="AI2312">
        <v>3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2</v>
      </c>
      <c r="AT2312">
        <v>0</v>
      </c>
      <c r="AU2312">
        <v>8</v>
      </c>
      <c r="AV2312">
        <v>6</v>
      </c>
      <c r="AW2312">
        <v>10</v>
      </c>
      <c r="AX2312">
        <v>1</v>
      </c>
      <c r="AY2312">
        <v>5</v>
      </c>
      <c r="AZ2312">
        <v>3</v>
      </c>
      <c r="BA2312" t="s">
        <v>8323</v>
      </c>
      <c r="BB2312" t="s">
        <v>8324</v>
      </c>
      <c r="BC2312">
        <v>0.74399999999999999</v>
      </c>
      <c r="BD2312" t="s">
        <v>65</v>
      </c>
      <c r="BE2312">
        <v>15</v>
      </c>
      <c r="BF2312">
        <v>4</v>
      </c>
      <c r="BG2312" t="s">
        <v>8325</v>
      </c>
      <c r="BH2312" t="s">
        <v>8326</v>
      </c>
      <c r="BI2312" t="s">
        <v>8327</v>
      </c>
      <c r="BJ2312">
        <v>9.2700000000000005E-2</v>
      </c>
      <c r="BK2312">
        <v>1</v>
      </c>
      <c r="BL2312" t="s">
        <v>69</v>
      </c>
      <c r="BM2312">
        <v>4.3999999999999997E-2</v>
      </c>
      <c r="BN2312">
        <v>0.33</v>
      </c>
    </row>
    <row r="2313" spans="2:66">
      <c r="B2313">
        <v>4001</v>
      </c>
      <c r="C2313">
        <v>21</v>
      </c>
      <c r="D2313">
        <v>0</v>
      </c>
      <c r="E2313">
        <v>3</v>
      </c>
      <c r="F2313">
        <v>0</v>
      </c>
      <c r="J2313">
        <v>0</v>
      </c>
      <c r="K2313">
        <v>0</v>
      </c>
      <c r="L2313">
        <v>0</v>
      </c>
      <c r="M2313" t="s">
        <v>25022</v>
      </c>
      <c r="N2313">
        <v>1330</v>
      </c>
      <c r="O2313" t="s">
        <v>8328</v>
      </c>
      <c r="P2313" t="s">
        <v>57</v>
      </c>
      <c r="Q2313">
        <v>1347013</v>
      </c>
      <c r="R2313">
        <v>1347273</v>
      </c>
      <c r="S2313" t="s">
        <v>8329</v>
      </c>
      <c r="T2313">
        <v>87</v>
      </c>
      <c r="U2313" t="s">
        <v>1305</v>
      </c>
      <c r="V2313">
        <v>43</v>
      </c>
      <c r="W2313" t="str">
        <f>HYPERLINK("Gene1330-zp_tree_all.dnd", "Gene1330-tree")</f>
        <v>Gene1330-tree</v>
      </c>
      <c r="X2313">
        <v>27</v>
      </c>
      <c r="Y2313">
        <v>4</v>
      </c>
      <c r="Z2313">
        <v>6</v>
      </c>
      <c r="AA2313">
        <v>4</v>
      </c>
      <c r="AB2313">
        <v>0.4</v>
      </c>
      <c r="AC2313" t="s">
        <v>1055</v>
      </c>
      <c r="AD2313" t="s">
        <v>61</v>
      </c>
      <c r="AE2313" t="s">
        <v>62</v>
      </c>
      <c r="AF2313" t="s">
        <v>62</v>
      </c>
      <c r="AG2313">
        <v>0</v>
      </c>
      <c r="AH2313">
        <v>0</v>
      </c>
      <c r="AI2313">
        <v>7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6</v>
      </c>
      <c r="AT2313">
        <v>0</v>
      </c>
      <c r="AU2313">
        <v>7</v>
      </c>
      <c r="AV2313">
        <v>3</v>
      </c>
      <c r="AW2313">
        <v>7</v>
      </c>
      <c r="AX2313">
        <v>7</v>
      </c>
      <c r="AY2313">
        <v>3</v>
      </c>
      <c r="AZ2313">
        <v>1</v>
      </c>
      <c r="BA2313" t="s">
        <v>8330</v>
      </c>
      <c r="BB2313" t="s">
        <v>8331</v>
      </c>
      <c r="BC2313">
        <v>0.55200000000000005</v>
      </c>
      <c r="BD2313" t="s">
        <v>65</v>
      </c>
      <c r="BE2313">
        <v>10</v>
      </c>
      <c r="BF2313">
        <v>8</v>
      </c>
      <c r="BG2313" t="s">
        <v>8332</v>
      </c>
      <c r="BH2313" t="s">
        <v>8333</v>
      </c>
      <c r="BI2313" t="s">
        <v>8334</v>
      </c>
      <c r="BJ2313">
        <v>0.20713999999999999</v>
      </c>
      <c r="BK2313">
        <v>1</v>
      </c>
      <c r="BL2313" t="s">
        <v>69</v>
      </c>
      <c r="BM2313">
        <v>-1.4079999999999999</v>
      </c>
      <c r="BN2313">
        <v>-2.7959999999999998</v>
      </c>
    </row>
    <row r="2314" spans="2:66">
      <c r="B2314">
        <v>4002</v>
      </c>
      <c r="C2314">
        <v>74</v>
      </c>
      <c r="D2314">
        <v>0</v>
      </c>
      <c r="E2314">
        <v>12</v>
      </c>
      <c r="F2314">
        <v>1</v>
      </c>
      <c r="J2314">
        <v>0</v>
      </c>
      <c r="K2314">
        <v>7</v>
      </c>
      <c r="L2314">
        <v>0</v>
      </c>
      <c r="M2314" t="s">
        <v>25022</v>
      </c>
      <c r="N2314">
        <v>1331</v>
      </c>
      <c r="O2314" t="s">
        <v>8335</v>
      </c>
      <c r="P2314" t="s">
        <v>57</v>
      </c>
      <c r="Q2314">
        <v>1347289</v>
      </c>
      <c r="R2314">
        <v>1348179</v>
      </c>
      <c r="S2314" t="s">
        <v>8092</v>
      </c>
      <c r="T2314">
        <v>297</v>
      </c>
      <c r="U2314" t="s">
        <v>1305</v>
      </c>
      <c r="V2314">
        <v>43</v>
      </c>
      <c r="W2314" t="str">
        <f>HYPERLINK("Gene1331-zp_tree_all.dnd", "Gene1331-tree")</f>
        <v>Gene1331-tree</v>
      </c>
      <c r="X2314">
        <v>9</v>
      </c>
      <c r="Y2314">
        <v>5</v>
      </c>
      <c r="Z2314">
        <v>9</v>
      </c>
      <c r="AA2314">
        <v>5</v>
      </c>
      <c r="AB2314">
        <v>0.35714000000000001</v>
      </c>
      <c r="AC2314" t="s">
        <v>135</v>
      </c>
      <c r="AD2314" t="s">
        <v>199</v>
      </c>
      <c r="AE2314" t="s">
        <v>62</v>
      </c>
      <c r="AF2314" t="s">
        <v>62</v>
      </c>
      <c r="AG2314">
        <v>3</v>
      </c>
      <c r="AH2314">
        <v>7</v>
      </c>
      <c r="AI2314">
        <v>9</v>
      </c>
      <c r="AJ2314">
        <v>0.4375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2</v>
      </c>
      <c r="AQ2314">
        <v>0</v>
      </c>
      <c r="AR2314">
        <v>2</v>
      </c>
      <c r="AS2314">
        <v>7</v>
      </c>
      <c r="AT2314">
        <v>0.22222</v>
      </c>
      <c r="AU2314">
        <v>13</v>
      </c>
      <c r="AV2314">
        <v>9</v>
      </c>
      <c r="AW2314">
        <v>39</v>
      </c>
      <c r="AX2314">
        <v>11</v>
      </c>
      <c r="AY2314">
        <v>33</v>
      </c>
      <c r="AZ2314">
        <v>7</v>
      </c>
      <c r="BA2314" t="s">
        <v>8336</v>
      </c>
      <c r="BB2314" t="s">
        <v>8337</v>
      </c>
      <c r="BC2314">
        <v>0.29899999999999999</v>
      </c>
      <c r="BD2314" t="s">
        <v>65</v>
      </c>
      <c r="BE2314">
        <v>72</v>
      </c>
      <c r="BF2314">
        <v>18</v>
      </c>
      <c r="BG2314" t="s">
        <v>8338</v>
      </c>
      <c r="BH2314" t="s">
        <v>8339</v>
      </c>
      <c r="BI2314" t="s">
        <v>8340</v>
      </c>
      <c r="BJ2314">
        <v>7.2209999999999996E-2</v>
      </c>
      <c r="BK2314">
        <v>1</v>
      </c>
      <c r="BL2314" t="s">
        <v>69</v>
      </c>
      <c r="BM2314">
        <v>-0.51600000000000001</v>
      </c>
      <c r="BN2314">
        <v>-0.71799999999999997</v>
      </c>
    </row>
    <row r="2315" spans="2:66">
      <c r="B2315">
        <v>4003</v>
      </c>
      <c r="C2315">
        <v>5</v>
      </c>
      <c r="D2315">
        <v>0</v>
      </c>
      <c r="E2315">
        <v>4</v>
      </c>
      <c r="F2315">
        <v>0</v>
      </c>
      <c r="J2315">
        <v>0</v>
      </c>
      <c r="K2315">
        <v>7</v>
      </c>
      <c r="L2315">
        <v>0</v>
      </c>
      <c r="M2315" t="s">
        <v>25022</v>
      </c>
      <c r="N2315">
        <v>1337</v>
      </c>
      <c r="O2315" t="s">
        <v>8365</v>
      </c>
      <c r="P2315" t="s">
        <v>57</v>
      </c>
      <c r="Q2315">
        <v>1353080</v>
      </c>
      <c r="R2315">
        <v>1354027</v>
      </c>
      <c r="S2315" t="s">
        <v>8366</v>
      </c>
      <c r="T2315">
        <v>316</v>
      </c>
      <c r="U2315" t="s">
        <v>1124</v>
      </c>
      <c r="V2315">
        <v>43</v>
      </c>
      <c r="W2315" t="str">
        <f>HYPERLINK("Gene1337-zp_tree_all.dnd", "Gene1337-tree")</f>
        <v>Gene1337-tree</v>
      </c>
      <c r="X2315">
        <v>3</v>
      </c>
      <c r="Y2315">
        <v>10</v>
      </c>
      <c r="Z2315">
        <v>3</v>
      </c>
      <c r="AA2315">
        <v>10</v>
      </c>
      <c r="AB2315">
        <v>0.76922999999999997</v>
      </c>
      <c r="AC2315" t="s">
        <v>324</v>
      </c>
      <c r="AD2315" t="s">
        <v>117</v>
      </c>
      <c r="AE2315" t="s">
        <v>62</v>
      </c>
      <c r="AF2315" t="s">
        <v>62</v>
      </c>
      <c r="AG2315">
        <v>2</v>
      </c>
      <c r="AH2315">
        <v>7</v>
      </c>
      <c r="AI2315">
        <v>5</v>
      </c>
      <c r="AJ2315">
        <v>0.58333000000000002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5</v>
      </c>
      <c r="AQ2315">
        <v>0</v>
      </c>
      <c r="AR2315">
        <v>5</v>
      </c>
      <c r="AS2315">
        <v>5</v>
      </c>
      <c r="AT2315">
        <v>0.5</v>
      </c>
      <c r="AU2315">
        <v>11</v>
      </c>
      <c r="AV2315">
        <v>9</v>
      </c>
      <c r="AW2315">
        <v>44</v>
      </c>
      <c r="AX2315">
        <v>10</v>
      </c>
      <c r="AY2315">
        <v>19</v>
      </c>
      <c r="AZ2315">
        <v>2</v>
      </c>
      <c r="BA2315" t="s">
        <v>8367</v>
      </c>
      <c r="BB2315" t="s">
        <v>8368</v>
      </c>
      <c r="BC2315">
        <v>0.85899999999999999</v>
      </c>
      <c r="BD2315" t="s">
        <v>65</v>
      </c>
      <c r="BE2315">
        <v>63</v>
      </c>
      <c r="BF2315">
        <v>12</v>
      </c>
      <c r="BG2315" t="s">
        <v>8369</v>
      </c>
      <c r="BH2315" t="s">
        <v>8370</v>
      </c>
      <c r="BI2315" t="s">
        <v>8371</v>
      </c>
      <c r="BJ2315">
        <v>4.4269999999999997E-2</v>
      </c>
      <c r="BK2315">
        <v>1</v>
      </c>
      <c r="BL2315" t="s">
        <v>69</v>
      </c>
      <c r="BM2315">
        <v>-8.4000000000000005E-2</v>
      </c>
      <c r="BN2315">
        <v>-1.008</v>
      </c>
    </row>
    <row r="2316" spans="2:66">
      <c r="B2316">
        <v>4004</v>
      </c>
      <c r="C2316">
        <v>259</v>
      </c>
      <c r="D2316">
        <v>0</v>
      </c>
      <c r="E2316">
        <v>13</v>
      </c>
      <c r="F2316">
        <v>2</v>
      </c>
      <c r="J2316">
        <v>0</v>
      </c>
      <c r="K2316">
        <v>0</v>
      </c>
      <c r="L2316">
        <v>0</v>
      </c>
      <c r="M2316" t="s">
        <v>25022</v>
      </c>
      <c r="N2316">
        <v>1338</v>
      </c>
      <c r="O2316" t="s">
        <v>8372</v>
      </c>
      <c r="P2316" t="s">
        <v>57</v>
      </c>
      <c r="Q2316">
        <v>1354131</v>
      </c>
      <c r="R2316">
        <v>1354274</v>
      </c>
      <c r="S2316" t="s">
        <v>8373</v>
      </c>
      <c r="T2316">
        <v>48</v>
      </c>
      <c r="U2316" t="s">
        <v>8374</v>
      </c>
      <c r="V2316">
        <v>24</v>
      </c>
      <c r="W2316" t="str">
        <f>HYPERLINK("Gene1338-zp_tree_all.dnd", "Gene1338-tree")</f>
        <v>Gene1338-tree</v>
      </c>
      <c r="X2316">
        <v>4</v>
      </c>
      <c r="Y2316">
        <v>1</v>
      </c>
      <c r="Z2316">
        <v>4</v>
      </c>
      <c r="AA2316">
        <v>1</v>
      </c>
      <c r="AB2316">
        <v>0.2</v>
      </c>
      <c r="AC2316" t="s">
        <v>61</v>
      </c>
      <c r="AD2316" t="s">
        <v>175</v>
      </c>
      <c r="AE2316" t="s">
        <v>62</v>
      </c>
      <c r="AF2316" t="s">
        <v>62</v>
      </c>
      <c r="AG2316">
        <v>0</v>
      </c>
      <c r="AH2316">
        <v>0</v>
      </c>
      <c r="AI2316">
        <v>5</v>
      </c>
      <c r="AJ2316">
        <v>0</v>
      </c>
      <c r="AK2316">
        <v>0</v>
      </c>
      <c r="AL2316">
        <v>0</v>
      </c>
      <c r="AM2316">
        <v>0</v>
      </c>
      <c r="AN2316">
        <v>4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3</v>
      </c>
      <c r="AV2316">
        <v>2</v>
      </c>
      <c r="AW2316">
        <v>2</v>
      </c>
      <c r="AX2316">
        <v>1</v>
      </c>
      <c r="AY2316">
        <v>2</v>
      </c>
      <c r="AZ2316">
        <v>4</v>
      </c>
      <c r="BA2316" t="s">
        <v>8375</v>
      </c>
      <c r="BB2316" t="s">
        <v>8376</v>
      </c>
      <c r="BC2316">
        <v>0.95399999999999996</v>
      </c>
      <c r="BD2316" t="s">
        <v>65</v>
      </c>
      <c r="BE2316">
        <v>4</v>
      </c>
      <c r="BF2316">
        <v>5</v>
      </c>
      <c r="BG2316" t="s">
        <v>8377</v>
      </c>
      <c r="BH2316" t="s">
        <v>8378</v>
      </c>
      <c r="BI2316" t="s">
        <v>8379</v>
      </c>
      <c r="BJ2316">
        <v>0.34644000000000003</v>
      </c>
      <c r="BK2316">
        <v>0.77700000000000002</v>
      </c>
      <c r="BL2316" t="s">
        <v>635</v>
      </c>
      <c r="BM2316">
        <v>-1.0649999999999999</v>
      </c>
      <c r="BN2316">
        <v>0.28100000000000003</v>
      </c>
    </row>
    <row r="2317" spans="2:66">
      <c r="B2317">
        <v>4007</v>
      </c>
      <c r="C2317">
        <v>66</v>
      </c>
      <c r="D2317">
        <v>0</v>
      </c>
      <c r="E2317">
        <v>2</v>
      </c>
      <c r="F2317">
        <v>2</v>
      </c>
      <c r="J2317">
        <v>0</v>
      </c>
      <c r="K2317">
        <v>2</v>
      </c>
      <c r="L2317">
        <v>2</v>
      </c>
      <c r="M2317" t="s">
        <v>25022</v>
      </c>
      <c r="N2317">
        <v>1339</v>
      </c>
      <c r="O2317" t="s">
        <v>8380</v>
      </c>
      <c r="P2317" t="s">
        <v>57</v>
      </c>
      <c r="Q2317">
        <v>1356447</v>
      </c>
      <c r="R2317">
        <v>1357415</v>
      </c>
      <c r="S2317" t="s">
        <v>3798</v>
      </c>
      <c r="T2317">
        <v>323</v>
      </c>
      <c r="U2317" t="s">
        <v>6329</v>
      </c>
      <c r="V2317">
        <v>47</v>
      </c>
      <c r="W2317" t="str">
        <f>HYPERLINK("Gene1339-zp_tree_all.dnd", "Gene1339-tree")</f>
        <v>Gene1339-tree</v>
      </c>
      <c r="X2317">
        <v>7</v>
      </c>
      <c r="Y2317">
        <v>9</v>
      </c>
      <c r="Z2317">
        <v>7</v>
      </c>
      <c r="AA2317">
        <v>9</v>
      </c>
      <c r="AB2317">
        <v>0.5625</v>
      </c>
      <c r="AC2317" t="s">
        <v>152</v>
      </c>
      <c r="AD2317" t="s">
        <v>135</v>
      </c>
      <c r="AE2317" t="s">
        <v>62</v>
      </c>
      <c r="AF2317" t="s">
        <v>62</v>
      </c>
      <c r="AG2317">
        <v>2</v>
      </c>
      <c r="AH2317">
        <v>4</v>
      </c>
      <c r="AI2317">
        <v>14</v>
      </c>
      <c r="AJ2317">
        <v>0.22222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2</v>
      </c>
      <c r="AQ2317">
        <v>0</v>
      </c>
      <c r="AR2317">
        <v>2</v>
      </c>
      <c r="AS2317">
        <v>11</v>
      </c>
      <c r="AT2317">
        <v>0.15384999999999999</v>
      </c>
      <c r="AU2317">
        <v>14</v>
      </c>
      <c r="AV2317">
        <v>10</v>
      </c>
      <c r="AW2317">
        <v>39</v>
      </c>
      <c r="AX2317">
        <v>13</v>
      </c>
      <c r="AY2317">
        <v>56</v>
      </c>
      <c r="AZ2317">
        <v>5</v>
      </c>
      <c r="BA2317" t="s">
        <v>8381</v>
      </c>
      <c r="BB2317" t="s">
        <v>8382</v>
      </c>
      <c r="BC2317">
        <v>1.1779999999999999</v>
      </c>
      <c r="BD2317" t="s">
        <v>65</v>
      </c>
      <c r="BE2317">
        <v>95</v>
      </c>
      <c r="BF2317">
        <v>18</v>
      </c>
      <c r="BG2317" t="s">
        <v>8383</v>
      </c>
      <c r="BH2317" t="s">
        <v>8384</v>
      </c>
      <c r="BI2317" t="s">
        <v>8385</v>
      </c>
      <c r="BJ2317">
        <v>4.0320000000000002E-2</v>
      </c>
      <c r="BK2317">
        <v>1</v>
      </c>
      <c r="BL2317" t="s">
        <v>69</v>
      </c>
      <c r="BM2317">
        <v>-1.038</v>
      </c>
      <c r="BN2317">
        <v>-0.46</v>
      </c>
    </row>
    <row r="2318" spans="2:66">
      <c r="B2318">
        <v>4009</v>
      </c>
      <c r="C2318">
        <v>438</v>
      </c>
      <c r="D2318">
        <v>0</v>
      </c>
      <c r="E2318">
        <v>4</v>
      </c>
      <c r="F2318">
        <v>0</v>
      </c>
      <c r="J2318">
        <v>0</v>
      </c>
      <c r="K2318">
        <v>6</v>
      </c>
      <c r="L2318">
        <v>5</v>
      </c>
      <c r="M2318" t="s">
        <v>25022</v>
      </c>
      <c r="N2318">
        <v>1341</v>
      </c>
      <c r="O2318" t="s">
        <v>8386</v>
      </c>
      <c r="P2318" t="s">
        <v>57</v>
      </c>
      <c r="Q2318">
        <v>1359454</v>
      </c>
      <c r="R2318">
        <v>1360269</v>
      </c>
      <c r="S2318" t="s">
        <v>8387</v>
      </c>
      <c r="T2318">
        <v>272</v>
      </c>
      <c r="U2318" t="s">
        <v>5228</v>
      </c>
      <c r="V2318">
        <v>43</v>
      </c>
      <c r="W2318" t="str">
        <f>HYPERLINK("Gene1341-zp_tree_all.dnd", "Gene1341-tree")</f>
        <v>Gene1341-tree</v>
      </c>
      <c r="X2318">
        <v>4</v>
      </c>
      <c r="Y2318">
        <v>9</v>
      </c>
      <c r="Z2318">
        <v>4</v>
      </c>
      <c r="AA2318">
        <v>9</v>
      </c>
      <c r="AB2318">
        <v>0.69230999999999998</v>
      </c>
      <c r="AC2318" t="s">
        <v>61</v>
      </c>
      <c r="AD2318" t="s">
        <v>135</v>
      </c>
      <c r="AE2318" t="s">
        <v>62</v>
      </c>
      <c r="AF2318" t="s">
        <v>62</v>
      </c>
      <c r="AG2318">
        <v>5</v>
      </c>
      <c r="AH2318">
        <v>11</v>
      </c>
      <c r="AI2318">
        <v>11</v>
      </c>
      <c r="AJ2318">
        <v>0.5</v>
      </c>
      <c r="AK2318">
        <v>0</v>
      </c>
      <c r="AL2318">
        <v>0</v>
      </c>
      <c r="AM2318">
        <v>0</v>
      </c>
      <c r="AN2318">
        <v>3</v>
      </c>
      <c r="AO2318">
        <v>0</v>
      </c>
      <c r="AP2318">
        <v>4</v>
      </c>
      <c r="AQ2318">
        <v>2</v>
      </c>
      <c r="AR2318">
        <v>6</v>
      </c>
      <c r="AS2318">
        <v>10</v>
      </c>
      <c r="AT2318">
        <v>0.375</v>
      </c>
      <c r="AU2318">
        <v>11</v>
      </c>
      <c r="AV2318">
        <v>7</v>
      </c>
      <c r="AW2318">
        <v>30</v>
      </c>
      <c r="AX2318">
        <v>17</v>
      </c>
      <c r="AY2318">
        <v>20</v>
      </c>
      <c r="AZ2318">
        <v>6</v>
      </c>
      <c r="BA2318" t="s">
        <v>8388</v>
      </c>
      <c r="BB2318" t="s">
        <v>8389</v>
      </c>
      <c r="BC2318">
        <v>1.079</v>
      </c>
      <c r="BD2318" t="s">
        <v>65</v>
      </c>
      <c r="BE2318">
        <v>50</v>
      </c>
      <c r="BF2318">
        <v>23</v>
      </c>
      <c r="BG2318" t="s">
        <v>8390</v>
      </c>
      <c r="BH2318" t="s">
        <v>8391</v>
      </c>
      <c r="BI2318" t="s">
        <v>8392</v>
      </c>
      <c r="BJ2318">
        <v>0.13988999999999999</v>
      </c>
      <c r="BK2318">
        <v>1</v>
      </c>
      <c r="BL2318" t="s">
        <v>69</v>
      </c>
      <c r="BM2318">
        <v>0.316</v>
      </c>
      <c r="BN2318">
        <v>-0.79200000000000004</v>
      </c>
    </row>
    <row r="2319" spans="2:66">
      <c r="B2319">
        <v>4010</v>
      </c>
      <c r="C2319">
        <v>218</v>
      </c>
      <c r="D2319">
        <v>0</v>
      </c>
      <c r="E2319">
        <v>4</v>
      </c>
      <c r="F2319">
        <v>0</v>
      </c>
      <c r="J2319">
        <v>0</v>
      </c>
      <c r="K2319">
        <v>0</v>
      </c>
      <c r="L2319">
        <v>0</v>
      </c>
      <c r="M2319" t="s">
        <v>25022</v>
      </c>
      <c r="N2319">
        <v>1342</v>
      </c>
      <c r="O2319" t="s">
        <v>8393</v>
      </c>
      <c r="P2319" t="s">
        <v>57</v>
      </c>
      <c r="Q2319">
        <v>1360401</v>
      </c>
      <c r="R2319">
        <v>1361222</v>
      </c>
      <c r="S2319" t="s">
        <v>8394</v>
      </c>
      <c r="T2319">
        <v>274</v>
      </c>
      <c r="U2319" t="s">
        <v>108</v>
      </c>
      <c r="V2319">
        <v>44</v>
      </c>
      <c r="W2319" t="str">
        <f>HYPERLINK("Gene1342-zp_tree_all.dnd", "Gene1342-tree")</f>
        <v>Gene1342-tree</v>
      </c>
      <c r="X2319">
        <v>8</v>
      </c>
      <c r="Y2319">
        <v>2</v>
      </c>
      <c r="Z2319">
        <v>8</v>
      </c>
      <c r="AA2319">
        <v>2</v>
      </c>
      <c r="AB2319">
        <v>0.2</v>
      </c>
      <c r="AC2319" t="s">
        <v>136</v>
      </c>
      <c r="AD2319" t="s">
        <v>81</v>
      </c>
      <c r="AE2319" t="s">
        <v>62</v>
      </c>
      <c r="AF2319" t="s">
        <v>62</v>
      </c>
      <c r="AG2319">
        <v>0</v>
      </c>
      <c r="AH2319">
        <v>0</v>
      </c>
      <c r="AI2319">
        <v>3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2</v>
      </c>
      <c r="AT2319">
        <v>0</v>
      </c>
      <c r="AU2319">
        <v>5</v>
      </c>
      <c r="AV2319">
        <v>6</v>
      </c>
      <c r="AW2319">
        <v>9</v>
      </c>
      <c r="AX2319">
        <v>2</v>
      </c>
      <c r="AY2319">
        <v>8</v>
      </c>
      <c r="AZ2319">
        <v>1</v>
      </c>
      <c r="BA2319" t="s">
        <v>8395</v>
      </c>
      <c r="BB2319" t="s">
        <v>8396</v>
      </c>
      <c r="BC2319">
        <v>0.28499999999999998</v>
      </c>
      <c r="BD2319" t="s">
        <v>65</v>
      </c>
      <c r="BE2319">
        <v>17</v>
      </c>
      <c r="BF2319">
        <v>3</v>
      </c>
      <c r="BG2319" t="s">
        <v>8397</v>
      </c>
      <c r="BH2319" t="s">
        <v>8398</v>
      </c>
      <c r="BI2319" t="s">
        <v>8399</v>
      </c>
      <c r="BJ2319">
        <v>5.0999999999999997E-2</v>
      </c>
      <c r="BK2319">
        <v>1</v>
      </c>
      <c r="BL2319" t="s">
        <v>69</v>
      </c>
      <c r="BM2319">
        <v>0.51600000000000001</v>
      </c>
      <c r="BN2319">
        <v>-0.40400000000000003</v>
      </c>
    </row>
    <row r="2320" spans="2:66">
      <c r="B2320">
        <v>4011</v>
      </c>
      <c r="C2320">
        <v>312</v>
      </c>
      <c r="D2320">
        <v>0</v>
      </c>
      <c r="E2320">
        <v>12</v>
      </c>
      <c r="F2320">
        <v>2</v>
      </c>
      <c r="J2320">
        <v>0</v>
      </c>
      <c r="K2320">
        <v>4</v>
      </c>
      <c r="L2320">
        <v>0</v>
      </c>
      <c r="M2320" t="s">
        <v>25022</v>
      </c>
      <c r="N2320">
        <v>1343</v>
      </c>
      <c r="O2320" t="s">
        <v>8400</v>
      </c>
      <c r="P2320" t="s">
        <v>57</v>
      </c>
      <c r="Q2320">
        <v>1361242</v>
      </c>
      <c r="R2320">
        <v>1362165</v>
      </c>
      <c r="S2320" t="s">
        <v>8401</v>
      </c>
      <c r="T2320">
        <v>308</v>
      </c>
      <c r="U2320" t="s">
        <v>59</v>
      </c>
      <c r="V2320">
        <v>49</v>
      </c>
      <c r="W2320" t="str">
        <f>HYPERLINK("Gene1343-zp_tree_all.dnd", "Gene1343-tree")</f>
        <v>Gene1343-tree</v>
      </c>
      <c r="X2320">
        <v>33</v>
      </c>
      <c r="Y2320">
        <v>4</v>
      </c>
      <c r="Z2320">
        <v>14</v>
      </c>
      <c r="AA2320">
        <v>4</v>
      </c>
      <c r="AB2320">
        <v>0.22222</v>
      </c>
      <c r="AC2320" t="s">
        <v>126</v>
      </c>
      <c r="AD2320" t="s">
        <v>61</v>
      </c>
      <c r="AE2320" t="s">
        <v>62</v>
      </c>
      <c r="AF2320" t="s">
        <v>62</v>
      </c>
      <c r="AG2320">
        <v>2</v>
      </c>
      <c r="AH2320">
        <v>4</v>
      </c>
      <c r="AI2320">
        <v>5</v>
      </c>
      <c r="AJ2320">
        <v>0.44444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6</v>
      </c>
      <c r="AT2320">
        <v>0</v>
      </c>
      <c r="AU2320">
        <v>15</v>
      </c>
      <c r="AV2320">
        <v>12</v>
      </c>
      <c r="AW2320">
        <v>45</v>
      </c>
      <c r="AX2320">
        <v>6</v>
      </c>
      <c r="AY2320">
        <v>53</v>
      </c>
      <c r="AZ2320">
        <v>4</v>
      </c>
      <c r="BA2320" t="s">
        <v>8402</v>
      </c>
      <c r="BB2320" t="s">
        <v>8403</v>
      </c>
      <c r="BC2320">
        <v>0.28299999999999997</v>
      </c>
      <c r="BD2320" t="s">
        <v>65</v>
      </c>
      <c r="BE2320">
        <v>98</v>
      </c>
      <c r="BF2320">
        <v>10</v>
      </c>
      <c r="BG2320" t="s">
        <v>8404</v>
      </c>
      <c r="BH2320" t="s">
        <v>8405</v>
      </c>
      <c r="BI2320" t="s">
        <v>8406</v>
      </c>
      <c r="BJ2320">
        <v>2.605E-2</v>
      </c>
      <c r="BK2320">
        <v>1</v>
      </c>
      <c r="BL2320" t="s">
        <v>69</v>
      </c>
      <c r="BM2320">
        <v>-1.827</v>
      </c>
      <c r="BN2320">
        <v>-1.6830000000000001</v>
      </c>
    </row>
    <row r="2321" spans="2:66">
      <c r="B2321">
        <v>4012</v>
      </c>
      <c r="C2321">
        <v>48</v>
      </c>
      <c r="D2321">
        <v>0</v>
      </c>
      <c r="E2321">
        <v>23</v>
      </c>
      <c r="F2321">
        <v>4</v>
      </c>
      <c r="J2321">
        <v>0</v>
      </c>
      <c r="K2321">
        <v>4</v>
      </c>
      <c r="L2321">
        <v>0</v>
      </c>
      <c r="M2321" t="s">
        <v>25022</v>
      </c>
      <c r="N2321">
        <v>1344</v>
      </c>
      <c r="O2321" t="s">
        <v>8407</v>
      </c>
      <c r="P2321" t="s">
        <v>57</v>
      </c>
      <c r="Q2321">
        <v>1362174</v>
      </c>
      <c r="R2321">
        <v>1363133</v>
      </c>
      <c r="S2321" t="s">
        <v>8401</v>
      </c>
      <c r="T2321">
        <v>320</v>
      </c>
      <c r="U2321" t="s">
        <v>108</v>
      </c>
      <c r="V2321">
        <v>44</v>
      </c>
      <c r="W2321" t="str">
        <f>HYPERLINK("Gene1344-zp_tree_all.dnd", "Gene1344-tree")</f>
        <v>Gene1344-tree</v>
      </c>
      <c r="X2321">
        <v>10</v>
      </c>
      <c r="Y2321">
        <v>5</v>
      </c>
      <c r="Z2321">
        <v>10</v>
      </c>
      <c r="AA2321">
        <v>5</v>
      </c>
      <c r="AB2321">
        <v>0.33333000000000002</v>
      </c>
      <c r="AC2321" t="s">
        <v>117</v>
      </c>
      <c r="AD2321" t="s">
        <v>199</v>
      </c>
      <c r="AE2321" t="s">
        <v>62</v>
      </c>
      <c r="AF2321" t="s">
        <v>62</v>
      </c>
      <c r="AG2321">
        <v>2</v>
      </c>
      <c r="AH2321">
        <v>4</v>
      </c>
      <c r="AI2321">
        <v>3</v>
      </c>
      <c r="AJ2321">
        <v>0.57142999999999999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2</v>
      </c>
      <c r="AQ2321">
        <v>0</v>
      </c>
      <c r="AR2321">
        <v>2</v>
      </c>
      <c r="AS2321">
        <v>4</v>
      </c>
      <c r="AT2321">
        <v>0.33333000000000002</v>
      </c>
      <c r="AU2321">
        <v>12</v>
      </c>
      <c r="AV2321">
        <v>9</v>
      </c>
      <c r="AW2321">
        <v>27</v>
      </c>
      <c r="AX2321">
        <v>4</v>
      </c>
      <c r="AY2321">
        <v>14</v>
      </c>
      <c r="AZ2321">
        <v>3</v>
      </c>
      <c r="BA2321" t="s">
        <v>8408</v>
      </c>
      <c r="BB2321" t="s">
        <v>8409</v>
      </c>
      <c r="BC2321">
        <v>0.252</v>
      </c>
      <c r="BD2321" t="s">
        <v>65</v>
      </c>
      <c r="BE2321">
        <v>41</v>
      </c>
      <c r="BF2321">
        <v>7</v>
      </c>
      <c r="BG2321" t="s">
        <v>8410</v>
      </c>
      <c r="BH2321" t="s">
        <v>8411</v>
      </c>
      <c r="BI2321" t="s">
        <v>8412</v>
      </c>
      <c r="BJ2321">
        <v>5.3699999999999998E-2</v>
      </c>
      <c r="BK2321">
        <v>1</v>
      </c>
      <c r="BL2321" t="s">
        <v>69</v>
      </c>
      <c r="BM2321">
        <v>-0.504</v>
      </c>
      <c r="BN2321">
        <v>-0.92100000000000004</v>
      </c>
    </row>
    <row r="2322" spans="2:66">
      <c r="B2322">
        <v>4013</v>
      </c>
      <c r="C2322">
        <v>283</v>
      </c>
      <c r="D2322">
        <v>0</v>
      </c>
      <c r="E2322">
        <v>8</v>
      </c>
      <c r="F2322">
        <v>3</v>
      </c>
      <c r="J2322">
        <v>0</v>
      </c>
      <c r="K2322">
        <v>8</v>
      </c>
      <c r="L2322">
        <v>2</v>
      </c>
      <c r="M2322" t="s">
        <v>25022</v>
      </c>
      <c r="N2322">
        <v>1345</v>
      </c>
      <c r="O2322" t="s">
        <v>8413</v>
      </c>
      <c r="P2322" t="s">
        <v>57</v>
      </c>
      <c r="Q2322">
        <v>1363141</v>
      </c>
      <c r="R2322">
        <v>1364145</v>
      </c>
      <c r="S2322" t="s">
        <v>8414</v>
      </c>
      <c r="T2322">
        <v>335</v>
      </c>
      <c r="U2322" t="s">
        <v>108</v>
      </c>
      <c r="V2322">
        <v>44</v>
      </c>
      <c r="W2322" t="str">
        <f>HYPERLINK("Gene1345-zp_tree_all.dnd", "Gene1345-tree")</f>
        <v>Gene1345-tree</v>
      </c>
      <c r="X2322">
        <v>4</v>
      </c>
      <c r="Y2322">
        <v>8</v>
      </c>
      <c r="Z2322">
        <v>4</v>
      </c>
      <c r="AA2322">
        <v>8</v>
      </c>
      <c r="AB2322">
        <v>0.66666999999999998</v>
      </c>
      <c r="AC2322" t="s">
        <v>61</v>
      </c>
      <c r="AD2322" t="s">
        <v>136</v>
      </c>
      <c r="AE2322" t="s">
        <v>62</v>
      </c>
      <c r="AF2322" t="s">
        <v>62</v>
      </c>
      <c r="AG2322">
        <v>5</v>
      </c>
      <c r="AH2322">
        <v>10</v>
      </c>
      <c r="AI2322">
        <v>15</v>
      </c>
      <c r="AJ2322">
        <v>0.4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2</v>
      </c>
      <c r="AQ2322">
        <v>2</v>
      </c>
      <c r="AR2322">
        <v>4</v>
      </c>
      <c r="AS2322">
        <v>13</v>
      </c>
      <c r="AT2322">
        <v>0.23529</v>
      </c>
      <c r="AU2322">
        <v>11</v>
      </c>
      <c r="AV2322">
        <v>8</v>
      </c>
      <c r="AW2322">
        <v>23</v>
      </c>
      <c r="AX2322">
        <v>17</v>
      </c>
      <c r="AY2322">
        <v>17</v>
      </c>
      <c r="AZ2322">
        <v>8</v>
      </c>
      <c r="BA2322" t="s">
        <v>8415</v>
      </c>
      <c r="BB2322" t="s">
        <v>8416</v>
      </c>
      <c r="BC2322">
        <v>0.45800000000000002</v>
      </c>
      <c r="BD2322" t="s">
        <v>65</v>
      </c>
      <c r="BE2322">
        <v>40</v>
      </c>
      <c r="BF2322">
        <v>25</v>
      </c>
      <c r="BG2322" t="s">
        <v>8417</v>
      </c>
      <c r="BH2322" t="s">
        <v>8418</v>
      </c>
      <c r="BI2322" t="s">
        <v>8419</v>
      </c>
      <c r="BJ2322">
        <v>0.15792999999999999</v>
      </c>
      <c r="BK2322">
        <v>1</v>
      </c>
      <c r="BL2322" t="s">
        <v>69</v>
      </c>
      <c r="BM2322">
        <v>-9.9000000000000005E-2</v>
      </c>
      <c r="BN2322">
        <v>-1.07</v>
      </c>
    </row>
    <row r="2323" spans="2:66">
      <c r="B2323">
        <v>4015</v>
      </c>
      <c r="C2323">
        <v>7</v>
      </c>
      <c r="D2323">
        <v>0</v>
      </c>
      <c r="E2323">
        <v>3</v>
      </c>
      <c r="F2323">
        <v>0</v>
      </c>
      <c r="J2323">
        <v>0</v>
      </c>
      <c r="K2323">
        <v>5</v>
      </c>
      <c r="L2323">
        <v>0</v>
      </c>
      <c r="M2323" t="s">
        <v>25022</v>
      </c>
      <c r="N2323">
        <v>1346</v>
      </c>
      <c r="O2323" t="s">
        <v>8420</v>
      </c>
      <c r="P2323" t="s">
        <v>57</v>
      </c>
      <c r="Q2323">
        <v>1364151</v>
      </c>
      <c r="R2323">
        <v>1365797</v>
      </c>
      <c r="S2323" t="s">
        <v>8421</v>
      </c>
      <c r="T2323">
        <v>549</v>
      </c>
      <c r="U2323" t="s">
        <v>108</v>
      </c>
      <c r="V2323">
        <v>44</v>
      </c>
      <c r="W2323" t="str">
        <f>HYPERLINK("Gene1346-zp_tree_all.dnd", "Gene1346-tree")</f>
        <v>Gene1346-tree</v>
      </c>
      <c r="X2323">
        <v>2</v>
      </c>
      <c r="Y2323">
        <v>11</v>
      </c>
      <c r="Z2323">
        <v>2</v>
      </c>
      <c r="AA2323">
        <v>11</v>
      </c>
      <c r="AB2323">
        <v>0.84614999999999996</v>
      </c>
      <c r="AC2323" t="s">
        <v>81</v>
      </c>
      <c r="AD2323" t="s">
        <v>73</v>
      </c>
      <c r="AE2323">
        <v>515075683.63</v>
      </c>
      <c r="AF2323" t="s">
        <v>267</v>
      </c>
      <c r="AG2323">
        <v>2</v>
      </c>
      <c r="AH2323">
        <v>5</v>
      </c>
      <c r="AI2323">
        <v>25</v>
      </c>
      <c r="AJ2323">
        <v>0.16667000000000001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4</v>
      </c>
      <c r="AQ2323">
        <v>0</v>
      </c>
      <c r="AR2323">
        <v>4</v>
      </c>
      <c r="AS2323">
        <v>24</v>
      </c>
      <c r="AT2323">
        <v>0.14285999999999999</v>
      </c>
      <c r="AU2323">
        <v>13</v>
      </c>
      <c r="AV2323">
        <v>10</v>
      </c>
      <c r="AW2323">
        <v>71</v>
      </c>
      <c r="AX2323">
        <v>29</v>
      </c>
      <c r="AY2323">
        <v>36</v>
      </c>
      <c r="AZ2323">
        <v>2</v>
      </c>
      <c r="BA2323" t="s">
        <v>8422</v>
      </c>
      <c r="BB2323" t="s">
        <v>8423</v>
      </c>
      <c r="BC2323">
        <v>2.4620000000000002</v>
      </c>
      <c r="BD2323" t="s">
        <v>267</v>
      </c>
      <c r="BE2323">
        <v>107</v>
      </c>
      <c r="BF2323">
        <v>31</v>
      </c>
      <c r="BG2323" t="s">
        <v>8424</v>
      </c>
      <c r="BH2323" t="s">
        <v>8425</v>
      </c>
      <c r="BI2323" t="s">
        <v>8426</v>
      </c>
      <c r="BJ2323">
        <v>6.3700000000000007E-2</v>
      </c>
      <c r="BK2323">
        <v>1</v>
      </c>
      <c r="BL2323" t="s">
        <v>69</v>
      </c>
      <c r="BM2323">
        <v>-0.91800000000000004</v>
      </c>
      <c r="BN2323">
        <v>-1.4239999999999999</v>
      </c>
    </row>
    <row r="2324" spans="2:66">
      <c r="B2324">
        <v>4016</v>
      </c>
      <c r="C2324">
        <v>93</v>
      </c>
      <c r="D2324">
        <v>0</v>
      </c>
      <c r="E2324">
        <v>36</v>
      </c>
      <c r="F2324">
        <v>6</v>
      </c>
      <c r="J2324">
        <v>0</v>
      </c>
      <c r="K2324">
        <v>5</v>
      </c>
      <c r="L2324">
        <v>2</v>
      </c>
      <c r="M2324" t="s">
        <v>25022</v>
      </c>
      <c r="N2324">
        <v>1347</v>
      </c>
      <c r="O2324" t="s">
        <v>8427</v>
      </c>
      <c r="P2324" t="s">
        <v>57</v>
      </c>
      <c r="Q2324">
        <v>1365888</v>
      </c>
      <c r="R2324">
        <v>1366844</v>
      </c>
      <c r="S2324" t="s">
        <v>8428</v>
      </c>
      <c r="T2324">
        <v>319</v>
      </c>
      <c r="U2324" t="s">
        <v>108</v>
      </c>
      <c r="V2324">
        <v>44</v>
      </c>
      <c r="W2324" t="str">
        <f>HYPERLINK("Gene1347-zp_tree_all.dnd", "Gene1347-tree")</f>
        <v>Gene1347-tree</v>
      </c>
      <c r="X2324">
        <v>7</v>
      </c>
      <c r="Y2324">
        <v>27</v>
      </c>
      <c r="Z2324">
        <v>7</v>
      </c>
      <c r="AA2324">
        <v>7</v>
      </c>
      <c r="AB2324">
        <v>0.5</v>
      </c>
      <c r="AC2324" t="s">
        <v>152</v>
      </c>
      <c r="AD2324" t="s">
        <v>8429</v>
      </c>
      <c r="AE2324">
        <v>3.968</v>
      </c>
      <c r="AF2324" t="s">
        <v>65</v>
      </c>
      <c r="AG2324">
        <v>2</v>
      </c>
      <c r="AH2324">
        <v>7</v>
      </c>
      <c r="AI2324">
        <v>13</v>
      </c>
      <c r="AJ2324">
        <v>0.35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</v>
      </c>
      <c r="AQ2324">
        <v>1</v>
      </c>
      <c r="AR2324">
        <v>3</v>
      </c>
      <c r="AS2324">
        <v>11</v>
      </c>
      <c r="AT2324">
        <v>0.21429000000000001</v>
      </c>
      <c r="AU2324">
        <v>11</v>
      </c>
      <c r="AV2324">
        <v>10</v>
      </c>
      <c r="AW2324">
        <v>37</v>
      </c>
      <c r="AX2324">
        <v>14</v>
      </c>
      <c r="AY2324">
        <v>29</v>
      </c>
      <c r="AZ2324">
        <v>6</v>
      </c>
      <c r="BA2324" t="s">
        <v>8430</v>
      </c>
      <c r="BB2324" t="s">
        <v>8431</v>
      </c>
      <c r="BC2324">
        <v>0.45800000000000002</v>
      </c>
      <c r="BD2324" t="s">
        <v>65</v>
      </c>
      <c r="BE2324">
        <v>66</v>
      </c>
      <c r="BF2324">
        <v>20</v>
      </c>
      <c r="BG2324" t="s">
        <v>8432</v>
      </c>
      <c r="BH2324" t="s">
        <v>8433</v>
      </c>
      <c r="BI2324" t="s">
        <v>8434</v>
      </c>
      <c r="BJ2324">
        <v>9.1619999999999993E-2</v>
      </c>
      <c r="BK2324">
        <v>1</v>
      </c>
      <c r="BL2324" t="s">
        <v>69</v>
      </c>
      <c r="BM2324">
        <v>-0.81299999999999994</v>
      </c>
      <c r="BN2324">
        <v>-2.0470000000000002</v>
      </c>
    </row>
    <row r="2325" spans="2:66">
      <c r="B2325">
        <v>4018</v>
      </c>
      <c r="C2325">
        <v>207</v>
      </c>
      <c r="D2325">
        <v>0</v>
      </c>
      <c r="E2325">
        <v>4</v>
      </c>
      <c r="F2325">
        <v>0</v>
      </c>
      <c r="J2325">
        <v>0</v>
      </c>
      <c r="K2325">
        <v>21</v>
      </c>
      <c r="L2325">
        <v>0</v>
      </c>
      <c r="M2325" t="s">
        <v>25022</v>
      </c>
      <c r="N2325">
        <v>1348</v>
      </c>
      <c r="O2325" t="s">
        <v>8435</v>
      </c>
      <c r="P2325" t="s">
        <v>57</v>
      </c>
      <c r="Q2325">
        <v>1366844</v>
      </c>
      <c r="R2325">
        <v>1367941</v>
      </c>
      <c r="S2325" t="s">
        <v>8436</v>
      </c>
      <c r="T2325">
        <v>366</v>
      </c>
      <c r="U2325" t="s">
        <v>108</v>
      </c>
      <c r="V2325">
        <v>44</v>
      </c>
      <c r="W2325" t="str">
        <f>HYPERLINK("Gene1348-zp_tree_all.dnd", "Gene1348-tree")</f>
        <v>Gene1348-tree</v>
      </c>
      <c r="X2325">
        <v>2</v>
      </c>
      <c r="Y2325">
        <v>11</v>
      </c>
      <c r="Z2325">
        <v>2</v>
      </c>
      <c r="AA2325">
        <v>11</v>
      </c>
      <c r="AB2325">
        <v>0.84614999999999996</v>
      </c>
      <c r="AC2325" t="s">
        <v>81</v>
      </c>
      <c r="AD2325" t="s">
        <v>73</v>
      </c>
      <c r="AE2325">
        <v>515075683.63</v>
      </c>
      <c r="AF2325" t="s">
        <v>267</v>
      </c>
      <c r="AG2325">
        <v>9</v>
      </c>
      <c r="AH2325">
        <v>21</v>
      </c>
      <c r="AI2325">
        <v>13</v>
      </c>
      <c r="AJ2325">
        <v>0.61765000000000003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10</v>
      </c>
      <c r="AQ2325">
        <v>0</v>
      </c>
      <c r="AR2325">
        <v>10</v>
      </c>
      <c r="AS2325">
        <v>13</v>
      </c>
      <c r="AT2325">
        <v>0.43478</v>
      </c>
      <c r="AU2325">
        <v>12</v>
      </c>
      <c r="AV2325">
        <v>9</v>
      </c>
      <c r="AW2325">
        <v>48</v>
      </c>
      <c r="AX2325">
        <v>23</v>
      </c>
      <c r="AY2325">
        <v>23</v>
      </c>
      <c r="AZ2325">
        <v>11</v>
      </c>
      <c r="BA2325" t="s">
        <v>8437</v>
      </c>
      <c r="BB2325" t="s">
        <v>8438</v>
      </c>
      <c r="BC2325">
        <v>1.6E-2</v>
      </c>
      <c r="BD2325" t="s">
        <v>65</v>
      </c>
      <c r="BE2325">
        <v>71</v>
      </c>
      <c r="BF2325">
        <v>34</v>
      </c>
      <c r="BG2325" t="s">
        <v>8439</v>
      </c>
      <c r="BH2325" t="s">
        <v>8440</v>
      </c>
      <c r="BI2325" t="s">
        <v>8441</v>
      </c>
      <c r="BJ2325">
        <v>0.13086999999999999</v>
      </c>
      <c r="BK2325">
        <v>1</v>
      </c>
      <c r="BL2325" t="s">
        <v>69</v>
      </c>
      <c r="BM2325">
        <v>-0.41299999999999998</v>
      </c>
      <c r="BN2325">
        <v>-1.1180000000000001</v>
      </c>
    </row>
    <row r="2326" spans="2:66">
      <c r="B2326">
        <v>4020</v>
      </c>
      <c r="C2326">
        <v>143</v>
      </c>
      <c r="D2326">
        <v>0</v>
      </c>
      <c r="E2326">
        <v>7</v>
      </c>
      <c r="F2326">
        <v>0</v>
      </c>
      <c r="J2326">
        <v>0</v>
      </c>
      <c r="K2326">
        <v>28</v>
      </c>
      <c r="L2326">
        <v>5</v>
      </c>
      <c r="M2326" t="s">
        <v>25022</v>
      </c>
      <c r="N2326">
        <v>1349</v>
      </c>
      <c r="O2326" t="s">
        <v>8442</v>
      </c>
      <c r="P2326" t="s">
        <v>57</v>
      </c>
      <c r="Q2326">
        <v>1367941</v>
      </c>
      <c r="R2326">
        <v>1368828</v>
      </c>
      <c r="S2326" t="s">
        <v>8443</v>
      </c>
      <c r="T2326">
        <v>296</v>
      </c>
      <c r="U2326" t="s">
        <v>108</v>
      </c>
      <c r="V2326">
        <v>44</v>
      </c>
      <c r="W2326" t="str">
        <f>HYPERLINK("Gene1349-zp_tree_all.dnd", "Gene1349-tree")</f>
        <v>Gene1349-tree</v>
      </c>
      <c r="X2326">
        <v>1</v>
      </c>
      <c r="Y2326">
        <v>12</v>
      </c>
      <c r="Z2326">
        <v>1</v>
      </c>
      <c r="AA2326">
        <v>12</v>
      </c>
      <c r="AB2326">
        <v>0.92308000000000001</v>
      </c>
      <c r="AC2326" t="s">
        <v>175</v>
      </c>
      <c r="AD2326" t="s">
        <v>109</v>
      </c>
      <c r="AE2326" t="s">
        <v>62</v>
      </c>
      <c r="AF2326" t="s">
        <v>62</v>
      </c>
      <c r="AG2326">
        <v>12</v>
      </c>
      <c r="AH2326">
        <v>33</v>
      </c>
      <c r="AI2326">
        <v>18</v>
      </c>
      <c r="AJ2326">
        <v>0.64705999999999997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8</v>
      </c>
      <c r="AQ2326">
        <v>5</v>
      </c>
      <c r="AR2326">
        <v>13</v>
      </c>
      <c r="AS2326">
        <v>19</v>
      </c>
      <c r="AT2326">
        <v>0.40625</v>
      </c>
      <c r="AU2326">
        <v>10</v>
      </c>
      <c r="AV2326">
        <v>10</v>
      </c>
      <c r="AW2326">
        <v>42</v>
      </c>
      <c r="AX2326">
        <v>28</v>
      </c>
      <c r="AY2326">
        <v>42</v>
      </c>
      <c r="AZ2326">
        <v>26</v>
      </c>
      <c r="BA2326" t="s">
        <v>8444</v>
      </c>
      <c r="BB2326" t="s">
        <v>8445</v>
      </c>
      <c r="BC2326">
        <v>9.8000000000000004E-2</v>
      </c>
      <c r="BD2326" t="s">
        <v>65</v>
      </c>
      <c r="BE2326">
        <v>84</v>
      </c>
      <c r="BF2326">
        <v>54</v>
      </c>
      <c r="BG2326" t="s">
        <v>8446</v>
      </c>
      <c r="BH2326" t="s">
        <v>8447</v>
      </c>
      <c r="BI2326" t="s">
        <v>8448</v>
      </c>
      <c r="BJ2326">
        <v>0.17183000000000001</v>
      </c>
      <c r="BK2326">
        <v>1</v>
      </c>
      <c r="BL2326" t="s">
        <v>69</v>
      </c>
      <c r="BM2326">
        <v>1.107</v>
      </c>
      <c r="BN2326">
        <v>0.432</v>
      </c>
    </row>
    <row r="2327" spans="2:66">
      <c r="B2327">
        <v>4021</v>
      </c>
      <c r="C2327">
        <v>212</v>
      </c>
      <c r="D2327">
        <v>0</v>
      </c>
      <c r="E2327">
        <v>21</v>
      </c>
      <c r="F2327">
        <v>4</v>
      </c>
      <c r="J2327">
        <v>0</v>
      </c>
      <c r="K2327">
        <v>0</v>
      </c>
      <c r="L2327">
        <v>0</v>
      </c>
      <c r="M2327" t="s">
        <v>25022</v>
      </c>
      <c r="N2327">
        <v>1350</v>
      </c>
      <c r="O2327" t="s">
        <v>8449</v>
      </c>
      <c r="P2327" t="s">
        <v>57</v>
      </c>
      <c r="Q2327">
        <v>1368844</v>
      </c>
      <c r="R2327">
        <v>1369830</v>
      </c>
      <c r="S2327" t="s">
        <v>8450</v>
      </c>
      <c r="T2327">
        <v>329</v>
      </c>
      <c r="U2327" t="s">
        <v>108</v>
      </c>
      <c r="V2327">
        <v>44</v>
      </c>
      <c r="W2327" t="str">
        <f>HYPERLINK("Gene1350-zp_tree_all.dnd", "Gene1350-tree")</f>
        <v>Gene1350-tree</v>
      </c>
      <c r="X2327">
        <v>7</v>
      </c>
      <c r="Y2327">
        <v>6</v>
      </c>
      <c r="Z2327">
        <v>7</v>
      </c>
      <c r="AA2327">
        <v>6</v>
      </c>
      <c r="AB2327">
        <v>0.46154000000000001</v>
      </c>
      <c r="AC2327" t="s">
        <v>152</v>
      </c>
      <c r="AD2327" t="s">
        <v>90</v>
      </c>
      <c r="AE2327" t="s">
        <v>62</v>
      </c>
      <c r="AF2327" t="s">
        <v>62</v>
      </c>
      <c r="AG2327">
        <v>0</v>
      </c>
      <c r="AH2327">
        <v>0</v>
      </c>
      <c r="AI2327">
        <v>14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11</v>
      </c>
      <c r="AT2327">
        <v>0</v>
      </c>
      <c r="AU2327">
        <v>13</v>
      </c>
      <c r="AV2327">
        <v>10</v>
      </c>
      <c r="AW2327">
        <v>75</v>
      </c>
      <c r="AX2327">
        <v>13</v>
      </c>
      <c r="AY2327">
        <v>42</v>
      </c>
      <c r="AZ2327">
        <v>4</v>
      </c>
      <c r="BA2327" t="s">
        <v>8451</v>
      </c>
      <c r="BB2327" t="s">
        <v>8452</v>
      </c>
      <c r="BC2327">
        <v>0.32800000000000001</v>
      </c>
      <c r="BD2327" t="s">
        <v>65</v>
      </c>
      <c r="BE2327">
        <v>117</v>
      </c>
      <c r="BF2327">
        <v>17</v>
      </c>
      <c r="BG2327" t="s">
        <v>8453</v>
      </c>
      <c r="BH2327" t="s">
        <v>8454</v>
      </c>
      <c r="BI2327" t="s">
        <v>8455</v>
      </c>
      <c r="BJ2327">
        <v>5.2819999999999999E-2</v>
      </c>
      <c r="BK2327">
        <v>1</v>
      </c>
      <c r="BL2327" t="s">
        <v>69</v>
      </c>
      <c r="BM2327">
        <v>-0.69099999999999995</v>
      </c>
      <c r="BN2327">
        <v>-2.0859999999999999</v>
      </c>
    </row>
    <row r="2328" spans="2:66">
      <c r="B2328">
        <v>4023</v>
      </c>
      <c r="C2328">
        <v>78</v>
      </c>
      <c r="D2328">
        <v>0</v>
      </c>
      <c r="E2328">
        <v>2</v>
      </c>
      <c r="F2328">
        <v>0</v>
      </c>
      <c r="J2328">
        <v>0</v>
      </c>
      <c r="K2328">
        <v>0</v>
      </c>
      <c r="L2328">
        <v>0</v>
      </c>
      <c r="M2328" t="s">
        <v>25022</v>
      </c>
      <c r="N2328">
        <v>1353</v>
      </c>
      <c r="O2328" t="s">
        <v>8470</v>
      </c>
      <c r="P2328" t="s">
        <v>57</v>
      </c>
      <c r="Q2328">
        <v>1372035</v>
      </c>
      <c r="R2328">
        <v>1372550</v>
      </c>
      <c r="S2328" t="s">
        <v>8471</v>
      </c>
      <c r="T2328">
        <v>172</v>
      </c>
      <c r="U2328" t="s">
        <v>409</v>
      </c>
      <c r="V2328">
        <v>45</v>
      </c>
      <c r="W2328" t="str">
        <f>HYPERLINK("Gene1353-zp_tree_all.dnd", "Gene1353-tree")</f>
        <v>Gene1353-tree</v>
      </c>
      <c r="X2328">
        <v>12</v>
      </c>
      <c r="Y2328">
        <v>1</v>
      </c>
      <c r="Z2328">
        <v>12</v>
      </c>
      <c r="AA2328">
        <v>1</v>
      </c>
      <c r="AB2328">
        <v>7.6920000000000002E-2</v>
      </c>
      <c r="AC2328" t="s">
        <v>109</v>
      </c>
      <c r="AD2328" t="s">
        <v>175</v>
      </c>
      <c r="AE2328" t="s">
        <v>62</v>
      </c>
      <c r="AF2328" t="s">
        <v>62</v>
      </c>
      <c r="AG2328">
        <v>0</v>
      </c>
      <c r="AH2328">
        <v>0</v>
      </c>
      <c r="AI2328">
        <v>2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8</v>
      </c>
      <c r="AV2328">
        <v>9</v>
      </c>
      <c r="AW2328">
        <v>26</v>
      </c>
      <c r="AX2328">
        <v>1</v>
      </c>
      <c r="AY2328">
        <v>34</v>
      </c>
      <c r="AZ2328">
        <v>1</v>
      </c>
      <c r="BA2328" t="s">
        <v>8472</v>
      </c>
      <c r="BB2328" t="s">
        <v>8473</v>
      </c>
      <c r="BC2328">
        <v>6.7000000000000004E-2</v>
      </c>
      <c r="BD2328" t="s">
        <v>65</v>
      </c>
      <c r="BE2328">
        <v>60</v>
      </c>
      <c r="BF2328">
        <v>2</v>
      </c>
      <c r="BG2328" t="s">
        <v>8474</v>
      </c>
      <c r="BH2328" t="s">
        <v>8475</v>
      </c>
      <c r="BI2328" t="s">
        <v>8476</v>
      </c>
      <c r="BJ2328">
        <v>9.1699999999999993E-3</v>
      </c>
      <c r="BK2328">
        <v>1</v>
      </c>
      <c r="BL2328" t="s">
        <v>69</v>
      </c>
      <c r="BM2328">
        <v>0.40500000000000003</v>
      </c>
      <c r="BN2328">
        <v>0.75700000000000001</v>
      </c>
    </row>
    <row r="2329" spans="2:66">
      <c r="B2329">
        <v>4024</v>
      </c>
      <c r="C2329">
        <v>114</v>
      </c>
      <c r="D2329">
        <v>0</v>
      </c>
      <c r="E2329">
        <v>8</v>
      </c>
      <c r="F2329">
        <v>1</v>
      </c>
      <c r="J2329">
        <v>0</v>
      </c>
      <c r="K2329">
        <v>2</v>
      </c>
      <c r="L2329">
        <v>0</v>
      </c>
      <c r="M2329" t="s">
        <v>25022</v>
      </c>
      <c r="N2329">
        <v>1354</v>
      </c>
      <c r="O2329" t="s">
        <v>8477</v>
      </c>
      <c r="P2329" t="s">
        <v>57</v>
      </c>
      <c r="Q2329">
        <v>1372792</v>
      </c>
      <c r="R2329">
        <v>1373988</v>
      </c>
      <c r="S2329" t="s">
        <v>8478</v>
      </c>
      <c r="T2329">
        <v>399</v>
      </c>
      <c r="U2329" t="s">
        <v>108</v>
      </c>
      <c r="V2329">
        <v>44</v>
      </c>
      <c r="W2329" t="str">
        <f>HYPERLINK("Gene1354-zp_tree_all.dnd", "Gene1354-tree")</f>
        <v>Gene1354-tree</v>
      </c>
      <c r="X2329">
        <v>2</v>
      </c>
      <c r="Y2329">
        <v>11</v>
      </c>
      <c r="Z2329">
        <v>2</v>
      </c>
      <c r="AA2329">
        <v>11</v>
      </c>
      <c r="AB2329">
        <v>0.84614999999999996</v>
      </c>
      <c r="AC2329" t="s">
        <v>81</v>
      </c>
      <c r="AD2329" t="s">
        <v>73</v>
      </c>
      <c r="AE2329">
        <v>515075683.63</v>
      </c>
      <c r="AF2329" t="s">
        <v>267</v>
      </c>
      <c r="AG2329">
        <v>1</v>
      </c>
      <c r="AH2329">
        <v>2</v>
      </c>
      <c r="AI2329">
        <v>24</v>
      </c>
      <c r="AJ2329">
        <v>7.6920000000000002E-2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2</v>
      </c>
      <c r="AQ2329">
        <v>0</v>
      </c>
      <c r="AR2329">
        <v>2</v>
      </c>
      <c r="AS2329">
        <v>20</v>
      </c>
      <c r="AT2329">
        <v>9.0910000000000005E-2</v>
      </c>
      <c r="AU2329">
        <v>10</v>
      </c>
      <c r="AV2329">
        <v>6</v>
      </c>
      <c r="AW2329">
        <v>24</v>
      </c>
      <c r="AX2329">
        <v>21</v>
      </c>
      <c r="AY2329">
        <v>17</v>
      </c>
      <c r="AZ2329">
        <v>5</v>
      </c>
      <c r="BA2329" t="s">
        <v>8479</v>
      </c>
      <c r="BB2329" t="s">
        <v>8480</v>
      </c>
      <c r="BC2329">
        <v>1.1870000000000001</v>
      </c>
      <c r="BD2329" t="s">
        <v>65</v>
      </c>
      <c r="BE2329">
        <v>41</v>
      </c>
      <c r="BF2329">
        <v>26</v>
      </c>
      <c r="BG2329" t="s">
        <v>8481</v>
      </c>
      <c r="BH2329" t="s">
        <v>8482</v>
      </c>
      <c r="BI2329" t="s">
        <v>6421</v>
      </c>
      <c r="BJ2329">
        <v>0.15598000000000001</v>
      </c>
      <c r="BK2329">
        <v>1</v>
      </c>
      <c r="BL2329" t="s">
        <v>69</v>
      </c>
      <c r="BM2329">
        <v>-1.298</v>
      </c>
      <c r="BN2329">
        <v>-1.825</v>
      </c>
    </row>
    <row r="2330" spans="2:66">
      <c r="B2330">
        <v>4026</v>
      </c>
      <c r="C2330">
        <v>21</v>
      </c>
      <c r="D2330">
        <v>0</v>
      </c>
      <c r="E2330">
        <v>6</v>
      </c>
      <c r="F2330">
        <v>0</v>
      </c>
      <c r="J2330">
        <v>0</v>
      </c>
      <c r="K2330">
        <v>0</v>
      </c>
      <c r="L2330">
        <v>0</v>
      </c>
      <c r="M2330" t="s">
        <v>25022</v>
      </c>
      <c r="N2330">
        <v>1356</v>
      </c>
      <c r="O2330" t="s">
        <v>8488</v>
      </c>
      <c r="P2330" t="s">
        <v>57</v>
      </c>
      <c r="Q2330">
        <v>1374437</v>
      </c>
      <c r="R2330">
        <v>1375165</v>
      </c>
      <c r="S2330" t="s">
        <v>3674</v>
      </c>
      <c r="T2330">
        <v>243</v>
      </c>
      <c r="U2330" t="s">
        <v>108</v>
      </c>
      <c r="V2330">
        <v>44</v>
      </c>
      <c r="W2330" t="str">
        <f>HYPERLINK("Gene1356-zp_tree_all.dnd", "Gene1356-tree")</f>
        <v>Gene1356-tree</v>
      </c>
      <c r="X2330">
        <v>8</v>
      </c>
      <c r="Y2330">
        <v>4</v>
      </c>
      <c r="Z2330">
        <v>8</v>
      </c>
      <c r="AA2330">
        <v>4</v>
      </c>
      <c r="AB2330">
        <v>0.33333000000000002</v>
      </c>
      <c r="AC2330" t="s">
        <v>136</v>
      </c>
      <c r="AD2330" t="s">
        <v>61</v>
      </c>
      <c r="AE2330" t="s">
        <v>62</v>
      </c>
      <c r="AF2330" t="s">
        <v>62</v>
      </c>
      <c r="AG2330">
        <v>0</v>
      </c>
      <c r="AH2330">
        <v>0</v>
      </c>
      <c r="AI2330">
        <v>7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4</v>
      </c>
      <c r="AT2330">
        <v>0</v>
      </c>
      <c r="AU2330">
        <v>10</v>
      </c>
      <c r="AV2330">
        <v>5</v>
      </c>
      <c r="AW2330">
        <v>16</v>
      </c>
      <c r="AX2330">
        <v>4</v>
      </c>
      <c r="AY2330">
        <v>15</v>
      </c>
      <c r="AZ2330">
        <v>3</v>
      </c>
      <c r="BA2330" t="s">
        <v>8489</v>
      </c>
      <c r="BB2330" t="s">
        <v>8490</v>
      </c>
      <c r="BC2330">
        <v>0.21199999999999999</v>
      </c>
      <c r="BD2330" t="s">
        <v>65</v>
      </c>
      <c r="BE2330">
        <v>31</v>
      </c>
      <c r="BF2330">
        <v>7</v>
      </c>
      <c r="BG2330" t="s">
        <v>8491</v>
      </c>
      <c r="BH2330" t="s">
        <v>8492</v>
      </c>
      <c r="BI2330" t="s">
        <v>8493</v>
      </c>
      <c r="BJ2330">
        <v>9.4700000000000006E-2</v>
      </c>
      <c r="BK2330">
        <v>1</v>
      </c>
      <c r="BL2330" t="s">
        <v>69</v>
      </c>
      <c r="BM2330">
        <v>0.41299999999999998</v>
      </c>
      <c r="BN2330">
        <v>-0.17599999999999999</v>
      </c>
    </row>
    <row r="2331" spans="2:66">
      <c r="B2331">
        <v>4027</v>
      </c>
      <c r="C2331">
        <v>130</v>
      </c>
      <c r="D2331">
        <v>0</v>
      </c>
      <c r="E2331">
        <v>2</v>
      </c>
      <c r="F2331">
        <v>0</v>
      </c>
      <c r="J2331">
        <v>0</v>
      </c>
      <c r="K2331">
        <v>2</v>
      </c>
      <c r="L2331">
        <v>2</v>
      </c>
      <c r="M2331" t="s">
        <v>25022</v>
      </c>
      <c r="N2331">
        <v>1357</v>
      </c>
      <c r="O2331" t="s">
        <v>8494</v>
      </c>
      <c r="P2331" t="s">
        <v>57</v>
      </c>
      <c r="Q2331">
        <v>1375260</v>
      </c>
      <c r="R2331">
        <v>1375784</v>
      </c>
      <c r="S2331" t="s">
        <v>288</v>
      </c>
      <c r="T2331">
        <v>175</v>
      </c>
      <c r="U2331" t="s">
        <v>108</v>
      </c>
      <c r="V2331">
        <v>44</v>
      </c>
      <c r="W2331" t="str">
        <f>HYPERLINK("Gene1357-zp_tree_all.dnd", "Gene1357-tree")</f>
        <v>Gene1357-tree</v>
      </c>
      <c r="X2331">
        <v>7</v>
      </c>
      <c r="Y2331">
        <v>6</v>
      </c>
      <c r="Z2331">
        <v>7</v>
      </c>
      <c r="AA2331">
        <v>6</v>
      </c>
      <c r="AB2331">
        <v>0.46154000000000001</v>
      </c>
      <c r="AC2331" t="s">
        <v>152</v>
      </c>
      <c r="AD2331" t="s">
        <v>90</v>
      </c>
      <c r="AE2331" t="s">
        <v>62</v>
      </c>
      <c r="AF2331" t="s">
        <v>62</v>
      </c>
      <c r="AG2331">
        <v>2</v>
      </c>
      <c r="AH2331">
        <v>4</v>
      </c>
      <c r="AI2331">
        <v>17</v>
      </c>
      <c r="AJ2331">
        <v>0.19048000000000001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12</v>
      </c>
      <c r="AT2331">
        <v>0</v>
      </c>
      <c r="AU2331">
        <v>9</v>
      </c>
      <c r="AV2331">
        <v>8</v>
      </c>
      <c r="AW2331">
        <v>20</v>
      </c>
      <c r="AX2331">
        <v>13</v>
      </c>
      <c r="AY2331">
        <v>8</v>
      </c>
      <c r="AZ2331">
        <v>9</v>
      </c>
      <c r="BA2331" t="s">
        <v>8495</v>
      </c>
      <c r="BB2331" t="s">
        <v>8496</v>
      </c>
      <c r="BC2331">
        <v>0.499</v>
      </c>
      <c r="BD2331" t="s">
        <v>65</v>
      </c>
      <c r="BE2331">
        <v>28</v>
      </c>
      <c r="BF2331">
        <v>22</v>
      </c>
      <c r="BG2331" t="s">
        <v>8497</v>
      </c>
      <c r="BH2331" t="s">
        <v>8498</v>
      </c>
      <c r="BI2331" t="s">
        <v>8499</v>
      </c>
      <c r="BJ2331">
        <v>0.22408</v>
      </c>
      <c r="BK2331">
        <v>1</v>
      </c>
      <c r="BL2331" t="s">
        <v>69</v>
      </c>
      <c r="BM2331">
        <v>-1.34</v>
      </c>
      <c r="BN2331">
        <v>-3.0720000000000001</v>
      </c>
    </row>
    <row r="2332" spans="2:66">
      <c r="B2332">
        <v>4028</v>
      </c>
      <c r="C2332">
        <v>5</v>
      </c>
      <c r="D2332">
        <v>0</v>
      </c>
      <c r="E2332">
        <v>19</v>
      </c>
      <c r="F2332">
        <v>0</v>
      </c>
      <c r="J2332">
        <v>0</v>
      </c>
      <c r="K2332">
        <v>2</v>
      </c>
      <c r="L2332">
        <v>3</v>
      </c>
      <c r="M2332" t="s">
        <v>25022</v>
      </c>
      <c r="N2332">
        <v>1358</v>
      </c>
      <c r="O2332" t="s">
        <v>8500</v>
      </c>
      <c r="P2332" t="s">
        <v>57</v>
      </c>
      <c r="Q2332">
        <v>1375777</v>
      </c>
      <c r="R2332">
        <v>1376292</v>
      </c>
      <c r="S2332" t="s">
        <v>3718</v>
      </c>
      <c r="T2332">
        <v>172</v>
      </c>
      <c r="U2332" t="s">
        <v>108</v>
      </c>
      <c r="V2332">
        <v>44</v>
      </c>
      <c r="W2332" t="str">
        <f>HYPERLINK("Gene1358-zp_tree_all.dnd", "Gene1358-tree")</f>
        <v>Gene1358-tree</v>
      </c>
      <c r="X2332">
        <v>4</v>
      </c>
      <c r="Y2332">
        <v>10</v>
      </c>
      <c r="Z2332">
        <v>4</v>
      </c>
      <c r="AA2332">
        <v>10</v>
      </c>
      <c r="AB2332">
        <v>0.71428999999999998</v>
      </c>
      <c r="AC2332" t="s">
        <v>61</v>
      </c>
      <c r="AD2332" t="s">
        <v>117</v>
      </c>
      <c r="AE2332" t="s">
        <v>62</v>
      </c>
      <c r="AF2332" t="s">
        <v>62</v>
      </c>
      <c r="AG2332">
        <v>2</v>
      </c>
      <c r="AH2332">
        <v>5</v>
      </c>
      <c r="AI2332">
        <v>16</v>
      </c>
      <c r="AJ2332">
        <v>0.23810000000000001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2</v>
      </c>
      <c r="AQ2332">
        <v>2</v>
      </c>
      <c r="AR2332">
        <v>4</v>
      </c>
      <c r="AS2332">
        <v>10</v>
      </c>
      <c r="AT2332">
        <v>0.28571000000000002</v>
      </c>
      <c r="AU2332">
        <v>12</v>
      </c>
      <c r="AV2332">
        <v>8</v>
      </c>
      <c r="AW2332">
        <v>14</v>
      </c>
      <c r="AX2332">
        <v>14</v>
      </c>
      <c r="AY2332">
        <v>7</v>
      </c>
      <c r="AZ2332">
        <v>7</v>
      </c>
      <c r="BA2332" t="s">
        <v>8501</v>
      </c>
      <c r="BB2332" t="s">
        <v>8502</v>
      </c>
      <c r="BC2332">
        <v>8.0000000000000002E-3</v>
      </c>
      <c r="BD2332" t="s">
        <v>65</v>
      </c>
      <c r="BE2332">
        <v>21</v>
      </c>
      <c r="BF2332">
        <v>21</v>
      </c>
      <c r="BG2332" t="s">
        <v>8503</v>
      </c>
      <c r="BH2332" t="s">
        <v>8504</v>
      </c>
      <c r="BI2332" t="s">
        <v>8505</v>
      </c>
      <c r="BJ2332">
        <v>0.26740000000000003</v>
      </c>
      <c r="BK2332">
        <v>1</v>
      </c>
      <c r="BL2332" t="s">
        <v>69</v>
      </c>
      <c r="BM2332">
        <v>-1.421</v>
      </c>
      <c r="BN2332">
        <v>-1.8979999999999999</v>
      </c>
    </row>
    <row r="2333" spans="2:66">
      <c r="B2333">
        <v>4029</v>
      </c>
      <c r="C2333">
        <v>63</v>
      </c>
      <c r="D2333">
        <v>0</v>
      </c>
      <c r="E2333">
        <v>16</v>
      </c>
      <c r="F2333">
        <v>1</v>
      </c>
      <c r="J2333">
        <v>0</v>
      </c>
      <c r="K2333">
        <v>0</v>
      </c>
      <c r="L2333">
        <v>0</v>
      </c>
      <c r="M2333" t="s">
        <v>25022</v>
      </c>
      <c r="N2333">
        <v>1359</v>
      </c>
      <c r="O2333" t="s">
        <v>8506</v>
      </c>
      <c r="P2333" t="s">
        <v>57</v>
      </c>
      <c r="Q2333">
        <v>1376517</v>
      </c>
      <c r="R2333">
        <v>1376852</v>
      </c>
      <c r="S2333" t="s">
        <v>8507</v>
      </c>
      <c r="T2333">
        <v>112</v>
      </c>
      <c r="U2333" t="s">
        <v>108</v>
      </c>
      <c r="V2333">
        <v>44</v>
      </c>
      <c r="W2333" t="str">
        <f>HYPERLINK("Gene1359-zp_tree_all.dnd", "Gene1359-tree")</f>
        <v>Gene1359-tree</v>
      </c>
      <c r="X2333">
        <v>31</v>
      </c>
      <c r="Y2333">
        <v>3</v>
      </c>
      <c r="Z2333">
        <v>8</v>
      </c>
      <c r="AA2333">
        <v>3</v>
      </c>
      <c r="AB2333">
        <v>0.27272999999999997</v>
      </c>
      <c r="AC2333" t="s">
        <v>7249</v>
      </c>
      <c r="AD2333" t="s">
        <v>324</v>
      </c>
      <c r="AE2333" t="s">
        <v>62</v>
      </c>
      <c r="AF2333" t="s">
        <v>62</v>
      </c>
      <c r="AG2333">
        <v>0</v>
      </c>
      <c r="AH2333">
        <v>0</v>
      </c>
      <c r="AI2333">
        <v>6</v>
      </c>
      <c r="AJ2333">
        <v>0</v>
      </c>
      <c r="AK2333">
        <v>0</v>
      </c>
      <c r="AL2333">
        <v>0</v>
      </c>
      <c r="AM2333">
        <v>0</v>
      </c>
      <c r="AN2333">
        <v>2</v>
      </c>
      <c r="AO2333">
        <v>0</v>
      </c>
      <c r="AP2333">
        <v>0</v>
      </c>
      <c r="AQ2333">
        <v>0</v>
      </c>
      <c r="AR2333">
        <v>0</v>
      </c>
      <c r="AS2333">
        <v>4</v>
      </c>
      <c r="AT2333">
        <v>0</v>
      </c>
      <c r="AU2333">
        <v>7</v>
      </c>
      <c r="AV2333">
        <v>5</v>
      </c>
      <c r="AW2333">
        <v>5</v>
      </c>
      <c r="AX2333">
        <v>4</v>
      </c>
      <c r="AY2333">
        <v>9</v>
      </c>
      <c r="AZ2333">
        <v>2</v>
      </c>
      <c r="BA2333" t="s">
        <v>8508</v>
      </c>
      <c r="BB2333" t="s">
        <v>8509</v>
      </c>
      <c r="BC2333">
        <v>0.69899999999999995</v>
      </c>
      <c r="BD2333" t="s">
        <v>65</v>
      </c>
      <c r="BE2333">
        <v>14</v>
      </c>
      <c r="BF2333">
        <v>6</v>
      </c>
      <c r="BG2333" t="s">
        <v>8510</v>
      </c>
      <c r="BH2333" t="s">
        <v>8511</v>
      </c>
      <c r="BI2333" t="s">
        <v>8512</v>
      </c>
      <c r="BJ2333">
        <v>0.12398000000000001</v>
      </c>
      <c r="BK2333">
        <v>1</v>
      </c>
      <c r="BL2333" t="s">
        <v>69</v>
      </c>
      <c r="BM2333">
        <v>-0.41799999999999998</v>
      </c>
      <c r="BN2333">
        <v>-0.68200000000000005</v>
      </c>
    </row>
    <row r="2334" spans="2:66">
      <c r="B2334">
        <v>4030</v>
      </c>
      <c r="C2334">
        <v>300</v>
      </c>
      <c r="D2334">
        <v>0</v>
      </c>
      <c r="E2334">
        <v>7</v>
      </c>
      <c r="F2334">
        <v>0</v>
      </c>
      <c r="J2334">
        <v>0</v>
      </c>
      <c r="K2334">
        <v>0</v>
      </c>
      <c r="L2334">
        <v>0</v>
      </c>
      <c r="M2334" t="s">
        <v>25022</v>
      </c>
      <c r="N2334">
        <v>1360</v>
      </c>
      <c r="O2334" t="s">
        <v>8513</v>
      </c>
      <c r="P2334" t="s">
        <v>57</v>
      </c>
      <c r="Q2334">
        <v>1376855</v>
      </c>
      <c r="R2334">
        <v>1377169</v>
      </c>
      <c r="S2334" t="s">
        <v>8507</v>
      </c>
      <c r="T2334">
        <v>105</v>
      </c>
      <c r="U2334" t="s">
        <v>108</v>
      </c>
      <c r="V2334">
        <v>44</v>
      </c>
      <c r="W2334" t="str">
        <f>HYPERLINK("Gene1360-zp_tree_all.dnd", "Gene1360-tree")</f>
        <v>Gene1360-tree</v>
      </c>
      <c r="X2334">
        <v>8</v>
      </c>
      <c r="Y2334">
        <v>18</v>
      </c>
      <c r="Z2334">
        <v>8</v>
      </c>
      <c r="AA2334">
        <v>1</v>
      </c>
      <c r="AB2334">
        <v>0.11111</v>
      </c>
      <c r="AC2334" t="s">
        <v>136</v>
      </c>
      <c r="AD2334" t="s">
        <v>175</v>
      </c>
      <c r="AE2334" t="s">
        <v>62</v>
      </c>
      <c r="AF2334" t="s">
        <v>62</v>
      </c>
      <c r="AG2334">
        <v>0</v>
      </c>
      <c r="AH2334">
        <v>0</v>
      </c>
      <c r="AI2334">
        <v>2</v>
      </c>
      <c r="AJ2334">
        <v>0</v>
      </c>
      <c r="AK2334">
        <v>0</v>
      </c>
      <c r="AL2334">
        <v>0</v>
      </c>
      <c r="AM2334">
        <v>0</v>
      </c>
      <c r="AN2334">
        <v>2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8</v>
      </c>
      <c r="AV2334">
        <v>2</v>
      </c>
      <c r="AW2334">
        <v>12</v>
      </c>
      <c r="AX2334">
        <v>1</v>
      </c>
      <c r="AY2334">
        <v>2</v>
      </c>
      <c r="AZ2334">
        <v>1</v>
      </c>
      <c r="BA2334" t="s">
        <v>8514</v>
      </c>
      <c r="BB2334" t="s">
        <v>8515</v>
      </c>
      <c r="BC2334">
        <v>1.002</v>
      </c>
      <c r="BD2334" t="s">
        <v>65</v>
      </c>
      <c r="BE2334">
        <v>14</v>
      </c>
      <c r="BF2334">
        <v>2</v>
      </c>
      <c r="BG2334" t="s">
        <v>8516</v>
      </c>
      <c r="BH2334" t="s">
        <v>8517</v>
      </c>
      <c r="BI2334" t="s">
        <v>8518</v>
      </c>
      <c r="BJ2334">
        <v>6.8080000000000002E-2</v>
      </c>
      <c r="BK2334">
        <v>1</v>
      </c>
      <c r="BL2334" t="s">
        <v>69</v>
      </c>
      <c r="BM2334">
        <v>-0.32500000000000001</v>
      </c>
      <c r="BN2334">
        <v>-0.79700000000000004</v>
      </c>
    </row>
    <row r="2335" spans="2:66">
      <c r="B2335">
        <v>4031</v>
      </c>
      <c r="C2335">
        <v>9</v>
      </c>
      <c r="D2335">
        <v>0</v>
      </c>
      <c r="E2335">
        <v>3</v>
      </c>
      <c r="F2335">
        <v>0</v>
      </c>
      <c r="J2335">
        <v>0</v>
      </c>
      <c r="K2335">
        <v>3</v>
      </c>
      <c r="L2335">
        <v>2</v>
      </c>
      <c r="M2335" t="s">
        <v>25022</v>
      </c>
      <c r="N2335">
        <v>1361</v>
      </c>
      <c r="O2335" t="s">
        <v>8519</v>
      </c>
      <c r="P2335" t="s">
        <v>57</v>
      </c>
      <c r="Q2335">
        <v>1377243</v>
      </c>
      <c r="R2335">
        <v>1378142</v>
      </c>
      <c r="S2335" t="s">
        <v>8520</v>
      </c>
      <c r="T2335">
        <v>300</v>
      </c>
      <c r="U2335" t="s">
        <v>108</v>
      </c>
      <c r="V2335">
        <v>44</v>
      </c>
      <c r="W2335" t="str">
        <f>HYPERLINK("Gene1361-zp_tree_all.dnd", "Gene1361-tree")</f>
        <v>Gene1361-tree</v>
      </c>
      <c r="X2335">
        <v>7</v>
      </c>
      <c r="Y2335">
        <v>6</v>
      </c>
      <c r="Z2335">
        <v>7</v>
      </c>
      <c r="AA2335">
        <v>6</v>
      </c>
      <c r="AB2335">
        <v>0.46154000000000001</v>
      </c>
      <c r="AC2335" t="s">
        <v>152</v>
      </c>
      <c r="AD2335" t="s">
        <v>90</v>
      </c>
      <c r="AE2335" t="s">
        <v>62</v>
      </c>
      <c r="AF2335" t="s">
        <v>62</v>
      </c>
      <c r="AG2335">
        <v>2</v>
      </c>
      <c r="AH2335">
        <v>5</v>
      </c>
      <c r="AI2335">
        <v>5</v>
      </c>
      <c r="AJ2335">
        <v>0.5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2</v>
      </c>
      <c r="AQ2335">
        <v>0</v>
      </c>
      <c r="AR2335">
        <v>2</v>
      </c>
      <c r="AS2335">
        <v>4</v>
      </c>
      <c r="AT2335">
        <v>0.33333000000000002</v>
      </c>
      <c r="AU2335">
        <v>11</v>
      </c>
      <c r="AV2335">
        <v>8</v>
      </c>
      <c r="AW2335">
        <v>28</v>
      </c>
      <c r="AX2335">
        <v>6</v>
      </c>
      <c r="AY2335">
        <v>29</v>
      </c>
      <c r="AZ2335">
        <v>4</v>
      </c>
      <c r="BA2335" t="s">
        <v>8521</v>
      </c>
      <c r="BB2335" t="s">
        <v>8522</v>
      </c>
      <c r="BC2335">
        <v>0.44</v>
      </c>
      <c r="BD2335" t="s">
        <v>65</v>
      </c>
      <c r="BE2335">
        <v>57</v>
      </c>
      <c r="BF2335">
        <v>10</v>
      </c>
      <c r="BG2335" t="s">
        <v>8523</v>
      </c>
      <c r="BH2335" t="s">
        <v>8524</v>
      </c>
      <c r="BI2335" t="s">
        <v>8525</v>
      </c>
      <c r="BJ2335">
        <v>4.607E-2</v>
      </c>
      <c r="BK2335">
        <v>1</v>
      </c>
      <c r="BL2335" t="s">
        <v>69</v>
      </c>
      <c r="BM2335">
        <v>0.53300000000000003</v>
      </c>
      <c r="BN2335">
        <v>0.21</v>
      </c>
    </row>
    <row r="2336" spans="2:66">
      <c r="B2336">
        <v>4033</v>
      </c>
      <c r="C2336">
        <v>332</v>
      </c>
      <c r="D2336">
        <v>0</v>
      </c>
      <c r="E2336">
        <v>7</v>
      </c>
      <c r="F2336">
        <v>2</v>
      </c>
      <c r="J2336">
        <v>0</v>
      </c>
      <c r="K2336">
        <v>4</v>
      </c>
      <c r="L2336">
        <v>0</v>
      </c>
      <c r="M2336" t="s">
        <v>25022</v>
      </c>
      <c r="N2336">
        <v>1362</v>
      </c>
      <c r="O2336" t="s">
        <v>8526</v>
      </c>
      <c r="P2336" t="s">
        <v>57</v>
      </c>
      <c r="Q2336">
        <v>1378496</v>
      </c>
      <c r="R2336">
        <v>1379590</v>
      </c>
      <c r="S2336" t="s">
        <v>8527</v>
      </c>
      <c r="T2336">
        <v>365</v>
      </c>
      <c r="U2336" t="s">
        <v>4013</v>
      </c>
      <c r="V2336">
        <v>43</v>
      </c>
      <c r="W2336" t="str">
        <f>HYPERLINK("Gene1362-zp_tree_all.dnd", "Gene1362-tree")</f>
        <v>Gene1362-tree</v>
      </c>
      <c r="X2336">
        <v>8</v>
      </c>
      <c r="Y2336">
        <v>4</v>
      </c>
      <c r="Z2336">
        <v>8</v>
      </c>
      <c r="AA2336">
        <v>4</v>
      </c>
      <c r="AB2336">
        <v>0.33333000000000002</v>
      </c>
      <c r="AC2336" t="s">
        <v>136</v>
      </c>
      <c r="AD2336" t="s">
        <v>61</v>
      </c>
      <c r="AE2336" t="s">
        <v>62</v>
      </c>
      <c r="AF2336" t="s">
        <v>62</v>
      </c>
      <c r="AG2336">
        <v>1</v>
      </c>
      <c r="AH2336">
        <v>4</v>
      </c>
      <c r="AI2336">
        <v>6</v>
      </c>
      <c r="AJ2336">
        <v>0.4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6</v>
      </c>
      <c r="AT2336">
        <v>0</v>
      </c>
      <c r="AU2336">
        <v>12</v>
      </c>
      <c r="AV2336">
        <v>8</v>
      </c>
      <c r="AW2336">
        <v>62</v>
      </c>
      <c r="AX2336">
        <v>6</v>
      </c>
      <c r="AY2336">
        <v>30</v>
      </c>
      <c r="AZ2336">
        <v>4</v>
      </c>
      <c r="BA2336" t="s">
        <v>8528</v>
      </c>
      <c r="BB2336" t="s">
        <v>8529</v>
      </c>
      <c r="BC2336">
        <v>0.34100000000000003</v>
      </c>
      <c r="BD2336" t="s">
        <v>65</v>
      </c>
      <c r="BE2336">
        <v>92</v>
      </c>
      <c r="BF2336">
        <v>10</v>
      </c>
      <c r="BG2336" t="s">
        <v>8530</v>
      </c>
      <c r="BH2336" t="s">
        <v>8531</v>
      </c>
      <c r="BI2336" t="s">
        <v>8532</v>
      </c>
      <c r="BJ2336">
        <v>2.6190000000000001E-2</v>
      </c>
      <c r="BK2336">
        <v>1</v>
      </c>
      <c r="BL2336" t="s">
        <v>69</v>
      </c>
      <c r="BM2336">
        <v>-0.26300000000000001</v>
      </c>
      <c r="BN2336">
        <v>-1.171</v>
      </c>
    </row>
    <row r="2337" spans="2:66">
      <c r="B2337">
        <v>4034</v>
      </c>
      <c r="C2337">
        <v>102</v>
      </c>
      <c r="D2337">
        <v>0</v>
      </c>
      <c r="E2337">
        <v>15</v>
      </c>
      <c r="F2337">
        <v>0</v>
      </c>
      <c r="J2337">
        <v>2</v>
      </c>
      <c r="K2337">
        <v>7</v>
      </c>
      <c r="L2337">
        <v>0</v>
      </c>
      <c r="M2337" t="s">
        <v>25022</v>
      </c>
      <c r="N2337">
        <v>1363</v>
      </c>
      <c r="O2337" t="s">
        <v>8533</v>
      </c>
      <c r="P2337" t="s">
        <v>57</v>
      </c>
      <c r="Q2337">
        <v>1379605</v>
      </c>
      <c r="R2337">
        <v>1380849</v>
      </c>
      <c r="S2337" t="s">
        <v>8534</v>
      </c>
      <c r="T2337">
        <v>415</v>
      </c>
      <c r="U2337" t="s">
        <v>108</v>
      </c>
      <c r="V2337">
        <v>44</v>
      </c>
      <c r="W2337" t="str">
        <f>HYPERLINK("Gene1363-zp_tree_all.dnd", "Gene1363-tree")</f>
        <v>Gene1363-tree</v>
      </c>
      <c r="X2337">
        <v>7</v>
      </c>
      <c r="Y2337">
        <v>7</v>
      </c>
      <c r="Z2337">
        <v>7</v>
      </c>
      <c r="AA2337">
        <v>7</v>
      </c>
      <c r="AB2337">
        <v>0.5</v>
      </c>
      <c r="AC2337" t="s">
        <v>152</v>
      </c>
      <c r="AD2337" t="s">
        <v>152</v>
      </c>
      <c r="AE2337" t="s">
        <v>62</v>
      </c>
      <c r="AF2337" t="s">
        <v>62</v>
      </c>
      <c r="AG2337">
        <v>3</v>
      </c>
      <c r="AH2337">
        <v>9</v>
      </c>
      <c r="AI2337">
        <v>9</v>
      </c>
      <c r="AJ2337">
        <v>0.5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4</v>
      </c>
      <c r="AQ2337">
        <v>2</v>
      </c>
      <c r="AR2337">
        <v>6</v>
      </c>
      <c r="AS2337">
        <v>5</v>
      </c>
      <c r="AT2337">
        <v>0.54544999999999999</v>
      </c>
      <c r="AU2337">
        <v>13</v>
      </c>
      <c r="AV2337">
        <v>9</v>
      </c>
      <c r="AW2337">
        <v>54</v>
      </c>
      <c r="AX2337">
        <v>12</v>
      </c>
      <c r="AY2337">
        <v>23</v>
      </c>
      <c r="AZ2337">
        <v>7</v>
      </c>
      <c r="BA2337" t="s">
        <v>8535</v>
      </c>
      <c r="BB2337" t="s">
        <v>8536</v>
      </c>
      <c r="BC2337">
        <v>0.48899999999999999</v>
      </c>
      <c r="BD2337" t="s">
        <v>65</v>
      </c>
      <c r="BE2337">
        <v>77</v>
      </c>
      <c r="BF2337">
        <v>19</v>
      </c>
      <c r="BG2337" t="s">
        <v>8537</v>
      </c>
      <c r="BH2337" t="s">
        <v>8538</v>
      </c>
      <c r="BI2337" t="s">
        <v>8539</v>
      </c>
      <c r="BJ2337">
        <v>7.4529999999999999E-2</v>
      </c>
      <c r="BK2337">
        <v>1</v>
      </c>
      <c r="BL2337" t="s">
        <v>69</v>
      </c>
      <c r="BM2337">
        <v>-0.60599999999999998</v>
      </c>
      <c r="BN2337">
        <v>-0.65400000000000003</v>
      </c>
    </row>
    <row r="2338" spans="2:66">
      <c r="B2338">
        <v>4035</v>
      </c>
      <c r="C2338">
        <v>42</v>
      </c>
      <c r="D2338">
        <v>0</v>
      </c>
      <c r="E2338">
        <v>4</v>
      </c>
      <c r="F2338">
        <v>0</v>
      </c>
      <c r="J2338">
        <v>0</v>
      </c>
      <c r="K2338">
        <v>0</v>
      </c>
      <c r="L2338">
        <v>0</v>
      </c>
      <c r="M2338" t="s">
        <v>25022</v>
      </c>
      <c r="N2338">
        <v>1364</v>
      </c>
      <c r="O2338" t="s">
        <v>8540</v>
      </c>
      <c r="P2338" t="s">
        <v>57</v>
      </c>
      <c r="Q2338">
        <v>1380978</v>
      </c>
      <c r="R2338">
        <v>1381400</v>
      </c>
      <c r="S2338" t="s">
        <v>8541</v>
      </c>
      <c r="T2338">
        <v>141</v>
      </c>
      <c r="U2338" t="s">
        <v>108</v>
      </c>
      <c r="V2338">
        <v>44</v>
      </c>
      <c r="W2338" t="str">
        <f>HYPERLINK("Gene1364-zp_tree_all.dnd", "Gene1364-tree")</f>
        <v>Gene1364-tree</v>
      </c>
      <c r="X2338">
        <v>10</v>
      </c>
      <c r="Y2338">
        <v>1</v>
      </c>
      <c r="Z2338">
        <v>10</v>
      </c>
      <c r="AA2338">
        <v>1</v>
      </c>
      <c r="AB2338">
        <v>9.0910000000000005E-2</v>
      </c>
      <c r="AC2338" t="s">
        <v>117</v>
      </c>
      <c r="AD2338" t="s">
        <v>175</v>
      </c>
      <c r="AE2338" t="s">
        <v>62</v>
      </c>
      <c r="AF2338" t="s">
        <v>62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7</v>
      </c>
      <c r="AV2338">
        <v>6</v>
      </c>
      <c r="AW2338">
        <v>15</v>
      </c>
      <c r="AX2338">
        <v>1</v>
      </c>
      <c r="AY2338">
        <v>7</v>
      </c>
      <c r="AZ2338">
        <v>0</v>
      </c>
      <c r="BA2338" t="s">
        <v>8542</v>
      </c>
      <c r="BB2338" t="s">
        <v>193</v>
      </c>
      <c r="BC2338">
        <v>0.4</v>
      </c>
      <c r="BD2338" t="s">
        <v>65</v>
      </c>
      <c r="BE2338">
        <v>22</v>
      </c>
      <c r="BF2338">
        <v>1</v>
      </c>
      <c r="BG2338" t="s">
        <v>8543</v>
      </c>
      <c r="BH2338" t="s">
        <v>8544</v>
      </c>
      <c r="BI2338" t="s">
        <v>8545</v>
      </c>
      <c r="BJ2338">
        <v>1.095E-2</v>
      </c>
      <c r="BK2338">
        <v>1</v>
      </c>
      <c r="BL2338" t="s">
        <v>69</v>
      </c>
      <c r="BM2338">
        <v>3.9E-2</v>
      </c>
      <c r="BN2338">
        <v>-1.5269999999999999</v>
      </c>
    </row>
    <row r="2339" spans="2:66">
      <c r="B2339">
        <v>4036</v>
      </c>
      <c r="C2339">
        <v>144</v>
      </c>
      <c r="D2339">
        <v>0</v>
      </c>
      <c r="E2339">
        <v>2</v>
      </c>
      <c r="F2339">
        <v>0</v>
      </c>
      <c r="J2339">
        <v>0</v>
      </c>
      <c r="K2339">
        <v>0</v>
      </c>
      <c r="L2339">
        <v>0</v>
      </c>
      <c r="M2339" t="s">
        <v>25022</v>
      </c>
      <c r="N2339">
        <v>1366</v>
      </c>
      <c r="O2339" t="s">
        <v>8552</v>
      </c>
      <c r="P2339" t="s">
        <v>57</v>
      </c>
      <c r="Q2339">
        <v>1382020</v>
      </c>
      <c r="R2339">
        <v>1382427</v>
      </c>
      <c r="S2339" t="s">
        <v>8553</v>
      </c>
      <c r="T2339">
        <v>136</v>
      </c>
      <c r="U2339" t="s">
        <v>108</v>
      </c>
      <c r="V2339">
        <v>44</v>
      </c>
      <c r="W2339" t="str">
        <f>HYPERLINK("Gene1366-zp_tree_all.dnd", "Gene1366-tree")</f>
        <v>Gene1366-tree</v>
      </c>
      <c r="X2339">
        <v>6</v>
      </c>
      <c r="Y2339">
        <v>2</v>
      </c>
      <c r="Z2339">
        <v>6</v>
      </c>
      <c r="AA2339">
        <v>2</v>
      </c>
      <c r="AB2339">
        <v>0.25</v>
      </c>
      <c r="AC2339" t="s">
        <v>90</v>
      </c>
      <c r="AD2339" t="s">
        <v>81</v>
      </c>
      <c r="AE2339" t="s">
        <v>62</v>
      </c>
      <c r="AF2339" t="s">
        <v>62</v>
      </c>
      <c r="AG2339">
        <v>0</v>
      </c>
      <c r="AH2339">
        <v>0</v>
      </c>
      <c r="AI2339">
        <v>2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2</v>
      </c>
      <c r="AT2339">
        <v>0</v>
      </c>
      <c r="AU2339">
        <v>7</v>
      </c>
      <c r="AV2339">
        <v>0</v>
      </c>
      <c r="AW2339">
        <v>11</v>
      </c>
      <c r="AX2339">
        <v>2</v>
      </c>
      <c r="AY2339">
        <v>0</v>
      </c>
      <c r="AZ2339">
        <v>0</v>
      </c>
      <c r="BA2339" t="s">
        <v>8554</v>
      </c>
      <c r="BB2339" t="s">
        <v>193</v>
      </c>
      <c r="BC2339">
        <v>0.97199999999999998</v>
      </c>
      <c r="BD2339" t="s">
        <v>65</v>
      </c>
      <c r="BE2339">
        <v>11</v>
      </c>
      <c r="BF2339">
        <v>2</v>
      </c>
      <c r="BG2339" t="s">
        <v>8555</v>
      </c>
      <c r="BH2339" t="s">
        <v>8556</v>
      </c>
      <c r="BI2339" t="s">
        <v>8557</v>
      </c>
      <c r="BJ2339">
        <v>5.2310000000000002E-2</v>
      </c>
      <c r="BK2339">
        <v>1</v>
      </c>
      <c r="BL2339" t="s">
        <v>69</v>
      </c>
      <c r="BM2339">
        <v>-0.67900000000000005</v>
      </c>
      <c r="BN2339">
        <v>-0.46500000000000002</v>
      </c>
    </row>
    <row r="2340" spans="2:66">
      <c r="B2340">
        <v>4038</v>
      </c>
      <c r="C2340">
        <v>312</v>
      </c>
      <c r="D2340">
        <v>0</v>
      </c>
      <c r="E2340">
        <v>2</v>
      </c>
      <c r="F2340">
        <v>0</v>
      </c>
      <c r="J2340">
        <v>0</v>
      </c>
      <c r="K2340">
        <v>0</v>
      </c>
      <c r="L2340">
        <v>0</v>
      </c>
      <c r="M2340" t="s">
        <v>25022</v>
      </c>
      <c r="N2340">
        <v>1371</v>
      </c>
      <c r="O2340" t="s">
        <v>8579</v>
      </c>
      <c r="P2340" t="s">
        <v>57</v>
      </c>
      <c r="Q2340">
        <v>1387206</v>
      </c>
      <c r="R2340">
        <v>1388036</v>
      </c>
      <c r="S2340" t="s">
        <v>8580</v>
      </c>
      <c r="T2340">
        <v>277</v>
      </c>
      <c r="U2340" t="s">
        <v>108</v>
      </c>
      <c r="V2340">
        <v>44</v>
      </c>
      <c r="W2340" t="str">
        <f>HYPERLINK("Gene1371-zp_tree_all.dnd", "Gene1371-tree")</f>
        <v>Gene1371-tree</v>
      </c>
      <c r="X2340">
        <v>11</v>
      </c>
      <c r="Y2340">
        <v>5</v>
      </c>
      <c r="Z2340">
        <v>11</v>
      </c>
      <c r="AA2340">
        <v>5</v>
      </c>
      <c r="AB2340">
        <v>0.3125</v>
      </c>
      <c r="AC2340" t="s">
        <v>73</v>
      </c>
      <c r="AD2340" t="s">
        <v>199</v>
      </c>
      <c r="AE2340" t="s">
        <v>62</v>
      </c>
      <c r="AF2340" t="s">
        <v>62</v>
      </c>
      <c r="AG2340">
        <v>0</v>
      </c>
      <c r="AH2340">
        <v>0</v>
      </c>
      <c r="AI2340">
        <v>6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6</v>
      </c>
      <c r="AT2340">
        <v>0</v>
      </c>
      <c r="AU2340">
        <v>11</v>
      </c>
      <c r="AV2340">
        <v>8</v>
      </c>
      <c r="AW2340">
        <v>23</v>
      </c>
      <c r="AX2340">
        <v>6</v>
      </c>
      <c r="AY2340">
        <v>17</v>
      </c>
      <c r="AZ2340">
        <v>0</v>
      </c>
      <c r="BA2340" t="s">
        <v>8581</v>
      </c>
      <c r="BB2340" t="s">
        <v>193</v>
      </c>
      <c r="BC2340">
        <v>1.7609999999999999</v>
      </c>
      <c r="BD2340" t="s">
        <v>65</v>
      </c>
      <c r="BE2340">
        <v>40</v>
      </c>
      <c r="BF2340">
        <v>6</v>
      </c>
      <c r="BG2340" t="s">
        <v>8582</v>
      </c>
      <c r="BH2340" t="s">
        <v>8583</v>
      </c>
      <c r="BI2340" t="s">
        <v>8584</v>
      </c>
      <c r="BJ2340">
        <v>2.6679999999999999E-2</v>
      </c>
      <c r="BK2340">
        <v>1</v>
      </c>
      <c r="BL2340" t="s">
        <v>69</v>
      </c>
      <c r="BM2340">
        <v>-1.196</v>
      </c>
      <c r="BN2340">
        <v>-2.3170000000000002</v>
      </c>
    </row>
    <row r="2341" spans="2:66">
      <c r="B2341">
        <v>4039</v>
      </c>
      <c r="C2341">
        <v>33</v>
      </c>
      <c r="D2341">
        <v>0</v>
      </c>
      <c r="E2341">
        <v>26</v>
      </c>
      <c r="F2341">
        <v>6</v>
      </c>
      <c r="J2341">
        <v>0</v>
      </c>
      <c r="K2341">
        <v>13</v>
      </c>
      <c r="L2341">
        <v>4</v>
      </c>
      <c r="M2341" t="s">
        <v>25022</v>
      </c>
      <c r="N2341">
        <v>1376</v>
      </c>
      <c r="O2341" t="s">
        <v>8612</v>
      </c>
      <c r="P2341" t="s">
        <v>57</v>
      </c>
      <c r="Q2341">
        <v>1391953</v>
      </c>
      <c r="R2341">
        <v>1392636</v>
      </c>
      <c r="S2341" t="s">
        <v>8613</v>
      </c>
      <c r="T2341">
        <v>228</v>
      </c>
      <c r="U2341" t="s">
        <v>108</v>
      </c>
      <c r="V2341">
        <v>44</v>
      </c>
      <c r="W2341" t="str">
        <f>HYPERLINK("Gene1376-zp_tree_all.dnd", "Gene1376-tree")</f>
        <v>Gene1376-tree</v>
      </c>
      <c r="X2341">
        <v>5</v>
      </c>
      <c r="Y2341">
        <v>10</v>
      </c>
      <c r="Z2341">
        <v>5</v>
      </c>
      <c r="AA2341">
        <v>10</v>
      </c>
      <c r="AB2341">
        <v>0.66666999999999998</v>
      </c>
      <c r="AC2341" t="s">
        <v>199</v>
      </c>
      <c r="AD2341" t="s">
        <v>117</v>
      </c>
      <c r="AE2341" t="s">
        <v>62</v>
      </c>
      <c r="AF2341" t="s">
        <v>62</v>
      </c>
      <c r="AG2341">
        <v>7</v>
      </c>
      <c r="AH2341">
        <v>17</v>
      </c>
      <c r="AI2341">
        <v>10</v>
      </c>
      <c r="AJ2341">
        <v>0.62963000000000002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7</v>
      </c>
      <c r="AQ2341">
        <v>5</v>
      </c>
      <c r="AR2341">
        <v>12</v>
      </c>
      <c r="AS2341">
        <v>10</v>
      </c>
      <c r="AT2341">
        <v>0.54544999999999999</v>
      </c>
      <c r="AU2341">
        <v>10</v>
      </c>
      <c r="AV2341">
        <v>11</v>
      </c>
      <c r="AW2341">
        <v>37</v>
      </c>
      <c r="AX2341">
        <v>20</v>
      </c>
      <c r="AY2341">
        <v>27</v>
      </c>
      <c r="AZ2341">
        <v>8</v>
      </c>
      <c r="BA2341" t="s">
        <v>8614</v>
      </c>
      <c r="BB2341" t="s">
        <v>8615</v>
      </c>
      <c r="BC2341">
        <v>0.71299999999999997</v>
      </c>
      <c r="BD2341" t="s">
        <v>65</v>
      </c>
      <c r="BE2341">
        <v>64</v>
      </c>
      <c r="BF2341">
        <v>28</v>
      </c>
      <c r="BG2341" t="s">
        <v>8616</v>
      </c>
      <c r="BH2341" t="s">
        <v>8617</v>
      </c>
      <c r="BI2341" t="s">
        <v>8618</v>
      </c>
      <c r="BJ2341">
        <v>0.14488000000000001</v>
      </c>
      <c r="BK2341">
        <v>1</v>
      </c>
      <c r="BL2341" t="s">
        <v>69</v>
      </c>
      <c r="BM2341">
        <v>-1.2470000000000001</v>
      </c>
      <c r="BN2341">
        <v>-2.3719999999999999</v>
      </c>
    </row>
    <row r="2342" spans="2:66">
      <c r="B2342">
        <v>4040</v>
      </c>
      <c r="C2342">
        <v>33</v>
      </c>
      <c r="D2342">
        <v>0</v>
      </c>
      <c r="E2342">
        <v>5</v>
      </c>
      <c r="F2342">
        <v>0</v>
      </c>
      <c r="J2342">
        <v>0</v>
      </c>
      <c r="K2342">
        <v>16</v>
      </c>
      <c r="L2342">
        <v>3</v>
      </c>
      <c r="M2342" t="s">
        <v>25022</v>
      </c>
      <c r="N2342">
        <v>1377</v>
      </c>
      <c r="O2342" t="s">
        <v>8619</v>
      </c>
      <c r="P2342" t="s">
        <v>57</v>
      </c>
      <c r="Q2342">
        <v>1392643</v>
      </c>
      <c r="R2342">
        <v>1394004</v>
      </c>
      <c r="S2342" t="s">
        <v>8620</v>
      </c>
      <c r="T2342">
        <v>454</v>
      </c>
      <c r="U2342" t="s">
        <v>108</v>
      </c>
      <c r="V2342">
        <v>44</v>
      </c>
      <c r="W2342" t="str">
        <f>HYPERLINK("Gene1377-zp_tree_all.dnd", "Gene1377-tree")</f>
        <v>Gene1377-tree</v>
      </c>
      <c r="X2342">
        <v>6</v>
      </c>
      <c r="Y2342">
        <v>10</v>
      </c>
      <c r="Z2342">
        <v>6</v>
      </c>
      <c r="AA2342">
        <v>10</v>
      </c>
      <c r="AB2342">
        <v>0.625</v>
      </c>
      <c r="AC2342" t="s">
        <v>90</v>
      </c>
      <c r="AD2342" t="s">
        <v>117</v>
      </c>
      <c r="AE2342" t="s">
        <v>62</v>
      </c>
      <c r="AF2342" t="s">
        <v>62</v>
      </c>
      <c r="AG2342">
        <v>7</v>
      </c>
      <c r="AH2342">
        <v>19</v>
      </c>
      <c r="AI2342">
        <v>19</v>
      </c>
      <c r="AJ2342">
        <v>0.5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4</v>
      </c>
      <c r="AQ2342">
        <v>4</v>
      </c>
      <c r="AR2342">
        <v>8</v>
      </c>
      <c r="AS2342">
        <v>16</v>
      </c>
      <c r="AT2342">
        <v>0.33333000000000002</v>
      </c>
      <c r="AU2342">
        <v>14</v>
      </c>
      <c r="AV2342">
        <v>13</v>
      </c>
      <c r="AW2342">
        <v>64</v>
      </c>
      <c r="AX2342">
        <v>25</v>
      </c>
      <c r="AY2342">
        <v>41</v>
      </c>
      <c r="AZ2342">
        <v>14</v>
      </c>
      <c r="BA2342" t="s">
        <v>8621</v>
      </c>
      <c r="BB2342" t="s">
        <v>8622</v>
      </c>
      <c r="BC2342">
        <v>0.13400000000000001</v>
      </c>
      <c r="BD2342" t="s">
        <v>65</v>
      </c>
      <c r="BE2342">
        <v>105</v>
      </c>
      <c r="BF2342">
        <v>39</v>
      </c>
      <c r="BG2342" t="s">
        <v>8623</v>
      </c>
      <c r="BH2342" t="s">
        <v>8624</v>
      </c>
      <c r="BI2342" t="s">
        <v>8625</v>
      </c>
      <c r="BJ2342">
        <v>0.10410999999999999</v>
      </c>
      <c r="BK2342">
        <v>1</v>
      </c>
      <c r="BL2342" t="s">
        <v>69</v>
      </c>
      <c r="BM2342">
        <v>-0.83599999999999997</v>
      </c>
      <c r="BN2342">
        <v>-1.6990000000000001</v>
      </c>
    </row>
    <row r="2343" spans="2:66">
      <c r="B2343">
        <v>4043</v>
      </c>
      <c r="C2343">
        <v>7</v>
      </c>
      <c r="D2343">
        <v>0</v>
      </c>
      <c r="E2343">
        <v>2</v>
      </c>
      <c r="F2343">
        <v>2</v>
      </c>
      <c r="J2343">
        <v>0</v>
      </c>
      <c r="K2343">
        <v>10</v>
      </c>
      <c r="L2343">
        <v>1</v>
      </c>
      <c r="M2343" t="s">
        <v>25022</v>
      </c>
      <c r="N2343">
        <v>1378</v>
      </c>
      <c r="O2343" t="s">
        <v>8626</v>
      </c>
      <c r="P2343" t="s">
        <v>57</v>
      </c>
      <c r="Q2343">
        <v>1394004</v>
      </c>
      <c r="R2343">
        <v>1394681</v>
      </c>
      <c r="S2343" t="s">
        <v>3674</v>
      </c>
      <c r="T2343">
        <v>226</v>
      </c>
      <c r="U2343" t="s">
        <v>108</v>
      </c>
      <c r="V2343">
        <v>44</v>
      </c>
      <c r="W2343" t="str">
        <f>HYPERLINK("Gene1378-zp_tree_all.dnd", "Gene1378-tree")</f>
        <v>Gene1378-tree</v>
      </c>
      <c r="X2343">
        <v>5</v>
      </c>
      <c r="Y2343">
        <v>10</v>
      </c>
      <c r="Z2343">
        <v>5</v>
      </c>
      <c r="AA2343">
        <v>10</v>
      </c>
      <c r="AB2343">
        <v>0.66666999999999998</v>
      </c>
      <c r="AC2343" t="s">
        <v>199</v>
      </c>
      <c r="AD2343" t="s">
        <v>117</v>
      </c>
      <c r="AE2343" t="s">
        <v>62</v>
      </c>
      <c r="AF2343" t="s">
        <v>62</v>
      </c>
      <c r="AG2343">
        <v>4</v>
      </c>
      <c r="AH2343">
        <v>11</v>
      </c>
      <c r="AI2343">
        <v>20</v>
      </c>
      <c r="AJ2343">
        <v>0.35483999999999999</v>
      </c>
      <c r="AK2343">
        <v>0</v>
      </c>
      <c r="AL2343">
        <v>0</v>
      </c>
      <c r="AM2343">
        <v>0</v>
      </c>
      <c r="AN2343">
        <v>2</v>
      </c>
      <c r="AO2343">
        <v>0</v>
      </c>
      <c r="AP2343">
        <v>2</v>
      </c>
      <c r="AQ2343">
        <v>1</v>
      </c>
      <c r="AR2343">
        <v>3</v>
      </c>
      <c r="AS2343">
        <v>19</v>
      </c>
      <c r="AT2343">
        <v>0.13636000000000001</v>
      </c>
      <c r="AU2343">
        <v>13</v>
      </c>
      <c r="AV2343">
        <v>10</v>
      </c>
      <c r="AW2343">
        <v>27</v>
      </c>
      <c r="AX2343">
        <v>22</v>
      </c>
      <c r="AY2343">
        <v>20</v>
      </c>
      <c r="AZ2343">
        <v>9</v>
      </c>
      <c r="BA2343" t="s">
        <v>8627</v>
      </c>
      <c r="BB2343" t="s">
        <v>8628</v>
      </c>
      <c r="BC2343">
        <v>1.3779999999999999</v>
      </c>
      <c r="BD2343" t="s">
        <v>65</v>
      </c>
      <c r="BE2343">
        <v>47</v>
      </c>
      <c r="BF2343">
        <v>31</v>
      </c>
      <c r="BG2343" t="s">
        <v>8629</v>
      </c>
      <c r="BH2343" t="s">
        <v>8630</v>
      </c>
      <c r="BI2343" t="s">
        <v>8631</v>
      </c>
      <c r="BJ2343">
        <v>0.20093</v>
      </c>
      <c r="BK2343">
        <v>1</v>
      </c>
      <c r="BL2343" t="s">
        <v>69</v>
      </c>
      <c r="BM2343">
        <v>-1.0920000000000001</v>
      </c>
      <c r="BN2343">
        <v>-2.13</v>
      </c>
    </row>
    <row r="2344" spans="2:66">
      <c r="B2344">
        <v>4044</v>
      </c>
      <c r="C2344">
        <v>514</v>
      </c>
      <c r="D2344">
        <v>0</v>
      </c>
      <c r="E2344">
        <v>40</v>
      </c>
      <c r="F2344">
        <v>2</v>
      </c>
      <c r="J2344">
        <v>0</v>
      </c>
      <c r="K2344">
        <v>4</v>
      </c>
      <c r="L2344">
        <v>0</v>
      </c>
      <c r="M2344" t="s">
        <v>25022</v>
      </c>
      <c r="N2344">
        <v>1379</v>
      </c>
      <c r="O2344" t="s">
        <v>8632</v>
      </c>
      <c r="P2344" t="s">
        <v>57</v>
      </c>
      <c r="Q2344">
        <v>1394776</v>
      </c>
      <c r="R2344">
        <v>1395285</v>
      </c>
      <c r="S2344" t="s">
        <v>2332</v>
      </c>
      <c r="T2344">
        <v>170</v>
      </c>
      <c r="U2344" t="s">
        <v>108</v>
      </c>
      <c r="V2344">
        <v>44</v>
      </c>
      <c r="W2344" t="str">
        <f>HYPERLINK("Gene1379-zp_tree_all.dnd", "Gene1379-tree")</f>
        <v>Gene1379-tree</v>
      </c>
      <c r="X2344">
        <v>9</v>
      </c>
      <c r="Y2344">
        <v>5</v>
      </c>
      <c r="Z2344">
        <v>9</v>
      </c>
      <c r="AA2344">
        <v>5</v>
      </c>
      <c r="AB2344">
        <v>0.35714000000000001</v>
      </c>
      <c r="AC2344" t="s">
        <v>135</v>
      </c>
      <c r="AD2344" t="s">
        <v>199</v>
      </c>
      <c r="AE2344" t="s">
        <v>62</v>
      </c>
      <c r="AF2344" t="s">
        <v>62</v>
      </c>
      <c r="AG2344">
        <v>2</v>
      </c>
      <c r="AH2344">
        <v>4</v>
      </c>
      <c r="AI2344">
        <v>7</v>
      </c>
      <c r="AJ2344">
        <v>0.36364000000000002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2</v>
      </c>
      <c r="AQ2344">
        <v>0</v>
      </c>
      <c r="AR2344">
        <v>2</v>
      </c>
      <c r="AS2344">
        <v>8</v>
      </c>
      <c r="AT2344">
        <v>0.2</v>
      </c>
      <c r="AU2344">
        <v>10</v>
      </c>
      <c r="AV2344">
        <v>6</v>
      </c>
      <c r="AW2344">
        <v>15</v>
      </c>
      <c r="AX2344">
        <v>10</v>
      </c>
      <c r="AY2344">
        <v>9</v>
      </c>
      <c r="AZ2344">
        <v>1</v>
      </c>
      <c r="BA2344" t="s">
        <v>8633</v>
      </c>
      <c r="BB2344" t="s">
        <v>8634</v>
      </c>
      <c r="BC2344">
        <v>0.754</v>
      </c>
      <c r="BD2344" t="s">
        <v>65</v>
      </c>
      <c r="BE2344">
        <v>24</v>
      </c>
      <c r="BF2344">
        <v>11</v>
      </c>
      <c r="BG2344" t="s">
        <v>8635</v>
      </c>
      <c r="BH2344" t="s">
        <v>8636</v>
      </c>
      <c r="BI2344" t="s">
        <v>8637</v>
      </c>
      <c r="BJ2344">
        <v>0.10743999999999999</v>
      </c>
      <c r="BK2344">
        <v>1</v>
      </c>
      <c r="BL2344" t="s">
        <v>69</v>
      </c>
      <c r="BM2344">
        <v>-0.98799999999999999</v>
      </c>
      <c r="BN2344">
        <v>-1.954</v>
      </c>
    </row>
    <row r="2345" spans="2:66">
      <c r="B2345">
        <v>4046</v>
      </c>
      <c r="C2345">
        <v>69</v>
      </c>
      <c r="D2345">
        <v>0</v>
      </c>
      <c r="E2345">
        <v>2</v>
      </c>
      <c r="F2345">
        <v>0</v>
      </c>
      <c r="J2345">
        <v>0</v>
      </c>
      <c r="K2345">
        <v>0</v>
      </c>
      <c r="L2345">
        <v>0</v>
      </c>
      <c r="M2345" t="s">
        <v>25022</v>
      </c>
      <c r="N2345">
        <v>1380</v>
      </c>
      <c r="O2345" t="s">
        <v>8638</v>
      </c>
      <c r="P2345" t="s">
        <v>57</v>
      </c>
      <c r="Q2345">
        <v>1395371</v>
      </c>
      <c r="R2345">
        <v>1395505</v>
      </c>
      <c r="S2345" t="s">
        <v>288</v>
      </c>
      <c r="T2345">
        <v>45</v>
      </c>
      <c r="U2345" t="s">
        <v>59</v>
      </c>
      <c r="V2345">
        <v>49</v>
      </c>
      <c r="W2345" t="str">
        <f>HYPERLINK("Gene1380-zp_tree_all.dnd", "Gene1380-tree")</f>
        <v>Gene1380-tree</v>
      </c>
      <c r="X2345">
        <v>38</v>
      </c>
      <c r="Y2345">
        <v>0</v>
      </c>
      <c r="Z2345">
        <v>6</v>
      </c>
      <c r="AA2345">
        <v>0</v>
      </c>
      <c r="AB2345">
        <v>0</v>
      </c>
      <c r="AC2345" t="s">
        <v>8639</v>
      </c>
      <c r="AD2345" t="s">
        <v>62</v>
      </c>
      <c r="AE2345" t="s">
        <v>62</v>
      </c>
      <c r="AF2345" t="s">
        <v>62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</v>
      </c>
      <c r="AV2345">
        <v>2</v>
      </c>
      <c r="AW2345">
        <v>4</v>
      </c>
      <c r="AX2345">
        <v>0</v>
      </c>
      <c r="AY2345">
        <v>4</v>
      </c>
      <c r="AZ2345">
        <v>0</v>
      </c>
      <c r="BA2345" t="s">
        <v>193</v>
      </c>
      <c r="BB2345" t="s">
        <v>193</v>
      </c>
      <c r="BC2345">
        <v>0</v>
      </c>
      <c r="BD2345" t="s">
        <v>65</v>
      </c>
      <c r="BE2345">
        <v>8</v>
      </c>
      <c r="BF2345">
        <v>0</v>
      </c>
      <c r="BG2345" t="s">
        <v>8640</v>
      </c>
      <c r="BH2345" t="s">
        <v>8641</v>
      </c>
      <c r="BI2345" t="s">
        <v>193</v>
      </c>
      <c r="BJ2345">
        <v>0</v>
      </c>
      <c r="BK2345">
        <v>1</v>
      </c>
      <c r="BL2345" t="s">
        <v>69</v>
      </c>
      <c r="BM2345">
        <v>-0.70399999999999996</v>
      </c>
      <c r="BN2345">
        <v>0.59099999999999997</v>
      </c>
    </row>
    <row r="2346" spans="2:66">
      <c r="B2346">
        <v>4047</v>
      </c>
      <c r="C2346">
        <v>230</v>
      </c>
      <c r="D2346">
        <v>0</v>
      </c>
      <c r="E2346">
        <v>2</v>
      </c>
      <c r="F2346">
        <v>2</v>
      </c>
      <c r="J2346">
        <v>0</v>
      </c>
      <c r="K2346">
        <v>0</v>
      </c>
      <c r="L2346">
        <v>0</v>
      </c>
      <c r="M2346" t="s">
        <v>25022</v>
      </c>
      <c r="N2346">
        <v>1381</v>
      </c>
      <c r="O2346" t="s">
        <v>8642</v>
      </c>
      <c r="P2346" t="s">
        <v>57</v>
      </c>
      <c r="Q2346">
        <v>1396013</v>
      </c>
      <c r="R2346">
        <v>1397365</v>
      </c>
      <c r="S2346" t="s">
        <v>8643</v>
      </c>
      <c r="T2346">
        <v>451</v>
      </c>
      <c r="U2346" t="s">
        <v>1392</v>
      </c>
      <c r="V2346">
        <v>43</v>
      </c>
      <c r="W2346" t="str">
        <f>HYPERLINK("Gene1381-zp_tree_all.dnd", "Gene1381-tree")</f>
        <v>Gene1381-tree</v>
      </c>
      <c r="X2346">
        <v>10</v>
      </c>
      <c r="Y2346">
        <v>3</v>
      </c>
      <c r="Z2346">
        <v>10</v>
      </c>
      <c r="AA2346">
        <v>3</v>
      </c>
      <c r="AB2346">
        <v>0.23077</v>
      </c>
      <c r="AC2346" t="s">
        <v>117</v>
      </c>
      <c r="AD2346" t="s">
        <v>324</v>
      </c>
      <c r="AE2346" t="s">
        <v>62</v>
      </c>
      <c r="AF2346" t="s">
        <v>62</v>
      </c>
      <c r="AG2346">
        <v>0</v>
      </c>
      <c r="AH2346">
        <v>0</v>
      </c>
      <c r="AI2346">
        <v>3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3</v>
      </c>
      <c r="AT2346">
        <v>0</v>
      </c>
      <c r="AU2346">
        <v>13</v>
      </c>
      <c r="AV2346">
        <v>7</v>
      </c>
      <c r="AW2346">
        <v>57</v>
      </c>
      <c r="AX2346">
        <v>3</v>
      </c>
      <c r="AY2346">
        <v>14</v>
      </c>
      <c r="AZ2346">
        <v>0</v>
      </c>
      <c r="BA2346" t="s">
        <v>8644</v>
      </c>
      <c r="BB2346" t="s">
        <v>193</v>
      </c>
      <c r="BC2346">
        <v>0.92400000000000004</v>
      </c>
      <c r="BD2346" t="s">
        <v>65</v>
      </c>
      <c r="BE2346">
        <v>71</v>
      </c>
      <c r="BF2346">
        <v>3</v>
      </c>
      <c r="BG2346" t="s">
        <v>8645</v>
      </c>
      <c r="BH2346" t="s">
        <v>8646</v>
      </c>
      <c r="BI2346" t="s">
        <v>8647</v>
      </c>
      <c r="BJ2346">
        <v>1.167E-2</v>
      </c>
      <c r="BK2346">
        <v>1</v>
      </c>
      <c r="BL2346" t="s">
        <v>69</v>
      </c>
      <c r="BM2346">
        <v>0.35199999999999998</v>
      </c>
      <c r="BN2346">
        <v>-0.372</v>
      </c>
    </row>
    <row r="2347" spans="2:66">
      <c r="B2347">
        <v>4048</v>
      </c>
      <c r="C2347">
        <v>3</v>
      </c>
      <c r="D2347">
        <v>0</v>
      </c>
      <c r="E2347">
        <v>22</v>
      </c>
      <c r="F2347">
        <v>4</v>
      </c>
      <c r="J2347">
        <v>0</v>
      </c>
      <c r="K2347">
        <v>0</v>
      </c>
      <c r="L2347">
        <v>0</v>
      </c>
      <c r="M2347" t="s">
        <v>25022</v>
      </c>
      <c r="N2347">
        <v>1383</v>
      </c>
      <c r="O2347" t="s">
        <v>8655</v>
      </c>
      <c r="P2347" t="s">
        <v>57</v>
      </c>
      <c r="Q2347">
        <v>1397938</v>
      </c>
      <c r="R2347">
        <v>1398090</v>
      </c>
      <c r="S2347" t="s">
        <v>116</v>
      </c>
      <c r="T2347">
        <v>51</v>
      </c>
      <c r="U2347" t="s">
        <v>59</v>
      </c>
      <c r="V2347">
        <v>49</v>
      </c>
      <c r="W2347" t="str">
        <f>HYPERLINK("Gene1383-zp_tree_all.dnd", "Gene1383-tree")</f>
        <v>Gene1383-tree</v>
      </c>
      <c r="X2347">
        <v>8</v>
      </c>
      <c r="Y2347">
        <v>1</v>
      </c>
      <c r="Z2347">
        <v>8</v>
      </c>
      <c r="AA2347">
        <v>1</v>
      </c>
      <c r="AB2347">
        <v>0.11111</v>
      </c>
      <c r="AC2347" t="s">
        <v>136</v>
      </c>
      <c r="AD2347" t="s">
        <v>175</v>
      </c>
      <c r="AE2347" t="s">
        <v>62</v>
      </c>
      <c r="AF2347" t="s">
        <v>62</v>
      </c>
      <c r="AG2347">
        <v>0</v>
      </c>
      <c r="AH2347">
        <v>0</v>
      </c>
      <c r="AI2347">
        <v>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5</v>
      </c>
      <c r="AV2347">
        <v>4</v>
      </c>
      <c r="AW2347">
        <v>5</v>
      </c>
      <c r="AX2347">
        <v>1</v>
      </c>
      <c r="AY2347">
        <v>5</v>
      </c>
      <c r="AZ2347">
        <v>2</v>
      </c>
      <c r="BA2347" t="s">
        <v>8656</v>
      </c>
      <c r="BB2347" t="s">
        <v>8657</v>
      </c>
      <c r="BC2347">
        <v>0.251</v>
      </c>
      <c r="BD2347" t="s">
        <v>65</v>
      </c>
      <c r="BE2347">
        <v>10</v>
      </c>
      <c r="BF2347">
        <v>3</v>
      </c>
      <c r="BG2347" t="s">
        <v>8658</v>
      </c>
      <c r="BH2347" t="s">
        <v>8659</v>
      </c>
      <c r="BI2347" t="s">
        <v>8660</v>
      </c>
      <c r="BJ2347">
        <v>0.11008999999999999</v>
      </c>
      <c r="BK2347">
        <v>1</v>
      </c>
      <c r="BL2347" t="s">
        <v>69</v>
      </c>
      <c r="BM2347">
        <v>-1.1020000000000001</v>
      </c>
      <c r="BN2347">
        <v>-0.67400000000000004</v>
      </c>
    </row>
    <row r="2348" spans="2:66">
      <c r="B2348">
        <v>4049</v>
      </c>
      <c r="C2348">
        <v>91</v>
      </c>
      <c r="D2348">
        <v>0</v>
      </c>
      <c r="E2348">
        <v>22</v>
      </c>
      <c r="F2348">
        <v>0</v>
      </c>
      <c r="J2348">
        <v>0</v>
      </c>
      <c r="K2348">
        <v>0</v>
      </c>
      <c r="L2348">
        <v>0</v>
      </c>
      <c r="M2348" t="s">
        <v>25022</v>
      </c>
      <c r="N2348">
        <v>1384</v>
      </c>
      <c r="O2348" t="s">
        <v>8661</v>
      </c>
      <c r="P2348" t="s">
        <v>57</v>
      </c>
      <c r="Q2348">
        <v>1398181</v>
      </c>
      <c r="R2348">
        <v>1398360</v>
      </c>
      <c r="S2348" t="s">
        <v>116</v>
      </c>
      <c r="T2348">
        <v>60</v>
      </c>
      <c r="U2348" t="s">
        <v>108</v>
      </c>
      <c r="V2348">
        <v>44</v>
      </c>
      <c r="W2348" t="str">
        <f>HYPERLINK("Gene1384-zp_tree_all.dnd", "Gene1384-tree")</f>
        <v>Gene1384-tree</v>
      </c>
      <c r="X2348">
        <v>8</v>
      </c>
      <c r="Y2348">
        <v>1</v>
      </c>
      <c r="Z2348">
        <v>8</v>
      </c>
      <c r="AA2348">
        <v>1</v>
      </c>
      <c r="AB2348">
        <v>0.11111</v>
      </c>
      <c r="AC2348" t="s">
        <v>136</v>
      </c>
      <c r="AD2348" t="s">
        <v>175</v>
      </c>
      <c r="AE2348" t="s">
        <v>62</v>
      </c>
      <c r="AF2348" t="s">
        <v>62</v>
      </c>
      <c r="AG2348">
        <v>0</v>
      </c>
      <c r="AH2348">
        <v>0</v>
      </c>
      <c r="AI2348">
        <v>2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6</v>
      </c>
      <c r="AV2348">
        <v>2</v>
      </c>
      <c r="AW2348">
        <v>7</v>
      </c>
      <c r="AX2348">
        <v>1</v>
      </c>
      <c r="AY2348">
        <v>1</v>
      </c>
      <c r="AZ2348">
        <v>1</v>
      </c>
      <c r="BA2348" t="s">
        <v>8662</v>
      </c>
      <c r="BB2348" t="s">
        <v>8663</v>
      </c>
      <c r="BC2348">
        <v>0.59199999999999997</v>
      </c>
      <c r="BD2348" t="s">
        <v>65</v>
      </c>
      <c r="BE2348">
        <v>8</v>
      </c>
      <c r="BF2348">
        <v>2</v>
      </c>
      <c r="BG2348" t="s">
        <v>8664</v>
      </c>
      <c r="BH2348" t="s">
        <v>8665</v>
      </c>
      <c r="BI2348" t="s">
        <v>8666</v>
      </c>
      <c r="BJ2348">
        <v>7.7229999999999993E-2</v>
      </c>
      <c r="BK2348">
        <v>1</v>
      </c>
      <c r="BL2348" t="s">
        <v>69</v>
      </c>
      <c r="BM2348">
        <v>-1.2190000000000001</v>
      </c>
      <c r="BN2348">
        <v>-1.847</v>
      </c>
    </row>
    <row r="2349" spans="2:66">
      <c r="B2349">
        <v>4050</v>
      </c>
      <c r="C2349">
        <v>470</v>
      </c>
      <c r="D2349">
        <v>0</v>
      </c>
      <c r="E2349">
        <v>19</v>
      </c>
      <c r="F2349">
        <v>1</v>
      </c>
      <c r="J2349">
        <v>0</v>
      </c>
      <c r="K2349">
        <v>0</v>
      </c>
      <c r="L2349">
        <v>2</v>
      </c>
      <c r="M2349" t="s">
        <v>25022</v>
      </c>
      <c r="N2349">
        <v>1385</v>
      </c>
      <c r="O2349" t="s">
        <v>8667</v>
      </c>
      <c r="P2349" t="s">
        <v>57</v>
      </c>
      <c r="Q2349">
        <v>1398496</v>
      </c>
      <c r="R2349">
        <v>1398957</v>
      </c>
      <c r="S2349" t="s">
        <v>3745</v>
      </c>
      <c r="T2349">
        <v>154</v>
      </c>
      <c r="U2349" t="s">
        <v>59</v>
      </c>
      <c r="V2349">
        <v>49</v>
      </c>
      <c r="W2349" t="str">
        <f>HYPERLINK("Gene1385-zp_tree_all.dnd", "Gene1385-tree")</f>
        <v>Gene1385-tree</v>
      </c>
      <c r="X2349">
        <v>15</v>
      </c>
      <c r="Y2349">
        <v>1</v>
      </c>
      <c r="Z2349">
        <v>15</v>
      </c>
      <c r="AA2349">
        <v>1</v>
      </c>
      <c r="AB2349">
        <v>6.25E-2</v>
      </c>
      <c r="AC2349" t="s">
        <v>100</v>
      </c>
      <c r="AD2349" t="s">
        <v>175</v>
      </c>
      <c r="AE2349" t="s">
        <v>62</v>
      </c>
      <c r="AF2349" t="s">
        <v>62</v>
      </c>
      <c r="AG2349">
        <v>1</v>
      </c>
      <c r="AH2349">
        <v>2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14</v>
      </c>
      <c r="AV2349">
        <v>6</v>
      </c>
      <c r="AW2349">
        <v>24</v>
      </c>
      <c r="AX2349">
        <v>1</v>
      </c>
      <c r="AY2349">
        <v>18</v>
      </c>
      <c r="AZ2349">
        <v>1</v>
      </c>
      <c r="BA2349" t="s">
        <v>8668</v>
      </c>
      <c r="BB2349" t="s">
        <v>8669</v>
      </c>
      <c r="BC2349">
        <v>5.7000000000000002E-2</v>
      </c>
      <c r="BD2349" t="s">
        <v>65</v>
      </c>
      <c r="BE2349">
        <v>42</v>
      </c>
      <c r="BF2349">
        <v>2</v>
      </c>
      <c r="BG2349" t="s">
        <v>8670</v>
      </c>
      <c r="BH2349" t="s">
        <v>8671</v>
      </c>
      <c r="BI2349" t="s">
        <v>8672</v>
      </c>
      <c r="BJ2349">
        <v>9.8799999999999999E-3</v>
      </c>
      <c r="BK2349">
        <v>1</v>
      </c>
      <c r="BL2349" t="s">
        <v>69</v>
      </c>
      <c r="BM2349">
        <v>-1.59</v>
      </c>
      <c r="BN2349">
        <v>-1.9370000000000001</v>
      </c>
    </row>
    <row r="2350" spans="2:66">
      <c r="B2350">
        <v>4051</v>
      </c>
      <c r="C2350">
        <v>68</v>
      </c>
      <c r="D2350">
        <v>3</v>
      </c>
      <c r="E2350">
        <v>50</v>
      </c>
      <c r="F2350">
        <v>4</v>
      </c>
      <c r="J2350">
        <v>0</v>
      </c>
      <c r="K2350">
        <v>2</v>
      </c>
      <c r="L2350">
        <v>0</v>
      </c>
      <c r="M2350" t="s">
        <v>25022</v>
      </c>
      <c r="N2350">
        <v>1387</v>
      </c>
      <c r="O2350" t="s">
        <v>8680</v>
      </c>
      <c r="P2350" t="s">
        <v>57</v>
      </c>
      <c r="Q2350">
        <v>1400188</v>
      </c>
      <c r="R2350">
        <v>1400736</v>
      </c>
      <c r="S2350" t="s">
        <v>288</v>
      </c>
      <c r="T2350">
        <v>183</v>
      </c>
      <c r="U2350" t="s">
        <v>8681</v>
      </c>
      <c r="V2350">
        <v>35</v>
      </c>
      <c r="W2350" t="str">
        <f>HYPERLINK("Gene1387-zp_tree_all.dnd", "Gene1387-tree")</f>
        <v>Gene1387-tree</v>
      </c>
      <c r="X2350">
        <v>26</v>
      </c>
      <c r="Y2350">
        <v>5</v>
      </c>
      <c r="Z2350">
        <v>7</v>
      </c>
      <c r="AA2350">
        <v>5</v>
      </c>
      <c r="AB2350">
        <v>0.41666999999999998</v>
      </c>
      <c r="AC2350" t="s">
        <v>191</v>
      </c>
      <c r="AD2350" t="s">
        <v>199</v>
      </c>
      <c r="AE2350" t="s">
        <v>62</v>
      </c>
      <c r="AF2350" t="s">
        <v>62</v>
      </c>
      <c r="AG2350">
        <v>1</v>
      </c>
      <c r="AH2350">
        <v>2</v>
      </c>
      <c r="AI2350">
        <v>10</v>
      </c>
      <c r="AJ2350">
        <v>0.16667000000000001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2</v>
      </c>
      <c r="AQ2350">
        <v>0</v>
      </c>
      <c r="AR2350">
        <v>2</v>
      </c>
      <c r="AS2350">
        <v>5</v>
      </c>
      <c r="AT2350">
        <v>0.28571000000000002</v>
      </c>
      <c r="AU2350">
        <v>11</v>
      </c>
      <c r="AV2350">
        <v>8</v>
      </c>
      <c r="AW2350">
        <v>21</v>
      </c>
      <c r="AX2350">
        <v>7</v>
      </c>
      <c r="AY2350">
        <v>32</v>
      </c>
      <c r="AZ2350">
        <v>5</v>
      </c>
      <c r="BA2350" t="s">
        <v>8682</v>
      </c>
      <c r="BB2350" t="s">
        <v>8683</v>
      </c>
      <c r="BC2350">
        <v>0.505</v>
      </c>
      <c r="BD2350" t="s">
        <v>65</v>
      </c>
      <c r="BE2350">
        <v>53</v>
      </c>
      <c r="BF2350">
        <v>12</v>
      </c>
      <c r="BG2350" t="s">
        <v>8684</v>
      </c>
      <c r="BH2350" t="s">
        <v>8685</v>
      </c>
      <c r="BI2350" t="s">
        <v>8686</v>
      </c>
      <c r="BJ2350">
        <v>5.4850000000000003E-2</v>
      </c>
      <c r="BK2350">
        <v>1</v>
      </c>
      <c r="BL2350" t="s">
        <v>69</v>
      </c>
      <c r="BM2350">
        <v>0.28499999999999998</v>
      </c>
      <c r="BN2350">
        <v>0.47099999999999997</v>
      </c>
    </row>
    <row r="2351" spans="2:66">
      <c r="B2351">
        <v>4053</v>
      </c>
      <c r="C2351">
        <v>9</v>
      </c>
      <c r="D2351">
        <v>0</v>
      </c>
      <c r="E2351">
        <v>0</v>
      </c>
      <c r="F2351">
        <v>2</v>
      </c>
      <c r="J2351">
        <v>0</v>
      </c>
      <c r="K2351">
        <v>3</v>
      </c>
      <c r="L2351">
        <v>4</v>
      </c>
      <c r="M2351" t="s">
        <v>25022</v>
      </c>
      <c r="N2351">
        <v>1389</v>
      </c>
      <c r="O2351" t="s">
        <v>8694</v>
      </c>
      <c r="P2351" t="s">
        <v>57</v>
      </c>
      <c r="Q2351">
        <v>1401772</v>
      </c>
      <c r="R2351">
        <v>1403463</v>
      </c>
      <c r="S2351" t="s">
        <v>6103</v>
      </c>
      <c r="T2351">
        <v>564</v>
      </c>
      <c r="U2351" t="s">
        <v>108</v>
      </c>
      <c r="V2351">
        <v>44</v>
      </c>
      <c r="W2351" t="str">
        <f>HYPERLINK("Gene1389-zp_tree_all.dnd", "Gene1389-tree")</f>
        <v>Gene1389-tree</v>
      </c>
      <c r="X2351">
        <v>9</v>
      </c>
      <c r="Y2351">
        <v>6</v>
      </c>
      <c r="Z2351">
        <v>9</v>
      </c>
      <c r="AA2351">
        <v>6</v>
      </c>
      <c r="AB2351">
        <v>0.4</v>
      </c>
      <c r="AC2351" t="s">
        <v>135</v>
      </c>
      <c r="AD2351" t="s">
        <v>90</v>
      </c>
      <c r="AE2351" t="s">
        <v>62</v>
      </c>
      <c r="AF2351" t="s">
        <v>62</v>
      </c>
      <c r="AG2351">
        <v>3</v>
      </c>
      <c r="AH2351">
        <v>7</v>
      </c>
      <c r="AI2351">
        <v>8</v>
      </c>
      <c r="AJ2351">
        <v>0.46666999999999997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2</v>
      </c>
      <c r="AR2351">
        <v>2</v>
      </c>
      <c r="AS2351">
        <v>8</v>
      </c>
      <c r="AT2351">
        <v>0.2</v>
      </c>
      <c r="AU2351">
        <v>13</v>
      </c>
      <c r="AV2351">
        <v>11</v>
      </c>
      <c r="AW2351">
        <v>61</v>
      </c>
      <c r="AX2351">
        <v>10</v>
      </c>
      <c r="AY2351">
        <v>36</v>
      </c>
      <c r="AZ2351">
        <v>5</v>
      </c>
      <c r="BA2351" t="s">
        <v>8695</v>
      </c>
      <c r="BB2351" t="s">
        <v>8696</v>
      </c>
      <c r="BC2351">
        <v>0.16900000000000001</v>
      </c>
      <c r="BD2351" t="s">
        <v>65</v>
      </c>
      <c r="BE2351">
        <v>97</v>
      </c>
      <c r="BF2351">
        <v>15</v>
      </c>
      <c r="BG2351" t="s">
        <v>8697</v>
      </c>
      <c r="BH2351" t="s">
        <v>8698</v>
      </c>
      <c r="BI2351" t="s">
        <v>8699</v>
      </c>
      <c r="BJ2351">
        <v>4.9680000000000002E-2</v>
      </c>
      <c r="BK2351">
        <v>1</v>
      </c>
      <c r="BL2351" t="s">
        <v>69</v>
      </c>
      <c r="BM2351">
        <v>-0.46400000000000002</v>
      </c>
      <c r="BN2351">
        <v>-1.1180000000000001</v>
      </c>
    </row>
    <row r="2352" spans="2:66">
      <c r="B2352">
        <v>4054</v>
      </c>
      <c r="C2352">
        <v>38</v>
      </c>
      <c r="D2352">
        <v>0</v>
      </c>
      <c r="E2352">
        <v>4</v>
      </c>
      <c r="F2352">
        <v>3</v>
      </c>
      <c r="J2352">
        <v>0</v>
      </c>
      <c r="K2352">
        <v>0</v>
      </c>
      <c r="L2352">
        <v>0</v>
      </c>
      <c r="M2352" t="s">
        <v>25022</v>
      </c>
      <c r="N2352">
        <v>1390</v>
      </c>
      <c r="O2352" t="s">
        <v>8700</v>
      </c>
      <c r="P2352" t="s">
        <v>57</v>
      </c>
      <c r="Q2352">
        <v>1403479</v>
      </c>
      <c r="R2352">
        <v>1404489</v>
      </c>
      <c r="S2352" t="s">
        <v>3798</v>
      </c>
      <c r="T2352">
        <v>337</v>
      </c>
      <c r="U2352" t="s">
        <v>108</v>
      </c>
      <c r="V2352">
        <v>44</v>
      </c>
      <c r="W2352" t="str">
        <f>HYPERLINK("Gene1390-zp_tree_all.dnd", "Gene1390-tree")</f>
        <v>Gene1390-tree</v>
      </c>
      <c r="X2352">
        <v>11</v>
      </c>
      <c r="Y2352">
        <v>2</v>
      </c>
      <c r="Z2352">
        <v>11</v>
      </c>
      <c r="AA2352">
        <v>2</v>
      </c>
      <c r="AB2352">
        <v>0.15384999999999999</v>
      </c>
      <c r="AC2352" t="s">
        <v>73</v>
      </c>
      <c r="AD2352" t="s">
        <v>81</v>
      </c>
      <c r="AE2352" t="s">
        <v>62</v>
      </c>
      <c r="AF2352" t="s">
        <v>62</v>
      </c>
      <c r="AG2352">
        <v>0</v>
      </c>
      <c r="AH2352">
        <v>0</v>
      </c>
      <c r="AI2352">
        <v>6</v>
      </c>
      <c r="AJ2352">
        <v>0</v>
      </c>
      <c r="AK2352">
        <v>0</v>
      </c>
      <c r="AL2352">
        <v>0</v>
      </c>
      <c r="AM2352">
        <v>0</v>
      </c>
      <c r="AN2352">
        <v>3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>
        <v>0</v>
      </c>
      <c r="AU2352">
        <v>10</v>
      </c>
      <c r="AV2352">
        <v>8</v>
      </c>
      <c r="AW2352">
        <v>17</v>
      </c>
      <c r="AX2352">
        <v>2</v>
      </c>
      <c r="AY2352">
        <v>19</v>
      </c>
      <c r="AZ2352">
        <v>4</v>
      </c>
      <c r="BA2352" t="s">
        <v>8701</v>
      </c>
      <c r="BB2352" t="s">
        <v>8702</v>
      </c>
      <c r="BC2352">
        <v>0.26500000000000001</v>
      </c>
      <c r="BD2352" t="s">
        <v>65</v>
      </c>
      <c r="BE2352">
        <v>36</v>
      </c>
      <c r="BF2352">
        <v>6</v>
      </c>
      <c r="BG2352" t="s">
        <v>8703</v>
      </c>
      <c r="BH2352" t="s">
        <v>8704</v>
      </c>
      <c r="BI2352" t="s">
        <v>8705</v>
      </c>
      <c r="BJ2352">
        <v>5.8740000000000001E-2</v>
      </c>
      <c r="BK2352">
        <v>1</v>
      </c>
      <c r="BL2352" t="s">
        <v>69</v>
      </c>
      <c r="BM2352">
        <v>-0.55200000000000005</v>
      </c>
      <c r="BN2352">
        <v>-0.39700000000000002</v>
      </c>
    </row>
    <row r="2353" spans="2:66">
      <c r="B2353">
        <v>4055</v>
      </c>
      <c r="C2353">
        <v>51</v>
      </c>
      <c r="D2353">
        <v>0</v>
      </c>
      <c r="E2353">
        <v>2</v>
      </c>
      <c r="F2353">
        <v>7</v>
      </c>
      <c r="J2353">
        <v>0</v>
      </c>
      <c r="K2353">
        <v>0</v>
      </c>
      <c r="L2353">
        <v>5</v>
      </c>
      <c r="M2353" t="s">
        <v>25022</v>
      </c>
      <c r="N2353">
        <v>1394</v>
      </c>
      <c r="O2353" t="s">
        <v>8726</v>
      </c>
      <c r="P2353" t="s">
        <v>57</v>
      </c>
      <c r="Q2353">
        <v>1409912</v>
      </c>
      <c r="R2353">
        <v>1410574</v>
      </c>
      <c r="S2353" t="s">
        <v>6103</v>
      </c>
      <c r="T2353">
        <v>221</v>
      </c>
      <c r="U2353" t="s">
        <v>108</v>
      </c>
      <c r="V2353">
        <v>44</v>
      </c>
      <c r="W2353" t="str">
        <f>HYPERLINK("Gene1394-zp_tree_all.dnd", "Gene1394-tree")</f>
        <v>Gene1394-tree</v>
      </c>
      <c r="X2353">
        <v>9</v>
      </c>
      <c r="Y2353">
        <v>5</v>
      </c>
      <c r="Z2353">
        <v>9</v>
      </c>
      <c r="AA2353">
        <v>5</v>
      </c>
      <c r="AB2353">
        <v>0.35714000000000001</v>
      </c>
      <c r="AC2353" t="s">
        <v>135</v>
      </c>
      <c r="AD2353" t="s">
        <v>199</v>
      </c>
      <c r="AE2353" t="s">
        <v>62</v>
      </c>
      <c r="AF2353" t="s">
        <v>62</v>
      </c>
      <c r="AG2353">
        <v>2</v>
      </c>
      <c r="AH2353">
        <v>5</v>
      </c>
      <c r="AI2353">
        <v>5</v>
      </c>
      <c r="AJ2353">
        <v>0.5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</v>
      </c>
      <c r="AR2353">
        <v>3</v>
      </c>
      <c r="AS2353">
        <v>5</v>
      </c>
      <c r="AT2353">
        <v>0.375</v>
      </c>
      <c r="AU2353">
        <v>11</v>
      </c>
      <c r="AV2353">
        <v>11</v>
      </c>
      <c r="AW2353">
        <v>26</v>
      </c>
      <c r="AX2353">
        <v>7</v>
      </c>
      <c r="AY2353">
        <v>20</v>
      </c>
      <c r="AZ2353">
        <v>3</v>
      </c>
      <c r="BA2353" t="s">
        <v>8727</v>
      </c>
      <c r="BB2353" t="s">
        <v>8728</v>
      </c>
      <c r="BC2353">
        <v>0.45800000000000002</v>
      </c>
      <c r="BD2353" t="s">
        <v>65</v>
      </c>
      <c r="BE2353">
        <v>46</v>
      </c>
      <c r="BF2353">
        <v>10</v>
      </c>
      <c r="BG2353" t="s">
        <v>8729</v>
      </c>
      <c r="BH2353" t="s">
        <v>8730</v>
      </c>
      <c r="BI2353" t="s">
        <v>8731</v>
      </c>
      <c r="BJ2353">
        <v>6.9830000000000003E-2</v>
      </c>
      <c r="BK2353">
        <v>1</v>
      </c>
      <c r="BL2353" t="s">
        <v>69</v>
      </c>
      <c r="BM2353">
        <v>7.0999999999999994E-2</v>
      </c>
      <c r="BN2353">
        <v>-1.603</v>
      </c>
    </row>
    <row r="2354" spans="2:66">
      <c r="B2354">
        <v>4057</v>
      </c>
      <c r="C2354">
        <v>123</v>
      </c>
      <c r="D2354">
        <v>0</v>
      </c>
      <c r="E2354">
        <v>9</v>
      </c>
      <c r="F2354">
        <v>0</v>
      </c>
      <c r="J2354">
        <v>0</v>
      </c>
      <c r="K2354">
        <v>2</v>
      </c>
      <c r="L2354">
        <v>0</v>
      </c>
      <c r="M2354" t="s">
        <v>25022</v>
      </c>
      <c r="N2354">
        <v>1395</v>
      </c>
      <c r="O2354" t="s">
        <v>8732</v>
      </c>
      <c r="P2354" t="s">
        <v>57</v>
      </c>
      <c r="Q2354">
        <v>1410654</v>
      </c>
      <c r="R2354">
        <v>1411625</v>
      </c>
      <c r="S2354" t="s">
        <v>8733</v>
      </c>
      <c r="T2354">
        <v>324</v>
      </c>
      <c r="U2354" t="s">
        <v>108</v>
      </c>
      <c r="V2354">
        <v>44</v>
      </c>
      <c r="W2354" t="str">
        <f>HYPERLINK("Gene1395-zp_tree_all.dnd", "Gene1395-tree")</f>
        <v>Gene1395-tree</v>
      </c>
      <c r="X2354">
        <v>9</v>
      </c>
      <c r="Y2354">
        <v>6</v>
      </c>
      <c r="Z2354">
        <v>9</v>
      </c>
      <c r="AA2354">
        <v>6</v>
      </c>
      <c r="AB2354">
        <v>0.4</v>
      </c>
      <c r="AC2354" t="s">
        <v>135</v>
      </c>
      <c r="AD2354" t="s">
        <v>90</v>
      </c>
      <c r="AE2354" t="s">
        <v>62</v>
      </c>
      <c r="AF2354" t="s">
        <v>62</v>
      </c>
      <c r="AG2354">
        <v>1</v>
      </c>
      <c r="AH2354">
        <v>2</v>
      </c>
      <c r="AI2354">
        <v>7</v>
      </c>
      <c r="AJ2354">
        <v>0.22222</v>
      </c>
      <c r="AK2354">
        <v>0</v>
      </c>
      <c r="AL2354">
        <v>0</v>
      </c>
      <c r="AM2354">
        <v>0</v>
      </c>
      <c r="AN2354">
        <v>2</v>
      </c>
      <c r="AO2354">
        <v>0</v>
      </c>
      <c r="AP2354">
        <v>0</v>
      </c>
      <c r="AQ2354">
        <v>0</v>
      </c>
      <c r="AR2354">
        <v>0</v>
      </c>
      <c r="AS2354">
        <v>7</v>
      </c>
      <c r="AT2354">
        <v>0</v>
      </c>
      <c r="AU2354">
        <v>9</v>
      </c>
      <c r="AV2354">
        <v>8</v>
      </c>
      <c r="AW2354">
        <v>13</v>
      </c>
      <c r="AX2354">
        <v>6</v>
      </c>
      <c r="AY2354">
        <v>13</v>
      </c>
      <c r="AZ2354">
        <v>3</v>
      </c>
      <c r="BA2354" t="s">
        <v>8734</v>
      </c>
      <c r="BB2354" t="s">
        <v>8735</v>
      </c>
      <c r="BC2354">
        <v>0.76700000000000002</v>
      </c>
      <c r="BD2354" t="s">
        <v>65</v>
      </c>
      <c r="BE2354">
        <v>26</v>
      </c>
      <c r="BF2354">
        <v>9</v>
      </c>
      <c r="BG2354" t="s">
        <v>8736</v>
      </c>
      <c r="BH2354" t="s">
        <v>8737</v>
      </c>
      <c r="BI2354" t="s">
        <v>8738</v>
      </c>
      <c r="BJ2354">
        <v>8.763E-2</v>
      </c>
      <c r="BK2354">
        <v>1</v>
      </c>
      <c r="BL2354" t="s">
        <v>69</v>
      </c>
      <c r="BM2354">
        <v>-0.246</v>
      </c>
      <c r="BN2354">
        <v>-1.0189999999999999</v>
      </c>
    </row>
    <row r="2355" spans="2:66">
      <c r="B2355">
        <v>4058</v>
      </c>
      <c r="C2355">
        <v>6</v>
      </c>
      <c r="D2355">
        <v>0</v>
      </c>
      <c r="E2355">
        <v>2</v>
      </c>
      <c r="F2355">
        <v>2</v>
      </c>
      <c r="J2355">
        <v>0</v>
      </c>
      <c r="K2355">
        <v>0</v>
      </c>
      <c r="L2355">
        <v>4</v>
      </c>
      <c r="M2355" t="s">
        <v>25022</v>
      </c>
      <c r="N2355">
        <v>1396</v>
      </c>
      <c r="O2355" t="s">
        <v>8739</v>
      </c>
      <c r="P2355" t="s">
        <v>57</v>
      </c>
      <c r="Q2355">
        <v>1411892</v>
      </c>
      <c r="R2355">
        <v>1412644</v>
      </c>
      <c r="S2355" t="s">
        <v>8740</v>
      </c>
      <c r="T2355">
        <v>251</v>
      </c>
      <c r="U2355" t="s">
        <v>59</v>
      </c>
      <c r="V2355">
        <v>49</v>
      </c>
      <c r="W2355" t="str">
        <f>HYPERLINK("Gene1396-zp_tree_all.dnd", "Gene1396-tree")</f>
        <v>Gene1396-tree</v>
      </c>
      <c r="X2355">
        <v>14</v>
      </c>
      <c r="Y2355">
        <v>2</v>
      </c>
      <c r="Z2355">
        <v>14</v>
      </c>
      <c r="AA2355">
        <v>2</v>
      </c>
      <c r="AB2355">
        <v>0.125</v>
      </c>
      <c r="AC2355" t="s">
        <v>543</v>
      </c>
      <c r="AD2355" t="s">
        <v>81</v>
      </c>
      <c r="AE2355" t="s">
        <v>62</v>
      </c>
      <c r="AF2355" t="s">
        <v>62</v>
      </c>
      <c r="AG2355">
        <v>2</v>
      </c>
      <c r="AH2355">
        <v>4</v>
      </c>
      <c r="AI2355">
        <v>3</v>
      </c>
      <c r="AJ2355">
        <v>0.57142999999999999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2</v>
      </c>
      <c r="AT2355">
        <v>0</v>
      </c>
      <c r="AU2355">
        <v>13</v>
      </c>
      <c r="AV2355">
        <v>7</v>
      </c>
      <c r="AW2355">
        <v>30</v>
      </c>
      <c r="AX2355">
        <v>2</v>
      </c>
      <c r="AY2355">
        <v>34</v>
      </c>
      <c r="AZ2355">
        <v>5</v>
      </c>
      <c r="BA2355" t="s">
        <v>8741</v>
      </c>
      <c r="BB2355" t="s">
        <v>8742</v>
      </c>
      <c r="BC2355">
        <v>0.40200000000000002</v>
      </c>
      <c r="BD2355" t="s">
        <v>65</v>
      </c>
      <c r="BE2355">
        <v>64</v>
      </c>
      <c r="BF2355">
        <v>7</v>
      </c>
      <c r="BG2355" t="s">
        <v>8743</v>
      </c>
      <c r="BH2355" t="s">
        <v>8744</v>
      </c>
      <c r="BI2355" t="s">
        <v>8745</v>
      </c>
      <c r="BJ2355">
        <v>2.8049999999999999E-2</v>
      </c>
      <c r="BK2355">
        <v>1</v>
      </c>
      <c r="BL2355" t="s">
        <v>69</v>
      </c>
      <c r="BM2355">
        <v>-1.482</v>
      </c>
      <c r="BN2355">
        <v>-1.22</v>
      </c>
    </row>
    <row r="2356" spans="2:66">
      <c r="B2356">
        <v>4059</v>
      </c>
      <c r="C2356">
        <v>50</v>
      </c>
      <c r="D2356">
        <v>0</v>
      </c>
      <c r="E2356">
        <v>0</v>
      </c>
      <c r="F2356">
        <v>2</v>
      </c>
      <c r="J2356">
        <v>0</v>
      </c>
      <c r="K2356">
        <v>15</v>
      </c>
      <c r="L2356">
        <v>0</v>
      </c>
      <c r="M2356" t="s">
        <v>25022</v>
      </c>
      <c r="N2356">
        <v>1397</v>
      </c>
      <c r="O2356" t="s">
        <v>8746</v>
      </c>
      <c r="P2356" t="s">
        <v>57</v>
      </c>
      <c r="Q2356">
        <v>1412644</v>
      </c>
      <c r="R2356">
        <v>1413786</v>
      </c>
      <c r="S2356" t="s">
        <v>8747</v>
      </c>
      <c r="T2356">
        <v>381</v>
      </c>
      <c r="U2356" t="s">
        <v>108</v>
      </c>
      <c r="V2356">
        <v>44</v>
      </c>
      <c r="W2356" t="str">
        <f>HYPERLINK("Gene1397-zp_tree_all.dnd", "Gene1397-tree")</f>
        <v>Gene1397-tree</v>
      </c>
      <c r="X2356">
        <v>2</v>
      </c>
      <c r="Y2356">
        <v>13</v>
      </c>
      <c r="Z2356">
        <v>2</v>
      </c>
      <c r="AA2356">
        <v>13</v>
      </c>
      <c r="AB2356">
        <v>0.86667000000000005</v>
      </c>
      <c r="AC2356" t="s">
        <v>81</v>
      </c>
      <c r="AD2356" t="s">
        <v>507</v>
      </c>
      <c r="AE2356" t="s">
        <v>62</v>
      </c>
      <c r="AF2356" t="s">
        <v>62</v>
      </c>
      <c r="AG2356">
        <v>5</v>
      </c>
      <c r="AH2356">
        <v>15</v>
      </c>
      <c r="AI2356">
        <v>13</v>
      </c>
      <c r="AJ2356">
        <v>0.53571000000000002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9</v>
      </c>
      <c r="AQ2356">
        <v>0</v>
      </c>
      <c r="AR2356">
        <v>9</v>
      </c>
      <c r="AS2356">
        <v>13</v>
      </c>
      <c r="AT2356">
        <v>0.40909000000000001</v>
      </c>
      <c r="AU2356">
        <v>13</v>
      </c>
      <c r="AV2356">
        <v>11</v>
      </c>
      <c r="AW2356">
        <v>13</v>
      </c>
      <c r="AX2356">
        <v>20</v>
      </c>
      <c r="AY2356">
        <v>9</v>
      </c>
      <c r="AZ2356">
        <v>9</v>
      </c>
      <c r="BA2356" t="s">
        <v>8748</v>
      </c>
      <c r="BB2356" t="s">
        <v>8749</v>
      </c>
      <c r="BC2356">
        <v>0.61599999999999999</v>
      </c>
      <c r="BD2356" t="s">
        <v>65</v>
      </c>
      <c r="BE2356">
        <v>22</v>
      </c>
      <c r="BF2356">
        <v>29</v>
      </c>
      <c r="BG2356" t="s">
        <v>8750</v>
      </c>
      <c r="BH2356" t="s">
        <v>8751</v>
      </c>
      <c r="BI2356" t="s">
        <v>8752</v>
      </c>
      <c r="BJ2356">
        <v>0.22405</v>
      </c>
      <c r="BK2356">
        <v>1</v>
      </c>
      <c r="BL2356" t="s">
        <v>69</v>
      </c>
      <c r="BM2356">
        <v>-1.2190000000000001</v>
      </c>
      <c r="BN2356">
        <v>-2.2069999999999999</v>
      </c>
    </row>
    <row r="2357" spans="2:66">
      <c r="B2357">
        <v>4063</v>
      </c>
      <c r="C2357">
        <v>44</v>
      </c>
      <c r="D2357">
        <v>0</v>
      </c>
      <c r="E2357">
        <v>55</v>
      </c>
      <c r="F2357">
        <v>10</v>
      </c>
      <c r="J2357">
        <v>0</v>
      </c>
      <c r="K2357">
        <v>2</v>
      </c>
      <c r="L2357">
        <v>0</v>
      </c>
      <c r="M2357" t="s">
        <v>25022</v>
      </c>
      <c r="N2357">
        <v>1400</v>
      </c>
      <c r="O2357" t="s">
        <v>8763</v>
      </c>
      <c r="P2357" t="s">
        <v>57</v>
      </c>
      <c r="Q2357">
        <v>1414997</v>
      </c>
      <c r="R2357">
        <v>1415890</v>
      </c>
      <c r="S2357" t="s">
        <v>8764</v>
      </c>
      <c r="T2357">
        <v>298</v>
      </c>
      <c r="U2357" t="s">
        <v>108</v>
      </c>
      <c r="V2357">
        <v>44</v>
      </c>
      <c r="W2357" t="str">
        <f>HYPERLINK("Gene1400-zp_tree_all.dnd", "Gene1400-tree")</f>
        <v>Gene1400-tree</v>
      </c>
      <c r="X2357">
        <v>9</v>
      </c>
      <c r="Y2357">
        <v>6</v>
      </c>
      <c r="Z2357">
        <v>9</v>
      </c>
      <c r="AA2357">
        <v>6</v>
      </c>
      <c r="AB2357">
        <v>0.4</v>
      </c>
      <c r="AC2357" t="s">
        <v>135</v>
      </c>
      <c r="AD2357" t="s">
        <v>90</v>
      </c>
      <c r="AE2357" t="s">
        <v>62</v>
      </c>
      <c r="AF2357" t="s">
        <v>62</v>
      </c>
      <c r="AG2357">
        <v>1</v>
      </c>
      <c r="AH2357">
        <v>2</v>
      </c>
      <c r="AI2357">
        <v>8</v>
      </c>
      <c r="AJ2357">
        <v>0.2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2</v>
      </c>
      <c r="AQ2357">
        <v>0</v>
      </c>
      <c r="AR2357">
        <v>2</v>
      </c>
      <c r="AS2357">
        <v>6</v>
      </c>
      <c r="AT2357">
        <v>0.25</v>
      </c>
      <c r="AU2357">
        <v>14</v>
      </c>
      <c r="AV2357">
        <v>6</v>
      </c>
      <c r="AW2357">
        <v>32</v>
      </c>
      <c r="AX2357">
        <v>8</v>
      </c>
      <c r="AY2357">
        <v>19</v>
      </c>
      <c r="AZ2357">
        <v>2</v>
      </c>
      <c r="BA2357" t="s">
        <v>8765</v>
      </c>
      <c r="BB2357" t="s">
        <v>8766</v>
      </c>
      <c r="BC2357">
        <v>0.51</v>
      </c>
      <c r="BD2357" t="s">
        <v>65</v>
      </c>
      <c r="BE2357">
        <v>51</v>
      </c>
      <c r="BF2357">
        <v>10</v>
      </c>
      <c r="BG2357" t="s">
        <v>8767</v>
      </c>
      <c r="BH2357" t="s">
        <v>8768</v>
      </c>
      <c r="BI2357" t="s">
        <v>8769</v>
      </c>
      <c r="BJ2357">
        <v>6.4780000000000004E-2</v>
      </c>
      <c r="BK2357">
        <v>1</v>
      </c>
      <c r="BL2357" t="s">
        <v>69</v>
      </c>
      <c r="BM2357">
        <v>-1.0760000000000001</v>
      </c>
      <c r="BN2357">
        <v>-1.673</v>
      </c>
    </row>
    <row r="2358" spans="2:66">
      <c r="B2358">
        <v>4064</v>
      </c>
      <c r="C2358">
        <v>113</v>
      </c>
      <c r="D2358">
        <v>0</v>
      </c>
      <c r="E2358">
        <v>15</v>
      </c>
      <c r="F2358">
        <v>0</v>
      </c>
      <c r="J2358">
        <v>0</v>
      </c>
      <c r="K2358">
        <v>0</v>
      </c>
      <c r="L2358">
        <v>0</v>
      </c>
      <c r="M2358" t="s">
        <v>25022</v>
      </c>
      <c r="N2358">
        <v>1401</v>
      </c>
      <c r="O2358" t="s">
        <v>8770</v>
      </c>
      <c r="P2358" t="s">
        <v>57</v>
      </c>
      <c r="Q2358">
        <v>1416067</v>
      </c>
      <c r="R2358">
        <v>1417413</v>
      </c>
      <c r="S2358" t="s">
        <v>8771</v>
      </c>
      <c r="T2358">
        <v>449</v>
      </c>
      <c r="U2358" t="s">
        <v>108</v>
      </c>
      <c r="V2358">
        <v>44</v>
      </c>
      <c r="W2358" t="str">
        <f>HYPERLINK("Gene1401-zp_tree_all.dnd", "Gene1401-tree")</f>
        <v>Gene1401-tree</v>
      </c>
      <c r="X2358">
        <v>11</v>
      </c>
      <c r="Y2358">
        <v>4</v>
      </c>
      <c r="Z2358">
        <v>11</v>
      </c>
      <c r="AA2358">
        <v>4</v>
      </c>
      <c r="AB2358">
        <v>0.26667000000000002</v>
      </c>
      <c r="AC2358" t="s">
        <v>73</v>
      </c>
      <c r="AD2358" t="s">
        <v>61</v>
      </c>
      <c r="AE2358" t="s">
        <v>62</v>
      </c>
      <c r="AF2358" t="s">
        <v>62</v>
      </c>
      <c r="AG2358">
        <v>0</v>
      </c>
      <c r="AH2358">
        <v>0</v>
      </c>
      <c r="AI2358">
        <v>5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4</v>
      </c>
      <c r="AT2358">
        <v>0</v>
      </c>
      <c r="AU2358">
        <v>14</v>
      </c>
      <c r="AV2358">
        <v>12</v>
      </c>
      <c r="AW2358">
        <v>49</v>
      </c>
      <c r="AX2358">
        <v>4</v>
      </c>
      <c r="AY2358">
        <v>28</v>
      </c>
      <c r="AZ2358">
        <v>1</v>
      </c>
      <c r="BA2358" t="s">
        <v>8772</v>
      </c>
      <c r="BB2358" t="s">
        <v>8773</v>
      </c>
      <c r="BC2358">
        <v>0.33900000000000002</v>
      </c>
      <c r="BD2358" t="s">
        <v>65</v>
      </c>
      <c r="BE2358">
        <v>77</v>
      </c>
      <c r="BF2358">
        <v>5</v>
      </c>
      <c r="BG2358" t="s">
        <v>8774</v>
      </c>
      <c r="BH2358" t="s">
        <v>8775</v>
      </c>
      <c r="BI2358" t="s">
        <v>8776</v>
      </c>
      <c r="BJ2358">
        <v>2.12E-2</v>
      </c>
      <c r="BK2358">
        <v>1</v>
      </c>
      <c r="BL2358" t="s">
        <v>69</v>
      </c>
      <c r="BM2358">
        <v>-0.872</v>
      </c>
      <c r="BN2358">
        <v>-2.1509999999999998</v>
      </c>
    </row>
    <row r="2359" spans="2:66">
      <c r="B2359">
        <v>4065</v>
      </c>
      <c r="C2359">
        <v>100</v>
      </c>
      <c r="D2359">
        <v>0</v>
      </c>
      <c r="E2359">
        <v>2</v>
      </c>
      <c r="F2359">
        <v>0</v>
      </c>
      <c r="J2359">
        <v>0</v>
      </c>
      <c r="K2359">
        <v>0</v>
      </c>
      <c r="L2359">
        <v>0</v>
      </c>
      <c r="M2359" t="s">
        <v>25022</v>
      </c>
      <c r="N2359">
        <v>1402</v>
      </c>
      <c r="O2359" t="s">
        <v>8777</v>
      </c>
      <c r="P2359" t="s">
        <v>57</v>
      </c>
      <c r="Q2359">
        <v>1417561</v>
      </c>
      <c r="R2359">
        <v>1417713</v>
      </c>
      <c r="S2359" t="s">
        <v>116</v>
      </c>
      <c r="T2359">
        <v>51</v>
      </c>
      <c r="U2359" t="s">
        <v>108</v>
      </c>
      <c r="V2359">
        <v>44</v>
      </c>
      <c r="W2359" t="str">
        <f>HYPERLINK("Gene1402-zp_tree_all.dnd", "Gene1402-tree")</f>
        <v>Gene1402-tree</v>
      </c>
      <c r="X2359">
        <v>3</v>
      </c>
      <c r="Y2359">
        <v>1</v>
      </c>
      <c r="Z2359">
        <v>3</v>
      </c>
      <c r="AA2359">
        <v>1</v>
      </c>
      <c r="AB2359">
        <v>0.25</v>
      </c>
      <c r="AC2359" t="s">
        <v>324</v>
      </c>
      <c r="AD2359" t="s">
        <v>175</v>
      </c>
      <c r="AE2359" t="s">
        <v>62</v>
      </c>
      <c r="AF2359" t="s">
        <v>62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3</v>
      </c>
      <c r="AV2359">
        <v>0</v>
      </c>
      <c r="AW2359">
        <v>2</v>
      </c>
      <c r="AX2359">
        <v>1</v>
      </c>
      <c r="AY2359">
        <v>0</v>
      </c>
      <c r="AZ2359">
        <v>0</v>
      </c>
      <c r="BA2359" t="s">
        <v>8778</v>
      </c>
      <c r="BB2359" t="s">
        <v>193</v>
      </c>
      <c r="BC2359">
        <v>0.69299999999999995</v>
      </c>
      <c r="BD2359" t="s">
        <v>65</v>
      </c>
      <c r="BE2359">
        <v>2</v>
      </c>
      <c r="BF2359">
        <v>1</v>
      </c>
      <c r="BG2359" t="s">
        <v>8779</v>
      </c>
      <c r="BH2359" t="s">
        <v>8780</v>
      </c>
      <c r="BI2359" t="s">
        <v>8781</v>
      </c>
      <c r="BJ2359">
        <v>0.11892999999999999</v>
      </c>
      <c r="BK2359">
        <v>0.94099999999999995</v>
      </c>
      <c r="BL2359" t="s">
        <v>635</v>
      </c>
      <c r="BM2359">
        <v>-1.4410000000000001</v>
      </c>
      <c r="BN2359">
        <v>-0.378</v>
      </c>
    </row>
    <row r="2360" spans="2:66">
      <c r="B2360">
        <v>4066</v>
      </c>
      <c r="C2360">
        <v>398</v>
      </c>
      <c r="D2360">
        <v>0</v>
      </c>
      <c r="E2360">
        <v>8</v>
      </c>
      <c r="F2360">
        <v>1</v>
      </c>
      <c r="J2360">
        <v>0</v>
      </c>
      <c r="K2360">
        <v>0</v>
      </c>
      <c r="L2360">
        <v>0</v>
      </c>
      <c r="M2360" t="s">
        <v>25022</v>
      </c>
      <c r="N2360">
        <v>1403</v>
      </c>
      <c r="O2360" t="s">
        <v>8782</v>
      </c>
      <c r="P2360" t="s">
        <v>57</v>
      </c>
      <c r="Q2360">
        <v>1417719</v>
      </c>
      <c r="R2360">
        <v>1417892</v>
      </c>
      <c r="S2360" t="s">
        <v>116</v>
      </c>
      <c r="T2360">
        <v>58</v>
      </c>
      <c r="U2360" t="s">
        <v>108</v>
      </c>
      <c r="V2360">
        <v>44</v>
      </c>
      <c r="W2360" t="str">
        <f>HYPERLINK("Gene1403-zp_tree_all.dnd", "Gene1403-tree")</f>
        <v>Gene1403-tree</v>
      </c>
      <c r="X2360">
        <v>5</v>
      </c>
      <c r="Y2360">
        <v>1</v>
      </c>
      <c r="Z2360">
        <v>5</v>
      </c>
      <c r="AA2360">
        <v>1</v>
      </c>
      <c r="AB2360">
        <v>0.16667000000000001</v>
      </c>
      <c r="AC2360" t="s">
        <v>199</v>
      </c>
      <c r="AD2360" t="s">
        <v>175</v>
      </c>
      <c r="AE2360" t="s">
        <v>62</v>
      </c>
      <c r="AF2360" t="s">
        <v>62</v>
      </c>
      <c r="AG2360">
        <v>0</v>
      </c>
      <c r="AH2360">
        <v>0</v>
      </c>
      <c r="AI2360">
        <v>2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2</v>
      </c>
      <c r="AT2360">
        <v>0</v>
      </c>
      <c r="AU2360">
        <v>5</v>
      </c>
      <c r="AV2360">
        <v>1</v>
      </c>
      <c r="AW2360">
        <v>5</v>
      </c>
      <c r="AX2360">
        <v>2</v>
      </c>
      <c r="AY2360">
        <v>1</v>
      </c>
      <c r="AZ2360">
        <v>0</v>
      </c>
      <c r="BA2360" t="s">
        <v>8783</v>
      </c>
      <c r="BB2360" t="s">
        <v>193</v>
      </c>
      <c r="BC2360">
        <v>0.50700000000000001</v>
      </c>
      <c r="BD2360" t="s">
        <v>65</v>
      </c>
      <c r="BE2360">
        <v>6</v>
      </c>
      <c r="BF2360">
        <v>2</v>
      </c>
      <c r="BG2360" t="s">
        <v>8784</v>
      </c>
      <c r="BH2360" t="s">
        <v>8785</v>
      </c>
      <c r="BI2360" t="s">
        <v>8786</v>
      </c>
      <c r="BJ2360">
        <v>6.4219999999999999E-2</v>
      </c>
      <c r="BK2360">
        <v>1</v>
      </c>
      <c r="BL2360" t="s">
        <v>69</v>
      </c>
      <c r="BM2360">
        <v>-0.14399999999999999</v>
      </c>
      <c r="BN2360">
        <v>-2.165</v>
      </c>
    </row>
    <row r="2361" spans="2:66">
      <c r="B2361">
        <v>4067</v>
      </c>
      <c r="C2361">
        <v>18</v>
      </c>
      <c r="D2361">
        <v>0</v>
      </c>
      <c r="E2361">
        <v>13</v>
      </c>
      <c r="F2361">
        <v>0</v>
      </c>
      <c r="J2361">
        <v>0</v>
      </c>
      <c r="K2361">
        <v>2</v>
      </c>
      <c r="L2361">
        <v>0</v>
      </c>
      <c r="M2361" t="s">
        <v>25022</v>
      </c>
      <c r="N2361">
        <v>1405</v>
      </c>
      <c r="O2361" t="s">
        <v>8794</v>
      </c>
      <c r="P2361" t="s">
        <v>57</v>
      </c>
      <c r="Q2361">
        <v>1419213</v>
      </c>
      <c r="R2361">
        <v>1421426</v>
      </c>
      <c r="S2361" t="s">
        <v>3074</v>
      </c>
      <c r="T2361">
        <v>738</v>
      </c>
      <c r="U2361" t="s">
        <v>108</v>
      </c>
      <c r="V2361">
        <v>44</v>
      </c>
      <c r="W2361" t="str">
        <f>HYPERLINK("Gene1405-zp_tree_all.dnd", "Gene1405-tree")</f>
        <v>Gene1405-tree</v>
      </c>
      <c r="X2361">
        <v>10</v>
      </c>
      <c r="Y2361">
        <v>5</v>
      </c>
      <c r="Z2361">
        <v>10</v>
      </c>
      <c r="AA2361">
        <v>5</v>
      </c>
      <c r="AB2361">
        <v>0.33333000000000002</v>
      </c>
      <c r="AC2361" t="s">
        <v>117</v>
      </c>
      <c r="AD2361" t="s">
        <v>199</v>
      </c>
      <c r="AE2361" t="s">
        <v>62</v>
      </c>
      <c r="AF2361" t="s">
        <v>62</v>
      </c>
      <c r="AG2361">
        <v>1</v>
      </c>
      <c r="AH2361">
        <v>2</v>
      </c>
      <c r="AI2361">
        <v>5</v>
      </c>
      <c r="AJ2361">
        <v>0.28571000000000002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2</v>
      </c>
      <c r="AQ2361">
        <v>0</v>
      </c>
      <c r="AR2361">
        <v>2</v>
      </c>
      <c r="AS2361">
        <v>4</v>
      </c>
      <c r="AT2361">
        <v>0.33333000000000002</v>
      </c>
      <c r="AU2361">
        <v>12</v>
      </c>
      <c r="AV2361">
        <v>12</v>
      </c>
      <c r="AW2361">
        <v>39</v>
      </c>
      <c r="AX2361">
        <v>6</v>
      </c>
      <c r="AY2361">
        <v>37</v>
      </c>
      <c r="AZ2361">
        <v>1</v>
      </c>
      <c r="BA2361" t="s">
        <v>8795</v>
      </c>
      <c r="BB2361" t="s">
        <v>8796</v>
      </c>
      <c r="BC2361">
        <v>0.98699999999999999</v>
      </c>
      <c r="BD2361" t="s">
        <v>65</v>
      </c>
      <c r="BE2361">
        <v>76</v>
      </c>
      <c r="BF2361">
        <v>7</v>
      </c>
      <c r="BG2361" t="s">
        <v>8797</v>
      </c>
      <c r="BH2361" t="s">
        <v>8798</v>
      </c>
      <c r="BI2361" t="s">
        <v>8799</v>
      </c>
      <c r="BJ2361">
        <v>2.0320000000000001E-2</v>
      </c>
      <c r="BK2361">
        <v>1</v>
      </c>
      <c r="BL2361" t="s">
        <v>69</v>
      </c>
      <c r="BM2361">
        <v>-0.52700000000000002</v>
      </c>
      <c r="BN2361">
        <v>-0.56999999999999995</v>
      </c>
    </row>
    <row r="2362" spans="2:66">
      <c r="B2362">
        <v>4071</v>
      </c>
      <c r="C2362">
        <v>50</v>
      </c>
      <c r="D2362">
        <v>0</v>
      </c>
      <c r="E2362">
        <v>2</v>
      </c>
      <c r="F2362">
        <v>2</v>
      </c>
      <c r="J2362">
        <v>0</v>
      </c>
      <c r="K2362">
        <v>2</v>
      </c>
      <c r="L2362">
        <v>0</v>
      </c>
      <c r="M2362" t="s">
        <v>25022</v>
      </c>
      <c r="N2362">
        <v>1406</v>
      </c>
      <c r="O2362" t="s">
        <v>8800</v>
      </c>
      <c r="P2362" t="s">
        <v>57</v>
      </c>
      <c r="Q2362">
        <v>1421426</v>
      </c>
      <c r="R2362">
        <v>1421920</v>
      </c>
      <c r="S2362" t="s">
        <v>8801</v>
      </c>
      <c r="T2362">
        <v>165</v>
      </c>
      <c r="U2362" t="s">
        <v>108</v>
      </c>
      <c r="V2362">
        <v>44</v>
      </c>
      <c r="W2362" t="str">
        <f>HYPERLINK("Gene1406-zp_tree_all.dnd", "Gene1406-tree")</f>
        <v>Gene1406-tree</v>
      </c>
      <c r="X2362">
        <v>5</v>
      </c>
      <c r="Y2362">
        <v>8</v>
      </c>
      <c r="Z2362">
        <v>5</v>
      </c>
      <c r="AA2362">
        <v>8</v>
      </c>
      <c r="AB2362">
        <v>0.61538000000000004</v>
      </c>
      <c r="AC2362" t="s">
        <v>199</v>
      </c>
      <c r="AD2362" t="s">
        <v>136</v>
      </c>
      <c r="AE2362" t="s">
        <v>62</v>
      </c>
      <c r="AF2362" t="s">
        <v>62</v>
      </c>
      <c r="AG2362">
        <v>1</v>
      </c>
      <c r="AH2362">
        <v>2</v>
      </c>
      <c r="AI2362">
        <v>14</v>
      </c>
      <c r="AJ2362">
        <v>0.125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2</v>
      </c>
      <c r="AQ2362">
        <v>0</v>
      </c>
      <c r="AR2362">
        <v>2</v>
      </c>
      <c r="AS2362">
        <v>10</v>
      </c>
      <c r="AT2362">
        <v>0.16667000000000001</v>
      </c>
      <c r="AU2362">
        <v>11</v>
      </c>
      <c r="AV2362">
        <v>7</v>
      </c>
      <c r="AW2362">
        <v>12</v>
      </c>
      <c r="AX2362">
        <v>12</v>
      </c>
      <c r="AY2362">
        <v>5</v>
      </c>
      <c r="AZ2362">
        <v>4</v>
      </c>
      <c r="BA2362" t="s">
        <v>8802</v>
      </c>
      <c r="BB2362" t="s">
        <v>8803</v>
      </c>
      <c r="BC2362">
        <v>0.154</v>
      </c>
      <c r="BD2362" t="s">
        <v>65</v>
      </c>
      <c r="BE2362">
        <v>17</v>
      </c>
      <c r="BF2362">
        <v>16</v>
      </c>
      <c r="BG2362" t="s">
        <v>8804</v>
      </c>
      <c r="BH2362" t="s">
        <v>8805</v>
      </c>
      <c r="BI2362" t="s">
        <v>8806</v>
      </c>
      <c r="BJ2362">
        <v>0.27962999999999999</v>
      </c>
      <c r="BK2362">
        <v>1</v>
      </c>
      <c r="BL2362" t="s">
        <v>69</v>
      </c>
      <c r="BM2362">
        <v>-0.58099999999999996</v>
      </c>
      <c r="BN2362">
        <v>-0.38300000000000001</v>
      </c>
    </row>
    <row r="2363" spans="2:66">
      <c r="B2363">
        <v>4072</v>
      </c>
      <c r="C2363">
        <v>61</v>
      </c>
      <c r="D2363">
        <v>0</v>
      </c>
      <c r="E2363">
        <v>3</v>
      </c>
      <c r="F2363">
        <v>0</v>
      </c>
      <c r="J2363">
        <v>0</v>
      </c>
      <c r="K2363">
        <v>0</v>
      </c>
      <c r="L2363">
        <v>2</v>
      </c>
      <c r="M2363" t="s">
        <v>25022</v>
      </c>
      <c r="N2363">
        <v>1407</v>
      </c>
      <c r="O2363" t="s">
        <v>8807</v>
      </c>
      <c r="P2363" t="s">
        <v>57</v>
      </c>
      <c r="Q2363">
        <v>1422013</v>
      </c>
      <c r="R2363">
        <v>1422135</v>
      </c>
      <c r="S2363" t="s">
        <v>8808</v>
      </c>
      <c r="T2363">
        <v>41</v>
      </c>
      <c r="U2363" t="s">
        <v>289</v>
      </c>
      <c r="V2363">
        <v>46</v>
      </c>
      <c r="W2363" t="str">
        <f>HYPERLINK("Gene1407-zp_tree_all.dnd", "Gene1407-tree")</f>
        <v>Gene1407-tree</v>
      </c>
      <c r="X2363">
        <v>43</v>
      </c>
      <c r="Y2363">
        <v>3</v>
      </c>
      <c r="Z2363">
        <v>3</v>
      </c>
      <c r="AA2363">
        <v>3</v>
      </c>
      <c r="AB2363">
        <v>0.5</v>
      </c>
      <c r="AC2363" t="s">
        <v>8809</v>
      </c>
      <c r="AD2363" t="s">
        <v>324</v>
      </c>
      <c r="AE2363" t="s">
        <v>62</v>
      </c>
      <c r="AF2363" t="s">
        <v>62</v>
      </c>
      <c r="AG2363">
        <v>1</v>
      </c>
      <c r="AH2363">
        <v>2</v>
      </c>
      <c r="AI2363">
        <v>4</v>
      </c>
      <c r="AJ2363">
        <v>0.33333000000000002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2</v>
      </c>
      <c r="AR2363">
        <v>2</v>
      </c>
      <c r="AS2363">
        <v>4</v>
      </c>
      <c r="AT2363">
        <v>0.33333000000000002</v>
      </c>
      <c r="AU2363">
        <v>4</v>
      </c>
      <c r="AV2363">
        <v>1</v>
      </c>
      <c r="AW2363">
        <v>2</v>
      </c>
      <c r="AX2363">
        <v>2</v>
      </c>
      <c r="AY2363">
        <v>2</v>
      </c>
      <c r="AZ2363">
        <v>4</v>
      </c>
      <c r="BA2363" t="s">
        <v>8810</v>
      </c>
      <c r="BB2363" t="s">
        <v>8811</v>
      </c>
      <c r="BC2363">
        <v>0.98499999999999999</v>
      </c>
      <c r="BD2363" t="s">
        <v>65</v>
      </c>
      <c r="BE2363">
        <v>4</v>
      </c>
      <c r="BF2363">
        <v>6</v>
      </c>
      <c r="BG2363" t="s">
        <v>8812</v>
      </c>
      <c r="BH2363" t="s">
        <v>8813</v>
      </c>
      <c r="BI2363" t="s">
        <v>8814</v>
      </c>
      <c r="BJ2363">
        <v>0.35893999999999998</v>
      </c>
      <c r="BK2363">
        <v>0.93500000000000005</v>
      </c>
      <c r="BL2363" t="s">
        <v>635</v>
      </c>
      <c r="BM2363">
        <v>-1.9530000000000001</v>
      </c>
      <c r="BN2363">
        <v>-1.8819999999999999</v>
      </c>
    </row>
    <row r="2364" spans="2:66">
      <c r="B2364">
        <v>4073</v>
      </c>
      <c r="C2364">
        <v>15</v>
      </c>
      <c r="D2364">
        <v>0</v>
      </c>
      <c r="E2364">
        <v>38</v>
      </c>
      <c r="F2364">
        <v>5</v>
      </c>
      <c r="J2364">
        <v>0</v>
      </c>
      <c r="K2364">
        <v>13</v>
      </c>
      <c r="L2364">
        <v>1</v>
      </c>
      <c r="M2364" t="s">
        <v>25022</v>
      </c>
      <c r="N2364">
        <v>1410</v>
      </c>
      <c r="O2364" t="s">
        <v>8829</v>
      </c>
      <c r="P2364" t="s">
        <v>57</v>
      </c>
      <c r="Q2364">
        <v>1425641</v>
      </c>
      <c r="R2364">
        <v>1426834</v>
      </c>
      <c r="S2364" t="s">
        <v>8830</v>
      </c>
      <c r="T2364">
        <v>398</v>
      </c>
      <c r="U2364" t="s">
        <v>108</v>
      </c>
      <c r="V2364">
        <v>44</v>
      </c>
      <c r="W2364" t="str">
        <f>HYPERLINK("Gene1410-zp_tree_all.dnd", "Gene1410-tree")</f>
        <v>Gene1410-tree</v>
      </c>
      <c r="X2364">
        <v>5</v>
      </c>
      <c r="Y2364">
        <v>10</v>
      </c>
      <c r="Z2364">
        <v>5</v>
      </c>
      <c r="AA2364">
        <v>10</v>
      </c>
      <c r="AB2364">
        <v>0.66666999999999998</v>
      </c>
      <c r="AC2364" t="s">
        <v>199</v>
      </c>
      <c r="AD2364" t="s">
        <v>117</v>
      </c>
      <c r="AE2364" t="s">
        <v>62</v>
      </c>
      <c r="AF2364" t="s">
        <v>62</v>
      </c>
      <c r="AG2364">
        <v>4</v>
      </c>
      <c r="AH2364">
        <v>14</v>
      </c>
      <c r="AI2364">
        <v>11</v>
      </c>
      <c r="AJ2364">
        <v>0.56000000000000005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7</v>
      </c>
      <c r="AQ2364">
        <v>0</v>
      </c>
      <c r="AR2364">
        <v>7</v>
      </c>
      <c r="AS2364">
        <v>11</v>
      </c>
      <c r="AT2364">
        <v>0.38889000000000001</v>
      </c>
      <c r="AU2364">
        <v>15</v>
      </c>
      <c r="AV2364">
        <v>12</v>
      </c>
      <c r="AW2364">
        <v>38</v>
      </c>
      <c r="AX2364">
        <v>18</v>
      </c>
      <c r="AY2364">
        <v>27</v>
      </c>
      <c r="AZ2364">
        <v>7</v>
      </c>
      <c r="BA2364" t="s">
        <v>8831</v>
      </c>
      <c r="BB2364" t="s">
        <v>8832</v>
      </c>
      <c r="BC2364">
        <v>0.88100000000000001</v>
      </c>
      <c r="BD2364" t="s">
        <v>65</v>
      </c>
      <c r="BE2364">
        <v>65</v>
      </c>
      <c r="BF2364">
        <v>25</v>
      </c>
      <c r="BG2364" t="s">
        <v>8833</v>
      </c>
      <c r="BH2364" t="s">
        <v>8834</v>
      </c>
      <c r="BI2364" t="s">
        <v>8835</v>
      </c>
      <c r="BJ2364">
        <v>8.9649999999999994E-2</v>
      </c>
      <c r="BK2364">
        <v>1</v>
      </c>
      <c r="BL2364" t="s">
        <v>69</v>
      </c>
      <c r="BM2364">
        <v>-0.77200000000000002</v>
      </c>
      <c r="BN2364">
        <v>-1.3320000000000001</v>
      </c>
    </row>
    <row r="2365" spans="2:66">
      <c r="B2365">
        <v>4076</v>
      </c>
      <c r="C2365">
        <v>127</v>
      </c>
      <c r="D2365">
        <v>0</v>
      </c>
      <c r="E2365">
        <v>7</v>
      </c>
      <c r="F2365">
        <v>0</v>
      </c>
      <c r="J2365">
        <v>0</v>
      </c>
      <c r="K2365">
        <v>8</v>
      </c>
      <c r="L2365">
        <v>2</v>
      </c>
      <c r="M2365" t="s">
        <v>25022</v>
      </c>
      <c r="N2365">
        <v>1411</v>
      </c>
      <c r="O2365" t="s">
        <v>8836</v>
      </c>
      <c r="P2365" t="s">
        <v>57</v>
      </c>
      <c r="Q2365">
        <v>1427061</v>
      </c>
      <c r="R2365">
        <v>1428275</v>
      </c>
      <c r="S2365" t="s">
        <v>8837</v>
      </c>
      <c r="T2365">
        <v>405</v>
      </c>
      <c r="U2365" t="s">
        <v>108</v>
      </c>
      <c r="V2365">
        <v>44</v>
      </c>
      <c r="W2365" t="str">
        <f>HYPERLINK("Gene1411-zp_tree_all.dnd", "Gene1411-tree")</f>
        <v>Gene1411-tree</v>
      </c>
      <c r="X2365">
        <v>2</v>
      </c>
      <c r="Y2365">
        <v>12</v>
      </c>
      <c r="Z2365">
        <v>2</v>
      </c>
      <c r="AA2365">
        <v>12</v>
      </c>
      <c r="AB2365">
        <v>0.85714000000000001</v>
      </c>
      <c r="AC2365" t="s">
        <v>81</v>
      </c>
      <c r="AD2365" t="s">
        <v>109</v>
      </c>
      <c r="AE2365" t="s">
        <v>62</v>
      </c>
      <c r="AF2365" t="s">
        <v>62</v>
      </c>
      <c r="AG2365">
        <v>3</v>
      </c>
      <c r="AH2365">
        <v>10</v>
      </c>
      <c r="AI2365">
        <v>12</v>
      </c>
      <c r="AJ2365">
        <v>0.45455000000000001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5</v>
      </c>
      <c r="AQ2365">
        <v>2</v>
      </c>
      <c r="AR2365">
        <v>7</v>
      </c>
      <c r="AS2365">
        <v>12</v>
      </c>
      <c r="AT2365">
        <v>0.36842000000000003</v>
      </c>
      <c r="AU2365">
        <v>13</v>
      </c>
      <c r="AV2365">
        <v>7</v>
      </c>
      <c r="AW2365">
        <v>49</v>
      </c>
      <c r="AX2365">
        <v>20</v>
      </c>
      <c r="AY2365">
        <v>18</v>
      </c>
      <c r="AZ2365">
        <v>3</v>
      </c>
      <c r="BA2365" t="s">
        <v>8838</v>
      </c>
      <c r="BB2365" t="s">
        <v>8839</v>
      </c>
      <c r="BC2365">
        <v>1.2470000000000001</v>
      </c>
      <c r="BD2365" t="s">
        <v>65</v>
      </c>
      <c r="BE2365">
        <v>67</v>
      </c>
      <c r="BF2365">
        <v>23</v>
      </c>
      <c r="BG2365" t="s">
        <v>8840</v>
      </c>
      <c r="BH2365" t="s">
        <v>8841</v>
      </c>
      <c r="BI2365" t="s">
        <v>6108</v>
      </c>
      <c r="BJ2365">
        <v>7.4800000000000005E-2</v>
      </c>
      <c r="BK2365">
        <v>1</v>
      </c>
      <c r="BL2365" t="s">
        <v>69</v>
      </c>
      <c r="BM2365">
        <v>-1.1839999999999999</v>
      </c>
      <c r="BN2365">
        <v>-2.4380000000000002</v>
      </c>
    </row>
    <row r="2366" spans="2:66">
      <c r="B2366">
        <v>4077</v>
      </c>
      <c r="C2366">
        <v>287</v>
      </c>
      <c r="D2366">
        <v>0</v>
      </c>
      <c r="E2366">
        <v>6</v>
      </c>
      <c r="F2366">
        <v>1</v>
      </c>
      <c r="J2366">
        <v>0</v>
      </c>
      <c r="K2366">
        <v>2</v>
      </c>
      <c r="L2366">
        <v>0</v>
      </c>
      <c r="M2366" t="s">
        <v>25022</v>
      </c>
      <c r="N2366">
        <v>1412</v>
      </c>
      <c r="O2366" t="s">
        <v>8842</v>
      </c>
      <c r="P2366" t="s">
        <v>57</v>
      </c>
      <c r="Q2366">
        <v>1428275</v>
      </c>
      <c r="R2366">
        <v>1428979</v>
      </c>
      <c r="S2366" t="s">
        <v>8843</v>
      </c>
      <c r="T2366">
        <v>235</v>
      </c>
      <c r="U2366" t="s">
        <v>108</v>
      </c>
      <c r="V2366">
        <v>44</v>
      </c>
      <c r="W2366" t="str">
        <f>HYPERLINK("Gene1412-zp_tree_all.dnd", "Gene1412-tree")</f>
        <v>Gene1412-tree</v>
      </c>
      <c r="X2366">
        <v>3</v>
      </c>
      <c r="Y2366">
        <v>10</v>
      </c>
      <c r="Z2366">
        <v>3</v>
      </c>
      <c r="AA2366">
        <v>10</v>
      </c>
      <c r="AB2366">
        <v>0.76922999999999997</v>
      </c>
      <c r="AC2366" t="s">
        <v>324</v>
      </c>
      <c r="AD2366" t="s">
        <v>117</v>
      </c>
      <c r="AE2366" t="s">
        <v>62</v>
      </c>
      <c r="AF2366" t="s">
        <v>62</v>
      </c>
      <c r="AG2366">
        <v>1</v>
      </c>
      <c r="AH2366">
        <v>2</v>
      </c>
      <c r="AI2366">
        <v>15</v>
      </c>
      <c r="AJ2366">
        <v>0.11765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2</v>
      </c>
      <c r="AQ2366">
        <v>0</v>
      </c>
      <c r="AR2366">
        <v>2</v>
      </c>
      <c r="AS2366">
        <v>15</v>
      </c>
      <c r="AT2366">
        <v>0.11765</v>
      </c>
      <c r="AU2366">
        <v>12</v>
      </c>
      <c r="AV2366">
        <v>4</v>
      </c>
      <c r="AW2366">
        <v>20</v>
      </c>
      <c r="AX2366">
        <v>17</v>
      </c>
      <c r="AY2366">
        <v>5</v>
      </c>
      <c r="AZ2366">
        <v>0</v>
      </c>
      <c r="BA2366" t="s">
        <v>8844</v>
      </c>
      <c r="BB2366" t="s">
        <v>193</v>
      </c>
      <c r="BC2366">
        <v>1.6140000000000001</v>
      </c>
      <c r="BD2366" t="s">
        <v>65</v>
      </c>
      <c r="BE2366">
        <v>25</v>
      </c>
      <c r="BF2366">
        <v>17</v>
      </c>
      <c r="BG2366" t="s">
        <v>8845</v>
      </c>
      <c r="BH2366" t="s">
        <v>8846</v>
      </c>
      <c r="BI2366" t="s">
        <v>8847</v>
      </c>
      <c r="BJ2366">
        <v>0.1429</v>
      </c>
      <c r="BK2366">
        <v>1</v>
      </c>
      <c r="BL2366" t="s">
        <v>69</v>
      </c>
      <c r="BM2366">
        <v>-1.647</v>
      </c>
      <c r="BN2366">
        <v>-3.0649999999999999</v>
      </c>
    </row>
    <row r="2367" spans="2:66">
      <c r="B2367">
        <v>4078</v>
      </c>
      <c r="C2367">
        <v>307</v>
      </c>
      <c r="D2367">
        <v>0</v>
      </c>
      <c r="E2367">
        <v>12</v>
      </c>
      <c r="F2367">
        <v>5</v>
      </c>
      <c r="J2367">
        <v>0</v>
      </c>
      <c r="K2367">
        <v>6</v>
      </c>
      <c r="L2367">
        <v>3</v>
      </c>
      <c r="M2367" t="s">
        <v>25022</v>
      </c>
      <c r="N2367">
        <v>1413</v>
      </c>
      <c r="O2367" t="s">
        <v>8848</v>
      </c>
      <c r="P2367" t="s">
        <v>57</v>
      </c>
      <c r="Q2367">
        <v>1428940</v>
      </c>
      <c r="R2367">
        <v>1429566</v>
      </c>
      <c r="S2367" t="s">
        <v>8849</v>
      </c>
      <c r="T2367">
        <v>209</v>
      </c>
      <c r="U2367" t="s">
        <v>108</v>
      </c>
      <c r="V2367">
        <v>44</v>
      </c>
      <c r="W2367" t="str">
        <f>HYPERLINK("Gene1413-zp_tree_all.dnd", "Gene1413-tree")</f>
        <v>Gene1413-tree</v>
      </c>
      <c r="X2367">
        <v>6</v>
      </c>
      <c r="Y2367">
        <v>8</v>
      </c>
      <c r="Z2367">
        <v>6</v>
      </c>
      <c r="AA2367">
        <v>8</v>
      </c>
      <c r="AB2367">
        <v>0.57142999999999999</v>
      </c>
      <c r="AC2367" t="s">
        <v>90</v>
      </c>
      <c r="AD2367" t="s">
        <v>136</v>
      </c>
      <c r="AE2367" t="s">
        <v>62</v>
      </c>
      <c r="AF2367" t="s">
        <v>62</v>
      </c>
      <c r="AG2367">
        <v>3</v>
      </c>
      <c r="AH2367">
        <v>9</v>
      </c>
      <c r="AI2367">
        <v>9</v>
      </c>
      <c r="AJ2367">
        <v>0.5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2</v>
      </c>
      <c r="AQ2367">
        <v>1</v>
      </c>
      <c r="AR2367">
        <v>3</v>
      </c>
      <c r="AS2367">
        <v>10</v>
      </c>
      <c r="AT2367">
        <v>0.23077</v>
      </c>
      <c r="AU2367">
        <v>11</v>
      </c>
      <c r="AV2367">
        <v>9</v>
      </c>
      <c r="AW2367">
        <v>13</v>
      </c>
      <c r="AX2367">
        <v>13</v>
      </c>
      <c r="AY2367">
        <v>11</v>
      </c>
      <c r="AZ2367">
        <v>5</v>
      </c>
      <c r="BA2367" t="s">
        <v>8850</v>
      </c>
      <c r="BB2367" t="s">
        <v>8851</v>
      </c>
      <c r="BC2367">
        <v>1.2549999999999999</v>
      </c>
      <c r="BD2367" t="s">
        <v>65</v>
      </c>
      <c r="BE2367">
        <v>24</v>
      </c>
      <c r="BF2367">
        <v>18</v>
      </c>
      <c r="BG2367" t="s">
        <v>8852</v>
      </c>
      <c r="BH2367" t="s">
        <v>8853</v>
      </c>
      <c r="BI2367" t="s">
        <v>8854</v>
      </c>
      <c r="BJ2367">
        <v>0.18</v>
      </c>
      <c r="BK2367">
        <v>1</v>
      </c>
      <c r="BL2367" t="s">
        <v>69</v>
      </c>
      <c r="BM2367">
        <v>-0.98399999999999999</v>
      </c>
      <c r="BN2367">
        <v>-1.2370000000000001</v>
      </c>
    </row>
    <row r="2368" spans="2:66">
      <c r="B2368">
        <v>4079</v>
      </c>
      <c r="C2368">
        <v>203</v>
      </c>
      <c r="D2368">
        <v>0</v>
      </c>
      <c r="E2368">
        <v>16</v>
      </c>
      <c r="F2368">
        <v>2</v>
      </c>
      <c r="J2368">
        <v>0</v>
      </c>
      <c r="K2368">
        <v>2</v>
      </c>
      <c r="L2368">
        <v>0</v>
      </c>
      <c r="M2368" t="s">
        <v>25022</v>
      </c>
      <c r="N2368">
        <v>1414</v>
      </c>
      <c r="O2368" t="s">
        <v>8855</v>
      </c>
      <c r="P2368" t="s">
        <v>57</v>
      </c>
      <c r="Q2368">
        <v>1429584</v>
      </c>
      <c r="R2368">
        <v>1430117</v>
      </c>
      <c r="S2368" t="s">
        <v>8856</v>
      </c>
      <c r="T2368">
        <v>178</v>
      </c>
      <c r="U2368" t="s">
        <v>108</v>
      </c>
      <c r="V2368">
        <v>44</v>
      </c>
      <c r="W2368" t="str">
        <f>HYPERLINK("Gene1414-zp_tree_all.dnd", "Gene1414-tree")</f>
        <v>Gene1414-tree</v>
      </c>
      <c r="X2368">
        <v>5</v>
      </c>
      <c r="Y2368">
        <v>8</v>
      </c>
      <c r="Z2368">
        <v>5</v>
      </c>
      <c r="AA2368">
        <v>8</v>
      </c>
      <c r="AB2368">
        <v>0.61538000000000004</v>
      </c>
      <c r="AC2368" t="s">
        <v>199</v>
      </c>
      <c r="AD2368" t="s">
        <v>136</v>
      </c>
      <c r="AE2368" t="s">
        <v>62</v>
      </c>
      <c r="AF2368" t="s">
        <v>62</v>
      </c>
      <c r="AG2368">
        <v>1</v>
      </c>
      <c r="AH2368">
        <v>2</v>
      </c>
      <c r="AI2368">
        <v>8</v>
      </c>
      <c r="AJ2368">
        <v>0.2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2</v>
      </c>
      <c r="AQ2368">
        <v>0</v>
      </c>
      <c r="AR2368">
        <v>2</v>
      </c>
      <c r="AS2368">
        <v>8</v>
      </c>
      <c r="AT2368">
        <v>0.2</v>
      </c>
      <c r="AU2368">
        <v>10</v>
      </c>
      <c r="AV2368">
        <v>3</v>
      </c>
      <c r="AW2368">
        <v>13</v>
      </c>
      <c r="AX2368">
        <v>10</v>
      </c>
      <c r="AY2368">
        <v>5</v>
      </c>
      <c r="AZ2368">
        <v>0</v>
      </c>
      <c r="BA2368" t="s">
        <v>8857</v>
      </c>
      <c r="BB2368" t="s">
        <v>193</v>
      </c>
      <c r="BC2368">
        <v>1.9750000000000001</v>
      </c>
      <c r="BD2368" t="s">
        <v>267</v>
      </c>
      <c r="BE2368">
        <v>18</v>
      </c>
      <c r="BF2368">
        <v>10</v>
      </c>
      <c r="BG2368" t="s">
        <v>8858</v>
      </c>
      <c r="BH2368" t="s">
        <v>8859</v>
      </c>
      <c r="BI2368" t="s">
        <v>8860</v>
      </c>
      <c r="BJ2368">
        <v>0.11074000000000001</v>
      </c>
      <c r="BK2368">
        <v>1</v>
      </c>
      <c r="BL2368" t="s">
        <v>69</v>
      </c>
      <c r="BM2368">
        <v>-1.077</v>
      </c>
      <c r="BN2368">
        <v>-1.82</v>
      </c>
    </row>
    <row r="2369" spans="2:66">
      <c r="B2369">
        <v>4080</v>
      </c>
      <c r="C2369">
        <v>469</v>
      </c>
      <c r="D2369">
        <v>0</v>
      </c>
      <c r="E2369">
        <v>6</v>
      </c>
      <c r="F2369">
        <v>0</v>
      </c>
      <c r="J2369">
        <v>0</v>
      </c>
      <c r="K2369">
        <v>0</v>
      </c>
      <c r="L2369">
        <v>0</v>
      </c>
      <c r="M2369" t="s">
        <v>25022</v>
      </c>
      <c r="N2369">
        <v>1416</v>
      </c>
      <c r="O2369" t="s">
        <v>8867</v>
      </c>
      <c r="P2369" t="s">
        <v>57</v>
      </c>
      <c r="Q2369">
        <v>1430684</v>
      </c>
      <c r="R2369">
        <v>1430938</v>
      </c>
      <c r="S2369" t="s">
        <v>8868</v>
      </c>
      <c r="T2369">
        <v>85</v>
      </c>
      <c r="U2369" t="s">
        <v>59</v>
      </c>
      <c r="V2369">
        <v>49</v>
      </c>
      <c r="W2369" t="str">
        <f>HYPERLINK("Gene1416-zp_tree_all.dnd", "Gene1416-tree")</f>
        <v>Gene1416-tree</v>
      </c>
      <c r="X2369">
        <v>29</v>
      </c>
      <c r="Y2369">
        <v>1</v>
      </c>
      <c r="Z2369">
        <v>6</v>
      </c>
      <c r="AA2369">
        <v>1</v>
      </c>
      <c r="AB2369">
        <v>0.14285999999999999</v>
      </c>
      <c r="AC2369" t="s">
        <v>3696</v>
      </c>
      <c r="AD2369" t="s">
        <v>175</v>
      </c>
      <c r="AE2369" t="s">
        <v>62</v>
      </c>
      <c r="AF2369" t="s">
        <v>62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4</v>
      </c>
      <c r="AV2369">
        <v>3</v>
      </c>
      <c r="AW2369">
        <v>3</v>
      </c>
      <c r="AX2369">
        <v>1</v>
      </c>
      <c r="AY2369">
        <v>4</v>
      </c>
      <c r="AZ2369">
        <v>0</v>
      </c>
      <c r="BA2369" t="s">
        <v>8869</v>
      </c>
      <c r="BB2369" t="s">
        <v>193</v>
      </c>
      <c r="BC2369">
        <v>0.6</v>
      </c>
      <c r="BD2369" t="s">
        <v>65</v>
      </c>
      <c r="BE2369">
        <v>7</v>
      </c>
      <c r="BF2369">
        <v>1</v>
      </c>
      <c r="BG2369" t="s">
        <v>8870</v>
      </c>
      <c r="BH2369" t="s">
        <v>8871</v>
      </c>
      <c r="BI2369" t="s">
        <v>8872</v>
      </c>
      <c r="BJ2369">
        <v>2.3099999999999999E-2</v>
      </c>
      <c r="BK2369">
        <v>1</v>
      </c>
      <c r="BL2369" t="s">
        <v>69</v>
      </c>
      <c r="BM2369">
        <v>-0.90100000000000002</v>
      </c>
      <c r="BN2369">
        <v>-0.83</v>
      </c>
    </row>
    <row r="2370" spans="2:66">
      <c r="B2370">
        <v>4081</v>
      </c>
      <c r="C2370">
        <v>128</v>
      </c>
      <c r="D2370">
        <v>2</v>
      </c>
      <c r="E2370">
        <v>0</v>
      </c>
      <c r="F2370">
        <v>2</v>
      </c>
      <c r="J2370">
        <v>0</v>
      </c>
      <c r="K2370">
        <v>0</v>
      </c>
      <c r="L2370">
        <v>2</v>
      </c>
      <c r="M2370" t="s">
        <v>25022</v>
      </c>
      <c r="N2370">
        <v>1417</v>
      </c>
      <c r="O2370" t="s">
        <v>8873</v>
      </c>
      <c r="P2370" t="s">
        <v>57</v>
      </c>
      <c r="Q2370">
        <v>1431027</v>
      </c>
      <c r="R2370">
        <v>1431455</v>
      </c>
      <c r="S2370" t="s">
        <v>8874</v>
      </c>
      <c r="T2370">
        <v>143</v>
      </c>
      <c r="U2370" t="s">
        <v>108</v>
      </c>
      <c r="V2370">
        <v>44</v>
      </c>
      <c r="W2370" t="str">
        <f>HYPERLINK("Gene1417-zp_tree_all.dnd", "Gene1417-tree")</f>
        <v>Gene1417-tree</v>
      </c>
      <c r="X2370">
        <v>27</v>
      </c>
      <c r="Y2370">
        <v>5</v>
      </c>
      <c r="Z2370">
        <v>8</v>
      </c>
      <c r="AA2370">
        <v>5</v>
      </c>
      <c r="AB2370">
        <v>0.38462000000000002</v>
      </c>
      <c r="AC2370" t="s">
        <v>282</v>
      </c>
      <c r="AD2370" t="s">
        <v>199</v>
      </c>
      <c r="AE2370" t="s">
        <v>62</v>
      </c>
      <c r="AF2370" t="s">
        <v>62</v>
      </c>
      <c r="AG2370">
        <v>1</v>
      </c>
      <c r="AH2370">
        <v>2</v>
      </c>
      <c r="AI2370">
        <v>8</v>
      </c>
      <c r="AJ2370">
        <v>0.2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2</v>
      </c>
      <c r="AR2370">
        <v>2</v>
      </c>
      <c r="AS2370">
        <v>6</v>
      </c>
      <c r="AT2370">
        <v>0.25</v>
      </c>
      <c r="AU2370">
        <v>9</v>
      </c>
      <c r="AV2370">
        <v>5</v>
      </c>
      <c r="AW2370">
        <v>11</v>
      </c>
      <c r="AX2370">
        <v>5</v>
      </c>
      <c r="AY2370">
        <v>4</v>
      </c>
      <c r="AZ2370">
        <v>5</v>
      </c>
      <c r="BA2370" t="s">
        <v>8875</v>
      </c>
      <c r="BB2370" t="s">
        <v>8876</v>
      </c>
      <c r="BC2370">
        <v>0.66800000000000004</v>
      </c>
      <c r="BD2370" t="s">
        <v>65</v>
      </c>
      <c r="BE2370">
        <v>15</v>
      </c>
      <c r="BF2370">
        <v>10</v>
      </c>
      <c r="BG2370" t="s">
        <v>8877</v>
      </c>
      <c r="BH2370" t="s">
        <v>8878</v>
      </c>
      <c r="BI2370" t="s">
        <v>8879</v>
      </c>
      <c r="BJ2370">
        <v>0.19930999999999999</v>
      </c>
      <c r="BK2370">
        <v>1</v>
      </c>
      <c r="BL2370" t="s">
        <v>69</v>
      </c>
      <c r="BM2370">
        <v>-1.29</v>
      </c>
      <c r="BN2370">
        <v>-1.1419999999999999</v>
      </c>
    </row>
    <row r="2371" spans="2:66">
      <c r="B2371">
        <v>4084</v>
      </c>
      <c r="C2371">
        <v>188</v>
      </c>
      <c r="D2371">
        <v>0</v>
      </c>
      <c r="E2371">
        <v>3</v>
      </c>
      <c r="F2371">
        <v>0</v>
      </c>
      <c r="J2371">
        <v>0</v>
      </c>
      <c r="K2371">
        <v>0</v>
      </c>
      <c r="L2371">
        <v>0</v>
      </c>
      <c r="M2371" t="s">
        <v>25022</v>
      </c>
      <c r="N2371">
        <v>1419</v>
      </c>
      <c r="O2371" t="s">
        <v>8887</v>
      </c>
      <c r="P2371" t="s">
        <v>57</v>
      </c>
      <c r="Q2371">
        <v>1433199</v>
      </c>
      <c r="R2371">
        <v>1433633</v>
      </c>
      <c r="S2371" t="s">
        <v>8888</v>
      </c>
      <c r="T2371">
        <v>145</v>
      </c>
      <c r="U2371" t="s">
        <v>59</v>
      </c>
      <c r="V2371">
        <v>49</v>
      </c>
      <c r="W2371" t="str">
        <f>HYPERLINK("Gene1419-zp_tree_all.dnd", "Gene1419-tree")</f>
        <v>Gene1419-tree</v>
      </c>
      <c r="X2371">
        <v>31</v>
      </c>
      <c r="Y2371">
        <v>3</v>
      </c>
      <c r="Z2371">
        <v>8</v>
      </c>
      <c r="AA2371">
        <v>3</v>
      </c>
      <c r="AB2371">
        <v>0.27272999999999997</v>
      </c>
      <c r="AC2371" t="s">
        <v>7249</v>
      </c>
      <c r="AD2371" t="s">
        <v>324</v>
      </c>
      <c r="AE2371" t="s">
        <v>62</v>
      </c>
      <c r="AF2371" t="s">
        <v>62</v>
      </c>
      <c r="AG2371">
        <v>0</v>
      </c>
      <c r="AH2371">
        <v>0</v>
      </c>
      <c r="AI2371">
        <v>4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4</v>
      </c>
      <c r="AT2371">
        <v>0</v>
      </c>
      <c r="AU2371">
        <v>10</v>
      </c>
      <c r="AV2371">
        <v>3</v>
      </c>
      <c r="AW2371">
        <v>15</v>
      </c>
      <c r="AX2371">
        <v>4</v>
      </c>
      <c r="AY2371">
        <v>13</v>
      </c>
      <c r="AZ2371">
        <v>0</v>
      </c>
      <c r="BA2371" t="s">
        <v>8889</v>
      </c>
      <c r="BB2371" t="s">
        <v>193</v>
      </c>
      <c r="BC2371">
        <v>0.88</v>
      </c>
      <c r="BD2371" t="s">
        <v>65</v>
      </c>
      <c r="BE2371">
        <v>28</v>
      </c>
      <c r="BF2371">
        <v>4</v>
      </c>
      <c r="BG2371" t="s">
        <v>8890</v>
      </c>
      <c r="BH2371" t="s">
        <v>8891</v>
      </c>
      <c r="BI2371" t="s">
        <v>8892</v>
      </c>
      <c r="BJ2371">
        <v>2.7949999999999999E-2</v>
      </c>
      <c r="BK2371">
        <v>1</v>
      </c>
      <c r="BL2371" t="s">
        <v>69</v>
      </c>
      <c r="BM2371">
        <v>-1.548</v>
      </c>
      <c r="BN2371">
        <v>0.11600000000000001</v>
      </c>
    </row>
    <row r="2372" spans="2:66">
      <c r="B2372">
        <v>4085</v>
      </c>
      <c r="C2372">
        <v>29</v>
      </c>
      <c r="D2372">
        <v>0</v>
      </c>
      <c r="E2372">
        <v>2</v>
      </c>
      <c r="F2372">
        <v>2</v>
      </c>
      <c r="J2372">
        <v>0</v>
      </c>
      <c r="K2372">
        <v>10</v>
      </c>
      <c r="L2372">
        <v>0</v>
      </c>
      <c r="M2372" t="s">
        <v>25022</v>
      </c>
      <c r="N2372">
        <v>1423</v>
      </c>
      <c r="O2372" t="s">
        <v>8913</v>
      </c>
      <c r="P2372" t="s">
        <v>57</v>
      </c>
      <c r="Q2372">
        <v>1438092</v>
      </c>
      <c r="R2372">
        <v>1439132</v>
      </c>
      <c r="S2372" t="s">
        <v>2569</v>
      </c>
      <c r="T2372">
        <v>347</v>
      </c>
      <c r="U2372" t="s">
        <v>108</v>
      </c>
      <c r="V2372">
        <v>44</v>
      </c>
      <c r="W2372" t="str">
        <f>HYPERLINK("Gene1423-zp_tree_all.dnd", "Gene1423-tree")</f>
        <v>Gene1423-tree</v>
      </c>
      <c r="X2372">
        <v>8</v>
      </c>
      <c r="Y2372">
        <v>5</v>
      </c>
      <c r="Z2372">
        <v>8</v>
      </c>
      <c r="AA2372">
        <v>5</v>
      </c>
      <c r="AB2372">
        <v>0.38462000000000002</v>
      </c>
      <c r="AC2372" t="s">
        <v>136</v>
      </c>
      <c r="AD2372" t="s">
        <v>199</v>
      </c>
      <c r="AE2372" t="s">
        <v>62</v>
      </c>
      <c r="AF2372" t="s">
        <v>62</v>
      </c>
      <c r="AG2372">
        <v>4</v>
      </c>
      <c r="AH2372">
        <v>10</v>
      </c>
      <c r="AI2372">
        <v>6</v>
      </c>
      <c r="AJ2372">
        <v>0.625</v>
      </c>
      <c r="AK2372">
        <v>0</v>
      </c>
      <c r="AL2372">
        <v>0</v>
      </c>
      <c r="AM2372">
        <v>0</v>
      </c>
      <c r="AN2372">
        <v>2</v>
      </c>
      <c r="AO2372">
        <v>0</v>
      </c>
      <c r="AP2372">
        <v>2</v>
      </c>
      <c r="AQ2372">
        <v>0</v>
      </c>
      <c r="AR2372">
        <v>2</v>
      </c>
      <c r="AS2372">
        <v>6</v>
      </c>
      <c r="AT2372">
        <v>0.25</v>
      </c>
      <c r="AU2372">
        <v>11</v>
      </c>
      <c r="AV2372">
        <v>10</v>
      </c>
      <c r="AW2372">
        <v>32</v>
      </c>
      <c r="AX2372">
        <v>8</v>
      </c>
      <c r="AY2372">
        <v>38</v>
      </c>
      <c r="AZ2372">
        <v>8</v>
      </c>
      <c r="BA2372" t="s">
        <v>8914</v>
      </c>
      <c r="BB2372" t="s">
        <v>8915</v>
      </c>
      <c r="BC2372">
        <v>0.152</v>
      </c>
      <c r="BD2372" t="s">
        <v>65</v>
      </c>
      <c r="BE2372">
        <v>70</v>
      </c>
      <c r="BF2372">
        <v>16</v>
      </c>
      <c r="BG2372" t="s">
        <v>8916</v>
      </c>
      <c r="BH2372" t="s">
        <v>8917</v>
      </c>
      <c r="BI2372" t="s">
        <v>8918</v>
      </c>
      <c r="BJ2372">
        <v>6.5960000000000005E-2</v>
      </c>
      <c r="BK2372">
        <v>1</v>
      </c>
      <c r="BL2372" t="s">
        <v>69</v>
      </c>
      <c r="BM2372">
        <v>0.13500000000000001</v>
      </c>
      <c r="BN2372">
        <v>-0.30199999999999999</v>
      </c>
    </row>
    <row r="2373" spans="2:66">
      <c r="B2373">
        <v>4086</v>
      </c>
      <c r="C2373">
        <v>133</v>
      </c>
      <c r="D2373">
        <v>2</v>
      </c>
      <c r="E2373">
        <v>18</v>
      </c>
      <c r="F2373">
        <v>3</v>
      </c>
      <c r="J2373">
        <v>0</v>
      </c>
      <c r="K2373">
        <v>7</v>
      </c>
      <c r="L2373">
        <v>1</v>
      </c>
      <c r="M2373" t="s">
        <v>25022</v>
      </c>
      <c r="N2373">
        <v>1424</v>
      </c>
      <c r="O2373" t="s">
        <v>8919</v>
      </c>
      <c r="P2373" t="s">
        <v>57</v>
      </c>
      <c r="Q2373">
        <v>1439448</v>
      </c>
      <c r="R2373">
        <v>1440104</v>
      </c>
      <c r="S2373" t="s">
        <v>8920</v>
      </c>
      <c r="T2373">
        <v>219</v>
      </c>
      <c r="U2373" t="s">
        <v>108</v>
      </c>
      <c r="V2373">
        <v>44</v>
      </c>
      <c r="W2373" t="str">
        <f>HYPERLINK("Gene1424-zp_tree_all.dnd", "Gene1424-tree")</f>
        <v>Gene1424-tree</v>
      </c>
      <c r="X2373">
        <v>10</v>
      </c>
      <c r="Y2373">
        <v>4</v>
      </c>
      <c r="Z2373">
        <v>10</v>
      </c>
      <c r="AA2373">
        <v>4</v>
      </c>
      <c r="AB2373">
        <v>0.28571000000000002</v>
      </c>
      <c r="AC2373" t="s">
        <v>117</v>
      </c>
      <c r="AD2373" t="s">
        <v>61</v>
      </c>
      <c r="AE2373" t="s">
        <v>62</v>
      </c>
      <c r="AF2373" t="s">
        <v>62</v>
      </c>
      <c r="AG2373">
        <v>2</v>
      </c>
      <c r="AH2373">
        <v>8</v>
      </c>
      <c r="AI2373">
        <v>3</v>
      </c>
      <c r="AJ2373">
        <v>0.72726999999999997</v>
      </c>
      <c r="AK2373">
        <v>0</v>
      </c>
      <c r="AL2373">
        <v>0</v>
      </c>
      <c r="AM2373">
        <v>0</v>
      </c>
      <c r="AN2373">
        <v>2</v>
      </c>
      <c r="AO2373">
        <v>0</v>
      </c>
      <c r="AP2373">
        <v>2</v>
      </c>
      <c r="AQ2373">
        <v>1</v>
      </c>
      <c r="AR2373">
        <v>3</v>
      </c>
      <c r="AS2373">
        <v>2</v>
      </c>
      <c r="AT2373">
        <v>0.6</v>
      </c>
      <c r="AU2373">
        <v>11</v>
      </c>
      <c r="AV2373">
        <v>8</v>
      </c>
      <c r="AW2373">
        <v>29</v>
      </c>
      <c r="AX2373">
        <v>3</v>
      </c>
      <c r="AY2373">
        <v>19</v>
      </c>
      <c r="AZ2373">
        <v>8</v>
      </c>
      <c r="BA2373" t="s">
        <v>8921</v>
      </c>
      <c r="BB2373" t="s">
        <v>8922</v>
      </c>
      <c r="BC2373">
        <v>1.2270000000000001</v>
      </c>
      <c r="BD2373" t="s">
        <v>65</v>
      </c>
      <c r="BE2373">
        <v>48</v>
      </c>
      <c r="BF2373">
        <v>11</v>
      </c>
      <c r="BG2373" t="s">
        <v>8923</v>
      </c>
      <c r="BH2373" t="s">
        <v>8924</v>
      </c>
      <c r="BI2373" t="s">
        <v>8925</v>
      </c>
      <c r="BJ2373">
        <v>4.931E-2</v>
      </c>
      <c r="BK2373">
        <v>1</v>
      </c>
      <c r="BL2373" t="s">
        <v>69</v>
      </c>
      <c r="BM2373">
        <v>-0.39800000000000002</v>
      </c>
      <c r="BN2373">
        <v>-0.79200000000000004</v>
      </c>
    </row>
    <row r="2374" spans="2:66">
      <c r="B2374">
        <v>4087</v>
      </c>
      <c r="C2374">
        <v>62</v>
      </c>
      <c r="D2374">
        <v>0</v>
      </c>
      <c r="E2374">
        <v>54</v>
      </c>
      <c r="F2374">
        <v>4</v>
      </c>
      <c r="J2374">
        <v>0</v>
      </c>
      <c r="K2374">
        <v>3</v>
      </c>
      <c r="L2374">
        <v>2</v>
      </c>
      <c r="M2374" t="s">
        <v>25022</v>
      </c>
      <c r="N2374">
        <v>1425</v>
      </c>
      <c r="O2374" t="s">
        <v>8926</v>
      </c>
      <c r="P2374" t="s">
        <v>57</v>
      </c>
      <c r="Q2374">
        <v>1440100</v>
      </c>
      <c r="R2374">
        <v>1440546</v>
      </c>
      <c r="S2374" t="s">
        <v>8927</v>
      </c>
      <c r="T2374">
        <v>149</v>
      </c>
      <c r="U2374" t="s">
        <v>59</v>
      </c>
      <c r="V2374">
        <v>49</v>
      </c>
      <c r="W2374" t="str">
        <f>HYPERLINK("Gene1425-zp_tree_all.dnd", "Gene1425-tree")</f>
        <v>Gene1425-tree</v>
      </c>
      <c r="X2374">
        <v>8</v>
      </c>
      <c r="Y2374">
        <v>6</v>
      </c>
      <c r="Z2374">
        <v>8</v>
      </c>
      <c r="AA2374">
        <v>6</v>
      </c>
      <c r="AB2374">
        <v>0.42857000000000001</v>
      </c>
      <c r="AC2374" t="s">
        <v>136</v>
      </c>
      <c r="AD2374" t="s">
        <v>90</v>
      </c>
      <c r="AE2374" t="s">
        <v>62</v>
      </c>
      <c r="AF2374" t="s">
        <v>62</v>
      </c>
      <c r="AG2374">
        <v>2</v>
      </c>
      <c r="AH2374">
        <v>5</v>
      </c>
      <c r="AI2374">
        <v>5</v>
      </c>
      <c r="AJ2374">
        <v>0.5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2</v>
      </c>
      <c r="AQ2374">
        <v>0</v>
      </c>
      <c r="AR2374">
        <v>2</v>
      </c>
      <c r="AS2374">
        <v>5</v>
      </c>
      <c r="AT2374">
        <v>0.28571000000000002</v>
      </c>
      <c r="AU2374">
        <v>11</v>
      </c>
      <c r="AV2374">
        <v>9</v>
      </c>
      <c r="AW2374">
        <v>22</v>
      </c>
      <c r="AX2374">
        <v>7</v>
      </c>
      <c r="AY2374">
        <v>24</v>
      </c>
      <c r="AZ2374">
        <v>3</v>
      </c>
      <c r="BA2374" t="s">
        <v>8928</v>
      </c>
      <c r="BB2374" t="s">
        <v>8929</v>
      </c>
      <c r="BC2374">
        <v>0.80900000000000005</v>
      </c>
      <c r="BD2374" t="s">
        <v>65</v>
      </c>
      <c r="BE2374">
        <v>46</v>
      </c>
      <c r="BF2374">
        <v>10</v>
      </c>
      <c r="BG2374" t="s">
        <v>8930</v>
      </c>
      <c r="BH2374" t="s">
        <v>8931</v>
      </c>
      <c r="BI2374" t="s">
        <v>8932</v>
      </c>
      <c r="BJ2374">
        <v>4.4479999999999999E-2</v>
      </c>
      <c r="BK2374">
        <v>1</v>
      </c>
      <c r="BL2374" t="s">
        <v>69</v>
      </c>
      <c r="BM2374">
        <v>-1.54</v>
      </c>
      <c r="BN2374">
        <v>-1.012</v>
      </c>
    </row>
    <row r="2375" spans="2:66">
      <c r="B2375">
        <v>4088</v>
      </c>
      <c r="C2375">
        <v>28</v>
      </c>
      <c r="D2375">
        <v>0</v>
      </c>
      <c r="E2375">
        <v>30</v>
      </c>
      <c r="F2375">
        <v>2</v>
      </c>
      <c r="J2375">
        <v>0</v>
      </c>
      <c r="K2375">
        <v>4</v>
      </c>
      <c r="L2375">
        <v>0</v>
      </c>
      <c r="M2375" t="s">
        <v>25022</v>
      </c>
      <c r="N2375">
        <v>1426</v>
      </c>
      <c r="O2375" t="s">
        <v>8933</v>
      </c>
      <c r="P2375" t="s">
        <v>57</v>
      </c>
      <c r="Q2375">
        <v>1440542</v>
      </c>
      <c r="R2375">
        <v>1441270</v>
      </c>
      <c r="S2375" t="s">
        <v>8934</v>
      </c>
      <c r="T2375">
        <v>243</v>
      </c>
      <c r="U2375" t="s">
        <v>108</v>
      </c>
      <c r="V2375">
        <v>44</v>
      </c>
      <c r="W2375" t="str">
        <f>HYPERLINK("Gene1426-zp_tree_all.dnd", "Gene1426-tree")</f>
        <v>Gene1426-tree</v>
      </c>
      <c r="X2375">
        <v>12</v>
      </c>
      <c r="Y2375">
        <v>3</v>
      </c>
      <c r="Z2375">
        <v>12</v>
      </c>
      <c r="AA2375">
        <v>3</v>
      </c>
      <c r="AB2375">
        <v>0.2</v>
      </c>
      <c r="AC2375" t="s">
        <v>109</v>
      </c>
      <c r="AD2375" t="s">
        <v>324</v>
      </c>
      <c r="AE2375" t="s">
        <v>62</v>
      </c>
      <c r="AF2375" t="s">
        <v>62</v>
      </c>
      <c r="AG2375">
        <v>1</v>
      </c>
      <c r="AH2375">
        <v>4</v>
      </c>
      <c r="AI2375">
        <v>6</v>
      </c>
      <c r="AJ2375">
        <v>0.4</v>
      </c>
      <c r="AK2375">
        <v>2</v>
      </c>
      <c r="AL2375">
        <v>0</v>
      </c>
      <c r="AM2375">
        <v>2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6</v>
      </c>
      <c r="AT2375">
        <v>0</v>
      </c>
      <c r="AU2375">
        <v>10</v>
      </c>
      <c r="AV2375">
        <v>8</v>
      </c>
      <c r="AW2375">
        <v>29</v>
      </c>
      <c r="AX2375">
        <v>6</v>
      </c>
      <c r="AY2375">
        <v>7</v>
      </c>
      <c r="AZ2375">
        <v>4</v>
      </c>
      <c r="BA2375" t="s">
        <v>8935</v>
      </c>
      <c r="BB2375" t="s">
        <v>8936</v>
      </c>
      <c r="BC2375">
        <v>1.026</v>
      </c>
      <c r="BD2375" t="s">
        <v>65</v>
      </c>
      <c r="BE2375">
        <v>36</v>
      </c>
      <c r="BF2375">
        <v>10</v>
      </c>
      <c r="BG2375" t="s">
        <v>8937</v>
      </c>
      <c r="BH2375" t="s">
        <v>8938</v>
      </c>
      <c r="BI2375" t="s">
        <v>8939</v>
      </c>
      <c r="BJ2375">
        <v>5.3249999999999999E-2</v>
      </c>
      <c r="BK2375">
        <v>1</v>
      </c>
      <c r="BL2375" t="s">
        <v>69</v>
      </c>
      <c r="BM2375">
        <v>-1.3879999999999999</v>
      </c>
      <c r="BN2375">
        <v>-2.4220000000000002</v>
      </c>
    </row>
    <row r="2376" spans="2:66">
      <c r="B2376">
        <v>4089</v>
      </c>
      <c r="C2376">
        <v>177</v>
      </c>
      <c r="D2376">
        <v>0</v>
      </c>
      <c r="E2376">
        <v>13</v>
      </c>
      <c r="F2376">
        <v>0</v>
      </c>
      <c r="J2376">
        <v>0</v>
      </c>
      <c r="K2376">
        <v>0</v>
      </c>
      <c r="L2376">
        <v>0</v>
      </c>
      <c r="M2376" t="s">
        <v>25022</v>
      </c>
      <c r="N2376">
        <v>1427</v>
      </c>
      <c r="O2376" t="s">
        <v>8940</v>
      </c>
      <c r="P2376" t="s">
        <v>57</v>
      </c>
      <c r="Q2376">
        <v>1441291</v>
      </c>
      <c r="R2376">
        <v>1441785</v>
      </c>
      <c r="S2376" t="s">
        <v>8941</v>
      </c>
      <c r="T2376">
        <v>165</v>
      </c>
      <c r="U2376" t="s">
        <v>108</v>
      </c>
      <c r="V2376">
        <v>44</v>
      </c>
      <c r="W2376" t="str">
        <f>HYPERLINK("Gene1427-zp_tree_all.dnd", "Gene1427-tree")</f>
        <v>Gene1427-tree</v>
      </c>
      <c r="X2376">
        <v>9</v>
      </c>
      <c r="Y2376">
        <v>1</v>
      </c>
      <c r="Z2376">
        <v>9</v>
      </c>
      <c r="AA2376">
        <v>1</v>
      </c>
      <c r="AB2376">
        <v>0.1</v>
      </c>
      <c r="AC2376" t="s">
        <v>135</v>
      </c>
      <c r="AD2376" t="s">
        <v>175</v>
      </c>
      <c r="AE2376" t="s">
        <v>62</v>
      </c>
      <c r="AF2376" t="s">
        <v>62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8</v>
      </c>
      <c r="AV2376">
        <v>7</v>
      </c>
      <c r="AW2376">
        <v>31</v>
      </c>
      <c r="AX2376">
        <v>1</v>
      </c>
      <c r="AY2376">
        <v>22</v>
      </c>
      <c r="AZ2376">
        <v>0</v>
      </c>
      <c r="BA2376" t="s">
        <v>8942</v>
      </c>
      <c r="BB2376" t="s">
        <v>193</v>
      </c>
      <c r="BC2376">
        <v>0.37</v>
      </c>
      <c r="BD2376" t="s">
        <v>65</v>
      </c>
      <c r="BE2376">
        <v>53</v>
      </c>
      <c r="BF2376">
        <v>1</v>
      </c>
      <c r="BG2376" t="s">
        <v>8943</v>
      </c>
      <c r="BH2376" t="s">
        <v>8944</v>
      </c>
      <c r="BI2376" t="s">
        <v>8945</v>
      </c>
      <c r="BJ2376">
        <v>3.9100000000000003E-3</v>
      </c>
      <c r="BK2376">
        <v>1</v>
      </c>
      <c r="BL2376" t="s">
        <v>69</v>
      </c>
      <c r="BM2376">
        <v>0.24099999999999999</v>
      </c>
      <c r="BN2376">
        <v>-0.46100000000000002</v>
      </c>
    </row>
    <row r="2377" spans="2:66">
      <c r="B2377">
        <v>4090</v>
      </c>
      <c r="C2377">
        <v>205</v>
      </c>
      <c r="D2377">
        <v>0</v>
      </c>
      <c r="E2377">
        <v>13</v>
      </c>
      <c r="F2377">
        <v>0</v>
      </c>
      <c r="J2377">
        <v>5</v>
      </c>
      <c r="K2377">
        <v>0</v>
      </c>
      <c r="L2377">
        <v>4</v>
      </c>
      <c r="M2377" t="s">
        <v>25022</v>
      </c>
      <c r="N2377">
        <v>1429</v>
      </c>
      <c r="O2377" t="s">
        <v>8954</v>
      </c>
      <c r="P2377" t="s">
        <v>57</v>
      </c>
      <c r="Q2377">
        <v>1442872</v>
      </c>
      <c r="R2377">
        <v>1443615</v>
      </c>
      <c r="S2377" t="s">
        <v>8955</v>
      </c>
      <c r="T2377">
        <v>248</v>
      </c>
      <c r="U2377" t="s">
        <v>8948</v>
      </c>
      <c r="V2377">
        <v>40</v>
      </c>
      <c r="W2377" t="str">
        <f>HYPERLINK("Gene1429-zp_tree_all.dnd", "Gene1429-tree")</f>
        <v>Gene1429-tree</v>
      </c>
      <c r="X2377">
        <v>5</v>
      </c>
      <c r="Y2377">
        <v>11</v>
      </c>
      <c r="Z2377">
        <v>5</v>
      </c>
      <c r="AA2377">
        <v>11</v>
      </c>
      <c r="AB2377">
        <v>0.6875</v>
      </c>
      <c r="AC2377" t="s">
        <v>199</v>
      </c>
      <c r="AD2377" t="s">
        <v>73</v>
      </c>
      <c r="AE2377">
        <v>137353515.63499999</v>
      </c>
      <c r="AF2377" t="s">
        <v>267</v>
      </c>
      <c r="AG2377">
        <v>3</v>
      </c>
      <c r="AH2377">
        <v>9</v>
      </c>
      <c r="AI2377">
        <v>15</v>
      </c>
      <c r="AJ2377">
        <v>0.375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2</v>
      </c>
      <c r="AR2377">
        <v>2</v>
      </c>
      <c r="AS2377">
        <v>13</v>
      </c>
      <c r="AT2377">
        <v>0.13333</v>
      </c>
      <c r="AU2377">
        <v>14</v>
      </c>
      <c r="AV2377">
        <v>8</v>
      </c>
      <c r="AW2377">
        <v>18</v>
      </c>
      <c r="AX2377">
        <v>16</v>
      </c>
      <c r="AY2377">
        <v>9</v>
      </c>
      <c r="AZ2377">
        <v>9</v>
      </c>
      <c r="BA2377" t="s">
        <v>8956</v>
      </c>
      <c r="BB2377" t="s">
        <v>8957</v>
      </c>
      <c r="BC2377">
        <v>0.14299999999999999</v>
      </c>
      <c r="BD2377" t="s">
        <v>65</v>
      </c>
      <c r="BE2377">
        <v>27</v>
      </c>
      <c r="BF2377">
        <v>25</v>
      </c>
      <c r="BG2377" t="s">
        <v>8958</v>
      </c>
      <c r="BH2377" t="s">
        <v>8959</v>
      </c>
      <c r="BI2377" t="s">
        <v>8960</v>
      </c>
      <c r="BJ2377">
        <v>0.29550999999999999</v>
      </c>
      <c r="BK2377">
        <v>1</v>
      </c>
      <c r="BL2377" t="s">
        <v>69</v>
      </c>
      <c r="BM2377">
        <v>-1.147</v>
      </c>
      <c r="BN2377">
        <v>-1.49</v>
      </c>
    </row>
    <row r="2378" spans="2:66">
      <c r="B2378">
        <v>4092</v>
      </c>
      <c r="C2378">
        <v>50</v>
      </c>
      <c r="D2378">
        <v>0</v>
      </c>
      <c r="E2378">
        <v>2</v>
      </c>
      <c r="F2378">
        <v>0</v>
      </c>
      <c r="J2378">
        <v>0</v>
      </c>
      <c r="K2378">
        <v>23</v>
      </c>
      <c r="L2378">
        <v>4</v>
      </c>
      <c r="M2378" t="s">
        <v>25022</v>
      </c>
      <c r="N2378">
        <v>1430</v>
      </c>
      <c r="O2378" t="s">
        <v>8961</v>
      </c>
      <c r="P2378" t="s">
        <v>57</v>
      </c>
      <c r="Q2378">
        <v>1444099</v>
      </c>
      <c r="R2378">
        <v>1445295</v>
      </c>
      <c r="S2378" t="s">
        <v>8962</v>
      </c>
      <c r="T2378">
        <v>399</v>
      </c>
      <c r="U2378" t="s">
        <v>8963</v>
      </c>
      <c r="V2378">
        <v>38</v>
      </c>
      <c r="W2378" t="str">
        <f>HYPERLINK("Gene1430-zp_tree_all.dnd", "Gene1430-tree")</f>
        <v>Gene1430-tree</v>
      </c>
      <c r="X2378">
        <v>2</v>
      </c>
      <c r="Y2378">
        <v>12</v>
      </c>
      <c r="Z2378">
        <v>2</v>
      </c>
      <c r="AA2378">
        <v>12</v>
      </c>
      <c r="AB2378">
        <v>0.85714000000000001</v>
      </c>
      <c r="AC2378" t="s">
        <v>81</v>
      </c>
      <c r="AD2378" t="s">
        <v>109</v>
      </c>
      <c r="AE2378" t="s">
        <v>62</v>
      </c>
      <c r="AF2378" t="s">
        <v>62</v>
      </c>
      <c r="AG2378">
        <v>10</v>
      </c>
      <c r="AH2378">
        <v>27</v>
      </c>
      <c r="AI2378">
        <v>29</v>
      </c>
      <c r="AJ2378">
        <v>0.48214000000000001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10</v>
      </c>
      <c r="AQ2378">
        <v>7</v>
      </c>
      <c r="AR2378">
        <v>17</v>
      </c>
      <c r="AS2378">
        <v>30</v>
      </c>
      <c r="AT2378">
        <v>0.36170000000000002</v>
      </c>
      <c r="AU2378">
        <v>13</v>
      </c>
      <c r="AV2378">
        <v>8</v>
      </c>
      <c r="AW2378">
        <v>57</v>
      </c>
      <c r="AX2378">
        <v>48</v>
      </c>
      <c r="AY2378">
        <v>15</v>
      </c>
      <c r="AZ2378">
        <v>9</v>
      </c>
      <c r="BA2378" t="s">
        <v>8964</v>
      </c>
      <c r="BB2378" t="s">
        <v>8965</v>
      </c>
      <c r="BC2378">
        <v>0.214</v>
      </c>
      <c r="BD2378" t="s">
        <v>65</v>
      </c>
      <c r="BE2378">
        <v>72</v>
      </c>
      <c r="BF2378">
        <v>57</v>
      </c>
      <c r="BG2378" t="s">
        <v>8966</v>
      </c>
      <c r="BH2378" t="s">
        <v>8967</v>
      </c>
      <c r="BI2378" t="s">
        <v>8968</v>
      </c>
      <c r="BJ2378">
        <v>0.21883</v>
      </c>
      <c r="BK2378">
        <v>1</v>
      </c>
      <c r="BL2378" t="s">
        <v>69</v>
      </c>
      <c r="BM2378">
        <v>-1.5149999999999999</v>
      </c>
      <c r="BN2378">
        <v>-3.4990000000000001</v>
      </c>
    </row>
    <row r="2379" spans="2:66">
      <c r="B2379">
        <v>4093</v>
      </c>
      <c r="C2379">
        <v>230</v>
      </c>
      <c r="D2379">
        <v>0</v>
      </c>
      <c r="E2379">
        <v>10</v>
      </c>
      <c r="F2379">
        <v>0</v>
      </c>
      <c r="J2379">
        <v>0</v>
      </c>
      <c r="K2379">
        <v>2</v>
      </c>
      <c r="L2379">
        <v>3</v>
      </c>
      <c r="M2379" t="s">
        <v>25022</v>
      </c>
      <c r="N2379">
        <v>1431</v>
      </c>
      <c r="O2379" t="s">
        <v>8969</v>
      </c>
      <c r="P2379" t="s">
        <v>57</v>
      </c>
      <c r="Q2379">
        <v>1445314</v>
      </c>
      <c r="R2379">
        <v>1445538</v>
      </c>
      <c r="S2379" t="s">
        <v>8970</v>
      </c>
      <c r="T2379">
        <v>75</v>
      </c>
      <c r="U2379" t="s">
        <v>8971</v>
      </c>
      <c r="V2379">
        <v>38</v>
      </c>
      <c r="W2379" t="str">
        <f>HYPERLINK("Gene1431-zp_tree_all.dnd", "Gene1431-tree")</f>
        <v>Gene1431-tree</v>
      </c>
      <c r="X2379">
        <v>3</v>
      </c>
      <c r="Y2379">
        <v>27</v>
      </c>
      <c r="Z2379">
        <v>3</v>
      </c>
      <c r="AA2379">
        <v>8</v>
      </c>
      <c r="AB2379">
        <v>0.72726999999999997</v>
      </c>
      <c r="AC2379" t="s">
        <v>324</v>
      </c>
      <c r="AD2379" t="s">
        <v>282</v>
      </c>
      <c r="AE2379">
        <v>1.895</v>
      </c>
      <c r="AF2379" t="s">
        <v>65</v>
      </c>
      <c r="AG2379">
        <v>2</v>
      </c>
      <c r="AH2379">
        <v>5</v>
      </c>
      <c r="AI2379">
        <v>11</v>
      </c>
      <c r="AJ2379">
        <v>0.3125</v>
      </c>
      <c r="AK2379">
        <v>0</v>
      </c>
      <c r="AL2379">
        <v>0</v>
      </c>
      <c r="AM2379">
        <v>0</v>
      </c>
      <c r="AN2379">
        <v>2</v>
      </c>
      <c r="AO2379">
        <v>0</v>
      </c>
      <c r="AP2379">
        <v>0</v>
      </c>
      <c r="AQ2379">
        <v>4</v>
      </c>
      <c r="AR2379">
        <v>4</v>
      </c>
      <c r="AS2379">
        <v>9</v>
      </c>
      <c r="AT2379">
        <v>0.30769000000000002</v>
      </c>
      <c r="AU2379">
        <v>10</v>
      </c>
      <c r="AV2379">
        <v>5</v>
      </c>
      <c r="AW2379">
        <v>10</v>
      </c>
      <c r="AX2379">
        <v>13</v>
      </c>
      <c r="AY2379">
        <v>7</v>
      </c>
      <c r="AZ2379">
        <v>3</v>
      </c>
      <c r="BA2379" t="s">
        <v>8972</v>
      </c>
      <c r="BB2379" t="s">
        <v>8973</v>
      </c>
      <c r="BC2379">
        <v>0.68899999999999995</v>
      </c>
      <c r="BD2379" t="s">
        <v>65</v>
      </c>
      <c r="BE2379">
        <v>17</v>
      </c>
      <c r="BF2379">
        <v>16</v>
      </c>
      <c r="BG2379" t="s">
        <v>8974</v>
      </c>
      <c r="BH2379" t="s">
        <v>8975</v>
      </c>
      <c r="BI2379" t="s">
        <v>8976</v>
      </c>
      <c r="BJ2379">
        <v>0.25075999999999998</v>
      </c>
      <c r="BK2379">
        <v>1</v>
      </c>
      <c r="BL2379" t="s">
        <v>69</v>
      </c>
      <c r="BM2379">
        <v>-1.482</v>
      </c>
      <c r="BN2379">
        <v>-3.02</v>
      </c>
    </row>
    <row r="2380" spans="2:66">
      <c r="B2380">
        <v>4095</v>
      </c>
      <c r="C2380">
        <v>253</v>
      </c>
      <c r="D2380">
        <v>0</v>
      </c>
      <c r="E2380">
        <v>28</v>
      </c>
      <c r="F2380">
        <v>2</v>
      </c>
      <c r="J2380">
        <v>0</v>
      </c>
      <c r="K2380">
        <v>2</v>
      </c>
      <c r="L2380">
        <v>2</v>
      </c>
      <c r="M2380" t="s">
        <v>25022</v>
      </c>
      <c r="N2380">
        <v>1434</v>
      </c>
      <c r="O2380" t="s">
        <v>8977</v>
      </c>
      <c r="P2380" t="s">
        <v>57</v>
      </c>
      <c r="Q2380">
        <v>1447251</v>
      </c>
      <c r="R2380">
        <v>1447538</v>
      </c>
      <c r="S2380" t="s">
        <v>8978</v>
      </c>
      <c r="T2380">
        <v>96</v>
      </c>
      <c r="U2380" t="s">
        <v>1124</v>
      </c>
      <c r="V2380">
        <v>43</v>
      </c>
      <c r="W2380" t="str">
        <f>HYPERLINK("Gene1434-zp_tree_all.dnd", "Gene1434-tree")</f>
        <v>Gene1434-tree</v>
      </c>
      <c r="X2380">
        <v>4</v>
      </c>
      <c r="Y2380">
        <v>8</v>
      </c>
      <c r="Z2380">
        <v>4</v>
      </c>
      <c r="AA2380">
        <v>8</v>
      </c>
      <c r="AB2380">
        <v>0.66666999999999998</v>
      </c>
      <c r="AC2380" t="s">
        <v>61</v>
      </c>
      <c r="AD2380" t="s">
        <v>136</v>
      </c>
      <c r="AE2380" t="s">
        <v>62</v>
      </c>
      <c r="AF2380" t="s">
        <v>62</v>
      </c>
      <c r="AG2380">
        <v>2</v>
      </c>
      <c r="AH2380">
        <v>4</v>
      </c>
      <c r="AI2380">
        <v>7</v>
      </c>
      <c r="AJ2380">
        <v>0.36364000000000002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2</v>
      </c>
      <c r="AR2380">
        <v>2</v>
      </c>
      <c r="AS2380">
        <v>7</v>
      </c>
      <c r="AT2380">
        <v>0.22222</v>
      </c>
      <c r="AU2380">
        <v>8</v>
      </c>
      <c r="AV2380">
        <v>5</v>
      </c>
      <c r="AW2380">
        <v>6</v>
      </c>
      <c r="AX2380">
        <v>8</v>
      </c>
      <c r="AY2380">
        <v>2</v>
      </c>
      <c r="AZ2380">
        <v>3</v>
      </c>
      <c r="BA2380" t="s">
        <v>8979</v>
      </c>
      <c r="BB2380" t="s">
        <v>8980</v>
      </c>
      <c r="BC2380">
        <v>0.105</v>
      </c>
      <c r="BD2380" t="s">
        <v>65</v>
      </c>
      <c r="BE2380">
        <v>8</v>
      </c>
      <c r="BF2380">
        <v>11</v>
      </c>
      <c r="BG2380" t="s">
        <v>8981</v>
      </c>
      <c r="BH2380" t="s">
        <v>8982</v>
      </c>
      <c r="BI2380" t="s">
        <v>8983</v>
      </c>
      <c r="BJ2380">
        <v>0.36314000000000002</v>
      </c>
      <c r="BK2380">
        <v>0.92900000000000005</v>
      </c>
      <c r="BL2380" t="s">
        <v>635</v>
      </c>
      <c r="BM2380">
        <v>-1.23</v>
      </c>
      <c r="BN2380">
        <v>-1.4339999999999999</v>
      </c>
    </row>
    <row r="2381" spans="2:66">
      <c r="B2381">
        <v>4096</v>
      </c>
      <c r="C2381">
        <v>216</v>
      </c>
      <c r="D2381">
        <v>0</v>
      </c>
      <c r="E2381">
        <v>10</v>
      </c>
      <c r="F2381">
        <v>0</v>
      </c>
      <c r="J2381">
        <v>0</v>
      </c>
      <c r="K2381">
        <v>0</v>
      </c>
      <c r="L2381">
        <v>0</v>
      </c>
      <c r="M2381" t="s">
        <v>25022</v>
      </c>
      <c r="N2381">
        <v>1436</v>
      </c>
      <c r="O2381" t="s">
        <v>8990</v>
      </c>
      <c r="P2381" t="s">
        <v>57</v>
      </c>
      <c r="Q2381">
        <v>1448013</v>
      </c>
      <c r="R2381">
        <v>1448204</v>
      </c>
      <c r="S2381" t="s">
        <v>8978</v>
      </c>
      <c r="T2381">
        <v>64</v>
      </c>
      <c r="U2381" t="s">
        <v>698</v>
      </c>
      <c r="V2381">
        <v>47</v>
      </c>
      <c r="W2381" t="str">
        <f>HYPERLINK("Gene1436-zp_tree_all.dnd", "Gene1436-tree")</f>
        <v>Gene1436-tree</v>
      </c>
      <c r="X2381">
        <v>32</v>
      </c>
      <c r="Y2381">
        <v>2</v>
      </c>
      <c r="Z2381">
        <v>6</v>
      </c>
      <c r="AA2381">
        <v>2</v>
      </c>
      <c r="AB2381">
        <v>0.25</v>
      </c>
      <c r="AC2381" t="s">
        <v>371</v>
      </c>
      <c r="AD2381" t="s">
        <v>81</v>
      </c>
      <c r="AE2381" t="s">
        <v>62</v>
      </c>
      <c r="AF2381" t="s">
        <v>62</v>
      </c>
      <c r="AG2381">
        <v>0</v>
      </c>
      <c r="AH2381">
        <v>0</v>
      </c>
      <c r="AI2381">
        <v>3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3</v>
      </c>
      <c r="AT2381">
        <v>0</v>
      </c>
      <c r="AU2381">
        <v>5</v>
      </c>
      <c r="AV2381">
        <v>2</v>
      </c>
      <c r="AW2381">
        <v>4</v>
      </c>
      <c r="AX2381">
        <v>3</v>
      </c>
      <c r="AY2381">
        <v>8</v>
      </c>
      <c r="AZ2381">
        <v>0</v>
      </c>
      <c r="BA2381" t="s">
        <v>8991</v>
      </c>
      <c r="BB2381" t="s">
        <v>193</v>
      </c>
      <c r="BC2381">
        <v>0.83799999999999997</v>
      </c>
      <c r="BD2381" t="s">
        <v>65</v>
      </c>
      <c r="BE2381">
        <v>12</v>
      </c>
      <c r="BF2381">
        <v>3</v>
      </c>
      <c r="BG2381" t="s">
        <v>8992</v>
      </c>
      <c r="BH2381" t="s">
        <v>8993</v>
      </c>
      <c r="BI2381" t="s">
        <v>8994</v>
      </c>
      <c r="BJ2381">
        <v>4.0129999999999999E-2</v>
      </c>
      <c r="BK2381">
        <v>1</v>
      </c>
      <c r="BL2381" t="s">
        <v>69</v>
      </c>
      <c r="BM2381">
        <v>-1.083</v>
      </c>
      <c r="BN2381">
        <v>0.58899999999999997</v>
      </c>
    </row>
    <row r="2382" spans="2:66">
      <c r="B2382">
        <v>4097</v>
      </c>
      <c r="C2382">
        <v>85</v>
      </c>
      <c r="D2382">
        <v>0</v>
      </c>
      <c r="E2382">
        <v>4</v>
      </c>
      <c r="F2382">
        <v>2</v>
      </c>
      <c r="J2382">
        <v>0</v>
      </c>
      <c r="K2382">
        <v>0</v>
      </c>
      <c r="L2382">
        <v>0</v>
      </c>
      <c r="M2382" t="s">
        <v>25022</v>
      </c>
      <c r="N2382">
        <v>1437</v>
      </c>
      <c r="O2382" t="s">
        <v>8995</v>
      </c>
      <c r="P2382" t="s">
        <v>57</v>
      </c>
      <c r="Q2382">
        <v>1448506</v>
      </c>
      <c r="R2382">
        <v>1449129</v>
      </c>
      <c r="S2382" t="s">
        <v>8996</v>
      </c>
      <c r="T2382">
        <v>208</v>
      </c>
      <c r="U2382" t="s">
        <v>7661</v>
      </c>
      <c r="V2382">
        <v>43</v>
      </c>
      <c r="W2382" t="str">
        <f>HYPERLINK("Gene1437-zp_tree_all.dnd", "Gene1437-tree")</f>
        <v>Gene1437-tree</v>
      </c>
      <c r="X2382">
        <v>8</v>
      </c>
      <c r="Y2382">
        <v>5</v>
      </c>
      <c r="Z2382">
        <v>8</v>
      </c>
      <c r="AA2382">
        <v>5</v>
      </c>
      <c r="AB2382">
        <v>0.38462000000000002</v>
      </c>
      <c r="AC2382" t="s">
        <v>136</v>
      </c>
      <c r="AD2382" t="s">
        <v>199</v>
      </c>
      <c r="AE2382" t="s">
        <v>62</v>
      </c>
      <c r="AF2382" t="s">
        <v>62</v>
      </c>
      <c r="AG2382">
        <v>0</v>
      </c>
      <c r="AH2382">
        <v>0</v>
      </c>
      <c r="AI2382">
        <v>9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7</v>
      </c>
      <c r="AT2382">
        <v>0</v>
      </c>
      <c r="AU2382">
        <v>9</v>
      </c>
      <c r="AV2382">
        <v>6</v>
      </c>
      <c r="AW2382">
        <v>9</v>
      </c>
      <c r="AX2382">
        <v>7</v>
      </c>
      <c r="AY2382">
        <v>5</v>
      </c>
      <c r="AZ2382">
        <v>2</v>
      </c>
      <c r="BA2382" t="s">
        <v>8997</v>
      </c>
      <c r="BB2382" t="s">
        <v>8998</v>
      </c>
      <c r="BC2382">
        <v>0.54300000000000004</v>
      </c>
      <c r="BD2382" t="s">
        <v>65</v>
      </c>
      <c r="BE2382">
        <v>14</v>
      </c>
      <c r="BF2382">
        <v>9</v>
      </c>
      <c r="BG2382" t="s">
        <v>8999</v>
      </c>
      <c r="BH2382" t="s">
        <v>9000</v>
      </c>
      <c r="BI2382" t="s">
        <v>9001</v>
      </c>
      <c r="BJ2382">
        <v>0.21235999999999999</v>
      </c>
      <c r="BK2382">
        <v>1</v>
      </c>
      <c r="BL2382" t="s">
        <v>69</v>
      </c>
      <c r="BM2382">
        <v>-1.2949999999999999</v>
      </c>
      <c r="BN2382">
        <v>-2.2010000000000001</v>
      </c>
    </row>
    <row r="2383" spans="2:66">
      <c r="B2383">
        <v>4098</v>
      </c>
      <c r="C2383">
        <v>67</v>
      </c>
      <c r="D2383">
        <v>0</v>
      </c>
      <c r="E2383">
        <v>5</v>
      </c>
      <c r="F2383">
        <v>1</v>
      </c>
      <c r="J2383">
        <v>0</v>
      </c>
      <c r="K2383">
        <v>7</v>
      </c>
      <c r="L2383">
        <v>0</v>
      </c>
      <c r="M2383" t="s">
        <v>25022</v>
      </c>
      <c r="N2383">
        <v>1438</v>
      </c>
      <c r="O2383" t="s">
        <v>9002</v>
      </c>
      <c r="P2383" t="s">
        <v>57</v>
      </c>
      <c r="Q2383">
        <v>1449250</v>
      </c>
      <c r="R2383">
        <v>1450584</v>
      </c>
      <c r="S2383" t="s">
        <v>9003</v>
      </c>
      <c r="T2383">
        <v>445</v>
      </c>
      <c r="U2383" t="s">
        <v>108</v>
      </c>
      <c r="V2383">
        <v>44</v>
      </c>
      <c r="W2383" t="str">
        <f>HYPERLINK("Gene1438-zp_tree_all.dnd", "Gene1438-tree")</f>
        <v>Gene1438-tree</v>
      </c>
      <c r="X2383">
        <v>11</v>
      </c>
      <c r="Y2383">
        <v>6</v>
      </c>
      <c r="Z2383">
        <v>11</v>
      </c>
      <c r="AA2383">
        <v>6</v>
      </c>
      <c r="AB2383">
        <v>0.35293999999999998</v>
      </c>
      <c r="AC2383" t="s">
        <v>73</v>
      </c>
      <c r="AD2383" t="s">
        <v>90</v>
      </c>
      <c r="AE2383" t="s">
        <v>62</v>
      </c>
      <c r="AF2383" t="s">
        <v>62</v>
      </c>
      <c r="AG2383">
        <v>2</v>
      </c>
      <c r="AH2383">
        <v>7</v>
      </c>
      <c r="AI2383">
        <v>4</v>
      </c>
      <c r="AJ2383">
        <v>0.63636000000000004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6</v>
      </c>
      <c r="AQ2383">
        <v>0</v>
      </c>
      <c r="AR2383">
        <v>6</v>
      </c>
      <c r="AS2383">
        <v>2</v>
      </c>
      <c r="AT2383">
        <v>0.75</v>
      </c>
      <c r="AU2383">
        <v>16</v>
      </c>
      <c r="AV2383">
        <v>11</v>
      </c>
      <c r="AW2383">
        <v>39</v>
      </c>
      <c r="AX2383">
        <v>8</v>
      </c>
      <c r="AY2383">
        <v>14</v>
      </c>
      <c r="AZ2383">
        <v>3</v>
      </c>
      <c r="BA2383" t="s">
        <v>9004</v>
      </c>
      <c r="BB2383" t="s">
        <v>9005</v>
      </c>
      <c r="BC2383">
        <v>2.7E-2</v>
      </c>
      <c r="BD2383" t="s">
        <v>65</v>
      </c>
      <c r="BE2383">
        <v>53</v>
      </c>
      <c r="BF2383">
        <v>11</v>
      </c>
      <c r="BG2383" t="s">
        <v>9006</v>
      </c>
      <c r="BH2383" t="s">
        <v>9007</v>
      </c>
      <c r="BI2383" t="s">
        <v>9008</v>
      </c>
      <c r="BJ2383">
        <v>5.5620000000000003E-2</v>
      </c>
      <c r="BK2383">
        <v>1</v>
      </c>
      <c r="BL2383" t="s">
        <v>69</v>
      </c>
      <c r="BM2383">
        <v>-1.5580000000000001</v>
      </c>
      <c r="BN2383">
        <v>-2.4300000000000002</v>
      </c>
    </row>
    <row r="2384" spans="2:66">
      <c r="B2384">
        <v>4099</v>
      </c>
      <c r="C2384">
        <v>25</v>
      </c>
      <c r="D2384">
        <v>0</v>
      </c>
      <c r="E2384">
        <v>2</v>
      </c>
      <c r="F2384">
        <v>0</v>
      </c>
      <c r="J2384">
        <v>0</v>
      </c>
      <c r="K2384">
        <v>6</v>
      </c>
      <c r="L2384">
        <v>1</v>
      </c>
      <c r="M2384" t="s">
        <v>25022</v>
      </c>
      <c r="N2384">
        <v>1439</v>
      </c>
      <c r="O2384" t="s">
        <v>9009</v>
      </c>
      <c r="P2384" t="s">
        <v>57</v>
      </c>
      <c r="Q2384">
        <v>1450638</v>
      </c>
      <c r="R2384">
        <v>1451132</v>
      </c>
      <c r="S2384" t="s">
        <v>9010</v>
      </c>
      <c r="T2384">
        <v>165</v>
      </c>
      <c r="U2384" t="s">
        <v>108</v>
      </c>
      <c r="V2384">
        <v>44</v>
      </c>
      <c r="W2384" t="str">
        <f>HYPERLINK("Gene1439-zp_tree_all.dnd", "Gene1439-tree")</f>
        <v>Gene1439-tree</v>
      </c>
      <c r="X2384">
        <v>7</v>
      </c>
      <c r="Y2384">
        <v>9</v>
      </c>
      <c r="Z2384">
        <v>7</v>
      </c>
      <c r="AA2384">
        <v>9</v>
      </c>
      <c r="AB2384">
        <v>0.5625</v>
      </c>
      <c r="AC2384" t="s">
        <v>152</v>
      </c>
      <c r="AD2384" t="s">
        <v>135</v>
      </c>
      <c r="AE2384" t="s">
        <v>62</v>
      </c>
      <c r="AF2384" t="s">
        <v>62</v>
      </c>
      <c r="AG2384">
        <v>3</v>
      </c>
      <c r="AH2384">
        <v>7</v>
      </c>
      <c r="AI2384">
        <v>4</v>
      </c>
      <c r="AJ2384">
        <v>0.63636000000000004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4</v>
      </c>
      <c r="AQ2384">
        <v>1</v>
      </c>
      <c r="AR2384">
        <v>5</v>
      </c>
      <c r="AS2384">
        <v>5</v>
      </c>
      <c r="AT2384">
        <v>0.5</v>
      </c>
      <c r="AU2384">
        <v>11</v>
      </c>
      <c r="AV2384">
        <v>7</v>
      </c>
      <c r="AW2384">
        <v>22</v>
      </c>
      <c r="AX2384">
        <v>11</v>
      </c>
      <c r="AY2384">
        <v>9</v>
      </c>
      <c r="AZ2384">
        <v>1</v>
      </c>
      <c r="BA2384" t="s">
        <v>9011</v>
      </c>
      <c r="BB2384" t="s">
        <v>9012</v>
      </c>
      <c r="BC2384">
        <v>1.1220000000000001</v>
      </c>
      <c r="BD2384" t="s">
        <v>65</v>
      </c>
      <c r="BE2384">
        <v>31</v>
      </c>
      <c r="BF2384">
        <v>12</v>
      </c>
      <c r="BG2384" t="s">
        <v>9013</v>
      </c>
      <c r="BH2384" t="s">
        <v>9014</v>
      </c>
      <c r="BI2384" t="s">
        <v>9015</v>
      </c>
      <c r="BJ2384">
        <v>8.992E-2</v>
      </c>
      <c r="BK2384">
        <v>1</v>
      </c>
      <c r="BL2384" t="s">
        <v>69</v>
      </c>
      <c r="BM2384">
        <v>-0.751</v>
      </c>
      <c r="BN2384">
        <v>-1.196</v>
      </c>
    </row>
    <row r="2385" spans="2:66">
      <c r="B2385">
        <v>4100</v>
      </c>
      <c r="C2385">
        <v>3</v>
      </c>
      <c r="D2385">
        <v>0</v>
      </c>
      <c r="E2385">
        <v>2</v>
      </c>
      <c r="F2385">
        <v>0</v>
      </c>
      <c r="J2385">
        <v>0</v>
      </c>
      <c r="K2385">
        <v>12</v>
      </c>
      <c r="L2385">
        <v>0</v>
      </c>
      <c r="M2385" t="s">
        <v>25022</v>
      </c>
      <c r="N2385">
        <v>1440</v>
      </c>
      <c r="O2385" t="s">
        <v>9016</v>
      </c>
      <c r="P2385" t="s">
        <v>57</v>
      </c>
      <c r="Q2385">
        <v>1451371</v>
      </c>
      <c r="R2385">
        <v>1453281</v>
      </c>
      <c r="S2385" t="s">
        <v>9017</v>
      </c>
      <c r="T2385">
        <v>637</v>
      </c>
      <c r="U2385" t="s">
        <v>108</v>
      </c>
      <c r="V2385">
        <v>44</v>
      </c>
      <c r="W2385" t="str">
        <f>HYPERLINK("Gene1440-zp_tree_all.dnd", "Gene1440-tree")</f>
        <v>Gene1440-tree</v>
      </c>
      <c r="X2385">
        <v>6</v>
      </c>
      <c r="Y2385">
        <v>10</v>
      </c>
      <c r="Z2385">
        <v>6</v>
      </c>
      <c r="AA2385">
        <v>10</v>
      </c>
      <c r="AB2385">
        <v>0.625</v>
      </c>
      <c r="AC2385" t="s">
        <v>90</v>
      </c>
      <c r="AD2385" t="s">
        <v>117</v>
      </c>
      <c r="AE2385" t="s">
        <v>62</v>
      </c>
      <c r="AF2385" t="s">
        <v>62</v>
      </c>
      <c r="AG2385">
        <v>6</v>
      </c>
      <c r="AH2385">
        <v>12</v>
      </c>
      <c r="AI2385">
        <v>19</v>
      </c>
      <c r="AJ2385">
        <v>0.3871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19</v>
      </c>
      <c r="AT2385">
        <v>0</v>
      </c>
      <c r="AU2385">
        <v>15</v>
      </c>
      <c r="AV2385">
        <v>12</v>
      </c>
      <c r="AW2385">
        <v>49</v>
      </c>
      <c r="AX2385">
        <v>19</v>
      </c>
      <c r="AY2385">
        <v>16</v>
      </c>
      <c r="AZ2385">
        <v>12</v>
      </c>
      <c r="BA2385" t="s">
        <v>9018</v>
      </c>
      <c r="BB2385" t="s">
        <v>9019</v>
      </c>
      <c r="BC2385">
        <v>1.107</v>
      </c>
      <c r="BD2385" t="s">
        <v>65</v>
      </c>
      <c r="BE2385">
        <v>65</v>
      </c>
      <c r="BF2385">
        <v>31</v>
      </c>
      <c r="BG2385" t="s">
        <v>9020</v>
      </c>
      <c r="BH2385" t="s">
        <v>590</v>
      </c>
      <c r="BI2385" t="s">
        <v>9021</v>
      </c>
      <c r="BJ2385">
        <v>0.16313</v>
      </c>
      <c r="BK2385">
        <v>1</v>
      </c>
      <c r="BL2385" t="s">
        <v>69</v>
      </c>
      <c r="BM2385">
        <v>-0.95399999999999996</v>
      </c>
      <c r="BN2385">
        <v>-1.774</v>
      </c>
    </row>
    <row r="2386" spans="2:66">
      <c r="B2386">
        <v>4102</v>
      </c>
      <c r="C2386">
        <v>144</v>
      </c>
      <c r="D2386">
        <v>0</v>
      </c>
      <c r="E2386">
        <v>6</v>
      </c>
      <c r="F2386">
        <v>0</v>
      </c>
      <c r="J2386">
        <v>0</v>
      </c>
      <c r="K2386">
        <v>4</v>
      </c>
      <c r="L2386">
        <v>0</v>
      </c>
      <c r="M2386" t="s">
        <v>25022</v>
      </c>
      <c r="N2386">
        <v>1441</v>
      </c>
      <c r="O2386" t="s">
        <v>9022</v>
      </c>
      <c r="P2386" t="s">
        <v>57</v>
      </c>
      <c r="Q2386">
        <v>1453691</v>
      </c>
      <c r="R2386">
        <v>1454779</v>
      </c>
      <c r="S2386" t="s">
        <v>9023</v>
      </c>
      <c r="T2386">
        <v>363</v>
      </c>
      <c r="U2386" t="s">
        <v>108</v>
      </c>
      <c r="V2386">
        <v>44</v>
      </c>
      <c r="W2386" t="str">
        <f>HYPERLINK("Gene1441-zp_tree_all.dnd", "Gene1441-tree")</f>
        <v>Gene1441-tree</v>
      </c>
      <c r="X2386">
        <v>6</v>
      </c>
      <c r="Y2386">
        <v>10</v>
      </c>
      <c r="Z2386">
        <v>6</v>
      </c>
      <c r="AA2386">
        <v>10</v>
      </c>
      <c r="AB2386">
        <v>0.625</v>
      </c>
      <c r="AC2386" t="s">
        <v>90</v>
      </c>
      <c r="AD2386" t="s">
        <v>117</v>
      </c>
      <c r="AE2386" t="s">
        <v>62</v>
      </c>
      <c r="AF2386" t="s">
        <v>62</v>
      </c>
      <c r="AG2386">
        <v>2</v>
      </c>
      <c r="AH2386">
        <v>4</v>
      </c>
      <c r="AI2386">
        <v>12</v>
      </c>
      <c r="AJ2386">
        <v>0.25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4</v>
      </c>
      <c r="AQ2386">
        <v>0</v>
      </c>
      <c r="AR2386">
        <v>4</v>
      </c>
      <c r="AS2386">
        <v>9</v>
      </c>
      <c r="AT2386">
        <v>0.30769000000000002</v>
      </c>
      <c r="AU2386">
        <v>16</v>
      </c>
      <c r="AV2386">
        <v>11</v>
      </c>
      <c r="AW2386">
        <v>47</v>
      </c>
      <c r="AX2386">
        <v>13</v>
      </c>
      <c r="AY2386">
        <v>27</v>
      </c>
      <c r="AZ2386">
        <v>3</v>
      </c>
      <c r="BA2386" t="s">
        <v>9024</v>
      </c>
      <c r="BB2386" t="s">
        <v>9025</v>
      </c>
      <c r="BC2386">
        <v>0.997</v>
      </c>
      <c r="BD2386" t="s">
        <v>65</v>
      </c>
      <c r="BE2386">
        <v>74</v>
      </c>
      <c r="BF2386">
        <v>16</v>
      </c>
      <c r="BG2386" t="s">
        <v>9026</v>
      </c>
      <c r="BH2386" t="s">
        <v>9027</v>
      </c>
      <c r="BI2386" t="s">
        <v>9028</v>
      </c>
      <c r="BJ2386">
        <v>6.6680000000000003E-2</v>
      </c>
      <c r="BK2386">
        <v>1</v>
      </c>
      <c r="BL2386" t="s">
        <v>69</v>
      </c>
      <c r="BM2386">
        <v>-0.45500000000000002</v>
      </c>
      <c r="BN2386">
        <v>-0.48499999999999999</v>
      </c>
    </row>
    <row r="2387" spans="2:66">
      <c r="B2387">
        <v>4103</v>
      </c>
      <c r="C2387">
        <v>4</v>
      </c>
      <c r="D2387">
        <v>0</v>
      </c>
      <c r="E2387">
        <v>5</v>
      </c>
      <c r="F2387">
        <v>0</v>
      </c>
      <c r="J2387">
        <v>0</v>
      </c>
      <c r="K2387">
        <v>8</v>
      </c>
      <c r="L2387">
        <v>0</v>
      </c>
      <c r="M2387" t="s">
        <v>25022</v>
      </c>
      <c r="N2387">
        <v>1442</v>
      </c>
      <c r="O2387" t="s">
        <v>9029</v>
      </c>
      <c r="P2387" t="s">
        <v>57</v>
      </c>
      <c r="Q2387">
        <v>1455064</v>
      </c>
      <c r="R2387">
        <v>1456026</v>
      </c>
      <c r="S2387" t="s">
        <v>9030</v>
      </c>
      <c r="T2387">
        <v>321</v>
      </c>
      <c r="U2387" t="s">
        <v>108</v>
      </c>
      <c r="V2387">
        <v>44</v>
      </c>
      <c r="W2387" t="str">
        <f>HYPERLINK("Gene1442-zp_tree_all.dnd", "Gene1442-tree")</f>
        <v>Gene1442-tree</v>
      </c>
      <c r="X2387">
        <v>4</v>
      </c>
      <c r="Y2387">
        <v>11</v>
      </c>
      <c r="Z2387">
        <v>4</v>
      </c>
      <c r="AA2387">
        <v>11</v>
      </c>
      <c r="AB2387">
        <v>0.73333000000000004</v>
      </c>
      <c r="AC2387" t="s">
        <v>61</v>
      </c>
      <c r="AD2387" t="s">
        <v>73</v>
      </c>
      <c r="AE2387">
        <v>200307210.301</v>
      </c>
      <c r="AF2387" t="s">
        <v>267</v>
      </c>
      <c r="AG2387">
        <v>4</v>
      </c>
      <c r="AH2387">
        <v>8</v>
      </c>
      <c r="AI2387">
        <v>11</v>
      </c>
      <c r="AJ2387">
        <v>0.42104999999999998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4</v>
      </c>
      <c r="AQ2387">
        <v>0</v>
      </c>
      <c r="AR2387">
        <v>4</v>
      </c>
      <c r="AS2387">
        <v>12</v>
      </c>
      <c r="AT2387">
        <v>0.25</v>
      </c>
      <c r="AU2387">
        <v>13</v>
      </c>
      <c r="AV2387">
        <v>8</v>
      </c>
      <c r="AW2387">
        <v>20</v>
      </c>
      <c r="AX2387">
        <v>15</v>
      </c>
      <c r="AY2387">
        <v>9</v>
      </c>
      <c r="AZ2387">
        <v>4</v>
      </c>
      <c r="BA2387" t="s">
        <v>9031</v>
      </c>
      <c r="BB2387" t="s">
        <v>9032</v>
      </c>
      <c r="BC2387">
        <v>0.96799999999999997</v>
      </c>
      <c r="BD2387" t="s">
        <v>65</v>
      </c>
      <c r="BE2387">
        <v>29</v>
      </c>
      <c r="BF2387">
        <v>19</v>
      </c>
      <c r="BG2387" t="s">
        <v>9033</v>
      </c>
      <c r="BH2387" t="s">
        <v>9034</v>
      </c>
      <c r="BI2387" t="s">
        <v>9035</v>
      </c>
      <c r="BJ2387">
        <v>0.17502000000000001</v>
      </c>
      <c r="BK2387">
        <v>1</v>
      </c>
      <c r="BL2387" t="s">
        <v>69</v>
      </c>
      <c r="BM2387">
        <v>-1.0249999999999999</v>
      </c>
      <c r="BN2387">
        <v>-1.194</v>
      </c>
    </row>
    <row r="2388" spans="2:66">
      <c r="B2388">
        <v>4104</v>
      </c>
      <c r="C2388">
        <v>263</v>
      </c>
      <c r="D2388">
        <v>0</v>
      </c>
      <c r="E2388">
        <v>45</v>
      </c>
      <c r="F2388">
        <v>4</v>
      </c>
      <c r="J2388">
        <v>0</v>
      </c>
      <c r="K2388">
        <v>4</v>
      </c>
      <c r="L2388">
        <v>0</v>
      </c>
      <c r="M2388" t="s">
        <v>25022</v>
      </c>
      <c r="N2388">
        <v>1443</v>
      </c>
      <c r="O2388" t="s">
        <v>9036</v>
      </c>
      <c r="P2388" t="s">
        <v>57</v>
      </c>
      <c r="Q2388">
        <v>1456092</v>
      </c>
      <c r="R2388">
        <v>1456955</v>
      </c>
      <c r="S2388" t="s">
        <v>9037</v>
      </c>
      <c r="T2388">
        <v>288</v>
      </c>
      <c r="U2388" t="s">
        <v>698</v>
      </c>
      <c r="V2388">
        <v>47</v>
      </c>
      <c r="W2388" t="str">
        <f>HYPERLINK("Gene1443-zp_tree_all.dnd", "Gene1443-tree")</f>
        <v>Gene1443-tree</v>
      </c>
      <c r="X2388">
        <v>12</v>
      </c>
      <c r="Y2388">
        <v>5</v>
      </c>
      <c r="Z2388">
        <v>12</v>
      </c>
      <c r="AA2388">
        <v>5</v>
      </c>
      <c r="AB2388">
        <v>0.29411999999999999</v>
      </c>
      <c r="AC2388" t="s">
        <v>109</v>
      </c>
      <c r="AD2388" t="s">
        <v>199</v>
      </c>
      <c r="AE2388" t="s">
        <v>62</v>
      </c>
      <c r="AF2388" t="s">
        <v>62</v>
      </c>
      <c r="AG2388">
        <v>2</v>
      </c>
      <c r="AH2388">
        <v>4</v>
      </c>
      <c r="AI2388">
        <v>4</v>
      </c>
      <c r="AJ2388">
        <v>0.5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2</v>
      </c>
      <c r="AQ2388">
        <v>0</v>
      </c>
      <c r="AR2388">
        <v>2</v>
      </c>
      <c r="AS2388">
        <v>4</v>
      </c>
      <c r="AT2388">
        <v>0.33333000000000002</v>
      </c>
      <c r="AU2388">
        <v>12</v>
      </c>
      <c r="AV2388">
        <v>10</v>
      </c>
      <c r="AW2388">
        <v>20</v>
      </c>
      <c r="AX2388">
        <v>6</v>
      </c>
      <c r="AY2388">
        <v>36</v>
      </c>
      <c r="AZ2388">
        <v>2</v>
      </c>
      <c r="BA2388" t="s">
        <v>9038</v>
      </c>
      <c r="BB2388" t="s">
        <v>9039</v>
      </c>
      <c r="BC2388">
        <v>0.73099999999999998</v>
      </c>
      <c r="BD2388" t="s">
        <v>65</v>
      </c>
      <c r="BE2388">
        <v>56</v>
      </c>
      <c r="BF2388">
        <v>8</v>
      </c>
      <c r="BG2388" t="s">
        <v>9040</v>
      </c>
      <c r="BH2388" t="s">
        <v>9041</v>
      </c>
      <c r="BI2388" t="s">
        <v>9042</v>
      </c>
      <c r="BJ2388">
        <v>2.0729999999999998E-2</v>
      </c>
      <c r="BK2388">
        <v>1</v>
      </c>
      <c r="BL2388" t="s">
        <v>69</v>
      </c>
      <c r="BM2388">
        <v>-1.3340000000000001</v>
      </c>
      <c r="BN2388">
        <v>-0.159</v>
      </c>
    </row>
    <row r="2389" spans="2:66">
      <c r="B2389">
        <v>4105</v>
      </c>
      <c r="C2389">
        <v>126</v>
      </c>
      <c r="D2389">
        <v>0</v>
      </c>
      <c r="E2389">
        <v>7</v>
      </c>
      <c r="F2389">
        <v>3</v>
      </c>
      <c r="J2389">
        <v>0</v>
      </c>
      <c r="K2389">
        <v>4</v>
      </c>
      <c r="L2389">
        <v>1</v>
      </c>
      <c r="M2389" t="s">
        <v>25022</v>
      </c>
      <c r="N2389">
        <v>1444</v>
      </c>
      <c r="O2389" t="s">
        <v>9043</v>
      </c>
      <c r="P2389" t="s">
        <v>57</v>
      </c>
      <c r="Q2389">
        <v>1457187</v>
      </c>
      <c r="R2389">
        <v>1459283</v>
      </c>
      <c r="S2389" t="s">
        <v>9044</v>
      </c>
      <c r="T2389">
        <v>699</v>
      </c>
      <c r="U2389" t="s">
        <v>125</v>
      </c>
      <c r="V2389">
        <v>48</v>
      </c>
      <c r="W2389" t="str">
        <f>HYPERLINK("Gene1444-zp_tree_all.dnd", "Gene1444-tree")</f>
        <v>Gene1444-tree</v>
      </c>
      <c r="X2389">
        <v>14</v>
      </c>
      <c r="Y2389">
        <v>6</v>
      </c>
      <c r="Z2389">
        <v>14</v>
      </c>
      <c r="AA2389">
        <v>6</v>
      </c>
      <c r="AB2389">
        <v>0.3</v>
      </c>
      <c r="AC2389" t="s">
        <v>543</v>
      </c>
      <c r="AD2389" t="s">
        <v>90</v>
      </c>
      <c r="AE2389" t="s">
        <v>62</v>
      </c>
      <c r="AF2389" t="s">
        <v>62</v>
      </c>
      <c r="AG2389">
        <v>2</v>
      </c>
      <c r="AH2389">
        <v>5</v>
      </c>
      <c r="AI2389">
        <v>12</v>
      </c>
      <c r="AJ2389">
        <v>0.29411999999999999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6</v>
      </c>
      <c r="AT2389">
        <v>0</v>
      </c>
      <c r="AU2389">
        <v>16</v>
      </c>
      <c r="AV2389">
        <v>16</v>
      </c>
      <c r="AW2389">
        <v>85</v>
      </c>
      <c r="AX2389">
        <v>6</v>
      </c>
      <c r="AY2389">
        <v>125</v>
      </c>
      <c r="AZ2389">
        <v>12</v>
      </c>
      <c r="BA2389" t="s">
        <v>9045</v>
      </c>
      <c r="BB2389" t="s">
        <v>9046</v>
      </c>
      <c r="BC2389">
        <v>0.16500000000000001</v>
      </c>
      <c r="BD2389" t="s">
        <v>65</v>
      </c>
      <c r="BE2389">
        <v>210</v>
      </c>
      <c r="BF2389">
        <v>18</v>
      </c>
      <c r="BG2389" t="s">
        <v>9047</v>
      </c>
      <c r="BH2389" t="s">
        <v>9048</v>
      </c>
      <c r="BI2389" t="s">
        <v>165</v>
      </c>
      <c r="BJ2389">
        <v>2.8920000000000001E-2</v>
      </c>
      <c r="BK2389">
        <v>1</v>
      </c>
      <c r="BL2389" t="s">
        <v>69</v>
      </c>
      <c r="BM2389">
        <v>-1.375</v>
      </c>
      <c r="BN2389">
        <v>-0.76600000000000001</v>
      </c>
    </row>
    <row r="2390" spans="2:66">
      <c r="B2390">
        <v>4106</v>
      </c>
      <c r="C2390">
        <v>258</v>
      </c>
      <c r="D2390">
        <v>0</v>
      </c>
      <c r="E2390">
        <v>5</v>
      </c>
      <c r="F2390">
        <v>4</v>
      </c>
      <c r="J2390">
        <v>0</v>
      </c>
      <c r="K2390">
        <v>0</v>
      </c>
      <c r="L2390">
        <v>2</v>
      </c>
      <c r="M2390" t="s">
        <v>25022</v>
      </c>
      <c r="N2390">
        <v>1445</v>
      </c>
      <c r="O2390" t="s">
        <v>9049</v>
      </c>
      <c r="P2390" t="s">
        <v>57</v>
      </c>
      <c r="Q2390">
        <v>1459384</v>
      </c>
      <c r="R2390">
        <v>1459647</v>
      </c>
      <c r="S2390" t="s">
        <v>9050</v>
      </c>
      <c r="T2390">
        <v>88</v>
      </c>
      <c r="U2390" t="s">
        <v>96</v>
      </c>
      <c r="V2390">
        <v>48</v>
      </c>
      <c r="W2390" t="str">
        <f>HYPERLINK("Gene1445-zp_tree_all.dnd", "Gene1445-tree")</f>
        <v>Gene1445-tree</v>
      </c>
      <c r="X2390">
        <v>40</v>
      </c>
      <c r="Y2390">
        <v>1</v>
      </c>
      <c r="Z2390">
        <v>7</v>
      </c>
      <c r="AA2390">
        <v>1</v>
      </c>
      <c r="AB2390">
        <v>0.125</v>
      </c>
      <c r="AC2390" t="s">
        <v>9051</v>
      </c>
      <c r="AD2390" t="s">
        <v>175</v>
      </c>
      <c r="AE2390" t="s">
        <v>62</v>
      </c>
      <c r="AF2390" t="s">
        <v>62</v>
      </c>
      <c r="AG2390">
        <v>1</v>
      </c>
      <c r="AH2390">
        <v>2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6</v>
      </c>
      <c r="AV2390">
        <v>2</v>
      </c>
      <c r="AW2390">
        <v>7</v>
      </c>
      <c r="AX2390">
        <v>1</v>
      </c>
      <c r="AY2390">
        <v>8</v>
      </c>
      <c r="AZ2390">
        <v>1</v>
      </c>
      <c r="BA2390" t="s">
        <v>9052</v>
      </c>
      <c r="BB2390" t="s">
        <v>9053</v>
      </c>
      <c r="BC2390">
        <v>7.2999999999999995E-2</v>
      </c>
      <c r="BD2390" t="s">
        <v>65</v>
      </c>
      <c r="BE2390">
        <v>15</v>
      </c>
      <c r="BF2390">
        <v>2</v>
      </c>
      <c r="BG2390" t="s">
        <v>9054</v>
      </c>
      <c r="BH2390" t="s">
        <v>9055</v>
      </c>
      <c r="BI2390" t="s">
        <v>9056</v>
      </c>
      <c r="BJ2390">
        <v>3.1390000000000001E-2</v>
      </c>
      <c r="BK2390">
        <v>1</v>
      </c>
      <c r="BL2390" t="s">
        <v>69</v>
      </c>
      <c r="BM2390">
        <v>-1.3169999999999999</v>
      </c>
      <c r="BN2390">
        <v>-1.4379999999999999</v>
      </c>
    </row>
    <row r="2391" spans="2:66">
      <c r="B2391">
        <v>4107</v>
      </c>
      <c r="C2391">
        <v>217</v>
      </c>
      <c r="D2391">
        <v>0</v>
      </c>
      <c r="E2391">
        <v>0</v>
      </c>
      <c r="F2391">
        <v>2</v>
      </c>
      <c r="J2391">
        <v>0</v>
      </c>
      <c r="K2391">
        <v>0</v>
      </c>
      <c r="L2391">
        <v>0</v>
      </c>
      <c r="M2391" t="s">
        <v>25022</v>
      </c>
      <c r="N2391">
        <v>1446</v>
      </c>
      <c r="O2391" t="s">
        <v>9057</v>
      </c>
      <c r="P2391" t="s">
        <v>57</v>
      </c>
      <c r="Q2391">
        <v>1459650</v>
      </c>
      <c r="R2391">
        <v>1461359</v>
      </c>
      <c r="S2391" t="s">
        <v>9058</v>
      </c>
      <c r="T2391">
        <v>570</v>
      </c>
      <c r="U2391" t="s">
        <v>59</v>
      </c>
      <c r="V2391">
        <v>49</v>
      </c>
      <c r="W2391" t="str">
        <f>HYPERLINK("Gene1446-zp_tree_all.dnd", "Gene1446-tree")</f>
        <v>Gene1446-tree</v>
      </c>
      <c r="X2391">
        <v>16</v>
      </c>
      <c r="Y2391">
        <v>4</v>
      </c>
      <c r="Z2391">
        <v>16</v>
      </c>
      <c r="AA2391">
        <v>4</v>
      </c>
      <c r="AB2391">
        <v>0.2</v>
      </c>
      <c r="AC2391" t="s">
        <v>60</v>
      </c>
      <c r="AD2391" t="s">
        <v>61</v>
      </c>
      <c r="AE2391" t="s">
        <v>62</v>
      </c>
      <c r="AF2391" t="s">
        <v>62</v>
      </c>
      <c r="AG2391">
        <v>0</v>
      </c>
      <c r="AH2391">
        <v>0</v>
      </c>
      <c r="AI2391">
        <v>8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5</v>
      </c>
      <c r="AT2391">
        <v>0</v>
      </c>
      <c r="AU2391">
        <v>18</v>
      </c>
      <c r="AV2391">
        <v>14</v>
      </c>
      <c r="AW2391">
        <v>75</v>
      </c>
      <c r="AX2391">
        <v>5</v>
      </c>
      <c r="AY2391">
        <v>67</v>
      </c>
      <c r="AZ2391">
        <v>3</v>
      </c>
      <c r="BA2391" t="s">
        <v>9059</v>
      </c>
      <c r="BB2391" t="s">
        <v>9060</v>
      </c>
      <c r="BC2391">
        <v>0.183</v>
      </c>
      <c r="BD2391" t="s">
        <v>65</v>
      </c>
      <c r="BE2391">
        <v>142</v>
      </c>
      <c r="BF2391">
        <v>8</v>
      </c>
      <c r="BG2391" t="s">
        <v>9061</v>
      </c>
      <c r="BH2391" t="s">
        <v>9062</v>
      </c>
      <c r="BI2391" t="s">
        <v>9063</v>
      </c>
      <c r="BJ2391">
        <v>1.273E-2</v>
      </c>
      <c r="BK2391">
        <v>1</v>
      </c>
      <c r="BL2391" t="s">
        <v>69</v>
      </c>
      <c r="BM2391">
        <v>-1.401</v>
      </c>
      <c r="BN2391">
        <v>-1.871</v>
      </c>
    </row>
    <row r="2392" spans="2:66">
      <c r="B2392">
        <v>4108</v>
      </c>
      <c r="C2392">
        <v>94</v>
      </c>
      <c r="D2392">
        <v>0</v>
      </c>
      <c r="E2392">
        <v>4</v>
      </c>
      <c r="F2392">
        <v>2</v>
      </c>
      <c r="J2392">
        <v>0</v>
      </c>
      <c r="K2392">
        <v>0</v>
      </c>
      <c r="L2392">
        <v>0</v>
      </c>
      <c r="M2392" t="s">
        <v>25022</v>
      </c>
      <c r="N2392">
        <v>1447</v>
      </c>
      <c r="O2392" t="s">
        <v>9064</v>
      </c>
      <c r="P2392" t="s">
        <v>57</v>
      </c>
      <c r="Q2392">
        <v>1461453</v>
      </c>
      <c r="R2392">
        <v>1461689</v>
      </c>
      <c r="S2392" t="s">
        <v>9065</v>
      </c>
      <c r="T2392">
        <v>79</v>
      </c>
      <c r="U2392" t="s">
        <v>72</v>
      </c>
      <c r="V2392">
        <v>45</v>
      </c>
      <c r="W2392" t="str">
        <f>HYPERLINK("Gene1447-zp_tree_all.dnd", "Gene1447-tree")</f>
        <v>Gene1447-tree</v>
      </c>
      <c r="X2392">
        <v>10</v>
      </c>
      <c r="Y2392">
        <v>1</v>
      </c>
      <c r="Z2392">
        <v>10</v>
      </c>
      <c r="AA2392">
        <v>1</v>
      </c>
      <c r="AB2392">
        <v>9.0910000000000005E-2</v>
      </c>
      <c r="AC2392" t="s">
        <v>117</v>
      </c>
      <c r="AD2392" t="s">
        <v>175</v>
      </c>
      <c r="AE2392" t="s">
        <v>62</v>
      </c>
      <c r="AF2392" t="s">
        <v>62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6</v>
      </c>
      <c r="AV2392">
        <v>4</v>
      </c>
      <c r="AW2392">
        <v>15</v>
      </c>
      <c r="AX2392">
        <v>1</v>
      </c>
      <c r="AY2392">
        <v>6</v>
      </c>
      <c r="AZ2392">
        <v>0</v>
      </c>
      <c r="BA2392" t="s">
        <v>9066</v>
      </c>
      <c r="BB2392" t="s">
        <v>193</v>
      </c>
      <c r="BC2392">
        <v>0.35</v>
      </c>
      <c r="BD2392" t="s">
        <v>65</v>
      </c>
      <c r="BE2392">
        <v>21</v>
      </c>
      <c r="BF2392">
        <v>1</v>
      </c>
      <c r="BG2392" t="s">
        <v>9067</v>
      </c>
      <c r="BH2392" t="s">
        <v>9068</v>
      </c>
      <c r="BI2392" t="s">
        <v>9069</v>
      </c>
      <c r="BJ2392">
        <v>1.0059999999999999E-2</v>
      </c>
      <c r="BK2392">
        <v>1</v>
      </c>
      <c r="BL2392" t="s">
        <v>69</v>
      </c>
      <c r="BM2392">
        <v>-1.073</v>
      </c>
      <c r="BN2392">
        <v>-3.806</v>
      </c>
    </row>
    <row r="2393" spans="2:66">
      <c r="B2393">
        <v>4109</v>
      </c>
      <c r="C2393">
        <v>18</v>
      </c>
      <c r="D2393">
        <v>0</v>
      </c>
      <c r="E2393">
        <v>6</v>
      </c>
      <c r="F2393">
        <v>0</v>
      </c>
      <c r="J2393">
        <v>0</v>
      </c>
      <c r="K2393">
        <v>5</v>
      </c>
      <c r="L2393">
        <v>0</v>
      </c>
      <c r="M2393" t="s">
        <v>25022</v>
      </c>
      <c r="N2393">
        <v>1448</v>
      </c>
      <c r="O2393" t="s">
        <v>9070</v>
      </c>
      <c r="P2393" t="s">
        <v>57</v>
      </c>
      <c r="Q2393">
        <v>1461770</v>
      </c>
      <c r="R2393">
        <v>1462795</v>
      </c>
      <c r="S2393" t="s">
        <v>9071</v>
      </c>
      <c r="T2393">
        <v>342</v>
      </c>
      <c r="U2393" t="s">
        <v>108</v>
      </c>
      <c r="V2393">
        <v>44</v>
      </c>
      <c r="W2393" t="str">
        <f>HYPERLINK("Gene1448-zp_tree_all.dnd", "Gene1448-tree")</f>
        <v>Gene1448-tree</v>
      </c>
      <c r="X2393">
        <v>32</v>
      </c>
      <c r="Y2393">
        <v>4</v>
      </c>
      <c r="Z2393">
        <v>11</v>
      </c>
      <c r="AA2393">
        <v>4</v>
      </c>
      <c r="AB2393">
        <v>0.26667000000000002</v>
      </c>
      <c r="AC2393" t="s">
        <v>9072</v>
      </c>
      <c r="AD2393" t="s">
        <v>61</v>
      </c>
      <c r="AE2393" t="s">
        <v>62</v>
      </c>
      <c r="AF2393" t="s">
        <v>62</v>
      </c>
      <c r="AG2393">
        <v>1</v>
      </c>
      <c r="AH2393">
        <v>5</v>
      </c>
      <c r="AI2393">
        <v>4</v>
      </c>
      <c r="AJ2393">
        <v>0.55556000000000005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2</v>
      </c>
      <c r="AQ2393">
        <v>0</v>
      </c>
      <c r="AR2393">
        <v>2</v>
      </c>
      <c r="AS2393">
        <v>3</v>
      </c>
      <c r="AT2393">
        <v>0.4</v>
      </c>
      <c r="AU2393">
        <v>13</v>
      </c>
      <c r="AV2393">
        <v>9</v>
      </c>
      <c r="AW2393">
        <v>40</v>
      </c>
      <c r="AX2393">
        <v>5</v>
      </c>
      <c r="AY2393">
        <v>18</v>
      </c>
      <c r="AZ2393">
        <v>4</v>
      </c>
      <c r="BA2393" t="s">
        <v>9073</v>
      </c>
      <c r="BB2393" t="s">
        <v>9074</v>
      </c>
      <c r="BC2393">
        <v>0.59499999999999997</v>
      </c>
      <c r="BD2393" t="s">
        <v>65</v>
      </c>
      <c r="BE2393">
        <v>58</v>
      </c>
      <c r="BF2393">
        <v>9</v>
      </c>
      <c r="BG2393" t="s">
        <v>9075</v>
      </c>
      <c r="BH2393" t="s">
        <v>9076</v>
      </c>
      <c r="BI2393" t="s">
        <v>9077</v>
      </c>
      <c r="BJ2393">
        <v>3.2849999999999997E-2</v>
      </c>
      <c r="BK2393">
        <v>1</v>
      </c>
      <c r="BL2393" t="s">
        <v>69</v>
      </c>
      <c r="BM2393">
        <v>-0.158</v>
      </c>
      <c r="BN2393">
        <v>-0.20899999999999999</v>
      </c>
    </row>
    <row r="2394" spans="2:66">
      <c r="B2394">
        <v>4110</v>
      </c>
      <c r="C2394">
        <v>140</v>
      </c>
      <c r="D2394">
        <v>0</v>
      </c>
      <c r="E2394">
        <v>2</v>
      </c>
      <c r="F2394">
        <v>1</v>
      </c>
      <c r="J2394">
        <v>0</v>
      </c>
      <c r="K2394">
        <v>25</v>
      </c>
      <c r="L2394">
        <v>2</v>
      </c>
      <c r="M2394" t="s">
        <v>25022</v>
      </c>
      <c r="N2394">
        <v>1450</v>
      </c>
      <c r="O2394" t="s">
        <v>9085</v>
      </c>
      <c r="P2394" t="s">
        <v>57</v>
      </c>
      <c r="Q2394">
        <v>1463628</v>
      </c>
      <c r="R2394">
        <v>1465592</v>
      </c>
      <c r="S2394" t="s">
        <v>9086</v>
      </c>
      <c r="T2394">
        <v>655</v>
      </c>
      <c r="U2394" t="s">
        <v>265</v>
      </c>
      <c r="V2394">
        <v>43</v>
      </c>
      <c r="W2394" t="str">
        <f>HYPERLINK("Gene1450-zp_tree_all.dnd", "Gene1450-tree")</f>
        <v>Gene1450-tree</v>
      </c>
      <c r="X2394">
        <v>5</v>
      </c>
      <c r="Y2394">
        <v>11</v>
      </c>
      <c r="Z2394">
        <v>5</v>
      </c>
      <c r="AA2394">
        <v>11</v>
      </c>
      <c r="AB2394">
        <v>0.6875</v>
      </c>
      <c r="AC2394" t="s">
        <v>199</v>
      </c>
      <c r="AD2394" t="s">
        <v>73</v>
      </c>
      <c r="AE2394">
        <v>137353515.63499999</v>
      </c>
      <c r="AF2394" t="s">
        <v>267</v>
      </c>
      <c r="AG2394">
        <v>10</v>
      </c>
      <c r="AH2394">
        <v>27</v>
      </c>
      <c r="AI2394">
        <v>19</v>
      </c>
      <c r="AJ2394">
        <v>0.58696000000000004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9</v>
      </c>
      <c r="AQ2394">
        <v>0</v>
      </c>
      <c r="AR2394">
        <v>9</v>
      </c>
      <c r="AS2394">
        <v>17</v>
      </c>
      <c r="AT2394">
        <v>0.34615000000000001</v>
      </c>
      <c r="AU2394">
        <v>14</v>
      </c>
      <c r="AV2394">
        <v>12</v>
      </c>
      <c r="AW2394">
        <v>54</v>
      </c>
      <c r="AX2394">
        <v>27</v>
      </c>
      <c r="AY2394">
        <v>26</v>
      </c>
      <c r="AZ2394">
        <v>20</v>
      </c>
      <c r="BA2394" t="s">
        <v>9087</v>
      </c>
      <c r="BB2394" t="s">
        <v>9088</v>
      </c>
      <c r="BC2394">
        <v>0.71799999999999997</v>
      </c>
      <c r="BD2394" t="s">
        <v>65</v>
      </c>
      <c r="BE2394">
        <v>80</v>
      </c>
      <c r="BF2394">
        <v>47</v>
      </c>
      <c r="BG2394" t="s">
        <v>9089</v>
      </c>
      <c r="BH2394" t="s">
        <v>9090</v>
      </c>
      <c r="BI2394" t="s">
        <v>9091</v>
      </c>
      <c r="BJ2394">
        <v>0.16452</v>
      </c>
      <c r="BK2394">
        <v>1</v>
      </c>
      <c r="BL2394" t="s">
        <v>69</v>
      </c>
      <c r="BM2394">
        <v>-0.76300000000000001</v>
      </c>
      <c r="BN2394">
        <v>-2.411</v>
      </c>
    </row>
    <row r="2395" spans="2:66">
      <c r="B2395">
        <v>4111</v>
      </c>
      <c r="C2395">
        <v>263</v>
      </c>
      <c r="D2395">
        <v>0</v>
      </c>
      <c r="E2395">
        <v>5</v>
      </c>
      <c r="F2395">
        <v>0</v>
      </c>
      <c r="J2395">
        <v>0</v>
      </c>
      <c r="K2395">
        <v>3</v>
      </c>
      <c r="L2395">
        <v>0</v>
      </c>
      <c r="M2395" t="s">
        <v>25022</v>
      </c>
      <c r="N2395">
        <v>1451</v>
      </c>
      <c r="O2395" t="s">
        <v>9092</v>
      </c>
      <c r="P2395" t="s">
        <v>57</v>
      </c>
      <c r="Q2395">
        <v>1465733</v>
      </c>
      <c r="R2395">
        <v>1466596</v>
      </c>
      <c r="S2395" t="s">
        <v>9093</v>
      </c>
      <c r="T2395">
        <v>288</v>
      </c>
      <c r="U2395" t="s">
        <v>108</v>
      </c>
      <c r="V2395">
        <v>44</v>
      </c>
      <c r="W2395" t="str">
        <f>HYPERLINK("Gene1451-zp_tree_all.dnd", "Gene1451-tree")</f>
        <v>Gene1451-tree</v>
      </c>
      <c r="X2395">
        <v>7</v>
      </c>
      <c r="Y2395">
        <v>7</v>
      </c>
      <c r="Z2395">
        <v>7</v>
      </c>
      <c r="AA2395">
        <v>7</v>
      </c>
      <c r="AB2395">
        <v>0.5</v>
      </c>
      <c r="AC2395" t="s">
        <v>152</v>
      </c>
      <c r="AD2395" t="s">
        <v>152</v>
      </c>
      <c r="AE2395" t="s">
        <v>62</v>
      </c>
      <c r="AF2395" t="s">
        <v>62</v>
      </c>
      <c r="AG2395">
        <v>1</v>
      </c>
      <c r="AH2395">
        <v>3</v>
      </c>
      <c r="AI2395">
        <v>9</v>
      </c>
      <c r="AJ2395">
        <v>0.25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9</v>
      </c>
      <c r="AT2395">
        <v>0</v>
      </c>
      <c r="AU2395">
        <v>12</v>
      </c>
      <c r="AV2395">
        <v>8</v>
      </c>
      <c r="AW2395">
        <v>17</v>
      </c>
      <c r="AX2395">
        <v>9</v>
      </c>
      <c r="AY2395">
        <v>18</v>
      </c>
      <c r="AZ2395">
        <v>3</v>
      </c>
      <c r="BA2395" t="s">
        <v>9094</v>
      </c>
      <c r="BB2395" t="s">
        <v>9095</v>
      </c>
      <c r="BC2395">
        <v>1.4810000000000001</v>
      </c>
      <c r="BD2395" t="s">
        <v>65</v>
      </c>
      <c r="BE2395">
        <v>35</v>
      </c>
      <c r="BF2395">
        <v>12</v>
      </c>
      <c r="BG2395" t="s">
        <v>9096</v>
      </c>
      <c r="BH2395" t="s">
        <v>9097</v>
      </c>
      <c r="BI2395" t="s">
        <v>9098</v>
      </c>
      <c r="BJ2395">
        <v>7.2410000000000002E-2</v>
      </c>
      <c r="BK2395">
        <v>1</v>
      </c>
      <c r="BL2395" t="s">
        <v>69</v>
      </c>
      <c r="BM2395">
        <v>-0.25800000000000001</v>
      </c>
      <c r="BN2395">
        <v>-0.77500000000000002</v>
      </c>
    </row>
    <row r="2396" spans="2:66">
      <c r="B2396">
        <v>4112</v>
      </c>
      <c r="C2396">
        <v>315</v>
      </c>
      <c r="D2396">
        <v>0</v>
      </c>
      <c r="E2396">
        <v>6</v>
      </c>
      <c r="F2396">
        <v>0</v>
      </c>
      <c r="J2396">
        <v>0</v>
      </c>
      <c r="K2396">
        <v>2</v>
      </c>
      <c r="L2396">
        <v>0</v>
      </c>
      <c r="M2396" t="s">
        <v>25022</v>
      </c>
      <c r="N2396">
        <v>1454</v>
      </c>
      <c r="O2396" t="s">
        <v>9105</v>
      </c>
      <c r="P2396" t="s">
        <v>57</v>
      </c>
      <c r="Q2396">
        <v>1470026</v>
      </c>
      <c r="R2396">
        <v>1471843</v>
      </c>
      <c r="S2396" t="s">
        <v>9106</v>
      </c>
      <c r="T2396">
        <v>606</v>
      </c>
      <c r="U2396" t="s">
        <v>9107</v>
      </c>
      <c r="V2396">
        <v>48</v>
      </c>
      <c r="W2396" t="str">
        <f>HYPERLINK("Gene1454-zp_tree_all.dnd", "Gene1454-tree")</f>
        <v>Gene1454-tree</v>
      </c>
      <c r="X2396">
        <v>9</v>
      </c>
      <c r="Y2396">
        <v>12</v>
      </c>
      <c r="Z2396">
        <v>9</v>
      </c>
      <c r="AA2396">
        <v>12</v>
      </c>
      <c r="AB2396">
        <v>0.57142999999999999</v>
      </c>
      <c r="AC2396" t="s">
        <v>135</v>
      </c>
      <c r="AD2396" t="s">
        <v>109</v>
      </c>
      <c r="AE2396" t="s">
        <v>62</v>
      </c>
      <c r="AF2396" t="s">
        <v>62</v>
      </c>
      <c r="AG2396">
        <v>1</v>
      </c>
      <c r="AH2396">
        <v>2</v>
      </c>
      <c r="AI2396">
        <v>23</v>
      </c>
      <c r="AJ2396">
        <v>0.08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12</v>
      </c>
      <c r="AT2396">
        <v>0</v>
      </c>
      <c r="AU2396">
        <v>18</v>
      </c>
      <c r="AV2396">
        <v>16</v>
      </c>
      <c r="AW2396">
        <v>72</v>
      </c>
      <c r="AX2396">
        <v>11</v>
      </c>
      <c r="AY2396">
        <v>132</v>
      </c>
      <c r="AZ2396">
        <v>14</v>
      </c>
      <c r="BA2396" t="s">
        <v>9108</v>
      </c>
      <c r="BB2396" t="s">
        <v>9109</v>
      </c>
      <c r="BC2396">
        <v>0.42199999999999999</v>
      </c>
      <c r="BD2396" t="s">
        <v>65</v>
      </c>
      <c r="BE2396">
        <v>204</v>
      </c>
      <c r="BF2396">
        <v>25</v>
      </c>
      <c r="BG2396" t="s">
        <v>9110</v>
      </c>
      <c r="BH2396" t="s">
        <v>9111</v>
      </c>
      <c r="BI2396" t="s">
        <v>9112</v>
      </c>
      <c r="BJ2396">
        <v>2.4639999999999999E-2</v>
      </c>
      <c r="BK2396">
        <v>1</v>
      </c>
      <c r="BL2396" t="s">
        <v>69</v>
      </c>
      <c r="BM2396">
        <v>-1.216</v>
      </c>
      <c r="BN2396">
        <v>-0.32200000000000001</v>
      </c>
    </row>
    <row r="2397" spans="2:66">
      <c r="B2397">
        <v>4113</v>
      </c>
      <c r="C2397">
        <v>114</v>
      </c>
      <c r="D2397">
        <v>0</v>
      </c>
      <c r="E2397">
        <v>6</v>
      </c>
      <c r="F2397">
        <v>0</v>
      </c>
      <c r="J2397">
        <v>0</v>
      </c>
      <c r="K2397">
        <v>2</v>
      </c>
      <c r="L2397">
        <v>0</v>
      </c>
      <c r="M2397" t="s">
        <v>25022</v>
      </c>
      <c r="N2397">
        <v>1457</v>
      </c>
      <c r="O2397" t="s">
        <v>9125</v>
      </c>
      <c r="P2397" t="s">
        <v>57</v>
      </c>
      <c r="Q2397">
        <v>1473605</v>
      </c>
      <c r="R2397">
        <v>1474513</v>
      </c>
      <c r="S2397" t="s">
        <v>9126</v>
      </c>
      <c r="T2397">
        <v>303</v>
      </c>
      <c r="U2397" t="s">
        <v>289</v>
      </c>
      <c r="V2397">
        <v>46</v>
      </c>
      <c r="W2397" t="str">
        <f>HYPERLINK("Gene1457-zp_tree_all.dnd", "Gene1457-tree")</f>
        <v>Gene1457-tree</v>
      </c>
      <c r="X2397">
        <v>11</v>
      </c>
      <c r="Y2397">
        <v>3</v>
      </c>
      <c r="Z2397">
        <v>11</v>
      </c>
      <c r="AA2397">
        <v>3</v>
      </c>
      <c r="AB2397">
        <v>0.21429000000000001</v>
      </c>
      <c r="AC2397" t="s">
        <v>73</v>
      </c>
      <c r="AD2397" t="s">
        <v>324</v>
      </c>
      <c r="AE2397" t="s">
        <v>62</v>
      </c>
      <c r="AF2397" t="s">
        <v>62</v>
      </c>
      <c r="AG2397">
        <v>1</v>
      </c>
      <c r="AH2397">
        <v>2</v>
      </c>
      <c r="AI2397">
        <v>7</v>
      </c>
      <c r="AJ2397">
        <v>0.22222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8</v>
      </c>
      <c r="AT2397">
        <v>0</v>
      </c>
      <c r="AU2397">
        <v>11</v>
      </c>
      <c r="AV2397">
        <v>7</v>
      </c>
      <c r="AW2397">
        <v>21</v>
      </c>
      <c r="AX2397">
        <v>2</v>
      </c>
      <c r="AY2397">
        <v>34</v>
      </c>
      <c r="AZ2397">
        <v>7</v>
      </c>
      <c r="BA2397" t="s">
        <v>9127</v>
      </c>
      <c r="BB2397" t="s">
        <v>9128</v>
      </c>
      <c r="BC2397">
        <v>0.17</v>
      </c>
      <c r="BD2397" t="s">
        <v>65</v>
      </c>
      <c r="BE2397">
        <v>55</v>
      </c>
      <c r="BF2397">
        <v>9</v>
      </c>
      <c r="BG2397" t="s">
        <v>9129</v>
      </c>
      <c r="BH2397" t="s">
        <v>9130</v>
      </c>
      <c r="BI2397" t="s">
        <v>9131</v>
      </c>
      <c r="BJ2397">
        <v>4.4630000000000003E-2</v>
      </c>
      <c r="BK2397">
        <v>1</v>
      </c>
      <c r="BL2397" t="s">
        <v>69</v>
      </c>
      <c r="BM2397">
        <v>-1.5</v>
      </c>
      <c r="BN2397">
        <v>0.872</v>
      </c>
    </row>
    <row r="2398" spans="2:66">
      <c r="B2398">
        <v>4114</v>
      </c>
      <c r="C2398">
        <v>585</v>
      </c>
      <c r="D2398">
        <v>0</v>
      </c>
      <c r="E2398">
        <v>8</v>
      </c>
      <c r="F2398">
        <v>0</v>
      </c>
      <c r="J2398">
        <v>0</v>
      </c>
      <c r="K2398">
        <v>0</v>
      </c>
      <c r="L2398">
        <v>0</v>
      </c>
      <c r="M2398" t="s">
        <v>25022</v>
      </c>
      <c r="N2398">
        <v>1462</v>
      </c>
      <c r="O2398" t="s">
        <v>9158</v>
      </c>
      <c r="P2398" t="s">
        <v>57</v>
      </c>
      <c r="Q2398">
        <v>1478072</v>
      </c>
      <c r="R2398">
        <v>1478833</v>
      </c>
      <c r="S2398" t="s">
        <v>9159</v>
      </c>
      <c r="T2398">
        <v>254</v>
      </c>
      <c r="U2398" t="s">
        <v>265</v>
      </c>
      <c r="V2398">
        <v>43</v>
      </c>
      <c r="W2398" t="str">
        <f>HYPERLINK("Gene1462-zp_tree_all.dnd", "Gene1462-tree")</f>
        <v>Gene1462-tree</v>
      </c>
      <c r="X2398">
        <v>9</v>
      </c>
      <c r="Y2398">
        <v>3</v>
      </c>
      <c r="Z2398">
        <v>9</v>
      </c>
      <c r="AA2398">
        <v>3</v>
      </c>
      <c r="AB2398">
        <v>0.25</v>
      </c>
      <c r="AC2398" t="s">
        <v>135</v>
      </c>
      <c r="AD2398" t="s">
        <v>324</v>
      </c>
      <c r="AE2398" t="s">
        <v>62</v>
      </c>
      <c r="AF2398" t="s">
        <v>62</v>
      </c>
      <c r="AG2398">
        <v>0</v>
      </c>
      <c r="AH2398">
        <v>0</v>
      </c>
      <c r="AI2398">
        <v>7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5</v>
      </c>
      <c r="AT2398">
        <v>0</v>
      </c>
      <c r="AU2398">
        <v>9</v>
      </c>
      <c r="AV2398">
        <v>7</v>
      </c>
      <c r="AW2398">
        <v>17</v>
      </c>
      <c r="AX2398">
        <v>5</v>
      </c>
      <c r="AY2398">
        <v>12</v>
      </c>
      <c r="AZ2398">
        <v>2</v>
      </c>
      <c r="BA2398" t="s">
        <v>9160</v>
      </c>
      <c r="BB2398" t="s">
        <v>9161</v>
      </c>
      <c r="BC2398">
        <v>0.33800000000000002</v>
      </c>
      <c r="BD2398" t="s">
        <v>65</v>
      </c>
      <c r="BE2398">
        <v>29</v>
      </c>
      <c r="BF2398">
        <v>7</v>
      </c>
      <c r="BG2398" t="s">
        <v>9162</v>
      </c>
      <c r="BH2398" t="s">
        <v>9163</v>
      </c>
      <c r="BI2398" t="s">
        <v>9164</v>
      </c>
      <c r="BJ2398">
        <v>6.2260000000000003E-2</v>
      </c>
      <c r="BK2398">
        <v>1</v>
      </c>
      <c r="BL2398" t="s">
        <v>69</v>
      </c>
      <c r="BM2398">
        <v>-1.365</v>
      </c>
      <c r="BN2398">
        <v>-1.0649999999999999</v>
      </c>
    </row>
    <row r="2399" spans="2:66">
      <c r="B2399">
        <v>4115</v>
      </c>
      <c r="C2399">
        <v>13</v>
      </c>
      <c r="D2399">
        <v>0</v>
      </c>
      <c r="E2399">
        <v>11</v>
      </c>
      <c r="F2399">
        <v>1</v>
      </c>
      <c r="J2399">
        <v>0</v>
      </c>
      <c r="K2399">
        <v>2</v>
      </c>
      <c r="L2399">
        <v>2</v>
      </c>
      <c r="M2399" t="s">
        <v>25022</v>
      </c>
      <c r="N2399">
        <v>1466</v>
      </c>
      <c r="O2399" t="s">
        <v>9165</v>
      </c>
      <c r="P2399" t="s">
        <v>57</v>
      </c>
      <c r="Q2399">
        <v>1482248</v>
      </c>
      <c r="R2399">
        <v>1483468</v>
      </c>
      <c r="S2399" t="s">
        <v>9166</v>
      </c>
      <c r="T2399">
        <v>407</v>
      </c>
      <c r="U2399" t="s">
        <v>289</v>
      </c>
      <c r="V2399">
        <v>46</v>
      </c>
      <c r="W2399" t="str">
        <f>HYPERLINK("Gene1466-zp_tree_all.dnd", "Gene1466-tree")</f>
        <v>Gene1466-tree</v>
      </c>
      <c r="X2399">
        <v>11</v>
      </c>
      <c r="Y2399">
        <v>5</v>
      </c>
      <c r="Z2399">
        <v>11</v>
      </c>
      <c r="AA2399">
        <v>5</v>
      </c>
      <c r="AB2399">
        <v>0.3125</v>
      </c>
      <c r="AC2399" t="s">
        <v>73</v>
      </c>
      <c r="AD2399" t="s">
        <v>199</v>
      </c>
      <c r="AE2399" t="s">
        <v>62</v>
      </c>
      <c r="AF2399" t="s">
        <v>62</v>
      </c>
      <c r="AG2399">
        <v>2</v>
      </c>
      <c r="AH2399">
        <v>4</v>
      </c>
      <c r="AI2399">
        <v>7</v>
      </c>
      <c r="AJ2399">
        <v>0.36364000000000002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2</v>
      </c>
      <c r="AR2399">
        <v>2</v>
      </c>
      <c r="AS2399">
        <v>3</v>
      </c>
      <c r="AT2399">
        <v>0.4</v>
      </c>
      <c r="AU2399">
        <v>13</v>
      </c>
      <c r="AV2399">
        <v>11</v>
      </c>
      <c r="AW2399">
        <v>39</v>
      </c>
      <c r="AX2399">
        <v>5</v>
      </c>
      <c r="AY2399">
        <v>69</v>
      </c>
      <c r="AZ2399">
        <v>6</v>
      </c>
      <c r="BA2399" t="s">
        <v>9167</v>
      </c>
      <c r="BB2399" t="s">
        <v>9168</v>
      </c>
      <c r="BC2399">
        <v>0.29099999999999998</v>
      </c>
      <c r="BD2399" t="s">
        <v>65</v>
      </c>
      <c r="BE2399">
        <v>108</v>
      </c>
      <c r="BF2399">
        <v>11</v>
      </c>
      <c r="BG2399" t="s">
        <v>9169</v>
      </c>
      <c r="BH2399" t="s">
        <v>9170</v>
      </c>
      <c r="BI2399" t="s">
        <v>9171</v>
      </c>
      <c r="BJ2399">
        <v>2.3810000000000001E-2</v>
      </c>
      <c r="BK2399">
        <v>1</v>
      </c>
      <c r="BL2399" t="s">
        <v>69</v>
      </c>
      <c r="BM2399">
        <v>-1.268</v>
      </c>
      <c r="BN2399">
        <v>0.156</v>
      </c>
    </row>
    <row r="2400" spans="2:66">
      <c r="B2400">
        <v>4116</v>
      </c>
      <c r="C2400">
        <v>260</v>
      </c>
      <c r="D2400">
        <v>0</v>
      </c>
      <c r="E2400">
        <v>5</v>
      </c>
      <c r="F2400">
        <v>0</v>
      </c>
      <c r="J2400">
        <v>0</v>
      </c>
      <c r="K2400">
        <v>0</v>
      </c>
      <c r="L2400">
        <v>0</v>
      </c>
      <c r="M2400" t="s">
        <v>25022</v>
      </c>
      <c r="N2400">
        <v>1467</v>
      </c>
      <c r="O2400" t="s">
        <v>9172</v>
      </c>
      <c r="P2400" t="s">
        <v>57</v>
      </c>
      <c r="Q2400">
        <v>1484117</v>
      </c>
      <c r="R2400">
        <v>1484353</v>
      </c>
      <c r="S2400" t="s">
        <v>9173</v>
      </c>
      <c r="T2400">
        <v>79</v>
      </c>
      <c r="U2400" t="s">
        <v>59</v>
      </c>
      <c r="V2400">
        <v>49</v>
      </c>
      <c r="W2400" t="str">
        <f>HYPERLINK("Gene1467-zp_tree_all.dnd", "Gene1467-tree")</f>
        <v>Gene1467-tree</v>
      </c>
      <c r="X2400">
        <v>9</v>
      </c>
      <c r="Y2400">
        <v>0</v>
      </c>
      <c r="Z2400">
        <v>9</v>
      </c>
      <c r="AA2400">
        <v>0</v>
      </c>
      <c r="AB2400">
        <v>0</v>
      </c>
      <c r="AC2400" t="s">
        <v>135</v>
      </c>
      <c r="AD2400" t="s">
        <v>62</v>
      </c>
      <c r="AE2400" t="s">
        <v>62</v>
      </c>
      <c r="AF2400" t="s">
        <v>62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7</v>
      </c>
      <c r="AV2400">
        <v>2</v>
      </c>
      <c r="AW2400">
        <v>7</v>
      </c>
      <c r="AX2400">
        <v>0</v>
      </c>
      <c r="AY2400">
        <v>2</v>
      </c>
      <c r="AZ2400">
        <v>0</v>
      </c>
      <c r="BA2400" t="s">
        <v>193</v>
      </c>
      <c r="BB2400" t="s">
        <v>193</v>
      </c>
      <c r="BC2400">
        <v>0</v>
      </c>
      <c r="BD2400" t="s">
        <v>65</v>
      </c>
      <c r="BE2400">
        <v>9</v>
      </c>
      <c r="BF2400">
        <v>0</v>
      </c>
      <c r="BG2400" t="s">
        <v>9174</v>
      </c>
      <c r="BH2400" t="s">
        <v>9175</v>
      </c>
      <c r="BI2400" t="s">
        <v>193</v>
      </c>
      <c r="BJ2400">
        <v>0</v>
      </c>
      <c r="BK2400">
        <v>1</v>
      </c>
      <c r="BL2400" t="s">
        <v>69</v>
      </c>
      <c r="BM2400">
        <v>-0.27500000000000002</v>
      </c>
      <c r="BN2400">
        <v>-0.12</v>
      </c>
    </row>
    <row r="2401" spans="2:66">
      <c r="B2401">
        <v>4117</v>
      </c>
      <c r="C2401">
        <v>83</v>
      </c>
      <c r="D2401">
        <v>0</v>
      </c>
      <c r="E2401">
        <v>2</v>
      </c>
      <c r="F2401">
        <v>0</v>
      </c>
      <c r="J2401">
        <v>0</v>
      </c>
      <c r="K2401">
        <v>0</v>
      </c>
      <c r="L2401">
        <v>0</v>
      </c>
      <c r="M2401" t="s">
        <v>25022</v>
      </c>
      <c r="N2401">
        <v>1468</v>
      </c>
      <c r="O2401" t="s">
        <v>9176</v>
      </c>
      <c r="P2401" t="s">
        <v>57</v>
      </c>
      <c r="Q2401">
        <v>1484466</v>
      </c>
      <c r="R2401">
        <v>1484981</v>
      </c>
      <c r="S2401" t="s">
        <v>9177</v>
      </c>
      <c r="T2401">
        <v>172</v>
      </c>
      <c r="U2401" t="s">
        <v>96</v>
      </c>
      <c r="V2401">
        <v>48</v>
      </c>
      <c r="W2401" t="str">
        <f>HYPERLINK("Gene1468-zp_tree_all.dnd", "Gene1468-tree")</f>
        <v>Gene1468-tree</v>
      </c>
      <c r="X2401">
        <v>9</v>
      </c>
      <c r="Y2401">
        <v>3</v>
      </c>
      <c r="Z2401">
        <v>9</v>
      </c>
      <c r="AA2401">
        <v>3</v>
      </c>
      <c r="AB2401">
        <v>0.25</v>
      </c>
      <c r="AC2401" t="s">
        <v>135</v>
      </c>
      <c r="AD2401" t="s">
        <v>324</v>
      </c>
      <c r="AE2401" t="s">
        <v>62</v>
      </c>
      <c r="AF2401" t="s">
        <v>62</v>
      </c>
      <c r="AG2401">
        <v>0</v>
      </c>
      <c r="AH2401">
        <v>0</v>
      </c>
      <c r="AI2401">
        <v>5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3</v>
      </c>
      <c r="AT2401">
        <v>0</v>
      </c>
      <c r="AU2401">
        <v>10</v>
      </c>
      <c r="AV2401">
        <v>5</v>
      </c>
      <c r="AW2401">
        <v>15</v>
      </c>
      <c r="AX2401">
        <v>3</v>
      </c>
      <c r="AY2401">
        <v>15</v>
      </c>
      <c r="AZ2401">
        <v>2</v>
      </c>
      <c r="BA2401" t="s">
        <v>9178</v>
      </c>
      <c r="BB2401" t="s">
        <v>9179</v>
      </c>
      <c r="BC2401">
        <v>0.27500000000000002</v>
      </c>
      <c r="BD2401" t="s">
        <v>65</v>
      </c>
      <c r="BE2401">
        <v>30</v>
      </c>
      <c r="BF2401">
        <v>5</v>
      </c>
      <c r="BG2401" t="s">
        <v>9180</v>
      </c>
      <c r="BH2401" t="s">
        <v>9181</v>
      </c>
      <c r="BI2401" t="s">
        <v>1649</v>
      </c>
      <c r="BJ2401">
        <v>5.2789999999999997E-2</v>
      </c>
      <c r="BK2401">
        <v>1</v>
      </c>
      <c r="BL2401" t="s">
        <v>69</v>
      </c>
      <c r="BM2401">
        <v>-1.478</v>
      </c>
      <c r="BN2401">
        <v>-1.3460000000000001</v>
      </c>
    </row>
    <row r="2402" spans="2:66">
      <c r="B2402">
        <v>4120</v>
      </c>
      <c r="C2402">
        <v>72</v>
      </c>
      <c r="D2402">
        <v>0</v>
      </c>
      <c r="E2402">
        <v>7</v>
      </c>
      <c r="F2402">
        <v>1</v>
      </c>
      <c r="J2402">
        <v>0</v>
      </c>
      <c r="K2402">
        <v>0</v>
      </c>
      <c r="L2402">
        <v>0</v>
      </c>
      <c r="M2402" t="s">
        <v>25022</v>
      </c>
      <c r="N2402">
        <v>1469</v>
      </c>
      <c r="O2402" t="s">
        <v>9182</v>
      </c>
      <c r="P2402" t="s">
        <v>57</v>
      </c>
      <c r="Q2402">
        <v>1485118</v>
      </c>
      <c r="R2402">
        <v>1485312</v>
      </c>
      <c r="S2402" t="s">
        <v>9183</v>
      </c>
      <c r="T2402">
        <v>65</v>
      </c>
      <c r="U2402" t="s">
        <v>59</v>
      </c>
      <c r="V2402">
        <v>49</v>
      </c>
      <c r="W2402" t="str">
        <f>HYPERLINK("Gene1469-zp_tree_all.dnd", "Gene1469-tree")</f>
        <v>Gene1469-tree</v>
      </c>
      <c r="X2402">
        <v>4</v>
      </c>
      <c r="Y2402">
        <v>0</v>
      </c>
      <c r="Z2402">
        <v>4</v>
      </c>
      <c r="AA2402">
        <v>0</v>
      </c>
      <c r="AB2402">
        <v>0</v>
      </c>
      <c r="AC2402" t="s">
        <v>61</v>
      </c>
      <c r="AD2402" t="s">
        <v>62</v>
      </c>
      <c r="AE2402" t="s">
        <v>62</v>
      </c>
      <c r="AF2402" t="s">
        <v>62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2</v>
      </c>
      <c r="AV2402">
        <v>1</v>
      </c>
      <c r="AW2402">
        <v>3</v>
      </c>
      <c r="AX2402">
        <v>0</v>
      </c>
      <c r="AY2402">
        <v>1</v>
      </c>
      <c r="AZ2402">
        <v>0</v>
      </c>
      <c r="BA2402" t="s">
        <v>193</v>
      </c>
      <c r="BB2402" t="s">
        <v>193</v>
      </c>
      <c r="BC2402">
        <v>0</v>
      </c>
      <c r="BD2402" t="s">
        <v>65</v>
      </c>
      <c r="BE2402">
        <v>4</v>
      </c>
      <c r="BF2402">
        <v>0</v>
      </c>
      <c r="BG2402" t="s">
        <v>9184</v>
      </c>
      <c r="BH2402" t="s">
        <v>9185</v>
      </c>
      <c r="BI2402" t="s">
        <v>193</v>
      </c>
      <c r="BJ2402">
        <v>0</v>
      </c>
      <c r="BK2402">
        <v>1</v>
      </c>
      <c r="BL2402" t="s">
        <v>69</v>
      </c>
      <c r="BM2402">
        <v>-1.1950000000000001</v>
      </c>
      <c r="BN2402">
        <v>1.006</v>
      </c>
    </row>
    <row r="2403" spans="2:66">
      <c r="B2403">
        <v>4121</v>
      </c>
      <c r="C2403">
        <v>10</v>
      </c>
      <c r="D2403">
        <v>0</v>
      </c>
      <c r="E2403">
        <v>2</v>
      </c>
      <c r="F2403">
        <v>2</v>
      </c>
      <c r="J2403">
        <v>0</v>
      </c>
      <c r="K2403">
        <v>0</v>
      </c>
      <c r="L2403">
        <v>0</v>
      </c>
      <c r="M2403" t="s">
        <v>25022</v>
      </c>
      <c r="N2403">
        <v>1470</v>
      </c>
      <c r="O2403" t="s">
        <v>9186</v>
      </c>
      <c r="P2403" t="s">
        <v>57</v>
      </c>
      <c r="Q2403">
        <v>1485453</v>
      </c>
      <c r="R2403">
        <v>1485893</v>
      </c>
      <c r="S2403" t="s">
        <v>9187</v>
      </c>
      <c r="T2403">
        <v>147</v>
      </c>
      <c r="U2403" t="s">
        <v>108</v>
      </c>
      <c r="V2403">
        <v>44</v>
      </c>
      <c r="W2403" t="str">
        <f>HYPERLINK("Gene1470-zp_tree_all.dnd", "Gene1470-tree")</f>
        <v>Gene1470-tree</v>
      </c>
      <c r="X2403">
        <v>7</v>
      </c>
      <c r="Y2403">
        <v>1</v>
      </c>
      <c r="Z2403">
        <v>7</v>
      </c>
      <c r="AA2403">
        <v>1</v>
      </c>
      <c r="AB2403">
        <v>0.125</v>
      </c>
      <c r="AC2403" t="s">
        <v>152</v>
      </c>
      <c r="AD2403" t="s">
        <v>175</v>
      </c>
      <c r="AE2403" t="s">
        <v>62</v>
      </c>
      <c r="AF2403" t="s">
        <v>62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4</v>
      </c>
      <c r="AV2403">
        <v>3</v>
      </c>
      <c r="AW2403">
        <v>7</v>
      </c>
      <c r="AX2403">
        <v>1</v>
      </c>
      <c r="AY2403">
        <v>3</v>
      </c>
      <c r="AZ2403">
        <v>0</v>
      </c>
      <c r="BA2403" t="s">
        <v>9188</v>
      </c>
      <c r="BB2403" t="s">
        <v>193</v>
      </c>
      <c r="BC2403">
        <v>0.47299999999999998</v>
      </c>
      <c r="BD2403" t="s">
        <v>65</v>
      </c>
      <c r="BE2403">
        <v>10</v>
      </c>
      <c r="BF2403">
        <v>1</v>
      </c>
      <c r="BG2403" t="s">
        <v>9189</v>
      </c>
      <c r="BH2403" t="s">
        <v>9190</v>
      </c>
      <c r="BI2403" t="s">
        <v>9191</v>
      </c>
      <c r="BJ2403">
        <v>2.1409999999999998E-2</v>
      </c>
      <c r="BK2403">
        <v>1</v>
      </c>
      <c r="BL2403" t="s">
        <v>69</v>
      </c>
      <c r="BM2403">
        <v>-0.23499999999999999</v>
      </c>
      <c r="BN2403">
        <v>-1.577</v>
      </c>
    </row>
    <row r="2404" spans="2:66">
      <c r="B2404">
        <v>4122</v>
      </c>
      <c r="C2404">
        <v>210</v>
      </c>
      <c r="D2404">
        <v>0</v>
      </c>
      <c r="E2404">
        <v>5</v>
      </c>
      <c r="F2404">
        <v>0</v>
      </c>
      <c r="J2404">
        <v>0</v>
      </c>
      <c r="K2404">
        <v>0</v>
      </c>
      <c r="L2404">
        <v>0</v>
      </c>
      <c r="M2404" t="s">
        <v>25022</v>
      </c>
      <c r="N2404">
        <v>1471</v>
      </c>
      <c r="O2404" t="s">
        <v>9192</v>
      </c>
      <c r="P2404" t="s">
        <v>57</v>
      </c>
      <c r="Q2404">
        <v>1486045</v>
      </c>
      <c r="R2404">
        <v>1486923</v>
      </c>
      <c r="S2404" t="s">
        <v>9193</v>
      </c>
      <c r="T2404">
        <v>293</v>
      </c>
      <c r="U2404" t="s">
        <v>108</v>
      </c>
      <c r="V2404">
        <v>44</v>
      </c>
      <c r="W2404" t="str">
        <f>HYPERLINK("Gene1471-zp_tree_all.dnd", "Gene1471-tree")</f>
        <v>Gene1471-tree</v>
      </c>
      <c r="X2404">
        <v>9</v>
      </c>
      <c r="Y2404">
        <v>4</v>
      </c>
      <c r="Z2404">
        <v>9</v>
      </c>
      <c r="AA2404">
        <v>4</v>
      </c>
      <c r="AB2404">
        <v>0.30769000000000002</v>
      </c>
      <c r="AC2404" t="s">
        <v>135</v>
      </c>
      <c r="AD2404" t="s">
        <v>61</v>
      </c>
      <c r="AE2404" t="s">
        <v>62</v>
      </c>
      <c r="AF2404" t="s">
        <v>62</v>
      </c>
      <c r="AG2404">
        <v>0</v>
      </c>
      <c r="AH2404">
        <v>0</v>
      </c>
      <c r="AI2404">
        <v>5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5</v>
      </c>
      <c r="AT2404">
        <v>0</v>
      </c>
      <c r="AU2404">
        <v>10</v>
      </c>
      <c r="AV2404">
        <v>8</v>
      </c>
      <c r="AW2404">
        <v>18</v>
      </c>
      <c r="AX2404">
        <v>5</v>
      </c>
      <c r="AY2404">
        <v>11</v>
      </c>
      <c r="AZ2404">
        <v>0</v>
      </c>
      <c r="BA2404" t="s">
        <v>9194</v>
      </c>
      <c r="BB2404" t="s">
        <v>193</v>
      </c>
      <c r="BC2404">
        <v>1.4630000000000001</v>
      </c>
      <c r="BD2404" t="s">
        <v>65</v>
      </c>
      <c r="BE2404">
        <v>29</v>
      </c>
      <c r="BF2404">
        <v>5</v>
      </c>
      <c r="BG2404" t="s">
        <v>9195</v>
      </c>
      <c r="BH2404" t="s">
        <v>9196</v>
      </c>
      <c r="BI2404" t="s">
        <v>9197</v>
      </c>
      <c r="BJ2404">
        <v>3.4610000000000002E-2</v>
      </c>
      <c r="BK2404">
        <v>1</v>
      </c>
      <c r="BL2404" t="s">
        <v>69</v>
      </c>
      <c r="BM2404">
        <v>-0.73599999999999999</v>
      </c>
      <c r="BN2404">
        <v>-0.63</v>
      </c>
    </row>
    <row r="2405" spans="2:66">
      <c r="B2405">
        <v>4123</v>
      </c>
      <c r="C2405">
        <v>507</v>
      </c>
      <c r="D2405">
        <v>0</v>
      </c>
      <c r="E2405">
        <v>5</v>
      </c>
      <c r="F2405">
        <v>0</v>
      </c>
      <c r="J2405">
        <v>0</v>
      </c>
      <c r="K2405">
        <v>2</v>
      </c>
      <c r="L2405">
        <v>2</v>
      </c>
      <c r="M2405" t="s">
        <v>25022</v>
      </c>
      <c r="N2405">
        <v>1472</v>
      </c>
      <c r="O2405" t="s">
        <v>9198</v>
      </c>
      <c r="P2405" t="s">
        <v>57</v>
      </c>
      <c r="Q2405">
        <v>1487038</v>
      </c>
      <c r="R2405">
        <v>1487511</v>
      </c>
      <c r="S2405" t="s">
        <v>9199</v>
      </c>
      <c r="T2405">
        <v>158</v>
      </c>
      <c r="U2405" t="s">
        <v>1557</v>
      </c>
      <c r="V2405">
        <v>40</v>
      </c>
      <c r="W2405" t="str">
        <f>HYPERLINK("Gene1472-zp_tree_all.dnd", "Gene1472-tree")</f>
        <v>Gene1472-tree</v>
      </c>
      <c r="X2405">
        <v>3</v>
      </c>
      <c r="Y2405">
        <v>26</v>
      </c>
      <c r="Z2405">
        <v>3</v>
      </c>
      <c r="AA2405">
        <v>7</v>
      </c>
      <c r="AB2405">
        <v>0.7</v>
      </c>
      <c r="AC2405" t="s">
        <v>324</v>
      </c>
      <c r="AD2405" t="s">
        <v>191</v>
      </c>
      <c r="AE2405">
        <v>2.2130000000000001</v>
      </c>
      <c r="AF2405" t="s">
        <v>65</v>
      </c>
      <c r="AG2405">
        <v>2</v>
      </c>
      <c r="AH2405">
        <v>4</v>
      </c>
      <c r="AI2405">
        <v>8</v>
      </c>
      <c r="AJ2405">
        <v>0.33333000000000002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2</v>
      </c>
      <c r="AQ2405">
        <v>0</v>
      </c>
      <c r="AR2405">
        <v>2</v>
      </c>
      <c r="AS2405">
        <v>5</v>
      </c>
      <c r="AT2405">
        <v>0.28571000000000002</v>
      </c>
      <c r="AU2405">
        <v>8</v>
      </c>
      <c r="AV2405">
        <v>5</v>
      </c>
      <c r="AW2405">
        <v>9</v>
      </c>
      <c r="AX2405">
        <v>6</v>
      </c>
      <c r="AY2405">
        <v>3</v>
      </c>
      <c r="AZ2405">
        <v>6</v>
      </c>
      <c r="BA2405" t="s">
        <v>9200</v>
      </c>
      <c r="BB2405" t="s">
        <v>9201</v>
      </c>
      <c r="BC2405">
        <v>1.5449999999999999</v>
      </c>
      <c r="BD2405" t="s">
        <v>65</v>
      </c>
      <c r="BE2405">
        <v>12</v>
      </c>
      <c r="BF2405">
        <v>12</v>
      </c>
      <c r="BG2405" t="s">
        <v>9202</v>
      </c>
      <c r="BH2405" t="s">
        <v>9203</v>
      </c>
      <c r="BI2405" t="s">
        <v>9204</v>
      </c>
      <c r="BJ2405">
        <v>0.42032999999999998</v>
      </c>
      <c r="BK2405">
        <v>0.78</v>
      </c>
      <c r="BL2405" t="s">
        <v>635</v>
      </c>
      <c r="BM2405">
        <v>-1.22</v>
      </c>
      <c r="BN2405">
        <v>-1.819</v>
      </c>
    </row>
    <row r="2406" spans="2:66">
      <c r="B2406">
        <v>4125</v>
      </c>
      <c r="C2406">
        <v>265</v>
      </c>
      <c r="D2406">
        <v>0</v>
      </c>
      <c r="E2406">
        <v>4</v>
      </c>
      <c r="F2406">
        <v>0</v>
      </c>
      <c r="J2406">
        <v>0</v>
      </c>
      <c r="K2406">
        <v>12</v>
      </c>
      <c r="L2406">
        <v>4</v>
      </c>
      <c r="M2406" t="s">
        <v>25022</v>
      </c>
      <c r="N2406">
        <v>1473</v>
      </c>
      <c r="O2406" t="s">
        <v>9205</v>
      </c>
      <c r="P2406" t="s">
        <v>57</v>
      </c>
      <c r="Q2406">
        <v>1487504</v>
      </c>
      <c r="R2406">
        <v>1488394</v>
      </c>
      <c r="S2406" t="s">
        <v>288</v>
      </c>
      <c r="T2406">
        <v>297</v>
      </c>
      <c r="U2406" t="s">
        <v>108</v>
      </c>
      <c r="V2406">
        <v>44</v>
      </c>
      <c r="W2406" t="str">
        <f>HYPERLINK("Gene1473-zp_tree_all.dnd", "Gene1473-tree")</f>
        <v>Gene1473-tree</v>
      </c>
      <c r="X2406">
        <v>6</v>
      </c>
      <c r="Y2406">
        <v>10</v>
      </c>
      <c r="Z2406">
        <v>6</v>
      </c>
      <c r="AA2406">
        <v>10</v>
      </c>
      <c r="AB2406">
        <v>0.625</v>
      </c>
      <c r="AC2406" t="s">
        <v>90</v>
      </c>
      <c r="AD2406" t="s">
        <v>117</v>
      </c>
      <c r="AE2406" t="s">
        <v>62</v>
      </c>
      <c r="AF2406" t="s">
        <v>62</v>
      </c>
      <c r="AG2406">
        <v>7</v>
      </c>
      <c r="AH2406">
        <v>16</v>
      </c>
      <c r="AI2406">
        <v>11</v>
      </c>
      <c r="AJ2406">
        <v>0.59258999999999995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7</v>
      </c>
      <c r="AQ2406">
        <v>2</v>
      </c>
      <c r="AR2406">
        <v>9</v>
      </c>
      <c r="AS2406">
        <v>10</v>
      </c>
      <c r="AT2406">
        <v>0.47367999999999999</v>
      </c>
      <c r="AU2406">
        <v>13</v>
      </c>
      <c r="AV2406">
        <v>11</v>
      </c>
      <c r="AW2406">
        <v>37</v>
      </c>
      <c r="AX2406">
        <v>18</v>
      </c>
      <c r="AY2406">
        <v>24</v>
      </c>
      <c r="AZ2406">
        <v>9</v>
      </c>
      <c r="BA2406" t="s">
        <v>9206</v>
      </c>
      <c r="BB2406" t="s">
        <v>9207</v>
      </c>
      <c r="BC2406">
        <v>0.48199999999999998</v>
      </c>
      <c r="BD2406" t="s">
        <v>65</v>
      </c>
      <c r="BE2406">
        <v>61</v>
      </c>
      <c r="BF2406">
        <v>27</v>
      </c>
      <c r="BG2406" t="s">
        <v>9208</v>
      </c>
      <c r="BH2406" t="s">
        <v>9209</v>
      </c>
      <c r="BI2406" t="s">
        <v>9210</v>
      </c>
      <c r="BJ2406">
        <v>0.14147000000000001</v>
      </c>
      <c r="BK2406">
        <v>1</v>
      </c>
      <c r="BL2406" t="s">
        <v>69</v>
      </c>
      <c r="BM2406">
        <v>-0.47899999999999998</v>
      </c>
      <c r="BN2406">
        <v>-1.556</v>
      </c>
    </row>
    <row r="2407" spans="2:66">
      <c r="B2407">
        <v>4126</v>
      </c>
      <c r="C2407">
        <v>252</v>
      </c>
      <c r="D2407">
        <v>0</v>
      </c>
      <c r="E2407">
        <v>18</v>
      </c>
      <c r="F2407">
        <v>5</v>
      </c>
      <c r="J2407">
        <v>0</v>
      </c>
      <c r="K2407">
        <v>10</v>
      </c>
      <c r="L2407">
        <v>1</v>
      </c>
      <c r="M2407" t="s">
        <v>25022</v>
      </c>
      <c r="N2407">
        <v>1474</v>
      </c>
      <c r="O2407" t="s">
        <v>9211</v>
      </c>
      <c r="P2407" t="s">
        <v>57</v>
      </c>
      <c r="Q2407">
        <v>1488413</v>
      </c>
      <c r="R2407">
        <v>1488865</v>
      </c>
      <c r="S2407" t="s">
        <v>9212</v>
      </c>
      <c r="T2407">
        <v>151</v>
      </c>
      <c r="U2407" t="s">
        <v>265</v>
      </c>
      <c r="V2407">
        <v>43</v>
      </c>
      <c r="W2407" t="str">
        <f>HYPERLINK("Gene1474-zp_tree_all.dnd", "Gene1474-tree")</f>
        <v>Gene1474-tree</v>
      </c>
      <c r="X2407">
        <v>4</v>
      </c>
      <c r="Y2407">
        <v>28</v>
      </c>
      <c r="Z2407">
        <v>4</v>
      </c>
      <c r="AA2407">
        <v>9</v>
      </c>
      <c r="AB2407">
        <v>0.69230999999999998</v>
      </c>
      <c r="AC2407" t="s">
        <v>61</v>
      </c>
      <c r="AD2407" t="s">
        <v>2825</v>
      </c>
      <c r="AE2407">
        <v>2.3340000000000001</v>
      </c>
      <c r="AF2407" t="s">
        <v>65</v>
      </c>
      <c r="AG2407">
        <v>5</v>
      </c>
      <c r="AH2407">
        <v>11</v>
      </c>
      <c r="AI2407">
        <v>6</v>
      </c>
      <c r="AJ2407">
        <v>0.64705999999999997</v>
      </c>
      <c r="AK2407">
        <v>0</v>
      </c>
      <c r="AL2407">
        <v>0</v>
      </c>
      <c r="AM2407">
        <v>0</v>
      </c>
      <c r="AN2407">
        <v>2</v>
      </c>
      <c r="AO2407">
        <v>0</v>
      </c>
      <c r="AP2407">
        <v>2</v>
      </c>
      <c r="AQ2407">
        <v>0</v>
      </c>
      <c r="AR2407">
        <v>2</v>
      </c>
      <c r="AS2407">
        <v>8</v>
      </c>
      <c r="AT2407">
        <v>0.2</v>
      </c>
      <c r="AU2407">
        <v>8</v>
      </c>
      <c r="AV2407">
        <v>10</v>
      </c>
      <c r="AW2407">
        <v>13</v>
      </c>
      <c r="AX2407">
        <v>10</v>
      </c>
      <c r="AY2407">
        <v>18</v>
      </c>
      <c r="AZ2407">
        <v>9</v>
      </c>
      <c r="BA2407" t="s">
        <v>9213</v>
      </c>
      <c r="BB2407" t="s">
        <v>9214</v>
      </c>
      <c r="BC2407">
        <v>1.1759999999999999</v>
      </c>
      <c r="BD2407" t="s">
        <v>65</v>
      </c>
      <c r="BE2407">
        <v>31</v>
      </c>
      <c r="BF2407">
        <v>19</v>
      </c>
      <c r="BG2407" t="s">
        <v>9215</v>
      </c>
      <c r="BH2407" t="s">
        <v>9216</v>
      </c>
      <c r="BI2407" t="s">
        <v>9217</v>
      </c>
      <c r="BJ2407">
        <v>0.15673999999999999</v>
      </c>
      <c r="BK2407">
        <v>1</v>
      </c>
      <c r="BL2407" t="s">
        <v>69</v>
      </c>
      <c r="BM2407">
        <v>0.89300000000000002</v>
      </c>
      <c r="BN2407">
        <v>8.3000000000000004E-2</v>
      </c>
    </row>
    <row r="2408" spans="2:66">
      <c r="B2408">
        <v>4127</v>
      </c>
      <c r="C2408">
        <v>282</v>
      </c>
      <c r="D2408">
        <v>0</v>
      </c>
      <c r="E2408">
        <v>8</v>
      </c>
      <c r="F2408">
        <v>5</v>
      </c>
      <c r="J2408">
        <v>0</v>
      </c>
      <c r="K2408">
        <v>0</v>
      </c>
      <c r="L2408">
        <v>0</v>
      </c>
      <c r="M2408" t="s">
        <v>25022</v>
      </c>
      <c r="N2408">
        <v>1475</v>
      </c>
      <c r="O2408" t="s">
        <v>9218</v>
      </c>
      <c r="P2408" t="s">
        <v>57</v>
      </c>
      <c r="Q2408">
        <v>1488973</v>
      </c>
      <c r="R2408">
        <v>1489680</v>
      </c>
      <c r="S2408" t="s">
        <v>9219</v>
      </c>
      <c r="T2408">
        <v>236</v>
      </c>
      <c r="U2408" t="s">
        <v>59</v>
      </c>
      <c r="V2408">
        <v>49</v>
      </c>
      <c r="W2408" t="str">
        <f>HYPERLINK("Gene1475-zp_tree_all.dnd", "Gene1475-tree")</f>
        <v>Gene1475-tree</v>
      </c>
      <c r="X2408">
        <v>18</v>
      </c>
      <c r="Y2408">
        <v>2</v>
      </c>
      <c r="Z2408">
        <v>18</v>
      </c>
      <c r="AA2408">
        <v>2</v>
      </c>
      <c r="AB2408">
        <v>0.1</v>
      </c>
      <c r="AC2408" t="s">
        <v>144</v>
      </c>
      <c r="AD2408" t="s">
        <v>81</v>
      </c>
      <c r="AE2408" t="s">
        <v>62</v>
      </c>
      <c r="AF2408" t="s">
        <v>62</v>
      </c>
      <c r="AG2408">
        <v>0</v>
      </c>
      <c r="AH2408">
        <v>0</v>
      </c>
      <c r="AI2408">
        <v>3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2</v>
      </c>
      <c r="AT2408">
        <v>0</v>
      </c>
      <c r="AU2408">
        <v>17</v>
      </c>
      <c r="AV2408">
        <v>12</v>
      </c>
      <c r="AW2408">
        <v>35</v>
      </c>
      <c r="AX2408">
        <v>2</v>
      </c>
      <c r="AY2408">
        <v>44</v>
      </c>
      <c r="AZ2408">
        <v>1</v>
      </c>
      <c r="BA2408" t="s">
        <v>9220</v>
      </c>
      <c r="BB2408" t="s">
        <v>9221</v>
      </c>
      <c r="BC2408">
        <v>0.255</v>
      </c>
      <c r="BD2408" t="s">
        <v>65</v>
      </c>
      <c r="BE2408">
        <v>79</v>
      </c>
      <c r="BF2408">
        <v>3</v>
      </c>
      <c r="BG2408" t="s">
        <v>9222</v>
      </c>
      <c r="BH2408" t="s">
        <v>9223</v>
      </c>
      <c r="BI2408" t="s">
        <v>9224</v>
      </c>
      <c r="BJ2408">
        <v>1.205E-2</v>
      </c>
      <c r="BK2408">
        <v>1</v>
      </c>
      <c r="BL2408" t="s">
        <v>69</v>
      </c>
      <c r="BM2408">
        <v>-1.0269999999999999</v>
      </c>
      <c r="BN2408">
        <v>-1.2749999999999999</v>
      </c>
    </row>
    <row r="2409" spans="2:66">
      <c r="B2409">
        <v>4135</v>
      </c>
      <c r="C2409">
        <v>277</v>
      </c>
      <c r="D2409">
        <v>0</v>
      </c>
      <c r="E2409">
        <v>7</v>
      </c>
      <c r="F2409">
        <v>0</v>
      </c>
      <c r="J2409">
        <v>0</v>
      </c>
      <c r="K2409">
        <v>10</v>
      </c>
      <c r="L2409">
        <v>0</v>
      </c>
      <c r="M2409" t="s">
        <v>25022</v>
      </c>
      <c r="N2409">
        <v>1476</v>
      </c>
      <c r="O2409" t="s">
        <v>9225</v>
      </c>
      <c r="P2409" t="s">
        <v>57</v>
      </c>
      <c r="Q2409">
        <v>1489753</v>
      </c>
      <c r="R2409">
        <v>1490874</v>
      </c>
      <c r="S2409" t="s">
        <v>9226</v>
      </c>
      <c r="T2409">
        <v>374</v>
      </c>
      <c r="U2409" t="s">
        <v>108</v>
      </c>
      <c r="V2409">
        <v>44</v>
      </c>
      <c r="W2409" t="str">
        <f>HYPERLINK("Gene1476-zp_tree_all.dnd", "Gene1476-tree")</f>
        <v>Gene1476-tree</v>
      </c>
      <c r="X2409">
        <v>10</v>
      </c>
      <c r="Y2409">
        <v>5</v>
      </c>
      <c r="Z2409">
        <v>10</v>
      </c>
      <c r="AA2409">
        <v>5</v>
      </c>
      <c r="AB2409">
        <v>0.33333000000000002</v>
      </c>
      <c r="AC2409" t="s">
        <v>117</v>
      </c>
      <c r="AD2409" t="s">
        <v>199</v>
      </c>
      <c r="AE2409" t="s">
        <v>62</v>
      </c>
      <c r="AF2409" t="s">
        <v>62</v>
      </c>
      <c r="AG2409">
        <v>4</v>
      </c>
      <c r="AH2409">
        <v>10</v>
      </c>
      <c r="AI2409">
        <v>4</v>
      </c>
      <c r="AJ2409">
        <v>0.71428999999999998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5</v>
      </c>
      <c r="AT2409">
        <v>0</v>
      </c>
      <c r="AU2409">
        <v>14</v>
      </c>
      <c r="AV2409">
        <v>11</v>
      </c>
      <c r="AW2409">
        <v>27</v>
      </c>
      <c r="AX2409">
        <v>5</v>
      </c>
      <c r="AY2409">
        <v>25</v>
      </c>
      <c r="AZ2409">
        <v>9</v>
      </c>
      <c r="BA2409" t="s">
        <v>9227</v>
      </c>
      <c r="BB2409" t="s">
        <v>9228</v>
      </c>
      <c r="BC2409">
        <v>1.0189999999999999</v>
      </c>
      <c r="BD2409" t="s">
        <v>65</v>
      </c>
      <c r="BE2409">
        <v>52</v>
      </c>
      <c r="BF2409">
        <v>14</v>
      </c>
      <c r="BG2409" t="s">
        <v>9229</v>
      </c>
      <c r="BH2409" t="s">
        <v>9230</v>
      </c>
      <c r="BI2409" t="s">
        <v>9028</v>
      </c>
      <c r="BJ2409">
        <v>7.0620000000000002E-2</v>
      </c>
      <c r="BK2409">
        <v>1</v>
      </c>
      <c r="BL2409" t="s">
        <v>69</v>
      </c>
      <c r="BM2409">
        <v>-3.9E-2</v>
      </c>
      <c r="BN2409">
        <v>-0.48899999999999999</v>
      </c>
    </row>
    <row r="2410" spans="2:66">
      <c r="B2410">
        <v>4136</v>
      </c>
      <c r="C2410">
        <v>109</v>
      </c>
      <c r="D2410">
        <v>0</v>
      </c>
      <c r="E2410">
        <v>16</v>
      </c>
      <c r="F2410">
        <v>3</v>
      </c>
      <c r="J2410">
        <v>0</v>
      </c>
      <c r="K2410">
        <v>0</v>
      </c>
      <c r="L2410">
        <v>0</v>
      </c>
      <c r="M2410" t="s">
        <v>25022</v>
      </c>
      <c r="N2410">
        <v>1477</v>
      </c>
      <c r="O2410" t="s">
        <v>9231</v>
      </c>
      <c r="P2410" t="s">
        <v>57</v>
      </c>
      <c r="Q2410">
        <v>1490939</v>
      </c>
      <c r="R2410">
        <v>1491181</v>
      </c>
      <c r="S2410" t="s">
        <v>288</v>
      </c>
      <c r="T2410">
        <v>81</v>
      </c>
      <c r="U2410" t="s">
        <v>59</v>
      </c>
      <c r="V2410">
        <v>49</v>
      </c>
      <c r="W2410" t="str">
        <f>HYPERLINK("Gene1477-zp_tree_all.dnd", "Gene1477-tree")</f>
        <v>Gene1477-tree</v>
      </c>
      <c r="X2410">
        <v>31</v>
      </c>
      <c r="Y2410">
        <v>0</v>
      </c>
      <c r="Z2410">
        <v>12</v>
      </c>
      <c r="AA2410">
        <v>0</v>
      </c>
      <c r="AB2410">
        <v>0</v>
      </c>
      <c r="AC2410" t="s">
        <v>5000</v>
      </c>
      <c r="AD2410" t="s">
        <v>62</v>
      </c>
      <c r="AE2410" t="s">
        <v>62</v>
      </c>
      <c r="AF2410" t="s">
        <v>62</v>
      </c>
      <c r="AG2410">
        <v>0</v>
      </c>
      <c r="AH2410">
        <v>0</v>
      </c>
      <c r="AI2410">
        <v>2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9</v>
      </c>
      <c r="AV2410">
        <v>5</v>
      </c>
      <c r="AW2410">
        <v>9</v>
      </c>
      <c r="AX2410">
        <v>0</v>
      </c>
      <c r="AY2410">
        <v>8</v>
      </c>
      <c r="AZ2410">
        <v>2</v>
      </c>
      <c r="BA2410" t="s">
        <v>193</v>
      </c>
      <c r="BB2410" t="s">
        <v>9232</v>
      </c>
      <c r="BC2410">
        <v>0.81299999999999994</v>
      </c>
      <c r="BD2410" t="s">
        <v>65</v>
      </c>
      <c r="BE2410">
        <v>17</v>
      </c>
      <c r="BF2410">
        <v>2</v>
      </c>
      <c r="BG2410" t="s">
        <v>9233</v>
      </c>
      <c r="BH2410" t="s">
        <v>9234</v>
      </c>
      <c r="BI2410" t="s">
        <v>9235</v>
      </c>
      <c r="BJ2410">
        <v>4.6179999999999999E-2</v>
      </c>
      <c r="BK2410">
        <v>1</v>
      </c>
      <c r="BL2410" t="s">
        <v>69</v>
      </c>
      <c r="BM2410">
        <v>-7.8E-2</v>
      </c>
      <c r="BN2410">
        <v>0.65600000000000003</v>
      </c>
    </row>
    <row r="2411" spans="2:66">
      <c r="B2411">
        <v>4137</v>
      </c>
      <c r="C2411">
        <v>31</v>
      </c>
      <c r="D2411">
        <v>2</v>
      </c>
      <c r="E2411">
        <v>0</v>
      </c>
      <c r="F2411">
        <v>2</v>
      </c>
      <c r="J2411">
        <v>0</v>
      </c>
      <c r="K2411">
        <v>0</v>
      </c>
      <c r="L2411">
        <v>0</v>
      </c>
      <c r="M2411" t="s">
        <v>25022</v>
      </c>
      <c r="N2411">
        <v>1479</v>
      </c>
      <c r="O2411" t="s">
        <v>9242</v>
      </c>
      <c r="P2411" t="s">
        <v>57</v>
      </c>
      <c r="Q2411">
        <v>1492261</v>
      </c>
      <c r="R2411">
        <v>1492800</v>
      </c>
      <c r="S2411" t="s">
        <v>9243</v>
      </c>
      <c r="T2411">
        <v>180</v>
      </c>
      <c r="U2411" t="s">
        <v>108</v>
      </c>
      <c r="V2411">
        <v>44</v>
      </c>
      <c r="W2411" t="str">
        <f>HYPERLINK("Gene1479-zp_tree_all.dnd", "Gene1479-tree")</f>
        <v>Gene1479-tree</v>
      </c>
      <c r="X2411">
        <v>27</v>
      </c>
      <c r="Y2411">
        <v>4</v>
      </c>
      <c r="Z2411">
        <v>8</v>
      </c>
      <c r="AA2411">
        <v>4</v>
      </c>
      <c r="AB2411">
        <v>0.33333000000000002</v>
      </c>
      <c r="AC2411" t="s">
        <v>282</v>
      </c>
      <c r="AD2411" t="s">
        <v>61</v>
      </c>
      <c r="AE2411" t="s">
        <v>62</v>
      </c>
      <c r="AF2411" t="s">
        <v>62</v>
      </c>
      <c r="AG2411">
        <v>0</v>
      </c>
      <c r="AH2411">
        <v>0</v>
      </c>
      <c r="AI2411">
        <v>4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4</v>
      </c>
      <c r="AT2411">
        <v>0</v>
      </c>
      <c r="AU2411">
        <v>11</v>
      </c>
      <c r="AV2411">
        <v>4</v>
      </c>
      <c r="AW2411">
        <v>21</v>
      </c>
      <c r="AX2411">
        <v>4</v>
      </c>
      <c r="AY2411">
        <v>9</v>
      </c>
      <c r="AZ2411">
        <v>0</v>
      </c>
      <c r="BA2411" t="s">
        <v>9244</v>
      </c>
      <c r="BB2411" t="s">
        <v>193</v>
      </c>
      <c r="BC2411">
        <v>1.677</v>
      </c>
      <c r="BD2411" t="s">
        <v>65</v>
      </c>
      <c r="BE2411">
        <v>30</v>
      </c>
      <c r="BF2411">
        <v>4</v>
      </c>
      <c r="BG2411" t="s">
        <v>9245</v>
      </c>
      <c r="BH2411" t="s">
        <v>9246</v>
      </c>
      <c r="BI2411" t="s">
        <v>9247</v>
      </c>
      <c r="BJ2411">
        <v>3.2070000000000001E-2</v>
      </c>
      <c r="BK2411">
        <v>1</v>
      </c>
      <c r="BL2411" t="s">
        <v>69</v>
      </c>
      <c r="BM2411">
        <v>-1.252</v>
      </c>
      <c r="BN2411">
        <v>-1.6950000000000001</v>
      </c>
    </row>
    <row r="2412" spans="2:66">
      <c r="B2412">
        <v>4138</v>
      </c>
      <c r="C2412">
        <v>360</v>
      </c>
      <c r="D2412">
        <v>0</v>
      </c>
      <c r="E2412">
        <v>12</v>
      </c>
      <c r="F2412">
        <v>1</v>
      </c>
      <c r="J2412">
        <v>0</v>
      </c>
      <c r="K2412">
        <v>3</v>
      </c>
      <c r="L2412">
        <v>0</v>
      </c>
      <c r="M2412" t="s">
        <v>25022</v>
      </c>
      <c r="N2412">
        <v>1480</v>
      </c>
      <c r="O2412" t="s">
        <v>9248</v>
      </c>
      <c r="P2412" t="s">
        <v>57</v>
      </c>
      <c r="Q2412">
        <v>1492875</v>
      </c>
      <c r="R2412">
        <v>1493318</v>
      </c>
      <c r="S2412" t="s">
        <v>9249</v>
      </c>
      <c r="T2412">
        <v>148</v>
      </c>
      <c r="U2412" t="s">
        <v>108</v>
      </c>
      <c r="V2412">
        <v>44</v>
      </c>
      <c r="W2412" t="str">
        <f>HYPERLINK("Gene1480-zp_tree_all.dnd", "Gene1480-tree")</f>
        <v>Gene1480-tree</v>
      </c>
      <c r="X2412">
        <v>7</v>
      </c>
      <c r="Y2412">
        <v>7</v>
      </c>
      <c r="Z2412">
        <v>7</v>
      </c>
      <c r="AA2412">
        <v>7</v>
      </c>
      <c r="AB2412">
        <v>0.5</v>
      </c>
      <c r="AC2412" t="s">
        <v>152</v>
      </c>
      <c r="AD2412" t="s">
        <v>152</v>
      </c>
      <c r="AE2412" t="s">
        <v>62</v>
      </c>
      <c r="AF2412" t="s">
        <v>62</v>
      </c>
      <c r="AG2412">
        <v>1</v>
      </c>
      <c r="AH2412">
        <v>3</v>
      </c>
      <c r="AI2412">
        <v>7</v>
      </c>
      <c r="AJ2412">
        <v>0.3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2</v>
      </c>
      <c r="AQ2412">
        <v>0</v>
      </c>
      <c r="AR2412">
        <v>2</v>
      </c>
      <c r="AS2412">
        <v>7</v>
      </c>
      <c r="AT2412">
        <v>0.22222</v>
      </c>
      <c r="AU2412">
        <v>10</v>
      </c>
      <c r="AV2412">
        <v>7</v>
      </c>
      <c r="AW2412">
        <v>11</v>
      </c>
      <c r="AX2412">
        <v>9</v>
      </c>
      <c r="AY2412">
        <v>12</v>
      </c>
      <c r="AZ2412">
        <v>1</v>
      </c>
      <c r="BA2412" t="s">
        <v>9250</v>
      </c>
      <c r="BB2412" t="s">
        <v>9251</v>
      </c>
      <c r="BC2412">
        <v>1.677</v>
      </c>
      <c r="BD2412" t="s">
        <v>65</v>
      </c>
      <c r="BE2412">
        <v>23</v>
      </c>
      <c r="BF2412">
        <v>10</v>
      </c>
      <c r="BG2412" t="s">
        <v>9252</v>
      </c>
      <c r="BH2412" t="s">
        <v>9253</v>
      </c>
      <c r="BI2412" t="s">
        <v>9254</v>
      </c>
      <c r="BJ2412">
        <v>7.9570000000000002E-2</v>
      </c>
      <c r="BK2412">
        <v>1</v>
      </c>
      <c r="BL2412" t="s">
        <v>69</v>
      </c>
      <c r="BM2412">
        <v>-0.42699999999999999</v>
      </c>
      <c r="BN2412">
        <v>-0.93100000000000005</v>
      </c>
    </row>
    <row r="2413" spans="2:66">
      <c r="B2413">
        <v>4139</v>
      </c>
      <c r="C2413">
        <v>194</v>
      </c>
      <c r="D2413">
        <v>0</v>
      </c>
      <c r="E2413">
        <v>9</v>
      </c>
      <c r="F2413">
        <v>0</v>
      </c>
      <c r="J2413">
        <v>0</v>
      </c>
      <c r="K2413">
        <v>0</v>
      </c>
      <c r="L2413">
        <v>0</v>
      </c>
      <c r="M2413" t="s">
        <v>25022</v>
      </c>
      <c r="N2413">
        <v>1481</v>
      </c>
      <c r="O2413" t="s">
        <v>9255</v>
      </c>
      <c r="P2413" t="s">
        <v>57</v>
      </c>
      <c r="Q2413">
        <v>1493787</v>
      </c>
      <c r="R2413">
        <v>1494359</v>
      </c>
      <c r="S2413" t="s">
        <v>9256</v>
      </c>
      <c r="T2413">
        <v>191</v>
      </c>
      <c r="U2413" t="s">
        <v>125</v>
      </c>
      <c r="V2413">
        <v>48</v>
      </c>
      <c r="W2413" t="str">
        <f>HYPERLINK("Gene1481-zp_tree_all.dnd", "Gene1481-tree")</f>
        <v>Gene1481-tree</v>
      </c>
      <c r="X2413">
        <v>10</v>
      </c>
      <c r="Y2413">
        <v>1</v>
      </c>
      <c r="Z2413">
        <v>10</v>
      </c>
      <c r="AA2413">
        <v>1</v>
      </c>
      <c r="AB2413">
        <v>9.0910000000000005E-2</v>
      </c>
      <c r="AC2413" t="s">
        <v>117</v>
      </c>
      <c r="AD2413" t="s">
        <v>175</v>
      </c>
      <c r="AE2413" t="s">
        <v>62</v>
      </c>
      <c r="AF2413" t="s">
        <v>62</v>
      </c>
      <c r="AG2413">
        <v>0</v>
      </c>
      <c r="AH2413">
        <v>0</v>
      </c>
      <c r="AI2413">
        <v>4</v>
      </c>
      <c r="AJ2413">
        <v>0</v>
      </c>
      <c r="AK2413">
        <v>0</v>
      </c>
      <c r="AL2413">
        <v>0</v>
      </c>
      <c r="AM2413">
        <v>0</v>
      </c>
      <c r="AN2413">
        <v>3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7</v>
      </c>
      <c r="AV2413">
        <v>6</v>
      </c>
      <c r="AW2413">
        <v>9</v>
      </c>
      <c r="AX2413">
        <v>1</v>
      </c>
      <c r="AY2413">
        <v>23</v>
      </c>
      <c r="AZ2413">
        <v>4</v>
      </c>
      <c r="BA2413" t="s">
        <v>9257</v>
      </c>
      <c r="BB2413" t="s">
        <v>9258</v>
      </c>
      <c r="BC2413">
        <v>0.128</v>
      </c>
      <c r="BD2413" t="s">
        <v>65</v>
      </c>
      <c r="BE2413">
        <v>32</v>
      </c>
      <c r="BF2413">
        <v>5</v>
      </c>
      <c r="BG2413" t="s">
        <v>9259</v>
      </c>
      <c r="BH2413" t="s">
        <v>9260</v>
      </c>
      <c r="BI2413" t="s">
        <v>9261</v>
      </c>
      <c r="BJ2413">
        <v>4.011E-2</v>
      </c>
      <c r="BK2413">
        <v>1</v>
      </c>
      <c r="BL2413" t="s">
        <v>69</v>
      </c>
      <c r="BM2413">
        <v>-1.5860000000000001</v>
      </c>
      <c r="BN2413">
        <v>-0.51800000000000002</v>
      </c>
    </row>
    <row r="2414" spans="2:66">
      <c r="B2414">
        <v>4140</v>
      </c>
      <c r="C2414">
        <v>146</v>
      </c>
      <c r="D2414">
        <v>2</v>
      </c>
      <c r="E2414">
        <v>11</v>
      </c>
      <c r="F2414">
        <v>3</v>
      </c>
      <c r="J2414">
        <v>0</v>
      </c>
      <c r="K2414">
        <v>2</v>
      </c>
      <c r="L2414">
        <v>0</v>
      </c>
      <c r="M2414" t="s">
        <v>25022</v>
      </c>
      <c r="N2414">
        <v>1483</v>
      </c>
      <c r="O2414" t="s">
        <v>9269</v>
      </c>
      <c r="P2414" t="s">
        <v>57</v>
      </c>
      <c r="Q2414">
        <v>1495505</v>
      </c>
      <c r="R2414">
        <v>1496101</v>
      </c>
      <c r="S2414" t="s">
        <v>9270</v>
      </c>
      <c r="T2414">
        <v>199</v>
      </c>
      <c r="U2414" t="s">
        <v>108</v>
      </c>
      <c r="V2414">
        <v>44</v>
      </c>
      <c r="W2414" t="str">
        <f>HYPERLINK("Gene1483-zp_tree_all.dnd", "Gene1483-tree")</f>
        <v>Gene1483-tree</v>
      </c>
      <c r="X2414">
        <v>2</v>
      </c>
      <c r="Y2414">
        <v>31</v>
      </c>
      <c r="Z2414">
        <v>2</v>
      </c>
      <c r="AA2414">
        <v>12</v>
      </c>
      <c r="AB2414">
        <v>0.85714000000000001</v>
      </c>
      <c r="AC2414" t="s">
        <v>81</v>
      </c>
      <c r="AD2414" t="s">
        <v>5000</v>
      </c>
      <c r="AE2414">
        <v>0.68700000000000006</v>
      </c>
      <c r="AF2414" t="s">
        <v>65</v>
      </c>
      <c r="AG2414">
        <v>1</v>
      </c>
      <c r="AH2414">
        <v>2</v>
      </c>
      <c r="AI2414">
        <v>15</v>
      </c>
      <c r="AJ2414">
        <v>0.11765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15</v>
      </c>
      <c r="AT2414">
        <v>0</v>
      </c>
      <c r="AU2414">
        <v>12</v>
      </c>
      <c r="AV2414">
        <v>4</v>
      </c>
      <c r="AW2414">
        <v>8</v>
      </c>
      <c r="AX2414">
        <v>15</v>
      </c>
      <c r="AY2414">
        <v>6</v>
      </c>
      <c r="AZ2414">
        <v>2</v>
      </c>
      <c r="BA2414" t="s">
        <v>9271</v>
      </c>
      <c r="BB2414" t="s">
        <v>9272</v>
      </c>
      <c r="BC2414">
        <v>0.56699999999999995</v>
      </c>
      <c r="BD2414" t="s">
        <v>65</v>
      </c>
      <c r="BE2414">
        <v>14</v>
      </c>
      <c r="BF2414">
        <v>17</v>
      </c>
      <c r="BG2414" t="s">
        <v>9273</v>
      </c>
      <c r="BH2414" t="s">
        <v>9274</v>
      </c>
      <c r="BI2414" t="s">
        <v>9275</v>
      </c>
      <c r="BJ2414">
        <v>0.21390999999999999</v>
      </c>
      <c r="BK2414">
        <v>1</v>
      </c>
      <c r="BL2414" t="s">
        <v>69</v>
      </c>
      <c r="BM2414">
        <v>-1.415</v>
      </c>
      <c r="BN2414">
        <v>-2.9430000000000001</v>
      </c>
    </row>
    <row r="2415" spans="2:66">
      <c r="B2415">
        <v>4141</v>
      </c>
      <c r="C2415">
        <v>298</v>
      </c>
      <c r="D2415">
        <v>0</v>
      </c>
      <c r="E2415">
        <v>19</v>
      </c>
      <c r="F2415">
        <v>3</v>
      </c>
      <c r="J2415">
        <v>0</v>
      </c>
      <c r="K2415">
        <v>6</v>
      </c>
      <c r="L2415">
        <v>0</v>
      </c>
      <c r="M2415" t="s">
        <v>25022</v>
      </c>
      <c r="N2415">
        <v>1484</v>
      </c>
      <c r="O2415" t="s">
        <v>9276</v>
      </c>
      <c r="P2415" t="s">
        <v>57</v>
      </c>
      <c r="Q2415">
        <v>1496155</v>
      </c>
      <c r="R2415">
        <v>1497171</v>
      </c>
      <c r="S2415" t="s">
        <v>9277</v>
      </c>
      <c r="T2415">
        <v>339</v>
      </c>
      <c r="U2415" t="s">
        <v>108</v>
      </c>
      <c r="V2415">
        <v>44</v>
      </c>
      <c r="W2415" t="str">
        <f>HYPERLINK("Gene1484-zp_tree_all.dnd", "Gene1484-tree")</f>
        <v>Gene1484-tree</v>
      </c>
      <c r="X2415">
        <v>7</v>
      </c>
      <c r="Y2415">
        <v>7</v>
      </c>
      <c r="Z2415">
        <v>7</v>
      </c>
      <c r="AA2415">
        <v>7</v>
      </c>
      <c r="AB2415">
        <v>0.5</v>
      </c>
      <c r="AC2415" t="s">
        <v>152</v>
      </c>
      <c r="AD2415" t="s">
        <v>152</v>
      </c>
      <c r="AE2415" t="s">
        <v>62</v>
      </c>
      <c r="AF2415" t="s">
        <v>62</v>
      </c>
      <c r="AG2415">
        <v>3</v>
      </c>
      <c r="AH2415">
        <v>6</v>
      </c>
      <c r="AI2415">
        <v>11</v>
      </c>
      <c r="AJ2415">
        <v>0.35293999999999998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2</v>
      </c>
      <c r="AQ2415">
        <v>0</v>
      </c>
      <c r="AR2415">
        <v>2</v>
      </c>
      <c r="AS2415">
        <v>8</v>
      </c>
      <c r="AT2415">
        <v>0.2</v>
      </c>
      <c r="AU2415">
        <v>10</v>
      </c>
      <c r="AV2415">
        <v>11</v>
      </c>
      <c r="AW2415">
        <v>30</v>
      </c>
      <c r="AX2415">
        <v>9</v>
      </c>
      <c r="AY2415">
        <v>19</v>
      </c>
      <c r="AZ2415">
        <v>8</v>
      </c>
      <c r="BA2415" t="s">
        <v>9278</v>
      </c>
      <c r="BB2415" t="s">
        <v>9279</v>
      </c>
      <c r="BC2415">
        <v>0.38100000000000001</v>
      </c>
      <c r="BD2415" t="s">
        <v>65</v>
      </c>
      <c r="BE2415">
        <v>49</v>
      </c>
      <c r="BF2415">
        <v>17</v>
      </c>
      <c r="BG2415" t="s">
        <v>9280</v>
      </c>
      <c r="BH2415" t="s">
        <v>9281</v>
      </c>
      <c r="BI2415" t="s">
        <v>9282</v>
      </c>
      <c r="BJ2415">
        <v>0.11002000000000001</v>
      </c>
      <c r="BK2415">
        <v>1</v>
      </c>
      <c r="BL2415" t="s">
        <v>69</v>
      </c>
      <c r="BM2415">
        <v>-1.268</v>
      </c>
      <c r="BN2415">
        <v>-2.5110000000000001</v>
      </c>
    </row>
    <row r="2416" spans="2:66">
      <c r="B2416">
        <v>4142</v>
      </c>
      <c r="C2416">
        <v>132</v>
      </c>
      <c r="D2416">
        <v>0</v>
      </c>
      <c r="E2416">
        <v>2</v>
      </c>
      <c r="F2416">
        <v>2</v>
      </c>
      <c r="J2416">
        <v>0</v>
      </c>
      <c r="K2416">
        <v>13</v>
      </c>
      <c r="L2416">
        <v>2</v>
      </c>
      <c r="M2416" t="s">
        <v>25022</v>
      </c>
      <c r="N2416">
        <v>1485</v>
      </c>
      <c r="O2416" t="s">
        <v>9283</v>
      </c>
      <c r="P2416" t="s">
        <v>57</v>
      </c>
      <c r="Q2416">
        <v>1497192</v>
      </c>
      <c r="R2416">
        <v>1498481</v>
      </c>
      <c r="S2416" t="s">
        <v>9284</v>
      </c>
      <c r="T2416">
        <v>430</v>
      </c>
      <c r="U2416" t="s">
        <v>108</v>
      </c>
      <c r="V2416">
        <v>44</v>
      </c>
      <c r="W2416" t="str">
        <f>HYPERLINK("Gene1485-zp_tree_all.dnd", "Gene1485-tree")</f>
        <v>Gene1485-tree</v>
      </c>
      <c r="X2416">
        <v>5</v>
      </c>
      <c r="Y2416">
        <v>10</v>
      </c>
      <c r="Z2416">
        <v>5</v>
      </c>
      <c r="AA2416">
        <v>10</v>
      </c>
      <c r="AB2416">
        <v>0.66666999999999998</v>
      </c>
      <c r="AC2416" t="s">
        <v>199</v>
      </c>
      <c r="AD2416" t="s">
        <v>117</v>
      </c>
      <c r="AE2416" t="s">
        <v>62</v>
      </c>
      <c r="AF2416" t="s">
        <v>62</v>
      </c>
      <c r="AG2416">
        <v>6</v>
      </c>
      <c r="AH2416">
        <v>15</v>
      </c>
      <c r="AI2416">
        <v>10</v>
      </c>
      <c r="AJ2416">
        <v>0.6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7</v>
      </c>
      <c r="AQ2416">
        <v>2</v>
      </c>
      <c r="AR2416">
        <v>9</v>
      </c>
      <c r="AS2416">
        <v>8</v>
      </c>
      <c r="AT2416">
        <v>0.52941000000000005</v>
      </c>
      <c r="AU2416">
        <v>14</v>
      </c>
      <c r="AV2416">
        <v>10</v>
      </c>
      <c r="AW2416">
        <v>42</v>
      </c>
      <c r="AX2416">
        <v>17</v>
      </c>
      <c r="AY2416">
        <v>18</v>
      </c>
      <c r="AZ2416">
        <v>11</v>
      </c>
      <c r="BA2416" t="s">
        <v>9285</v>
      </c>
      <c r="BB2416" t="s">
        <v>9286</v>
      </c>
      <c r="BC2416">
        <v>0.57899999999999996</v>
      </c>
      <c r="BD2416" t="s">
        <v>65</v>
      </c>
      <c r="BE2416">
        <v>60</v>
      </c>
      <c r="BF2416">
        <v>28</v>
      </c>
      <c r="BG2416" t="s">
        <v>9287</v>
      </c>
      <c r="BH2416" t="s">
        <v>9288</v>
      </c>
      <c r="BI2416" t="s">
        <v>9289</v>
      </c>
      <c r="BJ2416">
        <v>0.15187</v>
      </c>
      <c r="BK2416">
        <v>1</v>
      </c>
      <c r="BL2416" t="s">
        <v>69</v>
      </c>
      <c r="BM2416">
        <v>-1.0449999999999999</v>
      </c>
      <c r="BN2416">
        <v>-1.994</v>
      </c>
    </row>
    <row r="2417" spans="2:66">
      <c r="B2417">
        <v>4144</v>
      </c>
      <c r="C2417">
        <v>46</v>
      </c>
      <c r="D2417">
        <v>0</v>
      </c>
      <c r="E2417">
        <v>4</v>
      </c>
      <c r="F2417">
        <v>0</v>
      </c>
      <c r="J2417">
        <v>0</v>
      </c>
      <c r="K2417">
        <v>4</v>
      </c>
      <c r="L2417">
        <v>2</v>
      </c>
      <c r="M2417" t="s">
        <v>25022</v>
      </c>
      <c r="N2417">
        <v>1486</v>
      </c>
      <c r="O2417" t="s">
        <v>9290</v>
      </c>
      <c r="P2417" t="s">
        <v>57</v>
      </c>
      <c r="Q2417">
        <v>1498445</v>
      </c>
      <c r="R2417">
        <v>1498963</v>
      </c>
      <c r="S2417" t="s">
        <v>9291</v>
      </c>
      <c r="T2417">
        <v>173</v>
      </c>
      <c r="U2417" t="s">
        <v>108</v>
      </c>
      <c r="V2417">
        <v>44</v>
      </c>
      <c r="W2417" t="str">
        <f>HYPERLINK("Gene1486-zp_tree_all.dnd", "Gene1486-tree")</f>
        <v>Gene1486-tree</v>
      </c>
      <c r="X2417">
        <v>24</v>
      </c>
      <c r="Y2417">
        <v>8</v>
      </c>
      <c r="Z2417">
        <v>4</v>
      </c>
      <c r="AA2417">
        <v>8</v>
      </c>
      <c r="AB2417">
        <v>0.66666999999999998</v>
      </c>
      <c r="AC2417" t="s">
        <v>1495</v>
      </c>
      <c r="AD2417" t="s">
        <v>136</v>
      </c>
      <c r="AE2417" t="s">
        <v>62</v>
      </c>
      <c r="AF2417" t="s">
        <v>62</v>
      </c>
      <c r="AG2417">
        <v>3</v>
      </c>
      <c r="AH2417">
        <v>6</v>
      </c>
      <c r="AI2417">
        <v>7</v>
      </c>
      <c r="AJ2417">
        <v>0.46154000000000001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4</v>
      </c>
      <c r="AQ2417">
        <v>0</v>
      </c>
      <c r="AR2417">
        <v>4</v>
      </c>
      <c r="AS2417">
        <v>6</v>
      </c>
      <c r="AT2417">
        <v>0.4</v>
      </c>
      <c r="AU2417">
        <v>8</v>
      </c>
      <c r="AV2417">
        <v>5</v>
      </c>
      <c r="AW2417">
        <v>10</v>
      </c>
      <c r="AX2417">
        <v>7</v>
      </c>
      <c r="AY2417">
        <v>1</v>
      </c>
      <c r="AZ2417">
        <v>6</v>
      </c>
      <c r="BA2417" t="s">
        <v>9292</v>
      </c>
      <c r="BB2417" t="s">
        <v>9293</v>
      </c>
      <c r="BC2417">
        <v>0.45</v>
      </c>
      <c r="BD2417" t="s">
        <v>65</v>
      </c>
      <c r="BE2417">
        <v>11</v>
      </c>
      <c r="BF2417">
        <v>13</v>
      </c>
      <c r="BG2417" t="s">
        <v>9294</v>
      </c>
      <c r="BH2417" t="s">
        <v>9295</v>
      </c>
      <c r="BI2417" t="s">
        <v>9296</v>
      </c>
      <c r="BJ2417">
        <v>0.44880999999999999</v>
      </c>
      <c r="BK2417">
        <v>0.74</v>
      </c>
      <c r="BL2417" t="s">
        <v>635</v>
      </c>
      <c r="BM2417">
        <v>-1.1850000000000001</v>
      </c>
      <c r="BN2417">
        <v>-1.1719999999999999</v>
      </c>
    </row>
    <row r="2418" spans="2:66">
      <c r="B2418">
        <v>4145</v>
      </c>
      <c r="C2418">
        <v>216</v>
      </c>
      <c r="D2418">
        <v>0</v>
      </c>
      <c r="E2418">
        <v>5</v>
      </c>
      <c r="F2418">
        <v>0</v>
      </c>
      <c r="J2418">
        <v>0</v>
      </c>
      <c r="K2418">
        <v>0</v>
      </c>
      <c r="L2418">
        <v>0</v>
      </c>
      <c r="M2418" t="s">
        <v>25022</v>
      </c>
      <c r="N2418">
        <v>1487</v>
      </c>
      <c r="O2418" t="s">
        <v>9297</v>
      </c>
      <c r="P2418" t="s">
        <v>57</v>
      </c>
      <c r="Q2418">
        <v>1498966</v>
      </c>
      <c r="R2418">
        <v>1499436</v>
      </c>
      <c r="S2418" t="s">
        <v>9298</v>
      </c>
      <c r="T2418">
        <v>157</v>
      </c>
      <c r="U2418" t="s">
        <v>160</v>
      </c>
      <c r="V2418">
        <v>45</v>
      </c>
      <c r="W2418" t="str">
        <f>HYPERLINK("Gene1487-zp_tree_all.dnd", "Gene1487-tree")</f>
        <v>Gene1487-tree</v>
      </c>
      <c r="X2418">
        <v>8</v>
      </c>
      <c r="Y2418">
        <v>5</v>
      </c>
      <c r="Z2418">
        <v>8</v>
      </c>
      <c r="AA2418">
        <v>5</v>
      </c>
      <c r="AB2418">
        <v>0.38462000000000002</v>
      </c>
      <c r="AC2418" t="s">
        <v>136</v>
      </c>
      <c r="AD2418" t="s">
        <v>199</v>
      </c>
      <c r="AE2418" t="s">
        <v>62</v>
      </c>
      <c r="AF2418" t="s">
        <v>62</v>
      </c>
      <c r="AG2418">
        <v>0</v>
      </c>
      <c r="AH2418">
        <v>0</v>
      </c>
      <c r="AI2418">
        <v>9</v>
      </c>
      <c r="AJ2418">
        <v>0</v>
      </c>
      <c r="AK2418">
        <v>0</v>
      </c>
      <c r="AL2418">
        <v>0</v>
      </c>
      <c r="AM2418">
        <v>0</v>
      </c>
      <c r="AN2418">
        <v>2</v>
      </c>
      <c r="AO2418">
        <v>0</v>
      </c>
      <c r="AP2418">
        <v>0</v>
      </c>
      <c r="AQ2418">
        <v>0</v>
      </c>
      <c r="AR2418">
        <v>0</v>
      </c>
      <c r="AS2418">
        <v>7</v>
      </c>
      <c r="AT2418">
        <v>0</v>
      </c>
      <c r="AU2418">
        <v>10</v>
      </c>
      <c r="AV2418">
        <v>5</v>
      </c>
      <c r="AW2418">
        <v>25</v>
      </c>
      <c r="AX2418">
        <v>7</v>
      </c>
      <c r="AY2418">
        <v>4</v>
      </c>
      <c r="AZ2418">
        <v>2</v>
      </c>
      <c r="BA2418" t="s">
        <v>9299</v>
      </c>
      <c r="BB2418" t="s">
        <v>9300</v>
      </c>
      <c r="BC2418">
        <v>0.42499999999999999</v>
      </c>
      <c r="BD2418" t="s">
        <v>65</v>
      </c>
      <c r="BE2418">
        <v>29</v>
      </c>
      <c r="BF2418">
        <v>9</v>
      </c>
      <c r="BG2418" t="s">
        <v>9301</v>
      </c>
      <c r="BH2418" t="s">
        <v>9302</v>
      </c>
      <c r="BI2418" t="s">
        <v>178</v>
      </c>
      <c r="BJ2418">
        <v>8.7470000000000006E-2</v>
      </c>
      <c r="BK2418">
        <v>1</v>
      </c>
      <c r="BL2418" t="s">
        <v>69</v>
      </c>
      <c r="BM2418">
        <v>-1.8180000000000001</v>
      </c>
      <c r="BN2418">
        <v>-3.891</v>
      </c>
    </row>
    <row r="2419" spans="2:66">
      <c r="B2419">
        <v>4146</v>
      </c>
      <c r="C2419">
        <v>104</v>
      </c>
      <c r="D2419">
        <v>0</v>
      </c>
      <c r="E2419">
        <v>25</v>
      </c>
      <c r="F2419">
        <v>0</v>
      </c>
      <c r="J2419">
        <v>0</v>
      </c>
      <c r="K2419">
        <v>0</v>
      </c>
      <c r="L2419">
        <v>0</v>
      </c>
      <c r="M2419" t="s">
        <v>25022</v>
      </c>
      <c r="N2419">
        <v>1488</v>
      </c>
      <c r="O2419" t="s">
        <v>9303</v>
      </c>
      <c r="P2419" t="s">
        <v>57</v>
      </c>
      <c r="Q2419">
        <v>1499432</v>
      </c>
      <c r="R2419">
        <v>1499662</v>
      </c>
      <c r="S2419" t="s">
        <v>9304</v>
      </c>
      <c r="T2419">
        <v>77</v>
      </c>
      <c r="U2419" t="s">
        <v>108</v>
      </c>
      <c r="V2419">
        <v>44</v>
      </c>
      <c r="W2419" t="str">
        <f>HYPERLINK("Gene1488-zp_tree_all.dnd", "Gene1488-tree")</f>
        <v>Gene1488-tree</v>
      </c>
      <c r="X2419">
        <v>25</v>
      </c>
      <c r="Y2419">
        <v>0</v>
      </c>
      <c r="Z2419">
        <v>5</v>
      </c>
      <c r="AA2419">
        <v>0</v>
      </c>
      <c r="AB2419">
        <v>0</v>
      </c>
      <c r="AC2419" t="s">
        <v>4839</v>
      </c>
      <c r="AD2419" t="s">
        <v>62</v>
      </c>
      <c r="AE2419" t="s">
        <v>62</v>
      </c>
      <c r="AF2419" t="s">
        <v>62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</v>
      </c>
      <c r="AV2419">
        <v>2</v>
      </c>
      <c r="AW2419">
        <v>3</v>
      </c>
      <c r="AX2419">
        <v>0</v>
      </c>
      <c r="AY2419">
        <v>3</v>
      </c>
      <c r="AZ2419">
        <v>1</v>
      </c>
      <c r="BA2419" t="s">
        <v>193</v>
      </c>
      <c r="BB2419" t="s">
        <v>9305</v>
      </c>
      <c r="BC2419">
        <v>1.268</v>
      </c>
      <c r="BD2419" t="s">
        <v>65</v>
      </c>
      <c r="BE2419">
        <v>6</v>
      </c>
      <c r="BF2419">
        <v>1</v>
      </c>
      <c r="BG2419" t="s">
        <v>9306</v>
      </c>
      <c r="BH2419" t="s">
        <v>9307</v>
      </c>
      <c r="BI2419" t="s">
        <v>9308</v>
      </c>
      <c r="BJ2419">
        <v>6.8459999999999993E-2</v>
      </c>
      <c r="BK2419">
        <v>0.98799999999999999</v>
      </c>
      <c r="BL2419" t="s">
        <v>69</v>
      </c>
      <c r="BM2419">
        <v>0.87</v>
      </c>
      <c r="BN2419">
        <v>1.1850000000000001</v>
      </c>
    </row>
    <row r="2420" spans="2:66">
      <c r="B2420">
        <v>4147</v>
      </c>
      <c r="C2420">
        <v>241</v>
      </c>
      <c r="D2420">
        <v>0</v>
      </c>
      <c r="E2420">
        <v>3</v>
      </c>
      <c r="F2420">
        <v>0</v>
      </c>
      <c r="J2420">
        <v>0</v>
      </c>
      <c r="K2420">
        <v>9</v>
      </c>
      <c r="L2420">
        <v>3</v>
      </c>
      <c r="M2420" t="s">
        <v>25022</v>
      </c>
      <c r="N2420">
        <v>1489</v>
      </c>
      <c r="O2420" t="s">
        <v>9309</v>
      </c>
      <c r="P2420" t="s">
        <v>57</v>
      </c>
      <c r="Q2420">
        <v>1499889</v>
      </c>
      <c r="R2420">
        <v>1501643</v>
      </c>
      <c r="S2420" t="s">
        <v>5350</v>
      </c>
      <c r="T2420">
        <v>585</v>
      </c>
      <c r="U2420" t="s">
        <v>108</v>
      </c>
      <c r="V2420">
        <v>44</v>
      </c>
      <c r="W2420" t="str">
        <f>HYPERLINK("Gene1489-zp_tree_all.dnd", "Gene1489-tree")</f>
        <v>Gene1489-tree</v>
      </c>
      <c r="X2420">
        <v>0</v>
      </c>
      <c r="Y2420">
        <v>17</v>
      </c>
      <c r="Z2420">
        <v>0</v>
      </c>
      <c r="AA2420">
        <v>17</v>
      </c>
      <c r="AB2420">
        <v>1</v>
      </c>
      <c r="AC2420" t="s">
        <v>62</v>
      </c>
      <c r="AD2420" t="s">
        <v>266</v>
      </c>
      <c r="AE2420">
        <v>69600344.844999999</v>
      </c>
      <c r="AF2420" t="s">
        <v>65</v>
      </c>
      <c r="AG2420">
        <v>4</v>
      </c>
      <c r="AH2420">
        <v>12</v>
      </c>
      <c r="AI2420">
        <v>23</v>
      </c>
      <c r="AJ2420">
        <v>0.34286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8</v>
      </c>
      <c r="AQ2420">
        <v>3</v>
      </c>
      <c r="AR2420">
        <v>11</v>
      </c>
      <c r="AS2420">
        <v>21</v>
      </c>
      <c r="AT2420">
        <v>0.34375</v>
      </c>
      <c r="AU2420">
        <v>14</v>
      </c>
      <c r="AV2420">
        <v>13</v>
      </c>
      <c r="AW2420">
        <v>33</v>
      </c>
      <c r="AX2420">
        <v>26</v>
      </c>
      <c r="AY2420">
        <v>40</v>
      </c>
      <c r="AZ2420">
        <v>9</v>
      </c>
      <c r="BA2420" t="s">
        <v>9310</v>
      </c>
      <c r="BB2420" t="s">
        <v>9311</v>
      </c>
      <c r="BC2420">
        <v>1.964</v>
      </c>
      <c r="BD2420" t="s">
        <v>267</v>
      </c>
      <c r="BE2420">
        <v>73</v>
      </c>
      <c r="BF2420">
        <v>35</v>
      </c>
      <c r="BG2420" t="s">
        <v>9312</v>
      </c>
      <c r="BH2420" t="s">
        <v>9313</v>
      </c>
      <c r="BI2420" t="s">
        <v>9314</v>
      </c>
      <c r="BJ2420">
        <v>0.11641</v>
      </c>
      <c r="BK2420">
        <v>1</v>
      </c>
      <c r="BL2420" t="s">
        <v>69</v>
      </c>
      <c r="BM2420">
        <v>-0.77400000000000002</v>
      </c>
      <c r="BN2420">
        <v>-1.413</v>
      </c>
    </row>
    <row r="2421" spans="2:66">
      <c r="B2421">
        <v>4148</v>
      </c>
      <c r="C2421">
        <v>61</v>
      </c>
      <c r="D2421">
        <v>0</v>
      </c>
      <c r="E2421">
        <v>22</v>
      </c>
      <c r="F2421">
        <v>2</v>
      </c>
      <c r="J2421">
        <v>0</v>
      </c>
      <c r="K2421">
        <v>6</v>
      </c>
      <c r="L2421">
        <v>2</v>
      </c>
      <c r="M2421" t="s">
        <v>25022</v>
      </c>
      <c r="N2421">
        <v>1490</v>
      </c>
      <c r="O2421" t="s">
        <v>9315</v>
      </c>
      <c r="P2421" t="s">
        <v>57</v>
      </c>
      <c r="Q2421">
        <v>1501658</v>
      </c>
      <c r="R2421">
        <v>1503469</v>
      </c>
      <c r="S2421" t="s">
        <v>5350</v>
      </c>
      <c r="T2421">
        <v>604</v>
      </c>
      <c r="U2421" t="s">
        <v>108</v>
      </c>
      <c r="V2421">
        <v>44</v>
      </c>
      <c r="W2421" t="str">
        <f>HYPERLINK("Gene1490-zp_tree_all.dnd", "Gene1490-tree")</f>
        <v>Gene1490-tree</v>
      </c>
      <c r="X2421">
        <v>5</v>
      </c>
      <c r="Y2421">
        <v>9</v>
      </c>
      <c r="Z2421">
        <v>5</v>
      </c>
      <c r="AA2421">
        <v>9</v>
      </c>
      <c r="AB2421">
        <v>0.64285999999999999</v>
      </c>
      <c r="AC2421" t="s">
        <v>199</v>
      </c>
      <c r="AD2421" t="s">
        <v>135</v>
      </c>
      <c r="AE2421" t="s">
        <v>62</v>
      </c>
      <c r="AF2421" t="s">
        <v>62</v>
      </c>
      <c r="AG2421">
        <v>4</v>
      </c>
      <c r="AH2421">
        <v>8</v>
      </c>
      <c r="AI2421">
        <v>21</v>
      </c>
      <c r="AJ2421">
        <v>0.27585999999999999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4</v>
      </c>
      <c r="AQ2421">
        <v>0</v>
      </c>
      <c r="AR2421">
        <v>4</v>
      </c>
      <c r="AS2421">
        <v>20</v>
      </c>
      <c r="AT2421">
        <v>0.16667000000000001</v>
      </c>
      <c r="AU2421">
        <v>12</v>
      </c>
      <c r="AV2421">
        <v>11</v>
      </c>
      <c r="AW2421">
        <v>71</v>
      </c>
      <c r="AX2421">
        <v>23</v>
      </c>
      <c r="AY2421">
        <v>18</v>
      </c>
      <c r="AZ2421">
        <v>6</v>
      </c>
      <c r="BA2421" t="s">
        <v>9316</v>
      </c>
      <c r="BB2421" t="s">
        <v>9317</v>
      </c>
      <c r="BC2421">
        <v>4.8000000000000001E-2</v>
      </c>
      <c r="BD2421" t="s">
        <v>65</v>
      </c>
      <c r="BE2421">
        <v>89</v>
      </c>
      <c r="BF2421">
        <v>29</v>
      </c>
      <c r="BG2421" t="s">
        <v>9318</v>
      </c>
      <c r="BH2421" t="s">
        <v>9319</v>
      </c>
      <c r="BI2421" t="s">
        <v>9320</v>
      </c>
      <c r="BJ2421">
        <v>0.10215</v>
      </c>
      <c r="BK2421">
        <v>1</v>
      </c>
      <c r="BL2421" t="s">
        <v>69</v>
      </c>
      <c r="BM2421">
        <v>-0.96899999999999997</v>
      </c>
      <c r="BN2421">
        <v>-1.875</v>
      </c>
    </row>
    <row r="2422" spans="2:66">
      <c r="B2422">
        <v>4149</v>
      </c>
      <c r="C2422">
        <v>341</v>
      </c>
      <c r="D2422">
        <v>0</v>
      </c>
      <c r="E2422">
        <v>3</v>
      </c>
      <c r="F2422">
        <v>0</v>
      </c>
      <c r="J2422">
        <v>0</v>
      </c>
      <c r="K2422">
        <v>2</v>
      </c>
      <c r="L2422">
        <v>2</v>
      </c>
      <c r="M2422" t="s">
        <v>25022</v>
      </c>
      <c r="N2422">
        <v>1491</v>
      </c>
      <c r="O2422" t="s">
        <v>9321</v>
      </c>
      <c r="P2422" t="s">
        <v>57</v>
      </c>
      <c r="Q2422">
        <v>1503582</v>
      </c>
      <c r="R2422">
        <v>1504274</v>
      </c>
      <c r="S2422" t="s">
        <v>9322</v>
      </c>
      <c r="T2422">
        <v>231</v>
      </c>
      <c r="U2422" t="s">
        <v>108</v>
      </c>
      <c r="V2422">
        <v>44</v>
      </c>
      <c r="W2422" t="str">
        <f>HYPERLINK("Gene1491-zp_tree_all.dnd", "Gene1491-tree")</f>
        <v>Gene1491-tree</v>
      </c>
      <c r="X2422">
        <v>5</v>
      </c>
      <c r="Y2422">
        <v>5</v>
      </c>
      <c r="Z2422">
        <v>5</v>
      </c>
      <c r="AA2422">
        <v>5</v>
      </c>
      <c r="AB2422">
        <v>0.5</v>
      </c>
      <c r="AC2422" t="s">
        <v>199</v>
      </c>
      <c r="AD2422" t="s">
        <v>199</v>
      </c>
      <c r="AE2422" t="s">
        <v>62</v>
      </c>
      <c r="AF2422" t="s">
        <v>62</v>
      </c>
      <c r="AG2422">
        <v>2</v>
      </c>
      <c r="AH2422">
        <v>4</v>
      </c>
      <c r="AI2422">
        <v>7</v>
      </c>
      <c r="AJ2422">
        <v>0.36364000000000002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2</v>
      </c>
      <c r="AQ2422">
        <v>0</v>
      </c>
      <c r="AR2422">
        <v>2</v>
      </c>
      <c r="AS2422">
        <v>7</v>
      </c>
      <c r="AT2422">
        <v>0.22222</v>
      </c>
      <c r="AU2422">
        <v>7</v>
      </c>
      <c r="AV2422">
        <v>4</v>
      </c>
      <c r="AW2422">
        <v>25</v>
      </c>
      <c r="AX2422">
        <v>10</v>
      </c>
      <c r="AY2422">
        <v>9</v>
      </c>
      <c r="AZ2422">
        <v>2</v>
      </c>
      <c r="BA2422" t="s">
        <v>9323</v>
      </c>
      <c r="BB2422" t="s">
        <v>9324</v>
      </c>
      <c r="BC2422">
        <v>0.38</v>
      </c>
      <c r="BD2422" t="s">
        <v>65</v>
      </c>
      <c r="BE2422">
        <v>34</v>
      </c>
      <c r="BF2422">
        <v>12</v>
      </c>
      <c r="BG2422" t="s">
        <v>9325</v>
      </c>
      <c r="BH2422" t="s">
        <v>9326</v>
      </c>
      <c r="BI2422" t="s">
        <v>9327</v>
      </c>
      <c r="BJ2422">
        <v>0.10299999999999999</v>
      </c>
      <c r="BK2422">
        <v>1</v>
      </c>
      <c r="BL2422" t="s">
        <v>69</v>
      </c>
      <c r="BM2422">
        <v>-0.995</v>
      </c>
      <c r="BN2422">
        <v>-2.1080000000000001</v>
      </c>
    </row>
    <row r="2423" spans="2:66">
      <c r="B2423">
        <v>4150</v>
      </c>
      <c r="C2423">
        <v>42</v>
      </c>
      <c r="D2423">
        <v>0</v>
      </c>
      <c r="E2423">
        <v>11</v>
      </c>
      <c r="F2423">
        <v>0</v>
      </c>
      <c r="J2423">
        <v>0</v>
      </c>
      <c r="K2423">
        <v>2</v>
      </c>
      <c r="L2423">
        <v>2</v>
      </c>
      <c r="M2423" t="s">
        <v>25022</v>
      </c>
      <c r="N2423">
        <v>1492</v>
      </c>
      <c r="O2423" t="s">
        <v>9328</v>
      </c>
      <c r="P2423" t="s">
        <v>57</v>
      </c>
      <c r="Q2423">
        <v>1504282</v>
      </c>
      <c r="R2423">
        <v>1505412</v>
      </c>
      <c r="S2423" t="s">
        <v>9329</v>
      </c>
      <c r="T2423">
        <v>377</v>
      </c>
      <c r="U2423" t="s">
        <v>108</v>
      </c>
      <c r="V2423">
        <v>44</v>
      </c>
      <c r="W2423" t="str">
        <f>HYPERLINK("Gene1492-zp_tree_all.dnd", "Gene1492-tree")</f>
        <v>Gene1492-tree</v>
      </c>
      <c r="X2423">
        <v>5</v>
      </c>
      <c r="Y2423">
        <v>8</v>
      </c>
      <c r="Z2423">
        <v>5</v>
      </c>
      <c r="AA2423">
        <v>8</v>
      </c>
      <c r="AB2423">
        <v>0.61538000000000004</v>
      </c>
      <c r="AC2423" t="s">
        <v>199</v>
      </c>
      <c r="AD2423" t="s">
        <v>136</v>
      </c>
      <c r="AE2423" t="s">
        <v>62</v>
      </c>
      <c r="AF2423" t="s">
        <v>62</v>
      </c>
      <c r="AG2423">
        <v>2</v>
      </c>
      <c r="AH2423">
        <v>4</v>
      </c>
      <c r="AI2423">
        <v>10</v>
      </c>
      <c r="AJ2423">
        <v>0.28571000000000002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11</v>
      </c>
      <c r="AT2423">
        <v>0</v>
      </c>
      <c r="AU2423">
        <v>10</v>
      </c>
      <c r="AV2423">
        <v>9</v>
      </c>
      <c r="AW2423">
        <v>14</v>
      </c>
      <c r="AX2423">
        <v>11</v>
      </c>
      <c r="AY2423">
        <v>17</v>
      </c>
      <c r="AZ2423">
        <v>5</v>
      </c>
      <c r="BA2423" t="s">
        <v>9330</v>
      </c>
      <c r="BB2423" t="s">
        <v>9331</v>
      </c>
      <c r="BC2423">
        <v>1.1060000000000001</v>
      </c>
      <c r="BD2423" t="s">
        <v>65</v>
      </c>
      <c r="BE2423">
        <v>31</v>
      </c>
      <c r="BF2423">
        <v>16</v>
      </c>
      <c r="BG2423" t="s">
        <v>9332</v>
      </c>
      <c r="BH2423" t="s">
        <v>9333</v>
      </c>
      <c r="BI2423" t="s">
        <v>9334</v>
      </c>
      <c r="BJ2423">
        <v>0.12998000000000001</v>
      </c>
      <c r="BK2423">
        <v>1</v>
      </c>
      <c r="BL2423" t="s">
        <v>69</v>
      </c>
      <c r="BM2423">
        <v>-0.33400000000000002</v>
      </c>
      <c r="BN2423">
        <v>-0.57899999999999996</v>
      </c>
    </row>
    <row r="2424" spans="2:66">
      <c r="B2424">
        <v>4151</v>
      </c>
      <c r="C2424">
        <v>56</v>
      </c>
      <c r="D2424">
        <v>0</v>
      </c>
      <c r="E2424">
        <v>0</v>
      </c>
      <c r="F2424">
        <v>2</v>
      </c>
      <c r="J2424">
        <v>0</v>
      </c>
      <c r="K2424">
        <v>6</v>
      </c>
      <c r="L2424">
        <v>0</v>
      </c>
      <c r="M2424" t="s">
        <v>25022</v>
      </c>
      <c r="N2424">
        <v>1493</v>
      </c>
      <c r="O2424" t="s">
        <v>9335</v>
      </c>
      <c r="P2424" t="s">
        <v>57</v>
      </c>
      <c r="Q2424">
        <v>1505416</v>
      </c>
      <c r="R2424">
        <v>1506105</v>
      </c>
      <c r="S2424" t="s">
        <v>9336</v>
      </c>
      <c r="T2424">
        <v>230</v>
      </c>
      <c r="U2424" t="s">
        <v>125</v>
      </c>
      <c r="V2424">
        <v>48</v>
      </c>
      <c r="W2424" t="str">
        <f>HYPERLINK("Gene1493-zp_tree_all.dnd", "Gene1493-tree")</f>
        <v>Gene1493-tree</v>
      </c>
      <c r="X2424">
        <v>14</v>
      </c>
      <c r="Y2424">
        <v>4</v>
      </c>
      <c r="Z2424">
        <v>14</v>
      </c>
      <c r="AA2424">
        <v>4</v>
      </c>
      <c r="AB2424">
        <v>0.22222</v>
      </c>
      <c r="AC2424" t="s">
        <v>543</v>
      </c>
      <c r="AD2424" t="s">
        <v>61</v>
      </c>
      <c r="AE2424" t="s">
        <v>62</v>
      </c>
      <c r="AF2424" t="s">
        <v>62</v>
      </c>
      <c r="AG2424">
        <v>3</v>
      </c>
      <c r="AH2424">
        <v>6</v>
      </c>
      <c r="AI2424">
        <v>9</v>
      </c>
      <c r="AJ2424">
        <v>0.4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2</v>
      </c>
      <c r="AQ2424">
        <v>0</v>
      </c>
      <c r="AR2424">
        <v>2</v>
      </c>
      <c r="AS2424">
        <v>4</v>
      </c>
      <c r="AT2424">
        <v>0.33333000000000002</v>
      </c>
      <c r="AU2424">
        <v>13</v>
      </c>
      <c r="AV2424">
        <v>10</v>
      </c>
      <c r="AW2424">
        <v>23</v>
      </c>
      <c r="AX2424">
        <v>6</v>
      </c>
      <c r="AY2424">
        <v>42</v>
      </c>
      <c r="AZ2424">
        <v>9</v>
      </c>
      <c r="BA2424" t="s">
        <v>9337</v>
      </c>
      <c r="BB2424" t="s">
        <v>9338</v>
      </c>
      <c r="BC2424">
        <v>0.182</v>
      </c>
      <c r="BD2424" t="s">
        <v>65</v>
      </c>
      <c r="BE2424">
        <v>65</v>
      </c>
      <c r="BF2424">
        <v>15</v>
      </c>
      <c r="BG2424" t="s">
        <v>9339</v>
      </c>
      <c r="BH2424" t="s">
        <v>9340</v>
      </c>
      <c r="BI2424" t="s">
        <v>9341</v>
      </c>
      <c r="BJ2424">
        <v>5.364E-2</v>
      </c>
      <c r="BK2424">
        <v>1</v>
      </c>
      <c r="BL2424" t="s">
        <v>69</v>
      </c>
      <c r="BM2424">
        <v>-1.446</v>
      </c>
      <c r="BN2424">
        <v>-0.41099999999999998</v>
      </c>
    </row>
    <row r="2425" spans="2:66">
      <c r="B2425">
        <v>4152</v>
      </c>
      <c r="C2425">
        <v>4</v>
      </c>
      <c r="D2425">
        <v>0</v>
      </c>
      <c r="E2425">
        <v>14</v>
      </c>
      <c r="F2425">
        <v>0</v>
      </c>
      <c r="J2425">
        <v>0</v>
      </c>
      <c r="K2425">
        <v>14</v>
      </c>
      <c r="L2425">
        <v>0</v>
      </c>
      <c r="M2425" t="s">
        <v>25022</v>
      </c>
      <c r="N2425">
        <v>1494</v>
      </c>
      <c r="O2425" t="s">
        <v>9342</v>
      </c>
      <c r="P2425" t="s">
        <v>57</v>
      </c>
      <c r="Q2425">
        <v>1506105</v>
      </c>
      <c r="R2425">
        <v>1507295</v>
      </c>
      <c r="S2425" t="s">
        <v>9343</v>
      </c>
      <c r="T2425">
        <v>397</v>
      </c>
      <c r="U2425" t="s">
        <v>108</v>
      </c>
      <c r="V2425">
        <v>44</v>
      </c>
      <c r="W2425" t="str">
        <f>HYPERLINK("Gene1494-zp_tree_all.dnd", "Gene1494-tree")</f>
        <v>Gene1494-tree</v>
      </c>
      <c r="X2425">
        <v>26</v>
      </c>
      <c r="Y2425">
        <v>7</v>
      </c>
      <c r="Z2425">
        <v>7</v>
      </c>
      <c r="AA2425">
        <v>7</v>
      </c>
      <c r="AB2425">
        <v>0.5</v>
      </c>
      <c r="AC2425" t="s">
        <v>191</v>
      </c>
      <c r="AD2425" t="s">
        <v>152</v>
      </c>
      <c r="AE2425" t="s">
        <v>62</v>
      </c>
      <c r="AF2425" t="s">
        <v>62</v>
      </c>
      <c r="AG2425">
        <v>6</v>
      </c>
      <c r="AH2425">
        <v>14</v>
      </c>
      <c r="AI2425">
        <v>7</v>
      </c>
      <c r="AJ2425">
        <v>0.66666999999999998</v>
      </c>
      <c r="AK2425">
        <v>0</v>
      </c>
      <c r="AL2425">
        <v>0</v>
      </c>
      <c r="AM2425">
        <v>0</v>
      </c>
      <c r="AN2425">
        <v>5</v>
      </c>
      <c r="AO2425">
        <v>0</v>
      </c>
      <c r="AP2425">
        <v>2</v>
      </c>
      <c r="AQ2425">
        <v>2</v>
      </c>
      <c r="AR2425">
        <v>4</v>
      </c>
      <c r="AS2425">
        <v>7</v>
      </c>
      <c r="AT2425">
        <v>0.36364000000000002</v>
      </c>
      <c r="AU2425">
        <v>11</v>
      </c>
      <c r="AV2425">
        <v>11</v>
      </c>
      <c r="AW2425">
        <v>40</v>
      </c>
      <c r="AX2425">
        <v>11</v>
      </c>
      <c r="AY2425">
        <v>30</v>
      </c>
      <c r="AZ2425">
        <v>10</v>
      </c>
      <c r="BA2425" t="s">
        <v>9344</v>
      </c>
      <c r="BB2425" t="s">
        <v>9345</v>
      </c>
      <c r="BC2425">
        <v>0.18099999999999999</v>
      </c>
      <c r="BD2425" t="s">
        <v>65</v>
      </c>
      <c r="BE2425">
        <v>70</v>
      </c>
      <c r="BF2425">
        <v>21</v>
      </c>
      <c r="BG2425" t="s">
        <v>9346</v>
      </c>
      <c r="BH2425" t="s">
        <v>9347</v>
      </c>
      <c r="BI2425" t="s">
        <v>9348</v>
      </c>
      <c r="BJ2425">
        <v>7.5899999999999995E-2</v>
      </c>
      <c r="BK2425">
        <v>1</v>
      </c>
      <c r="BL2425" t="s">
        <v>69</v>
      </c>
      <c r="BM2425">
        <v>0.995</v>
      </c>
      <c r="BN2425">
        <v>-0.54400000000000004</v>
      </c>
    </row>
    <row r="2426" spans="2:66">
      <c r="B2426">
        <v>4153</v>
      </c>
      <c r="C2426">
        <v>100</v>
      </c>
      <c r="D2426">
        <v>0</v>
      </c>
      <c r="E2426">
        <v>17</v>
      </c>
      <c r="F2426">
        <v>1</v>
      </c>
      <c r="J2426">
        <v>0</v>
      </c>
      <c r="K2426">
        <v>0</v>
      </c>
      <c r="L2426">
        <v>2</v>
      </c>
      <c r="M2426" t="s">
        <v>25022</v>
      </c>
      <c r="N2426">
        <v>1495</v>
      </c>
      <c r="O2426" t="s">
        <v>9349</v>
      </c>
      <c r="P2426" t="s">
        <v>57</v>
      </c>
      <c r="Q2426">
        <v>1507578</v>
      </c>
      <c r="R2426">
        <v>1508330</v>
      </c>
      <c r="S2426" t="s">
        <v>9350</v>
      </c>
      <c r="T2426">
        <v>251</v>
      </c>
      <c r="U2426" t="s">
        <v>59</v>
      </c>
      <c r="V2426">
        <v>49</v>
      </c>
      <c r="W2426" t="str">
        <f>HYPERLINK("Gene1495-zp_tree_all.dnd", "Gene1495-tree")</f>
        <v>Gene1495-tree</v>
      </c>
      <c r="X2426">
        <v>13</v>
      </c>
      <c r="Y2426">
        <v>4</v>
      </c>
      <c r="Z2426">
        <v>13</v>
      </c>
      <c r="AA2426">
        <v>4</v>
      </c>
      <c r="AB2426">
        <v>0.23529</v>
      </c>
      <c r="AC2426" t="s">
        <v>507</v>
      </c>
      <c r="AD2426" t="s">
        <v>61</v>
      </c>
      <c r="AE2426" t="s">
        <v>62</v>
      </c>
      <c r="AF2426" t="s">
        <v>62</v>
      </c>
      <c r="AG2426">
        <v>1</v>
      </c>
      <c r="AH2426">
        <v>2</v>
      </c>
      <c r="AI2426">
        <v>8</v>
      </c>
      <c r="AJ2426">
        <v>0.2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5</v>
      </c>
      <c r="AT2426">
        <v>0</v>
      </c>
      <c r="AU2426">
        <v>13</v>
      </c>
      <c r="AV2426">
        <v>9</v>
      </c>
      <c r="AW2426">
        <v>24</v>
      </c>
      <c r="AX2426">
        <v>5</v>
      </c>
      <c r="AY2426">
        <v>28</v>
      </c>
      <c r="AZ2426">
        <v>5</v>
      </c>
      <c r="BA2426" t="s">
        <v>9351</v>
      </c>
      <c r="BB2426" t="s">
        <v>9352</v>
      </c>
      <c r="BC2426">
        <v>5.5E-2</v>
      </c>
      <c r="BD2426" t="s">
        <v>65</v>
      </c>
      <c r="BE2426">
        <v>52</v>
      </c>
      <c r="BF2426">
        <v>10</v>
      </c>
      <c r="BG2426" t="s">
        <v>9353</v>
      </c>
      <c r="BH2426" t="s">
        <v>9354</v>
      </c>
      <c r="BI2426" t="s">
        <v>9355</v>
      </c>
      <c r="BJ2426">
        <v>6.2379999999999998E-2</v>
      </c>
      <c r="BK2426">
        <v>1</v>
      </c>
      <c r="BL2426" t="s">
        <v>69</v>
      </c>
      <c r="BM2426">
        <v>-0.65500000000000003</v>
      </c>
      <c r="BN2426">
        <v>-0.48799999999999999</v>
      </c>
    </row>
    <row r="2427" spans="2:66">
      <c r="B2427">
        <v>4154</v>
      </c>
      <c r="C2427">
        <v>3</v>
      </c>
      <c r="D2427">
        <v>0</v>
      </c>
      <c r="E2427">
        <v>2</v>
      </c>
      <c r="F2427">
        <v>0</v>
      </c>
      <c r="J2427">
        <v>0</v>
      </c>
      <c r="K2427">
        <v>0</v>
      </c>
      <c r="L2427">
        <v>3</v>
      </c>
      <c r="M2427" t="s">
        <v>25022</v>
      </c>
      <c r="N2427">
        <v>1496</v>
      </c>
      <c r="O2427" t="s">
        <v>9356</v>
      </c>
      <c r="P2427" t="s">
        <v>57</v>
      </c>
      <c r="Q2427">
        <v>1508330</v>
      </c>
      <c r="R2427">
        <v>1509238</v>
      </c>
      <c r="S2427" t="s">
        <v>9357</v>
      </c>
      <c r="T2427">
        <v>303</v>
      </c>
      <c r="U2427" t="s">
        <v>125</v>
      </c>
      <c r="V2427">
        <v>48</v>
      </c>
      <c r="W2427" t="str">
        <f>HYPERLINK("Gene1496-zp_tree_all.dnd", "Gene1496-tree")</f>
        <v>Gene1496-tree</v>
      </c>
      <c r="X2427">
        <v>28</v>
      </c>
      <c r="Y2427">
        <v>9</v>
      </c>
      <c r="Z2427">
        <v>9</v>
      </c>
      <c r="AA2427">
        <v>9</v>
      </c>
      <c r="AB2427">
        <v>0.5</v>
      </c>
      <c r="AC2427" t="s">
        <v>2825</v>
      </c>
      <c r="AD2427" t="s">
        <v>135</v>
      </c>
      <c r="AE2427" t="s">
        <v>62</v>
      </c>
      <c r="AF2427" t="s">
        <v>62</v>
      </c>
      <c r="AG2427">
        <v>1</v>
      </c>
      <c r="AH2427">
        <v>3</v>
      </c>
      <c r="AI2427">
        <v>11</v>
      </c>
      <c r="AJ2427">
        <v>0.21429000000000001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2</v>
      </c>
      <c r="AR2427">
        <v>2</v>
      </c>
      <c r="AS2427">
        <v>8</v>
      </c>
      <c r="AT2427">
        <v>0.2</v>
      </c>
      <c r="AU2427">
        <v>15</v>
      </c>
      <c r="AV2427">
        <v>6</v>
      </c>
      <c r="AW2427">
        <v>40</v>
      </c>
      <c r="AX2427">
        <v>8</v>
      </c>
      <c r="AY2427">
        <v>40</v>
      </c>
      <c r="AZ2427">
        <v>7</v>
      </c>
      <c r="BA2427" t="s">
        <v>9358</v>
      </c>
      <c r="BB2427" t="s">
        <v>9359</v>
      </c>
      <c r="BC2427">
        <v>0.16200000000000001</v>
      </c>
      <c r="BD2427" t="s">
        <v>65</v>
      </c>
      <c r="BE2427">
        <v>80</v>
      </c>
      <c r="BF2427">
        <v>15</v>
      </c>
      <c r="BG2427" t="s">
        <v>9360</v>
      </c>
      <c r="BH2427" t="s">
        <v>9361</v>
      </c>
      <c r="BI2427" t="s">
        <v>9362</v>
      </c>
      <c r="BJ2427">
        <v>5.851E-2</v>
      </c>
      <c r="BK2427">
        <v>1</v>
      </c>
      <c r="BL2427" t="s">
        <v>69</v>
      </c>
      <c r="BM2427">
        <v>-1.5760000000000001</v>
      </c>
      <c r="BN2427">
        <v>-1.1919999999999999</v>
      </c>
    </row>
    <row r="2428" spans="2:66">
      <c r="B2428">
        <v>4155</v>
      </c>
      <c r="C2428">
        <v>223</v>
      </c>
      <c r="D2428">
        <v>0</v>
      </c>
      <c r="E2428">
        <v>15</v>
      </c>
      <c r="F2428">
        <v>3</v>
      </c>
      <c r="J2428">
        <v>0</v>
      </c>
      <c r="K2428">
        <v>5</v>
      </c>
      <c r="L2428">
        <v>0</v>
      </c>
      <c r="M2428" t="s">
        <v>25022</v>
      </c>
      <c r="N2428">
        <v>1497</v>
      </c>
      <c r="O2428" t="s">
        <v>9363</v>
      </c>
      <c r="P2428" t="s">
        <v>57</v>
      </c>
      <c r="Q2428">
        <v>1509256</v>
      </c>
      <c r="R2428">
        <v>1511160</v>
      </c>
      <c r="S2428" t="s">
        <v>9364</v>
      </c>
      <c r="T2428">
        <v>635</v>
      </c>
      <c r="U2428" t="s">
        <v>9365</v>
      </c>
      <c r="V2428">
        <v>39</v>
      </c>
      <c r="W2428" t="str">
        <f>HYPERLINK("Gene1497-zp_tree_all.dnd", "Gene1497-tree")</f>
        <v>Gene1497-tree</v>
      </c>
      <c r="X2428">
        <v>6</v>
      </c>
      <c r="Y2428">
        <v>6</v>
      </c>
      <c r="Z2428">
        <v>6</v>
      </c>
      <c r="AA2428">
        <v>6</v>
      </c>
      <c r="AB2428">
        <v>0.5</v>
      </c>
      <c r="AC2428" t="s">
        <v>90</v>
      </c>
      <c r="AD2428" t="s">
        <v>90</v>
      </c>
      <c r="AE2428" t="s">
        <v>62</v>
      </c>
      <c r="AF2428" t="s">
        <v>62</v>
      </c>
      <c r="AG2428">
        <v>2</v>
      </c>
      <c r="AH2428">
        <v>5</v>
      </c>
      <c r="AI2428">
        <v>7</v>
      </c>
      <c r="AJ2428">
        <v>0.41666999999999998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2</v>
      </c>
      <c r="AQ2428">
        <v>0</v>
      </c>
      <c r="AR2428">
        <v>2</v>
      </c>
      <c r="AS2428">
        <v>7</v>
      </c>
      <c r="AT2428">
        <v>0.22222</v>
      </c>
      <c r="AU2428">
        <v>11</v>
      </c>
      <c r="AV2428">
        <v>9</v>
      </c>
      <c r="AW2428">
        <v>48</v>
      </c>
      <c r="AX2428">
        <v>9</v>
      </c>
      <c r="AY2428">
        <v>17</v>
      </c>
      <c r="AZ2428">
        <v>3</v>
      </c>
      <c r="BA2428" t="s">
        <v>9366</v>
      </c>
      <c r="BB2428" t="s">
        <v>9367</v>
      </c>
      <c r="BC2428">
        <v>5.7000000000000002E-2</v>
      </c>
      <c r="BD2428" t="s">
        <v>65</v>
      </c>
      <c r="BE2428">
        <v>65</v>
      </c>
      <c r="BF2428">
        <v>12</v>
      </c>
      <c r="BG2428" t="s">
        <v>9368</v>
      </c>
      <c r="BH2428" t="s">
        <v>9369</v>
      </c>
      <c r="BI2428" t="s">
        <v>739</v>
      </c>
      <c r="BJ2428">
        <v>5.033E-2</v>
      </c>
      <c r="BK2428">
        <v>1</v>
      </c>
      <c r="BL2428" t="s">
        <v>69</v>
      </c>
      <c r="BM2428">
        <v>-1.1639999999999999</v>
      </c>
      <c r="BN2428">
        <v>-2.68</v>
      </c>
    </row>
    <row r="2429" spans="2:66">
      <c r="B2429">
        <v>4157</v>
      </c>
      <c r="C2429">
        <v>109</v>
      </c>
      <c r="D2429">
        <v>0</v>
      </c>
      <c r="E2429">
        <v>5</v>
      </c>
      <c r="F2429">
        <v>2</v>
      </c>
      <c r="J2429">
        <v>0</v>
      </c>
      <c r="K2429">
        <v>0</v>
      </c>
      <c r="L2429">
        <v>0</v>
      </c>
      <c r="M2429" t="s">
        <v>25022</v>
      </c>
      <c r="N2429">
        <v>1498</v>
      </c>
      <c r="O2429" t="s">
        <v>9370</v>
      </c>
      <c r="P2429" t="s">
        <v>57</v>
      </c>
      <c r="Q2429">
        <v>1511308</v>
      </c>
      <c r="R2429">
        <v>1511886</v>
      </c>
      <c r="S2429" t="s">
        <v>2768</v>
      </c>
      <c r="T2429">
        <v>193</v>
      </c>
      <c r="U2429" t="s">
        <v>59</v>
      </c>
      <c r="V2429">
        <v>49</v>
      </c>
      <c r="W2429" t="str">
        <f>HYPERLINK("Gene1498-zp_tree_all.dnd", "Gene1498-tree")</f>
        <v>Gene1498-tree</v>
      </c>
      <c r="X2429">
        <v>10</v>
      </c>
      <c r="Y2429">
        <v>3</v>
      </c>
      <c r="Z2429">
        <v>10</v>
      </c>
      <c r="AA2429">
        <v>3</v>
      </c>
      <c r="AB2429">
        <v>0.23077</v>
      </c>
      <c r="AC2429" t="s">
        <v>117</v>
      </c>
      <c r="AD2429" t="s">
        <v>324</v>
      </c>
      <c r="AE2429" t="s">
        <v>62</v>
      </c>
      <c r="AF2429" t="s">
        <v>62</v>
      </c>
      <c r="AG2429">
        <v>0</v>
      </c>
      <c r="AH2429">
        <v>0</v>
      </c>
      <c r="AI2429">
        <v>6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4</v>
      </c>
      <c r="AT2429">
        <v>0</v>
      </c>
      <c r="AU2429">
        <v>10</v>
      </c>
      <c r="AV2429">
        <v>5</v>
      </c>
      <c r="AW2429">
        <v>13</v>
      </c>
      <c r="AX2429">
        <v>4</v>
      </c>
      <c r="AY2429">
        <v>29</v>
      </c>
      <c r="AZ2429">
        <v>2</v>
      </c>
      <c r="BA2429" t="s">
        <v>9371</v>
      </c>
      <c r="BB2429" t="s">
        <v>9372</v>
      </c>
      <c r="BC2429">
        <v>0.749</v>
      </c>
      <c r="BD2429" t="s">
        <v>65</v>
      </c>
      <c r="BE2429">
        <v>42</v>
      </c>
      <c r="BF2429">
        <v>6</v>
      </c>
      <c r="BG2429" t="s">
        <v>9373</v>
      </c>
      <c r="BH2429" t="s">
        <v>9374</v>
      </c>
      <c r="BI2429" t="s">
        <v>9375</v>
      </c>
      <c r="BJ2429">
        <v>2.7550000000000002E-2</v>
      </c>
      <c r="BK2429">
        <v>1</v>
      </c>
      <c r="BL2429" t="s">
        <v>69</v>
      </c>
      <c r="BM2429">
        <v>-1.532</v>
      </c>
      <c r="BN2429">
        <v>-0.81599999999999995</v>
      </c>
    </row>
    <row r="2430" spans="2:66">
      <c r="B2430">
        <v>4158</v>
      </c>
      <c r="C2430">
        <v>98</v>
      </c>
      <c r="D2430">
        <v>0</v>
      </c>
      <c r="E2430">
        <v>3</v>
      </c>
      <c r="F2430">
        <v>2</v>
      </c>
      <c r="J2430">
        <v>0</v>
      </c>
      <c r="K2430">
        <v>2</v>
      </c>
      <c r="L2430">
        <v>0</v>
      </c>
      <c r="M2430" t="s">
        <v>25022</v>
      </c>
      <c r="N2430">
        <v>1500</v>
      </c>
      <c r="O2430" t="s">
        <v>9381</v>
      </c>
      <c r="P2430" t="s">
        <v>57</v>
      </c>
      <c r="Q2430">
        <v>1512373</v>
      </c>
      <c r="R2430">
        <v>1513992</v>
      </c>
      <c r="S2430" t="s">
        <v>3951</v>
      </c>
      <c r="T2430">
        <v>540</v>
      </c>
      <c r="U2430" t="s">
        <v>125</v>
      </c>
      <c r="V2430">
        <v>48</v>
      </c>
      <c r="W2430" t="str">
        <f>HYPERLINK("Gene1500-zp_tree_all.dnd", "Gene1500-tree")</f>
        <v>Gene1500-tree</v>
      </c>
      <c r="X2430">
        <v>15</v>
      </c>
      <c r="Y2430">
        <v>4</v>
      </c>
      <c r="Z2430">
        <v>15</v>
      </c>
      <c r="AA2430">
        <v>4</v>
      </c>
      <c r="AB2430">
        <v>0.21052999999999999</v>
      </c>
      <c r="AC2430" t="s">
        <v>100</v>
      </c>
      <c r="AD2430" t="s">
        <v>61</v>
      </c>
      <c r="AE2430" t="s">
        <v>62</v>
      </c>
      <c r="AF2430" t="s">
        <v>62</v>
      </c>
      <c r="AG2430">
        <v>1</v>
      </c>
      <c r="AH2430">
        <v>2</v>
      </c>
      <c r="AI2430">
        <v>9</v>
      </c>
      <c r="AJ2430">
        <v>0.18182000000000001</v>
      </c>
      <c r="AK2430">
        <v>0</v>
      </c>
      <c r="AL2430">
        <v>0</v>
      </c>
      <c r="AM2430">
        <v>0</v>
      </c>
      <c r="AN2430">
        <v>3</v>
      </c>
      <c r="AO2430">
        <v>0</v>
      </c>
      <c r="AP2430">
        <v>0</v>
      </c>
      <c r="AQ2430">
        <v>0</v>
      </c>
      <c r="AR2430">
        <v>0</v>
      </c>
      <c r="AS2430">
        <v>5</v>
      </c>
      <c r="AT2430">
        <v>0</v>
      </c>
      <c r="AU2430">
        <v>17</v>
      </c>
      <c r="AV2430">
        <v>14</v>
      </c>
      <c r="AW2430">
        <v>43</v>
      </c>
      <c r="AX2430">
        <v>5</v>
      </c>
      <c r="AY2430">
        <v>121</v>
      </c>
      <c r="AZ2430">
        <v>7</v>
      </c>
      <c r="BA2430" t="s">
        <v>9382</v>
      </c>
      <c r="BB2430" t="s">
        <v>9383</v>
      </c>
      <c r="BC2430">
        <v>0.432</v>
      </c>
      <c r="BD2430" t="s">
        <v>65</v>
      </c>
      <c r="BE2430">
        <v>164</v>
      </c>
      <c r="BF2430">
        <v>12</v>
      </c>
      <c r="BG2430" t="s">
        <v>9384</v>
      </c>
      <c r="BH2430" t="s">
        <v>9385</v>
      </c>
      <c r="BI2430" t="s">
        <v>9386</v>
      </c>
      <c r="BJ2430">
        <v>1.4449999999999999E-2</v>
      </c>
      <c r="BK2430">
        <v>1</v>
      </c>
      <c r="BL2430" t="s">
        <v>69</v>
      </c>
      <c r="BM2430">
        <v>-1.254</v>
      </c>
      <c r="BN2430">
        <v>0.71399999999999997</v>
      </c>
    </row>
    <row r="2431" spans="2:66">
      <c r="B2431">
        <v>4162</v>
      </c>
      <c r="C2431">
        <v>107</v>
      </c>
      <c r="D2431">
        <v>7</v>
      </c>
      <c r="E2431">
        <v>30</v>
      </c>
      <c r="F2431">
        <v>2</v>
      </c>
      <c r="J2431">
        <v>0</v>
      </c>
      <c r="K2431">
        <v>10</v>
      </c>
      <c r="L2431">
        <v>0</v>
      </c>
      <c r="M2431" t="s">
        <v>25022</v>
      </c>
      <c r="N2431">
        <v>1501</v>
      </c>
      <c r="O2431" t="s">
        <v>9387</v>
      </c>
      <c r="P2431" t="s">
        <v>57</v>
      </c>
      <c r="Q2431">
        <v>1514052</v>
      </c>
      <c r="R2431">
        <v>1514960</v>
      </c>
      <c r="S2431" t="s">
        <v>9388</v>
      </c>
      <c r="T2431">
        <v>303</v>
      </c>
      <c r="U2431" t="s">
        <v>108</v>
      </c>
      <c r="V2431">
        <v>44</v>
      </c>
      <c r="W2431" t="str">
        <f>HYPERLINK("Gene1501-zp_tree_all.dnd", "Gene1501-tree")</f>
        <v>Gene1501-tree</v>
      </c>
      <c r="X2431">
        <v>1</v>
      </c>
      <c r="Y2431">
        <v>13</v>
      </c>
      <c r="Z2431">
        <v>1</v>
      </c>
      <c r="AA2431">
        <v>13</v>
      </c>
      <c r="AB2431">
        <v>0.92857000000000001</v>
      </c>
      <c r="AC2431" t="s">
        <v>175</v>
      </c>
      <c r="AD2431" t="s">
        <v>507</v>
      </c>
      <c r="AE2431" t="s">
        <v>62</v>
      </c>
      <c r="AF2431" t="s">
        <v>62</v>
      </c>
      <c r="AG2431">
        <v>5</v>
      </c>
      <c r="AH2431">
        <v>10</v>
      </c>
      <c r="AI2431">
        <v>24</v>
      </c>
      <c r="AJ2431">
        <v>0.29411999999999999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4</v>
      </c>
      <c r="AQ2431">
        <v>2</v>
      </c>
      <c r="AR2431">
        <v>6</v>
      </c>
      <c r="AS2431">
        <v>23</v>
      </c>
      <c r="AT2431">
        <v>0.2069</v>
      </c>
      <c r="AU2431">
        <v>13</v>
      </c>
      <c r="AV2431">
        <v>10</v>
      </c>
      <c r="AW2431">
        <v>35</v>
      </c>
      <c r="AX2431">
        <v>29</v>
      </c>
      <c r="AY2431">
        <v>20</v>
      </c>
      <c r="AZ2431">
        <v>5</v>
      </c>
      <c r="BA2431" t="s">
        <v>9389</v>
      </c>
      <c r="BB2431" t="s">
        <v>9390</v>
      </c>
      <c r="BC2431">
        <v>2.6339999999999999</v>
      </c>
      <c r="BD2431" t="s">
        <v>267</v>
      </c>
      <c r="BE2431">
        <v>55</v>
      </c>
      <c r="BF2431">
        <v>34</v>
      </c>
      <c r="BG2431" t="s">
        <v>9391</v>
      </c>
      <c r="BH2431" t="s">
        <v>9392</v>
      </c>
      <c r="BI2431" t="s">
        <v>9393</v>
      </c>
      <c r="BJ2431">
        <v>0.17595</v>
      </c>
      <c r="BK2431">
        <v>1</v>
      </c>
      <c r="BL2431" t="s">
        <v>69</v>
      </c>
      <c r="BM2431">
        <v>-0.70599999999999996</v>
      </c>
      <c r="BN2431">
        <v>-1.0629999999999999</v>
      </c>
    </row>
    <row r="2432" spans="2:66">
      <c r="B2432">
        <v>4166</v>
      </c>
      <c r="C2432">
        <v>116</v>
      </c>
      <c r="D2432">
        <v>0</v>
      </c>
      <c r="E2432">
        <v>6</v>
      </c>
      <c r="F2432">
        <v>0</v>
      </c>
      <c r="J2432">
        <v>0</v>
      </c>
      <c r="K2432">
        <v>0</v>
      </c>
      <c r="L2432">
        <v>0</v>
      </c>
      <c r="M2432" t="s">
        <v>25022</v>
      </c>
      <c r="N2432">
        <v>1506</v>
      </c>
      <c r="O2432" t="s">
        <v>9412</v>
      </c>
      <c r="P2432" t="s">
        <v>57</v>
      </c>
      <c r="Q2432">
        <v>1518333</v>
      </c>
      <c r="R2432">
        <v>1519616</v>
      </c>
      <c r="S2432" t="s">
        <v>9413</v>
      </c>
      <c r="T2432">
        <v>428</v>
      </c>
      <c r="U2432" t="s">
        <v>465</v>
      </c>
      <c r="V2432">
        <v>46</v>
      </c>
      <c r="W2432" t="str">
        <f>HYPERLINK("Gene1506-zp_tree_all.dnd", "Gene1506-tree")</f>
        <v>Gene1506-tree</v>
      </c>
      <c r="X2432">
        <v>25</v>
      </c>
      <c r="Y2432">
        <v>6</v>
      </c>
      <c r="Z2432">
        <v>6</v>
      </c>
      <c r="AA2432">
        <v>6</v>
      </c>
      <c r="AB2432">
        <v>0.5</v>
      </c>
      <c r="AC2432" t="s">
        <v>965</v>
      </c>
      <c r="AD2432" t="s">
        <v>90</v>
      </c>
      <c r="AE2432" t="s">
        <v>62</v>
      </c>
      <c r="AF2432" t="s">
        <v>62</v>
      </c>
      <c r="AG2432">
        <v>0</v>
      </c>
      <c r="AH2432">
        <v>0</v>
      </c>
      <c r="AI2432">
        <v>14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14</v>
      </c>
      <c r="AT2432">
        <v>0</v>
      </c>
      <c r="AU2432">
        <v>11</v>
      </c>
      <c r="AV2432">
        <v>6</v>
      </c>
      <c r="AW2432">
        <v>23</v>
      </c>
      <c r="AX2432">
        <v>5</v>
      </c>
      <c r="AY2432">
        <v>57</v>
      </c>
      <c r="AZ2432">
        <v>9</v>
      </c>
      <c r="BA2432" t="s">
        <v>9414</v>
      </c>
      <c r="BB2432" t="s">
        <v>9415</v>
      </c>
      <c r="BC2432">
        <v>0.14799999999999999</v>
      </c>
      <c r="BD2432" t="s">
        <v>65</v>
      </c>
      <c r="BE2432">
        <v>80</v>
      </c>
      <c r="BF2432">
        <v>14</v>
      </c>
      <c r="BG2432" t="s">
        <v>9416</v>
      </c>
      <c r="BH2432" t="s">
        <v>9417</v>
      </c>
      <c r="BI2432" t="s">
        <v>9418</v>
      </c>
      <c r="BJ2432">
        <v>3.9989999999999998E-2</v>
      </c>
      <c r="BK2432">
        <v>1</v>
      </c>
      <c r="BL2432" t="s">
        <v>69</v>
      </c>
      <c r="BM2432">
        <v>-1.627</v>
      </c>
      <c r="BN2432">
        <v>0.61699999999999999</v>
      </c>
    </row>
    <row r="2433" spans="2:66">
      <c r="B2433">
        <v>4167</v>
      </c>
      <c r="C2433">
        <v>39</v>
      </c>
      <c r="D2433">
        <v>0</v>
      </c>
      <c r="E2433">
        <v>4</v>
      </c>
      <c r="F2433">
        <v>0</v>
      </c>
      <c r="J2433">
        <v>0</v>
      </c>
      <c r="K2433">
        <v>14</v>
      </c>
      <c r="L2433">
        <v>1</v>
      </c>
      <c r="M2433" t="s">
        <v>25022</v>
      </c>
      <c r="N2433">
        <v>1507</v>
      </c>
      <c r="O2433" t="s">
        <v>9419</v>
      </c>
      <c r="P2433" t="s">
        <v>57</v>
      </c>
      <c r="Q2433">
        <v>1519635</v>
      </c>
      <c r="R2433">
        <v>1520465</v>
      </c>
      <c r="S2433" t="s">
        <v>9420</v>
      </c>
      <c r="T2433">
        <v>277</v>
      </c>
      <c r="U2433" t="s">
        <v>108</v>
      </c>
      <c r="V2433">
        <v>44</v>
      </c>
      <c r="W2433" t="str">
        <f>HYPERLINK("Gene1507-zp_tree_all.dnd", "Gene1507-tree")</f>
        <v>Gene1507-tree</v>
      </c>
      <c r="X2433">
        <v>2</v>
      </c>
      <c r="Y2433">
        <v>10</v>
      </c>
      <c r="Z2433">
        <v>2</v>
      </c>
      <c r="AA2433">
        <v>10</v>
      </c>
      <c r="AB2433">
        <v>0.83333000000000002</v>
      </c>
      <c r="AC2433" t="s">
        <v>81</v>
      </c>
      <c r="AD2433" t="s">
        <v>117</v>
      </c>
      <c r="AE2433" t="s">
        <v>62</v>
      </c>
      <c r="AF2433" t="s">
        <v>62</v>
      </c>
      <c r="AG2433">
        <v>6</v>
      </c>
      <c r="AH2433">
        <v>15</v>
      </c>
      <c r="AI2433">
        <v>13</v>
      </c>
      <c r="AJ2433">
        <v>0.53571000000000002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6</v>
      </c>
      <c r="AQ2433">
        <v>0</v>
      </c>
      <c r="AR2433">
        <v>6</v>
      </c>
      <c r="AS2433">
        <v>13</v>
      </c>
      <c r="AT2433">
        <v>0.31579000000000002</v>
      </c>
      <c r="AU2433">
        <v>10</v>
      </c>
      <c r="AV2433">
        <v>9</v>
      </c>
      <c r="AW2433">
        <v>15</v>
      </c>
      <c r="AX2433">
        <v>18</v>
      </c>
      <c r="AY2433">
        <v>14</v>
      </c>
      <c r="AZ2433">
        <v>10</v>
      </c>
      <c r="BA2433" t="s">
        <v>9421</v>
      </c>
      <c r="BB2433" t="s">
        <v>9422</v>
      </c>
      <c r="BC2433">
        <v>0.68600000000000005</v>
      </c>
      <c r="BD2433" t="s">
        <v>65</v>
      </c>
      <c r="BE2433">
        <v>29</v>
      </c>
      <c r="BF2433">
        <v>28</v>
      </c>
      <c r="BG2433" t="s">
        <v>9423</v>
      </c>
      <c r="BH2433" t="s">
        <v>9424</v>
      </c>
      <c r="BI2433" t="s">
        <v>9425</v>
      </c>
      <c r="BJ2433">
        <v>0.26535999999999998</v>
      </c>
      <c r="BK2433">
        <v>1</v>
      </c>
      <c r="BL2433" t="s">
        <v>69</v>
      </c>
      <c r="BM2433">
        <v>-0.56200000000000006</v>
      </c>
      <c r="BN2433">
        <v>-1.8360000000000001</v>
      </c>
    </row>
    <row r="2434" spans="2:66">
      <c r="B2434">
        <v>4169</v>
      </c>
      <c r="C2434">
        <v>18</v>
      </c>
      <c r="D2434">
        <v>0</v>
      </c>
      <c r="E2434">
        <v>2</v>
      </c>
      <c r="F2434">
        <v>0</v>
      </c>
      <c r="J2434">
        <v>0</v>
      </c>
      <c r="K2434">
        <v>0</v>
      </c>
      <c r="L2434">
        <v>0</v>
      </c>
      <c r="M2434" t="s">
        <v>25022</v>
      </c>
      <c r="N2434">
        <v>1508</v>
      </c>
      <c r="O2434" t="s">
        <v>9426</v>
      </c>
      <c r="P2434" t="s">
        <v>57</v>
      </c>
      <c r="Q2434">
        <v>1520531</v>
      </c>
      <c r="R2434">
        <v>1521193</v>
      </c>
      <c r="S2434" t="s">
        <v>9427</v>
      </c>
      <c r="T2434">
        <v>221</v>
      </c>
      <c r="U2434" t="s">
        <v>108</v>
      </c>
      <c r="V2434">
        <v>44</v>
      </c>
      <c r="W2434" t="str">
        <f>HYPERLINK("Gene1508-zp_tree_all.dnd", "Gene1508-tree")</f>
        <v>Gene1508-tree</v>
      </c>
      <c r="X2434">
        <v>7</v>
      </c>
      <c r="Y2434">
        <v>1</v>
      </c>
      <c r="Z2434">
        <v>7</v>
      </c>
      <c r="AA2434">
        <v>1</v>
      </c>
      <c r="AB2434">
        <v>0.125</v>
      </c>
      <c r="AC2434" t="s">
        <v>152</v>
      </c>
      <c r="AD2434" t="s">
        <v>175</v>
      </c>
      <c r="AE2434" t="s">
        <v>62</v>
      </c>
      <c r="AF2434" t="s">
        <v>62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6</v>
      </c>
      <c r="AV2434">
        <v>3</v>
      </c>
      <c r="AW2434">
        <v>14</v>
      </c>
      <c r="AX2434">
        <v>1</v>
      </c>
      <c r="AY2434">
        <v>4</v>
      </c>
      <c r="AZ2434">
        <v>0</v>
      </c>
      <c r="BA2434" t="s">
        <v>9428</v>
      </c>
      <c r="BB2434" t="s">
        <v>193</v>
      </c>
      <c r="BC2434">
        <v>0.45800000000000002</v>
      </c>
      <c r="BD2434" t="s">
        <v>65</v>
      </c>
      <c r="BE2434">
        <v>18</v>
      </c>
      <c r="BF2434">
        <v>1</v>
      </c>
      <c r="BG2434" t="s">
        <v>9429</v>
      </c>
      <c r="BH2434" t="s">
        <v>9430</v>
      </c>
      <c r="BI2434" t="s">
        <v>9431</v>
      </c>
      <c r="BJ2434">
        <v>1.431E-2</v>
      </c>
      <c r="BK2434">
        <v>1</v>
      </c>
      <c r="BL2434" t="s">
        <v>69</v>
      </c>
      <c r="BM2434">
        <v>-0.501</v>
      </c>
      <c r="BN2434">
        <v>-1.79</v>
      </c>
    </row>
    <row r="2435" spans="2:66">
      <c r="B2435">
        <v>4170</v>
      </c>
      <c r="C2435">
        <v>45</v>
      </c>
      <c r="D2435">
        <v>0</v>
      </c>
      <c r="E2435">
        <v>3</v>
      </c>
      <c r="F2435">
        <v>0</v>
      </c>
      <c r="J2435">
        <v>0</v>
      </c>
      <c r="K2435">
        <v>22</v>
      </c>
      <c r="L2435">
        <v>0</v>
      </c>
      <c r="M2435" t="s">
        <v>25022</v>
      </c>
      <c r="N2435">
        <v>1509</v>
      </c>
      <c r="O2435" t="s">
        <v>9432</v>
      </c>
      <c r="P2435" t="s">
        <v>57</v>
      </c>
      <c r="Q2435">
        <v>1521351</v>
      </c>
      <c r="R2435">
        <v>1523081</v>
      </c>
      <c r="S2435" t="s">
        <v>9433</v>
      </c>
      <c r="T2435">
        <v>577</v>
      </c>
      <c r="U2435" t="s">
        <v>108</v>
      </c>
      <c r="V2435">
        <v>44</v>
      </c>
      <c r="W2435" t="str">
        <f>HYPERLINK("Gene1509-zp_tree_all.dnd", "Gene1509-tree")</f>
        <v>Gene1509-tree</v>
      </c>
      <c r="X2435">
        <v>0</v>
      </c>
      <c r="Y2435">
        <v>13</v>
      </c>
      <c r="Z2435">
        <v>0</v>
      </c>
      <c r="AA2435">
        <v>13</v>
      </c>
      <c r="AB2435">
        <v>1</v>
      </c>
      <c r="AC2435" t="s">
        <v>62</v>
      </c>
      <c r="AD2435" t="s">
        <v>507</v>
      </c>
      <c r="AE2435" t="s">
        <v>62</v>
      </c>
      <c r="AF2435" t="s">
        <v>62</v>
      </c>
      <c r="AG2435">
        <v>8</v>
      </c>
      <c r="AH2435">
        <v>22</v>
      </c>
      <c r="AI2435">
        <v>24</v>
      </c>
      <c r="AJ2435">
        <v>0.47826000000000002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14</v>
      </c>
      <c r="AQ2435">
        <v>0</v>
      </c>
      <c r="AR2435">
        <v>14</v>
      </c>
      <c r="AS2435">
        <v>18</v>
      </c>
      <c r="AT2435">
        <v>0.4375</v>
      </c>
      <c r="AU2435">
        <v>12</v>
      </c>
      <c r="AV2435">
        <v>10</v>
      </c>
      <c r="AW2435">
        <v>37</v>
      </c>
      <c r="AX2435">
        <v>27</v>
      </c>
      <c r="AY2435">
        <v>43</v>
      </c>
      <c r="AZ2435">
        <v>19</v>
      </c>
      <c r="BA2435" t="s">
        <v>9434</v>
      </c>
      <c r="BB2435" t="s">
        <v>9435</v>
      </c>
      <c r="BC2435">
        <v>0.71</v>
      </c>
      <c r="BD2435" t="s">
        <v>65</v>
      </c>
      <c r="BE2435">
        <v>80</v>
      </c>
      <c r="BF2435">
        <v>46</v>
      </c>
      <c r="BG2435" t="s">
        <v>9436</v>
      </c>
      <c r="BH2435" t="s">
        <v>9437</v>
      </c>
      <c r="BI2435" t="s">
        <v>9438</v>
      </c>
      <c r="BJ2435">
        <v>0.14016999999999999</v>
      </c>
      <c r="BK2435">
        <v>1</v>
      </c>
      <c r="BL2435" t="s">
        <v>69</v>
      </c>
      <c r="BM2435">
        <v>0.218</v>
      </c>
      <c r="BN2435">
        <v>-0.54</v>
      </c>
    </row>
    <row r="2436" spans="2:66">
      <c r="B2436">
        <v>4171</v>
      </c>
      <c r="C2436">
        <v>47</v>
      </c>
      <c r="D2436">
        <v>0</v>
      </c>
      <c r="E2436">
        <v>2</v>
      </c>
      <c r="F2436">
        <v>0</v>
      </c>
      <c r="J2436">
        <v>0</v>
      </c>
      <c r="K2436">
        <v>2</v>
      </c>
      <c r="L2436">
        <v>0</v>
      </c>
      <c r="M2436" t="s">
        <v>25022</v>
      </c>
      <c r="N2436">
        <v>1512</v>
      </c>
      <c r="O2436" t="s">
        <v>9452</v>
      </c>
      <c r="P2436" t="s">
        <v>57</v>
      </c>
      <c r="Q2436">
        <v>1525386</v>
      </c>
      <c r="R2436">
        <v>1526156</v>
      </c>
      <c r="S2436" t="s">
        <v>2512</v>
      </c>
      <c r="T2436">
        <v>257</v>
      </c>
      <c r="U2436" t="s">
        <v>108</v>
      </c>
      <c r="V2436">
        <v>44</v>
      </c>
      <c r="W2436" t="str">
        <f>HYPERLINK("Gene1512-zp_tree_all.dnd", "Gene1512-tree")</f>
        <v>Gene1512-tree</v>
      </c>
      <c r="X2436">
        <v>5</v>
      </c>
      <c r="Y2436">
        <v>6</v>
      </c>
      <c r="Z2436">
        <v>5</v>
      </c>
      <c r="AA2436">
        <v>6</v>
      </c>
      <c r="AB2436">
        <v>0.54544999999999999</v>
      </c>
      <c r="AC2436" t="s">
        <v>199</v>
      </c>
      <c r="AD2436" t="s">
        <v>90</v>
      </c>
      <c r="AE2436" t="s">
        <v>62</v>
      </c>
      <c r="AF2436" t="s">
        <v>62</v>
      </c>
      <c r="AG2436">
        <v>1</v>
      </c>
      <c r="AH2436">
        <v>2</v>
      </c>
      <c r="AI2436">
        <v>7</v>
      </c>
      <c r="AJ2436">
        <v>0.22222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2</v>
      </c>
      <c r="AQ2436">
        <v>0</v>
      </c>
      <c r="AR2436">
        <v>2</v>
      </c>
      <c r="AS2436">
        <v>6</v>
      </c>
      <c r="AT2436">
        <v>0.25</v>
      </c>
      <c r="AU2436">
        <v>7</v>
      </c>
      <c r="AV2436">
        <v>4</v>
      </c>
      <c r="AW2436">
        <v>27</v>
      </c>
      <c r="AX2436">
        <v>6</v>
      </c>
      <c r="AY2436">
        <v>17</v>
      </c>
      <c r="AZ2436">
        <v>3</v>
      </c>
      <c r="BA2436" t="s">
        <v>9453</v>
      </c>
      <c r="BB2436" t="s">
        <v>9454</v>
      </c>
      <c r="BC2436">
        <v>0.26300000000000001</v>
      </c>
      <c r="BD2436" t="s">
        <v>65</v>
      </c>
      <c r="BE2436">
        <v>44</v>
      </c>
      <c r="BF2436">
        <v>9</v>
      </c>
      <c r="BG2436" t="s">
        <v>9455</v>
      </c>
      <c r="BH2436" t="s">
        <v>9456</v>
      </c>
      <c r="BI2436" t="s">
        <v>9457</v>
      </c>
      <c r="BJ2436">
        <v>7.6329999999999995E-2</v>
      </c>
      <c r="BK2436">
        <v>1</v>
      </c>
      <c r="BL2436" t="s">
        <v>69</v>
      </c>
      <c r="BM2436">
        <v>-0.48799999999999999</v>
      </c>
      <c r="BN2436">
        <v>-1.8440000000000001</v>
      </c>
    </row>
    <row r="2437" spans="2:66">
      <c r="B2437">
        <v>4172</v>
      </c>
      <c r="C2437">
        <v>22</v>
      </c>
      <c r="D2437">
        <v>0</v>
      </c>
      <c r="E2437">
        <v>53</v>
      </c>
      <c r="F2437">
        <v>7</v>
      </c>
      <c r="J2437">
        <v>0</v>
      </c>
      <c r="K2437">
        <v>0</v>
      </c>
      <c r="L2437">
        <v>0</v>
      </c>
      <c r="M2437" t="s">
        <v>25022</v>
      </c>
      <c r="N2437">
        <v>1516</v>
      </c>
      <c r="O2437" t="s">
        <v>9470</v>
      </c>
      <c r="P2437" t="s">
        <v>57</v>
      </c>
      <c r="Q2437">
        <v>1527231</v>
      </c>
      <c r="R2437">
        <v>1527899</v>
      </c>
      <c r="S2437" t="s">
        <v>1523</v>
      </c>
      <c r="T2437">
        <v>223</v>
      </c>
      <c r="U2437" t="s">
        <v>1907</v>
      </c>
      <c r="V2437">
        <v>38</v>
      </c>
      <c r="W2437" t="str">
        <f>HYPERLINK("Gene1516-zp_tree_all.dnd", "Gene1516-tree")</f>
        <v>Gene1516-tree</v>
      </c>
      <c r="X2437">
        <v>29</v>
      </c>
      <c r="Y2437">
        <v>5</v>
      </c>
      <c r="Z2437">
        <v>7</v>
      </c>
      <c r="AA2437">
        <v>5</v>
      </c>
      <c r="AB2437">
        <v>0.41666999999999998</v>
      </c>
      <c r="AC2437" t="s">
        <v>1406</v>
      </c>
      <c r="AD2437" t="s">
        <v>199</v>
      </c>
      <c r="AE2437" t="s">
        <v>62</v>
      </c>
      <c r="AF2437" t="s">
        <v>62</v>
      </c>
      <c r="AG2437">
        <v>0</v>
      </c>
      <c r="AH2437">
        <v>0</v>
      </c>
      <c r="AI2437">
        <v>9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7</v>
      </c>
      <c r="AT2437">
        <v>0</v>
      </c>
      <c r="AU2437">
        <v>7</v>
      </c>
      <c r="AV2437">
        <v>5</v>
      </c>
      <c r="AW2437">
        <v>11</v>
      </c>
      <c r="AX2437">
        <v>6</v>
      </c>
      <c r="AY2437">
        <v>3</v>
      </c>
      <c r="AZ2437">
        <v>3</v>
      </c>
      <c r="BA2437" t="s">
        <v>9471</v>
      </c>
      <c r="BB2437" t="s">
        <v>9472</v>
      </c>
      <c r="BC2437">
        <v>0.67500000000000004</v>
      </c>
      <c r="BD2437" t="s">
        <v>65</v>
      </c>
      <c r="BE2437">
        <v>14</v>
      </c>
      <c r="BF2437">
        <v>9</v>
      </c>
      <c r="BG2437" t="s">
        <v>9473</v>
      </c>
      <c r="BH2437" t="s">
        <v>9474</v>
      </c>
      <c r="BI2437" t="s">
        <v>9475</v>
      </c>
      <c r="BJ2437">
        <v>0.21926000000000001</v>
      </c>
      <c r="BK2437">
        <v>1</v>
      </c>
      <c r="BL2437" t="s">
        <v>69</v>
      </c>
      <c r="BM2437">
        <v>-1.6970000000000001</v>
      </c>
      <c r="BN2437">
        <v>-3.0870000000000002</v>
      </c>
    </row>
    <row r="2438" spans="2:66">
      <c r="B2438">
        <v>4173</v>
      </c>
      <c r="C2438">
        <v>84</v>
      </c>
      <c r="D2438">
        <v>0</v>
      </c>
      <c r="E2438">
        <v>4</v>
      </c>
      <c r="F2438">
        <v>4</v>
      </c>
      <c r="J2438">
        <v>0</v>
      </c>
      <c r="K2438">
        <v>0</v>
      </c>
      <c r="L2438">
        <v>0</v>
      </c>
      <c r="M2438" t="s">
        <v>25022</v>
      </c>
      <c r="N2438">
        <v>1517</v>
      </c>
      <c r="O2438" t="s">
        <v>9476</v>
      </c>
      <c r="P2438" t="s">
        <v>57</v>
      </c>
      <c r="Q2438">
        <v>1528326</v>
      </c>
      <c r="R2438">
        <v>1529438</v>
      </c>
      <c r="S2438" t="s">
        <v>9477</v>
      </c>
      <c r="T2438">
        <v>371</v>
      </c>
      <c r="U2438" t="s">
        <v>59</v>
      </c>
      <c r="V2438">
        <v>49</v>
      </c>
      <c r="W2438" t="str">
        <f>HYPERLINK("Gene1517-zp_tree_all.dnd", "Gene1517-tree")</f>
        <v>Gene1517-tree</v>
      </c>
      <c r="X2438">
        <v>37</v>
      </c>
      <c r="Y2438">
        <v>0</v>
      </c>
      <c r="Z2438">
        <v>18</v>
      </c>
      <c r="AA2438">
        <v>0</v>
      </c>
      <c r="AB2438">
        <v>0</v>
      </c>
      <c r="AC2438" t="s">
        <v>9478</v>
      </c>
      <c r="AD2438" t="s">
        <v>62</v>
      </c>
      <c r="AE2438" t="s">
        <v>62</v>
      </c>
      <c r="AF2438" t="s">
        <v>62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15</v>
      </c>
      <c r="AV2438">
        <v>7</v>
      </c>
      <c r="AW2438">
        <v>36</v>
      </c>
      <c r="AX2438">
        <v>0</v>
      </c>
      <c r="AY2438">
        <v>41</v>
      </c>
      <c r="AZ2438">
        <v>1</v>
      </c>
      <c r="BA2438" t="s">
        <v>193</v>
      </c>
      <c r="BB2438" t="s">
        <v>9479</v>
      </c>
      <c r="BC2438">
        <v>0.38900000000000001</v>
      </c>
      <c r="BD2438" t="s">
        <v>65</v>
      </c>
      <c r="BE2438">
        <v>77</v>
      </c>
      <c r="BF2438">
        <v>1</v>
      </c>
      <c r="BG2438" t="s">
        <v>9480</v>
      </c>
      <c r="BH2438" t="s">
        <v>9481</v>
      </c>
      <c r="BI2438" t="s">
        <v>9482</v>
      </c>
      <c r="BJ2438">
        <v>3.7599999999999999E-3</v>
      </c>
      <c r="BK2438">
        <v>1</v>
      </c>
      <c r="BL2438" t="s">
        <v>69</v>
      </c>
      <c r="BM2438">
        <v>-1.591</v>
      </c>
      <c r="BN2438">
        <v>-1.1599999999999999</v>
      </c>
    </row>
    <row r="2439" spans="2:66">
      <c r="B2439">
        <v>4174</v>
      </c>
      <c r="C2439">
        <v>17</v>
      </c>
      <c r="D2439">
        <v>0</v>
      </c>
      <c r="E2439">
        <v>11</v>
      </c>
      <c r="F2439">
        <v>6</v>
      </c>
      <c r="J2439">
        <v>0</v>
      </c>
      <c r="K2439">
        <v>0</v>
      </c>
      <c r="L2439">
        <v>0</v>
      </c>
      <c r="M2439" t="s">
        <v>25022</v>
      </c>
      <c r="N2439">
        <v>1518</v>
      </c>
      <c r="O2439" t="s">
        <v>9483</v>
      </c>
      <c r="P2439" t="s">
        <v>57</v>
      </c>
      <c r="Q2439">
        <v>1529445</v>
      </c>
      <c r="R2439">
        <v>1530419</v>
      </c>
      <c r="S2439" t="s">
        <v>9484</v>
      </c>
      <c r="T2439">
        <v>325</v>
      </c>
      <c r="U2439" t="s">
        <v>59</v>
      </c>
      <c r="V2439">
        <v>49</v>
      </c>
      <c r="W2439" t="str">
        <f>HYPERLINK("Gene1518-zp_tree_all.dnd", "Gene1518-tree")</f>
        <v>Gene1518-tree</v>
      </c>
      <c r="X2439">
        <v>15</v>
      </c>
      <c r="Y2439">
        <v>2</v>
      </c>
      <c r="Z2439">
        <v>15</v>
      </c>
      <c r="AA2439">
        <v>2</v>
      </c>
      <c r="AB2439">
        <v>0.11765</v>
      </c>
      <c r="AC2439" t="s">
        <v>100</v>
      </c>
      <c r="AD2439" t="s">
        <v>81</v>
      </c>
      <c r="AE2439" t="s">
        <v>62</v>
      </c>
      <c r="AF2439" t="s">
        <v>62</v>
      </c>
      <c r="AG2439">
        <v>0</v>
      </c>
      <c r="AH2439">
        <v>0</v>
      </c>
      <c r="AI2439">
        <v>3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2</v>
      </c>
      <c r="AT2439">
        <v>0</v>
      </c>
      <c r="AU2439">
        <v>12</v>
      </c>
      <c r="AV2439">
        <v>11</v>
      </c>
      <c r="AW2439">
        <v>29</v>
      </c>
      <c r="AX2439">
        <v>2</v>
      </c>
      <c r="AY2439">
        <v>43</v>
      </c>
      <c r="AZ2439">
        <v>1</v>
      </c>
      <c r="BA2439" t="s">
        <v>9485</v>
      </c>
      <c r="BB2439" t="s">
        <v>9486</v>
      </c>
      <c r="BC2439">
        <v>0.34699999999999998</v>
      </c>
      <c r="BD2439" t="s">
        <v>65</v>
      </c>
      <c r="BE2439">
        <v>72</v>
      </c>
      <c r="BF2439">
        <v>3</v>
      </c>
      <c r="BG2439" t="s">
        <v>9487</v>
      </c>
      <c r="BH2439" t="s">
        <v>9488</v>
      </c>
      <c r="BI2439" t="s">
        <v>9489</v>
      </c>
      <c r="BJ2439">
        <v>9.9699999999999997E-3</v>
      </c>
      <c r="BK2439">
        <v>1</v>
      </c>
      <c r="BL2439" t="s">
        <v>69</v>
      </c>
      <c r="BM2439">
        <v>-1.0629999999999999</v>
      </c>
      <c r="BN2439">
        <v>-0.65100000000000002</v>
      </c>
    </row>
    <row r="2440" spans="2:66">
      <c r="B2440">
        <v>4175</v>
      </c>
      <c r="C2440">
        <v>318</v>
      </c>
      <c r="D2440">
        <v>0</v>
      </c>
      <c r="E2440">
        <v>13</v>
      </c>
      <c r="F2440">
        <v>1</v>
      </c>
      <c r="J2440">
        <v>0</v>
      </c>
      <c r="K2440">
        <v>0</v>
      </c>
      <c r="L2440">
        <v>0</v>
      </c>
      <c r="M2440" t="s">
        <v>25022</v>
      </c>
      <c r="N2440">
        <v>1519</v>
      </c>
      <c r="O2440" t="s">
        <v>9490</v>
      </c>
      <c r="P2440" t="s">
        <v>57</v>
      </c>
      <c r="Q2440">
        <v>1530537</v>
      </c>
      <c r="R2440">
        <v>1531862</v>
      </c>
      <c r="S2440" t="s">
        <v>9491</v>
      </c>
      <c r="T2440">
        <v>442</v>
      </c>
      <c r="U2440" t="s">
        <v>9492</v>
      </c>
      <c r="V2440">
        <v>48</v>
      </c>
      <c r="W2440" t="str">
        <f>HYPERLINK("Gene1519-zp_tree_all.dnd", "Gene1519-tree")</f>
        <v>Gene1519-tree</v>
      </c>
      <c r="X2440">
        <v>11</v>
      </c>
      <c r="Y2440">
        <v>5</v>
      </c>
      <c r="Z2440">
        <v>11</v>
      </c>
      <c r="AA2440">
        <v>5</v>
      </c>
      <c r="AB2440">
        <v>0.3125</v>
      </c>
      <c r="AC2440" t="s">
        <v>73</v>
      </c>
      <c r="AD2440" t="s">
        <v>199</v>
      </c>
      <c r="AE2440" t="s">
        <v>62</v>
      </c>
      <c r="AF2440" t="s">
        <v>62</v>
      </c>
      <c r="AG2440">
        <v>0</v>
      </c>
      <c r="AH2440">
        <v>0</v>
      </c>
      <c r="AI2440">
        <v>9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5</v>
      </c>
      <c r="AT2440">
        <v>0</v>
      </c>
      <c r="AU2440">
        <v>14</v>
      </c>
      <c r="AV2440">
        <v>8</v>
      </c>
      <c r="AW2440">
        <v>24</v>
      </c>
      <c r="AX2440">
        <v>5</v>
      </c>
      <c r="AY2440">
        <v>25</v>
      </c>
      <c r="AZ2440">
        <v>4</v>
      </c>
      <c r="BA2440" t="s">
        <v>9493</v>
      </c>
      <c r="BB2440" t="s">
        <v>9494</v>
      </c>
      <c r="BC2440">
        <v>0.16300000000000001</v>
      </c>
      <c r="BD2440" t="s">
        <v>65</v>
      </c>
      <c r="BE2440">
        <v>49</v>
      </c>
      <c r="BF2440">
        <v>9</v>
      </c>
      <c r="BG2440" t="s">
        <v>9495</v>
      </c>
      <c r="BH2440" t="s">
        <v>9496</v>
      </c>
      <c r="BI2440" t="s">
        <v>9497</v>
      </c>
      <c r="BJ2440">
        <v>5.1290000000000002E-2</v>
      </c>
      <c r="BK2440">
        <v>1</v>
      </c>
      <c r="BL2440" t="s">
        <v>69</v>
      </c>
      <c r="BM2440">
        <v>-1.3939999999999999</v>
      </c>
      <c r="BN2440">
        <v>-1.7929999999999999</v>
      </c>
    </row>
    <row r="2441" spans="2:66">
      <c r="B2441">
        <v>4178</v>
      </c>
      <c r="C2441">
        <v>445</v>
      </c>
      <c r="D2441">
        <v>0</v>
      </c>
      <c r="E2441">
        <v>9</v>
      </c>
      <c r="F2441">
        <v>0</v>
      </c>
      <c r="J2441">
        <v>0</v>
      </c>
      <c r="K2441">
        <v>0</v>
      </c>
      <c r="L2441">
        <v>0</v>
      </c>
      <c r="M2441" t="s">
        <v>25022</v>
      </c>
      <c r="N2441">
        <v>1520</v>
      </c>
      <c r="O2441" t="s">
        <v>9498</v>
      </c>
      <c r="P2441" t="s">
        <v>57</v>
      </c>
      <c r="Q2441">
        <v>1531870</v>
      </c>
      <c r="R2441">
        <v>1533279</v>
      </c>
      <c r="S2441" t="s">
        <v>9499</v>
      </c>
      <c r="T2441">
        <v>470</v>
      </c>
      <c r="U2441" t="s">
        <v>59</v>
      </c>
      <c r="V2441">
        <v>49</v>
      </c>
      <c r="W2441" t="str">
        <f>HYPERLINK("Gene1520-zp_tree_all.dnd", "Gene1520-tree")</f>
        <v>Gene1520-tree</v>
      </c>
      <c r="X2441">
        <v>16</v>
      </c>
      <c r="Y2441">
        <v>3</v>
      </c>
      <c r="Z2441">
        <v>16</v>
      </c>
      <c r="AA2441">
        <v>3</v>
      </c>
      <c r="AB2441">
        <v>0.15789</v>
      </c>
      <c r="AC2441" t="s">
        <v>60</v>
      </c>
      <c r="AD2441" t="s">
        <v>324</v>
      </c>
      <c r="AE2441" t="s">
        <v>62</v>
      </c>
      <c r="AF2441" t="s">
        <v>62</v>
      </c>
      <c r="AG2441">
        <v>0</v>
      </c>
      <c r="AH2441">
        <v>0</v>
      </c>
      <c r="AI2441">
        <v>7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3</v>
      </c>
      <c r="AT2441">
        <v>0</v>
      </c>
      <c r="AU2441">
        <v>16</v>
      </c>
      <c r="AV2441">
        <v>13</v>
      </c>
      <c r="AW2441">
        <v>40</v>
      </c>
      <c r="AX2441">
        <v>3</v>
      </c>
      <c r="AY2441">
        <v>61</v>
      </c>
      <c r="AZ2441">
        <v>4</v>
      </c>
      <c r="BA2441" t="s">
        <v>9500</v>
      </c>
      <c r="BB2441" t="s">
        <v>9501</v>
      </c>
      <c r="BC2441">
        <v>5.6000000000000001E-2</v>
      </c>
      <c r="BD2441" t="s">
        <v>65</v>
      </c>
      <c r="BE2441">
        <v>101</v>
      </c>
      <c r="BF2441">
        <v>7</v>
      </c>
      <c r="BG2441" t="s">
        <v>9502</v>
      </c>
      <c r="BH2441" t="s">
        <v>9503</v>
      </c>
      <c r="BI2441" t="s">
        <v>9386</v>
      </c>
      <c r="BJ2441">
        <v>2.443E-2</v>
      </c>
      <c r="BK2441">
        <v>1</v>
      </c>
      <c r="BL2441" t="s">
        <v>69</v>
      </c>
      <c r="BM2441">
        <v>-1.2629999999999999</v>
      </c>
      <c r="BN2441">
        <v>-0.218</v>
      </c>
    </row>
    <row r="2442" spans="2:66">
      <c r="B2442">
        <v>4179</v>
      </c>
      <c r="C2442">
        <v>385</v>
      </c>
      <c r="D2442">
        <v>0</v>
      </c>
      <c r="E2442">
        <v>16</v>
      </c>
      <c r="F2442">
        <v>0</v>
      </c>
      <c r="J2442">
        <v>0</v>
      </c>
      <c r="K2442">
        <v>0</v>
      </c>
      <c r="L2442">
        <v>0</v>
      </c>
      <c r="M2442" t="s">
        <v>25022</v>
      </c>
      <c r="N2442">
        <v>1522</v>
      </c>
      <c r="O2442" t="s">
        <v>9512</v>
      </c>
      <c r="P2442" t="s">
        <v>57</v>
      </c>
      <c r="Q2442">
        <v>1534120</v>
      </c>
      <c r="R2442">
        <v>1534236</v>
      </c>
      <c r="S2442" t="s">
        <v>9513</v>
      </c>
      <c r="T2442">
        <v>39</v>
      </c>
      <c r="U2442" t="s">
        <v>59</v>
      </c>
      <c r="V2442">
        <v>49</v>
      </c>
      <c r="W2442" t="str">
        <f>HYPERLINK("Gene1522-zp_tree_all.dnd", "Gene1522-tree")</f>
        <v>Gene1522-tree</v>
      </c>
      <c r="X2442">
        <v>3</v>
      </c>
      <c r="Y2442">
        <v>2</v>
      </c>
      <c r="Z2442">
        <v>3</v>
      </c>
      <c r="AA2442">
        <v>2</v>
      </c>
      <c r="AB2442">
        <v>0.4</v>
      </c>
      <c r="AC2442" t="s">
        <v>324</v>
      </c>
      <c r="AD2442" t="s">
        <v>81</v>
      </c>
      <c r="AE2442" t="s">
        <v>62</v>
      </c>
      <c r="AF2442" t="s">
        <v>62</v>
      </c>
      <c r="AG2442">
        <v>0</v>
      </c>
      <c r="AH2442">
        <v>0</v>
      </c>
      <c r="AI2442">
        <v>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2</v>
      </c>
      <c r="AT2442">
        <v>0</v>
      </c>
      <c r="AU2442">
        <v>3</v>
      </c>
      <c r="AV2442">
        <v>1</v>
      </c>
      <c r="AW2442">
        <v>4</v>
      </c>
      <c r="AX2442">
        <v>2</v>
      </c>
      <c r="AY2442">
        <v>2</v>
      </c>
      <c r="AZ2442">
        <v>0</v>
      </c>
      <c r="BA2442" t="s">
        <v>9514</v>
      </c>
      <c r="BB2442" t="s">
        <v>193</v>
      </c>
      <c r="BC2442">
        <v>1.732</v>
      </c>
      <c r="BD2442" t="s">
        <v>65</v>
      </c>
      <c r="BE2442">
        <v>6</v>
      </c>
      <c r="BF2442">
        <v>2</v>
      </c>
      <c r="BG2442" t="s">
        <v>9515</v>
      </c>
      <c r="BH2442" t="s">
        <v>9516</v>
      </c>
      <c r="BI2442" t="s">
        <v>9517</v>
      </c>
      <c r="BJ2442">
        <v>6.9040000000000004E-2</v>
      </c>
      <c r="BK2442">
        <v>1</v>
      </c>
      <c r="BL2442" t="s">
        <v>69</v>
      </c>
      <c r="BM2442">
        <v>-8.1000000000000003E-2</v>
      </c>
      <c r="BN2442">
        <v>-0.308</v>
      </c>
    </row>
    <row r="2443" spans="2:66">
      <c r="B2443">
        <v>4180</v>
      </c>
      <c r="C2443">
        <v>110</v>
      </c>
      <c r="D2443">
        <v>0</v>
      </c>
      <c r="E2443">
        <v>7</v>
      </c>
      <c r="F2443">
        <v>2</v>
      </c>
      <c r="J2443">
        <v>0</v>
      </c>
      <c r="K2443">
        <v>4</v>
      </c>
      <c r="L2443">
        <v>2</v>
      </c>
      <c r="M2443" t="s">
        <v>25022</v>
      </c>
      <c r="N2443">
        <v>1524</v>
      </c>
      <c r="O2443" t="s">
        <v>9525</v>
      </c>
      <c r="P2443" t="s">
        <v>57</v>
      </c>
      <c r="Q2443">
        <v>1535936</v>
      </c>
      <c r="R2443">
        <v>1536199</v>
      </c>
      <c r="S2443" t="s">
        <v>116</v>
      </c>
      <c r="T2443">
        <v>88</v>
      </c>
      <c r="U2443" t="s">
        <v>2803</v>
      </c>
      <c r="V2443">
        <v>45</v>
      </c>
      <c r="W2443" t="str">
        <f>HYPERLINK("Gene1524-zp_tree_all.dnd", "Gene1524-tree")</f>
        <v>Gene1524-tree</v>
      </c>
      <c r="X2443">
        <v>27</v>
      </c>
      <c r="Y2443">
        <v>5</v>
      </c>
      <c r="Z2443">
        <v>4</v>
      </c>
      <c r="AA2443">
        <v>5</v>
      </c>
      <c r="AB2443">
        <v>0.55556000000000005</v>
      </c>
      <c r="AC2443" t="s">
        <v>3027</v>
      </c>
      <c r="AD2443" t="s">
        <v>199</v>
      </c>
      <c r="AE2443" t="s">
        <v>62</v>
      </c>
      <c r="AF2443" t="s">
        <v>62</v>
      </c>
      <c r="AG2443">
        <v>3</v>
      </c>
      <c r="AH2443">
        <v>6</v>
      </c>
      <c r="AI2443">
        <v>1</v>
      </c>
      <c r="AJ2443">
        <v>0.85714000000000001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4</v>
      </c>
      <c r="AQ2443">
        <v>0</v>
      </c>
      <c r="AR2443">
        <v>4</v>
      </c>
      <c r="AS2443">
        <v>2</v>
      </c>
      <c r="AT2443">
        <v>0.66666999999999998</v>
      </c>
      <c r="AU2443">
        <v>6</v>
      </c>
      <c r="AV2443">
        <v>3</v>
      </c>
      <c r="AW2443">
        <v>12</v>
      </c>
      <c r="AX2443">
        <v>7</v>
      </c>
      <c r="AY2443">
        <v>2</v>
      </c>
      <c r="AZ2443">
        <v>1</v>
      </c>
      <c r="BA2443" t="s">
        <v>9526</v>
      </c>
      <c r="BB2443" t="s">
        <v>9527</v>
      </c>
      <c r="BC2443">
        <v>2.5999999999999999E-2</v>
      </c>
      <c r="BD2443" t="s">
        <v>65</v>
      </c>
      <c r="BE2443">
        <v>14</v>
      </c>
      <c r="BF2443">
        <v>8</v>
      </c>
      <c r="BG2443" t="s">
        <v>9528</v>
      </c>
      <c r="BH2443" t="s">
        <v>9529</v>
      </c>
      <c r="BI2443" t="s">
        <v>9530</v>
      </c>
      <c r="BJ2443">
        <v>0.12501000000000001</v>
      </c>
      <c r="BK2443">
        <v>1</v>
      </c>
      <c r="BL2443" t="s">
        <v>69</v>
      </c>
      <c r="BM2443">
        <v>-1.665</v>
      </c>
      <c r="BN2443">
        <v>-2.9809999999999999</v>
      </c>
    </row>
    <row r="2444" spans="2:66">
      <c r="B2444">
        <v>4184</v>
      </c>
      <c r="C2444">
        <v>73</v>
      </c>
      <c r="D2444">
        <v>0</v>
      </c>
      <c r="E2444">
        <v>4</v>
      </c>
      <c r="F2444">
        <v>1</v>
      </c>
      <c r="J2444">
        <v>0</v>
      </c>
      <c r="K2444">
        <v>0</v>
      </c>
      <c r="L2444">
        <v>0</v>
      </c>
      <c r="M2444" t="s">
        <v>25022</v>
      </c>
      <c r="N2444">
        <v>1526</v>
      </c>
      <c r="O2444" t="s">
        <v>9537</v>
      </c>
      <c r="P2444" t="s">
        <v>57</v>
      </c>
      <c r="Q2444">
        <v>1537113</v>
      </c>
      <c r="R2444">
        <v>1537298</v>
      </c>
      <c r="S2444" t="s">
        <v>9538</v>
      </c>
      <c r="T2444">
        <v>62</v>
      </c>
      <c r="U2444" t="s">
        <v>59</v>
      </c>
      <c r="V2444">
        <v>49</v>
      </c>
      <c r="W2444" t="str">
        <f>HYPERLINK("Gene1526-zp_tree_all.dnd", "Gene1526-tree")</f>
        <v>Gene1526-tree</v>
      </c>
      <c r="X2444">
        <v>4</v>
      </c>
      <c r="Y2444">
        <v>2</v>
      </c>
      <c r="Z2444">
        <v>4</v>
      </c>
      <c r="AA2444">
        <v>2</v>
      </c>
      <c r="AB2444">
        <v>0.33333000000000002</v>
      </c>
      <c r="AC2444" t="s">
        <v>61</v>
      </c>
      <c r="AD2444" t="s">
        <v>81</v>
      </c>
      <c r="AE2444" t="s">
        <v>62</v>
      </c>
      <c r="AF2444" t="s">
        <v>62</v>
      </c>
      <c r="AG2444">
        <v>0</v>
      </c>
      <c r="AH2444">
        <v>0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2</v>
      </c>
      <c r="AT2444">
        <v>0</v>
      </c>
      <c r="AU2444">
        <v>4</v>
      </c>
      <c r="AV2444">
        <v>1</v>
      </c>
      <c r="AW2444">
        <v>3</v>
      </c>
      <c r="AX2444">
        <v>2</v>
      </c>
      <c r="AY2444">
        <v>4</v>
      </c>
      <c r="AZ2444">
        <v>0</v>
      </c>
      <c r="BA2444" t="s">
        <v>9539</v>
      </c>
      <c r="BB2444" t="s">
        <v>193</v>
      </c>
      <c r="BC2444">
        <v>0.89500000000000002</v>
      </c>
      <c r="BD2444" t="s">
        <v>65</v>
      </c>
      <c r="BE2444">
        <v>7</v>
      </c>
      <c r="BF2444">
        <v>2</v>
      </c>
      <c r="BG2444" t="s">
        <v>9540</v>
      </c>
      <c r="BH2444" t="s">
        <v>9541</v>
      </c>
      <c r="BI2444" t="s">
        <v>9542</v>
      </c>
      <c r="BJ2444">
        <v>4.2869999999999998E-2</v>
      </c>
      <c r="BK2444">
        <v>1</v>
      </c>
      <c r="BL2444" t="s">
        <v>69</v>
      </c>
      <c r="BM2444">
        <v>-1.2689999999999999</v>
      </c>
      <c r="BN2444">
        <v>0.04</v>
      </c>
    </row>
    <row r="2445" spans="2:66">
      <c r="B2445">
        <v>4185</v>
      </c>
      <c r="C2445">
        <v>45</v>
      </c>
      <c r="D2445">
        <v>0</v>
      </c>
      <c r="E2445">
        <v>8</v>
      </c>
      <c r="F2445">
        <v>0</v>
      </c>
      <c r="J2445">
        <v>0</v>
      </c>
      <c r="K2445">
        <v>6</v>
      </c>
      <c r="L2445">
        <v>0</v>
      </c>
      <c r="M2445" t="s">
        <v>25022</v>
      </c>
      <c r="N2445">
        <v>1527</v>
      </c>
      <c r="O2445" t="s">
        <v>9543</v>
      </c>
      <c r="P2445" t="s">
        <v>57</v>
      </c>
      <c r="Q2445">
        <v>1537441</v>
      </c>
      <c r="R2445">
        <v>1538235</v>
      </c>
      <c r="S2445" t="s">
        <v>9544</v>
      </c>
      <c r="T2445">
        <v>265</v>
      </c>
      <c r="U2445" t="s">
        <v>108</v>
      </c>
      <c r="V2445">
        <v>44</v>
      </c>
      <c r="W2445" t="str">
        <f>HYPERLINK("Gene1527-zp_tree_all.dnd", "Gene1527-tree")</f>
        <v>Gene1527-tree</v>
      </c>
      <c r="X2445">
        <v>9</v>
      </c>
      <c r="Y2445">
        <v>4</v>
      </c>
      <c r="Z2445">
        <v>9</v>
      </c>
      <c r="AA2445">
        <v>4</v>
      </c>
      <c r="AB2445">
        <v>0.30769000000000002</v>
      </c>
      <c r="AC2445" t="s">
        <v>135</v>
      </c>
      <c r="AD2445" t="s">
        <v>61</v>
      </c>
      <c r="AE2445" t="s">
        <v>62</v>
      </c>
      <c r="AF2445" t="s">
        <v>62</v>
      </c>
      <c r="AG2445">
        <v>3</v>
      </c>
      <c r="AH2445">
        <v>6</v>
      </c>
      <c r="AI2445">
        <v>2</v>
      </c>
      <c r="AJ2445">
        <v>0.75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5</v>
      </c>
      <c r="AT2445">
        <v>0</v>
      </c>
      <c r="AU2445">
        <v>9</v>
      </c>
      <c r="AV2445">
        <v>9</v>
      </c>
      <c r="AW2445">
        <v>20</v>
      </c>
      <c r="AX2445">
        <v>4</v>
      </c>
      <c r="AY2445">
        <v>15</v>
      </c>
      <c r="AZ2445">
        <v>4</v>
      </c>
      <c r="BA2445" t="s">
        <v>9545</v>
      </c>
      <c r="BB2445" t="s">
        <v>9546</v>
      </c>
      <c r="BC2445">
        <v>0.218</v>
      </c>
      <c r="BD2445" t="s">
        <v>65</v>
      </c>
      <c r="BE2445">
        <v>35</v>
      </c>
      <c r="BF2445">
        <v>8</v>
      </c>
      <c r="BG2445" t="s">
        <v>9547</v>
      </c>
      <c r="BH2445" t="s">
        <v>9548</v>
      </c>
      <c r="BI2445" t="s">
        <v>9549</v>
      </c>
      <c r="BJ2445">
        <v>8.3460000000000006E-2</v>
      </c>
      <c r="BK2445">
        <v>1</v>
      </c>
      <c r="BL2445" t="s">
        <v>69</v>
      </c>
      <c r="BM2445">
        <v>0.11700000000000001</v>
      </c>
      <c r="BN2445">
        <v>-1.196</v>
      </c>
    </row>
    <row r="2446" spans="2:66">
      <c r="B2446">
        <v>4188</v>
      </c>
      <c r="C2446">
        <v>48</v>
      </c>
      <c r="D2446">
        <v>0</v>
      </c>
      <c r="E2446">
        <v>2</v>
      </c>
      <c r="F2446">
        <v>0</v>
      </c>
      <c r="J2446">
        <v>0</v>
      </c>
      <c r="K2446">
        <v>5</v>
      </c>
      <c r="L2446">
        <v>2</v>
      </c>
      <c r="M2446" t="s">
        <v>25022</v>
      </c>
      <c r="N2446">
        <v>1528</v>
      </c>
      <c r="O2446" t="s">
        <v>9550</v>
      </c>
      <c r="P2446" t="s">
        <v>57</v>
      </c>
      <c r="Q2446">
        <v>1538264</v>
      </c>
      <c r="R2446">
        <v>1538689</v>
      </c>
      <c r="S2446" t="s">
        <v>1217</v>
      </c>
      <c r="T2446">
        <v>142</v>
      </c>
      <c r="U2446" t="s">
        <v>108</v>
      </c>
      <c r="V2446">
        <v>44</v>
      </c>
      <c r="W2446" t="str">
        <f>HYPERLINK("Gene1528-zp_tree_all.dnd", "Gene1528-tree")</f>
        <v>Gene1528-tree</v>
      </c>
      <c r="X2446">
        <v>4</v>
      </c>
      <c r="Y2446">
        <v>8</v>
      </c>
      <c r="Z2446">
        <v>4</v>
      </c>
      <c r="AA2446">
        <v>8</v>
      </c>
      <c r="AB2446">
        <v>0.66666999999999998</v>
      </c>
      <c r="AC2446" t="s">
        <v>61</v>
      </c>
      <c r="AD2446" t="s">
        <v>136</v>
      </c>
      <c r="AE2446" t="s">
        <v>62</v>
      </c>
      <c r="AF2446" t="s">
        <v>62</v>
      </c>
      <c r="AG2446">
        <v>2</v>
      </c>
      <c r="AH2446">
        <v>7</v>
      </c>
      <c r="AI2446">
        <v>7</v>
      </c>
      <c r="AJ2446">
        <v>0.5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4</v>
      </c>
      <c r="AQ2446">
        <v>2</v>
      </c>
      <c r="AR2446">
        <v>6</v>
      </c>
      <c r="AS2446">
        <v>6</v>
      </c>
      <c r="AT2446">
        <v>0.5</v>
      </c>
      <c r="AU2446">
        <v>8</v>
      </c>
      <c r="AV2446">
        <v>6</v>
      </c>
      <c r="AW2446">
        <v>4</v>
      </c>
      <c r="AX2446">
        <v>10</v>
      </c>
      <c r="AY2446">
        <v>7</v>
      </c>
      <c r="AZ2446">
        <v>4</v>
      </c>
      <c r="BA2446" t="s">
        <v>9551</v>
      </c>
      <c r="BB2446" t="s">
        <v>9552</v>
      </c>
      <c r="BC2446">
        <v>1.476</v>
      </c>
      <c r="BD2446" t="s">
        <v>65</v>
      </c>
      <c r="BE2446">
        <v>11</v>
      </c>
      <c r="BF2446">
        <v>14</v>
      </c>
      <c r="BG2446" t="s">
        <v>9553</v>
      </c>
      <c r="BH2446" t="s">
        <v>9554</v>
      </c>
      <c r="BI2446" t="s">
        <v>9555</v>
      </c>
      <c r="BJ2446">
        <v>0.18912999999999999</v>
      </c>
      <c r="BK2446">
        <v>1</v>
      </c>
      <c r="BL2446" t="s">
        <v>69</v>
      </c>
      <c r="BM2446">
        <v>0.17100000000000001</v>
      </c>
      <c r="BN2446">
        <v>-0.70499999999999996</v>
      </c>
    </row>
    <row r="2447" spans="2:66">
      <c r="B2447">
        <v>4189</v>
      </c>
      <c r="C2447">
        <v>9</v>
      </c>
      <c r="D2447">
        <v>0</v>
      </c>
      <c r="E2447">
        <v>6</v>
      </c>
      <c r="F2447">
        <v>1</v>
      </c>
      <c r="J2447">
        <v>0</v>
      </c>
      <c r="K2447">
        <v>31</v>
      </c>
      <c r="L2447">
        <v>10</v>
      </c>
      <c r="M2447" t="s">
        <v>25022</v>
      </c>
      <c r="N2447">
        <v>1531</v>
      </c>
      <c r="O2447" t="s">
        <v>9570</v>
      </c>
      <c r="P2447" t="s">
        <v>57</v>
      </c>
      <c r="Q2447">
        <v>1541886</v>
      </c>
      <c r="R2447">
        <v>1543823</v>
      </c>
      <c r="S2447" t="s">
        <v>116</v>
      </c>
      <c r="T2447">
        <v>646</v>
      </c>
      <c r="U2447" t="s">
        <v>108</v>
      </c>
      <c r="V2447">
        <v>44</v>
      </c>
      <c r="W2447" t="str">
        <f>HYPERLINK("Gene1531-zp_tree_all.dnd", "Gene1531-tree")</f>
        <v>Gene1531-tree</v>
      </c>
      <c r="X2447">
        <v>0</v>
      </c>
      <c r="Y2447">
        <v>14</v>
      </c>
      <c r="Z2447">
        <v>0</v>
      </c>
      <c r="AA2447">
        <v>14</v>
      </c>
      <c r="AB2447">
        <v>1</v>
      </c>
      <c r="AC2447" t="s">
        <v>62</v>
      </c>
      <c r="AD2447" t="s">
        <v>543</v>
      </c>
      <c r="AE2447">
        <v>143484786.68799999</v>
      </c>
      <c r="AF2447" t="s">
        <v>65</v>
      </c>
      <c r="AG2447">
        <v>20</v>
      </c>
      <c r="AH2447">
        <v>41</v>
      </c>
      <c r="AI2447">
        <v>62</v>
      </c>
      <c r="AJ2447">
        <v>0.39806000000000002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4</v>
      </c>
      <c r="AQ2447">
        <v>8</v>
      </c>
      <c r="AR2447">
        <v>12</v>
      </c>
      <c r="AS2447">
        <v>58</v>
      </c>
      <c r="AT2447">
        <v>0.17143</v>
      </c>
      <c r="AU2447">
        <v>13</v>
      </c>
      <c r="AV2447">
        <v>10</v>
      </c>
      <c r="AW2447">
        <v>68</v>
      </c>
      <c r="AX2447">
        <v>62</v>
      </c>
      <c r="AY2447">
        <v>71</v>
      </c>
      <c r="AZ2447">
        <v>47</v>
      </c>
      <c r="BA2447" t="s">
        <v>9571</v>
      </c>
      <c r="BB2447" t="s">
        <v>9572</v>
      </c>
      <c r="BC2447">
        <v>0.432</v>
      </c>
      <c r="BD2447" t="s">
        <v>65</v>
      </c>
      <c r="BE2447">
        <v>139</v>
      </c>
      <c r="BF2447">
        <v>109</v>
      </c>
      <c r="BG2447" t="s">
        <v>9573</v>
      </c>
      <c r="BH2447" t="s">
        <v>9574</v>
      </c>
      <c r="BI2447" t="s">
        <v>9575</v>
      </c>
      <c r="BJ2447">
        <v>0.22761999999999999</v>
      </c>
      <c r="BK2447">
        <v>1</v>
      </c>
      <c r="BL2447" t="s">
        <v>69</v>
      </c>
      <c r="BM2447">
        <v>0.34499999999999997</v>
      </c>
      <c r="BN2447">
        <v>-0.28699999999999998</v>
      </c>
    </row>
    <row r="2448" spans="2:66">
      <c r="B2448">
        <v>4190</v>
      </c>
      <c r="C2448">
        <v>447</v>
      </c>
      <c r="D2448">
        <v>0</v>
      </c>
      <c r="E2448">
        <v>4</v>
      </c>
      <c r="F2448">
        <v>0</v>
      </c>
      <c r="J2448">
        <v>0</v>
      </c>
      <c r="K2448">
        <v>2</v>
      </c>
      <c r="L2448">
        <v>4</v>
      </c>
      <c r="M2448" t="s">
        <v>25022</v>
      </c>
      <c r="N2448">
        <v>1533</v>
      </c>
      <c r="O2448" t="s">
        <v>9576</v>
      </c>
      <c r="P2448" t="s">
        <v>57</v>
      </c>
      <c r="Q2448">
        <v>1544085</v>
      </c>
      <c r="R2448">
        <v>1544603</v>
      </c>
      <c r="S2448" t="s">
        <v>9577</v>
      </c>
      <c r="T2448">
        <v>173</v>
      </c>
      <c r="U2448" t="s">
        <v>108</v>
      </c>
      <c r="V2448">
        <v>44</v>
      </c>
      <c r="W2448" t="str">
        <f>HYPERLINK("Gene1533-zp_tree_all.dnd", "Gene1533-tree")</f>
        <v>Gene1533-tree</v>
      </c>
      <c r="X2448">
        <v>3</v>
      </c>
      <c r="Y2448">
        <v>7</v>
      </c>
      <c r="Z2448">
        <v>3</v>
      </c>
      <c r="AA2448">
        <v>7</v>
      </c>
      <c r="AB2448">
        <v>0.7</v>
      </c>
      <c r="AC2448" t="s">
        <v>324</v>
      </c>
      <c r="AD2448" t="s">
        <v>152</v>
      </c>
      <c r="AE2448" t="s">
        <v>62</v>
      </c>
      <c r="AF2448" t="s">
        <v>62</v>
      </c>
      <c r="AG2448">
        <v>3</v>
      </c>
      <c r="AH2448">
        <v>6</v>
      </c>
      <c r="AI2448">
        <v>9</v>
      </c>
      <c r="AJ2448">
        <v>0.4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4</v>
      </c>
      <c r="AR2448">
        <v>4</v>
      </c>
      <c r="AS2448">
        <v>8</v>
      </c>
      <c r="AT2448">
        <v>0.33333000000000002</v>
      </c>
      <c r="AU2448">
        <v>8</v>
      </c>
      <c r="AV2448">
        <v>7</v>
      </c>
      <c r="AW2448">
        <v>11</v>
      </c>
      <c r="AX2448">
        <v>10</v>
      </c>
      <c r="AY2448">
        <v>8</v>
      </c>
      <c r="AZ2448">
        <v>5</v>
      </c>
      <c r="BA2448" t="s">
        <v>9578</v>
      </c>
      <c r="BB2448" t="s">
        <v>9579</v>
      </c>
      <c r="BC2448">
        <v>0.27900000000000003</v>
      </c>
      <c r="BD2448" t="s">
        <v>65</v>
      </c>
      <c r="BE2448">
        <v>19</v>
      </c>
      <c r="BF2448">
        <v>15</v>
      </c>
      <c r="BG2448" t="s">
        <v>9580</v>
      </c>
      <c r="BH2448" t="s">
        <v>9581</v>
      </c>
      <c r="BI2448" t="s">
        <v>9582</v>
      </c>
      <c r="BJ2448">
        <v>0.19042000000000001</v>
      </c>
      <c r="BK2448">
        <v>1</v>
      </c>
      <c r="BL2448" t="s">
        <v>69</v>
      </c>
      <c r="BM2448">
        <v>-1.139</v>
      </c>
      <c r="BN2448">
        <v>-2.0329999999999999</v>
      </c>
    </row>
    <row r="2449" spans="2:66">
      <c r="B2449">
        <v>4194</v>
      </c>
      <c r="C2449">
        <v>385</v>
      </c>
      <c r="D2449">
        <v>0</v>
      </c>
      <c r="E2449">
        <v>0</v>
      </c>
      <c r="F2449">
        <v>2</v>
      </c>
      <c r="J2449">
        <v>0</v>
      </c>
      <c r="K2449">
        <v>5</v>
      </c>
      <c r="L2449">
        <v>0</v>
      </c>
      <c r="M2449" t="s">
        <v>25022</v>
      </c>
      <c r="N2449">
        <v>1534</v>
      </c>
      <c r="O2449" t="s">
        <v>9583</v>
      </c>
      <c r="P2449" t="s">
        <v>57</v>
      </c>
      <c r="Q2449">
        <v>1544603</v>
      </c>
      <c r="R2449">
        <v>1544893</v>
      </c>
      <c r="S2449" t="s">
        <v>9584</v>
      </c>
      <c r="T2449">
        <v>97</v>
      </c>
      <c r="U2449" t="s">
        <v>9585</v>
      </c>
      <c r="V2449">
        <v>42</v>
      </c>
      <c r="W2449" t="str">
        <f>HYPERLINK("Gene1534-zp_tree_all.dnd", "Gene1534-tree")</f>
        <v>Gene1534-tree</v>
      </c>
      <c r="X2449">
        <v>4</v>
      </c>
      <c r="Y2449">
        <v>7</v>
      </c>
      <c r="Z2449">
        <v>4</v>
      </c>
      <c r="AA2449">
        <v>7</v>
      </c>
      <c r="AB2449">
        <v>0.63636000000000004</v>
      </c>
      <c r="AC2449" t="s">
        <v>61</v>
      </c>
      <c r="AD2449" t="s">
        <v>152</v>
      </c>
      <c r="AE2449" t="s">
        <v>62</v>
      </c>
      <c r="AF2449" t="s">
        <v>62</v>
      </c>
      <c r="AG2449">
        <v>2</v>
      </c>
      <c r="AH2449">
        <v>5</v>
      </c>
      <c r="AI2449">
        <v>4</v>
      </c>
      <c r="AJ2449">
        <v>0.55556000000000005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3</v>
      </c>
      <c r="AQ2449">
        <v>0</v>
      </c>
      <c r="AR2449">
        <v>3</v>
      </c>
      <c r="AS2449">
        <v>4</v>
      </c>
      <c r="AT2449">
        <v>0.42857000000000001</v>
      </c>
      <c r="AU2449">
        <v>8</v>
      </c>
      <c r="AV2449">
        <v>4</v>
      </c>
      <c r="AW2449">
        <v>6</v>
      </c>
      <c r="AX2449">
        <v>7</v>
      </c>
      <c r="AY2449">
        <v>2</v>
      </c>
      <c r="AZ2449">
        <v>2</v>
      </c>
      <c r="BA2449" t="s">
        <v>9586</v>
      </c>
      <c r="BB2449" t="s">
        <v>9587</v>
      </c>
      <c r="BC2449">
        <v>0.14499999999999999</v>
      </c>
      <c r="BD2449" t="s">
        <v>65</v>
      </c>
      <c r="BE2449">
        <v>8</v>
      </c>
      <c r="BF2449">
        <v>9</v>
      </c>
      <c r="BG2449" t="s">
        <v>9588</v>
      </c>
      <c r="BH2449" t="s">
        <v>9589</v>
      </c>
      <c r="BI2449" t="s">
        <v>9590</v>
      </c>
      <c r="BJ2449">
        <v>0.26357000000000003</v>
      </c>
      <c r="BK2449">
        <v>1</v>
      </c>
      <c r="BL2449" t="s">
        <v>69</v>
      </c>
      <c r="BM2449">
        <v>-1.2190000000000001</v>
      </c>
      <c r="BN2449">
        <v>-0.441</v>
      </c>
    </row>
    <row r="2450" spans="2:66">
      <c r="B2450">
        <v>4195</v>
      </c>
      <c r="C2450">
        <v>338</v>
      </c>
      <c r="D2450">
        <v>0</v>
      </c>
      <c r="E2450">
        <v>51</v>
      </c>
      <c r="F2450">
        <v>7</v>
      </c>
      <c r="J2450">
        <v>0</v>
      </c>
      <c r="K2450">
        <v>0</v>
      </c>
      <c r="L2450">
        <v>0</v>
      </c>
      <c r="M2450" t="s">
        <v>25022</v>
      </c>
      <c r="N2450">
        <v>1537</v>
      </c>
      <c r="O2450" t="s">
        <v>9604</v>
      </c>
      <c r="P2450" t="s">
        <v>57</v>
      </c>
      <c r="Q2450">
        <v>1546121</v>
      </c>
      <c r="R2450">
        <v>1547956</v>
      </c>
      <c r="S2450" t="s">
        <v>9605</v>
      </c>
      <c r="T2450">
        <v>612</v>
      </c>
      <c r="U2450" t="s">
        <v>59</v>
      </c>
      <c r="V2450">
        <v>49</v>
      </c>
      <c r="W2450" t="str">
        <f>HYPERLINK("Gene1537-zp_tree_all.dnd", "Gene1537-tree")</f>
        <v>Gene1537-tree</v>
      </c>
      <c r="X2450">
        <v>18</v>
      </c>
      <c r="Y2450">
        <v>1</v>
      </c>
      <c r="Z2450">
        <v>18</v>
      </c>
      <c r="AA2450">
        <v>1</v>
      </c>
      <c r="AB2450">
        <v>5.2630000000000003E-2</v>
      </c>
      <c r="AC2450" t="s">
        <v>144</v>
      </c>
      <c r="AD2450" t="s">
        <v>175</v>
      </c>
      <c r="AE2450" t="s">
        <v>62</v>
      </c>
      <c r="AF2450" t="s">
        <v>62</v>
      </c>
      <c r="AG2450">
        <v>0</v>
      </c>
      <c r="AH2450">
        <v>0</v>
      </c>
      <c r="AI2450">
        <v>5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2</v>
      </c>
      <c r="AT2450">
        <v>0</v>
      </c>
      <c r="AU2450">
        <v>19</v>
      </c>
      <c r="AV2450">
        <v>11</v>
      </c>
      <c r="AW2450">
        <v>105</v>
      </c>
      <c r="AX2450">
        <v>2</v>
      </c>
      <c r="AY2450">
        <v>103</v>
      </c>
      <c r="AZ2450">
        <v>3</v>
      </c>
      <c r="BA2450" t="s">
        <v>9606</v>
      </c>
      <c r="BB2450" t="s">
        <v>9607</v>
      </c>
      <c r="BC2450">
        <v>0.105</v>
      </c>
      <c r="BD2450" t="s">
        <v>65</v>
      </c>
      <c r="BE2450">
        <v>208</v>
      </c>
      <c r="BF2450">
        <v>5</v>
      </c>
      <c r="BG2450" t="s">
        <v>9608</v>
      </c>
      <c r="BH2450" t="s">
        <v>9609</v>
      </c>
      <c r="BI2450" t="s">
        <v>9610</v>
      </c>
      <c r="BJ2450">
        <v>7.7299999999999999E-3</v>
      </c>
      <c r="BK2450">
        <v>1</v>
      </c>
      <c r="BL2450" t="s">
        <v>69</v>
      </c>
      <c r="BM2450">
        <v>-1.538</v>
      </c>
      <c r="BN2450">
        <v>-1.3160000000000001</v>
      </c>
    </row>
    <row r="2451" spans="2:66">
      <c r="B2451">
        <v>4197</v>
      </c>
      <c r="C2451">
        <v>59</v>
      </c>
      <c r="D2451">
        <v>0</v>
      </c>
      <c r="E2451">
        <v>4</v>
      </c>
      <c r="F2451">
        <v>0</v>
      </c>
      <c r="J2451">
        <v>0</v>
      </c>
      <c r="K2451">
        <v>2</v>
      </c>
      <c r="L2451">
        <v>0</v>
      </c>
      <c r="M2451" t="s">
        <v>25022</v>
      </c>
      <c r="N2451">
        <v>1538</v>
      </c>
      <c r="O2451" t="s">
        <v>9611</v>
      </c>
      <c r="P2451" t="s">
        <v>57</v>
      </c>
      <c r="Q2451">
        <v>1548016</v>
      </c>
      <c r="R2451">
        <v>1548330</v>
      </c>
      <c r="S2451" t="s">
        <v>9612</v>
      </c>
      <c r="T2451">
        <v>105</v>
      </c>
      <c r="U2451" t="s">
        <v>59</v>
      </c>
      <c r="V2451">
        <v>49</v>
      </c>
      <c r="W2451" t="str">
        <f>HYPERLINK("Gene1538-zp_tree_all.dnd", "Gene1538-tree")</f>
        <v>Gene1538-tree</v>
      </c>
      <c r="X2451">
        <v>33</v>
      </c>
      <c r="Y2451">
        <v>4</v>
      </c>
      <c r="Z2451">
        <v>7</v>
      </c>
      <c r="AA2451">
        <v>4</v>
      </c>
      <c r="AB2451">
        <v>0.36364000000000002</v>
      </c>
      <c r="AC2451" t="s">
        <v>5770</v>
      </c>
      <c r="AD2451" t="s">
        <v>61</v>
      </c>
      <c r="AE2451" t="s">
        <v>62</v>
      </c>
      <c r="AF2451" t="s">
        <v>62</v>
      </c>
      <c r="AG2451">
        <v>1</v>
      </c>
      <c r="AH2451">
        <v>2</v>
      </c>
      <c r="AI2451">
        <v>3</v>
      </c>
      <c r="AJ2451">
        <v>0.4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4</v>
      </c>
      <c r="AT2451">
        <v>0</v>
      </c>
      <c r="AU2451">
        <v>6</v>
      </c>
      <c r="AV2451">
        <v>5</v>
      </c>
      <c r="AW2451">
        <v>9</v>
      </c>
      <c r="AX2451">
        <v>4</v>
      </c>
      <c r="AY2451">
        <v>11</v>
      </c>
      <c r="AZ2451">
        <v>1</v>
      </c>
      <c r="BA2451" t="s">
        <v>9613</v>
      </c>
      <c r="BB2451" t="s">
        <v>9614</v>
      </c>
      <c r="BC2451">
        <v>1.3740000000000001</v>
      </c>
      <c r="BD2451" t="s">
        <v>65</v>
      </c>
      <c r="BE2451">
        <v>20</v>
      </c>
      <c r="BF2451">
        <v>5</v>
      </c>
      <c r="BG2451" t="s">
        <v>9615</v>
      </c>
      <c r="BH2451" t="s">
        <v>9616</v>
      </c>
      <c r="BI2451" t="s">
        <v>9617</v>
      </c>
      <c r="BJ2451">
        <v>5.185E-2</v>
      </c>
      <c r="BK2451">
        <v>1</v>
      </c>
      <c r="BL2451" t="s">
        <v>69</v>
      </c>
      <c r="BM2451">
        <v>-0.99</v>
      </c>
      <c r="BN2451">
        <v>0.28599999999999998</v>
      </c>
    </row>
    <row r="2452" spans="2:66">
      <c r="B2452">
        <v>4198</v>
      </c>
      <c r="C2452">
        <v>140</v>
      </c>
      <c r="D2452">
        <v>0</v>
      </c>
      <c r="E2452">
        <v>10</v>
      </c>
      <c r="F2452">
        <v>9</v>
      </c>
      <c r="J2452">
        <v>0</v>
      </c>
      <c r="K2452">
        <v>0</v>
      </c>
      <c r="L2452">
        <v>0</v>
      </c>
      <c r="M2452" t="s">
        <v>25022</v>
      </c>
      <c r="N2452">
        <v>1541</v>
      </c>
      <c r="O2452" t="s">
        <v>9630</v>
      </c>
      <c r="P2452" t="s">
        <v>57</v>
      </c>
      <c r="Q2452">
        <v>1549465</v>
      </c>
      <c r="R2452">
        <v>1550790</v>
      </c>
      <c r="S2452" t="s">
        <v>9631</v>
      </c>
      <c r="T2452">
        <v>442</v>
      </c>
      <c r="U2452" t="s">
        <v>108</v>
      </c>
      <c r="V2452">
        <v>44</v>
      </c>
      <c r="W2452" t="str">
        <f>HYPERLINK("Gene1541-zp_tree_all.dnd", "Gene1541-tree")</f>
        <v>Gene1541-tree</v>
      </c>
      <c r="X2452">
        <v>10</v>
      </c>
      <c r="Y2452">
        <v>3</v>
      </c>
      <c r="Z2452">
        <v>10</v>
      </c>
      <c r="AA2452">
        <v>3</v>
      </c>
      <c r="AB2452">
        <v>0.23077</v>
      </c>
      <c r="AC2452" t="s">
        <v>117</v>
      </c>
      <c r="AD2452" t="s">
        <v>324</v>
      </c>
      <c r="AE2452" t="s">
        <v>62</v>
      </c>
      <c r="AF2452" t="s">
        <v>62</v>
      </c>
      <c r="AG2452">
        <v>0</v>
      </c>
      <c r="AH2452">
        <v>0</v>
      </c>
      <c r="AI2452">
        <v>3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3</v>
      </c>
      <c r="AT2452">
        <v>0</v>
      </c>
      <c r="AU2452">
        <v>11</v>
      </c>
      <c r="AV2452">
        <v>8</v>
      </c>
      <c r="AW2452">
        <v>42</v>
      </c>
      <c r="AX2452">
        <v>3</v>
      </c>
      <c r="AY2452">
        <v>25</v>
      </c>
      <c r="AZ2452">
        <v>0</v>
      </c>
      <c r="BA2452" t="s">
        <v>9632</v>
      </c>
      <c r="BB2452" t="s">
        <v>193</v>
      </c>
      <c r="BC2452">
        <v>1.0049999999999999</v>
      </c>
      <c r="BD2452" t="s">
        <v>65</v>
      </c>
      <c r="BE2452">
        <v>67</v>
      </c>
      <c r="BF2452">
        <v>3</v>
      </c>
      <c r="BG2452" t="s">
        <v>9633</v>
      </c>
      <c r="BH2452" t="s">
        <v>9634</v>
      </c>
      <c r="BI2452" t="s">
        <v>9635</v>
      </c>
      <c r="BJ2452">
        <v>1.1650000000000001E-2</v>
      </c>
      <c r="BK2452">
        <v>1</v>
      </c>
      <c r="BL2452" t="s">
        <v>69</v>
      </c>
      <c r="BM2452">
        <v>-0.36699999999999999</v>
      </c>
      <c r="BN2452">
        <v>-0.12</v>
      </c>
    </row>
    <row r="2453" spans="2:66">
      <c r="B2453">
        <v>4201</v>
      </c>
      <c r="C2453">
        <v>76</v>
      </c>
      <c r="D2453">
        <v>0</v>
      </c>
      <c r="E2453">
        <v>4</v>
      </c>
      <c r="F2453">
        <v>0</v>
      </c>
      <c r="J2453">
        <v>0</v>
      </c>
      <c r="K2453">
        <v>2</v>
      </c>
      <c r="L2453">
        <v>0</v>
      </c>
      <c r="M2453" t="s">
        <v>25022</v>
      </c>
      <c r="N2453">
        <v>1543</v>
      </c>
      <c r="O2453" t="s">
        <v>9642</v>
      </c>
      <c r="P2453" t="s">
        <v>57</v>
      </c>
      <c r="Q2453">
        <v>1551385</v>
      </c>
      <c r="R2453">
        <v>1552311</v>
      </c>
      <c r="S2453" t="s">
        <v>9643</v>
      </c>
      <c r="T2453">
        <v>309</v>
      </c>
      <c r="U2453" t="s">
        <v>108</v>
      </c>
      <c r="V2453">
        <v>44</v>
      </c>
      <c r="W2453" t="str">
        <f>HYPERLINK("Gene1543-zp_tree_all.dnd", "Gene1543-tree")</f>
        <v>Gene1543-tree</v>
      </c>
      <c r="X2453">
        <v>10</v>
      </c>
      <c r="Y2453">
        <v>23</v>
      </c>
      <c r="Z2453">
        <v>10</v>
      </c>
      <c r="AA2453">
        <v>3</v>
      </c>
      <c r="AB2453">
        <v>0.23077</v>
      </c>
      <c r="AC2453" t="s">
        <v>117</v>
      </c>
      <c r="AD2453" t="s">
        <v>1725</v>
      </c>
      <c r="AE2453">
        <v>7.2169999999999996</v>
      </c>
      <c r="AF2453" t="s">
        <v>65</v>
      </c>
      <c r="AG2453">
        <v>1</v>
      </c>
      <c r="AH2453">
        <v>2</v>
      </c>
      <c r="AI2453">
        <v>2</v>
      </c>
      <c r="AJ2453">
        <v>0.5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3</v>
      </c>
      <c r="AT2453">
        <v>0</v>
      </c>
      <c r="AU2453">
        <v>10</v>
      </c>
      <c r="AV2453">
        <v>8</v>
      </c>
      <c r="AW2453">
        <v>25</v>
      </c>
      <c r="AX2453">
        <v>3</v>
      </c>
      <c r="AY2453">
        <v>10</v>
      </c>
      <c r="AZ2453">
        <v>1</v>
      </c>
      <c r="BA2453" t="s">
        <v>9644</v>
      </c>
      <c r="BB2453" t="s">
        <v>9645</v>
      </c>
      <c r="BC2453">
        <v>7.0000000000000007E-2</v>
      </c>
      <c r="BD2453" t="s">
        <v>65</v>
      </c>
      <c r="BE2453">
        <v>35</v>
      </c>
      <c r="BF2453">
        <v>4</v>
      </c>
      <c r="BG2453" t="s">
        <v>9646</v>
      </c>
      <c r="BH2453" t="s">
        <v>9647</v>
      </c>
      <c r="BI2453" t="s">
        <v>9648</v>
      </c>
      <c r="BJ2453">
        <v>3.1539999999999999E-2</v>
      </c>
      <c r="BK2453">
        <v>1</v>
      </c>
      <c r="BL2453" t="s">
        <v>69</v>
      </c>
      <c r="BM2453">
        <v>0.28699999999999998</v>
      </c>
      <c r="BN2453">
        <v>0.128</v>
      </c>
    </row>
    <row r="2454" spans="2:66">
      <c r="B2454">
        <v>4202</v>
      </c>
      <c r="C2454">
        <v>88</v>
      </c>
      <c r="D2454">
        <v>0</v>
      </c>
      <c r="E2454">
        <v>4</v>
      </c>
      <c r="F2454">
        <v>0</v>
      </c>
      <c r="J2454">
        <v>0</v>
      </c>
      <c r="K2454">
        <v>0</v>
      </c>
      <c r="L2454">
        <v>0</v>
      </c>
      <c r="M2454" t="s">
        <v>25022</v>
      </c>
      <c r="N2454">
        <v>1544</v>
      </c>
      <c r="O2454" t="s">
        <v>9649</v>
      </c>
      <c r="P2454" t="s">
        <v>57</v>
      </c>
      <c r="Q2454">
        <v>1552412</v>
      </c>
      <c r="R2454">
        <v>1552690</v>
      </c>
      <c r="S2454" t="s">
        <v>288</v>
      </c>
      <c r="T2454">
        <v>93</v>
      </c>
      <c r="U2454" t="s">
        <v>59</v>
      </c>
      <c r="V2454">
        <v>49</v>
      </c>
      <c r="W2454" t="str">
        <f>HYPERLINK("Gene1544-zp_tree_all.dnd", "Gene1544-tree")</f>
        <v>Gene1544-tree</v>
      </c>
      <c r="X2454">
        <v>33</v>
      </c>
      <c r="Y2454">
        <v>0</v>
      </c>
      <c r="Z2454">
        <v>6</v>
      </c>
      <c r="AA2454">
        <v>0</v>
      </c>
      <c r="AB2454">
        <v>0</v>
      </c>
      <c r="AC2454" t="s">
        <v>9650</v>
      </c>
      <c r="AD2454" t="s">
        <v>62</v>
      </c>
      <c r="AE2454" t="s">
        <v>62</v>
      </c>
      <c r="AF2454" t="s">
        <v>62</v>
      </c>
      <c r="AG2454">
        <v>0</v>
      </c>
      <c r="AH2454">
        <v>0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3</v>
      </c>
      <c r="AV2454">
        <v>3</v>
      </c>
      <c r="AW2454">
        <v>4</v>
      </c>
      <c r="AX2454">
        <v>0</v>
      </c>
      <c r="AY2454">
        <v>3</v>
      </c>
      <c r="AZ2454">
        <v>1</v>
      </c>
      <c r="BA2454" t="s">
        <v>193</v>
      </c>
      <c r="BB2454" t="s">
        <v>9651</v>
      </c>
      <c r="BC2454">
        <v>0.64800000000000002</v>
      </c>
      <c r="BD2454" t="s">
        <v>65</v>
      </c>
      <c r="BE2454">
        <v>7</v>
      </c>
      <c r="BF2454">
        <v>1</v>
      </c>
      <c r="BG2454" t="s">
        <v>9652</v>
      </c>
      <c r="BH2454" t="s">
        <v>9653</v>
      </c>
      <c r="BI2454" t="s">
        <v>9654</v>
      </c>
      <c r="BJ2454">
        <v>5.6300000000000003E-2</v>
      </c>
      <c r="BK2454">
        <v>1</v>
      </c>
      <c r="BL2454" t="s">
        <v>69</v>
      </c>
      <c r="BM2454">
        <v>0.308</v>
      </c>
      <c r="BN2454">
        <v>1.1759999999999999</v>
      </c>
    </row>
    <row r="2455" spans="2:66">
      <c r="B2455">
        <v>4203</v>
      </c>
      <c r="C2455">
        <v>7</v>
      </c>
      <c r="D2455">
        <v>0</v>
      </c>
      <c r="E2455">
        <v>4</v>
      </c>
      <c r="F2455">
        <v>0</v>
      </c>
      <c r="J2455">
        <v>0</v>
      </c>
      <c r="K2455">
        <v>14</v>
      </c>
      <c r="L2455">
        <v>0</v>
      </c>
      <c r="M2455" t="s">
        <v>25022</v>
      </c>
      <c r="N2455">
        <v>1545</v>
      </c>
      <c r="O2455" t="s">
        <v>9655</v>
      </c>
      <c r="P2455" t="s">
        <v>57</v>
      </c>
      <c r="Q2455">
        <v>1552899</v>
      </c>
      <c r="R2455">
        <v>1554107</v>
      </c>
      <c r="S2455" t="s">
        <v>9656</v>
      </c>
      <c r="T2455">
        <v>403</v>
      </c>
      <c r="U2455" t="s">
        <v>108</v>
      </c>
      <c r="V2455">
        <v>44</v>
      </c>
      <c r="W2455" t="str">
        <f>HYPERLINK("Gene1545-zp_tree_all.dnd", "Gene1545-tree")</f>
        <v>Gene1545-tree</v>
      </c>
      <c r="X2455">
        <v>26</v>
      </c>
      <c r="Y2455">
        <v>7</v>
      </c>
      <c r="Z2455">
        <v>7</v>
      </c>
      <c r="AA2455">
        <v>7</v>
      </c>
      <c r="AB2455">
        <v>0.5</v>
      </c>
      <c r="AC2455" t="s">
        <v>191</v>
      </c>
      <c r="AD2455" t="s">
        <v>152</v>
      </c>
      <c r="AE2455" t="s">
        <v>62</v>
      </c>
      <c r="AF2455" t="s">
        <v>62</v>
      </c>
      <c r="AG2455">
        <v>6</v>
      </c>
      <c r="AH2455">
        <v>14</v>
      </c>
      <c r="AI2455">
        <v>9</v>
      </c>
      <c r="AJ2455">
        <v>0.60870000000000002</v>
      </c>
      <c r="AK2455">
        <v>0</v>
      </c>
      <c r="AL2455">
        <v>0</v>
      </c>
      <c r="AM2455">
        <v>0</v>
      </c>
      <c r="AN2455">
        <v>3</v>
      </c>
      <c r="AO2455">
        <v>0</v>
      </c>
      <c r="AP2455">
        <v>6</v>
      </c>
      <c r="AQ2455">
        <v>0</v>
      </c>
      <c r="AR2455">
        <v>6</v>
      </c>
      <c r="AS2455">
        <v>6</v>
      </c>
      <c r="AT2455">
        <v>0.5</v>
      </c>
      <c r="AU2455">
        <v>12</v>
      </c>
      <c r="AV2455">
        <v>9</v>
      </c>
      <c r="AW2455">
        <v>62</v>
      </c>
      <c r="AX2455">
        <v>12</v>
      </c>
      <c r="AY2455">
        <v>43</v>
      </c>
      <c r="AZ2455">
        <v>11</v>
      </c>
      <c r="BA2455" t="s">
        <v>9657</v>
      </c>
      <c r="BB2455" t="s">
        <v>9658</v>
      </c>
      <c r="BC2455">
        <v>0.27100000000000002</v>
      </c>
      <c r="BD2455" t="s">
        <v>65</v>
      </c>
      <c r="BE2455">
        <v>105</v>
      </c>
      <c r="BF2455">
        <v>23</v>
      </c>
      <c r="BG2455" t="s">
        <v>9659</v>
      </c>
      <c r="BH2455" t="s">
        <v>9660</v>
      </c>
      <c r="BI2455" t="s">
        <v>9661</v>
      </c>
      <c r="BJ2455">
        <v>7.2499999999999995E-2</v>
      </c>
      <c r="BK2455">
        <v>1</v>
      </c>
      <c r="BL2455" t="s">
        <v>69</v>
      </c>
      <c r="BM2455">
        <v>0.106</v>
      </c>
      <c r="BN2455">
        <v>0.95099999999999996</v>
      </c>
    </row>
    <row r="2456" spans="2:66">
      <c r="B2456">
        <v>4214</v>
      </c>
      <c r="C2456">
        <v>82</v>
      </c>
      <c r="D2456">
        <v>0</v>
      </c>
      <c r="E2456">
        <v>2</v>
      </c>
      <c r="F2456">
        <v>2</v>
      </c>
      <c r="J2456">
        <v>0</v>
      </c>
      <c r="K2456">
        <v>7</v>
      </c>
      <c r="L2456">
        <v>0</v>
      </c>
      <c r="M2456" t="s">
        <v>25022</v>
      </c>
      <c r="N2456">
        <v>1546</v>
      </c>
      <c r="O2456" t="s">
        <v>9662</v>
      </c>
      <c r="P2456" t="s">
        <v>57</v>
      </c>
      <c r="Q2456">
        <v>1554185</v>
      </c>
      <c r="R2456">
        <v>1557628</v>
      </c>
      <c r="S2456" t="s">
        <v>9663</v>
      </c>
      <c r="T2456">
        <v>1148</v>
      </c>
      <c r="U2456" t="s">
        <v>108</v>
      </c>
      <c r="V2456">
        <v>44</v>
      </c>
      <c r="W2456" t="str">
        <f>HYPERLINK("Gene1546-zp_tree_all.dnd", "Gene1546-tree")</f>
        <v>Gene1546-tree</v>
      </c>
      <c r="X2456">
        <v>8</v>
      </c>
      <c r="Y2456">
        <v>26</v>
      </c>
      <c r="Z2456">
        <v>8</v>
      </c>
      <c r="AA2456">
        <v>9</v>
      </c>
      <c r="AB2456">
        <v>0.52941000000000005</v>
      </c>
      <c r="AC2456" t="s">
        <v>136</v>
      </c>
      <c r="AD2456" t="s">
        <v>4723</v>
      </c>
      <c r="AE2456">
        <v>3.093</v>
      </c>
      <c r="AF2456" t="s">
        <v>65</v>
      </c>
      <c r="AG2456">
        <v>3</v>
      </c>
      <c r="AH2456">
        <v>7</v>
      </c>
      <c r="AI2456">
        <v>14</v>
      </c>
      <c r="AJ2456">
        <v>0.33333000000000002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3</v>
      </c>
      <c r="AQ2456">
        <v>0</v>
      </c>
      <c r="AR2456">
        <v>3</v>
      </c>
      <c r="AS2456">
        <v>13</v>
      </c>
      <c r="AT2456">
        <v>0.1875</v>
      </c>
      <c r="AU2456">
        <v>14</v>
      </c>
      <c r="AV2456">
        <v>13</v>
      </c>
      <c r="AW2456">
        <v>86</v>
      </c>
      <c r="AX2456">
        <v>14</v>
      </c>
      <c r="AY2456">
        <v>99</v>
      </c>
      <c r="AZ2456">
        <v>7</v>
      </c>
      <c r="BA2456" t="s">
        <v>9664</v>
      </c>
      <c r="BB2456" t="s">
        <v>9665</v>
      </c>
      <c r="BC2456">
        <v>0.88</v>
      </c>
      <c r="BD2456" t="s">
        <v>65</v>
      </c>
      <c r="BE2456">
        <v>185</v>
      </c>
      <c r="BF2456">
        <v>21</v>
      </c>
      <c r="BG2456" t="s">
        <v>9666</v>
      </c>
      <c r="BH2456" t="s">
        <v>9667</v>
      </c>
      <c r="BI2456" t="s">
        <v>9668</v>
      </c>
      <c r="BJ2456">
        <v>2.717E-2</v>
      </c>
      <c r="BK2456">
        <v>1</v>
      </c>
      <c r="BL2456" t="s">
        <v>69</v>
      </c>
      <c r="BM2456">
        <v>-0.252</v>
      </c>
      <c r="BN2456">
        <v>0.182</v>
      </c>
    </row>
    <row r="2457" spans="2:66">
      <c r="B2457">
        <v>4215</v>
      </c>
      <c r="C2457">
        <v>32</v>
      </c>
      <c r="D2457">
        <v>0</v>
      </c>
      <c r="E2457">
        <v>9</v>
      </c>
      <c r="F2457">
        <v>2</v>
      </c>
      <c r="J2457">
        <v>0</v>
      </c>
      <c r="K2457">
        <v>2</v>
      </c>
      <c r="L2457">
        <v>0</v>
      </c>
      <c r="M2457" t="s">
        <v>25022</v>
      </c>
      <c r="N2457">
        <v>1548</v>
      </c>
      <c r="O2457" t="s">
        <v>9676</v>
      </c>
      <c r="P2457" t="s">
        <v>57</v>
      </c>
      <c r="Q2457">
        <v>1559309</v>
      </c>
      <c r="R2457">
        <v>1560223</v>
      </c>
      <c r="S2457" t="s">
        <v>9677</v>
      </c>
      <c r="T2457">
        <v>305</v>
      </c>
      <c r="U2457" t="s">
        <v>59</v>
      </c>
      <c r="V2457">
        <v>49</v>
      </c>
      <c r="W2457" t="str">
        <f>HYPERLINK("Gene1548-zp_tree_all.dnd", "Gene1548-tree")</f>
        <v>Gene1548-tree</v>
      </c>
      <c r="X2457">
        <v>16</v>
      </c>
      <c r="Y2457">
        <v>3</v>
      </c>
      <c r="Z2457">
        <v>16</v>
      </c>
      <c r="AA2457">
        <v>3</v>
      </c>
      <c r="AB2457">
        <v>0.15789</v>
      </c>
      <c r="AC2457" t="s">
        <v>60</v>
      </c>
      <c r="AD2457" t="s">
        <v>324</v>
      </c>
      <c r="AE2457" t="s">
        <v>62</v>
      </c>
      <c r="AF2457" t="s">
        <v>62</v>
      </c>
      <c r="AG2457">
        <v>1</v>
      </c>
      <c r="AH2457">
        <v>2</v>
      </c>
      <c r="AI2457">
        <v>3</v>
      </c>
      <c r="AJ2457">
        <v>0.4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3</v>
      </c>
      <c r="AT2457">
        <v>0</v>
      </c>
      <c r="AU2457">
        <v>14</v>
      </c>
      <c r="AV2457">
        <v>10</v>
      </c>
      <c r="AW2457">
        <v>38</v>
      </c>
      <c r="AX2457">
        <v>3</v>
      </c>
      <c r="AY2457">
        <v>52</v>
      </c>
      <c r="AZ2457">
        <v>2</v>
      </c>
      <c r="BA2457" t="s">
        <v>9678</v>
      </c>
      <c r="BB2457" t="s">
        <v>9679</v>
      </c>
      <c r="BC2457">
        <v>0.26900000000000002</v>
      </c>
      <c r="BD2457" t="s">
        <v>65</v>
      </c>
      <c r="BE2457">
        <v>90</v>
      </c>
      <c r="BF2457">
        <v>5</v>
      </c>
      <c r="BG2457" t="s">
        <v>9680</v>
      </c>
      <c r="BH2457" t="s">
        <v>9681</v>
      </c>
      <c r="BI2457" t="s">
        <v>9682</v>
      </c>
      <c r="BJ2457">
        <v>1.6830000000000001E-2</v>
      </c>
      <c r="BK2457">
        <v>1</v>
      </c>
      <c r="BL2457" t="s">
        <v>69</v>
      </c>
      <c r="BM2457">
        <v>-1.619</v>
      </c>
      <c r="BN2457">
        <v>-0.56200000000000006</v>
      </c>
    </row>
    <row r="2458" spans="2:66">
      <c r="B2458">
        <v>4216</v>
      </c>
      <c r="C2458">
        <v>274</v>
      </c>
      <c r="D2458">
        <v>0</v>
      </c>
      <c r="E2458">
        <v>15</v>
      </c>
      <c r="F2458">
        <v>1</v>
      </c>
      <c r="J2458">
        <v>0</v>
      </c>
      <c r="K2458">
        <v>2</v>
      </c>
      <c r="L2458">
        <v>0</v>
      </c>
      <c r="M2458" t="s">
        <v>25022</v>
      </c>
      <c r="N2458">
        <v>1549</v>
      </c>
      <c r="O2458" t="s">
        <v>9683</v>
      </c>
      <c r="P2458" t="s">
        <v>57</v>
      </c>
      <c r="Q2458">
        <v>1560466</v>
      </c>
      <c r="R2458">
        <v>1561533</v>
      </c>
      <c r="S2458" t="s">
        <v>9684</v>
      </c>
      <c r="T2458">
        <v>356</v>
      </c>
      <c r="U2458" t="s">
        <v>6329</v>
      </c>
      <c r="V2458">
        <v>47</v>
      </c>
      <c r="W2458" t="str">
        <f>HYPERLINK("Gene1549-zp_tree_all.dnd", "Gene1549-tree")</f>
        <v>Gene1549-tree</v>
      </c>
      <c r="X2458">
        <v>8</v>
      </c>
      <c r="Y2458">
        <v>9</v>
      </c>
      <c r="Z2458">
        <v>8</v>
      </c>
      <c r="AA2458">
        <v>9</v>
      </c>
      <c r="AB2458">
        <v>0.52941000000000005</v>
      </c>
      <c r="AC2458" t="s">
        <v>136</v>
      </c>
      <c r="AD2458" t="s">
        <v>135</v>
      </c>
      <c r="AE2458" t="s">
        <v>62</v>
      </c>
      <c r="AF2458" t="s">
        <v>62</v>
      </c>
      <c r="AG2458">
        <v>1</v>
      </c>
      <c r="AH2458">
        <v>2</v>
      </c>
      <c r="AI2458">
        <v>15</v>
      </c>
      <c r="AJ2458">
        <v>0.11765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10</v>
      </c>
      <c r="AT2458">
        <v>0</v>
      </c>
      <c r="AU2458">
        <v>12</v>
      </c>
      <c r="AV2458">
        <v>11</v>
      </c>
      <c r="AW2458">
        <v>27</v>
      </c>
      <c r="AX2458">
        <v>8</v>
      </c>
      <c r="AY2458">
        <v>56</v>
      </c>
      <c r="AZ2458">
        <v>9</v>
      </c>
      <c r="BA2458" t="s">
        <v>9685</v>
      </c>
      <c r="BB2458" t="s">
        <v>9686</v>
      </c>
      <c r="BC2458">
        <v>0.32800000000000001</v>
      </c>
      <c r="BD2458" t="s">
        <v>65</v>
      </c>
      <c r="BE2458">
        <v>83</v>
      </c>
      <c r="BF2458">
        <v>17</v>
      </c>
      <c r="BG2458" t="s">
        <v>9687</v>
      </c>
      <c r="BH2458" t="s">
        <v>9688</v>
      </c>
      <c r="BI2458" t="s">
        <v>9689</v>
      </c>
      <c r="BJ2458">
        <v>4.3069999999999997E-2</v>
      </c>
      <c r="BK2458">
        <v>1</v>
      </c>
      <c r="BL2458" t="s">
        <v>69</v>
      </c>
      <c r="BM2458">
        <v>-1.708</v>
      </c>
      <c r="BN2458">
        <v>-0.64500000000000002</v>
      </c>
    </row>
    <row r="2459" spans="2:66">
      <c r="B2459">
        <v>4217</v>
      </c>
      <c r="C2459">
        <v>364</v>
      </c>
      <c r="D2459">
        <v>0</v>
      </c>
      <c r="E2459">
        <v>23</v>
      </c>
      <c r="F2459">
        <v>4</v>
      </c>
      <c r="J2459">
        <v>0</v>
      </c>
      <c r="K2459">
        <v>4</v>
      </c>
      <c r="L2459">
        <v>0</v>
      </c>
      <c r="M2459" t="s">
        <v>25022</v>
      </c>
      <c r="N2459">
        <v>1550</v>
      </c>
      <c r="O2459" t="s">
        <v>9690</v>
      </c>
      <c r="P2459" t="s">
        <v>57</v>
      </c>
      <c r="Q2459">
        <v>1561569</v>
      </c>
      <c r="R2459">
        <v>1563434</v>
      </c>
      <c r="S2459" t="s">
        <v>9691</v>
      </c>
      <c r="T2459">
        <v>622</v>
      </c>
      <c r="U2459" t="s">
        <v>265</v>
      </c>
      <c r="V2459">
        <v>43</v>
      </c>
      <c r="W2459" t="str">
        <f>HYPERLINK("Gene1550-zp_tree_all.dnd", "Gene1550-tree")</f>
        <v>Gene1550-tree</v>
      </c>
      <c r="X2459">
        <v>10</v>
      </c>
      <c r="Y2459">
        <v>5</v>
      </c>
      <c r="Z2459">
        <v>10</v>
      </c>
      <c r="AA2459">
        <v>5</v>
      </c>
      <c r="AB2459">
        <v>0.33333000000000002</v>
      </c>
      <c r="AC2459" t="s">
        <v>117</v>
      </c>
      <c r="AD2459" t="s">
        <v>199</v>
      </c>
      <c r="AE2459" t="s">
        <v>62</v>
      </c>
      <c r="AF2459" t="s">
        <v>62</v>
      </c>
      <c r="AG2459">
        <v>2</v>
      </c>
      <c r="AH2459">
        <v>4</v>
      </c>
      <c r="AI2459">
        <v>4</v>
      </c>
      <c r="AJ2459">
        <v>0.5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2</v>
      </c>
      <c r="AQ2459">
        <v>0</v>
      </c>
      <c r="AR2459">
        <v>2</v>
      </c>
      <c r="AS2459">
        <v>4</v>
      </c>
      <c r="AT2459">
        <v>0.33333000000000002</v>
      </c>
      <c r="AU2459">
        <v>14</v>
      </c>
      <c r="AV2459">
        <v>10</v>
      </c>
      <c r="AW2459">
        <v>48</v>
      </c>
      <c r="AX2459">
        <v>6</v>
      </c>
      <c r="AY2459">
        <v>46</v>
      </c>
      <c r="AZ2459">
        <v>2</v>
      </c>
      <c r="BA2459" t="s">
        <v>9692</v>
      </c>
      <c r="BB2459" t="s">
        <v>9693</v>
      </c>
      <c r="BC2459">
        <v>0.624</v>
      </c>
      <c r="BD2459" t="s">
        <v>65</v>
      </c>
      <c r="BE2459">
        <v>94</v>
      </c>
      <c r="BF2459">
        <v>8</v>
      </c>
      <c r="BG2459" t="s">
        <v>9694</v>
      </c>
      <c r="BH2459" t="s">
        <v>9695</v>
      </c>
      <c r="BI2459" t="s">
        <v>9696</v>
      </c>
      <c r="BJ2459">
        <v>1.847E-2</v>
      </c>
      <c r="BK2459">
        <v>1</v>
      </c>
      <c r="BL2459" t="s">
        <v>69</v>
      </c>
      <c r="BM2459">
        <v>-0.73099999999999998</v>
      </c>
      <c r="BN2459">
        <v>-0.86</v>
      </c>
    </row>
    <row r="2460" spans="2:66">
      <c r="B2460">
        <v>4218</v>
      </c>
      <c r="C2460">
        <v>121</v>
      </c>
      <c r="D2460">
        <v>0</v>
      </c>
      <c r="E2460">
        <v>8</v>
      </c>
      <c r="F2460">
        <v>0</v>
      </c>
      <c r="J2460">
        <v>0</v>
      </c>
      <c r="K2460">
        <v>0</v>
      </c>
      <c r="L2460">
        <v>0</v>
      </c>
      <c r="M2460" t="s">
        <v>25022</v>
      </c>
      <c r="N2460">
        <v>1551</v>
      </c>
      <c r="O2460" t="s">
        <v>9697</v>
      </c>
      <c r="P2460" t="s">
        <v>57</v>
      </c>
      <c r="Q2460">
        <v>1563437</v>
      </c>
      <c r="R2460">
        <v>1564057</v>
      </c>
      <c r="S2460" t="s">
        <v>9698</v>
      </c>
      <c r="T2460">
        <v>207</v>
      </c>
      <c r="U2460" t="s">
        <v>108</v>
      </c>
      <c r="V2460">
        <v>44</v>
      </c>
      <c r="W2460" t="str">
        <f>HYPERLINK("Gene1551-zp_tree_all.dnd", "Gene1551-tree")</f>
        <v>Gene1551-tree</v>
      </c>
      <c r="X2460">
        <v>9</v>
      </c>
      <c r="Y2460">
        <v>3</v>
      </c>
      <c r="Z2460">
        <v>9</v>
      </c>
      <c r="AA2460">
        <v>3</v>
      </c>
      <c r="AB2460">
        <v>0.25</v>
      </c>
      <c r="AC2460" t="s">
        <v>135</v>
      </c>
      <c r="AD2460" t="s">
        <v>324</v>
      </c>
      <c r="AE2460" t="s">
        <v>62</v>
      </c>
      <c r="AF2460" t="s">
        <v>62</v>
      </c>
      <c r="AG2460">
        <v>0</v>
      </c>
      <c r="AH2460">
        <v>0</v>
      </c>
      <c r="AI2460">
        <v>3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3</v>
      </c>
      <c r="AT2460">
        <v>0</v>
      </c>
      <c r="AU2460">
        <v>8</v>
      </c>
      <c r="AV2460">
        <v>6</v>
      </c>
      <c r="AW2460">
        <v>9</v>
      </c>
      <c r="AX2460">
        <v>3</v>
      </c>
      <c r="AY2460">
        <v>6</v>
      </c>
      <c r="AZ2460">
        <v>0</v>
      </c>
      <c r="BA2460" t="s">
        <v>9699</v>
      </c>
      <c r="BB2460" t="s">
        <v>193</v>
      </c>
      <c r="BC2460">
        <v>1.2030000000000001</v>
      </c>
      <c r="BD2460" t="s">
        <v>65</v>
      </c>
      <c r="BE2460">
        <v>15</v>
      </c>
      <c r="BF2460">
        <v>3</v>
      </c>
      <c r="BG2460" t="s">
        <v>9700</v>
      </c>
      <c r="BH2460" t="s">
        <v>9701</v>
      </c>
      <c r="BI2460" t="s">
        <v>9702</v>
      </c>
      <c r="BJ2460">
        <v>4.3459999999999999E-2</v>
      </c>
      <c r="BK2460">
        <v>1</v>
      </c>
      <c r="BL2460" t="s">
        <v>69</v>
      </c>
      <c r="BM2460">
        <v>-1.226</v>
      </c>
      <c r="BN2460">
        <v>-1.54</v>
      </c>
    </row>
    <row r="2461" spans="2:66">
      <c r="B2461">
        <v>4219</v>
      </c>
      <c r="C2461">
        <v>123</v>
      </c>
      <c r="D2461">
        <v>0</v>
      </c>
      <c r="E2461">
        <v>4</v>
      </c>
      <c r="F2461">
        <v>0</v>
      </c>
      <c r="J2461">
        <v>0</v>
      </c>
      <c r="K2461">
        <v>0</v>
      </c>
      <c r="L2461">
        <v>0</v>
      </c>
      <c r="M2461" t="s">
        <v>25022</v>
      </c>
      <c r="N2461">
        <v>1552</v>
      </c>
      <c r="O2461" t="s">
        <v>9703</v>
      </c>
      <c r="P2461" t="s">
        <v>57</v>
      </c>
      <c r="Q2461">
        <v>1564063</v>
      </c>
      <c r="R2461">
        <v>1564392</v>
      </c>
      <c r="S2461" t="s">
        <v>9704</v>
      </c>
      <c r="T2461">
        <v>110</v>
      </c>
      <c r="U2461" t="s">
        <v>108</v>
      </c>
      <c r="V2461">
        <v>44</v>
      </c>
      <c r="W2461" t="str">
        <f>HYPERLINK("Gene1552-zp_tree_all.dnd", "Gene1552-tree")</f>
        <v>Gene1552-tree</v>
      </c>
      <c r="X2461">
        <v>7</v>
      </c>
      <c r="Y2461">
        <v>2</v>
      </c>
      <c r="Z2461">
        <v>7</v>
      </c>
      <c r="AA2461">
        <v>2</v>
      </c>
      <c r="AB2461">
        <v>0.22222</v>
      </c>
      <c r="AC2461" t="s">
        <v>152</v>
      </c>
      <c r="AD2461" t="s">
        <v>81</v>
      </c>
      <c r="AE2461" t="s">
        <v>62</v>
      </c>
      <c r="AF2461" t="s">
        <v>62</v>
      </c>
      <c r="AG2461">
        <v>0</v>
      </c>
      <c r="AH2461">
        <v>0</v>
      </c>
      <c r="AI2461">
        <v>2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0</v>
      </c>
      <c r="AU2461">
        <v>6</v>
      </c>
      <c r="AV2461">
        <v>2</v>
      </c>
      <c r="AW2461">
        <v>9</v>
      </c>
      <c r="AX2461">
        <v>2</v>
      </c>
      <c r="AY2461">
        <v>3</v>
      </c>
      <c r="AZ2461">
        <v>0</v>
      </c>
      <c r="BA2461" t="s">
        <v>9705</v>
      </c>
      <c r="BB2461" t="s">
        <v>193</v>
      </c>
      <c r="BC2461">
        <v>0.95399999999999996</v>
      </c>
      <c r="BD2461" t="s">
        <v>65</v>
      </c>
      <c r="BE2461">
        <v>12</v>
      </c>
      <c r="BF2461">
        <v>2</v>
      </c>
      <c r="BG2461" t="s">
        <v>9706</v>
      </c>
      <c r="BH2461" t="s">
        <v>9707</v>
      </c>
      <c r="BI2461" t="s">
        <v>9708</v>
      </c>
      <c r="BJ2461">
        <v>4.7289999999999999E-2</v>
      </c>
      <c r="BK2461">
        <v>1</v>
      </c>
      <c r="BL2461" t="s">
        <v>69</v>
      </c>
      <c r="BM2461">
        <v>-1.0580000000000001</v>
      </c>
      <c r="BN2461">
        <v>-2.4569999999999999</v>
      </c>
    </row>
    <row r="2462" spans="2:66">
      <c r="B2462">
        <v>4220</v>
      </c>
      <c r="C2462">
        <v>32</v>
      </c>
      <c r="D2462">
        <v>0</v>
      </c>
      <c r="E2462">
        <v>9</v>
      </c>
      <c r="F2462">
        <v>1</v>
      </c>
      <c r="J2462">
        <v>0</v>
      </c>
      <c r="K2462">
        <v>9</v>
      </c>
      <c r="L2462">
        <v>1</v>
      </c>
      <c r="M2462" t="s">
        <v>25022</v>
      </c>
      <c r="N2462">
        <v>1553</v>
      </c>
      <c r="O2462" t="s">
        <v>9709</v>
      </c>
      <c r="P2462" t="s">
        <v>57</v>
      </c>
      <c r="Q2462">
        <v>1564422</v>
      </c>
      <c r="R2462">
        <v>1565312</v>
      </c>
      <c r="S2462" t="s">
        <v>9710</v>
      </c>
      <c r="T2462">
        <v>297</v>
      </c>
      <c r="U2462" t="s">
        <v>108</v>
      </c>
      <c r="V2462">
        <v>44</v>
      </c>
      <c r="W2462" t="str">
        <f>HYPERLINK("Gene1553-zp_tree_all.dnd", "Gene1553-tree")</f>
        <v>Gene1553-tree</v>
      </c>
      <c r="X2462">
        <v>8</v>
      </c>
      <c r="Y2462">
        <v>7</v>
      </c>
      <c r="Z2462">
        <v>8</v>
      </c>
      <c r="AA2462">
        <v>7</v>
      </c>
      <c r="AB2462">
        <v>0.46666999999999997</v>
      </c>
      <c r="AC2462" t="s">
        <v>136</v>
      </c>
      <c r="AD2462" t="s">
        <v>152</v>
      </c>
      <c r="AE2462" t="s">
        <v>62</v>
      </c>
      <c r="AF2462" t="s">
        <v>62</v>
      </c>
      <c r="AG2462">
        <v>3</v>
      </c>
      <c r="AH2462">
        <v>10</v>
      </c>
      <c r="AI2462">
        <v>9</v>
      </c>
      <c r="AJ2462">
        <v>0.52632000000000001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</v>
      </c>
      <c r="AQ2462">
        <v>0</v>
      </c>
      <c r="AR2462">
        <v>4</v>
      </c>
      <c r="AS2462">
        <v>6</v>
      </c>
      <c r="AT2462">
        <v>0.4</v>
      </c>
      <c r="AU2462">
        <v>14</v>
      </c>
      <c r="AV2462">
        <v>9</v>
      </c>
      <c r="AW2462">
        <v>23</v>
      </c>
      <c r="AX2462">
        <v>9</v>
      </c>
      <c r="AY2462">
        <v>28</v>
      </c>
      <c r="AZ2462">
        <v>12</v>
      </c>
      <c r="BA2462" t="s">
        <v>9711</v>
      </c>
      <c r="BB2462" t="s">
        <v>9712</v>
      </c>
      <c r="BC2462">
        <v>4.2999999999999997E-2</v>
      </c>
      <c r="BD2462" t="s">
        <v>65</v>
      </c>
      <c r="BE2462">
        <v>51</v>
      </c>
      <c r="BF2462">
        <v>21</v>
      </c>
      <c r="BG2462" t="s">
        <v>9713</v>
      </c>
      <c r="BH2462" t="s">
        <v>9714</v>
      </c>
      <c r="BI2462" t="s">
        <v>9715</v>
      </c>
      <c r="BJ2462">
        <v>9.604E-2</v>
      </c>
      <c r="BK2462">
        <v>1</v>
      </c>
      <c r="BL2462" t="s">
        <v>69</v>
      </c>
      <c r="BM2462">
        <v>9.7000000000000003E-2</v>
      </c>
      <c r="BN2462">
        <v>-4.5999999999999999E-2</v>
      </c>
    </row>
    <row r="2463" spans="2:66">
      <c r="B2463">
        <v>4221</v>
      </c>
      <c r="C2463">
        <v>146</v>
      </c>
      <c r="D2463">
        <v>0</v>
      </c>
      <c r="E2463">
        <v>4</v>
      </c>
      <c r="F2463">
        <v>0</v>
      </c>
      <c r="J2463">
        <v>0</v>
      </c>
      <c r="K2463">
        <v>2</v>
      </c>
      <c r="L2463">
        <v>0</v>
      </c>
      <c r="M2463" t="s">
        <v>25022</v>
      </c>
      <c r="N2463">
        <v>1555</v>
      </c>
      <c r="O2463" t="s">
        <v>9722</v>
      </c>
      <c r="P2463" t="s">
        <v>57</v>
      </c>
      <c r="Q2463">
        <v>1565849</v>
      </c>
      <c r="R2463">
        <v>1566292</v>
      </c>
      <c r="S2463" t="s">
        <v>1340</v>
      </c>
      <c r="T2463">
        <v>148</v>
      </c>
      <c r="U2463" t="s">
        <v>2803</v>
      </c>
      <c r="V2463">
        <v>45</v>
      </c>
      <c r="W2463" t="str">
        <f>HYPERLINK("Gene1555-zp_tree_all.dnd", "Gene1555-tree")</f>
        <v>Gene1555-tree</v>
      </c>
      <c r="X2463">
        <v>7</v>
      </c>
      <c r="Y2463">
        <v>5</v>
      </c>
      <c r="Z2463">
        <v>7</v>
      </c>
      <c r="AA2463">
        <v>5</v>
      </c>
      <c r="AB2463">
        <v>0.41666999999999998</v>
      </c>
      <c r="AC2463" t="s">
        <v>152</v>
      </c>
      <c r="AD2463" t="s">
        <v>199</v>
      </c>
      <c r="AE2463" t="s">
        <v>62</v>
      </c>
      <c r="AF2463" t="s">
        <v>62</v>
      </c>
      <c r="AG2463">
        <v>1</v>
      </c>
      <c r="AH2463">
        <v>2</v>
      </c>
      <c r="AI2463">
        <v>3</v>
      </c>
      <c r="AJ2463">
        <v>0.4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2</v>
      </c>
      <c r="AQ2463">
        <v>0</v>
      </c>
      <c r="AR2463">
        <v>2</v>
      </c>
      <c r="AS2463">
        <v>3</v>
      </c>
      <c r="AT2463">
        <v>0.4</v>
      </c>
      <c r="AU2463">
        <v>10</v>
      </c>
      <c r="AV2463">
        <v>3</v>
      </c>
      <c r="AW2463">
        <v>27</v>
      </c>
      <c r="AX2463">
        <v>4</v>
      </c>
      <c r="AY2463">
        <v>3</v>
      </c>
      <c r="AZ2463">
        <v>1</v>
      </c>
      <c r="BA2463" t="s">
        <v>9723</v>
      </c>
      <c r="BB2463" t="s">
        <v>9724</v>
      </c>
      <c r="BC2463">
        <v>0.438</v>
      </c>
      <c r="BD2463" t="s">
        <v>65</v>
      </c>
      <c r="BE2463">
        <v>30</v>
      </c>
      <c r="BF2463">
        <v>5</v>
      </c>
      <c r="BG2463" t="s">
        <v>9725</v>
      </c>
      <c r="BH2463" t="s">
        <v>9726</v>
      </c>
      <c r="BI2463" t="s">
        <v>9727</v>
      </c>
      <c r="BJ2463">
        <v>3.0880000000000001E-2</v>
      </c>
      <c r="BK2463">
        <v>1</v>
      </c>
      <c r="BL2463" t="s">
        <v>69</v>
      </c>
      <c r="BM2463">
        <v>-1.702</v>
      </c>
      <c r="BN2463">
        <v>-4.125</v>
      </c>
    </row>
    <row r="2464" spans="2:66">
      <c r="B2464">
        <v>4224</v>
      </c>
      <c r="C2464">
        <v>162</v>
      </c>
      <c r="D2464">
        <v>0</v>
      </c>
      <c r="E2464">
        <v>9</v>
      </c>
      <c r="F2464">
        <v>1</v>
      </c>
      <c r="J2464">
        <v>0</v>
      </c>
      <c r="K2464">
        <v>4</v>
      </c>
      <c r="L2464">
        <v>1</v>
      </c>
      <c r="M2464" t="s">
        <v>25022</v>
      </c>
      <c r="N2464">
        <v>1556</v>
      </c>
      <c r="O2464" t="s">
        <v>9728</v>
      </c>
      <c r="P2464" t="s">
        <v>57</v>
      </c>
      <c r="Q2464">
        <v>1566379</v>
      </c>
      <c r="R2464">
        <v>1567416</v>
      </c>
      <c r="S2464" t="s">
        <v>288</v>
      </c>
      <c r="T2464">
        <v>346</v>
      </c>
      <c r="U2464" t="s">
        <v>108</v>
      </c>
      <c r="V2464">
        <v>44</v>
      </c>
      <c r="W2464" t="str">
        <f>HYPERLINK("Gene1556-zp_tree_all.dnd", "Gene1556-tree")</f>
        <v>Gene1556-tree</v>
      </c>
      <c r="X2464">
        <v>29</v>
      </c>
      <c r="Y2464">
        <v>7</v>
      </c>
      <c r="Z2464">
        <v>9</v>
      </c>
      <c r="AA2464">
        <v>7</v>
      </c>
      <c r="AB2464">
        <v>0.4375</v>
      </c>
      <c r="AC2464" t="s">
        <v>234</v>
      </c>
      <c r="AD2464" t="s">
        <v>152</v>
      </c>
      <c r="AE2464" t="s">
        <v>62</v>
      </c>
      <c r="AF2464" t="s">
        <v>62</v>
      </c>
      <c r="AG2464">
        <v>2</v>
      </c>
      <c r="AH2464">
        <v>5</v>
      </c>
      <c r="AI2464">
        <v>9</v>
      </c>
      <c r="AJ2464">
        <v>0.35714000000000001</v>
      </c>
      <c r="AK2464">
        <v>0</v>
      </c>
      <c r="AL2464">
        <v>2</v>
      </c>
      <c r="AM2464">
        <v>2</v>
      </c>
      <c r="AN2464">
        <v>1</v>
      </c>
      <c r="AO2464">
        <v>0.66666999999999998</v>
      </c>
      <c r="AP2464">
        <v>0</v>
      </c>
      <c r="AQ2464">
        <v>0</v>
      </c>
      <c r="AR2464">
        <v>0</v>
      </c>
      <c r="AS2464">
        <v>9</v>
      </c>
      <c r="AT2464">
        <v>0</v>
      </c>
      <c r="AU2464">
        <v>12</v>
      </c>
      <c r="AV2464">
        <v>11</v>
      </c>
      <c r="AW2464">
        <v>28</v>
      </c>
      <c r="AX2464">
        <v>10</v>
      </c>
      <c r="AY2464">
        <v>34</v>
      </c>
      <c r="AZ2464">
        <v>6</v>
      </c>
      <c r="BA2464" t="s">
        <v>9729</v>
      </c>
      <c r="BB2464" t="s">
        <v>9730</v>
      </c>
      <c r="BC2464">
        <v>0.63100000000000001</v>
      </c>
      <c r="BD2464" t="s">
        <v>65</v>
      </c>
      <c r="BE2464">
        <v>62</v>
      </c>
      <c r="BF2464">
        <v>16</v>
      </c>
      <c r="BG2464" t="s">
        <v>9731</v>
      </c>
      <c r="BH2464" t="s">
        <v>9732</v>
      </c>
      <c r="BI2464" t="s">
        <v>9733</v>
      </c>
      <c r="BJ2464">
        <v>6.6769999999999996E-2</v>
      </c>
      <c r="BK2464">
        <v>1</v>
      </c>
      <c r="BL2464" t="s">
        <v>69</v>
      </c>
      <c r="BM2464">
        <v>-1.17</v>
      </c>
      <c r="BN2464">
        <v>-0.82</v>
      </c>
    </row>
    <row r="2465" spans="2:66">
      <c r="B2465">
        <v>4226</v>
      </c>
      <c r="C2465">
        <v>80</v>
      </c>
      <c r="D2465">
        <v>0</v>
      </c>
      <c r="E2465">
        <v>2</v>
      </c>
      <c r="F2465">
        <v>4</v>
      </c>
      <c r="J2465">
        <v>0</v>
      </c>
      <c r="K2465">
        <v>2</v>
      </c>
      <c r="L2465">
        <v>0</v>
      </c>
      <c r="M2465" t="s">
        <v>25022</v>
      </c>
      <c r="N2465">
        <v>1557</v>
      </c>
      <c r="O2465" t="s">
        <v>9734</v>
      </c>
      <c r="P2465" t="s">
        <v>57</v>
      </c>
      <c r="Q2465">
        <v>1567651</v>
      </c>
      <c r="R2465">
        <v>1568046</v>
      </c>
      <c r="S2465" t="s">
        <v>9735</v>
      </c>
      <c r="T2465">
        <v>132</v>
      </c>
      <c r="U2465" t="s">
        <v>59</v>
      </c>
      <c r="V2465">
        <v>49</v>
      </c>
      <c r="W2465" t="str">
        <f>HYPERLINK("Gene1557-zp_tree_all.dnd", "Gene1557-tree")</f>
        <v>Gene1557-tree</v>
      </c>
      <c r="X2465">
        <v>9</v>
      </c>
      <c r="Y2465">
        <v>7</v>
      </c>
      <c r="Z2465">
        <v>9</v>
      </c>
      <c r="AA2465">
        <v>7</v>
      </c>
      <c r="AB2465">
        <v>0.4375</v>
      </c>
      <c r="AC2465" t="s">
        <v>135</v>
      </c>
      <c r="AD2465" t="s">
        <v>152</v>
      </c>
      <c r="AE2465" t="s">
        <v>62</v>
      </c>
      <c r="AF2465" t="s">
        <v>62</v>
      </c>
      <c r="AG2465">
        <v>1</v>
      </c>
      <c r="AH2465">
        <v>2</v>
      </c>
      <c r="AI2465">
        <v>13</v>
      </c>
      <c r="AJ2465">
        <v>0.13333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8</v>
      </c>
      <c r="AT2465">
        <v>0</v>
      </c>
      <c r="AU2465">
        <v>12</v>
      </c>
      <c r="AV2465">
        <v>7</v>
      </c>
      <c r="AW2465">
        <v>14</v>
      </c>
      <c r="AX2465">
        <v>7</v>
      </c>
      <c r="AY2465">
        <v>15</v>
      </c>
      <c r="AZ2465">
        <v>9</v>
      </c>
      <c r="BA2465" t="s">
        <v>9736</v>
      </c>
      <c r="BB2465" t="s">
        <v>9737</v>
      </c>
      <c r="BC2465">
        <v>0.20699999999999999</v>
      </c>
      <c r="BD2465" t="s">
        <v>65</v>
      </c>
      <c r="BE2465">
        <v>29</v>
      </c>
      <c r="BF2465">
        <v>16</v>
      </c>
      <c r="BG2465" t="s">
        <v>9738</v>
      </c>
      <c r="BH2465" t="s">
        <v>9739</v>
      </c>
      <c r="BI2465" t="s">
        <v>9740</v>
      </c>
      <c r="BJ2465">
        <v>0.13816000000000001</v>
      </c>
      <c r="BK2465">
        <v>1</v>
      </c>
      <c r="BL2465" t="s">
        <v>69</v>
      </c>
      <c r="BM2465">
        <v>-1.534</v>
      </c>
      <c r="BN2465">
        <v>-0.34100000000000003</v>
      </c>
    </row>
    <row r="2466" spans="2:66">
      <c r="B2466">
        <v>4227</v>
      </c>
      <c r="C2466">
        <v>169</v>
      </c>
      <c r="D2466">
        <v>0</v>
      </c>
      <c r="E2466">
        <v>7</v>
      </c>
      <c r="F2466">
        <v>3</v>
      </c>
      <c r="J2466">
        <v>0</v>
      </c>
      <c r="K2466">
        <v>0</v>
      </c>
      <c r="L2466">
        <v>0</v>
      </c>
      <c r="M2466" t="s">
        <v>25022</v>
      </c>
      <c r="N2466">
        <v>1558</v>
      </c>
      <c r="O2466" t="s">
        <v>9741</v>
      </c>
      <c r="P2466" t="s">
        <v>57</v>
      </c>
      <c r="Q2466">
        <v>1568065</v>
      </c>
      <c r="R2466">
        <v>1568301</v>
      </c>
      <c r="S2466" t="s">
        <v>288</v>
      </c>
      <c r="T2466">
        <v>79</v>
      </c>
      <c r="U2466" t="s">
        <v>59</v>
      </c>
      <c r="V2466">
        <v>49</v>
      </c>
      <c r="W2466" t="str">
        <f>HYPERLINK("Gene1558-zp_tree_all.dnd", "Gene1558-tree")</f>
        <v>Gene1558-tree</v>
      </c>
      <c r="X2466">
        <v>5</v>
      </c>
      <c r="Y2466">
        <v>3</v>
      </c>
      <c r="Z2466">
        <v>5</v>
      </c>
      <c r="AA2466">
        <v>3</v>
      </c>
      <c r="AB2466">
        <v>0.375</v>
      </c>
      <c r="AC2466" t="s">
        <v>199</v>
      </c>
      <c r="AD2466" t="s">
        <v>324</v>
      </c>
      <c r="AE2466" t="s">
        <v>62</v>
      </c>
      <c r="AF2466" t="s">
        <v>62</v>
      </c>
      <c r="AG2466">
        <v>0</v>
      </c>
      <c r="AH2466">
        <v>0</v>
      </c>
      <c r="AI2466">
        <v>6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4</v>
      </c>
      <c r="AT2466">
        <v>0</v>
      </c>
      <c r="AU2466">
        <v>4</v>
      </c>
      <c r="AV2466">
        <v>4</v>
      </c>
      <c r="AW2466">
        <v>4</v>
      </c>
      <c r="AX2466">
        <v>3</v>
      </c>
      <c r="AY2466">
        <v>9</v>
      </c>
      <c r="AZ2466">
        <v>3</v>
      </c>
      <c r="BA2466" t="s">
        <v>9742</v>
      </c>
      <c r="BB2466" t="s">
        <v>9743</v>
      </c>
      <c r="BC2466">
        <v>0.58399999999999996</v>
      </c>
      <c r="BD2466" t="s">
        <v>65</v>
      </c>
      <c r="BE2466">
        <v>13</v>
      </c>
      <c r="BF2466">
        <v>6</v>
      </c>
      <c r="BG2466" t="s">
        <v>9744</v>
      </c>
      <c r="BH2466" t="s">
        <v>9745</v>
      </c>
      <c r="BI2466" t="s">
        <v>9746</v>
      </c>
      <c r="BJ2466">
        <v>8.7770000000000001E-2</v>
      </c>
      <c r="BK2466">
        <v>1</v>
      </c>
      <c r="BL2466" t="s">
        <v>69</v>
      </c>
      <c r="BM2466">
        <v>-1.05</v>
      </c>
      <c r="BN2466">
        <v>-1.0189999999999999</v>
      </c>
    </row>
    <row r="2467" spans="2:66">
      <c r="B2467">
        <v>4232</v>
      </c>
      <c r="C2467">
        <v>8</v>
      </c>
      <c r="D2467">
        <v>0</v>
      </c>
      <c r="E2467">
        <v>0</v>
      </c>
      <c r="F2467">
        <v>2</v>
      </c>
      <c r="J2467">
        <v>0</v>
      </c>
      <c r="K2467">
        <v>0</v>
      </c>
      <c r="L2467">
        <v>0</v>
      </c>
      <c r="M2467" t="s">
        <v>25022</v>
      </c>
      <c r="N2467">
        <v>1559</v>
      </c>
      <c r="O2467" t="s">
        <v>9747</v>
      </c>
      <c r="P2467" t="s">
        <v>57</v>
      </c>
      <c r="Q2467">
        <v>1568420</v>
      </c>
      <c r="R2467">
        <v>1568866</v>
      </c>
      <c r="S2467" t="s">
        <v>9748</v>
      </c>
      <c r="T2467">
        <v>149</v>
      </c>
      <c r="U2467" t="s">
        <v>59</v>
      </c>
      <c r="V2467">
        <v>49</v>
      </c>
      <c r="W2467" t="str">
        <f>HYPERLINK("Gene1559-zp_tree_all.dnd", "Gene1559-tree")</f>
        <v>Gene1559-tree</v>
      </c>
      <c r="X2467">
        <v>9</v>
      </c>
      <c r="Y2467">
        <v>2</v>
      </c>
      <c r="Z2467">
        <v>9</v>
      </c>
      <c r="AA2467">
        <v>2</v>
      </c>
      <c r="AB2467">
        <v>0.18182000000000001</v>
      </c>
      <c r="AC2467" t="s">
        <v>135</v>
      </c>
      <c r="AD2467" t="s">
        <v>81</v>
      </c>
      <c r="AE2467" t="s">
        <v>62</v>
      </c>
      <c r="AF2467" t="s">
        <v>62</v>
      </c>
      <c r="AG2467">
        <v>0</v>
      </c>
      <c r="AH2467">
        <v>0</v>
      </c>
      <c r="AI2467">
        <v>2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2</v>
      </c>
      <c r="AT2467">
        <v>0</v>
      </c>
      <c r="AU2467">
        <v>7</v>
      </c>
      <c r="AV2467">
        <v>7</v>
      </c>
      <c r="AW2467">
        <v>10</v>
      </c>
      <c r="AX2467">
        <v>2</v>
      </c>
      <c r="AY2467">
        <v>17</v>
      </c>
      <c r="AZ2467">
        <v>0</v>
      </c>
      <c r="BA2467" t="s">
        <v>9749</v>
      </c>
      <c r="BB2467" t="s">
        <v>193</v>
      </c>
      <c r="BC2467">
        <v>0.91100000000000003</v>
      </c>
      <c r="BD2467" t="s">
        <v>65</v>
      </c>
      <c r="BE2467">
        <v>27</v>
      </c>
      <c r="BF2467">
        <v>2</v>
      </c>
      <c r="BG2467" t="s">
        <v>9750</v>
      </c>
      <c r="BH2467" t="s">
        <v>9751</v>
      </c>
      <c r="BI2467" t="s">
        <v>9752</v>
      </c>
      <c r="BJ2467">
        <v>1.1780000000000001E-2</v>
      </c>
      <c r="BK2467">
        <v>1</v>
      </c>
      <c r="BL2467" t="s">
        <v>69</v>
      </c>
      <c r="BM2467">
        <v>-1.2569999999999999</v>
      </c>
      <c r="BN2467">
        <v>-0.70199999999999996</v>
      </c>
    </row>
    <row r="2468" spans="2:66">
      <c r="B2468">
        <v>4233</v>
      </c>
      <c r="C2468">
        <v>24</v>
      </c>
      <c r="D2468">
        <v>0</v>
      </c>
      <c r="E2468">
        <v>35</v>
      </c>
      <c r="F2468">
        <v>3</v>
      </c>
      <c r="J2468">
        <v>0</v>
      </c>
      <c r="K2468">
        <v>0</v>
      </c>
      <c r="L2468">
        <v>0</v>
      </c>
      <c r="M2468" t="s">
        <v>25022</v>
      </c>
      <c r="N2468">
        <v>1560</v>
      </c>
      <c r="O2468" t="s">
        <v>9753</v>
      </c>
      <c r="P2468" t="s">
        <v>57</v>
      </c>
      <c r="Q2468">
        <v>1568924</v>
      </c>
      <c r="R2468">
        <v>1569193</v>
      </c>
      <c r="S2468" t="s">
        <v>288</v>
      </c>
      <c r="T2468">
        <v>90</v>
      </c>
      <c r="U2468" t="s">
        <v>698</v>
      </c>
      <c r="V2468">
        <v>47</v>
      </c>
      <c r="W2468" t="str">
        <f>HYPERLINK("Gene1560-zp_tree_all.dnd", "Gene1560-tree")</f>
        <v>Gene1560-tree</v>
      </c>
      <c r="X2468">
        <v>5</v>
      </c>
      <c r="Y2468">
        <v>3</v>
      </c>
      <c r="Z2468">
        <v>5</v>
      </c>
      <c r="AA2468">
        <v>3</v>
      </c>
      <c r="AB2468">
        <v>0.375</v>
      </c>
      <c r="AC2468" t="s">
        <v>199</v>
      </c>
      <c r="AD2468" t="s">
        <v>324</v>
      </c>
      <c r="AE2468" t="s">
        <v>62</v>
      </c>
      <c r="AF2468" t="s">
        <v>62</v>
      </c>
      <c r="AG2468">
        <v>0</v>
      </c>
      <c r="AH2468">
        <v>0</v>
      </c>
      <c r="AI2468">
        <v>4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3</v>
      </c>
      <c r="AT2468">
        <v>0</v>
      </c>
      <c r="AU2468">
        <v>6</v>
      </c>
      <c r="AV2468">
        <v>2</v>
      </c>
      <c r="AW2468">
        <v>13</v>
      </c>
      <c r="AX2468">
        <v>3</v>
      </c>
      <c r="AY2468">
        <v>1</v>
      </c>
      <c r="AZ2468">
        <v>1</v>
      </c>
      <c r="BA2468" t="s">
        <v>9754</v>
      </c>
      <c r="BB2468" t="s">
        <v>9755</v>
      </c>
      <c r="BC2468">
        <v>0.54500000000000004</v>
      </c>
      <c r="BD2468" t="s">
        <v>65</v>
      </c>
      <c r="BE2468">
        <v>14</v>
      </c>
      <c r="BF2468">
        <v>4</v>
      </c>
      <c r="BG2468" t="s">
        <v>9756</v>
      </c>
      <c r="BH2468" t="s">
        <v>9757</v>
      </c>
      <c r="BI2468" t="s">
        <v>9758</v>
      </c>
      <c r="BJ2468">
        <v>9.0139999999999998E-2</v>
      </c>
      <c r="BK2468">
        <v>1</v>
      </c>
      <c r="BL2468" t="s">
        <v>69</v>
      </c>
      <c r="BM2468">
        <v>-1.6080000000000001</v>
      </c>
      <c r="BN2468">
        <v>-0.439</v>
      </c>
    </row>
    <row r="2469" spans="2:66">
      <c r="B2469">
        <v>4234</v>
      </c>
      <c r="C2469">
        <v>126</v>
      </c>
      <c r="D2469">
        <v>0</v>
      </c>
      <c r="E2469">
        <v>2</v>
      </c>
      <c r="F2469">
        <v>2</v>
      </c>
      <c r="J2469">
        <v>0</v>
      </c>
      <c r="K2469">
        <v>5</v>
      </c>
      <c r="L2469">
        <v>2</v>
      </c>
      <c r="M2469" t="s">
        <v>25022</v>
      </c>
      <c r="N2469">
        <v>1561</v>
      </c>
      <c r="O2469" t="s">
        <v>9759</v>
      </c>
      <c r="P2469" t="s">
        <v>57</v>
      </c>
      <c r="Q2469">
        <v>1569519</v>
      </c>
      <c r="R2469">
        <v>1570070</v>
      </c>
      <c r="S2469" t="s">
        <v>9760</v>
      </c>
      <c r="T2469">
        <v>184</v>
      </c>
      <c r="U2469" t="s">
        <v>572</v>
      </c>
      <c r="V2469">
        <v>48</v>
      </c>
      <c r="W2469" t="str">
        <f>HYPERLINK("Gene1561-zp_tree_all.dnd", "Gene1561-tree")</f>
        <v>Gene1561-tree</v>
      </c>
      <c r="X2469">
        <v>9</v>
      </c>
      <c r="Y2469">
        <v>8</v>
      </c>
      <c r="Z2469">
        <v>9</v>
      </c>
      <c r="AA2469">
        <v>8</v>
      </c>
      <c r="AB2469">
        <v>0.47059000000000001</v>
      </c>
      <c r="AC2469" t="s">
        <v>135</v>
      </c>
      <c r="AD2469" t="s">
        <v>136</v>
      </c>
      <c r="AE2469" t="s">
        <v>62</v>
      </c>
      <c r="AF2469" t="s">
        <v>62</v>
      </c>
      <c r="AG2469">
        <v>3</v>
      </c>
      <c r="AH2469">
        <v>7</v>
      </c>
      <c r="AI2469">
        <v>11</v>
      </c>
      <c r="AJ2469">
        <v>0.38889000000000001</v>
      </c>
      <c r="AK2469">
        <v>0</v>
      </c>
      <c r="AL2469">
        <v>0</v>
      </c>
      <c r="AM2469">
        <v>0</v>
      </c>
      <c r="AN2469">
        <v>3</v>
      </c>
      <c r="AO2469">
        <v>0</v>
      </c>
      <c r="AP2469">
        <v>2</v>
      </c>
      <c r="AQ2469">
        <v>0</v>
      </c>
      <c r="AR2469">
        <v>2</v>
      </c>
      <c r="AS2469">
        <v>8</v>
      </c>
      <c r="AT2469">
        <v>0.2</v>
      </c>
      <c r="AU2469">
        <v>12</v>
      </c>
      <c r="AV2469">
        <v>11</v>
      </c>
      <c r="AW2469">
        <v>34</v>
      </c>
      <c r="AX2469">
        <v>10</v>
      </c>
      <c r="AY2469">
        <v>31</v>
      </c>
      <c r="AZ2469">
        <v>9</v>
      </c>
      <c r="BA2469" t="s">
        <v>9761</v>
      </c>
      <c r="BB2469" t="s">
        <v>9762</v>
      </c>
      <c r="BC2469">
        <v>0.01</v>
      </c>
      <c r="BD2469" t="s">
        <v>65</v>
      </c>
      <c r="BE2469">
        <v>65</v>
      </c>
      <c r="BF2469">
        <v>19</v>
      </c>
      <c r="BG2469" t="s">
        <v>9763</v>
      </c>
      <c r="BH2469" t="s">
        <v>9764</v>
      </c>
      <c r="BI2469" t="s">
        <v>9765</v>
      </c>
      <c r="BJ2469">
        <v>8.8270000000000001E-2</v>
      </c>
      <c r="BK2469">
        <v>1</v>
      </c>
      <c r="BL2469" t="s">
        <v>69</v>
      </c>
      <c r="BM2469">
        <v>-1.2430000000000001</v>
      </c>
      <c r="BN2469">
        <v>-2.423</v>
      </c>
    </row>
    <row r="2470" spans="2:66">
      <c r="B2470">
        <v>4235</v>
      </c>
      <c r="C2470">
        <v>255</v>
      </c>
      <c r="D2470">
        <v>0</v>
      </c>
      <c r="E2470">
        <v>4</v>
      </c>
      <c r="F2470">
        <v>0</v>
      </c>
      <c r="J2470">
        <v>0</v>
      </c>
      <c r="K2470">
        <v>0</v>
      </c>
      <c r="L2470">
        <v>0</v>
      </c>
      <c r="M2470" t="s">
        <v>25022</v>
      </c>
      <c r="N2470">
        <v>1562</v>
      </c>
      <c r="O2470" t="s">
        <v>9766</v>
      </c>
      <c r="P2470" t="s">
        <v>57</v>
      </c>
      <c r="Q2470">
        <v>1570078</v>
      </c>
      <c r="R2470">
        <v>1570560</v>
      </c>
      <c r="S2470" t="s">
        <v>9767</v>
      </c>
      <c r="T2470">
        <v>161</v>
      </c>
      <c r="U2470" t="s">
        <v>749</v>
      </c>
      <c r="V2470">
        <v>47</v>
      </c>
      <c r="W2470" t="str">
        <f>HYPERLINK("Gene1562-zp_tree_all.dnd", "Gene1562-tree")</f>
        <v>Gene1562-tree</v>
      </c>
      <c r="X2470">
        <v>31</v>
      </c>
      <c r="Y2470">
        <v>1</v>
      </c>
      <c r="Z2470">
        <v>12</v>
      </c>
      <c r="AA2470">
        <v>1</v>
      </c>
      <c r="AB2470">
        <v>7.6920000000000002E-2</v>
      </c>
      <c r="AC2470" t="s">
        <v>5000</v>
      </c>
      <c r="AD2470" t="s">
        <v>175</v>
      </c>
      <c r="AE2470" t="s">
        <v>62</v>
      </c>
      <c r="AF2470" t="s">
        <v>62</v>
      </c>
      <c r="AG2470">
        <v>0</v>
      </c>
      <c r="AH2470">
        <v>0</v>
      </c>
      <c r="AI2470">
        <v>2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11</v>
      </c>
      <c r="AV2470">
        <v>8</v>
      </c>
      <c r="AW2470">
        <v>30</v>
      </c>
      <c r="AX2470">
        <v>1</v>
      </c>
      <c r="AY2470">
        <v>19</v>
      </c>
      <c r="AZ2470">
        <v>1</v>
      </c>
      <c r="BA2470" t="s">
        <v>9768</v>
      </c>
      <c r="BB2470" t="s">
        <v>9769</v>
      </c>
      <c r="BC2470">
        <v>0.106</v>
      </c>
      <c r="BD2470" t="s">
        <v>65</v>
      </c>
      <c r="BE2470">
        <v>49</v>
      </c>
      <c r="BF2470">
        <v>2</v>
      </c>
      <c r="BG2470" t="s">
        <v>9770</v>
      </c>
      <c r="BH2470" t="s">
        <v>9771</v>
      </c>
      <c r="BI2470" t="s">
        <v>9772</v>
      </c>
      <c r="BJ2470">
        <v>1.494E-2</v>
      </c>
      <c r="BK2470">
        <v>1</v>
      </c>
      <c r="BL2470" t="s">
        <v>69</v>
      </c>
      <c r="BM2470">
        <v>-0.84899999999999998</v>
      </c>
      <c r="BN2470">
        <v>-1.276</v>
      </c>
    </row>
    <row r="2471" spans="2:66">
      <c r="B2471">
        <v>4236</v>
      </c>
      <c r="C2471">
        <v>49</v>
      </c>
      <c r="D2471">
        <v>0</v>
      </c>
      <c r="E2471">
        <v>0</v>
      </c>
      <c r="F2471">
        <v>2</v>
      </c>
      <c r="J2471">
        <v>0</v>
      </c>
      <c r="K2471">
        <v>0</v>
      </c>
      <c r="L2471">
        <v>0</v>
      </c>
      <c r="M2471" t="s">
        <v>25022</v>
      </c>
      <c r="N2471">
        <v>1564</v>
      </c>
      <c r="O2471" t="s">
        <v>9780</v>
      </c>
      <c r="P2471" t="s">
        <v>57</v>
      </c>
      <c r="Q2471">
        <v>1571981</v>
      </c>
      <c r="R2471">
        <v>1572760</v>
      </c>
      <c r="S2471" t="s">
        <v>2512</v>
      </c>
      <c r="T2471">
        <v>260</v>
      </c>
      <c r="U2471" t="s">
        <v>108</v>
      </c>
      <c r="V2471">
        <v>44</v>
      </c>
      <c r="W2471" t="str">
        <f>HYPERLINK("Gene1564-zp_tree_all.dnd", "Gene1564-tree")</f>
        <v>Gene1564-tree</v>
      </c>
      <c r="X2471">
        <v>30</v>
      </c>
      <c r="Y2471">
        <v>3</v>
      </c>
      <c r="Z2471">
        <v>8</v>
      </c>
      <c r="AA2471">
        <v>3</v>
      </c>
      <c r="AB2471">
        <v>0.27272999999999997</v>
      </c>
      <c r="AC2471" t="s">
        <v>9781</v>
      </c>
      <c r="AD2471" t="s">
        <v>324</v>
      </c>
      <c r="AE2471" t="s">
        <v>62</v>
      </c>
      <c r="AF2471" t="s">
        <v>62</v>
      </c>
      <c r="AG2471">
        <v>0</v>
      </c>
      <c r="AH2471">
        <v>0</v>
      </c>
      <c r="AI2471">
        <v>4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4</v>
      </c>
      <c r="AT2471">
        <v>0</v>
      </c>
      <c r="AU2471">
        <v>7</v>
      </c>
      <c r="AV2471">
        <v>4</v>
      </c>
      <c r="AW2471">
        <v>9</v>
      </c>
      <c r="AX2471">
        <v>4</v>
      </c>
      <c r="AY2471">
        <v>4</v>
      </c>
      <c r="AZ2471">
        <v>0</v>
      </c>
      <c r="BA2471" t="s">
        <v>9782</v>
      </c>
      <c r="BB2471" t="s">
        <v>193</v>
      </c>
      <c r="BC2471">
        <v>1.26</v>
      </c>
      <c r="BD2471" t="s">
        <v>65</v>
      </c>
      <c r="BE2471">
        <v>13</v>
      </c>
      <c r="BF2471">
        <v>4</v>
      </c>
      <c r="BG2471" t="s">
        <v>9783</v>
      </c>
      <c r="BH2471" t="s">
        <v>9784</v>
      </c>
      <c r="BI2471" t="s">
        <v>9785</v>
      </c>
      <c r="BJ2471">
        <v>6.9580000000000003E-2</v>
      </c>
      <c r="BK2471">
        <v>1</v>
      </c>
      <c r="BL2471" t="s">
        <v>69</v>
      </c>
      <c r="BM2471">
        <v>-0.89100000000000001</v>
      </c>
      <c r="BN2471">
        <v>-1.984</v>
      </c>
    </row>
    <row r="2472" spans="2:66">
      <c r="B2472">
        <v>4237</v>
      </c>
      <c r="C2472">
        <v>2</v>
      </c>
      <c r="D2472">
        <v>0</v>
      </c>
      <c r="E2472">
        <v>7</v>
      </c>
      <c r="F2472">
        <v>1</v>
      </c>
      <c r="J2472">
        <v>0</v>
      </c>
      <c r="K2472">
        <v>2</v>
      </c>
      <c r="L2472">
        <v>2</v>
      </c>
      <c r="M2472" t="s">
        <v>25022</v>
      </c>
      <c r="N2472">
        <v>1565</v>
      </c>
      <c r="O2472" t="s">
        <v>9786</v>
      </c>
      <c r="P2472" t="s">
        <v>57</v>
      </c>
      <c r="Q2472">
        <v>1572765</v>
      </c>
      <c r="R2472">
        <v>1573787</v>
      </c>
      <c r="S2472" t="s">
        <v>9787</v>
      </c>
      <c r="T2472">
        <v>341</v>
      </c>
      <c r="U2472" t="s">
        <v>59</v>
      </c>
      <c r="V2472">
        <v>49</v>
      </c>
      <c r="W2472" t="str">
        <f>HYPERLINK("Gene1565-zp_tree_all.dnd", "Gene1565-tree")</f>
        <v>Gene1565-tree</v>
      </c>
      <c r="X2472">
        <v>9</v>
      </c>
      <c r="Y2472">
        <v>7</v>
      </c>
      <c r="Z2472">
        <v>9</v>
      </c>
      <c r="AA2472">
        <v>7</v>
      </c>
      <c r="AB2472">
        <v>0.4375</v>
      </c>
      <c r="AC2472" t="s">
        <v>135</v>
      </c>
      <c r="AD2472" t="s">
        <v>152</v>
      </c>
      <c r="AE2472" t="s">
        <v>62</v>
      </c>
      <c r="AF2472" t="s">
        <v>62</v>
      </c>
      <c r="AG2472">
        <v>2</v>
      </c>
      <c r="AH2472">
        <v>4</v>
      </c>
      <c r="AI2472">
        <v>20</v>
      </c>
      <c r="AJ2472">
        <v>0.16667000000000001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11</v>
      </c>
      <c r="AT2472">
        <v>0</v>
      </c>
      <c r="AU2472">
        <v>15</v>
      </c>
      <c r="AV2472">
        <v>12</v>
      </c>
      <c r="AW2472">
        <v>42</v>
      </c>
      <c r="AX2472">
        <v>11</v>
      </c>
      <c r="AY2472">
        <v>62</v>
      </c>
      <c r="AZ2472">
        <v>13</v>
      </c>
      <c r="BA2472" t="s">
        <v>9788</v>
      </c>
      <c r="BB2472" t="s">
        <v>9789</v>
      </c>
      <c r="BC2472">
        <v>0.19</v>
      </c>
      <c r="BD2472" t="s">
        <v>65</v>
      </c>
      <c r="BE2472">
        <v>104</v>
      </c>
      <c r="BF2472">
        <v>24</v>
      </c>
      <c r="BG2472" t="s">
        <v>9790</v>
      </c>
      <c r="BH2472" t="s">
        <v>9791</v>
      </c>
      <c r="BI2472" t="s">
        <v>9792</v>
      </c>
      <c r="BJ2472">
        <v>5.3350000000000002E-2</v>
      </c>
      <c r="BK2472">
        <v>1</v>
      </c>
      <c r="BL2472" t="s">
        <v>69</v>
      </c>
      <c r="BM2472">
        <v>-1.466</v>
      </c>
      <c r="BN2472">
        <v>-0.79400000000000004</v>
      </c>
    </row>
    <row r="2473" spans="2:66">
      <c r="B2473">
        <v>4238</v>
      </c>
      <c r="C2473">
        <v>138</v>
      </c>
      <c r="D2473">
        <v>0</v>
      </c>
      <c r="E2473">
        <v>18</v>
      </c>
      <c r="F2473">
        <v>6</v>
      </c>
      <c r="J2473">
        <v>0</v>
      </c>
      <c r="K2473">
        <v>0</v>
      </c>
      <c r="L2473">
        <v>0</v>
      </c>
      <c r="M2473" t="s">
        <v>25022</v>
      </c>
      <c r="N2473">
        <v>1568</v>
      </c>
      <c r="O2473" t="s">
        <v>9807</v>
      </c>
      <c r="P2473" t="s">
        <v>57</v>
      </c>
      <c r="Q2473">
        <v>1575264</v>
      </c>
      <c r="R2473">
        <v>1575779</v>
      </c>
      <c r="S2473" t="s">
        <v>288</v>
      </c>
      <c r="T2473">
        <v>172</v>
      </c>
      <c r="U2473" t="s">
        <v>59</v>
      </c>
      <c r="V2473">
        <v>49</v>
      </c>
      <c r="W2473" t="str">
        <f>HYPERLINK("Gene1568-zp_tree_all.dnd", "Gene1568-tree")</f>
        <v>Gene1568-tree</v>
      </c>
      <c r="X2473">
        <v>9</v>
      </c>
      <c r="Y2473">
        <v>5</v>
      </c>
      <c r="Z2473">
        <v>9</v>
      </c>
      <c r="AA2473">
        <v>5</v>
      </c>
      <c r="AB2473">
        <v>0.35714000000000001</v>
      </c>
      <c r="AC2473" t="s">
        <v>135</v>
      </c>
      <c r="AD2473" t="s">
        <v>199</v>
      </c>
      <c r="AE2473" t="s">
        <v>62</v>
      </c>
      <c r="AF2473" t="s">
        <v>62</v>
      </c>
      <c r="AG2473">
        <v>0</v>
      </c>
      <c r="AH2473">
        <v>0</v>
      </c>
      <c r="AI2473">
        <v>8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>
        <v>5</v>
      </c>
      <c r="AT2473">
        <v>0</v>
      </c>
      <c r="AU2473">
        <v>11</v>
      </c>
      <c r="AV2473">
        <v>6</v>
      </c>
      <c r="AW2473">
        <v>7</v>
      </c>
      <c r="AX2473">
        <v>5</v>
      </c>
      <c r="AY2473">
        <v>10</v>
      </c>
      <c r="AZ2473">
        <v>3</v>
      </c>
      <c r="BA2473" t="s">
        <v>9808</v>
      </c>
      <c r="BB2473" t="s">
        <v>9809</v>
      </c>
      <c r="BC2473">
        <v>0.81599999999999995</v>
      </c>
      <c r="BD2473" t="s">
        <v>65</v>
      </c>
      <c r="BE2473">
        <v>17</v>
      </c>
      <c r="BF2473">
        <v>8</v>
      </c>
      <c r="BG2473" t="s">
        <v>9810</v>
      </c>
      <c r="BH2473" t="s">
        <v>9811</v>
      </c>
      <c r="BI2473" t="s">
        <v>9812</v>
      </c>
      <c r="BJ2473">
        <v>0.10111000000000001</v>
      </c>
      <c r="BK2473">
        <v>1</v>
      </c>
      <c r="BL2473" t="s">
        <v>69</v>
      </c>
      <c r="BM2473">
        <v>-0.372</v>
      </c>
      <c r="BN2473">
        <v>-0.42199999999999999</v>
      </c>
    </row>
    <row r="2474" spans="2:66">
      <c r="B2474">
        <v>4239</v>
      </c>
      <c r="C2474">
        <v>173</v>
      </c>
      <c r="D2474">
        <v>0</v>
      </c>
      <c r="E2474">
        <v>5</v>
      </c>
      <c r="F2474">
        <v>0</v>
      </c>
      <c r="J2474">
        <v>0</v>
      </c>
      <c r="K2474">
        <v>2</v>
      </c>
      <c r="L2474">
        <v>0</v>
      </c>
      <c r="M2474" t="s">
        <v>25022</v>
      </c>
      <c r="N2474">
        <v>1570</v>
      </c>
      <c r="O2474" t="s">
        <v>9813</v>
      </c>
      <c r="P2474" t="s">
        <v>57</v>
      </c>
      <c r="Q2474">
        <v>1576129</v>
      </c>
      <c r="R2474">
        <v>1576707</v>
      </c>
      <c r="S2474" t="s">
        <v>9814</v>
      </c>
      <c r="T2474">
        <v>193</v>
      </c>
      <c r="U2474" t="s">
        <v>59</v>
      </c>
      <c r="V2474">
        <v>49</v>
      </c>
      <c r="W2474" t="str">
        <f>HYPERLINK("Gene1570-zp_tree_all.dnd", "Gene1570-tree")</f>
        <v>Gene1570-tree</v>
      </c>
      <c r="X2474">
        <v>6</v>
      </c>
      <c r="Y2474">
        <v>8</v>
      </c>
      <c r="Z2474">
        <v>6</v>
      </c>
      <c r="AA2474">
        <v>8</v>
      </c>
      <c r="AB2474">
        <v>0.57142999999999999</v>
      </c>
      <c r="AC2474" t="s">
        <v>90</v>
      </c>
      <c r="AD2474" t="s">
        <v>136</v>
      </c>
      <c r="AE2474" t="s">
        <v>62</v>
      </c>
      <c r="AF2474" t="s">
        <v>62</v>
      </c>
      <c r="AG2474">
        <v>1</v>
      </c>
      <c r="AH2474">
        <v>2</v>
      </c>
      <c r="AI2474">
        <v>14</v>
      </c>
      <c r="AJ2474">
        <v>0.125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10</v>
      </c>
      <c r="AT2474">
        <v>0</v>
      </c>
      <c r="AU2474">
        <v>11</v>
      </c>
      <c r="AV2474">
        <v>8</v>
      </c>
      <c r="AW2474">
        <v>17</v>
      </c>
      <c r="AX2474">
        <v>10</v>
      </c>
      <c r="AY2474">
        <v>27</v>
      </c>
      <c r="AZ2474">
        <v>6</v>
      </c>
      <c r="BA2474" t="s">
        <v>9815</v>
      </c>
      <c r="BB2474" t="s">
        <v>9816</v>
      </c>
      <c r="BC2474">
        <v>0.96799999999999997</v>
      </c>
      <c r="BD2474" t="s">
        <v>65</v>
      </c>
      <c r="BE2474">
        <v>44</v>
      </c>
      <c r="BF2474">
        <v>16</v>
      </c>
      <c r="BG2474" t="s">
        <v>9817</v>
      </c>
      <c r="BH2474" t="s">
        <v>9818</v>
      </c>
      <c r="BI2474" t="s">
        <v>9819</v>
      </c>
      <c r="BJ2474">
        <v>7.7249999999999999E-2</v>
      </c>
      <c r="BK2474">
        <v>1</v>
      </c>
      <c r="BL2474" t="s">
        <v>69</v>
      </c>
      <c r="BM2474">
        <v>-1.3560000000000001</v>
      </c>
      <c r="BN2474">
        <v>-1.07</v>
      </c>
    </row>
    <row r="2475" spans="2:66">
      <c r="B2475">
        <v>4242</v>
      </c>
      <c r="C2475">
        <v>16</v>
      </c>
      <c r="D2475">
        <v>0</v>
      </c>
      <c r="E2475">
        <v>2</v>
      </c>
      <c r="F2475">
        <v>0</v>
      </c>
      <c r="J2475">
        <v>0</v>
      </c>
      <c r="K2475">
        <v>4</v>
      </c>
      <c r="L2475">
        <v>0</v>
      </c>
      <c r="M2475" t="s">
        <v>25022</v>
      </c>
      <c r="N2475">
        <v>1572</v>
      </c>
      <c r="O2475" t="s">
        <v>9387</v>
      </c>
      <c r="P2475" t="s">
        <v>57</v>
      </c>
      <c r="Q2475">
        <v>1577409</v>
      </c>
      <c r="R2475">
        <v>1578302</v>
      </c>
      <c r="S2475" t="s">
        <v>9826</v>
      </c>
      <c r="T2475">
        <v>298</v>
      </c>
      <c r="U2475" t="s">
        <v>108</v>
      </c>
      <c r="V2475">
        <v>44</v>
      </c>
      <c r="W2475" t="str">
        <f>HYPERLINK("Gene1572-zp_tree_all.dnd", "Gene1572-tree")</f>
        <v>Gene1572-tree</v>
      </c>
      <c r="X2475">
        <v>22</v>
      </c>
      <c r="Y2475">
        <v>7</v>
      </c>
      <c r="Z2475">
        <v>3</v>
      </c>
      <c r="AA2475">
        <v>7</v>
      </c>
      <c r="AB2475">
        <v>0.7</v>
      </c>
      <c r="AC2475" t="s">
        <v>1005</v>
      </c>
      <c r="AD2475" t="s">
        <v>152</v>
      </c>
      <c r="AE2475" t="s">
        <v>62</v>
      </c>
      <c r="AF2475" t="s">
        <v>62</v>
      </c>
      <c r="AG2475">
        <v>2</v>
      </c>
      <c r="AH2475">
        <v>4</v>
      </c>
      <c r="AI2475">
        <v>11</v>
      </c>
      <c r="AJ2475">
        <v>0.26667000000000002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9</v>
      </c>
      <c r="AT2475">
        <v>0</v>
      </c>
      <c r="AU2475">
        <v>9</v>
      </c>
      <c r="AV2475">
        <v>6</v>
      </c>
      <c r="AW2475">
        <v>30</v>
      </c>
      <c r="AX2475">
        <v>9</v>
      </c>
      <c r="AY2475">
        <v>7</v>
      </c>
      <c r="AZ2475">
        <v>6</v>
      </c>
      <c r="BA2475" t="s">
        <v>9827</v>
      </c>
      <c r="BB2475" t="s">
        <v>9828</v>
      </c>
      <c r="BC2475">
        <v>0.99399999999999999</v>
      </c>
      <c r="BD2475" t="s">
        <v>65</v>
      </c>
      <c r="BE2475">
        <v>37</v>
      </c>
      <c r="BF2475">
        <v>15</v>
      </c>
      <c r="BG2475" t="s">
        <v>9829</v>
      </c>
      <c r="BH2475" t="s">
        <v>9830</v>
      </c>
      <c r="BI2475" t="s">
        <v>1743</v>
      </c>
      <c r="BJ2475">
        <v>0.14327000000000001</v>
      </c>
      <c r="BK2475">
        <v>1</v>
      </c>
      <c r="BL2475" t="s">
        <v>69</v>
      </c>
      <c r="BM2475">
        <v>-0.56899999999999995</v>
      </c>
      <c r="BN2475">
        <v>-1.861</v>
      </c>
    </row>
    <row r="2476" spans="2:66">
      <c r="B2476">
        <v>4244</v>
      </c>
      <c r="C2476">
        <v>553</v>
      </c>
      <c r="D2476">
        <v>0</v>
      </c>
      <c r="E2476">
        <v>22</v>
      </c>
      <c r="F2476">
        <v>0</v>
      </c>
      <c r="J2476">
        <v>0</v>
      </c>
      <c r="K2476">
        <v>2</v>
      </c>
      <c r="L2476">
        <v>4</v>
      </c>
      <c r="M2476" t="s">
        <v>25022</v>
      </c>
      <c r="N2476">
        <v>1573</v>
      </c>
      <c r="O2476" t="s">
        <v>9831</v>
      </c>
      <c r="P2476" t="s">
        <v>57</v>
      </c>
      <c r="Q2476">
        <v>1578376</v>
      </c>
      <c r="R2476">
        <v>1579992</v>
      </c>
      <c r="S2476" t="s">
        <v>9832</v>
      </c>
      <c r="T2476">
        <v>539</v>
      </c>
      <c r="U2476" t="s">
        <v>108</v>
      </c>
      <c r="V2476">
        <v>44</v>
      </c>
      <c r="W2476" t="str">
        <f>HYPERLINK("Gene1573-zp_tree_all.dnd", "Gene1573-tree")</f>
        <v>Gene1573-tree</v>
      </c>
      <c r="X2476">
        <v>2</v>
      </c>
      <c r="Y2476">
        <v>10</v>
      </c>
      <c r="Z2476">
        <v>2</v>
      </c>
      <c r="AA2476">
        <v>10</v>
      </c>
      <c r="AB2476">
        <v>0.83333000000000002</v>
      </c>
      <c r="AC2476" t="s">
        <v>81</v>
      </c>
      <c r="AD2476" t="s">
        <v>117</v>
      </c>
      <c r="AE2476" t="s">
        <v>62</v>
      </c>
      <c r="AF2476" t="s">
        <v>62</v>
      </c>
      <c r="AG2476">
        <v>3</v>
      </c>
      <c r="AH2476">
        <v>6</v>
      </c>
      <c r="AI2476">
        <v>20</v>
      </c>
      <c r="AJ2476">
        <v>0.23077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4</v>
      </c>
      <c r="AR2476">
        <v>4</v>
      </c>
      <c r="AS2476">
        <v>19</v>
      </c>
      <c r="AT2476">
        <v>0.17391000000000001</v>
      </c>
      <c r="AU2476">
        <v>12</v>
      </c>
      <c r="AV2476">
        <v>8</v>
      </c>
      <c r="AW2476">
        <v>45</v>
      </c>
      <c r="AX2476">
        <v>23</v>
      </c>
      <c r="AY2476">
        <v>21</v>
      </c>
      <c r="AZ2476">
        <v>3</v>
      </c>
      <c r="BA2476" t="s">
        <v>9833</v>
      </c>
      <c r="BB2476" t="s">
        <v>9834</v>
      </c>
      <c r="BC2476">
        <v>1.5589999999999999</v>
      </c>
      <c r="BD2476" t="s">
        <v>65</v>
      </c>
      <c r="BE2476">
        <v>66</v>
      </c>
      <c r="BF2476">
        <v>26</v>
      </c>
      <c r="BG2476" t="s">
        <v>9835</v>
      </c>
      <c r="BH2476" t="s">
        <v>9836</v>
      </c>
      <c r="BI2476" t="s">
        <v>9837</v>
      </c>
      <c r="BJ2476">
        <v>0.10206</v>
      </c>
      <c r="BK2476">
        <v>1</v>
      </c>
      <c r="BL2476" t="s">
        <v>69</v>
      </c>
      <c r="BM2476">
        <v>-0.96</v>
      </c>
      <c r="BN2476">
        <v>-1.7569999999999999</v>
      </c>
    </row>
    <row r="2477" spans="2:66">
      <c r="B2477">
        <v>4246</v>
      </c>
      <c r="C2477">
        <v>116</v>
      </c>
      <c r="D2477">
        <v>0</v>
      </c>
      <c r="E2477">
        <v>3</v>
      </c>
      <c r="F2477">
        <v>2</v>
      </c>
      <c r="J2477">
        <v>0</v>
      </c>
      <c r="K2477">
        <v>0</v>
      </c>
      <c r="L2477">
        <v>0</v>
      </c>
      <c r="M2477" t="s">
        <v>25022</v>
      </c>
      <c r="N2477">
        <v>1574</v>
      </c>
      <c r="O2477" t="s">
        <v>9838</v>
      </c>
      <c r="P2477" t="s">
        <v>57</v>
      </c>
      <c r="Q2477">
        <v>1580121</v>
      </c>
      <c r="R2477">
        <v>1580549</v>
      </c>
      <c r="S2477" t="s">
        <v>9839</v>
      </c>
      <c r="T2477">
        <v>143</v>
      </c>
      <c r="U2477" t="s">
        <v>59</v>
      </c>
      <c r="V2477">
        <v>49</v>
      </c>
      <c r="W2477" t="str">
        <f>HYPERLINK("Gene1574-zp_tree_all.dnd", "Gene1574-tree")</f>
        <v>Gene1574-tree</v>
      </c>
      <c r="X2477">
        <v>29</v>
      </c>
      <c r="Y2477">
        <v>1</v>
      </c>
      <c r="Z2477">
        <v>10</v>
      </c>
      <c r="AA2477">
        <v>1</v>
      </c>
      <c r="AB2477">
        <v>9.0910000000000005E-2</v>
      </c>
      <c r="AC2477" t="s">
        <v>2184</v>
      </c>
      <c r="AD2477" t="s">
        <v>175</v>
      </c>
      <c r="AE2477" t="s">
        <v>62</v>
      </c>
      <c r="AF2477" t="s">
        <v>62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9</v>
      </c>
      <c r="AV2477">
        <v>5</v>
      </c>
      <c r="AW2477">
        <v>11</v>
      </c>
      <c r="AX2477">
        <v>1</v>
      </c>
      <c r="AY2477">
        <v>17</v>
      </c>
      <c r="AZ2477">
        <v>0</v>
      </c>
      <c r="BA2477" t="s">
        <v>9840</v>
      </c>
      <c r="BB2477" t="s">
        <v>193</v>
      </c>
      <c r="BC2477">
        <v>0.36299999999999999</v>
      </c>
      <c r="BD2477" t="s">
        <v>65</v>
      </c>
      <c r="BE2477">
        <v>28</v>
      </c>
      <c r="BF2477">
        <v>1</v>
      </c>
      <c r="BG2477" t="s">
        <v>9841</v>
      </c>
      <c r="BH2477" t="s">
        <v>9842</v>
      </c>
      <c r="BI2477" t="s">
        <v>9843</v>
      </c>
      <c r="BJ2477">
        <v>6.2599999999999999E-3</v>
      </c>
      <c r="BK2477">
        <v>1</v>
      </c>
      <c r="BL2477" t="s">
        <v>69</v>
      </c>
      <c r="BM2477">
        <v>-1.3149999999999999</v>
      </c>
      <c r="BN2477">
        <v>-1.2310000000000001</v>
      </c>
    </row>
    <row r="2478" spans="2:66">
      <c r="B2478">
        <v>4250</v>
      </c>
      <c r="C2478">
        <v>84</v>
      </c>
      <c r="D2478">
        <v>0</v>
      </c>
      <c r="E2478">
        <v>5</v>
      </c>
      <c r="F2478">
        <v>0</v>
      </c>
      <c r="J2478">
        <v>0</v>
      </c>
      <c r="K2478">
        <v>2</v>
      </c>
      <c r="L2478">
        <v>2</v>
      </c>
      <c r="M2478" t="s">
        <v>25022</v>
      </c>
      <c r="N2478">
        <v>1575</v>
      </c>
      <c r="O2478" t="s">
        <v>9844</v>
      </c>
      <c r="P2478" t="s">
        <v>57</v>
      </c>
      <c r="Q2478">
        <v>1580622</v>
      </c>
      <c r="R2478">
        <v>1581554</v>
      </c>
      <c r="S2478" t="s">
        <v>9845</v>
      </c>
      <c r="T2478">
        <v>311</v>
      </c>
      <c r="U2478" t="s">
        <v>125</v>
      </c>
      <c r="V2478">
        <v>48</v>
      </c>
      <c r="W2478" t="str">
        <f>HYPERLINK("Gene1575-zp_tree_all.dnd", "Gene1575-tree")</f>
        <v>Gene1575-tree</v>
      </c>
      <c r="X2478">
        <v>7</v>
      </c>
      <c r="Y2478">
        <v>7</v>
      </c>
      <c r="Z2478">
        <v>7</v>
      </c>
      <c r="AA2478">
        <v>7</v>
      </c>
      <c r="AB2478">
        <v>0.5</v>
      </c>
      <c r="AC2478" t="s">
        <v>152</v>
      </c>
      <c r="AD2478" t="s">
        <v>152</v>
      </c>
      <c r="AE2478" t="s">
        <v>62</v>
      </c>
      <c r="AF2478" t="s">
        <v>62</v>
      </c>
      <c r="AG2478">
        <v>2</v>
      </c>
      <c r="AH2478">
        <v>4</v>
      </c>
      <c r="AI2478">
        <v>11</v>
      </c>
      <c r="AJ2478">
        <v>0.26667000000000002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2</v>
      </c>
      <c r="AQ2478">
        <v>0</v>
      </c>
      <c r="AR2478">
        <v>2</v>
      </c>
      <c r="AS2478">
        <v>9</v>
      </c>
      <c r="AT2478">
        <v>0.18182000000000001</v>
      </c>
      <c r="AU2478">
        <v>10</v>
      </c>
      <c r="AV2478">
        <v>6</v>
      </c>
      <c r="AW2478">
        <v>32</v>
      </c>
      <c r="AX2478">
        <v>12</v>
      </c>
      <c r="AY2478">
        <v>27</v>
      </c>
      <c r="AZ2478">
        <v>4</v>
      </c>
      <c r="BA2478" t="s">
        <v>9846</v>
      </c>
      <c r="BB2478" t="s">
        <v>9847</v>
      </c>
      <c r="BC2478">
        <v>0.48399999999999999</v>
      </c>
      <c r="BD2478" t="s">
        <v>65</v>
      </c>
      <c r="BE2478">
        <v>59</v>
      </c>
      <c r="BF2478">
        <v>16</v>
      </c>
      <c r="BG2478" t="s">
        <v>9848</v>
      </c>
      <c r="BH2478" t="s">
        <v>9849</v>
      </c>
      <c r="BI2478" t="s">
        <v>9850</v>
      </c>
      <c r="BJ2478">
        <v>7.0730000000000001E-2</v>
      </c>
      <c r="BK2478">
        <v>1</v>
      </c>
      <c r="BL2478" t="s">
        <v>69</v>
      </c>
      <c r="BM2478">
        <v>-1.161</v>
      </c>
      <c r="BN2478">
        <v>1.226</v>
      </c>
    </row>
    <row r="2479" spans="2:66">
      <c r="B2479">
        <v>4252</v>
      </c>
      <c r="C2479">
        <v>218</v>
      </c>
      <c r="D2479">
        <v>0</v>
      </c>
      <c r="E2479">
        <v>7</v>
      </c>
      <c r="F2479">
        <v>2</v>
      </c>
      <c r="J2479">
        <v>0</v>
      </c>
      <c r="K2479">
        <v>0</v>
      </c>
      <c r="L2479">
        <v>0</v>
      </c>
      <c r="M2479" t="s">
        <v>25022</v>
      </c>
      <c r="N2479">
        <v>1576</v>
      </c>
      <c r="O2479" t="s">
        <v>9851</v>
      </c>
      <c r="P2479" t="s">
        <v>57</v>
      </c>
      <c r="Q2479">
        <v>1581597</v>
      </c>
      <c r="R2479">
        <v>1581947</v>
      </c>
      <c r="S2479" t="s">
        <v>9852</v>
      </c>
      <c r="T2479">
        <v>117</v>
      </c>
      <c r="U2479" t="s">
        <v>59</v>
      </c>
      <c r="V2479">
        <v>49</v>
      </c>
      <c r="W2479" t="str">
        <f>HYPERLINK("Gene1576-zp_tree_all.dnd", "Gene1576-tree")</f>
        <v>Gene1576-tree</v>
      </c>
      <c r="X2479">
        <v>4</v>
      </c>
      <c r="Y2479">
        <v>1</v>
      </c>
      <c r="Z2479">
        <v>4</v>
      </c>
      <c r="AA2479">
        <v>1</v>
      </c>
      <c r="AB2479">
        <v>0.2</v>
      </c>
      <c r="AC2479" t="s">
        <v>61</v>
      </c>
      <c r="AD2479" t="s">
        <v>175</v>
      </c>
      <c r="AE2479" t="s">
        <v>62</v>
      </c>
      <c r="AF2479" t="s">
        <v>62</v>
      </c>
      <c r="AG2479">
        <v>0</v>
      </c>
      <c r="AH2479">
        <v>0</v>
      </c>
      <c r="AI2479">
        <v>3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5</v>
      </c>
      <c r="AV2479">
        <v>2</v>
      </c>
      <c r="AW2479">
        <v>5</v>
      </c>
      <c r="AX2479">
        <v>1</v>
      </c>
      <c r="AY2479">
        <v>6</v>
      </c>
      <c r="AZ2479">
        <v>2</v>
      </c>
      <c r="BA2479" t="s">
        <v>9853</v>
      </c>
      <c r="BB2479" t="s">
        <v>9854</v>
      </c>
      <c r="BC2479">
        <v>0.27200000000000002</v>
      </c>
      <c r="BD2479" t="s">
        <v>65</v>
      </c>
      <c r="BE2479">
        <v>11</v>
      </c>
      <c r="BF2479">
        <v>3</v>
      </c>
      <c r="BG2479" t="s">
        <v>9855</v>
      </c>
      <c r="BH2479" t="s">
        <v>9856</v>
      </c>
      <c r="BI2479" t="s">
        <v>9857</v>
      </c>
      <c r="BJ2479">
        <v>7.9560000000000006E-2</v>
      </c>
      <c r="BK2479">
        <v>1</v>
      </c>
      <c r="BL2479" t="s">
        <v>69</v>
      </c>
      <c r="BM2479">
        <v>-1.8280000000000001</v>
      </c>
      <c r="BN2479">
        <v>-0.52</v>
      </c>
    </row>
    <row r="2480" spans="2:66">
      <c r="B2480">
        <v>4254</v>
      </c>
      <c r="C2480">
        <v>32</v>
      </c>
      <c r="D2480">
        <v>0</v>
      </c>
      <c r="E2480">
        <v>4</v>
      </c>
      <c r="F2480">
        <v>0</v>
      </c>
      <c r="J2480">
        <v>0</v>
      </c>
      <c r="K2480">
        <v>13</v>
      </c>
      <c r="L2480">
        <v>2</v>
      </c>
      <c r="M2480" t="s">
        <v>25022</v>
      </c>
      <c r="N2480">
        <v>1577</v>
      </c>
      <c r="O2480" t="s">
        <v>9858</v>
      </c>
      <c r="P2480" t="s">
        <v>57</v>
      </c>
      <c r="Q2480">
        <v>1581947</v>
      </c>
      <c r="R2480">
        <v>1584094</v>
      </c>
      <c r="S2480" t="s">
        <v>9859</v>
      </c>
      <c r="T2480">
        <v>716</v>
      </c>
      <c r="U2480" t="s">
        <v>9860</v>
      </c>
      <c r="V2480">
        <v>35</v>
      </c>
      <c r="W2480" t="str">
        <f>HYPERLINK("Gene1577-zp_tree_all.dnd", "Gene1577-tree")</f>
        <v>Gene1577-tree</v>
      </c>
      <c r="X2480">
        <v>3</v>
      </c>
      <c r="Y2480">
        <v>5</v>
      </c>
      <c r="Z2480">
        <v>3</v>
      </c>
      <c r="AA2480">
        <v>5</v>
      </c>
      <c r="AB2480">
        <v>0.625</v>
      </c>
      <c r="AC2480" t="s">
        <v>324</v>
      </c>
      <c r="AD2480" t="s">
        <v>199</v>
      </c>
      <c r="AE2480" t="s">
        <v>62</v>
      </c>
      <c r="AF2480" t="s">
        <v>62</v>
      </c>
      <c r="AG2480">
        <v>7</v>
      </c>
      <c r="AH2480">
        <v>15</v>
      </c>
      <c r="AI2480">
        <v>9</v>
      </c>
      <c r="AJ2480">
        <v>0.625</v>
      </c>
      <c r="AK2480">
        <v>0</v>
      </c>
      <c r="AL2480">
        <v>0</v>
      </c>
      <c r="AM2480">
        <v>0</v>
      </c>
      <c r="AN2480">
        <v>5</v>
      </c>
      <c r="AO2480">
        <v>0</v>
      </c>
      <c r="AP2480">
        <v>2</v>
      </c>
      <c r="AQ2480">
        <v>0</v>
      </c>
      <c r="AR2480">
        <v>2</v>
      </c>
      <c r="AS2480">
        <v>7</v>
      </c>
      <c r="AT2480">
        <v>0.22222</v>
      </c>
      <c r="AU2480">
        <v>7</v>
      </c>
      <c r="AV2480">
        <v>5</v>
      </c>
      <c r="AW2480">
        <v>65</v>
      </c>
      <c r="AX2480">
        <v>9</v>
      </c>
      <c r="AY2480">
        <v>87</v>
      </c>
      <c r="AZ2480">
        <v>16</v>
      </c>
      <c r="BA2480" t="s">
        <v>9861</v>
      </c>
      <c r="BB2480" t="s">
        <v>9862</v>
      </c>
      <c r="BC2480">
        <v>0.54600000000000004</v>
      </c>
      <c r="BD2480" t="s">
        <v>65</v>
      </c>
      <c r="BE2480">
        <v>152</v>
      </c>
      <c r="BF2480">
        <v>25</v>
      </c>
      <c r="BG2480" t="s">
        <v>9863</v>
      </c>
      <c r="BH2480" t="s">
        <v>9864</v>
      </c>
      <c r="BI2480" t="s">
        <v>9865</v>
      </c>
      <c r="BJ2480">
        <v>4.462E-2</v>
      </c>
      <c r="BK2480">
        <v>1</v>
      </c>
      <c r="BL2480" t="s">
        <v>69</v>
      </c>
      <c r="BM2480">
        <v>0.28799999999999998</v>
      </c>
      <c r="BN2480">
        <v>0.95399999999999996</v>
      </c>
    </row>
    <row r="2481" spans="2:66">
      <c r="B2481">
        <v>4255</v>
      </c>
      <c r="C2481">
        <v>33</v>
      </c>
      <c r="D2481">
        <v>0</v>
      </c>
      <c r="E2481">
        <v>0</v>
      </c>
      <c r="F2481">
        <v>2</v>
      </c>
      <c r="J2481">
        <v>0</v>
      </c>
      <c r="K2481">
        <v>0</v>
      </c>
      <c r="L2481">
        <v>0</v>
      </c>
      <c r="M2481" t="s">
        <v>25022</v>
      </c>
      <c r="N2481">
        <v>1578</v>
      </c>
      <c r="O2481" t="s">
        <v>9866</v>
      </c>
      <c r="P2481" t="s">
        <v>57</v>
      </c>
      <c r="Q2481">
        <v>1584214</v>
      </c>
      <c r="R2481">
        <v>1586151</v>
      </c>
      <c r="S2481" t="s">
        <v>9867</v>
      </c>
      <c r="T2481">
        <v>646</v>
      </c>
      <c r="U2481" t="s">
        <v>108</v>
      </c>
      <c r="V2481">
        <v>44</v>
      </c>
      <c r="W2481" t="str">
        <f>HYPERLINK("Gene1578-zp_tree_all.dnd", "Gene1578-tree")</f>
        <v>Gene1578-tree</v>
      </c>
      <c r="X2481">
        <v>12</v>
      </c>
      <c r="Y2481">
        <v>2</v>
      </c>
      <c r="Z2481">
        <v>12</v>
      </c>
      <c r="AA2481">
        <v>2</v>
      </c>
      <c r="AB2481">
        <v>0.14285999999999999</v>
      </c>
      <c r="AC2481" t="s">
        <v>109</v>
      </c>
      <c r="AD2481" t="s">
        <v>81</v>
      </c>
      <c r="AE2481" t="s">
        <v>62</v>
      </c>
      <c r="AF2481" t="s">
        <v>62</v>
      </c>
      <c r="AG2481">
        <v>0</v>
      </c>
      <c r="AH2481">
        <v>0</v>
      </c>
      <c r="AI2481">
        <v>4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2</v>
      </c>
      <c r="AT2481">
        <v>0</v>
      </c>
      <c r="AU2481">
        <v>13</v>
      </c>
      <c r="AV2481">
        <v>11</v>
      </c>
      <c r="AW2481">
        <v>52</v>
      </c>
      <c r="AX2481">
        <v>2</v>
      </c>
      <c r="AY2481">
        <v>41</v>
      </c>
      <c r="AZ2481">
        <v>3</v>
      </c>
      <c r="BA2481" t="s">
        <v>9868</v>
      </c>
      <c r="BB2481" t="s">
        <v>9869</v>
      </c>
      <c r="BC2481">
        <v>0.38500000000000001</v>
      </c>
      <c r="BD2481" t="s">
        <v>65</v>
      </c>
      <c r="BE2481">
        <v>93</v>
      </c>
      <c r="BF2481">
        <v>5</v>
      </c>
      <c r="BG2481" t="s">
        <v>9870</v>
      </c>
      <c r="BH2481" t="s">
        <v>9871</v>
      </c>
      <c r="BI2481" t="s">
        <v>9872</v>
      </c>
      <c r="BJ2481">
        <v>2.24E-2</v>
      </c>
      <c r="BK2481">
        <v>1</v>
      </c>
      <c r="BL2481" t="s">
        <v>69</v>
      </c>
      <c r="BM2481">
        <v>-0.16800000000000001</v>
      </c>
      <c r="BN2481">
        <v>-0.54400000000000004</v>
      </c>
    </row>
    <row r="2482" spans="2:66">
      <c r="B2482">
        <v>4256</v>
      </c>
      <c r="C2482">
        <v>173</v>
      </c>
      <c r="D2482">
        <v>0</v>
      </c>
      <c r="E2482">
        <v>2</v>
      </c>
      <c r="F2482">
        <v>0</v>
      </c>
      <c r="J2482">
        <v>0</v>
      </c>
      <c r="K2482">
        <v>0</v>
      </c>
      <c r="L2482">
        <v>0</v>
      </c>
      <c r="M2482" t="s">
        <v>25022</v>
      </c>
      <c r="N2482">
        <v>1579</v>
      </c>
      <c r="O2482" t="s">
        <v>9873</v>
      </c>
      <c r="P2482" t="s">
        <v>57</v>
      </c>
      <c r="Q2482">
        <v>1586330</v>
      </c>
      <c r="R2482">
        <v>1587811</v>
      </c>
      <c r="S2482" t="s">
        <v>9874</v>
      </c>
      <c r="T2482">
        <v>494</v>
      </c>
      <c r="U2482" t="s">
        <v>108</v>
      </c>
      <c r="V2482">
        <v>44</v>
      </c>
      <c r="W2482" t="str">
        <f>HYPERLINK("Gene1579-zp_tree_all.dnd", "Gene1579-tree")</f>
        <v>Gene1579-tree</v>
      </c>
      <c r="X2482">
        <v>9</v>
      </c>
      <c r="Y2482">
        <v>3</v>
      </c>
      <c r="Z2482">
        <v>9</v>
      </c>
      <c r="AA2482">
        <v>3</v>
      </c>
      <c r="AB2482">
        <v>0.25</v>
      </c>
      <c r="AC2482" t="s">
        <v>135</v>
      </c>
      <c r="AD2482" t="s">
        <v>324</v>
      </c>
      <c r="AE2482" t="s">
        <v>62</v>
      </c>
      <c r="AF2482" t="s">
        <v>62</v>
      </c>
      <c r="AG2482">
        <v>0</v>
      </c>
      <c r="AH2482">
        <v>0</v>
      </c>
      <c r="AI2482">
        <v>4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3</v>
      </c>
      <c r="AT2482">
        <v>0</v>
      </c>
      <c r="AU2482">
        <v>7</v>
      </c>
      <c r="AV2482">
        <v>7</v>
      </c>
      <c r="AW2482">
        <v>18</v>
      </c>
      <c r="AX2482">
        <v>3</v>
      </c>
      <c r="AY2482">
        <v>14</v>
      </c>
      <c r="AZ2482">
        <v>1</v>
      </c>
      <c r="BA2482" t="s">
        <v>9875</v>
      </c>
      <c r="BB2482" t="s">
        <v>9876</v>
      </c>
      <c r="BC2482">
        <v>0.45600000000000002</v>
      </c>
      <c r="BD2482" t="s">
        <v>65</v>
      </c>
      <c r="BE2482">
        <v>32</v>
      </c>
      <c r="BF2482">
        <v>4</v>
      </c>
      <c r="BG2482" t="s">
        <v>9877</v>
      </c>
      <c r="BH2482" t="s">
        <v>9878</v>
      </c>
      <c r="BI2482" t="s">
        <v>9879</v>
      </c>
      <c r="BJ2482">
        <v>3.526E-2</v>
      </c>
      <c r="BK2482">
        <v>1</v>
      </c>
      <c r="BL2482" t="s">
        <v>69</v>
      </c>
      <c r="BM2482">
        <v>-1.494</v>
      </c>
      <c r="BN2482">
        <v>-2.0329999999999999</v>
      </c>
    </row>
    <row r="2483" spans="2:66">
      <c r="B2483">
        <v>4257</v>
      </c>
      <c r="C2483">
        <v>19</v>
      </c>
      <c r="D2483">
        <v>0</v>
      </c>
      <c r="E2483">
        <v>0</v>
      </c>
      <c r="F2483">
        <v>2</v>
      </c>
      <c r="J2483">
        <v>0</v>
      </c>
      <c r="K2483">
        <v>2</v>
      </c>
      <c r="L2483">
        <v>0</v>
      </c>
      <c r="M2483" t="s">
        <v>25022</v>
      </c>
      <c r="N2483">
        <v>1580</v>
      </c>
      <c r="O2483" t="s">
        <v>9880</v>
      </c>
      <c r="P2483" t="s">
        <v>57</v>
      </c>
      <c r="Q2483">
        <v>1587926</v>
      </c>
      <c r="R2483">
        <v>1588897</v>
      </c>
      <c r="S2483" t="s">
        <v>9881</v>
      </c>
      <c r="T2483">
        <v>324</v>
      </c>
      <c r="U2483" t="s">
        <v>59</v>
      </c>
      <c r="V2483">
        <v>49</v>
      </c>
      <c r="W2483" t="str">
        <f>HYPERLINK("Gene1580-zp_tree_all.dnd", "Gene1580-tree")</f>
        <v>Gene1580-tree</v>
      </c>
      <c r="X2483">
        <v>13</v>
      </c>
      <c r="Y2483">
        <v>3</v>
      </c>
      <c r="Z2483">
        <v>13</v>
      </c>
      <c r="AA2483">
        <v>3</v>
      </c>
      <c r="AB2483">
        <v>0.1875</v>
      </c>
      <c r="AC2483" t="s">
        <v>507</v>
      </c>
      <c r="AD2483" t="s">
        <v>324</v>
      </c>
      <c r="AE2483" t="s">
        <v>62</v>
      </c>
      <c r="AF2483" t="s">
        <v>62</v>
      </c>
      <c r="AG2483">
        <v>1</v>
      </c>
      <c r="AH2483">
        <v>2</v>
      </c>
      <c r="AI2483">
        <v>4</v>
      </c>
      <c r="AJ2483">
        <v>0.33333000000000002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2</v>
      </c>
      <c r="AQ2483">
        <v>0</v>
      </c>
      <c r="AR2483">
        <v>2</v>
      </c>
      <c r="AS2483">
        <v>3</v>
      </c>
      <c r="AT2483">
        <v>0.4</v>
      </c>
      <c r="AU2483">
        <v>13</v>
      </c>
      <c r="AV2483">
        <v>11</v>
      </c>
      <c r="AW2483">
        <v>33</v>
      </c>
      <c r="AX2483">
        <v>5</v>
      </c>
      <c r="AY2483">
        <v>53</v>
      </c>
      <c r="AZ2483">
        <v>1</v>
      </c>
      <c r="BA2483" t="s">
        <v>9882</v>
      </c>
      <c r="BB2483" t="s">
        <v>9883</v>
      </c>
      <c r="BC2483">
        <v>0.73099999999999998</v>
      </c>
      <c r="BD2483" t="s">
        <v>65</v>
      </c>
      <c r="BE2483">
        <v>86</v>
      </c>
      <c r="BF2483">
        <v>6</v>
      </c>
      <c r="BG2483" t="s">
        <v>9884</v>
      </c>
      <c r="BH2483" t="s">
        <v>9885</v>
      </c>
      <c r="BI2483" t="s">
        <v>9886</v>
      </c>
      <c r="BJ2483">
        <v>1.5129999999999999E-2</v>
      </c>
      <c r="BK2483">
        <v>1</v>
      </c>
      <c r="BL2483" t="s">
        <v>69</v>
      </c>
      <c r="BM2483">
        <v>-1.421</v>
      </c>
      <c r="BN2483">
        <v>-0.57899999999999996</v>
      </c>
    </row>
    <row r="2484" spans="2:66">
      <c r="J2484">
        <v>0</v>
      </c>
      <c r="K2484">
        <v>5</v>
      </c>
      <c r="L2484">
        <v>0</v>
      </c>
      <c r="M2484" t="s">
        <v>25022</v>
      </c>
      <c r="N2484">
        <v>1581</v>
      </c>
      <c r="O2484" t="s">
        <v>9887</v>
      </c>
      <c r="P2484" t="s">
        <v>57</v>
      </c>
      <c r="Q2484">
        <v>1588901</v>
      </c>
      <c r="R2484">
        <v>1590253</v>
      </c>
      <c r="S2484" t="s">
        <v>9888</v>
      </c>
      <c r="T2484">
        <v>451</v>
      </c>
      <c r="U2484" t="s">
        <v>108</v>
      </c>
      <c r="V2484">
        <v>44</v>
      </c>
      <c r="W2484" t="str">
        <f>HYPERLINK("Gene1581-zp_tree_all.dnd", "Gene1581-tree")</f>
        <v>Gene1581-tree</v>
      </c>
      <c r="X2484">
        <v>5</v>
      </c>
      <c r="Y2484">
        <v>5</v>
      </c>
      <c r="Z2484">
        <v>5</v>
      </c>
      <c r="AA2484">
        <v>5</v>
      </c>
      <c r="AB2484">
        <v>0.5</v>
      </c>
      <c r="AC2484" t="s">
        <v>199</v>
      </c>
      <c r="AD2484" t="s">
        <v>199</v>
      </c>
      <c r="AE2484" t="s">
        <v>62</v>
      </c>
      <c r="AF2484" t="s">
        <v>62</v>
      </c>
      <c r="AG2484">
        <v>2</v>
      </c>
      <c r="AH2484">
        <v>5</v>
      </c>
      <c r="AI2484">
        <v>2</v>
      </c>
      <c r="AJ2484">
        <v>0.71428999999999998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4</v>
      </c>
      <c r="AQ2484">
        <v>0</v>
      </c>
      <c r="AR2484">
        <v>4</v>
      </c>
      <c r="AS2484">
        <v>1</v>
      </c>
      <c r="AT2484">
        <v>0.8</v>
      </c>
      <c r="AU2484">
        <v>9</v>
      </c>
      <c r="AV2484">
        <v>6</v>
      </c>
      <c r="AW2484">
        <v>25</v>
      </c>
      <c r="AX2484">
        <v>5</v>
      </c>
      <c r="AY2484">
        <v>11</v>
      </c>
      <c r="AZ2484">
        <v>2</v>
      </c>
      <c r="BA2484" t="s">
        <v>9889</v>
      </c>
      <c r="BB2484" t="s">
        <v>9890</v>
      </c>
      <c r="BC2484">
        <v>7.8E-2</v>
      </c>
      <c r="BD2484" t="s">
        <v>65</v>
      </c>
      <c r="BE2484">
        <v>36</v>
      </c>
      <c r="BF2484">
        <v>7</v>
      </c>
      <c r="BG2484" t="s">
        <v>9891</v>
      </c>
      <c r="BH2484" t="s">
        <v>9892</v>
      </c>
      <c r="BI2484" t="s">
        <v>9893</v>
      </c>
      <c r="BJ2484">
        <v>5.1290000000000002E-2</v>
      </c>
      <c r="BK2484">
        <v>1</v>
      </c>
      <c r="BL2484" t="s">
        <v>69</v>
      </c>
      <c r="BM2484">
        <v>-0.46500000000000002</v>
      </c>
      <c r="BN2484">
        <v>-2.169</v>
      </c>
    </row>
    <row r="2485" spans="2:66">
      <c r="J2485">
        <v>0</v>
      </c>
      <c r="K2485">
        <v>0</v>
      </c>
      <c r="L2485">
        <v>0</v>
      </c>
      <c r="M2485" t="s">
        <v>25022</v>
      </c>
      <c r="N2485">
        <v>1582</v>
      </c>
      <c r="O2485" t="s">
        <v>9894</v>
      </c>
      <c r="P2485" t="s">
        <v>57</v>
      </c>
      <c r="Q2485">
        <v>1590317</v>
      </c>
      <c r="R2485">
        <v>1591414</v>
      </c>
      <c r="S2485" t="s">
        <v>9895</v>
      </c>
      <c r="T2485">
        <v>366</v>
      </c>
      <c r="U2485" t="s">
        <v>698</v>
      </c>
      <c r="V2485">
        <v>47</v>
      </c>
      <c r="W2485" t="str">
        <f>HYPERLINK("Gene1582-zp_tree_all.dnd", "Gene1582-tree")</f>
        <v>Gene1582-tree</v>
      </c>
      <c r="X2485">
        <v>14</v>
      </c>
      <c r="Y2485">
        <v>2</v>
      </c>
      <c r="Z2485">
        <v>14</v>
      </c>
      <c r="AA2485">
        <v>2</v>
      </c>
      <c r="AB2485">
        <v>0.125</v>
      </c>
      <c r="AC2485" t="s">
        <v>543</v>
      </c>
      <c r="AD2485" t="s">
        <v>81</v>
      </c>
      <c r="AE2485" t="s">
        <v>62</v>
      </c>
      <c r="AF2485" t="s">
        <v>62</v>
      </c>
      <c r="AG2485">
        <v>0</v>
      </c>
      <c r="AH2485">
        <v>0</v>
      </c>
      <c r="AI2485">
        <v>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2</v>
      </c>
      <c r="AT2485">
        <v>0</v>
      </c>
      <c r="AU2485">
        <v>13</v>
      </c>
      <c r="AV2485">
        <v>11</v>
      </c>
      <c r="AW2485">
        <v>34</v>
      </c>
      <c r="AX2485">
        <v>2</v>
      </c>
      <c r="AY2485">
        <v>75</v>
      </c>
      <c r="AZ2485">
        <v>1</v>
      </c>
      <c r="BA2485" t="s">
        <v>9896</v>
      </c>
      <c r="BB2485" t="s">
        <v>9897</v>
      </c>
      <c r="BC2485">
        <v>0.40400000000000003</v>
      </c>
      <c r="BD2485" t="s">
        <v>65</v>
      </c>
      <c r="BE2485">
        <v>109</v>
      </c>
      <c r="BF2485">
        <v>3</v>
      </c>
      <c r="BG2485" t="s">
        <v>9898</v>
      </c>
      <c r="BH2485" t="s">
        <v>9899</v>
      </c>
      <c r="BI2485" t="s">
        <v>9900</v>
      </c>
      <c r="BJ2485">
        <v>6.11E-3</v>
      </c>
      <c r="BK2485">
        <v>1</v>
      </c>
      <c r="BL2485" t="s">
        <v>69</v>
      </c>
      <c r="BM2485">
        <v>-1.117</v>
      </c>
      <c r="BN2485">
        <v>-0.59099999999999997</v>
      </c>
    </row>
    <row r="2486" spans="2:66">
      <c r="J2486">
        <v>0</v>
      </c>
      <c r="K2486">
        <v>0</v>
      </c>
      <c r="L2486">
        <v>8</v>
      </c>
      <c r="M2486" t="s">
        <v>25022</v>
      </c>
      <c r="N2486">
        <v>1583</v>
      </c>
      <c r="O2486" t="s">
        <v>9901</v>
      </c>
      <c r="P2486" t="s">
        <v>57</v>
      </c>
      <c r="Q2486">
        <v>1591540</v>
      </c>
      <c r="R2486">
        <v>1592628</v>
      </c>
      <c r="S2486" t="s">
        <v>9902</v>
      </c>
      <c r="T2486">
        <v>363</v>
      </c>
      <c r="U2486" t="s">
        <v>9903</v>
      </c>
      <c r="V2486">
        <v>45</v>
      </c>
      <c r="W2486" t="str">
        <f>HYPERLINK("Gene1583-zp_tree_all.dnd", "Gene1583-tree")</f>
        <v>Gene1583-tree</v>
      </c>
      <c r="X2486">
        <v>4</v>
      </c>
      <c r="Y2486">
        <v>10</v>
      </c>
      <c r="Z2486">
        <v>4</v>
      </c>
      <c r="AA2486">
        <v>10</v>
      </c>
      <c r="AB2486">
        <v>0.71428999999999998</v>
      </c>
      <c r="AC2486" t="s">
        <v>61</v>
      </c>
      <c r="AD2486" t="s">
        <v>117</v>
      </c>
      <c r="AE2486" t="s">
        <v>62</v>
      </c>
      <c r="AF2486" t="s">
        <v>62</v>
      </c>
      <c r="AG2486">
        <v>4</v>
      </c>
      <c r="AH2486">
        <v>8</v>
      </c>
      <c r="AI2486">
        <v>9</v>
      </c>
      <c r="AJ2486">
        <v>0.47059000000000001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6</v>
      </c>
      <c r="AR2486">
        <v>6</v>
      </c>
      <c r="AS2486">
        <v>10</v>
      </c>
      <c r="AT2486">
        <v>0.375</v>
      </c>
      <c r="AU2486">
        <v>10</v>
      </c>
      <c r="AV2486">
        <v>7</v>
      </c>
      <c r="AW2486">
        <v>18</v>
      </c>
      <c r="AX2486">
        <v>10</v>
      </c>
      <c r="AY2486">
        <v>47</v>
      </c>
      <c r="AZ2486">
        <v>8</v>
      </c>
      <c r="BA2486" t="s">
        <v>9904</v>
      </c>
      <c r="BB2486" t="s">
        <v>9905</v>
      </c>
      <c r="BC2486">
        <v>0.99199999999999999</v>
      </c>
      <c r="BD2486" t="s">
        <v>65</v>
      </c>
      <c r="BE2486">
        <v>65</v>
      </c>
      <c r="BF2486">
        <v>18</v>
      </c>
      <c r="BG2486" t="s">
        <v>9906</v>
      </c>
      <c r="BH2486" t="s">
        <v>9907</v>
      </c>
      <c r="BI2486" t="s">
        <v>9908</v>
      </c>
      <c r="BJ2486">
        <v>7.4340000000000003E-2</v>
      </c>
      <c r="BK2486">
        <v>1</v>
      </c>
      <c r="BL2486" t="s">
        <v>69</v>
      </c>
      <c r="BM2486">
        <v>-1.351</v>
      </c>
      <c r="BN2486">
        <v>-8.1000000000000003E-2</v>
      </c>
    </row>
    <row r="2487" spans="2:66">
      <c r="J2487">
        <v>0</v>
      </c>
      <c r="K2487">
        <v>0</v>
      </c>
      <c r="L2487">
        <v>0</v>
      </c>
      <c r="M2487" t="s">
        <v>25022</v>
      </c>
      <c r="N2487">
        <v>1584</v>
      </c>
      <c r="O2487" t="s">
        <v>9909</v>
      </c>
      <c r="P2487" t="s">
        <v>57</v>
      </c>
      <c r="Q2487">
        <v>1592663</v>
      </c>
      <c r="R2487">
        <v>1593571</v>
      </c>
      <c r="S2487" t="s">
        <v>9910</v>
      </c>
      <c r="T2487">
        <v>303</v>
      </c>
      <c r="U2487" t="s">
        <v>59</v>
      </c>
      <c r="V2487">
        <v>49</v>
      </c>
      <c r="W2487" t="str">
        <f>HYPERLINK("Gene1584-zp_tree_all.dnd", "Gene1584-tree")</f>
        <v>Gene1584-tree</v>
      </c>
      <c r="X2487">
        <v>14</v>
      </c>
      <c r="Y2487">
        <v>3</v>
      </c>
      <c r="Z2487">
        <v>14</v>
      </c>
      <c r="AA2487">
        <v>3</v>
      </c>
      <c r="AB2487">
        <v>0.17646999999999999</v>
      </c>
      <c r="AC2487" t="s">
        <v>543</v>
      </c>
      <c r="AD2487" t="s">
        <v>324</v>
      </c>
      <c r="AE2487" t="s">
        <v>62</v>
      </c>
      <c r="AF2487" t="s">
        <v>62</v>
      </c>
      <c r="AG2487">
        <v>0</v>
      </c>
      <c r="AH2487">
        <v>0</v>
      </c>
      <c r="AI2487">
        <v>6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4</v>
      </c>
      <c r="AT2487">
        <v>0</v>
      </c>
      <c r="AU2487">
        <v>15</v>
      </c>
      <c r="AV2487">
        <v>11</v>
      </c>
      <c r="AW2487">
        <v>41</v>
      </c>
      <c r="AX2487">
        <v>4</v>
      </c>
      <c r="AY2487">
        <v>50</v>
      </c>
      <c r="AZ2487">
        <v>2</v>
      </c>
      <c r="BA2487" t="s">
        <v>9911</v>
      </c>
      <c r="BB2487" t="s">
        <v>9912</v>
      </c>
      <c r="BC2487">
        <v>0.38100000000000001</v>
      </c>
      <c r="BD2487" t="s">
        <v>65</v>
      </c>
      <c r="BE2487">
        <v>91</v>
      </c>
      <c r="BF2487">
        <v>6</v>
      </c>
      <c r="BG2487" t="s">
        <v>9913</v>
      </c>
      <c r="BH2487" t="s">
        <v>9914</v>
      </c>
      <c r="BI2487" t="s">
        <v>5594</v>
      </c>
      <c r="BJ2487">
        <v>1.5910000000000001E-2</v>
      </c>
      <c r="BK2487">
        <v>1</v>
      </c>
      <c r="BL2487" t="s">
        <v>69</v>
      </c>
      <c r="BM2487">
        <v>-1.107</v>
      </c>
      <c r="BN2487">
        <v>-0.90500000000000003</v>
      </c>
    </row>
    <row r="2488" spans="2:66">
      <c r="J2488">
        <v>0</v>
      </c>
      <c r="K2488">
        <v>0</v>
      </c>
      <c r="L2488">
        <v>2</v>
      </c>
      <c r="M2488" t="s">
        <v>25022</v>
      </c>
      <c r="N2488">
        <v>1585</v>
      </c>
      <c r="O2488" t="s">
        <v>9915</v>
      </c>
      <c r="P2488" t="s">
        <v>57</v>
      </c>
      <c r="Q2488">
        <v>1593704</v>
      </c>
      <c r="R2488">
        <v>1594492</v>
      </c>
      <c r="S2488" t="s">
        <v>506</v>
      </c>
      <c r="T2488">
        <v>263</v>
      </c>
      <c r="U2488" t="s">
        <v>698</v>
      </c>
      <c r="V2488">
        <v>47</v>
      </c>
      <c r="W2488" t="str">
        <f>HYPERLINK("Gene1585-zp_tree_all.dnd", "Gene1585-tree")</f>
        <v>Gene1585-tree</v>
      </c>
      <c r="X2488">
        <v>14</v>
      </c>
      <c r="Y2488">
        <v>3</v>
      </c>
      <c r="Z2488">
        <v>14</v>
      </c>
      <c r="AA2488">
        <v>3</v>
      </c>
      <c r="AB2488">
        <v>0.17646999999999999</v>
      </c>
      <c r="AC2488" t="s">
        <v>543</v>
      </c>
      <c r="AD2488" t="s">
        <v>324</v>
      </c>
      <c r="AE2488" t="s">
        <v>62</v>
      </c>
      <c r="AF2488" t="s">
        <v>62</v>
      </c>
      <c r="AG2488">
        <v>1</v>
      </c>
      <c r="AH2488">
        <v>2</v>
      </c>
      <c r="AI2488">
        <v>6</v>
      </c>
      <c r="AJ2488">
        <v>0.25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4</v>
      </c>
      <c r="AT2488">
        <v>0</v>
      </c>
      <c r="AU2488">
        <v>11</v>
      </c>
      <c r="AV2488">
        <v>9</v>
      </c>
      <c r="AW2488">
        <v>20</v>
      </c>
      <c r="AX2488">
        <v>4</v>
      </c>
      <c r="AY2488">
        <v>42</v>
      </c>
      <c r="AZ2488">
        <v>4</v>
      </c>
      <c r="BA2488" t="s">
        <v>9916</v>
      </c>
      <c r="BB2488" t="s">
        <v>9917</v>
      </c>
      <c r="BC2488">
        <v>0.34499999999999997</v>
      </c>
      <c r="BD2488" t="s">
        <v>65</v>
      </c>
      <c r="BE2488">
        <v>62</v>
      </c>
      <c r="BF2488">
        <v>8</v>
      </c>
      <c r="BG2488" t="s">
        <v>9918</v>
      </c>
      <c r="BH2488" t="s">
        <v>9919</v>
      </c>
      <c r="BI2488" t="s">
        <v>9920</v>
      </c>
      <c r="BJ2488">
        <v>3.048E-2</v>
      </c>
      <c r="BK2488">
        <v>1</v>
      </c>
      <c r="BL2488" t="s">
        <v>69</v>
      </c>
      <c r="BM2488">
        <v>-1.3089999999999999</v>
      </c>
      <c r="BN2488">
        <v>-0.16</v>
      </c>
    </row>
    <row r="2489" spans="2:66">
      <c r="J2489">
        <v>0</v>
      </c>
      <c r="K2489">
        <v>2</v>
      </c>
      <c r="L2489">
        <v>0</v>
      </c>
      <c r="M2489" t="s">
        <v>25022</v>
      </c>
      <c r="N2489">
        <v>1586</v>
      </c>
      <c r="O2489" t="s">
        <v>9921</v>
      </c>
      <c r="P2489" t="s">
        <v>57</v>
      </c>
      <c r="Q2489">
        <v>1594492</v>
      </c>
      <c r="R2489">
        <v>1595184</v>
      </c>
      <c r="S2489" t="s">
        <v>288</v>
      </c>
      <c r="T2489">
        <v>231</v>
      </c>
      <c r="U2489" t="s">
        <v>108</v>
      </c>
      <c r="V2489">
        <v>44</v>
      </c>
      <c r="W2489" t="str">
        <f>HYPERLINK("Gene1586-zp_tree_all.dnd", "Gene1586-tree")</f>
        <v>Gene1586-tree</v>
      </c>
      <c r="X2489">
        <v>7</v>
      </c>
      <c r="Y2489">
        <v>4</v>
      </c>
      <c r="Z2489">
        <v>7</v>
      </c>
      <c r="AA2489">
        <v>4</v>
      </c>
      <c r="AB2489">
        <v>0.36364000000000002</v>
      </c>
      <c r="AC2489" t="s">
        <v>152</v>
      </c>
      <c r="AD2489" t="s">
        <v>61</v>
      </c>
      <c r="AE2489" t="s">
        <v>62</v>
      </c>
      <c r="AF2489" t="s">
        <v>62</v>
      </c>
      <c r="AG2489">
        <v>1</v>
      </c>
      <c r="AH2489">
        <v>2</v>
      </c>
      <c r="AI2489">
        <v>5</v>
      </c>
      <c r="AJ2489">
        <v>0.28571000000000002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5</v>
      </c>
      <c r="AT2489">
        <v>0</v>
      </c>
      <c r="AU2489">
        <v>9</v>
      </c>
      <c r="AV2489">
        <v>5</v>
      </c>
      <c r="AW2489">
        <v>10</v>
      </c>
      <c r="AX2489">
        <v>5</v>
      </c>
      <c r="AY2489">
        <v>6</v>
      </c>
      <c r="AZ2489">
        <v>2</v>
      </c>
      <c r="BA2489" t="s">
        <v>9922</v>
      </c>
      <c r="BB2489" t="s">
        <v>9923</v>
      </c>
      <c r="BC2489">
        <v>0.41</v>
      </c>
      <c r="BD2489" t="s">
        <v>65</v>
      </c>
      <c r="BE2489">
        <v>16</v>
      </c>
      <c r="BF2489">
        <v>7</v>
      </c>
      <c r="BG2489" t="s">
        <v>9924</v>
      </c>
      <c r="BH2489" t="s">
        <v>9925</v>
      </c>
      <c r="BI2489" t="s">
        <v>9926</v>
      </c>
      <c r="BJ2489">
        <v>0.10904</v>
      </c>
      <c r="BK2489">
        <v>1</v>
      </c>
      <c r="BL2489" t="s">
        <v>69</v>
      </c>
      <c r="BM2489">
        <v>-0.66500000000000004</v>
      </c>
      <c r="BN2489">
        <v>-1.1719999999999999</v>
      </c>
    </row>
    <row r="2490" spans="2:66">
      <c r="J2490">
        <v>0</v>
      </c>
      <c r="K2490">
        <v>0</v>
      </c>
      <c r="L2490">
        <v>0</v>
      </c>
      <c r="M2490" t="s">
        <v>25022</v>
      </c>
      <c r="N2490">
        <v>1587</v>
      </c>
      <c r="O2490" t="s">
        <v>9927</v>
      </c>
      <c r="P2490" t="s">
        <v>57</v>
      </c>
      <c r="Q2490">
        <v>1595210</v>
      </c>
      <c r="R2490">
        <v>1595914</v>
      </c>
      <c r="S2490" t="s">
        <v>288</v>
      </c>
      <c r="T2490">
        <v>235</v>
      </c>
      <c r="U2490" t="s">
        <v>108</v>
      </c>
      <c r="V2490">
        <v>44</v>
      </c>
      <c r="W2490" t="str">
        <f>HYPERLINK("Gene1587-zp_tree_all.dnd", "Gene1587-tree")</f>
        <v>Gene1587-tree</v>
      </c>
      <c r="X2490">
        <v>5</v>
      </c>
      <c r="Y2490">
        <v>4</v>
      </c>
      <c r="Z2490">
        <v>5</v>
      </c>
      <c r="AA2490">
        <v>4</v>
      </c>
      <c r="AB2490">
        <v>0.44444</v>
      </c>
      <c r="AC2490" t="s">
        <v>199</v>
      </c>
      <c r="AD2490" t="s">
        <v>61</v>
      </c>
      <c r="AE2490" t="s">
        <v>62</v>
      </c>
      <c r="AF2490" t="s">
        <v>62</v>
      </c>
      <c r="AG2490">
        <v>0</v>
      </c>
      <c r="AH2490">
        <v>0</v>
      </c>
      <c r="AI2490">
        <v>6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4</v>
      </c>
      <c r="AT2490">
        <v>0</v>
      </c>
      <c r="AU2490">
        <v>6</v>
      </c>
      <c r="AV2490">
        <v>3</v>
      </c>
      <c r="AW2490">
        <v>5</v>
      </c>
      <c r="AX2490">
        <v>3</v>
      </c>
      <c r="AY2490">
        <v>4</v>
      </c>
      <c r="AZ2490">
        <v>3</v>
      </c>
      <c r="BA2490" t="s">
        <v>9928</v>
      </c>
      <c r="BB2490" t="s">
        <v>9929</v>
      </c>
      <c r="BC2490">
        <v>0.11700000000000001</v>
      </c>
      <c r="BD2490" t="s">
        <v>65</v>
      </c>
      <c r="BE2490">
        <v>9</v>
      </c>
      <c r="BF2490">
        <v>6</v>
      </c>
      <c r="BG2490" t="s">
        <v>9930</v>
      </c>
      <c r="BH2490" t="s">
        <v>9931</v>
      </c>
      <c r="BI2490" t="s">
        <v>9932</v>
      </c>
      <c r="BJ2490">
        <v>0.23324</v>
      </c>
      <c r="BK2490">
        <v>0.97</v>
      </c>
      <c r="BL2490" t="s">
        <v>69</v>
      </c>
      <c r="BM2490">
        <v>0.39700000000000002</v>
      </c>
      <c r="BN2490">
        <v>0.23400000000000001</v>
      </c>
    </row>
    <row r="2491" spans="2:66">
      <c r="J2491">
        <v>0</v>
      </c>
      <c r="K2491">
        <v>0</v>
      </c>
      <c r="L2491">
        <v>2</v>
      </c>
      <c r="M2491" t="s">
        <v>25022</v>
      </c>
      <c r="N2491">
        <v>1588</v>
      </c>
      <c r="O2491" t="s">
        <v>9933</v>
      </c>
      <c r="P2491" t="s">
        <v>57</v>
      </c>
      <c r="Q2491">
        <v>1595935</v>
      </c>
      <c r="R2491">
        <v>1596297</v>
      </c>
      <c r="S2491" t="s">
        <v>9934</v>
      </c>
      <c r="T2491">
        <v>121</v>
      </c>
      <c r="U2491" t="s">
        <v>59</v>
      </c>
      <c r="V2491">
        <v>49</v>
      </c>
      <c r="W2491" t="str">
        <f>HYPERLINK("Gene1588-zp_tree_all.dnd", "Gene1588-tree")</f>
        <v>Gene1588-tree</v>
      </c>
      <c r="X2491">
        <v>46</v>
      </c>
      <c r="Y2491">
        <v>3</v>
      </c>
      <c r="Z2491">
        <v>6</v>
      </c>
      <c r="AA2491">
        <v>3</v>
      </c>
      <c r="AB2491">
        <v>0.33333000000000002</v>
      </c>
      <c r="AC2491" t="s">
        <v>9935</v>
      </c>
      <c r="AD2491" t="s">
        <v>324</v>
      </c>
      <c r="AE2491" t="s">
        <v>62</v>
      </c>
      <c r="AF2491" t="s">
        <v>62</v>
      </c>
      <c r="AG2491">
        <v>1</v>
      </c>
      <c r="AH2491">
        <v>2</v>
      </c>
      <c r="AI2491">
        <v>3</v>
      </c>
      <c r="AJ2491">
        <v>0.4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4</v>
      </c>
      <c r="AT2491">
        <v>0</v>
      </c>
      <c r="AU2491">
        <v>7</v>
      </c>
      <c r="AV2491">
        <v>4</v>
      </c>
      <c r="AW2491">
        <v>10</v>
      </c>
      <c r="AX2491">
        <v>4</v>
      </c>
      <c r="AY2491">
        <v>10</v>
      </c>
      <c r="AZ2491">
        <v>1</v>
      </c>
      <c r="BA2491" t="s">
        <v>9936</v>
      </c>
      <c r="BB2491" t="s">
        <v>9937</v>
      </c>
      <c r="BC2491">
        <v>0.877</v>
      </c>
      <c r="BD2491" t="s">
        <v>65</v>
      </c>
      <c r="BE2491">
        <v>20</v>
      </c>
      <c r="BF2491">
        <v>5</v>
      </c>
      <c r="BG2491" t="s">
        <v>9938</v>
      </c>
      <c r="BH2491" t="s">
        <v>9939</v>
      </c>
      <c r="BI2491" t="s">
        <v>9940</v>
      </c>
      <c r="BJ2491">
        <v>5.8790000000000002E-2</v>
      </c>
      <c r="BK2491">
        <v>1</v>
      </c>
      <c r="BL2491" t="s">
        <v>69</v>
      </c>
      <c r="BM2491">
        <v>-2.133</v>
      </c>
      <c r="BN2491">
        <v>-2.2200000000000002</v>
      </c>
    </row>
    <row r="2492" spans="2:66">
      <c r="J2492">
        <v>0</v>
      </c>
      <c r="K2492">
        <v>0</v>
      </c>
      <c r="L2492">
        <v>0</v>
      </c>
      <c r="M2492" t="s">
        <v>25022</v>
      </c>
      <c r="N2492">
        <v>1589</v>
      </c>
      <c r="O2492" t="s">
        <v>9941</v>
      </c>
      <c r="P2492" t="s">
        <v>57</v>
      </c>
      <c r="Q2492">
        <v>1596474</v>
      </c>
      <c r="R2492">
        <v>1597793</v>
      </c>
      <c r="S2492" t="s">
        <v>9942</v>
      </c>
      <c r="T2492">
        <v>440</v>
      </c>
      <c r="U2492" t="s">
        <v>2598</v>
      </c>
      <c r="V2492">
        <v>48</v>
      </c>
      <c r="W2492" t="str">
        <f>HYPERLINK("Gene1589-zp_tree_all.dnd", "Gene1589-tree")</f>
        <v>Gene1589-tree</v>
      </c>
      <c r="X2492">
        <v>10</v>
      </c>
      <c r="Y2492">
        <v>5</v>
      </c>
      <c r="Z2492">
        <v>10</v>
      </c>
      <c r="AA2492">
        <v>5</v>
      </c>
      <c r="AB2492">
        <v>0.33333000000000002</v>
      </c>
      <c r="AC2492" t="s">
        <v>117</v>
      </c>
      <c r="AD2492" t="s">
        <v>199</v>
      </c>
      <c r="AE2492" t="s">
        <v>62</v>
      </c>
      <c r="AF2492" t="s">
        <v>62</v>
      </c>
      <c r="AG2492">
        <v>0</v>
      </c>
      <c r="AH2492">
        <v>0</v>
      </c>
      <c r="AI2492">
        <v>10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5</v>
      </c>
      <c r="AT2492">
        <v>0</v>
      </c>
      <c r="AU2492">
        <v>11</v>
      </c>
      <c r="AV2492">
        <v>9</v>
      </c>
      <c r="AW2492">
        <v>31</v>
      </c>
      <c r="AX2492">
        <v>5</v>
      </c>
      <c r="AY2492">
        <v>42</v>
      </c>
      <c r="AZ2492">
        <v>5</v>
      </c>
      <c r="BA2492" t="s">
        <v>9943</v>
      </c>
      <c r="BB2492" t="s">
        <v>9944</v>
      </c>
      <c r="BC2492">
        <v>0.21199999999999999</v>
      </c>
      <c r="BD2492" t="s">
        <v>65</v>
      </c>
      <c r="BE2492">
        <v>73</v>
      </c>
      <c r="BF2492">
        <v>10</v>
      </c>
      <c r="BG2492" t="s">
        <v>9945</v>
      </c>
      <c r="BH2492" t="s">
        <v>9946</v>
      </c>
      <c r="BI2492" t="s">
        <v>9947</v>
      </c>
      <c r="BJ2492">
        <v>3.8539999999999998E-2</v>
      </c>
      <c r="BK2492">
        <v>1</v>
      </c>
      <c r="BL2492" t="s">
        <v>69</v>
      </c>
      <c r="BM2492">
        <v>-1.153</v>
      </c>
      <c r="BN2492">
        <v>-0.59799999999999998</v>
      </c>
    </row>
    <row r="2493" spans="2:66">
      <c r="J2493">
        <v>0</v>
      </c>
      <c r="K2493">
        <v>0</v>
      </c>
      <c r="L2493">
        <v>0</v>
      </c>
      <c r="M2493" t="s">
        <v>25022</v>
      </c>
      <c r="N2493">
        <v>1590</v>
      </c>
      <c r="O2493" t="s">
        <v>9948</v>
      </c>
      <c r="P2493" t="s">
        <v>57</v>
      </c>
      <c r="Q2493">
        <v>1597832</v>
      </c>
      <c r="R2493">
        <v>1598977</v>
      </c>
      <c r="S2493" t="s">
        <v>506</v>
      </c>
      <c r="T2493">
        <v>382</v>
      </c>
      <c r="U2493" t="s">
        <v>59</v>
      </c>
      <c r="V2493">
        <v>49</v>
      </c>
      <c r="W2493" t="str">
        <f>HYPERLINK("Gene1590-zp_tree_all.dnd", "Gene1590-tree")</f>
        <v>Gene1590-tree</v>
      </c>
      <c r="X2493">
        <v>12</v>
      </c>
      <c r="Y2493">
        <v>3</v>
      </c>
      <c r="Z2493">
        <v>12</v>
      </c>
      <c r="AA2493">
        <v>3</v>
      </c>
      <c r="AB2493">
        <v>0.2</v>
      </c>
      <c r="AC2493" t="s">
        <v>109</v>
      </c>
      <c r="AD2493" t="s">
        <v>324</v>
      </c>
      <c r="AE2493" t="s">
        <v>62</v>
      </c>
      <c r="AF2493" t="s">
        <v>62</v>
      </c>
      <c r="AG2493">
        <v>0</v>
      </c>
      <c r="AH2493">
        <v>0</v>
      </c>
      <c r="AI2493">
        <v>5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4</v>
      </c>
      <c r="AT2493">
        <v>0</v>
      </c>
      <c r="AU2493">
        <v>14</v>
      </c>
      <c r="AV2493">
        <v>11</v>
      </c>
      <c r="AW2493">
        <v>28</v>
      </c>
      <c r="AX2493">
        <v>4</v>
      </c>
      <c r="AY2493">
        <v>73</v>
      </c>
      <c r="AZ2493">
        <v>3</v>
      </c>
      <c r="BA2493" t="s">
        <v>9949</v>
      </c>
      <c r="BB2493" t="s">
        <v>9950</v>
      </c>
      <c r="BC2493">
        <v>0.42499999999999999</v>
      </c>
      <c r="BD2493" t="s">
        <v>65</v>
      </c>
      <c r="BE2493">
        <v>101</v>
      </c>
      <c r="BF2493">
        <v>7</v>
      </c>
      <c r="BG2493" t="s">
        <v>9951</v>
      </c>
      <c r="BH2493" t="s">
        <v>9952</v>
      </c>
      <c r="BI2493" t="s">
        <v>9953</v>
      </c>
      <c r="BJ2493">
        <v>1.465E-2</v>
      </c>
      <c r="BK2493">
        <v>1</v>
      </c>
      <c r="BL2493" t="s">
        <v>69</v>
      </c>
      <c r="BM2493">
        <v>-1.4970000000000001</v>
      </c>
      <c r="BN2493">
        <v>-0.313</v>
      </c>
    </row>
    <row r="2494" spans="2:66">
      <c r="J2494">
        <v>0</v>
      </c>
      <c r="K2494">
        <v>79</v>
      </c>
      <c r="L2494">
        <v>6</v>
      </c>
      <c r="M2494" t="s">
        <v>25022</v>
      </c>
      <c r="N2494">
        <v>1591</v>
      </c>
      <c r="O2494" t="s">
        <v>9954</v>
      </c>
      <c r="P2494" t="s">
        <v>57</v>
      </c>
      <c r="Q2494">
        <v>1599283</v>
      </c>
      <c r="R2494">
        <v>1603581</v>
      </c>
      <c r="S2494" t="s">
        <v>9955</v>
      </c>
      <c r="T2494">
        <v>1433</v>
      </c>
      <c r="U2494" t="s">
        <v>108</v>
      </c>
      <c r="V2494">
        <v>44</v>
      </c>
      <c r="W2494" t="str">
        <f>HYPERLINK("Gene1591-zp_tree_all.dnd", "Gene1591-tree")</f>
        <v>Gene1591-tree</v>
      </c>
      <c r="X2494">
        <v>1</v>
      </c>
      <c r="Y2494">
        <v>15</v>
      </c>
      <c r="Z2494">
        <v>1</v>
      </c>
      <c r="AA2494">
        <v>15</v>
      </c>
      <c r="AB2494">
        <v>0.9375</v>
      </c>
      <c r="AC2494" t="s">
        <v>175</v>
      </c>
      <c r="AD2494" t="s">
        <v>100</v>
      </c>
      <c r="AE2494" t="s">
        <v>62</v>
      </c>
      <c r="AF2494" t="s">
        <v>62</v>
      </c>
      <c r="AG2494">
        <v>33</v>
      </c>
      <c r="AH2494">
        <v>85</v>
      </c>
      <c r="AI2494">
        <v>55</v>
      </c>
      <c r="AJ2494">
        <v>0.60714000000000001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28</v>
      </c>
      <c r="AQ2494">
        <v>7</v>
      </c>
      <c r="AR2494">
        <v>35</v>
      </c>
      <c r="AS2494">
        <v>54</v>
      </c>
      <c r="AT2494">
        <v>0.39326</v>
      </c>
      <c r="AU2494">
        <v>14</v>
      </c>
      <c r="AV2494">
        <v>13</v>
      </c>
      <c r="AW2494">
        <v>154</v>
      </c>
      <c r="AX2494">
        <v>87</v>
      </c>
      <c r="AY2494">
        <v>135</v>
      </c>
      <c r="AZ2494">
        <v>60</v>
      </c>
      <c r="BA2494" t="s">
        <v>9956</v>
      </c>
      <c r="BB2494" t="s">
        <v>9957</v>
      </c>
      <c r="BC2494">
        <v>0.28399999999999997</v>
      </c>
      <c r="BD2494" t="s">
        <v>65</v>
      </c>
      <c r="BE2494">
        <v>289</v>
      </c>
      <c r="BF2494">
        <v>147</v>
      </c>
      <c r="BG2494" t="s">
        <v>9958</v>
      </c>
      <c r="BH2494" t="s">
        <v>9959</v>
      </c>
      <c r="BI2494" t="s">
        <v>9960</v>
      </c>
      <c r="BJ2494">
        <v>0.15146000000000001</v>
      </c>
      <c r="BK2494">
        <v>1</v>
      </c>
      <c r="BL2494" t="s">
        <v>69</v>
      </c>
      <c r="BM2494">
        <v>-0.314</v>
      </c>
      <c r="BN2494">
        <v>-1.9650000000000001</v>
      </c>
    </row>
    <row r="2495" spans="2:66">
      <c r="J2495">
        <v>0</v>
      </c>
      <c r="K2495">
        <v>2</v>
      </c>
      <c r="L2495">
        <v>0</v>
      </c>
      <c r="M2495" t="s">
        <v>25022</v>
      </c>
      <c r="N2495">
        <v>1592</v>
      </c>
      <c r="O2495" t="s">
        <v>9961</v>
      </c>
      <c r="P2495" t="s">
        <v>57</v>
      </c>
      <c r="Q2495">
        <v>1603779</v>
      </c>
      <c r="R2495">
        <v>1604705</v>
      </c>
      <c r="S2495" t="s">
        <v>9962</v>
      </c>
      <c r="T2495">
        <v>309</v>
      </c>
      <c r="U2495" t="s">
        <v>108</v>
      </c>
      <c r="V2495">
        <v>44</v>
      </c>
      <c r="W2495" t="str">
        <f>HYPERLINK("Gene1592-zp_tree_all.dnd", "Gene1592-tree")</f>
        <v>Gene1592-tree</v>
      </c>
      <c r="X2495">
        <v>8</v>
      </c>
      <c r="Y2495">
        <v>5</v>
      </c>
      <c r="Z2495">
        <v>8</v>
      </c>
      <c r="AA2495">
        <v>5</v>
      </c>
      <c r="AB2495">
        <v>0.38462000000000002</v>
      </c>
      <c r="AC2495" t="s">
        <v>136</v>
      </c>
      <c r="AD2495" t="s">
        <v>199</v>
      </c>
      <c r="AE2495" t="s">
        <v>62</v>
      </c>
      <c r="AF2495" t="s">
        <v>62</v>
      </c>
      <c r="AG2495">
        <v>1</v>
      </c>
      <c r="AH2495">
        <v>2</v>
      </c>
      <c r="AI2495">
        <v>4</v>
      </c>
      <c r="AJ2495">
        <v>0.33333000000000002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2</v>
      </c>
      <c r="AQ2495">
        <v>0</v>
      </c>
      <c r="AR2495">
        <v>2</v>
      </c>
      <c r="AS2495">
        <v>3</v>
      </c>
      <c r="AT2495">
        <v>0.4</v>
      </c>
      <c r="AU2495">
        <v>11</v>
      </c>
      <c r="AV2495">
        <v>6</v>
      </c>
      <c r="AW2495">
        <v>15</v>
      </c>
      <c r="AX2495">
        <v>4</v>
      </c>
      <c r="AY2495">
        <v>7</v>
      </c>
      <c r="AZ2495">
        <v>2</v>
      </c>
      <c r="BA2495" t="s">
        <v>9963</v>
      </c>
      <c r="BB2495" t="s">
        <v>9964</v>
      </c>
      <c r="BC2495">
        <v>6.4000000000000001E-2</v>
      </c>
      <c r="BD2495" t="s">
        <v>65</v>
      </c>
      <c r="BE2495">
        <v>22</v>
      </c>
      <c r="BF2495">
        <v>6</v>
      </c>
      <c r="BG2495" t="s">
        <v>9965</v>
      </c>
      <c r="BH2495" t="s">
        <v>9966</v>
      </c>
      <c r="BI2495" t="s">
        <v>9967</v>
      </c>
      <c r="BJ2495">
        <v>7.8820000000000001E-2</v>
      </c>
      <c r="BK2495">
        <v>1</v>
      </c>
      <c r="BL2495" t="s">
        <v>69</v>
      </c>
      <c r="BM2495">
        <v>-1.0680000000000001</v>
      </c>
      <c r="BN2495">
        <v>-1.7789999999999999</v>
      </c>
    </row>
    <row r="2496" spans="2:66">
      <c r="J2496">
        <v>0</v>
      </c>
      <c r="K2496">
        <v>0</v>
      </c>
      <c r="L2496">
        <v>0</v>
      </c>
      <c r="M2496" t="s">
        <v>25022</v>
      </c>
      <c r="N2496">
        <v>1593</v>
      </c>
      <c r="O2496" t="s">
        <v>9968</v>
      </c>
      <c r="P2496" t="s">
        <v>57</v>
      </c>
      <c r="Q2496">
        <v>1604771</v>
      </c>
      <c r="R2496">
        <v>1605487</v>
      </c>
      <c r="S2496" t="s">
        <v>9969</v>
      </c>
      <c r="T2496">
        <v>239</v>
      </c>
      <c r="U2496" t="s">
        <v>108</v>
      </c>
      <c r="V2496">
        <v>44</v>
      </c>
      <c r="W2496" t="str">
        <f>HYPERLINK("Gene1593-zp_tree_all.dnd", "Gene1593-tree")</f>
        <v>Gene1593-tree</v>
      </c>
      <c r="X2496">
        <v>11</v>
      </c>
      <c r="Y2496">
        <v>0</v>
      </c>
      <c r="Z2496">
        <v>11</v>
      </c>
      <c r="AA2496">
        <v>0</v>
      </c>
      <c r="AB2496">
        <v>0</v>
      </c>
      <c r="AC2496" t="s">
        <v>73</v>
      </c>
      <c r="AD2496" t="s">
        <v>62</v>
      </c>
      <c r="AE2496" t="s">
        <v>62</v>
      </c>
      <c r="AF2496" t="s">
        <v>62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7</v>
      </c>
      <c r="AV2496">
        <v>4</v>
      </c>
      <c r="AW2496">
        <v>10</v>
      </c>
      <c r="AX2496">
        <v>0</v>
      </c>
      <c r="AY2496">
        <v>4</v>
      </c>
      <c r="AZ2496">
        <v>0</v>
      </c>
      <c r="BA2496" t="s">
        <v>193</v>
      </c>
      <c r="BB2496" t="s">
        <v>193</v>
      </c>
      <c r="BC2496">
        <v>0</v>
      </c>
      <c r="BD2496" t="s">
        <v>65</v>
      </c>
      <c r="BE2496">
        <v>14</v>
      </c>
      <c r="BF2496">
        <v>0</v>
      </c>
      <c r="BG2496" t="s">
        <v>9970</v>
      </c>
      <c r="BH2496" t="s">
        <v>9971</v>
      </c>
      <c r="BI2496" t="s">
        <v>193</v>
      </c>
      <c r="BJ2496">
        <v>0</v>
      </c>
      <c r="BK2496">
        <v>1</v>
      </c>
      <c r="BL2496" t="s">
        <v>69</v>
      </c>
      <c r="BM2496">
        <v>-0.74</v>
      </c>
      <c r="BN2496">
        <v>-1.732</v>
      </c>
    </row>
    <row r="2497" spans="10:66">
      <c r="J2497">
        <v>0</v>
      </c>
      <c r="K2497">
        <v>2</v>
      </c>
      <c r="L2497">
        <v>0</v>
      </c>
      <c r="M2497" t="s">
        <v>25022</v>
      </c>
      <c r="N2497">
        <v>1594</v>
      </c>
      <c r="O2497" t="s">
        <v>9972</v>
      </c>
      <c r="P2497" t="s">
        <v>57</v>
      </c>
      <c r="Q2497">
        <v>1605630</v>
      </c>
      <c r="R2497">
        <v>1606409</v>
      </c>
      <c r="S2497" t="s">
        <v>9973</v>
      </c>
      <c r="T2497">
        <v>260</v>
      </c>
      <c r="U2497" t="s">
        <v>59</v>
      </c>
      <c r="V2497">
        <v>49</v>
      </c>
      <c r="W2497" t="str">
        <f>HYPERLINK("Gene1594-zp_tree_all.dnd", "Gene1594-tree")</f>
        <v>Gene1594-tree</v>
      </c>
      <c r="X2497">
        <v>16</v>
      </c>
      <c r="Y2497">
        <v>1</v>
      </c>
      <c r="Z2497">
        <v>16</v>
      </c>
      <c r="AA2497">
        <v>1</v>
      </c>
      <c r="AB2497">
        <v>5.8819999999999997E-2</v>
      </c>
      <c r="AC2497" t="s">
        <v>60</v>
      </c>
      <c r="AD2497" t="s">
        <v>175</v>
      </c>
      <c r="AE2497" t="s">
        <v>62</v>
      </c>
      <c r="AF2497" t="s">
        <v>62</v>
      </c>
      <c r="AG2497">
        <v>1</v>
      </c>
      <c r="AH2497">
        <v>2</v>
      </c>
      <c r="AI2497">
        <v>2</v>
      </c>
      <c r="AJ2497">
        <v>0.5</v>
      </c>
      <c r="AK2497">
        <v>2</v>
      </c>
      <c r="AL2497">
        <v>0</v>
      </c>
      <c r="AM2497">
        <v>2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11</v>
      </c>
      <c r="AV2497">
        <v>10</v>
      </c>
      <c r="AW2497">
        <v>23</v>
      </c>
      <c r="AX2497">
        <v>1</v>
      </c>
      <c r="AY2497">
        <v>31</v>
      </c>
      <c r="AZ2497">
        <v>3</v>
      </c>
      <c r="BA2497" t="s">
        <v>9974</v>
      </c>
      <c r="BB2497" t="s">
        <v>9975</v>
      </c>
      <c r="BC2497">
        <v>0.29599999999999999</v>
      </c>
      <c r="BD2497" t="s">
        <v>65</v>
      </c>
      <c r="BE2497">
        <v>54</v>
      </c>
      <c r="BF2497">
        <v>4</v>
      </c>
      <c r="BG2497" t="s">
        <v>9976</v>
      </c>
      <c r="BH2497" t="s">
        <v>9977</v>
      </c>
      <c r="BI2497" t="s">
        <v>9978</v>
      </c>
      <c r="BJ2497">
        <v>1.311E-2</v>
      </c>
      <c r="BK2497">
        <v>1</v>
      </c>
      <c r="BL2497" t="s">
        <v>69</v>
      </c>
      <c r="BM2497">
        <v>-1.2310000000000001</v>
      </c>
      <c r="BN2497">
        <v>-0.77100000000000002</v>
      </c>
    </row>
    <row r="2498" spans="10:66">
      <c r="J2498">
        <v>0</v>
      </c>
      <c r="K2498">
        <v>0</v>
      </c>
      <c r="L2498">
        <v>0</v>
      </c>
      <c r="M2498" t="s">
        <v>25022</v>
      </c>
      <c r="N2498">
        <v>1595</v>
      </c>
      <c r="O2498" t="s">
        <v>9979</v>
      </c>
      <c r="P2498" t="s">
        <v>57</v>
      </c>
      <c r="Q2498">
        <v>1606560</v>
      </c>
      <c r="R2498">
        <v>1607351</v>
      </c>
      <c r="S2498" t="s">
        <v>5350</v>
      </c>
      <c r="T2498">
        <v>264</v>
      </c>
      <c r="U2498" t="s">
        <v>108</v>
      </c>
      <c r="V2498">
        <v>44</v>
      </c>
      <c r="W2498" t="str">
        <f>HYPERLINK("Gene1595-zp_tree_all.dnd", "Gene1595-tree")</f>
        <v>Gene1595-tree</v>
      </c>
      <c r="X2498">
        <v>4</v>
      </c>
      <c r="Y2498">
        <v>9</v>
      </c>
      <c r="Z2498">
        <v>4</v>
      </c>
      <c r="AA2498">
        <v>9</v>
      </c>
      <c r="AB2498">
        <v>0.69230999999999998</v>
      </c>
      <c r="AC2498" t="s">
        <v>61</v>
      </c>
      <c r="AD2498" t="s">
        <v>135</v>
      </c>
      <c r="AE2498" t="s">
        <v>62</v>
      </c>
      <c r="AF2498" t="s">
        <v>62</v>
      </c>
      <c r="AG2498">
        <v>0</v>
      </c>
      <c r="AH2498">
        <v>0</v>
      </c>
      <c r="AI2498">
        <v>13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11</v>
      </c>
      <c r="AT2498">
        <v>0</v>
      </c>
      <c r="AU2498">
        <v>10</v>
      </c>
      <c r="AV2498">
        <v>7</v>
      </c>
      <c r="AW2498">
        <v>21</v>
      </c>
      <c r="AX2498">
        <v>11</v>
      </c>
      <c r="AY2498">
        <v>13</v>
      </c>
      <c r="AZ2498">
        <v>2</v>
      </c>
      <c r="BA2498" t="s">
        <v>9980</v>
      </c>
      <c r="BB2498" t="s">
        <v>9981</v>
      </c>
      <c r="BC2498">
        <v>1.0249999999999999</v>
      </c>
      <c r="BD2498" t="s">
        <v>65</v>
      </c>
      <c r="BE2498">
        <v>34</v>
      </c>
      <c r="BF2498">
        <v>13</v>
      </c>
      <c r="BG2498" t="s">
        <v>9982</v>
      </c>
      <c r="BH2498" t="s">
        <v>9983</v>
      </c>
      <c r="BI2498" t="s">
        <v>9984</v>
      </c>
      <c r="BJ2498">
        <v>0.10704</v>
      </c>
      <c r="BK2498">
        <v>1</v>
      </c>
      <c r="BL2498" t="s">
        <v>69</v>
      </c>
      <c r="BM2498">
        <v>-0.627</v>
      </c>
      <c r="BN2498">
        <v>-2.7130000000000001</v>
      </c>
    </row>
    <row r="2499" spans="10:66">
      <c r="J2499">
        <v>0</v>
      </c>
      <c r="K2499">
        <v>6</v>
      </c>
      <c r="L2499">
        <v>2</v>
      </c>
      <c r="M2499" t="s">
        <v>25022</v>
      </c>
      <c r="N2499">
        <v>1596</v>
      </c>
      <c r="O2499" t="s">
        <v>9985</v>
      </c>
      <c r="P2499" t="s">
        <v>57</v>
      </c>
      <c r="Q2499">
        <v>1607556</v>
      </c>
      <c r="R2499">
        <v>1608833</v>
      </c>
      <c r="S2499" t="s">
        <v>9986</v>
      </c>
      <c r="T2499">
        <v>426</v>
      </c>
      <c r="U2499" t="s">
        <v>265</v>
      </c>
      <c r="V2499">
        <v>43</v>
      </c>
      <c r="W2499" t="str">
        <f>HYPERLINK("Gene1596-zp_tree_all.dnd", "Gene1596-tree")</f>
        <v>Gene1596-tree</v>
      </c>
      <c r="X2499">
        <v>2</v>
      </c>
      <c r="Y2499">
        <v>10</v>
      </c>
      <c r="Z2499">
        <v>2</v>
      </c>
      <c r="AA2499">
        <v>10</v>
      </c>
      <c r="AB2499">
        <v>0.83333000000000002</v>
      </c>
      <c r="AC2499" t="s">
        <v>81</v>
      </c>
      <c r="AD2499" t="s">
        <v>117</v>
      </c>
      <c r="AE2499" t="s">
        <v>62</v>
      </c>
      <c r="AF2499" t="s">
        <v>62</v>
      </c>
      <c r="AG2499">
        <v>4</v>
      </c>
      <c r="AH2499">
        <v>8</v>
      </c>
      <c r="AI2499">
        <v>17</v>
      </c>
      <c r="AJ2499">
        <v>0.32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2</v>
      </c>
      <c r="AR2499">
        <v>2</v>
      </c>
      <c r="AS2499">
        <v>16</v>
      </c>
      <c r="AT2499">
        <v>0.11111</v>
      </c>
      <c r="AU2499">
        <v>11</v>
      </c>
      <c r="AV2499">
        <v>9</v>
      </c>
      <c r="AW2499">
        <v>39</v>
      </c>
      <c r="AX2499">
        <v>18</v>
      </c>
      <c r="AY2499">
        <v>41</v>
      </c>
      <c r="AZ2499">
        <v>7</v>
      </c>
      <c r="BA2499" t="s">
        <v>9987</v>
      </c>
      <c r="BB2499" t="s">
        <v>9988</v>
      </c>
      <c r="BC2499">
        <v>1.143</v>
      </c>
      <c r="BD2499" t="s">
        <v>65</v>
      </c>
      <c r="BE2499">
        <v>80</v>
      </c>
      <c r="BF2499">
        <v>25</v>
      </c>
      <c r="BG2499" t="s">
        <v>9989</v>
      </c>
      <c r="BH2499" t="s">
        <v>9990</v>
      </c>
      <c r="BI2499" t="s">
        <v>9991</v>
      </c>
      <c r="BJ2499">
        <v>7.6179999999999998E-2</v>
      </c>
      <c r="BK2499">
        <v>1</v>
      </c>
      <c r="BL2499" t="s">
        <v>69</v>
      </c>
      <c r="BM2499">
        <v>-0.27</v>
      </c>
      <c r="BN2499">
        <v>-1.855</v>
      </c>
    </row>
    <row r="2500" spans="10:66">
      <c r="J2500">
        <v>0</v>
      </c>
      <c r="K2500">
        <v>0</v>
      </c>
      <c r="L2500">
        <v>0</v>
      </c>
      <c r="M2500" t="s">
        <v>25022</v>
      </c>
      <c r="N2500">
        <v>1597</v>
      </c>
      <c r="O2500" t="s">
        <v>9992</v>
      </c>
      <c r="P2500" t="s">
        <v>57</v>
      </c>
      <c r="Q2500">
        <v>1608919</v>
      </c>
      <c r="R2500">
        <v>1609161</v>
      </c>
      <c r="S2500" t="s">
        <v>9993</v>
      </c>
      <c r="T2500">
        <v>81</v>
      </c>
      <c r="U2500" t="s">
        <v>572</v>
      </c>
      <c r="V2500">
        <v>48</v>
      </c>
      <c r="W2500" t="str">
        <f>HYPERLINK("Gene1597-zp_tree_all.dnd", "Gene1597-tree")</f>
        <v>Gene1597-tree</v>
      </c>
      <c r="X2500">
        <v>10</v>
      </c>
      <c r="Y2500">
        <v>0</v>
      </c>
      <c r="Z2500">
        <v>10</v>
      </c>
      <c r="AA2500">
        <v>0</v>
      </c>
      <c r="AB2500">
        <v>0</v>
      </c>
      <c r="AC2500" t="s">
        <v>117</v>
      </c>
      <c r="AD2500" t="s">
        <v>62</v>
      </c>
      <c r="AE2500" t="s">
        <v>62</v>
      </c>
      <c r="AF2500" t="s">
        <v>62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9</v>
      </c>
      <c r="AV2500">
        <v>4</v>
      </c>
      <c r="AW2500">
        <v>16</v>
      </c>
      <c r="AX2500">
        <v>0</v>
      </c>
      <c r="AY2500">
        <v>7</v>
      </c>
      <c r="AZ2500">
        <v>1</v>
      </c>
      <c r="BA2500" t="s">
        <v>193</v>
      </c>
      <c r="BB2500" t="s">
        <v>9994</v>
      </c>
      <c r="BC2500">
        <v>0.53500000000000003</v>
      </c>
      <c r="BD2500" t="s">
        <v>65</v>
      </c>
      <c r="BE2500">
        <v>23</v>
      </c>
      <c r="BF2500">
        <v>1</v>
      </c>
      <c r="BG2500" t="s">
        <v>9995</v>
      </c>
      <c r="BH2500" t="s">
        <v>9996</v>
      </c>
      <c r="BI2500" t="s">
        <v>9997</v>
      </c>
      <c r="BJ2500">
        <v>1.423E-2</v>
      </c>
      <c r="BK2500">
        <v>1</v>
      </c>
      <c r="BL2500" t="s">
        <v>69</v>
      </c>
      <c r="BM2500">
        <v>-1.337</v>
      </c>
      <c r="BN2500">
        <v>-1.9730000000000001</v>
      </c>
    </row>
    <row r="2501" spans="10:66">
      <c r="J2501">
        <v>0</v>
      </c>
      <c r="K2501">
        <v>2</v>
      </c>
      <c r="L2501">
        <v>4</v>
      </c>
      <c r="M2501" t="s">
        <v>25022</v>
      </c>
      <c r="N2501">
        <v>1598</v>
      </c>
      <c r="O2501" t="s">
        <v>9998</v>
      </c>
      <c r="P2501" t="s">
        <v>57</v>
      </c>
      <c r="Q2501">
        <v>1609327</v>
      </c>
      <c r="R2501">
        <v>1610160</v>
      </c>
      <c r="S2501" t="s">
        <v>9999</v>
      </c>
      <c r="T2501">
        <v>278</v>
      </c>
      <c r="U2501" t="s">
        <v>465</v>
      </c>
      <c r="V2501">
        <v>46</v>
      </c>
      <c r="W2501" t="str">
        <f>HYPERLINK("Gene1598-zp_tree_all.dnd", "Gene1598-tree")</f>
        <v>Gene1598-tree</v>
      </c>
      <c r="X2501">
        <v>5</v>
      </c>
      <c r="Y2501">
        <v>10</v>
      </c>
      <c r="Z2501">
        <v>5</v>
      </c>
      <c r="AA2501">
        <v>10</v>
      </c>
      <c r="AB2501">
        <v>0.66666999999999998</v>
      </c>
      <c r="AC2501" t="s">
        <v>199</v>
      </c>
      <c r="AD2501" t="s">
        <v>117</v>
      </c>
      <c r="AE2501" t="s">
        <v>62</v>
      </c>
      <c r="AF2501" t="s">
        <v>62</v>
      </c>
      <c r="AG2501">
        <v>3</v>
      </c>
      <c r="AH2501">
        <v>6</v>
      </c>
      <c r="AI2501">
        <v>19</v>
      </c>
      <c r="AJ2501">
        <v>0.24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11</v>
      </c>
      <c r="AT2501">
        <v>0</v>
      </c>
      <c r="AU2501">
        <v>12</v>
      </c>
      <c r="AV2501">
        <v>9</v>
      </c>
      <c r="AW2501">
        <v>10</v>
      </c>
      <c r="AX2501">
        <v>10</v>
      </c>
      <c r="AY2501">
        <v>32</v>
      </c>
      <c r="AZ2501">
        <v>15</v>
      </c>
      <c r="BA2501" t="s">
        <v>10000</v>
      </c>
      <c r="BB2501" t="s">
        <v>10001</v>
      </c>
      <c r="BC2501">
        <v>0.42899999999999999</v>
      </c>
      <c r="BD2501" t="s">
        <v>65</v>
      </c>
      <c r="BE2501">
        <v>42</v>
      </c>
      <c r="BF2501">
        <v>25</v>
      </c>
      <c r="BG2501" t="s">
        <v>10002</v>
      </c>
      <c r="BH2501" t="s">
        <v>10003</v>
      </c>
      <c r="BI2501" t="s">
        <v>10004</v>
      </c>
      <c r="BJ2501">
        <v>0.14510000000000001</v>
      </c>
      <c r="BK2501">
        <v>1</v>
      </c>
      <c r="BL2501" t="s">
        <v>69</v>
      </c>
      <c r="BM2501">
        <v>-1.613</v>
      </c>
      <c r="BN2501">
        <v>-6.0000000000000001E-3</v>
      </c>
    </row>
    <row r="2502" spans="10:66">
      <c r="J2502">
        <v>0</v>
      </c>
      <c r="K2502">
        <v>8</v>
      </c>
      <c r="L2502">
        <v>0</v>
      </c>
      <c r="M2502" t="s">
        <v>25022</v>
      </c>
      <c r="N2502">
        <v>1599</v>
      </c>
      <c r="O2502" t="s">
        <v>10005</v>
      </c>
      <c r="P2502" t="s">
        <v>57</v>
      </c>
      <c r="Q2502">
        <v>1610170</v>
      </c>
      <c r="R2502">
        <v>1610859</v>
      </c>
      <c r="S2502" t="s">
        <v>10006</v>
      </c>
      <c r="T2502">
        <v>230</v>
      </c>
      <c r="U2502" t="s">
        <v>59</v>
      </c>
      <c r="V2502">
        <v>49</v>
      </c>
      <c r="W2502" t="str">
        <f>HYPERLINK("Gene1599-zp_tree_all.dnd", "Gene1599-tree")</f>
        <v>Gene1599-tree</v>
      </c>
      <c r="X2502">
        <v>10</v>
      </c>
      <c r="Y2502">
        <v>8</v>
      </c>
      <c r="Z2502">
        <v>10</v>
      </c>
      <c r="AA2502">
        <v>8</v>
      </c>
      <c r="AB2502">
        <v>0.44444</v>
      </c>
      <c r="AC2502" t="s">
        <v>117</v>
      </c>
      <c r="AD2502" t="s">
        <v>136</v>
      </c>
      <c r="AE2502" t="s">
        <v>62</v>
      </c>
      <c r="AF2502" t="s">
        <v>62</v>
      </c>
      <c r="AG2502">
        <v>3</v>
      </c>
      <c r="AH2502">
        <v>8</v>
      </c>
      <c r="AI2502">
        <v>12</v>
      </c>
      <c r="AJ2502">
        <v>0.4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4</v>
      </c>
      <c r="AQ2502">
        <v>0</v>
      </c>
      <c r="AR2502">
        <v>4</v>
      </c>
      <c r="AS2502">
        <v>5</v>
      </c>
      <c r="AT2502">
        <v>0.44444</v>
      </c>
      <c r="AU2502">
        <v>11</v>
      </c>
      <c r="AV2502">
        <v>11</v>
      </c>
      <c r="AW2502">
        <v>12</v>
      </c>
      <c r="AX2502">
        <v>8</v>
      </c>
      <c r="AY2502">
        <v>25</v>
      </c>
      <c r="AZ2502">
        <v>12</v>
      </c>
      <c r="BA2502" t="s">
        <v>10007</v>
      </c>
      <c r="BB2502" t="s">
        <v>10008</v>
      </c>
      <c r="BC2502">
        <v>0.215</v>
      </c>
      <c r="BD2502" t="s">
        <v>65</v>
      </c>
      <c r="BE2502">
        <v>37</v>
      </c>
      <c r="BF2502">
        <v>20</v>
      </c>
      <c r="BG2502" t="s">
        <v>10009</v>
      </c>
      <c r="BH2502" t="s">
        <v>10010</v>
      </c>
      <c r="BI2502" t="s">
        <v>10011</v>
      </c>
      <c r="BJ2502">
        <v>0.17348</v>
      </c>
      <c r="BK2502">
        <v>1</v>
      </c>
      <c r="BL2502" t="s">
        <v>69</v>
      </c>
      <c r="BM2502">
        <v>-0.97599999999999998</v>
      </c>
      <c r="BN2502">
        <v>0.435</v>
      </c>
    </row>
    <row r="2503" spans="10:66">
      <c r="J2503">
        <v>0</v>
      </c>
      <c r="K2503">
        <v>0</v>
      </c>
      <c r="L2503">
        <v>2</v>
      </c>
      <c r="M2503" t="s">
        <v>25022</v>
      </c>
      <c r="N2503">
        <v>1600</v>
      </c>
      <c r="O2503" t="s">
        <v>10012</v>
      </c>
      <c r="P2503" t="s">
        <v>57</v>
      </c>
      <c r="Q2503">
        <v>1610859</v>
      </c>
      <c r="R2503">
        <v>1611311</v>
      </c>
      <c r="S2503" t="s">
        <v>10013</v>
      </c>
      <c r="T2503">
        <v>151</v>
      </c>
      <c r="U2503" t="s">
        <v>59</v>
      </c>
      <c r="V2503">
        <v>49</v>
      </c>
      <c r="W2503" t="str">
        <f>HYPERLINK("Gene1600-zp_tree_all.dnd", "Gene1600-tree")</f>
        <v>Gene1600-tree</v>
      </c>
      <c r="X2503">
        <v>14</v>
      </c>
      <c r="Y2503">
        <v>2</v>
      </c>
      <c r="Z2503">
        <v>14</v>
      </c>
      <c r="AA2503">
        <v>2</v>
      </c>
      <c r="AB2503">
        <v>0.125</v>
      </c>
      <c r="AC2503" t="s">
        <v>543</v>
      </c>
      <c r="AD2503" t="s">
        <v>81</v>
      </c>
      <c r="AE2503" t="s">
        <v>62</v>
      </c>
      <c r="AF2503" t="s">
        <v>62</v>
      </c>
      <c r="AG2503">
        <v>1</v>
      </c>
      <c r="AH2503">
        <v>2</v>
      </c>
      <c r="AI2503">
        <v>8</v>
      </c>
      <c r="AJ2503">
        <v>0.2</v>
      </c>
      <c r="AK2503">
        <v>0</v>
      </c>
      <c r="AL2503">
        <v>0</v>
      </c>
      <c r="AM2503">
        <v>0</v>
      </c>
      <c r="AN2503">
        <v>3</v>
      </c>
      <c r="AO2503">
        <v>0</v>
      </c>
      <c r="AP2503">
        <v>0</v>
      </c>
      <c r="AQ2503">
        <v>0</v>
      </c>
      <c r="AR2503">
        <v>0</v>
      </c>
      <c r="AS2503">
        <v>2</v>
      </c>
      <c r="AT2503">
        <v>0</v>
      </c>
      <c r="AU2503">
        <v>10</v>
      </c>
      <c r="AV2503">
        <v>9</v>
      </c>
      <c r="AW2503">
        <v>11</v>
      </c>
      <c r="AX2503">
        <v>2</v>
      </c>
      <c r="AY2503">
        <v>20</v>
      </c>
      <c r="AZ2503">
        <v>8</v>
      </c>
      <c r="BA2503" t="s">
        <v>10014</v>
      </c>
      <c r="BB2503" t="s">
        <v>10015</v>
      </c>
      <c r="BC2503">
        <v>0.68899999999999995</v>
      </c>
      <c r="BD2503" t="s">
        <v>65</v>
      </c>
      <c r="BE2503">
        <v>31</v>
      </c>
      <c r="BF2503">
        <v>10</v>
      </c>
      <c r="BG2503" t="s">
        <v>10016</v>
      </c>
      <c r="BH2503" t="s">
        <v>10017</v>
      </c>
      <c r="BI2503" t="s">
        <v>10018</v>
      </c>
      <c r="BJ2503">
        <v>9.7339999999999996E-2</v>
      </c>
      <c r="BK2503">
        <v>1</v>
      </c>
      <c r="BL2503" t="s">
        <v>69</v>
      </c>
      <c r="BM2503">
        <v>-1.03</v>
      </c>
      <c r="BN2503">
        <v>-5.1999999999999998E-2</v>
      </c>
    </row>
    <row r="2504" spans="10:66">
      <c r="J2504">
        <v>0</v>
      </c>
      <c r="K2504">
        <v>0</v>
      </c>
      <c r="L2504">
        <v>0</v>
      </c>
      <c r="M2504" t="s">
        <v>25022</v>
      </c>
      <c r="N2504">
        <v>1601</v>
      </c>
      <c r="O2504" t="s">
        <v>10019</v>
      </c>
      <c r="P2504" t="s">
        <v>57</v>
      </c>
      <c r="Q2504">
        <v>1611321</v>
      </c>
      <c r="R2504">
        <v>1611590</v>
      </c>
      <c r="S2504" t="s">
        <v>10020</v>
      </c>
      <c r="T2504">
        <v>90</v>
      </c>
      <c r="U2504" t="s">
        <v>59</v>
      </c>
      <c r="V2504">
        <v>49</v>
      </c>
      <c r="W2504" t="str">
        <f>HYPERLINK("Gene1601-zp_tree_all.dnd", "Gene1601-tree")</f>
        <v>Gene1601-tree</v>
      </c>
      <c r="X2504">
        <v>12</v>
      </c>
      <c r="Y2504">
        <v>1</v>
      </c>
      <c r="Z2504">
        <v>12</v>
      </c>
      <c r="AA2504">
        <v>1</v>
      </c>
      <c r="AB2504">
        <v>7.6920000000000002E-2</v>
      </c>
      <c r="AC2504" t="s">
        <v>109</v>
      </c>
      <c r="AD2504" t="s">
        <v>175</v>
      </c>
      <c r="AE2504" t="s">
        <v>62</v>
      </c>
      <c r="AF2504" t="s">
        <v>62</v>
      </c>
      <c r="AG2504">
        <v>0</v>
      </c>
      <c r="AH2504">
        <v>0</v>
      </c>
      <c r="AI2504">
        <v>2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9</v>
      </c>
      <c r="AV2504">
        <v>6</v>
      </c>
      <c r="AW2504">
        <v>18</v>
      </c>
      <c r="AX2504">
        <v>1</v>
      </c>
      <c r="AY2504">
        <v>10</v>
      </c>
      <c r="AZ2504">
        <v>1</v>
      </c>
      <c r="BA2504" t="s">
        <v>10021</v>
      </c>
      <c r="BB2504" t="s">
        <v>10022</v>
      </c>
      <c r="BC2504">
        <v>0.14199999999999999</v>
      </c>
      <c r="BD2504" t="s">
        <v>65</v>
      </c>
      <c r="BE2504">
        <v>28</v>
      </c>
      <c r="BF2504">
        <v>2</v>
      </c>
      <c r="BG2504" t="s">
        <v>10023</v>
      </c>
      <c r="BH2504" t="s">
        <v>10024</v>
      </c>
      <c r="BI2504" t="s">
        <v>10025</v>
      </c>
      <c r="BJ2504">
        <v>3.1969999999999998E-2</v>
      </c>
      <c r="BK2504">
        <v>1</v>
      </c>
      <c r="BL2504" t="s">
        <v>69</v>
      </c>
      <c r="BM2504">
        <v>-1.2490000000000001</v>
      </c>
      <c r="BN2504">
        <v>-1.353</v>
      </c>
    </row>
    <row r="2505" spans="10:66">
      <c r="J2505">
        <v>0</v>
      </c>
      <c r="K2505">
        <v>7</v>
      </c>
      <c r="L2505">
        <v>2</v>
      </c>
      <c r="M2505" t="s">
        <v>25022</v>
      </c>
      <c r="N2505">
        <v>1602</v>
      </c>
      <c r="O2505" t="s">
        <v>10026</v>
      </c>
      <c r="P2505" t="s">
        <v>57</v>
      </c>
      <c r="Q2505">
        <v>1611654</v>
      </c>
      <c r="R2505">
        <v>1612424</v>
      </c>
      <c r="S2505" t="s">
        <v>10027</v>
      </c>
      <c r="T2505">
        <v>257</v>
      </c>
      <c r="U2505" t="s">
        <v>134</v>
      </c>
      <c r="V2505">
        <v>46</v>
      </c>
      <c r="W2505" t="str">
        <f>HYPERLINK("Gene1602-zp_tree_all.dnd", "Gene1602-tree")</f>
        <v>Gene1602-tree</v>
      </c>
      <c r="X2505">
        <v>9</v>
      </c>
      <c r="Y2505">
        <v>7</v>
      </c>
      <c r="Z2505">
        <v>9</v>
      </c>
      <c r="AA2505">
        <v>7</v>
      </c>
      <c r="AB2505">
        <v>0.4375</v>
      </c>
      <c r="AC2505" t="s">
        <v>135</v>
      </c>
      <c r="AD2505" t="s">
        <v>152</v>
      </c>
      <c r="AE2505" t="s">
        <v>62</v>
      </c>
      <c r="AF2505" t="s">
        <v>62</v>
      </c>
      <c r="AG2505">
        <v>4</v>
      </c>
      <c r="AH2505">
        <v>9</v>
      </c>
      <c r="AI2505">
        <v>12</v>
      </c>
      <c r="AJ2505">
        <v>0.42857000000000001</v>
      </c>
      <c r="AK2505">
        <v>0</v>
      </c>
      <c r="AL2505">
        <v>0</v>
      </c>
      <c r="AM2505">
        <v>0</v>
      </c>
      <c r="AN2505">
        <v>2</v>
      </c>
      <c r="AO2505">
        <v>0</v>
      </c>
      <c r="AP2505">
        <v>2</v>
      </c>
      <c r="AQ2505">
        <v>2</v>
      </c>
      <c r="AR2505">
        <v>4</v>
      </c>
      <c r="AS2505">
        <v>8</v>
      </c>
      <c r="AT2505">
        <v>0.33333000000000002</v>
      </c>
      <c r="AU2505">
        <v>13</v>
      </c>
      <c r="AV2505">
        <v>12</v>
      </c>
      <c r="AW2505">
        <v>38</v>
      </c>
      <c r="AX2505">
        <v>12</v>
      </c>
      <c r="AY2505">
        <v>43</v>
      </c>
      <c r="AZ2505">
        <v>9</v>
      </c>
      <c r="BA2505" t="s">
        <v>10028</v>
      </c>
      <c r="BB2505" t="s">
        <v>10029</v>
      </c>
      <c r="BC2505">
        <v>0.34899999999999998</v>
      </c>
      <c r="BD2505" t="s">
        <v>65</v>
      </c>
      <c r="BE2505">
        <v>81</v>
      </c>
      <c r="BF2505">
        <v>21</v>
      </c>
      <c r="BG2505" t="s">
        <v>10030</v>
      </c>
      <c r="BH2505" t="s">
        <v>10031</v>
      </c>
      <c r="BI2505" t="s">
        <v>10032</v>
      </c>
      <c r="BJ2505">
        <v>6.241E-2</v>
      </c>
      <c r="BK2505">
        <v>1</v>
      </c>
      <c r="BL2505" t="s">
        <v>69</v>
      </c>
      <c r="BM2505">
        <v>-1.0629999999999999</v>
      </c>
      <c r="BN2505">
        <v>-1.5309999999999999</v>
      </c>
    </row>
    <row r="2506" spans="10:66">
      <c r="J2506">
        <v>0</v>
      </c>
      <c r="K2506">
        <v>0</v>
      </c>
      <c r="L2506">
        <v>0</v>
      </c>
      <c r="M2506" t="s">
        <v>25022</v>
      </c>
      <c r="N2506">
        <v>1603</v>
      </c>
      <c r="O2506" t="s">
        <v>10033</v>
      </c>
      <c r="P2506" t="s">
        <v>57</v>
      </c>
      <c r="Q2506">
        <v>1612521</v>
      </c>
      <c r="R2506">
        <v>1613012</v>
      </c>
      <c r="S2506" t="s">
        <v>506</v>
      </c>
      <c r="T2506">
        <v>164</v>
      </c>
      <c r="U2506" t="s">
        <v>59</v>
      </c>
      <c r="V2506">
        <v>49</v>
      </c>
      <c r="W2506" t="str">
        <f>HYPERLINK("Gene1603-zp_tree_all.dnd", "Gene1603-tree")</f>
        <v>Gene1603-tree</v>
      </c>
      <c r="X2506">
        <v>14</v>
      </c>
      <c r="Y2506">
        <v>1</v>
      </c>
      <c r="Z2506">
        <v>14</v>
      </c>
      <c r="AA2506">
        <v>1</v>
      </c>
      <c r="AB2506">
        <v>6.6669999999999993E-2</v>
      </c>
      <c r="AC2506" t="s">
        <v>543</v>
      </c>
      <c r="AD2506" t="s">
        <v>175</v>
      </c>
      <c r="AE2506" t="s">
        <v>62</v>
      </c>
      <c r="AF2506" t="s">
        <v>62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10</v>
      </c>
      <c r="AV2506">
        <v>7</v>
      </c>
      <c r="AW2506">
        <v>32</v>
      </c>
      <c r="AX2506">
        <v>1</v>
      </c>
      <c r="AY2506">
        <v>24</v>
      </c>
      <c r="AZ2506">
        <v>0</v>
      </c>
      <c r="BA2506" t="s">
        <v>10034</v>
      </c>
      <c r="BB2506" t="s">
        <v>193</v>
      </c>
      <c r="BC2506">
        <v>0.33100000000000002</v>
      </c>
      <c r="BD2506" t="s">
        <v>65</v>
      </c>
      <c r="BE2506">
        <v>56</v>
      </c>
      <c r="BF2506">
        <v>1</v>
      </c>
      <c r="BG2506" t="s">
        <v>10035</v>
      </c>
      <c r="BH2506" t="s">
        <v>10036</v>
      </c>
      <c r="BI2506" t="s">
        <v>10037</v>
      </c>
      <c r="BJ2506">
        <v>2.5600000000000002E-3</v>
      </c>
      <c r="BK2506">
        <v>1</v>
      </c>
      <c r="BL2506" t="s">
        <v>69</v>
      </c>
      <c r="BM2506">
        <v>-1.0960000000000001</v>
      </c>
      <c r="BN2506">
        <v>-2.4670000000000001</v>
      </c>
    </row>
    <row r="2507" spans="10:66">
      <c r="J2507">
        <v>0</v>
      </c>
      <c r="K2507">
        <v>15</v>
      </c>
      <c r="L2507">
        <v>1</v>
      </c>
      <c r="M2507" t="s">
        <v>25022</v>
      </c>
      <c r="N2507">
        <v>1604</v>
      </c>
      <c r="O2507" t="s">
        <v>10038</v>
      </c>
      <c r="P2507" t="s">
        <v>57</v>
      </c>
      <c r="Q2507">
        <v>1613357</v>
      </c>
      <c r="R2507">
        <v>1616119</v>
      </c>
      <c r="S2507" t="s">
        <v>10039</v>
      </c>
      <c r="T2507">
        <v>921</v>
      </c>
      <c r="U2507" t="s">
        <v>6390</v>
      </c>
      <c r="V2507">
        <v>45</v>
      </c>
      <c r="W2507" t="str">
        <f>HYPERLINK("Gene1604-zp_tree_all.dnd", "Gene1604-tree")</f>
        <v>Gene1604-tree</v>
      </c>
      <c r="X2507">
        <v>4</v>
      </c>
      <c r="Y2507">
        <v>12</v>
      </c>
      <c r="Z2507">
        <v>4</v>
      </c>
      <c r="AA2507">
        <v>12</v>
      </c>
      <c r="AB2507">
        <v>0.75</v>
      </c>
      <c r="AC2507" t="s">
        <v>61</v>
      </c>
      <c r="AD2507" t="s">
        <v>109</v>
      </c>
      <c r="AE2507" t="s">
        <v>62</v>
      </c>
      <c r="AF2507" t="s">
        <v>62</v>
      </c>
      <c r="AG2507">
        <v>7</v>
      </c>
      <c r="AH2507">
        <v>16</v>
      </c>
      <c r="AI2507">
        <v>14</v>
      </c>
      <c r="AJ2507">
        <v>0.53332999999999997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7</v>
      </c>
      <c r="AQ2507">
        <v>2</v>
      </c>
      <c r="AR2507">
        <v>9</v>
      </c>
      <c r="AS2507">
        <v>17</v>
      </c>
      <c r="AT2507">
        <v>0.34615000000000001</v>
      </c>
      <c r="AU2507">
        <v>14</v>
      </c>
      <c r="AV2507">
        <v>11</v>
      </c>
      <c r="AW2507">
        <v>220</v>
      </c>
      <c r="AX2507">
        <v>25</v>
      </c>
      <c r="AY2507">
        <v>50</v>
      </c>
      <c r="AZ2507">
        <v>5</v>
      </c>
      <c r="BA2507" t="s">
        <v>10040</v>
      </c>
      <c r="BB2507" t="s">
        <v>10041</v>
      </c>
      <c r="BC2507">
        <v>4.7E-2</v>
      </c>
      <c r="BD2507" t="s">
        <v>65</v>
      </c>
      <c r="BE2507">
        <v>270</v>
      </c>
      <c r="BF2507">
        <v>30</v>
      </c>
      <c r="BG2507" t="s">
        <v>10042</v>
      </c>
      <c r="BH2507" t="s">
        <v>10043</v>
      </c>
      <c r="BI2507" t="s">
        <v>10044</v>
      </c>
      <c r="BJ2507">
        <v>3.143E-2</v>
      </c>
      <c r="BK2507">
        <v>1</v>
      </c>
      <c r="BL2507" t="s">
        <v>69</v>
      </c>
      <c r="BM2507">
        <v>-1.79</v>
      </c>
      <c r="BN2507">
        <v>-4.1890000000000001</v>
      </c>
    </row>
    <row r="2508" spans="10:66">
      <c r="J2508">
        <v>0</v>
      </c>
      <c r="K2508">
        <v>2</v>
      </c>
      <c r="L2508">
        <v>0</v>
      </c>
      <c r="M2508" t="s">
        <v>25022</v>
      </c>
      <c r="N2508">
        <v>1605</v>
      </c>
      <c r="O2508" t="s">
        <v>10045</v>
      </c>
      <c r="P2508" t="s">
        <v>57</v>
      </c>
      <c r="Q2508">
        <v>1616267</v>
      </c>
      <c r="R2508">
        <v>1616638</v>
      </c>
      <c r="S2508" t="s">
        <v>10046</v>
      </c>
      <c r="T2508">
        <v>124</v>
      </c>
      <c r="U2508" t="s">
        <v>289</v>
      </c>
      <c r="V2508">
        <v>46</v>
      </c>
      <c r="W2508" t="str">
        <f>HYPERLINK("Gene1605-zp_tree_all.dnd", "Gene1605-tree")</f>
        <v>Gene1605-tree</v>
      </c>
      <c r="X2508">
        <v>9</v>
      </c>
      <c r="Y2508">
        <v>2</v>
      </c>
      <c r="Z2508">
        <v>9</v>
      </c>
      <c r="AA2508">
        <v>2</v>
      </c>
      <c r="AB2508">
        <v>0.18182000000000001</v>
      </c>
      <c r="AC2508" t="s">
        <v>135</v>
      </c>
      <c r="AD2508" t="s">
        <v>81</v>
      </c>
      <c r="AE2508" t="s">
        <v>62</v>
      </c>
      <c r="AF2508" t="s">
        <v>62</v>
      </c>
      <c r="AG2508">
        <v>1</v>
      </c>
      <c r="AH2508">
        <v>2</v>
      </c>
      <c r="AI2508">
        <v>4</v>
      </c>
      <c r="AJ2508">
        <v>0.33333000000000002</v>
      </c>
      <c r="AK2508">
        <v>0</v>
      </c>
      <c r="AL2508">
        <v>0</v>
      </c>
      <c r="AM2508">
        <v>0</v>
      </c>
      <c r="AN2508">
        <v>2</v>
      </c>
      <c r="AO2508">
        <v>0</v>
      </c>
      <c r="AP2508">
        <v>0</v>
      </c>
      <c r="AQ2508">
        <v>0</v>
      </c>
      <c r="AR2508">
        <v>0</v>
      </c>
      <c r="AS2508">
        <v>2</v>
      </c>
      <c r="AT2508">
        <v>0</v>
      </c>
      <c r="AU2508">
        <v>8</v>
      </c>
      <c r="AV2508">
        <v>5</v>
      </c>
      <c r="AW2508">
        <v>17</v>
      </c>
      <c r="AX2508">
        <v>2</v>
      </c>
      <c r="AY2508">
        <v>14</v>
      </c>
      <c r="AZ2508">
        <v>4</v>
      </c>
      <c r="BA2508" t="s">
        <v>10047</v>
      </c>
      <c r="BB2508" t="s">
        <v>10048</v>
      </c>
      <c r="BC2508">
        <v>0.58199999999999996</v>
      </c>
      <c r="BD2508" t="s">
        <v>65</v>
      </c>
      <c r="BE2508">
        <v>31</v>
      </c>
      <c r="BF2508">
        <v>6</v>
      </c>
      <c r="BG2508" t="s">
        <v>10049</v>
      </c>
      <c r="BH2508" t="s">
        <v>10050</v>
      </c>
      <c r="BI2508" t="s">
        <v>10051</v>
      </c>
      <c r="BJ2508">
        <v>7.2029999999999997E-2</v>
      </c>
      <c r="BK2508">
        <v>1</v>
      </c>
      <c r="BL2508" t="s">
        <v>69</v>
      </c>
      <c r="BM2508">
        <v>-0.126</v>
      </c>
      <c r="BN2508">
        <v>0.80600000000000005</v>
      </c>
    </row>
    <row r="2509" spans="10:66">
      <c r="J2509">
        <v>0</v>
      </c>
      <c r="K2509">
        <v>0</v>
      </c>
      <c r="L2509">
        <v>0</v>
      </c>
      <c r="M2509" t="s">
        <v>25022</v>
      </c>
      <c r="N2509">
        <v>1606</v>
      </c>
      <c r="O2509" t="s">
        <v>10052</v>
      </c>
      <c r="P2509" t="s">
        <v>57</v>
      </c>
      <c r="Q2509">
        <v>1616744</v>
      </c>
      <c r="R2509">
        <v>1617205</v>
      </c>
      <c r="S2509" t="s">
        <v>10053</v>
      </c>
      <c r="T2509">
        <v>154</v>
      </c>
      <c r="U2509" t="s">
        <v>59</v>
      </c>
      <c r="V2509">
        <v>49</v>
      </c>
      <c r="W2509" t="str">
        <f>HYPERLINK("Gene1606-zp_tree_all.dnd", "Gene1606-tree")</f>
        <v>Gene1606-tree</v>
      </c>
      <c r="X2509">
        <v>13</v>
      </c>
      <c r="Y2509">
        <v>3</v>
      </c>
      <c r="Z2509">
        <v>13</v>
      </c>
      <c r="AA2509">
        <v>3</v>
      </c>
      <c r="AB2509">
        <v>0.1875</v>
      </c>
      <c r="AC2509" t="s">
        <v>507</v>
      </c>
      <c r="AD2509" t="s">
        <v>324</v>
      </c>
      <c r="AE2509" t="s">
        <v>62</v>
      </c>
      <c r="AF2509" t="s">
        <v>62</v>
      </c>
      <c r="AG2509">
        <v>0</v>
      </c>
      <c r="AH2509">
        <v>0</v>
      </c>
      <c r="AI2509">
        <v>5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3</v>
      </c>
      <c r="AT2509">
        <v>0</v>
      </c>
      <c r="AU2509">
        <v>7</v>
      </c>
      <c r="AV2509">
        <v>9</v>
      </c>
      <c r="AW2509">
        <v>7</v>
      </c>
      <c r="AX2509">
        <v>3</v>
      </c>
      <c r="AY2509">
        <v>25</v>
      </c>
      <c r="AZ2509">
        <v>2</v>
      </c>
      <c r="BA2509" t="s">
        <v>10054</v>
      </c>
      <c r="BB2509" t="s">
        <v>10055</v>
      </c>
      <c r="BC2509">
        <v>1.2050000000000001</v>
      </c>
      <c r="BD2509" t="s">
        <v>65</v>
      </c>
      <c r="BE2509">
        <v>32</v>
      </c>
      <c r="BF2509">
        <v>5</v>
      </c>
      <c r="BG2509" t="s">
        <v>10056</v>
      </c>
      <c r="BH2509" t="s">
        <v>10057</v>
      </c>
      <c r="BI2509" t="s">
        <v>10058</v>
      </c>
      <c r="BJ2509">
        <v>3.0439999999999998E-2</v>
      </c>
      <c r="BK2509">
        <v>1</v>
      </c>
      <c r="BL2509" t="s">
        <v>69</v>
      </c>
      <c r="BM2509">
        <v>-0.93100000000000005</v>
      </c>
      <c r="BN2509">
        <v>0.66800000000000004</v>
      </c>
    </row>
    <row r="2510" spans="10:66">
      <c r="J2510">
        <v>0</v>
      </c>
      <c r="K2510">
        <v>3</v>
      </c>
      <c r="L2510">
        <v>0</v>
      </c>
      <c r="M2510" t="s">
        <v>25022</v>
      </c>
      <c r="N2510">
        <v>1607</v>
      </c>
      <c r="O2510" t="s">
        <v>10059</v>
      </c>
      <c r="P2510" t="s">
        <v>57</v>
      </c>
      <c r="Q2510">
        <v>1617210</v>
      </c>
      <c r="R2510">
        <v>1618118</v>
      </c>
      <c r="S2510" t="s">
        <v>7550</v>
      </c>
      <c r="T2510">
        <v>303</v>
      </c>
      <c r="U2510" t="s">
        <v>108</v>
      </c>
      <c r="V2510">
        <v>44</v>
      </c>
      <c r="W2510" t="str">
        <f>HYPERLINK("Gene1607-zp_tree_all.dnd", "Gene1607-tree")</f>
        <v>Gene1607-tree</v>
      </c>
      <c r="X2510">
        <v>4</v>
      </c>
      <c r="Y2510">
        <v>11</v>
      </c>
      <c r="Z2510">
        <v>4</v>
      </c>
      <c r="AA2510">
        <v>11</v>
      </c>
      <c r="AB2510">
        <v>0.73333000000000004</v>
      </c>
      <c r="AC2510" t="s">
        <v>61</v>
      </c>
      <c r="AD2510" t="s">
        <v>73</v>
      </c>
      <c r="AE2510">
        <v>200307210.301</v>
      </c>
      <c r="AF2510" t="s">
        <v>267</v>
      </c>
      <c r="AG2510">
        <v>1</v>
      </c>
      <c r="AH2510">
        <v>3</v>
      </c>
      <c r="AI2510">
        <v>11</v>
      </c>
      <c r="AJ2510">
        <v>0.21429000000000001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2</v>
      </c>
      <c r="AQ2510">
        <v>0</v>
      </c>
      <c r="AR2510">
        <v>2</v>
      </c>
      <c r="AS2510">
        <v>11</v>
      </c>
      <c r="AT2510">
        <v>0.15384999999999999</v>
      </c>
      <c r="AU2510">
        <v>12</v>
      </c>
      <c r="AV2510">
        <v>10</v>
      </c>
      <c r="AW2510">
        <v>43</v>
      </c>
      <c r="AX2510">
        <v>11</v>
      </c>
      <c r="AY2510">
        <v>33</v>
      </c>
      <c r="AZ2510">
        <v>3</v>
      </c>
      <c r="BA2510" t="s">
        <v>10060</v>
      </c>
      <c r="BB2510" t="s">
        <v>10061</v>
      </c>
      <c r="BC2510">
        <v>0.61499999999999999</v>
      </c>
      <c r="BD2510" t="s">
        <v>65</v>
      </c>
      <c r="BE2510">
        <v>76</v>
      </c>
      <c r="BF2510">
        <v>14</v>
      </c>
      <c r="BG2510" t="s">
        <v>10062</v>
      </c>
      <c r="BH2510" t="s">
        <v>10063</v>
      </c>
      <c r="BI2510" t="s">
        <v>10064</v>
      </c>
      <c r="BJ2510">
        <v>4.3869999999999999E-2</v>
      </c>
      <c r="BK2510">
        <v>1</v>
      </c>
      <c r="BL2510" t="s">
        <v>69</v>
      </c>
      <c r="BM2510">
        <v>-0.16</v>
      </c>
      <c r="BN2510">
        <v>-1.9750000000000001</v>
      </c>
    </row>
    <row r="2511" spans="10:66">
      <c r="J2511">
        <v>0</v>
      </c>
      <c r="K2511">
        <v>0</v>
      </c>
      <c r="L2511">
        <v>0</v>
      </c>
      <c r="M2511" t="s">
        <v>25022</v>
      </c>
      <c r="N2511">
        <v>1608</v>
      </c>
      <c r="O2511" t="s">
        <v>10065</v>
      </c>
      <c r="P2511" t="s">
        <v>57</v>
      </c>
      <c r="Q2511">
        <v>1618304</v>
      </c>
      <c r="R2511">
        <v>1618846</v>
      </c>
      <c r="S2511" t="s">
        <v>10066</v>
      </c>
      <c r="T2511">
        <v>181</v>
      </c>
      <c r="U2511" t="s">
        <v>108</v>
      </c>
      <c r="V2511">
        <v>44</v>
      </c>
      <c r="W2511" t="str">
        <f>HYPERLINK("Gene1608-zp_tree_all.dnd", "Gene1608-tree")</f>
        <v>Gene1608-tree</v>
      </c>
      <c r="X2511">
        <v>27</v>
      </c>
      <c r="Y2511">
        <v>1</v>
      </c>
      <c r="Z2511">
        <v>10</v>
      </c>
      <c r="AA2511">
        <v>1</v>
      </c>
      <c r="AB2511">
        <v>9.0910000000000005E-2</v>
      </c>
      <c r="AC2511" t="s">
        <v>2980</v>
      </c>
      <c r="AD2511" t="s">
        <v>175</v>
      </c>
      <c r="AE2511" t="s">
        <v>62</v>
      </c>
      <c r="AF2511" t="s">
        <v>62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9</v>
      </c>
      <c r="AV2511">
        <v>3</v>
      </c>
      <c r="AW2511">
        <v>14</v>
      </c>
      <c r="AX2511">
        <v>1</v>
      </c>
      <c r="AY2511">
        <v>3</v>
      </c>
      <c r="AZ2511">
        <v>0</v>
      </c>
      <c r="BA2511" t="s">
        <v>10067</v>
      </c>
      <c r="BB2511" t="s">
        <v>193</v>
      </c>
      <c r="BC2511">
        <v>0.36599999999999999</v>
      </c>
      <c r="BD2511" t="s">
        <v>65</v>
      </c>
      <c r="BE2511">
        <v>17</v>
      </c>
      <c r="BF2511">
        <v>1</v>
      </c>
      <c r="BG2511" t="s">
        <v>10068</v>
      </c>
      <c r="BH2511" t="s">
        <v>10069</v>
      </c>
      <c r="BI2511" t="s">
        <v>10070</v>
      </c>
      <c r="BJ2511">
        <v>1.524E-2</v>
      </c>
      <c r="BK2511">
        <v>1</v>
      </c>
      <c r="BL2511" t="s">
        <v>69</v>
      </c>
      <c r="BM2511">
        <v>-0.251</v>
      </c>
      <c r="BN2511">
        <v>-1.3680000000000001</v>
      </c>
    </row>
    <row r="2512" spans="10:66">
      <c r="J2512">
        <v>0</v>
      </c>
      <c r="K2512">
        <v>4</v>
      </c>
      <c r="L2512">
        <v>3</v>
      </c>
      <c r="M2512" t="s">
        <v>25022</v>
      </c>
      <c r="N2512">
        <v>1609</v>
      </c>
      <c r="O2512" t="s">
        <v>10071</v>
      </c>
      <c r="P2512" t="s">
        <v>57</v>
      </c>
      <c r="Q2512">
        <v>1619023</v>
      </c>
      <c r="R2512">
        <v>1620327</v>
      </c>
      <c r="S2512" t="s">
        <v>10072</v>
      </c>
      <c r="T2512">
        <v>435</v>
      </c>
      <c r="U2512" t="s">
        <v>108</v>
      </c>
      <c r="V2512">
        <v>44</v>
      </c>
      <c r="W2512" t="str">
        <f>HYPERLINK("Gene1609-zp_tree_all.dnd", "Gene1609-tree")</f>
        <v>Gene1609-tree</v>
      </c>
      <c r="X2512">
        <v>8</v>
      </c>
      <c r="Y2512">
        <v>7</v>
      </c>
      <c r="Z2512">
        <v>8</v>
      </c>
      <c r="AA2512">
        <v>7</v>
      </c>
      <c r="AB2512">
        <v>0.46666999999999997</v>
      </c>
      <c r="AC2512" t="s">
        <v>136</v>
      </c>
      <c r="AD2512" t="s">
        <v>152</v>
      </c>
      <c r="AE2512" t="s">
        <v>62</v>
      </c>
      <c r="AF2512" t="s">
        <v>62</v>
      </c>
      <c r="AG2512">
        <v>3</v>
      </c>
      <c r="AH2512">
        <v>7</v>
      </c>
      <c r="AI2512">
        <v>7</v>
      </c>
      <c r="AJ2512">
        <v>0.5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</v>
      </c>
      <c r="AR2512">
        <v>3</v>
      </c>
      <c r="AS2512">
        <v>8</v>
      </c>
      <c r="AT2512">
        <v>0.27272999999999997</v>
      </c>
      <c r="AU2512">
        <v>14</v>
      </c>
      <c r="AV2512">
        <v>11</v>
      </c>
      <c r="AW2512">
        <v>77</v>
      </c>
      <c r="AX2512">
        <v>11</v>
      </c>
      <c r="AY2512">
        <v>57</v>
      </c>
      <c r="AZ2512">
        <v>5</v>
      </c>
      <c r="BA2512" t="s">
        <v>10073</v>
      </c>
      <c r="BB2512" t="s">
        <v>10074</v>
      </c>
      <c r="BC2512">
        <v>0.52</v>
      </c>
      <c r="BD2512" t="s">
        <v>65</v>
      </c>
      <c r="BE2512">
        <v>134</v>
      </c>
      <c r="BF2512">
        <v>16</v>
      </c>
      <c r="BG2512" t="s">
        <v>10075</v>
      </c>
      <c r="BH2512" t="s">
        <v>10076</v>
      </c>
      <c r="BI2512" t="s">
        <v>10077</v>
      </c>
      <c r="BJ2512">
        <v>4.3139999999999998E-2</v>
      </c>
      <c r="BK2512">
        <v>1</v>
      </c>
      <c r="BL2512" t="s">
        <v>69</v>
      </c>
      <c r="BM2512">
        <v>-3.3000000000000002E-2</v>
      </c>
      <c r="BN2512">
        <v>7.8E-2</v>
      </c>
    </row>
    <row r="2513" spans="10:66">
      <c r="J2513">
        <v>0</v>
      </c>
      <c r="K2513">
        <v>2</v>
      </c>
      <c r="L2513">
        <v>2</v>
      </c>
      <c r="M2513" t="s">
        <v>25022</v>
      </c>
      <c r="N2513">
        <v>1610</v>
      </c>
      <c r="O2513" t="s">
        <v>10078</v>
      </c>
      <c r="P2513" t="s">
        <v>57</v>
      </c>
      <c r="Q2513">
        <v>1620476</v>
      </c>
      <c r="R2513">
        <v>1621387</v>
      </c>
      <c r="S2513" t="s">
        <v>10079</v>
      </c>
      <c r="T2513">
        <v>304</v>
      </c>
      <c r="U2513" t="s">
        <v>108</v>
      </c>
      <c r="V2513">
        <v>44</v>
      </c>
      <c r="W2513" t="str">
        <f>HYPERLINK("Gene1610-zp_tree_all.dnd", "Gene1610-tree")</f>
        <v>Gene1610-tree</v>
      </c>
      <c r="X2513">
        <v>4</v>
      </c>
      <c r="Y2513">
        <v>9</v>
      </c>
      <c r="Z2513">
        <v>4</v>
      </c>
      <c r="AA2513">
        <v>9</v>
      </c>
      <c r="AB2513">
        <v>0.69230999999999998</v>
      </c>
      <c r="AC2513" t="s">
        <v>61</v>
      </c>
      <c r="AD2513" t="s">
        <v>135</v>
      </c>
      <c r="AE2513" t="s">
        <v>62</v>
      </c>
      <c r="AF2513" t="s">
        <v>62</v>
      </c>
      <c r="AG2513">
        <v>2</v>
      </c>
      <c r="AH2513">
        <v>4</v>
      </c>
      <c r="AI2513">
        <v>13</v>
      </c>
      <c r="AJ2513">
        <v>0.23529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2</v>
      </c>
      <c r="AQ2513">
        <v>0</v>
      </c>
      <c r="AR2513">
        <v>2</v>
      </c>
      <c r="AS2513">
        <v>13</v>
      </c>
      <c r="AT2513">
        <v>0.13333</v>
      </c>
      <c r="AU2513">
        <v>11</v>
      </c>
      <c r="AV2513">
        <v>9</v>
      </c>
      <c r="AW2513">
        <v>26</v>
      </c>
      <c r="AX2513">
        <v>11</v>
      </c>
      <c r="AY2513">
        <v>16</v>
      </c>
      <c r="AZ2513">
        <v>6</v>
      </c>
      <c r="BA2513" t="s">
        <v>10080</v>
      </c>
      <c r="BB2513" t="s">
        <v>10081</v>
      </c>
      <c r="BC2513">
        <v>0.13</v>
      </c>
      <c r="BD2513" t="s">
        <v>65</v>
      </c>
      <c r="BE2513">
        <v>42</v>
      </c>
      <c r="BF2513">
        <v>17</v>
      </c>
      <c r="BG2513" t="s">
        <v>10082</v>
      </c>
      <c r="BH2513" t="s">
        <v>10083</v>
      </c>
      <c r="BI2513" t="s">
        <v>10084</v>
      </c>
      <c r="BJ2513">
        <v>0.13078000000000001</v>
      </c>
      <c r="BK2513">
        <v>1</v>
      </c>
      <c r="BL2513" t="s">
        <v>69</v>
      </c>
      <c r="BM2513">
        <v>0.20599999999999999</v>
      </c>
      <c r="BN2513">
        <v>-0.16900000000000001</v>
      </c>
    </row>
    <row r="2514" spans="10:66">
      <c r="J2514">
        <v>0</v>
      </c>
      <c r="K2514">
        <v>3</v>
      </c>
      <c r="L2514">
        <v>0</v>
      </c>
      <c r="M2514" t="s">
        <v>25022</v>
      </c>
      <c r="N2514">
        <v>1611</v>
      </c>
      <c r="O2514" t="s">
        <v>10085</v>
      </c>
      <c r="P2514" t="s">
        <v>57</v>
      </c>
      <c r="Q2514">
        <v>1621374</v>
      </c>
      <c r="R2514">
        <v>1622657</v>
      </c>
      <c r="S2514" t="s">
        <v>10086</v>
      </c>
      <c r="T2514">
        <v>428</v>
      </c>
      <c r="U2514" t="s">
        <v>108</v>
      </c>
      <c r="V2514">
        <v>44</v>
      </c>
      <c r="W2514" t="str">
        <f>HYPERLINK("Gene1611-zp_tree_all.dnd", "Gene1611-tree")</f>
        <v>Gene1611-tree</v>
      </c>
      <c r="X2514">
        <v>7</v>
      </c>
      <c r="Y2514">
        <v>7</v>
      </c>
      <c r="Z2514">
        <v>7</v>
      </c>
      <c r="AA2514">
        <v>7</v>
      </c>
      <c r="AB2514">
        <v>0.5</v>
      </c>
      <c r="AC2514" t="s">
        <v>152</v>
      </c>
      <c r="AD2514" t="s">
        <v>152</v>
      </c>
      <c r="AE2514" t="s">
        <v>62</v>
      </c>
      <c r="AF2514" t="s">
        <v>62</v>
      </c>
      <c r="AG2514">
        <v>1</v>
      </c>
      <c r="AH2514">
        <v>3</v>
      </c>
      <c r="AI2514">
        <v>12</v>
      </c>
      <c r="AJ2514">
        <v>0.2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3</v>
      </c>
      <c r="AQ2514">
        <v>0</v>
      </c>
      <c r="AR2514">
        <v>3</v>
      </c>
      <c r="AS2514">
        <v>10</v>
      </c>
      <c r="AT2514">
        <v>0.23077</v>
      </c>
      <c r="AU2514">
        <v>12</v>
      </c>
      <c r="AV2514">
        <v>11</v>
      </c>
      <c r="AW2514">
        <v>42</v>
      </c>
      <c r="AX2514">
        <v>16</v>
      </c>
      <c r="AY2514">
        <v>27</v>
      </c>
      <c r="AZ2514">
        <v>2</v>
      </c>
      <c r="BA2514" t="s">
        <v>10087</v>
      </c>
      <c r="BB2514" t="s">
        <v>10088</v>
      </c>
      <c r="BC2514">
        <v>1.657</v>
      </c>
      <c r="BD2514" t="s">
        <v>65</v>
      </c>
      <c r="BE2514">
        <v>69</v>
      </c>
      <c r="BF2514">
        <v>18</v>
      </c>
      <c r="BG2514" t="s">
        <v>10089</v>
      </c>
      <c r="BH2514" t="s">
        <v>10090</v>
      </c>
      <c r="BI2514" t="s">
        <v>10091</v>
      </c>
      <c r="BJ2514">
        <v>6.3369999999999996E-2</v>
      </c>
      <c r="BK2514">
        <v>1</v>
      </c>
      <c r="BL2514" t="s">
        <v>69</v>
      </c>
      <c r="BM2514">
        <v>-1.7999999999999999E-2</v>
      </c>
      <c r="BN2514">
        <v>3.7999999999999999E-2</v>
      </c>
    </row>
    <row r="2515" spans="10:66">
      <c r="J2515">
        <v>0</v>
      </c>
      <c r="K2515">
        <v>0</v>
      </c>
      <c r="L2515">
        <v>4</v>
      </c>
      <c r="M2515" t="s">
        <v>25022</v>
      </c>
      <c r="N2515">
        <v>1612</v>
      </c>
      <c r="O2515" t="s">
        <v>10092</v>
      </c>
      <c r="P2515" t="s">
        <v>57</v>
      </c>
      <c r="Q2515">
        <v>1622657</v>
      </c>
      <c r="R2515">
        <v>1623748</v>
      </c>
      <c r="S2515" t="s">
        <v>10093</v>
      </c>
      <c r="T2515">
        <v>364</v>
      </c>
      <c r="U2515" t="s">
        <v>465</v>
      </c>
      <c r="V2515">
        <v>46</v>
      </c>
      <c r="W2515" t="str">
        <f>HYPERLINK("Gene1612-zp_tree_all.dnd", "Gene1612-tree")</f>
        <v>Gene1612-tree</v>
      </c>
      <c r="X2515">
        <v>9</v>
      </c>
      <c r="Y2515">
        <v>5</v>
      </c>
      <c r="Z2515">
        <v>9</v>
      </c>
      <c r="AA2515">
        <v>5</v>
      </c>
      <c r="AB2515">
        <v>0.35714000000000001</v>
      </c>
      <c r="AC2515" t="s">
        <v>135</v>
      </c>
      <c r="AD2515" t="s">
        <v>199</v>
      </c>
      <c r="AE2515" t="s">
        <v>62</v>
      </c>
      <c r="AF2515" t="s">
        <v>62</v>
      </c>
      <c r="AG2515">
        <v>2</v>
      </c>
      <c r="AH2515">
        <v>4</v>
      </c>
      <c r="AI2515">
        <v>5</v>
      </c>
      <c r="AJ2515">
        <v>0.44444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4</v>
      </c>
      <c r="AR2515">
        <v>4</v>
      </c>
      <c r="AS2515">
        <v>5</v>
      </c>
      <c r="AT2515">
        <v>0.44444</v>
      </c>
      <c r="AU2515">
        <v>12</v>
      </c>
      <c r="AV2515">
        <v>8</v>
      </c>
      <c r="AW2515">
        <v>71</v>
      </c>
      <c r="AX2515">
        <v>9</v>
      </c>
      <c r="AY2515">
        <v>12</v>
      </c>
      <c r="AZ2515">
        <v>0</v>
      </c>
      <c r="BA2515" t="s">
        <v>10094</v>
      </c>
      <c r="BB2515" t="s">
        <v>193</v>
      </c>
      <c r="BC2515">
        <v>0.45800000000000002</v>
      </c>
      <c r="BD2515" t="s">
        <v>65</v>
      </c>
      <c r="BE2515">
        <v>83</v>
      </c>
      <c r="BF2515">
        <v>9</v>
      </c>
      <c r="BG2515" t="s">
        <v>10095</v>
      </c>
      <c r="BH2515" t="s">
        <v>10096</v>
      </c>
      <c r="BI2515" t="s">
        <v>10097</v>
      </c>
      <c r="BJ2515">
        <v>2.7220000000000001E-2</v>
      </c>
      <c r="BK2515">
        <v>1</v>
      </c>
      <c r="BL2515" t="s">
        <v>69</v>
      </c>
      <c r="BM2515">
        <v>-1.653</v>
      </c>
      <c r="BN2515">
        <v>0.9</v>
      </c>
    </row>
    <row r="2516" spans="10:66">
      <c r="J2516">
        <v>0</v>
      </c>
      <c r="K2516">
        <v>0</v>
      </c>
      <c r="L2516">
        <v>0</v>
      </c>
      <c r="M2516" t="s">
        <v>25022</v>
      </c>
      <c r="N2516">
        <v>1613</v>
      </c>
      <c r="O2516" t="s">
        <v>10098</v>
      </c>
      <c r="P2516" t="s">
        <v>57</v>
      </c>
      <c r="Q2516">
        <v>1623736</v>
      </c>
      <c r="R2516">
        <v>1626948</v>
      </c>
      <c r="S2516" t="s">
        <v>10099</v>
      </c>
      <c r="T2516">
        <v>1071</v>
      </c>
      <c r="U2516" t="s">
        <v>108</v>
      </c>
      <c r="V2516">
        <v>44</v>
      </c>
      <c r="W2516" t="str">
        <f>HYPERLINK("Gene1613-zp_tree_all.dnd", "Gene1613-tree")</f>
        <v>Gene1613-tree</v>
      </c>
      <c r="X2516">
        <v>5</v>
      </c>
      <c r="Y2516">
        <v>10</v>
      </c>
      <c r="Z2516">
        <v>5</v>
      </c>
      <c r="AA2516">
        <v>10</v>
      </c>
      <c r="AB2516">
        <v>0.66666999999999998</v>
      </c>
      <c r="AC2516" t="s">
        <v>199</v>
      </c>
      <c r="AD2516" t="s">
        <v>117</v>
      </c>
      <c r="AE2516" t="s">
        <v>62</v>
      </c>
      <c r="AF2516" t="s">
        <v>62</v>
      </c>
      <c r="AG2516">
        <v>0</v>
      </c>
      <c r="AH2516">
        <v>0</v>
      </c>
      <c r="AI2516">
        <v>13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13</v>
      </c>
      <c r="AT2516">
        <v>0</v>
      </c>
      <c r="AU2516">
        <v>13</v>
      </c>
      <c r="AV2516">
        <v>11</v>
      </c>
      <c r="AW2516">
        <v>120</v>
      </c>
      <c r="AX2516">
        <v>10</v>
      </c>
      <c r="AY2516">
        <v>149</v>
      </c>
      <c r="AZ2516">
        <v>3</v>
      </c>
      <c r="BA2516" t="s">
        <v>10100</v>
      </c>
      <c r="BB2516" t="s">
        <v>10101</v>
      </c>
      <c r="BC2516">
        <v>0.95399999999999996</v>
      </c>
      <c r="BD2516" t="s">
        <v>65</v>
      </c>
      <c r="BE2516">
        <v>269</v>
      </c>
      <c r="BF2516">
        <v>13</v>
      </c>
      <c r="BG2516" t="s">
        <v>10102</v>
      </c>
      <c r="BH2516" t="s">
        <v>10103</v>
      </c>
      <c r="BI2516" t="s">
        <v>10104</v>
      </c>
      <c r="BJ2516">
        <v>1.6129999999999999E-2</v>
      </c>
      <c r="BK2516">
        <v>1</v>
      </c>
      <c r="BL2516" t="s">
        <v>69</v>
      </c>
      <c r="BM2516">
        <v>0.36299999999999999</v>
      </c>
      <c r="BN2516">
        <v>0.183</v>
      </c>
    </row>
    <row r="2517" spans="10:66">
      <c r="J2517">
        <v>0</v>
      </c>
      <c r="K2517">
        <v>2</v>
      </c>
      <c r="L2517">
        <v>0</v>
      </c>
      <c r="M2517" t="s">
        <v>25022</v>
      </c>
      <c r="N2517">
        <v>1614</v>
      </c>
      <c r="O2517" t="s">
        <v>10105</v>
      </c>
      <c r="P2517" t="s">
        <v>57</v>
      </c>
      <c r="Q2517">
        <v>1626948</v>
      </c>
      <c r="R2517">
        <v>1627715</v>
      </c>
      <c r="S2517" t="s">
        <v>10106</v>
      </c>
      <c r="T2517">
        <v>256</v>
      </c>
      <c r="U2517" t="s">
        <v>465</v>
      </c>
      <c r="V2517">
        <v>46</v>
      </c>
      <c r="W2517" t="str">
        <f>HYPERLINK("Gene1614-zp_tree_all.dnd", "Gene1614-tree")</f>
        <v>Gene1614-tree</v>
      </c>
      <c r="X2517">
        <v>7</v>
      </c>
      <c r="Y2517">
        <v>7</v>
      </c>
      <c r="Z2517">
        <v>7</v>
      </c>
      <c r="AA2517">
        <v>7</v>
      </c>
      <c r="AB2517">
        <v>0.5</v>
      </c>
      <c r="AC2517" t="s">
        <v>152</v>
      </c>
      <c r="AD2517" t="s">
        <v>152</v>
      </c>
      <c r="AE2517" t="s">
        <v>62</v>
      </c>
      <c r="AF2517" t="s">
        <v>62</v>
      </c>
      <c r="AG2517">
        <v>1</v>
      </c>
      <c r="AH2517">
        <v>2</v>
      </c>
      <c r="AI2517">
        <v>11</v>
      </c>
      <c r="AJ2517">
        <v>0.15384999999999999</v>
      </c>
      <c r="AK2517">
        <v>0</v>
      </c>
      <c r="AL2517">
        <v>0</v>
      </c>
      <c r="AM2517">
        <v>0</v>
      </c>
      <c r="AN2517">
        <v>4</v>
      </c>
      <c r="AO2517">
        <v>0</v>
      </c>
      <c r="AP2517">
        <v>0</v>
      </c>
      <c r="AQ2517">
        <v>0</v>
      </c>
      <c r="AR2517">
        <v>0</v>
      </c>
      <c r="AS2517">
        <v>7</v>
      </c>
      <c r="AT2517">
        <v>0</v>
      </c>
      <c r="AU2517">
        <v>12</v>
      </c>
      <c r="AV2517">
        <v>6</v>
      </c>
      <c r="AW2517">
        <v>23</v>
      </c>
      <c r="AX2517">
        <v>7</v>
      </c>
      <c r="AY2517">
        <v>29</v>
      </c>
      <c r="AZ2517">
        <v>6</v>
      </c>
      <c r="BA2517" t="s">
        <v>10107</v>
      </c>
      <c r="BB2517" t="s">
        <v>10108</v>
      </c>
      <c r="BC2517">
        <v>0.28399999999999997</v>
      </c>
      <c r="BD2517" t="s">
        <v>65</v>
      </c>
      <c r="BE2517">
        <v>52</v>
      </c>
      <c r="BF2517">
        <v>13</v>
      </c>
      <c r="BG2517" t="s">
        <v>10109</v>
      </c>
      <c r="BH2517" t="s">
        <v>10110</v>
      </c>
      <c r="BI2517" t="s">
        <v>10111</v>
      </c>
      <c r="BJ2517">
        <v>7.8839999999999993E-2</v>
      </c>
      <c r="BK2517">
        <v>1</v>
      </c>
      <c r="BL2517" t="s">
        <v>69</v>
      </c>
      <c r="BM2517">
        <v>-1.599</v>
      </c>
      <c r="BN2517">
        <v>-6.9000000000000006E-2</v>
      </c>
    </row>
    <row r="2518" spans="10:66">
      <c r="J2518">
        <v>2</v>
      </c>
      <c r="K2518">
        <v>7</v>
      </c>
      <c r="L2518">
        <v>2</v>
      </c>
      <c r="M2518" t="s">
        <v>25022</v>
      </c>
      <c r="N2518">
        <v>1615</v>
      </c>
      <c r="O2518" t="s">
        <v>10112</v>
      </c>
      <c r="P2518" t="s">
        <v>57</v>
      </c>
      <c r="Q2518">
        <v>1627718</v>
      </c>
      <c r="R2518">
        <v>1628650</v>
      </c>
      <c r="S2518" t="s">
        <v>10113</v>
      </c>
      <c r="T2518">
        <v>311</v>
      </c>
      <c r="U2518" t="s">
        <v>108</v>
      </c>
      <c r="V2518">
        <v>44</v>
      </c>
      <c r="W2518" t="str">
        <f>HYPERLINK("Gene1615-zp_tree_all.dnd", "Gene1615-tree")</f>
        <v>Gene1615-tree</v>
      </c>
      <c r="X2518">
        <v>2</v>
      </c>
      <c r="Y2518">
        <v>10</v>
      </c>
      <c r="Z2518">
        <v>2</v>
      </c>
      <c r="AA2518">
        <v>10</v>
      </c>
      <c r="AB2518">
        <v>0.83333000000000002</v>
      </c>
      <c r="AC2518" t="s">
        <v>81</v>
      </c>
      <c r="AD2518" t="s">
        <v>117</v>
      </c>
      <c r="AE2518" t="s">
        <v>62</v>
      </c>
      <c r="AF2518" t="s">
        <v>62</v>
      </c>
      <c r="AG2518">
        <v>3</v>
      </c>
      <c r="AH2518">
        <v>11</v>
      </c>
      <c r="AI2518">
        <v>10</v>
      </c>
      <c r="AJ2518">
        <v>0.52381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5</v>
      </c>
      <c r="AQ2518">
        <v>1</v>
      </c>
      <c r="AR2518">
        <v>6</v>
      </c>
      <c r="AS2518">
        <v>9</v>
      </c>
      <c r="AT2518">
        <v>0.4</v>
      </c>
      <c r="AU2518">
        <v>12</v>
      </c>
      <c r="AV2518">
        <v>9</v>
      </c>
      <c r="AW2518">
        <v>52</v>
      </c>
      <c r="AX2518">
        <v>16</v>
      </c>
      <c r="AY2518">
        <v>19</v>
      </c>
      <c r="AZ2518">
        <v>6</v>
      </c>
      <c r="BA2518" t="s">
        <v>10114</v>
      </c>
      <c r="BB2518" t="s">
        <v>10115</v>
      </c>
      <c r="BC2518">
        <v>6.9000000000000006E-2</v>
      </c>
      <c r="BD2518" t="s">
        <v>65</v>
      </c>
      <c r="BE2518">
        <v>71</v>
      </c>
      <c r="BF2518">
        <v>22</v>
      </c>
      <c r="BG2518" t="s">
        <v>10116</v>
      </c>
      <c r="BH2518" t="s">
        <v>10117</v>
      </c>
      <c r="BI2518" t="s">
        <v>10118</v>
      </c>
      <c r="BJ2518">
        <v>9.9979999999999999E-2</v>
      </c>
      <c r="BK2518">
        <v>1</v>
      </c>
      <c r="BL2518" t="s">
        <v>69</v>
      </c>
      <c r="BM2518">
        <v>-0.54500000000000004</v>
      </c>
      <c r="BN2518">
        <v>-2.2879999999999998</v>
      </c>
    </row>
    <row r="2519" spans="10:66">
      <c r="J2519">
        <v>0</v>
      </c>
      <c r="K2519">
        <v>4</v>
      </c>
      <c r="L2519">
        <v>0</v>
      </c>
      <c r="M2519" t="s">
        <v>25022</v>
      </c>
      <c r="N2519">
        <v>1616</v>
      </c>
      <c r="O2519" t="s">
        <v>10119</v>
      </c>
      <c r="P2519" t="s">
        <v>57</v>
      </c>
      <c r="Q2519">
        <v>1628622</v>
      </c>
      <c r="R2519">
        <v>1629338</v>
      </c>
      <c r="S2519" t="s">
        <v>10120</v>
      </c>
      <c r="T2519">
        <v>239</v>
      </c>
      <c r="U2519" t="s">
        <v>108</v>
      </c>
      <c r="V2519">
        <v>44</v>
      </c>
      <c r="W2519" t="str">
        <f>HYPERLINK("Gene1616-zp_tree_all.dnd", "Gene1616-tree")</f>
        <v>Gene1616-tree</v>
      </c>
      <c r="X2519">
        <v>4</v>
      </c>
      <c r="Y2519">
        <v>8</v>
      </c>
      <c r="Z2519">
        <v>4</v>
      </c>
      <c r="AA2519">
        <v>8</v>
      </c>
      <c r="AB2519">
        <v>0.66666999999999998</v>
      </c>
      <c r="AC2519" t="s">
        <v>61</v>
      </c>
      <c r="AD2519" t="s">
        <v>136</v>
      </c>
      <c r="AE2519" t="s">
        <v>62</v>
      </c>
      <c r="AF2519" t="s">
        <v>62</v>
      </c>
      <c r="AG2519">
        <v>2</v>
      </c>
      <c r="AH2519">
        <v>4</v>
      </c>
      <c r="AI2519">
        <v>7</v>
      </c>
      <c r="AJ2519">
        <v>0.36364000000000002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</v>
      </c>
      <c r="AQ2519">
        <v>0</v>
      </c>
      <c r="AR2519">
        <v>2</v>
      </c>
      <c r="AS2519">
        <v>8</v>
      </c>
      <c r="AT2519">
        <v>0.2</v>
      </c>
      <c r="AU2519">
        <v>12</v>
      </c>
      <c r="AV2519">
        <v>8</v>
      </c>
      <c r="AW2519">
        <v>48</v>
      </c>
      <c r="AX2519">
        <v>10</v>
      </c>
      <c r="AY2519">
        <v>22</v>
      </c>
      <c r="AZ2519">
        <v>1</v>
      </c>
      <c r="BA2519" t="s">
        <v>10121</v>
      </c>
      <c r="BB2519" t="s">
        <v>10122</v>
      </c>
      <c r="BC2519">
        <v>1.143</v>
      </c>
      <c r="BD2519" t="s">
        <v>65</v>
      </c>
      <c r="BE2519">
        <v>70</v>
      </c>
      <c r="BF2519">
        <v>11</v>
      </c>
      <c r="BG2519" t="s">
        <v>10123</v>
      </c>
      <c r="BH2519" t="s">
        <v>10124</v>
      </c>
      <c r="BI2519" t="s">
        <v>5114</v>
      </c>
      <c r="BJ2519">
        <v>4.165E-2</v>
      </c>
      <c r="BK2519">
        <v>1</v>
      </c>
      <c r="BL2519" t="s">
        <v>69</v>
      </c>
      <c r="BM2519">
        <v>-0.21099999999999999</v>
      </c>
      <c r="BN2519">
        <v>-1.2549999999999999</v>
      </c>
    </row>
    <row r="2520" spans="10:66">
      <c r="J2520">
        <v>0</v>
      </c>
      <c r="K2520">
        <v>3</v>
      </c>
      <c r="L2520">
        <v>0</v>
      </c>
      <c r="M2520" t="s">
        <v>25022</v>
      </c>
      <c r="N2520">
        <v>1617</v>
      </c>
      <c r="O2520" t="s">
        <v>10125</v>
      </c>
      <c r="P2520" t="s">
        <v>57</v>
      </c>
      <c r="Q2520">
        <v>1629320</v>
      </c>
      <c r="R2520">
        <v>1629967</v>
      </c>
      <c r="S2520" t="s">
        <v>10126</v>
      </c>
      <c r="T2520">
        <v>216</v>
      </c>
      <c r="U2520" t="s">
        <v>108</v>
      </c>
      <c r="V2520">
        <v>44</v>
      </c>
      <c r="W2520" t="str">
        <f>HYPERLINK("Gene1617-zp_tree_all.dnd", "Gene1617-tree")</f>
        <v>Gene1617-tree</v>
      </c>
      <c r="X2520">
        <v>2</v>
      </c>
      <c r="Y2520">
        <v>9</v>
      </c>
      <c r="Z2520">
        <v>2</v>
      </c>
      <c r="AA2520">
        <v>9</v>
      </c>
      <c r="AB2520">
        <v>0.81818000000000002</v>
      </c>
      <c r="AC2520" t="s">
        <v>81</v>
      </c>
      <c r="AD2520" t="s">
        <v>135</v>
      </c>
      <c r="AE2520" t="s">
        <v>62</v>
      </c>
      <c r="AF2520" t="s">
        <v>62</v>
      </c>
      <c r="AG2520">
        <v>1</v>
      </c>
      <c r="AH2520">
        <v>3</v>
      </c>
      <c r="AI2520">
        <v>13</v>
      </c>
      <c r="AJ2520">
        <v>0.1875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14</v>
      </c>
      <c r="AT2520">
        <v>0</v>
      </c>
      <c r="AU2520">
        <v>10</v>
      </c>
      <c r="AV2520">
        <v>6</v>
      </c>
      <c r="AW2520">
        <v>23</v>
      </c>
      <c r="AX2520">
        <v>15</v>
      </c>
      <c r="AY2520">
        <v>13</v>
      </c>
      <c r="AZ2520">
        <v>3</v>
      </c>
      <c r="BA2520" t="s">
        <v>10127</v>
      </c>
      <c r="BB2520" t="s">
        <v>10128</v>
      </c>
      <c r="BC2520">
        <v>1.3460000000000001</v>
      </c>
      <c r="BD2520" t="s">
        <v>65</v>
      </c>
      <c r="BE2520">
        <v>36</v>
      </c>
      <c r="BF2520">
        <v>18</v>
      </c>
      <c r="BG2520" t="s">
        <v>10129</v>
      </c>
      <c r="BH2520" t="s">
        <v>10130</v>
      </c>
      <c r="BI2520" t="s">
        <v>10131</v>
      </c>
      <c r="BJ2520">
        <v>0.12238</v>
      </c>
      <c r="BK2520">
        <v>1</v>
      </c>
      <c r="BL2520" t="s">
        <v>69</v>
      </c>
      <c r="BM2520">
        <v>-0.22</v>
      </c>
      <c r="BN2520">
        <v>-1.0509999999999999</v>
      </c>
    </row>
    <row r="2521" spans="10:66">
      <c r="J2521">
        <v>0</v>
      </c>
      <c r="K2521">
        <v>2</v>
      </c>
      <c r="L2521">
        <v>0</v>
      </c>
      <c r="M2521" t="s">
        <v>25022</v>
      </c>
      <c r="N2521">
        <v>1618</v>
      </c>
      <c r="O2521" t="s">
        <v>10132</v>
      </c>
      <c r="P2521" t="s">
        <v>57</v>
      </c>
      <c r="Q2521">
        <v>1630382</v>
      </c>
      <c r="R2521">
        <v>1631080</v>
      </c>
      <c r="S2521" t="s">
        <v>10133</v>
      </c>
      <c r="T2521">
        <v>233</v>
      </c>
      <c r="U2521" t="s">
        <v>394</v>
      </c>
      <c r="V2521">
        <v>48</v>
      </c>
      <c r="W2521" t="str">
        <f>HYPERLINK("Gene1618-zp_tree_all.dnd", "Gene1618-tree")</f>
        <v>Gene1618-tree</v>
      </c>
      <c r="X2521">
        <v>9</v>
      </c>
      <c r="Y2521">
        <v>5</v>
      </c>
      <c r="Z2521">
        <v>9</v>
      </c>
      <c r="AA2521">
        <v>5</v>
      </c>
      <c r="AB2521">
        <v>0.35714000000000001</v>
      </c>
      <c r="AC2521" t="s">
        <v>135</v>
      </c>
      <c r="AD2521" t="s">
        <v>199</v>
      </c>
      <c r="AE2521" t="s">
        <v>62</v>
      </c>
      <c r="AF2521" t="s">
        <v>62</v>
      </c>
      <c r="AG2521">
        <v>1</v>
      </c>
      <c r="AH2521">
        <v>2</v>
      </c>
      <c r="AI2521">
        <v>5</v>
      </c>
      <c r="AJ2521">
        <v>0.28571000000000002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5</v>
      </c>
      <c r="AT2521">
        <v>0</v>
      </c>
      <c r="AU2521">
        <v>13</v>
      </c>
      <c r="AV2521">
        <v>9</v>
      </c>
      <c r="AW2521">
        <v>37</v>
      </c>
      <c r="AX2521">
        <v>5</v>
      </c>
      <c r="AY2521">
        <v>31</v>
      </c>
      <c r="AZ2521">
        <v>2</v>
      </c>
      <c r="BA2521" t="s">
        <v>10134</v>
      </c>
      <c r="BB2521" t="s">
        <v>10135</v>
      </c>
      <c r="BC2521">
        <v>0.45600000000000002</v>
      </c>
      <c r="BD2521" t="s">
        <v>65</v>
      </c>
      <c r="BE2521">
        <v>68</v>
      </c>
      <c r="BF2521">
        <v>7</v>
      </c>
      <c r="BG2521" t="s">
        <v>10136</v>
      </c>
      <c r="BH2521" t="s">
        <v>10137</v>
      </c>
      <c r="BI2521" t="s">
        <v>10138</v>
      </c>
      <c r="BJ2521">
        <v>2.1729999999999999E-2</v>
      </c>
      <c r="BK2521">
        <v>1</v>
      </c>
      <c r="BL2521" t="s">
        <v>69</v>
      </c>
      <c r="BM2521">
        <v>-1.0580000000000001</v>
      </c>
      <c r="BN2521">
        <v>-1.6559999999999999</v>
      </c>
    </row>
    <row r="2522" spans="10:66">
      <c r="J2522">
        <v>0</v>
      </c>
      <c r="K2522">
        <v>5</v>
      </c>
      <c r="L2522">
        <v>0</v>
      </c>
      <c r="M2522" t="s">
        <v>25022</v>
      </c>
      <c r="N2522">
        <v>1619</v>
      </c>
      <c r="O2522" t="s">
        <v>10139</v>
      </c>
      <c r="P2522" t="s">
        <v>57</v>
      </c>
      <c r="Q2522">
        <v>1631095</v>
      </c>
      <c r="R2522">
        <v>1632156</v>
      </c>
      <c r="S2522" t="s">
        <v>10140</v>
      </c>
      <c r="T2522">
        <v>354</v>
      </c>
      <c r="U2522" t="s">
        <v>108</v>
      </c>
      <c r="V2522">
        <v>44</v>
      </c>
      <c r="W2522" t="str">
        <f>HYPERLINK("Gene1619-zp_tree_all.dnd", "Gene1619-tree")</f>
        <v>Gene1619-tree</v>
      </c>
      <c r="X2522">
        <v>3</v>
      </c>
      <c r="Y2522">
        <v>10</v>
      </c>
      <c r="Z2522">
        <v>3</v>
      </c>
      <c r="AA2522">
        <v>10</v>
      </c>
      <c r="AB2522">
        <v>0.76922999999999997</v>
      </c>
      <c r="AC2522" t="s">
        <v>324</v>
      </c>
      <c r="AD2522" t="s">
        <v>117</v>
      </c>
      <c r="AE2522" t="s">
        <v>62</v>
      </c>
      <c r="AF2522" t="s">
        <v>62</v>
      </c>
      <c r="AG2522">
        <v>2</v>
      </c>
      <c r="AH2522">
        <v>5</v>
      </c>
      <c r="AI2522">
        <v>8</v>
      </c>
      <c r="AJ2522">
        <v>0.38462000000000002</v>
      </c>
      <c r="AK2522">
        <v>0</v>
      </c>
      <c r="AL2522">
        <v>0</v>
      </c>
      <c r="AM2522">
        <v>0</v>
      </c>
      <c r="AN2522">
        <v>2</v>
      </c>
      <c r="AO2522">
        <v>0</v>
      </c>
      <c r="AP2522">
        <v>2</v>
      </c>
      <c r="AQ2522">
        <v>0</v>
      </c>
      <c r="AR2522">
        <v>2</v>
      </c>
      <c r="AS2522">
        <v>8</v>
      </c>
      <c r="AT2522">
        <v>0.2</v>
      </c>
      <c r="AU2522">
        <v>10</v>
      </c>
      <c r="AV2522">
        <v>6</v>
      </c>
      <c r="AW2522">
        <v>21</v>
      </c>
      <c r="AX2522">
        <v>10</v>
      </c>
      <c r="AY2522">
        <v>8</v>
      </c>
      <c r="AZ2522">
        <v>3</v>
      </c>
      <c r="BA2522" t="s">
        <v>10141</v>
      </c>
      <c r="BB2522" t="s">
        <v>10142</v>
      </c>
      <c r="BC2522">
        <v>0.31900000000000001</v>
      </c>
      <c r="BD2522" t="s">
        <v>65</v>
      </c>
      <c r="BE2522">
        <v>29</v>
      </c>
      <c r="BF2522">
        <v>13</v>
      </c>
      <c r="BG2522" t="s">
        <v>10143</v>
      </c>
      <c r="BH2522" t="s">
        <v>10144</v>
      </c>
      <c r="BI2522" t="s">
        <v>10145</v>
      </c>
      <c r="BJ2522">
        <v>0.13916000000000001</v>
      </c>
      <c r="BK2522">
        <v>1</v>
      </c>
      <c r="BL2522" t="s">
        <v>69</v>
      </c>
      <c r="BM2522">
        <v>-0.92600000000000005</v>
      </c>
      <c r="BN2522">
        <v>-2.5310000000000001</v>
      </c>
    </row>
    <row r="2523" spans="10:66">
      <c r="J2523">
        <v>0</v>
      </c>
      <c r="K2523">
        <v>8</v>
      </c>
      <c r="L2523">
        <v>0</v>
      </c>
      <c r="M2523" t="s">
        <v>25022</v>
      </c>
      <c r="N2523">
        <v>1620</v>
      </c>
      <c r="O2523" t="s">
        <v>10146</v>
      </c>
      <c r="P2523" t="s">
        <v>57</v>
      </c>
      <c r="Q2523">
        <v>1632208</v>
      </c>
      <c r="R2523">
        <v>1633353</v>
      </c>
      <c r="S2523" t="s">
        <v>10147</v>
      </c>
      <c r="T2523">
        <v>382</v>
      </c>
      <c r="U2523" t="s">
        <v>108</v>
      </c>
      <c r="V2523">
        <v>44</v>
      </c>
      <c r="W2523" t="str">
        <f>HYPERLINK("Gene1620-zp_tree_all.dnd", "Gene1620-tree")</f>
        <v>Gene1620-tree</v>
      </c>
      <c r="X2523">
        <v>9</v>
      </c>
      <c r="Y2523">
        <v>24</v>
      </c>
      <c r="Z2523">
        <v>9</v>
      </c>
      <c r="AA2523">
        <v>4</v>
      </c>
      <c r="AB2523">
        <v>0.30769000000000002</v>
      </c>
      <c r="AC2523" t="s">
        <v>135</v>
      </c>
      <c r="AD2523" t="s">
        <v>1495</v>
      </c>
      <c r="AE2523">
        <v>5.8639999999999999</v>
      </c>
      <c r="AF2523" t="s">
        <v>65</v>
      </c>
      <c r="AG2523">
        <v>3</v>
      </c>
      <c r="AH2523">
        <v>8</v>
      </c>
      <c r="AI2523">
        <v>3</v>
      </c>
      <c r="AJ2523">
        <v>0.72726999999999997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5</v>
      </c>
      <c r="AQ2523">
        <v>0</v>
      </c>
      <c r="AR2523">
        <v>5</v>
      </c>
      <c r="AS2523">
        <v>4</v>
      </c>
      <c r="AT2523">
        <v>0.55556000000000005</v>
      </c>
      <c r="AU2523">
        <v>9</v>
      </c>
      <c r="AV2523">
        <v>9</v>
      </c>
      <c r="AW2523">
        <v>38</v>
      </c>
      <c r="AX2523">
        <v>9</v>
      </c>
      <c r="AY2523">
        <v>14</v>
      </c>
      <c r="AZ2523">
        <v>2</v>
      </c>
      <c r="BA2523" t="s">
        <v>10148</v>
      </c>
      <c r="BB2523" t="s">
        <v>10149</v>
      </c>
      <c r="BC2523">
        <v>0.36799999999999999</v>
      </c>
      <c r="BD2523" t="s">
        <v>65</v>
      </c>
      <c r="BE2523">
        <v>52</v>
      </c>
      <c r="BF2523">
        <v>11</v>
      </c>
      <c r="BG2523" t="s">
        <v>10150</v>
      </c>
      <c r="BH2523" t="s">
        <v>10151</v>
      </c>
      <c r="BI2523" t="s">
        <v>10152</v>
      </c>
      <c r="BJ2523">
        <v>4.3779999999999999E-2</v>
      </c>
      <c r="BK2523">
        <v>1</v>
      </c>
      <c r="BL2523" t="s">
        <v>69</v>
      </c>
      <c r="BM2523">
        <v>-0.64900000000000002</v>
      </c>
      <c r="BN2523">
        <v>-2.08</v>
      </c>
    </row>
    <row r="2524" spans="10:66">
      <c r="J2524">
        <v>0</v>
      </c>
      <c r="K2524">
        <v>2</v>
      </c>
      <c r="L2524">
        <v>0</v>
      </c>
      <c r="M2524" t="s">
        <v>25022</v>
      </c>
      <c r="N2524">
        <v>1621</v>
      </c>
      <c r="O2524" t="s">
        <v>10153</v>
      </c>
      <c r="P2524" t="s">
        <v>57</v>
      </c>
      <c r="Q2524">
        <v>1633369</v>
      </c>
      <c r="R2524">
        <v>1633959</v>
      </c>
      <c r="S2524" t="s">
        <v>10154</v>
      </c>
      <c r="T2524">
        <v>197</v>
      </c>
      <c r="U2524" t="s">
        <v>1392</v>
      </c>
      <c r="V2524">
        <v>43</v>
      </c>
      <c r="W2524" t="str">
        <f>HYPERLINK("Gene1621-zp_tree_all.dnd", "Gene1621-tree")</f>
        <v>Gene1621-tree</v>
      </c>
      <c r="X2524">
        <v>8</v>
      </c>
      <c r="Y2524">
        <v>2</v>
      </c>
      <c r="Z2524">
        <v>8</v>
      </c>
      <c r="AA2524">
        <v>2</v>
      </c>
      <c r="AB2524">
        <v>0.2</v>
      </c>
      <c r="AC2524" t="s">
        <v>136</v>
      </c>
      <c r="AD2524" t="s">
        <v>81</v>
      </c>
      <c r="AE2524" t="s">
        <v>62</v>
      </c>
      <c r="AF2524" t="s">
        <v>62</v>
      </c>
      <c r="AG2524">
        <v>1</v>
      </c>
      <c r="AH2524">
        <v>2</v>
      </c>
      <c r="AI2524">
        <v>1</v>
      </c>
      <c r="AJ2524">
        <v>0.66666999999999998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2</v>
      </c>
      <c r="AT2524">
        <v>0</v>
      </c>
      <c r="AU2524">
        <v>8</v>
      </c>
      <c r="AV2524">
        <v>7</v>
      </c>
      <c r="AW2524">
        <v>10</v>
      </c>
      <c r="AX2524">
        <v>2</v>
      </c>
      <c r="AY2524">
        <v>15</v>
      </c>
      <c r="AZ2524">
        <v>1</v>
      </c>
      <c r="BA2524" t="s">
        <v>10155</v>
      </c>
      <c r="BB2524" t="s">
        <v>10156</v>
      </c>
      <c r="BC2524">
        <v>0.47799999999999998</v>
      </c>
      <c r="BD2524" t="s">
        <v>65</v>
      </c>
      <c r="BE2524">
        <v>25</v>
      </c>
      <c r="BF2524">
        <v>3</v>
      </c>
      <c r="BG2524" t="s">
        <v>10157</v>
      </c>
      <c r="BH2524" t="s">
        <v>10158</v>
      </c>
      <c r="BI2524" t="s">
        <v>10159</v>
      </c>
      <c r="BJ2524">
        <v>2.137E-2</v>
      </c>
      <c r="BK2524">
        <v>1</v>
      </c>
      <c r="BL2524" t="s">
        <v>69</v>
      </c>
      <c r="BM2524">
        <v>0.624</v>
      </c>
      <c r="BN2524">
        <v>0.25900000000000001</v>
      </c>
    </row>
    <row r="2525" spans="10:66">
      <c r="J2525">
        <v>0</v>
      </c>
      <c r="K2525">
        <v>10</v>
      </c>
      <c r="L2525">
        <v>0</v>
      </c>
      <c r="M2525" t="s">
        <v>25022</v>
      </c>
      <c r="N2525">
        <v>1622</v>
      </c>
      <c r="O2525" t="s">
        <v>10160</v>
      </c>
      <c r="P2525" t="s">
        <v>57</v>
      </c>
      <c r="Q2525">
        <v>1634061</v>
      </c>
      <c r="R2525">
        <v>1634831</v>
      </c>
      <c r="S2525" t="s">
        <v>10161</v>
      </c>
      <c r="T2525">
        <v>257</v>
      </c>
      <c r="U2525" t="s">
        <v>59</v>
      </c>
      <c r="V2525">
        <v>49</v>
      </c>
      <c r="W2525" t="str">
        <f>HYPERLINK("Gene1622-zp_tree_all.dnd", "Gene1622-tree")</f>
        <v>Gene1622-tree</v>
      </c>
      <c r="X2525">
        <v>28</v>
      </c>
      <c r="Y2525">
        <v>9</v>
      </c>
      <c r="Z2525">
        <v>8</v>
      </c>
      <c r="AA2525">
        <v>9</v>
      </c>
      <c r="AB2525">
        <v>0.52941000000000005</v>
      </c>
      <c r="AC2525" t="s">
        <v>3778</v>
      </c>
      <c r="AD2525" t="s">
        <v>135</v>
      </c>
      <c r="AE2525" t="s">
        <v>62</v>
      </c>
      <c r="AF2525" t="s">
        <v>62</v>
      </c>
      <c r="AG2525">
        <v>4</v>
      </c>
      <c r="AH2525">
        <v>10</v>
      </c>
      <c r="AI2525">
        <v>13</v>
      </c>
      <c r="AJ2525">
        <v>0.43478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11</v>
      </c>
      <c r="AT2525">
        <v>0</v>
      </c>
      <c r="AU2525">
        <v>15</v>
      </c>
      <c r="AV2525">
        <v>12</v>
      </c>
      <c r="AW2525">
        <v>33</v>
      </c>
      <c r="AX2525">
        <v>11</v>
      </c>
      <c r="AY2525">
        <v>40</v>
      </c>
      <c r="AZ2525">
        <v>12</v>
      </c>
      <c r="BA2525" t="s">
        <v>10162</v>
      </c>
      <c r="BB2525" t="s">
        <v>10163</v>
      </c>
      <c r="BC2525">
        <v>0.114</v>
      </c>
      <c r="BD2525" t="s">
        <v>65</v>
      </c>
      <c r="BE2525">
        <v>73</v>
      </c>
      <c r="BF2525">
        <v>23</v>
      </c>
      <c r="BG2525" t="s">
        <v>10164</v>
      </c>
      <c r="BH2525" t="s">
        <v>10165</v>
      </c>
      <c r="BI2525" t="s">
        <v>10166</v>
      </c>
      <c r="BJ2525">
        <v>8.4830000000000003E-2</v>
      </c>
      <c r="BK2525">
        <v>1</v>
      </c>
      <c r="BL2525" t="s">
        <v>69</v>
      </c>
      <c r="BM2525">
        <v>-0.71799999999999997</v>
      </c>
      <c r="BN2525">
        <v>-1.2549999999999999</v>
      </c>
    </row>
    <row r="2526" spans="10:66">
      <c r="J2526">
        <v>0</v>
      </c>
      <c r="K2526">
        <v>10</v>
      </c>
      <c r="L2526">
        <v>2</v>
      </c>
      <c r="M2526" t="s">
        <v>25022</v>
      </c>
      <c r="N2526">
        <v>1623</v>
      </c>
      <c r="O2526" t="s">
        <v>10167</v>
      </c>
      <c r="P2526" t="s">
        <v>57</v>
      </c>
      <c r="Q2526">
        <v>1634837</v>
      </c>
      <c r="R2526">
        <v>1635619</v>
      </c>
      <c r="S2526" t="s">
        <v>10168</v>
      </c>
      <c r="T2526">
        <v>261</v>
      </c>
      <c r="U2526" t="s">
        <v>108</v>
      </c>
      <c r="V2526">
        <v>44</v>
      </c>
      <c r="W2526" t="str">
        <f>HYPERLINK("Gene1623-zp_tree_all.dnd", "Gene1623-tree")</f>
        <v>Gene1623-tree</v>
      </c>
      <c r="X2526">
        <v>2</v>
      </c>
      <c r="Y2526">
        <v>11</v>
      </c>
      <c r="Z2526">
        <v>2</v>
      </c>
      <c r="AA2526">
        <v>11</v>
      </c>
      <c r="AB2526">
        <v>0.84614999999999996</v>
      </c>
      <c r="AC2526" t="s">
        <v>81</v>
      </c>
      <c r="AD2526" t="s">
        <v>73</v>
      </c>
      <c r="AE2526">
        <v>515075683.63</v>
      </c>
      <c r="AF2526" t="s">
        <v>267</v>
      </c>
      <c r="AG2526">
        <v>4</v>
      </c>
      <c r="AH2526">
        <v>12</v>
      </c>
      <c r="AI2526">
        <v>13</v>
      </c>
      <c r="AJ2526">
        <v>0.48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4</v>
      </c>
      <c r="AQ2526">
        <v>2</v>
      </c>
      <c r="AR2526">
        <v>6</v>
      </c>
      <c r="AS2526">
        <v>12</v>
      </c>
      <c r="AT2526">
        <v>0.33333000000000002</v>
      </c>
      <c r="AU2526">
        <v>11</v>
      </c>
      <c r="AV2526">
        <v>9</v>
      </c>
      <c r="AW2526">
        <v>35</v>
      </c>
      <c r="AX2526">
        <v>17</v>
      </c>
      <c r="AY2526">
        <v>14</v>
      </c>
      <c r="AZ2526">
        <v>8</v>
      </c>
      <c r="BA2526" t="s">
        <v>10169</v>
      </c>
      <c r="BB2526" t="s">
        <v>10170</v>
      </c>
      <c r="BC2526">
        <v>0.32</v>
      </c>
      <c r="BD2526" t="s">
        <v>65</v>
      </c>
      <c r="BE2526">
        <v>49</v>
      </c>
      <c r="BF2526">
        <v>25</v>
      </c>
      <c r="BG2526" t="s">
        <v>10171</v>
      </c>
      <c r="BH2526" t="s">
        <v>10172</v>
      </c>
      <c r="BI2526" t="s">
        <v>10173</v>
      </c>
      <c r="BJ2526">
        <v>0.1356</v>
      </c>
      <c r="BK2526">
        <v>1</v>
      </c>
      <c r="BL2526" t="s">
        <v>69</v>
      </c>
      <c r="BM2526">
        <v>-0.316</v>
      </c>
      <c r="BN2526">
        <v>-1.5860000000000001</v>
      </c>
    </row>
    <row r="2527" spans="10:66">
      <c r="J2527">
        <v>0</v>
      </c>
      <c r="K2527">
        <v>0</v>
      </c>
      <c r="L2527">
        <v>2</v>
      </c>
      <c r="M2527" t="s">
        <v>25022</v>
      </c>
      <c r="N2527">
        <v>1624</v>
      </c>
      <c r="O2527" t="s">
        <v>10174</v>
      </c>
      <c r="P2527" t="s">
        <v>57</v>
      </c>
      <c r="Q2527">
        <v>1635603</v>
      </c>
      <c r="R2527">
        <v>1636088</v>
      </c>
      <c r="S2527" t="s">
        <v>10175</v>
      </c>
      <c r="T2527">
        <v>162</v>
      </c>
      <c r="U2527" t="s">
        <v>108</v>
      </c>
      <c r="V2527">
        <v>44</v>
      </c>
      <c r="W2527" t="str">
        <f>HYPERLINK("Gene1624-zp_tree_all.dnd", "Gene1624-tree")</f>
        <v>Gene1624-tree</v>
      </c>
      <c r="X2527">
        <v>6</v>
      </c>
      <c r="Y2527">
        <v>6</v>
      </c>
      <c r="Z2527">
        <v>6</v>
      </c>
      <c r="AA2527">
        <v>6</v>
      </c>
      <c r="AB2527">
        <v>0.5</v>
      </c>
      <c r="AC2527" t="s">
        <v>90</v>
      </c>
      <c r="AD2527" t="s">
        <v>90</v>
      </c>
      <c r="AE2527" t="s">
        <v>62</v>
      </c>
      <c r="AF2527" t="s">
        <v>62</v>
      </c>
      <c r="AG2527">
        <v>1</v>
      </c>
      <c r="AH2527">
        <v>2</v>
      </c>
      <c r="AI2527">
        <v>7</v>
      </c>
      <c r="AJ2527">
        <v>0.22222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2</v>
      </c>
      <c r="AR2527">
        <v>2</v>
      </c>
      <c r="AS2527">
        <v>5</v>
      </c>
      <c r="AT2527">
        <v>0.28571000000000002</v>
      </c>
      <c r="AU2527">
        <v>10</v>
      </c>
      <c r="AV2527">
        <v>7</v>
      </c>
      <c r="AW2527">
        <v>21</v>
      </c>
      <c r="AX2527">
        <v>6</v>
      </c>
      <c r="AY2527">
        <v>12</v>
      </c>
      <c r="AZ2527">
        <v>3</v>
      </c>
      <c r="BA2527" t="s">
        <v>10176</v>
      </c>
      <c r="BB2527" t="s">
        <v>10177</v>
      </c>
      <c r="BC2527">
        <v>0.11700000000000001</v>
      </c>
      <c r="BD2527" t="s">
        <v>65</v>
      </c>
      <c r="BE2527">
        <v>33</v>
      </c>
      <c r="BF2527">
        <v>9</v>
      </c>
      <c r="BG2527" t="s">
        <v>10178</v>
      </c>
      <c r="BH2527" t="s">
        <v>10179</v>
      </c>
      <c r="BI2527" t="s">
        <v>10180</v>
      </c>
      <c r="BJ2527">
        <v>0.10621</v>
      </c>
      <c r="BK2527">
        <v>1</v>
      </c>
      <c r="BL2527" t="s">
        <v>69</v>
      </c>
      <c r="BM2527">
        <v>-0.52900000000000003</v>
      </c>
      <c r="BN2527">
        <v>-0.6</v>
      </c>
    </row>
    <row r="2528" spans="10:66">
      <c r="J2528">
        <v>0</v>
      </c>
      <c r="K2528">
        <v>0</v>
      </c>
      <c r="L2528">
        <v>2</v>
      </c>
      <c r="M2528" t="s">
        <v>25022</v>
      </c>
      <c r="N2528">
        <v>1626</v>
      </c>
      <c r="O2528" t="s">
        <v>10188</v>
      </c>
      <c r="P2528" t="s">
        <v>57</v>
      </c>
      <c r="Q2528">
        <v>1637965</v>
      </c>
      <c r="R2528">
        <v>1640634</v>
      </c>
      <c r="S2528" t="s">
        <v>10189</v>
      </c>
      <c r="T2528">
        <v>890</v>
      </c>
      <c r="U2528" t="s">
        <v>108</v>
      </c>
      <c r="V2528">
        <v>44</v>
      </c>
      <c r="W2528" t="str">
        <f>HYPERLINK("Gene1626-zp_tree_all.dnd", "Gene1626-tree")</f>
        <v>Gene1626-tree</v>
      </c>
      <c r="X2528">
        <v>9</v>
      </c>
      <c r="Y2528">
        <v>7</v>
      </c>
      <c r="Z2528">
        <v>9</v>
      </c>
      <c r="AA2528">
        <v>7</v>
      </c>
      <c r="AB2528">
        <v>0.4375</v>
      </c>
      <c r="AC2528" t="s">
        <v>135</v>
      </c>
      <c r="AD2528" t="s">
        <v>152</v>
      </c>
      <c r="AE2528" t="s">
        <v>62</v>
      </c>
      <c r="AF2528" t="s">
        <v>62</v>
      </c>
      <c r="AG2528">
        <v>1</v>
      </c>
      <c r="AH2528">
        <v>2</v>
      </c>
      <c r="AI2528">
        <v>9</v>
      </c>
      <c r="AJ2528">
        <v>0.18182000000000001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2</v>
      </c>
      <c r="AR2528">
        <v>2</v>
      </c>
      <c r="AS2528">
        <v>4</v>
      </c>
      <c r="AT2528">
        <v>0.33333000000000002</v>
      </c>
      <c r="AU2528">
        <v>12</v>
      </c>
      <c r="AV2528">
        <v>13</v>
      </c>
      <c r="AW2528">
        <v>66</v>
      </c>
      <c r="AX2528">
        <v>5</v>
      </c>
      <c r="AY2528">
        <v>78</v>
      </c>
      <c r="AZ2528">
        <v>6</v>
      </c>
      <c r="BA2528" t="s">
        <v>10190</v>
      </c>
      <c r="BB2528" t="s">
        <v>10191</v>
      </c>
      <c r="BC2528">
        <v>1.6E-2</v>
      </c>
      <c r="BD2528" t="s">
        <v>65</v>
      </c>
      <c r="BE2528">
        <v>144</v>
      </c>
      <c r="BF2528">
        <v>11</v>
      </c>
      <c r="BG2528" t="s">
        <v>10192</v>
      </c>
      <c r="BH2528" t="s">
        <v>10193</v>
      </c>
      <c r="BI2528" t="s">
        <v>10194</v>
      </c>
      <c r="BJ2528">
        <v>2.8680000000000001E-2</v>
      </c>
      <c r="BK2528">
        <v>1</v>
      </c>
      <c r="BL2528" t="s">
        <v>69</v>
      </c>
      <c r="BM2528">
        <v>7.9000000000000001E-2</v>
      </c>
      <c r="BN2528">
        <v>-0.254</v>
      </c>
    </row>
    <row r="2529" spans="10:66">
      <c r="J2529">
        <v>0</v>
      </c>
      <c r="K2529">
        <v>2</v>
      </c>
      <c r="L2529">
        <v>4</v>
      </c>
      <c r="M2529" t="s">
        <v>25022</v>
      </c>
      <c r="N2529">
        <v>1627</v>
      </c>
      <c r="O2529" t="s">
        <v>10195</v>
      </c>
      <c r="P2529" t="s">
        <v>57</v>
      </c>
      <c r="Q2529">
        <v>1640720</v>
      </c>
      <c r="R2529">
        <v>1641592</v>
      </c>
      <c r="S2529" t="s">
        <v>116</v>
      </c>
      <c r="T2529">
        <v>291</v>
      </c>
      <c r="U2529" t="s">
        <v>59</v>
      </c>
      <c r="V2529">
        <v>49</v>
      </c>
      <c r="W2529" t="str">
        <f>HYPERLINK("Gene1627-zp_tree_all.dnd", "Gene1627-tree")</f>
        <v>Gene1627-tree</v>
      </c>
      <c r="X2529">
        <v>14</v>
      </c>
      <c r="Y2529">
        <v>5</v>
      </c>
      <c r="Z2529">
        <v>14</v>
      </c>
      <c r="AA2529">
        <v>5</v>
      </c>
      <c r="AB2529">
        <v>0.26316000000000001</v>
      </c>
      <c r="AC2529" t="s">
        <v>543</v>
      </c>
      <c r="AD2529" t="s">
        <v>199</v>
      </c>
      <c r="AE2529" t="s">
        <v>62</v>
      </c>
      <c r="AF2529" t="s">
        <v>62</v>
      </c>
      <c r="AG2529">
        <v>3</v>
      </c>
      <c r="AH2529">
        <v>6</v>
      </c>
      <c r="AI2529">
        <v>12</v>
      </c>
      <c r="AJ2529">
        <v>0.33333000000000002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6</v>
      </c>
      <c r="AT2529">
        <v>0</v>
      </c>
      <c r="AU2529">
        <v>15</v>
      </c>
      <c r="AV2529">
        <v>11</v>
      </c>
      <c r="AW2529">
        <v>17</v>
      </c>
      <c r="AX2529">
        <v>6</v>
      </c>
      <c r="AY2529">
        <v>44</v>
      </c>
      <c r="AZ2529">
        <v>12</v>
      </c>
      <c r="BA2529" t="s">
        <v>10196</v>
      </c>
      <c r="BB2529" t="s">
        <v>10197</v>
      </c>
      <c r="BC2529">
        <v>0.17299999999999999</v>
      </c>
      <c r="BD2529" t="s">
        <v>65</v>
      </c>
      <c r="BE2529">
        <v>61</v>
      </c>
      <c r="BF2529">
        <v>18</v>
      </c>
      <c r="BG2529" t="s">
        <v>10198</v>
      </c>
      <c r="BH2529" t="s">
        <v>10199</v>
      </c>
      <c r="BI2529" t="s">
        <v>10200</v>
      </c>
      <c r="BJ2529">
        <v>7.3789999999999994E-2</v>
      </c>
      <c r="BK2529">
        <v>1</v>
      </c>
      <c r="BL2529" t="s">
        <v>69</v>
      </c>
      <c r="BM2529">
        <v>-1.3380000000000001</v>
      </c>
      <c r="BN2529">
        <v>0.38600000000000001</v>
      </c>
    </row>
    <row r="2530" spans="10:66">
      <c r="J2530">
        <v>0</v>
      </c>
      <c r="K2530">
        <v>0</v>
      </c>
      <c r="L2530">
        <v>0</v>
      </c>
      <c r="M2530" t="s">
        <v>25022</v>
      </c>
      <c r="N2530">
        <v>1628</v>
      </c>
      <c r="O2530" t="s">
        <v>10201</v>
      </c>
      <c r="P2530" t="s">
        <v>57</v>
      </c>
      <c r="Q2530">
        <v>1641672</v>
      </c>
      <c r="R2530">
        <v>1641938</v>
      </c>
      <c r="S2530" t="s">
        <v>10202</v>
      </c>
      <c r="T2530">
        <v>89</v>
      </c>
      <c r="U2530" t="s">
        <v>515</v>
      </c>
      <c r="V2530">
        <v>51</v>
      </c>
      <c r="W2530" t="str">
        <f>HYPERLINK("Gene1628-zp_tree_all.dnd", "Gene1628-tree")</f>
        <v>Gene1628-tree</v>
      </c>
      <c r="X2530">
        <v>4</v>
      </c>
      <c r="Y2530">
        <v>0</v>
      </c>
      <c r="Z2530">
        <v>4</v>
      </c>
      <c r="AA2530">
        <v>0</v>
      </c>
      <c r="AB2530">
        <v>0</v>
      </c>
      <c r="AC2530" t="s">
        <v>61</v>
      </c>
      <c r="AD2530" t="s">
        <v>62</v>
      </c>
      <c r="AE2530" t="s">
        <v>62</v>
      </c>
      <c r="AF2530" t="s">
        <v>62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3</v>
      </c>
      <c r="AV2530">
        <v>1</v>
      </c>
      <c r="AW2530">
        <v>8</v>
      </c>
      <c r="AX2530">
        <v>0</v>
      </c>
      <c r="AY2530">
        <v>2</v>
      </c>
      <c r="AZ2530">
        <v>0</v>
      </c>
      <c r="BA2530" t="s">
        <v>193</v>
      </c>
      <c r="BB2530" t="s">
        <v>193</v>
      </c>
      <c r="BC2530">
        <v>0</v>
      </c>
      <c r="BD2530" t="s">
        <v>65</v>
      </c>
      <c r="BE2530">
        <v>10</v>
      </c>
      <c r="BF2530">
        <v>0</v>
      </c>
      <c r="BG2530" t="s">
        <v>10203</v>
      </c>
      <c r="BH2530" t="s">
        <v>10204</v>
      </c>
      <c r="BI2530" t="s">
        <v>193</v>
      </c>
      <c r="BJ2530">
        <v>0</v>
      </c>
      <c r="BK2530">
        <v>1</v>
      </c>
      <c r="BL2530" t="s">
        <v>69</v>
      </c>
      <c r="BM2530">
        <v>-1.4330000000000001</v>
      </c>
      <c r="BN2530">
        <v>1.351</v>
      </c>
    </row>
    <row r="2531" spans="10:66">
      <c r="J2531">
        <v>0</v>
      </c>
      <c r="K2531">
        <v>2</v>
      </c>
      <c r="L2531">
        <v>0</v>
      </c>
      <c r="M2531" t="s">
        <v>25022</v>
      </c>
      <c r="N2531">
        <v>1629</v>
      </c>
      <c r="O2531" t="s">
        <v>10205</v>
      </c>
      <c r="P2531" t="s">
        <v>57</v>
      </c>
      <c r="Q2531">
        <v>1641949</v>
      </c>
      <c r="R2531">
        <v>1642560</v>
      </c>
      <c r="S2531" t="s">
        <v>10206</v>
      </c>
      <c r="T2531">
        <v>204</v>
      </c>
      <c r="U2531" t="s">
        <v>59</v>
      </c>
      <c r="V2531">
        <v>49</v>
      </c>
      <c r="W2531" t="str">
        <f>HYPERLINK("Gene1629-zp_tree_all.dnd", "Gene1629-tree")</f>
        <v>Gene1629-tree</v>
      </c>
      <c r="X2531">
        <v>13</v>
      </c>
      <c r="Y2531">
        <v>3</v>
      </c>
      <c r="Z2531">
        <v>13</v>
      </c>
      <c r="AA2531">
        <v>3</v>
      </c>
      <c r="AB2531">
        <v>0.1875</v>
      </c>
      <c r="AC2531" t="s">
        <v>507</v>
      </c>
      <c r="AD2531" t="s">
        <v>324</v>
      </c>
      <c r="AE2531" t="s">
        <v>62</v>
      </c>
      <c r="AF2531" t="s">
        <v>62</v>
      </c>
      <c r="AG2531">
        <v>1</v>
      </c>
      <c r="AH2531">
        <v>2</v>
      </c>
      <c r="AI2531">
        <v>3</v>
      </c>
      <c r="AJ2531">
        <v>0.4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3</v>
      </c>
      <c r="AT2531">
        <v>0</v>
      </c>
      <c r="AU2531">
        <v>12</v>
      </c>
      <c r="AV2531">
        <v>6</v>
      </c>
      <c r="AW2531">
        <v>20</v>
      </c>
      <c r="AX2531">
        <v>3</v>
      </c>
      <c r="AY2531">
        <v>24</v>
      </c>
      <c r="AZ2531">
        <v>2</v>
      </c>
      <c r="BA2531" t="s">
        <v>10207</v>
      </c>
      <c r="BB2531" t="s">
        <v>10208</v>
      </c>
      <c r="BC2531">
        <v>0.33500000000000002</v>
      </c>
      <c r="BD2531" t="s">
        <v>65</v>
      </c>
      <c r="BE2531">
        <v>44</v>
      </c>
      <c r="BF2531">
        <v>5</v>
      </c>
      <c r="BG2531" t="s">
        <v>10209</v>
      </c>
      <c r="BH2531" t="s">
        <v>10210</v>
      </c>
      <c r="BI2531" t="s">
        <v>10211</v>
      </c>
      <c r="BJ2531">
        <v>1.925E-2</v>
      </c>
      <c r="BK2531">
        <v>1</v>
      </c>
      <c r="BL2531" t="s">
        <v>69</v>
      </c>
      <c r="BM2531">
        <v>-1.0860000000000001</v>
      </c>
      <c r="BN2531">
        <v>-1.1479999999999999</v>
      </c>
    </row>
    <row r="2532" spans="10:66">
      <c r="J2532">
        <v>0</v>
      </c>
      <c r="K2532">
        <v>0</v>
      </c>
      <c r="L2532">
        <v>0</v>
      </c>
      <c r="M2532" t="s">
        <v>25022</v>
      </c>
      <c r="N2532">
        <v>1630</v>
      </c>
      <c r="O2532" t="s">
        <v>10212</v>
      </c>
      <c r="P2532" t="s">
        <v>57</v>
      </c>
      <c r="Q2532">
        <v>1642567</v>
      </c>
      <c r="R2532">
        <v>1642767</v>
      </c>
      <c r="S2532" t="s">
        <v>10213</v>
      </c>
      <c r="T2532">
        <v>67</v>
      </c>
      <c r="U2532" t="s">
        <v>59</v>
      </c>
      <c r="V2532">
        <v>49</v>
      </c>
      <c r="W2532" t="str">
        <f>HYPERLINK("Gene1630-zp_tree_all.dnd", "Gene1630-tree")</f>
        <v>Gene1630-tree</v>
      </c>
      <c r="X2532">
        <v>7</v>
      </c>
      <c r="Y2532">
        <v>0</v>
      </c>
      <c r="Z2532">
        <v>7</v>
      </c>
      <c r="AA2532">
        <v>0</v>
      </c>
      <c r="AB2532">
        <v>0</v>
      </c>
      <c r="AC2532" t="s">
        <v>152</v>
      </c>
      <c r="AD2532" t="s">
        <v>62</v>
      </c>
      <c r="AE2532" t="s">
        <v>62</v>
      </c>
      <c r="AF2532" t="s">
        <v>62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5</v>
      </c>
      <c r="AV2532">
        <v>3</v>
      </c>
      <c r="AW2532">
        <v>6</v>
      </c>
      <c r="AX2532">
        <v>0</v>
      </c>
      <c r="AY2532">
        <v>8</v>
      </c>
      <c r="AZ2532">
        <v>0</v>
      </c>
      <c r="BA2532" t="s">
        <v>193</v>
      </c>
      <c r="BB2532" t="s">
        <v>193</v>
      </c>
      <c r="BC2532">
        <v>0</v>
      </c>
      <c r="BD2532" t="s">
        <v>65</v>
      </c>
      <c r="BE2532">
        <v>14</v>
      </c>
      <c r="BF2532">
        <v>0</v>
      </c>
      <c r="BG2532" t="s">
        <v>10214</v>
      </c>
      <c r="BH2532" t="s">
        <v>10215</v>
      </c>
      <c r="BI2532" t="s">
        <v>193</v>
      </c>
      <c r="BJ2532">
        <v>0</v>
      </c>
      <c r="BK2532">
        <v>1</v>
      </c>
      <c r="BL2532" t="s">
        <v>69</v>
      </c>
      <c r="BM2532">
        <v>0.28799999999999998</v>
      </c>
      <c r="BN2532">
        <v>-1.2729999999999999</v>
      </c>
    </row>
    <row r="2533" spans="10:66">
      <c r="J2533">
        <v>0</v>
      </c>
      <c r="K2533">
        <v>2</v>
      </c>
      <c r="L2533">
        <v>0</v>
      </c>
      <c r="M2533" t="s">
        <v>25022</v>
      </c>
      <c r="N2533">
        <v>1631</v>
      </c>
      <c r="O2533" t="s">
        <v>10216</v>
      </c>
      <c r="P2533" t="s">
        <v>57</v>
      </c>
      <c r="Q2533">
        <v>1642851</v>
      </c>
      <c r="R2533">
        <v>1644068</v>
      </c>
      <c r="S2533" t="s">
        <v>10217</v>
      </c>
      <c r="T2533">
        <v>406</v>
      </c>
      <c r="U2533" t="s">
        <v>108</v>
      </c>
      <c r="V2533">
        <v>44</v>
      </c>
      <c r="W2533" t="str">
        <f>HYPERLINK("Gene1631-zp_tree_all.dnd", "Gene1631-tree")</f>
        <v>Gene1631-tree</v>
      </c>
      <c r="X2533">
        <v>6</v>
      </c>
      <c r="Y2533">
        <v>10</v>
      </c>
      <c r="Z2533">
        <v>6</v>
      </c>
      <c r="AA2533">
        <v>10</v>
      </c>
      <c r="AB2533">
        <v>0.625</v>
      </c>
      <c r="AC2533" t="s">
        <v>90</v>
      </c>
      <c r="AD2533" t="s">
        <v>117</v>
      </c>
      <c r="AE2533" t="s">
        <v>62</v>
      </c>
      <c r="AF2533" t="s">
        <v>62</v>
      </c>
      <c r="AG2533">
        <v>1</v>
      </c>
      <c r="AH2533">
        <v>2</v>
      </c>
      <c r="AI2533">
        <v>13</v>
      </c>
      <c r="AJ2533">
        <v>0.13333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12</v>
      </c>
      <c r="AT2533">
        <v>0</v>
      </c>
      <c r="AU2533">
        <v>12</v>
      </c>
      <c r="AV2533">
        <v>9</v>
      </c>
      <c r="AW2533">
        <v>25</v>
      </c>
      <c r="AX2533">
        <v>11</v>
      </c>
      <c r="AY2533">
        <v>22</v>
      </c>
      <c r="AZ2533">
        <v>4</v>
      </c>
      <c r="BA2533" t="s">
        <v>10218</v>
      </c>
      <c r="BB2533" t="s">
        <v>10219</v>
      </c>
      <c r="BC2533">
        <v>1.4219999999999999</v>
      </c>
      <c r="BD2533" t="s">
        <v>65</v>
      </c>
      <c r="BE2533">
        <v>47</v>
      </c>
      <c r="BF2533">
        <v>15</v>
      </c>
      <c r="BG2533" t="s">
        <v>10220</v>
      </c>
      <c r="BH2533" t="s">
        <v>10221</v>
      </c>
      <c r="BI2533" t="s">
        <v>10222</v>
      </c>
      <c r="BJ2533">
        <v>8.1799999999999998E-2</v>
      </c>
      <c r="BK2533">
        <v>1</v>
      </c>
      <c r="BL2533" t="s">
        <v>69</v>
      </c>
      <c r="BM2533">
        <v>-0.55000000000000004</v>
      </c>
      <c r="BN2533">
        <v>-1.194</v>
      </c>
    </row>
    <row r="2534" spans="10:66">
      <c r="J2534">
        <v>0</v>
      </c>
      <c r="K2534">
        <v>4</v>
      </c>
      <c r="L2534">
        <v>2</v>
      </c>
      <c r="M2534" t="s">
        <v>25022</v>
      </c>
      <c r="N2534">
        <v>1632</v>
      </c>
      <c r="O2534" t="s">
        <v>10223</v>
      </c>
      <c r="P2534" t="s">
        <v>57</v>
      </c>
      <c r="Q2534">
        <v>1644068</v>
      </c>
      <c r="R2534">
        <v>1646482</v>
      </c>
      <c r="S2534" t="s">
        <v>10224</v>
      </c>
      <c r="T2534">
        <v>805</v>
      </c>
      <c r="U2534" t="s">
        <v>108</v>
      </c>
      <c r="V2534">
        <v>44</v>
      </c>
      <c r="W2534" t="str">
        <f>HYPERLINK("Gene1632-zp_tree_all.dnd", "Gene1632-tree")</f>
        <v>Gene1632-tree</v>
      </c>
      <c r="X2534">
        <v>10</v>
      </c>
      <c r="Y2534">
        <v>7</v>
      </c>
      <c r="Z2534">
        <v>10</v>
      </c>
      <c r="AA2534">
        <v>7</v>
      </c>
      <c r="AB2534">
        <v>0.41176000000000001</v>
      </c>
      <c r="AC2534" t="s">
        <v>117</v>
      </c>
      <c r="AD2534" t="s">
        <v>152</v>
      </c>
      <c r="AE2534" t="s">
        <v>62</v>
      </c>
      <c r="AF2534" t="s">
        <v>62</v>
      </c>
      <c r="AG2534">
        <v>3</v>
      </c>
      <c r="AH2534">
        <v>6</v>
      </c>
      <c r="AI2534">
        <v>10</v>
      </c>
      <c r="AJ2534">
        <v>0.375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4</v>
      </c>
      <c r="AQ2534">
        <v>0</v>
      </c>
      <c r="AR2534">
        <v>4</v>
      </c>
      <c r="AS2534">
        <v>8</v>
      </c>
      <c r="AT2534">
        <v>0.33333000000000002</v>
      </c>
      <c r="AU2534">
        <v>14</v>
      </c>
      <c r="AV2534">
        <v>14</v>
      </c>
      <c r="AW2534">
        <v>45</v>
      </c>
      <c r="AX2534">
        <v>9</v>
      </c>
      <c r="AY2534">
        <v>40</v>
      </c>
      <c r="AZ2534">
        <v>8</v>
      </c>
      <c r="BA2534" t="s">
        <v>10225</v>
      </c>
      <c r="BB2534" t="s">
        <v>10226</v>
      </c>
      <c r="BC2534">
        <v>0</v>
      </c>
      <c r="BD2534" t="s">
        <v>65</v>
      </c>
      <c r="BE2534">
        <v>85</v>
      </c>
      <c r="BF2534">
        <v>17</v>
      </c>
      <c r="BG2534" t="s">
        <v>10227</v>
      </c>
      <c r="BH2534" t="s">
        <v>10228</v>
      </c>
      <c r="BI2534" t="s">
        <v>10229</v>
      </c>
      <c r="BJ2534">
        <v>7.689E-2</v>
      </c>
      <c r="BK2534">
        <v>1</v>
      </c>
      <c r="BL2534" t="s">
        <v>69</v>
      </c>
      <c r="BM2534">
        <v>-0.84399999999999997</v>
      </c>
      <c r="BN2534">
        <v>-0.995</v>
      </c>
    </row>
    <row r="2535" spans="10:66">
      <c r="J2535">
        <v>0</v>
      </c>
      <c r="K2535">
        <v>0</v>
      </c>
      <c r="L2535">
        <v>0</v>
      </c>
      <c r="M2535" t="s">
        <v>25022</v>
      </c>
      <c r="N2535">
        <v>1633</v>
      </c>
      <c r="O2535" t="s">
        <v>10230</v>
      </c>
      <c r="P2535" t="s">
        <v>57</v>
      </c>
      <c r="Q2535">
        <v>1646512</v>
      </c>
      <c r="R2535">
        <v>1646991</v>
      </c>
      <c r="S2535" t="s">
        <v>10231</v>
      </c>
      <c r="T2535">
        <v>160</v>
      </c>
      <c r="U2535" t="s">
        <v>289</v>
      </c>
      <c r="V2535">
        <v>46</v>
      </c>
      <c r="W2535" t="str">
        <f>HYPERLINK("Gene1633-zp_tree_all.dnd", "Gene1633-tree")</f>
        <v>Gene1633-tree</v>
      </c>
      <c r="X2535">
        <v>9</v>
      </c>
      <c r="Y2535">
        <v>5</v>
      </c>
      <c r="Z2535">
        <v>9</v>
      </c>
      <c r="AA2535">
        <v>5</v>
      </c>
      <c r="AB2535">
        <v>0.35714000000000001</v>
      </c>
      <c r="AC2535" t="s">
        <v>135</v>
      </c>
      <c r="AD2535" t="s">
        <v>199</v>
      </c>
      <c r="AE2535" t="s">
        <v>62</v>
      </c>
      <c r="AF2535" t="s">
        <v>62</v>
      </c>
      <c r="AG2535">
        <v>0</v>
      </c>
      <c r="AH2535">
        <v>0</v>
      </c>
      <c r="AI2535">
        <v>10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7</v>
      </c>
      <c r="AT2535">
        <v>0</v>
      </c>
      <c r="AU2535">
        <v>13</v>
      </c>
      <c r="AV2535">
        <v>6</v>
      </c>
      <c r="AW2535">
        <v>21</v>
      </c>
      <c r="AX2535">
        <v>7</v>
      </c>
      <c r="AY2535">
        <v>21</v>
      </c>
      <c r="AZ2535">
        <v>4</v>
      </c>
      <c r="BA2535" t="s">
        <v>10232</v>
      </c>
      <c r="BB2535" t="s">
        <v>10233</v>
      </c>
      <c r="BC2535">
        <v>0.34</v>
      </c>
      <c r="BD2535" t="s">
        <v>65</v>
      </c>
      <c r="BE2535">
        <v>42</v>
      </c>
      <c r="BF2535">
        <v>11</v>
      </c>
      <c r="BG2535" t="s">
        <v>10234</v>
      </c>
      <c r="BH2535" t="s">
        <v>10235</v>
      </c>
      <c r="BI2535" t="s">
        <v>10236</v>
      </c>
      <c r="BJ2535">
        <v>7.3980000000000004E-2</v>
      </c>
      <c r="BK2535">
        <v>1</v>
      </c>
      <c r="BL2535" t="s">
        <v>69</v>
      </c>
      <c r="BM2535">
        <v>-1.2689999999999999</v>
      </c>
      <c r="BN2535">
        <v>-0.69199999999999995</v>
      </c>
    </row>
    <row r="2536" spans="10:66">
      <c r="J2536">
        <v>0</v>
      </c>
      <c r="K2536">
        <v>13</v>
      </c>
      <c r="L2536">
        <v>0</v>
      </c>
      <c r="M2536" t="s">
        <v>25022</v>
      </c>
      <c r="N2536">
        <v>1634</v>
      </c>
      <c r="O2536" t="s">
        <v>10237</v>
      </c>
      <c r="P2536" t="s">
        <v>57</v>
      </c>
      <c r="Q2536">
        <v>1646999</v>
      </c>
      <c r="R2536">
        <v>1647949</v>
      </c>
      <c r="S2536" t="s">
        <v>10238</v>
      </c>
      <c r="T2536">
        <v>317</v>
      </c>
      <c r="U2536" t="s">
        <v>108</v>
      </c>
      <c r="V2536">
        <v>44</v>
      </c>
      <c r="W2536" t="str">
        <f>HYPERLINK("Gene1634-zp_tree_all.dnd", "Gene1634-tree")</f>
        <v>Gene1634-tree</v>
      </c>
      <c r="X2536">
        <v>2</v>
      </c>
      <c r="Y2536">
        <v>11</v>
      </c>
      <c r="Z2536">
        <v>2</v>
      </c>
      <c r="AA2536">
        <v>11</v>
      </c>
      <c r="AB2536">
        <v>0.84614999999999996</v>
      </c>
      <c r="AC2536" t="s">
        <v>81</v>
      </c>
      <c r="AD2536" t="s">
        <v>73</v>
      </c>
      <c r="AE2536">
        <v>515075683.63</v>
      </c>
      <c r="AF2536" t="s">
        <v>267</v>
      </c>
      <c r="AG2536">
        <v>5</v>
      </c>
      <c r="AH2536">
        <v>13</v>
      </c>
      <c r="AI2536">
        <v>9</v>
      </c>
      <c r="AJ2536">
        <v>0.59091000000000005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6</v>
      </c>
      <c r="AQ2536">
        <v>0</v>
      </c>
      <c r="AR2536">
        <v>6</v>
      </c>
      <c r="AS2536">
        <v>8</v>
      </c>
      <c r="AT2536">
        <v>0.42857000000000001</v>
      </c>
      <c r="AU2536">
        <v>10</v>
      </c>
      <c r="AV2536">
        <v>9</v>
      </c>
      <c r="AW2536">
        <v>69</v>
      </c>
      <c r="AX2536">
        <v>8</v>
      </c>
      <c r="AY2536">
        <v>46</v>
      </c>
      <c r="AZ2536">
        <v>14</v>
      </c>
      <c r="BA2536" t="s">
        <v>10239</v>
      </c>
      <c r="BB2536" t="s">
        <v>10240</v>
      </c>
      <c r="BC2536">
        <v>3.2069999999999999</v>
      </c>
      <c r="BD2536" t="s">
        <v>65</v>
      </c>
      <c r="BE2536">
        <v>115</v>
      </c>
      <c r="BF2536">
        <v>22</v>
      </c>
      <c r="BG2536" t="s">
        <v>10241</v>
      </c>
      <c r="BH2536" t="s">
        <v>10242</v>
      </c>
      <c r="BI2536" t="s">
        <v>10243</v>
      </c>
      <c r="BJ2536">
        <v>6.7900000000000002E-2</v>
      </c>
      <c r="BK2536">
        <v>1</v>
      </c>
      <c r="BL2536" t="s">
        <v>69</v>
      </c>
      <c r="BM2536">
        <v>0.99199999999999999</v>
      </c>
      <c r="BN2536">
        <v>0.46700000000000003</v>
      </c>
    </row>
    <row r="2537" spans="10:66">
      <c r="J2537">
        <v>0</v>
      </c>
      <c r="K2537">
        <v>4</v>
      </c>
      <c r="L2537">
        <v>0</v>
      </c>
      <c r="M2537" t="s">
        <v>25022</v>
      </c>
      <c r="N2537">
        <v>1635</v>
      </c>
      <c r="O2537" t="s">
        <v>10244</v>
      </c>
      <c r="P2537" t="s">
        <v>57</v>
      </c>
      <c r="Q2537">
        <v>1647939</v>
      </c>
      <c r="R2537">
        <v>1649279</v>
      </c>
      <c r="S2537" t="s">
        <v>10245</v>
      </c>
      <c r="T2537">
        <v>447</v>
      </c>
      <c r="U2537" t="s">
        <v>108</v>
      </c>
      <c r="V2537">
        <v>44</v>
      </c>
      <c r="W2537" t="str">
        <f>HYPERLINK("Gene1635-zp_tree_all.dnd", "Gene1635-tree")</f>
        <v>Gene1635-tree</v>
      </c>
      <c r="X2537">
        <v>6</v>
      </c>
      <c r="Y2537">
        <v>27</v>
      </c>
      <c r="Z2537">
        <v>6</v>
      </c>
      <c r="AA2537">
        <v>8</v>
      </c>
      <c r="AB2537">
        <v>0.57142999999999999</v>
      </c>
      <c r="AC2537" t="s">
        <v>90</v>
      </c>
      <c r="AD2537" t="s">
        <v>282</v>
      </c>
      <c r="AE2537">
        <v>3.2989999999999999</v>
      </c>
      <c r="AF2537" t="s">
        <v>65</v>
      </c>
      <c r="AG2537">
        <v>2</v>
      </c>
      <c r="AH2537">
        <v>4</v>
      </c>
      <c r="AI2537">
        <v>11</v>
      </c>
      <c r="AJ2537">
        <v>0.26667000000000002</v>
      </c>
      <c r="AK2537">
        <v>0</v>
      </c>
      <c r="AL2537">
        <v>0</v>
      </c>
      <c r="AM2537">
        <v>0</v>
      </c>
      <c r="AN2537">
        <v>2</v>
      </c>
      <c r="AO2537">
        <v>0</v>
      </c>
      <c r="AP2537">
        <v>0</v>
      </c>
      <c r="AQ2537">
        <v>0</v>
      </c>
      <c r="AR2537">
        <v>0</v>
      </c>
      <c r="AS2537">
        <v>9</v>
      </c>
      <c r="AT2537">
        <v>0</v>
      </c>
      <c r="AU2537">
        <v>12</v>
      </c>
      <c r="AV2537">
        <v>9</v>
      </c>
      <c r="AW2537">
        <v>28</v>
      </c>
      <c r="AX2537">
        <v>9</v>
      </c>
      <c r="AY2537">
        <v>47</v>
      </c>
      <c r="AZ2537">
        <v>6</v>
      </c>
      <c r="BA2537" t="s">
        <v>10246</v>
      </c>
      <c r="BB2537" t="s">
        <v>10247</v>
      </c>
      <c r="BC2537">
        <v>1.3819999999999999</v>
      </c>
      <c r="BD2537" t="s">
        <v>65</v>
      </c>
      <c r="BE2537">
        <v>75</v>
      </c>
      <c r="BF2537">
        <v>15</v>
      </c>
      <c r="BG2537" t="s">
        <v>10248</v>
      </c>
      <c r="BH2537" t="s">
        <v>10249</v>
      </c>
      <c r="BI2537" t="s">
        <v>10250</v>
      </c>
      <c r="BJ2537">
        <v>5.4679999999999999E-2</v>
      </c>
      <c r="BK2537">
        <v>1</v>
      </c>
      <c r="BL2537" t="s">
        <v>69</v>
      </c>
      <c r="BM2537">
        <v>-0.27300000000000002</v>
      </c>
      <c r="BN2537">
        <v>0.216</v>
      </c>
    </row>
    <row r="2538" spans="10:66">
      <c r="J2538">
        <v>0</v>
      </c>
      <c r="K2538">
        <v>0</v>
      </c>
      <c r="L2538">
        <v>0</v>
      </c>
      <c r="M2538" t="s">
        <v>25022</v>
      </c>
      <c r="N2538">
        <v>1636</v>
      </c>
      <c r="O2538" t="s">
        <v>10251</v>
      </c>
      <c r="P2538" t="s">
        <v>57</v>
      </c>
      <c r="Q2538">
        <v>1649286</v>
      </c>
      <c r="R2538">
        <v>1650374</v>
      </c>
      <c r="S2538" t="s">
        <v>10252</v>
      </c>
      <c r="T2538">
        <v>363</v>
      </c>
      <c r="U2538" t="s">
        <v>465</v>
      </c>
      <c r="V2538">
        <v>46</v>
      </c>
      <c r="W2538" t="str">
        <f>HYPERLINK("Gene1636-zp_tree_all.dnd", "Gene1636-tree")</f>
        <v>Gene1636-tree</v>
      </c>
      <c r="X2538">
        <v>13</v>
      </c>
      <c r="Y2538">
        <v>3</v>
      </c>
      <c r="Z2538">
        <v>13</v>
      </c>
      <c r="AA2538">
        <v>3</v>
      </c>
      <c r="AB2538">
        <v>0.1875</v>
      </c>
      <c r="AC2538" t="s">
        <v>507</v>
      </c>
      <c r="AD2538" t="s">
        <v>324</v>
      </c>
      <c r="AE2538" t="s">
        <v>62</v>
      </c>
      <c r="AF2538" t="s">
        <v>62</v>
      </c>
      <c r="AG2538">
        <v>0</v>
      </c>
      <c r="AH2538">
        <v>0</v>
      </c>
      <c r="AI2538">
        <v>12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4</v>
      </c>
      <c r="AT2538">
        <v>0</v>
      </c>
      <c r="AU2538">
        <v>13</v>
      </c>
      <c r="AV2538">
        <v>11</v>
      </c>
      <c r="AW2538">
        <v>28</v>
      </c>
      <c r="AX2538">
        <v>4</v>
      </c>
      <c r="AY2538">
        <v>60</v>
      </c>
      <c r="AZ2538">
        <v>8</v>
      </c>
      <c r="BA2538" t="s">
        <v>10253</v>
      </c>
      <c r="BB2538" t="s">
        <v>10254</v>
      </c>
      <c r="BC2538">
        <v>4.3999999999999997E-2</v>
      </c>
      <c r="BD2538" t="s">
        <v>65</v>
      </c>
      <c r="BE2538">
        <v>88</v>
      </c>
      <c r="BF2538">
        <v>12</v>
      </c>
      <c r="BG2538" t="s">
        <v>10255</v>
      </c>
      <c r="BH2538" t="s">
        <v>10256</v>
      </c>
      <c r="BI2538" t="s">
        <v>10257</v>
      </c>
      <c r="BJ2538">
        <v>3.7859999999999998E-2</v>
      </c>
      <c r="BK2538">
        <v>1</v>
      </c>
      <c r="BL2538" t="s">
        <v>69</v>
      </c>
      <c r="BM2538">
        <v>-1.0940000000000001</v>
      </c>
      <c r="BN2538">
        <v>0.53900000000000003</v>
      </c>
    </row>
    <row r="2539" spans="10:66">
      <c r="J2539">
        <v>0</v>
      </c>
      <c r="K2539">
        <v>2</v>
      </c>
      <c r="L2539">
        <v>0</v>
      </c>
      <c r="M2539" t="s">
        <v>25022</v>
      </c>
      <c r="N2539">
        <v>1637</v>
      </c>
      <c r="O2539" t="s">
        <v>10258</v>
      </c>
      <c r="P2539" t="s">
        <v>57</v>
      </c>
      <c r="Q2539">
        <v>1650384</v>
      </c>
      <c r="R2539">
        <v>1651145</v>
      </c>
      <c r="S2539" t="s">
        <v>10259</v>
      </c>
      <c r="T2539">
        <v>254</v>
      </c>
      <c r="U2539" t="s">
        <v>394</v>
      </c>
      <c r="V2539">
        <v>48</v>
      </c>
      <c r="W2539" t="str">
        <f>HYPERLINK("Gene1637-zp_tree_all.dnd", "Gene1637-tree")</f>
        <v>Gene1637-tree</v>
      </c>
      <c r="X2539">
        <v>8</v>
      </c>
      <c r="Y2539">
        <v>6</v>
      </c>
      <c r="Z2539">
        <v>8</v>
      </c>
      <c r="AA2539">
        <v>6</v>
      </c>
      <c r="AB2539">
        <v>0.42857000000000001</v>
      </c>
      <c r="AC2539" t="s">
        <v>136</v>
      </c>
      <c r="AD2539" t="s">
        <v>90</v>
      </c>
      <c r="AE2539" t="s">
        <v>62</v>
      </c>
      <c r="AF2539" t="s">
        <v>62</v>
      </c>
      <c r="AG2539">
        <v>1</v>
      </c>
      <c r="AH2539">
        <v>2</v>
      </c>
      <c r="AI2539">
        <v>14</v>
      </c>
      <c r="AJ2539">
        <v>0.125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2</v>
      </c>
      <c r="AQ2539">
        <v>0</v>
      </c>
      <c r="AR2539">
        <v>2</v>
      </c>
      <c r="AS2539">
        <v>5</v>
      </c>
      <c r="AT2539">
        <v>0.28571000000000002</v>
      </c>
      <c r="AU2539">
        <v>11</v>
      </c>
      <c r="AV2539">
        <v>10</v>
      </c>
      <c r="AW2539">
        <v>39</v>
      </c>
      <c r="AX2539">
        <v>5</v>
      </c>
      <c r="AY2539">
        <v>32</v>
      </c>
      <c r="AZ2539">
        <v>12</v>
      </c>
      <c r="BA2539" t="s">
        <v>10260</v>
      </c>
      <c r="BB2539" t="s">
        <v>10261</v>
      </c>
      <c r="BC2539">
        <v>0.628</v>
      </c>
      <c r="BD2539" t="s">
        <v>65</v>
      </c>
      <c r="BE2539">
        <v>71</v>
      </c>
      <c r="BF2539">
        <v>17</v>
      </c>
      <c r="BG2539" t="s">
        <v>10262</v>
      </c>
      <c r="BH2539" t="s">
        <v>10263</v>
      </c>
      <c r="BI2539" t="s">
        <v>10264</v>
      </c>
      <c r="BJ2539">
        <v>9.851E-2</v>
      </c>
      <c r="BK2539">
        <v>1</v>
      </c>
      <c r="BL2539" t="s">
        <v>69</v>
      </c>
      <c r="BM2539">
        <v>-1.1000000000000001</v>
      </c>
      <c r="BN2539">
        <v>-1.04</v>
      </c>
    </row>
    <row r="2540" spans="10:66">
      <c r="J2540">
        <v>0</v>
      </c>
      <c r="K2540">
        <v>0</v>
      </c>
      <c r="L2540">
        <v>0</v>
      </c>
      <c r="M2540" t="s">
        <v>25022</v>
      </c>
      <c r="N2540">
        <v>1638</v>
      </c>
      <c r="O2540" t="s">
        <v>10265</v>
      </c>
      <c r="P2540" t="s">
        <v>57</v>
      </c>
      <c r="Q2540">
        <v>1651142</v>
      </c>
      <c r="R2540">
        <v>1653085</v>
      </c>
      <c r="S2540" t="s">
        <v>10266</v>
      </c>
      <c r="T2540">
        <v>648</v>
      </c>
      <c r="U2540" t="s">
        <v>108</v>
      </c>
      <c r="V2540">
        <v>44</v>
      </c>
      <c r="W2540" t="str">
        <f>HYPERLINK("Gene1638-zp_tree_all.dnd", "Gene1638-tree")</f>
        <v>Gene1638-tree</v>
      </c>
      <c r="X2540">
        <v>10</v>
      </c>
      <c r="Y2540">
        <v>5</v>
      </c>
      <c r="Z2540">
        <v>10</v>
      </c>
      <c r="AA2540">
        <v>5</v>
      </c>
      <c r="AB2540">
        <v>0.33333000000000002</v>
      </c>
      <c r="AC2540" t="s">
        <v>117</v>
      </c>
      <c r="AD2540" t="s">
        <v>199</v>
      </c>
      <c r="AE2540" t="s">
        <v>62</v>
      </c>
      <c r="AF2540" t="s">
        <v>62</v>
      </c>
      <c r="AG2540">
        <v>0</v>
      </c>
      <c r="AH2540">
        <v>0</v>
      </c>
      <c r="AI2540">
        <v>10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6</v>
      </c>
      <c r="AT2540">
        <v>0</v>
      </c>
      <c r="AU2540">
        <v>14</v>
      </c>
      <c r="AV2540">
        <v>10</v>
      </c>
      <c r="AW2540">
        <v>32</v>
      </c>
      <c r="AX2540">
        <v>5</v>
      </c>
      <c r="AY2540">
        <v>33</v>
      </c>
      <c r="AZ2540">
        <v>5</v>
      </c>
      <c r="BA2540" t="s">
        <v>10267</v>
      </c>
      <c r="BB2540" t="s">
        <v>10268</v>
      </c>
      <c r="BC2540">
        <v>3.1E-2</v>
      </c>
      <c r="BD2540" t="s">
        <v>65</v>
      </c>
      <c r="BE2540">
        <v>65</v>
      </c>
      <c r="BF2540">
        <v>10</v>
      </c>
      <c r="BG2540" t="s">
        <v>10269</v>
      </c>
      <c r="BH2540" t="s">
        <v>10270</v>
      </c>
      <c r="BI2540" t="s">
        <v>10271</v>
      </c>
      <c r="BJ2540">
        <v>4.8090000000000001E-2</v>
      </c>
      <c r="BK2540">
        <v>1</v>
      </c>
      <c r="BL2540" t="s">
        <v>69</v>
      </c>
      <c r="BM2540">
        <v>-0.90700000000000003</v>
      </c>
      <c r="BN2540">
        <v>-0.78600000000000003</v>
      </c>
    </row>
    <row r="2541" spans="10:66">
      <c r="J2541">
        <v>0</v>
      </c>
      <c r="K2541">
        <v>6</v>
      </c>
      <c r="L2541">
        <v>2</v>
      </c>
      <c r="M2541" t="s">
        <v>25022</v>
      </c>
      <c r="N2541">
        <v>1639</v>
      </c>
      <c r="O2541" t="s">
        <v>10272</v>
      </c>
      <c r="P2541" t="s">
        <v>57</v>
      </c>
      <c r="Q2541">
        <v>1653103</v>
      </c>
      <c r="R2541">
        <v>1653996</v>
      </c>
      <c r="S2541" t="s">
        <v>10273</v>
      </c>
      <c r="T2541">
        <v>298</v>
      </c>
      <c r="U2541" t="s">
        <v>698</v>
      </c>
      <c r="V2541">
        <v>47</v>
      </c>
      <c r="W2541" t="str">
        <f>HYPERLINK("Gene1639-zp_tree_all.dnd", "Gene1639-tree")</f>
        <v>Gene1639-tree</v>
      </c>
      <c r="X2541">
        <v>8</v>
      </c>
      <c r="Y2541">
        <v>8</v>
      </c>
      <c r="Z2541">
        <v>8</v>
      </c>
      <c r="AA2541">
        <v>8</v>
      </c>
      <c r="AB2541">
        <v>0.5</v>
      </c>
      <c r="AC2541" t="s">
        <v>136</v>
      </c>
      <c r="AD2541" t="s">
        <v>136</v>
      </c>
      <c r="AE2541" t="s">
        <v>62</v>
      </c>
      <c r="AF2541" t="s">
        <v>62</v>
      </c>
      <c r="AG2541">
        <v>3</v>
      </c>
      <c r="AH2541">
        <v>8</v>
      </c>
      <c r="AI2541">
        <v>10</v>
      </c>
      <c r="AJ2541">
        <v>0.44444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3</v>
      </c>
      <c r="AQ2541">
        <v>0</v>
      </c>
      <c r="AR2541">
        <v>3</v>
      </c>
      <c r="AS2541">
        <v>8</v>
      </c>
      <c r="AT2541">
        <v>0.27272999999999997</v>
      </c>
      <c r="AU2541">
        <v>11</v>
      </c>
      <c r="AV2541">
        <v>13</v>
      </c>
      <c r="AW2541">
        <v>25</v>
      </c>
      <c r="AX2541">
        <v>10</v>
      </c>
      <c r="AY2541">
        <v>56</v>
      </c>
      <c r="AZ2541">
        <v>8</v>
      </c>
      <c r="BA2541" t="s">
        <v>10274</v>
      </c>
      <c r="BB2541" t="s">
        <v>10275</v>
      </c>
      <c r="BC2541">
        <v>0.746</v>
      </c>
      <c r="BD2541" t="s">
        <v>65</v>
      </c>
      <c r="BE2541">
        <v>81</v>
      </c>
      <c r="BF2541">
        <v>18</v>
      </c>
      <c r="BG2541" t="s">
        <v>10276</v>
      </c>
      <c r="BH2541" t="s">
        <v>10277</v>
      </c>
      <c r="BI2541" t="s">
        <v>10278</v>
      </c>
      <c r="BJ2541">
        <v>4.7120000000000002E-2</v>
      </c>
      <c r="BK2541">
        <v>1</v>
      </c>
      <c r="BL2541" t="s">
        <v>69</v>
      </c>
      <c r="BM2541">
        <v>-1.1379999999999999</v>
      </c>
      <c r="BN2541">
        <v>-0.224</v>
      </c>
    </row>
    <row r="2542" spans="10:66">
      <c r="J2542">
        <v>0</v>
      </c>
      <c r="K2542">
        <v>2</v>
      </c>
      <c r="L2542">
        <v>0</v>
      </c>
      <c r="M2542" t="s">
        <v>25022</v>
      </c>
      <c r="N2542">
        <v>1640</v>
      </c>
      <c r="O2542" t="s">
        <v>10279</v>
      </c>
      <c r="P2542" t="s">
        <v>57</v>
      </c>
      <c r="Q2542">
        <v>1654004</v>
      </c>
      <c r="R2542">
        <v>1654654</v>
      </c>
      <c r="S2542" t="s">
        <v>10280</v>
      </c>
      <c r="T2542">
        <v>217</v>
      </c>
      <c r="U2542" t="s">
        <v>160</v>
      </c>
      <c r="V2542">
        <v>45</v>
      </c>
      <c r="W2542" t="str">
        <f>HYPERLINK("Gene1640-zp_tree_all.dnd", "Gene1640-tree")</f>
        <v>Gene1640-tree</v>
      </c>
      <c r="X2542">
        <v>29</v>
      </c>
      <c r="Y2542">
        <v>4</v>
      </c>
      <c r="Z2542">
        <v>8</v>
      </c>
      <c r="AA2542">
        <v>4</v>
      </c>
      <c r="AB2542">
        <v>0.33333000000000002</v>
      </c>
      <c r="AC2542" t="s">
        <v>4745</v>
      </c>
      <c r="AD2542" t="s">
        <v>61</v>
      </c>
      <c r="AE2542" t="s">
        <v>62</v>
      </c>
      <c r="AF2542" t="s">
        <v>62</v>
      </c>
      <c r="AG2542">
        <v>1</v>
      </c>
      <c r="AH2542">
        <v>2</v>
      </c>
      <c r="AI2542">
        <v>9</v>
      </c>
      <c r="AJ2542">
        <v>0.18182000000000001</v>
      </c>
      <c r="AK2542">
        <v>0</v>
      </c>
      <c r="AL2542">
        <v>0</v>
      </c>
      <c r="AM2542">
        <v>0</v>
      </c>
      <c r="AN2542">
        <v>2</v>
      </c>
      <c r="AO2542">
        <v>0</v>
      </c>
      <c r="AP2542">
        <v>0</v>
      </c>
      <c r="AQ2542">
        <v>0</v>
      </c>
      <c r="AR2542">
        <v>0</v>
      </c>
      <c r="AS2542">
        <v>8</v>
      </c>
      <c r="AT2542">
        <v>0</v>
      </c>
      <c r="AU2542">
        <v>8</v>
      </c>
      <c r="AV2542">
        <v>8</v>
      </c>
      <c r="AW2542">
        <v>32</v>
      </c>
      <c r="AX2542">
        <v>8</v>
      </c>
      <c r="AY2542">
        <v>14</v>
      </c>
      <c r="AZ2542">
        <v>3</v>
      </c>
      <c r="BA2542" t="s">
        <v>10281</v>
      </c>
      <c r="BB2542" t="s">
        <v>10282</v>
      </c>
      <c r="BC2542">
        <v>4.1000000000000002E-2</v>
      </c>
      <c r="BD2542" t="s">
        <v>65</v>
      </c>
      <c r="BE2542">
        <v>46</v>
      </c>
      <c r="BF2542">
        <v>11</v>
      </c>
      <c r="BG2542" t="s">
        <v>10283</v>
      </c>
      <c r="BH2542" t="s">
        <v>10284</v>
      </c>
      <c r="BI2542" t="s">
        <v>10285</v>
      </c>
      <c r="BJ2542">
        <v>6.7879999999999996E-2</v>
      </c>
      <c r="BK2542">
        <v>1</v>
      </c>
      <c r="BL2542" t="s">
        <v>69</v>
      </c>
      <c r="BM2542">
        <v>-1.484</v>
      </c>
      <c r="BN2542">
        <v>-3.2970000000000002</v>
      </c>
    </row>
    <row r="2543" spans="10:66">
      <c r="J2543">
        <v>0</v>
      </c>
      <c r="K2543">
        <v>0</v>
      </c>
      <c r="L2543">
        <v>2</v>
      </c>
      <c r="M2543" t="s">
        <v>25022</v>
      </c>
      <c r="N2543">
        <v>1641</v>
      </c>
      <c r="O2543" t="s">
        <v>10286</v>
      </c>
      <c r="P2543" t="s">
        <v>57</v>
      </c>
      <c r="Q2543">
        <v>1654730</v>
      </c>
      <c r="R2543">
        <v>1655371</v>
      </c>
      <c r="S2543" t="s">
        <v>10287</v>
      </c>
      <c r="T2543">
        <v>214</v>
      </c>
      <c r="U2543" t="s">
        <v>160</v>
      </c>
      <c r="V2543">
        <v>45</v>
      </c>
      <c r="W2543" t="str">
        <f>HYPERLINK("Gene1641-zp_tree_all.dnd", "Gene1641-tree")</f>
        <v>Gene1641-tree</v>
      </c>
      <c r="X2543">
        <v>2</v>
      </c>
      <c r="Y2543">
        <v>30</v>
      </c>
      <c r="Z2543">
        <v>2</v>
      </c>
      <c r="AA2543">
        <v>7</v>
      </c>
      <c r="AB2543">
        <v>0.77778000000000003</v>
      </c>
      <c r="AC2543" t="s">
        <v>81</v>
      </c>
      <c r="AD2543" t="s">
        <v>5684</v>
      </c>
      <c r="AE2543">
        <v>1.31</v>
      </c>
      <c r="AF2543" t="s">
        <v>65</v>
      </c>
      <c r="AG2543">
        <v>1</v>
      </c>
      <c r="AH2543">
        <v>2</v>
      </c>
      <c r="AI2543">
        <v>12</v>
      </c>
      <c r="AJ2543">
        <v>0.14285999999999999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2</v>
      </c>
      <c r="AR2543">
        <v>2</v>
      </c>
      <c r="AS2543">
        <v>12</v>
      </c>
      <c r="AT2543">
        <v>0.14285999999999999</v>
      </c>
      <c r="AU2543">
        <v>7</v>
      </c>
      <c r="AV2543">
        <v>3</v>
      </c>
      <c r="AW2543">
        <v>23</v>
      </c>
      <c r="AX2543">
        <v>14</v>
      </c>
      <c r="AY2543">
        <v>5</v>
      </c>
      <c r="AZ2543">
        <v>1</v>
      </c>
      <c r="BA2543" t="s">
        <v>10288</v>
      </c>
      <c r="BB2543" t="s">
        <v>10289</v>
      </c>
      <c r="BC2543">
        <v>0.23699999999999999</v>
      </c>
      <c r="BD2543" t="s">
        <v>65</v>
      </c>
      <c r="BE2543">
        <v>28</v>
      </c>
      <c r="BF2543">
        <v>15</v>
      </c>
      <c r="BG2543" t="s">
        <v>10290</v>
      </c>
      <c r="BH2543" t="s">
        <v>10291</v>
      </c>
      <c r="BI2543" t="s">
        <v>10292</v>
      </c>
      <c r="BJ2543">
        <v>0.13292000000000001</v>
      </c>
      <c r="BK2543">
        <v>1</v>
      </c>
      <c r="BL2543" t="s">
        <v>69</v>
      </c>
      <c r="BM2543">
        <v>-2.254</v>
      </c>
      <c r="BN2543">
        <v>-4.8810000000000002</v>
      </c>
    </row>
    <row r="2544" spans="10:66">
      <c r="J2544">
        <v>0</v>
      </c>
      <c r="K2544">
        <v>0</v>
      </c>
      <c r="L2544">
        <v>0</v>
      </c>
      <c r="M2544" t="s">
        <v>25022</v>
      </c>
      <c r="N2544">
        <v>1644</v>
      </c>
      <c r="O2544" t="s">
        <v>10293</v>
      </c>
      <c r="P2544" t="s">
        <v>57</v>
      </c>
      <c r="Q2544">
        <v>1656064</v>
      </c>
      <c r="R2544">
        <v>1656423</v>
      </c>
      <c r="S2544" t="s">
        <v>10294</v>
      </c>
      <c r="T2544">
        <v>120</v>
      </c>
      <c r="U2544" t="s">
        <v>59</v>
      </c>
      <c r="V2544">
        <v>49</v>
      </c>
      <c r="W2544" t="str">
        <f>HYPERLINK("Gene1644-zp_tree_all.dnd", "Gene1644-tree")</f>
        <v>Gene1644-tree</v>
      </c>
      <c r="X2544">
        <v>9</v>
      </c>
      <c r="Y2544">
        <v>0</v>
      </c>
      <c r="Z2544">
        <v>9</v>
      </c>
      <c r="AA2544">
        <v>0</v>
      </c>
      <c r="AB2544">
        <v>0</v>
      </c>
      <c r="AC2544" t="s">
        <v>135</v>
      </c>
      <c r="AD2544" t="s">
        <v>62</v>
      </c>
      <c r="AE2544" t="s">
        <v>62</v>
      </c>
      <c r="AF2544" t="s">
        <v>62</v>
      </c>
      <c r="AG2544">
        <v>0</v>
      </c>
      <c r="AH2544">
        <v>0</v>
      </c>
      <c r="AI2544">
        <v>2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6</v>
      </c>
      <c r="AV2544">
        <v>4</v>
      </c>
      <c r="AW2544">
        <v>9</v>
      </c>
      <c r="AX2544">
        <v>0</v>
      </c>
      <c r="AY2544">
        <v>10</v>
      </c>
      <c r="AZ2544">
        <v>2</v>
      </c>
      <c r="BA2544" t="s">
        <v>193</v>
      </c>
      <c r="BB2544" t="s">
        <v>10295</v>
      </c>
      <c r="BC2544">
        <v>1.6579999999999999</v>
      </c>
      <c r="BD2544" t="s">
        <v>65</v>
      </c>
      <c r="BE2544">
        <v>19</v>
      </c>
      <c r="BF2544">
        <v>2</v>
      </c>
      <c r="BG2544" t="s">
        <v>10296</v>
      </c>
      <c r="BH2544" t="s">
        <v>10297</v>
      </c>
      <c r="BI2544" t="s">
        <v>10298</v>
      </c>
      <c r="BJ2544">
        <v>4.4179999999999997E-2</v>
      </c>
      <c r="BK2544">
        <v>1</v>
      </c>
      <c r="BL2544" t="s">
        <v>69</v>
      </c>
      <c r="BM2544">
        <v>-1.218</v>
      </c>
      <c r="BN2544">
        <v>0.51700000000000002</v>
      </c>
    </row>
    <row r="2545" spans="10:66">
      <c r="J2545">
        <v>0</v>
      </c>
      <c r="K2545">
        <v>5</v>
      </c>
      <c r="L2545">
        <v>2</v>
      </c>
      <c r="M2545" t="s">
        <v>25022</v>
      </c>
      <c r="N2545">
        <v>1645</v>
      </c>
      <c r="O2545" t="s">
        <v>10299</v>
      </c>
      <c r="P2545" t="s">
        <v>57</v>
      </c>
      <c r="Q2545">
        <v>1656442</v>
      </c>
      <c r="R2545">
        <v>1658100</v>
      </c>
      <c r="S2545" t="s">
        <v>10300</v>
      </c>
      <c r="T2545">
        <v>553</v>
      </c>
      <c r="U2545" t="s">
        <v>108</v>
      </c>
      <c r="V2545">
        <v>44</v>
      </c>
      <c r="W2545" t="str">
        <f>HYPERLINK("Gene1645-zp_tree_all.dnd", "Gene1645-tree")</f>
        <v>Gene1645-tree</v>
      </c>
      <c r="X2545">
        <v>10</v>
      </c>
      <c r="Y2545">
        <v>5</v>
      </c>
      <c r="Z2545">
        <v>10</v>
      </c>
      <c r="AA2545">
        <v>5</v>
      </c>
      <c r="AB2545">
        <v>0.33333000000000002</v>
      </c>
      <c r="AC2545" t="s">
        <v>117</v>
      </c>
      <c r="AD2545" t="s">
        <v>199</v>
      </c>
      <c r="AE2545" t="s">
        <v>62</v>
      </c>
      <c r="AF2545" t="s">
        <v>62</v>
      </c>
      <c r="AG2545">
        <v>3</v>
      </c>
      <c r="AH2545">
        <v>7</v>
      </c>
      <c r="AI2545">
        <v>6</v>
      </c>
      <c r="AJ2545">
        <v>0.53846000000000005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2</v>
      </c>
      <c r="AR2545">
        <v>2</v>
      </c>
      <c r="AS2545">
        <v>5</v>
      </c>
      <c r="AT2545">
        <v>0.28571000000000002</v>
      </c>
      <c r="AU2545">
        <v>13</v>
      </c>
      <c r="AV2545">
        <v>10</v>
      </c>
      <c r="AW2545">
        <v>33</v>
      </c>
      <c r="AX2545">
        <v>7</v>
      </c>
      <c r="AY2545">
        <v>18</v>
      </c>
      <c r="AZ2545">
        <v>6</v>
      </c>
      <c r="BA2545" t="s">
        <v>10301</v>
      </c>
      <c r="BB2545" t="s">
        <v>10302</v>
      </c>
      <c r="BC2545">
        <v>0.53600000000000003</v>
      </c>
      <c r="BD2545" t="s">
        <v>65</v>
      </c>
      <c r="BE2545">
        <v>51</v>
      </c>
      <c r="BF2545">
        <v>13</v>
      </c>
      <c r="BG2545" t="s">
        <v>10303</v>
      </c>
      <c r="BH2545" t="s">
        <v>10304</v>
      </c>
      <c r="BI2545" t="s">
        <v>10305</v>
      </c>
      <c r="BJ2545">
        <v>9.6149999999999999E-2</v>
      </c>
      <c r="BK2545">
        <v>1</v>
      </c>
      <c r="BL2545" t="s">
        <v>69</v>
      </c>
      <c r="BM2545">
        <v>-0.44500000000000001</v>
      </c>
      <c r="BN2545">
        <v>-1.831</v>
      </c>
    </row>
    <row r="2546" spans="10:66">
      <c r="J2546">
        <v>0</v>
      </c>
      <c r="K2546">
        <v>0</v>
      </c>
      <c r="L2546">
        <v>4</v>
      </c>
      <c r="M2546" t="s">
        <v>25022</v>
      </c>
      <c r="N2546">
        <v>1646</v>
      </c>
      <c r="O2546" t="s">
        <v>10306</v>
      </c>
      <c r="P2546" t="s">
        <v>57</v>
      </c>
      <c r="Q2546">
        <v>1658242</v>
      </c>
      <c r="R2546">
        <v>1658901</v>
      </c>
      <c r="S2546" t="s">
        <v>10307</v>
      </c>
      <c r="T2546">
        <v>220</v>
      </c>
      <c r="U2546" t="s">
        <v>59</v>
      </c>
      <c r="V2546">
        <v>49</v>
      </c>
      <c r="W2546" t="str">
        <f>HYPERLINK("Gene1646-zp_tree_all.dnd", "Gene1646-tree")</f>
        <v>Gene1646-tree</v>
      </c>
      <c r="X2546">
        <v>10</v>
      </c>
      <c r="Y2546">
        <v>8</v>
      </c>
      <c r="Z2546">
        <v>10</v>
      </c>
      <c r="AA2546">
        <v>8</v>
      </c>
      <c r="AB2546">
        <v>0.44444</v>
      </c>
      <c r="AC2546" t="s">
        <v>117</v>
      </c>
      <c r="AD2546" t="s">
        <v>136</v>
      </c>
      <c r="AE2546" t="s">
        <v>62</v>
      </c>
      <c r="AF2546" t="s">
        <v>62</v>
      </c>
      <c r="AG2546">
        <v>2</v>
      </c>
      <c r="AH2546">
        <v>4</v>
      </c>
      <c r="AI2546">
        <v>10</v>
      </c>
      <c r="AJ2546">
        <v>0.28571000000000002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11</v>
      </c>
      <c r="AT2546">
        <v>0</v>
      </c>
      <c r="AU2546">
        <v>14</v>
      </c>
      <c r="AV2546">
        <v>10</v>
      </c>
      <c r="AW2546">
        <v>25</v>
      </c>
      <c r="AX2546">
        <v>11</v>
      </c>
      <c r="AY2546">
        <v>43</v>
      </c>
      <c r="AZ2546">
        <v>3</v>
      </c>
      <c r="BA2546" t="s">
        <v>10308</v>
      </c>
      <c r="BB2546" t="s">
        <v>10309</v>
      </c>
      <c r="BC2546">
        <v>0.999</v>
      </c>
      <c r="BD2546" t="s">
        <v>65</v>
      </c>
      <c r="BE2546">
        <v>68</v>
      </c>
      <c r="BF2546">
        <v>14</v>
      </c>
      <c r="BG2546" t="s">
        <v>10310</v>
      </c>
      <c r="BH2546" t="s">
        <v>10311</v>
      </c>
      <c r="BI2546" t="s">
        <v>8918</v>
      </c>
      <c r="BJ2546">
        <v>4.0890000000000003E-2</v>
      </c>
      <c r="BK2546">
        <v>1</v>
      </c>
      <c r="BL2546" t="s">
        <v>69</v>
      </c>
      <c r="BM2546">
        <v>-1.681</v>
      </c>
      <c r="BN2546">
        <v>-2.1789999999999998</v>
      </c>
    </row>
    <row r="2547" spans="10:66">
      <c r="J2547">
        <v>0</v>
      </c>
      <c r="K2547">
        <v>0</v>
      </c>
      <c r="L2547">
        <v>0</v>
      </c>
      <c r="M2547" t="s">
        <v>25022</v>
      </c>
      <c r="N2547">
        <v>1647</v>
      </c>
      <c r="O2547" t="s">
        <v>10312</v>
      </c>
      <c r="P2547" t="s">
        <v>57</v>
      </c>
      <c r="Q2547">
        <v>1658930</v>
      </c>
      <c r="R2547">
        <v>1659829</v>
      </c>
      <c r="S2547" t="s">
        <v>10313</v>
      </c>
      <c r="T2547">
        <v>300</v>
      </c>
      <c r="U2547" t="s">
        <v>108</v>
      </c>
      <c r="V2547">
        <v>44</v>
      </c>
      <c r="W2547" t="str">
        <f>HYPERLINK("Gene1647-zp_tree_all.dnd", "Gene1647-tree")</f>
        <v>Gene1647-tree</v>
      </c>
      <c r="X2547">
        <v>13</v>
      </c>
      <c r="Y2547">
        <v>1</v>
      </c>
      <c r="Z2547">
        <v>13</v>
      </c>
      <c r="AA2547">
        <v>1</v>
      </c>
      <c r="AB2547">
        <v>7.1429999999999993E-2</v>
      </c>
      <c r="AC2547" t="s">
        <v>507</v>
      </c>
      <c r="AD2547" t="s">
        <v>175</v>
      </c>
      <c r="AE2547" t="s">
        <v>62</v>
      </c>
      <c r="AF2547" t="s">
        <v>62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12</v>
      </c>
      <c r="AV2547">
        <v>6</v>
      </c>
      <c r="AW2547">
        <v>22</v>
      </c>
      <c r="AX2547">
        <v>1</v>
      </c>
      <c r="AY2547">
        <v>8</v>
      </c>
      <c r="AZ2547">
        <v>0</v>
      </c>
      <c r="BA2547" t="s">
        <v>10314</v>
      </c>
      <c r="BB2547" t="s">
        <v>193</v>
      </c>
      <c r="BC2547">
        <v>0.3</v>
      </c>
      <c r="BD2547" t="s">
        <v>65</v>
      </c>
      <c r="BE2547">
        <v>30</v>
      </c>
      <c r="BF2547">
        <v>1</v>
      </c>
      <c r="BG2547" t="s">
        <v>10315</v>
      </c>
      <c r="BH2547" t="s">
        <v>10316</v>
      </c>
      <c r="BI2547" t="s">
        <v>10317</v>
      </c>
      <c r="BJ2547">
        <v>8.3499999999999998E-3</v>
      </c>
      <c r="BK2547">
        <v>1</v>
      </c>
      <c r="BL2547" t="s">
        <v>69</v>
      </c>
      <c r="BM2547">
        <v>-0.57499999999999996</v>
      </c>
      <c r="BN2547">
        <v>-1.1419999999999999</v>
      </c>
    </row>
    <row r="2548" spans="10:66">
      <c r="J2548">
        <v>0</v>
      </c>
      <c r="K2548">
        <v>6</v>
      </c>
      <c r="L2548">
        <v>0</v>
      </c>
      <c r="M2548" t="s">
        <v>25022</v>
      </c>
      <c r="N2548">
        <v>1648</v>
      </c>
      <c r="O2548" t="s">
        <v>10318</v>
      </c>
      <c r="P2548" t="s">
        <v>57</v>
      </c>
      <c r="Q2548">
        <v>1659810</v>
      </c>
      <c r="R2548">
        <v>1661855</v>
      </c>
      <c r="S2548" t="s">
        <v>10319</v>
      </c>
      <c r="T2548">
        <v>682</v>
      </c>
      <c r="U2548" t="s">
        <v>108</v>
      </c>
      <c r="V2548">
        <v>44</v>
      </c>
      <c r="W2548" t="str">
        <f>HYPERLINK("Gene1648-zp_tree_all.dnd", "Gene1648-tree")</f>
        <v>Gene1648-tree</v>
      </c>
      <c r="X2548">
        <v>5</v>
      </c>
      <c r="Y2548">
        <v>9</v>
      </c>
      <c r="Z2548">
        <v>5</v>
      </c>
      <c r="AA2548">
        <v>9</v>
      </c>
      <c r="AB2548">
        <v>0.64285999999999999</v>
      </c>
      <c r="AC2548" t="s">
        <v>199</v>
      </c>
      <c r="AD2548" t="s">
        <v>135</v>
      </c>
      <c r="AE2548" t="s">
        <v>62</v>
      </c>
      <c r="AF2548" t="s">
        <v>62</v>
      </c>
      <c r="AG2548">
        <v>2</v>
      </c>
      <c r="AH2548">
        <v>6</v>
      </c>
      <c r="AI2548">
        <v>11</v>
      </c>
      <c r="AJ2548">
        <v>0.35293999999999998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3</v>
      </c>
      <c r="AQ2548">
        <v>0</v>
      </c>
      <c r="AR2548">
        <v>3</v>
      </c>
      <c r="AS2548">
        <v>11</v>
      </c>
      <c r="AT2548">
        <v>0.21429000000000001</v>
      </c>
      <c r="AU2548">
        <v>12</v>
      </c>
      <c r="AV2548">
        <v>9</v>
      </c>
      <c r="AW2548">
        <v>56</v>
      </c>
      <c r="AX2548">
        <v>15</v>
      </c>
      <c r="AY2548">
        <v>34</v>
      </c>
      <c r="AZ2548">
        <v>3</v>
      </c>
      <c r="BA2548" t="s">
        <v>10320</v>
      </c>
      <c r="BB2548" t="s">
        <v>10321</v>
      </c>
      <c r="BC2548">
        <v>1.6259999999999999</v>
      </c>
      <c r="BD2548" t="s">
        <v>65</v>
      </c>
      <c r="BE2548">
        <v>90</v>
      </c>
      <c r="BF2548">
        <v>18</v>
      </c>
      <c r="BG2548" t="s">
        <v>10322</v>
      </c>
      <c r="BH2548" t="s">
        <v>10323</v>
      </c>
      <c r="BI2548" t="s">
        <v>6265</v>
      </c>
      <c r="BJ2548">
        <v>4.7280000000000003E-2</v>
      </c>
      <c r="BK2548">
        <v>1</v>
      </c>
      <c r="BL2548" t="s">
        <v>69</v>
      </c>
      <c r="BM2548">
        <v>-0.28399999999999997</v>
      </c>
      <c r="BN2548">
        <v>-1.5509999999999999</v>
      </c>
    </row>
    <row r="2549" spans="10:66">
      <c r="J2549">
        <v>0</v>
      </c>
      <c r="K2549">
        <v>0</v>
      </c>
      <c r="L2549">
        <v>2</v>
      </c>
      <c r="M2549" t="s">
        <v>25022</v>
      </c>
      <c r="N2549">
        <v>1649</v>
      </c>
      <c r="O2549" t="s">
        <v>10324</v>
      </c>
      <c r="P2549" t="s">
        <v>57</v>
      </c>
      <c r="Q2549">
        <v>1661967</v>
      </c>
      <c r="R2549">
        <v>1662530</v>
      </c>
      <c r="S2549" t="s">
        <v>10325</v>
      </c>
      <c r="T2549">
        <v>188</v>
      </c>
      <c r="U2549" t="s">
        <v>59</v>
      </c>
      <c r="V2549">
        <v>49</v>
      </c>
      <c r="W2549" t="str">
        <f>HYPERLINK("Gene1649-zp_tree_all.dnd", "Gene1649-tree")</f>
        <v>Gene1649-tree</v>
      </c>
      <c r="X2549">
        <v>13</v>
      </c>
      <c r="Y2549">
        <v>0</v>
      </c>
      <c r="Z2549">
        <v>13</v>
      </c>
      <c r="AA2549">
        <v>0</v>
      </c>
      <c r="AB2549">
        <v>0</v>
      </c>
      <c r="AC2549" t="s">
        <v>507</v>
      </c>
      <c r="AD2549" t="s">
        <v>62</v>
      </c>
      <c r="AE2549" t="s">
        <v>62</v>
      </c>
      <c r="AF2549" t="s">
        <v>62</v>
      </c>
      <c r="AG2549">
        <v>1</v>
      </c>
      <c r="AH2549">
        <v>2</v>
      </c>
      <c r="AI2549">
        <v>1</v>
      </c>
      <c r="AJ2549">
        <v>0.66666999999999998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9</v>
      </c>
      <c r="AV2549">
        <v>7</v>
      </c>
      <c r="AW2549">
        <v>20</v>
      </c>
      <c r="AX2549">
        <v>0</v>
      </c>
      <c r="AY2549">
        <v>34</v>
      </c>
      <c r="AZ2549">
        <v>3</v>
      </c>
      <c r="BA2549" t="s">
        <v>193</v>
      </c>
      <c r="BB2549" t="s">
        <v>10326</v>
      </c>
      <c r="BC2549">
        <v>1.1890000000000001</v>
      </c>
      <c r="BD2549" t="s">
        <v>65</v>
      </c>
      <c r="BE2549">
        <v>54</v>
      </c>
      <c r="BF2549">
        <v>3</v>
      </c>
      <c r="BG2549" t="s">
        <v>10327</v>
      </c>
      <c r="BH2549" t="s">
        <v>10328</v>
      </c>
      <c r="BI2549" t="s">
        <v>10329</v>
      </c>
      <c r="BJ2549">
        <v>2.2270000000000002E-2</v>
      </c>
      <c r="BK2549">
        <v>1</v>
      </c>
      <c r="BL2549" t="s">
        <v>69</v>
      </c>
      <c r="BM2549">
        <v>-1.01</v>
      </c>
      <c r="BN2549">
        <v>-0.33</v>
      </c>
    </row>
    <row r="2550" spans="10:66">
      <c r="J2550">
        <v>0</v>
      </c>
      <c r="K2550">
        <v>2</v>
      </c>
      <c r="L2550">
        <v>2</v>
      </c>
      <c r="M2550" t="s">
        <v>25022</v>
      </c>
      <c r="N2550">
        <v>1650</v>
      </c>
      <c r="O2550" t="s">
        <v>10330</v>
      </c>
      <c r="P2550" t="s">
        <v>57</v>
      </c>
      <c r="Q2550">
        <v>1662547</v>
      </c>
      <c r="R2550">
        <v>1663545</v>
      </c>
      <c r="S2550" t="s">
        <v>10331</v>
      </c>
      <c r="T2550">
        <v>333</v>
      </c>
      <c r="U2550" t="s">
        <v>59</v>
      </c>
      <c r="V2550">
        <v>49</v>
      </c>
      <c r="W2550" t="str">
        <f>HYPERLINK("Gene1650-zp_tree_all.dnd", "Gene1650-tree")</f>
        <v>Gene1650-tree</v>
      </c>
      <c r="X2550">
        <v>12</v>
      </c>
      <c r="Y2550">
        <v>6</v>
      </c>
      <c r="Z2550">
        <v>12</v>
      </c>
      <c r="AA2550">
        <v>6</v>
      </c>
      <c r="AB2550">
        <v>0.33333000000000002</v>
      </c>
      <c r="AC2550" t="s">
        <v>109</v>
      </c>
      <c r="AD2550" t="s">
        <v>90</v>
      </c>
      <c r="AE2550" t="s">
        <v>62</v>
      </c>
      <c r="AF2550" t="s">
        <v>62</v>
      </c>
      <c r="AG2550">
        <v>2</v>
      </c>
      <c r="AH2550">
        <v>4</v>
      </c>
      <c r="AI2550">
        <v>10</v>
      </c>
      <c r="AJ2550">
        <v>0.28571000000000002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2</v>
      </c>
      <c r="AQ2550">
        <v>2</v>
      </c>
      <c r="AR2550">
        <v>4</v>
      </c>
      <c r="AS2550">
        <v>5</v>
      </c>
      <c r="AT2550">
        <v>0.44444</v>
      </c>
      <c r="AU2550">
        <v>15</v>
      </c>
      <c r="AV2550">
        <v>12</v>
      </c>
      <c r="AW2550">
        <v>35</v>
      </c>
      <c r="AX2550">
        <v>9</v>
      </c>
      <c r="AY2550">
        <v>57</v>
      </c>
      <c r="AZ2550">
        <v>6</v>
      </c>
      <c r="BA2550" t="s">
        <v>10332</v>
      </c>
      <c r="BB2550" t="s">
        <v>10333</v>
      </c>
      <c r="BC2550">
        <v>0.60199999999999998</v>
      </c>
      <c r="BD2550" t="s">
        <v>65</v>
      </c>
      <c r="BE2550">
        <v>92</v>
      </c>
      <c r="BF2550">
        <v>15</v>
      </c>
      <c r="BG2550" t="s">
        <v>10334</v>
      </c>
      <c r="BH2550" t="s">
        <v>10335</v>
      </c>
      <c r="BI2550" t="s">
        <v>10336</v>
      </c>
      <c r="BJ2550">
        <v>4.7050000000000002E-2</v>
      </c>
      <c r="BK2550">
        <v>1</v>
      </c>
      <c r="BL2550" t="s">
        <v>69</v>
      </c>
      <c r="BM2550">
        <v>-1.2509999999999999</v>
      </c>
      <c r="BN2550">
        <v>-0.67600000000000005</v>
      </c>
    </row>
    <row r="2551" spans="10:66">
      <c r="J2551">
        <v>0</v>
      </c>
      <c r="K2551">
        <v>2</v>
      </c>
      <c r="L2551">
        <v>0</v>
      </c>
      <c r="M2551" t="s">
        <v>25022</v>
      </c>
      <c r="N2551">
        <v>1651</v>
      </c>
      <c r="O2551" t="s">
        <v>10337</v>
      </c>
      <c r="P2551" t="s">
        <v>57</v>
      </c>
      <c r="Q2551">
        <v>1663567</v>
      </c>
      <c r="R2551">
        <v>1664517</v>
      </c>
      <c r="S2551" t="s">
        <v>10338</v>
      </c>
      <c r="T2551">
        <v>317</v>
      </c>
      <c r="U2551" t="s">
        <v>108</v>
      </c>
      <c r="V2551">
        <v>44</v>
      </c>
      <c r="W2551" t="str">
        <f>HYPERLINK("Gene1651-zp_tree_all.dnd", "Gene1651-tree")</f>
        <v>Gene1651-tree</v>
      </c>
      <c r="X2551">
        <v>8</v>
      </c>
      <c r="Y2551">
        <v>4</v>
      </c>
      <c r="Z2551">
        <v>8</v>
      </c>
      <c r="AA2551">
        <v>4</v>
      </c>
      <c r="AB2551">
        <v>0.33333000000000002</v>
      </c>
      <c r="AC2551" t="s">
        <v>136</v>
      </c>
      <c r="AD2551" t="s">
        <v>61</v>
      </c>
      <c r="AE2551" t="s">
        <v>62</v>
      </c>
      <c r="AF2551" t="s">
        <v>62</v>
      </c>
      <c r="AG2551">
        <v>1</v>
      </c>
      <c r="AH2551">
        <v>2</v>
      </c>
      <c r="AI2551">
        <v>6</v>
      </c>
      <c r="AJ2551">
        <v>0.25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7</v>
      </c>
      <c r="AT2551">
        <v>0</v>
      </c>
      <c r="AU2551">
        <v>9</v>
      </c>
      <c r="AV2551">
        <v>6</v>
      </c>
      <c r="AW2551">
        <v>14</v>
      </c>
      <c r="AX2551">
        <v>7</v>
      </c>
      <c r="AY2551">
        <v>12</v>
      </c>
      <c r="AZ2551">
        <v>1</v>
      </c>
      <c r="BA2551" t="s">
        <v>10339</v>
      </c>
      <c r="BB2551" t="s">
        <v>10340</v>
      </c>
      <c r="BC2551">
        <v>0.999</v>
      </c>
      <c r="BD2551" t="s">
        <v>65</v>
      </c>
      <c r="BE2551">
        <v>26</v>
      </c>
      <c r="BF2551">
        <v>8</v>
      </c>
      <c r="BG2551" t="s">
        <v>10341</v>
      </c>
      <c r="BH2551" t="s">
        <v>10342</v>
      </c>
      <c r="BI2551" t="s">
        <v>10343</v>
      </c>
      <c r="BJ2551">
        <v>6.6129999999999994E-2</v>
      </c>
      <c r="BK2551">
        <v>1</v>
      </c>
      <c r="BL2551" t="s">
        <v>69</v>
      </c>
      <c r="BM2551">
        <v>-0.73199999999999998</v>
      </c>
      <c r="BN2551">
        <v>-1.1719999999999999</v>
      </c>
    </row>
    <row r="2552" spans="10:66">
      <c r="J2552">
        <v>0</v>
      </c>
      <c r="K2552">
        <v>5</v>
      </c>
      <c r="L2552">
        <v>2</v>
      </c>
      <c r="M2552" t="s">
        <v>25022</v>
      </c>
      <c r="N2552">
        <v>1652</v>
      </c>
      <c r="O2552" t="s">
        <v>10344</v>
      </c>
      <c r="P2552" t="s">
        <v>57</v>
      </c>
      <c r="Q2552">
        <v>1664513</v>
      </c>
      <c r="R2552">
        <v>1665250</v>
      </c>
      <c r="S2552" t="s">
        <v>10345</v>
      </c>
      <c r="T2552">
        <v>246</v>
      </c>
      <c r="U2552" t="s">
        <v>160</v>
      </c>
      <c r="V2552">
        <v>45</v>
      </c>
      <c r="W2552" t="str">
        <f>HYPERLINK("Gene1652-zp_tree_all.dnd", "Gene1652-tree")</f>
        <v>Gene1652-tree</v>
      </c>
      <c r="X2552">
        <v>8</v>
      </c>
      <c r="Y2552">
        <v>5</v>
      </c>
      <c r="Z2552">
        <v>8</v>
      </c>
      <c r="AA2552">
        <v>5</v>
      </c>
      <c r="AB2552">
        <v>0.38462000000000002</v>
      </c>
      <c r="AC2552" t="s">
        <v>136</v>
      </c>
      <c r="AD2552" t="s">
        <v>199</v>
      </c>
      <c r="AE2552" t="s">
        <v>62</v>
      </c>
      <c r="AF2552" t="s">
        <v>62</v>
      </c>
      <c r="AG2552">
        <v>3</v>
      </c>
      <c r="AH2552">
        <v>7</v>
      </c>
      <c r="AI2552">
        <v>3</v>
      </c>
      <c r="AJ2552">
        <v>0.7</v>
      </c>
      <c r="AK2552">
        <v>0</v>
      </c>
      <c r="AL2552">
        <v>0</v>
      </c>
      <c r="AM2552">
        <v>0</v>
      </c>
      <c r="AN2552">
        <v>2</v>
      </c>
      <c r="AO2552">
        <v>0</v>
      </c>
      <c r="AP2552">
        <v>2</v>
      </c>
      <c r="AQ2552">
        <v>2</v>
      </c>
      <c r="AR2552">
        <v>4</v>
      </c>
      <c r="AS2552">
        <v>3</v>
      </c>
      <c r="AT2552">
        <v>0.57142999999999999</v>
      </c>
      <c r="AU2552">
        <v>10</v>
      </c>
      <c r="AV2552">
        <v>9</v>
      </c>
      <c r="AW2552">
        <v>49</v>
      </c>
      <c r="AX2552">
        <v>7</v>
      </c>
      <c r="AY2552">
        <v>23</v>
      </c>
      <c r="AZ2552">
        <v>3</v>
      </c>
      <c r="BA2552" t="s">
        <v>10346</v>
      </c>
      <c r="BB2552" t="s">
        <v>10347</v>
      </c>
      <c r="BC2552">
        <v>2.1999999999999999E-2</v>
      </c>
      <c r="BD2552" t="s">
        <v>65</v>
      </c>
      <c r="BE2552">
        <v>72</v>
      </c>
      <c r="BF2552">
        <v>10</v>
      </c>
      <c r="BG2552" t="s">
        <v>10348</v>
      </c>
      <c r="BH2552" t="s">
        <v>10349</v>
      </c>
      <c r="BI2552" t="s">
        <v>10350</v>
      </c>
      <c r="BJ2552">
        <v>3.27E-2</v>
      </c>
      <c r="BK2552">
        <v>1</v>
      </c>
      <c r="BL2552" t="s">
        <v>69</v>
      </c>
      <c r="BM2552">
        <v>-1.139</v>
      </c>
      <c r="BN2552">
        <v>-3.3319999999999999</v>
      </c>
    </row>
    <row r="2553" spans="10:66">
      <c r="J2553">
        <v>0</v>
      </c>
      <c r="K2553">
        <v>0</v>
      </c>
      <c r="L2553">
        <v>0</v>
      </c>
      <c r="M2553" t="s">
        <v>25022</v>
      </c>
      <c r="N2553">
        <v>1653</v>
      </c>
      <c r="O2553" t="s">
        <v>10351</v>
      </c>
      <c r="P2553" t="s">
        <v>57</v>
      </c>
      <c r="Q2553">
        <v>1665337</v>
      </c>
      <c r="R2553">
        <v>1665567</v>
      </c>
      <c r="S2553" t="s">
        <v>10352</v>
      </c>
      <c r="T2553">
        <v>77</v>
      </c>
      <c r="U2553" t="s">
        <v>515</v>
      </c>
      <c r="V2553">
        <v>51</v>
      </c>
      <c r="W2553" t="str">
        <f>HYPERLINK("Gene1653-zp_tree_all.dnd", "Gene1653-tree")</f>
        <v>Gene1653-tree</v>
      </c>
      <c r="X2553">
        <v>6</v>
      </c>
      <c r="Y2553">
        <v>0</v>
      </c>
      <c r="Z2553">
        <v>6</v>
      </c>
      <c r="AA2553">
        <v>0</v>
      </c>
      <c r="AB2553">
        <v>0</v>
      </c>
      <c r="AC2553" t="s">
        <v>90</v>
      </c>
      <c r="AD2553" t="s">
        <v>62</v>
      </c>
      <c r="AE2553" t="s">
        <v>62</v>
      </c>
      <c r="AF2553" t="s">
        <v>62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4</v>
      </c>
      <c r="AV2553">
        <v>1</v>
      </c>
      <c r="AW2553">
        <v>5</v>
      </c>
      <c r="AX2553">
        <v>0</v>
      </c>
      <c r="AY2553">
        <v>1</v>
      </c>
      <c r="AZ2553">
        <v>0</v>
      </c>
      <c r="BA2553" t="s">
        <v>193</v>
      </c>
      <c r="BB2553" t="s">
        <v>193</v>
      </c>
      <c r="BC2553">
        <v>0</v>
      </c>
      <c r="BD2553" t="s">
        <v>65</v>
      </c>
      <c r="BE2553">
        <v>6</v>
      </c>
      <c r="BF2553">
        <v>0</v>
      </c>
      <c r="BG2553" t="s">
        <v>10353</v>
      </c>
      <c r="BH2553" t="s">
        <v>10354</v>
      </c>
      <c r="BI2553" t="s">
        <v>193</v>
      </c>
      <c r="BJ2553">
        <v>0</v>
      </c>
      <c r="BK2553">
        <v>1</v>
      </c>
      <c r="BL2553" t="s">
        <v>69</v>
      </c>
      <c r="BM2553">
        <v>-1.214</v>
      </c>
      <c r="BN2553">
        <v>0.129</v>
      </c>
    </row>
    <row r="2554" spans="10:66">
      <c r="J2554">
        <v>0</v>
      </c>
      <c r="K2554">
        <v>0</v>
      </c>
      <c r="L2554">
        <v>0</v>
      </c>
      <c r="M2554" t="s">
        <v>25022</v>
      </c>
      <c r="N2554">
        <v>1654</v>
      </c>
      <c r="O2554" t="s">
        <v>10355</v>
      </c>
      <c r="P2554" t="s">
        <v>57</v>
      </c>
      <c r="Q2554">
        <v>1665710</v>
      </c>
      <c r="R2554">
        <v>1666456</v>
      </c>
      <c r="S2554" t="s">
        <v>10356</v>
      </c>
      <c r="T2554">
        <v>249</v>
      </c>
      <c r="U2554" t="s">
        <v>59</v>
      </c>
      <c r="V2554">
        <v>49</v>
      </c>
      <c r="W2554" t="str">
        <f>HYPERLINK("Gene1654-zp_tree_all.dnd", "Gene1654-tree")</f>
        <v>Gene1654-tree</v>
      </c>
      <c r="X2554">
        <v>10</v>
      </c>
      <c r="Y2554">
        <v>1</v>
      </c>
      <c r="Z2554">
        <v>10</v>
      </c>
      <c r="AA2554">
        <v>1</v>
      </c>
      <c r="AB2554">
        <v>9.0910000000000005E-2</v>
      </c>
      <c r="AC2554" t="s">
        <v>117</v>
      </c>
      <c r="AD2554" t="s">
        <v>175</v>
      </c>
      <c r="AE2554" t="s">
        <v>62</v>
      </c>
      <c r="AF2554" t="s">
        <v>62</v>
      </c>
      <c r="AG2554">
        <v>0</v>
      </c>
      <c r="AH2554">
        <v>0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7</v>
      </c>
      <c r="AV2554">
        <v>6</v>
      </c>
      <c r="AW2554">
        <v>13</v>
      </c>
      <c r="AX2554">
        <v>1</v>
      </c>
      <c r="AY2554">
        <v>29</v>
      </c>
      <c r="AZ2554">
        <v>1</v>
      </c>
      <c r="BA2554" t="s">
        <v>10357</v>
      </c>
      <c r="BB2554" t="s">
        <v>10358</v>
      </c>
      <c r="BC2554">
        <v>0.19</v>
      </c>
      <c r="BD2554" t="s">
        <v>65</v>
      </c>
      <c r="BE2554">
        <v>42</v>
      </c>
      <c r="BF2554">
        <v>2</v>
      </c>
      <c r="BG2554" t="s">
        <v>10359</v>
      </c>
      <c r="BH2554" t="s">
        <v>10360</v>
      </c>
      <c r="BI2554" t="s">
        <v>10361</v>
      </c>
      <c r="BJ2554">
        <v>1.098E-2</v>
      </c>
      <c r="BK2554">
        <v>1</v>
      </c>
      <c r="BL2554" t="s">
        <v>69</v>
      </c>
      <c r="BM2554">
        <v>-1.734</v>
      </c>
      <c r="BN2554">
        <v>-0.47799999999999998</v>
      </c>
    </row>
    <row r="2555" spans="10:66">
      <c r="J2555">
        <v>0</v>
      </c>
      <c r="K2555">
        <v>14</v>
      </c>
      <c r="L2555">
        <v>0</v>
      </c>
      <c r="M2555" t="s">
        <v>25022</v>
      </c>
      <c r="N2555">
        <v>1655</v>
      </c>
      <c r="O2555" t="s">
        <v>10362</v>
      </c>
      <c r="P2555" t="s">
        <v>57</v>
      </c>
      <c r="Q2555">
        <v>1666560</v>
      </c>
      <c r="R2555">
        <v>1670117</v>
      </c>
      <c r="S2555" t="s">
        <v>10363</v>
      </c>
      <c r="T2555">
        <v>1186</v>
      </c>
      <c r="U2555" t="s">
        <v>108</v>
      </c>
      <c r="V2555">
        <v>44</v>
      </c>
      <c r="W2555" t="str">
        <f>HYPERLINK("Gene1655-zp_tree_all.dnd", "Gene1655-tree")</f>
        <v>Gene1655-tree</v>
      </c>
      <c r="X2555">
        <v>7</v>
      </c>
      <c r="Y2555">
        <v>9</v>
      </c>
      <c r="Z2555">
        <v>7</v>
      </c>
      <c r="AA2555">
        <v>9</v>
      </c>
      <c r="AB2555">
        <v>0.5625</v>
      </c>
      <c r="AC2555" t="s">
        <v>152</v>
      </c>
      <c r="AD2555" t="s">
        <v>135</v>
      </c>
      <c r="AE2555" t="s">
        <v>62</v>
      </c>
      <c r="AF2555" t="s">
        <v>62</v>
      </c>
      <c r="AG2555">
        <v>6</v>
      </c>
      <c r="AH2555">
        <v>14</v>
      </c>
      <c r="AI2555">
        <v>18</v>
      </c>
      <c r="AJ2555">
        <v>0.4375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2</v>
      </c>
      <c r="AQ2555">
        <v>0</v>
      </c>
      <c r="AR2555">
        <v>2</v>
      </c>
      <c r="AS2555">
        <v>17</v>
      </c>
      <c r="AT2555">
        <v>0.10526000000000001</v>
      </c>
      <c r="AU2555">
        <v>14</v>
      </c>
      <c r="AV2555">
        <v>12</v>
      </c>
      <c r="AW2555">
        <v>103</v>
      </c>
      <c r="AX2555">
        <v>19</v>
      </c>
      <c r="AY2555">
        <v>68</v>
      </c>
      <c r="AZ2555">
        <v>13</v>
      </c>
      <c r="BA2555" t="s">
        <v>10364</v>
      </c>
      <c r="BB2555" t="s">
        <v>10365</v>
      </c>
      <c r="BC2555">
        <v>4.4999999999999998E-2</v>
      </c>
      <c r="BD2555" t="s">
        <v>65</v>
      </c>
      <c r="BE2555">
        <v>171</v>
      </c>
      <c r="BF2555">
        <v>32</v>
      </c>
      <c r="BG2555" t="s">
        <v>10366</v>
      </c>
      <c r="BH2555" t="s">
        <v>10367</v>
      </c>
      <c r="BI2555" t="s">
        <v>10368</v>
      </c>
      <c r="BJ2555">
        <v>5.4649999999999997E-2</v>
      </c>
      <c r="BK2555">
        <v>1</v>
      </c>
      <c r="BL2555" t="s">
        <v>69</v>
      </c>
      <c r="BM2555">
        <v>-0.79600000000000004</v>
      </c>
      <c r="BN2555">
        <v>-1.974</v>
      </c>
    </row>
    <row r="2556" spans="10:66">
      <c r="J2556">
        <v>0</v>
      </c>
      <c r="K2556">
        <v>0</v>
      </c>
      <c r="L2556">
        <v>0</v>
      </c>
      <c r="M2556" t="s">
        <v>25022</v>
      </c>
      <c r="N2556">
        <v>1656</v>
      </c>
      <c r="O2556" t="s">
        <v>10369</v>
      </c>
      <c r="P2556" t="s">
        <v>57</v>
      </c>
      <c r="Q2556">
        <v>1670140</v>
      </c>
      <c r="R2556">
        <v>1671126</v>
      </c>
      <c r="S2556" t="s">
        <v>10370</v>
      </c>
      <c r="T2556">
        <v>329</v>
      </c>
      <c r="U2556" t="s">
        <v>108</v>
      </c>
      <c r="V2556">
        <v>44</v>
      </c>
      <c r="W2556" t="str">
        <f>HYPERLINK("Gene1656-zp_tree_all.dnd", "Gene1656-tree")</f>
        <v>Gene1656-tree</v>
      </c>
      <c r="X2556">
        <v>9</v>
      </c>
      <c r="Y2556">
        <v>2</v>
      </c>
      <c r="Z2556">
        <v>9</v>
      </c>
      <c r="AA2556">
        <v>2</v>
      </c>
      <c r="AB2556">
        <v>0.18182000000000001</v>
      </c>
      <c r="AC2556" t="s">
        <v>135</v>
      </c>
      <c r="AD2556" t="s">
        <v>81</v>
      </c>
      <c r="AE2556" t="s">
        <v>62</v>
      </c>
      <c r="AF2556" t="s">
        <v>62</v>
      </c>
      <c r="AG2556">
        <v>0</v>
      </c>
      <c r="AH2556">
        <v>0</v>
      </c>
      <c r="AI2556">
        <v>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2</v>
      </c>
      <c r="AT2556">
        <v>0</v>
      </c>
      <c r="AU2556">
        <v>10</v>
      </c>
      <c r="AV2556">
        <v>8</v>
      </c>
      <c r="AW2556">
        <v>24</v>
      </c>
      <c r="AX2556">
        <v>1</v>
      </c>
      <c r="AY2556">
        <v>16</v>
      </c>
      <c r="AZ2556">
        <v>1</v>
      </c>
      <c r="BA2556" t="s">
        <v>10371</v>
      </c>
      <c r="BB2556" t="s">
        <v>10372</v>
      </c>
      <c r="BC2556">
        <v>0.104</v>
      </c>
      <c r="BD2556" t="s">
        <v>65</v>
      </c>
      <c r="BE2556">
        <v>40</v>
      </c>
      <c r="BF2556">
        <v>2</v>
      </c>
      <c r="BG2556" t="s">
        <v>10373</v>
      </c>
      <c r="BH2556" t="s">
        <v>10374</v>
      </c>
      <c r="BI2556" t="s">
        <v>10375</v>
      </c>
      <c r="BJ2556">
        <v>1.6029999999999999E-2</v>
      </c>
      <c r="BK2556">
        <v>1</v>
      </c>
      <c r="BL2556" t="s">
        <v>69</v>
      </c>
      <c r="BM2556">
        <v>-0.154</v>
      </c>
      <c r="BN2556">
        <v>-0.42499999999999999</v>
      </c>
    </row>
    <row r="2557" spans="10:66">
      <c r="J2557">
        <v>0</v>
      </c>
      <c r="K2557">
        <v>0</v>
      </c>
      <c r="L2557">
        <v>0</v>
      </c>
      <c r="M2557" t="s">
        <v>25022</v>
      </c>
      <c r="N2557">
        <v>1658</v>
      </c>
      <c r="O2557" t="s">
        <v>10382</v>
      </c>
      <c r="P2557" t="s">
        <v>57</v>
      </c>
      <c r="Q2557">
        <v>1671828</v>
      </c>
      <c r="R2557">
        <v>1672157</v>
      </c>
      <c r="S2557" t="s">
        <v>10383</v>
      </c>
      <c r="T2557">
        <v>110</v>
      </c>
      <c r="U2557" t="s">
        <v>59</v>
      </c>
      <c r="V2557">
        <v>49</v>
      </c>
      <c r="W2557" t="str">
        <f>HYPERLINK("Gene1658-zp_tree_all.dnd", "Gene1658-tree")</f>
        <v>Gene1658-tree</v>
      </c>
      <c r="X2557">
        <v>4</v>
      </c>
      <c r="Y2557">
        <v>1</v>
      </c>
      <c r="Z2557">
        <v>4</v>
      </c>
      <c r="AA2557">
        <v>1</v>
      </c>
      <c r="AB2557">
        <v>0.2</v>
      </c>
      <c r="AC2557" t="s">
        <v>61</v>
      </c>
      <c r="AD2557" t="s">
        <v>175</v>
      </c>
      <c r="AE2557" t="s">
        <v>62</v>
      </c>
      <c r="AF2557" t="s">
        <v>62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4</v>
      </c>
      <c r="AV2557">
        <v>1</v>
      </c>
      <c r="AW2557">
        <v>4</v>
      </c>
      <c r="AX2557">
        <v>1</v>
      </c>
      <c r="AY2557">
        <v>1</v>
      </c>
      <c r="AZ2557">
        <v>0</v>
      </c>
      <c r="BA2557" t="s">
        <v>10384</v>
      </c>
      <c r="BB2557" t="s">
        <v>193</v>
      </c>
      <c r="BC2557">
        <v>0.66700000000000004</v>
      </c>
      <c r="BD2557" t="s">
        <v>65</v>
      </c>
      <c r="BE2557">
        <v>5</v>
      </c>
      <c r="BF2557">
        <v>1</v>
      </c>
      <c r="BG2557" t="s">
        <v>10385</v>
      </c>
      <c r="BH2557" t="s">
        <v>10386</v>
      </c>
      <c r="BI2557" t="s">
        <v>10387</v>
      </c>
      <c r="BJ2557">
        <v>4.8259999999999997E-2</v>
      </c>
      <c r="BK2557">
        <v>1</v>
      </c>
      <c r="BL2557" t="s">
        <v>69</v>
      </c>
      <c r="BM2557">
        <v>-0.95099999999999996</v>
      </c>
      <c r="BN2557">
        <v>-0.53600000000000003</v>
      </c>
    </row>
    <row r="2558" spans="10:66">
      <c r="J2558">
        <v>0</v>
      </c>
      <c r="K2558">
        <v>2</v>
      </c>
      <c r="L2558">
        <v>0</v>
      </c>
      <c r="M2558" t="s">
        <v>25022</v>
      </c>
      <c r="N2558">
        <v>1659</v>
      </c>
      <c r="O2558" t="s">
        <v>10388</v>
      </c>
      <c r="P2558" t="s">
        <v>57</v>
      </c>
      <c r="Q2558">
        <v>1672174</v>
      </c>
      <c r="R2558">
        <v>1673511</v>
      </c>
      <c r="S2558" t="s">
        <v>10389</v>
      </c>
      <c r="T2558">
        <v>446</v>
      </c>
      <c r="U2558" t="s">
        <v>59</v>
      </c>
      <c r="V2558">
        <v>49</v>
      </c>
      <c r="W2558" t="str">
        <f>HYPERLINK("Gene1659-zp_tree_all.dnd", "Gene1659-tree")</f>
        <v>Gene1659-tree</v>
      </c>
      <c r="X2558">
        <v>35</v>
      </c>
      <c r="Y2558">
        <v>3</v>
      </c>
      <c r="Z2558">
        <v>19</v>
      </c>
      <c r="AA2558">
        <v>3</v>
      </c>
      <c r="AB2558">
        <v>0.13636000000000001</v>
      </c>
      <c r="AC2558" t="s">
        <v>10390</v>
      </c>
      <c r="AD2558" t="s">
        <v>324</v>
      </c>
      <c r="AE2558" t="s">
        <v>62</v>
      </c>
      <c r="AF2558" t="s">
        <v>62</v>
      </c>
      <c r="AG2558">
        <v>1</v>
      </c>
      <c r="AH2558">
        <v>2</v>
      </c>
      <c r="AI2558">
        <v>4</v>
      </c>
      <c r="AJ2558">
        <v>0.33333000000000002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2</v>
      </c>
      <c r="AQ2558">
        <v>0</v>
      </c>
      <c r="AR2558">
        <v>2</v>
      </c>
      <c r="AS2558">
        <v>1</v>
      </c>
      <c r="AT2558">
        <v>0.66666999999999998</v>
      </c>
      <c r="AU2558">
        <v>19</v>
      </c>
      <c r="AV2558">
        <v>13</v>
      </c>
      <c r="AW2558">
        <v>70</v>
      </c>
      <c r="AX2558">
        <v>3</v>
      </c>
      <c r="AY2558">
        <v>76</v>
      </c>
      <c r="AZ2558">
        <v>3</v>
      </c>
      <c r="BA2558" t="s">
        <v>10391</v>
      </c>
      <c r="BB2558" t="s">
        <v>10392</v>
      </c>
      <c r="BC2558">
        <v>4.2999999999999997E-2</v>
      </c>
      <c r="BD2558" t="s">
        <v>65</v>
      </c>
      <c r="BE2558">
        <v>146</v>
      </c>
      <c r="BF2558">
        <v>6</v>
      </c>
      <c r="BG2558" t="s">
        <v>10393</v>
      </c>
      <c r="BH2558" t="s">
        <v>10394</v>
      </c>
      <c r="BI2558" t="s">
        <v>10395</v>
      </c>
      <c r="BJ2558">
        <v>1.6719999999999999E-2</v>
      </c>
      <c r="BK2558">
        <v>1</v>
      </c>
      <c r="BL2558" t="s">
        <v>69</v>
      </c>
      <c r="BM2558">
        <v>-1.2150000000000001</v>
      </c>
      <c r="BN2558">
        <v>-1.38</v>
      </c>
    </row>
    <row r="2559" spans="10:66">
      <c r="J2559">
        <v>0</v>
      </c>
      <c r="K2559">
        <v>0</v>
      </c>
      <c r="L2559">
        <v>0</v>
      </c>
      <c r="M2559" t="s">
        <v>25022</v>
      </c>
      <c r="N2559">
        <v>1660</v>
      </c>
      <c r="O2559" t="s">
        <v>10396</v>
      </c>
      <c r="P2559" t="s">
        <v>57</v>
      </c>
      <c r="Q2559">
        <v>1673620</v>
      </c>
      <c r="R2559">
        <v>1673889</v>
      </c>
      <c r="S2559" t="s">
        <v>10397</v>
      </c>
      <c r="T2559">
        <v>90</v>
      </c>
      <c r="U2559" t="s">
        <v>59</v>
      </c>
      <c r="V2559">
        <v>49</v>
      </c>
      <c r="W2559" t="str">
        <f>HYPERLINK("Gene1660-zp_tree_all.dnd", "Gene1660-tree")</f>
        <v>Gene1660-tree</v>
      </c>
      <c r="X2559">
        <v>6</v>
      </c>
      <c r="Y2559">
        <v>0</v>
      </c>
      <c r="Z2559">
        <v>6</v>
      </c>
      <c r="AA2559">
        <v>0</v>
      </c>
      <c r="AB2559">
        <v>0</v>
      </c>
      <c r="AC2559" t="s">
        <v>90</v>
      </c>
      <c r="AD2559" t="s">
        <v>62</v>
      </c>
      <c r="AE2559" t="s">
        <v>62</v>
      </c>
      <c r="AF2559" t="s">
        <v>62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</v>
      </c>
      <c r="AV2559">
        <v>2</v>
      </c>
      <c r="AW2559">
        <v>3</v>
      </c>
      <c r="AX2559">
        <v>0</v>
      </c>
      <c r="AY2559">
        <v>2</v>
      </c>
      <c r="AZ2559">
        <v>0</v>
      </c>
      <c r="BA2559" t="s">
        <v>193</v>
      </c>
      <c r="BB2559" t="s">
        <v>193</v>
      </c>
      <c r="BC2559">
        <v>0</v>
      </c>
      <c r="BD2559" t="s">
        <v>65</v>
      </c>
      <c r="BE2559">
        <v>5</v>
      </c>
      <c r="BF2559">
        <v>0</v>
      </c>
      <c r="BG2559" t="s">
        <v>10398</v>
      </c>
      <c r="BH2559" t="s">
        <v>10399</v>
      </c>
      <c r="BI2559" t="s">
        <v>193</v>
      </c>
      <c r="BJ2559">
        <v>0</v>
      </c>
      <c r="BK2559">
        <v>1</v>
      </c>
      <c r="BL2559" t="s">
        <v>69</v>
      </c>
      <c r="BM2559">
        <v>-1.5069999999999999</v>
      </c>
      <c r="BN2559">
        <v>-1.78</v>
      </c>
    </row>
    <row r="2560" spans="10:66">
      <c r="J2560">
        <v>0</v>
      </c>
      <c r="K2560">
        <v>0</v>
      </c>
      <c r="L2560">
        <v>3</v>
      </c>
      <c r="M2560" t="s">
        <v>25022</v>
      </c>
      <c r="N2560">
        <v>1661</v>
      </c>
      <c r="O2560" t="s">
        <v>10400</v>
      </c>
      <c r="P2560" t="s">
        <v>57</v>
      </c>
      <c r="Q2560">
        <v>1673892</v>
      </c>
      <c r="R2560">
        <v>1674134</v>
      </c>
      <c r="S2560" t="s">
        <v>10401</v>
      </c>
      <c r="T2560">
        <v>81</v>
      </c>
      <c r="U2560" t="s">
        <v>59</v>
      </c>
      <c r="V2560">
        <v>49</v>
      </c>
      <c r="W2560" t="str">
        <f>HYPERLINK("Gene1661-zp_tree_all.dnd", "Gene1661-tree")</f>
        <v>Gene1661-tree</v>
      </c>
      <c r="X2560">
        <v>2</v>
      </c>
      <c r="Y2560">
        <v>23</v>
      </c>
      <c r="Z2560">
        <v>2</v>
      </c>
      <c r="AA2560">
        <v>4</v>
      </c>
      <c r="AB2560">
        <v>0.66666999999999998</v>
      </c>
      <c r="AC2560" t="s">
        <v>81</v>
      </c>
      <c r="AD2560" t="s">
        <v>690</v>
      </c>
      <c r="AE2560">
        <v>2.2570000000000001</v>
      </c>
      <c r="AF2560" t="s">
        <v>65</v>
      </c>
      <c r="AG2560">
        <v>1</v>
      </c>
      <c r="AH2560">
        <v>3</v>
      </c>
      <c r="AI2560">
        <v>2</v>
      </c>
      <c r="AJ2560">
        <v>0.6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3</v>
      </c>
      <c r="AT2560">
        <v>0</v>
      </c>
      <c r="AU2560">
        <v>4</v>
      </c>
      <c r="AV2560">
        <v>2</v>
      </c>
      <c r="AW2560">
        <v>1</v>
      </c>
      <c r="AX2560">
        <v>3</v>
      </c>
      <c r="AY2560">
        <v>1</v>
      </c>
      <c r="AZ2560">
        <v>2</v>
      </c>
      <c r="BA2560" t="s">
        <v>10402</v>
      </c>
      <c r="BB2560" t="s">
        <v>10403</v>
      </c>
      <c r="BC2560">
        <v>0.192</v>
      </c>
      <c r="BD2560" t="s">
        <v>65</v>
      </c>
      <c r="BE2560">
        <v>2</v>
      </c>
      <c r="BF2560">
        <v>5</v>
      </c>
      <c r="BG2560" t="s">
        <v>10404</v>
      </c>
      <c r="BH2560" t="s">
        <v>10405</v>
      </c>
      <c r="BI2560" t="s">
        <v>10406</v>
      </c>
      <c r="BJ2560">
        <v>0.50058999999999998</v>
      </c>
      <c r="BK2560">
        <v>0.64400000000000002</v>
      </c>
      <c r="BL2560" t="s">
        <v>635</v>
      </c>
      <c r="BM2560">
        <v>-0.71699999999999997</v>
      </c>
      <c r="BN2560">
        <v>-0.308</v>
      </c>
    </row>
    <row r="2561" spans="10:66">
      <c r="J2561">
        <v>0</v>
      </c>
      <c r="K2561">
        <v>0</v>
      </c>
      <c r="L2561">
        <v>2</v>
      </c>
      <c r="M2561" t="s">
        <v>25022</v>
      </c>
      <c r="N2561">
        <v>1662</v>
      </c>
      <c r="O2561" t="s">
        <v>10407</v>
      </c>
      <c r="P2561" t="s">
        <v>57</v>
      </c>
      <c r="Q2561">
        <v>1674259</v>
      </c>
      <c r="R2561">
        <v>1674642</v>
      </c>
      <c r="S2561" t="s">
        <v>288</v>
      </c>
      <c r="T2561">
        <v>128</v>
      </c>
      <c r="U2561" t="s">
        <v>59</v>
      </c>
      <c r="V2561">
        <v>49</v>
      </c>
      <c r="W2561" t="str">
        <f>HYPERLINK("Gene1662-zp_tree_all.dnd", "Gene1662-tree")</f>
        <v>Gene1662-tree</v>
      </c>
      <c r="X2561">
        <v>14</v>
      </c>
      <c r="Y2561">
        <v>4</v>
      </c>
      <c r="Z2561">
        <v>14</v>
      </c>
      <c r="AA2561">
        <v>4</v>
      </c>
      <c r="AB2561">
        <v>0.22222</v>
      </c>
      <c r="AC2561" t="s">
        <v>543</v>
      </c>
      <c r="AD2561" t="s">
        <v>61</v>
      </c>
      <c r="AE2561" t="s">
        <v>62</v>
      </c>
      <c r="AF2561" t="s">
        <v>62</v>
      </c>
      <c r="AG2561">
        <v>1</v>
      </c>
      <c r="AH2561">
        <v>2</v>
      </c>
      <c r="AI2561">
        <v>8</v>
      </c>
      <c r="AJ2561">
        <v>0.2</v>
      </c>
      <c r="AK2561">
        <v>0</v>
      </c>
      <c r="AL2561">
        <v>0</v>
      </c>
      <c r="AM2561">
        <v>0</v>
      </c>
      <c r="AN2561">
        <v>2</v>
      </c>
      <c r="AO2561">
        <v>0</v>
      </c>
      <c r="AP2561">
        <v>0</v>
      </c>
      <c r="AQ2561">
        <v>2</v>
      </c>
      <c r="AR2561">
        <v>2</v>
      </c>
      <c r="AS2561">
        <v>4</v>
      </c>
      <c r="AT2561">
        <v>0.33333000000000002</v>
      </c>
      <c r="AU2561">
        <v>13</v>
      </c>
      <c r="AV2561">
        <v>7</v>
      </c>
      <c r="AW2561">
        <v>20</v>
      </c>
      <c r="AX2561">
        <v>6</v>
      </c>
      <c r="AY2561">
        <v>10</v>
      </c>
      <c r="AZ2561">
        <v>4</v>
      </c>
      <c r="BA2561" t="s">
        <v>10408</v>
      </c>
      <c r="BB2561" t="s">
        <v>10409</v>
      </c>
      <c r="BC2561">
        <v>0.22900000000000001</v>
      </c>
      <c r="BD2561" t="s">
        <v>65</v>
      </c>
      <c r="BE2561">
        <v>30</v>
      </c>
      <c r="BF2561">
        <v>10</v>
      </c>
      <c r="BG2561" t="s">
        <v>10410</v>
      </c>
      <c r="BH2561" t="s">
        <v>10411</v>
      </c>
      <c r="BI2561" t="s">
        <v>10412</v>
      </c>
      <c r="BJ2561">
        <v>8.6080000000000004E-2</v>
      </c>
      <c r="BK2561">
        <v>1</v>
      </c>
      <c r="BL2561" t="s">
        <v>69</v>
      </c>
      <c r="BM2561">
        <v>-0.86799999999999999</v>
      </c>
      <c r="BN2561">
        <v>-1.1930000000000001</v>
      </c>
    </row>
    <row r="2562" spans="10:66">
      <c r="J2562">
        <v>0</v>
      </c>
      <c r="K2562">
        <v>4</v>
      </c>
      <c r="L2562">
        <v>0</v>
      </c>
      <c r="M2562" t="s">
        <v>25022</v>
      </c>
      <c r="N2562">
        <v>1663</v>
      </c>
      <c r="O2562" t="s">
        <v>10413</v>
      </c>
      <c r="P2562" t="s">
        <v>57</v>
      </c>
      <c r="Q2562">
        <v>1674650</v>
      </c>
      <c r="R2562">
        <v>1675171</v>
      </c>
      <c r="S2562" t="s">
        <v>10414</v>
      </c>
      <c r="T2562">
        <v>174</v>
      </c>
      <c r="U2562" t="s">
        <v>108</v>
      </c>
      <c r="V2562">
        <v>44</v>
      </c>
      <c r="W2562" t="str">
        <f>HYPERLINK("Gene1663-zp_tree_all.dnd", "Gene1663-tree")</f>
        <v>Gene1663-tree</v>
      </c>
      <c r="X2562">
        <v>8</v>
      </c>
      <c r="Y2562">
        <v>7</v>
      </c>
      <c r="Z2562">
        <v>8</v>
      </c>
      <c r="AA2562">
        <v>7</v>
      </c>
      <c r="AB2562">
        <v>0.46666999999999997</v>
      </c>
      <c r="AC2562" t="s">
        <v>136</v>
      </c>
      <c r="AD2562" t="s">
        <v>152</v>
      </c>
      <c r="AE2562" t="s">
        <v>62</v>
      </c>
      <c r="AF2562" t="s">
        <v>62</v>
      </c>
      <c r="AG2562">
        <v>2</v>
      </c>
      <c r="AH2562">
        <v>4</v>
      </c>
      <c r="AI2562">
        <v>3</v>
      </c>
      <c r="AJ2562">
        <v>0.57142999999999999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4</v>
      </c>
      <c r="AQ2562">
        <v>0</v>
      </c>
      <c r="AR2562">
        <v>4</v>
      </c>
      <c r="AS2562">
        <v>3</v>
      </c>
      <c r="AT2562">
        <v>0.57142999999999999</v>
      </c>
      <c r="AU2562">
        <v>13</v>
      </c>
      <c r="AV2562">
        <v>2</v>
      </c>
      <c r="AW2562">
        <v>12</v>
      </c>
      <c r="AX2562">
        <v>7</v>
      </c>
      <c r="AY2562">
        <v>2</v>
      </c>
      <c r="AZ2562">
        <v>0</v>
      </c>
      <c r="BA2562" t="s">
        <v>10415</v>
      </c>
      <c r="BB2562" t="s">
        <v>193</v>
      </c>
      <c r="BC2562">
        <v>2.7639999999999998</v>
      </c>
      <c r="BD2562" t="s">
        <v>267</v>
      </c>
      <c r="BE2562">
        <v>14</v>
      </c>
      <c r="BF2562">
        <v>7</v>
      </c>
      <c r="BG2562" t="s">
        <v>10416</v>
      </c>
      <c r="BH2562" t="s">
        <v>10417</v>
      </c>
      <c r="BI2562" t="s">
        <v>10418</v>
      </c>
      <c r="BJ2562">
        <v>0.10149</v>
      </c>
      <c r="BK2562">
        <v>1</v>
      </c>
      <c r="BL2562" t="s">
        <v>69</v>
      </c>
      <c r="BM2562">
        <v>-1.5249999999999999</v>
      </c>
      <c r="BN2562">
        <v>-2.6120000000000001</v>
      </c>
    </row>
    <row r="2563" spans="10:66">
      <c r="J2563">
        <v>0</v>
      </c>
      <c r="K2563">
        <v>0</v>
      </c>
      <c r="L2563">
        <v>2</v>
      </c>
      <c r="M2563" t="s">
        <v>25022</v>
      </c>
      <c r="N2563">
        <v>1664</v>
      </c>
      <c r="O2563" t="s">
        <v>10419</v>
      </c>
      <c r="P2563" t="s">
        <v>57</v>
      </c>
      <c r="Q2563">
        <v>1675171</v>
      </c>
      <c r="R2563">
        <v>1675899</v>
      </c>
      <c r="S2563" t="s">
        <v>10420</v>
      </c>
      <c r="T2563">
        <v>243</v>
      </c>
      <c r="U2563" t="s">
        <v>108</v>
      </c>
      <c r="V2563">
        <v>44</v>
      </c>
      <c r="W2563" t="str">
        <f>HYPERLINK("Gene1664-zp_tree_all.dnd", "Gene1664-tree")</f>
        <v>Gene1664-tree</v>
      </c>
      <c r="X2563">
        <v>9</v>
      </c>
      <c r="Y2563">
        <v>10</v>
      </c>
      <c r="Z2563">
        <v>9</v>
      </c>
      <c r="AA2563">
        <v>7</v>
      </c>
      <c r="AB2563">
        <v>0.4375</v>
      </c>
      <c r="AC2563" t="s">
        <v>135</v>
      </c>
      <c r="AD2563" t="s">
        <v>10421</v>
      </c>
      <c r="AE2563">
        <v>1.171</v>
      </c>
      <c r="AF2563" t="s">
        <v>65</v>
      </c>
      <c r="AG2563">
        <v>1</v>
      </c>
      <c r="AH2563">
        <v>2</v>
      </c>
      <c r="AI2563">
        <v>6</v>
      </c>
      <c r="AJ2563">
        <v>0.25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2</v>
      </c>
      <c r="AR2563">
        <v>2</v>
      </c>
      <c r="AS2563">
        <v>6</v>
      </c>
      <c r="AT2563">
        <v>0.25</v>
      </c>
      <c r="AU2563">
        <v>12</v>
      </c>
      <c r="AV2563">
        <v>10</v>
      </c>
      <c r="AW2563">
        <v>22</v>
      </c>
      <c r="AX2563">
        <v>8</v>
      </c>
      <c r="AY2563">
        <v>20</v>
      </c>
      <c r="AZ2563">
        <v>0</v>
      </c>
      <c r="BA2563" t="s">
        <v>10422</v>
      </c>
      <c r="BB2563" t="s">
        <v>193</v>
      </c>
      <c r="BC2563">
        <v>1.845</v>
      </c>
      <c r="BD2563" t="s">
        <v>65</v>
      </c>
      <c r="BE2563">
        <v>42</v>
      </c>
      <c r="BF2563">
        <v>8</v>
      </c>
      <c r="BG2563" t="s">
        <v>10423</v>
      </c>
      <c r="BH2563" t="s">
        <v>10424</v>
      </c>
      <c r="BI2563" t="s">
        <v>10425</v>
      </c>
      <c r="BJ2563">
        <v>4.0399999999999998E-2</v>
      </c>
      <c r="BK2563">
        <v>1</v>
      </c>
      <c r="BL2563" t="s">
        <v>69</v>
      </c>
      <c r="BM2563">
        <v>-0.92700000000000005</v>
      </c>
      <c r="BN2563">
        <v>-0.99399999999999999</v>
      </c>
    </row>
    <row r="2564" spans="10:66">
      <c r="J2564">
        <v>0</v>
      </c>
      <c r="K2564">
        <v>0</v>
      </c>
      <c r="L2564">
        <v>0</v>
      </c>
      <c r="M2564" t="s">
        <v>25022</v>
      </c>
      <c r="N2564">
        <v>1665</v>
      </c>
      <c r="O2564" t="s">
        <v>10426</v>
      </c>
      <c r="P2564" t="s">
        <v>57</v>
      </c>
      <c r="Q2564">
        <v>1676042</v>
      </c>
      <c r="R2564">
        <v>1676386</v>
      </c>
      <c r="S2564" t="s">
        <v>10427</v>
      </c>
      <c r="T2564">
        <v>115</v>
      </c>
      <c r="U2564" t="s">
        <v>515</v>
      </c>
      <c r="V2564">
        <v>51</v>
      </c>
      <c r="W2564" t="str">
        <f>HYPERLINK("Gene1665-zp_tree_all.dnd", "Gene1665-tree")</f>
        <v>Gene1665-tree</v>
      </c>
      <c r="X2564">
        <v>8</v>
      </c>
      <c r="Y2564">
        <v>0</v>
      </c>
      <c r="Z2564">
        <v>8</v>
      </c>
      <c r="AA2564">
        <v>0</v>
      </c>
      <c r="AB2564">
        <v>0</v>
      </c>
      <c r="AC2564" t="s">
        <v>136</v>
      </c>
      <c r="AD2564" t="s">
        <v>62</v>
      </c>
      <c r="AE2564" t="s">
        <v>62</v>
      </c>
      <c r="AF2564" t="s">
        <v>62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3</v>
      </c>
      <c r="AV2564">
        <v>4</v>
      </c>
      <c r="AW2564">
        <v>3</v>
      </c>
      <c r="AX2564">
        <v>0</v>
      </c>
      <c r="AY2564">
        <v>12</v>
      </c>
      <c r="AZ2564">
        <v>1</v>
      </c>
      <c r="BA2564" t="s">
        <v>193</v>
      </c>
      <c r="BB2564" t="s">
        <v>10428</v>
      </c>
      <c r="BC2564">
        <v>0.5</v>
      </c>
      <c r="BD2564" t="s">
        <v>65</v>
      </c>
      <c r="BE2564">
        <v>15</v>
      </c>
      <c r="BF2564">
        <v>1</v>
      </c>
      <c r="BG2564" t="s">
        <v>10429</v>
      </c>
      <c r="BH2564" t="s">
        <v>10430</v>
      </c>
      <c r="BI2564" t="s">
        <v>10431</v>
      </c>
      <c r="BJ2564">
        <v>2.3230000000000001E-2</v>
      </c>
      <c r="BK2564">
        <v>1</v>
      </c>
      <c r="BL2564" t="s">
        <v>69</v>
      </c>
      <c r="BM2564">
        <v>-1.4630000000000001</v>
      </c>
      <c r="BN2564">
        <v>0.64800000000000002</v>
      </c>
    </row>
    <row r="2565" spans="10:66">
      <c r="J2565">
        <v>0</v>
      </c>
      <c r="K2565">
        <v>10</v>
      </c>
      <c r="L2565">
        <v>0</v>
      </c>
      <c r="M2565" t="s">
        <v>25022</v>
      </c>
      <c r="N2565">
        <v>1666</v>
      </c>
      <c r="O2565" t="s">
        <v>10432</v>
      </c>
      <c r="P2565" t="s">
        <v>57</v>
      </c>
      <c r="Q2565">
        <v>1676532</v>
      </c>
      <c r="R2565">
        <v>1677377</v>
      </c>
      <c r="S2565" t="s">
        <v>10433</v>
      </c>
      <c r="T2565">
        <v>282</v>
      </c>
      <c r="U2565" t="s">
        <v>108</v>
      </c>
      <c r="V2565">
        <v>44</v>
      </c>
      <c r="W2565" t="str">
        <f>HYPERLINK("Gene1666-zp_tree_all.dnd", "Gene1666-tree")</f>
        <v>Gene1666-tree</v>
      </c>
      <c r="X2565">
        <v>8</v>
      </c>
      <c r="Y2565">
        <v>7</v>
      </c>
      <c r="Z2565">
        <v>8</v>
      </c>
      <c r="AA2565">
        <v>7</v>
      </c>
      <c r="AB2565">
        <v>0.46666999999999997</v>
      </c>
      <c r="AC2565" t="s">
        <v>136</v>
      </c>
      <c r="AD2565" t="s">
        <v>152</v>
      </c>
      <c r="AE2565" t="s">
        <v>62</v>
      </c>
      <c r="AF2565" t="s">
        <v>62</v>
      </c>
      <c r="AG2565">
        <v>3</v>
      </c>
      <c r="AH2565">
        <v>10</v>
      </c>
      <c r="AI2565">
        <v>2</v>
      </c>
      <c r="AJ2565">
        <v>0.83333000000000002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6</v>
      </c>
      <c r="AQ2565">
        <v>0</v>
      </c>
      <c r="AR2565">
        <v>6</v>
      </c>
      <c r="AS2565">
        <v>3</v>
      </c>
      <c r="AT2565">
        <v>0.66666999999999998</v>
      </c>
      <c r="AU2565">
        <v>12</v>
      </c>
      <c r="AV2565">
        <v>9</v>
      </c>
      <c r="AW2565">
        <v>29</v>
      </c>
      <c r="AX2565">
        <v>9</v>
      </c>
      <c r="AY2565">
        <v>17</v>
      </c>
      <c r="AZ2565">
        <v>3</v>
      </c>
      <c r="BA2565" t="s">
        <v>10434</v>
      </c>
      <c r="BB2565" t="s">
        <v>10435</v>
      </c>
      <c r="BC2565">
        <v>0.66500000000000004</v>
      </c>
      <c r="BD2565" t="s">
        <v>65</v>
      </c>
      <c r="BE2565">
        <v>46</v>
      </c>
      <c r="BF2565">
        <v>12</v>
      </c>
      <c r="BG2565" t="s">
        <v>10436</v>
      </c>
      <c r="BH2565" t="s">
        <v>10437</v>
      </c>
      <c r="BI2565" t="s">
        <v>10438</v>
      </c>
      <c r="BJ2565">
        <v>6.2179999999999999E-2</v>
      </c>
      <c r="BK2565">
        <v>1</v>
      </c>
      <c r="BL2565" t="s">
        <v>69</v>
      </c>
      <c r="BM2565">
        <v>-1.1679999999999999</v>
      </c>
      <c r="BN2565">
        <v>-1.4330000000000001</v>
      </c>
    </row>
    <row r="2566" spans="10:66">
      <c r="J2566">
        <v>0</v>
      </c>
      <c r="K2566">
        <v>0</v>
      </c>
      <c r="L2566">
        <v>2</v>
      </c>
      <c r="M2566" t="s">
        <v>25022</v>
      </c>
      <c r="N2566">
        <v>1667</v>
      </c>
      <c r="O2566" t="s">
        <v>10439</v>
      </c>
      <c r="P2566" t="s">
        <v>57</v>
      </c>
      <c r="Q2566">
        <v>1677451</v>
      </c>
      <c r="R2566">
        <v>1678215</v>
      </c>
      <c r="S2566" t="s">
        <v>10440</v>
      </c>
      <c r="T2566">
        <v>255</v>
      </c>
      <c r="U2566" t="s">
        <v>72</v>
      </c>
      <c r="V2566">
        <v>45</v>
      </c>
      <c r="W2566" t="str">
        <f>HYPERLINK("Gene1667-zp_tree_all.dnd", "Gene1667-tree")</f>
        <v>Gene1667-tree</v>
      </c>
      <c r="X2566">
        <v>6</v>
      </c>
      <c r="Y2566">
        <v>8</v>
      </c>
      <c r="Z2566">
        <v>6</v>
      </c>
      <c r="AA2566">
        <v>8</v>
      </c>
      <c r="AB2566">
        <v>0.57142999999999999</v>
      </c>
      <c r="AC2566" t="s">
        <v>90</v>
      </c>
      <c r="AD2566" t="s">
        <v>136</v>
      </c>
      <c r="AE2566" t="s">
        <v>62</v>
      </c>
      <c r="AF2566" t="s">
        <v>62</v>
      </c>
      <c r="AG2566">
        <v>1</v>
      </c>
      <c r="AH2566">
        <v>2</v>
      </c>
      <c r="AI2566">
        <v>14</v>
      </c>
      <c r="AJ2566">
        <v>0.125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2</v>
      </c>
      <c r="AR2566">
        <v>2</v>
      </c>
      <c r="AS2566">
        <v>11</v>
      </c>
      <c r="AT2566">
        <v>0.15384999999999999</v>
      </c>
      <c r="AU2566">
        <v>11</v>
      </c>
      <c r="AV2566">
        <v>5</v>
      </c>
      <c r="AW2566">
        <v>40</v>
      </c>
      <c r="AX2566">
        <v>14</v>
      </c>
      <c r="AY2566">
        <v>4</v>
      </c>
      <c r="AZ2566">
        <v>3</v>
      </c>
      <c r="BA2566" t="s">
        <v>10441</v>
      </c>
      <c r="BB2566" t="s">
        <v>10442</v>
      </c>
      <c r="BC2566">
        <v>0.46</v>
      </c>
      <c r="BD2566" t="s">
        <v>65</v>
      </c>
      <c r="BE2566">
        <v>44</v>
      </c>
      <c r="BF2566">
        <v>17</v>
      </c>
      <c r="BG2566" t="s">
        <v>10443</v>
      </c>
      <c r="BH2566" t="s">
        <v>10444</v>
      </c>
      <c r="BI2566" t="s">
        <v>10445</v>
      </c>
      <c r="BJ2566">
        <v>0.11236</v>
      </c>
      <c r="BK2566">
        <v>1</v>
      </c>
      <c r="BL2566" t="s">
        <v>69</v>
      </c>
      <c r="BM2566">
        <v>-2.3439999999999999</v>
      </c>
      <c r="BN2566">
        <v>-5.22</v>
      </c>
    </row>
    <row r="2567" spans="10:66">
      <c r="J2567">
        <v>0</v>
      </c>
      <c r="K2567">
        <v>5</v>
      </c>
      <c r="L2567">
        <v>5</v>
      </c>
      <c r="M2567" t="s">
        <v>25022</v>
      </c>
      <c r="N2567">
        <v>1668</v>
      </c>
      <c r="O2567" t="s">
        <v>10446</v>
      </c>
      <c r="P2567" t="s">
        <v>57</v>
      </c>
      <c r="Q2567">
        <v>1678250</v>
      </c>
      <c r="R2567">
        <v>1679977</v>
      </c>
      <c r="S2567" t="s">
        <v>3798</v>
      </c>
      <c r="T2567">
        <v>576</v>
      </c>
      <c r="U2567" t="s">
        <v>1174</v>
      </c>
      <c r="V2567">
        <v>42</v>
      </c>
      <c r="W2567" t="str">
        <f>HYPERLINK("Gene1668-zp_tree_all.dnd", "Gene1668-tree")</f>
        <v>Gene1668-tree</v>
      </c>
      <c r="X2567">
        <v>3</v>
      </c>
      <c r="Y2567">
        <v>11</v>
      </c>
      <c r="Z2567">
        <v>3</v>
      </c>
      <c r="AA2567">
        <v>11</v>
      </c>
      <c r="AB2567">
        <v>0.78571000000000002</v>
      </c>
      <c r="AC2567" t="s">
        <v>324</v>
      </c>
      <c r="AD2567" t="s">
        <v>73</v>
      </c>
      <c r="AE2567">
        <v>305230034.74400002</v>
      </c>
      <c r="AF2567" t="s">
        <v>267</v>
      </c>
      <c r="AG2567">
        <v>4</v>
      </c>
      <c r="AH2567">
        <v>10</v>
      </c>
      <c r="AI2567">
        <v>33</v>
      </c>
      <c r="AJ2567">
        <v>0.23255999999999999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2</v>
      </c>
      <c r="AQ2567">
        <v>4</v>
      </c>
      <c r="AR2567">
        <v>6</v>
      </c>
      <c r="AS2567">
        <v>29</v>
      </c>
      <c r="AT2567">
        <v>0.17143</v>
      </c>
      <c r="AU2567">
        <v>12</v>
      </c>
      <c r="AV2567">
        <v>9</v>
      </c>
      <c r="AW2567">
        <v>25</v>
      </c>
      <c r="AX2567">
        <v>34</v>
      </c>
      <c r="AY2567">
        <v>28</v>
      </c>
      <c r="AZ2567">
        <v>9</v>
      </c>
      <c r="BA2567" t="s">
        <v>10447</v>
      </c>
      <c r="BB2567" t="s">
        <v>10448</v>
      </c>
      <c r="BC2567">
        <v>1.3120000000000001</v>
      </c>
      <c r="BD2567" t="s">
        <v>65</v>
      </c>
      <c r="BE2567">
        <v>53</v>
      </c>
      <c r="BF2567">
        <v>43</v>
      </c>
      <c r="BG2567" t="s">
        <v>10449</v>
      </c>
      <c r="BH2567" t="s">
        <v>10450</v>
      </c>
      <c r="BI2567" t="s">
        <v>10451</v>
      </c>
      <c r="BJ2567">
        <v>0.20086000000000001</v>
      </c>
      <c r="BK2567">
        <v>1</v>
      </c>
      <c r="BL2567" t="s">
        <v>69</v>
      </c>
      <c r="BM2567">
        <v>-1.4139999999999999</v>
      </c>
      <c r="BN2567">
        <v>-2.7890000000000001</v>
      </c>
    </row>
    <row r="2568" spans="10:66">
      <c r="J2568">
        <v>0</v>
      </c>
      <c r="K2568">
        <v>0</v>
      </c>
      <c r="L2568">
        <v>0</v>
      </c>
      <c r="M2568" t="s">
        <v>25022</v>
      </c>
      <c r="N2568">
        <v>1669</v>
      </c>
      <c r="O2568" t="s">
        <v>10452</v>
      </c>
      <c r="P2568" t="s">
        <v>57</v>
      </c>
      <c r="Q2568">
        <v>1679977</v>
      </c>
      <c r="R2568">
        <v>1680255</v>
      </c>
      <c r="S2568" t="s">
        <v>10453</v>
      </c>
      <c r="T2568">
        <v>93</v>
      </c>
      <c r="U2568" t="s">
        <v>108</v>
      </c>
      <c r="V2568">
        <v>44</v>
      </c>
      <c r="W2568" t="str">
        <f>HYPERLINK("Gene1669-zp_tree_all.dnd", "Gene1669-tree")</f>
        <v>Gene1669-tree</v>
      </c>
      <c r="X2568">
        <v>7</v>
      </c>
      <c r="Y2568">
        <v>2</v>
      </c>
      <c r="Z2568">
        <v>7</v>
      </c>
      <c r="AA2568">
        <v>2</v>
      </c>
      <c r="AB2568">
        <v>0.22222</v>
      </c>
      <c r="AC2568" t="s">
        <v>152</v>
      </c>
      <c r="AD2568" t="s">
        <v>81</v>
      </c>
      <c r="AE2568" t="s">
        <v>62</v>
      </c>
      <c r="AF2568" t="s">
        <v>62</v>
      </c>
      <c r="AG2568">
        <v>0</v>
      </c>
      <c r="AH2568">
        <v>0</v>
      </c>
      <c r="AI2568">
        <v>2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2</v>
      </c>
      <c r="AT2568">
        <v>0</v>
      </c>
      <c r="AU2568">
        <v>7</v>
      </c>
      <c r="AV2568">
        <v>1</v>
      </c>
      <c r="AW2568">
        <v>9</v>
      </c>
      <c r="AX2568">
        <v>2</v>
      </c>
      <c r="AY2568">
        <v>1</v>
      </c>
      <c r="AZ2568">
        <v>0</v>
      </c>
      <c r="BA2568" t="s">
        <v>10454</v>
      </c>
      <c r="BB2568" t="s">
        <v>193</v>
      </c>
      <c r="BC2568">
        <v>0.94099999999999995</v>
      </c>
      <c r="BD2568" t="s">
        <v>65</v>
      </c>
      <c r="BE2568">
        <v>10</v>
      </c>
      <c r="BF2568">
        <v>2</v>
      </c>
      <c r="BG2568" t="s">
        <v>10455</v>
      </c>
      <c r="BH2568" t="s">
        <v>10456</v>
      </c>
      <c r="BI2568" t="s">
        <v>10457</v>
      </c>
      <c r="BJ2568">
        <v>4.8300000000000003E-2</v>
      </c>
      <c r="BK2568">
        <v>1</v>
      </c>
      <c r="BL2568" t="s">
        <v>69</v>
      </c>
      <c r="BM2568">
        <v>-1.083</v>
      </c>
      <c r="BN2568">
        <v>-0.78600000000000003</v>
      </c>
    </row>
    <row r="2569" spans="10:66">
      <c r="J2569">
        <v>0</v>
      </c>
      <c r="K2569">
        <v>2</v>
      </c>
      <c r="L2569">
        <v>0</v>
      </c>
      <c r="M2569" t="s">
        <v>25022</v>
      </c>
      <c r="N2569">
        <v>1670</v>
      </c>
      <c r="O2569" t="s">
        <v>10458</v>
      </c>
      <c r="P2569" t="s">
        <v>57</v>
      </c>
      <c r="Q2569">
        <v>1680431</v>
      </c>
      <c r="R2569">
        <v>1681585</v>
      </c>
      <c r="S2569" t="s">
        <v>10459</v>
      </c>
      <c r="T2569">
        <v>385</v>
      </c>
      <c r="U2569" t="s">
        <v>59</v>
      </c>
      <c r="V2569">
        <v>49</v>
      </c>
      <c r="W2569" t="str">
        <f>HYPERLINK("Gene1670-zp_tree_all.dnd", "Gene1670-tree")</f>
        <v>Gene1670-tree</v>
      </c>
      <c r="X2569">
        <v>14</v>
      </c>
      <c r="Y2569">
        <v>5</v>
      </c>
      <c r="Z2569">
        <v>14</v>
      </c>
      <c r="AA2569">
        <v>5</v>
      </c>
      <c r="AB2569">
        <v>0.26316000000000001</v>
      </c>
      <c r="AC2569" t="s">
        <v>543</v>
      </c>
      <c r="AD2569" t="s">
        <v>199</v>
      </c>
      <c r="AE2569" t="s">
        <v>62</v>
      </c>
      <c r="AF2569" t="s">
        <v>62</v>
      </c>
      <c r="AG2569">
        <v>1</v>
      </c>
      <c r="AH2569">
        <v>2</v>
      </c>
      <c r="AI2569">
        <v>7</v>
      </c>
      <c r="AJ2569">
        <v>0.22222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6</v>
      </c>
      <c r="AT2569">
        <v>0</v>
      </c>
      <c r="AU2569">
        <v>17</v>
      </c>
      <c r="AV2569">
        <v>10</v>
      </c>
      <c r="AW2569">
        <v>37</v>
      </c>
      <c r="AX2569">
        <v>6</v>
      </c>
      <c r="AY2569">
        <v>55</v>
      </c>
      <c r="AZ2569">
        <v>4</v>
      </c>
      <c r="BA2569" t="s">
        <v>10460</v>
      </c>
      <c r="BB2569" t="s">
        <v>10461</v>
      </c>
      <c r="BC2569">
        <v>0.433</v>
      </c>
      <c r="BD2569" t="s">
        <v>65</v>
      </c>
      <c r="BE2569">
        <v>92</v>
      </c>
      <c r="BF2569">
        <v>10</v>
      </c>
      <c r="BG2569" t="s">
        <v>10462</v>
      </c>
      <c r="BH2569" t="s">
        <v>10463</v>
      </c>
      <c r="BI2569" t="s">
        <v>10464</v>
      </c>
      <c r="BJ2569">
        <v>3.0980000000000001E-2</v>
      </c>
      <c r="BK2569">
        <v>1</v>
      </c>
      <c r="BL2569" t="s">
        <v>69</v>
      </c>
      <c r="BM2569">
        <v>-1.083</v>
      </c>
      <c r="BN2569">
        <v>-1.0940000000000001</v>
      </c>
    </row>
    <row r="2570" spans="10:66">
      <c r="J2570">
        <v>0</v>
      </c>
      <c r="K2570">
        <v>0</v>
      </c>
      <c r="L2570">
        <v>0</v>
      </c>
      <c r="M2570" t="s">
        <v>25022</v>
      </c>
      <c r="N2570">
        <v>1671</v>
      </c>
      <c r="O2570" t="s">
        <v>10465</v>
      </c>
      <c r="P2570" t="s">
        <v>57</v>
      </c>
      <c r="Q2570">
        <v>1681617</v>
      </c>
      <c r="R2570">
        <v>1682516</v>
      </c>
      <c r="S2570" t="s">
        <v>10466</v>
      </c>
      <c r="T2570">
        <v>300</v>
      </c>
      <c r="U2570" t="s">
        <v>59</v>
      </c>
      <c r="V2570">
        <v>49</v>
      </c>
      <c r="W2570" t="str">
        <f>HYPERLINK("Gene1671-zp_tree_all.dnd", "Gene1671-tree")</f>
        <v>Gene1671-tree</v>
      </c>
      <c r="X2570">
        <v>16</v>
      </c>
      <c r="Y2570">
        <v>2</v>
      </c>
      <c r="Z2570">
        <v>16</v>
      </c>
      <c r="AA2570">
        <v>2</v>
      </c>
      <c r="AB2570">
        <v>0.11111</v>
      </c>
      <c r="AC2570" t="s">
        <v>60</v>
      </c>
      <c r="AD2570" t="s">
        <v>81</v>
      </c>
      <c r="AE2570" t="s">
        <v>62</v>
      </c>
      <c r="AF2570" t="s">
        <v>62</v>
      </c>
      <c r="AG2570">
        <v>0</v>
      </c>
      <c r="AH2570">
        <v>0</v>
      </c>
      <c r="AI2570">
        <v>3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2</v>
      </c>
      <c r="AT2570">
        <v>0</v>
      </c>
      <c r="AU2570">
        <v>13</v>
      </c>
      <c r="AV2570">
        <v>10</v>
      </c>
      <c r="AW2570">
        <v>40</v>
      </c>
      <c r="AX2570">
        <v>2</v>
      </c>
      <c r="AY2570">
        <v>43</v>
      </c>
      <c r="AZ2570">
        <v>1</v>
      </c>
      <c r="BA2570" t="s">
        <v>10467</v>
      </c>
      <c r="BB2570" t="s">
        <v>10468</v>
      </c>
      <c r="BC2570">
        <v>0.24399999999999999</v>
      </c>
      <c r="BD2570" t="s">
        <v>65</v>
      </c>
      <c r="BE2570">
        <v>83</v>
      </c>
      <c r="BF2570">
        <v>3</v>
      </c>
      <c r="BG2570" t="s">
        <v>10469</v>
      </c>
      <c r="BH2570" t="s">
        <v>10470</v>
      </c>
      <c r="BI2570" t="s">
        <v>10471</v>
      </c>
      <c r="BJ2570">
        <v>7.1799999999999998E-3</v>
      </c>
      <c r="BK2570">
        <v>1</v>
      </c>
      <c r="BL2570" t="s">
        <v>69</v>
      </c>
      <c r="BM2570">
        <v>-1.252</v>
      </c>
      <c r="BN2570">
        <v>-1.0169999999999999</v>
      </c>
    </row>
    <row r="2571" spans="10:66">
      <c r="J2571">
        <v>0</v>
      </c>
      <c r="K2571">
        <v>0</v>
      </c>
      <c r="L2571">
        <v>0</v>
      </c>
      <c r="M2571" t="s">
        <v>25022</v>
      </c>
      <c r="N2571">
        <v>1672</v>
      </c>
      <c r="O2571" t="s">
        <v>10472</v>
      </c>
      <c r="P2571" t="s">
        <v>57</v>
      </c>
      <c r="Q2571">
        <v>1682580</v>
      </c>
      <c r="R2571">
        <v>1683470</v>
      </c>
      <c r="S2571" t="s">
        <v>10473</v>
      </c>
      <c r="T2571">
        <v>297</v>
      </c>
      <c r="U2571" t="s">
        <v>1557</v>
      </c>
      <c r="V2571">
        <v>40</v>
      </c>
      <c r="W2571" t="str">
        <f>HYPERLINK("Gene1672-zp_tree_all.dnd", "Gene1672-tree")</f>
        <v>Gene1672-tree</v>
      </c>
      <c r="X2571">
        <v>7</v>
      </c>
      <c r="Y2571">
        <v>7</v>
      </c>
      <c r="Z2571">
        <v>7</v>
      </c>
      <c r="AA2571">
        <v>7</v>
      </c>
      <c r="AB2571">
        <v>0.5</v>
      </c>
      <c r="AC2571" t="s">
        <v>152</v>
      </c>
      <c r="AD2571" t="s">
        <v>152</v>
      </c>
      <c r="AE2571" t="s">
        <v>62</v>
      </c>
      <c r="AF2571" t="s">
        <v>62</v>
      </c>
      <c r="AG2571">
        <v>0</v>
      </c>
      <c r="AH2571">
        <v>0</v>
      </c>
      <c r="AI2571">
        <v>12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10</v>
      </c>
      <c r="AT2571">
        <v>0</v>
      </c>
      <c r="AU2571">
        <v>10</v>
      </c>
      <c r="AV2571">
        <v>7</v>
      </c>
      <c r="AW2571">
        <v>11</v>
      </c>
      <c r="AX2571">
        <v>9</v>
      </c>
      <c r="AY2571">
        <v>6</v>
      </c>
      <c r="AZ2571">
        <v>3</v>
      </c>
      <c r="BA2571" t="s">
        <v>10474</v>
      </c>
      <c r="BB2571" t="s">
        <v>10475</v>
      </c>
      <c r="BC2571">
        <v>0.56699999999999995</v>
      </c>
      <c r="BD2571" t="s">
        <v>65</v>
      </c>
      <c r="BE2571">
        <v>17</v>
      </c>
      <c r="BF2571">
        <v>12</v>
      </c>
      <c r="BG2571" t="s">
        <v>10476</v>
      </c>
      <c r="BH2571" t="s">
        <v>10477</v>
      </c>
      <c r="BI2571" t="s">
        <v>10478</v>
      </c>
      <c r="BJ2571">
        <v>0.23738000000000001</v>
      </c>
      <c r="BK2571">
        <v>1</v>
      </c>
      <c r="BL2571" t="s">
        <v>69</v>
      </c>
      <c r="BM2571">
        <v>-0.998</v>
      </c>
      <c r="BN2571">
        <v>-0.65800000000000003</v>
      </c>
    </row>
    <row r="2572" spans="10:66">
      <c r="J2572">
        <v>0</v>
      </c>
      <c r="K2572">
        <v>0</v>
      </c>
      <c r="L2572">
        <v>0</v>
      </c>
      <c r="M2572" t="s">
        <v>25022</v>
      </c>
      <c r="N2572">
        <v>1673</v>
      </c>
      <c r="O2572" t="s">
        <v>10479</v>
      </c>
      <c r="P2572" t="s">
        <v>57</v>
      </c>
      <c r="Q2572">
        <v>1683661</v>
      </c>
      <c r="R2572">
        <v>1685733</v>
      </c>
      <c r="S2572" t="s">
        <v>10480</v>
      </c>
      <c r="T2572">
        <v>691</v>
      </c>
      <c r="U2572" t="s">
        <v>108</v>
      </c>
      <c r="V2572">
        <v>44</v>
      </c>
      <c r="W2572" t="str">
        <f>HYPERLINK("Gene1673-zp_tree_all.dnd", "Gene1673-tree")</f>
        <v>Gene1673-tree</v>
      </c>
      <c r="X2572">
        <v>11</v>
      </c>
      <c r="Y2572">
        <v>3</v>
      </c>
      <c r="Z2572">
        <v>11</v>
      </c>
      <c r="AA2572">
        <v>3</v>
      </c>
      <c r="AB2572">
        <v>0.21429000000000001</v>
      </c>
      <c r="AC2572" t="s">
        <v>73</v>
      </c>
      <c r="AD2572" t="s">
        <v>324</v>
      </c>
      <c r="AE2572" t="s">
        <v>62</v>
      </c>
      <c r="AF2572" t="s">
        <v>62</v>
      </c>
      <c r="AG2572">
        <v>0</v>
      </c>
      <c r="AH2572">
        <v>0</v>
      </c>
      <c r="AI2572">
        <v>3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3</v>
      </c>
      <c r="AT2572">
        <v>0</v>
      </c>
      <c r="AU2572">
        <v>12</v>
      </c>
      <c r="AV2572">
        <v>9</v>
      </c>
      <c r="AW2572">
        <v>39</v>
      </c>
      <c r="AX2572">
        <v>3</v>
      </c>
      <c r="AY2572">
        <v>24</v>
      </c>
      <c r="AZ2572">
        <v>0</v>
      </c>
      <c r="BA2572" t="s">
        <v>10481</v>
      </c>
      <c r="BB2572" t="s">
        <v>193</v>
      </c>
      <c r="BC2572">
        <v>1.054</v>
      </c>
      <c r="BD2572" t="s">
        <v>65</v>
      </c>
      <c r="BE2572">
        <v>63</v>
      </c>
      <c r="BF2572">
        <v>3</v>
      </c>
      <c r="BG2572" t="s">
        <v>10482</v>
      </c>
      <c r="BH2572" t="s">
        <v>10483</v>
      </c>
      <c r="BI2572" t="s">
        <v>10484</v>
      </c>
      <c r="BJ2572">
        <v>1.017E-2</v>
      </c>
      <c r="BK2572">
        <v>1</v>
      </c>
      <c r="BL2572" t="s">
        <v>69</v>
      </c>
      <c r="BM2572">
        <v>-1.224</v>
      </c>
      <c r="BN2572">
        <v>-1.135</v>
      </c>
    </row>
    <row r="2573" spans="10:66">
      <c r="J2573">
        <v>0</v>
      </c>
      <c r="K2573">
        <v>2</v>
      </c>
      <c r="L2573">
        <v>0</v>
      </c>
      <c r="M2573" t="s">
        <v>25022</v>
      </c>
      <c r="N2573">
        <v>1674</v>
      </c>
      <c r="O2573" t="s">
        <v>10485</v>
      </c>
      <c r="P2573" t="s">
        <v>57</v>
      </c>
      <c r="Q2573">
        <v>1685812</v>
      </c>
      <c r="R2573">
        <v>1687116</v>
      </c>
      <c r="S2573" t="s">
        <v>10486</v>
      </c>
      <c r="T2573">
        <v>435</v>
      </c>
      <c r="U2573" t="s">
        <v>108</v>
      </c>
      <c r="V2573">
        <v>44</v>
      </c>
      <c r="W2573" t="str">
        <f>HYPERLINK("Gene1674-zp_tree_all.dnd", "Gene1674-tree")</f>
        <v>Gene1674-tree</v>
      </c>
      <c r="X2573">
        <v>7</v>
      </c>
      <c r="Y2573">
        <v>7</v>
      </c>
      <c r="Z2573">
        <v>7</v>
      </c>
      <c r="AA2573">
        <v>7</v>
      </c>
      <c r="AB2573">
        <v>0.5</v>
      </c>
      <c r="AC2573" t="s">
        <v>152</v>
      </c>
      <c r="AD2573" t="s">
        <v>152</v>
      </c>
      <c r="AE2573" t="s">
        <v>62</v>
      </c>
      <c r="AF2573" t="s">
        <v>62</v>
      </c>
      <c r="AG2573">
        <v>1</v>
      </c>
      <c r="AH2573">
        <v>2</v>
      </c>
      <c r="AI2573">
        <v>5</v>
      </c>
      <c r="AJ2573">
        <v>0.28571000000000002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</v>
      </c>
      <c r="AQ2573">
        <v>0</v>
      </c>
      <c r="AR2573">
        <v>2</v>
      </c>
      <c r="AS2573">
        <v>5</v>
      </c>
      <c r="AT2573">
        <v>0.28571000000000002</v>
      </c>
      <c r="AU2573">
        <v>11</v>
      </c>
      <c r="AV2573">
        <v>10</v>
      </c>
      <c r="AW2573">
        <v>39</v>
      </c>
      <c r="AX2573">
        <v>6</v>
      </c>
      <c r="AY2573">
        <v>36</v>
      </c>
      <c r="AZ2573">
        <v>1</v>
      </c>
      <c r="BA2573" t="s">
        <v>10487</v>
      </c>
      <c r="BB2573" t="s">
        <v>10488</v>
      </c>
      <c r="BC2573">
        <v>0.73199999999999998</v>
      </c>
      <c r="BD2573" t="s">
        <v>65</v>
      </c>
      <c r="BE2573">
        <v>75</v>
      </c>
      <c r="BF2573">
        <v>7</v>
      </c>
      <c r="BG2573" t="s">
        <v>10489</v>
      </c>
      <c r="BH2573" t="s">
        <v>10490</v>
      </c>
      <c r="BI2573" t="s">
        <v>10491</v>
      </c>
      <c r="BJ2573">
        <v>2.282E-2</v>
      </c>
      <c r="BK2573">
        <v>1</v>
      </c>
      <c r="BL2573" t="s">
        <v>69</v>
      </c>
      <c r="BM2573">
        <v>-0.93600000000000005</v>
      </c>
      <c r="BN2573">
        <v>-1.8939999999999999</v>
      </c>
    </row>
    <row r="2574" spans="10:66">
      <c r="J2574">
        <v>0</v>
      </c>
      <c r="K2574">
        <v>3</v>
      </c>
      <c r="L2574">
        <v>4</v>
      </c>
      <c r="M2574" t="s">
        <v>25022</v>
      </c>
      <c r="N2574">
        <v>1675</v>
      </c>
      <c r="O2574" t="s">
        <v>10492</v>
      </c>
      <c r="P2574" t="s">
        <v>57</v>
      </c>
      <c r="Q2574">
        <v>1687187</v>
      </c>
      <c r="R2574">
        <v>1688098</v>
      </c>
      <c r="S2574" t="s">
        <v>10493</v>
      </c>
      <c r="T2574">
        <v>304</v>
      </c>
      <c r="U2574" t="s">
        <v>59</v>
      </c>
      <c r="V2574">
        <v>49</v>
      </c>
      <c r="W2574" t="str">
        <f>HYPERLINK("Gene1675-zp_tree_all.dnd", "Gene1675-tree")</f>
        <v>Gene1675-tree</v>
      </c>
      <c r="X2574">
        <v>9</v>
      </c>
      <c r="Y2574">
        <v>7</v>
      </c>
      <c r="Z2574">
        <v>9</v>
      </c>
      <c r="AA2574">
        <v>7</v>
      </c>
      <c r="AB2574">
        <v>0.4375</v>
      </c>
      <c r="AC2574" t="s">
        <v>135</v>
      </c>
      <c r="AD2574" t="s">
        <v>152</v>
      </c>
      <c r="AE2574" t="s">
        <v>62</v>
      </c>
      <c r="AF2574" t="s">
        <v>62</v>
      </c>
      <c r="AG2574">
        <v>3</v>
      </c>
      <c r="AH2574">
        <v>7</v>
      </c>
      <c r="AI2574">
        <v>11</v>
      </c>
      <c r="AJ2574">
        <v>0.38889000000000001</v>
      </c>
      <c r="AK2574">
        <v>0</v>
      </c>
      <c r="AL2574">
        <v>0</v>
      </c>
      <c r="AM2574">
        <v>0</v>
      </c>
      <c r="AN2574">
        <v>4</v>
      </c>
      <c r="AO2574">
        <v>0</v>
      </c>
      <c r="AP2574">
        <v>2</v>
      </c>
      <c r="AQ2574">
        <v>0</v>
      </c>
      <c r="AR2574">
        <v>2</v>
      </c>
      <c r="AS2574">
        <v>8</v>
      </c>
      <c r="AT2574">
        <v>0.2</v>
      </c>
      <c r="AU2574">
        <v>11</v>
      </c>
      <c r="AV2574">
        <v>7</v>
      </c>
      <c r="AW2574">
        <v>24</v>
      </c>
      <c r="AX2574">
        <v>10</v>
      </c>
      <c r="AY2574">
        <v>33</v>
      </c>
      <c r="AZ2574">
        <v>8</v>
      </c>
      <c r="BA2574" t="s">
        <v>10494</v>
      </c>
      <c r="BB2574" t="s">
        <v>10495</v>
      </c>
      <c r="BC2574">
        <v>0.48399999999999999</v>
      </c>
      <c r="BD2574" t="s">
        <v>65</v>
      </c>
      <c r="BE2574">
        <v>57</v>
      </c>
      <c r="BF2574">
        <v>18</v>
      </c>
      <c r="BG2574" t="s">
        <v>10496</v>
      </c>
      <c r="BH2574" t="s">
        <v>10497</v>
      </c>
      <c r="BI2574" t="s">
        <v>10498</v>
      </c>
      <c r="BJ2574">
        <v>7.1940000000000004E-2</v>
      </c>
      <c r="BK2574">
        <v>1</v>
      </c>
      <c r="BL2574" t="s">
        <v>69</v>
      </c>
      <c r="BM2574">
        <v>-1.752</v>
      </c>
      <c r="BN2574">
        <v>-1.6</v>
      </c>
    </row>
    <row r="2575" spans="10:66">
      <c r="J2575">
        <v>0</v>
      </c>
      <c r="K2575">
        <v>0</v>
      </c>
      <c r="L2575">
        <v>0</v>
      </c>
      <c r="M2575" t="s">
        <v>25022</v>
      </c>
      <c r="N2575">
        <v>1676</v>
      </c>
      <c r="O2575" t="s">
        <v>10499</v>
      </c>
      <c r="P2575" t="s">
        <v>57</v>
      </c>
      <c r="Q2575">
        <v>1688114</v>
      </c>
      <c r="R2575">
        <v>1688656</v>
      </c>
      <c r="S2575" t="s">
        <v>10500</v>
      </c>
      <c r="T2575">
        <v>181</v>
      </c>
      <c r="U2575" t="s">
        <v>59</v>
      </c>
      <c r="V2575">
        <v>49</v>
      </c>
      <c r="W2575" t="str">
        <f>HYPERLINK("Gene1676-zp_tree_all.dnd", "Gene1676-tree")</f>
        <v>Gene1676-tree</v>
      </c>
      <c r="X2575">
        <v>10</v>
      </c>
      <c r="Y2575">
        <v>1</v>
      </c>
      <c r="Z2575">
        <v>10</v>
      </c>
      <c r="AA2575">
        <v>1</v>
      </c>
      <c r="AB2575">
        <v>9.0910000000000005E-2</v>
      </c>
      <c r="AC2575" t="s">
        <v>117</v>
      </c>
      <c r="AD2575" t="s">
        <v>175</v>
      </c>
      <c r="AE2575" t="s">
        <v>62</v>
      </c>
      <c r="AF2575" t="s">
        <v>62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7</v>
      </c>
      <c r="AV2575">
        <v>6</v>
      </c>
      <c r="AW2575">
        <v>15</v>
      </c>
      <c r="AX2575">
        <v>1</v>
      </c>
      <c r="AY2575">
        <v>30</v>
      </c>
      <c r="AZ2575">
        <v>0</v>
      </c>
      <c r="BA2575" t="s">
        <v>10501</v>
      </c>
      <c r="BB2575" t="s">
        <v>193</v>
      </c>
      <c r="BC2575">
        <v>0.42499999999999999</v>
      </c>
      <c r="BD2575" t="s">
        <v>65</v>
      </c>
      <c r="BE2575">
        <v>45</v>
      </c>
      <c r="BF2575">
        <v>1</v>
      </c>
      <c r="BG2575" t="s">
        <v>10502</v>
      </c>
      <c r="BH2575" t="s">
        <v>10503</v>
      </c>
      <c r="BI2575" t="s">
        <v>10070</v>
      </c>
      <c r="BJ2575">
        <v>3.3899999999999998E-3</v>
      </c>
      <c r="BK2575">
        <v>1</v>
      </c>
      <c r="BL2575" t="s">
        <v>69</v>
      </c>
      <c r="BM2575">
        <v>-0.91200000000000003</v>
      </c>
      <c r="BN2575">
        <v>3.3000000000000002E-2</v>
      </c>
    </row>
    <row r="2576" spans="10:66">
      <c r="J2576">
        <v>0</v>
      </c>
      <c r="K2576">
        <v>2</v>
      </c>
      <c r="L2576">
        <v>0</v>
      </c>
      <c r="M2576" t="s">
        <v>25022</v>
      </c>
      <c r="N2576">
        <v>1677</v>
      </c>
      <c r="O2576" t="s">
        <v>10504</v>
      </c>
      <c r="P2576" t="s">
        <v>57</v>
      </c>
      <c r="Q2576">
        <v>1688676</v>
      </c>
      <c r="R2576">
        <v>1690076</v>
      </c>
      <c r="S2576" t="s">
        <v>10505</v>
      </c>
      <c r="T2576">
        <v>467</v>
      </c>
      <c r="U2576" t="s">
        <v>125</v>
      </c>
      <c r="V2576">
        <v>48</v>
      </c>
      <c r="W2576" t="str">
        <f>HYPERLINK("Gene1677-zp_tree_all.dnd", "Gene1677-tree")</f>
        <v>Gene1677-tree</v>
      </c>
      <c r="X2576">
        <v>13</v>
      </c>
      <c r="Y2576">
        <v>3</v>
      </c>
      <c r="Z2576">
        <v>13</v>
      </c>
      <c r="AA2576">
        <v>3</v>
      </c>
      <c r="AB2576">
        <v>0.1875</v>
      </c>
      <c r="AC2576" t="s">
        <v>507</v>
      </c>
      <c r="AD2576" t="s">
        <v>324</v>
      </c>
      <c r="AE2576" t="s">
        <v>62</v>
      </c>
      <c r="AF2576" t="s">
        <v>62</v>
      </c>
      <c r="AG2576">
        <v>1</v>
      </c>
      <c r="AH2576">
        <v>2</v>
      </c>
      <c r="AI2576">
        <v>6</v>
      </c>
      <c r="AJ2576">
        <v>0.25</v>
      </c>
      <c r="AK2576">
        <v>0</v>
      </c>
      <c r="AL2576">
        <v>0</v>
      </c>
      <c r="AM2576">
        <v>0</v>
      </c>
      <c r="AN2576">
        <v>2</v>
      </c>
      <c r="AO2576">
        <v>0</v>
      </c>
      <c r="AP2576">
        <v>0</v>
      </c>
      <c r="AQ2576">
        <v>0</v>
      </c>
      <c r="AR2576">
        <v>0</v>
      </c>
      <c r="AS2576">
        <v>3</v>
      </c>
      <c r="AT2576">
        <v>0</v>
      </c>
      <c r="AU2576">
        <v>12</v>
      </c>
      <c r="AV2576">
        <v>12</v>
      </c>
      <c r="AW2576">
        <v>28</v>
      </c>
      <c r="AX2576">
        <v>3</v>
      </c>
      <c r="AY2576">
        <v>83</v>
      </c>
      <c r="AZ2576">
        <v>5</v>
      </c>
      <c r="BA2576" t="s">
        <v>10506</v>
      </c>
      <c r="BB2576" t="s">
        <v>10507</v>
      </c>
      <c r="BC2576">
        <v>0.35299999999999998</v>
      </c>
      <c r="BD2576" t="s">
        <v>65</v>
      </c>
      <c r="BE2576">
        <v>111</v>
      </c>
      <c r="BF2576">
        <v>8</v>
      </c>
      <c r="BG2576" t="s">
        <v>10508</v>
      </c>
      <c r="BH2576" t="s">
        <v>10509</v>
      </c>
      <c r="BI2576" t="s">
        <v>10510</v>
      </c>
      <c r="BJ2576">
        <v>1.5810000000000001E-2</v>
      </c>
      <c r="BK2576">
        <v>1</v>
      </c>
      <c r="BL2576" t="s">
        <v>69</v>
      </c>
      <c r="BM2576">
        <v>-1.1970000000000001</v>
      </c>
      <c r="BN2576">
        <v>0.68300000000000005</v>
      </c>
    </row>
    <row r="2577" spans="10:66">
      <c r="J2577">
        <v>0</v>
      </c>
      <c r="K2577">
        <v>0</v>
      </c>
      <c r="L2577">
        <v>0</v>
      </c>
      <c r="M2577" t="s">
        <v>25022</v>
      </c>
      <c r="N2577">
        <v>1678</v>
      </c>
      <c r="O2577" t="s">
        <v>10511</v>
      </c>
      <c r="P2577" t="s">
        <v>57</v>
      </c>
      <c r="Q2577">
        <v>1690119</v>
      </c>
      <c r="R2577">
        <v>1690895</v>
      </c>
      <c r="S2577" t="s">
        <v>10512</v>
      </c>
      <c r="T2577">
        <v>259</v>
      </c>
      <c r="U2577" t="s">
        <v>10513</v>
      </c>
      <c r="V2577">
        <v>46</v>
      </c>
      <c r="W2577" t="str">
        <f>HYPERLINK("Gene1678-zp_tree_all.dnd", "Gene1678-tree")</f>
        <v>Gene1678-tree</v>
      </c>
      <c r="X2577">
        <v>14</v>
      </c>
      <c r="Y2577">
        <v>1</v>
      </c>
      <c r="Z2577">
        <v>14</v>
      </c>
      <c r="AA2577">
        <v>1</v>
      </c>
      <c r="AB2577">
        <v>6.6669999999999993E-2</v>
      </c>
      <c r="AC2577" t="s">
        <v>543</v>
      </c>
      <c r="AD2577" t="s">
        <v>175</v>
      </c>
      <c r="AE2577" t="s">
        <v>62</v>
      </c>
      <c r="AF2577" t="s">
        <v>62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0</v>
      </c>
      <c r="AU2577">
        <v>13</v>
      </c>
      <c r="AV2577">
        <v>8</v>
      </c>
      <c r="AW2577">
        <v>31</v>
      </c>
      <c r="AX2577">
        <v>1</v>
      </c>
      <c r="AY2577">
        <v>37</v>
      </c>
      <c r="AZ2577">
        <v>0</v>
      </c>
      <c r="BA2577" t="s">
        <v>10514</v>
      </c>
      <c r="BB2577" t="s">
        <v>193</v>
      </c>
      <c r="BC2577">
        <v>0.28599999999999998</v>
      </c>
      <c r="BD2577" t="s">
        <v>65</v>
      </c>
      <c r="BE2577">
        <v>68</v>
      </c>
      <c r="BF2577">
        <v>1</v>
      </c>
      <c r="BG2577" t="s">
        <v>10515</v>
      </c>
      <c r="BH2577" t="s">
        <v>10516</v>
      </c>
      <c r="BI2577" t="s">
        <v>10517</v>
      </c>
      <c r="BJ2577">
        <v>2.0500000000000002E-3</v>
      </c>
      <c r="BK2577">
        <v>1</v>
      </c>
      <c r="BL2577" t="s">
        <v>69</v>
      </c>
      <c r="BM2577">
        <v>-1.625</v>
      </c>
      <c r="BN2577">
        <v>-1.466</v>
      </c>
    </row>
    <row r="2578" spans="10:66">
      <c r="J2578">
        <v>0</v>
      </c>
      <c r="K2578">
        <v>2</v>
      </c>
      <c r="L2578">
        <v>3</v>
      </c>
      <c r="M2578" t="s">
        <v>25022</v>
      </c>
      <c r="N2578">
        <v>1679</v>
      </c>
      <c r="O2578" t="s">
        <v>10518</v>
      </c>
      <c r="P2578" t="s">
        <v>57</v>
      </c>
      <c r="Q2578">
        <v>1691278</v>
      </c>
      <c r="R2578">
        <v>1691664</v>
      </c>
      <c r="S2578" t="s">
        <v>10519</v>
      </c>
      <c r="T2578">
        <v>129</v>
      </c>
      <c r="U2578" t="s">
        <v>59</v>
      </c>
      <c r="V2578">
        <v>49</v>
      </c>
      <c r="W2578" t="str">
        <f>HYPERLINK("Gene1679-zp_tree_all.dnd", "Gene1679-tree")</f>
        <v>Gene1679-tree</v>
      </c>
      <c r="X2578">
        <v>5</v>
      </c>
      <c r="Y2578">
        <v>6</v>
      </c>
      <c r="Z2578">
        <v>5</v>
      </c>
      <c r="AA2578">
        <v>6</v>
      </c>
      <c r="AB2578">
        <v>0.54544999999999999</v>
      </c>
      <c r="AC2578" t="s">
        <v>199</v>
      </c>
      <c r="AD2578" t="s">
        <v>90</v>
      </c>
      <c r="AE2578" t="s">
        <v>62</v>
      </c>
      <c r="AF2578" t="s">
        <v>62</v>
      </c>
      <c r="AG2578">
        <v>2</v>
      </c>
      <c r="AH2578">
        <v>5</v>
      </c>
      <c r="AI2578">
        <v>8</v>
      </c>
      <c r="AJ2578">
        <v>0.38462000000000002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2</v>
      </c>
      <c r="AR2578">
        <v>2</v>
      </c>
      <c r="AS2578">
        <v>4</v>
      </c>
      <c r="AT2578">
        <v>0.33333000000000002</v>
      </c>
      <c r="AU2578">
        <v>8</v>
      </c>
      <c r="AV2578">
        <v>5</v>
      </c>
      <c r="AW2578">
        <v>10</v>
      </c>
      <c r="AX2578">
        <v>6</v>
      </c>
      <c r="AY2578">
        <v>14</v>
      </c>
      <c r="AZ2578">
        <v>7</v>
      </c>
      <c r="BA2578" t="s">
        <v>10520</v>
      </c>
      <c r="BB2578" t="s">
        <v>10521</v>
      </c>
      <c r="BC2578">
        <v>0.255</v>
      </c>
      <c r="BD2578" t="s">
        <v>65</v>
      </c>
      <c r="BE2578">
        <v>24</v>
      </c>
      <c r="BF2578">
        <v>13</v>
      </c>
      <c r="BG2578" t="s">
        <v>10522</v>
      </c>
      <c r="BH2578" t="s">
        <v>10523</v>
      </c>
      <c r="BI2578" t="s">
        <v>10524</v>
      </c>
      <c r="BJ2578">
        <v>0.13486999999999999</v>
      </c>
      <c r="BK2578">
        <v>1</v>
      </c>
      <c r="BL2578" t="s">
        <v>69</v>
      </c>
      <c r="BM2578">
        <v>-1.6060000000000001</v>
      </c>
      <c r="BN2578">
        <v>-0.109</v>
      </c>
    </row>
    <row r="2579" spans="10:66">
      <c r="J2579">
        <v>0</v>
      </c>
      <c r="K2579">
        <v>0</v>
      </c>
      <c r="L2579">
        <v>0</v>
      </c>
      <c r="M2579" t="s">
        <v>25022</v>
      </c>
      <c r="N2579">
        <v>1680</v>
      </c>
      <c r="O2579" t="s">
        <v>10525</v>
      </c>
      <c r="P2579" t="s">
        <v>57</v>
      </c>
      <c r="Q2579">
        <v>1691667</v>
      </c>
      <c r="R2579">
        <v>1692116</v>
      </c>
      <c r="S2579" t="s">
        <v>10519</v>
      </c>
      <c r="T2579">
        <v>150</v>
      </c>
      <c r="U2579" t="s">
        <v>572</v>
      </c>
      <c r="V2579">
        <v>48</v>
      </c>
      <c r="W2579" t="str">
        <f>HYPERLINK("Gene1680-zp_tree_all.dnd", "Gene1680-tree")</f>
        <v>Gene1680-tree</v>
      </c>
      <c r="X2579">
        <v>8</v>
      </c>
      <c r="Y2579">
        <v>5</v>
      </c>
      <c r="Z2579">
        <v>8</v>
      </c>
      <c r="AA2579">
        <v>5</v>
      </c>
      <c r="AB2579">
        <v>0.38462000000000002</v>
      </c>
      <c r="AC2579" t="s">
        <v>136</v>
      </c>
      <c r="AD2579" t="s">
        <v>199</v>
      </c>
      <c r="AE2579" t="s">
        <v>62</v>
      </c>
      <c r="AF2579" t="s">
        <v>62</v>
      </c>
      <c r="AG2579">
        <v>0</v>
      </c>
      <c r="AH2579">
        <v>0</v>
      </c>
      <c r="AI2579">
        <v>7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5</v>
      </c>
      <c r="AT2579">
        <v>0</v>
      </c>
      <c r="AU2579">
        <v>11</v>
      </c>
      <c r="AV2579">
        <v>8</v>
      </c>
      <c r="AW2579">
        <v>22</v>
      </c>
      <c r="AX2579">
        <v>5</v>
      </c>
      <c r="AY2579">
        <v>26</v>
      </c>
      <c r="AZ2579">
        <v>2</v>
      </c>
      <c r="BA2579" t="s">
        <v>10526</v>
      </c>
      <c r="BB2579" t="s">
        <v>10527</v>
      </c>
      <c r="BC2579">
        <v>0.88700000000000001</v>
      </c>
      <c r="BD2579" t="s">
        <v>65</v>
      </c>
      <c r="BE2579">
        <v>48</v>
      </c>
      <c r="BF2579">
        <v>7</v>
      </c>
      <c r="BG2579" t="s">
        <v>10528</v>
      </c>
      <c r="BH2579" t="s">
        <v>10529</v>
      </c>
      <c r="BI2579" t="s">
        <v>10530</v>
      </c>
      <c r="BJ2579">
        <v>3.1220000000000001E-2</v>
      </c>
      <c r="BK2579">
        <v>1</v>
      </c>
      <c r="BL2579" t="s">
        <v>69</v>
      </c>
      <c r="BM2579">
        <v>-1.373</v>
      </c>
      <c r="BN2579">
        <v>-2.5529999999999999</v>
      </c>
    </row>
    <row r="2580" spans="10:66">
      <c r="J2580">
        <v>0</v>
      </c>
      <c r="K2580">
        <v>0</v>
      </c>
      <c r="L2580">
        <v>0</v>
      </c>
      <c r="M2580" t="s">
        <v>25022</v>
      </c>
      <c r="N2580">
        <v>1681</v>
      </c>
      <c r="O2580" t="s">
        <v>10531</v>
      </c>
      <c r="P2580" t="s">
        <v>57</v>
      </c>
      <c r="Q2580">
        <v>1692130</v>
      </c>
      <c r="R2580">
        <v>1692447</v>
      </c>
      <c r="S2580" t="s">
        <v>10532</v>
      </c>
      <c r="T2580">
        <v>106</v>
      </c>
      <c r="U2580" t="s">
        <v>59</v>
      </c>
      <c r="V2580">
        <v>49</v>
      </c>
      <c r="W2580" t="str">
        <f>HYPERLINK("Gene1681-zp_tree_all.dnd", "Gene1681-tree")</f>
        <v>Gene1681-tree</v>
      </c>
      <c r="X2580">
        <v>4</v>
      </c>
      <c r="Y2580">
        <v>2</v>
      </c>
      <c r="Z2580">
        <v>4</v>
      </c>
      <c r="AA2580">
        <v>2</v>
      </c>
      <c r="AB2580">
        <v>0.33333000000000002</v>
      </c>
      <c r="AC2580" t="s">
        <v>61</v>
      </c>
      <c r="AD2580" t="s">
        <v>81</v>
      </c>
      <c r="AE2580" t="s">
        <v>62</v>
      </c>
      <c r="AF2580" t="s">
        <v>62</v>
      </c>
      <c r="AG2580">
        <v>0</v>
      </c>
      <c r="AH2580">
        <v>0</v>
      </c>
      <c r="AI2580">
        <v>2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2</v>
      </c>
      <c r="AT2580">
        <v>0</v>
      </c>
      <c r="AU2580">
        <v>4</v>
      </c>
      <c r="AV2580">
        <v>2</v>
      </c>
      <c r="AW2580">
        <v>4</v>
      </c>
      <c r="AX2580">
        <v>2</v>
      </c>
      <c r="AY2580">
        <v>2</v>
      </c>
      <c r="AZ2580">
        <v>0</v>
      </c>
      <c r="BA2580" t="s">
        <v>10533</v>
      </c>
      <c r="BB2580" t="s">
        <v>193</v>
      </c>
      <c r="BC2580">
        <v>0.79500000000000004</v>
      </c>
      <c r="BD2580" t="s">
        <v>65</v>
      </c>
      <c r="BE2580">
        <v>6</v>
      </c>
      <c r="BF2580">
        <v>2</v>
      </c>
      <c r="BG2580" t="s">
        <v>10534</v>
      </c>
      <c r="BH2580" t="s">
        <v>10535</v>
      </c>
      <c r="BI2580" t="s">
        <v>10536</v>
      </c>
      <c r="BJ2580">
        <v>7.3419999999999999E-2</v>
      </c>
      <c r="BK2580">
        <v>0.98899999999999999</v>
      </c>
      <c r="BL2580" t="s">
        <v>69</v>
      </c>
      <c r="BM2580">
        <v>-1.1439999999999999</v>
      </c>
      <c r="BN2580">
        <v>-0.308</v>
      </c>
    </row>
    <row r="2581" spans="10:66">
      <c r="J2581">
        <v>0</v>
      </c>
      <c r="K2581">
        <v>2</v>
      </c>
      <c r="L2581">
        <v>4</v>
      </c>
      <c r="M2581" t="s">
        <v>25022</v>
      </c>
      <c r="N2581">
        <v>1682</v>
      </c>
      <c r="O2581" t="s">
        <v>10537</v>
      </c>
      <c r="P2581" t="s">
        <v>57</v>
      </c>
      <c r="Q2581">
        <v>1692496</v>
      </c>
      <c r="R2581">
        <v>1694103</v>
      </c>
      <c r="S2581" t="s">
        <v>10538</v>
      </c>
      <c r="T2581">
        <v>536</v>
      </c>
      <c r="U2581" t="s">
        <v>10539</v>
      </c>
      <c r="V2581">
        <v>43</v>
      </c>
      <c r="W2581" t="str">
        <f>HYPERLINK("Gene1682-zp_tree_all.dnd", "Gene1682-tree")</f>
        <v>Gene1682-tree</v>
      </c>
      <c r="X2581">
        <v>6</v>
      </c>
      <c r="Y2581">
        <v>5</v>
      </c>
      <c r="Z2581">
        <v>6</v>
      </c>
      <c r="AA2581">
        <v>5</v>
      </c>
      <c r="AB2581">
        <v>0.45455000000000001</v>
      </c>
      <c r="AC2581" t="s">
        <v>90</v>
      </c>
      <c r="AD2581" t="s">
        <v>199</v>
      </c>
      <c r="AE2581" t="s">
        <v>62</v>
      </c>
      <c r="AF2581" t="s">
        <v>62</v>
      </c>
      <c r="AG2581">
        <v>3</v>
      </c>
      <c r="AH2581">
        <v>6</v>
      </c>
      <c r="AI2581">
        <v>16</v>
      </c>
      <c r="AJ2581">
        <v>0.27272999999999997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16</v>
      </c>
      <c r="AT2581">
        <v>0</v>
      </c>
      <c r="AU2581">
        <v>11</v>
      </c>
      <c r="AV2581">
        <v>7</v>
      </c>
      <c r="AW2581">
        <v>77</v>
      </c>
      <c r="AX2581">
        <v>16</v>
      </c>
      <c r="AY2581">
        <v>22</v>
      </c>
      <c r="AZ2581">
        <v>6</v>
      </c>
      <c r="BA2581" t="s">
        <v>10540</v>
      </c>
      <c r="BB2581" t="s">
        <v>10541</v>
      </c>
      <c r="BC2581">
        <v>0.14799999999999999</v>
      </c>
      <c r="BD2581" t="s">
        <v>65</v>
      </c>
      <c r="BE2581">
        <v>99</v>
      </c>
      <c r="BF2581">
        <v>22</v>
      </c>
      <c r="BG2581" t="s">
        <v>10542</v>
      </c>
      <c r="BH2581" t="s">
        <v>10543</v>
      </c>
      <c r="BI2581" t="s">
        <v>10544</v>
      </c>
      <c r="BJ2581">
        <v>6.3869999999999996E-2</v>
      </c>
      <c r="BK2581">
        <v>1</v>
      </c>
      <c r="BL2581" t="s">
        <v>69</v>
      </c>
      <c r="BM2581">
        <v>-1.395</v>
      </c>
      <c r="BN2581">
        <v>-3.53</v>
      </c>
    </row>
    <row r="2582" spans="10:66">
      <c r="J2582">
        <v>0</v>
      </c>
      <c r="K2582">
        <v>0</v>
      </c>
      <c r="L2582">
        <v>0</v>
      </c>
      <c r="M2582" t="s">
        <v>25022</v>
      </c>
      <c r="N2582">
        <v>1683</v>
      </c>
      <c r="O2582" t="s">
        <v>10545</v>
      </c>
      <c r="P2582" t="s">
        <v>57</v>
      </c>
      <c r="Q2582">
        <v>1694119</v>
      </c>
      <c r="R2582">
        <v>1695132</v>
      </c>
      <c r="S2582" t="s">
        <v>10546</v>
      </c>
      <c r="T2582">
        <v>338</v>
      </c>
      <c r="U2582" t="s">
        <v>59</v>
      </c>
      <c r="V2582">
        <v>49</v>
      </c>
      <c r="W2582" t="str">
        <f>HYPERLINK("Gene1683-zp_tree_all.dnd", "Gene1683-tree")</f>
        <v>Gene1683-tree</v>
      </c>
      <c r="X2582">
        <v>17</v>
      </c>
      <c r="Y2582">
        <v>1</v>
      </c>
      <c r="Z2582">
        <v>17</v>
      </c>
      <c r="AA2582">
        <v>1</v>
      </c>
      <c r="AB2582">
        <v>5.5559999999999998E-2</v>
      </c>
      <c r="AC2582" t="s">
        <v>266</v>
      </c>
      <c r="AD2582" t="s">
        <v>175</v>
      </c>
      <c r="AE2582" t="s">
        <v>62</v>
      </c>
      <c r="AF2582" t="s">
        <v>62</v>
      </c>
      <c r="AG2582">
        <v>0</v>
      </c>
      <c r="AH2582">
        <v>0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0</v>
      </c>
      <c r="AU2582">
        <v>14</v>
      </c>
      <c r="AV2582">
        <v>11</v>
      </c>
      <c r="AW2582">
        <v>44</v>
      </c>
      <c r="AX2582">
        <v>1</v>
      </c>
      <c r="AY2582">
        <v>71</v>
      </c>
      <c r="AZ2582">
        <v>1</v>
      </c>
      <c r="BA2582" t="s">
        <v>10547</v>
      </c>
      <c r="BB2582" t="s">
        <v>10548</v>
      </c>
      <c r="BC2582">
        <v>8.5000000000000006E-2</v>
      </c>
      <c r="BD2582" t="s">
        <v>65</v>
      </c>
      <c r="BE2582">
        <v>115</v>
      </c>
      <c r="BF2582">
        <v>2</v>
      </c>
      <c r="BG2582" t="s">
        <v>10549</v>
      </c>
      <c r="BH2582" t="s">
        <v>10550</v>
      </c>
      <c r="BI2582" t="s">
        <v>10551</v>
      </c>
      <c r="BJ2582">
        <v>4.1200000000000004E-3</v>
      </c>
      <c r="BK2582">
        <v>1</v>
      </c>
      <c r="BL2582" t="s">
        <v>69</v>
      </c>
      <c r="BM2582">
        <v>-1.022</v>
      </c>
      <c r="BN2582">
        <v>-1.0900000000000001</v>
      </c>
    </row>
    <row r="2583" spans="10:66">
      <c r="J2583">
        <v>0</v>
      </c>
      <c r="K2583">
        <v>8</v>
      </c>
      <c r="L2583">
        <v>0</v>
      </c>
      <c r="M2583" t="s">
        <v>25022</v>
      </c>
      <c r="N2583">
        <v>1684</v>
      </c>
      <c r="O2583" t="s">
        <v>10552</v>
      </c>
      <c r="P2583" t="s">
        <v>57</v>
      </c>
      <c r="Q2583">
        <v>1695254</v>
      </c>
      <c r="R2583">
        <v>1695877</v>
      </c>
      <c r="S2583" t="s">
        <v>10553</v>
      </c>
      <c r="T2583">
        <v>208</v>
      </c>
      <c r="U2583" t="s">
        <v>108</v>
      </c>
      <c r="V2583">
        <v>44</v>
      </c>
      <c r="W2583" t="str">
        <f>HYPERLINK("Gene1684-zp_tree_all.dnd", "Gene1684-tree")</f>
        <v>Gene1684-tree</v>
      </c>
      <c r="X2583">
        <v>26</v>
      </c>
      <c r="Y2583">
        <v>7</v>
      </c>
      <c r="Z2583">
        <v>6</v>
      </c>
      <c r="AA2583">
        <v>7</v>
      </c>
      <c r="AB2583">
        <v>0.53846000000000005</v>
      </c>
      <c r="AC2583" t="s">
        <v>1030</v>
      </c>
      <c r="AD2583" t="s">
        <v>152</v>
      </c>
      <c r="AE2583" t="s">
        <v>62</v>
      </c>
      <c r="AF2583" t="s">
        <v>62</v>
      </c>
      <c r="AG2583">
        <v>3</v>
      </c>
      <c r="AH2583">
        <v>8</v>
      </c>
      <c r="AI2583">
        <v>6</v>
      </c>
      <c r="AJ2583">
        <v>0.57142999999999999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3</v>
      </c>
      <c r="AQ2583">
        <v>0</v>
      </c>
      <c r="AR2583">
        <v>3</v>
      </c>
      <c r="AS2583">
        <v>7</v>
      </c>
      <c r="AT2583">
        <v>0.3</v>
      </c>
      <c r="AU2583">
        <v>10</v>
      </c>
      <c r="AV2583">
        <v>7</v>
      </c>
      <c r="AW2583">
        <v>29</v>
      </c>
      <c r="AX2583">
        <v>10</v>
      </c>
      <c r="AY2583">
        <v>14</v>
      </c>
      <c r="AZ2583">
        <v>4</v>
      </c>
      <c r="BA2583" t="s">
        <v>10554</v>
      </c>
      <c r="BB2583" t="s">
        <v>10555</v>
      </c>
      <c r="BC2583">
        <v>0.17299999999999999</v>
      </c>
      <c r="BD2583" t="s">
        <v>65</v>
      </c>
      <c r="BE2583">
        <v>43</v>
      </c>
      <c r="BF2583">
        <v>14</v>
      </c>
      <c r="BG2583" t="s">
        <v>10556</v>
      </c>
      <c r="BH2583" t="s">
        <v>10557</v>
      </c>
      <c r="BI2583" t="s">
        <v>10558</v>
      </c>
      <c r="BJ2583">
        <v>6.9419999999999996E-2</v>
      </c>
      <c r="BK2583">
        <v>1</v>
      </c>
      <c r="BL2583" t="s">
        <v>69</v>
      </c>
      <c r="BM2583">
        <v>-0.81599999999999995</v>
      </c>
      <c r="BN2583">
        <v>-1.722</v>
      </c>
    </row>
    <row r="2584" spans="10:66">
      <c r="J2584">
        <v>0</v>
      </c>
      <c r="K2584">
        <v>5</v>
      </c>
      <c r="L2584">
        <v>0</v>
      </c>
      <c r="M2584" t="s">
        <v>25022</v>
      </c>
      <c r="N2584">
        <v>1685</v>
      </c>
      <c r="O2584" t="s">
        <v>10559</v>
      </c>
      <c r="P2584" t="s">
        <v>57</v>
      </c>
      <c r="Q2584">
        <v>1695877</v>
      </c>
      <c r="R2584">
        <v>1697190</v>
      </c>
      <c r="S2584" t="s">
        <v>10560</v>
      </c>
      <c r="T2584">
        <v>438</v>
      </c>
      <c r="U2584" t="s">
        <v>5228</v>
      </c>
      <c r="V2584">
        <v>43</v>
      </c>
      <c r="W2584" t="str">
        <f>HYPERLINK("Gene1685-zp_tree_all.dnd", "Gene1685-tree")</f>
        <v>Gene1685-tree</v>
      </c>
      <c r="X2584">
        <v>5</v>
      </c>
      <c r="Y2584">
        <v>6</v>
      </c>
      <c r="Z2584">
        <v>5</v>
      </c>
      <c r="AA2584">
        <v>6</v>
      </c>
      <c r="AB2584">
        <v>0.54544999999999999</v>
      </c>
      <c r="AC2584" t="s">
        <v>199</v>
      </c>
      <c r="AD2584" t="s">
        <v>90</v>
      </c>
      <c r="AE2584" t="s">
        <v>62</v>
      </c>
      <c r="AF2584" t="s">
        <v>62</v>
      </c>
      <c r="AG2584">
        <v>2</v>
      </c>
      <c r="AH2584">
        <v>5</v>
      </c>
      <c r="AI2584">
        <v>7</v>
      </c>
      <c r="AJ2584">
        <v>0.41666999999999998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5</v>
      </c>
      <c r="AQ2584">
        <v>0</v>
      </c>
      <c r="AR2584">
        <v>5</v>
      </c>
      <c r="AS2584">
        <v>6</v>
      </c>
      <c r="AT2584">
        <v>0.45455000000000001</v>
      </c>
      <c r="AU2584">
        <v>11</v>
      </c>
      <c r="AV2584">
        <v>7</v>
      </c>
      <c r="AW2584">
        <v>63</v>
      </c>
      <c r="AX2584">
        <v>11</v>
      </c>
      <c r="AY2584">
        <v>21</v>
      </c>
      <c r="AZ2584">
        <v>1</v>
      </c>
      <c r="BA2584" t="s">
        <v>10561</v>
      </c>
      <c r="BB2584" t="s">
        <v>10562</v>
      </c>
      <c r="BC2584">
        <v>0.86399999999999999</v>
      </c>
      <c r="BD2584" t="s">
        <v>65</v>
      </c>
      <c r="BE2584">
        <v>84</v>
      </c>
      <c r="BF2584">
        <v>12</v>
      </c>
      <c r="BG2584" t="s">
        <v>7378</v>
      </c>
      <c r="BH2584" t="s">
        <v>10563</v>
      </c>
      <c r="BI2584" t="s">
        <v>10564</v>
      </c>
      <c r="BJ2584">
        <v>4.0869999999999997E-2</v>
      </c>
      <c r="BK2584">
        <v>1</v>
      </c>
      <c r="BL2584" t="s">
        <v>69</v>
      </c>
      <c r="BM2584">
        <v>-0.627</v>
      </c>
      <c r="BN2584">
        <v>-0.39500000000000002</v>
      </c>
    </row>
    <row r="2585" spans="10:66">
      <c r="J2585">
        <v>0</v>
      </c>
      <c r="K2585">
        <v>0</v>
      </c>
      <c r="L2585">
        <v>0</v>
      </c>
      <c r="M2585" t="s">
        <v>25022</v>
      </c>
      <c r="N2585">
        <v>1686</v>
      </c>
      <c r="O2585" t="s">
        <v>10565</v>
      </c>
      <c r="P2585" t="s">
        <v>57</v>
      </c>
      <c r="Q2585">
        <v>1697196</v>
      </c>
      <c r="R2585">
        <v>1697636</v>
      </c>
      <c r="S2585" t="s">
        <v>10566</v>
      </c>
      <c r="T2585">
        <v>147</v>
      </c>
      <c r="U2585" t="s">
        <v>59</v>
      </c>
      <c r="V2585">
        <v>49</v>
      </c>
      <c r="W2585" t="str">
        <f>HYPERLINK("Gene1686-zp_tree_all.dnd", "Gene1686-tree")</f>
        <v>Gene1686-tree</v>
      </c>
      <c r="X2585">
        <v>10</v>
      </c>
      <c r="Y2585">
        <v>2</v>
      </c>
      <c r="Z2585">
        <v>10</v>
      </c>
      <c r="AA2585">
        <v>2</v>
      </c>
      <c r="AB2585">
        <v>0.16667000000000001</v>
      </c>
      <c r="AC2585" t="s">
        <v>117</v>
      </c>
      <c r="AD2585" t="s">
        <v>81</v>
      </c>
      <c r="AE2585" t="s">
        <v>62</v>
      </c>
      <c r="AF2585" t="s">
        <v>62</v>
      </c>
      <c r="AG2585">
        <v>0</v>
      </c>
      <c r="AH2585">
        <v>0</v>
      </c>
      <c r="AI2585">
        <v>6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3</v>
      </c>
      <c r="AT2585">
        <v>0</v>
      </c>
      <c r="AU2585">
        <v>6</v>
      </c>
      <c r="AV2585">
        <v>7</v>
      </c>
      <c r="AW2585">
        <v>13</v>
      </c>
      <c r="AX2585">
        <v>3</v>
      </c>
      <c r="AY2585">
        <v>27</v>
      </c>
      <c r="AZ2585">
        <v>3</v>
      </c>
      <c r="BA2585" t="s">
        <v>10567</v>
      </c>
      <c r="BB2585" t="s">
        <v>10568</v>
      </c>
      <c r="BC2585">
        <v>0.374</v>
      </c>
      <c r="BD2585" t="s">
        <v>65</v>
      </c>
      <c r="BE2585">
        <v>40</v>
      </c>
      <c r="BF2585">
        <v>6</v>
      </c>
      <c r="BG2585" t="s">
        <v>10569</v>
      </c>
      <c r="BH2585" t="s">
        <v>10570</v>
      </c>
      <c r="BI2585" t="s">
        <v>10571</v>
      </c>
      <c r="BJ2585">
        <v>2.673E-2</v>
      </c>
      <c r="BK2585">
        <v>1</v>
      </c>
      <c r="BL2585" t="s">
        <v>69</v>
      </c>
      <c r="BM2585">
        <v>-1.4259999999999999</v>
      </c>
      <c r="BN2585">
        <v>-0.502</v>
      </c>
    </row>
    <row r="2586" spans="10:66">
      <c r="J2586">
        <v>0</v>
      </c>
      <c r="K2586">
        <v>7</v>
      </c>
      <c r="L2586">
        <v>4</v>
      </c>
      <c r="M2586" t="s">
        <v>25022</v>
      </c>
      <c r="N2586">
        <v>1687</v>
      </c>
      <c r="O2586" t="s">
        <v>10572</v>
      </c>
      <c r="P2586" t="s">
        <v>57</v>
      </c>
      <c r="Q2586">
        <v>1697651</v>
      </c>
      <c r="R2586">
        <v>1698262</v>
      </c>
      <c r="S2586" t="s">
        <v>10573</v>
      </c>
      <c r="T2586">
        <v>204</v>
      </c>
      <c r="U2586" t="s">
        <v>10574</v>
      </c>
      <c r="V2586">
        <v>46</v>
      </c>
      <c r="W2586" t="str">
        <f>HYPERLINK("Gene1687-zp_tree_all.dnd", "Gene1687-tree")</f>
        <v>Gene1687-tree</v>
      </c>
      <c r="X2586">
        <v>29</v>
      </c>
      <c r="Y2586">
        <v>5</v>
      </c>
      <c r="Z2586">
        <v>9</v>
      </c>
      <c r="AA2586">
        <v>5</v>
      </c>
      <c r="AB2586">
        <v>0.35714000000000001</v>
      </c>
      <c r="AC2586" t="s">
        <v>234</v>
      </c>
      <c r="AD2586" t="s">
        <v>199</v>
      </c>
      <c r="AE2586" t="s">
        <v>62</v>
      </c>
      <c r="AF2586" t="s">
        <v>62</v>
      </c>
      <c r="AG2586">
        <v>5</v>
      </c>
      <c r="AH2586">
        <v>11</v>
      </c>
      <c r="AI2586">
        <v>15</v>
      </c>
      <c r="AJ2586">
        <v>0.42308000000000001</v>
      </c>
      <c r="AK2586">
        <v>0</v>
      </c>
      <c r="AL2586">
        <v>0</v>
      </c>
      <c r="AM2586">
        <v>0</v>
      </c>
      <c r="AN2586">
        <v>2</v>
      </c>
      <c r="AO2586">
        <v>0</v>
      </c>
      <c r="AP2586">
        <v>0</v>
      </c>
      <c r="AQ2586">
        <v>0</v>
      </c>
      <c r="AR2586">
        <v>0</v>
      </c>
      <c r="AS2586">
        <v>8</v>
      </c>
      <c r="AT2586">
        <v>0</v>
      </c>
      <c r="AU2586">
        <v>9</v>
      </c>
      <c r="AV2586">
        <v>7</v>
      </c>
      <c r="AW2586">
        <v>28</v>
      </c>
      <c r="AX2586">
        <v>8</v>
      </c>
      <c r="AY2586">
        <v>19</v>
      </c>
      <c r="AZ2586">
        <v>19</v>
      </c>
      <c r="BA2586" t="s">
        <v>10575</v>
      </c>
      <c r="BB2586" t="s">
        <v>10576</v>
      </c>
      <c r="BC2586">
        <v>1.1140000000000001</v>
      </c>
      <c r="BD2586" t="s">
        <v>65</v>
      </c>
      <c r="BE2586">
        <v>47</v>
      </c>
      <c r="BF2586">
        <v>27</v>
      </c>
      <c r="BG2586" t="s">
        <v>10577</v>
      </c>
      <c r="BH2586" t="s">
        <v>10578</v>
      </c>
      <c r="BI2586" t="s">
        <v>10579</v>
      </c>
      <c r="BJ2586">
        <v>0.18323999999999999</v>
      </c>
      <c r="BK2586">
        <v>1</v>
      </c>
      <c r="BL2586" t="s">
        <v>69</v>
      </c>
      <c r="BM2586">
        <v>-1.825</v>
      </c>
      <c r="BN2586">
        <v>-1.9430000000000001</v>
      </c>
    </row>
    <row r="2587" spans="10:66">
      <c r="J2587">
        <v>0</v>
      </c>
      <c r="K2587">
        <v>10</v>
      </c>
      <c r="L2587">
        <v>8</v>
      </c>
      <c r="M2587" t="s">
        <v>25022</v>
      </c>
      <c r="N2587">
        <v>1688</v>
      </c>
      <c r="O2587" t="s">
        <v>10580</v>
      </c>
      <c r="P2587" t="s">
        <v>57</v>
      </c>
      <c r="Q2587">
        <v>1698278</v>
      </c>
      <c r="R2587">
        <v>1699738</v>
      </c>
      <c r="S2587" t="s">
        <v>10581</v>
      </c>
      <c r="T2587">
        <v>487</v>
      </c>
      <c r="U2587" t="s">
        <v>265</v>
      </c>
      <c r="V2587">
        <v>43</v>
      </c>
      <c r="W2587" t="str">
        <f>HYPERLINK("Gene1688-zp_tree_all.dnd", "Gene1688-tree")</f>
        <v>Gene1688-tree</v>
      </c>
      <c r="X2587">
        <v>1</v>
      </c>
      <c r="Y2587">
        <v>11</v>
      </c>
      <c r="Z2587">
        <v>1</v>
      </c>
      <c r="AA2587">
        <v>11</v>
      </c>
      <c r="AB2587">
        <v>0.91666999999999998</v>
      </c>
      <c r="AC2587" t="s">
        <v>175</v>
      </c>
      <c r="AD2587" t="s">
        <v>73</v>
      </c>
      <c r="AE2587">
        <v>1144612630.289</v>
      </c>
      <c r="AF2587" t="s">
        <v>267</v>
      </c>
      <c r="AG2587">
        <v>7</v>
      </c>
      <c r="AH2587">
        <v>18</v>
      </c>
      <c r="AI2587">
        <v>40</v>
      </c>
      <c r="AJ2587">
        <v>0.31034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6</v>
      </c>
      <c r="AQ2587">
        <v>8</v>
      </c>
      <c r="AR2587">
        <v>14</v>
      </c>
      <c r="AS2587">
        <v>37</v>
      </c>
      <c r="AT2587">
        <v>0.27450999999999998</v>
      </c>
      <c r="AU2587">
        <v>11</v>
      </c>
      <c r="AV2587">
        <v>6</v>
      </c>
      <c r="AW2587">
        <v>35</v>
      </c>
      <c r="AX2587">
        <v>50</v>
      </c>
      <c r="AY2587">
        <v>16</v>
      </c>
      <c r="AZ2587">
        <v>9</v>
      </c>
      <c r="BA2587" t="s">
        <v>10582</v>
      </c>
      <c r="BB2587" t="s">
        <v>10583</v>
      </c>
      <c r="BC2587">
        <v>2.3140000000000001</v>
      </c>
      <c r="BD2587" t="s">
        <v>267</v>
      </c>
      <c r="BE2587">
        <v>51</v>
      </c>
      <c r="BF2587">
        <v>59</v>
      </c>
      <c r="BG2587" t="s">
        <v>10584</v>
      </c>
      <c r="BH2587" t="s">
        <v>10585</v>
      </c>
      <c r="BI2587" t="s">
        <v>10586</v>
      </c>
      <c r="BJ2587">
        <v>0.26501000000000002</v>
      </c>
      <c r="BK2587">
        <v>1</v>
      </c>
      <c r="BL2587" t="s">
        <v>69</v>
      </c>
      <c r="BM2587">
        <v>-1.1040000000000001</v>
      </c>
      <c r="BN2587">
        <v>-1.99</v>
      </c>
    </row>
    <row r="2588" spans="10:66">
      <c r="J2588">
        <v>0</v>
      </c>
      <c r="K2588">
        <v>0</v>
      </c>
      <c r="L2588">
        <v>0</v>
      </c>
      <c r="M2588" t="s">
        <v>25022</v>
      </c>
      <c r="N2588">
        <v>1689</v>
      </c>
      <c r="O2588" t="s">
        <v>10587</v>
      </c>
      <c r="P2588" t="s">
        <v>57</v>
      </c>
      <c r="Q2588">
        <v>1699738</v>
      </c>
      <c r="R2588">
        <v>1700157</v>
      </c>
      <c r="S2588" t="s">
        <v>10588</v>
      </c>
      <c r="T2588">
        <v>140</v>
      </c>
      <c r="U2588" t="s">
        <v>1392</v>
      </c>
      <c r="V2588">
        <v>43</v>
      </c>
      <c r="W2588" t="str">
        <f>HYPERLINK("Gene1689-zp_tree_all.dnd", "Gene1689-tree")</f>
        <v>Gene1689-tree</v>
      </c>
      <c r="X2588">
        <v>4</v>
      </c>
      <c r="Y2588">
        <v>27</v>
      </c>
      <c r="Z2588">
        <v>4</v>
      </c>
      <c r="AA2588">
        <v>1</v>
      </c>
      <c r="AB2588">
        <v>0.2</v>
      </c>
      <c r="AC2588" t="s">
        <v>61</v>
      </c>
      <c r="AD2588" t="s">
        <v>175</v>
      </c>
      <c r="AE2588" t="s">
        <v>62</v>
      </c>
      <c r="AF2588" t="s">
        <v>62</v>
      </c>
      <c r="AG2588">
        <v>0</v>
      </c>
      <c r="AH2588">
        <v>0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3</v>
      </c>
      <c r="AV2588">
        <v>1</v>
      </c>
      <c r="AW2588">
        <v>2</v>
      </c>
      <c r="AX2588">
        <v>1</v>
      </c>
      <c r="AY2588">
        <v>9</v>
      </c>
      <c r="AZ2588">
        <v>1</v>
      </c>
      <c r="BA2588" t="s">
        <v>10589</v>
      </c>
      <c r="BB2588" t="s">
        <v>10590</v>
      </c>
      <c r="BC2588">
        <v>0.54900000000000004</v>
      </c>
      <c r="BD2588" t="s">
        <v>65</v>
      </c>
      <c r="BE2588">
        <v>11</v>
      </c>
      <c r="BF2588">
        <v>2</v>
      </c>
      <c r="BG2588" t="s">
        <v>10591</v>
      </c>
      <c r="BH2588" t="s">
        <v>10592</v>
      </c>
      <c r="BI2588" t="s">
        <v>10593</v>
      </c>
      <c r="BJ2588">
        <v>3.8859999999999999E-2</v>
      </c>
      <c r="BK2588">
        <v>1</v>
      </c>
      <c r="BL2588" t="s">
        <v>69</v>
      </c>
      <c r="BM2588">
        <v>-0.20799999999999999</v>
      </c>
      <c r="BN2588">
        <v>1.018</v>
      </c>
    </row>
    <row r="2589" spans="10:66">
      <c r="J2589">
        <v>0</v>
      </c>
      <c r="K2589">
        <v>0</v>
      </c>
      <c r="L2589">
        <v>0</v>
      </c>
      <c r="M2589" t="s">
        <v>25022</v>
      </c>
      <c r="N2589">
        <v>1690</v>
      </c>
      <c r="O2589" t="s">
        <v>10594</v>
      </c>
      <c r="P2589" t="s">
        <v>57</v>
      </c>
      <c r="Q2589">
        <v>1700182</v>
      </c>
      <c r="R2589">
        <v>1700973</v>
      </c>
      <c r="S2589" t="s">
        <v>10595</v>
      </c>
      <c r="T2589">
        <v>264</v>
      </c>
      <c r="U2589" t="s">
        <v>10596</v>
      </c>
      <c r="V2589">
        <v>36</v>
      </c>
      <c r="W2589" t="str">
        <f>HYPERLINK("Gene1690-zp_tree_all.dnd", "Gene1690-tree")</f>
        <v>Gene1690-tree</v>
      </c>
      <c r="X2589">
        <v>3</v>
      </c>
      <c r="Y2589">
        <v>2</v>
      </c>
      <c r="Z2589">
        <v>3</v>
      </c>
      <c r="AA2589">
        <v>2</v>
      </c>
      <c r="AB2589">
        <v>0.4</v>
      </c>
      <c r="AC2589" t="s">
        <v>324</v>
      </c>
      <c r="AD2589" t="s">
        <v>81</v>
      </c>
      <c r="AE2589" t="s">
        <v>62</v>
      </c>
      <c r="AF2589" t="s">
        <v>62</v>
      </c>
      <c r="AG2589">
        <v>0</v>
      </c>
      <c r="AH2589">
        <v>0</v>
      </c>
      <c r="AI2589">
        <v>7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7</v>
      </c>
      <c r="AT2589">
        <v>0</v>
      </c>
      <c r="AU2589">
        <v>4</v>
      </c>
      <c r="AV2589">
        <v>2</v>
      </c>
      <c r="AW2589">
        <v>30</v>
      </c>
      <c r="AX2589">
        <v>8</v>
      </c>
      <c r="AY2589">
        <v>5</v>
      </c>
      <c r="AZ2589">
        <v>0</v>
      </c>
      <c r="BA2589" t="s">
        <v>10597</v>
      </c>
      <c r="BB2589" t="s">
        <v>193</v>
      </c>
      <c r="BC2589">
        <v>0.42799999999999999</v>
      </c>
      <c r="BD2589" t="s">
        <v>65</v>
      </c>
      <c r="BE2589">
        <v>35</v>
      </c>
      <c r="BF2589">
        <v>8</v>
      </c>
      <c r="BG2589" t="s">
        <v>10598</v>
      </c>
      <c r="BH2589" t="s">
        <v>10599</v>
      </c>
      <c r="BI2589" t="s">
        <v>10600</v>
      </c>
      <c r="BJ2589">
        <v>6.2590000000000007E-2</v>
      </c>
      <c r="BK2589">
        <v>1</v>
      </c>
      <c r="BL2589" t="s">
        <v>69</v>
      </c>
      <c r="BM2589">
        <v>-1.9370000000000001</v>
      </c>
      <c r="BN2589">
        <v>-4.3540000000000001</v>
      </c>
    </row>
    <row r="2590" spans="10:66">
      <c r="J2590">
        <v>0</v>
      </c>
      <c r="K2590">
        <v>3</v>
      </c>
      <c r="L2590">
        <v>0</v>
      </c>
      <c r="M2590" t="s">
        <v>25022</v>
      </c>
      <c r="N2590">
        <v>1691</v>
      </c>
      <c r="O2590" t="s">
        <v>10601</v>
      </c>
      <c r="P2590" t="s">
        <v>57</v>
      </c>
      <c r="Q2590">
        <v>1701016</v>
      </c>
      <c r="R2590">
        <v>1701228</v>
      </c>
      <c r="S2590" t="s">
        <v>10602</v>
      </c>
      <c r="T2590">
        <v>71</v>
      </c>
      <c r="U2590" t="s">
        <v>59</v>
      </c>
      <c r="V2590">
        <v>49</v>
      </c>
      <c r="W2590" t="str">
        <f>HYPERLINK("Gene1691-zp_tree_all.dnd", "Gene1691-tree")</f>
        <v>Gene1691-tree</v>
      </c>
      <c r="X2590">
        <v>1</v>
      </c>
      <c r="Y2590">
        <v>5</v>
      </c>
      <c r="Z2590">
        <v>1</v>
      </c>
      <c r="AA2590">
        <v>5</v>
      </c>
      <c r="AB2590">
        <v>0.83333000000000002</v>
      </c>
      <c r="AC2590" t="s">
        <v>175</v>
      </c>
      <c r="AD2590" t="s">
        <v>199</v>
      </c>
      <c r="AE2590" t="s">
        <v>62</v>
      </c>
      <c r="AF2590" t="s">
        <v>62</v>
      </c>
      <c r="AG2590">
        <v>1</v>
      </c>
      <c r="AH2590">
        <v>3</v>
      </c>
      <c r="AI2590">
        <v>2</v>
      </c>
      <c r="AJ2590">
        <v>0.6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3</v>
      </c>
      <c r="AQ2590">
        <v>0</v>
      </c>
      <c r="AR2590">
        <v>3</v>
      </c>
      <c r="AS2590">
        <v>2</v>
      </c>
      <c r="AT2590">
        <v>0.6</v>
      </c>
      <c r="AU2590">
        <v>4</v>
      </c>
      <c r="AV2590">
        <v>2</v>
      </c>
      <c r="AW2590">
        <v>2</v>
      </c>
      <c r="AX2590">
        <v>4</v>
      </c>
      <c r="AY2590">
        <v>4</v>
      </c>
      <c r="AZ2590">
        <v>1</v>
      </c>
      <c r="BA2590" t="s">
        <v>10603</v>
      </c>
      <c r="BB2590" t="s">
        <v>10604</v>
      </c>
      <c r="BC2590">
        <v>0.58199999999999996</v>
      </c>
      <c r="BD2590" t="s">
        <v>65</v>
      </c>
      <c r="BE2590">
        <v>6</v>
      </c>
      <c r="BF2590">
        <v>5</v>
      </c>
      <c r="BG2590" t="s">
        <v>10605</v>
      </c>
      <c r="BH2590" t="s">
        <v>10606</v>
      </c>
      <c r="BI2590" t="s">
        <v>10607</v>
      </c>
      <c r="BJ2590">
        <v>0.13730000000000001</v>
      </c>
      <c r="BK2590">
        <v>1</v>
      </c>
      <c r="BL2590" t="s">
        <v>69</v>
      </c>
      <c r="BM2590">
        <v>-0.184</v>
      </c>
      <c r="BN2590">
        <v>-0.61699999999999999</v>
      </c>
    </row>
    <row r="2591" spans="10:66">
      <c r="J2591">
        <v>0</v>
      </c>
      <c r="K2591">
        <v>2</v>
      </c>
      <c r="L2591">
        <v>0</v>
      </c>
      <c r="M2591" t="s">
        <v>25022</v>
      </c>
      <c r="N2591">
        <v>1692</v>
      </c>
      <c r="O2591" t="s">
        <v>10608</v>
      </c>
      <c r="P2591" t="s">
        <v>57</v>
      </c>
      <c r="Q2591">
        <v>1701228</v>
      </c>
      <c r="R2591">
        <v>1701647</v>
      </c>
      <c r="S2591" t="s">
        <v>10609</v>
      </c>
      <c r="T2591">
        <v>140</v>
      </c>
      <c r="U2591" t="s">
        <v>289</v>
      </c>
      <c r="V2591">
        <v>46</v>
      </c>
      <c r="W2591" t="str">
        <f>HYPERLINK("Gene1692-zp_tree_all.dnd", "Gene1692-tree")</f>
        <v>Gene1692-tree</v>
      </c>
      <c r="X2591">
        <v>5</v>
      </c>
      <c r="Y2591">
        <v>4</v>
      </c>
      <c r="Z2591">
        <v>5</v>
      </c>
      <c r="AA2591">
        <v>4</v>
      </c>
      <c r="AB2591">
        <v>0.44444</v>
      </c>
      <c r="AC2591" t="s">
        <v>199</v>
      </c>
      <c r="AD2591" t="s">
        <v>61</v>
      </c>
      <c r="AE2591" t="s">
        <v>62</v>
      </c>
      <c r="AF2591" t="s">
        <v>62</v>
      </c>
      <c r="AG2591">
        <v>1</v>
      </c>
      <c r="AH2591">
        <v>2</v>
      </c>
      <c r="AI2591">
        <v>5</v>
      </c>
      <c r="AJ2591">
        <v>0.28571000000000002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</v>
      </c>
      <c r="AQ2591">
        <v>0</v>
      </c>
      <c r="AR2591">
        <v>2</v>
      </c>
      <c r="AS2591">
        <v>5</v>
      </c>
      <c r="AT2591">
        <v>0.28571000000000002</v>
      </c>
      <c r="AU2591">
        <v>6</v>
      </c>
      <c r="AV2591">
        <v>3</v>
      </c>
      <c r="AW2591">
        <v>7</v>
      </c>
      <c r="AX2591">
        <v>5</v>
      </c>
      <c r="AY2591">
        <v>10</v>
      </c>
      <c r="AZ2591">
        <v>2</v>
      </c>
      <c r="BA2591" t="s">
        <v>10610</v>
      </c>
      <c r="BB2591" t="s">
        <v>10611</v>
      </c>
      <c r="BC2591">
        <v>0.77800000000000002</v>
      </c>
      <c r="BD2591" t="s">
        <v>65</v>
      </c>
      <c r="BE2591">
        <v>17</v>
      </c>
      <c r="BF2591">
        <v>7</v>
      </c>
      <c r="BG2591" t="s">
        <v>10612</v>
      </c>
      <c r="BH2591" t="s">
        <v>10613</v>
      </c>
      <c r="BI2591" t="s">
        <v>10614</v>
      </c>
      <c r="BJ2591">
        <v>9.0889999999999999E-2</v>
      </c>
      <c r="BK2591">
        <v>1</v>
      </c>
      <c r="BL2591" t="s">
        <v>69</v>
      </c>
      <c r="BM2591">
        <v>-1.5</v>
      </c>
      <c r="BN2591">
        <v>-0.04</v>
      </c>
    </row>
    <row r="2592" spans="10:66">
      <c r="J2592">
        <v>0</v>
      </c>
      <c r="K2592">
        <v>0</v>
      </c>
      <c r="L2592">
        <v>0</v>
      </c>
      <c r="M2592" t="s">
        <v>25022</v>
      </c>
      <c r="N2592">
        <v>1693</v>
      </c>
      <c r="O2592" t="s">
        <v>10615</v>
      </c>
      <c r="P2592" t="s">
        <v>57</v>
      </c>
      <c r="Q2592">
        <v>1701684</v>
      </c>
      <c r="R2592">
        <v>1702679</v>
      </c>
      <c r="S2592" t="s">
        <v>10546</v>
      </c>
      <c r="T2592">
        <v>332</v>
      </c>
      <c r="U2592" t="s">
        <v>59</v>
      </c>
      <c r="V2592">
        <v>49</v>
      </c>
      <c r="W2592" t="str">
        <f>HYPERLINK("Gene1693-zp_tree_all.dnd", "Gene1693-tree")</f>
        <v>Gene1693-tree</v>
      </c>
      <c r="X2592">
        <v>15</v>
      </c>
      <c r="Y2592">
        <v>1</v>
      </c>
      <c r="Z2592">
        <v>15</v>
      </c>
      <c r="AA2592">
        <v>1</v>
      </c>
      <c r="AB2592">
        <v>6.25E-2</v>
      </c>
      <c r="AC2592" t="s">
        <v>100</v>
      </c>
      <c r="AD2592" t="s">
        <v>175</v>
      </c>
      <c r="AE2592" t="s">
        <v>62</v>
      </c>
      <c r="AF2592" t="s">
        <v>62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10</v>
      </c>
      <c r="AV2592">
        <v>12</v>
      </c>
      <c r="AW2592">
        <v>25</v>
      </c>
      <c r="AX2592">
        <v>1</v>
      </c>
      <c r="AY2592">
        <v>64</v>
      </c>
      <c r="AZ2592">
        <v>0</v>
      </c>
      <c r="BA2592" t="s">
        <v>10616</v>
      </c>
      <c r="BB2592" t="s">
        <v>193</v>
      </c>
      <c r="BC2592">
        <v>0.317</v>
      </c>
      <c r="BD2592" t="s">
        <v>65</v>
      </c>
      <c r="BE2592">
        <v>89</v>
      </c>
      <c r="BF2592">
        <v>1</v>
      </c>
      <c r="BG2592" t="s">
        <v>10617</v>
      </c>
      <c r="BH2592" t="s">
        <v>10618</v>
      </c>
      <c r="BI2592" t="s">
        <v>10619</v>
      </c>
      <c r="BJ2592">
        <v>1.2999999999999999E-3</v>
      </c>
      <c r="BK2592">
        <v>1</v>
      </c>
      <c r="BL2592" t="s">
        <v>69</v>
      </c>
      <c r="BM2592">
        <v>-0.97799999999999998</v>
      </c>
      <c r="BN2592">
        <v>-0.49199999999999999</v>
      </c>
    </row>
    <row r="2593" spans="10:66">
      <c r="J2593">
        <v>0</v>
      </c>
      <c r="K2593">
        <v>0</v>
      </c>
      <c r="L2593">
        <v>0</v>
      </c>
      <c r="M2593" t="s">
        <v>25022</v>
      </c>
      <c r="N2593">
        <v>1694</v>
      </c>
      <c r="O2593" t="s">
        <v>10620</v>
      </c>
      <c r="P2593" t="s">
        <v>57</v>
      </c>
      <c r="Q2593">
        <v>1702672</v>
      </c>
      <c r="R2593">
        <v>1703805</v>
      </c>
      <c r="S2593" t="s">
        <v>10621</v>
      </c>
      <c r="T2593">
        <v>378</v>
      </c>
      <c r="U2593" t="s">
        <v>108</v>
      </c>
      <c r="V2593">
        <v>44</v>
      </c>
      <c r="W2593" t="str">
        <f>HYPERLINK("Gene1694-zp_tree_all.dnd", "Gene1694-tree")</f>
        <v>Gene1694-tree</v>
      </c>
      <c r="X2593">
        <v>10</v>
      </c>
      <c r="Y2593">
        <v>3</v>
      </c>
      <c r="Z2593">
        <v>10</v>
      </c>
      <c r="AA2593">
        <v>3</v>
      </c>
      <c r="AB2593">
        <v>0.23077</v>
      </c>
      <c r="AC2593" t="s">
        <v>117</v>
      </c>
      <c r="AD2593" t="s">
        <v>324</v>
      </c>
      <c r="AE2593" t="s">
        <v>62</v>
      </c>
      <c r="AF2593" t="s">
        <v>62</v>
      </c>
      <c r="AG2593">
        <v>0</v>
      </c>
      <c r="AH2593">
        <v>0</v>
      </c>
      <c r="AI2593">
        <v>6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5</v>
      </c>
      <c r="AT2593">
        <v>0</v>
      </c>
      <c r="AU2593">
        <v>12</v>
      </c>
      <c r="AV2593">
        <v>8</v>
      </c>
      <c r="AW2593">
        <v>20</v>
      </c>
      <c r="AX2593">
        <v>5</v>
      </c>
      <c r="AY2593">
        <v>11</v>
      </c>
      <c r="AZ2593">
        <v>1</v>
      </c>
      <c r="BA2593" t="s">
        <v>10622</v>
      </c>
      <c r="BB2593" t="s">
        <v>10623</v>
      </c>
      <c r="BC2593">
        <v>0.4</v>
      </c>
      <c r="BD2593" t="s">
        <v>65</v>
      </c>
      <c r="BE2593">
        <v>31</v>
      </c>
      <c r="BF2593">
        <v>6</v>
      </c>
      <c r="BG2593" t="s">
        <v>10624</v>
      </c>
      <c r="BH2593" t="s">
        <v>10625</v>
      </c>
      <c r="BI2593" t="s">
        <v>10626</v>
      </c>
      <c r="BJ2593">
        <v>5.0860000000000002E-2</v>
      </c>
      <c r="BK2593">
        <v>1</v>
      </c>
      <c r="BL2593" t="s">
        <v>69</v>
      </c>
      <c r="BM2593">
        <v>-0.96799999999999997</v>
      </c>
      <c r="BN2593">
        <v>-1.2370000000000001</v>
      </c>
    </row>
    <row r="2594" spans="10:66">
      <c r="J2594">
        <v>0</v>
      </c>
      <c r="K2594">
        <v>0</v>
      </c>
      <c r="L2594">
        <v>0</v>
      </c>
      <c r="M2594" t="s">
        <v>25022</v>
      </c>
      <c r="N2594">
        <v>1695</v>
      </c>
      <c r="O2594" t="s">
        <v>10627</v>
      </c>
      <c r="P2594" t="s">
        <v>57</v>
      </c>
      <c r="Q2594">
        <v>1703834</v>
      </c>
      <c r="R2594">
        <v>1704193</v>
      </c>
      <c r="S2594" t="s">
        <v>10628</v>
      </c>
      <c r="T2594">
        <v>120</v>
      </c>
      <c r="U2594" t="s">
        <v>108</v>
      </c>
      <c r="V2594">
        <v>44</v>
      </c>
      <c r="W2594" t="str">
        <f>HYPERLINK("Gene1695-zp_tree_all.dnd", "Gene1695-tree")</f>
        <v>Gene1695-tree</v>
      </c>
      <c r="X2594">
        <v>10</v>
      </c>
      <c r="Y2594">
        <v>0</v>
      </c>
      <c r="Z2594">
        <v>10</v>
      </c>
      <c r="AA2594">
        <v>0</v>
      </c>
      <c r="AB2594">
        <v>0</v>
      </c>
      <c r="AC2594" t="s">
        <v>117</v>
      </c>
      <c r="AD2594" t="s">
        <v>62</v>
      </c>
      <c r="AE2594" t="s">
        <v>62</v>
      </c>
      <c r="AF2594" t="s">
        <v>62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5</v>
      </c>
      <c r="AV2594">
        <v>4</v>
      </c>
      <c r="AW2594">
        <v>8</v>
      </c>
      <c r="AX2594">
        <v>0</v>
      </c>
      <c r="AY2594">
        <v>4</v>
      </c>
      <c r="AZ2594">
        <v>0</v>
      </c>
      <c r="BA2594" t="s">
        <v>193</v>
      </c>
      <c r="BB2594" t="s">
        <v>193</v>
      </c>
      <c r="BC2594">
        <v>0</v>
      </c>
      <c r="BD2594" t="s">
        <v>65</v>
      </c>
      <c r="BE2594">
        <v>12</v>
      </c>
      <c r="BF2594">
        <v>0</v>
      </c>
      <c r="BG2594" t="s">
        <v>10629</v>
      </c>
      <c r="BH2594" t="s">
        <v>10630</v>
      </c>
      <c r="BI2594" t="s">
        <v>193</v>
      </c>
      <c r="BJ2594">
        <v>0</v>
      </c>
      <c r="BK2594">
        <v>1</v>
      </c>
      <c r="BL2594" t="s">
        <v>69</v>
      </c>
      <c r="BM2594">
        <v>-0.96799999999999997</v>
      </c>
      <c r="BN2594">
        <v>-0.98099999999999998</v>
      </c>
    </row>
    <row r="2595" spans="10:66">
      <c r="J2595">
        <v>0</v>
      </c>
      <c r="K2595">
        <v>8</v>
      </c>
      <c r="L2595">
        <v>0</v>
      </c>
      <c r="M2595" t="s">
        <v>25022</v>
      </c>
      <c r="N2595">
        <v>1696</v>
      </c>
      <c r="O2595" t="s">
        <v>10631</v>
      </c>
      <c r="P2595" t="s">
        <v>57</v>
      </c>
      <c r="Q2595">
        <v>1704211</v>
      </c>
      <c r="R2595">
        <v>1704867</v>
      </c>
      <c r="S2595" t="s">
        <v>10632</v>
      </c>
      <c r="T2595">
        <v>219</v>
      </c>
      <c r="U2595" t="s">
        <v>59</v>
      </c>
      <c r="V2595">
        <v>49</v>
      </c>
      <c r="W2595" t="str">
        <f>HYPERLINK("Gene1696-zp_tree_all.dnd", "Gene1696-tree")</f>
        <v>Gene1696-tree</v>
      </c>
      <c r="X2595">
        <v>26</v>
      </c>
      <c r="Y2595">
        <v>10</v>
      </c>
      <c r="Z2595">
        <v>7</v>
      </c>
      <c r="AA2595">
        <v>10</v>
      </c>
      <c r="AB2595">
        <v>0.58823999999999999</v>
      </c>
      <c r="AC2595" t="s">
        <v>191</v>
      </c>
      <c r="AD2595" t="s">
        <v>117</v>
      </c>
      <c r="AE2595" t="s">
        <v>62</v>
      </c>
      <c r="AF2595" t="s">
        <v>62</v>
      </c>
      <c r="AG2595">
        <v>4</v>
      </c>
      <c r="AH2595">
        <v>8</v>
      </c>
      <c r="AI2595">
        <v>17</v>
      </c>
      <c r="AJ2595">
        <v>0.32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2</v>
      </c>
      <c r="AQ2595">
        <v>0</v>
      </c>
      <c r="AR2595">
        <v>2</v>
      </c>
      <c r="AS2595">
        <v>16</v>
      </c>
      <c r="AT2595">
        <v>0.11111</v>
      </c>
      <c r="AU2595">
        <v>15</v>
      </c>
      <c r="AV2595">
        <v>8</v>
      </c>
      <c r="AW2595">
        <v>25</v>
      </c>
      <c r="AX2595">
        <v>18</v>
      </c>
      <c r="AY2595">
        <v>22</v>
      </c>
      <c r="AZ2595">
        <v>7</v>
      </c>
      <c r="BA2595" t="s">
        <v>10633</v>
      </c>
      <c r="BB2595" t="s">
        <v>10634</v>
      </c>
      <c r="BC2595">
        <v>0.92100000000000004</v>
      </c>
      <c r="BD2595" t="s">
        <v>65</v>
      </c>
      <c r="BE2595">
        <v>47</v>
      </c>
      <c r="BF2595">
        <v>25</v>
      </c>
      <c r="BG2595" t="s">
        <v>10635</v>
      </c>
      <c r="BH2595" t="s">
        <v>10636</v>
      </c>
      <c r="BI2595" t="s">
        <v>10637</v>
      </c>
      <c r="BJ2595">
        <v>0.13178999999999999</v>
      </c>
      <c r="BK2595">
        <v>1</v>
      </c>
      <c r="BL2595" t="s">
        <v>69</v>
      </c>
      <c r="BM2595">
        <v>-1.5580000000000001</v>
      </c>
      <c r="BN2595">
        <v>-1.62</v>
      </c>
    </row>
    <row r="2596" spans="10:66">
      <c r="J2596">
        <v>0</v>
      </c>
      <c r="K2596">
        <v>0</v>
      </c>
      <c r="L2596">
        <v>0</v>
      </c>
      <c r="M2596" t="s">
        <v>25022</v>
      </c>
      <c r="N2596">
        <v>1697</v>
      </c>
      <c r="O2596" t="s">
        <v>10638</v>
      </c>
      <c r="P2596" t="s">
        <v>57</v>
      </c>
      <c r="Q2596">
        <v>1704863</v>
      </c>
      <c r="R2596">
        <v>1705525</v>
      </c>
      <c r="S2596" t="s">
        <v>10639</v>
      </c>
      <c r="T2596">
        <v>221</v>
      </c>
      <c r="U2596" t="s">
        <v>59</v>
      </c>
      <c r="V2596">
        <v>49</v>
      </c>
      <c r="W2596" t="str">
        <f>HYPERLINK("Gene1697-zp_tree_all.dnd", "Gene1697-tree")</f>
        <v>Gene1697-tree</v>
      </c>
      <c r="X2596">
        <v>12</v>
      </c>
      <c r="Y2596">
        <v>3</v>
      </c>
      <c r="Z2596">
        <v>12</v>
      </c>
      <c r="AA2596">
        <v>3</v>
      </c>
      <c r="AB2596">
        <v>0.2</v>
      </c>
      <c r="AC2596" t="s">
        <v>109</v>
      </c>
      <c r="AD2596" t="s">
        <v>324</v>
      </c>
      <c r="AE2596" t="s">
        <v>62</v>
      </c>
      <c r="AF2596" t="s">
        <v>62</v>
      </c>
      <c r="AG2596">
        <v>0</v>
      </c>
      <c r="AH2596">
        <v>0</v>
      </c>
      <c r="AI2596">
        <v>8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6</v>
      </c>
      <c r="AT2596">
        <v>0</v>
      </c>
      <c r="AU2596">
        <v>11</v>
      </c>
      <c r="AV2596">
        <v>8</v>
      </c>
      <c r="AW2596">
        <v>22</v>
      </c>
      <c r="AX2596">
        <v>7</v>
      </c>
      <c r="AY2596">
        <v>33</v>
      </c>
      <c r="AZ2596">
        <v>2</v>
      </c>
      <c r="BA2596" t="s">
        <v>10640</v>
      </c>
      <c r="BB2596" t="s">
        <v>10641</v>
      </c>
      <c r="BC2596">
        <v>0.59899999999999998</v>
      </c>
      <c r="BD2596" t="s">
        <v>65</v>
      </c>
      <c r="BE2596">
        <v>55</v>
      </c>
      <c r="BF2596">
        <v>9</v>
      </c>
      <c r="BG2596" t="s">
        <v>10642</v>
      </c>
      <c r="BH2596" t="s">
        <v>10643</v>
      </c>
      <c r="BI2596" t="s">
        <v>10644</v>
      </c>
      <c r="BJ2596">
        <v>3.0700000000000002E-2</v>
      </c>
      <c r="BK2596">
        <v>1</v>
      </c>
      <c r="BL2596" t="s">
        <v>69</v>
      </c>
      <c r="BM2596">
        <v>-1.7</v>
      </c>
      <c r="BN2596">
        <v>-1.9870000000000001</v>
      </c>
    </row>
    <row r="2597" spans="10:66">
      <c r="J2597">
        <v>0</v>
      </c>
      <c r="K2597">
        <v>0</v>
      </c>
      <c r="L2597">
        <v>0</v>
      </c>
      <c r="M2597" t="s">
        <v>25022</v>
      </c>
      <c r="N2597">
        <v>1698</v>
      </c>
      <c r="O2597" t="s">
        <v>10645</v>
      </c>
      <c r="P2597" t="s">
        <v>57</v>
      </c>
      <c r="Q2597">
        <v>1705543</v>
      </c>
      <c r="R2597">
        <v>1705809</v>
      </c>
      <c r="S2597" t="s">
        <v>10639</v>
      </c>
      <c r="T2597">
        <v>89</v>
      </c>
      <c r="U2597" t="s">
        <v>749</v>
      </c>
      <c r="V2597">
        <v>47</v>
      </c>
      <c r="W2597" t="str">
        <f>HYPERLINK("Gene1698-zp_tree_all.dnd", "Gene1698-tree")</f>
        <v>Gene1698-tree</v>
      </c>
      <c r="X2597">
        <v>5</v>
      </c>
      <c r="Y2597">
        <v>1</v>
      </c>
      <c r="Z2597">
        <v>5</v>
      </c>
      <c r="AA2597">
        <v>1</v>
      </c>
      <c r="AB2597">
        <v>0.16667000000000001</v>
      </c>
      <c r="AC2597" t="s">
        <v>199</v>
      </c>
      <c r="AD2597" t="s">
        <v>175</v>
      </c>
      <c r="AE2597" t="s">
        <v>62</v>
      </c>
      <c r="AF2597" t="s">
        <v>62</v>
      </c>
      <c r="AG2597">
        <v>0</v>
      </c>
      <c r="AH2597">
        <v>0</v>
      </c>
      <c r="AI2597">
        <v>2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4</v>
      </c>
      <c r="AV2597">
        <v>2</v>
      </c>
      <c r="AW2597">
        <v>5</v>
      </c>
      <c r="AX2597">
        <v>1</v>
      </c>
      <c r="AY2597">
        <v>11</v>
      </c>
      <c r="AZ2597">
        <v>1</v>
      </c>
      <c r="BA2597" t="s">
        <v>10646</v>
      </c>
      <c r="BB2597" t="s">
        <v>10647</v>
      </c>
      <c r="BC2597">
        <v>0.29299999999999998</v>
      </c>
      <c r="BD2597" t="s">
        <v>65</v>
      </c>
      <c r="BE2597">
        <v>16</v>
      </c>
      <c r="BF2597">
        <v>2</v>
      </c>
      <c r="BG2597" t="s">
        <v>10648</v>
      </c>
      <c r="BH2597" t="s">
        <v>10649</v>
      </c>
      <c r="BI2597" t="s">
        <v>10650</v>
      </c>
      <c r="BJ2597">
        <v>5.0049999999999997E-2</v>
      </c>
      <c r="BK2597">
        <v>1</v>
      </c>
      <c r="BL2597" t="s">
        <v>69</v>
      </c>
      <c r="BM2597">
        <v>-2.0179999999999998</v>
      </c>
      <c r="BN2597">
        <v>-0.72299999999999998</v>
      </c>
    </row>
    <row r="2598" spans="10:66">
      <c r="J2598">
        <v>0</v>
      </c>
      <c r="K2598">
        <v>0</v>
      </c>
      <c r="L2598">
        <v>0</v>
      </c>
      <c r="M2598" t="s">
        <v>25022</v>
      </c>
      <c r="N2598">
        <v>1699</v>
      </c>
      <c r="O2598" t="s">
        <v>10651</v>
      </c>
      <c r="P2598" t="s">
        <v>57</v>
      </c>
      <c r="Q2598">
        <v>1705820</v>
      </c>
      <c r="R2598">
        <v>1706596</v>
      </c>
      <c r="S2598" t="s">
        <v>10639</v>
      </c>
      <c r="T2598">
        <v>259</v>
      </c>
      <c r="U2598" t="s">
        <v>108</v>
      </c>
      <c r="V2598">
        <v>44</v>
      </c>
      <c r="W2598" t="str">
        <f>HYPERLINK("Gene1699-zp_tree_all.dnd", "Gene1699-tree")</f>
        <v>Gene1699-tree</v>
      </c>
      <c r="X2598">
        <v>10</v>
      </c>
      <c r="Y2598">
        <v>3</v>
      </c>
      <c r="Z2598">
        <v>10</v>
      </c>
      <c r="AA2598">
        <v>3</v>
      </c>
      <c r="AB2598">
        <v>0.23077</v>
      </c>
      <c r="AC2598" t="s">
        <v>117</v>
      </c>
      <c r="AD2598" t="s">
        <v>324</v>
      </c>
      <c r="AE2598" t="s">
        <v>62</v>
      </c>
      <c r="AF2598" t="s">
        <v>62</v>
      </c>
      <c r="AG2598">
        <v>0</v>
      </c>
      <c r="AH2598">
        <v>0</v>
      </c>
      <c r="AI2598">
        <v>3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3</v>
      </c>
      <c r="AT2598">
        <v>0</v>
      </c>
      <c r="AU2598">
        <v>11</v>
      </c>
      <c r="AV2598">
        <v>5</v>
      </c>
      <c r="AW2598">
        <v>23</v>
      </c>
      <c r="AX2598">
        <v>3</v>
      </c>
      <c r="AY2598">
        <v>11</v>
      </c>
      <c r="AZ2598">
        <v>0</v>
      </c>
      <c r="BA2598" t="s">
        <v>10652</v>
      </c>
      <c r="BB2598" t="s">
        <v>193</v>
      </c>
      <c r="BC2598">
        <v>1.026</v>
      </c>
      <c r="BD2598" t="s">
        <v>65</v>
      </c>
      <c r="BE2598">
        <v>34</v>
      </c>
      <c r="BF2598">
        <v>3</v>
      </c>
      <c r="BG2598" t="s">
        <v>10653</v>
      </c>
      <c r="BH2598" t="s">
        <v>10654</v>
      </c>
      <c r="BI2598" t="s">
        <v>10655</v>
      </c>
      <c r="BJ2598">
        <v>1.941E-2</v>
      </c>
      <c r="BK2598">
        <v>1</v>
      </c>
      <c r="BL2598" t="s">
        <v>69</v>
      </c>
      <c r="BM2598">
        <v>-0.78200000000000003</v>
      </c>
      <c r="BN2598">
        <v>-1.857</v>
      </c>
    </row>
    <row r="2599" spans="10:66">
      <c r="J2599">
        <v>0</v>
      </c>
      <c r="K2599">
        <v>0</v>
      </c>
      <c r="L2599">
        <v>0</v>
      </c>
      <c r="M2599" t="s">
        <v>25022</v>
      </c>
      <c r="N2599">
        <v>1700</v>
      </c>
      <c r="O2599" t="s">
        <v>10656</v>
      </c>
      <c r="P2599" t="s">
        <v>57</v>
      </c>
      <c r="Q2599">
        <v>1706599</v>
      </c>
      <c r="R2599">
        <v>1707678</v>
      </c>
      <c r="S2599" t="s">
        <v>10639</v>
      </c>
      <c r="T2599">
        <v>360</v>
      </c>
      <c r="U2599" t="s">
        <v>108</v>
      </c>
      <c r="V2599">
        <v>44</v>
      </c>
      <c r="W2599" t="str">
        <f>HYPERLINK("Gene1700-zp_tree_all.dnd", "Gene1700-tree")</f>
        <v>Gene1700-tree</v>
      </c>
      <c r="X2599">
        <v>14</v>
      </c>
      <c r="Y2599">
        <v>0</v>
      </c>
      <c r="Z2599">
        <v>14</v>
      </c>
      <c r="AA2599">
        <v>0</v>
      </c>
      <c r="AB2599">
        <v>0</v>
      </c>
      <c r="AC2599" t="s">
        <v>543</v>
      </c>
      <c r="AD2599" t="s">
        <v>62</v>
      </c>
      <c r="AE2599" t="s">
        <v>62</v>
      </c>
      <c r="AF2599" t="s">
        <v>62</v>
      </c>
      <c r="AG2599">
        <v>0</v>
      </c>
      <c r="AH2599">
        <v>0</v>
      </c>
      <c r="AI2599">
        <v>2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11</v>
      </c>
      <c r="AV2599">
        <v>9</v>
      </c>
      <c r="AW2599">
        <v>24</v>
      </c>
      <c r="AX2599">
        <v>0</v>
      </c>
      <c r="AY2599">
        <v>30</v>
      </c>
      <c r="AZ2599">
        <v>2</v>
      </c>
      <c r="BA2599" t="s">
        <v>193</v>
      </c>
      <c r="BB2599" t="s">
        <v>10657</v>
      </c>
      <c r="BC2599">
        <v>0.77600000000000002</v>
      </c>
      <c r="BD2599" t="s">
        <v>65</v>
      </c>
      <c r="BE2599">
        <v>54</v>
      </c>
      <c r="BF2599">
        <v>2</v>
      </c>
      <c r="BG2599" t="s">
        <v>10658</v>
      </c>
      <c r="BH2599" t="s">
        <v>10659</v>
      </c>
      <c r="BI2599" t="s">
        <v>10660</v>
      </c>
      <c r="BJ2599">
        <v>1.519E-2</v>
      </c>
      <c r="BK2599">
        <v>1</v>
      </c>
      <c r="BL2599" t="s">
        <v>69</v>
      </c>
      <c r="BM2599">
        <v>1.2999999999999999E-2</v>
      </c>
      <c r="BN2599">
        <v>-0.79200000000000004</v>
      </c>
    </row>
    <row r="2600" spans="10:66">
      <c r="J2600">
        <v>0</v>
      </c>
      <c r="K2600">
        <v>0</v>
      </c>
      <c r="L2600">
        <v>0</v>
      </c>
      <c r="M2600" t="s">
        <v>25022</v>
      </c>
      <c r="N2600">
        <v>1701</v>
      </c>
      <c r="O2600" t="s">
        <v>10661</v>
      </c>
      <c r="P2600" t="s">
        <v>57</v>
      </c>
      <c r="Q2600">
        <v>1707714</v>
      </c>
      <c r="R2600">
        <v>1709744</v>
      </c>
      <c r="S2600" t="s">
        <v>10639</v>
      </c>
      <c r="T2600">
        <v>677</v>
      </c>
      <c r="U2600" t="s">
        <v>108</v>
      </c>
      <c r="V2600">
        <v>44</v>
      </c>
      <c r="W2600" t="str">
        <f>HYPERLINK("Gene1701-zp_tree_all.dnd", "Gene1701-tree")</f>
        <v>Gene1701-tree</v>
      </c>
      <c r="X2600">
        <v>11</v>
      </c>
      <c r="Y2600">
        <v>2</v>
      </c>
      <c r="Z2600">
        <v>11</v>
      </c>
      <c r="AA2600">
        <v>2</v>
      </c>
      <c r="AB2600">
        <v>0.15384999999999999</v>
      </c>
      <c r="AC2600" t="s">
        <v>73</v>
      </c>
      <c r="AD2600" t="s">
        <v>81</v>
      </c>
      <c r="AE2600" t="s">
        <v>62</v>
      </c>
      <c r="AF2600" t="s">
        <v>62</v>
      </c>
      <c r="AG2600">
        <v>0</v>
      </c>
      <c r="AH2600">
        <v>0</v>
      </c>
      <c r="AI2600">
        <v>2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2</v>
      </c>
      <c r="AT2600">
        <v>0</v>
      </c>
      <c r="AU2600">
        <v>12</v>
      </c>
      <c r="AV2600">
        <v>8</v>
      </c>
      <c r="AW2600">
        <v>43</v>
      </c>
      <c r="AX2600">
        <v>2</v>
      </c>
      <c r="AY2600">
        <v>21</v>
      </c>
      <c r="AZ2600">
        <v>0</v>
      </c>
      <c r="BA2600" t="s">
        <v>10662</v>
      </c>
      <c r="BB2600" t="s">
        <v>193</v>
      </c>
      <c r="BC2600">
        <v>0.60899999999999999</v>
      </c>
      <c r="BD2600" t="s">
        <v>65</v>
      </c>
      <c r="BE2600">
        <v>64</v>
      </c>
      <c r="BF2600">
        <v>2</v>
      </c>
      <c r="BG2600" t="s">
        <v>10663</v>
      </c>
      <c r="BH2600" t="s">
        <v>10664</v>
      </c>
      <c r="BI2600" t="s">
        <v>10665</v>
      </c>
      <c r="BJ2600">
        <v>9.1500000000000001E-3</v>
      </c>
      <c r="BK2600">
        <v>1</v>
      </c>
      <c r="BL2600" t="s">
        <v>69</v>
      </c>
      <c r="BM2600">
        <v>-0.51700000000000002</v>
      </c>
      <c r="BN2600">
        <v>-1.8360000000000001</v>
      </c>
    </row>
    <row r="2601" spans="10:66">
      <c r="J2601">
        <v>0</v>
      </c>
      <c r="K2601">
        <v>4</v>
      </c>
      <c r="L2601">
        <v>0</v>
      </c>
      <c r="M2601" t="s">
        <v>25022</v>
      </c>
      <c r="N2601">
        <v>1702</v>
      </c>
      <c r="O2601" t="s">
        <v>10666</v>
      </c>
      <c r="P2601" t="s">
        <v>57</v>
      </c>
      <c r="Q2601">
        <v>1709747</v>
      </c>
      <c r="R2601">
        <v>1710844</v>
      </c>
      <c r="S2601" t="s">
        <v>10667</v>
      </c>
      <c r="T2601">
        <v>366</v>
      </c>
      <c r="U2601" t="s">
        <v>108</v>
      </c>
      <c r="V2601">
        <v>44</v>
      </c>
      <c r="W2601" t="str">
        <f>HYPERLINK("Gene1702-zp_tree_all.dnd", "Gene1702-tree")</f>
        <v>Gene1702-tree</v>
      </c>
      <c r="X2601">
        <v>29</v>
      </c>
      <c r="Y2601">
        <v>6</v>
      </c>
      <c r="Z2601">
        <v>3</v>
      </c>
      <c r="AA2601">
        <v>6</v>
      </c>
      <c r="AB2601">
        <v>0.66666999999999998</v>
      </c>
      <c r="AC2601" t="s">
        <v>10668</v>
      </c>
      <c r="AD2601" t="s">
        <v>90</v>
      </c>
      <c r="AE2601" t="s">
        <v>62</v>
      </c>
      <c r="AF2601" t="s">
        <v>62</v>
      </c>
      <c r="AG2601">
        <v>2</v>
      </c>
      <c r="AH2601">
        <v>4</v>
      </c>
      <c r="AI2601">
        <v>5</v>
      </c>
      <c r="AJ2601">
        <v>0.44444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4</v>
      </c>
      <c r="AQ2601">
        <v>0</v>
      </c>
      <c r="AR2601">
        <v>4</v>
      </c>
      <c r="AS2601">
        <v>5</v>
      </c>
      <c r="AT2601">
        <v>0.44444</v>
      </c>
      <c r="AU2601">
        <v>7</v>
      </c>
      <c r="AV2601">
        <v>4</v>
      </c>
      <c r="AW2601">
        <v>17</v>
      </c>
      <c r="AX2601">
        <v>8</v>
      </c>
      <c r="AY2601">
        <v>6</v>
      </c>
      <c r="AZ2601">
        <v>1</v>
      </c>
      <c r="BA2601" t="s">
        <v>10669</v>
      </c>
      <c r="BB2601" t="s">
        <v>10670</v>
      </c>
      <c r="BC2601">
        <v>0.86699999999999999</v>
      </c>
      <c r="BD2601" t="s">
        <v>65</v>
      </c>
      <c r="BE2601">
        <v>23</v>
      </c>
      <c r="BF2601">
        <v>9</v>
      </c>
      <c r="BG2601" t="s">
        <v>10671</v>
      </c>
      <c r="BH2601" t="s">
        <v>10672</v>
      </c>
      <c r="BI2601" t="s">
        <v>10673</v>
      </c>
      <c r="BJ2601">
        <v>9.6299999999999997E-2</v>
      </c>
      <c r="BK2601">
        <v>1</v>
      </c>
      <c r="BL2601" t="s">
        <v>69</v>
      </c>
      <c r="BM2601">
        <v>-0.503</v>
      </c>
      <c r="BN2601">
        <v>-2.153</v>
      </c>
    </row>
    <row r="2602" spans="10:66">
      <c r="J2602">
        <v>0</v>
      </c>
      <c r="K2602">
        <v>5</v>
      </c>
      <c r="L2602">
        <v>0</v>
      </c>
      <c r="M2602" t="s">
        <v>25022</v>
      </c>
      <c r="N2602">
        <v>1703</v>
      </c>
      <c r="O2602" t="s">
        <v>10674</v>
      </c>
      <c r="P2602" t="s">
        <v>57</v>
      </c>
      <c r="Q2602">
        <v>1710838</v>
      </c>
      <c r="R2602">
        <v>1711731</v>
      </c>
      <c r="S2602" t="s">
        <v>10675</v>
      </c>
      <c r="T2602">
        <v>298</v>
      </c>
      <c r="U2602" t="s">
        <v>108</v>
      </c>
      <c r="V2602">
        <v>44</v>
      </c>
      <c r="W2602" t="str">
        <f>HYPERLINK("Gene1703-zp_tree_all.dnd", "Gene1703-tree")</f>
        <v>Gene1703-tree</v>
      </c>
      <c r="X2602">
        <v>31</v>
      </c>
      <c r="Y2602">
        <v>5</v>
      </c>
      <c r="Z2602">
        <v>7</v>
      </c>
      <c r="AA2602">
        <v>5</v>
      </c>
      <c r="AB2602">
        <v>0.41666999999999998</v>
      </c>
      <c r="AC2602" t="s">
        <v>6799</v>
      </c>
      <c r="AD2602" t="s">
        <v>199</v>
      </c>
      <c r="AE2602" t="s">
        <v>62</v>
      </c>
      <c r="AF2602" t="s">
        <v>62</v>
      </c>
      <c r="AG2602">
        <v>2</v>
      </c>
      <c r="AH2602">
        <v>5</v>
      </c>
      <c r="AI2602">
        <v>6</v>
      </c>
      <c r="AJ2602">
        <v>0.45455000000000001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3</v>
      </c>
      <c r="AQ2602">
        <v>0</v>
      </c>
      <c r="AR2602">
        <v>3</v>
      </c>
      <c r="AS2602">
        <v>6</v>
      </c>
      <c r="AT2602">
        <v>0.33333000000000002</v>
      </c>
      <c r="AU2602">
        <v>10</v>
      </c>
      <c r="AV2602">
        <v>5</v>
      </c>
      <c r="AW2602">
        <v>22</v>
      </c>
      <c r="AX2602">
        <v>9</v>
      </c>
      <c r="AY2602">
        <v>8</v>
      </c>
      <c r="AZ2602">
        <v>2</v>
      </c>
      <c r="BA2602" t="s">
        <v>10676</v>
      </c>
      <c r="BB2602" t="s">
        <v>10677</v>
      </c>
      <c r="BC2602">
        <v>0.47</v>
      </c>
      <c r="BD2602" t="s">
        <v>65</v>
      </c>
      <c r="BE2602">
        <v>30</v>
      </c>
      <c r="BF2602">
        <v>11</v>
      </c>
      <c r="BG2602" t="s">
        <v>10678</v>
      </c>
      <c r="BH2602" t="s">
        <v>10679</v>
      </c>
      <c r="BI2602" t="s">
        <v>10680</v>
      </c>
      <c r="BJ2602">
        <v>9.0889999999999999E-2</v>
      </c>
      <c r="BK2602">
        <v>1</v>
      </c>
      <c r="BL2602" t="s">
        <v>69</v>
      </c>
      <c r="BM2602">
        <v>-0.79700000000000004</v>
      </c>
      <c r="BN2602">
        <v>-1.085</v>
      </c>
    </row>
    <row r="2603" spans="10:66">
      <c r="J2603">
        <v>0</v>
      </c>
      <c r="K2603">
        <v>0</v>
      </c>
      <c r="L2603">
        <v>0</v>
      </c>
      <c r="M2603" t="s">
        <v>25022</v>
      </c>
      <c r="N2603">
        <v>1704</v>
      </c>
      <c r="O2603" t="s">
        <v>10681</v>
      </c>
      <c r="P2603" t="s">
        <v>57</v>
      </c>
      <c r="Q2603">
        <v>1711736</v>
      </c>
      <c r="R2603">
        <v>1712806</v>
      </c>
      <c r="S2603" t="s">
        <v>10682</v>
      </c>
      <c r="T2603">
        <v>357</v>
      </c>
      <c r="U2603" t="s">
        <v>108</v>
      </c>
      <c r="V2603">
        <v>44</v>
      </c>
      <c r="W2603" t="str">
        <f>HYPERLINK("Gene1704-zp_tree_all.dnd", "Gene1704-tree")</f>
        <v>Gene1704-tree</v>
      </c>
      <c r="X2603">
        <v>5</v>
      </c>
      <c r="Y2603">
        <v>8</v>
      </c>
      <c r="Z2603">
        <v>5</v>
      </c>
      <c r="AA2603">
        <v>8</v>
      </c>
      <c r="AB2603">
        <v>0.61538000000000004</v>
      </c>
      <c r="AC2603" t="s">
        <v>199</v>
      </c>
      <c r="AD2603" t="s">
        <v>136</v>
      </c>
      <c r="AE2603" t="s">
        <v>62</v>
      </c>
      <c r="AF2603" t="s">
        <v>62</v>
      </c>
      <c r="AG2603">
        <v>0</v>
      </c>
      <c r="AH2603">
        <v>0</v>
      </c>
      <c r="AI2603">
        <v>10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9</v>
      </c>
      <c r="AT2603">
        <v>0</v>
      </c>
      <c r="AU2603">
        <v>10</v>
      </c>
      <c r="AV2603">
        <v>8</v>
      </c>
      <c r="AW2603">
        <v>14</v>
      </c>
      <c r="AX2603">
        <v>8</v>
      </c>
      <c r="AY2603">
        <v>10</v>
      </c>
      <c r="AZ2603">
        <v>2</v>
      </c>
      <c r="BA2603" t="s">
        <v>10683</v>
      </c>
      <c r="BB2603" t="s">
        <v>10684</v>
      </c>
      <c r="BC2603">
        <v>1.0149999999999999</v>
      </c>
      <c r="BD2603" t="s">
        <v>65</v>
      </c>
      <c r="BE2603">
        <v>24</v>
      </c>
      <c r="BF2603">
        <v>10</v>
      </c>
      <c r="BG2603" t="s">
        <v>10685</v>
      </c>
      <c r="BH2603" t="s">
        <v>10686</v>
      </c>
      <c r="BI2603" t="s">
        <v>10687</v>
      </c>
      <c r="BJ2603">
        <v>0.11335000000000001</v>
      </c>
      <c r="BK2603">
        <v>1</v>
      </c>
      <c r="BL2603" t="s">
        <v>69</v>
      </c>
      <c r="BM2603">
        <v>-0.98</v>
      </c>
      <c r="BN2603">
        <v>-1.67</v>
      </c>
    </row>
    <row r="2604" spans="10:66">
      <c r="J2604">
        <v>0</v>
      </c>
      <c r="K2604">
        <v>2</v>
      </c>
      <c r="L2604">
        <v>2</v>
      </c>
      <c r="M2604" t="s">
        <v>25022</v>
      </c>
      <c r="N2604">
        <v>1705</v>
      </c>
      <c r="O2604" t="s">
        <v>10688</v>
      </c>
      <c r="P2604" t="s">
        <v>57</v>
      </c>
      <c r="Q2604">
        <v>1712815</v>
      </c>
      <c r="R2604">
        <v>1714830</v>
      </c>
      <c r="S2604" t="s">
        <v>10689</v>
      </c>
      <c r="T2604">
        <v>672</v>
      </c>
      <c r="U2604" t="s">
        <v>10690</v>
      </c>
      <c r="V2604">
        <v>44</v>
      </c>
      <c r="W2604" t="str">
        <f>HYPERLINK("Gene1705-zp_tree_all.dnd", "Gene1705-tree")</f>
        <v>Gene1705-tree</v>
      </c>
      <c r="X2604">
        <v>7</v>
      </c>
      <c r="Y2604">
        <v>5</v>
      </c>
      <c r="Z2604">
        <v>7</v>
      </c>
      <c r="AA2604">
        <v>5</v>
      </c>
      <c r="AB2604">
        <v>0.41666999999999998</v>
      </c>
      <c r="AC2604" t="s">
        <v>152</v>
      </c>
      <c r="AD2604" t="s">
        <v>199</v>
      </c>
      <c r="AE2604" t="s">
        <v>62</v>
      </c>
      <c r="AF2604" t="s">
        <v>62</v>
      </c>
      <c r="AG2604">
        <v>2</v>
      </c>
      <c r="AH2604">
        <v>4</v>
      </c>
      <c r="AI2604">
        <v>21</v>
      </c>
      <c r="AJ2604">
        <v>0.16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2</v>
      </c>
      <c r="AR2604">
        <v>2</v>
      </c>
      <c r="AS2604">
        <v>21</v>
      </c>
      <c r="AT2604">
        <v>8.6959999999999996E-2</v>
      </c>
      <c r="AU2604">
        <v>11</v>
      </c>
      <c r="AV2604">
        <v>7</v>
      </c>
      <c r="AW2604">
        <v>103</v>
      </c>
      <c r="AX2604">
        <v>25</v>
      </c>
      <c r="AY2604">
        <v>14</v>
      </c>
      <c r="AZ2604">
        <v>2</v>
      </c>
      <c r="BA2604" t="s">
        <v>10691</v>
      </c>
      <c r="BB2604" t="s">
        <v>10692</v>
      </c>
      <c r="BC2604">
        <v>0.11899999999999999</v>
      </c>
      <c r="BD2604" t="s">
        <v>65</v>
      </c>
      <c r="BE2604">
        <v>117</v>
      </c>
      <c r="BF2604">
        <v>27</v>
      </c>
      <c r="BG2604" t="s">
        <v>10693</v>
      </c>
      <c r="BH2604" t="s">
        <v>10694</v>
      </c>
      <c r="BI2604" t="s">
        <v>10695</v>
      </c>
      <c r="BJ2604">
        <v>6.0539999999999997E-2</v>
      </c>
      <c r="BK2604">
        <v>1</v>
      </c>
      <c r="BL2604" t="s">
        <v>69</v>
      </c>
      <c r="BM2604">
        <v>-2.0840000000000001</v>
      </c>
      <c r="BN2604">
        <v>-4.7140000000000004</v>
      </c>
    </row>
    <row r="2605" spans="10:66">
      <c r="J2605">
        <v>0</v>
      </c>
      <c r="K2605">
        <v>0</v>
      </c>
      <c r="L2605">
        <v>0</v>
      </c>
      <c r="M2605" t="s">
        <v>25022</v>
      </c>
      <c r="N2605">
        <v>1706</v>
      </c>
      <c r="O2605" t="s">
        <v>10696</v>
      </c>
      <c r="P2605" t="s">
        <v>57</v>
      </c>
      <c r="Q2605">
        <v>1714855</v>
      </c>
      <c r="R2605">
        <v>1715322</v>
      </c>
      <c r="S2605" t="s">
        <v>10697</v>
      </c>
      <c r="T2605">
        <v>156</v>
      </c>
      <c r="U2605" t="s">
        <v>59</v>
      </c>
      <c r="V2605">
        <v>49</v>
      </c>
      <c r="W2605" t="str">
        <f>HYPERLINK("Gene1706-zp_tree_all.dnd", "Gene1706-tree")</f>
        <v>Gene1706-tree</v>
      </c>
      <c r="X2605">
        <v>11</v>
      </c>
      <c r="Y2605">
        <v>2</v>
      </c>
      <c r="Z2605">
        <v>11</v>
      </c>
      <c r="AA2605">
        <v>2</v>
      </c>
      <c r="AB2605">
        <v>0.15384999999999999</v>
      </c>
      <c r="AC2605" t="s">
        <v>73</v>
      </c>
      <c r="AD2605" t="s">
        <v>81</v>
      </c>
      <c r="AE2605" t="s">
        <v>62</v>
      </c>
      <c r="AF2605" t="s">
        <v>62</v>
      </c>
      <c r="AG2605">
        <v>0</v>
      </c>
      <c r="AH2605">
        <v>0</v>
      </c>
      <c r="AI2605">
        <v>8</v>
      </c>
      <c r="AJ2605">
        <v>0</v>
      </c>
      <c r="AK2605">
        <v>0</v>
      </c>
      <c r="AL2605">
        <v>0</v>
      </c>
      <c r="AM2605">
        <v>0</v>
      </c>
      <c r="AN2605">
        <v>2</v>
      </c>
      <c r="AO2605">
        <v>0</v>
      </c>
      <c r="AP2605">
        <v>0</v>
      </c>
      <c r="AQ2605">
        <v>0</v>
      </c>
      <c r="AR2605">
        <v>0</v>
      </c>
      <c r="AS2605">
        <v>2</v>
      </c>
      <c r="AT2605">
        <v>0</v>
      </c>
      <c r="AU2605">
        <v>10</v>
      </c>
      <c r="AV2605">
        <v>5</v>
      </c>
      <c r="AW2605">
        <v>13</v>
      </c>
      <c r="AX2605">
        <v>2</v>
      </c>
      <c r="AY2605">
        <v>21</v>
      </c>
      <c r="AZ2605">
        <v>6</v>
      </c>
      <c r="BA2605" t="s">
        <v>10698</v>
      </c>
      <c r="BB2605" t="s">
        <v>10699</v>
      </c>
      <c r="BC2605">
        <v>0.436</v>
      </c>
      <c r="BD2605" t="s">
        <v>65</v>
      </c>
      <c r="BE2605">
        <v>34</v>
      </c>
      <c r="BF2605">
        <v>8</v>
      </c>
      <c r="BG2605" t="s">
        <v>10700</v>
      </c>
      <c r="BH2605" t="s">
        <v>10701</v>
      </c>
      <c r="BI2605" t="s">
        <v>10702</v>
      </c>
      <c r="BJ2605">
        <v>7.3010000000000005E-2</v>
      </c>
      <c r="BK2605">
        <v>1</v>
      </c>
      <c r="BL2605" t="s">
        <v>69</v>
      </c>
      <c r="BM2605">
        <v>-1.512</v>
      </c>
      <c r="BN2605">
        <v>-0.56499999999999995</v>
      </c>
    </row>
    <row r="2606" spans="10:66">
      <c r="J2606">
        <v>0</v>
      </c>
      <c r="K2606">
        <v>0</v>
      </c>
      <c r="L2606">
        <v>0</v>
      </c>
      <c r="M2606" t="s">
        <v>25022</v>
      </c>
      <c r="N2606">
        <v>1707</v>
      </c>
      <c r="O2606" t="s">
        <v>10703</v>
      </c>
      <c r="P2606" t="s">
        <v>57</v>
      </c>
      <c r="Q2606">
        <v>1715344</v>
      </c>
      <c r="R2606">
        <v>1715970</v>
      </c>
      <c r="S2606" t="s">
        <v>10704</v>
      </c>
      <c r="T2606">
        <v>209</v>
      </c>
      <c r="U2606" t="s">
        <v>4986</v>
      </c>
      <c r="V2606">
        <v>44</v>
      </c>
      <c r="W2606" t="str">
        <f>HYPERLINK("Gene1707-zp_tree_all.dnd", "Gene1707-tree")</f>
        <v>Gene1707-tree</v>
      </c>
      <c r="X2606">
        <v>11</v>
      </c>
      <c r="Y2606">
        <v>2</v>
      </c>
      <c r="Z2606">
        <v>11</v>
      </c>
      <c r="AA2606">
        <v>2</v>
      </c>
      <c r="AB2606">
        <v>0.15384999999999999</v>
      </c>
      <c r="AC2606" t="s">
        <v>73</v>
      </c>
      <c r="AD2606" t="s">
        <v>81</v>
      </c>
      <c r="AE2606" t="s">
        <v>62</v>
      </c>
      <c r="AF2606" t="s">
        <v>62</v>
      </c>
      <c r="AG2606">
        <v>0</v>
      </c>
      <c r="AH2606">
        <v>0</v>
      </c>
      <c r="AI2606">
        <v>5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3</v>
      </c>
      <c r="AT2606">
        <v>0</v>
      </c>
      <c r="AU2606">
        <v>9</v>
      </c>
      <c r="AV2606">
        <v>6</v>
      </c>
      <c r="AW2606">
        <v>25</v>
      </c>
      <c r="AX2606">
        <v>3</v>
      </c>
      <c r="AY2606">
        <v>34</v>
      </c>
      <c r="AZ2606">
        <v>2</v>
      </c>
      <c r="BA2606" t="s">
        <v>10705</v>
      </c>
      <c r="BB2606" t="s">
        <v>10706</v>
      </c>
      <c r="BC2606">
        <v>0.28799999999999998</v>
      </c>
      <c r="BD2606" t="s">
        <v>65</v>
      </c>
      <c r="BE2606">
        <v>59</v>
      </c>
      <c r="BF2606">
        <v>5</v>
      </c>
      <c r="BG2606" t="s">
        <v>10707</v>
      </c>
      <c r="BH2606" t="s">
        <v>10708</v>
      </c>
      <c r="BI2606" t="s">
        <v>10709</v>
      </c>
      <c r="BJ2606">
        <v>2.3E-2</v>
      </c>
      <c r="BK2606">
        <v>1</v>
      </c>
      <c r="BL2606" t="s">
        <v>69</v>
      </c>
      <c r="BM2606">
        <v>-1.609</v>
      </c>
      <c r="BN2606">
        <v>-1.524</v>
      </c>
    </row>
    <row r="2607" spans="10:66">
      <c r="J2607">
        <v>0</v>
      </c>
      <c r="K2607">
        <v>2</v>
      </c>
      <c r="L2607">
        <v>0</v>
      </c>
      <c r="M2607" t="s">
        <v>25022</v>
      </c>
      <c r="N2607">
        <v>1708</v>
      </c>
      <c r="O2607" t="s">
        <v>10710</v>
      </c>
      <c r="P2607" t="s">
        <v>57</v>
      </c>
      <c r="Q2607">
        <v>1715970</v>
      </c>
      <c r="R2607">
        <v>1716467</v>
      </c>
      <c r="S2607" t="s">
        <v>10711</v>
      </c>
      <c r="T2607">
        <v>166</v>
      </c>
      <c r="U2607" t="s">
        <v>698</v>
      </c>
      <c r="V2607">
        <v>47</v>
      </c>
      <c r="W2607" t="str">
        <f>HYPERLINK("Gene1708-zp_tree_all.dnd", "Gene1708-tree")</f>
        <v>Gene1708-tree</v>
      </c>
      <c r="X2607">
        <v>8</v>
      </c>
      <c r="Y2607">
        <v>2</v>
      </c>
      <c r="Z2607">
        <v>8</v>
      </c>
      <c r="AA2607">
        <v>2</v>
      </c>
      <c r="AB2607">
        <v>0.2</v>
      </c>
      <c r="AC2607" t="s">
        <v>136</v>
      </c>
      <c r="AD2607" t="s">
        <v>81</v>
      </c>
      <c r="AE2607" t="s">
        <v>62</v>
      </c>
      <c r="AF2607" t="s">
        <v>62</v>
      </c>
      <c r="AG2607">
        <v>1</v>
      </c>
      <c r="AH2607">
        <v>2</v>
      </c>
      <c r="AI2607">
        <v>6</v>
      </c>
      <c r="AJ2607">
        <v>0.25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4</v>
      </c>
      <c r="AT2607">
        <v>0</v>
      </c>
      <c r="AU2607">
        <v>6</v>
      </c>
      <c r="AV2607">
        <v>7</v>
      </c>
      <c r="AW2607">
        <v>11</v>
      </c>
      <c r="AX2607">
        <v>4</v>
      </c>
      <c r="AY2607">
        <v>19</v>
      </c>
      <c r="AZ2607">
        <v>4</v>
      </c>
      <c r="BA2607" t="s">
        <v>10712</v>
      </c>
      <c r="BB2607" t="s">
        <v>10713</v>
      </c>
      <c r="BC2607">
        <v>0.17799999999999999</v>
      </c>
      <c r="BD2607" t="s">
        <v>65</v>
      </c>
      <c r="BE2607">
        <v>30</v>
      </c>
      <c r="BF2607">
        <v>8</v>
      </c>
      <c r="BG2607" t="s">
        <v>10714</v>
      </c>
      <c r="BH2607" t="s">
        <v>10715</v>
      </c>
      <c r="BI2607" t="s">
        <v>10716</v>
      </c>
      <c r="BJ2607">
        <v>6.1780000000000002E-2</v>
      </c>
      <c r="BK2607">
        <v>1</v>
      </c>
      <c r="BL2607" t="s">
        <v>69</v>
      </c>
      <c r="BM2607">
        <v>-1.8029999999999999</v>
      </c>
      <c r="BN2607">
        <v>-1.36</v>
      </c>
    </row>
    <row r="2608" spans="10:66">
      <c r="J2608">
        <v>0</v>
      </c>
      <c r="K2608">
        <v>0</v>
      </c>
      <c r="L2608">
        <v>0</v>
      </c>
      <c r="M2608" t="s">
        <v>25022</v>
      </c>
      <c r="N2608">
        <v>1709</v>
      </c>
      <c r="O2608" t="s">
        <v>10717</v>
      </c>
      <c r="P2608" t="s">
        <v>57</v>
      </c>
      <c r="Q2608">
        <v>1716493</v>
      </c>
      <c r="R2608">
        <v>1717254</v>
      </c>
      <c r="S2608" t="s">
        <v>10718</v>
      </c>
      <c r="T2608">
        <v>254</v>
      </c>
      <c r="U2608" t="s">
        <v>59</v>
      </c>
      <c r="V2608">
        <v>49</v>
      </c>
      <c r="W2608" t="str">
        <f>HYPERLINK("Gene1709-zp_tree_all.dnd", "Gene1709-tree")</f>
        <v>Gene1709-tree</v>
      </c>
      <c r="X2608">
        <v>13</v>
      </c>
      <c r="Y2608">
        <v>3</v>
      </c>
      <c r="Z2608">
        <v>13</v>
      </c>
      <c r="AA2608">
        <v>3</v>
      </c>
      <c r="AB2608">
        <v>0.1875</v>
      </c>
      <c r="AC2608" t="s">
        <v>507</v>
      </c>
      <c r="AD2608" t="s">
        <v>324</v>
      </c>
      <c r="AE2608" t="s">
        <v>62</v>
      </c>
      <c r="AF2608" t="s">
        <v>62</v>
      </c>
      <c r="AG2608">
        <v>0</v>
      </c>
      <c r="AH2608">
        <v>0</v>
      </c>
      <c r="AI2608">
        <v>3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3</v>
      </c>
      <c r="AT2608">
        <v>0</v>
      </c>
      <c r="AU2608">
        <v>13</v>
      </c>
      <c r="AV2608">
        <v>9</v>
      </c>
      <c r="AW2608">
        <v>25</v>
      </c>
      <c r="AX2608">
        <v>4</v>
      </c>
      <c r="AY2608">
        <v>25</v>
      </c>
      <c r="AZ2608">
        <v>0</v>
      </c>
      <c r="BA2608" t="s">
        <v>10719</v>
      </c>
      <c r="BB2608" t="s">
        <v>193</v>
      </c>
      <c r="BC2608">
        <v>0.72499999999999998</v>
      </c>
      <c r="BD2608" t="s">
        <v>65</v>
      </c>
      <c r="BE2608">
        <v>50</v>
      </c>
      <c r="BF2608">
        <v>4</v>
      </c>
      <c r="BG2608" t="s">
        <v>10720</v>
      </c>
      <c r="BH2608" t="s">
        <v>10721</v>
      </c>
      <c r="BI2608" t="s">
        <v>10722</v>
      </c>
      <c r="BJ2608">
        <v>1.3610000000000001E-2</v>
      </c>
      <c r="BK2608">
        <v>1</v>
      </c>
      <c r="BL2608" t="s">
        <v>69</v>
      </c>
      <c r="BM2608">
        <v>-1.4330000000000001</v>
      </c>
      <c r="BN2608">
        <v>-1.994</v>
      </c>
    </row>
    <row r="2609" spans="10:66">
      <c r="J2609">
        <v>0</v>
      </c>
      <c r="K2609">
        <v>3</v>
      </c>
      <c r="L2609">
        <v>2</v>
      </c>
      <c r="M2609" t="s">
        <v>25022</v>
      </c>
      <c r="N2609">
        <v>1710</v>
      </c>
      <c r="O2609" t="s">
        <v>10723</v>
      </c>
      <c r="P2609" t="s">
        <v>57</v>
      </c>
      <c r="Q2609">
        <v>1717286</v>
      </c>
      <c r="R2609">
        <v>1717786</v>
      </c>
      <c r="S2609" t="s">
        <v>10724</v>
      </c>
      <c r="T2609">
        <v>167</v>
      </c>
      <c r="U2609" t="s">
        <v>108</v>
      </c>
      <c r="V2609">
        <v>44</v>
      </c>
      <c r="W2609" t="str">
        <f>HYPERLINK("Gene1710-zp_tree_all.dnd", "Gene1710-tree")</f>
        <v>Gene1710-tree</v>
      </c>
      <c r="X2609">
        <v>25</v>
      </c>
      <c r="Y2609">
        <v>7</v>
      </c>
      <c r="Z2609">
        <v>4</v>
      </c>
      <c r="AA2609">
        <v>7</v>
      </c>
      <c r="AB2609">
        <v>0.63636000000000004</v>
      </c>
      <c r="AC2609" t="s">
        <v>2326</v>
      </c>
      <c r="AD2609" t="s">
        <v>152</v>
      </c>
      <c r="AE2609" t="s">
        <v>62</v>
      </c>
      <c r="AF2609" t="s">
        <v>62</v>
      </c>
      <c r="AG2609">
        <v>2</v>
      </c>
      <c r="AH2609">
        <v>5</v>
      </c>
      <c r="AI2609">
        <v>7</v>
      </c>
      <c r="AJ2609">
        <v>0.41666999999999998</v>
      </c>
      <c r="AK2609">
        <v>0</v>
      </c>
      <c r="AL2609">
        <v>0</v>
      </c>
      <c r="AM2609">
        <v>0</v>
      </c>
      <c r="AN2609">
        <v>2</v>
      </c>
      <c r="AO2609">
        <v>0</v>
      </c>
      <c r="AP2609">
        <v>3</v>
      </c>
      <c r="AQ2609">
        <v>0</v>
      </c>
      <c r="AR2609">
        <v>3</v>
      </c>
      <c r="AS2609">
        <v>6</v>
      </c>
      <c r="AT2609">
        <v>0.33333000000000002</v>
      </c>
      <c r="AU2609">
        <v>6</v>
      </c>
      <c r="AV2609">
        <v>5</v>
      </c>
      <c r="AW2609">
        <v>5</v>
      </c>
      <c r="AX2609">
        <v>6</v>
      </c>
      <c r="AY2609">
        <v>1</v>
      </c>
      <c r="AZ2609">
        <v>6</v>
      </c>
      <c r="BA2609" t="s">
        <v>10725</v>
      </c>
      <c r="BB2609" t="s">
        <v>10726</v>
      </c>
      <c r="BC2609">
        <v>0.434</v>
      </c>
      <c r="BD2609" t="s">
        <v>65</v>
      </c>
      <c r="BE2609">
        <v>6</v>
      </c>
      <c r="BF2609">
        <v>12</v>
      </c>
      <c r="BG2609" t="s">
        <v>10727</v>
      </c>
      <c r="BH2609" t="s">
        <v>10728</v>
      </c>
      <c r="BI2609" t="s">
        <v>10729</v>
      </c>
      <c r="BJ2609">
        <v>0.74990999999999997</v>
      </c>
      <c r="BK2609">
        <v>0.58599999999999997</v>
      </c>
      <c r="BL2609" t="s">
        <v>635</v>
      </c>
      <c r="BM2609">
        <v>-0.89900000000000002</v>
      </c>
      <c r="BN2609">
        <v>-2.6349999999999998</v>
      </c>
    </row>
    <row r="2610" spans="10:66">
      <c r="J2610">
        <v>0</v>
      </c>
      <c r="K2610">
        <v>0</v>
      </c>
      <c r="L2610">
        <v>0</v>
      </c>
      <c r="M2610" t="s">
        <v>25022</v>
      </c>
      <c r="N2610">
        <v>1711</v>
      </c>
      <c r="O2610" t="s">
        <v>10730</v>
      </c>
      <c r="P2610" t="s">
        <v>57</v>
      </c>
      <c r="Q2610">
        <v>1717933</v>
      </c>
      <c r="R2610">
        <v>1718670</v>
      </c>
      <c r="S2610" t="s">
        <v>10731</v>
      </c>
      <c r="T2610">
        <v>246</v>
      </c>
      <c r="U2610" t="s">
        <v>59</v>
      </c>
      <c r="V2610">
        <v>49</v>
      </c>
      <c r="W2610" t="str">
        <f>HYPERLINK("Gene1711-zp_tree_all.dnd", "Gene1711-tree")</f>
        <v>Gene1711-tree</v>
      </c>
      <c r="X2610">
        <v>10</v>
      </c>
      <c r="Y2610">
        <v>1</v>
      </c>
      <c r="Z2610">
        <v>10</v>
      </c>
      <c r="AA2610">
        <v>1</v>
      </c>
      <c r="AB2610">
        <v>9.0910000000000005E-2</v>
      </c>
      <c r="AC2610" t="s">
        <v>117</v>
      </c>
      <c r="AD2610" t="s">
        <v>175</v>
      </c>
      <c r="AE2610" t="s">
        <v>62</v>
      </c>
      <c r="AF2610" t="s">
        <v>62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6</v>
      </c>
      <c r="AV2610">
        <v>5</v>
      </c>
      <c r="AW2610">
        <v>9</v>
      </c>
      <c r="AX2610">
        <v>1</v>
      </c>
      <c r="AY2610">
        <v>6</v>
      </c>
      <c r="AZ2610">
        <v>0</v>
      </c>
      <c r="BA2610" t="s">
        <v>10732</v>
      </c>
      <c r="BB2610" t="s">
        <v>193</v>
      </c>
      <c r="BC2610">
        <v>0.39700000000000002</v>
      </c>
      <c r="BD2610" t="s">
        <v>65</v>
      </c>
      <c r="BE2610">
        <v>15</v>
      </c>
      <c r="BF2610">
        <v>1</v>
      </c>
      <c r="BG2610" t="s">
        <v>10733</v>
      </c>
      <c r="BH2610" t="s">
        <v>10734</v>
      </c>
      <c r="BI2610" t="s">
        <v>10735</v>
      </c>
      <c r="BJ2610">
        <v>1.294E-2</v>
      </c>
      <c r="BK2610">
        <v>1</v>
      </c>
      <c r="BL2610" t="s">
        <v>69</v>
      </c>
      <c r="BM2610">
        <v>-1.5529999999999999</v>
      </c>
      <c r="BN2610">
        <v>-1.631</v>
      </c>
    </row>
    <row r="2611" spans="10:66">
      <c r="J2611">
        <v>0</v>
      </c>
      <c r="K2611">
        <v>4</v>
      </c>
      <c r="L2611">
        <v>2</v>
      </c>
      <c r="M2611" t="s">
        <v>25022</v>
      </c>
      <c r="N2611">
        <v>1712</v>
      </c>
      <c r="O2611" t="s">
        <v>10736</v>
      </c>
      <c r="P2611" t="s">
        <v>57</v>
      </c>
      <c r="Q2611">
        <v>1718775</v>
      </c>
      <c r="R2611">
        <v>1719653</v>
      </c>
      <c r="S2611" t="s">
        <v>10737</v>
      </c>
      <c r="T2611">
        <v>293</v>
      </c>
      <c r="U2611" t="s">
        <v>59</v>
      </c>
      <c r="V2611">
        <v>49</v>
      </c>
      <c r="W2611" t="str">
        <f>HYPERLINK("Gene1712-zp_tree_all.dnd", "Gene1712-tree")</f>
        <v>Gene1712-tree</v>
      </c>
      <c r="X2611">
        <v>10</v>
      </c>
      <c r="Y2611">
        <v>4</v>
      </c>
      <c r="Z2611">
        <v>10</v>
      </c>
      <c r="AA2611">
        <v>4</v>
      </c>
      <c r="AB2611">
        <v>0.28571000000000002</v>
      </c>
      <c r="AC2611" t="s">
        <v>117</v>
      </c>
      <c r="AD2611" t="s">
        <v>61</v>
      </c>
      <c r="AE2611" t="s">
        <v>62</v>
      </c>
      <c r="AF2611" t="s">
        <v>62</v>
      </c>
      <c r="AG2611">
        <v>3</v>
      </c>
      <c r="AH2611">
        <v>6</v>
      </c>
      <c r="AI2611">
        <v>5</v>
      </c>
      <c r="AJ2611">
        <v>0.54544999999999999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4</v>
      </c>
      <c r="AT2611">
        <v>0</v>
      </c>
      <c r="AU2611">
        <v>13</v>
      </c>
      <c r="AV2611">
        <v>7</v>
      </c>
      <c r="AW2611">
        <v>23</v>
      </c>
      <c r="AX2611">
        <v>4</v>
      </c>
      <c r="AY2611">
        <v>32</v>
      </c>
      <c r="AZ2611">
        <v>7</v>
      </c>
      <c r="BA2611" t="s">
        <v>10738</v>
      </c>
      <c r="BB2611" t="s">
        <v>10739</v>
      </c>
      <c r="BC2611">
        <v>0.193</v>
      </c>
      <c r="BD2611" t="s">
        <v>65</v>
      </c>
      <c r="BE2611">
        <v>55</v>
      </c>
      <c r="BF2611">
        <v>11</v>
      </c>
      <c r="BG2611" t="s">
        <v>10740</v>
      </c>
      <c r="BH2611" t="s">
        <v>10741</v>
      </c>
      <c r="BI2611" t="s">
        <v>10742</v>
      </c>
      <c r="BJ2611">
        <v>5.033E-2</v>
      </c>
      <c r="BK2611">
        <v>1</v>
      </c>
      <c r="BL2611" t="s">
        <v>69</v>
      </c>
      <c r="BM2611">
        <v>-1.1779999999999999</v>
      </c>
      <c r="BN2611">
        <v>-0.85599999999999998</v>
      </c>
    </row>
    <row r="2612" spans="10:66">
      <c r="J2612">
        <v>0</v>
      </c>
      <c r="K2612">
        <v>0</v>
      </c>
      <c r="L2612">
        <v>0</v>
      </c>
      <c r="M2612" t="s">
        <v>25022</v>
      </c>
      <c r="N2612">
        <v>1713</v>
      </c>
      <c r="O2612" t="s">
        <v>10743</v>
      </c>
      <c r="P2612" t="s">
        <v>57</v>
      </c>
      <c r="Q2612">
        <v>1719802</v>
      </c>
      <c r="R2612">
        <v>1720521</v>
      </c>
      <c r="S2612" t="s">
        <v>10744</v>
      </c>
      <c r="T2612">
        <v>240</v>
      </c>
      <c r="U2612" t="s">
        <v>59</v>
      </c>
      <c r="V2612">
        <v>49</v>
      </c>
      <c r="W2612" t="str">
        <f>HYPERLINK("Gene1713-zp_tree_all.dnd", "Gene1713-tree")</f>
        <v>Gene1713-tree</v>
      </c>
      <c r="X2612">
        <v>10</v>
      </c>
      <c r="Y2612">
        <v>1</v>
      </c>
      <c r="Z2612">
        <v>10</v>
      </c>
      <c r="AA2612">
        <v>1</v>
      </c>
      <c r="AB2612">
        <v>9.0910000000000005E-2</v>
      </c>
      <c r="AC2612" t="s">
        <v>117</v>
      </c>
      <c r="AD2612" t="s">
        <v>175</v>
      </c>
      <c r="AE2612" t="s">
        <v>62</v>
      </c>
      <c r="AF2612" t="s">
        <v>62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0</v>
      </c>
      <c r="AU2612">
        <v>7</v>
      </c>
      <c r="AV2612">
        <v>4</v>
      </c>
      <c r="AW2612">
        <v>20</v>
      </c>
      <c r="AX2612">
        <v>1</v>
      </c>
      <c r="AY2612">
        <v>15</v>
      </c>
      <c r="AZ2612">
        <v>0</v>
      </c>
      <c r="BA2612" t="s">
        <v>10745</v>
      </c>
      <c r="BB2612" t="s">
        <v>193</v>
      </c>
      <c r="BC2612">
        <v>0.39700000000000002</v>
      </c>
      <c r="BD2612" t="s">
        <v>65</v>
      </c>
      <c r="BE2612">
        <v>35</v>
      </c>
      <c r="BF2612">
        <v>1</v>
      </c>
      <c r="BG2612" t="s">
        <v>10746</v>
      </c>
      <c r="BH2612" t="s">
        <v>10747</v>
      </c>
      <c r="BI2612" t="s">
        <v>10748</v>
      </c>
      <c r="BJ2612">
        <v>5.0899999999999999E-3</v>
      </c>
      <c r="BK2612">
        <v>1</v>
      </c>
      <c r="BL2612" t="s">
        <v>69</v>
      </c>
      <c r="BM2612">
        <v>-1.395</v>
      </c>
      <c r="BN2612">
        <v>-0.84699999999999998</v>
      </c>
    </row>
    <row r="2613" spans="10:66">
      <c r="J2613">
        <v>0</v>
      </c>
      <c r="K2613">
        <v>0</v>
      </c>
      <c r="L2613">
        <v>0</v>
      </c>
      <c r="M2613" t="s">
        <v>25022</v>
      </c>
      <c r="N2613">
        <v>1714</v>
      </c>
      <c r="O2613" t="s">
        <v>10749</v>
      </c>
      <c r="P2613" t="s">
        <v>57</v>
      </c>
      <c r="Q2613">
        <v>1720526</v>
      </c>
      <c r="R2613">
        <v>1721080</v>
      </c>
      <c r="S2613" t="s">
        <v>10750</v>
      </c>
      <c r="T2613">
        <v>185</v>
      </c>
      <c r="U2613" t="s">
        <v>59</v>
      </c>
      <c r="V2613">
        <v>49</v>
      </c>
      <c r="W2613" t="str">
        <f>HYPERLINK("Gene1714-zp_tree_all.dnd", "Gene1714-tree")</f>
        <v>Gene1714-tree</v>
      </c>
      <c r="X2613">
        <v>31</v>
      </c>
      <c r="Y2613">
        <v>2</v>
      </c>
      <c r="Z2613">
        <v>12</v>
      </c>
      <c r="AA2613">
        <v>2</v>
      </c>
      <c r="AB2613">
        <v>0.14285999999999999</v>
      </c>
      <c r="AC2613" t="s">
        <v>5000</v>
      </c>
      <c r="AD2613" t="s">
        <v>81</v>
      </c>
      <c r="AE2613" t="s">
        <v>62</v>
      </c>
      <c r="AF2613" t="s">
        <v>62</v>
      </c>
      <c r="AG2613">
        <v>0</v>
      </c>
      <c r="AH2613">
        <v>0</v>
      </c>
      <c r="AI2613">
        <v>6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2</v>
      </c>
      <c r="AT2613">
        <v>0</v>
      </c>
      <c r="AU2613">
        <v>9</v>
      </c>
      <c r="AV2613">
        <v>8</v>
      </c>
      <c r="AW2613">
        <v>17</v>
      </c>
      <c r="AX2613">
        <v>2</v>
      </c>
      <c r="AY2613">
        <v>33</v>
      </c>
      <c r="AZ2613">
        <v>4</v>
      </c>
      <c r="BA2613" t="s">
        <v>10751</v>
      </c>
      <c r="BB2613" t="s">
        <v>10752</v>
      </c>
      <c r="BC2613">
        <v>3.0000000000000001E-3</v>
      </c>
      <c r="BD2613" t="s">
        <v>65</v>
      </c>
      <c r="BE2613">
        <v>50</v>
      </c>
      <c r="BF2613">
        <v>6</v>
      </c>
      <c r="BG2613" t="s">
        <v>10753</v>
      </c>
      <c r="BH2613" t="s">
        <v>10754</v>
      </c>
      <c r="BI2613" t="s">
        <v>10755</v>
      </c>
      <c r="BJ2613">
        <v>4.1549999999999997E-2</v>
      </c>
      <c r="BK2613">
        <v>1</v>
      </c>
      <c r="BL2613" t="s">
        <v>69</v>
      </c>
      <c r="BM2613">
        <v>-1.2150000000000001</v>
      </c>
      <c r="BN2613">
        <v>-0.27200000000000002</v>
      </c>
    </row>
    <row r="2614" spans="10:66">
      <c r="J2614">
        <v>0</v>
      </c>
      <c r="K2614">
        <v>2</v>
      </c>
      <c r="L2614">
        <v>4</v>
      </c>
      <c r="M2614" t="s">
        <v>25022</v>
      </c>
      <c r="N2614">
        <v>1715</v>
      </c>
      <c r="O2614" t="s">
        <v>10756</v>
      </c>
      <c r="P2614" t="s">
        <v>57</v>
      </c>
      <c r="Q2614">
        <v>1721214</v>
      </c>
      <c r="R2614">
        <v>1721993</v>
      </c>
      <c r="S2614" t="s">
        <v>10757</v>
      </c>
      <c r="T2614">
        <v>260</v>
      </c>
      <c r="U2614" t="s">
        <v>59</v>
      </c>
      <c r="V2614">
        <v>49</v>
      </c>
      <c r="W2614" t="str">
        <f>HYPERLINK("Gene1715-zp_tree_all.dnd", "Gene1715-tree")</f>
        <v>Gene1715-tree</v>
      </c>
      <c r="X2614">
        <v>11</v>
      </c>
      <c r="Y2614">
        <v>3</v>
      </c>
      <c r="Z2614">
        <v>11</v>
      </c>
      <c r="AA2614">
        <v>3</v>
      </c>
      <c r="AB2614">
        <v>0.21429000000000001</v>
      </c>
      <c r="AC2614" t="s">
        <v>73</v>
      </c>
      <c r="AD2614" t="s">
        <v>324</v>
      </c>
      <c r="AE2614" t="s">
        <v>62</v>
      </c>
      <c r="AF2614" t="s">
        <v>62</v>
      </c>
      <c r="AG2614">
        <v>3</v>
      </c>
      <c r="AH2614">
        <v>6</v>
      </c>
      <c r="AI2614">
        <v>7</v>
      </c>
      <c r="AJ2614">
        <v>0.46154000000000001</v>
      </c>
      <c r="AK2614">
        <v>0</v>
      </c>
      <c r="AL2614">
        <v>0</v>
      </c>
      <c r="AM2614">
        <v>0</v>
      </c>
      <c r="AN2614">
        <v>2</v>
      </c>
      <c r="AO2614">
        <v>0</v>
      </c>
      <c r="AP2614">
        <v>0</v>
      </c>
      <c r="AQ2614">
        <v>0</v>
      </c>
      <c r="AR2614">
        <v>0</v>
      </c>
      <c r="AS2614">
        <v>3</v>
      </c>
      <c r="AT2614">
        <v>0</v>
      </c>
      <c r="AU2614">
        <v>12</v>
      </c>
      <c r="AV2614">
        <v>6</v>
      </c>
      <c r="AW2614">
        <v>25</v>
      </c>
      <c r="AX2614">
        <v>3</v>
      </c>
      <c r="AY2614">
        <v>33</v>
      </c>
      <c r="AZ2614">
        <v>10</v>
      </c>
      <c r="BA2614" t="s">
        <v>10758</v>
      </c>
      <c r="BB2614" t="s">
        <v>10759</v>
      </c>
      <c r="BC2614">
        <v>0.79700000000000004</v>
      </c>
      <c r="BD2614" t="s">
        <v>65</v>
      </c>
      <c r="BE2614">
        <v>58</v>
      </c>
      <c r="BF2614">
        <v>13</v>
      </c>
      <c r="BG2614" t="s">
        <v>10760</v>
      </c>
      <c r="BH2614" t="s">
        <v>10761</v>
      </c>
      <c r="BI2614" t="s">
        <v>10762</v>
      </c>
      <c r="BJ2614">
        <v>6.2659999999999993E-2</v>
      </c>
      <c r="BK2614">
        <v>1</v>
      </c>
      <c r="BL2614" t="s">
        <v>69</v>
      </c>
      <c r="BM2614">
        <v>-1.61</v>
      </c>
      <c r="BN2614">
        <v>-0.625</v>
      </c>
    </row>
    <row r="2615" spans="10:66">
      <c r="J2615">
        <v>0</v>
      </c>
      <c r="K2615">
        <v>9</v>
      </c>
      <c r="L2615">
        <v>1</v>
      </c>
      <c r="M2615" t="s">
        <v>25022</v>
      </c>
      <c r="N2615">
        <v>1716</v>
      </c>
      <c r="O2615" t="s">
        <v>10763</v>
      </c>
      <c r="P2615" t="s">
        <v>57</v>
      </c>
      <c r="Q2615">
        <v>1722000</v>
      </c>
      <c r="R2615">
        <v>1722806</v>
      </c>
      <c r="S2615" t="s">
        <v>10764</v>
      </c>
      <c r="T2615">
        <v>269</v>
      </c>
      <c r="U2615" t="s">
        <v>59</v>
      </c>
      <c r="V2615">
        <v>49</v>
      </c>
      <c r="W2615" t="str">
        <f>HYPERLINK("Gene1716-zp_tree_all.dnd", "Gene1716-tree")</f>
        <v>Gene1716-tree</v>
      </c>
      <c r="X2615">
        <v>7</v>
      </c>
      <c r="Y2615">
        <v>9</v>
      </c>
      <c r="Z2615">
        <v>7</v>
      </c>
      <c r="AA2615">
        <v>9</v>
      </c>
      <c r="AB2615">
        <v>0.5625</v>
      </c>
      <c r="AC2615" t="s">
        <v>152</v>
      </c>
      <c r="AD2615" t="s">
        <v>135</v>
      </c>
      <c r="AE2615" t="s">
        <v>62</v>
      </c>
      <c r="AF2615" t="s">
        <v>62</v>
      </c>
      <c r="AG2615">
        <v>3</v>
      </c>
      <c r="AH2615">
        <v>10</v>
      </c>
      <c r="AI2615">
        <v>11</v>
      </c>
      <c r="AJ2615">
        <v>0.47619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2</v>
      </c>
      <c r="AQ2615">
        <v>2</v>
      </c>
      <c r="AR2615">
        <v>4</v>
      </c>
      <c r="AS2615">
        <v>6</v>
      </c>
      <c r="AT2615">
        <v>0.4</v>
      </c>
      <c r="AU2615">
        <v>14</v>
      </c>
      <c r="AV2615">
        <v>9</v>
      </c>
      <c r="AW2615">
        <v>22</v>
      </c>
      <c r="AX2615">
        <v>9</v>
      </c>
      <c r="AY2615">
        <v>38</v>
      </c>
      <c r="AZ2615">
        <v>12</v>
      </c>
      <c r="BA2615" t="s">
        <v>10765</v>
      </c>
      <c r="BB2615" t="s">
        <v>10766</v>
      </c>
      <c r="BC2615">
        <v>0.34599999999999997</v>
      </c>
      <c r="BD2615" t="s">
        <v>65</v>
      </c>
      <c r="BE2615">
        <v>60</v>
      </c>
      <c r="BF2615">
        <v>21</v>
      </c>
      <c r="BG2615" t="s">
        <v>10767</v>
      </c>
      <c r="BH2615" t="s">
        <v>10768</v>
      </c>
      <c r="BI2615" t="s">
        <v>10769</v>
      </c>
      <c r="BJ2615">
        <v>8.3180000000000004E-2</v>
      </c>
      <c r="BK2615">
        <v>1</v>
      </c>
      <c r="BL2615" t="s">
        <v>69</v>
      </c>
      <c r="BM2615">
        <v>-1.073</v>
      </c>
      <c r="BN2615">
        <v>-0.77100000000000002</v>
      </c>
    </row>
    <row r="2616" spans="10:66">
      <c r="J2616">
        <v>0</v>
      </c>
      <c r="K2616">
        <v>0</v>
      </c>
      <c r="L2616">
        <v>6</v>
      </c>
      <c r="M2616" t="s">
        <v>25022</v>
      </c>
      <c r="N2616">
        <v>1717</v>
      </c>
      <c r="O2616" t="s">
        <v>10770</v>
      </c>
      <c r="P2616" t="s">
        <v>57</v>
      </c>
      <c r="Q2616">
        <v>1722871</v>
      </c>
      <c r="R2616">
        <v>1724019</v>
      </c>
      <c r="S2616" t="s">
        <v>10771</v>
      </c>
      <c r="T2616">
        <v>383</v>
      </c>
      <c r="U2616" t="s">
        <v>59</v>
      </c>
      <c r="V2616">
        <v>49</v>
      </c>
      <c r="W2616" t="str">
        <f>HYPERLINK("Gene1717-zp_tree_all.dnd", "Gene1717-tree")</f>
        <v>Gene1717-tree</v>
      </c>
      <c r="X2616">
        <v>7</v>
      </c>
      <c r="Y2616">
        <v>8</v>
      </c>
      <c r="Z2616">
        <v>7</v>
      </c>
      <c r="AA2616">
        <v>8</v>
      </c>
      <c r="AB2616">
        <v>0.53332999999999997</v>
      </c>
      <c r="AC2616" t="s">
        <v>152</v>
      </c>
      <c r="AD2616" t="s">
        <v>136</v>
      </c>
      <c r="AE2616" t="s">
        <v>62</v>
      </c>
      <c r="AF2616" t="s">
        <v>62</v>
      </c>
      <c r="AG2616">
        <v>3</v>
      </c>
      <c r="AH2616">
        <v>6</v>
      </c>
      <c r="AI2616">
        <v>11</v>
      </c>
      <c r="AJ2616">
        <v>0.35293999999999998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2</v>
      </c>
      <c r="AR2616">
        <v>2</v>
      </c>
      <c r="AS2616">
        <v>10</v>
      </c>
      <c r="AT2616">
        <v>0.16667000000000001</v>
      </c>
      <c r="AU2616">
        <v>12</v>
      </c>
      <c r="AV2616">
        <v>8</v>
      </c>
      <c r="AW2616">
        <v>33</v>
      </c>
      <c r="AX2616">
        <v>12</v>
      </c>
      <c r="AY2616">
        <v>52</v>
      </c>
      <c r="AZ2616">
        <v>5</v>
      </c>
      <c r="BA2616" t="s">
        <v>10772</v>
      </c>
      <c r="BB2616" t="s">
        <v>10773</v>
      </c>
      <c r="BC2616">
        <v>1.1399999999999999</v>
      </c>
      <c r="BD2616" t="s">
        <v>65</v>
      </c>
      <c r="BE2616">
        <v>85</v>
      </c>
      <c r="BF2616">
        <v>17</v>
      </c>
      <c r="BG2616" t="s">
        <v>10774</v>
      </c>
      <c r="BH2616" t="s">
        <v>10775</v>
      </c>
      <c r="BI2616" t="s">
        <v>10776</v>
      </c>
      <c r="BJ2616">
        <v>4.308E-2</v>
      </c>
      <c r="BK2616">
        <v>1</v>
      </c>
      <c r="BL2616" t="s">
        <v>69</v>
      </c>
      <c r="BM2616">
        <v>-1.4770000000000001</v>
      </c>
      <c r="BN2616">
        <v>-1.3580000000000001</v>
      </c>
    </row>
    <row r="2617" spans="10:66">
      <c r="J2617">
        <v>0</v>
      </c>
      <c r="K2617">
        <v>4</v>
      </c>
      <c r="L2617">
        <v>2</v>
      </c>
      <c r="M2617" t="s">
        <v>25022</v>
      </c>
      <c r="N2617">
        <v>1718</v>
      </c>
      <c r="O2617" t="s">
        <v>10777</v>
      </c>
      <c r="P2617" t="s">
        <v>57</v>
      </c>
      <c r="Q2617">
        <v>1724029</v>
      </c>
      <c r="R2617">
        <v>1725294</v>
      </c>
      <c r="S2617" t="s">
        <v>10778</v>
      </c>
      <c r="T2617">
        <v>422</v>
      </c>
      <c r="U2617" t="s">
        <v>59</v>
      </c>
      <c r="V2617">
        <v>49</v>
      </c>
      <c r="W2617" t="str">
        <f>HYPERLINK("Gene1718-zp_tree_all.dnd", "Gene1718-tree")</f>
        <v>Gene1718-tree</v>
      </c>
      <c r="X2617">
        <v>8</v>
      </c>
      <c r="Y2617">
        <v>9</v>
      </c>
      <c r="Z2617">
        <v>8</v>
      </c>
      <c r="AA2617">
        <v>9</v>
      </c>
      <c r="AB2617">
        <v>0.52941000000000005</v>
      </c>
      <c r="AC2617" t="s">
        <v>136</v>
      </c>
      <c r="AD2617" t="s">
        <v>135</v>
      </c>
      <c r="AE2617" t="s">
        <v>62</v>
      </c>
      <c r="AF2617" t="s">
        <v>62</v>
      </c>
      <c r="AG2617">
        <v>3</v>
      </c>
      <c r="AH2617">
        <v>6</v>
      </c>
      <c r="AI2617">
        <v>25</v>
      </c>
      <c r="AJ2617">
        <v>0.19355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2</v>
      </c>
      <c r="AR2617">
        <v>2</v>
      </c>
      <c r="AS2617">
        <v>23</v>
      </c>
      <c r="AT2617">
        <v>0.08</v>
      </c>
      <c r="AU2617">
        <v>15</v>
      </c>
      <c r="AV2617">
        <v>13</v>
      </c>
      <c r="AW2617">
        <v>81</v>
      </c>
      <c r="AX2617">
        <v>27</v>
      </c>
      <c r="AY2617">
        <v>89</v>
      </c>
      <c r="AZ2617">
        <v>7</v>
      </c>
      <c r="BA2617" t="s">
        <v>10779</v>
      </c>
      <c r="BB2617" t="s">
        <v>10780</v>
      </c>
      <c r="BC2617">
        <v>0.33800000000000002</v>
      </c>
      <c r="BD2617" t="s">
        <v>65</v>
      </c>
      <c r="BE2617">
        <v>170</v>
      </c>
      <c r="BF2617">
        <v>34</v>
      </c>
      <c r="BG2617" t="s">
        <v>10781</v>
      </c>
      <c r="BH2617" t="s">
        <v>10782</v>
      </c>
      <c r="BI2617" t="s">
        <v>10783</v>
      </c>
      <c r="BJ2617">
        <v>4.0570000000000002E-2</v>
      </c>
      <c r="BK2617">
        <v>1</v>
      </c>
      <c r="BL2617" t="s">
        <v>69</v>
      </c>
      <c r="BM2617">
        <v>-1.788</v>
      </c>
      <c r="BN2617">
        <v>-2.617</v>
      </c>
    </row>
    <row r="2618" spans="10:66">
      <c r="J2618">
        <v>0</v>
      </c>
      <c r="K2618">
        <v>2</v>
      </c>
      <c r="L2618">
        <v>0</v>
      </c>
      <c r="M2618" t="s">
        <v>25022</v>
      </c>
      <c r="N2618">
        <v>1719</v>
      </c>
      <c r="O2618" t="s">
        <v>10784</v>
      </c>
      <c r="P2618" t="s">
        <v>57</v>
      </c>
      <c r="Q2618">
        <v>1725330</v>
      </c>
      <c r="R2618">
        <v>1727021</v>
      </c>
      <c r="S2618" t="s">
        <v>10785</v>
      </c>
      <c r="T2618">
        <v>564</v>
      </c>
      <c r="U2618" t="s">
        <v>108</v>
      </c>
      <c r="V2618">
        <v>44</v>
      </c>
      <c r="W2618" t="str">
        <f>HYPERLINK("Gene1719-zp_tree_all.dnd", "Gene1719-tree")</f>
        <v>Gene1719-tree</v>
      </c>
      <c r="X2618">
        <v>6</v>
      </c>
      <c r="Y2618">
        <v>3</v>
      </c>
      <c r="Z2618">
        <v>6</v>
      </c>
      <c r="AA2618">
        <v>3</v>
      </c>
      <c r="AB2618">
        <v>0.33333000000000002</v>
      </c>
      <c r="AC2618" t="s">
        <v>90</v>
      </c>
      <c r="AD2618" t="s">
        <v>324</v>
      </c>
      <c r="AE2618" t="s">
        <v>62</v>
      </c>
      <c r="AF2618" t="s">
        <v>62</v>
      </c>
      <c r="AG2618">
        <v>1</v>
      </c>
      <c r="AH2618">
        <v>2</v>
      </c>
      <c r="AI2618">
        <v>6</v>
      </c>
      <c r="AJ2618">
        <v>0.25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2</v>
      </c>
      <c r="AQ2618">
        <v>0</v>
      </c>
      <c r="AR2618">
        <v>2</v>
      </c>
      <c r="AS2618">
        <v>6</v>
      </c>
      <c r="AT2618">
        <v>0.25</v>
      </c>
      <c r="AU2618">
        <v>9</v>
      </c>
      <c r="AV2618">
        <v>6</v>
      </c>
      <c r="AW2618">
        <v>43</v>
      </c>
      <c r="AX2618">
        <v>8</v>
      </c>
      <c r="AY2618">
        <v>15</v>
      </c>
      <c r="AZ2618">
        <v>0</v>
      </c>
      <c r="BA2618" t="s">
        <v>10786</v>
      </c>
      <c r="BB2618" t="s">
        <v>193</v>
      </c>
      <c r="BC2618">
        <v>0.82699999999999996</v>
      </c>
      <c r="BD2618" t="s">
        <v>65</v>
      </c>
      <c r="BE2618">
        <v>58</v>
      </c>
      <c r="BF2618">
        <v>8</v>
      </c>
      <c r="BG2618" t="s">
        <v>10787</v>
      </c>
      <c r="BH2618" t="s">
        <v>10788</v>
      </c>
      <c r="BI2618" t="s">
        <v>947</v>
      </c>
      <c r="BJ2618">
        <v>3.4930000000000003E-2</v>
      </c>
      <c r="BK2618">
        <v>1</v>
      </c>
      <c r="BL2618" t="s">
        <v>69</v>
      </c>
      <c r="BM2618">
        <v>-1.714</v>
      </c>
      <c r="BN2618">
        <v>-2.2749999999999999</v>
      </c>
    </row>
    <row r="2619" spans="10:66">
      <c r="J2619">
        <v>0</v>
      </c>
      <c r="K2619">
        <v>5</v>
      </c>
      <c r="L2619">
        <v>0</v>
      </c>
      <c r="M2619" t="s">
        <v>25022</v>
      </c>
      <c r="N2619">
        <v>1720</v>
      </c>
      <c r="O2619" t="s">
        <v>10789</v>
      </c>
      <c r="P2619" t="s">
        <v>57</v>
      </c>
      <c r="Q2619">
        <v>1727133</v>
      </c>
      <c r="R2619">
        <v>1731443</v>
      </c>
      <c r="S2619" t="s">
        <v>10790</v>
      </c>
      <c r="T2619">
        <v>1437</v>
      </c>
      <c r="U2619" t="s">
        <v>108</v>
      </c>
      <c r="V2619">
        <v>44</v>
      </c>
      <c r="W2619" t="str">
        <f>HYPERLINK("Gene1720-zp_tree_all.dnd", "Gene1720-tree")</f>
        <v>Gene1720-tree</v>
      </c>
      <c r="X2619">
        <v>3</v>
      </c>
      <c r="Y2619">
        <v>10</v>
      </c>
      <c r="Z2619">
        <v>3</v>
      </c>
      <c r="AA2619">
        <v>10</v>
      </c>
      <c r="AB2619">
        <v>0.76922999999999997</v>
      </c>
      <c r="AC2619" t="s">
        <v>324</v>
      </c>
      <c r="AD2619" t="s">
        <v>117</v>
      </c>
      <c r="AE2619" t="s">
        <v>62</v>
      </c>
      <c r="AF2619" t="s">
        <v>62</v>
      </c>
      <c r="AG2619">
        <v>2</v>
      </c>
      <c r="AH2619">
        <v>5</v>
      </c>
      <c r="AI2619">
        <v>11</v>
      </c>
      <c r="AJ2619">
        <v>0.3125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2</v>
      </c>
      <c r="AQ2619">
        <v>0</v>
      </c>
      <c r="AR2619">
        <v>2</v>
      </c>
      <c r="AS2619">
        <v>10</v>
      </c>
      <c r="AT2619">
        <v>0.16667000000000001</v>
      </c>
      <c r="AU2619">
        <v>13</v>
      </c>
      <c r="AV2619">
        <v>10</v>
      </c>
      <c r="AW2619">
        <v>138</v>
      </c>
      <c r="AX2619">
        <v>12</v>
      </c>
      <c r="AY2619">
        <v>65</v>
      </c>
      <c r="AZ2619">
        <v>4</v>
      </c>
      <c r="BA2619" t="s">
        <v>10791</v>
      </c>
      <c r="BB2619" t="s">
        <v>10792</v>
      </c>
      <c r="BC2619">
        <v>0.40600000000000003</v>
      </c>
      <c r="BD2619" t="s">
        <v>65</v>
      </c>
      <c r="BE2619">
        <v>203</v>
      </c>
      <c r="BF2619">
        <v>16</v>
      </c>
      <c r="BG2619" t="s">
        <v>10793</v>
      </c>
      <c r="BH2619" t="s">
        <v>10794</v>
      </c>
      <c r="BI2619" t="s">
        <v>10795</v>
      </c>
      <c r="BJ2619">
        <v>2.409E-2</v>
      </c>
      <c r="BK2619">
        <v>1</v>
      </c>
      <c r="BL2619" t="s">
        <v>69</v>
      </c>
      <c r="BM2619">
        <v>-0.72699999999999998</v>
      </c>
      <c r="BN2619">
        <v>-1.669</v>
      </c>
    </row>
    <row r="2620" spans="10:66">
      <c r="J2620">
        <v>0</v>
      </c>
      <c r="K2620">
        <v>0</v>
      </c>
      <c r="L2620">
        <v>0</v>
      </c>
      <c r="M2620" t="s">
        <v>25022</v>
      </c>
      <c r="N2620">
        <v>1721</v>
      </c>
      <c r="O2620" t="s">
        <v>10796</v>
      </c>
      <c r="P2620" t="s">
        <v>57</v>
      </c>
      <c r="Q2620">
        <v>1731776</v>
      </c>
      <c r="R2620">
        <v>1732243</v>
      </c>
      <c r="S2620" t="s">
        <v>10797</v>
      </c>
      <c r="T2620">
        <v>156</v>
      </c>
      <c r="U2620" t="s">
        <v>59</v>
      </c>
      <c r="V2620">
        <v>49</v>
      </c>
      <c r="W2620" t="str">
        <f>HYPERLINK("Gene1721-zp_tree_all.dnd", "Gene1721-tree")</f>
        <v>Gene1721-tree</v>
      </c>
      <c r="X2620">
        <v>6</v>
      </c>
      <c r="Y2620">
        <v>2</v>
      </c>
      <c r="Z2620">
        <v>6</v>
      </c>
      <c r="AA2620">
        <v>2</v>
      </c>
      <c r="AB2620">
        <v>0.25</v>
      </c>
      <c r="AC2620" t="s">
        <v>90</v>
      </c>
      <c r="AD2620" t="s">
        <v>81</v>
      </c>
      <c r="AE2620" t="s">
        <v>62</v>
      </c>
      <c r="AF2620" t="s">
        <v>62</v>
      </c>
      <c r="AG2620">
        <v>0</v>
      </c>
      <c r="AH2620">
        <v>0</v>
      </c>
      <c r="AI2620">
        <v>3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2</v>
      </c>
      <c r="AT2620">
        <v>0</v>
      </c>
      <c r="AU2620">
        <v>6</v>
      </c>
      <c r="AV2620">
        <v>5</v>
      </c>
      <c r="AW2620">
        <v>4</v>
      </c>
      <c r="AX2620">
        <v>3</v>
      </c>
      <c r="AY2620">
        <v>16</v>
      </c>
      <c r="AZ2620">
        <v>1</v>
      </c>
      <c r="BA2620" t="s">
        <v>10798</v>
      </c>
      <c r="BB2620" t="s">
        <v>10799</v>
      </c>
      <c r="BC2620">
        <v>0.78600000000000003</v>
      </c>
      <c r="BD2620" t="s">
        <v>65</v>
      </c>
      <c r="BE2620">
        <v>20</v>
      </c>
      <c r="BF2620">
        <v>4</v>
      </c>
      <c r="BG2620" t="s">
        <v>10800</v>
      </c>
      <c r="BH2620" t="s">
        <v>10801</v>
      </c>
      <c r="BI2620" t="s">
        <v>10802</v>
      </c>
      <c r="BJ2620">
        <v>4.2750000000000003E-2</v>
      </c>
      <c r="BK2620">
        <v>1</v>
      </c>
      <c r="BL2620" t="s">
        <v>69</v>
      </c>
      <c r="BM2620">
        <v>-1.6679999999999999</v>
      </c>
      <c r="BN2620">
        <v>-0.32900000000000001</v>
      </c>
    </row>
    <row r="2621" spans="10:66">
      <c r="J2621">
        <v>0</v>
      </c>
      <c r="K2621">
        <v>0</v>
      </c>
      <c r="L2621">
        <v>0</v>
      </c>
      <c r="M2621" t="s">
        <v>25022</v>
      </c>
      <c r="N2621">
        <v>1722</v>
      </c>
      <c r="O2621" t="s">
        <v>10803</v>
      </c>
      <c r="P2621" t="s">
        <v>57</v>
      </c>
      <c r="Q2621">
        <v>1732281</v>
      </c>
      <c r="R2621">
        <v>1733393</v>
      </c>
      <c r="S2621" t="s">
        <v>10804</v>
      </c>
      <c r="T2621">
        <v>371</v>
      </c>
      <c r="U2621" t="s">
        <v>6390</v>
      </c>
      <c r="V2621">
        <v>45</v>
      </c>
      <c r="W2621" t="str">
        <f>HYPERLINK("Gene1722-zp_tree_all.dnd", "Gene1722-tree")</f>
        <v>Gene1722-tree</v>
      </c>
      <c r="X2621">
        <v>13</v>
      </c>
      <c r="Y2621">
        <v>1</v>
      </c>
      <c r="Z2621">
        <v>13</v>
      </c>
      <c r="AA2621">
        <v>1</v>
      </c>
      <c r="AB2621">
        <v>7.1429999999999993E-2</v>
      </c>
      <c r="AC2621" t="s">
        <v>507</v>
      </c>
      <c r="AD2621" t="s">
        <v>175</v>
      </c>
      <c r="AE2621" t="s">
        <v>62</v>
      </c>
      <c r="AF2621" t="s">
        <v>62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13</v>
      </c>
      <c r="AV2621">
        <v>7</v>
      </c>
      <c r="AW2621">
        <v>66</v>
      </c>
      <c r="AX2621">
        <v>1</v>
      </c>
      <c r="AY2621">
        <v>9</v>
      </c>
      <c r="AZ2621">
        <v>0</v>
      </c>
      <c r="BA2621" t="s">
        <v>10805</v>
      </c>
      <c r="BB2621" t="s">
        <v>193</v>
      </c>
      <c r="BC2621">
        <v>0.22700000000000001</v>
      </c>
      <c r="BD2621" t="s">
        <v>65</v>
      </c>
      <c r="BE2621">
        <v>75</v>
      </c>
      <c r="BF2621">
        <v>1</v>
      </c>
      <c r="BG2621" t="s">
        <v>10806</v>
      </c>
      <c r="BH2621" t="s">
        <v>10807</v>
      </c>
      <c r="BI2621" t="s">
        <v>10808</v>
      </c>
      <c r="BJ2621">
        <v>3.5100000000000001E-3</v>
      </c>
      <c r="BK2621">
        <v>1</v>
      </c>
      <c r="BL2621" t="s">
        <v>69</v>
      </c>
      <c r="BM2621">
        <v>-1.696</v>
      </c>
      <c r="BN2621">
        <v>-4.6630000000000003</v>
      </c>
    </row>
    <row r="2622" spans="10:66">
      <c r="J2622">
        <v>0</v>
      </c>
      <c r="K2622">
        <v>0</v>
      </c>
      <c r="L2622">
        <v>0</v>
      </c>
      <c r="M2622" t="s">
        <v>25022</v>
      </c>
      <c r="N2622">
        <v>1723</v>
      </c>
      <c r="O2622" t="s">
        <v>10809</v>
      </c>
      <c r="P2622" t="s">
        <v>57</v>
      </c>
      <c r="Q2622">
        <v>1733410</v>
      </c>
      <c r="R2622">
        <v>1733682</v>
      </c>
      <c r="S2622" t="s">
        <v>10810</v>
      </c>
      <c r="T2622">
        <v>91</v>
      </c>
      <c r="U2622" t="s">
        <v>59</v>
      </c>
      <c r="V2622">
        <v>49</v>
      </c>
      <c r="W2622" t="str">
        <f>HYPERLINK("Gene1723-zp_tree_all.dnd", "Gene1723-tree")</f>
        <v>Gene1723-tree</v>
      </c>
      <c r="X2622">
        <v>9</v>
      </c>
      <c r="Y2622">
        <v>0</v>
      </c>
      <c r="Z2622">
        <v>9</v>
      </c>
      <c r="AA2622">
        <v>0</v>
      </c>
      <c r="AB2622">
        <v>0</v>
      </c>
      <c r="AC2622" t="s">
        <v>135</v>
      </c>
      <c r="AD2622" t="s">
        <v>62</v>
      </c>
      <c r="AE2622" t="s">
        <v>62</v>
      </c>
      <c r="AF2622" t="s">
        <v>62</v>
      </c>
      <c r="AG2622">
        <v>0</v>
      </c>
      <c r="AH2622">
        <v>0</v>
      </c>
      <c r="AI2622">
        <v>3</v>
      </c>
      <c r="AJ2622">
        <v>0</v>
      </c>
      <c r="AK2622">
        <v>0</v>
      </c>
      <c r="AL2622">
        <v>0</v>
      </c>
      <c r="AM2622">
        <v>0</v>
      </c>
      <c r="AN2622">
        <v>2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5</v>
      </c>
      <c r="AV2622">
        <v>4</v>
      </c>
      <c r="AW2622">
        <v>6</v>
      </c>
      <c r="AX2622">
        <v>0</v>
      </c>
      <c r="AY2622">
        <v>5</v>
      </c>
      <c r="AZ2622">
        <v>3</v>
      </c>
      <c r="BA2622" t="s">
        <v>193</v>
      </c>
      <c r="BB2622" t="s">
        <v>10811</v>
      </c>
      <c r="BC2622">
        <v>1.2</v>
      </c>
      <c r="BD2622" t="s">
        <v>65</v>
      </c>
      <c r="BE2622">
        <v>11</v>
      </c>
      <c r="BF2622">
        <v>3</v>
      </c>
      <c r="BG2622" t="s">
        <v>10812</v>
      </c>
      <c r="BH2622" t="s">
        <v>10813</v>
      </c>
      <c r="BI2622" t="s">
        <v>10814</v>
      </c>
      <c r="BJ2622">
        <v>0.10996</v>
      </c>
      <c r="BK2622">
        <v>1</v>
      </c>
      <c r="BL2622" t="s">
        <v>69</v>
      </c>
      <c r="BM2622">
        <v>-1.466</v>
      </c>
      <c r="BN2622">
        <v>-1.2E-2</v>
      </c>
    </row>
    <row r="2623" spans="10:66">
      <c r="J2623">
        <v>0</v>
      </c>
      <c r="K2623">
        <v>0</v>
      </c>
      <c r="L2623">
        <v>0</v>
      </c>
      <c r="M2623" t="s">
        <v>25022</v>
      </c>
      <c r="N2623">
        <v>1724</v>
      </c>
      <c r="O2623" t="s">
        <v>10815</v>
      </c>
      <c r="P2623" t="s">
        <v>57</v>
      </c>
      <c r="Q2623">
        <v>1733687</v>
      </c>
      <c r="R2623">
        <v>1733986</v>
      </c>
      <c r="S2623" t="s">
        <v>10816</v>
      </c>
      <c r="T2623">
        <v>100</v>
      </c>
      <c r="U2623" t="s">
        <v>59</v>
      </c>
      <c r="V2623">
        <v>49</v>
      </c>
      <c r="W2623" t="str">
        <f>HYPERLINK("Gene1724-zp_tree_all.dnd", "Gene1724-tree")</f>
        <v>Gene1724-tree</v>
      </c>
      <c r="X2623">
        <v>6</v>
      </c>
      <c r="Y2623">
        <v>1</v>
      </c>
      <c r="Z2623">
        <v>6</v>
      </c>
      <c r="AA2623">
        <v>1</v>
      </c>
      <c r="AB2623">
        <v>0.14285999999999999</v>
      </c>
      <c r="AC2623" t="s">
        <v>90</v>
      </c>
      <c r="AD2623" t="s">
        <v>175</v>
      </c>
      <c r="AE2623" t="s">
        <v>62</v>
      </c>
      <c r="AF2623" t="s">
        <v>62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4</v>
      </c>
      <c r="AV2623">
        <v>3</v>
      </c>
      <c r="AW2623">
        <v>6</v>
      </c>
      <c r="AX2623">
        <v>1</v>
      </c>
      <c r="AY2623">
        <v>3</v>
      </c>
      <c r="AZ2623">
        <v>0</v>
      </c>
      <c r="BA2623" t="s">
        <v>10817</v>
      </c>
      <c r="BB2623" t="s">
        <v>193</v>
      </c>
      <c r="BC2623">
        <v>0.59799999999999998</v>
      </c>
      <c r="BD2623" t="s">
        <v>65</v>
      </c>
      <c r="BE2623">
        <v>9</v>
      </c>
      <c r="BF2623">
        <v>1</v>
      </c>
      <c r="BG2623" t="s">
        <v>10818</v>
      </c>
      <c r="BH2623" t="s">
        <v>10819</v>
      </c>
      <c r="BI2623" t="s">
        <v>10820</v>
      </c>
      <c r="BJ2623">
        <v>2.8670000000000001E-2</v>
      </c>
      <c r="BK2623">
        <v>1</v>
      </c>
      <c r="BL2623" t="s">
        <v>69</v>
      </c>
      <c r="BM2623">
        <v>-1.621</v>
      </c>
      <c r="BN2623">
        <v>-0.61699999999999999</v>
      </c>
    </row>
    <row r="2624" spans="10:66">
      <c r="J2624">
        <v>0</v>
      </c>
      <c r="K2624">
        <v>3</v>
      </c>
      <c r="L2624">
        <v>0</v>
      </c>
      <c r="M2624" t="s">
        <v>25022</v>
      </c>
      <c r="N2624">
        <v>1725</v>
      </c>
      <c r="O2624" t="s">
        <v>10821</v>
      </c>
      <c r="P2624" t="s">
        <v>57</v>
      </c>
      <c r="Q2624">
        <v>1734009</v>
      </c>
      <c r="R2624">
        <v>1736156</v>
      </c>
      <c r="S2624" t="s">
        <v>10822</v>
      </c>
      <c r="T2624">
        <v>716</v>
      </c>
      <c r="U2624" t="s">
        <v>698</v>
      </c>
      <c r="V2624">
        <v>47</v>
      </c>
      <c r="W2624" t="str">
        <f>HYPERLINK("Gene1725-zp_tree_all.dnd", "Gene1725-tree")</f>
        <v>Gene1725-tree</v>
      </c>
      <c r="X2624">
        <v>13</v>
      </c>
      <c r="Y2624">
        <v>5</v>
      </c>
      <c r="Z2624">
        <v>13</v>
      </c>
      <c r="AA2624">
        <v>5</v>
      </c>
      <c r="AB2624">
        <v>0.27778000000000003</v>
      </c>
      <c r="AC2624" t="s">
        <v>507</v>
      </c>
      <c r="AD2624" t="s">
        <v>199</v>
      </c>
      <c r="AE2624" t="s">
        <v>62</v>
      </c>
      <c r="AF2624" t="s">
        <v>62</v>
      </c>
      <c r="AG2624">
        <v>1</v>
      </c>
      <c r="AH2624">
        <v>3</v>
      </c>
      <c r="AI2624">
        <v>8</v>
      </c>
      <c r="AJ2624">
        <v>0.27272999999999997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5</v>
      </c>
      <c r="AT2624">
        <v>0</v>
      </c>
      <c r="AU2624">
        <v>13</v>
      </c>
      <c r="AV2624">
        <v>13</v>
      </c>
      <c r="AW2624">
        <v>45</v>
      </c>
      <c r="AX2624">
        <v>4</v>
      </c>
      <c r="AY2624">
        <v>86</v>
      </c>
      <c r="AZ2624">
        <v>7</v>
      </c>
      <c r="BA2624" t="s">
        <v>10823</v>
      </c>
      <c r="BB2624" t="s">
        <v>10824</v>
      </c>
      <c r="BC2624">
        <v>4.3999999999999997E-2</v>
      </c>
      <c r="BD2624" t="s">
        <v>65</v>
      </c>
      <c r="BE2624">
        <v>131</v>
      </c>
      <c r="BF2624">
        <v>11</v>
      </c>
      <c r="BG2624" t="s">
        <v>10825</v>
      </c>
      <c r="BH2624" t="s">
        <v>10826</v>
      </c>
      <c r="BI2624" t="s">
        <v>10827</v>
      </c>
      <c r="BJ2624">
        <v>1.9769999999999999E-2</v>
      </c>
      <c r="BK2624">
        <v>1</v>
      </c>
      <c r="BL2624" t="s">
        <v>69</v>
      </c>
      <c r="BM2624">
        <v>-1.294</v>
      </c>
      <c r="BN2624">
        <v>-0.52900000000000003</v>
      </c>
    </row>
    <row r="2625" spans="10:66">
      <c r="J2625">
        <v>0</v>
      </c>
      <c r="K2625">
        <v>0</v>
      </c>
      <c r="L2625">
        <v>0</v>
      </c>
      <c r="M2625" t="s">
        <v>25022</v>
      </c>
      <c r="N2625">
        <v>1727</v>
      </c>
      <c r="O2625" t="s">
        <v>10828</v>
      </c>
      <c r="P2625" t="s">
        <v>57</v>
      </c>
      <c r="Q2625">
        <v>1736451</v>
      </c>
      <c r="R2625">
        <v>1736801</v>
      </c>
      <c r="S2625" t="s">
        <v>10829</v>
      </c>
      <c r="T2625">
        <v>117</v>
      </c>
      <c r="U2625" t="s">
        <v>59</v>
      </c>
      <c r="V2625">
        <v>49</v>
      </c>
      <c r="W2625" t="str">
        <f>HYPERLINK("Gene1727-zp_tree_all.dnd", "Gene1727-tree")</f>
        <v>Gene1727-tree</v>
      </c>
      <c r="X2625">
        <v>7</v>
      </c>
      <c r="Y2625">
        <v>2</v>
      </c>
      <c r="Z2625">
        <v>7</v>
      </c>
      <c r="AA2625">
        <v>2</v>
      </c>
      <c r="AB2625">
        <v>0.22222</v>
      </c>
      <c r="AC2625" t="s">
        <v>152</v>
      </c>
      <c r="AD2625" t="s">
        <v>81</v>
      </c>
      <c r="AE2625" t="s">
        <v>62</v>
      </c>
      <c r="AF2625" t="s">
        <v>62</v>
      </c>
      <c r="AG2625">
        <v>0</v>
      </c>
      <c r="AH2625">
        <v>0</v>
      </c>
      <c r="AI2625">
        <v>3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2</v>
      </c>
      <c r="AT2625">
        <v>0</v>
      </c>
      <c r="AU2625">
        <v>5</v>
      </c>
      <c r="AV2625">
        <v>5</v>
      </c>
      <c r="AW2625">
        <v>11</v>
      </c>
      <c r="AX2625">
        <v>2</v>
      </c>
      <c r="AY2625">
        <v>8</v>
      </c>
      <c r="AZ2625">
        <v>1</v>
      </c>
      <c r="BA2625" t="s">
        <v>10830</v>
      </c>
      <c r="BB2625" t="s">
        <v>10831</v>
      </c>
      <c r="BC2625">
        <v>0.191</v>
      </c>
      <c r="BD2625" t="s">
        <v>65</v>
      </c>
      <c r="BE2625">
        <v>19</v>
      </c>
      <c r="BF2625">
        <v>3</v>
      </c>
      <c r="BG2625" t="s">
        <v>10832</v>
      </c>
      <c r="BH2625" t="s">
        <v>10833</v>
      </c>
      <c r="BI2625" t="s">
        <v>10834</v>
      </c>
      <c r="BJ2625">
        <v>4.6039999999999998E-2</v>
      </c>
      <c r="BK2625">
        <v>1</v>
      </c>
      <c r="BL2625" t="s">
        <v>69</v>
      </c>
      <c r="BM2625">
        <v>-1.74</v>
      </c>
      <c r="BN2625">
        <v>-1.012</v>
      </c>
    </row>
    <row r="2626" spans="10:66">
      <c r="J2626">
        <v>0</v>
      </c>
      <c r="K2626">
        <v>2</v>
      </c>
      <c r="L2626">
        <v>1</v>
      </c>
      <c r="M2626" t="s">
        <v>25022</v>
      </c>
      <c r="N2626">
        <v>1728</v>
      </c>
      <c r="O2626" t="s">
        <v>10835</v>
      </c>
      <c r="P2626" t="s">
        <v>57</v>
      </c>
      <c r="Q2626">
        <v>1736886</v>
      </c>
      <c r="R2626">
        <v>1737812</v>
      </c>
      <c r="S2626" t="s">
        <v>10836</v>
      </c>
      <c r="T2626">
        <v>309</v>
      </c>
      <c r="U2626" t="s">
        <v>108</v>
      </c>
      <c r="V2626">
        <v>44</v>
      </c>
      <c r="W2626" t="str">
        <f>HYPERLINK("Gene1728-zp_tree_all.dnd", "Gene1728-tree")</f>
        <v>Gene1728-tree</v>
      </c>
      <c r="X2626">
        <v>6</v>
      </c>
      <c r="Y2626">
        <v>7</v>
      </c>
      <c r="Z2626">
        <v>6</v>
      </c>
      <c r="AA2626">
        <v>7</v>
      </c>
      <c r="AB2626">
        <v>0.53846000000000005</v>
      </c>
      <c r="AC2626" t="s">
        <v>90</v>
      </c>
      <c r="AD2626" t="s">
        <v>152</v>
      </c>
      <c r="AE2626" t="s">
        <v>62</v>
      </c>
      <c r="AF2626" t="s">
        <v>62</v>
      </c>
      <c r="AG2626">
        <v>1</v>
      </c>
      <c r="AH2626">
        <v>3</v>
      </c>
      <c r="AI2626">
        <v>6</v>
      </c>
      <c r="AJ2626">
        <v>0.33333000000000002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2</v>
      </c>
      <c r="AQ2626">
        <v>1</v>
      </c>
      <c r="AR2626">
        <v>3</v>
      </c>
      <c r="AS2626">
        <v>7</v>
      </c>
      <c r="AT2626">
        <v>0.3</v>
      </c>
      <c r="AU2626">
        <v>9</v>
      </c>
      <c r="AV2626">
        <v>6</v>
      </c>
      <c r="AW2626">
        <v>19</v>
      </c>
      <c r="AX2626">
        <v>9</v>
      </c>
      <c r="AY2626">
        <v>10</v>
      </c>
      <c r="AZ2626">
        <v>1</v>
      </c>
      <c r="BA2626" t="s">
        <v>10837</v>
      </c>
      <c r="BB2626" t="s">
        <v>10838</v>
      </c>
      <c r="BC2626">
        <v>1.0309999999999999</v>
      </c>
      <c r="BD2626" t="s">
        <v>65</v>
      </c>
      <c r="BE2626">
        <v>29</v>
      </c>
      <c r="BF2626">
        <v>10</v>
      </c>
      <c r="BG2626" t="s">
        <v>10839</v>
      </c>
      <c r="BH2626" t="s">
        <v>10840</v>
      </c>
      <c r="BI2626" t="s">
        <v>10841</v>
      </c>
      <c r="BJ2626">
        <v>7.3120000000000004E-2</v>
      </c>
      <c r="BK2626">
        <v>1</v>
      </c>
      <c r="BL2626" t="s">
        <v>69</v>
      </c>
      <c r="BM2626">
        <v>-3.6999999999999998E-2</v>
      </c>
      <c r="BN2626">
        <v>-1.085</v>
      </c>
    </row>
    <row r="2627" spans="10:66">
      <c r="J2627">
        <v>0</v>
      </c>
      <c r="K2627">
        <v>2</v>
      </c>
      <c r="L2627">
        <v>1</v>
      </c>
      <c r="M2627" t="s">
        <v>25022</v>
      </c>
      <c r="N2627">
        <v>1729</v>
      </c>
      <c r="O2627" t="s">
        <v>10842</v>
      </c>
      <c r="P2627" t="s">
        <v>57</v>
      </c>
      <c r="Q2627">
        <v>1737834</v>
      </c>
      <c r="R2627">
        <v>1738781</v>
      </c>
      <c r="S2627" t="s">
        <v>10843</v>
      </c>
      <c r="T2627">
        <v>316</v>
      </c>
      <c r="U2627" t="s">
        <v>108</v>
      </c>
      <c r="V2627">
        <v>44</v>
      </c>
      <c r="W2627" t="str">
        <f>HYPERLINK("Gene1729-zp_tree_all.dnd", "Gene1729-tree")</f>
        <v>Gene1729-tree</v>
      </c>
      <c r="X2627">
        <v>6</v>
      </c>
      <c r="Y2627">
        <v>6</v>
      </c>
      <c r="Z2627">
        <v>6</v>
      </c>
      <c r="AA2627">
        <v>6</v>
      </c>
      <c r="AB2627">
        <v>0.5</v>
      </c>
      <c r="AC2627" t="s">
        <v>90</v>
      </c>
      <c r="AD2627" t="s">
        <v>90</v>
      </c>
      <c r="AE2627" t="s">
        <v>62</v>
      </c>
      <c r="AF2627" t="s">
        <v>62</v>
      </c>
      <c r="AG2627">
        <v>1</v>
      </c>
      <c r="AH2627">
        <v>3</v>
      </c>
      <c r="AI2627">
        <v>6</v>
      </c>
      <c r="AJ2627">
        <v>0.33333000000000002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2</v>
      </c>
      <c r="AR2627">
        <v>2</v>
      </c>
      <c r="AS2627">
        <v>4</v>
      </c>
      <c r="AT2627">
        <v>0.33333000000000002</v>
      </c>
      <c r="AU2627">
        <v>11</v>
      </c>
      <c r="AV2627">
        <v>7</v>
      </c>
      <c r="AW2627">
        <v>34</v>
      </c>
      <c r="AX2627">
        <v>6</v>
      </c>
      <c r="AY2627">
        <v>21</v>
      </c>
      <c r="AZ2627">
        <v>3</v>
      </c>
      <c r="BA2627" t="s">
        <v>10844</v>
      </c>
      <c r="BB2627" t="s">
        <v>10845</v>
      </c>
      <c r="BC2627">
        <v>0.32100000000000001</v>
      </c>
      <c r="BD2627" t="s">
        <v>65</v>
      </c>
      <c r="BE2627">
        <v>55</v>
      </c>
      <c r="BF2627">
        <v>9</v>
      </c>
      <c r="BG2627" t="s">
        <v>10846</v>
      </c>
      <c r="BH2627" t="s">
        <v>10847</v>
      </c>
      <c r="BI2627" t="s">
        <v>10848</v>
      </c>
      <c r="BJ2627">
        <v>4.3270000000000003E-2</v>
      </c>
      <c r="BK2627">
        <v>1</v>
      </c>
      <c r="BL2627" t="s">
        <v>69</v>
      </c>
      <c r="BM2627">
        <v>-0.49</v>
      </c>
      <c r="BN2627">
        <v>-0.91900000000000004</v>
      </c>
    </row>
    <row r="2628" spans="10:66">
      <c r="J2628">
        <v>0</v>
      </c>
      <c r="K2628">
        <v>2</v>
      </c>
      <c r="L2628">
        <v>0</v>
      </c>
      <c r="M2628" t="s">
        <v>25022</v>
      </c>
      <c r="N2628">
        <v>1730</v>
      </c>
      <c r="O2628" t="s">
        <v>10849</v>
      </c>
      <c r="P2628" t="s">
        <v>57</v>
      </c>
      <c r="Q2628">
        <v>1738941</v>
      </c>
      <c r="R2628">
        <v>1739207</v>
      </c>
      <c r="S2628" t="s">
        <v>10850</v>
      </c>
      <c r="T2628">
        <v>89</v>
      </c>
      <c r="U2628" t="s">
        <v>515</v>
      </c>
      <c r="V2628">
        <v>51</v>
      </c>
      <c r="W2628" t="str">
        <f>HYPERLINK("Gene1730-zp_tree_all.dnd", "Gene1730-tree")</f>
        <v>Gene1730-tree</v>
      </c>
      <c r="X2628">
        <v>4</v>
      </c>
      <c r="Y2628">
        <v>2</v>
      </c>
      <c r="Z2628">
        <v>4</v>
      </c>
      <c r="AA2628">
        <v>2</v>
      </c>
      <c r="AB2628">
        <v>0.33333000000000002</v>
      </c>
      <c r="AC2628" t="s">
        <v>61</v>
      </c>
      <c r="AD2628" t="s">
        <v>81</v>
      </c>
      <c r="AE2628" t="s">
        <v>62</v>
      </c>
      <c r="AF2628" t="s">
        <v>62</v>
      </c>
      <c r="AG2628">
        <v>1</v>
      </c>
      <c r="AH2628">
        <v>2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2</v>
      </c>
      <c r="AQ2628">
        <v>0</v>
      </c>
      <c r="AR2628">
        <v>2</v>
      </c>
      <c r="AS2628">
        <v>0</v>
      </c>
      <c r="AT2628">
        <v>1</v>
      </c>
      <c r="AU2628">
        <v>5</v>
      </c>
      <c r="AV2628">
        <v>3</v>
      </c>
      <c r="AW2628">
        <v>7</v>
      </c>
      <c r="AX2628">
        <v>2</v>
      </c>
      <c r="AY2628">
        <v>3</v>
      </c>
      <c r="AZ2628">
        <v>0</v>
      </c>
      <c r="BA2628" t="s">
        <v>10851</v>
      </c>
      <c r="BB2628" t="s">
        <v>193</v>
      </c>
      <c r="BC2628">
        <v>0.67600000000000005</v>
      </c>
      <c r="BD2628" t="s">
        <v>65</v>
      </c>
      <c r="BE2628">
        <v>10</v>
      </c>
      <c r="BF2628">
        <v>2</v>
      </c>
      <c r="BG2628" t="s">
        <v>10852</v>
      </c>
      <c r="BH2628" t="s">
        <v>10853</v>
      </c>
      <c r="BI2628" t="s">
        <v>10854</v>
      </c>
      <c r="BJ2628">
        <v>3.8109999999999998E-2</v>
      </c>
      <c r="BK2628">
        <v>1</v>
      </c>
      <c r="BL2628" t="s">
        <v>69</v>
      </c>
      <c r="BM2628">
        <v>-1.617</v>
      </c>
      <c r="BN2628">
        <v>0.86199999999999999</v>
      </c>
    </row>
    <row r="2629" spans="10:66">
      <c r="J2629">
        <v>0</v>
      </c>
      <c r="K2629">
        <v>0</v>
      </c>
      <c r="L2629">
        <v>4</v>
      </c>
      <c r="M2629" t="s">
        <v>25022</v>
      </c>
      <c r="N2629">
        <v>1731</v>
      </c>
      <c r="O2629" t="s">
        <v>10855</v>
      </c>
      <c r="P2629" t="s">
        <v>57</v>
      </c>
      <c r="Q2629">
        <v>1739383</v>
      </c>
      <c r="R2629">
        <v>1741497</v>
      </c>
      <c r="S2629" t="s">
        <v>10856</v>
      </c>
      <c r="T2629">
        <v>705</v>
      </c>
      <c r="U2629" t="s">
        <v>125</v>
      </c>
      <c r="V2629">
        <v>48</v>
      </c>
      <c r="W2629" t="str">
        <f>HYPERLINK("Gene1731-zp_tree_all.dnd", "Gene1731-tree")</f>
        <v>Gene1731-tree</v>
      </c>
      <c r="X2629">
        <v>32</v>
      </c>
      <c r="Y2629">
        <v>6</v>
      </c>
      <c r="Z2629">
        <v>13</v>
      </c>
      <c r="AA2629">
        <v>6</v>
      </c>
      <c r="AB2629">
        <v>0.31579000000000002</v>
      </c>
      <c r="AC2629" t="s">
        <v>10857</v>
      </c>
      <c r="AD2629" t="s">
        <v>90</v>
      </c>
      <c r="AE2629" t="s">
        <v>62</v>
      </c>
      <c r="AF2629" t="s">
        <v>62</v>
      </c>
      <c r="AG2629">
        <v>2</v>
      </c>
      <c r="AH2629">
        <v>4</v>
      </c>
      <c r="AI2629">
        <v>17</v>
      </c>
      <c r="AJ2629">
        <v>0.19048000000000001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7</v>
      </c>
      <c r="AT2629">
        <v>0</v>
      </c>
      <c r="AU2629">
        <v>17</v>
      </c>
      <c r="AV2629">
        <v>12</v>
      </c>
      <c r="AW2629">
        <v>52</v>
      </c>
      <c r="AX2629">
        <v>7</v>
      </c>
      <c r="AY2629">
        <v>125</v>
      </c>
      <c r="AZ2629">
        <v>15</v>
      </c>
      <c r="BA2629" t="s">
        <v>10858</v>
      </c>
      <c r="BB2629" t="s">
        <v>10859</v>
      </c>
      <c r="BC2629">
        <v>9.1999999999999998E-2</v>
      </c>
      <c r="BD2629" t="s">
        <v>65</v>
      </c>
      <c r="BE2629">
        <v>177</v>
      </c>
      <c r="BF2629">
        <v>22</v>
      </c>
      <c r="BG2629" t="s">
        <v>10860</v>
      </c>
      <c r="BH2629" t="s">
        <v>10861</v>
      </c>
      <c r="BI2629" t="s">
        <v>10862</v>
      </c>
      <c r="BJ2629">
        <v>3.3090000000000001E-2</v>
      </c>
      <c r="BK2629">
        <v>1</v>
      </c>
      <c r="BL2629" t="s">
        <v>69</v>
      </c>
      <c r="BM2629">
        <v>-1.381</v>
      </c>
      <c r="BN2629">
        <v>9.9000000000000005E-2</v>
      </c>
    </row>
    <row r="2630" spans="10:66">
      <c r="J2630">
        <v>0</v>
      </c>
      <c r="K2630">
        <v>4</v>
      </c>
      <c r="L2630">
        <v>3</v>
      </c>
      <c r="M2630" t="s">
        <v>25022</v>
      </c>
      <c r="N2630">
        <v>1732</v>
      </c>
      <c r="O2630" t="s">
        <v>10863</v>
      </c>
      <c r="P2630" t="s">
        <v>57</v>
      </c>
      <c r="Q2630">
        <v>1741618</v>
      </c>
      <c r="R2630">
        <v>1742574</v>
      </c>
      <c r="S2630" t="s">
        <v>10864</v>
      </c>
      <c r="T2630">
        <v>319</v>
      </c>
      <c r="U2630" t="s">
        <v>108</v>
      </c>
      <c r="V2630">
        <v>44</v>
      </c>
      <c r="W2630" t="str">
        <f>HYPERLINK("Gene1732-zp_tree_all.dnd", "Gene1732-tree")</f>
        <v>Gene1732-tree</v>
      </c>
      <c r="X2630">
        <v>5</v>
      </c>
      <c r="Y2630">
        <v>8</v>
      </c>
      <c r="Z2630">
        <v>5</v>
      </c>
      <c r="AA2630">
        <v>8</v>
      </c>
      <c r="AB2630">
        <v>0.61538000000000004</v>
      </c>
      <c r="AC2630" t="s">
        <v>199</v>
      </c>
      <c r="AD2630" t="s">
        <v>136</v>
      </c>
      <c r="AE2630" t="s">
        <v>62</v>
      </c>
      <c r="AF2630" t="s">
        <v>62</v>
      </c>
      <c r="AG2630">
        <v>3</v>
      </c>
      <c r="AH2630">
        <v>7</v>
      </c>
      <c r="AI2630">
        <v>12</v>
      </c>
      <c r="AJ2630">
        <v>0.36842000000000003</v>
      </c>
      <c r="AK2630">
        <v>0</v>
      </c>
      <c r="AL2630">
        <v>0</v>
      </c>
      <c r="AM2630">
        <v>0</v>
      </c>
      <c r="AN2630">
        <v>2</v>
      </c>
      <c r="AO2630">
        <v>0</v>
      </c>
      <c r="AP2630">
        <v>0</v>
      </c>
      <c r="AQ2630">
        <v>2</v>
      </c>
      <c r="AR2630">
        <v>2</v>
      </c>
      <c r="AS2630">
        <v>11</v>
      </c>
      <c r="AT2630">
        <v>0.15384999999999999</v>
      </c>
      <c r="AU2630">
        <v>7</v>
      </c>
      <c r="AV2630">
        <v>9</v>
      </c>
      <c r="AW2630">
        <v>15</v>
      </c>
      <c r="AX2630">
        <v>9</v>
      </c>
      <c r="AY2630">
        <v>19</v>
      </c>
      <c r="AZ2630">
        <v>10</v>
      </c>
      <c r="BA2630" t="s">
        <v>10865</v>
      </c>
      <c r="BB2630" t="s">
        <v>10866</v>
      </c>
      <c r="BC2630">
        <v>0.126</v>
      </c>
      <c r="BD2630" t="s">
        <v>65</v>
      </c>
      <c r="BE2630">
        <v>34</v>
      </c>
      <c r="BF2630">
        <v>19</v>
      </c>
      <c r="BG2630" t="s">
        <v>10867</v>
      </c>
      <c r="BH2630" t="s">
        <v>10868</v>
      </c>
      <c r="BI2630" t="s">
        <v>10869</v>
      </c>
      <c r="BJ2630">
        <v>0.14319000000000001</v>
      </c>
      <c r="BK2630">
        <v>1</v>
      </c>
      <c r="BL2630" t="s">
        <v>69</v>
      </c>
      <c r="BM2630">
        <v>-0.877</v>
      </c>
      <c r="BN2630">
        <v>-1.042</v>
      </c>
    </row>
    <row r="2631" spans="10:66">
      <c r="J2631">
        <v>0</v>
      </c>
      <c r="K2631">
        <v>0</v>
      </c>
      <c r="L2631">
        <v>0</v>
      </c>
      <c r="M2631" t="s">
        <v>25022</v>
      </c>
      <c r="N2631">
        <v>1733</v>
      </c>
      <c r="O2631" t="s">
        <v>10870</v>
      </c>
      <c r="P2631" t="s">
        <v>57</v>
      </c>
      <c r="Q2631">
        <v>1742617</v>
      </c>
      <c r="R2631">
        <v>1743843</v>
      </c>
      <c r="S2631" t="s">
        <v>10871</v>
      </c>
      <c r="T2631">
        <v>409</v>
      </c>
      <c r="U2631" t="s">
        <v>363</v>
      </c>
      <c r="V2631">
        <v>46</v>
      </c>
      <c r="W2631" t="str">
        <f>HYPERLINK("Gene1733-zp_tree_all.dnd", "Gene1733-tree")</f>
        <v>Gene1733-tree</v>
      </c>
      <c r="X2631">
        <v>11</v>
      </c>
      <c r="Y2631">
        <v>3</v>
      </c>
      <c r="Z2631">
        <v>11</v>
      </c>
      <c r="AA2631">
        <v>3</v>
      </c>
      <c r="AB2631">
        <v>0.21429000000000001</v>
      </c>
      <c r="AC2631" t="s">
        <v>73</v>
      </c>
      <c r="AD2631" t="s">
        <v>324</v>
      </c>
      <c r="AE2631" t="s">
        <v>62</v>
      </c>
      <c r="AF2631" t="s">
        <v>62</v>
      </c>
      <c r="AG2631">
        <v>0</v>
      </c>
      <c r="AH2631">
        <v>0</v>
      </c>
      <c r="AI2631">
        <v>8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5</v>
      </c>
      <c r="AT2631">
        <v>0</v>
      </c>
      <c r="AU2631">
        <v>13</v>
      </c>
      <c r="AV2631">
        <v>8</v>
      </c>
      <c r="AW2631">
        <v>73</v>
      </c>
      <c r="AX2631">
        <v>5</v>
      </c>
      <c r="AY2631">
        <v>45</v>
      </c>
      <c r="AZ2631">
        <v>4</v>
      </c>
      <c r="BA2631" t="s">
        <v>10872</v>
      </c>
      <c r="BB2631" t="s">
        <v>10873</v>
      </c>
      <c r="BC2631">
        <v>0.06</v>
      </c>
      <c r="BD2631" t="s">
        <v>65</v>
      </c>
      <c r="BE2631">
        <v>118</v>
      </c>
      <c r="BF2631">
        <v>9</v>
      </c>
      <c r="BG2631" t="s">
        <v>10874</v>
      </c>
      <c r="BH2631" t="s">
        <v>10875</v>
      </c>
      <c r="BI2631" t="s">
        <v>10876</v>
      </c>
      <c r="BJ2631">
        <v>2.2329999999999999E-2</v>
      </c>
      <c r="BK2631">
        <v>1</v>
      </c>
      <c r="BL2631" t="s">
        <v>69</v>
      </c>
      <c r="BM2631">
        <v>-1.748</v>
      </c>
      <c r="BN2631">
        <v>-2.9340000000000002</v>
      </c>
    </row>
    <row r="2632" spans="10:66">
      <c r="J2632">
        <v>0</v>
      </c>
      <c r="K2632">
        <v>0</v>
      </c>
      <c r="L2632">
        <v>0</v>
      </c>
      <c r="M2632" t="s">
        <v>25022</v>
      </c>
      <c r="N2632">
        <v>1734</v>
      </c>
      <c r="O2632" t="s">
        <v>10877</v>
      </c>
      <c r="P2632" t="s">
        <v>57</v>
      </c>
      <c r="Q2632">
        <v>1743924</v>
      </c>
      <c r="R2632">
        <v>1744178</v>
      </c>
      <c r="S2632" t="s">
        <v>10878</v>
      </c>
      <c r="T2632">
        <v>85</v>
      </c>
      <c r="U2632" t="s">
        <v>108</v>
      </c>
      <c r="V2632">
        <v>44</v>
      </c>
      <c r="W2632" t="str">
        <f>HYPERLINK("Gene1734-zp_tree_all.dnd", "Gene1734-tree")</f>
        <v>Gene1734-tree</v>
      </c>
      <c r="X2632">
        <v>25</v>
      </c>
      <c r="Y2632">
        <v>1</v>
      </c>
      <c r="Z2632">
        <v>6</v>
      </c>
      <c r="AA2632">
        <v>1</v>
      </c>
      <c r="AB2632">
        <v>0.14285999999999999</v>
      </c>
      <c r="AC2632" t="s">
        <v>965</v>
      </c>
      <c r="AD2632" t="s">
        <v>175</v>
      </c>
      <c r="AE2632" t="s">
        <v>62</v>
      </c>
      <c r="AF2632" t="s">
        <v>62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5</v>
      </c>
      <c r="AV2632">
        <v>2</v>
      </c>
      <c r="AW2632">
        <v>5</v>
      </c>
      <c r="AX2632">
        <v>1</v>
      </c>
      <c r="AY2632">
        <v>2</v>
      </c>
      <c r="AZ2632">
        <v>0</v>
      </c>
      <c r="BA2632" t="s">
        <v>10879</v>
      </c>
      <c r="BB2632" t="s">
        <v>193</v>
      </c>
      <c r="BC2632">
        <v>0.50700000000000001</v>
      </c>
      <c r="BD2632" t="s">
        <v>65</v>
      </c>
      <c r="BE2632">
        <v>7</v>
      </c>
      <c r="BF2632">
        <v>1</v>
      </c>
      <c r="BG2632" t="s">
        <v>10880</v>
      </c>
      <c r="BH2632" t="s">
        <v>10881</v>
      </c>
      <c r="BI2632" t="s">
        <v>10882</v>
      </c>
      <c r="BJ2632">
        <v>2.9860000000000001E-2</v>
      </c>
      <c r="BK2632">
        <v>1</v>
      </c>
      <c r="BL2632" t="s">
        <v>69</v>
      </c>
      <c r="BM2632">
        <v>-1.4690000000000001</v>
      </c>
      <c r="BN2632">
        <v>-2.859</v>
      </c>
    </row>
    <row r="2633" spans="10:66">
      <c r="J2633">
        <v>0</v>
      </c>
      <c r="K2633">
        <v>2</v>
      </c>
      <c r="L2633">
        <v>2</v>
      </c>
      <c r="M2633" t="s">
        <v>25022</v>
      </c>
      <c r="N2633">
        <v>1735</v>
      </c>
      <c r="O2633" t="s">
        <v>10883</v>
      </c>
      <c r="P2633" t="s">
        <v>57</v>
      </c>
      <c r="Q2633">
        <v>1744367</v>
      </c>
      <c r="R2633">
        <v>1745257</v>
      </c>
      <c r="S2633" t="s">
        <v>10884</v>
      </c>
      <c r="T2633">
        <v>297</v>
      </c>
      <c r="U2633" t="s">
        <v>59</v>
      </c>
      <c r="V2633">
        <v>49</v>
      </c>
      <c r="W2633" t="str">
        <f>HYPERLINK("Gene1735-zp_tree_all.dnd", "Gene1735-tree")</f>
        <v>Gene1735-tree</v>
      </c>
      <c r="X2633">
        <v>33</v>
      </c>
      <c r="Y2633">
        <v>4</v>
      </c>
      <c r="Z2633">
        <v>14</v>
      </c>
      <c r="AA2633">
        <v>4</v>
      </c>
      <c r="AB2633">
        <v>0.22222</v>
      </c>
      <c r="AC2633" t="s">
        <v>126</v>
      </c>
      <c r="AD2633" t="s">
        <v>61</v>
      </c>
      <c r="AE2633" t="s">
        <v>62</v>
      </c>
      <c r="AF2633" t="s">
        <v>62</v>
      </c>
      <c r="AG2633">
        <v>2</v>
      </c>
      <c r="AH2633">
        <v>4</v>
      </c>
      <c r="AI2633">
        <v>9</v>
      </c>
      <c r="AJ2633">
        <v>0.30769000000000002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5</v>
      </c>
      <c r="AT2633">
        <v>0</v>
      </c>
      <c r="AU2633">
        <v>13</v>
      </c>
      <c r="AV2633">
        <v>11</v>
      </c>
      <c r="AW2633">
        <v>20</v>
      </c>
      <c r="AX2633">
        <v>5</v>
      </c>
      <c r="AY2633">
        <v>45</v>
      </c>
      <c r="AZ2633">
        <v>8</v>
      </c>
      <c r="BA2633" t="s">
        <v>10885</v>
      </c>
      <c r="BB2633" t="s">
        <v>10886</v>
      </c>
      <c r="BC2633">
        <v>0.26300000000000001</v>
      </c>
      <c r="BD2633" t="s">
        <v>65</v>
      </c>
      <c r="BE2633">
        <v>65</v>
      </c>
      <c r="BF2633">
        <v>13</v>
      </c>
      <c r="BG2633" t="s">
        <v>10887</v>
      </c>
      <c r="BH2633" t="s">
        <v>10888</v>
      </c>
      <c r="BI2633" t="s">
        <v>8153</v>
      </c>
      <c r="BJ2633">
        <v>4.6800000000000001E-2</v>
      </c>
      <c r="BK2633">
        <v>1</v>
      </c>
      <c r="BL2633" t="s">
        <v>69</v>
      </c>
      <c r="BM2633">
        <v>-1.085</v>
      </c>
      <c r="BN2633">
        <v>-0.115</v>
      </c>
    </row>
    <row r="2634" spans="10:66">
      <c r="J2634">
        <v>0</v>
      </c>
      <c r="K2634">
        <v>2</v>
      </c>
      <c r="L2634">
        <v>1</v>
      </c>
      <c r="M2634" t="s">
        <v>25022</v>
      </c>
      <c r="N2634">
        <v>1736</v>
      </c>
      <c r="O2634" t="s">
        <v>10889</v>
      </c>
      <c r="P2634" t="s">
        <v>57</v>
      </c>
      <c r="Q2634">
        <v>1745263</v>
      </c>
      <c r="R2634">
        <v>1745862</v>
      </c>
      <c r="S2634" t="s">
        <v>10890</v>
      </c>
      <c r="T2634">
        <v>200</v>
      </c>
      <c r="U2634" t="s">
        <v>108</v>
      </c>
      <c r="V2634">
        <v>44</v>
      </c>
      <c r="W2634" t="str">
        <f>HYPERLINK("Gene1736-zp_tree_all.dnd", "Gene1736-tree")</f>
        <v>Gene1736-tree</v>
      </c>
      <c r="X2634">
        <v>11</v>
      </c>
      <c r="Y2634">
        <v>4</v>
      </c>
      <c r="Z2634">
        <v>11</v>
      </c>
      <c r="AA2634">
        <v>4</v>
      </c>
      <c r="AB2634">
        <v>0.26667000000000002</v>
      </c>
      <c r="AC2634" t="s">
        <v>73</v>
      </c>
      <c r="AD2634" t="s">
        <v>61</v>
      </c>
      <c r="AE2634" t="s">
        <v>62</v>
      </c>
      <c r="AF2634" t="s">
        <v>62</v>
      </c>
      <c r="AG2634">
        <v>1</v>
      </c>
      <c r="AH2634">
        <v>3</v>
      </c>
      <c r="AI2634">
        <v>3</v>
      </c>
      <c r="AJ2634">
        <v>0.5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2</v>
      </c>
      <c r="AR2634">
        <v>2</v>
      </c>
      <c r="AS2634">
        <v>3</v>
      </c>
      <c r="AT2634">
        <v>0.4</v>
      </c>
      <c r="AU2634">
        <v>7</v>
      </c>
      <c r="AV2634">
        <v>10</v>
      </c>
      <c r="AW2634">
        <v>20</v>
      </c>
      <c r="AX2634">
        <v>5</v>
      </c>
      <c r="AY2634">
        <v>15</v>
      </c>
      <c r="AZ2634">
        <v>1</v>
      </c>
      <c r="BA2634" t="s">
        <v>10891</v>
      </c>
      <c r="BB2634" t="s">
        <v>10892</v>
      </c>
      <c r="BC2634">
        <v>0.71</v>
      </c>
      <c r="BD2634" t="s">
        <v>65</v>
      </c>
      <c r="BE2634">
        <v>35</v>
      </c>
      <c r="BF2634">
        <v>6</v>
      </c>
      <c r="BG2634" t="s">
        <v>10893</v>
      </c>
      <c r="BH2634" t="s">
        <v>10894</v>
      </c>
      <c r="BI2634" t="s">
        <v>10895</v>
      </c>
      <c r="BJ2634">
        <v>3.6229999999999998E-2</v>
      </c>
      <c r="BK2634">
        <v>1</v>
      </c>
      <c r="BL2634" t="s">
        <v>69</v>
      </c>
      <c r="BM2634">
        <v>-0.75</v>
      </c>
      <c r="BN2634">
        <v>-2.0089999999999999</v>
      </c>
    </row>
    <row r="2635" spans="10:66">
      <c r="J2635">
        <v>0</v>
      </c>
      <c r="K2635">
        <v>2</v>
      </c>
      <c r="L2635">
        <v>2</v>
      </c>
      <c r="M2635" t="s">
        <v>25022</v>
      </c>
      <c r="N2635">
        <v>1737</v>
      </c>
      <c r="O2635" t="s">
        <v>10896</v>
      </c>
      <c r="P2635" t="s">
        <v>57</v>
      </c>
      <c r="Q2635">
        <v>1745991</v>
      </c>
      <c r="R2635">
        <v>1747028</v>
      </c>
      <c r="S2635" t="s">
        <v>10897</v>
      </c>
      <c r="T2635">
        <v>346</v>
      </c>
      <c r="U2635" t="s">
        <v>59</v>
      </c>
      <c r="V2635">
        <v>49</v>
      </c>
      <c r="W2635" t="str">
        <f>HYPERLINK("Gene1737-zp_tree_all.dnd", "Gene1737-tree")</f>
        <v>Gene1737-tree</v>
      </c>
      <c r="X2635">
        <v>10</v>
      </c>
      <c r="Y2635">
        <v>7</v>
      </c>
      <c r="Z2635">
        <v>10</v>
      </c>
      <c r="AA2635">
        <v>7</v>
      </c>
      <c r="AB2635">
        <v>0.41176000000000001</v>
      </c>
      <c r="AC2635" t="s">
        <v>117</v>
      </c>
      <c r="AD2635" t="s">
        <v>152</v>
      </c>
      <c r="AE2635" t="s">
        <v>62</v>
      </c>
      <c r="AF2635" t="s">
        <v>62</v>
      </c>
      <c r="AG2635">
        <v>2</v>
      </c>
      <c r="AH2635">
        <v>4</v>
      </c>
      <c r="AI2635">
        <v>11</v>
      </c>
      <c r="AJ2635">
        <v>0.26667000000000002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7</v>
      </c>
      <c r="AT2635">
        <v>0</v>
      </c>
      <c r="AU2635">
        <v>12</v>
      </c>
      <c r="AV2635">
        <v>10</v>
      </c>
      <c r="AW2635">
        <v>27</v>
      </c>
      <c r="AX2635">
        <v>7</v>
      </c>
      <c r="AY2635">
        <v>45</v>
      </c>
      <c r="AZ2635">
        <v>8</v>
      </c>
      <c r="BA2635" t="s">
        <v>10898</v>
      </c>
      <c r="BB2635" t="s">
        <v>10899</v>
      </c>
      <c r="BC2635">
        <v>0.50900000000000001</v>
      </c>
      <c r="BD2635" t="s">
        <v>65</v>
      </c>
      <c r="BE2635">
        <v>72</v>
      </c>
      <c r="BF2635">
        <v>15</v>
      </c>
      <c r="BG2635" t="s">
        <v>10900</v>
      </c>
      <c r="BH2635" t="s">
        <v>10901</v>
      </c>
      <c r="BI2635" t="s">
        <v>10902</v>
      </c>
      <c r="BJ2635">
        <v>5.2510000000000001E-2</v>
      </c>
      <c r="BK2635">
        <v>1</v>
      </c>
      <c r="BL2635" t="s">
        <v>69</v>
      </c>
      <c r="BM2635">
        <v>-1.417</v>
      </c>
      <c r="BN2635">
        <v>-0.61399999999999999</v>
      </c>
    </row>
    <row r="2636" spans="10:66">
      <c r="J2636">
        <v>0</v>
      </c>
      <c r="K2636">
        <v>0</v>
      </c>
      <c r="L2636">
        <v>0</v>
      </c>
      <c r="M2636" t="s">
        <v>25022</v>
      </c>
      <c r="N2636">
        <v>1738</v>
      </c>
      <c r="O2636" t="s">
        <v>10903</v>
      </c>
      <c r="P2636" t="s">
        <v>57</v>
      </c>
      <c r="Q2636">
        <v>1747123</v>
      </c>
      <c r="R2636">
        <v>1748334</v>
      </c>
      <c r="S2636" t="s">
        <v>10904</v>
      </c>
      <c r="T2636">
        <v>404</v>
      </c>
      <c r="U2636" t="s">
        <v>108</v>
      </c>
      <c r="V2636">
        <v>44</v>
      </c>
      <c r="W2636" t="str">
        <f>HYPERLINK("Gene1738-zp_tree_all.dnd", "Gene1738-tree")</f>
        <v>Gene1738-tree</v>
      </c>
      <c r="X2636">
        <v>10</v>
      </c>
      <c r="Y2636">
        <v>5</v>
      </c>
      <c r="Z2636">
        <v>10</v>
      </c>
      <c r="AA2636">
        <v>5</v>
      </c>
      <c r="AB2636">
        <v>0.33333000000000002</v>
      </c>
      <c r="AC2636" t="s">
        <v>117</v>
      </c>
      <c r="AD2636" t="s">
        <v>199</v>
      </c>
      <c r="AE2636" t="s">
        <v>62</v>
      </c>
      <c r="AF2636" t="s">
        <v>62</v>
      </c>
      <c r="AG2636">
        <v>0</v>
      </c>
      <c r="AH2636">
        <v>0</v>
      </c>
      <c r="AI2636">
        <v>5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5</v>
      </c>
      <c r="AT2636">
        <v>0</v>
      </c>
      <c r="AU2636">
        <v>12</v>
      </c>
      <c r="AV2636">
        <v>9</v>
      </c>
      <c r="AW2636">
        <v>26</v>
      </c>
      <c r="AX2636">
        <v>4</v>
      </c>
      <c r="AY2636">
        <v>15</v>
      </c>
      <c r="AZ2636">
        <v>2</v>
      </c>
      <c r="BA2636" t="s">
        <v>10905</v>
      </c>
      <c r="BB2636" t="s">
        <v>10906</v>
      </c>
      <c r="BC2636">
        <v>5.2999999999999999E-2</v>
      </c>
      <c r="BD2636" t="s">
        <v>65</v>
      </c>
      <c r="BE2636">
        <v>41</v>
      </c>
      <c r="BF2636">
        <v>6</v>
      </c>
      <c r="BG2636" t="s">
        <v>10907</v>
      </c>
      <c r="BH2636" t="s">
        <v>10908</v>
      </c>
      <c r="BI2636" t="s">
        <v>10909</v>
      </c>
      <c r="BJ2636">
        <v>4.4209999999999999E-2</v>
      </c>
      <c r="BK2636">
        <v>1</v>
      </c>
      <c r="BL2636" t="s">
        <v>69</v>
      </c>
      <c r="BM2636">
        <v>-0.35899999999999999</v>
      </c>
      <c r="BN2636">
        <v>-1.071</v>
      </c>
    </row>
    <row r="2637" spans="10:66">
      <c r="J2637">
        <v>0</v>
      </c>
      <c r="K2637">
        <v>0</v>
      </c>
      <c r="L2637">
        <v>0</v>
      </c>
      <c r="M2637" t="s">
        <v>25022</v>
      </c>
      <c r="N2637">
        <v>1739</v>
      </c>
      <c r="O2637" t="s">
        <v>10910</v>
      </c>
      <c r="P2637" t="s">
        <v>57</v>
      </c>
      <c r="Q2637">
        <v>1748368</v>
      </c>
      <c r="R2637">
        <v>1749237</v>
      </c>
      <c r="S2637" t="s">
        <v>10911</v>
      </c>
      <c r="T2637">
        <v>290</v>
      </c>
      <c r="U2637" t="s">
        <v>465</v>
      </c>
      <c r="V2637">
        <v>46</v>
      </c>
      <c r="W2637" t="str">
        <f>HYPERLINK("Gene1739-zp_tree_all.dnd", "Gene1739-tree")</f>
        <v>Gene1739-tree</v>
      </c>
      <c r="X2637">
        <v>10</v>
      </c>
      <c r="Y2637">
        <v>2</v>
      </c>
      <c r="Z2637">
        <v>10</v>
      </c>
      <c r="AA2637">
        <v>2</v>
      </c>
      <c r="AB2637">
        <v>0.16667000000000001</v>
      </c>
      <c r="AC2637" t="s">
        <v>117</v>
      </c>
      <c r="AD2637" t="s">
        <v>81</v>
      </c>
      <c r="AE2637" t="s">
        <v>62</v>
      </c>
      <c r="AF2637" t="s">
        <v>62</v>
      </c>
      <c r="AG2637">
        <v>0</v>
      </c>
      <c r="AH2637">
        <v>0</v>
      </c>
      <c r="AI2637">
        <v>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3</v>
      </c>
      <c r="AT2637">
        <v>0</v>
      </c>
      <c r="AU2637">
        <v>8</v>
      </c>
      <c r="AV2637">
        <v>7</v>
      </c>
      <c r="AW2637">
        <v>45</v>
      </c>
      <c r="AX2637">
        <v>3</v>
      </c>
      <c r="AY2637">
        <v>11</v>
      </c>
      <c r="AZ2637">
        <v>1</v>
      </c>
      <c r="BA2637" t="s">
        <v>10912</v>
      </c>
      <c r="BB2637" t="s">
        <v>10913</v>
      </c>
      <c r="BC2637">
        <v>0.111</v>
      </c>
      <c r="BD2637" t="s">
        <v>65</v>
      </c>
      <c r="BE2637">
        <v>56</v>
      </c>
      <c r="BF2637">
        <v>4</v>
      </c>
      <c r="BG2637" t="s">
        <v>10914</v>
      </c>
      <c r="BH2637" t="s">
        <v>10915</v>
      </c>
      <c r="BI2637" t="s">
        <v>10916</v>
      </c>
      <c r="BJ2637">
        <v>2.7529999999999999E-2</v>
      </c>
      <c r="BK2637">
        <v>1</v>
      </c>
      <c r="BL2637" t="s">
        <v>69</v>
      </c>
      <c r="BM2637">
        <v>-0.86</v>
      </c>
      <c r="BN2637">
        <v>1.169</v>
      </c>
    </row>
    <row r="2638" spans="10:66">
      <c r="J2638">
        <v>0</v>
      </c>
      <c r="K2638">
        <v>0</v>
      </c>
      <c r="L2638">
        <v>3</v>
      </c>
      <c r="M2638" t="s">
        <v>25022</v>
      </c>
      <c r="N2638">
        <v>1740</v>
      </c>
      <c r="O2638" t="s">
        <v>10917</v>
      </c>
      <c r="P2638" t="s">
        <v>57</v>
      </c>
      <c r="Q2638">
        <v>1749418</v>
      </c>
      <c r="R2638">
        <v>1751082</v>
      </c>
      <c r="S2638" t="s">
        <v>10918</v>
      </c>
      <c r="T2638">
        <v>555</v>
      </c>
      <c r="U2638" t="s">
        <v>59</v>
      </c>
      <c r="V2638">
        <v>49</v>
      </c>
      <c r="W2638" t="str">
        <f>HYPERLINK("Gene1740-zp_tree_all.dnd", "Gene1740-tree")</f>
        <v>Gene1740-tree</v>
      </c>
      <c r="X2638">
        <v>16</v>
      </c>
      <c r="Y2638">
        <v>2</v>
      </c>
      <c r="Z2638">
        <v>16</v>
      </c>
      <c r="AA2638">
        <v>2</v>
      </c>
      <c r="AB2638">
        <v>0.11111</v>
      </c>
      <c r="AC2638" t="s">
        <v>60</v>
      </c>
      <c r="AD2638" t="s">
        <v>81</v>
      </c>
      <c r="AE2638" t="s">
        <v>62</v>
      </c>
      <c r="AF2638" t="s">
        <v>62</v>
      </c>
      <c r="AG2638">
        <v>1</v>
      </c>
      <c r="AH2638">
        <v>3</v>
      </c>
      <c r="AI2638">
        <v>5</v>
      </c>
      <c r="AJ2638">
        <v>0.375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2</v>
      </c>
      <c r="AT2638">
        <v>0</v>
      </c>
      <c r="AU2638">
        <v>16</v>
      </c>
      <c r="AV2638">
        <v>13</v>
      </c>
      <c r="AW2638">
        <v>72</v>
      </c>
      <c r="AX2638">
        <v>2</v>
      </c>
      <c r="AY2638">
        <v>94</v>
      </c>
      <c r="AZ2638">
        <v>7</v>
      </c>
      <c r="BA2638" t="s">
        <v>10919</v>
      </c>
      <c r="BB2638" t="s">
        <v>10920</v>
      </c>
      <c r="BC2638">
        <v>0.46100000000000002</v>
      </c>
      <c r="BD2638" t="s">
        <v>65</v>
      </c>
      <c r="BE2638">
        <v>166</v>
      </c>
      <c r="BF2638">
        <v>9</v>
      </c>
      <c r="BG2638" t="s">
        <v>10921</v>
      </c>
      <c r="BH2638" t="s">
        <v>10922</v>
      </c>
      <c r="BI2638" t="s">
        <v>4662</v>
      </c>
      <c r="BJ2638">
        <v>1.916E-2</v>
      </c>
      <c r="BK2638">
        <v>1</v>
      </c>
      <c r="BL2638" t="s">
        <v>69</v>
      </c>
      <c r="BM2638">
        <v>-1.4990000000000001</v>
      </c>
      <c r="BN2638">
        <v>-0.875</v>
      </c>
    </row>
    <row r="2639" spans="10:66">
      <c r="J2639">
        <v>0</v>
      </c>
      <c r="K2639">
        <v>0</v>
      </c>
      <c r="L2639">
        <v>0</v>
      </c>
      <c r="M2639" t="s">
        <v>25022</v>
      </c>
      <c r="N2639">
        <v>1741</v>
      </c>
      <c r="O2639" t="s">
        <v>10923</v>
      </c>
      <c r="P2639" t="s">
        <v>57</v>
      </c>
      <c r="Q2639">
        <v>1751201</v>
      </c>
      <c r="R2639">
        <v>1751935</v>
      </c>
      <c r="S2639" t="s">
        <v>10924</v>
      </c>
      <c r="T2639">
        <v>245</v>
      </c>
      <c r="U2639" t="s">
        <v>108</v>
      </c>
      <c r="V2639">
        <v>44</v>
      </c>
      <c r="W2639" t="str">
        <f>HYPERLINK("Gene1741-zp_tree_all.dnd", "Gene1741-tree")</f>
        <v>Gene1741-tree</v>
      </c>
      <c r="X2639">
        <v>12</v>
      </c>
      <c r="Y2639">
        <v>0</v>
      </c>
      <c r="Z2639">
        <v>12</v>
      </c>
      <c r="AA2639">
        <v>0</v>
      </c>
      <c r="AB2639">
        <v>0</v>
      </c>
      <c r="AC2639" t="s">
        <v>109</v>
      </c>
      <c r="AD2639" t="s">
        <v>62</v>
      </c>
      <c r="AE2639" t="s">
        <v>62</v>
      </c>
      <c r="AF2639" t="s">
        <v>62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9</v>
      </c>
      <c r="AV2639">
        <v>5</v>
      </c>
      <c r="AW2639">
        <v>19</v>
      </c>
      <c r="AX2639">
        <v>0</v>
      </c>
      <c r="AY2639">
        <v>12</v>
      </c>
      <c r="AZ2639">
        <v>0</v>
      </c>
      <c r="BA2639" t="s">
        <v>193</v>
      </c>
      <c r="BB2639" t="s">
        <v>193</v>
      </c>
      <c r="BC2639">
        <v>0</v>
      </c>
      <c r="BD2639" t="s">
        <v>65</v>
      </c>
      <c r="BE2639">
        <v>31</v>
      </c>
      <c r="BF2639">
        <v>0</v>
      </c>
      <c r="BG2639" t="s">
        <v>10925</v>
      </c>
      <c r="BH2639" t="s">
        <v>10926</v>
      </c>
      <c r="BI2639" t="s">
        <v>193</v>
      </c>
      <c r="BJ2639">
        <v>0</v>
      </c>
      <c r="BK2639">
        <v>1</v>
      </c>
      <c r="BL2639" t="s">
        <v>69</v>
      </c>
      <c r="BM2639">
        <v>-0.81499999999999995</v>
      </c>
      <c r="BN2639">
        <v>-1.2609999999999999</v>
      </c>
    </row>
    <row r="2640" spans="10:66">
      <c r="J2640">
        <v>0</v>
      </c>
      <c r="K2640">
        <v>0</v>
      </c>
      <c r="L2640">
        <v>0</v>
      </c>
      <c r="M2640" t="s">
        <v>25022</v>
      </c>
      <c r="N2640">
        <v>1742</v>
      </c>
      <c r="O2640" t="s">
        <v>10927</v>
      </c>
      <c r="P2640" t="s">
        <v>57</v>
      </c>
      <c r="Q2640">
        <v>1751935</v>
      </c>
      <c r="R2640">
        <v>1752144</v>
      </c>
      <c r="S2640" t="s">
        <v>10928</v>
      </c>
      <c r="T2640">
        <v>70</v>
      </c>
      <c r="U2640" t="s">
        <v>108</v>
      </c>
      <c r="V2640">
        <v>44</v>
      </c>
      <c r="W2640" t="str">
        <f>HYPERLINK("Gene1742-zp_tree_all.dnd", "Gene1742-tree")</f>
        <v>Gene1742-tree</v>
      </c>
      <c r="X2640">
        <v>23</v>
      </c>
      <c r="Y2640">
        <v>1</v>
      </c>
      <c r="Z2640">
        <v>4</v>
      </c>
      <c r="AA2640">
        <v>1</v>
      </c>
      <c r="AB2640">
        <v>0.2</v>
      </c>
      <c r="AC2640" t="s">
        <v>690</v>
      </c>
      <c r="AD2640" t="s">
        <v>175</v>
      </c>
      <c r="AE2640" t="s">
        <v>62</v>
      </c>
      <c r="AF2640" t="s">
        <v>62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4</v>
      </c>
      <c r="AV2640">
        <v>0</v>
      </c>
      <c r="AW2640">
        <v>5</v>
      </c>
      <c r="AX2640">
        <v>1</v>
      </c>
      <c r="AY2640">
        <v>0</v>
      </c>
      <c r="AZ2640">
        <v>0</v>
      </c>
      <c r="BA2640" t="s">
        <v>10929</v>
      </c>
      <c r="BB2640" t="s">
        <v>193</v>
      </c>
      <c r="BC2640">
        <v>0.52800000000000002</v>
      </c>
      <c r="BD2640" t="s">
        <v>65</v>
      </c>
      <c r="BE2640">
        <v>5</v>
      </c>
      <c r="BF2640">
        <v>1</v>
      </c>
      <c r="BG2640" t="s">
        <v>10930</v>
      </c>
      <c r="BH2640" t="s">
        <v>10931</v>
      </c>
      <c r="BI2640" t="s">
        <v>10932</v>
      </c>
      <c r="BJ2640">
        <v>5.0119999999999998E-2</v>
      </c>
      <c r="BK2640">
        <v>1</v>
      </c>
      <c r="BL2640" t="s">
        <v>69</v>
      </c>
      <c r="BM2640">
        <v>-0.499</v>
      </c>
      <c r="BN2640">
        <v>-1.333</v>
      </c>
    </row>
    <row r="2641" spans="10:66">
      <c r="J2641">
        <v>0</v>
      </c>
      <c r="K2641">
        <v>8</v>
      </c>
      <c r="L2641">
        <v>1</v>
      </c>
      <c r="M2641" t="s">
        <v>25022</v>
      </c>
      <c r="N2641">
        <v>1743</v>
      </c>
      <c r="O2641" t="s">
        <v>10933</v>
      </c>
      <c r="P2641" t="s">
        <v>57</v>
      </c>
      <c r="Q2641">
        <v>1752278</v>
      </c>
      <c r="R2641">
        <v>1754638</v>
      </c>
      <c r="S2641" t="s">
        <v>10934</v>
      </c>
      <c r="T2641">
        <v>787</v>
      </c>
      <c r="U2641" t="s">
        <v>629</v>
      </c>
      <c r="V2641">
        <v>43</v>
      </c>
      <c r="W2641" t="str">
        <f>HYPERLINK("Gene1743-zp_tree_all.dnd", "Gene1743-tree")</f>
        <v>Gene1743-tree</v>
      </c>
      <c r="X2641">
        <v>4</v>
      </c>
      <c r="Y2641">
        <v>12</v>
      </c>
      <c r="Z2641">
        <v>4</v>
      </c>
      <c r="AA2641">
        <v>12</v>
      </c>
      <c r="AB2641">
        <v>0.75</v>
      </c>
      <c r="AC2641" t="s">
        <v>61</v>
      </c>
      <c r="AD2641" t="s">
        <v>109</v>
      </c>
      <c r="AE2641" t="s">
        <v>62</v>
      </c>
      <c r="AF2641" t="s">
        <v>62</v>
      </c>
      <c r="AG2641">
        <v>4</v>
      </c>
      <c r="AH2641">
        <v>9</v>
      </c>
      <c r="AI2641">
        <v>14</v>
      </c>
      <c r="AJ2641">
        <v>0.39129999999999998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6</v>
      </c>
      <c r="AQ2641">
        <v>2</v>
      </c>
      <c r="AR2641">
        <v>8</v>
      </c>
      <c r="AS2641">
        <v>14</v>
      </c>
      <c r="AT2641">
        <v>0.36364000000000002</v>
      </c>
      <c r="AU2641">
        <v>14</v>
      </c>
      <c r="AV2641">
        <v>11</v>
      </c>
      <c r="AW2641">
        <v>82</v>
      </c>
      <c r="AX2641">
        <v>22</v>
      </c>
      <c r="AY2641">
        <v>33</v>
      </c>
      <c r="AZ2641">
        <v>1</v>
      </c>
      <c r="BA2641" t="s">
        <v>10935</v>
      </c>
      <c r="BB2641" t="s">
        <v>10936</v>
      </c>
      <c r="BC2641">
        <v>1.867</v>
      </c>
      <c r="BD2641" t="s">
        <v>65</v>
      </c>
      <c r="BE2641">
        <v>115</v>
      </c>
      <c r="BF2641">
        <v>23</v>
      </c>
      <c r="BG2641" t="s">
        <v>10937</v>
      </c>
      <c r="BH2641" t="s">
        <v>10938</v>
      </c>
      <c r="BI2641" t="s">
        <v>10939</v>
      </c>
      <c r="BJ2641">
        <v>4.5909999999999999E-2</v>
      </c>
      <c r="BK2641">
        <v>1</v>
      </c>
      <c r="BL2641" t="s">
        <v>69</v>
      </c>
      <c r="BM2641">
        <v>-1.39</v>
      </c>
      <c r="BN2641">
        <v>-2.9369999999999998</v>
      </c>
    </row>
    <row r="2642" spans="10:66">
      <c r="J2642">
        <v>0</v>
      </c>
      <c r="K2642">
        <v>2</v>
      </c>
      <c r="L2642">
        <v>3</v>
      </c>
      <c r="M2642" t="s">
        <v>25022</v>
      </c>
      <c r="N2642">
        <v>1744</v>
      </c>
      <c r="O2642" t="s">
        <v>10940</v>
      </c>
      <c r="P2642" t="s">
        <v>57</v>
      </c>
      <c r="Q2642">
        <v>1754785</v>
      </c>
      <c r="R2642">
        <v>1755507</v>
      </c>
      <c r="S2642" t="s">
        <v>10941</v>
      </c>
      <c r="T2642">
        <v>241</v>
      </c>
      <c r="U2642" t="s">
        <v>214</v>
      </c>
      <c r="V2642">
        <v>48</v>
      </c>
      <c r="W2642" t="str">
        <f>HYPERLINK("Gene1744-zp_tree_all.dnd", "Gene1744-tree")</f>
        <v>Gene1744-tree</v>
      </c>
      <c r="X2642">
        <v>10</v>
      </c>
      <c r="Y2642">
        <v>4</v>
      </c>
      <c r="Z2642">
        <v>10</v>
      </c>
      <c r="AA2642">
        <v>4</v>
      </c>
      <c r="AB2642">
        <v>0.28571000000000002</v>
      </c>
      <c r="AC2642" t="s">
        <v>117</v>
      </c>
      <c r="AD2642" t="s">
        <v>61</v>
      </c>
      <c r="AE2642" t="s">
        <v>62</v>
      </c>
      <c r="AF2642" t="s">
        <v>62</v>
      </c>
      <c r="AG2642">
        <v>2</v>
      </c>
      <c r="AH2642">
        <v>5</v>
      </c>
      <c r="AI2642">
        <v>6</v>
      </c>
      <c r="AJ2642">
        <v>0.45455000000000001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2</v>
      </c>
      <c r="AR2642">
        <v>2</v>
      </c>
      <c r="AS2642">
        <v>2</v>
      </c>
      <c r="AT2642">
        <v>0.5</v>
      </c>
      <c r="AU2642">
        <v>10</v>
      </c>
      <c r="AV2642">
        <v>8</v>
      </c>
      <c r="AW2642">
        <v>21</v>
      </c>
      <c r="AX2642">
        <v>4</v>
      </c>
      <c r="AY2642">
        <v>43</v>
      </c>
      <c r="AZ2642">
        <v>7</v>
      </c>
      <c r="BA2642" t="s">
        <v>10942</v>
      </c>
      <c r="BB2642" t="s">
        <v>10943</v>
      </c>
      <c r="BC2642">
        <v>0.152</v>
      </c>
      <c r="BD2642" t="s">
        <v>65</v>
      </c>
      <c r="BE2642">
        <v>64</v>
      </c>
      <c r="BF2642">
        <v>11</v>
      </c>
      <c r="BG2642" t="s">
        <v>10944</v>
      </c>
      <c r="BH2642" t="s">
        <v>10945</v>
      </c>
      <c r="BI2642" t="s">
        <v>10946</v>
      </c>
      <c r="BJ2642">
        <v>4.6649999999999997E-2</v>
      </c>
      <c r="BK2642">
        <v>1</v>
      </c>
      <c r="BL2642" t="s">
        <v>69</v>
      </c>
      <c r="BM2642">
        <v>-1.2729999999999999</v>
      </c>
      <c r="BN2642">
        <v>-0.17299999999999999</v>
      </c>
    </row>
    <row r="2643" spans="10:66">
      <c r="J2643">
        <v>0</v>
      </c>
      <c r="K2643">
        <v>9</v>
      </c>
      <c r="L2643">
        <v>0</v>
      </c>
      <c r="M2643" t="s">
        <v>25022</v>
      </c>
      <c r="N2643">
        <v>1746</v>
      </c>
      <c r="O2643" t="s">
        <v>10947</v>
      </c>
      <c r="P2643" t="s">
        <v>57</v>
      </c>
      <c r="Q2643">
        <v>1757037</v>
      </c>
      <c r="R2643">
        <v>1758314</v>
      </c>
      <c r="S2643" t="s">
        <v>10948</v>
      </c>
      <c r="T2643">
        <v>426</v>
      </c>
      <c r="U2643" t="s">
        <v>108</v>
      </c>
      <c r="V2643">
        <v>44</v>
      </c>
      <c r="W2643" t="str">
        <f>HYPERLINK("Gene1746-zp_tree_all.dnd", "Gene1746-tree")</f>
        <v>Gene1746-tree</v>
      </c>
      <c r="X2643">
        <v>5</v>
      </c>
      <c r="Y2643">
        <v>9</v>
      </c>
      <c r="Z2643">
        <v>5</v>
      </c>
      <c r="AA2643">
        <v>9</v>
      </c>
      <c r="AB2643">
        <v>0.64285999999999999</v>
      </c>
      <c r="AC2643" t="s">
        <v>199</v>
      </c>
      <c r="AD2643" t="s">
        <v>135</v>
      </c>
      <c r="AE2643" t="s">
        <v>62</v>
      </c>
      <c r="AF2643" t="s">
        <v>62</v>
      </c>
      <c r="AG2643">
        <v>3</v>
      </c>
      <c r="AH2643">
        <v>9</v>
      </c>
      <c r="AI2643">
        <v>14</v>
      </c>
      <c r="AJ2643">
        <v>0.39129999999999998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4</v>
      </c>
      <c r="AQ2643">
        <v>0</v>
      </c>
      <c r="AR2643">
        <v>4</v>
      </c>
      <c r="AS2643">
        <v>13</v>
      </c>
      <c r="AT2643">
        <v>0.23529</v>
      </c>
      <c r="AU2643">
        <v>12</v>
      </c>
      <c r="AV2643">
        <v>11</v>
      </c>
      <c r="AW2643">
        <v>37</v>
      </c>
      <c r="AX2643">
        <v>14</v>
      </c>
      <c r="AY2643">
        <v>43</v>
      </c>
      <c r="AZ2643">
        <v>9</v>
      </c>
      <c r="BA2643" t="s">
        <v>10949</v>
      </c>
      <c r="BB2643" t="s">
        <v>10950</v>
      </c>
      <c r="BC2643">
        <v>0.61599999999999999</v>
      </c>
      <c r="BD2643" t="s">
        <v>65</v>
      </c>
      <c r="BE2643">
        <v>80</v>
      </c>
      <c r="BF2643">
        <v>23</v>
      </c>
      <c r="BG2643" t="s">
        <v>10951</v>
      </c>
      <c r="BH2643" t="s">
        <v>10952</v>
      </c>
      <c r="BI2643" t="s">
        <v>10953</v>
      </c>
      <c r="BJ2643">
        <v>7.5410000000000005E-2</v>
      </c>
      <c r="BK2643">
        <v>1</v>
      </c>
      <c r="BL2643" t="s">
        <v>69</v>
      </c>
      <c r="BM2643">
        <v>-0.29799999999999999</v>
      </c>
      <c r="BN2643">
        <v>-1.04</v>
      </c>
    </row>
    <row r="2644" spans="10:66">
      <c r="J2644">
        <v>0</v>
      </c>
      <c r="K2644">
        <v>2</v>
      </c>
      <c r="L2644">
        <v>0</v>
      </c>
      <c r="M2644" t="s">
        <v>25022</v>
      </c>
      <c r="N2644">
        <v>1747</v>
      </c>
      <c r="O2644" t="s">
        <v>10954</v>
      </c>
      <c r="P2644" t="s">
        <v>57</v>
      </c>
      <c r="Q2644">
        <v>1758314</v>
      </c>
      <c r="R2644">
        <v>1759597</v>
      </c>
      <c r="S2644" t="s">
        <v>10955</v>
      </c>
      <c r="T2644">
        <v>428</v>
      </c>
      <c r="U2644" t="s">
        <v>465</v>
      </c>
      <c r="V2644">
        <v>46</v>
      </c>
      <c r="W2644" t="str">
        <f>HYPERLINK("Gene1747-zp_tree_all.dnd", "Gene1747-tree")</f>
        <v>Gene1747-tree</v>
      </c>
      <c r="X2644">
        <v>12</v>
      </c>
      <c r="Y2644">
        <v>3</v>
      </c>
      <c r="Z2644">
        <v>12</v>
      </c>
      <c r="AA2644">
        <v>3</v>
      </c>
      <c r="AB2644">
        <v>0.2</v>
      </c>
      <c r="AC2644" t="s">
        <v>109</v>
      </c>
      <c r="AD2644" t="s">
        <v>324</v>
      </c>
      <c r="AE2644" t="s">
        <v>62</v>
      </c>
      <c r="AF2644" t="s">
        <v>62</v>
      </c>
      <c r="AG2644">
        <v>1</v>
      </c>
      <c r="AH2644">
        <v>2</v>
      </c>
      <c r="AI2644">
        <v>11</v>
      </c>
      <c r="AJ2644">
        <v>0.15384999999999999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4</v>
      </c>
      <c r="AT2644">
        <v>0</v>
      </c>
      <c r="AU2644">
        <v>14</v>
      </c>
      <c r="AV2644">
        <v>12</v>
      </c>
      <c r="AW2644">
        <v>48</v>
      </c>
      <c r="AX2644">
        <v>4</v>
      </c>
      <c r="AY2644">
        <v>76</v>
      </c>
      <c r="AZ2644">
        <v>9</v>
      </c>
      <c r="BA2644" t="s">
        <v>10956</v>
      </c>
      <c r="BB2644" t="s">
        <v>10957</v>
      </c>
      <c r="BC2644">
        <v>9.2999999999999999E-2</v>
      </c>
      <c r="BD2644" t="s">
        <v>65</v>
      </c>
      <c r="BE2644">
        <v>124</v>
      </c>
      <c r="BF2644">
        <v>13</v>
      </c>
      <c r="BG2644" t="s">
        <v>10958</v>
      </c>
      <c r="BH2644" t="s">
        <v>10959</v>
      </c>
      <c r="BI2644" t="s">
        <v>10960</v>
      </c>
      <c r="BJ2644">
        <v>2.9610000000000001E-2</v>
      </c>
      <c r="BK2644">
        <v>1</v>
      </c>
      <c r="BL2644" t="s">
        <v>69</v>
      </c>
      <c r="BM2644">
        <v>-1.4119999999999999</v>
      </c>
      <c r="BN2644">
        <v>0.41499999999999998</v>
      </c>
    </row>
    <row r="2645" spans="10:66">
      <c r="J2645">
        <v>0</v>
      </c>
      <c r="K2645">
        <v>2</v>
      </c>
      <c r="L2645">
        <v>0</v>
      </c>
      <c r="M2645" t="s">
        <v>25022</v>
      </c>
      <c r="N2645">
        <v>1748</v>
      </c>
      <c r="O2645" t="s">
        <v>10961</v>
      </c>
      <c r="P2645" t="s">
        <v>57</v>
      </c>
      <c r="Q2645">
        <v>1759655</v>
      </c>
      <c r="R2645">
        <v>1760380</v>
      </c>
      <c r="S2645" t="s">
        <v>10962</v>
      </c>
      <c r="T2645">
        <v>242</v>
      </c>
      <c r="U2645" t="s">
        <v>108</v>
      </c>
      <c r="V2645">
        <v>44</v>
      </c>
      <c r="W2645" t="str">
        <f>HYPERLINK("Gene1748-zp_tree_all.dnd", "Gene1748-tree")</f>
        <v>Gene1748-tree</v>
      </c>
      <c r="X2645">
        <v>11</v>
      </c>
      <c r="Y2645">
        <v>3</v>
      </c>
      <c r="Z2645">
        <v>11</v>
      </c>
      <c r="AA2645">
        <v>3</v>
      </c>
      <c r="AB2645">
        <v>0.21429000000000001</v>
      </c>
      <c r="AC2645" t="s">
        <v>73</v>
      </c>
      <c r="AD2645" t="s">
        <v>324</v>
      </c>
      <c r="AE2645" t="s">
        <v>62</v>
      </c>
      <c r="AF2645" t="s">
        <v>62</v>
      </c>
      <c r="AG2645">
        <v>1</v>
      </c>
      <c r="AH2645">
        <v>2</v>
      </c>
      <c r="AI2645">
        <v>8</v>
      </c>
      <c r="AJ2645">
        <v>0.2</v>
      </c>
      <c r="AK2645">
        <v>0</v>
      </c>
      <c r="AL2645">
        <v>0</v>
      </c>
      <c r="AM2645">
        <v>0</v>
      </c>
      <c r="AN2645">
        <v>3</v>
      </c>
      <c r="AO2645">
        <v>0</v>
      </c>
      <c r="AP2645">
        <v>0</v>
      </c>
      <c r="AQ2645">
        <v>0</v>
      </c>
      <c r="AR2645">
        <v>0</v>
      </c>
      <c r="AS2645">
        <v>5</v>
      </c>
      <c r="AT2645">
        <v>0</v>
      </c>
      <c r="AU2645">
        <v>12</v>
      </c>
      <c r="AV2645">
        <v>9</v>
      </c>
      <c r="AW2645">
        <v>31</v>
      </c>
      <c r="AX2645">
        <v>5</v>
      </c>
      <c r="AY2645">
        <v>23</v>
      </c>
      <c r="AZ2645">
        <v>5</v>
      </c>
      <c r="BA2645" t="s">
        <v>10963</v>
      </c>
      <c r="BB2645" t="s">
        <v>10964</v>
      </c>
      <c r="BC2645">
        <v>0.157</v>
      </c>
      <c r="BD2645" t="s">
        <v>65</v>
      </c>
      <c r="BE2645">
        <v>54</v>
      </c>
      <c r="BF2645">
        <v>10</v>
      </c>
      <c r="BG2645" t="s">
        <v>10965</v>
      </c>
      <c r="BH2645" t="s">
        <v>10966</v>
      </c>
      <c r="BI2645" t="s">
        <v>10967</v>
      </c>
      <c r="BJ2645">
        <v>5.9810000000000002E-2</v>
      </c>
      <c r="BK2645">
        <v>1</v>
      </c>
      <c r="BL2645" t="s">
        <v>69</v>
      </c>
      <c r="BM2645">
        <v>-0.47799999999999998</v>
      </c>
      <c r="BN2645">
        <v>-1.806</v>
      </c>
    </row>
    <row r="2646" spans="10:66">
      <c r="J2646">
        <v>0</v>
      </c>
      <c r="K2646">
        <v>0</v>
      </c>
      <c r="L2646">
        <v>0</v>
      </c>
      <c r="M2646" t="s">
        <v>25022</v>
      </c>
      <c r="N2646">
        <v>1749</v>
      </c>
      <c r="O2646" t="s">
        <v>10968</v>
      </c>
      <c r="P2646" t="s">
        <v>57</v>
      </c>
      <c r="Q2646">
        <v>1760464</v>
      </c>
      <c r="R2646">
        <v>1760718</v>
      </c>
      <c r="S2646" t="s">
        <v>1340</v>
      </c>
      <c r="T2646">
        <v>85</v>
      </c>
      <c r="U2646" t="s">
        <v>59</v>
      </c>
      <c r="V2646">
        <v>49</v>
      </c>
      <c r="W2646" t="str">
        <f>HYPERLINK("Gene1749-zp_tree_all.dnd", "Gene1749-tree")</f>
        <v>Gene1749-tree</v>
      </c>
      <c r="X2646">
        <v>6</v>
      </c>
      <c r="Y2646">
        <v>0</v>
      </c>
      <c r="Z2646">
        <v>6</v>
      </c>
      <c r="AA2646">
        <v>0</v>
      </c>
      <c r="AB2646">
        <v>0</v>
      </c>
      <c r="AC2646" t="s">
        <v>90</v>
      </c>
      <c r="AD2646" t="s">
        <v>62</v>
      </c>
      <c r="AE2646" t="s">
        <v>62</v>
      </c>
      <c r="AF2646" t="s">
        <v>62</v>
      </c>
      <c r="AG2646">
        <v>0</v>
      </c>
      <c r="AH2646">
        <v>0</v>
      </c>
      <c r="AI2646">
        <v>2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3</v>
      </c>
      <c r="AV2646">
        <v>3</v>
      </c>
      <c r="AW2646">
        <v>4</v>
      </c>
      <c r="AX2646">
        <v>0</v>
      </c>
      <c r="AY2646">
        <v>3</v>
      </c>
      <c r="AZ2646">
        <v>2</v>
      </c>
      <c r="BA2646" t="s">
        <v>193</v>
      </c>
      <c r="BB2646" t="s">
        <v>10969</v>
      </c>
      <c r="BC2646">
        <v>3.464</v>
      </c>
      <c r="BD2646" t="s">
        <v>65</v>
      </c>
      <c r="BE2646">
        <v>7</v>
      </c>
      <c r="BF2646">
        <v>2</v>
      </c>
      <c r="BG2646" t="s">
        <v>10970</v>
      </c>
      <c r="BH2646" t="s">
        <v>10971</v>
      </c>
      <c r="BI2646" t="s">
        <v>10972</v>
      </c>
      <c r="BJ2646">
        <v>9.3090000000000006E-2</v>
      </c>
      <c r="BK2646">
        <v>0.98799999999999999</v>
      </c>
      <c r="BL2646" t="s">
        <v>69</v>
      </c>
      <c r="BM2646">
        <v>-1.1739999999999999</v>
      </c>
      <c r="BN2646">
        <v>0.59099999999999997</v>
      </c>
    </row>
    <row r="2647" spans="10:66">
      <c r="J2647">
        <v>0</v>
      </c>
      <c r="K2647">
        <v>0</v>
      </c>
      <c r="L2647">
        <v>0</v>
      </c>
      <c r="M2647" t="s">
        <v>25022</v>
      </c>
      <c r="N2647">
        <v>1752</v>
      </c>
      <c r="O2647" t="s">
        <v>10973</v>
      </c>
      <c r="P2647" t="s">
        <v>57</v>
      </c>
      <c r="Q2647">
        <v>1761707</v>
      </c>
      <c r="R2647">
        <v>1762570</v>
      </c>
      <c r="S2647" t="s">
        <v>10974</v>
      </c>
      <c r="T2647">
        <v>288</v>
      </c>
      <c r="U2647" t="s">
        <v>289</v>
      </c>
      <c r="V2647">
        <v>46</v>
      </c>
      <c r="W2647" t="str">
        <f>HYPERLINK("Gene1752-zp_tree_all.dnd", "Gene1752-tree")</f>
        <v>Gene1752-tree</v>
      </c>
      <c r="X2647">
        <v>9</v>
      </c>
      <c r="Y2647">
        <v>4</v>
      </c>
      <c r="Z2647">
        <v>9</v>
      </c>
      <c r="AA2647">
        <v>4</v>
      </c>
      <c r="AB2647">
        <v>0.30769000000000002</v>
      </c>
      <c r="AC2647" t="s">
        <v>135</v>
      </c>
      <c r="AD2647" t="s">
        <v>61</v>
      </c>
      <c r="AE2647" t="s">
        <v>62</v>
      </c>
      <c r="AF2647" t="s">
        <v>62</v>
      </c>
      <c r="AG2647">
        <v>0</v>
      </c>
      <c r="AH2647">
        <v>0</v>
      </c>
      <c r="AI2647">
        <v>15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6</v>
      </c>
      <c r="AT2647">
        <v>0</v>
      </c>
      <c r="AU2647">
        <v>10</v>
      </c>
      <c r="AV2647">
        <v>8</v>
      </c>
      <c r="AW2647">
        <v>19</v>
      </c>
      <c r="AX2647">
        <v>6</v>
      </c>
      <c r="AY2647">
        <v>35</v>
      </c>
      <c r="AZ2647">
        <v>10</v>
      </c>
      <c r="BA2647" t="s">
        <v>10975</v>
      </c>
      <c r="BB2647" t="s">
        <v>10976</v>
      </c>
      <c r="BC2647">
        <v>5.0999999999999997E-2</v>
      </c>
      <c r="BD2647" t="s">
        <v>65</v>
      </c>
      <c r="BE2647">
        <v>54</v>
      </c>
      <c r="BF2647">
        <v>16</v>
      </c>
      <c r="BG2647" t="s">
        <v>10977</v>
      </c>
      <c r="BH2647" t="s">
        <v>10978</v>
      </c>
      <c r="BI2647" t="s">
        <v>10979</v>
      </c>
      <c r="BJ2647">
        <v>8.6569999999999994E-2</v>
      </c>
      <c r="BK2647">
        <v>1</v>
      </c>
      <c r="BL2647" t="s">
        <v>69</v>
      </c>
      <c r="BM2647">
        <v>-1.431</v>
      </c>
      <c r="BN2647">
        <v>-0.114</v>
      </c>
    </row>
    <row r="2648" spans="10:66">
      <c r="J2648">
        <v>0</v>
      </c>
      <c r="K2648">
        <v>0</v>
      </c>
      <c r="L2648">
        <v>0</v>
      </c>
      <c r="M2648" t="s">
        <v>25022</v>
      </c>
      <c r="N2648">
        <v>1753</v>
      </c>
      <c r="O2648" t="s">
        <v>10980</v>
      </c>
      <c r="P2648" t="s">
        <v>57</v>
      </c>
      <c r="Q2648">
        <v>1762623</v>
      </c>
      <c r="R2648">
        <v>1763201</v>
      </c>
      <c r="S2648" t="s">
        <v>10981</v>
      </c>
      <c r="T2648">
        <v>193</v>
      </c>
      <c r="U2648" t="s">
        <v>160</v>
      </c>
      <c r="V2648">
        <v>45</v>
      </c>
      <c r="W2648" t="str">
        <f>HYPERLINK("Gene1753-zp_tree_all.dnd", "Gene1753-tree")</f>
        <v>Gene1753-tree</v>
      </c>
      <c r="X2648">
        <v>7</v>
      </c>
      <c r="Y2648">
        <v>4</v>
      </c>
      <c r="Z2648">
        <v>7</v>
      </c>
      <c r="AA2648">
        <v>4</v>
      </c>
      <c r="AB2648">
        <v>0.36364000000000002</v>
      </c>
      <c r="AC2648" t="s">
        <v>152</v>
      </c>
      <c r="AD2648" t="s">
        <v>61</v>
      </c>
      <c r="AE2648" t="s">
        <v>62</v>
      </c>
      <c r="AF2648" t="s">
        <v>62</v>
      </c>
      <c r="AG2648">
        <v>0</v>
      </c>
      <c r="AH2648">
        <v>0</v>
      </c>
      <c r="AI2648">
        <v>4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4</v>
      </c>
      <c r="AT2648">
        <v>0</v>
      </c>
      <c r="AU2648">
        <v>8</v>
      </c>
      <c r="AV2648">
        <v>6</v>
      </c>
      <c r="AW2648">
        <v>30</v>
      </c>
      <c r="AX2648">
        <v>4</v>
      </c>
      <c r="AY2648">
        <v>15</v>
      </c>
      <c r="AZ2648">
        <v>0</v>
      </c>
      <c r="BA2648" t="s">
        <v>10982</v>
      </c>
      <c r="BB2648" t="s">
        <v>193</v>
      </c>
      <c r="BC2648">
        <v>0.71299999999999997</v>
      </c>
      <c r="BD2648" t="s">
        <v>65</v>
      </c>
      <c r="BE2648">
        <v>45</v>
      </c>
      <c r="BF2648">
        <v>4</v>
      </c>
      <c r="BG2648" t="s">
        <v>10983</v>
      </c>
      <c r="BH2648" t="s">
        <v>10984</v>
      </c>
      <c r="BI2648" t="s">
        <v>10985</v>
      </c>
      <c r="BJ2648">
        <v>2.205E-2</v>
      </c>
      <c r="BK2648">
        <v>1</v>
      </c>
      <c r="BL2648" t="s">
        <v>69</v>
      </c>
      <c r="BM2648">
        <v>-0.88</v>
      </c>
      <c r="BN2648">
        <v>-3.194</v>
      </c>
    </row>
    <row r="2649" spans="10:66">
      <c r="J2649">
        <v>0</v>
      </c>
      <c r="K2649">
        <v>0</v>
      </c>
      <c r="L2649">
        <v>0</v>
      </c>
      <c r="M2649" t="s">
        <v>25022</v>
      </c>
      <c r="N2649">
        <v>1754</v>
      </c>
      <c r="O2649" t="s">
        <v>10986</v>
      </c>
      <c r="P2649" t="s">
        <v>57</v>
      </c>
      <c r="Q2649">
        <v>1763222</v>
      </c>
      <c r="R2649">
        <v>1764469</v>
      </c>
      <c r="S2649" t="s">
        <v>10987</v>
      </c>
      <c r="T2649">
        <v>416</v>
      </c>
      <c r="U2649" t="s">
        <v>108</v>
      </c>
      <c r="V2649">
        <v>44</v>
      </c>
      <c r="W2649" t="str">
        <f>HYPERLINK("Gene1754-zp_tree_all.dnd", "Gene1754-tree")</f>
        <v>Gene1754-tree</v>
      </c>
      <c r="X2649">
        <v>7</v>
      </c>
      <c r="Y2649">
        <v>6</v>
      </c>
      <c r="Z2649">
        <v>7</v>
      </c>
      <c r="AA2649">
        <v>6</v>
      </c>
      <c r="AB2649">
        <v>0.46154000000000001</v>
      </c>
      <c r="AC2649" t="s">
        <v>152</v>
      </c>
      <c r="AD2649" t="s">
        <v>90</v>
      </c>
      <c r="AE2649" t="s">
        <v>62</v>
      </c>
      <c r="AF2649" t="s">
        <v>62</v>
      </c>
      <c r="AG2649">
        <v>0</v>
      </c>
      <c r="AH2649">
        <v>0</v>
      </c>
      <c r="AI2649">
        <v>8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8</v>
      </c>
      <c r="AT2649">
        <v>0</v>
      </c>
      <c r="AU2649">
        <v>9</v>
      </c>
      <c r="AV2649">
        <v>9</v>
      </c>
      <c r="AW2649">
        <v>15</v>
      </c>
      <c r="AX2649">
        <v>8</v>
      </c>
      <c r="AY2649">
        <v>15</v>
      </c>
      <c r="AZ2649">
        <v>0</v>
      </c>
      <c r="BA2649" t="s">
        <v>10988</v>
      </c>
      <c r="BB2649" t="s">
        <v>193</v>
      </c>
      <c r="BC2649">
        <v>1.427</v>
      </c>
      <c r="BD2649" t="s">
        <v>65</v>
      </c>
      <c r="BE2649">
        <v>30</v>
      </c>
      <c r="BF2649">
        <v>8</v>
      </c>
      <c r="BG2649" t="s">
        <v>10989</v>
      </c>
      <c r="BH2649" t="s">
        <v>10990</v>
      </c>
      <c r="BI2649" t="s">
        <v>10991</v>
      </c>
      <c r="BJ2649">
        <v>5.5149999999999998E-2</v>
      </c>
      <c r="BK2649">
        <v>1</v>
      </c>
      <c r="BL2649" t="s">
        <v>69</v>
      </c>
      <c r="BM2649">
        <v>-0.752</v>
      </c>
      <c r="BN2649">
        <v>-1.71</v>
      </c>
    </row>
    <row r="2650" spans="10:66">
      <c r="J2650">
        <v>0</v>
      </c>
      <c r="K2650">
        <v>0</v>
      </c>
      <c r="L2650">
        <v>0</v>
      </c>
      <c r="M2650" t="s">
        <v>25022</v>
      </c>
      <c r="N2650">
        <v>1755</v>
      </c>
      <c r="O2650" t="s">
        <v>10992</v>
      </c>
      <c r="P2650" t="s">
        <v>57</v>
      </c>
      <c r="Q2650">
        <v>1764645</v>
      </c>
      <c r="R2650">
        <v>1765688</v>
      </c>
      <c r="S2650" t="s">
        <v>10993</v>
      </c>
      <c r="T2650">
        <v>348</v>
      </c>
      <c r="U2650" t="s">
        <v>59</v>
      </c>
      <c r="V2650">
        <v>49</v>
      </c>
      <c r="W2650" t="str">
        <f>HYPERLINK("Gene1755-zp_tree_all.dnd", "Gene1755-tree")</f>
        <v>Gene1755-tree</v>
      </c>
      <c r="X2650">
        <v>14</v>
      </c>
      <c r="Y2650">
        <v>1</v>
      </c>
      <c r="Z2650">
        <v>14</v>
      </c>
      <c r="AA2650">
        <v>1</v>
      </c>
      <c r="AB2650">
        <v>6.6669999999999993E-2</v>
      </c>
      <c r="AC2650" t="s">
        <v>543</v>
      </c>
      <c r="AD2650" t="s">
        <v>175</v>
      </c>
      <c r="AE2650" t="s">
        <v>62</v>
      </c>
      <c r="AF2650" t="s">
        <v>62</v>
      </c>
      <c r="AG2650">
        <v>0</v>
      </c>
      <c r="AH2650">
        <v>0</v>
      </c>
      <c r="AI2650">
        <v>3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2</v>
      </c>
      <c r="AT2650">
        <v>0</v>
      </c>
      <c r="AU2650">
        <v>12</v>
      </c>
      <c r="AV2650">
        <v>11</v>
      </c>
      <c r="AW2650">
        <v>43</v>
      </c>
      <c r="AX2650">
        <v>2</v>
      </c>
      <c r="AY2650">
        <v>45</v>
      </c>
      <c r="AZ2650">
        <v>1</v>
      </c>
      <c r="BA2650" t="s">
        <v>10994</v>
      </c>
      <c r="BB2650" t="s">
        <v>10995</v>
      </c>
      <c r="BC2650">
        <v>0.14399999999999999</v>
      </c>
      <c r="BD2650" t="s">
        <v>65</v>
      </c>
      <c r="BE2650">
        <v>88</v>
      </c>
      <c r="BF2650">
        <v>3</v>
      </c>
      <c r="BG2650" t="s">
        <v>10996</v>
      </c>
      <c r="BH2650" t="s">
        <v>10997</v>
      </c>
      <c r="BI2650" t="s">
        <v>10998</v>
      </c>
      <c r="BJ2650">
        <v>1.043E-2</v>
      </c>
      <c r="BK2650">
        <v>1</v>
      </c>
      <c r="BL2650" t="s">
        <v>69</v>
      </c>
      <c r="BM2650">
        <v>-1.5169999999999999</v>
      </c>
      <c r="BN2650">
        <v>-0.76400000000000001</v>
      </c>
    </row>
    <row r="2651" spans="10:66">
      <c r="J2651">
        <v>0</v>
      </c>
      <c r="K2651">
        <v>9</v>
      </c>
      <c r="L2651">
        <v>0</v>
      </c>
      <c r="M2651" t="s">
        <v>25022</v>
      </c>
      <c r="N2651">
        <v>1756</v>
      </c>
      <c r="O2651" t="s">
        <v>10999</v>
      </c>
      <c r="P2651" t="s">
        <v>57</v>
      </c>
      <c r="Q2651">
        <v>1765859</v>
      </c>
      <c r="R2651">
        <v>1767031</v>
      </c>
      <c r="S2651" t="s">
        <v>11000</v>
      </c>
      <c r="T2651">
        <v>391</v>
      </c>
      <c r="U2651" t="s">
        <v>108</v>
      </c>
      <c r="V2651">
        <v>44</v>
      </c>
      <c r="W2651" t="str">
        <f>HYPERLINK("Gene1756-zp_tree_all.dnd", "Gene1756-tree")</f>
        <v>Gene1756-tree</v>
      </c>
      <c r="X2651">
        <v>4</v>
      </c>
      <c r="Y2651">
        <v>9</v>
      </c>
      <c r="Z2651">
        <v>4</v>
      </c>
      <c r="AA2651">
        <v>9</v>
      </c>
      <c r="AB2651">
        <v>0.69230999999999998</v>
      </c>
      <c r="AC2651" t="s">
        <v>61</v>
      </c>
      <c r="AD2651" t="s">
        <v>135</v>
      </c>
      <c r="AE2651" t="s">
        <v>62</v>
      </c>
      <c r="AF2651" t="s">
        <v>62</v>
      </c>
      <c r="AG2651">
        <v>4</v>
      </c>
      <c r="AH2651">
        <v>9</v>
      </c>
      <c r="AI2651">
        <v>16</v>
      </c>
      <c r="AJ2651">
        <v>0.36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6</v>
      </c>
      <c r="AQ2651">
        <v>0</v>
      </c>
      <c r="AR2651">
        <v>6</v>
      </c>
      <c r="AS2651">
        <v>14</v>
      </c>
      <c r="AT2651">
        <v>0.3</v>
      </c>
      <c r="AU2651">
        <v>11</v>
      </c>
      <c r="AV2651">
        <v>10</v>
      </c>
      <c r="AW2651">
        <v>21</v>
      </c>
      <c r="AX2651">
        <v>16</v>
      </c>
      <c r="AY2651">
        <v>19</v>
      </c>
      <c r="AZ2651">
        <v>9</v>
      </c>
      <c r="BA2651" t="s">
        <v>11001</v>
      </c>
      <c r="BB2651" t="s">
        <v>11002</v>
      </c>
      <c r="BC2651">
        <v>0.48799999999999999</v>
      </c>
      <c r="BD2651" t="s">
        <v>65</v>
      </c>
      <c r="BE2651">
        <v>40</v>
      </c>
      <c r="BF2651">
        <v>25</v>
      </c>
      <c r="BG2651" t="s">
        <v>11003</v>
      </c>
      <c r="BH2651" t="s">
        <v>11004</v>
      </c>
      <c r="BI2651" t="s">
        <v>11005</v>
      </c>
      <c r="BJ2651">
        <v>0.15237999999999999</v>
      </c>
      <c r="BK2651">
        <v>1</v>
      </c>
      <c r="BL2651" t="s">
        <v>69</v>
      </c>
      <c r="BM2651">
        <v>0.46300000000000002</v>
      </c>
      <c r="BN2651">
        <v>0.32300000000000001</v>
      </c>
    </row>
    <row r="2652" spans="10:66">
      <c r="J2652">
        <v>0</v>
      </c>
      <c r="K2652">
        <v>0</v>
      </c>
      <c r="L2652">
        <v>0</v>
      </c>
      <c r="M2652" t="s">
        <v>25022</v>
      </c>
      <c r="N2652">
        <v>1757</v>
      </c>
      <c r="O2652" t="s">
        <v>11006</v>
      </c>
      <c r="P2652" t="s">
        <v>57</v>
      </c>
      <c r="Q2652">
        <v>1767310</v>
      </c>
      <c r="R2652">
        <v>1768869</v>
      </c>
      <c r="S2652" t="s">
        <v>11007</v>
      </c>
      <c r="T2652">
        <v>520</v>
      </c>
      <c r="U2652" t="s">
        <v>59</v>
      </c>
      <c r="V2652">
        <v>49</v>
      </c>
      <c r="W2652" t="str">
        <f>HYPERLINK("Gene1757-zp_tree_all.dnd", "Gene1757-tree")</f>
        <v>Gene1757-tree</v>
      </c>
      <c r="X2652">
        <v>18</v>
      </c>
      <c r="Y2652">
        <v>0</v>
      </c>
      <c r="Z2652">
        <v>18</v>
      </c>
      <c r="AA2652">
        <v>0</v>
      </c>
      <c r="AB2652">
        <v>0</v>
      </c>
      <c r="AC2652" t="s">
        <v>144</v>
      </c>
      <c r="AD2652" t="s">
        <v>62</v>
      </c>
      <c r="AE2652" t="s">
        <v>62</v>
      </c>
      <c r="AF2652" t="s">
        <v>62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14</v>
      </c>
      <c r="AV2652">
        <v>11</v>
      </c>
      <c r="AW2652">
        <v>26</v>
      </c>
      <c r="AX2652">
        <v>0</v>
      </c>
      <c r="AY2652">
        <v>37</v>
      </c>
      <c r="AZ2652">
        <v>0</v>
      </c>
      <c r="BA2652" t="s">
        <v>193</v>
      </c>
      <c r="BB2652" t="s">
        <v>193</v>
      </c>
      <c r="BC2652">
        <v>0</v>
      </c>
      <c r="BD2652" t="s">
        <v>65</v>
      </c>
      <c r="BE2652">
        <v>63</v>
      </c>
      <c r="BF2652">
        <v>0</v>
      </c>
      <c r="BG2652" t="s">
        <v>11008</v>
      </c>
      <c r="BH2652" t="s">
        <v>11009</v>
      </c>
      <c r="BI2652" t="s">
        <v>193</v>
      </c>
      <c r="BJ2652">
        <v>0</v>
      </c>
      <c r="BK2652">
        <v>1</v>
      </c>
      <c r="BL2652" t="s">
        <v>69</v>
      </c>
      <c r="BM2652">
        <v>-0.71099999999999997</v>
      </c>
      <c r="BN2652">
        <v>-0.73199999999999998</v>
      </c>
    </row>
    <row r="2653" spans="10:66">
      <c r="J2653">
        <v>0</v>
      </c>
      <c r="K2653">
        <v>0</v>
      </c>
      <c r="L2653">
        <v>0</v>
      </c>
      <c r="M2653" t="s">
        <v>25022</v>
      </c>
      <c r="N2653">
        <v>1758</v>
      </c>
      <c r="O2653" t="s">
        <v>11010</v>
      </c>
      <c r="P2653" t="s">
        <v>57</v>
      </c>
      <c r="Q2653">
        <v>1768941</v>
      </c>
      <c r="R2653">
        <v>1769732</v>
      </c>
      <c r="S2653" t="s">
        <v>11011</v>
      </c>
      <c r="T2653">
        <v>264</v>
      </c>
      <c r="U2653" t="s">
        <v>6390</v>
      </c>
      <c r="V2653">
        <v>45</v>
      </c>
      <c r="W2653" t="str">
        <f>HYPERLINK("Gene1758-zp_tree_all.dnd", "Gene1758-tree")</f>
        <v>Gene1758-tree</v>
      </c>
      <c r="X2653">
        <v>7</v>
      </c>
      <c r="Y2653">
        <v>5</v>
      </c>
      <c r="Z2653">
        <v>7</v>
      </c>
      <c r="AA2653">
        <v>5</v>
      </c>
      <c r="AB2653">
        <v>0.41666999999999998</v>
      </c>
      <c r="AC2653" t="s">
        <v>152</v>
      </c>
      <c r="AD2653" t="s">
        <v>199</v>
      </c>
      <c r="AE2653" t="s">
        <v>62</v>
      </c>
      <c r="AF2653" t="s">
        <v>62</v>
      </c>
      <c r="AG2653">
        <v>0</v>
      </c>
      <c r="AH2653">
        <v>0</v>
      </c>
      <c r="AI2653">
        <v>5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5</v>
      </c>
      <c r="AT2653">
        <v>0</v>
      </c>
      <c r="AU2653">
        <v>8</v>
      </c>
      <c r="AV2653">
        <v>6</v>
      </c>
      <c r="AW2653">
        <v>49</v>
      </c>
      <c r="AX2653">
        <v>5</v>
      </c>
      <c r="AY2653">
        <v>9</v>
      </c>
      <c r="AZ2653">
        <v>0</v>
      </c>
      <c r="BA2653" t="s">
        <v>11012</v>
      </c>
      <c r="BB2653" t="s">
        <v>193</v>
      </c>
      <c r="BC2653">
        <v>0.622</v>
      </c>
      <c r="BD2653" t="s">
        <v>65</v>
      </c>
      <c r="BE2653">
        <v>58</v>
      </c>
      <c r="BF2653">
        <v>5</v>
      </c>
      <c r="BG2653" t="s">
        <v>11013</v>
      </c>
      <c r="BH2653" t="s">
        <v>11014</v>
      </c>
      <c r="BI2653" t="s">
        <v>11015</v>
      </c>
      <c r="BJ2653">
        <v>1.9570000000000001E-2</v>
      </c>
      <c r="BK2653">
        <v>1</v>
      </c>
      <c r="BL2653" t="s">
        <v>69</v>
      </c>
      <c r="BM2653">
        <v>-1.8540000000000001</v>
      </c>
      <c r="BN2653">
        <v>-4.1929999999999996</v>
      </c>
    </row>
    <row r="2654" spans="10:66">
      <c r="J2654">
        <v>0</v>
      </c>
      <c r="K2654">
        <v>0</v>
      </c>
      <c r="L2654">
        <v>0</v>
      </c>
      <c r="M2654" t="s">
        <v>25022</v>
      </c>
      <c r="N2654">
        <v>1759</v>
      </c>
      <c r="O2654" t="s">
        <v>11016</v>
      </c>
      <c r="P2654" t="s">
        <v>57</v>
      </c>
      <c r="Q2654">
        <v>1769935</v>
      </c>
      <c r="R2654">
        <v>1770192</v>
      </c>
      <c r="S2654" t="s">
        <v>11017</v>
      </c>
      <c r="T2654">
        <v>86</v>
      </c>
      <c r="U2654" t="s">
        <v>59</v>
      </c>
      <c r="V2654">
        <v>49</v>
      </c>
      <c r="W2654" t="str">
        <f>HYPERLINK("Gene1759-zp_tree_all.dnd", "Gene1759-tree")</f>
        <v>Gene1759-tree</v>
      </c>
      <c r="X2654">
        <v>6</v>
      </c>
      <c r="Y2654">
        <v>0</v>
      </c>
      <c r="Z2654">
        <v>6</v>
      </c>
      <c r="AA2654">
        <v>0</v>
      </c>
      <c r="AB2654">
        <v>0</v>
      </c>
      <c r="AC2654" t="s">
        <v>90</v>
      </c>
      <c r="AD2654" t="s">
        <v>62</v>
      </c>
      <c r="AE2654" t="s">
        <v>62</v>
      </c>
      <c r="AF2654" t="s">
        <v>62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4</v>
      </c>
      <c r="AV2654">
        <v>3</v>
      </c>
      <c r="AW2654">
        <v>5</v>
      </c>
      <c r="AX2654">
        <v>0</v>
      </c>
      <c r="AY2654">
        <v>12</v>
      </c>
      <c r="AZ2654">
        <v>0</v>
      </c>
      <c r="BA2654" t="s">
        <v>193</v>
      </c>
      <c r="BB2654" t="s">
        <v>193</v>
      </c>
      <c r="BC2654">
        <v>0</v>
      </c>
      <c r="BD2654" t="s">
        <v>65</v>
      </c>
      <c r="BE2654">
        <v>17</v>
      </c>
      <c r="BF2654">
        <v>0</v>
      </c>
      <c r="BG2654" t="s">
        <v>11018</v>
      </c>
      <c r="BH2654" t="s">
        <v>11019</v>
      </c>
      <c r="BI2654" t="s">
        <v>193</v>
      </c>
      <c r="BJ2654">
        <v>0</v>
      </c>
      <c r="BK2654">
        <v>1</v>
      </c>
      <c r="BL2654" t="s">
        <v>69</v>
      </c>
      <c r="BM2654">
        <v>-1.044</v>
      </c>
      <c r="BN2654">
        <v>1.113</v>
      </c>
    </row>
    <row r="2655" spans="10:66">
      <c r="J2655">
        <v>0</v>
      </c>
      <c r="K2655">
        <v>7</v>
      </c>
      <c r="L2655">
        <v>0</v>
      </c>
      <c r="M2655" t="s">
        <v>25022</v>
      </c>
      <c r="N2655">
        <v>1760</v>
      </c>
      <c r="O2655" t="s">
        <v>11020</v>
      </c>
      <c r="P2655" t="s">
        <v>57</v>
      </c>
      <c r="Q2655">
        <v>1770461</v>
      </c>
      <c r="R2655">
        <v>1771501</v>
      </c>
      <c r="S2655" t="s">
        <v>11021</v>
      </c>
      <c r="T2655">
        <v>347</v>
      </c>
      <c r="U2655" t="s">
        <v>108</v>
      </c>
      <c r="V2655">
        <v>44</v>
      </c>
      <c r="W2655" t="str">
        <f>HYPERLINK("Gene1760-zp_tree_all.dnd", "Gene1760-tree")</f>
        <v>Gene1760-tree</v>
      </c>
      <c r="X2655">
        <v>5</v>
      </c>
      <c r="Y2655">
        <v>8</v>
      </c>
      <c r="Z2655">
        <v>5</v>
      </c>
      <c r="AA2655">
        <v>8</v>
      </c>
      <c r="AB2655">
        <v>0.61538000000000004</v>
      </c>
      <c r="AC2655" t="s">
        <v>199</v>
      </c>
      <c r="AD2655" t="s">
        <v>136</v>
      </c>
      <c r="AE2655" t="s">
        <v>62</v>
      </c>
      <c r="AF2655" t="s">
        <v>62</v>
      </c>
      <c r="AG2655">
        <v>3</v>
      </c>
      <c r="AH2655">
        <v>7</v>
      </c>
      <c r="AI2655">
        <v>11</v>
      </c>
      <c r="AJ2655">
        <v>0.38889000000000001</v>
      </c>
      <c r="AK2655">
        <v>0</v>
      </c>
      <c r="AL2655">
        <v>0</v>
      </c>
      <c r="AM2655">
        <v>0</v>
      </c>
      <c r="AN2655">
        <v>4</v>
      </c>
      <c r="AO2655">
        <v>0</v>
      </c>
      <c r="AP2655">
        <v>0</v>
      </c>
      <c r="AQ2655">
        <v>0</v>
      </c>
      <c r="AR2655">
        <v>0</v>
      </c>
      <c r="AS2655">
        <v>10</v>
      </c>
      <c r="AT2655">
        <v>0</v>
      </c>
      <c r="AU2655">
        <v>11</v>
      </c>
      <c r="AV2655">
        <v>9</v>
      </c>
      <c r="AW2655">
        <v>20</v>
      </c>
      <c r="AX2655">
        <v>10</v>
      </c>
      <c r="AY2655">
        <v>12</v>
      </c>
      <c r="AZ2655">
        <v>8</v>
      </c>
      <c r="BA2655" t="s">
        <v>11022</v>
      </c>
      <c r="BB2655" t="s">
        <v>11023</v>
      </c>
      <c r="BC2655">
        <v>0.25600000000000001</v>
      </c>
      <c r="BD2655" t="s">
        <v>65</v>
      </c>
      <c r="BE2655">
        <v>32</v>
      </c>
      <c r="BF2655">
        <v>18</v>
      </c>
      <c r="BG2655" t="s">
        <v>11024</v>
      </c>
      <c r="BH2655" t="s">
        <v>11025</v>
      </c>
      <c r="BI2655" t="s">
        <v>11026</v>
      </c>
      <c r="BJ2655">
        <v>0.14454</v>
      </c>
      <c r="BK2655">
        <v>1</v>
      </c>
      <c r="BL2655" t="s">
        <v>69</v>
      </c>
      <c r="BM2655">
        <v>-0.505</v>
      </c>
      <c r="BN2655">
        <v>-1.121</v>
      </c>
    </row>
    <row r="2656" spans="10:66">
      <c r="J2656">
        <v>0</v>
      </c>
      <c r="K2656">
        <v>5</v>
      </c>
      <c r="L2656">
        <v>0</v>
      </c>
      <c r="M2656" t="s">
        <v>25022</v>
      </c>
      <c r="N2656">
        <v>1761</v>
      </c>
      <c r="O2656" t="s">
        <v>11027</v>
      </c>
      <c r="P2656" t="s">
        <v>57</v>
      </c>
      <c r="Q2656">
        <v>1771517</v>
      </c>
      <c r="R2656">
        <v>1772692</v>
      </c>
      <c r="S2656" t="s">
        <v>11028</v>
      </c>
      <c r="T2656">
        <v>392</v>
      </c>
      <c r="U2656" t="s">
        <v>108</v>
      </c>
      <c r="V2656">
        <v>44</v>
      </c>
      <c r="W2656" t="str">
        <f>HYPERLINK("Gene1761-zp_tree_all.dnd", "Gene1761-tree")</f>
        <v>Gene1761-tree</v>
      </c>
      <c r="X2656">
        <v>4</v>
      </c>
      <c r="Y2656">
        <v>8</v>
      </c>
      <c r="Z2656">
        <v>4</v>
      </c>
      <c r="AA2656">
        <v>8</v>
      </c>
      <c r="AB2656">
        <v>0.66666999999999998</v>
      </c>
      <c r="AC2656" t="s">
        <v>61</v>
      </c>
      <c r="AD2656" t="s">
        <v>136</v>
      </c>
      <c r="AE2656" t="s">
        <v>62</v>
      </c>
      <c r="AF2656" t="s">
        <v>62</v>
      </c>
      <c r="AG2656">
        <v>2</v>
      </c>
      <c r="AH2656">
        <v>5</v>
      </c>
      <c r="AI2656">
        <v>12</v>
      </c>
      <c r="AJ2656">
        <v>0.29411999999999999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2</v>
      </c>
      <c r="AQ2656">
        <v>0</v>
      </c>
      <c r="AR2656">
        <v>2</v>
      </c>
      <c r="AS2656">
        <v>8</v>
      </c>
      <c r="AT2656">
        <v>0.2</v>
      </c>
      <c r="AU2656">
        <v>11</v>
      </c>
      <c r="AV2656">
        <v>8</v>
      </c>
      <c r="AW2656">
        <v>25</v>
      </c>
      <c r="AX2656">
        <v>9</v>
      </c>
      <c r="AY2656">
        <v>15</v>
      </c>
      <c r="AZ2656">
        <v>8</v>
      </c>
      <c r="BA2656" t="s">
        <v>11029</v>
      </c>
      <c r="BB2656" t="s">
        <v>11030</v>
      </c>
      <c r="BC2656">
        <v>0.89200000000000002</v>
      </c>
      <c r="BD2656" t="s">
        <v>65</v>
      </c>
      <c r="BE2656">
        <v>40</v>
      </c>
      <c r="BF2656">
        <v>17</v>
      </c>
      <c r="BG2656" t="s">
        <v>11031</v>
      </c>
      <c r="BH2656" t="s">
        <v>11032</v>
      </c>
      <c r="BI2656" t="s">
        <v>11033</v>
      </c>
      <c r="BJ2656">
        <v>0.1351</v>
      </c>
      <c r="BK2656">
        <v>1</v>
      </c>
      <c r="BL2656" t="s">
        <v>69</v>
      </c>
      <c r="BM2656">
        <v>-0.36699999999999999</v>
      </c>
      <c r="BN2656">
        <v>-0.51300000000000001</v>
      </c>
    </row>
    <row r="2657" spans="10:66">
      <c r="J2657">
        <v>0</v>
      </c>
      <c r="K2657">
        <v>2</v>
      </c>
      <c r="L2657">
        <v>1</v>
      </c>
      <c r="M2657" t="s">
        <v>25022</v>
      </c>
      <c r="N2657">
        <v>1762</v>
      </c>
      <c r="O2657" t="s">
        <v>11034</v>
      </c>
      <c r="P2657" t="s">
        <v>57</v>
      </c>
      <c r="Q2657">
        <v>1772843</v>
      </c>
      <c r="R2657">
        <v>1774369</v>
      </c>
      <c r="S2657" t="s">
        <v>11035</v>
      </c>
      <c r="T2657">
        <v>509</v>
      </c>
      <c r="U2657" t="s">
        <v>59</v>
      </c>
      <c r="V2657">
        <v>49</v>
      </c>
      <c r="W2657" t="str">
        <f>HYPERLINK("Gene1762-zp_tree_all.dnd", "Gene1762-tree")</f>
        <v>Gene1762-tree</v>
      </c>
      <c r="X2657">
        <v>18</v>
      </c>
      <c r="Y2657">
        <v>1</v>
      </c>
      <c r="Z2657">
        <v>18</v>
      </c>
      <c r="AA2657">
        <v>1</v>
      </c>
      <c r="AB2657">
        <v>5.2630000000000003E-2</v>
      </c>
      <c r="AC2657" t="s">
        <v>144</v>
      </c>
      <c r="AD2657" t="s">
        <v>175</v>
      </c>
      <c r="AE2657" t="s">
        <v>62</v>
      </c>
      <c r="AF2657" t="s">
        <v>62</v>
      </c>
      <c r="AG2657">
        <v>1</v>
      </c>
      <c r="AH2657">
        <v>3</v>
      </c>
      <c r="AI2657">
        <v>5</v>
      </c>
      <c r="AJ2657">
        <v>0.375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17</v>
      </c>
      <c r="AV2657">
        <v>16</v>
      </c>
      <c r="AW2657">
        <v>70</v>
      </c>
      <c r="AX2657">
        <v>1</v>
      </c>
      <c r="AY2657">
        <v>105</v>
      </c>
      <c r="AZ2657">
        <v>8</v>
      </c>
      <c r="BA2657" t="s">
        <v>11036</v>
      </c>
      <c r="BB2657" t="s">
        <v>11037</v>
      </c>
      <c r="BC2657">
        <v>0.68</v>
      </c>
      <c r="BD2657" t="s">
        <v>65</v>
      </c>
      <c r="BE2657">
        <v>175</v>
      </c>
      <c r="BF2657">
        <v>9</v>
      </c>
      <c r="BG2657" t="s">
        <v>11038</v>
      </c>
      <c r="BH2657" t="s">
        <v>11039</v>
      </c>
      <c r="BI2657" t="s">
        <v>11040</v>
      </c>
      <c r="BJ2657">
        <v>1.6070000000000001E-2</v>
      </c>
      <c r="BK2657">
        <v>1</v>
      </c>
      <c r="BL2657" t="s">
        <v>69</v>
      </c>
      <c r="BM2657">
        <v>-0.81299999999999994</v>
      </c>
      <c r="BN2657">
        <v>0.13700000000000001</v>
      </c>
    </row>
    <row r="2658" spans="10:66">
      <c r="J2658">
        <v>0</v>
      </c>
      <c r="K2658">
        <v>0</v>
      </c>
      <c r="L2658">
        <v>0</v>
      </c>
      <c r="M2658" t="s">
        <v>25022</v>
      </c>
      <c r="N2658">
        <v>1763</v>
      </c>
      <c r="O2658" t="s">
        <v>11041</v>
      </c>
      <c r="P2658" t="s">
        <v>57</v>
      </c>
      <c r="Q2658">
        <v>1774374</v>
      </c>
      <c r="R2658">
        <v>1774802</v>
      </c>
      <c r="S2658" t="s">
        <v>11042</v>
      </c>
      <c r="T2658">
        <v>143</v>
      </c>
      <c r="U2658" t="s">
        <v>59</v>
      </c>
      <c r="V2658">
        <v>49</v>
      </c>
      <c r="W2658" t="str">
        <f>HYPERLINK("Gene1763-zp_tree_all.dnd", "Gene1763-tree")</f>
        <v>Gene1763-tree</v>
      </c>
      <c r="X2658">
        <v>13</v>
      </c>
      <c r="Y2658">
        <v>0</v>
      </c>
      <c r="Z2658">
        <v>13</v>
      </c>
      <c r="AA2658">
        <v>0</v>
      </c>
      <c r="AB2658">
        <v>0</v>
      </c>
      <c r="AC2658" t="s">
        <v>507</v>
      </c>
      <c r="AD2658" t="s">
        <v>62</v>
      </c>
      <c r="AE2658" t="s">
        <v>62</v>
      </c>
      <c r="AF2658" t="s">
        <v>62</v>
      </c>
      <c r="AG2658">
        <v>0</v>
      </c>
      <c r="AH2658">
        <v>0</v>
      </c>
      <c r="AI2658">
        <v>3</v>
      </c>
      <c r="AJ2658">
        <v>0</v>
      </c>
      <c r="AK2658">
        <v>0</v>
      </c>
      <c r="AL2658">
        <v>0</v>
      </c>
      <c r="AM2658">
        <v>0</v>
      </c>
      <c r="AN2658">
        <v>3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8</v>
      </c>
      <c r="AV2658">
        <v>7</v>
      </c>
      <c r="AW2658">
        <v>17</v>
      </c>
      <c r="AX2658">
        <v>0</v>
      </c>
      <c r="AY2658">
        <v>17</v>
      </c>
      <c r="AZ2658">
        <v>3</v>
      </c>
      <c r="BA2658" t="s">
        <v>193</v>
      </c>
      <c r="BB2658" t="s">
        <v>11043</v>
      </c>
      <c r="BC2658">
        <v>0.40699999999999997</v>
      </c>
      <c r="BD2658" t="s">
        <v>65</v>
      </c>
      <c r="BE2658">
        <v>34</v>
      </c>
      <c r="BF2658">
        <v>3</v>
      </c>
      <c r="BG2658" t="s">
        <v>11044</v>
      </c>
      <c r="BH2658" t="s">
        <v>11045</v>
      </c>
      <c r="BI2658" t="s">
        <v>11046</v>
      </c>
      <c r="BJ2658">
        <v>2.929E-2</v>
      </c>
      <c r="BK2658">
        <v>1</v>
      </c>
      <c r="BL2658" t="s">
        <v>69</v>
      </c>
      <c r="BM2658">
        <v>-1.0920000000000001</v>
      </c>
      <c r="BN2658">
        <v>0.34300000000000003</v>
      </c>
    </row>
    <row r="2659" spans="10:66">
      <c r="J2659">
        <v>0</v>
      </c>
      <c r="K2659">
        <v>0</v>
      </c>
      <c r="L2659">
        <v>0</v>
      </c>
      <c r="M2659" t="s">
        <v>25022</v>
      </c>
      <c r="N2659">
        <v>1764</v>
      </c>
      <c r="O2659" t="s">
        <v>11047</v>
      </c>
      <c r="P2659" t="s">
        <v>57</v>
      </c>
      <c r="Q2659">
        <v>1775067</v>
      </c>
      <c r="R2659">
        <v>1775609</v>
      </c>
      <c r="S2659" t="s">
        <v>11048</v>
      </c>
      <c r="T2659">
        <v>181</v>
      </c>
      <c r="U2659" t="s">
        <v>108</v>
      </c>
      <c r="V2659">
        <v>44</v>
      </c>
      <c r="W2659" t="str">
        <f>HYPERLINK("Gene1764-zp_tree_all.dnd", "Gene1764-tree")</f>
        <v>Gene1764-tree</v>
      </c>
      <c r="X2659">
        <v>36</v>
      </c>
      <c r="Y2659">
        <v>0</v>
      </c>
      <c r="Z2659">
        <v>5</v>
      </c>
      <c r="AA2659">
        <v>0</v>
      </c>
      <c r="AB2659">
        <v>0</v>
      </c>
      <c r="AC2659" t="s">
        <v>11049</v>
      </c>
      <c r="AD2659" t="s">
        <v>62</v>
      </c>
      <c r="AE2659" t="s">
        <v>62</v>
      </c>
      <c r="AF2659" t="s">
        <v>62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4</v>
      </c>
      <c r="AV2659">
        <v>1</v>
      </c>
      <c r="AW2659">
        <v>5</v>
      </c>
      <c r="AX2659">
        <v>0</v>
      </c>
      <c r="AY2659">
        <v>1</v>
      </c>
      <c r="AZ2659">
        <v>0</v>
      </c>
      <c r="BA2659" t="s">
        <v>193</v>
      </c>
      <c r="BB2659" t="s">
        <v>193</v>
      </c>
      <c r="BC2659">
        <v>0</v>
      </c>
      <c r="BD2659" t="s">
        <v>65</v>
      </c>
      <c r="BE2659">
        <v>6</v>
      </c>
      <c r="BF2659">
        <v>0</v>
      </c>
      <c r="BG2659" t="s">
        <v>11050</v>
      </c>
      <c r="BH2659" t="s">
        <v>11051</v>
      </c>
      <c r="BI2659" t="s">
        <v>193</v>
      </c>
      <c r="BJ2659">
        <v>0</v>
      </c>
      <c r="BK2659">
        <v>1</v>
      </c>
      <c r="BL2659" t="s">
        <v>69</v>
      </c>
      <c r="BM2659">
        <v>-0.58899999999999997</v>
      </c>
      <c r="BN2659">
        <v>-0.49399999999999999</v>
      </c>
    </row>
    <row r="2660" spans="10:66">
      <c r="J2660">
        <v>0</v>
      </c>
      <c r="K2660">
        <v>8</v>
      </c>
      <c r="L2660">
        <v>0</v>
      </c>
      <c r="M2660" t="s">
        <v>25022</v>
      </c>
      <c r="N2660">
        <v>1765</v>
      </c>
      <c r="O2660" t="s">
        <v>11052</v>
      </c>
      <c r="P2660" t="s">
        <v>57</v>
      </c>
      <c r="Q2660">
        <v>1775745</v>
      </c>
      <c r="R2660">
        <v>1778318</v>
      </c>
      <c r="S2660" t="s">
        <v>11053</v>
      </c>
      <c r="T2660">
        <v>858</v>
      </c>
      <c r="U2660" t="s">
        <v>108</v>
      </c>
      <c r="V2660">
        <v>44</v>
      </c>
      <c r="W2660" t="str">
        <f>HYPERLINK("Gene1765-zp_tree_all.dnd", "Gene1765-tree")</f>
        <v>Gene1765-tree</v>
      </c>
      <c r="X2660">
        <v>9</v>
      </c>
      <c r="Y2660">
        <v>7</v>
      </c>
      <c r="Z2660">
        <v>9</v>
      </c>
      <c r="AA2660">
        <v>7</v>
      </c>
      <c r="AB2660">
        <v>0.4375</v>
      </c>
      <c r="AC2660" t="s">
        <v>135</v>
      </c>
      <c r="AD2660" t="s">
        <v>152</v>
      </c>
      <c r="AE2660" t="s">
        <v>62</v>
      </c>
      <c r="AF2660" t="s">
        <v>62</v>
      </c>
      <c r="AG2660">
        <v>3</v>
      </c>
      <c r="AH2660">
        <v>8</v>
      </c>
      <c r="AI2660">
        <v>11</v>
      </c>
      <c r="AJ2660">
        <v>0.42104999999999998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5</v>
      </c>
      <c r="AQ2660">
        <v>0</v>
      </c>
      <c r="AR2660">
        <v>5</v>
      </c>
      <c r="AS2660">
        <v>8</v>
      </c>
      <c r="AT2660">
        <v>0.38462000000000002</v>
      </c>
      <c r="AU2660">
        <v>13</v>
      </c>
      <c r="AV2660">
        <v>12</v>
      </c>
      <c r="AW2660">
        <v>78</v>
      </c>
      <c r="AX2660">
        <v>16</v>
      </c>
      <c r="AY2660">
        <v>58</v>
      </c>
      <c r="AZ2660">
        <v>6</v>
      </c>
      <c r="BA2660" t="s">
        <v>11054</v>
      </c>
      <c r="BB2660" t="s">
        <v>11055</v>
      </c>
      <c r="BC2660">
        <v>0.69499999999999995</v>
      </c>
      <c r="BD2660" t="s">
        <v>65</v>
      </c>
      <c r="BE2660">
        <v>136</v>
      </c>
      <c r="BF2660">
        <v>22</v>
      </c>
      <c r="BG2660" t="s">
        <v>11056</v>
      </c>
      <c r="BH2660" t="s">
        <v>11057</v>
      </c>
      <c r="BI2660" t="s">
        <v>11058</v>
      </c>
      <c r="BJ2660">
        <v>4.2590000000000003E-2</v>
      </c>
      <c r="BK2660">
        <v>1</v>
      </c>
      <c r="BL2660" t="s">
        <v>69</v>
      </c>
      <c r="BM2660">
        <v>-0.30199999999999999</v>
      </c>
      <c r="BN2660">
        <v>-0.35199999999999998</v>
      </c>
    </row>
    <row r="2661" spans="10:66">
      <c r="J2661">
        <v>0</v>
      </c>
      <c r="K2661">
        <v>17</v>
      </c>
      <c r="L2661">
        <v>3</v>
      </c>
      <c r="M2661" t="s">
        <v>25022</v>
      </c>
      <c r="N2661">
        <v>1766</v>
      </c>
      <c r="O2661" t="s">
        <v>11059</v>
      </c>
      <c r="P2661" t="s">
        <v>57</v>
      </c>
      <c r="Q2661">
        <v>1778337</v>
      </c>
      <c r="R2661">
        <v>1780217</v>
      </c>
      <c r="S2661" t="s">
        <v>11060</v>
      </c>
      <c r="T2661">
        <v>627</v>
      </c>
      <c r="U2661" t="s">
        <v>108</v>
      </c>
      <c r="V2661">
        <v>44</v>
      </c>
      <c r="W2661" t="str">
        <f>HYPERLINK("Gene1766-zp_tree_all.dnd", "Gene1766-tree")</f>
        <v>Gene1766-tree</v>
      </c>
      <c r="X2661">
        <v>3</v>
      </c>
      <c r="Y2661">
        <v>31</v>
      </c>
      <c r="Z2661">
        <v>3</v>
      </c>
      <c r="AA2661">
        <v>11</v>
      </c>
      <c r="AB2661">
        <v>0.78571000000000002</v>
      </c>
      <c r="AC2661" t="s">
        <v>324</v>
      </c>
      <c r="AD2661" t="s">
        <v>2860</v>
      </c>
      <c r="AE2661">
        <v>1.2549999999999999</v>
      </c>
      <c r="AF2661" t="s">
        <v>65</v>
      </c>
      <c r="AG2661">
        <v>9</v>
      </c>
      <c r="AH2661">
        <v>20</v>
      </c>
      <c r="AI2661">
        <v>18</v>
      </c>
      <c r="AJ2661">
        <v>0.52632000000000001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8</v>
      </c>
      <c r="AQ2661">
        <v>0</v>
      </c>
      <c r="AR2661">
        <v>8</v>
      </c>
      <c r="AS2661">
        <v>15</v>
      </c>
      <c r="AT2661">
        <v>0.34782999999999997</v>
      </c>
      <c r="AU2661">
        <v>13</v>
      </c>
      <c r="AV2661">
        <v>11</v>
      </c>
      <c r="AW2661">
        <v>60</v>
      </c>
      <c r="AX2661">
        <v>20</v>
      </c>
      <c r="AY2661">
        <v>46</v>
      </c>
      <c r="AZ2661">
        <v>19</v>
      </c>
      <c r="BA2661" t="s">
        <v>11061</v>
      </c>
      <c r="BB2661" t="s">
        <v>11062</v>
      </c>
      <c r="BC2661">
        <v>0.42</v>
      </c>
      <c r="BD2661" t="s">
        <v>65</v>
      </c>
      <c r="BE2661">
        <v>106</v>
      </c>
      <c r="BF2661">
        <v>39</v>
      </c>
      <c r="BG2661" t="s">
        <v>11063</v>
      </c>
      <c r="BH2661" t="s">
        <v>11064</v>
      </c>
      <c r="BI2661" t="s">
        <v>11065</v>
      </c>
      <c r="BJ2661">
        <v>0.12615000000000001</v>
      </c>
      <c r="BK2661">
        <v>1</v>
      </c>
      <c r="BL2661" t="s">
        <v>69</v>
      </c>
      <c r="BM2661">
        <v>0.72799999999999998</v>
      </c>
      <c r="BN2661">
        <v>-0.54700000000000004</v>
      </c>
    </row>
    <row r="2662" spans="10:66">
      <c r="J2662">
        <v>0</v>
      </c>
      <c r="K2662">
        <v>4</v>
      </c>
      <c r="L2662">
        <v>0</v>
      </c>
      <c r="M2662" t="s">
        <v>25022</v>
      </c>
      <c r="N2662">
        <v>1769</v>
      </c>
      <c r="O2662" t="s">
        <v>11078</v>
      </c>
      <c r="P2662" t="s">
        <v>57</v>
      </c>
      <c r="Q2662">
        <v>1781906</v>
      </c>
      <c r="R2662">
        <v>1782520</v>
      </c>
      <c r="S2662" t="s">
        <v>11079</v>
      </c>
      <c r="T2662">
        <v>205</v>
      </c>
      <c r="U2662" t="s">
        <v>1305</v>
      </c>
      <c r="V2662">
        <v>43</v>
      </c>
      <c r="W2662" t="str">
        <f>HYPERLINK("Gene1769-zp_tree_all.dnd", "Gene1769-tree")</f>
        <v>Gene1769-tree</v>
      </c>
      <c r="X2662">
        <v>6</v>
      </c>
      <c r="Y2662">
        <v>7</v>
      </c>
      <c r="Z2662">
        <v>6</v>
      </c>
      <c r="AA2662">
        <v>7</v>
      </c>
      <c r="AB2662">
        <v>0.53846000000000005</v>
      </c>
      <c r="AC2662" t="s">
        <v>90</v>
      </c>
      <c r="AD2662" t="s">
        <v>152</v>
      </c>
      <c r="AE2662" t="s">
        <v>62</v>
      </c>
      <c r="AF2662" t="s">
        <v>62</v>
      </c>
      <c r="AG2662">
        <v>2</v>
      </c>
      <c r="AH2662">
        <v>4</v>
      </c>
      <c r="AI2662">
        <v>9</v>
      </c>
      <c r="AJ2662">
        <v>0.30769000000000002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2</v>
      </c>
      <c r="AQ2662">
        <v>0</v>
      </c>
      <c r="AR2662">
        <v>2</v>
      </c>
      <c r="AS2662">
        <v>9</v>
      </c>
      <c r="AT2662">
        <v>0.18182000000000001</v>
      </c>
      <c r="AU2662">
        <v>10</v>
      </c>
      <c r="AV2662">
        <v>7</v>
      </c>
      <c r="AW2662">
        <v>13</v>
      </c>
      <c r="AX2662">
        <v>8</v>
      </c>
      <c r="AY2662">
        <v>8</v>
      </c>
      <c r="AZ2662">
        <v>5</v>
      </c>
      <c r="BA2662" t="s">
        <v>11080</v>
      </c>
      <c r="BB2662" t="s">
        <v>11081</v>
      </c>
      <c r="BC2662">
        <v>2.4E-2</v>
      </c>
      <c r="BD2662" t="s">
        <v>65</v>
      </c>
      <c r="BE2662">
        <v>21</v>
      </c>
      <c r="BF2662">
        <v>13</v>
      </c>
      <c r="BG2662" t="s">
        <v>11082</v>
      </c>
      <c r="BH2662" t="s">
        <v>11083</v>
      </c>
      <c r="BI2662" t="s">
        <v>11084</v>
      </c>
      <c r="BJ2662">
        <v>0.14810999999999999</v>
      </c>
      <c r="BK2662">
        <v>1</v>
      </c>
      <c r="BL2662" t="s">
        <v>69</v>
      </c>
      <c r="BM2662">
        <v>-0.24</v>
      </c>
      <c r="BN2662">
        <v>-0.81399999999999995</v>
      </c>
    </row>
    <row r="2663" spans="10:66">
      <c r="J2663">
        <v>0</v>
      </c>
      <c r="K2663">
        <v>0</v>
      </c>
      <c r="L2663">
        <v>0</v>
      </c>
      <c r="M2663" t="s">
        <v>25022</v>
      </c>
      <c r="N2663">
        <v>1770</v>
      </c>
      <c r="O2663" t="s">
        <v>11085</v>
      </c>
      <c r="P2663" t="s">
        <v>57</v>
      </c>
      <c r="Q2663">
        <v>1782713</v>
      </c>
      <c r="R2663">
        <v>1783387</v>
      </c>
      <c r="S2663" t="s">
        <v>11086</v>
      </c>
      <c r="T2663">
        <v>225</v>
      </c>
      <c r="U2663" t="s">
        <v>8085</v>
      </c>
      <c r="V2663">
        <v>35</v>
      </c>
      <c r="W2663" t="str">
        <f>HYPERLINK("Gene1770-zp_tree_all.dnd", "Gene1770-tree")</f>
        <v>Gene1770-tree</v>
      </c>
      <c r="X2663">
        <v>6</v>
      </c>
      <c r="Y2663">
        <v>4</v>
      </c>
      <c r="Z2663">
        <v>6</v>
      </c>
      <c r="AA2663">
        <v>4</v>
      </c>
      <c r="AB2663">
        <v>0.4</v>
      </c>
      <c r="AC2663" t="s">
        <v>90</v>
      </c>
      <c r="AD2663" t="s">
        <v>61</v>
      </c>
      <c r="AE2663" t="s">
        <v>62</v>
      </c>
      <c r="AF2663" t="s">
        <v>62</v>
      </c>
      <c r="AG2663">
        <v>0</v>
      </c>
      <c r="AH2663">
        <v>0</v>
      </c>
      <c r="AI2663">
        <v>9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8</v>
      </c>
      <c r="AT2663">
        <v>0</v>
      </c>
      <c r="AU2663">
        <v>10</v>
      </c>
      <c r="AV2663">
        <v>3</v>
      </c>
      <c r="AW2663">
        <v>15</v>
      </c>
      <c r="AX2663">
        <v>8</v>
      </c>
      <c r="AY2663">
        <v>5</v>
      </c>
      <c r="AZ2663">
        <v>1</v>
      </c>
      <c r="BA2663" t="s">
        <v>11087</v>
      </c>
      <c r="BB2663" t="s">
        <v>11088</v>
      </c>
      <c r="BC2663">
        <v>0.46100000000000002</v>
      </c>
      <c r="BD2663" t="s">
        <v>65</v>
      </c>
      <c r="BE2663">
        <v>20</v>
      </c>
      <c r="BF2663">
        <v>9</v>
      </c>
      <c r="BG2663" t="s">
        <v>11089</v>
      </c>
      <c r="BH2663" t="s">
        <v>11090</v>
      </c>
      <c r="BI2663" t="s">
        <v>11091</v>
      </c>
      <c r="BJ2663">
        <v>0.12694</v>
      </c>
      <c r="BK2663">
        <v>1</v>
      </c>
      <c r="BL2663" t="s">
        <v>69</v>
      </c>
      <c r="BM2663">
        <v>-1.0089999999999999</v>
      </c>
      <c r="BN2663">
        <v>-2.3980000000000001</v>
      </c>
    </row>
    <row r="2664" spans="10:66">
      <c r="J2664">
        <v>0</v>
      </c>
      <c r="K2664">
        <v>2</v>
      </c>
      <c r="L2664">
        <v>0</v>
      </c>
      <c r="M2664" t="s">
        <v>25022</v>
      </c>
      <c r="N2664">
        <v>1771</v>
      </c>
      <c r="O2664" t="s">
        <v>11092</v>
      </c>
      <c r="P2664" t="s">
        <v>57</v>
      </c>
      <c r="Q2664">
        <v>1783500</v>
      </c>
      <c r="R2664">
        <v>1783763</v>
      </c>
      <c r="S2664" t="s">
        <v>11093</v>
      </c>
      <c r="T2664">
        <v>88</v>
      </c>
      <c r="U2664" t="s">
        <v>8085</v>
      </c>
      <c r="V2664">
        <v>35</v>
      </c>
      <c r="W2664" t="str">
        <f>HYPERLINK("Gene1771-zp_tree_all.dnd", "Gene1771-tree")</f>
        <v>Gene1771-tree</v>
      </c>
      <c r="X2664">
        <v>3</v>
      </c>
      <c r="Y2664">
        <v>6</v>
      </c>
      <c r="Z2664">
        <v>3</v>
      </c>
      <c r="AA2664">
        <v>6</v>
      </c>
      <c r="AB2664">
        <v>0.66666999999999998</v>
      </c>
      <c r="AC2664" t="s">
        <v>324</v>
      </c>
      <c r="AD2664" t="s">
        <v>90</v>
      </c>
      <c r="AE2664" t="s">
        <v>62</v>
      </c>
      <c r="AF2664" t="s">
        <v>62</v>
      </c>
      <c r="AG2664">
        <v>1</v>
      </c>
      <c r="AH2664">
        <v>2</v>
      </c>
      <c r="AI2664">
        <v>7</v>
      </c>
      <c r="AJ2664">
        <v>0.22222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7</v>
      </c>
      <c r="AT2664">
        <v>0</v>
      </c>
      <c r="AU2664">
        <v>8</v>
      </c>
      <c r="AV2664">
        <v>3</v>
      </c>
      <c r="AW2664">
        <v>6</v>
      </c>
      <c r="AX2664">
        <v>6</v>
      </c>
      <c r="AY2664">
        <v>0</v>
      </c>
      <c r="AZ2664">
        <v>3</v>
      </c>
      <c r="BA2664" t="s">
        <v>11094</v>
      </c>
      <c r="BB2664" t="s">
        <v>193</v>
      </c>
      <c r="BC2664">
        <v>1.4079999999999999</v>
      </c>
      <c r="BD2664" t="s">
        <v>65</v>
      </c>
      <c r="BE2664">
        <v>6</v>
      </c>
      <c r="BF2664">
        <v>9</v>
      </c>
      <c r="BG2664" t="s">
        <v>11095</v>
      </c>
      <c r="BH2664" t="s">
        <v>11096</v>
      </c>
      <c r="BI2664" t="s">
        <v>11097</v>
      </c>
      <c r="BJ2664">
        <v>0.58467000000000002</v>
      </c>
      <c r="BK2664">
        <v>0.66700000000000004</v>
      </c>
      <c r="BL2664" t="s">
        <v>635</v>
      </c>
      <c r="BM2664">
        <v>-0.91900000000000004</v>
      </c>
      <c r="BN2664">
        <v>-1.966</v>
      </c>
    </row>
    <row r="2665" spans="10:66">
      <c r="J2665">
        <v>0</v>
      </c>
      <c r="K2665">
        <v>5</v>
      </c>
      <c r="L2665">
        <v>7</v>
      </c>
      <c r="M2665" t="s">
        <v>25022</v>
      </c>
      <c r="N2665">
        <v>1772</v>
      </c>
      <c r="O2665" t="s">
        <v>11098</v>
      </c>
      <c r="P2665" t="s">
        <v>57</v>
      </c>
      <c r="Q2665">
        <v>1785133</v>
      </c>
      <c r="R2665">
        <v>1786104</v>
      </c>
      <c r="S2665" t="s">
        <v>11099</v>
      </c>
      <c r="T2665">
        <v>324</v>
      </c>
      <c r="U2665" t="s">
        <v>8085</v>
      </c>
      <c r="V2665">
        <v>35</v>
      </c>
      <c r="W2665" t="str">
        <f>HYPERLINK("Gene1772-zp_tree_all.dnd", "Gene1772-tree")</f>
        <v>Gene1772-tree</v>
      </c>
      <c r="X2665">
        <v>0</v>
      </c>
      <c r="Y2665">
        <v>11</v>
      </c>
      <c r="Z2665">
        <v>0</v>
      </c>
      <c r="AA2665">
        <v>11</v>
      </c>
      <c r="AB2665">
        <v>1</v>
      </c>
      <c r="AC2665" t="s">
        <v>62</v>
      </c>
      <c r="AD2665" t="s">
        <v>73</v>
      </c>
      <c r="AE2665">
        <v>114461263.029</v>
      </c>
      <c r="AF2665" t="s">
        <v>65</v>
      </c>
      <c r="AG2665">
        <v>5</v>
      </c>
      <c r="AH2665">
        <v>12</v>
      </c>
      <c r="AI2665">
        <v>24</v>
      </c>
      <c r="AJ2665">
        <v>0.33333000000000002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2</v>
      </c>
      <c r="AQ2665">
        <v>2</v>
      </c>
      <c r="AR2665">
        <v>4</v>
      </c>
      <c r="AS2665">
        <v>24</v>
      </c>
      <c r="AT2665">
        <v>0.14285999999999999</v>
      </c>
      <c r="AU2665">
        <v>10</v>
      </c>
      <c r="AV2665">
        <v>6</v>
      </c>
      <c r="AW2665">
        <v>17</v>
      </c>
      <c r="AX2665">
        <v>28</v>
      </c>
      <c r="AY2665">
        <v>5</v>
      </c>
      <c r="AZ2665">
        <v>8</v>
      </c>
      <c r="BA2665" t="s">
        <v>11100</v>
      </c>
      <c r="BB2665" t="s">
        <v>11101</v>
      </c>
      <c r="BC2665">
        <v>0.02</v>
      </c>
      <c r="BD2665" t="s">
        <v>65</v>
      </c>
      <c r="BE2665">
        <v>22</v>
      </c>
      <c r="BF2665">
        <v>36</v>
      </c>
      <c r="BG2665" t="s">
        <v>11102</v>
      </c>
      <c r="BH2665" t="s">
        <v>11103</v>
      </c>
      <c r="BI2665" t="s">
        <v>11104</v>
      </c>
      <c r="BJ2665">
        <v>0.45812999999999998</v>
      </c>
      <c r="BK2665">
        <v>0.98</v>
      </c>
      <c r="BL2665" t="s">
        <v>69</v>
      </c>
      <c r="BM2665">
        <v>-1.202</v>
      </c>
      <c r="BN2665">
        <v>-1.7090000000000001</v>
      </c>
    </row>
    <row r="2666" spans="10:66">
      <c r="J2666">
        <v>0</v>
      </c>
      <c r="K2666">
        <v>6</v>
      </c>
      <c r="L2666">
        <v>3</v>
      </c>
      <c r="M2666" t="s">
        <v>25022</v>
      </c>
      <c r="N2666">
        <v>1773</v>
      </c>
      <c r="O2666" t="s">
        <v>11105</v>
      </c>
      <c r="P2666" t="s">
        <v>57</v>
      </c>
      <c r="Q2666">
        <v>1786104</v>
      </c>
      <c r="R2666">
        <v>1788404</v>
      </c>
      <c r="S2666" t="s">
        <v>11099</v>
      </c>
      <c r="T2666">
        <v>767</v>
      </c>
      <c r="U2666" t="s">
        <v>11106</v>
      </c>
      <c r="V2666">
        <v>33</v>
      </c>
      <c r="W2666" t="str">
        <f>HYPERLINK("Gene1773-zp_tree_all.dnd", "Gene1773-tree")</f>
        <v>Gene1773-tree</v>
      </c>
      <c r="X2666">
        <v>0</v>
      </c>
      <c r="Y2666">
        <v>10</v>
      </c>
      <c r="Z2666">
        <v>0</v>
      </c>
      <c r="AA2666">
        <v>10</v>
      </c>
      <c r="AB2666">
        <v>1</v>
      </c>
      <c r="AC2666" t="s">
        <v>62</v>
      </c>
      <c r="AD2666" t="s">
        <v>117</v>
      </c>
      <c r="AE2666" t="s">
        <v>62</v>
      </c>
      <c r="AF2666" t="s">
        <v>62</v>
      </c>
      <c r="AG2666">
        <v>3</v>
      </c>
      <c r="AH2666">
        <v>9</v>
      </c>
      <c r="AI2666">
        <v>26</v>
      </c>
      <c r="AJ2666">
        <v>0.25713999999999998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4</v>
      </c>
      <c r="AQ2666">
        <v>3</v>
      </c>
      <c r="AR2666">
        <v>7</v>
      </c>
      <c r="AS2666">
        <v>24</v>
      </c>
      <c r="AT2666">
        <v>0.22581000000000001</v>
      </c>
      <c r="AU2666">
        <v>10</v>
      </c>
      <c r="AV2666">
        <v>7</v>
      </c>
      <c r="AW2666">
        <v>51</v>
      </c>
      <c r="AX2666">
        <v>31</v>
      </c>
      <c r="AY2666">
        <v>32</v>
      </c>
      <c r="AZ2666">
        <v>4</v>
      </c>
      <c r="BA2666" t="s">
        <v>11107</v>
      </c>
      <c r="BB2666" t="s">
        <v>11108</v>
      </c>
      <c r="BC2666">
        <v>3.4529999999999998</v>
      </c>
      <c r="BD2666" t="s">
        <v>267</v>
      </c>
      <c r="BE2666">
        <v>83</v>
      </c>
      <c r="BF2666">
        <v>35</v>
      </c>
      <c r="BG2666" t="s">
        <v>11109</v>
      </c>
      <c r="BH2666" t="s">
        <v>11110</v>
      </c>
      <c r="BI2666" t="s">
        <v>11111</v>
      </c>
      <c r="BJ2666">
        <v>0.10317999999999999</v>
      </c>
      <c r="BK2666">
        <v>1</v>
      </c>
      <c r="BL2666" t="s">
        <v>69</v>
      </c>
      <c r="BM2666">
        <v>-0.82</v>
      </c>
      <c r="BN2666">
        <v>-1.7889999999999999</v>
      </c>
    </row>
    <row r="2667" spans="10:66">
      <c r="J2667">
        <v>0</v>
      </c>
      <c r="K2667">
        <v>0</v>
      </c>
      <c r="L2667">
        <v>0</v>
      </c>
      <c r="M2667" t="s">
        <v>25022</v>
      </c>
      <c r="N2667">
        <v>1774</v>
      </c>
      <c r="O2667" t="s">
        <v>11112</v>
      </c>
      <c r="P2667" t="s">
        <v>57</v>
      </c>
      <c r="Q2667">
        <v>1788469</v>
      </c>
      <c r="R2667">
        <v>1788714</v>
      </c>
      <c r="S2667" t="s">
        <v>11113</v>
      </c>
      <c r="T2667">
        <v>82</v>
      </c>
      <c r="U2667" t="s">
        <v>8085</v>
      </c>
      <c r="V2667">
        <v>35</v>
      </c>
      <c r="W2667" t="str">
        <f>HYPERLINK("Gene1774-zp_tree_all.dnd", "Gene1774-tree")</f>
        <v>Gene1774-tree</v>
      </c>
      <c r="X2667">
        <v>4</v>
      </c>
      <c r="Y2667">
        <v>3</v>
      </c>
      <c r="Z2667">
        <v>4</v>
      </c>
      <c r="AA2667">
        <v>3</v>
      </c>
      <c r="AB2667">
        <v>0.42857000000000001</v>
      </c>
      <c r="AC2667" t="s">
        <v>61</v>
      </c>
      <c r="AD2667" t="s">
        <v>324</v>
      </c>
      <c r="AE2667" t="s">
        <v>62</v>
      </c>
      <c r="AF2667" t="s">
        <v>62</v>
      </c>
      <c r="AG2667">
        <v>0</v>
      </c>
      <c r="AH2667">
        <v>0</v>
      </c>
      <c r="AI2667">
        <v>5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5</v>
      </c>
      <c r="AT2667">
        <v>0</v>
      </c>
      <c r="AU2667">
        <v>4</v>
      </c>
      <c r="AV2667">
        <v>3</v>
      </c>
      <c r="AW2667">
        <v>5</v>
      </c>
      <c r="AX2667">
        <v>5</v>
      </c>
      <c r="AY2667">
        <v>3</v>
      </c>
      <c r="AZ2667">
        <v>0</v>
      </c>
      <c r="BA2667" t="s">
        <v>11114</v>
      </c>
      <c r="BB2667" t="s">
        <v>193</v>
      </c>
      <c r="BC2667">
        <v>1.639</v>
      </c>
      <c r="BD2667" t="s">
        <v>65</v>
      </c>
      <c r="BE2667">
        <v>8</v>
      </c>
      <c r="BF2667">
        <v>5</v>
      </c>
      <c r="BG2667" t="s">
        <v>11115</v>
      </c>
      <c r="BH2667" t="s">
        <v>11116</v>
      </c>
      <c r="BI2667" t="s">
        <v>11117</v>
      </c>
      <c r="BJ2667">
        <v>0.14495</v>
      </c>
      <c r="BK2667">
        <v>0.98</v>
      </c>
      <c r="BL2667" t="s">
        <v>69</v>
      </c>
      <c r="BM2667">
        <v>-0.98799999999999999</v>
      </c>
      <c r="BN2667">
        <v>-1.4730000000000001</v>
      </c>
    </row>
    <row r="2668" spans="10:66">
      <c r="J2668">
        <v>0</v>
      </c>
      <c r="K2668">
        <v>2</v>
      </c>
      <c r="L2668">
        <v>0</v>
      </c>
      <c r="M2668" t="s">
        <v>25022</v>
      </c>
      <c r="N2668">
        <v>1775</v>
      </c>
      <c r="O2668" t="s">
        <v>11118</v>
      </c>
      <c r="P2668" t="s">
        <v>57</v>
      </c>
      <c r="Q2668">
        <v>1788695</v>
      </c>
      <c r="R2668">
        <v>1789939</v>
      </c>
      <c r="S2668" t="s">
        <v>11119</v>
      </c>
      <c r="T2668">
        <v>415</v>
      </c>
      <c r="U2668" t="s">
        <v>8085</v>
      </c>
      <c r="V2668">
        <v>35</v>
      </c>
      <c r="W2668" t="str">
        <f>HYPERLINK("Gene1775-zp_tree_all.dnd", "Gene1775-tree")</f>
        <v>Gene1775-tree</v>
      </c>
      <c r="X2668">
        <v>6</v>
      </c>
      <c r="Y2668">
        <v>4</v>
      </c>
      <c r="Z2668">
        <v>6</v>
      </c>
      <c r="AA2668">
        <v>4</v>
      </c>
      <c r="AB2668">
        <v>0.4</v>
      </c>
      <c r="AC2668" t="s">
        <v>90</v>
      </c>
      <c r="AD2668" t="s">
        <v>61</v>
      </c>
      <c r="AE2668" t="s">
        <v>62</v>
      </c>
      <c r="AF2668" t="s">
        <v>62</v>
      </c>
      <c r="AG2668">
        <v>1</v>
      </c>
      <c r="AH2668">
        <v>2</v>
      </c>
      <c r="AI2668">
        <v>14</v>
      </c>
      <c r="AJ2668">
        <v>0.125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2</v>
      </c>
      <c r="AQ2668">
        <v>0</v>
      </c>
      <c r="AR2668">
        <v>2</v>
      </c>
      <c r="AS2668">
        <v>13</v>
      </c>
      <c r="AT2668">
        <v>0.13333</v>
      </c>
      <c r="AU2668">
        <v>8</v>
      </c>
      <c r="AV2668">
        <v>6</v>
      </c>
      <c r="AW2668">
        <v>26</v>
      </c>
      <c r="AX2668">
        <v>15</v>
      </c>
      <c r="AY2668">
        <v>14</v>
      </c>
      <c r="AZ2668">
        <v>1</v>
      </c>
      <c r="BA2668" t="s">
        <v>11120</v>
      </c>
      <c r="BB2668" t="s">
        <v>11121</v>
      </c>
      <c r="BC2668">
        <v>0.77</v>
      </c>
      <c r="BD2668" t="s">
        <v>65</v>
      </c>
      <c r="BE2668">
        <v>40</v>
      </c>
      <c r="BF2668">
        <v>16</v>
      </c>
      <c r="BG2668" t="s">
        <v>11122</v>
      </c>
      <c r="BH2668" t="s">
        <v>11123</v>
      </c>
      <c r="BI2668" t="s">
        <v>11124</v>
      </c>
      <c r="BJ2668">
        <v>0.10384</v>
      </c>
      <c r="BK2668">
        <v>1</v>
      </c>
      <c r="BL2668" t="s">
        <v>69</v>
      </c>
      <c r="BM2668">
        <v>-1.0509999999999999</v>
      </c>
      <c r="BN2668">
        <v>-2.1789999999999998</v>
      </c>
    </row>
    <row r="2669" spans="10:66">
      <c r="J2669">
        <v>0</v>
      </c>
      <c r="K2669">
        <v>2</v>
      </c>
      <c r="L2669">
        <v>0</v>
      </c>
      <c r="M2669" t="s">
        <v>25022</v>
      </c>
      <c r="N2669">
        <v>1776</v>
      </c>
      <c r="O2669" t="s">
        <v>11125</v>
      </c>
      <c r="P2669" t="s">
        <v>57</v>
      </c>
      <c r="Q2669">
        <v>1789943</v>
      </c>
      <c r="R2669">
        <v>1791202</v>
      </c>
      <c r="S2669" t="s">
        <v>11126</v>
      </c>
      <c r="T2669">
        <v>420</v>
      </c>
      <c r="U2669" t="s">
        <v>8085</v>
      </c>
      <c r="V2669">
        <v>35</v>
      </c>
      <c r="W2669" t="str">
        <f>HYPERLINK("Gene1776-zp_tree_all.dnd", "Gene1776-tree")</f>
        <v>Gene1776-tree</v>
      </c>
      <c r="X2669">
        <v>6</v>
      </c>
      <c r="Y2669">
        <v>4</v>
      </c>
      <c r="Z2669">
        <v>6</v>
      </c>
      <c r="AA2669">
        <v>4</v>
      </c>
      <c r="AB2669">
        <v>0.4</v>
      </c>
      <c r="AC2669" t="s">
        <v>90</v>
      </c>
      <c r="AD2669" t="s">
        <v>61</v>
      </c>
      <c r="AE2669" t="s">
        <v>62</v>
      </c>
      <c r="AF2669" t="s">
        <v>62</v>
      </c>
      <c r="AG2669">
        <v>1</v>
      </c>
      <c r="AH2669">
        <v>2</v>
      </c>
      <c r="AI2669">
        <v>9</v>
      </c>
      <c r="AJ2669">
        <v>0.18182000000000001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2</v>
      </c>
      <c r="AQ2669">
        <v>0</v>
      </c>
      <c r="AR2669">
        <v>2</v>
      </c>
      <c r="AS2669">
        <v>6</v>
      </c>
      <c r="AT2669">
        <v>0.25</v>
      </c>
      <c r="AU2669">
        <v>9</v>
      </c>
      <c r="AV2669">
        <v>6</v>
      </c>
      <c r="AW2669">
        <v>26</v>
      </c>
      <c r="AX2669">
        <v>8</v>
      </c>
      <c r="AY2669">
        <v>16</v>
      </c>
      <c r="AZ2669">
        <v>3</v>
      </c>
      <c r="BA2669" t="s">
        <v>11127</v>
      </c>
      <c r="BB2669" t="s">
        <v>11128</v>
      </c>
      <c r="BC2669">
        <v>0.36</v>
      </c>
      <c r="BD2669" t="s">
        <v>65</v>
      </c>
      <c r="BE2669">
        <v>42</v>
      </c>
      <c r="BF2669">
        <v>11</v>
      </c>
      <c r="BG2669" t="s">
        <v>11129</v>
      </c>
      <c r="BH2669" t="s">
        <v>11130</v>
      </c>
      <c r="BI2669" t="s">
        <v>11131</v>
      </c>
      <c r="BJ2669">
        <v>7.8530000000000003E-2</v>
      </c>
      <c r="BK2669">
        <v>1</v>
      </c>
      <c r="BL2669" t="s">
        <v>69</v>
      </c>
      <c r="BM2669">
        <v>-1.3959999999999999</v>
      </c>
      <c r="BN2669">
        <v>-2.02</v>
      </c>
    </row>
    <row r="2670" spans="10:66">
      <c r="J2670">
        <v>0</v>
      </c>
      <c r="K2670">
        <v>2</v>
      </c>
      <c r="L2670">
        <v>0</v>
      </c>
      <c r="M2670" t="s">
        <v>25022</v>
      </c>
      <c r="N2670">
        <v>1777</v>
      </c>
      <c r="O2670" t="s">
        <v>11132</v>
      </c>
      <c r="P2670" t="s">
        <v>57</v>
      </c>
      <c r="Q2670">
        <v>1791193</v>
      </c>
      <c r="R2670">
        <v>1791969</v>
      </c>
      <c r="S2670" t="s">
        <v>11133</v>
      </c>
      <c r="T2670">
        <v>259</v>
      </c>
      <c r="U2670" t="s">
        <v>8085</v>
      </c>
      <c r="V2670">
        <v>35</v>
      </c>
      <c r="W2670" t="str">
        <f>HYPERLINK("Gene1777-zp_tree_all.dnd", "Gene1777-tree")</f>
        <v>Gene1777-tree</v>
      </c>
      <c r="X2670">
        <v>5</v>
      </c>
      <c r="Y2670">
        <v>6</v>
      </c>
      <c r="Z2670">
        <v>5</v>
      </c>
      <c r="AA2670">
        <v>6</v>
      </c>
      <c r="AB2670">
        <v>0.54544999999999999</v>
      </c>
      <c r="AC2670" t="s">
        <v>199</v>
      </c>
      <c r="AD2670" t="s">
        <v>90</v>
      </c>
      <c r="AE2670" t="s">
        <v>62</v>
      </c>
      <c r="AF2670" t="s">
        <v>62</v>
      </c>
      <c r="AG2670">
        <v>1</v>
      </c>
      <c r="AH2670">
        <v>2</v>
      </c>
      <c r="AI2670">
        <v>14</v>
      </c>
      <c r="AJ2670">
        <v>0.125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9</v>
      </c>
      <c r="AT2670">
        <v>0</v>
      </c>
      <c r="AU2670">
        <v>9</v>
      </c>
      <c r="AV2670">
        <v>7</v>
      </c>
      <c r="AW2670">
        <v>10</v>
      </c>
      <c r="AX2670">
        <v>9</v>
      </c>
      <c r="AY2670">
        <v>14</v>
      </c>
      <c r="AZ2670">
        <v>7</v>
      </c>
      <c r="BA2670" t="s">
        <v>11134</v>
      </c>
      <c r="BB2670" t="s">
        <v>11135</v>
      </c>
      <c r="BC2670">
        <v>0.82299999999999995</v>
      </c>
      <c r="BD2670" t="s">
        <v>65</v>
      </c>
      <c r="BE2670">
        <v>24</v>
      </c>
      <c r="BF2670">
        <v>16</v>
      </c>
      <c r="BG2670" t="s">
        <v>11136</v>
      </c>
      <c r="BH2670" t="s">
        <v>11137</v>
      </c>
      <c r="BI2670" t="s">
        <v>11138</v>
      </c>
      <c r="BJ2670">
        <v>0.19134999999999999</v>
      </c>
      <c r="BK2670">
        <v>1</v>
      </c>
      <c r="BL2670" t="s">
        <v>69</v>
      </c>
      <c r="BM2670">
        <v>-1.139</v>
      </c>
      <c r="BN2670">
        <v>-1.4039999999999999</v>
      </c>
    </row>
    <row r="2671" spans="10:66">
      <c r="J2671">
        <v>0</v>
      </c>
      <c r="K2671">
        <v>0</v>
      </c>
      <c r="L2671">
        <v>0</v>
      </c>
      <c r="M2671" t="s">
        <v>25022</v>
      </c>
      <c r="N2671">
        <v>1778</v>
      </c>
      <c r="O2671" t="s">
        <v>11139</v>
      </c>
      <c r="P2671" t="s">
        <v>57</v>
      </c>
      <c r="Q2671">
        <v>1792012</v>
      </c>
      <c r="R2671">
        <v>1792758</v>
      </c>
      <c r="S2671" t="s">
        <v>11140</v>
      </c>
      <c r="T2671">
        <v>249</v>
      </c>
      <c r="U2671" t="s">
        <v>8085</v>
      </c>
      <c r="V2671">
        <v>35</v>
      </c>
      <c r="W2671" t="str">
        <f>HYPERLINK("Gene1778-zp_tree_all.dnd", "Gene1778-tree")</f>
        <v>Gene1778-tree</v>
      </c>
      <c r="X2671">
        <v>5</v>
      </c>
      <c r="Y2671">
        <v>5</v>
      </c>
      <c r="Z2671">
        <v>5</v>
      </c>
      <c r="AA2671">
        <v>5</v>
      </c>
      <c r="AB2671">
        <v>0.5</v>
      </c>
      <c r="AC2671" t="s">
        <v>199</v>
      </c>
      <c r="AD2671" t="s">
        <v>199</v>
      </c>
      <c r="AE2671" t="s">
        <v>62</v>
      </c>
      <c r="AF2671" t="s">
        <v>62</v>
      </c>
      <c r="AG2671">
        <v>0</v>
      </c>
      <c r="AH2671">
        <v>0</v>
      </c>
      <c r="AI2671">
        <v>11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8</v>
      </c>
      <c r="AT2671">
        <v>0</v>
      </c>
      <c r="AU2671">
        <v>9</v>
      </c>
      <c r="AV2671">
        <v>4</v>
      </c>
      <c r="AW2671">
        <v>32</v>
      </c>
      <c r="AX2671">
        <v>8</v>
      </c>
      <c r="AY2671">
        <v>12</v>
      </c>
      <c r="AZ2671">
        <v>3</v>
      </c>
      <c r="BA2671" t="s">
        <v>11141</v>
      </c>
      <c r="BB2671" t="s">
        <v>11142</v>
      </c>
      <c r="BC2671">
        <v>1E-3</v>
      </c>
      <c r="BD2671" t="s">
        <v>65</v>
      </c>
      <c r="BE2671">
        <v>44</v>
      </c>
      <c r="BF2671">
        <v>11</v>
      </c>
      <c r="BG2671" t="s">
        <v>11143</v>
      </c>
      <c r="BH2671" t="s">
        <v>11144</v>
      </c>
      <c r="BI2671" t="s">
        <v>11145</v>
      </c>
      <c r="BJ2671">
        <v>9.1869999999999993E-2</v>
      </c>
      <c r="BK2671">
        <v>1</v>
      </c>
      <c r="BL2671" t="s">
        <v>69</v>
      </c>
      <c r="BM2671">
        <v>-1.06</v>
      </c>
      <c r="BN2671">
        <v>-1.0289999999999999</v>
      </c>
    </row>
    <row r="2672" spans="10:66">
      <c r="J2672">
        <v>11</v>
      </c>
      <c r="K2672">
        <v>325</v>
      </c>
      <c r="L2672">
        <v>26</v>
      </c>
      <c r="M2672" t="s">
        <v>25022</v>
      </c>
      <c r="N2672">
        <v>1779</v>
      </c>
      <c r="O2672" t="s">
        <v>11146</v>
      </c>
      <c r="P2672" t="s">
        <v>57</v>
      </c>
      <c r="Q2672">
        <v>1792806</v>
      </c>
      <c r="R2672">
        <v>1807934</v>
      </c>
      <c r="S2672" t="s">
        <v>11147</v>
      </c>
      <c r="T2672">
        <v>5043</v>
      </c>
      <c r="U2672" t="s">
        <v>8085</v>
      </c>
      <c r="V2672">
        <v>35</v>
      </c>
      <c r="W2672" t="str">
        <f>HYPERLINK("Gene1779-zp_tree_all.dnd", "Gene1779-tree")</f>
        <v>Gene1779-tree</v>
      </c>
      <c r="X2672">
        <v>17</v>
      </c>
      <c r="Y2672">
        <v>16</v>
      </c>
      <c r="Z2672">
        <v>2</v>
      </c>
      <c r="AA2672">
        <v>16</v>
      </c>
      <c r="AB2672">
        <v>0.88888999999999996</v>
      </c>
      <c r="AC2672" t="s">
        <v>11148</v>
      </c>
      <c r="AD2672" t="s">
        <v>60</v>
      </c>
      <c r="AE2672" t="s">
        <v>62</v>
      </c>
      <c r="AF2672" t="s">
        <v>62</v>
      </c>
      <c r="AG2672">
        <v>125</v>
      </c>
      <c r="AH2672">
        <v>362</v>
      </c>
      <c r="AI2672">
        <v>208</v>
      </c>
      <c r="AJ2672">
        <v>0.63509000000000004</v>
      </c>
      <c r="AK2672">
        <v>0</v>
      </c>
      <c r="AL2672">
        <v>0</v>
      </c>
      <c r="AM2672">
        <v>0</v>
      </c>
      <c r="AN2672">
        <v>18</v>
      </c>
      <c r="AO2672">
        <v>0</v>
      </c>
      <c r="AP2672">
        <v>68</v>
      </c>
      <c r="AQ2672">
        <v>82</v>
      </c>
      <c r="AR2672">
        <v>150</v>
      </c>
      <c r="AS2672">
        <v>199</v>
      </c>
      <c r="AT2672">
        <v>0.42980000000000002</v>
      </c>
      <c r="AU2672">
        <v>15</v>
      </c>
      <c r="AV2672">
        <v>15</v>
      </c>
      <c r="AW2672">
        <v>449</v>
      </c>
      <c r="AX2672">
        <v>334</v>
      </c>
      <c r="AY2672">
        <v>314</v>
      </c>
      <c r="AZ2672">
        <v>246</v>
      </c>
      <c r="BA2672" t="s">
        <v>11149</v>
      </c>
      <c r="BB2672" t="s">
        <v>11150</v>
      </c>
      <c r="BC2672">
        <v>0.17299999999999999</v>
      </c>
      <c r="BD2672" t="s">
        <v>65</v>
      </c>
      <c r="BE2672">
        <v>763</v>
      </c>
      <c r="BF2672">
        <v>580</v>
      </c>
      <c r="BG2672" t="s">
        <v>11151</v>
      </c>
      <c r="BH2672" t="s">
        <v>11152</v>
      </c>
      <c r="BI2672" t="s">
        <v>11153</v>
      </c>
      <c r="BJ2672">
        <v>0.22237000000000001</v>
      </c>
      <c r="BK2672">
        <v>1</v>
      </c>
      <c r="BL2672" t="s">
        <v>69</v>
      </c>
      <c r="BM2672">
        <v>-0.86799999999999999</v>
      </c>
      <c r="BN2672">
        <v>-1.84</v>
      </c>
    </row>
    <row r="2673" spans="10:66">
      <c r="J2673">
        <v>0</v>
      </c>
      <c r="K2673">
        <v>80</v>
      </c>
      <c r="L2673">
        <v>10</v>
      </c>
      <c r="M2673" t="s">
        <v>25022</v>
      </c>
      <c r="N2673">
        <v>1780</v>
      </c>
      <c r="O2673" t="s">
        <v>11154</v>
      </c>
      <c r="P2673" t="s">
        <v>57</v>
      </c>
      <c r="Q2673">
        <v>1807921</v>
      </c>
      <c r="R2673">
        <v>1821534</v>
      </c>
      <c r="S2673" t="s">
        <v>11155</v>
      </c>
      <c r="T2673">
        <v>4538</v>
      </c>
      <c r="U2673" t="s">
        <v>11156</v>
      </c>
      <c r="V2673">
        <v>21</v>
      </c>
      <c r="W2673" t="str">
        <f>HYPERLINK("Gene1780-zp_tree_all.dnd", "Gene1780-tree")</f>
        <v>Gene1780-tree</v>
      </c>
      <c r="X2673">
        <v>0</v>
      </c>
      <c r="Y2673">
        <v>5</v>
      </c>
      <c r="Z2673">
        <v>0</v>
      </c>
      <c r="AA2673">
        <v>5</v>
      </c>
      <c r="AB2673">
        <v>1</v>
      </c>
      <c r="AC2673" t="s">
        <v>62</v>
      </c>
      <c r="AD2673" t="s">
        <v>199</v>
      </c>
      <c r="AE2673" t="s">
        <v>62</v>
      </c>
      <c r="AF2673" t="s">
        <v>62</v>
      </c>
      <c r="AG2673">
        <v>45</v>
      </c>
      <c r="AH2673">
        <v>90</v>
      </c>
      <c r="AI2673">
        <v>130</v>
      </c>
      <c r="AJ2673">
        <v>0.40909000000000001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22</v>
      </c>
      <c r="AQ2673">
        <v>36</v>
      </c>
      <c r="AR2673">
        <v>58</v>
      </c>
      <c r="AS2673">
        <v>134</v>
      </c>
      <c r="AT2673">
        <v>0.30208000000000002</v>
      </c>
      <c r="AU2673">
        <v>5</v>
      </c>
      <c r="AV2673">
        <v>2</v>
      </c>
      <c r="AW2673">
        <v>262</v>
      </c>
      <c r="AX2673">
        <v>197</v>
      </c>
      <c r="AY2673">
        <v>55</v>
      </c>
      <c r="AZ2673">
        <v>30</v>
      </c>
      <c r="BA2673" t="s">
        <v>11157</v>
      </c>
      <c r="BB2673" t="s">
        <v>11158</v>
      </c>
      <c r="BC2673">
        <v>1.159</v>
      </c>
      <c r="BD2673" t="s">
        <v>65</v>
      </c>
      <c r="BE2673">
        <v>317</v>
      </c>
      <c r="BF2673">
        <v>227</v>
      </c>
      <c r="BG2673" t="s">
        <v>11159</v>
      </c>
      <c r="BH2673" t="s">
        <v>11160</v>
      </c>
      <c r="BI2673" t="s">
        <v>11161</v>
      </c>
      <c r="BJ2673">
        <v>0.20297000000000001</v>
      </c>
      <c r="BK2673">
        <v>1</v>
      </c>
      <c r="BL2673" t="s">
        <v>69</v>
      </c>
      <c r="BM2673">
        <v>-1.903</v>
      </c>
      <c r="BN2673">
        <v>-1.8680000000000001</v>
      </c>
    </row>
    <row r="2674" spans="10:66">
      <c r="J2674">
        <v>2</v>
      </c>
      <c r="K2674">
        <v>53</v>
      </c>
      <c r="L2674">
        <v>7</v>
      </c>
      <c r="M2674" t="s">
        <v>25022</v>
      </c>
      <c r="N2674">
        <v>1781</v>
      </c>
      <c r="O2674" t="s">
        <v>11162</v>
      </c>
      <c r="P2674" t="s">
        <v>57</v>
      </c>
      <c r="Q2674">
        <v>1821553</v>
      </c>
      <c r="R2674">
        <v>1834338</v>
      </c>
      <c r="S2674" t="s">
        <v>11163</v>
      </c>
      <c r="T2674">
        <v>4262</v>
      </c>
      <c r="U2674" t="s">
        <v>11164</v>
      </c>
      <c r="V2674">
        <v>23</v>
      </c>
      <c r="W2674" t="str">
        <f>HYPERLINK("Gene1781-zp_tree_all.dnd", "Gene1781-tree")</f>
        <v>Gene1781-tree</v>
      </c>
      <c r="X2674">
        <v>0</v>
      </c>
      <c r="Y2674">
        <v>6</v>
      </c>
      <c r="Z2674">
        <v>0</v>
      </c>
      <c r="AA2674">
        <v>6</v>
      </c>
      <c r="AB2674">
        <v>1</v>
      </c>
      <c r="AC2674" t="s">
        <v>62</v>
      </c>
      <c r="AD2674" t="s">
        <v>90</v>
      </c>
      <c r="AE2674" t="s">
        <v>62</v>
      </c>
      <c r="AF2674" t="s">
        <v>62</v>
      </c>
      <c r="AG2674">
        <v>30</v>
      </c>
      <c r="AH2674">
        <v>62</v>
      </c>
      <c r="AI2674">
        <v>179</v>
      </c>
      <c r="AJ2674">
        <v>0.25725999999999999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8</v>
      </c>
      <c r="AQ2674">
        <v>16</v>
      </c>
      <c r="AR2674">
        <v>24</v>
      </c>
      <c r="AS2674">
        <v>150</v>
      </c>
      <c r="AT2674">
        <v>0.13793</v>
      </c>
      <c r="AU2674">
        <v>6</v>
      </c>
      <c r="AV2674">
        <v>3</v>
      </c>
      <c r="AW2674">
        <v>253</v>
      </c>
      <c r="AX2674">
        <v>180</v>
      </c>
      <c r="AY2674">
        <v>86</v>
      </c>
      <c r="AZ2674">
        <v>71</v>
      </c>
      <c r="BA2674" t="s">
        <v>11165</v>
      </c>
      <c r="BB2674" t="s">
        <v>11166</v>
      </c>
      <c r="BC2674">
        <v>0.627</v>
      </c>
      <c r="BD2674" t="s">
        <v>65</v>
      </c>
      <c r="BE2674">
        <v>339</v>
      </c>
      <c r="BF2674">
        <v>251</v>
      </c>
      <c r="BG2674" t="s">
        <v>11167</v>
      </c>
      <c r="BH2674" t="s">
        <v>11168</v>
      </c>
      <c r="BI2674" t="s">
        <v>11169</v>
      </c>
      <c r="BJ2674">
        <v>0.22167000000000001</v>
      </c>
      <c r="BK2674">
        <v>1</v>
      </c>
      <c r="BL2674" t="s">
        <v>69</v>
      </c>
      <c r="BM2674">
        <v>-1.7370000000000001</v>
      </c>
      <c r="BN2674">
        <v>-1.929</v>
      </c>
    </row>
    <row r="2675" spans="10:66">
      <c r="J2675">
        <v>2</v>
      </c>
      <c r="K2675">
        <v>188</v>
      </c>
      <c r="L2675">
        <v>15</v>
      </c>
      <c r="M2675" t="s">
        <v>25022</v>
      </c>
      <c r="N2675">
        <v>1782</v>
      </c>
      <c r="O2675" t="s">
        <v>11170</v>
      </c>
      <c r="P2675" t="s">
        <v>57</v>
      </c>
      <c r="Q2675">
        <v>1834409</v>
      </c>
      <c r="R2675">
        <v>1850872</v>
      </c>
      <c r="S2675" t="s">
        <v>11163</v>
      </c>
      <c r="T2675">
        <v>5488</v>
      </c>
      <c r="U2675" t="s">
        <v>11171</v>
      </c>
      <c r="V2675">
        <v>22</v>
      </c>
      <c r="W2675" t="str">
        <f>HYPERLINK("Gene1782-zp_tree_all.dnd", "Gene1782-tree")</f>
        <v>Gene1782-tree</v>
      </c>
      <c r="X2675">
        <v>0</v>
      </c>
      <c r="Y2675">
        <v>11</v>
      </c>
      <c r="Z2675">
        <v>0</v>
      </c>
      <c r="AA2675">
        <v>11</v>
      </c>
      <c r="AB2675">
        <v>1</v>
      </c>
      <c r="AC2675" t="s">
        <v>62</v>
      </c>
      <c r="AD2675" t="s">
        <v>73</v>
      </c>
      <c r="AE2675">
        <v>114461263.029</v>
      </c>
      <c r="AF2675" t="s">
        <v>65</v>
      </c>
      <c r="AG2675">
        <v>83</v>
      </c>
      <c r="AH2675">
        <v>205</v>
      </c>
      <c r="AI2675">
        <v>197</v>
      </c>
      <c r="AJ2675">
        <v>0.50995000000000001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54</v>
      </c>
      <c r="AQ2675">
        <v>47</v>
      </c>
      <c r="AR2675">
        <v>101</v>
      </c>
      <c r="AS2675">
        <v>213</v>
      </c>
      <c r="AT2675">
        <v>0.32166</v>
      </c>
      <c r="AU2675">
        <v>9</v>
      </c>
      <c r="AV2675">
        <v>8</v>
      </c>
      <c r="AW2675">
        <v>371</v>
      </c>
      <c r="AX2675">
        <v>273</v>
      </c>
      <c r="AY2675">
        <v>232</v>
      </c>
      <c r="AZ2675">
        <v>137</v>
      </c>
      <c r="BA2675" t="s">
        <v>11172</v>
      </c>
      <c r="BB2675" t="s">
        <v>11173</v>
      </c>
      <c r="BC2675">
        <v>0.53</v>
      </c>
      <c r="BD2675" t="s">
        <v>65</v>
      </c>
      <c r="BE2675">
        <v>603</v>
      </c>
      <c r="BF2675">
        <v>410</v>
      </c>
      <c r="BG2675" t="s">
        <v>11174</v>
      </c>
      <c r="BH2675" t="s">
        <v>11175</v>
      </c>
      <c r="BI2675" t="s">
        <v>11176</v>
      </c>
      <c r="BJ2675">
        <v>0.19500000000000001</v>
      </c>
      <c r="BK2675">
        <v>1</v>
      </c>
      <c r="BL2675" t="s">
        <v>69</v>
      </c>
      <c r="BM2675">
        <v>-1.377</v>
      </c>
      <c r="BN2675">
        <v>-1.9650000000000001</v>
      </c>
    </row>
    <row r="2676" spans="10:66">
      <c r="J2676">
        <v>0</v>
      </c>
      <c r="K2676">
        <v>29</v>
      </c>
      <c r="L2676">
        <v>12</v>
      </c>
      <c r="M2676" t="s">
        <v>25022</v>
      </c>
      <c r="N2676">
        <v>1783</v>
      </c>
      <c r="O2676" t="s">
        <v>11177</v>
      </c>
      <c r="P2676" t="s">
        <v>57</v>
      </c>
      <c r="Q2676">
        <v>1850890</v>
      </c>
      <c r="R2676">
        <v>1858518</v>
      </c>
      <c r="S2676" t="s">
        <v>11178</v>
      </c>
      <c r="T2676">
        <v>2543</v>
      </c>
      <c r="U2676" t="s">
        <v>11179</v>
      </c>
      <c r="V2676">
        <v>23</v>
      </c>
      <c r="W2676" t="str">
        <f>HYPERLINK("Gene1783-zp_tree_all.dnd", "Gene1783-tree")</f>
        <v>Gene1783-tree</v>
      </c>
      <c r="X2676">
        <v>0</v>
      </c>
      <c r="Y2676">
        <v>6</v>
      </c>
      <c r="Z2676">
        <v>0</v>
      </c>
      <c r="AA2676">
        <v>6</v>
      </c>
      <c r="AB2676">
        <v>1</v>
      </c>
      <c r="AC2676" t="s">
        <v>62</v>
      </c>
      <c r="AD2676" t="s">
        <v>90</v>
      </c>
      <c r="AE2676" t="s">
        <v>62</v>
      </c>
      <c r="AF2676" t="s">
        <v>62</v>
      </c>
      <c r="AG2676">
        <v>19</v>
      </c>
      <c r="AH2676">
        <v>41</v>
      </c>
      <c r="AI2676">
        <v>112</v>
      </c>
      <c r="AJ2676">
        <v>0.26796999999999999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10</v>
      </c>
      <c r="AQ2676">
        <v>14</v>
      </c>
      <c r="AR2676">
        <v>24</v>
      </c>
      <c r="AS2676">
        <v>111</v>
      </c>
      <c r="AT2676">
        <v>0.17777999999999999</v>
      </c>
      <c r="AU2676">
        <v>6</v>
      </c>
      <c r="AV2676">
        <v>3</v>
      </c>
      <c r="AW2676">
        <v>148</v>
      </c>
      <c r="AX2676">
        <v>139</v>
      </c>
      <c r="AY2676">
        <v>25</v>
      </c>
      <c r="AZ2676">
        <v>18</v>
      </c>
      <c r="BA2676" t="s">
        <v>11180</v>
      </c>
      <c r="BB2676" t="s">
        <v>11181</v>
      </c>
      <c r="BC2676">
        <v>0.997</v>
      </c>
      <c r="BD2676" t="s">
        <v>65</v>
      </c>
      <c r="BE2676">
        <v>173</v>
      </c>
      <c r="BF2676">
        <v>157</v>
      </c>
      <c r="BG2676" t="s">
        <v>11182</v>
      </c>
      <c r="BH2676" t="s">
        <v>11183</v>
      </c>
      <c r="BI2676" t="s">
        <v>11184</v>
      </c>
      <c r="BJ2676">
        <v>0.26345000000000002</v>
      </c>
      <c r="BK2676">
        <v>1</v>
      </c>
      <c r="BL2676" t="s">
        <v>69</v>
      </c>
      <c r="BM2676">
        <v>-1.994</v>
      </c>
      <c r="BN2676">
        <v>-2.7210000000000001</v>
      </c>
    </row>
    <row r="2677" spans="10:66">
      <c r="J2677">
        <v>0</v>
      </c>
      <c r="K2677">
        <v>0</v>
      </c>
      <c r="L2677">
        <v>0</v>
      </c>
      <c r="M2677" t="s">
        <v>25022</v>
      </c>
      <c r="N2677">
        <v>1790</v>
      </c>
      <c r="O2677" t="s">
        <v>11212</v>
      </c>
      <c r="P2677" t="s">
        <v>57</v>
      </c>
      <c r="Q2677">
        <v>1863448</v>
      </c>
      <c r="R2677">
        <v>1864152</v>
      </c>
      <c r="S2677" t="s">
        <v>11213</v>
      </c>
      <c r="T2677">
        <v>235</v>
      </c>
      <c r="U2677" t="s">
        <v>108</v>
      </c>
      <c r="V2677">
        <v>44</v>
      </c>
      <c r="W2677" t="str">
        <f>HYPERLINK("Gene1790-zp_tree_all.dnd", "Gene1790-tree")</f>
        <v>Gene1790-tree</v>
      </c>
      <c r="X2677">
        <v>11</v>
      </c>
      <c r="Y2677">
        <v>1</v>
      </c>
      <c r="Z2677">
        <v>11</v>
      </c>
      <c r="AA2677">
        <v>1</v>
      </c>
      <c r="AB2677">
        <v>8.3330000000000001E-2</v>
      </c>
      <c r="AC2677" t="s">
        <v>73</v>
      </c>
      <c r="AD2677" t="s">
        <v>175</v>
      </c>
      <c r="AE2677" t="s">
        <v>62</v>
      </c>
      <c r="AF2677" t="s">
        <v>62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9</v>
      </c>
      <c r="AV2677">
        <v>6</v>
      </c>
      <c r="AW2677">
        <v>16</v>
      </c>
      <c r="AX2677">
        <v>1</v>
      </c>
      <c r="AY2677">
        <v>10</v>
      </c>
      <c r="AZ2677">
        <v>0</v>
      </c>
      <c r="BA2677" t="s">
        <v>11214</v>
      </c>
      <c r="BB2677" t="s">
        <v>193</v>
      </c>
      <c r="BC2677">
        <v>0.34799999999999998</v>
      </c>
      <c r="BD2677" t="s">
        <v>65</v>
      </c>
      <c r="BE2677">
        <v>26</v>
      </c>
      <c r="BF2677">
        <v>1</v>
      </c>
      <c r="BG2677" t="s">
        <v>11215</v>
      </c>
      <c r="BH2677" t="s">
        <v>11216</v>
      </c>
      <c r="BI2677" t="s">
        <v>11217</v>
      </c>
      <c r="BJ2677">
        <v>7.3000000000000001E-3</v>
      </c>
      <c r="BK2677">
        <v>1</v>
      </c>
      <c r="BL2677" t="s">
        <v>69</v>
      </c>
      <c r="BM2677">
        <v>-0.25700000000000001</v>
      </c>
      <c r="BN2677">
        <v>-0.27200000000000002</v>
      </c>
    </row>
    <row r="2678" spans="10:66">
      <c r="J2678">
        <v>0</v>
      </c>
      <c r="K2678">
        <v>0</v>
      </c>
      <c r="L2678">
        <v>0</v>
      </c>
      <c r="M2678" t="s">
        <v>25022</v>
      </c>
      <c r="N2678">
        <v>1791</v>
      </c>
      <c r="O2678" t="s">
        <v>11218</v>
      </c>
      <c r="P2678" t="s">
        <v>57</v>
      </c>
      <c r="Q2678">
        <v>1864225</v>
      </c>
      <c r="R2678">
        <v>1864674</v>
      </c>
      <c r="S2678" t="s">
        <v>11219</v>
      </c>
      <c r="T2678">
        <v>150</v>
      </c>
      <c r="U2678" t="s">
        <v>108</v>
      </c>
      <c r="V2678">
        <v>44</v>
      </c>
      <c r="W2678" t="str">
        <f>HYPERLINK("Gene1791-zp_tree_all.dnd", "Gene1791-tree")</f>
        <v>Gene1791-tree</v>
      </c>
      <c r="X2678">
        <v>8</v>
      </c>
      <c r="Y2678">
        <v>4</v>
      </c>
      <c r="Z2678">
        <v>8</v>
      </c>
      <c r="AA2678">
        <v>4</v>
      </c>
      <c r="AB2678">
        <v>0.33333000000000002</v>
      </c>
      <c r="AC2678" t="s">
        <v>136</v>
      </c>
      <c r="AD2678" t="s">
        <v>61</v>
      </c>
      <c r="AE2678" t="s">
        <v>62</v>
      </c>
      <c r="AF2678" t="s">
        <v>62</v>
      </c>
      <c r="AG2678">
        <v>0</v>
      </c>
      <c r="AH2678">
        <v>0</v>
      </c>
      <c r="AI2678">
        <v>5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4</v>
      </c>
      <c r="AT2678">
        <v>0</v>
      </c>
      <c r="AU2678">
        <v>7</v>
      </c>
      <c r="AV2678">
        <v>5</v>
      </c>
      <c r="AW2678">
        <v>5</v>
      </c>
      <c r="AX2678">
        <v>4</v>
      </c>
      <c r="AY2678">
        <v>7</v>
      </c>
      <c r="AZ2678">
        <v>1</v>
      </c>
      <c r="BA2678" t="s">
        <v>11220</v>
      </c>
      <c r="BB2678" t="s">
        <v>11221</v>
      </c>
      <c r="BC2678">
        <v>1.131</v>
      </c>
      <c r="BD2678" t="s">
        <v>65</v>
      </c>
      <c r="BE2678">
        <v>12</v>
      </c>
      <c r="BF2678">
        <v>5</v>
      </c>
      <c r="BG2678" t="s">
        <v>11222</v>
      </c>
      <c r="BH2678" t="s">
        <v>11223</v>
      </c>
      <c r="BI2678" t="s">
        <v>11224</v>
      </c>
      <c r="BJ2678">
        <v>8.2350000000000007E-2</v>
      </c>
      <c r="BK2678">
        <v>1</v>
      </c>
      <c r="BL2678" t="s">
        <v>69</v>
      </c>
      <c r="BM2678">
        <v>0.47299999999999998</v>
      </c>
      <c r="BN2678">
        <v>-0.1</v>
      </c>
    </row>
    <row r="2679" spans="10:66">
      <c r="J2679">
        <v>0</v>
      </c>
      <c r="K2679">
        <v>0</v>
      </c>
      <c r="L2679">
        <v>0</v>
      </c>
      <c r="M2679" t="s">
        <v>25022</v>
      </c>
      <c r="N2679">
        <v>1795</v>
      </c>
      <c r="O2679" t="s">
        <v>11243</v>
      </c>
      <c r="P2679" t="s">
        <v>57</v>
      </c>
      <c r="Q2679">
        <v>1865876</v>
      </c>
      <c r="R2679">
        <v>1866286</v>
      </c>
      <c r="S2679" t="s">
        <v>11244</v>
      </c>
      <c r="T2679">
        <v>137</v>
      </c>
      <c r="U2679" t="s">
        <v>108</v>
      </c>
      <c r="V2679">
        <v>44</v>
      </c>
      <c r="W2679" t="str">
        <f>HYPERLINK("Gene1795-zp_tree_all.dnd", "Gene1795-tree")</f>
        <v>Gene1795-tree</v>
      </c>
      <c r="X2679">
        <v>9</v>
      </c>
      <c r="Y2679">
        <v>3</v>
      </c>
      <c r="Z2679">
        <v>9</v>
      </c>
      <c r="AA2679">
        <v>3</v>
      </c>
      <c r="AB2679">
        <v>0.25</v>
      </c>
      <c r="AC2679" t="s">
        <v>135</v>
      </c>
      <c r="AD2679" t="s">
        <v>324</v>
      </c>
      <c r="AE2679" t="s">
        <v>62</v>
      </c>
      <c r="AF2679" t="s">
        <v>62</v>
      </c>
      <c r="AG2679">
        <v>0</v>
      </c>
      <c r="AH2679">
        <v>0</v>
      </c>
      <c r="AI2679">
        <v>4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4</v>
      </c>
      <c r="AT2679">
        <v>0</v>
      </c>
      <c r="AU2679">
        <v>9</v>
      </c>
      <c r="AV2679">
        <v>2</v>
      </c>
      <c r="AW2679">
        <v>15</v>
      </c>
      <c r="AX2679">
        <v>4</v>
      </c>
      <c r="AY2679">
        <v>2</v>
      </c>
      <c r="AZ2679">
        <v>0</v>
      </c>
      <c r="BA2679" t="s">
        <v>11245</v>
      </c>
      <c r="BB2679" t="s">
        <v>193</v>
      </c>
      <c r="BC2679">
        <v>1.046</v>
      </c>
      <c r="BD2679" t="s">
        <v>65</v>
      </c>
      <c r="BE2679">
        <v>17</v>
      </c>
      <c r="BF2679">
        <v>4</v>
      </c>
      <c r="BG2679" t="s">
        <v>11246</v>
      </c>
      <c r="BH2679" t="s">
        <v>11247</v>
      </c>
      <c r="BI2679" t="s">
        <v>11248</v>
      </c>
      <c r="BJ2679">
        <v>6.0109999999999997E-2</v>
      </c>
      <c r="BK2679">
        <v>1</v>
      </c>
      <c r="BL2679" t="s">
        <v>69</v>
      </c>
      <c r="BM2679">
        <v>-0.81299999999999994</v>
      </c>
      <c r="BN2679">
        <v>-2.2389999999999999</v>
      </c>
    </row>
    <row r="2680" spans="10:66">
      <c r="J2680">
        <v>0</v>
      </c>
      <c r="K2680">
        <v>2</v>
      </c>
      <c r="L2680">
        <v>2</v>
      </c>
      <c r="M2680" t="s">
        <v>25022</v>
      </c>
      <c r="N2680">
        <v>1796</v>
      </c>
      <c r="O2680" t="s">
        <v>11249</v>
      </c>
      <c r="P2680" t="s">
        <v>57</v>
      </c>
      <c r="Q2680">
        <v>1866389</v>
      </c>
      <c r="R2680">
        <v>1867330</v>
      </c>
      <c r="S2680" t="s">
        <v>11250</v>
      </c>
      <c r="T2680">
        <v>314</v>
      </c>
      <c r="U2680" t="s">
        <v>265</v>
      </c>
      <c r="V2680">
        <v>43</v>
      </c>
      <c r="W2680" t="str">
        <f>HYPERLINK("Gene1796-zp_tree_all.dnd", "Gene1796-tree")</f>
        <v>Gene1796-tree</v>
      </c>
      <c r="X2680">
        <v>12</v>
      </c>
      <c r="Y2680">
        <v>4</v>
      </c>
      <c r="Z2680">
        <v>12</v>
      </c>
      <c r="AA2680">
        <v>4</v>
      </c>
      <c r="AB2680">
        <v>0.25</v>
      </c>
      <c r="AC2680" t="s">
        <v>109</v>
      </c>
      <c r="AD2680" t="s">
        <v>61</v>
      </c>
      <c r="AE2680" t="s">
        <v>62</v>
      </c>
      <c r="AF2680" t="s">
        <v>62</v>
      </c>
      <c r="AG2680">
        <v>2</v>
      </c>
      <c r="AH2680">
        <v>4</v>
      </c>
      <c r="AI2680">
        <v>7</v>
      </c>
      <c r="AJ2680">
        <v>0.36364000000000002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2</v>
      </c>
      <c r="AR2680">
        <v>2</v>
      </c>
      <c r="AS2680">
        <v>4</v>
      </c>
      <c r="AT2680">
        <v>0.33333000000000002</v>
      </c>
      <c r="AU2680">
        <v>11</v>
      </c>
      <c r="AV2680">
        <v>11</v>
      </c>
      <c r="AW2680">
        <v>24</v>
      </c>
      <c r="AX2680">
        <v>6</v>
      </c>
      <c r="AY2680">
        <v>10</v>
      </c>
      <c r="AZ2680">
        <v>5</v>
      </c>
      <c r="BA2680" t="s">
        <v>11251</v>
      </c>
      <c r="BB2680" t="s">
        <v>11252</v>
      </c>
      <c r="BC2680">
        <v>0.76900000000000002</v>
      </c>
      <c r="BD2680" t="s">
        <v>65</v>
      </c>
      <c r="BE2680">
        <v>34</v>
      </c>
      <c r="BF2680">
        <v>11</v>
      </c>
      <c r="BG2680" t="s">
        <v>11253</v>
      </c>
      <c r="BH2680" t="s">
        <v>11254</v>
      </c>
      <c r="BI2680" t="s">
        <v>11255</v>
      </c>
      <c r="BJ2680">
        <v>0.12077</v>
      </c>
      <c r="BK2680">
        <v>1</v>
      </c>
      <c r="BL2680" t="s">
        <v>69</v>
      </c>
      <c r="BM2680">
        <v>-1.4259999999999999</v>
      </c>
      <c r="BN2680">
        <v>-2.0779999999999998</v>
      </c>
    </row>
    <row r="2681" spans="10:66">
      <c r="J2681">
        <v>0</v>
      </c>
      <c r="K2681">
        <v>0</v>
      </c>
      <c r="L2681">
        <v>0</v>
      </c>
      <c r="M2681" t="s">
        <v>25022</v>
      </c>
      <c r="N2681">
        <v>1797</v>
      </c>
      <c r="O2681" t="s">
        <v>11256</v>
      </c>
      <c r="P2681" t="s">
        <v>57</v>
      </c>
      <c r="Q2681">
        <v>1867373</v>
      </c>
      <c r="R2681">
        <v>1867591</v>
      </c>
      <c r="S2681" t="s">
        <v>11257</v>
      </c>
      <c r="T2681">
        <v>73</v>
      </c>
      <c r="U2681" t="s">
        <v>59</v>
      </c>
      <c r="V2681">
        <v>49</v>
      </c>
      <c r="W2681" t="str">
        <f>HYPERLINK("Gene1797-zp_tree_all.dnd", "Gene1797-tree")</f>
        <v>Gene1797-tree</v>
      </c>
      <c r="X2681">
        <v>5</v>
      </c>
      <c r="Y2681">
        <v>0</v>
      </c>
      <c r="Z2681">
        <v>5</v>
      </c>
      <c r="AA2681">
        <v>0</v>
      </c>
      <c r="AB2681">
        <v>0</v>
      </c>
      <c r="AC2681" t="s">
        <v>199</v>
      </c>
      <c r="AD2681" t="s">
        <v>62</v>
      </c>
      <c r="AE2681" t="s">
        <v>62</v>
      </c>
      <c r="AF2681" t="s">
        <v>62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2</v>
      </c>
      <c r="AV2681">
        <v>2</v>
      </c>
      <c r="AW2681">
        <v>3</v>
      </c>
      <c r="AX2681">
        <v>0</v>
      </c>
      <c r="AY2681">
        <v>3</v>
      </c>
      <c r="AZ2681">
        <v>0</v>
      </c>
      <c r="BA2681" t="s">
        <v>193</v>
      </c>
      <c r="BB2681" t="s">
        <v>193</v>
      </c>
      <c r="BC2681">
        <v>0</v>
      </c>
      <c r="BD2681" t="s">
        <v>65</v>
      </c>
      <c r="BE2681">
        <v>6</v>
      </c>
      <c r="BF2681">
        <v>0</v>
      </c>
      <c r="BG2681" t="s">
        <v>11258</v>
      </c>
      <c r="BH2681" t="s">
        <v>11259</v>
      </c>
      <c r="BI2681" t="s">
        <v>193</v>
      </c>
      <c r="BJ2681">
        <v>0</v>
      </c>
      <c r="BK2681">
        <v>1</v>
      </c>
      <c r="BL2681" t="s">
        <v>69</v>
      </c>
      <c r="BM2681">
        <v>-1.048</v>
      </c>
      <c r="BN2681">
        <v>0.32</v>
      </c>
    </row>
    <row r="2682" spans="10:66">
      <c r="J2682">
        <v>0</v>
      </c>
      <c r="K2682">
        <v>0</v>
      </c>
      <c r="L2682">
        <v>0</v>
      </c>
      <c r="M2682" t="s">
        <v>25022</v>
      </c>
      <c r="N2682">
        <v>1798</v>
      </c>
      <c r="O2682" t="s">
        <v>11260</v>
      </c>
      <c r="P2682" t="s">
        <v>57</v>
      </c>
      <c r="Q2682">
        <v>1867790</v>
      </c>
      <c r="R2682">
        <v>1868059</v>
      </c>
      <c r="S2682" t="s">
        <v>116</v>
      </c>
      <c r="T2682">
        <v>90</v>
      </c>
      <c r="U2682" t="s">
        <v>1557</v>
      </c>
      <c r="V2682">
        <v>40</v>
      </c>
      <c r="W2682" t="str">
        <f>HYPERLINK("Gene1798-zp_tree_all.dnd", "Gene1798-tree")</f>
        <v>Gene1798-tree</v>
      </c>
      <c r="X2682">
        <v>5</v>
      </c>
      <c r="Y2682">
        <v>20</v>
      </c>
      <c r="Z2682">
        <v>5</v>
      </c>
      <c r="AA2682">
        <v>3</v>
      </c>
      <c r="AB2682">
        <v>0.375</v>
      </c>
      <c r="AC2682" t="s">
        <v>199</v>
      </c>
      <c r="AD2682" t="s">
        <v>11261</v>
      </c>
      <c r="AE2682">
        <v>5.3929999999999998</v>
      </c>
      <c r="AF2682" t="s">
        <v>65</v>
      </c>
      <c r="AG2682">
        <v>0</v>
      </c>
      <c r="AH2682">
        <v>0</v>
      </c>
      <c r="AI2682">
        <v>4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3</v>
      </c>
      <c r="AT2682">
        <v>0</v>
      </c>
      <c r="AU2682">
        <v>6</v>
      </c>
      <c r="AV2682">
        <v>2</v>
      </c>
      <c r="AW2682">
        <v>9</v>
      </c>
      <c r="AX2682">
        <v>3</v>
      </c>
      <c r="AY2682">
        <v>1</v>
      </c>
      <c r="AZ2682">
        <v>1</v>
      </c>
      <c r="BA2682" t="s">
        <v>11262</v>
      </c>
      <c r="BB2682" t="s">
        <v>11263</v>
      </c>
      <c r="BC2682">
        <v>0.46400000000000002</v>
      </c>
      <c r="BD2682" t="s">
        <v>65</v>
      </c>
      <c r="BE2682">
        <v>10</v>
      </c>
      <c r="BF2682">
        <v>4</v>
      </c>
      <c r="BG2682" t="s">
        <v>11264</v>
      </c>
      <c r="BH2682" t="s">
        <v>11265</v>
      </c>
      <c r="BI2682" t="s">
        <v>11266</v>
      </c>
      <c r="BJ2682">
        <v>0.11105</v>
      </c>
      <c r="BK2682">
        <v>0.99</v>
      </c>
      <c r="BL2682" t="s">
        <v>69</v>
      </c>
      <c r="BM2682">
        <v>-1.542</v>
      </c>
      <c r="BN2682">
        <v>-3.0110000000000001</v>
      </c>
    </row>
    <row r="2683" spans="10:66">
      <c r="J2683">
        <v>0</v>
      </c>
      <c r="K2683">
        <v>0</v>
      </c>
      <c r="L2683">
        <v>0</v>
      </c>
      <c r="M2683" t="s">
        <v>25022</v>
      </c>
      <c r="N2683">
        <v>1799</v>
      </c>
      <c r="O2683" t="s">
        <v>11267</v>
      </c>
      <c r="P2683" t="s">
        <v>57</v>
      </c>
      <c r="Q2683">
        <v>1868144</v>
      </c>
      <c r="R2683">
        <v>1868371</v>
      </c>
      <c r="S2683" t="s">
        <v>288</v>
      </c>
      <c r="T2683">
        <v>76</v>
      </c>
      <c r="U2683" t="s">
        <v>11268</v>
      </c>
      <c r="V2683">
        <v>48</v>
      </c>
      <c r="W2683" t="str">
        <f>HYPERLINK("Gene1799-zp_tree_all.dnd", "Gene1799-tree")</f>
        <v>Gene1799-tree</v>
      </c>
      <c r="X2683">
        <v>6</v>
      </c>
      <c r="Y2683">
        <v>0</v>
      </c>
      <c r="Z2683">
        <v>6</v>
      </c>
      <c r="AA2683">
        <v>0</v>
      </c>
      <c r="AB2683">
        <v>0</v>
      </c>
      <c r="AC2683" t="s">
        <v>90</v>
      </c>
      <c r="AD2683" t="s">
        <v>62</v>
      </c>
      <c r="AE2683" t="s">
        <v>62</v>
      </c>
      <c r="AF2683" t="s">
        <v>62</v>
      </c>
      <c r="AG2683">
        <v>0</v>
      </c>
      <c r="AH2683">
        <v>0</v>
      </c>
      <c r="AI2683">
        <v>2</v>
      </c>
      <c r="AJ2683">
        <v>0</v>
      </c>
      <c r="AK2683">
        <v>0</v>
      </c>
      <c r="AL2683">
        <v>0</v>
      </c>
      <c r="AM2683">
        <v>0</v>
      </c>
      <c r="AN2683">
        <v>2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3</v>
      </c>
      <c r="AV2683">
        <v>2</v>
      </c>
      <c r="AW2683">
        <v>4</v>
      </c>
      <c r="AX2683">
        <v>0</v>
      </c>
      <c r="AY2683">
        <v>2</v>
      </c>
      <c r="AZ2683">
        <v>2</v>
      </c>
      <c r="BA2683" t="s">
        <v>193</v>
      </c>
      <c r="BB2683" t="s">
        <v>11269</v>
      </c>
      <c r="BC2683">
        <v>1.4139999999999999</v>
      </c>
      <c r="BD2683" t="s">
        <v>65</v>
      </c>
      <c r="BE2683">
        <v>6</v>
      </c>
      <c r="BF2683">
        <v>2</v>
      </c>
      <c r="BG2683" t="s">
        <v>11270</v>
      </c>
      <c r="BH2683" t="s">
        <v>11271</v>
      </c>
      <c r="BI2683" t="s">
        <v>11272</v>
      </c>
      <c r="BJ2683">
        <v>0.10339</v>
      </c>
      <c r="BK2683">
        <v>1</v>
      </c>
      <c r="BL2683" t="s">
        <v>69</v>
      </c>
      <c r="BM2683">
        <v>-1.3120000000000001</v>
      </c>
      <c r="BN2683">
        <v>-1.2609999999999999</v>
      </c>
    </row>
    <row r="2684" spans="10:66">
      <c r="J2684">
        <v>0</v>
      </c>
      <c r="K2684">
        <v>0</v>
      </c>
      <c r="L2684">
        <v>4</v>
      </c>
      <c r="M2684" t="s">
        <v>25022</v>
      </c>
      <c r="N2684">
        <v>1800</v>
      </c>
      <c r="O2684" t="s">
        <v>11273</v>
      </c>
      <c r="P2684" t="s">
        <v>57</v>
      </c>
      <c r="Q2684">
        <v>1868617</v>
      </c>
      <c r="R2684">
        <v>1869006</v>
      </c>
      <c r="S2684" t="s">
        <v>11274</v>
      </c>
      <c r="T2684">
        <v>130</v>
      </c>
      <c r="U2684" t="s">
        <v>515</v>
      </c>
      <c r="V2684">
        <v>51</v>
      </c>
      <c r="W2684" t="str">
        <f>HYPERLINK("Gene1800-zp_tree_all.dnd", "Gene1800-tree")</f>
        <v>Gene1800-tree</v>
      </c>
      <c r="X2684">
        <v>30</v>
      </c>
      <c r="Y2684">
        <v>0</v>
      </c>
      <c r="Z2684">
        <v>13</v>
      </c>
      <c r="AA2684">
        <v>0</v>
      </c>
      <c r="AB2684">
        <v>0</v>
      </c>
      <c r="AC2684" t="s">
        <v>2704</v>
      </c>
      <c r="AD2684" t="s">
        <v>62</v>
      </c>
      <c r="AE2684" t="s">
        <v>62</v>
      </c>
      <c r="AF2684" t="s">
        <v>62</v>
      </c>
      <c r="AG2684">
        <v>2</v>
      </c>
      <c r="AH2684">
        <v>4</v>
      </c>
      <c r="AI2684">
        <v>3</v>
      </c>
      <c r="AJ2684">
        <v>0.57142999999999999</v>
      </c>
      <c r="AK2684">
        <v>0</v>
      </c>
      <c r="AL2684">
        <v>2</v>
      </c>
      <c r="AM2684">
        <v>2</v>
      </c>
      <c r="AN2684">
        <v>4</v>
      </c>
      <c r="AO2684">
        <v>0.33333000000000002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8</v>
      </c>
      <c r="AV2684">
        <v>6</v>
      </c>
      <c r="AW2684">
        <v>11</v>
      </c>
      <c r="AX2684">
        <v>0</v>
      </c>
      <c r="AY2684">
        <v>14</v>
      </c>
      <c r="AZ2684">
        <v>7</v>
      </c>
      <c r="BA2684" t="s">
        <v>193</v>
      </c>
      <c r="BB2684" t="s">
        <v>11275</v>
      </c>
      <c r="BC2684">
        <v>1.9390000000000001</v>
      </c>
      <c r="BD2684" t="s">
        <v>65</v>
      </c>
      <c r="BE2684">
        <v>25</v>
      </c>
      <c r="BF2684">
        <v>7</v>
      </c>
      <c r="BG2684" t="s">
        <v>11276</v>
      </c>
      <c r="BH2684" t="s">
        <v>11277</v>
      </c>
      <c r="BI2684" t="s">
        <v>11278</v>
      </c>
      <c r="BJ2684">
        <v>0.11144999999999999</v>
      </c>
      <c r="BK2684">
        <v>1</v>
      </c>
      <c r="BL2684" t="s">
        <v>69</v>
      </c>
      <c r="BM2684">
        <v>-1.2709999999999999</v>
      </c>
      <c r="BN2684">
        <v>7.1999999999999995E-2</v>
      </c>
    </row>
    <row r="2685" spans="10:66">
      <c r="J2685">
        <v>0</v>
      </c>
      <c r="K2685">
        <v>8</v>
      </c>
      <c r="L2685">
        <v>4</v>
      </c>
      <c r="M2685" t="s">
        <v>25022</v>
      </c>
      <c r="N2685">
        <v>1801</v>
      </c>
      <c r="O2685" t="s">
        <v>11279</v>
      </c>
      <c r="P2685" t="s">
        <v>57</v>
      </c>
      <c r="Q2685">
        <v>1868969</v>
      </c>
      <c r="R2685">
        <v>1871068</v>
      </c>
      <c r="S2685" t="s">
        <v>11280</v>
      </c>
      <c r="T2685">
        <v>700</v>
      </c>
      <c r="U2685" t="s">
        <v>125</v>
      </c>
      <c r="V2685">
        <v>48</v>
      </c>
      <c r="W2685" t="str">
        <f>HYPERLINK("Gene1801-zp_tree_all.dnd", "Gene1801-tree")</f>
        <v>Gene1801-tree</v>
      </c>
      <c r="X2685">
        <v>15</v>
      </c>
      <c r="Y2685">
        <v>5</v>
      </c>
      <c r="Z2685">
        <v>15</v>
      </c>
      <c r="AA2685">
        <v>5</v>
      </c>
      <c r="AB2685">
        <v>0.25</v>
      </c>
      <c r="AC2685" t="s">
        <v>100</v>
      </c>
      <c r="AD2685" t="s">
        <v>199</v>
      </c>
      <c r="AE2685" t="s">
        <v>62</v>
      </c>
      <c r="AF2685" t="s">
        <v>62</v>
      </c>
      <c r="AG2685">
        <v>6</v>
      </c>
      <c r="AH2685">
        <v>12</v>
      </c>
      <c r="AI2685">
        <v>5</v>
      </c>
      <c r="AJ2685">
        <v>0.70587999999999995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8</v>
      </c>
      <c r="AT2685">
        <v>0</v>
      </c>
      <c r="AU2685">
        <v>17</v>
      </c>
      <c r="AV2685">
        <v>16</v>
      </c>
      <c r="AW2685">
        <v>100</v>
      </c>
      <c r="AX2685">
        <v>4</v>
      </c>
      <c r="AY2685">
        <v>145</v>
      </c>
      <c r="AZ2685">
        <v>14</v>
      </c>
      <c r="BA2685" t="s">
        <v>11281</v>
      </c>
      <c r="BB2685" t="s">
        <v>11282</v>
      </c>
      <c r="BC2685">
        <v>0.50800000000000001</v>
      </c>
      <c r="BD2685" t="s">
        <v>65</v>
      </c>
      <c r="BE2685">
        <v>245</v>
      </c>
      <c r="BF2685">
        <v>18</v>
      </c>
      <c r="BG2685" t="s">
        <v>11283</v>
      </c>
      <c r="BH2685" t="s">
        <v>11284</v>
      </c>
      <c r="BI2685" t="s">
        <v>11285</v>
      </c>
      <c r="BJ2685">
        <v>1.992E-2</v>
      </c>
      <c r="BK2685">
        <v>1</v>
      </c>
      <c r="BL2685" t="s">
        <v>69</v>
      </c>
      <c r="BM2685">
        <v>-0.434</v>
      </c>
      <c r="BN2685">
        <v>0.105</v>
      </c>
    </row>
    <row r="2686" spans="10:66">
      <c r="J2686">
        <v>0</v>
      </c>
      <c r="K2686">
        <v>0</v>
      </c>
      <c r="L2686">
        <v>0</v>
      </c>
      <c r="M2686" t="s">
        <v>25022</v>
      </c>
      <c r="N2686">
        <v>1802</v>
      </c>
      <c r="O2686" t="s">
        <v>11286</v>
      </c>
      <c r="P2686" t="s">
        <v>57</v>
      </c>
      <c r="Q2686">
        <v>1871089</v>
      </c>
      <c r="R2686">
        <v>1872075</v>
      </c>
      <c r="S2686" t="s">
        <v>11287</v>
      </c>
      <c r="T2686">
        <v>329</v>
      </c>
      <c r="U2686" t="s">
        <v>125</v>
      </c>
      <c r="V2686">
        <v>48</v>
      </c>
      <c r="W2686" t="str">
        <f>HYPERLINK("Gene1802-zp_tree_all.dnd", "Gene1802-tree")</f>
        <v>Gene1802-tree</v>
      </c>
      <c r="X2686">
        <v>17</v>
      </c>
      <c r="Y2686">
        <v>1</v>
      </c>
      <c r="Z2686">
        <v>17</v>
      </c>
      <c r="AA2686">
        <v>1</v>
      </c>
      <c r="AB2686">
        <v>5.5559999999999998E-2</v>
      </c>
      <c r="AC2686" t="s">
        <v>266</v>
      </c>
      <c r="AD2686" t="s">
        <v>175</v>
      </c>
      <c r="AE2686" t="s">
        <v>62</v>
      </c>
      <c r="AF2686" t="s">
        <v>62</v>
      </c>
      <c r="AG2686">
        <v>0</v>
      </c>
      <c r="AH2686">
        <v>0</v>
      </c>
      <c r="AI2686">
        <v>4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0</v>
      </c>
      <c r="AU2686">
        <v>16</v>
      </c>
      <c r="AV2686">
        <v>13</v>
      </c>
      <c r="AW2686">
        <v>46</v>
      </c>
      <c r="AX2686">
        <v>1</v>
      </c>
      <c r="AY2686">
        <v>65</v>
      </c>
      <c r="AZ2686">
        <v>3</v>
      </c>
      <c r="BA2686" t="s">
        <v>11288</v>
      </c>
      <c r="BB2686" t="s">
        <v>11289</v>
      </c>
      <c r="BC2686">
        <v>0.125</v>
      </c>
      <c r="BD2686" t="s">
        <v>65</v>
      </c>
      <c r="BE2686">
        <v>111</v>
      </c>
      <c r="BF2686">
        <v>4</v>
      </c>
      <c r="BG2686" t="s">
        <v>11290</v>
      </c>
      <c r="BH2686" t="s">
        <v>11291</v>
      </c>
      <c r="BI2686" t="s">
        <v>11292</v>
      </c>
      <c r="BJ2686">
        <v>1.298E-2</v>
      </c>
      <c r="BK2686">
        <v>1</v>
      </c>
      <c r="BL2686" t="s">
        <v>69</v>
      </c>
      <c r="BM2686">
        <v>-0.95399999999999996</v>
      </c>
      <c r="BN2686">
        <v>0.16500000000000001</v>
      </c>
    </row>
    <row r="2687" spans="10:66">
      <c r="J2687">
        <v>0</v>
      </c>
      <c r="K2687">
        <v>0</v>
      </c>
      <c r="L2687">
        <v>0</v>
      </c>
      <c r="M2687" t="s">
        <v>25022</v>
      </c>
      <c r="N2687">
        <v>1803</v>
      </c>
      <c r="O2687" t="s">
        <v>11293</v>
      </c>
      <c r="P2687" t="s">
        <v>57</v>
      </c>
      <c r="Q2687">
        <v>1872128</v>
      </c>
      <c r="R2687">
        <v>1872745</v>
      </c>
      <c r="S2687" t="s">
        <v>11294</v>
      </c>
      <c r="T2687">
        <v>206</v>
      </c>
      <c r="U2687" t="s">
        <v>108</v>
      </c>
      <c r="V2687">
        <v>44</v>
      </c>
      <c r="W2687" t="str">
        <f>HYPERLINK("Gene1803-zp_tree_all.dnd", "Gene1803-tree")</f>
        <v>Gene1803-tree</v>
      </c>
      <c r="X2687">
        <v>28</v>
      </c>
      <c r="Y2687">
        <v>3</v>
      </c>
      <c r="Z2687">
        <v>8</v>
      </c>
      <c r="AA2687">
        <v>3</v>
      </c>
      <c r="AB2687">
        <v>0.27272999999999997</v>
      </c>
      <c r="AC2687" t="s">
        <v>3778</v>
      </c>
      <c r="AD2687" t="s">
        <v>324</v>
      </c>
      <c r="AE2687" t="s">
        <v>62</v>
      </c>
      <c r="AF2687" t="s">
        <v>62</v>
      </c>
      <c r="AG2687">
        <v>0</v>
      </c>
      <c r="AH2687">
        <v>0</v>
      </c>
      <c r="AI2687">
        <v>9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7</v>
      </c>
      <c r="AT2687">
        <v>0</v>
      </c>
      <c r="AU2687">
        <v>7</v>
      </c>
      <c r="AV2687">
        <v>6</v>
      </c>
      <c r="AW2687">
        <v>20</v>
      </c>
      <c r="AX2687">
        <v>7</v>
      </c>
      <c r="AY2687">
        <v>13</v>
      </c>
      <c r="AZ2687">
        <v>2</v>
      </c>
      <c r="BA2687" t="s">
        <v>11295</v>
      </c>
      <c r="BB2687" t="s">
        <v>11296</v>
      </c>
      <c r="BC2687">
        <v>0.371</v>
      </c>
      <c r="BD2687" t="s">
        <v>65</v>
      </c>
      <c r="BE2687">
        <v>33</v>
      </c>
      <c r="BF2687">
        <v>9</v>
      </c>
      <c r="BG2687" t="s">
        <v>11297</v>
      </c>
      <c r="BH2687" t="s">
        <v>11298</v>
      </c>
      <c r="BI2687" t="s">
        <v>11299</v>
      </c>
      <c r="BJ2687">
        <v>6.0909999999999999E-2</v>
      </c>
      <c r="BK2687">
        <v>1</v>
      </c>
      <c r="BL2687" t="s">
        <v>69</v>
      </c>
      <c r="BM2687">
        <v>-0.93400000000000005</v>
      </c>
      <c r="BN2687">
        <v>-2.5270000000000001</v>
      </c>
    </row>
    <row r="2688" spans="10:66">
      <c r="J2688">
        <v>0</v>
      </c>
      <c r="K2688">
        <v>0</v>
      </c>
      <c r="L2688">
        <v>0</v>
      </c>
      <c r="M2688" t="s">
        <v>25022</v>
      </c>
      <c r="N2688">
        <v>1805</v>
      </c>
      <c r="O2688" t="s">
        <v>11307</v>
      </c>
      <c r="P2688" t="s">
        <v>57</v>
      </c>
      <c r="Q2688">
        <v>1874203</v>
      </c>
      <c r="R2688">
        <v>1875168</v>
      </c>
      <c r="S2688" t="s">
        <v>11308</v>
      </c>
      <c r="T2688">
        <v>322</v>
      </c>
      <c r="U2688" t="s">
        <v>11309</v>
      </c>
      <c r="V2688">
        <v>46</v>
      </c>
      <c r="W2688" t="str">
        <f>HYPERLINK("Gene1805-zp_tree_all.dnd", "Gene1805-tree")</f>
        <v>Gene1805-tree</v>
      </c>
      <c r="X2688">
        <v>16</v>
      </c>
      <c r="Y2688">
        <v>1</v>
      </c>
      <c r="Z2688">
        <v>16</v>
      </c>
      <c r="AA2688">
        <v>1</v>
      </c>
      <c r="AB2688">
        <v>5.8819999999999997E-2</v>
      </c>
      <c r="AC2688" t="s">
        <v>60</v>
      </c>
      <c r="AD2688" t="s">
        <v>175</v>
      </c>
      <c r="AE2688" t="s">
        <v>62</v>
      </c>
      <c r="AF2688" t="s">
        <v>62</v>
      </c>
      <c r="AG2688">
        <v>0</v>
      </c>
      <c r="AH2688">
        <v>0</v>
      </c>
      <c r="AI2688">
        <v>3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12</v>
      </c>
      <c r="AV2688">
        <v>11</v>
      </c>
      <c r="AW2688">
        <v>37</v>
      </c>
      <c r="AX2688">
        <v>1</v>
      </c>
      <c r="AY2688">
        <v>54</v>
      </c>
      <c r="AZ2688">
        <v>2</v>
      </c>
      <c r="BA2688" t="s">
        <v>11310</v>
      </c>
      <c r="BB2688" t="s">
        <v>11311</v>
      </c>
      <c r="BC2688">
        <v>4.9000000000000002E-2</v>
      </c>
      <c r="BD2688" t="s">
        <v>65</v>
      </c>
      <c r="BE2688">
        <v>91</v>
      </c>
      <c r="BF2688">
        <v>3</v>
      </c>
      <c r="BG2688" t="s">
        <v>11312</v>
      </c>
      <c r="BH2688" t="s">
        <v>11313</v>
      </c>
      <c r="BI2688" t="s">
        <v>11314</v>
      </c>
      <c r="BJ2688">
        <v>9.3100000000000006E-3</v>
      </c>
      <c r="BK2688">
        <v>1</v>
      </c>
      <c r="BL2688" t="s">
        <v>69</v>
      </c>
      <c r="BM2688">
        <v>-1.76</v>
      </c>
      <c r="BN2688">
        <v>-0.88700000000000001</v>
      </c>
    </row>
    <row r="2689" spans="10:66">
      <c r="J2689">
        <v>0</v>
      </c>
      <c r="K2689">
        <v>2</v>
      </c>
      <c r="L2689">
        <v>0</v>
      </c>
      <c r="M2689" t="s">
        <v>25022</v>
      </c>
      <c r="N2689">
        <v>1806</v>
      </c>
      <c r="O2689" t="s">
        <v>11315</v>
      </c>
      <c r="P2689" t="s">
        <v>57</v>
      </c>
      <c r="Q2689">
        <v>1875304</v>
      </c>
      <c r="R2689">
        <v>1876563</v>
      </c>
      <c r="S2689" t="s">
        <v>11316</v>
      </c>
      <c r="T2689">
        <v>420</v>
      </c>
      <c r="U2689" t="s">
        <v>108</v>
      </c>
      <c r="V2689">
        <v>44</v>
      </c>
      <c r="W2689" t="str">
        <f>HYPERLINK("Gene1806-zp_tree_all.dnd", "Gene1806-tree")</f>
        <v>Gene1806-tree</v>
      </c>
      <c r="X2689">
        <v>6</v>
      </c>
      <c r="Y2689">
        <v>7</v>
      </c>
      <c r="Z2689">
        <v>6</v>
      </c>
      <c r="AA2689">
        <v>7</v>
      </c>
      <c r="AB2689">
        <v>0.53846000000000005</v>
      </c>
      <c r="AC2689" t="s">
        <v>90</v>
      </c>
      <c r="AD2689" t="s">
        <v>152</v>
      </c>
      <c r="AE2689" t="s">
        <v>62</v>
      </c>
      <c r="AF2689" t="s">
        <v>62</v>
      </c>
      <c r="AG2689">
        <v>1</v>
      </c>
      <c r="AH2689">
        <v>2</v>
      </c>
      <c r="AI2689">
        <v>8</v>
      </c>
      <c r="AJ2689">
        <v>0.2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2</v>
      </c>
      <c r="AQ2689">
        <v>0</v>
      </c>
      <c r="AR2689">
        <v>2</v>
      </c>
      <c r="AS2689">
        <v>5</v>
      </c>
      <c r="AT2689">
        <v>0.28571000000000002</v>
      </c>
      <c r="AU2689">
        <v>10</v>
      </c>
      <c r="AV2689">
        <v>8</v>
      </c>
      <c r="AW2689">
        <v>20</v>
      </c>
      <c r="AX2689">
        <v>7</v>
      </c>
      <c r="AY2689">
        <v>15</v>
      </c>
      <c r="AZ2689">
        <v>4</v>
      </c>
      <c r="BA2689" t="s">
        <v>11317</v>
      </c>
      <c r="BB2689" t="s">
        <v>11318</v>
      </c>
      <c r="BC2689">
        <v>0.20100000000000001</v>
      </c>
      <c r="BD2689" t="s">
        <v>65</v>
      </c>
      <c r="BE2689">
        <v>35</v>
      </c>
      <c r="BF2689">
        <v>11</v>
      </c>
      <c r="BG2689" t="s">
        <v>11319</v>
      </c>
      <c r="BH2689" t="s">
        <v>11320</v>
      </c>
      <c r="BI2689" t="s">
        <v>11321</v>
      </c>
      <c r="BJ2689">
        <v>9.7030000000000005E-2</v>
      </c>
      <c r="BK2689">
        <v>1</v>
      </c>
      <c r="BL2689" t="s">
        <v>69</v>
      </c>
      <c r="BM2689">
        <v>-0.89800000000000002</v>
      </c>
      <c r="BN2689">
        <v>-0.76500000000000001</v>
      </c>
    </row>
    <row r="2690" spans="10:66">
      <c r="J2690">
        <v>0</v>
      </c>
      <c r="K2690">
        <v>4</v>
      </c>
      <c r="L2690">
        <v>0</v>
      </c>
      <c r="M2690" t="s">
        <v>25022</v>
      </c>
      <c r="N2690">
        <v>1807</v>
      </c>
      <c r="O2690" t="s">
        <v>11322</v>
      </c>
      <c r="P2690" t="s">
        <v>57</v>
      </c>
      <c r="Q2690">
        <v>1876584</v>
      </c>
      <c r="R2690">
        <v>1877846</v>
      </c>
      <c r="S2690" t="s">
        <v>11323</v>
      </c>
      <c r="T2690">
        <v>421</v>
      </c>
      <c r="U2690" t="s">
        <v>11324</v>
      </c>
      <c r="V2690">
        <v>46</v>
      </c>
      <c r="W2690" t="str">
        <f>HYPERLINK("Gene1807-zp_tree_all.dnd", "Gene1807-tree")</f>
        <v>Gene1807-tree</v>
      </c>
      <c r="X2690">
        <v>7</v>
      </c>
      <c r="Y2690">
        <v>8</v>
      </c>
      <c r="Z2690">
        <v>7</v>
      </c>
      <c r="AA2690">
        <v>8</v>
      </c>
      <c r="AB2690">
        <v>0.53332999999999997</v>
      </c>
      <c r="AC2690" t="s">
        <v>152</v>
      </c>
      <c r="AD2690" t="s">
        <v>136</v>
      </c>
      <c r="AE2690" t="s">
        <v>62</v>
      </c>
      <c r="AF2690" t="s">
        <v>62</v>
      </c>
      <c r="AG2690">
        <v>1</v>
      </c>
      <c r="AH2690">
        <v>4</v>
      </c>
      <c r="AI2690">
        <v>13</v>
      </c>
      <c r="AJ2690">
        <v>0.23529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3</v>
      </c>
      <c r="AQ2690">
        <v>0</v>
      </c>
      <c r="AR2690">
        <v>3</v>
      </c>
      <c r="AS2690">
        <v>10</v>
      </c>
      <c r="AT2690">
        <v>0.23077</v>
      </c>
      <c r="AU2690">
        <v>13</v>
      </c>
      <c r="AV2690">
        <v>11</v>
      </c>
      <c r="AW2690">
        <v>75</v>
      </c>
      <c r="AX2690">
        <v>14</v>
      </c>
      <c r="AY2690">
        <v>73</v>
      </c>
      <c r="AZ2690">
        <v>4</v>
      </c>
      <c r="BA2690" t="s">
        <v>11325</v>
      </c>
      <c r="BB2690" t="s">
        <v>11326</v>
      </c>
      <c r="BC2690">
        <v>1.0309999999999999</v>
      </c>
      <c r="BD2690" t="s">
        <v>65</v>
      </c>
      <c r="BE2690">
        <v>148</v>
      </c>
      <c r="BF2690">
        <v>18</v>
      </c>
      <c r="BG2690" t="s">
        <v>11327</v>
      </c>
      <c r="BH2690" t="s">
        <v>11328</v>
      </c>
      <c r="BI2690" t="s">
        <v>11329</v>
      </c>
      <c r="BJ2690">
        <v>2.9059999999999999E-2</v>
      </c>
      <c r="BK2690">
        <v>1</v>
      </c>
      <c r="BL2690" t="s">
        <v>69</v>
      </c>
      <c r="BM2690">
        <v>-1.4390000000000001</v>
      </c>
      <c r="BN2690">
        <v>-1.8149999999999999</v>
      </c>
    </row>
    <row r="2691" spans="10:66">
      <c r="J2691">
        <v>0</v>
      </c>
      <c r="K2691">
        <v>0</v>
      </c>
      <c r="L2691">
        <v>2</v>
      </c>
      <c r="M2691" t="s">
        <v>25022</v>
      </c>
      <c r="N2691">
        <v>1808</v>
      </c>
      <c r="O2691" t="s">
        <v>11330</v>
      </c>
      <c r="P2691" t="s">
        <v>57</v>
      </c>
      <c r="Q2691">
        <v>1877959</v>
      </c>
      <c r="R2691">
        <v>1878363</v>
      </c>
      <c r="S2691" t="s">
        <v>11331</v>
      </c>
      <c r="T2691">
        <v>135</v>
      </c>
      <c r="U2691" t="s">
        <v>59</v>
      </c>
      <c r="V2691">
        <v>49</v>
      </c>
      <c r="W2691" t="str">
        <f>HYPERLINK("Gene1808-zp_tree_all.dnd", "Gene1808-tree")</f>
        <v>Gene1808-tree</v>
      </c>
      <c r="X2691">
        <v>9</v>
      </c>
      <c r="Y2691">
        <v>4</v>
      </c>
      <c r="Z2691">
        <v>9</v>
      </c>
      <c r="AA2691">
        <v>4</v>
      </c>
      <c r="AB2691">
        <v>0.30769000000000002</v>
      </c>
      <c r="AC2691" t="s">
        <v>135</v>
      </c>
      <c r="AD2691" t="s">
        <v>61</v>
      </c>
      <c r="AE2691" t="s">
        <v>62</v>
      </c>
      <c r="AF2691" t="s">
        <v>62</v>
      </c>
      <c r="AG2691">
        <v>1</v>
      </c>
      <c r="AH2691">
        <v>2</v>
      </c>
      <c r="AI2691">
        <v>3</v>
      </c>
      <c r="AJ2691">
        <v>0.4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2</v>
      </c>
      <c r="AR2691">
        <v>2</v>
      </c>
      <c r="AS2691">
        <v>2</v>
      </c>
      <c r="AT2691">
        <v>0.5</v>
      </c>
      <c r="AU2691">
        <v>10</v>
      </c>
      <c r="AV2691">
        <v>6</v>
      </c>
      <c r="AW2691">
        <v>9</v>
      </c>
      <c r="AX2691">
        <v>4</v>
      </c>
      <c r="AY2691">
        <v>15</v>
      </c>
      <c r="AZ2691">
        <v>1</v>
      </c>
      <c r="BA2691" t="s">
        <v>11332</v>
      </c>
      <c r="BB2691" t="s">
        <v>11333</v>
      </c>
      <c r="BC2691">
        <v>1.26</v>
      </c>
      <c r="BD2691" t="s">
        <v>65</v>
      </c>
      <c r="BE2691">
        <v>24</v>
      </c>
      <c r="BF2691">
        <v>5</v>
      </c>
      <c r="BG2691" t="s">
        <v>11334</v>
      </c>
      <c r="BH2691" t="s">
        <v>11335</v>
      </c>
      <c r="BI2691" t="s">
        <v>11336</v>
      </c>
      <c r="BJ2691">
        <v>4.2950000000000002E-2</v>
      </c>
      <c r="BK2691">
        <v>1</v>
      </c>
      <c r="BL2691" t="s">
        <v>69</v>
      </c>
      <c r="BM2691">
        <v>-1.32</v>
      </c>
      <c r="BN2691">
        <v>-0.79900000000000004</v>
      </c>
    </row>
    <row r="2692" spans="10:66">
      <c r="J2692">
        <v>0</v>
      </c>
      <c r="K2692">
        <v>4</v>
      </c>
      <c r="L2692">
        <v>0</v>
      </c>
      <c r="M2692" t="s">
        <v>25022</v>
      </c>
      <c r="N2692">
        <v>1809</v>
      </c>
      <c r="O2692" t="s">
        <v>11337</v>
      </c>
      <c r="P2692" t="s">
        <v>57</v>
      </c>
      <c r="Q2692">
        <v>1878425</v>
      </c>
      <c r="R2692">
        <v>1879756</v>
      </c>
      <c r="S2692" t="s">
        <v>11338</v>
      </c>
      <c r="T2692">
        <v>444</v>
      </c>
      <c r="U2692" t="s">
        <v>59</v>
      </c>
      <c r="V2692">
        <v>49</v>
      </c>
      <c r="W2692" t="str">
        <f>HYPERLINK("Gene1809-zp_tree_all.dnd", "Gene1809-tree")</f>
        <v>Gene1809-tree</v>
      </c>
      <c r="X2692">
        <v>17</v>
      </c>
      <c r="Y2692">
        <v>2</v>
      </c>
      <c r="Z2692">
        <v>17</v>
      </c>
      <c r="AA2692">
        <v>2</v>
      </c>
      <c r="AB2692">
        <v>0.10526000000000001</v>
      </c>
      <c r="AC2692" t="s">
        <v>266</v>
      </c>
      <c r="AD2692" t="s">
        <v>81</v>
      </c>
      <c r="AE2692" t="s">
        <v>62</v>
      </c>
      <c r="AF2692" t="s">
        <v>62</v>
      </c>
      <c r="AG2692">
        <v>2</v>
      </c>
      <c r="AH2692">
        <v>4</v>
      </c>
      <c r="AI2692">
        <v>6</v>
      </c>
      <c r="AJ2692">
        <v>0.4</v>
      </c>
      <c r="AK2692">
        <v>0</v>
      </c>
      <c r="AL2692">
        <v>0</v>
      </c>
      <c r="AM2692">
        <v>0</v>
      </c>
      <c r="AN2692">
        <v>2</v>
      </c>
      <c r="AO2692">
        <v>0</v>
      </c>
      <c r="AP2692">
        <v>0</v>
      </c>
      <c r="AQ2692">
        <v>0</v>
      </c>
      <c r="AR2692">
        <v>0</v>
      </c>
      <c r="AS2692">
        <v>2</v>
      </c>
      <c r="AT2692">
        <v>0</v>
      </c>
      <c r="AU2692">
        <v>17</v>
      </c>
      <c r="AV2692">
        <v>15</v>
      </c>
      <c r="AW2692">
        <v>78</v>
      </c>
      <c r="AX2692">
        <v>2</v>
      </c>
      <c r="AY2692">
        <v>97</v>
      </c>
      <c r="AZ2692">
        <v>9</v>
      </c>
      <c r="BA2692" t="s">
        <v>11339</v>
      </c>
      <c r="BB2692" t="s">
        <v>11340</v>
      </c>
      <c r="BC2692">
        <v>0.74299999999999999</v>
      </c>
      <c r="BD2692" t="s">
        <v>65</v>
      </c>
      <c r="BE2692">
        <v>175</v>
      </c>
      <c r="BF2692">
        <v>11</v>
      </c>
      <c r="BG2692" t="s">
        <v>11341</v>
      </c>
      <c r="BH2692" t="s">
        <v>11342</v>
      </c>
      <c r="BI2692" t="s">
        <v>3093</v>
      </c>
      <c r="BJ2692">
        <v>2.0500000000000001E-2</v>
      </c>
      <c r="BK2692">
        <v>1</v>
      </c>
      <c r="BL2692" t="s">
        <v>69</v>
      </c>
      <c r="BM2692">
        <v>-0.92800000000000005</v>
      </c>
      <c r="BN2692">
        <v>-0.56200000000000006</v>
      </c>
    </row>
    <row r="2693" spans="10:66">
      <c r="J2693">
        <v>0</v>
      </c>
      <c r="K2693">
        <v>2</v>
      </c>
      <c r="L2693">
        <v>3</v>
      </c>
      <c r="M2693" t="s">
        <v>25022</v>
      </c>
      <c r="N2693">
        <v>1810</v>
      </c>
      <c r="O2693" t="s">
        <v>11343</v>
      </c>
      <c r="P2693" t="s">
        <v>57</v>
      </c>
      <c r="Q2693">
        <v>1880087</v>
      </c>
      <c r="R2693">
        <v>1880374</v>
      </c>
      <c r="S2693" t="s">
        <v>11344</v>
      </c>
      <c r="T2693">
        <v>96</v>
      </c>
      <c r="U2693" t="s">
        <v>1392</v>
      </c>
      <c r="V2693">
        <v>43</v>
      </c>
      <c r="W2693" t="str">
        <f>HYPERLINK("Gene1810-zp_tree_all.dnd", "Gene1810-tree")</f>
        <v>Gene1810-tree</v>
      </c>
      <c r="X2693">
        <v>3</v>
      </c>
      <c r="Y2693">
        <v>7</v>
      </c>
      <c r="Z2693">
        <v>3</v>
      </c>
      <c r="AA2693">
        <v>7</v>
      </c>
      <c r="AB2693">
        <v>0.7</v>
      </c>
      <c r="AC2693" t="s">
        <v>324</v>
      </c>
      <c r="AD2693" t="s">
        <v>152</v>
      </c>
      <c r="AE2693" t="s">
        <v>62</v>
      </c>
      <c r="AF2693" t="s">
        <v>62</v>
      </c>
      <c r="AG2693">
        <v>2</v>
      </c>
      <c r="AH2693">
        <v>5</v>
      </c>
      <c r="AI2693">
        <v>10</v>
      </c>
      <c r="AJ2693">
        <v>0.33333000000000002</v>
      </c>
      <c r="AK2693">
        <v>0</v>
      </c>
      <c r="AL2693">
        <v>0</v>
      </c>
      <c r="AM2693">
        <v>0</v>
      </c>
      <c r="AN2693">
        <v>2</v>
      </c>
      <c r="AO2693">
        <v>0</v>
      </c>
      <c r="AP2693">
        <v>0</v>
      </c>
      <c r="AQ2693">
        <v>0</v>
      </c>
      <c r="AR2693">
        <v>0</v>
      </c>
      <c r="AS2693">
        <v>11</v>
      </c>
      <c r="AT2693">
        <v>0</v>
      </c>
      <c r="AU2693">
        <v>8</v>
      </c>
      <c r="AV2693">
        <v>3</v>
      </c>
      <c r="AW2693">
        <v>8</v>
      </c>
      <c r="AX2693">
        <v>12</v>
      </c>
      <c r="AY2693">
        <v>2</v>
      </c>
      <c r="AZ2693">
        <v>4</v>
      </c>
      <c r="BA2693" t="s">
        <v>11345</v>
      </c>
      <c r="BB2693" t="s">
        <v>11346</v>
      </c>
      <c r="BC2693">
        <v>0.33600000000000002</v>
      </c>
      <c r="BD2693" t="s">
        <v>65</v>
      </c>
      <c r="BE2693">
        <v>10</v>
      </c>
      <c r="BF2693">
        <v>16</v>
      </c>
      <c r="BG2693" t="s">
        <v>11347</v>
      </c>
      <c r="BH2693" t="s">
        <v>11348</v>
      </c>
      <c r="BI2693" t="s">
        <v>11349</v>
      </c>
      <c r="BJ2693">
        <v>0.53815999999999997</v>
      </c>
      <c r="BK2693">
        <v>0.82</v>
      </c>
      <c r="BL2693" t="s">
        <v>635</v>
      </c>
      <c r="BM2693">
        <v>-1.1020000000000001</v>
      </c>
      <c r="BN2693">
        <v>-3.2050000000000001</v>
      </c>
    </row>
    <row r="2694" spans="10:66">
      <c r="J2694">
        <v>0</v>
      </c>
      <c r="K2694">
        <v>0</v>
      </c>
      <c r="L2694">
        <v>0</v>
      </c>
      <c r="M2694" t="s">
        <v>25022</v>
      </c>
      <c r="N2694">
        <v>1811</v>
      </c>
      <c r="O2694" t="s">
        <v>11350</v>
      </c>
      <c r="P2694" t="s">
        <v>57</v>
      </c>
      <c r="Q2694">
        <v>1880623</v>
      </c>
      <c r="R2694">
        <v>1880964</v>
      </c>
      <c r="S2694" t="s">
        <v>11351</v>
      </c>
      <c r="T2694">
        <v>114</v>
      </c>
      <c r="U2694" t="s">
        <v>11352</v>
      </c>
      <c r="V2694">
        <v>24</v>
      </c>
      <c r="W2694" t="str">
        <f>HYPERLINK("Gene1811-zp_tree_all.dnd", "Gene1811-tree")</f>
        <v>Gene1811-tree</v>
      </c>
      <c r="X2694">
        <v>0</v>
      </c>
      <c r="Y2694">
        <v>24</v>
      </c>
      <c r="Z2694">
        <v>0</v>
      </c>
      <c r="AA2694">
        <v>4</v>
      </c>
      <c r="AB2694">
        <v>1</v>
      </c>
      <c r="AC2694" t="s">
        <v>62</v>
      </c>
      <c r="AD2694" t="s">
        <v>1495</v>
      </c>
      <c r="AE2694">
        <v>6.851</v>
      </c>
      <c r="AF2694" t="s">
        <v>65</v>
      </c>
      <c r="AG2694">
        <v>0</v>
      </c>
      <c r="AH2694">
        <v>0</v>
      </c>
      <c r="AI2694">
        <v>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3</v>
      </c>
      <c r="AT2694">
        <v>0</v>
      </c>
      <c r="AU2694">
        <v>2</v>
      </c>
      <c r="AV2694">
        <v>1</v>
      </c>
      <c r="AW2694">
        <v>2</v>
      </c>
      <c r="AX2694">
        <v>2</v>
      </c>
      <c r="AY2694">
        <v>0</v>
      </c>
      <c r="AZ2694">
        <v>1</v>
      </c>
      <c r="BA2694" t="s">
        <v>11353</v>
      </c>
      <c r="BB2694" t="s">
        <v>193</v>
      </c>
      <c r="BC2694">
        <v>1.4139999999999999</v>
      </c>
      <c r="BD2694" t="s">
        <v>65</v>
      </c>
      <c r="BE2694">
        <v>2</v>
      </c>
      <c r="BF2694">
        <v>3</v>
      </c>
      <c r="BG2694" t="s">
        <v>11354</v>
      </c>
      <c r="BH2694" t="s">
        <v>11355</v>
      </c>
      <c r="BI2694" t="s">
        <v>11356</v>
      </c>
      <c r="BJ2694">
        <v>0.41444999999999999</v>
      </c>
      <c r="BK2694">
        <v>0.72899999999999998</v>
      </c>
      <c r="BL2694" t="s">
        <v>635</v>
      </c>
      <c r="BM2694">
        <v>-0.89</v>
      </c>
      <c r="BN2694">
        <v>0.33200000000000002</v>
      </c>
    </row>
    <row r="2695" spans="10:66">
      <c r="J2695">
        <v>0</v>
      </c>
      <c r="K2695">
        <v>0</v>
      </c>
      <c r="L2695">
        <v>3</v>
      </c>
      <c r="M2695" t="s">
        <v>25022</v>
      </c>
      <c r="N2695">
        <v>1812</v>
      </c>
      <c r="O2695" t="s">
        <v>11357</v>
      </c>
      <c r="P2695" t="s">
        <v>57</v>
      </c>
      <c r="Q2695">
        <v>1881098</v>
      </c>
      <c r="R2695">
        <v>1881346</v>
      </c>
      <c r="S2695" t="s">
        <v>11351</v>
      </c>
      <c r="T2695">
        <v>83</v>
      </c>
      <c r="U2695" t="s">
        <v>11358</v>
      </c>
      <c r="V2695">
        <v>37</v>
      </c>
      <c r="W2695" t="str">
        <f>HYPERLINK("Gene1812-zp_tree_all.dnd", "Gene1812-tree")</f>
        <v>Gene1812-tree</v>
      </c>
      <c r="X2695">
        <v>2</v>
      </c>
      <c r="Y2695">
        <v>5</v>
      </c>
      <c r="Z2695">
        <v>2</v>
      </c>
      <c r="AA2695">
        <v>5</v>
      </c>
      <c r="AB2695">
        <v>0.71428999999999998</v>
      </c>
      <c r="AC2695" t="s">
        <v>81</v>
      </c>
      <c r="AD2695" t="s">
        <v>199</v>
      </c>
      <c r="AE2695" t="s">
        <v>62</v>
      </c>
      <c r="AF2695" t="s">
        <v>62</v>
      </c>
      <c r="AG2695">
        <v>1</v>
      </c>
      <c r="AH2695">
        <v>3</v>
      </c>
      <c r="AI2695">
        <v>8</v>
      </c>
      <c r="AJ2695">
        <v>0.27272999999999997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6</v>
      </c>
      <c r="AT2695">
        <v>0</v>
      </c>
      <c r="AU2695">
        <v>5</v>
      </c>
      <c r="AV2695">
        <v>3</v>
      </c>
      <c r="AW2695">
        <v>5</v>
      </c>
      <c r="AX2695">
        <v>3</v>
      </c>
      <c r="AY2695">
        <v>6</v>
      </c>
      <c r="AZ2695">
        <v>8</v>
      </c>
      <c r="BA2695" t="s">
        <v>11359</v>
      </c>
      <c r="BB2695" t="s">
        <v>11360</v>
      </c>
      <c r="BC2695">
        <v>0.748</v>
      </c>
      <c r="BD2695" t="s">
        <v>65</v>
      </c>
      <c r="BE2695">
        <v>11</v>
      </c>
      <c r="BF2695">
        <v>11</v>
      </c>
      <c r="BG2695" t="s">
        <v>11361</v>
      </c>
      <c r="BH2695" t="s">
        <v>11362</v>
      </c>
      <c r="BI2695" t="s">
        <v>11363</v>
      </c>
      <c r="BJ2695">
        <v>0.27550000000000002</v>
      </c>
      <c r="BK2695">
        <v>0.95</v>
      </c>
      <c r="BL2695" t="s">
        <v>635</v>
      </c>
      <c r="BM2695">
        <v>-0.98799999999999999</v>
      </c>
      <c r="BN2695">
        <v>-0.26800000000000002</v>
      </c>
    </row>
    <row r="2696" spans="10:66">
      <c r="J2696">
        <v>0</v>
      </c>
      <c r="K2696">
        <v>0</v>
      </c>
      <c r="L2696">
        <v>0</v>
      </c>
      <c r="M2696" t="s">
        <v>25022</v>
      </c>
      <c r="N2696">
        <v>1813</v>
      </c>
      <c r="O2696" t="s">
        <v>11364</v>
      </c>
      <c r="P2696" t="s">
        <v>57</v>
      </c>
      <c r="Q2696">
        <v>1881536</v>
      </c>
      <c r="R2696">
        <v>1881967</v>
      </c>
      <c r="S2696" t="s">
        <v>11351</v>
      </c>
      <c r="T2696">
        <v>144</v>
      </c>
      <c r="U2696" t="s">
        <v>11365</v>
      </c>
      <c r="V2696">
        <v>27</v>
      </c>
      <c r="W2696" t="str">
        <f>HYPERLINK("Gene1813-zp_tree_all.dnd", "Gene1813-tree")</f>
        <v>Gene1813-tree</v>
      </c>
      <c r="X2696">
        <v>0</v>
      </c>
      <c r="Y2696">
        <v>24</v>
      </c>
      <c r="Z2696">
        <v>0</v>
      </c>
      <c r="AA2696">
        <v>4</v>
      </c>
      <c r="AB2696">
        <v>1</v>
      </c>
      <c r="AC2696" t="s">
        <v>62</v>
      </c>
      <c r="AD2696" t="s">
        <v>1495</v>
      </c>
      <c r="AE2696">
        <v>6.851</v>
      </c>
      <c r="AF2696" t="s">
        <v>65</v>
      </c>
      <c r="AG2696">
        <v>0</v>
      </c>
      <c r="AH2696">
        <v>0</v>
      </c>
      <c r="AI2696">
        <v>4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4</v>
      </c>
      <c r="AT2696">
        <v>0</v>
      </c>
      <c r="AU2696">
        <v>3</v>
      </c>
      <c r="AV2696">
        <v>0</v>
      </c>
      <c r="AW2696">
        <v>9</v>
      </c>
      <c r="AX2696">
        <v>4</v>
      </c>
      <c r="AY2696">
        <v>0</v>
      </c>
      <c r="AZ2696">
        <v>0</v>
      </c>
      <c r="BA2696" t="s">
        <v>11366</v>
      </c>
      <c r="BB2696" t="s">
        <v>193</v>
      </c>
      <c r="BC2696">
        <v>1.111</v>
      </c>
      <c r="BD2696" t="s">
        <v>65</v>
      </c>
      <c r="BE2696">
        <v>9</v>
      </c>
      <c r="BF2696">
        <v>4</v>
      </c>
      <c r="BG2696" t="s">
        <v>11367</v>
      </c>
      <c r="BH2696" t="s">
        <v>11368</v>
      </c>
      <c r="BI2696" t="s">
        <v>11369</v>
      </c>
      <c r="BJ2696">
        <v>0.10876</v>
      </c>
      <c r="BK2696">
        <v>1</v>
      </c>
      <c r="BL2696" t="s">
        <v>69</v>
      </c>
      <c r="BM2696">
        <v>-2.1280000000000001</v>
      </c>
      <c r="BN2696">
        <v>-3.621</v>
      </c>
    </row>
    <row r="2697" spans="10:66">
      <c r="J2697">
        <v>0</v>
      </c>
      <c r="K2697">
        <v>0</v>
      </c>
      <c r="L2697">
        <v>4</v>
      </c>
      <c r="M2697" t="s">
        <v>25022</v>
      </c>
      <c r="N2697">
        <v>1814</v>
      </c>
      <c r="O2697" t="s">
        <v>11370</v>
      </c>
      <c r="P2697" t="s">
        <v>57</v>
      </c>
      <c r="Q2697">
        <v>1882040</v>
      </c>
      <c r="R2697">
        <v>1882828</v>
      </c>
      <c r="S2697" t="s">
        <v>11371</v>
      </c>
      <c r="T2697">
        <v>263</v>
      </c>
      <c r="U2697" t="s">
        <v>11372</v>
      </c>
      <c r="V2697">
        <v>24</v>
      </c>
      <c r="W2697" t="str">
        <f>HYPERLINK("Gene1814-zp_tree_all.dnd", "Gene1814-tree")</f>
        <v>Gene1814-tree</v>
      </c>
      <c r="X2697">
        <v>0</v>
      </c>
      <c r="Y2697">
        <v>4</v>
      </c>
      <c r="Z2697">
        <v>0</v>
      </c>
      <c r="AA2697">
        <v>4</v>
      </c>
      <c r="AB2697">
        <v>1</v>
      </c>
      <c r="AC2697" t="s">
        <v>62</v>
      </c>
      <c r="AD2697" t="s">
        <v>61</v>
      </c>
      <c r="AE2697" t="s">
        <v>62</v>
      </c>
      <c r="AF2697" t="s">
        <v>62</v>
      </c>
      <c r="AG2697">
        <v>2</v>
      </c>
      <c r="AH2697">
        <v>4</v>
      </c>
      <c r="AI2697">
        <v>13</v>
      </c>
      <c r="AJ2697">
        <v>0.23529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2</v>
      </c>
      <c r="AR2697">
        <v>2</v>
      </c>
      <c r="AS2697">
        <v>11</v>
      </c>
      <c r="AT2697">
        <v>0.15384999999999999</v>
      </c>
      <c r="AU2697">
        <v>4</v>
      </c>
      <c r="AV2697">
        <v>1</v>
      </c>
      <c r="AW2697">
        <v>8</v>
      </c>
      <c r="AX2697">
        <v>13</v>
      </c>
      <c r="AY2697">
        <v>4</v>
      </c>
      <c r="AZ2697">
        <v>4</v>
      </c>
      <c r="BA2697" t="s">
        <v>11373</v>
      </c>
      <c r="BB2697" t="s">
        <v>11374</v>
      </c>
      <c r="BC2697">
        <v>1.4450000000000001</v>
      </c>
      <c r="BD2697" t="s">
        <v>65</v>
      </c>
      <c r="BE2697">
        <v>12</v>
      </c>
      <c r="BF2697">
        <v>17</v>
      </c>
      <c r="BG2697" t="s">
        <v>11375</v>
      </c>
      <c r="BH2697" t="s">
        <v>11376</v>
      </c>
      <c r="BI2697" t="s">
        <v>11377</v>
      </c>
      <c r="BJ2697">
        <v>0.37791999999999998</v>
      </c>
      <c r="BK2697">
        <v>0.99</v>
      </c>
      <c r="BL2697" t="s">
        <v>69</v>
      </c>
      <c r="BM2697">
        <v>-1.879</v>
      </c>
      <c r="BN2697">
        <v>-1.3220000000000001</v>
      </c>
    </row>
    <row r="2698" spans="10:66">
      <c r="J2698">
        <v>0</v>
      </c>
      <c r="K2698">
        <v>10</v>
      </c>
      <c r="L2698">
        <v>2</v>
      </c>
      <c r="M2698" t="s">
        <v>25022</v>
      </c>
      <c r="N2698">
        <v>1815</v>
      </c>
      <c r="O2698" t="s">
        <v>11378</v>
      </c>
      <c r="P2698" t="s">
        <v>57</v>
      </c>
      <c r="Q2698">
        <v>1883166</v>
      </c>
      <c r="R2698">
        <v>1883675</v>
      </c>
      <c r="S2698" t="s">
        <v>11379</v>
      </c>
      <c r="T2698">
        <v>170</v>
      </c>
      <c r="U2698" t="s">
        <v>1933</v>
      </c>
      <c r="V2698">
        <v>39</v>
      </c>
      <c r="W2698" t="str">
        <f>HYPERLINK("Gene1815-zp_tree_all.dnd", "Gene1815-tree")</f>
        <v>Gene1815-tree</v>
      </c>
      <c r="X2698">
        <v>2</v>
      </c>
      <c r="Y2698">
        <v>10</v>
      </c>
      <c r="Z2698">
        <v>2</v>
      </c>
      <c r="AA2698">
        <v>10</v>
      </c>
      <c r="AB2698">
        <v>0.83333000000000002</v>
      </c>
      <c r="AC2698" t="s">
        <v>81</v>
      </c>
      <c r="AD2698" t="s">
        <v>117</v>
      </c>
      <c r="AE2698" t="s">
        <v>62</v>
      </c>
      <c r="AF2698" t="s">
        <v>62</v>
      </c>
      <c r="AG2698">
        <v>5</v>
      </c>
      <c r="AH2698">
        <v>12</v>
      </c>
      <c r="AI2698">
        <v>15</v>
      </c>
      <c r="AJ2698">
        <v>0.44444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4</v>
      </c>
      <c r="AQ2698">
        <v>0</v>
      </c>
      <c r="AR2698">
        <v>4</v>
      </c>
      <c r="AS2698">
        <v>18</v>
      </c>
      <c r="AT2698">
        <v>0.18182000000000001</v>
      </c>
      <c r="AU2698">
        <v>11</v>
      </c>
      <c r="AV2698">
        <v>8</v>
      </c>
      <c r="AW2698">
        <v>21</v>
      </c>
      <c r="AX2698">
        <v>22</v>
      </c>
      <c r="AY2698">
        <v>17</v>
      </c>
      <c r="AZ2698">
        <v>5</v>
      </c>
      <c r="BA2698" t="s">
        <v>11380</v>
      </c>
      <c r="BB2698" t="s">
        <v>11381</v>
      </c>
      <c r="BC2698">
        <v>1.46</v>
      </c>
      <c r="BD2698" t="s">
        <v>65</v>
      </c>
      <c r="BE2698">
        <v>38</v>
      </c>
      <c r="BF2698">
        <v>27</v>
      </c>
      <c r="BG2698" t="s">
        <v>11382</v>
      </c>
      <c r="BH2698" t="s">
        <v>11383</v>
      </c>
      <c r="BI2698" t="s">
        <v>11384</v>
      </c>
      <c r="BJ2698">
        <v>0.15842000000000001</v>
      </c>
      <c r="BK2698">
        <v>1</v>
      </c>
      <c r="BL2698" t="s">
        <v>69</v>
      </c>
      <c r="BM2698">
        <v>-0.96599999999999997</v>
      </c>
      <c r="BN2698">
        <v>-2.157</v>
      </c>
    </row>
    <row r="2699" spans="10:66">
      <c r="J2699">
        <v>0</v>
      </c>
      <c r="K2699">
        <v>4</v>
      </c>
      <c r="L2699">
        <v>1</v>
      </c>
      <c r="M2699" t="s">
        <v>25022</v>
      </c>
      <c r="N2699">
        <v>1817</v>
      </c>
      <c r="O2699" t="s">
        <v>11385</v>
      </c>
      <c r="P2699" t="s">
        <v>57</v>
      </c>
      <c r="Q2699">
        <v>1884968</v>
      </c>
      <c r="R2699">
        <v>1885318</v>
      </c>
      <c r="S2699" t="s">
        <v>11371</v>
      </c>
      <c r="T2699">
        <v>117</v>
      </c>
      <c r="U2699" t="s">
        <v>11386</v>
      </c>
      <c r="V2699">
        <v>28</v>
      </c>
      <c r="W2699" t="str">
        <f>HYPERLINK("Gene1817-zp_tree_all.dnd", "Gene1817-tree")</f>
        <v>Gene1817-tree</v>
      </c>
      <c r="X2699">
        <v>0</v>
      </c>
      <c r="Y2699">
        <v>5</v>
      </c>
      <c r="Z2699">
        <v>0</v>
      </c>
      <c r="AA2699">
        <v>5</v>
      </c>
      <c r="AB2699">
        <v>1</v>
      </c>
      <c r="AC2699" t="s">
        <v>62</v>
      </c>
      <c r="AD2699" t="s">
        <v>199</v>
      </c>
      <c r="AE2699" t="s">
        <v>62</v>
      </c>
      <c r="AF2699" t="s">
        <v>62</v>
      </c>
      <c r="AG2699">
        <v>2</v>
      </c>
      <c r="AH2699">
        <v>5</v>
      </c>
      <c r="AI2699">
        <v>9</v>
      </c>
      <c r="AJ2699">
        <v>0.35714000000000001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4</v>
      </c>
      <c r="AQ2699">
        <v>1</v>
      </c>
      <c r="AR2699">
        <v>5</v>
      </c>
      <c r="AS2699">
        <v>7</v>
      </c>
      <c r="AT2699">
        <v>0.41666999999999998</v>
      </c>
      <c r="AU2699">
        <v>4</v>
      </c>
      <c r="AV2699">
        <v>1</v>
      </c>
      <c r="AW2699">
        <v>5</v>
      </c>
      <c r="AX2699">
        <v>12</v>
      </c>
      <c r="AY2699">
        <v>2</v>
      </c>
      <c r="AZ2699">
        <v>2</v>
      </c>
      <c r="BA2699" t="s">
        <v>11387</v>
      </c>
      <c r="BB2699" t="s">
        <v>11388</v>
      </c>
      <c r="BC2699">
        <v>0.55500000000000005</v>
      </c>
      <c r="BD2699" t="s">
        <v>65</v>
      </c>
      <c r="BE2699">
        <v>7</v>
      </c>
      <c r="BF2699">
        <v>14</v>
      </c>
      <c r="BG2699" t="s">
        <v>11389</v>
      </c>
      <c r="BH2699" t="s">
        <v>11390</v>
      </c>
      <c r="BI2699" t="s">
        <v>11391</v>
      </c>
      <c r="BJ2699">
        <v>0.39456999999999998</v>
      </c>
      <c r="BK2699">
        <v>0.91</v>
      </c>
      <c r="BL2699" t="s">
        <v>635</v>
      </c>
      <c r="BM2699">
        <v>-0.16700000000000001</v>
      </c>
      <c r="BN2699">
        <v>-0.73099999999999998</v>
      </c>
    </row>
    <row r="2700" spans="10:66">
      <c r="J2700">
        <v>0</v>
      </c>
      <c r="K2700">
        <v>2</v>
      </c>
      <c r="L2700">
        <v>0</v>
      </c>
      <c r="M2700" t="s">
        <v>25022</v>
      </c>
      <c r="N2700">
        <v>1818</v>
      </c>
      <c r="O2700" t="s">
        <v>11392</v>
      </c>
      <c r="P2700" t="s">
        <v>57</v>
      </c>
      <c r="Q2700">
        <v>1885365</v>
      </c>
      <c r="R2700">
        <v>1885637</v>
      </c>
      <c r="S2700" t="s">
        <v>11371</v>
      </c>
      <c r="T2700">
        <v>91</v>
      </c>
      <c r="U2700" t="s">
        <v>9365</v>
      </c>
      <c r="V2700">
        <v>39</v>
      </c>
      <c r="W2700" t="str">
        <f>HYPERLINK("Gene1818-zp_tree_all.dnd", "Gene1818-tree")</f>
        <v>Gene1818-tree</v>
      </c>
      <c r="X2700">
        <v>0</v>
      </c>
      <c r="Y2700">
        <v>8</v>
      </c>
      <c r="Z2700">
        <v>0</v>
      </c>
      <c r="AA2700">
        <v>8</v>
      </c>
      <c r="AB2700">
        <v>1</v>
      </c>
      <c r="AC2700" t="s">
        <v>62</v>
      </c>
      <c r="AD2700" t="s">
        <v>136</v>
      </c>
      <c r="AE2700" t="s">
        <v>62</v>
      </c>
      <c r="AF2700" t="s">
        <v>62</v>
      </c>
      <c r="AG2700">
        <v>1</v>
      </c>
      <c r="AH2700">
        <v>2</v>
      </c>
      <c r="AI2700">
        <v>15</v>
      </c>
      <c r="AJ2700">
        <v>0.11765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2</v>
      </c>
      <c r="AQ2700">
        <v>0</v>
      </c>
      <c r="AR2700">
        <v>2</v>
      </c>
      <c r="AS2700">
        <v>12</v>
      </c>
      <c r="AT2700">
        <v>0.14285999999999999</v>
      </c>
      <c r="AU2700">
        <v>8</v>
      </c>
      <c r="AV2700">
        <v>4</v>
      </c>
      <c r="AW2700">
        <v>8</v>
      </c>
      <c r="AX2700">
        <v>14</v>
      </c>
      <c r="AY2700">
        <v>6</v>
      </c>
      <c r="AZ2700">
        <v>3</v>
      </c>
      <c r="BA2700" t="s">
        <v>11393</v>
      </c>
      <c r="BB2700" t="s">
        <v>11394</v>
      </c>
      <c r="BC2700">
        <v>2.222</v>
      </c>
      <c r="BD2700" t="s">
        <v>267</v>
      </c>
      <c r="BE2700">
        <v>14</v>
      </c>
      <c r="BF2700">
        <v>17</v>
      </c>
      <c r="BG2700" t="s">
        <v>11395</v>
      </c>
      <c r="BH2700" t="s">
        <v>11396</v>
      </c>
      <c r="BI2700" t="s">
        <v>11397</v>
      </c>
      <c r="BJ2700">
        <v>0.36625999999999997</v>
      </c>
      <c r="BK2700">
        <v>0.97</v>
      </c>
      <c r="BL2700" t="s">
        <v>69</v>
      </c>
      <c r="BM2700">
        <v>-0.48699999999999999</v>
      </c>
      <c r="BN2700">
        <v>-1.456</v>
      </c>
    </row>
    <row r="2701" spans="10:66">
      <c r="J2701">
        <v>0</v>
      </c>
      <c r="K2701">
        <v>0</v>
      </c>
      <c r="L2701">
        <v>0</v>
      </c>
      <c r="M2701" t="s">
        <v>25022</v>
      </c>
      <c r="N2701">
        <v>1819</v>
      </c>
      <c r="O2701" t="s">
        <v>11398</v>
      </c>
      <c r="P2701" t="s">
        <v>57</v>
      </c>
      <c r="Q2701">
        <v>1885753</v>
      </c>
      <c r="R2701">
        <v>1885914</v>
      </c>
      <c r="S2701" t="s">
        <v>11371</v>
      </c>
      <c r="T2701">
        <v>54</v>
      </c>
      <c r="U2701" t="s">
        <v>5387</v>
      </c>
      <c r="V2701">
        <v>38</v>
      </c>
      <c r="W2701" t="str">
        <f>HYPERLINK("Gene1819-zp_tree_all.dnd", "Gene1819-tree")</f>
        <v>Gene1819-tree</v>
      </c>
      <c r="X2701">
        <v>0</v>
      </c>
      <c r="Y2701">
        <v>25</v>
      </c>
      <c r="Z2701">
        <v>0</v>
      </c>
      <c r="AA2701">
        <v>5</v>
      </c>
      <c r="AB2701">
        <v>1</v>
      </c>
      <c r="AC2701" t="s">
        <v>62</v>
      </c>
      <c r="AD2701" t="s">
        <v>4839</v>
      </c>
      <c r="AE2701">
        <v>6.069</v>
      </c>
      <c r="AF2701" t="s">
        <v>65</v>
      </c>
      <c r="AG2701">
        <v>0</v>
      </c>
      <c r="AH2701">
        <v>0</v>
      </c>
      <c r="AI2701">
        <v>4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4</v>
      </c>
      <c r="AT2701">
        <v>0</v>
      </c>
      <c r="AU2701">
        <v>4</v>
      </c>
      <c r="AV2701">
        <v>0</v>
      </c>
      <c r="AW2701">
        <v>8</v>
      </c>
      <c r="AX2701">
        <v>4</v>
      </c>
      <c r="AY2701">
        <v>0</v>
      </c>
      <c r="AZ2701">
        <v>0</v>
      </c>
      <c r="BA2701" t="s">
        <v>11399</v>
      </c>
      <c r="BB2701" t="s">
        <v>193</v>
      </c>
      <c r="BC2701">
        <v>1.264</v>
      </c>
      <c r="BD2701" t="s">
        <v>65</v>
      </c>
      <c r="BE2701">
        <v>8</v>
      </c>
      <c r="BF2701">
        <v>4</v>
      </c>
      <c r="BG2701" t="s">
        <v>11400</v>
      </c>
      <c r="BH2701" t="s">
        <v>11401</v>
      </c>
      <c r="BI2701" t="s">
        <v>11402</v>
      </c>
      <c r="BJ2701">
        <v>9.6799999999999997E-2</v>
      </c>
      <c r="BK2701">
        <v>1</v>
      </c>
      <c r="BL2701" t="s">
        <v>69</v>
      </c>
      <c r="BM2701">
        <v>-0.39500000000000002</v>
      </c>
      <c r="BN2701">
        <v>-0.53600000000000003</v>
      </c>
    </row>
    <row r="2702" spans="10:66">
      <c r="J2702">
        <v>0</v>
      </c>
      <c r="K2702">
        <v>4</v>
      </c>
      <c r="L2702">
        <v>0</v>
      </c>
      <c r="M2702" t="s">
        <v>25022</v>
      </c>
      <c r="N2702">
        <v>1820</v>
      </c>
      <c r="O2702" t="s">
        <v>11403</v>
      </c>
      <c r="P2702" t="s">
        <v>57</v>
      </c>
      <c r="Q2702">
        <v>1886057</v>
      </c>
      <c r="R2702">
        <v>1886524</v>
      </c>
      <c r="S2702" t="s">
        <v>11371</v>
      </c>
      <c r="T2702">
        <v>156</v>
      </c>
      <c r="U2702" t="s">
        <v>11404</v>
      </c>
      <c r="V2702">
        <v>35</v>
      </c>
      <c r="W2702" t="str">
        <f>HYPERLINK("Gene1820-zp_tree_all.dnd", "Gene1820-tree")</f>
        <v>Gene1820-tree</v>
      </c>
      <c r="X2702">
        <v>1</v>
      </c>
      <c r="Y2702">
        <v>6</v>
      </c>
      <c r="Z2702">
        <v>1</v>
      </c>
      <c r="AA2702">
        <v>6</v>
      </c>
      <c r="AB2702">
        <v>0.85714000000000001</v>
      </c>
      <c r="AC2702" t="s">
        <v>175</v>
      </c>
      <c r="AD2702" t="s">
        <v>90</v>
      </c>
      <c r="AE2702" t="s">
        <v>62</v>
      </c>
      <c r="AF2702" t="s">
        <v>62</v>
      </c>
      <c r="AG2702">
        <v>2</v>
      </c>
      <c r="AH2702">
        <v>4</v>
      </c>
      <c r="AI2702">
        <v>8</v>
      </c>
      <c r="AJ2702">
        <v>0.33333000000000002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4</v>
      </c>
      <c r="AR2702">
        <v>4</v>
      </c>
      <c r="AS2702">
        <v>7</v>
      </c>
      <c r="AT2702">
        <v>0.36364000000000002</v>
      </c>
      <c r="AU2702">
        <v>5</v>
      </c>
      <c r="AV2702">
        <v>3</v>
      </c>
      <c r="AW2702">
        <v>17</v>
      </c>
      <c r="AX2702">
        <v>8</v>
      </c>
      <c r="AY2702">
        <v>6</v>
      </c>
      <c r="AZ2702">
        <v>4</v>
      </c>
      <c r="BA2702" t="s">
        <v>11405</v>
      </c>
      <c r="BB2702" t="s">
        <v>11406</v>
      </c>
      <c r="BC2702">
        <v>0.39400000000000002</v>
      </c>
      <c r="BD2702" t="s">
        <v>65</v>
      </c>
      <c r="BE2702">
        <v>23</v>
      </c>
      <c r="BF2702">
        <v>12</v>
      </c>
      <c r="BG2702" t="s">
        <v>11407</v>
      </c>
      <c r="BH2702" t="s">
        <v>11408</v>
      </c>
      <c r="BI2702" t="s">
        <v>11409</v>
      </c>
      <c r="BJ2702">
        <v>0.12806000000000001</v>
      </c>
      <c r="BK2702">
        <v>1</v>
      </c>
      <c r="BL2702" t="s">
        <v>69</v>
      </c>
      <c r="BM2702">
        <v>1.125</v>
      </c>
      <c r="BN2702">
        <v>0.82199999999999995</v>
      </c>
    </row>
    <row r="2703" spans="10:66">
      <c r="J2703">
        <v>0</v>
      </c>
      <c r="K2703">
        <v>15</v>
      </c>
      <c r="L2703">
        <v>1</v>
      </c>
      <c r="M2703" t="s">
        <v>25022</v>
      </c>
      <c r="N2703">
        <v>1821</v>
      </c>
      <c r="O2703" t="s">
        <v>11410</v>
      </c>
      <c r="P2703" t="s">
        <v>57</v>
      </c>
      <c r="Q2703">
        <v>1887352</v>
      </c>
      <c r="R2703">
        <v>1888740</v>
      </c>
      <c r="S2703" t="s">
        <v>11411</v>
      </c>
      <c r="T2703">
        <v>463</v>
      </c>
      <c r="U2703" t="s">
        <v>2803</v>
      </c>
      <c r="V2703">
        <v>45</v>
      </c>
      <c r="W2703" t="str">
        <f>HYPERLINK("Gene1821-zp_tree_all.dnd", "Gene1821-tree")</f>
        <v>Gene1821-tree</v>
      </c>
      <c r="X2703">
        <v>4</v>
      </c>
      <c r="Y2703">
        <v>10</v>
      </c>
      <c r="Z2703">
        <v>4</v>
      </c>
      <c r="AA2703">
        <v>10</v>
      </c>
      <c r="AB2703">
        <v>0.71428999999999998</v>
      </c>
      <c r="AC2703" t="s">
        <v>61</v>
      </c>
      <c r="AD2703" t="s">
        <v>117</v>
      </c>
      <c r="AE2703" t="s">
        <v>62</v>
      </c>
      <c r="AF2703" t="s">
        <v>62</v>
      </c>
      <c r="AG2703">
        <v>6</v>
      </c>
      <c r="AH2703">
        <v>16</v>
      </c>
      <c r="AI2703">
        <v>18</v>
      </c>
      <c r="AJ2703">
        <v>0.47059000000000001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8</v>
      </c>
      <c r="AQ2703">
        <v>1</v>
      </c>
      <c r="AR2703">
        <v>9</v>
      </c>
      <c r="AS2703">
        <v>17</v>
      </c>
      <c r="AT2703">
        <v>0.34615000000000001</v>
      </c>
      <c r="AU2703">
        <v>12</v>
      </c>
      <c r="AV2703">
        <v>7</v>
      </c>
      <c r="AW2703">
        <v>85</v>
      </c>
      <c r="AX2703">
        <v>26</v>
      </c>
      <c r="AY2703">
        <v>24</v>
      </c>
      <c r="AZ2703">
        <v>8</v>
      </c>
      <c r="BA2703" t="s">
        <v>11412</v>
      </c>
      <c r="BB2703" t="s">
        <v>11413</v>
      </c>
      <c r="BC2703">
        <v>0.10100000000000001</v>
      </c>
      <c r="BD2703" t="s">
        <v>65</v>
      </c>
      <c r="BE2703">
        <v>109</v>
      </c>
      <c r="BF2703">
        <v>34</v>
      </c>
      <c r="BG2703" t="s">
        <v>11414</v>
      </c>
      <c r="BH2703" t="s">
        <v>11415</v>
      </c>
      <c r="BI2703" t="s">
        <v>11416</v>
      </c>
      <c r="BJ2703">
        <v>9.4909999999999994E-2</v>
      </c>
      <c r="BK2703">
        <v>1</v>
      </c>
      <c r="BL2703" t="s">
        <v>69</v>
      </c>
      <c r="BM2703">
        <v>-1.417</v>
      </c>
      <c r="BN2703">
        <v>-3.589</v>
      </c>
    </row>
    <row r="2704" spans="10:66">
      <c r="J2704">
        <v>0</v>
      </c>
      <c r="K2704">
        <v>11</v>
      </c>
      <c r="L2704">
        <v>0</v>
      </c>
      <c r="M2704" t="s">
        <v>25022</v>
      </c>
      <c r="N2704">
        <v>1822</v>
      </c>
      <c r="O2704" t="s">
        <v>11417</v>
      </c>
      <c r="P2704" t="s">
        <v>57</v>
      </c>
      <c r="Q2704">
        <v>1888774</v>
      </c>
      <c r="R2704">
        <v>1890372</v>
      </c>
      <c r="S2704" t="s">
        <v>11418</v>
      </c>
      <c r="T2704">
        <v>533</v>
      </c>
      <c r="U2704" t="s">
        <v>108</v>
      </c>
      <c r="V2704">
        <v>44</v>
      </c>
      <c r="W2704" t="str">
        <f>HYPERLINK("Gene1822-zp_tree_all.dnd", "Gene1822-tree")</f>
        <v>Gene1822-tree</v>
      </c>
      <c r="X2704">
        <v>6</v>
      </c>
      <c r="Y2704">
        <v>8</v>
      </c>
      <c r="Z2704">
        <v>6</v>
      </c>
      <c r="AA2704">
        <v>8</v>
      </c>
      <c r="AB2704">
        <v>0.57142999999999999</v>
      </c>
      <c r="AC2704" t="s">
        <v>90</v>
      </c>
      <c r="AD2704" t="s">
        <v>136</v>
      </c>
      <c r="AE2704" t="s">
        <v>62</v>
      </c>
      <c r="AF2704" t="s">
        <v>62</v>
      </c>
      <c r="AG2704">
        <v>4</v>
      </c>
      <c r="AH2704">
        <v>11</v>
      </c>
      <c r="AI2704">
        <v>21</v>
      </c>
      <c r="AJ2704">
        <v>0.34375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2</v>
      </c>
      <c r="AQ2704">
        <v>0</v>
      </c>
      <c r="AR2704">
        <v>2</v>
      </c>
      <c r="AS2704">
        <v>21</v>
      </c>
      <c r="AT2704">
        <v>8.6959999999999996E-2</v>
      </c>
      <c r="AU2704">
        <v>13</v>
      </c>
      <c r="AV2704">
        <v>10</v>
      </c>
      <c r="AW2704">
        <v>47</v>
      </c>
      <c r="AX2704">
        <v>23</v>
      </c>
      <c r="AY2704">
        <v>29</v>
      </c>
      <c r="AZ2704">
        <v>9</v>
      </c>
      <c r="BA2704" t="s">
        <v>11419</v>
      </c>
      <c r="BB2704" t="s">
        <v>11420</v>
      </c>
      <c r="BC2704">
        <v>0.79800000000000004</v>
      </c>
      <c r="BD2704" t="s">
        <v>65</v>
      </c>
      <c r="BE2704">
        <v>76</v>
      </c>
      <c r="BF2704">
        <v>32</v>
      </c>
      <c r="BG2704" t="s">
        <v>11421</v>
      </c>
      <c r="BH2704" t="s">
        <v>11422</v>
      </c>
      <c r="BI2704" t="s">
        <v>11423</v>
      </c>
      <c r="BJ2704">
        <v>0.10076</v>
      </c>
      <c r="BK2704">
        <v>1</v>
      </c>
      <c r="BL2704" t="s">
        <v>69</v>
      </c>
      <c r="BM2704">
        <v>-0.42799999999999999</v>
      </c>
      <c r="BN2704">
        <v>-1.327</v>
      </c>
    </row>
    <row r="2705" spans="10:66">
      <c r="J2705">
        <v>0</v>
      </c>
      <c r="K2705">
        <v>13</v>
      </c>
      <c r="L2705">
        <v>3</v>
      </c>
      <c r="M2705" t="s">
        <v>25022</v>
      </c>
      <c r="N2705">
        <v>1824</v>
      </c>
      <c r="O2705" t="s">
        <v>11430</v>
      </c>
      <c r="P2705" t="s">
        <v>57</v>
      </c>
      <c r="Q2705">
        <v>1891908</v>
      </c>
      <c r="R2705">
        <v>1893242</v>
      </c>
      <c r="S2705" t="s">
        <v>11431</v>
      </c>
      <c r="T2705">
        <v>445</v>
      </c>
      <c r="U2705" t="s">
        <v>698</v>
      </c>
      <c r="V2705">
        <v>47</v>
      </c>
      <c r="W2705" t="str">
        <f>HYPERLINK("Gene1824-zp_tree_all.dnd", "Gene1824-tree")</f>
        <v>Gene1824-tree</v>
      </c>
      <c r="X2705">
        <v>4</v>
      </c>
      <c r="Y2705">
        <v>12</v>
      </c>
      <c r="Z2705">
        <v>4</v>
      </c>
      <c r="AA2705">
        <v>12</v>
      </c>
      <c r="AB2705">
        <v>0.75</v>
      </c>
      <c r="AC2705" t="s">
        <v>61</v>
      </c>
      <c r="AD2705" t="s">
        <v>109</v>
      </c>
      <c r="AE2705" t="s">
        <v>62</v>
      </c>
      <c r="AF2705" t="s">
        <v>62</v>
      </c>
      <c r="AG2705">
        <v>6</v>
      </c>
      <c r="AH2705">
        <v>16</v>
      </c>
      <c r="AI2705">
        <v>27</v>
      </c>
      <c r="AJ2705">
        <v>0.37208999999999998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2</v>
      </c>
      <c r="AQ2705">
        <v>0</v>
      </c>
      <c r="AR2705">
        <v>2</v>
      </c>
      <c r="AS2705">
        <v>21</v>
      </c>
      <c r="AT2705">
        <v>8.6959999999999996E-2</v>
      </c>
      <c r="AU2705">
        <v>15</v>
      </c>
      <c r="AV2705">
        <v>11</v>
      </c>
      <c r="AW2705">
        <v>54</v>
      </c>
      <c r="AX2705">
        <v>22</v>
      </c>
      <c r="AY2705">
        <v>57</v>
      </c>
      <c r="AZ2705">
        <v>24</v>
      </c>
      <c r="BA2705" t="s">
        <v>11432</v>
      </c>
      <c r="BB2705" t="s">
        <v>11433</v>
      </c>
      <c r="BC2705">
        <v>6.0000000000000001E-3</v>
      </c>
      <c r="BD2705" t="s">
        <v>65</v>
      </c>
      <c r="BE2705">
        <v>111</v>
      </c>
      <c r="BF2705">
        <v>46</v>
      </c>
      <c r="BG2705" t="s">
        <v>11434</v>
      </c>
      <c r="BH2705" t="s">
        <v>11435</v>
      </c>
      <c r="BI2705" t="s">
        <v>11436</v>
      </c>
      <c r="BJ2705">
        <v>0.11688</v>
      </c>
      <c r="BK2705">
        <v>1</v>
      </c>
      <c r="BL2705" t="s">
        <v>69</v>
      </c>
      <c r="BM2705">
        <v>-1.3839999999999999</v>
      </c>
      <c r="BN2705">
        <v>-0.67300000000000004</v>
      </c>
    </row>
    <row r="2706" spans="10:66">
      <c r="J2706">
        <v>0</v>
      </c>
      <c r="K2706">
        <v>20</v>
      </c>
      <c r="L2706">
        <v>0</v>
      </c>
      <c r="M2706" t="s">
        <v>25022</v>
      </c>
      <c r="N2706">
        <v>1825</v>
      </c>
      <c r="O2706" t="s">
        <v>11437</v>
      </c>
      <c r="P2706" t="s">
        <v>57</v>
      </c>
      <c r="Q2706">
        <v>1893396</v>
      </c>
      <c r="R2706">
        <v>1894892</v>
      </c>
      <c r="S2706" t="s">
        <v>11438</v>
      </c>
      <c r="T2706">
        <v>499</v>
      </c>
      <c r="U2706" t="s">
        <v>108</v>
      </c>
      <c r="V2706">
        <v>44</v>
      </c>
      <c r="W2706" t="str">
        <f>HYPERLINK("Gene1825-zp_tree_all.dnd", "Gene1825-tree")</f>
        <v>Gene1825-tree</v>
      </c>
      <c r="X2706">
        <v>3</v>
      </c>
      <c r="Y2706">
        <v>11</v>
      </c>
      <c r="Z2706">
        <v>3</v>
      </c>
      <c r="AA2706">
        <v>11</v>
      </c>
      <c r="AB2706">
        <v>0.78571000000000002</v>
      </c>
      <c r="AC2706" t="s">
        <v>324</v>
      </c>
      <c r="AD2706" t="s">
        <v>73</v>
      </c>
      <c r="AE2706">
        <v>305230034.74400002</v>
      </c>
      <c r="AF2706" t="s">
        <v>267</v>
      </c>
      <c r="AG2706">
        <v>8</v>
      </c>
      <c r="AH2706">
        <v>20</v>
      </c>
      <c r="AI2706">
        <v>14</v>
      </c>
      <c r="AJ2706">
        <v>0.58823999999999999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10</v>
      </c>
      <c r="AQ2706">
        <v>0</v>
      </c>
      <c r="AR2706">
        <v>10</v>
      </c>
      <c r="AS2706">
        <v>15</v>
      </c>
      <c r="AT2706">
        <v>0.4</v>
      </c>
      <c r="AU2706">
        <v>13</v>
      </c>
      <c r="AV2706">
        <v>10</v>
      </c>
      <c r="AW2706">
        <v>60</v>
      </c>
      <c r="AX2706">
        <v>24</v>
      </c>
      <c r="AY2706">
        <v>24</v>
      </c>
      <c r="AZ2706">
        <v>12</v>
      </c>
      <c r="BA2706" t="s">
        <v>11439</v>
      </c>
      <c r="BB2706" t="s">
        <v>11440</v>
      </c>
      <c r="BC2706">
        <v>0.495</v>
      </c>
      <c r="BD2706" t="s">
        <v>65</v>
      </c>
      <c r="BE2706">
        <v>84</v>
      </c>
      <c r="BF2706">
        <v>36</v>
      </c>
      <c r="BG2706" t="s">
        <v>11441</v>
      </c>
      <c r="BH2706" t="s">
        <v>11442</v>
      </c>
      <c r="BI2706" t="s">
        <v>11443</v>
      </c>
      <c r="BJ2706">
        <v>0.12787999999999999</v>
      </c>
      <c r="BK2706">
        <v>1</v>
      </c>
      <c r="BL2706" t="s">
        <v>69</v>
      </c>
      <c r="BM2706">
        <v>0.13</v>
      </c>
      <c r="BN2706">
        <v>-0.318</v>
      </c>
    </row>
    <row r="2707" spans="10:66">
      <c r="J2707">
        <v>0</v>
      </c>
      <c r="K2707">
        <v>15</v>
      </c>
      <c r="L2707">
        <v>2</v>
      </c>
      <c r="M2707" t="s">
        <v>25022</v>
      </c>
      <c r="N2707">
        <v>1827</v>
      </c>
      <c r="O2707" t="s">
        <v>11451</v>
      </c>
      <c r="P2707" t="s">
        <v>57</v>
      </c>
      <c r="Q2707">
        <v>1896424</v>
      </c>
      <c r="R2707">
        <v>1897836</v>
      </c>
      <c r="S2707" t="s">
        <v>11452</v>
      </c>
      <c r="T2707">
        <v>471</v>
      </c>
      <c r="U2707" t="s">
        <v>108</v>
      </c>
      <c r="V2707">
        <v>44</v>
      </c>
      <c r="W2707" t="str">
        <f>HYPERLINK("Gene1827-zp_tree_all.dnd", "Gene1827-tree")</f>
        <v>Gene1827-tree</v>
      </c>
      <c r="X2707">
        <v>4</v>
      </c>
      <c r="Y2707">
        <v>10</v>
      </c>
      <c r="Z2707">
        <v>4</v>
      </c>
      <c r="AA2707">
        <v>10</v>
      </c>
      <c r="AB2707">
        <v>0.71428999999999998</v>
      </c>
      <c r="AC2707" t="s">
        <v>61</v>
      </c>
      <c r="AD2707" t="s">
        <v>117</v>
      </c>
      <c r="AE2707" t="s">
        <v>62</v>
      </c>
      <c r="AF2707" t="s">
        <v>62</v>
      </c>
      <c r="AG2707">
        <v>6</v>
      </c>
      <c r="AH2707">
        <v>17</v>
      </c>
      <c r="AI2707">
        <v>17</v>
      </c>
      <c r="AJ2707">
        <v>0.5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10</v>
      </c>
      <c r="AQ2707">
        <v>2</v>
      </c>
      <c r="AR2707">
        <v>12</v>
      </c>
      <c r="AS2707">
        <v>14</v>
      </c>
      <c r="AT2707">
        <v>0.46154000000000001</v>
      </c>
      <c r="AU2707">
        <v>13</v>
      </c>
      <c r="AV2707">
        <v>9</v>
      </c>
      <c r="AW2707">
        <v>54</v>
      </c>
      <c r="AX2707">
        <v>26</v>
      </c>
      <c r="AY2707">
        <v>14</v>
      </c>
      <c r="AZ2707">
        <v>9</v>
      </c>
      <c r="BA2707" t="s">
        <v>11453</v>
      </c>
      <c r="BB2707" t="s">
        <v>11454</v>
      </c>
      <c r="BC2707">
        <v>0.38600000000000001</v>
      </c>
      <c r="BD2707" t="s">
        <v>65</v>
      </c>
      <c r="BE2707">
        <v>68</v>
      </c>
      <c r="BF2707">
        <v>35</v>
      </c>
      <c r="BG2707" t="s">
        <v>11455</v>
      </c>
      <c r="BH2707" t="s">
        <v>11456</v>
      </c>
      <c r="BI2707" t="s">
        <v>11457</v>
      </c>
      <c r="BJ2707">
        <v>0.15251000000000001</v>
      </c>
      <c r="BK2707">
        <v>1</v>
      </c>
      <c r="BL2707" t="s">
        <v>69</v>
      </c>
      <c r="BM2707">
        <v>-1.1739999999999999</v>
      </c>
      <c r="BN2707">
        <v>-2.3849999999999998</v>
      </c>
    </row>
    <row r="2708" spans="10:66">
      <c r="J2708">
        <v>0</v>
      </c>
      <c r="K2708">
        <v>0</v>
      </c>
      <c r="L2708">
        <v>4</v>
      </c>
      <c r="M2708" t="s">
        <v>25022</v>
      </c>
      <c r="N2708">
        <v>1829</v>
      </c>
      <c r="O2708" t="s">
        <v>11464</v>
      </c>
      <c r="P2708" t="s">
        <v>57</v>
      </c>
      <c r="Q2708">
        <v>1899589</v>
      </c>
      <c r="R2708">
        <v>1900047</v>
      </c>
      <c r="S2708" t="s">
        <v>11465</v>
      </c>
      <c r="T2708">
        <v>153</v>
      </c>
      <c r="U2708" t="s">
        <v>1392</v>
      </c>
      <c r="V2708">
        <v>43</v>
      </c>
      <c r="W2708" t="str">
        <f>HYPERLINK("Gene1829-zp_tree_all.dnd", "Gene1829-tree")</f>
        <v>Gene1829-tree</v>
      </c>
      <c r="X2708">
        <v>2</v>
      </c>
      <c r="Y2708">
        <v>11</v>
      </c>
      <c r="Z2708">
        <v>2</v>
      </c>
      <c r="AA2708">
        <v>11</v>
      </c>
      <c r="AB2708">
        <v>0.84614999999999996</v>
      </c>
      <c r="AC2708" t="s">
        <v>81</v>
      </c>
      <c r="AD2708" t="s">
        <v>73</v>
      </c>
      <c r="AE2708">
        <v>515075683.63</v>
      </c>
      <c r="AF2708" t="s">
        <v>267</v>
      </c>
      <c r="AG2708">
        <v>2</v>
      </c>
      <c r="AH2708">
        <v>4</v>
      </c>
      <c r="AI2708">
        <v>13</v>
      </c>
      <c r="AJ2708">
        <v>0.23529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4</v>
      </c>
      <c r="AR2708">
        <v>4</v>
      </c>
      <c r="AS2708">
        <v>10</v>
      </c>
      <c r="AT2708">
        <v>0.28571000000000002</v>
      </c>
      <c r="AU2708">
        <v>11</v>
      </c>
      <c r="AV2708">
        <v>5</v>
      </c>
      <c r="AW2708">
        <v>10</v>
      </c>
      <c r="AX2708">
        <v>14</v>
      </c>
      <c r="AY2708">
        <v>3</v>
      </c>
      <c r="AZ2708">
        <v>4</v>
      </c>
      <c r="BA2708" t="s">
        <v>11466</v>
      </c>
      <c r="BB2708" t="s">
        <v>11467</v>
      </c>
      <c r="BC2708">
        <v>6.2E-2</v>
      </c>
      <c r="BD2708" t="s">
        <v>65</v>
      </c>
      <c r="BE2708">
        <v>13</v>
      </c>
      <c r="BF2708">
        <v>18</v>
      </c>
      <c r="BG2708" t="s">
        <v>11468</v>
      </c>
      <c r="BH2708" t="s">
        <v>11469</v>
      </c>
      <c r="BI2708" t="s">
        <v>11470</v>
      </c>
      <c r="BJ2708">
        <v>0.41169</v>
      </c>
      <c r="BK2708">
        <v>0.93</v>
      </c>
      <c r="BL2708" t="s">
        <v>635</v>
      </c>
      <c r="BM2708">
        <v>-0.85899999999999999</v>
      </c>
      <c r="BN2708">
        <v>-2.2589999999999999</v>
      </c>
    </row>
    <row r="2709" spans="10:66">
      <c r="J2709">
        <v>0</v>
      </c>
      <c r="K2709">
        <v>0</v>
      </c>
      <c r="L2709">
        <v>0</v>
      </c>
      <c r="M2709" t="s">
        <v>25022</v>
      </c>
      <c r="N2709">
        <v>1830</v>
      </c>
      <c r="O2709" t="s">
        <v>11471</v>
      </c>
      <c r="P2709" t="s">
        <v>57</v>
      </c>
      <c r="Q2709">
        <v>1900080</v>
      </c>
      <c r="R2709">
        <v>1900511</v>
      </c>
      <c r="S2709" t="s">
        <v>11472</v>
      </c>
      <c r="T2709">
        <v>144</v>
      </c>
      <c r="U2709" t="s">
        <v>108</v>
      </c>
      <c r="V2709">
        <v>44</v>
      </c>
      <c r="W2709" t="str">
        <f>HYPERLINK("Gene1830-zp_tree_all.dnd", "Gene1830-tree")</f>
        <v>Gene1830-tree</v>
      </c>
      <c r="X2709">
        <v>27</v>
      </c>
      <c r="Y2709">
        <v>3</v>
      </c>
      <c r="Z2709">
        <v>6</v>
      </c>
      <c r="AA2709">
        <v>3</v>
      </c>
      <c r="AB2709">
        <v>0.33333000000000002</v>
      </c>
      <c r="AC2709" t="s">
        <v>1055</v>
      </c>
      <c r="AD2709" t="s">
        <v>324</v>
      </c>
      <c r="AE2709" t="s">
        <v>62</v>
      </c>
      <c r="AF2709" t="s">
        <v>62</v>
      </c>
      <c r="AG2709">
        <v>0</v>
      </c>
      <c r="AH2709">
        <v>0</v>
      </c>
      <c r="AI2709">
        <v>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3</v>
      </c>
      <c r="AT2709">
        <v>0</v>
      </c>
      <c r="AU2709">
        <v>6</v>
      </c>
      <c r="AV2709">
        <v>2</v>
      </c>
      <c r="AW2709">
        <v>12</v>
      </c>
      <c r="AX2709">
        <v>3</v>
      </c>
      <c r="AY2709">
        <v>4</v>
      </c>
      <c r="AZ2709">
        <v>0</v>
      </c>
      <c r="BA2709" t="s">
        <v>11473</v>
      </c>
      <c r="BB2709" t="s">
        <v>193</v>
      </c>
      <c r="BC2709">
        <v>1.024</v>
      </c>
      <c r="BD2709" t="s">
        <v>65</v>
      </c>
      <c r="BE2709">
        <v>16</v>
      </c>
      <c r="BF2709">
        <v>3</v>
      </c>
      <c r="BG2709" t="s">
        <v>11474</v>
      </c>
      <c r="BH2709" t="s">
        <v>11475</v>
      </c>
      <c r="BI2709" t="s">
        <v>11476</v>
      </c>
      <c r="BJ2709">
        <v>4.165E-2</v>
      </c>
      <c r="BK2709">
        <v>1</v>
      </c>
      <c r="BL2709" t="s">
        <v>69</v>
      </c>
      <c r="BM2709">
        <v>-1.3420000000000001</v>
      </c>
      <c r="BN2709">
        <v>-1.6140000000000001</v>
      </c>
    </row>
    <row r="2710" spans="10:66">
      <c r="J2710">
        <v>0</v>
      </c>
      <c r="K2710">
        <v>0</v>
      </c>
      <c r="L2710">
        <v>0</v>
      </c>
      <c r="M2710" t="s">
        <v>25022</v>
      </c>
      <c r="N2710">
        <v>1833</v>
      </c>
      <c r="O2710" t="s">
        <v>11483</v>
      </c>
      <c r="P2710" t="s">
        <v>57</v>
      </c>
      <c r="Q2710">
        <v>1901781</v>
      </c>
      <c r="R2710">
        <v>1901942</v>
      </c>
      <c r="S2710" t="s">
        <v>11484</v>
      </c>
      <c r="T2710">
        <v>54</v>
      </c>
      <c r="U2710" t="s">
        <v>11485</v>
      </c>
      <c r="V2710">
        <v>43</v>
      </c>
      <c r="W2710" t="str">
        <f>HYPERLINK("Gene1833-zp_tree_all.dnd", "Gene1833-tree")</f>
        <v>Gene1833-tree</v>
      </c>
      <c r="X2710">
        <v>25</v>
      </c>
      <c r="Y2710">
        <v>3</v>
      </c>
      <c r="Z2710">
        <v>2</v>
      </c>
      <c r="AA2710">
        <v>3</v>
      </c>
      <c r="AB2710">
        <v>0.6</v>
      </c>
      <c r="AC2710" t="s">
        <v>11486</v>
      </c>
      <c r="AD2710" t="s">
        <v>324</v>
      </c>
      <c r="AE2710" t="s">
        <v>62</v>
      </c>
      <c r="AF2710" t="s">
        <v>62</v>
      </c>
      <c r="AG2710">
        <v>0</v>
      </c>
      <c r="AH2710">
        <v>0</v>
      </c>
      <c r="AI2710">
        <v>4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4</v>
      </c>
      <c r="AT2710">
        <v>0</v>
      </c>
      <c r="AU2710">
        <v>4</v>
      </c>
      <c r="AV2710">
        <v>0</v>
      </c>
      <c r="AW2710">
        <v>1</v>
      </c>
      <c r="AX2710">
        <v>4</v>
      </c>
      <c r="AY2710">
        <v>0</v>
      </c>
      <c r="AZ2710">
        <v>0</v>
      </c>
      <c r="BA2710" t="s">
        <v>11487</v>
      </c>
      <c r="BB2710" t="s">
        <v>193</v>
      </c>
      <c r="BC2710">
        <v>0.57099999999999995</v>
      </c>
      <c r="BD2710" t="s">
        <v>65</v>
      </c>
      <c r="BE2710">
        <v>1</v>
      </c>
      <c r="BF2710">
        <v>4</v>
      </c>
      <c r="BG2710" t="s">
        <v>11488</v>
      </c>
      <c r="BH2710" t="s">
        <v>11489</v>
      </c>
      <c r="BI2710" t="s">
        <v>11490</v>
      </c>
      <c r="BJ2710">
        <v>0.90673999999999999</v>
      </c>
      <c r="BK2710">
        <v>0.36199999999999999</v>
      </c>
      <c r="BL2710" t="s">
        <v>635</v>
      </c>
      <c r="BM2710">
        <v>-0.65100000000000002</v>
      </c>
      <c r="BN2710">
        <v>-1.7050000000000001</v>
      </c>
    </row>
    <row r="2711" spans="10:66">
      <c r="J2711">
        <v>0</v>
      </c>
      <c r="K2711">
        <v>0</v>
      </c>
      <c r="L2711">
        <v>0</v>
      </c>
      <c r="M2711" t="s">
        <v>25022</v>
      </c>
      <c r="N2711">
        <v>1840</v>
      </c>
      <c r="O2711" t="s">
        <v>11525</v>
      </c>
      <c r="P2711" t="s">
        <v>57</v>
      </c>
      <c r="Q2711">
        <v>1907013</v>
      </c>
      <c r="R2711">
        <v>1907198</v>
      </c>
      <c r="S2711" t="s">
        <v>11526</v>
      </c>
      <c r="T2711">
        <v>62</v>
      </c>
      <c r="U2711" t="s">
        <v>108</v>
      </c>
      <c r="V2711">
        <v>44</v>
      </c>
      <c r="W2711" t="str">
        <f>HYPERLINK("Gene1840-zp_tree_all.dnd", "Gene1840-tree")</f>
        <v>Gene1840-tree</v>
      </c>
      <c r="X2711">
        <v>5</v>
      </c>
      <c r="Y2711">
        <v>3</v>
      </c>
      <c r="Z2711">
        <v>5</v>
      </c>
      <c r="AA2711">
        <v>3</v>
      </c>
      <c r="AB2711">
        <v>0.375</v>
      </c>
      <c r="AC2711" t="s">
        <v>199</v>
      </c>
      <c r="AD2711" t="s">
        <v>324</v>
      </c>
      <c r="AE2711" t="s">
        <v>62</v>
      </c>
      <c r="AF2711" t="s">
        <v>62</v>
      </c>
      <c r="AG2711">
        <v>0</v>
      </c>
      <c r="AH2711">
        <v>0</v>
      </c>
      <c r="AI2711">
        <v>6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4</v>
      </c>
      <c r="AT2711">
        <v>0</v>
      </c>
      <c r="AU2711">
        <v>6</v>
      </c>
      <c r="AV2711">
        <v>3</v>
      </c>
      <c r="AW2711">
        <v>3</v>
      </c>
      <c r="AX2711">
        <v>4</v>
      </c>
      <c r="AY2711">
        <v>1</v>
      </c>
      <c r="AZ2711">
        <v>2</v>
      </c>
      <c r="BA2711" t="s">
        <v>11527</v>
      </c>
      <c r="BB2711" t="s">
        <v>11528</v>
      </c>
      <c r="BC2711">
        <v>0.21099999999999999</v>
      </c>
      <c r="BD2711" t="s">
        <v>65</v>
      </c>
      <c r="BE2711">
        <v>4</v>
      </c>
      <c r="BF2711">
        <v>6</v>
      </c>
      <c r="BG2711" t="s">
        <v>11529</v>
      </c>
      <c r="BH2711" t="s">
        <v>11530</v>
      </c>
      <c r="BI2711" t="s">
        <v>11531</v>
      </c>
      <c r="BJ2711">
        <v>0.43847000000000003</v>
      </c>
      <c r="BK2711">
        <v>0.80200000000000005</v>
      </c>
      <c r="BL2711" t="s">
        <v>635</v>
      </c>
      <c r="BM2711">
        <v>-0.626</v>
      </c>
      <c r="BN2711">
        <v>-0.38600000000000001</v>
      </c>
    </row>
    <row r="2712" spans="10:66">
      <c r="J2712">
        <v>0</v>
      </c>
      <c r="K2712">
        <v>12</v>
      </c>
      <c r="L2712">
        <v>5</v>
      </c>
      <c r="M2712" t="s">
        <v>25022</v>
      </c>
      <c r="N2712">
        <v>1841</v>
      </c>
      <c r="O2712" t="s">
        <v>11532</v>
      </c>
      <c r="P2712" t="s">
        <v>57</v>
      </c>
      <c r="Q2712">
        <v>1907494</v>
      </c>
      <c r="R2712">
        <v>1909053</v>
      </c>
      <c r="S2712" t="s">
        <v>2541</v>
      </c>
      <c r="T2712">
        <v>520</v>
      </c>
      <c r="U2712" t="s">
        <v>11533</v>
      </c>
      <c r="V2712">
        <v>42</v>
      </c>
      <c r="W2712" t="str">
        <f>HYPERLINK("Gene1841-zp_tree_all.dnd", "Gene1841-tree")</f>
        <v>Gene1841-tree</v>
      </c>
      <c r="X2712">
        <v>1</v>
      </c>
      <c r="Y2712">
        <v>12</v>
      </c>
      <c r="Z2712">
        <v>1</v>
      </c>
      <c r="AA2712">
        <v>12</v>
      </c>
      <c r="AB2712">
        <v>0.92308000000000001</v>
      </c>
      <c r="AC2712" t="s">
        <v>175</v>
      </c>
      <c r="AD2712" t="s">
        <v>109</v>
      </c>
      <c r="AE2712" t="s">
        <v>62</v>
      </c>
      <c r="AF2712" t="s">
        <v>62</v>
      </c>
      <c r="AG2712">
        <v>6</v>
      </c>
      <c r="AH2712">
        <v>17</v>
      </c>
      <c r="AI2712">
        <v>18</v>
      </c>
      <c r="AJ2712">
        <v>0.48570999999999998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5</v>
      </c>
      <c r="AQ2712">
        <v>5</v>
      </c>
      <c r="AR2712">
        <v>10</v>
      </c>
      <c r="AS2712">
        <v>19</v>
      </c>
      <c r="AT2712">
        <v>0.34483000000000003</v>
      </c>
      <c r="AU2712">
        <v>11</v>
      </c>
      <c r="AV2712">
        <v>8</v>
      </c>
      <c r="AW2712">
        <v>41</v>
      </c>
      <c r="AX2712">
        <v>20</v>
      </c>
      <c r="AY2712">
        <v>33</v>
      </c>
      <c r="AZ2712">
        <v>16</v>
      </c>
      <c r="BA2712" t="s">
        <v>11534</v>
      </c>
      <c r="BB2712" t="s">
        <v>11535</v>
      </c>
      <c r="BC2712">
        <v>8.9999999999999993E-3</v>
      </c>
      <c r="BD2712" t="s">
        <v>65</v>
      </c>
      <c r="BE2712">
        <v>74</v>
      </c>
      <c r="BF2712">
        <v>36</v>
      </c>
      <c r="BG2712" t="s">
        <v>11536</v>
      </c>
      <c r="BH2712" t="s">
        <v>11537</v>
      </c>
      <c r="BI2712" t="s">
        <v>11538</v>
      </c>
      <c r="BJ2712">
        <v>0.13038</v>
      </c>
      <c r="BK2712">
        <v>1</v>
      </c>
      <c r="BL2712" t="s">
        <v>69</v>
      </c>
      <c r="BM2712">
        <v>8.3000000000000004E-2</v>
      </c>
      <c r="BN2712">
        <v>-1.0249999999999999</v>
      </c>
    </row>
    <row r="2713" spans="10:66">
      <c r="J2713">
        <v>0</v>
      </c>
      <c r="K2713">
        <v>6</v>
      </c>
      <c r="L2713">
        <v>0</v>
      </c>
      <c r="M2713" t="s">
        <v>25022</v>
      </c>
      <c r="N2713">
        <v>1842</v>
      </c>
      <c r="O2713" t="s">
        <v>11539</v>
      </c>
      <c r="P2713" t="s">
        <v>57</v>
      </c>
      <c r="Q2713">
        <v>1909086</v>
      </c>
      <c r="R2713">
        <v>1910174</v>
      </c>
      <c r="S2713" t="s">
        <v>11540</v>
      </c>
      <c r="T2713">
        <v>363</v>
      </c>
      <c r="U2713" t="s">
        <v>11541</v>
      </c>
      <c r="V2713">
        <v>35</v>
      </c>
      <c r="W2713" t="str">
        <f>HYPERLINK("Gene1842-zp_tree_all.dnd", "Gene1842-tree")</f>
        <v>Gene1842-tree</v>
      </c>
      <c r="X2713">
        <v>5</v>
      </c>
      <c r="Y2713">
        <v>6</v>
      </c>
      <c r="Z2713">
        <v>5</v>
      </c>
      <c r="AA2713">
        <v>6</v>
      </c>
      <c r="AB2713">
        <v>0.54544999999999999</v>
      </c>
      <c r="AC2713" t="s">
        <v>199</v>
      </c>
      <c r="AD2713" t="s">
        <v>90</v>
      </c>
      <c r="AE2713" t="s">
        <v>62</v>
      </c>
      <c r="AF2713" t="s">
        <v>62</v>
      </c>
      <c r="AG2713">
        <v>3</v>
      </c>
      <c r="AH2713">
        <v>6</v>
      </c>
      <c r="AI2713">
        <v>12</v>
      </c>
      <c r="AJ2713">
        <v>0.33333000000000002</v>
      </c>
      <c r="AK2713">
        <v>0</v>
      </c>
      <c r="AL2713">
        <v>0</v>
      </c>
      <c r="AM2713">
        <v>0</v>
      </c>
      <c r="AN2713">
        <v>3</v>
      </c>
      <c r="AO2713">
        <v>0</v>
      </c>
      <c r="AP2713">
        <v>0</v>
      </c>
      <c r="AQ2713">
        <v>0</v>
      </c>
      <c r="AR2713">
        <v>0</v>
      </c>
      <c r="AS2713">
        <v>12</v>
      </c>
      <c r="AT2713">
        <v>0</v>
      </c>
      <c r="AU2713">
        <v>7</v>
      </c>
      <c r="AV2713">
        <v>7</v>
      </c>
      <c r="AW2713">
        <v>21</v>
      </c>
      <c r="AX2713">
        <v>12</v>
      </c>
      <c r="AY2713">
        <v>12</v>
      </c>
      <c r="AZ2713">
        <v>6</v>
      </c>
      <c r="BA2713" t="s">
        <v>11542</v>
      </c>
      <c r="BB2713" t="s">
        <v>11543</v>
      </c>
      <c r="BC2713">
        <v>0.16400000000000001</v>
      </c>
      <c r="BD2713" t="s">
        <v>65</v>
      </c>
      <c r="BE2713">
        <v>33</v>
      </c>
      <c r="BF2713">
        <v>18</v>
      </c>
      <c r="BG2713" t="s">
        <v>11544</v>
      </c>
      <c r="BH2713" t="s">
        <v>11545</v>
      </c>
      <c r="BI2713" t="s">
        <v>11546</v>
      </c>
      <c r="BJ2713">
        <v>0.15559999999999999</v>
      </c>
      <c r="BK2713">
        <v>1</v>
      </c>
      <c r="BL2713" t="s">
        <v>69</v>
      </c>
      <c r="BM2713">
        <v>-1.2010000000000001</v>
      </c>
      <c r="BN2713">
        <v>-1.0489999999999999</v>
      </c>
    </row>
    <row r="2714" spans="10:66">
      <c r="J2714">
        <v>0</v>
      </c>
      <c r="K2714">
        <v>11</v>
      </c>
      <c r="L2714">
        <v>1</v>
      </c>
      <c r="M2714" t="s">
        <v>25022</v>
      </c>
      <c r="N2714">
        <v>1843</v>
      </c>
      <c r="O2714" t="s">
        <v>11547</v>
      </c>
      <c r="P2714" t="s">
        <v>57</v>
      </c>
      <c r="Q2714">
        <v>1910167</v>
      </c>
      <c r="R2714">
        <v>1911378</v>
      </c>
      <c r="S2714" t="s">
        <v>11548</v>
      </c>
      <c r="T2714">
        <v>404</v>
      </c>
      <c r="U2714" t="s">
        <v>2078</v>
      </c>
      <c r="V2714">
        <v>36</v>
      </c>
      <c r="W2714" t="str">
        <f>HYPERLINK("Gene1843-zp_tree_all.dnd", "Gene1843-tree")</f>
        <v>Gene1843-tree</v>
      </c>
      <c r="X2714">
        <v>6</v>
      </c>
      <c r="Y2714">
        <v>5</v>
      </c>
      <c r="Z2714">
        <v>6</v>
      </c>
      <c r="AA2714">
        <v>5</v>
      </c>
      <c r="AB2714">
        <v>0.45455000000000001</v>
      </c>
      <c r="AC2714" t="s">
        <v>90</v>
      </c>
      <c r="AD2714" t="s">
        <v>199</v>
      </c>
      <c r="AE2714" t="s">
        <v>62</v>
      </c>
      <c r="AF2714" t="s">
        <v>62</v>
      </c>
      <c r="AG2714">
        <v>5</v>
      </c>
      <c r="AH2714">
        <v>12</v>
      </c>
      <c r="AI2714">
        <v>23</v>
      </c>
      <c r="AJ2714">
        <v>0.34286</v>
      </c>
      <c r="AK2714">
        <v>0</v>
      </c>
      <c r="AL2714">
        <v>0</v>
      </c>
      <c r="AM2714">
        <v>0</v>
      </c>
      <c r="AN2714">
        <v>9</v>
      </c>
      <c r="AO2714">
        <v>0</v>
      </c>
      <c r="AP2714">
        <v>0</v>
      </c>
      <c r="AQ2714">
        <v>2</v>
      </c>
      <c r="AR2714">
        <v>2</v>
      </c>
      <c r="AS2714">
        <v>16</v>
      </c>
      <c r="AT2714">
        <v>0.11111</v>
      </c>
      <c r="AU2714">
        <v>9</v>
      </c>
      <c r="AV2714">
        <v>8</v>
      </c>
      <c r="AW2714">
        <v>27</v>
      </c>
      <c r="AX2714">
        <v>18</v>
      </c>
      <c r="AY2714">
        <v>30</v>
      </c>
      <c r="AZ2714">
        <v>17</v>
      </c>
      <c r="BA2714" t="s">
        <v>11549</v>
      </c>
      <c r="BB2714" t="s">
        <v>11550</v>
      </c>
      <c r="BC2714">
        <v>0.156</v>
      </c>
      <c r="BD2714" t="s">
        <v>65</v>
      </c>
      <c r="BE2714">
        <v>57</v>
      </c>
      <c r="BF2714">
        <v>35</v>
      </c>
      <c r="BG2714" t="s">
        <v>11551</v>
      </c>
      <c r="BH2714" t="s">
        <v>11552</v>
      </c>
      <c r="BI2714" t="s">
        <v>11553</v>
      </c>
      <c r="BJ2714">
        <v>0.18121000000000001</v>
      </c>
      <c r="BK2714">
        <v>1</v>
      </c>
      <c r="BL2714" t="s">
        <v>69</v>
      </c>
      <c r="BM2714">
        <v>-1.0660000000000001</v>
      </c>
      <c r="BN2714">
        <v>-1.1859999999999999</v>
      </c>
    </row>
    <row r="2715" spans="10:66">
      <c r="J2715">
        <v>0</v>
      </c>
      <c r="K2715">
        <v>12</v>
      </c>
      <c r="L2715">
        <v>0</v>
      </c>
      <c r="M2715" t="s">
        <v>25022</v>
      </c>
      <c r="N2715">
        <v>1844</v>
      </c>
      <c r="O2715" t="s">
        <v>11554</v>
      </c>
      <c r="P2715" t="s">
        <v>57</v>
      </c>
      <c r="Q2715">
        <v>1911528</v>
      </c>
      <c r="R2715">
        <v>1912331</v>
      </c>
      <c r="S2715" t="s">
        <v>288</v>
      </c>
      <c r="T2715">
        <v>268</v>
      </c>
      <c r="U2715" t="s">
        <v>108</v>
      </c>
      <c r="V2715">
        <v>44</v>
      </c>
      <c r="W2715" t="str">
        <f>HYPERLINK("Gene1844-zp_tree_all.dnd", "Gene1844-tree")</f>
        <v>Gene1844-tree</v>
      </c>
      <c r="X2715">
        <v>2</v>
      </c>
      <c r="Y2715">
        <v>11</v>
      </c>
      <c r="Z2715">
        <v>2</v>
      </c>
      <c r="AA2715">
        <v>11</v>
      </c>
      <c r="AB2715">
        <v>0.84614999999999996</v>
      </c>
      <c r="AC2715" t="s">
        <v>81</v>
      </c>
      <c r="AD2715" t="s">
        <v>73</v>
      </c>
      <c r="AE2715">
        <v>515075683.63</v>
      </c>
      <c r="AF2715" t="s">
        <v>267</v>
      </c>
      <c r="AG2715">
        <v>5</v>
      </c>
      <c r="AH2715">
        <v>12</v>
      </c>
      <c r="AI2715">
        <v>12</v>
      </c>
      <c r="AJ2715">
        <v>0.5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4</v>
      </c>
      <c r="AQ2715">
        <v>0</v>
      </c>
      <c r="AR2715">
        <v>4</v>
      </c>
      <c r="AS2715">
        <v>11</v>
      </c>
      <c r="AT2715">
        <v>0.26667000000000002</v>
      </c>
      <c r="AU2715">
        <v>11</v>
      </c>
      <c r="AV2715">
        <v>10</v>
      </c>
      <c r="AW2715">
        <v>17</v>
      </c>
      <c r="AX2715">
        <v>12</v>
      </c>
      <c r="AY2715">
        <v>23</v>
      </c>
      <c r="AZ2715">
        <v>12</v>
      </c>
      <c r="BA2715" t="s">
        <v>11555</v>
      </c>
      <c r="BB2715" t="s">
        <v>11556</v>
      </c>
      <c r="BC2715">
        <v>0.504</v>
      </c>
      <c r="BD2715" t="s">
        <v>65</v>
      </c>
      <c r="BE2715">
        <v>40</v>
      </c>
      <c r="BF2715">
        <v>24</v>
      </c>
      <c r="BG2715" t="s">
        <v>11557</v>
      </c>
      <c r="BH2715" t="s">
        <v>11558</v>
      </c>
      <c r="BI2715" t="s">
        <v>11559</v>
      </c>
      <c r="BJ2715">
        <v>0.15637000000000001</v>
      </c>
      <c r="BK2715">
        <v>1</v>
      </c>
      <c r="BL2715" t="s">
        <v>69</v>
      </c>
      <c r="BM2715">
        <v>-0.56399999999999995</v>
      </c>
      <c r="BN2715">
        <v>-0.91900000000000004</v>
      </c>
    </row>
    <row r="2716" spans="10:66">
      <c r="J2716">
        <v>0</v>
      </c>
      <c r="K2716">
        <v>5</v>
      </c>
      <c r="L2716">
        <v>2</v>
      </c>
      <c r="M2716" t="s">
        <v>25022</v>
      </c>
      <c r="N2716">
        <v>1845</v>
      </c>
      <c r="O2716" t="s">
        <v>11560</v>
      </c>
      <c r="P2716" t="s">
        <v>57</v>
      </c>
      <c r="Q2716">
        <v>1912339</v>
      </c>
      <c r="R2716">
        <v>1912953</v>
      </c>
      <c r="S2716" t="s">
        <v>116</v>
      </c>
      <c r="T2716">
        <v>205</v>
      </c>
      <c r="U2716" t="s">
        <v>108</v>
      </c>
      <c r="V2716">
        <v>44</v>
      </c>
      <c r="W2716" t="str">
        <f>HYPERLINK("Gene1845-zp_tree_all.dnd", "Gene1845-tree")</f>
        <v>Gene1845-tree</v>
      </c>
      <c r="X2716">
        <v>4</v>
      </c>
      <c r="Y2716">
        <v>8</v>
      </c>
      <c r="Z2716">
        <v>4</v>
      </c>
      <c r="AA2716">
        <v>8</v>
      </c>
      <c r="AB2716">
        <v>0.66666999999999998</v>
      </c>
      <c r="AC2716" t="s">
        <v>61</v>
      </c>
      <c r="AD2716" t="s">
        <v>136</v>
      </c>
      <c r="AE2716" t="s">
        <v>62</v>
      </c>
      <c r="AF2716" t="s">
        <v>62</v>
      </c>
      <c r="AG2716">
        <v>3</v>
      </c>
      <c r="AH2716">
        <v>7</v>
      </c>
      <c r="AI2716">
        <v>12</v>
      </c>
      <c r="AJ2716">
        <v>0.36842000000000003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2</v>
      </c>
      <c r="AQ2716">
        <v>2</v>
      </c>
      <c r="AR2716">
        <v>4</v>
      </c>
      <c r="AS2716">
        <v>8</v>
      </c>
      <c r="AT2716">
        <v>0.33333000000000002</v>
      </c>
      <c r="AU2716">
        <v>10</v>
      </c>
      <c r="AV2716">
        <v>9</v>
      </c>
      <c r="AW2716">
        <v>17</v>
      </c>
      <c r="AX2716">
        <v>10</v>
      </c>
      <c r="AY2716">
        <v>14</v>
      </c>
      <c r="AZ2716">
        <v>9</v>
      </c>
      <c r="BA2716" t="s">
        <v>11561</v>
      </c>
      <c r="BB2716" t="s">
        <v>11562</v>
      </c>
      <c r="BC2716">
        <v>0.108</v>
      </c>
      <c r="BD2716" t="s">
        <v>65</v>
      </c>
      <c r="BE2716">
        <v>31</v>
      </c>
      <c r="BF2716">
        <v>19</v>
      </c>
      <c r="BG2716" t="s">
        <v>11563</v>
      </c>
      <c r="BH2716" t="s">
        <v>11564</v>
      </c>
      <c r="BI2716" t="s">
        <v>11565</v>
      </c>
      <c r="BJ2716">
        <v>0.21815999999999999</v>
      </c>
      <c r="BK2716">
        <v>1</v>
      </c>
      <c r="BL2716" t="s">
        <v>69</v>
      </c>
      <c r="BM2716">
        <v>3.0000000000000001E-3</v>
      </c>
      <c r="BN2716">
        <v>5.1999999999999998E-2</v>
      </c>
    </row>
    <row r="2717" spans="10:66">
      <c r="J2717">
        <v>0</v>
      </c>
      <c r="K2717">
        <v>23</v>
      </c>
      <c r="L2717">
        <v>1</v>
      </c>
      <c r="M2717" t="s">
        <v>25022</v>
      </c>
      <c r="N2717">
        <v>1846</v>
      </c>
      <c r="O2717" t="s">
        <v>11566</v>
      </c>
      <c r="P2717" t="s">
        <v>57</v>
      </c>
      <c r="Q2717">
        <v>1912953</v>
      </c>
      <c r="R2717">
        <v>1914590</v>
      </c>
      <c r="S2717" t="s">
        <v>3095</v>
      </c>
      <c r="T2717">
        <v>546</v>
      </c>
      <c r="U2717" t="s">
        <v>108</v>
      </c>
      <c r="V2717">
        <v>44</v>
      </c>
      <c r="W2717" t="str">
        <f>HYPERLINK("Gene1846-zp_tree_all.dnd", "Gene1846-tree")</f>
        <v>Gene1846-tree</v>
      </c>
      <c r="X2717">
        <v>2</v>
      </c>
      <c r="Y2717">
        <v>10</v>
      </c>
      <c r="Z2717">
        <v>2</v>
      </c>
      <c r="AA2717">
        <v>10</v>
      </c>
      <c r="AB2717">
        <v>0.83333000000000002</v>
      </c>
      <c r="AC2717" t="s">
        <v>81</v>
      </c>
      <c r="AD2717" t="s">
        <v>117</v>
      </c>
      <c r="AE2717" t="s">
        <v>62</v>
      </c>
      <c r="AF2717" t="s">
        <v>62</v>
      </c>
      <c r="AG2717">
        <v>9</v>
      </c>
      <c r="AH2717">
        <v>24</v>
      </c>
      <c r="AI2717">
        <v>35</v>
      </c>
      <c r="AJ2717">
        <v>0.40677999999999997</v>
      </c>
      <c r="AK2717">
        <v>0</v>
      </c>
      <c r="AL2717">
        <v>0</v>
      </c>
      <c r="AM2717">
        <v>0</v>
      </c>
      <c r="AN2717">
        <v>4</v>
      </c>
      <c r="AO2717">
        <v>0</v>
      </c>
      <c r="AP2717">
        <v>15</v>
      </c>
      <c r="AQ2717">
        <v>1</v>
      </c>
      <c r="AR2717">
        <v>16</v>
      </c>
      <c r="AS2717">
        <v>28</v>
      </c>
      <c r="AT2717">
        <v>0.36364000000000002</v>
      </c>
      <c r="AU2717">
        <v>11</v>
      </c>
      <c r="AV2717">
        <v>8</v>
      </c>
      <c r="AW2717">
        <v>72</v>
      </c>
      <c r="AX2717">
        <v>46</v>
      </c>
      <c r="AY2717">
        <v>30</v>
      </c>
      <c r="AZ2717">
        <v>15</v>
      </c>
      <c r="BA2717" t="s">
        <v>11567</v>
      </c>
      <c r="BB2717" t="s">
        <v>11568</v>
      </c>
      <c r="BC2717">
        <v>0.23899999999999999</v>
      </c>
      <c r="BD2717" t="s">
        <v>65</v>
      </c>
      <c r="BE2717">
        <v>102</v>
      </c>
      <c r="BF2717">
        <v>61</v>
      </c>
      <c r="BG2717" t="s">
        <v>11569</v>
      </c>
      <c r="BH2717" t="s">
        <v>11570</v>
      </c>
      <c r="BI2717" t="s">
        <v>11571</v>
      </c>
      <c r="BJ2717">
        <v>0.17197999999999999</v>
      </c>
      <c r="BK2717">
        <v>1</v>
      </c>
      <c r="BL2717" t="s">
        <v>69</v>
      </c>
      <c r="BM2717">
        <v>-1.03</v>
      </c>
      <c r="BN2717">
        <v>-2.298</v>
      </c>
    </row>
    <row r="2718" spans="10:66">
      <c r="J2718">
        <v>0</v>
      </c>
      <c r="K2718">
        <v>2</v>
      </c>
      <c r="L2718">
        <v>0</v>
      </c>
      <c r="M2718" t="s">
        <v>25022</v>
      </c>
      <c r="N2718">
        <v>1847</v>
      </c>
      <c r="O2718" t="s">
        <v>11572</v>
      </c>
      <c r="P2718" t="s">
        <v>57</v>
      </c>
      <c r="Q2718">
        <v>1914630</v>
      </c>
      <c r="R2718">
        <v>1914992</v>
      </c>
      <c r="S2718" t="s">
        <v>11573</v>
      </c>
      <c r="T2718">
        <v>121</v>
      </c>
      <c r="U2718" t="s">
        <v>5958</v>
      </c>
      <c r="V2718">
        <v>35</v>
      </c>
      <c r="W2718" t="str">
        <f>HYPERLINK("Gene1847-zp_tree_all.dnd", "Gene1847-tree")</f>
        <v>Gene1847-tree</v>
      </c>
      <c r="X2718">
        <v>2</v>
      </c>
      <c r="Y2718">
        <v>4</v>
      </c>
      <c r="Z2718">
        <v>2</v>
      </c>
      <c r="AA2718">
        <v>4</v>
      </c>
      <c r="AB2718">
        <v>0.66666999999999998</v>
      </c>
      <c r="AC2718" t="s">
        <v>81</v>
      </c>
      <c r="AD2718" t="s">
        <v>61</v>
      </c>
      <c r="AE2718" t="s">
        <v>62</v>
      </c>
      <c r="AF2718" t="s">
        <v>62</v>
      </c>
      <c r="AG2718">
        <v>1</v>
      </c>
      <c r="AH2718">
        <v>2</v>
      </c>
      <c r="AI2718">
        <v>8</v>
      </c>
      <c r="AJ2718">
        <v>0.2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2</v>
      </c>
      <c r="AQ2718">
        <v>0</v>
      </c>
      <c r="AR2718">
        <v>2</v>
      </c>
      <c r="AS2718">
        <v>8</v>
      </c>
      <c r="AT2718">
        <v>0.2</v>
      </c>
      <c r="AU2718">
        <v>4</v>
      </c>
      <c r="AV2718">
        <v>2</v>
      </c>
      <c r="AW2718">
        <v>6</v>
      </c>
      <c r="AX2718">
        <v>11</v>
      </c>
      <c r="AY2718">
        <v>3</v>
      </c>
      <c r="AZ2718">
        <v>0</v>
      </c>
      <c r="BA2718" t="s">
        <v>11574</v>
      </c>
      <c r="BB2718" t="s">
        <v>193</v>
      </c>
      <c r="BC2718">
        <v>1.38</v>
      </c>
      <c r="BD2718" t="s">
        <v>65</v>
      </c>
      <c r="BE2718">
        <v>9</v>
      </c>
      <c r="BF2718">
        <v>11</v>
      </c>
      <c r="BG2718" t="s">
        <v>11575</v>
      </c>
      <c r="BH2718" t="s">
        <v>11576</v>
      </c>
      <c r="BI2718" t="s">
        <v>11577</v>
      </c>
      <c r="BJ2718">
        <v>0.24781</v>
      </c>
      <c r="BK2718">
        <v>1</v>
      </c>
      <c r="BL2718" t="s">
        <v>69</v>
      </c>
      <c r="BM2718">
        <v>-1.002</v>
      </c>
      <c r="BN2718">
        <v>-1.8029999999999999</v>
      </c>
    </row>
    <row r="2719" spans="10:66">
      <c r="J2719">
        <v>0</v>
      </c>
      <c r="K2719">
        <v>11</v>
      </c>
      <c r="L2719">
        <v>1</v>
      </c>
      <c r="M2719" t="s">
        <v>25022</v>
      </c>
      <c r="N2719">
        <v>1848</v>
      </c>
      <c r="O2719" t="s">
        <v>11578</v>
      </c>
      <c r="P2719" t="s">
        <v>57</v>
      </c>
      <c r="Q2719">
        <v>1915221</v>
      </c>
      <c r="R2719">
        <v>1915976</v>
      </c>
      <c r="S2719" t="s">
        <v>11579</v>
      </c>
      <c r="T2719">
        <v>252</v>
      </c>
      <c r="U2719" t="s">
        <v>108</v>
      </c>
      <c r="V2719">
        <v>44</v>
      </c>
      <c r="W2719" t="str">
        <f>HYPERLINK("Gene1848-zp_tree_all.dnd", "Gene1848-tree")</f>
        <v>Gene1848-tree</v>
      </c>
      <c r="X2719">
        <v>2</v>
      </c>
      <c r="Y2719">
        <v>10</v>
      </c>
      <c r="Z2719">
        <v>2</v>
      </c>
      <c r="AA2719">
        <v>10</v>
      </c>
      <c r="AB2719">
        <v>0.83333000000000002</v>
      </c>
      <c r="AC2719" t="s">
        <v>81</v>
      </c>
      <c r="AD2719" t="s">
        <v>117</v>
      </c>
      <c r="AE2719" t="s">
        <v>62</v>
      </c>
      <c r="AF2719" t="s">
        <v>62</v>
      </c>
      <c r="AG2719">
        <v>5</v>
      </c>
      <c r="AH2719">
        <v>12</v>
      </c>
      <c r="AI2719">
        <v>10</v>
      </c>
      <c r="AJ2719">
        <v>0.54544999999999999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</v>
      </c>
      <c r="AQ2719">
        <v>2</v>
      </c>
      <c r="AR2719">
        <v>4</v>
      </c>
      <c r="AS2719">
        <v>12</v>
      </c>
      <c r="AT2719">
        <v>0.25</v>
      </c>
      <c r="AU2719">
        <v>9</v>
      </c>
      <c r="AV2719">
        <v>9</v>
      </c>
      <c r="AW2719">
        <v>9</v>
      </c>
      <c r="AX2719">
        <v>12</v>
      </c>
      <c r="AY2719">
        <v>20</v>
      </c>
      <c r="AZ2719">
        <v>10</v>
      </c>
      <c r="BA2719" t="s">
        <v>11580</v>
      </c>
      <c r="BB2719" t="s">
        <v>11581</v>
      </c>
      <c r="BC2719">
        <v>1.02</v>
      </c>
      <c r="BD2719" t="s">
        <v>65</v>
      </c>
      <c r="BE2719">
        <v>29</v>
      </c>
      <c r="BF2719">
        <v>22</v>
      </c>
      <c r="BG2719" t="s">
        <v>11582</v>
      </c>
      <c r="BH2719" t="s">
        <v>11583</v>
      </c>
      <c r="BI2719" t="s">
        <v>11584</v>
      </c>
      <c r="BJ2719">
        <v>0.20216000000000001</v>
      </c>
      <c r="BK2719">
        <v>1</v>
      </c>
      <c r="BL2719" t="s">
        <v>69</v>
      </c>
      <c r="BM2719">
        <v>0.57899999999999996</v>
      </c>
      <c r="BN2719">
        <v>0.46</v>
      </c>
    </row>
    <row r="2720" spans="10:66">
      <c r="J2720">
        <v>0</v>
      </c>
      <c r="K2720">
        <v>0</v>
      </c>
      <c r="L2720">
        <v>0</v>
      </c>
      <c r="M2720" t="s">
        <v>25022</v>
      </c>
      <c r="N2720">
        <v>1850</v>
      </c>
      <c r="O2720" t="s">
        <v>11591</v>
      </c>
      <c r="P2720" t="s">
        <v>57</v>
      </c>
      <c r="Q2720">
        <v>1916663</v>
      </c>
      <c r="R2720">
        <v>1917094</v>
      </c>
      <c r="S2720" t="s">
        <v>11592</v>
      </c>
      <c r="T2720">
        <v>144</v>
      </c>
      <c r="U2720" t="s">
        <v>11593</v>
      </c>
      <c r="V2720">
        <v>33</v>
      </c>
      <c r="W2720" t="str">
        <f>HYPERLINK("Gene1850-zp_tree_all.dnd", "Gene1850-tree")</f>
        <v>Gene1850-tree</v>
      </c>
      <c r="X2720">
        <v>5</v>
      </c>
      <c r="Y2720">
        <v>3</v>
      </c>
      <c r="Z2720">
        <v>5</v>
      </c>
      <c r="AA2720">
        <v>3</v>
      </c>
      <c r="AB2720">
        <v>0.375</v>
      </c>
      <c r="AC2720" t="s">
        <v>199</v>
      </c>
      <c r="AD2720" t="s">
        <v>324</v>
      </c>
      <c r="AE2720" t="s">
        <v>62</v>
      </c>
      <c r="AF2720" t="s">
        <v>62</v>
      </c>
      <c r="AG2720">
        <v>0</v>
      </c>
      <c r="AH2720">
        <v>0</v>
      </c>
      <c r="AI2720">
        <v>7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4</v>
      </c>
      <c r="AT2720">
        <v>0</v>
      </c>
      <c r="AU2720">
        <v>6</v>
      </c>
      <c r="AV2720">
        <v>3</v>
      </c>
      <c r="AW2720">
        <v>8</v>
      </c>
      <c r="AX2720">
        <v>4</v>
      </c>
      <c r="AY2720">
        <v>5</v>
      </c>
      <c r="AZ2720">
        <v>3</v>
      </c>
      <c r="BA2720" t="s">
        <v>11594</v>
      </c>
      <c r="BB2720" t="s">
        <v>11595</v>
      </c>
      <c r="BC2720">
        <v>0.25600000000000001</v>
      </c>
      <c r="BD2720" t="s">
        <v>65</v>
      </c>
      <c r="BE2720">
        <v>13</v>
      </c>
      <c r="BF2720">
        <v>7</v>
      </c>
      <c r="BG2720" t="s">
        <v>11596</v>
      </c>
      <c r="BH2720" t="s">
        <v>11597</v>
      </c>
      <c r="BI2720" t="s">
        <v>11598</v>
      </c>
      <c r="BJ2720">
        <v>0.16474</v>
      </c>
      <c r="BK2720">
        <v>1</v>
      </c>
      <c r="BL2720" t="s">
        <v>69</v>
      </c>
      <c r="BM2720">
        <v>-1.36</v>
      </c>
      <c r="BN2720">
        <v>-1.556</v>
      </c>
    </row>
    <row r="2721" spans="10:66">
      <c r="J2721">
        <v>0</v>
      </c>
      <c r="K2721">
        <v>0</v>
      </c>
      <c r="L2721">
        <v>0</v>
      </c>
      <c r="M2721" t="s">
        <v>25022</v>
      </c>
      <c r="N2721">
        <v>1852</v>
      </c>
      <c r="O2721" t="s">
        <v>11599</v>
      </c>
      <c r="P2721" t="s">
        <v>57</v>
      </c>
      <c r="Q2721">
        <v>1918406</v>
      </c>
      <c r="R2721">
        <v>1918720</v>
      </c>
      <c r="S2721" t="s">
        <v>11600</v>
      </c>
      <c r="T2721">
        <v>105</v>
      </c>
      <c r="U2721" t="s">
        <v>108</v>
      </c>
      <c r="V2721">
        <v>44</v>
      </c>
      <c r="W2721" t="str">
        <f>HYPERLINK("Gene1852-zp_tree_all.dnd", "Gene1852-tree")</f>
        <v>Gene1852-tree</v>
      </c>
      <c r="X2721">
        <v>8</v>
      </c>
      <c r="Y2721">
        <v>1</v>
      </c>
      <c r="Z2721">
        <v>8</v>
      </c>
      <c r="AA2721">
        <v>1</v>
      </c>
      <c r="AB2721">
        <v>0.11111</v>
      </c>
      <c r="AC2721" t="s">
        <v>136</v>
      </c>
      <c r="AD2721" t="s">
        <v>175</v>
      </c>
      <c r="AE2721" t="s">
        <v>62</v>
      </c>
      <c r="AF2721" t="s">
        <v>62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4</v>
      </c>
      <c r="AV2721">
        <v>4</v>
      </c>
      <c r="AW2721">
        <v>3</v>
      </c>
      <c r="AX2721">
        <v>1</v>
      </c>
      <c r="AY2721">
        <v>6</v>
      </c>
      <c r="AZ2721">
        <v>0</v>
      </c>
      <c r="BA2721" t="s">
        <v>11601</v>
      </c>
      <c r="BB2721" t="s">
        <v>193</v>
      </c>
      <c r="BC2721">
        <v>0.6</v>
      </c>
      <c r="BD2721" t="s">
        <v>65</v>
      </c>
      <c r="BE2721">
        <v>9</v>
      </c>
      <c r="BF2721">
        <v>1</v>
      </c>
      <c r="BG2721" t="s">
        <v>11602</v>
      </c>
      <c r="BH2721" t="s">
        <v>11603</v>
      </c>
      <c r="BI2721" t="s">
        <v>11604</v>
      </c>
      <c r="BJ2721">
        <v>1.6299999999999999E-2</v>
      </c>
      <c r="BK2721">
        <v>1</v>
      </c>
      <c r="BL2721" t="s">
        <v>69</v>
      </c>
      <c r="BM2721">
        <v>1.6879999999999999</v>
      </c>
      <c r="BN2721">
        <v>0.71599999999999997</v>
      </c>
    </row>
    <row r="2722" spans="10:66">
      <c r="J2722">
        <v>0</v>
      </c>
      <c r="K2722">
        <v>2</v>
      </c>
      <c r="L2722">
        <v>0</v>
      </c>
      <c r="M2722" t="s">
        <v>25022</v>
      </c>
      <c r="N2722">
        <v>1853</v>
      </c>
      <c r="O2722" t="s">
        <v>11605</v>
      </c>
      <c r="P2722" t="s">
        <v>57</v>
      </c>
      <c r="Q2722">
        <v>1918742</v>
      </c>
      <c r="R2722">
        <v>1919392</v>
      </c>
      <c r="S2722" t="s">
        <v>11606</v>
      </c>
      <c r="T2722">
        <v>217</v>
      </c>
      <c r="U2722" t="s">
        <v>265</v>
      </c>
      <c r="V2722">
        <v>43</v>
      </c>
      <c r="W2722" t="str">
        <f>HYPERLINK("Gene1853-zp_tree_all.dnd", "Gene1853-tree")</f>
        <v>Gene1853-tree</v>
      </c>
      <c r="X2722">
        <v>8</v>
      </c>
      <c r="Y2722">
        <v>4</v>
      </c>
      <c r="Z2722">
        <v>8</v>
      </c>
      <c r="AA2722">
        <v>4</v>
      </c>
      <c r="AB2722">
        <v>0.33333000000000002</v>
      </c>
      <c r="AC2722" t="s">
        <v>136</v>
      </c>
      <c r="AD2722" t="s">
        <v>61</v>
      </c>
      <c r="AE2722" t="s">
        <v>62</v>
      </c>
      <c r="AF2722" t="s">
        <v>62</v>
      </c>
      <c r="AG2722">
        <v>1</v>
      </c>
      <c r="AH2722">
        <v>2</v>
      </c>
      <c r="AI2722">
        <v>6</v>
      </c>
      <c r="AJ2722">
        <v>0.25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6</v>
      </c>
      <c r="AT2722">
        <v>0</v>
      </c>
      <c r="AU2722">
        <v>9</v>
      </c>
      <c r="AV2722">
        <v>7</v>
      </c>
      <c r="AW2722">
        <v>24</v>
      </c>
      <c r="AX2722">
        <v>6</v>
      </c>
      <c r="AY2722">
        <v>11</v>
      </c>
      <c r="AZ2722">
        <v>2</v>
      </c>
      <c r="BA2722" t="s">
        <v>11607</v>
      </c>
      <c r="BB2722" t="s">
        <v>11608</v>
      </c>
      <c r="BC2722">
        <v>0.26</v>
      </c>
      <c r="BD2722" t="s">
        <v>65</v>
      </c>
      <c r="BE2722">
        <v>35</v>
      </c>
      <c r="BF2722">
        <v>8</v>
      </c>
      <c r="BG2722" t="s">
        <v>11609</v>
      </c>
      <c r="BH2722" t="s">
        <v>11610</v>
      </c>
      <c r="BI2722" t="s">
        <v>11611</v>
      </c>
      <c r="BJ2722">
        <v>6.0560000000000003E-2</v>
      </c>
      <c r="BK2722">
        <v>1</v>
      </c>
      <c r="BL2722" t="s">
        <v>69</v>
      </c>
      <c r="BM2722">
        <v>-0.42899999999999999</v>
      </c>
      <c r="BN2722">
        <v>-1.45</v>
      </c>
    </row>
    <row r="2723" spans="10:66">
      <c r="J2723">
        <v>0</v>
      </c>
      <c r="K2723">
        <v>0</v>
      </c>
      <c r="L2723">
        <v>0</v>
      </c>
      <c r="M2723" t="s">
        <v>25022</v>
      </c>
      <c r="N2723">
        <v>1854</v>
      </c>
      <c r="O2723" t="s">
        <v>11612</v>
      </c>
      <c r="P2723" t="s">
        <v>57</v>
      </c>
      <c r="Q2723">
        <v>1919459</v>
      </c>
      <c r="R2723">
        <v>1919689</v>
      </c>
      <c r="S2723" t="s">
        <v>116</v>
      </c>
      <c r="T2723">
        <v>77</v>
      </c>
      <c r="U2723" t="s">
        <v>749</v>
      </c>
      <c r="V2723">
        <v>47</v>
      </c>
      <c r="W2723" t="str">
        <f>HYPERLINK("Gene1854-zp_tree_all.dnd", "Gene1854-tree")</f>
        <v>Gene1854-tree</v>
      </c>
      <c r="X2723">
        <v>8</v>
      </c>
      <c r="Y2723">
        <v>2</v>
      </c>
      <c r="Z2723">
        <v>8</v>
      </c>
      <c r="AA2723">
        <v>2</v>
      </c>
      <c r="AB2723">
        <v>0.2</v>
      </c>
      <c r="AC2723" t="s">
        <v>136</v>
      </c>
      <c r="AD2723" t="s">
        <v>81</v>
      </c>
      <c r="AE2723" t="s">
        <v>62</v>
      </c>
      <c r="AF2723" t="s">
        <v>62</v>
      </c>
      <c r="AG2723">
        <v>0</v>
      </c>
      <c r="AH2723">
        <v>0</v>
      </c>
      <c r="AI2723">
        <v>5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5</v>
      </c>
      <c r="AT2723">
        <v>0</v>
      </c>
      <c r="AU2723">
        <v>6</v>
      </c>
      <c r="AV2723">
        <v>4</v>
      </c>
      <c r="AW2723">
        <v>8</v>
      </c>
      <c r="AX2723">
        <v>5</v>
      </c>
      <c r="AY2723">
        <v>11</v>
      </c>
      <c r="AZ2723">
        <v>0</v>
      </c>
      <c r="BA2723" t="s">
        <v>11613</v>
      </c>
      <c r="BB2723" t="s">
        <v>193</v>
      </c>
      <c r="BC2723">
        <v>0.92800000000000005</v>
      </c>
      <c r="BD2723" t="s">
        <v>65</v>
      </c>
      <c r="BE2723">
        <v>19</v>
      </c>
      <c r="BF2723">
        <v>5</v>
      </c>
      <c r="BG2723" t="s">
        <v>11614</v>
      </c>
      <c r="BH2723" t="s">
        <v>11615</v>
      </c>
      <c r="BI2723" t="s">
        <v>11616</v>
      </c>
      <c r="BJ2723">
        <v>3.9170000000000003E-2</v>
      </c>
      <c r="BK2723">
        <v>1</v>
      </c>
      <c r="BL2723" t="s">
        <v>69</v>
      </c>
      <c r="BM2723">
        <v>-1.5529999999999999</v>
      </c>
      <c r="BN2723">
        <v>-1.0980000000000001</v>
      </c>
    </row>
    <row r="2724" spans="10:66">
      <c r="J2724">
        <v>0</v>
      </c>
      <c r="K2724">
        <v>4</v>
      </c>
      <c r="L2724">
        <v>0</v>
      </c>
      <c r="M2724" t="s">
        <v>25022</v>
      </c>
      <c r="N2724">
        <v>1855</v>
      </c>
      <c r="O2724" t="s">
        <v>11617</v>
      </c>
      <c r="P2724" t="s">
        <v>57</v>
      </c>
      <c r="Q2724">
        <v>1919861</v>
      </c>
      <c r="R2724">
        <v>1921861</v>
      </c>
      <c r="S2724" t="s">
        <v>11618</v>
      </c>
      <c r="T2724">
        <v>667</v>
      </c>
      <c r="U2724" t="s">
        <v>108</v>
      </c>
      <c r="V2724">
        <v>44</v>
      </c>
      <c r="W2724" t="str">
        <f>HYPERLINK("Gene1855-zp_tree_all.dnd", "Gene1855-tree")</f>
        <v>Gene1855-tree</v>
      </c>
      <c r="X2724">
        <v>7</v>
      </c>
      <c r="Y2724">
        <v>25</v>
      </c>
      <c r="Z2724">
        <v>7</v>
      </c>
      <c r="AA2724">
        <v>8</v>
      </c>
      <c r="AB2724">
        <v>0.53332999999999997</v>
      </c>
      <c r="AC2724" t="s">
        <v>152</v>
      </c>
      <c r="AD2724" t="s">
        <v>1667</v>
      </c>
      <c r="AE2724">
        <v>3.1669999999999998</v>
      </c>
      <c r="AF2724" t="s">
        <v>65</v>
      </c>
      <c r="AG2724">
        <v>2</v>
      </c>
      <c r="AH2724">
        <v>4</v>
      </c>
      <c r="AI2724">
        <v>6</v>
      </c>
      <c r="AJ2724">
        <v>0.4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2</v>
      </c>
      <c r="AQ2724">
        <v>0</v>
      </c>
      <c r="AR2724">
        <v>2</v>
      </c>
      <c r="AS2724">
        <v>5</v>
      </c>
      <c r="AT2724">
        <v>0.28571000000000002</v>
      </c>
      <c r="AU2724">
        <v>12</v>
      </c>
      <c r="AV2724">
        <v>9</v>
      </c>
      <c r="AW2724">
        <v>38</v>
      </c>
      <c r="AX2724">
        <v>7</v>
      </c>
      <c r="AY2724">
        <v>20</v>
      </c>
      <c r="AZ2724">
        <v>3</v>
      </c>
      <c r="BA2724" t="s">
        <v>11619</v>
      </c>
      <c r="BB2724" t="s">
        <v>11620</v>
      </c>
      <c r="BC2724">
        <v>0.182</v>
      </c>
      <c r="BD2724" t="s">
        <v>65</v>
      </c>
      <c r="BE2724">
        <v>58</v>
      </c>
      <c r="BF2724">
        <v>10</v>
      </c>
      <c r="BG2724" t="s">
        <v>11621</v>
      </c>
      <c r="BH2724" t="s">
        <v>11622</v>
      </c>
      <c r="BI2724" t="s">
        <v>11623</v>
      </c>
      <c r="BJ2724">
        <v>5.058E-2</v>
      </c>
      <c r="BK2724">
        <v>1</v>
      </c>
      <c r="BL2724" t="s">
        <v>69</v>
      </c>
      <c r="BM2724">
        <v>-1.3029999999999999</v>
      </c>
      <c r="BN2724">
        <v>-2.7360000000000002</v>
      </c>
    </row>
    <row r="2725" spans="10:66">
      <c r="J2725">
        <v>0</v>
      </c>
      <c r="K2725">
        <v>0</v>
      </c>
      <c r="L2725">
        <v>0</v>
      </c>
      <c r="M2725" t="s">
        <v>25022</v>
      </c>
      <c r="N2725">
        <v>1856</v>
      </c>
      <c r="O2725" t="s">
        <v>11624</v>
      </c>
      <c r="P2725" t="s">
        <v>57</v>
      </c>
      <c r="Q2725">
        <v>1922017</v>
      </c>
      <c r="R2725">
        <v>1922460</v>
      </c>
      <c r="S2725" t="s">
        <v>11625</v>
      </c>
      <c r="T2725">
        <v>148</v>
      </c>
      <c r="U2725" t="s">
        <v>749</v>
      </c>
      <c r="V2725">
        <v>47</v>
      </c>
      <c r="W2725" t="str">
        <f>HYPERLINK("Gene1856-zp_tree_all.dnd", "Gene1856-tree")</f>
        <v>Gene1856-tree</v>
      </c>
      <c r="X2725">
        <v>8</v>
      </c>
      <c r="Y2725">
        <v>4</v>
      </c>
      <c r="Z2725">
        <v>8</v>
      </c>
      <c r="AA2725">
        <v>4</v>
      </c>
      <c r="AB2725">
        <v>0.33333000000000002</v>
      </c>
      <c r="AC2725" t="s">
        <v>136</v>
      </c>
      <c r="AD2725" t="s">
        <v>61</v>
      </c>
      <c r="AE2725" t="s">
        <v>62</v>
      </c>
      <c r="AF2725" t="s">
        <v>62</v>
      </c>
      <c r="AG2725">
        <v>0</v>
      </c>
      <c r="AH2725">
        <v>0</v>
      </c>
      <c r="AI2725">
        <v>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4</v>
      </c>
      <c r="AT2725">
        <v>0</v>
      </c>
      <c r="AU2725">
        <v>11</v>
      </c>
      <c r="AV2725">
        <v>4</v>
      </c>
      <c r="AW2725">
        <v>17</v>
      </c>
      <c r="AX2725">
        <v>4</v>
      </c>
      <c r="AY2725">
        <v>11</v>
      </c>
      <c r="AZ2725">
        <v>5</v>
      </c>
      <c r="BA2725" t="s">
        <v>11626</v>
      </c>
      <c r="BB2725" t="s">
        <v>11627</v>
      </c>
      <c r="BC2725">
        <v>0.3</v>
      </c>
      <c r="BD2725" t="s">
        <v>65</v>
      </c>
      <c r="BE2725">
        <v>28</v>
      </c>
      <c r="BF2725">
        <v>9</v>
      </c>
      <c r="BG2725" t="s">
        <v>11628</v>
      </c>
      <c r="BH2725" t="s">
        <v>11629</v>
      </c>
      <c r="BI2725" t="s">
        <v>11630</v>
      </c>
      <c r="BJ2725">
        <v>8.4919999999999995E-2</v>
      </c>
      <c r="BK2725">
        <v>1</v>
      </c>
      <c r="BL2725" t="s">
        <v>69</v>
      </c>
      <c r="BM2725">
        <v>-2.0329999999999999</v>
      </c>
      <c r="BN2725">
        <v>-1.6850000000000001</v>
      </c>
    </row>
    <row r="2726" spans="10:66">
      <c r="J2726">
        <v>0</v>
      </c>
      <c r="K2726">
        <v>0</v>
      </c>
      <c r="L2726">
        <v>0</v>
      </c>
      <c r="M2726" t="s">
        <v>25022</v>
      </c>
      <c r="N2726">
        <v>1857</v>
      </c>
      <c r="O2726" t="s">
        <v>11631</v>
      </c>
      <c r="P2726" t="s">
        <v>57</v>
      </c>
      <c r="Q2726">
        <v>1922549</v>
      </c>
      <c r="R2726">
        <v>1922764</v>
      </c>
      <c r="S2726" t="s">
        <v>1217</v>
      </c>
      <c r="T2726">
        <v>72</v>
      </c>
      <c r="U2726" t="s">
        <v>515</v>
      </c>
      <c r="V2726">
        <v>51</v>
      </c>
      <c r="W2726" t="str">
        <f>HYPERLINK("Gene1857-zp_tree_all.dnd", "Gene1857-tree")</f>
        <v>Gene1857-tree</v>
      </c>
      <c r="X2726">
        <v>47</v>
      </c>
      <c r="Y2726">
        <v>0</v>
      </c>
      <c r="Z2726">
        <v>7</v>
      </c>
      <c r="AA2726">
        <v>0</v>
      </c>
      <c r="AB2726">
        <v>0</v>
      </c>
      <c r="AC2726" t="s">
        <v>11632</v>
      </c>
      <c r="AD2726" t="s">
        <v>62</v>
      </c>
      <c r="AE2726" t="s">
        <v>62</v>
      </c>
      <c r="AF2726" t="s">
        <v>62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4</v>
      </c>
      <c r="AV2726">
        <v>2</v>
      </c>
      <c r="AW2726">
        <v>4</v>
      </c>
      <c r="AX2726">
        <v>0</v>
      </c>
      <c r="AY2726">
        <v>5</v>
      </c>
      <c r="AZ2726">
        <v>1</v>
      </c>
      <c r="BA2726" t="s">
        <v>193</v>
      </c>
      <c r="BB2726" t="s">
        <v>11633</v>
      </c>
      <c r="BC2726">
        <v>1.0249999999999999</v>
      </c>
      <c r="BD2726" t="s">
        <v>65</v>
      </c>
      <c r="BE2726">
        <v>9</v>
      </c>
      <c r="BF2726">
        <v>1</v>
      </c>
      <c r="BG2726" t="s">
        <v>11634</v>
      </c>
      <c r="BH2726" t="s">
        <v>11635</v>
      </c>
      <c r="BI2726" t="s">
        <v>11636</v>
      </c>
      <c r="BJ2726">
        <v>4.5170000000000002E-2</v>
      </c>
      <c r="BK2726">
        <v>1</v>
      </c>
      <c r="BL2726" t="s">
        <v>69</v>
      </c>
      <c r="BM2726">
        <v>-1.6319999999999999</v>
      </c>
      <c r="BN2726">
        <v>2.7E-2</v>
      </c>
    </row>
    <row r="2727" spans="10:66">
      <c r="J2727">
        <v>0</v>
      </c>
      <c r="K2727">
        <v>4</v>
      </c>
      <c r="L2727">
        <v>0</v>
      </c>
      <c r="M2727" t="s">
        <v>25022</v>
      </c>
      <c r="N2727">
        <v>1859</v>
      </c>
      <c r="O2727" t="s">
        <v>11645</v>
      </c>
      <c r="P2727" t="s">
        <v>57</v>
      </c>
      <c r="Q2727">
        <v>1923234</v>
      </c>
      <c r="R2727">
        <v>1923938</v>
      </c>
      <c r="S2727" t="s">
        <v>11646</v>
      </c>
      <c r="T2727">
        <v>235</v>
      </c>
      <c r="U2727" t="s">
        <v>2803</v>
      </c>
      <c r="V2727">
        <v>45</v>
      </c>
      <c r="W2727" t="str">
        <f>HYPERLINK("Gene1859-zp_tree_all.dnd", "Gene1859-tree")</f>
        <v>Gene1859-tree</v>
      </c>
      <c r="X2727">
        <v>7</v>
      </c>
      <c r="Y2727">
        <v>5</v>
      </c>
      <c r="Z2727">
        <v>7</v>
      </c>
      <c r="AA2727">
        <v>5</v>
      </c>
      <c r="AB2727">
        <v>0.41666999999999998</v>
      </c>
      <c r="AC2727" t="s">
        <v>152</v>
      </c>
      <c r="AD2727" t="s">
        <v>199</v>
      </c>
      <c r="AE2727" t="s">
        <v>62</v>
      </c>
      <c r="AF2727" t="s">
        <v>62</v>
      </c>
      <c r="AG2727">
        <v>1</v>
      </c>
      <c r="AH2727">
        <v>4</v>
      </c>
      <c r="AI2727">
        <v>5</v>
      </c>
      <c r="AJ2727">
        <v>0.44444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3</v>
      </c>
      <c r="AQ2727">
        <v>0</v>
      </c>
      <c r="AR2727">
        <v>3</v>
      </c>
      <c r="AS2727">
        <v>4</v>
      </c>
      <c r="AT2727">
        <v>0.42857000000000001</v>
      </c>
      <c r="AU2727">
        <v>7</v>
      </c>
      <c r="AV2727">
        <v>7</v>
      </c>
      <c r="AW2727">
        <v>32</v>
      </c>
      <c r="AX2727">
        <v>7</v>
      </c>
      <c r="AY2727">
        <v>16</v>
      </c>
      <c r="AZ2727">
        <v>2</v>
      </c>
      <c r="BA2727" t="s">
        <v>11647</v>
      </c>
      <c r="BB2727" t="s">
        <v>11648</v>
      </c>
      <c r="BC2727">
        <v>0.17299999999999999</v>
      </c>
      <c r="BD2727" t="s">
        <v>65</v>
      </c>
      <c r="BE2727">
        <v>48</v>
      </c>
      <c r="BF2727">
        <v>9</v>
      </c>
      <c r="BG2727" t="s">
        <v>11649</v>
      </c>
      <c r="BH2727" t="s">
        <v>11650</v>
      </c>
      <c r="BI2727" t="s">
        <v>11651</v>
      </c>
      <c r="BJ2727">
        <v>4.3900000000000002E-2</v>
      </c>
      <c r="BK2727">
        <v>1</v>
      </c>
      <c r="BL2727" t="s">
        <v>69</v>
      </c>
      <c r="BM2727">
        <v>-2.0329999999999999</v>
      </c>
      <c r="BN2727">
        <v>-4.3410000000000002</v>
      </c>
    </row>
    <row r="2728" spans="10:66">
      <c r="J2728">
        <v>0</v>
      </c>
      <c r="K2728">
        <v>2</v>
      </c>
      <c r="L2728">
        <v>0</v>
      </c>
      <c r="M2728" t="s">
        <v>25022</v>
      </c>
      <c r="N2728">
        <v>1860</v>
      </c>
      <c r="O2728" t="s">
        <v>11652</v>
      </c>
      <c r="P2728" t="s">
        <v>57</v>
      </c>
      <c r="Q2728">
        <v>1924030</v>
      </c>
      <c r="R2728">
        <v>1924389</v>
      </c>
      <c r="S2728" t="s">
        <v>11653</v>
      </c>
      <c r="T2728">
        <v>120</v>
      </c>
      <c r="U2728" t="s">
        <v>409</v>
      </c>
      <c r="V2728">
        <v>45</v>
      </c>
      <c r="W2728" t="str">
        <f>HYPERLINK("Gene1860-zp_tree_all.dnd", "Gene1860-tree")</f>
        <v>Gene1860-tree</v>
      </c>
      <c r="X2728">
        <v>4</v>
      </c>
      <c r="Y2728">
        <v>5</v>
      </c>
      <c r="Z2728">
        <v>4</v>
      </c>
      <c r="AA2728">
        <v>5</v>
      </c>
      <c r="AB2728">
        <v>0.55556000000000005</v>
      </c>
      <c r="AC2728" t="s">
        <v>61</v>
      </c>
      <c r="AD2728" t="s">
        <v>199</v>
      </c>
      <c r="AE2728" t="s">
        <v>62</v>
      </c>
      <c r="AF2728" t="s">
        <v>62</v>
      </c>
      <c r="AG2728">
        <v>1</v>
      </c>
      <c r="AH2728">
        <v>2</v>
      </c>
      <c r="AI2728">
        <v>4</v>
      </c>
      <c r="AJ2728">
        <v>0.33333000000000002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2</v>
      </c>
      <c r="AQ2728">
        <v>0</v>
      </c>
      <c r="AR2728">
        <v>2</v>
      </c>
      <c r="AS2728">
        <v>4</v>
      </c>
      <c r="AT2728">
        <v>0.33333000000000002</v>
      </c>
      <c r="AU2728">
        <v>7</v>
      </c>
      <c r="AV2728">
        <v>2</v>
      </c>
      <c r="AW2728">
        <v>21</v>
      </c>
      <c r="AX2728">
        <v>6</v>
      </c>
      <c r="AY2728">
        <v>2</v>
      </c>
      <c r="AZ2728">
        <v>0</v>
      </c>
      <c r="BA2728" t="s">
        <v>11654</v>
      </c>
      <c r="BB2728" t="s">
        <v>193</v>
      </c>
      <c r="BC2728">
        <v>0.85799999999999998</v>
      </c>
      <c r="BD2728" t="s">
        <v>65</v>
      </c>
      <c r="BE2728">
        <v>23</v>
      </c>
      <c r="BF2728">
        <v>6</v>
      </c>
      <c r="BG2728" t="s">
        <v>11655</v>
      </c>
      <c r="BH2728" t="s">
        <v>11656</v>
      </c>
      <c r="BI2728" t="s">
        <v>11657</v>
      </c>
      <c r="BJ2728">
        <v>6.0879999999999997E-2</v>
      </c>
      <c r="BK2728">
        <v>1</v>
      </c>
      <c r="BL2728" t="s">
        <v>69</v>
      </c>
      <c r="BM2728">
        <v>-1.9410000000000001</v>
      </c>
      <c r="BN2728">
        <v>-4.0410000000000004</v>
      </c>
    </row>
    <row r="2729" spans="10:66">
      <c r="J2729">
        <v>0</v>
      </c>
      <c r="K2729">
        <v>0</v>
      </c>
      <c r="L2729">
        <v>0</v>
      </c>
      <c r="M2729" t="s">
        <v>25022</v>
      </c>
      <c r="N2729">
        <v>1861</v>
      </c>
      <c r="O2729" t="s">
        <v>11658</v>
      </c>
      <c r="P2729" t="s">
        <v>57</v>
      </c>
      <c r="Q2729">
        <v>1924471</v>
      </c>
      <c r="R2729">
        <v>1924959</v>
      </c>
      <c r="S2729" t="s">
        <v>3095</v>
      </c>
      <c r="T2729">
        <v>163</v>
      </c>
      <c r="U2729" t="s">
        <v>59</v>
      </c>
      <c r="V2729">
        <v>49</v>
      </c>
      <c r="W2729" t="str">
        <f>HYPERLINK("Gene1861-zp_tree_all.dnd", "Gene1861-tree")</f>
        <v>Gene1861-tree</v>
      </c>
      <c r="X2729">
        <v>12</v>
      </c>
      <c r="Y2729">
        <v>4</v>
      </c>
      <c r="Z2729">
        <v>12</v>
      </c>
      <c r="AA2729">
        <v>4</v>
      </c>
      <c r="AB2729">
        <v>0.25</v>
      </c>
      <c r="AC2729" t="s">
        <v>109</v>
      </c>
      <c r="AD2729" t="s">
        <v>61</v>
      </c>
      <c r="AE2729" t="s">
        <v>62</v>
      </c>
      <c r="AF2729" t="s">
        <v>62</v>
      </c>
      <c r="AG2729">
        <v>0</v>
      </c>
      <c r="AH2729">
        <v>0</v>
      </c>
      <c r="AI2729">
        <v>9</v>
      </c>
      <c r="AJ2729">
        <v>0</v>
      </c>
      <c r="AK2729">
        <v>0</v>
      </c>
      <c r="AL2729">
        <v>0</v>
      </c>
      <c r="AM2729">
        <v>0</v>
      </c>
      <c r="AN2729">
        <v>2</v>
      </c>
      <c r="AO2729">
        <v>0</v>
      </c>
      <c r="AP2729">
        <v>0</v>
      </c>
      <c r="AQ2729">
        <v>0</v>
      </c>
      <c r="AR2729">
        <v>0</v>
      </c>
      <c r="AS2729">
        <v>5</v>
      </c>
      <c r="AT2729">
        <v>0</v>
      </c>
      <c r="AU2729">
        <v>11</v>
      </c>
      <c r="AV2729">
        <v>8</v>
      </c>
      <c r="AW2729">
        <v>15</v>
      </c>
      <c r="AX2729">
        <v>5</v>
      </c>
      <c r="AY2729">
        <v>25</v>
      </c>
      <c r="AZ2729">
        <v>4</v>
      </c>
      <c r="BA2729" t="s">
        <v>11659</v>
      </c>
      <c r="BB2729" t="s">
        <v>11660</v>
      </c>
      <c r="BC2729">
        <v>0.53200000000000003</v>
      </c>
      <c r="BD2729" t="s">
        <v>65</v>
      </c>
      <c r="BE2729">
        <v>40</v>
      </c>
      <c r="BF2729">
        <v>9</v>
      </c>
      <c r="BG2729" t="s">
        <v>11661</v>
      </c>
      <c r="BH2729" t="s">
        <v>11662</v>
      </c>
      <c r="BI2729" t="s">
        <v>11663</v>
      </c>
      <c r="BJ2729">
        <v>5.2720000000000003E-2</v>
      </c>
      <c r="BK2729">
        <v>1</v>
      </c>
      <c r="BL2729" t="s">
        <v>69</v>
      </c>
      <c r="BM2729">
        <v>-1.4570000000000001</v>
      </c>
      <c r="BN2729">
        <v>-0.56299999999999994</v>
      </c>
    </row>
    <row r="2730" spans="10:66">
      <c r="J2730">
        <v>0</v>
      </c>
      <c r="K2730">
        <v>3</v>
      </c>
      <c r="L2730">
        <v>0</v>
      </c>
      <c r="M2730" t="s">
        <v>25022</v>
      </c>
      <c r="N2730">
        <v>1866</v>
      </c>
      <c r="O2730" t="s">
        <v>11684</v>
      </c>
      <c r="P2730" t="s">
        <v>57</v>
      </c>
      <c r="Q2730">
        <v>1926680</v>
      </c>
      <c r="R2730">
        <v>1929406</v>
      </c>
      <c r="S2730" t="s">
        <v>11685</v>
      </c>
      <c r="T2730">
        <v>909</v>
      </c>
      <c r="U2730" t="s">
        <v>108</v>
      </c>
      <c r="V2730">
        <v>44</v>
      </c>
      <c r="W2730" t="str">
        <f>HYPERLINK("Gene1866-zp_tree_all.dnd", "Gene1866-tree")</f>
        <v>Gene1866-tree</v>
      </c>
      <c r="X2730">
        <v>12</v>
      </c>
      <c r="Y2730">
        <v>1</v>
      </c>
      <c r="Z2730">
        <v>12</v>
      </c>
      <c r="AA2730">
        <v>1</v>
      </c>
      <c r="AB2730">
        <v>7.6920000000000002E-2</v>
      </c>
      <c r="AC2730" t="s">
        <v>109</v>
      </c>
      <c r="AD2730" t="s">
        <v>175</v>
      </c>
      <c r="AE2730" t="s">
        <v>62</v>
      </c>
      <c r="AF2730" t="s">
        <v>62</v>
      </c>
      <c r="AG2730">
        <v>1</v>
      </c>
      <c r="AH2730">
        <v>3</v>
      </c>
      <c r="AI2730">
        <v>7</v>
      </c>
      <c r="AJ2730">
        <v>0.3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13</v>
      </c>
      <c r="AV2730">
        <v>10</v>
      </c>
      <c r="AW2730">
        <v>72</v>
      </c>
      <c r="AX2730">
        <v>1</v>
      </c>
      <c r="AY2730">
        <v>74</v>
      </c>
      <c r="AZ2730">
        <v>9</v>
      </c>
      <c r="BA2730" t="s">
        <v>11686</v>
      </c>
      <c r="BB2730" t="s">
        <v>11687</v>
      </c>
      <c r="BC2730">
        <v>0.40400000000000003</v>
      </c>
      <c r="BD2730" t="s">
        <v>65</v>
      </c>
      <c r="BE2730">
        <v>146</v>
      </c>
      <c r="BF2730">
        <v>10</v>
      </c>
      <c r="BG2730" t="s">
        <v>11688</v>
      </c>
      <c r="BH2730" t="s">
        <v>11689</v>
      </c>
      <c r="BI2730" t="s">
        <v>6043</v>
      </c>
      <c r="BJ2730">
        <v>2.7179999999999999E-2</v>
      </c>
      <c r="BK2730">
        <v>1</v>
      </c>
      <c r="BL2730" t="s">
        <v>69</v>
      </c>
      <c r="BM2730">
        <v>-0.161</v>
      </c>
      <c r="BN2730">
        <v>-0.27800000000000002</v>
      </c>
    </row>
    <row r="2731" spans="10:66">
      <c r="J2731">
        <v>0</v>
      </c>
      <c r="K2731">
        <v>0</v>
      </c>
      <c r="L2731">
        <v>0</v>
      </c>
      <c r="M2731" t="s">
        <v>25022</v>
      </c>
      <c r="N2731">
        <v>1867</v>
      </c>
      <c r="O2731" t="s">
        <v>11690</v>
      </c>
      <c r="P2731" t="s">
        <v>57</v>
      </c>
      <c r="Q2731">
        <v>1929481</v>
      </c>
      <c r="R2731">
        <v>1929990</v>
      </c>
      <c r="S2731" t="s">
        <v>11691</v>
      </c>
      <c r="T2731">
        <v>170</v>
      </c>
      <c r="U2731" t="s">
        <v>11692</v>
      </c>
      <c r="V2731">
        <v>43</v>
      </c>
      <c r="W2731" t="str">
        <f>HYPERLINK("Gene1867-zp_tree_all.dnd", "Gene1867-tree")</f>
        <v>Gene1867-tree</v>
      </c>
      <c r="X2731">
        <v>8</v>
      </c>
      <c r="Y2731">
        <v>3</v>
      </c>
      <c r="Z2731">
        <v>8</v>
      </c>
      <c r="AA2731">
        <v>3</v>
      </c>
      <c r="AB2731">
        <v>0.27272999999999997</v>
      </c>
      <c r="AC2731" t="s">
        <v>136</v>
      </c>
      <c r="AD2731" t="s">
        <v>324</v>
      </c>
      <c r="AE2731" t="s">
        <v>62</v>
      </c>
      <c r="AF2731" t="s">
        <v>62</v>
      </c>
      <c r="AG2731">
        <v>0</v>
      </c>
      <c r="AH2731">
        <v>0</v>
      </c>
      <c r="AI2731">
        <v>5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4</v>
      </c>
      <c r="AT2731">
        <v>0</v>
      </c>
      <c r="AU2731">
        <v>7</v>
      </c>
      <c r="AV2731">
        <v>7</v>
      </c>
      <c r="AW2731">
        <v>12</v>
      </c>
      <c r="AX2731">
        <v>4</v>
      </c>
      <c r="AY2731">
        <v>7</v>
      </c>
      <c r="AZ2731">
        <v>1</v>
      </c>
      <c r="BA2731" t="s">
        <v>11693</v>
      </c>
      <c r="BB2731" t="s">
        <v>11694</v>
      </c>
      <c r="BC2731">
        <v>0.44800000000000001</v>
      </c>
      <c r="BD2731" t="s">
        <v>65</v>
      </c>
      <c r="BE2731">
        <v>19</v>
      </c>
      <c r="BF2731">
        <v>5</v>
      </c>
      <c r="BG2731" t="s">
        <v>11695</v>
      </c>
      <c r="BH2731" t="s">
        <v>11696</v>
      </c>
      <c r="BI2731" t="s">
        <v>11697</v>
      </c>
      <c r="BJ2731">
        <v>7.825E-2</v>
      </c>
      <c r="BK2731">
        <v>1</v>
      </c>
      <c r="BL2731" t="s">
        <v>69</v>
      </c>
      <c r="BM2731">
        <v>0.51400000000000001</v>
      </c>
      <c r="BN2731">
        <v>-0.35</v>
      </c>
    </row>
    <row r="2732" spans="10:66">
      <c r="J2732">
        <v>0</v>
      </c>
      <c r="K2732">
        <v>0</v>
      </c>
      <c r="L2732">
        <v>0</v>
      </c>
      <c r="M2732" t="s">
        <v>25022</v>
      </c>
      <c r="N2732">
        <v>1868</v>
      </c>
      <c r="O2732" t="s">
        <v>11698</v>
      </c>
      <c r="P2732" t="s">
        <v>57</v>
      </c>
      <c r="Q2732">
        <v>1930074</v>
      </c>
      <c r="R2732">
        <v>1930196</v>
      </c>
      <c r="S2732" t="s">
        <v>288</v>
      </c>
      <c r="T2732">
        <v>41</v>
      </c>
      <c r="U2732" t="s">
        <v>59</v>
      </c>
      <c r="V2732">
        <v>49</v>
      </c>
      <c r="W2732" t="str">
        <f>HYPERLINK("Gene1868-zp_tree_all.dnd", "Gene1868-tree")</f>
        <v>Gene1868-tree</v>
      </c>
      <c r="X2732">
        <v>5</v>
      </c>
      <c r="Y2732">
        <v>0</v>
      </c>
      <c r="Z2732">
        <v>5</v>
      </c>
      <c r="AA2732">
        <v>0</v>
      </c>
      <c r="AB2732">
        <v>0</v>
      </c>
      <c r="AC2732" t="s">
        <v>199</v>
      </c>
      <c r="AD2732" t="s">
        <v>62</v>
      </c>
      <c r="AE2732" t="s">
        <v>62</v>
      </c>
      <c r="AF2732" t="s">
        <v>62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3</v>
      </c>
      <c r="AV2732">
        <v>1</v>
      </c>
      <c r="AW2732">
        <v>3</v>
      </c>
      <c r="AX2732">
        <v>0</v>
      </c>
      <c r="AY2732">
        <v>1</v>
      </c>
      <c r="AZ2732">
        <v>0</v>
      </c>
      <c r="BA2732" t="s">
        <v>193</v>
      </c>
      <c r="BB2732" t="s">
        <v>193</v>
      </c>
      <c r="BC2732">
        <v>0</v>
      </c>
      <c r="BD2732" t="s">
        <v>65</v>
      </c>
      <c r="BE2732">
        <v>4</v>
      </c>
      <c r="BF2732">
        <v>0</v>
      </c>
      <c r="BG2732" t="s">
        <v>11699</v>
      </c>
      <c r="BH2732" t="s">
        <v>11700</v>
      </c>
      <c r="BI2732" t="s">
        <v>193</v>
      </c>
      <c r="BJ2732">
        <v>0</v>
      </c>
      <c r="BK2732">
        <v>1</v>
      </c>
      <c r="BL2732" t="s">
        <v>69</v>
      </c>
      <c r="BM2732">
        <v>-1.298</v>
      </c>
      <c r="BN2732">
        <v>-1.1919999999999999</v>
      </c>
    </row>
    <row r="2733" spans="10:66">
      <c r="J2733">
        <v>0</v>
      </c>
      <c r="K2733">
        <v>0</v>
      </c>
      <c r="L2733">
        <v>0</v>
      </c>
      <c r="M2733" t="s">
        <v>25022</v>
      </c>
      <c r="N2733">
        <v>1869</v>
      </c>
      <c r="O2733" t="s">
        <v>11701</v>
      </c>
      <c r="P2733" t="s">
        <v>57</v>
      </c>
      <c r="Q2733">
        <v>1930264</v>
      </c>
      <c r="R2733">
        <v>1930407</v>
      </c>
      <c r="S2733" t="s">
        <v>389</v>
      </c>
      <c r="T2733">
        <v>48</v>
      </c>
      <c r="U2733" t="s">
        <v>59</v>
      </c>
      <c r="V2733">
        <v>49</v>
      </c>
      <c r="W2733" t="str">
        <f>HYPERLINK("Gene1869-zp_tree_all.dnd", "Gene1869-tree")</f>
        <v>Gene1869-tree</v>
      </c>
      <c r="X2733">
        <v>8</v>
      </c>
      <c r="Y2733">
        <v>0</v>
      </c>
      <c r="Z2733">
        <v>8</v>
      </c>
      <c r="AA2733">
        <v>0</v>
      </c>
      <c r="AB2733">
        <v>0</v>
      </c>
      <c r="AC2733" t="s">
        <v>136</v>
      </c>
      <c r="AD2733" t="s">
        <v>62</v>
      </c>
      <c r="AE2733" t="s">
        <v>62</v>
      </c>
      <c r="AF2733" t="s">
        <v>62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5</v>
      </c>
      <c r="AV2733">
        <v>4</v>
      </c>
      <c r="AW2733">
        <v>9</v>
      </c>
      <c r="AX2733">
        <v>0</v>
      </c>
      <c r="AY2733">
        <v>3</v>
      </c>
      <c r="AZ2733">
        <v>1</v>
      </c>
      <c r="BA2733" t="s">
        <v>193</v>
      </c>
      <c r="BB2733" t="s">
        <v>11702</v>
      </c>
      <c r="BC2733">
        <v>0.6</v>
      </c>
      <c r="BD2733" t="s">
        <v>65</v>
      </c>
      <c r="BE2733">
        <v>12</v>
      </c>
      <c r="BF2733">
        <v>1</v>
      </c>
      <c r="BG2733" t="s">
        <v>11703</v>
      </c>
      <c r="BH2733" t="s">
        <v>11704</v>
      </c>
      <c r="BI2733" t="s">
        <v>11705</v>
      </c>
      <c r="BJ2733">
        <v>3.6409999999999998E-2</v>
      </c>
      <c r="BK2733">
        <v>1</v>
      </c>
      <c r="BL2733" t="s">
        <v>69</v>
      </c>
      <c r="BM2733">
        <v>-1.04</v>
      </c>
      <c r="BN2733">
        <v>-1.0449999999999999</v>
      </c>
    </row>
    <row r="2734" spans="10:66">
      <c r="J2734">
        <v>0</v>
      </c>
      <c r="K2734">
        <v>0</v>
      </c>
      <c r="L2734">
        <v>0</v>
      </c>
      <c r="M2734" t="s">
        <v>25022</v>
      </c>
      <c r="N2734">
        <v>1870</v>
      </c>
      <c r="O2734" t="s">
        <v>11706</v>
      </c>
      <c r="P2734" t="s">
        <v>57</v>
      </c>
      <c r="Q2734">
        <v>1930447</v>
      </c>
      <c r="R2734">
        <v>1930695</v>
      </c>
      <c r="S2734" t="s">
        <v>11707</v>
      </c>
      <c r="T2734">
        <v>83</v>
      </c>
      <c r="U2734" t="s">
        <v>108</v>
      </c>
      <c r="V2734">
        <v>44</v>
      </c>
      <c r="W2734" t="str">
        <f>HYPERLINK("Gene1870-zp_tree_all.dnd", "Gene1870-tree")</f>
        <v>Gene1870-tree</v>
      </c>
      <c r="X2734">
        <v>5</v>
      </c>
      <c r="Y2734">
        <v>3</v>
      </c>
      <c r="Z2734">
        <v>5</v>
      </c>
      <c r="AA2734">
        <v>3</v>
      </c>
      <c r="AB2734">
        <v>0.375</v>
      </c>
      <c r="AC2734" t="s">
        <v>199</v>
      </c>
      <c r="AD2734" t="s">
        <v>324</v>
      </c>
      <c r="AE2734" t="s">
        <v>62</v>
      </c>
      <c r="AF2734" t="s">
        <v>62</v>
      </c>
      <c r="AG2734">
        <v>0</v>
      </c>
      <c r="AH2734">
        <v>0</v>
      </c>
      <c r="AI2734">
        <v>4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4</v>
      </c>
      <c r="AT2734">
        <v>0</v>
      </c>
      <c r="AU2734">
        <v>4</v>
      </c>
      <c r="AV2734">
        <v>3</v>
      </c>
      <c r="AW2734">
        <v>14</v>
      </c>
      <c r="AX2734">
        <v>4</v>
      </c>
      <c r="AY2734">
        <v>3</v>
      </c>
      <c r="AZ2734">
        <v>0</v>
      </c>
      <c r="BA2734" t="s">
        <v>11708</v>
      </c>
      <c r="BB2734" t="s">
        <v>193</v>
      </c>
      <c r="BC2734">
        <v>1.4510000000000001</v>
      </c>
      <c r="BD2734" t="s">
        <v>65</v>
      </c>
      <c r="BE2734">
        <v>17</v>
      </c>
      <c r="BF2734">
        <v>4</v>
      </c>
      <c r="BG2734" t="s">
        <v>11709</v>
      </c>
      <c r="BH2734" t="s">
        <v>11710</v>
      </c>
      <c r="BI2734" t="s">
        <v>11711</v>
      </c>
      <c r="BJ2734">
        <v>4.4260000000000001E-2</v>
      </c>
      <c r="BK2734">
        <v>1</v>
      </c>
      <c r="BL2734" t="s">
        <v>69</v>
      </c>
      <c r="BM2734">
        <v>-2.206</v>
      </c>
      <c r="BN2734">
        <v>-4.6390000000000002</v>
      </c>
    </row>
    <row r="2735" spans="10:66">
      <c r="J2735">
        <v>0</v>
      </c>
      <c r="K2735">
        <v>2</v>
      </c>
      <c r="L2735">
        <v>0</v>
      </c>
      <c r="M2735" t="s">
        <v>25022</v>
      </c>
      <c r="N2735">
        <v>1871</v>
      </c>
      <c r="O2735" t="s">
        <v>11712</v>
      </c>
      <c r="P2735" t="s">
        <v>57</v>
      </c>
      <c r="Q2735">
        <v>1930834</v>
      </c>
      <c r="R2735">
        <v>1931196</v>
      </c>
      <c r="S2735" t="s">
        <v>11713</v>
      </c>
      <c r="T2735">
        <v>121</v>
      </c>
      <c r="U2735" t="s">
        <v>1392</v>
      </c>
      <c r="V2735">
        <v>43</v>
      </c>
      <c r="W2735" t="str">
        <f>HYPERLINK("Gene1871-zp_tree_all.dnd", "Gene1871-tree")</f>
        <v>Gene1871-tree</v>
      </c>
      <c r="X2735">
        <v>30</v>
      </c>
      <c r="Y2735">
        <v>2</v>
      </c>
      <c r="Z2735">
        <v>9</v>
      </c>
      <c r="AA2735">
        <v>2</v>
      </c>
      <c r="AB2735">
        <v>0.18182000000000001</v>
      </c>
      <c r="AC2735" t="s">
        <v>2142</v>
      </c>
      <c r="AD2735" t="s">
        <v>81</v>
      </c>
      <c r="AE2735" t="s">
        <v>62</v>
      </c>
      <c r="AF2735" t="s">
        <v>62</v>
      </c>
      <c r="AG2735">
        <v>1</v>
      </c>
      <c r="AH2735">
        <v>2</v>
      </c>
      <c r="AI2735">
        <v>4</v>
      </c>
      <c r="AJ2735">
        <v>0.33333000000000002</v>
      </c>
      <c r="AK2735">
        <v>2</v>
      </c>
      <c r="AL2735">
        <v>0</v>
      </c>
      <c r="AM2735">
        <v>2</v>
      </c>
      <c r="AN2735">
        <v>2</v>
      </c>
      <c r="AO2735">
        <v>0.5</v>
      </c>
      <c r="AP2735">
        <v>0</v>
      </c>
      <c r="AQ2735">
        <v>0</v>
      </c>
      <c r="AR2735">
        <v>0</v>
      </c>
      <c r="AS2735">
        <v>2</v>
      </c>
      <c r="AT2735">
        <v>0</v>
      </c>
      <c r="AU2735">
        <v>5</v>
      </c>
      <c r="AV2735">
        <v>5</v>
      </c>
      <c r="AW2735">
        <v>6</v>
      </c>
      <c r="AX2735">
        <v>1</v>
      </c>
      <c r="AY2735">
        <v>5</v>
      </c>
      <c r="AZ2735">
        <v>5</v>
      </c>
      <c r="BA2735" t="s">
        <v>11714</v>
      </c>
      <c r="BB2735" t="s">
        <v>11715</v>
      </c>
      <c r="BC2735">
        <v>1.343</v>
      </c>
      <c r="BD2735" t="s">
        <v>65</v>
      </c>
      <c r="BE2735">
        <v>11</v>
      </c>
      <c r="BF2735">
        <v>6</v>
      </c>
      <c r="BG2735" t="s">
        <v>11716</v>
      </c>
      <c r="BH2735" t="s">
        <v>11717</v>
      </c>
      <c r="BI2735" t="s">
        <v>11718</v>
      </c>
      <c r="BJ2735">
        <v>0.18442</v>
      </c>
      <c r="BK2735">
        <v>1</v>
      </c>
      <c r="BL2735" t="s">
        <v>69</v>
      </c>
      <c r="BM2735">
        <v>0.56200000000000006</v>
      </c>
      <c r="BN2735">
        <v>0.24199999999999999</v>
      </c>
    </row>
    <row r="2736" spans="10:66">
      <c r="J2736">
        <v>0</v>
      </c>
      <c r="K2736">
        <v>4</v>
      </c>
      <c r="L2736">
        <v>0</v>
      </c>
      <c r="M2736" t="s">
        <v>25022</v>
      </c>
      <c r="N2736">
        <v>1872</v>
      </c>
      <c r="O2736" t="s">
        <v>11719</v>
      </c>
      <c r="P2736" t="s">
        <v>57</v>
      </c>
      <c r="Q2736">
        <v>1931215</v>
      </c>
      <c r="R2736">
        <v>1931511</v>
      </c>
      <c r="S2736" t="s">
        <v>288</v>
      </c>
      <c r="T2736">
        <v>99</v>
      </c>
      <c r="U2736" t="s">
        <v>108</v>
      </c>
      <c r="V2736">
        <v>44</v>
      </c>
      <c r="W2736" t="str">
        <f>HYPERLINK("Gene1872-zp_tree_all.dnd", "Gene1872-tree")</f>
        <v>Gene1872-tree</v>
      </c>
      <c r="X2736">
        <v>26</v>
      </c>
      <c r="Y2736">
        <v>5</v>
      </c>
      <c r="Z2736">
        <v>4</v>
      </c>
      <c r="AA2736">
        <v>5</v>
      </c>
      <c r="AB2736">
        <v>0.55556000000000005</v>
      </c>
      <c r="AC2736" t="s">
        <v>2333</v>
      </c>
      <c r="AD2736" t="s">
        <v>199</v>
      </c>
      <c r="AE2736" t="s">
        <v>62</v>
      </c>
      <c r="AF2736" t="s">
        <v>62</v>
      </c>
      <c r="AG2736">
        <v>2</v>
      </c>
      <c r="AH2736">
        <v>4</v>
      </c>
      <c r="AI2736">
        <v>3</v>
      </c>
      <c r="AJ2736">
        <v>0.57142999999999999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2</v>
      </c>
      <c r="AQ2736">
        <v>0</v>
      </c>
      <c r="AR2736">
        <v>2</v>
      </c>
      <c r="AS2736">
        <v>3</v>
      </c>
      <c r="AT2736">
        <v>0.4</v>
      </c>
      <c r="AU2736">
        <v>8</v>
      </c>
      <c r="AV2736">
        <v>4</v>
      </c>
      <c r="AW2736">
        <v>14</v>
      </c>
      <c r="AX2736">
        <v>5</v>
      </c>
      <c r="AY2736">
        <v>6</v>
      </c>
      <c r="AZ2736">
        <v>2</v>
      </c>
      <c r="BA2736" t="s">
        <v>11720</v>
      </c>
      <c r="BB2736" t="s">
        <v>11721</v>
      </c>
      <c r="BC2736">
        <v>7.1999999999999995E-2</v>
      </c>
      <c r="BD2736" t="s">
        <v>65</v>
      </c>
      <c r="BE2736">
        <v>20</v>
      </c>
      <c r="BF2736">
        <v>7</v>
      </c>
      <c r="BG2736" t="s">
        <v>11722</v>
      </c>
      <c r="BH2736" t="s">
        <v>11723</v>
      </c>
      <c r="BI2736" t="s">
        <v>11724</v>
      </c>
      <c r="BJ2736">
        <v>8.9959999999999998E-2</v>
      </c>
      <c r="BK2736">
        <v>1</v>
      </c>
      <c r="BL2736" t="s">
        <v>69</v>
      </c>
      <c r="BM2736">
        <v>-0.06</v>
      </c>
      <c r="BN2736">
        <v>-0.36299999999999999</v>
      </c>
    </row>
    <row r="2737" spans="10:66">
      <c r="J2737">
        <v>0</v>
      </c>
      <c r="K2737">
        <v>0</v>
      </c>
      <c r="L2737">
        <v>0</v>
      </c>
      <c r="M2737" t="s">
        <v>25022</v>
      </c>
      <c r="N2737">
        <v>1875</v>
      </c>
      <c r="O2737" t="s">
        <v>11737</v>
      </c>
      <c r="P2737" t="s">
        <v>57</v>
      </c>
      <c r="Q2737">
        <v>1932671</v>
      </c>
      <c r="R2737">
        <v>1933075</v>
      </c>
      <c r="S2737" t="s">
        <v>11738</v>
      </c>
      <c r="T2737">
        <v>135</v>
      </c>
      <c r="U2737" t="s">
        <v>108</v>
      </c>
      <c r="V2737">
        <v>44</v>
      </c>
      <c r="W2737" t="str">
        <f>HYPERLINK("Gene1875-zp_tree_all.dnd", "Gene1875-tree")</f>
        <v>Gene1875-tree</v>
      </c>
      <c r="X2737">
        <v>6</v>
      </c>
      <c r="Y2737">
        <v>2</v>
      </c>
      <c r="Z2737">
        <v>6</v>
      </c>
      <c r="AA2737">
        <v>2</v>
      </c>
      <c r="AB2737">
        <v>0.25</v>
      </c>
      <c r="AC2737" t="s">
        <v>90</v>
      </c>
      <c r="AD2737" t="s">
        <v>81</v>
      </c>
      <c r="AE2737" t="s">
        <v>62</v>
      </c>
      <c r="AF2737" t="s">
        <v>62</v>
      </c>
      <c r="AG2737">
        <v>0</v>
      </c>
      <c r="AH2737">
        <v>0</v>
      </c>
      <c r="AI2737">
        <v>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2</v>
      </c>
      <c r="AT2737">
        <v>0</v>
      </c>
      <c r="AU2737">
        <v>5</v>
      </c>
      <c r="AV2737">
        <v>4</v>
      </c>
      <c r="AW2737">
        <v>8</v>
      </c>
      <c r="AX2737">
        <v>2</v>
      </c>
      <c r="AY2737">
        <v>6</v>
      </c>
      <c r="AZ2737">
        <v>0</v>
      </c>
      <c r="BA2737" t="s">
        <v>11739</v>
      </c>
      <c r="BB2737" t="s">
        <v>193</v>
      </c>
      <c r="BC2737">
        <v>1.2729999999999999</v>
      </c>
      <c r="BD2737" t="s">
        <v>65</v>
      </c>
      <c r="BE2737">
        <v>14</v>
      </c>
      <c r="BF2737">
        <v>2</v>
      </c>
      <c r="BG2737" t="s">
        <v>11740</v>
      </c>
      <c r="BH2737" t="s">
        <v>11741</v>
      </c>
      <c r="BI2737" t="s">
        <v>11742</v>
      </c>
      <c r="BJ2737">
        <v>3.9320000000000001E-2</v>
      </c>
      <c r="BK2737">
        <v>1</v>
      </c>
      <c r="BL2737" t="s">
        <v>69</v>
      </c>
      <c r="BM2737">
        <v>-0.496</v>
      </c>
      <c r="BN2737">
        <v>-0.61599999999999999</v>
      </c>
    </row>
    <row r="2738" spans="10:66">
      <c r="J2738">
        <v>0</v>
      </c>
      <c r="K2738">
        <v>2</v>
      </c>
      <c r="L2738">
        <v>0</v>
      </c>
      <c r="M2738" t="s">
        <v>25022</v>
      </c>
      <c r="N2738">
        <v>1876</v>
      </c>
      <c r="O2738" t="s">
        <v>11743</v>
      </c>
      <c r="P2738" t="s">
        <v>57</v>
      </c>
      <c r="Q2738">
        <v>1933477</v>
      </c>
      <c r="R2738">
        <v>1935441</v>
      </c>
      <c r="S2738" t="s">
        <v>11744</v>
      </c>
      <c r="T2738">
        <v>655</v>
      </c>
      <c r="U2738" t="s">
        <v>289</v>
      </c>
      <c r="V2738">
        <v>46</v>
      </c>
      <c r="W2738" t="str">
        <f>HYPERLINK("Gene1876-zp_tree_all.dnd", "Gene1876-tree")</f>
        <v>Gene1876-tree</v>
      </c>
      <c r="X2738">
        <v>14</v>
      </c>
      <c r="Y2738">
        <v>2</v>
      </c>
      <c r="Z2738">
        <v>14</v>
      </c>
      <c r="AA2738">
        <v>2</v>
      </c>
      <c r="AB2738">
        <v>0.125</v>
      </c>
      <c r="AC2738" t="s">
        <v>543</v>
      </c>
      <c r="AD2738" t="s">
        <v>81</v>
      </c>
      <c r="AE2738" t="s">
        <v>62</v>
      </c>
      <c r="AF2738" t="s">
        <v>62</v>
      </c>
      <c r="AG2738">
        <v>1</v>
      </c>
      <c r="AH2738">
        <v>2</v>
      </c>
      <c r="AI2738">
        <v>5</v>
      </c>
      <c r="AJ2738">
        <v>0.28571000000000002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4</v>
      </c>
      <c r="AT2738">
        <v>0</v>
      </c>
      <c r="AU2738">
        <v>13</v>
      </c>
      <c r="AV2738">
        <v>13</v>
      </c>
      <c r="AW2738">
        <v>71</v>
      </c>
      <c r="AX2738">
        <v>4</v>
      </c>
      <c r="AY2738">
        <v>90</v>
      </c>
      <c r="AZ2738">
        <v>3</v>
      </c>
      <c r="BA2738" t="s">
        <v>11745</v>
      </c>
      <c r="BB2738" t="s">
        <v>11746</v>
      </c>
      <c r="BC2738">
        <v>0.158</v>
      </c>
      <c r="BD2738" t="s">
        <v>65</v>
      </c>
      <c r="BE2738">
        <v>161</v>
      </c>
      <c r="BF2738">
        <v>7</v>
      </c>
      <c r="BG2738" t="s">
        <v>11747</v>
      </c>
      <c r="BH2738" t="s">
        <v>11748</v>
      </c>
      <c r="BI2738" t="s">
        <v>11749</v>
      </c>
      <c r="BJ2738">
        <v>1.1270000000000001E-2</v>
      </c>
      <c r="BK2738">
        <v>1</v>
      </c>
      <c r="BL2738" t="s">
        <v>69</v>
      </c>
      <c r="BM2738">
        <v>-1.599</v>
      </c>
      <c r="BN2738">
        <v>-0.871</v>
      </c>
    </row>
    <row r="2739" spans="10:66">
      <c r="J2739">
        <v>0</v>
      </c>
      <c r="K2739">
        <v>0</v>
      </c>
      <c r="L2739">
        <v>0</v>
      </c>
      <c r="M2739" t="s">
        <v>25022</v>
      </c>
      <c r="N2739">
        <v>1877</v>
      </c>
      <c r="O2739" t="s">
        <v>11750</v>
      </c>
      <c r="P2739" t="s">
        <v>57</v>
      </c>
      <c r="Q2739">
        <v>1935448</v>
      </c>
      <c r="R2739">
        <v>1937865</v>
      </c>
      <c r="S2739" t="s">
        <v>11751</v>
      </c>
      <c r="T2739">
        <v>806</v>
      </c>
      <c r="U2739" t="s">
        <v>108</v>
      </c>
      <c r="V2739">
        <v>44</v>
      </c>
      <c r="W2739" t="str">
        <f>HYPERLINK("Gene1877-zp_tree_all.dnd", "Gene1877-tree")</f>
        <v>Gene1877-tree</v>
      </c>
      <c r="X2739">
        <v>5</v>
      </c>
      <c r="Y2739">
        <v>7</v>
      </c>
      <c r="Z2739">
        <v>5</v>
      </c>
      <c r="AA2739">
        <v>7</v>
      </c>
      <c r="AB2739">
        <v>0.58333000000000002</v>
      </c>
      <c r="AC2739" t="s">
        <v>199</v>
      </c>
      <c r="AD2739" t="s">
        <v>152</v>
      </c>
      <c r="AE2739" t="s">
        <v>62</v>
      </c>
      <c r="AF2739" t="s">
        <v>62</v>
      </c>
      <c r="AG2739">
        <v>0</v>
      </c>
      <c r="AH2739">
        <v>0</v>
      </c>
      <c r="AI2739">
        <v>9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7</v>
      </c>
      <c r="AT2739">
        <v>0</v>
      </c>
      <c r="AU2739">
        <v>12</v>
      </c>
      <c r="AV2739">
        <v>9</v>
      </c>
      <c r="AW2739">
        <v>71</v>
      </c>
      <c r="AX2739">
        <v>7</v>
      </c>
      <c r="AY2739">
        <v>38</v>
      </c>
      <c r="AZ2739">
        <v>2</v>
      </c>
      <c r="BA2739" t="s">
        <v>11752</v>
      </c>
      <c r="BB2739" t="s">
        <v>11753</v>
      </c>
      <c r="BC2739">
        <v>0.61099999999999999</v>
      </c>
      <c r="BD2739" t="s">
        <v>65</v>
      </c>
      <c r="BE2739">
        <v>109</v>
      </c>
      <c r="BF2739">
        <v>9</v>
      </c>
      <c r="BG2739" t="s">
        <v>11754</v>
      </c>
      <c r="BH2739" t="s">
        <v>11755</v>
      </c>
      <c r="BI2739" t="s">
        <v>11756</v>
      </c>
      <c r="BJ2739">
        <v>2.3869999999999999E-2</v>
      </c>
      <c r="BK2739">
        <v>1</v>
      </c>
      <c r="BL2739" t="s">
        <v>69</v>
      </c>
      <c r="BM2739">
        <v>0.20899999999999999</v>
      </c>
      <c r="BN2739">
        <v>-0.73399999999999999</v>
      </c>
    </row>
    <row r="2740" spans="10:66">
      <c r="J2740">
        <v>0</v>
      </c>
      <c r="K2740">
        <v>5</v>
      </c>
      <c r="L2740">
        <v>0</v>
      </c>
      <c r="M2740" t="s">
        <v>25022</v>
      </c>
      <c r="N2740">
        <v>1880</v>
      </c>
      <c r="O2740" t="s">
        <v>11757</v>
      </c>
      <c r="P2740" t="s">
        <v>57</v>
      </c>
      <c r="Q2740">
        <v>1938925</v>
      </c>
      <c r="R2740">
        <v>1940319</v>
      </c>
      <c r="S2740" t="s">
        <v>11758</v>
      </c>
      <c r="T2740">
        <v>465</v>
      </c>
      <c r="U2740" t="s">
        <v>108</v>
      </c>
      <c r="V2740">
        <v>44</v>
      </c>
      <c r="W2740" t="str">
        <f>HYPERLINK("Gene1880-zp_tree_all.dnd", "Gene1880-tree")</f>
        <v>Gene1880-tree</v>
      </c>
      <c r="X2740">
        <v>10</v>
      </c>
      <c r="Y2740">
        <v>4</v>
      </c>
      <c r="Z2740">
        <v>10</v>
      </c>
      <c r="AA2740">
        <v>4</v>
      </c>
      <c r="AB2740">
        <v>0.28571000000000002</v>
      </c>
      <c r="AC2740" t="s">
        <v>117</v>
      </c>
      <c r="AD2740" t="s">
        <v>61</v>
      </c>
      <c r="AE2740" t="s">
        <v>62</v>
      </c>
      <c r="AF2740" t="s">
        <v>62</v>
      </c>
      <c r="AG2740">
        <v>2</v>
      </c>
      <c r="AH2740">
        <v>5</v>
      </c>
      <c r="AI2740">
        <v>4</v>
      </c>
      <c r="AJ2740">
        <v>0.55556000000000005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2</v>
      </c>
      <c r="AQ2740">
        <v>0</v>
      </c>
      <c r="AR2740">
        <v>2</v>
      </c>
      <c r="AS2740">
        <v>4</v>
      </c>
      <c r="AT2740">
        <v>0.33333000000000002</v>
      </c>
      <c r="AU2740">
        <v>11</v>
      </c>
      <c r="AV2740">
        <v>10</v>
      </c>
      <c r="AW2740">
        <v>75</v>
      </c>
      <c r="AX2740">
        <v>6</v>
      </c>
      <c r="AY2740">
        <v>40</v>
      </c>
      <c r="AZ2740">
        <v>3</v>
      </c>
      <c r="BA2740" t="s">
        <v>11759</v>
      </c>
      <c r="BB2740" t="s">
        <v>11760</v>
      </c>
      <c r="BC2740">
        <v>1.0999999999999999E-2</v>
      </c>
      <c r="BD2740" t="s">
        <v>65</v>
      </c>
      <c r="BE2740">
        <v>115</v>
      </c>
      <c r="BF2740">
        <v>9</v>
      </c>
      <c r="BG2740" t="s">
        <v>11761</v>
      </c>
      <c r="BH2740" t="s">
        <v>11762</v>
      </c>
      <c r="BI2740" t="s">
        <v>11763</v>
      </c>
      <c r="BJ2740">
        <v>2.0109999999999999E-2</v>
      </c>
      <c r="BK2740">
        <v>1</v>
      </c>
      <c r="BL2740" t="s">
        <v>69</v>
      </c>
      <c r="BM2740">
        <v>-0.91800000000000004</v>
      </c>
      <c r="BN2740">
        <v>-2.98</v>
      </c>
    </row>
    <row r="2741" spans="10:66">
      <c r="J2741">
        <v>0</v>
      </c>
      <c r="K2741">
        <v>13</v>
      </c>
      <c r="L2741">
        <v>2</v>
      </c>
      <c r="M2741" t="s">
        <v>25022</v>
      </c>
      <c r="N2741">
        <v>1881</v>
      </c>
      <c r="O2741" t="s">
        <v>11764</v>
      </c>
      <c r="P2741" t="s">
        <v>57</v>
      </c>
      <c r="Q2741">
        <v>1940625</v>
      </c>
      <c r="R2741">
        <v>1942121</v>
      </c>
      <c r="S2741" t="s">
        <v>11765</v>
      </c>
      <c r="T2741">
        <v>499</v>
      </c>
      <c r="U2741" t="s">
        <v>11766</v>
      </c>
      <c r="V2741">
        <v>42</v>
      </c>
      <c r="W2741" t="str">
        <f>HYPERLINK("Gene1881-zp_tree_all.dnd", "Gene1881-tree")</f>
        <v>Gene1881-tree</v>
      </c>
      <c r="X2741">
        <v>1</v>
      </c>
      <c r="Y2741">
        <v>11</v>
      </c>
      <c r="Z2741">
        <v>1</v>
      </c>
      <c r="AA2741">
        <v>11</v>
      </c>
      <c r="AB2741">
        <v>0.91666999999999998</v>
      </c>
      <c r="AC2741" t="s">
        <v>175</v>
      </c>
      <c r="AD2741" t="s">
        <v>73</v>
      </c>
      <c r="AE2741">
        <v>1144612630.289</v>
      </c>
      <c r="AF2741" t="s">
        <v>267</v>
      </c>
      <c r="AG2741">
        <v>6</v>
      </c>
      <c r="AH2741">
        <v>15</v>
      </c>
      <c r="AI2741">
        <v>23</v>
      </c>
      <c r="AJ2741">
        <v>0.39473999999999998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8</v>
      </c>
      <c r="AQ2741">
        <v>1</v>
      </c>
      <c r="AR2741">
        <v>9</v>
      </c>
      <c r="AS2741">
        <v>22</v>
      </c>
      <c r="AT2741">
        <v>0.29032000000000002</v>
      </c>
      <c r="AU2741">
        <v>11</v>
      </c>
      <c r="AV2741">
        <v>9</v>
      </c>
      <c r="AW2741">
        <v>39</v>
      </c>
      <c r="AX2741">
        <v>29</v>
      </c>
      <c r="AY2741">
        <v>28</v>
      </c>
      <c r="AZ2741">
        <v>9</v>
      </c>
      <c r="BA2741" t="s">
        <v>11767</v>
      </c>
      <c r="BB2741" t="s">
        <v>11768</v>
      </c>
      <c r="BC2741">
        <v>1.1679999999999999</v>
      </c>
      <c r="BD2741" t="s">
        <v>65</v>
      </c>
      <c r="BE2741">
        <v>67</v>
      </c>
      <c r="BF2741">
        <v>38</v>
      </c>
      <c r="BG2741" t="s">
        <v>11769</v>
      </c>
      <c r="BH2741" t="s">
        <v>11770</v>
      </c>
      <c r="BI2741" t="s">
        <v>11771</v>
      </c>
      <c r="BJ2741">
        <v>0.11659</v>
      </c>
      <c r="BK2741">
        <v>1</v>
      </c>
      <c r="BL2741" t="s">
        <v>69</v>
      </c>
      <c r="BM2741">
        <v>-1.0309999999999999</v>
      </c>
      <c r="BN2741">
        <v>-2.113</v>
      </c>
    </row>
    <row r="2742" spans="10:66">
      <c r="J2742">
        <v>0</v>
      </c>
      <c r="K2742">
        <v>0</v>
      </c>
      <c r="L2742">
        <v>0</v>
      </c>
      <c r="M2742" t="s">
        <v>25022</v>
      </c>
      <c r="N2742">
        <v>1882</v>
      </c>
      <c r="O2742" t="s">
        <v>11772</v>
      </c>
      <c r="P2742" t="s">
        <v>57</v>
      </c>
      <c r="Q2742">
        <v>1942192</v>
      </c>
      <c r="R2742">
        <v>1942452</v>
      </c>
      <c r="S2742" t="s">
        <v>288</v>
      </c>
      <c r="T2742">
        <v>87</v>
      </c>
      <c r="U2742" t="s">
        <v>108</v>
      </c>
      <c r="V2742">
        <v>44</v>
      </c>
      <c r="W2742" t="str">
        <f>HYPERLINK("Gene1882-zp_tree_all.dnd", "Gene1882-tree")</f>
        <v>Gene1882-tree</v>
      </c>
      <c r="X2742">
        <v>7</v>
      </c>
      <c r="Y2742">
        <v>4</v>
      </c>
      <c r="Z2742">
        <v>7</v>
      </c>
      <c r="AA2742">
        <v>4</v>
      </c>
      <c r="AB2742">
        <v>0.36364000000000002</v>
      </c>
      <c r="AC2742" t="s">
        <v>152</v>
      </c>
      <c r="AD2742" t="s">
        <v>61</v>
      </c>
      <c r="AE2742" t="s">
        <v>62</v>
      </c>
      <c r="AF2742" t="s">
        <v>62</v>
      </c>
      <c r="AG2742">
        <v>0</v>
      </c>
      <c r="AH2742">
        <v>0</v>
      </c>
      <c r="AI2742">
        <v>7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6</v>
      </c>
      <c r="AT2742">
        <v>0</v>
      </c>
      <c r="AU2742">
        <v>9</v>
      </c>
      <c r="AV2742">
        <v>6</v>
      </c>
      <c r="AW2742">
        <v>16</v>
      </c>
      <c r="AX2742">
        <v>6</v>
      </c>
      <c r="AY2742">
        <v>7</v>
      </c>
      <c r="AZ2742">
        <v>1</v>
      </c>
      <c r="BA2742" t="s">
        <v>11773</v>
      </c>
      <c r="BB2742" t="s">
        <v>11774</v>
      </c>
      <c r="BC2742">
        <v>0.57299999999999995</v>
      </c>
      <c r="BD2742" t="s">
        <v>65</v>
      </c>
      <c r="BE2742">
        <v>23</v>
      </c>
      <c r="BF2742">
        <v>7</v>
      </c>
      <c r="BG2742" t="s">
        <v>11775</v>
      </c>
      <c r="BH2742" t="s">
        <v>11776</v>
      </c>
      <c r="BI2742" t="s">
        <v>11777</v>
      </c>
      <c r="BJ2742">
        <v>7.2359999999999994E-2</v>
      </c>
      <c r="BK2742">
        <v>1</v>
      </c>
      <c r="BL2742" t="s">
        <v>69</v>
      </c>
      <c r="BM2742">
        <v>-0.78100000000000003</v>
      </c>
      <c r="BN2742">
        <v>-0.82399999999999995</v>
      </c>
    </row>
    <row r="2743" spans="10:66">
      <c r="J2743">
        <v>0</v>
      </c>
      <c r="K2743">
        <v>7</v>
      </c>
      <c r="L2743">
        <v>0</v>
      </c>
      <c r="M2743" t="s">
        <v>25022</v>
      </c>
      <c r="N2743">
        <v>1885</v>
      </c>
      <c r="O2743" t="s">
        <v>11794</v>
      </c>
      <c r="P2743" t="s">
        <v>57</v>
      </c>
      <c r="Q2743">
        <v>1946249</v>
      </c>
      <c r="R2743">
        <v>1946692</v>
      </c>
      <c r="S2743" t="s">
        <v>11795</v>
      </c>
      <c r="T2743">
        <v>148</v>
      </c>
      <c r="U2743" t="s">
        <v>108</v>
      </c>
      <c r="V2743">
        <v>44</v>
      </c>
      <c r="W2743" t="str">
        <f>HYPERLINK("Gene1885-zp_tree_all.dnd", "Gene1885-tree")</f>
        <v>Gene1885-tree</v>
      </c>
      <c r="X2743">
        <v>4</v>
      </c>
      <c r="Y2743">
        <v>9</v>
      </c>
      <c r="Z2743">
        <v>4</v>
      </c>
      <c r="AA2743">
        <v>9</v>
      </c>
      <c r="AB2743">
        <v>0.69230999999999998</v>
      </c>
      <c r="AC2743" t="s">
        <v>61</v>
      </c>
      <c r="AD2743" t="s">
        <v>135</v>
      </c>
      <c r="AE2743" t="s">
        <v>62</v>
      </c>
      <c r="AF2743" t="s">
        <v>62</v>
      </c>
      <c r="AG2743">
        <v>3</v>
      </c>
      <c r="AH2743">
        <v>7</v>
      </c>
      <c r="AI2743">
        <v>12</v>
      </c>
      <c r="AJ2743">
        <v>0.36842000000000003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4</v>
      </c>
      <c r="AQ2743">
        <v>0</v>
      </c>
      <c r="AR2743">
        <v>4</v>
      </c>
      <c r="AS2743">
        <v>12</v>
      </c>
      <c r="AT2743">
        <v>0.25</v>
      </c>
      <c r="AU2743">
        <v>9</v>
      </c>
      <c r="AV2743">
        <v>9</v>
      </c>
      <c r="AW2743">
        <v>16</v>
      </c>
      <c r="AX2743">
        <v>16</v>
      </c>
      <c r="AY2743">
        <v>7</v>
      </c>
      <c r="AZ2743">
        <v>4</v>
      </c>
      <c r="BA2743" t="s">
        <v>11796</v>
      </c>
      <c r="BB2743" t="s">
        <v>11797</v>
      </c>
      <c r="BC2743">
        <v>0.69199999999999995</v>
      </c>
      <c r="BD2743" t="s">
        <v>65</v>
      </c>
      <c r="BE2743">
        <v>23</v>
      </c>
      <c r="BF2743">
        <v>20</v>
      </c>
      <c r="BG2743" t="s">
        <v>11798</v>
      </c>
      <c r="BH2743" t="s">
        <v>11799</v>
      </c>
      <c r="BI2743" t="s">
        <v>11800</v>
      </c>
      <c r="BJ2743">
        <v>0.21754000000000001</v>
      </c>
      <c r="BK2743">
        <v>1</v>
      </c>
      <c r="BL2743" t="s">
        <v>69</v>
      </c>
      <c r="BM2743">
        <v>-1.36</v>
      </c>
      <c r="BN2743">
        <v>-1.746</v>
      </c>
    </row>
    <row r="2744" spans="10:66">
      <c r="J2744">
        <v>0</v>
      </c>
      <c r="K2744">
        <v>10</v>
      </c>
      <c r="L2744">
        <v>2</v>
      </c>
      <c r="M2744" t="s">
        <v>25022</v>
      </c>
      <c r="N2744">
        <v>1886</v>
      </c>
      <c r="O2744" t="s">
        <v>11801</v>
      </c>
      <c r="P2744" t="s">
        <v>57</v>
      </c>
      <c r="Q2744">
        <v>1946702</v>
      </c>
      <c r="R2744">
        <v>1947592</v>
      </c>
      <c r="S2744" t="s">
        <v>11802</v>
      </c>
      <c r="T2744">
        <v>297</v>
      </c>
      <c r="U2744" t="s">
        <v>11803</v>
      </c>
      <c r="V2744">
        <v>47</v>
      </c>
      <c r="W2744" t="str">
        <f>HYPERLINK("Gene1886-zp_tree_all.dnd", "Gene1886-tree")</f>
        <v>Gene1886-tree</v>
      </c>
      <c r="X2744">
        <v>7</v>
      </c>
      <c r="Y2744">
        <v>9</v>
      </c>
      <c r="Z2744">
        <v>7</v>
      </c>
      <c r="AA2744">
        <v>9</v>
      </c>
      <c r="AB2744">
        <v>0.5625</v>
      </c>
      <c r="AC2744" t="s">
        <v>152</v>
      </c>
      <c r="AD2744" t="s">
        <v>135</v>
      </c>
      <c r="AE2744" t="s">
        <v>62</v>
      </c>
      <c r="AF2744" t="s">
        <v>62</v>
      </c>
      <c r="AG2744">
        <v>6</v>
      </c>
      <c r="AH2744">
        <v>12</v>
      </c>
      <c r="AI2744">
        <v>24</v>
      </c>
      <c r="AJ2744">
        <v>0.33333000000000002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2</v>
      </c>
      <c r="AQ2744">
        <v>4</v>
      </c>
      <c r="AR2744">
        <v>6</v>
      </c>
      <c r="AS2744">
        <v>22</v>
      </c>
      <c r="AT2744">
        <v>0.21429000000000001</v>
      </c>
      <c r="AU2744">
        <v>14</v>
      </c>
      <c r="AV2744">
        <v>11</v>
      </c>
      <c r="AW2744">
        <v>49</v>
      </c>
      <c r="AX2744">
        <v>28</v>
      </c>
      <c r="AY2744">
        <v>36</v>
      </c>
      <c r="AZ2744">
        <v>9</v>
      </c>
      <c r="BA2744" t="s">
        <v>11804</v>
      </c>
      <c r="BB2744" t="s">
        <v>11805</v>
      </c>
      <c r="BC2744">
        <v>0.47799999999999998</v>
      </c>
      <c r="BD2744" t="s">
        <v>65</v>
      </c>
      <c r="BE2744">
        <v>85</v>
      </c>
      <c r="BF2744">
        <v>37</v>
      </c>
      <c r="BG2744" t="s">
        <v>11806</v>
      </c>
      <c r="BH2744" t="s">
        <v>11807</v>
      </c>
      <c r="BI2744" t="s">
        <v>11808</v>
      </c>
      <c r="BJ2744">
        <v>0.11107</v>
      </c>
      <c r="BK2744">
        <v>1</v>
      </c>
      <c r="BL2744" t="s">
        <v>69</v>
      </c>
      <c r="BM2744">
        <v>-1.8660000000000001</v>
      </c>
      <c r="BN2744">
        <v>-2.2450000000000001</v>
      </c>
    </row>
    <row r="2745" spans="10:66">
      <c r="J2745">
        <v>0</v>
      </c>
      <c r="K2745">
        <v>0</v>
      </c>
      <c r="L2745">
        <v>0</v>
      </c>
      <c r="M2745" t="s">
        <v>25022</v>
      </c>
      <c r="N2745">
        <v>1887</v>
      </c>
      <c r="O2745" t="s">
        <v>11809</v>
      </c>
      <c r="P2745" t="s">
        <v>57</v>
      </c>
      <c r="Q2745">
        <v>1947668</v>
      </c>
      <c r="R2745">
        <v>1948261</v>
      </c>
      <c r="S2745" t="s">
        <v>11810</v>
      </c>
      <c r="T2745">
        <v>198</v>
      </c>
      <c r="U2745" t="s">
        <v>6390</v>
      </c>
      <c r="V2745">
        <v>45</v>
      </c>
      <c r="W2745" t="str">
        <f>HYPERLINK("Gene1887-zp_tree_all.dnd", "Gene1887-tree")</f>
        <v>Gene1887-tree</v>
      </c>
      <c r="X2745">
        <v>31</v>
      </c>
      <c r="Y2745">
        <v>2</v>
      </c>
      <c r="Z2745">
        <v>10</v>
      </c>
      <c r="AA2745">
        <v>2</v>
      </c>
      <c r="AB2745">
        <v>0.16667000000000001</v>
      </c>
      <c r="AC2745" t="s">
        <v>2854</v>
      </c>
      <c r="AD2745" t="s">
        <v>81</v>
      </c>
      <c r="AE2745" t="s">
        <v>62</v>
      </c>
      <c r="AF2745" t="s">
        <v>62</v>
      </c>
      <c r="AG2745">
        <v>0</v>
      </c>
      <c r="AH2745">
        <v>0</v>
      </c>
      <c r="AI2745">
        <v>2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2</v>
      </c>
      <c r="AT2745">
        <v>0</v>
      </c>
      <c r="AU2745">
        <v>10</v>
      </c>
      <c r="AV2745">
        <v>4</v>
      </c>
      <c r="AW2745">
        <v>30</v>
      </c>
      <c r="AX2745">
        <v>2</v>
      </c>
      <c r="AY2745">
        <v>5</v>
      </c>
      <c r="AZ2745">
        <v>0</v>
      </c>
      <c r="BA2745" t="s">
        <v>11811</v>
      </c>
      <c r="BB2745" t="s">
        <v>193</v>
      </c>
      <c r="BC2745">
        <v>0.49299999999999999</v>
      </c>
      <c r="BD2745" t="s">
        <v>65</v>
      </c>
      <c r="BE2745">
        <v>35</v>
      </c>
      <c r="BF2745">
        <v>2</v>
      </c>
      <c r="BG2745" t="s">
        <v>11812</v>
      </c>
      <c r="BH2745" t="s">
        <v>11813</v>
      </c>
      <c r="BI2745" t="s">
        <v>11814</v>
      </c>
      <c r="BJ2745">
        <v>1.6729999999999998E-2</v>
      </c>
      <c r="BK2745">
        <v>1</v>
      </c>
      <c r="BL2745" t="s">
        <v>69</v>
      </c>
      <c r="BM2745">
        <v>-1.036</v>
      </c>
      <c r="BN2745">
        <v>-2.9769999999999999</v>
      </c>
    </row>
    <row r="2746" spans="10:66">
      <c r="J2746">
        <v>0</v>
      </c>
      <c r="K2746">
        <v>0</v>
      </c>
      <c r="L2746">
        <v>0</v>
      </c>
      <c r="M2746" t="s">
        <v>25022</v>
      </c>
      <c r="N2746">
        <v>1907</v>
      </c>
      <c r="O2746" t="s">
        <v>11941</v>
      </c>
      <c r="P2746" t="s">
        <v>57</v>
      </c>
      <c r="Q2746">
        <v>2002637</v>
      </c>
      <c r="R2746">
        <v>2003179</v>
      </c>
      <c r="S2746" t="s">
        <v>11942</v>
      </c>
      <c r="T2746">
        <v>181</v>
      </c>
      <c r="U2746" t="s">
        <v>108</v>
      </c>
      <c r="V2746">
        <v>44</v>
      </c>
      <c r="W2746" t="str">
        <f>HYPERLINK("Gene1907-zp_tree_all.dnd", "Gene1907-tree")</f>
        <v>Gene1907-tree</v>
      </c>
      <c r="X2746">
        <v>10</v>
      </c>
      <c r="Y2746">
        <v>3</v>
      </c>
      <c r="Z2746">
        <v>10</v>
      </c>
      <c r="AA2746">
        <v>3</v>
      </c>
      <c r="AB2746">
        <v>0.23077</v>
      </c>
      <c r="AC2746" t="s">
        <v>117</v>
      </c>
      <c r="AD2746" t="s">
        <v>324</v>
      </c>
      <c r="AE2746" t="s">
        <v>62</v>
      </c>
      <c r="AF2746" t="s">
        <v>62</v>
      </c>
      <c r="AG2746">
        <v>0</v>
      </c>
      <c r="AH2746">
        <v>0</v>
      </c>
      <c r="AI2746">
        <v>6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4</v>
      </c>
      <c r="AT2746">
        <v>0</v>
      </c>
      <c r="AU2746">
        <v>9</v>
      </c>
      <c r="AV2746">
        <v>6</v>
      </c>
      <c r="AW2746">
        <v>9</v>
      </c>
      <c r="AX2746">
        <v>4</v>
      </c>
      <c r="AY2746">
        <v>4</v>
      </c>
      <c r="AZ2746">
        <v>2</v>
      </c>
      <c r="BA2746" t="s">
        <v>11943</v>
      </c>
      <c r="BB2746" t="s">
        <v>11944</v>
      </c>
      <c r="BC2746">
        <v>8.6999999999999994E-2</v>
      </c>
      <c r="BD2746" t="s">
        <v>65</v>
      </c>
      <c r="BE2746">
        <v>13</v>
      </c>
      <c r="BF2746">
        <v>6</v>
      </c>
      <c r="BG2746" t="s">
        <v>11945</v>
      </c>
      <c r="BH2746" t="s">
        <v>11946</v>
      </c>
      <c r="BI2746" t="s">
        <v>11947</v>
      </c>
      <c r="BJ2746">
        <v>0.16997999999999999</v>
      </c>
      <c r="BK2746">
        <v>1</v>
      </c>
      <c r="BL2746" t="s">
        <v>69</v>
      </c>
      <c r="BM2746">
        <v>-0.44</v>
      </c>
      <c r="BN2746">
        <v>-1.0680000000000001</v>
      </c>
    </row>
    <row r="2747" spans="10:66">
      <c r="J2747">
        <v>0</v>
      </c>
      <c r="K2747">
        <v>6</v>
      </c>
      <c r="L2747">
        <v>0</v>
      </c>
      <c r="M2747" t="s">
        <v>25022</v>
      </c>
      <c r="N2747">
        <v>1910</v>
      </c>
      <c r="O2747" t="s">
        <v>11961</v>
      </c>
      <c r="P2747" t="s">
        <v>57</v>
      </c>
      <c r="Q2747">
        <v>2004677</v>
      </c>
      <c r="R2747">
        <v>2006437</v>
      </c>
      <c r="S2747" t="s">
        <v>11962</v>
      </c>
      <c r="T2747">
        <v>587</v>
      </c>
      <c r="U2747" t="s">
        <v>108</v>
      </c>
      <c r="V2747">
        <v>44</v>
      </c>
      <c r="W2747" t="str">
        <f>HYPERLINK("Gene1910-zp_tree_all.dnd", "Gene1910-tree")</f>
        <v>Gene1910-tree</v>
      </c>
      <c r="X2747">
        <v>3</v>
      </c>
      <c r="Y2747">
        <v>10</v>
      </c>
      <c r="Z2747">
        <v>3</v>
      </c>
      <c r="AA2747">
        <v>10</v>
      </c>
      <c r="AB2747">
        <v>0.76922999999999997</v>
      </c>
      <c r="AC2747" t="s">
        <v>324</v>
      </c>
      <c r="AD2747" t="s">
        <v>117</v>
      </c>
      <c r="AE2747" t="s">
        <v>62</v>
      </c>
      <c r="AF2747" t="s">
        <v>62</v>
      </c>
      <c r="AG2747">
        <v>2</v>
      </c>
      <c r="AH2747">
        <v>6</v>
      </c>
      <c r="AI2747">
        <v>14</v>
      </c>
      <c r="AJ2747">
        <v>0.3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5</v>
      </c>
      <c r="AQ2747">
        <v>0</v>
      </c>
      <c r="AR2747">
        <v>5</v>
      </c>
      <c r="AS2747">
        <v>10</v>
      </c>
      <c r="AT2747">
        <v>0.33333000000000002</v>
      </c>
      <c r="AU2747">
        <v>13</v>
      </c>
      <c r="AV2747">
        <v>9</v>
      </c>
      <c r="AW2747">
        <v>61</v>
      </c>
      <c r="AX2747">
        <v>15</v>
      </c>
      <c r="AY2747">
        <v>51</v>
      </c>
      <c r="AZ2747">
        <v>5</v>
      </c>
      <c r="BA2747" t="s">
        <v>11963</v>
      </c>
      <c r="BB2747" t="s">
        <v>11964</v>
      </c>
      <c r="BC2747">
        <v>1.0329999999999999</v>
      </c>
      <c r="BD2747" t="s">
        <v>65</v>
      </c>
      <c r="BE2747">
        <v>112</v>
      </c>
      <c r="BF2747">
        <v>20</v>
      </c>
      <c r="BG2747" t="s">
        <v>11965</v>
      </c>
      <c r="BH2747" t="s">
        <v>11966</v>
      </c>
      <c r="BI2747" t="s">
        <v>11967</v>
      </c>
      <c r="BJ2747">
        <v>4.8430000000000001E-2</v>
      </c>
      <c r="BK2747">
        <v>1</v>
      </c>
      <c r="BL2747" t="s">
        <v>69</v>
      </c>
      <c r="BM2747">
        <v>-0.57099999999999995</v>
      </c>
      <c r="BN2747">
        <v>-0.17799999999999999</v>
      </c>
    </row>
    <row r="2748" spans="10:66">
      <c r="J2748">
        <v>0</v>
      </c>
      <c r="K2748">
        <v>4</v>
      </c>
      <c r="L2748">
        <v>0</v>
      </c>
      <c r="M2748" t="s">
        <v>25022</v>
      </c>
      <c r="N2748">
        <v>1912</v>
      </c>
      <c r="O2748" t="s">
        <v>11975</v>
      </c>
      <c r="P2748" t="s">
        <v>57</v>
      </c>
      <c r="Q2748">
        <v>2007526</v>
      </c>
      <c r="R2748">
        <v>2008512</v>
      </c>
      <c r="S2748" t="s">
        <v>1940</v>
      </c>
      <c r="T2748">
        <v>329</v>
      </c>
      <c r="U2748" t="s">
        <v>108</v>
      </c>
      <c r="V2748">
        <v>44</v>
      </c>
      <c r="W2748" t="str">
        <f>HYPERLINK("Gene1912-zp_tree_all.dnd", "Gene1912-tree")</f>
        <v>Gene1912-tree</v>
      </c>
      <c r="X2748">
        <v>3</v>
      </c>
      <c r="Y2748">
        <v>10</v>
      </c>
      <c r="Z2748">
        <v>3</v>
      </c>
      <c r="AA2748">
        <v>10</v>
      </c>
      <c r="AB2748">
        <v>0.76922999999999997</v>
      </c>
      <c r="AC2748" t="s">
        <v>324</v>
      </c>
      <c r="AD2748" t="s">
        <v>117</v>
      </c>
      <c r="AE2748" t="s">
        <v>62</v>
      </c>
      <c r="AF2748" t="s">
        <v>62</v>
      </c>
      <c r="AG2748">
        <v>2</v>
      </c>
      <c r="AH2748">
        <v>4</v>
      </c>
      <c r="AI2748">
        <v>22</v>
      </c>
      <c r="AJ2748">
        <v>0.15384999999999999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20</v>
      </c>
      <c r="AT2748">
        <v>0</v>
      </c>
      <c r="AU2748">
        <v>12</v>
      </c>
      <c r="AV2748">
        <v>6</v>
      </c>
      <c r="AW2748">
        <v>40</v>
      </c>
      <c r="AX2748">
        <v>19</v>
      </c>
      <c r="AY2748">
        <v>13</v>
      </c>
      <c r="AZ2748">
        <v>9</v>
      </c>
      <c r="BA2748" t="s">
        <v>11976</v>
      </c>
      <c r="BB2748" t="s">
        <v>11977</v>
      </c>
      <c r="BC2748">
        <v>0.50700000000000001</v>
      </c>
      <c r="BD2748" t="s">
        <v>65</v>
      </c>
      <c r="BE2748">
        <v>53</v>
      </c>
      <c r="BF2748">
        <v>28</v>
      </c>
      <c r="BG2748" t="s">
        <v>11978</v>
      </c>
      <c r="BH2748" t="s">
        <v>11979</v>
      </c>
      <c r="BI2748" t="s">
        <v>11980</v>
      </c>
      <c r="BJ2748">
        <v>0.17255000000000001</v>
      </c>
      <c r="BK2748">
        <v>1</v>
      </c>
      <c r="BL2748" t="s">
        <v>69</v>
      </c>
      <c r="BM2748">
        <v>-1.405</v>
      </c>
      <c r="BN2748">
        <v>-2.6459999999999999</v>
      </c>
    </row>
    <row r="2749" spans="10:66">
      <c r="J2749">
        <v>0</v>
      </c>
      <c r="K2749">
        <v>0</v>
      </c>
      <c r="L2749">
        <v>0</v>
      </c>
      <c r="M2749" t="s">
        <v>25022</v>
      </c>
      <c r="N2749">
        <v>1915</v>
      </c>
      <c r="O2749" t="s">
        <v>11995</v>
      </c>
      <c r="P2749" t="s">
        <v>57</v>
      </c>
      <c r="Q2749">
        <v>2014779</v>
      </c>
      <c r="R2749">
        <v>2015678</v>
      </c>
      <c r="S2749" t="s">
        <v>11996</v>
      </c>
      <c r="T2749">
        <v>300</v>
      </c>
      <c r="U2749" t="s">
        <v>698</v>
      </c>
      <c r="V2749">
        <v>47</v>
      </c>
      <c r="W2749" t="str">
        <f>HYPERLINK("Gene1915-zp_tree_all.dnd", "Gene1915-tree")</f>
        <v>Gene1915-tree</v>
      </c>
      <c r="X2749">
        <v>16</v>
      </c>
      <c r="Y2749">
        <v>1</v>
      </c>
      <c r="Z2749">
        <v>16</v>
      </c>
      <c r="AA2749">
        <v>1</v>
      </c>
      <c r="AB2749">
        <v>5.8819999999999997E-2</v>
      </c>
      <c r="AC2749" t="s">
        <v>60</v>
      </c>
      <c r="AD2749" t="s">
        <v>175</v>
      </c>
      <c r="AE2749" t="s">
        <v>62</v>
      </c>
      <c r="AF2749" t="s">
        <v>62</v>
      </c>
      <c r="AG2749">
        <v>0</v>
      </c>
      <c r="AH2749">
        <v>0</v>
      </c>
      <c r="AI2749">
        <v>5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2</v>
      </c>
      <c r="AT2749">
        <v>0</v>
      </c>
      <c r="AU2749">
        <v>12</v>
      </c>
      <c r="AV2749">
        <v>9</v>
      </c>
      <c r="AW2749">
        <v>36</v>
      </c>
      <c r="AX2749">
        <v>2</v>
      </c>
      <c r="AY2749">
        <v>41</v>
      </c>
      <c r="AZ2749">
        <v>3</v>
      </c>
      <c r="BA2749" t="s">
        <v>11997</v>
      </c>
      <c r="BB2749" t="s">
        <v>11998</v>
      </c>
      <c r="BC2749">
        <v>4.2000000000000003E-2</v>
      </c>
      <c r="BD2749" t="s">
        <v>65</v>
      </c>
      <c r="BE2749">
        <v>77</v>
      </c>
      <c r="BF2749">
        <v>5</v>
      </c>
      <c r="BG2749" t="s">
        <v>11999</v>
      </c>
      <c r="BH2749" t="s">
        <v>12000</v>
      </c>
      <c r="BI2749" t="s">
        <v>12001</v>
      </c>
      <c r="BJ2749">
        <v>1.8700000000000001E-2</v>
      </c>
      <c r="BK2749">
        <v>1</v>
      </c>
      <c r="BL2749" t="s">
        <v>69</v>
      </c>
      <c r="BM2749">
        <v>-1.2010000000000001</v>
      </c>
      <c r="BN2749">
        <v>-0.372</v>
      </c>
    </row>
    <row r="2750" spans="10:66">
      <c r="J2750">
        <v>0</v>
      </c>
      <c r="K2750">
        <v>11</v>
      </c>
      <c r="L2750">
        <v>2</v>
      </c>
      <c r="M2750" t="s">
        <v>25021</v>
      </c>
      <c r="N2750">
        <v>8</v>
      </c>
      <c r="O2750" t="s">
        <v>115</v>
      </c>
      <c r="P2750" t="s">
        <v>62</v>
      </c>
      <c r="Q2750">
        <v>14850</v>
      </c>
      <c r="R2750">
        <v>15794</v>
      </c>
      <c r="S2750" t="s">
        <v>116</v>
      </c>
      <c r="T2750">
        <v>315</v>
      </c>
      <c r="U2750" t="s">
        <v>108</v>
      </c>
      <c r="V2750">
        <v>44</v>
      </c>
      <c r="W2750" t="str">
        <f>HYPERLINK("Gene8-zp_tree_all.dnd", "Gene8-tree")</f>
        <v>Gene8-tree</v>
      </c>
      <c r="X2750">
        <v>2</v>
      </c>
      <c r="Y2750">
        <v>10</v>
      </c>
      <c r="Z2750">
        <v>2</v>
      </c>
      <c r="AA2750">
        <v>10</v>
      </c>
      <c r="AB2750">
        <v>0.83333000000000002</v>
      </c>
      <c r="AC2750" t="s">
        <v>81</v>
      </c>
      <c r="AD2750" t="s">
        <v>117</v>
      </c>
      <c r="AE2750" t="s">
        <v>62</v>
      </c>
      <c r="AF2750" t="s">
        <v>62</v>
      </c>
      <c r="AG2750">
        <v>6</v>
      </c>
      <c r="AH2750">
        <v>13</v>
      </c>
      <c r="AI2750">
        <v>12</v>
      </c>
      <c r="AJ2750">
        <v>0.52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7</v>
      </c>
      <c r="AQ2750">
        <v>2</v>
      </c>
      <c r="AR2750">
        <v>9</v>
      </c>
      <c r="AS2750">
        <v>13</v>
      </c>
      <c r="AT2750">
        <v>0.40909000000000001</v>
      </c>
      <c r="AU2750">
        <v>11</v>
      </c>
      <c r="AV2750">
        <v>7</v>
      </c>
      <c r="AW2750">
        <v>22</v>
      </c>
      <c r="AX2750">
        <v>21</v>
      </c>
      <c r="AY2750">
        <v>7</v>
      </c>
      <c r="AZ2750">
        <v>4</v>
      </c>
      <c r="BA2750" t="s">
        <v>118</v>
      </c>
      <c r="BB2750" t="s">
        <v>119</v>
      </c>
      <c r="BC2750">
        <v>0.70199999999999996</v>
      </c>
      <c r="BD2750" t="s">
        <v>65</v>
      </c>
      <c r="BE2750">
        <v>29</v>
      </c>
      <c r="BF2750">
        <v>25</v>
      </c>
      <c r="BG2750" t="s">
        <v>120</v>
      </c>
      <c r="BH2750" t="s">
        <v>121</v>
      </c>
      <c r="BI2750" t="s">
        <v>122</v>
      </c>
      <c r="BJ2750">
        <v>0.19777</v>
      </c>
      <c r="BK2750">
        <v>1</v>
      </c>
      <c r="BL2750" t="s">
        <v>69</v>
      </c>
      <c r="BM2750">
        <v>-1.075</v>
      </c>
      <c r="BN2750">
        <v>-0.85499999999999998</v>
      </c>
    </row>
    <row r="2751" spans="10:66">
      <c r="J2751">
        <v>0</v>
      </c>
      <c r="K2751">
        <v>3</v>
      </c>
      <c r="L2751">
        <v>0</v>
      </c>
      <c r="M2751" t="s">
        <v>25021</v>
      </c>
      <c r="N2751">
        <v>14</v>
      </c>
      <c r="O2751" t="s">
        <v>166</v>
      </c>
      <c r="P2751" t="s">
        <v>62</v>
      </c>
      <c r="Q2751">
        <v>22499</v>
      </c>
      <c r="R2751">
        <v>23149</v>
      </c>
      <c r="S2751" t="s">
        <v>167</v>
      </c>
      <c r="T2751">
        <v>217</v>
      </c>
      <c r="U2751" t="s">
        <v>108</v>
      </c>
      <c r="V2751">
        <v>44</v>
      </c>
      <c r="W2751" t="str">
        <f>HYPERLINK("Gene14-zp_tree_all.dnd", "Gene14-tree")</f>
        <v>Gene14-tree</v>
      </c>
      <c r="X2751">
        <v>9</v>
      </c>
      <c r="Y2751">
        <v>4</v>
      </c>
      <c r="Z2751">
        <v>9</v>
      </c>
      <c r="AA2751">
        <v>4</v>
      </c>
      <c r="AB2751">
        <v>0.30769000000000002</v>
      </c>
      <c r="AC2751" t="s">
        <v>135</v>
      </c>
      <c r="AD2751" t="s">
        <v>61</v>
      </c>
      <c r="AE2751" t="s">
        <v>62</v>
      </c>
      <c r="AF2751" t="s">
        <v>62</v>
      </c>
      <c r="AG2751">
        <v>1</v>
      </c>
      <c r="AH2751">
        <v>3</v>
      </c>
      <c r="AI2751">
        <v>5</v>
      </c>
      <c r="AJ2751">
        <v>0.375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2</v>
      </c>
      <c r="AQ2751">
        <v>0</v>
      </c>
      <c r="AR2751">
        <v>2</v>
      </c>
      <c r="AS2751">
        <v>5</v>
      </c>
      <c r="AT2751">
        <v>0.28571000000000002</v>
      </c>
      <c r="AU2751">
        <v>10</v>
      </c>
      <c r="AV2751">
        <v>7</v>
      </c>
      <c r="AW2751">
        <v>17</v>
      </c>
      <c r="AX2751">
        <v>7</v>
      </c>
      <c r="AY2751">
        <v>11</v>
      </c>
      <c r="AZ2751">
        <v>1</v>
      </c>
      <c r="BA2751" t="s">
        <v>168</v>
      </c>
      <c r="BB2751" t="s">
        <v>169</v>
      </c>
      <c r="BC2751">
        <v>0.82199999999999995</v>
      </c>
      <c r="BD2751" t="s">
        <v>65</v>
      </c>
      <c r="BE2751">
        <v>28</v>
      </c>
      <c r="BF2751">
        <v>8</v>
      </c>
      <c r="BG2751" t="s">
        <v>170</v>
      </c>
      <c r="BH2751" t="s">
        <v>171</v>
      </c>
      <c r="BI2751" t="s">
        <v>172</v>
      </c>
      <c r="BJ2751">
        <v>6.1339999999999999E-2</v>
      </c>
      <c r="BK2751">
        <v>1</v>
      </c>
      <c r="BL2751" t="s">
        <v>69</v>
      </c>
      <c r="BM2751">
        <v>-0.50600000000000001</v>
      </c>
      <c r="BN2751">
        <v>-0.54300000000000004</v>
      </c>
    </row>
    <row r="2752" spans="10:66">
      <c r="J2752">
        <v>0</v>
      </c>
      <c r="K2752">
        <v>0</v>
      </c>
      <c r="L2752">
        <v>0</v>
      </c>
      <c r="M2752" t="s">
        <v>25021</v>
      </c>
      <c r="N2752">
        <v>15</v>
      </c>
      <c r="O2752" t="s">
        <v>173</v>
      </c>
      <c r="P2752" t="s">
        <v>62</v>
      </c>
      <c r="Q2752">
        <v>23149</v>
      </c>
      <c r="R2752">
        <v>23769</v>
      </c>
      <c r="S2752" t="s">
        <v>174</v>
      </c>
      <c r="T2752">
        <v>207</v>
      </c>
      <c r="U2752" t="s">
        <v>108</v>
      </c>
      <c r="V2752">
        <v>44</v>
      </c>
      <c r="W2752" t="str">
        <f>HYPERLINK("Gene15-zp_tree_all.dnd", "Gene15-tree")</f>
        <v>Gene15-tree</v>
      </c>
      <c r="X2752">
        <v>9</v>
      </c>
      <c r="Y2752">
        <v>1</v>
      </c>
      <c r="Z2752">
        <v>9</v>
      </c>
      <c r="AA2752">
        <v>1</v>
      </c>
      <c r="AB2752">
        <v>0.1</v>
      </c>
      <c r="AC2752" t="s">
        <v>135</v>
      </c>
      <c r="AD2752" t="s">
        <v>175</v>
      </c>
      <c r="AE2752" t="s">
        <v>62</v>
      </c>
      <c r="AF2752" t="s">
        <v>62</v>
      </c>
      <c r="AG2752">
        <v>0</v>
      </c>
      <c r="AH2752">
        <v>0</v>
      </c>
      <c r="AI2752">
        <v>3</v>
      </c>
      <c r="AJ2752">
        <v>0</v>
      </c>
      <c r="AK2752">
        <v>0</v>
      </c>
      <c r="AL2752">
        <v>0</v>
      </c>
      <c r="AM2752">
        <v>0</v>
      </c>
      <c r="AN2752">
        <v>2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6</v>
      </c>
      <c r="AV2752">
        <v>3</v>
      </c>
      <c r="AW2752">
        <v>6</v>
      </c>
      <c r="AX2752">
        <v>1</v>
      </c>
      <c r="AY2752">
        <v>2</v>
      </c>
      <c r="AZ2752">
        <v>2</v>
      </c>
      <c r="BA2752" t="s">
        <v>176</v>
      </c>
      <c r="BB2752" t="s">
        <v>177</v>
      </c>
      <c r="BC2752">
        <v>0.56000000000000005</v>
      </c>
      <c r="BD2752" t="s">
        <v>65</v>
      </c>
      <c r="BE2752">
        <v>8</v>
      </c>
      <c r="BF2752">
        <v>3</v>
      </c>
      <c r="BG2752" t="s">
        <v>178</v>
      </c>
      <c r="BH2752" t="s">
        <v>179</v>
      </c>
      <c r="BI2752" t="s">
        <v>180</v>
      </c>
      <c r="BJ2752">
        <v>0.13235</v>
      </c>
      <c r="BK2752">
        <v>1</v>
      </c>
      <c r="BL2752" t="s">
        <v>69</v>
      </c>
      <c r="BM2752">
        <v>0.155</v>
      </c>
      <c r="BN2752">
        <v>-0.38600000000000001</v>
      </c>
    </row>
    <row r="2753" spans="10:66">
      <c r="J2753">
        <v>0</v>
      </c>
      <c r="K2753">
        <v>6</v>
      </c>
      <c r="L2753">
        <v>1</v>
      </c>
      <c r="M2753" t="s">
        <v>25021</v>
      </c>
      <c r="N2753">
        <v>16</v>
      </c>
      <c r="O2753" t="s">
        <v>181</v>
      </c>
      <c r="P2753" t="s">
        <v>62</v>
      </c>
      <c r="Q2753">
        <v>23871</v>
      </c>
      <c r="R2753">
        <v>25151</v>
      </c>
      <c r="S2753" t="s">
        <v>182</v>
      </c>
      <c r="T2753">
        <v>427</v>
      </c>
      <c r="U2753" t="s">
        <v>183</v>
      </c>
      <c r="V2753">
        <v>37</v>
      </c>
      <c r="W2753" t="str">
        <f>HYPERLINK("Gene16-zp_tree_all.dnd", "Gene16-tree")</f>
        <v>Gene16-tree</v>
      </c>
      <c r="X2753">
        <v>4</v>
      </c>
      <c r="Y2753">
        <v>9</v>
      </c>
      <c r="Z2753">
        <v>4</v>
      </c>
      <c r="AA2753">
        <v>9</v>
      </c>
      <c r="AB2753">
        <v>0.69230999999999998</v>
      </c>
      <c r="AC2753" t="s">
        <v>61</v>
      </c>
      <c r="AD2753" t="s">
        <v>135</v>
      </c>
      <c r="AE2753" t="s">
        <v>62</v>
      </c>
      <c r="AF2753" t="s">
        <v>62</v>
      </c>
      <c r="AG2753">
        <v>3</v>
      </c>
      <c r="AH2753">
        <v>7</v>
      </c>
      <c r="AI2753">
        <v>11</v>
      </c>
      <c r="AJ2753">
        <v>0.38889000000000001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2</v>
      </c>
      <c r="AR2753">
        <v>2</v>
      </c>
      <c r="AS2753">
        <v>10</v>
      </c>
      <c r="AT2753">
        <v>0.16667000000000001</v>
      </c>
      <c r="AU2753">
        <v>10</v>
      </c>
      <c r="AV2753">
        <v>10</v>
      </c>
      <c r="AW2753">
        <v>28</v>
      </c>
      <c r="AX2753">
        <v>9</v>
      </c>
      <c r="AY2753">
        <v>23</v>
      </c>
      <c r="AZ2753">
        <v>9</v>
      </c>
      <c r="BA2753" t="s">
        <v>184</v>
      </c>
      <c r="BB2753" t="s">
        <v>185</v>
      </c>
      <c r="BC2753">
        <v>0.249</v>
      </c>
      <c r="BD2753" t="s">
        <v>65</v>
      </c>
      <c r="BE2753">
        <v>51</v>
      </c>
      <c r="BF2753">
        <v>18</v>
      </c>
      <c r="BG2753" t="s">
        <v>186</v>
      </c>
      <c r="BH2753" t="s">
        <v>187</v>
      </c>
      <c r="BI2753" t="s">
        <v>188</v>
      </c>
      <c r="BJ2753">
        <v>0.11403000000000001</v>
      </c>
      <c r="BK2753">
        <v>1</v>
      </c>
      <c r="BL2753" t="s">
        <v>69</v>
      </c>
      <c r="BM2753">
        <v>-5.0999999999999997E-2</v>
      </c>
      <c r="BN2753">
        <v>-6.7000000000000004E-2</v>
      </c>
    </row>
    <row r="2754" spans="10:66">
      <c r="J2754">
        <v>0</v>
      </c>
      <c r="K2754">
        <v>0</v>
      </c>
      <c r="L2754">
        <v>2</v>
      </c>
      <c r="M2754" t="s">
        <v>25021</v>
      </c>
      <c r="N2754">
        <v>17</v>
      </c>
      <c r="O2754" t="s">
        <v>189</v>
      </c>
      <c r="P2754" t="s">
        <v>62</v>
      </c>
      <c r="Q2754">
        <v>25224</v>
      </c>
      <c r="R2754">
        <v>25766</v>
      </c>
      <c r="S2754" t="s">
        <v>190</v>
      </c>
      <c r="T2754">
        <v>181</v>
      </c>
      <c r="U2754" t="s">
        <v>108</v>
      </c>
      <c r="V2754">
        <v>44</v>
      </c>
      <c r="W2754" t="str">
        <f>HYPERLINK("Gene17-zp_tree_all.dnd", "Gene17-tree")</f>
        <v>Gene17-tree</v>
      </c>
      <c r="X2754">
        <v>6</v>
      </c>
      <c r="Y2754">
        <v>26</v>
      </c>
      <c r="Z2754">
        <v>6</v>
      </c>
      <c r="AA2754">
        <v>7</v>
      </c>
      <c r="AB2754">
        <v>0.53846000000000005</v>
      </c>
      <c r="AC2754" t="s">
        <v>90</v>
      </c>
      <c r="AD2754" t="s">
        <v>191</v>
      </c>
      <c r="AE2754">
        <v>3.593</v>
      </c>
      <c r="AF2754" t="s">
        <v>65</v>
      </c>
      <c r="AG2754">
        <v>1</v>
      </c>
      <c r="AH2754">
        <v>2</v>
      </c>
      <c r="AI2754">
        <v>11</v>
      </c>
      <c r="AJ2754">
        <v>0.15384999999999999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2</v>
      </c>
      <c r="AR2754">
        <v>2</v>
      </c>
      <c r="AS2754">
        <v>11</v>
      </c>
      <c r="AT2754">
        <v>0.15384999999999999</v>
      </c>
      <c r="AU2754">
        <v>8</v>
      </c>
      <c r="AV2754">
        <v>5</v>
      </c>
      <c r="AW2754">
        <v>12</v>
      </c>
      <c r="AX2754">
        <v>13</v>
      </c>
      <c r="AY2754">
        <v>5</v>
      </c>
      <c r="AZ2754">
        <v>0</v>
      </c>
      <c r="BA2754" t="s">
        <v>192</v>
      </c>
      <c r="BB2754" t="s">
        <v>193</v>
      </c>
      <c r="BC2754">
        <v>1.498</v>
      </c>
      <c r="BD2754" t="s">
        <v>65</v>
      </c>
      <c r="BE2754">
        <v>17</v>
      </c>
      <c r="BF2754">
        <v>13</v>
      </c>
      <c r="BG2754" t="s">
        <v>194</v>
      </c>
      <c r="BH2754" t="s">
        <v>195</v>
      </c>
      <c r="BI2754" t="s">
        <v>196</v>
      </c>
      <c r="BJ2754">
        <v>0.14494000000000001</v>
      </c>
      <c r="BK2754">
        <v>1</v>
      </c>
      <c r="BL2754" t="s">
        <v>69</v>
      </c>
      <c r="BM2754">
        <v>0.34300000000000003</v>
      </c>
      <c r="BN2754">
        <v>-1.298</v>
      </c>
    </row>
    <row r="2755" spans="10:66">
      <c r="J2755">
        <v>0</v>
      </c>
      <c r="K2755">
        <v>0</v>
      </c>
      <c r="L2755">
        <v>0</v>
      </c>
      <c r="M2755" t="s">
        <v>25021</v>
      </c>
      <c r="N2755">
        <v>37</v>
      </c>
      <c r="O2755" t="s">
        <v>337</v>
      </c>
      <c r="P2755" t="s">
        <v>62</v>
      </c>
      <c r="Q2755">
        <v>44851</v>
      </c>
      <c r="R2755">
        <v>45138</v>
      </c>
      <c r="S2755" t="s">
        <v>338</v>
      </c>
      <c r="T2755">
        <v>96</v>
      </c>
      <c r="U2755" t="s">
        <v>59</v>
      </c>
      <c r="V2755">
        <v>49</v>
      </c>
      <c r="W2755" t="str">
        <f>HYPERLINK("Gene37-zp_tree_all.dnd", "Gene37-tree")</f>
        <v>Gene37-tree</v>
      </c>
      <c r="X2755">
        <v>5</v>
      </c>
      <c r="Y2755">
        <v>0</v>
      </c>
      <c r="Z2755">
        <v>5</v>
      </c>
      <c r="AA2755">
        <v>0</v>
      </c>
      <c r="AB2755">
        <v>0</v>
      </c>
      <c r="AC2755" t="s">
        <v>199</v>
      </c>
      <c r="AD2755" t="s">
        <v>62</v>
      </c>
      <c r="AE2755" t="s">
        <v>62</v>
      </c>
      <c r="AF2755" t="s">
        <v>62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3</v>
      </c>
      <c r="AV2755">
        <v>1</v>
      </c>
      <c r="AW2755">
        <v>6</v>
      </c>
      <c r="AX2755">
        <v>0</v>
      </c>
      <c r="AY2755">
        <v>1</v>
      </c>
      <c r="AZ2755">
        <v>0</v>
      </c>
      <c r="BA2755" t="s">
        <v>193</v>
      </c>
      <c r="BB2755" t="s">
        <v>193</v>
      </c>
      <c r="BC2755">
        <v>0</v>
      </c>
      <c r="BD2755" t="s">
        <v>65</v>
      </c>
      <c r="BE2755">
        <v>7</v>
      </c>
      <c r="BF2755">
        <v>0</v>
      </c>
      <c r="BG2755" t="s">
        <v>339</v>
      </c>
      <c r="BH2755" t="s">
        <v>340</v>
      </c>
      <c r="BI2755" t="s">
        <v>193</v>
      </c>
      <c r="BJ2755">
        <v>0</v>
      </c>
      <c r="BK2755">
        <v>1</v>
      </c>
      <c r="BL2755" t="s">
        <v>69</v>
      </c>
      <c r="BM2755">
        <v>-1.548</v>
      </c>
      <c r="BN2755">
        <v>-1.859</v>
      </c>
    </row>
    <row r="2756" spans="10:66">
      <c r="J2756">
        <v>0</v>
      </c>
      <c r="K2756">
        <v>0</v>
      </c>
      <c r="L2756">
        <v>0</v>
      </c>
      <c r="M2756" t="s">
        <v>25021</v>
      </c>
      <c r="N2756">
        <v>156</v>
      </c>
      <c r="O2756" t="s">
        <v>1101</v>
      </c>
      <c r="P2756" t="s">
        <v>62</v>
      </c>
      <c r="Q2756">
        <v>158518</v>
      </c>
      <c r="R2756">
        <v>159072</v>
      </c>
      <c r="S2756" t="s">
        <v>1102</v>
      </c>
      <c r="T2756">
        <v>185</v>
      </c>
      <c r="U2756" t="s">
        <v>59</v>
      </c>
      <c r="V2756">
        <v>49</v>
      </c>
      <c r="W2756" t="str">
        <f>HYPERLINK("Gene156-zp_tree_all.dnd", "Gene156-tree")</f>
        <v>Gene156-tree</v>
      </c>
      <c r="X2756">
        <v>9</v>
      </c>
      <c r="Y2756">
        <v>2</v>
      </c>
      <c r="Z2756">
        <v>9</v>
      </c>
      <c r="AA2756">
        <v>2</v>
      </c>
      <c r="AB2756">
        <v>0.18182000000000001</v>
      </c>
      <c r="AC2756" t="s">
        <v>135</v>
      </c>
      <c r="AD2756" t="s">
        <v>81</v>
      </c>
      <c r="AE2756" t="s">
        <v>62</v>
      </c>
      <c r="AF2756" t="s">
        <v>62</v>
      </c>
      <c r="AG2756">
        <v>0</v>
      </c>
      <c r="AH2756">
        <v>0</v>
      </c>
      <c r="AI2756">
        <v>7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2</v>
      </c>
      <c r="AT2756">
        <v>0</v>
      </c>
      <c r="AU2756">
        <v>8</v>
      </c>
      <c r="AV2756">
        <v>5</v>
      </c>
      <c r="AW2756">
        <v>22</v>
      </c>
      <c r="AX2756">
        <v>2</v>
      </c>
      <c r="AY2756">
        <v>19</v>
      </c>
      <c r="AZ2756">
        <v>5</v>
      </c>
      <c r="BA2756" t="s">
        <v>1103</v>
      </c>
      <c r="BB2756" t="s">
        <v>1104</v>
      </c>
      <c r="BC2756">
        <v>0.47599999999999998</v>
      </c>
      <c r="BD2756" t="s">
        <v>65</v>
      </c>
      <c r="BE2756">
        <v>41</v>
      </c>
      <c r="BF2756">
        <v>7</v>
      </c>
      <c r="BG2756" t="s">
        <v>1105</v>
      </c>
      <c r="BH2756" t="s">
        <v>1106</v>
      </c>
      <c r="BI2756" t="s">
        <v>1107</v>
      </c>
      <c r="BJ2756">
        <v>4.9149999999999999E-2</v>
      </c>
      <c r="BK2756">
        <v>1</v>
      </c>
      <c r="BL2756" t="s">
        <v>69</v>
      </c>
      <c r="BM2756">
        <v>-1.3919999999999999</v>
      </c>
      <c r="BN2756">
        <v>-0.27700000000000002</v>
      </c>
    </row>
    <row r="2757" spans="10:66">
      <c r="J2757">
        <v>0</v>
      </c>
      <c r="K2757">
        <v>0</v>
      </c>
      <c r="L2757">
        <v>2</v>
      </c>
      <c r="M2757" t="s">
        <v>25021</v>
      </c>
      <c r="N2757">
        <v>158</v>
      </c>
      <c r="O2757" t="s">
        <v>1115</v>
      </c>
      <c r="P2757" t="s">
        <v>62</v>
      </c>
      <c r="Q2757">
        <v>159782</v>
      </c>
      <c r="R2757">
        <v>160543</v>
      </c>
      <c r="S2757" t="s">
        <v>1116</v>
      </c>
      <c r="T2757">
        <v>254</v>
      </c>
      <c r="U2757" t="s">
        <v>108</v>
      </c>
      <c r="V2757">
        <v>44</v>
      </c>
      <c r="W2757" t="str">
        <f>HYPERLINK("Gene158-zp_tree_all.dnd", "Gene158-tree")</f>
        <v>Gene158-tree</v>
      </c>
      <c r="X2757">
        <v>5</v>
      </c>
      <c r="Y2757">
        <v>6</v>
      </c>
      <c r="Z2757">
        <v>5</v>
      </c>
      <c r="AA2757">
        <v>6</v>
      </c>
      <c r="AB2757">
        <v>0.54544999999999999</v>
      </c>
      <c r="AC2757" t="s">
        <v>199</v>
      </c>
      <c r="AD2757" t="s">
        <v>90</v>
      </c>
      <c r="AE2757" t="s">
        <v>62</v>
      </c>
      <c r="AF2757" t="s">
        <v>62</v>
      </c>
      <c r="AG2757">
        <v>1</v>
      </c>
      <c r="AH2757">
        <v>2</v>
      </c>
      <c r="AI2757">
        <v>6</v>
      </c>
      <c r="AJ2757">
        <v>0.25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2</v>
      </c>
      <c r="AR2757">
        <v>2</v>
      </c>
      <c r="AS2757">
        <v>5</v>
      </c>
      <c r="AT2757">
        <v>0.28571000000000002</v>
      </c>
      <c r="AU2757">
        <v>9</v>
      </c>
      <c r="AV2757">
        <v>7</v>
      </c>
      <c r="AW2757">
        <v>37</v>
      </c>
      <c r="AX2757">
        <v>6</v>
      </c>
      <c r="AY2757">
        <v>10</v>
      </c>
      <c r="AZ2757">
        <v>2</v>
      </c>
      <c r="BA2757" t="s">
        <v>1117</v>
      </c>
      <c r="BB2757" t="s">
        <v>1118</v>
      </c>
      <c r="BC2757">
        <v>0.17299999999999999</v>
      </c>
      <c r="BD2757" t="s">
        <v>65</v>
      </c>
      <c r="BE2757">
        <v>47</v>
      </c>
      <c r="BF2757">
        <v>8</v>
      </c>
      <c r="BG2757" t="s">
        <v>1119</v>
      </c>
      <c r="BH2757" t="s">
        <v>1120</v>
      </c>
      <c r="BI2757" t="s">
        <v>1121</v>
      </c>
      <c r="BJ2757">
        <v>5.5620000000000003E-2</v>
      </c>
      <c r="BK2757">
        <v>1</v>
      </c>
      <c r="BL2757" t="s">
        <v>69</v>
      </c>
      <c r="BM2757">
        <v>-1.1839999999999999</v>
      </c>
      <c r="BN2757">
        <v>-3.1789999999999998</v>
      </c>
    </row>
    <row r="2758" spans="10:66">
      <c r="J2758">
        <v>0</v>
      </c>
      <c r="K2758">
        <v>9</v>
      </c>
      <c r="L2758">
        <v>0</v>
      </c>
      <c r="M2758" t="s">
        <v>25021</v>
      </c>
      <c r="N2758">
        <v>161</v>
      </c>
      <c r="O2758" t="s">
        <v>1137</v>
      </c>
      <c r="P2758" t="s">
        <v>62</v>
      </c>
      <c r="Q2758">
        <v>179598</v>
      </c>
      <c r="R2758">
        <v>180347</v>
      </c>
      <c r="S2758" t="s">
        <v>1138</v>
      </c>
      <c r="T2758">
        <v>250</v>
      </c>
      <c r="U2758" t="s">
        <v>1139</v>
      </c>
      <c r="V2758">
        <v>42</v>
      </c>
      <c r="W2758" t="str">
        <f>HYPERLINK("Gene161-zp_tree_all.dnd", "Gene161-tree")</f>
        <v>Gene161-tree</v>
      </c>
      <c r="X2758">
        <v>0</v>
      </c>
      <c r="Y2758">
        <v>10</v>
      </c>
      <c r="Z2758">
        <v>0</v>
      </c>
      <c r="AA2758">
        <v>10</v>
      </c>
      <c r="AB2758">
        <v>1</v>
      </c>
      <c r="AC2758" t="s">
        <v>62</v>
      </c>
      <c r="AD2758" t="s">
        <v>117</v>
      </c>
      <c r="AE2758" t="s">
        <v>62</v>
      </c>
      <c r="AF2758" t="s">
        <v>62</v>
      </c>
      <c r="AG2758">
        <v>4</v>
      </c>
      <c r="AH2758">
        <v>9</v>
      </c>
      <c r="AI2758">
        <v>26</v>
      </c>
      <c r="AJ2758">
        <v>0.25713999999999998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6</v>
      </c>
      <c r="AQ2758">
        <v>0</v>
      </c>
      <c r="AR2758">
        <v>6</v>
      </c>
      <c r="AS2758">
        <v>25</v>
      </c>
      <c r="AT2758">
        <v>0.19355</v>
      </c>
      <c r="AU2758">
        <v>10</v>
      </c>
      <c r="AV2758">
        <v>4</v>
      </c>
      <c r="AW2758">
        <v>12</v>
      </c>
      <c r="AX2758">
        <v>32</v>
      </c>
      <c r="AY2758">
        <v>7</v>
      </c>
      <c r="AZ2758">
        <v>4</v>
      </c>
      <c r="BA2758" t="s">
        <v>1140</v>
      </c>
      <c r="BB2758" t="s">
        <v>1141</v>
      </c>
      <c r="BC2758">
        <v>0.85099999999999998</v>
      </c>
      <c r="BD2758" t="s">
        <v>65</v>
      </c>
      <c r="BE2758">
        <v>19</v>
      </c>
      <c r="BF2758">
        <v>36</v>
      </c>
      <c r="BG2758" t="s">
        <v>1142</v>
      </c>
      <c r="BH2758" t="s">
        <v>1143</v>
      </c>
      <c r="BI2758" t="s">
        <v>1144</v>
      </c>
      <c r="BJ2758">
        <v>0.45545000000000002</v>
      </c>
      <c r="BK2758">
        <v>0.99</v>
      </c>
      <c r="BL2758" t="s">
        <v>69</v>
      </c>
      <c r="BM2758">
        <v>-1.01</v>
      </c>
      <c r="BN2758">
        <v>-0.65100000000000002</v>
      </c>
    </row>
    <row r="2759" spans="10:66">
      <c r="J2759">
        <v>0</v>
      </c>
      <c r="K2759">
        <v>2</v>
      </c>
      <c r="L2759">
        <v>0</v>
      </c>
      <c r="M2759" t="s">
        <v>25021</v>
      </c>
      <c r="N2759">
        <v>162</v>
      </c>
      <c r="O2759" t="s">
        <v>1145</v>
      </c>
      <c r="P2759" t="s">
        <v>62</v>
      </c>
      <c r="Q2759">
        <v>180347</v>
      </c>
      <c r="R2759">
        <v>181354</v>
      </c>
      <c r="S2759" t="s">
        <v>1146</v>
      </c>
      <c r="T2759">
        <v>336</v>
      </c>
      <c r="U2759" t="s">
        <v>108</v>
      </c>
      <c r="V2759">
        <v>44</v>
      </c>
      <c r="W2759" t="str">
        <f>HYPERLINK("Gene162-zp_tree_all.dnd", "Gene162-tree")</f>
        <v>Gene162-tree</v>
      </c>
      <c r="X2759">
        <v>29</v>
      </c>
      <c r="Y2759">
        <v>6</v>
      </c>
      <c r="Z2759">
        <v>9</v>
      </c>
      <c r="AA2759">
        <v>6</v>
      </c>
      <c r="AB2759">
        <v>0.4</v>
      </c>
      <c r="AC2759" t="s">
        <v>234</v>
      </c>
      <c r="AD2759" t="s">
        <v>90</v>
      </c>
      <c r="AE2759" t="s">
        <v>62</v>
      </c>
      <c r="AF2759" t="s">
        <v>62</v>
      </c>
      <c r="AG2759">
        <v>1</v>
      </c>
      <c r="AH2759">
        <v>2</v>
      </c>
      <c r="AI2759">
        <v>7</v>
      </c>
      <c r="AJ2759">
        <v>0.22222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6</v>
      </c>
      <c r="AT2759">
        <v>0</v>
      </c>
      <c r="AU2759">
        <v>12</v>
      </c>
      <c r="AV2759">
        <v>8</v>
      </c>
      <c r="AW2759">
        <v>29</v>
      </c>
      <c r="AX2759">
        <v>6</v>
      </c>
      <c r="AY2759">
        <v>24</v>
      </c>
      <c r="AZ2759">
        <v>3</v>
      </c>
      <c r="BA2759" t="s">
        <v>1147</v>
      </c>
      <c r="BB2759" t="s">
        <v>1148</v>
      </c>
      <c r="BC2759">
        <v>0.57299999999999995</v>
      </c>
      <c r="BD2759" t="s">
        <v>65</v>
      </c>
      <c r="BE2759">
        <v>53</v>
      </c>
      <c r="BF2759">
        <v>9</v>
      </c>
      <c r="BG2759" t="s">
        <v>1149</v>
      </c>
      <c r="BH2759" t="s">
        <v>1150</v>
      </c>
      <c r="BI2759" t="s">
        <v>1151</v>
      </c>
      <c r="BJ2759">
        <v>6.132E-2</v>
      </c>
      <c r="BK2759">
        <v>1</v>
      </c>
      <c r="BL2759" t="s">
        <v>69</v>
      </c>
      <c r="BM2759">
        <v>-0.42499999999999999</v>
      </c>
      <c r="BN2759">
        <v>-1.2470000000000001</v>
      </c>
    </row>
    <row r="2760" spans="10:66">
      <c r="J2760">
        <v>0</v>
      </c>
      <c r="K2760">
        <v>2</v>
      </c>
      <c r="L2760">
        <v>0</v>
      </c>
      <c r="M2760" t="s">
        <v>25021</v>
      </c>
      <c r="N2760">
        <v>163</v>
      </c>
      <c r="O2760" t="s">
        <v>1152</v>
      </c>
      <c r="P2760" t="s">
        <v>62</v>
      </c>
      <c r="Q2760">
        <v>181350</v>
      </c>
      <c r="R2760">
        <v>182351</v>
      </c>
      <c r="S2760" t="s">
        <v>1153</v>
      </c>
      <c r="T2760">
        <v>334</v>
      </c>
      <c r="U2760" t="s">
        <v>108</v>
      </c>
      <c r="V2760">
        <v>44</v>
      </c>
      <c r="W2760" t="str">
        <f>HYPERLINK("Gene163-zp_tree_all.dnd", "Gene163-tree")</f>
        <v>Gene163-tree</v>
      </c>
      <c r="X2760">
        <v>29</v>
      </c>
      <c r="Y2760">
        <v>4</v>
      </c>
      <c r="Z2760">
        <v>9</v>
      </c>
      <c r="AA2760">
        <v>4</v>
      </c>
      <c r="AB2760">
        <v>0.30769000000000002</v>
      </c>
      <c r="AC2760" t="s">
        <v>234</v>
      </c>
      <c r="AD2760" t="s">
        <v>61</v>
      </c>
      <c r="AE2760" t="s">
        <v>62</v>
      </c>
      <c r="AF2760" t="s">
        <v>62</v>
      </c>
      <c r="AG2760">
        <v>1</v>
      </c>
      <c r="AH2760">
        <v>2</v>
      </c>
      <c r="AI2760">
        <v>3</v>
      </c>
      <c r="AJ2760">
        <v>0.4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2</v>
      </c>
      <c r="AQ2760">
        <v>0</v>
      </c>
      <c r="AR2760">
        <v>2</v>
      </c>
      <c r="AS2760">
        <v>2</v>
      </c>
      <c r="AT2760">
        <v>0.5</v>
      </c>
      <c r="AU2760">
        <v>10</v>
      </c>
      <c r="AV2760">
        <v>9</v>
      </c>
      <c r="AW2760">
        <v>33</v>
      </c>
      <c r="AX2760">
        <v>4</v>
      </c>
      <c r="AY2760">
        <v>23</v>
      </c>
      <c r="AZ2760">
        <v>1</v>
      </c>
      <c r="BA2760" t="s">
        <v>1154</v>
      </c>
      <c r="BB2760" t="s">
        <v>1155</v>
      </c>
      <c r="BC2760">
        <v>0.54200000000000004</v>
      </c>
      <c r="BD2760" t="s">
        <v>65</v>
      </c>
      <c r="BE2760">
        <v>56</v>
      </c>
      <c r="BF2760">
        <v>5</v>
      </c>
      <c r="BG2760" t="s">
        <v>1156</v>
      </c>
      <c r="BH2760" t="s">
        <v>1157</v>
      </c>
      <c r="BI2760" t="s">
        <v>1158</v>
      </c>
      <c r="BJ2760">
        <v>3.5920000000000001E-2</v>
      </c>
      <c r="BK2760">
        <v>1</v>
      </c>
      <c r="BL2760" t="s">
        <v>69</v>
      </c>
      <c r="BM2760">
        <v>-0.68100000000000005</v>
      </c>
      <c r="BN2760">
        <v>-0.432</v>
      </c>
    </row>
    <row r="2761" spans="10:66">
      <c r="J2761">
        <v>0</v>
      </c>
      <c r="K2761">
        <v>9</v>
      </c>
      <c r="L2761">
        <v>2</v>
      </c>
      <c r="M2761" t="s">
        <v>25021</v>
      </c>
      <c r="N2761">
        <v>164</v>
      </c>
      <c r="O2761" t="s">
        <v>1159</v>
      </c>
      <c r="P2761" t="s">
        <v>62</v>
      </c>
      <c r="Q2761">
        <v>182373</v>
      </c>
      <c r="R2761">
        <v>183323</v>
      </c>
      <c r="S2761" t="s">
        <v>1160</v>
      </c>
      <c r="T2761">
        <v>317</v>
      </c>
      <c r="U2761" t="s">
        <v>465</v>
      </c>
      <c r="V2761">
        <v>46</v>
      </c>
      <c r="W2761" t="str">
        <f>HYPERLINK("Gene164-zp_tree_all.dnd", "Gene164-tree")</f>
        <v>Gene164-tree</v>
      </c>
      <c r="X2761">
        <v>10</v>
      </c>
      <c r="Y2761">
        <v>7</v>
      </c>
      <c r="Z2761">
        <v>10</v>
      </c>
      <c r="AA2761">
        <v>7</v>
      </c>
      <c r="AB2761">
        <v>0.41176000000000001</v>
      </c>
      <c r="AC2761" t="s">
        <v>117</v>
      </c>
      <c r="AD2761" t="s">
        <v>152</v>
      </c>
      <c r="AE2761" t="s">
        <v>62</v>
      </c>
      <c r="AF2761" t="s">
        <v>62</v>
      </c>
      <c r="AG2761">
        <v>4</v>
      </c>
      <c r="AH2761">
        <v>11</v>
      </c>
      <c r="AI2761">
        <v>7</v>
      </c>
      <c r="AJ2761">
        <v>0.61111000000000004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8</v>
      </c>
      <c r="AT2761">
        <v>0</v>
      </c>
      <c r="AU2761">
        <v>14</v>
      </c>
      <c r="AV2761">
        <v>14</v>
      </c>
      <c r="AW2761">
        <v>25</v>
      </c>
      <c r="AX2761">
        <v>7</v>
      </c>
      <c r="AY2761">
        <v>47</v>
      </c>
      <c r="AZ2761">
        <v>11</v>
      </c>
      <c r="BA2761" t="s">
        <v>1161</v>
      </c>
      <c r="BB2761" t="s">
        <v>1162</v>
      </c>
      <c r="BC2761">
        <v>0.14699999999999999</v>
      </c>
      <c r="BD2761" t="s">
        <v>65</v>
      </c>
      <c r="BE2761">
        <v>72</v>
      </c>
      <c r="BF2761">
        <v>18</v>
      </c>
      <c r="BG2761" t="s">
        <v>1163</v>
      </c>
      <c r="BH2761" t="s">
        <v>1164</v>
      </c>
      <c r="BI2761" t="s">
        <v>1165</v>
      </c>
      <c r="BJ2761">
        <v>4.9189999999999998E-2</v>
      </c>
      <c r="BK2761">
        <v>1</v>
      </c>
      <c r="BL2761" t="s">
        <v>69</v>
      </c>
      <c r="BM2761">
        <v>-1.0860000000000001</v>
      </c>
      <c r="BN2761">
        <v>-0.182</v>
      </c>
    </row>
    <row r="2762" spans="10:66">
      <c r="J2762">
        <v>0</v>
      </c>
      <c r="K2762">
        <v>13</v>
      </c>
      <c r="L2762">
        <v>0</v>
      </c>
      <c r="M2762" t="s">
        <v>25021</v>
      </c>
      <c r="N2762">
        <v>165</v>
      </c>
      <c r="O2762" t="s">
        <v>1166</v>
      </c>
      <c r="P2762" t="s">
        <v>62</v>
      </c>
      <c r="Q2762">
        <v>183417</v>
      </c>
      <c r="R2762">
        <v>185003</v>
      </c>
      <c r="S2762" t="s">
        <v>1167</v>
      </c>
      <c r="T2762">
        <v>529</v>
      </c>
      <c r="U2762" t="s">
        <v>108</v>
      </c>
      <c r="V2762">
        <v>44</v>
      </c>
      <c r="W2762" t="str">
        <f>HYPERLINK("Gene165-zp_tree_all.dnd", "Gene165-tree")</f>
        <v>Gene165-tree</v>
      </c>
      <c r="X2762">
        <v>1</v>
      </c>
      <c r="Y2762">
        <v>14</v>
      </c>
      <c r="Z2762">
        <v>1</v>
      </c>
      <c r="AA2762">
        <v>14</v>
      </c>
      <c r="AB2762">
        <v>0.93332999999999999</v>
      </c>
      <c r="AC2762" t="s">
        <v>175</v>
      </c>
      <c r="AD2762" t="s">
        <v>543</v>
      </c>
      <c r="AE2762">
        <v>1865302226.941</v>
      </c>
      <c r="AF2762" t="s">
        <v>267</v>
      </c>
      <c r="AG2762">
        <v>4</v>
      </c>
      <c r="AH2762">
        <v>13</v>
      </c>
      <c r="AI2762">
        <v>37</v>
      </c>
      <c r="AJ2762">
        <v>0.26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3</v>
      </c>
      <c r="AQ2762">
        <v>0</v>
      </c>
      <c r="AR2762">
        <v>3</v>
      </c>
      <c r="AS2762">
        <v>29</v>
      </c>
      <c r="AT2762">
        <v>9.375E-2</v>
      </c>
      <c r="AU2762">
        <v>13</v>
      </c>
      <c r="AV2762">
        <v>12</v>
      </c>
      <c r="AW2762">
        <v>52</v>
      </c>
      <c r="AX2762">
        <v>32</v>
      </c>
      <c r="AY2762">
        <v>34</v>
      </c>
      <c r="AZ2762">
        <v>18</v>
      </c>
      <c r="BA2762" t="s">
        <v>1168</v>
      </c>
      <c r="BB2762" t="s">
        <v>1169</v>
      </c>
      <c r="BC2762">
        <v>0.248</v>
      </c>
      <c r="BD2762" t="s">
        <v>65</v>
      </c>
      <c r="BE2762">
        <v>86</v>
      </c>
      <c r="BF2762">
        <v>50</v>
      </c>
      <c r="BG2762" t="s">
        <v>1170</v>
      </c>
      <c r="BH2762" t="s">
        <v>1171</v>
      </c>
      <c r="BI2762" t="s">
        <v>1172</v>
      </c>
      <c r="BJ2762">
        <v>0.18553</v>
      </c>
      <c r="BK2762">
        <v>1</v>
      </c>
      <c r="BL2762" t="s">
        <v>69</v>
      </c>
      <c r="BM2762">
        <v>-0.92800000000000005</v>
      </c>
      <c r="BN2762">
        <v>-2.1739999999999999</v>
      </c>
    </row>
    <row r="2763" spans="10:66">
      <c r="J2763">
        <v>0</v>
      </c>
      <c r="K2763">
        <v>11</v>
      </c>
      <c r="L2763">
        <v>3</v>
      </c>
      <c r="M2763" t="s">
        <v>25021</v>
      </c>
      <c r="N2763">
        <v>166</v>
      </c>
      <c r="O2763" t="s">
        <v>1173</v>
      </c>
      <c r="P2763" t="s">
        <v>62</v>
      </c>
      <c r="Q2763">
        <v>185197</v>
      </c>
      <c r="R2763">
        <v>186438</v>
      </c>
      <c r="S2763" t="s">
        <v>116</v>
      </c>
      <c r="T2763">
        <v>414</v>
      </c>
      <c r="U2763" t="s">
        <v>1174</v>
      </c>
      <c r="V2763">
        <v>42</v>
      </c>
      <c r="W2763" t="str">
        <f>HYPERLINK("Gene166-zp_tree_all.dnd", "Gene166-tree")</f>
        <v>Gene166-tree</v>
      </c>
      <c r="X2763">
        <v>5</v>
      </c>
      <c r="Y2763">
        <v>9</v>
      </c>
      <c r="Z2763">
        <v>5</v>
      </c>
      <c r="AA2763">
        <v>9</v>
      </c>
      <c r="AB2763">
        <v>0.64285999999999999</v>
      </c>
      <c r="AC2763" t="s">
        <v>199</v>
      </c>
      <c r="AD2763" t="s">
        <v>135</v>
      </c>
      <c r="AE2763" t="s">
        <v>62</v>
      </c>
      <c r="AF2763" t="s">
        <v>62</v>
      </c>
      <c r="AG2763">
        <v>5</v>
      </c>
      <c r="AH2763">
        <v>14</v>
      </c>
      <c r="AI2763">
        <v>20</v>
      </c>
      <c r="AJ2763">
        <v>0.41176000000000001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7</v>
      </c>
      <c r="AQ2763">
        <v>0</v>
      </c>
      <c r="AR2763">
        <v>7</v>
      </c>
      <c r="AS2763">
        <v>19</v>
      </c>
      <c r="AT2763">
        <v>0.26923000000000002</v>
      </c>
      <c r="AU2763">
        <v>12</v>
      </c>
      <c r="AV2763">
        <v>11</v>
      </c>
      <c r="AW2763">
        <v>34</v>
      </c>
      <c r="AX2763">
        <v>27</v>
      </c>
      <c r="AY2763">
        <v>26</v>
      </c>
      <c r="AZ2763">
        <v>9</v>
      </c>
      <c r="BA2763" t="s">
        <v>1175</v>
      </c>
      <c r="BB2763" t="s">
        <v>1176</v>
      </c>
      <c r="BC2763">
        <v>0.93100000000000005</v>
      </c>
      <c r="BD2763" t="s">
        <v>65</v>
      </c>
      <c r="BE2763">
        <v>60</v>
      </c>
      <c r="BF2763">
        <v>36</v>
      </c>
      <c r="BG2763" t="s">
        <v>1177</v>
      </c>
      <c r="BH2763" t="s">
        <v>1178</v>
      </c>
      <c r="BI2763" t="s">
        <v>1179</v>
      </c>
      <c r="BJ2763">
        <v>0.17998</v>
      </c>
      <c r="BK2763">
        <v>1</v>
      </c>
      <c r="BL2763" t="s">
        <v>69</v>
      </c>
      <c r="BM2763">
        <v>-0.22</v>
      </c>
      <c r="BN2763">
        <v>-1</v>
      </c>
    </row>
    <row r="2764" spans="10:66">
      <c r="J2764">
        <v>0</v>
      </c>
      <c r="K2764">
        <v>51</v>
      </c>
      <c r="L2764">
        <v>3</v>
      </c>
      <c r="M2764" t="s">
        <v>25021</v>
      </c>
      <c r="N2764">
        <v>167</v>
      </c>
      <c r="O2764" t="s">
        <v>1180</v>
      </c>
      <c r="P2764" t="s">
        <v>62</v>
      </c>
      <c r="Q2764">
        <v>186455</v>
      </c>
      <c r="R2764">
        <v>188380</v>
      </c>
      <c r="S2764" t="s">
        <v>1181</v>
      </c>
      <c r="T2764">
        <v>642</v>
      </c>
      <c r="U2764" t="s">
        <v>108</v>
      </c>
      <c r="V2764">
        <v>44</v>
      </c>
      <c r="W2764" t="str">
        <f>HYPERLINK("Gene167-zp_tree_all.dnd", "Gene167-tree")</f>
        <v>Gene167-tree</v>
      </c>
      <c r="X2764">
        <v>1</v>
      </c>
      <c r="Y2764">
        <v>14</v>
      </c>
      <c r="Z2764">
        <v>1</v>
      </c>
      <c r="AA2764">
        <v>14</v>
      </c>
      <c r="AB2764">
        <v>0.93332999999999999</v>
      </c>
      <c r="AC2764" t="s">
        <v>175</v>
      </c>
      <c r="AD2764" t="s">
        <v>543</v>
      </c>
      <c r="AE2764">
        <v>1865302226.941</v>
      </c>
      <c r="AF2764" t="s">
        <v>267</v>
      </c>
      <c r="AG2764">
        <v>21</v>
      </c>
      <c r="AH2764">
        <v>54</v>
      </c>
      <c r="AI2764">
        <v>31</v>
      </c>
      <c r="AJ2764">
        <v>0.63529000000000002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19</v>
      </c>
      <c r="AQ2764">
        <v>6</v>
      </c>
      <c r="AR2764">
        <v>25</v>
      </c>
      <c r="AS2764">
        <v>36</v>
      </c>
      <c r="AT2764">
        <v>0.40983999999999998</v>
      </c>
      <c r="AU2764">
        <v>14</v>
      </c>
      <c r="AV2764">
        <v>11</v>
      </c>
      <c r="AW2764">
        <v>102</v>
      </c>
      <c r="AX2764">
        <v>63</v>
      </c>
      <c r="AY2764">
        <v>60</v>
      </c>
      <c r="AZ2764">
        <v>27</v>
      </c>
      <c r="BA2764" t="s">
        <v>1182</v>
      </c>
      <c r="BB2764" t="s">
        <v>1183</v>
      </c>
      <c r="BC2764">
        <v>0.56799999999999995</v>
      </c>
      <c r="BD2764" t="s">
        <v>65</v>
      </c>
      <c r="BE2764">
        <v>162</v>
      </c>
      <c r="BF2764">
        <v>90</v>
      </c>
      <c r="BG2764" t="s">
        <v>1184</v>
      </c>
      <c r="BH2764" t="s">
        <v>1185</v>
      </c>
      <c r="BI2764" t="s">
        <v>1186</v>
      </c>
      <c r="BJ2764">
        <v>0.14913999999999999</v>
      </c>
      <c r="BK2764">
        <v>1</v>
      </c>
      <c r="BL2764" t="s">
        <v>69</v>
      </c>
      <c r="BM2764">
        <v>-0.45900000000000002</v>
      </c>
      <c r="BN2764">
        <v>-1.669</v>
      </c>
    </row>
    <row r="2765" spans="10:66">
      <c r="J2765">
        <v>0</v>
      </c>
      <c r="K2765">
        <v>17</v>
      </c>
      <c r="L2765">
        <v>2</v>
      </c>
      <c r="M2765" t="s">
        <v>25021</v>
      </c>
      <c r="N2765">
        <v>168</v>
      </c>
      <c r="O2765" t="s">
        <v>1187</v>
      </c>
      <c r="P2765" t="s">
        <v>62</v>
      </c>
      <c r="Q2765">
        <v>188411</v>
      </c>
      <c r="R2765">
        <v>189733</v>
      </c>
      <c r="S2765" t="s">
        <v>1188</v>
      </c>
      <c r="T2765">
        <v>441</v>
      </c>
      <c r="U2765" t="s">
        <v>265</v>
      </c>
      <c r="V2765">
        <v>43</v>
      </c>
      <c r="W2765" t="str">
        <f>HYPERLINK("Gene168-zp_tree_all.dnd", "Gene168-tree")</f>
        <v>Gene168-tree</v>
      </c>
      <c r="X2765">
        <v>2</v>
      </c>
      <c r="Y2765">
        <v>13</v>
      </c>
      <c r="Z2765">
        <v>2</v>
      </c>
      <c r="AA2765">
        <v>13</v>
      </c>
      <c r="AB2765">
        <v>0.86667000000000005</v>
      </c>
      <c r="AC2765" t="s">
        <v>81</v>
      </c>
      <c r="AD2765" t="s">
        <v>507</v>
      </c>
      <c r="AE2765" t="s">
        <v>62</v>
      </c>
      <c r="AF2765" t="s">
        <v>62</v>
      </c>
      <c r="AG2765">
        <v>7</v>
      </c>
      <c r="AH2765">
        <v>19</v>
      </c>
      <c r="AI2765">
        <v>21</v>
      </c>
      <c r="AJ2765">
        <v>0.47499999999999998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4</v>
      </c>
      <c r="AQ2765">
        <v>0</v>
      </c>
      <c r="AR2765">
        <v>4</v>
      </c>
      <c r="AS2765">
        <v>23</v>
      </c>
      <c r="AT2765">
        <v>0.14815</v>
      </c>
      <c r="AU2765">
        <v>14</v>
      </c>
      <c r="AV2765">
        <v>12</v>
      </c>
      <c r="AW2765">
        <v>47</v>
      </c>
      <c r="AX2765">
        <v>27</v>
      </c>
      <c r="AY2765">
        <v>29</v>
      </c>
      <c r="AZ2765">
        <v>13</v>
      </c>
      <c r="BA2765" t="s">
        <v>1189</v>
      </c>
      <c r="BB2765" t="s">
        <v>1190</v>
      </c>
      <c r="BC2765">
        <v>0.40899999999999997</v>
      </c>
      <c r="BD2765" t="s">
        <v>65</v>
      </c>
      <c r="BE2765">
        <v>76</v>
      </c>
      <c r="BF2765">
        <v>40</v>
      </c>
      <c r="BG2765" t="s">
        <v>1191</v>
      </c>
      <c r="BH2765" t="s">
        <v>1192</v>
      </c>
      <c r="BI2765" t="s">
        <v>1193</v>
      </c>
      <c r="BJ2765">
        <v>0.14885999999999999</v>
      </c>
      <c r="BK2765">
        <v>1</v>
      </c>
      <c r="BL2765" t="s">
        <v>69</v>
      </c>
      <c r="BM2765">
        <v>-0.65400000000000003</v>
      </c>
      <c r="BN2765">
        <v>-2.1859999999999999</v>
      </c>
    </row>
    <row r="2766" spans="10:66">
      <c r="J2766">
        <v>0</v>
      </c>
      <c r="K2766">
        <v>9</v>
      </c>
      <c r="L2766">
        <v>0</v>
      </c>
      <c r="M2766" t="s">
        <v>25021</v>
      </c>
      <c r="N2766">
        <v>169</v>
      </c>
      <c r="O2766" t="s">
        <v>1194</v>
      </c>
      <c r="P2766" t="s">
        <v>62</v>
      </c>
      <c r="Q2766">
        <v>189793</v>
      </c>
      <c r="R2766">
        <v>191157</v>
      </c>
      <c r="S2766" t="s">
        <v>1195</v>
      </c>
      <c r="T2766">
        <v>455</v>
      </c>
      <c r="U2766" t="s">
        <v>1196</v>
      </c>
      <c r="V2766">
        <v>39</v>
      </c>
      <c r="W2766" t="str">
        <f>HYPERLINK("Gene169-zp_tree_all.dnd", "Gene169-tree")</f>
        <v>Gene169-tree</v>
      </c>
      <c r="X2766">
        <v>5</v>
      </c>
      <c r="Y2766">
        <v>7</v>
      </c>
      <c r="Z2766">
        <v>5</v>
      </c>
      <c r="AA2766">
        <v>7</v>
      </c>
      <c r="AB2766">
        <v>0.58333000000000002</v>
      </c>
      <c r="AC2766" t="s">
        <v>199</v>
      </c>
      <c r="AD2766" t="s">
        <v>152</v>
      </c>
      <c r="AE2766" t="s">
        <v>62</v>
      </c>
      <c r="AF2766" t="s">
        <v>62</v>
      </c>
      <c r="AG2766">
        <v>3</v>
      </c>
      <c r="AH2766">
        <v>9</v>
      </c>
      <c r="AI2766">
        <v>3</v>
      </c>
      <c r="AJ2766">
        <v>0.75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4</v>
      </c>
      <c r="AQ2766">
        <v>0</v>
      </c>
      <c r="AR2766">
        <v>4</v>
      </c>
      <c r="AS2766">
        <v>5</v>
      </c>
      <c r="AT2766">
        <v>0.44444</v>
      </c>
      <c r="AU2766">
        <v>11</v>
      </c>
      <c r="AV2766">
        <v>7</v>
      </c>
      <c r="AW2766">
        <v>44</v>
      </c>
      <c r="AX2766">
        <v>9</v>
      </c>
      <c r="AY2766">
        <v>17</v>
      </c>
      <c r="AZ2766">
        <v>3</v>
      </c>
      <c r="BA2766" t="s">
        <v>1197</v>
      </c>
      <c r="BB2766" t="s">
        <v>1198</v>
      </c>
      <c r="BC2766">
        <v>0.11600000000000001</v>
      </c>
      <c r="BD2766" t="s">
        <v>65</v>
      </c>
      <c r="BE2766">
        <v>61</v>
      </c>
      <c r="BF2766">
        <v>12</v>
      </c>
      <c r="BG2766" t="s">
        <v>1199</v>
      </c>
      <c r="BH2766" t="s">
        <v>1200</v>
      </c>
      <c r="BI2766" t="s">
        <v>1201</v>
      </c>
      <c r="BJ2766">
        <v>5.7930000000000002E-2</v>
      </c>
      <c r="BK2766">
        <v>1</v>
      </c>
      <c r="BL2766" t="s">
        <v>69</v>
      </c>
      <c r="BM2766">
        <v>-0.28299999999999997</v>
      </c>
      <c r="BN2766">
        <v>-2.08</v>
      </c>
    </row>
    <row r="2767" spans="10:66">
      <c r="J2767">
        <v>0</v>
      </c>
      <c r="K2767">
        <v>4</v>
      </c>
      <c r="L2767">
        <v>0</v>
      </c>
      <c r="M2767" t="s">
        <v>25021</v>
      </c>
      <c r="N2767">
        <v>170</v>
      </c>
      <c r="O2767" t="s">
        <v>1202</v>
      </c>
      <c r="P2767" t="s">
        <v>62</v>
      </c>
      <c r="Q2767">
        <v>191186</v>
      </c>
      <c r="R2767">
        <v>192034</v>
      </c>
      <c r="S2767" t="s">
        <v>1203</v>
      </c>
      <c r="T2767">
        <v>283</v>
      </c>
      <c r="U2767" t="s">
        <v>108</v>
      </c>
      <c r="V2767">
        <v>44</v>
      </c>
      <c r="W2767" t="str">
        <f>HYPERLINK("Gene170-zp_tree_all.dnd", "Gene170-tree")</f>
        <v>Gene170-tree</v>
      </c>
      <c r="X2767">
        <v>9</v>
      </c>
      <c r="Y2767">
        <v>7</v>
      </c>
      <c r="Z2767">
        <v>9</v>
      </c>
      <c r="AA2767">
        <v>7</v>
      </c>
      <c r="AB2767">
        <v>0.4375</v>
      </c>
      <c r="AC2767" t="s">
        <v>135</v>
      </c>
      <c r="AD2767" t="s">
        <v>152</v>
      </c>
      <c r="AE2767" t="s">
        <v>62</v>
      </c>
      <c r="AF2767" t="s">
        <v>62</v>
      </c>
      <c r="AG2767">
        <v>1</v>
      </c>
      <c r="AH2767">
        <v>4</v>
      </c>
      <c r="AI2767">
        <v>16</v>
      </c>
      <c r="AJ2767">
        <v>0.2</v>
      </c>
      <c r="AK2767">
        <v>0</v>
      </c>
      <c r="AL2767">
        <v>0</v>
      </c>
      <c r="AM2767">
        <v>0</v>
      </c>
      <c r="AN2767">
        <v>2</v>
      </c>
      <c r="AO2767">
        <v>0</v>
      </c>
      <c r="AP2767">
        <v>3</v>
      </c>
      <c r="AQ2767">
        <v>0</v>
      </c>
      <c r="AR2767">
        <v>3</v>
      </c>
      <c r="AS2767">
        <v>14</v>
      </c>
      <c r="AT2767">
        <v>0.17646999999999999</v>
      </c>
      <c r="AU2767">
        <v>11</v>
      </c>
      <c r="AV2767">
        <v>9</v>
      </c>
      <c r="AW2767">
        <v>29</v>
      </c>
      <c r="AX2767">
        <v>18</v>
      </c>
      <c r="AY2767">
        <v>19</v>
      </c>
      <c r="AZ2767">
        <v>3</v>
      </c>
      <c r="BA2767" t="s">
        <v>1204</v>
      </c>
      <c r="BB2767" t="s">
        <v>1205</v>
      </c>
      <c r="BC2767">
        <v>1.3260000000000001</v>
      </c>
      <c r="BD2767" t="s">
        <v>65</v>
      </c>
      <c r="BE2767">
        <v>48</v>
      </c>
      <c r="BF2767">
        <v>21</v>
      </c>
      <c r="BG2767" t="s">
        <v>1206</v>
      </c>
      <c r="BH2767" t="s">
        <v>1207</v>
      </c>
      <c r="BI2767" t="s">
        <v>1208</v>
      </c>
      <c r="BJ2767">
        <v>0.11855</v>
      </c>
      <c r="BK2767">
        <v>1</v>
      </c>
      <c r="BL2767" t="s">
        <v>69</v>
      </c>
      <c r="BM2767">
        <v>-1.226</v>
      </c>
      <c r="BN2767">
        <v>-2.343</v>
      </c>
    </row>
    <row r="2768" spans="10:66">
      <c r="J2768">
        <v>0</v>
      </c>
      <c r="K2768">
        <v>2</v>
      </c>
      <c r="L2768">
        <v>0</v>
      </c>
      <c r="M2768" t="s">
        <v>25021</v>
      </c>
      <c r="N2768">
        <v>171</v>
      </c>
      <c r="O2768" t="s">
        <v>1209</v>
      </c>
      <c r="P2768" t="s">
        <v>62</v>
      </c>
      <c r="Q2768">
        <v>192054</v>
      </c>
      <c r="R2768">
        <v>192965</v>
      </c>
      <c r="S2768" t="s">
        <v>1210</v>
      </c>
      <c r="T2768">
        <v>304</v>
      </c>
      <c r="U2768" t="s">
        <v>108</v>
      </c>
      <c r="V2768">
        <v>44</v>
      </c>
      <c r="W2768" t="str">
        <f>HYPERLINK("Gene171-zp_tree_all.dnd", "Gene171-tree")</f>
        <v>Gene171-tree</v>
      </c>
      <c r="X2768">
        <v>6</v>
      </c>
      <c r="Y2768">
        <v>9</v>
      </c>
      <c r="Z2768">
        <v>6</v>
      </c>
      <c r="AA2768">
        <v>9</v>
      </c>
      <c r="AB2768">
        <v>0.6</v>
      </c>
      <c r="AC2768" t="s">
        <v>90</v>
      </c>
      <c r="AD2768" t="s">
        <v>135</v>
      </c>
      <c r="AE2768" t="s">
        <v>62</v>
      </c>
      <c r="AF2768" t="s">
        <v>62</v>
      </c>
      <c r="AG2768">
        <v>1</v>
      </c>
      <c r="AH2768">
        <v>2</v>
      </c>
      <c r="AI2768">
        <v>12</v>
      </c>
      <c r="AJ2768">
        <v>0.14285999999999999</v>
      </c>
      <c r="AK2768">
        <v>0</v>
      </c>
      <c r="AL2768">
        <v>0</v>
      </c>
      <c r="AM2768">
        <v>0</v>
      </c>
      <c r="AN2768">
        <v>2</v>
      </c>
      <c r="AO2768">
        <v>0</v>
      </c>
      <c r="AP2768">
        <v>0</v>
      </c>
      <c r="AQ2768">
        <v>0</v>
      </c>
      <c r="AR2768">
        <v>0</v>
      </c>
      <c r="AS2768">
        <v>10</v>
      </c>
      <c r="AT2768">
        <v>0</v>
      </c>
      <c r="AU2768">
        <v>13</v>
      </c>
      <c r="AV2768">
        <v>10</v>
      </c>
      <c r="AW2768">
        <v>18</v>
      </c>
      <c r="AX2768">
        <v>10</v>
      </c>
      <c r="AY2768">
        <v>25</v>
      </c>
      <c r="AZ2768">
        <v>4</v>
      </c>
      <c r="BA2768" t="s">
        <v>1211</v>
      </c>
      <c r="BB2768" t="s">
        <v>1212</v>
      </c>
      <c r="BC2768">
        <v>1.7</v>
      </c>
      <c r="BD2768" t="s">
        <v>65</v>
      </c>
      <c r="BE2768">
        <v>43</v>
      </c>
      <c r="BF2768">
        <v>14</v>
      </c>
      <c r="BG2768" t="s">
        <v>1213</v>
      </c>
      <c r="BH2768" t="s">
        <v>1214</v>
      </c>
      <c r="BI2768" t="s">
        <v>1215</v>
      </c>
      <c r="BJ2768">
        <v>8.6120000000000002E-2</v>
      </c>
      <c r="BK2768">
        <v>1</v>
      </c>
      <c r="BL2768" t="s">
        <v>69</v>
      </c>
      <c r="BM2768">
        <v>-0.41899999999999998</v>
      </c>
      <c r="BN2768">
        <v>-0.85499999999999998</v>
      </c>
    </row>
    <row r="2769" spans="10:66">
      <c r="J2769">
        <v>0</v>
      </c>
      <c r="K2769">
        <v>0</v>
      </c>
      <c r="L2769">
        <v>0</v>
      </c>
      <c r="M2769" t="s">
        <v>25021</v>
      </c>
      <c r="N2769">
        <v>172</v>
      </c>
      <c r="O2769" t="s">
        <v>1216</v>
      </c>
      <c r="P2769" t="s">
        <v>62</v>
      </c>
      <c r="Q2769">
        <v>193078</v>
      </c>
      <c r="R2769">
        <v>193557</v>
      </c>
      <c r="S2769" t="s">
        <v>1217</v>
      </c>
      <c r="T2769">
        <v>160</v>
      </c>
      <c r="U2769" t="s">
        <v>108</v>
      </c>
      <c r="V2769">
        <v>44</v>
      </c>
      <c r="W2769" t="str">
        <f>HYPERLINK("Gene172-zp_tree_all.dnd", "Gene172-tree")</f>
        <v>Gene172-tree</v>
      </c>
      <c r="X2769">
        <v>6</v>
      </c>
      <c r="Y2769">
        <v>7</v>
      </c>
      <c r="Z2769">
        <v>6</v>
      </c>
      <c r="AA2769">
        <v>7</v>
      </c>
      <c r="AB2769">
        <v>0.53846000000000005</v>
      </c>
      <c r="AC2769" t="s">
        <v>90</v>
      </c>
      <c r="AD2769" t="s">
        <v>152</v>
      </c>
      <c r="AE2769" t="s">
        <v>62</v>
      </c>
      <c r="AF2769" t="s">
        <v>62</v>
      </c>
      <c r="AG2769">
        <v>0</v>
      </c>
      <c r="AH2769">
        <v>0</v>
      </c>
      <c r="AI2769">
        <v>8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6</v>
      </c>
      <c r="AT2769">
        <v>0</v>
      </c>
      <c r="AU2769">
        <v>9</v>
      </c>
      <c r="AV2769">
        <v>7</v>
      </c>
      <c r="AW2769">
        <v>11</v>
      </c>
      <c r="AX2769">
        <v>6</v>
      </c>
      <c r="AY2769">
        <v>6</v>
      </c>
      <c r="AZ2769">
        <v>2</v>
      </c>
      <c r="BA2769" t="s">
        <v>1218</v>
      </c>
      <c r="BB2769" t="s">
        <v>1219</v>
      </c>
      <c r="BC2769">
        <v>0.54</v>
      </c>
      <c r="BD2769" t="s">
        <v>65</v>
      </c>
      <c r="BE2769">
        <v>17</v>
      </c>
      <c r="BF2769">
        <v>8</v>
      </c>
      <c r="BG2769" t="s">
        <v>1220</v>
      </c>
      <c r="BH2769" t="s">
        <v>1221</v>
      </c>
      <c r="BI2769" t="s">
        <v>1222</v>
      </c>
      <c r="BJ2769">
        <v>0.12324</v>
      </c>
      <c r="BK2769">
        <v>1</v>
      </c>
      <c r="BL2769" t="s">
        <v>69</v>
      </c>
      <c r="BM2769">
        <v>-1</v>
      </c>
      <c r="BN2769">
        <v>-0.93100000000000005</v>
      </c>
    </row>
    <row r="2770" spans="10:66">
      <c r="J2770">
        <v>0</v>
      </c>
      <c r="K2770">
        <v>3</v>
      </c>
      <c r="L2770">
        <v>0</v>
      </c>
      <c r="M2770" t="s">
        <v>25021</v>
      </c>
      <c r="N2770">
        <v>173</v>
      </c>
      <c r="O2770" t="s">
        <v>1223</v>
      </c>
      <c r="P2770" t="s">
        <v>62</v>
      </c>
      <c r="Q2770">
        <v>193573</v>
      </c>
      <c r="R2770">
        <v>194025</v>
      </c>
      <c r="S2770" t="s">
        <v>116</v>
      </c>
      <c r="T2770">
        <v>151</v>
      </c>
      <c r="U2770" t="s">
        <v>108</v>
      </c>
      <c r="V2770">
        <v>44</v>
      </c>
      <c r="W2770" t="str">
        <f>HYPERLINK("Gene173-zp_tree_all.dnd", "Gene173-tree")</f>
        <v>Gene173-tree</v>
      </c>
      <c r="X2770">
        <v>7</v>
      </c>
      <c r="Y2770">
        <v>7</v>
      </c>
      <c r="Z2770">
        <v>7</v>
      </c>
      <c r="AA2770">
        <v>7</v>
      </c>
      <c r="AB2770">
        <v>0.5</v>
      </c>
      <c r="AC2770" t="s">
        <v>152</v>
      </c>
      <c r="AD2770" t="s">
        <v>152</v>
      </c>
      <c r="AE2770" t="s">
        <v>62</v>
      </c>
      <c r="AF2770" t="s">
        <v>62</v>
      </c>
      <c r="AG2770">
        <v>1</v>
      </c>
      <c r="AH2770">
        <v>3</v>
      </c>
      <c r="AI2770">
        <v>7</v>
      </c>
      <c r="AJ2770">
        <v>0.3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2</v>
      </c>
      <c r="AQ2770">
        <v>0</v>
      </c>
      <c r="AR2770">
        <v>2</v>
      </c>
      <c r="AS2770">
        <v>6</v>
      </c>
      <c r="AT2770">
        <v>0.25</v>
      </c>
      <c r="AU2770">
        <v>8</v>
      </c>
      <c r="AV2770">
        <v>8</v>
      </c>
      <c r="AW2770">
        <v>9</v>
      </c>
      <c r="AX2770">
        <v>8</v>
      </c>
      <c r="AY2770">
        <v>10</v>
      </c>
      <c r="AZ2770">
        <v>2</v>
      </c>
      <c r="BA2770" t="s">
        <v>1224</v>
      </c>
      <c r="BB2770" t="s">
        <v>1225</v>
      </c>
      <c r="BC2770">
        <v>1.2889999999999999</v>
      </c>
      <c r="BD2770" t="s">
        <v>65</v>
      </c>
      <c r="BE2770">
        <v>19</v>
      </c>
      <c r="BF2770">
        <v>10</v>
      </c>
      <c r="BG2770" t="s">
        <v>1226</v>
      </c>
      <c r="BH2770" t="s">
        <v>1227</v>
      </c>
      <c r="BI2770" t="s">
        <v>1228</v>
      </c>
      <c r="BJ2770">
        <v>0.13814000000000001</v>
      </c>
      <c r="BK2770">
        <v>1</v>
      </c>
      <c r="BL2770" t="s">
        <v>69</v>
      </c>
      <c r="BM2770">
        <v>-0.998</v>
      </c>
      <c r="BN2770">
        <v>-1.339</v>
      </c>
    </row>
    <row r="2771" spans="10:66">
      <c r="J2771">
        <v>0</v>
      </c>
      <c r="K2771">
        <v>4</v>
      </c>
      <c r="L2771">
        <v>4</v>
      </c>
      <c r="M2771" t="s">
        <v>25021</v>
      </c>
      <c r="N2771">
        <v>202</v>
      </c>
      <c r="O2771" t="s">
        <v>1376</v>
      </c>
      <c r="P2771" t="s">
        <v>62</v>
      </c>
      <c r="Q2771">
        <v>223222</v>
      </c>
      <c r="R2771">
        <v>223989</v>
      </c>
      <c r="S2771" t="s">
        <v>1377</v>
      </c>
      <c r="T2771">
        <v>256</v>
      </c>
      <c r="U2771" t="s">
        <v>1378</v>
      </c>
      <c r="V2771">
        <v>43</v>
      </c>
      <c r="W2771" t="str">
        <f>HYPERLINK("Gene202-zp_tree_all.dnd", "Gene202-tree")</f>
        <v>Gene202-tree</v>
      </c>
      <c r="X2771">
        <v>4</v>
      </c>
      <c r="Y2771">
        <v>9</v>
      </c>
      <c r="Z2771">
        <v>4</v>
      </c>
      <c r="AA2771">
        <v>9</v>
      </c>
      <c r="AB2771">
        <v>0.69230999999999998</v>
      </c>
      <c r="AC2771" t="s">
        <v>61</v>
      </c>
      <c r="AD2771" t="s">
        <v>135</v>
      </c>
      <c r="AE2771" t="s">
        <v>62</v>
      </c>
      <c r="AF2771" t="s">
        <v>62</v>
      </c>
      <c r="AG2771">
        <v>4</v>
      </c>
      <c r="AH2771">
        <v>8</v>
      </c>
      <c r="AI2771">
        <v>17</v>
      </c>
      <c r="AJ2771">
        <v>0.32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20</v>
      </c>
      <c r="AT2771">
        <v>0</v>
      </c>
      <c r="AU2771">
        <v>12</v>
      </c>
      <c r="AV2771">
        <v>7</v>
      </c>
      <c r="AW2771">
        <v>27</v>
      </c>
      <c r="AX2771">
        <v>20</v>
      </c>
      <c r="AY2771">
        <v>16</v>
      </c>
      <c r="AZ2771">
        <v>6</v>
      </c>
      <c r="BA2771" t="s">
        <v>1379</v>
      </c>
      <c r="BB2771" t="s">
        <v>1380</v>
      </c>
      <c r="BC2771">
        <v>1.3089999999999999</v>
      </c>
      <c r="BD2771" t="s">
        <v>65</v>
      </c>
      <c r="BE2771">
        <v>43</v>
      </c>
      <c r="BF2771">
        <v>26</v>
      </c>
      <c r="BG2771" t="s">
        <v>1381</v>
      </c>
      <c r="BH2771" t="s">
        <v>1382</v>
      </c>
      <c r="BI2771" t="s">
        <v>1383</v>
      </c>
      <c r="BJ2771">
        <v>0.17171</v>
      </c>
      <c r="BK2771">
        <v>1</v>
      </c>
      <c r="BL2771" t="s">
        <v>69</v>
      </c>
      <c r="BM2771">
        <v>-0.38600000000000001</v>
      </c>
      <c r="BN2771">
        <v>-0.35399999999999998</v>
      </c>
    </row>
    <row r="2772" spans="10:66">
      <c r="J2772">
        <v>0</v>
      </c>
      <c r="K2772">
        <v>4</v>
      </c>
      <c r="L2772">
        <v>0</v>
      </c>
      <c r="M2772" t="s">
        <v>25021</v>
      </c>
      <c r="N2772">
        <v>203</v>
      </c>
      <c r="O2772" t="s">
        <v>1384</v>
      </c>
      <c r="P2772" t="s">
        <v>62</v>
      </c>
      <c r="Q2772">
        <v>224078</v>
      </c>
      <c r="R2772">
        <v>224932</v>
      </c>
      <c r="S2772" t="s">
        <v>1385</v>
      </c>
      <c r="T2772">
        <v>285</v>
      </c>
      <c r="U2772" t="s">
        <v>108</v>
      </c>
      <c r="V2772">
        <v>44</v>
      </c>
      <c r="W2772" t="str">
        <f>HYPERLINK("Gene203-zp_tree_all.dnd", "Gene203-tree")</f>
        <v>Gene203-tree</v>
      </c>
      <c r="X2772">
        <v>1</v>
      </c>
      <c r="Y2772">
        <v>11</v>
      </c>
      <c r="Z2772">
        <v>1</v>
      </c>
      <c r="AA2772">
        <v>11</v>
      </c>
      <c r="AB2772">
        <v>0.91666999999999998</v>
      </c>
      <c r="AC2772" t="s">
        <v>175</v>
      </c>
      <c r="AD2772" t="s">
        <v>73</v>
      </c>
      <c r="AE2772">
        <v>1144612630.289</v>
      </c>
      <c r="AF2772" t="s">
        <v>267</v>
      </c>
      <c r="AG2772">
        <v>2</v>
      </c>
      <c r="AH2772">
        <v>4</v>
      </c>
      <c r="AI2772">
        <v>13</v>
      </c>
      <c r="AJ2772">
        <v>0.23529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2</v>
      </c>
      <c r="AQ2772">
        <v>0</v>
      </c>
      <c r="AR2772">
        <v>2</v>
      </c>
      <c r="AS2772">
        <v>14</v>
      </c>
      <c r="AT2772">
        <v>0.125</v>
      </c>
      <c r="AU2772">
        <v>10</v>
      </c>
      <c r="AV2772">
        <v>7</v>
      </c>
      <c r="AW2772">
        <v>24</v>
      </c>
      <c r="AX2772">
        <v>15</v>
      </c>
      <c r="AY2772">
        <v>22</v>
      </c>
      <c r="AZ2772">
        <v>2</v>
      </c>
      <c r="BA2772" t="s">
        <v>1386</v>
      </c>
      <c r="BB2772" t="s">
        <v>1387</v>
      </c>
      <c r="BC2772">
        <v>2.347</v>
      </c>
      <c r="BD2772" t="s">
        <v>267</v>
      </c>
      <c r="BE2772">
        <v>46</v>
      </c>
      <c r="BF2772">
        <v>17</v>
      </c>
      <c r="BG2772" t="s">
        <v>1388</v>
      </c>
      <c r="BH2772" t="s">
        <v>1389</v>
      </c>
      <c r="BI2772" t="s">
        <v>1390</v>
      </c>
      <c r="BJ2772">
        <v>9.153E-2</v>
      </c>
      <c r="BK2772">
        <v>1</v>
      </c>
      <c r="BL2772" t="s">
        <v>69</v>
      </c>
      <c r="BM2772">
        <v>1.1240000000000001</v>
      </c>
      <c r="BN2772">
        <v>-0.33900000000000002</v>
      </c>
    </row>
    <row r="2773" spans="10:66">
      <c r="J2773">
        <v>0</v>
      </c>
      <c r="K2773">
        <v>10</v>
      </c>
      <c r="L2773">
        <v>3</v>
      </c>
      <c r="M2773" t="s">
        <v>25021</v>
      </c>
      <c r="N2773">
        <v>208</v>
      </c>
      <c r="O2773" t="s">
        <v>1418</v>
      </c>
      <c r="P2773" t="s">
        <v>62</v>
      </c>
      <c r="Q2773">
        <v>228552</v>
      </c>
      <c r="R2773">
        <v>229352</v>
      </c>
      <c r="S2773" t="s">
        <v>1419</v>
      </c>
      <c r="T2773">
        <v>267</v>
      </c>
      <c r="U2773" t="s">
        <v>108</v>
      </c>
      <c r="V2773">
        <v>44</v>
      </c>
      <c r="W2773" t="str">
        <f>HYPERLINK("Gene208-zp_tree_all.dnd", "Gene208-tree")</f>
        <v>Gene208-tree</v>
      </c>
      <c r="X2773">
        <v>3</v>
      </c>
      <c r="Y2773">
        <v>12</v>
      </c>
      <c r="Z2773">
        <v>3</v>
      </c>
      <c r="AA2773">
        <v>12</v>
      </c>
      <c r="AB2773">
        <v>0.8</v>
      </c>
      <c r="AC2773" t="s">
        <v>324</v>
      </c>
      <c r="AD2773" t="s">
        <v>109</v>
      </c>
      <c r="AE2773" t="s">
        <v>62</v>
      </c>
      <c r="AF2773" t="s">
        <v>62</v>
      </c>
      <c r="AG2773">
        <v>6</v>
      </c>
      <c r="AH2773">
        <v>13</v>
      </c>
      <c r="AI2773">
        <v>17</v>
      </c>
      <c r="AJ2773">
        <v>0.43332999999999999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4</v>
      </c>
      <c r="AQ2773">
        <v>2</v>
      </c>
      <c r="AR2773">
        <v>6</v>
      </c>
      <c r="AS2773">
        <v>17</v>
      </c>
      <c r="AT2773">
        <v>0.26086999999999999</v>
      </c>
      <c r="AU2773">
        <v>14</v>
      </c>
      <c r="AV2773">
        <v>11</v>
      </c>
      <c r="AW2773">
        <v>18</v>
      </c>
      <c r="AX2773">
        <v>23</v>
      </c>
      <c r="AY2773">
        <v>19</v>
      </c>
      <c r="AZ2773">
        <v>7</v>
      </c>
      <c r="BA2773" t="s">
        <v>1420</v>
      </c>
      <c r="BB2773" t="s">
        <v>1421</v>
      </c>
      <c r="BC2773">
        <v>2.1779999999999999</v>
      </c>
      <c r="BD2773" t="s">
        <v>267</v>
      </c>
      <c r="BE2773">
        <v>37</v>
      </c>
      <c r="BF2773">
        <v>30</v>
      </c>
      <c r="BG2773" t="s">
        <v>1422</v>
      </c>
      <c r="BH2773" t="s">
        <v>1423</v>
      </c>
      <c r="BI2773" t="s">
        <v>1424</v>
      </c>
      <c r="BJ2773">
        <v>0.21461</v>
      </c>
      <c r="BK2773">
        <v>1</v>
      </c>
      <c r="BL2773" t="s">
        <v>69</v>
      </c>
      <c r="BM2773">
        <v>-0.317</v>
      </c>
      <c r="BN2773">
        <v>-1.383</v>
      </c>
    </row>
    <row r="2774" spans="10:66">
      <c r="J2774">
        <v>0</v>
      </c>
      <c r="K2774">
        <v>0</v>
      </c>
      <c r="L2774">
        <v>0</v>
      </c>
      <c r="M2774" t="s">
        <v>25021</v>
      </c>
      <c r="N2774">
        <v>210</v>
      </c>
      <c r="O2774" t="s">
        <v>1432</v>
      </c>
      <c r="P2774" t="s">
        <v>62</v>
      </c>
      <c r="Q2774">
        <v>230822</v>
      </c>
      <c r="R2774">
        <v>231079</v>
      </c>
      <c r="S2774" t="s">
        <v>116</v>
      </c>
      <c r="T2774">
        <v>86</v>
      </c>
      <c r="U2774" t="s">
        <v>1433</v>
      </c>
      <c r="V2774">
        <v>38</v>
      </c>
      <c r="W2774" t="str">
        <f>HYPERLINK("Gene210-zp_tree_all.dnd", "Gene210-tree")</f>
        <v>Gene210-tree</v>
      </c>
      <c r="X2774">
        <v>7</v>
      </c>
      <c r="Y2774">
        <v>4</v>
      </c>
      <c r="Z2774">
        <v>7</v>
      </c>
      <c r="AA2774">
        <v>4</v>
      </c>
      <c r="AB2774">
        <v>0.36364000000000002</v>
      </c>
      <c r="AC2774" t="s">
        <v>152</v>
      </c>
      <c r="AD2774" t="s">
        <v>61</v>
      </c>
      <c r="AE2774" t="s">
        <v>62</v>
      </c>
      <c r="AF2774" t="s">
        <v>62</v>
      </c>
      <c r="AG2774">
        <v>0</v>
      </c>
      <c r="AH2774">
        <v>0</v>
      </c>
      <c r="AI2774">
        <v>8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8</v>
      </c>
      <c r="AT2774">
        <v>0</v>
      </c>
      <c r="AU2774">
        <v>7</v>
      </c>
      <c r="AV2774">
        <v>5</v>
      </c>
      <c r="AW2774">
        <v>13</v>
      </c>
      <c r="AX2774">
        <v>8</v>
      </c>
      <c r="AY2774">
        <v>5</v>
      </c>
      <c r="AZ2774">
        <v>0</v>
      </c>
      <c r="BA2774" t="s">
        <v>1434</v>
      </c>
      <c r="BB2774" t="s">
        <v>193</v>
      </c>
      <c r="BC2774">
        <v>1.052</v>
      </c>
      <c r="BD2774" t="s">
        <v>65</v>
      </c>
      <c r="BE2774">
        <v>18</v>
      </c>
      <c r="BF2774">
        <v>8</v>
      </c>
      <c r="BG2774" t="s">
        <v>1435</v>
      </c>
      <c r="BH2774" t="s">
        <v>1436</v>
      </c>
      <c r="BI2774" t="s">
        <v>1437</v>
      </c>
      <c r="BJ2774">
        <v>8.6900000000000005E-2</v>
      </c>
      <c r="BK2774">
        <v>1</v>
      </c>
      <c r="BL2774" t="s">
        <v>69</v>
      </c>
      <c r="BM2774">
        <v>-2.06</v>
      </c>
      <c r="BN2774">
        <v>-3.5449999999999999</v>
      </c>
    </row>
    <row r="2775" spans="10:66">
      <c r="J2775">
        <v>0</v>
      </c>
      <c r="K2775">
        <v>4</v>
      </c>
      <c r="L2775">
        <v>2</v>
      </c>
      <c r="M2775" t="s">
        <v>25021</v>
      </c>
      <c r="N2775">
        <v>212</v>
      </c>
      <c r="O2775" t="s">
        <v>1445</v>
      </c>
      <c r="P2775" t="s">
        <v>62</v>
      </c>
      <c r="Q2775">
        <v>233017</v>
      </c>
      <c r="R2775">
        <v>233895</v>
      </c>
      <c r="S2775" t="s">
        <v>1446</v>
      </c>
      <c r="T2775">
        <v>293</v>
      </c>
      <c r="U2775" t="s">
        <v>1447</v>
      </c>
      <c r="V2775">
        <v>42</v>
      </c>
      <c r="W2775" t="str">
        <f>HYPERLINK("Gene212-zp_tree_all.dnd", "Gene212-tree")</f>
        <v>Gene212-tree</v>
      </c>
      <c r="X2775">
        <v>2</v>
      </c>
      <c r="Y2775">
        <v>9</v>
      </c>
      <c r="Z2775">
        <v>2</v>
      </c>
      <c r="AA2775">
        <v>9</v>
      </c>
      <c r="AB2775">
        <v>0.81818000000000002</v>
      </c>
      <c r="AC2775" t="s">
        <v>81</v>
      </c>
      <c r="AD2775" t="s">
        <v>135</v>
      </c>
      <c r="AE2775" t="s">
        <v>62</v>
      </c>
      <c r="AF2775" t="s">
        <v>62</v>
      </c>
      <c r="AG2775">
        <v>3</v>
      </c>
      <c r="AH2775">
        <v>6</v>
      </c>
      <c r="AI2775">
        <v>14</v>
      </c>
      <c r="AJ2775">
        <v>0.3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4</v>
      </c>
      <c r="AQ2775">
        <v>2</v>
      </c>
      <c r="AR2775">
        <v>6</v>
      </c>
      <c r="AS2775">
        <v>13</v>
      </c>
      <c r="AT2775">
        <v>0.31579000000000002</v>
      </c>
      <c r="AU2775">
        <v>7</v>
      </c>
      <c r="AV2775">
        <v>7</v>
      </c>
      <c r="AW2775">
        <v>15</v>
      </c>
      <c r="AX2775">
        <v>12</v>
      </c>
      <c r="AY2775">
        <v>15</v>
      </c>
      <c r="AZ2775">
        <v>8</v>
      </c>
      <c r="BA2775" t="s">
        <v>1448</v>
      </c>
      <c r="BB2775" t="s">
        <v>1449</v>
      </c>
      <c r="BC2775">
        <v>0.50900000000000001</v>
      </c>
      <c r="BD2775" t="s">
        <v>65</v>
      </c>
      <c r="BE2775">
        <v>30</v>
      </c>
      <c r="BF2775">
        <v>20</v>
      </c>
      <c r="BG2775" t="s">
        <v>1450</v>
      </c>
      <c r="BH2775" t="s">
        <v>1451</v>
      </c>
      <c r="BI2775" t="s">
        <v>1452</v>
      </c>
      <c r="BJ2775">
        <v>0.18056</v>
      </c>
      <c r="BK2775">
        <v>1</v>
      </c>
      <c r="BL2775" t="s">
        <v>69</v>
      </c>
      <c r="BM2775">
        <v>-1.0429999999999999</v>
      </c>
      <c r="BN2775">
        <v>-0.14099999999999999</v>
      </c>
    </row>
    <row r="2776" spans="10:66">
      <c r="J2776">
        <v>0</v>
      </c>
      <c r="K2776">
        <v>0</v>
      </c>
      <c r="L2776">
        <v>0</v>
      </c>
      <c r="M2776" t="s">
        <v>25021</v>
      </c>
      <c r="N2776">
        <v>213</v>
      </c>
      <c r="O2776" t="s">
        <v>1453</v>
      </c>
      <c r="P2776" t="s">
        <v>62</v>
      </c>
      <c r="Q2776">
        <v>233997</v>
      </c>
      <c r="R2776">
        <v>235328</v>
      </c>
      <c r="S2776" t="s">
        <v>1454</v>
      </c>
      <c r="T2776">
        <v>444</v>
      </c>
      <c r="U2776" t="s">
        <v>108</v>
      </c>
      <c r="V2776">
        <v>44</v>
      </c>
      <c r="W2776" t="str">
        <f>HYPERLINK("Gene213-zp_tree_all.dnd", "Gene213-tree")</f>
        <v>Gene213-tree</v>
      </c>
      <c r="X2776">
        <v>29</v>
      </c>
      <c r="Y2776">
        <v>3</v>
      </c>
      <c r="Z2776">
        <v>12</v>
      </c>
      <c r="AA2776">
        <v>3</v>
      </c>
      <c r="AB2776">
        <v>0.2</v>
      </c>
      <c r="AC2776" t="s">
        <v>1455</v>
      </c>
      <c r="AD2776" t="s">
        <v>324</v>
      </c>
      <c r="AE2776" t="s">
        <v>62</v>
      </c>
      <c r="AF2776" t="s">
        <v>62</v>
      </c>
      <c r="AG2776">
        <v>0</v>
      </c>
      <c r="AH2776">
        <v>0</v>
      </c>
      <c r="AI2776">
        <v>4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4</v>
      </c>
      <c r="AT2776">
        <v>0</v>
      </c>
      <c r="AU2776">
        <v>13</v>
      </c>
      <c r="AV2776">
        <v>10</v>
      </c>
      <c r="AW2776">
        <v>45</v>
      </c>
      <c r="AX2776">
        <v>4</v>
      </c>
      <c r="AY2776">
        <v>25</v>
      </c>
      <c r="AZ2776">
        <v>0</v>
      </c>
      <c r="BA2776" t="s">
        <v>1456</v>
      </c>
      <c r="BB2776" t="s">
        <v>193</v>
      </c>
      <c r="BC2776">
        <v>0.63200000000000001</v>
      </c>
      <c r="BD2776" t="s">
        <v>65</v>
      </c>
      <c r="BE2776">
        <v>70</v>
      </c>
      <c r="BF2776">
        <v>4</v>
      </c>
      <c r="BG2776" t="s">
        <v>1457</v>
      </c>
      <c r="BH2776" t="s">
        <v>1458</v>
      </c>
      <c r="BI2776" t="s">
        <v>1459</v>
      </c>
      <c r="BJ2776">
        <v>1.208E-2</v>
      </c>
      <c r="BK2776">
        <v>1</v>
      </c>
      <c r="BL2776" t="s">
        <v>69</v>
      </c>
      <c r="BM2776">
        <v>-0.42399999999999999</v>
      </c>
      <c r="BN2776">
        <v>-2.2749999999999999</v>
      </c>
    </row>
    <row r="2777" spans="10:66">
      <c r="J2777">
        <v>0</v>
      </c>
      <c r="K2777">
        <v>2</v>
      </c>
      <c r="L2777">
        <v>0</v>
      </c>
      <c r="M2777" t="s">
        <v>25021</v>
      </c>
      <c r="N2777">
        <v>219</v>
      </c>
      <c r="O2777" t="s">
        <v>1479</v>
      </c>
      <c r="P2777" t="s">
        <v>62</v>
      </c>
      <c r="Q2777">
        <v>238647</v>
      </c>
      <c r="R2777">
        <v>239555</v>
      </c>
      <c r="S2777" t="s">
        <v>116</v>
      </c>
      <c r="T2777">
        <v>303</v>
      </c>
      <c r="U2777" t="s">
        <v>1480</v>
      </c>
      <c r="V2777">
        <v>32</v>
      </c>
      <c r="W2777" t="str">
        <f>HYPERLINK("Gene219-zp_tree_all.dnd", "Gene219-tree")</f>
        <v>Gene219-tree</v>
      </c>
      <c r="X2777">
        <v>0</v>
      </c>
      <c r="Y2777">
        <v>4</v>
      </c>
      <c r="Z2777">
        <v>0</v>
      </c>
      <c r="AA2777">
        <v>4</v>
      </c>
      <c r="AB2777">
        <v>1</v>
      </c>
      <c r="AC2777" t="s">
        <v>62</v>
      </c>
      <c r="AD2777" t="s">
        <v>61</v>
      </c>
      <c r="AE2777" t="s">
        <v>62</v>
      </c>
      <c r="AF2777" t="s">
        <v>62</v>
      </c>
      <c r="AG2777">
        <v>1</v>
      </c>
      <c r="AH2777">
        <v>2</v>
      </c>
      <c r="AI2777">
        <v>25</v>
      </c>
      <c r="AJ2777">
        <v>7.4069999999999997E-2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2</v>
      </c>
      <c r="AQ2777">
        <v>0</v>
      </c>
      <c r="AR2777">
        <v>2</v>
      </c>
      <c r="AS2777">
        <v>16</v>
      </c>
      <c r="AT2777">
        <v>0.11111</v>
      </c>
      <c r="AU2777">
        <v>4</v>
      </c>
      <c r="AV2777">
        <v>1</v>
      </c>
      <c r="AW2777">
        <v>18</v>
      </c>
      <c r="AX2777">
        <v>18</v>
      </c>
      <c r="AY2777">
        <v>9</v>
      </c>
      <c r="AZ2777">
        <v>9</v>
      </c>
      <c r="BA2777" t="s">
        <v>1481</v>
      </c>
      <c r="BB2777" t="s">
        <v>1482</v>
      </c>
      <c r="BC2777">
        <v>0.01</v>
      </c>
      <c r="BD2777" t="s">
        <v>65</v>
      </c>
      <c r="BE2777">
        <v>27</v>
      </c>
      <c r="BF2777">
        <v>27</v>
      </c>
      <c r="BG2777" t="s">
        <v>1483</v>
      </c>
      <c r="BH2777" t="s">
        <v>1484</v>
      </c>
      <c r="BI2777" t="s">
        <v>1485</v>
      </c>
      <c r="BJ2777">
        <v>0.26218999999999998</v>
      </c>
      <c r="BK2777">
        <v>1</v>
      </c>
      <c r="BL2777" t="s">
        <v>69</v>
      </c>
      <c r="BM2777">
        <v>-2.2069999999999999</v>
      </c>
      <c r="BN2777">
        <v>-1.5449999999999999</v>
      </c>
    </row>
    <row r="2778" spans="10:66">
      <c r="J2778">
        <v>0</v>
      </c>
      <c r="K2778">
        <v>4</v>
      </c>
      <c r="L2778">
        <v>0</v>
      </c>
      <c r="M2778" t="s">
        <v>25021</v>
      </c>
      <c r="N2778">
        <v>220</v>
      </c>
      <c r="O2778" t="s">
        <v>1486</v>
      </c>
      <c r="P2778" t="s">
        <v>62</v>
      </c>
      <c r="Q2778">
        <v>239647</v>
      </c>
      <c r="R2778">
        <v>241842</v>
      </c>
      <c r="S2778" t="s">
        <v>1487</v>
      </c>
      <c r="T2778">
        <v>732</v>
      </c>
      <c r="U2778" t="s">
        <v>1488</v>
      </c>
      <c r="V2778">
        <v>30</v>
      </c>
      <c r="W2778" t="str">
        <f>HYPERLINK("Gene220-zp_tree_all.dnd", "Gene220-tree")</f>
        <v>Gene220-tree</v>
      </c>
      <c r="X2778">
        <v>3</v>
      </c>
      <c r="Y2778">
        <v>3</v>
      </c>
      <c r="Z2778">
        <v>3</v>
      </c>
      <c r="AA2778">
        <v>3</v>
      </c>
      <c r="AB2778">
        <v>0.5</v>
      </c>
      <c r="AC2778" t="s">
        <v>324</v>
      </c>
      <c r="AD2778" t="s">
        <v>324</v>
      </c>
      <c r="AE2778" t="s">
        <v>62</v>
      </c>
      <c r="AF2778" t="s">
        <v>62</v>
      </c>
      <c r="AG2778">
        <v>2</v>
      </c>
      <c r="AH2778">
        <v>4</v>
      </c>
      <c r="AI2778">
        <v>5</v>
      </c>
      <c r="AJ2778">
        <v>0.44444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4</v>
      </c>
      <c r="AT2778">
        <v>0</v>
      </c>
      <c r="AU2778">
        <v>6</v>
      </c>
      <c r="AV2778">
        <v>3</v>
      </c>
      <c r="AW2778">
        <v>19</v>
      </c>
      <c r="AX2778">
        <v>4</v>
      </c>
      <c r="AY2778">
        <v>10</v>
      </c>
      <c r="AZ2778">
        <v>5</v>
      </c>
      <c r="BA2778" t="s">
        <v>1489</v>
      </c>
      <c r="BB2778" t="s">
        <v>1490</v>
      </c>
      <c r="BC2778">
        <v>1.7110000000000001</v>
      </c>
      <c r="BD2778" t="s">
        <v>65</v>
      </c>
      <c r="BE2778">
        <v>29</v>
      </c>
      <c r="BF2778">
        <v>9</v>
      </c>
      <c r="BG2778" t="s">
        <v>1491</v>
      </c>
      <c r="BH2778" t="s">
        <v>1492</v>
      </c>
      <c r="BI2778" t="s">
        <v>1493</v>
      </c>
      <c r="BJ2778">
        <v>8.4889999999999993E-2</v>
      </c>
      <c r="BK2778">
        <v>1</v>
      </c>
      <c r="BL2778" t="s">
        <v>69</v>
      </c>
      <c r="BM2778">
        <v>-2.8000000000000001E-2</v>
      </c>
      <c r="BN2778">
        <v>-7.8E-2</v>
      </c>
    </row>
    <row r="2779" spans="10:66">
      <c r="J2779">
        <v>0</v>
      </c>
      <c r="K2779">
        <v>13</v>
      </c>
      <c r="L2779">
        <v>6</v>
      </c>
      <c r="M2779" t="s">
        <v>25021</v>
      </c>
      <c r="N2779">
        <v>221</v>
      </c>
      <c r="O2779" t="s">
        <v>1494</v>
      </c>
      <c r="P2779" t="s">
        <v>62</v>
      </c>
      <c r="Q2779">
        <v>241920</v>
      </c>
      <c r="R2779">
        <v>242837</v>
      </c>
      <c r="S2779" t="s">
        <v>1123</v>
      </c>
      <c r="T2779">
        <v>306</v>
      </c>
      <c r="U2779" t="s">
        <v>108</v>
      </c>
      <c r="V2779">
        <v>44</v>
      </c>
      <c r="W2779" t="str">
        <f>HYPERLINK("Gene221-zp_tree_all.dnd", "Gene221-tree")</f>
        <v>Gene221-tree</v>
      </c>
      <c r="X2779">
        <v>24</v>
      </c>
      <c r="Y2779">
        <v>9</v>
      </c>
      <c r="Z2779">
        <v>4</v>
      </c>
      <c r="AA2779">
        <v>9</v>
      </c>
      <c r="AB2779">
        <v>0.69230999999999998</v>
      </c>
      <c r="AC2779" t="s">
        <v>1495</v>
      </c>
      <c r="AD2779" t="s">
        <v>135</v>
      </c>
      <c r="AE2779" t="s">
        <v>62</v>
      </c>
      <c r="AF2779" t="s">
        <v>62</v>
      </c>
      <c r="AG2779">
        <v>8</v>
      </c>
      <c r="AH2779">
        <v>19</v>
      </c>
      <c r="AI2779">
        <v>9</v>
      </c>
      <c r="AJ2779">
        <v>0.67857000000000001</v>
      </c>
      <c r="AK2779">
        <v>0</v>
      </c>
      <c r="AL2779">
        <v>0</v>
      </c>
      <c r="AM2779">
        <v>0</v>
      </c>
      <c r="AN2779">
        <v>2</v>
      </c>
      <c r="AO2779">
        <v>0</v>
      </c>
      <c r="AP2779">
        <v>2</v>
      </c>
      <c r="AQ2779">
        <v>4</v>
      </c>
      <c r="AR2779">
        <v>6</v>
      </c>
      <c r="AS2779">
        <v>10</v>
      </c>
      <c r="AT2779">
        <v>0.375</v>
      </c>
      <c r="AU2779">
        <v>11</v>
      </c>
      <c r="AV2779">
        <v>10</v>
      </c>
      <c r="AW2779">
        <v>36</v>
      </c>
      <c r="AX2779">
        <v>15</v>
      </c>
      <c r="AY2779">
        <v>45</v>
      </c>
      <c r="AZ2779">
        <v>13</v>
      </c>
      <c r="BA2779" t="s">
        <v>1496</v>
      </c>
      <c r="BB2779" t="s">
        <v>1497</v>
      </c>
      <c r="BC2779">
        <v>0.502</v>
      </c>
      <c r="BD2779" t="s">
        <v>65</v>
      </c>
      <c r="BE2779">
        <v>81</v>
      </c>
      <c r="BF2779">
        <v>28</v>
      </c>
      <c r="BG2779" t="s">
        <v>1498</v>
      </c>
      <c r="BH2779" t="s">
        <v>1499</v>
      </c>
      <c r="BI2779" t="s">
        <v>1500</v>
      </c>
      <c r="BJ2779">
        <v>0.10288</v>
      </c>
      <c r="BK2779">
        <v>1</v>
      </c>
      <c r="BL2779" t="s">
        <v>69</v>
      </c>
      <c r="BM2779">
        <v>0.23499999999999999</v>
      </c>
      <c r="BN2779">
        <v>-0.56599999999999995</v>
      </c>
    </row>
    <row r="2780" spans="10:66">
      <c r="J2780">
        <v>0</v>
      </c>
      <c r="K2780">
        <v>2</v>
      </c>
      <c r="L2780">
        <v>2</v>
      </c>
      <c r="M2780" t="s">
        <v>25021</v>
      </c>
      <c r="N2780">
        <v>222</v>
      </c>
      <c r="O2780" t="s">
        <v>1501</v>
      </c>
      <c r="P2780" t="s">
        <v>62</v>
      </c>
      <c r="Q2780">
        <v>242837</v>
      </c>
      <c r="R2780">
        <v>243661</v>
      </c>
      <c r="S2780" t="s">
        <v>1502</v>
      </c>
      <c r="T2780">
        <v>275</v>
      </c>
      <c r="U2780" t="s">
        <v>265</v>
      </c>
      <c r="V2780">
        <v>43</v>
      </c>
      <c r="W2780" t="str">
        <f>HYPERLINK("Gene222-zp_tree_all.dnd", "Gene222-tree")</f>
        <v>Gene222-tree</v>
      </c>
      <c r="X2780">
        <v>7</v>
      </c>
      <c r="Y2780">
        <v>6</v>
      </c>
      <c r="Z2780">
        <v>7</v>
      </c>
      <c r="AA2780">
        <v>6</v>
      </c>
      <c r="AB2780">
        <v>0.46154000000000001</v>
      </c>
      <c r="AC2780" t="s">
        <v>152</v>
      </c>
      <c r="AD2780" t="s">
        <v>90</v>
      </c>
      <c r="AE2780" t="s">
        <v>62</v>
      </c>
      <c r="AF2780" t="s">
        <v>62</v>
      </c>
      <c r="AG2780">
        <v>2</v>
      </c>
      <c r="AH2780">
        <v>4</v>
      </c>
      <c r="AI2780">
        <v>8</v>
      </c>
      <c r="AJ2780">
        <v>0.33333000000000002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2</v>
      </c>
      <c r="AR2780">
        <v>2</v>
      </c>
      <c r="AS2780">
        <v>8</v>
      </c>
      <c r="AT2780">
        <v>0.2</v>
      </c>
      <c r="AU2780">
        <v>13</v>
      </c>
      <c r="AV2780">
        <v>10</v>
      </c>
      <c r="AW2780">
        <v>54</v>
      </c>
      <c r="AX2780">
        <v>11</v>
      </c>
      <c r="AY2780">
        <v>11</v>
      </c>
      <c r="AZ2780">
        <v>2</v>
      </c>
      <c r="BA2780" t="s">
        <v>1503</v>
      </c>
      <c r="BB2780" t="s">
        <v>1504</v>
      </c>
      <c r="BC2780">
        <v>6.7000000000000004E-2</v>
      </c>
      <c r="BD2780" t="s">
        <v>65</v>
      </c>
      <c r="BE2780">
        <v>65</v>
      </c>
      <c r="BF2780">
        <v>13</v>
      </c>
      <c r="BG2780" t="s">
        <v>1505</v>
      </c>
      <c r="BH2780" t="s">
        <v>1506</v>
      </c>
      <c r="BI2780" t="s">
        <v>1507</v>
      </c>
      <c r="BJ2780">
        <v>5.3429999999999998E-2</v>
      </c>
      <c r="BK2780">
        <v>1</v>
      </c>
      <c r="BL2780" t="s">
        <v>69</v>
      </c>
      <c r="BM2780">
        <v>-1.345</v>
      </c>
      <c r="BN2780">
        <v>-1.2370000000000001</v>
      </c>
    </row>
    <row r="2781" spans="10:66">
      <c r="J2781">
        <v>0</v>
      </c>
      <c r="K2781">
        <v>2</v>
      </c>
      <c r="L2781">
        <v>0</v>
      </c>
      <c r="M2781" t="s">
        <v>25021</v>
      </c>
      <c r="N2781">
        <v>234</v>
      </c>
      <c r="O2781" t="s">
        <v>1585</v>
      </c>
      <c r="P2781" t="s">
        <v>62</v>
      </c>
      <c r="Q2781">
        <v>253521</v>
      </c>
      <c r="R2781">
        <v>254762</v>
      </c>
      <c r="S2781" t="s">
        <v>1586</v>
      </c>
      <c r="T2781">
        <v>414</v>
      </c>
      <c r="U2781" t="s">
        <v>108</v>
      </c>
      <c r="V2781">
        <v>44</v>
      </c>
      <c r="W2781" t="str">
        <f>HYPERLINK("Gene234-zp_tree_all.dnd", "Gene234-tree")</f>
        <v>Gene234-tree</v>
      </c>
      <c r="X2781">
        <v>9</v>
      </c>
      <c r="Y2781">
        <v>5</v>
      </c>
      <c r="Z2781">
        <v>9</v>
      </c>
      <c r="AA2781">
        <v>5</v>
      </c>
      <c r="AB2781">
        <v>0.35714000000000001</v>
      </c>
      <c r="AC2781" t="s">
        <v>135</v>
      </c>
      <c r="AD2781" t="s">
        <v>199</v>
      </c>
      <c r="AE2781" t="s">
        <v>62</v>
      </c>
      <c r="AF2781" t="s">
        <v>62</v>
      </c>
      <c r="AG2781">
        <v>1</v>
      </c>
      <c r="AH2781">
        <v>2</v>
      </c>
      <c r="AI2781">
        <v>4</v>
      </c>
      <c r="AJ2781">
        <v>0.33333000000000002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2</v>
      </c>
      <c r="AQ2781">
        <v>0</v>
      </c>
      <c r="AR2781">
        <v>2</v>
      </c>
      <c r="AS2781">
        <v>4</v>
      </c>
      <c r="AT2781">
        <v>0.33333000000000002</v>
      </c>
      <c r="AU2781">
        <v>13</v>
      </c>
      <c r="AV2781">
        <v>10</v>
      </c>
      <c r="AW2781">
        <v>39</v>
      </c>
      <c r="AX2781">
        <v>6</v>
      </c>
      <c r="AY2781">
        <v>21</v>
      </c>
      <c r="AZ2781">
        <v>0</v>
      </c>
      <c r="BA2781" t="s">
        <v>1587</v>
      </c>
      <c r="BB2781" t="s">
        <v>193</v>
      </c>
      <c r="BC2781">
        <v>1.613</v>
      </c>
      <c r="BD2781" t="s">
        <v>65</v>
      </c>
      <c r="BE2781">
        <v>60</v>
      </c>
      <c r="BF2781">
        <v>6</v>
      </c>
      <c r="BG2781" t="s">
        <v>1588</v>
      </c>
      <c r="BH2781" t="s">
        <v>1589</v>
      </c>
      <c r="BI2781" t="s">
        <v>1590</v>
      </c>
      <c r="BJ2781">
        <v>2.5239999999999999E-2</v>
      </c>
      <c r="BK2781">
        <v>1</v>
      </c>
      <c r="BL2781" t="s">
        <v>69</v>
      </c>
      <c r="BM2781">
        <v>-0.45800000000000002</v>
      </c>
      <c r="BN2781">
        <v>-0.79200000000000004</v>
      </c>
    </row>
    <row r="2782" spans="10:66">
      <c r="J2782">
        <v>0</v>
      </c>
      <c r="K2782">
        <v>23</v>
      </c>
      <c r="L2782">
        <v>7</v>
      </c>
      <c r="M2782" t="s">
        <v>25021</v>
      </c>
      <c r="N2782">
        <v>235</v>
      </c>
      <c r="O2782" t="s">
        <v>1591</v>
      </c>
      <c r="P2782" t="s">
        <v>62</v>
      </c>
      <c r="Q2782">
        <v>254910</v>
      </c>
      <c r="R2782">
        <v>256802</v>
      </c>
      <c r="S2782" t="s">
        <v>1592</v>
      </c>
      <c r="T2782">
        <v>631</v>
      </c>
      <c r="U2782" t="s">
        <v>629</v>
      </c>
      <c r="V2782">
        <v>43</v>
      </c>
      <c r="W2782" t="str">
        <f>HYPERLINK("Gene235-zp_tree_all.dnd", "Gene235-tree")</f>
        <v>Gene235-tree</v>
      </c>
      <c r="X2782">
        <v>4</v>
      </c>
      <c r="Y2782">
        <v>12</v>
      </c>
      <c r="Z2782">
        <v>4</v>
      </c>
      <c r="AA2782">
        <v>12</v>
      </c>
      <c r="AB2782">
        <v>0.75</v>
      </c>
      <c r="AC2782" t="s">
        <v>61</v>
      </c>
      <c r="AD2782" t="s">
        <v>109</v>
      </c>
      <c r="AE2782" t="s">
        <v>62</v>
      </c>
      <c r="AF2782" t="s">
        <v>62</v>
      </c>
      <c r="AG2782">
        <v>11</v>
      </c>
      <c r="AH2782">
        <v>30</v>
      </c>
      <c r="AI2782">
        <v>17</v>
      </c>
      <c r="AJ2782">
        <v>0.63829999999999998</v>
      </c>
      <c r="AK2782">
        <v>0</v>
      </c>
      <c r="AL2782">
        <v>0</v>
      </c>
      <c r="AM2782">
        <v>0</v>
      </c>
      <c r="AN2782">
        <v>2</v>
      </c>
      <c r="AO2782">
        <v>0</v>
      </c>
      <c r="AP2782">
        <v>7</v>
      </c>
      <c r="AQ2782">
        <v>7</v>
      </c>
      <c r="AR2782">
        <v>14</v>
      </c>
      <c r="AS2782">
        <v>18</v>
      </c>
      <c r="AT2782">
        <v>0.4375</v>
      </c>
      <c r="AU2782">
        <v>15</v>
      </c>
      <c r="AV2782">
        <v>12</v>
      </c>
      <c r="AW2782">
        <v>88</v>
      </c>
      <c r="AX2782">
        <v>33</v>
      </c>
      <c r="AY2782">
        <v>47</v>
      </c>
      <c r="AZ2782">
        <v>16</v>
      </c>
      <c r="BA2782" t="s">
        <v>1593</v>
      </c>
      <c r="BB2782" t="s">
        <v>1594</v>
      </c>
      <c r="BC2782">
        <v>0.20699999999999999</v>
      </c>
      <c r="BD2782" t="s">
        <v>65</v>
      </c>
      <c r="BE2782">
        <v>135</v>
      </c>
      <c r="BF2782">
        <v>49</v>
      </c>
      <c r="BG2782" t="s">
        <v>1595</v>
      </c>
      <c r="BH2782" t="s">
        <v>1596</v>
      </c>
      <c r="BI2782" t="s">
        <v>1597</v>
      </c>
      <c r="BJ2782">
        <v>0.10997</v>
      </c>
      <c r="BK2782">
        <v>1</v>
      </c>
      <c r="BL2782" t="s">
        <v>69</v>
      </c>
      <c r="BM2782">
        <v>-0.71799999999999997</v>
      </c>
      <c r="BN2782">
        <v>-0.92100000000000004</v>
      </c>
    </row>
    <row r="2783" spans="10:66">
      <c r="J2783">
        <v>0</v>
      </c>
      <c r="K2783">
        <v>17</v>
      </c>
      <c r="L2783">
        <v>8</v>
      </c>
      <c r="M2783" t="s">
        <v>25021</v>
      </c>
      <c r="N2783">
        <v>236</v>
      </c>
      <c r="O2783" t="s">
        <v>1598</v>
      </c>
      <c r="P2783" t="s">
        <v>62</v>
      </c>
      <c r="Q2783">
        <v>256826</v>
      </c>
      <c r="R2783">
        <v>257572</v>
      </c>
      <c r="S2783" t="s">
        <v>1599</v>
      </c>
      <c r="T2783">
        <v>249</v>
      </c>
      <c r="U2783" t="s">
        <v>108</v>
      </c>
      <c r="V2783">
        <v>44</v>
      </c>
      <c r="W2783" t="str">
        <f>HYPERLINK("Gene236-zp_tree_all.dnd", "Gene236-tree")</f>
        <v>Gene236-tree</v>
      </c>
      <c r="X2783">
        <v>2</v>
      </c>
      <c r="Y2783">
        <v>29</v>
      </c>
      <c r="Z2783">
        <v>2</v>
      </c>
      <c r="AA2783">
        <v>12</v>
      </c>
      <c r="AB2783">
        <v>0.85714000000000001</v>
      </c>
      <c r="AC2783" t="s">
        <v>81</v>
      </c>
      <c r="AD2783" t="s">
        <v>1455</v>
      </c>
      <c r="AE2783">
        <v>0.96199999999999997</v>
      </c>
      <c r="AF2783" t="s">
        <v>65</v>
      </c>
      <c r="AG2783">
        <v>9</v>
      </c>
      <c r="AH2783">
        <v>25</v>
      </c>
      <c r="AI2783">
        <v>16</v>
      </c>
      <c r="AJ2783">
        <v>0.60975999999999997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8</v>
      </c>
      <c r="AQ2783">
        <v>7</v>
      </c>
      <c r="AR2783">
        <v>15</v>
      </c>
      <c r="AS2783">
        <v>18</v>
      </c>
      <c r="AT2783">
        <v>0.45455000000000001</v>
      </c>
      <c r="AU2783">
        <v>13</v>
      </c>
      <c r="AV2783">
        <v>10</v>
      </c>
      <c r="AW2783">
        <v>29</v>
      </c>
      <c r="AX2783">
        <v>33</v>
      </c>
      <c r="AY2783">
        <v>19</v>
      </c>
      <c r="AZ2783">
        <v>9</v>
      </c>
      <c r="BA2783" t="s">
        <v>1600</v>
      </c>
      <c r="BB2783" t="s">
        <v>1601</v>
      </c>
      <c r="BC2783">
        <v>1.35</v>
      </c>
      <c r="BD2783" t="s">
        <v>65</v>
      </c>
      <c r="BE2783">
        <v>48</v>
      </c>
      <c r="BF2783">
        <v>42</v>
      </c>
      <c r="BG2783" t="s">
        <v>1602</v>
      </c>
      <c r="BH2783" t="s">
        <v>1603</v>
      </c>
      <c r="BI2783" t="s">
        <v>1604</v>
      </c>
      <c r="BJ2783">
        <v>0.20258999999999999</v>
      </c>
      <c r="BK2783">
        <v>1</v>
      </c>
      <c r="BL2783" t="s">
        <v>69</v>
      </c>
      <c r="BM2783">
        <v>-0.755</v>
      </c>
      <c r="BN2783">
        <v>-2.0859999999999999</v>
      </c>
    </row>
    <row r="2784" spans="10:66">
      <c r="J2784">
        <v>2</v>
      </c>
      <c r="K2784">
        <v>13</v>
      </c>
      <c r="L2784">
        <v>5</v>
      </c>
      <c r="M2784" t="s">
        <v>25021</v>
      </c>
      <c r="N2784">
        <v>240</v>
      </c>
      <c r="O2784" t="s">
        <v>1629</v>
      </c>
      <c r="P2784" t="s">
        <v>62</v>
      </c>
      <c r="Q2784">
        <v>260126</v>
      </c>
      <c r="R2784">
        <v>261535</v>
      </c>
      <c r="S2784" t="s">
        <v>1630</v>
      </c>
      <c r="T2784">
        <v>470</v>
      </c>
      <c r="U2784" t="s">
        <v>108</v>
      </c>
      <c r="V2784">
        <v>44</v>
      </c>
      <c r="W2784" t="str">
        <f>HYPERLINK("Gene240-zp_tree_all.dnd", "Gene240-tree")</f>
        <v>Gene240-tree</v>
      </c>
      <c r="X2784">
        <v>1</v>
      </c>
      <c r="Y2784">
        <v>12</v>
      </c>
      <c r="Z2784">
        <v>1</v>
      </c>
      <c r="AA2784">
        <v>12</v>
      </c>
      <c r="AB2784">
        <v>0.92308000000000001</v>
      </c>
      <c r="AC2784" t="s">
        <v>175</v>
      </c>
      <c r="AD2784" t="s">
        <v>109</v>
      </c>
      <c r="AE2784" t="s">
        <v>62</v>
      </c>
      <c r="AF2784" t="s">
        <v>62</v>
      </c>
      <c r="AG2784">
        <v>7</v>
      </c>
      <c r="AH2784">
        <v>20</v>
      </c>
      <c r="AI2784">
        <v>11</v>
      </c>
      <c r="AJ2784">
        <v>0.64515999999999996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10</v>
      </c>
      <c r="AQ2784">
        <v>5</v>
      </c>
      <c r="AR2784">
        <v>15</v>
      </c>
      <c r="AS2784">
        <v>10</v>
      </c>
      <c r="AT2784">
        <v>0.6</v>
      </c>
      <c r="AU2784">
        <v>13</v>
      </c>
      <c r="AV2784">
        <v>9</v>
      </c>
      <c r="AW2784">
        <v>71</v>
      </c>
      <c r="AX2784">
        <v>26</v>
      </c>
      <c r="AY2784">
        <v>20</v>
      </c>
      <c r="AZ2784">
        <v>6</v>
      </c>
      <c r="BA2784" t="s">
        <v>1631</v>
      </c>
      <c r="BB2784" t="s">
        <v>1632</v>
      </c>
      <c r="BC2784">
        <v>0.36499999999999999</v>
      </c>
      <c r="BD2784" t="s">
        <v>65</v>
      </c>
      <c r="BE2784">
        <v>91</v>
      </c>
      <c r="BF2784">
        <v>32</v>
      </c>
      <c r="BG2784" t="s">
        <v>1633</v>
      </c>
      <c r="BH2784" t="s">
        <v>1634</v>
      </c>
      <c r="BI2784" t="s">
        <v>1635</v>
      </c>
      <c r="BJ2784">
        <v>0.11642</v>
      </c>
      <c r="BK2784">
        <v>1</v>
      </c>
      <c r="BL2784" t="s">
        <v>69</v>
      </c>
      <c r="BM2784">
        <v>-0.78400000000000003</v>
      </c>
      <c r="BN2784">
        <v>-1.1359999999999999</v>
      </c>
    </row>
    <row r="2785" spans="10:66">
      <c r="J2785">
        <v>0</v>
      </c>
      <c r="K2785">
        <v>9</v>
      </c>
      <c r="L2785">
        <v>0</v>
      </c>
      <c r="M2785" t="s">
        <v>25021</v>
      </c>
      <c r="N2785">
        <v>241</v>
      </c>
      <c r="O2785" t="s">
        <v>1636</v>
      </c>
      <c r="P2785" t="s">
        <v>62</v>
      </c>
      <c r="Q2785">
        <v>261659</v>
      </c>
      <c r="R2785">
        <v>262603</v>
      </c>
      <c r="S2785" t="s">
        <v>1637</v>
      </c>
      <c r="T2785">
        <v>315</v>
      </c>
      <c r="U2785" t="s">
        <v>108</v>
      </c>
      <c r="V2785">
        <v>44</v>
      </c>
      <c r="W2785" t="str">
        <f>HYPERLINK("Gene241-zp_tree_all.dnd", "Gene241-tree")</f>
        <v>Gene241-tree</v>
      </c>
      <c r="X2785">
        <v>9</v>
      </c>
      <c r="Y2785">
        <v>6</v>
      </c>
      <c r="Z2785">
        <v>9</v>
      </c>
      <c r="AA2785">
        <v>6</v>
      </c>
      <c r="AB2785">
        <v>0.4</v>
      </c>
      <c r="AC2785" t="s">
        <v>135</v>
      </c>
      <c r="AD2785" t="s">
        <v>90</v>
      </c>
      <c r="AE2785" t="s">
        <v>62</v>
      </c>
      <c r="AF2785" t="s">
        <v>62</v>
      </c>
      <c r="AG2785">
        <v>4</v>
      </c>
      <c r="AH2785">
        <v>9</v>
      </c>
      <c r="AI2785">
        <v>9</v>
      </c>
      <c r="AJ2785">
        <v>0.5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7</v>
      </c>
      <c r="AT2785">
        <v>0</v>
      </c>
      <c r="AU2785">
        <v>12</v>
      </c>
      <c r="AV2785">
        <v>12</v>
      </c>
      <c r="AW2785">
        <v>30</v>
      </c>
      <c r="AX2785">
        <v>7</v>
      </c>
      <c r="AY2785">
        <v>29</v>
      </c>
      <c r="AZ2785">
        <v>13</v>
      </c>
      <c r="BA2785" t="s">
        <v>1638</v>
      </c>
      <c r="BB2785" t="s">
        <v>1639</v>
      </c>
      <c r="BC2785">
        <v>0.88</v>
      </c>
      <c r="BD2785" t="s">
        <v>65</v>
      </c>
      <c r="BE2785">
        <v>59</v>
      </c>
      <c r="BF2785">
        <v>20</v>
      </c>
      <c r="BG2785" t="s">
        <v>1640</v>
      </c>
      <c r="BH2785" t="s">
        <v>1641</v>
      </c>
      <c r="BI2785" t="s">
        <v>1642</v>
      </c>
      <c r="BJ2785">
        <v>0.11981</v>
      </c>
      <c r="BK2785">
        <v>1</v>
      </c>
      <c r="BL2785" t="s">
        <v>69</v>
      </c>
      <c r="BM2785">
        <v>-0.38</v>
      </c>
      <c r="BN2785">
        <v>-1.2070000000000001</v>
      </c>
    </row>
    <row r="2786" spans="10:66">
      <c r="J2786">
        <v>0</v>
      </c>
      <c r="K2786">
        <v>10</v>
      </c>
      <c r="L2786">
        <v>1</v>
      </c>
      <c r="M2786" t="s">
        <v>25021</v>
      </c>
      <c r="N2786">
        <v>242</v>
      </c>
      <c r="O2786" t="s">
        <v>1643</v>
      </c>
      <c r="P2786" t="s">
        <v>62</v>
      </c>
      <c r="Q2786">
        <v>262735</v>
      </c>
      <c r="R2786">
        <v>264168</v>
      </c>
      <c r="S2786" t="s">
        <v>1644</v>
      </c>
      <c r="T2786">
        <v>478</v>
      </c>
      <c r="U2786" t="s">
        <v>108</v>
      </c>
      <c r="V2786">
        <v>44</v>
      </c>
      <c r="W2786" t="str">
        <f>HYPERLINK("Gene242-zp_tree_all.dnd", "Gene242-tree")</f>
        <v>Gene242-tree</v>
      </c>
      <c r="X2786">
        <v>6</v>
      </c>
      <c r="Y2786">
        <v>8</v>
      </c>
      <c r="Z2786">
        <v>6</v>
      </c>
      <c r="AA2786">
        <v>8</v>
      </c>
      <c r="AB2786">
        <v>0.57142999999999999</v>
      </c>
      <c r="AC2786" t="s">
        <v>90</v>
      </c>
      <c r="AD2786" t="s">
        <v>136</v>
      </c>
      <c r="AE2786" t="s">
        <v>62</v>
      </c>
      <c r="AF2786" t="s">
        <v>62</v>
      </c>
      <c r="AG2786">
        <v>4</v>
      </c>
      <c r="AH2786">
        <v>11</v>
      </c>
      <c r="AI2786">
        <v>10</v>
      </c>
      <c r="AJ2786">
        <v>0.52381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4</v>
      </c>
      <c r="AQ2786">
        <v>0</v>
      </c>
      <c r="AR2786">
        <v>4</v>
      </c>
      <c r="AS2786">
        <v>8</v>
      </c>
      <c r="AT2786">
        <v>0.33333000000000002</v>
      </c>
      <c r="AU2786">
        <v>14</v>
      </c>
      <c r="AV2786">
        <v>11</v>
      </c>
      <c r="AW2786">
        <v>101</v>
      </c>
      <c r="AX2786">
        <v>13</v>
      </c>
      <c r="AY2786">
        <v>32</v>
      </c>
      <c r="AZ2786">
        <v>9</v>
      </c>
      <c r="BA2786" t="s">
        <v>1645</v>
      </c>
      <c r="BB2786" t="s">
        <v>1646</v>
      </c>
      <c r="BC2786">
        <v>0.67400000000000004</v>
      </c>
      <c r="BD2786" t="s">
        <v>65</v>
      </c>
      <c r="BE2786">
        <v>133</v>
      </c>
      <c r="BF2786">
        <v>22</v>
      </c>
      <c r="BG2786" t="s">
        <v>1647</v>
      </c>
      <c r="BH2786" t="s">
        <v>1648</v>
      </c>
      <c r="BI2786" t="s">
        <v>1649</v>
      </c>
      <c r="BJ2786">
        <v>5.772E-2</v>
      </c>
      <c r="BK2786">
        <v>1</v>
      </c>
      <c r="BL2786" t="s">
        <v>69</v>
      </c>
      <c r="BM2786">
        <v>-1.157</v>
      </c>
      <c r="BN2786">
        <v>-2.923</v>
      </c>
    </row>
    <row r="2787" spans="10:66">
      <c r="J2787">
        <v>0</v>
      </c>
      <c r="K2787">
        <v>0</v>
      </c>
      <c r="L2787">
        <v>0</v>
      </c>
      <c r="M2787" t="s">
        <v>25021</v>
      </c>
      <c r="N2787">
        <v>243</v>
      </c>
      <c r="O2787" t="s">
        <v>1650</v>
      </c>
      <c r="P2787" t="s">
        <v>62</v>
      </c>
      <c r="Q2787">
        <v>264194</v>
      </c>
      <c r="R2787">
        <v>265174</v>
      </c>
      <c r="S2787" t="s">
        <v>1651</v>
      </c>
      <c r="T2787">
        <v>327</v>
      </c>
      <c r="U2787" t="s">
        <v>108</v>
      </c>
      <c r="V2787">
        <v>44</v>
      </c>
      <c r="W2787" t="str">
        <f>HYPERLINK("Gene243-zp_tree_all.dnd", "Gene243-tree")</f>
        <v>Gene243-tree</v>
      </c>
      <c r="X2787">
        <v>9</v>
      </c>
      <c r="Y2787">
        <v>23</v>
      </c>
      <c r="Z2787">
        <v>9</v>
      </c>
      <c r="AA2787">
        <v>5</v>
      </c>
      <c r="AB2787">
        <v>0.35714000000000001</v>
      </c>
      <c r="AC2787" t="s">
        <v>135</v>
      </c>
      <c r="AD2787" t="s">
        <v>1652</v>
      </c>
      <c r="AE2787">
        <v>4.6790000000000003</v>
      </c>
      <c r="AF2787" t="s">
        <v>65</v>
      </c>
      <c r="AG2787">
        <v>0</v>
      </c>
      <c r="AH2787">
        <v>0</v>
      </c>
      <c r="AI2787">
        <v>8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6</v>
      </c>
      <c r="AT2787">
        <v>0</v>
      </c>
      <c r="AU2787">
        <v>14</v>
      </c>
      <c r="AV2787">
        <v>11</v>
      </c>
      <c r="AW2787">
        <v>33</v>
      </c>
      <c r="AX2787">
        <v>6</v>
      </c>
      <c r="AY2787">
        <v>23</v>
      </c>
      <c r="AZ2787">
        <v>2</v>
      </c>
      <c r="BA2787" t="s">
        <v>1653</v>
      </c>
      <c r="BB2787" t="s">
        <v>1654</v>
      </c>
      <c r="BC2787">
        <v>0.53500000000000003</v>
      </c>
      <c r="BD2787" t="s">
        <v>65</v>
      </c>
      <c r="BE2787">
        <v>56</v>
      </c>
      <c r="BF2787">
        <v>8</v>
      </c>
      <c r="BG2787" t="s">
        <v>1655</v>
      </c>
      <c r="BH2787" t="s">
        <v>1656</v>
      </c>
      <c r="BI2787" t="s">
        <v>1657</v>
      </c>
      <c r="BJ2787">
        <v>4.6350000000000002E-2</v>
      </c>
      <c r="BK2787">
        <v>1</v>
      </c>
      <c r="BL2787" t="s">
        <v>69</v>
      </c>
      <c r="BM2787">
        <v>0.253</v>
      </c>
      <c r="BN2787">
        <v>-0.11799999999999999</v>
      </c>
    </row>
    <row r="2788" spans="10:66">
      <c r="J2788">
        <v>0</v>
      </c>
      <c r="K2788">
        <v>0</v>
      </c>
      <c r="L2788">
        <v>0</v>
      </c>
      <c r="M2788" t="s">
        <v>25021</v>
      </c>
      <c r="N2788">
        <v>259</v>
      </c>
      <c r="O2788" t="s">
        <v>1766</v>
      </c>
      <c r="P2788" t="s">
        <v>62</v>
      </c>
      <c r="Q2788">
        <v>281678</v>
      </c>
      <c r="R2788">
        <v>281809</v>
      </c>
      <c r="S2788" t="s">
        <v>1767</v>
      </c>
      <c r="T2788">
        <v>44</v>
      </c>
      <c r="U2788" t="s">
        <v>108</v>
      </c>
      <c r="V2788">
        <v>44</v>
      </c>
      <c r="W2788" t="str">
        <f>HYPERLINK("Gene259-zp_tree_all.dnd", "Gene259-tree")</f>
        <v>Gene259-tree</v>
      </c>
      <c r="X2788">
        <v>30</v>
      </c>
      <c r="Y2788">
        <v>4</v>
      </c>
      <c r="Z2788">
        <v>5</v>
      </c>
      <c r="AA2788">
        <v>4</v>
      </c>
      <c r="AB2788">
        <v>0.44444</v>
      </c>
      <c r="AC2788" t="s">
        <v>1768</v>
      </c>
      <c r="AD2788" t="s">
        <v>61</v>
      </c>
      <c r="AE2788" t="s">
        <v>62</v>
      </c>
      <c r="AF2788" t="s">
        <v>62</v>
      </c>
      <c r="AG2788">
        <v>0</v>
      </c>
      <c r="AH2788">
        <v>0</v>
      </c>
      <c r="AI2788">
        <v>7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5</v>
      </c>
      <c r="AT2788">
        <v>0</v>
      </c>
      <c r="AU2788">
        <v>5</v>
      </c>
      <c r="AV2788">
        <v>4</v>
      </c>
      <c r="AW2788">
        <v>3</v>
      </c>
      <c r="AX2788">
        <v>3</v>
      </c>
      <c r="AY2788">
        <v>0</v>
      </c>
      <c r="AZ2788">
        <v>4</v>
      </c>
      <c r="BA2788" t="s">
        <v>1769</v>
      </c>
      <c r="BB2788" t="s">
        <v>193</v>
      </c>
      <c r="BC2788">
        <v>0.91300000000000003</v>
      </c>
      <c r="BD2788" t="s">
        <v>65</v>
      </c>
      <c r="BE2788">
        <v>3</v>
      </c>
      <c r="BF2788">
        <v>7</v>
      </c>
      <c r="BG2788" t="s">
        <v>1770</v>
      </c>
      <c r="BH2788" t="s">
        <v>1771</v>
      </c>
      <c r="BI2788" t="s">
        <v>1772</v>
      </c>
      <c r="BJ2788">
        <v>1.12679</v>
      </c>
      <c r="BK2788">
        <v>0.375</v>
      </c>
      <c r="BL2788" t="s">
        <v>635</v>
      </c>
      <c r="BM2788">
        <v>-0.78200000000000003</v>
      </c>
      <c r="BN2788">
        <v>-1.577</v>
      </c>
    </row>
    <row r="2789" spans="10:66">
      <c r="J2789">
        <v>0</v>
      </c>
      <c r="K2789">
        <v>8</v>
      </c>
      <c r="L2789">
        <v>0</v>
      </c>
      <c r="M2789" t="s">
        <v>25021</v>
      </c>
      <c r="N2789">
        <v>266</v>
      </c>
      <c r="O2789" t="s">
        <v>1813</v>
      </c>
      <c r="P2789" t="s">
        <v>62</v>
      </c>
      <c r="Q2789">
        <v>286776</v>
      </c>
      <c r="R2789">
        <v>287420</v>
      </c>
      <c r="S2789" t="s">
        <v>1814</v>
      </c>
      <c r="T2789">
        <v>215</v>
      </c>
      <c r="U2789" t="s">
        <v>108</v>
      </c>
      <c r="V2789">
        <v>44</v>
      </c>
      <c r="W2789" t="str">
        <f>HYPERLINK("Gene266-zp_tree_all.dnd", "Gene266-tree")</f>
        <v>Gene266-tree</v>
      </c>
      <c r="X2789">
        <v>8</v>
      </c>
      <c r="Y2789">
        <v>8</v>
      </c>
      <c r="Z2789">
        <v>8</v>
      </c>
      <c r="AA2789">
        <v>8</v>
      </c>
      <c r="AB2789">
        <v>0.5</v>
      </c>
      <c r="AC2789" t="s">
        <v>136</v>
      </c>
      <c r="AD2789" t="s">
        <v>136</v>
      </c>
      <c r="AE2789" t="s">
        <v>62</v>
      </c>
      <c r="AF2789" t="s">
        <v>62</v>
      </c>
      <c r="AG2789">
        <v>3</v>
      </c>
      <c r="AH2789">
        <v>8</v>
      </c>
      <c r="AI2789">
        <v>13</v>
      </c>
      <c r="AJ2789">
        <v>0.38095000000000001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2</v>
      </c>
      <c r="AQ2789">
        <v>0</v>
      </c>
      <c r="AR2789">
        <v>2</v>
      </c>
      <c r="AS2789">
        <v>11</v>
      </c>
      <c r="AT2789">
        <v>0.15384999999999999</v>
      </c>
      <c r="AU2789">
        <v>13</v>
      </c>
      <c r="AV2789">
        <v>13</v>
      </c>
      <c r="AW2789">
        <v>27</v>
      </c>
      <c r="AX2789">
        <v>12</v>
      </c>
      <c r="AY2789">
        <v>22</v>
      </c>
      <c r="AZ2789">
        <v>9</v>
      </c>
      <c r="BA2789" t="s">
        <v>1815</v>
      </c>
      <c r="BB2789" t="s">
        <v>1816</v>
      </c>
      <c r="BC2789">
        <v>0.128</v>
      </c>
      <c r="BD2789" t="s">
        <v>65</v>
      </c>
      <c r="BE2789">
        <v>49</v>
      </c>
      <c r="BF2789">
        <v>21</v>
      </c>
      <c r="BG2789" t="s">
        <v>1817</v>
      </c>
      <c r="BH2789" t="s">
        <v>1818</v>
      </c>
      <c r="BI2789" t="s">
        <v>1819</v>
      </c>
      <c r="BJ2789">
        <v>0.13458999999999999</v>
      </c>
      <c r="BK2789">
        <v>1</v>
      </c>
      <c r="BL2789" t="s">
        <v>69</v>
      </c>
      <c r="BM2789">
        <v>-0.41299999999999998</v>
      </c>
      <c r="BN2789">
        <v>-1.135</v>
      </c>
    </row>
    <row r="2790" spans="10:66">
      <c r="J2790">
        <v>0</v>
      </c>
      <c r="K2790">
        <v>2</v>
      </c>
      <c r="L2790">
        <v>0</v>
      </c>
      <c r="M2790" t="s">
        <v>25021</v>
      </c>
      <c r="N2790">
        <v>268</v>
      </c>
      <c r="O2790" t="s">
        <v>1827</v>
      </c>
      <c r="P2790" t="s">
        <v>62</v>
      </c>
      <c r="Q2790">
        <v>288656</v>
      </c>
      <c r="R2790">
        <v>290092</v>
      </c>
      <c r="S2790" t="s">
        <v>1828</v>
      </c>
      <c r="T2790">
        <v>479</v>
      </c>
      <c r="U2790" t="s">
        <v>108</v>
      </c>
      <c r="V2790">
        <v>44</v>
      </c>
      <c r="W2790" t="str">
        <f>HYPERLINK("Gene268-zp_tree_all.dnd", "Gene268-tree")</f>
        <v>Gene268-tree</v>
      </c>
      <c r="X2790">
        <v>11</v>
      </c>
      <c r="Y2790">
        <v>4</v>
      </c>
      <c r="Z2790">
        <v>11</v>
      </c>
      <c r="AA2790">
        <v>4</v>
      </c>
      <c r="AB2790">
        <v>0.26667000000000002</v>
      </c>
      <c r="AC2790" t="s">
        <v>73</v>
      </c>
      <c r="AD2790" t="s">
        <v>61</v>
      </c>
      <c r="AE2790" t="s">
        <v>62</v>
      </c>
      <c r="AF2790" t="s">
        <v>62</v>
      </c>
      <c r="AG2790">
        <v>1</v>
      </c>
      <c r="AH2790">
        <v>2</v>
      </c>
      <c r="AI2790">
        <v>5</v>
      </c>
      <c r="AJ2790">
        <v>0.28571000000000002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2</v>
      </c>
      <c r="AQ2790">
        <v>0</v>
      </c>
      <c r="AR2790">
        <v>2</v>
      </c>
      <c r="AS2790">
        <v>2</v>
      </c>
      <c r="AT2790">
        <v>0.5</v>
      </c>
      <c r="AU2790">
        <v>13</v>
      </c>
      <c r="AV2790">
        <v>11</v>
      </c>
      <c r="AW2790">
        <v>66</v>
      </c>
      <c r="AX2790">
        <v>3</v>
      </c>
      <c r="AY2790">
        <v>43</v>
      </c>
      <c r="AZ2790">
        <v>4</v>
      </c>
      <c r="BA2790" t="s">
        <v>1829</v>
      </c>
      <c r="BB2790" t="s">
        <v>1830</v>
      </c>
      <c r="BC2790">
        <v>0.432</v>
      </c>
      <c r="BD2790" t="s">
        <v>65</v>
      </c>
      <c r="BE2790">
        <v>109</v>
      </c>
      <c r="BF2790">
        <v>7</v>
      </c>
      <c r="BG2790" t="s">
        <v>1831</v>
      </c>
      <c r="BH2790" t="s">
        <v>1832</v>
      </c>
      <c r="BI2790" t="s">
        <v>1833</v>
      </c>
      <c r="BJ2790">
        <v>3.8120000000000001E-2</v>
      </c>
      <c r="BK2790">
        <v>1</v>
      </c>
      <c r="BL2790" t="s">
        <v>69</v>
      </c>
      <c r="BM2790">
        <v>0.65900000000000003</v>
      </c>
      <c r="BN2790">
        <v>3.7999999999999999E-2</v>
      </c>
    </row>
    <row r="2791" spans="10:66">
      <c r="J2791">
        <v>0</v>
      </c>
      <c r="K2791">
        <v>7</v>
      </c>
      <c r="L2791">
        <v>1</v>
      </c>
      <c r="M2791" t="s">
        <v>25021</v>
      </c>
      <c r="N2791">
        <v>269</v>
      </c>
      <c r="O2791" t="s">
        <v>1834</v>
      </c>
      <c r="P2791" t="s">
        <v>62</v>
      </c>
      <c r="Q2791">
        <v>290135</v>
      </c>
      <c r="R2791">
        <v>290698</v>
      </c>
      <c r="S2791" t="s">
        <v>1835</v>
      </c>
      <c r="T2791">
        <v>188</v>
      </c>
      <c r="U2791" t="s">
        <v>108</v>
      </c>
      <c r="V2791">
        <v>44</v>
      </c>
      <c r="W2791" t="str">
        <f>HYPERLINK("Gene269-zp_tree_all.dnd", "Gene269-tree")</f>
        <v>Gene269-tree</v>
      </c>
      <c r="X2791">
        <v>8</v>
      </c>
      <c r="Y2791">
        <v>5</v>
      </c>
      <c r="Z2791">
        <v>8</v>
      </c>
      <c r="AA2791">
        <v>5</v>
      </c>
      <c r="AB2791">
        <v>0.38462000000000002</v>
      </c>
      <c r="AC2791" t="s">
        <v>136</v>
      </c>
      <c r="AD2791" t="s">
        <v>199</v>
      </c>
      <c r="AE2791" t="s">
        <v>62</v>
      </c>
      <c r="AF2791" t="s">
        <v>62</v>
      </c>
      <c r="AG2791">
        <v>3</v>
      </c>
      <c r="AH2791">
        <v>8</v>
      </c>
      <c r="AI2791">
        <v>5</v>
      </c>
      <c r="AJ2791">
        <v>0.61538000000000004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4</v>
      </c>
      <c r="AQ2791">
        <v>1</v>
      </c>
      <c r="AR2791">
        <v>5</v>
      </c>
      <c r="AS2791">
        <v>5</v>
      </c>
      <c r="AT2791">
        <v>0.5</v>
      </c>
      <c r="AU2791">
        <v>11</v>
      </c>
      <c r="AV2791">
        <v>8</v>
      </c>
      <c r="AW2791">
        <v>21</v>
      </c>
      <c r="AX2791">
        <v>10</v>
      </c>
      <c r="AY2791">
        <v>6</v>
      </c>
      <c r="AZ2791">
        <v>3</v>
      </c>
      <c r="BA2791" t="s">
        <v>1836</v>
      </c>
      <c r="BB2791" t="s">
        <v>1837</v>
      </c>
      <c r="BC2791">
        <v>5.1999999999999998E-2</v>
      </c>
      <c r="BD2791" t="s">
        <v>65</v>
      </c>
      <c r="BE2791">
        <v>27</v>
      </c>
      <c r="BF2791">
        <v>13</v>
      </c>
      <c r="BG2791" t="s">
        <v>1838</v>
      </c>
      <c r="BH2791" t="s">
        <v>1839</v>
      </c>
      <c r="BI2791" t="s">
        <v>1840</v>
      </c>
      <c r="BJ2791">
        <v>0.11859</v>
      </c>
      <c r="BK2791">
        <v>1</v>
      </c>
      <c r="BL2791" t="s">
        <v>69</v>
      </c>
      <c r="BM2791">
        <v>-1.4419999999999999</v>
      </c>
      <c r="BN2791">
        <v>-1.92</v>
      </c>
    </row>
    <row r="2792" spans="10:66">
      <c r="J2792">
        <v>0</v>
      </c>
      <c r="K2792">
        <v>3</v>
      </c>
      <c r="L2792">
        <v>0</v>
      </c>
      <c r="M2792" t="s">
        <v>25021</v>
      </c>
      <c r="N2792">
        <v>272</v>
      </c>
      <c r="O2792" t="s">
        <v>1855</v>
      </c>
      <c r="P2792" t="s">
        <v>62</v>
      </c>
      <c r="Q2792">
        <v>292884</v>
      </c>
      <c r="R2792">
        <v>293264</v>
      </c>
      <c r="S2792" t="s">
        <v>1856</v>
      </c>
      <c r="T2792">
        <v>127</v>
      </c>
      <c r="U2792" t="s">
        <v>1857</v>
      </c>
      <c r="V2792">
        <v>42</v>
      </c>
      <c r="W2792" t="str">
        <f>HYPERLINK("Gene272-zp_tree_all.dnd", "Gene272-tree")</f>
        <v>Gene272-tree</v>
      </c>
      <c r="X2792">
        <v>9</v>
      </c>
      <c r="Y2792">
        <v>2</v>
      </c>
      <c r="Z2792">
        <v>9</v>
      </c>
      <c r="AA2792">
        <v>2</v>
      </c>
      <c r="AB2792">
        <v>0.18182000000000001</v>
      </c>
      <c r="AC2792" t="s">
        <v>135</v>
      </c>
      <c r="AD2792" t="s">
        <v>81</v>
      </c>
      <c r="AE2792" t="s">
        <v>62</v>
      </c>
      <c r="AF2792" t="s">
        <v>62</v>
      </c>
      <c r="AG2792">
        <v>1</v>
      </c>
      <c r="AH2792">
        <v>3</v>
      </c>
      <c r="AI2792">
        <v>7</v>
      </c>
      <c r="AJ2792">
        <v>0.3</v>
      </c>
      <c r="AK2792">
        <v>0</v>
      </c>
      <c r="AL2792">
        <v>0</v>
      </c>
      <c r="AM2792">
        <v>0</v>
      </c>
      <c r="AN2792">
        <v>4</v>
      </c>
      <c r="AO2792">
        <v>0</v>
      </c>
      <c r="AP2792">
        <v>0</v>
      </c>
      <c r="AQ2792">
        <v>0</v>
      </c>
      <c r="AR2792">
        <v>0</v>
      </c>
      <c r="AS2792">
        <v>4</v>
      </c>
      <c r="AT2792">
        <v>0</v>
      </c>
      <c r="AU2792">
        <v>7</v>
      </c>
      <c r="AV2792">
        <v>6</v>
      </c>
      <c r="AW2792">
        <v>9</v>
      </c>
      <c r="AX2792">
        <v>4</v>
      </c>
      <c r="AY2792">
        <v>15</v>
      </c>
      <c r="AZ2792">
        <v>6</v>
      </c>
      <c r="BA2792" t="s">
        <v>1858</v>
      </c>
      <c r="BB2792" t="s">
        <v>1859</v>
      </c>
      <c r="BC2792">
        <v>8.2000000000000003E-2</v>
      </c>
      <c r="BD2792" t="s">
        <v>65</v>
      </c>
      <c r="BE2792">
        <v>24</v>
      </c>
      <c r="BF2792">
        <v>10</v>
      </c>
      <c r="BG2792" t="s">
        <v>1860</v>
      </c>
      <c r="BH2792" t="s">
        <v>1861</v>
      </c>
      <c r="BI2792" t="s">
        <v>1862</v>
      </c>
      <c r="BJ2792">
        <v>0.12383</v>
      </c>
      <c r="BK2792">
        <v>1</v>
      </c>
      <c r="BL2792" t="s">
        <v>69</v>
      </c>
      <c r="BM2792">
        <v>0.79500000000000004</v>
      </c>
      <c r="BN2792">
        <v>0.71099999999999997</v>
      </c>
    </row>
    <row r="2793" spans="10:66">
      <c r="J2793">
        <v>0</v>
      </c>
      <c r="K2793">
        <v>27</v>
      </c>
      <c r="L2793">
        <v>4</v>
      </c>
      <c r="M2793" t="s">
        <v>25021</v>
      </c>
      <c r="N2793">
        <v>274</v>
      </c>
      <c r="O2793" t="s">
        <v>1869</v>
      </c>
      <c r="P2793" t="s">
        <v>62</v>
      </c>
      <c r="Q2793">
        <v>294618</v>
      </c>
      <c r="R2793">
        <v>295571</v>
      </c>
      <c r="S2793" t="s">
        <v>1870</v>
      </c>
      <c r="T2793">
        <v>318</v>
      </c>
      <c r="U2793" t="s">
        <v>1871</v>
      </c>
      <c r="V2793">
        <v>41</v>
      </c>
      <c r="W2793" t="str">
        <f>HYPERLINK("Gene274-zp_tree_all.dnd", "Gene274-tree")</f>
        <v>Gene274-tree</v>
      </c>
      <c r="X2793">
        <v>2</v>
      </c>
      <c r="Y2793">
        <v>13</v>
      </c>
      <c r="Z2793">
        <v>2</v>
      </c>
      <c r="AA2793">
        <v>13</v>
      </c>
      <c r="AB2793">
        <v>0.86667000000000005</v>
      </c>
      <c r="AC2793" t="s">
        <v>81</v>
      </c>
      <c r="AD2793" t="s">
        <v>507</v>
      </c>
      <c r="AE2793" t="s">
        <v>62</v>
      </c>
      <c r="AF2793" t="s">
        <v>62</v>
      </c>
      <c r="AG2793">
        <v>12</v>
      </c>
      <c r="AH2793">
        <v>31</v>
      </c>
      <c r="AI2793">
        <v>25</v>
      </c>
      <c r="AJ2793">
        <v>0.55357000000000001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4</v>
      </c>
      <c r="AQ2793">
        <v>2</v>
      </c>
      <c r="AR2793">
        <v>6</v>
      </c>
      <c r="AS2793">
        <v>25</v>
      </c>
      <c r="AT2793">
        <v>0.19355</v>
      </c>
      <c r="AU2793">
        <v>14</v>
      </c>
      <c r="AV2793">
        <v>12</v>
      </c>
      <c r="AW2793">
        <v>34</v>
      </c>
      <c r="AX2793">
        <v>28</v>
      </c>
      <c r="AY2793">
        <v>20</v>
      </c>
      <c r="AZ2793">
        <v>30</v>
      </c>
      <c r="BA2793" t="s">
        <v>1872</v>
      </c>
      <c r="BB2793" t="s">
        <v>1873</v>
      </c>
      <c r="BC2793">
        <v>1.079</v>
      </c>
      <c r="BD2793" t="s">
        <v>65</v>
      </c>
      <c r="BE2793">
        <v>54</v>
      </c>
      <c r="BF2793">
        <v>58</v>
      </c>
      <c r="BG2793" t="s">
        <v>1874</v>
      </c>
      <c r="BH2793" t="s">
        <v>1875</v>
      </c>
      <c r="BI2793" t="s">
        <v>1876</v>
      </c>
      <c r="BJ2793">
        <v>0.34736</v>
      </c>
      <c r="BK2793">
        <v>1</v>
      </c>
      <c r="BL2793" t="s">
        <v>69</v>
      </c>
      <c r="BM2793">
        <v>-0.77500000000000002</v>
      </c>
      <c r="BN2793">
        <v>-0.78200000000000003</v>
      </c>
    </row>
    <row r="2794" spans="10:66">
      <c r="J2794">
        <v>0</v>
      </c>
      <c r="K2794">
        <v>0</v>
      </c>
      <c r="L2794">
        <v>0</v>
      </c>
      <c r="M2794" t="s">
        <v>25021</v>
      </c>
      <c r="N2794">
        <v>275</v>
      </c>
      <c r="O2794" t="s">
        <v>1877</v>
      </c>
      <c r="P2794" t="s">
        <v>62</v>
      </c>
      <c r="Q2794">
        <v>295587</v>
      </c>
      <c r="R2794">
        <v>296285</v>
      </c>
      <c r="S2794" t="s">
        <v>1878</v>
      </c>
      <c r="T2794">
        <v>233</v>
      </c>
      <c r="U2794" t="s">
        <v>1879</v>
      </c>
      <c r="V2794">
        <v>33</v>
      </c>
      <c r="W2794" t="str">
        <f>HYPERLINK("Gene275-zp_tree_all.dnd", "Gene275-tree")</f>
        <v>Gene275-tree</v>
      </c>
      <c r="X2794">
        <v>5</v>
      </c>
      <c r="Y2794">
        <v>1</v>
      </c>
      <c r="Z2794">
        <v>5</v>
      </c>
      <c r="AA2794">
        <v>1</v>
      </c>
      <c r="AB2794">
        <v>0.16667000000000001</v>
      </c>
      <c r="AC2794" t="s">
        <v>199</v>
      </c>
      <c r="AD2794" t="s">
        <v>175</v>
      </c>
      <c r="AE2794" t="s">
        <v>62</v>
      </c>
      <c r="AF2794" t="s">
        <v>62</v>
      </c>
      <c r="AG2794">
        <v>0</v>
      </c>
      <c r="AH2794">
        <v>0</v>
      </c>
      <c r="AI2794">
        <v>2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</v>
      </c>
      <c r="AT2794">
        <v>0</v>
      </c>
      <c r="AU2794">
        <v>5</v>
      </c>
      <c r="AV2794">
        <v>2</v>
      </c>
      <c r="AW2794">
        <v>10</v>
      </c>
      <c r="AX2794">
        <v>2</v>
      </c>
      <c r="AY2794">
        <v>3</v>
      </c>
      <c r="AZ2794">
        <v>0</v>
      </c>
      <c r="BA2794" t="s">
        <v>1880</v>
      </c>
      <c r="BB2794" t="s">
        <v>193</v>
      </c>
      <c r="BC2794">
        <v>0.50700000000000001</v>
      </c>
      <c r="BD2794" t="s">
        <v>65</v>
      </c>
      <c r="BE2794">
        <v>13</v>
      </c>
      <c r="BF2794">
        <v>2</v>
      </c>
      <c r="BG2794" t="s">
        <v>1881</v>
      </c>
      <c r="BH2794" t="s">
        <v>1882</v>
      </c>
      <c r="BI2794" t="s">
        <v>1883</v>
      </c>
      <c r="BJ2794">
        <v>4.0149999999999998E-2</v>
      </c>
      <c r="BK2794">
        <v>1</v>
      </c>
      <c r="BL2794" t="s">
        <v>69</v>
      </c>
      <c r="BM2794">
        <v>-0.23200000000000001</v>
      </c>
      <c r="BN2794">
        <v>-1.048</v>
      </c>
    </row>
    <row r="2795" spans="10:66">
      <c r="J2795">
        <v>0</v>
      </c>
      <c r="K2795">
        <v>0</v>
      </c>
      <c r="L2795">
        <v>0</v>
      </c>
      <c r="M2795" t="s">
        <v>25021</v>
      </c>
      <c r="N2795">
        <v>279</v>
      </c>
      <c r="O2795" t="s">
        <v>1905</v>
      </c>
      <c r="P2795" t="s">
        <v>62</v>
      </c>
      <c r="Q2795">
        <v>299441</v>
      </c>
      <c r="R2795">
        <v>300502</v>
      </c>
      <c r="S2795" t="s">
        <v>1906</v>
      </c>
      <c r="T2795">
        <v>354</v>
      </c>
      <c r="U2795" t="s">
        <v>1907</v>
      </c>
      <c r="V2795">
        <v>38</v>
      </c>
      <c r="W2795" t="str">
        <f>HYPERLINK("Gene279-zp_tree_all.dnd", "Gene279-tree")</f>
        <v>Gene279-tree</v>
      </c>
      <c r="X2795">
        <v>7</v>
      </c>
      <c r="Y2795">
        <v>5</v>
      </c>
      <c r="Z2795">
        <v>7</v>
      </c>
      <c r="AA2795">
        <v>5</v>
      </c>
      <c r="AB2795">
        <v>0.41666999999999998</v>
      </c>
      <c r="AC2795" t="s">
        <v>152</v>
      </c>
      <c r="AD2795" t="s">
        <v>199</v>
      </c>
      <c r="AE2795" t="s">
        <v>62</v>
      </c>
      <c r="AF2795" t="s">
        <v>62</v>
      </c>
      <c r="AG2795">
        <v>0</v>
      </c>
      <c r="AH2795">
        <v>0</v>
      </c>
      <c r="AI2795">
        <v>10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10</v>
      </c>
      <c r="AT2795">
        <v>0</v>
      </c>
      <c r="AU2795">
        <v>10</v>
      </c>
      <c r="AV2795">
        <v>7</v>
      </c>
      <c r="AW2795">
        <v>55</v>
      </c>
      <c r="AX2795">
        <v>11</v>
      </c>
      <c r="AY2795">
        <v>15</v>
      </c>
      <c r="AZ2795">
        <v>0</v>
      </c>
      <c r="BA2795" t="s">
        <v>1908</v>
      </c>
      <c r="BB2795" t="s">
        <v>193</v>
      </c>
      <c r="BC2795">
        <v>0.55700000000000005</v>
      </c>
      <c r="BD2795" t="s">
        <v>65</v>
      </c>
      <c r="BE2795">
        <v>70</v>
      </c>
      <c r="BF2795">
        <v>11</v>
      </c>
      <c r="BG2795" t="s">
        <v>1909</v>
      </c>
      <c r="BH2795" t="s">
        <v>1910</v>
      </c>
      <c r="BI2795" t="s">
        <v>1911</v>
      </c>
      <c r="BJ2795">
        <v>4.0370000000000003E-2</v>
      </c>
      <c r="BK2795">
        <v>1</v>
      </c>
      <c r="BL2795" t="s">
        <v>69</v>
      </c>
      <c r="BM2795">
        <v>-2.0139999999999998</v>
      </c>
      <c r="BN2795">
        <v>-4.0650000000000004</v>
      </c>
    </row>
    <row r="2796" spans="10:66">
      <c r="J2796">
        <v>0</v>
      </c>
      <c r="K2796">
        <v>0</v>
      </c>
      <c r="L2796">
        <v>0</v>
      </c>
      <c r="M2796" t="s">
        <v>25021</v>
      </c>
      <c r="N2796">
        <v>280</v>
      </c>
      <c r="O2796" t="s">
        <v>1912</v>
      </c>
      <c r="P2796" t="s">
        <v>62</v>
      </c>
      <c r="Q2796">
        <v>300528</v>
      </c>
      <c r="R2796">
        <v>300656</v>
      </c>
      <c r="S2796" t="s">
        <v>1913</v>
      </c>
      <c r="T2796">
        <v>43</v>
      </c>
      <c r="U2796" t="s">
        <v>59</v>
      </c>
      <c r="V2796">
        <v>49</v>
      </c>
      <c r="W2796" t="str">
        <f>HYPERLINK("Gene280-zp_tree_all.dnd", "Gene280-tree")</f>
        <v>Gene280-tree</v>
      </c>
      <c r="X2796">
        <v>6</v>
      </c>
      <c r="Y2796">
        <v>1</v>
      </c>
      <c r="Z2796">
        <v>6</v>
      </c>
      <c r="AA2796">
        <v>1</v>
      </c>
      <c r="AB2796">
        <v>0.14285999999999999</v>
      </c>
      <c r="AC2796" t="s">
        <v>90</v>
      </c>
      <c r="AD2796" t="s">
        <v>175</v>
      </c>
      <c r="AE2796" t="s">
        <v>62</v>
      </c>
      <c r="AF2796" t="s">
        <v>62</v>
      </c>
      <c r="AG2796">
        <v>0</v>
      </c>
      <c r="AH2796">
        <v>0</v>
      </c>
      <c r="AI2796">
        <v>3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0</v>
      </c>
      <c r="AU2796">
        <v>5</v>
      </c>
      <c r="AV2796">
        <v>2</v>
      </c>
      <c r="AW2796">
        <v>5</v>
      </c>
      <c r="AX2796">
        <v>1</v>
      </c>
      <c r="AY2796">
        <v>0</v>
      </c>
      <c r="AZ2796">
        <v>2</v>
      </c>
      <c r="BA2796" t="s">
        <v>1914</v>
      </c>
      <c r="BB2796" t="s">
        <v>193</v>
      </c>
      <c r="BC2796">
        <v>0.55900000000000005</v>
      </c>
      <c r="BD2796" t="s">
        <v>65</v>
      </c>
      <c r="BE2796">
        <v>5</v>
      </c>
      <c r="BF2796">
        <v>3</v>
      </c>
      <c r="BG2796" t="s">
        <v>1915</v>
      </c>
      <c r="BH2796" t="s">
        <v>1916</v>
      </c>
      <c r="BI2796" t="s">
        <v>1917</v>
      </c>
      <c r="BJ2796">
        <v>0.24740999999999999</v>
      </c>
      <c r="BK2796">
        <v>0.82099999999999995</v>
      </c>
      <c r="BL2796" t="s">
        <v>635</v>
      </c>
      <c r="BM2796">
        <v>-1.8620000000000001</v>
      </c>
      <c r="BN2796">
        <v>-1.6559999999999999</v>
      </c>
    </row>
    <row r="2797" spans="10:66">
      <c r="J2797">
        <v>0</v>
      </c>
      <c r="K2797">
        <v>2</v>
      </c>
      <c r="L2797">
        <v>2</v>
      </c>
      <c r="M2797" t="s">
        <v>25021</v>
      </c>
      <c r="N2797">
        <v>282</v>
      </c>
      <c r="O2797" t="s">
        <v>1924</v>
      </c>
      <c r="P2797" t="s">
        <v>62</v>
      </c>
      <c r="Q2797">
        <v>303807</v>
      </c>
      <c r="R2797">
        <v>304307</v>
      </c>
      <c r="S2797" t="s">
        <v>1925</v>
      </c>
      <c r="T2797">
        <v>167</v>
      </c>
      <c r="U2797" t="s">
        <v>1557</v>
      </c>
      <c r="V2797">
        <v>40</v>
      </c>
      <c r="W2797" t="str">
        <f>HYPERLINK("Gene282-zp_tree_all.dnd", "Gene282-tree")</f>
        <v>Gene282-tree</v>
      </c>
      <c r="X2797">
        <v>5</v>
      </c>
      <c r="Y2797">
        <v>10</v>
      </c>
      <c r="Z2797">
        <v>5</v>
      </c>
      <c r="AA2797">
        <v>10</v>
      </c>
      <c r="AB2797">
        <v>0.66666999999999998</v>
      </c>
      <c r="AC2797" t="s">
        <v>199</v>
      </c>
      <c r="AD2797" t="s">
        <v>117</v>
      </c>
      <c r="AE2797" t="s">
        <v>62</v>
      </c>
      <c r="AF2797" t="s">
        <v>62</v>
      </c>
      <c r="AG2797">
        <v>2</v>
      </c>
      <c r="AH2797">
        <v>4</v>
      </c>
      <c r="AI2797">
        <v>13</v>
      </c>
      <c r="AJ2797">
        <v>0.23529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2</v>
      </c>
      <c r="AQ2797">
        <v>0</v>
      </c>
      <c r="AR2797">
        <v>2</v>
      </c>
      <c r="AS2797">
        <v>11</v>
      </c>
      <c r="AT2797">
        <v>0.15384999999999999</v>
      </c>
      <c r="AU2797">
        <v>14</v>
      </c>
      <c r="AV2797">
        <v>5</v>
      </c>
      <c r="AW2797">
        <v>13</v>
      </c>
      <c r="AX2797">
        <v>13</v>
      </c>
      <c r="AY2797">
        <v>4</v>
      </c>
      <c r="AZ2797">
        <v>4</v>
      </c>
      <c r="BA2797" t="s">
        <v>1926</v>
      </c>
      <c r="BB2797" t="s">
        <v>1927</v>
      </c>
      <c r="BC2797">
        <v>1E-3</v>
      </c>
      <c r="BD2797" t="s">
        <v>65</v>
      </c>
      <c r="BE2797">
        <v>17</v>
      </c>
      <c r="BF2797">
        <v>17</v>
      </c>
      <c r="BG2797" t="s">
        <v>1928</v>
      </c>
      <c r="BH2797" t="s">
        <v>1929</v>
      </c>
      <c r="BI2797" t="s">
        <v>1930</v>
      </c>
      <c r="BJ2797">
        <v>0.26056000000000001</v>
      </c>
      <c r="BK2797">
        <v>0.99</v>
      </c>
      <c r="BL2797" t="s">
        <v>69</v>
      </c>
      <c r="BM2797">
        <v>-1.2729999999999999</v>
      </c>
      <c r="BN2797">
        <v>-2.7989999999999999</v>
      </c>
    </row>
    <row r="2798" spans="10:66">
      <c r="J2798">
        <v>0</v>
      </c>
      <c r="K2798">
        <v>16</v>
      </c>
      <c r="L2798">
        <v>3</v>
      </c>
      <c r="M2798" t="s">
        <v>25021</v>
      </c>
      <c r="N2798">
        <v>289</v>
      </c>
      <c r="O2798" t="s">
        <v>1973</v>
      </c>
      <c r="P2798" t="s">
        <v>62</v>
      </c>
      <c r="Q2798">
        <v>310883</v>
      </c>
      <c r="R2798">
        <v>311875</v>
      </c>
      <c r="S2798" t="s">
        <v>1974</v>
      </c>
      <c r="T2798">
        <v>331</v>
      </c>
      <c r="U2798" t="s">
        <v>108</v>
      </c>
      <c r="V2798">
        <v>44</v>
      </c>
      <c r="W2798" t="str">
        <f>HYPERLINK("Gene289-zp_tree_all.dnd", "Gene289-tree")</f>
        <v>Gene289-tree</v>
      </c>
      <c r="X2798">
        <v>4</v>
      </c>
      <c r="Y2798">
        <v>30</v>
      </c>
      <c r="Z2798">
        <v>4</v>
      </c>
      <c r="AA2798">
        <v>10</v>
      </c>
      <c r="AB2798">
        <v>0.71428999999999998</v>
      </c>
      <c r="AC2798" t="s">
        <v>61</v>
      </c>
      <c r="AD2798" t="s">
        <v>250</v>
      </c>
      <c r="AE2798">
        <v>2.2410000000000001</v>
      </c>
      <c r="AF2798" t="s">
        <v>65</v>
      </c>
      <c r="AG2798">
        <v>8</v>
      </c>
      <c r="AH2798">
        <v>19</v>
      </c>
      <c r="AI2798">
        <v>10</v>
      </c>
      <c r="AJ2798">
        <v>0.65517000000000003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4</v>
      </c>
      <c r="AQ2798">
        <v>0</v>
      </c>
      <c r="AR2798">
        <v>4</v>
      </c>
      <c r="AS2798">
        <v>14</v>
      </c>
      <c r="AT2798">
        <v>0.22222</v>
      </c>
      <c r="AU2798">
        <v>13</v>
      </c>
      <c r="AV2798">
        <v>9</v>
      </c>
      <c r="AW2798">
        <v>34</v>
      </c>
      <c r="AX2798">
        <v>17</v>
      </c>
      <c r="AY2798">
        <v>28</v>
      </c>
      <c r="AZ2798">
        <v>13</v>
      </c>
      <c r="BA2798" t="s">
        <v>1975</v>
      </c>
      <c r="BB2798" t="s">
        <v>1976</v>
      </c>
      <c r="BC2798">
        <v>0.14599999999999999</v>
      </c>
      <c r="BD2798" t="s">
        <v>65</v>
      </c>
      <c r="BE2798">
        <v>62</v>
      </c>
      <c r="BF2798">
        <v>30</v>
      </c>
      <c r="BG2798" t="s">
        <v>1977</v>
      </c>
      <c r="BH2798" t="s">
        <v>1978</v>
      </c>
      <c r="BI2798" t="s">
        <v>1979</v>
      </c>
      <c r="BJ2798">
        <v>0.15007999999999999</v>
      </c>
      <c r="BK2798">
        <v>1</v>
      </c>
      <c r="BL2798" t="s">
        <v>69</v>
      </c>
      <c r="BM2798">
        <v>0.14000000000000001</v>
      </c>
      <c r="BN2798">
        <v>-0.27200000000000002</v>
      </c>
    </row>
    <row r="2799" spans="10:66">
      <c r="J2799">
        <v>0</v>
      </c>
      <c r="K2799">
        <v>11</v>
      </c>
      <c r="L2799">
        <v>7</v>
      </c>
      <c r="M2799" t="s">
        <v>25021</v>
      </c>
      <c r="N2799">
        <v>297</v>
      </c>
      <c r="O2799" t="s">
        <v>2025</v>
      </c>
      <c r="P2799" t="s">
        <v>62</v>
      </c>
      <c r="Q2799">
        <v>319183</v>
      </c>
      <c r="R2799">
        <v>320352</v>
      </c>
      <c r="S2799" t="s">
        <v>2026</v>
      </c>
      <c r="T2799">
        <v>390</v>
      </c>
      <c r="U2799" t="s">
        <v>108</v>
      </c>
      <c r="V2799">
        <v>44</v>
      </c>
      <c r="W2799" t="str">
        <f>HYPERLINK("Gene297-zp_tree_all.dnd", "Gene297-tree")</f>
        <v>Gene297-tree</v>
      </c>
      <c r="X2799">
        <v>5</v>
      </c>
      <c r="Y2799">
        <v>13</v>
      </c>
      <c r="Z2799">
        <v>5</v>
      </c>
      <c r="AA2799">
        <v>13</v>
      </c>
      <c r="AB2799">
        <v>0.72221999999999997</v>
      </c>
      <c r="AC2799" t="s">
        <v>199</v>
      </c>
      <c r="AD2799" t="s">
        <v>507</v>
      </c>
      <c r="AE2799" t="s">
        <v>62</v>
      </c>
      <c r="AF2799" t="s">
        <v>62</v>
      </c>
      <c r="AG2799">
        <v>7</v>
      </c>
      <c r="AH2799">
        <v>18</v>
      </c>
      <c r="AI2799">
        <v>24</v>
      </c>
      <c r="AJ2799">
        <v>0.42857000000000001</v>
      </c>
      <c r="AK2799">
        <v>0</v>
      </c>
      <c r="AL2799">
        <v>0</v>
      </c>
      <c r="AM2799">
        <v>0</v>
      </c>
      <c r="AN2799">
        <v>2</v>
      </c>
      <c r="AO2799">
        <v>0</v>
      </c>
      <c r="AP2799">
        <v>7</v>
      </c>
      <c r="AQ2799">
        <v>2</v>
      </c>
      <c r="AR2799">
        <v>9</v>
      </c>
      <c r="AS2799">
        <v>20</v>
      </c>
      <c r="AT2799">
        <v>0.31034</v>
      </c>
      <c r="AU2799">
        <v>13</v>
      </c>
      <c r="AV2799">
        <v>13</v>
      </c>
      <c r="AW2799">
        <v>21</v>
      </c>
      <c r="AX2799">
        <v>21</v>
      </c>
      <c r="AY2799">
        <v>29</v>
      </c>
      <c r="AZ2799">
        <v>23</v>
      </c>
      <c r="BA2799" t="s">
        <v>2027</v>
      </c>
      <c r="BB2799" t="s">
        <v>2028</v>
      </c>
      <c r="BC2799">
        <v>0.27400000000000002</v>
      </c>
      <c r="BD2799" t="s">
        <v>65</v>
      </c>
      <c r="BE2799">
        <v>50</v>
      </c>
      <c r="BF2799">
        <v>44</v>
      </c>
      <c r="BG2799" t="s">
        <v>2029</v>
      </c>
      <c r="BH2799" t="s">
        <v>2030</v>
      </c>
      <c r="BI2799" t="s">
        <v>2031</v>
      </c>
      <c r="BJ2799">
        <v>0.29676000000000002</v>
      </c>
      <c r="BK2799">
        <v>1</v>
      </c>
      <c r="BL2799" t="s">
        <v>69</v>
      </c>
      <c r="BM2799">
        <v>-0.747</v>
      </c>
      <c r="BN2799">
        <v>-1.298</v>
      </c>
    </row>
    <row r="2800" spans="10:66">
      <c r="J2800">
        <v>0</v>
      </c>
      <c r="K2800">
        <v>2</v>
      </c>
      <c r="L2800">
        <v>2</v>
      </c>
      <c r="M2800" t="s">
        <v>25021</v>
      </c>
      <c r="N2800">
        <v>298</v>
      </c>
      <c r="O2800" t="s">
        <v>2032</v>
      </c>
      <c r="P2800" t="s">
        <v>62</v>
      </c>
      <c r="Q2800">
        <v>320424</v>
      </c>
      <c r="R2800">
        <v>320723</v>
      </c>
      <c r="S2800" t="s">
        <v>2033</v>
      </c>
      <c r="T2800">
        <v>100</v>
      </c>
      <c r="U2800" t="s">
        <v>1607</v>
      </c>
      <c r="V2800">
        <v>47</v>
      </c>
      <c r="W2800" t="str">
        <f>HYPERLINK("Gene298-zp_tree_all.dnd", "Gene298-tree")</f>
        <v>Gene298-tree</v>
      </c>
      <c r="X2800">
        <v>7</v>
      </c>
      <c r="Y2800">
        <v>6</v>
      </c>
      <c r="Z2800">
        <v>7</v>
      </c>
      <c r="AA2800">
        <v>6</v>
      </c>
      <c r="AB2800">
        <v>0.46154000000000001</v>
      </c>
      <c r="AC2800" t="s">
        <v>152</v>
      </c>
      <c r="AD2800" t="s">
        <v>90</v>
      </c>
      <c r="AE2800" t="s">
        <v>62</v>
      </c>
      <c r="AF2800" t="s">
        <v>62</v>
      </c>
      <c r="AG2800">
        <v>1</v>
      </c>
      <c r="AH2800">
        <v>4</v>
      </c>
      <c r="AI2800">
        <v>4</v>
      </c>
      <c r="AJ2800">
        <v>0.5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</v>
      </c>
      <c r="AR2800">
        <v>3</v>
      </c>
      <c r="AS2800">
        <v>3</v>
      </c>
      <c r="AT2800">
        <v>0.5</v>
      </c>
      <c r="AU2800">
        <v>9</v>
      </c>
      <c r="AV2800">
        <v>5</v>
      </c>
      <c r="AW2800">
        <v>8</v>
      </c>
      <c r="AX2800">
        <v>5</v>
      </c>
      <c r="AY2800">
        <v>12</v>
      </c>
      <c r="AZ2800">
        <v>4</v>
      </c>
      <c r="BA2800" t="s">
        <v>2034</v>
      </c>
      <c r="BB2800" t="s">
        <v>2035</v>
      </c>
      <c r="BC2800">
        <v>0.53400000000000003</v>
      </c>
      <c r="BD2800" t="s">
        <v>65</v>
      </c>
      <c r="BE2800">
        <v>20</v>
      </c>
      <c r="BF2800">
        <v>9</v>
      </c>
      <c r="BG2800" t="s">
        <v>2036</v>
      </c>
      <c r="BH2800" t="s">
        <v>2037</v>
      </c>
      <c r="BI2800" t="s">
        <v>2038</v>
      </c>
      <c r="BJ2800">
        <v>0.10561</v>
      </c>
      <c r="BK2800">
        <v>1</v>
      </c>
      <c r="BL2800" t="s">
        <v>69</v>
      </c>
      <c r="BM2800">
        <v>-1.6910000000000001</v>
      </c>
      <c r="BN2800">
        <v>-0.97899999999999998</v>
      </c>
    </row>
    <row r="2801" spans="10:66">
      <c r="J2801">
        <v>0</v>
      </c>
      <c r="K2801">
        <v>6</v>
      </c>
      <c r="L2801">
        <v>0</v>
      </c>
      <c r="M2801" t="s">
        <v>25021</v>
      </c>
      <c r="N2801">
        <v>302</v>
      </c>
      <c r="O2801" t="s">
        <v>2061</v>
      </c>
      <c r="P2801" t="s">
        <v>62</v>
      </c>
      <c r="Q2801">
        <v>324041</v>
      </c>
      <c r="R2801">
        <v>325189</v>
      </c>
      <c r="S2801" t="s">
        <v>2062</v>
      </c>
      <c r="T2801">
        <v>383</v>
      </c>
      <c r="U2801" t="s">
        <v>1392</v>
      </c>
      <c r="V2801">
        <v>43</v>
      </c>
      <c r="W2801" t="str">
        <f>HYPERLINK("Gene302-zp_tree_all.dnd", "Gene302-tree")</f>
        <v>Gene302-tree</v>
      </c>
      <c r="X2801">
        <v>6</v>
      </c>
      <c r="Y2801">
        <v>7</v>
      </c>
      <c r="Z2801">
        <v>6</v>
      </c>
      <c r="AA2801">
        <v>7</v>
      </c>
      <c r="AB2801">
        <v>0.53846000000000005</v>
      </c>
      <c r="AC2801" t="s">
        <v>90</v>
      </c>
      <c r="AD2801" t="s">
        <v>152</v>
      </c>
      <c r="AE2801" t="s">
        <v>62</v>
      </c>
      <c r="AF2801" t="s">
        <v>62</v>
      </c>
      <c r="AG2801">
        <v>3</v>
      </c>
      <c r="AH2801">
        <v>6</v>
      </c>
      <c r="AI2801">
        <v>14</v>
      </c>
      <c r="AJ2801">
        <v>0.3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2</v>
      </c>
      <c r="AQ2801">
        <v>0</v>
      </c>
      <c r="AR2801">
        <v>2</v>
      </c>
      <c r="AS2801">
        <v>10</v>
      </c>
      <c r="AT2801">
        <v>0.16667000000000001</v>
      </c>
      <c r="AU2801">
        <v>11</v>
      </c>
      <c r="AV2801">
        <v>7</v>
      </c>
      <c r="AW2801">
        <v>37</v>
      </c>
      <c r="AX2801">
        <v>9</v>
      </c>
      <c r="AY2801">
        <v>26</v>
      </c>
      <c r="AZ2801">
        <v>12</v>
      </c>
      <c r="BA2801" t="s">
        <v>2063</v>
      </c>
      <c r="BB2801" t="s">
        <v>2064</v>
      </c>
      <c r="BC2801">
        <v>0.873</v>
      </c>
      <c r="BD2801" t="s">
        <v>65</v>
      </c>
      <c r="BE2801">
        <v>63</v>
      </c>
      <c r="BF2801">
        <v>21</v>
      </c>
      <c r="BG2801" t="s">
        <v>2065</v>
      </c>
      <c r="BH2801" t="s">
        <v>2066</v>
      </c>
      <c r="BI2801" t="s">
        <v>2067</v>
      </c>
      <c r="BJ2801">
        <v>0.11398999999999999</v>
      </c>
      <c r="BK2801">
        <v>1</v>
      </c>
      <c r="BL2801" t="s">
        <v>69</v>
      </c>
      <c r="BM2801">
        <v>0.89</v>
      </c>
      <c r="BN2801">
        <v>-5.2999999999999999E-2</v>
      </c>
    </row>
    <row r="2802" spans="10:66">
      <c r="J2802">
        <v>2</v>
      </c>
      <c r="K2802">
        <v>3</v>
      </c>
      <c r="L2802">
        <v>8</v>
      </c>
      <c r="M2802" t="s">
        <v>25021</v>
      </c>
      <c r="N2802">
        <v>308</v>
      </c>
      <c r="O2802" t="s">
        <v>2099</v>
      </c>
      <c r="P2802" t="s">
        <v>62</v>
      </c>
      <c r="Q2802">
        <v>332444</v>
      </c>
      <c r="R2802">
        <v>333979</v>
      </c>
      <c r="S2802" t="s">
        <v>2100</v>
      </c>
      <c r="T2802">
        <v>512</v>
      </c>
      <c r="U2802" t="s">
        <v>2101</v>
      </c>
      <c r="V2802">
        <v>39</v>
      </c>
      <c r="W2802" t="str">
        <f>HYPERLINK("Gene308-zp_tree_all.dnd", "Gene308-tree")</f>
        <v>Gene308-tree</v>
      </c>
      <c r="X2802">
        <v>6</v>
      </c>
      <c r="Y2802">
        <v>29</v>
      </c>
      <c r="Z2802">
        <v>6</v>
      </c>
      <c r="AA2802">
        <v>11</v>
      </c>
      <c r="AB2802">
        <v>0.64705999999999997</v>
      </c>
      <c r="AC2802" t="s">
        <v>90</v>
      </c>
      <c r="AD2802" t="s">
        <v>2086</v>
      </c>
      <c r="AE2802">
        <v>2.5049999999999999</v>
      </c>
      <c r="AF2802" t="s">
        <v>65</v>
      </c>
      <c r="AG2802">
        <v>5</v>
      </c>
      <c r="AH2802">
        <v>13</v>
      </c>
      <c r="AI2802">
        <v>19</v>
      </c>
      <c r="AJ2802">
        <v>0.40625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3</v>
      </c>
      <c r="AR2802">
        <v>3</v>
      </c>
      <c r="AS2802">
        <v>14</v>
      </c>
      <c r="AT2802">
        <v>0.17646999999999999</v>
      </c>
      <c r="AU2802">
        <v>15</v>
      </c>
      <c r="AV2802">
        <v>13</v>
      </c>
      <c r="AW2802">
        <v>89</v>
      </c>
      <c r="AX2802">
        <v>17</v>
      </c>
      <c r="AY2802">
        <v>91</v>
      </c>
      <c r="AZ2802">
        <v>16</v>
      </c>
      <c r="BA2802" t="s">
        <v>2102</v>
      </c>
      <c r="BB2802" t="s">
        <v>2103</v>
      </c>
      <c r="BC2802">
        <v>0.08</v>
      </c>
      <c r="BD2802" t="s">
        <v>65</v>
      </c>
      <c r="BE2802">
        <v>180</v>
      </c>
      <c r="BF2802">
        <v>33</v>
      </c>
      <c r="BG2802" t="s">
        <v>2104</v>
      </c>
      <c r="BH2802" t="s">
        <v>2105</v>
      </c>
      <c r="BI2802" t="s">
        <v>2106</v>
      </c>
      <c r="BJ2802">
        <v>5.4350000000000002E-2</v>
      </c>
      <c r="BK2802">
        <v>1</v>
      </c>
      <c r="BL2802" t="s">
        <v>69</v>
      </c>
      <c r="BM2802">
        <v>-1.373</v>
      </c>
      <c r="BN2802">
        <v>-1.976</v>
      </c>
    </row>
    <row r="2803" spans="10:66">
      <c r="J2803">
        <v>0</v>
      </c>
      <c r="K2803">
        <v>0</v>
      </c>
      <c r="L2803">
        <v>4</v>
      </c>
      <c r="M2803" t="s">
        <v>25021</v>
      </c>
      <c r="N2803">
        <v>312</v>
      </c>
      <c r="O2803" t="s">
        <v>2126</v>
      </c>
      <c r="P2803" t="s">
        <v>62</v>
      </c>
      <c r="Q2803">
        <v>336095</v>
      </c>
      <c r="R2803">
        <v>337432</v>
      </c>
      <c r="S2803" t="s">
        <v>2127</v>
      </c>
      <c r="T2803">
        <v>446</v>
      </c>
      <c r="U2803" t="s">
        <v>1907</v>
      </c>
      <c r="V2803">
        <v>38</v>
      </c>
      <c r="W2803" t="str">
        <f>HYPERLINK("Gene312-zp_tree_all.dnd", "Gene312-tree")</f>
        <v>Gene312-tree</v>
      </c>
      <c r="X2803">
        <v>7</v>
      </c>
      <c r="Y2803">
        <v>8</v>
      </c>
      <c r="Z2803">
        <v>7</v>
      </c>
      <c r="AA2803">
        <v>8</v>
      </c>
      <c r="AB2803">
        <v>0.53332999999999997</v>
      </c>
      <c r="AC2803" t="s">
        <v>152</v>
      </c>
      <c r="AD2803" t="s">
        <v>136</v>
      </c>
      <c r="AE2803" t="s">
        <v>62</v>
      </c>
      <c r="AF2803" t="s">
        <v>62</v>
      </c>
      <c r="AG2803">
        <v>2</v>
      </c>
      <c r="AH2803">
        <v>4</v>
      </c>
      <c r="AI2803">
        <v>13</v>
      </c>
      <c r="AJ2803">
        <v>0.23529</v>
      </c>
      <c r="AK2803">
        <v>0</v>
      </c>
      <c r="AL2803">
        <v>0</v>
      </c>
      <c r="AM2803">
        <v>0</v>
      </c>
      <c r="AN2803">
        <v>2</v>
      </c>
      <c r="AO2803">
        <v>0</v>
      </c>
      <c r="AP2803">
        <v>0</v>
      </c>
      <c r="AQ2803">
        <v>0</v>
      </c>
      <c r="AR2803">
        <v>0</v>
      </c>
      <c r="AS2803">
        <v>12</v>
      </c>
      <c r="AT2803">
        <v>0</v>
      </c>
      <c r="AU2803">
        <v>11</v>
      </c>
      <c r="AV2803">
        <v>11</v>
      </c>
      <c r="AW2803">
        <v>45</v>
      </c>
      <c r="AX2803">
        <v>14</v>
      </c>
      <c r="AY2803">
        <v>33</v>
      </c>
      <c r="AZ2803">
        <v>5</v>
      </c>
      <c r="BA2803" t="s">
        <v>2128</v>
      </c>
      <c r="BB2803" t="s">
        <v>2129</v>
      </c>
      <c r="BC2803">
        <v>0.58899999999999997</v>
      </c>
      <c r="BD2803" t="s">
        <v>65</v>
      </c>
      <c r="BE2803">
        <v>78</v>
      </c>
      <c r="BF2803">
        <v>19</v>
      </c>
      <c r="BG2803" t="s">
        <v>2130</v>
      </c>
      <c r="BH2803" t="s">
        <v>2131</v>
      </c>
      <c r="BI2803" t="s">
        <v>2132</v>
      </c>
      <c r="BJ2803">
        <v>7.6469999999999996E-2</v>
      </c>
      <c r="BK2803">
        <v>1</v>
      </c>
      <c r="BL2803" t="s">
        <v>69</v>
      </c>
      <c r="BM2803">
        <v>-0.68300000000000005</v>
      </c>
      <c r="BN2803">
        <v>-1.087</v>
      </c>
    </row>
    <row r="2804" spans="10:66">
      <c r="J2804">
        <v>0</v>
      </c>
      <c r="K2804">
        <v>6</v>
      </c>
      <c r="L2804">
        <v>1</v>
      </c>
      <c r="M2804" t="s">
        <v>25021</v>
      </c>
      <c r="N2804">
        <v>315</v>
      </c>
      <c r="O2804" t="s">
        <v>2148</v>
      </c>
      <c r="P2804" t="s">
        <v>62</v>
      </c>
      <c r="Q2804">
        <v>339159</v>
      </c>
      <c r="R2804">
        <v>339749</v>
      </c>
      <c r="S2804" t="s">
        <v>2149</v>
      </c>
      <c r="T2804">
        <v>197</v>
      </c>
      <c r="U2804" t="s">
        <v>108</v>
      </c>
      <c r="V2804">
        <v>44</v>
      </c>
      <c r="W2804" t="str">
        <f>HYPERLINK("Gene315-zp_tree_all.dnd", "Gene315-tree")</f>
        <v>Gene315-tree</v>
      </c>
      <c r="X2804">
        <v>25</v>
      </c>
      <c r="Y2804">
        <v>9</v>
      </c>
      <c r="Z2804">
        <v>6</v>
      </c>
      <c r="AA2804">
        <v>9</v>
      </c>
      <c r="AB2804">
        <v>0.6</v>
      </c>
      <c r="AC2804" t="s">
        <v>965</v>
      </c>
      <c r="AD2804" t="s">
        <v>135</v>
      </c>
      <c r="AE2804" t="s">
        <v>62</v>
      </c>
      <c r="AF2804" t="s">
        <v>62</v>
      </c>
      <c r="AG2804">
        <v>2</v>
      </c>
      <c r="AH2804">
        <v>7</v>
      </c>
      <c r="AI2804">
        <v>15</v>
      </c>
      <c r="AJ2804">
        <v>0.31818000000000002</v>
      </c>
      <c r="AK2804">
        <v>0</v>
      </c>
      <c r="AL2804">
        <v>0</v>
      </c>
      <c r="AM2804">
        <v>0</v>
      </c>
      <c r="AN2804">
        <v>2</v>
      </c>
      <c r="AO2804">
        <v>0</v>
      </c>
      <c r="AP2804">
        <v>2</v>
      </c>
      <c r="AQ2804">
        <v>1</v>
      </c>
      <c r="AR2804">
        <v>3</v>
      </c>
      <c r="AS2804">
        <v>12</v>
      </c>
      <c r="AT2804">
        <v>0.2</v>
      </c>
      <c r="AU2804">
        <v>11</v>
      </c>
      <c r="AV2804">
        <v>11</v>
      </c>
      <c r="AW2804">
        <v>22</v>
      </c>
      <c r="AX2804">
        <v>15</v>
      </c>
      <c r="AY2804">
        <v>12</v>
      </c>
      <c r="AZ2804">
        <v>7</v>
      </c>
      <c r="BA2804" t="s">
        <v>2150</v>
      </c>
      <c r="BB2804" t="s">
        <v>2151</v>
      </c>
      <c r="BC2804">
        <v>0.16700000000000001</v>
      </c>
      <c r="BD2804" t="s">
        <v>65</v>
      </c>
      <c r="BE2804">
        <v>34</v>
      </c>
      <c r="BF2804">
        <v>22</v>
      </c>
      <c r="BG2804" t="s">
        <v>2152</v>
      </c>
      <c r="BH2804" t="s">
        <v>2153</v>
      </c>
      <c r="BI2804" t="s">
        <v>2154</v>
      </c>
      <c r="BJ2804">
        <v>0.17887</v>
      </c>
      <c r="BK2804">
        <v>1</v>
      </c>
      <c r="BL2804" t="s">
        <v>69</v>
      </c>
      <c r="BM2804">
        <v>-0.73899999999999999</v>
      </c>
      <c r="BN2804">
        <v>-2.1230000000000002</v>
      </c>
    </row>
    <row r="2805" spans="10:66">
      <c r="J2805">
        <v>0</v>
      </c>
      <c r="K2805">
        <v>13</v>
      </c>
      <c r="L2805">
        <v>8</v>
      </c>
      <c r="M2805" t="s">
        <v>25021</v>
      </c>
      <c r="N2805">
        <v>317</v>
      </c>
      <c r="O2805" t="s">
        <v>2163</v>
      </c>
      <c r="P2805" t="s">
        <v>62</v>
      </c>
      <c r="Q2805">
        <v>340616</v>
      </c>
      <c r="R2805">
        <v>341374</v>
      </c>
      <c r="S2805" t="s">
        <v>2134</v>
      </c>
      <c r="T2805">
        <v>253</v>
      </c>
      <c r="U2805" t="s">
        <v>108</v>
      </c>
      <c r="V2805">
        <v>44</v>
      </c>
      <c r="W2805" t="str">
        <f>HYPERLINK("Gene317-zp_tree_all.dnd", "Gene317-tree")</f>
        <v>Gene317-tree</v>
      </c>
      <c r="X2805">
        <v>3</v>
      </c>
      <c r="Y2805">
        <v>10</v>
      </c>
      <c r="Z2805">
        <v>3</v>
      </c>
      <c r="AA2805">
        <v>10</v>
      </c>
      <c r="AB2805">
        <v>0.76922999999999997</v>
      </c>
      <c r="AC2805" t="s">
        <v>324</v>
      </c>
      <c r="AD2805" t="s">
        <v>117</v>
      </c>
      <c r="AE2805" t="s">
        <v>62</v>
      </c>
      <c r="AF2805" t="s">
        <v>62</v>
      </c>
      <c r="AG2805">
        <v>9</v>
      </c>
      <c r="AH2805">
        <v>21</v>
      </c>
      <c r="AI2805">
        <v>15</v>
      </c>
      <c r="AJ2805">
        <v>0.58333000000000002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7</v>
      </c>
      <c r="AQ2805">
        <v>6</v>
      </c>
      <c r="AR2805">
        <v>13</v>
      </c>
      <c r="AS2805">
        <v>11</v>
      </c>
      <c r="AT2805">
        <v>0.54166999999999998</v>
      </c>
      <c r="AU2805">
        <v>12</v>
      </c>
      <c r="AV2805">
        <v>9</v>
      </c>
      <c r="AW2805">
        <v>35</v>
      </c>
      <c r="AX2805">
        <v>26</v>
      </c>
      <c r="AY2805">
        <v>20</v>
      </c>
      <c r="AZ2805">
        <v>12</v>
      </c>
      <c r="BA2805" t="s">
        <v>2164</v>
      </c>
      <c r="BB2805" t="s">
        <v>2165</v>
      </c>
      <c r="BC2805">
        <v>0.23400000000000001</v>
      </c>
      <c r="BD2805" t="s">
        <v>65</v>
      </c>
      <c r="BE2805">
        <v>55</v>
      </c>
      <c r="BF2805">
        <v>38</v>
      </c>
      <c r="BG2805" t="s">
        <v>2166</v>
      </c>
      <c r="BH2805" t="s">
        <v>2167</v>
      </c>
      <c r="BI2805" t="s">
        <v>2168</v>
      </c>
      <c r="BJ2805">
        <v>0.19933000000000001</v>
      </c>
      <c r="BK2805">
        <v>1</v>
      </c>
      <c r="BL2805" t="s">
        <v>69</v>
      </c>
      <c r="BM2805">
        <v>-0.61699999999999999</v>
      </c>
      <c r="BN2805">
        <v>-2.0739999999999998</v>
      </c>
    </row>
    <row r="2806" spans="10:66">
      <c r="J2806">
        <v>0</v>
      </c>
      <c r="K2806">
        <v>6</v>
      </c>
      <c r="L2806">
        <v>1</v>
      </c>
      <c r="M2806" t="s">
        <v>25021</v>
      </c>
      <c r="N2806">
        <v>325</v>
      </c>
      <c r="O2806" t="s">
        <v>2219</v>
      </c>
      <c r="P2806" t="s">
        <v>62</v>
      </c>
      <c r="Q2806">
        <v>349999</v>
      </c>
      <c r="R2806">
        <v>350853</v>
      </c>
      <c r="S2806" t="s">
        <v>116</v>
      </c>
      <c r="T2806">
        <v>285</v>
      </c>
      <c r="U2806" t="s">
        <v>2220</v>
      </c>
      <c r="V2806">
        <v>46</v>
      </c>
      <c r="W2806" t="str">
        <f>HYPERLINK("Gene325-zp_tree_all.dnd", "Gene325-tree")</f>
        <v>Gene325-tree</v>
      </c>
      <c r="X2806">
        <v>6</v>
      </c>
      <c r="Y2806">
        <v>10</v>
      </c>
      <c r="Z2806">
        <v>6</v>
      </c>
      <c r="AA2806">
        <v>10</v>
      </c>
      <c r="AB2806">
        <v>0.625</v>
      </c>
      <c r="AC2806" t="s">
        <v>90</v>
      </c>
      <c r="AD2806" t="s">
        <v>117</v>
      </c>
      <c r="AE2806" t="s">
        <v>62</v>
      </c>
      <c r="AF2806" t="s">
        <v>62</v>
      </c>
      <c r="AG2806">
        <v>3</v>
      </c>
      <c r="AH2806">
        <v>7</v>
      </c>
      <c r="AI2806">
        <v>16</v>
      </c>
      <c r="AJ2806">
        <v>0.30435000000000001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2</v>
      </c>
      <c r="AQ2806">
        <v>2</v>
      </c>
      <c r="AR2806">
        <v>4</v>
      </c>
      <c r="AS2806">
        <v>15</v>
      </c>
      <c r="AT2806">
        <v>0.21052999999999999</v>
      </c>
      <c r="AU2806">
        <v>15</v>
      </c>
      <c r="AV2806">
        <v>12</v>
      </c>
      <c r="AW2806">
        <v>60</v>
      </c>
      <c r="AX2806">
        <v>19</v>
      </c>
      <c r="AY2806">
        <v>42</v>
      </c>
      <c r="AZ2806">
        <v>5</v>
      </c>
      <c r="BA2806" t="s">
        <v>2221</v>
      </c>
      <c r="BB2806" t="s">
        <v>2222</v>
      </c>
      <c r="BC2806">
        <v>0.56599999999999995</v>
      </c>
      <c r="BD2806" t="s">
        <v>65</v>
      </c>
      <c r="BE2806">
        <v>102</v>
      </c>
      <c r="BF2806">
        <v>24</v>
      </c>
      <c r="BG2806" t="s">
        <v>2223</v>
      </c>
      <c r="BH2806" t="s">
        <v>2224</v>
      </c>
      <c r="BI2806" t="s">
        <v>2225</v>
      </c>
      <c r="BJ2806">
        <v>6.0510000000000001E-2</v>
      </c>
      <c r="BK2806">
        <v>1</v>
      </c>
      <c r="BL2806" t="s">
        <v>69</v>
      </c>
      <c r="BM2806">
        <v>-1.5129999999999999</v>
      </c>
      <c r="BN2806">
        <v>-1.5840000000000001</v>
      </c>
    </row>
    <row r="2807" spans="10:66">
      <c r="J2807">
        <v>0</v>
      </c>
      <c r="K2807">
        <v>2</v>
      </c>
      <c r="L2807">
        <v>0</v>
      </c>
      <c r="M2807" t="s">
        <v>25021</v>
      </c>
      <c r="N2807">
        <v>326</v>
      </c>
      <c r="O2807" t="s">
        <v>2226</v>
      </c>
      <c r="P2807" t="s">
        <v>62</v>
      </c>
      <c r="Q2807">
        <v>350861</v>
      </c>
      <c r="R2807">
        <v>351742</v>
      </c>
      <c r="S2807" t="s">
        <v>1123</v>
      </c>
      <c r="T2807">
        <v>294</v>
      </c>
      <c r="U2807" t="s">
        <v>289</v>
      </c>
      <c r="V2807">
        <v>46</v>
      </c>
      <c r="W2807" t="str">
        <f>HYPERLINK("Gene326-zp_tree_all.dnd", "Gene326-tree")</f>
        <v>Gene326-tree</v>
      </c>
      <c r="X2807">
        <v>8</v>
      </c>
      <c r="Y2807">
        <v>6</v>
      </c>
      <c r="Z2807">
        <v>8</v>
      </c>
      <c r="AA2807">
        <v>6</v>
      </c>
      <c r="AB2807">
        <v>0.42857000000000001</v>
      </c>
      <c r="AC2807" t="s">
        <v>136</v>
      </c>
      <c r="AD2807" t="s">
        <v>90</v>
      </c>
      <c r="AE2807" t="s">
        <v>62</v>
      </c>
      <c r="AF2807" t="s">
        <v>62</v>
      </c>
      <c r="AG2807">
        <v>1</v>
      </c>
      <c r="AH2807">
        <v>2</v>
      </c>
      <c r="AI2807">
        <v>8</v>
      </c>
      <c r="AJ2807">
        <v>0.2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8</v>
      </c>
      <c r="AT2807">
        <v>0</v>
      </c>
      <c r="AU2807">
        <v>11</v>
      </c>
      <c r="AV2807">
        <v>7</v>
      </c>
      <c r="AW2807">
        <v>29</v>
      </c>
      <c r="AX2807">
        <v>8</v>
      </c>
      <c r="AY2807">
        <v>38</v>
      </c>
      <c r="AZ2807">
        <v>2</v>
      </c>
      <c r="BA2807" t="s">
        <v>2227</v>
      </c>
      <c r="BB2807" t="s">
        <v>2228</v>
      </c>
      <c r="BC2807">
        <v>1.7969999999999999</v>
      </c>
      <c r="BD2807" t="s">
        <v>65</v>
      </c>
      <c r="BE2807">
        <v>67</v>
      </c>
      <c r="BF2807">
        <v>10</v>
      </c>
      <c r="BG2807" t="s">
        <v>2229</v>
      </c>
      <c r="BH2807" t="s">
        <v>2230</v>
      </c>
      <c r="BI2807" t="s">
        <v>2231</v>
      </c>
      <c r="BJ2807">
        <v>3.218E-2</v>
      </c>
      <c r="BK2807">
        <v>1</v>
      </c>
      <c r="BL2807" t="s">
        <v>69</v>
      </c>
      <c r="BM2807">
        <v>-1.1259999999999999</v>
      </c>
      <c r="BN2807">
        <v>-0.57099999999999995</v>
      </c>
    </row>
    <row r="2808" spans="10:66">
      <c r="J2808">
        <v>0</v>
      </c>
      <c r="K2808">
        <v>18</v>
      </c>
      <c r="L2808">
        <v>10</v>
      </c>
      <c r="M2808" t="s">
        <v>25021</v>
      </c>
      <c r="N2808">
        <v>327</v>
      </c>
      <c r="O2808" t="s">
        <v>2232</v>
      </c>
      <c r="P2808" t="s">
        <v>62</v>
      </c>
      <c r="Q2808">
        <v>351845</v>
      </c>
      <c r="R2808">
        <v>352696</v>
      </c>
      <c r="S2808" t="s">
        <v>2233</v>
      </c>
      <c r="T2808">
        <v>284</v>
      </c>
      <c r="U2808" t="s">
        <v>108</v>
      </c>
      <c r="V2808">
        <v>44</v>
      </c>
      <c r="W2808" t="str">
        <f>HYPERLINK("Gene327-zp_tree_all.dnd", "Gene327-tree")</f>
        <v>Gene327-tree</v>
      </c>
      <c r="X2808">
        <v>4</v>
      </c>
      <c r="Y2808">
        <v>11</v>
      </c>
      <c r="Z2808">
        <v>4</v>
      </c>
      <c r="AA2808">
        <v>11</v>
      </c>
      <c r="AB2808">
        <v>0.73333000000000004</v>
      </c>
      <c r="AC2808" t="s">
        <v>61</v>
      </c>
      <c r="AD2808" t="s">
        <v>73</v>
      </c>
      <c r="AE2808">
        <v>200307210.301</v>
      </c>
      <c r="AF2808" t="s">
        <v>267</v>
      </c>
      <c r="AG2808">
        <v>11</v>
      </c>
      <c r="AH2808">
        <v>28</v>
      </c>
      <c r="AI2808">
        <v>22</v>
      </c>
      <c r="AJ2808">
        <v>0.56000000000000005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7</v>
      </c>
      <c r="AQ2808">
        <v>5</v>
      </c>
      <c r="AR2808">
        <v>12</v>
      </c>
      <c r="AS2808">
        <v>18</v>
      </c>
      <c r="AT2808">
        <v>0.4</v>
      </c>
      <c r="AU2808">
        <v>13</v>
      </c>
      <c r="AV2808">
        <v>11</v>
      </c>
      <c r="AW2808">
        <v>36</v>
      </c>
      <c r="AX2808">
        <v>31</v>
      </c>
      <c r="AY2808">
        <v>28</v>
      </c>
      <c r="AZ2808">
        <v>23</v>
      </c>
      <c r="BA2808" t="s">
        <v>2234</v>
      </c>
      <c r="BB2808" t="s">
        <v>2235</v>
      </c>
      <c r="BC2808">
        <v>9.8000000000000004E-2</v>
      </c>
      <c r="BD2808" t="s">
        <v>65</v>
      </c>
      <c r="BE2808">
        <v>64</v>
      </c>
      <c r="BF2808">
        <v>54</v>
      </c>
      <c r="BG2808" t="s">
        <v>2236</v>
      </c>
      <c r="BH2808" t="s">
        <v>2237</v>
      </c>
      <c r="BI2808" t="s">
        <v>2238</v>
      </c>
      <c r="BJ2808">
        <v>0.26521</v>
      </c>
      <c r="BK2808">
        <v>1</v>
      </c>
      <c r="BL2808" t="s">
        <v>69</v>
      </c>
      <c r="BM2808">
        <v>0.248</v>
      </c>
      <c r="BN2808">
        <v>-0.10100000000000001</v>
      </c>
    </row>
    <row r="2809" spans="10:66">
      <c r="J2809">
        <v>0</v>
      </c>
      <c r="K2809">
        <v>36</v>
      </c>
      <c r="L2809">
        <v>0</v>
      </c>
      <c r="M2809" t="s">
        <v>25021</v>
      </c>
      <c r="N2809">
        <v>329</v>
      </c>
      <c r="O2809" t="s">
        <v>2246</v>
      </c>
      <c r="P2809" t="s">
        <v>62</v>
      </c>
      <c r="Q2809">
        <v>353903</v>
      </c>
      <c r="R2809">
        <v>355351</v>
      </c>
      <c r="S2809" t="s">
        <v>2247</v>
      </c>
      <c r="T2809">
        <v>483</v>
      </c>
      <c r="U2809" t="s">
        <v>108</v>
      </c>
      <c r="V2809">
        <v>44</v>
      </c>
      <c r="W2809" t="str">
        <f>HYPERLINK("Gene329-zp_tree_all.dnd", "Gene329-tree")</f>
        <v>Gene329-tree</v>
      </c>
      <c r="X2809">
        <v>4</v>
      </c>
      <c r="Y2809">
        <v>12</v>
      </c>
      <c r="Z2809">
        <v>4</v>
      </c>
      <c r="AA2809">
        <v>12</v>
      </c>
      <c r="AB2809">
        <v>0.75</v>
      </c>
      <c r="AC2809" t="s">
        <v>61</v>
      </c>
      <c r="AD2809" t="s">
        <v>109</v>
      </c>
      <c r="AE2809" t="s">
        <v>62</v>
      </c>
      <c r="AF2809" t="s">
        <v>62</v>
      </c>
      <c r="AG2809">
        <v>14</v>
      </c>
      <c r="AH2809">
        <v>36</v>
      </c>
      <c r="AI2809">
        <v>29</v>
      </c>
      <c r="AJ2809">
        <v>0.55384999999999995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15</v>
      </c>
      <c r="AQ2809">
        <v>2</v>
      </c>
      <c r="AR2809">
        <v>17</v>
      </c>
      <c r="AS2809">
        <v>24</v>
      </c>
      <c r="AT2809">
        <v>0.41463</v>
      </c>
      <c r="AU2809">
        <v>15</v>
      </c>
      <c r="AV2809">
        <v>13</v>
      </c>
      <c r="AW2809">
        <v>81</v>
      </c>
      <c r="AX2809">
        <v>44</v>
      </c>
      <c r="AY2809">
        <v>43</v>
      </c>
      <c r="AZ2809">
        <v>28</v>
      </c>
      <c r="BA2809" t="s">
        <v>2248</v>
      </c>
      <c r="BB2809" t="s">
        <v>2249</v>
      </c>
      <c r="BC2809">
        <v>0.32200000000000001</v>
      </c>
      <c r="BD2809" t="s">
        <v>65</v>
      </c>
      <c r="BE2809">
        <v>124</v>
      </c>
      <c r="BF2809">
        <v>72</v>
      </c>
      <c r="BG2809" t="s">
        <v>2250</v>
      </c>
      <c r="BH2809" t="s">
        <v>2251</v>
      </c>
      <c r="BI2809" t="s">
        <v>2252</v>
      </c>
      <c r="BJ2809">
        <v>0.20674000000000001</v>
      </c>
      <c r="BK2809">
        <v>1</v>
      </c>
      <c r="BL2809" t="s">
        <v>69</v>
      </c>
      <c r="BM2809">
        <v>-8.6999999999999994E-2</v>
      </c>
      <c r="BN2809">
        <v>-0.191</v>
      </c>
    </row>
    <row r="2810" spans="10:66">
      <c r="J2810">
        <v>0</v>
      </c>
      <c r="K2810">
        <v>0</v>
      </c>
      <c r="L2810">
        <v>0</v>
      </c>
      <c r="M2810" t="s">
        <v>25021</v>
      </c>
      <c r="N2810">
        <v>330</v>
      </c>
      <c r="O2810" t="s">
        <v>2253</v>
      </c>
      <c r="P2810" t="s">
        <v>62</v>
      </c>
      <c r="Q2810">
        <v>355415</v>
      </c>
      <c r="R2810">
        <v>355732</v>
      </c>
      <c r="S2810" t="s">
        <v>2254</v>
      </c>
      <c r="T2810">
        <v>106</v>
      </c>
      <c r="U2810" t="s">
        <v>698</v>
      </c>
      <c r="V2810">
        <v>47</v>
      </c>
      <c r="W2810" t="str">
        <f>HYPERLINK("Gene330-zp_tree_all.dnd", "Gene330-tree")</f>
        <v>Gene330-tree</v>
      </c>
      <c r="X2810">
        <v>8</v>
      </c>
      <c r="Y2810">
        <v>3</v>
      </c>
      <c r="Z2810">
        <v>8</v>
      </c>
      <c r="AA2810">
        <v>3</v>
      </c>
      <c r="AB2810">
        <v>0.27272999999999997</v>
      </c>
      <c r="AC2810" t="s">
        <v>136</v>
      </c>
      <c r="AD2810" t="s">
        <v>324</v>
      </c>
      <c r="AE2810" t="s">
        <v>62</v>
      </c>
      <c r="AF2810" t="s">
        <v>62</v>
      </c>
      <c r="AG2810">
        <v>0</v>
      </c>
      <c r="AH2810">
        <v>0</v>
      </c>
      <c r="AI2810">
        <v>5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3</v>
      </c>
      <c r="AT2810">
        <v>0</v>
      </c>
      <c r="AU2810">
        <v>7</v>
      </c>
      <c r="AV2810">
        <v>5</v>
      </c>
      <c r="AW2810">
        <v>6</v>
      </c>
      <c r="AX2810">
        <v>3</v>
      </c>
      <c r="AY2810">
        <v>11</v>
      </c>
      <c r="AZ2810">
        <v>2</v>
      </c>
      <c r="BA2810" t="s">
        <v>2255</v>
      </c>
      <c r="BB2810" t="s">
        <v>2256</v>
      </c>
      <c r="BC2810">
        <v>0.77100000000000002</v>
      </c>
      <c r="BD2810" t="s">
        <v>65</v>
      </c>
      <c r="BE2810">
        <v>17</v>
      </c>
      <c r="BF2810">
        <v>5</v>
      </c>
      <c r="BG2810" t="s">
        <v>2257</v>
      </c>
      <c r="BH2810" t="s">
        <v>2258</v>
      </c>
      <c r="BI2810" t="s">
        <v>2259</v>
      </c>
      <c r="BJ2810">
        <v>7.2220000000000006E-2</v>
      </c>
      <c r="BK2810">
        <v>1</v>
      </c>
      <c r="BL2810" t="s">
        <v>69</v>
      </c>
      <c r="BM2810">
        <v>-1.238</v>
      </c>
      <c r="BN2810">
        <v>-0.39900000000000002</v>
      </c>
    </row>
    <row r="2811" spans="10:66">
      <c r="J2811">
        <v>0</v>
      </c>
      <c r="K2811">
        <v>17</v>
      </c>
      <c r="L2811">
        <v>3</v>
      </c>
      <c r="M2811" t="s">
        <v>25021</v>
      </c>
      <c r="N2811">
        <v>331</v>
      </c>
      <c r="O2811" t="s">
        <v>2260</v>
      </c>
      <c r="P2811" t="s">
        <v>62</v>
      </c>
      <c r="Q2811">
        <v>355767</v>
      </c>
      <c r="R2811">
        <v>358181</v>
      </c>
      <c r="S2811" t="s">
        <v>2254</v>
      </c>
      <c r="T2811">
        <v>805</v>
      </c>
      <c r="U2811" t="s">
        <v>409</v>
      </c>
      <c r="V2811">
        <v>45</v>
      </c>
      <c r="W2811" t="str">
        <f>HYPERLINK("Gene331-zp_tree_all.dnd", "Gene331-tree")</f>
        <v>Gene331-tree</v>
      </c>
      <c r="X2811">
        <v>8</v>
      </c>
      <c r="Y2811">
        <v>11</v>
      </c>
      <c r="Z2811">
        <v>8</v>
      </c>
      <c r="AA2811">
        <v>11</v>
      </c>
      <c r="AB2811">
        <v>0.57894999999999996</v>
      </c>
      <c r="AC2811" t="s">
        <v>136</v>
      </c>
      <c r="AD2811" t="s">
        <v>73</v>
      </c>
      <c r="AE2811">
        <v>42922973.636</v>
      </c>
      <c r="AF2811" t="s">
        <v>267</v>
      </c>
      <c r="AG2811">
        <v>9</v>
      </c>
      <c r="AH2811">
        <v>20</v>
      </c>
      <c r="AI2811">
        <v>32</v>
      </c>
      <c r="AJ2811">
        <v>0.38462000000000002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6</v>
      </c>
      <c r="AQ2811">
        <v>2</v>
      </c>
      <c r="AR2811">
        <v>8</v>
      </c>
      <c r="AS2811">
        <v>30</v>
      </c>
      <c r="AT2811">
        <v>0.21052999999999999</v>
      </c>
      <c r="AU2811">
        <v>18</v>
      </c>
      <c r="AV2811">
        <v>15</v>
      </c>
      <c r="AW2811">
        <v>189</v>
      </c>
      <c r="AX2811">
        <v>38</v>
      </c>
      <c r="AY2811">
        <v>85</v>
      </c>
      <c r="AZ2811">
        <v>15</v>
      </c>
      <c r="BA2811" t="s">
        <v>2261</v>
      </c>
      <c r="BB2811" t="s">
        <v>2262</v>
      </c>
      <c r="BC2811">
        <v>0.06</v>
      </c>
      <c r="BD2811" t="s">
        <v>65</v>
      </c>
      <c r="BE2811">
        <v>274</v>
      </c>
      <c r="BF2811">
        <v>53</v>
      </c>
      <c r="BG2811" t="s">
        <v>2263</v>
      </c>
      <c r="BH2811" t="s">
        <v>2264</v>
      </c>
      <c r="BI2811" t="s">
        <v>2265</v>
      </c>
      <c r="BJ2811">
        <v>5.3539999999999997E-2</v>
      </c>
      <c r="BK2811">
        <v>1</v>
      </c>
      <c r="BL2811" t="s">
        <v>69</v>
      </c>
      <c r="BM2811">
        <v>-1.198</v>
      </c>
      <c r="BN2811">
        <v>-2.9769999999999999</v>
      </c>
    </row>
    <row r="2812" spans="10:66">
      <c r="J2812">
        <v>0</v>
      </c>
      <c r="K2812">
        <v>45</v>
      </c>
      <c r="L2812">
        <v>4</v>
      </c>
      <c r="M2812" t="s">
        <v>25021</v>
      </c>
      <c r="N2812">
        <v>332</v>
      </c>
      <c r="O2812" t="s">
        <v>2266</v>
      </c>
      <c r="P2812" t="s">
        <v>62</v>
      </c>
      <c r="Q2812">
        <v>358306</v>
      </c>
      <c r="R2812">
        <v>360435</v>
      </c>
      <c r="S2812" t="s">
        <v>2267</v>
      </c>
      <c r="T2812">
        <v>710</v>
      </c>
      <c r="U2812" t="s">
        <v>108</v>
      </c>
      <c r="V2812">
        <v>44</v>
      </c>
      <c r="W2812" t="str">
        <f>HYPERLINK("Gene332-zp_tree_all.dnd", "Gene332-tree")</f>
        <v>Gene332-tree</v>
      </c>
      <c r="X2812">
        <v>0</v>
      </c>
      <c r="Y2812">
        <v>17</v>
      </c>
      <c r="Z2812">
        <v>0</v>
      </c>
      <c r="AA2812">
        <v>17</v>
      </c>
      <c r="AB2812">
        <v>1</v>
      </c>
      <c r="AC2812" t="s">
        <v>62</v>
      </c>
      <c r="AD2812" t="s">
        <v>266</v>
      </c>
      <c r="AE2812">
        <v>69600344.844999999</v>
      </c>
      <c r="AF2812" t="s">
        <v>65</v>
      </c>
      <c r="AG2812">
        <v>16</v>
      </c>
      <c r="AH2812">
        <v>49</v>
      </c>
      <c r="AI2812">
        <v>39</v>
      </c>
      <c r="AJ2812">
        <v>0.55681999999999998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17</v>
      </c>
      <c r="AQ2812">
        <v>1</v>
      </c>
      <c r="AR2812">
        <v>18</v>
      </c>
      <c r="AS2812">
        <v>36</v>
      </c>
      <c r="AT2812">
        <v>0.33333000000000002</v>
      </c>
      <c r="AU2812">
        <v>16</v>
      </c>
      <c r="AV2812">
        <v>14</v>
      </c>
      <c r="AW2812">
        <v>141</v>
      </c>
      <c r="AX2812">
        <v>54</v>
      </c>
      <c r="AY2812">
        <v>109</v>
      </c>
      <c r="AZ2812">
        <v>37</v>
      </c>
      <c r="BA2812" t="s">
        <v>2268</v>
      </c>
      <c r="BB2812" t="s">
        <v>2269</v>
      </c>
      <c r="BC2812">
        <v>0.214</v>
      </c>
      <c r="BD2812" t="s">
        <v>65</v>
      </c>
      <c r="BE2812">
        <v>250</v>
      </c>
      <c r="BF2812">
        <v>91</v>
      </c>
      <c r="BG2812" t="s">
        <v>2270</v>
      </c>
      <c r="BH2812" t="s">
        <v>2271</v>
      </c>
      <c r="BI2812" t="s">
        <v>2272</v>
      </c>
      <c r="BJ2812">
        <v>9.6869999999999998E-2</v>
      </c>
      <c r="BK2812">
        <v>1</v>
      </c>
      <c r="BL2812" t="s">
        <v>69</v>
      </c>
      <c r="BM2812">
        <v>0.316</v>
      </c>
      <c r="BN2812">
        <v>-0.29699999999999999</v>
      </c>
    </row>
    <row r="2813" spans="10:66">
      <c r="J2813">
        <v>0</v>
      </c>
      <c r="K2813">
        <v>73</v>
      </c>
      <c r="L2813">
        <v>6</v>
      </c>
      <c r="M2813" t="s">
        <v>25021</v>
      </c>
      <c r="N2813">
        <v>333</v>
      </c>
      <c r="O2813" t="s">
        <v>2273</v>
      </c>
      <c r="P2813" t="s">
        <v>62</v>
      </c>
      <c r="Q2813">
        <v>360445</v>
      </c>
      <c r="R2813">
        <v>362757</v>
      </c>
      <c r="S2813" t="s">
        <v>2274</v>
      </c>
      <c r="T2813">
        <v>771</v>
      </c>
      <c r="U2813" t="s">
        <v>108</v>
      </c>
      <c r="V2813">
        <v>44</v>
      </c>
      <c r="W2813" t="str">
        <f>HYPERLINK("Gene333-zp_tree_all.dnd", "Gene333-tree")</f>
        <v>Gene333-tree</v>
      </c>
      <c r="X2813">
        <v>3</v>
      </c>
      <c r="Y2813">
        <v>13</v>
      </c>
      <c r="Z2813">
        <v>3</v>
      </c>
      <c r="AA2813">
        <v>13</v>
      </c>
      <c r="AB2813">
        <v>0.8125</v>
      </c>
      <c r="AC2813" t="s">
        <v>324</v>
      </c>
      <c r="AD2813" t="s">
        <v>507</v>
      </c>
      <c r="AE2813" t="s">
        <v>62</v>
      </c>
      <c r="AF2813" t="s">
        <v>62</v>
      </c>
      <c r="AG2813">
        <v>31</v>
      </c>
      <c r="AH2813">
        <v>79</v>
      </c>
      <c r="AI2813">
        <v>43</v>
      </c>
      <c r="AJ2813">
        <v>0.64754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28</v>
      </c>
      <c r="AQ2813">
        <v>8</v>
      </c>
      <c r="AR2813">
        <v>36</v>
      </c>
      <c r="AS2813">
        <v>49</v>
      </c>
      <c r="AT2813">
        <v>0.42353000000000002</v>
      </c>
      <c r="AU2813">
        <v>14</v>
      </c>
      <c r="AV2813">
        <v>13</v>
      </c>
      <c r="AW2813">
        <v>87</v>
      </c>
      <c r="AX2813">
        <v>85</v>
      </c>
      <c r="AY2813">
        <v>42</v>
      </c>
      <c r="AZ2813">
        <v>37</v>
      </c>
      <c r="BA2813" t="s">
        <v>2275</v>
      </c>
      <c r="BB2813" t="s">
        <v>2276</v>
      </c>
      <c r="BC2813">
        <v>0.26300000000000001</v>
      </c>
      <c r="BD2813" t="s">
        <v>65</v>
      </c>
      <c r="BE2813">
        <v>129</v>
      </c>
      <c r="BF2813">
        <v>122</v>
      </c>
      <c r="BG2813" t="s">
        <v>2277</v>
      </c>
      <c r="BH2813" t="s">
        <v>2278</v>
      </c>
      <c r="BI2813" t="s">
        <v>2279</v>
      </c>
      <c r="BJ2813">
        <v>0.26201000000000002</v>
      </c>
      <c r="BK2813">
        <v>1</v>
      </c>
      <c r="BL2813" t="s">
        <v>69</v>
      </c>
      <c r="BM2813">
        <v>-0.92900000000000005</v>
      </c>
      <c r="BN2813">
        <v>-1.581</v>
      </c>
    </row>
    <row r="2814" spans="10:66">
      <c r="J2814">
        <v>0</v>
      </c>
      <c r="K2814">
        <v>0</v>
      </c>
      <c r="L2814">
        <v>0</v>
      </c>
      <c r="M2814" t="s">
        <v>25021</v>
      </c>
      <c r="N2814">
        <v>339</v>
      </c>
      <c r="O2814" t="s">
        <v>2309</v>
      </c>
      <c r="P2814" t="s">
        <v>62</v>
      </c>
      <c r="Q2814">
        <v>367308</v>
      </c>
      <c r="R2814">
        <v>367985</v>
      </c>
      <c r="S2814" t="s">
        <v>2310</v>
      </c>
      <c r="T2814">
        <v>226</v>
      </c>
      <c r="U2814" t="s">
        <v>108</v>
      </c>
      <c r="V2814">
        <v>44</v>
      </c>
      <c r="W2814" t="str">
        <f>HYPERLINK("Gene339-zp_tree_all.dnd", "Gene339-tree")</f>
        <v>Gene339-tree</v>
      </c>
      <c r="X2814">
        <v>9</v>
      </c>
      <c r="Y2814">
        <v>5</v>
      </c>
      <c r="Z2814">
        <v>9</v>
      </c>
      <c r="AA2814">
        <v>5</v>
      </c>
      <c r="AB2814">
        <v>0.35714000000000001</v>
      </c>
      <c r="AC2814" t="s">
        <v>135</v>
      </c>
      <c r="AD2814" t="s">
        <v>199</v>
      </c>
      <c r="AE2814" t="s">
        <v>62</v>
      </c>
      <c r="AF2814" t="s">
        <v>62</v>
      </c>
      <c r="AG2814">
        <v>0</v>
      </c>
      <c r="AH2814">
        <v>0</v>
      </c>
      <c r="AI2814">
        <v>10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9</v>
      </c>
      <c r="AT2814">
        <v>0</v>
      </c>
      <c r="AU2814">
        <v>13</v>
      </c>
      <c r="AV2814">
        <v>6</v>
      </c>
      <c r="AW2814">
        <v>30</v>
      </c>
      <c r="AX2814">
        <v>9</v>
      </c>
      <c r="AY2814">
        <v>9</v>
      </c>
      <c r="AZ2814">
        <v>1</v>
      </c>
      <c r="BA2814" t="s">
        <v>2311</v>
      </c>
      <c r="BB2814" t="s">
        <v>2312</v>
      </c>
      <c r="BC2814">
        <v>0.58699999999999997</v>
      </c>
      <c r="BD2814" t="s">
        <v>65</v>
      </c>
      <c r="BE2814">
        <v>39</v>
      </c>
      <c r="BF2814">
        <v>10</v>
      </c>
      <c r="BG2814" t="s">
        <v>2313</v>
      </c>
      <c r="BH2814" t="s">
        <v>2314</v>
      </c>
      <c r="BI2814" t="s">
        <v>2315</v>
      </c>
      <c r="BJ2814">
        <v>8.2239999999999994E-2</v>
      </c>
      <c r="BK2814">
        <v>1</v>
      </c>
      <c r="BL2814" t="s">
        <v>69</v>
      </c>
      <c r="BM2814">
        <v>-8.5999999999999993E-2</v>
      </c>
      <c r="BN2814">
        <v>-0.69199999999999995</v>
      </c>
    </row>
    <row r="2815" spans="10:66">
      <c r="J2815">
        <v>0</v>
      </c>
      <c r="K2815">
        <v>8</v>
      </c>
      <c r="L2815">
        <v>1</v>
      </c>
      <c r="M2815" t="s">
        <v>25021</v>
      </c>
      <c r="N2815">
        <v>340</v>
      </c>
      <c r="O2815" t="s">
        <v>2316</v>
      </c>
      <c r="P2815" t="s">
        <v>62</v>
      </c>
      <c r="Q2815">
        <v>367998</v>
      </c>
      <c r="R2815">
        <v>368858</v>
      </c>
      <c r="S2815" t="s">
        <v>2317</v>
      </c>
      <c r="T2815">
        <v>287</v>
      </c>
      <c r="U2815" t="s">
        <v>108</v>
      </c>
      <c r="V2815">
        <v>44</v>
      </c>
      <c r="W2815" t="str">
        <f>HYPERLINK("Gene340-zp_tree_all.dnd", "Gene340-tree")</f>
        <v>Gene340-tree</v>
      </c>
      <c r="X2815">
        <v>5</v>
      </c>
      <c r="Y2815">
        <v>8</v>
      </c>
      <c r="Z2815">
        <v>5</v>
      </c>
      <c r="AA2815">
        <v>8</v>
      </c>
      <c r="AB2815">
        <v>0.61538000000000004</v>
      </c>
      <c r="AC2815" t="s">
        <v>199</v>
      </c>
      <c r="AD2815" t="s">
        <v>136</v>
      </c>
      <c r="AE2815" t="s">
        <v>62</v>
      </c>
      <c r="AF2815" t="s">
        <v>62</v>
      </c>
      <c r="AG2815">
        <v>4</v>
      </c>
      <c r="AH2815">
        <v>9</v>
      </c>
      <c r="AI2815">
        <v>8</v>
      </c>
      <c r="AJ2815">
        <v>0.52941000000000005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4</v>
      </c>
      <c r="AQ2815">
        <v>1</v>
      </c>
      <c r="AR2815">
        <v>5</v>
      </c>
      <c r="AS2815">
        <v>6</v>
      </c>
      <c r="AT2815">
        <v>0.45455000000000001</v>
      </c>
      <c r="AU2815">
        <v>12</v>
      </c>
      <c r="AV2815">
        <v>9</v>
      </c>
      <c r="AW2815">
        <v>34</v>
      </c>
      <c r="AX2815">
        <v>10</v>
      </c>
      <c r="AY2815">
        <v>34</v>
      </c>
      <c r="AZ2815">
        <v>7</v>
      </c>
      <c r="BA2815" t="s">
        <v>2318</v>
      </c>
      <c r="BB2815" t="s">
        <v>2319</v>
      </c>
      <c r="BC2815">
        <v>0.41399999999999998</v>
      </c>
      <c r="BD2815" t="s">
        <v>65</v>
      </c>
      <c r="BE2815">
        <v>68</v>
      </c>
      <c r="BF2815">
        <v>17</v>
      </c>
      <c r="BG2815" t="s">
        <v>2320</v>
      </c>
      <c r="BH2815" t="s">
        <v>2321</v>
      </c>
      <c r="BI2815" t="s">
        <v>2322</v>
      </c>
      <c r="BJ2815">
        <v>7.8490000000000004E-2</v>
      </c>
      <c r="BK2815">
        <v>1</v>
      </c>
      <c r="BL2815" t="s">
        <v>69</v>
      </c>
      <c r="BM2815">
        <v>0.314</v>
      </c>
      <c r="BN2815">
        <v>0.01</v>
      </c>
    </row>
    <row r="2816" spans="10:66">
      <c r="J2816">
        <v>0</v>
      </c>
      <c r="K2816">
        <v>2</v>
      </c>
      <c r="L2816">
        <v>0</v>
      </c>
      <c r="M2816" t="s">
        <v>25021</v>
      </c>
      <c r="N2816">
        <v>344</v>
      </c>
      <c r="O2816" t="s">
        <v>2346</v>
      </c>
      <c r="P2816" t="s">
        <v>62</v>
      </c>
      <c r="Q2816">
        <v>371732</v>
      </c>
      <c r="R2816">
        <v>372127</v>
      </c>
      <c r="S2816" t="s">
        <v>2347</v>
      </c>
      <c r="T2816">
        <v>132</v>
      </c>
      <c r="U2816" t="s">
        <v>108</v>
      </c>
      <c r="V2816">
        <v>44</v>
      </c>
      <c r="W2816" t="str">
        <f>HYPERLINK("Gene344-zp_tree_all.dnd", "Gene344-tree")</f>
        <v>Gene344-tree</v>
      </c>
      <c r="X2816">
        <v>2</v>
      </c>
      <c r="Y2816">
        <v>9</v>
      </c>
      <c r="Z2816">
        <v>2</v>
      </c>
      <c r="AA2816">
        <v>9</v>
      </c>
      <c r="AB2816">
        <v>0.81818000000000002</v>
      </c>
      <c r="AC2816" t="s">
        <v>81</v>
      </c>
      <c r="AD2816" t="s">
        <v>135</v>
      </c>
      <c r="AE2816" t="s">
        <v>62</v>
      </c>
      <c r="AF2816" t="s">
        <v>62</v>
      </c>
      <c r="AG2816">
        <v>1</v>
      </c>
      <c r="AH2816">
        <v>2</v>
      </c>
      <c r="AI2816">
        <v>12</v>
      </c>
      <c r="AJ2816">
        <v>0.14285999999999999</v>
      </c>
      <c r="AK2816">
        <v>0</v>
      </c>
      <c r="AL2816">
        <v>0</v>
      </c>
      <c r="AM2816">
        <v>0</v>
      </c>
      <c r="AN2816">
        <v>1</v>
      </c>
      <c r="AO2816">
        <v>0</v>
      </c>
      <c r="AP2816">
        <v>2</v>
      </c>
      <c r="AQ2816">
        <v>0</v>
      </c>
      <c r="AR2816">
        <v>2</v>
      </c>
      <c r="AS2816">
        <v>11</v>
      </c>
      <c r="AT2816">
        <v>0.15384999999999999</v>
      </c>
      <c r="AU2816">
        <v>8</v>
      </c>
      <c r="AV2816">
        <v>4</v>
      </c>
      <c r="AW2816">
        <v>11</v>
      </c>
      <c r="AX2816">
        <v>9</v>
      </c>
      <c r="AY2816">
        <v>2</v>
      </c>
      <c r="AZ2816">
        <v>5</v>
      </c>
      <c r="BA2816" t="s">
        <v>2348</v>
      </c>
      <c r="BB2816" t="s">
        <v>2349</v>
      </c>
      <c r="BC2816">
        <v>0.75900000000000001</v>
      </c>
      <c r="BD2816" t="s">
        <v>65</v>
      </c>
      <c r="BE2816">
        <v>13</v>
      </c>
      <c r="BF2816">
        <v>14</v>
      </c>
      <c r="BG2816" t="s">
        <v>2350</v>
      </c>
      <c r="BH2816" t="s">
        <v>2351</v>
      </c>
      <c r="BI2816" t="s">
        <v>2352</v>
      </c>
      <c r="BJ2816">
        <v>0.36058000000000001</v>
      </c>
      <c r="BK2816">
        <v>0.97</v>
      </c>
      <c r="BL2816" t="s">
        <v>69</v>
      </c>
      <c r="BM2816">
        <v>-1.1850000000000001</v>
      </c>
      <c r="BN2816">
        <v>-2.5590000000000002</v>
      </c>
    </row>
    <row r="2817" spans="10:66">
      <c r="J2817">
        <v>0</v>
      </c>
      <c r="K2817">
        <v>0</v>
      </c>
      <c r="L2817">
        <v>2</v>
      </c>
      <c r="M2817" t="s">
        <v>25021</v>
      </c>
      <c r="N2817">
        <v>345</v>
      </c>
      <c r="O2817" t="s">
        <v>2353</v>
      </c>
      <c r="P2817" t="s">
        <v>62</v>
      </c>
      <c r="Q2817">
        <v>372157</v>
      </c>
      <c r="R2817">
        <v>372603</v>
      </c>
      <c r="S2817" t="s">
        <v>2354</v>
      </c>
      <c r="T2817">
        <v>149</v>
      </c>
      <c r="U2817" t="s">
        <v>265</v>
      </c>
      <c r="V2817">
        <v>43</v>
      </c>
      <c r="W2817" t="str">
        <f>HYPERLINK("Gene345-zp_tree_all.dnd", "Gene345-tree")</f>
        <v>Gene345-tree</v>
      </c>
      <c r="X2817">
        <v>7</v>
      </c>
      <c r="Y2817">
        <v>5</v>
      </c>
      <c r="Z2817">
        <v>7</v>
      </c>
      <c r="AA2817">
        <v>5</v>
      </c>
      <c r="AB2817">
        <v>0.41666999999999998</v>
      </c>
      <c r="AC2817" t="s">
        <v>152</v>
      </c>
      <c r="AD2817" t="s">
        <v>199</v>
      </c>
      <c r="AE2817" t="s">
        <v>62</v>
      </c>
      <c r="AF2817" t="s">
        <v>62</v>
      </c>
      <c r="AG2817">
        <v>1</v>
      </c>
      <c r="AH2817">
        <v>2</v>
      </c>
      <c r="AI2817">
        <v>5</v>
      </c>
      <c r="AJ2817">
        <v>0.28571000000000002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2</v>
      </c>
      <c r="AR2817">
        <v>2</v>
      </c>
      <c r="AS2817">
        <v>4</v>
      </c>
      <c r="AT2817">
        <v>0.33333000000000002</v>
      </c>
      <c r="AU2817">
        <v>8</v>
      </c>
      <c r="AV2817">
        <v>7</v>
      </c>
      <c r="AW2817">
        <v>6</v>
      </c>
      <c r="AX2817">
        <v>6</v>
      </c>
      <c r="AY2817">
        <v>8</v>
      </c>
      <c r="AZ2817">
        <v>1</v>
      </c>
      <c r="BA2817" t="s">
        <v>2355</v>
      </c>
      <c r="BB2817" t="s">
        <v>2356</v>
      </c>
      <c r="BC2817">
        <v>1.4059999999999999</v>
      </c>
      <c r="BD2817" t="s">
        <v>65</v>
      </c>
      <c r="BE2817">
        <v>14</v>
      </c>
      <c r="BF2817">
        <v>7</v>
      </c>
      <c r="BG2817" t="s">
        <v>2357</v>
      </c>
      <c r="BH2817" t="s">
        <v>2358</v>
      </c>
      <c r="BI2817" t="s">
        <v>2359</v>
      </c>
      <c r="BJ2817">
        <v>9.085E-2</v>
      </c>
      <c r="BK2817">
        <v>1</v>
      </c>
      <c r="BL2817" t="s">
        <v>69</v>
      </c>
      <c r="BM2817">
        <v>-0.623</v>
      </c>
      <c r="BN2817">
        <v>-0.66700000000000004</v>
      </c>
    </row>
    <row r="2818" spans="10:66">
      <c r="J2818">
        <v>0</v>
      </c>
      <c r="K2818">
        <v>15</v>
      </c>
      <c r="L2818">
        <v>4</v>
      </c>
      <c r="M2818" t="s">
        <v>25021</v>
      </c>
      <c r="N2818">
        <v>346</v>
      </c>
      <c r="O2818" t="s">
        <v>2360</v>
      </c>
      <c r="P2818" t="s">
        <v>62</v>
      </c>
      <c r="Q2818">
        <v>372774</v>
      </c>
      <c r="R2818">
        <v>374492</v>
      </c>
      <c r="S2818" t="s">
        <v>2361</v>
      </c>
      <c r="T2818">
        <v>573</v>
      </c>
      <c r="U2818" t="s">
        <v>108</v>
      </c>
      <c r="V2818">
        <v>44</v>
      </c>
      <c r="W2818" t="str">
        <f>HYPERLINK("Gene346-zp_tree_all.dnd", "Gene346-tree")</f>
        <v>Gene346-tree</v>
      </c>
      <c r="X2818">
        <v>2</v>
      </c>
      <c r="Y2818">
        <v>12</v>
      </c>
      <c r="Z2818">
        <v>2</v>
      </c>
      <c r="AA2818">
        <v>12</v>
      </c>
      <c r="AB2818">
        <v>0.85714000000000001</v>
      </c>
      <c r="AC2818" t="s">
        <v>81</v>
      </c>
      <c r="AD2818" t="s">
        <v>109</v>
      </c>
      <c r="AE2818" t="s">
        <v>62</v>
      </c>
      <c r="AF2818" t="s">
        <v>62</v>
      </c>
      <c r="AG2818">
        <v>8</v>
      </c>
      <c r="AH2818">
        <v>19</v>
      </c>
      <c r="AI2818">
        <v>20</v>
      </c>
      <c r="AJ2818">
        <v>0.48718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7</v>
      </c>
      <c r="AQ2818">
        <v>2</v>
      </c>
      <c r="AR2818">
        <v>9</v>
      </c>
      <c r="AS2818">
        <v>22</v>
      </c>
      <c r="AT2818">
        <v>0.29032000000000002</v>
      </c>
      <c r="AU2818">
        <v>13</v>
      </c>
      <c r="AV2818">
        <v>10</v>
      </c>
      <c r="AW2818">
        <v>62</v>
      </c>
      <c r="AX2818">
        <v>31</v>
      </c>
      <c r="AY2818">
        <v>22</v>
      </c>
      <c r="AZ2818">
        <v>9</v>
      </c>
      <c r="BA2818" t="s">
        <v>2362</v>
      </c>
      <c r="BB2818" t="s">
        <v>2363</v>
      </c>
      <c r="BC2818">
        <v>0.251</v>
      </c>
      <c r="BD2818" t="s">
        <v>65</v>
      </c>
      <c r="BE2818">
        <v>84</v>
      </c>
      <c r="BF2818">
        <v>40</v>
      </c>
      <c r="BG2818" t="s">
        <v>2364</v>
      </c>
      <c r="BH2818" t="s">
        <v>2365</v>
      </c>
      <c r="BI2818" t="s">
        <v>2366</v>
      </c>
      <c r="BJ2818">
        <v>0.13952000000000001</v>
      </c>
      <c r="BK2818">
        <v>1</v>
      </c>
      <c r="BL2818" t="s">
        <v>69</v>
      </c>
      <c r="BM2818">
        <v>-0.94499999999999995</v>
      </c>
      <c r="BN2818">
        <v>-1.9370000000000001</v>
      </c>
    </row>
    <row r="2819" spans="10:66">
      <c r="J2819">
        <v>0</v>
      </c>
      <c r="K2819">
        <v>2</v>
      </c>
      <c r="L2819">
        <v>0</v>
      </c>
      <c r="M2819" t="s">
        <v>25021</v>
      </c>
      <c r="N2819">
        <v>347</v>
      </c>
      <c r="O2819" t="s">
        <v>2367</v>
      </c>
      <c r="P2819" t="s">
        <v>62</v>
      </c>
      <c r="Q2819">
        <v>374606</v>
      </c>
      <c r="R2819">
        <v>375160</v>
      </c>
      <c r="S2819" t="s">
        <v>2368</v>
      </c>
      <c r="T2819">
        <v>185</v>
      </c>
      <c r="U2819" t="s">
        <v>629</v>
      </c>
      <c r="V2819">
        <v>43</v>
      </c>
      <c r="W2819" t="str">
        <f>HYPERLINK("Gene347-zp_tree_all.dnd", "Gene347-tree")</f>
        <v>Gene347-tree</v>
      </c>
      <c r="X2819">
        <v>5</v>
      </c>
      <c r="Y2819">
        <v>8</v>
      </c>
      <c r="Z2819">
        <v>5</v>
      </c>
      <c r="AA2819">
        <v>8</v>
      </c>
      <c r="AB2819">
        <v>0.61538000000000004</v>
      </c>
      <c r="AC2819" t="s">
        <v>199</v>
      </c>
      <c r="AD2819" t="s">
        <v>136</v>
      </c>
      <c r="AE2819" t="s">
        <v>62</v>
      </c>
      <c r="AF2819" t="s">
        <v>62</v>
      </c>
      <c r="AG2819">
        <v>1</v>
      </c>
      <c r="AH2819">
        <v>2</v>
      </c>
      <c r="AI2819">
        <v>14</v>
      </c>
      <c r="AJ2819">
        <v>0.125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2</v>
      </c>
      <c r="AQ2819">
        <v>0</v>
      </c>
      <c r="AR2819">
        <v>2</v>
      </c>
      <c r="AS2819">
        <v>12</v>
      </c>
      <c r="AT2819">
        <v>0.14285999999999999</v>
      </c>
      <c r="AU2819">
        <v>8</v>
      </c>
      <c r="AV2819">
        <v>10</v>
      </c>
      <c r="AW2819">
        <v>13</v>
      </c>
      <c r="AX2819">
        <v>7</v>
      </c>
      <c r="AY2819">
        <v>23</v>
      </c>
      <c r="AZ2819">
        <v>11</v>
      </c>
      <c r="BA2819" t="s">
        <v>2369</v>
      </c>
      <c r="BB2819" t="s">
        <v>2370</v>
      </c>
      <c r="BC2819">
        <v>0.13</v>
      </c>
      <c r="BD2819" t="s">
        <v>65</v>
      </c>
      <c r="BE2819">
        <v>36</v>
      </c>
      <c r="BF2819">
        <v>18</v>
      </c>
      <c r="BG2819" t="s">
        <v>2371</v>
      </c>
      <c r="BH2819" t="s">
        <v>2372</v>
      </c>
      <c r="BI2819" t="s">
        <v>2373</v>
      </c>
      <c r="BJ2819">
        <v>0.15977</v>
      </c>
      <c r="BK2819">
        <v>1</v>
      </c>
      <c r="BL2819" t="s">
        <v>69</v>
      </c>
      <c r="BM2819">
        <v>-0.34399999999999997</v>
      </c>
      <c r="BN2819">
        <v>0.219</v>
      </c>
    </row>
    <row r="2820" spans="10:66">
      <c r="J2820">
        <v>0</v>
      </c>
      <c r="K2820">
        <v>6</v>
      </c>
      <c r="L2820">
        <v>0</v>
      </c>
      <c r="M2820" t="s">
        <v>25021</v>
      </c>
      <c r="N2820">
        <v>348</v>
      </c>
      <c r="O2820" t="s">
        <v>2374</v>
      </c>
      <c r="P2820" t="s">
        <v>62</v>
      </c>
      <c r="Q2820">
        <v>375169</v>
      </c>
      <c r="R2820">
        <v>375798</v>
      </c>
      <c r="S2820" t="s">
        <v>2375</v>
      </c>
      <c r="T2820">
        <v>210</v>
      </c>
      <c r="U2820" t="s">
        <v>108</v>
      </c>
      <c r="V2820">
        <v>44</v>
      </c>
      <c r="W2820" t="str">
        <f>HYPERLINK("Gene348-zp_tree_all.dnd", "Gene348-tree")</f>
        <v>Gene348-tree</v>
      </c>
      <c r="X2820">
        <v>7</v>
      </c>
      <c r="Y2820">
        <v>6</v>
      </c>
      <c r="Z2820">
        <v>7</v>
      </c>
      <c r="AA2820">
        <v>6</v>
      </c>
      <c r="AB2820">
        <v>0.46154000000000001</v>
      </c>
      <c r="AC2820" t="s">
        <v>152</v>
      </c>
      <c r="AD2820" t="s">
        <v>90</v>
      </c>
      <c r="AE2820" t="s">
        <v>62</v>
      </c>
      <c r="AF2820" t="s">
        <v>62</v>
      </c>
      <c r="AG2820">
        <v>3</v>
      </c>
      <c r="AH2820">
        <v>6</v>
      </c>
      <c r="AI2820">
        <v>8</v>
      </c>
      <c r="AJ2820">
        <v>0.42857000000000001</v>
      </c>
      <c r="AK2820">
        <v>0</v>
      </c>
      <c r="AL2820">
        <v>0</v>
      </c>
      <c r="AM2820">
        <v>0</v>
      </c>
      <c r="AN2820">
        <v>2</v>
      </c>
      <c r="AO2820">
        <v>0</v>
      </c>
      <c r="AP2820">
        <v>0</v>
      </c>
      <c r="AQ2820">
        <v>0</v>
      </c>
      <c r="AR2820">
        <v>0</v>
      </c>
      <c r="AS2820">
        <v>10</v>
      </c>
      <c r="AT2820">
        <v>0</v>
      </c>
      <c r="AU2820">
        <v>10</v>
      </c>
      <c r="AV2820">
        <v>7</v>
      </c>
      <c r="AW2820">
        <v>15</v>
      </c>
      <c r="AX2820">
        <v>9</v>
      </c>
      <c r="AY2820">
        <v>17</v>
      </c>
      <c r="AZ2820">
        <v>5</v>
      </c>
      <c r="BA2820" t="s">
        <v>2376</v>
      </c>
      <c r="BB2820" t="s">
        <v>2377</v>
      </c>
      <c r="BC2820">
        <v>0.61399999999999999</v>
      </c>
      <c r="BD2820" t="s">
        <v>65</v>
      </c>
      <c r="BE2820">
        <v>32</v>
      </c>
      <c r="BF2820">
        <v>14</v>
      </c>
      <c r="BG2820" t="s">
        <v>2378</v>
      </c>
      <c r="BH2820" t="s">
        <v>2379</v>
      </c>
      <c r="BI2820" t="s">
        <v>2380</v>
      </c>
      <c r="BJ2820">
        <v>0.12074</v>
      </c>
      <c r="BK2820">
        <v>1</v>
      </c>
      <c r="BL2820" t="s">
        <v>69</v>
      </c>
      <c r="BM2820">
        <v>-0.54200000000000004</v>
      </c>
      <c r="BN2820">
        <v>-0.67400000000000004</v>
      </c>
    </row>
    <row r="2821" spans="10:66">
      <c r="J2821">
        <v>0</v>
      </c>
      <c r="K2821">
        <v>20</v>
      </c>
      <c r="L2821">
        <v>8</v>
      </c>
      <c r="M2821" t="s">
        <v>25021</v>
      </c>
      <c r="N2821">
        <v>356</v>
      </c>
      <c r="O2821" t="s">
        <v>2428</v>
      </c>
      <c r="P2821" t="s">
        <v>62</v>
      </c>
      <c r="Q2821">
        <v>404461</v>
      </c>
      <c r="R2821">
        <v>405015</v>
      </c>
      <c r="S2821" t="s">
        <v>2302</v>
      </c>
      <c r="T2821">
        <v>185</v>
      </c>
      <c r="U2821" t="s">
        <v>108</v>
      </c>
      <c r="V2821">
        <v>44</v>
      </c>
      <c r="W2821" t="str">
        <f>HYPERLINK("Gene356-zp_tree_all.dnd", "Gene356-tree")</f>
        <v>Gene356-tree</v>
      </c>
      <c r="X2821">
        <v>4</v>
      </c>
      <c r="Y2821">
        <v>12</v>
      </c>
      <c r="Z2821">
        <v>4</v>
      </c>
      <c r="AA2821">
        <v>12</v>
      </c>
      <c r="AB2821">
        <v>0.75</v>
      </c>
      <c r="AC2821" t="s">
        <v>61</v>
      </c>
      <c r="AD2821" t="s">
        <v>109</v>
      </c>
      <c r="AE2821" t="s">
        <v>62</v>
      </c>
      <c r="AF2821" t="s">
        <v>62</v>
      </c>
      <c r="AG2821">
        <v>11</v>
      </c>
      <c r="AH2821">
        <v>28</v>
      </c>
      <c r="AI2821">
        <v>15</v>
      </c>
      <c r="AJ2821">
        <v>0.65115999999999996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5</v>
      </c>
      <c r="AQ2821">
        <v>6</v>
      </c>
      <c r="AR2821">
        <v>11</v>
      </c>
      <c r="AS2821">
        <v>14</v>
      </c>
      <c r="AT2821">
        <v>0.44</v>
      </c>
      <c r="AU2821">
        <v>15</v>
      </c>
      <c r="AV2821">
        <v>12</v>
      </c>
      <c r="AW2821">
        <v>26</v>
      </c>
      <c r="AX2821">
        <v>24</v>
      </c>
      <c r="AY2821">
        <v>25</v>
      </c>
      <c r="AZ2821">
        <v>19</v>
      </c>
      <c r="BA2821" t="s">
        <v>2429</v>
      </c>
      <c r="BB2821" t="s">
        <v>2430</v>
      </c>
      <c r="BC2821">
        <v>0.32300000000000001</v>
      </c>
      <c r="BD2821" t="s">
        <v>65</v>
      </c>
      <c r="BE2821">
        <v>51</v>
      </c>
      <c r="BF2821">
        <v>43</v>
      </c>
      <c r="BG2821" t="s">
        <v>2431</v>
      </c>
      <c r="BH2821" t="s">
        <v>2432</v>
      </c>
      <c r="BI2821" t="s">
        <v>2433</v>
      </c>
      <c r="BJ2821">
        <v>0.22441</v>
      </c>
      <c r="BK2821">
        <v>1</v>
      </c>
      <c r="BL2821" t="s">
        <v>69</v>
      </c>
      <c r="BM2821">
        <v>-0.45100000000000001</v>
      </c>
      <c r="BN2821">
        <v>-1.2450000000000001</v>
      </c>
    </row>
    <row r="2822" spans="10:66">
      <c r="J2822">
        <v>0</v>
      </c>
      <c r="K2822">
        <v>10</v>
      </c>
      <c r="L2822">
        <v>4</v>
      </c>
      <c r="M2822" t="s">
        <v>25021</v>
      </c>
      <c r="N2822">
        <v>357</v>
      </c>
      <c r="O2822" t="s">
        <v>2434</v>
      </c>
      <c r="P2822" t="s">
        <v>62</v>
      </c>
      <c r="Q2822">
        <v>405072</v>
      </c>
      <c r="R2822">
        <v>406007</v>
      </c>
      <c r="S2822" t="s">
        <v>1123</v>
      </c>
      <c r="T2822">
        <v>312</v>
      </c>
      <c r="U2822" t="s">
        <v>108</v>
      </c>
      <c r="V2822">
        <v>44</v>
      </c>
      <c r="W2822" t="str">
        <f>HYPERLINK("Gene357-zp_tree_all.dnd", "Gene357-tree")</f>
        <v>Gene357-tree</v>
      </c>
      <c r="X2822">
        <v>4</v>
      </c>
      <c r="Y2822">
        <v>12</v>
      </c>
      <c r="Z2822">
        <v>4</v>
      </c>
      <c r="AA2822">
        <v>12</v>
      </c>
      <c r="AB2822">
        <v>0.75</v>
      </c>
      <c r="AC2822" t="s">
        <v>61</v>
      </c>
      <c r="AD2822" t="s">
        <v>109</v>
      </c>
      <c r="AE2822" t="s">
        <v>62</v>
      </c>
      <c r="AF2822" t="s">
        <v>62</v>
      </c>
      <c r="AG2822">
        <v>5</v>
      </c>
      <c r="AH2822">
        <v>14</v>
      </c>
      <c r="AI2822">
        <v>19</v>
      </c>
      <c r="AJ2822">
        <v>0.42424000000000001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5</v>
      </c>
      <c r="AQ2822">
        <v>3</v>
      </c>
      <c r="AR2822">
        <v>8</v>
      </c>
      <c r="AS2822">
        <v>21</v>
      </c>
      <c r="AT2822">
        <v>0.27585999999999999</v>
      </c>
      <c r="AU2822">
        <v>15</v>
      </c>
      <c r="AV2822">
        <v>10</v>
      </c>
      <c r="AW2822">
        <v>32</v>
      </c>
      <c r="AX2822">
        <v>26</v>
      </c>
      <c r="AY2822">
        <v>14</v>
      </c>
      <c r="AZ2822">
        <v>8</v>
      </c>
      <c r="BA2822" t="s">
        <v>2435</v>
      </c>
      <c r="BB2822" t="s">
        <v>2436</v>
      </c>
      <c r="BC2822">
        <v>0.316</v>
      </c>
      <c r="BD2822" t="s">
        <v>65</v>
      </c>
      <c r="BE2822">
        <v>46</v>
      </c>
      <c r="BF2822">
        <v>34</v>
      </c>
      <c r="BG2822" t="s">
        <v>2437</v>
      </c>
      <c r="BH2822" t="s">
        <v>2438</v>
      </c>
      <c r="BI2822" t="s">
        <v>2439</v>
      </c>
      <c r="BJ2822">
        <v>0.23355999999999999</v>
      </c>
      <c r="BK2822">
        <v>1</v>
      </c>
      <c r="BL2822" t="s">
        <v>69</v>
      </c>
      <c r="BM2822">
        <v>-1.534</v>
      </c>
      <c r="BN2822">
        <v>-1.746</v>
      </c>
    </row>
    <row r="2823" spans="10:66">
      <c r="J2823">
        <v>0</v>
      </c>
      <c r="K2823">
        <v>2</v>
      </c>
      <c r="L2823">
        <v>0</v>
      </c>
      <c r="M2823" t="s">
        <v>25021</v>
      </c>
      <c r="N2823">
        <v>361</v>
      </c>
      <c r="O2823" t="s">
        <v>2448</v>
      </c>
      <c r="P2823" t="s">
        <v>62</v>
      </c>
      <c r="Q2823">
        <v>408243</v>
      </c>
      <c r="R2823">
        <v>408887</v>
      </c>
      <c r="S2823" t="s">
        <v>2449</v>
      </c>
      <c r="T2823">
        <v>215</v>
      </c>
      <c r="U2823" t="s">
        <v>465</v>
      </c>
      <c r="V2823">
        <v>46</v>
      </c>
      <c r="W2823" t="str">
        <f>HYPERLINK("Gene361-zp_tree_all.dnd", "Gene361-tree")</f>
        <v>Gene361-tree</v>
      </c>
      <c r="X2823">
        <v>14</v>
      </c>
      <c r="Y2823">
        <v>1</v>
      </c>
      <c r="Z2823">
        <v>14</v>
      </c>
      <c r="AA2823">
        <v>1</v>
      </c>
      <c r="AB2823">
        <v>6.6669999999999993E-2</v>
      </c>
      <c r="AC2823" t="s">
        <v>543</v>
      </c>
      <c r="AD2823" t="s">
        <v>175</v>
      </c>
      <c r="AE2823" t="s">
        <v>62</v>
      </c>
      <c r="AF2823" t="s">
        <v>62</v>
      </c>
      <c r="AG2823">
        <v>1</v>
      </c>
      <c r="AH2823">
        <v>2</v>
      </c>
      <c r="AI2823">
        <v>7</v>
      </c>
      <c r="AJ2823">
        <v>0.22222</v>
      </c>
      <c r="AK2823">
        <v>0</v>
      </c>
      <c r="AL2823">
        <v>0</v>
      </c>
      <c r="AM2823">
        <v>0</v>
      </c>
      <c r="AN2823">
        <v>7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7</v>
      </c>
      <c r="AV2823">
        <v>11</v>
      </c>
      <c r="AW2823">
        <v>15</v>
      </c>
      <c r="AX2823">
        <v>1</v>
      </c>
      <c r="AY2823">
        <v>37</v>
      </c>
      <c r="AZ2823">
        <v>8</v>
      </c>
      <c r="BA2823" t="s">
        <v>2450</v>
      </c>
      <c r="BB2823" t="s">
        <v>2451</v>
      </c>
      <c r="BC2823">
        <v>0.33200000000000002</v>
      </c>
      <c r="BD2823" t="s">
        <v>65</v>
      </c>
      <c r="BE2823">
        <v>52</v>
      </c>
      <c r="BF2823">
        <v>9</v>
      </c>
      <c r="BG2823" t="s">
        <v>2452</v>
      </c>
      <c r="BH2823" t="s">
        <v>2453</v>
      </c>
      <c r="BI2823" t="s">
        <v>2454</v>
      </c>
      <c r="BJ2823">
        <v>6.9620000000000001E-2</v>
      </c>
      <c r="BK2823">
        <v>1</v>
      </c>
      <c r="BL2823" t="s">
        <v>69</v>
      </c>
      <c r="BM2823">
        <v>-0.495</v>
      </c>
      <c r="BN2823">
        <v>0.98299999999999998</v>
      </c>
    </row>
    <row r="2824" spans="10:66">
      <c r="J2824">
        <v>0</v>
      </c>
      <c r="K2824">
        <v>4</v>
      </c>
      <c r="L2824">
        <v>2</v>
      </c>
      <c r="M2824" t="s">
        <v>25021</v>
      </c>
      <c r="N2824">
        <v>362</v>
      </c>
      <c r="O2824" t="s">
        <v>2455</v>
      </c>
      <c r="P2824" t="s">
        <v>62</v>
      </c>
      <c r="Q2824">
        <v>409211</v>
      </c>
      <c r="R2824">
        <v>409951</v>
      </c>
      <c r="S2824" t="s">
        <v>2456</v>
      </c>
      <c r="T2824">
        <v>247</v>
      </c>
      <c r="U2824" t="s">
        <v>59</v>
      </c>
      <c r="V2824">
        <v>49</v>
      </c>
      <c r="W2824" t="str">
        <f>HYPERLINK("Gene362-zp_tree_all.dnd", "Gene362-tree")</f>
        <v>Gene362-tree</v>
      </c>
      <c r="X2824">
        <v>13</v>
      </c>
      <c r="Y2824">
        <v>6</v>
      </c>
      <c r="Z2824">
        <v>13</v>
      </c>
      <c r="AA2824">
        <v>6</v>
      </c>
      <c r="AB2824">
        <v>0.31579000000000002</v>
      </c>
      <c r="AC2824" t="s">
        <v>507</v>
      </c>
      <c r="AD2824" t="s">
        <v>90</v>
      </c>
      <c r="AE2824" t="s">
        <v>62</v>
      </c>
      <c r="AF2824" t="s">
        <v>62</v>
      </c>
      <c r="AG2824">
        <v>3</v>
      </c>
      <c r="AH2824">
        <v>6</v>
      </c>
      <c r="AI2824">
        <v>7</v>
      </c>
      <c r="AJ2824">
        <v>0.46154000000000001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2</v>
      </c>
      <c r="AQ2824">
        <v>2</v>
      </c>
      <c r="AR2824">
        <v>4</v>
      </c>
      <c r="AS2824">
        <v>3</v>
      </c>
      <c r="AT2824">
        <v>0.57142999999999999</v>
      </c>
      <c r="AU2824">
        <v>17</v>
      </c>
      <c r="AV2824">
        <v>10</v>
      </c>
      <c r="AW2824">
        <v>41</v>
      </c>
      <c r="AX2824">
        <v>7</v>
      </c>
      <c r="AY2824">
        <v>47</v>
      </c>
      <c r="AZ2824">
        <v>6</v>
      </c>
      <c r="BA2824" t="s">
        <v>2457</v>
      </c>
      <c r="BB2824" t="s">
        <v>2458</v>
      </c>
      <c r="BC2824">
        <v>0.314</v>
      </c>
      <c r="BD2824" t="s">
        <v>65</v>
      </c>
      <c r="BE2824">
        <v>88</v>
      </c>
      <c r="BF2824">
        <v>13</v>
      </c>
      <c r="BG2824" t="s">
        <v>2459</v>
      </c>
      <c r="BH2824" t="s">
        <v>2460</v>
      </c>
      <c r="BI2824" t="s">
        <v>2461</v>
      </c>
      <c r="BJ2824">
        <v>3.7229999999999999E-2</v>
      </c>
      <c r="BK2824">
        <v>1</v>
      </c>
      <c r="BL2824" t="s">
        <v>69</v>
      </c>
      <c r="BM2824">
        <v>-1.349</v>
      </c>
      <c r="BN2824">
        <v>-1.3080000000000001</v>
      </c>
    </row>
    <row r="2825" spans="10:66">
      <c r="J2825">
        <v>0</v>
      </c>
      <c r="K2825">
        <v>2</v>
      </c>
      <c r="L2825">
        <v>0</v>
      </c>
      <c r="M2825" t="s">
        <v>25021</v>
      </c>
      <c r="N2825">
        <v>363</v>
      </c>
      <c r="O2825" t="s">
        <v>2462</v>
      </c>
      <c r="P2825" t="s">
        <v>62</v>
      </c>
      <c r="Q2825">
        <v>409968</v>
      </c>
      <c r="R2825">
        <v>410669</v>
      </c>
      <c r="S2825" t="s">
        <v>2463</v>
      </c>
      <c r="T2825">
        <v>234</v>
      </c>
      <c r="U2825" t="s">
        <v>59</v>
      </c>
      <c r="V2825">
        <v>49</v>
      </c>
      <c r="W2825" t="str">
        <f>HYPERLINK("Gene363-zp_tree_all.dnd", "Gene363-tree")</f>
        <v>Gene363-tree</v>
      </c>
      <c r="X2825">
        <v>33</v>
      </c>
      <c r="Y2825">
        <v>2</v>
      </c>
      <c r="Z2825">
        <v>12</v>
      </c>
      <c r="AA2825">
        <v>2</v>
      </c>
      <c r="AB2825">
        <v>0.14285999999999999</v>
      </c>
      <c r="AC2825" t="s">
        <v>705</v>
      </c>
      <c r="AD2825" t="s">
        <v>81</v>
      </c>
      <c r="AE2825" t="s">
        <v>62</v>
      </c>
      <c r="AF2825" t="s">
        <v>62</v>
      </c>
      <c r="AG2825">
        <v>1</v>
      </c>
      <c r="AH2825">
        <v>2</v>
      </c>
      <c r="AI2825">
        <v>5</v>
      </c>
      <c r="AJ2825">
        <v>0.28571000000000002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2</v>
      </c>
      <c r="AQ2825">
        <v>0</v>
      </c>
      <c r="AR2825">
        <v>2</v>
      </c>
      <c r="AS2825">
        <v>1</v>
      </c>
      <c r="AT2825">
        <v>0.66666999999999998</v>
      </c>
      <c r="AU2825">
        <v>12</v>
      </c>
      <c r="AV2825">
        <v>6</v>
      </c>
      <c r="AW2825">
        <v>23</v>
      </c>
      <c r="AX2825">
        <v>3</v>
      </c>
      <c r="AY2825">
        <v>21</v>
      </c>
      <c r="AZ2825">
        <v>4</v>
      </c>
      <c r="BA2825" t="s">
        <v>2464</v>
      </c>
      <c r="BB2825" t="s">
        <v>2465</v>
      </c>
      <c r="BC2825">
        <v>0.218</v>
      </c>
      <c r="BD2825" t="s">
        <v>65</v>
      </c>
      <c r="BE2825">
        <v>44</v>
      </c>
      <c r="BF2825">
        <v>7</v>
      </c>
      <c r="BG2825" t="s">
        <v>2466</v>
      </c>
      <c r="BH2825" t="s">
        <v>2467</v>
      </c>
      <c r="BI2825" t="s">
        <v>2468</v>
      </c>
      <c r="BJ2825">
        <v>5.0229999999999997E-2</v>
      </c>
      <c r="BK2825">
        <v>1</v>
      </c>
      <c r="BL2825" t="s">
        <v>69</v>
      </c>
      <c r="BM2825">
        <v>-1.6339999999999999</v>
      </c>
      <c r="BN2825">
        <v>-1.8120000000000001</v>
      </c>
    </row>
    <row r="2826" spans="10:66">
      <c r="J2826">
        <v>0</v>
      </c>
      <c r="K2826">
        <v>4</v>
      </c>
      <c r="L2826">
        <v>0</v>
      </c>
      <c r="M2826" t="s">
        <v>25021</v>
      </c>
      <c r="N2826">
        <v>364</v>
      </c>
      <c r="O2826" t="s">
        <v>2469</v>
      </c>
      <c r="P2826" t="s">
        <v>62</v>
      </c>
      <c r="Q2826">
        <v>410659</v>
      </c>
      <c r="R2826">
        <v>411462</v>
      </c>
      <c r="S2826" t="s">
        <v>2470</v>
      </c>
      <c r="T2826">
        <v>268</v>
      </c>
      <c r="U2826" t="s">
        <v>108</v>
      </c>
      <c r="V2826">
        <v>44</v>
      </c>
      <c r="W2826" t="str">
        <f>HYPERLINK("Gene364-zp_tree_all.dnd", "Gene364-tree")</f>
        <v>Gene364-tree</v>
      </c>
      <c r="X2826">
        <v>10</v>
      </c>
      <c r="Y2826">
        <v>4</v>
      </c>
      <c r="Z2826">
        <v>10</v>
      </c>
      <c r="AA2826">
        <v>4</v>
      </c>
      <c r="AB2826">
        <v>0.28571000000000002</v>
      </c>
      <c r="AC2826" t="s">
        <v>117</v>
      </c>
      <c r="AD2826" t="s">
        <v>61</v>
      </c>
      <c r="AE2826" t="s">
        <v>62</v>
      </c>
      <c r="AF2826" t="s">
        <v>62</v>
      </c>
      <c r="AG2826">
        <v>2</v>
      </c>
      <c r="AH2826">
        <v>4</v>
      </c>
      <c r="AI2826">
        <v>5</v>
      </c>
      <c r="AJ2826">
        <v>0.44444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2</v>
      </c>
      <c r="AQ2826">
        <v>0</v>
      </c>
      <c r="AR2826">
        <v>2</v>
      </c>
      <c r="AS2826">
        <v>3</v>
      </c>
      <c r="AT2826">
        <v>0.4</v>
      </c>
      <c r="AU2826">
        <v>12</v>
      </c>
      <c r="AV2826">
        <v>6</v>
      </c>
      <c r="AW2826">
        <v>22</v>
      </c>
      <c r="AX2826">
        <v>5</v>
      </c>
      <c r="AY2826">
        <v>7</v>
      </c>
      <c r="AZ2826">
        <v>5</v>
      </c>
      <c r="BA2826" t="s">
        <v>2471</v>
      </c>
      <c r="BB2826" t="s">
        <v>2472</v>
      </c>
      <c r="BC2826">
        <v>0.99199999999999999</v>
      </c>
      <c r="BD2826" t="s">
        <v>65</v>
      </c>
      <c r="BE2826">
        <v>29</v>
      </c>
      <c r="BF2826">
        <v>10</v>
      </c>
      <c r="BG2826" t="s">
        <v>2473</v>
      </c>
      <c r="BH2826" t="s">
        <v>2474</v>
      </c>
      <c r="BI2826" t="s">
        <v>2475</v>
      </c>
      <c r="BJ2826">
        <v>0.14163000000000001</v>
      </c>
      <c r="BK2826">
        <v>1</v>
      </c>
      <c r="BL2826" t="s">
        <v>69</v>
      </c>
      <c r="BM2826">
        <v>-0.45900000000000002</v>
      </c>
      <c r="BN2826">
        <v>9.8000000000000004E-2</v>
      </c>
    </row>
    <row r="2827" spans="10:66">
      <c r="J2827">
        <v>0</v>
      </c>
      <c r="K2827">
        <v>2</v>
      </c>
      <c r="L2827">
        <v>0</v>
      </c>
      <c r="M2827" t="s">
        <v>25021</v>
      </c>
      <c r="N2827">
        <v>365</v>
      </c>
      <c r="O2827" t="s">
        <v>2476</v>
      </c>
      <c r="P2827" t="s">
        <v>62</v>
      </c>
      <c r="Q2827">
        <v>411581</v>
      </c>
      <c r="R2827">
        <v>412450</v>
      </c>
      <c r="S2827" t="s">
        <v>2477</v>
      </c>
      <c r="T2827">
        <v>290</v>
      </c>
      <c r="U2827" t="s">
        <v>108</v>
      </c>
      <c r="V2827">
        <v>44</v>
      </c>
      <c r="W2827" t="str">
        <f>HYPERLINK("Gene365-zp_tree_all.dnd", "Gene365-tree")</f>
        <v>Gene365-tree</v>
      </c>
      <c r="X2827">
        <v>7</v>
      </c>
      <c r="Y2827">
        <v>5</v>
      </c>
      <c r="Z2827">
        <v>7</v>
      </c>
      <c r="AA2827">
        <v>5</v>
      </c>
      <c r="AB2827">
        <v>0.41666999999999998</v>
      </c>
      <c r="AC2827" t="s">
        <v>152</v>
      </c>
      <c r="AD2827" t="s">
        <v>199</v>
      </c>
      <c r="AE2827" t="s">
        <v>62</v>
      </c>
      <c r="AF2827" t="s">
        <v>62</v>
      </c>
      <c r="AG2827">
        <v>1</v>
      </c>
      <c r="AH2827">
        <v>2</v>
      </c>
      <c r="AI2827">
        <v>3</v>
      </c>
      <c r="AJ2827">
        <v>0.4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2</v>
      </c>
      <c r="AQ2827">
        <v>0</v>
      </c>
      <c r="AR2827">
        <v>2</v>
      </c>
      <c r="AS2827">
        <v>3</v>
      </c>
      <c r="AT2827">
        <v>0.4</v>
      </c>
      <c r="AU2827">
        <v>12</v>
      </c>
      <c r="AV2827">
        <v>9</v>
      </c>
      <c r="AW2827">
        <v>53</v>
      </c>
      <c r="AX2827">
        <v>5</v>
      </c>
      <c r="AY2827">
        <v>14</v>
      </c>
      <c r="AZ2827">
        <v>0</v>
      </c>
      <c r="BA2827" t="s">
        <v>2478</v>
      </c>
      <c r="BB2827" t="s">
        <v>193</v>
      </c>
      <c r="BC2827">
        <v>1.0660000000000001</v>
      </c>
      <c r="BD2827" t="s">
        <v>65</v>
      </c>
      <c r="BE2827">
        <v>67</v>
      </c>
      <c r="BF2827">
        <v>5</v>
      </c>
      <c r="BG2827" t="s">
        <v>2479</v>
      </c>
      <c r="BH2827" t="s">
        <v>2480</v>
      </c>
      <c r="BI2827" t="s">
        <v>2481</v>
      </c>
      <c r="BJ2827">
        <v>1.9140000000000001E-2</v>
      </c>
      <c r="BK2827">
        <v>1</v>
      </c>
      <c r="BL2827" t="s">
        <v>69</v>
      </c>
      <c r="BM2827">
        <v>-0.98</v>
      </c>
      <c r="BN2827">
        <v>-2.173</v>
      </c>
    </row>
    <row r="2828" spans="10:66">
      <c r="J2828">
        <v>0</v>
      </c>
      <c r="K2828">
        <v>16</v>
      </c>
      <c r="L2828">
        <v>1</v>
      </c>
      <c r="M2828" t="s">
        <v>25021</v>
      </c>
      <c r="N2828">
        <v>371</v>
      </c>
      <c r="O2828" t="s">
        <v>2519</v>
      </c>
      <c r="P2828" t="s">
        <v>62</v>
      </c>
      <c r="Q2828">
        <v>416238</v>
      </c>
      <c r="R2828">
        <v>417713</v>
      </c>
      <c r="S2828" t="s">
        <v>2520</v>
      </c>
      <c r="T2828">
        <v>492</v>
      </c>
      <c r="U2828" t="s">
        <v>72</v>
      </c>
      <c r="V2828">
        <v>45</v>
      </c>
      <c r="W2828" t="str">
        <f>HYPERLINK("Gene371-zp_tree_all.dnd", "Gene371-tree")</f>
        <v>Gene371-tree</v>
      </c>
      <c r="X2828">
        <v>25</v>
      </c>
      <c r="Y2828">
        <v>8</v>
      </c>
      <c r="Z2828">
        <v>9</v>
      </c>
      <c r="AA2828">
        <v>8</v>
      </c>
      <c r="AB2828">
        <v>0.47059000000000001</v>
      </c>
      <c r="AC2828" t="s">
        <v>2521</v>
      </c>
      <c r="AD2828" t="s">
        <v>136</v>
      </c>
      <c r="AE2828" t="s">
        <v>62</v>
      </c>
      <c r="AF2828" t="s">
        <v>62</v>
      </c>
      <c r="AG2828">
        <v>5</v>
      </c>
      <c r="AH2828">
        <v>17</v>
      </c>
      <c r="AI2828">
        <v>18</v>
      </c>
      <c r="AJ2828">
        <v>0.48570999999999998</v>
      </c>
      <c r="AK2828">
        <v>0</v>
      </c>
      <c r="AL2828">
        <v>0</v>
      </c>
      <c r="AM2828">
        <v>0</v>
      </c>
      <c r="AN2828">
        <v>2</v>
      </c>
      <c r="AO2828">
        <v>0</v>
      </c>
      <c r="AP2828">
        <v>5</v>
      </c>
      <c r="AQ2828">
        <v>0</v>
      </c>
      <c r="AR2828">
        <v>5</v>
      </c>
      <c r="AS2828">
        <v>16</v>
      </c>
      <c r="AT2828">
        <v>0.23810000000000001</v>
      </c>
      <c r="AU2828">
        <v>14</v>
      </c>
      <c r="AV2828">
        <v>14</v>
      </c>
      <c r="AW2828">
        <v>77</v>
      </c>
      <c r="AX2828">
        <v>21</v>
      </c>
      <c r="AY2828">
        <v>54</v>
      </c>
      <c r="AZ2828">
        <v>15</v>
      </c>
      <c r="BA2828" t="s">
        <v>2522</v>
      </c>
      <c r="BB2828" t="s">
        <v>2523</v>
      </c>
      <c r="BC2828">
        <v>3.2000000000000001E-2</v>
      </c>
      <c r="BD2828" t="s">
        <v>65</v>
      </c>
      <c r="BE2828">
        <v>131</v>
      </c>
      <c r="BF2828">
        <v>36</v>
      </c>
      <c r="BG2828" t="s">
        <v>2524</v>
      </c>
      <c r="BH2828" t="s">
        <v>2525</v>
      </c>
      <c r="BI2828" t="s">
        <v>2526</v>
      </c>
      <c r="BJ2828">
        <v>9.3630000000000005E-2</v>
      </c>
      <c r="BK2828">
        <v>1</v>
      </c>
      <c r="BL2828" t="s">
        <v>69</v>
      </c>
      <c r="BM2828">
        <v>-0.90300000000000002</v>
      </c>
      <c r="BN2828">
        <v>-3.2360000000000002</v>
      </c>
    </row>
    <row r="2829" spans="10:66">
      <c r="J2829">
        <v>0</v>
      </c>
      <c r="K2829">
        <v>2</v>
      </c>
      <c r="L2829">
        <v>0</v>
      </c>
      <c r="M2829" t="s">
        <v>25021</v>
      </c>
      <c r="N2829">
        <v>373</v>
      </c>
      <c r="O2829" t="s">
        <v>2534</v>
      </c>
      <c r="P2829" t="s">
        <v>62</v>
      </c>
      <c r="Q2829">
        <v>419766</v>
      </c>
      <c r="R2829">
        <v>419984</v>
      </c>
      <c r="S2829" t="s">
        <v>116</v>
      </c>
      <c r="T2829">
        <v>73</v>
      </c>
      <c r="U2829" t="s">
        <v>108</v>
      </c>
      <c r="V2829">
        <v>44</v>
      </c>
      <c r="W2829" t="str">
        <f>HYPERLINK("Gene373-zp_tree_all.dnd", "Gene373-tree")</f>
        <v>Gene373-tree</v>
      </c>
      <c r="X2829">
        <v>10</v>
      </c>
      <c r="Y2829">
        <v>3</v>
      </c>
      <c r="Z2829">
        <v>10</v>
      </c>
      <c r="AA2829">
        <v>3</v>
      </c>
      <c r="AB2829">
        <v>0.23077</v>
      </c>
      <c r="AC2829" t="s">
        <v>117</v>
      </c>
      <c r="AD2829" t="s">
        <v>324</v>
      </c>
      <c r="AE2829" t="s">
        <v>62</v>
      </c>
      <c r="AF2829" t="s">
        <v>62</v>
      </c>
      <c r="AG2829">
        <v>1</v>
      </c>
      <c r="AH2829">
        <v>2</v>
      </c>
      <c r="AI2829">
        <v>5</v>
      </c>
      <c r="AJ2829">
        <v>0.28571000000000002</v>
      </c>
      <c r="AK2829">
        <v>0</v>
      </c>
      <c r="AL2829">
        <v>0</v>
      </c>
      <c r="AM2829">
        <v>0</v>
      </c>
      <c r="AN2829">
        <v>4</v>
      </c>
      <c r="AO2829">
        <v>0</v>
      </c>
      <c r="AP2829">
        <v>0</v>
      </c>
      <c r="AQ2829">
        <v>0</v>
      </c>
      <c r="AR2829">
        <v>0</v>
      </c>
      <c r="AS2829">
        <v>3</v>
      </c>
      <c r="AT2829">
        <v>0</v>
      </c>
      <c r="AU2829">
        <v>6</v>
      </c>
      <c r="AV2829">
        <v>7</v>
      </c>
      <c r="AW2829">
        <v>7</v>
      </c>
      <c r="AX2829">
        <v>2</v>
      </c>
      <c r="AY2829">
        <v>5</v>
      </c>
      <c r="AZ2829">
        <v>5</v>
      </c>
      <c r="BA2829" t="s">
        <v>2535</v>
      </c>
      <c r="BB2829" t="s">
        <v>2536</v>
      </c>
      <c r="BC2829">
        <v>0.872</v>
      </c>
      <c r="BD2829" t="s">
        <v>65</v>
      </c>
      <c r="BE2829">
        <v>12</v>
      </c>
      <c r="BF2829">
        <v>7</v>
      </c>
      <c r="BG2829" t="s">
        <v>2537</v>
      </c>
      <c r="BH2829" t="s">
        <v>2538</v>
      </c>
      <c r="BI2829" t="s">
        <v>2539</v>
      </c>
      <c r="BJ2829">
        <v>0.15229999999999999</v>
      </c>
      <c r="BK2829">
        <v>0.98899999999999999</v>
      </c>
      <c r="BL2829" t="s">
        <v>69</v>
      </c>
      <c r="BM2829">
        <v>0.26100000000000001</v>
      </c>
      <c r="BN2829">
        <v>-1.264</v>
      </c>
    </row>
    <row r="2830" spans="10:66">
      <c r="J2830">
        <v>0</v>
      </c>
      <c r="K2830">
        <v>11</v>
      </c>
      <c r="L2830">
        <v>1</v>
      </c>
      <c r="M2830" t="s">
        <v>25021</v>
      </c>
      <c r="N2830">
        <v>377</v>
      </c>
      <c r="O2830" t="s">
        <v>2561</v>
      </c>
      <c r="P2830" t="s">
        <v>62</v>
      </c>
      <c r="Q2830">
        <v>424211</v>
      </c>
      <c r="R2830">
        <v>424888</v>
      </c>
      <c r="S2830" t="s">
        <v>2562</v>
      </c>
      <c r="T2830">
        <v>226</v>
      </c>
      <c r="U2830" t="s">
        <v>108</v>
      </c>
      <c r="V2830">
        <v>44</v>
      </c>
      <c r="W2830" t="str">
        <f>HYPERLINK("Gene377-zp_tree_all.dnd", "Gene377-tree")</f>
        <v>Gene377-tree</v>
      </c>
      <c r="X2830">
        <v>6</v>
      </c>
      <c r="Y2830">
        <v>9</v>
      </c>
      <c r="Z2830">
        <v>6</v>
      </c>
      <c r="AA2830">
        <v>9</v>
      </c>
      <c r="AB2830">
        <v>0.6</v>
      </c>
      <c r="AC2830" t="s">
        <v>90</v>
      </c>
      <c r="AD2830" t="s">
        <v>135</v>
      </c>
      <c r="AE2830" t="s">
        <v>62</v>
      </c>
      <c r="AF2830" t="s">
        <v>62</v>
      </c>
      <c r="AG2830">
        <v>5</v>
      </c>
      <c r="AH2830">
        <v>12</v>
      </c>
      <c r="AI2830">
        <v>5</v>
      </c>
      <c r="AJ2830">
        <v>0.70587999999999995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6</v>
      </c>
      <c r="AQ2830">
        <v>1</v>
      </c>
      <c r="AR2830">
        <v>7</v>
      </c>
      <c r="AS2830">
        <v>5</v>
      </c>
      <c r="AT2830">
        <v>0.58333000000000002</v>
      </c>
      <c r="AU2830">
        <v>13</v>
      </c>
      <c r="AV2830">
        <v>11</v>
      </c>
      <c r="AW2830">
        <v>26</v>
      </c>
      <c r="AX2830">
        <v>13</v>
      </c>
      <c r="AY2830">
        <v>22</v>
      </c>
      <c r="AZ2830">
        <v>5</v>
      </c>
      <c r="BA2830" t="s">
        <v>2563</v>
      </c>
      <c r="BB2830" t="s">
        <v>2564</v>
      </c>
      <c r="BC2830">
        <v>1.409</v>
      </c>
      <c r="BD2830" t="s">
        <v>65</v>
      </c>
      <c r="BE2830">
        <v>48</v>
      </c>
      <c r="BF2830">
        <v>18</v>
      </c>
      <c r="BG2830" t="s">
        <v>2565</v>
      </c>
      <c r="BH2830" t="s">
        <v>2566</v>
      </c>
      <c r="BI2830" t="s">
        <v>2567</v>
      </c>
      <c r="BJ2830">
        <v>8.4540000000000004E-2</v>
      </c>
      <c r="BK2830">
        <v>1</v>
      </c>
      <c r="BL2830" t="s">
        <v>69</v>
      </c>
      <c r="BM2830">
        <v>-0.47399999999999998</v>
      </c>
      <c r="BN2830">
        <v>-0.30399999999999999</v>
      </c>
    </row>
    <row r="2831" spans="10:66">
      <c r="J2831">
        <v>0</v>
      </c>
      <c r="K2831">
        <v>4</v>
      </c>
      <c r="L2831">
        <v>2</v>
      </c>
      <c r="M2831" t="s">
        <v>25021</v>
      </c>
      <c r="N2831">
        <v>378</v>
      </c>
      <c r="O2831" t="s">
        <v>2568</v>
      </c>
      <c r="P2831" t="s">
        <v>62</v>
      </c>
      <c r="Q2831">
        <v>424907</v>
      </c>
      <c r="R2831">
        <v>426364</v>
      </c>
      <c r="S2831" t="s">
        <v>2569</v>
      </c>
      <c r="T2831">
        <v>486</v>
      </c>
      <c r="U2831" t="s">
        <v>2570</v>
      </c>
      <c r="V2831">
        <v>37</v>
      </c>
      <c r="W2831" t="str">
        <f>HYPERLINK("Gene378-zp_tree_all.dnd", "Gene378-tree")</f>
        <v>Gene378-tree</v>
      </c>
      <c r="X2831">
        <v>2</v>
      </c>
      <c r="Y2831">
        <v>8</v>
      </c>
      <c r="Z2831">
        <v>2</v>
      </c>
      <c r="AA2831">
        <v>8</v>
      </c>
      <c r="AB2831">
        <v>0.8</v>
      </c>
      <c r="AC2831" t="s">
        <v>81</v>
      </c>
      <c r="AD2831" t="s">
        <v>136</v>
      </c>
      <c r="AE2831" t="s">
        <v>62</v>
      </c>
      <c r="AF2831" t="s">
        <v>62</v>
      </c>
      <c r="AG2831">
        <v>2</v>
      </c>
      <c r="AH2831">
        <v>6</v>
      </c>
      <c r="AI2831">
        <v>7</v>
      </c>
      <c r="AJ2831">
        <v>0.46154000000000001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9</v>
      </c>
      <c r="AT2831">
        <v>0</v>
      </c>
      <c r="AU2831">
        <v>9</v>
      </c>
      <c r="AV2831">
        <v>7</v>
      </c>
      <c r="AW2831">
        <v>55</v>
      </c>
      <c r="AX2831">
        <v>10</v>
      </c>
      <c r="AY2831">
        <v>33</v>
      </c>
      <c r="AZ2831">
        <v>5</v>
      </c>
      <c r="BA2831" t="s">
        <v>2571</v>
      </c>
      <c r="BB2831" t="s">
        <v>2572</v>
      </c>
      <c r="BC2831">
        <v>0.311</v>
      </c>
      <c r="BD2831" t="s">
        <v>65</v>
      </c>
      <c r="BE2831">
        <v>88</v>
      </c>
      <c r="BF2831">
        <v>15</v>
      </c>
      <c r="BG2831" t="s">
        <v>2573</v>
      </c>
      <c r="BH2831" t="s">
        <v>2574</v>
      </c>
      <c r="BI2831" t="s">
        <v>2575</v>
      </c>
      <c r="BJ2831">
        <v>3.9399999999999998E-2</v>
      </c>
      <c r="BK2831">
        <v>1</v>
      </c>
      <c r="BL2831" t="s">
        <v>69</v>
      </c>
      <c r="BM2831">
        <v>6.9000000000000006E-2</v>
      </c>
      <c r="BN2831">
        <v>-0.41199999999999998</v>
      </c>
    </row>
    <row r="2832" spans="10:66">
      <c r="J2832">
        <v>0</v>
      </c>
      <c r="K2832">
        <v>9</v>
      </c>
      <c r="L2832">
        <v>2</v>
      </c>
      <c r="M2832" t="s">
        <v>25021</v>
      </c>
      <c r="N2832">
        <v>385</v>
      </c>
      <c r="O2832" t="s">
        <v>2604</v>
      </c>
      <c r="P2832" t="s">
        <v>62</v>
      </c>
      <c r="Q2832">
        <v>430626</v>
      </c>
      <c r="R2832">
        <v>431987</v>
      </c>
      <c r="S2832" t="s">
        <v>2605</v>
      </c>
      <c r="T2832">
        <v>454</v>
      </c>
      <c r="U2832" t="s">
        <v>108</v>
      </c>
      <c r="V2832">
        <v>44</v>
      </c>
      <c r="W2832" t="str">
        <f>HYPERLINK("Gene385-zp_tree_all.dnd", "Gene385-tree")</f>
        <v>Gene385-tree</v>
      </c>
      <c r="X2832">
        <v>4</v>
      </c>
      <c r="Y2832">
        <v>10</v>
      </c>
      <c r="Z2832">
        <v>4</v>
      </c>
      <c r="AA2832">
        <v>10</v>
      </c>
      <c r="AB2832">
        <v>0.71428999999999998</v>
      </c>
      <c r="AC2832" t="s">
        <v>61</v>
      </c>
      <c r="AD2832" t="s">
        <v>117</v>
      </c>
      <c r="AE2832" t="s">
        <v>62</v>
      </c>
      <c r="AF2832" t="s">
        <v>62</v>
      </c>
      <c r="AG2832">
        <v>4</v>
      </c>
      <c r="AH2832">
        <v>11</v>
      </c>
      <c r="AI2832">
        <v>16</v>
      </c>
      <c r="AJ2832">
        <v>0.40740999999999999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7</v>
      </c>
      <c r="AQ2832">
        <v>0</v>
      </c>
      <c r="AR2832">
        <v>7</v>
      </c>
      <c r="AS2832">
        <v>14</v>
      </c>
      <c r="AT2832">
        <v>0.33333000000000002</v>
      </c>
      <c r="AU2832">
        <v>13</v>
      </c>
      <c r="AV2832">
        <v>10</v>
      </c>
      <c r="AW2832">
        <v>54</v>
      </c>
      <c r="AX2832">
        <v>21</v>
      </c>
      <c r="AY2832">
        <v>25</v>
      </c>
      <c r="AZ2832">
        <v>6</v>
      </c>
      <c r="BA2832" t="s">
        <v>2606</v>
      </c>
      <c r="BB2832" t="s">
        <v>2607</v>
      </c>
      <c r="BC2832">
        <v>0.64500000000000002</v>
      </c>
      <c r="BD2832" t="s">
        <v>65</v>
      </c>
      <c r="BE2832">
        <v>79</v>
      </c>
      <c r="BF2832">
        <v>27</v>
      </c>
      <c r="BG2832" t="s">
        <v>2608</v>
      </c>
      <c r="BH2832" t="s">
        <v>2609</v>
      </c>
      <c r="BI2832" t="s">
        <v>2610</v>
      </c>
      <c r="BJ2832">
        <v>0.11676</v>
      </c>
      <c r="BK2832">
        <v>1</v>
      </c>
      <c r="BL2832" t="s">
        <v>69</v>
      </c>
      <c r="BM2832">
        <v>-0.92800000000000005</v>
      </c>
      <c r="BN2832">
        <v>-0.998</v>
      </c>
    </row>
    <row r="2833" spans="10:66">
      <c r="J2833">
        <v>0</v>
      </c>
      <c r="K2833">
        <v>0</v>
      </c>
      <c r="L2833">
        <v>2</v>
      </c>
      <c r="M2833" t="s">
        <v>25021</v>
      </c>
      <c r="N2833">
        <v>390</v>
      </c>
      <c r="O2833" t="s">
        <v>2640</v>
      </c>
      <c r="P2833" t="s">
        <v>62</v>
      </c>
      <c r="Q2833">
        <v>436039</v>
      </c>
      <c r="R2833">
        <v>437454</v>
      </c>
      <c r="S2833" t="s">
        <v>2641</v>
      </c>
      <c r="T2833">
        <v>472</v>
      </c>
      <c r="U2833" t="s">
        <v>108</v>
      </c>
      <c r="V2833">
        <v>44</v>
      </c>
      <c r="W2833" t="str">
        <f>HYPERLINK("Gene390-zp_tree_all.dnd", "Gene390-tree")</f>
        <v>Gene390-tree</v>
      </c>
      <c r="X2833">
        <v>7</v>
      </c>
      <c r="Y2833">
        <v>9</v>
      </c>
      <c r="Z2833">
        <v>7</v>
      </c>
      <c r="AA2833">
        <v>9</v>
      </c>
      <c r="AB2833">
        <v>0.5625</v>
      </c>
      <c r="AC2833" t="s">
        <v>152</v>
      </c>
      <c r="AD2833" t="s">
        <v>135</v>
      </c>
      <c r="AE2833" t="s">
        <v>62</v>
      </c>
      <c r="AF2833" t="s">
        <v>62</v>
      </c>
      <c r="AG2833">
        <v>1</v>
      </c>
      <c r="AH2833">
        <v>2</v>
      </c>
      <c r="AI2833">
        <v>9</v>
      </c>
      <c r="AJ2833">
        <v>0.18182000000000001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2</v>
      </c>
      <c r="AR2833">
        <v>2</v>
      </c>
      <c r="AS2833">
        <v>8</v>
      </c>
      <c r="AT2833">
        <v>0.2</v>
      </c>
      <c r="AU2833">
        <v>12</v>
      </c>
      <c r="AV2833">
        <v>11</v>
      </c>
      <c r="AW2833">
        <v>55</v>
      </c>
      <c r="AX2833">
        <v>9</v>
      </c>
      <c r="AY2833">
        <v>20</v>
      </c>
      <c r="AZ2833">
        <v>2</v>
      </c>
      <c r="BA2833" t="s">
        <v>2642</v>
      </c>
      <c r="BB2833" t="s">
        <v>2643</v>
      </c>
      <c r="BC2833">
        <v>0.39200000000000002</v>
      </c>
      <c r="BD2833" t="s">
        <v>65</v>
      </c>
      <c r="BE2833">
        <v>75</v>
      </c>
      <c r="BF2833">
        <v>11</v>
      </c>
      <c r="BG2833" t="s">
        <v>2644</v>
      </c>
      <c r="BH2833" t="s">
        <v>2645</v>
      </c>
      <c r="BI2833" t="s">
        <v>746</v>
      </c>
      <c r="BJ2833">
        <v>4.8210000000000003E-2</v>
      </c>
      <c r="BK2833">
        <v>1</v>
      </c>
      <c r="BL2833" t="s">
        <v>69</v>
      </c>
      <c r="BM2833">
        <v>-1.2070000000000001</v>
      </c>
      <c r="BN2833">
        <v>-2.2400000000000002</v>
      </c>
    </row>
    <row r="2834" spans="10:66">
      <c r="J2834">
        <v>0</v>
      </c>
      <c r="K2834">
        <v>14</v>
      </c>
      <c r="L2834">
        <v>3</v>
      </c>
      <c r="M2834" t="s">
        <v>25021</v>
      </c>
      <c r="N2834">
        <v>391</v>
      </c>
      <c r="O2834" t="s">
        <v>2646</v>
      </c>
      <c r="P2834" t="s">
        <v>62</v>
      </c>
      <c r="Q2834">
        <v>437477</v>
      </c>
      <c r="R2834">
        <v>438352</v>
      </c>
      <c r="S2834" t="s">
        <v>2647</v>
      </c>
      <c r="T2834">
        <v>292</v>
      </c>
      <c r="U2834" t="s">
        <v>96</v>
      </c>
      <c r="V2834">
        <v>48</v>
      </c>
      <c r="W2834" t="str">
        <f>HYPERLINK("Gene391-zp_tree_all.dnd", "Gene391-tree")</f>
        <v>Gene391-tree</v>
      </c>
      <c r="X2834">
        <v>25</v>
      </c>
      <c r="Y2834">
        <v>11</v>
      </c>
      <c r="Z2834">
        <v>8</v>
      </c>
      <c r="AA2834">
        <v>11</v>
      </c>
      <c r="AB2834">
        <v>0.57894999999999996</v>
      </c>
      <c r="AC2834" t="s">
        <v>1667</v>
      </c>
      <c r="AD2834" t="s">
        <v>73</v>
      </c>
      <c r="AE2834">
        <v>3.5920000000000001</v>
      </c>
      <c r="AF2834" t="s">
        <v>267</v>
      </c>
      <c r="AG2834">
        <v>7</v>
      </c>
      <c r="AH2834">
        <v>17</v>
      </c>
      <c r="AI2834">
        <v>13</v>
      </c>
      <c r="AJ2834">
        <v>0.56667000000000001</v>
      </c>
      <c r="AK2834">
        <v>0</v>
      </c>
      <c r="AL2834">
        <v>0</v>
      </c>
      <c r="AM2834">
        <v>0</v>
      </c>
      <c r="AN2834">
        <v>2</v>
      </c>
      <c r="AO2834">
        <v>0</v>
      </c>
      <c r="AP2834">
        <v>0</v>
      </c>
      <c r="AQ2834">
        <v>2</v>
      </c>
      <c r="AR2834">
        <v>2</v>
      </c>
      <c r="AS2834">
        <v>12</v>
      </c>
      <c r="AT2834">
        <v>0.14285999999999999</v>
      </c>
      <c r="AU2834">
        <v>16</v>
      </c>
      <c r="AV2834">
        <v>12</v>
      </c>
      <c r="AW2834">
        <v>35</v>
      </c>
      <c r="AX2834">
        <v>14</v>
      </c>
      <c r="AY2834">
        <v>46</v>
      </c>
      <c r="AZ2834">
        <v>16</v>
      </c>
      <c r="BA2834" t="s">
        <v>2648</v>
      </c>
      <c r="BB2834" t="s">
        <v>2649</v>
      </c>
      <c r="BC2834">
        <v>0.14399999999999999</v>
      </c>
      <c r="BD2834" t="s">
        <v>65</v>
      </c>
      <c r="BE2834">
        <v>81</v>
      </c>
      <c r="BF2834">
        <v>30</v>
      </c>
      <c r="BG2834" t="s">
        <v>2650</v>
      </c>
      <c r="BH2834" t="s">
        <v>2651</v>
      </c>
      <c r="BI2834" t="s">
        <v>2652</v>
      </c>
      <c r="BJ2834">
        <v>8.5849999999999996E-2</v>
      </c>
      <c r="BK2834">
        <v>1</v>
      </c>
      <c r="BL2834" t="s">
        <v>69</v>
      </c>
      <c r="BM2834">
        <v>-1.486</v>
      </c>
      <c r="BN2834">
        <v>-1.143</v>
      </c>
    </row>
    <row r="2835" spans="10:66">
      <c r="J2835">
        <v>0</v>
      </c>
      <c r="K2835">
        <v>2</v>
      </c>
      <c r="L2835">
        <v>0</v>
      </c>
      <c r="M2835" t="s">
        <v>25021</v>
      </c>
      <c r="N2835">
        <v>392</v>
      </c>
      <c r="O2835" t="s">
        <v>2653</v>
      </c>
      <c r="P2835" t="s">
        <v>62</v>
      </c>
      <c r="Q2835">
        <v>438519</v>
      </c>
      <c r="R2835">
        <v>439265</v>
      </c>
      <c r="S2835" t="s">
        <v>2654</v>
      </c>
      <c r="T2835">
        <v>249</v>
      </c>
      <c r="U2835" t="s">
        <v>108</v>
      </c>
      <c r="V2835">
        <v>44</v>
      </c>
      <c r="W2835" t="str">
        <f>HYPERLINK("Gene392-zp_tree_all.dnd", "Gene392-tree")</f>
        <v>Gene392-tree</v>
      </c>
      <c r="X2835">
        <v>29</v>
      </c>
      <c r="Y2835">
        <v>3</v>
      </c>
      <c r="Z2835">
        <v>12</v>
      </c>
      <c r="AA2835">
        <v>3</v>
      </c>
      <c r="AB2835">
        <v>0.2</v>
      </c>
      <c r="AC2835" t="s">
        <v>1455</v>
      </c>
      <c r="AD2835" t="s">
        <v>324</v>
      </c>
      <c r="AE2835" t="s">
        <v>62</v>
      </c>
      <c r="AF2835" t="s">
        <v>62</v>
      </c>
      <c r="AG2835">
        <v>1</v>
      </c>
      <c r="AH2835">
        <v>2</v>
      </c>
      <c r="AI2835">
        <v>2</v>
      </c>
      <c r="AJ2835">
        <v>0.5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3</v>
      </c>
      <c r="AT2835">
        <v>0</v>
      </c>
      <c r="AU2835">
        <v>11</v>
      </c>
      <c r="AV2835">
        <v>6</v>
      </c>
      <c r="AW2835">
        <v>13</v>
      </c>
      <c r="AX2835">
        <v>3</v>
      </c>
      <c r="AY2835">
        <v>8</v>
      </c>
      <c r="AZ2835">
        <v>1</v>
      </c>
      <c r="BA2835" t="s">
        <v>2655</v>
      </c>
      <c r="BB2835" t="s">
        <v>2656</v>
      </c>
      <c r="BC2835">
        <v>0.28100000000000003</v>
      </c>
      <c r="BD2835" t="s">
        <v>65</v>
      </c>
      <c r="BE2835">
        <v>21</v>
      </c>
      <c r="BF2835">
        <v>4</v>
      </c>
      <c r="BG2835" t="s">
        <v>2657</v>
      </c>
      <c r="BH2835" t="s">
        <v>2658</v>
      </c>
      <c r="BI2835" t="s">
        <v>2659</v>
      </c>
      <c r="BJ2835">
        <v>4.3770000000000003E-2</v>
      </c>
      <c r="BK2835">
        <v>1</v>
      </c>
      <c r="BL2835" t="s">
        <v>69</v>
      </c>
      <c r="BM2835">
        <v>-0.58699999999999997</v>
      </c>
      <c r="BN2835">
        <v>-1.389</v>
      </c>
    </row>
    <row r="2836" spans="10:66">
      <c r="J2836">
        <v>0</v>
      </c>
      <c r="K2836">
        <v>0</v>
      </c>
      <c r="L2836">
        <v>0</v>
      </c>
      <c r="M2836" t="s">
        <v>25021</v>
      </c>
      <c r="N2836">
        <v>393</v>
      </c>
      <c r="O2836" t="s">
        <v>2660</v>
      </c>
      <c r="P2836" t="s">
        <v>62</v>
      </c>
      <c r="Q2836">
        <v>439285</v>
      </c>
      <c r="R2836">
        <v>439569</v>
      </c>
      <c r="S2836" t="s">
        <v>2661</v>
      </c>
      <c r="T2836">
        <v>95</v>
      </c>
      <c r="U2836" t="s">
        <v>59</v>
      </c>
      <c r="V2836">
        <v>49</v>
      </c>
      <c r="W2836" t="str">
        <f>HYPERLINK("Gene393-zp_tree_all.dnd", "Gene393-tree")</f>
        <v>Gene393-tree</v>
      </c>
      <c r="X2836">
        <v>10</v>
      </c>
      <c r="Y2836">
        <v>3</v>
      </c>
      <c r="Z2836">
        <v>10</v>
      </c>
      <c r="AA2836">
        <v>3</v>
      </c>
      <c r="AB2836">
        <v>0.23077</v>
      </c>
      <c r="AC2836" t="s">
        <v>117</v>
      </c>
      <c r="AD2836" t="s">
        <v>324</v>
      </c>
      <c r="AE2836" t="s">
        <v>62</v>
      </c>
      <c r="AF2836" t="s">
        <v>62</v>
      </c>
      <c r="AG2836">
        <v>0</v>
      </c>
      <c r="AH2836">
        <v>0</v>
      </c>
      <c r="AI2836">
        <v>5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4</v>
      </c>
      <c r="AT2836">
        <v>0</v>
      </c>
      <c r="AU2836">
        <v>8</v>
      </c>
      <c r="AV2836">
        <v>5</v>
      </c>
      <c r="AW2836">
        <v>10</v>
      </c>
      <c r="AX2836">
        <v>4</v>
      </c>
      <c r="AY2836">
        <v>12</v>
      </c>
      <c r="AZ2836">
        <v>1</v>
      </c>
      <c r="BA2836" t="s">
        <v>2662</v>
      </c>
      <c r="BB2836" t="s">
        <v>2663</v>
      </c>
      <c r="BC2836">
        <v>0.86399999999999999</v>
      </c>
      <c r="BD2836" t="s">
        <v>65</v>
      </c>
      <c r="BE2836">
        <v>22</v>
      </c>
      <c r="BF2836">
        <v>5</v>
      </c>
      <c r="BG2836" t="s">
        <v>2664</v>
      </c>
      <c r="BH2836" t="s">
        <v>2665</v>
      </c>
      <c r="BI2836" t="s">
        <v>2666</v>
      </c>
      <c r="BJ2836">
        <v>3.9260000000000003E-2</v>
      </c>
      <c r="BK2836">
        <v>1</v>
      </c>
      <c r="BL2836" t="s">
        <v>69</v>
      </c>
      <c r="BM2836">
        <v>-0.83899999999999997</v>
      </c>
      <c r="BN2836">
        <v>-0.90100000000000002</v>
      </c>
    </row>
    <row r="2837" spans="10:66">
      <c r="J2837">
        <v>0</v>
      </c>
      <c r="K2837">
        <v>0</v>
      </c>
      <c r="L2837">
        <v>4</v>
      </c>
      <c r="M2837" t="s">
        <v>25021</v>
      </c>
      <c r="N2837">
        <v>395</v>
      </c>
      <c r="O2837" t="s">
        <v>2673</v>
      </c>
      <c r="P2837" t="s">
        <v>62</v>
      </c>
      <c r="Q2837">
        <v>440028</v>
      </c>
      <c r="R2837">
        <v>441464</v>
      </c>
      <c r="S2837" t="s">
        <v>2674</v>
      </c>
      <c r="T2837">
        <v>479</v>
      </c>
      <c r="U2837" t="s">
        <v>108</v>
      </c>
      <c r="V2837">
        <v>44</v>
      </c>
      <c r="W2837" t="str">
        <f>HYPERLINK("Gene395-zp_tree_all.dnd", "Gene395-tree")</f>
        <v>Gene395-tree</v>
      </c>
      <c r="X2837">
        <v>24</v>
      </c>
      <c r="Y2837">
        <v>9</v>
      </c>
      <c r="Z2837">
        <v>6</v>
      </c>
      <c r="AA2837">
        <v>9</v>
      </c>
      <c r="AB2837">
        <v>0.6</v>
      </c>
      <c r="AC2837" t="s">
        <v>2675</v>
      </c>
      <c r="AD2837" t="s">
        <v>135</v>
      </c>
      <c r="AE2837" t="s">
        <v>62</v>
      </c>
      <c r="AF2837" t="s">
        <v>62</v>
      </c>
      <c r="AG2837">
        <v>2</v>
      </c>
      <c r="AH2837">
        <v>4</v>
      </c>
      <c r="AI2837">
        <v>26</v>
      </c>
      <c r="AJ2837">
        <v>0.13333</v>
      </c>
      <c r="AK2837">
        <v>0</v>
      </c>
      <c r="AL2837">
        <v>0</v>
      </c>
      <c r="AM2837">
        <v>0</v>
      </c>
      <c r="AN2837">
        <v>5</v>
      </c>
      <c r="AO2837">
        <v>0</v>
      </c>
      <c r="AP2837">
        <v>0</v>
      </c>
      <c r="AQ2837">
        <v>2</v>
      </c>
      <c r="AR2837">
        <v>2</v>
      </c>
      <c r="AS2837">
        <v>20</v>
      </c>
      <c r="AT2837">
        <v>9.0910000000000005E-2</v>
      </c>
      <c r="AU2837">
        <v>13</v>
      </c>
      <c r="AV2837">
        <v>11</v>
      </c>
      <c r="AW2837">
        <v>59</v>
      </c>
      <c r="AX2837">
        <v>22</v>
      </c>
      <c r="AY2837">
        <v>25</v>
      </c>
      <c r="AZ2837">
        <v>8</v>
      </c>
      <c r="BA2837" t="s">
        <v>2676</v>
      </c>
      <c r="BB2837" t="s">
        <v>2677</v>
      </c>
      <c r="BC2837">
        <v>0.19600000000000001</v>
      </c>
      <c r="BD2837" t="s">
        <v>65</v>
      </c>
      <c r="BE2837">
        <v>84</v>
      </c>
      <c r="BF2837">
        <v>30</v>
      </c>
      <c r="BG2837" t="s">
        <v>2678</v>
      </c>
      <c r="BH2837" t="s">
        <v>2679</v>
      </c>
      <c r="BI2837" t="s">
        <v>2680</v>
      </c>
      <c r="BJ2837">
        <v>0.11835</v>
      </c>
      <c r="BK2837">
        <v>1</v>
      </c>
      <c r="BL2837" t="s">
        <v>69</v>
      </c>
      <c r="BM2837">
        <v>-1.327</v>
      </c>
      <c r="BN2837">
        <v>-1.486</v>
      </c>
    </row>
    <row r="2838" spans="10:66">
      <c r="J2838">
        <v>0</v>
      </c>
      <c r="K2838">
        <v>5</v>
      </c>
      <c r="L2838">
        <v>0</v>
      </c>
      <c r="M2838" t="s">
        <v>25021</v>
      </c>
      <c r="N2838">
        <v>400</v>
      </c>
      <c r="O2838" t="s">
        <v>2710</v>
      </c>
      <c r="P2838" t="s">
        <v>62</v>
      </c>
      <c r="Q2838">
        <v>446177</v>
      </c>
      <c r="R2838">
        <v>446788</v>
      </c>
      <c r="S2838" t="s">
        <v>2711</v>
      </c>
      <c r="T2838">
        <v>204</v>
      </c>
      <c r="U2838" t="s">
        <v>108</v>
      </c>
      <c r="V2838">
        <v>44</v>
      </c>
      <c r="W2838" t="str">
        <f>HYPERLINK("Gene400-zp_tree_all.dnd", "Gene400-tree")</f>
        <v>Gene400-tree</v>
      </c>
      <c r="X2838">
        <v>7</v>
      </c>
      <c r="Y2838">
        <v>7</v>
      </c>
      <c r="Z2838">
        <v>7</v>
      </c>
      <c r="AA2838">
        <v>7</v>
      </c>
      <c r="AB2838">
        <v>0.5</v>
      </c>
      <c r="AC2838" t="s">
        <v>152</v>
      </c>
      <c r="AD2838" t="s">
        <v>152</v>
      </c>
      <c r="AE2838" t="s">
        <v>62</v>
      </c>
      <c r="AF2838" t="s">
        <v>62</v>
      </c>
      <c r="AG2838">
        <v>2</v>
      </c>
      <c r="AH2838">
        <v>5</v>
      </c>
      <c r="AI2838">
        <v>8</v>
      </c>
      <c r="AJ2838">
        <v>0.38462000000000002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2</v>
      </c>
      <c r="AQ2838">
        <v>0</v>
      </c>
      <c r="AR2838">
        <v>2</v>
      </c>
      <c r="AS2838">
        <v>7</v>
      </c>
      <c r="AT2838">
        <v>0.22222</v>
      </c>
      <c r="AU2838">
        <v>11</v>
      </c>
      <c r="AV2838">
        <v>10</v>
      </c>
      <c r="AW2838">
        <v>26</v>
      </c>
      <c r="AX2838">
        <v>8</v>
      </c>
      <c r="AY2838">
        <v>14</v>
      </c>
      <c r="AZ2838">
        <v>5</v>
      </c>
      <c r="BA2838" t="s">
        <v>2712</v>
      </c>
      <c r="BB2838" t="s">
        <v>2713</v>
      </c>
      <c r="BC2838">
        <v>0.216</v>
      </c>
      <c r="BD2838" t="s">
        <v>65</v>
      </c>
      <c r="BE2838">
        <v>40</v>
      </c>
      <c r="BF2838">
        <v>13</v>
      </c>
      <c r="BG2838" t="s">
        <v>2714</v>
      </c>
      <c r="BH2838" t="s">
        <v>2715</v>
      </c>
      <c r="BI2838" t="s">
        <v>2716</v>
      </c>
      <c r="BJ2838">
        <v>7.4560000000000001E-2</v>
      </c>
      <c r="BK2838">
        <v>1</v>
      </c>
      <c r="BL2838" t="s">
        <v>69</v>
      </c>
      <c r="BM2838">
        <v>-0.57099999999999995</v>
      </c>
      <c r="BN2838">
        <v>-0.40699999999999997</v>
      </c>
    </row>
    <row r="2839" spans="10:66">
      <c r="J2839">
        <v>0</v>
      </c>
      <c r="K2839">
        <v>4</v>
      </c>
      <c r="L2839">
        <v>0</v>
      </c>
      <c r="M2839" t="s">
        <v>25021</v>
      </c>
      <c r="N2839">
        <v>401</v>
      </c>
      <c r="O2839" t="s">
        <v>2717</v>
      </c>
      <c r="P2839" t="s">
        <v>62</v>
      </c>
      <c r="Q2839">
        <v>446804</v>
      </c>
      <c r="R2839">
        <v>448426</v>
      </c>
      <c r="S2839" t="s">
        <v>2718</v>
      </c>
      <c r="T2839">
        <v>541</v>
      </c>
      <c r="U2839" t="s">
        <v>108</v>
      </c>
      <c r="V2839">
        <v>44</v>
      </c>
      <c r="W2839" t="str">
        <f>HYPERLINK("Gene401-zp_tree_all.dnd", "Gene401-tree")</f>
        <v>Gene401-tree</v>
      </c>
      <c r="X2839">
        <v>3</v>
      </c>
      <c r="Y2839">
        <v>11</v>
      </c>
      <c r="Z2839">
        <v>3</v>
      </c>
      <c r="AA2839">
        <v>11</v>
      </c>
      <c r="AB2839">
        <v>0.78571000000000002</v>
      </c>
      <c r="AC2839" t="s">
        <v>324</v>
      </c>
      <c r="AD2839" t="s">
        <v>73</v>
      </c>
      <c r="AE2839">
        <v>305230034.74400002</v>
      </c>
      <c r="AF2839" t="s">
        <v>267</v>
      </c>
      <c r="AG2839">
        <v>2</v>
      </c>
      <c r="AH2839">
        <v>4</v>
      </c>
      <c r="AI2839">
        <v>23</v>
      </c>
      <c r="AJ2839">
        <v>0.14815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4</v>
      </c>
      <c r="AQ2839">
        <v>0</v>
      </c>
      <c r="AR2839">
        <v>4</v>
      </c>
      <c r="AS2839">
        <v>21</v>
      </c>
      <c r="AT2839">
        <v>0.16</v>
      </c>
      <c r="AU2839">
        <v>12</v>
      </c>
      <c r="AV2839">
        <v>11</v>
      </c>
      <c r="AW2839">
        <v>61</v>
      </c>
      <c r="AX2839">
        <v>27</v>
      </c>
      <c r="AY2839">
        <v>45</v>
      </c>
      <c r="AZ2839">
        <v>2</v>
      </c>
      <c r="BA2839" t="s">
        <v>2719</v>
      </c>
      <c r="BB2839" t="s">
        <v>2720</v>
      </c>
      <c r="BC2839">
        <v>1.8560000000000001</v>
      </c>
      <c r="BD2839" t="s">
        <v>65</v>
      </c>
      <c r="BE2839">
        <v>106</v>
      </c>
      <c r="BF2839">
        <v>29</v>
      </c>
      <c r="BG2839" t="s">
        <v>2721</v>
      </c>
      <c r="BH2839" t="s">
        <v>2722</v>
      </c>
      <c r="BI2839" t="s">
        <v>2723</v>
      </c>
      <c r="BJ2839">
        <v>6.6229999999999997E-2</v>
      </c>
      <c r="BK2839">
        <v>1</v>
      </c>
      <c r="BL2839" t="s">
        <v>69</v>
      </c>
      <c r="BM2839">
        <v>-0.54400000000000004</v>
      </c>
      <c r="BN2839">
        <v>-0.71499999999999997</v>
      </c>
    </row>
    <row r="2840" spans="10:66">
      <c r="J2840">
        <v>0</v>
      </c>
      <c r="K2840">
        <v>2</v>
      </c>
      <c r="L2840">
        <v>0</v>
      </c>
      <c r="M2840" t="s">
        <v>25021</v>
      </c>
      <c r="N2840">
        <v>402</v>
      </c>
      <c r="O2840" t="s">
        <v>2724</v>
      </c>
      <c r="P2840" t="s">
        <v>62</v>
      </c>
      <c r="Q2840">
        <v>448464</v>
      </c>
      <c r="R2840">
        <v>449033</v>
      </c>
      <c r="S2840" t="s">
        <v>2725</v>
      </c>
      <c r="T2840">
        <v>190</v>
      </c>
      <c r="U2840" t="s">
        <v>108</v>
      </c>
      <c r="V2840">
        <v>44</v>
      </c>
      <c r="W2840" t="str">
        <f>HYPERLINK("Gene402-zp_tree_all.dnd", "Gene402-tree")</f>
        <v>Gene402-tree</v>
      </c>
      <c r="X2840">
        <v>5</v>
      </c>
      <c r="Y2840">
        <v>26</v>
      </c>
      <c r="Z2840">
        <v>5</v>
      </c>
      <c r="AA2840">
        <v>7</v>
      </c>
      <c r="AB2840">
        <v>0.58333000000000002</v>
      </c>
      <c r="AC2840" t="s">
        <v>199</v>
      </c>
      <c r="AD2840" t="s">
        <v>191</v>
      </c>
      <c r="AE2840">
        <v>3.3170000000000002</v>
      </c>
      <c r="AF2840" t="s">
        <v>65</v>
      </c>
      <c r="AG2840">
        <v>1</v>
      </c>
      <c r="AH2840">
        <v>2</v>
      </c>
      <c r="AI2840">
        <v>8</v>
      </c>
      <c r="AJ2840">
        <v>0.2</v>
      </c>
      <c r="AK2840">
        <v>0</v>
      </c>
      <c r="AL2840">
        <v>0</v>
      </c>
      <c r="AM2840">
        <v>0</v>
      </c>
      <c r="AN2840">
        <v>4</v>
      </c>
      <c r="AO2840">
        <v>0</v>
      </c>
      <c r="AP2840">
        <v>2</v>
      </c>
      <c r="AQ2840">
        <v>0</v>
      </c>
      <c r="AR2840">
        <v>2</v>
      </c>
      <c r="AS2840">
        <v>5</v>
      </c>
      <c r="AT2840">
        <v>0.28571000000000002</v>
      </c>
      <c r="AU2840">
        <v>11</v>
      </c>
      <c r="AV2840">
        <v>5</v>
      </c>
      <c r="AW2840">
        <v>21</v>
      </c>
      <c r="AX2840">
        <v>7</v>
      </c>
      <c r="AY2840">
        <v>10</v>
      </c>
      <c r="AZ2840">
        <v>3</v>
      </c>
      <c r="BA2840" t="s">
        <v>2726</v>
      </c>
      <c r="BB2840" t="s">
        <v>2727</v>
      </c>
      <c r="BC2840">
        <v>8.8999999999999996E-2</v>
      </c>
      <c r="BD2840" t="s">
        <v>65</v>
      </c>
      <c r="BE2840">
        <v>31</v>
      </c>
      <c r="BF2840">
        <v>10</v>
      </c>
      <c r="BG2840" t="s">
        <v>2728</v>
      </c>
      <c r="BH2840" t="s">
        <v>2729</v>
      </c>
      <c r="BI2840" t="s">
        <v>2730</v>
      </c>
      <c r="BJ2840">
        <v>9.3229999999999993E-2</v>
      </c>
      <c r="BK2840">
        <v>1</v>
      </c>
      <c r="BL2840" t="s">
        <v>69</v>
      </c>
      <c r="BM2840">
        <v>-0.23499999999999999</v>
      </c>
      <c r="BN2840">
        <v>-0.70699999999999996</v>
      </c>
    </row>
    <row r="2841" spans="10:66">
      <c r="J2841">
        <v>0</v>
      </c>
      <c r="K2841">
        <v>2</v>
      </c>
      <c r="L2841">
        <v>0</v>
      </c>
      <c r="M2841" t="s">
        <v>25021</v>
      </c>
      <c r="N2841">
        <v>409</v>
      </c>
      <c r="O2841" t="s">
        <v>2774</v>
      </c>
      <c r="P2841" t="s">
        <v>62</v>
      </c>
      <c r="Q2841">
        <v>454655</v>
      </c>
      <c r="R2841">
        <v>455260</v>
      </c>
      <c r="S2841" t="s">
        <v>2512</v>
      </c>
      <c r="T2841">
        <v>202</v>
      </c>
      <c r="U2841" t="s">
        <v>2775</v>
      </c>
      <c r="V2841">
        <v>32</v>
      </c>
      <c r="W2841" t="str">
        <f>HYPERLINK("Gene409-zp_tree_all.dnd", "Gene409-tree")</f>
        <v>Gene409-tree</v>
      </c>
      <c r="X2841">
        <v>4</v>
      </c>
      <c r="Y2841">
        <v>5</v>
      </c>
      <c r="Z2841">
        <v>4</v>
      </c>
      <c r="AA2841">
        <v>5</v>
      </c>
      <c r="AB2841">
        <v>0.55556000000000005</v>
      </c>
      <c r="AC2841" t="s">
        <v>61</v>
      </c>
      <c r="AD2841" t="s">
        <v>199</v>
      </c>
      <c r="AE2841" t="s">
        <v>62</v>
      </c>
      <c r="AF2841" t="s">
        <v>62</v>
      </c>
      <c r="AG2841">
        <v>1</v>
      </c>
      <c r="AH2841">
        <v>2</v>
      </c>
      <c r="AI2841">
        <v>12</v>
      </c>
      <c r="AJ2841">
        <v>0.14285999999999999</v>
      </c>
      <c r="AK2841">
        <v>0</v>
      </c>
      <c r="AL2841">
        <v>0</v>
      </c>
      <c r="AM2841">
        <v>0</v>
      </c>
      <c r="AN2841">
        <v>4</v>
      </c>
      <c r="AO2841">
        <v>0</v>
      </c>
      <c r="AP2841">
        <v>0</v>
      </c>
      <c r="AQ2841">
        <v>0</v>
      </c>
      <c r="AR2841">
        <v>0</v>
      </c>
      <c r="AS2841">
        <v>5</v>
      </c>
      <c r="AT2841">
        <v>0</v>
      </c>
      <c r="AU2841">
        <v>5</v>
      </c>
      <c r="AV2841">
        <v>5</v>
      </c>
      <c r="AW2841">
        <v>8</v>
      </c>
      <c r="AX2841">
        <v>6</v>
      </c>
      <c r="AY2841">
        <v>5</v>
      </c>
      <c r="AZ2841">
        <v>10</v>
      </c>
      <c r="BA2841" t="s">
        <v>2776</v>
      </c>
      <c r="BB2841" t="s">
        <v>2777</v>
      </c>
      <c r="BC2841">
        <v>1.1299999999999999</v>
      </c>
      <c r="BD2841" t="s">
        <v>65</v>
      </c>
      <c r="BE2841">
        <v>13</v>
      </c>
      <c r="BF2841">
        <v>16</v>
      </c>
      <c r="BG2841" t="s">
        <v>2778</v>
      </c>
      <c r="BH2841" t="s">
        <v>2779</v>
      </c>
      <c r="BI2841" t="s">
        <v>2780</v>
      </c>
      <c r="BJ2841">
        <v>0.41132000000000002</v>
      </c>
      <c r="BK2841">
        <v>0.97</v>
      </c>
      <c r="BL2841" t="s">
        <v>69</v>
      </c>
      <c r="BM2841">
        <v>-2.4E-2</v>
      </c>
      <c r="BN2841">
        <v>-0.51600000000000001</v>
      </c>
    </row>
    <row r="2842" spans="10:66">
      <c r="J2842">
        <v>0</v>
      </c>
      <c r="K2842">
        <v>0</v>
      </c>
      <c r="L2842">
        <v>0</v>
      </c>
      <c r="M2842" t="s">
        <v>25021</v>
      </c>
      <c r="N2842">
        <v>411</v>
      </c>
      <c r="O2842" t="s">
        <v>2789</v>
      </c>
      <c r="P2842" t="s">
        <v>62</v>
      </c>
      <c r="Q2842">
        <v>455774</v>
      </c>
      <c r="R2842">
        <v>455935</v>
      </c>
      <c r="S2842" t="s">
        <v>116</v>
      </c>
      <c r="T2842">
        <v>54</v>
      </c>
      <c r="U2842" t="s">
        <v>1174</v>
      </c>
      <c r="V2842">
        <v>42</v>
      </c>
      <c r="W2842" t="str">
        <f>HYPERLINK("Gene411-zp_tree_all.dnd", "Gene411-tree")</f>
        <v>Gene411-tree</v>
      </c>
      <c r="X2842">
        <v>0</v>
      </c>
      <c r="Y2842">
        <v>5</v>
      </c>
      <c r="Z2842">
        <v>0</v>
      </c>
      <c r="AA2842">
        <v>5</v>
      </c>
      <c r="AB2842">
        <v>1</v>
      </c>
      <c r="AC2842" t="s">
        <v>62</v>
      </c>
      <c r="AD2842" t="s">
        <v>199</v>
      </c>
      <c r="AE2842" t="s">
        <v>62</v>
      </c>
      <c r="AF2842" t="s">
        <v>62</v>
      </c>
      <c r="AG2842">
        <v>0</v>
      </c>
      <c r="AH2842">
        <v>0</v>
      </c>
      <c r="AI2842">
        <v>4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4</v>
      </c>
      <c r="AT2842">
        <v>0</v>
      </c>
      <c r="AU2842">
        <v>3</v>
      </c>
      <c r="AV2842">
        <v>1</v>
      </c>
      <c r="AW2842">
        <v>1</v>
      </c>
      <c r="AX2842">
        <v>3</v>
      </c>
      <c r="AY2842">
        <v>0</v>
      </c>
      <c r="AZ2842">
        <v>1</v>
      </c>
      <c r="BA2842" t="s">
        <v>2790</v>
      </c>
      <c r="BB2842" t="s">
        <v>193</v>
      </c>
      <c r="BC2842">
        <v>0.86599999999999999</v>
      </c>
      <c r="BD2842" t="s">
        <v>65</v>
      </c>
      <c r="BE2842">
        <v>1</v>
      </c>
      <c r="BF2842">
        <v>4</v>
      </c>
      <c r="BG2842" t="s">
        <v>2791</v>
      </c>
      <c r="BH2842" t="s">
        <v>2792</v>
      </c>
      <c r="BI2842" t="s">
        <v>2793</v>
      </c>
      <c r="BJ2842">
        <v>0.87614999999999998</v>
      </c>
      <c r="BK2842">
        <v>0.254</v>
      </c>
      <c r="BL2842" t="s">
        <v>635</v>
      </c>
      <c r="BM2842">
        <v>-1.121</v>
      </c>
      <c r="BN2842">
        <v>-1.6910000000000001</v>
      </c>
    </row>
    <row r="2843" spans="10:66">
      <c r="J2843">
        <v>0</v>
      </c>
      <c r="K2843">
        <v>0</v>
      </c>
      <c r="L2843">
        <v>0</v>
      </c>
      <c r="M2843" t="s">
        <v>25021</v>
      </c>
      <c r="N2843">
        <v>421</v>
      </c>
      <c r="O2843" t="s">
        <v>2859</v>
      </c>
      <c r="P2843" t="s">
        <v>62</v>
      </c>
      <c r="Q2843">
        <v>463499</v>
      </c>
      <c r="R2843">
        <v>463783</v>
      </c>
      <c r="S2843" t="s">
        <v>116</v>
      </c>
      <c r="T2843">
        <v>95</v>
      </c>
      <c r="U2843" t="s">
        <v>59</v>
      </c>
      <c r="V2843">
        <v>49</v>
      </c>
      <c r="W2843" t="str">
        <f>HYPERLINK("Gene421-zp_tree_all.dnd", "Gene421-tree")</f>
        <v>Gene421-tree</v>
      </c>
      <c r="X2843">
        <v>31</v>
      </c>
      <c r="Y2843">
        <v>3</v>
      </c>
      <c r="Z2843">
        <v>11</v>
      </c>
      <c r="AA2843">
        <v>3</v>
      </c>
      <c r="AB2843">
        <v>0.21429000000000001</v>
      </c>
      <c r="AC2843" t="s">
        <v>2860</v>
      </c>
      <c r="AD2843" t="s">
        <v>324</v>
      </c>
      <c r="AE2843" t="s">
        <v>62</v>
      </c>
      <c r="AF2843" t="s">
        <v>62</v>
      </c>
      <c r="AG2843">
        <v>0</v>
      </c>
      <c r="AH2843">
        <v>0</v>
      </c>
      <c r="AI2843">
        <v>7</v>
      </c>
      <c r="AJ2843">
        <v>0</v>
      </c>
      <c r="AK2843">
        <v>0</v>
      </c>
      <c r="AL2843">
        <v>0</v>
      </c>
      <c r="AM2843">
        <v>0</v>
      </c>
      <c r="AN2843">
        <v>3</v>
      </c>
      <c r="AO2843">
        <v>0</v>
      </c>
      <c r="AP2843">
        <v>0</v>
      </c>
      <c r="AQ2843">
        <v>0</v>
      </c>
      <c r="AR2843">
        <v>0</v>
      </c>
      <c r="AS2843">
        <v>3</v>
      </c>
      <c r="AT2843">
        <v>0</v>
      </c>
      <c r="AU2843">
        <v>10</v>
      </c>
      <c r="AV2843">
        <v>5</v>
      </c>
      <c r="AW2843">
        <v>18</v>
      </c>
      <c r="AX2843">
        <v>3</v>
      </c>
      <c r="AY2843">
        <v>7</v>
      </c>
      <c r="AZ2843">
        <v>4</v>
      </c>
      <c r="BA2843" t="s">
        <v>2861</v>
      </c>
      <c r="BB2843" t="s">
        <v>2862</v>
      </c>
      <c r="BC2843">
        <v>0.8</v>
      </c>
      <c r="BD2843" t="s">
        <v>65</v>
      </c>
      <c r="BE2843">
        <v>25</v>
      </c>
      <c r="BF2843">
        <v>7</v>
      </c>
      <c r="BG2843" t="s">
        <v>2863</v>
      </c>
      <c r="BH2843" t="s">
        <v>2864</v>
      </c>
      <c r="BI2843" t="s">
        <v>2865</v>
      </c>
      <c r="BJ2843">
        <v>8.0740000000000006E-2</v>
      </c>
      <c r="BK2843">
        <v>1</v>
      </c>
      <c r="BL2843" t="s">
        <v>69</v>
      </c>
      <c r="BM2843">
        <v>-1.39</v>
      </c>
      <c r="BN2843">
        <v>-0.91900000000000004</v>
      </c>
    </row>
    <row r="2844" spans="10:66">
      <c r="J2844">
        <v>0</v>
      </c>
      <c r="K2844">
        <v>6</v>
      </c>
      <c r="L2844">
        <v>1</v>
      </c>
      <c r="M2844" t="s">
        <v>25021</v>
      </c>
      <c r="N2844">
        <v>426</v>
      </c>
      <c r="O2844" t="s">
        <v>2893</v>
      </c>
      <c r="P2844" t="s">
        <v>62</v>
      </c>
      <c r="Q2844">
        <v>470960</v>
      </c>
      <c r="R2844">
        <v>471502</v>
      </c>
      <c r="S2844" t="s">
        <v>1075</v>
      </c>
      <c r="T2844">
        <v>181</v>
      </c>
      <c r="U2844" t="s">
        <v>108</v>
      </c>
      <c r="V2844">
        <v>44</v>
      </c>
      <c r="W2844" t="str">
        <f>HYPERLINK("Gene426-zp_tree_all.dnd", "Gene426-tree")</f>
        <v>Gene426-tree</v>
      </c>
      <c r="X2844">
        <v>5</v>
      </c>
      <c r="Y2844">
        <v>8</v>
      </c>
      <c r="Z2844">
        <v>5</v>
      </c>
      <c r="AA2844">
        <v>8</v>
      </c>
      <c r="AB2844">
        <v>0.61538000000000004</v>
      </c>
      <c r="AC2844" t="s">
        <v>199</v>
      </c>
      <c r="AD2844" t="s">
        <v>136</v>
      </c>
      <c r="AE2844" t="s">
        <v>62</v>
      </c>
      <c r="AF2844" t="s">
        <v>62</v>
      </c>
      <c r="AG2844">
        <v>3</v>
      </c>
      <c r="AH2844">
        <v>7</v>
      </c>
      <c r="AI2844">
        <v>15</v>
      </c>
      <c r="AJ2844">
        <v>0.31818000000000002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12</v>
      </c>
      <c r="AT2844">
        <v>0</v>
      </c>
      <c r="AU2844">
        <v>11</v>
      </c>
      <c r="AV2844">
        <v>7</v>
      </c>
      <c r="AW2844">
        <v>21</v>
      </c>
      <c r="AX2844">
        <v>11</v>
      </c>
      <c r="AY2844">
        <v>9</v>
      </c>
      <c r="AZ2844">
        <v>11</v>
      </c>
      <c r="BA2844" t="s">
        <v>2894</v>
      </c>
      <c r="BB2844" t="s">
        <v>2895</v>
      </c>
      <c r="BC2844">
        <v>1.0680000000000001</v>
      </c>
      <c r="BD2844" t="s">
        <v>65</v>
      </c>
      <c r="BE2844">
        <v>30</v>
      </c>
      <c r="BF2844">
        <v>22</v>
      </c>
      <c r="BG2844" t="s">
        <v>2896</v>
      </c>
      <c r="BH2844" t="s">
        <v>2897</v>
      </c>
      <c r="BI2844" t="s">
        <v>2898</v>
      </c>
      <c r="BJ2844">
        <v>0.25422</v>
      </c>
      <c r="BK2844">
        <v>1</v>
      </c>
      <c r="BL2844" t="s">
        <v>69</v>
      </c>
      <c r="BM2844">
        <v>-1.56</v>
      </c>
      <c r="BN2844">
        <v>-1.522</v>
      </c>
    </row>
    <row r="2845" spans="10:66">
      <c r="J2845">
        <v>0</v>
      </c>
      <c r="K2845">
        <v>2</v>
      </c>
      <c r="L2845">
        <v>0</v>
      </c>
      <c r="M2845" t="s">
        <v>25021</v>
      </c>
      <c r="N2845">
        <v>432</v>
      </c>
      <c r="O2845" t="s">
        <v>2934</v>
      </c>
      <c r="P2845" t="s">
        <v>62</v>
      </c>
      <c r="Q2845">
        <v>475587</v>
      </c>
      <c r="R2845">
        <v>475874</v>
      </c>
      <c r="S2845" t="s">
        <v>116</v>
      </c>
      <c r="T2845">
        <v>96</v>
      </c>
      <c r="U2845" t="s">
        <v>2935</v>
      </c>
      <c r="V2845">
        <v>44</v>
      </c>
      <c r="W2845" t="str">
        <f>HYPERLINK("Gene432-zp_tree_all.dnd", "Gene432-tree")</f>
        <v>Gene432-tree</v>
      </c>
      <c r="X2845">
        <v>10</v>
      </c>
      <c r="Y2845">
        <v>2</v>
      </c>
      <c r="Z2845">
        <v>10</v>
      </c>
      <c r="AA2845">
        <v>2</v>
      </c>
      <c r="AB2845">
        <v>0.16667000000000001</v>
      </c>
      <c r="AC2845" t="s">
        <v>117</v>
      </c>
      <c r="AD2845" t="s">
        <v>81</v>
      </c>
      <c r="AE2845" t="s">
        <v>62</v>
      </c>
      <c r="AF2845" t="s">
        <v>62</v>
      </c>
      <c r="AG2845">
        <v>1</v>
      </c>
      <c r="AH2845">
        <v>2</v>
      </c>
      <c r="AI2845">
        <v>4</v>
      </c>
      <c r="AJ2845">
        <v>0.33333000000000002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2</v>
      </c>
      <c r="AT2845">
        <v>0</v>
      </c>
      <c r="AU2845">
        <v>9</v>
      </c>
      <c r="AV2845">
        <v>6</v>
      </c>
      <c r="AW2845">
        <v>11</v>
      </c>
      <c r="AX2845">
        <v>2</v>
      </c>
      <c r="AY2845">
        <v>9</v>
      </c>
      <c r="AZ2845">
        <v>4</v>
      </c>
      <c r="BA2845" t="s">
        <v>2936</v>
      </c>
      <c r="BB2845" t="s">
        <v>2937</v>
      </c>
      <c r="BC2845">
        <v>0.76700000000000002</v>
      </c>
      <c r="BD2845" t="s">
        <v>65</v>
      </c>
      <c r="BE2845">
        <v>20</v>
      </c>
      <c r="BF2845">
        <v>6</v>
      </c>
      <c r="BG2845" t="s">
        <v>2938</v>
      </c>
      <c r="BH2845" t="s">
        <v>2939</v>
      </c>
      <c r="BI2845" t="s">
        <v>2940</v>
      </c>
      <c r="BJ2845">
        <v>0.10682</v>
      </c>
      <c r="BK2845">
        <v>1</v>
      </c>
      <c r="BL2845" t="s">
        <v>69</v>
      </c>
      <c r="BM2845">
        <v>-0.90300000000000002</v>
      </c>
      <c r="BN2845">
        <v>-0.60199999999999998</v>
      </c>
    </row>
    <row r="2846" spans="10:66">
      <c r="J2846">
        <v>0</v>
      </c>
      <c r="K2846">
        <v>5</v>
      </c>
      <c r="L2846">
        <v>0</v>
      </c>
      <c r="M2846" t="s">
        <v>25021</v>
      </c>
      <c r="N2846">
        <v>444</v>
      </c>
      <c r="O2846" t="s">
        <v>3016</v>
      </c>
      <c r="P2846" t="s">
        <v>62</v>
      </c>
      <c r="Q2846">
        <v>491150</v>
      </c>
      <c r="R2846">
        <v>492424</v>
      </c>
      <c r="S2846" t="s">
        <v>3017</v>
      </c>
      <c r="T2846">
        <v>425</v>
      </c>
      <c r="U2846" t="s">
        <v>2950</v>
      </c>
      <c r="V2846">
        <v>41</v>
      </c>
      <c r="W2846" t="str">
        <f>HYPERLINK("Gene444-zp_tree_all.dnd", "Gene444-tree")</f>
        <v>Gene444-tree</v>
      </c>
      <c r="X2846">
        <v>8</v>
      </c>
      <c r="Y2846">
        <v>5</v>
      </c>
      <c r="Z2846">
        <v>8</v>
      </c>
      <c r="AA2846">
        <v>5</v>
      </c>
      <c r="AB2846">
        <v>0.38462000000000002</v>
      </c>
      <c r="AC2846" t="s">
        <v>136</v>
      </c>
      <c r="AD2846" t="s">
        <v>199</v>
      </c>
      <c r="AE2846" t="s">
        <v>62</v>
      </c>
      <c r="AF2846" t="s">
        <v>62</v>
      </c>
      <c r="AG2846">
        <v>1</v>
      </c>
      <c r="AH2846">
        <v>5</v>
      </c>
      <c r="AI2846">
        <v>4</v>
      </c>
      <c r="AJ2846">
        <v>0.55556000000000005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4</v>
      </c>
      <c r="AT2846">
        <v>0</v>
      </c>
      <c r="AU2846">
        <v>11</v>
      </c>
      <c r="AV2846">
        <v>8</v>
      </c>
      <c r="AW2846">
        <v>46</v>
      </c>
      <c r="AX2846">
        <v>4</v>
      </c>
      <c r="AY2846">
        <v>18</v>
      </c>
      <c r="AZ2846">
        <v>5</v>
      </c>
      <c r="BA2846" t="s">
        <v>3018</v>
      </c>
      <c r="BB2846" t="s">
        <v>3019</v>
      </c>
      <c r="BC2846">
        <v>0.65800000000000003</v>
      </c>
      <c r="BD2846" t="s">
        <v>65</v>
      </c>
      <c r="BE2846">
        <v>64</v>
      </c>
      <c r="BF2846">
        <v>9</v>
      </c>
      <c r="BG2846" t="s">
        <v>3020</v>
      </c>
      <c r="BH2846" t="s">
        <v>3021</v>
      </c>
      <c r="BI2846" t="s">
        <v>3022</v>
      </c>
      <c r="BJ2846">
        <v>3.3890000000000003E-2</v>
      </c>
      <c r="BK2846">
        <v>1</v>
      </c>
      <c r="BL2846" t="s">
        <v>69</v>
      </c>
      <c r="BM2846">
        <v>-0.68799999999999994</v>
      </c>
      <c r="BN2846">
        <v>-1.9139999999999999</v>
      </c>
    </row>
    <row r="2847" spans="10:66">
      <c r="J2847">
        <v>0</v>
      </c>
      <c r="K2847">
        <v>0</v>
      </c>
      <c r="L2847">
        <v>0</v>
      </c>
      <c r="M2847" t="s">
        <v>25021</v>
      </c>
      <c r="N2847">
        <v>445</v>
      </c>
      <c r="O2847" t="s">
        <v>3023</v>
      </c>
      <c r="P2847" t="s">
        <v>62</v>
      </c>
      <c r="Q2847">
        <v>492657</v>
      </c>
      <c r="R2847">
        <v>492911</v>
      </c>
      <c r="S2847" t="s">
        <v>116</v>
      </c>
      <c r="T2847">
        <v>85</v>
      </c>
      <c r="U2847" t="s">
        <v>108</v>
      </c>
      <c r="V2847">
        <v>44</v>
      </c>
      <c r="W2847" t="str">
        <f>HYPERLINK("Gene445-zp_tree_all.dnd", "Gene445-tree")</f>
        <v>Gene445-tree</v>
      </c>
      <c r="X2847">
        <v>10</v>
      </c>
      <c r="Y2847">
        <v>0</v>
      </c>
      <c r="Z2847">
        <v>10</v>
      </c>
      <c r="AA2847">
        <v>0</v>
      </c>
      <c r="AB2847">
        <v>0</v>
      </c>
      <c r="AC2847" t="s">
        <v>117</v>
      </c>
      <c r="AD2847" t="s">
        <v>62</v>
      </c>
      <c r="AE2847" t="s">
        <v>62</v>
      </c>
      <c r="AF2847" t="s">
        <v>62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6</v>
      </c>
      <c r="AV2847">
        <v>4</v>
      </c>
      <c r="AW2847">
        <v>6</v>
      </c>
      <c r="AX2847">
        <v>0</v>
      </c>
      <c r="AY2847">
        <v>4</v>
      </c>
      <c r="AZ2847">
        <v>0</v>
      </c>
      <c r="BA2847" t="s">
        <v>193</v>
      </c>
      <c r="BB2847" t="s">
        <v>193</v>
      </c>
      <c r="BC2847">
        <v>0</v>
      </c>
      <c r="BD2847" t="s">
        <v>65</v>
      </c>
      <c r="BE2847">
        <v>10</v>
      </c>
      <c r="BF2847">
        <v>0</v>
      </c>
      <c r="BG2847" t="s">
        <v>3024</v>
      </c>
      <c r="BH2847" t="s">
        <v>3025</v>
      </c>
      <c r="BI2847" t="s">
        <v>193</v>
      </c>
      <c r="BJ2847">
        <v>0</v>
      </c>
      <c r="BK2847">
        <v>1</v>
      </c>
      <c r="BL2847" t="s">
        <v>69</v>
      </c>
      <c r="BM2847">
        <v>0.315</v>
      </c>
      <c r="BN2847">
        <v>-2.5449999999999999</v>
      </c>
    </row>
    <row r="2848" spans="10:66">
      <c r="J2848">
        <v>0</v>
      </c>
      <c r="K2848">
        <v>0</v>
      </c>
      <c r="L2848">
        <v>0</v>
      </c>
      <c r="M2848" t="s">
        <v>25021</v>
      </c>
      <c r="N2848">
        <v>446</v>
      </c>
      <c r="O2848" t="s">
        <v>3026</v>
      </c>
      <c r="P2848" t="s">
        <v>62</v>
      </c>
      <c r="Q2848">
        <v>492992</v>
      </c>
      <c r="R2848">
        <v>493441</v>
      </c>
      <c r="S2848" t="s">
        <v>116</v>
      </c>
      <c r="T2848">
        <v>150</v>
      </c>
      <c r="U2848" t="s">
        <v>2513</v>
      </c>
      <c r="V2848">
        <v>43</v>
      </c>
      <c r="W2848" t="str">
        <f>HYPERLINK("Gene446-zp_tree_all.dnd", "Gene446-tree")</f>
        <v>Gene446-tree</v>
      </c>
      <c r="X2848">
        <v>27</v>
      </c>
      <c r="Y2848">
        <v>5</v>
      </c>
      <c r="Z2848">
        <v>4</v>
      </c>
      <c r="AA2848">
        <v>5</v>
      </c>
      <c r="AB2848">
        <v>0.55556000000000005</v>
      </c>
      <c r="AC2848" t="s">
        <v>3027</v>
      </c>
      <c r="AD2848" t="s">
        <v>199</v>
      </c>
      <c r="AE2848" t="s">
        <v>62</v>
      </c>
      <c r="AF2848" t="s">
        <v>62</v>
      </c>
      <c r="AG2848">
        <v>0</v>
      </c>
      <c r="AH2848">
        <v>0</v>
      </c>
      <c r="AI2848">
        <v>11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9</v>
      </c>
      <c r="AT2848">
        <v>0</v>
      </c>
      <c r="AU2848">
        <v>7</v>
      </c>
      <c r="AV2848">
        <v>3</v>
      </c>
      <c r="AW2848">
        <v>8</v>
      </c>
      <c r="AX2848">
        <v>9</v>
      </c>
      <c r="AY2848">
        <v>2</v>
      </c>
      <c r="AZ2848">
        <v>2</v>
      </c>
      <c r="BA2848" t="s">
        <v>3028</v>
      </c>
      <c r="BB2848" t="s">
        <v>3029</v>
      </c>
      <c r="BC2848">
        <v>7.5999999999999998E-2</v>
      </c>
      <c r="BD2848" t="s">
        <v>65</v>
      </c>
      <c r="BE2848">
        <v>10</v>
      </c>
      <c r="BF2848">
        <v>11</v>
      </c>
      <c r="BG2848" t="s">
        <v>3030</v>
      </c>
      <c r="BH2848" t="s">
        <v>3031</v>
      </c>
      <c r="BI2848" t="s">
        <v>3032</v>
      </c>
      <c r="BJ2848">
        <v>0.29110999999999998</v>
      </c>
      <c r="BK2848">
        <v>0.95</v>
      </c>
      <c r="BL2848" t="s">
        <v>635</v>
      </c>
      <c r="BM2848">
        <v>-1.804</v>
      </c>
      <c r="BN2848">
        <v>-2.9180000000000001</v>
      </c>
    </row>
    <row r="2849" spans="10:66">
      <c r="J2849">
        <v>2</v>
      </c>
      <c r="K2849">
        <v>3</v>
      </c>
      <c r="L2849">
        <v>2</v>
      </c>
      <c r="M2849" t="s">
        <v>25021</v>
      </c>
      <c r="N2849">
        <v>451</v>
      </c>
      <c r="O2849" t="s">
        <v>3060</v>
      </c>
      <c r="P2849" t="s">
        <v>62</v>
      </c>
      <c r="Q2849">
        <v>495743</v>
      </c>
      <c r="R2849">
        <v>496561</v>
      </c>
      <c r="S2849" t="s">
        <v>3061</v>
      </c>
      <c r="T2849">
        <v>273</v>
      </c>
      <c r="U2849" t="s">
        <v>72</v>
      </c>
      <c r="V2849">
        <v>45</v>
      </c>
      <c r="W2849" t="str">
        <f>HYPERLINK("Gene451-zp_tree_all.dnd", "Gene451-tree")</f>
        <v>Gene451-tree</v>
      </c>
      <c r="X2849">
        <v>5</v>
      </c>
      <c r="Y2849">
        <v>9</v>
      </c>
      <c r="Z2849">
        <v>5</v>
      </c>
      <c r="AA2849">
        <v>9</v>
      </c>
      <c r="AB2849">
        <v>0.64285999999999999</v>
      </c>
      <c r="AC2849" t="s">
        <v>199</v>
      </c>
      <c r="AD2849" t="s">
        <v>135</v>
      </c>
      <c r="AE2849" t="s">
        <v>62</v>
      </c>
      <c r="AF2849" t="s">
        <v>62</v>
      </c>
      <c r="AG2849">
        <v>2</v>
      </c>
      <c r="AH2849">
        <v>7</v>
      </c>
      <c r="AI2849">
        <v>9</v>
      </c>
      <c r="AJ2849">
        <v>0.4375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3</v>
      </c>
      <c r="AR2849">
        <v>3</v>
      </c>
      <c r="AS2849">
        <v>10</v>
      </c>
      <c r="AT2849">
        <v>0.23077</v>
      </c>
      <c r="AU2849">
        <v>12</v>
      </c>
      <c r="AV2849">
        <v>9</v>
      </c>
      <c r="AW2849">
        <v>39</v>
      </c>
      <c r="AX2849">
        <v>11</v>
      </c>
      <c r="AY2849">
        <v>25</v>
      </c>
      <c r="AZ2849">
        <v>5</v>
      </c>
      <c r="BA2849" t="s">
        <v>3062</v>
      </c>
      <c r="BB2849" t="s">
        <v>3063</v>
      </c>
      <c r="BC2849">
        <v>0.123</v>
      </c>
      <c r="BD2849" t="s">
        <v>65</v>
      </c>
      <c r="BE2849">
        <v>64</v>
      </c>
      <c r="BF2849">
        <v>16</v>
      </c>
      <c r="BG2849" t="s">
        <v>3064</v>
      </c>
      <c r="BH2849" t="s">
        <v>3065</v>
      </c>
      <c r="BI2849" t="s">
        <v>3066</v>
      </c>
      <c r="BJ2849">
        <v>5.8430000000000003E-2</v>
      </c>
      <c r="BK2849">
        <v>1</v>
      </c>
      <c r="BL2849" t="s">
        <v>69</v>
      </c>
      <c r="BM2849">
        <v>-1.389</v>
      </c>
      <c r="BN2849">
        <v>-3.3069999999999999</v>
      </c>
    </row>
    <row r="2850" spans="10:66">
      <c r="J2850">
        <v>0</v>
      </c>
      <c r="K2850">
        <v>3</v>
      </c>
      <c r="L2850">
        <v>2</v>
      </c>
      <c r="M2850" t="s">
        <v>25021</v>
      </c>
      <c r="N2850">
        <v>452</v>
      </c>
      <c r="O2850" t="s">
        <v>3067</v>
      </c>
      <c r="P2850" t="s">
        <v>62</v>
      </c>
      <c r="Q2850">
        <v>496649</v>
      </c>
      <c r="R2850">
        <v>497698</v>
      </c>
      <c r="S2850" t="s">
        <v>3068</v>
      </c>
      <c r="T2850">
        <v>350</v>
      </c>
      <c r="U2850" t="s">
        <v>108</v>
      </c>
      <c r="V2850">
        <v>44</v>
      </c>
      <c r="W2850" t="str">
        <f>HYPERLINK("Gene452-zp_tree_all.dnd", "Gene452-tree")</f>
        <v>Gene452-tree</v>
      </c>
      <c r="X2850">
        <v>5</v>
      </c>
      <c r="Y2850">
        <v>8</v>
      </c>
      <c r="Z2850">
        <v>5</v>
      </c>
      <c r="AA2850">
        <v>8</v>
      </c>
      <c r="AB2850">
        <v>0.61538000000000004</v>
      </c>
      <c r="AC2850" t="s">
        <v>199</v>
      </c>
      <c r="AD2850" t="s">
        <v>136</v>
      </c>
      <c r="AE2850" t="s">
        <v>62</v>
      </c>
      <c r="AF2850" t="s">
        <v>62</v>
      </c>
      <c r="AG2850">
        <v>2</v>
      </c>
      <c r="AH2850">
        <v>5</v>
      </c>
      <c r="AI2850">
        <v>12</v>
      </c>
      <c r="AJ2850">
        <v>0.29411999999999999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2</v>
      </c>
      <c r="AQ2850">
        <v>0</v>
      </c>
      <c r="AR2850">
        <v>2</v>
      </c>
      <c r="AS2850">
        <v>10</v>
      </c>
      <c r="AT2850">
        <v>0.16667000000000001</v>
      </c>
      <c r="AU2850">
        <v>13</v>
      </c>
      <c r="AV2850">
        <v>7</v>
      </c>
      <c r="AW2850">
        <v>34</v>
      </c>
      <c r="AX2850">
        <v>12</v>
      </c>
      <c r="AY2850">
        <v>12</v>
      </c>
      <c r="AZ2850">
        <v>5</v>
      </c>
      <c r="BA2850" t="s">
        <v>3069</v>
      </c>
      <c r="BB2850" t="s">
        <v>3070</v>
      </c>
      <c r="BC2850">
        <v>0.28499999999999998</v>
      </c>
      <c r="BD2850" t="s">
        <v>65</v>
      </c>
      <c r="BE2850">
        <v>46</v>
      </c>
      <c r="BF2850">
        <v>17</v>
      </c>
      <c r="BG2850" t="s">
        <v>3071</v>
      </c>
      <c r="BH2850" t="s">
        <v>3072</v>
      </c>
      <c r="BI2850" t="s">
        <v>2475</v>
      </c>
      <c r="BJ2850">
        <v>0.10514999999999999</v>
      </c>
      <c r="BK2850">
        <v>1</v>
      </c>
      <c r="BL2850" t="s">
        <v>69</v>
      </c>
      <c r="BM2850">
        <v>-0.66700000000000004</v>
      </c>
      <c r="BN2850">
        <v>-1.2549999999999999</v>
      </c>
    </row>
    <row r="2851" spans="10:66">
      <c r="J2851">
        <v>0</v>
      </c>
      <c r="K2851">
        <v>5</v>
      </c>
      <c r="L2851">
        <v>1</v>
      </c>
      <c r="M2851" t="s">
        <v>25021</v>
      </c>
      <c r="N2851">
        <v>461</v>
      </c>
      <c r="O2851" t="s">
        <v>3128</v>
      </c>
      <c r="P2851" t="s">
        <v>62</v>
      </c>
      <c r="Q2851">
        <v>506325</v>
      </c>
      <c r="R2851">
        <v>506501</v>
      </c>
      <c r="S2851" t="s">
        <v>3129</v>
      </c>
      <c r="T2851">
        <v>59</v>
      </c>
      <c r="U2851" t="s">
        <v>59</v>
      </c>
      <c r="V2851">
        <v>49</v>
      </c>
      <c r="W2851" t="str">
        <f>HYPERLINK("Gene461-zp_tree_all.dnd", "Gene461-tree")</f>
        <v>Gene461-tree</v>
      </c>
      <c r="X2851">
        <v>9</v>
      </c>
      <c r="Y2851">
        <v>6</v>
      </c>
      <c r="Z2851">
        <v>9</v>
      </c>
      <c r="AA2851">
        <v>6</v>
      </c>
      <c r="AB2851">
        <v>0.4</v>
      </c>
      <c r="AC2851" t="s">
        <v>135</v>
      </c>
      <c r="AD2851" t="s">
        <v>90</v>
      </c>
      <c r="AE2851" t="s">
        <v>62</v>
      </c>
      <c r="AF2851" t="s">
        <v>62</v>
      </c>
      <c r="AG2851">
        <v>2</v>
      </c>
      <c r="AH2851">
        <v>6</v>
      </c>
      <c r="AI2851">
        <v>5</v>
      </c>
      <c r="AJ2851">
        <v>0.54544999999999999</v>
      </c>
      <c r="AK2851">
        <v>0</v>
      </c>
      <c r="AL2851">
        <v>0</v>
      </c>
      <c r="AM2851">
        <v>0</v>
      </c>
      <c r="AN2851">
        <v>2</v>
      </c>
      <c r="AO2851">
        <v>0</v>
      </c>
      <c r="AP2851">
        <v>0</v>
      </c>
      <c r="AQ2851">
        <v>2</v>
      </c>
      <c r="AR2851">
        <v>2</v>
      </c>
      <c r="AS2851">
        <v>6</v>
      </c>
      <c r="AT2851">
        <v>0.25</v>
      </c>
      <c r="AU2851">
        <v>8</v>
      </c>
      <c r="AV2851">
        <v>9</v>
      </c>
      <c r="AW2851">
        <v>7</v>
      </c>
      <c r="AX2851">
        <v>6</v>
      </c>
      <c r="AY2851">
        <v>9</v>
      </c>
      <c r="AZ2851">
        <v>5</v>
      </c>
      <c r="BA2851" t="s">
        <v>3130</v>
      </c>
      <c r="BB2851" t="s">
        <v>3131</v>
      </c>
      <c r="BC2851">
        <v>0.33400000000000002</v>
      </c>
      <c r="BD2851" t="s">
        <v>65</v>
      </c>
      <c r="BE2851">
        <v>16</v>
      </c>
      <c r="BF2851">
        <v>11</v>
      </c>
      <c r="BG2851" t="s">
        <v>3132</v>
      </c>
      <c r="BH2851" t="s">
        <v>3133</v>
      </c>
      <c r="BI2851" t="s">
        <v>3134</v>
      </c>
      <c r="BJ2851">
        <v>0.10632</v>
      </c>
      <c r="BK2851">
        <v>1</v>
      </c>
      <c r="BL2851" t="s">
        <v>69</v>
      </c>
      <c r="BM2851">
        <v>-0.69</v>
      </c>
      <c r="BN2851">
        <v>0.13400000000000001</v>
      </c>
    </row>
    <row r="2852" spans="10:66">
      <c r="J2852">
        <v>0</v>
      </c>
      <c r="K2852">
        <v>0</v>
      </c>
      <c r="L2852">
        <v>0</v>
      </c>
      <c r="M2852" t="s">
        <v>25021</v>
      </c>
      <c r="N2852">
        <v>462</v>
      </c>
      <c r="O2852" t="s">
        <v>3135</v>
      </c>
      <c r="P2852" t="s">
        <v>62</v>
      </c>
      <c r="Q2852">
        <v>506458</v>
      </c>
      <c r="R2852">
        <v>506619</v>
      </c>
      <c r="S2852" t="s">
        <v>3129</v>
      </c>
      <c r="T2852">
        <v>54</v>
      </c>
      <c r="U2852" t="s">
        <v>59</v>
      </c>
      <c r="V2852">
        <v>49</v>
      </c>
      <c r="W2852" t="str">
        <f>HYPERLINK("Gene462-zp_tree_all.dnd", "Gene462-tree")</f>
        <v>Gene462-tree</v>
      </c>
      <c r="X2852">
        <v>9</v>
      </c>
      <c r="Y2852">
        <v>2</v>
      </c>
      <c r="Z2852">
        <v>9</v>
      </c>
      <c r="AA2852">
        <v>2</v>
      </c>
      <c r="AB2852">
        <v>0.18182000000000001</v>
      </c>
      <c r="AC2852" t="s">
        <v>135</v>
      </c>
      <c r="AD2852" t="s">
        <v>81</v>
      </c>
      <c r="AE2852" t="s">
        <v>62</v>
      </c>
      <c r="AF2852" t="s">
        <v>62</v>
      </c>
      <c r="AG2852">
        <v>0</v>
      </c>
      <c r="AH2852">
        <v>0</v>
      </c>
      <c r="AI2852">
        <v>4</v>
      </c>
      <c r="AJ2852">
        <v>0</v>
      </c>
      <c r="AK2852">
        <v>0</v>
      </c>
      <c r="AL2852">
        <v>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2</v>
      </c>
      <c r="AT2852">
        <v>0</v>
      </c>
      <c r="AU2852">
        <v>7</v>
      </c>
      <c r="AV2852">
        <v>5</v>
      </c>
      <c r="AW2852">
        <v>5</v>
      </c>
      <c r="AX2852">
        <v>2</v>
      </c>
      <c r="AY2852">
        <v>3</v>
      </c>
      <c r="AZ2852">
        <v>2</v>
      </c>
      <c r="BA2852" t="s">
        <v>3136</v>
      </c>
      <c r="BB2852" t="s">
        <v>3137</v>
      </c>
      <c r="BC2852">
        <v>0.34200000000000003</v>
      </c>
      <c r="BD2852" t="s">
        <v>65</v>
      </c>
      <c r="BE2852">
        <v>8</v>
      </c>
      <c r="BF2852">
        <v>4</v>
      </c>
      <c r="BG2852" t="s">
        <v>3138</v>
      </c>
      <c r="BH2852" t="s">
        <v>3139</v>
      </c>
      <c r="BI2852" t="s">
        <v>3140</v>
      </c>
      <c r="BJ2852">
        <v>0.16091</v>
      </c>
      <c r="BK2852">
        <v>0.97899999999999998</v>
      </c>
      <c r="BL2852" t="s">
        <v>69</v>
      </c>
      <c r="BM2852">
        <v>-0.95</v>
      </c>
      <c r="BN2852">
        <v>-0.434</v>
      </c>
    </row>
    <row r="2853" spans="10:66">
      <c r="J2853">
        <v>0</v>
      </c>
      <c r="K2853">
        <v>0</v>
      </c>
      <c r="L2853">
        <v>0</v>
      </c>
      <c r="M2853" t="s">
        <v>25021</v>
      </c>
      <c r="N2853">
        <v>464</v>
      </c>
      <c r="O2853" t="s">
        <v>3148</v>
      </c>
      <c r="P2853" t="s">
        <v>62</v>
      </c>
      <c r="Q2853">
        <v>507756</v>
      </c>
      <c r="R2853">
        <v>508073</v>
      </c>
      <c r="S2853" t="s">
        <v>3149</v>
      </c>
      <c r="T2853">
        <v>106</v>
      </c>
      <c r="U2853" t="s">
        <v>572</v>
      </c>
      <c r="V2853">
        <v>48</v>
      </c>
      <c r="W2853" t="str">
        <f>HYPERLINK("Gene464-zp_tree_all.dnd", "Gene464-tree")</f>
        <v>Gene464-tree</v>
      </c>
      <c r="X2853">
        <v>13</v>
      </c>
      <c r="Y2853">
        <v>3</v>
      </c>
      <c r="Z2853">
        <v>13</v>
      </c>
      <c r="AA2853">
        <v>3</v>
      </c>
      <c r="AB2853">
        <v>0.1875</v>
      </c>
      <c r="AC2853" t="s">
        <v>507</v>
      </c>
      <c r="AD2853" t="s">
        <v>324</v>
      </c>
      <c r="AE2853" t="s">
        <v>62</v>
      </c>
      <c r="AF2853" t="s">
        <v>62</v>
      </c>
      <c r="AG2853">
        <v>0</v>
      </c>
      <c r="AH2853">
        <v>0</v>
      </c>
      <c r="AI2853">
        <v>4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3</v>
      </c>
      <c r="AT2853">
        <v>0</v>
      </c>
      <c r="AU2853">
        <v>11</v>
      </c>
      <c r="AV2853">
        <v>9</v>
      </c>
      <c r="AW2853">
        <v>14</v>
      </c>
      <c r="AX2853">
        <v>3</v>
      </c>
      <c r="AY2853">
        <v>19</v>
      </c>
      <c r="AZ2853">
        <v>1</v>
      </c>
      <c r="BA2853" t="s">
        <v>3150</v>
      </c>
      <c r="BB2853" t="s">
        <v>3151</v>
      </c>
      <c r="BC2853">
        <v>0.627</v>
      </c>
      <c r="BD2853" t="s">
        <v>65</v>
      </c>
      <c r="BE2853">
        <v>33</v>
      </c>
      <c r="BF2853">
        <v>4</v>
      </c>
      <c r="BG2853" t="s">
        <v>3152</v>
      </c>
      <c r="BH2853" t="s">
        <v>3153</v>
      </c>
      <c r="BI2853" t="s">
        <v>3154</v>
      </c>
      <c r="BJ2853">
        <v>2.392E-2</v>
      </c>
      <c r="BK2853">
        <v>1</v>
      </c>
      <c r="BL2853" t="s">
        <v>69</v>
      </c>
      <c r="BM2853">
        <v>-9.2999999999999999E-2</v>
      </c>
      <c r="BN2853">
        <v>-0.68799999999999994</v>
      </c>
    </row>
    <row r="2854" spans="10:66">
      <c r="J2854">
        <v>0</v>
      </c>
      <c r="K2854">
        <v>0</v>
      </c>
      <c r="L2854">
        <v>2</v>
      </c>
      <c r="M2854" t="s">
        <v>25021</v>
      </c>
      <c r="N2854">
        <v>470</v>
      </c>
      <c r="O2854" t="s">
        <v>3191</v>
      </c>
      <c r="P2854" t="s">
        <v>62</v>
      </c>
      <c r="Q2854">
        <v>515019</v>
      </c>
      <c r="R2854">
        <v>515615</v>
      </c>
      <c r="S2854" t="s">
        <v>3192</v>
      </c>
      <c r="T2854">
        <v>199</v>
      </c>
      <c r="U2854" t="s">
        <v>3193</v>
      </c>
      <c r="V2854">
        <v>40</v>
      </c>
      <c r="W2854" t="str">
        <f>HYPERLINK("Gene470-zp_tree_all.dnd", "Gene470-tree")</f>
        <v>Gene470-tree</v>
      </c>
      <c r="X2854">
        <v>22</v>
      </c>
      <c r="Y2854">
        <v>8</v>
      </c>
      <c r="Z2854">
        <v>4</v>
      </c>
      <c r="AA2854">
        <v>8</v>
      </c>
      <c r="AB2854">
        <v>0.66666999999999998</v>
      </c>
      <c r="AC2854" t="s">
        <v>2634</v>
      </c>
      <c r="AD2854" t="s">
        <v>136</v>
      </c>
      <c r="AE2854" t="s">
        <v>62</v>
      </c>
      <c r="AF2854" t="s">
        <v>62</v>
      </c>
      <c r="AG2854">
        <v>1</v>
      </c>
      <c r="AH2854">
        <v>2</v>
      </c>
      <c r="AI2854">
        <v>9</v>
      </c>
      <c r="AJ2854">
        <v>0.18182000000000001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2</v>
      </c>
      <c r="AR2854">
        <v>2</v>
      </c>
      <c r="AS2854">
        <v>8</v>
      </c>
      <c r="AT2854">
        <v>0.2</v>
      </c>
      <c r="AU2854">
        <v>10</v>
      </c>
      <c r="AV2854">
        <v>8</v>
      </c>
      <c r="AW2854">
        <v>12</v>
      </c>
      <c r="AX2854">
        <v>10</v>
      </c>
      <c r="AY2854">
        <v>20</v>
      </c>
      <c r="AZ2854">
        <v>1</v>
      </c>
      <c r="BA2854" t="s">
        <v>3194</v>
      </c>
      <c r="BB2854" t="s">
        <v>3195</v>
      </c>
      <c r="BC2854">
        <v>2.262</v>
      </c>
      <c r="BD2854" t="s">
        <v>267</v>
      </c>
      <c r="BE2854">
        <v>32</v>
      </c>
      <c r="BF2854">
        <v>11</v>
      </c>
      <c r="BG2854" t="s">
        <v>3196</v>
      </c>
      <c r="BH2854" t="s">
        <v>3197</v>
      </c>
      <c r="BI2854" t="s">
        <v>3198</v>
      </c>
      <c r="BJ2854">
        <v>7.5079999999999994E-2</v>
      </c>
      <c r="BK2854">
        <v>1</v>
      </c>
      <c r="BL2854" t="s">
        <v>69</v>
      </c>
      <c r="BM2854">
        <v>5.1999999999999998E-2</v>
      </c>
      <c r="BN2854">
        <v>-0.4</v>
      </c>
    </row>
    <row r="2855" spans="10:66">
      <c r="J2855">
        <v>0</v>
      </c>
      <c r="K2855">
        <v>0</v>
      </c>
      <c r="L2855">
        <v>0</v>
      </c>
      <c r="M2855" t="s">
        <v>25021</v>
      </c>
      <c r="N2855">
        <v>488</v>
      </c>
      <c r="O2855" t="s">
        <v>3298</v>
      </c>
      <c r="P2855" t="s">
        <v>62</v>
      </c>
      <c r="Q2855">
        <v>527915</v>
      </c>
      <c r="R2855">
        <v>528025</v>
      </c>
      <c r="S2855" t="s">
        <v>3299</v>
      </c>
      <c r="T2855">
        <v>37</v>
      </c>
      <c r="U2855" t="s">
        <v>59</v>
      </c>
      <c r="V2855">
        <v>49</v>
      </c>
      <c r="W2855" t="str">
        <f>HYPERLINK("Gene488-zp_tree_all.dnd", "Gene488-tree")</f>
        <v>Gene488-tree</v>
      </c>
      <c r="X2855">
        <v>5</v>
      </c>
      <c r="Y2855">
        <v>0</v>
      </c>
      <c r="Z2855">
        <v>5</v>
      </c>
      <c r="AA2855">
        <v>0</v>
      </c>
      <c r="AB2855">
        <v>0</v>
      </c>
      <c r="AC2855" t="s">
        <v>199</v>
      </c>
      <c r="AD2855" t="s">
        <v>62</v>
      </c>
      <c r="AE2855" t="s">
        <v>62</v>
      </c>
      <c r="AF2855" t="s">
        <v>62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3</v>
      </c>
      <c r="AV2855">
        <v>1</v>
      </c>
      <c r="AW2855">
        <v>3</v>
      </c>
      <c r="AX2855">
        <v>0</v>
      </c>
      <c r="AY2855">
        <v>1</v>
      </c>
      <c r="AZ2855">
        <v>0</v>
      </c>
      <c r="BA2855" t="s">
        <v>193</v>
      </c>
      <c r="BB2855" t="s">
        <v>193</v>
      </c>
      <c r="BC2855">
        <v>0</v>
      </c>
      <c r="BD2855" t="s">
        <v>65</v>
      </c>
      <c r="BE2855">
        <v>4</v>
      </c>
      <c r="BF2855">
        <v>0</v>
      </c>
      <c r="BG2855" t="s">
        <v>3300</v>
      </c>
      <c r="BH2855" t="s">
        <v>3301</v>
      </c>
      <c r="BI2855" t="s">
        <v>193</v>
      </c>
      <c r="BJ2855">
        <v>0</v>
      </c>
      <c r="BK2855">
        <v>1</v>
      </c>
      <c r="BL2855" t="s">
        <v>69</v>
      </c>
      <c r="BM2855">
        <v>-1.579</v>
      </c>
      <c r="BN2855">
        <v>-2.29</v>
      </c>
    </row>
    <row r="2856" spans="10:66">
      <c r="J2856">
        <v>0</v>
      </c>
      <c r="K2856">
        <v>0</v>
      </c>
      <c r="L2856">
        <v>2</v>
      </c>
      <c r="M2856" t="s">
        <v>25021</v>
      </c>
      <c r="N2856">
        <v>514</v>
      </c>
      <c r="O2856" t="s">
        <v>3331</v>
      </c>
      <c r="P2856" t="s">
        <v>62</v>
      </c>
      <c r="Q2856">
        <v>550243</v>
      </c>
      <c r="R2856">
        <v>551259</v>
      </c>
      <c r="S2856" t="s">
        <v>3332</v>
      </c>
      <c r="T2856">
        <v>339</v>
      </c>
      <c r="U2856" t="s">
        <v>3333</v>
      </c>
      <c r="V2856">
        <v>23</v>
      </c>
      <c r="W2856" t="str">
        <f>HYPERLINK("Gene514-zp_tree_all.dnd", "Gene514-tree")</f>
        <v>Gene514-tree</v>
      </c>
      <c r="X2856">
        <v>1</v>
      </c>
      <c r="Y2856">
        <v>3</v>
      </c>
      <c r="Z2856">
        <v>1</v>
      </c>
      <c r="AA2856">
        <v>3</v>
      </c>
      <c r="AB2856">
        <v>0.75</v>
      </c>
      <c r="AC2856" t="s">
        <v>175</v>
      </c>
      <c r="AD2856" t="s">
        <v>324</v>
      </c>
      <c r="AE2856" t="s">
        <v>62</v>
      </c>
      <c r="AF2856" t="s">
        <v>62</v>
      </c>
      <c r="AG2856">
        <v>1</v>
      </c>
      <c r="AH2856">
        <v>2</v>
      </c>
      <c r="AI2856">
        <v>17</v>
      </c>
      <c r="AJ2856">
        <v>0.10526000000000001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10</v>
      </c>
      <c r="AT2856">
        <v>0</v>
      </c>
      <c r="AU2856">
        <v>4</v>
      </c>
      <c r="AV2856">
        <v>1</v>
      </c>
      <c r="AW2856">
        <v>18</v>
      </c>
      <c r="AX2856">
        <v>10</v>
      </c>
      <c r="AY2856">
        <v>5</v>
      </c>
      <c r="AZ2856">
        <v>9</v>
      </c>
      <c r="BA2856" t="s">
        <v>3334</v>
      </c>
      <c r="BB2856" t="s">
        <v>3335</v>
      </c>
      <c r="BC2856">
        <v>2.9529999999999998</v>
      </c>
      <c r="BD2856" t="s">
        <v>65</v>
      </c>
      <c r="BE2856">
        <v>23</v>
      </c>
      <c r="BF2856">
        <v>19</v>
      </c>
      <c r="BG2856" t="s">
        <v>3336</v>
      </c>
      <c r="BH2856" t="s">
        <v>3337</v>
      </c>
      <c r="BI2856" t="s">
        <v>3338</v>
      </c>
      <c r="BJ2856">
        <v>0.25813000000000003</v>
      </c>
      <c r="BK2856">
        <v>1</v>
      </c>
      <c r="BL2856" t="s">
        <v>69</v>
      </c>
      <c r="BM2856">
        <v>-2.1779999999999999</v>
      </c>
      <c r="BN2856">
        <v>-2.3460000000000001</v>
      </c>
    </row>
    <row r="2857" spans="10:66">
      <c r="J2857">
        <v>0</v>
      </c>
      <c r="K2857">
        <v>0</v>
      </c>
      <c r="L2857">
        <v>2</v>
      </c>
      <c r="M2857" t="s">
        <v>25021</v>
      </c>
      <c r="N2857">
        <v>516</v>
      </c>
      <c r="O2857" t="s">
        <v>3346</v>
      </c>
      <c r="P2857" t="s">
        <v>62</v>
      </c>
      <c r="Q2857">
        <v>552055</v>
      </c>
      <c r="R2857">
        <v>552501</v>
      </c>
      <c r="S2857" t="s">
        <v>2942</v>
      </c>
      <c r="T2857">
        <v>149</v>
      </c>
      <c r="U2857" t="s">
        <v>3347</v>
      </c>
      <c r="V2857">
        <v>22</v>
      </c>
      <c r="W2857" t="str">
        <f>HYPERLINK("Gene516-zp_tree_all.dnd", "Gene516-tree")</f>
        <v>Gene516-tree</v>
      </c>
      <c r="X2857">
        <v>0</v>
      </c>
      <c r="Y2857">
        <v>21</v>
      </c>
      <c r="Z2857">
        <v>0</v>
      </c>
      <c r="AA2857">
        <v>4</v>
      </c>
      <c r="AB2857">
        <v>1</v>
      </c>
      <c r="AC2857" t="s">
        <v>62</v>
      </c>
      <c r="AD2857" t="s">
        <v>3348</v>
      </c>
      <c r="AE2857">
        <v>5.9980000000000002</v>
      </c>
      <c r="AF2857" t="s">
        <v>65</v>
      </c>
      <c r="AG2857">
        <v>1</v>
      </c>
      <c r="AH2857">
        <v>2</v>
      </c>
      <c r="AI2857">
        <v>10</v>
      </c>
      <c r="AJ2857">
        <v>0.16667000000000001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2</v>
      </c>
      <c r="AR2857">
        <v>2</v>
      </c>
      <c r="AS2857">
        <v>10</v>
      </c>
      <c r="AT2857">
        <v>0.16667000000000001</v>
      </c>
      <c r="AU2857">
        <v>2</v>
      </c>
      <c r="AV2857">
        <v>1</v>
      </c>
      <c r="AW2857">
        <v>7</v>
      </c>
      <c r="AX2857">
        <v>11</v>
      </c>
      <c r="AY2857">
        <v>0</v>
      </c>
      <c r="AZ2857">
        <v>1</v>
      </c>
      <c r="BA2857" t="s">
        <v>3349</v>
      </c>
      <c r="BB2857" t="s">
        <v>193</v>
      </c>
      <c r="BC2857">
        <v>0.84499999999999997</v>
      </c>
      <c r="BD2857" t="s">
        <v>65</v>
      </c>
      <c r="BE2857">
        <v>7</v>
      </c>
      <c r="BF2857">
        <v>12</v>
      </c>
      <c r="BG2857" t="s">
        <v>3350</v>
      </c>
      <c r="BH2857" t="s">
        <v>3351</v>
      </c>
      <c r="BI2857" t="s">
        <v>3352</v>
      </c>
      <c r="BJ2857">
        <v>0.42867</v>
      </c>
      <c r="BK2857">
        <v>0.92900000000000005</v>
      </c>
      <c r="BL2857" t="s">
        <v>635</v>
      </c>
      <c r="BM2857">
        <v>-2.2240000000000002</v>
      </c>
      <c r="BN2857">
        <v>-3.5859999999999999</v>
      </c>
    </row>
    <row r="2858" spans="10:66">
      <c r="J2858">
        <v>0</v>
      </c>
      <c r="K2858">
        <v>0</v>
      </c>
      <c r="L2858">
        <v>0</v>
      </c>
      <c r="M2858" t="s">
        <v>25021</v>
      </c>
      <c r="N2858">
        <v>525</v>
      </c>
      <c r="O2858" t="s">
        <v>3386</v>
      </c>
      <c r="P2858" t="s">
        <v>62</v>
      </c>
      <c r="Q2858">
        <v>560154</v>
      </c>
      <c r="R2858">
        <v>560612</v>
      </c>
      <c r="S2858" t="s">
        <v>3387</v>
      </c>
      <c r="T2858">
        <v>153</v>
      </c>
      <c r="U2858" t="s">
        <v>3388</v>
      </c>
      <c r="V2858">
        <v>45</v>
      </c>
      <c r="W2858" t="str">
        <f>HYPERLINK("Gene525-zp_tree_all.dnd", "Gene525-tree")</f>
        <v>Gene525-tree</v>
      </c>
      <c r="X2858">
        <v>8</v>
      </c>
      <c r="Y2858">
        <v>3</v>
      </c>
      <c r="Z2858">
        <v>8</v>
      </c>
      <c r="AA2858">
        <v>3</v>
      </c>
      <c r="AB2858">
        <v>0.27272999999999997</v>
      </c>
      <c r="AC2858" t="s">
        <v>136</v>
      </c>
      <c r="AD2858" t="s">
        <v>324</v>
      </c>
      <c r="AE2858" t="s">
        <v>62</v>
      </c>
      <c r="AF2858" t="s">
        <v>62</v>
      </c>
      <c r="AG2858">
        <v>0</v>
      </c>
      <c r="AH2858">
        <v>0</v>
      </c>
      <c r="AI2858">
        <v>14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4</v>
      </c>
      <c r="AT2858">
        <v>0</v>
      </c>
      <c r="AU2858">
        <v>7</v>
      </c>
      <c r="AV2858">
        <v>5</v>
      </c>
      <c r="AW2858">
        <v>7</v>
      </c>
      <c r="AX2858">
        <v>4</v>
      </c>
      <c r="AY2858">
        <v>9</v>
      </c>
      <c r="AZ2858">
        <v>10</v>
      </c>
      <c r="BA2858" t="s">
        <v>3389</v>
      </c>
      <c r="BB2858" t="s">
        <v>3390</v>
      </c>
      <c r="BC2858">
        <v>0.22900000000000001</v>
      </c>
      <c r="BD2858" t="s">
        <v>65</v>
      </c>
      <c r="BE2858">
        <v>16</v>
      </c>
      <c r="BF2858">
        <v>14</v>
      </c>
      <c r="BG2858" t="s">
        <v>3391</v>
      </c>
      <c r="BH2858" t="s">
        <v>3392</v>
      </c>
      <c r="BI2858" t="s">
        <v>3393</v>
      </c>
      <c r="BJ2858">
        <v>0.22567000000000001</v>
      </c>
      <c r="BK2858">
        <v>1</v>
      </c>
      <c r="BL2858" t="s">
        <v>69</v>
      </c>
      <c r="BM2858">
        <v>-1.071</v>
      </c>
      <c r="BN2858">
        <v>-5.8000000000000003E-2</v>
      </c>
    </row>
    <row r="2859" spans="10:66">
      <c r="J2859">
        <v>0</v>
      </c>
      <c r="K2859">
        <v>2</v>
      </c>
      <c r="L2859">
        <v>0</v>
      </c>
      <c r="M2859" t="s">
        <v>25021</v>
      </c>
      <c r="N2859">
        <v>526</v>
      </c>
      <c r="O2859" t="s">
        <v>3394</v>
      </c>
      <c r="P2859" t="s">
        <v>62</v>
      </c>
      <c r="Q2859">
        <v>561183</v>
      </c>
      <c r="R2859">
        <v>561416</v>
      </c>
      <c r="S2859" t="s">
        <v>1123</v>
      </c>
      <c r="T2859">
        <v>78</v>
      </c>
      <c r="U2859" t="s">
        <v>2914</v>
      </c>
      <c r="V2859">
        <v>38</v>
      </c>
      <c r="W2859" t="str">
        <f>HYPERLINK("Gene526-zp_tree_all.dnd", "Gene526-tree")</f>
        <v>Gene526-tree</v>
      </c>
      <c r="X2859">
        <v>5</v>
      </c>
      <c r="Y2859">
        <v>3</v>
      </c>
      <c r="Z2859">
        <v>5</v>
      </c>
      <c r="AA2859">
        <v>3</v>
      </c>
      <c r="AB2859">
        <v>0.375</v>
      </c>
      <c r="AC2859" t="s">
        <v>199</v>
      </c>
      <c r="AD2859" t="s">
        <v>324</v>
      </c>
      <c r="AE2859" t="s">
        <v>62</v>
      </c>
      <c r="AF2859" t="s">
        <v>62</v>
      </c>
      <c r="AG2859">
        <v>1</v>
      </c>
      <c r="AH2859">
        <v>2</v>
      </c>
      <c r="AI2859">
        <v>3</v>
      </c>
      <c r="AJ2859">
        <v>0.4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2</v>
      </c>
      <c r="AQ2859">
        <v>0</v>
      </c>
      <c r="AR2859">
        <v>2</v>
      </c>
      <c r="AS2859">
        <v>1</v>
      </c>
      <c r="AT2859">
        <v>0.66666999999999998</v>
      </c>
      <c r="AU2859">
        <v>4</v>
      </c>
      <c r="AV2859">
        <v>5</v>
      </c>
      <c r="AW2859">
        <v>5</v>
      </c>
      <c r="AX2859">
        <v>2</v>
      </c>
      <c r="AY2859">
        <v>6</v>
      </c>
      <c r="AZ2859">
        <v>3</v>
      </c>
      <c r="BA2859" t="s">
        <v>3395</v>
      </c>
      <c r="BB2859" t="s">
        <v>3396</v>
      </c>
      <c r="BC2859">
        <v>0.26600000000000001</v>
      </c>
      <c r="BD2859" t="s">
        <v>65</v>
      </c>
      <c r="BE2859">
        <v>11</v>
      </c>
      <c r="BF2859">
        <v>5</v>
      </c>
      <c r="BG2859" t="s">
        <v>3397</v>
      </c>
      <c r="BH2859" t="s">
        <v>3398</v>
      </c>
      <c r="BI2859" t="s">
        <v>3399</v>
      </c>
      <c r="BJ2859">
        <v>0.15640999999999999</v>
      </c>
      <c r="BK2859">
        <v>0.98899999999999999</v>
      </c>
      <c r="BL2859" t="s">
        <v>69</v>
      </c>
      <c r="BM2859">
        <v>1.4350000000000001</v>
      </c>
      <c r="BN2859">
        <v>1.4410000000000001</v>
      </c>
    </row>
    <row r="2860" spans="10:66">
      <c r="J2860">
        <v>0</v>
      </c>
      <c r="K2860">
        <v>10</v>
      </c>
      <c r="L2860">
        <v>0</v>
      </c>
      <c r="M2860" t="s">
        <v>25021</v>
      </c>
      <c r="N2860">
        <v>527</v>
      </c>
      <c r="O2860" t="s">
        <v>3400</v>
      </c>
      <c r="P2860" t="s">
        <v>62</v>
      </c>
      <c r="Q2860">
        <v>561517</v>
      </c>
      <c r="R2860">
        <v>562389</v>
      </c>
      <c r="S2860" t="s">
        <v>1572</v>
      </c>
      <c r="T2860">
        <v>291</v>
      </c>
      <c r="U2860" t="s">
        <v>3401</v>
      </c>
      <c r="V2860">
        <v>42</v>
      </c>
      <c r="W2860" t="str">
        <f>HYPERLINK("Gene527-zp_tree_all.dnd", "Gene527-tree")</f>
        <v>Gene527-tree</v>
      </c>
      <c r="X2860">
        <v>1</v>
      </c>
      <c r="Y2860">
        <v>10</v>
      </c>
      <c r="Z2860">
        <v>1</v>
      </c>
      <c r="AA2860">
        <v>10</v>
      </c>
      <c r="AB2860">
        <v>0.90908999999999995</v>
      </c>
      <c r="AC2860" t="s">
        <v>175</v>
      </c>
      <c r="AD2860" t="s">
        <v>117</v>
      </c>
      <c r="AE2860" t="s">
        <v>62</v>
      </c>
      <c r="AF2860" t="s">
        <v>62</v>
      </c>
      <c r="AG2860">
        <v>5</v>
      </c>
      <c r="AH2860">
        <v>10</v>
      </c>
      <c r="AI2860">
        <v>13</v>
      </c>
      <c r="AJ2860">
        <v>0.43478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6</v>
      </c>
      <c r="AQ2860">
        <v>0</v>
      </c>
      <c r="AR2860">
        <v>6</v>
      </c>
      <c r="AS2860">
        <v>14</v>
      </c>
      <c r="AT2860">
        <v>0.3</v>
      </c>
      <c r="AU2860">
        <v>9</v>
      </c>
      <c r="AV2860">
        <v>7</v>
      </c>
      <c r="AW2860">
        <v>17</v>
      </c>
      <c r="AX2860">
        <v>17</v>
      </c>
      <c r="AY2860">
        <v>11</v>
      </c>
      <c r="AZ2860">
        <v>6</v>
      </c>
      <c r="BA2860" t="s">
        <v>3402</v>
      </c>
      <c r="BB2860" t="s">
        <v>3403</v>
      </c>
      <c r="BC2860">
        <v>1.0409999999999999</v>
      </c>
      <c r="BD2860" t="s">
        <v>65</v>
      </c>
      <c r="BE2860">
        <v>28</v>
      </c>
      <c r="BF2860">
        <v>23</v>
      </c>
      <c r="BG2860" t="s">
        <v>3404</v>
      </c>
      <c r="BH2860" t="s">
        <v>3405</v>
      </c>
      <c r="BI2860" t="s">
        <v>3406</v>
      </c>
      <c r="BJ2860">
        <v>0.16703999999999999</v>
      </c>
      <c r="BK2860">
        <v>1</v>
      </c>
      <c r="BL2860" t="s">
        <v>69</v>
      </c>
      <c r="BM2860">
        <v>-0.45400000000000001</v>
      </c>
      <c r="BN2860">
        <v>-1.202</v>
      </c>
    </row>
    <row r="2861" spans="10:66">
      <c r="J2861">
        <v>0</v>
      </c>
      <c r="K2861">
        <v>6</v>
      </c>
      <c r="L2861">
        <v>4</v>
      </c>
      <c r="M2861" t="s">
        <v>25021</v>
      </c>
      <c r="N2861">
        <v>529</v>
      </c>
      <c r="O2861" t="s">
        <v>3413</v>
      </c>
      <c r="P2861" t="s">
        <v>62</v>
      </c>
      <c r="Q2861">
        <v>563617</v>
      </c>
      <c r="R2861">
        <v>564486</v>
      </c>
      <c r="S2861" t="s">
        <v>1572</v>
      </c>
      <c r="T2861">
        <v>290</v>
      </c>
      <c r="U2861" t="s">
        <v>3414</v>
      </c>
      <c r="V2861">
        <v>44</v>
      </c>
      <c r="W2861" t="str">
        <f>HYPERLINK("Gene529-zp_tree_all.dnd", "Gene529-tree")</f>
        <v>Gene529-tree</v>
      </c>
      <c r="X2861">
        <v>4</v>
      </c>
      <c r="Y2861">
        <v>11</v>
      </c>
      <c r="Z2861">
        <v>4</v>
      </c>
      <c r="AA2861">
        <v>11</v>
      </c>
      <c r="AB2861">
        <v>0.73333000000000004</v>
      </c>
      <c r="AC2861" t="s">
        <v>61</v>
      </c>
      <c r="AD2861" t="s">
        <v>73</v>
      </c>
      <c r="AE2861">
        <v>200307210.301</v>
      </c>
      <c r="AF2861" t="s">
        <v>267</v>
      </c>
      <c r="AG2861">
        <v>5</v>
      </c>
      <c r="AH2861">
        <v>10</v>
      </c>
      <c r="AI2861">
        <v>28</v>
      </c>
      <c r="AJ2861">
        <v>0.26316000000000001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2</v>
      </c>
      <c r="AQ2861">
        <v>4</v>
      </c>
      <c r="AR2861">
        <v>6</v>
      </c>
      <c r="AS2861">
        <v>26</v>
      </c>
      <c r="AT2861">
        <v>0.1875</v>
      </c>
      <c r="AU2861">
        <v>12</v>
      </c>
      <c r="AV2861">
        <v>12</v>
      </c>
      <c r="AW2861">
        <v>20</v>
      </c>
      <c r="AX2861">
        <v>20</v>
      </c>
      <c r="AY2861">
        <v>44</v>
      </c>
      <c r="AZ2861">
        <v>18</v>
      </c>
      <c r="BA2861" t="s">
        <v>3415</v>
      </c>
      <c r="BB2861" t="s">
        <v>3416</v>
      </c>
      <c r="BC2861">
        <v>0.67300000000000004</v>
      </c>
      <c r="BD2861" t="s">
        <v>65</v>
      </c>
      <c r="BE2861">
        <v>64</v>
      </c>
      <c r="BF2861">
        <v>38</v>
      </c>
      <c r="BG2861" t="s">
        <v>3417</v>
      </c>
      <c r="BH2861" t="s">
        <v>3418</v>
      </c>
      <c r="BI2861" t="s">
        <v>3419</v>
      </c>
      <c r="BJ2861">
        <v>0.13775999999999999</v>
      </c>
      <c r="BK2861">
        <v>1</v>
      </c>
      <c r="BL2861" t="s">
        <v>69</v>
      </c>
      <c r="BM2861">
        <v>-0.90900000000000003</v>
      </c>
      <c r="BN2861">
        <v>-0.154</v>
      </c>
    </row>
    <row r="2862" spans="10:66">
      <c r="J2862">
        <v>2</v>
      </c>
      <c r="K2862">
        <v>31</v>
      </c>
      <c r="L2862">
        <v>7</v>
      </c>
      <c r="M2862" t="s">
        <v>25021</v>
      </c>
      <c r="N2862">
        <v>534</v>
      </c>
      <c r="O2862" t="s">
        <v>3445</v>
      </c>
      <c r="P2862" t="s">
        <v>62</v>
      </c>
      <c r="Q2862">
        <v>569293</v>
      </c>
      <c r="R2862">
        <v>569949</v>
      </c>
      <c r="S2862" t="s">
        <v>1523</v>
      </c>
      <c r="T2862">
        <v>219</v>
      </c>
      <c r="U2862" t="s">
        <v>3446</v>
      </c>
      <c r="V2862">
        <v>40</v>
      </c>
      <c r="W2862" t="str">
        <f>HYPERLINK("Gene534-zp_tree_all.dnd", "Gene534-tree")</f>
        <v>Gene534-tree</v>
      </c>
      <c r="X2862">
        <v>0</v>
      </c>
      <c r="Y2862">
        <v>11</v>
      </c>
      <c r="Z2862">
        <v>0</v>
      </c>
      <c r="AA2862">
        <v>11</v>
      </c>
      <c r="AB2862">
        <v>1</v>
      </c>
      <c r="AC2862" t="s">
        <v>62</v>
      </c>
      <c r="AD2862" t="s">
        <v>73</v>
      </c>
      <c r="AE2862">
        <v>114461263.029</v>
      </c>
      <c r="AF2862" t="s">
        <v>65</v>
      </c>
      <c r="AG2862">
        <v>14</v>
      </c>
      <c r="AH2862">
        <v>40</v>
      </c>
      <c r="AI2862">
        <v>14</v>
      </c>
      <c r="AJ2862">
        <v>0.74073999999999995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7</v>
      </c>
      <c r="AQ2862">
        <v>7</v>
      </c>
      <c r="AR2862">
        <v>14</v>
      </c>
      <c r="AS2862">
        <v>15</v>
      </c>
      <c r="AT2862">
        <v>0.48276000000000002</v>
      </c>
      <c r="AU2862">
        <v>11</v>
      </c>
      <c r="AV2862">
        <v>8</v>
      </c>
      <c r="AW2862">
        <v>23</v>
      </c>
      <c r="AX2862">
        <v>29</v>
      </c>
      <c r="AY2862">
        <v>26</v>
      </c>
      <c r="AZ2862">
        <v>25</v>
      </c>
      <c r="BA2862" t="s">
        <v>3447</v>
      </c>
      <c r="BB2862" t="s">
        <v>3448</v>
      </c>
      <c r="BC2862">
        <v>0.49399999999999999</v>
      </c>
      <c r="BD2862" t="s">
        <v>65</v>
      </c>
      <c r="BE2862">
        <v>49</v>
      </c>
      <c r="BF2862">
        <v>54</v>
      </c>
      <c r="BG2862" t="s">
        <v>3449</v>
      </c>
      <c r="BH2862" t="s">
        <v>3450</v>
      </c>
      <c r="BI2862" t="s">
        <v>3451</v>
      </c>
      <c r="BJ2862">
        <v>0.33948</v>
      </c>
      <c r="BK2862">
        <v>1</v>
      </c>
      <c r="BL2862" t="s">
        <v>69</v>
      </c>
      <c r="BM2862">
        <v>0.50700000000000001</v>
      </c>
      <c r="BN2862">
        <v>-0.20599999999999999</v>
      </c>
    </row>
    <row r="2863" spans="10:66">
      <c r="J2863">
        <v>0</v>
      </c>
      <c r="K2863">
        <v>10</v>
      </c>
      <c r="L2863">
        <v>1</v>
      </c>
      <c r="M2863" t="s">
        <v>25021</v>
      </c>
      <c r="N2863">
        <v>535</v>
      </c>
      <c r="O2863" t="s">
        <v>3452</v>
      </c>
      <c r="P2863" t="s">
        <v>62</v>
      </c>
      <c r="Q2863">
        <v>570374</v>
      </c>
      <c r="R2863">
        <v>571234</v>
      </c>
      <c r="S2863" t="s">
        <v>1123</v>
      </c>
      <c r="T2863">
        <v>287</v>
      </c>
      <c r="U2863" t="s">
        <v>108</v>
      </c>
      <c r="V2863">
        <v>44</v>
      </c>
      <c r="W2863" t="str">
        <f>HYPERLINK("Gene535-zp_tree_all.dnd", "Gene535-tree")</f>
        <v>Gene535-tree</v>
      </c>
      <c r="X2863">
        <v>7</v>
      </c>
      <c r="Y2863">
        <v>7</v>
      </c>
      <c r="Z2863">
        <v>7</v>
      </c>
      <c r="AA2863">
        <v>7</v>
      </c>
      <c r="AB2863">
        <v>0.5</v>
      </c>
      <c r="AC2863" t="s">
        <v>152</v>
      </c>
      <c r="AD2863" t="s">
        <v>152</v>
      </c>
      <c r="AE2863" t="s">
        <v>62</v>
      </c>
      <c r="AF2863" t="s">
        <v>62</v>
      </c>
      <c r="AG2863">
        <v>4</v>
      </c>
      <c r="AH2863">
        <v>11</v>
      </c>
      <c r="AI2863">
        <v>8</v>
      </c>
      <c r="AJ2863">
        <v>0.57894999999999996</v>
      </c>
      <c r="AK2863">
        <v>0</v>
      </c>
      <c r="AL2863">
        <v>0</v>
      </c>
      <c r="AM2863">
        <v>0</v>
      </c>
      <c r="AN2863">
        <v>2</v>
      </c>
      <c r="AO2863">
        <v>0</v>
      </c>
      <c r="AP2863">
        <v>0</v>
      </c>
      <c r="AQ2863">
        <v>2</v>
      </c>
      <c r="AR2863">
        <v>2</v>
      </c>
      <c r="AS2863">
        <v>8</v>
      </c>
      <c r="AT2863">
        <v>0.2</v>
      </c>
      <c r="AU2863">
        <v>10</v>
      </c>
      <c r="AV2863">
        <v>11</v>
      </c>
      <c r="AW2863">
        <v>47</v>
      </c>
      <c r="AX2863">
        <v>10</v>
      </c>
      <c r="AY2863">
        <v>46</v>
      </c>
      <c r="AZ2863">
        <v>10</v>
      </c>
      <c r="BA2863" t="s">
        <v>3453</v>
      </c>
      <c r="BB2863" t="s">
        <v>3454</v>
      </c>
      <c r="BC2863">
        <v>4.3999999999999997E-2</v>
      </c>
      <c r="BD2863" t="s">
        <v>65</v>
      </c>
      <c r="BE2863">
        <v>93</v>
      </c>
      <c r="BF2863">
        <v>20</v>
      </c>
      <c r="BG2863" t="s">
        <v>3455</v>
      </c>
      <c r="BH2863" t="s">
        <v>3456</v>
      </c>
      <c r="BI2863" t="s">
        <v>3457</v>
      </c>
      <c r="BJ2863">
        <v>7.7649999999999997E-2</v>
      </c>
      <c r="BK2863">
        <v>1</v>
      </c>
      <c r="BL2863" t="s">
        <v>69</v>
      </c>
      <c r="BM2863">
        <v>0.74399999999999999</v>
      </c>
      <c r="BN2863">
        <v>-0.79100000000000004</v>
      </c>
    </row>
    <row r="2864" spans="10:66">
      <c r="J2864">
        <v>0</v>
      </c>
      <c r="K2864">
        <v>28</v>
      </c>
      <c r="L2864">
        <v>3</v>
      </c>
      <c r="M2864" t="s">
        <v>25021</v>
      </c>
      <c r="N2864">
        <v>538</v>
      </c>
      <c r="O2864" t="s">
        <v>3471</v>
      </c>
      <c r="P2864" t="s">
        <v>62</v>
      </c>
      <c r="Q2864">
        <v>573455</v>
      </c>
      <c r="R2864">
        <v>574024</v>
      </c>
      <c r="S2864" t="s">
        <v>3472</v>
      </c>
      <c r="T2864">
        <v>190</v>
      </c>
      <c r="U2864" t="s">
        <v>465</v>
      </c>
      <c r="V2864">
        <v>46</v>
      </c>
      <c r="W2864" t="str">
        <f>HYPERLINK("Gene538-zp_tree_all.dnd", "Gene538-tree")</f>
        <v>Gene538-tree</v>
      </c>
      <c r="X2864">
        <v>2</v>
      </c>
      <c r="Y2864">
        <v>12</v>
      </c>
      <c r="Z2864">
        <v>2</v>
      </c>
      <c r="AA2864">
        <v>12</v>
      </c>
      <c r="AB2864">
        <v>0.85714000000000001</v>
      </c>
      <c r="AC2864" t="s">
        <v>81</v>
      </c>
      <c r="AD2864" t="s">
        <v>109</v>
      </c>
      <c r="AE2864" t="s">
        <v>62</v>
      </c>
      <c r="AF2864" t="s">
        <v>62</v>
      </c>
      <c r="AG2864">
        <v>13</v>
      </c>
      <c r="AH2864">
        <v>31</v>
      </c>
      <c r="AI2864">
        <v>9</v>
      </c>
      <c r="AJ2864">
        <v>0.77500000000000002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11</v>
      </c>
      <c r="AQ2864">
        <v>1</v>
      </c>
      <c r="AR2864">
        <v>12</v>
      </c>
      <c r="AS2864">
        <v>12</v>
      </c>
      <c r="AT2864">
        <v>0.5</v>
      </c>
      <c r="AU2864">
        <v>14</v>
      </c>
      <c r="AV2864">
        <v>11</v>
      </c>
      <c r="AW2864">
        <v>27</v>
      </c>
      <c r="AX2864">
        <v>24</v>
      </c>
      <c r="AY2864">
        <v>22</v>
      </c>
      <c r="AZ2864">
        <v>17</v>
      </c>
      <c r="BA2864" t="s">
        <v>3473</v>
      </c>
      <c r="BB2864" t="s">
        <v>3474</v>
      </c>
      <c r="BC2864">
        <v>0.32600000000000001</v>
      </c>
      <c r="BD2864" t="s">
        <v>65</v>
      </c>
      <c r="BE2864">
        <v>49</v>
      </c>
      <c r="BF2864">
        <v>41</v>
      </c>
      <c r="BG2864" t="s">
        <v>3475</v>
      </c>
      <c r="BH2864" t="s">
        <v>3476</v>
      </c>
      <c r="BI2864" t="s">
        <v>3477</v>
      </c>
      <c r="BJ2864">
        <v>0.21618000000000001</v>
      </c>
      <c r="BK2864">
        <v>1</v>
      </c>
      <c r="BL2864" t="s">
        <v>69</v>
      </c>
      <c r="BM2864">
        <v>-0.14000000000000001</v>
      </c>
      <c r="BN2864">
        <v>-3.2000000000000001E-2</v>
      </c>
    </row>
    <row r="2865" spans="10:66">
      <c r="J2865">
        <v>0</v>
      </c>
      <c r="K2865">
        <v>9</v>
      </c>
      <c r="L2865">
        <v>7</v>
      </c>
      <c r="M2865" t="s">
        <v>25021</v>
      </c>
      <c r="N2865">
        <v>539</v>
      </c>
      <c r="O2865" t="s">
        <v>3478</v>
      </c>
      <c r="P2865" t="s">
        <v>62</v>
      </c>
      <c r="Q2865">
        <v>574109</v>
      </c>
      <c r="R2865">
        <v>574435</v>
      </c>
      <c r="S2865" t="s">
        <v>637</v>
      </c>
      <c r="T2865">
        <v>109</v>
      </c>
      <c r="U2865" t="s">
        <v>3479</v>
      </c>
      <c r="V2865">
        <v>41</v>
      </c>
      <c r="W2865" t="str">
        <f>HYPERLINK("Gene539-zp_tree_all.dnd", "Gene539-tree")</f>
        <v>Gene539-tree</v>
      </c>
      <c r="X2865">
        <v>3</v>
      </c>
      <c r="Y2865">
        <v>10</v>
      </c>
      <c r="Z2865">
        <v>3</v>
      </c>
      <c r="AA2865">
        <v>10</v>
      </c>
      <c r="AB2865">
        <v>0.76922999999999997</v>
      </c>
      <c r="AC2865" t="s">
        <v>324</v>
      </c>
      <c r="AD2865" t="s">
        <v>117</v>
      </c>
      <c r="AE2865" t="s">
        <v>62</v>
      </c>
      <c r="AF2865" t="s">
        <v>62</v>
      </c>
      <c r="AG2865">
        <v>6</v>
      </c>
      <c r="AH2865">
        <v>16</v>
      </c>
      <c r="AI2865">
        <v>9</v>
      </c>
      <c r="AJ2865">
        <v>0.64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6</v>
      </c>
      <c r="AQ2865">
        <v>6</v>
      </c>
      <c r="AR2865">
        <v>12</v>
      </c>
      <c r="AS2865">
        <v>6</v>
      </c>
      <c r="AT2865">
        <v>0.66666999999999998</v>
      </c>
      <c r="AU2865">
        <v>11</v>
      </c>
      <c r="AV2865">
        <v>8</v>
      </c>
      <c r="AW2865">
        <v>9</v>
      </c>
      <c r="AX2865">
        <v>17</v>
      </c>
      <c r="AY2865">
        <v>9</v>
      </c>
      <c r="AZ2865">
        <v>8</v>
      </c>
      <c r="BA2865" t="s">
        <v>3480</v>
      </c>
      <c r="BB2865" t="s">
        <v>3481</v>
      </c>
      <c r="BC2865">
        <v>0.78100000000000003</v>
      </c>
      <c r="BD2865" t="s">
        <v>65</v>
      </c>
      <c r="BE2865">
        <v>18</v>
      </c>
      <c r="BF2865">
        <v>25</v>
      </c>
      <c r="BG2865" t="s">
        <v>3482</v>
      </c>
      <c r="BH2865" t="s">
        <v>3483</v>
      </c>
      <c r="BI2865" t="s">
        <v>3484</v>
      </c>
      <c r="BJ2865">
        <v>0.33557999999999999</v>
      </c>
      <c r="BK2865">
        <v>0.99</v>
      </c>
      <c r="BL2865" t="s">
        <v>69</v>
      </c>
      <c r="BM2865">
        <v>-0.504</v>
      </c>
      <c r="BN2865">
        <v>-0.624</v>
      </c>
    </row>
    <row r="2866" spans="10:66">
      <c r="J2866">
        <v>0</v>
      </c>
      <c r="K2866">
        <v>0</v>
      </c>
      <c r="L2866">
        <v>0</v>
      </c>
      <c r="M2866" t="s">
        <v>25021</v>
      </c>
      <c r="N2866">
        <v>541</v>
      </c>
      <c r="O2866" t="s">
        <v>3491</v>
      </c>
      <c r="P2866" t="s">
        <v>62</v>
      </c>
      <c r="Q2866">
        <v>575715</v>
      </c>
      <c r="R2866">
        <v>576098</v>
      </c>
      <c r="S2866" t="s">
        <v>637</v>
      </c>
      <c r="T2866">
        <v>128</v>
      </c>
      <c r="U2866" t="s">
        <v>3492</v>
      </c>
      <c r="V2866">
        <v>31</v>
      </c>
      <c r="W2866" t="str">
        <f>HYPERLINK("Gene541-zp_tree_all.dnd", "Gene541-tree")</f>
        <v>Gene541-tree</v>
      </c>
      <c r="X2866">
        <v>2</v>
      </c>
      <c r="Y2866">
        <v>2</v>
      </c>
      <c r="Z2866">
        <v>2</v>
      </c>
      <c r="AA2866">
        <v>2</v>
      </c>
      <c r="AB2866">
        <v>0.5</v>
      </c>
      <c r="AC2866" t="s">
        <v>81</v>
      </c>
      <c r="AD2866" t="s">
        <v>81</v>
      </c>
      <c r="AE2866" t="s">
        <v>62</v>
      </c>
      <c r="AF2866" t="s">
        <v>62</v>
      </c>
      <c r="AG2866">
        <v>0</v>
      </c>
      <c r="AH2866">
        <v>0</v>
      </c>
      <c r="AI2866">
        <v>2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2</v>
      </c>
      <c r="AT2866">
        <v>0</v>
      </c>
      <c r="AU2866">
        <v>3</v>
      </c>
      <c r="AV2866">
        <v>0</v>
      </c>
      <c r="AW2866">
        <v>1</v>
      </c>
      <c r="AX2866">
        <v>2</v>
      </c>
      <c r="AY2866">
        <v>0</v>
      </c>
      <c r="AZ2866">
        <v>0</v>
      </c>
      <c r="BA2866" t="s">
        <v>3493</v>
      </c>
      <c r="BB2866" t="s">
        <v>193</v>
      </c>
      <c r="BC2866">
        <v>0.69299999999999995</v>
      </c>
      <c r="BD2866" t="s">
        <v>65</v>
      </c>
      <c r="BE2866">
        <v>1</v>
      </c>
      <c r="BF2866">
        <v>2</v>
      </c>
      <c r="BG2866" t="s">
        <v>3494</v>
      </c>
      <c r="BH2866" t="s">
        <v>3495</v>
      </c>
      <c r="BI2866" t="s">
        <v>3496</v>
      </c>
      <c r="BJ2866">
        <v>0.56362999999999996</v>
      </c>
      <c r="BK2866">
        <v>0.45800000000000002</v>
      </c>
      <c r="BL2866" t="s">
        <v>635</v>
      </c>
      <c r="BM2866">
        <v>-1.7310000000000001</v>
      </c>
      <c r="BN2866">
        <v>-2.7109999999999999</v>
      </c>
    </row>
    <row r="2867" spans="10:66">
      <c r="J2867">
        <v>0</v>
      </c>
      <c r="K2867">
        <v>6</v>
      </c>
      <c r="L2867">
        <v>8</v>
      </c>
      <c r="M2867" t="s">
        <v>25021</v>
      </c>
      <c r="N2867">
        <v>543</v>
      </c>
      <c r="O2867" t="s">
        <v>3503</v>
      </c>
      <c r="P2867" t="s">
        <v>62</v>
      </c>
      <c r="Q2867">
        <v>576949</v>
      </c>
      <c r="R2867">
        <v>578133</v>
      </c>
      <c r="S2867" t="s">
        <v>2641</v>
      </c>
      <c r="T2867">
        <v>395</v>
      </c>
      <c r="U2867" t="s">
        <v>2555</v>
      </c>
      <c r="V2867">
        <v>34</v>
      </c>
      <c r="W2867" t="str">
        <f>HYPERLINK("Gene543-zp_tree_all.dnd", "Gene543-tree")</f>
        <v>Gene543-tree</v>
      </c>
      <c r="X2867">
        <v>2</v>
      </c>
      <c r="Y2867">
        <v>7</v>
      </c>
      <c r="Z2867">
        <v>2</v>
      </c>
      <c r="AA2867">
        <v>7</v>
      </c>
      <c r="AB2867">
        <v>0.77778000000000003</v>
      </c>
      <c r="AC2867" t="s">
        <v>81</v>
      </c>
      <c r="AD2867" t="s">
        <v>152</v>
      </c>
      <c r="AE2867" t="s">
        <v>62</v>
      </c>
      <c r="AF2867" t="s">
        <v>62</v>
      </c>
      <c r="AG2867">
        <v>7</v>
      </c>
      <c r="AH2867">
        <v>14</v>
      </c>
      <c r="AI2867">
        <v>14</v>
      </c>
      <c r="AJ2867">
        <v>0.5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2</v>
      </c>
      <c r="AQ2867">
        <v>4</v>
      </c>
      <c r="AR2867">
        <v>6</v>
      </c>
      <c r="AS2867">
        <v>15</v>
      </c>
      <c r="AT2867">
        <v>0.28571000000000002</v>
      </c>
      <c r="AU2867">
        <v>8</v>
      </c>
      <c r="AV2867">
        <v>6</v>
      </c>
      <c r="AW2867">
        <v>37</v>
      </c>
      <c r="AX2867">
        <v>23</v>
      </c>
      <c r="AY2867">
        <v>30</v>
      </c>
      <c r="AZ2867">
        <v>7</v>
      </c>
      <c r="BA2867" t="s">
        <v>3504</v>
      </c>
      <c r="BB2867" t="s">
        <v>3505</v>
      </c>
      <c r="BC2867">
        <v>0.51700000000000002</v>
      </c>
      <c r="BD2867" t="s">
        <v>65</v>
      </c>
      <c r="BE2867">
        <v>67</v>
      </c>
      <c r="BF2867">
        <v>30</v>
      </c>
      <c r="BG2867" t="s">
        <v>3506</v>
      </c>
      <c r="BH2867" t="s">
        <v>3507</v>
      </c>
      <c r="BI2867" t="s">
        <v>3508</v>
      </c>
      <c r="BJ2867">
        <v>0.15010000000000001</v>
      </c>
      <c r="BK2867">
        <v>1</v>
      </c>
      <c r="BL2867" t="s">
        <v>69</v>
      </c>
      <c r="BM2867">
        <v>-0.48699999999999999</v>
      </c>
      <c r="BN2867">
        <v>0.89200000000000002</v>
      </c>
    </row>
    <row r="2868" spans="10:66">
      <c r="J2868">
        <v>0</v>
      </c>
      <c r="K2868">
        <v>9</v>
      </c>
      <c r="L2868">
        <v>1</v>
      </c>
      <c r="M2868" t="s">
        <v>25021</v>
      </c>
      <c r="N2868">
        <v>551</v>
      </c>
      <c r="O2868" t="s">
        <v>3543</v>
      </c>
      <c r="P2868" t="s">
        <v>62</v>
      </c>
      <c r="Q2868">
        <v>582539</v>
      </c>
      <c r="R2868">
        <v>583456</v>
      </c>
      <c r="S2868" t="s">
        <v>3544</v>
      </c>
      <c r="T2868">
        <v>306</v>
      </c>
      <c r="U2868" t="s">
        <v>3545</v>
      </c>
      <c r="V2868">
        <v>36</v>
      </c>
      <c r="W2868" t="str">
        <f>HYPERLINK("Gene551-zp_tree_all.dnd", "Gene551-tree")</f>
        <v>Gene551-tree</v>
      </c>
      <c r="X2868">
        <v>1</v>
      </c>
      <c r="Y2868">
        <v>8</v>
      </c>
      <c r="Z2868">
        <v>1</v>
      </c>
      <c r="AA2868">
        <v>8</v>
      </c>
      <c r="AB2868">
        <v>0.88888999999999996</v>
      </c>
      <c r="AC2868" t="s">
        <v>175</v>
      </c>
      <c r="AD2868" t="s">
        <v>136</v>
      </c>
      <c r="AE2868" t="s">
        <v>62</v>
      </c>
      <c r="AF2868" t="s">
        <v>62</v>
      </c>
      <c r="AG2868">
        <v>4</v>
      </c>
      <c r="AH2868">
        <v>10</v>
      </c>
      <c r="AI2868">
        <v>28</v>
      </c>
      <c r="AJ2868">
        <v>0.26316000000000001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6</v>
      </c>
      <c r="AQ2868">
        <v>0</v>
      </c>
      <c r="AR2868">
        <v>6</v>
      </c>
      <c r="AS2868">
        <v>22</v>
      </c>
      <c r="AT2868">
        <v>0.21429000000000001</v>
      </c>
      <c r="AU2868">
        <v>7</v>
      </c>
      <c r="AV2868">
        <v>5</v>
      </c>
      <c r="AW2868">
        <v>35</v>
      </c>
      <c r="AX2868">
        <v>21</v>
      </c>
      <c r="AY2868">
        <v>30</v>
      </c>
      <c r="AZ2868">
        <v>18</v>
      </c>
      <c r="BA2868" t="s">
        <v>3546</v>
      </c>
      <c r="BB2868" t="s">
        <v>3547</v>
      </c>
      <c r="BC2868">
        <v>2E-3</v>
      </c>
      <c r="BD2868" t="s">
        <v>65</v>
      </c>
      <c r="BE2868">
        <v>65</v>
      </c>
      <c r="BF2868">
        <v>39</v>
      </c>
      <c r="BG2868" t="s">
        <v>3548</v>
      </c>
      <c r="BH2868" t="s">
        <v>3549</v>
      </c>
      <c r="BI2868" t="s">
        <v>3550</v>
      </c>
      <c r="BJ2868">
        <v>0.18303</v>
      </c>
      <c r="BK2868">
        <v>1</v>
      </c>
      <c r="BL2868" t="s">
        <v>69</v>
      </c>
      <c r="BM2868">
        <v>0.34899999999999998</v>
      </c>
      <c r="BN2868">
        <v>1.8779999999999999</v>
      </c>
    </row>
    <row r="2869" spans="10:66">
      <c r="J2869">
        <v>0</v>
      </c>
      <c r="K2869">
        <v>15</v>
      </c>
      <c r="L2869">
        <v>2</v>
      </c>
      <c r="M2869" t="s">
        <v>25021</v>
      </c>
      <c r="N2869">
        <v>553</v>
      </c>
      <c r="O2869" t="s">
        <v>3557</v>
      </c>
      <c r="P2869" t="s">
        <v>62</v>
      </c>
      <c r="Q2869">
        <v>585158</v>
      </c>
      <c r="R2869">
        <v>585778</v>
      </c>
      <c r="S2869" t="s">
        <v>3558</v>
      </c>
      <c r="T2869">
        <v>207</v>
      </c>
      <c r="U2869" t="s">
        <v>108</v>
      </c>
      <c r="V2869">
        <v>44</v>
      </c>
      <c r="W2869" t="str">
        <f>HYPERLINK("Gene553-zp_tree_all.dnd", "Gene553-tree")</f>
        <v>Gene553-tree</v>
      </c>
      <c r="X2869">
        <v>9</v>
      </c>
      <c r="Y2869">
        <v>7</v>
      </c>
      <c r="Z2869">
        <v>9</v>
      </c>
      <c r="AA2869">
        <v>7</v>
      </c>
      <c r="AB2869">
        <v>0.4375</v>
      </c>
      <c r="AC2869" t="s">
        <v>135</v>
      </c>
      <c r="AD2869" t="s">
        <v>152</v>
      </c>
      <c r="AE2869" t="s">
        <v>62</v>
      </c>
      <c r="AF2869" t="s">
        <v>62</v>
      </c>
      <c r="AG2869">
        <v>5</v>
      </c>
      <c r="AH2869">
        <v>17</v>
      </c>
      <c r="AI2869">
        <v>11</v>
      </c>
      <c r="AJ2869">
        <v>0.60714000000000001</v>
      </c>
      <c r="AK2869">
        <v>2</v>
      </c>
      <c r="AL2869">
        <v>0</v>
      </c>
      <c r="AM2869">
        <v>2</v>
      </c>
      <c r="AN2869">
        <v>4</v>
      </c>
      <c r="AO2869">
        <v>0.33333000000000002</v>
      </c>
      <c r="AP2869">
        <v>4</v>
      </c>
      <c r="AQ2869">
        <v>0</v>
      </c>
      <c r="AR2869">
        <v>4</v>
      </c>
      <c r="AS2869">
        <v>8</v>
      </c>
      <c r="AT2869">
        <v>0.33333000000000002</v>
      </c>
      <c r="AU2869">
        <v>11</v>
      </c>
      <c r="AV2869">
        <v>11</v>
      </c>
      <c r="AW2869">
        <v>29</v>
      </c>
      <c r="AX2869">
        <v>12</v>
      </c>
      <c r="AY2869">
        <v>23</v>
      </c>
      <c r="AZ2869">
        <v>16</v>
      </c>
      <c r="BA2869" t="s">
        <v>3559</v>
      </c>
      <c r="BB2869" t="s">
        <v>3560</v>
      </c>
      <c r="BC2869">
        <v>0.78600000000000003</v>
      </c>
      <c r="BD2869" t="s">
        <v>65</v>
      </c>
      <c r="BE2869">
        <v>52</v>
      </c>
      <c r="BF2869">
        <v>28</v>
      </c>
      <c r="BG2869" t="s">
        <v>3561</v>
      </c>
      <c r="BH2869" t="s">
        <v>3562</v>
      </c>
      <c r="BI2869" t="s">
        <v>3563</v>
      </c>
      <c r="BJ2869">
        <v>0.13815</v>
      </c>
      <c r="BK2869">
        <v>1</v>
      </c>
      <c r="BL2869" t="s">
        <v>69</v>
      </c>
      <c r="BM2869">
        <v>-0.49299999999999999</v>
      </c>
      <c r="BN2869">
        <v>-0.98399999999999999</v>
      </c>
    </row>
    <row r="2870" spans="10:66">
      <c r="J2870">
        <v>0</v>
      </c>
      <c r="K2870">
        <v>2</v>
      </c>
      <c r="L2870">
        <v>0</v>
      </c>
      <c r="M2870" t="s">
        <v>25021</v>
      </c>
      <c r="N2870">
        <v>555</v>
      </c>
      <c r="O2870" t="s">
        <v>3570</v>
      </c>
      <c r="P2870" t="s">
        <v>62</v>
      </c>
      <c r="Q2870">
        <v>586631</v>
      </c>
      <c r="R2870">
        <v>587071</v>
      </c>
      <c r="S2870" t="s">
        <v>288</v>
      </c>
      <c r="T2870">
        <v>147</v>
      </c>
      <c r="U2870" t="s">
        <v>108</v>
      </c>
      <c r="V2870">
        <v>44</v>
      </c>
      <c r="W2870" t="str">
        <f>HYPERLINK("Gene555-zp_tree_all.dnd", "Gene555-tree")</f>
        <v>Gene555-tree</v>
      </c>
      <c r="X2870">
        <v>8</v>
      </c>
      <c r="Y2870">
        <v>3</v>
      </c>
      <c r="Z2870">
        <v>8</v>
      </c>
      <c r="AA2870">
        <v>3</v>
      </c>
      <c r="AB2870">
        <v>0.27272999999999997</v>
      </c>
      <c r="AC2870" t="s">
        <v>136</v>
      </c>
      <c r="AD2870" t="s">
        <v>324</v>
      </c>
      <c r="AE2870" t="s">
        <v>62</v>
      </c>
      <c r="AF2870" t="s">
        <v>62</v>
      </c>
      <c r="AG2870">
        <v>1</v>
      </c>
      <c r="AH2870">
        <v>2</v>
      </c>
      <c r="AI2870">
        <v>3</v>
      </c>
      <c r="AJ2870">
        <v>0.4</v>
      </c>
      <c r="AK2870">
        <v>0</v>
      </c>
      <c r="AL2870">
        <v>0</v>
      </c>
      <c r="AM2870">
        <v>0</v>
      </c>
      <c r="AN2870">
        <v>2</v>
      </c>
      <c r="AO2870">
        <v>0</v>
      </c>
      <c r="AP2870">
        <v>0</v>
      </c>
      <c r="AQ2870">
        <v>0</v>
      </c>
      <c r="AR2870">
        <v>0</v>
      </c>
      <c r="AS2870">
        <v>2</v>
      </c>
      <c r="AT2870">
        <v>0</v>
      </c>
      <c r="AU2870">
        <v>6</v>
      </c>
      <c r="AV2870">
        <v>6</v>
      </c>
      <c r="AW2870">
        <v>7</v>
      </c>
      <c r="AX2870">
        <v>2</v>
      </c>
      <c r="AY2870">
        <v>13</v>
      </c>
      <c r="AZ2870">
        <v>3</v>
      </c>
      <c r="BA2870" t="s">
        <v>3571</v>
      </c>
      <c r="BB2870" t="s">
        <v>3572</v>
      </c>
      <c r="BC2870">
        <v>0.14899999999999999</v>
      </c>
      <c r="BD2870" t="s">
        <v>65</v>
      </c>
      <c r="BE2870">
        <v>20</v>
      </c>
      <c r="BF2870">
        <v>5</v>
      </c>
      <c r="BG2870" t="s">
        <v>3573</v>
      </c>
      <c r="BH2870" t="s">
        <v>3574</v>
      </c>
      <c r="BI2870" t="s">
        <v>3575</v>
      </c>
      <c r="BJ2870">
        <v>6.9250000000000006E-2</v>
      </c>
      <c r="BK2870">
        <v>1</v>
      </c>
      <c r="BL2870" t="s">
        <v>69</v>
      </c>
      <c r="BM2870">
        <v>0.20699999999999999</v>
      </c>
      <c r="BN2870">
        <v>0.17399999999999999</v>
      </c>
    </row>
    <row r="2871" spans="10:66">
      <c r="J2871">
        <v>0</v>
      </c>
      <c r="K2871">
        <v>0</v>
      </c>
      <c r="L2871">
        <v>0</v>
      </c>
      <c r="M2871" t="s">
        <v>25021</v>
      </c>
      <c r="N2871">
        <v>556</v>
      </c>
      <c r="O2871" t="s">
        <v>3576</v>
      </c>
      <c r="P2871" t="s">
        <v>62</v>
      </c>
      <c r="Q2871">
        <v>587160</v>
      </c>
      <c r="R2871">
        <v>587336</v>
      </c>
      <c r="S2871" t="s">
        <v>2302</v>
      </c>
      <c r="T2871">
        <v>59</v>
      </c>
      <c r="U2871" t="s">
        <v>108</v>
      </c>
      <c r="V2871">
        <v>44</v>
      </c>
      <c r="W2871" t="str">
        <f>HYPERLINK("Gene556-zp_tree_all.dnd", "Gene556-tree")</f>
        <v>Gene556-tree</v>
      </c>
      <c r="X2871">
        <v>3</v>
      </c>
      <c r="Y2871">
        <v>2</v>
      </c>
      <c r="Z2871">
        <v>3</v>
      </c>
      <c r="AA2871">
        <v>2</v>
      </c>
      <c r="AB2871">
        <v>0.4</v>
      </c>
      <c r="AC2871" t="s">
        <v>324</v>
      </c>
      <c r="AD2871" t="s">
        <v>81</v>
      </c>
      <c r="AE2871" t="s">
        <v>62</v>
      </c>
      <c r="AF2871" t="s">
        <v>62</v>
      </c>
      <c r="AG2871">
        <v>0</v>
      </c>
      <c r="AH2871">
        <v>0</v>
      </c>
      <c r="AI2871">
        <v>4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4</v>
      </c>
      <c r="AT2871">
        <v>0</v>
      </c>
      <c r="AU2871">
        <v>4</v>
      </c>
      <c r="AV2871">
        <v>0</v>
      </c>
      <c r="AW2871">
        <v>4</v>
      </c>
      <c r="AX2871">
        <v>4</v>
      </c>
      <c r="AY2871">
        <v>0</v>
      </c>
      <c r="AZ2871">
        <v>0</v>
      </c>
      <c r="BA2871" t="s">
        <v>3577</v>
      </c>
      <c r="BB2871" t="s">
        <v>193</v>
      </c>
      <c r="BC2871">
        <v>0.99199999999999999</v>
      </c>
      <c r="BD2871" t="s">
        <v>65</v>
      </c>
      <c r="BE2871">
        <v>4</v>
      </c>
      <c r="BF2871">
        <v>4</v>
      </c>
      <c r="BG2871" t="s">
        <v>3578</v>
      </c>
      <c r="BH2871" t="s">
        <v>3579</v>
      </c>
      <c r="BI2871" t="s">
        <v>3580</v>
      </c>
      <c r="BJ2871">
        <v>0.33459</v>
      </c>
      <c r="BK2871">
        <v>0.93100000000000005</v>
      </c>
      <c r="BL2871" t="s">
        <v>635</v>
      </c>
      <c r="BM2871">
        <v>-0.89</v>
      </c>
      <c r="BN2871">
        <v>0.61199999999999999</v>
      </c>
    </row>
    <row r="2872" spans="10:66">
      <c r="J2872">
        <v>0</v>
      </c>
      <c r="K2872">
        <v>0</v>
      </c>
      <c r="L2872">
        <v>0</v>
      </c>
      <c r="M2872" t="s">
        <v>25021</v>
      </c>
      <c r="N2872">
        <v>557</v>
      </c>
      <c r="O2872" t="s">
        <v>3581</v>
      </c>
      <c r="P2872" t="s">
        <v>62</v>
      </c>
      <c r="Q2872">
        <v>587336</v>
      </c>
      <c r="R2872">
        <v>587476</v>
      </c>
      <c r="S2872" t="s">
        <v>2302</v>
      </c>
      <c r="T2872">
        <v>47</v>
      </c>
      <c r="U2872" t="s">
        <v>3582</v>
      </c>
      <c r="V2872">
        <v>35</v>
      </c>
      <c r="W2872" t="str">
        <f>HYPERLINK("Gene557-zp_tree_all.dnd", "Gene557-tree")</f>
        <v>Gene557-tree</v>
      </c>
      <c r="X2872">
        <v>3</v>
      </c>
      <c r="Y2872">
        <v>1</v>
      </c>
      <c r="Z2872">
        <v>3</v>
      </c>
      <c r="AA2872">
        <v>1</v>
      </c>
      <c r="AB2872">
        <v>0.25</v>
      </c>
      <c r="AC2872" t="s">
        <v>324</v>
      </c>
      <c r="AD2872" t="s">
        <v>175</v>
      </c>
      <c r="AE2872" t="s">
        <v>62</v>
      </c>
      <c r="AF2872" t="s">
        <v>62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3</v>
      </c>
      <c r="AV2872">
        <v>0</v>
      </c>
      <c r="AW2872">
        <v>3</v>
      </c>
      <c r="AX2872">
        <v>1</v>
      </c>
      <c r="AY2872">
        <v>0</v>
      </c>
      <c r="AZ2872">
        <v>0</v>
      </c>
      <c r="BA2872" t="s">
        <v>3583</v>
      </c>
      <c r="BB2872" t="s">
        <v>193</v>
      </c>
      <c r="BC2872">
        <v>0.64700000000000002</v>
      </c>
      <c r="BD2872" t="s">
        <v>65</v>
      </c>
      <c r="BE2872">
        <v>3</v>
      </c>
      <c r="BF2872">
        <v>1</v>
      </c>
      <c r="BG2872" t="s">
        <v>3584</v>
      </c>
      <c r="BH2872" t="s">
        <v>3585</v>
      </c>
      <c r="BI2872" t="s">
        <v>3586</v>
      </c>
      <c r="BJ2872">
        <v>8.6440000000000003E-2</v>
      </c>
      <c r="BK2872">
        <v>0.98399999999999999</v>
      </c>
      <c r="BL2872" t="s">
        <v>69</v>
      </c>
      <c r="BM2872">
        <v>-1.0589999999999999</v>
      </c>
      <c r="BN2872">
        <v>-0.311</v>
      </c>
    </row>
    <row r="2873" spans="10:66">
      <c r="J2873">
        <v>0</v>
      </c>
      <c r="K2873">
        <v>16</v>
      </c>
      <c r="L2873">
        <v>1</v>
      </c>
      <c r="M2873" t="s">
        <v>25021</v>
      </c>
      <c r="N2873">
        <v>561</v>
      </c>
      <c r="O2873" t="s">
        <v>3609</v>
      </c>
      <c r="P2873" t="s">
        <v>62</v>
      </c>
      <c r="Q2873">
        <v>592306</v>
      </c>
      <c r="R2873">
        <v>593205</v>
      </c>
      <c r="S2873" t="s">
        <v>3610</v>
      </c>
      <c r="T2873">
        <v>300</v>
      </c>
      <c r="U2873" t="s">
        <v>1139</v>
      </c>
      <c r="V2873">
        <v>42</v>
      </c>
      <c r="W2873" t="str">
        <f>HYPERLINK("Gene561-zp_tree_all.dnd", "Gene561-tree")</f>
        <v>Gene561-tree</v>
      </c>
      <c r="X2873">
        <v>2</v>
      </c>
      <c r="Y2873">
        <v>10</v>
      </c>
      <c r="Z2873">
        <v>2</v>
      </c>
      <c r="AA2873">
        <v>10</v>
      </c>
      <c r="AB2873">
        <v>0.83333000000000002</v>
      </c>
      <c r="AC2873" t="s">
        <v>81</v>
      </c>
      <c r="AD2873" t="s">
        <v>117</v>
      </c>
      <c r="AE2873" t="s">
        <v>62</v>
      </c>
      <c r="AF2873" t="s">
        <v>62</v>
      </c>
      <c r="AG2873">
        <v>6</v>
      </c>
      <c r="AH2873">
        <v>17</v>
      </c>
      <c r="AI2873">
        <v>11</v>
      </c>
      <c r="AJ2873">
        <v>0.60714000000000001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11</v>
      </c>
      <c r="AQ2873">
        <v>2</v>
      </c>
      <c r="AR2873">
        <v>13</v>
      </c>
      <c r="AS2873">
        <v>8</v>
      </c>
      <c r="AT2873">
        <v>0.61904999999999999</v>
      </c>
      <c r="AU2873">
        <v>11</v>
      </c>
      <c r="AV2873">
        <v>6</v>
      </c>
      <c r="AW2873">
        <v>7</v>
      </c>
      <c r="AX2873">
        <v>21</v>
      </c>
      <c r="AY2873">
        <v>4</v>
      </c>
      <c r="AZ2873">
        <v>7</v>
      </c>
      <c r="BA2873" t="s">
        <v>3611</v>
      </c>
      <c r="BB2873" t="s">
        <v>3612</v>
      </c>
      <c r="BC2873">
        <v>0.73799999999999999</v>
      </c>
      <c r="BD2873" t="s">
        <v>65</v>
      </c>
      <c r="BE2873">
        <v>11</v>
      </c>
      <c r="BF2873">
        <v>28</v>
      </c>
      <c r="BG2873" t="s">
        <v>3613</v>
      </c>
      <c r="BH2873" t="s">
        <v>3614</v>
      </c>
      <c r="BI2873" t="s">
        <v>3615</v>
      </c>
      <c r="BJ2873">
        <v>0.60560999999999998</v>
      </c>
      <c r="BK2873">
        <v>0.75</v>
      </c>
      <c r="BL2873" t="s">
        <v>635</v>
      </c>
      <c r="BM2873">
        <v>0.216</v>
      </c>
      <c r="BN2873">
        <v>0.216</v>
      </c>
    </row>
    <row r="2874" spans="10:66">
      <c r="J2874">
        <v>0</v>
      </c>
      <c r="K2874">
        <v>0</v>
      </c>
      <c r="L2874">
        <v>2</v>
      </c>
      <c r="M2874" t="s">
        <v>25021</v>
      </c>
      <c r="N2874">
        <v>562</v>
      </c>
      <c r="O2874" t="s">
        <v>3616</v>
      </c>
      <c r="P2874" t="s">
        <v>62</v>
      </c>
      <c r="Q2874">
        <v>593410</v>
      </c>
      <c r="R2874">
        <v>594096</v>
      </c>
      <c r="S2874" t="s">
        <v>3095</v>
      </c>
      <c r="T2874">
        <v>229</v>
      </c>
      <c r="U2874" t="s">
        <v>3617</v>
      </c>
      <c r="V2874">
        <v>30</v>
      </c>
      <c r="W2874" t="str">
        <f>HYPERLINK("Gene562-zp_tree_all.dnd", "Gene562-tree")</f>
        <v>Gene562-tree</v>
      </c>
      <c r="X2874">
        <v>4</v>
      </c>
      <c r="Y2874">
        <v>2</v>
      </c>
      <c r="Z2874">
        <v>4</v>
      </c>
      <c r="AA2874">
        <v>2</v>
      </c>
      <c r="AB2874">
        <v>0.33333000000000002</v>
      </c>
      <c r="AC2874" t="s">
        <v>61</v>
      </c>
      <c r="AD2874" t="s">
        <v>81</v>
      </c>
      <c r="AE2874" t="s">
        <v>62</v>
      </c>
      <c r="AF2874" t="s">
        <v>62</v>
      </c>
      <c r="AG2874">
        <v>1</v>
      </c>
      <c r="AH2874">
        <v>2</v>
      </c>
      <c r="AI2874">
        <v>3</v>
      </c>
      <c r="AJ2874">
        <v>0.4</v>
      </c>
      <c r="AK2874">
        <v>0</v>
      </c>
      <c r="AL2874">
        <v>0</v>
      </c>
      <c r="AM2874">
        <v>0</v>
      </c>
      <c r="AN2874">
        <v>3</v>
      </c>
      <c r="AO2874">
        <v>0</v>
      </c>
      <c r="AP2874">
        <v>0</v>
      </c>
      <c r="AQ2874">
        <v>0</v>
      </c>
      <c r="AR2874">
        <v>0</v>
      </c>
      <c r="AS2874">
        <v>2</v>
      </c>
      <c r="AT2874">
        <v>0</v>
      </c>
      <c r="AU2874">
        <v>5</v>
      </c>
      <c r="AV2874">
        <v>3</v>
      </c>
      <c r="AW2874">
        <v>18</v>
      </c>
      <c r="AX2874">
        <v>2</v>
      </c>
      <c r="AY2874">
        <v>13</v>
      </c>
      <c r="AZ2874">
        <v>3</v>
      </c>
      <c r="BA2874" t="s">
        <v>3618</v>
      </c>
      <c r="BB2874" t="s">
        <v>3619</v>
      </c>
      <c r="BC2874">
        <v>0.33200000000000002</v>
      </c>
      <c r="BD2874" t="s">
        <v>65</v>
      </c>
      <c r="BE2874">
        <v>31</v>
      </c>
      <c r="BF2874">
        <v>5</v>
      </c>
      <c r="BG2874" t="s">
        <v>3620</v>
      </c>
      <c r="BH2874" t="s">
        <v>3621</v>
      </c>
      <c r="BI2874" t="s">
        <v>3622</v>
      </c>
      <c r="BJ2874">
        <v>5.8639999999999998E-2</v>
      </c>
      <c r="BK2874">
        <v>1</v>
      </c>
      <c r="BL2874" t="s">
        <v>69</v>
      </c>
      <c r="BM2874">
        <v>0.76400000000000001</v>
      </c>
      <c r="BN2874">
        <v>0.184</v>
      </c>
    </row>
    <row r="2875" spans="10:66">
      <c r="J2875">
        <v>0</v>
      </c>
      <c r="K2875">
        <v>4</v>
      </c>
      <c r="L2875">
        <v>2</v>
      </c>
      <c r="M2875" t="s">
        <v>25021</v>
      </c>
      <c r="N2875">
        <v>563</v>
      </c>
      <c r="O2875" t="s">
        <v>3623</v>
      </c>
      <c r="P2875" t="s">
        <v>62</v>
      </c>
      <c r="Q2875">
        <v>594189</v>
      </c>
      <c r="R2875">
        <v>594998</v>
      </c>
      <c r="S2875" t="s">
        <v>3624</v>
      </c>
      <c r="T2875">
        <v>270</v>
      </c>
      <c r="U2875" t="s">
        <v>108</v>
      </c>
      <c r="V2875">
        <v>44</v>
      </c>
      <c r="W2875" t="str">
        <f>HYPERLINK("Gene563-zp_tree_all.dnd", "Gene563-tree")</f>
        <v>Gene563-tree</v>
      </c>
      <c r="X2875">
        <v>6</v>
      </c>
      <c r="Y2875">
        <v>7</v>
      </c>
      <c r="Z2875">
        <v>6</v>
      </c>
      <c r="AA2875">
        <v>7</v>
      </c>
      <c r="AB2875">
        <v>0.53846000000000005</v>
      </c>
      <c r="AC2875" t="s">
        <v>90</v>
      </c>
      <c r="AD2875" t="s">
        <v>152</v>
      </c>
      <c r="AE2875" t="s">
        <v>62</v>
      </c>
      <c r="AF2875" t="s">
        <v>62</v>
      </c>
      <c r="AG2875">
        <v>3</v>
      </c>
      <c r="AH2875">
        <v>6</v>
      </c>
      <c r="AI2875">
        <v>17</v>
      </c>
      <c r="AJ2875">
        <v>0.26086999999999999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2</v>
      </c>
      <c r="AR2875">
        <v>2</v>
      </c>
      <c r="AS2875">
        <v>16</v>
      </c>
      <c r="AT2875">
        <v>0.11111</v>
      </c>
      <c r="AU2875">
        <v>10</v>
      </c>
      <c r="AV2875">
        <v>9</v>
      </c>
      <c r="AW2875">
        <v>36</v>
      </c>
      <c r="AX2875">
        <v>17</v>
      </c>
      <c r="AY2875">
        <v>19</v>
      </c>
      <c r="AZ2875">
        <v>6</v>
      </c>
      <c r="BA2875" t="s">
        <v>3625</v>
      </c>
      <c r="BB2875" t="s">
        <v>3626</v>
      </c>
      <c r="BC2875">
        <v>0.27</v>
      </c>
      <c r="BD2875" t="s">
        <v>65</v>
      </c>
      <c r="BE2875">
        <v>55</v>
      </c>
      <c r="BF2875">
        <v>23</v>
      </c>
      <c r="BG2875" t="s">
        <v>3627</v>
      </c>
      <c r="BH2875" t="s">
        <v>3628</v>
      </c>
      <c r="BI2875" t="s">
        <v>3629</v>
      </c>
      <c r="BJ2875">
        <v>0.1222</v>
      </c>
      <c r="BK2875">
        <v>1</v>
      </c>
      <c r="BL2875" t="s">
        <v>69</v>
      </c>
      <c r="BM2875">
        <v>-0.89200000000000002</v>
      </c>
      <c r="BN2875">
        <v>-1.7849999999999999</v>
      </c>
    </row>
    <row r="2876" spans="10:66">
      <c r="J2876">
        <v>0</v>
      </c>
      <c r="K2876">
        <v>7</v>
      </c>
      <c r="L2876">
        <v>2</v>
      </c>
      <c r="M2876" t="s">
        <v>25021</v>
      </c>
      <c r="N2876">
        <v>564</v>
      </c>
      <c r="O2876" t="s">
        <v>3630</v>
      </c>
      <c r="P2876" t="s">
        <v>62</v>
      </c>
      <c r="Q2876">
        <v>595112</v>
      </c>
      <c r="R2876">
        <v>596002</v>
      </c>
      <c r="S2876" t="s">
        <v>3631</v>
      </c>
      <c r="T2876">
        <v>297</v>
      </c>
      <c r="U2876" t="s">
        <v>108</v>
      </c>
      <c r="V2876">
        <v>44</v>
      </c>
      <c r="W2876" t="str">
        <f>HYPERLINK("Gene564-zp_tree_all.dnd", "Gene564-tree")</f>
        <v>Gene564-tree</v>
      </c>
      <c r="X2876">
        <v>4</v>
      </c>
      <c r="Y2876">
        <v>8</v>
      </c>
      <c r="Z2876">
        <v>4</v>
      </c>
      <c r="AA2876">
        <v>8</v>
      </c>
      <c r="AB2876">
        <v>0.66666999999999998</v>
      </c>
      <c r="AC2876" t="s">
        <v>61</v>
      </c>
      <c r="AD2876" t="s">
        <v>136</v>
      </c>
      <c r="AE2876" t="s">
        <v>62</v>
      </c>
      <c r="AF2876" t="s">
        <v>62</v>
      </c>
      <c r="AG2876">
        <v>3</v>
      </c>
      <c r="AH2876">
        <v>9</v>
      </c>
      <c r="AI2876">
        <v>4</v>
      </c>
      <c r="AJ2876">
        <v>0.69230999999999998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5</v>
      </c>
      <c r="AQ2876">
        <v>2</v>
      </c>
      <c r="AR2876">
        <v>7</v>
      </c>
      <c r="AS2876">
        <v>2</v>
      </c>
      <c r="AT2876">
        <v>0.77778000000000003</v>
      </c>
      <c r="AU2876">
        <v>11</v>
      </c>
      <c r="AV2876">
        <v>7</v>
      </c>
      <c r="AW2876">
        <v>25</v>
      </c>
      <c r="AX2876">
        <v>8</v>
      </c>
      <c r="AY2876">
        <v>21</v>
      </c>
      <c r="AZ2876">
        <v>5</v>
      </c>
      <c r="BA2876" t="s">
        <v>3632</v>
      </c>
      <c r="BB2876" t="s">
        <v>3633</v>
      </c>
      <c r="BC2876">
        <v>0.23300000000000001</v>
      </c>
      <c r="BD2876" t="s">
        <v>65</v>
      </c>
      <c r="BE2876">
        <v>46</v>
      </c>
      <c r="BF2876">
        <v>13</v>
      </c>
      <c r="BG2876" t="s">
        <v>3634</v>
      </c>
      <c r="BH2876" t="s">
        <v>3635</v>
      </c>
      <c r="BI2876" t="s">
        <v>3636</v>
      </c>
      <c r="BJ2876">
        <v>5.9889999999999999E-2</v>
      </c>
      <c r="BK2876">
        <v>1</v>
      </c>
      <c r="BL2876" t="s">
        <v>69</v>
      </c>
      <c r="BM2876">
        <v>-0.36299999999999999</v>
      </c>
      <c r="BN2876">
        <v>-0.38700000000000001</v>
      </c>
    </row>
    <row r="2877" spans="10:66">
      <c r="J2877">
        <v>0</v>
      </c>
      <c r="K2877">
        <v>2</v>
      </c>
      <c r="L2877">
        <v>0</v>
      </c>
      <c r="M2877" t="s">
        <v>25021</v>
      </c>
      <c r="N2877">
        <v>569</v>
      </c>
      <c r="O2877" t="s">
        <v>3661</v>
      </c>
      <c r="P2877" t="s">
        <v>62</v>
      </c>
      <c r="Q2877">
        <v>599110</v>
      </c>
      <c r="R2877">
        <v>599343</v>
      </c>
      <c r="S2877" t="s">
        <v>3662</v>
      </c>
      <c r="T2877">
        <v>78</v>
      </c>
      <c r="U2877" t="s">
        <v>2513</v>
      </c>
      <c r="V2877">
        <v>43</v>
      </c>
      <c r="W2877" t="str">
        <f>HYPERLINK("Gene569-zp_tree_all.dnd", "Gene569-tree")</f>
        <v>Gene569-tree</v>
      </c>
      <c r="X2877">
        <v>30</v>
      </c>
      <c r="Y2877">
        <v>2</v>
      </c>
      <c r="Z2877">
        <v>4</v>
      </c>
      <c r="AA2877">
        <v>2</v>
      </c>
      <c r="AB2877">
        <v>0.33333000000000002</v>
      </c>
      <c r="AC2877" t="s">
        <v>3663</v>
      </c>
      <c r="AD2877" t="s">
        <v>81</v>
      </c>
      <c r="AE2877" t="s">
        <v>62</v>
      </c>
      <c r="AF2877" t="s">
        <v>62</v>
      </c>
      <c r="AG2877">
        <v>1</v>
      </c>
      <c r="AH2877">
        <v>2</v>
      </c>
      <c r="AI2877">
        <v>2</v>
      </c>
      <c r="AJ2877">
        <v>0.5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2</v>
      </c>
      <c r="AQ2877">
        <v>0</v>
      </c>
      <c r="AR2877">
        <v>2</v>
      </c>
      <c r="AS2877">
        <v>2</v>
      </c>
      <c r="AT2877">
        <v>0.5</v>
      </c>
      <c r="AU2877">
        <v>4</v>
      </c>
      <c r="AV2877">
        <v>2</v>
      </c>
      <c r="AW2877">
        <v>4</v>
      </c>
      <c r="AX2877">
        <v>4</v>
      </c>
      <c r="AY2877">
        <v>3</v>
      </c>
      <c r="AZ2877">
        <v>0</v>
      </c>
      <c r="BA2877" t="s">
        <v>3664</v>
      </c>
      <c r="BB2877" t="s">
        <v>193</v>
      </c>
      <c r="BC2877">
        <v>1.3280000000000001</v>
      </c>
      <c r="BD2877" t="s">
        <v>65</v>
      </c>
      <c r="BE2877">
        <v>7</v>
      </c>
      <c r="BF2877">
        <v>4</v>
      </c>
      <c r="BG2877" t="s">
        <v>3665</v>
      </c>
      <c r="BH2877" t="s">
        <v>3666</v>
      </c>
      <c r="BI2877" t="s">
        <v>3667</v>
      </c>
      <c r="BJ2877">
        <v>0.11525000000000001</v>
      </c>
      <c r="BK2877">
        <v>1</v>
      </c>
      <c r="BL2877" t="s">
        <v>69</v>
      </c>
      <c r="BM2877">
        <v>-0.24</v>
      </c>
      <c r="BN2877">
        <v>-1.456</v>
      </c>
    </row>
    <row r="2878" spans="10:66">
      <c r="J2878">
        <v>0</v>
      </c>
      <c r="K2878">
        <v>0</v>
      </c>
      <c r="L2878">
        <v>0</v>
      </c>
      <c r="M2878" t="s">
        <v>25021</v>
      </c>
      <c r="N2878">
        <v>570</v>
      </c>
      <c r="O2878" t="s">
        <v>3668</v>
      </c>
      <c r="P2878" t="s">
        <v>62</v>
      </c>
      <c r="Q2878">
        <v>599878</v>
      </c>
      <c r="R2878">
        <v>600105</v>
      </c>
      <c r="S2878" t="s">
        <v>3662</v>
      </c>
      <c r="T2878">
        <v>76</v>
      </c>
      <c r="U2878" t="s">
        <v>3545</v>
      </c>
      <c r="V2878">
        <v>36</v>
      </c>
      <c r="W2878" t="str">
        <f>HYPERLINK("Gene570-zp_tree_all.dnd", "Gene570-tree")</f>
        <v>Gene570-tree</v>
      </c>
      <c r="X2878">
        <v>3</v>
      </c>
      <c r="Y2878">
        <v>3</v>
      </c>
      <c r="Z2878">
        <v>3</v>
      </c>
      <c r="AA2878">
        <v>3</v>
      </c>
      <c r="AB2878">
        <v>0.5</v>
      </c>
      <c r="AC2878" t="s">
        <v>324</v>
      </c>
      <c r="AD2878" t="s">
        <v>324</v>
      </c>
      <c r="AE2878" t="s">
        <v>62</v>
      </c>
      <c r="AF2878" t="s">
        <v>62</v>
      </c>
      <c r="AG2878">
        <v>0</v>
      </c>
      <c r="AH2878">
        <v>0</v>
      </c>
      <c r="AI2878">
        <v>6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6</v>
      </c>
      <c r="AT2878">
        <v>0</v>
      </c>
      <c r="AU2878">
        <v>4</v>
      </c>
      <c r="AV2878">
        <v>1</v>
      </c>
      <c r="AW2878">
        <v>3</v>
      </c>
      <c r="AX2878">
        <v>5</v>
      </c>
      <c r="AY2878">
        <v>0</v>
      </c>
      <c r="AZ2878">
        <v>1</v>
      </c>
      <c r="BA2878" t="s">
        <v>3669</v>
      </c>
      <c r="BB2878" t="s">
        <v>193</v>
      </c>
      <c r="BC2878">
        <v>0.97</v>
      </c>
      <c r="BD2878" t="s">
        <v>65</v>
      </c>
      <c r="BE2878">
        <v>3</v>
      </c>
      <c r="BF2878">
        <v>6</v>
      </c>
      <c r="BG2878" t="s">
        <v>3670</v>
      </c>
      <c r="BH2878" t="s">
        <v>3671</v>
      </c>
      <c r="BI2878" t="s">
        <v>3672</v>
      </c>
      <c r="BJ2878">
        <v>0.69211</v>
      </c>
      <c r="BK2878">
        <v>0.67900000000000005</v>
      </c>
      <c r="BL2878" t="s">
        <v>635</v>
      </c>
      <c r="BM2878">
        <v>-0.29599999999999999</v>
      </c>
      <c r="BN2878">
        <v>0.14199999999999999</v>
      </c>
    </row>
    <row r="2879" spans="10:66">
      <c r="J2879">
        <v>0</v>
      </c>
      <c r="K2879">
        <v>2</v>
      </c>
      <c r="L2879">
        <v>0</v>
      </c>
      <c r="M2879" t="s">
        <v>25021</v>
      </c>
      <c r="N2879">
        <v>571</v>
      </c>
      <c r="O2879" t="s">
        <v>3673</v>
      </c>
      <c r="P2879" t="s">
        <v>62</v>
      </c>
      <c r="Q2879">
        <v>600232</v>
      </c>
      <c r="R2879">
        <v>600906</v>
      </c>
      <c r="S2879" t="s">
        <v>3674</v>
      </c>
      <c r="T2879">
        <v>225</v>
      </c>
      <c r="U2879" t="s">
        <v>3675</v>
      </c>
      <c r="V2879">
        <v>31</v>
      </c>
      <c r="W2879" t="str">
        <f>HYPERLINK("Gene571-zp_tree_all.dnd", "Gene571-tree")</f>
        <v>Gene571-tree</v>
      </c>
      <c r="X2879">
        <v>5</v>
      </c>
      <c r="Y2879">
        <v>3</v>
      </c>
      <c r="Z2879">
        <v>5</v>
      </c>
      <c r="AA2879">
        <v>3</v>
      </c>
      <c r="AB2879">
        <v>0.375</v>
      </c>
      <c r="AC2879" t="s">
        <v>199</v>
      </c>
      <c r="AD2879" t="s">
        <v>324</v>
      </c>
      <c r="AE2879" t="s">
        <v>62</v>
      </c>
      <c r="AF2879" t="s">
        <v>62</v>
      </c>
      <c r="AG2879">
        <v>1</v>
      </c>
      <c r="AH2879">
        <v>2</v>
      </c>
      <c r="AI2879">
        <v>1</v>
      </c>
      <c r="AJ2879">
        <v>0.66666999999999998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2</v>
      </c>
      <c r="AQ2879">
        <v>0</v>
      </c>
      <c r="AR2879">
        <v>2</v>
      </c>
      <c r="AS2879">
        <v>1</v>
      </c>
      <c r="AT2879">
        <v>0.66666999999999998</v>
      </c>
      <c r="AU2879">
        <v>7</v>
      </c>
      <c r="AV2879">
        <v>4</v>
      </c>
      <c r="AW2879">
        <v>19</v>
      </c>
      <c r="AX2879">
        <v>3</v>
      </c>
      <c r="AY2879">
        <v>8</v>
      </c>
      <c r="AZ2879">
        <v>0</v>
      </c>
      <c r="BA2879" t="s">
        <v>3676</v>
      </c>
      <c r="BB2879" t="s">
        <v>193</v>
      </c>
      <c r="BC2879">
        <v>1.506</v>
      </c>
      <c r="BD2879" t="s">
        <v>65</v>
      </c>
      <c r="BE2879">
        <v>27</v>
      </c>
      <c r="BF2879">
        <v>3</v>
      </c>
      <c r="BG2879" t="s">
        <v>3677</v>
      </c>
      <c r="BH2879" t="s">
        <v>3678</v>
      </c>
      <c r="BI2879" t="s">
        <v>3679</v>
      </c>
      <c r="BJ2879">
        <v>2.2239999999999999E-2</v>
      </c>
      <c r="BK2879">
        <v>1</v>
      </c>
      <c r="BL2879" t="s">
        <v>69</v>
      </c>
      <c r="BM2879">
        <v>-0.91</v>
      </c>
      <c r="BN2879">
        <v>-0.38200000000000001</v>
      </c>
    </row>
    <row r="2880" spans="10:66">
      <c r="J2880">
        <v>0</v>
      </c>
      <c r="K2880">
        <v>0</v>
      </c>
      <c r="L2880">
        <v>0</v>
      </c>
      <c r="M2880" t="s">
        <v>25021</v>
      </c>
      <c r="N2880">
        <v>573</v>
      </c>
      <c r="O2880" t="s">
        <v>3687</v>
      </c>
      <c r="P2880" t="s">
        <v>62</v>
      </c>
      <c r="Q2880">
        <v>601744</v>
      </c>
      <c r="R2880">
        <v>602172</v>
      </c>
      <c r="S2880" t="s">
        <v>3688</v>
      </c>
      <c r="T2880">
        <v>143</v>
      </c>
      <c r="U2880" t="s">
        <v>2548</v>
      </c>
      <c r="V2880">
        <v>37</v>
      </c>
      <c r="W2880" t="str">
        <f>HYPERLINK("Gene573-zp_tree_all.dnd", "Gene573-tree")</f>
        <v>Gene573-tree</v>
      </c>
      <c r="X2880">
        <v>3</v>
      </c>
      <c r="Y2880">
        <v>3</v>
      </c>
      <c r="Z2880">
        <v>3</v>
      </c>
      <c r="AA2880">
        <v>3</v>
      </c>
      <c r="AB2880">
        <v>0.5</v>
      </c>
      <c r="AC2880" t="s">
        <v>324</v>
      </c>
      <c r="AD2880" t="s">
        <v>324</v>
      </c>
      <c r="AE2880" t="s">
        <v>62</v>
      </c>
      <c r="AF2880" t="s">
        <v>62</v>
      </c>
      <c r="AG2880">
        <v>0</v>
      </c>
      <c r="AH2880">
        <v>0</v>
      </c>
      <c r="AI2880">
        <v>5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4</v>
      </c>
      <c r="AT2880">
        <v>0</v>
      </c>
      <c r="AU2880">
        <v>3</v>
      </c>
      <c r="AV2880">
        <v>3</v>
      </c>
      <c r="AW2880">
        <v>4</v>
      </c>
      <c r="AX2880">
        <v>2</v>
      </c>
      <c r="AY2880">
        <v>6</v>
      </c>
      <c r="AZ2880">
        <v>3</v>
      </c>
      <c r="BA2880" t="s">
        <v>3689</v>
      </c>
      <c r="BB2880" t="s">
        <v>3690</v>
      </c>
      <c r="BC2880">
        <v>3.0000000000000001E-3</v>
      </c>
      <c r="BD2880" t="s">
        <v>65</v>
      </c>
      <c r="BE2880">
        <v>10</v>
      </c>
      <c r="BF2880">
        <v>5</v>
      </c>
      <c r="BG2880" t="s">
        <v>3691</v>
      </c>
      <c r="BH2880" t="s">
        <v>3692</v>
      </c>
      <c r="BI2880" t="s">
        <v>3693</v>
      </c>
      <c r="BJ2880">
        <v>0.14104</v>
      </c>
      <c r="BK2880">
        <v>1</v>
      </c>
      <c r="BL2880" t="s">
        <v>69</v>
      </c>
      <c r="BM2880">
        <v>0.98099999999999998</v>
      </c>
      <c r="BN2880">
        <v>0.19800000000000001</v>
      </c>
    </row>
    <row r="2881" spans="10:66">
      <c r="J2881">
        <v>0</v>
      </c>
      <c r="K2881">
        <v>0</v>
      </c>
      <c r="L2881">
        <v>0</v>
      </c>
      <c r="M2881" t="s">
        <v>25021</v>
      </c>
      <c r="N2881">
        <v>574</v>
      </c>
      <c r="O2881" t="s">
        <v>3694</v>
      </c>
      <c r="P2881" t="s">
        <v>62</v>
      </c>
      <c r="Q2881">
        <v>602188</v>
      </c>
      <c r="R2881">
        <v>602427</v>
      </c>
      <c r="S2881" t="s">
        <v>3695</v>
      </c>
      <c r="T2881">
        <v>80</v>
      </c>
      <c r="U2881" t="s">
        <v>2548</v>
      </c>
      <c r="V2881">
        <v>37</v>
      </c>
      <c r="W2881" t="str">
        <f>HYPERLINK("Gene574-zp_tree_all.dnd", "Gene574-tree")</f>
        <v>Gene574-tree</v>
      </c>
      <c r="X2881">
        <v>29</v>
      </c>
      <c r="Y2881">
        <v>0</v>
      </c>
      <c r="Z2881">
        <v>6</v>
      </c>
      <c r="AA2881">
        <v>0</v>
      </c>
      <c r="AB2881">
        <v>0</v>
      </c>
      <c r="AC2881" t="s">
        <v>3696</v>
      </c>
      <c r="AD2881" t="s">
        <v>62</v>
      </c>
      <c r="AE2881" t="s">
        <v>62</v>
      </c>
      <c r="AF2881" t="s">
        <v>62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5</v>
      </c>
      <c r="AV2881">
        <v>2</v>
      </c>
      <c r="AW2881">
        <v>6</v>
      </c>
      <c r="AX2881">
        <v>0</v>
      </c>
      <c r="AY2881">
        <v>2</v>
      </c>
      <c r="AZ2881">
        <v>1</v>
      </c>
      <c r="BA2881" t="s">
        <v>193</v>
      </c>
      <c r="BB2881" t="s">
        <v>3697</v>
      </c>
      <c r="BC2881">
        <v>1.4139999999999999</v>
      </c>
      <c r="BD2881" t="s">
        <v>65</v>
      </c>
      <c r="BE2881">
        <v>8</v>
      </c>
      <c r="BF2881">
        <v>1</v>
      </c>
      <c r="BG2881" t="s">
        <v>3698</v>
      </c>
      <c r="BH2881" t="s">
        <v>3699</v>
      </c>
      <c r="BI2881" t="s">
        <v>3700</v>
      </c>
      <c r="BJ2881">
        <v>4.9459999999999997E-2</v>
      </c>
      <c r="BK2881">
        <v>1</v>
      </c>
      <c r="BL2881" t="s">
        <v>69</v>
      </c>
      <c r="BM2881">
        <v>0.75800000000000001</v>
      </c>
      <c r="BN2881">
        <v>-0.02</v>
      </c>
    </row>
    <row r="2882" spans="10:66">
      <c r="J2882">
        <v>0</v>
      </c>
      <c r="K2882">
        <v>0</v>
      </c>
      <c r="L2882">
        <v>0</v>
      </c>
      <c r="M2882" t="s">
        <v>25021</v>
      </c>
      <c r="N2882">
        <v>575</v>
      </c>
      <c r="O2882" t="s">
        <v>3701</v>
      </c>
      <c r="P2882" t="s">
        <v>62</v>
      </c>
      <c r="Q2882">
        <v>602444</v>
      </c>
      <c r="R2882">
        <v>602713</v>
      </c>
      <c r="S2882" t="s">
        <v>3695</v>
      </c>
      <c r="T2882">
        <v>90</v>
      </c>
      <c r="U2882" t="s">
        <v>2548</v>
      </c>
      <c r="V2882">
        <v>37</v>
      </c>
      <c r="W2882" t="str">
        <f>HYPERLINK("Gene575-zp_tree_all.dnd", "Gene575-tree")</f>
        <v>Gene575-tree</v>
      </c>
      <c r="X2882">
        <v>31</v>
      </c>
      <c r="Y2882">
        <v>0</v>
      </c>
      <c r="Z2882">
        <v>4</v>
      </c>
      <c r="AA2882">
        <v>0</v>
      </c>
      <c r="AB2882">
        <v>0</v>
      </c>
      <c r="AC2882" t="s">
        <v>3702</v>
      </c>
      <c r="AD2882" t="s">
        <v>62</v>
      </c>
      <c r="AE2882" t="s">
        <v>62</v>
      </c>
      <c r="AF2882" t="s">
        <v>62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2</v>
      </c>
      <c r="AV2882">
        <v>1</v>
      </c>
      <c r="AW2882">
        <v>3</v>
      </c>
      <c r="AX2882">
        <v>0</v>
      </c>
      <c r="AY2882">
        <v>2</v>
      </c>
      <c r="AZ2882">
        <v>0</v>
      </c>
      <c r="BA2882" t="s">
        <v>193</v>
      </c>
      <c r="BB2882" t="s">
        <v>193</v>
      </c>
      <c r="BC2882">
        <v>0</v>
      </c>
      <c r="BD2882" t="s">
        <v>65</v>
      </c>
      <c r="BE2882">
        <v>5</v>
      </c>
      <c r="BF2882">
        <v>0</v>
      </c>
      <c r="BG2882" t="s">
        <v>3703</v>
      </c>
      <c r="BH2882" t="s">
        <v>3704</v>
      </c>
      <c r="BI2882" t="s">
        <v>193</v>
      </c>
      <c r="BJ2882">
        <v>0</v>
      </c>
      <c r="BK2882">
        <v>1</v>
      </c>
      <c r="BL2882" t="s">
        <v>69</v>
      </c>
      <c r="BM2882">
        <v>0.371</v>
      </c>
      <c r="BN2882">
        <v>0.21099999999999999</v>
      </c>
    </row>
    <row r="2883" spans="10:66">
      <c r="J2883">
        <v>0</v>
      </c>
      <c r="K2883">
        <v>12</v>
      </c>
      <c r="L2883">
        <v>3</v>
      </c>
      <c r="M2883" t="s">
        <v>25021</v>
      </c>
      <c r="N2883">
        <v>579</v>
      </c>
      <c r="O2883" t="s">
        <v>3724</v>
      </c>
      <c r="P2883" t="s">
        <v>62</v>
      </c>
      <c r="Q2883">
        <v>604739</v>
      </c>
      <c r="R2883">
        <v>606379</v>
      </c>
      <c r="S2883" t="s">
        <v>3725</v>
      </c>
      <c r="T2883">
        <v>547</v>
      </c>
      <c r="U2883" t="s">
        <v>3726</v>
      </c>
      <c r="V2883">
        <v>31</v>
      </c>
      <c r="W2883" t="str">
        <f>HYPERLINK("Gene579-zp_tree_all.dnd", "Gene579-tree")</f>
        <v>Gene579-tree</v>
      </c>
      <c r="X2883">
        <v>0</v>
      </c>
      <c r="Y2883">
        <v>7</v>
      </c>
      <c r="Z2883">
        <v>0</v>
      </c>
      <c r="AA2883">
        <v>7</v>
      </c>
      <c r="AB2883">
        <v>1</v>
      </c>
      <c r="AC2883" t="s">
        <v>62</v>
      </c>
      <c r="AD2883" t="s">
        <v>152</v>
      </c>
      <c r="AE2883" t="s">
        <v>62</v>
      </c>
      <c r="AF2883" t="s">
        <v>62</v>
      </c>
      <c r="AG2883">
        <v>6</v>
      </c>
      <c r="AH2883">
        <v>15</v>
      </c>
      <c r="AI2883">
        <v>32</v>
      </c>
      <c r="AJ2883">
        <v>0.31914999999999999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4</v>
      </c>
      <c r="AQ2883">
        <v>0</v>
      </c>
      <c r="AR2883">
        <v>4</v>
      </c>
      <c r="AS2883">
        <v>19</v>
      </c>
      <c r="AT2883">
        <v>0.17391000000000001</v>
      </c>
      <c r="AU2883">
        <v>7</v>
      </c>
      <c r="AV2883">
        <v>4</v>
      </c>
      <c r="AW2883">
        <v>49</v>
      </c>
      <c r="AX2883">
        <v>23</v>
      </c>
      <c r="AY2883">
        <v>48</v>
      </c>
      <c r="AZ2883">
        <v>25</v>
      </c>
      <c r="BA2883" t="s">
        <v>3727</v>
      </c>
      <c r="BB2883" t="s">
        <v>3728</v>
      </c>
      <c r="BC2883">
        <v>8.1000000000000003E-2</v>
      </c>
      <c r="BD2883" t="s">
        <v>65</v>
      </c>
      <c r="BE2883">
        <v>97</v>
      </c>
      <c r="BF2883">
        <v>48</v>
      </c>
      <c r="BG2883" t="s">
        <v>3729</v>
      </c>
      <c r="BH2883" t="s">
        <v>3730</v>
      </c>
      <c r="BI2883" t="s">
        <v>3731</v>
      </c>
      <c r="BJ2883">
        <v>0.13161999999999999</v>
      </c>
      <c r="BK2883">
        <v>1</v>
      </c>
      <c r="BL2883" t="s">
        <v>69</v>
      </c>
      <c r="BM2883">
        <v>-0.33100000000000002</v>
      </c>
      <c r="BN2883">
        <v>-0.03</v>
      </c>
    </row>
    <row r="2884" spans="10:66">
      <c r="J2884">
        <v>0</v>
      </c>
      <c r="K2884">
        <v>0</v>
      </c>
      <c r="L2884">
        <v>0</v>
      </c>
      <c r="M2884" t="s">
        <v>25021</v>
      </c>
      <c r="N2884">
        <v>580</v>
      </c>
      <c r="O2884" t="s">
        <v>3732</v>
      </c>
      <c r="P2884" t="s">
        <v>62</v>
      </c>
      <c r="Q2884">
        <v>606702</v>
      </c>
      <c r="R2884">
        <v>608075</v>
      </c>
      <c r="S2884" t="s">
        <v>1399</v>
      </c>
      <c r="T2884">
        <v>458</v>
      </c>
      <c r="U2884" t="s">
        <v>108</v>
      </c>
      <c r="V2884">
        <v>44</v>
      </c>
      <c r="W2884" t="str">
        <f>HYPERLINK("Gene580-zp_tree_all.dnd", "Gene580-tree")</f>
        <v>Gene580-tree</v>
      </c>
      <c r="X2884">
        <v>9</v>
      </c>
      <c r="Y2884">
        <v>3</v>
      </c>
      <c r="Z2884">
        <v>9</v>
      </c>
      <c r="AA2884">
        <v>3</v>
      </c>
      <c r="AB2884">
        <v>0.25</v>
      </c>
      <c r="AC2884" t="s">
        <v>135</v>
      </c>
      <c r="AD2884" t="s">
        <v>324</v>
      </c>
      <c r="AE2884" t="s">
        <v>62</v>
      </c>
      <c r="AF2884" t="s">
        <v>62</v>
      </c>
      <c r="AG2884">
        <v>0</v>
      </c>
      <c r="AH2884">
        <v>0</v>
      </c>
      <c r="AI2884">
        <v>3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3</v>
      </c>
      <c r="AT2884">
        <v>0</v>
      </c>
      <c r="AU2884">
        <v>12</v>
      </c>
      <c r="AV2884">
        <v>8</v>
      </c>
      <c r="AW2884">
        <v>52</v>
      </c>
      <c r="AX2884">
        <v>3</v>
      </c>
      <c r="AY2884">
        <v>23</v>
      </c>
      <c r="AZ2884">
        <v>0</v>
      </c>
      <c r="BA2884" t="s">
        <v>3733</v>
      </c>
      <c r="BB2884" t="s">
        <v>193</v>
      </c>
      <c r="BC2884">
        <v>1.0880000000000001</v>
      </c>
      <c r="BD2884" t="s">
        <v>65</v>
      </c>
      <c r="BE2884">
        <v>75</v>
      </c>
      <c r="BF2884">
        <v>3</v>
      </c>
      <c r="BG2884" t="s">
        <v>3734</v>
      </c>
      <c r="BH2884" t="s">
        <v>3735</v>
      </c>
      <c r="BI2884" t="s">
        <v>3736</v>
      </c>
      <c r="BJ2884">
        <v>1.1169999999999999E-2</v>
      </c>
      <c r="BK2884">
        <v>1</v>
      </c>
      <c r="BL2884" t="s">
        <v>69</v>
      </c>
      <c r="BM2884">
        <v>-0.502</v>
      </c>
      <c r="BN2884">
        <v>-0.53400000000000003</v>
      </c>
    </row>
    <row r="2885" spans="10:66">
      <c r="J2885">
        <v>0</v>
      </c>
      <c r="K2885">
        <v>9</v>
      </c>
      <c r="L2885">
        <v>2</v>
      </c>
      <c r="M2885" t="s">
        <v>25021</v>
      </c>
      <c r="N2885">
        <v>581</v>
      </c>
      <c r="O2885" t="s">
        <v>3737</v>
      </c>
      <c r="P2885" t="s">
        <v>62</v>
      </c>
      <c r="Q2885">
        <v>608249</v>
      </c>
      <c r="R2885">
        <v>608764</v>
      </c>
      <c r="S2885" t="s">
        <v>3738</v>
      </c>
      <c r="T2885">
        <v>172</v>
      </c>
      <c r="U2885" t="s">
        <v>108</v>
      </c>
      <c r="V2885">
        <v>44</v>
      </c>
      <c r="W2885" t="str">
        <f>HYPERLINK("Gene581-zp_tree_all.dnd", "Gene581-tree")</f>
        <v>Gene581-tree</v>
      </c>
      <c r="X2885">
        <v>3</v>
      </c>
      <c r="Y2885">
        <v>11</v>
      </c>
      <c r="Z2885">
        <v>3</v>
      </c>
      <c r="AA2885">
        <v>11</v>
      </c>
      <c r="AB2885">
        <v>0.78571000000000002</v>
      </c>
      <c r="AC2885" t="s">
        <v>324</v>
      </c>
      <c r="AD2885" t="s">
        <v>73</v>
      </c>
      <c r="AE2885">
        <v>305230034.74400002</v>
      </c>
      <c r="AF2885" t="s">
        <v>267</v>
      </c>
      <c r="AG2885">
        <v>3</v>
      </c>
      <c r="AH2885">
        <v>11</v>
      </c>
      <c r="AI2885">
        <v>16</v>
      </c>
      <c r="AJ2885">
        <v>0.40740999999999999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6</v>
      </c>
      <c r="AQ2885">
        <v>2</v>
      </c>
      <c r="AR2885">
        <v>8</v>
      </c>
      <c r="AS2885">
        <v>11</v>
      </c>
      <c r="AT2885">
        <v>0.42104999999999998</v>
      </c>
      <c r="AU2885">
        <v>11</v>
      </c>
      <c r="AV2885">
        <v>8</v>
      </c>
      <c r="AW2885">
        <v>11</v>
      </c>
      <c r="AX2885">
        <v>19</v>
      </c>
      <c r="AY2885">
        <v>9</v>
      </c>
      <c r="AZ2885">
        <v>8</v>
      </c>
      <c r="BA2885" t="s">
        <v>3739</v>
      </c>
      <c r="BB2885" t="s">
        <v>3740</v>
      </c>
      <c r="BC2885">
        <v>0.373</v>
      </c>
      <c r="BD2885" t="s">
        <v>65</v>
      </c>
      <c r="BE2885">
        <v>20</v>
      </c>
      <c r="BF2885">
        <v>27</v>
      </c>
      <c r="BG2885" t="s">
        <v>3741</v>
      </c>
      <c r="BH2885" t="s">
        <v>3742</v>
      </c>
      <c r="BI2885" t="s">
        <v>3743</v>
      </c>
      <c r="BJ2885">
        <v>0.30195</v>
      </c>
      <c r="BK2885">
        <v>1</v>
      </c>
      <c r="BL2885" t="s">
        <v>69</v>
      </c>
      <c r="BM2885">
        <v>-1.0620000000000001</v>
      </c>
      <c r="BN2885">
        <v>-1.9930000000000001</v>
      </c>
    </row>
    <row r="2886" spans="10:66">
      <c r="J2886">
        <v>0</v>
      </c>
      <c r="K2886">
        <v>2</v>
      </c>
      <c r="L2886">
        <v>0</v>
      </c>
      <c r="M2886" t="s">
        <v>25021</v>
      </c>
      <c r="N2886">
        <v>584</v>
      </c>
      <c r="O2886" t="s">
        <v>3758</v>
      </c>
      <c r="P2886" t="s">
        <v>62</v>
      </c>
      <c r="Q2886">
        <v>612194</v>
      </c>
      <c r="R2886">
        <v>612820</v>
      </c>
      <c r="S2886" t="s">
        <v>3759</v>
      </c>
      <c r="T2886">
        <v>209</v>
      </c>
      <c r="U2886" t="s">
        <v>465</v>
      </c>
      <c r="V2886">
        <v>46</v>
      </c>
      <c r="W2886" t="str">
        <f>HYPERLINK("Gene584-zp_tree_all.dnd", "Gene584-tree")</f>
        <v>Gene584-tree</v>
      </c>
      <c r="X2886">
        <v>11</v>
      </c>
      <c r="Y2886">
        <v>2</v>
      </c>
      <c r="Z2886">
        <v>11</v>
      </c>
      <c r="AA2886">
        <v>2</v>
      </c>
      <c r="AB2886">
        <v>0.15384999999999999</v>
      </c>
      <c r="AC2886" t="s">
        <v>73</v>
      </c>
      <c r="AD2886" t="s">
        <v>81</v>
      </c>
      <c r="AE2886" t="s">
        <v>62</v>
      </c>
      <c r="AF2886" t="s">
        <v>62</v>
      </c>
      <c r="AG2886">
        <v>1</v>
      </c>
      <c r="AH2886">
        <v>2</v>
      </c>
      <c r="AI2886">
        <v>2</v>
      </c>
      <c r="AJ2886">
        <v>0.5</v>
      </c>
      <c r="AK2886">
        <v>0</v>
      </c>
      <c r="AL2886">
        <v>0</v>
      </c>
      <c r="AM2886">
        <v>0</v>
      </c>
      <c r="AN2886">
        <v>2</v>
      </c>
      <c r="AO2886">
        <v>0</v>
      </c>
      <c r="AP2886">
        <v>0</v>
      </c>
      <c r="AQ2886">
        <v>0</v>
      </c>
      <c r="AR2886">
        <v>0</v>
      </c>
      <c r="AS2886">
        <v>2</v>
      </c>
      <c r="AT2886">
        <v>0</v>
      </c>
      <c r="AU2886">
        <v>10</v>
      </c>
      <c r="AV2886">
        <v>5</v>
      </c>
      <c r="AW2886">
        <v>25</v>
      </c>
      <c r="AX2886">
        <v>2</v>
      </c>
      <c r="AY2886">
        <v>29</v>
      </c>
      <c r="AZ2886">
        <v>2</v>
      </c>
      <c r="BA2886" t="s">
        <v>3760</v>
      </c>
      <c r="BB2886" t="s">
        <v>3761</v>
      </c>
      <c r="BC2886">
        <v>0.10299999999999999</v>
      </c>
      <c r="BD2886" t="s">
        <v>65</v>
      </c>
      <c r="BE2886">
        <v>54</v>
      </c>
      <c r="BF2886">
        <v>4</v>
      </c>
      <c r="BG2886" t="s">
        <v>3762</v>
      </c>
      <c r="BH2886" t="s">
        <v>3763</v>
      </c>
      <c r="BI2886" t="s">
        <v>3764</v>
      </c>
      <c r="BJ2886">
        <v>2.3619999999999999E-2</v>
      </c>
      <c r="BK2886">
        <v>1</v>
      </c>
      <c r="BL2886" t="s">
        <v>69</v>
      </c>
      <c r="BM2886">
        <v>-1.042</v>
      </c>
      <c r="BN2886">
        <v>0.57499999999999996</v>
      </c>
    </row>
    <row r="2887" spans="10:66">
      <c r="J2887">
        <v>0</v>
      </c>
      <c r="K2887">
        <v>2</v>
      </c>
      <c r="L2887">
        <v>2</v>
      </c>
      <c r="M2887" t="s">
        <v>25021</v>
      </c>
      <c r="N2887">
        <v>585</v>
      </c>
      <c r="O2887" t="s">
        <v>3765</v>
      </c>
      <c r="P2887" t="s">
        <v>62</v>
      </c>
      <c r="Q2887">
        <v>612839</v>
      </c>
      <c r="R2887">
        <v>613330</v>
      </c>
      <c r="S2887" t="s">
        <v>3745</v>
      </c>
      <c r="T2887">
        <v>164</v>
      </c>
      <c r="U2887" t="s">
        <v>59</v>
      </c>
      <c r="V2887">
        <v>49</v>
      </c>
      <c r="W2887" t="str">
        <f>HYPERLINK("Gene585-zp_tree_all.dnd", "Gene585-tree")</f>
        <v>Gene585-tree</v>
      </c>
      <c r="X2887">
        <v>6</v>
      </c>
      <c r="Y2887">
        <v>7</v>
      </c>
      <c r="Z2887">
        <v>6</v>
      </c>
      <c r="AA2887">
        <v>7</v>
      </c>
      <c r="AB2887">
        <v>0.53846000000000005</v>
      </c>
      <c r="AC2887" t="s">
        <v>90</v>
      </c>
      <c r="AD2887" t="s">
        <v>152</v>
      </c>
      <c r="AE2887" t="s">
        <v>62</v>
      </c>
      <c r="AF2887" t="s">
        <v>62</v>
      </c>
      <c r="AG2887">
        <v>2</v>
      </c>
      <c r="AH2887">
        <v>4</v>
      </c>
      <c r="AI2887">
        <v>12</v>
      </c>
      <c r="AJ2887">
        <v>0.25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2</v>
      </c>
      <c r="AR2887">
        <v>2</v>
      </c>
      <c r="AS2887">
        <v>8</v>
      </c>
      <c r="AT2887">
        <v>0.2</v>
      </c>
      <c r="AU2887">
        <v>11</v>
      </c>
      <c r="AV2887">
        <v>6</v>
      </c>
      <c r="AW2887">
        <v>6</v>
      </c>
      <c r="AX2887">
        <v>10</v>
      </c>
      <c r="AY2887">
        <v>21</v>
      </c>
      <c r="AZ2887">
        <v>6</v>
      </c>
      <c r="BA2887" t="s">
        <v>3766</v>
      </c>
      <c r="BB2887" t="s">
        <v>3767</v>
      </c>
      <c r="BC2887">
        <v>1.1319999999999999</v>
      </c>
      <c r="BD2887" t="s">
        <v>65</v>
      </c>
      <c r="BE2887">
        <v>27</v>
      </c>
      <c r="BF2887">
        <v>16</v>
      </c>
      <c r="BG2887" t="s">
        <v>3768</v>
      </c>
      <c r="BH2887" t="s">
        <v>3769</v>
      </c>
      <c r="BI2887" t="s">
        <v>3770</v>
      </c>
      <c r="BJ2887">
        <v>0.10440000000000001</v>
      </c>
      <c r="BK2887">
        <v>1</v>
      </c>
      <c r="BL2887" t="s">
        <v>69</v>
      </c>
      <c r="BM2887">
        <v>-1.115</v>
      </c>
      <c r="BN2887">
        <v>0.153</v>
      </c>
    </row>
    <row r="2888" spans="10:66">
      <c r="J2888">
        <v>0</v>
      </c>
      <c r="K2888">
        <v>2</v>
      </c>
      <c r="L2888">
        <v>0</v>
      </c>
      <c r="M2888" t="s">
        <v>25021</v>
      </c>
      <c r="N2888">
        <v>587</v>
      </c>
      <c r="O2888" t="s">
        <v>3777</v>
      </c>
      <c r="P2888" t="s">
        <v>62</v>
      </c>
      <c r="Q2888">
        <v>614888</v>
      </c>
      <c r="R2888">
        <v>615622</v>
      </c>
      <c r="S2888" t="s">
        <v>3095</v>
      </c>
      <c r="T2888">
        <v>245</v>
      </c>
      <c r="U2888" t="s">
        <v>108</v>
      </c>
      <c r="V2888">
        <v>44</v>
      </c>
      <c r="W2888" t="str">
        <f>HYPERLINK("Gene587-zp_tree_all.dnd", "Gene587-tree")</f>
        <v>Gene587-tree</v>
      </c>
      <c r="X2888">
        <v>28</v>
      </c>
      <c r="Y2888">
        <v>5</v>
      </c>
      <c r="Z2888">
        <v>8</v>
      </c>
      <c r="AA2888">
        <v>5</v>
      </c>
      <c r="AB2888">
        <v>0.38462000000000002</v>
      </c>
      <c r="AC2888" t="s">
        <v>3778</v>
      </c>
      <c r="AD2888" t="s">
        <v>199</v>
      </c>
      <c r="AE2888" t="s">
        <v>62</v>
      </c>
      <c r="AF2888" t="s">
        <v>62</v>
      </c>
      <c r="AG2888">
        <v>1</v>
      </c>
      <c r="AH2888">
        <v>2</v>
      </c>
      <c r="AI2888">
        <v>4</v>
      </c>
      <c r="AJ2888">
        <v>0.33333000000000002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2</v>
      </c>
      <c r="AQ2888">
        <v>0</v>
      </c>
      <c r="AR2888">
        <v>2</v>
      </c>
      <c r="AS2888">
        <v>4</v>
      </c>
      <c r="AT2888">
        <v>0.33333000000000002</v>
      </c>
      <c r="AU2888">
        <v>10</v>
      </c>
      <c r="AV2888">
        <v>7</v>
      </c>
      <c r="AW2888">
        <v>20</v>
      </c>
      <c r="AX2888">
        <v>6</v>
      </c>
      <c r="AY2888">
        <v>12</v>
      </c>
      <c r="AZ2888">
        <v>0</v>
      </c>
      <c r="BA2888" t="s">
        <v>3779</v>
      </c>
      <c r="BB2888" t="s">
        <v>193</v>
      </c>
      <c r="BC2888">
        <v>1.4419999999999999</v>
      </c>
      <c r="BD2888" t="s">
        <v>65</v>
      </c>
      <c r="BE2888">
        <v>32</v>
      </c>
      <c r="BF2888">
        <v>6</v>
      </c>
      <c r="BG2888" t="s">
        <v>3780</v>
      </c>
      <c r="BH2888" t="s">
        <v>3781</v>
      </c>
      <c r="BI2888" t="s">
        <v>3782</v>
      </c>
      <c r="BJ2888">
        <v>4.7410000000000001E-2</v>
      </c>
      <c r="BK2888">
        <v>1</v>
      </c>
      <c r="BL2888" t="s">
        <v>69</v>
      </c>
      <c r="BM2888">
        <v>-0.34300000000000003</v>
      </c>
      <c r="BN2888">
        <v>0.43</v>
      </c>
    </row>
    <row r="2889" spans="10:66">
      <c r="J2889">
        <v>0</v>
      </c>
      <c r="K2889">
        <v>5</v>
      </c>
      <c r="L2889">
        <v>0</v>
      </c>
      <c r="M2889" t="s">
        <v>25021</v>
      </c>
      <c r="N2889">
        <v>591</v>
      </c>
      <c r="O2889" t="s">
        <v>3804</v>
      </c>
      <c r="P2889" t="s">
        <v>62</v>
      </c>
      <c r="Q2889">
        <v>619324</v>
      </c>
      <c r="R2889">
        <v>620031</v>
      </c>
      <c r="S2889" t="s">
        <v>3805</v>
      </c>
      <c r="T2889">
        <v>236</v>
      </c>
      <c r="U2889" t="s">
        <v>108</v>
      </c>
      <c r="V2889">
        <v>44</v>
      </c>
      <c r="W2889" t="str">
        <f>HYPERLINK("Gene591-zp_tree_all.dnd", "Gene591-tree")</f>
        <v>Gene591-tree</v>
      </c>
      <c r="X2889">
        <v>4</v>
      </c>
      <c r="Y2889">
        <v>8</v>
      </c>
      <c r="Z2889">
        <v>4</v>
      </c>
      <c r="AA2889">
        <v>8</v>
      </c>
      <c r="AB2889">
        <v>0.66666999999999998</v>
      </c>
      <c r="AC2889" t="s">
        <v>61</v>
      </c>
      <c r="AD2889" t="s">
        <v>136</v>
      </c>
      <c r="AE2889" t="s">
        <v>62</v>
      </c>
      <c r="AF2889" t="s">
        <v>62</v>
      </c>
      <c r="AG2889">
        <v>2</v>
      </c>
      <c r="AH2889">
        <v>5</v>
      </c>
      <c r="AI2889">
        <v>13</v>
      </c>
      <c r="AJ2889">
        <v>0.27778000000000003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2</v>
      </c>
      <c r="AQ2889">
        <v>0</v>
      </c>
      <c r="AR2889">
        <v>2</v>
      </c>
      <c r="AS2889">
        <v>11</v>
      </c>
      <c r="AT2889">
        <v>0.15384999999999999</v>
      </c>
      <c r="AU2889">
        <v>10</v>
      </c>
      <c r="AV2889">
        <v>8</v>
      </c>
      <c r="AW2889">
        <v>15</v>
      </c>
      <c r="AX2889">
        <v>11</v>
      </c>
      <c r="AY2889">
        <v>10</v>
      </c>
      <c r="AZ2889">
        <v>7</v>
      </c>
      <c r="BA2889" t="s">
        <v>3806</v>
      </c>
      <c r="BB2889" t="s">
        <v>3807</v>
      </c>
      <c r="BC2889">
        <v>6.8000000000000005E-2</v>
      </c>
      <c r="BD2889" t="s">
        <v>65</v>
      </c>
      <c r="BE2889">
        <v>25</v>
      </c>
      <c r="BF2889">
        <v>18</v>
      </c>
      <c r="BG2889" t="s">
        <v>3808</v>
      </c>
      <c r="BH2889" t="s">
        <v>3809</v>
      </c>
      <c r="BI2889" t="s">
        <v>3810</v>
      </c>
      <c r="BJ2889">
        <v>0.18451000000000001</v>
      </c>
      <c r="BK2889">
        <v>1</v>
      </c>
      <c r="BL2889" t="s">
        <v>69</v>
      </c>
      <c r="BM2889">
        <v>-0.59199999999999997</v>
      </c>
      <c r="BN2889">
        <v>-0.84699999999999998</v>
      </c>
    </row>
    <row r="2890" spans="10:66">
      <c r="J2890">
        <v>0</v>
      </c>
      <c r="K2890">
        <v>10</v>
      </c>
      <c r="L2890">
        <v>0</v>
      </c>
      <c r="M2890" t="s">
        <v>25021</v>
      </c>
      <c r="N2890">
        <v>592</v>
      </c>
      <c r="O2890" t="s">
        <v>3811</v>
      </c>
      <c r="P2890" t="s">
        <v>62</v>
      </c>
      <c r="Q2890">
        <v>620100</v>
      </c>
      <c r="R2890">
        <v>621485</v>
      </c>
      <c r="S2890" t="s">
        <v>3812</v>
      </c>
      <c r="T2890">
        <v>462</v>
      </c>
      <c r="U2890" t="s">
        <v>108</v>
      </c>
      <c r="V2890">
        <v>44</v>
      </c>
      <c r="W2890" t="str">
        <f>HYPERLINK("Gene592-zp_tree_all.dnd", "Gene592-tree")</f>
        <v>Gene592-tree</v>
      </c>
      <c r="X2890">
        <v>4</v>
      </c>
      <c r="Y2890">
        <v>9</v>
      </c>
      <c r="Z2890">
        <v>4</v>
      </c>
      <c r="AA2890">
        <v>9</v>
      </c>
      <c r="AB2890">
        <v>0.69230999999999998</v>
      </c>
      <c r="AC2890" t="s">
        <v>61</v>
      </c>
      <c r="AD2890" t="s">
        <v>135</v>
      </c>
      <c r="AE2890" t="s">
        <v>62</v>
      </c>
      <c r="AF2890" t="s">
        <v>62</v>
      </c>
      <c r="AG2890">
        <v>3</v>
      </c>
      <c r="AH2890">
        <v>10</v>
      </c>
      <c r="AI2890">
        <v>14</v>
      </c>
      <c r="AJ2890">
        <v>0.41666999999999998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7</v>
      </c>
      <c r="AQ2890">
        <v>0</v>
      </c>
      <c r="AR2890">
        <v>7</v>
      </c>
      <c r="AS2890">
        <v>12</v>
      </c>
      <c r="AT2890">
        <v>0.36842000000000003</v>
      </c>
      <c r="AU2890">
        <v>12</v>
      </c>
      <c r="AV2890">
        <v>10</v>
      </c>
      <c r="AW2890">
        <v>69</v>
      </c>
      <c r="AX2890">
        <v>19</v>
      </c>
      <c r="AY2890">
        <v>37</v>
      </c>
      <c r="AZ2890">
        <v>5</v>
      </c>
      <c r="BA2890" t="s">
        <v>3813</v>
      </c>
      <c r="BB2890" t="s">
        <v>3814</v>
      </c>
      <c r="BC2890">
        <v>1.23</v>
      </c>
      <c r="BD2890" t="s">
        <v>65</v>
      </c>
      <c r="BE2890">
        <v>106</v>
      </c>
      <c r="BF2890">
        <v>24</v>
      </c>
      <c r="BG2890" t="s">
        <v>3815</v>
      </c>
      <c r="BH2890" t="s">
        <v>3816</v>
      </c>
      <c r="BI2890" t="s">
        <v>3817</v>
      </c>
      <c r="BJ2890">
        <v>4.9329999999999999E-2</v>
      </c>
      <c r="BK2890">
        <v>1</v>
      </c>
      <c r="BL2890" t="s">
        <v>69</v>
      </c>
      <c r="BM2890">
        <v>-0.56100000000000005</v>
      </c>
      <c r="BN2890">
        <v>-0.81599999999999995</v>
      </c>
    </row>
    <row r="2891" spans="10:66">
      <c r="J2891">
        <v>2</v>
      </c>
      <c r="K2891">
        <v>22</v>
      </c>
      <c r="L2891">
        <v>7</v>
      </c>
      <c r="M2891" t="s">
        <v>25021</v>
      </c>
      <c r="N2891">
        <v>594</v>
      </c>
      <c r="O2891" t="s">
        <v>3826</v>
      </c>
      <c r="P2891" t="s">
        <v>62</v>
      </c>
      <c r="Q2891">
        <v>622296</v>
      </c>
      <c r="R2891">
        <v>622790</v>
      </c>
      <c r="S2891" t="s">
        <v>288</v>
      </c>
      <c r="T2891">
        <v>165</v>
      </c>
      <c r="U2891" t="s">
        <v>108</v>
      </c>
      <c r="V2891">
        <v>44</v>
      </c>
      <c r="W2891" t="str">
        <f>HYPERLINK("Gene594-zp_tree_all.dnd", "Gene594-tree")</f>
        <v>Gene594-tree</v>
      </c>
      <c r="X2891">
        <v>3</v>
      </c>
      <c r="Y2891">
        <v>10</v>
      </c>
      <c r="Z2891">
        <v>3</v>
      </c>
      <c r="AA2891">
        <v>10</v>
      </c>
      <c r="AB2891">
        <v>0.76922999999999997</v>
      </c>
      <c r="AC2891" t="s">
        <v>324</v>
      </c>
      <c r="AD2891" t="s">
        <v>117</v>
      </c>
      <c r="AE2891" t="s">
        <v>62</v>
      </c>
      <c r="AF2891" t="s">
        <v>62</v>
      </c>
      <c r="AG2891">
        <v>12</v>
      </c>
      <c r="AH2891">
        <v>31</v>
      </c>
      <c r="AI2891">
        <v>16</v>
      </c>
      <c r="AJ2891">
        <v>0.65956999999999999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6</v>
      </c>
      <c r="AQ2891">
        <v>4</v>
      </c>
      <c r="AR2891">
        <v>10</v>
      </c>
      <c r="AS2891">
        <v>21</v>
      </c>
      <c r="AT2891">
        <v>0.32257999999999998</v>
      </c>
      <c r="AU2891">
        <v>13</v>
      </c>
      <c r="AV2891">
        <v>10</v>
      </c>
      <c r="AW2891">
        <v>18</v>
      </c>
      <c r="AX2891">
        <v>32</v>
      </c>
      <c r="AY2891">
        <v>15</v>
      </c>
      <c r="AZ2891">
        <v>17</v>
      </c>
      <c r="BA2891" t="s">
        <v>3827</v>
      </c>
      <c r="BB2891" t="s">
        <v>3828</v>
      </c>
      <c r="BC2891">
        <v>0.72499999999999998</v>
      </c>
      <c r="BD2891" t="s">
        <v>65</v>
      </c>
      <c r="BE2891">
        <v>33</v>
      </c>
      <c r="BF2891">
        <v>49</v>
      </c>
      <c r="BG2891" t="s">
        <v>3829</v>
      </c>
      <c r="BH2891" t="s">
        <v>3830</v>
      </c>
      <c r="BI2891" t="s">
        <v>3831</v>
      </c>
      <c r="BJ2891">
        <v>0.39218999999999998</v>
      </c>
      <c r="BK2891">
        <v>1</v>
      </c>
      <c r="BL2891" t="s">
        <v>69</v>
      </c>
      <c r="BM2891">
        <v>-0.26200000000000001</v>
      </c>
      <c r="BN2891">
        <v>-0.75900000000000001</v>
      </c>
    </row>
    <row r="2892" spans="10:66">
      <c r="J2892">
        <v>0</v>
      </c>
      <c r="K2892">
        <v>15</v>
      </c>
      <c r="L2892">
        <v>4</v>
      </c>
      <c r="M2892" t="s">
        <v>25021</v>
      </c>
      <c r="N2892">
        <v>595</v>
      </c>
      <c r="O2892" t="s">
        <v>3832</v>
      </c>
      <c r="P2892" t="s">
        <v>62</v>
      </c>
      <c r="Q2892">
        <v>622811</v>
      </c>
      <c r="R2892">
        <v>623290</v>
      </c>
      <c r="S2892" t="s">
        <v>3537</v>
      </c>
      <c r="T2892">
        <v>160</v>
      </c>
      <c r="U2892" t="s">
        <v>1392</v>
      </c>
      <c r="V2892">
        <v>43</v>
      </c>
      <c r="W2892" t="str">
        <f>HYPERLINK("Gene595-zp_tree_all.dnd", "Gene595-tree")</f>
        <v>Gene595-tree</v>
      </c>
      <c r="X2892">
        <v>2</v>
      </c>
      <c r="Y2892">
        <v>11</v>
      </c>
      <c r="Z2892">
        <v>2</v>
      </c>
      <c r="AA2892">
        <v>11</v>
      </c>
      <c r="AB2892">
        <v>0.84614999999999996</v>
      </c>
      <c r="AC2892" t="s">
        <v>81</v>
      </c>
      <c r="AD2892" t="s">
        <v>73</v>
      </c>
      <c r="AE2892">
        <v>515075683.63</v>
      </c>
      <c r="AF2892" t="s">
        <v>267</v>
      </c>
      <c r="AG2892">
        <v>7</v>
      </c>
      <c r="AH2892">
        <v>19</v>
      </c>
      <c r="AI2892">
        <v>11</v>
      </c>
      <c r="AJ2892">
        <v>0.63332999999999995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9</v>
      </c>
      <c r="AQ2892">
        <v>2</v>
      </c>
      <c r="AR2892">
        <v>11</v>
      </c>
      <c r="AS2892">
        <v>12</v>
      </c>
      <c r="AT2892">
        <v>0.47826000000000002</v>
      </c>
      <c r="AU2892">
        <v>13</v>
      </c>
      <c r="AV2892">
        <v>7</v>
      </c>
      <c r="AW2892">
        <v>13</v>
      </c>
      <c r="AX2892">
        <v>23</v>
      </c>
      <c r="AY2892">
        <v>3</v>
      </c>
      <c r="AZ2892">
        <v>8</v>
      </c>
      <c r="BA2892" t="s">
        <v>3833</v>
      </c>
      <c r="BB2892" t="s">
        <v>3834</v>
      </c>
      <c r="BC2892">
        <v>0.50600000000000001</v>
      </c>
      <c r="BD2892" t="s">
        <v>65</v>
      </c>
      <c r="BE2892">
        <v>16</v>
      </c>
      <c r="BF2892">
        <v>31</v>
      </c>
      <c r="BG2892" t="s">
        <v>3835</v>
      </c>
      <c r="BH2892" t="s">
        <v>3836</v>
      </c>
      <c r="BI2892" t="s">
        <v>3837</v>
      </c>
      <c r="BJ2892">
        <v>0.52248000000000006</v>
      </c>
      <c r="BK2892">
        <v>0.85</v>
      </c>
      <c r="BL2892" t="s">
        <v>635</v>
      </c>
      <c r="BM2892">
        <v>-0.73799999999999999</v>
      </c>
      <c r="BN2892">
        <v>-1.41</v>
      </c>
    </row>
    <row r="2893" spans="10:66">
      <c r="J2893">
        <v>0</v>
      </c>
      <c r="K2893">
        <v>2</v>
      </c>
      <c r="L2893">
        <v>0</v>
      </c>
      <c r="M2893" t="s">
        <v>25021</v>
      </c>
      <c r="N2893">
        <v>598</v>
      </c>
      <c r="O2893" t="s">
        <v>3851</v>
      </c>
      <c r="P2893" t="s">
        <v>62</v>
      </c>
      <c r="Q2893">
        <v>625128</v>
      </c>
      <c r="R2893">
        <v>626291</v>
      </c>
      <c r="S2893" t="s">
        <v>3852</v>
      </c>
      <c r="T2893">
        <v>388</v>
      </c>
      <c r="U2893" t="s">
        <v>698</v>
      </c>
      <c r="V2893">
        <v>47</v>
      </c>
      <c r="W2893" t="str">
        <f>HYPERLINK("Gene598-zp_tree_all.dnd", "Gene598-tree")</f>
        <v>Gene598-tree</v>
      </c>
      <c r="X2893">
        <v>13</v>
      </c>
      <c r="Y2893">
        <v>6</v>
      </c>
      <c r="Z2893">
        <v>13</v>
      </c>
      <c r="AA2893">
        <v>6</v>
      </c>
      <c r="AB2893">
        <v>0.31579000000000002</v>
      </c>
      <c r="AC2893" t="s">
        <v>507</v>
      </c>
      <c r="AD2893" t="s">
        <v>90</v>
      </c>
      <c r="AE2893" t="s">
        <v>62</v>
      </c>
      <c r="AF2893" t="s">
        <v>62</v>
      </c>
      <c r="AG2893">
        <v>1</v>
      </c>
      <c r="AH2893">
        <v>2</v>
      </c>
      <c r="AI2893">
        <v>9</v>
      </c>
      <c r="AJ2893">
        <v>0.18182000000000001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6</v>
      </c>
      <c r="AT2893">
        <v>0</v>
      </c>
      <c r="AU2893">
        <v>14</v>
      </c>
      <c r="AV2893">
        <v>12</v>
      </c>
      <c r="AW2893">
        <v>46</v>
      </c>
      <c r="AX2893">
        <v>5</v>
      </c>
      <c r="AY2893">
        <v>79</v>
      </c>
      <c r="AZ2893">
        <v>6</v>
      </c>
      <c r="BA2893" t="s">
        <v>3853</v>
      </c>
      <c r="BB2893" t="s">
        <v>3854</v>
      </c>
      <c r="BC2893">
        <v>0.34100000000000003</v>
      </c>
      <c r="BD2893" t="s">
        <v>65</v>
      </c>
      <c r="BE2893">
        <v>125</v>
      </c>
      <c r="BF2893">
        <v>11</v>
      </c>
      <c r="BG2893" t="s">
        <v>3855</v>
      </c>
      <c r="BH2893" t="s">
        <v>3856</v>
      </c>
      <c r="BI2893" t="s">
        <v>2630</v>
      </c>
      <c r="BJ2893">
        <v>2.647E-2</v>
      </c>
      <c r="BK2893">
        <v>1</v>
      </c>
      <c r="BL2893" t="s">
        <v>69</v>
      </c>
      <c r="BM2893">
        <v>-0.95099999999999996</v>
      </c>
      <c r="BN2893">
        <v>-0.25900000000000001</v>
      </c>
    </row>
    <row r="2894" spans="10:66">
      <c r="J2894">
        <v>0</v>
      </c>
      <c r="K2894">
        <v>16</v>
      </c>
      <c r="L2894">
        <v>0</v>
      </c>
      <c r="M2894" t="s">
        <v>25021</v>
      </c>
      <c r="N2894">
        <v>614</v>
      </c>
      <c r="O2894" t="s">
        <v>3950</v>
      </c>
      <c r="P2894" t="s">
        <v>62</v>
      </c>
      <c r="Q2894">
        <v>644531</v>
      </c>
      <c r="R2894">
        <v>646456</v>
      </c>
      <c r="S2894" t="s">
        <v>3951</v>
      </c>
      <c r="T2894">
        <v>642</v>
      </c>
      <c r="U2894" t="s">
        <v>108</v>
      </c>
      <c r="V2894">
        <v>44</v>
      </c>
      <c r="W2894" t="str">
        <f>HYPERLINK("Gene614-zp_tree_all.dnd", "Gene614-tree")</f>
        <v>Gene614-tree</v>
      </c>
      <c r="X2894">
        <v>19</v>
      </c>
      <c r="Y2894">
        <v>14</v>
      </c>
      <c r="Z2894">
        <v>2</v>
      </c>
      <c r="AA2894">
        <v>14</v>
      </c>
      <c r="AB2894">
        <v>0.875</v>
      </c>
      <c r="AC2894" t="s">
        <v>3952</v>
      </c>
      <c r="AD2894" t="s">
        <v>543</v>
      </c>
      <c r="AE2894">
        <v>9.0419999999999998</v>
      </c>
      <c r="AF2894" t="s">
        <v>267</v>
      </c>
      <c r="AG2894">
        <v>6</v>
      </c>
      <c r="AH2894">
        <v>16</v>
      </c>
      <c r="AI2894">
        <v>22</v>
      </c>
      <c r="AJ2894">
        <v>0.42104999999999998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10</v>
      </c>
      <c r="AQ2894">
        <v>0</v>
      </c>
      <c r="AR2894">
        <v>10</v>
      </c>
      <c r="AS2894">
        <v>21</v>
      </c>
      <c r="AT2894">
        <v>0.32257999999999998</v>
      </c>
      <c r="AU2894">
        <v>15</v>
      </c>
      <c r="AV2894">
        <v>13</v>
      </c>
      <c r="AW2894">
        <v>102</v>
      </c>
      <c r="AX2894">
        <v>31</v>
      </c>
      <c r="AY2894">
        <v>58</v>
      </c>
      <c r="AZ2894">
        <v>7</v>
      </c>
      <c r="BA2894" t="s">
        <v>3953</v>
      </c>
      <c r="BB2894" t="s">
        <v>3954</v>
      </c>
      <c r="BC2894">
        <v>0.93100000000000005</v>
      </c>
      <c r="BD2894" t="s">
        <v>65</v>
      </c>
      <c r="BE2894">
        <v>160</v>
      </c>
      <c r="BF2894">
        <v>38</v>
      </c>
      <c r="BG2894" t="s">
        <v>3955</v>
      </c>
      <c r="BH2894" t="s">
        <v>3956</v>
      </c>
      <c r="BI2894" t="s">
        <v>3957</v>
      </c>
      <c r="BJ2894">
        <v>5.849E-2</v>
      </c>
      <c r="BK2894">
        <v>1</v>
      </c>
      <c r="BL2894" t="s">
        <v>69</v>
      </c>
      <c r="BM2894">
        <v>-0.74</v>
      </c>
      <c r="BN2894">
        <v>-1.9379999999999999</v>
      </c>
    </row>
    <row r="2895" spans="10:66">
      <c r="J2895">
        <v>0</v>
      </c>
      <c r="K2895">
        <v>0</v>
      </c>
      <c r="L2895">
        <v>0</v>
      </c>
      <c r="M2895" t="s">
        <v>25021</v>
      </c>
      <c r="N2895">
        <v>619</v>
      </c>
      <c r="O2895" t="s">
        <v>3982</v>
      </c>
      <c r="P2895" t="s">
        <v>62</v>
      </c>
      <c r="Q2895">
        <v>648745</v>
      </c>
      <c r="R2895">
        <v>648933</v>
      </c>
      <c r="S2895" t="s">
        <v>288</v>
      </c>
      <c r="T2895">
        <v>63</v>
      </c>
      <c r="U2895" t="s">
        <v>59</v>
      </c>
      <c r="V2895">
        <v>49</v>
      </c>
      <c r="W2895" t="str">
        <f>HYPERLINK("Gene619-zp_tree_all.dnd", "Gene619-tree")</f>
        <v>Gene619-tree</v>
      </c>
      <c r="X2895">
        <v>7</v>
      </c>
      <c r="Y2895">
        <v>0</v>
      </c>
      <c r="Z2895">
        <v>7</v>
      </c>
      <c r="AA2895">
        <v>0</v>
      </c>
      <c r="AB2895">
        <v>0</v>
      </c>
      <c r="AC2895" t="s">
        <v>152</v>
      </c>
      <c r="AD2895" t="s">
        <v>62</v>
      </c>
      <c r="AE2895" t="s">
        <v>62</v>
      </c>
      <c r="AF2895" t="s">
        <v>62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5</v>
      </c>
      <c r="AV2895">
        <v>2</v>
      </c>
      <c r="AW2895">
        <v>7</v>
      </c>
      <c r="AX2895">
        <v>0</v>
      </c>
      <c r="AY2895">
        <v>2</v>
      </c>
      <c r="AZ2895">
        <v>0</v>
      </c>
      <c r="BA2895" t="s">
        <v>193</v>
      </c>
      <c r="BB2895" t="s">
        <v>193</v>
      </c>
      <c r="BC2895">
        <v>0</v>
      </c>
      <c r="BD2895" t="s">
        <v>65</v>
      </c>
      <c r="BE2895">
        <v>9</v>
      </c>
      <c r="BF2895">
        <v>0</v>
      </c>
      <c r="BG2895" t="s">
        <v>3983</v>
      </c>
      <c r="BH2895" t="s">
        <v>3984</v>
      </c>
      <c r="BI2895" t="s">
        <v>193</v>
      </c>
      <c r="BJ2895">
        <v>0</v>
      </c>
      <c r="BK2895">
        <v>1</v>
      </c>
      <c r="BL2895" t="s">
        <v>69</v>
      </c>
      <c r="BM2895">
        <v>-1.0549999999999999</v>
      </c>
      <c r="BN2895">
        <v>-0.61699999999999999</v>
      </c>
    </row>
    <row r="2896" spans="10:66">
      <c r="J2896">
        <v>0</v>
      </c>
      <c r="K2896">
        <v>5</v>
      </c>
      <c r="L2896">
        <v>0</v>
      </c>
      <c r="M2896" t="s">
        <v>25021</v>
      </c>
      <c r="N2896">
        <v>620</v>
      </c>
      <c r="O2896" t="s">
        <v>3985</v>
      </c>
      <c r="P2896" t="s">
        <v>62</v>
      </c>
      <c r="Q2896">
        <v>648933</v>
      </c>
      <c r="R2896">
        <v>649664</v>
      </c>
      <c r="S2896" t="s">
        <v>3986</v>
      </c>
      <c r="T2896">
        <v>244</v>
      </c>
      <c r="U2896" t="s">
        <v>108</v>
      </c>
      <c r="V2896">
        <v>44</v>
      </c>
      <c r="W2896" t="str">
        <f>HYPERLINK("Gene620-zp_tree_all.dnd", "Gene620-tree")</f>
        <v>Gene620-tree</v>
      </c>
      <c r="X2896">
        <v>7</v>
      </c>
      <c r="Y2896">
        <v>6</v>
      </c>
      <c r="Z2896">
        <v>7</v>
      </c>
      <c r="AA2896">
        <v>6</v>
      </c>
      <c r="AB2896">
        <v>0.46154000000000001</v>
      </c>
      <c r="AC2896" t="s">
        <v>152</v>
      </c>
      <c r="AD2896" t="s">
        <v>90</v>
      </c>
      <c r="AE2896" t="s">
        <v>62</v>
      </c>
      <c r="AF2896" t="s">
        <v>62</v>
      </c>
      <c r="AG2896">
        <v>2</v>
      </c>
      <c r="AH2896">
        <v>5</v>
      </c>
      <c r="AI2896">
        <v>8</v>
      </c>
      <c r="AJ2896">
        <v>0.38462000000000002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5</v>
      </c>
      <c r="AQ2896">
        <v>0</v>
      </c>
      <c r="AR2896">
        <v>5</v>
      </c>
      <c r="AS2896">
        <v>8</v>
      </c>
      <c r="AT2896">
        <v>0.38462000000000002</v>
      </c>
      <c r="AU2896">
        <v>11</v>
      </c>
      <c r="AV2896">
        <v>7</v>
      </c>
      <c r="AW2896">
        <v>20</v>
      </c>
      <c r="AX2896">
        <v>13</v>
      </c>
      <c r="AY2896">
        <v>13</v>
      </c>
      <c r="AZ2896">
        <v>0</v>
      </c>
      <c r="BA2896" t="s">
        <v>3987</v>
      </c>
      <c r="BB2896" t="s">
        <v>193</v>
      </c>
      <c r="BC2896">
        <v>0.8</v>
      </c>
      <c r="BD2896" t="s">
        <v>65</v>
      </c>
      <c r="BE2896">
        <v>33</v>
      </c>
      <c r="BF2896">
        <v>13</v>
      </c>
      <c r="BG2896" t="s">
        <v>3988</v>
      </c>
      <c r="BH2896" t="s">
        <v>3989</v>
      </c>
      <c r="BI2896" t="s">
        <v>3990</v>
      </c>
      <c r="BJ2896">
        <v>8.8459999999999997E-2</v>
      </c>
      <c r="BK2896">
        <v>1</v>
      </c>
      <c r="BL2896" t="s">
        <v>69</v>
      </c>
      <c r="BM2896">
        <v>-1.6279999999999999</v>
      </c>
      <c r="BN2896">
        <v>-2.4220000000000002</v>
      </c>
    </row>
    <row r="2897" spans="10:66">
      <c r="J2897">
        <v>4</v>
      </c>
      <c r="K2897">
        <v>73</v>
      </c>
      <c r="L2897">
        <v>19</v>
      </c>
      <c r="M2897" t="s">
        <v>25021</v>
      </c>
      <c r="N2897">
        <v>646</v>
      </c>
      <c r="O2897" t="s">
        <v>4003</v>
      </c>
      <c r="P2897" t="s">
        <v>62</v>
      </c>
      <c r="Q2897">
        <v>664778</v>
      </c>
      <c r="R2897">
        <v>667264</v>
      </c>
      <c r="S2897" t="s">
        <v>4004</v>
      </c>
      <c r="T2897">
        <v>829</v>
      </c>
      <c r="U2897" t="s">
        <v>4005</v>
      </c>
      <c r="V2897">
        <v>42</v>
      </c>
      <c r="W2897" t="str">
        <f>HYPERLINK("Gene646-zp_tree_all.dnd", "Gene646-tree")</f>
        <v>Gene646-tree</v>
      </c>
      <c r="X2897">
        <v>2</v>
      </c>
      <c r="Y2897">
        <v>11</v>
      </c>
      <c r="Z2897">
        <v>2</v>
      </c>
      <c r="AA2897">
        <v>11</v>
      </c>
      <c r="AB2897">
        <v>0.84614999999999996</v>
      </c>
      <c r="AC2897" t="s">
        <v>81</v>
      </c>
      <c r="AD2897" t="s">
        <v>73</v>
      </c>
      <c r="AE2897">
        <v>515075683.63</v>
      </c>
      <c r="AF2897" t="s">
        <v>267</v>
      </c>
      <c r="AG2897">
        <v>34</v>
      </c>
      <c r="AH2897">
        <v>96</v>
      </c>
      <c r="AI2897">
        <v>55</v>
      </c>
      <c r="AJ2897">
        <v>0.63575999999999999</v>
      </c>
      <c r="AK2897">
        <v>0</v>
      </c>
      <c r="AL2897">
        <v>0</v>
      </c>
      <c r="AM2897">
        <v>0</v>
      </c>
      <c r="AN2897">
        <v>11</v>
      </c>
      <c r="AO2897">
        <v>0</v>
      </c>
      <c r="AP2897">
        <v>22</v>
      </c>
      <c r="AQ2897">
        <v>18</v>
      </c>
      <c r="AR2897">
        <v>40</v>
      </c>
      <c r="AS2897">
        <v>60</v>
      </c>
      <c r="AT2897">
        <v>0.4</v>
      </c>
      <c r="AU2897">
        <v>11</v>
      </c>
      <c r="AV2897">
        <v>9</v>
      </c>
      <c r="AW2897">
        <v>187</v>
      </c>
      <c r="AX2897">
        <v>96</v>
      </c>
      <c r="AY2897">
        <v>95</v>
      </c>
      <c r="AZ2897">
        <v>62</v>
      </c>
      <c r="BA2897" t="s">
        <v>4006</v>
      </c>
      <c r="BB2897" t="s">
        <v>4007</v>
      </c>
      <c r="BC2897">
        <v>0.79600000000000004</v>
      </c>
      <c r="BD2897" t="s">
        <v>65</v>
      </c>
      <c r="BE2897">
        <v>282</v>
      </c>
      <c r="BF2897">
        <v>158</v>
      </c>
      <c r="BG2897" t="s">
        <v>4008</v>
      </c>
      <c r="BH2897" t="s">
        <v>4009</v>
      </c>
      <c r="BI2897" t="s">
        <v>4010</v>
      </c>
      <c r="BJ2897">
        <v>0.15897</v>
      </c>
      <c r="BK2897">
        <v>1</v>
      </c>
      <c r="BL2897" t="s">
        <v>69</v>
      </c>
      <c r="BM2897">
        <v>0.24</v>
      </c>
      <c r="BN2897">
        <v>-0.88400000000000001</v>
      </c>
    </row>
    <row r="2898" spans="10:66">
      <c r="J2898">
        <v>0</v>
      </c>
      <c r="K2898">
        <v>4</v>
      </c>
      <c r="L2898">
        <v>2</v>
      </c>
      <c r="M2898" t="s">
        <v>25021</v>
      </c>
      <c r="N2898">
        <v>654</v>
      </c>
      <c r="O2898" t="s">
        <v>4064</v>
      </c>
      <c r="P2898" t="s">
        <v>62</v>
      </c>
      <c r="Q2898">
        <v>674835</v>
      </c>
      <c r="R2898">
        <v>675857</v>
      </c>
      <c r="S2898" t="s">
        <v>4065</v>
      </c>
      <c r="T2898">
        <v>341</v>
      </c>
      <c r="U2898" t="s">
        <v>4066</v>
      </c>
      <c r="V2898">
        <v>42</v>
      </c>
      <c r="W2898" t="str">
        <f>HYPERLINK("Gene654-zp_tree_all.dnd", "Gene654-tree")</f>
        <v>Gene654-tree</v>
      </c>
      <c r="X2898">
        <v>23</v>
      </c>
      <c r="Y2898">
        <v>7</v>
      </c>
      <c r="Z2898">
        <v>6</v>
      </c>
      <c r="AA2898">
        <v>7</v>
      </c>
      <c r="AB2898">
        <v>0.53846000000000005</v>
      </c>
      <c r="AC2898" t="s">
        <v>3589</v>
      </c>
      <c r="AD2898" t="s">
        <v>152</v>
      </c>
      <c r="AE2898" t="s">
        <v>62</v>
      </c>
      <c r="AF2898" t="s">
        <v>62</v>
      </c>
      <c r="AG2898">
        <v>3</v>
      </c>
      <c r="AH2898">
        <v>6</v>
      </c>
      <c r="AI2898">
        <v>14</v>
      </c>
      <c r="AJ2898">
        <v>0.3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2</v>
      </c>
      <c r="AQ2898">
        <v>2</v>
      </c>
      <c r="AR2898">
        <v>4</v>
      </c>
      <c r="AS2898">
        <v>12</v>
      </c>
      <c r="AT2898">
        <v>0.25</v>
      </c>
      <c r="AU2898">
        <v>12</v>
      </c>
      <c r="AV2898">
        <v>8</v>
      </c>
      <c r="AW2898">
        <v>34</v>
      </c>
      <c r="AX2898">
        <v>17</v>
      </c>
      <c r="AY2898">
        <v>14</v>
      </c>
      <c r="AZ2898">
        <v>4</v>
      </c>
      <c r="BA2898" t="s">
        <v>4067</v>
      </c>
      <c r="BB2898" t="s">
        <v>4068</v>
      </c>
      <c r="BC2898">
        <v>0.35299999999999998</v>
      </c>
      <c r="BD2898" t="s">
        <v>65</v>
      </c>
      <c r="BE2898">
        <v>48</v>
      </c>
      <c r="BF2898">
        <v>21</v>
      </c>
      <c r="BG2898" t="s">
        <v>4069</v>
      </c>
      <c r="BH2898" t="s">
        <v>4070</v>
      </c>
      <c r="BI2898" t="s">
        <v>4071</v>
      </c>
      <c r="BJ2898">
        <v>0.12684000000000001</v>
      </c>
      <c r="BK2898">
        <v>1</v>
      </c>
      <c r="BL2898" t="s">
        <v>69</v>
      </c>
      <c r="BM2898">
        <v>-1.232</v>
      </c>
      <c r="BN2898">
        <v>-2.3650000000000002</v>
      </c>
    </row>
    <row r="2899" spans="10:66">
      <c r="J2899">
        <v>0</v>
      </c>
      <c r="K2899">
        <v>0</v>
      </c>
      <c r="L2899">
        <v>0</v>
      </c>
      <c r="M2899" t="s">
        <v>25021</v>
      </c>
      <c r="N2899">
        <v>656</v>
      </c>
      <c r="O2899" t="s">
        <v>4079</v>
      </c>
      <c r="P2899" t="s">
        <v>62</v>
      </c>
      <c r="Q2899">
        <v>677914</v>
      </c>
      <c r="R2899">
        <v>678951</v>
      </c>
      <c r="S2899" t="s">
        <v>4080</v>
      </c>
      <c r="T2899">
        <v>346</v>
      </c>
      <c r="U2899" t="s">
        <v>4013</v>
      </c>
      <c r="V2899">
        <v>43</v>
      </c>
      <c r="W2899" t="str">
        <f>HYPERLINK("Gene656-zp_tree_all.dnd", "Gene656-tree")</f>
        <v>Gene656-tree</v>
      </c>
      <c r="X2899">
        <v>13</v>
      </c>
      <c r="Y2899">
        <v>2</v>
      </c>
      <c r="Z2899">
        <v>13</v>
      </c>
      <c r="AA2899">
        <v>2</v>
      </c>
      <c r="AB2899">
        <v>0.13333</v>
      </c>
      <c r="AC2899" t="s">
        <v>507</v>
      </c>
      <c r="AD2899" t="s">
        <v>81</v>
      </c>
      <c r="AE2899" t="s">
        <v>62</v>
      </c>
      <c r="AF2899" t="s">
        <v>62</v>
      </c>
      <c r="AG2899">
        <v>0</v>
      </c>
      <c r="AH2899">
        <v>0</v>
      </c>
      <c r="AI2899">
        <v>3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2</v>
      </c>
      <c r="AT2899">
        <v>0</v>
      </c>
      <c r="AU2899">
        <v>11</v>
      </c>
      <c r="AV2899">
        <v>7</v>
      </c>
      <c r="AW2899">
        <v>39</v>
      </c>
      <c r="AX2899">
        <v>2</v>
      </c>
      <c r="AY2899">
        <v>14</v>
      </c>
      <c r="AZ2899">
        <v>1</v>
      </c>
      <c r="BA2899" t="s">
        <v>4081</v>
      </c>
      <c r="BB2899" t="s">
        <v>4082</v>
      </c>
      <c r="BC2899">
        <v>0.111</v>
      </c>
      <c r="BD2899" t="s">
        <v>65</v>
      </c>
      <c r="BE2899">
        <v>53</v>
      </c>
      <c r="BF2899">
        <v>3</v>
      </c>
      <c r="BG2899" t="s">
        <v>4083</v>
      </c>
      <c r="BH2899" t="s">
        <v>4084</v>
      </c>
      <c r="BI2899" t="s">
        <v>4085</v>
      </c>
      <c r="BJ2899">
        <v>1.8499999999999999E-2</v>
      </c>
      <c r="BK2899">
        <v>1</v>
      </c>
      <c r="BL2899" t="s">
        <v>69</v>
      </c>
      <c r="BM2899">
        <v>-1.8440000000000001</v>
      </c>
      <c r="BN2899">
        <v>-3.0089999999999999</v>
      </c>
    </row>
    <row r="2900" spans="10:66">
      <c r="J2900">
        <v>0</v>
      </c>
      <c r="K2900">
        <v>0</v>
      </c>
      <c r="L2900">
        <v>0</v>
      </c>
      <c r="M2900" t="s">
        <v>25021</v>
      </c>
      <c r="N2900">
        <v>659</v>
      </c>
      <c r="O2900" t="s">
        <v>4103</v>
      </c>
      <c r="P2900" t="s">
        <v>62</v>
      </c>
      <c r="Q2900">
        <v>680910</v>
      </c>
      <c r="R2900">
        <v>681065</v>
      </c>
      <c r="S2900" t="s">
        <v>2302</v>
      </c>
      <c r="T2900">
        <v>52</v>
      </c>
      <c r="U2900" t="s">
        <v>4005</v>
      </c>
      <c r="V2900">
        <v>42</v>
      </c>
      <c r="W2900" t="str">
        <f>HYPERLINK("Gene659-zp_tree_all.dnd", "Gene659-tree")</f>
        <v>Gene659-tree</v>
      </c>
      <c r="X2900">
        <v>4</v>
      </c>
      <c r="Y2900">
        <v>4</v>
      </c>
      <c r="Z2900">
        <v>4</v>
      </c>
      <c r="AA2900">
        <v>4</v>
      </c>
      <c r="AB2900">
        <v>0.5</v>
      </c>
      <c r="AC2900" t="s">
        <v>61</v>
      </c>
      <c r="AD2900" t="s">
        <v>61</v>
      </c>
      <c r="AE2900" t="s">
        <v>62</v>
      </c>
      <c r="AF2900" t="s">
        <v>62</v>
      </c>
      <c r="AG2900">
        <v>0</v>
      </c>
      <c r="AH2900">
        <v>0</v>
      </c>
      <c r="AI2900">
        <v>7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5</v>
      </c>
      <c r="AT2900">
        <v>0</v>
      </c>
      <c r="AU2900">
        <v>6</v>
      </c>
      <c r="AV2900">
        <v>2</v>
      </c>
      <c r="AW2900">
        <v>8</v>
      </c>
      <c r="AX2900">
        <v>5</v>
      </c>
      <c r="AY2900">
        <v>2</v>
      </c>
      <c r="AZ2900">
        <v>2</v>
      </c>
      <c r="BA2900" t="s">
        <v>4104</v>
      </c>
      <c r="BB2900" t="s">
        <v>4105</v>
      </c>
      <c r="BC2900">
        <v>0.38900000000000001</v>
      </c>
      <c r="BD2900" t="s">
        <v>65</v>
      </c>
      <c r="BE2900">
        <v>10</v>
      </c>
      <c r="BF2900">
        <v>7</v>
      </c>
      <c r="BG2900" t="s">
        <v>4106</v>
      </c>
      <c r="BH2900" t="s">
        <v>4107</v>
      </c>
      <c r="BI2900" t="s">
        <v>4108</v>
      </c>
      <c r="BJ2900">
        <v>0.20868999999999999</v>
      </c>
      <c r="BK2900">
        <v>0.99</v>
      </c>
      <c r="BL2900" t="s">
        <v>69</v>
      </c>
      <c r="BM2900">
        <v>0.26700000000000002</v>
      </c>
      <c r="BN2900">
        <v>1.125</v>
      </c>
    </row>
    <row r="2901" spans="10:66">
      <c r="J2901">
        <v>0</v>
      </c>
      <c r="K2901">
        <v>0</v>
      </c>
      <c r="L2901">
        <v>0</v>
      </c>
      <c r="M2901" t="s">
        <v>25021</v>
      </c>
      <c r="N2901">
        <v>660</v>
      </c>
      <c r="O2901" t="s">
        <v>4109</v>
      </c>
      <c r="P2901" t="s">
        <v>62</v>
      </c>
      <c r="Q2901">
        <v>681258</v>
      </c>
      <c r="R2901">
        <v>681464</v>
      </c>
      <c r="S2901" t="s">
        <v>288</v>
      </c>
      <c r="T2901">
        <v>69</v>
      </c>
      <c r="U2901" t="s">
        <v>4110</v>
      </c>
      <c r="V2901">
        <v>45</v>
      </c>
      <c r="W2901" t="str">
        <f>HYPERLINK("Gene660-zp_tree_all.dnd", "Gene660-tree")</f>
        <v>Gene660-tree</v>
      </c>
      <c r="X2901">
        <v>6</v>
      </c>
      <c r="Y2901">
        <v>0</v>
      </c>
      <c r="Z2901">
        <v>6</v>
      </c>
      <c r="AA2901">
        <v>0</v>
      </c>
      <c r="AB2901">
        <v>0</v>
      </c>
      <c r="AC2901" t="s">
        <v>90</v>
      </c>
      <c r="AD2901" t="s">
        <v>62</v>
      </c>
      <c r="AE2901" t="s">
        <v>62</v>
      </c>
      <c r="AF2901" t="s">
        <v>62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</v>
      </c>
      <c r="AV2901">
        <v>2</v>
      </c>
      <c r="AW2901">
        <v>3</v>
      </c>
      <c r="AX2901">
        <v>0</v>
      </c>
      <c r="AY2901">
        <v>5</v>
      </c>
      <c r="AZ2901">
        <v>0</v>
      </c>
      <c r="BA2901" t="s">
        <v>193</v>
      </c>
      <c r="BB2901" t="s">
        <v>193</v>
      </c>
      <c r="BC2901">
        <v>0</v>
      </c>
      <c r="BD2901" t="s">
        <v>65</v>
      </c>
      <c r="BE2901">
        <v>8</v>
      </c>
      <c r="BF2901">
        <v>0</v>
      </c>
      <c r="BG2901" t="s">
        <v>4111</v>
      </c>
      <c r="BH2901" t="s">
        <v>4112</v>
      </c>
      <c r="BI2901" t="s">
        <v>193</v>
      </c>
      <c r="BJ2901">
        <v>0</v>
      </c>
      <c r="BK2901">
        <v>1</v>
      </c>
      <c r="BL2901" t="s">
        <v>69</v>
      </c>
      <c r="BM2901">
        <v>-0.82299999999999995</v>
      </c>
      <c r="BN2901">
        <v>-0.09</v>
      </c>
    </row>
    <row r="2902" spans="10:66">
      <c r="J2902">
        <v>0</v>
      </c>
      <c r="K2902">
        <v>6</v>
      </c>
      <c r="L2902">
        <v>0</v>
      </c>
      <c r="M2902" t="s">
        <v>25021</v>
      </c>
      <c r="N2902">
        <v>661</v>
      </c>
      <c r="O2902" t="s">
        <v>4113</v>
      </c>
      <c r="P2902" t="s">
        <v>62</v>
      </c>
      <c r="Q2902">
        <v>681550</v>
      </c>
      <c r="R2902">
        <v>682362</v>
      </c>
      <c r="S2902" t="s">
        <v>4114</v>
      </c>
      <c r="T2902">
        <v>271</v>
      </c>
      <c r="U2902" t="s">
        <v>4115</v>
      </c>
      <c r="V2902">
        <v>36</v>
      </c>
      <c r="W2902" t="str">
        <f>HYPERLINK("Gene661-zp_tree_all.dnd", "Gene661-tree")</f>
        <v>Gene661-tree</v>
      </c>
      <c r="X2902">
        <v>4</v>
      </c>
      <c r="Y2902">
        <v>23</v>
      </c>
      <c r="Z2902">
        <v>4</v>
      </c>
      <c r="AA2902">
        <v>6</v>
      </c>
      <c r="AB2902">
        <v>0.6</v>
      </c>
      <c r="AC2902" t="s">
        <v>61</v>
      </c>
      <c r="AD2902" t="s">
        <v>3589</v>
      </c>
      <c r="AE2902">
        <v>2.9249999999999998</v>
      </c>
      <c r="AF2902" t="s">
        <v>65</v>
      </c>
      <c r="AG2902">
        <v>3</v>
      </c>
      <c r="AH2902">
        <v>6</v>
      </c>
      <c r="AI2902">
        <v>10</v>
      </c>
      <c r="AJ2902">
        <v>0.375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4</v>
      </c>
      <c r="AQ2902">
        <v>0</v>
      </c>
      <c r="AR2902">
        <v>4</v>
      </c>
      <c r="AS2902">
        <v>9</v>
      </c>
      <c r="AT2902">
        <v>0.30769000000000002</v>
      </c>
      <c r="AU2902">
        <v>9</v>
      </c>
      <c r="AV2902">
        <v>7</v>
      </c>
      <c r="AW2902">
        <v>15</v>
      </c>
      <c r="AX2902">
        <v>13</v>
      </c>
      <c r="AY2902">
        <v>12</v>
      </c>
      <c r="AZ2902">
        <v>3</v>
      </c>
      <c r="BA2902" t="s">
        <v>4116</v>
      </c>
      <c r="BB2902" t="s">
        <v>4117</v>
      </c>
      <c r="BC2902">
        <v>1.173</v>
      </c>
      <c r="BD2902" t="s">
        <v>65</v>
      </c>
      <c r="BE2902">
        <v>27</v>
      </c>
      <c r="BF2902">
        <v>16</v>
      </c>
      <c r="BG2902" t="s">
        <v>4118</v>
      </c>
      <c r="BH2902" t="s">
        <v>4119</v>
      </c>
      <c r="BI2902" t="s">
        <v>4120</v>
      </c>
      <c r="BJ2902">
        <v>0.15287999999999999</v>
      </c>
      <c r="BK2902">
        <v>1</v>
      </c>
      <c r="BL2902" t="s">
        <v>69</v>
      </c>
      <c r="BM2902">
        <v>3.1E-2</v>
      </c>
      <c r="BN2902">
        <v>-0.30299999999999999</v>
      </c>
    </row>
    <row r="2903" spans="10:66">
      <c r="J2903">
        <v>0</v>
      </c>
      <c r="K2903">
        <v>23</v>
      </c>
      <c r="L2903">
        <v>1</v>
      </c>
      <c r="M2903" t="s">
        <v>25021</v>
      </c>
      <c r="N2903">
        <v>662</v>
      </c>
      <c r="O2903" t="s">
        <v>4121</v>
      </c>
      <c r="P2903" t="s">
        <v>62</v>
      </c>
      <c r="Q2903">
        <v>682378</v>
      </c>
      <c r="R2903">
        <v>683364</v>
      </c>
      <c r="S2903" t="s">
        <v>288</v>
      </c>
      <c r="T2903">
        <v>329</v>
      </c>
      <c r="U2903" t="s">
        <v>4013</v>
      </c>
      <c r="V2903">
        <v>43</v>
      </c>
      <c r="W2903" t="str">
        <f>HYPERLINK("Gene662-zp_tree_all.dnd", "Gene662-tree")</f>
        <v>Gene662-tree</v>
      </c>
      <c r="X2903">
        <v>3</v>
      </c>
      <c r="Y2903">
        <v>13</v>
      </c>
      <c r="Z2903">
        <v>3</v>
      </c>
      <c r="AA2903">
        <v>13</v>
      </c>
      <c r="AB2903">
        <v>0.8125</v>
      </c>
      <c r="AC2903" t="s">
        <v>324</v>
      </c>
      <c r="AD2903" t="s">
        <v>507</v>
      </c>
      <c r="AE2903" t="s">
        <v>62</v>
      </c>
      <c r="AF2903" t="s">
        <v>62</v>
      </c>
      <c r="AG2903">
        <v>8</v>
      </c>
      <c r="AH2903">
        <v>24</v>
      </c>
      <c r="AI2903">
        <v>19</v>
      </c>
      <c r="AJ2903">
        <v>0.55813999999999997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18</v>
      </c>
      <c r="AQ2903">
        <v>1</v>
      </c>
      <c r="AR2903">
        <v>19</v>
      </c>
      <c r="AS2903">
        <v>16</v>
      </c>
      <c r="AT2903">
        <v>0.54286000000000001</v>
      </c>
      <c r="AU2903">
        <v>16</v>
      </c>
      <c r="AV2903">
        <v>11</v>
      </c>
      <c r="AW2903">
        <v>24</v>
      </c>
      <c r="AX2903">
        <v>36</v>
      </c>
      <c r="AY2903">
        <v>15</v>
      </c>
      <c r="AZ2903">
        <v>8</v>
      </c>
      <c r="BA2903" t="s">
        <v>4122</v>
      </c>
      <c r="BB2903" t="s">
        <v>4123</v>
      </c>
      <c r="BC2903">
        <v>1.5620000000000001</v>
      </c>
      <c r="BD2903" t="s">
        <v>65</v>
      </c>
      <c r="BE2903">
        <v>39</v>
      </c>
      <c r="BF2903">
        <v>44</v>
      </c>
      <c r="BG2903" t="s">
        <v>4124</v>
      </c>
      <c r="BH2903" t="s">
        <v>4125</v>
      </c>
      <c r="BI2903" t="s">
        <v>4126</v>
      </c>
      <c r="BJ2903">
        <v>0.22742999999999999</v>
      </c>
      <c r="BK2903">
        <v>1</v>
      </c>
      <c r="BL2903" t="s">
        <v>69</v>
      </c>
      <c r="BM2903">
        <v>-0.35799999999999998</v>
      </c>
      <c r="BN2903">
        <v>-1.3819999999999999</v>
      </c>
    </row>
    <row r="2904" spans="10:66">
      <c r="J2904">
        <v>0</v>
      </c>
      <c r="K2904">
        <v>2</v>
      </c>
      <c r="L2904">
        <v>0</v>
      </c>
      <c r="M2904" t="s">
        <v>25021</v>
      </c>
      <c r="N2904">
        <v>663</v>
      </c>
      <c r="O2904" t="s">
        <v>4127</v>
      </c>
      <c r="P2904" t="s">
        <v>62</v>
      </c>
      <c r="Q2904">
        <v>683465</v>
      </c>
      <c r="R2904">
        <v>685003</v>
      </c>
      <c r="S2904" t="s">
        <v>4128</v>
      </c>
      <c r="T2904">
        <v>513</v>
      </c>
      <c r="U2904" t="s">
        <v>4013</v>
      </c>
      <c r="V2904">
        <v>43</v>
      </c>
      <c r="W2904" t="str">
        <f>HYPERLINK("Gene663-zp_tree_all.dnd", "Gene663-tree")</f>
        <v>Gene663-tree</v>
      </c>
      <c r="X2904">
        <v>9</v>
      </c>
      <c r="Y2904">
        <v>6</v>
      </c>
      <c r="Z2904">
        <v>9</v>
      </c>
      <c r="AA2904">
        <v>6</v>
      </c>
      <c r="AB2904">
        <v>0.4</v>
      </c>
      <c r="AC2904" t="s">
        <v>135</v>
      </c>
      <c r="AD2904" t="s">
        <v>90</v>
      </c>
      <c r="AE2904" t="s">
        <v>62</v>
      </c>
      <c r="AF2904" t="s">
        <v>62</v>
      </c>
      <c r="AG2904">
        <v>1</v>
      </c>
      <c r="AH2904">
        <v>2</v>
      </c>
      <c r="AI2904">
        <v>7</v>
      </c>
      <c r="AJ2904">
        <v>0.22222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2</v>
      </c>
      <c r="AQ2904">
        <v>0</v>
      </c>
      <c r="AR2904">
        <v>2</v>
      </c>
      <c r="AS2904">
        <v>7</v>
      </c>
      <c r="AT2904">
        <v>0.22222</v>
      </c>
      <c r="AU2904">
        <v>13</v>
      </c>
      <c r="AV2904">
        <v>10</v>
      </c>
      <c r="AW2904">
        <v>46</v>
      </c>
      <c r="AX2904">
        <v>9</v>
      </c>
      <c r="AY2904">
        <v>31</v>
      </c>
      <c r="AZ2904">
        <v>0</v>
      </c>
      <c r="BA2904" t="s">
        <v>4129</v>
      </c>
      <c r="BB2904" t="s">
        <v>193</v>
      </c>
      <c r="BC2904">
        <v>1.9750000000000001</v>
      </c>
      <c r="BD2904" t="s">
        <v>267</v>
      </c>
      <c r="BE2904">
        <v>77</v>
      </c>
      <c r="BF2904">
        <v>9</v>
      </c>
      <c r="BG2904" t="s">
        <v>4130</v>
      </c>
      <c r="BH2904" t="s">
        <v>4131</v>
      </c>
      <c r="BI2904" t="s">
        <v>4132</v>
      </c>
      <c r="BJ2904">
        <v>2.7539999999999999E-2</v>
      </c>
      <c r="BK2904">
        <v>1</v>
      </c>
      <c r="BL2904" t="s">
        <v>69</v>
      </c>
      <c r="BM2904">
        <v>-0.77300000000000002</v>
      </c>
      <c r="BN2904">
        <v>5.8999999999999997E-2</v>
      </c>
    </row>
    <row r="2905" spans="10:66">
      <c r="J2905">
        <v>0</v>
      </c>
      <c r="K2905">
        <v>2</v>
      </c>
      <c r="L2905">
        <v>0</v>
      </c>
      <c r="M2905" t="s">
        <v>25021</v>
      </c>
      <c r="N2905">
        <v>664</v>
      </c>
      <c r="O2905" t="s">
        <v>4133</v>
      </c>
      <c r="P2905" t="s">
        <v>62</v>
      </c>
      <c r="Q2905">
        <v>685158</v>
      </c>
      <c r="R2905">
        <v>686564</v>
      </c>
      <c r="S2905" t="s">
        <v>4134</v>
      </c>
      <c r="T2905">
        <v>469</v>
      </c>
      <c r="U2905" t="s">
        <v>4013</v>
      </c>
      <c r="V2905">
        <v>43</v>
      </c>
      <c r="W2905" t="str">
        <f>HYPERLINK("Gene664-zp_tree_all.dnd", "Gene664-tree")</f>
        <v>Gene664-tree</v>
      </c>
      <c r="X2905">
        <v>11</v>
      </c>
      <c r="Y2905">
        <v>4</v>
      </c>
      <c r="Z2905">
        <v>11</v>
      </c>
      <c r="AA2905">
        <v>4</v>
      </c>
      <c r="AB2905">
        <v>0.26667000000000002</v>
      </c>
      <c r="AC2905" t="s">
        <v>73</v>
      </c>
      <c r="AD2905" t="s">
        <v>61</v>
      </c>
      <c r="AE2905" t="s">
        <v>62</v>
      </c>
      <c r="AF2905" t="s">
        <v>62</v>
      </c>
      <c r="AG2905">
        <v>1</v>
      </c>
      <c r="AH2905">
        <v>2</v>
      </c>
      <c r="AI2905">
        <v>9</v>
      </c>
      <c r="AJ2905">
        <v>0.18182000000000001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10</v>
      </c>
      <c r="AT2905">
        <v>0</v>
      </c>
      <c r="AU2905">
        <v>13</v>
      </c>
      <c r="AV2905">
        <v>11</v>
      </c>
      <c r="AW2905">
        <v>51</v>
      </c>
      <c r="AX2905">
        <v>10</v>
      </c>
      <c r="AY2905">
        <v>18</v>
      </c>
      <c r="AZ2905">
        <v>1</v>
      </c>
      <c r="BA2905" t="s">
        <v>4135</v>
      </c>
      <c r="BB2905" t="s">
        <v>4136</v>
      </c>
      <c r="BC2905">
        <v>0.38200000000000001</v>
      </c>
      <c r="BD2905" t="s">
        <v>65</v>
      </c>
      <c r="BE2905">
        <v>69</v>
      </c>
      <c r="BF2905">
        <v>11</v>
      </c>
      <c r="BG2905" t="s">
        <v>4137</v>
      </c>
      <c r="BH2905" t="s">
        <v>4138</v>
      </c>
      <c r="BI2905" t="s">
        <v>4139</v>
      </c>
      <c r="BJ2905">
        <v>4.6100000000000002E-2</v>
      </c>
      <c r="BK2905">
        <v>1</v>
      </c>
      <c r="BL2905" t="s">
        <v>69</v>
      </c>
      <c r="BM2905">
        <v>-0.88700000000000001</v>
      </c>
      <c r="BN2905">
        <v>-1.9319999999999999</v>
      </c>
    </row>
    <row r="2906" spans="10:66">
      <c r="J2906">
        <v>0</v>
      </c>
      <c r="K2906">
        <v>4</v>
      </c>
      <c r="L2906">
        <v>0</v>
      </c>
      <c r="M2906" t="s">
        <v>25021</v>
      </c>
      <c r="N2906">
        <v>665</v>
      </c>
      <c r="O2906" t="s">
        <v>4140</v>
      </c>
      <c r="P2906" t="s">
        <v>62</v>
      </c>
      <c r="Q2906">
        <v>686605</v>
      </c>
      <c r="R2906">
        <v>686889</v>
      </c>
      <c r="S2906" t="s">
        <v>2302</v>
      </c>
      <c r="T2906">
        <v>95</v>
      </c>
      <c r="U2906" t="s">
        <v>4141</v>
      </c>
      <c r="V2906">
        <v>36</v>
      </c>
      <c r="W2906" t="str">
        <f>HYPERLINK("Gene665-zp_tree_all.dnd", "Gene665-tree")</f>
        <v>Gene665-tree</v>
      </c>
      <c r="X2906">
        <v>1</v>
      </c>
      <c r="Y2906">
        <v>28</v>
      </c>
      <c r="Z2906">
        <v>1</v>
      </c>
      <c r="AA2906">
        <v>7</v>
      </c>
      <c r="AB2906">
        <v>0.875</v>
      </c>
      <c r="AC2906" t="s">
        <v>175</v>
      </c>
      <c r="AD2906" t="s">
        <v>4142</v>
      </c>
      <c r="AE2906">
        <v>3.2240000000000002</v>
      </c>
      <c r="AF2906" t="s">
        <v>267</v>
      </c>
      <c r="AG2906">
        <v>2</v>
      </c>
      <c r="AH2906">
        <v>4</v>
      </c>
      <c r="AI2906">
        <v>14</v>
      </c>
      <c r="AJ2906">
        <v>0.22222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4</v>
      </c>
      <c r="AQ2906">
        <v>0</v>
      </c>
      <c r="AR2906">
        <v>4</v>
      </c>
      <c r="AS2906">
        <v>12</v>
      </c>
      <c r="AT2906">
        <v>0.25</v>
      </c>
      <c r="AU2906">
        <v>6</v>
      </c>
      <c r="AV2906">
        <v>3</v>
      </c>
      <c r="AW2906">
        <v>4</v>
      </c>
      <c r="AX2906">
        <v>13</v>
      </c>
      <c r="AY2906">
        <v>3</v>
      </c>
      <c r="AZ2906">
        <v>6</v>
      </c>
      <c r="BA2906" t="s">
        <v>4143</v>
      </c>
      <c r="BB2906" t="s">
        <v>4144</v>
      </c>
      <c r="BC2906">
        <v>0.63300000000000001</v>
      </c>
      <c r="BD2906" t="s">
        <v>65</v>
      </c>
      <c r="BE2906">
        <v>7</v>
      </c>
      <c r="BF2906">
        <v>19</v>
      </c>
      <c r="BG2906" t="s">
        <v>4145</v>
      </c>
      <c r="BH2906" t="s">
        <v>4146</v>
      </c>
      <c r="BI2906" t="s">
        <v>4147</v>
      </c>
      <c r="BJ2906">
        <v>0.65671000000000002</v>
      </c>
      <c r="BK2906">
        <v>0.73</v>
      </c>
      <c r="BL2906" t="s">
        <v>635</v>
      </c>
      <c r="BM2906">
        <v>-0.157</v>
      </c>
      <c r="BN2906">
        <v>-1.446</v>
      </c>
    </row>
    <row r="2907" spans="10:66">
      <c r="J2907">
        <v>0</v>
      </c>
      <c r="K2907">
        <v>0</v>
      </c>
      <c r="L2907">
        <v>0</v>
      </c>
      <c r="M2907" t="s">
        <v>25021</v>
      </c>
      <c r="N2907">
        <v>688</v>
      </c>
      <c r="O2907" t="s">
        <v>4299</v>
      </c>
      <c r="P2907" t="s">
        <v>62</v>
      </c>
      <c r="Q2907">
        <v>711459</v>
      </c>
      <c r="R2907">
        <v>711875</v>
      </c>
      <c r="S2907" t="s">
        <v>4300</v>
      </c>
      <c r="T2907">
        <v>139</v>
      </c>
      <c r="U2907" t="s">
        <v>108</v>
      </c>
      <c r="V2907">
        <v>44</v>
      </c>
      <c r="W2907" t="str">
        <f>HYPERLINK("Gene688-zp_tree_all.dnd", "Gene688-tree")</f>
        <v>Gene688-tree</v>
      </c>
      <c r="X2907">
        <v>9</v>
      </c>
      <c r="Y2907">
        <v>7</v>
      </c>
      <c r="Z2907">
        <v>9</v>
      </c>
      <c r="AA2907">
        <v>7</v>
      </c>
      <c r="AB2907">
        <v>0.4375</v>
      </c>
      <c r="AC2907" t="s">
        <v>135</v>
      </c>
      <c r="AD2907" t="s">
        <v>152</v>
      </c>
      <c r="AE2907" t="s">
        <v>62</v>
      </c>
      <c r="AF2907" t="s">
        <v>62</v>
      </c>
      <c r="AG2907">
        <v>0</v>
      </c>
      <c r="AH2907">
        <v>0</v>
      </c>
      <c r="AI2907">
        <v>11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9</v>
      </c>
      <c r="AT2907">
        <v>0</v>
      </c>
      <c r="AU2907">
        <v>13</v>
      </c>
      <c r="AV2907">
        <v>12</v>
      </c>
      <c r="AW2907">
        <v>29</v>
      </c>
      <c r="AX2907">
        <v>7</v>
      </c>
      <c r="AY2907">
        <v>30</v>
      </c>
      <c r="AZ2907">
        <v>6</v>
      </c>
      <c r="BA2907" t="s">
        <v>4301</v>
      </c>
      <c r="BB2907" t="s">
        <v>4302</v>
      </c>
      <c r="BC2907">
        <v>0.10100000000000001</v>
      </c>
      <c r="BD2907" t="s">
        <v>65</v>
      </c>
      <c r="BE2907">
        <v>59</v>
      </c>
      <c r="BF2907">
        <v>13</v>
      </c>
      <c r="BG2907" t="s">
        <v>4303</v>
      </c>
      <c r="BH2907" t="s">
        <v>4304</v>
      </c>
      <c r="BI2907" t="s">
        <v>4305</v>
      </c>
      <c r="BJ2907">
        <v>9.536E-2</v>
      </c>
      <c r="BK2907">
        <v>1</v>
      </c>
      <c r="BL2907" t="s">
        <v>69</v>
      </c>
      <c r="BM2907">
        <v>0.55300000000000005</v>
      </c>
      <c r="BN2907">
        <v>-6.4000000000000001E-2</v>
      </c>
    </row>
    <row r="2908" spans="10:66">
      <c r="J2908">
        <v>0</v>
      </c>
      <c r="K2908">
        <v>0</v>
      </c>
      <c r="L2908">
        <v>2</v>
      </c>
      <c r="M2908" t="s">
        <v>25021</v>
      </c>
      <c r="N2908">
        <v>690</v>
      </c>
      <c r="O2908" t="s">
        <v>4314</v>
      </c>
      <c r="P2908" t="s">
        <v>62</v>
      </c>
      <c r="Q2908">
        <v>713311</v>
      </c>
      <c r="R2908">
        <v>713535</v>
      </c>
      <c r="S2908" t="s">
        <v>2302</v>
      </c>
      <c r="T2908">
        <v>75</v>
      </c>
      <c r="U2908" t="s">
        <v>108</v>
      </c>
      <c r="V2908">
        <v>44</v>
      </c>
      <c r="W2908" t="str">
        <f>HYPERLINK("Gene690-zp_tree_all.dnd", "Gene690-tree")</f>
        <v>Gene690-tree</v>
      </c>
      <c r="X2908">
        <v>26</v>
      </c>
      <c r="Y2908">
        <v>4</v>
      </c>
      <c r="Z2908">
        <v>5</v>
      </c>
      <c r="AA2908">
        <v>4</v>
      </c>
      <c r="AB2908">
        <v>0.44444</v>
      </c>
      <c r="AC2908" t="s">
        <v>4315</v>
      </c>
      <c r="AD2908" t="s">
        <v>61</v>
      </c>
      <c r="AE2908" t="s">
        <v>62</v>
      </c>
      <c r="AF2908" t="s">
        <v>62</v>
      </c>
      <c r="AG2908">
        <v>1</v>
      </c>
      <c r="AH2908">
        <v>2</v>
      </c>
      <c r="AI2908">
        <v>4</v>
      </c>
      <c r="AJ2908">
        <v>0.33333000000000002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2</v>
      </c>
      <c r="AR2908">
        <v>2</v>
      </c>
      <c r="AS2908">
        <v>4</v>
      </c>
      <c r="AT2908">
        <v>0.33333000000000002</v>
      </c>
      <c r="AU2908">
        <v>6</v>
      </c>
      <c r="AV2908">
        <v>2</v>
      </c>
      <c r="AW2908">
        <v>7</v>
      </c>
      <c r="AX2908">
        <v>7</v>
      </c>
      <c r="AY2908">
        <v>2</v>
      </c>
      <c r="AZ2908">
        <v>0</v>
      </c>
      <c r="BA2908" t="s">
        <v>4316</v>
      </c>
      <c r="BB2908" t="s">
        <v>193</v>
      </c>
      <c r="BC2908">
        <v>0.83</v>
      </c>
      <c r="BD2908" t="s">
        <v>65</v>
      </c>
      <c r="BE2908">
        <v>9</v>
      </c>
      <c r="BF2908">
        <v>7</v>
      </c>
      <c r="BG2908" t="s">
        <v>4317</v>
      </c>
      <c r="BH2908" t="s">
        <v>4318</v>
      </c>
      <c r="BI2908" t="s">
        <v>4319</v>
      </c>
      <c r="BJ2908">
        <v>0.14524999999999999</v>
      </c>
      <c r="BK2908">
        <v>1</v>
      </c>
      <c r="BL2908" t="s">
        <v>69</v>
      </c>
      <c r="BM2908">
        <v>-1.86</v>
      </c>
      <c r="BN2908">
        <v>-3.903</v>
      </c>
    </row>
    <row r="2909" spans="10:66">
      <c r="J2909">
        <v>0</v>
      </c>
      <c r="K2909">
        <v>15</v>
      </c>
      <c r="L2909">
        <v>0</v>
      </c>
      <c r="M2909" t="s">
        <v>25021</v>
      </c>
      <c r="N2909">
        <v>694</v>
      </c>
      <c r="O2909" t="s">
        <v>4340</v>
      </c>
      <c r="P2909" t="s">
        <v>62</v>
      </c>
      <c r="Q2909">
        <v>716783</v>
      </c>
      <c r="R2909">
        <v>718357</v>
      </c>
      <c r="S2909" t="s">
        <v>4341</v>
      </c>
      <c r="T2909">
        <v>525</v>
      </c>
      <c r="U2909" t="s">
        <v>108</v>
      </c>
      <c r="V2909">
        <v>44</v>
      </c>
      <c r="W2909" t="str">
        <f>HYPERLINK("Gene694-zp_tree_all.dnd", "Gene694-tree")</f>
        <v>Gene694-tree</v>
      </c>
      <c r="X2909">
        <v>3</v>
      </c>
      <c r="Y2909">
        <v>12</v>
      </c>
      <c r="Z2909">
        <v>3</v>
      </c>
      <c r="AA2909">
        <v>12</v>
      </c>
      <c r="AB2909">
        <v>0.8</v>
      </c>
      <c r="AC2909" t="s">
        <v>324</v>
      </c>
      <c r="AD2909" t="s">
        <v>109</v>
      </c>
      <c r="AE2909" t="s">
        <v>62</v>
      </c>
      <c r="AF2909" t="s">
        <v>62</v>
      </c>
      <c r="AG2909">
        <v>5</v>
      </c>
      <c r="AH2909">
        <v>15</v>
      </c>
      <c r="AI2909">
        <v>17</v>
      </c>
      <c r="AJ2909">
        <v>0.46875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6</v>
      </c>
      <c r="AQ2909">
        <v>0</v>
      </c>
      <c r="AR2909">
        <v>6</v>
      </c>
      <c r="AS2909">
        <v>17</v>
      </c>
      <c r="AT2909">
        <v>0.26086999999999999</v>
      </c>
      <c r="AU2909">
        <v>15</v>
      </c>
      <c r="AV2909">
        <v>11</v>
      </c>
      <c r="AW2909">
        <v>94</v>
      </c>
      <c r="AX2909">
        <v>23</v>
      </c>
      <c r="AY2909">
        <v>42</v>
      </c>
      <c r="AZ2909">
        <v>9</v>
      </c>
      <c r="BA2909" t="s">
        <v>4342</v>
      </c>
      <c r="BB2909" t="s">
        <v>4343</v>
      </c>
      <c r="BC2909">
        <v>0.22</v>
      </c>
      <c r="BD2909" t="s">
        <v>65</v>
      </c>
      <c r="BE2909">
        <v>136</v>
      </c>
      <c r="BF2909">
        <v>32</v>
      </c>
      <c r="BG2909" t="s">
        <v>4344</v>
      </c>
      <c r="BH2909" t="s">
        <v>4345</v>
      </c>
      <c r="BI2909" t="s">
        <v>4346</v>
      </c>
      <c r="BJ2909">
        <v>5.8319999999999997E-2</v>
      </c>
      <c r="BK2909">
        <v>1</v>
      </c>
      <c r="BL2909" t="s">
        <v>69</v>
      </c>
      <c r="BM2909">
        <v>-0.67</v>
      </c>
      <c r="BN2909">
        <v>-2.1179999999999999</v>
      </c>
    </row>
    <row r="2910" spans="10:66">
      <c r="J2910">
        <v>0</v>
      </c>
      <c r="K2910">
        <v>2</v>
      </c>
      <c r="L2910">
        <v>0</v>
      </c>
      <c r="M2910" t="s">
        <v>25021</v>
      </c>
      <c r="N2910">
        <v>700</v>
      </c>
      <c r="O2910" t="s">
        <v>4381</v>
      </c>
      <c r="P2910" t="s">
        <v>62</v>
      </c>
      <c r="Q2910">
        <v>726038</v>
      </c>
      <c r="R2910">
        <v>726733</v>
      </c>
      <c r="S2910" t="s">
        <v>4382</v>
      </c>
      <c r="T2910">
        <v>232</v>
      </c>
      <c r="U2910" t="s">
        <v>72</v>
      </c>
      <c r="V2910">
        <v>45</v>
      </c>
      <c r="W2910" t="str">
        <f>HYPERLINK("Gene700-zp_tree_all.dnd", "Gene700-tree")</f>
        <v>Gene700-tree</v>
      </c>
      <c r="X2910">
        <v>14</v>
      </c>
      <c r="Y2910">
        <v>1</v>
      </c>
      <c r="Z2910">
        <v>14</v>
      </c>
      <c r="AA2910">
        <v>1</v>
      </c>
      <c r="AB2910">
        <v>6.6669999999999993E-2</v>
      </c>
      <c r="AC2910" t="s">
        <v>543</v>
      </c>
      <c r="AD2910" t="s">
        <v>175</v>
      </c>
      <c r="AE2910" t="s">
        <v>62</v>
      </c>
      <c r="AF2910" t="s">
        <v>62</v>
      </c>
      <c r="AG2910">
        <v>1</v>
      </c>
      <c r="AH2910">
        <v>2</v>
      </c>
      <c r="AI2910">
        <v>2</v>
      </c>
      <c r="AJ2910">
        <v>0.5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12</v>
      </c>
      <c r="AV2910">
        <v>8</v>
      </c>
      <c r="AW2910">
        <v>45</v>
      </c>
      <c r="AX2910">
        <v>1</v>
      </c>
      <c r="AY2910">
        <v>15</v>
      </c>
      <c r="AZ2910">
        <v>3</v>
      </c>
      <c r="BA2910" t="s">
        <v>4383</v>
      </c>
      <c r="BB2910" t="s">
        <v>4384</v>
      </c>
      <c r="BC2910">
        <v>0.34399999999999997</v>
      </c>
      <c r="BD2910" t="s">
        <v>65</v>
      </c>
      <c r="BE2910">
        <v>60</v>
      </c>
      <c r="BF2910">
        <v>4</v>
      </c>
      <c r="BG2910" t="s">
        <v>4385</v>
      </c>
      <c r="BH2910" t="s">
        <v>4386</v>
      </c>
      <c r="BI2910" t="s">
        <v>4387</v>
      </c>
      <c r="BJ2910">
        <v>2.47E-2</v>
      </c>
      <c r="BK2910">
        <v>1</v>
      </c>
      <c r="BL2910" t="s">
        <v>69</v>
      </c>
      <c r="BM2910">
        <v>-1.3959999999999999</v>
      </c>
      <c r="BN2910">
        <v>-2.9710000000000001</v>
      </c>
    </row>
    <row r="2911" spans="10:66">
      <c r="J2911">
        <v>0</v>
      </c>
      <c r="K2911">
        <v>2</v>
      </c>
      <c r="L2911">
        <v>4</v>
      </c>
      <c r="M2911" t="s">
        <v>25021</v>
      </c>
      <c r="N2911">
        <v>701</v>
      </c>
      <c r="O2911" t="s">
        <v>4388</v>
      </c>
      <c r="P2911" t="s">
        <v>62</v>
      </c>
      <c r="Q2911">
        <v>726843</v>
      </c>
      <c r="R2911">
        <v>728318</v>
      </c>
      <c r="S2911" t="s">
        <v>4389</v>
      </c>
      <c r="T2911">
        <v>492</v>
      </c>
      <c r="U2911" t="s">
        <v>108</v>
      </c>
      <c r="V2911">
        <v>44</v>
      </c>
      <c r="W2911" t="str">
        <f>HYPERLINK("Gene701-zp_tree_all.dnd", "Gene701-tree")</f>
        <v>Gene701-tree</v>
      </c>
      <c r="X2911">
        <v>12</v>
      </c>
      <c r="Y2911">
        <v>5</v>
      </c>
      <c r="Z2911">
        <v>12</v>
      </c>
      <c r="AA2911">
        <v>5</v>
      </c>
      <c r="AB2911">
        <v>0.29411999999999999</v>
      </c>
      <c r="AC2911" t="s">
        <v>109</v>
      </c>
      <c r="AD2911" t="s">
        <v>199</v>
      </c>
      <c r="AE2911" t="s">
        <v>62</v>
      </c>
      <c r="AF2911" t="s">
        <v>62</v>
      </c>
      <c r="AG2911">
        <v>3</v>
      </c>
      <c r="AH2911">
        <v>6</v>
      </c>
      <c r="AI2911">
        <v>10</v>
      </c>
      <c r="AJ2911">
        <v>0.375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2</v>
      </c>
      <c r="AR2911">
        <v>2</v>
      </c>
      <c r="AS2911">
        <v>11</v>
      </c>
      <c r="AT2911">
        <v>0.15384999999999999</v>
      </c>
      <c r="AU2911">
        <v>15</v>
      </c>
      <c r="AV2911">
        <v>13</v>
      </c>
      <c r="AW2911">
        <v>90</v>
      </c>
      <c r="AX2911">
        <v>13</v>
      </c>
      <c r="AY2911">
        <v>43</v>
      </c>
      <c r="AZ2911">
        <v>3</v>
      </c>
      <c r="BA2911" t="s">
        <v>4390</v>
      </c>
      <c r="BB2911" t="s">
        <v>4391</v>
      </c>
      <c r="BC2911">
        <v>0.19800000000000001</v>
      </c>
      <c r="BD2911" t="s">
        <v>65</v>
      </c>
      <c r="BE2911">
        <v>133</v>
      </c>
      <c r="BF2911">
        <v>16</v>
      </c>
      <c r="BG2911" t="s">
        <v>4392</v>
      </c>
      <c r="BH2911" t="s">
        <v>4393</v>
      </c>
      <c r="BI2911" t="s">
        <v>4394</v>
      </c>
      <c r="BJ2911">
        <v>4.4729999999999999E-2</v>
      </c>
      <c r="BK2911">
        <v>1</v>
      </c>
      <c r="BL2911" t="s">
        <v>69</v>
      </c>
      <c r="BM2911">
        <v>-1.3779999999999999</v>
      </c>
      <c r="BN2911">
        <v>-2.9420000000000002</v>
      </c>
    </row>
    <row r="2912" spans="10:66">
      <c r="J2912">
        <v>0</v>
      </c>
      <c r="K2912">
        <v>12</v>
      </c>
      <c r="L2912">
        <v>10</v>
      </c>
      <c r="M2912" t="s">
        <v>25021</v>
      </c>
      <c r="N2912">
        <v>717</v>
      </c>
      <c r="O2912" t="s">
        <v>4438</v>
      </c>
      <c r="P2912" t="s">
        <v>62</v>
      </c>
      <c r="Q2912">
        <v>747557</v>
      </c>
      <c r="R2912">
        <v>749563</v>
      </c>
      <c r="S2912" t="s">
        <v>4439</v>
      </c>
      <c r="T2912">
        <v>669</v>
      </c>
      <c r="U2912" t="s">
        <v>4440</v>
      </c>
      <c r="V2912">
        <v>28</v>
      </c>
      <c r="W2912" t="str">
        <f>HYPERLINK("Gene717-zp_tree_all.dnd", "Gene717-tree")</f>
        <v>Gene717-tree</v>
      </c>
      <c r="X2912">
        <v>0</v>
      </c>
      <c r="Y2912">
        <v>8</v>
      </c>
      <c r="Z2912">
        <v>0</v>
      </c>
      <c r="AA2912">
        <v>8</v>
      </c>
      <c r="AB2912">
        <v>1</v>
      </c>
      <c r="AC2912" t="s">
        <v>62</v>
      </c>
      <c r="AD2912" t="s">
        <v>136</v>
      </c>
      <c r="AE2912" t="s">
        <v>62</v>
      </c>
      <c r="AF2912" t="s">
        <v>62</v>
      </c>
      <c r="AG2912">
        <v>11</v>
      </c>
      <c r="AH2912">
        <v>22</v>
      </c>
      <c r="AI2912">
        <v>36</v>
      </c>
      <c r="AJ2912">
        <v>0.37930999999999998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4</v>
      </c>
      <c r="AQ2912">
        <v>2</v>
      </c>
      <c r="AR2912">
        <v>6</v>
      </c>
      <c r="AS2912">
        <v>30</v>
      </c>
      <c r="AT2912">
        <v>0.16667000000000001</v>
      </c>
      <c r="AU2912">
        <v>7</v>
      </c>
      <c r="AV2912">
        <v>5</v>
      </c>
      <c r="AW2912">
        <v>134</v>
      </c>
      <c r="AX2912">
        <v>33</v>
      </c>
      <c r="AY2912">
        <v>80</v>
      </c>
      <c r="AZ2912">
        <v>30</v>
      </c>
      <c r="BA2912" t="s">
        <v>4441</v>
      </c>
      <c r="BB2912" t="s">
        <v>4442</v>
      </c>
      <c r="BC2912">
        <v>1.046</v>
      </c>
      <c r="BD2912" t="s">
        <v>65</v>
      </c>
      <c r="BE2912">
        <v>214</v>
      </c>
      <c r="BF2912">
        <v>63</v>
      </c>
      <c r="BG2912" t="s">
        <v>4443</v>
      </c>
      <c r="BH2912" t="s">
        <v>4444</v>
      </c>
      <c r="BI2912" t="s">
        <v>4445</v>
      </c>
      <c r="BJ2912">
        <v>9.1139999999999999E-2</v>
      </c>
      <c r="BK2912">
        <v>1</v>
      </c>
      <c r="BL2912" t="s">
        <v>69</v>
      </c>
      <c r="BM2912">
        <v>-0.318</v>
      </c>
      <c r="BN2912">
        <v>-1.2470000000000001</v>
      </c>
    </row>
    <row r="2913" spans="10:66">
      <c r="J2913">
        <v>0</v>
      </c>
      <c r="K2913">
        <v>2</v>
      </c>
      <c r="L2913">
        <v>0</v>
      </c>
      <c r="M2913" t="s">
        <v>25021</v>
      </c>
      <c r="N2913">
        <v>752</v>
      </c>
      <c r="O2913" t="s">
        <v>4678</v>
      </c>
      <c r="P2913" t="s">
        <v>62</v>
      </c>
      <c r="Q2913">
        <v>785116</v>
      </c>
      <c r="R2913">
        <v>785439</v>
      </c>
      <c r="S2913" t="s">
        <v>4679</v>
      </c>
      <c r="T2913">
        <v>108</v>
      </c>
      <c r="U2913" t="s">
        <v>4680</v>
      </c>
      <c r="V2913">
        <v>43</v>
      </c>
      <c r="W2913" t="str">
        <f>HYPERLINK("Gene752-zp_tree_all.dnd", "Gene752-tree")</f>
        <v>Gene752-tree</v>
      </c>
      <c r="X2913">
        <v>3</v>
      </c>
      <c r="Y2913">
        <v>3</v>
      </c>
      <c r="Z2913">
        <v>3</v>
      </c>
      <c r="AA2913">
        <v>3</v>
      </c>
      <c r="AB2913">
        <v>0.5</v>
      </c>
      <c r="AC2913" t="s">
        <v>324</v>
      </c>
      <c r="AD2913" t="s">
        <v>324</v>
      </c>
      <c r="AE2913" t="s">
        <v>62</v>
      </c>
      <c r="AF2913" t="s">
        <v>62</v>
      </c>
      <c r="AG2913">
        <v>1</v>
      </c>
      <c r="AH2913">
        <v>2</v>
      </c>
      <c r="AI2913">
        <v>2</v>
      </c>
      <c r="AJ2913">
        <v>0.5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2</v>
      </c>
      <c r="AQ2913">
        <v>0</v>
      </c>
      <c r="AR2913">
        <v>2</v>
      </c>
      <c r="AS2913">
        <v>2</v>
      </c>
      <c r="AT2913">
        <v>0.5</v>
      </c>
      <c r="AU2913">
        <v>5</v>
      </c>
      <c r="AV2913">
        <v>3</v>
      </c>
      <c r="AW2913">
        <v>11</v>
      </c>
      <c r="AX2913">
        <v>6</v>
      </c>
      <c r="AY2913">
        <v>6</v>
      </c>
      <c r="AZ2913">
        <v>0</v>
      </c>
      <c r="BA2913" t="s">
        <v>4681</v>
      </c>
      <c r="BB2913" t="s">
        <v>193</v>
      </c>
      <c r="BC2913">
        <v>0.66200000000000003</v>
      </c>
      <c r="BD2913" t="s">
        <v>65</v>
      </c>
      <c r="BE2913">
        <v>17</v>
      </c>
      <c r="BF2913">
        <v>6</v>
      </c>
      <c r="BG2913" t="s">
        <v>4682</v>
      </c>
      <c r="BH2913" t="s">
        <v>4683</v>
      </c>
      <c r="BI2913" t="s">
        <v>4684</v>
      </c>
      <c r="BJ2913">
        <v>6.4949999999999994E-2</v>
      </c>
      <c r="BK2913">
        <v>1</v>
      </c>
      <c r="BL2913" t="s">
        <v>69</v>
      </c>
      <c r="BM2913">
        <v>-1.1299999999999999</v>
      </c>
      <c r="BN2913">
        <v>-2.5649999999999999</v>
      </c>
    </row>
    <row r="2914" spans="10:66">
      <c r="J2914">
        <v>0</v>
      </c>
      <c r="K2914">
        <v>0</v>
      </c>
      <c r="L2914">
        <v>0</v>
      </c>
      <c r="M2914" t="s">
        <v>25021</v>
      </c>
      <c r="N2914">
        <v>753</v>
      </c>
      <c r="O2914" t="s">
        <v>4685</v>
      </c>
      <c r="P2914" t="s">
        <v>62</v>
      </c>
      <c r="Q2914">
        <v>785546</v>
      </c>
      <c r="R2914">
        <v>785905</v>
      </c>
      <c r="S2914" t="s">
        <v>4686</v>
      </c>
      <c r="T2914">
        <v>120</v>
      </c>
      <c r="U2914" t="s">
        <v>3401</v>
      </c>
      <c r="V2914">
        <v>42</v>
      </c>
      <c r="W2914" t="str">
        <f>HYPERLINK("Gene753-zp_tree_all.dnd", "Gene753-tree")</f>
        <v>Gene753-tree</v>
      </c>
      <c r="X2914">
        <v>7</v>
      </c>
      <c r="Y2914">
        <v>3</v>
      </c>
      <c r="Z2914">
        <v>7</v>
      </c>
      <c r="AA2914">
        <v>3</v>
      </c>
      <c r="AB2914">
        <v>0.3</v>
      </c>
      <c r="AC2914" t="s">
        <v>152</v>
      </c>
      <c r="AD2914" t="s">
        <v>324</v>
      </c>
      <c r="AE2914" t="s">
        <v>62</v>
      </c>
      <c r="AF2914" t="s">
        <v>62</v>
      </c>
      <c r="AG2914">
        <v>0</v>
      </c>
      <c r="AH2914">
        <v>0</v>
      </c>
      <c r="AI2914">
        <v>5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5</v>
      </c>
      <c r="AT2914">
        <v>0</v>
      </c>
      <c r="AU2914">
        <v>7</v>
      </c>
      <c r="AV2914">
        <v>2</v>
      </c>
      <c r="AW2914">
        <v>7</v>
      </c>
      <c r="AX2914">
        <v>4</v>
      </c>
      <c r="AY2914">
        <v>1</v>
      </c>
      <c r="AZ2914">
        <v>1</v>
      </c>
      <c r="BA2914" t="s">
        <v>4687</v>
      </c>
      <c r="BB2914" t="s">
        <v>4688</v>
      </c>
      <c r="BC2914">
        <v>0.26400000000000001</v>
      </c>
      <c r="BD2914" t="s">
        <v>65</v>
      </c>
      <c r="BE2914">
        <v>8</v>
      </c>
      <c r="BF2914">
        <v>5</v>
      </c>
      <c r="BG2914" t="s">
        <v>4689</v>
      </c>
      <c r="BH2914" t="s">
        <v>4690</v>
      </c>
      <c r="BI2914" t="s">
        <v>4691</v>
      </c>
      <c r="BJ2914">
        <v>0.15198999999999999</v>
      </c>
      <c r="BK2914">
        <v>1</v>
      </c>
      <c r="BL2914" t="s">
        <v>69</v>
      </c>
      <c r="BM2914">
        <v>-1.121</v>
      </c>
      <c r="BN2914">
        <v>-1.9019999999999999</v>
      </c>
    </row>
    <row r="2915" spans="10:66">
      <c r="J2915">
        <v>0</v>
      </c>
      <c r="K2915">
        <v>4</v>
      </c>
      <c r="L2915">
        <v>0</v>
      </c>
      <c r="M2915" t="s">
        <v>25021</v>
      </c>
      <c r="N2915">
        <v>759</v>
      </c>
      <c r="O2915" t="s">
        <v>4706</v>
      </c>
      <c r="P2915" t="s">
        <v>62</v>
      </c>
      <c r="Q2915">
        <v>789655</v>
      </c>
      <c r="R2915">
        <v>790155</v>
      </c>
      <c r="S2915" t="s">
        <v>4707</v>
      </c>
      <c r="T2915">
        <v>167</v>
      </c>
      <c r="U2915" t="s">
        <v>4708</v>
      </c>
      <c r="V2915">
        <v>27</v>
      </c>
      <c r="W2915" t="str">
        <f>HYPERLINK("Gene759-zp_tree_all.dnd", "Gene759-tree")</f>
        <v>Gene759-tree</v>
      </c>
      <c r="X2915">
        <v>2</v>
      </c>
      <c r="Y2915">
        <v>5</v>
      </c>
      <c r="Z2915">
        <v>2</v>
      </c>
      <c r="AA2915">
        <v>5</v>
      </c>
      <c r="AB2915">
        <v>0.71428999999999998</v>
      </c>
      <c r="AC2915" t="s">
        <v>81</v>
      </c>
      <c r="AD2915" t="s">
        <v>199</v>
      </c>
      <c r="AE2915" t="s">
        <v>62</v>
      </c>
      <c r="AF2915" t="s">
        <v>62</v>
      </c>
      <c r="AG2915">
        <v>2</v>
      </c>
      <c r="AH2915">
        <v>4</v>
      </c>
      <c r="AI2915">
        <v>6</v>
      </c>
      <c r="AJ2915">
        <v>0.4</v>
      </c>
      <c r="AK2915">
        <v>0</v>
      </c>
      <c r="AL2915">
        <v>0</v>
      </c>
      <c r="AM2915">
        <v>0</v>
      </c>
      <c r="AN2915">
        <v>2</v>
      </c>
      <c r="AO2915">
        <v>0</v>
      </c>
      <c r="AP2915">
        <v>2</v>
      </c>
      <c r="AQ2915">
        <v>0</v>
      </c>
      <c r="AR2915">
        <v>2</v>
      </c>
      <c r="AS2915">
        <v>5</v>
      </c>
      <c r="AT2915">
        <v>0.28571000000000002</v>
      </c>
      <c r="AU2915">
        <v>5</v>
      </c>
      <c r="AV2915">
        <v>4</v>
      </c>
      <c r="AW2915">
        <v>14</v>
      </c>
      <c r="AX2915">
        <v>7</v>
      </c>
      <c r="AY2915">
        <v>10</v>
      </c>
      <c r="AZ2915">
        <v>3</v>
      </c>
      <c r="BA2915" t="s">
        <v>4709</v>
      </c>
      <c r="BB2915" t="s">
        <v>4710</v>
      </c>
      <c r="BC2915">
        <v>0.57499999999999996</v>
      </c>
      <c r="BD2915" t="s">
        <v>65</v>
      </c>
      <c r="BE2915">
        <v>24</v>
      </c>
      <c r="BF2915">
        <v>10</v>
      </c>
      <c r="BG2915" t="s">
        <v>4711</v>
      </c>
      <c r="BH2915" t="s">
        <v>4712</v>
      </c>
      <c r="BI2915" t="s">
        <v>4713</v>
      </c>
      <c r="BJ2915">
        <v>0.10113</v>
      </c>
      <c r="BK2915">
        <v>1</v>
      </c>
      <c r="BL2915" t="s">
        <v>69</v>
      </c>
      <c r="BM2915">
        <v>-0.85399999999999998</v>
      </c>
      <c r="BN2915">
        <v>-0.16800000000000001</v>
      </c>
    </row>
    <row r="2916" spans="10:66">
      <c r="J2916">
        <v>0</v>
      </c>
      <c r="K2916">
        <v>0</v>
      </c>
      <c r="L2916">
        <v>0</v>
      </c>
      <c r="M2916" t="s">
        <v>25021</v>
      </c>
      <c r="N2916">
        <v>761</v>
      </c>
      <c r="O2916" t="s">
        <v>4722</v>
      </c>
      <c r="P2916" t="s">
        <v>62</v>
      </c>
      <c r="Q2916">
        <v>791465</v>
      </c>
      <c r="R2916">
        <v>792532</v>
      </c>
      <c r="S2916" t="s">
        <v>288</v>
      </c>
      <c r="T2916">
        <v>356</v>
      </c>
      <c r="U2916" t="s">
        <v>160</v>
      </c>
      <c r="V2916">
        <v>45</v>
      </c>
      <c r="W2916" t="str">
        <f>HYPERLINK("Gene761-zp_tree_all.dnd", "Gene761-tree")</f>
        <v>Gene761-tree</v>
      </c>
      <c r="X2916">
        <v>26</v>
      </c>
      <c r="Y2916">
        <v>7</v>
      </c>
      <c r="Z2916">
        <v>9</v>
      </c>
      <c r="AA2916">
        <v>7</v>
      </c>
      <c r="AB2916">
        <v>0.4375</v>
      </c>
      <c r="AC2916" t="s">
        <v>4723</v>
      </c>
      <c r="AD2916" t="s">
        <v>152</v>
      </c>
      <c r="AE2916" t="s">
        <v>62</v>
      </c>
      <c r="AF2916" t="s">
        <v>62</v>
      </c>
      <c r="AG2916">
        <v>0</v>
      </c>
      <c r="AH2916">
        <v>0</v>
      </c>
      <c r="AI2916">
        <v>9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8</v>
      </c>
      <c r="AT2916">
        <v>0</v>
      </c>
      <c r="AU2916">
        <v>12</v>
      </c>
      <c r="AV2916">
        <v>13</v>
      </c>
      <c r="AW2916">
        <v>85</v>
      </c>
      <c r="AX2916">
        <v>8</v>
      </c>
      <c r="AY2916">
        <v>43</v>
      </c>
      <c r="AZ2916">
        <v>1</v>
      </c>
      <c r="BA2916" t="s">
        <v>4724</v>
      </c>
      <c r="BB2916" t="s">
        <v>4725</v>
      </c>
      <c r="BC2916">
        <v>0.58699999999999997</v>
      </c>
      <c r="BD2916" t="s">
        <v>65</v>
      </c>
      <c r="BE2916">
        <v>128</v>
      </c>
      <c r="BF2916">
        <v>9</v>
      </c>
      <c r="BG2916" t="s">
        <v>4726</v>
      </c>
      <c r="BH2916" t="s">
        <v>4727</v>
      </c>
      <c r="BI2916" t="s">
        <v>4728</v>
      </c>
      <c r="BJ2916">
        <v>1.4919999999999999E-2</v>
      </c>
      <c r="BK2916">
        <v>1</v>
      </c>
      <c r="BL2916" t="s">
        <v>69</v>
      </c>
      <c r="BM2916">
        <v>-1.288</v>
      </c>
      <c r="BN2916">
        <v>-2.9079999999999999</v>
      </c>
    </row>
    <row r="2917" spans="10:66">
      <c r="J2917">
        <v>0</v>
      </c>
      <c r="K2917">
        <v>2</v>
      </c>
      <c r="L2917">
        <v>2</v>
      </c>
      <c r="M2917" t="s">
        <v>25021</v>
      </c>
      <c r="N2917">
        <v>769</v>
      </c>
      <c r="O2917" t="s">
        <v>4777</v>
      </c>
      <c r="P2917" t="s">
        <v>62</v>
      </c>
      <c r="Q2917">
        <v>803320</v>
      </c>
      <c r="R2917">
        <v>804546</v>
      </c>
      <c r="S2917" t="s">
        <v>2641</v>
      </c>
      <c r="T2917">
        <v>409</v>
      </c>
      <c r="U2917" t="s">
        <v>108</v>
      </c>
      <c r="V2917">
        <v>44</v>
      </c>
      <c r="W2917" t="str">
        <f>HYPERLINK("Gene769-zp_tree_all.dnd", "Gene769-tree")</f>
        <v>Gene769-tree</v>
      </c>
      <c r="X2917">
        <v>10</v>
      </c>
      <c r="Y2917">
        <v>4</v>
      </c>
      <c r="Z2917">
        <v>10</v>
      </c>
      <c r="AA2917">
        <v>4</v>
      </c>
      <c r="AB2917">
        <v>0.28571000000000002</v>
      </c>
      <c r="AC2917" t="s">
        <v>117</v>
      </c>
      <c r="AD2917" t="s">
        <v>61</v>
      </c>
      <c r="AE2917" t="s">
        <v>62</v>
      </c>
      <c r="AF2917" t="s">
        <v>62</v>
      </c>
      <c r="AG2917">
        <v>2</v>
      </c>
      <c r="AH2917">
        <v>4</v>
      </c>
      <c r="AI2917">
        <v>7</v>
      </c>
      <c r="AJ2917">
        <v>0.36364000000000002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2</v>
      </c>
      <c r="AR2917">
        <v>2</v>
      </c>
      <c r="AS2917">
        <v>4</v>
      </c>
      <c r="AT2917">
        <v>0.33333000000000002</v>
      </c>
      <c r="AU2917">
        <v>11</v>
      </c>
      <c r="AV2917">
        <v>10</v>
      </c>
      <c r="AW2917">
        <v>49</v>
      </c>
      <c r="AX2917">
        <v>6</v>
      </c>
      <c r="AY2917">
        <v>32</v>
      </c>
      <c r="AZ2917">
        <v>5</v>
      </c>
      <c r="BA2917" t="s">
        <v>4778</v>
      </c>
      <c r="BB2917" t="s">
        <v>4779</v>
      </c>
      <c r="BC2917">
        <v>0.14499999999999999</v>
      </c>
      <c r="BD2917" t="s">
        <v>65</v>
      </c>
      <c r="BE2917">
        <v>81</v>
      </c>
      <c r="BF2917">
        <v>11</v>
      </c>
      <c r="BG2917" t="s">
        <v>4780</v>
      </c>
      <c r="BH2917" t="s">
        <v>4781</v>
      </c>
      <c r="BI2917" t="s">
        <v>4782</v>
      </c>
      <c r="BJ2917">
        <v>5.151E-2</v>
      </c>
      <c r="BK2917">
        <v>1</v>
      </c>
      <c r="BL2917" t="s">
        <v>69</v>
      </c>
      <c r="BM2917">
        <v>-0.623</v>
      </c>
      <c r="BN2917">
        <v>-1.6559999999999999</v>
      </c>
    </row>
    <row r="2918" spans="10:66">
      <c r="J2918">
        <v>0</v>
      </c>
      <c r="K2918">
        <v>6</v>
      </c>
      <c r="L2918">
        <v>0</v>
      </c>
      <c r="M2918" t="s">
        <v>25021</v>
      </c>
      <c r="N2918">
        <v>770</v>
      </c>
      <c r="O2918" t="s">
        <v>4783</v>
      </c>
      <c r="P2918" t="s">
        <v>62</v>
      </c>
      <c r="Q2918">
        <v>804660</v>
      </c>
      <c r="R2918">
        <v>805364</v>
      </c>
      <c r="S2918" t="s">
        <v>4784</v>
      </c>
      <c r="T2918">
        <v>235</v>
      </c>
      <c r="U2918" t="s">
        <v>108</v>
      </c>
      <c r="V2918">
        <v>44</v>
      </c>
      <c r="W2918" t="str">
        <f>HYPERLINK("Gene770-zp_tree_all.dnd", "Gene770-tree")</f>
        <v>Gene770-tree</v>
      </c>
      <c r="X2918">
        <v>1</v>
      </c>
      <c r="Y2918">
        <v>11</v>
      </c>
      <c r="Z2918">
        <v>1</v>
      </c>
      <c r="AA2918">
        <v>11</v>
      </c>
      <c r="AB2918">
        <v>0.91666999999999998</v>
      </c>
      <c r="AC2918" t="s">
        <v>175</v>
      </c>
      <c r="AD2918" t="s">
        <v>73</v>
      </c>
      <c r="AE2918">
        <v>1144612630.289</v>
      </c>
      <c r="AF2918" t="s">
        <v>267</v>
      </c>
      <c r="AG2918">
        <v>3</v>
      </c>
      <c r="AH2918">
        <v>6</v>
      </c>
      <c r="AI2918">
        <v>15</v>
      </c>
      <c r="AJ2918">
        <v>0.28571000000000002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4</v>
      </c>
      <c r="AQ2918">
        <v>0</v>
      </c>
      <c r="AR2918">
        <v>4</v>
      </c>
      <c r="AS2918">
        <v>16</v>
      </c>
      <c r="AT2918">
        <v>0.2</v>
      </c>
      <c r="AU2918">
        <v>10</v>
      </c>
      <c r="AV2918">
        <v>6</v>
      </c>
      <c r="AW2918">
        <v>26</v>
      </c>
      <c r="AX2918">
        <v>17</v>
      </c>
      <c r="AY2918">
        <v>14</v>
      </c>
      <c r="AZ2918">
        <v>4</v>
      </c>
      <c r="BA2918" t="s">
        <v>4785</v>
      </c>
      <c r="BB2918" t="s">
        <v>4786</v>
      </c>
      <c r="BC2918">
        <v>1.0629999999999999</v>
      </c>
      <c r="BD2918" t="s">
        <v>65</v>
      </c>
      <c r="BE2918">
        <v>40</v>
      </c>
      <c r="BF2918">
        <v>21</v>
      </c>
      <c r="BG2918" t="s">
        <v>4787</v>
      </c>
      <c r="BH2918" t="s">
        <v>4788</v>
      </c>
      <c r="BI2918" t="s">
        <v>4789</v>
      </c>
      <c r="BJ2918">
        <v>0.13453999999999999</v>
      </c>
      <c r="BK2918">
        <v>1</v>
      </c>
      <c r="BL2918" t="s">
        <v>69</v>
      </c>
      <c r="BM2918">
        <v>-0.74099999999999999</v>
      </c>
      <c r="BN2918">
        <v>-2.161</v>
      </c>
    </row>
    <row r="2919" spans="10:66">
      <c r="J2919">
        <v>0</v>
      </c>
      <c r="K2919">
        <v>8</v>
      </c>
      <c r="L2919">
        <v>0</v>
      </c>
      <c r="M2919" t="s">
        <v>25021</v>
      </c>
      <c r="N2919">
        <v>771</v>
      </c>
      <c r="O2919" t="s">
        <v>4790</v>
      </c>
      <c r="P2919" t="s">
        <v>62</v>
      </c>
      <c r="Q2919">
        <v>805459</v>
      </c>
      <c r="R2919">
        <v>806841</v>
      </c>
      <c r="S2919" t="s">
        <v>4791</v>
      </c>
      <c r="T2919">
        <v>461</v>
      </c>
      <c r="U2919" t="s">
        <v>289</v>
      </c>
      <c r="V2919">
        <v>46</v>
      </c>
      <c r="W2919" t="str">
        <f>HYPERLINK("Gene771-zp_tree_all.dnd", "Gene771-tree")</f>
        <v>Gene771-tree</v>
      </c>
      <c r="X2919">
        <v>11</v>
      </c>
      <c r="Y2919">
        <v>5</v>
      </c>
      <c r="Z2919">
        <v>11</v>
      </c>
      <c r="AA2919">
        <v>5</v>
      </c>
      <c r="AB2919">
        <v>0.3125</v>
      </c>
      <c r="AC2919" t="s">
        <v>73</v>
      </c>
      <c r="AD2919" t="s">
        <v>199</v>
      </c>
      <c r="AE2919" t="s">
        <v>62</v>
      </c>
      <c r="AF2919" t="s">
        <v>62</v>
      </c>
      <c r="AG2919">
        <v>3</v>
      </c>
      <c r="AH2919">
        <v>8</v>
      </c>
      <c r="AI2919">
        <v>9</v>
      </c>
      <c r="AJ2919">
        <v>0.47059000000000001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7</v>
      </c>
      <c r="AT2919">
        <v>0</v>
      </c>
      <c r="AU2919">
        <v>14</v>
      </c>
      <c r="AV2919">
        <v>12</v>
      </c>
      <c r="AW2919">
        <v>57</v>
      </c>
      <c r="AX2919">
        <v>7</v>
      </c>
      <c r="AY2919">
        <v>85</v>
      </c>
      <c r="AZ2919">
        <v>10</v>
      </c>
      <c r="BA2919" t="s">
        <v>4792</v>
      </c>
      <c r="BB2919" t="s">
        <v>4793</v>
      </c>
      <c r="BC2919">
        <v>3.7999999999999999E-2</v>
      </c>
      <c r="BD2919" t="s">
        <v>65</v>
      </c>
      <c r="BE2919">
        <v>142</v>
      </c>
      <c r="BF2919">
        <v>17</v>
      </c>
      <c r="BG2919" t="s">
        <v>4794</v>
      </c>
      <c r="BH2919" t="s">
        <v>4795</v>
      </c>
      <c r="BI2919" t="s">
        <v>4796</v>
      </c>
      <c r="BJ2919">
        <v>3.4770000000000002E-2</v>
      </c>
      <c r="BK2919">
        <v>1</v>
      </c>
      <c r="BL2919" t="s">
        <v>69</v>
      </c>
      <c r="BM2919">
        <v>-1.2969999999999999</v>
      </c>
      <c r="BN2919">
        <v>-1.4379999999999999</v>
      </c>
    </row>
    <row r="2920" spans="10:66">
      <c r="J2920">
        <v>0</v>
      </c>
      <c r="K2920">
        <v>2</v>
      </c>
      <c r="L2920">
        <v>0</v>
      </c>
      <c r="M2920" t="s">
        <v>25021</v>
      </c>
      <c r="N2920">
        <v>779</v>
      </c>
      <c r="O2920" t="s">
        <v>4844</v>
      </c>
      <c r="P2920" t="s">
        <v>62</v>
      </c>
      <c r="Q2920">
        <v>814387</v>
      </c>
      <c r="R2920">
        <v>815940</v>
      </c>
      <c r="S2920" t="s">
        <v>3951</v>
      </c>
      <c r="T2920">
        <v>518</v>
      </c>
      <c r="U2920" t="s">
        <v>108</v>
      </c>
      <c r="V2920">
        <v>44</v>
      </c>
      <c r="W2920" t="str">
        <f>HYPERLINK("Gene779-zp_tree_all.dnd", "Gene779-tree")</f>
        <v>Gene779-tree</v>
      </c>
      <c r="X2920">
        <v>10</v>
      </c>
      <c r="Y2920">
        <v>6</v>
      </c>
      <c r="Z2920">
        <v>10</v>
      </c>
      <c r="AA2920">
        <v>6</v>
      </c>
      <c r="AB2920">
        <v>0.375</v>
      </c>
      <c r="AC2920" t="s">
        <v>117</v>
      </c>
      <c r="AD2920" t="s">
        <v>90</v>
      </c>
      <c r="AE2920" t="s">
        <v>62</v>
      </c>
      <c r="AF2920" t="s">
        <v>62</v>
      </c>
      <c r="AG2920">
        <v>1</v>
      </c>
      <c r="AH2920">
        <v>2</v>
      </c>
      <c r="AI2920">
        <v>6</v>
      </c>
      <c r="AJ2920">
        <v>0.25</v>
      </c>
      <c r="AK2920">
        <v>0</v>
      </c>
      <c r="AL2920">
        <v>0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6</v>
      </c>
      <c r="AT2920">
        <v>0</v>
      </c>
      <c r="AU2920">
        <v>11</v>
      </c>
      <c r="AV2920">
        <v>13</v>
      </c>
      <c r="AW2920">
        <v>91</v>
      </c>
      <c r="AX2920">
        <v>4</v>
      </c>
      <c r="AY2920">
        <v>69</v>
      </c>
      <c r="AZ2920">
        <v>4</v>
      </c>
      <c r="BA2920" t="s">
        <v>4845</v>
      </c>
      <c r="BB2920" t="s">
        <v>4846</v>
      </c>
      <c r="BC2920">
        <v>0.26200000000000001</v>
      </c>
      <c r="BD2920" t="s">
        <v>65</v>
      </c>
      <c r="BE2920">
        <v>160</v>
      </c>
      <c r="BF2920">
        <v>8</v>
      </c>
      <c r="BG2920" t="s">
        <v>4847</v>
      </c>
      <c r="BH2920" t="s">
        <v>4848</v>
      </c>
      <c r="BI2920" t="s">
        <v>4849</v>
      </c>
      <c r="BJ2920">
        <v>1.333E-2</v>
      </c>
      <c r="BK2920">
        <v>1</v>
      </c>
      <c r="BL2920" t="s">
        <v>69</v>
      </c>
      <c r="BM2920">
        <v>-0.36799999999999999</v>
      </c>
      <c r="BN2920">
        <v>-1.4750000000000001</v>
      </c>
    </row>
    <row r="2921" spans="10:66">
      <c r="J2921">
        <v>0</v>
      </c>
      <c r="K2921">
        <v>2</v>
      </c>
      <c r="L2921">
        <v>2</v>
      </c>
      <c r="M2921" t="s">
        <v>25021</v>
      </c>
      <c r="N2921">
        <v>782</v>
      </c>
      <c r="O2921" t="s">
        <v>4864</v>
      </c>
      <c r="P2921" t="s">
        <v>62</v>
      </c>
      <c r="Q2921">
        <v>817813</v>
      </c>
      <c r="R2921">
        <v>818829</v>
      </c>
      <c r="S2921" t="s">
        <v>1940</v>
      </c>
      <c r="T2921">
        <v>339</v>
      </c>
      <c r="U2921" t="s">
        <v>1933</v>
      </c>
      <c r="V2921">
        <v>39</v>
      </c>
      <c r="W2921" t="str">
        <f>HYPERLINK("Gene782-zp_tree_all.dnd", "Gene782-tree")</f>
        <v>Gene782-tree</v>
      </c>
      <c r="X2921">
        <v>4</v>
      </c>
      <c r="Y2921">
        <v>7</v>
      </c>
      <c r="Z2921">
        <v>4</v>
      </c>
      <c r="AA2921">
        <v>7</v>
      </c>
      <c r="AB2921">
        <v>0.63636000000000004</v>
      </c>
      <c r="AC2921" t="s">
        <v>61</v>
      </c>
      <c r="AD2921" t="s">
        <v>152</v>
      </c>
      <c r="AE2921" t="s">
        <v>62</v>
      </c>
      <c r="AF2921" t="s">
        <v>62</v>
      </c>
      <c r="AG2921">
        <v>2</v>
      </c>
      <c r="AH2921">
        <v>4</v>
      </c>
      <c r="AI2921">
        <v>14</v>
      </c>
      <c r="AJ2921">
        <v>0.22222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2</v>
      </c>
      <c r="AR2921">
        <v>2</v>
      </c>
      <c r="AS2921">
        <v>11</v>
      </c>
      <c r="AT2921">
        <v>0.15384999999999999</v>
      </c>
      <c r="AU2921">
        <v>8</v>
      </c>
      <c r="AV2921">
        <v>8</v>
      </c>
      <c r="AW2921">
        <v>38</v>
      </c>
      <c r="AX2921">
        <v>11</v>
      </c>
      <c r="AY2921">
        <v>22</v>
      </c>
      <c r="AZ2921">
        <v>7</v>
      </c>
      <c r="BA2921" t="s">
        <v>4865</v>
      </c>
      <c r="BB2921" t="s">
        <v>4866</v>
      </c>
      <c r="BC2921">
        <v>0.108</v>
      </c>
      <c r="BD2921" t="s">
        <v>65</v>
      </c>
      <c r="BE2921">
        <v>60</v>
      </c>
      <c r="BF2921">
        <v>18</v>
      </c>
      <c r="BG2921" t="s">
        <v>4867</v>
      </c>
      <c r="BH2921" t="s">
        <v>4868</v>
      </c>
      <c r="BI2921" t="s">
        <v>4869</v>
      </c>
      <c r="BJ2921">
        <v>9.9959999999999993E-2</v>
      </c>
      <c r="BK2921">
        <v>1</v>
      </c>
      <c r="BL2921" t="s">
        <v>69</v>
      </c>
      <c r="BM2921">
        <v>-1.083</v>
      </c>
      <c r="BN2921">
        <v>-1.9990000000000001</v>
      </c>
    </row>
    <row r="2922" spans="10:66">
      <c r="J2922">
        <v>0</v>
      </c>
      <c r="K2922">
        <v>0</v>
      </c>
      <c r="L2922">
        <v>0</v>
      </c>
      <c r="M2922" t="s">
        <v>25021</v>
      </c>
      <c r="N2922">
        <v>783</v>
      </c>
      <c r="O2922" t="s">
        <v>4870</v>
      </c>
      <c r="P2922" t="s">
        <v>62</v>
      </c>
      <c r="Q2922">
        <v>819314</v>
      </c>
      <c r="R2922">
        <v>820531</v>
      </c>
      <c r="S2922" t="s">
        <v>2641</v>
      </c>
      <c r="T2922">
        <v>406</v>
      </c>
      <c r="U2922" t="s">
        <v>4871</v>
      </c>
      <c r="V2922">
        <v>27</v>
      </c>
      <c r="W2922" t="str">
        <f>HYPERLINK("Gene783-zp_tree_all.dnd", "Gene783-tree")</f>
        <v>Gene783-tree</v>
      </c>
      <c r="X2922">
        <v>3</v>
      </c>
      <c r="Y2922">
        <v>20</v>
      </c>
      <c r="Z2922">
        <v>3</v>
      </c>
      <c r="AA2922">
        <v>2</v>
      </c>
      <c r="AB2922">
        <v>0.4</v>
      </c>
      <c r="AC2922" t="s">
        <v>324</v>
      </c>
      <c r="AD2922" t="s">
        <v>4872</v>
      </c>
      <c r="AE2922">
        <v>6.5170000000000003</v>
      </c>
      <c r="AF2922" t="s">
        <v>65</v>
      </c>
      <c r="AG2922">
        <v>0</v>
      </c>
      <c r="AH2922">
        <v>0</v>
      </c>
      <c r="AI2922">
        <v>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6</v>
      </c>
      <c r="AT2922">
        <v>0</v>
      </c>
      <c r="AU2922">
        <v>4</v>
      </c>
      <c r="AV2922">
        <v>0</v>
      </c>
      <c r="AW2922">
        <v>15</v>
      </c>
      <c r="AX2922">
        <v>6</v>
      </c>
      <c r="AY2922">
        <v>0</v>
      </c>
      <c r="AZ2922">
        <v>0</v>
      </c>
      <c r="BA2922" t="s">
        <v>4873</v>
      </c>
      <c r="BB2922" t="s">
        <v>193</v>
      </c>
      <c r="BC2922">
        <v>0.50600000000000001</v>
      </c>
      <c r="BD2922" t="s">
        <v>65</v>
      </c>
      <c r="BE2922">
        <v>15</v>
      </c>
      <c r="BF2922">
        <v>6</v>
      </c>
      <c r="BG2922" t="s">
        <v>4874</v>
      </c>
      <c r="BH2922" t="s">
        <v>4875</v>
      </c>
      <c r="BI2922" t="s">
        <v>4876</v>
      </c>
      <c r="BJ2922">
        <v>0.11655</v>
      </c>
      <c r="BK2922">
        <v>1</v>
      </c>
      <c r="BL2922" t="s">
        <v>69</v>
      </c>
      <c r="BM2922">
        <v>-2.1880000000000002</v>
      </c>
      <c r="BN2922">
        <v>-3.5529999999999999</v>
      </c>
    </row>
    <row r="2923" spans="10:66">
      <c r="J2923">
        <v>0</v>
      </c>
      <c r="K2923">
        <v>0</v>
      </c>
      <c r="L2923">
        <v>2</v>
      </c>
      <c r="M2923" t="s">
        <v>25021</v>
      </c>
      <c r="N2923">
        <v>785</v>
      </c>
      <c r="O2923" t="s">
        <v>4877</v>
      </c>
      <c r="P2923" t="s">
        <v>62</v>
      </c>
      <c r="Q2923">
        <v>822906</v>
      </c>
      <c r="R2923">
        <v>823703</v>
      </c>
      <c r="S2923" t="s">
        <v>4878</v>
      </c>
      <c r="T2923">
        <v>266</v>
      </c>
      <c r="U2923" t="s">
        <v>4879</v>
      </c>
      <c r="V2923">
        <v>40</v>
      </c>
      <c r="W2923" t="str">
        <f>HYPERLINK("Gene785-zp_tree_all.dnd", "Gene785-tree")</f>
        <v>Gene785-tree</v>
      </c>
      <c r="X2923">
        <v>10</v>
      </c>
      <c r="Y2923">
        <v>5</v>
      </c>
      <c r="Z2923">
        <v>10</v>
      </c>
      <c r="AA2923">
        <v>5</v>
      </c>
      <c r="AB2923">
        <v>0.33333000000000002</v>
      </c>
      <c r="AC2923" t="s">
        <v>117</v>
      </c>
      <c r="AD2923" t="s">
        <v>199</v>
      </c>
      <c r="AE2923" t="s">
        <v>62</v>
      </c>
      <c r="AF2923" t="s">
        <v>62</v>
      </c>
      <c r="AG2923">
        <v>1</v>
      </c>
      <c r="AH2923">
        <v>2</v>
      </c>
      <c r="AI2923">
        <v>6</v>
      </c>
      <c r="AJ2923">
        <v>0.25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2</v>
      </c>
      <c r="AR2923">
        <v>2</v>
      </c>
      <c r="AS2923">
        <v>6</v>
      </c>
      <c r="AT2923">
        <v>0.25</v>
      </c>
      <c r="AU2923">
        <v>12</v>
      </c>
      <c r="AV2923">
        <v>11</v>
      </c>
      <c r="AW2923">
        <v>47</v>
      </c>
      <c r="AX2923">
        <v>8</v>
      </c>
      <c r="AY2923">
        <v>29</v>
      </c>
      <c r="AZ2923">
        <v>0</v>
      </c>
      <c r="BA2923" t="s">
        <v>4880</v>
      </c>
      <c r="BB2923" t="s">
        <v>193</v>
      </c>
      <c r="BC2923">
        <v>0.752</v>
      </c>
      <c r="BD2923" t="s">
        <v>65</v>
      </c>
      <c r="BE2923">
        <v>76</v>
      </c>
      <c r="BF2923">
        <v>8</v>
      </c>
      <c r="BG2923" t="s">
        <v>4881</v>
      </c>
      <c r="BH2923" t="s">
        <v>4882</v>
      </c>
      <c r="BI2923" t="s">
        <v>4883</v>
      </c>
      <c r="BJ2923">
        <v>2.239E-2</v>
      </c>
      <c r="BK2923">
        <v>1</v>
      </c>
      <c r="BL2923" t="s">
        <v>69</v>
      </c>
      <c r="BM2923">
        <v>-1.6579999999999999</v>
      </c>
      <c r="BN2923">
        <v>-2.5419999999999998</v>
      </c>
    </row>
    <row r="2924" spans="10:66">
      <c r="J2924">
        <v>0</v>
      </c>
      <c r="K2924">
        <v>0</v>
      </c>
      <c r="L2924">
        <v>0</v>
      </c>
      <c r="M2924" t="s">
        <v>25021</v>
      </c>
      <c r="N2924">
        <v>786</v>
      </c>
      <c r="O2924" t="s">
        <v>4884</v>
      </c>
      <c r="P2924" t="s">
        <v>62</v>
      </c>
      <c r="Q2924">
        <v>823719</v>
      </c>
      <c r="R2924">
        <v>824717</v>
      </c>
      <c r="S2924" t="s">
        <v>4885</v>
      </c>
      <c r="T2924">
        <v>333</v>
      </c>
      <c r="U2924" t="s">
        <v>1933</v>
      </c>
      <c r="V2924">
        <v>39</v>
      </c>
      <c r="W2924" t="str">
        <f>HYPERLINK("Gene786-zp_tree_all.dnd", "Gene786-tree")</f>
        <v>Gene786-tree</v>
      </c>
      <c r="X2924">
        <v>9</v>
      </c>
      <c r="Y2924">
        <v>4</v>
      </c>
      <c r="Z2924">
        <v>9</v>
      </c>
      <c r="AA2924">
        <v>4</v>
      </c>
      <c r="AB2924">
        <v>0.30769000000000002</v>
      </c>
      <c r="AC2924" t="s">
        <v>135</v>
      </c>
      <c r="AD2924" t="s">
        <v>61</v>
      </c>
      <c r="AE2924" t="s">
        <v>62</v>
      </c>
      <c r="AF2924" t="s">
        <v>62</v>
      </c>
      <c r="AG2924">
        <v>0</v>
      </c>
      <c r="AH2924">
        <v>0</v>
      </c>
      <c r="AI2924">
        <v>7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4</v>
      </c>
      <c r="AT2924">
        <v>0</v>
      </c>
      <c r="AU2924">
        <v>11</v>
      </c>
      <c r="AV2924">
        <v>10</v>
      </c>
      <c r="AW2924">
        <v>44</v>
      </c>
      <c r="AX2924">
        <v>4</v>
      </c>
      <c r="AY2924">
        <v>17</v>
      </c>
      <c r="AZ2924">
        <v>3</v>
      </c>
      <c r="BA2924" t="s">
        <v>4886</v>
      </c>
      <c r="BB2924" t="s">
        <v>4887</v>
      </c>
      <c r="BC2924">
        <v>0.54900000000000004</v>
      </c>
      <c r="BD2924" t="s">
        <v>65</v>
      </c>
      <c r="BE2924">
        <v>61</v>
      </c>
      <c r="BF2924">
        <v>7</v>
      </c>
      <c r="BG2924" t="s">
        <v>4888</v>
      </c>
      <c r="BH2924" t="s">
        <v>4889</v>
      </c>
      <c r="BI2924" t="s">
        <v>4890</v>
      </c>
      <c r="BJ2924">
        <v>5.7849999999999999E-2</v>
      </c>
      <c r="BK2924">
        <v>1</v>
      </c>
      <c r="BL2924" t="s">
        <v>69</v>
      </c>
      <c r="BM2924">
        <v>-0.40200000000000002</v>
      </c>
      <c r="BN2924">
        <v>-0.26400000000000001</v>
      </c>
    </row>
    <row r="2925" spans="10:66">
      <c r="J2925">
        <v>0</v>
      </c>
      <c r="K2925">
        <v>2</v>
      </c>
      <c r="L2925">
        <v>0</v>
      </c>
      <c r="M2925" t="s">
        <v>25021</v>
      </c>
      <c r="N2925">
        <v>787</v>
      </c>
      <c r="O2925" t="s">
        <v>4891</v>
      </c>
      <c r="P2925" t="s">
        <v>62</v>
      </c>
      <c r="Q2925">
        <v>824717</v>
      </c>
      <c r="R2925">
        <v>825715</v>
      </c>
      <c r="S2925" t="s">
        <v>4885</v>
      </c>
      <c r="T2925">
        <v>333</v>
      </c>
      <c r="U2925" t="s">
        <v>1933</v>
      </c>
      <c r="V2925">
        <v>39</v>
      </c>
      <c r="W2925" t="str">
        <f>HYPERLINK("Gene787-zp_tree_all.dnd", "Gene787-tree")</f>
        <v>Gene787-tree</v>
      </c>
      <c r="X2925">
        <v>10</v>
      </c>
      <c r="Y2925">
        <v>6</v>
      </c>
      <c r="Z2925">
        <v>10</v>
      </c>
      <c r="AA2925">
        <v>6</v>
      </c>
      <c r="AB2925">
        <v>0.375</v>
      </c>
      <c r="AC2925" t="s">
        <v>117</v>
      </c>
      <c r="AD2925" t="s">
        <v>90</v>
      </c>
      <c r="AE2925" t="s">
        <v>62</v>
      </c>
      <c r="AF2925" t="s">
        <v>62</v>
      </c>
      <c r="AG2925">
        <v>1</v>
      </c>
      <c r="AH2925">
        <v>2</v>
      </c>
      <c r="AI2925">
        <v>6</v>
      </c>
      <c r="AJ2925">
        <v>0.25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6</v>
      </c>
      <c r="AT2925">
        <v>0</v>
      </c>
      <c r="AU2925">
        <v>12</v>
      </c>
      <c r="AV2925">
        <v>12</v>
      </c>
      <c r="AW2925">
        <v>23</v>
      </c>
      <c r="AX2925">
        <v>5</v>
      </c>
      <c r="AY2925">
        <v>15</v>
      </c>
      <c r="AZ2925">
        <v>3</v>
      </c>
      <c r="BA2925" t="s">
        <v>4892</v>
      </c>
      <c r="BB2925" t="s">
        <v>4893</v>
      </c>
      <c r="BC2925">
        <v>6.8000000000000005E-2</v>
      </c>
      <c r="BD2925" t="s">
        <v>65</v>
      </c>
      <c r="BE2925">
        <v>38</v>
      </c>
      <c r="BF2925">
        <v>8</v>
      </c>
      <c r="BG2925" t="s">
        <v>4894</v>
      </c>
      <c r="BH2925" t="s">
        <v>4895</v>
      </c>
      <c r="BI2925" t="s">
        <v>4896</v>
      </c>
      <c r="BJ2925">
        <v>6.7379999999999995E-2</v>
      </c>
      <c r="BK2925">
        <v>1</v>
      </c>
      <c r="BL2925" t="s">
        <v>69</v>
      </c>
      <c r="BM2925">
        <v>0.183</v>
      </c>
      <c r="BN2925">
        <v>-0.60399999999999998</v>
      </c>
    </row>
    <row r="2926" spans="10:66">
      <c r="J2926">
        <v>0</v>
      </c>
      <c r="K2926">
        <v>8</v>
      </c>
      <c r="L2926">
        <v>0</v>
      </c>
      <c r="M2926" t="s">
        <v>25021</v>
      </c>
      <c r="N2926">
        <v>788</v>
      </c>
      <c r="O2926" t="s">
        <v>4897</v>
      </c>
      <c r="P2926" t="s">
        <v>62</v>
      </c>
      <c r="Q2926">
        <v>825790</v>
      </c>
      <c r="R2926">
        <v>826734</v>
      </c>
      <c r="S2926" t="s">
        <v>4898</v>
      </c>
      <c r="T2926">
        <v>315</v>
      </c>
      <c r="U2926" t="s">
        <v>3479</v>
      </c>
      <c r="V2926">
        <v>41</v>
      </c>
      <c r="W2926" t="str">
        <f>HYPERLINK("Gene788-zp_tree_all.dnd", "Gene788-tree")</f>
        <v>Gene788-tree</v>
      </c>
      <c r="X2926">
        <v>5</v>
      </c>
      <c r="Y2926">
        <v>10</v>
      </c>
      <c r="Z2926">
        <v>5</v>
      </c>
      <c r="AA2926">
        <v>10</v>
      </c>
      <c r="AB2926">
        <v>0.66666999999999998</v>
      </c>
      <c r="AC2926" t="s">
        <v>199</v>
      </c>
      <c r="AD2926" t="s">
        <v>117</v>
      </c>
      <c r="AE2926" t="s">
        <v>62</v>
      </c>
      <c r="AF2926" t="s">
        <v>62</v>
      </c>
      <c r="AG2926">
        <v>3</v>
      </c>
      <c r="AH2926">
        <v>8</v>
      </c>
      <c r="AI2926">
        <v>16</v>
      </c>
      <c r="AJ2926">
        <v>0.33333000000000002</v>
      </c>
      <c r="AK2926">
        <v>0</v>
      </c>
      <c r="AL2926">
        <v>0</v>
      </c>
      <c r="AM2926">
        <v>0</v>
      </c>
      <c r="AN2926">
        <v>2</v>
      </c>
      <c r="AO2926">
        <v>0</v>
      </c>
      <c r="AP2926">
        <v>6</v>
      </c>
      <c r="AQ2926">
        <v>0</v>
      </c>
      <c r="AR2926">
        <v>6</v>
      </c>
      <c r="AS2926">
        <v>9</v>
      </c>
      <c r="AT2926">
        <v>0.4</v>
      </c>
      <c r="AU2926">
        <v>13</v>
      </c>
      <c r="AV2926">
        <v>9</v>
      </c>
      <c r="AW2926">
        <v>27</v>
      </c>
      <c r="AX2926">
        <v>15</v>
      </c>
      <c r="AY2926">
        <v>30</v>
      </c>
      <c r="AZ2926">
        <v>9</v>
      </c>
      <c r="BA2926" t="s">
        <v>4899</v>
      </c>
      <c r="BB2926" t="s">
        <v>4900</v>
      </c>
      <c r="BC2926">
        <v>0.39600000000000002</v>
      </c>
      <c r="BD2926" t="s">
        <v>65</v>
      </c>
      <c r="BE2926">
        <v>57</v>
      </c>
      <c r="BF2926">
        <v>24</v>
      </c>
      <c r="BG2926" t="s">
        <v>4901</v>
      </c>
      <c r="BH2926" t="s">
        <v>4902</v>
      </c>
      <c r="BI2926" t="s">
        <v>4903</v>
      </c>
      <c r="BJ2926">
        <v>0.1017</v>
      </c>
      <c r="BK2926">
        <v>1</v>
      </c>
      <c r="BL2926" t="s">
        <v>69</v>
      </c>
      <c r="BM2926">
        <v>-1.387</v>
      </c>
      <c r="BN2926">
        <v>-0.59799999999999998</v>
      </c>
    </row>
    <row r="2927" spans="10:66">
      <c r="J2927">
        <v>0</v>
      </c>
      <c r="K2927">
        <v>0</v>
      </c>
      <c r="L2927">
        <v>0</v>
      </c>
      <c r="M2927" t="s">
        <v>25021</v>
      </c>
      <c r="N2927">
        <v>789</v>
      </c>
      <c r="O2927" t="s">
        <v>4904</v>
      </c>
      <c r="P2927" t="s">
        <v>62</v>
      </c>
      <c r="Q2927">
        <v>826846</v>
      </c>
      <c r="R2927">
        <v>827211</v>
      </c>
      <c r="S2927" t="s">
        <v>288</v>
      </c>
      <c r="T2927">
        <v>122</v>
      </c>
      <c r="U2927" t="s">
        <v>1933</v>
      </c>
      <c r="V2927">
        <v>39</v>
      </c>
      <c r="W2927" t="str">
        <f>HYPERLINK("Gene789-zp_tree_all.dnd", "Gene789-tree")</f>
        <v>Gene789-tree</v>
      </c>
      <c r="X2927">
        <v>32</v>
      </c>
      <c r="Y2927">
        <v>3</v>
      </c>
      <c r="Z2927">
        <v>2</v>
      </c>
      <c r="AA2927">
        <v>3</v>
      </c>
      <c r="AB2927">
        <v>0.6</v>
      </c>
      <c r="AC2927" t="s">
        <v>4905</v>
      </c>
      <c r="AD2927" t="s">
        <v>324</v>
      </c>
      <c r="AE2927" t="s">
        <v>62</v>
      </c>
      <c r="AF2927" t="s">
        <v>62</v>
      </c>
      <c r="AG2927">
        <v>0</v>
      </c>
      <c r="AH2927">
        <v>0</v>
      </c>
      <c r="AI2927">
        <v>3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3</v>
      </c>
      <c r="AT2927">
        <v>0</v>
      </c>
      <c r="AU2927">
        <v>4</v>
      </c>
      <c r="AV2927">
        <v>0</v>
      </c>
      <c r="AW2927">
        <v>4</v>
      </c>
      <c r="AX2927">
        <v>3</v>
      </c>
      <c r="AY2927">
        <v>0</v>
      </c>
      <c r="AZ2927">
        <v>0</v>
      </c>
      <c r="BA2927" t="s">
        <v>4906</v>
      </c>
      <c r="BB2927" t="s">
        <v>193</v>
      </c>
      <c r="BC2927">
        <v>2.387</v>
      </c>
      <c r="BD2927" t="s">
        <v>267</v>
      </c>
      <c r="BE2927">
        <v>4</v>
      </c>
      <c r="BF2927">
        <v>3</v>
      </c>
      <c r="BG2927" t="s">
        <v>4907</v>
      </c>
      <c r="BH2927" t="s">
        <v>4908</v>
      </c>
      <c r="BI2927" t="s">
        <v>4909</v>
      </c>
      <c r="BJ2927">
        <v>0.19833000000000001</v>
      </c>
      <c r="BK2927">
        <v>0.96299999999999997</v>
      </c>
      <c r="BL2927" t="s">
        <v>69</v>
      </c>
      <c r="BM2927">
        <v>-1.704</v>
      </c>
      <c r="BN2927">
        <v>-0.96299999999999997</v>
      </c>
    </row>
    <row r="2928" spans="10:66">
      <c r="J2928">
        <v>0</v>
      </c>
      <c r="K2928">
        <v>2</v>
      </c>
      <c r="L2928">
        <v>0</v>
      </c>
      <c r="M2928" t="s">
        <v>25021</v>
      </c>
      <c r="N2928">
        <v>799</v>
      </c>
      <c r="O2928" t="s">
        <v>4966</v>
      </c>
      <c r="P2928" t="s">
        <v>62</v>
      </c>
      <c r="Q2928">
        <v>837738</v>
      </c>
      <c r="R2928">
        <v>838010</v>
      </c>
      <c r="S2928" t="s">
        <v>4967</v>
      </c>
      <c r="T2928">
        <v>91</v>
      </c>
      <c r="U2928" t="s">
        <v>108</v>
      </c>
      <c r="V2928">
        <v>44</v>
      </c>
      <c r="W2928" t="str">
        <f>HYPERLINK("Gene799-zp_tree_all.dnd", "Gene799-tree")</f>
        <v>Gene799-tree</v>
      </c>
      <c r="X2928">
        <v>2</v>
      </c>
      <c r="Y2928">
        <v>5</v>
      </c>
      <c r="Z2928">
        <v>2</v>
      </c>
      <c r="AA2928">
        <v>5</v>
      </c>
      <c r="AB2928">
        <v>0.71428999999999998</v>
      </c>
      <c r="AC2928" t="s">
        <v>81</v>
      </c>
      <c r="AD2928" t="s">
        <v>199</v>
      </c>
      <c r="AE2928" t="s">
        <v>62</v>
      </c>
      <c r="AF2928" t="s">
        <v>62</v>
      </c>
      <c r="AG2928">
        <v>1</v>
      </c>
      <c r="AH2928">
        <v>2</v>
      </c>
      <c r="AI2928">
        <v>3</v>
      </c>
      <c r="AJ2928">
        <v>0.4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2</v>
      </c>
      <c r="AQ2928">
        <v>0</v>
      </c>
      <c r="AR2928">
        <v>2</v>
      </c>
      <c r="AS2928">
        <v>3</v>
      </c>
      <c r="AT2928">
        <v>0.4</v>
      </c>
      <c r="AU2928">
        <v>4</v>
      </c>
      <c r="AV2928">
        <v>2</v>
      </c>
      <c r="AW2928">
        <v>0</v>
      </c>
      <c r="AX2928">
        <v>4</v>
      </c>
      <c r="AY2928">
        <v>2</v>
      </c>
      <c r="AZ2928">
        <v>1</v>
      </c>
      <c r="BA2928" t="s">
        <v>193</v>
      </c>
      <c r="BB2928" t="s">
        <v>4968</v>
      </c>
      <c r="BC2928">
        <v>0.70699999999999996</v>
      </c>
      <c r="BD2928" t="s">
        <v>65</v>
      </c>
      <c r="BE2928">
        <v>2</v>
      </c>
      <c r="BF2928">
        <v>5</v>
      </c>
      <c r="BG2928" t="s">
        <v>4969</v>
      </c>
      <c r="BH2928" t="s">
        <v>4970</v>
      </c>
      <c r="BI2928" t="s">
        <v>4971</v>
      </c>
      <c r="BJ2928">
        <v>0.45823000000000003</v>
      </c>
      <c r="BK2928">
        <v>0.7</v>
      </c>
      <c r="BL2928" t="s">
        <v>635</v>
      </c>
      <c r="BM2928">
        <v>-0.76300000000000001</v>
      </c>
      <c r="BN2928">
        <v>-0.49399999999999999</v>
      </c>
    </row>
    <row r="2929" spans="10:66">
      <c r="J2929">
        <v>0</v>
      </c>
      <c r="K2929">
        <v>0</v>
      </c>
      <c r="L2929">
        <v>0</v>
      </c>
      <c r="M2929" t="s">
        <v>25021</v>
      </c>
      <c r="N2929">
        <v>801</v>
      </c>
      <c r="O2929" t="s">
        <v>4979</v>
      </c>
      <c r="P2929" t="s">
        <v>62</v>
      </c>
      <c r="Q2929">
        <v>838786</v>
      </c>
      <c r="R2929">
        <v>838920</v>
      </c>
      <c r="S2929" t="s">
        <v>288</v>
      </c>
      <c r="T2929">
        <v>45</v>
      </c>
      <c r="U2929" t="s">
        <v>59</v>
      </c>
      <c r="V2929">
        <v>49</v>
      </c>
      <c r="W2929" t="str">
        <f>HYPERLINK("Gene801-zp_tree_all.dnd", "Gene801-tree")</f>
        <v>Gene801-tree</v>
      </c>
      <c r="X2929">
        <v>4</v>
      </c>
      <c r="Y2929">
        <v>1</v>
      </c>
      <c r="Z2929">
        <v>4</v>
      </c>
      <c r="AA2929">
        <v>1</v>
      </c>
      <c r="AB2929">
        <v>0.2</v>
      </c>
      <c r="AC2929" t="s">
        <v>61</v>
      </c>
      <c r="AD2929" t="s">
        <v>175</v>
      </c>
      <c r="AE2929" t="s">
        <v>62</v>
      </c>
      <c r="AF2929" t="s">
        <v>62</v>
      </c>
      <c r="AG2929">
        <v>0</v>
      </c>
      <c r="AH2929">
        <v>0</v>
      </c>
      <c r="AI2929">
        <v>2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3</v>
      </c>
      <c r="AV2929">
        <v>2</v>
      </c>
      <c r="AW2929">
        <v>2</v>
      </c>
      <c r="AX2929">
        <v>1</v>
      </c>
      <c r="AY2929">
        <v>2</v>
      </c>
      <c r="AZ2929">
        <v>1</v>
      </c>
      <c r="BA2929" t="s">
        <v>4980</v>
      </c>
      <c r="BB2929" t="s">
        <v>4981</v>
      </c>
      <c r="BC2929">
        <v>0</v>
      </c>
      <c r="BD2929" t="s">
        <v>65</v>
      </c>
      <c r="BE2929">
        <v>4</v>
      </c>
      <c r="BF2929">
        <v>2</v>
      </c>
      <c r="BG2929" t="s">
        <v>4982</v>
      </c>
      <c r="BH2929" t="s">
        <v>4983</v>
      </c>
      <c r="BI2929" t="s">
        <v>4984</v>
      </c>
      <c r="BJ2929">
        <v>0.12501999999999999</v>
      </c>
      <c r="BK2929">
        <v>0.97399999999999998</v>
      </c>
      <c r="BL2929" t="s">
        <v>69</v>
      </c>
      <c r="BM2929">
        <v>-0.32800000000000001</v>
      </c>
      <c r="BN2929">
        <v>-0.308</v>
      </c>
    </row>
    <row r="2930" spans="10:66">
      <c r="J2930">
        <v>0</v>
      </c>
      <c r="K2930">
        <v>0</v>
      </c>
      <c r="L2930">
        <v>0</v>
      </c>
      <c r="M2930" t="s">
        <v>25021</v>
      </c>
      <c r="N2930">
        <v>802</v>
      </c>
      <c r="O2930" t="s">
        <v>4985</v>
      </c>
      <c r="P2930" t="s">
        <v>62</v>
      </c>
      <c r="Q2930">
        <v>839080</v>
      </c>
      <c r="R2930">
        <v>839232</v>
      </c>
      <c r="S2930" t="s">
        <v>4672</v>
      </c>
      <c r="T2930">
        <v>51</v>
      </c>
      <c r="U2930" t="s">
        <v>4986</v>
      </c>
      <c r="V2930">
        <v>44</v>
      </c>
      <c r="W2930" t="str">
        <f>HYPERLINK("Gene802-zp_tree_all.dnd", "Gene802-tree")</f>
        <v>Gene802-tree</v>
      </c>
      <c r="X2930">
        <v>3</v>
      </c>
      <c r="Y2930">
        <v>3</v>
      </c>
      <c r="Z2930">
        <v>3</v>
      </c>
      <c r="AA2930">
        <v>3</v>
      </c>
      <c r="AB2930">
        <v>0.5</v>
      </c>
      <c r="AC2930" t="s">
        <v>324</v>
      </c>
      <c r="AD2930" t="s">
        <v>324</v>
      </c>
      <c r="AE2930" t="s">
        <v>62</v>
      </c>
      <c r="AF2930" t="s">
        <v>62</v>
      </c>
      <c r="AG2930">
        <v>0</v>
      </c>
      <c r="AH2930">
        <v>0</v>
      </c>
      <c r="AI2930">
        <v>4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3</v>
      </c>
      <c r="AT2930">
        <v>0</v>
      </c>
      <c r="AU2930">
        <v>4</v>
      </c>
      <c r="AV2930">
        <v>2</v>
      </c>
      <c r="AW2930">
        <v>3</v>
      </c>
      <c r="AX2930">
        <v>3</v>
      </c>
      <c r="AY2930">
        <v>2</v>
      </c>
      <c r="AZ2930">
        <v>2</v>
      </c>
      <c r="BA2930" t="s">
        <v>4987</v>
      </c>
      <c r="BB2930" t="s">
        <v>4988</v>
      </c>
      <c r="BC2930">
        <v>7.0000000000000001E-3</v>
      </c>
      <c r="BD2930" t="s">
        <v>65</v>
      </c>
      <c r="BE2930">
        <v>5</v>
      </c>
      <c r="BF2930">
        <v>5</v>
      </c>
      <c r="BG2930" t="s">
        <v>4989</v>
      </c>
      <c r="BH2930" t="s">
        <v>4990</v>
      </c>
      <c r="BI2930" t="s">
        <v>4991</v>
      </c>
      <c r="BJ2930">
        <v>0.26756000000000002</v>
      </c>
      <c r="BK2930">
        <v>0.99</v>
      </c>
      <c r="BL2930" t="s">
        <v>69</v>
      </c>
      <c r="BM2930">
        <v>-1.296</v>
      </c>
      <c r="BN2930">
        <v>0.21</v>
      </c>
    </row>
    <row r="2931" spans="10:66">
      <c r="J2931">
        <v>0</v>
      </c>
      <c r="K2931">
        <v>4</v>
      </c>
      <c r="L2931">
        <v>0</v>
      </c>
      <c r="M2931" t="s">
        <v>25021</v>
      </c>
      <c r="N2931">
        <v>803</v>
      </c>
      <c r="O2931" t="s">
        <v>4992</v>
      </c>
      <c r="P2931" t="s">
        <v>62</v>
      </c>
      <c r="Q2931">
        <v>839342</v>
      </c>
      <c r="R2931">
        <v>839653</v>
      </c>
      <c r="S2931" t="s">
        <v>1340</v>
      </c>
      <c r="T2931">
        <v>104</v>
      </c>
      <c r="U2931" t="s">
        <v>108</v>
      </c>
      <c r="V2931">
        <v>44</v>
      </c>
      <c r="W2931" t="str">
        <f>HYPERLINK("Gene803-zp_tree_all.dnd", "Gene803-tree")</f>
        <v>Gene803-tree</v>
      </c>
      <c r="X2931">
        <v>7</v>
      </c>
      <c r="Y2931">
        <v>4</v>
      </c>
      <c r="Z2931">
        <v>7</v>
      </c>
      <c r="AA2931">
        <v>4</v>
      </c>
      <c r="AB2931">
        <v>0.36364000000000002</v>
      </c>
      <c r="AC2931" t="s">
        <v>152</v>
      </c>
      <c r="AD2931" t="s">
        <v>61</v>
      </c>
      <c r="AE2931" t="s">
        <v>62</v>
      </c>
      <c r="AF2931" t="s">
        <v>62</v>
      </c>
      <c r="AG2931">
        <v>2</v>
      </c>
      <c r="AH2931">
        <v>4</v>
      </c>
      <c r="AI2931">
        <v>4</v>
      </c>
      <c r="AJ2931">
        <v>0.5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2</v>
      </c>
      <c r="AQ2931">
        <v>0</v>
      </c>
      <c r="AR2931">
        <v>2</v>
      </c>
      <c r="AS2931">
        <v>4</v>
      </c>
      <c r="AT2931">
        <v>0.33333000000000002</v>
      </c>
      <c r="AU2931">
        <v>7</v>
      </c>
      <c r="AV2931">
        <v>5</v>
      </c>
      <c r="AW2931">
        <v>6</v>
      </c>
      <c r="AX2931">
        <v>6</v>
      </c>
      <c r="AY2931">
        <v>4</v>
      </c>
      <c r="AZ2931">
        <v>2</v>
      </c>
      <c r="BA2931" t="s">
        <v>4993</v>
      </c>
      <c r="BB2931" t="s">
        <v>4994</v>
      </c>
      <c r="BC2931">
        <v>0.72099999999999997</v>
      </c>
      <c r="BD2931" t="s">
        <v>65</v>
      </c>
      <c r="BE2931">
        <v>10</v>
      </c>
      <c r="BF2931">
        <v>8</v>
      </c>
      <c r="BG2931" t="s">
        <v>4995</v>
      </c>
      <c r="BH2931" t="s">
        <v>4996</v>
      </c>
      <c r="BI2931" t="s">
        <v>4997</v>
      </c>
      <c r="BJ2931">
        <v>0.17382</v>
      </c>
      <c r="BK2931">
        <v>0.97899999999999998</v>
      </c>
      <c r="BL2931" t="s">
        <v>69</v>
      </c>
      <c r="BM2931">
        <v>0.14000000000000001</v>
      </c>
      <c r="BN2931">
        <v>-0.33</v>
      </c>
    </row>
    <row r="2932" spans="10:66">
      <c r="J2932">
        <v>0</v>
      </c>
      <c r="K2932">
        <v>0</v>
      </c>
      <c r="L2932">
        <v>0</v>
      </c>
      <c r="M2932" t="s">
        <v>25021</v>
      </c>
      <c r="N2932">
        <v>804</v>
      </c>
      <c r="O2932" t="s">
        <v>4998</v>
      </c>
      <c r="P2932" t="s">
        <v>62</v>
      </c>
      <c r="Q2932">
        <v>839738</v>
      </c>
      <c r="R2932">
        <v>840484</v>
      </c>
      <c r="S2932" t="s">
        <v>4999</v>
      </c>
      <c r="T2932">
        <v>249</v>
      </c>
      <c r="U2932" t="s">
        <v>572</v>
      </c>
      <c r="V2932">
        <v>48</v>
      </c>
      <c r="W2932" t="str">
        <f>HYPERLINK("Gene804-zp_tree_all.dnd", "Gene804-tree")</f>
        <v>Gene804-tree</v>
      </c>
      <c r="X2932">
        <v>31</v>
      </c>
      <c r="Y2932">
        <v>5</v>
      </c>
      <c r="Z2932">
        <v>12</v>
      </c>
      <c r="AA2932">
        <v>5</v>
      </c>
      <c r="AB2932">
        <v>0.29411999999999999</v>
      </c>
      <c r="AC2932" t="s">
        <v>5000</v>
      </c>
      <c r="AD2932" t="s">
        <v>199</v>
      </c>
      <c r="AE2932" t="s">
        <v>62</v>
      </c>
      <c r="AF2932" t="s">
        <v>62</v>
      </c>
      <c r="AG2932">
        <v>0</v>
      </c>
      <c r="AH2932">
        <v>0</v>
      </c>
      <c r="AI2932">
        <v>7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6</v>
      </c>
      <c r="AT2932">
        <v>0</v>
      </c>
      <c r="AU2932">
        <v>15</v>
      </c>
      <c r="AV2932">
        <v>11</v>
      </c>
      <c r="AW2932">
        <v>46</v>
      </c>
      <c r="AX2932">
        <v>6</v>
      </c>
      <c r="AY2932">
        <v>42</v>
      </c>
      <c r="AZ2932">
        <v>1</v>
      </c>
      <c r="BA2932" t="s">
        <v>5001</v>
      </c>
      <c r="BB2932" t="s">
        <v>5002</v>
      </c>
      <c r="BC2932">
        <v>0.76500000000000001</v>
      </c>
      <c r="BD2932" t="s">
        <v>65</v>
      </c>
      <c r="BE2932">
        <v>88</v>
      </c>
      <c r="BF2932">
        <v>7</v>
      </c>
      <c r="BG2932" t="s">
        <v>5003</v>
      </c>
      <c r="BH2932" t="s">
        <v>5004</v>
      </c>
      <c r="BI2932" t="s">
        <v>5005</v>
      </c>
      <c r="BJ2932">
        <v>1.6920000000000001E-2</v>
      </c>
      <c r="BK2932">
        <v>1</v>
      </c>
      <c r="BL2932" t="s">
        <v>69</v>
      </c>
      <c r="BM2932">
        <v>-1.4059999999999999</v>
      </c>
      <c r="BN2932">
        <v>-1.68</v>
      </c>
    </row>
    <row r="2933" spans="10:66">
      <c r="J2933">
        <v>0</v>
      </c>
      <c r="K2933">
        <v>5</v>
      </c>
      <c r="L2933">
        <v>0</v>
      </c>
      <c r="M2933" t="s">
        <v>25021</v>
      </c>
      <c r="N2933">
        <v>806</v>
      </c>
      <c r="O2933" t="s">
        <v>5013</v>
      </c>
      <c r="P2933" t="s">
        <v>62</v>
      </c>
      <c r="Q2933">
        <v>842050</v>
      </c>
      <c r="R2933">
        <v>843996</v>
      </c>
      <c r="S2933" t="s">
        <v>5014</v>
      </c>
      <c r="T2933">
        <v>649</v>
      </c>
      <c r="U2933" t="s">
        <v>59</v>
      </c>
      <c r="V2933">
        <v>49</v>
      </c>
      <c r="W2933" t="str">
        <f>HYPERLINK("Gene806-zp_tree_all.dnd", "Gene806-tree")</f>
        <v>Gene806-tree</v>
      </c>
      <c r="X2933">
        <v>15</v>
      </c>
      <c r="Y2933">
        <v>4</v>
      </c>
      <c r="Z2933">
        <v>15</v>
      </c>
      <c r="AA2933">
        <v>4</v>
      </c>
      <c r="AB2933">
        <v>0.21052999999999999</v>
      </c>
      <c r="AC2933" t="s">
        <v>100</v>
      </c>
      <c r="AD2933" t="s">
        <v>61</v>
      </c>
      <c r="AE2933" t="s">
        <v>62</v>
      </c>
      <c r="AF2933" t="s">
        <v>62</v>
      </c>
      <c r="AG2933">
        <v>2</v>
      </c>
      <c r="AH2933">
        <v>5</v>
      </c>
      <c r="AI2933">
        <v>20</v>
      </c>
      <c r="AJ2933">
        <v>0.2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5</v>
      </c>
      <c r="AT2933">
        <v>0</v>
      </c>
      <c r="AU2933">
        <v>17</v>
      </c>
      <c r="AV2933">
        <v>14</v>
      </c>
      <c r="AW2933">
        <v>77</v>
      </c>
      <c r="AX2933">
        <v>6</v>
      </c>
      <c r="AY2933">
        <v>120</v>
      </c>
      <c r="AZ2933">
        <v>21</v>
      </c>
      <c r="BA2933" t="s">
        <v>5015</v>
      </c>
      <c r="BB2933" t="s">
        <v>5016</v>
      </c>
      <c r="BC2933">
        <v>0.41299999999999998</v>
      </c>
      <c r="BD2933" t="s">
        <v>65</v>
      </c>
      <c r="BE2933">
        <v>197</v>
      </c>
      <c r="BF2933">
        <v>27</v>
      </c>
      <c r="BG2933" t="s">
        <v>5017</v>
      </c>
      <c r="BH2933" t="s">
        <v>5018</v>
      </c>
      <c r="BI2933" t="s">
        <v>5019</v>
      </c>
      <c r="BJ2933">
        <v>4.6960000000000002E-2</v>
      </c>
      <c r="BK2933">
        <v>1</v>
      </c>
      <c r="BL2933" t="s">
        <v>69</v>
      </c>
      <c r="BM2933">
        <v>-1.1399999999999999</v>
      </c>
      <c r="BN2933">
        <v>-2.1999999999999999E-2</v>
      </c>
    </row>
    <row r="2934" spans="10:66">
      <c r="J2934">
        <v>0</v>
      </c>
      <c r="K2934">
        <v>8</v>
      </c>
      <c r="L2934">
        <v>0</v>
      </c>
      <c r="M2934" t="s">
        <v>25021</v>
      </c>
      <c r="N2934">
        <v>810</v>
      </c>
      <c r="O2934" t="s">
        <v>5038</v>
      </c>
      <c r="P2934" t="s">
        <v>62</v>
      </c>
      <c r="Q2934">
        <v>846185</v>
      </c>
      <c r="R2934">
        <v>847258</v>
      </c>
      <c r="S2934" t="s">
        <v>5039</v>
      </c>
      <c r="T2934">
        <v>358</v>
      </c>
      <c r="U2934" t="s">
        <v>5040</v>
      </c>
      <c r="V2934">
        <v>33</v>
      </c>
      <c r="W2934" t="str">
        <f>HYPERLINK("Gene810-zp_tree_all.dnd", "Gene810-tree")</f>
        <v>Gene810-tree</v>
      </c>
      <c r="X2934">
        <v>4</v>
      </c>
      <c r="Y2934">
        <v>6</v>
      </c>
      <c r="Z2934">
        <v>4</v>
      </c>
      <c r="AA2934">
        <v>6</v>
      </c>
      <c r="AB2934">
        <v>0.6</v>
      </c>
      <c r="AC2934" t="s">
        <v>61</v>
      </c>
      <c r="AD2934" t="s">
        <v>90</v>
      </c>
      <c r="AE2934" t="s">
        <v>62</v>
      </c>
      <c r="AF2934" t="s">
        <v>62</v>
      </c>
      <c r="AG2934">
        <v>3</v>
      </c>
      <c r="AH2934">
        <v>8</v>
      </c>
      <c r="AI2934">
        <v>9</v>
      </c>
      <c r="AJ2934">
        <v>0.47059000000000001</v>
      </c>
      <c r="AK2934">
        <v>0</v>
      </c>
      <c r="AL2934">
        <v>0</v>
      </c>
      <c r="AM2934">
        <v>0</v>
      </c>
      <c r="AN2934">
        <v>1</v>
      </c>
      <c r="AO2934">
        <v>0</v>
      </c>
      <c r="AP2934">
        <v>2</v>
      </c>
      <c r="AQ2934">
        <v>0</v>
      </c>
      <c r="AR2934">
        <v>2</v>
      </c>
      <c r="AS2934">
        <v>10</v>
      </c>
      <c r="AT2934">
        <v>0.16667000000000001</v>
      </c>
      <c r="AU2934">
        <v>8</v>
      </c>
      <c r="AV2934">
        <v>6</v>
      </c>
      <c r="AW2934">
        <v>19</v>
      </c>
      <c r="AX2934">
        <v>11</v>
      </c>
      <c r="AY2934">
        <v>10</v>
      </c>
      <c r="AZ2934">
        <v>6</v>
      </c>
      <c r="BA2934" t="s">
        <v>5041</v>
      </c>
      <c r="BB2934" t="s">
        <v>5042</v>
      </c>
      <c r="BC2934">
        <v>3.6999999999999998E-2</v>
      </c>
      <c r="BD2934" t="s">
        <v>65</v>
      </c>
      <c r="BE2934">
        <v>29</v>
      </c>
      <c r="BF2934">
        <v>17</v>
      </c>
      <c r="BG2934" t="s">
        <v>5043</v>
      </c>
      <c r="BH2934" t="s">
        <v>5044</v>
      </c>
      <c r="BI2934" t="s">
        <v>5045</v>
      </c>
      <c r="BJ2934">
        <v>0.14387</v>
      </c>
      <c r="BK2934">
        <v>1</v>
      </c>
      <c r="BL2934" t="s">
        <v>69</v>
      </c>
      <c r="BM2934">
        <v>-0.79400000000000004</v>
      </c>
      <c r="BN2934">
        <v>-0.48599999999999999</v>
      </c>
    </row>
    <row r="2935" spans="10:66">
      <c r="J2935">
        <v>0</v>
      </c>
      <c r="K2935">
        <v>0</v>
      </c>
      <c r="L2935">
        <v>0</v>
      </c>
      <c r="M2935" t="s">
        <v>25021</v>
      </c>
      <c r="N2935">
        <v>811</v>
      </c>
      <c r="O2935" t="s">
        <v>5046</v>
      </c>
      <c r="P2935" t="s">
        <v>62</v>
      </c>
      <c r="Q2935">
        <v>847285</v>
      </c>
      <c r="R2935">
        <v>847482</v>
      </c>
      <c r="S2935" t="s">
        <v>5047</v>
      </c>
      <c r="T2935">
        <v>66</v>
      </c>
      <c r="U2935" t="s">
        <v>5040</v>
      </c>
      <c r="V2935">
        <v>33</v>
      </c>
      <c r="W2935" t="str">
        <f>HYPERLINK("Gene811-zp_tree_all.dnd", "Gene811-tree")</f>
        <v>Gene811-tree</v>
      </c>
      <c r="X2935">
        <v>25</v>
      </c>
      <c r="Y2935">
        <v>1</v>
      </c>
      <c r="Z2935">
        <v>3</v>
      </c>
      <c r="AA2935">
        <v>1</v>
      </c>
      <c r="AB2935">
        <v>0.25</v>
      </c>
      <c r="AC2935" t="s">
        <v>3530</v>
      </c>
      <c r="AD2935" t="s">
        <v>175</v>
      </c>
      <c r="AE2935" t="s">
        <v>62</v>
      </c>
      <c r="AF2935" t="s">
        <v>62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3</v>
      </c>
      <c r="AV2935">
        <v>0</v>
      </c>
      <c r="AW2935">
        <v>2</v>
      </c>
      <c r="AX2935">
        <v>1</v>
      </c>
      <c r="AY2935">
        <v>0</v>
      </c>
      <c r="AZ2935">
        <v>0</v>
      </c>
      <c r="BA2935" t="s">
        <v>5048</v>
      </c>
      <c r="BB2935" t="s">
        <v>193</v>
      </c>
      <c r="BC2935">
        <v>0.69299999999999995</v>
      </c>
      <c r="BD2935" t="s">
        <v>65</v>
      </c>
      <c r="BE2935">
        <v>2</v>
      </c>
      <c r="BF2935">
        <v>1</v>
      </c>
      <c r="BG2935" t="s">
        <v>5049</v>
      </c>
      <c r="BH2935" t="s">
        <v>5050</v>
      </c>
      <c r="BI2935" t="s">
        <v>5051</v>
      </c>
      <c r="BJ2935">
        <v>0.15479000000000001</v>
      </c>
      <c r="BK2935">
        <v>0.95299999999999996</v>
      </c>
      <c r="BL2935" t="s">
        <v>69</v>
      </c>
      <c r="BM2935">
        <v>-7.1999999999999995E-2</v>
      </c>
      <c r="BN2935">
        <v>-0.29299999999999998</v>
      </c>
    </row>
    <row r="2936" spans="10:66">
      <c r="J2936">
        <v>0</v>
      </c>
      <c r="K2936">
        <v>4</v>
      </c>
      <c r="L2936">
        <v>2</v>
      </c>
      <c r="M2936" t="s">
        <v>25021</v>
      </c>
      <c r="N2936">
        <v>812</v>
      </c>
      <c r="O2936" t="s">
        <v>5052</v>
      </c>
      <c r="P2936" t="s">
        <v>62</v>
      </c>
      <c r="Q2936">
        <v>847501</v>
      </c>
      <c r="R2936">
        <v>848652</v>
      </c>
      <c r="S2936" t="s">
        <v>5053</v>
      </c>
      <c r="T2936">
        <v>384</v>
      </c>
      <c r="U2936" t="s">
        <v>5040</v>
      </c>
      <c r="V2936">
        <v>33</v>
      </c>
      <c r="W2936" t="str">
        <f>HYPERLINK("Gene812-zp_tree_all.dnd", "Gene812-tree")</f>
        <v>Gene812-tree</v>
      </c>
      <c r="X2936">
        <v>3</v>
      </c>
      <c r="Y2936">
        <v>8</v>
      </c>
      <c r="Z2936">
        <v>3</v>
      </c>
      <c r="AA2936">
        <v>8</v>
      </c>
      <c r="AB2936">
        <v>0.72726999999999997</v>
      </c>
      <c r="AC2936" t="s">
        <v>324</v>
      </c>
      <c r="AD2936" t="s">
        <v>136</v>
      </c>
      <c r="AE2936" t="s">
        <v>62</v>
      </c>
      <c r="AF2936" t="s">
        <v>62</v>
      </c>
      <c r="AG2936">
        <v>3</v>
      </c>
      <c r="AH2936">
        <v>6</v>
      </c>
      <c r="AI2936">
        <v>10</v>
      </c>
      <c r="AJ2936">
        <v>0.375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2</v>
      </c>
      <c r="AQ2936">
        <v>2</v>
      </c>
      <c r="AR2936">
        <v>4</v>
      </c>
      <c r="AS2936">
        <v>9</v>
      </c>
      <c r="AT2936">
        <v>0.30769000000000002</v>
      </c>
      <c r="AU2936">
        <v>9</v>
      </c>
      <c r="AV2936">
        <v>7</v>
      </c>
      <c r="AW2936">
        <v>15</v>
      </c>
      <c r="AX2936">
        <v>11</v>
      </c>
      <c r="AY2936">
        <v>16</v>
      </c>
      <c r="AZ2936">
        <v>5</v>
      </c>
      <c r="BA2936" t="s">
        <v>5054</v>
      </c>
      <c r="BB2936" t="s">
        <v>5055</v>
      </c>
      <c r="BC2936">
        <v>1.399</v>
      </c>
      <c r="BD2936" t="s">
        <v>65</v>
      </c>
      <c r="BE2936">
        <v>31</v>
      </c>
      <c r="BF2936">
        <v>16</v>
      </c>
      <c r="BG2936" t="s">
        <v>5056</v>
      </c>
      <c r="BH2936" t="s">
        <v>5057</v>
      </c>
      <c r="BI2936" t="s">
        <v>5058</v>
      </c>
      <c r="BJ2936">
        <v>0.13095999999999999</v>
      </c>
      <c r="BK2936">
        <v>1</v>
      </c>
      <c r="BL2936" t="s">
        <v>69</v>
      </c>
      <c r="BM2936">
        <v>-1.361</v>
      </c>
      <c r="BN2936">
        <v>-1.476</v>
      </c>
    </row>
    <row r="2937" spans="10:66">
      <c r="J2937">
        <v>0</v>
      </c>
      <c r="K2937">
        <v>8</v>
      </c>
      <c r="L2937">
        <v>0</v>
      </c>
      <c r="M2937" t="s">
        <v>25021</v>
      </c>
      <c r="N2937">
        <v>813</v>
      </c>
      <c r="O2937" t="s">
        <v>5059</v>
      </c>
      <c r="P2937" t="s">
        <v>62</v>
      </c>
      <c r="Q2937">
        <v>848636</v>
      </c>
      <c r="R2937">
        <v>850174</v>
      </c>
      <c r="S2937" t="s">
        <v>5053</v>
      </c>
      <c r="T2937">
        <v>513</v>
      </c>
      <c r="U2937" t="s">
        <v>5040</v>
      </c>
      <c r="V2937">
        <v>33</v>
      </c>
      <c r="W2937" t="str">
        <f>HYPERLINK("Gene813-zp_tree_all.dnd", "Gene813-tree")</f>
        <v>Gene813-tree</v>
      </c>
      <c r="X2937">
        <v>3</v>
      </c>
      <c r="Y2937">
        <v>7</v>
      </c>
      <c r="Z2937">
        <v>3</v>
      </c>
      <c r="AA2937">
        <v>7</v>
      </c>
      <c r="AB2937">
        <v>0.7</v>
      </c>
      <c r="AC2937" t="s">
        <v>324</v>
      </c>
      <c r="AD2937" t="s">
        <v>152</v>
      </c>
      <c r="AE2937" t="s">
        <v>62</v>
      </c>
      <c r="AF2937" t="s">
        <v>62</v>
      </c>
      <c r="AG2937">
        <v>2</v>
      </c>
      <c r="AH2937">
        <v>8</v>
      </c>
      <c r="AI2937">
        <v>12</v>
      </c>
      <c r="AJ2937">
        <v>0.4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5</v>
      </c>
      <c r="AQ2937">
        <v>1</v>
      </c>
      <c r="AR2937">
        <v>6</v>
      </c>
      <c r="AS2937">
        <v>9</v>
      </c>
      <c r="AT2937">
        <v>0.4</v>
      </c>
      <c r="AU2937">
        <v>9</v>
      </c>
      <c r="AV2937">
        <v>7</v>
      </c>
      <c r="AW2937">
        <v>27</v>
      </c>
      <c r="AX2937">
        <v>15</v>
      </c>
      <c r="AY2937">
        <v>30</v>
      </c>
      <c r="AZ2937">
        <v>5</v>
      </c>
      <c r="BA2937" t="s">
        <v>5060</v>
      </c>
      <c r="BB2937" t="s">
        <v>5061</v>
      </c>
      <c r="BC2937">
        <v>1.1659999999999999</v>
      </c>
      <c r="BD2937" t="s">
        <v>65</v>
      </c>
      <c r="BE2937">
        <v>57</v>
      </c>
      <c r="BF2937">
        <v>20</v>
      </c>
      <c r="BG2937" t="s">
        <v>5062</v>
      </c>
      <c r="BH2937" t="s">
        <v>5063</v>
      </c>
      <c r="BI2937" t="s">
        <v>5064</v>
      </c>
      <c r="BJ2937">
        <v>9.1859999999999997E-2</v>
      </c>
      <c r="BK2937">
        <v>1</v>
      </c>
      <c r="BL2937" t="s">
        <v>69</v>
      </c>
      <c r="BM2937">
        <v>-0.73399999999999999</v>
      </c>
      <c r="BN2937">
        <v>-1.0529999999999999</v>
      </c>
    </row>
    <row r="2938" spans="10:66">
      <c r="J2938">
        <v>0</v>
      </c>
      <c r="K2938">
        <v>45</v>
      </c>
      <c r="L2938">
        <v>11</v>
      </c>
      <c r="M2938" t="s">
        <v>25021</v>
      </c>
      <c r="N2938">
        <v>818</v>
      </c>
      <c r="O2938" t="s">
        <v>5093</v>
      </c>
      <c r="P2938" t="s">
        <v>62</v>
      </c>
      <c r="Q2938">
        <v>855117</v>
      </c>
      <c r="R2938">
        <v>859502</v>
      </c>
      <c r="S2938" t="s">
        <v>5094</v>
      </c>
      <c r="T2938">
        <v>1462</v>
      </c>
      <c r="U2938" t="s">
        <v>5095</v>
      </c>
      <c r="V2938">
        <v>35</v>
      </c>
      <c r="W2938" t="str">
        <f>HYPERLINK("Gene818-zp_tree_all.dnd", "Gene818-tree")</f>
        <v>Gene818-tree</v>
      </c>
      <c r="X2938">
        <v>1</v>
      </c>
      <c r="Y2938">
        <v>13</v>
      </c>
      <c r="Z2938">
        <v>1</v>
      </c>
      <c r="AA2938">
        <v>13</v>
      </c>
      <c r="AB2938">
        <v>0.92857000000000001</v>
      </c>
      <c r="AC2938" t="s">
        <v>175</v>
      </c>
      <c r="AD2938" t="s">
        <v>507</v>
      </c>
      <c r="AE2938" t="s">
        <v>62</v>
      </c>
      <c r="AF2938" t="s">
        <v>62</v>
      </c>
      <c r="AG2938">
        <v>24</v>
      </c>
      <c r="AH2938">
        <v>56</v>
      </c>
      <c r="AI2938">
        <v>55</v>
      </c>
      <c r="AJ2938">
        <v>0.50449999999999995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10</v>
      </c>
      <c r="AQ2938">
        <v>13</v>
      </c>
      <c r="AR2938">
        <v>23</v>
      </c>
      <c r="AS2938">
        <v>49</v>
      </c>
      <c r="AT2938">
        <v>0.31944</v>
      </c>
      <c r="AU2938">
        <v>12</v>
      </c>
      <c r="AV2938">
        <v>11</v>
      </c>
      <c r="AW2938">
        <v>222</v>
      </c>
      <c r="AX2938">
        <v>75</v>
      </c>
      <c r="AY2938">
        <v>165</v>
      </c>
      <c r="AZ2938">
        <v>44</v>
      </c>
      <c r="BA2938" t="s">
        <v>5096</v>
      </c>
      <c r="BB2938" t="s">
        <v>5097</v>
      </c>
      <c r="BC2938">
        <v>0.17899999999999999</v>
      </c>
      <c r="BD2938" t="s">
        <v>65</v>
      </c>
      <c r="BE2938">
        <v>387</v>
      </c>
      <c r="BF2938">
        <v>119</v>
      </c>
      <c r="BG2938" t="s">
        <v>5098</v>
      </c>
      <c r="BH2938" t="s">
        <v>5099</v>
      </c>
      <c r="BI2938" t="s">
        <v>5100</v>
      </c>
      <c r="BJ2938">
        <v>9.4380000000000006E-2</v>
      </c>
      <c r="BK2938">
        <v>1</v>
      </c>
      <c r="BL2938" t="s">
        <v>69</v>
      </c>
      <c r="BM2938">
        <v>-0.63600000000000001</v>
      </c>
      <c r="BN2938">
        <v>-1.915</v>
      </c>
    </row>
    <row r="2939" spans="10:66">
      <c r="J2939">
        <v>0</v>
      </c>
      <c r="K2939">
        <v>0</v>
      </c>
      <c r="L2939">
        <v>2</v>
      </c>
      <c r="M2939" t="s">
        <v>25021</v>
      </c>
      <c r="N2939">
        <v>820</v>
      </c>
      <c r="O2939" t="s">
        <v>5108</v>
      </c>
      <c r="P2939" t="s">
        <v>62</v>
      </c>
      <c r="Q2939">
        <v>860306</v>
      </c>
      <c r="R2939">
        <v>861493</v>
      </c>
      <c r="S2939" t="s">
        <v>5109</v>
      </c>
      <c r="T2939">
        <v>396</v>
      </c>
      <c r="U2939" t="s">
        <v>108</v>
      </c>
      <c r="V2939">
        <v>44</v>
      </c>
      <c r="W2939" t="str">
        <f>HYPERLINK("Gene820-zp_tree_all.dnd", "Gene820-tree")</f>
        <v>Gene820-tree</v>
      </c>
      <c r="X2939">
        <v>6</v>
      </c>
      <c r="Y2939">
        <v>9</v>
      </c>
      <c r="Z2939">
        <v>6</v>
      </c>
      <c r="AA2939">
        <v>9</v>
      </c>
      <c r="AB2939">
        <v>0.6</v>
      </c>
      <c r="AC2939" t="s">
        <v>90</v>
      </c>
      <c r="AD2939" t="s">
        <v>135</v>
      </c>
      <c r="AE2939" t="s">
        <v>62</v>
      </c>
      <c r="AF2939" t="s">
        <v>62</v>
      </c>
      <c r="AG2939">
        <v>1</v>
      </c>
      <c r="AH2939">
        <v>2</v>
      </c>
      <c r="AI2939">
        <v>16</v>
      </c>
      <c r="AJ2939">
        <v>0.11111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2</v>
      </c>
      <c r="AR2939">
        <v>2</v>
      </c>
      <c r="AS2939">
        <v>13</v>
      </c>
      <c r="AT2939">
        <v>0.13333</v>
      </c>
      <c r="AU2939">
        <v>15</v>
      </c>
      <c r="AV2939">
        <v>9</v>
      </c>
      <c r="AW2939">
        <v>55</v>
      </c>
      <c r="AX2939">
        <v>16</v>
      </c>
      <c r="AY2939">
        <v>22</v>
      </c>
      <c r="AZ2939">
        <v>3</v>
      </c>
      <c r="BA2939" t="s">
        <v>5110</v>
      </c>
      <c r="BB2939" t="s">
        <v>5111</v>
      </c>
      <c r="BC2939">
        <v>0.63600000000000001</v>
      </c>
      <c r="BD2939" t="s">
        <v>65</v>
      </c>
      <c r="BE2939">
        <v>77</v>
      </c>
      <c r="BF2939">
        <v>19</v>
      </c>
      <c r="BG2939" t="s">
        <v>5112</v>
      </c>
      <c r="BH2939" t="s">
        <v>5113</v>
      </c>
      <c r="BI2939" t="s">
        <v>5114</v>
      </c>
      <c r="BJ2939">
        <v>8.9330000000000007E-2</v>
      </c>
      <c r="BK2939">
        <v>1</v>
      </c>
      <c r="BL2939" t="s">
        <v>69</v>
      </c>
      <c r="BM2939">
        <v>-0.92700000000000005</v>
      </c>
      <c r="BN2939">
        <v>-1.599</v>
      </c>
    </row>
    <row r="2940" spans="10:66">
      <c r="J2940">
        <v>0</v>
      </c>
      <c r="K2940">
        <v>0</v>
      </c>
      <c r="L2940">
        <v>0</v>
      </c>
      <c r="M2940" t="s">
        <v>25021</v>
      </c>
      <c r="N2940">
        <v>821</v>
      </c>
      <c r="O2940" t="s">
        <v>5115</v>
      </c>
      <c r="P2940" t="s">
        <v>62</v>
      </c>
      <c r="Q2940">
        <v>861589</v>
      </c>
      <c r="R2940">
        <v>861801</v>
      </c>
      <c r="S2940" t="s">
        <v>288</v>
      </c>
      <c r="T2940">
        <v>71</v>
      </c>
      <c r="U2940" t="s">
        <v>108</v>
      </c>
      <c r="V2940">
        <v>44</v>
      </c>
      <c r="W2940" t="str">
        <f>HYPERLINK("Gene821-zp_tree_all.dnd", "Gene821-tree")</f>
        <v>Gene821-tree</v>
      </c>
      <c r="X2940">
        <v>4</v>
      </c>
      <c r="Y2940">
        <v>2</v>
      </c>
      <c r="Z2940">
        <v>4</v>
      </c>
      <c r="AA2940">
        <v>2</v>
      </c>
      <c r="AB2940">
        <v>0.33333000000000002</v>
      </c>
      <c r="AC2940" t="s">
        <v>61</v>
      </c>
      <c r="AD2940" t="s">
        <v>81</v>
      </c>
      <c r="AE2940" t="s">
        <v>62</v>
      </c>
      <c r="AF2940" t="s">
        <v>62</v>
      </c>
      <c r="AG2940">
        <v>0</v>
      </c>
      <c r="AH2940">
        <v>0</v>
      </c>
      <c r="AI2940">
        <v>2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2</v>
      </c>
      <c r="AT2940">
        <v>0</v>
      </c>
      <c r="AU2940">
        <v>4</v>
      </c>
      <c r="AV2940">
        <v>1</v>
      </c>
      <c r="AW2940">
        <v>2</v>
      </c>
      <c r="AX2940">
        <v>2</v>
      </c>
      <c r="AY2940">
        <v>1</v>
      </c>
      <c r="AZ2940">
        <v>0</v>
      </c>
      <c r="BA2940" t="s">
        <v>5116</v>
      </c>
      <c r="BB2940" t="s">
        <v>193</v>
      </c>
      <c r="BC2940">
        <v>1</v>
      </c>
      <c r="BD2940" t="s">
        <v>65</v>
      </c>
      <c r="BE2940">
        <v>3</v>
      </c>
      <c r="BF2940">
        <v>2</v>
      </c>
      <c r="BG2940" t="s">
        <v>5117</v>
      </c>
      <c r="BH2940" t="s">
        <v>5118</v>
      </c>
      <c r="BI2940" t="s">
        <v>5119</v>
      </c>
      <c r="BJ2940">
        <v>0.13361000000000001</v>
      </c>
      <c r="BK2940">
        <v>0.95699999999999996</v>
      </c>
      <c r="BL2940" t="s">
        <v>69</v>
      </c>
      <c r="BM2940">
        <v>-0.64900000000000002</v>
      </c>
      <c r="BN2940">
        <v>-1.7190000000000001</v>
      </c>
    </row>
    <row r="2941" spans="10:66">
      <c r="J2941">
        <v>0</v>
      </c>
      <c r="K2941">
        <v>2</v>
      </c>
      <c r="L2941">
        <v>2</v>
      </c>
      <c r="M2941" t="s">
        <v>25021</v>
      </c>
      <c r="N2941">
        <v>825</v>
      </c>
      <c r="O2941" t="s">
        <v>5140</v>
      </c>
      <c r="P2941" t="s">
        <v>62</v>
      </c>
      <c r="Q2941">
        <v>863865</v>
      </c>
      <c r="R2941">
        <v>865037</v>
      </c>
      <c r="S2941" t="s">
        <v>2641</v>
      </c>
      <c r="T2941">
        <v>391</v>
      </c>
      <c r="U2941" t="s">
        <v>108</v>
      </c>
      <c r="V2941">
        <v>44</v>
      </c>
      <c r="W2941" t="str">
        <f>HYPERLINK("Gene825-zp_tree_all.dnd", "Gene825-tree")</f>
        <v>Gene825-tree</v>
      </c>
      <c r="X2941">
        <v>11</v>
      </c>
      <c r="Y2941">
        <v>4</v>
      </c>
      <c r="Z2941">
        <v>11</v>
      </c>
      <c r="AA2941">
        <v>4</v>
      </c>
      <c r="AB2941">
        <v>0.26667000000000002</v>
      </c>
      <c r="AC2941" t="s">
        <v>73</v>
      </c>
      <c r="AD2941" t="s">
        <v>61</v>
      </c>
      <c r="AE2941" t="s">
        <v>62</v>
      </c>
      <c r="AF2941" t="s">
        <v>62</v>
      </c>
      <c r="AG2941">
        <v>2</v>
      </c>
      <c r="AH2941">
        <v>4</v>
      </c>
      <c r="AI2941">
        <v>6</v>
      </c>
      <c r="AJ2941">
        <v>0.4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2</v>
      </c>
      <c r="AR2941">
        <v>2</v>
      </c>
      <c r="AS2941">
        <v>6</v>
      </c>
      <c r="AT2941">
        <v>0.25</v>
      </c>
      <c r="AU2941">
        <v>14</v>
      </c>
      <c r="AV2941">
        <v>10</v>
      </c>
      <c r="AW2941">
        <v>59</v>
      </c>
      <c r="AX2941">
        <v>9</v>
      </c>
      <c r="AY2941">
        <v>18</v>
      </c>
      <c r="AZ2941">
        <v>2</v>
      </c>
      <c r="BA2941" t="s">
        <v>5141</v>
      </c>
      <c r="BB2941" t="s">
        <v>5142</v>
      </c>
      <c r="BC2941">
        <v>0.13</v>
      </c>
      <c r="BD2941" t="s">
        <v>65</v>
      </c>
      <c r="BE2941">
        <v>77</v>
      </c>
      <c r="BF2941">
        <v>11</v>
      </c>
      <c r="BG2941" t="s">
        <v>5143</v>
      </c>
      <c r="BH2941" t="s">
        <v>5144</v>
      </c>
      <c r="BI2941" t="s">
        <v>5145</v>
      </c>
      <c r="BJ2941">
        <v>5.3400000000000003E-2</v>
      </c>
      <c r="BK2941">
        <v>1</v>
      </c>
      <c r="BL2941" t="s">
        <v>69</v>
      </c>
      <c r="BM2941">
        <v>-0.84399999999999997</v>
      </c>
      <c r="BN2941">
        <v>-2.5070000000000001</v>
      </c>
    </row>
    <row r="2942" spans="10:66">
      <c r="J2942">
        <v>0</v>
      </c>
      <c r="K2942">
        <v>0</v>
      </c>
      <c r="L2942">
        <v>0</v>
      </c>
      <c r="M2942" t="s">
        <v>25021</v>
      </c>
      <c r="N2942">
        <v>828</v>
      </c>
      <c r="O2942" t="s">
        <v>5158</v>
      </c>
      <c r="P2942" t="s">
        <v>62</v>
      </c>
      <c r="Q2942">
        <v>867167</v>
      </c>
      <c r="R2942">
        <v>868006</v>
      </c>
      <c r="S2942" t="s">
        <v>5159</v>
      </c>
      <c r="T2942">
        <v>280</v>
      </c>
      <c r="U2942" t="s">
        <v>5160</v>
      </c>
      <c r="V2942">
        <v>45</v>
      </c>
      <c r="W2942" t="str">
        <f>HYPERLINK("Gene828-zp_tree_all.dnd", "Gene828-tree")</f>
        <v>Gene828-tree</v>
      </c>
      <c r="X2942">
        <v>10</v>
      </c>
      <c r="Y2942">
        <v>7</v>
      </c>
      <c r="Z2942">
        <v>10</v>
      </c>
      <c r="AA2942">
        <v>7</v>
      </c>
      <c r="AB2942">
        <v>0.41176000000000001</v>
      </c>
      <c r="AC2942" t="s">
        <v>117</v>
      </c>
      <c r="AD2942" t="s">
        <v>152</v>
      </c>
      <c r="AE2942" t="s">
        <v>62</v>
      </c>
      <c r="AF2942" t="s">
        <v>62</v>
      </c>
      <c r="AG2942">
        <v>0</v>
      </c>
      <c r="AH2942">
        <v>0</v>
      </c>
      <c r="AI2942">
        <v>14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11</v>
      </c>
      <c r="AT2942">
        <v>0</v>
      </c>
      <c r="AU2942">
        <v>12</v>
      </c>
      <c r="AV2942">
        <v>8</v>
      </c>
      <c r="AW2942">
        <v>36</v>
      </c>
      <c r="AX2942">
        <v>11</v>
      </c>
      <c r="AY2942">
        <v>45</v>
      </c>
      <c r="AZ2942">
        <v>3</v>
      </c>
      <c r="BA2942" t="s">
        <v>5161</v>
      </c>
      <c r="BB2942" t="s">
        <v>5162</v>
      </c>
      <c r="BC2942">
        <v>0.91</v>
      </c>
      <c r="BD2942" t="s">
        <v>65</v>
      </c>
      <c r="BE2942">
        <v>81</v>
      </c>
      <c r="BF2942">
        <v>14</v>
      </c>
      <c r="BG2942" t="s">
        <v>5163</v>
      </c>
      <c r="BH2942" t="s">
        <v>5164</v>
      </c>
      <c r="BI2942" t="s">
        <v>5165</v>
      </c>
      <c r="BJ2942">
        <v>3.7609999999999998E-2</v>
      </c>
      <c r="BK2942">
        <v>1</v>
      </c>
      <c r="BL2942" t="s">
        <v>69</v>
      </c>
      <c r="BM2942">
        <v>-1.899</v>
      </c>
      <c r="BN2942">
        <v>-0.79800000000000004</v>
      </c>
    </row>
    <row r="2943" spans="10:66">
      <c r="J2943">
        <v>0</v>
      </c>
      <c r="K2943">
        <v>0</v>
      </c>
      <c r="L2943">
        <v>0</v>
      </c>
      <c r="M2943" t="s">
        <v>25021</v>
      </c>
      <c r="N2943">
        <v>829</v>
      </c>
      <c r="O2943" t="s">
        <v>5166</v>
      </c>
      <c r="P2943" t="s">
        <v>62</v>
      </c>
      <c r="Q2943">
        <v>868010</v>
      </c>
      <c r="R2943">
        <v>869128</v>
      </c>
      <c r="S2943" t="s">
        <v>5167</v>
      </c>
      <c r="T2943">
        <v>373</v>
      </c>
      <c r="U2943" t="s">
        <v>108</v>
      </c>
      <c r="V2943">
        <v>44</v>
      </c>
      <c r="W2943" t="str">
        <f>HYPERLINK("Gene829-zp_tree_all.dnd", "Gene829-tree")</f>
        <v>Gene829-tree</v>
      </c>
      <c r="X2943">
        <v>11</v>
      </c>
      <c r="Y2943">
        <v>4</v>
      </c>
      <c r="Z2943">
        <v>11</v>
      </c>
      <c r="AA2943">
        <v>4</v>
      </c>
      <c r="AB2943">
        <v>0.26667000000000002</v>
      </c>
      <c r="AC2943" t="s">
        <v>73</v>
      </c>
      <c r="AD2943" t="s">
        <v>61</v>
      </c>
      <c r="AE2943" t="s">
        <v>62</v>
      </c>
      <c r="AF2943" t="s">
        <v>62</v>
      </c>
      <c r="AG2943">
        <v>0</v>
      </c>
      <c r="AH2943">
        <v>0</v>
      </c>
      <c r="AI2943">
        <v>7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7</v>
      </c>
      <c r="AT2943">
        <v>0</v>
      </c>
      <c r="AU2943">
        <v>10</v>
      </c>
      <c r="AV2943">
        <v>9</v>
      </c>
      <c r="AW2943">
        <v>38</v>
      </c>
      <c r="AX2943">
        <v>7</v>
      </c>
      <c r="AY2943">
        <v>14</v>
      </c>
      <c r="AZ2943">
        <v>0</v>
      </c>
      <c r="BA2943" t="s">
        <v>5168</v>
      </c>
      <c r="BB2943" t="s">
        <v>193</v>
      </c>
      <c r="BC2943">
        <v>0.98399999999999999</v>
      </c>
      <c r="BD2943" t="s">
        <v>65</v>
      </c>
      <c r="BE2943">
        <v>52</v>
      </c>
      <c r="BF2943">
        <v>7</v>
      </c>
      <c r="BG2943" t="s">
        <v>5169</v>
      </c>
      <c r="BH2943" t="s">
        <v>5170</v>
      </c>
      <c r="BI2943" t="s">
        <v>5171</v>
      </c>
      <c r="BJ2943">
        <v>3.0689999999999999E-2</v>
      </c>
      <c r="BK2943">
        <v>1</v>
      </c>
      <c r="BL2943" t="s">
        <v>69</v>
      </c>
      <c r="BM2943">
        <v>-1.41</v>
      </c>
      <c r="BN2943">
        <v>-0.63400000000000001</v>
      </c>
    </row>
    <row r="2944" spans="10:66">
      <c r="J2944">
        <v>0</v>
      </c>
      <c r="K2944">
        <v>12</v>
      </c>
      <c r="L2944">
        <v>2</v>
      </c>
      <c r="M2944" t="s">
        <v>25021</v>
      </c>
      <c r="N2944">
        <v>832</v>
      </c>
      <c r="O2944" t="s">
        <v>5184</v>
      </c>
      <c r="P2944" t="s">
        <v>62</v>
      </c>
      <c r="Q2944">
        <v>870391</v>
      </c>
      <c r="R2944">
        <v>871248</v>
      </c>
      <c r="S2944" t="s">
        <v>5185</v>
      </c>
      <c r="T2944">
        <v>286</v>
      </c>
      <c r="U2944" t="s">
        <v>108</v>
      </c>
      <c r="V2944">
        <v>44</v>
      </c>
      <c r="W2944" t="str">
        <f>HYPERLINK("Gene832-zp_tree_all.dnd", "Gene832-tree")</f>
        <v>Gene832-tree</v>
      </c>
      <c r="X2944">
        <v>4</v>
      </c>
      <c r="Y2944">
        <v>10</v>
      </c>
      <c r="Z2944">
        <v>4</v>
      </c>
      <c r="AA2944">
        <v>10</v>
      </c>
      <c r="AB2944">
        <v>0.71428999999999998</v>
      </c>
      <c r="AC2944" t="s">
        <v>61</v>
      </c>
      <c r="AD2944" t="s">
        <v>117</v>
      </c>
      <c r="AE2944" t="s">
        <v>62</v>
      </c>
      <c r="AF2944" t="s">
        <v>62</v>
      </c>
      <c r="AG2944">
        <v>6</v>
      </c>
      <c r="AH2944">
        <v>14</v>
      </c>
      <c r="AI2944">
        <v>12</v>
      </c>
      <c r="AJ2944">
        <v>0.53846000000000005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6</v>
      </c>
      <c r="AQ2944">
        <v>2</v>
      </c>
      <c r="AR2944">
        <v>8</v>
      </c>
      <c r="AS2944">
        <v>11</v>
      </c>
      <c r="AT2944">
        <v>0.42104999999999998</v>
      </c>
      <c r="AU2944">
        <v>14</v>
      </c>
      <c r="AV2944">
        <v>9</v>
      </c>
      <c r="AW2944">
        <v>43</v>
      </c>
      <c r="AX2944">
        <v>19</v>
      </c>
      <c r="AY2944">
        <v>33</v>
      </c>
      <c r="AZ2944">
        <v>7</v>
      </c>
      <c r="BA2944" t="s">
        <v>5186</v>
      </c>
      <c r="BB2944" t="s">
        <v>5187</v>
      </c>
      <c r="BC2944">
        <v>0.996</v>
      </c>
      <c r="BD2944" t="s">
        <v>65</v>
      </c>
      <c r="BE2944">
        <v>76</v>
      </c>
      <c r="BF2944">
        <v>26</v>
      </c>
      <c r="BG2944" t="s">
        <v>5188</v>
      </c>
      <c r="BH2944" t="s">
        <v>5189</v>
      </c>
      <c r="BI2944" t="s">
        <v>5190</v>
      </c>
      <c r="BJ2944">
        <v>9.2700000000000005E-2</v>
      </c>
      <c r="BK2944">
        <v>1</v>
      </c>
      <c r="BL2944" t="s">
        <v>69</v>
      </c>
      <c r="BM2944">
        <v>-0.97</v>
      </c>
      <c r="BN2944">
        <v>8.4000000000000005E-2</v>
      </c>
    </row>
    <row r="2945" spans="10:66">
      <c r="J2945">
        <v>0</v>
      </c>
      <c r="K2945">
        <v>2</v>
      </c>
      <c r="L2945">
        <v>0</v>
      </c>
      <c r="M2945" t="s">
        <v>25021</v>
      </c>
      <c r="N2945">
        <v>833</v>
      </c>
      <c r="O2945" t="s">
        <v>5191</v>
      </c>
      <c r="P2945" t="s">
        <v>62</v>
      </c>
      <c r="Q2945">
        <v>871350</v>
      </c>
      <c r="R2945">
        <v>872306</v>
      </c>
      <c r="S2945" t="s">
        <v>5192</v>
      </c>
      <c r="T2945">
        <v>319</v>
      </c>
      <c r="U2945" t="s">
        <v>108</v>
      </c>
      <c r="V2945">
        <v>44</v>
      </c>
      <c r="W2945" t="str">
        <f>HYPERLINK("Gene833-zp_tree_all.dnd", "Gene833-tree")</f>
        <v>Gene833-tree</v>
      </c>
      <c r="X2945">
        <v>9</v>
      </c>
      <c r="Y2945">
        <v>6</v>
      </c>
      <c r="Z2945">
        <v>9</v>
      </c>
      <c r="AA2945">
        <v>6</v>
      </c>
      <c r="AB2945">
        <v>0.4</v>
      </c>
      <c r="AC2945" t="s">
        <v>135</v>
      </c>
      <c r="AD2945" t="s">
        <v>90</v>
      </c>
      <c r="AE2945" t="s">
        <v>62</v>
      </c>
      <c r="AF2945" t="s">
        <v>62</v>
      </c>
      <c r="AG2945">
        <v>1</v>
      </c>
      <c r="AH2945">
        <v>2</v>
      </c>
      <c r="AI2945">
        <v>8</v>
      </c>
      <c r="AJ2945">
        <v>0.2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2</v>
      </c>
      <c r="AQ2945">
        <v>0</v>
      </c>
      <c r="AR2945">
        <v>2</v>
      </c>
      <c r="AS2945">
        <v>4</v>
      </c>
      <c r="AT2945">
        <v>0.33333000000000002</v>
      </c>
      <c r="AU2945">
        <v>13</v>
      </c>
      <c r="AV2945">
        <v>8</v>
      </c>
      <c r="AW2945">
        <v>42</v>
      </c>
      <c r="AX2945">
        <v>6</v>
      </c>
      <c r="AY2945">
        <v>11</v>
      </c>
      <c r="AZ2945">
        <v>5</v>
      </c>
      <c r="BA2945" t="s">
        <v>5193</v>
      </c>
      <c r="BB2945" t="s">
        <v>5194</v>
      </c>
      <c r="BC2945">
        <v>0.40200000000000002</v>
      </c>
      <c r="BD2945" t="s">
        <v>65</v>
      </c>
      <c r="BE2945">
        <v>53</v>
      </c>
      <c r="BF2945">
        <v>11</v>
      </c>
      <c r="BG2945" t="s">
        <v>5195</v>
      </c>
      <c r="BH2945" t="s">
        <v>5196</v>
      </c>
      <c r="BI2945" t="s">
        <v>5197</v>
      </c>
      <c r="BJ2945">
        <v>6.8559999999999996E-2</v>
      </c>
      <c r="BK2945">
        <v>1</v>
      </c>
      <c r="BL2945" t="s">
        <v>69</v>
      </c>
      <c r="BM2945">
        <v>-0.74</v>
      </c>
      <c r="BN2945">
        <v>0.184</v>
      </c>
    </row>
    <row r="2946" spans="10:66">
      <c r="J2946">
        <v>0</v>
      </c>
      <c r="K2946">
        <v>0</v>
      </c>
      <c r="L2946">
        <v>0</v>
      </c>
      <c r="M2946" t="s">
        <v>25021</v>
      </c>
      <c r="N2946">
        <v>846</v>
      </c>
      <c r="O2946" t="s">
        <v>5283</v>
      </c>
      <c r="P2946" t="s">
        <v>62</v>
      </c>
      <c r="Q2946">
        <v>885847</v>
      </c>
      <c r="R2946">
        <v>886173</v>
      </c>
      <c r="S2946" t="s">
        <v>4095</v>
      </c>
      <c r="T2946">
        <v>109</v>
      </c>
      <c r="U2946" t="s">
        <v>5284</v>
      </c>
      <c r="V2946">
        <v>34</v>
      </c>
      <c r="W2946" t="str">
        <f>HYPERLINK("Gene846-zp_tree_all.dnd", "Gene846-tree")</f>
        <v>Gene846-tree</v>
      </c>
      <c r="X2946">
        <v>7</v>
      </c>
      <c r="Y2946">
        <v>2</v>
      </c>
      <c r="Z2946">
        <v>7</v>
      </c>
      <c r="AA2946">
        <v>2</v>
      </c>
      <c r="AB2946">
        <v>0.22222</v>
      </c>
      <c r="AC2946" t="s">
        <v>152</v>
      </c>
      <c r="AD2946" t="s">
        <v>81</v>
      </c>
      <c r="AE2946" t="s">
        <v>62</v>
      </c>
      <c r="AF2946" t="s">
        <v>62</v>
      </c>
      <c r="AG2946">
        <v>0</v>
      </c>
      <c r="AH2946">
        <v>0</v>
      </c>
      <c r="AI2946">
        <v>3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2</v>
      </c>
      <c r="AT2946">
        <v>0</v>
      </c>
      <c r="AU2946">
        <v>6</v>
      </c>
      <c r="AV2946">
        <v>2</v>
      </c>
      <c r="AW2946">
        <v>6</v>
      </c>
      <c r="AX2946">
        <v>2</v>
      </c>
      <c r="AY2946">
        <v>3</v>
      </c>
      <c r="AZ2946">
        <v>1</v>
      </c>
      <c r="BA2946" t="s">
        <v>5285</v>
      </c>
      <c r="BB2946" t="s">
        <v>5286</v>
      </c>
      <c r="BC2946">
        <v>0</v>
      </c>
      <c r="BD2946" t="s">
        <v>65</v>
      </c>
      <c r="BE2946">
        <v>9</v>
      </c>
      <c r="BF2946">
        <v>3</v>
      </c>
      <c r="BG2946" t="s">
        <v>5287</v>
      </c>
      <c r="BH2946" t="s">
        <v>5288</v>
      </c>
      <c r="BI2946" t="s">
        <v>5289</v>
      </c>
      <c r="BJ2946">
        <v>0.11445</v>
      </c>
      <c r="BK2946">
        <v>1</v>
      </c>
      <c r="BL2946" t="s">
        <v>69</v>
      </c>
      <c r="BM2946">
        <v>-0.40100000000000002</v>
      </c>
      <c r="BN2946">
        <v>-0.11899999999999999</v>
      </c>
    </row>
    <row r="2947" spans="10:66">
      <c r="J2947">
        <v>0</v>
      </c>
      <c r="K2947">
        <v>0</v>
      </c>
      <c r="L2947">
        <v>2</v>
      </c>
      <c r="M2947" t="s">
        <v>25021</v>
      </c>
      <c r="N2947">
        <v>847</v>
      </c>
      <c r="O2947" t="s">
        <v>5290</v>
      </c>
      <c r="P2947" t="s">
        <v>62</v>
      </c>
      <c r="Q2947">
        <v>886226</v>
      </c>
      <c r="R2947">
        <v>886681</v>
      </c>
      <c r="S2947" t="s">
        <v>3095</v>
      </c>
      <c r="T2947">
        <v>152</v>
      </c>
      <c r="U2947" t="s">
        <v>5291</v>
      </c>
      <c r="V2947">
        <v>30</v>
      </c>
      <c r="W2947" t="str">
        <f>HYPERLINK("Gene847-zp_tree_all.dnd", "Gene847-tree")</f>
        <v>Gene847-tree</v>
      </c>
      <c r="X2947">
        <v>3</v>
      </c>
      <c r="Y2947">
        <v>6</v>
      </c>
      <c r="Z2947">
        <v>3</v>
      </c>
      <c r="AA2947">
        <v>6</v>
      </c>
      <c r="AB2947">
        <v>0.66666999999999998</v>
      </c>
      <c r="AC2947" t="s">
        <v>324</v>
      </c>
      <c r="AD2947" t="s">
        <v>90</v>
      </c>
      <c r="AE2947" t="s">
        <v>62</v>
      </c>
      <c r="AF2947" t="s">
        <v>62</v>
      </c>
      <c r="AG2947">
        <v>1</v>
      </c>
      <c r="AH2947">
        <v>2</v>
      </c>
      <c r="AI2947">
        <v>11</v>
      </c>
      <c r="AJ2947">
        <v>0.15384999999999999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2</v>
      </c>
      <c r="AR2947">
        <v>2</v>
      </c>
      <c r="AS2947">
        <v>9</v>
      </c>
      <c r="AT2947">
        <v>0.18182000000000001</v>
      </c>
      <c r="AU2947">
        <v>7</v>
      </c>
      <c r="AV2947">
        <v>5</v>
      </c>
      <c r="AW2947">
        <v>12</v>
      </c>
      <c r="AX2947">
        <v>11</v>
      </c>
      <c r="AY2947">
        <v>11</v>
      </c>
      <c r="AZ2947">
        <v>2</v>
      </c>
      <c r="BA2947" t="s">
        <v>5292</v>
      </c>
      <c r="BB2947" t="s">
        <v>5293</v>
      </c>
      <c r="BC2947">
        <v>1.266</v>
      </c>
      <c r="BD2947" t="s">
        <v>65</v>
      </c>
      <c r="BE2947">
        <v>23</v>
      </c>
      <c r="BF2947">
        <v>13</v>
      </c>
      <c r="BG2947" t="s">
        <v>5294</v>
      </c>
      <c r="BH2947" t="s">
        <v>5295</v>
      </c>
      <c r="BI2947" t="s">
        <v>5296</v>
      </c>
      <c r="BJ2947">
        <v>0.13982</v>
      </c>
      <c r="BK2947">
        <v>1</v>
      </c>
      <c r="BL2947" t="s">
        <v>69</v>
      </c>
      <c r="BM2947">
        <v>-1.5680000000000001</v>
      </c>
      <c r="BN2947">
        <v>-1.5</v>
      </c>
    </row>
    <row r="2948" spans="10:66">
      <c r="J2948">
        <v>0</v>
      </c>
      <c r="K2948">
        <v>0</v>
      </c>
      <c r="L2948">
        <v>0</v>
      </c>
      <c r="M2948" t="s">
        <v>25021</v>
      </c>
      <c r="N2948">
        <v>848</v>
      </c>
      <c r="O2948" t="s">
        <v>5297</v>
      </c>
      <c r="P2948" t="s">
        <v>62</v>
      </c>
      <c r="Q2948">
        <v>886778</v>
      </c>
      <c r="R2948">
        <v>887332</v>
      </c>
      <c r="S2948" t="s">
        <v>3095</v>
      </c>
      <c r="T2948">
        <v>185</v>
      </c>
      <c r="U2948" t="s">
        <v>5298</v>
      </c>
      <c r="V2948">
        <v>37</v>
      </c>
      <c r="W2948" t="str">
        <f>HYPERLINK("Gene848-zp_tree_all.dnd", "Gene848-tree")</f>
        <v>Gene848-tree</v>
      </c>
      <c r="X2948">
        <v>7</v>
      </c>
      <c r="Y2948">
        <v>1</v>
      </c>
      <c r="Z2948">
        <v>7</v>
      </c>
      <c r="AA2948">
        <v>1</v>
      </c>
      <c r="AB2948">
        <v>0.125</v>
      </c>
      <c r="AC2948" t="s">
        <v>152</v>
      </c>
      <c r="AD2948" t="s">
        <v>175</v>
      </c>
      <c r="AE2948" t="s">
        <v>62</v>
      </c>
      <c r="AF2948" t="s">
        <v>62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7</v>
      </c>
      <c r="AV2948">
        <v>2</v>
      </c>
      <c r="AW2948">
        <v>12</v>
      </c>
      <c r="AX2948">
        <v>1</v>
      </c>
      <c r="AY2948">
        <v>2</v>
      </c>
      <c r="AZ2948">
        <v>0</v>
      </c>
      <c r="BA2948" t="s">
        <v>5299</v>
      </c>
      <c r="BB2948" t="s">
        <v>193</v>
      </c>
      <c r="BC2948">
        <v>0.40899999999999997</v>
      </c>
      <c r="BD2948" t="s">
        <v>65</v>
      </c>
      <c r="BE2948">
        <v>14</v>
      </c>
      <c r="BF2948">
        <v>1</v>
      </c>
      <c r="BG2948" t="s">
        <v>5300</v>
      </c>
      <c r="BH2948" t="s">
        <v>5301</v>
      </c>
      <c r="BI2948" t="s">
        <v>5302</v>
      </c>
      <c r="BJ2948">
        <v>1.5890000000000001E-2</v>
      </c>
      <c r="BK2948">
        <v>1</v>
      </c>
      <c r="BL2948" t="s">
        <v>69</v>
      </c>
      <c r="BM2948">
        <v>-1.0629999999999999</v>
      </c>
      <c r="BN2948">
        <v>-2.657</v>
      </c>
    </row>
    <row r="2949" spans="10:66">
      <c r="J2949">
        <v>0</v>
      </c>
      <c r="K2949">
        <v>0</v>
      </c>
      <c r="L2949">
        <v>0</v>
      </c>
      <c r="M2949" t="s">
        <v>25021</v>
      </c>
      <c r="N2949">
        <v>849</v>
      </c>
      <c r="O2949" t="s">
        <v>5303</v>
      </c>
      <c r="P2949" t="s">
        <v>62</v>
      </c>
      <c r="Q2949">
        <v>887367</v>
      </c>
      <c r="R2949">
        <v>888131</v>
      </c>
      <c r="S2949" t="s">
        <v>116</v>
      </c>
      <c r="T2949">
        <v>255</v>
      </c>
      <c r="U2949" t="s">
        <v>5298</v>
      </c>
      <c r="V2949">
        <v>37</v>
      </c>
      <c r="W2949" t="str">
        <f>HYPERLINK("Gene849-zp_tree_all.dnd", "Gene849-tree")</f>
        <v>Gene849-tree</v>
      </c>
      <c r="X2949">
        <v>26</v>
      </c>
      <c r="Y2949">
        <v>2</v>
      </c>
      <c r="Z2949">
        <v>6</v>
      </c>
      <c r="AA2949">
        <v>2</v>
      </c>
      <c r="AB2949">
        <v>0.25</v>
      </c>
      <c r="AC2949" t="s">
        <v>1030</v>
      </c>
      <c r="AD2949" t="s">
        <v>81</v>
      </c>
      <c r="AE2949" t="s">
        <v>62</v>
      </c>
      <c r="AF2949" t="s">
        <v>62</v>
      </c>
      <c r="AG2949">
        <v>0</v>
      </c>
      <c r="AH2949">
        <v>0</v>
      </c>
      <c r="AI2949">
        <v>4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3</v>
      </c>
      <c r="AT2949">
        <v>0</v>
      </c>
      <c r="AU2949">
        <v>5</v>
      </c>
      <c r="AV2949">
        <v>3</v>
      </c>
      <c r="AW2949">
        <v>9</v>
      </c>
      <c r="AX2949">
        <v>3</v>
      </c>
      <c r="AY2949">
        <v>8</v>
      </c>
      <c r="AZ2949">
        <v>1</v>
      </c>
      <c r="BA2949" t="s">
        <v>5304</v>
      </c>
      <c r="BB2949" t="s">
        <v>5305</v>
      </c>
      <c r="BC2949">
        <v>0.44700000000000001</v>
      </c>
      <c r="BD2949" t="s">
        <v>65</v>
      </c>
      <c r="BE2949">
        <v>17</v>
      </c>
      <c r="BF2949">
        <v>4</v>
      </c>
      <c r="BG2949" t="s">
        <v>5306</v>
      </c>
      <c r="BH2949" t="s">
        <v>5307</v>
      </c>
      <c r="BI2949" t="s">
        <v>5308</v>
      </c>
      <c r="BJ2949">
        <v>5.3129999999999997E-2</v>
      </c>
      <c r="BK2949">
        <v>1</v>
      </c>
      <c r="BL2949" t="s">
        <v>69</v>
      </c>
      <c r="BM2949">
        <v>1.611</v>
      </c>
      <c r="BN2949">
        <v>5.5E-2</v>
      </c>
    </row>
    <row r="2950" spans="10:66">
      <c r="J2950">
        <v>0</v>
      </c>
      <c r="K2950">
        <v>0</v>
      </c>
      <c r="L2950">
        <v>0</v>
      </c>
      <c r="M2950" t="s">
        <v>25021</v>
      </c>
      <c r="N2950">
        <v>850</v>
      </c>
      <c r="O2950" t="s">
        <v>5309</v>
      </c>
      <c r="P2950" t="s">
        <v>62</v>
      </c>
      <c r="Q2950">
        <v>888146</v>
      </c>
      <c r="R2950">
        <v>889366</v>
      </c>
      <c r="S2950" t="s">
        <v>4057</v>
      </c>
      <c r="T2950">
        <v>407</v>
      </c>
      <c r="U2950" t="s">
        <v>5298</v>
      </c>
      <c r="V2950">
        <v>37</v>
      </c>
      <c r="W2950" t="str">
        <f>HYPERLINK("Gene850-zp_tree_all.dnd", "Gene850-tree")</f>
        <v>Gene850-tree</v>
      </c>
      <c r="X2950">
        <v>4</v>
      </c>
      <c r="Y2950">
        <v>5</v>
      </c>
      <c r="Z2950">
        <v>4</v>
      </c>
      <c r="AA2950">
        <v>5</v>
      </c>
      <c r="AB2950">
        <v>0.55556000000000005</v>
      </c>
      <c r="AC2950" t="s">
        <v>61</v>
      </c>
      <c r="AD2950" t="s">
        <v>199</v>
      </c>
      <c r="AE2950" t="s">
        <v>62</v>
      </c>
      <c r="AF2950" t="s">
        <v>62</v>
      </c>
      <c r="AG2950">
        <v>0</v>
      </c>
      <c r="AH2950">
        <v>0</v>
      </c>
      <c r="AI2950">
        <v>8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6</v>
      </c>
      <c r="AT2950">
        <v>0</v>
      </c>
      <c r="AU2950">
        <v>8</v>
      </c>
      <c r="AV2950">
        <v>5</v>
      </c>
      <c r="AW2950">
        <v>46</v>
      </c>
      <c r="AX2950">
        <v>6</v>
      </c>
      <c r="AY2950">
        <v>22</v>
      </c>
      <c r="AZ2950">
        <v>2</v>
      </c>
      <c r="BA2950" t="s">
        <v>5310</v>
      </c>
      <c r="BB2950" t="s">
        <v>5311</v>
      </c>
      <c r="BC2950">
        <v>0.48399999999999999</v>
      </c>
      <c r="BD2950" t="s">
        <v>65</v>
      </c>
      <c r="BE2950">
        <v>68</v>
      </c>
      <c r="BF2950">
        <v>8</v>
      </c>
      <c r="BG2950" t="s">
        <v>5312</v>
      </c>
      <c r="BH2950" t="s">
        <v>5313</v>
      </c>
      <c r="BI2950" t="s">
        <v>5314</v>
      </c>
      <c r="BJ2950">
        <v>4.3029999999999999E-2</v>
      </c>
      <c r="BK2950">
        <v>1</v>
      </c>
      <c r="BL2950" t="s">
        <v>69</v>
      </c>
      <c r="BM2950">
        <v>-0.42599999999999999</v>
      </c>
      <c r="BN2950">
        <v>-1.026</v>
      </c>
    </row>
    <row r="2951" spans="10:66">
      <c r="J2951">
        <v>0</v>
      </c>
      <c r="K2951">
        <v>0</v>
      </c>
      <c r="L2951">
        <v>0</v>
      </c>
      <c r="M2951" t="s">
        <v>25021</v>
      </c>
      <c r="N2951">
        <v>851</v>
      </c>
      <c r="O2951" t="s">
        <v>5315</v>
      </c>
      <c r="P2951" t="s">
        <v>62</v>
      </c>
      <c r="Q2951">
        <v>889375</v>
      </c>
      <c r="R2951">
        <v>889686</v>
      </c>
      <c r="S2951" t="s">
        <v>288</v>
      </c>
      <c r="T2951">
        <v>104</v>
      </c>
      <c r="U2951" t="s">
        <v>409</v>
      </c>
      <c r="V2951">
        <v>45</v>
      </c>
      <c r="W2951" t="str">
        <f>HYPERLINK("Gene851-zp_tree_all.dnd", "Gene851-tree")</f>
        <v>Gene851-tree</v>
      </c>
      <c r="X2951">
        <v>6</v>
      </c>
      <c r="Y2951">
        <v>5</v>
      </c>
      <c r="Z2951">
        <v>6</v>
      </c>
      <c r="AA2951">
        <v>5</v>
      </c>
      <c r="AB2951">
        <v>0.45455000000000001</v>
      </c>
      <c r="AC2951" t="s">
        <v>90</v>
      </c>
      <c r="AD2951" t="s">
        <v>199</v>
      </c>
      <c r="AE2951" t="s">
        <v>62</v>
      </c>
      <c r="AF2951" t="s">
        <v>62</v>
      </c>
      <c r="AG2951">
        <v>0</v>
      </c>
      <c r="AH2951">
        <v>0</v>
      </c>
      <c r="AI2951">
        <v>8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7</v>
      </c>
      <c r="AT2951">
        <v>0</v>
      </c>
      <c r="AU2951">
        <v>8</v>
      </c>
      <c r="AV2951">
        <v>3</v>
      </c>
      <c r="AW2951">
        <v>12</v>
      </c>
      <c r="AX2951">
        <v>7</v>
      </c>
      <c r="AY2951">
        <v>2</v>
      </c>
      <c r="AZ2951">
        <v>1</v>
      </c>
      <c r="BA2951" t="s">
        <v>5316</v>
      </c>
      <c r="BB2951" t="s">
        <v>5317</v>
      </c>
      <c r="BC2951">
        <v>5.1999999999999998E-2</v>
      </c>
      <c r="BD2951" t="s">
        <v>65</v>
      </c>
      <c r="BE2951">
        <v>14</v>
      </c>
      <c r="BF2951">
        <v>8</v>
      </c>
      <c r="BG2951" t="s">
        <v>5318</v>
      </c>
      <c r="BH2951" t="s">
        <v>5319</v>
      </c>
      <c r="BI2951" t="s">
        <v>5320</v>
      </c>
      <c r="BJ2951">
        <v>0.15598000000000001</v>
      </c>
      <c r="BK2951">
        <v>1</v>
      </c>
      <c r="BL2951" t="s">
        <v>69</v>
      </c>
      <c r="BM2951">
        <v>-2.028</v>
      </c>
      <c r="BN2951">
        <v>-3.9380000000000002</v>
      </c>
    </row>
    <row r="2952" spans="10:66">
      <c r="J2952">
        <v>0</v>
      </c>
      <c r="K2952">
        <v>0</v>
      </c>
      <c r="L2952">
        <v>0</v>
      </c>
      <c r="M2952" t="s">
        <v>25021</v>
      </c>
      <c r="N2952">
        <v>868</v>
      </c>
      <c r="O2952" t="s">
        <v>5420</v>
      </c>
      <c r="P2952" t="s">
        <v>62</v>
      </c>
      <c r="Q2952">
        <v>909201</v>
      </c>
      <c r="R2952">
        <v>909746</v>
      </c>
      <c r="S2952" t="s">
        <v>5421</v>
      </c>
      <c r="T2952">
        <v>182</v>
      </c>
      <c r="U2952" t="s">
        <v>5422</v>
      </c>
      <c r="V2952">
        <v>37</v>
      </c>
      <c r="W2952" t="str">
        <f>HYPERLINK("Gene868-zp_tree_all.dnd", "Gene868-tree")</f>
        <v>Gene868-tree</v>
      </c>
      <c r="X2952">
        <v>7</v>
      </c>
      <c r="Y2952">
        <v>3</v>
      </c>
      <c r="Z2952">
        <v>7</v>
      </c>
      <c r="AA2952">
        <v>3</v>
      </c>
      <c r="AB2952">
        <v>0.3</v>
      </c>
      <c r="AC2952" t="s">
        <v>152</v>
      </c>
      <c r="AD2952" t="s">
        <v>324</v>
      </c>
      <c r="AE2952" t="s">
        <v>62</v>
      </c>
      <c r="AF2952" t="s">
        <v>62</v>
      </c>
      <c r="AG2952">
        <v>0</v>
      </c>
      <c r="AH2952">
        <v>0</v>
      </c>
      <c r="AI2952">
        <v>8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8</v>
      </c>
      <c r="AT2952">
        <v>0</v>
      </c>
      <c r="AU2952">
        <v>6</v>
      </c>
      <c r="AV2952">
        <v>4</v>
      </c>
      <c r="AW2952">
        <v>18</v>
      </c>
      <c r="AX2952">
        <v>7</v>
      </c>
      <c r="AY2952">
        <v>5</v>
      </c>
      <c r="AZ2952">
        <v>1</v>
      </c>
      <c r="BA2952" t="s">
        <v>5423</v>
      </c>
      <c r="BB2952" t="s">
        <v>5424</v>
      </c>
      <c r="BC2952">
        <v>0.21</v>
      </c>
      <c r="BD2952" t="s">
        <v>65</v>
      </c>
      <c r="BE2952">
        <v>23</v>
      </c>
      <c r="BF2952">
        <v>8</v>
      </c>
      <c r="BG2952" t="s">
        <v>5425</v>
      </c>
      <c r="BH2952" t="s">
        <v>5426</v>
      </c>
      <c r="BI2952" t="s">
        <v>5427</v>
      </c>
      <c r="BJ2952">
        <v>8.6029999999999995E-2</v>
      </c>
      <c r="BK2952">
        <v>1</v>
      </c>
      <c r="BL2952" t="s">
        <v>69</v>
      </c>
      <c r="BM2952">
        <v>-2.032</v>
      </c>
      <c r="BN2952">
        <v>-3.746</v>
      </c>
    </row>
    <row r="2953" spans="10:66">
      <c r="J2953">
        <v>0</v>
      </c>
      <c r="K2953">
        <v>2</v>
      </c>
      <c r="L2953">
        <v>2</v>
      </c>
      <c r="M2953" t="s">
        <v>25021</v>
      </c>
      <c r="N2953">
        <v>871</v>
      </c>
      <c r="O2953" t="s">
        <v>5441</v>
      </c>
      <c r="P2953" t="s">
        <v>62</v>
      </c>
      <c r="Q2953">
        <v>911967</v>
      </c>
      <c r="R2953">
        <v>912581</v>
      </c>
      <c r="S2953" t="s">
        <v>5442</v>
      </c>
      <c r="T2953">
        <v>205</v>
      </c>
      <c r="U2953" t="s">
        <v>5443</v>
      </c>
      <c r="V2953">
        <v>32</v>
      </c>
      <c r="W2953" t="str">
        <f>HYPERLINK("Gene871-zp_tree_all.dnd", "Gene871-tree")</f>
        <v>Gene871-tree</v>
      </c>
      <c r="X2953">
        <v>1</v>
      </c>
      <c r="Y2953">
        <v>5</v>
      </c>
      <c r="Z2953">
        <v>1</v>
      </c>
      <c r="AA2953">
        <v>5</v>
      </c>
      <c r="AB2953">
        <v>0.83333000000000002</v>
      </c>
      <c r="AC2953" t="s">
        <v>175</v>
      </c>
      <c r="AD2953" t="s">
        <v>199</v>
      </c>
      <c r="AE2953" t="s">
        <v>62</v>
      </c>
      <c r="AF2953" t="s">
        <v>62</v>
      </c>
      <c r="AG2953">
        <v>2</v>
      </c>
      <c r="AH2953">
        <v>4</v>
      </c>
      <c r="AI2953">
        <v>9</v>
      </c>
      <c r="AJ2953">
        <v>0.30769000000000002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2</v>
      </c>
      <c r="AQ2953">
        <v>0</v>
      </c>
      <c r="AR2953">
        <v>2</v>
      </c>
      <c r="AS2953">
        <v>5</v>
      </c>
      <c r="AT2953">
        <v>0.28571000000000002</v>
      </c>
      <c r="AU2953">
        <v>4</v>
      </c>
      <c r="AV2953">
        <v>4</v>
      </c>
      <c r="AW2953">
        <v>3</v>
      </c>
      <c r="AX2953">
        <v>6</v>
      </c>
      <c r="AY2953">
        <v>11</v>
      </c>
      <c r="AZ2953">
        <v>7</v>
      </c>
      <c r="BA2953" t="s">
        <v>5444</v>
      </c>
      <c r="BB2953" t="s">
        <v>5445</v>
      </c>
      <c r="BC2953">
        <v>0.88800000000000001</v>
      </c>
      <c r="BD2953" t="s">
        <v>65</v>
      </c>
      <c r="BE2953">
        <v>14</v>
      </c>
      <c r="BF2953">
        <v>13</v>
      </c>
      <c r="BG2953" t="s">
        <v>5446</v>
      </c>
      <c r="BH2953" t="s">
        <v>5447</v>
      </c>
      <c r="BI2953" t="s">
        <v>5448</v>
      </c>
      <c r="BJ2953">
        <v>0.22317999999999999</v>
      </c>
      <c r="BK2953">
        <v>1</v>
      </c>
      <c r="BL2953" t="s">
        <v>69</v>
      </c>
      <c r="BM2953">
        <v>1.3129999999999999</v>
      </c>
      <c r="BN2953">
        <v>1.1679999999999999</v>
      </c>
    </row>
    <row r="2954" spans="10:66">
      <c r="J2954">
        <v>2</v>
      </c>
      <c r="K2954">
        <v>24</v>
      </c>
      <c r="L2954">
        <v>7</v>
      </c>
      <c r="M2954" t="s">
        <v>25021</v>
      </c>
      <c r="N2954">
        <v>874</v>
      </c>
      <c r="O2954" t="s">
        <v>5457</v>
      </c>
      <c r="P2954" t="s">
        <v>62</v>
      </c>
      <c r="Q2954">
        <v>914460</v>
      </c>
      <c r="R2954">
        <v>916013</v>
      </c>
      <c r="S2954" t="s">
        <v>2641</v>
      </c>
      <c r="T2954">
        <v>518</v>
      </c>
      <c r="U2954" t="s">
        <v>108</v>
      </c>
      <c r="V2954">
        <v>44</v>
      </c>
      <c r="W2954" t="str">
        <f>HYPERLINK("Gene874-zp_tree_all.dnd", "Gene874-tree")</f>
        <v>Gene874-tree</v>
      </c>
      <c r="X2954">
        <v>1</v>
      </c>
      <c r="Y2954">
        <v>14</v>
      </c>
      <c r="Z2954">
        <v>1</v>
      </c>
      <c r="AA2954">
        <v>14</v>
      </c>
      <c r="AB2954">
        <v>0.93332999999999999</v>
      </c>
      <c r="AC2954" t="s">
        <v>175</v>
      </c>
      <c r="AD2954" t="s">
        <v>543</v>
      </c>
      <c r="AE2954">
        <v>1865302226.941</v>
      </c>
      <c r="AF2954" t="s">
        <v>267</v>
      </c>
      <c r="AG2954">
        <v>13</v>
      </c>
      <c r="AH2954">
        <v>33</v>
      </c>
      <c r="AI2954">
        <v>24</v>
      </c>
      <c r="AJ2954">
        <v>0.57894999999999996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15</v>
      </c>
      <c r="AQ2954">
        <v>8</v>
      </c>
      <c r="AR2954">
        <v>23</v>
      </c>
      <c r="AS2954">
        <v>25</v>
      </c>
      <c r="AT2954">
        <v>0.47916999999999998</v>
      </c>
      <c r="AU2954">
        <v>14</v>
      </c>
      <c r="AV2954">
        <v>10</v>
      </c>
      <c r="AW2954">
        <v>98</v>
      </c>
      <c r="AX2954">
        <v>47</v>
      </c>
      <c r="AY2954">
        <v>31</v>
      </c>
      <c r="AZ2954">
        <v>10</v>
      </c>
      <c r="BA2954" t="s">
        <v>5458</v>
      </c>
      <c r="BB2954" t="s">
        <v>5459</v>
      </c>
      <c r="BC2954">
        <v>0.75800000000000001</v>
      </c>
      <c r="BD2954" t="s">
        <v>65</v>
      </c>
      <c r="BE2954">
        <v>129</v>
      </c>
      <c r="BF2954">
        <v>57</v>
      </c>
      <c r="BG2954" t="s">
        <v>5460</v>
      </c>
      <c r="BH2954" t="s">
        <v>5461</v>
      </c>
      <c r="BI2954" t="s">
        <v>5462</v>
      </c>
      <c r="BJ2954">
        <v>0.13105</v>
      </c>
      <c r="BK2954">
        <v>1</v>
      </c>
      <c r="BL2954" t="s">
        <v>69</v>
      </c>
      <c r="BM2954">
        <v>-0.85499999999999998</v>
      </c>
      <c r="BN2954">
        <v>-2.0630000000000002</v>
      </c>
    </row>
    <row r="2955" spans="10:66">
      <c r="J2955">
        <v>0</v>
      </c>
      <c r="K2955">
        <v>4</v>
      </c>
      <c r="L2955">
        <v>0</v>
      </c>
      <c r="M2955" t="s">
        <v>25021</v>
      </c>
      <c r="N2955">
        <v>875</v>
      </c>
      <c r="O2955" t="s">
        <v>5463</v>
      </c>
      <c r="P2955" t="s">
        <v>62</v>
      </c>
      <c r="Q2955">
        <v>916127</v>
      </c>
      <c r="R2955">
        <v>916606</v>
      </c>
      <c r="S2955" t="s">
        <v>3745</v>
      </c>
      <c r="T2955">
        <v>160</v>
      </c>
      <c r="U2955" t="s">
        <v>108</v>
      </c>
      <c r="V2955">
        <v>44</v>
      </c>
      <c r="W2955" t="str">
        <f>HYPERLINK("Gene875-zp_tree_all.dnd", "Gene875-tree")</f>
        <v>Gene875-tree</v>
      </c>
      <c r="X2955">
        <v>9</v>
      </c>
      <c r="Y2955">
        <v>4</v>
      </c>
      <c r="Z2955">
        <v>9</v>
      </c>
      <c r="AA2955">
        <v>4</v>
      </c>
      <c r="AB2955">
        <v>0.30769000000000002</v>
      </c>
      <c r="AC2955" t="s">
        <v>135</v>
      </c>
      <c r="AD2955" t="s">
        <v>61</v>
      </c>
      <c r="AE2955" t="s">
        <v>62</v>
      </c>
      <c r="AF2955" t="s">
        <v>62</v>
      </c>
      <c r="AG2955">
        <v>2</v>
      </c>
      <c r="AH2955">
        <v>4</v>
      </c>
      <c r="AI2955">
        <v>4</v>
      </c>
      <c r="AJ2955">
        <v>0.5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6</v>
      </c>
      <c r="AT2955">
        <v>0</v>
      </c>
      <c r="AU2955">
        <v>11</v>
      </c>
      <c r="AV2955">
        <v>8</v>
      </c>
      <c r="AW2955">
        <v>17</v>
      </c>
      <c r="AX2955">
        <v>6</v>
      </c>
      <c r="AY2955">
        <v>11</v>
      </c>
      <c r="AZ2955">
        <v>2</v>
      </c>
      <c r="BA2955" t="s">
        <v>5464</v>
      </c>
      <c r="BB2955" t="s">
        <v>5465</v>
      </c>
      <c r="BC2955">
        <v>0.51</v>
      </c>
      <c r="BD2955" t="s">
        <v>65</v>
      </c>
      <c r="BE2955">
        <v>28</v>
      </c>
      <c r="BF2955">
        <v>8</v>
      </c>
      <c r="BG2955" t="s">
        <v>5466</v>
      </c>
      <c r="BH2955" t="s">
        <v>5467</v>
      </c>
      <c r="BI2955" t="s">
        <v>5468</v>
      </c>
      <c r="BJ2955">
        <v>6.3979999999999995E-2</v>
      </c>
      <c r="BK2955">
        <v>1</v>
      </c>
      <c r="BL2955" t="s">
        <v>69</v>
      </c>
      <c r="BM2955">
        <v>2.8000000000000001E-2</v>
      </c>
      <c r="BN2955">
        <v>-0.83699999999999997</v>
      </c>
    </row>
    <row r="2956" spans="10:66">
      <c r="J2956">
        <v>0</v>
      </c>
      <c r="K2956">
        <v>6</v>
      </c>
      <c r="L2956">
        <v>0</v>
      </c>
      <c r="M2956" t="s">
        <v>25021</v>
      </c>
      <c r="N2956">
        <v>877</v>
      </c>
      <c r="O2956" t="s">
        <v>5475</v>
      </c>
      <c r="P2956" t="s">
        <v>62</v>
      </c>
      <c r="Q2956">
        <v>919369</v>
      </c>
      <c r="R2956">
        <v>920343</v>
      </c>
      <c r="S2956" t="s">
        <v>5476</v>
      </c>
      <c r="T2956">
        <v>325</v>
      </c>
      <c r="U2956" t="s">
        <v>289</v>
      </c>
      <c r="V2956">
        <v>46</v>
      </c>
      <c r="W2956" t="str">
        <f>HYPERLINK("Gene877-zp_tree_all.dnd", "Gene877-tree")</f>
        <v>Gene877-tree</v>
      </c>
      <c r="X2956">
        <v>9</v>
      </c>
      <c r="Y2956">
        <v>8</v>
      </c>
      <c r="Z2956">
        <v>9</v>
      </c>
      <c r="AA2956">
        <v>8</v>
      </c>
      <c r="AB2956">
        <v>0.47059000000000001</v>
      </c>
      <c r="AC2956" t="s">
        <v>135</v>
      </c>
      <c r="AD2956" t="s">
        <v>136</v>
      </c>
      <c r="AE2956" t="s">
        <v>62</v>
      </c>
      <c r="AF2956" t="s">
        <v>62</v>
      </c>
      <c r="AG2956">
        <v>3</v>
      </c>
      <c r="AH2956">
        <v>6</v>
      </c>
      <c r="AI2956">
        <v>9</v>
      </c>
      <c r="AJ2956">
        <v>0.4</v>
      </c>
      <c r="AK2956">
        <v>0</v>
      </c>
      <c r="AL2956">
        <v>0</v>
      </c>
      <c r="AM2956">
        <v>0</v>
      </c>
      <c r="AN2956">
        <v>2</v>
      </c>
      <c r="AO2956">
        <v>0</v>
      </c>
      <c r="AP2956">
        <v>2</v>
      </c>
      <c r="AQ2956">
        <v>0</v>
      </c>
      <c r="AR2956">
        <v>2</v>
      </c>
      <c r="AS2956">
        <v>6</v>
      </c>
      <c r="AT2956">
        <v>0.25</v>
      </c>
      <c r="AU2956">
        <v>15</v>
      </c>
      <c r="AV2956">
        <v>12</v>
      </c>
      <c r="AW2956">
        <v>51</v>
      </c>
      <c r="AX2956">
        <v>8</v>
      </c>
      <c r="AY2956">
        <v>36</v>
      </c>
      <c r="AZ2956">
        <v>7</v>
      </c>
      <c r="BA2956" t="s">
        <v>5477</v>
      </c>
      <c r="BB2956" t="s">
        <v>5478</v>
      </c>
      <c r="BC2956">
        <v>0.21299999999999999</v>
      </c>
      <c r="BD2956" t="s">
        <v>65</v>
      </c>
      <c r="BE2956">
        <v>87</v>
      </c>
      <c r="BF2956">
        <v>15</v>
      </c>
      <c r="BG2956" t="s">
        <v>5479</v>
      </c>
      <c r="BH2956" t="s">
        <v>5480</v>
      </c>
      <c r="BI2956" t="s">
        <v>5481</v>
      </c>
      <c r="BJ2956">
        <v>5.142E-2</v>
      </c>
      <c r="BK2956">
        <v>1</v>
      </c>
      <c r="BL2956" t="s">
        <v>69</v>
      </c>
      <c r="BM2956">
        <v>-0.42399999999999999</v>
      </c>
      <c r="BN2956">
        <v>-0.29199999999999998</v>
      </c>
    </row>
    <row r="2957" spans="10:66">
      <c r="J2957">
        <v>0</v>
      </c>
      <c r="K2957">
        <v>4</v>
      </c>
      <c r="L2957">
        <v>0</v>
      </c>
      <c r="M2957" t="s">
        <v>25021</v>
      </c>
      <c r="N2957">
        <v>882</v>
      </c>
      <c r="O2957" t="s">
        <v>5510</v>
      </c>
      <c r="P2957" t="s">
        <v>62</v>
      </c>
      <c r="Q2957">
        <v>924213</v>
      </c>
      <c r="R2957">
        <v>924401</v>
      </c>
      <c r="S2957" t="s">
        <v>288</v>
      </c>
      <c r="T2957">
        <v>63</v>
      </c>
      <c r="U2957" t="s">
        <v>59</v>
      </c>
      <c r="V2957">
        <v>49</v>
      </c>
      <c r="W2957" t="str">
        <f>HYPERLINK("Gene882-zp_tree_all.dnd", "Gene882-tree")</f>
        <v>Gene882-tree</v>
      </c>
      <c r="X2957">
        <v>3</v>
      </c>
      <c r="Y2957">
        <v>6</v>
      </c>
      <c r="Z2957">
        <v>3</v>
      </c>
      <c r="AA2957">
        <v>6</v>
      </c>
      <c r="AB2957">
        <v>0.66666999999999998</v>
      </c>
      <c r="AC2957" t="s">
        <v>324</v>
      </c>
      <c r="AD2957" t="s">
        <v>90</v>
      </c>
      <c r="AE2957" t="s">
        <v>62</v>
      </c>
      <c r="AF2957" t="s">
        <v>62</v>
      </c>
      <c r="AG2957">
        <v>1</v>
      </c>
      <c r="AH2957">
        <v>4</v>
      </c>
      <c r="AI2957">
        <v>2</v>
      </c>
      <c r="AJ2957">
        <v>0.66666999999999998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4</v>
      </c>
      <c r="AQ2957">
        <v>0</v>
      </c>
      <c r="AR2957">
        <v>4</v>
      </c>
      <c r="AS2957">
        <v>2</v>
      </c>
      <c r="AT2957">
        <v>0.66666999999999998</v>
      </c>
      <c r="AU2957">
        <v>7</v>
      </c>
      <c r="AV2957">
        <v>4</v>
      </c>
      <c r="AW2957">
        <v>6</v>
      </c>
      <c r="AX2957">
        <v>5</v>
      </c>
      <c r="AY2957">
        <v>7</v>
      </c>
      <c r="AZ2957">
        <v>1</v>
      </c>
      <c r="BA2957" t="s">
        <v>5511</v>
      </c>
      <c r="BB2957" t="s">
        <v>5512</v>
      </c>
      <c r="BC2957">
        <v>0.96499999999999997</v>
      </c>
      <c r="BD2957" t="s">
        <v>65</v>
      </c>
      <c r="BE2957">
        <v>13</v>
      </c>
      <c r="BF2957">
        <v>6</v>
      </c>
      <c r="BG2957" t="s">
        <v>5513</v>
      </c>
      <c r="BH2957" t="s">
        <v>5514</v>
      </c>
      <c r="BI2957" t="s">
        <v>5515</v>
      </c>
      <c r="BJ2957">
        <v>5.323E-2</v>
      </c>
      <c r="BK2957">
        <v>1</v>
      </c>
      <c r="BL2957" t="s">
        <v>69</v>
      </c>
      <c r="BM2957">
        <v>-0.94399999999999995</v>
      </c>
      <c r="BN2957">
        <v>0.19900000000000001</v>
      </c>
    </row>
    <row r="2958" spans="10:66">
      <c r="J2958">
        <v>0</v>
      </c>
      <c r="K2958">
        <v>0</v>
      </c>
      <c r="L2958">
        <v>0</v>
      </c>
      <c r="M2958" t="s">
        <v>25021</v>
      </c>
      <c r="N2958">
        <v>883</v>
      </c>
      <c r="O2958" t="s">
        <v>5516</v>
      </c>
      <c r="P2958" t="s">
        <v>62</v>
      </c>
      <c r="Q2958">
        <v>924471</v>
      </c>
      <c r="R2958">
        <v>924578</v>
      </c>
      <c r="S2958" t="s">
        <v>2302</v>
      </c>
      <c r="T2958">
        <v>36</v>
      </c>
      <c r="U2958" t="s">
        <v>59</v>
      </c>
      <c r="V2958">
        <v>49</v>
      </c>
      <c r="W2958" t="str">
        <f>HYPERLINK("Gene883-zp_tree_all.dnd", "Gene883-tree")</f>
        <v>Gene883-tree</v>
      </c>
      <c r="X2958">
        <v>32</v>
      </c>
      <c r="Y2958">
        <v>0</v>
      </c>
      <c r="Z2958">
        <v>7</v>
      </c>
      <c r="AA2958">
        <v>0</v>
      </c>
      <c r="AB2958">
        <v>0</v>
      </c>
      <c r="AC2958" t="s">
        <v>5517</v>
      </c>
      <c r="AD2958" t="s">
        <v>62</v>
      </c>
      <c r="AE2958" t="s">
        <v>62</v>
      </c>
      <c r="AF2958" t="s">
        <v>62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5</v>
      </c>
      <c r="AV2958">
        <v>3</v>
      </c>
      <c r="AW2958">
        <v>6</v>
      </c>
      <c r="AX2958">
        <v>0</v>
      </c>
      <c r="AY2958">
        <v>3</v>
      </c>
      <c r="AZ2958">
        <v>0</v>
      </c>
      <c r="BA2958" t="s">
        <v>193</v>
      </c>
      <c r="BB2958" t="s">
        <v>193</v>
      </c>
      <c r="BC2958">
        <v>0</v>
      </c>
      <c r="BD2958" t="s">
        <v>65</v>
      </c>
      <c r="BE2958">
        <v>9</v>
      </c>
      <c r="BF2958">
        <v>0</v>
      </c>
      <c r="BG2958" t="s">
        <v>5518</v>
      </c>
      <c r="BH2958" t="s">
        <v>5519</v>
      </c>
      <c r="BI2958" t="s">
        <v>193</v>
      </c>
      <c r="BJ2958">
        <v>0</v>
      </c>
      <c r="BK2958">
        <v>1</v>
      </c>
      <c r="BL2958" t="s">
        <v>69</v>
      </c>
      <c r="BM2958">
        <v>-0.64400000000000002</v>
      </c>
      <c r="BN2958">
        <v>-0.12</v>
      </c>
    </row>
    <row r="2959" spans="10:66">
      <c r="J2959">
        <v>0</v>
      </c>
      <c r="K2959">
        <v>14</v>
      </c>
      <c r="L2959">
        <v>3</v>
      </c>
      <c r="M2959" t="s">
        <v>25021</v>
      </c>
      <c r="N2959">
        <v>884</v>
      </c>
      <c r="O2959" t="s">
        <v>5520</v>
      </c>
      <c r="P2959" t="s">
        <v>62</v>
      </c>
      <c r="Q2959">
        <v>924636</v>
      </c>
      <c r="R2959">
        <v>925544</v>
      </c>
      <c r="S2959" t="s">
        <v>5521</v>
      </c>
      <c r="T2959">
        <v>303</v>
      </c>
      <c r="U2959" t="s">
        <v>108</v>
      </c>
      <c r="V2959">
        <v>44</v>
      </c>
      <c r="W2959" t="str">
        <f>HYPERLINK("Gene884-zp_tree_all.dnd", "Gene884-tree")</f>
        <v>Gene884-tree</v>
      </c>
      <c r="X2959">
        <v>6</v>
      </c>
      <c r="Y2959">
        <v>11</v>
      </c>
      <c r="Z2959">
        <v>6</v>
      </c>
      <c r="AA2959">
        <v>11</v>
      </c>
      <c r="AB2959">
        <v>0.64705999999999997</v>
      </c>
      <c r="AC2959" t="s">
        <v>90</v>
      </c>
      <c r="AD2959" t="s">
        <v>73</v>
      </c>
      <c r="AE2959">
        <v>95384385.856999993</v>
      </c>
      <c r="AF2959" t="s">
        <v>267</v>
      </c>
      <c r="AG2959">
        <v>7</v>
      </c>
      <c r="AH2959">
        <v>17</v>
      </c>
      <c r="AI2959">
        <v>15</v>
      </c>
      <c r="AJ2959">
        <v>0.53125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6</v>
      </c>
      <c r="AQ2959">
        <v>2</v>
      </c>
      <c r="AR2959">
        <v>8</v>
      </c>
      <c r="AS2959">
        <v>15</v>
      </c>
      <c r="AT2959">
        <v>0.34782999999999997</v>
      </c>
      <c r="AU2959">
        <v>12</v>
      </c>
      <c r="AV2959">
        <v>13</v>
      </c>
      <c r="AW2959">
        <v>28</v>
      </c>
      <c r="AX2959">
        <v>22</v>
      </c>
      <c r="AY2959">
        <v>36</v>
      </c>
      <c r="AZ2959">
        <v>11</v>
      </c>
      <c r="BA2959" t="s">
        <v>5522</v>
      </c>
      <c r="BB2959" t="s">
        <v>5523</v>
      </c>
      <c r="BC2959">
        <v>0.83399999999999996</v>
      </c>
      <c r="BD2959" t="s">
        <v>65</v>
      </c>
      <c r="BE2959">
        <v>64</v>
      </c>
      <c r="BF2959">
        <v>33</v>
      </c>
      <c r="BG2959" t="s">
        <v>5524</v>
      </c>
      <c r="BH2959" t="s">
        <v>5525</v>
      </c>
      <c r="BI2959" t="s">
        <v>5526</v>
      </c>
      <c r="BJ2959">
        <v>0.14396</v>
      </c>
      <c r="BK2959">
        <v>1</v>
      </c>
      <c r="BL2959" t="s">
        <v>69</v>
      </c>
      <c r="BM2959">
        <v>-0.61199999999999999</v>
      </c>
      <c r="BN2959">
        <v>-0.70399999999999996</v>
      </c>
    </row>
    <row r="2960" spans="10:66">
      <c r="J2960">
        <v>0</v>
      </c>
      <c r="K2960">
        <v>0</v>
      </c>
      <c r="L2960">
        <v>0</v>
      </c>
      <c r="M2960" t="s">
        <v>25021</v>
      </c>
      <c r="N2960">
        <v>888</v>
      </c>
      <c r="O2960" t="s">
        <v>5546</v>
      </c>
      <c r="P2960" t="s">
        <v>62</v>
      </c>
      <c r="Q2960">
        <v>928115</v>
      </c>
      <c r="R2960">
        <v>928264</v>
      </c>
      <c r="S2960" t="s">
        <v>389</v>
      </c>
      <c r="T2960">
        <v>50</v>
      </c>
      <c r="U2960" t="s">
        <v>59</v>
      </c>
      <c r="V2960">
        <v>49</v>
      </c>
      <c r="W2960" t="str">
        <f>HYPERLINK("Gene888-zp_tree_all.dnd", "Gene888-tree")</f>
        <v>Gene888-tree</v>
      </c>
      <c r="X2960">
        <v>8</v>
      </c>
      <c r="Y2960">
        <v>2</v>
      </c>
      <c r="Z2960">
        <v>8</v>
      </c>
      <c r="AA2960">
        <v>2</v>
      </c>
      <c r="AB2960">
        <v>0.2</v>
      </c>
      <c r="AC2960" t="s">
        <v>136</v>
      </c>
      <c r="AD2960" t="s">
        <v>81</v>
      </c>
      <c r="AE2960" t="s">
        <v>62</v>
      </c>
      <c r="AF2960" t="s">
        <v>62</v>
      </c>
      <c r="AG2960">
        <v>0</v>
      </c>
      <c r="AH2960">
        <v>0</v>
      </c>
      <c r="AI2960">
        <v>2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2</v>
      </c>
      <c r="AT2960">
        <v>0</v>
      </c>
      <c r="AU2960">
        <v>5</v>
      </c>
      <c r="AV2960">
        <v>5</v>
      </c>
      <c r="AW2960">
        <v>3</v>
      </c>
      <c r="AX2960">
        <v>2</v>
      </c>
      <c r="AY2960">
        <v>5</v>
      </c>
      <c r="AZ2960">
        <v>0</v>
      </c>
      <c r="BA2960" t="s">
        <v>5547</v>
      </c>
      <c r="BB2960" t="s">
        <v>193</v>
      </c>
      <c r="BC2960">
        <v>1.032</v>
      </c>
      <c r="BD2960" t="s">
        <v>65</v>
      </c>
      <c r="BE2960">
        <v>8</v>
      </c>
      <c r="BF2960">
        <v>2</v>
      </c>
      <c r="BG2960" t="s">
        <v>5548</v>
      </c>
      <c r="BH2960" t="s">
        <v>5549</v>
      </c>
      <c r="BI2960" t="s">
        <v>5550</v>
      </c>
      <c r="BJ2960">
        <v>3.3739999999999999E-2</v>
      </c>
      <c r="BK2960">
        <v>1</v>
      </c>
      <c r="BL2960" t="s">
        <v>69</v>
      </c>
      <c r="BM2960">
        <v>-1.34</v>
      </c>
      <c r="BN2960">
        <v>-1.2729999999999999</v>
      </c>
    </row>
    <row r="2961" spans="10:66">
      <c r="J2961">
        <v>0</v>
      </c>
      <c r="K2961">
        <v>3</v>
      </c>
      <c r="L2961">
        <v>0</v>
      </c>
      <c r="M2961" t="s">
        <v>25021</v>
      </c>
      <c r="N2961">
        <v>895</v>
      </c>
      <c r="O2961" t="s">
        <v>5588</v>
      </c>
      <c r="P2961" t="s">
        <v>62</v>
      </c>
      <c r="Q2961">
        <v>934460</v>
      </c>
      <c r="R2961">
        <v>935440</v>
      </c>
      <c r="S2961" t="s">
        <v>5589</v>
      </c>
      <c r="T2961">
        <v>327</v>
      </c>
      <c r="U2961" t="s">
        <v>698</v>
      </c>
      <c r="V2961">
        <v>47</v>
      </c>
      <c r="W2961" t="str">
        <f>HYPERLINK("Gene895-zp_tree_all.dnd", "Gene895-tree")</f>
        <v>Gene895-tree</v>
      </c>
      <c r="X2961">
        <v>12</v>
      </c>
      <c r="Y2961">
        <v>4</v>
      </c>
      <c r="Z2961">
        <v>12</v>
      </c>
      <c r="AA2961">
        <v>4</v>
      </c>
      <c r="AB2961">
        <v>0.25</v>
      </c>
      <c r="AC2961" t="s">
        <v>109</v>
      </c>
      <c r="AD2961" t="s">
        <v>61</v>
      </c>
      <c r="AE2961" t="s">
        <v>62</v>
      </c>
      <c r="AF2961" t="s">
        <v>62</v>
      </c>
      <c r="AG2961">
        <v>1</v>
      </c>
      <c r="AH2961">
        <v>3</v>
      </c>
      <c r="AI2961">
        <v>3</v>
      </c>
      <c r="AJ2961">
        <v>0.5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2</v>
      </c>
      <c r="AQ2961">
        <v>0</v>
      </c>
      <c r="AR2961">
        <v>2</v>
      </c>
      <c r="AS2961">
        <v>1</v>
      </c>
      <c r="AT2961">
        <v>0.66666999999999998</v>
      </c>
      <c r="AU2961">
        <v>13</v>
      </c>
      <c r="AV2961">
        <v>10</v>
      </c>
      <c r="AW2961">
        <v>31</v>
      </c>
      <c r="AX2961">
        <v>3</v>
      </c>
      <c r="AY2961">
        <v>46</v>
      </c>
      <c r="AZ2961">
        <v>3</v>
      </c>
      <c r="BA2961" t="s">
        <v>5590</v>
      </c>
      <c r="BB2961" t="s">
        <v>5591</v>
      </c>
      <c r="BC2961">
        <v>0.18</v>
      </c>
      <c r="BD2961" t="s">
        <v>65</v>
      </c>
      <c r="BE2961">
        <v>77</v>
      </c>
      <c r="BF2961">
        <v>6</v>
      </c>
      <c r="BG2961" t="s">
        <v>5592</v>
      </c>
      <c r="BH2961" t="s">
        <v>5593</v>
      </c>
      <c r="BI2961" t="s">
        <v>5594</v>
      </c>
      <c r="BJ2961">
        <v>1.951E-2</v>
      </c>
      <c r="BK2961">
        <v>1</v>
      </c>
      <c r="BL2961" t="s">
        <v>69</v>
      </c>
      <c r="BM2961">
        <v>-1.4670000000000001</v>
      </c>
      <c r="BN2961">
        <v>-0.626</v>
      </c>
    </row>
    <row r="2962" spans="10:66">
      <c r="J2962">
        <v>0</v>
      </c>
      <c r="K2962">
        <v>0</v>
      </c>
      <c r="L2962">
        <v>0</v>
      </c>
      <c r="M2962" t="s">
        <v>25021</v>
      </c>
      <c r="N2962">
        <v>897</v>
      </c>
      <c r="O2962" t="s">
        <v>5602</v>
      </c>
      <c r="P2962" t="s">
        <v>62</v>
      </c>
      <c r="Q2962">
        <v>936776</v>
      </c>
      <c r="R2962">
        <v>936997</v>
      </c>
      <c r="S2962" t="s">
        <v>5603</v>
      </c>
      <c r="T2962">
        <v>74</v>
      </c>
      <c r="U2962" t="s">
        <v>59</v>
      </c>
      <c r="V2962">
        <v>49</v>
      </c>
      <c r="W2962" t="str">
        <f>HYPERLINK("Gene897-zp_tree_all.dnd", "Gene897-tree")</f>
        <v>Gene897-tree</v>
      </c>
      <c r="X2962">
        <v>42</v>
      </c>
      <c r="Y2962">
        <v>4</v>
      </c>
      <c r="Z2962">
        <v>6</v>
      </c>
      <c r="AA2962">
        <v>4</v>
      </c>
      <c r="AB2962">
        <v>0.4</v>
      </c>
      <c r="AC2962" t="s">
        <v>5604</v>
      </c>
      <c r="AD2962" t="s">
        <v>61</v>
      </c>
      <c r="AE2962" t="s">
        <v>62</v>
      </c>
      <c r="AF2962" t="s">
        <v>62</v>
      </c>
      <c r="AG2962">
        <v>0</v>
      </c>
      <c r="AH2962">
        <v>0</v>
      </c>
      <c r="AI2962">
        <v>5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4</v>
      </c>
      <c r="AT2962">
        <v>0</v>
      </c>
      <c r="AU2962">
        <v>8</v>
      </c>
      <c r="AV2962">
        <v>2</v>
      </c>
      <c r="AW2962">
        <v>5</v>
      </c>
      <c r="AX2962">
        <v>4</v>
      </c>
      <c r="AY2962">
        <v>5</v>
      </c>
      <c r="AZ2962">
        <v>1</v>
      </c>
      <c r="BA2962" t="s">
        <v>5605</v>
      </c>
      <c r="BB2962" t="s">
        <v>5606</v>
      </c>
      <c r="BC2962">
        <v>0.91300000000000003</v>
      </c>
      <c r="BD2962" t="s">
        <v>65</v>
      </c>
      <c r="BE2962">
        <v>10</v>
      </c>
      <c r="BF2962">
        <v>5</v>
      </c>
      <c r="BG2962" t="s">
        <v>5607</v>
      </c>
      <c r="BH2962" t="s">
        <v>5608</v>
      </c>
      <c r="BI2962" t="s">
        <v>5609</v>
      </c>
      <c r="BJ2962">
        <v>8.9829999999999993E-2</v>
      </c>
      <c r="BK2962">
        <v>1</v>
      </c>
      <c r="BL2962" t="s">
        <v>69</v>
      </c>
      <c r="BM2962">
        <v>-1.5940000000000001</v>
      </c>
      <c r="BN2962">
        <v>-1.8260000000000001</v>
      </c>
    </row>
    <row r="2963" spans="10:66">
      <c r="J2963">
        <v>0</v>
      </c>
      <c r="K2963">
        <v>4</v>
      </c>
      <c r="L2963">
        <v>0</v>
      </c>
      <c r="M2963" t="s">
        <v>25021</v>
      </c>
      <c r="N2963">
        <v>903</v>
      </c>
      <c r="O2963" t="s">
        <v>5638</v>
      </c>
      <c r="P2963" t="s">
        <v>62</v>
      </c>
      <c r="Q2963">
        <v>941171</v>
      </c>
      <c r="R2963">
        <v>942229</v>
      </c>
      <c r="S2963" t="s">
        <v>4095</v>
      </c>
      <c r="T2963">
        <v>353</v>
      </c>
      <c r="U2963" t="s">
        <v>59</v>
      </c>
      <c r="V2963">
        <v>49</v>
      </c>
      <c r="W2963" t="str">
        <f>HYPERLINK("Gene903-zp_tree_all.dnd", "Gene903-tree")</f>
        <v>Gene903-tree</v>
      </c>
      <c r="X2963">
        <v>12</v>
      </c>
      <c r="Y2963">
        <v>4</v>
      </c>
      <c r="Z2963">
        <v>12</v>
      </c>
      <c r="AA2963">
        <v>4</v>
      </c>
      <c r="AB2963">
        <v>0.25</v>
      </c>
      <c r="AC2963" t="s">
        <v>109</v>
      </c>
      <c r="AD2963" t="s">
        <v>61</v>
      </c>
      <c r="AE2963" t="s">
        <v>62</v>
      </c>
      <c r="AF2963" t="s">
        <v>62</v>
      </c>
      <c r="AG2963">
        <v>2</v>
      </c>
      <c r="AH2963">
        <v>4</v>
      </c>
      <c r="AI2963">
        <v>6</v>
      </c>
      <c r="AJ2963">
        <v>0.4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2</v>
      </c>
      <c r="AQ2963">
        <v>0</v>
      </c>
      <c r="AR2963">
        <v>2</v>
      </c>
      <c r="AS2963">
        <v>2</v>
      </c>
      <c r="AT2963">
        <v>0.5</v>
      </c>
      <c r="AU2963">
        <v>14</v>
      </c>
      <c r="AV2963">
        <v>10</v>
      </c>
      <c r="AW2963">
        <v>31</v>
      </c>
      <c r="AX2963">
        <v>4</v>
      </c>
      <c r="AY2963">
        <v>54</v>
      </c>
      <c r="AZ2963">
        <v>6</v>
      </c>
      <c r="BA2963" t="s">
        <v>5639</v>
      </c>
      <c r="BB2963" t="s">
        <v>5640</v>
      </c>
      <c r="BC2963">
        <v>0.11799999999999999</v>
      </c>
      <c r="BD2963" t="s">
        <v>65</v>
      </c>
      <c r="BE2963">
        <v>85</v>
      </c>
      <c r="BF2963">
        <v>10</v>
      </c>
      <c r="BG2963" t="s">
        <v>5641</v>
      </c>
      <c r="BH2963" t="s">
        <v>5642</v>
      </c>
      <c r="BI2963" t="s">
        <v>5643</v>
      </c>
      <c r="BJ2963">
        <v>3.3399999999999999E-2</v>
      </c>
      <c r="BK2963">
        <v>1</v>
      </c>
      <c r="BL2963" t="s">
        <v>69</v>
      </c>
      <c r="BM2963">
        <v>-0.74299999999999999</v>
      </c>
      <c r="BN2963">
        <v>-9.9000000000000005E-2</v>
      </c>
    </row>
    <row r="2964" spans="10:66">
      <c r="J2964">
        <v>0</v>
      </c>
      <c r="K2964">
        <v>5</v>
      </c>
      <c r="L2964">
        <v>0</v>
      </c>
      <c r="M2964" t="s">
        <v>25021</v>
      </c>
      <c r="N2964">
        <v>904</v>
      </c>
      <c r="O2964" t="s">
        <v>5644</v>
      </c>
      <c r="P2964" t="s">
        <v>62</v>
      </c>
      <c r="Q2964">
        <v>942452</v>
      </c>
      <c r="R2964">
        <v>943738</v>
      </c>
      <c r="S2964" t="s">
        <v>5645</v>
      </c>
      <c r="T2964">
        <v>429</v>
      </c>
      <c r="U2964" t="s">
        <v>108</v>
      </c>
      <c r="V2964">
        <v>44</v>
      </c>
      <c r="W2964" t="str">
        <f>HYPERLINK("Gene904-zp_tree_all.dnd", "Gene904-tree")</f>
        <v>Gene904-tree</v>
      </c>
      <c r="X2964">
        <v>4</v>
      </c>
      <c r="Y2964">
        <v>9</v>
      </c>
      <c r="Z2964">
        <v>4</v>
      </c>
      <c r="AA2964">
        <v>9</v>
      </c>
      <c r="AB2964">
        <v>0.69230999999999998</v>
      </c>
      <c r="AC2964" t="s">
        <v>61</v>
      </c>
      <c r="AD2964" t="s">
        <v>135</v>
      </c>
      <c r="AE2964" t="s">
        <v>62</v>
      </c>
      <c r="AF2964" t="s">
        <v>62</v>
      </c>
      <c r="AG2964">
        <v>2</v>
      </c>
      <c r="AH2964">
        <v>5</v>
      </c>
      <c r="AI2964">
        <v>10</v>
      </c>
      <c r="AJ2964">
        <v>0.33333000000000002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2</v>
      </c>
      <c r="AQ2964">
        <v>0</v>
      </c>
      <c r="AR2964">
        <v>2</v>
      </c>
      <c r="AS2964">
        <v>11</v>
      </c>
      <c r="AT2964">
        <v>0.15384999999999999</v>
      </c>
      <c r="AU2964">
        <v>11</v>
      </c>
      <c r="AV2964">
        <v>7</v>
      </c>
      <c r="AW2964">
        <v>41</v>
      </c>
      <c r="AX2964">
        <v>8</v>
      </c>
      <c r="AY2964">
        <v>44</v>
      </c>
      <c r="AZ2964">
        <v>7</v>
      </c>
      <c r="BA2964" t="s">
        <v>5646</v>
      </c>
      <c r="BB2964" t="s">
        <v>5647</v>
      </c>
      <c r="BC2964">
        <v>0.28299999999999997</v>
      </c>
      <c r="BD2964" t="s">
        <v>65</v>
      </c>
      <c r="BE2964">
        <v>85</v>
      </c>
      <c r="BF2964">
        <v>15</v>
      </c>
      <c r="BG2964" t="s">
        <v>5648</v>
      </c>
      <c r="BH2964" t="s">
        <v>5649</v>
      </c>
      <c r="BI2964" t="s">
        <v>5650</v>
      </c>
      <c r="BJ2964">
        <v>4.7539999999999999E-2</v>
      </c>
      <c r="BK2964">
        <v>1</v>
      </c>
      <c r="BL2964" t="s">
        <v>69</v>
      </c>
      <c r="BM2964">
        <v>-8.0000000000000002E-3</v>
      </c>
      <c r="BN2964">
        <v>-0.61299999999999999</v>
      </c>
    </row>
    <row r="2965" spans="10:66">
      <c r="J2965">
        <v>0</v>
      </c>
      <c r="K2965">
        <v>0</v>
      </c>
      <c r="L2965">
        <v>0</v>
      </c>
      <c r="M2965" t="s">
        <v>25021</v>
      </c>
      <c r="N2965">
        <v>907</v>
      </c>
      <c r="O2965" t="s">
        <v>5665</v>
      </c>
      <c r="P2965" t="s">
        <v>62</v>
      </c>
      <c r="Q2965">
        <v>944962</v>
      </c>
      <c r="R2965">
        <v>945312</v>
      </c>
      <c r="S2965" t="s">
        <v>4095</v>
      </c>
      <c r="T2965">
        <v>117</v>
      </c>
      <c r="U2965" t="s">
        <v>125</v>
      </c>
      <c r="V2965">
        <v>48</v>
      </c>
      <c r="W2965" t="str">
        <f>HYPERLINK("Gene907-zp_tree_all.dnd", "Gene907-tree")</f>
        <v>Gene907-tree</v>
      </c>
      <c r="X2965">
        <v>12</v>
      </c>
      <c r="Y2965">
        <v>1</v>
      </c>
      <c r="Z2965">
        <v>12</v>
      </c>
      <c r="AA2965">
        <v>1</v>
      </c>
      <c r="AB2965">
        <v>7.6920000000000002E-2</v>
      </c>
      <c r="AC2965" t="s">
        <v>109</v>
      </c>
      <c r="AD2965" t="s">
        <v>175</v>
      </c>
      <c r="AE2965" t="s">
        <v>62</v>
      </c>
      <c r="AF2965" t="s">
        <v>62</v>
      </c>
      <c r="AG2965">
        <v>0</v>
      </c>
      <c r="AH2965">
        <v>0</v>
      </c>
      <c r="AI2965">
        <v>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9</v>
      </c>
      <c r="AV2965">
        <v>6</v>
      </c>
      <c r="AW2965">
        <v>14</v>
      </c>
      <c r="AX2965">
        <v>2</v>
      </c>
      <c r="AY2965">
        <v>23</v>
      </c>
      <c r="AZ2965">
        <v>1</v>
      </c>
      <c r="BA2965" t="s">
        <v>5666</v>
      </c>
      <c r="BB2965" t="s">
        <v>5667</v>
      </c>
      <c r="BC2965">
        <v>0.245</v>
      </c>
      <c r="BD2965" t="s">
        <v>65</v>
      </c>
      <c r="BE2965">
        <v>37</v>
      </c>
      <c r="BF2965">
        <v>3</v>
      </c>
      <c r="BG2965" t="s">
        <v>5668</v>
      </c>
      <c r="BH2965" t="s">
        <v>5669</v>
      </c>
      <c r="BI2965" t="s">
        <v>5670</v>
      </c>
      <c r="BJ2965">
        <v>1.8380000000000001E-2</v>
      </c>
      <c r="BK2965">
        <v>1</v>
      </c>
      <c r="BL2965" t="s">
        <v>69</v>
      </c>
      <c r="BM2965">
        <v>-0.32700000000000001</v>
      </c>
      <c r="BN2965">
        <v>-0.28999999999999998</v>
      </c>
    </row>
    <row r="2966" spans="10:66">
      <c r="J2966">
        <v>0</v>
      </c>
      <c r="K2966">
        <v>0</v>
      </c>
      <c r="L2966">
        <v>2</v>
      </c>
      <c r="M2966" t="s">
        <v>25021</v>
      </c>
      <c r="N2966">
        <v>909</v>
      </c>
      <c r="O2966" t="s">
        <v>5676</v>
      </c>
      <c r="P2966" t="s">
        <v>62</v>
      </c>
      <c r="Q2966">
        <v>953376</v>
      </c>
      <c r="R2966">
        <v>954149</v>
      </c>
      <c r="S2966" t="s">
        <v>5677</v>
      </c>
      <c r="T2966">
        <v>258</v>
      </c>
      <c r="U2966" t="s">
        <v>108</v>
      </c>
      <c r="V2966">
        <v>44</v>
      </c>
      <c r="W2966" t="str">
        <f>HYPERLINK("Gene909-zp_tree_all.dnd", "Gene909-tree")</f>
        <v>Gene909-tree</v>
      </c>
      <c r="X2966">
        <v>2</v>
      </c>
      <c r="Y2966">
        <v>8</v>
      </c>
      <c r="Z2966">
        <v>2</v>
      </c>
      <c r="AA2966">
        <v>8</v>
      </c>
      <c r="AB2966">
        <v>0.8</v>
      </c>
      <c r="AC2966" t="s">
        <v>81</v>
      </c>
      <c r="AD2966" t="s">
        <v>136</v>
      </c>
      <c r="AE2966" t="s">
        <v>62</v>
      </c>
      <c r="AF2966" t="s">
        <v>62</v>
      </c>
      <c r="AG2966">
        <v>1</v>
      </c>
      <c r="AH2966">
        <v>2</v>
      </c>
      <c r="AI2966">
        <v>12</v>
      </c>
      <c r="AJ2966">
        <v>0.14285999999999999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2</v>
      </c>
      <c r="AR2966">
        <v>2</v>
      </c>
      <c r="AS2966">
        <v>10</v>
      </c>
      <c r="AT2966">
        <v>0.16667000000000001</v>
      </c>
      <c r="AU2966">
        <v>8</v>
      </c>
      <c r="AV2966">
        <v>6</v>
      </c>
      <c r="AW2966">
        <v>21</v>
      </c>
      <c r="AX2966">
        <v>11</v>
      </c>
      <c r="AY2966">
        <v>16</v>
      </c>
      <c r="AZ2966">
        <v>3</v>
      </c>
      <c r="BA2966" t="s">
        <v>5678</v>
      </c>
      <c r="BB2966" t="s">
        <v>5679</v>
      </c>
      <c r="BC2966">
        <v>1.113</v>
      </c>
      <c r="BD2966" t="s">
        <v>65</v>
      </c>
      <c r="BE2966">
        <v>37</v>
      </c>
      <c r="BF2966">
        <v>14</v>
      </c>
      <c r="BG2966" t="s">
        <v>5680</v>
      </c>
      <c r="BH2966" t="s">
        <v>5681</v>
      </c>
      <c r="BI2966" t="s">
        <v>5682</v>
      </c>
      <c r="BJ2966">
        <v>8.9770000000000003E-2</v>
      </c>
      <c r="BK2966">
        <v>1</v>
      </c>
      <c r="BL2966" t="s">
        <v>69</v>
      </c>
      <c r="BM2966">
        <v>-0.67800000000000005</v>
      </c>
      <c r="BN2966">
        <v>-0.98</v>
      </c>
    </row>
    <row r="2967" spans="10:66">
      <c r="J2967">
        <v>0</v>
      </c>
      <c r="K2967">
        <v>6</v>
      </c>
      <c r="L2967">
        <v>0</v>
      </c>
      <c r="M2967" t="s">
        <v>25021</v>
      </c>
      <c r="N2967">
        <v>911</v>
      </c>
      <c r="O2967" t="s">
        <v>5690</v>
      </c>
      <c r="P2967" t="s">
        <v>62</v>
      </c>
      <c r="Q2967">
        <v>954582</v>
      </c>
      <c r="R2967">
        <v>954851</v>
      </c>
      <c r="S2967" t="s">
        <v>5691</v>
      </c>
      <c r="T2967">
        <v>90</v>
      </c>
      <c r="U2967" t="s">
        <v>265</v>
      </c>
      <c r="V2967">
        <v>43</v>
      </c>
      <c r="W2967" t="str">
        <f>HYPERLINK("Gene911-zp_tree_all.dnd", "Gene911-tree")</f>
        <v>Gene911-tree</v>
      </c>
      <c r="X2967">
        <v>4</v>
      </c>
      <c r="Y2967">
        <v>29</v>
      </c>
      <c r="Z2967">
        <v>4</v>
      </c>
      <c r="AA2967">
        <v>5</v>
      </c>
      <c r="AB2967">
        <v>0.55556000000000005</v>
      </c>
      <c r="AC2967" t="s">
        <v>61</v>
      </c>
      <c r="AD2967" t="s">
        <v>5692</v>
      </c>
      <c r="AE2967">
        <v>4.6980000000000004</v>
      </c>
      <c r="AF2967" t="s">
        <v>65</v>
      </c>
      <c r="AG2967">
        <v>3</v>
      </c>
      <c r="AH2967">
        <v>6</v>
      </c>
      <c r="AI2967">
        <v>8</v>
      </c>
      <c r="AJ2967">
        <v>0.42857000000000001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4</v>
      </c>
      <c r="AQ2967">
        <v>0</v>
      </c>
      <c r="AR2967">
        <v>4</v>
      </c>
      <c r="AS2967">
        <v>7</v>
      </c>
      <c r="AT2967">
        <v>0.36364000000000002</v>
      </c>
      <c r="AU2967">
        <v>7</v>
      </c>
      <c r="AV2967">
        <v>4</v>
      </c>
      <c r="AW2967">
        <v>8</v>
      </c>
      <c r="AX2967">
        <v>11</v>
      </c>
      <c r="AY2967">
        <v>3</v>
      </c>
      <c r="AZ2967">
        <v>3</v>
      </c>
      <c r="BA2967" t="s">
        <v>5693</v>
      </c>
      <c r="BB2967" t="s">
        <v>5694</v>
      </c>
      <c r="BC2967">
        <v>0.35299999999999998</v>
      </c>
      <c r="BD2967" t="s">
        <v>65</v>
      </c>
      <c r="BE2967">
        <v>11</v>
      </c>
      <c r="BF2967">
        <v>14</v>
      </c>
      <c r="BG2967" t="s">
        <v>5695</v>
      </c>
      <c r="BH2967" t="s">
        <v>5696</v>
      </c>
      <c r="BI2967" t="s">
        <v>5697</v>
      </c>
      <c r="BJ2967">
        <v>0.32066</v>
      </c>
      <c r="BK2967">
        <v>0.95</v>
      </c>
      <c r="BL2967" t="s">
        <v>635</v>
      </c>
      <c r="BM2967">
        <v>0.23599999999999999</v>
      </c>
      <c r="BN2967">
        <v>0.61199999999999999</v>
      </c>
    </row>
    <row r="2968" spans="10:66">
      <c r="J2968">
        <v>0</v>
      </c>
      <c r="K2968">
        <v>0</v>
      </c>
      <c r="L2968">
        <v>0</v>
      </c>
      <c r="M2968" t="s">
        <v>25021</v>
      </c>
      <c r="N2968">
        <v>914</v>
      </c>
      <c r="O2968" t="s">
        <v>5711</v>
      </c>
      <c r="P2968" t="s">
        <v>62</v>
      </c>
      <c r="Q2968">
        <v>957708</v>
      </c>
      <c r="R2968">
        <v>959060</v>
      </c>
      <c r="S2968" t="s">
        <v>5712</v>
      </c>
      <c r="T2968">
        <v>451</v>
      </c>
      <c r="U2968" t="s">
        <v>5713</v>
      </c>
      <c r="V2968">
        <v>29</v>
      </c>
      <c r="W2968" t="str">
        <f>HYPERLINK("Gene914-zp_tree_all.dnd", "Gene914-tree")</f>
        <v>Gene914-tree</v>
      </c>
      <c r="X2968">
        <v>1</v>
      </c>
      <c r="Y2968">
        <v>6</v>
      </c>
      <c r="Z2968">
        <v>1</v>
      </c>
      <c r="AA2968">
        <v>6</v>
      </c>
      <c r="AB2968">
        <v>0.85714000000000001</v>
      </c>
      <c r="AC2968" t="s">
        <v>175</v>
      </c>
      <c r="AD2968" t="s">
        <v>90</v>
      </c>
      <c r="AE2968" t="s">
        <v>62</v>
      </c>
      <c r="AF2968" t="s">
        <v>62</v>
      </c>
      <c r="AG2968">
        <v>0</v>
      </c>
      <c r="AH2968">
        <v>0</v>
      </c>
      <c r="AI2968">
        <v>18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16</v>
      </c>
      <c r="AT2968">
        <v>0</v>
      </c>
      <c r="AU2968">
        <v>7</v>
      </c>
      <c r="AV2968">
        <v>4</v>
      </c>
      <c r="AW2968">
        <v>34</v>
      </c>
      <c r="AX2968">
        <v>17</v>
      </c>
      <c r="AY2968">
        <v>16</v>
      </c>
      <c r="AZ2968">
        <v>2</v>
      </c>
      <c r="BA2968" t="s">
        <v>5714</v>
      </c>
      <c r="BB2968" t="s">
        <v>5715</v>
      </c>
      <c r="BC2968">
        <v>1.6559999999999999</v>
      </c>
      <c r="BD2968" t="s">
        <v>65</v>
      </c>
      <c r="BE2968">
        <v>50</v>
      </c>
      <c r="BF2968">
        <v>19</v>
      </c>
      <c r="BG2968" t="s">
        <v>5716</v>
      </c>
      <c r="BH2968" t="s">
        <v>5717</v>
      </c>
      <c r="BI2968" t="s">
        <v>5718</v>
      </c>
      <c r="BJ2968">
        <v>0.10859000000000001</v>
      </c>
      <c r="BK2968">
        <v>1</v>
      </c>
      <c r="BL2968" t="s">
        <v>69</v>
      </c>
      <c r="BM2968">
        <v>-0.55800000000000005</v>
      </c>
      <c r="BN2968">
        <v>1.2</v>
      </c>
    </row>
    <row r="2969" spans="10:66">
      <c r="J2969">
        <v>0</v>
      </c>
      <c r="K2969">
        <v>0</v>
      </c>
      <c r="L2969">
        <v>0</v>
      </c>
      <c r="M2969" t="s">
        <v>25021</v>
      </c>
      <c r="N2969">
        <v>916</v>
      </c>
      <c r="O2969" t="s">
        <v>5726</v>
      </c>
      <c r="P2969" t="s">
        <v>62</v>
      </c>
      <c r="Q2969">
        <v>959538</v>
      </c>
      <c r="R2969">
        <v>960986</v>
      </c>
      <c r="S2969" t="s">
        <v>5727</v>
      </c>
      <c r="T2969">
        <v>483</v>
      </c>
      <c r="U2969" t="s">
        <v>698</v>
      </c>
      <c r="V2969">
        <v>47</v>
      </c>
      <c r="W2969" t="str">
        <f>HYPERLINK("Gene916-zp_tree_all.dnd", "Gene916-tree")</f>
        <v>Gene916-tree</v>
      </c>
      <c r="X2969">
        <v>15</v>
      </c>
      <c r="Y2969">
        <v>4</v>
      </c>
      <c r="Z2969">
        <v>15</v>
      </c>
      <c r="AA2969">
        <v>4</v>
      </c>
      <c r="AB2969">
        <v>0.21052999999999999</v>
      </c>
      <c r="AC2969" t="s">
        <v>100</v>
      </c>
      <c r="AD2969" t="s">
        <v>61</v>
      </c>
      <c r="AE2969" t="s">
        <v>62</v>
      </c>
      <c r="AF2969" t="s">
        <v>62</v>
      </c>
      <c r="AG2969">
        <v>0</v>
      </c>
      <c r="AH2969">
        <v>0</v>
      </c>
      <c r="AI2969">
        <v>8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4</v>
      </c>
      <c r="AT2969">
        <v>0</v>
      </c>
      <c r="AU2969">
        <v>16</v>
      </c>
      <c r="AV2969">
        <v>14</v>
      </c>
      <c r="AW2969">
        <v>52</v>
      </c>
      <c r="AX2969">
        <v>4</v>
      </c>
      <c r="AY2969">
        <v>91</v>
      </c>
      <c r="AZ2969">
        <v>4</v>
      </c>
      <c r="BA2969" t="s">
        <v>5728</v>
      </c>
      <c r="BB2969" t="s">
        <v>5729</v>
      </c>
      <c r="BC2969">
        <v>0.17899999999999999</v>
      </c>
      <c r="BD2969" t="s">
        <v>65</v>
      </c>
      <c r="BE2969">
        <v>143</v>
      </c>
      <c r="BF2969">
        <v>8</v>
      </c>
      <c r="BG2969" t="s">
        <v>5730</v>
      </c>
      <c r="BH2969" t="s">
        <v>5731</v>
      </c>
      <c r="BI2969" t="s">
        <v>5732</v>
      </c>
      <c r="BJ2969">
        <v>1.5740000000000001E-2</v>
      </c>
      <c r="BK2969">
        <v>1</v>
      </c>
      <c r="BL2969" t="s">
        <v>69</v>
      </c>
      <c r="BM2969">
        <v>-1.127</v>
      </c>
      <c r="BN2969">
        <v>-0.15</v>
      </c>
    </row>
    <row r="2970" spans="10:66">
      <c r="J2970">
        <v>0</v>
      </c>
      <c r="K2970">
        <v>4</v>
      </c>
      <c r="L2970">
        <v>2</v>
      </c>
      <c r="M2970" t="s">
        <v>25021</v>
      </c>
      <c r="N2970">
        <v>923</v>
      </c>
      <c r="O2970" t="s">
        <v>5776</v>
      </c>
      <c r="P2970" t="s">
        <v>62</v>
      </c>
      <c r="Q2970">
        <v>966199</v>
      </c>
      <c r="R2970">
        <v>966669</v>
      </c>
      <c r="S2970" t="s">
        <v>3095</v>
      </c>
      <c r="T2970">
        <v>157</v>
      </c>
      <c r="U2970" t="s">
        <v>5762</v>
      </c>
      <c r="V2970">
        <v>43</v>
      </c>
      <c r="W2970" t="str">
        <f>HYPERLINK("Gene923-zp_tree_all.dnd", "Gene923-tree")</f>
        <v>Gene923-tree</v>
      </c>
      <c r="X2970">
        <v>3</v>
      </c>
      <c r="Y2970">
        <v>9</v>
      </c>
      <c r="Z2970">
        <v>3</v>
      </c>
      <c r="AA2970">
        <v>9</v>
      </c>
      <c r="AB2970">
        <v>0.75</v>
      </c>
      <c r="AC2970" t="s">
        <v>324</v>
      </c>
      <c r="AD2970" t="s">
        <v>135</v>
      </c>
      <c r="AE2970" t="s">
        <v>62</v>
      </c>
      <c r="AF2970" t="s">
        <v>62</v>
      </c>
      <c r="AG2970">
        <v>3</v>
      </c>
      <c r="AH2970">
        <v>6</v>
      </c>
      <c r="AI2970">
        <v>8</v>
      </c>
      <c r="AJ2970">
        <v>0.42857000000000001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4</v>
      </c>
      <c r="AQ2970">
        <v>2</v>
      </c>
      <c r="AR2970">
        <v>6</v>
      </c>
      <c r="AS2970">
        <v>6</v>
      </c>
      <c r="AT2970">
        <v>0.5</v>
      </c>
      <c r="AU2970">
        <v>9</v>
      </c>
      <c r="AV2970">
        <v>6</v>
      </c>
      <c r="AW2970">
        <v>8</v>
      </c>
      <c r="AX2970">
        <v>11</v>
      </c>
      <c r="AY2970">
        <v>12</v>
      </c>
      <c r="AZ2970">
        <v>3</v>
      </c>
      <c r="BA2970" t="s">
        <v>5777</v>
      </c>
      <c r="BB2970" t="s">
        <v>5778</v>
      </c>
      <c r="BC2970">
        <v>1.929</v>
      </c>
      <c r="BD2970" t="s">
        <v>65</v>
      </c>
      <c r="BE2970">
        <v>20</v>
      </c>
      <c r="BF2970">
        <v>14</v>
      </c>
      <c r="BG2970" t="s">
        <v>5779</v>
      </c>
      <c r="BH2970" t="s">
        <v>5780</v>
      </c>
      <c r="BI2970" t="s">
        <v>5781</v>
      </c>
      <c r="BJ2970">
        <v>0.18833</v>
      </c>
      <c r="BK2970">
        <v>1</v>
      </c>
      <c r="BL2970" t="s">
        <v>69</v>
      </c>
      <c r="BM2970">
        <v>-0.47699999999999998</v>
      </c>
      <c r="BN2970">
        <v>-0.24199999999999999</v>
      </c>
    </row>
    <row r="2971" spans="10:66">
      <c r="J2971">
        <v>0</v>
      </c>
      <c r="K2971">
        <v>0</v>
      </c>
      <c r="L2971">
        <v>0</v>
      </c>
      <c r="M2971" t="s">
        <v>25021</v>
      </c>
      <c r="N2971">
        <v>924</v>
      </c>
      <c r="O2971" t="s">
        <v>5782</v>
      </c>
      <c r="P2971" t="s">
        <v>62</v>
      </c>
      <c r="Q2971">
        <v>966674</v>
      </c>
      <c r="R2971">
        <v>966871</v>
      </c>
      <c r="S2971" t="s">
        <v>5783</v>
      </c>
      <c r="T2971">
        <v>66</v>
      </c>
      <c r="U2971" t="s">
        <v>59</v>
      </c>
      <c r="V2971">
        <v>49</v>
      </c>
      <c r="W2971" t="str">
        <f>HYPERLINK("Gene924-zp_tree_all.dnd", "Gene924-tree")</f>
        <v>Gene924-tree</v>
      </c>
      <c r="X2971">
        <v>7</v>
      </c>
      <c r="Y2971">
        <v>4</v>
      </c>
      <c r="Z2971">
        <v>7</v>
      </c>
      <c r="AA2971">
        <v>4</v>
      </c>
      <c r="AB2971">
        <v>0.36364000000000002</v>
      </c>
      <c r="AC2971" t="s">
        <v>152</v>
      </c>
      <c r="AD2971" t="s">
        <v>61</v>
      </c>
      <c r="AE2971" t="s">
        <v>62</v>
      </c>
      <c r="AF2971" t="s">
        <v>62</v>
      </c>
      <c r="AG2971">
        <v>0</v>
      </c>
      <c r="AH2971">
        <v>0</v>
      </c>
      <c r="AI2971">
        <v>5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4</v>
      </c>
      <c r="AT2971">
        <v>0</v>
      </c>
      <c r="AU2971">
        <v>7</v>
      </c>
      <c r="AV2971">
        <v>6</v>
      </c>
      <c r="AW2971">
        <v>5</v>
      </c>
      <c r="AX2971">
        <v>4</v>
      </c>
      <c r="AY2971">
        <v>11</v>
      </c>
      <c r="AZ2971">
        <v>1</v>
      </c>
      <c r="BA2971" t="s">
        <v>5784</v>
      </c>
      <c r="BB2971" t="s">
        <v>5785</v>
      </c>
      <c r="BC2971">
        <v>1.2769999999999999</v>
      </c>
      <c r="BD2971" t="s">
        <v>65</v>
      </c>
      <c r="BE2971">
        <v>16</v>
      </c>
      <c r="BF2971">
        <v>5</v>
      </c>
      <c r="BG2971" t="s">
        <v>5786</v>
      </c>
      <c r="BH2971" t="s">
        <v>5787</v>
      </c>
      <c r="BI2971" t="s">
        <v>5788</v>
      </c>
      <c r="BJ2971">
        <v>5.7450000000000001E-2</v>
      </c>
      <c r="BK2971">
        <v>1</v>
      </c>
      <c r="BL2971" t="s">
        <v>69</v>
      </c>
      <c r="BM2971">
        <v>-1.2649999999999999</v>
      </c>
      <c r="BN2971">
        <v>-1.258</v>
      </c>
    </row>
    <row r="2972" spans="10:66">
      <c r="J2972">
        <v>0</v>
      </c>
      <c r="K2972">
        <v>0</v>
      </c>
      <c r="L2972">
        <v>0</v>
      </c>
      <c r="M2972" t="s">
        <v>25021</v>
      </c>
      <c r="N2972">
        <v>925</v>
      </c>
      <c r="O2972" t="s">
        <v>5789</v>
      </c>
      <c r="P2972" t="s">
        <v>62</v>
      </c>
      <c r="Q2972">
        <v>967232</v>
      </c>
      <c r="R2972">
        <v>967852</v>
      </c>
      <c r="S2972" t="s">
        <v>288</v>
      </c>
      <c r="T2972">
        <v>207</v>
      </c>
      <c r="U2972" t="s">
        <v>108</v>
      </c>
      <c r="V2972">
        <v>44</v>
      </c>
      <c r="W2972" t="str">
        <f>HYPERLINK("Gene925-zp_tree_all.dnd", "Gene925-tree")</f>
        <v>Gene925-tree</v>
      </c>
      <c r="X2972">
        <v>1</v>
      </c>
      <c r="Y2972">
        <v>8</v>
      </c>
      <c r="Z2972">
        <v>1</v>
      </c>
      <c r="AA2972">
        <v>8</v>
      </c>
      <c r="AB2972">
        <v>0.88888999999999996</v>
      </c>
      <c r="AC2972" t="s">
        <v>175</v>
      </c>
      <c r="AD2972" t="s">
        <v>136</v>
      </c>
      <c r="AE2972" t="s">
        <v>62</v>
      </c>
      <c r="AF2972" t="s">
        <v>62</v>
      </c>
      <c r="AG2972">
        <v>0</v>
      </c>
      <c r="AH2972">
        <v>0</v>
      </c>
      <c r="AI2972">
        <v>13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11</v>
      </c>
      <c r="AT2972">
        <v>0</v>
      </c>
      <c r="AU2972">
        <v>6</v>
      </c>
      <c r="AV2972">
        <v>4</v>
      </c>
      <c r="AW2972">
        <v>11</v>
      </c>
      <c r="AX2972">
        <v>5</v>
      </c>
      <c r="AY2972">
        <v>7</v>
      </c>
      <c r="AZ2972">
        <v>8</v>
      </c>
      <c r="BA2972" t="s">
        <v>5790</v>
      </c>
      <c r="BB2972" t="s">
        <v>5791</v>
      </c>
      <c r="BC2972">
        <v>0.42699999999999999</v>
      </c>
      <c r="BD2972" t="s">
        <v>65</v>
      </c>
      <c r="BE2972">
        <v>18</v>
      </c>
      <c r="BF2972">
        <v>13</v>
      </c>
      <c r="BG2972" t="s">
        <v>5792</v>
      </c>
      <c r="BH2972" t="s">
        <v>5793</v>
      </c>
      <c r="BI2972" t="s">
        <v>5794</v>
      </c>
      <c r="BJ2972">
        <v>0.25219000000000003</v>
      </c>
      <c r="BK2972">
        <v>1</v>
      </c>
      <c r="BL2972" t="s">
        <v>69</v>
      </c>
      <c r="BM2972">
        <v>-0.73399999999999999</v>
      </c>
      <c r="BN2972">
        <v>-0.38300000000000001</v>
      </c>
    </row>
    <row r="2973" spans="10:66">
      <c r="J2973">
        <v>0</v>
      </c>
      <c r="K2973">
        <v>0</v>
      </c>
      <c r="L2973">
        <v>0</v>
      </c>
      <c r="M2973" t="s">
        <v>25021</v>
      </c>
      <c r="N2973">
        <v>945</v>
      </c>
      <c r="O2973" t="s">
        <v>5922</v>
      </c>
      <c r="P2973" t="s">
        <v>62</v>
      </c>
      <c r="Q2973">
        <v>984265</v>
      </c>
      <c r="R2973">
        <v>984465</v>
      </c>
      <c r="S2973" t="s">
        <v>5923</v>
      </c>
      <c r="T2973">
        <v>67</v>
      </c>
      <c r="U2973" t="s">
        <v>515</v>
      </c>
      <c r="V2973">
        <v>51</v>
      </c>
      <c r="W2973" t="str">
        <f>HYPERLINK("Gene945-zp_tree_all.dnd", "Gene945-tree")</f>
        <v>Gene945-tree</v>
      </c>
      <c r="X2973">
        <v>48</v>
      </c>
      <c r="Y2973">
        <v>1</v>
      </c>
      <c r="Z2973">
        <v>3</v>
      </c>
      <c r="AA2973">
        <v>1</v>
      </c>
      <c r="AB2973">
        <v>0.25</v>
      </c>
      <c r="AC2973" t="s">
        <v>5924</v>
      </c>
      <c r="AD2973" t="s">
        <v>175</v>
      </c>
      <c r="AE2973" t="s">
        <v>62</v>
      </c>
      <c r="AF2973" t="s">
        <v>62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3</v>
      </c>
      <c r="AV2973">
        <v>1</v>
      </c>
      <c r="AW2973">
        <v>5</v>
      </c>
      <c r="AX2973">
        <v>1</v>
      </c>
      <c r="AY2973">
        <v>1</v>
      </c>
      <c r="AZ2973">
        <v>0</v>
      </c>
      <c r="BA2973" t="s">
        <v>5925</v>
      </c>
      <c r="BB2973" t="s">
        <v>193</v>
      </c>
      <c r="BC2973">
        <v>0.74</v>
      </c>
      <c r="BD2973" t="s">
        <v>65</v>
      </c>
      <c r="BE2973">
        <v>6</v>
      </c>
      <c r="BF2973">
        <v>1</v>
      </c>
      <c r="BG2973" t="s">
        <v>5926</v>
      </c>
      <c r="BH2973" t="s">
        <v>5927</v>
      </c>
      <c r="BI2973" t="s">
        <v>5928</v>
      </c>
      <c r="BJ2973">
        <v>3.9149999999999997E-2</v>
      </c>
      <c r="BK2973">
        <v>1</v>
      </c>
      <c r="BL2973" t="s">
        <v>69</v>
      </c>
      <c r="BM2973">
        <v>-1.429</v>
      </c>
      <c r="BN2973">
        <v>1.24</v>
      </c>
    </row>
    <row r="2974" spans="10:66">
      <c r="J2974">
        <v>0</v>
      </c>
      <c r="K2974">
        <v>4</v>
      </c>
      <c r="L2974">
        <v>0</v>
      </c>
      <c r="M2974" t="s">
        <v>25021</v>
      </c>
      <c r="N2974">
        <v>947</v>
      </c>
      <c r="O2974" t="s">
        <v>5936</v>
      </c>
      <c r="P2974" t="s">
        <v>62</v>
      </c>
      <c r="Q2974">
        <v>985737</v>
      </c>
      <c r="R2974">
        <v>986813</v>
      </c>
      <c r="S2974" t="s">
        <v>5937</v>
      </c>
      <c r="T2974">
        <v>359</v>
      </c>
      <c r="U2974" t="s">
        <v>108</v>
      </c>
      <c r="V2974">
        <v>44</v>
      </c>
      <c r="W2974" t="str">
        <f>HYPERLINK("Gene947-zp_tree_all.dnd", "Gene947-tree")</f>
        <v>Gene947-tree</v>
      </c>
      <c r="X2974">
        <v>5</v>
      </c>
      <c r="Y2974">
        <v>6</v>
      </c>
      <c r="Z2974">
        <v>5</v>
      </c>
      <c r="AA2974">
        <v>6</v>
      </c>
      <c r="AB2974">
        <v>0.54544999999999999</v>
      </c>
      <c r="AC2974" t="s">
        <v>199</v>
      </c>
      <c r="AD2974" t="s">
        <v>90</v>
      </c>
      <c r="AE2974" t="s">
        <v>62</v>
      </c>
      <c r="AF2974" t="s">
        <v>62</v>
      </c>
      <c r="AG2974">
        <v>2</v>
      </c>
      <c r="AH2974">
        <v>4</v>
      </c>
      <c r="AI2974">
        <v>12</v>
      </c>
      <c r="AJ2974">
        <v>0.25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2</v>
      </c>
      <c r="AQ2974">
        <v>0</v>
      </c>
      <c r="AR2974">
        <v>2</v>
      </c>
      <c r="AS2974">
        <v>12</v>
      </c>
      <c r="AT2974">
        <v>0.14285999999999999</v>
      </c>
      <c r="AU2974">
        <v>9</v>
      </c>
      <c r="AV2974">
        <v>7</v>
      </c>
      <c r="AW2974">
        <v>28</v>
      </c>
      <c r="AX2974">
        <v>14</v>
      </c>
      <c r="AY2974">
        <v>15</v>
      </c>
      <c r="AZ2974">
        <v>2</v>
      </c>
      <c r="BA2974" t="s">
        <v>5938</v>
      </c>
      <c r="BB2974" t="s">
        <v>5939</v>
      </c>
      <c r="BC2974">
        <v>1.167</v>
      </c>
      <c r="BD2974" t="s">
        <v>65</v>
      </c>
      <c r="BE2974">
        <v>43</v>
      </c>
      <c r="BF2974">
        <v>16</v>
      </c>
      <c r="BG2974" t="s">
        <v>5940</v>
      </c>
      <c r="BH2974" t="s">
        <v>5941</v>
      </c>
      <c r="BI2974" t="s">
        <v>5942</v>
      </c>
      <c r="BJ2974">
        <v>0.11029</v>
      </c>
      <c r="BK2974">
        <v>1</v>
      </c>
      <c r="BL2974" t="s">
        <v>69</v>
      </c>
      <c r="BM2974">
        <v>-0.45300000000000001</v>
      </c>
      <c r="BN2974">
        <v>-1.722</v>
      </c>
    </row>
    <row r="2975" spans="10:66">
      <c r="J2975">
        <v>0</v>
      </c>
      <c r="K2975">
        <v>16</v>
      </c>
      <c r="L2975">
        <v>2</v>
      </c>
      <c r="M2975" t="s">
        <v>25021</v>
      </c>
      <c r="N2975">
        <v>949</v>
      </c>
      <c r="O2975" t="s">
        <v>5949</v>
      </c>
      <c r="P2975" t="s">
        <v>62</v>
      </c>
      <c r="Q2975">
        <v>988420</v>
      </c>
      <c r="R2975">
        <v>988872</v>
      </c>
      <c r="S2975" t="s">
        <v>5950</v>
      </c>
      <c r="T2975">
        <v>151</v>
      </c>
      <c r="U2975" t="s">
        <v>2513</v>
      </c>
      <c r="V2975">
        <v>43</v>
      </c>
      <c r="W2975" t="str">
        <f>HYPERLINK("Gene949-zp_tree_all.dnd", "Gene949-tree")</f>
        <v>Gene949-tree</v>
      </c>
      <c r="X2975">
        <v>0</v>
      </c>
      <c r="Y2975">
        <v>12</v>
      </c>
      <c r="Z2975">
        <v>0</v>
      </c>
      <c r="AA2975">
        <v>12</v>
      </c>
      <c r="AB2975">
        <v>1</v>
      </c>
      <c r="AC2975" t="s">
        <v>62</v>
      </c>
      <c r="AD2975" t="s">
        <v>109</v>
      </c>
      <c r="AE2975" t="s">
        <v>62</v>
      </c>
      <c r="AF2975" t="s">
        <v>62</v>
      </c>
      <c r="AG2975">
        <v>7</v>
      </c>
      <c r="AH2975">
        <v>18</v>
      </c>
      <c r="AI2975">
        <v>10</v>
      </c>
      <c r="AJ2975">
        <v>0.64285999999999999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9</v>
      </c>
      <c r="AQ2975">
        <v>2</v>
      </c>
      <c r="AR2975">
        <v>11</v>
      </c>
      <c r="AS2975">
        <v>9</v>
      </c>
      <c r="AT2975">
        <v>0.55000000000000004</v>
      </c>
      <c r="AU2975">
        <v>11</v>
      </c>
      <c r="AV2975">
        <v>7</v>
      </c>
      <c r="AW2975">
        <v>13</v>
      </c>
      <c r="AX2975">
        <v>18</v>
      </c>
      <c r="AY2975">
        <v>8</v>
      </c>
      <c r="AZ2975">
        <v>10</v>
      </c>
      <c r="BA2975" t="s">
        <v>5951</v>
      </c>
      <c r="BB2975" t="s">
        <v>5952</v>
      </c>
      <c r="BC2975">
        <v>0.115</v>
      </c>
      <c r="BD2975" t="s">
        <v>65</v>
      </c>
      <c r="BE2975">
        <v>21</v>
      </c>
      <c r="BF2975">
        <v>28</v>
      </c>
      <c r="BG2975" t="s">
        <v>5953</v>
      </c>
      <c r="BH2975" t="s">
        <v>5954</v>
      </c>
      <c r="BI2975" t="s">
        <v>5955</v>
      </c>
      <c r="BJ2975">
        <v>0.27542</v>
      </c>
      <c r="BK2975">
        <v>1</v>
      </c>
      <c r="BL2975" t="s">
        <v>69</v>
      </c>
      <c r="BM2975">
        <v>8.7999999999999995E-2</v>
      </c>
      <c r="BN2975">
        <v>-1.45</v>
      </c>
    </row>
    <row r="2976" spans="10:66">
      <c r="J2976">
        <v>0</v>
      </c>
      <c r="K2976">
        <v>0</v>
      </c>
      <c r="L2976">
        <v>0</v>
      </c>
      <c r="M2976" t="s">
        <v>25021</v>
      </c>
      <c r="N2976">
        <v>952</v>
      </c>
      <c r="O2976" t="s">
        <v>5972</v>
      </c>
      <c r="P2976" t="s">
        <v>62</v>
      </c>
      <c r="Q2976">
        <v>990615</v>
      </c>
      <c r="R2976">
        <v>991265</v>
      </c>
      <c r="S2976" t="s">
        <v>5691</v>
      </c>
      <c r="T2976">
        <v>217</v>
      </c>
      <c r="U2976" t="s">
        <v>2289</v>
      </c>
      <c r="V2976">
        <v>37</v>
      </c>
      <c r="W2976" t="str">
        <f>HYPERLINK("Gene952-zp_tree_all.dnd", "Gene952-tree")</f>
        <v>Gene952-tree</v>
      </c>
      <c r="X2976">
        <v>8</v>
      </c>
      <c r="Y2976">
        <v>3</v>
      </c>
      <c r="Z2976">
        <v>8</v>
      </c>
      <c r="AA2976">
        <v>3</v>
      </c>
      <c r="AB2976">
        <v>0.27272999999999997</v>
      </c>
      <c r="AC2976" t="s">
        <v>136</v>
      </c>
      <c r="AD2976" t="s">
        <v>324</v>
      </c>
      <c r="AE2976" t="s">
        <v>62</v>
      </c>
      <c r="AF2976" t="s">
        <v>62</v>
      </c>
      <c r="AG2976">
        <v>0</v>
      </c>
      <c r="AH2976">
        <v>0</v>
      </c>
      <c r="AI2976">
        <v>3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3</v>
      </c>
      <c r="AT2976">
        <v>0</v>
      </c>
      <c r="AU2976">
        <v>8</v>
      </c>
      <c r="AV2976">
        <v>5</v>
      </c>
      <c r="AW2976">
        <v>9</v>
      </c>
      <c r="AX2976">
        <v>3</v>
      </c>
      <c r="AY2976">
        <v>12</v>
      </c>
      <c r="AZ2976">
        <v>0</v>
      </c>
      <c r="BA2976" t="s">
        <v>5973</v>
      </c>
      <c r="BB2976" t="s">
        <v>193</v>
      </c>
      <c r="BC2976">
        <v>1.024</v>
      </c>
      <c r="BD2976" t="s">
        <v>65</v>
      </c>
      <c r="BE2976">
        <v>21</v>
      </c>
      <c r="BF2976">
        <v>3</v>
      </c>
      <c r="BG2976" t="s">
        <v>5974</v>
      </c>
      <c r="BH2976" t="s">
        <v>5975</v>
      </c>
      <c r="BI2976" t="s">
        <v>5976</v>
      </c>
      <c r="BJ2976">
        <v>2.7799999999999998E-2</v>
      </c>
      <c r="BK2976">
        <v>1</v>
      </c>
      <c r="BL2976" t="s">
        <v>69</v>
      </c>
      <c r="BM2976">
        <v>-0.86899999999999999</v>
      </c>
      <c r="BN2976">
        <v>-1.0329999999999999</v>
      </c>
    </row>
    <row r="2977" spans="10:66">
      <c r="J2977">
        <v>0</v>
      </c>
      <c r="K2977">
        <v>9</v>
      </c>
      <c r="L2977">
        <v>2</v>
      </c>
      <c r="M2977" t="s">
        <v>25021</v>
      </c>
      <c r="N2977">
        <v>955</v>
      </c>
      <c r="O2977" t="s">
        <v>5992</v>
      </c>
      <c r="P2977" t="s">
        <v>62</v>
      </c>
      <c r="Q2977">
        <v>995627</v>
      </c>
      <c r="R2977">
        <v>996532</v>
      </c>
      <c r="S2977" t="s">
        <v>5993</v>
      </c>
      <c r="T2977">
        <v>302</v>
      </c>
      <c r="U2977" t="s">
        <v>108</v>
      </c>
      <c r="V2977">
        <v>44</v>
      </c>
      <c r="W2977" t="str">
        <f>HYPERLINK("Gene955-zp_tree_all.dnd", "Gene955-tree")</f>
        <v>Gene955-tree</v>
      </c>
      <c r="X2977">
        <v>6</v>
      </c>
      <c r="Y2977">
        <v>10</v>
      </c>
      <c r="Z2977">
        <v>6</v>
      </c>
      <c r="AA2977">
        <v>10</v>
      </c>
      <c r="AB2977">
        <v>0.625</v>
      </c>
      <c r="AC2977" t="s">
        <v>90</v>
      </c>
      <c r="AD2977" t="s">
        <v>117</v>
      </c>
      <c r="AE2977" t="s">
        <v>62</v>
      </c>
      <c r="AF2977" t="s">
        <v>62</v>
      </c>
      <c r="AG2977">
        <v>5</v>
      </c>
      <c r="AH2977">
        <v>11</v>
      </c>
      <c r="AI2977">
        <v>11</v>
      </c>
      <c r="AJ2977">
        <v>0.5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6</v>
      </c>
      <c r="AQ2977">
        <v>2</v>
      </c>
      <c r="AR2977">
        <v>8</v>
      </c>
      <c r="AS2977">
        <v>11</v>
      </c>
      <c r="AT2977">
        <v>0.42104999999999998</v>
      </c>
      <c r="AU2977">
        <v>13</v>
      </c>
      <c r="AV2977">
        <v>7</v>
      </c>
      <c r="AW2977">
        <v>27</v>
      </c>
      <c r="AX2977">
        <v>18</v>
      </c>
      <c r="AY2977">
        <v>15</v>
      </c>
      <c r="AZ2977">
        <v>4</v>
      </c>
      <c r="BA2977" t="s">
        <v>5994</v>
      </c>
      <c r="BB2977" t="s">
        <v>5995</v>
      </c>
      <c r="BC2977">
        <v>1.127</v>
      </c>
      <c r="BD2977" t="s">
        <v>65</v>
      </c>
      <c r="BE2977">
        <v>42</v>
      </c>
      <c r="BF2977">
        <v>22</v>
      </c>
      <c r="BG2977" t="s">
        <v>5996</v>
      </c>
      <c r="BH2977" t="s">
        <v>5997</v>
      </c>
      <c r="BI2977" t="s">
        <v>5998</v>
      </c>
      <c r="BJ2977">
        <v>0.1232</v>
      </c>
      <c r="BK2977">
        <v>1</v>
      </c>
      <c r="BL2977" t="s">
        <v>69</v>
      </c>
      <c r="BM2977">
        <v>-1.4319999999999999</v>
      </c>
      <c r="BN2977">
        <v>-1.4890000000000001</v>
      </c>
    </row>
    <row r="2978" spans="10:66">
      <c r="J2978">
        <v>0</v>
      </c>
      <c r="K2978">
        <v>2</v>
      </c>
      <c r="L2978">
        <v>0</v>
      </c>
      <c r="M2978" t="s">
        <v>25021</v>
      </c>
      <c r="N2978">
        <v>970</v>
      </c>
      <c r="O2978" t="s">
        <v>6077</v>
      </c>
      <c r="P2978" t="s">
        <v>62</v>
      </c>
      <c r="Q2978">
        <v>1010987</v>
      </c>
      <c r="R2978">
        <v>1011226</v>
      </c>
      <c r="S2978" t="s">
        <v>288</v>
      </c>
      <c r="T2978">
        <v>80</v>
      </c>
      <c r="U2978" t="s">
        <v>465</v>
      </c>
      <c r="V2978">
        <v>46</v>
      </c>
      <c r="W2978" t="str">
        <f>HYPERLINK("Gene970-zp_tree_all.dnd", "Gene970-tree")</f>
        <v>Gene970-tree</v>
      </c>
      <c r="X2978">
        <v>26</v>
      </c>
      <c r="Y2978">
        <v>4</v>
      </c>
      <c r="Z2978">
        <v>6</v>
      </c>
      <c r="AA2978">
        <v>4</v>
      </c>
      <c r="AB2978">
        <v>0.4</v>
      </c>
      <c r="AC2978" t="s">
        <v>1030</v>
      </c>
      <c r="AD2978" t="s">
        <v>61</v>
      </c>
      <c r="AE2978" t="s">
        <v>62</v>
      </c>
      <c r="AF2978" t="s">
        <v>62</v>
      </c>
      <c r="AG2978">
        <v>1</v>
      </c>
      <c r="AH2978">
        <v>2</v>
      </c>
      <c r="AI2978">
        <v>2</v>
      </c>
      <c r="AJ2978">
        <v>0.5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</v>
      </c>
      <c r="AQ2978">
        <v>0</v>
      </c>
      <c r="AR2978">
        <v>2</v>
      </c>
      <c r="AS2978">
        <v>2</v>
      </c>
      <c r="AT2978">
        <v>0.5</v>
      </c>
      <c r="AU2978">
        <v>7</v>
      </c>
      <c r="AV2978">
        <v>2</v>
      </c>
      <c r="AW2978">
        <v>12</v>
      </c>
      <c r="AX2978">
        <v>6</v>
      </c>
      <c r="AY2978">
        <v>2</v>
      </c>
      <c r="AZ2978">
        <v>0</v>
      </c>
      <c r="BA2978" t="s">
        <v>6078</v>
      </c>
      <c r="BB2978" t="s">
        <v>193</v>
      </c>
      <c r="BC2978">
        <v>0.69299999999999995</v>
      </c>
      <c r="BD2978" t="s">
        <v>65</v>
      </c>
      <c r="BE2978">
        <v>14</v>
      </c>
      <c r="BF2978">
        <v>6</v>
      </c>
      <c r="BG2978" t="s">
        <v>6079</v>
      </c>
      <c r="BH2978" t="s">
        <v>6080</v>
      </c>
      <c r="BI2978" t="s">
        <v>6081</v>
      </c>
      <c r="BJ2978">
        <v>9.7720000000000001E-2</v>
      </c>
      <c r="BK2978">
        <v>1</v>
      </c>
      <c r="BL2978" t="s">
        <v>69</v>
      </c>
      <c r="BM2978">
        <v>-1.337</v>
      </c>
      <c r="BN2978">
        <v>0.79900000000000004</v>
      </c>
    </row>
    <row r="2979" spans="10:66">
      <c r="J2979">
        <v>0</v>
      </c>
      <c r="K2979">
        <v>12</v>
      </c>
      <c r="L2979">
        <v>0</v>
      </c>
      <c r="M2979" t="s">
        <v>25021</v>
      </c>
      <c r="N2979">
        <v>972</v>
      </c>
      <c r="O2979" t="s">
        <v>6088</v>
      </c>
      <c r="P2979" t="s">
        <v>62</v>
      </c>
      <c r="Q2979">
        <v>1011795</v>
      </c>
      <c r="R2979">
        <v>1013258</v>
      </c>
      <c r="S2979" t="s">
        <v>6089</v>
      </c>
      <c r="T2979">
        <v>488</v>
      </c>
      <c r="U2979" t="s">
        <v>1392</v>
      </c>
      <c r="V2979">
        <v>43</v>
      </c>
      <c r="W2979" t="str">
        <f>HYPERLINK("Gene972-zp_tree_all.dnd", "Gene972-tree")</f>
        <v>Gene972-tree</v>
      </c>
      <c r="X2979">
        <v>4</v>
      </c>
      <c r="Y2979">
        <v>12</v>
      </c>
      <c r="Z2979">
        <v>4</v>
      </c>
      <c r="AA2979">
        <v>12</v>
      </c>
      <c r="AB2979">
        <v>0.75</v>
      </c>
      <c r="AC2979" t="s">
        <v>61</v>
      </c>
      <c r="AD2979" t="s">
        <v>109</v>
      </c>
      <c r="AE2979" t="s">
        <v>62</v>
      </c>
      <c r="AF2979" t="s">
        <v>62</v>
      </c>
      <c r="AG2979">
        <v>5</v>
      </c>
      <c r="AH2979">
        <v>12</v>
      </c>
      <c r="AI2979">
        <v>19</v>
      </c>
      <c r="AJ2979">
        <v>0.3871</v>
      </c>
      <c r="AK2979">
        <v>0</v>
      </c>
      <c r="AL2979">
        <v>0</v>
      </c>
      <c r="AM2979">
        <v>0</v>
      </c>
      <c r="AN2979">
        <v>6</v>
      </c>
      <c r="AO2979">
        <v>0</v>
      </c>
      <c r="AP2979">
        <v>6</v>
      </c>
      <c r="AQ2979">
        <v>0</v>
      </c>
      <c r="AR2979">
        <v>6</v>
      </c>
      <c r="AS2979">
        <v>14</v>
      </c>
      <c r="AT2979">
        <v>0.3</v>
      </c>
      <c r="AU2979">
        <v>12</v>
      </c>
      <c r="AV2979">
        <v>10</v>
      </c>
      <c r="AW2979">
        <v>27</v>
      </c>
      <c r="AX2979">
        <v>19</v>
      </c>
      <c r="AY2979">
        <v>27</v>
      </c>
      <c r="AZ2979">
        <v>12</v>
      </c>
      <c r="BA2979" t="s">
        <v>6090</v>
      </c>
      <c r="BB2979" t="s">
        <v>6091</v>
      </c>
      <c r="BC2979">
        <v>0.753</v>
      </c>
      <c r="BD2979" t="s">
        <v>65</v>
      </c>
      <c r="BE2979">
        <v>54</v>
      </c>
      <c r="BF2979">
        <v>31</v>
      </c>
      <c r="BG2979" t="s">
        <v>6092</v>
      </c>
      <c r="BH2979" t="s">
        <v>6093</v>
      </c>
      <c r="BI2979" t="s">
        <v>6094</v>
      </c>
      <c r="BJ2979">
        <v>0.2064</v>
      </c>
      <c r="BK2979">
        <v>1</v>
      </c>
      <c r="BL2979" t="s">
        <v>69</v>
      </c>
      <c r="BM2979">
        <v>-0.84499999999999997</v>
      </c>
      <c r="BN2979">
        <v>-1.1439999999999999</v>
      </c>
    </row>
    <row r="2980" spans="10:66">
      <c r="J2980">
        <v>0</v>
      </c>
      <c r="K2980">
        <v>2</v>
      </c>
      <c r="L2980">
        <v>0</v>
      </c>
      <c r="M2980" t="s">
        <v>25021</v>
      </c>
      <c r="N2980">
        <v>973</v>
      </c>
      <c r="O2980" t="s">
        <v>6095</v>
      </c>
      <c r="P2980" t="s">
        <v>62</v>
      </c>
      <c r="Q2980">
        <v>1013414</v>
      </c>
      <c r="R2980">
        <v>1013851</v>
      </c>
      <c r="S2980" t="s">
        <v>6096</v>
      </c>
      <c r="T2980">
        <v>146</v>
      </c>
      <c r="U2980" t="s">
        <v>108</v>
      </c>
      <c r="V2980">
        <v>44</v>
      </c>
      <c r="W2980" t="str">
        <f>HYPERLINK("Gene973-zp_tree_all.dnd", "Gene973-tree")</f>
        <v>Gene973-tree</v>
      </c>
      <c r="X2980">
        <v>10</v>
      </c>
      <c r="Y2980">
        <v>1</v>
      </c>
      <c r="Z2980">
        <v>10</v>
      </c>
      <c r="AA2980">
        <v>1</v>
      </c>
      <c r="AB2980">
        <v>9.0910000000000005E-2</v>
      </c>
      <c r="AC2980" t="s">
        <v>117</v>
      </c>
      <c r="AD2980" t="s">
        <v>175</v>
      </c>
      <c r="AE2980" t="s">
        <v>62</v>
      </c>
      <c r="AF2980" t="s">
        <v>62</v>
      </c>
      <c r="AG2980">
        <v>1</v>
      </c>
      <c r="AH2980">
        <v>2</v>
      </c>
      <c r="AI2980">
        <v>1</v>
      </c>
      <c r="AJ2980">
        <v>0.66666999999999998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6</v>
      </c>
      <c r="AV2980">
        <v>5</v>
      </c>
      <c r="AW2980">
        <v>7</v>
      </c>
      <c r="AX2980">
        <v>1</v>
      </c>
      <c r="AY2980">
        <v>9</v>
      </c>
      <c r="AZ2980">
        <v>2</v>
      </c>
      <c r="BA2980" t="s">
        <v>6097</v>
      </c>
      <c r="BB2980" t="s">
        <v>6098</v>
      </c>
      <c r="BC2980">
        <v>0.13600000000000001</v>
      </c>
      <c r="BD2980" t="s">
        <v>65</v>
      </c>
      <c r="BE2980">
        <v>16</v>
      </c>
      <c r="BF2980">
        <v>3</v>
      </c>
      <c r="BG2980" t="s">
        <v>6099</v>
      </c>
      <c r="BH2980" t="s">
        <v>6100</v>
      </c>
      <c r="BI2980" t="s">
        <v>6101</v>
      </c>
      <c r="BJ2980">
        <v>4.9270000000000001E-2</v>
      </c>
      <c r="BK2980">
        <v>0.99</v>
      </c>
      <c r="BL2980" t="s">
        <v>69</v>
      </c>
      <c r="BM2980">
        <v>-1.1910000000000001</v>
      </c>
      <c r="BN2980">
        <v>-0.40400000000000003</v>
      </c>
    </row>
    <row r="2981" spans="10:66">
      <c r="J2981">
        <v>0</v>
      </c>
      <c r="K2981">
        <v>17</v>
      </c>
      <c r="L2981">
        <v>2</v>
      </c>
      <c r="M2981" t="s">
        <v>25021</v>
      </c>
      <c r="N2981">
        <v>974</v>
      </c>
      <c r="O2981" t="s">
        <v>6102</v>
      </c>
      <c r="P2981" t="s">
        <v>62</v>
      </c>
      <c r="Q2981">
        <v>1013961</v>
      </c>
      <c r="R2981">
        <v>1015616</v>
      </c>
      <c r="S2981" t="s">
        <v>6103</v>
      </c>
      <c r="T2981">
        <v>552</v>
      </c>
      <c r="U2981" t="s">
        <v>1557</v>
      </c>
      <c r="V2981">
        <v>40</v>
      </c>
      <c r="W2981" t="str">
        <f>HYPERLINK("Gene974-zp_tree_all.dnd", "Gene974-tree")</f>
        <v>Gene974-tree</v>
      </c>
      <c r="X2981">
        <v>3</v>
      </c>
      <c r="Y2981">
        <v>11</v>
      </c>
      <c r="Z2981">
        <v>3</v>
      </c>
      <c r="AA2981">
        <v>11</v>
      </c>
      <c r="AB2981">
        <v>0.78571000000000002</v>
      </c>
      <c r="AC2981" t="s">
        <v>324</v>
      </c>
      <c r="AD2981" t="s">
        <v>73</v>
      </c>
      <c r="AE2981">
        <v>305230034.74400002</v>
      </c>
      <c r="AF2981" t="s">
        <v>267</v>
      </c>
      <c r="AG2981">
        <v>6</v>
      </c>
      <c r="AH2981">
        <v>19</v>
      </c>
      <c r="AI2981">
        <v>11</v>
      </c>
      <c r="AJ2981">
        <v>0.63332999999999995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6</v>
      </c>
      <c r="AQ2981">
        <v>2</v>
      </c>
      <c r="AR2981">
        <v>8</v>
      </c>
      <c r="AS2981">
        <v>14</v>
      </c>
      <c r="AT2981">
        <v>0.36364000000000002</v>
      </c>
      <c r="AU2981">
        <v>12</v>
      </c>
      <c r="AV2981">
        <v>10</v>
      </c>
      <c r="AW2981">
        <v>62</v>
      </c>
      <c r="AX2981">
        <v>22</v>
      </c>
      <c r="AY2981">
        <v>22</v>
      </c>
      <c r="AZ2981">
        <v>8</v>
      </c>
      <c r="BA2981" t="s">
        <v>6104</v>
      </c>
      <c r="BB2981" t="s">
        <v>6105</v>
      </c>
      <c r="BC2981">
        <v>4.5999999999999999E-2</v>
      </c>
      <c r="BD2981" t="s">
        <v>65</v>
      </c>
      <c r="BE2981">
        <v>84</v>
      </c>
      <c r="BF2981">
        <v>30</v>
      </c>
      <c r="BG2981" t="s">
        <v>6106</v>
      </c>
      <c r="BH2981" t="s">
        <v>6107</v>
      </c>
      <c r="BI2981" t="s">
        <v>6108</v>
      </c>
      <c r="BJ2981">
        <v>8.6980000000000002E-2</v>
      </c>
      <c r="BK2981">
        <v>1</v>
      </c>
      <c r="BL2981" t="s">
        <v>69</v>
      </c>
      <c r="BM2981">
        <v>-1.0349999999999999</v>
      </c>
      <c r="BN2981">
        <v>-2.9359999999999999</v>
      </c>
    </row>
    <row r="2982" spans="10:66">
      <c r="J2982">
        <v>0</v>
      </c>
      <c r="K2982">
        <v>23</v>
      </c>
      <c r="L2982">
        <v>1</v>
      </c>
      <c r="M2982" t="s">
        <v>25021</v>
      </c>
      <c r="N2982">
        <v>976</v>
      </c>
      <c r="O2982" t="s">
        <v>6116</v>
      </c>
      <c r="P2982" t="s">
        <v>62</v>
      </c>
      <c r="Q2982">
        <v>1017086</v>
      </c>
      <c r="R2982">
        <v>1018468</v>
      </c>
      <c r="S2982" t="s">
        <v>6117</v>
      </c>
      <c r="T2982">
        <v>461</v>
      </c>
      <c r="U2982" t="s">
        <v>108</v>
      </c>
      <c r="V2982">
        <v>44</v>
      </c>
      <c r="W2982" t="str">
        <f>HYPERLINK("Gene976-zp_tree_all.dnd", "Gene976-tree")</f>
        <v>Gene976-tree</v>
      </c>
      <c r="X2982">
        <v>3</v>
      </c>
      <c r="Y2982">
        <v>12</v>
      </c>
      <c r="Z2982">
        <v>3</v>
      </c>
      <c r="AA2982">
        <v>12</v>
      </c>
      <c r="AB2982">
        <v>0.8</v>
      </c>
      <c r="AC2982" t="s">
        <v>324</v>
      </c>
      <c r="AD2982" t="s">
        <v>109</v>
      </c>
      <c r="AE2982" t="s">
        <v>62</v>
      </c>
      <c r="AF2982" t="s">
        <v>62</v>
      </c>
      <c r="AG2982">
        <v>8</v>
      </c>
      <c r="AH2982">
        <v>24</v>
      </c>
      <c r="AI2982">
        <v>17</v>
      </c>
      <c r="AJ2982">
        <v>0.58536999999999995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12</v>
      </c>
      <c r="AQ2982">
        <v>0</v>
      </c>
      <c r="AR2982">
        <v>12</v>
      </c>
      <c r="AS2982">
        <v>18</v>
      </c>
      <c r="AT2982">
        <v>0.4</v>
      </c>
      <c r="AU2982">
        <v>14</v>
      </c>
      <c r="AV2982">
        <v>12</v>
      </c>
      <c r="AW2982">
        <v>45</v>
      </c>
      <c r="AX2982">
        <v>31</v>
      </c>
      <c r="AY2982">
        <v>26</v>
      </c>
      <c r="AZ2982">
        <v>12</v>
      </c>
      <c r="BA2982" t="s">
        <v>6118</v>
      </c>
      <c r="BB2982" t="s">
        <v>6119</v>
      </c>
      <c r="BC2982">
        <v>0.52</v>
      </c>
      <c r="BD2982" t="s">
        <v>65</v>
      </c>
      <c r="BE2982">
        <v>71</v>
      </c>
      <c r="BF2982">
        <v>43</v>
      </c>
      <c r="BG2982" t="s">
        <v>6120</v>
      </c>
      <c r="BH2982" t="s">
        <v>6121</v>
      </c>
      <c r="BI2982" t="s">
        <v>6122</v>
      </c>
      <c r="BJ2982">
        <v>0.14535999999999999</v>
      </c>
      <c r="BK2982">
        <v>1</v>
      </c>
      <c r="BL2982" t="s">
        <v>69</v>
      </c>
      <c r="BM2982">
        <v>-1.0029999999999999</v>
      </c>
      <c r="BN2982">
        <v>-1.5289999999999999</v>
      </c>
    </row>
    <row r="2983" spans="10:66">
      <c r="J2983">
        <v>0</v>
      </c>
      <c r="K2983">
        <v>0</v>
      </c>
      <c r="L2983">
        <v>0</v>
      </c>
      <c r="M2983" t="s">
        <v>25021</v>
      </c>
      <c r="N2983">
        <v>978</v>
      </c>
      <c r="O2983" t="s">
        <v>6130</v>
      </c>
      <c r="P2983" t="s">
        <v>62</v>
      </c>
      <c r="Q2983">
        <v>1020076</v>
      </c>
      <c r="R2983">
        <v>1020948</v>
      </c>
      <c r="S2983" t="s">
        <v>6131</v>
      </c>
      <c r="T2983">
        <v>291</v>
      </c>
      <c r="U2983" t="s">
        <v>108</v>
      </c>
      <c r="V2983">
        <v>44</v>
      </c>
      <c r="W2983" t="str">
        <f>HYPERLINK("Gene978-zp_tree_all.dnd", "Gene978-tree")</f>
        <v>Gene978-tree</v>
      </c>
      <c r="X2983">
        <v>9</v>
      </c>
      <c r="Y2983">
        <v>4</v>
      </c>
      <c r="Z2983">
        <v>9</v>
      </c>
      <c r="AA2983">
        <v>4</v>
      </c>
      <c r="AB2983">
        <v>0.30769000000000002</v>
      </c>
      <c r="AC2983" t="s">
        <v>135</v>
      </c>
      <c r="AD2983" t="s">
        <v>61</v>
      </c>
      <c r="AE2983" t="s">
        <v>62</v>
      </c>
      <c r="AF2983" t="s">
        <v>62</v>
      </c>
      <c r="AG2983">
        <v>0</v>
      </c>
      <c r="AH2983">
        <v>0</v>
      </c>
      <c r="AI2983">
        <v>4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4</v>
      </c>
      <c r="AT2983">
        <v>0</v>
      </c>
      <c r="AU2983">
        <v>9</v>
      </c>
      <c r="AV2983">
        <v>7</v>
      </c>
      <c r="AW2983">
        <v>31</v>
      </c>
      <c r="AX2983">
        <v>4</v>
      </c>
      <c r="AY2983">
        <v>7</v>
      </c>
      <c r="AZ2983">
        <v>0</v>
      </c>
      <c r="BA2983" t="s">
        <v>6132</v>
      </c>
      <c r="BB2983" t="s">
        <v>193</v>
      </c>
      <c r="BC2983">
        <v>1.2450000000000001</v>
      </c>
      <c r="BD2983" t="s">
        <v>65</v>
      </c>
      <c r="BE2983">
        <v>38</v>
      </c>
      <c r="BF2983">
        <v>4</v>
      </c>
      <c r="BG2983" t="s">
        <v>6133</v>
      </c>
      <c r="BH2983" t="s">
        <v>6134</v>
      </c>
      <c r="BI2983" t="s">
        <v>6135</v>
      </c>
      <c r="BJ2983">
        <v>2.6329999999999999E-2</v>
      </c>
      <c r="BK2983">
        <v>1</v>
      </c>
      <c r="BL2983" t="s">
        <v>69</v>
      </c>
      <c r="BM2983">
        <v>-1.1739999999999999</v>
      </c>
      <c r="BN2983">
        <v>-3.3639999999999999</v>
      </c>
    </row>
    <row r="2984" spans="10:66">
      <c r="J2984">
        <v>0</v>
      </c>
      <c r="K2984">
        <v>33</v>
      </c>
      <c r="L2984">
        <v>6</v>
      </c>
      <c r="M2984" t="s">
        <v>25021</v>
      </c>
      <c r="N2984">
        <v>983</v>
      </c>
      <c r="O2984" t="s">
        <v>6164</v>
      </c>
      <c r="P2984" t="s">
        <v>62</v>
      </c>
      <c r="Q2984">
        <v>1026258</v>
      </c>
      <c r="R2984">
        <v>1027664</v>
      </c>
      <c r="S2984" t="s">
        <v>2441</v>
      </c>
      <c r="T2984">
        <v>469</v>
      </c>
      <c r="U2984" t="s">
        <v>108</v>
      </c>
      <c r="V2984">
        <v>44</v>
      </c>
      <c r="W2984" t="str">
        <f>HYPERLINK("Gene983-zp_tree_all.dnd", "Gene983-tree")</f>
        <v>Gene983-tree</v>
      </c>
      <c r="X2984">
        <v>2</v>
      </c>
      <c r="Y2984">
        <v>13</v>
      </c>
      <c r="Z2984">
        <v>2</v>
      </c>
      <c r="AA2984">
        <v>13</v>
      </c>
      <c r="AB2984">
        <v>0.86667000000000005</v>
      </c>
      <c r="AC2984" t="s">
        <v>81</v>
      </c>
      <c r="AD2984" t="s">
        <v>507</v>
      </c>
      <c r="AE2984" t="s">
        <v>62</v>
      </c>
      <c r="AF2984" t="s">
        <v>62</v>
      </c>
      <c r="AG2984">
        <v>15</v>
      </c>
      <c r="AH2984">
        <v>39</v>
      </c>
      <c r="AI2984">
        <v>28</v>
      </c>
      <c r="AJ2984">
        <v>0.58209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15</v>
      </c>
      <c r="AQ2984">
        <v>5</v>
      </c>
      <c r="AR2984">
        <v>20</v>
      </c>
      <c r="AS2984">
        <v>22</v>
      </c>
      <c r="AT2984">
        <v>0.47619</v>
      </c>
      <c r="AU2984">
        <v>13</v>
      </c>
      <c r="AV2984">
        <v>12</v>
      </c>
      <c r="AW2984">
        <v>62</v>
      </c>
      <c r="AX2984">
        <v>42</v>
      </c>
      <c r="AY2984">
        <v>34</v>
      </c>
      <c r="AZ2984">
        <v>25</v>
      </c>
      <c r="BA2984" t="s">
        <v>6165</v>
      </c>
      <c r="BB2984" t="s">
        <v>6166</v>
      </c>
      <c r="BC2984">
        <v>0.13800000000000001</v>
      </c>
      <c r="BD2984" t="s">
        <v>65</v>
      </c>
      <c r="BE2984">
        <v>96</v>
      </c>
      <c r="BF2984">
        <v>67</v>
      </c>
      <c r="BG2984" t="s">
        <v>6167</v>
      </c>
      <c r="BH2984" t="s">
        <v>6168</v>
      </c>
      <c r="BI2984" t="s">
        <v>6169</v>
      </c>
      <c r="BJ2984">
        <v>0.21915000000000001</v>
      </c>
      <c r="BK2984">
        <v>1</v>
      </c>
      <c r="BL2984" t="s">
        <v>69</v>
      </c>
      <c r="BM2984">
        <v>-0.67500000000000004</v>
      </c>
      <c r="BN2984">
        <v>-1.5489999999999999</v>
      </c>
    </row>
    <row r="2985" spans="10:66">
      <c r="J2985">
        <v>0</v>
      </c>
      <c r="K2985">
        <v>0</v>
      </c>
      <c r="L2985">
        <v>0</v>
      </c>
      <c r="M2985" t="s">
        <v>25021</v>
      </c>
      <c r="N2985">
        <v>985</v>
      </c>
      <c r="O2985" t="s">
        <v>6176</v>
      </c>
      <c r="P2985" t="s">
        <v>62</v>
      </c>
      <c r="Q2985">
        <v>1028236</v>
      </c>
      <c r="R2985">
        <v>1028523</v>
      </c>
      <c r="S2985" t="s">
        <v>6177</v>
      </c>
      <c r="T2985">
        <v>96</v>
      </c>
      <c r="U2985" t="s">
        <v>698</v>
      </c>
      <c r="V2985">
        <v>47</v>
      </c>
      <c r="W2985" t="str">
        <f>HYPERLINK("Gene985-zp_tree_all.dnd", "Gene985-tree")</f>
        <v>Gene985-tree</v>
      </c>
      <c r="X2985">
        <v>10</v>
      </c>
      <c r="Y2985">
        <v>0</v>
      </c>
      <c r="Z2985">
        <v>10</v>
      </c>
      <c r="AA2985">
        <v>0</v>
      </c>
      <c r="AB2985">
        <v>0</v>
      </c>
      <c r="AC2985" t="s">
        <v>117</v>
      </c>
      <c r="AD2985" t="s">
        <v>62</v>
      </c>
      <c r="AE2985" t="s">
        <v>62</v>
      </c>
      <c r="AF2985" t="s">
        <v>62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6</v>
      </c>
      <c r="AV2985">
        <v>5</v>
      </c>
      <c r="AW2985">
        <v>10</v>
      </c>
      <c r="AX2985">
        <v>0</v>
      </c>
      <c r="AY2985">
        <v>12</v>
      </c>
      <c r="AZ2985">
        <v>1</v>
      </c>
      <c r="BA2985" t="s">
        <v>193</v>
      </c>
      <c r="BB2985" t="s">
        <v>6178</v>
      </c>
      <c r="BC2985">
        <v>0.44600000000000001</v>
      </c>
      <c r="BD2985" t="s">
        <v>65</v>
      </c>
      <c r="BE2985">
        <v>22</v>
      </c>
      <c r="BF2985">
        <v>1</v>
      </c>
      <c r="BG2985" t="s">
        <v>6179</v>
      </c>
      <c r="BH2985" t="s">
        <v>6180</v>
      </c>
      <c r="BI2985" t="s">
        <v>6181</v>
      </c>
      <c r="BJ2985">
        <v>2.6190000000000001E-2</v>
      </c>
      <c r="BK2985">
        <v>1</v>
      </c>
      <c r="BL2985" t="s">
        <v>69</v>
      </c>
      <c r="BM2985">
        <v>-1.1200000000000001</v>
      </c>
      <c r="BN2985">
        <v>-0.39900000000000002</v>
      </c>
    </row>
    <row r="2986" spans="10:66">
      <c r="J2986">
        <v>0</v>
      </c>
      <c r="K2986">
        <v>2</v>
      </c>
      <c r="L2986">
        <v>0</v>
      </c>
      <c r="M2986" t="s">
        <v>25021</v>
      </c>
      <c r="N2986">
        <v>986</v>
      </c>
      <c r="O2986" t="s">
        <v>6182</v>
      </c>
      <c r="P2986" t="s">
        <v>62</v>
      </c>
      <c r="Q2986">
        <v>1028514</v>
      </c>
      <c r="R2986">
        <v>1029587</v>
      </c>
      <c r="S2986" t="s">
        <v>6177</v>
      </c>
      <c r="T2986">
        <v>358</v>
      </c>
      <c r="U2986" t="s">
        <v>108</v>
      </c>
      <c r="V2986">
        <v>44</v>
      </c>
      <c r="W2986" t="str">
        <f>HYPERLINK("Gene986-zp_tree_all.dnd", "Gene986-tree")</f>
        <v>Gene986-tree</v>
      </c>
      <c r="X2986">
        <v>12</v>
      </c>
      <c r="Y2986">
        <v>3</v>
      </c>
      <c r="Z2986">
        <v>12</v>
      </c>
      <c r="AA2986">
        <v>3</v>
      </c>
      <c r="AB2986">
        <v>0.2</v>
      </c>
      <c r="AC2986" t="s">
        <v>109</v>
      </c>
      <c r="AD2986" t="s">
        <v>324</v>
      </c>
      <c r="AE2986" t="s">
        <v>62</v>
      </c>
      <c r="AF2986" t="s">
        <v>62</v>
      </c>
      <c r="AG2986">
        <v>1</v>
      </c>
      <c r="AH2986">
        <v>2</v>
      </c>
      <c r="AI2986">
        <v>3</v>
      </c>
      <c r="AJ2986">
        <v>0.4</v>
      </c>
      <c r="AK2986">
        <v>0</v>
      </c>
      <c r="AL2986">
        <v>0</v>
      </c>
      <c r="AM2986">
        <v>0</v>
      </c>
      <c r="AN2986">
        <v>2</v>
      </c>
      <c r="AO2986">
        <v>0</v>
      </c>
      <c r="AP2986">
        <v>0</v>
      </c>
      <c r="AQ2986">
        <v>0</v>
      </c>
      <c r="AR2986">
        <v>0</v>
      </c>
      <c r="AS2986">
        <v>3</v>
      </c>
      <c r="AT2986">
        <v>0</v>
      </c>
      <c r="AU2986">
        <v>11</v>
      </c>
      <c r="AV2986">
        <v>9</v>
      </c>
      <c r="AW2986">
        <v>17</v>
      </c>
      <c r="AX2986">
        <v>3</v>
      </c>
      <c r="AY2986">
        <v>10</v>
      </c>
      <c r="AZ2986">
        <v>2</v>
      </c>
      <c r="BA2986" t="s">
        <v>6183</v>
      </c>
      <c r="BB2986" t="s">
        <v>6184</v>
      </c>
      <c r="BC2986">
        <v>8.4000000000000005E-2</v>
      </c>
      <c r="BD2986" t="s">
        <v>65</v>
      </c>
      <c r="BE2986">
        <v>27</v>
      </c>
      <c r="BF2986">
        <v>5</v>
      </c>
      <c r="BG2986" t="s">
        <v>6185</v>
      </c>
      <c r="BH2986" t="s">
        <v>6186</v>
      </c>
      <c r="BI2986" t="s">
        <v>2495</v>
      </c>
      <c r="BJ2986">
        <v>4.9020000000000001E-2</v>
      </c>
      <c r="BK2986">
        <v>1</v>
      </c>
      <c r="BL2986" t="s">
        <v>69</v>
      </c>
      <c r="BM2986">
        <v>-0.96499999999999997</v>
      </c>
      <c r="BN2986">
        <v>-0.92800000000000005</v>
      </c>
    </row>
    <row r="2987" spans="10:66">
      <c r="J2987">
        <v>0</v>
      </c>
      <c r="K2987">
        <v>0</v>
      </c>
      <c r="L2987">
        <v>0</v>
      </c>
      <c r="M2987" t="s">
        <v>25021</v>
      </c>
      <c r="N2987">
        <v>987</v>
      </c>
      <c r="O2987" t="s">
        <v>6187</v>
      </c>
      <c r="P2987" t="s">
        <v>62</v>
      </c>
      <c r="Q2987">
        <v>1029580</v>
      </c>
      <c r="R2987">
        <v>1030068</v>
      </c>
      <c r="S2987" t="s">
        <v>6188</v>
      </c>
      <c r="T2987">
        <v>163</v>
      </c>
      <c r="U2987" t="s">
        <v>59</v>
      </c>
      <c r="V2987">
        <v>49</v>
      </c>
      <c r="W2987" t="str">
        <f>HYPERLINK("Gene987-zp_tree_all.dnd", "Gene987-tree")</f>
        <v>Gene987-tree</v>
      </c>
      <c r="X2987">
        <v>33</v>
      </c>
      <c r="Y2987">
        <v>0</v>
      </c>
      <c r="Z2987">
        <v>7</v>
      </c>
      <c r="AA2987">
        <v>0</v>
      </c>
      <c r="AB2987">
        <v>0</v>
      </c>
      <c r="AC2987" t="s">
        <v>5770</v>
      </c>
      <c r="AD2987" t="s">
        <v>62</v>
      </c>
      <c r="AE2987" t="s">
        <v>62</v>
      </c>
      <c r="AF2987" t="s">
        <v>62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</v>
      </c>
      <c r="AV2987">
        <v>3</v>
      </c>
      <c r="AW2987">
        <v>6</v>
      </c>
      <c r="AX2987">
        <v>0</v>
      </c>
      <c r="AY2987">
        <v>9</v>
      </c>
      <c r="AZ2987">
        <v>0</v>
      </c>
      <c r="BA2987" t="s">
        <v>193</v>
      </c>
      <c r="BB2987" t="s">
        <v>193</v>
      </c>
      <c r="BC2987">
        <v>0</v>
      </c>
      <c r="BD2987" t="s">
        <v>65</v>
      </c>
      <c r="BE2987">
        <v>15</v>
      </c>
      <c r="BF2987">
        <v>0</v>
      </c>
      <c r="BG2987" t="s">
        <v>6189</v>
      </c>
      <c r="BH2987" t="s">
        <v>6190</v>
      </c>
      <c r="BI2987" t="s">
        <v>193</v>
      </c>
      <c r="BJ2987">
        <v>0</v>
      </c>
      <c r="BK2987">
        <v>1</v>
      </c>
      <c r="BL2987" t="s">
        <v>69</v>
      </c>
      <c r="BM2987">
        <v>-1.1759999999999999</v>
      </c>
      <c r="BN2987">
        <v>-0.25900000000000001</v>
      </c>
    </row>
    <row r="2988" spans="10:66">
      <c r="J2988">
        <v>0</v>
      </c>
      <c r="K2988">
        <v>2</v>
      </c>
      <c r="L2988">
        <v>0</v>
      </c>
      <c r="M2988" t="s">
        <v>25021</v>
      </c>
      <c r="N2988">
        <v>990</v>
      </c>
      <c r="O2988" t="s">
        <v>6205</v>
      </c>
      <c r="P2988" t="s">
        <v>62</v>
      </c>
      <c r="Q2988">
        <v>1032066</v>
      </c>
      <c r="R2988">
        <v>1033397</v>
      </c>
      <c r="S2988" t="s">
        <v>6206</v>
      </c>
      <c r="T2988">
        <v>444</v>
      </c>
      <c r="U2988" t="s">
        <v>59</v>
      </c>
      <c r="V2988">
        <v>49</v>
      </c>
      <c r="W2988" t="str">
        <f>HYPERLINK("Gene990-zp_tree_all.dnd", "Gene990-tree")</f>
        <v>Gene990-tree</v>
      </c>
      <c r="X2988">
        <v>34</v>
      </c>
      <c r="Y2988">
        <v>3</v>
      </c>
      <c r="Z2988">
        <v>15</v>
      </c>
      <c r="AA2988">
        <v>3</v>
      </c>
      <c r="AB2988">
        <v>0.16667000000000001</v>
      </c>
      <c r="AC2988" t="s">
        <v>6207</v>
      </c>
      <c r="AD2988" t="s">
        <v>324</v>
      </c>
      <c r="AE2988" t="s">
        <v>62</v>
      </c>
      <c r="AF2988" t="s">
        <v>62</v>
      </c>
      <c r="AG2988">
        <v>1</v>
      </c>
      <c r="AH2988">
        <v>2</v>
      </c>
      <c r="AI2988">
        <v>10</v>
      </c>
      <c r="AJ2988">
        <v>0.16667000000000001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4</v>
      </c>
      <c r="AT2988">
        <v>0</v>
      </c>
      <c r="AU2988">
        <v>16</v>
      </c>
      <c r="AV2988">
        <v>12</v>
      </c>
      <c r="AW2988">
        <v>45</v>
      </c>
      <c r="AX2988">
        <v>4</v>
      </c>
      <c r="AY2988">
        <v>79</v>
      </c>
      <c r="AZ2988">
        <v>9</v>
      </c>
      <c r="BA2988" t="s">
        <v>6208</v>
      </c>
      <c r="BB2988" t="s">
        <v>6209</v>
      </c>
      <c r="BC2988">
        <v>0.10299999999999999</v>
      </c>
      <c r="BD2988" t="s">
        <v>65</v>
      </c>
      <c r="BE2988">
        <v>124</v>
      </c>
      <c r="BF2988">
        <v>13</v>
      </c>
      <c r="BG2988" t="s">
        <v>6210</v>
      </c>
      <c r="BH2988" t="s">
        <v>6211</v>
      </c>
      <c r="BI2988" t="s">
        <v>6212</v>
      </c>
      <c r="BJ2988">
        <v>3.1060000000000001E-2</v>
      </c>
      <c r="BK2988">
        <v>1</v>
      </c>
      <c r="BL2988" t="s">
        <v>69</v>
      </c>
      <c r="BM2988">
        <v>-1.18</v>
      </c>
      <c r="BN2988">
        <v>0.129</v>
      </c>
    </row>
    <row r="2989" spans="10:66">
      <c r="J2989">
        <v>0</v>
      </c>
      <c r="K2989">
        <v>0</v>
      </c>
      <c r="L2989">
        <v>0</v>
      </c>
      <c r="M2989" t="s">
        <v>25021</v>
      </c>
      <c r="N2989">
        <v>991</v>
      </c>
      <c r="O2989" t="s">
        <v>6213</v>
      </c>
      <c r="P2989" t="s">
        <v>62</v>
      </c>
      <c r="Q2989">
        <v>1033461</v>
      </c>
      <c r="R2989">
        <v>1033889</v>
      </c>
      <c r="S2989" t="s">
        <v>6214</v>
      </c>
      <c r="T2989">
        <v>143</v>
      </c>
      <c r="U2989" t="s">
        <v>59</v>
      </c>
      <c r="V2989">
        <v>49</v>
      </c>
      <c r="W2989" t="str">
        <f>HYPERLINK("Gene991-zp_tree_all.dnd", "Gene991-tree")</f>
        <v>Gene991-tree</v>
      </c>
      <c r="X2989">
        <v>6</v>
      </c>
      <c r="Y2989">
        <v>3</v>
      </c>
      <c r="Z2989">
        <v>6</v>
      </c>
      <c r="AA2989">
        <v>3</v>
      </c>
      <c r="AB2989">
        <v>0.33333000000000002</v>
      </c>
      <c r="AC2989" t="s">
        <v>90</v>
      </c>
      <c r="AD2989" t="s">
        <v>324</v>
      </c>
      <c r="AE2989" t="s">
        <v>62</v>
      </c>
      <c r="AF2989" t="s">
        <v>62</v>
      </c>
      <c r="AG2989">
        <v>0</v>
      </c>
      <c r="AH2989">
        <v>0</v>
      </c>
      <c r="AI2989">
        <v>4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3</v>
      </c>
      <c r="AT2989">
        <v>0</v>
      </c>
      <c r="AU2989">
        <v>6</v>
      </c>
      <c r="AV2989">
        <v>3</v>
      </c>
      <c r="AW2989">
        <v>4</v>
      </c>
      <c r="AX2989">
        <v>2</v>
      </c>
      <c r="AY2989">
        <v>12</v>
      </c>
      <c r="AZ2989">
        <v>2</v>
      </c>
      <c r="BA2989" t="s">
        <v>6215</v>
      </c>
      <c r="BB2989" t="s">
        <v>6216</v>
      </c>
      <c r="BC2989">
        <v>0.65700000000000003</v>
      </c>
      <c r="BD2989" t="s">
        <v>65</v>
      </c>
      <c r="BE2989">
        <v>16</v>
      </c>
      <c r="BF2989">
        <v>4</v>
      </c>
      <c r="BG2989" t="s">
        <v>6217</v>
      </c>
      <c r="BH2989" t="s">
        <v>6218</v>
      </c>
      <c r="BI2989" t="s">
        <v>6219</v>
      </c>
      <c r="BJ2989">
        <v>5.8409999999999997E-2</v>
      </c>
      <c r="BK2989">
        <v>1</v>
      </c>
      <c r="BL2989" t="s">
        <v>69</v>
      </c>
      <c r="BM2989">
        <v>-1.591</v>
      </c>
      <c r="BN2989">
        <v>0.89900000000000002</v>
      </c>
    </row>
    <row r="2990" spans="10:66">
      <c r="J2990">
        <v>0</v>
      </c>
      <c r="K2990">
        <v>0</v>
      </c>
      <c r="L2990">
        <v>2</v>
      </c>
      <c r="M2990" t="s">
        <v>25021</v>
      </c>
      <c r="N2990">
        <v>994</v>
      </c>
      <c r="O2990" t="s">
        <v>6233</v>
      </c>
      <c r="P2990" t="s">
        <v>62</v>
      </c>
      <c r="Q2990">
        <v>1036956</v>
      </c>
      <c r="R2990">
        <v>1037309</v>
      </c>
      <c r="S2990" t="s">
        <v>6234</v>
      </c>
      <c r="T2990">
        <v>118</v>
      </c>
      <c r="U2990" t="s">
        <v>108</v>
      </c>
      <c r="V2990">
        <v>44</v>
      </c>
      <c r="W2990" t="str">
        <f>HYPERLINK("Gene994-zp_tree_all.dnd", "Gene994-tree")</f>
        <v>Gene994-tree</v>
      </c>
      <c r="X2990">
        <v>5</v>
      </c>
      <c r="Y2990">
        <v>7</v>
      </c>
      <c r="Z2990">
        <v>5</v>
      </c>
      <c r="AA2990">
        <v>7</v>
      </c>
      <c r="AB2990">
        <v>0.58333000000000002</v>
      </c>
      <c r="AC2990" t="s">
        <v>199</v>
      </c>
      <c r="AD2990" t="s">
        <v>152</v>
      </c>
      <c r="AE2990" t="s">
        <v>62</v>
      </c>
      <c r="AF2990" t="s">
        <v>62</v>
      </c>
      <c r="AG2990">
        <v>1</v>
      </c>
      <c r="AH2990">
        <v>2</v>
      </c>
      <c r="AI2990">
        <v>12</v>
      </c>
      <c r="AJ2990">
        <v>0.14285999999999999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12</v>
      </c>
      <c r="AT2990">
        <v>0</v>
      </c>
      <c r="AU2990">
        <v>10</v>
      </c>
      <c r="AV2990">
        <v>6</v>
      </c>
      <c r="AW2990">
        <v>9</v>
      </c>
      <c r="AX2990">
        <v>12</v>
      </c>
      <c r="AY2990">
        <v>5</v>
      </c>
      <c r="AZ2990">
        <v>2</v>
      </c>
      <c r="BA2990" t="s">
        <v>6235</v>
      </c>
      <c r="BB2990" t="s">
        <v>6236</v>
      </c>
      <c r="BC2990">
        <v>1.44</v>
      </c>
      <c r="BD2990" t="s">
        <v>65</v>
      </c>
      <c r="BE2990">
        <v>14</v>
      </c>
      <c r="BF2990">
        <v>14</v>
      </c>
      <c r="BG2990" t="s">
        <v>6237</v>
      </c>
      <c r="BH2990" t="s">
        <v>6238</v>
      </c>
      <c r="BI2990" t="s">
        <v>6239</v>
      </c>
      <c r="BJ2990">
        <v>0.31757000000000002</v>
      </c>
      <c r="BK2990">
        <v>0.99</v>
      </c>
      <c r="BL2990" t="s">
        <v>69</v>
      </c>
      <c r="BM2990">
        <v>0.19800000000000001</v>
      </c>
      <c r="BN2990">
        <v>-1.591</v>
      </c>
    </row>
    <row r="2991" spans="10:66">
      <c r="J2991">
        <v>0</v>
      </c>
      <c r="K2991">
        <v>0</v>
      </c>
      <c r="L2991">
        <v>0</v>
      </c>
      <c r="M2991" t="s">
        <v>25021</v>
      </c>
      <c r="N2991">
        <v>995</v>
      </c>
      <c r="O2991" t="s">
        <v>6240</v>
      </c>
      <c r="P2991" t="s">
        <v>62</v>
      </c>
      <c r="Q2991">
        <v>1037309</v>
      </c>
      <c r="R2991">
        <v>1037701</v>
      </c>
      <c r="S2991" t="s">
        <v>6241</v>
      </c>
      <c r="T2991">
        <v>131</v>
      </c>
      <c r="U2991" t="s">
        <v>108</v>
      </c>
      <c r="V2991">
        <v>44</v>
      </c>
      <c r="W2991" t="str">
        <f>HYPERLINK("Gene995-zp_tree_all.dnd", "Gene995-tree")</f>
        <v>Gene995-tree</v>
      </c>
      <c r="X2991">
        <v>4</v>
      </c>
      <c r="Y2991">
        <v>7</v>
      </c>
      <c r="Z2991">
        <v>4</v>
      </c>
      <c r="AA2991">
        <v>7</v>
      </c>
      <c r="AB2991">
        <v>0.63636000000000004</v>
      </c>
      <c r="AC2991" t="s">
        <v>61</v>
      </c>
      <c r="AD2991" t="s">
        <v>152</v>
      </c>
      <c r="AE2991" t="s">
        <v>62</v>
      </c>
      <c r="AF2991" t="s">
        <v>62</v>
      </c>
      <c r="AG2991">
        <v>0</v>
      </c>
      <c r="AH2991">
        <v>0</v>
      </c>
      <c r="AI2991">
        <v>10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9</v>
      </c>
      <c r="AT2991">
        <v>0</v>
      </c>
      <c r="AU2991">
        <v>8</v>
      </c>
      <c r="AV2991">
        <v>3</v>
      </c>
      <c r="AW2991">
        <v>5</v>
      </c>
      <c r="AX2991">
        <v>9</v>
      </c>
      <c r="AY2991">
        <v>2</v>
      </c>
      <c r="AZ2991">
        <v>1</v>
      </c>
      <c r="BA2991" t="s">
        <v>6242</v>
      </c>
      <c r="BB2991" t="s">
        <v>6243</v>
      </c>
      <c r="BC2991">
        <v>0.66800000000000004</v>
      </c>
      <c r="BD2991" t="s">
        <v>65</v>
      </c>
      <c r="BE2991">
        <v>7</v>
      </c>
      <c r="BF2991">
        <v>10</v>
      </c>
      <c r="BG2991" t="s">
        <v>6244</v>
      </c>
      <c r="BH2991" t="s">
        <v>6245</v>
      </c>
      <c r="BI2991" t="s">
        <v>6246</v>
      </c>
      <c r="BJ2991">
        <v>0.44355</v>
      </c>
      <c r="BK2991">
        <v>0.82</v>
      </c>
      <c r="BL2991" t="s">
        <v>635</v>
      </c>
      <c r="BM2991">
        <v>-1.454</v>
      </c>
      <c r="BN2991">
        <v>-2.6349999999999998</v>
      </c>
    </row>
    <row r="2992" spans="10:66">
      <c r="J2992">
        <v>0</v>
      </c>
      <c r="K2992">
        <v>2</v>
      </c>
      <c r="L2992">
        <v>0</v>
      </c>
      <c r="M2992" t="s">
        <v>25021</v>
      </c>
      <c r="N2992">
        <v>996</v>
      </c>
      <c r="O2992" t="s">
        <v>6247</v>
      </c>
      <c r="P2992" t="s">
        <v>62</v>
      </c>
      <c r="Q2992">
        <v>1037691</v>
      </c>
      <c r="R2992">
        <v>1038419</v>
      </c>
      <c r="S2992" t="s">
        <v>6248</v>
      </c>
      <c r="T2992">
        <v>243</v>
      </c>
      <c r="U2992" t="s">
        <v>1392</v>
      </c>
      <c r="V2992">
        <v>43</v>
      </c>
      <c r="W2992" t="str">
        <f>HYPERLINK("Gene996-zp_tree_all.dnd", "Gene996-tree")</f>
        <v>Gene996-tree</v>
      </c>
      <c r="X2992">
        <v>2</v>
      </c>
      <c r="Y2992">
        <v>10</v>
      </c>
      <c r="Z2992">
        <v>2</v>
      </c>
      <c r="AA2992">
        <v>10</v>
      </c>
      <c r="AB2992">
        <v>0.83333000000000002</v>
      </c>
      <c r="AC2992" t="s">
        <v>81</v>
      </c>
      <c r="AD2992" t="s">
        <v>117</v>
      </c>
      <c r="AE2992" t="s">
        <v>62</v>
      </c>
      <c r="AF2992" t="s">
        <v>62</v>
      </c>
      <c r="AG2992">
        <v>1</v>
      </c>
      <c r="AH2992">
        <v>2</v>
      </c>
      <c r="AI2992">
        <v>11</v>
      </c>
      <c r="AJ2992">
        <v>0.15384999999999999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2</v>
      </c>
      <c r="AQ2992">
        <v>0</v>
      </c>
      <c r="AR2992">
        <v>2</v>
      </c>
      <c r="AS2992">
        <v>10</v>
      </c>
      <c r="AT2992">
        <v>0.16667000000000001</v>
      </c>
      <c r="AU2992">
        <v>7</v>
      </c>
      <c r="AV2992">
        <v>7</v>
      </c>
      <c r="AW2992">
        <v>3</v>
      </c>
      <c r="AX2992">
        <v>8</v>
      </c>
      <c r="AY2992">
        <v>10</v>
      </c>
      <c r="AZ2992">
        <v>5</v>
      </c>
      <c r="BA2992" t="s">
        <v>6249</v>
      </c>
      <c r="BB2992" t="s">
        <v>6250</v>
      </c>
      <c r="BC2992">
        <v>1.45</v>
      </c>
      <c r="BD2992" t="s">
        <v>65</v>
      </c>
      <c r="BE2992">
        <v>13</v>
      </c>
      <c r="BF2992">
        <v>13</v>
      </c>
      <c r="BG2992" t="s">
        <v>6251</v>
      </c>
      <c r="BH2992" t="s">
        <v>6252</v>
      </c>
      <c r="BI2992" t="s">
        <v>6253</v>
      </c>
      <c r="BJ2992">
        <v>0.25445000000000001</v>
      </c>
      <c r="BK2992">
        <v>0.99</v>
      </c>
      <c r="BL2992" t="s">
        <v>69</v>
      </c>
      <c r="BM2992">
        <v>-0.33100000000000002</v>
      </c>
      <c r="BN2992">
        <v>-0.40300000000000002</v>
      </c>
    </row>
    <row r="2993" spans="10:66">
      <c r="J2993">
        <v>0</v>
      </c>
      <c r="K2993">
        <v>12</v>
      </c>
      <c r="L2993">
        <v>2</v>
      </c>
      <c r="M2993" t="s">
        <v>25021</v>
      </c>
      <c r="N2993">
        <v>1000</v>
      </c>
      <c r="O2993" t="s">
        <v>6273</v>
      </c>
      <c r="P2993" t="s">
        <v>62</v>
      </c>
      <c r="Q2993">
        <v>1040864</v>
      </c>
      <c r="R2993">
        <v>1041709</v>
      </c>
      <c r="S2993" t="s">
        <v>6274</v>
      </c>
      <c r="T2993">
        <v>282</v>
      </c>
      <c r="U2993" t="s">
        <v>108</v>
      </c>
      <c r="V2993">
        <v>44</v>
      </c>
      <c r="W2993" t="str">
        <f>HYPERLINK("Gene1000-zp_tree_all.dnd", "Gene1000-tree")</f>
        <v>Gene1000-tree</v>
      </c>
      <c r="X2993">
        <v>4</v>
      </c>
      <c r="Y2993">
        <v>10</v>
      </c>
      <c r="Z2993">
        <v>4</v>
      </c>
      <c r="AA2993">
        <v>10</v>
      </c>
      <c r="AB2993">
        <v>0.71428999999999998</v>
      </c>
      <c r="AC2993" t="s">
        <v>61</v>
      </c>
      <c r="AD2993" t="s">
        <v>117</v>
      </c>
      <c r="AE2993" t="s">
        <v>62</v>
      </c>
      <c r="AF2993" t="s">
        <v>62</v>
      </c>
      <c r="AG2993">
        <v>7</v>
      </c>
      <c r="AH2993">
        <v>14</v>
      </c>
      <c r="AI2993">
        <v>11</v>
      </c>
      <c r="AJ2993">
        <v>0.56000000000000005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4</v>
      </c>
      <c r="AQ2993">
        <v>0</v>
      </c>
      <c r="AR2993">
        <v>4</v>
      </c>
      <c r="AS2993">
        <v>11</v>
      </c>
      <c r="AT2993">
        <v>0.26667000000000002</v>
      </c>
      <c r="AU2993">
        <v>13</v>
      </c>
      <c r="AV2993">
        <v>9</v>
      </c>
      <c r="AW2993">
        <v>37</v>
      </c>
      <c r="AX2993">
        <v>15</v>
      </c>
      <c r="AY2993">
        <v>34</v>
      </c>
      <c r="AZ2993">
        <v>10</v>
      </c>
      <c r="BA2993" t="s">
        <v>6275</v>
      </c>
      <c r="BB2993" t="s">
        <v>6276</v>
      </c>
      <c r="BC2993">
        <v>0.35399999999999998</v>
      </c>
      <c r="BD2993" t="s">
        <v>65</v>
      </c>
      <c r="BE2993">
        <v>71</v>
      </c>
      <c r="BF2993">
        <v>25</v>
      </c>
      <c r="BG2993" t="s">
        <v>6277</v>
      </c>
      <c r="BH2993" t="s">
        <v>6278</v>
      </c>
      <c r="BI2993" t="s">
        <v>6279</v>
      </c>
      <c r="BJ2993">
        <v>0.10165</v>
      </c>
      <c r="BK2993">
        <v>1</v>
      </c>
      <c r="BL2993" t="s">
        <v>69</v>
      </c>
      <c r="BM2993">
        <v>1.1000000000000001</v>
      </c>
      <c r="BN2993">
        <v>0.24399999999999999</v>
      </c>
    </row>
    <row r="2994" spans="10:66">
      <c r="J2994">
        <v>0</v>
      </c>
      <c r="K2994">
        <v>13</v>
      </c>
      <c r="L2994">
        <v>2</v>
      </c>
      <c r="M2994" t="s">
        <v>25021</v>
      </c>
      <c r="N2994">
        <v>1002</v>
      </c>
      <c r="O2994" t="s">
        <v>6287</v>
      </c>
      <c r="P2994" t="s">
        <v>62</v>
      </c>
      <c r="Q2994">
        <v>1042888</v>
      </c>
      <c r="R2994">
        <v>1044246</v>
      </c>
      <c r="S2994" t="s">
        <v>6288</v>
      </c>
      <c r="T2994">
        <v>453</v>
      </c>
      <c r="U2994" t="s">
        <v>108</v>
      </c>
      <c r="V2994">
        <v>44</v>
      </c>
      <c r="W2994" t="str">
        <f>HYPERLINK("Gene1002-zp_tree_all.dnd", "Gene1002-tree")</f>
        <v>Gene1002-tree</v>
      </c>
      <c r="X2994">
        <v>2</v>
      </c>
      <c r="Y2994">
        <v>13</v>
      </c>
      <c r="Z2994">
        <v>2</v>
      </c>
      <c r="AA2994">
        <v>13</v>
      </c>
      <c r="AB2994">
        <v>0.86667000000000005</v>
      </c>
      <c r="AC2994" t="s">
        <v>81</v>
      </c>
      <c r="AD2994" t="s">
        <v>507</v>
      </c>
      <c r="AE2994" t="s">
        <v>62</v>
      </c>
      <c r="AF2994" t="s">
        <v>62</v>
      </c>
      <c r="AG2994">
        <v>6</v>
      </c>
      <c r="AH2994">
        <v>15</v>
      </c>
      <c r="AI2994">
        <v>9</v>
      </c>
      <c r="AJ2994">
        <v>0.625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8</v>
      </c>
      <c r="AQ2994">
        <v>2</v>
      </c>
      <c r="AR2994">
        <v>10</v>
      </c>
      <c r="AS2994">
        <v>7</v>
      </c>
      <c r="AT2994">
        <v>0.58823999999999999</v>
      </c>
      <c r="AU2994">
        <v>12</v>
      </c>
      <c r="AV2994">
        <v>12</v>
      </c>
      <c r="AW2994">
        <v>38</v>
      </c>
      <c r="AX2994">
        <v>12</v>
      </c>
      <c r="AY2994">
        <v>31</v>
      </c>
      <c r="AZ2994">
        <v>12</v>
      </c>
      <c r="BA2994" t="s">
        <v>6289</v>
      </c>
      <c r="BB2994" t="s">
        <v>6290</v>
      </c>
      <c r="BC2994">
        <v>0.35699999999999998</v>
      </c>
      <c r="BD2994" t="s">
        <v>65</v>
      </c>
      <c r="BE2994">
        <v>69</v>
      </c>
      <c r="BF2994">
        <v>24</v>
      </c>
      <c r="BG2994" t="s">
        <v>6291</v>
      </c>
      <c r="BH2994" t="s">
        <v>6292</v>
      </c>
      <c r="BI2994" t="s">
        <v>6293</v>
      </c>
      <c r="BJ2994">
        <v>0.11068</v>
      </c>
      <c r="BK2994">
        <v>1</v>
      </c>
      <c r="BL2994" t="s">
        <v>69</v>
      </c>
      <c r="BM2994">
        <v>-8.0000000000000002E-3</v>
      </c>
      <c r="BN2994">
        <v>-1.105</v>
      </c>
    </row>
    <row r="2995" spans="10:66">
      <c r="J2995">
        <v>0</v>
      </c>
      <c r="K2995">
        <v>0</v>
      </c>
      <c r="L2995">
        <v>0</v>
      </c>
      <c r="M2995" t="s">
        <v>25021</v>
      </c>
      <c r="N2995">
        <v>1003</v>
      </c>
      <c r="O2995" t="s">
        <v>6294</v>
      </c>
      <c r="P2995" t="s">
        <v>62</v>
      </c>
      <c r="Q2995">
        <v>1044376</v>
      </c>
      <c r="R2995">
        <v>1044873</v>
      </c>
      <c r="S2995" t="s">
        <v>6295</v>
      </c>
      <c r="T2995">
        <v>166</v>
      </c>
      <c r="U2995" t="s">
        <v>108</v>
      </c>
      <c r="V2995">
        <v>44</v>
      </c>
      <c r="W2995" t="str">
        <f>HYPERLINK("Gene1003-zp_tree_all.dnd", "Gene1003-tree")</f>
        <v>Gene1003-tree</v>
      </c>
      <c r="X2995">
        <v>5</v>
      </c>
      <c r="Y2995">
        <v>7</v>
      </c>
      <c r="Z2995">
        <v>5</v>
      </c>
      <c r="AA2995">
        <v>7</v>
      </c>
      <c r="AB2995">
        <v>0.58333000000000002</v>
      </c>
      <c r="AC2995" t="s">
        <v>199</v>
      </c>
      <c r="AD2995" t="s">
        <v>152</v>
      </c>
      <c r="AE2995" t="s">
        <v>62</v>
      </c>
      <c r="AF2995" t="s">
        <v>62</v>
      </c>
      <c r="AG2995">
        <v>0</v>
      </c>
      <c r="AH2995">
        <v>0</v>
      </c>
      <c r="AI2995">
        <v>12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10</v>
      </c>
      <c r="AT2995">
        <v>0</v>
      </c>
      <c r="AU2995">
        <v>8</v>
      </c>
      <c r="AV2995">
        <v>4</v>
      </c>
      <c r="AW2995">
        <v>10</v>
      </c>
      <c r="AX2995">
        <v>8</v>
      </c>
      <c r="AY2995">
        <v>2</v>
      </c>
      <c r="AZ2995">
        <v>4</v>
      </c>
      <c r="BA2995" t="s">
        <v>6296</v>
      </c>
      <c r="BB2995" t="s">
        <v>6297</v>
      </c>
      <c r="BC2995">
        <v>0.79300000000000004</v>
      </c>
      <c r="BD2995" t="s">
        <v>65</v>
      </c>
      <c r="BE2995">
        <v>12</v>
      </c>
      <c r="BF2995">
        <v>12</v>
      </c>
      <c r="BG2995" t="s">
        <v>6298</v>
      </c>
      <c r="BH2995" t="s">
        <v>6299</v>
      </c>
      <c r="BI2995" t="s">
        <v>6300</v>
      </c>
      <c r="BJ2995">
        <v>0.36886999999999998</v>
      </c>
      <c r="BK2995">
        <v>1</v>
      </c>
      <c r="BL2995" t="s">
        <v>69</v>
      </c>
      <c r="BM2995">
        <v>-1.849</v>
      </c>
      <c r="BN2995">
        <v>-3.4910000000000001</v>
      </c>
    </row>
    <row r="2996" spans="10:66">
      <c r="J2996">
        <v>2</v>
      </c>
      <c r="K2996">
        <v>9</v>
      </c>
      <c r="L2996">
        <v>2</v>
      </c>
      <c r="M2996" t="s">
        <v>25021</v>
      </c>
      <c r="N2996">
        <v>1007</v>
      </c>
      <c r="O2996" t="s">
        <v>6321</v>
      </c>
      <c r="P2996" t="s">
        <v>62</v>
      </c>
      <c r="Q2996">
        <v>1049145</v>
      </c>
      <c r="R2996">
        <v>1049762</v>
      </c>
      <c r="S2996" t="s">
        <v>6322</v>
      </c>
      <c r="T2996">
        <v>206</v>
      </c>
      <c r="U2996" t="s">
        <v>108</v>
      </c>
      <c r="V2996">
        <v>44</v>
      </c>
      <c r="W2996" t="str">
        <f>HYPERLINK("Gene1007-zp_tree_all.dnd", "Gene1007-tree")</f>
        <v>Gene1007-tree</v>
      </c>
      <c r="X2996">
        <v>0</v>
      </c>
      <c r="Y2996">
        <v>13</v>
      </c>
      <c r="Z2996">
        <v>0</v>
      </c>
      <c r="AA2996">
        <v>13</v>
      </c>
      <c r="AB2996">
        <v>1</v>
      </c>
      <c r="AC2996" t="s">
        <v>62</v>
      </c>
      <c r="AD2996" t="s">
        <v>507</v>
      </c>
      <c r="AE2996" t="s">
        <v>62</v>
      </c>
      <c r="AF2996" t="s">
        <v>62</v>
      </c>
      <c r="AG2996">
        <v>5</v>
      </c>
      <c r="AH2996">
        <v>13</v>
      </c>
      <c r="AI2996">
        <v>9</v>
      </c>
      <c r="AJ2996">
        <v>0.59091000000000005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6</v>
      </c>
      <c r="AQ2996">
        <v>3</v>
      </c>
      <c r="AR2996">
        <v>9</v>
      </c>
      <c r="AS2996">
        <v>7</v>
      </c>
      <c r="AT2996">
        <v>0.5625</v>
      </c>
      <c r="AU2996">
        <v>12</v>
      </c>
      <c r="AV2996">
        <v>9</v>
      </c>
      <c r="AW2996">
        <v>9</v>
      </c>
      <c r="AX2996">
        <v>16</v>
      </c>
      <c r="AY2996">
        <v>4</v>
      </c>
      <c r="AZ2996">
        <v>7</v>
      </c>
      <c r="BA2996" t="s">
        <v>6323</v>
      </c>
      <c r="BB2996" t="s">
        <v>6324</v>
      </c>
      <c r="BC2996">
        <v>2.7E-2</v>
      </c>
      <c r="BD2996" t="s">
        <v>65</v>
      </c>
      <c r="BE2996">
        <v>13</v>
      </c>
      <c r="BF2996">
        <v>23</v>
      </c>
      <c r="BG2996" t="s">
        <v>6325</v>
      </c>
      <c r="BH2996" t="s">
        <v>6326</v>
      </c>
      <c r="BI2996" t="s">
        <v>6327</v>
      </c>
      <c r="BJ2996">
        <v>0.50973999999999997</v>
      </c>
      <c r="BK2996">
        <v>0.88</v>
      </c>
      <c r="BL2996" t="s">
        <v>635</v>
      </c>
      <c r="BM2996">
        <v>-0.66900000000000004</v>
      </c>
      <c r="BN2996">
        <v>-0.83699999999999997</v>
      </c>
    </row>
    <row r="2997" spans="10:66">
      <c r="J2997">
        <v>2</v>
      </c>
      <c r="K2997">
        <v>2</v>
      </c>
      <c r="L2997">
        <v>1</v>
      </c>
      <c r="M2997" t="s">
        <v>25021</v>
      </c>
      <c r="N2997">
        <v>1008</v>
      </c>
      <c r="O2997" t="s">
        <v>6328</v>
      </c>
      <c r="P2997" t="s">
        <v>62</v>
      </c>
      <c r="Q2997">
        <v>1049804</v>
      </c>
      <c r="R2997">
        <v>1049926</v>
      </c>
      <c r="S2997" t="s">
        <v>288</v>
      </c>
      <c r="T2997">
        <v>41</v>
      </c>
      <c r="U2997" t="s">
        <v>6329</v>
      </c>
      <c r="V2997">
        <v>47</v>
      </c>
      <c r="W2997" t="str">
        <f>HYPERLINK("Gene1008-zp_tree_all.dnd", "Gene1008-tree")</f>
        <v>Gene1008-tree</v>
      </c>
      <c r="X2997">
        <v>30</v>
      </c>
      <c r="Y2997">
        <v>3</v>
      </c>
      <c r="Z2997">
        <v>3</v>
      </c>
      <c r="AA2997">
        <v>3</v>
      </c>
      <c r="AB2997">
        <v>0.5</v>
      </c>
      <c r="AC2997" t="s">
        <v>6330</v>
      </c>
      <c r="AD2997" t="s">
        <v>324</v>
      </c>
      <c r="AE2997" t="s">
        <v>62</v>
      </c>
      <c r="AF2997" t="s">
        <v>62</v>
      </c>
      <c r="AG2997">
        <v>2</v>
      </c>
      <c r="AH2997">
        <v>5</v>
      </c>
      <c r="AI2997">
        <v>3</v>
      </c>
      <c r="AJ2997">
        <v>0.625</v>
      </c>
      <c r="AK2997">
        <v>0</v>
      </c>
      <c r="AL2997">
        <v>0</v>
      </c>
      <c r="AM2997">
        <v>0</v>
      </c>
      <c r="AN2997">
        <v>2</v>
      </c>
      <c r="AO2997">
        <v>0</v>
      </c>
      <c r="AP2997">
        <v>2</v>
      </c>
      <c r="AQ2997">
        <v>2</v>
      </c>
      <c r="AR2997">
        <v>4</v>
      </c>
      <c r="AS2997">
        <v>1</v>
      </c>
      <c r="AT2997">
        <v>0.8</v>
      </c>
      <c r="AU2997">
        <v>4</v>
      </c>
      <c r="AV2997">
        <v>3</v>
      </c>
      <c r="AW2997">
        <v>1</v>
      </c>
      <c r="AX2997">
        <v>5</v>
      </c>
      <c r="AY2997">
        <v>2</v>
      </c>
      <c r="AZ2997">
        <v>3</v>
      </c>
      <c r="BA2997" t="s">
        <v>6331</v>
      </c>
      <c r="BB2997" t="s">
        <v>6332</v>
      </c>
      <c r="BC2997">
        <v>0.40400000000000003</v>
      </c>
      <c r="BD2997" t="s">
        <v>65</v>
      </c>
      <c r="BE2997">
        <v>3</v>
      </c>
      <c r="BF2997">
        <v>8</v>
      </c>
      <c r="BG2997" t="s">
        <v>6333</v>
      </c>
      <c r="BH2997" t="s">
        <v>6334</v>
      </c>
      <c r="BI2997" t="s">
        <v>6335</v>
      </c>
      <c r="BJ2997">
        <v>0.62734000000000001</v>
      </c>
      <c r="BK2997">
        <v>0.67800000000000005</v>
      </c>
      <c r="BL2997" t="s">
        <v>635</v>
      </c>
      <c r="BM2997">
        <v>-1.08</v>
      </c>
      <c r="BN2997">
        <v>-0.80900000000000005</v>
      </c>
    </row>
    <row r="2998" spans="10:66">
      <c r="J2998">
        <v>0</v>
      </c>
      <c r="K2998">
        <v>0</v>
      </c>
      <c r="L2998">
        <v>0</v>
      </c>
      <c r="M2998" t="s">
        <v>25021</v>
      </c>
      <c r="N2998">
        <v>1009</v>
      </c>
      <c r="O2998" t="s">
        <v>6336</v>
      </c>
      <c r="P2998" t="s">
        <v>62</v>
      </c>
      <c r="Q2998">
        <v>1050034</v>
      </c>
      <c r="R2998">
        <v>1050234</v>
      </c>
      <c r="S2998" t="s">
        <v>6337</v>
      </c>
      <c r="T2998">
        <v>67</v>
      </c>
      <c r="U2998" t="s">
        <v>59</v>
      </c>
      <c r="V2998">
        <v>49</v>
      </c>
      <c r="W2998" t="str">
        <f>HYPERLINK("Gene1009-zp_tree_all.dnd", "Gene1009-tree")</f>
        <v>Gene1009-tree</v>
      </c>
      <c r="X2998">
        <v>10</v>
      </c>
      <c r="Y2998">
        <v>1</v>
      </c>
      <c r="Z2998">
        <v>10</v>
      </c>
      <c r="AA2998">
        <v>1</v>
      </c>
      <c r="AB2998">
        <v>9.0910000000000005E-2</v>
      </c>
      <c r="AC2998" t="s">
        <v>117</v>
      </c>
      <c r="AD2998" t="s">
        <v>175</v>
      </c>
      <c r="AE2998" t="s">
        <v>62</v>
      </c>
      <c r="AF2998" t="s">
        <v>62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10</v>
      </c>
      <c r="AV2998">
        <v>1</v>
      </c>
      <c r="AW2998">
        <v>9</v>
      </c>
      <c r="AX2998">
        <v>1</v>
      </c>
      <c r="AY2998">
        <v>2</v>
      </c>
      <c r="AZ2998">
        <v>0</v>
      </c>
      <c r="BA2998" t="s">
        <v>6338</v>
      </c>
      <c r="BB2998" t="s">
        <v>193</v>
      </c>
      <c r="BC2998">
        <v>0.34699999999999998</v>
      </c>
      <c r="BD2998" t="s">
        <v>65</v>
      </c>
      <c r="BE2998">
        <v>11</v>
      </c>
      <c r="BF2998">
        <v>1</v>
      </c>
      <c r="BG2998" t="s">
        <v>6339</v>
      </c>
      <c r="BH2998" t="s">
        <v>6340</v>
      </c>
      <c r="BI2998" t="s">
        <v>6341</v>
      </c>
      <c r="BJ2998">
        <v>2.3050000000000001E-2</v>
      </c>
      <c r="BK2998">
        <v>1</v>
      </c>
      <c r="BL2998" t="s">
        <v>69</v>
      </c>
      <c r="BM2998">
        <v>-1.355</v>
      </c>
      <c r="BN2998">
        <v>-0.84699999999999998</v>
      </c>
    </row>
    <row r="2999" spans="10:66">
      <c r="J2999">
        <v>0</v>
      </c>
      <c r="K2999">
        <v>0</v>
      </c>
      <c r="L2999">
        <v>2</v>
      </c>
      <c r="M2999" t="s">
        <v>25021</v>
      </c>
      <c r="N2999">
        <v>1010</v>
      </c>
      <c r="O2999" t="s">
        <v>6342</v>
      </c>
      <c r="P2999" t="s">
        <v>62</v>
      </c>
      <c r="Q2999">
        <v>1050446</v>
      </c>
      <c r="R2999">
        <v>1050661</v>
      </c>
      <c r="S2999" t="s">
        <v>6343</v>
      </c>
      <c r="T2999">
        <v>72</v>
      </c>
      <c r="U2999" t="s">
        <v>6344</v>
      </c>
      <c r="V2999">
        <v>48</v>
      </c>
      <c r="W2999" t="str">
        <f>HYPERLINK("Gene1010-zp_tree_all.dnd", "Gene1010-tree")</f>
        <v>Gene1010-tree</v>
      </c>
      <c r="X2999">
        <v>39</v>
      </c>
      <c r="Y2999">
        <v>2</v>
      </c>
      <c r="Z2999">
        <v>9</v>
      </c>
      <c r="AA2999">
        <v>2</v>
      </c>
      <c r="AB2999">
        <v>0.18182000000000001</v>
      </c>
      <c r="AC2999" t="s">
        <v>6345</v>
      </c>
      <c r="AD2999" t="s">
        <v>81</v>
      </c>
      <c r="AE2999" t="s">
        <v>62</v>
      </c>
      <c r="AF2999" t="s">
        <v>62</v>
      </c>
      <c r="AG2999">
        <v>1</v>
      </c>
      <c r="AH2999">
        <v>2</v>
      </c>
      <c r="AI2999">
        <v>4</v>
      </c>
      <c r="AJ2999">
        <v>0.33333000000000002</v>
      </c>
      <c r="AK2999">
        <v>0</v>
      </c>
      <c r="AL2999">
        <v>0</v>
      </c>
      <c r="AM2999">
        <v>0</v>
      </c>
      <c r="AN2999">
        <v>4</v>
      </c>
      <c r="AO2999">
        <v>0</v>
      </c>
      <c r="AP2999">
        <v>0</v>
      </c>
      <c r="AQ2999">
        <v>2</v>
      </c>
      <c r="AR2999">
        <v>2</v>
      </c>
      <c r="AS2999">
        <v>0</v>
      </c>
      <c r="AT2999">
        <v>1</v>
      </c>
      <c r="AU2999">
        <v>6</v>
      </c>
      <c r="AV2999">
        <v>4</v>
      </c>
      <c r="AW2999">
        <v>7</v>
      </c>
      <c r="AX2999">
        <v>2</v>
      </c>
      <c r="AY2999">
        <v>5</v>
      </c>
      <c r="AZ2999">
        <v>4</v>
      </c>
      <c r="BA2999" t="s">
        <v>6346</v>
      </c>
      <c r="BB2999" t="s">
        <v>6347</v>
      </c>
      <c r="BC2999">
        <v>0.63700000000000001</v>
      </c>
      <c r="BD2999" t="s">
        <v>65</v>
      </c>
      <c r="BE2999">
        <v>12</v>
      </c>
      <c r="BF2999">
        <v>6</v>
      </c>
      <c r="BG2999" t="s">
        <v>6348</v>
      </c>
      <c r="BH2999" t="s">
        <v>6349</v>
      </c>
      <c r="BI2999" t="s">
        <v>6350</v>
      </c>
      <c r="BJ2999">
        <v>0.14888999999999999</v>
      </c>
      <c r="BK2999">
        <v>1</v>
      </c>
      <c r="BL2999" t="s">
        <v>69</v>
      </c>
      <c r="BM2999">
        <v>-1.1819999999999999</v>
      </c>
      <c r="BN2999">
        <v>-3.5999999999999997E-2</v>
      </c>
    </row>
    <row r="3000" spans="10:66">
      <c r="J3000">
        <v>0</v>
      </c>
      <c r="K3000">
        <v>5</v>
      </c>
      <c r="L3000">
        <v>0</v>
      </c>
      <c r="M3000" t="s">
        <v>25021</v>
      </c>
      <c r="N3000">
        <v>1011</v>
      </c>
      <c r="O3000" t="s">
        <v>6351</v>
      </c>
      <c r="P3000" t="s">
        <v>62</v>
      </c>
      <c r="Q3000">
        <v>1050814</v>
      </c>
      <c r="R3000">
        <v>1052172</v>
      </c>
      <c r="S3000" t="s">
        <v>6352</v>
      </c>
      <c r="T3000">
        <v>453</v>
      </c>
      <c r="U3000" t="s">
        <v>108</v>
      </c>
      <c r="V3000">
        <v>44</v>
      </c>
      <c r="W3000" t="str">
        <f>HYPERLINK("Gene1011-zp_tree_all.dnd", "Gene1011-tree")</f>
        <v>Gene1011-tree</v>
      </c>
      <c r="X3000">
        <v>10</v>
      </c>
      <c r="Y3000">
        <v>5</v>
      </c>
      <c r="Z3000">
        <v>10</v>
      </c>
      <c r="AA3000">
        <v>5</v>
      </c>
      <c r="AB3000">
        <v>0.33333000000000002</v>
      </c>
      <c r="AC3000" t="s">
        <v>117</v>
      </c>
      <c r="AD3000" t="s">
        <v>199</v>
      </c>
      <c r="AE3000" t="s">
        <v>62</v>
      </c>
      <c r="AF3000" t="s">
        <v>62</v>
      </c>
      <c r="AG3000">
        <v>2</v>
      </c>
      <c r="AH3000">
        <v>5</v>
      </c>
      <c r="AI3000">
        <v>7</v>
      </c>
      <c r="AJ3000">
        <v>0.41666999999999998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5</v>
      </c>
      <c r="AT3000">
        <v>0</v>
      </c>
      <c r="AU3000">
        <v>12</v>
      </c>
      <c r="AV3000">
        <v>11</v>
      </c>
      <c r="AW3000">
        <v>25</v>
      </c>
      <c r="AX3000">
        <v>5</v>
      </c>
      <c r="AY3000">
        <v>28</v>
      </c>
      <c r="AZ3000">
        <v>7</v>
      </c>
      <c r="BA3000" t="s">
        <v>6353</v>
      </c>
      <c r="BB3000" t="s">
        <v>6354</v>
      </c>
      <c r="BC3000">
        <v>0.27400000000000002</v>
      </c>
      <c r="BD3000" t="s">
        <v>65</v>
      </c>
      <c r="BE3000">
        <v>53</v>
      </c>
      <c r="BF3000">
        <v>12</v>
      </c>
      <c r="BG3000" t="s">
        <v>6355</v>
      </c>
      <c r="BH3000" t="s">
        <v>6356</v>
      </c>
      <c r="BI3000" t="s">
        <v>6357</v>
      </c>
      <c r="BJ3000">
        <v>6.7140000000000005E-2</v>
      </c>
      <c r="BK3000">
        <v>1</v>
      </c>
      <c r="BL3000" t="s">
        <v>69</v>
      </c>
      <c r="BM3000">
        <v>0.66200000000000003</v>
      </c>
      <c r="BN3000">
        <v>-0.30399999999999999</v>
      </c>
    </row>
    <row r="3001" spans="10:66">
      <c r="J3001">
        <v>0</v>
      </c>
      <c r="K3001">
        <v>4</v>
      </c>
      <c r="L3001">
        <v>0</v>
      </c>
      <c r="M3001" t="s">
        <v>25021</v>
      </c>
      <c r="N3001">
        <v>1012</v>
      </c>
      <c r="O3001" t="s">
        <v>6358</v>
      </c>
      <c r="P3001" t="s">
        <v>62</v>
      </c>
      <c r="Q3001">
        <v>1052165</v>
      </c>
      <c r="R3001">
        <v>1053253</v>
      </c>
      <c r="S3001" t="s">
        <v>6359</v>
      </c>
      <c r="T3001">
        <v>363</v>
      </c>
      <c r="U3001" t="s">
        <v>108</v>
      </c>
      <c r="V3001">
        <v>44</v>
      </c>
      <c r="W3001" t="str">
        <f>HYPERLINK("Gene1012-zp_tree_all.dnd", "Gene1012-tree")</f>
        <v>Gene1012-tree</v>
      </c>
      <c r="X3001">
        <v>7</v>
      </c>
      <c r="Y3001">
        <v>6</v>
      </c>
      <c r="Z3001">
        <v>7</v>
      </c>
      <c r="AA3001">
        <v>6</v>
      </c>
      <c r="AB3001">
        <v>0.46154000000000001</v>
      </c>
      <c r="AC3001" t="s">
        <v>152</v>
      </c>
      <c r="AD3001" t="s">
        <v>90</v>
      </c>
      <c r="AE3001" t="s">
        <v>62</v>
      </c>
      <c r="AF3001" t="s">
        <v>62</v>
      </c>
      <c r="AG3001">
        <v>2</v>
      </c>
      <c r="AH3001">
        <v>4</v>
      </c>
      <c r="AI3001">
        <v>5</v>
      </c>
      <c r="AJ3001">
        <v>0.44444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2</v>
      </c>
      <c r="AQ3001">
        <v>0</v>
      </c>
      <c r="AR3001">
        <v>2</v>
      </c>
      <c r="AS3001">
        <v>6</v>
      </c>
      <c r="AT3001">
        <v>0.25</v>
      </c>
      <c r="AU3001">
        <v>10</v>
      </c>
      <c r="AV3001">
        <v>7</v>
      </c>
      <c r="AW3001">
        <v>20</v>
      </c>
      <c r="AX3001">
        <v>7</v>
      </c>
      <c r="AY3001">
        <v>22</v>
      </c>
      <c r="AZ3001">
        <v>2</v>
      </c>
      <c r="BA3001" t="s">
        <v>6360</v>
      </c>
      <c r="BB3001" t="s">
        <v>6361</v>
      </c>
      <c r="BC3001">
        <v>0.98799999999999999</v>
      </c>
      <c r="BD3001" t="s">
        <v>65</v>
      </c>
      <c r="BE3001">
        <v>42</v>
      </c>
      <c r="BF3001">
        <v>9</v>
      </c>
      <c r="BG3001" t="s">
        <v>6362</v>
      </c>
      <c r="BH3001" t="s">
        <v>6363</v>
      </c>
      <c r="BI3001" t="s">
        <v>6364</v>
      </c>
      <c r="BJ3001">
        <v>6.0589999999999998E-2</v>
      </c>
      <c r="BK3001">
        <v>1</v>
      </c>
      <c r="BL3001" t="s">
        <v>69</v>
      </c>
      <c r="BM3001">
        <v>-0.70299999999999996</v>
      </c>
      <c r="BN3001">
        <v>-1.5209999999999999</v>
      </c>
    </row>
    <row r="3002" spans="10:66">
      <c r="J3002">
        <v>0</v>
      </c>
      <c r="K3002">
        <v>8</v>
      </c>
      <c r="L3002">
        <v>2</v>
      </c>
      <c r="M3002" t="s">
        <v>25021</v>
      </c>
      <c r="N3002">
        <v>1015</v>
      </c>
      <c r="O3002" t="s">
        <v>6377</v>
      </c>
      <c r="P3002" t="s">
        <v>62</v>
      </c>
      <c r="Q3002">
        <v>1055146</v>
      </c>
      <c r="R3002">
        <v>1056216</v>
      </c>
      <c r="S3002" t="s">
        <v>288</v>
      </c>
      <c r="T3002">
        <v>357</v>
      </c>
      <c r="U3002" t="s">
        <v>108</v>
      </c>
      <c r="V3002">
        <v>44</v>
      </c>
      <c r="W3002" t="str">
        <f>HYPERLINK("Gene1015-zp_tree_all.dnd", "Gene1015-tree")</f>
        <v>Gene1015-tree</v>
      </c>
      <c r="X3002">
        <v>3</v>
      </c>
      <c r="Y3002">
        <v>10</v>
      </c>
      <c r="Z3002">
        <v>3</v>
      </c>
      <c r="AA3002">
        <v>10</v>
      </c>
      <c r="AB3002">
        <v>0.76922999999999997</v>
      </c>
      <c r="AC3002" t="s">
        <v>324</v>
      </c>
      <c r="AD3002" t="s">
        <v>117</v>
      </c>
      <c r="AE3002" t="s">
        <v>62</v>
      </c>
      <c r="AF3002" t="s">
        <v>62</v>
      </c>
      <c r="AG3002">
        <v>4</v>
      </c>
      <c r="AH3002">
        <v>10</v>
      </c>
      <c r="AI3002">
        <v>24</v>
      </c>
      <c r="AJ3002">
        <v>0.29411999999999999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5</v>
      </c>
      <c r="AQ3002">
        <v>0</v>
      </c>
      <c r="AR3002">
        <v>5</v>
      </c>
      <c r="AS3002">
        <v>22</v>
      </c>
      <c r="AT3002">
        <v>0.18518999999999999</v>
      </c>
      <c r="AU3002">
        <v>11</v>
      </c>
      <c r="AV3002">
        <v>9</v>
      </c>
      <c r="AW3002">
        <v>18</v>
      </c>
      <c r="AX3002">
        <v>27</v>
      </c>
      <c r="AY3002">
        <v>14</v>
      </c>
      <c r="AZ3002">
        <v>8</v>
      </c>
      <c r="BA3002" t="s">
        <v>6378</v>
      </c>
      <c r="BB3002" t="s">
        <v>6379</v>
      </c>
      <c r="BC3002">
        <v>0.89200000000000002</v>
      </c>
      <c r="BD3002" t="s">
        <v>65</v>
      </c>
      <c r="BE3002">
        <v>32</v>
      </c>
      <c r="BF3002">
        <v>35</v>
      </c>
      <c r="BG3002" t="s">
        <v>6380</v>
      </c>
      <c r="BH3002" t="s">
        <v>6381</v>
      </c>
      <c r="BI3002" t="s">
        <v>6382</v>
      </c>
      <c r="BJ3002">
        <v>0.28863</v>
      </c>
      <c r="BK3002">
        <v>1</v>
      </c>
      <c r="BL3002" t="s">
        <v>69</v>
      </c>
      <c r="BM3002">
        <v>-0.83</v>
      </c>
      <c r="BN3002">
        <v>-1.278</v>
      </c>
    </row>
    <row r="3003" spans="10:66">
      <c r="J3003">
        <v>0</v>
      </c>
      <c r="K3003">
        <v>6</v>
      </c>
      <c r="L3003">
        <v>2</v>
      </c>
      <c r="M3003" t="s">
        <v>25021</v>
      </c>
      <c r="N3003">
        <v>1018</v>
      </c>
      <c r="O3003" t="s">
        <v>6396</v>
      </c>
      <c r="P3003" t="s">
        <v>62</v>
      </c>
      <c r="Q3003">
        <v>1059206</v>
      </c>
      <c r="R3003">
        <v>1060420</v>
      </c>
      <c r="S3003" t="s">
        <v>6397</v>
      </c>
      <c r="T3003">
        <v>405</v>
      </c>
      <c r="U3003" t="s">
        <v>6390</v>
      </c>
      <c r="V3003">
        <v>45</v>
      </c>
      <c r="W3003" t="str">
        <f>HYPERLINK("Gene1018-zp_tree_all.dnd", "Gene1018-tree")</f>
        <v>Gene1018-tree</v>
      </c>
      <c r="X3003">
        <v>8</v>
      </c>
      <c r="Y3003">
        <v>9</v>
      </c>
      <c r="Z3003">
        <v>8</v>
      </c>
      <c r="AA3003">
        <v>9</v>
      </c>
      <c r="AB3003">
        <v>0.52941000000000005</v>
      </c>
      <c r="AC3003" t="s">
        <v>136</v>
      </c>
      <c r="AD3003" t="s">
        <v>135</v>
      </c>
      <c r="AE3003" t="s">
        <v>62</v>
      </c>
      <c r="AF3003" t="s">
        <v>62</v>
      </c>
      <c r="AG3003">
        <v>3</v>
      </c>
      <c r="AH3003">
        <v>8</v>
      </c>
      <c r="AI3003">
        <v>11</v>
      </c>
      <c r="AJ3003">
        <v>0.42104999999999998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4</v>
      </c>
      <c r="AQ3003">
        <v>0</v>
      </c>
      <c r="AR3003">
        <v>4</v>
      </c>
      <c r="AS3003">
        <v>12</v>
      </c>
      <c r="AT3003">
        <v>0.25</v>
      </c>
      <c r="AU3003">
        <v>13</v>
      </c>
      <c r="AV3003">
        <v>13</v>
      </c>
      <c r="AW3003">
        <v>55</v>
      </c>
      <c r="AX3003">
        <v>14</v>
      </c>
      <c r="AY3003">
        <v>35</v>
      </c>
      <c r="AZ3003">
        <v>6</v>
      </c>
      <c r="BA3003" t="s">
        <v>6398</v>
      </c>
      <c r="BB3003" t="s">
        <v>6399</v>
      </c>
      <c r="BC3003">
        <v>0.16300000000000001</v>
      </c>
      <c r="BD3003" t="s">
        <v>65</v>
      </c>
      <c r="BE3003">
        <v>90</v>
      </c>
      <c r="BF3003">
        <v>20</v>
      </c>
      <c r="BG3003" t="s">
        <v>6400</v>
      </c>
      <c r="BH3003" t="s">
        <v>6401</v>
      </c>
      <c r="BI3003" t="s">
        <v>6402</v>
      </c>
      <c r="BJ3003">
        <v>7.7869999999999995E-2</v>
      </c>
      <c r="BK3003">
        <v>1</v>
      </c>
      <c r="BL3003" t="s">
        <v>69</v>
      </c>
      <c r="BM3003">
        <v>-1.2809999999999999</v>
      </c>
      <c r="BN3003">
        <v>-3.335</v>
      </c>
    </row>
    <row r="3004" spans="10:66">
      <c r="J3004">
        <v>0</v>
      </c>
      <c r="K3004">
        <v>0</v>
      </c>
      <c r="L3004">
        <v>0</v>
      </c>
      <c r="M3004" t="s">
        <v>25021</v>
      </c>
      <c r="N3004">
        <v>1019</v>
      </c>
      <c r="O3004" t="s">
        <v>6403</v>
      </c>
      <c r="P3004" t="s">
        <v>62</v>
      </c>
      <c r="Q3004">
        <v>1060430</v>
      </c>
      <c r="R3004">
        <v>1060924</v>
      </c>
      <c r="S3004" t="s">
        <v>6404</v>
      </c>
      <c r="T3004">
        <v>165</v>
      </c>
      <c r="U3004" t="s">
        <v>108</v>
      </c>
      <c r="V3004">
        <v>44</v>
      </c>
      <c r="W3004" t="str">
        <f>HYPERLINK("Gene1019-zp_tree_all.dnd", "Gene1019-tree")</f>
        <v>Gene1019-tree</v>
      </c>
      <c r="X3004">
        <v>27</v>
      </c>
      <c r="Y3004">
        <v>2</v>
      </c>
      <c r="Z3004">
        <v>6</v>
      </c>
      <c r="AA3004">
        <v>2</v>
      </c>
      <c r="AB3004">
        <v>0.25</v>
      </c>
      <c r="AC3004" t="s">
        <v>1055</v>
      </c>
      <c r="AD3004" t="s">
        <v>81</v>
      </c>
      <c r="AE3004" t="s">
        <v>62</v>
      </c>
      <c r="AF3004" t="s">
        <v>62</v>
      </c>
      <c r="AG3004">
        <v>0</v>
      </c>
      <c r="AH3004">
        <v>0</v>
      </c>
      <c r="AI3004">
        <v>2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</v>
      </c>
      <c r="AT3004">
        <v>0</v>
      </c>
      <c r="AU3004">
        <v>8</v>
      </c>
      <c r="AV3004">
        <v>2</v>
      </c>
      <c r="AW3004">
        <v>16</v>
      </c>
      <c r="AX3004">
        <v>2</v>
      </c>
      <c r="AY3004">
        <v>2</v>
      </c>
      <c r="AZ3004">
        <v>0</v>
      </c>
      <c r="BA3004" t="s">
        <v>6405</v>
      </c>
      <c r="BB3004" t="s">
        <v>193</v>
      </c>
      <c r="BC3004">
        <v>0.83699999999999997</v>
      </c>
      <c r="BD3004" t="s">
        <v>65</v>
      </c>
      <c r="BE3004">
        <v>18</v>
      </c>
      <c r="BF3004">
        <v>2</v>
      </c>
      <c r="BG3004" t="s">
        <v>6406</v>
      </c>
      <c r="BH3004" t="s">
        <v>6407</v>
      </c>
      <c r="BI3004" t="s">
        <v>6408</v>
      </c>
      <c r="BJ3004">
        <v>2.8129999999999999E-2</v>
      </c>
      <c r="BK3004">
        <v>1</v>
      </c>
      <c r="BL3004" t="s">
        <v>69</v>
      </c>
      <c r="BM3004">
        <v>0.36899999999999999</v>
      </c>
      <c r="BN3004">
        <v>-0.68200000000000005</v>
      </c>
    </row>
    <row r="3005" spans="10:66">
      <c r="J3005">
        <v>2</v>
      </c>
      <c r="K3005">
        <v>1</v>
      </c>
      <c r="L3005">
        <v>0</v>
      </c>
      <c r="M3005" t="s">
        <v>25021</v>
      </c>
      <c r="N3005">
        <v>1020</v>
      </c>
      <c r="O3005" t="s">
        <v>6409</v>
      </c>
      <c r="P3005" t="s">
        <v>62</v>
      </c>
      <c r="Q3005">
        <v>1060991</v>
      </c>
      <c r="R3005">
        <v>1061326</v>
      </c>
      <c r="S3005" t="s">
        <v>6404</v>
      </c>
      <c r="T3005">
        <v>112</v>
      </c>
      <c r="U3005" t="s">
        <v>289</v>
      </c>
      <c r="V3005">
        <v>46</v>
      </c>
      <c r="W3005" t="str">
        <f>HYPERLINK("Gene1020-zp_tree_all.dnd", "Gene1020-tree")</f>
        <v>Gene1020-tree</v>
      </c>
      <c r="X3005">
        <v>7</v>
      </c>
      <c r="Y3005">
        <v>7</v>
      </c>
      <c r="Z3005">
        <v>7</v>
      </c>
      <c r="AA3005">
        <v>7</v>
      </c>
      <c r="AB3005">
        <v>0.5</v>
      </c>
      <c r="AC3005" t="s">
        <v>152</v>
      </c>
      <c r="AD3005" t="s">
        <v>152</v>
      </c>
      <c r="AE3005" t="s">
        <v>62</v>
      </c>
      <c r="AF3005" t="s">
        <v>62</v>
      </c>
      <c r="AG3005">
        <v>1</v>
      </c>
      <c r="AH3005">
        <v>3</v>
      </c>
      <c r="AI3005">
        <v>14</v>
      </c>
      <c r="AJ3005">
        <v>0.17646999999999999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11</v>
      </c>
      <c r="AT3005">
        <v>0</v>
      </c>
      <c r="AU3005">
        <v>10</v>
      </c>
      <c r="AV3005">
        <v>8</v>
      </c>
      <c r="AW3005">
        <v>10</v>
      </c>
      <c r="AX3005">
        <v>7</v>
      </c>
      <c r="AY3005">
        <v>10</v>
      </c>
      <c r="AZ3005">
        <v>10</v>
      </c>
      <c r="BA3005" t="s">
        <v>6410</v>
      </c>
      <c r="BB3005" t="s">
        <v>6411</v>
      </c>
      <c r="BC3005">
        <v>0.24299999999999999</v>
      </c>
      <c r="BD3005" t="s">
        <v>65</v>
      </c>
      <c r="BE3005">
        <v>20</v>
      </c>
      <c r="BF3005">
        <v>17</v>
      </c>
      <c r="BG3005" t="s">
        <v>6412</v>
      </c>
      <c r="BH3005" t="s">
        <v>6413</v>
      </c>
      <c r="BI3005" t="s">
        <v>6414</v>
      </c>
      <c r="BJ3005">
        <v>0.30231999999999998</v>
      </c>
      <c r="BK3005">
        <v>0.99</v>
      </c>
      <c r="BL3005" t="s">
        <v>69</v>
      </c>
      <c r="BM3005">
        <v>-1.3240000000000001</v>
      </c>
      <c r="BN3005">
        <v>-0.45300000000000001</v>
      </c>
    </row>
    <row r="3006" spans="10:66">
      <c r="J3006">
        <v>0</v>
      </c>
      <c r="K3006">
        <v>0</v>
      </c>
      <c r="L3006">
        <v>0</v>
      </c>
      <c r="M3006" t="s">
        <v>25021</v>
      </c>
      <c r="N3006">
        <v>1022</v>
      </c>
      <c r="O3006" t="s">
        <v>6422</v>
      </c>
      <c r="P3006" t="s">
        <v>62</v>
      </c>
      <c r="Q3006">
        <v>1062282</v>
      </c>
      <c r="R3006">
        <v>1062464</v>
      </c>
      <c r="S3006" t="s">
        <v>288</v>
      </c>
      <c r="T3006">
        <v>61</v>
      </c>
      <c r="U3006" t="s">
        <v>108</v>
      </c>
      <c r="V3006">
        <v>44</v>
      </c>
      <c r="W3006" t="str">
        <f>HYPERLINK("Gene1022-zp_tree_all.dnd", "Gene1022-tree")</f>
        <v>Gene1022-tree</v>
      </c>
      <c r="X3006">
        <v>2</v>
      </c>
      <c r="Y3006">
        <v>5</v>
      </c>
      <c r="Z3006">
        <v>2</v>
      </c>
      <c r="AA3006">
        <v>5</v>
      </c>
      <c r="AB3006">
        <v>0.71428999999999998</v>
      </c>
      <c r="AC3006" t="s">
        <v>81</v>
      </c>
      <c r="AD3006" t="s">
        <v>199</v>
      </c>
      <c r="AE3006" t="s">
        <v>62</v>
      </c>
      <c r="AF3006" t="s">
        <v>62</v>
      </c>
      <c r="AG3006">
        <v>0</v>
      </c>
      <c r="AH3006">
        <v>0</v>
      </c>
      <c r="AI3006">
        <v>5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4</v>
      </c>
      <c r="AT3006">
        <v>0</v>
      </c>
      <c r="AU3006">
        <v>5</v>
      </c>
      <c r="AV3006">
        <v>1</v>
      </c>
      <c r="AW3006">
        <v>3</v>
      </c>
      <c r="AX3006">
        <v>4</v>
      </c>
      <c r="AY3006">
        <v>0</v>
      </c>
      <c r="AZ3006">
        <v>1</v>
      </c>
      <c r="BA3006" t="s">
        <v>6423</v>
      </c>
      <c r="BB3006" t="s">
        <v>193</v>
      </c>
      <c r="BC3006">
        <v>1.0960000000000001</v>
      </c>
      <c r="BD3006" t="s">
        <v>65</v>
      </c>
      <c r="BE3006">
        <v>3</v>
      </c>
      <c r="BF3006">
        <v>5</v>
      </c>
      <c r="BG3006" t="s">
        <v>6424</v>
      </c>
      <c r="BH3006" t="s">
        <v>6425</v>
      </c>
      <c r="BI3006" t="s">
        <v>6426</v>
      </c>
      <c r="BJ3006">
        <v>0.54566000000000003</v>
      </c>
      <c r="BK3006">
        <v>0.54300000000000004</v>
      </c>
      <c r="BL3006" t="s">
        <v>635</v>
      </c>
      <c r="BM3006">
        <v>-1.99</v>
      </c>
      <c r="BN3006">
        <v>-2.859</v>
      </c>
    </row>
    <row r="3007" spans="10:66">
      <c r="J3007">
        <v>0</v>
      </c>
      <c r="K3007">
        <v>2</v>
      </c>
      <c r="L3007">
        <v>0</v>
      </c>
      <c r="M3007" t="s">
        <v>25021</v>
      </c>
      <c r="N3007">
        <v>1029</v>
      </c>
      <c r="O3007" t="s">
        <v>6464</v>
      </c>
      <c r="P3007" t="s">
        <v>62</v>
      </c>
      <c r="Q3007">
        <v>1070367</v>
      </c>
      <c r="R3007">
        <v>1071242</v>
      </c>
      <c r="S3007" t="s">
        <v>6465</v>
      </c>
      <c r="T3007">
        <v>292</v>
      </c>
      <c r="U3007" t="s">
        <v>6466</v>
      </c>
      <c r="V3007">
        <v>33</v>
      </c>
      <c r="W3007" t="str">
        <f>HYPERLINK("Gene1029-zp_tree_all.dnd", "Gene1029-tree")</f>
        <v>Gene1029-tree</v>
      </c>
      <c r="X3007">
        <v>3</v>
      </c>
      <c r="Y3007">
        <v>5</v>
      </c>
      <c r="Z3007">
        <v>3</v>
      </c>
      <c r="AA3007">
        <v>5</v>
      </c>
      <c r="AB3007">
        <v>0.625</v>
      </c>
      <c r="AC3007" t="s">
        <v>324</v>
      </c>
      <c r="AD3007" t="s">
        <v>199</v>
      </c>
      <c r="AE3007" t="s">
        <v>62</v>
      </c>
      <c r="AF3007" t="s">
        <v>62</v>
      </c>
      <c r="AG3007">
        <v>1</v>
      </c>
      <c r="AH3007">
        <v>2</v>
      </c>
      <c r="AI3007">
        <v>10</v>
      </c>
      <c r="AJ3007">
        <v>0.16667000000000001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10</v>
      </c>
      <c r="AT3007">
        <v>0</v>
      </c>
      <c r="AU3007">
        <v>6</v>
      </c>
      <c r="AV3007">
        <v>5</v>
      </c>
      <c r="AW3007">
        <v>21</v>
      </c>
      <c r="AX3007">
        <v>11</v>
      </c>
      <c r="AY3007">
        <v>13</v>
      </c>
      <c r="AZ3007">
        <v>3</v>
      </c>
      <c r="BA3007" t="s">
        <v>6467</v>
      </c>
      <c r="BB3007" t="s">
        <v>6468</v>
      </c>
      <c r="BC3007">
        <v>0.629</v>
      </c>
      <c r="BD3007" t="s">
        <v>65</v>
      </c>
      <c r="BE3007">
        <v>34</v>
      </c>
      <c r="BF3007">
        <v>14</v>
      </c>
      <c r="BG3007" t="s">
        <v>6469</v>
      </c>
      <c r="BH3007" t="s">
        <v>6470</v>
      </c>
      <c r="BI3007" t="s">
        <v>6471</v>
      </c>
      <c r="BJ3007">
        <v>9.3619999999999995E-2</v>
      </c>
      <c r="BK3007">
        <v>1</v>
      </c>
      <c r="BL3007" t="s">
        <v>69</v>
      </c>
      <c r="BM3007">
        <v>-1.0429999999999999</v>
      </c>
      <c r="BN3007">
        <v>-9.0999999999999998E-2</v>
      </c>
    </row>
    <row r="3008" spans="10:66">
      <c r="J3008">
        <v>0</v>
      </c>
      <c r="K3008">
        <v>0</v>
      </c>
      <c r="L3008">
        <v>0</v>
      </c>
      <c r="M3008" t="s">
        <v>25021</v>
      </c>
      <c r="N3008">
        <v>1032</v>
      </c>
      <c r="O3008" t="s">
        <v>6472</v>
      </c>
      <c r="P3008" t="s">
        <v>62</v>
      </c>
      <c r="Q3008">
        <v>1072045</v>
      </c>
      <c r="R3008">
        <v>1072560</v>
      </c>
      <c r="S3008" t="s">
        <v>6473</v>
      </c>
      <c r="T3008">
        <v>172</v>
      </c>
      <c r="U3008" t="s">
        <v>6390</v>
      </c>
      <c r="V3008">
        <v>45</v>
      </c>
      <c r="W3008" t="str">
        <f>HYPERLINK("Gene1032-zp_tree_all.dnd", "Gene1032-tree")</f>
        <v>Gene1032-tree</v>
      </c>
      <c r="X3008">
        <v>27</v>
      </c>
      <c r="Y3008">
        <v>6</v>
      </c>
      <c r="Z3008">
        <v>4</v>
      </c>
      <c r="AA3008">
        <v>6</v>
      </c>
      <c r="AB3008">
        <v>0.6</v>
      </c>
      <c r="AC3008" t="s">
        <v>3027</v>
      </c>
      <c r="AD3008" t="s">
        <v>90</v>
      </c>
      <c r="AE3008" t="s">
        <v>62</v>
      </c>
      <c r="AF3008" t="s">
        <v>62</v>
      </c>
      <c r="AG3008">
        <v>0</v>
      </c>
      <c r="AH3008">
        <v>0</v>
      </c>
      <c r="AI3008">
        <v>7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7</v>
      </c>
      <c r="AT3008">
        <v>0</v>
      </c>
      <c r="AU3008">
        <v>8</v>
      </c>
      <c r="AV3008">
        <v>3</v>
      </c>
      <c r="AW3008">
        <v>28</v>
      </c>
      <c r="AX3008">
        <v>7</v>
      </c>
      <c r="AY3008">
        <v>5</v>
      </c>
      <c r="AZ3008">
        <v>0</v>
      </c>
      <c r="BA3008" t="s">
        <v>6474</v>
      </c>
      <c r="BB3008" t="s">
        <v>193</v>
      </c>
      <c r="BC3008">
        <v>0.65100000000000002</v>
      </c>
      <c r="BD3008" t="s">
        <v>65</v>
      </c>
      <c r="BE3008">
        <v>33</v>
      </c>
      <c r="BF3008">
        <v>7</v>
      </c>
      <c r="BG3008" t="s">
        <v>6475</v>
      </c>
      <c r="BH3008" t="s">
        <v>6476</v>
      </c>
      <c r="BI3008" t="s">
        <v>6477</v>
      </c>
      <c r="BJ3008">
        <v>5.3580000000000003E-2</v>
      </c>
      <c r="BK3008">
        <v>1</v>
      </c>
      <c r="BL3008" t="s">
        <v>69</v>
      </c>
      <c r="BM3008">
        <v>-1.8340000000000001</v>
      </c>
      <c r="BN3008">
        <v>-4.4249999999999998</v>
      </c>
    </row>
    <row r="3009" spans="10:66">
      <c r="J3009">
        <v>0</v>
      </c>
      <c r="K3009">
        <v>2</v>
      </c>
      <c r="L3009">
        <v>0</v>
      </c>
      <c r="M3009" t="s">
        <v>25021</v>
      </c>
      <c r="N3009">
        <v>1034</v>
      </c>
      <c r="O3009" t="s">
        <v>6484</v>
      </c>
      <c r="P3009" t="s">
        <v>62</v>
      </c>
      <c r="Q3009">
        <v>1073109</v>
      </c>
      <c r="R3009">
        <v>1073717</v>
      </c>
      <c r="S3009" t="s">
        <v>6485</v>
      </c>
      <c r="T3009">
        <v>203</v>
      </c>
      <c r="U3009" t="s">
        <v>59</v>
      </c>
      <c r="V3009">
        <v>49</v>
      </c>
      <c r="W3009" t="str">
        <f>HYPERLINK("Gene1034-zp_tree_all.dnd", "Gene1034-tree")</f>
        <v>Gene1034-tree</v>
      </c>
      <c r="X3009">
        <v>13</v>
      </c>
      <c r="Y3009">
        <v>3</v>
      </c>
      <c r="Z3009">
        <v>13</v>
      </c>
      <c r="AA3009">
        <v>3</v>
      </c>
      <c r="AB3009">
        <v>0.1875</v>
      </c>
      <c r="AC3009" t="s">
        <v>507</v>
      </c>
      <c r="AD3009" t="s">
        <v>324</v>
      </c>
      <c r="AE3009" t="s">
        <v>62</v>
      </c>
      <c r="AF3009" t="s">
        <v>62</v>
      </c>
      <c r="AG3009">
        <v>1</v>
      </c>
      <c r="AH3009">
        <v>2</v>
      </c>
      <c r="AI3009">
        <v>3</v>
      </c>
      <c r="AJ3009">
        <v>0.4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3</v>
      </c>
      <c r="AT3009">
        <v>0</v>
      </c>
      <c r="AU3009">
        <v>12</v>
      </c>
      <c r="AV3009">
        <v>10</v>
      </c>
      <c r="AW3009">
        <v>24</v>
      </c>
      <c r="AX3009">
        <v>3</v>
      </c>
      <c r="AY3009">
        <v>24</v>
      </c>
      <c r="AZ3009">
        <v>2</v>
      </c>
      <c r="BA3009" t="s">
        <v>6486</v>
      </c>
      <c r="BB3009" t="s">
        <v>6487</v>
      </c>
      <c r="BC3009">
        <v>0.223</v>
      </c>
      <c r="BD3009" t="s">
        <v>65</v>
      </c>
      <c r="BE3009">
        <v>48</v>
      </c>
      <c r="BF3009">
        <v>5</v>
      </c>
      <c r="BG3009" t="s">
        <v>6488</v>
      </c>
      <c r="BH3009" t="s">
        <v>6489</v>
      </c>
      <c r="BI3009" t="s">
        <v>6490</v>
      </c>
      <c r="BJ3009">
        <v>1.6459999999999999E-2</v>
      </c>
      <c r="BK3009">
        <v>1</v>
      </c>
      <c r="BL3009" t="s">
        <v>69</v>
      </c>
      <c r="BM3009">
        <v>-1.073</v>
      </c>
      <c r="BN3009">
        <v>-0.67800000000000005</v>
      </c>
    </row>
    <row r="3010" spans="10:66">
      <c r="J3010">
        <v>0</v>
      </c>
      <c r="K3010">
        <v>0</v>
      </c>
      <c r="L3010">
        <v>0</v>
      </c>
      <c r="M3010" t="s">
        <v>25021</v>
      </c>
      <c r="N3010">
        <v>1035</v>
      </c>
      <c r="O3010" t="s">
        <v>6491</v>
      </c>
      <c r="P3010" t="s">
        <v>62</v>
      </c>
      <c r="Q3010">
        <v>1073898</v>
      </c>
      <c r="R3010">
        <v>1074251</v>
      </c>
      <c r="S3010" t="s">
        <v>6492</v>
      </c>
      <c r="T3010">
        <v>118</v>
      </c>
      <c r="U3010" t="s">
        <v>59</v>
      </c>
      <c r="V3010">
        <v>49</v>
      </c>
      <c r="W3010" t="str">
        <f>HYPERLINK("Gene1035-zp_tree_all.dnd", "Gene1035-tree")</f>
        <v>Gene1035-tree</v>
      </c>
      <c r="X3010">
        <v>13</v>
      </c>
      <c r="Y3010">
        <v>1</v>
      </c>
      <c r="Z3010">
        <v>13</v>
      </c>
      <c r="AA3010">
        <v>1</v>
      </c>
      <c r="AB3010">
        <v>7.1429999999999993E-2</v>
      </c>
      <c r="AC3010" t="s">
        <v>507</v>
      </c>
      <c r="AD3010" t="s">
        <v>175</v>
      </c>
      <c r="AE3010" t="s">
        <v>62</v>
      </c>
      <c r="AF3010" t="s">
        <v>62</v>
      </c>
      <c r="AG3010">
        <v>0</v>
      </c>
      <c r="AH3010">
        <v>0</v>
      </c>
      <c r="AI3010">
        <v>6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0</v>
      </c>
      <c r="AS3010">
        <v>3</v>
      </c>
      <c r="AT3010">
        <v>0</v>
      </c>
      <c r="AU3010">
        <v>10</v>
      </c>
      <c r="AV3010">
        <v>6</v>
      </c>
      <c r="AW3010">
        <v>18</v>
      </c>
      <c r="AX3010">
        <v>3</v>
      </c>
      <c r="AY3010">
        <v>16</v>
      </c>
      <c r="AZ3010">
        <v>4</v>
      </c>
      <c r="BA3010" t="s">
        <v>6493</v>
      </c>
      <c r="BB3010" t="s">
        <v>6494</v>
      </c>
      <c r="BC3010">
        <v>0.129</v>
      </c>
      <c r="BD3010" t="s">
        <v>65</v>
      </c>
      <c r="BE3010">
        <v>34</v>
      </c>
      <c r="BF3010">
        <v>7</v>
      </c>
      <c r="BG3010" t="s">
        <v>6495</v>
      </c>
      <c r="BH3010" t="s">
        <v>6496</v>
      </c>
      <c r="BI3010" t="s">
        <v>6497</v>
      </c>
      <c r="BJ3010">
        <v>7.0830000000000004E-2</v>
      </c>
      <c r="BK3010">
        <v>1</v>
      </c>
      <c r="BL3010" t="s">
        <v>69</v>
      </c>
      <c r="BM3010">
        <v>-1.294</v>
      </c>
      <c r="BN3010">
        <v>-0.49299999999999999</v>
      </c>
    </row>
    <row r="3011" spans="10:66">
      <c r="J3011">
        <v>0</v>
      </c>
      <c r="K3011">
        <v>0</v>
      </c>
      <c r="L3011">
        <v>0</v>
      </c>
      <c r="M3011" t="s">
        <v>25021</v>
      </c>
      <c r="N3011">
        <v>1037</v>
      </c>
      <c r="O3011" t="s">
        <v>6505</v>
      </c>
      <c r="P3011" t="s">
        <v>62</v>
      </c>
      <c r="Q3011">
        <v>1074649</v>
      </c>
      <c r="R3011">
        <v>1075164</v>
      </c>
      <c r="S3011" t="s">
        <v>6506</v>
      </c>
      <c r="T3011">
        <v>172</v>
      </c>
      <c r="U3011" t="s">
        <v>108</v>
      </c>
      <c r="V3011">
        <v>44</v>
      </c>
      <c r="W3011" t="str">
        <f>HYPERLINK("Gene1037-zp_tree_all.dnd", "Gene1037-tree")</f>
        <v>Gene1037-tree</v>
      </c>
      <c r="X3011">
        <v>9</v>
      </c>
      <c r="Y3011">
        <v>5</v>
      </c>
      <c r="Z3011">
        <v>9</v>
      </c>
      <c r="AA3011">
        <v>5</v>
      </c>
      <c r="AB3011">
        <v>0.35714000000000001</v>
      </c>
      <c r="AC3011" t="s">
        <v>135</v>
      </c>
      <c r="AD3011" t="s">
        <v>199</v>
      </c>
      <c r="AE3011" t="s">
        <v>62</v>
      </c>
      <c r="AF3011" t="s">
        <v>62</v>
      </c>
      <c r="AG3011">
        <v>0</v>
      </c>
      <c r="AH3011">
        <v>0</v>
      </c>
      <c r="AI3011">
        <v>6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6</v>
      </c>
      <c r="AT3011">
        <v>0</v>
      </c>
      <c r="AU3011">
        <v>9</v>
      </c>
      <c r="AV3011">
        <v>8</v>
      </c>
      <c r="AW3011">
        <v>20</v>
      </c>
      <c r="AX3011">
        <v>5</v>
      </c>
      <c r="AY3011">
        <v>17</v>
      </c>
      <c r="AZ3011">
        <v>1</v>
      </c>
      <c r="BA3011" t="s">
        <v>6507</v>
      </c>
      <c r="BB3011" t="s">
        <v>6508</v>
      </c>
      <c r="BC3011">
        <v>0.85299999999999998</v>
      </c>
      <c r="BD3011" t="s">
        <v>65</v>
      </c>
      <c r="BE3011">
        <v>37</v>
      </c>
      <c r="BF3011">
        <v>6</v>
      </c>
      <c r="BG3011" t="s">
        <v>6509</v>
      </c>
      <c r="BH3011" t="s">
        <v>6510</v>
      </c>
      <c r="BI3011" t="s">
        <v>6511</v>
      </c>
      <c r="BJ3011">
        <v>4.8419999999999998E-2</v>
      </c>
      <c r="BK3011">
        <v>1</v>
      </c>
      <c r="BL3011" t="s">
        <v>69</v>
      </c>
      <c r="BM3011">
        <v>-1.5</v>
      </c>
      <c r="BN3011">
        <v>-1.327</v>
      </c>
    </row>
    <row r="3012" spans="10:66">
      <c r="J3012">
        <v>0</v>
      </c>
      <c r="K3012">
        <v>12</v>
      </c>
      <c r="L3012">
        <v>0</v>
      </c>
      <c r="M3012" t="s">
        <v>25021</v>
      </c>
      <c r="N3012">
        <v>1038</v>
      </c>
      <c r="O3012" t="s">
        <v>6512</v>
      </c>
      <c r="P3012" t="s">
        <v>62</v>
      </c>
      <c r="Q3012">
        <v>1075292</v>
      </c>
      <c r="R3012">
        <v>1076368</v>
      </c>
      <c r="S3012" t="s">
        <v>6513</v>
      </c>
      <c r="T3012">
        <v>359</v>
      </c>
      <c r="U3012" t="s">
        <v>108</v>
      </c>
      <c r="V3012">
        <v>44</v>
      </c>
      <c r="W3012" t="str">
        <f>HYPERLINK("Gene1038-zp_tree_all.dnd", "Gene1038-tree")</f>
        <v>Gene1038-tree</v>
      </c>
      <c r="X3012">
        <v>3</v>
      </c>
      <c r="Y3012">
        <v>11</v>
      </c>
      <c r="Z3012">
        <v>3</v>
      </c>
      <c r="AA3012">
        <v>11</v>
      </c>
      <c r="AB3012">
        <v>0.78571000000000002</v>
      </c>
      <c r="AC3012" t="s">
        <v>324</v>
      </c>
      <c r="AD3012" t="s">
        <v>73</v>
      </c>
      <c r="AE3012">
        <v>305230034.74400002</v>
      </c>
      <c r="AF3012" t="s">
        <v>267</v>
      </c>
      <c r="AG3012">
        <v>4</v>
      </c>
      <c r="AH3012">
        <v>12</v>
      </c>
      <c r="AI3012">
        <v>12</v>
      </c>
      <c r="AJ3012">
        <v>0.5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8</v>
      </c>
      <c r="AQ3012">
        <v>0</v>
      </c>
      <c r="AR3012">
        <v>8</v>
      </c>
      <c r="AS3012">
        <v>12</v>
      </c>
      <c r="AT3012">
        <v>0.4</v>
      </c>
      <c r="AU3012">
        <v>13</v>
      </c>
      <c r="AV3012">
        <v>9</v>
      </c>
      <c r="AW3012">
        <v>38</v>
      </c>
      <c r="AX3012">
        <v>20</v>
      </c>
      <c r="AY3012">
        <v>26</v>
      </c>
      <c r="AZ3012">
        <v>4</v>
      </c>
      <c r="BA3012" t="s">
        <v>6514</v>
      </c>
      <c r="BB3012" t="s">
        <v>6515</v>
      </c>
      <c r="BC3012">
        <v>1.343</v>
      </c>
      <c r="BD3012" t="s">
        <v>65</v>
      </c>
      <c r="BE3012">
        <v>64</v>
      </c>
      <c r="BF3012">
        <v>24</v>
      </c>
      <c r="BG3012" t="s">
        <v>6516</v>
      </c>
      <c r="BH3012" t="s">
        <v>6517</v>
      </c>
      <c r="BI3012" t="s">
        <v>6518</v>
      </c>
      <c r="BJ3012">
        <v>8.7459999999999996E-2</v>
      </c>
      <c r="BK3012">
        <v>1</v>
      </c>
      <c r="BL3012" t="s">
        <v>69</v>
      </c>
      <c r="BM3012">
        <v>-0.67200000000000004</v>
      </c>
      <c r="BN3012">
        <v>-1.07</v>
      </c>
    </row>
    <row r="3013" spans="10:66">
      <c r="J3013">
        <v>0</v>
      </c>
      <c r="K3013">
        <v>0</v>
      </c>
      <c r="L3013">
        <v>0</v>
      </c>
      <c r="M3013" t="s">
        <v>25021</v>
      </c>
      <c r="N3013">
        <v>1039</v>
      </c>
      <c r="O3013" t="s">
        <v>6519</v>
      </c>
      <c r="P3013" t="s">
        <v>62</v>
      </c>
      <c r="Q3013">
        <v>1076518</v>
      </c>
      <c r="R3013">
        <v>1076952</v>
      </c>
      <c r="S3013" t="s">
        <v>6520</v>
      </c>
      <c r="T3013">
        <v>145</v>
      </c>
      <c r="U3013" t="s">
        <v>108</v>
      </c>
      <c r="V3013">
        <v>44</v>
      </c>
      <c r="W3013" t="str">
        <f>HYPERLINK("Gene1039-zp_tree_all.dnd", "Gene1039-tree")</f>
        <v>Gene1039-tree</v>
      </c>
      <c r="X3013">
        <v>7</v>
      </c>
      <c r="Y3013">
        <v>2</v>
      </c>
      <c r="Z3013">
        <v>7</v>
      </c>
      <c r="AA3013">
        <v>2</v>
      </c>
      <c r="AB3013">
        <v>0.22222</v>
      </c>
      <c r="AC3013" t="s">
        <v>152</v>
      </c>
      <c r="AD3013" t="s">
        <v>81</v>
      </c>
      <c r="AE3013" t="s">
        <v>62</v>
      </c>
      <c r="AF3013" t="s">
        <v>62</v>
      </c>
      <c r="AG3013">
        <v>0</v>
      </c>
      <c r="AH3013">
        <v>0</v>
      </c>
      <c r="AI3013">
        <v>2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2</v>
      </c>
      <c r="AT3013">
        <v>0</v>
      </c>
      <c r="AU3013">
        <v>6</v>
      </c>
      <c r="AV3013">
        <v>4</v>
      </c>
      <c r="AW3013">
        <v>5</v>
      </c>
      <c r="AX3013">
        <v>2</v>
      </c>
      <c r="AY3013">
        <v>4</v>
      </c>
      <c r="AZ3013">
        <v>0</v>
      </c>
      <c r="BA3013" t="s">
        <v>6521</v>
      </c>
      <c r="BB3013" t="s">
        <v>193</v>
      </c>
      <c r="BC3013">
        <v>1.113</v>
      </c>
      <c r="BD3013" t="s">
        <v>65</v>
      </c>
      <c r="BE3013">
        <v>9</v>
      </c>
      <c r="BF3013">
        <v>2</v>
      </c>
      <c r="BG3013" t="s">
        <v>6522</v>
      </c>
      <c r="BH3013" t="s">
        <v>6523</v>
      </c>
      <c r="BI3013" t="s">
        <v>6524</v>
      </c>
      <c r="BJ3013">
        <v>4.5920000000000002E-2</v>
      </c>
      <c r="BK3013">
        <v>1</v>
      </c>
      <c r="BL3013" t="s">
        <v>69</v>
      </c>
      <c r="BM3013">
        <v>0.108</v>
      </c>
      <c r="BN3013">
        <v>-0.98099999999999998</v>
      </c>
    </row>
    <row r="3014" spans="10:66">
      <c r="J3014">
        <v>0</v>
      </c>
      <c r="K3014">
        <v>16</v>
      </c>
      <c r="L3014">
        <v>3</v>
      </c>
      <c r="M3014" t="s">
        <v>25021</v>
      </c>
      <c r="N3014">
        <v>1043</v>
      </c>
      <c r="O3014" t="s">
        <v>6545</v>
      </c>
      <c r="P3014" t="s">
        <v>62</v>
      </c>
      <c r="Q3014">
        <v>1080153</v>
      </c>
      <c r="R3014">
        <v>1081340</v>
      </c>
      <c r="S3014" t="s">
        <v>6546</v>
      </c>
      <c r="T3014">
        <v>396</v>
      </c>
      <c r="U3014" t="s">
        <v>108</v>
      </c>
      <c r="V3014">
        <v>44</v>
      </c>
      <c r="W3014" t="str">
        <f>HYPERLINK("Gene1043-zp_tree_all.dnd", "Gene1043-tree")</f>
        <v>Gene1043-tree</v>
      </c>
      <c r="X3014">
        <v>2</v>
      </c>
      <c r="Y3014">
        <v>12</v>
      </c>
      <c r="Z3014">
        <v>2</v>
      </c>
      <c r="AA3014">
        <v>12</v>
      </c>
      <c r="AB3014">
        <v>0.85714000000000001</v>
      </c>
      <c r="AC3014" t="s">
        <v>81</v>
      </c>
      <c r="AD3014" t="s">
        <v>109</v>
      </c>
      <c r="AE3014" t="s">
        <v>62</v>
      </c>
      <c r="AF3014" t="s">
        <v>62</v>
      </c>
      <c r="AG3014">
        <v>8</v>
      </c>
      <c r="AH3014">
        <v>19</v>
      </c>
      <c r="AI3014">
        <v>12</v>
      </c>
      <c r="AJ3014">
        <v>0.6129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11</v>
      </c>
      <c r="AQ3014">
        <v>3</v>
      </c>
      <c r="AR3014">
        <v>14</v>
      </c>
      <c r="AS3014">
        <v>14</v>
      </c>
      <c r="AT3014">
        <v>0.5</v>
      </c>
      <c r="AU3014">
        <v>14</v>
      </c>
      <c r="AV3014">
        <v>11</v>
      </c>
      <c r="AW3014">
        <v>48</v>
      </c>
      <c r="AX3014">
        <v>28</v>
      </c>
      <c r="AY3014">
        <v>26</v>
      </c>
      <c r="AZ3014">
        <v>3</v>
      </c>
      <c r="BA3014" t="s">
        <v>6547</v>
      </c>
      <c r="BB3014" t="s">
        <v>6548</v>
      </c>
      <c r="BC3014">
        <v>2.7</v>
      </c>
      <c r="BD3014" t="s">
        <v>267</v>
      </c>
      <c r="BE3014">
        <v>74</v>
      </c>
      <c r="BF3014">
        <v>31</v>
      </c>
      <c r="BG3014" t="s">
        <v>6549</v>
      </c>
      <c r="BH3014" t="s">
        <v>6550</v>
      </c>
      <c r="BI3014" t="s">
        <v>6551</v>
      </c>
      <c r="BJ3014">
        <v>0.10896</v>
      </c>
      <c r="BK3014">
        <v>1</v>
      </c>
      <c r="BL3014" t="s">
        <v>69</v>
      </c>
      <c r="BM3014">
        <v>-0.10199999999999999</v>
      </c>
      <c r="BN3014">
        <v>-1.0820000000000001</v>
      </c>
    </row>
    <row r="3015" spans="10:66">
      <c r="J3015">
        <v>0</v>
      </c>
      <c r="K3015">
        <v>8</v>
      </c>
      <c r="L3015">
        <v>0</v>
      </c>
      <c r="M3015" t="s">
        <v>25021</v>
      </c>
      <c r="N3015">
        <v>1044</v>
      </c>
      <c r="O3015" t="s">
        <v>6552</v>
      </c>
      <c r="P3015" t="s">
        <v>62</v>
      </c>
      <c r="Q3015">
        <v>1081416</v>
      </c>
      <c r="R3015">
        <v>1082804</v>
      </c>
      <c r="S3015" t="s">
        <v>2569</v>
      </c>
      <c r="T3015">
        <v>463</v>
      </c>
      <c r="U3015" t="s">
        <v>108</v>
      </c>
      <c r="V3015">
        <v>44</v>
      </c>
      <c r="W3015" t="str">
        <f>HYPERLINK("Gene1044-zp_tree_all.dnd", "Gene1044-tree")</f>
        <v>Gene1044-tree</v>
      </c>
      <c r="X3015">
        <v>8</v>
      </c>
      <c r="Y3015">
        <v>9</v>
      </c>
      <c r="Z3015">
        <v>8</v>
      </c>
      <c r="AA3015">
        <v>9</v>
      </c>
      <c r="AB3015">
        <v>0.52941000000000005</v>
      </c>
      <c r="AC3015" t="s">
        <v>136</v>
      </c>
      <c r="AD3015" t="s">
        <v>135</v>
      </c>
      <c r="AE3015" t="s">
        <v>62</v>
      </c>
      <c r="AF3015" t="s">
        <v>62</v>
      </c>
      <c r="AG3015">
        <v>4</v>
      </c>
      <c r="AH3015">
        <v>8</v>
      </c>
      <c r="AI3015">
        <v>15</v>
      </c>
      <c r="AJ3015">
        <v>0.34782999999999997</v>
      </c>
      <c r="AK3015">
        <v>0</v>
      </c>
      <c r="AL3015">
        <v>0</v>
      </c>
      <c r="AM3015">
        <v>0</v>
      </c>
      <c r="AN3015">
        <v>2</v>
      </c>
      <c r="AO3015">
        <v>0</v>
      </c>
      <c r="AP3015">
        <v>4</v>
      </c>
      <c r="AQ3015">
        <v>0</v>
      </c>
      <c r="AR3015">
        <v>4</v>
      </c>
      <c r="AS3015">
        <v>12</v>
      </c>
      <c r="AT3015">
        <v>0.25</v>
      </c>
      <c r="AU3015">
        <v>13</v>
      </c>
      <c r="AV3015">
        <v>11</v>
      </c>
      <c r="AW3015">
        <v>45</v>
      </c>
      <c r="AX3015">
        <v>15</v>
      </c>
      <c r="AY3015">
        <v>25</v>
      </c>
      <c r="AZ3015">
        <v>8</v>
      </c>
      <c r="BA3015" t="s">
        <v>6553</v>
      </c>
      <c r="BB3015" t="s">
        <v>6554</v>
      </c>
      <c r="BC3015">
        <v>0.05</v>
      </c>
      <c r="BD3015" t="s">
        <v>65</v>
      </c>
      <c r="BE3015">
        <v>70</v>
      </c>
      <c r="BF3015">
        <v>23</v>
      </c>
      <c r="BG3015" t="s">
        <v>6555</v>
      </c>
      <c r="BH3015" t="s">
        <v>6556</v>
      </c>
      <c r="BI3015" t="s">
        <v>6557</v>
      </c>
      <c r="BJ3015">
        <v>0.12333</v>
      </c>
      <c r="BK3015">
        <v>1</v>
      </c>
      <c r="BL3015" t="s">
        <v>69</v>
      </c>
      <c r="BM3015">
        <v>-0.41599999999999998</v>
      </c>
      <c r="BN3015">
        <v>-1.5249999999999999</v>
      </c>
    </row>
    <row r="3016" spans="10:66">
      <c r="J3016">
        <v>0</v>
      </c>
      <c r="K3016">
        <v>2</v>
      </c>
      <c r="L3016">
        <v>0</v>
      </c>
      <c r="M3016" t="s">
        <v>25021</v>
      </c>
      <c r="N3016">
        <v>1046</v>
      </c>
      <c r="O3016" t="s">
        <v>6558</v>
      </c>
      <c r="P3016" t="s">
        <v>62</v>
      </c>
      <c r="Q3016">
        <v>1083232</v>
      </c>
      <c r="R3016">
        <v>1083729</v>
      </c>
      <c r="S3016" t="s">
        <v>4679</v>
      </c>
      <c r="T3016">
        <v>166</v>
      </c>
      <c r="U3016" t="s">
        <v>108</v>
      </c>
      <c r="V3016">
        <v>44</v>
      </c>
      <c r="W3016" t="str">
        <f>HYPERLINK("Gene1046-zp_tree_all.dnd", "Gene1046-tree")</f>
        <v>Gene1046-tree</v>
      </c>
      <c r="X3016">
        <v>0</v>
      </c>
      <c r="Y3016">
        <v>9</v>
      </c>
      <c r="Z3016">
        <v>0</v>
      </c>
      <c r="AA3016">
        <v>9</v>
      </c>
      <c r="AB3016">
        <v>1</v>
      </c>
      <c r="AC3016" t="s">
        <v>62</v>
      </c>
      <c r="AD3016" t="s">
        <v>135</v>
      </c>
      <c r="AE3016" t="s">
        <v>62</v>
      </c>
      <c r="AF3016" t="s">
        <v>62</v>
      </c>
      <c r="AG3016">
        <v>1</v>
      </c>
      <c r="AH3016">
        <v>2</v>
      </c>
      <c r="AI3016">
        <v>8</v>
      </c>
      <c r="AJ3016">
        <v>0.2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2</v>
      </c>
      <c r="AQ3016">
        <v>0</v>
      </c>
      <c r="AR3016">
        <v>2</v>
      </c>
      <c r="AS3016">
        <v>7</v>
      </c>
      <c r="AT3016">
        <v>0.22222</v>
      </c>
      <c r="AU3016">
        <v>7</v>
      </c>
      <c r="AV3016">
        <v>4</v>
      </c>
      <c r="AW3016">
        <v>8</v>
      </c>
      <c r="AX3016">
        <v>8</v>
      </c>
      <c r="AY3016">
        <v>4</v>
      </c>
      <c r="AZ3016">
        <v>2</v>
      </c>
      <c r="BA3016" t="s">
        <v>6559</v>
      </c>
      <c r="BB3016" t="s">
        <v>6560</v>
      </c>
      <c r="BC3016">
        <v>1.2170000000000001</v>
      </c>
      <c r="BD3016" t="s">
        <v>65</v>
      </c>
      <c r="BE3016">
        <v>12</v>
      </c>
      <c r="BF3016">
        <v>10</v>
      </c>
      <c r="BG3016" t="s">
        <v>6561</v>
      </c>
      <c r="BH3016" t="s">
        <v>6562</v>
      </c>
      <c r="BI3016" t="s">
        <v>6563</v>
      </c>
      <c r="BJ3016">
        <v>0.20366000000000001</v>
      </c>
      <c r="BK3016">
        <v>1</v>
      </c>
      <c r="BL3016" t="s">
        <v>69</v>
      </c>
      <c r="BM3016">
        <v>-0.91800000000000004</v>
      </c>
      <c r="BN3016">
        <v>-1.3069999999999999</v>
      </c>
    </row>
    <row r="3017" spans="10:66">
      <c r="J3017">
        <v>0</v>
      </c>
      <c r="K3017">
        <v>2</v>
      </c>
      <c r="L3017">
        <v>0</v>
      </c>
      <c r="M3017" t="s">
        <v>25021</v>
      </c>
      <c r="N3017">
        <v>1053</v>
      </c>
      <c r="O3017" t="s">
        <v>6607</v>
      </c>
      <c r="P3017" t="s">
        <v>62</v>
      </c>
      <c r="Q3017">
        <v>1092773</v>
      </c>
      <c r="R3017">
        <v>1093747</v>
      </c>
      <c r="S3017" t="s">
        <v>6608</v>
      </c>
      <c r="T3017">
        <v>325</v>
      </c>
      <c r="U3017" t="s">
        <v>108</v>
      </c>
      <c r="V3017">
        <v>44</v>
      </c>
      <c r="W3017" t="str">
        <f>HYPERLINK("Gene1053-zp_tree_all.dnd", "Gene1053-tree")</f>
        <v>Gene1053-tree</v>
      </c>
      <c r="X3017">
        <v>7</v>
      </c>
      <c r="Y3017">
        <v>7</v>
      </c>
      <c r="Z3017">
        <v>7</v>
      </c>
      <c r="AA3017">
        <v>7</v>
      </c>
      <c r="AB3017">
        <v>0.5</v>
      </c>
      <c r="AC3017" t="s">
        <v>152</v>
      </c>
      <c r="AD3017" t="s">
        <v>152</v>
      </c>
      <c r="AE3017" t="s">
        <v>62</v>
      </c>
      <c r="AF3017" t="s">
        <v>62</v>
      </c>
      <c r="AG3017">
        <v>1</v>
      </c>
      <c r="AH3017">
        <v>2</v>
      </c>
      <c r="AI3017">
        <v>15</v>
      </c>
      <c r="AJ3017">
        <v>0.11765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2</v>
      </c>
      <c r="AQ3017">
        <v>0</v>
      </c>
      <c r="AR3017">
        <v>2</v>
      </c>
      <c r="AS3017">
        <v>13</v>
      </c>
      <c r="AT3017">
        <v>0.13333</v>
      </c>
      <c r="AU3017">
        <v>13</v>
      </c>
      <c r="AV3017">
        <v>9</v>
      </c>
      <c r="AW3017">
        <v>58</v>
      </c>
      <c r="AX3017">
        <v>15</v>
      </c>
      <c r="AY3017">
        <v>17</v>
      </c>
      <c r="AZ3017">
        <v>2</v>
      </c>
      <c r="BA3017" t="s">
        <v>6609</v>
      </c>
      <c r="BB3017" t="s">
        <v>6610</v>
      </c>
      <c r="BC3017">
        <v>0.33200000000000002</v>
      </c>
      <c r="BD3017" t="s">
        <v>65</v>
      </c>
      <c r="BE3017">
        <v>75</v>
      </c>
      <c r="BF3017">
        <v>17</v>
      </c>
      <c r="BG3017" t="s">
        <v>6611</v>
      </c>
      <c r="BH3017" t="s">
        <v>6612</v>
      </c>
      <c r="BI3017" t="s">
        <v>6613</v>
      </c>
      <c r="BJ3017">
        <v>6.3500000000000001E-2</v>
      </c>
      <c r="BK3017">
        <v>1</v>
      </c>
      <c r="BL3017" t="s">
        <v>69</v>
      </c>
      <c r="BM3017">
        <v>-1.474</v>
      </c>
      <c r="BN3017">
        <v>-3.2330000000000001</v>
      </c>
    </row>
    <row r="3018" spans="10:66">
      <c r="J3018">
        <v>0</v>
      </c>
      <c r="K3018">
        <v>2</v>
      </c>
      <c r="L3018">
        <v>0</v>
      </c>
      <c r="M3018" t="s">
        <v>25021</v>
      </c>
      <c r="N3018">
        <v>1057</v>
      </c>
      <c r="O3018" t="s">
        <v>6634</v>
      </c>
      <c r="P3018" t="s">
        <v>62</v>
      </c>
      <c r="Q3018">
        <v>1096563</v>
      </c>
      <c r="R3018">
        <v>1097849</v>
      </c>
      <c r="S3018" t="s">
        <v>6635</v>
      </c>
      <c r="T3018">
        <v>429</v>
      </c>
      <c r="U3018" t="s">
        <v>289</v>
      </c>
      <c r="V3018">
        <v>46</v>
      </c>
      <c r="W3018" t="str">
        <f>HYPERLINK("Gene1057-zp_tree_all.dnd", "Gene1057-tree")</f>
        <v>Gene1057-tree</v>
      </c>
      <c r="X3018">
        <v>13</v>
      </c>
      <c r="Y3018">
        <v>2</v>
      </c>
      <c r="Z3018">
        <v>13</v>
      </c>
      <c r="AA3018">
        <v>2</v>
      </c>
      <c r="AB3018">
        <v>0.13333</v>
      </c>
      <c r="AC3018" t="s">
        <v>507</v>
      </c>
      <c r="AD3018" t="s">
        <v>81</v>
      </c>
      <c r="AE3018" t="s">
        <v>62</v>
      </c>
      <c r="AF3018" t="s">
        <v>62</v>
      </c>
      <c r="AG3018">
        <v>1</v>
      </c>
      <c r="AH3018">
        <v>2</v>
      </c>
      <c r="AI3018">
        <v>5</v>
      </c>
      <c r="AJ3018">
        <v>0.28571000000000002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2</v>
      </c>
      <c r="AT3018">
        <v>0</v>
      </c>
      <c r="AU3018">
        <v>12</v>
      </c>
      <c r="AV3018">
        <v>8</v>
      </c>
      <c r="AW3018">
        <v>30</v>
      </c>
      <c r="AX3018">
        <v>2</v>
      </c>
      <c r="AY3018">
        <v>55</v>
      </c>
      <c r="AZ3018">
        <v>5</v>
      </c>
      <c r="BA3018" t="s">
        <v>6636</v>
      </c>
      <c r="BB3018" t="s">
        <v>6637</v>
      </c>
      <c r="BC3018">
        <v>4.9000000000000002E-2</v>
      </c>
      <c r="BD3018" t="s">
        <v>65</v>
      </c>
      <c r="BE3018">
        <v>85</v>
      </c>
      <c r="BF3018">
        <v>7</v>
      </c>
      <c r="BG3018" t="s">
        <v>6638</v>
      </c>
      <c r="BH3018" t="s">
        <v>6639</v>
      </c>
      <c r="BI3018" t="s">
        <v>6640</v>
      </c>
      <c r="BJ3018">
        <v>2.436E-2</v>
      </c>
      <c r="BK3018">
        <v>1</v>
      </c>
      <c r="BL3018" t="s">
        <v>69</v>
      </c>
      <c r="BM3018">
        <v>-1.6419999999999999</v>
      </c>
      <c r="BN3018">
        <v>0.39700000000000002</v>
      </c>
    </row>
    <row r="3019" spans="10:66">
      <c r="J3019">
        <v>0</v>
      </c>
      <c r="K3019">
        <v>0</v>
      </c>
      <c r="L3019">
        <v>0</v>
      </c>
      <c r="M3019" t="s">
        <v>25021</v>
      </c>
      <c r="N3019">
        <v>1058</v>
      </c>
      <c r="O3019" t="s">
        <v>6641</v>
      </c>
      <c r="P3019" t="s">
        <v>62</v>
      </c>
      <c r="Q3019">
        <v>1098123</v>
      </c>
      <c r="R3019">
        <v>1098260</v>
      </c>
      <c r="S3019" t="s">
        <v>116</v>
      </c>
      <c r="T3019">
        <v>46</v>
      </c>
      <c r="U3019" t="s">
        <v>59</v>
      </c>
      <c r="V3019">
        <v>49</v>
      </c>
      <c r="W3019" t="str">
        <f>HYPERLINK("Gene1058-zp_tree_all.dnd", "Gene1058-tree")</f>
        <v>Gene1058-tree</v>
      </c>
      <c r="X3019">
        <v>5</v>
      </c>
      <c r="Y3019">
        <v>0</v>
      </c>
      <c r="Z3019">
        <v>5</v>
      </c>
      <c r="AA3019">
        <v>0</v>
      </c>
      <c r="AB3019">
        <v>0</v>
      </c>
      <c r="AC3019" t="s">
        <v>199</v>
      </c>
      <c r="AD3019" t="s">
        <v>62</v>
      </c>
      <c r="AE3019" t="s">
        <v>62</v>
      </c>
      <c r="AF3019" t="s">
        <v>62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3</v>
      </c>
      <c r="AV3019">
        <v>2</v>
      </c>
      <c r="AW3019">
        <v>6</v>
      </c>
      <c r="AX3019">
        <v>0</v>
      </c>
      <c r="AY3019">
        <v>4</v>
      </c>
      <c r="AZ3019">
        <v>1</v>
      </c>
      <c r="BA3019" t="s">
        <v>193</v>
      </c>
      <c r="BB3019" t="s">
        <v>6642</v>
      </c>
      <c r="BC3019">
        <v>1.1120000000000001</v>
      </c>
      <c r="BD3019" t="s">
        <v>65</v>
      </c>
      <c r="BE3019">
        <v>10</v>
      </c>
      <c r="BF3019">
        <v>1</v>
      </c>
      <c r="BG3019" t="s">
        <v>6643</v>
      </c>
      <c r="BH3019" t="s">
        <v>6644</v>
      </c>
      <c r="BI3019" t="s">
        <v>6645</v>
      </c>
      <c r="BJ3019">
        <v>2.6870000000000002E-2</v>
      </c>
      <c r="BK3019">
        <v>1</v>
      </c>
      <c r="BL3019" t="s">
        <v>69</v>
      </c>
      <c r="BM3019">
        <v>-1.0269999999999999</v>
      </c>
      <c r="BN3019">
        <v>0.78800000000000003</v>
      </c>
    </row>
    <row r="3020" spans="10:66">
      <c r="J3020">
        <v>0</v>
      </c>
      <c r="K3020">
        <v>2</v>
      </c>
      <c r="L3020">
        <v>0</v>
      </c>
      <c r="M3020" t="s">
        <v>25021</v>
      </c>
      <c r="N3020">
        <v>1063</v>
      </c>
      <c r="O3020" t="s">
        <v>6674</v>
      </c>
      <c r="P3020" t="s">
        <v>62</v>
      </c>
      <c r="Q3020">
        <v>1102563</v>
      </c>
      <c r="R3020">
        <v>1102955</v>
      </c>
      <c r="S3020" t="s">
        <v>4095</v>
      </c>
      <c r="T3020">
        <v>131</v>
      </c>
      <c r="U3020" t="s">
        <v>6390</v>
      </c>
      <c r="V3020">
        <v>45</v>
      </c>
      <c r="W3020" t="str">
        <f>HYPERLINK("Gene1063-zp_tree_all.dnd", "Gene1063-tree")</f>
        <v>Gene1063-tree</v>
      </c>
      <c r="X3020">
        <v>8</v>
      </c>
      <c r="Y3020">
        <v>5</v>
      </c>
      <c r="Z3020">
        <v>8</v>
      </c>
      <c r="AA3020">
        <v>5</v>
      </c>
      <c r="AB3020">
        <v>0.38462000000000002</v>
      </c>
      <c r="AC3020" t="s">
        <v>136</v>
      </c>
      <c r="AD3020" t="s">
        <v>199</v>
      </c>
      <c r="AE3020" t="s">
        <v>62</v>
      </c>
      <c r="AF3020" t="s">
        <v>62</v>
      </c>
      <c r="AG3020">
        <v>1</v>
      </c>
      <c r="AH3020">
        <v>2</v>
      </c>
      <c r="AI3020">
        <v>8</v>
      </c>
      <c r="AJ3020">
        <v>0.2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2</v>
      </c>
      <c r="AQ3020">
        <v>0</v>
      </c>
      <c r="AR3020">
        <v>2</v>
      </c>
      <c r="AS3020">
        <v>7</v>
      </c>
      <c r="AT3020">
        <v>0.22222</v>
      </c>
      <c r="AU3020">
        <v>8</v>
      </c>
      <c r="AV3020">
        <v>4</v>
      </c>
      <c r="AW3020">
        <v>19</v>
      </c>
      <c r="AX3020">
        <v>9</v>
      </c>
      <c r="AY3020">
        <v>4</v>
      </c>
      <c r="AZ3020">
        <v>1</v>
      </c>
      <c r="BA3020" t="s">
        <v>6675</v>
      </c>
      <c r="BB3020" t="s">
        <v>6676</v>
      </c>
      <c r="BC3020">
        <v>0.23799999999999999</v>
      </c>
      <c r="BD3020" t="s">
        <v>65</v>
      </c>
      <c r="BE3020">
        <v>23</v>
      </c>
      <c r="BF3020">
        <v>10</v>
      </c>
      <c r="BG3020" t="s">
        <v>6677</v>
      </c>
      <c r="BH3020" t="s">
        <v>6678</v>
      </c>
      <c r="BI3020" t="s">
        <v>6679</v>
      </c>
      <c r="BJ3020">
        <v>0.11021</v>
      </c>
      <c r="BK3020">
        <v>1</v>
      </c>
      <c r="BL3020" t="s">
        <v>69</v>
      </c>
      <c r="BM3020">
        <v>-1.9770000000000001</v>
      </c>
      <c r="BN3020">
        <v>-4.57</v>
      </c>
    </row>
    <row r="3021" spans="10:66">
      <c r="J3021">
        <v>0</v>
      </c>
      <c r="K3021">
        <v>7</v>
      </c>
      <c r="L3021">
        <v>0</v>
      </c>
      <c r="M3021" t="s">
        <v>25021</v>
      </c>
      <c r="N3021">
        <v>1065</v>
      </c>
      <c r="O3021" t="s">
        <v>6687</v>
      </c>
      <c r="P3021" t="s">
        <v>62</v>
      </c>
      <c r="Q3021">
        <v>1104426</v>
      </c>
      <c r="R3021">
        <v>1105568</v>
      </c>
      <c r="S3021" t="s">
        <v>6688</v>
      </c>
      <c r="T3021">
        <v>381</v>
      </c>
      <c r="U3021" t="s">
        <v>125</v>
      </c>
      <c r="V3021">
        <v>48</v>
      </c>
      <c r="W3021" t="str">
        <f>HYPERLINK("Gene1065-zp_tree_all.dnd", "Gene1065-tree")</f>
        <v>Gene1065-tree</v>
      </c>
      <c r="X3021">
        <v>15</v>
      </c>
      <c r="Y3021">
        <v>6</v>
      </c>
      <c r="Z3021">
        <v>15</v>
      </c>
      <c r="AA3021">
        <v>6</v>
      </c>
      <c r="AB3021">
        <v>0.28571000000000002</v>
      </c>
      <c r="AC3021" t="s">
        <v>100</v>
      </c>
      <c r="AD3021" t="s">
        <v>90</v>
      </c>
      <c r="AE3021" t="s">
        <v>62</v>
      </c>
      <c r="AF3021" t="s">
        <v>62</v>
      </c>
      <c r="AG3021">
        <v>3</v>
      </c>
      <c r="AH3021">
        <v>7</v>
      </c>
      <c r="AI3021">
        <v>15</v>
      </c>
      <c r="AJ3021">
        <v>0.31818000000000002</v>
      </c>
      <c r="AK3021">
        <v>0</v>
      </c>
      <c r="AL3021">
        <v>0</v>
      </c>
      <c r="AM3021">
        <v>0</v>
      </c>
      <c r="AN3021">
        <v>5</v>
      </c>
      <c r="AO3021">
        <v>0</v>
      </c>
      <c r="AP3021">
        <v>0</v>
      </c>
      <c r="AQ3021">
        <v>0</v>
      </c>
      <c r="AR3021">
        <v>0</v>
      </c>
      <c r="AS3021">
        <v>6</v>
      </c>
      <c r="AT3021">
        <v>0</v>
      </c>
      <c r="AU3021">
        <v>15</v>
      </c>
      <c r="AV3021">
        <v>16</v>
      </c>
      <c r="AW3021">
        <v>41</v>
      </c>
      <c r="AX3021">
        <v>6</v>
      </c>
      <c r="AY3021">
        <v>84</v>
      </c>
      <c r="AZ3021">
        <v>16</v>
      </c>
      <c r="BA3021" t="s">
        <v>6689</v>
      </c>
      <c r="BB3021" t="s">
        <v>6690</v>
      </c>
      <c r="BC3021">
        <v>0.26</v>
      </c>
      <c r="BD3021" t="s">
        <v>65</v>
      </c>
      <c r="BE3021">
        <v>125</v>
      </c>
      <c r="BF3021">
        <v>22</v>
      </c>
      <c r="BG3021" t="s">
        <v>6691</v>
      </c>
      <c r="BH3021" t="s">
        <v>6692</v>
      </c>
      <c r="BI3021" t="s">
        <v>6693</v>
      </c>
      <c r="BJ3021">
        <v>5.9569999999999998E-2</v>
      </c>
      <c r="BK3021">
        <v>1</v>
      </c>
      <c r="BL3021" t="s">
        <v>69</v>
      </c>
      <c r="BM3021">
        <v>-0.626</v>
      </c>
      <c r="BN3021">
        <v>-0.39800000000000002</v>
      </c>
    </row>
    <row r="3022" spans="10:66">
      <c r="J3022">
        <v>0</v>
      </c>
      <c r="K3022">
        <v>3</v>
      </c>
      <c r="L3022">
        <v>0</v>
      </c>
      <c r="M3022" t="s">
        <v>25021</v>
      </c>
      <c r="N3022">
        <v>1069</v>
      </c>
      <c r="O3022" t="s">
        <v>6712</v>
      </c>
      <c r="P3022" t="s">
        <v>62</v>
      </c>
      <c r="Q3022">
        <v>1108739</v>
      </c>
      <c r="R3022">
        <v>1109317</v>
      </c>
      <c r="S3022" t="s">
        <v>6713</v>
      </c>
      <c r="T3022">
        <v>193</v>
      </c>
      <c r="U3022" t="s">
        <v>108</v>
      </c>
      <c r="V3022">
        <v>44</v>
      </c>
      <c r="W3022" t="str">
        <f>HYPERLINK("Gene1069-zp_tree_all.dnd", "Gene1069-tree")</f>
        <v>Gene1069-tree</v>
      </c>
      <c r="X3022">
        <v>7</v>
      </c>
      <c r="Y3022">
        <v>5</v>
      </c>
      <c r="Z3022">
        <v>7</v>
      </c>
      <c r="AA3022">
        <v>5</v>
      </c>
      <c r="AB3022">
        <v>0.41666999999999998</v>
      </c>
      <c r="AC3022" t="s">
        <v>152</v>
      </c>
      <c r="AD3022" t="s">
        <v>199</v>
      </c>
      <c r="AE3022" t="s">
        <v>62</v>
      </c>
      <c r="AF3022" t="s">
        <v>62</v>
      </c>
      <c r="AG3022">
        <v>1</v>
      </c>
      <c r="AH3022">
        <v>3</v>
      </c>
      <c r="AI3022">
        <v>3</v>
      </c>
      <c r="AJ3022">
        <v>0.5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2</v>
      </c>
      <c r="AQ3022">
        <v>0</v>
      </c>
      <c r="AR3022">
        <v>2</v>
      </c>
      <c r="AS3022">
        <v>3</v>
      </c>
      <c r="AT3022">
        <v>0.4</v>
      </c>
      <c r="AU3022">
        <v>8</v>
      </c>
      <c r="AV3022">
        <v>7</v>
      </c>
      <c r="AW3022">
        <v>12</v>
      </c>
      <c r="AX3022">
        <v>4</v>
      </c>
      <c r="AY3022">
        <v>16</v>
      </c>
      <c r="AZ3022">
        <v>2</v>
      </c>
      <c r="BA3022" t="s">
        <v>6714</v>
      </c>
      <c r="BB3022" t="s">
        <v>6715</v>
      </c>
      <c r="BC3022">
        <v>0.73</v>
      </c>
      <c r="BD3022" t="s">
        <v>65</v>
      </c>
      <c r="BE3022">
        <v>28</v>
      </c>
      <c r="BF3022">
        <v>6</v>
      </c>
      <c r="BG3022" t="s">
        <v>6716</v>
      </c>
      <c r="BH3022" t="s">
        <v>6717</v>
      </c>
      <c r="BI3022" t="s">
        <v>6718</v>
      </c>
      <c r="BJ3022">
        <v>2.998E-2</v>
      </c>
      <c r="BK3022">
        <v>1</v>
      </c>
      <c r="BL3022" t="s">
        <v>69</v>
      </c>
      <c r="BM3022">
        <v>-0.21199999999999999</v>
      </c>
      <c r="BN3022">
        <v>0.65700000000000003</v>
      </c>
    </row>
    <row r="3023" spans="10:66">
      <c r="J3023">
        <v>0</v>
      </c>
      <c r="K3023">
        <v>30</v>
      </c>
      <c r="L3023">
        <v>4</v>
      </c>
      <c r="M3023" t="s">
        <v>25021</v>
      </c>
      <c r="N3023">
        <v>1070</v>
      </c>
      <c r="O3023" t="s">
        <v>6719</v>
      </c>
      <c r="P3023" t="s">
        <v>62</v>
      </c>
      <c r="Q3023">
        <v>1109391</v>
      </c>
      <c r="R3023">
        <v>1110482</v>
      </c>
      <c r="S3023" t="s">
        <v>6720</v>
      </c>
      <c r="T3023">
        <v>364</v>
      </c>
      <c r="U3023" t="s">
        <v>108</v>
      </c>
      <c r="V3023">
        <v>44</v>
      </c>
      <c r="W3023" t="str">
        <f>HYPERLINK("Gene1070-zp_tree_all.dnd", "Gene1070-tree")</f>
        <v>Gene1070-tree</v>
      </c>
      <c r="X3023">
        <v>1</v>
      </c>
      <c r="Y3023">
        <v>15</v>
      </c>
      <c r="Z3023">
        <v>1</v>
      </c>
      <c r="AA3023">
        <v>15</v>
      </c>
      <c r="AB3023">
        <v>0.9375</v>
      </c>
      <c r="AC3023" t="s">
        <v>175</v>
      </c>
      <c r="AD3023" t="s">
        <v>100</v>
      </c>
      <c r="AE3023" t="s">
        <v>62</v>
      </c>
      <c r="AF3023" t="s">
        <v>62</v>
      </c>
      <c r="AG3023">
        <v>13</v>
      </c>
      <c r="AH3023">
        <v>34</v>
      </c>
      <c r="AI3023">
        <v>22</v>
      </c>
      <c r="AJ3023">
        <v>0.60714000000000001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11</v>
      </c>
      <c r="AQ3023">
        <v>4</v>
      </c>
      <c r="AR3023">
        <v>15</v>
      </c>
      <c r="AS3023">
        <v>24</v>
      </c>
      <c r="AT3023">
        <v>0.38462000000000002</v>
      </c>
      <c r="AU3023">
        <v>13</v>
      </c>
      <c r="AV3023">
        <v>12</v>
      </c>
      <c r="AW3023">
        <v>50</v>
      </c>
      <c r="AX3023">
        <v>38</v>
      </c>
      <c r="AY3023">
        <v>54</v>
      </c>
      <c r="AZ3023">
        <v>20</v>
      </c>
      <c r="BA3023" t="s">
        <v>6721</v>
      </c>
      <c r="BB3023" t="s">
        <v>6722</v>
      </c>
      <c r="BC3023">
        <v>1.5640000000000001</v>
      </c>
      <c r="BD3023" t="s">
        <v>65</v>
      </c>
      <c r="BE3023">
        <v>104</v>
      </c>
      <c r="BF3023">
        <v>58</v>
      </c>
      <c r="BG3023" t="s">
        <v>6723</v>
      </c>
      <c r="BH3023" t="s">
        <v>6724</v>
      </c>
      <c r="BI3023" t="s">
        <v>6725</v>
      </c>
      <c r="BJ3023">
        <v>0.15694</v>
      </c>
      <c r="BK3023">
        <v>1</v>
      </c>
      <c r="BL3023" t="s">
        <v>69</v>
      </c>
      <c r="BM3023">
        <v>0.183</v>
      </c>
      <c r="BN3023">
        <v>-1.1879999999999999</v>
      </c>
    </row>
    <row r="3024" spans="10:66">
      <c r="J3024">
        <v>0</v>
      </c>
      <c r="K3024">
        <v>59</v>
      </c>
      <c r="L3024">
        <v>2</v>
      </c>
      <c r="M3024" t="s">
        <v>25021</v>
      </c>
      <c r="N3024">
        <v>1071</v>
      </c>
      <c r="O3024" t="s">
        <v>6726</v>
      </c>
      <c r="P3024" t="s">
        <v>62</v>
      </c>
      <c r="Q3024">
        <v>1110482</v>
      </c>
      <c r="R3024">
        <v>1111918</v>
      </c>
      <c r="S3024" t="s">
        <v>6727</v>
      </c>
      <c r="T3024">
        <v>479</v>
      </c>
      <c r="U3024" t="s">
        <v>1557</v>
      </c>
      <c r="V3024">
        <v>40</v>
      </c>
      <c r="W3024" t="str">
        <f>HYPERLINK("Gene1071-zp_tree_all.dnd", "Gene1071-tree")</f>
        <v>Gene1071-tree</v>
      </c>
      <c r="X3024">
        <v>2</v>
      </c>
      <c r="Y3024">
        <v>13</v>
      </c>
      <c r="Z3024">
        <v>2</v>
      </c>
      <c r="AA3024">
        <v>13</v>
      </c>
      <c r="AB3024">
        <v>0.86667000000000005</v>
      </c>
      <c r="AC3024" t="s">
        <v>81</v>
      </c>
      <c r="AD3024" t="s">
        <v>507</v>
      </c>
      <c r="AE3024" t="s">
        <v>62</v>
      </c>
      <c r="AF3024" t="s">
        <v>62</v>
      </c>
      <c r="AG3024">
        <v>20</v>
      </c>
      <c r="AH3024">
        <v>61</v>
      </c>
      <c r="AI3024">
        <v>41</v>
      </c>
      <c r="AJ3024">
        <v>0.59804000000000002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23</v>
      </c>
      <c r="AQ3024">
        <v>8</v>
      </c>
      <c r="AR3024">
        <v>31</v>
      </c>
      <c r="AS3024">
        <v>42</v>
      </c>
      <c r="AT3024">
        <v>0.42465999999999998</v>
      </c>
      <c r="AU3024">
        <v>14</v>
      </c>
      <c r="AV3024">
        <v>12</v>
      </c>
      <c r="AW3024">
        <v>70</v>
      </c>
      <c r="AX3024">
        <v>72</v>
      </c>
      <c r="AY3024">
        <v>44</v>
      </c>
      <c r="AZ3024">
        <v>31</v>
      </c>
      <c r="BA3024" t="s">
        <v>6728</v>
      </c>
      <c r="BB3024" t="s">
        <v>6729</v>
      </c>
      <c r="BC3024">
        <v>0.38600000000000001</v>
      </c>
      <c r="BD3024" t="s">
        <v>65</v>
      </c>
      <c r="BE3024">
        <v>114</v>
      </c>
      <c r="BF3024">
        <v>103</v>
      </c>
      <c r="BG3024" t="s">
        <v>6730</v>
      </c>
      <c r="BH3024" t="s">
        <v>6731</v>
      </c>
      <c r="BI3024" t="s">
        <v>6732</v>
      </c>
      <c r="BJ3024">
        <v>0.23202999999999999</v>
      </c>
      <c r="BK3024">
        <v>1</v>
      </c>
      <c r="BL3024" t="s">
        <v>69</v>
      </c>
      <c r="BM3024">
        <v>-0.68400000000000005</v>
      </c>
      <c r="BN3024">
        <v>-2.2330000000000001</v>
      </c>
    </row>
    <row r="3025" spans="10:66">
      <c r="J3025">
        <v>0</v>
      </c>
      <c r="K3025">
        <v>2</v>
      </c>
      <c r="L3025">
        <v>0</v>
      </c>
      <c r="M3025" t="s">
        <v>25021</v>
      </c>
      <c r="N3025">
        <v>1072</v>
      </c>
      <c r="O3025" t="s">
        <v>6733</v>
      </c>
      <c r="P3025" t="s">
        <v>62</v>
      </c>
      <c r="Q3025">
        <v>1111928</v>
      </c>
      <c r="R3025">
        <v>1112485</v>
      </c>
      <c r="S3025" t="s">
        <v>6734</v>
      </c>
      <c r="T3025">
        <v>186</v>
      </c>
      <c r="U3025" t="s">
        <v>108</v>
      </c>
      <c r="V3025">
        <v>44</v>
      </c>
      <c r="W3025" t="str">
        <f>HYPERLINK("Gene1072-zp_tree_all.dnd", "Gene1072-tree")</f>
        <v>Gene1072-tree</v>
      </c>
      <c r="X3025">
        <v>7</v>
      </c>
      <c r="Y3025">
        <v>6</v>
      </c>
      <c r="Z3025">
        <v>7</v>
      </c>
      <c r="AA3025">
        <v>6</v>
      </c>
      <c r="AB3025">
        <v>0.46154000000000001</v>
      </c>
      <c r="AC3025" t="s">
        <v>152</v>
      </c>
      <c r="AD3025" t="s">
        <v>90</v>
      </c>
      <c r="AE3025" t="s">
        <v>62</v>
      </c>
      <c r="AF3025" t="s">
        <v>62</v>
      </c>
      <c r="AG3025">
        <v>1</v>
      </c>
      <c r="AH3025">
        <v>2</v>
      </c>
      <c r="AI3025">
        <v>6</v>
      </c>
      <c r="AJ3025">
        <v>0.25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2</v>
      </c>
      <c r="AQ3025">
        <v>0</v>
      </c>
      <c r="AR3025">
        <v>2</v>
      </c>
      <c r="AS3025">
        <v>5</v>
      </c>
      <c r="AT3025">
        <v>0.28571000000000002</v>
      </c>
      <c r="AU3025">
        <v>10</v>
      </c>
      <c r="AV3025">
        <v>7</v>
      </c>
      <c r="AW3025">
        <v>13</v>
      </c>
      <c r="AX3025">
        <v>7</v>
      </c>
      <c r="AY3025">
        <v>9</v>
      </c>
      <c r="AZ3025">
        <v>1</v>
      </c>
      <c r="BA3025" t="s">
        <v>6735</v>
      </c>
      <c r="BB3025" t="s">
        <v>6736</v>
      </c>
      <c r="BC3025">
        <v>0.98099999999999998</v>
      </c>
      <c r="BD3025" t="s">
        <v>65</v>
      </c>
      <c r="BE3025">
        <v>22</v>
      </c>
      <c r="BF3025">
        <v>8</v>
      </c>
      <c r="BG3025" t="s">
        <v>6737</v>
      </c>
      <c r="BH3025" t="s">
        <v>6738</v>
      </c>
      <c r="BI3025" t="s">
        <v>6739</v>
      </c>
      <c r="BJ3025">
        <v>9.2730000000000007E-2</v>
      </c>
      <c r="BK3025">
        <v>1</v>
      </c>
      <c r="BL3025" t="s">
        <v>69</v>
      </c>
      <c r="BM3025">
        <v>-0.61499999999999999</v>
      </c>
      <c r="BN3025">
        <v>0.19800000000000001</v>
      </c>
    </row>
    <row r="3026" spans="10:66">
      <c r="J3026">
        <v>0</v>
      </c>
      <c r="K3026">
        <v>4</v>
      </c>
      <c r="L3026">
        <v>3</v>
      </c>
      <c r="M3026" t="s">
        <v>25021</v>
      </c>
      <c r="N3026">
        <v>1073</v>
      </c>
      <c r="O3026" t="s">
        <v>6740</v>
      </c>
      <c r="P3026" t="s">
        <v>62</v>
      </c>
      <c r="Q3026">
        <v>1112623</v>
      </c>
      <c r="R3026">
        <v>1113918</v>
      </c>
      <c r="S3026" t="s">
        <v>6741</v>
      </c>
      <c r="T3026">
        <v>432</v>
      </c>
      <c r="U3026" t="s">
        <v>108</v>
      </c>
      <c r="V3026">
        <v>44</v>
      </c>
      <c r="W3026" t="str">
        <f>HYPERLINK("Gene1073-zp_tree_all.dnd", "Gene1073-tree")</f>
        <v>Gene1073-tree</v>
      </c>
      <c r="X3026">
        <v>5</v>
      </c>
      <c r="Y3026">
        <v>9</v>
      </c>
      <c r="Z3026">
        <v>5</v>
      </c>
      <c r="AA3026">
        <v>9</v>
      </c>
      <c r="AB3026">
        <v>0.64285999999999999</v>
      </c>
      <c r="AC3026" t="s">
        <v>199</v>
      </c>
      <c r="AD3026" t="s">
        <v>135</v>
      </c>
      <c r="AE3026" t="s">
        <v>62</v>
      </c>
      <c r="AF3026" t="s">
        <v>62</v>
      </c>
      <c r="AG3026">
        <v>3</v>
      </c>
      <c r="AH3026">
        <v>7</v>
      </c>
      <c r="AI3026">
        <v>10</v>
      </c>
      <c r="AJ3026">
        <v>0.41176000000000001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4</v>
      </c>
      <c r="AR3026">
        <v>4</v>
      </c>
      <c r="AS3026">
        <v>11</v>
      </c>
      <c r="AT3026">
        <v>0.26667000000000002</v>
      </c>
      <c r="AU3026">
        <v>11</v>
      </c>
      <c r="AV3026">
        <v>8</v>
      </c>
      <c r="AW3026">
        <v>39</v>
      </c>
      <c r="AX3026">
        <v>13</v>
      </c>
      <c r="AY3026">
        <v>24</v>
      </c>
      <c r="AZ3026">
        <v>4</v>
      </c>
      <c r="BA3026" t="s">
        <v>6742</v>
      </c>
      <c r="BB3026" t="s">
        <v>6743</v>
      </c>
      <c r="BC3026">
        <v>0.67400000000000004</v>
      </c>
      <c r="BD3026" t="s">
        <v>65</v>
      </c>
      <c r="BE3026">
        <v>63</v>
      </c>
      <c r="BF3026">
        <v>17</v>
      </c>
      <c r="BG3026" t="s">
        <v>6744</v>
      </c>
      <c r="BH3026" t="s">
        <v>6745</v>
      </c>
      <c r="BI3026" t="s">
        <v>6746</v>
      </c>
      <c r="BJ3026">
        <v>6.3939999999999997E-2</v>
      </c>
      <c r="BK3026">
        <v>1</v>
      </c>
      <c r="BL3026" t="s">
        <v>69</v>
      </c>
      <c r="BM3026">
        <v>-0.80500000000000005</v>
      </c>
      <c r="BN3026">
        <v>-2.298</v>
      </c>
    </row>
    <row r="3027" spans="10:66">
      <c r="J3027">
        <v>0</v>
      </c>
      <c r="K3027">
        <v>13</v>
      </c>
      <c r="L3027">
        <v>0</v>
      </c>
      <c r="M3027" t="s">
        <v>25021</v>
      </c>
      <c r="N3027">
        <v>1074</v>
      </c>
      <c r="O3027" t="s">
        <v>6747</v>
      </c>
      <c r="P3027" t="s">
        <v>62</v>
      </c>
      <c r="Q3027">
        <v>1114060</v>
      </c>
      <c r="R3027">
        <v>1115586</v>
      </c>
      <c r="S3027" t="s">
        <v>6748</v>
      </c>
      <c r="T3027">
        <v>509</v>
      </c>
      <c r="U3027" t="s">
        <v>108</v>
      </c>
      <c r="V3027">
        <v>44</v>
      </c>
      <c r="W3027" t="str">
        <f>HYPERLINK("Gene1074-zp_tree_all.dnd", "Gene1074-tree")</f>
        <v>Gene1074-tree</v>
      </c>
      <c r="X3027">
        <v>3</v>
      </c>
      <c r="Y3027">
        <v>12</v>
      </c>
      <c r="Z3027">
        <v>3</v>
      </c>
      <c r="AA3027">
        <v>12</v>
      </c>
      <c r="AB3027">
        <v>0.8</v>
      </c>
      <c r="AC3027" t="s">
        <v>324</v>
      </c>
      <c r="AD3027" t="s">
        <v>109</v>
      </c>
      <c r="AE3027" t="s">
        <v>62</v>
      </c>
      <c r="AF3027" t="s">
        <v>62</v>
      </c>
      <c r="AG3027">
        <v>5</v>
      </c>
      <c r="AH3027">
        <v>13</v>
      </c>
      <c r="AI3027">
        <v>25</v>
      </c>
      <c r="AJ3027">
        <v>0.34211000000000003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6</v>
      </c>
      <c r="AQ3027">
        <v>0</v>
      </c>
      <c r="AR3027">
        <v>6</v>
      </c>
      <c r="AS3027">
        <v>25</v>
      </c>
      <c r="AT3027">
        <v>0.19355</v>
      </c>
      <c r="AU3027">
        <v>14</v>
      </c>
      <c r="AV3027">
        <v>10</v>
      </c>
      <c r="AW3027">
        <v>62</v>
      </c>
      <c r="AX3027">
        <v>30</v>
      </c>
      <c r="AY3027">
        <v>20</v>
      </c>
      <c r="AZ3027">
        <v>9</v>
      </c>
      <c r="BA3027" t="s">
        <v>6749</v>
      </c>
      <c r="BB3027" t="s">
        <v>6750</v>
      </c>
      <c r="BC3027">
        <v>8.1000000000000003E-2</v>
      </c>
      <c r="BD3027" t="s">
        <v>65</v>
      </c>
      <c r="BE3027">
        <v>82</v>
      </c>
      <c r="BF3027">
        <v>39</v>
      </c>
      <c r="BG3027" t="s">
        <v>6751</v>
      </c>
      <c r="BH3027" t="s">
        <v>6752</v>
      </c>
      <c r="BI3027" t="s">
        <v>6753</v>
      </c>
      <c r="BJ3027">
        <v>0.12038</v>
      </c>
      <c r="BK3027">
        <v>1</v>
      </c>
      <c r="BL3027" t="s">
        <v>69</v>
      </c>
      <c r="BM3027">
        <v>-0.496</v>
      </c>
      <c r="BN3027">
        <v>-0.98099999999999998</v>
      </c>
    </row>
    <row r="3028" spans="10:66">
      <c r="J3028">
        <v>0</v>
      </c>
      <c r="K3028">
        <v>2</v>
      </c>
      <c r="L3028">
        <v>0</v>
      </c>
      <c r="M3028" t="s">
        <v>25021</v>
      </c>
      <c r="N3028">
        <v>1076</v>
      </c>
      <c r="O3028" t="s">
        <v>6760</v>
      </c>
      <c r="P3028" t="s">
        <v>62</v>
      </c>
      <c r="Q3028">
        <v>1116586</v>
      </c>
      <c r="R3028">
        <v>1116816</v>
      </c>
      <c r="S3028" t="s">
        <v>116</v>
      </c>
      <c r="T3028">
        <v>77</v>
      </c>
      <c r="U3028" t="s">
        <v>59</v>
      </c>
      <c r="V3028">
        <v>49</v>
      </c>
      <c r="W3028" t="str">
        <f>HYPERLINK("Gene1076-zp_tree_all.dnd", "Gene1076-tree")</f>
        <v>Gene1076-tree</v>
      </c>
      <c r="X3028">
        <v>5</v>
      </c>
      <c r="Y3028">
        <v>3</v>
      </c>
      <c r="Z3028">
        <v>5</v>
      </c>
      <c r="AA3028">
        <v>3</v>
      </c>
      <c r="AB3028">
        <v>0.375</v>
      </c>
      <c r="AC3028" t="s">
        <v>199</v>
      </c>
      <c r="AD3028" t="s">
        <v>324</v>
      </c>
      <c r="AE3028" t="s">
        <v>62</v>
      </c>
      <c r="AF3028" t="s">
        <v>62</v>
      </c>
      <c r="AG3028">
        <v>1</v>
      </c>
      <c r="AH3028">
        <v>2</v>
      </c>
      <c r="AI3028">
        <v>4</v>
      </c>
      <c r="AJ3028">
        <v>0.33333000000000002</v>
      </c>
      <c r="AK3028">
        <v>0</v>
      </c>
      <c r="AL3028">
        <v>0</v>
      </c>
      <c r="AM3028">
        <v>0</v>
      </c>
      <c r="AN3028">
        <v>2</v>
      </c>
      <c r="AO3028">
        <v>0</v>
      </c>
      <c r="AP3028">
        <v>2</v>
      </c>
      <c r="AQ3028">
        <v>0</v>
      </c>
      <c r="AR3028">
        <v>2</v>
      </c>
      <c r="AS3028">
        <v>2</v>
      </c>
      <c r="AT3028">
        <v>0.5</v>
      </c>
      <c r="AU3028">
        <v>4</v>
      </c>
      <c r="AV3028">
        <v>3</v>
      </c>
      <c r="AW3028">
        <v>3</v>
      </c>
      <c r="AX3028">
        <v>3</v>
      </c>
      <c r="AY3028">
        <v>4</v>
      </c>
      <c r="AZ3028">
        <v>3</v>
      </c>
      <c r="BA3028" t="s">
        <v>6761</v>
      </c>
      <c r="BB3028" t="s">
        <v>6762</v>
      </c>
      <c r="BC3028">
        <v>0.3</v>
      </c>
      <c r="BD3028" t="s">
        <v>65</v>
      </c>
      <c r="BE3028">
        <v>7</v>
      </c>
      <c r="BF3028">
        <v>6</v>
      </c>
      <c r="BG3028" t="s">
        <v>6763</v>
      </c>
      <c r="BH3028" t="s">
        <v>6764</v>
      </c>
      <c r="BI3028" t="s">
        <v>6765</v>
      </c>
      <c r="BJ3028">
        <v>0.19755</v>
      </c>
      <c r="BK3028">
        <v>0.96</v>
      </c>
      <c r="BL3028" t="s">
        <v>69</v>
      </c>
      <c r="BM3028">
        <v>-1.117</v>
      </c>
      <c r="BN3028">
        <v>-0.67400000000000004</v>
      </c>
    </row>
    <row r="3029" spans="10:66">
      <c r="J3029">
        <v>0</v>
      </c>
      <c r="K3029">
        <v>0</v>
      </c>
      <c r="L3029">
        <v>4</v>
      </c>
      <c r="M3029" t="s">
        <v>25021</v>
      </c>
      <c r="N3029">
        <v>1078</v>
      </c>
      <c r="O3029" t="s">
        <v>6773</v>
      </c>
      <c r="P3029" t="s">
        <v>62</v>
      </c>
      <c r="Q3029">
        <v>1117737</v>
      </c>
      <c r="R3029">
        <v>1118633</v>
      </c>
      <c r="S3029" t="s">
        <v>1940</v>
      </c>
      <c r="T3029">
        <v>299</v>
      </c>
      <c r="U3029" t="s">
        <v>108</v>
      </c>
      <c r="V3029">
        <v>44</v>
      </c>
      <c r="W3029" t="str">
        <f>HYPERLINK("Gene1078-zp_tree_all.dnd", "Gene1078-tree")</f>
        <v>Gene1078-tree</v>
      </c>
      <c r="X3029">
        <v>28</v>
      </c>
      <c r="Y3029">
        <v>6</v>
      </c>
      <c r="Z3029">
        <v>8</v>
      </c>
      <c r="AA3029">
        <v>6</v>
      </c>
      <c r="AB3029">
        <v>0.42857000000000001</v>
      </c>
      <c r="AC3029" t="s">
        <v>3778</v>
      </c>
      <c r="AD3029" t="s">
        <v>90</v>
      </c>
      <c r="AE3029" t="s">
        <v>62</v>
      </c>
      <c r="AF3029" t="s">
        <v>62</v>
      </c>
      <c r="AG3029">
        <v>2</v>
      </c>
      <c r="AH3029">
        <v>4</v>
      </c>
      <c r="AI3029">
        <v>12</v>
      </c>
      <c r="AJ3029">
        <v>0.25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2</v>
      </c>
      <c r="AR3029">
        <v>2</v>
      </c>
      <c r="AS3029">
        <v>9</v>
      </c>
      <c r="AT3029">
        <v>0.18182000000000001</v>
      </c>
      <c r="AU3029">
        <v>12</v>
      </c>
      <c r="AV3029">
        <v>7</v>
      </c>
      <c r="AW3029">
        <v>42</v>
      </c>
      <c r="AX3029">
        <v>10</v>
      </c>
      <c r="AY3029">
        <v>18</v>
      </c>
      <c r="AZ3029">
        <v>6</v>
      </c>
      <c r="BA3029" t="s">
        <v>6774</v>
      </c>
      <c r="BB3029" t="s">
        <v>6775</v>
      </c>
      <c r="BC3029">
        <v>0.32800000000000001</v>
      </c>
      <c r="BD3029" t="s">
        <v>65</v>
      </c>
      <c r="BE3029">
        <v>60</v>
      </c>
      <c r="BF3029">
        <v>16</v>
      </c>
      <c r="BG3029" t="s">
        <v>6776</v>
      </c>
      <c r="BH3029" t="s">
        <v>6777</v>
      </c>
      <c r="BI3029" t="s">
        <v>6778</v>
      </c>
      <c r="BJ3029">
        <v>0.108</v>
      </c>
      <c r="BK3029">
        <v>1</v>
      </c>
      <c r="BL3029" t="s">
        <v>69</v>
      </c>
      <c r="BM3029">
        <v>-0.98899999999999999</v>
      </c>
      <c r="BN3029">
        <v>-2.5779999999999998</v>
      </c>
    </row>
    <row r="3030" spans="10:66">
      <c r="J3030">
        <v>0</v>
      </c>
      <c r="K3030">
        <v>12</v>
      </c>
      <c r="L3030">
        <v>2</v>
      </c>
      <c r="M3030" t="s">
        <v>25021</v>
      </c>
      <c r="N3030">
        <v>1080</v>
      </c>
      <c r="O3030" t="s">
        <v>6785</v>
      </c>
      <c r="P3030" t="s">
        <v>62</v>
      </c>
      <c r="Q3030">
        <v>1119165</v>
      </c>
      <c r="R3030">
        <v>1120631</v>
      </c>
      <c r="S3030" t="s">
        <v>6786</v>
      </c>
      <c r="T3030">
        <v>489</v>
      </c>
      <c r="U3030" t="s">
        <v>108</v>
      </c>
      <c r="V3030">
        <v>44</v>
      </c>
      <c r="W3030" t="str">
        <f>HYPERLINK("Gene1080-zp_tree_all.dnd", "Gene1080-tree")</f>
        <v>Gene1080-tree</v>
      </c>
      <c r="X3030">
        <v>4</v>
      </c>
      <c r="Y3030">
        <v>29</v>
      </c>
      <c r="Z3030">
        <v>4</v>
      </c>
      <c r="AA3030">
        <v>9</v>
      </c>
      <c r="AB3030">
        <v>0.69230999999999998</v>
      </c>
      <c r="AC3030" t="s">
        <v>61</v>
      </c>
      <c r="AD3030" t="s">
        <v>234</v>
      </c>
      <c r="AE3030">
        <v>2.48</v>
      </c>
      <c r="AF3030" t="s">
        <v>65</v>
      </c>
      <c r="AG3030">
        <v>6</v>
      </c>
      <c r="AH3030">
        <v>14</v>
      </c>
      <c r="AI3030">
        <v>9</v>
      </c>
      <c r="AJ3030">
        <v>0.60870000000000002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8</v>
      </c>
      <c r="AQ3030">
        <v>2</v>
      </c>
      <c r="AR3030">
        <v>10</v>
      </c>
      <c r="AS3030">
        <v>6</v>
      </c>
      <c r="AT3030">
        <v>0.625</v>
      </c>
      <c r="AU3030">
        <v>11</v>
      </c>
      <c r="AV3030">
        <v>10</v>
      </c>
      <c r="AW3030">
        <v>76</v>
      </c>
      <c r="AX3030">
        <v>16</v>
      </c>
      <c r="AY3030">
        <v>46</v>
      </c>
      <c r="AZ3030">
        <v>7</v>
      </c>
      <c r="BA3030" t="s">
        <v>6787</v>
      </c>
      <c r="BB3030" t="s">
        <v>6788</v>
      </c>
      <c r="BC3030">
        <v>0.38700000000000001</v>
      </c>
      <c r="BD3030" t="s">
        <v>65</v>
      </c>
      <c r="BE3030">
        <v>122</v>
      </c>
      <c r="BF3030">
        <v>23</v>
      </c>
      <c r="BG3030" t="s">
        <v>6789</v>
      </c>
      <c r="BH3030" t="s">
        <v>6790</v>
      </c>
      <c r="BI3030" t="s">
        <v>6791</v>
      </c>
      <c r="BJ3030">
        <v>6.7159999999999997E-2</v>
      </c>
      <c r="BK3030">
        <v>1</v>
      </c>
      <c r="BL3030" t="s">
        <v>69</v>
      </c>
      <c r="BM3030">
        <v>-0.20499999999999999</v>
      </c>
      <c r="BN3030">
        <v>-0.88300000000000001</v>
      </c>
    </row>
    <row r="3031" spans="10:66">
      <c r="J3031">
        <v>0</v>
      </c>
      <c r="K3031">
        <v>0</v>
      </c>
      <c r="L3031">
        <v>0</v>
      </c>
      <c r="M3031" t="s">
        <v>25021</v>
      </c>
      <c r="N3031">
        <v>1081</v>
      </c>
      <c r="O3031" t="s">
        <v>6792</v>
      </c>
      <c r="P3031" t="s">
        <v>62</v>
      </c>
      <c r="Q3031">
        <v>1120631</v>
      </c>
      <c r="R3031">
        <v>1120828</v>
      </c>
      <c r="S3031" t="s">
        <v>2332</v>
      </c>
      <c r="T3031">
        <v>66</v>
      </c>
      <c r="U3031" t="s">
        <v>698</v>
      </c>
      <c r="V3031">
        <v>47</v>
      </c>
      <c r="W3031" t="str">
        <f>HYPERLINK("Gene1081-zp_tree_all.dnd", "Gene1081-tree")</f>
        <v>Gene1081-tree</v>
      </c>
      <c r="X3031">
        <v>28</v>
      </c>
      <c r="Y3031">
        <v>2</v>
      </c>
      <c r="Z3031">
        <v>8</v>
      </c>
      <c r="AA3031">
        <v>2</v>
      </c>
      <c r="AB3031">
        <v>0.2</v>
      </c>
      <c r="AC3031" t="s">
        <v>3778</v>
      </c>
      <c r="AD3031" t="s">
        <v>81</v>
      </c>
      <c r="AE3031" t="s">
        <v>62</v>
      </c>
      <c r="AF3031" t="s">
        <v>62</v>
      </c>
      <c r="AG3031">
        <v>0</v>
      </c>
      <c r="AH3031">
        <v>0</v>
      </c>
      <c r="AI3031">
        <v>3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2</v>
      </c>
      <c r="AT3031">
        <v>0</v>
      </c>
      <c r="AU3031">
        <v>8</v>
      </c>
      <c r="AV3031">
        <v>2</v>
      </c>
      <c r="AW3031">
        <v>7</v>
      </c>
      <c r="AX3031">
        <v>2</v>
      </c>
      <c r="AY3031">
        <v>7</v>
      </c>
      <c r="AZ3031">
        <v>1</v>
      </c>
      <c r="BA3031" t="s">
        <v>6793</v>
      </c>
      <c r="BB3031" t="s">
        <v>6794</v>
      </c>
      <c r="BC3031">
        <v>0.39900000000000002</v>
      </c>
      <c r="BD3031" t="s">
        <v>65</v>
      </c>
      <c r="BE3031">
        <v>14</v>
      </c>
      <c r="BF3031">
        <v>3</v>
      </c>
      <c r="BG3031" t="s">
        <v>6795</v>
      </c>
      <c r="BH3031" t="s">
        <v>6796</v>
      </c>
      <c r="BI3031" t="s">
        <v>6797</v>
      </c>
      <c r="BJ3031">
        <v>4.9619999999999997E-2</v>
      </c>
      <c r="BK3031">
        <v>1</v>
      </c>
      <c r="BL3031" t="s">
        <v>69</v>
      </c>
      <c r="BM3031">
        <v>-1.1839999999999999</v>
      </c>
      <c r="BN3031">
        <v>-0.99</v>
      </c>
    </row>
    <row r="3032" spans="10:66">
      <c r="J3032">
        <v>0</v>
      </c>
      <c r="K3032">
        <v>0</v>
      </c>
      <c r="L3032">
        <v>0</v>
      </c>
      <c r="M3032" t="s">
        <v>25021</v>
      </c>
      <c r="N3032">
        <v>1082</v>
      </c>
      <c r="O3032" t="s">
        <v>6798</v>
      </c>
      <c r="P3032" t="s">
        <v>62</v>
      </c>
      <c r="Q3032">
        <v>1121039</v>
      </c>
      <c r="R3032">
        <v>1121398</v>
      </c>
      <c r="S3032" t="s">
        <v>288</v>
      </c>
      <c r="T3032">
        <v>120</v>
      </c>
      <c r="U3032" t="s">
        <v>108</v>
      </c>
      <c r="V3032">
        <v>44</v>
      </c>
      <c r="W3032" t="str">
        <f>HYPERLINK("Gene1082-zp_tree_all.dnd", "Gene1082-tree")</f>
        <v>Gene1082-tree</v>
      </c>
      <c r="X3032">
        <v>31</v>
      </c>
      <c r="Y3032">
        <v>2</v>
      </c>
      <c r="Z3032">
        <v>7</v>
      </c>
      <c r="AA3032">
        <v>2</v>
      </c>
      <c r="AB3032">
        <v>0.22222</v>
      </c>
      <c r="AC3032" t="s">
        <v>6799</v>
      </c>
      <c r="AD3032" t="s">
        <v>81</v>
      </c>
      <c r="AE3032" t="s">
        <v>62</v>
      </c>
      <c r="AF3032" t="s">
        <v>62</v>
      </c>
      <c r="AG3032">
        <v>0</v>
      </c>
      <c r="AH3032">
        <v>0</v>
      </c>
      <c r="AI3032">
        <v>3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3</v>
      </c>
      <c r="AT3032">
        <v>0</v>
      </c>
      <c r="AU3032">
        <v>6</v>
      </c>
      <c r="AV3032">
        <v>4</v>
      </c>
      <c r="AW3032">
        <v>9</v>
      </c>
      <c r="AX3032">
        <v>3</v>
      </c>
      <c r="AY3032">
        <v>5</v>
      </c>
      <c r="AZ3032">
        <v>0</v>
      </c>
      <c r="BA3032" t="s">
        <v>6800</v>
      </c>
      <c r="BB3032" t="s">
        <v>193</v>
      </c>
      <c r="BC3032">
        <v>0.89100000000000001</v>
      </c>
      <c r="BD3032" t="s">
        <v>65</v>
      </c>
      <c r="BE3032">
        <v>14</v>
      </c>
      <c r="BF3032">
        <v>3</v>
      </c>
      <c r="BG3032" t="s">
        <v>6801</v>
      </c>
      <c r="BH3032" t="s">
        <v>6802</v>
      </c>
      <c r="BI3032" t="s">
        <v>6803</v>
      </c>
      <c r="BJ3032">
        <v>4.7390000000000002E-2</v>
      </c>
      <c r="BK3032">
        <v>1</v>
      </c>
      <c r="BL3032" t="s">
        <v>69</v>
      </c>
      <c r="BM3032">
        <v>-0.65400000000000003</v>
      </c>
      <c r="BN3032">
        <v>-1.264</v>
      </c>
    </row>
    <row r="3033" spans="10:66">
      <c r="J3033">
        <v>0</v>
      </c>
      <c r="K3033">
        <v>9</v>
      </c>
      <c r="L3033">
        <v>0</v>
      </c>
      <c r="M3033" t="s">
        <v>25021</v>
      </c>
      <c r="N3033">
        <v>1087</v>
      </c>
      <c r="O3033" t="s">
        <v>6829</v>
      </c>
      <c r="P3033" t="s">
        <v>62</v>
      </c>
      <c r="Q3033">
        <v>1125126</v>
      </c>
      <c r="R3033">
        <v>1126328</v>
      </c>
      <c r="S3033" t="s">
        <v>6830</v>
      </c>
      <c r="T3033">
        <v>401</v>
      </c>
      <c r="U3033" t="s">
        <v>108</v>
      </c>
      <c r="V3033">
        <v>44</v>
      </c>
      <c r="W3033" t="str">
        <f>HYPERLINK("Gene1087-zp_tree_all.dnd", "Gene1087-tree")</f>
        <v>Gene1087-tree</v>
      </c>
      <c r="X3033">
        <v>7</v>
      </c>
      <c r="Y3033">
        <v>7</v>
      </c>
      <c r="Z3033">
        <v>7</v>
      </c>
      <c r="AA3033">
        <v>7</v>
      </c>
      <c r="AB3033">
        <v>0.5</v>
      </c>
      <c r="AC3033" t="s">
        <v>152</v>
      </c>
      <c r="AD3033" t="s">
        <v>152</v>
      </c>
      <c r="AE3033" t="s">
        <v>62</v>
      </c>
      <c r="AF3033" t="s">
        <v>62</v>
      </c>
      <c r="AG3033">
        <v>4</v>
      </c>
      <c r="AH3033">
        <v>9</v>
      </c>
      <c r="AI3033">
        <v>9</v>
      </c>
      <c r="AJ3033">
        <v>0.5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2</v>
      </c>
      <c r="AQ3033">
        <v>0</v>
      </c>
      <c r="AR3033">
        <v>2</v>
      </c>
      <c r="AS3033">
        <v>10</v>
      </c>
      <c r="AT3033">
        <v>0.16667000000000001</v>
      </c>
      <c r="AU3033">
        <v>13</v>
      </c>
      <c r="AV3033">
        <v>11</v>
      </c>
      <c r="AW3033">
        <v>36</v>
      </c>
      <c r="AX3033">
        <v>11</v>
      </c>
      <c r="AY3033">
        <v>35</v>
      </c>
      <c r="AZ3033">
        <v>7</v>
      </c>
      <c r="BA3033" t="s">
        <v>6831</v>
      </c>
      <c r="BB3033" t="s">
        <v>6832</v>
      </c>
      <c r="BC3033">
        <v>0.52700000000000002</v>
      </c>
      <c r="BD3033" t="s">
        <v>65</v>
      </c>
      <c r="BE3033">
        <v>71</v>
      </c>
      <c r="BF3033">
        <v>18</v>
      </c>
      <c r="BG3033" t="s">
        <v>6833</v>
      </c>
      <c r="BH3033" t="s">
        <v>6834</v>
      </c>
      <c r="BI3033" t="s">
        <v>6835</v>
      </c>
      <c r="BJ3033">
        <v>8.1519999999999995E-2</v>
      </c>
      <c r="BK3033">
        <v>1</v>
      </c>
      <c r="BL3033" t="s">
        <v>69</v>
      </c>
      <c r="BM3033">
        <v>0.51200000000000001</v>
      </c>
      <c r="BN3033">
        <v>-0.16300000000000001</v>
      </c>
    </row>
    <row r="3034" spans="10:66">
      <c r="J3034">
        <v>0</v>
      </c>
      <c r="K3034">
        <v>7</v>
      </c>
      <c r="L3034">
        <v>4</v>
      </c>
      <c r="M3034" t="s">
        <v>25021</v>
      </c>
      <c r="N3034">
        <v>1088</v>
      </c>
      <c r="O3034" t="s">
        <v>6836</v>
      </c>
      <c r="P3034" t="s">
        <v>62</v>
      </c>
      <c r="Q3034">
        <v>1126403</v>
      </c>
      <c r="R3034">
        <v>1127452</v>
      </c>
      <c r="S3034" t="s">
        <v>6837</v>
      </c>
      <c r="T3034">
        <v>350</v>
      </c>
      <c r="U3034" t="s">
        <v>6838</v>
      </c>
      <c r="V3034">
        <v>46</v>
      </c>
      <c r="W3034" t="str">
        <f>HYPERLINK("Gene1088-zp_tree_all.dnd", "Gene1088-tree")</f>
        <v>Gene1088-tree</v>
      </c>
      <c r="X3034">
        <v>10</v>
      </c>
      <c r="Y3034">
        <v>8</v>
      </c>
      <c r="Z3034">
        <v>10</v>
      </c>
      <c r="AA3034">
        <v>8</v>
      </c>
      <c r="AB3034">
        <v>0.44444</v>
      </c>
      <c r="AC3034" t="s">
        <v>117</v>
      </c>
      <c r="AD3034" t="s">
        <v>136</v>
      </c>
      <c r="AE3034" t="s">
        <v>62</v>
      </c>
      <c r="AF3034" t="s">
        <v>62</v>
      </c>
      <c r="AG3034">
        <v>4</v>
      </c>
      <c r="AH3034">
        <v>11</v>
      </c>
      <c r="AI3034">
        <v>22</v>
      </c>
      <c r="AJ3034">
        <v>0.33333000000000002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4</v>
      </c>
      <c r="AQ3034">
        <v>0</v>
      </c>
      <c r="AR3034">
        <v>4</v>
      </c>
      <c r="AS3034">
        <v>14</v>
      </c>
      <c r="AT3034">
        <v>0.22222</v>
      </c>
      <c r="AU3034">
        <v>15</v>
      </c>
      <c r="AV3034">
        <v>15</v>
      </c>
      <c r="AW3034">
        <v>51</v>
      </c>
      <c r="AX3034">
        <v>17</v>
      </c>
      <c r="AY3034">
        <v>52</v>
      </c>
      <c r="AZ3034">
        <v>16</v>
      </c>
      <c r="BA3034" t="s">
        <v>6839</v>
      </c>
      <c r="BB3034" t="s">
        <v>6840</v>
      </c>
      <c r="BC3034">
        <v>5.2999999999999999E-2</v>
      </c>
      <c r="BD3034" t="s">
        <v>65</v>
      </c>
      <c r="BE3034">
        <v>103</v>
      </c>
      <c r="BF3034">
        <v>33</v>
      </c>
      <c r="BG3034" t="s">
        <v>6841</v>
      </c>
      <c r="BH3034" t="s">
        <v>6842</v>
      </c>
      <c r="BI3034" t="s">
        <v>6843</v>
      </c>
      <c r="BJ3034">
        <v>8.5510000000000003E-2</v>
      </c>
      <c r="BK3034">
        <v>1</v>
      </c>
      <c r="BL3034" t="s">
        <v>69</v>
      </c>
      <c r="BM3034">
        <v>-1.222</v>
      </c>
      <c r="BN3034">
        <v>-1.121</v>
      </c>
    </row>
    <row r="3035" spans="10:66">
      <c r="J3035">
        <v>0</v>
      </c>
      <c r="K3035">
        <v>15</v>
      </c>
      <c r="L3035">
        <v>0</v>
      </c>
      <c r="M3035" t="s">
        <v>25021</v>
      </c>
      <c r="N3035">
        <v>1089</v>
      </c>
      <c r="O3035" t="s">
        <v>6844</v>
      </c>
      <c r="P3035" t="s">
        <v>62</v>
      </c>
      <c r="Q3035">
        <v>1127469</v>
      </c>
      <c r="R3035">
        <v>1128314</v>
      </c>
      <c r="S3035" t="s">
        <v>6845</v>
      </c>
      <c r="T3035">
        <v>282</v>
      </c>
      <c r="U3035" t="s">
        <v>108</v>
      </c>
      <c r="V3035">
        <v>44</v>
      </c>
      <c r="W3035" t="str">
        <f>HYPERLINK("Gene1089-zp_tree_all.dnd", "Gene1089-tree")</f>
        <v>Gene1089-tree</v>
      </c>
      <c r="X3035">
        <v>3</v>
      </c>
      <c r="Y3035">
        <v>11</v>
      </c>
      <c r="Z3035">
        <v>3</v>
      </c>
      <c r="AA3035">
        <v>11</v>
      </c>
      <c r="AB3035">
        <v>0.78571000000000002</v>
      </c>
      <c r="AC3035" t="s">
        <v>324</v>
      </c>
      <c r="AD3035" t="s">
        <v>73</v>
      </c>
      <c r="AE3035">
        <v>305230034.74400002</v>
      </c>
      <c r="AF3035" t="s">
        <v>267</v>
      </c>
      <c r="AG3035">
        <v>4</v>
      </c>
      <c r="AH3035">
        <v>15</v>
      </c>
      <c r="AI3035">
        <v>6</v>
      </c>
      <c r="AJ3035">
        <v>0.71428999999999998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11</v>
      </c>
      <c r="AQ3035">
        <v>0</v>
      </c>
      <c r="AR3035">
        <v>11</v>
      </c>
      <c r="AS3035">
        <v>4</v>
      </c>
      <c r="AT3035">
        <v>0.73333000000000004</v>
      </c>
      <c r="AU3035">
        <v>13</v>
      </c>
      <c r="AV3035">
        <v>10</v>
      </c>
      <c r="AW3035">
        <v>33</v>
      </c>
      <c r="AX3035">
        <v>14</v>
      </c>
      <c r="AY3035">
        <v>19</v>
      </c>
      <c r="AZ3035">
        <v>7</v>
      </c>
      <c r="BA3035" t="s">
        <v>6846</v>
      </c>
      <c r="BB3035" t="s">
        <v>6847</v>
      </c>
      <c r="BC3035">
        <v>0.32200000000000001</v>
      </c>
      <c r="BD3035" t="s">
        <v>65</v>
      </c>
      <c r="BE3035">
        <v>52</v>
      </c>
      <c r="BF3035">
        <v>21</v>
      </c>
      <c r="BG3035" t="s">
        <v>6848</v>
      </c>
      <c r="BH3035" t="s">
        <v>6849</v>
      </c>
      <c r="BI3035" t="s">
        <v>6850</v>
      </c>
      <c r="BJ3035">
        <v>8.3739999999999995E-2</v>
      </c>
      <c r="BK3035">
        <v>1</v>
      </c>
      <c r="BL3035" t="s">
        <v>69</v>
      </c>
      <c r="BM3035">
        <v>-8.5999999999999993E-2</v>
      </c>
      <c r="BN3035">
        <v>-0.40699999999999997</v>
      </c>
    </row>
    <row r="3036" spans="10:66">
      <c r="J3036">
        <v>0</v>
      </c>
      <c r="K3036">
        <v>12</v>
      </c>
      <c r="L3036">
        <v>4</v>
      </c>
      <c r="M3036" t="s">
        <v>25021</v>
      </c>
      <c r="N3036">
        <v>1090</v>
      </c>
      <c r="O3036" t="s">
        <v>6851</v>
      </c>
      <c r="P3036" t="s">
        <v>62</v>
      </c>
      <c r="Q3036">
        <v>1128289</v>
      </c>
      <c r="R3036">
        <v>1129611</v>
      </c>
      <c r="S3036" t="s">
        <v>6852</v>
      </c>
      <c r="T3036">
        <v>441</v>
      </c>
      <c r="U3036" t="s">
        <v>465</v>
      </c>
      <c r="V3036">
        <v>46</v>
      </c>
      <c r="W3036" t="str">
        <f>HYPERLINK("Gene1090-zp_tree_all.dnd", "Gene1090-tree")</f>
        <v>Gene1090-tree</v>
      </c>
      <c r="X3036">
        <v>3</v>
      </c>
      <c r="Y3036">
        <v>13</v>
      </c>
      <c r="Z3036">
        <v>3</v>
      </c>
      <c r="AA3036">
        <v>13</v>
      </c>
      <c r="AB3036">
        <v>0.8125</v>
      </c>
      <c r="AC3036" t="s">
        <v>324</v>
      </c>
      <c r="AD3036" t="s">
        <v>507</v>
      </c>
      <c r="AE3036" t="s">
        <v>62</v>
      </c>
      <c r="AF3036" t="s">
        <v>62</v>
      </c>
      <c r="AG3036">
        <v>5</v>
      </c>
      <c r="AH3036">
        <v>16</v>
      </c>
      <c r="AI3036">
        <v>33</v>
      </c>
      <c r="AJ3036">
        <v>0.32652999999999999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5</v>
      </c>
      <c r="AQ3036">
        <v>2</v>
      </c>
      <c r="AR3036">
        <v>7</v>
      </c>
      <c r="AS3036">
        <v>12</v>
      </c>
      <c r="AT3036">
        <v>0.36842000000000003</v>
      </c>
      <c r="AU3036">
        <v>14</v>
      </c>
      <c r="AV3036">
        <v>12</v>
      </c>
      <c r="AW3036">
        <v>21</v>
      </c>
      <c r="AX3036">
        <v>17</v>
      </c>
      <c r="AY3036">
        <v>55</v>
      </c>
      <c r="AZ3036">
        <v>33</v>
      </c>
      <c r="BA3036" t="s">
        <v>6853</v>
      </c>
      <c r="BB3036" t="s">
        <v>6854</v>
      </c>
      <c r="BC3036">
        <v>0.16400000000000001</v>
      </c>
      <c r="BD3036" t="s">
        <v>65</v>
      </c>
      <c r="BE3036">
        <v>76</v>
      </c>
      <c r="BF3036">
        <v>50</v>
      </c>
      <c r="BG3036" t="s">
        <v>6855</v>
      </c>
      <c r="BH3036" t="s">
        <v>6856</v>
      </c>
      <c r="BI3036" t="s">
        <v>6857</v>
      </c>
      <c r="BJ3036">
        <v>0.1706</v>
      </c>
      <c r="BK3036">
        <v>1</v>
      </c>
      <c r="BL3036" t="s">
        <v>69</v>
      </c>
      <c r="BM3036">
        <v>-1.2430000000000001</v>
      </c>
      <c r="BN3036">
        <v>0.65</v>
      </c>
    </row>
    <row r="3037" spans="10:66">
      <c r="J3037">
        <v>0</v>
      </c>
      <c r="K3037">
        <v>3</v>
      </c>
      <c r="L3037">
        <v>2</v>
      </c>
      <c r="M3037" t="s">
        <v>25021</v>
      </c>
      <c r="N3037">
        <v>1092</v>
      </c>
      <c r="O3037" t="s">
        <v>6865</v>
      </c>
      <c r="P3037" t="s">
        <v>62</v>
      </c>
      <c r="Q3037">
        <v>1130921</v>
      </c>
      <c r="R3037">
        <v>1132072</v>
      </c>
      <c r="S3037" t="s">
        <v>6866</v>
      </c>
      <c r="T3037">
        <v>384</v>
      </c>
      <c r="U3037" t="s">
        <v>108</v>
      </c>
      <c r="V3037">
        <v>44</v>
      </c>
      <c r="W3037" t="str">
        <f>HYPERLINK("Gene1092-zp_tree_all.dnd", "Gene1092-tree")</f>
        <v>Gene1092-tree</v>
      </c>
      <c r="X3037">
        <v>9</v>
      </c>
      <c r="Y3037">
        <v>8</v>
      </c>
      <c r="Z3037">
        <v>9</v>
      </c>
      <c r="AA3037">
        <v>8</v>
      </c>
      <c r="AB3037">
        <v>0.47059000000000001</v>
      </c>
      <c r="AC3037" t="s">
        <v>135</v>
      </c>
      <c r="AD3037" t="s">
        <v>136</v>
      </c>
      <c r="AE3037" t="s">
        <v>62</v>
      </c>
      <c r="AF3037" t="s">
        <v>62</v>
      </c>
      <c r="AG3037">
        <v>2</v>
      </c>
      <c r="AH3037">
        <v>5</v>
      </c>
      <c r="AI3037">
        <v>9</v>
      </c>
      <c r="AJ3037">
        <v>0.35714000000000001</v>
      </c>
      <c r="AK3037">
        <v>0</v>
      </c>
      <c r="AL3037">
        <v>0</v>
      </c>
      <c r="AM3037">
        <v>0</v>
      </c>
      <c r="AN3037">
        <v>2</v>
      </c>
      <c r="AO3037">
        <v>0</v>
      </c>
      <c r="AP3037">
        <v>2</v>
      </c>
      <c r="AQ3037">
        <v>0</v>
      </c>
      <c r="AR3037">
        <v>2</v>
      </c>
      <c r="AS3037">
        <v>8</v>
      </c>
      <c r="AT3037">
        <v>0.2</v>
      </c>
      <c r="AU3037">
        <v>13</v>
      </c>
      <c r="AV3037">
        <v>11</v>
      </c>
      <c r="AW3037">
        <v>32</v>
      </c>
      <c r="AX3037">
        <v>10</v>
      </c>
      <c r="AY3037">
        <v>17</v>
      </c>
      <c r="AZ3037">
        <v>4</v>
      </c>
      <c r="BA3037" t="s">
        <v>6867</v>
      </c>
      <c r="BB3037" t="s">
        <v>6868</v>
      </c>
      <c r="BC3037">
        <v>0.23300000000000001</v>
      </c>
      <c r="BD3037" t="s">
        <v>65</v>
      </c>
      <c r="BE3037">
        <v>49</v>
      </c>
      <c r="BF3037">
        <v>14</v>
      </c>
      <c r="BG3037" t="s">
        <v>6869</v>
      </c>
      <c r="BH3037" t="s">
        <v>6870</v>
      </c>
      <c r="BI3037" t="s">
        <v>6871</v>
      </c>
      <c r="BJ3037">
        <v>9.6259999999999998E-2</v>
      </c>
      <c r="BK3037">
        <v>1</v>
      </c>
      <c r="BL3037" t="s">
        <v>69</v>
      </c>
      <c r="BM3037">
        <v>-1.3879999999999999</v>
      </c>
      <c r="BN3037">
        <v>-2.4319999999999999</v>
      </c>
    </row>
    <row r="3038" spans="10:66">
      <c r="J3038">
        <v>0</v>
      </c>
      <c r="K3038">
        <v>15</v>
      </c>
      <c r="L3038">
        <v>0</v>
      </c>
      <c r="M3038" t="s">
        <v>25021</v>
      </c>
      <c r="N3038">
        <v>1093</v>
      </c>
      <c r="O3038" t="s">
        <v>6872</v>
      </c>
      <c r="P3038" t="s">
        <v>62</v>
      </c>
      <c r="Q3038">
        <v>1132182</v>
      </c>
      <c r="R3038">
        <v>1133384</v>
      </c>
      <c r="S3038" t="s">
        <v>6873</v>
      </c>
      <c r="T3038">
        <v>401</v>
      </c>
      <c r="U3038" t="s">
        <v>2513</v>
      </c>
      <c r="V3038">
        <v>43</v>
      </c>
      <c r="W3038" t="str">
        <f>HYPERLINK("Gene1093-zp_tree_all.dnd", "Gene1093-tree")</f>
        <v>Gene1093-tree</v>
      </c>
      <c r="X3038">
        <v>1</v>
      </c>
      <c r="Y3038">
        <v>13</v>
      </c>
      <c r="Z3038">
        <v>1</v>
      </c>
      <c r="AA3038">
        <v>13</v>
      </c>
      <c r="AB3038">
        <v>0.92857000000000001</v>
      </c>
      <c r="AC3038" t="s">
        <v>175</v>
      </c>
      <c r="AD3038" t="s">
        <v>507</v>
      </c>
      <c r="AE3038" t="s">
        <v>62</v>
      </c>
      <c r="AF3038" t="s">
        <v>62</v>
      </c>
      <c r="AG3038">
        <v>7</v>
      </c>
      <c r="AH3038">
        <v>15</v>
      </c>
      <c r="AI3038">
        <v>24</v>
      </c>
      <c r="AJ3038">
        <v>0.38462000000000002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6</v>
      </c>
      <c r="AQ3038">
        <v>0</v>
      </c>
      <c r="AR3038">
        <v>6</v>
      </c>
      <c r="AS3038">
        <v>20</v>
      </c>
      <c r="AT3038">
        <v>0.23077</v>
      </c>
      <c r="AU3038">
        <v>13</v>
      </c>
      <c r="AV3038">
        <v>9</v>
      </c>
      <c r="AW3038">
        <v>44</v>
      </c>
      <c r="AX3038">
        <v>24</v>
      </c>
      <c r="AY3038">
        <v>33</v>
      </c>
      <c r="AZ3038">
        <v>17</v>
      </c>
      <c r="BA3038" t="s">
        <v>6874</v>
      </c>
      <c r="BB3038" t="s">
        <v>6875</v>
      </c>
      <c r="BC3038">
        <v>9.4E-2</v>
      </c>
      <c r="BD3038" t="s">
        <v>65</v>
      </c>
      <c r="BE3038">
        <v>77</v>
      </c>
      <c r="BF3038">
        <v>41</v>
      </c>
      <c r="BG3038" t="s">
        <v>6876</v>
      </c>
      <c r="BH3038" t="s">
        <v>6877</v>
      </c>
      <c r="BI3038" t="s">
        <v>6878</v>
      </c>
      <c r="BJ3038">
        <v>0.21296000000000001</v>
      </c>
      <c r="BK3038">
        <v>1</v>
      </c>
      <c r="BL3038" t="s">
        <v>69</v>
      </c>
      <c r="BM3038">
        <v>-0.127</v>
      </c>
      <c r="BN3038">
        <v>-0.193</v>
      </c>
    </row>
    <row r="3039" spans="10:66">
      <c r="J3039">
        <v>0</v>
      </c>
      <c r="K3039">
        <v>7</v>
      </c>
      <c r="L3039">
        <v>0</v>
      </c>
      <c r="M3039" t="s">
        <v>25021</v>
      </c>
      <c r="N3039">
        <v>1095</v>
      </c>
      <c r="O3039" t="s">
        <v>6887</v>
      </c>
      <c r="P3039" t="s">
        <v>62</v>
      </c>
      <c r="Q3039">
        <v>1135258</v>
      </c>
      <c r="R3039">
        <v>1135581</v>
      </c>
      <c r="S3039" t="s">
        <v>6888</v>
      </c>
      <c r="T3039">
        <v>108</v>
      </c>
      <c r="U3039" t="s">
        <v>108</v>
      </c>
      <c r="V3039">
        <v>44</v>
      </c>
      <c r="W3039" t="str">
        <f>HYPERLINK("Gene1095-zp_tree_all.dnd", "Gene1095-tree")</f>
        <v>Gene1095-tree</v>
      </c>
      <c r="X3039">
        <v>26</v>
      </c>
      <c r="Y3039">
        <v>8</v>
      </c>
      <c r="Z3039">
        <v>7</v>
      </c>
      <c r="AA3039">
        <v>8</v>
      </c>
      <c r="AB3039">
        <v>0.53332999999999997</v>
      </c>
      <c r="AC3039" t="s">
        <v>191</v>
      </c>
      <c r="AD3039" t="s">
        <v>136</v>
      </c>
      <c r="AE3039" t="s">
        <v>62</v>
      </c>
      <c r="AF3039" t="s">
        <v>62</v>
      </c>
      <c r="AG3039">
        <v>3</v>
      </c>
      <c r="AH3039">
        <v>7</v>
      </c>
      <c r="AI3039">
        <v>5</v>
      </c>
      <c r="AJ3039">
        <v>0.58333000000000002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6</v>
      </c>
      <c r="AQ3039">
        <v>0</v>
      </c>
      <c r="AR3039">
        <v>6</v>
      </c>
      <c r="AS3039">
        <v>5</v>
      </c>
      <c r="AT3039">
        <v>0.54544999999999999</v>
      </c>
      <c r="AU3039">
        <v>9</v>
      </c>
      <c r="AV3039">
        <v>6</v>
      </c>
      <c r="AW3039">
        <v>6</v>
      </c>
      <c r="AX3039">
        <v>9</v>
      </c>
      <c r="AY3039">
        <v>3</v>
      </c>
      <c r="AZ3039">
        <v>3</v>
      </c>
      <c r="BA3039" t="s">
        <v>6889</v>
      </c>
      <c r="BB3039" t="s">
        <v>6890</v>
      </c>
      <c r="BC3039">
        <v>0.39700000000000002</v>
      </c>
      <c r="BD3039" t="s">
        <v>65</v>
      </c>
      <c r="BE3039">
        <v>9</v>
      </c>
      <c r="BF3039">
        <v>12</v>
      </c>
      <c r="BG3039" t="s">
        <v>6891</v>
      </c>
      <c r="BH3039" t="s">
        <v>6892</v>
      </c>
      <c r="BI3039" t="s">
        <v>6893</v>
      </c>
      <c r="BJ3039">
        <v>0.18992000000000001</v>
      </c>
      <c r="BK3039">
        <v>0.98</v>
      </c>
      <c r="BL3039" t="s">
        <v>69</v>
      </c>
      <c r="BM3039">
        <v>-0.85699999999999998</v>
      </c>
      <c r="BN3039">
        <v>-1.79</v>
      </c>
    </row>
    <row r="3040" spans="10:66">
      <c r="J3040">
        <v>0</v>
      </c>
      <c r="K3040">
        <v>0</v>
      </c>
      <c r="L3040">
        <v>0</v>
      </c>
      <c r="M3040" t="s">
        <v>25021</v>
      </c>
      <c r="N3040">
        <v>1096</v>
      </c>
      <c r="O3040" t="s">
        <v>6894</v>
      </c>
      <c r="P3040" t="s">
        <v>62</v>
      </c>
      <c r="Q3040">
        <v>1135702</v>
      </c>
      <c r="R3040">
        <v>1136136</v>
      </c>
      <c r="S3040" t="s">
        <v>6895</v>
      </c>
      <c r="T3040">
        <v>145</v>
      </c>
      <c r="U3040" t="s">
        <v>108</v>
      </c>
      <c r="V3040">
        <v>44</v>
      </c>
      <c r="W3040" t="str">
        <f>HYPERLINK("Gene1096-zp_tree_all.dnd", "Gene1096-tree")</f>
        <v>Gene1096-tree</v>
      </c>
      <c r="X3040">
        <v>11</v>
      </c>
      <c r="Y3040">
        <v>5</v>
      </c>
      <c r="Z3040">
        <v>11</v>
      </c>
      <c r="AA3040">
        <v>5</v>
      </c>
      <c r="AB3040">
        <v>0.3125</v>
      </c>
      <c r="AC3040" t="s">
        <v>73</v>
      </c>
      <c r="AD3040" t="s">
        <v>199</v>
      </c>
      <c r="AE3040" t="s">
        <v>62</v>
      </c>
      <c r="AF3040" t="s">
        <v>62</v>
      </c>
      <c r="AG3040">
        <v>0</v>
      </c>
      <c r="AH3040">
        <v>0</v>
      </c>
      <c r="AI3040">
        <v>8</v>
      </c>
      <c r="AJ3040">
        <v>0</v>
      </c>
      <c r="AK3040">
        <v>0</v>
      </c>
      <c r="AL3040">
        <v>0</v>
      </c>
      <c r="AM3040">
        <v>0</v>
      </c>
      <c r="AN3040">
        <v>2</v>
      </c>
      <c r="AO3040">
        <v>0</v>
      </c>
      <c r="AP3040">
        <v>0</v>
      </c>
      <c r="AQ3040">
        <v>0</v>
      </c>
      <c r="AR3040">
        <v>0</v>
      </c>
      <c r="AS3040">
        <v>6</v>
      </c>
      <c r="AT3040">
        <v>0</v>
      </c>
      <c r="AU3040">
        <v>11</v>
      </c>
      <c r="AV3040">
        <v>8</v>
      </c>
      <c r="AW3040">
        <v>17</v>
      </c>
      <c r="AX3040">
        <v>6</v>
      </c>
      <c r="AY3040">
        <v>10</v>
      </c>
      <c r="AZ3040">
        <v>2</v>
      </c>
      <c r="BA3040" t="s">
        <v>6896</v>
      </c>
      <c r="BB3040" t="s">
        <v>6897</v>
      </c>
      <c r="BC3040">
        <v>0.26100000000000001</v>
      </c>
      <c r="BD3040" t="s">
        <v>65</v>
      </c>
      <c r="BE3040">
        <v>27</v>
      </c>
      <c r="BF3040">
        <v>8</v>
      </c>
      <c r="BG3040" t="s">
        <v>6898</v>
      </c>
      <c r="BH3040" t="s">
        <v>6899</v>
      </c>
      <c r="BI3040" t="s">
        <v>6900</v>
      </c>
      <c r="BJ3040">
        <v>7.1370000000000003E-2</v>
      </c>
      <c r="BK3040">
        <v>1</v>
      </c>
      <c r="BL3040" t="s">
        <v>69</v>
      </c>
      <c r="BM3040">
        <v>-1.2090000000000001</v>
      </c>
      <c r="BN3040">
        <v>-1.89</v>
      </c>
    </row>
    <row r="3041" spans="10:66">
      <c r="J3041">
        <v>0</v>
      </c>
      <c r="K3041">
        <v>0</v>
      </c>
      <c r="L3041">
        <v>0</v>
      </c>
      <c r="M3041" t="s">
        <v>25021</v>
      </c>
      <c r="N3041">
        <v>1102</v>
      </c>
      <c r="O3041" t="s">
        <v>6936</v>
      </c>
      <c r="P3041" t="s">
        <v>62</v>
      </c>
      <c r="Q3041">
        <v>1148497</v>
      </c>
      <c r="R3041">
        <v>1148712</v>
      </c>
      <c r="S3041" t="s">
        <v>6937</v>
      </c>
      <c r="T3041">
        <v>72</v>
      </c>
      <c r="U3041" t="s">
        <v>59</v>
      </c>
      <c r="V3041">
        <v>49</v>
      </c>
      <c r="W3041" t="str">
        <f>HYPERLINK("Gene1102-zp_tree_all.dnd", "Gene1102-tree")</f>
        <v>Gene1102-tree</v>
      </c>
      <c r="X3041">
        <v>6</v>
      </c>
      <c r="Y3041">
        <v>1</v>
      </c>
      <c r="Z3041">
        <v>6</v>
      </c>
      <c r="AA3041">
        <v>1</v>
      </c>
      <c r="AB3041">
        <v>0.14285999999999999</v>
      </c>
      <c r="AC3041" t="s">
        <v>90</v>
      </c>
      <c r="AD3041" t="s">
        <v>175</v>
      </c>
      <c r="AE3041" t="s">
        <v>62</v>
      </c>
      <c r="AF3041" t="s">
        <v>62</v>
      </c>
      <c r="AG3041">
        <v>0</v>
      </c>
      <c r="AH3041">
        <v>0</v>
      </c>
      <c r="AI3041">
        <v>3</v>
      </c>
      <c r="AJ3041">
        <v>0</v>
      </c>
      <c r="AK3041">
        <v>0</v>
      </c>
      <c r="AL3041">
        <v>0</v>
      </c>
      <c r="AM3041">
        <v>0</v>
      </c>
      <c r="AN3041">
        <v>2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4</v>
      </c>
      <c r="AV3041">
        <v>3</v>
      </c>
      <c r="AW3041">
        <v>5</v>
      </c>
      <c r="AX3041">
        <v>1</v>
      </c>
      <c r="AY3041">
        <v>5</v>
      </c>
      <c r="AZ3041">
        <v>2</v>
      </c>
      <c r="BA3041" t="s">
        <v>6938</v>
      </c>
      <c r="BB3041" t="s">
        <v>6939</v>
      </c>
      <c r="BC3041">
        <v>0.58199999999999996</v>
      </c>
      <c r="BD3041" t="s">
        <v>65</v>
      </c>
      <c r="BE3041">
        <v>10</v>
      </c>
      <c r="BF3041">
        <v>3</v>
      </c>
      <c r="BG3041" t="s">
        <v>6940</v>
      </c>
      <c r="BH3041" t="s">
        <v>6941</v>
      </c>
      <c r="BI3041" t="s">
        <v>6942</v>
      </c>
      <c r="BJ3041">
        <v>0.13200999999999999</v>
      </c>
      <c r="BK3041">
        <v>0.98</v>
      </c>
      <c r="BL3041" t="s">
        <v>69</v>
      </c>
      <c r="BM3041">
        <v>-1.2689999999999999</v>
      </c>
      <c r="BN3041">
        <v>-1.6559999999999999</v>
      </c>
    </row>
    <row r="3042" spans="10:66">
      <c r="J3042">
        <v>0</v>
      </c>
      <c r="K3042">
        <v>2</v>
      </c>
      <c r="L3042">
        <v>0</v>
      </c>
      <c r="M3042" t="s">
        <v>25021</v>
      </c>
      <c r="N3042">
        <v>1103</v>
      </c>
      <c r="O3042" t="s">
        <v>6943</v>
      </c>
      <c r="P3042" t="s">
        <v>62</v>
      </c>
      <c r="Q3042">
        <v>1148747</v>
      </c>
      <c r="R3042">
        <v>1149145</v>
      </c>
      <c r="S3042" t="s">
        <v>6937</v>
      </c>
      <c r="T3042">
        <v>133</v>
      </c>
      <c r="U3042" t="s">
        <v>108</v>
      </c>
      <c r="V3042">
        <v>44</v>
      </c>
      <c r="W3042" t="str">
        <f>HYPERLINK("Gene1103-zp_tree_all.dnd", "Gene1103-tree")</f>
        <v>Gene1103-tree</v>
      </c>
      <c r="X3042">
        <v>12</v>
      </c>
      <c r="Y3042">
        <v>1</v>
      </c>
      <c r="Z3042">
        <v>12</v>
      </c>
      <c r="AA3042">
        <v>1</v>
      </c>
      <c r="AB3042">
        <v>7.6920000000000002E-2</v>
      </c>
      <c r="AC3042" t="s">
        <v>109</v>
      </c>
      <c r="AD3042" t="s">
        <v>175</v>
      </c>
      <c r="AE3042" t="s">
        <v>62</v>
      </c>
      <c r="AF3042" t="s">
        <v>62</v>
      </c>
      <c r="AG3042">
        <v>1</v>
      </c>
      <c r="AH3042">
        <v>2</v>
      </c>
      <c r="AI3042">
        <v>5</v>
      </c>
      <c r="AJ3042">
        <v>0.28571000000000002</v>
      </c>
      <c r="AK3042">
        <v>2</v>
      </c>
      <c r="AL3042">
        <v>0</v>
      </c>
      <c r="AM3042">
        <v>2</v>
      </c>
      <c r="AN3042">
        <v>1</v>
      </c>
      <c r="AO3042">
        <v>0.66666999999999998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5</v>
      </c>
      <c r="AV3042">
        <v>10</v>
      </c>
      <c r="AW3042">
        <v>6</v>
      </c>
      <c r="AX3042">
        <v>1</v>
      </c>
      <c r="AY3042">
        <v>16</v>
      </c>
      <c r="AZ3042">
        <v>6</v>
      </c>
      <c r="BA3042" t="s">
        <v>6944</v>
      </c>
      <c r="BB3042" t="s">
        <v>6945</v>
      </c>
      <c r="BC3042">
        <v>0.33500000000000002</v>
      </c>
      <c r="BD3042" t="s">
        <v>65</v>
      </c>
      <c r="BE3042">
        <v>22</v>
      </c>
      <c r="BF3042">
        <v>7</v>
      </c>
      <c r="BG3042" t="s">
        <v>6946</v>
      </c>
      <c r="BH3042" t="s">
        <v>6947</v>
      </c>
      <c r="BI3042" t="s">
        <v>6948</v>
      </c>
      <c r="BJ3042">
        <v>9.4310000000000005E-2</v>
      </c>
      <c r="BK3042">
        <v>1</v>
      </c>
      <c r="BL3042" t="s">
        <v>69</v>
      </c>
      <c r="BM3042">
        <v>1.7909999999999999</v>
      </c>
      <c r="BN3042">
        <v>1.006</v>
      </c>
    </row>
    <row r="3043" spans="10:66">
      <c r="J3043">
        <v>0</v>
      </c>
      <c r="K3043">
        <v>0</v>
      </c>
      <c r="L3043">
        <v>0</v>
      </c>
      <c r="M3043" t="s">
        <v>25021</v>
      </c>
      <c r="N3043">
        <v>1104</v>
      </c>
      <c r="O3043" t="s">
        <v>6949</v>
      </c>
      <c r="P3043" t="s">
        <v>62</v>
      </c>
      <c r="Q3043">
        <v>1149148</v>
      </c>
      <c r="R3043">
        <v>1149321</v>
      </c>
      <c r="S3043" t="s">
        <v>6937</v>
      </c>
      <c r="T3043">
        <v>58</v>
      </c>
      <c r="U3043" t="s">
        <v>108</v>
      </c>
      <c r="V3043">
        <v>44</v>
      </c>
      <c r="W3043" t="str">
        <f>HYPERLINK("Gene1104-zp_tree_all.dnd", "Gene1104-tree")</f>
        <v>Gene1104-tree</v>
      </c>
      <c r="X3043">
        <v>9</v>
      </c>
      <c r="Y3043">
        <v>1</v>
      </c>
      <c r="Z3043">
        <v>9</v>
      </c>
      <c r="AA3043">
        <v>1</v>
      </c>
      <c r="AB3043">
        <v>0.1</v>
      </c>
      <c r="AC3043" t="s">
        <v>135</v>
      </c>
      <c r="AD3043" t="s">
        <v>175</v>
      </c>
      <c r="AE3043" t="s">
        <v>62</v>
      </c>
      <c r="AF3043" t="s">
        <v>62</v>
      </c>
      <c r="AG3043">
        <v>0</v>
      </c>
      <c r="AH3043">
        <v>0</v>
      </c>
      <c r="AI3043">
        <v>2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5</v>
      </c>
      <c r="AV3043">
        <v>5</v>
      </c>
      <c r="AW3043">
        <v>4</v>
      </c>
      <c r="AX3043">
        <v>1</v>
      </c>
      <c r="AY3043">
        <v>4</v>
      </c>
      <c r="AZ3043">
        <v>1</v>
      </c>
      <c r="BA3043" t="s">
        <v>6950</v>
      </c>
      <c r="BB3043" t="s">
        <v>6950</v>
      </c>
      <c r="BC3043">
        <v>0</v>
      </c>
      <c r="BD3043" t="s">
        <v>65</v>
      </c>
      <c r="BE3043">
        <v>8</v>
      </c>
      <c r="BF3043">
        <v>2</v>
      </c>
      <c r="BG3043" t="s">
        <v>6951</v>
      </c>
      <c r="BH3043" t="s">
        <v>6952</v>
      </c>
      <c r="BI3043" t="s">
        <v>6953</v>
      </c>
      <c r="BJ3043">
        <v>0.11037</v>
      </c>
      <c r="BK3043">
        <v>1</v>
      </c>
      <c r="BL3043" t="s">
        <v>69</v>
      </c>
      <c r="BM3043">
        <v>1.544</v>
      </c>
      <c r="BN3043">
        <v>1.3069999999999999</v>
      </c>
    </row>
    <row r="3044" spans="10:66">
      <c r="J3044">
        <v>0</v>
      </c>
      <c r="K3044">
        <v>6</v>
      </c>
      <c r="L3044">
        <v>0</v>
      </c>
      <c r="M3044" t="s">
        <v>25021</v>
      </c>
      <c r="N3044">
        <v>1105</v>
      </c>
      <c r="O3044" t="s">
        <v>6954</v>
      </c>
      <c r="P3044" t="s">
        <v>62</v>
      </c>
      <c r="Q3044">
        <v>1149321</v>
      </c>
      <c r="R3044">
        <v>1149935</v>
      </c>
      <c r="S3044" t="s">
        <v>6937</v>
      </c>
      <c r="T3044">
        <v>205</v>
      </c>
      <c r="U3044" t="s">
        <v>409</v>
      </c>
      <c r="V3044">
        <v>45</v>
      </c>
      <c r="W3044" t="str">
        <f>HYPERLINK("Gene1105-zp_tree_all.dnd", "Gene1105-tree")</f>
        <v>Gene1105-tree</v>
      </c>
      <c r="X3044">
        <v>11</v>
      </c>
      <c r="Y3044">
        <v>4</v>
      </c>
      <c r="Z3044">
        <v>11</v>
      </c>
      <c r="AA3044">
        <v>4</v>
      </c>
      <c r="AB3044">
        <v>0.26667000000000002</v>
      </c>
      <c r="AC3044" t="s">
        <v>73</v>
      </c>
      <c r="AD3044" t="s">
        <v>61</v>
      </c>
      <c r="AE3044" t="s">
        <v>62</v>
      </c>
      <c r="AF3044" t="s">
        <v>62</v>
      </c>
      <c r="AG3044">
        <v>2</v>
      </c>
      <c r="AH3044">
        <v>6</v>
      </c>
      <c r="AI3044">
        <v>8</v>
      </c>
      <c r="AJ3044">
        <v>0.42857000000000001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9</v>
      </c>
      <c r="AT3044">
        <v>0</v>
      </c>
      <c r="AU3044">
        <v>11</v>
      </c>
      <c r="AV3044">
        <v>8</v>
      </c>
      <c r="AW3044">
        <v>30</v>
      </c>
      <c r="AX3044">
        <v>9</v>
      </c>
      <c r="AY3044">
        <v>11</v>
      </c>
      <c r="AZ3044">
        <v>5</v>
      </c>
      <c r="BA3044" t="s">
        <v>6955</v>
      </c>
      <c r="BB3044" t="s">
        <v>6956</v>
      </c>
      <c r="BC3044">
        <v>0.28100000000000003</v>
      </c>
      <c r="BD3044" t="s">
        <v>65</v>
      </c>
      <c r="BE3044">
        <v>41</v>
      </c>
      <c r="BF3044">
        <v>14</v>
      </c>
      <c r="BG3044" t="s">
        <v>6957</v>
      </c>
      <c r="BH3044" t="s">
        <v>6958</v>
      </c>
      <c r="BI3044" t="s">
        <v>6959</v>
      </c>
      <c r="BJ3044">
        <v>6.3939999999999997E-2</v>
      </c>
      <c r="BK3044">
        <v>1</v>
      </c>
      <c r="BL3044" t="s">
        <v>69</v>
      </c>
      <c r="BM3044">
        <v>-1.2569999999999999</v>
      </c>
      <c r="BN3044">
        <v>-3.1110000000000002</v>
      </c>
    </row>
    <row r="3045" spans="10:66">
      <c r="J3045">
        <v>0</v>
      </c>
      <c r="K3045">
        <v>0</v>
      </c>
      <c r="L3045">
        <v>0</v>
      </c>
      <c r="M3045" t="s">
        <v>25021</v>
      </c>
      <c r="N3045">
        <v>1106</v>
      </c>
      <c r="O3045" t="s">
        <v>6960</v>
      </c>
      <c r="P3045" t="s">
        <v>62</v>
      </c>
      <c r="Q3045">
        <v>1149961</v>
      </c>
      <c r="R3045">
        <v>1150191</v>
      </c>
      <c r="S3045" t="s">
        <v>6937</v>
      </c>
      <c r="T3045">
        <v>77</v>
      </c>
      <c r="U3045" t="s">
        <v>1196</v>
      </c>
      <c r="V3045">
        <v>39</v>
      </c>
      <c r="W3045" t="str">
        <f>HYPERLINK("Gene1106-zp_tree_all.dnd", "Gene1106-tree")</f>
        <v>Gene1106-tree</v>
      </c>
      <c r="X3045">
        <v>5</v>
      </c>
      <c r="Y3045">
        <v>2</v>
      </c>
      <c r="Z3045">
        <v>5</v>
      </c>
      <c r="AA3045">
        <v>2</v>
      </c>
      <c r="AB3045">
        <v>0.28571000000000002</v>
      </c>
      <c r="AC3045" t="s">
        <v>199</v>
      </c>
      <c r="AD3045" t="s">
        <v>81</v>
      </c>
      <c r="AE3045" t="s">
        <v>62</v>
      </c>
      <c r="AF3045" t="s">
        <v>62</v>
      </c>
      <c r="AG3045">
        <v>0</v>
      </c>
      <c r="AH3045">
        <v>0</v>
      </c>
      <c r="AI3045">
        <v>2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</v>
      </c>
      <c r="AT3045">
        <v>0</v>
      </c>
      <c r="AU3045">
        <v>4</v>
      </c>
      <c r="AV3045">
        <v>3</v>
      </c>
      <c r="AW3045">
        <v>5</v>
      </c>
      <c r="AX3045">
        <v>2</v>
      </c>
      <c r="AY3045">
        <v>4</v>
      </c>
      <c r="AZ3045">
        <v>0</v>
      </c>
      <c r="BA3045" t="s">
        <v>6961</v>
      </c>
      <c r="BB3045" t="s">
        <v>193</v>
      </c>
      <c r="BC3045">
        <v>1.125</v>
      </c>
      <c r="BD3045" t="s">
        <v>65</v>
      </c>
      <c r="BE3045">
        <v>9</v>
      </c>
      <c r="BF3045">
        <v>2</v>
      </c>
      <c r="BG3045" t="s">
        <v>6962</v>
      </c>
      <c r="BH3045" t="s">
        <v>6963</v>
      </c>
      <c r="BI3045" t="s">
        <v>6964</v>
      </c>
      <c r="BJ3045">
        <v>6.1600000000000002E-2</v>
      </c>
      <c r="BK3045">
        <v>1</v>
      </c>
      <c r="BL3045" t="s">
        <v>69</v>
      </c>
      <c r="BM3045">
        <v>-0.34899999999999998</v>
      </c>
      <c r="BN3045">
        <v>-1.1299999999999999</v>
      </c>
    </row>
    <row r="3046" spans="10:66">
      <c r="J3046">
        <v>0</v>
      </c>
      <c r="K3046">
        <v>0</v>
      </c>
      <c r="L3046">
        <v>0</v>
      </c>
      <c r="M3046" t="s">
        <v>25021</v>
      </c>
      <c r="N3046">
        <v>1107</v>
      </c>
      <c r="O3046" t="s">
        <v>6965</v>
      </c>
      <c r="P3046" t="s">
        <v>62</v>
      </c>
      <c r="Q3046">
        <v>1150209</v>
      </c>
      <c r="R3046">
        <v>1150427</v>
      </c>
      <c r="S3046" t="s">
        <v>6937</v>
      </c>
      <c r="T3046">
        <v>73</v>
      </c>
      <c r="U3046" t="s">
        <v>108</v>
      </c>
      <c r="V3046">
        <v>44</v>
      </c>
      <c r="W3046" t="str">
        <f>HYPERLINK("Gene1107-zp_tree_all.dnd", "Gene1107-tree")</f>
        <v>Gene1107-tree</v>
      </c>
      <c r="X3046">
        <v>37</v>
      </c>
      <c r="Y3046">
        <v>1</v>
      </c>
      <c r="Z3046">
        <v>3</v>
      </c>
      <c r="AA3046">
        <v>1</v>
      </c>
      <c r="AB3046">
        <v>0.25</v>
      </c>
      <c r="AC3046" t="s">
        <v>6966</v>
      </c>
      <c r="AD3046" t="s">
        <v>175</v>
      </c>
      <c r="AE3046" t="s">
        <v>62</v>
      </c>
      <c r="AF3046" t="s">
        <v>62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3</v>
      </c>
      <c r="AV3046">
        <v>0</v>
      </c>
      <c r="AW3046">
        <v>2</v>
      </c>
      <c r="AX3046">
        <v>1</v>
      </c>
      <c r="AY3046">
        <v>0</v>
      </c>
      <c r="AZ3046">
        <v>0</v>
      </c>
      <c r="BA3046" t="s">
        <v>6967</v>
      </c>
      <c r="BB3046" t="s">
        <v>193</v>
      </c>
      <c r="BC3046">
        <v>0.69299999999999995</v>
      </c>
      <c r="BD3046" t="s">
        <v>65</v>
      </c>
      <c r="BE3046">
        <v>2</v>
      </c>
      <c r="BF3046">
        <v>1</v>
      </c>
      <c r="BG3046" t="s">
        <v>6968</v>
      </c>
      <c r="BH3046" t="s">
        <v>6969</v>
      </c>
      <c r="BI3046" t="s">
        <v>6970</v>
      </c>
      <c r="BJ3046">
        <v>0.14971000000000001</v>
      </c>
      <c r="BK3046">
        <v>0.93100000000000005</v>
      </c>
      <c r="BL3046" t="s">
        <v>635</v>
      </c>
      <c r="BM3046">
        <v>-1.0029999999999999</v>
      </c>
      <c r="BN3046">
        <v>-1.66</v>
      </c>
    </row>
    <row r="3047" spans="10:66">
      <c r="J3047">
        <v>0</v>
      </c>
      <c r="K3047">
        <v>5</v>
      </c>
      <c r="L3047">
        <v>0</v>
      </c>
      <c r="M3047" t="s">
        <v>25021</v>
      </c>
      <c r="N3047">
        <v>1109</v>
      </c>
      <c r="O3047" t="s">
        <v>6971</v>
      </c>
      <c r="P3047" t="s">
        <v>62</v>
      </c>
      <c r="Q3047">
        <v>1151169</v>
      </c>
      <c r="R3047">
        <v>1152089</v>
      </c>
      <c r="S3047" t="s">
        <v>6972</v>
      </c>
      <c r="T3047">
        <v>307</v>
      </c>
      <c r="U3047" t="s">
        <v>108</v>
      </c>
      <c r="V3047">
        <v>44</v>
      </c>
      <c r="W3047" t="str">
        <f>HYPERLINK("Gene1109-zp_tree_all.dnd", "Gene1109-tree")</f>
        <v>Gene1109-tree</v>
      </c>
      <c r="X3047">
        <v>4</v>
      </c>
      <c r="Y3047">
        <v>9</v>
      </c>
      <c r="Z3047">
        <v>4</v>
      </c>
      <c r="AA3047">
        <v>9</v>
      </c>
      <c r="AB3047">
        <v>0.69230999999999998</v>
      </c>
      <c r="AC3047" t="s">
        <v>61</v>
      </c>
      <c r="AD3047" t="s">
        <v>135</v>
      </c>
      <c r="AE3047" t="s">
        <v>62</v>
      </c>
      <c r="AF3047" t="s">
        <v>62</v>
      </c>
      <c r="AG3047">
        <v>2</v>
      </c>
      <c r="AH3047">
        <v>5</v>
      </c>
      <c r="AI3047">
        <v>19</v>
      </c>
      <c r="AJ3047">
        <v>0.20832999999999999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2</v>
      </c>
      <c r="AQ3047">
        <v>0</v>
      </c>
      <c r="AR3047">
        <v>2</v>
      </c>
      <c r="AS3047">
        <v>15</v>
      </c>
      <c r="AT3047">
        <v>0.11765</v>
      </c>
      <c r="AU3047">
        <v>10</v>
      </c>
      <c r="AV3047">
        <v>10</v>
      </c>
      <c r="AW3047">
        <v>12</v>
      </c>
      <c r="AX3047">
        <v>17</v>
      </c>
      <c r="AY3047">
        <v>13</v>
      </c>
      <c r="AZ3047">
        <v>8</v>
      </c>
      <c r="BA3047" t="s">
        <v>6973</v>
      </c>
      <c r="BB3047" t="s">
        <v>6974</v>
      </c>
      <c r="BC3047">
        <v>1.127</v>
      </c>
      <c r="BD3047" t="s">
        <v>65</v>
      </c>
      <c r="BE3047">
        <v>25</v>
      </c>
      <c r="BF3047">
        <v>25</v>
      </c>
      <c r="BG3047" t="s">
        <v>6975</v>
      </c>
      <c r="BH3047" t="s">
        <v>6976</v>
      </c>
      <c r="BI3047" t="s">
        <v>6977</v>
      </c>
      <c r="BJ3047">
        <v>0.25641000000000003</v>
      </c>
      <c r="BK3047">
        <v>1</v>
      </c>
      <c r="BL3047" t="s">
        <v>69</v>
      </c>
      <c r="BM3047">
        <v>-0.63900000000000001</v>
      </c>
      <c r="BN3047">
        <v>-1.9450000000000001</v>
      </c>
    </row>
    <row r="3048" spans="10:66">
      <c r="J3048">
        <v>0</v>
      </c>
      <c r="K3048">
        <v>8</v>
      </c>
      <c r="L3048">
        <v>0</v>
      </c>
      <c r="M3048" t="s">
        <v>25021</v>
      </c>
      <c r="N3048">
        <v>1113</v>
      </c>
      <c r="O3048" t="s">
        <v>6998</v>
      </c>
      <c r="P3048" t="s">
        <v>62</v>
      </c>
      <c r="Q3048">
        <v>1156507</v>
      </c>
      <c r="R3048">
        <v>1157091</v>
      </c>
      <c r="S3048" t="s">
        <v>288</v>
      </c>
      <c r="T3048">
        <v>195</v>
      </c>
      <c r="U3048" t="s">
        <v>2513</v>
      </c>
      <c r="V3048">
        <v>43</v>
      </c>
      <c r="W3048" t="str">
        <f>HYPERLINK("Gene1113-zp_tree_all.dnd", "Gene1113-tree")</f>
        <v>Gene1113-tree</v>
      </c>
      <c r="X3048">
        <v>4</v>
      </c>
      <c r="Y3048">
        <v>9</v>
      </c>
      <c r="Z3048">
        <v>4</v>
      </c>
      <c r="AA3048">
        <v>9</v>
      </c>
      <c r="AB3048">
        <v>0.69230999999999998</v>
      </c>
      <c r="AC3048" t="s">
        <v>61</v>
      </c>
      <c r="AD3048" t="s">
        <v>135</v>
      </c>
      <c r="AE3048" t="s">
        <v>62</v>
      </c>
      <c r="AF3048" t="s">
        <v>62</v>
      </c>
      <c r="AG3048">
        <v>4</v>
      </c>
      <c r="AH3048">
        <v>8</v>
      </c>
      <c r="AI3048">
        <v>17</v>
      </c>
      <c r="AJ3048">
        <v>0.32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2</v>
      </c>
      <c r="AQ3048">
        <v>0</v>
      </c>
      <c r="AR3048">
        <v>2</v>
      </c>
      <c r="AS3048">
        <v>18</v>
      </c>
      <c r="AT3048">
        <v>0.1</v>
      </c>
      <c r="AU3048">
        <v>10</v>
      </c>
      <c r="AV3048">
        <v>6</v>
      </c>
      <c r="AW3048">
        <v>10</v>
      </c>
      <c r="AX3048">
        <v>15</v>
      </c>
      <c r="AY3048">
        <v>21</v>
      </c>
      <c r="AZ3048">
        <v>10</v>
      </c>
      <c r="BA3048" t="s">
        <v>6999</v>
      </c>
      <c r="BB3048" t="s">
        <v>7000</v>
      </c>
      <c r="BC3048">
        <v>1.2789999999999999</v>
      </c>
      <c r="BD3048" t="s">
        <v>65</v>
      </c>
      <c r="BE3048">
        <v>31</v>
      </c>
      <c r="BF3048">
        <v>25</v>
      </c>
      <c r="BG3048" t="s">
        <v>7001</v>
      </c>
      <c r="BH3048" t="s">
        <v>7002</v>
      </c>
      <c r="BI3048" t="s">
        <v>7003</v>
      </c>
      <c r="BJ3048">
        <v>0.16655</v>
      </c>
      <c r="BK3048">
        <v>1</v>
      </c>
      <c r="BL3048" t="s">
        <v>69</v>
      </c>
      <c r="BM3048">
        <v>-0.23599999999999999</v>
      </c>
      <c r="BN3048">
        <v>-0.02</v>
      </c>
    </row>
    <row r="3049" spans="10:66">
      <c r="J3049">
        <v>0</v>
      </c>
      <c r="K3049">
        <v>0</v>
      </c>
      <c r="L3049">
        <v>0</v>
      </c>
      <c r="M3049" t="s">
        <v>25021</v>
      </c>
      <c r="N3049">
        <v>1115</v>
      </c>
      <c r="O3049" t="s">
        <v>7011</v>
      </c>
      <c r="P3049" t="s">
        <v>62</v>
      </c>
      <c r="Q3049">
        <v>1159214</v>
      </c>
      <c r="R3049">
        <v>1159690</v>
      </c>
      <c r="S3049" t="s">
        <v>7012</v>
      </c>
      <c r="T3049">
        <v>159</v>
      </c>
      <c r="U3049" t="s">
        <v>7013</v>
      </c>
      <c r="V3049">
        <v>28</v>
      </c>
      <c r="W3049" t="str">
        <f>HYPERLINK("Gene1115-zp_tree_all.dnd", "Gene1115-tree")</f>
        <v>Gene1115-tree</v>
      </c>
      <c r="X3049">
        <v>3</v>
      </c>
      <c r="Y3049">
        <v>4</v>
      </c>
      <c r="Z3049">
        <v>3</v>
      </c>
      <c r="AA3049">
        <v>4</v>
      </c>
      <c r="AB3049">
        <v>0.57142999999999999</v>
      </c>
      <c r="AC3049" t="s">
        <v>324</v>
      </c>
      <c r="AD3049" t="s">
        <v>61</v>
      </c>
      <c r="AE3049" t="s">
        <v>62</v>
      </c>
      <c r="AF3049" t="s">
        <v>62</v>
      </c>
      <c r="AG3049">
        <v>0</v>
      </c>
      <c r="AH3049">
        <v>0</v>
      </c>
      <c r="AI3049">
        <v>5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4</v>
      </c>
      <c r="AT3049">
        <v>0</v>
      </c>
      <c r="AU3049">
        <v>6</v>
      </c>
      <c r="AV3049">
        <v>1</v>
      </c>
      <c r="AW3049">
        <v>2</v>
      </c>
      <c r="AX3049">
        <v>4</v>
      </c>
      <c r="AY3049">
        <v>0</v>
      </c>
      <c r="AZ3049">
        <v>1</v>
      </c>
      <c r="BA3049" t="s">
        <v>7014</v>
      </c>
      <c r="BB3049" t="s">
        <v>193</v>
      </c>
      <c r="BC3049">
        <v>0.98</v>
      </c>
      <c r="BD3049" t="s">
        <v>65</v>
      </c>
      <c r="BE3049">
        <v>2</v>
      </c>
      <c r="BF3049">
        <v>5</v>
      </c>
      <c r="BG3049" t="s">
        <v>7015</v>
      </c>
      <c r="BH3049" t="s">
        <v>7016</v>
      </c>
      <c r="BI3049" t="s">
        <v>7017</v>
      </c>
      <c r="BJ3049">
        <v>0.76383999999999996</v>
      </c>
      <c r="BK3049">
        <v>0.29499999999999998</v>
      </c>
      <c r="BL3049" t="s">
        <v>635</v>
      </c>
      <c r="BM3049">
        <v>-0.53900000000000003</v>
      </c>
      <c r="BN3049">
        <v>-0.77700000000000002</v>
      </c>
    </row>
    <row r="3050" spans="10:66">
      <c r="J3050">
        <v>0</v>
      </c>
      <c r="K3050">
        <v>3</v>
      </c>
      <c r="L3050">
        <v>0</v>
      </c>
      <c r="M3050" t="s">
        <v>25021</v>
      </c>
      <c r="N3050">
        <v>1117</v>
      </c>
      <c r="O3050" t="s">
        <v>7018</v>
      </c>
      <c r="P3050" t="s">
        <v>62</v>
      </c>
      <c r="Q3050">
        <v>1160779</v>
      </c>
      <c r="R3050">
        <v>1162143</v>
      </c>
      <c r="S3050" t="s">
        <v>7019</v>
      </c>
      <c r="T3050">
        <v>455</v>
      </c>
      <c r="U3050" t="s">
        <v>289</v>
      </c>
      <c r="V3050">
        <v>46</v>
      </c>
      <c r="W3050" t="str">
        <f>HYPERLINK("Gene1117-zp_tree_all.dnd", "Gene1117-tree")</f>
        <v>Gene1117-tree</v>
      </c>
      <c r="X3050">
        <v>12</v>
      </c>
      <c r="Y3050">
        <v>5</v>
      </c>
      <c r="Z3050">
        <v>12</v>
      </c>
      <c r="AA3050">
        <v>5</v>
      </c>
      <c r="AB3050">
        <v>0.29411999999999999</v>
      </c>
      <c r="AC3050" t="s">
        <v>109</v>
      </c>
      <c r="AD3050" t="s">
        <v>199</v>
      </c>
      <c r="AE3050" t="s">
        <v>62</v>
      </c>
      <c r="AF3050" t="s">
        <v>62</v>
      </c>
      <c r="AG3050">
        <v>1</v>
      </c>
      <c r="AH3050">
        <v>3</v>
      </c>
      <c r="AI3050">
        <v>7</v>
      </c>
      <c r="AJ3050">
        <v>0.3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2</v>
      </c>
      <c r="AQ3050">
        <v>0</v>
      </c>
      <c r="AR3050">
        <v>2</v>
      </c>
      <c r="AS3050">
        <v>3</v>
      </c>
      <c r="AT3050">
        <v>0.4</v>
      </c>
      <c r="AU3050">
        <v>15</v>
      </c>
      <c r="AV3050">
        <v>9</v>
      </c>
      <c r="AW3050">
        <v>53</v>
      </c>
      <c r="AX3050">
        <v>5</v>
      </c>
      <c r="AY3050">
        <v>71</v>
      </c>
      <c r="AZ3050">
        <v>5</v>
      </c>
      <c r="BA3050" t="s">
        <v>7020</v>
      </c>
      <c r="BB3050" t="s">
        <v>7021</v>
      </c>
      <c r="BC3050">
        <v>0.13500000000000001</v>
      </c>
      <c r="BD3050" t="s">
        <v>65</v>
      </c>
      <c r="BE3050">
        <v>124</v>
      </c>
      <c r="BF3050">
        <v>10</v>
      </c>
      <c r="BG3050" t="s">
        <v>7022</v>
      </c>
      <c r="BH3050" t="s">
        <v>7023</v>
      </c>
      <c r="BI3050" t="s">
        <v>7024</v>
      </c>
      <c r="BJ3050">
        <v>2.402E-2</v>
      </c>
      <c r="BK3050">
        <v>1</v>
      </c>
      <c r="BL3050" t="s">
        <v>69</v>
      </c>
      <c r="BM3050">
        <v>-1.5580000000000001</v>
      </c>
      <c r="BN3050">
        <v>0.56000000000000005</v>
      </c>
    </row>
    <row r="3051" spans="10:66">
      <c r="J3051">
        <v>0</v>
      </c>
      <c r="K3051">
        <v>0</v>
      </c>
      <c r="L3051">
        <v>4</v>
      </c>
      <c r="M3051" t="s">
        <v>25021</v>
      </c>
      <c r="N3051">
        <v>1121</v>
      </c>
      <c r="O3051" t="s">
        <v>7045</v>
      </c>
      <c r="P3051" t="s">
        <v>62</v>
      </c>
      <c r="Q3051">
        <v>1165452</v>
      </c>
      <c r="R3051">
        <v>1165958</v>
      </c>
      <c r="S3051" t="s">
        <v>7046</v>
      </c>
      <c r="T3051">
        <v>169</v>
      </c>
      <c r="U3051" t="s">
        <v>108</v>
      </c>
      <c r="V3051">
        <v>44</v>
      </c>
      <c r="W3051" t="str">
        <f>HYPERLINK("Gene1121-zp_tree_all.dnd", "Gene1121-tree")</f>
        <v>Gene1121-tree</v>
      </c>
      <c r="X3051">
        <v>7</v>
      </c>
      <c r="Y3051">
        <v>6</v>
      </c>
      <c r="Z3051">
        <v>7</v>
      </c>
      <c r="AA3051">
        <v>6</v>
      </c>
      <c r="AB3051">
        <v>0.46154000000000001</v>
      </c>
      <c r="AC3051" t="s">
        <v>152</v>
      </c>
      <c r="AD3051" t="s">
        <v>90</v>
      </c>
      <c r="AE3051" t="s">
        <v>62</v>
      </c>
      <c r="AF3051" t="s">
        <v>62</v>
      </c>
      <c r="AG3051">
        <v>2</v>
      </c>
      <c r="AH3051">
        <v>4</v>
      </c>
      <c r="AI3051">
        <v>10</v>
      </c>
      <c r="AJ3051">
        <v>0.28571000000000002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2</v>
      </c>
      <c r="AR3051">
        <v>2</v>
      </c>
      <c r="AS3051">
        <v>9</v>
      </c>
      <c r="AT3051">
        <v>0.18182000000000001</v>
      </c>
      <c r="AU3051">
        <v>10</v>
      </c>
      <c r="AV3051">
        <v>5</v>
      </c>
      <c r="AW3051">
        <v>11</v>
      </c>
      <c r="AX3051">
        <v>11</v>
      </c>
      <c r="AY3051">
        <v>5</v>
      </c>
      <c r="AZ3051">
        <v>3</v>
      </c>
      <c r="BA3051" t="s">
        <v>7047</v>
      </c>
      <c r="BB3051" t="s">
        <v>7048</v>
      </c>
      <c r="BC3051">
        <v>0.54500000000000004</v>
      </c>
      <c r="BD3051" t="s">
        <v>65</v>
      </c>
      <c r="BE3051">
        <v>16</v>
      </c>
      <c r="BF3051">
        <v>14</v>
      </c>
      <c r="BG3051" t="s">
        <v>7049</v>
      </c>
      <c r="BH3051" t="s">
        <v>7050</v>
      </c>
      <c r="BI3051" t="s">
        <v>7051</v>
      </c>
      <c r="BJ3051">
        <v>0.24745</v>
      </c>
      <c r="BK3051">
        <v>1</v>
      </c>
      <c r="BL3051" t="s">
        <v>69</v>
      </c>
      <c r="BM3051">
        <v>-0.85399999999999998</v>
      </c>
      <c r="BN3051">
        <v>-2.1179999999999999</v>
      </c>
    </row>
    <row r="3052" spans="10:66">
      <c r="J3052">
        <v>0</v>
      </c>
      <c r="K3052">
        <v>5</v>
      </c>
      <c r="L3052">
        <v>1</v>
      </c>
      <c r="M3052" t="s">
        <v>25021</v>
      </c>
      <c r="N3052">
        <v>1122</v>
      </c>
      <c r="O3052" t="s">
        <v>7052</v>
      </c>
      <c r="P3052" t="s">
        <v>62</v>
      </c>
      <c r="Q3052">
        <v>1166011</v>
      </c>
      <c r="R3052">
        <v>1166670</v>
      </c>
      <c r="S3052" t="s">
        <v>7053</v>
      </c>
      <c r="T3052">
        <v>220</v>
      </c>
      <c r="U3052" t="s">
        <v>7054</v>
      </c>
      <c r="V3052">
        <v>40</v>
      </c>
      <c r="W3052" t="str">
        <f>HYPERLINK("Gene1122-zp_tree_all.dnd", "Gene1122-tree")</f>
        <v>Gene1122-tree</v>
      </c>
      <c r="X3052">
        <v>3</v>
      </c>
      <c r="Y3052">
        <v>9</v>
      </c>
      <c r="Z3052">
        <v>3</v>
      </c>
      <c r="AA3052">
        <v>9</v>
      </c>
      <c r="AB3052">
        <v>0.75</v>
      </c>
      <c r="AC3052" t="s">
        <v>324</v>
      </c>
      <c r="AD3052" t="s">
        <v>135</v>
      </c>
      <c r="AE3052" t="s">
        <v>62</v>
      </c>
      <c r="AF3052" t="s">
        <v>62</v>
      </c>
      <c r="AG3052">
        <v>2</v>
      </c>
      <c r="AH3052">
        <v>6</v>
      </c>
      <c r="AI3052">
        <v>17</v>
      </c>
      <c r="AJ3052">
        <v>0.26086999999999999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2</v>
      </c>
      <c r="AR3052">
        <v>2</v>
      </c>
      <c r="AS3052">
        <v>16</v>
      </c>
      <c r="AT3052">
        <v>0.11111</v>
      </c>
      <c r="AU3052">
        <v>10</v>
      </c>
      <c r="AV3052">
        <v>8</v>
      </c>
      <c r="AW3052">
        <v>8</v>
      </c>
      <c r="AX3052">
        <v>18</v>
      </c>
      <c r="AY3052">
        <v>11</v>
      </c>
      <c r="AZ3052">
        <v>5</v>
      </c>
      <c r="BA3052" t="s">
        <v>7055</v>
      </c>
      <c r="BB3052" t="s">
        <v>7056</v>
      </c>
      <c r="BC3052">
        <v>2.0699999999999998</v>
      </c>
      <c r="BD3052" t="s">
        <v>267</v>
      </c>
      <c r="BE3052">
        <v>19</v>
      </c>
      <c r="BF3052">
        <v>23</v>
      </c>
      <c r="BG3052" t="s">
        <v>7057</v>
      </c>
      <c r="BH3052" t="s">
        <v>7058</v>
      </c>
      <c r="BI3052" t="s">
        <v>7059</v>
      </c>
      <c r="BJ3052">
        <v>0.27725</v>
      </c>
      <c r="BK3052">
        <v>0.99</v>
      </c>
      <c r="BL3052" t="s">
        <v>69</v>
      </c>
      <c r="BM3052">
        <v>-0.71299999999999997</v>
      </c>
      <c r="BN3052">
        <v>-2.0819999999999999</v>
      </c>
    </row>
    <row r="3053" spans="10:66">
      <c r="J3053">
        <v>0</v>
      </c>
      <c r="K3053">
        <v>4</v>
      </c>
      <c r="L3053">
        <v>0</v>
      </c>
      <c r="M3053" t="s">
        <v>25021</v>
      </c>
      <c r="N3053">
        <v>1124</v>
      </c>
      <c r="O3053" t="s">
        <v>7066</v>
      </c>
      <c r="P3053" t="s">
        <v>62</v>
      </c>
      <c r="Q3053">
        <v>1168202</v>
      </c>
      <c r="R3053">
        <v>1168837</v>
      </c>
      <c r="S3053" t="s">
        <v>288</v>
      </c>
      <c r="T3053">
        <v>212</v>
      </c>
      <c r="U3053" t="s">
        <v>108</v>
      </c>
      <c r="V3053">
        <v>44</v>
      </c>
      <c r="W3053" t="str">
        <f>HYPERLINK("Gene1124-zp_tree_all.dnd", "Gene1124-tree")</f>
        <v>Gene1124-tree</v>
      </c>
      <c r="X3053">
        <v>10</v>
      </c>
      <c r="Y3053">
        <v>5</v>
      </c>
      <c r="Z3053">
        <v>10</v>
      </c>
      <c r="AA3053">
        <v>5</v>
      </c>
      <c r="AB3053">
        <v>0.33333000000000002</v>
      </c>
      <c r="AC3053" t="s">
        <v>117</v>
      </c>
      <c r="AD3053" t="s">
        <v>199</v>
      </c>
      <c r="AE3053" t="s">
        <v>62</v>
      </c>
      <c r="AF3053" t="s">
        <v>62</v>
      </c>
      <c r="AG3053">
        <v>1</v>
      </c>
      <c r="AH3053">
        <v>4</v>
      </c>
      <c r="AI3053">
        <v>7</v>
      </c>
      <c r="AJ3053">
        <v>0.36364000000000002</v>
      </c>
      <c r="AK3053">
        <v>0</v>
      </c>
      <c r="AL3053">
        <v>0</v>
      </c>
      <c r="AM3053">
        <v>0</v>
      </c>
      <c r="AN3053">
        <v>3</v>
      </c>
      <c r="AO3053">
        <v>0</v>
      </c>
      <c r="AP3053">
        <v>0</v>
      </c>
      <c r="AQ3053">
        <v>0</v>
      </c>
      <c r="AR3053">
        <v>0</v>
      </c>
      <c r="AS3053">
        <v>6</v>
      </c>
      <c r="AT3053">
        <v>0</v>
      </c>
      <c r="AU3053">
        <v>9</v>
      </c>
      <c r="AV3053">
        <v>11</v>
      </c>
      <c r="AW3053">
        <v>15</v>
      </c>
      <c r="AX3053">
        <v>6</v>
      </c>
      <c r="AY3053">
        <v>22</v>
      </c>
      <c r="AZ3053">
        <v>5</v>
      </c>
      <c r="BA3053" t="s">
        <v>7067</v>
      </c>
      <c r="BB3053" t="s">
        <v>7068</v>
      </c>
      <c r="BC3053">
        <v>0.48199999999999998</v>
      </c>
      <c r="BD3053" t="s">
        <v>65</v>
      </c>
      <c r="BE3053">
        <v>37</v>
      </c>
      <c r="BF3053">
        <v>11</v>
      </c>
      <c r="BG3053" t="s">
        <v>7069</v>
      </c>
      <c r="BH3053" t="s">
        <v>7070</v>
      </c>
      <c r="BI3053" t="s">
        <v>7071</v>
      </c>
      <c r="BJ3053">
        <v>5.7230000000000003E-2</v>
      </c>
      <c r="BK3053">
        <v>1</v>
      </c>
      <c r="BL3053" t="s">
        <v>69</v>
      </c>
      <c r="BM3053">
        <v>0.497</v>
      </c>
      <c r="BN3053">
        <v>0.52600000000000002</v>
      </c>
    </row>
    <row r="3054" spans="10:66">
      <c r="J3054">
        <v>0</v>
      </c>
      <c r="K3054">
        <v>0</v>
      </c>
      <c r="L3054">
        <v>0</v>
      </c>
      <c r="M3054" t="s">
        <v>25021</v>
      </c>
      <c r="N3054">
        <v>1126</v>
      </c>
      <c r="O3054" t="s">
        <v>7079</v>
      </c>
      <c r="P3054" t="s">
        <v>62</v>
      </c>
      <c r="Q3054">
        <v>1169880</v>
      </c>
      <c r="R3054">
        <v>1170476</v>
      </c>
      <c r="S3054" t="s">
        <v>7080</v>
      </c>
      <c r="T3054">
        <v>199</v>
      </c>
      <c r="U3054" t="s">
        <v>2289</v>
      </c>
      <c r="V3054">
        <v>37</v>
      </c>
      <c r="W3054" t="str">
        <f>HYPERLINK("Gene1126-zp_tree_all.dnd", "Gene1126-tree")</f>
        <v>Gene1126-tree</v>
      </c>
      <c r="X3054">
        <v>9</v>
      </c>
      <c r="Y3054">
        <v>5</v>
      </c>
      <c r="Z3054">
        <v>9</v>
      </c>
      <c r="AA3054">
        <v>5</v>
      </c>
      <c r="AB3054">
        <v>0.35714000000000001</v>
      </c>
      <c r="AC3054" t="s">
        <v>135</v>
      </c>
      <c r="AD3054" t="s">
        <v>199</v>
      </c>
      <c r="AE3054" t="s">
        <v>62</v>
      </c>
      <c r="AF3054" t="s">
        <v>62</v>
      </c>
      <c r="AG3054">
        <v>0</v>
      </c>
      <c r="AH3054">
        <v>0</v>
      </c>
      <c r="AI3054">
        <v>5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5</v>
      </c>
      <c r="AT3054">
        <v>0</v>
      </c>
      <c r="AU3054">
        <v>12</v>
      </c>
      <c r="AV3054">
        <v>7</v>
      </c>
      <c r="AW3054">
        <v>23</v>
      </c>
      <c r="AX3054">
        <v>5</v>
      </c>
      <c r="AY3054">
        <v>12</v>
      </c>
      <c r="AZ3054">
        <v>0</v>
      </c>
      <c r="BA3054" t="s">
        <v>7081</v>
      </c>
      <c r="BB3054" t="s">
        <v>193</v>
      </c>
      <c r="BC3054">
        <v>1.8819999999999999</v>
      </c>
      <c r="BD3054" t="s">
        <v>65</v>
      </c>
      <c r="BE3054">
        <v>35</v>
      </c>
      <c r="BF3054">
        <v>5</v>
      </c>
      <c r="BG3054" t="s">
        <v>7082</v>
      </c>
      <c r="BH3054" t="s">
        <v>7083</v>
      </c>
      <c r="BI3054" t="s">
        <v>7084</v>
      </c>
      <c r="BJ3054">
        <v>3.3279999999999997E-2</v>
      </c>
      <c r="BK3054">
        <v>1</v>
      </c>
      <c r="BL3054" t="s">
        <v>69</v>
      </c>
      <c r="BM3054">
        <v>-1.085</v>
      </c>
      <c r="BN3054">
        <v>-1.5529999999999999</v>
      </c>
    </row>
    <row r="3055" spans="10:66">
      <c r="J3055">
        <v>0</v>
      </c>
      <c r="K3055">
        <v>13</v>
      </c>
      <c r="L3055">
        <v>2</v>
      </c>
      <c r="M3055" t="s">
        <v>25021</v>
      </c>
      <c r="N3055">
        <v>1127</v>
      </c>
      <c r="O3055" t="s">
        <v>7085</v>
      </c>
      <c r="P3055" t="s">
        <v>62</v>
      </c>
      <c r="Q3055">
        <v>1170476</v>
      </c>
      <c r="R3055">
        <v>1171642</v>
      </c>
      <c r="S3055" t="s">
        <v>7086</v>
      </c>
      <c r="T3055">
        <v>389</v>
      </c>
      <c r="U3055" t="s">
        <v>2289</v>
      </c>
      <c r="V3055">
        <v>37</v>
      </c>
      <c r="W3055" t="str">
        <f>HYPERLINK("Gene1127-zp_tree_all.dnd", "Gene1127-tree")</f>
        <v>Gene1127-tree</v>
      </c>
      <c r="X3055">
        <v>3</v>
      </c>
      <c r="Y3055">
        <v>11</v>
      </c>
      <c r="Z3055">
        <v>3</v>
      </c>
      <c r="AA3055">
        <v>11</v>
      </c>
      <c r="AB3055">
        <v>0.78571000000000002</v>
      </c>
      <c r="AC3055" t="s">
        <v>324</v>
      </c>
      <c r="AD3055" t="s">
        <v>73</v>
      </c>
      <c r="AE3055">
        <v>305230034.74400002</v>
      </c>
      <c r="AF3055" t="s">
        <v>267</v>
      </c>
      <c r="AG3055">
        <v>6</v>
      </c>
      <c r="AH3055">
        <v>15</v>
      </c>
      <c r="AI3055">
        <v>11</v>
      </c>
      <c r="AJ3055">
        <v>0.57691999999999999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8</v>
      </c>
      <c r="AQ3055">
        <v>1</v>
      </c>
      <c r="AR3055">
        <v>9</v>
      </c>
      <c r="AS3055">
        <v>10</v>
      </c>
      <c r="AT3055">
        <v>0.47367999999999999</v>
      </c>
      <c r="AU3055">
        <v>14</v>
      </c>
      <c r="AV3055">
        <v>10</v>
      </c>
      <c r="AW3055">
        <v>34</v>
      </c>
      <c r="AX3055">
        <v>20</v>
      </c>
      <c r="AY3055">
        <v>27</v>
      </c>
      <c r="AZ3055">
        <v>8</v>
      </c>
      <c r="BA3055" t="s">
        <v>7087</v>
      </c>
      <c r="BB3055" t="s">
        <v>7088</v>
      </c>
      <c r="BC3055">
        <v>0.98299999999999998</v>
      </c>
      <c r="BD3055" t="s">
        <v>65</v>
      </c>
      <c r="BE3055">
        <v>61</v>
      </c>
      <c r="BF3055">
        <v>28</v>
      </c>
      <c r="BG3055" t="s">
        <v>7089</v>
      </c>
      <c r="BH3055" t="s">
        <v>7090</v>
      </c>
      <c r="BI3055" t="s">
        <v>7091</v>
      </c>
      <c r="BJ3055">
        <v>0.13719999999999999</v>
      </c>
      <c r="BK3055">
        <v>1</v>
      </c>
      <c r="BL3055" t="s">
        <v>69</v>
      </c>
      <c r="BM3055">
        <v>-0.70599999999999996</v>
      </c>
      <c r="BN3055">
        <v>-1.2</v>
      </c>
    </row>
    <row r="3056" spans="10:66">
      <c r="J3056">
        <v>0</v>
      </c>
      <c r="K3056">
        <v>6</v>
      </c>
      <c r="L3056">
        <v>2</v>
      </c>
      <c r="M3056" t="s">
        <v>25021</v>
      </c>
      <c r="N3056">
        <v>1128</v>
      </c>
      <c r="O3056" t="s">
        <v>7092</v>
      </c>
      <c r="P3056" t="s">
        <v>62</v>
      </c>
      <c r="Q3056">
        <v>1171758</v>
      </c>
      <c r="R3056">
        <v>1172465</v>
      </c>
      <c r="S3056" t="s">
        <v>7093</v>
      </c>
      <c r="T3056">
        <v>236</v>
      </c>
      <c r="U3056" t="s">
        <v>2289</v>
      </c>
      <c r="V3056">
        <v>37</v>
      </c>
      <c r="W3056" t="str">
        <f>HYPERLINK("Gene1128-zp_tree_all.dnd", "Gene1128-tree")</f>
        <v>Gene1128-tree</v>
      </c>
      <c r="X3056">
        <v>6</v>
      </c>
      <c r="Y3056">
        <v>10</v>
      </c>
      <c r="Z3056">
        <v>6</v>
      </c>
      <c r="AA3056">
        <v>10</v>
      </c>
      <c r="AB3056">
        <v>0.625</v>
      </c>
      <c r="AC3056" t="s">
        <v>90</v>
      </c>
      <c r="AD3056" t="s">
        <v>117</v>
      </c>
      <c r="AE3056" t="s">
        <v>62</v>
      </c>
      <c r="AF3056" t="s">
        <v>62</v>
      </c>
      <c r="AG3056">
        <v>4</v>
      </c>
      <c r="AH3056">
        <v>8</v>
      </c>
      <c r="AI3056">
        <v>13</v>
      </c>
      <c r="AJ3056">
        <v>0.38095000000000001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2</v>
      </c>
      <c r="AQ3056">
        <v>0</v>
      </c>
      <c r="AR3056">
        <v>2</v>
      </c>
      <c r="AS3056">
        <v>15</v>
      </c>
      <c r="AT3056">
        <v>0.11765</v>
      </c>
      <c r="AU3056">
        <v>12</v>
      </c>
      <c r="AV3056">
        <v>10</v>
      </c>
      <c r="AW3056">
        <v>17</v>
      </c>
      <c r="AX3056">
        <v>13</v>
      </c>
      <c r="AY3056">
        <v>20</v>
      </c>
      <c r="AZ3056">
        <v>8</v>
      </c>
      <c r="BA3056" t="s">
        <v>7094</v>
      </c>
      <c r="BB3056" t="s">
        <v>7095</v>
      </c>
      <c r="BC3056">
        <v>0.91900000000000004</v>
      </c>
      <c r="BD3056" t="s">
        <v>65</v>
      </c>
      <c r="BE3056">
        <v>37</v>
      </c>
      <c r="BF3056">
        <v>21</v>
      </c>
      <c r="BG3056" t="s">
        <v>7096</v>
      </c>
      <c r="BH3056" t="s">
        <v>7097</v>
      </c>
      <c r="BI3056" t="s">
        <v>7098</v>
      </c>
      <c r="BJ3056">
        <v>0.15131</v>
      </c>
      <c r="BK3056">
        <v>1</v>
      </c>
      <c r="BL3056" t="s">
        <v>69</v>
      </c>
      <c r="BM3056">
        <v>-0.48299999999999998</v>
      </c>
      <c r="BN3056">
        <v>-0.53200000000000003</v>
      </c>
    </row>
    <row r="3057" spans="10:66">
      <c r="J3057">
        <v>0</v>
      </c>
      <c r="K3057">
        <v>0</v>
      </c>
      <c r="L3057">
        <v>0</v>
      </c>
      <c r="M3057" t="s">
        <v>25021</v>
      </c>
      <c r="N3057">
        <v>1131</v>
      </c>
      <c r="O3057" t="s">
        <v>7114</v>
      </c>
      <c r="P3057" t="s">
        <v>62</v>
      </c>
      <c r="Q3057">
        <v>1174139</v>
      </c>
      <c r="R3057">
        <v>1174765</v>
      </c>
      <c r="S3057" t="s">
        <v>3095</v>
      </c>
      <c r="T3057">
        <v>209</v>
      </c>
      <c r="U3057" t="s">
        <v>2289</v>
      </c>
      <c r="V3057">
        <v>37</v>
      </c>
      <c r="W3057" t="str">
        <f>HYPERLINK("Gene1131-zp_tree_all.dnd", "Gene1131-tree")</f>
        <v>Gene1131-tree</v>
      </c>
      <c r="X3057">
        <v>11</v>
      </c>
      <c r="Y3057">
        <v>1</v>
      </c>
      <c r="Z3057">
        <v>11</v>
      </c>
      <c r="AA3057">
        <v>1</v>
      </c>
      <c r="AB3057">
        <v>8.3330000000000001E-2</v>
      </c>
      <c r="AC3057" t="s">
        <v>73</v>
      </c>
      <c r="AD3057" t="s">
        <v>175</v>
      </c>
      <c r="AE3057" t="s">
        <v>62</v>
      </c>
      <c r="AF3057" t="s">
        <v>62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9</v>
      </c>
      <c r="AV3057">
        <v>8</v>
      </c>
      <c r="AW3057">
        <v>13</v>
      </c>
      <c r="AX3057">
        <v>1</v>
      </c>
      <c r="AY3057">
        <v>14</v>
      </c>
      <c r="AZ3057">
        <v>0</v>
      </c>
      <c r="BA3057" t="s">
        <v>7115</v>
      </c>
      <c r="BB3057" t="s">
        <v>193</v>
      </c>
      <c r="BC3057">
        <v>0.36499999999999999</v>
      </c>
      <c r="BD3057" t="s">
        <v>65</v>
      </c>
      <c r="BE3057">
        <v>27</v>
      </c>
      <c r="BF3057">
        <v>1</v>
      </c>
      <c r="BG3057" t="s">
        <v>7116</v>
      </c>
      <c r="BH3057" t="s">
        <v>7117</v>
      </c>
      <c r="BI3057" t="s">
        <v>7118</v>
      </c>
      <c r="BJ3057">
        <v>7.6600000000000001E-3</v>
      </c>
      <c r="BK3057">
        <v>1</v>
      </c>
      <c r="BL3057" t="s">
        <v>69</v>
      </c>
      <c r="BM3057">
        <v>-0.32800000000000001</v>
      </c>
      <c r="BN3057">
        <v>5.5E-2</v>
      </c>
    </row>
    <row r="3058" spans="10:66">
      <c r="J3058">
        <v>0</v>
      </c>
      <c r="K3058">
        <v>8</v>
      </c>
      <c r="L3058">
        <v>0</v>
      </c>
      <c r="M3058" t="s">
        <v>25021</v>
      </c>
      <c r="N3058">
        <v>1132</v>
      </c>
      <c r="O3058" t="s">
        <v>7119</v>
      </c>
      <c r="P3058" t="s">
        <v>62</v>
      </c>
      <c r="Q3058">
        <v>1174864</v>
      </c>
      <c r="R3058">
        <v>1175976</v>
      </c>
      <c r="S3058" t="s">
        <v>7120</v>
      </c>
      <c r="T3058">
        <v>371</v>
      </c>
      <c r="U3058" t="s">
        <v>7121</v>
      </c>
      <c r="V3058">
        <v>36</v>
      </c>
      <c r="W3058" t="str">
        <f>HYPERLINK("Gene1132-zp_tree_all.dnd", "Gene1132-tree")</f>
        <v>Gene1132-tree</v>
      </c>
      <c r="X3058">
        <v>2</v>
      </c>
      <c r="Y3058">
        <v>11</v>
      </c>
      <c r="Z3058">
        <v>2</v>
      </c>
      <c r="AA3058">
        <v>11</v>
      </c>
      <c r="AB3058">
        <v>0.84614999999999996</v>
      </c>
      <c r="AC3058" t="s">
        <v>81</v>
      </c>
      <c r="AD3058" t="s">
        <v>73</v>
      </c>
      <c r="AE3058">
        <v>515075683.63</v>
      </c>
      <c r="AF3058" t="s">
        <v>267</v>
      </c>
      <c r="AG3058">
        <v>4</v>
      </c>
      <c r="AH3058">
        <v>8</v>
      </c>
      <c r="AI3058">
        <v>19</v>
      </c>
      <c r="AJ3058">
        <v>0.29630000000000001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6</v>
      </c>
      <c r="AQ3058">
        <v>0</v>
      </c>
      <c r="AR3058">
        <v>6</v>
      </c>
      <c r="AS3058">
        <v>16</v>
      </c>
      <c r="AT3058">
        <v>0.27272999999999997</v>
      </c>
      <c r="AU3058">
        <v>10</v>
      </c>
      <c r="AV3058">
        <v>8</v>
      </c>
      <c r="AW3058">
        <v>30</v>
      </c>
      <c r="AX3058">
        <v>20</v>
      </c>
      <c r="AY3058">
        <v>17</v>
      </c>
      <c r="AZ3058">
        <v>7</v>
      </c>
      <c r="BA3058" t="s">
        <v>7122</v>
      </c>
      <c r="BB3058" t="s">
        <v>7123</v>
      </c>
      <c r="BC3058">
        <v>0.73699999999999999</v>
      </c>
      <c r="BD3058" t="s">
        <v>65</v>
      </c>
      <c r="BE3058">
        <v>47</v>
      </c>
      <c r="BF3058">
        <v>27</v>
      </c>
      <c r="BG3058" t="s">
        <v>7124</v>
      </c>
      <c r="BH3058" t="s">
        <v>7125</v>
      </c>
      <c r="BI3058" t="s">
        <v>7126</v>
      </c>
      <c r="BJ3058">
        <v>0.15581</v>
      </c>
      <c r="BK3058">
        <v>1</v>
      </c>
      <c r="BL3058" t="s">
        <v>69</v>
      </c>
      <c r="BM3058">
        <v>-1.673</v>
      </c>
      <c r="BN3058">
        <v>-2.3330000000000002</v>
      </c>
    </row>
    <row r="3059" spans="10:66">
      <c r="J3059">
        <v>0</v>
      </c>
      <c r="K3059">
        <v>3</v>
      </c>
      <c r="L3059">
        <v>0</v>
      </c>
      <c r="M3059" t="s">
        <v>25021</v>
      </c>
      <c r="N3059">
        <v>1133</v>
      </c>
      <c r="O3059" t="s">
        <v>7127</v>
      </c>
      <c r="P3059" t="s">
        <v>62</v>
      </c>
      <c r="Q3059">
        <v>1175988</v>
      </c>
      <c r="R3059">
        <v>1177253</v>
      </c>
      <c r="S3059" t="s">
        <v>2641</v>
      </c>
      <c r="T3059">
        <v>422</v>
      </c>
      <c r="U3059" t="s">
        <v>2289</v>
      </c>
      <c r="V3059">
        <v>37</v>
      </c>
      <c r="W3059" t="str">
        <f>HYPERLINK("Gene1133-zp_tree_all.dnd", "Gene1133-tree")</f>
        <v>Gene1133-tree</v>
      </c>
      <c r="X3059">
        <v>8</v>
      </c>
      <c r="Y3059">
        <v>6</v>
      </c>
      <c r="Z3059">
        <v>8</v>
      </c>
      <c r="AA3059">
        <v>6</v>
      </c>
      <c r="AB3059">
        <v>0.42857000000000001</v>
      </c>
      <c r="AC3059" t="s">
        <v>136</v>
      </c>
      <c r="AD3059" t="s">
        <v>90</v>
      </c>
      <c r="AE3059" t="s">
        <v>62</v>
      </c>
      <c r="AF3059" t="s">
        <v>62</v>
      </c>
      <c r="AG3059">
        <v>1</v>
      </c>
      <c r="AH3059">
        <v>3</v>
      </c>
      <c r="AI3059">
        <v>6</v>
      </c>
      <c r="AJ3059">
        <v>0.33333000000000002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6</v>
      </c>
      <c r="AT3059">
        <v>0</v>
      </c>
      <c r="AU3059">
        <v>12</v>
      </c>
      <c r="AV3059">
        <v>8</v>
      </c>
      <c r="AW3059">
        <v>63</v>
      </c>
      <c r="AX3059">
        <v>7</v>
      </c>
      <c r="AY3059">
        <v>14</v>
      </c>
      <c r="AZ3059">
        <v>4</v>
      </c>
      <c r="BA3059" t="s">
        <v>7128</v>
      </c>
      <c r="BB3059" t="s">
        <v>7129</v>
      </c>
      <c r="BC3059">
        <v>1.2609999999999999</v>
      </c>
      <c r="BD3059" t="s">
        <v>65</v>
      </c>
      <c r="BE3059">
        <v>77</v>
      </c>
      <c r="BF3059">
        <v>11</v>
      </c>
      <c r="BG3059" t="s">
        <v>7130</v>
      </c>
      <c r="BH3059" t="s">
        <v>7131</v>
      </c>
      <c r="BI3059" t="s">
        <v>7132</v>
      </c>
      <c r="BJ3059">
        <v>4.1059999999999999E-2</v>
      </c>
      <c r="BK3059">
        <v>1</v>
      </c>
      <c r="BL3059" t="s">
        <v>69</v>
      </c>
      <c r="BM3059">
        <v>-2.008</v>
      </c>
      <c r="BN3059">
        <v>-4.2320000000000002</v>
      </c>
    </row>
    <row r="3060" spans="10:66">
      <c r="J3060">
        <v>2</v>
      </c>
      <c r="K3060">
        <v>22</v>
      </c>
      <c r="L3060">
        <v>4</v>
      </c>
      <c r="M3060" t="s">
        <v>25021</v>
      </c>
      <c r="N3060">
        <v>1134</v>
      </c>
      <c r="O3060" t="s">
        <v>7133</v>
      </c>
      <c r="P3060" t="s">
        <v>62</v>
      </c>
      <c r="Q3060">
        <v>1177368</v>
      </c>
      <c r="R3060">
        <v>1178213</v>
      </c>
      <c r="S3060" t="s">
        <v>3718</v>
      </c>
      <c r="T3060">
        <v>282</v>
      </c>
      <c r="U3060" t="s">
        <v>7134</v>
      </c>
      <c r="V3060">
        <v>35</v>
      </c>
      <c r="W3060" t="str">
        <f>HYPERLINK("Gene1134-zp_tree_all.dnd", "Gene1134-tree")</f>
        <v>Gene1134-tree</v>
      </c>
      <c r="X3060">
        <v>4</v>
      </c>
      <c r="Y3060">
        <v>10</v>
      </c>
      <c r="Z3060">
        <v>4</v>
      </c>
      <c r="AA3060">
        <v>10</v>
      </c>
      <c r="AB3060">
        <v>0.71428999999999998</v>
      </c>
      <c r="AC3060" t="s">
        <v>61</v>
      </c>
      <c r="AD3060" t="s">
        <v>117</v>
      </c>
      <c r="AE3060" t="s">
        <v>62</v>
      </c>
      <c r="AF3060" t="s">
        <v>62</v>
      </c>
      <c r="AG3060">
        <v>12</v>
      </c>
      <c r="AH3060">
        <v>28</v>
      </c>
      <c r="AI3060">
        <v>13</v>
      </c>
      <c r="AJ3060">
        <v>0.68293000000000004</v>
      </c>
      <c r="AK3060">
        <v>0</v>
      </c>
      <c r="AL3060">
        <v>0</v>
      </c>
      <c r="AM3060">
        <v>0</v>
      </c>
      <c r="AN3060">
        <v>2</v>
      </c>
      <c r="AO3060">
        <v>0</v>
      </c>
      <c r="AP3060">
        <v>8</v>
      </c>
      <c r="AQ3060">
        <v>1</v>
      </c>
      <c r="AR3060">
        <v>9</v>
      </c>
      <c r="AS3060">
        <v>12</v>
      </c>
      <c r="AT3060">
        <v>0.42857000000000001</v>
      </c>
      <c r="AU3060">
        <v>13</v>
      </c>
      <c r="AV3060">
        <v>11</v>
      </c>
      <c r="AW3060">
        <v>45</v>
      </c>
      <c r="AX3060">
        <v>21</v>
      </c>
      <c r="AY3060">
        <v>29</v>
      </c>
      <c r="AZ3060">
        <v>21</v>
      </c>
      <c r="BA3060" t="s">
        <v>7135</v>
      </c>
      <c r="BB3060" t="s">
        <v>7136</v>
      </c>
      <c r="BC3060">
        <v>0.67600000000000005</v>
      </c>
      <c r="BD3060" t="s">
        <v>65</v>
      </c>
      <c r="BE3060">
        <v>74</v>
      </c>
      <c r="BF3060">
        <v>42</v>
      </c>
      <c r="BG3060" t="s">
        <v>7137</v>
      </c>
      <c r="BH3060" t="s">
        <v>7138</v>
      </c>
      <c r="BI3060" t="s">
        <v>7139</v>
      </c>
      <c r="BJ3060">
        <v>0.19516</v>
      </c>
      <c r="BK3060">
        <v>1</v>
      </c>
      <c r="BL3060" t="s">
        <v>69</v>
      </c>
      <c r="BM3060">
        <v>0.23899999999999999</v>
      </c>
      <c r="BN3060">
        <v>-0.81599999999999995</v>
      </c>
    </row>
    <row r="3061" spans="10:66">
      <c r="J3061">
        <v>0</v>
      </c>
      <c r="K3061">
        <v>5</v>
      </c>
      <c r="L3061">
        <v>2</v>
      </c>
      <c r="M3061" t="s">
        <v>25021</v>
      </c>
      <c r="N3061">
        <v>1136</v>
      </c>
      <c r="O3061" t="s">
        <v>7140</v>
      </c>
      <c r="P3061" t="s">
        <v>62</v>
      </c>
      <c r="Q3061">
        <v>1178760</v>
      </c>
      <c r="R3061">
        <v>1180595</v>
      </c>
      <c r="S3061" t="s">
        <v>7141</v>
      </c>
      <c r="T3061">
        <v>612</v>
      </c>
      <c r="U3061" t="s">
        <v>108</v>
      </c>
      <c r="V3061">
        <v>44</v>
      </c>
      <c r="W3061" t="str">
        <f>HYPERLINK("Gene1136-zp_tree_all.dnd", "Gene1136-tree")</f>
        <v>Gene1136-tree</v>
      </c>
      <c r="X3061">
        <v>26</v>
      </c>
      <c r="Y3061">
        <v>8</v>
      </c>
      <c r="Z3061">
        <v>9</v>
      </c>
      <c r="AA3061">
        <v>8</v>
      </c>
      <c r="AB3061">
        <v>0.47059000000000001</v>
      </c>
      <c r="AC3061" t="s">
        <v>4723</v>
      </c>
      <c r="AD3061" t="s">
        <v>136</v>
      </c>
      <c r="AE3061" t="s">
        <v>62</v>
      </c>
      <c r="AF3061" t="s">
        <v>62</v>
      </c>
      <c r="AG3061">
        <v>3</v>
      </c>
      <c r="AH3061">
        <v>7</v>
      </c>
      <c r="AI3061">
        <v>13</v>
      </c>
      <c r="AJ3061">
        <v>0.35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2</v>
      </c>
      <c r="AR3061">
        <v>2</v>
      </c>
      <c r="AS3061">
        <v>11</v>
      </c>
      <c r="AT3061">
        <v>0.15384999999999999</v>
      </c>
      <c r="AU3061">
        <v>15</v>
      </c>
      <c r="AV3061">
        <v>13</v>
      </c>
      <c r="AW3061">
        <v>64</v>
      </c>
      <c r="AX3061">
        <v>11</v>
      </c>
      <c r="AY3061">
        <v>73</v>
      </c>
      <c r="AZ3061">
        <v>9</v>
      </c>
      <c r="BA3061" t="s">
        <v>7142</v>
      </c>
      <c r="BB3061" t="s">
        <v>7143</v>
      </c>
      <c r="BC3061">
        <v>0.38800000000000001</v>
      </c>
      <c r="BD3061" t="s">
        <v>65</v>
      </c>
      <c r="BE3061">
        <v>137</v>
      </c>
      <c r="BF3061">
        <v>20</v>
      </c>
      <c r="BG3061" t="s">
        <v>7144</v>
      </c>
      <c r="BH3061" t="s">
        <v>7145</v>
      </c>
      <c r="BI3061" t="s">
        <v>7146</v>
      </c>
      <c r="BJ3061">
        <v>3.9079999999999997E-2</v>
      </c>
      <c r="BK3061">
        <v>1</v>
      </c>
      <c r="BL3061" t="s">
        <v>69</v>
      </c>
      <c r="BM3061">
        <v>-0.215</v>
      </c>
      <c r="BN3061">
        <v>-0.94699999999999995</v>
      </c>
    </row>
    <row r="3062" spans="10:66">
      <c r="J3062">
        <v>0</v>
      </c>
      <c r="K3062">
        <v>2</v>
      </c>
      <c r="L3062">
        <v>0</v>
      </c>
      <c r="M3062" t="s">
        <v>25021</v>
      </c>
      <c r="N3062">
        <v>1137</v>
      </c>
      <c r="O3062" t="s">
        <v>7147</v>
      </c>
      <c r="P3062" t="s">
        <v>62</v>
      </c>
      <c r="Q3062">
        <v>1180912</v>
      </c>
      <c r="R3062">
        <v>1181400</v>
      </c>
      <c r="S3062" t="s">
        <v>7148</v>
      </c>
      <c r="T3062">
        <v>163</v>
      </c>
      <c r="U3062" t="s">
        <v>1557</v>
      </c>
      <c r="V3062">
        <v>40</v>
      </c>
      <c r="W3062" t="str">
        <f>HYPERLINK("Gene1137-zp_tree_all.dnd", "Gene1137-tree")</f>
        <v>Gene1137-tree</v>
      </c>
      <c r="X3062">
        <v>10</v>
      </c>
      <c r="Y3062">
        <v>4</v>
      </c>
      <c r="Z3062">
        <v>10</v>
      </c>
      <c r="AA3062">
        <v>4</v>
      </c>
      <c r="AB3062">
        <v>0.28571000000000002</v>
      </c>
      <c r="AC3062" t="s">
        <v>117</v>
      </c>
      <c r="AD3062" t="s">
        <v>61</v>
      </c>
      <c r="AE3062" t="s">
        <v>62</v>
      </c>
      <c r="AF3062" t="s">
        <v>62</v>
      </c>
      <c r="AG3062">
        <v>1</v>
      </c>
      <c r="AH3062">
        <v>2</v>
      </c>
      <c r="AI3062">
        <v>4</v>
      </c>
      <c r="AJ3062">
        <v>0.33333000000000002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4</v>
      </c>
      <c r="AT3062">
        <v>0</v>
      </c>
      <c r="AU3062">
        <v>11</v>
      </c>
      <c r="AV3062">
        <v>7</v>
      </c>
      <c r="AW3062">
        <v>21</v>
      </c>
      <c r="AX3062">
        <v>4</v>
      </c>
      <c r="AY3062">
        <v>10</v>
      </c>
      <c r="AZ3062">
        <v>2</v>
      </c>
      <c r="BA3062" t="s">
        <v>7149</v>
      </c>
      <c r="BB3062" t="s">
        <v>7150</v>
      </c>
      <c r="BC3062">
        <v>4.2999999999999997E-2</v>
      </c>
      <c r="BD3062" t="s">
        <v>65</v>
      </c>
      <c r="BE3062">
        <v>31</v>
      </c>
      <c r="BF3062">
        <v>6</v>
      </c>
      <c r="BG3062" t="s">
        <v>7151</v>
      </c>
      <c r="BH3062" t="s">
        <v>7152</v>
      </c>
      <c r="BI3062" t="s">
        <v>7153</v>
      </c>
      <c r="BJ3062">
        <v>7.5759999999999994E-2</v>
      </c>
      <c r="BK3062">
        <v>1</v>
      </c>
      <c r="BL3062" t="s">
        <v>69</v>
      </c>
      <c r="BM3062">
        <v>-0.88300000000000001</v>
      </c>
      <c r="BN3062">
        <v>-0.85499999999999998</v>
      </c>
    </row>
    <row r="3063" spans="10:66">
      <c r="J3063">
        <v>0</v>
      </c>
      <c r="K3063">
        <v>0</v>
      </c>
      <c r="L3063">
        <v>0</v>
      </c>
      <c r="M3063" t="s">
        <v>25021</v>
      </c>
      <c r="N3063">
        <v>1139</v>
      </c>
      <c r="O3063" t="s">
        <v>7162</v>
      </c>
      <c r="P3063" t="s">
        <v>62</v>
      </c>
      <c r="Q3063">
        <v>1182451</v>
      </c>
      <c r="R3063">
        <v>1183032</v>
      </c>
      <c r="S3063" t="s">
        <v>288</v>
      </c>
      <c r="T3063">
        <v>194</v>
      </c>
      <c r="U3063" t="s">
        <v>7163</v>
      </c>
      <c r="V3063">
        <v>40</v>
      </c>
      <c r="W3063" t="str">
        <f>HYPERLINK("Gene1139-zp_tree_all.dnd", "Gene1139-tree")</f>
        <v>Gene1139-tree</v>
      </c>
      <c r="X3063">
        <v>9</v>
      </c>
      <c r="Y3063">
        <v>4</v>
      </c>
      <c r="Z3063">
        <v>9</v>
      </c>
      <c r="AA3063">
        <v>4</v>
      </c>
      <c r="AB3063">
        <v>0.30769000000000002</v>
      </c>
      <c r="AC3063" t="s">
        <v>135</v>
      </c>
      <c r="AD3063" t="s">
        <v>61</v>
      </c>
      <c r="AE3063" t="s">
        <v>62</v>
      </c>
      <c r="AF3063" t="s">
        <v>62</v>
      </c>
      <c r="AG3063">
        <v>0</v>
      </c>
      <c r="AH3063">
        <v>0</v>
      </c>
      <c r="AI3063">
        <v>5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4</v>
      </c>
      <c r="AT3063">
        <v>0</v>
      </c>
      <c r="AU3063">
        <v>12</v>
      </c>
      <c r="AV3063">
        <v>4</v>
      </c>
      <c r="AW3063">
        <v>19</v>
      </c>
      <c r="AX3063">
        <v>4</v>
      </c>
      <c r="AY3063">
        <v>25</v>
      </c>
      <c r="AZ3063">
        <v>1</v>
      </c>
      <c r="BA3063" t="s">
        <v>7164</v>
      </c>
      <c r="BB3063" t="s">
        <v>7165</v>
      </c>
      <c r="BC3063">
        <v>1.01</v>
      </c>
      <c r="BD3063" t="s">
        <v>65</v>
      </c>
      <c r="BE3063">
        <v>44</v>
      </c>
      <c r="BF3063">
        <v>5</v>
      </c>
      <c r="BG3063" t="s">
        <v>7166</v>
      </c>
      <c r="BH3063" t="s">
        <v>7167</v>
      </c>
      <c r="BI3063" t="s">
        <v>7168</v>
      </c>
      <c r="BJ3063">
        <v>2.529E-2</v>
      </c>
      <c r="BK3063">
        <v>1</v>
      </c>
      <c r="BL3063" t="s">
        <v>69</v>
      </c>
      <c r="BM3063">
        <v>-1.7</v>
      </c>
      <c r="BN3063">
        <v>-0.21</v>
      </c>
    </row>
    <row r="3064" spans="10:66">
      <c r="J3064">
        <v>0</v>
      </c>
      <c r="K3064">
        <v>2</v>
      </c>
      <c r="L3064">
        <v>4</v>
      </c>
      <c r="M3064" t="s">
        <v>25021</v>
      </c>
      <c r="N3064">
        <v>1140</v>
      </c>
      <c r="O3064" t="s">
        <v>7169</v>
      </c>
      <c r="P3064" t="s">
        <v>62</v>
      </c>
      <c r="Q3064">
        <v>1183032</v>
      </c>
      <c r="R3064">
        <v>1183958</v>
      </c>
      <c r="S3064" t="s">
        <v>7170</v>
      </c>
      <c r="T3064">
        <v>309</v>
      </c>
      <c r="U3064" t="s">
        <v>7163</v>
      </c>
      <c r="V3064">
        <v>40</v>
      </c>
      <c r="W3064" t="str">
        <f>HYPERLINK("Gene1140-zp_tree_all.dnd", "Gene1140-tree")</f>
        <v>Gene1140-tree</v>
      </c>
      <c r="X3064">
        <v>11</v>
      </c>
      <c r="Y3064">
        <v>3</v>
      </c>
      <c r="Z3064">
        <v>11</v>
      </c>
      <c r="AA3064">
        <v>3</v>
      </c>
      <c r="AB3064">
        <v>0.21429000000000001</v>
      </c>
      <c r="AC3064" t="s">
        <v>73</v>
      </c>
      <c r="AD3064" t="s">
        <v>324</v>
      </c>
      <c r="AE3064" t="s">
        <v>62</v>
      </c>
      <c r="AF3064" t="s">
        <v>62</v>
      </c>
      <c r="AG3064">
        <v>3</v>
      </c>
      <c r="AH3064">
        <v>6</v>
      </c>
      <c r="AI3064">
        <v>10</v>
      </c>
      <c r="AJ3064">
        <v>0.375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3</v>
      </c>
      <c r="AT3064">
        <v>0</v>
      </c>
      <c r="AU3064">
        <v>12</v>
      </c>
      <c r="AV3064">
        <v>9</v>
      </c>
      <c r="AW3064">
        <v>26</v>
      </c>
      <c r="AX3064">
        <v>3</v>
      </c>
      <c r="AY3064">
        <v>37</v>
      </c>
      <c r="AZ3064">
        <v>13</v>
      </c>
      <c r="BA3064" t="s">
        <v>7171</v>
      </c>
      <c r="BB3064" t="s">
        <v>7172</v>
      </c>
      <c r="BC3064">
        <v>0.29899999999999999</v>
      </c>
      <c r="BD3064" t="s">
        <v>65</v>
      </c>
      <c r="BE3064">
        <v>63</v>
      </c>
      <c r="BF3064">
        <v>16</v>
      </c>
      <c r="BG3064" t="s">
        <v>7173</v>
      </c>
      <c r="BH3064" t="s">
        <v>7174</v>
      </c>
      <c r="BI3064" t="s">
        <v>7175</v>
      </c>
      <c r="BJ3064">
        <v>7.2690000000000005E-2</v>
      </c>
      <c r="BK3064">
        <v>1</v>
      </c>
      <c r="BL3064" t="s">
        <v>69</v>
      </c>
      <c r="BM3064">
        <v>-1.4830000000000001</v>
      </c>
      <c r="BN3064">
        <v>-0.187</v>
      </c>
    </row>
    <row r="3065" spans="10:66">
      <c r="J3065">
        <v>0</v>
      </c>
      <c r="K3065">
        <v>0</v>
      </c>
      <c r="L3065">
        <v>2</v>
      </c>
      <c r="M3065" t="s">
        <v>25021</v>
      </c>
      <c r="N3065">
        <v>1141</v>
      </c>
      <c r="O3065" t="s">
        <v>7176</v>
      </c>
      <c r="P3065" t="s">
        <v>62</v>
      </c>
      <c r="Q3065">
        <v>1183946</v>
      </c>
      <c r="R3065">
        <v>1184479</v>
      </c>
      <c r="S3065" t="s">
        <v>288</v>
      </c>
      <c r="T3065">
        <v>178</v>
      </c>
      <c r="U3065" t="s">
        <v>7163</v>
      </c>
      <c r="V3065">
        <v>40</v>
      </c>
      <c r="W3065" t="str">
        <f>HYPERLINK("Gene1141-zp_tree_all.dnd", "Gene1141-tree")</f>
        <v>Gene1141-tree</v>
      </c>
      <c r="X3065">
        <v>9</v>
      </c>
      <c r="Y3065">
        <v>4</v>
      </c>
      <c r="Z3065">
        <v>9</v>
      </c>
      <c r="AA3065">
        <v>4</v>
      </c>
      <c r="AB3065">
        <v>0.30769000000000002</v>
      </c>
      <c r="AC3065" t="s">
        <v>135</v>
      </c>
      <c r="AD3065" t="s">
        <v>61</v>
      </c>
      <c r="AE3065" t="s">
        <v>62</v>
      </c>
      <c r="AF3065" t="s">
        <v>62</v>
      </c>
      <c r="AG3065">
        <v>1</v>
      </c>
      <c r="AH3065">
        <v>2</v>
      </c>
      <c r="AI3065">
        <v>10</v>
      </c>
      <c r="AJ3065">
        <v>0.16667000000000001</v>
      </c>
      <c r="AK3065">
        <v>0</v>
      </c>
      <c r="AL3065">
        <v>0</v>
      </c>
      <c r="AM3065">
        <v>0</v>
      </c>
      <c r="AN3065">
        <v>8</v>
      </c>
      <c r="AO3065">
        <v>0</v>
      </c>
      <c r="AP3065">
        <v>0</v>
      </c>
      <c r="AQ3065">
        <v>2</v>
      </c>
      <c r="AR3065">
        <v>2</v>
      </c>
      <c r="AS3065">
        <v>2</v>
      </c>
      <c r="AT3065">
        <v>0.5</v>
      </c>
      <c r="AU3065">
        <v>9</v>
      </c>
      <c r="AV3065">
        <v>6</v>
      </c>
      <c r="AW3065">
        <v>11</v>
      </c>
      <c r="AX3065">
        <v>3</v>
      </c>
      <c r="AY3065">
        <v>16</v>
      </c>
      <c r="AZ3065">
        <v>9</v>
      </c>
      <c r="BA3065" t="s">
        <v>7177</v>
      </c>
      <c r="BB3065" t="s">
        <v>7178</v>
      </c>
      <c r="BC3065">
        <v>0.189</v>
      </c>
      <c r="BD3065" t="s">
        <v>65</v>
      </c>
      <c r="BE3065">
        <v>27</v>
      </c>
      <c r="BF3065">
        <v>12</v>
      </c>
      <c r="BG3065" t="s">
        <v>7179</v>
      </c>
      <c r="BH3065" t="s">
        <v>7180</v>
      </c>
      <c r="BI3065" t="s">
        <v>7181</v>
      </c>
      <c r="BJ3065">
        <v>0.13951</v>
      </c>
      <c r="BK3065">
        <v>1</v>
      </c>
      <c r="BL3065" t="s">
        <v>69</v>
      </c>
      <c r="BM3065">
        <v>-1.7709999999999999</v>
      </c>
      <c r="BN3065">
        <v>-0.33800000000000002</v>
      </c>
    </row>
    <row r="3066" spans="10:66">
      <c r="J3066">
        <v>0</v>
      </c>
      <c r="K3066">
        <v>3</v>
      </c>
      <c r="L3066">
        <v>0</v>
      </c>
      <c r="M3066" t="s">
        <v>25021</v>
      </c>
      <c r="N3066">
        <v>1146</v>
      </c>
      <c r="O3066" t="s">
        <v>7207</v>
      </c>
      <c r="P3066" t="s">
        <v>62</v>
      </c>
      <c r="Q3066">
        <v>1187703</v>
      </c>
      <c r="R3066">
        <v>1188551</v>
      </c>
      <c r="S3066" t="s">
        <v>7208</v>
      </c>
      <c r="T3066">
        <v>283</v>
      </c>
      <c r="U3066" t="s">
        <v>108</v>
      </c>
      <c r="V3066">
        <v>44</v>
      </c>
      <c r="W3066" t="str">
        <f>HYPERLINK("Gene1146-zp_tree_all.dnd", "Gene1146-tree")</f>
        <v>Gene1146-tree</v>
      </c>
      <c r="X3066">
        <v>11</v>
      </c>
      <c r="Y3066">
        <v>3</v>
      </c>
      <c r="Z3066">
        <v>11</v>
      </c>
      <c r="AA3066">
        <v>3</v>
      </c>
      <c r="AB3066">
        <v>0.21429000000000001</v>
      </c>
      <c r="AC3066" t="s">
        <v>73</v>
      </c>
      <c r="AD3066" t="s">
        <v>324</v>
      </c>
      <c r="AE3066" t="s">
        <v>62</v>
      </c>
      <c r="AF3066" t="s">
        <v>62</v>
      </c>
      <c r="AG3066">
        <v>1</v>
      </c>
      <c r="AH3066">
        <v>3</v>
      </c>
      <c r="AI3066">
        <v>7</v>
      </c>
      <c r="AJ3066">
        <v>0.3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6</v>
      </c>
      <c r="AT3066">
        <v>0</v>
      </c>
      <c r="AU3066">
        <v>12</v>
      </c>
      <c r="AV3066">
        <v>7</v>
      </c>
      <c r="AW3066">
        <v>24</v>
      </c>
      <c r="AX3066">
        <v>3</v>
      </c>
      <c r="AY3066">
        <v>9</v>
      </c>
      <c r="AZ3066">
        <v>7</v>
      </c>
      <c r="BA3066" t="s">
        <v>7209</v>
      </c>
      <c r="BB3066" t="s">
        <v>7210</v>
      </c>
      <c r="BC3066">
        <v>1.248</v>
      </c>
      <c r="BD3066" t="s">
        <v>65</v>
      </c>
      <c r="BE3066">
        <v>33</v>
      </c>
      <c r="BF3066">
        <v>10</v>
      </c>
      <c r="BG3066" t="s">
        <v>7211</v>
      </c>
      <c r="BH3066" t="s">
        <v>7212</v>
      </c>
      <c r="BI3066" t="s">
        <v>7213</v>
      </c>
      <c r="BJ3066">
        <v>0.13458000000000001</v>
      </c>
      <c r="BK3066">
        <v>1</v>
      </c>
      <c r="BL3066" t="s">
        <v>69</v>
      </c>
      <c r="BM3066">
        <v>-0.29099999999999998</v>
      </c>
      <c r="BN3066">
        <v>-0.67400000000000004</v>
      </c>
    </row>
    <row r="3067" spans="10:66">
      <c r="J3067">
        <v>0</v>
      </c>
      <c r="K3067">
        <v>0</v>
      </c>
      <c r="L3067">
        <v>0</v>
      </c>
      <c r="M3067" t="s">
        <v>25021</v>
      </c>
      <c r="N3067">
        <v>1149</v>
      </c>
      <c r="O3067" t="s">
        <v>7226</v>
      </c>
      <c r="P3067" t="s">
        <v>62</v>
      </c>
      <c r="Q3067">
        <v>1190039</v>
      </c>
      <c r="R3067">
        <v>1190233</v>
      </c>
      <c r="S3067" t="s">
        <v>7227</v>
      </c>
      <c r="T3067">
        <v>65</v>
      </c>
      <c r="U3067" t="s">
        <v>409</v>
      </c>
      <c r="V3067">
        <v>45</v>
      </c>
      <c r="W3067" t="str">
        <f>HYPERLINK("Gene1149-zp_tree_all.dnd", "Gene1149-tree")</f>
        <v>Gene1149-tree</v>
      </c>
      <c r="X3067">
        <v>29</v>
      </c>
      <c r="Y3067">
        <v>1</v>
      </c>
      <c r="Z3067">
        <v>7</v>
      </c>
      <c r="AA3067">
        <v>1</v>
      </c>
      <c r="AB3067">
        <v>0.125</v>
      </c>
      <c r="AC3067" t="s">
        <v>1406</v>
      </c>
      <c r="AD3067" t="s">
        <v>175</v>
      </c>
      <c r="AE3067" t="s">
        <v>62</v>
      </c>
      <c r="AF3067" t="s">
        <v>62</v>
      </c>
      <c r="AG3067">
        <v>0</v>
      </c>
      <c r="AH3067">
        <v>0</v>
      </c>
      <c r="AI3067">
        <v>2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6</v>
      </c>
      <c r="AV3067">
        <v>3</v>
      </c>
      <c r="AW3067">
        <v>10</v>
      </c>
      <c r="AX3067">
        <v>1</v>
      </c>
      <c r="AY3067">
        <v>4</v>
      </c>
      <c r="AZ3067">
        <v>1</v>
      </c>
      <c r="BA3067" t="s">
        <v>7228</v>
      </c>
      <c r="BB3067" t="s">
        <v>7229</v>
      </c>
      <c r="BC3067">
        <v>0.35599999999999998</v>
      </c>
      <c r="BD3067" t="s">
        <v>65</v>
      </c>
      <c r="BE3067">
        <v>14</v>
      </c>
      <c r="BF3067">
        <v>2</v>
      </c>
      <c r="BG3067" t="s">
        <v>7230</v>
      </c>
      <c r="BH3067" t="s">
        <v>7231</v>
      </c>
      <c r="BI3067" t="s">
        <v>7232</v>
      </c>
      <c r="BJ3067">
        <v>7.3179999999999995E-2</v>
      </c>
      <c r="BK3067">
        <v>1</v>
      </c>
      <c r="BL3067" t="s">
        <v>69</v>
      </c>
      <c r="BM3067">
        <v>-1.0049999999999999</v>
      </c>
      <c r="BN3067">
        <v>-2.206</v>
      </c>
    </row>
    <row r="3068" spans="10:66">
      <c r="J3068">
        <v>0</v>
      </c>
      <c r="K3068">
        <v>4</v>
      </c>
      <c r="L3068">
        <v>2</v>
      </c>
      <c r="M3068" t="s">
        <v>25021</v>
      </c>
      <c r="N3068">
        <v>1150</v>
      </c>
      <c r="O3068" t="s">
        <v>7233</v>
      </c>
      <c r="P3068" t="s">
        <v>62</v>
      </c>
      <c r="Q3068">
        <v>1190493</v>
      </c>
      <c r="R3068">
        <v>1191302</v>
      </c>
      <c r="S3068" t="s">
        <v>7234</v>
      </c>
      <c r="T3068">
        <v>270</v>
      </c>
      <c r="U3068" t="s">
        <v>108</v>
      </c>
      <c r="V3068">
        <v>44</v>
      </c>
      <c r="W3068" t="str">
        <f>HYPERLINK("Gene1150-zp_tree_all.dnd", "Gene1150-tree")</f>
        <v>Gene1150-tree</v>
      </c>
      <c r="X3068">
        <v>5</v>
      </c>
      <c r="Y3068">
        <v>29</v>
      </c>
      <c r="Z3068">
        <v>5</v>
      </c>
      <c r="AA3068">
        <v>9</v>
      </c>
      <c r="AB3068">
        <v>0.64285999999999999</v>
      </c>
      <c r="AC3068" t="s">
        <v>199</v>
      </c>
      <c r="AD3068" t="s">
        <v>234</v>
      </c>
      <c r="AE3068">
        <v>2.9169999999999998</v>
      </c>
      <c r="AF3068" t="s">
        <v>65</v>
      </c>
      <c r="AG3068">
        <v>2</v>
      </c>
      <c r="AH3068">
        <v>6</v>
      </c>
      <c r="AI3068">
        <v>5</v>
      </c>
      <c r="AJ3068">
        <v>0.54544999999999999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3</v>
      </c>
      <c r="AQ3068">
        <v>2</v>
      </c>
      <c r="AR3068">
        <v>5</v>
      </c>
      <c r="AS3068">
        <v>5</v>
      </c>
      <c r="AT3068">
        <v>0.5</v>
      </c>
      <c r="AU3068">
        <v>12</v>
      </c>
      <c r="AV3068">
        <v>9</v>
      </c>
      <c r="AW3068">
        <v>39</v>
      </c>
      <c r="AX3068">
        <v>10</v>
      </c>
      <c r="AY3068">
        <v>33</v>
      </c>
      <c r="AZ3068">
        <v>1</v>
      </c>
      <c r="BA3068" t="s">
        <v>7235</v>
      </c>
      <c r="BB3068" t="s">
        <v>7236</v>
      </c>
      <c r="BC3068">
        <v>2.036</v>
      </c>
      <c r="BD3068" t="s">
        <v>267</v>
      </c>
      <c r="BE3068">
        <v>72</v>
      </c>
      <c r="BF3068">
        <v>11</v>
      </c>
      <c r="BG3068" t="s">
        <v>7237</v>
      </c>
      <c r="BH3068" t="s">
        <v>7238</v>
      </c>
      <c r="BI3068" t="s">
        <v>7239</v>
      </c>
      <c r="BJ3068">
        <v>3.0169999999999999E-2</v>
      </c>
      <c r="BK3068">
        <v>1</v>
      </c>
      <c r="BL3068" t="s">
        <v>69</v>
      </c>
      <c r="BM3068">
        <v>6.4000000000000001E-2</v>
      </c>
      <c r="BN3068">
        <v>-0.97</v>
      </c>
    </row>
    <row r="3069" spans="10:66">
      <c r="J3069">
        <v>0</v>
      </c>
      <c r="K3069">
        <v>0</v>
      </c>
      <c r="L3069">
        <v>0</v>
      </c>
      <c r="M3069" t="s">
        <v>25021</v>
      </c>
      <c r="N3069">
        <v>1163</v>
      </c>
      <c r="O3069" t="s">
        <v>7324</v>
      </c>
      <c r="P3069" t="s">
        <v>62</v>
      </c>
      <c r="Q3069">
        <v>1204734</v>
      </c>
      <c r="R3069">
        <v>1204916</v>
      </c>
      <c r="S3069" t="s">
        <v>7325</v>
      </c>
      <c r="T3069">
        <v>61</v>
      </c>
      <c r="U3069" t="s">
        <v>59</v>
      </c>
      <c r="V3069">
        <v>49</v>
      </c>
      <c r="W3069" t="str">
        <f>HYPERLINK("Gene1163-zp_tree_all.dnd", "Gene1163-tree")</f>
        <v>Gene1163-tree</v>
      </c>
      <c r="X3069">
        <v>6</v>
      </c>
      <c r="Y3069">
        <v>2</v>
      </c>
      <c r="Z3069">
        <v>6</v>
      </c>
      <c r="AA3069">
        <v>2</v>
      </c>
      <c r="AB3069">
        <v>0.25</v>
      </c>
      <c r="AC3069" t="s">
        <v>90</v>
      </c>
      <c r="AD3069" t="s">
        <v>81</v>
      </c>
      <c r="AE3069" t="s">
        <v>62</v>
      </c>
      <c r="AF3069" t="s">
        <v>62</v>
      </c>
      <c r="AG3069">
        <v>0</v>
      </c>
      <c r="AH3069">
        <v>0</v>
      </c>
      <c r="AI3069">
        <v>5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2</v>
      </c>
      <c r="AT3069">
        <v>0</v>
      </c>
      <c r="AU3069">
        <v>6</v>
      </c>
      <c r="AV3069">
        <v>2</v>
      </c>
      <c r="AW3069">
        <v>4</v>
      </c>
      <c r="AX3069">
        <v>2</v>
      </c>
      <c r="AY3069">
        <v>2</v>
      </c>
      <c r="AZ3069">
        <v>3</v>
      </c>
      <c r="BA3069" t="s">
        <v>7326</v>
      </c>
      <c r="BB3069" t="s">
        <v>7327</v>
      </c>
      <c r="BC3069">
        <v>0.85499999999999998</v>
      </c>
      <c r="BD3069" t="s">
        <v>65</v>
      </c>
      <c r="BE3069">
        <v>6</v>
      </c>
      <c r="BF3069">
        <v>5</v>
      </c>
      <c r="BG3069" t="s">
        <v>7328</v>
      </c>
      <c r="BH3069" t="s">
        <v>7329</v>
      </c>
      <c r="BI3069" t="s">
        <v>7330</v>
      </c>
      <c r="BJ3069">
        <v>0.30671999999999999</v>
      </c>
      <c r="BK3069">
        <v>0.876</v>
      </c>
      <c r="BL3069" t="s">
        <v>635</v>
      </c>
      <c r="BM3069">
        <v>-1.56</v>
      </c>
      <c r="BN3069">
        <v>-1.419</v>
      </c>
    </row>
    <row r="3070" spans="10:66">
      <c r="J3070">
        <v>0</v>
      </c>
      <c r="K3070">
        <v>0</v>
      </c>
      <c r="L3070">
        <v>0</v>
      </c>
      <c r="M3070" t="s">
        <v>25021</v>
      </c>
      <c r="N3070">
        <v>1168</v>
      </c>
      <c r="O3070" t="s">
        <v>7356</v>
      </c>
      <c r="P3070" t="s">
        <v>62</v>
      </c>
      <c r="Q3070">
        <v>1207821</v>
      </c>
      <c r="R3070">
        <v>1208057</v>
      </c>
      <c r="S3070" t="s">
        <v>3688</v>
      </c>
      <c r="T3070">
        <v>79</v>
      </c>
      <c r="U3070" t="s">
        <v>1933</v>
      </c>
      <c r="V3070">
        <v>39</v>
      </c>
      <c r="W3070" t="str">
        <f>HYPERLINK("Gene1168-zp_tree_all.dnd", "Gene1168-tree")</f>
        <v>Gene1168-tree</v>
      </c>
      <c r="X3070">
        <v>34</v>
      </c>
      <c r="Y3070">
        <v>2</v>
      </c>
      <c r="Z3070">
        <v>4</v>
      </c>
      <c r="AA3070">
        <v>2</v>
      </c>
      <c r="AB3070">
        <v>0.33333000000000002</v>
      </c>
      <c r="AC3070" t="s">
        <v>3369</v>
      </c>
      <c r="AD3070" t="s">
        <v>81</v>
      </c>
      <c r="AE3070" t="s">
        <v>62</v>
      </c>
      <c r="AF3070" t="s">
        <v>62</v>
      </c>
      <c r="AG3070">
        <v>0</v>
      </c>
      <c r="AH3070">
        <v>0</v>
      </c>
      <c r="AI3070">
        <v>2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2</v>
      </c>
      <c r="AT3070">
        <v>0</v>
      </c>
      <c r="AU3070">
        <v>5</v>
      </c>
      <c r="AV3070">
        <v>0</v>
      </c>
      <c r="AW3070">
        <v>4</v>
      </c>
      <c r="AX3070">
        <v>2</v>
      </c>
      <c r="AY3070">
        <v>0</v>
      </c>
      <c r="AZ3070">
        <v>0</v>
      </c>
      <c r="BA3070" t="s">
        <v>7357</v>
      </c>
      <c r="BB3070" t="s">
        <v>193</v>
      </c>
      <c r="BC3070">
        <v>1.278</v>
      </c>
      <c r="BD3070" t="s">
        <v>65</v>
      </c>
      <c r="BE3070">
        <v>4</v>
      </c>
      <c r="BF3070">
        <v>2</v>
      </c>
      <c r="BG3070" t="s">
        <v>7358</v>
      </c>
      <c r="BH3070" t="s">
        <v>7359</v>
      </c>
      <c r="BI3070" t="s">
        <v>7360</v>
      </c>
      <c r="BJ3070">
        <v>0.11171</v>
      </c>
      <c r="BK3070">
        <v>1</v>
      </c>
      <c r="BL3070" t="s">
        <v>69</v>
      </c>
      <c r="BM3070">
        <v>-1.5780000000000001</v>
      </c>
      <c r="BN3070">
        <v>-2.742</v>
      </c>
    </row>
    <row r="3071" spans="10:66">
      <c r="J3071">
        <v>0</v>
      </c>
      <c r="K3071">
        <v>4</v>
      </c>
      <c r="L3071">
        <v>0</v>
      </c>
      <c r="M3071" t="s">
        <v>25021</v>
      </c>
      <c r="N3071">
        <v>1179</v>
      </c>
      <c r="O3071" t="s">
        <v>7413</v>
      </c>
      <c r="P3071" t="s">
        <v>62</v>
      </c>
      <c r="Q3071">
        <v>1218116</v>
      </c>
      <c r="R3071">
        <v>1219105</v>
      </c>
      <c r="S3071" t="s">
        <v>7414</v>
      </c>
      <c r="T3071">
        <v>330</v>
      </c>
      <c r="U3071" t="s">
        <v>108</v>
      </c>
      <c r="V3071">
        <v>44</v>
      </c>
      <c r="W3071" t="str">
        <f>HYPERLINK("Gene1179-zp_tree_all.dnd", "Gene1179-tree")</f>
        <v>Gene1179-tree</v>
      </c>
      <c r="X3071">
        <v>8</v>
      </c>
      <c r="Y3071">
        <v>4</v>
      </c>
      <c r="Z3071">
        <v>8</v>
      </c>
      <c r="AA3071">
        <v>4</v>
      </c>
      <c r="AB3071">
        <v>0.33333000000000002</v>
      </c>
      <c r="AC3071" t="s">
        <v>136</v>
      </c>
      <c r="AD3071" t="s">
        <v>61</v>
      </c>
      <c r="AE3071" t="s">
        <v>62</v>
      </c>
      <c r="AF3071" t="s">
        <v>62</v>
      </c>
      <c r="AG3071">
        <v>2</v>
      </c>
      <c r="AH3071">
        <v>4</v>
      </c>
      <c r="AI3071">
        <v>2</v>
      </c>
      <c r="AJ3071">
        <v>0.66666999999999998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2</v>
      </c>
      <c r="AQ3071">
        <v>0</v>
      </c>
      <c r="AR3071">
        <v>2</v>
      </c>
      <c r="AS3071">
        <v>3</v>
      </c>
      <c r="AT3071">
        <v>0.4</v>
      </c>
      <c r="AU3071">
        <v>11</v>
      </c>
      <c r="AV3071">
        <v>9</v>
      </c>
      <c r="AW3071">
        <v>43</v>
      </c>
      <c r="AX3071">
        <v>5</v>
      </c>
      <c r="AY3071">
        <v>40</v>
      </c>
      <c r="AZ3071">
        <v>1</v>
      </c>
      <c r="BA3071" t="s">
        <v>7415</v>
      </c>
      <c r="BB3071" t="s">
        <v>7416</v>
      </c>
      <c r="BC3071">
        <v>0.85799999999999998</v>
      </c>
      <c r="BD3071" t="s">
        <v>65</v>
      </c>
      <c r="BE3071">
        <v>83</v>
      </c>
      <c r="BF3071">
        <v>6</v>
      </c>
      <c r="BG3071" t="s">
        <v>7417</v>
      </c>
      <c r="BH3071" t="s">
        <v>7418</v>
      </c>
      <c r="BI3071" t="s">
        <v>7419</v>
      </c>
      <c r="BJ3071">
        <v>1.8519999999999998E-2</v>
      </c>
      <c r="BK3071">
        <v>1</v>
      </c>
      <c r="BL3071" t="s">
        <v>69</v>
      </c>
      <c r="BM3071">
        <v>0.2</v>
      </c>
      <c r="BN3071">
        <v>-0.312</v>
      </c>
    </row>
    <row r="3072" spans="10:66">
      <c r="J3072">
        <v>0</v>
      </c>
      <c r="K3072">
        <v>0</v>
      </c>
      <c r="L3072">
        <v>0</v>
      </c>
      <c r="M3072" t="s">
        <v>25021</v>
      </c>
      <c r="N3072">
        <v>1188</v>
      </c>
      <c r="O3072" t="s">
        <v>7477</v>
      </c>
      <c r="P3072" t="s">
        <v>62</v>
      </c>
      <c r="Q3072">
        <v>1228138</v>
      </c>
      <c r="R3072">
        <v>1228791</v>
      </c>
      <c r="S3072" t="s">
        <v>7478</v>
      </c>
      <c r="T3072">
        <v>218</v>
      </c>
      <c r="U3072" t="s">
        <v>108</v>
      </c>
      <c r="V3072">
        <v>44</v>
      </c>
      <c r="W3072" t="str">
        <f>HYPERLINK("Gene1188-zp_tree_all.dnd", "Gene1188-tree")</f>
        <v>Gene1188-tree</v>
      </c>
      <c r="X3072">
        <v>27</v>
      </c>
      <c r="Y3072">
        <v>4</v>
      </c>
      <c r="Z3072">
        <v>10</v>
      </c>
      <c r="AA3072">
        <v>4</v>
      </c>
      <c r="AB3072">
        <v>0.28571000000000002</v>
      </c>
      <c r="AC3072" t="s">
        <v>2980</v>
      </c>
      <c r="AD3072" t="s">
        <v>61</v>
      </c>
      <c r="AE3072" t="s">
        <v>62</v>
      </c>
      <c r="AF3072" t="s">
        <v>62</v>
      </c>
      <c r="AG3072">
        <v>0</v>
      </c>
      <c r="AH3072">
        <v>0</v>
      </c>
      <c r="AI3072">
        <v>4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4</v>
      </c>
      <c r="AT3072">
        <v>0</v>
      </c>
      <c r="AU3072">
        <v>9</v>
      </c>
      <c r="AV3072">
        <v>9</v>
      </c>
      <c r="AW3072">
        <v>14</v>
      </c>
      <c r="AX3072">
        <v>3</v>
      </c>
      <c r="AY3072">
        <v>16</v>
      </c>
      <c r="AZ3072">
        <v>1</v>
      </c>
      <c r="BA3072" t="s">
        <v>7479</v>
      </c>
      <c r="BB3072" t="s">
        <v>7480</v>
      </c>
      <c r="BC3072">
        <v>0.629</v>
      </c>
      <c r="BD3072" t="s">
        <v>65</v>
      </c>
      <c r="BE3072">
        <v>30</v>
      </c>
      <c r="BF3072">
        <v>4</v>
      </c>
      <c r="BG3072" t="s">
        <v>7481</v>
      </c>
      <c r="BH3072" t="s">
        <v>7482</v>
      </c>
      <c r="BI3072" t="s">
        <v>7483</v>
      </c>
      <c r="BJ3072">
        <v>3.3450000000000001E-2</v>
      </c>
      <c r="BK3072">
        <v>1</v>
      </c>
      <c r="BL3072" t="s">
        <v>69</v>
      </c>
      <c r="BM3072">
        <v>0.30599999999999999</v>
      </c>
      <c r="BN3072">
        <v>-0.255</v>
      </c>
    </row>
    <row r="3073" spans="10:66">
      <c r="J3073">
        <v>0</v>
      </c>
      <c r="K3073">
        <v>0</v>
      </c>
      <c r="L3073">
        <v>0</v>
      </c>
      <c r="M3073" t="s">
        <v>25021</v>
      </c>
      <c r="N3073">
        <v>1190</v>
      </c>
      <c r="O3073" t="s">
        <v>7484</v>
      </c>
      <c r="P3073" t="s">
        <v>62</v>
      </c>
      <c r="Q3073">
        <v>1229722</v>
      </c>
      <c r="R3073">
        <v>1229841</v>
      </c>
      <c r="S3073" t="s">
        <v>7485</v>
      </c>
      <c r="T3073">
        <v>40</v>
      </c>
      <c r="U3073" t="s">
        <v>1557</v>
      </c>
      <c r="V3073">
        <v>40</v>
      </c>
      <c r="W3073" t="str">
        <f>HYPERLINK("Gene1190-zp_tree_all.dnd", "Gene1190-tree")</f>
        <v>Gene1190-tree</v>
      </c>
      <c r="X3073">
        <v>2</v>
      </c>
      <c r="Y3073">
        <v>3</v>
      </c>
      <c r="Z3073">
        <v>2</v>
      </c>
      <c r="AA3073">
        <v>3</v>
      </c>
      <c r="AB3073">
        <v>0.6</v>
      </c>
      <c r="AC3073" t="s">
        <v>81</v>
      </c>
      <c r="AD3073" t="s">
        <v>324</v>
      </c>
      <c r="AE3073" t="s">
        <v>62</v>
      </c>
      <c r="AF3073" t="s">
        <v>62</v>
      </c>
      <c r="AG3073">
        <v>0</v>
      </c>
      <c r="AH3073">
        <v>0</v>
      </c>
      <c r="AI3073">
        <v>3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3</v>
      </c>
      <c r="AT3073">
        <v>0</v>
      </c>
      <c r="AU3073">
        <v>3</v>
      </c>
      <c r="AV3073">
        <v>1</v>
      </c>
      <c r="AW3073">
        <v>1</v>
      </c>
      <c r="AX3073">
        <v>2</v>
      </c>
      <c r="AY3073">
        <v>0</v>
      </c>
      <c r="AZ3073">
        <v>1</v>
      </c>
      <c r="BA3073" t="s">
        <v>7486</v>
      </c>
      <c r="BB3073" t="s">
        <v>193</v>
      </c>
      <c r="BC3073">
        <v>0.69299999999999995</v>
      </c>
      <c r="BD3073" t="s">
        <v>65</v>
      </c>
      <c r="BE3073">
        <v>1</v>
      </c>
      <c r="BF3073">
        <v>3</v>
      </c>
      <c r="BG3073" t="s">
        <v>7487</v>
      </c>
      <c r="BH3073" t="s">
        <v>7488</v>
      </c>
      <c r="BI3073" t="s">
        <v>7489</v>
      </c>
      <c r="BJ3073">
        <v>0.93323999999999996</v>
      </c>
      <c r="BK3073">
        <v>0.27700000000000002</v>
      </c>
      <c r="BL3073" t="s">
        <v>635</v>
      </c>
      <c r="BM3073">
        <v>-1.645</v>
      </c>
      <c r="BN3073">
        <v>-2.1669999999999998</v>
      </c>
    </row>
    <row r="3074" spans="10:66">
      <c r="J3074">
        <v>0</v>
      </c>
      <c r="K3074">
        <v>0</v>
      </c>
      <c r="L3074">
        <v>0</v>
      </c>
      <c r="M3074" t="s">
        <v>25021</v>
      </c>
      <c r="N3074">
        <v>1192</v>
      </c>
      <c r="O3074" t="s">
        <v>7497</v>
      </c>
      <c r="P3074" t="s">
        <v>62</v>
      </c>
      <c r="Q3074">
        <v>1233136</v>
      </c>
      <c r="R3074">
        <v>1233300</v>
      </c>
      <c r="S3074" t="s">
        <v>288</v>
      </c>
      <c r="T3074">
        <v>55</v>
      </c>
      <c r="U3074" t="s">
        <v>409</v>
      </c>
      <c r="V3074">
        <v>45</v>
      </c>
      <c r="W3074" t="str">
        <f>HYPERLINK("Gene1192-zp_tree_all.dnd", "Gene1192-tree")</f>
        <v>Gene1192-tree</v>
      </c>
      <c r="X3074">
        <v>7</v>
      </c>
      <c r="Y3074">
        <v>1</v>
      </c>
      <c r="Z3074">
        <v>7</v>
      </c>
      <c r="AA3074">
        <v>1</v>
      </c>
      <c r="AB3074">
        <v>0.125</v>
      </c>
      <c r="AC3074" t="s">
        <v>152</v>
      </c>
      <c r="AD3074" t="s">
        <v>175</v>
      </c>
      <c r="AE3074" t="s">
        <v>62</v>
      </c>
      <c r="AF3074" t="s">
        <v>62</v>
      </c>
      <c r="AG3074">
        <v>0</v>
      </c>
      <c r="AH3074">
        <v>0</v>
      </c>
      <c r="AI3074">
        <v>2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2</v>
      </c>
      <c r="AT3074">
        <v>0</v>
      </c>
      <c r="AU3074">
        <v>6</v>
      </c>
      <c r="AV3074">
        <v>2</v>
      </c>
      <c r="AW3074">
        <v>9</v>
      </c>
      <c r="AX3074">
        <v>2</v>
      </c>
      <c r="AY3074">
        <v>4</v>
      </c>
      <c r="AZ3074">
        <v>0</v>
      </c>
      <c r="BA3074" t="s">
        <v>7498</v>
      </c>
      <c r="BB3074" t="s">
        <v>193</v>
      </c>
      <c r="BC3074">
        <v>0.46400000000000002</v>
      </c>
      <c r="BD3074" t="s">
        <v>65</v>
      </c>
      <c r="BE3074">
        <v>13</v>
      </c>
      <c r="BF3074">
        <v>2</v>
      </c>
      <c r="BG3074" t="s">
        <v>7499</v>
      </c>
      <c r="BH3074" t="s">
        <v>7500</v>
      </c>
      <c r="BI3074" t="s">
        <v>7501</v>
      </c>
      <c r="BJ3074">
        <v>3.7289999999999997E-2</v>
      </c>
      <c r="BK3074">
        <v>1</v>
      </c>
      <c r="BL3074" t="s">
        <v>69</v>
      </c>
      <c r="BM3074">
        <v>-1.3109999999999999</v>
      </c>
      <c r="BN3074">
        <v>-1.9650000000000001</v>
      </c>
    </row>
    <row r="3075" spans="10:66">
      <c r="J3075">
        <v>0</v>
      </c>
      <c r="K3075">
        <v>2</v>
      </c>
      <c r="L3075">
        <v>0</v>
      </c>
      <c r="M3075" t="s">
        <v>25021</v>
      </c>
      <c r="N3075">
        <v>1193</v>
      </c>
      <c r="O3075" t="s">
        <v>7502</v>
      </c>
      <c r="P3075" t="s">
        <v>62</v>
      </c>
      <c r="Q3075">
        <v>1233617</v>
      </c>
      <c r="R3075">
        <v>1234513</v>
      </c>
      <c r="S3075" t="s">
        <v>7503</v>
      </c>
      <c r="T3075">
        <v>299</v>
      </c>
      <c r="U3075" t="s">
        <v>108</v>
      </c>
      <c r="V3075">
        <v>44</v>
      </c>
      <c r="W3075" t="str">
        <f>HYPERLINK("Gene1193-zp_tree_all.dnd", "Gene1193-tree")</f>
        <v>Gene1193-tree</v>
      </c>
      <c r="X3075">
        <v>8</v>
      </c>
      <c r="Y3075">
        <v>3</v>
      </c>
      <c r="Z3075">
        <v>8</v>
      </c>
      <c r="AA3075">
        <v>3</v>
      </c>
      <c r="AB3075">
        <v>0.27272999999999997</v>
      </c>
      <c r="AC3075" t="s">
        <v>136</v>
      </c>
      <c r="AD3075" t="s">
        <v>324</v>
      </c>
      <c r="AE3075" t="s">
        <v>62</v>
      </c>
      <c r="AF3075" t="s">
        <v>62</v>
      </c>
      <c r="AG3075">
        <v>1</v>
      </c>
      <c r="AH3075">
        <v>2</v>
      </c>
      <c r="AI3075">
        <v>2</v>
      </c>
      <c r="AJ3075">
        <v>0.5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2</v>
      </c>
      <c r="AQ3075">
        <v>0</v>
      </c>
      <c r="AR3075">
        <v>2</v>
      </c>
      <c r="AS3075">
        <v>2</v>
      </c>
      <c r="AT3075">
        <v>0.5</v>
      </c>
      <c r="AU3075">
        <v>9</v>
      </c>
      <c r="AV3075">
        <v>4</v>
      </c>
      <c r="AW3075">
        <v>36</v>
      </c>
      <c r="AX3075">
        <v>4</v>
      </c>
      <c r="AY3075">
        <v>9</v>
      </c>
      <c r="AZ3075">
        <v>1</v>
      </c>
      <c r="BA3075" t="s">
        <v>7504</v>
      </c>
      <c r="BB3075" t="s">
        <v>7505</v>
      </c>
      <c r="BC3075">
        <v>0.01</v>
      </c>
      <c r="BD3075" t="s">
        <v>65</v>
      </c>
      <c r="BE3075">
        <v>45</v>
      </c>
      <c r="BF3075">
        <v>5</v>
      </c>
      <c r="BG3075" t="s">
        <v>7506</v>
      </c>
      <c r="BH3075" t="s">
        <v>7507</v>
      </c>
      <c r="BI3075" t="s">
        <v>7508</v>
      </c>
      <c r="BJ3075">
        <v>3.7900000000000003E-2</v>
      </c>
      <c r="BK3075">
        <v>1</v>
      </c>
      <c r="BL3075" t="s">
        <v>69</v>
      </c>
      <c r="BM3075">
        <v>-1.071</v>
      </c>
      <c r="BN3075">
        <v>-1.57</v>
      </c>
    </row>
    <row r="3076" spans="10:66">
      <c r="J3076">
        <v>0</v>
      </c>
      <c r="K3076">
        <v>2</v>
      </c>
      <c r="L3076">
        <v>0</v>
      </c>
      <c r="M3076" t="s">
        <v>25021</v>
      </c>
      <c r="N3076">
        <v>1194</v>
      </c>
      <c r="O3076" t="s">
        <v>7509</v>
      </c>
      <c r="P3076" t="s">
        <v>62</v>
      </c>
      <c r="Q3076">
        <v>1234513</v>
      </c>
      <c r="R3076">
        <v>1234908</v>
      </c>
      <c r="S3076" t="s">
        <v>7510</v>
      </c>
      <c r="T3076">
        <v>132</v>
      </c>
      <c r="U3076" t="s">
        <v>59</v>
      </c>
      <c r="V3076">
        <v>49</v>
      </c>
      <c r="W3076" t="str">
        <f>HYPERLINK("Gene1194-zp_tree_all.dnd", "Gene1194-tree")</f>
        <v>Gene1194-tree</v>
      </c>
      <c r="X3076">
        <v>10</v>
      </c>
      <c r="Y3076">
        <v>3</v>
      </c>
      <c r="Z3076">
        <v>10</v>
      </c>
      <c r="AA3076">
        <v>3</v>
      </c>
      <c r="AB3076">
        <v>0.23077</v>
      </c>
      <c r="AC3076" t="s">
        <v>117</v>
      </c>
      <c r="AD3076" t="s">
        <v>324</v>
      </c>
      <c r="AE3076" t="s">
        <v>62</v>
      </c>
      <c r="AF3076" t="s">
        <v>62</v>
      </c>
      <c r="AG3076">
        <v>1</v>
      </c>
      <c r="AH3076">
        <v>2</v>
      </c>
      <c r="AI3076">
        <v>3</v>
      </c>
      <c r="AJ3076">
        <v>0.4</v>
      </c>
      <c r="AK3076">
        <v>0</v>
      </c>
      <c r="AL3076">
        <v>0</v>
      </c>
      <c r="AM3076">
        <v>0</v>
      </c>
      <c r="AN3076">
        <v>2</v>
      </c>
      <c r="AO3076">
        <v>0</v>
      </c>
      <c r="AP3076">
        <v>0</v>
      </c>
      <c r="AQ3076">
        <v>0</v>
      </c>
      <c r="AR3076">
        <v>0</v>
      </c>
      <c r="AS3076">
        <v>3</v>
      </c>
      <c r="AT3076">
        <v>0</v>
      </c>
      <c r="AU3076">
        <v>8</v>
      </c>
      <c r="AV3076">
        <v>4</v>
      </c>
      <c r="AW3076">
        <v>8</v>
      </c>
      <c r="AX3076">
        <v>3</v>
      </c>
      <c r="AY3076">
        <v>13</v>
      </c>
      <c r="AZ3076">
        <v>2</v>
      </c>
      <c r="BA3076" t="s">
        <v>7511</v>
      </c>
      <c r="BB3076" t="s">
        <v>7512</v>
      </c>
      <c r="BC3076">
        <v>0.59399999999999997</v>
      </c>
      <c r="BD3076" t="s">
        <v>65</v>
      </c>
      <c r="BE3076">
        <v>21</v>
      </c>
      <c r="BF3076">
        <v>5</v>
      </c>
      <c r="BG3076" t="s">
        <v>7513</v>
      </c>
      <c r="BH3076" t="s">
        <v>7514</v>
      </c>
      <c r="BI3076" t="s">
        <v>7515</v>
      </c>
      <c r="BJ3076">
        <v>5.1360000000000003E-2</v>
      </c>
      <c r="BK3076">
        <v>1</v>
      </c>
      <c r="BL3076" t="s">
        <v>69</v>
      </c>
      <c r="BM3076">
        <v>-0.24099999999999999</v>
      </c>
      <c r="BN3076">
        <v>-0.249</v>
      </c>
    </row>
    <row r="3077" spans="10:66">
      <c r="J3077">
        <v>0</v>
      </c>
      <c r="K3077">
        <v>11</v>
      </c>
      <c r="L3077">
        <v>1</v>
      </c>
      <c r="M3077" t="s">
        <v>25021</v>
      </c>
      <c r="N3077">
        <v>1195</v>
      </c>
      <c r="O3077" t="s">
        <v>7516</v>
      </c>
      <c r="P3077" t="s">
        <v>62</v>
      </c>
      <c r="Q3077">
        <v>1235166</v>
      </c>
      <c r="R3077">
        <v>1235708</v>
      </c>
      <c r="S3077" t="s">
        <v>7517</v>
      </c>
      <c r="T3077">
        <v>181</v>
      </c>
      <c r="U3077" t="s">
        <v>108</v>
      </c>
      <c r="V3077">
        <v>44</v>
      </c>
      <c r="W3077" t="str">
        <f>HYPERLINK("Gene1195-zp_tree_all.dnd", "Gene1195-tree")</f>
        <v>Gene1195-tree</v>
      </c>
      <c r="X3077">
        <v>5</v>
      </c>
      <c r="Y3077">
        <v>9</v>
      </c>
      <c r="Z3077">
        <v>5</v>
      </c>
      <c r="AA3077">
        <v>9</v>
      </c>
      <c r="AB3077">
        <v>0.64285999999999999</v>
      </c>
      <c r="AC3077" t="s">
        <v>199</v>
      </c>
      <c r="AD3077" t="s">
        <v>135</v>
      </c>
      <c r="AE3077" t="s">
        <v>62</v>
      </c>
      <c r="AF3077" t="s">
        <v>62</v>
      </c>
      <c r="AG3077">
        <v>5</v>
      </c>
      <c r="AH3077">
        <v>12</v>
      </c>
      <c r="AI3077">
        <v>14</v>
      </c>
      <c r="AJ3077">
        <v>0.46154000000000001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4</v>
      </c>
      <c r="AQ3077">
        <v>0</v>
      </c>
      <c r="AR3077">
        <v>4</v>
      </c>
      <c r="AS3077">
        <v>16</v>
      </c>
      <c r="AT3077">
        <v>0.2</v>
      </c>
      <c r="AU3077">
        <v>12</v>
      </c>
      <c r="AV3077">
        <v>9</v>
      </c>
      <c r="AW3077">
        <v>17</v>
      </c>
      <c r="AX3077">
        <v>19</v>
      </c>
      <c r="AY3077">
        <v>8</v>
      </c>
      <c r="AZ3077">
        <v>7</v>
      </c>
      <c r="BA3077" t="s">
        <v>7518</v>
      </c>
      <c r="BB3077" t="s">
        <v>7519</v>
      </c>
      <c r="BC3077">
        <v>0.23699999999999999</v>
      </c>
      <c r="BD3077" t="s">
        <v>65</v>
      </c>
      <c r="BE3077">
        <v>25</v>
      </c>
      <c r="BF3077">
        <v>26</v>
      </c>
      <c r="BG3077" t="s">
        <v>7520</v>
      </c>
      <c r="BH3077" t="s">
        <v>7521</v>
      </c>
      <c r="BI3077" t="s">
        <v>7522</v>
      </c>
      <c r="BJ3077">
        <v>0.31830000000000003</v>
      </c>
      <c r="BK3077">
        <v>0.99</v>
      </c>
      <c r="BL3077" t="s">
        <v>69</v>
      </c>
      <c r="BM3077">
        <v>-1.1839999999999999</v>
      </c>
      <c r="BN3077">
        <v>-2.9460000000000002</v>
      </c>
    </row>
    <row r="3078" spans="10:66">
      <c r="J3078">
        <v>0</v>
      </c>
      <c r="K3078">
        <v>2</v>
      </c>
      <c r="L3078">
        <v>2</v>
      </c>
      <c r="M3078" t="s">
        <v>25021</v>
      </c>
      <c r="N3078">
        <v>1196</v>
      </c>
      <c r="O3078" t="s">
        <v>7523</v>
      </c>
      <c r="P3078" t="s">
        <v>62</v>
      </c>
      <c r="Q3078">
        <v>1235915</v>
      </c>
      <c r="R3078">
        <v>1236484</v>
      </c>
      <c r="S3078" t="s">
        <v>7524</v>
      </c>
      <c r="T3078">
        <v>190</v>
      </c>
      <c r="U3078" t="s">
        <v>108</v>
      </c>
      <c r="V3078">
        <v>44</v>
      </c>
      <c r="W3078" t="str">
        <f>HYPERLINK("Gene1196-zp_tree_all.dnd", "Gene1196-tree")</f>
        <v>Gene1196-tree</v>
      </c>
      <c r="X3078">
        <v>5</v>
      </c>
      <c r="Y3078">
        <v>5</v>
      </c>
      <c r="Z3078">
        <v>5</v>
      </c>
      <c r="AA3078">
        <v>5</v>
      </c>
      <c r="AB3078">
        <v>0.5</v>
      </c>
      <c r="AC3078" t="s">
        <v>199</v>
      </c>
      <c r="AD3078" t="s">
        <v>199</v>
      </c>
      <c r="AE3078" t="s">
        <v>62</v>
      </c>
      <c r="AF3078" t="s">
        <v>62</v>
      </c>
      <c r="AG3078">
        <v>2</v>
      </c>
      <c r="AH3078">
        <v>4</v>
      </c>
      <c r="AI3078">
        <v>3</v>
      </c>
      <c r="AJ3078">
        <v>0.57142999999999999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2</v>
      </c>
      <c r="AQ3078">
        <v>2</v>
      </c>
      <c r="AR3078">
        <v>4</v>
      </c>
      <c r="AS3078">
        <v>2</v>
      </c>
      <c r="AT3078">
        <v>0.66666999999999998</v>
      </c>
      <c r="AU3078">
        <v>7</v>
      </c>
      <c r="AV3078">
        <v>4</v>
      </c>
      <c r="AW3078">
        <v>8</v>
      </c>
      <c r="AX3078">
        <v>5</v>
      </c>
      <c r="AY3078">
        <v>5</v>
      </c>
      <c r="AZ3078">
        <v>2</v>
      </c>
      <c r="BA3078" t="s">
        <v>7525</v>
      </c>
      <c r="BB3078" t="s">
        <v>7526</v>
      </c>
      <c r="BC3078">
        <v>0.53600000000000003</v>
      </c>
      <c r="BD3078" t="s">
        <v>65</v>
      </c>
      <c r="BE3078">
        <v>13</v>
      </c>
      <c r="BF3078">
        <v>7</v>
      </c>
      <c r="BG3078" t="s">
        <v>7527</v>
      </c>
      <c r="BH3078" t="s">
        <v>7528</v>
      </c>
      <c r="BI3078" t="s">
        <v>7529</v>
      </c>
      <c r="BJ3078">
        <v>0.12908</v>
      </c>
      <c r="BK3078">
        <v>1</v>
      </c>
      <c r="BL3078" t="s">
        <v>69</v>
      </c>
      <c r="BM3078">
        <v>0.443</v>
      </c>
      <c r="BN3078">
        <v>-1.2110000000000001</v>
      </c>
    </row>
    <row r="3079" spans="10:66">
      <c r="J3079">
        <v>0</v>
      </c>
      <c r="K3079">
        <v>4</v>
      </c>
      <c r="L3079">
        <v>0</v>
      </c>
      <c r="M3079" t="s">
        <v>25021</v>
      </c>
      <c r="N3079">
        <v>1201</v>
      </c>
      <c r="O3079" t="s">
        <v>7556</v>
      </c>
      <c r="P3079" t="s">
        <v>62</v>
      </c>
      <c r="Q3079">
        <v>1239390</v>
      </c>
      <c r="R3079">
        <v>1240121</v>
      </c>
      <c r="S3079" t="s">
        <v>7557</v>
      </c>
      <c r="T3079">
        <v>244</v>
      </c>
      <c r="U3079" t="s">
        <v>108</v>
      </c>
      <c r="V3079">
        <v>44</v>
      </c>
      <c r="W3079" t="str">
        <f>HYPERLINK("Gene1201-zp_tree_all.dnd", "Gene1201-tree")</f>
        <v>Gene1201-tree</v>
      </c>
      <c r="X3079">
        <v>8</v>
      </c>
      <c r="Y3079">
        <v>5</v>
      </c>
      <c r="Z3079">
        <v>8</v>
      </c>
      <c r="AA3079">
        <v>5</v>
      </c>
      <c r="AB3079">
        <v>0.38462000000000002</v>
      </c>
      <c r="AC3079" t="s">
        <v>136</v>
      </c>
      <c r="AD3079" t="s">
        <v>199</v>
      </c>
      <c r="AE3079" t="s">
        <v>62</v>
      </c>
      <c r="AF3079" t="s">
        <v>62</v>
      </c>
      <c r="AG3079">
        <v>2</v>
      </c>
      <c r="AH3079">
        <v>4</v>
      </c>
      <c r="AI3079">
        <v>5</v>
      </c>
      <c r="AJ3079">
        <v>0.44444</v>
      </c>
      <c r="AK3079">
        <v>0</v>
      </c>
      <c r="AL3079">
        <v>0</v>
      </c>
      <c r="AM3079">
        <v>0</v>
      </c>
      <c r="AN3079">
        <v>3</v>
      </c>
      <c r="AO3079">
        <v>0</v>
      </c>
      <c r="AP3079">
        <v>0</v>
      </c>
      <c r="AQ3079">
        <v>0</v>
      </c>
      <c r="AR3079">
        <v>0</v>
      </c>
      <c r="AS3079">
        <v>5</v>
      </c>
      <c r="AT3079">
        <v>0</v>
      </c>
      <c r="AU3079">
        <v>8</v>
      </c>
      <c r="AV3079">
        <v>8</v>
      </c>
      <c r="AW3079">
        <v>14</v>
      </c>
      <c r="AX3079">
        <v>5</v>
      </c>
      <c r="AY3079">
        <v>12</v>
      </c>
      <c r="AZ3079">
        <v>4</v>
      </c>
      <c r="BA3079" t="s">
        <v>7558</v>
      </c>
      <c r="BB3079" t="s">
        <v>7559</v>
      </c>
      <c r="BC3079">
        <v>7.0999999999999994E-2</v>
      </c>
      <c r="BD3079" t="s">
        <v>65</v>
      </c>
      <c r="BE3079">
        <v>26</v>
      </c>
      <c r="BF3079">
        <v>9</v>
      </c>
      <c r="BG3079" t="s">
        <v>7560</v>
      </c>
      <c r="BH3079" t="s">
        <v>7561</v>
      </c>
      <c r="BI3079" t="s">
        <v>7562</v>
      </c>
      <c r="BJ3079">
        <v>0.11078</v>
      </c>
      <c r="BK3079">
        <v>1</v>
      </c>
      <c r="BL3079" t="s">
        <v>69</v>
      </c>
      <c r="BM3079">
        <v>-0.65200000000000002</v>
      </c>
      <c r="BN3079">
        <v>-1.2649999999999999</v>
      </c>
    </row>
    <row r="3080" spans="10:66">
      <c r="J3080">
        <v>0</v>
      </c>
      <c r="K3080">
        <v>0</v>
      </c>
      <c r="L3080">
        <v>0</v>
      </c>
      <c r="M3080" t="s">
        <v>25021</v>
      </c>
      <c r="N3080">
        <v>1212</v>
      </c>
      <c r="O3080" t="s">
        <v>7632</v>
      </c>
      <c r="P3080" t="s">
        <v>62</v>
      </c>
      <c r="Q3080">
        <v>1249445</v>
      </c>
      <c r="R3080">
        <v>1249888</v>
      </c>
      <c r="S3080" t="s">
        <v>7633</v>
      </c>
      <c r="T3080">
        <v>148</v>
      </c>
      <c r="U3080" t="s">
        <v>289</v>
      </c>
      <c r="V3080">
        <v>46</v>
      </c>
      <c r="W3080" t="str">
        <f>HYPERLINK("Gene1212-zp_tree_all.dnd", "Gene1212-tree")</f>
        <v>Gene1212-tree</v>
      </c>
      <c r="X3080">
        <v>11</v>
      </c>
      <c r="Y3080">
        <v>0</v>
      </c>
      <c r="Z3080">
        <v>11</v>
      </c>
      <c r="AA3080">
        <v>0</v>
      </c>
      <c r="AB3080">
        <v>0</v>
      </c>
      <c r="AC3080" t="s">
        <v>73</v>
      </c>
      <c r="AD3080" t="s">
        <v>62</v>
      </c>
      <c r="AE3080" t="s">
        <v>62</v>
      </c>
      <c r="AF3080" t="s">
        <v>62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9</v>
      </c>
      <c r="AV3080">
        <v>3</v>
      </c>
      <c r="AW3080">
        <v>13</v>
      </c>
      <c r="AX3080">
        <v>0</v>
      </c>
      <c r="AY3080">
        <v>6</v>
      </c>
      <c r="AZ3080">
        <v>1</v>
      </c>
      <c r="BA3080" t="s">
        <v>193</v>
      </c>
      <c r="BB3080" t="s">
        <v>7634</v>
      </c>
      <c r="BC3080">
        <v>0.79800000000000004</v>
      </c>
      <c r="BD3080" t="s">
        <v>65</v>
      </c>
      <c r="BE3080">
        <v>19</v>
      </c>
      <c r="BF3080">
        <v>1</v>
      </c>
      <c r="BG3080" t="s">
        <v>7635</v>
      </c>
      <c r="BH3080" t="s">
        <v>7636</v>
      </c>
      <c r="BI3080" t="s">
        <v>7637</v>
      </c>
      <c r="BJ3080">
        <v>3.2809999999999999E-2</v>
      </c>
      <c r="BK3080">
        <v>1</v>
      </c>
      <c r="BL3080" t="s">
        <v>69</v>
      </c>
      <c r="BM3080">
        <v>-1.1499999999999999</v>
      </c>
      <c r="BN3080">
        <v>-0.318</v>
      </c>
    </row>
    <row r="3081" spans="10:66">
      <c r="J3081">
        <v>0</v>
      </c>
      <c r="K3081">
        <v>0</v>
      </c>
      <c r="L3081">
        <v>0</v>
      </c>
      <c r="M3081" t="s">
        <v>25021</v>
      </c>
      <c r="N3081">
        <v>1213</v>
      </c>
      <c r="O3081" t="s">
        <v>7638</v>
      </c>
      <c r="P3081" t="s">
        <v>62</v>
      </c>
      <c r="Q3081">
        <v>1250019</v>
      </c>
      <c r="R3081">
        <v>1250504</v>
      </c>
      <c r="S3081" t="s">
        <v>7639</v>
      </c>
      <c r="T3081">
        <v>162</v>
      </c>
      <c r="U3081" t="s">
        <v>125</v>
      </c>
      <c r="V3081">
        <v>48</v>
      </c>
      <c r="W3081" t="str">
        <f>HYPERLINK("Gene1213-zp_tree_all.dnd", "Gene1213-tree")</f>
        <v>Gene1213-tree</v>
      </c>
      <c r="X3081">
        <v>31</v>
      </c>
      <c r="Y3081">
        <v>2</v>
      </c>
      <c r="Z3081">
        <v>12</v>
      </c>
      <c r="AA3081">
        <v>2</v>
      </c>
      <c r="AB3081">
        <v>0.14285999999999999</v>
      </c>
      <c r="AC3081" t="s">
        <v>5000</v>
      </c>
      <c r="AD3081" t="s">
        <v>81</v>
      </c>
      <c r="AE3081" t="s">
        <v>62</v>
      </c>
      <c r="AF3081" t="s">
        <v>62</v>
      </c>
      <c r="AG3081">
        <v>0</v>
      </c>
      <c r="AH3081">
        <v>0</v>
      </c>
      <c r="AI3081">
        <v>4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3</v>
      </c>
      <c r="AT3081">
        <v>0</v>
      </c>
      <c r="AU3081">
        <v>7</v>
      </c>
      <c r="AV3081">
        <v>11</v>
      </c>
      <c r="AW3081">
        <v>17</v>
      </c>
      <c r="AX3081">
        <v>3</v>
      </c>
      <c r="AY3081">
        <v>28</v>
      </c>
      <c r="AZ3081">
        <v>1</v>
      </c>
      <c r="BA3081" t="s">
        <v>7640</v>
      </c>
      <c r="BB3081" t="s">
        <v>7641</v>
      </c>
      <c r="BC3081">
        <v>0.52</v>
      </c>
      <c r="BD3081" t="s">
        <v>65</v>
      </c>
      <c r="BE3081">
        <v>45</v>
      </c>
      <c r="BF3081">
        <v>4</v>
      </c>
      <c r="BG3081" t="s">
        <v>7642</v>
      </c>
      <c r="BH3081" t="s">
        <v>7643</v>
      </c>
      <c r="BI3081" t="s">
        <v>7644</v>
      </c>
      <c r="BJ3081">
        <v>1.7680000000000001E-2</v>
      </c>
      <c r="BK3081">
        <v>1</v>
      </c>
      <c r="BL3081" t="s">
        <v>69</v>
      </c>
      <c r="BM3081">
        <v>0.42599999999999999</v>
      </c>
      <c r="BN3081">
        <v>0.63</v>
      </c>
    </row>
    <row r="3082" spans="10:66">
      <c r="J3082">
        <v>0</v>
      </c>
      <c r="K3082">
        <v>4</v>
      </c>
      <c r="L3082">
        <v>2</v>
      </c>
      <c r="M3082" t="s">
        <v>25021</v>
      </c>
      <c r="N3082">
        <v>1216</v>
      </c>
      <c r="O3082" t="s">
        <v>7646</v>
      </c>
      <c r="P3082" t="s">
        <v>62</v>
      </c>
      <c r="Q3082">
        <v>1251634</v>
      </c>
      <c r="R3082">
        <v>1252017</v>
      </c>
      <c r="S3082" t="s">
        <v>7645</v>
      </c>
      <c r="T3082">
        <v>128</v>
      </c>
      <c r="U3082" t="s">
        <v>7647</v>
      </c>
      <c r="V3082">
        <v>31</v>
      </c>
      <c r="W3082" t="str">
        <f>HYPERLINK("Gene1216-zp_tree_all.dnd", "Gene1216-tree")</f>
        <v>Gene1216-tree</v>
      </c>
      <c r="X3082">
        <v>3</v>
      </c>
      <c r="Y3082">
        <v>3</v>
      </c>
      <c r="Z3082">
        <v>3</v>
      </c>
      <c r="AA3082">
        <v>3</v>
      </c>
      <c r="AB3082">
        <v>0.5</v>
      </c>
      <c r="AC3082" t="s">
        <v>324</v>
      </c>
      <c r="AD3082" t="s">
        <v>324</v>
      </c>
      <c r="AE3082" t="s">
        <v>62</v>
      </c>
      <c r="AF3082" t="s">
        <v>62</v>
      </c>
      <c r="AG3082">
        <v>3</v>
      </c>
      <c r="AH3082">
        <v>6</v>
      </c>
      <c r="AI3082">
        <v>6</v>
      </c>
      <c r="AJ3082">
        <v>0.5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7</v>
      </c>
      <c r="AT3082">
        <v>0</v>
      </c>
      <c r="AU3082">
        <v>5</v>
      </c>
      <c r="AV3082">
        <v>3</v>
      </c>
      <c r="AW3082">
        <v>19</v>
      </c>
      <c r="AX3082">
        <v>9</v>
      </c>
      <c r="AY3082">
        <v>10</v>
      </c>
      <c r="AZ3082">
        <v>5</v>
      </c>
      <c r="BA3082" t="s">
        <v>7648</v>
      </c>
      <c r="BB3082" t="s">
        <v>7649</v>
      </c>
      <c r="BC3082">
        <v>0.08</v>
      </c>
      <c r="BD3082" t="s">
        <v>65</v>
      </c>
      <c r="BE3082">
        <v>29</v>
      </c>
      <c r="BF3082">
        <v>14</v>
      </c>
      <c r="BG3082" t="s">
        <v>7650</v>
      </c>
      <c r="BH3082" t="s">
        <v>7651</v>
      </c>
      <c r="BI3082" t="s">
        <v>7652</v>
      </c>
      <c r="BJ3082">
        <v>0.11768000000000001</v>
      </c>
      <c r="BK3082">
        <v>1</v>
      </c>
      <c r="BL3082" t="s">
        <v>69</v>
      </c>
      <c r="BM3082">
        <v>0.13700000000000001</v>
      </c>
      <c r="BN3082">
        <v>1.379</v>
      </c>
    </row>
    <row r="3083" spans="10:66">
      <c r="J3083">
        <v>0</v>
      </c>
      <c r="K3083">
        <v>6</v>
      </c>
      <c r="L3083">
        <v>0</v>
      </c>
      <c r="M3083" t="s">
        <v>25021</v>
      </c>
      <c r="N3083">
        <v>1222</v>
      </c>
      <c r="O3083" t="s">
        <v>7678</v>
      </c>
      <c r="P3083" t="s">
        <v>62</v>
      </c>
      <c r="Q3083">
        <v>1253716</v>
      </c>
      <c r="R3083">
        <v>1255992</v>
      </c>
      <c r="S3083" t="s">
        <v>7679</v>
      </c>
      <c r="T3083">
        <v>759</v>
      </c>
      <c r="U3083" t="s">
        <v>108</v>
      </c>
      <c r="V3083">
        <v>44</v>
      </c>
      <c r="W3083" t="str">
        <f>HYPERLINK("Gene1222-zp_tree_all.dnd", "Gene1222-tree")</f>
        <v>Gene1222-tree</v>
      </c>
      <c r="X3083">
        <v>6</v>
      </c>
      <c r="Y3083">
        <v>8</v>
      </c>
      <c r="Z3083">
        <v>6</v>
      </c>
      <c r="AA3083">
        <v>8</v>
      </c>
      <c r="AB3083">
        <v>0.57142999999999999</v>
      </c>
      <c r="AC3083" t="s">
        <v>90</v>
      </c>
      <c r="AD3083" t="s">
        <v>136</v>
      </c>
      <c r="AE3083" t="s">
        <v>62</v>
      </c>
      <c r="AF3083" t="s">
        <v>62</v>
      </c>
      <c r="AG3083">
        <v>3</v>
      </c>
      <c r="AH3083">
        <v>6</v>
      </c>
      <c r="AI3083">
        <v>15</v>
      </c>
      <c r="AJ3083">
        <v>0.28571000000000002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2</v>
      </c>
      <c r="AQ3083">
        <v>0</v>
      </c>
      <c r="AR3083">
        <v>2</v>
      </c>
      <c r="AS3083">
        <v>12</v>
      </c>
      <c r="AT3083">
        <v>0.14285999999999999</v>
      </c>
      <c r="AU3083">
        <v>14</v>
      </c>
      <c r="AV3083">
        <v>11</v>
      </c>
      <c r="AW3083">
        <v>72</v>
      </c>
      <c r="AX3083">
        <v>14</v>
      </c>
      <c r="AY3083">
        <v>56</v>
      </c>
      <c r="AZ3083">
        <v>7</v>
      </c>
      <c r="BA3083" t="s">
        <v>7680</v>
      </c>
      <c r="BB3083" t="s">
        <v>7681</v>
      </c>
      <c r="BC3083">
        <v>0.40799999999999997</v>
      </c>
      <c r="BD3083" t="s">
        <v>65</v>
      </c>
      <c r="BE3083">
        <v>128</v>
      </c>
      <c r="BF3083">
        <v>21</v>
      </c>
      <c r="BG3083" t="s">
        <v>7682</v>
      </c>
      <c r="BH3083" t="s">
        <v>7683</v>
      </c>
      <c r="BI3083" t="s">
        <v>7684</v>
      </c>
      <c r="BJ3083">
        <v>5.0799999999999998E-2</v>
      </c>
      <c r="BK3083">
        <v>1</v>
      </c>
      <c r="BL3083" t="s">
        <v>69</v>
      </c>
      <c r="BM3083">
        <v>-0.74099999999999999</v>
      </c>
      <c r="BN3083">
        <v>-1.0029999999999999</v>
      </c>
    </row>
    <row r="3084" spans="10:66">
      <c r="J3084">
        <v>0</v>
      </c>
      <c r="K3084">
        <v>0</v>
      </c>
      <c r="L3084">
        <v>0</v>
      </c>
      <c r="M3084" t="s">
        <v>25021</v>
      </c>
      <c r="N3084">
        <v>1224</v>
      </c>
      <c r="O3084" t="s">
        <v>7690</v>
      </c>
      <c r="P3084" t="s">
        <v>62</v>
      </c>
      <c r="Q3084">
        <v>1256439</v>
      </c>
      <c r="R3084">
        <v>1256858</v>
      </c>
      <c r="S3084" t="s">
        <v>3537</v>
      </c>
      <c r="T3084">
        <v>140</v>
      </c>
      <c r="U3084" t="s">
        <v>7691</v>
      </c>
      <c r="V3084">
        <v>46</v>
      </c>
      <c r="W3084" t="str">
        <f>HYPERLINK("Gene1224-zp_tree_all.dnd", "Gene1224-tree")</f>
        <v>Gene1224-tree</v>
      </c>
      <c r="X3084">
        <v>4</v>
      </c>
      <c r="Y3084">
        <v>8</v>
      </c>
      <c r="Z3084">
        <v>4</v>
      </c>
      <c r="AA3084">
        <v>8</v>
      </c>
      <c r="AB3084">
        <v>0.66666999999999998</v>
      </c>
      <c r="AC3084" t="s">
        <v>61</v>
      </c>
      <c r="AD3084" t="s">
        <v>136</v>
      </c>
      <c r="AE3084" t="s">
        <v>62</v>
      </c>
      <c r="AF3084" t="s">
        <v>62</v>
      </c>
      <c r="AG3084">
        <v>0</v>
      </c>
      <c r="AH3084">
        <v>0</v>
      </c>
      <c r="AI3084">
        <v>14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10</v>
      </c>
      <c r="AT3084">
        <v>0</v>
      </c>
      <c r="AU3084">
        <v>10</v>
      </c>
      <c r="AV3084">
        <v>5</v>
      </c>
      <c r="AW3084">
        <v>23</v>
      </c>
      <c r="AX3084">
        <v>10</v>
      </c>
      <c r="AY3084">
        <v>12</v>
      </c>
      <c r="AZ3084">
        <v>4</v>
      </c>
      <c r="BA3084" t="s">
        <v>7692</v>
      </c>
      <c r="BB3084" t="s">
        <v>7693</v>
      </c>
      <c r="BC3084">
        <v>0.216</v>
      </c>
      <c r="BD3084" t="s">
        <v>65</v>
      </c>
      <c r="BE3084">
        <v>35</v>
      </c>
      <c r="BF3084">
        <v>14</v>
      </c>
      <c r="BG3084" t="s">
        <v>7694</v>
      </c>
      <c r="BH3084" t="s">
        <v>7695</v>
      </c>
      <c r="BI3084" t="s">
        <v>7696</v>
      </c>
      <c r="BJ3084">
        <v>0.10061</v>
      </c>
      <c r="BK3084">
        <v>1</v>
      </c>
      <c r="BL3084" t="s">
        <v>69</v>
      </c>
      <c r="BM3084">
        <v>-2.2210000000000001</v>
      </c>
      <c r="BN3084">
        <v>-3.2029999999999998</v>
      </c>
    </row>
    <row r="3085" spans="10:66">
      <c r="J3085">
        <v>0</v>
      </c>
      <c r="K3085">
        <v>0</v>
      </c>
      <c r="L3085">
        <v>2</v>
      </c>
      <c r="M3085" t="s">
        <v>25021</v>
      </c>
      <c r="N3085">
        <v>1225</v>
      </c>
      <c r="O3085" t="s">
        <v>7697</v>
      </c>
      <c r="P3085" t="s">
        <v>62</v>
      </c>
      <c r="Q3085">
        <v>1256865</v>
      </c>
      <c r="R3085">
        <v>1257377</v>
      </c>
      <c r="S3085" t="s">
        <v>7698</v>
      </c>
      <c r="T3085">
        <v>171</v>
      </c>
      <c r="U3085" t="s">
        <v>108</v>
      </c>
      <c r="V3085">
        <v>44</v>
      </c>
      <c r="W3085" t="str">
        <f>HYPERLINK("Gene1225-zp_tree_all.dnd", "Gene1225-tree")</f>
        <v>Gene1225-tree</v>
      </c>
      <c r="X3085">
        <v>9</v>
      </c>
      <c r="Y3085">
        <v>4</v>
      </c>
      <c r="Z3085">
        <v>9</v>
      </c>
      <c r="AA3085">
        <v>4</v>
      </c>
      <c r="AB3085">
        <v>0.30769000000000002</v>
      </c>
      <c r="AC3085" t="s">
        <v>135</v>
      </c>
      <c r="AD3085" t="s">
        <v>61</v>
      </c>
      <c r="AE3085" t="s">
        <v>62</v>
      </c>
      <c r="AF3085" t="s">
        <v>62</v>
      </c>
      <c r="AG3085">
        <v>1</v>
      </c>
      <c r="AH3085">
        <v>2</v>
      </c>
      <c r="AI3085">
        <v>3</v>
      </c>
      <c r="AJ3085">
        <v>0.4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3</v>
      </c>
      <c r="AT3085">
        <v>0</v>
      </c>
      <c r="AU3085">
        <v>10</v>
      </c>
      <c r="AV3085">
        <v>7</v>
      </c>
      <c r="AW3085">
        <v>19</v>
      </c>
      <c r="AX3085">
        <v>3</v>
      </c>
      <c r="AY3085">
        <v>12</v>
      </c>
      <c r="AZ3085">
        <v>2</v>
      </c>
      <c r="BA3085" t="s">
        <v>7699</v>
      </c>
      <c r="BB3085" t="s">
        <v>7700</v>
      </c>
      <c r="BC3085">
        <v>4.2999999999999997E-2</v>
      </c>
      <c r="BD3085" t="s">
        <v>65</v>
      </c>
      <c r="BE3085">
        <v>31</v>
      </c>
      <c r="BF3085">
        <v>5</v>
      </c>
      <c r="BG3085" t="s">
        <v>7701</v>
      </c>
      <c r="BH3085" t="s">
        <v>7702</v>
      </c>
      <c r="BI3085" t="s">
        <v>7703</v>
      </c>
      <c r="BJ3085">
        <v>4.1640000000000003E-2</v>
      </c>
      <c r="BK3085">
        <v>1</v>
      </c>
      <c r="BL3085" t="s">
        <v>69</v>
      </c>
      <c r="BM3085">
        <v>-0.94399999999999995</v>
      </c>
      <c r="BN3085">
        <v>-2.0089999999999999</v>
      </c>
    </row>
    <row r="3086" spans="10:66">
      <c r="J3086">
        <v>0</v>
      </c>
      <c r="K3086">
        <v>4</v>
      </c>
      <c r="L3086">
        <v>0</v>
      </c>
      <c r="M3086" t="s">
        <v>25021</v>
      </c>
      <c r="N3086">
        <v>1226</v>
      </c>
      <c r="O3086" t="s">
        <v>7704</v>
      </c>
      <c r="P3086" t="s">
        <v>62</v>
      </c>
      <c r="Q3086">
        <v>1257417</v>
      </c>
      <c r="R3086">
        <v>1258136</v>
      </c>
      <c r="S3086" t="s">
        <v>7705</v>
      </c>
      <c r="T3086">
        <v>240</v>
      </c>
      <c r="U3086" t="s">
        <v>108</v>
      </c>
      <c r="V3086">
        <v>44</v>
      </c>
      <c r="W3086" t="str">
        <f>HYPERLINK("Gene1226-zp_tree_all.dnd", "Gene1226-tree")</f>
        <v>Gene1226-tree</v>
      </c>
      <c r="X3086">
        <v>8</v>
      </c>
      <c r="Y3086">
        <v>5</v>
      </c>
      <c r="Z3086">
        <v>8</v>
      </c>
      <c r="AA3086">
        <v>5</v>
      </c>
      <c r="AB3086">
        <v>0.38462000000000002</v>
      </c>
      <c r="AC3086" t="s">
        <v>136</v>
      </c>
      <c r="AD3086" t="s">
        <v>199</v>
      </c>
      <c r="AE3086" t="s">
        <v>62</v>
      </c>
      <c r="AF3086" t="s">
        <v>62</v>
      </c>
      <c r="AG3086">
        <v>2</v>
      </c>
      <c r="AH3086">
        <v>4</v>
      </c>
      <c r="AI3086">
        <v>9</v>
      </c>
      <c r="AJ3086">
        <v>0.30769000000000002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7</v>
      </c>
      <c r="AT3086">
        <v>0</v>
      </c>
      <c r="AU3086">
        <v>10</v>
      </c>
      <c r="AV3086">
        <v>10</v>
      </c>
      <c r="AW3086">
        <v>28</v>
      </c>
      <c r="AX3086">
        <v>7</v>
      </c>
      <c r="AY3086">
        <v>21</v>
      </c>
      <c r="AZ3086">
        <v>6</v>
      </c>
      <c r="BA3086" t="s">
        <v>7706</v>
      </c>
      <c r="BB3086" t="s">
        <v>7707</v>
      </c>
      <c r="BC3086">
        <v>0.184</v>
      </c>
      <c r="BD3086" t="s">
        <v>65</v>
      </c>
      <c r="BE3086">
        <v>49</v>
      </c>
      <c r="BF3086">
        <v>13</v>
      </c>
      <c r="BG3086" t="s">
        <v>7708</v>
      </c>
      <c r="BH3086" t="s">
        <v>7709</v>
      </c>
      <c r="BI3086" t="s">
        <v>7710</v>
      </c>
      <c r="BJ3086">
        <v>0.10141</v>
      </c>
      <c r="BK3086">
        <v>1</v>
      </c>
      <c r="BL3086" t="s">
        <v>69</v>
      </c>
      <c r="BM3086">
        <v>-0.63900000000000001</v>
      </c>
      <c r="BN3086">
        <v>-0.98899999999999999</v>
      </c>
    </row>
    <row r="3087" spans="10:66">
      <c r="J3087">
        <v>0</v>
      </c>
      <c r="K3087">
        <v>5</v>
      </c>
      <c r="L3087">
        <v>4</v>
      </c>
      <c r="M3087" t="s">
        <v>25021</v>
      </c>
      <c r="N3087">
        <v>1229</v>
      </c>
      <c r="O3087" t="s">
        <v>7725</v>
      </c>
      <c r="P3087" t="s">
        <v>62</v>
      </c>
      <c r="Q3087">
        <v>1260814</v>
      </c>
      <c r="R3087">
        <v>1261356</v>
      </c>
      <c r="S3087" t="s">
        <v>7726</v>
      </c>
      <c r="T3087">
        <v>181</v>
      </c>
      <c r="U3087" t="s">
        <v>108</v>
      </c>
      <c r="V3087">
        <v>44</v>
      </c>
      <c r="W3087" t="str">
        <f>HYPERLINK("Gene1229-zp_tree_all.dnd", "Gene1229-tree")</f>
        <v>Gene1229-tree</v>
      </c>
      <c r="X3087">
        <v>5</v>
      </c>
      <c r="Y3087">
        <v>9</v>
      </c>
      <c r="Z3087">
        <v>5</v>
      </c>
      <c r="AA3087">
        <v>9</v>
      </c>
      <c r="AB3087">
        <v>0.64285999999999999</v>
      </c>
      <c r="AC3087" t="s">
        <v>199</v>
      </c>
      <c r="AD3087" t="s">
        <v>135</v>
      </c>
      <c r="AE3087" t="s">
        <v>62</v>
      </c>
      <c r="AF3087" t="s">
        <v>62</v>
      </c>
      <c r="AG3087">
        <v>4</v>
      </c>
      <c r="AH3087">
        <v>9</v>
      </c>
      <c r="AI3087">
        <v>11</v>
      </c>
      <c r="AJ3087">
        <v>0.45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2</v>
      </c>
      <c r="AQ3087">
        <v>4</v>
      </c>
      <c r="AR3087">
        <v>6</v>
      </c>
      <c r="AS3087">
        <v>11</v>
      </c>
      <c r="AT3087">
        <v>0.35293999999999998</v>
      </c>
      <c r="AU3087">
        <v>11</v>
      </c>
      <c r="AV3087">
        <v>8</v>
      </c>
      <c r="AW3087">
        <v>26</v>
      </c>
      <c r="AX3087">
        <v>16</v>
      </c>
      <c r="AY3087">
        <v>15</v>
      </c>
      <c r="AZ3087">
        <v>4</v>
      </c>
      <c r="BA3087" t="s">
        <v>7727</v>
      </c>
      <c r="BB3087" t="s">
        <v>7728</v>
      </c>
      <c r="BC3087">
        <v>0.93</v>
      </c>
      <c r="BD3087" t="s">
        <v>65</v>
      </c>
      <c r="BE3087">
        <v>41</v>
      </c>
      <c r="BF3087">
        <v>20</v>
      </c>
      <c r="BG3087" t="s">
        <v>7729</v>
      </c>
      <c r="BH3087" t="s">
        <v>7730</v>
      </c>
      <c r="BI3087" t="s">
        <v>7731</v>
      </c>
      <c r="BJ3087">
        <v>0.11229</v>
      </c>
      <c r="BK3087">
        <v>1</v>
      </c>
      <c r="BL3087" t="s">
        <v>69</v>
      </c>
      <c r="BM3087">
        <v>-1.0269999999999999</v>
      </c>
      <c r="BN3087">
        <v>-1.673</v>
      </c>
    </row>
    <row r="3088" spans="10:66">
      <c r="J3088">
        <v>0</v>
      </c>
      <c r="K3088">
        <v>8</v>
      </c>
      <c r="L3088">
        <v>0</v>
      </c>
      <c r="M3088" t="s">
        <v>25021</v>
      </c>
      <c r="N3088">
        <v>1230</v>
      </c>
      <c r="O3088" t="s">
        <v>7732</v>
      </c>
      <c r="P3088" t="s">
        <v>62</v>
      </c>
      <c r="Q3088">
        <v>1261429</v>
      </c>
      <c r="R3088">
        <v>1262616</v>
      </c>
      <c r="S3088" t="s">
        <v>7733</v>
      </c>
      <c r="T3088">
        <v>396</v>
      </c>
      <c r="U3088" t="s">
        <v>1392</v>
      </c>
      <c r="V3088">
        <v>43</v>
      </c>
      <c r="W3088" t="str">
        <f>HYPERLINK("Gene1230-zp_tree_all.dnd", "Gene1230-tree")</f>
        <v>Gene1230-tree</v>
      </c>
      <c r="X3088">
        <v>3</v>
      </c>
      <c r="Y3088">
        <v>10</v>
      </c>
      <c r="Z3088">
        <v>3</v>
      </c>
      <c r="AA3088">
        <v>10</v>
      </c>
      <c r="AB3088">
        <v>0.76922999999999997</v>
      </c>
      <c r="AC3088" t="s">
        <v>324</v>
      </c>
      <c r="AD3088" t="s">
        <v>117</v>
      </c>
      <c r="AE3088" t="s">
        <v>62</v>
      </c>
      <c r="AF3088" t="s">
        <v>62</v>
      </c>
      <c r="AG3088">
        <v>3</v>
      </c>
      <c r="AH3088">
        <v>8</v>
      </c>
      <c r="AI3088">
        <v>15</v>
      </c>
      <c r="AJ3088">
        <v>0.34782999999999997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5</v>
      </c>
      <c r="AQ3088">
        <v>0</v>
      </c>
      <c r="AR3088">
        <v>5</v>
      </c>
      <c r="AS3088">
        <v>12</v>
      </c>
      <c r="AT3088">
        <v>0.29411999999999999</v>
      </c>
      <c r="AU3088">
        <v>12</v>
      </c>
      <c r="AV3088">
        <v>10</v>
      </c>
      <c r="AW3088">
        <v>64</v>
      </c>
      <c r="AX3088">
        <v>18</v>
      </c>
      <c r="AY3088">
        <v>61</v>
      </c>
      <c r="AZ3088">
        <v>8</v>
      </c>
      <c r="BA3088" t="s">
        <v>7734</v>
      </c>
      <c r="BB3088" t="s">
        <v>7735</v>
      </c>
      <c r="BC3088">
        <v>0.75</v>
      </c>
      <c r="BD3088" t="s">
        <v>65</v>
      </c>
      <c r="BE3088">
        <v>125</v>
      </c>
      <c r="BF3088">
        <v>26</v>
      </c>
      <c r="BG3088" t="s">
        <v>7736</v>
      </c>
      <c r="BH3088" t="s">
        <v>7737</v>
      </c>
      <c r="BI3088" t="s">
        <v>7738</v>
      </c>
      <c r="BJ3088">
        <v>6.2759999999999996E-2</v>
      </c>
      <c r="BK3088">
        <v>1</v>
      </c>
      <c r="BL3088" t="s">
        <v>69</v>
      </c>
      <c r="BM3088">
        <v>1.9E-2</v>
      </c>
      <c r="BN3088">
        <v>-1.0529999999999999</v>
      </c>
    </row>
    <row r="3089" spans="10:66">
      <c r="J3089">
        <v>0</v>
      </c>
      <c r="K3089">
        <v>0</v>
      </c>
      <c r="L3089">
        <v>0</v>
      </c>
      <c r="M3089" t="s">
        <v>25021</v>
      </c>
      <c r="N3089">
        <v>1231</v>
      </c>
      <c r="O3089" t="s">
        <v>7739</v>
      </c>
      <c r="P3089" t="s">
        <v>62</v>
      </c>
      <c r="Q3089">
        <v>1263705</v>
      </c>
      <c r="R3089">
        <v>1264931</v>
      </c>
      <c r="S3089" t="s">
        <v>7740</v>
      </c>
      <c r="T3089">
        <v>409</v>
      </c>
      <c r="U3089" t="s">
        <v>7741</v>
      </c>
      <c r="V3089">
        <v>22</v>
      </c>
      <c r="W3089" t="str">
        <f>HYPERLINK("Gene1231-zp_tree_all.dnd", "Gene1231-tree")</f>
        <v>Gene1231-tree</v>
      </c>
      <c r="X3089">
        <v>0</v>
      </c>
      <c r="Y3089">
        <v>7</v>
      </c>
      <c r="Z3089">
        <v>0</v>
      </c>
      <c r="AA3089">
        <v>4</v>
      </c>
      <c r="AB3089">
        <v>1</v>
      </c>
      <c r="AC3089" t="s">
        <v>62</v>
      </c>
      <c r="AD3089" t="s">
        <v>7742</v>
      </c>
      <c r="AE3089">
        <v>2.419</v>
      </c>
      <c r="AF3089" t="s">
        <v>65</v>
      </c>
      <c r="AG3089">
        <v>0</v>
      </c>
      <c r="AH3089">
        <v>0</v>
      </c>
      <c r="AI3089">
        <v>3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3</v>
      </c>
      <c r="AT3089">
        <v>0</v>
      </c>
      <c r="AU3089">
        <v>3</v>
      </c>
      <c r="AV3089">
        <v>0</v>
      </c>
      <c r="AW3089">
        <v>3</v>
      </c>
      <c r="AX3089">
        <v>3</v>
      </c>
      <c r="AY3089">
        <v>0</v>
      </c>
      <c r="AZ3089">
        <v>0</v>
      </c>
      <c r="BA3089" t="s">
        <v>7743</v>
      </c>
      <c r="BB3089" t="s">
        <v>193</v>
      </c>
      <c r="BC3089">
        <v>0.86599999999999999</v>
      </c>
      <c r="BD3089" t="s">
        <v>65</v>
      </c>
      <c r="BE3089">
        <v>3</v>
      </c>
      <c r="BF3089">
        <v>3</v>
      </c>
      <c r="BG3089" t="s">
        <v>7744</v>
      </c>
      <c r="BH3089" t="s">
        <v>7745</v>
      </c>
      <c r="BI3089" t="s">
        <v>7746</v>
      </c>
      <c r="BJ3089">
        <v>0.28438999999999998</v>
      </c>
      <c r="BK3089">
        <v>0.81100000000000005</v>
      </c>
      <c r="BL3089" t="s">
        <v>635</v>
      </c>
      <c r="BM3089">
        <v>-1.6559999999999999</v>
      </c>
      <c r="BN3089">
        <v>-2.3559999999999999</v>
      </c>
    </row>
    <row r="3090" spans="10:66">
      <c r="J3090">
        <v>0</v>
      </c>
      <c r="K3090">
        <v>0</v>
      </c>
      <c r="L3090">
        <v>0</v>
      </c>
      <c r="M3090" t="s">
        <v>25021</v>
      </c>
      <c r="N3090">
        <v>1241</v>
      </c>
      <c r="O3090" t="s">
        <v>7775</v>
      </c>
      <c r="P3090" t="s">
        <v>62</v>
      </c>
      <c r="Q3090">
        <v>1269736</v>
      </c>
      <c r="R3090">
        <v>1270080</v>
      </c>
      <c r="S3090" t="s">
        <v>7776</v>
      </c>
      <c r="T3090">
        <v>115</v>
      </c>
      <c r="U3090" t="s">
        <v>7777</v>
      </c>
      <c r="V3090">
        <v>31</v>
      </c>
      <c r="W3090" t="str">
        <f>HYPERLINK("Gene1241-zp_tree_all.dnd", "Gene1241-tree")</f>
        <v>Gene1241-tree</v>
      </c>
      <c r="X3090">
        <v>5</v>
      </c>
      <c r="Y3090">
        <v>1</v>
      </c>
      <c r="Z3090">
        <v>5</v>
      </c>
      <c r="AA3090">
        <v>1</v>
      </c>
      <c r="AB3090">
        <v>0.16667000000000001</v>
      </c>
      <c r="AC3090" t="s">
        <v>199</v>
      </c>
      <c r="AD3090" t="s">
        <v>175</v>
      </c>
      <c r="AE3090" t="s">
        <v>62</v>
      </c>
      <c r="AF3090" t="s">
        <v>62</v>
      </c>
      <c r="AG3090">
        <v>0</v>
      </c>
      <c r="AH3090">
        <v>0</v>
      </c>
      <c r="AI3090">
        <v>2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2</v>
      </c>
      <c r="AT3090">
        <v>0</v>
      </c>
      <c r="AU3090">
        <v>5</v>
      </c>
      <c r="AV3090">
        <v>1</v>
      </c>
      <c r="AW3090">
        <v>7</v>
      </c>
      <c r="AX3090">
        <v>2</v>
      </c>
      <c r="AY3090">
        <v>1</v>
      </c>
      <c r="AZ3090">
        <v>0</v>
      </c>
      <c r="BA3090" t="s">
        <v>7778</v>
      </c>
      <c r="BB3090" t="s">
        <v>193</v>
      </c>
      <c r="BC3090">
        <v>0.54200000000000004</v>
      </c>
      <c r="BD3090" t="s">
        <v>65</v>
      </c>
      <c r="BE3090">
        <v>8</v>
      </c>
      <c r="BF3090">
        <v>2</v>
      </c>
      <c r="BG3090" t="s">
        <v>7779</v>
      </c>
      <c r="BH3090" t="s">
        <v>7780</v>
      </c>
      <c r="BI3090" t="s">
        <v>7781</v>
      </c>
      <c r="BJ3090">
        <v>8.7580000000000005E-2</v>
      </c>
      <c r="BK3090">
        <v>1</v>
      </c>
      <c r="BL3090" t="s">
        <v>69</v>
      </c>
      <c r="BM3090">
        <v>-0.8</v>
      </c>
      <c r="BN3090">
        <v>0.68300000000000005</v>
      </c>
    </row>
    <row r="3091" spans="10:66">
      <c r="J3091">
        <v>0</v>
      </c>
      <c r="K3091">
        <v>24</v>
      </c>
      <c r="L3091">
        <v>1</v>
      </c>
      <c r="M3091" t="s">
        <v>25021</v>
      </c>
      <c r="N3091">
        <v>1246</v>
      </c>
      <c r="O3091" t="s">
        <v>7809</v>
      </c>
      <c r="P3091" t="s">
        <v>62</v>
      </c>
      <c r="Q3091">
        <v>1276340</v>
      </c>
      <c r="R3091">
        <v>1276843</v>
      </c>
      <c r="S3091" t="s">
        <v>3537</v>
      </c>
      <c r="T3091">
        <v>168</v>
      </c>
      <c r="U3091" t="s">
        <v>108</v>
      </c>
      <c r="V3091">
        <v>44</v>
      </c>
      <c r="W3091" t="str">
        <f>HYPERLINK("Gene1246-zp_tree_all.dnd", "Gene1246-tree")</f>
        <v>Gene1246-tree</v>
      </c>
      <c r="X3091">
        <v>0</v>
      </c>
      <c r="Y3091">
        <v>12</v>
      </c>
      <c r="Z3091">
        <v>0</v>
      </c>
      <c r="AA3091">
        <v>12</v>
      </c>
      <c r="AB3091">
        <v>1</v>
      </c>
      <c r="AC3091" t="s">
        <v>62</v>
      </c>
      <c r="AD3091" t="s">
        <v>109</v>
      </c>
      <c r="AE3091" t="s">
        <v>62</v>
      </c>
      <c r="AF3091" t="s">
        <v>62</v>
      </c>
      <c r="AG3091">
        <v>9</v>
      </c>
      <c r="AH3091">
        <v>25</v>
      </c>
      <c r="AI3091">
        <v>10</v>
      </c>
      <c r="AJ3091">
        <v>0.71428999999999998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12</v>
      </c>
      <c r="AQ3091">
        <v>2</v>
      </c>
      <c r="AR3091">
        <v>14</v>
      </c>
      <c r="AS3091">
        <v>12</v>
      </c>
      <c r="AT3091">
        <v>0.53846000000000005</v>
      </c>
      <c r="AU3091">
        <v>9</v>
      </c>
      <c r="AV3091">
        <v>8</v>
      </c>
      <c r="AW3091">
        <v>24</v>
      </c>
      <c r="AX3091">
        <v>23</v>
      </c>
      <c r="AY3091">
        <v>4</v>
      </c>
      <c r="AZ3091">
        <v>17</v>
      </c>
      <c r="BA3091" t="s">
        <v>7810</v>
      </c>
      <c r="BB3091" t="s">
        <v>7811</v>
      </c>
      <c r="BC3091">
        <v>1.431</v>
      </c>
      <c r="BD3091" t="s">
        <v>65</v>
      </c>
      <c r="BE3091">
        <v>28</v>
      </c>
      <c r="BF3091">
        <v>40</v>
      </c>
      <c r="BG3091" t="s">
        <v>7812</v>
      </c>
      <c r="BH3091" t="s">
        <v>7813</v>
      </c>
      <c r="BI3091" t="s">
        <v>7814</v>
      </c>
      <c r="BJ3091">
        <v>0.35669000000000001</v>
      </c>
      <c r="BK3091">
        <v>0.99</v>
      </c>
      <c r="BL3091" t="s">
        <v>69</v>
      </c>
      <c r="BM3091">
        <v>-0.26800000000000002</v>
      </c>
      <c r="BN3091">
        <v>-0.72</v>
      </c>
    </row>
    <row r="3092" spans="10:66">
      <c r="J3092">
        <v>0</v>
      </c>
      <c r="K3092">
        <v>0</v>
      </c>
      <c r="L3092">
        <v>0</v>
      </c>
      <c r="M3092" t="s">
        <v>25021</v>
      </c>
      <c r="N3092">
        <v>1247</v>
      </c>
      <c r="O3092" t="s">
        <v>7815</v>
      </c>
      <c r="P3092" t="s">
        <v>62</v>
      </c>
      <c r="Q3092">
        <v>1277065</v>
      </c>
      <c r="R3092">
        <v>1277457</v>
      </c>
      <c r="S3092" t="s">
        <v>5691</v>
      </c>
      <c r="T3092">
        <v>131</v>
      </c>
      <c r="U3092" t="s">
        <v>108</v>
      </c>
      <c r="V3092">
        <v>44</v>
      </c>
      <c r="W3092" t="str">
        <f>HYPERLINK("Gene1247-zp_tree_all.dnd", "Gene1247-tree")</f>
        <v>Gene1247-tree</v>
      </c>
      <c r="X3092">
        <v>27</v>
      </c>
      <c r="Y3092">
        <v>2</v>
      </c>
      <c r="Z3092">
        <v>8</v>
      </c>
      <c r="AA3092">
        <v>2</v>
      </c>
      <c r="AB3092">
        <v>0.2</v>
      </c>
      <c r="AC3092" t="s">
        <v>282</v>
      </c>
      <c r="AD3092" t="s">
        <v>81</v>
      </c>
      <c r="AE3092" t="s">
        <v>62</v>
      </c>
      <c r="AF3092" t="s">
        <v>62</v>
      </c>
      <c r="AG3092">
        <v>0</v>
      </c>
      <c r="AH3092">
        <v>0</v>
      </c>
      <c r="AI3092">
        <v>2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2</v>
      </c>
      <c r="AT3092">
        <v>0</v>
      </c>
      <c r="AU3092">
        <v>7</v>
      </c>
      <c r="AV3092">
        <v>2</v>
      </c>
      <c r="AW3092">
        <v>9</v>
      </c>
      <c r="AX3092">
        <v>2</v>
      </c>
      <c r="AY3092">
        <v>4</v>
      </c>
      <c r="AZ3092">
        <v>0</v>
      </c>
      <c r="BA3092" t="s">
        <v>7816</v>
      </c>
      <c r="BB3092" t="s">
        <v>193</v>
      </c>
      <c r="BC3092">
        <v>0.94499999999999995</v>
      </c>
      <c r="BD3092" t="s">
        <v>65</v>
      </c>
      <c r="BE3092">
        <v>13</v>
      </c>
      <c r="BF3092">
        <v>2</v>
      </c>
      <c r="BG3092" t="s">
        <v>7817</v>
      </c>
      <c r="BH3092" t="s">
        <v>7818</v>
      </c>
      <c r="BI3092" t="s">
        <v>7819</v>
      </c>
      <c r="BJ3092">
        <v>4.6969999999999998E-2</v>
      </c>
      <c r="BK3092">
        <v>0.98899999999999999</v>
      </c>
      <c r="BL3092" t="s">
        <v>69</v>
      </c>
      <c r="BM3092">
        <v>-1.0580000000000001</v>
      </c>
      <c r="BN3092">
        <v>-1.343</v>
      </c>
    </row>
    <row r="3093" spans="10:66">
      <c r="J3093">
        <v>0</v>
      </c>
      <c r="K3093">
        <v>0</v>
      </c>
      <c r="L3093">
        <v>2</v>
      </c>
      <c r="M3093" t="s">
        <v>25021</v>
      </c>
      <c r="N3093">
        <v>1249</v>
      </c>
      <c r="O3093" t="s">
        <v>7827</v>
      </c>
      <c r="P3093" t="s">
        <v>62</v>
      </c>
      <c r="Q3093">
        <v>1278208</v>
      </c>
      <c r="R3093">
        <v>1278399</v>
      </c>
      <c r="S3093" t="s">
        <v>288</v>
      </c>
      <c r="T3093">
        <v>64</v>
      </c>
      <c r="U3093" t="s">
        <v>465</v>
      </c>
      <c r="V3093">
        <v>46</v>
      </c>
      <c r="W3093" t="str">
        <f>HYPERLINK("Gene1249-zp_tree_all.dnd", "Gene1249-tree")</f>
        <v>Gene1249-tree</v>
      </c>
      <c r="X3093">
        <v>4</v>
      </c>
      <c r="Y3093">
        <v>3</v>
      </c>
      <c r="Z3093">
        <v>4</v>
      </c>
      <c r="AA3093">
        <v>3</v>
      </c>
      <c r="AB3093">
        <v>0.42857000000000001</v>
      </c>
      <c r="AC3093" t="s">
        <v>61</v>
      </c>
      <c r="AD3093" t="s">
        <v>324</v>
      </c>
      <c r="AE3093" t="s">
        <v>62</v>
      </c>
      <c r="AF3093" t="s">
        <v>62</v>
      </c>
      <c r="AG3093">
        <v>1</v>
      </c>
      <c r="AH3093">
        <v>2</v>
      </c>
      <c r="AI3093">
        <v>3</v>
      </c>
      <c r="AJ3093">
        <v>0.4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2</v>
      </c>
      <c r="AR3093">
        <v>2</v>
      </c>
      <c r="AS3093">
        <v>3</v>
      </c>
      <c r="AT3093">
        <v>0.4</v>
      </c>
      <c r="AU3093">
        <v>6</v>
      </c>
      <c r="AV3093">
        <v>2</v>
      </c>
      <c r="AW3093">
        <v>13</v>
      </c>
      <c r="AX3093">
        <v>5</v>
      </c>
      <c r="AY3093">
        <v>3</v>
      </c>
      <c r="AZ3093">
        <v>0</v>
      </c>
      <c r="BA3093" t="s">
        <v>7828</v>
      </c>
      <c r="BB3093" t="s">
        <v>193</v>
      </c>
      <c r="BC3093">
        <v>1.0389999999999999</v>
      </c>
      <c r="BD3093" t="s">
        <v>65</v>
      </c>
      <c r="BE3093">
        <v>16</v>
      </c>
      <c r="BF3093">
        <v>5</v>
      </c>
      <c r="BG3093" t="s">
        <v>7829</v>
      </c>
      <c r="BH3093" t="s">
        <v>7830</v>
      </c>
      <c r="BI3093" t="s">
        <v>7831</v>
      </c>
      <c r="BJ3093">
        <v>8.2869999999999999E-2</v>
      </c>
      <c r="BK3093">
        <v>1</v>
      </c>
      <c r="BL3093" t="s">
        <v>69</v>
      </c>
      <c r="BM3093">
        <v>-1.385</v>
      </c>
      <c r="BN3093">
        <v>1.208</v>
      </c>
    </row>
    <row r="3094" spans="10:66">
      <c r="J3094">
        <v>0</v>
      </c>
      <c r="K3094">
        <v>0</v>
      </c>
      <c r="L3094">
        <v>2</v>
      </c>
      <c r="M3094" t="s">
        <v>25021</v>
      </c>
      <c r="N3094">
        <v>1250</v>
      </c>
      <c r="O3094" t="s">
        <v>7832</v>
      </c>
      <c r="P3094" t="s">
        <v>62</v>
      </c>
      <c r="Q3094">
        <v>1278568</v>
      </c>
      <c r="R3094">
        <v>1278894</v>
      </c>
      <c r="S3094" t="s">
        <v>288</v>
      </c>
      <c r="T3094">
        <v>109</v>
      </c>
      <c r="U3094" t="s">
        <v>108</v>
      </c>
      <c r="V3094">
        <v>44</v>
      </c>
      <c r="W3094" t="str">
        <f>HYPERLINK("Gene1250-zp_tree_all.dnd", "Gene1250-tree")</f>
        <v>Gene1250-tree</v>
      </c>
      <c r="X3094">
        <v>5</v>
      </c>
      <c r="Y3094">
        <v>5</v>
      </c>
      <c r="Z3094">
        <v>5</v>
      </c>
      <c r="AA3094">
        <v>5</v>
      </c>
      <c r="AB3094">
        <v>0.5</v>
      </c>
      <c r="AC3094" t="s">
        <v>199</v>
      </c>
      <c r="AD3094" t="s">
        <v>199</v>
      </c>
      <c r="AE3094" t="s">
        <v>62</v>
      </c>
      <c r="AF3094" t="s">
        <v>62</v>
      </c>
      <c r="AG3094">
        <v>1</v>
      </c>
      <c r="AH3094">
        <v>2</v>
      </c>
      <c r="AI3094">
        <v>6</v>
      </c>
      <c r="AJ3094">
        <v>0.25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2</v>
      </c>
      <c r="AR3094">
        <v>2</v>
      </c>
      <c r="AS3094">
        <v>5</v>
      </c>
      <c r="AT3094">
        <v>0.28571000000000002</v>
      </c>
      <c r="AU3094">
        <v>8</v>
      </c>
      <c r="AV3094">
        <v>2</v>
      </c>
      <c r="AW3094">
        <v>5</v>
      </c>
      <c r="AX3094">
        <v>7</v>
      </c>
      <c r="AY3094">
        <v>1</v>
      </c>
      <c r="AZ3094">
        <v>1</v>
      </c>
      <c r="BA3094" t="s">
        <v>7833</v>
      </c>
      <c r="BB3094" t="s">
        <v>7834</v>
      </c>
      <c r="BC3094">
        <v>0.22800000000000001</v>
      </c>
      <c r="BD3094" t="s">
        <v>65</v>
      </c>
      <c r="BE3094">
        <v>6</v>
      </c>
      <c r="BF3094">
        <v>8</v>
      </c>
      <c r="BG3094" t="s">
        <v>7835</v>
      </c>
      <c r="BH3094" t="s">
        <v>7836</v>
      </c>
      <c r="BI3094" t="s">
        <v>7837</v>
      </c>
      <c r="BJ3094">
        <v>0.37259999999999999</v>
      </c>
      <c r="BK3094">
        <v>0.93899999999999995</v>
      </c>
      <c r="BL3094" t="s">
        <v>635</v>
      </c>
      <c r="BM3094">
        <v>-1.5129999999999999</v>
      </c>
      <c r="BN3094">
        <v>-1.984</v>
      </c>
    </row>
    <row r="3095" spans="10:66">
      <c r="J3095">
        <v>0</v>
      </c>
      <c r="K3095">
        <v>4</v>
      </c>
      <c r="L3095">
        <v>0</v>
      </c>
      <c r="M3095" t="s">
        <v>25021</v>
      </c>
      <c r="N3095">
        <v>1251</v>
      </c>
      <c r="O3095" t="s">
        <v>7838</v>
      </c>
      <c r="P3095" t="s">
        <v>62</v>
      </c>
      <c r="Q3095">
        <v>1279517</v>
      </c>
      <c r="R3095">
        <v>1280503</v>
      </c>
      <c r="S3095" t="s">
        <v>7839</v>
      </c>
      <c r="T3095">
        <v>329</v>
      </c>
      <c r="U3095" t="s">
        <v>7840</v>
      </c>
      <c r="V3095">
        <v>32</v>
      </c>
      <c r="W3095" t="str">
        <f>HYPERLINK("Gene1251-zp_tree_all.dnd", "Gene1251-tree")</f>
        <v>Gene1251-tree</v>
      </c>
      <c r="X3095">
        <v>4</v>
      </c>
      <c r="Y3095">
        <v>7</v>
      </c>
      <c r="Z3095">
        <v>4</v>
      </c>
      <c r="AA3095">
        <v>7</v>
      </c>
      <c r="AB3095">
        <v>0.63636000000000004</v>
      </c>
      <c r="AC3095" t="s">
        <v>61</v>
      </c>
      <c r="AD3095" t="s">
        <v>152</v>
      </c>
      <c r="AE3095" t="s">
        <v>62</v>
      </c>
      <c r="AF3095" t="s">
        <v>62</v>
      </c>
      <c r="AG3095">
        <v>2</v>
      </c>
      <c r="AH3095">
        <v>4</v>
      </c>
      <c r="AI3095">
        <v>14</v>
      </c>
      <c r="AJ3095">
        <v>0.22222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14</v>
      </c>
      <c r="AT3095">
        <v>0</v>
      </c>
      <c r="AU3095">
        <v>9</v>
      </c>
      <c r="AV3095">
        <v>6</v>
      </c>
      <c r="AW3095">
        <v>28</v>
      </c>
      <c r="AX3095">
        <v>13</v>
      </c>
      <c r="AY3095">
        <v>18</v>
      </c>
      <c r="AZ3095">
        <v>5</v>
      </c>
      <c r="BA3095" t="s">
        <v>7841</v>
      </c>
      <c r="BB3095" t="s">
        <v>7842</v>
      </c>
      <c r="BC3095">
        <v>0.64500000000000002</v>
      </c>
      <c r="BD3095" t="s">
        <v>65</v>
      </c>
      <c r="BE3095">
        <v>46</v>
      </c>
      <c r="BF3095">
        <v>18</v>
      </c>
      <c r="BG3095" t="s">
        <v>7843</v>
      </c>
      <c r="BH3095" t="s">
        <v>7844</v>
      </c>
      <c r="BI3095" t="s">
        <v>7845</v>
      </c>
      <c r="BJ3095">
        <v>0.10721</v>
      </c>
      <c r="BK3095">
        <v>1</v>
      </c>
      <c r="BL3095" t="s">
        <v>69</v>
      </c>
      <c r="BM3095">
        <v>-1.7969999999999999</v>
      </c>
      <c r="BN3095">
        <v>-1.8280000000000001</v>
      </c>
    </row>
    <row r="3096" spans="10:66">
      <c r="J3096">
        <v>0</v>
      </c>
      <c r="K3096">
        <v>0</v>
      </c>
      <c r="L3096">
        <v>0</v>
      </c>
      <c r="M3096" t="s">
        <v>25021</v>
      </c>
      <c r="N3096">
        <v>1252</v>
      </c>
      <c r="O3096" t="s">
        <v>7846</v>
      </c>
      <c r="P3096" t="s">
        <v>62</v>
      </c>
      <c r="Q3096">
        <v>1280629</v>
      </c>
      <c r="R3096">
        <v>1280874</v>
      </c>
      <c r="S3096" t="s">
        <v>7847</v>
      </c>
      <c r="T3096">
        <v>82</v>
      </c>
      <c r="U3096" t="s">
        <v>7848</v>
      </c>
      <c r="V3096">
        <v>29</v>
      </c>
      <c r="W3096" t="str">
        <f>HYPERLINK("Gene1252-zp_tree_all.dnd", "Gene1252-tree")</f>
        <v>Gene1252-tree</v>
      </c>
      <c r="X3096">
        <v>3</v>
      </c>
      <c r="Y3096">
        <v>3</v>
      </c>
      <c r="Z3096">
        <v>3</v>
      </c>
      <c r="AA3096">
        <v>3</v>
      </c>
      <c r="AB3096">
        <v>0.5</v>
      </c>
      <c r="AC3096" t="s">
        <v>324</v>
      </c>
      <c r="AD3096" t="s">
        <v>324</v>
      </c>
      <c r="AE3096" t="s">
        <v>62</v>
      </c>
      <c r="AF3096" t="s">
        <v>62</v>
      </c>
      <c r="AG3096">
        <v>0</v>
      </c>
      <c r="AH3096">
        <v>0</v>
      </c>
      <c r="AI3096">
        <v>3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3</v>
      </c>
      <c r="AT3096">
        <v>0</v>
      </c>
      <c r="AU3096">
        <v>4</v>
      </c>
      <c r="AV3096">
        <v>2</v>
      </c>
      <c r="AW3096">
        <v>1</v>
      </c>
      <c r="AX3096">
        <v>3</v>
      </c>
      <c r="AY3096">
        <v>3</v>
      </c>
      <c r="AZ3096">
        <v>0</v>
      </c>
      <c r="BA3096" t="s">
        <v>7849</v>
      </c>
      <c r="BB3096" t="s">
        <v>193</v>
      </c>
      <c r="BC3096">
        <v>0.6</v>
      </c>
      <c r="BD3096" t="s">
        <v>65</v>
      </c>
      <c r="BE3096">
        <v>4</v>
      </c>
      <c r="BF3096">
        <v>3</v>
      </c>
      <c r="BG3096" t="s">
        <v>7850</v>
      </c>
      <c r="BH3096" t="s">
        <v>7851</v>
      </c>
      <c r="BI3096" t="s">
        <v>7852</v>
      </c>
      <c r="BJ3096">
        <v>0.19885</v>
      </c>
      <c r="BK3096">
        <v>0.94199999999999995</v>
      </c>
      <c r="BL3096" t="s">
        <v>635</v>
      </c>
      <c r="BM3096">
        <v>-0.53400000000000003</v>
      </c>
      <c r="BN3096">
        <v>-0.79700000000000004</v>
      </c>
    </row>
    <row r="3097" spans="10:66">
      <c r="J3097">
        <v>0</v>
      </c>
      <c r="K3097">
        <v>4</v>
      </c>
      <c r="L3097">
        <v>0</v>
      </c>
      <c r="M3097" t="s">
        <v>25021</v>
      </c>
      <c r="N3097">
        <v>1254</v>
      </c>
      <c r="O3097" t="s">
        <v>7860</v>
      </c>
      <c r="P3097" t="s">
        <v>62</v>
      </c>
      <c r="Q3097">
        <v>1282574</v>
      </c>
      <c r="R3097">
        <v>1283044</v>
      </c>
      <c r="S3097" t="s">
        <v>288</v>
      </c>
      <c r="T3097">
        <v>157</v>
      </c>
      <c r="U3097" t="s">
        <v>465</v>
      </c>
      <c r="V3097">
        <v>46</v>
      </c>
      <c r="W3097" t="str">
        <f>HYPERLINK("Gene1254-zp_tree_all.dnd", "Gene1254-tree")</f>
        <v>Gene1254-tree</v>
      </c>
      <c r="X3097">
        <v>9</v>
      </c>
      <c r="Y3097">
        <v>3</v>
      </c>
      <c r="Z3097">
        <v>9</v>
      </c>
      <c r="AA3097">
        <v>3</v>
      </c>
      <c r="AB3097">
        <v>0.25</v>
      </c>
      <c r="AC3097" t="s">
        <v>135</v>
      </c>
      <c r="AD3097" t="s">
        <v>324</v>
      </c>
      <c r="AE3097" t="s">
        <v>62</v>
      </c>
      <c r="AF3097" t="s">
        <v>62</v>
      </c>
      <c r="AG3097">
        <v>2</v>
      </c>
      <c r="AH3097">
        <v>4</v>
      </c>
      <c r="AI3097">
        <v>7</v>
      </c>
      <c r="AJ3097">
        <v>0.36364000000000002</v>
      </c>
      <c r="AK3097">
        <v>0</v>
      </c>
      <c r="AL3097">
        <v>0</v>
      </c>
      <c r="AM3097">
        <v>0</v>
      </c>
      <c r="AN3097">
        <v>3</v>
      </c>
      <c r="AO3097">
        <v>0</v>
      </c>
      <c r="AP3097">
        <v>0</v>
      </c>
      <c r="AQ3097">
        <v>0</v>
      </c>
      <c r="AR3097">
        <v>0</v>
      </c>
      <c r="AS3097">
        <v>4</v>
      </c>
      <c r="AT3097">
        <v>0</v>
      </c>
      <c r="AU3097">
        <v>9</v>
      </c>
      <c r="AV3097">
        <v>8</v>
      </c>
      <c r="AW3097">
        <v>12</v>
      </c>
      <c r="AX3097">
        <v>4</v>
      </c>
      <c r="AY3097">
        <v>16</v>
      </c>
      <c r="AZ3097">
        <v>7</v>
      </c>
      <c r="BA3097" t="s">
        <v>7861</v>
      </c>
      <c r="BB3097" t="s">
        <v>7862</v>
      </c>
      <c r="BC3097">
        <v>0.12</v>
      </c>
      <c r="BD3097" t="s">
        <v>65</v>
      </c>
      <c r="BE3097">
        <v>28</v>
      </c>
      <c r="BF3097">
        <v>11</v>
      </c>
      <c r="BG3097" t="s">
        <v>7863</v>
      </c>
      <c r="BH3097" t="s">
        <v>7864</v>
      </c>
      <c r="BI3097" t="s">
        <v>7865</v>
      </c>
      <c r="BJ3097">
        <v>0.11418</v>
      </c>
      <c r="BK3097">
        <v>1</v>
      </c>
      <c r="BL3097" t="s">
        <v>69</v>
      </c>
      <c r="BM3097">
        <v>-0.34599999999999997</v>
      </c>
      <c r="BN3097">
        <v>1.095</v>
      </c>
    </row>
    <row r="3098" spans="10:66">
      <c r="J3098">
        <v>0</v>
      </c>
      <c r="K3098">
        <v>0</v>
      </c>
      <c r="L3098">
        <v>0</v>
      </c>
      <c r="M3098" t="s">
        <v>25021</v>
      </c>
      <c r="N3098">
        <v>1255</v>
      </c>
      <c r="O3098" t="s">
        <v>7866</v>
      </c>
      <c r="P3098" t="s">
        <v>62</v>
      </c>
      <c r="Q3098">
        <v>1283172</v>
      </c>
      <c r="R3098">
        <v>1283336</v>
      </c>
      <c r="S3098" t="s">
        <v>288</v>
      </c>
      <c r="T3098">
        <v>55</v>
      </c>
      <c r="U3098" t="s">
        <v>108</v>
      </c>
      <c r="V3098">
        <v>44</v>
      </c>
      <c r="W3098" t="str">
        <f>HYPERLINK("Gene1255-zp_tree_all.dnd", "Gene1255-tree")</f>
        <v>Gene1255-tree</v>
      </c>
      <c r="X3098">
        <v>8</v>
      </c>
      <c r="Y3098">
        <v>1</v>
      </c>
      <c r="Z3098">
        <v>8</v>
      </c>
      <c r="AA3098">
        <v>1</v>
      </c>
      <c r="AB3098">
        <v>0.11111</v>
      </c>
      <c r="AC3098" t="s">
        <v>136</v>
      </c>
      <c r="AD3098" t="s">
        <v>175</v>
      </c>
      <c r="AE3098" t="s">
        <v>62</v>
      </c>
      <c r="AF3098" t="s">
        <v>62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4</v>
      </c>
      <c r="AV3098">
        <v>5</v>
      </c>
      <c r="AW3098">
        <v>5</v>
      </c>
      <c r="AX3098">
        <v>1</v>
      </c>
      <c r="AY3098">
        <v>7</v>
      </c>
      <c r="AZ3098">
        <v>0</v>
      </c>
      <c r="BA3098" t="s">
        <v>7867</v>
      </c>
      <c r="BB3098" t="s">
        <v>193</v>
      </c>
      <c r="BC3098">
        <v>0.58099999999999996</v>
      </c>
      <c r="BD3098" t="s">
        <v>65</v>
      </c>
      <c r="BE3098">
        <v>12</v>
      </c>
      <c r="BF3098">
        <v>1</v>
      </c>
      <c r="BG3098" t="s">
        <v>7868</v>
      </c>
      <c r="BH3098" t="s">
        <v>7869</v>
      </c>
      <c r="BI3098" t="s">
        <v>7870</v>
      </c>
      <c r="BJ3098">
        <v>1.345E-2</v>
      </c>
      <c r="BK3098">
        <v>1</v>
      </c>
      <c r="BL3098" t="s">
        <v>69</v>
      </c>
      <c r="BM3098">
        <v>1.7629999999999999</v>
      </c>
      <c r="BN3098">
        <v>1.4410000000000001</v>
      </c>
    </row>
    <row r="3099" spans="10:66">
      <c r="J3099">
        <v>0</v>
      </c>
      <c r="K3099">
        <v>3</v>
      </c>
      <c r="L3099">
        <v>3</v>
      </c>
      <c r="M3099" t="s">
        <v>25021</v>
      </c>
      <c r="N3099">
        <v>1257</v>
      </c>
      <c r="O3099" t="s">
        <v>7877</v>
      </c>
      <c r="P3099" t="s">
        <v>62</v>
      </c>
      <c r="Q3099">
        <v>1284374</v>
      </c>
      <c r="R3099">
        <v>1284769</v>
      </c>
      <c r="S3099" t="s">
        <v>4672</v>
      </c>
      <c r="T3099">
        <v>132</v>
      </c>
      <c r="U3099" t="s">
        <v>108</v>
      </c>
      <c r="V3099">
        <v>44</v>
      </c>
      <c r="W3099" t="str">
        <f>HYPERLINK("Gene1257-zp_tree_all.dnd", "Gene1257-tree")</f>
        <v>Gene1257-tree</v>
      </c>
      <c r="X3099">
        <v>4</v>
      </c>
      <c r="Y3099">
        <v>6</v>
      </c>
      <c r="Z3099">
        <v>4</v>
      </c>
      <c r="AA3099">
        <v>6</v>
      </c>
      <c r="AB3099">
        <v>0.6</v>
      </c>
      <c r="AC3099" t="s">
        <v>61</v>
      </c>
      <c r="AD3099" t="s">
        <v>90</v>
      </c>
      <c r="AE3099" t="s">
        <v>62</v>
      </c>
      <c r="AF3099" t="s">
        <v>62</v>
      </c>
      <c r="AG3099">
        <v>2</v>
      </c>
      <c r="AH3099">
        <v>6</v>
      </c>
      <c r="AI3099">
        <v>3</v>
      </c>
      <c r="AJ3099">
        <v>0.66666999999999998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2</v>
      </c>
      <c r="AQ3099">
        <v>3</v>
      </c>
      <c r="AR3099">
        <v>5</v>
      </c>
      <c r="AS3099">
        <v>3</v>
      </c>
      <c r="AT3099">
        <v>0.625</v>
      </c>
      <c r="AU3099">
        <v>9</v>
      </c>
      <c r="AV3099">
        <v>6</v>
      </c>
      <c r="AW3099">
        <v>9</v>
      </c>
      <c r="AX3099">
        <v>7</v>
      </c>
      <c r="AY3099">
        <v>4</v>
      </c>
      <c r="AZ3099">
        <v>2</v>
      </c>
      <c r="BA3099" t="s">
        <v>7878</v>
      </c>
      <c r="BB3099" t="s">
        <v>7879</v>
      </c>
      <c r="BC3099">
        <v>0.35099999999999998</v>
      </c>
      <c r="BD3099" t="s">
        <v>65</v>
      </c>
      <c r="BE3099">
        <v>13</v>
      </c>
      <c r="BF3099">
        <v>9</v>
      </c>
      <c r="BG3099" t="s">
        <v>7880</v>
      </c>
      <c r="BH3099" t="s">
        <v>7881</v>
      </c>
      <c r="BI3099" t="s">
        <v>7882</v>
      </c>
      <c r="BJ3099">
        <v>0.17677000000000001</v>
      </c>
      <c r="BK3099">
        <v>0.99</v>
      </c>
      <c r="BL3099" t="s">
        <v>69</v>
      </c>
      <c r="BM3099">
        <v>-0.27100000000000002</v>
      </c>
      <c r="BN3099">
        <v>-1.6140000000000001</v>
      </c>
    </row>
    <row r="3100" spans="10:66">
      <c r="J3100">
        <v>0</v>
      </c>
      <c r="K3100">
        <v>0</v>
      </c>
      <c r="L3100">
        <v>2</v>
      </c>
      <c r="M3100" t="s">
        <v>25021</v>
      </c>
      <c r="N3100">
        <v>1258</v>
      </c>
      <c r="O3100" t="s">
        <v>7883</v>
      </c>
      <c r="P3100" t="s">
        <v>62</v>
      </c>
      <c r="Q3100">
        <v>1284873</v>
      </c>
      <c r="R3100">
        <v>1285445</v>
      </c>
      <c r="S3100" t="s">
        <v>2332</v>
      </c>
      <c r="T3100">
        <v>191</v>
      </c>
      <c r="U3100" t="s">
        <v>108</v>
      </c>
      <c r="V3100">
        <v>44</v>
      </c>
      <c r="W3100" t="str">
        <f>HYPERLINK("Gene1258-zp_tree_all.dnd", "Gene1258-tree")</f>
        <v>Gene1258-tree</v>
      </c>
      <c r="X3100">
        <v>5</v>
      </c>
      <c r="Y3100">
        <v>6</v>
      </c>
      <c r="Z3100">
        <v>5</v>
      </c>
      <c r="AA3100">
        <v>6</v>
      </c>
      <c r="AB3100">
        <v>0.54544999999999999</v>
      </c>
      <c r="AC3100" t="s">
        <v>199</v>
      </c>
      <c r="AD3100" t="s">
        <v>90</v>
      </c>
      <c r="AE3100" t="s">
        <v>62</v>
      </c>
      <c r="AF3100" t="s">
        <v>62</v>
      </c>
      <c r="AG3100">
        <v>1</v>
      </c>
      <c r="AH3100">
        <v>2</v>
      </c>
      <c r="AI3100">
        <v>8</v>
      </c>
      <c r="AJ3100">
        <v>0.2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2</v>
      </c>
      <c r="AR3100">
        <v>2</v>
      </c>
      <c r="AS3100">
        <v>7</v>
      </c>
      <c r="AT3100">
        <v>0.22222</v>
      </c>
      <c r="AU3100">
        <v>10</v>
      </c>
      <c r="AV3100">
        <v>6</v>
      </c>
      <c r="AW3100">
        <v>23</v>
      </c>
      <c r="AX3100">
        <v>9</v>
      </c>
      <c r="AY3100">
        <v>17</v>
      </c>
      <c r="AZ3100">
        <v>1</v>
      </c>
      <c r="BA3100" t="s">
        <v>7884</v>
      </c>
      <c r="BB3100" t="s">
        <v>7885</v>
      </c>
      <c r="BC3100">
        <v>1.5249999999999999</v>
      </c>
      <c r="BD3100" t="s">
        <v>65</v>
      </c>
      <c r="BE3100">
        <v>40</v>
      </c>
      <c r="BF3100">
        <v>10</v>
      </c>
      <c r="BG3100" t="s">
        <v>7886</v>
      </c>
      <c r="BH3100" t="s">
        <v>7887</v>
      </c>
      <c r="BI3100" t="s">
        <v>7888</v>
      </c>
      <c r="BJ3100">
        <v>5.6860000000000001E-2</v>
      </c>
      <c r="BK3100">
        <v>1</v>
      </c>
      <c r="BL3100" t="s">
        <v>69</v>
      </c>
      <c r="BM3100">
        <v>-0.41799999999999998</v>
      </c>
      <c r="BN3100">
        <v>-0.16900000000000001</v>
      </c>
    </row>
    <row r="3101" spans="10:66">
      <c r="J3101">
        <v>0</v>
      </c>
      <c r="K3101">
        <v>0</v>
      </c>
      <c r="L3101">
        <v>0</v>
      </c>
      <c r="M3101" t="s">
        <v>25021</v>
      </c>
      <c r="N3101">
        <v>1263</v>
      </c>
      <c r="O3101" t="s">
        <v>7917</v>
      </c>
      <c r="P3101" t="s">
        <v>62</v>
      </c>
      <c r="Q3101">
        <v>1290678</v>
      </c>
      <c r="R3101">
        <v>1290953</v>
      </c>
      <c r="S3101" t="s">
        <v>2302</v>
      </c>
      <c r="T3101">
        <v>92</v>
      </c>
      <c r="U3101" t="s">
        <v>465</v>
      </c>
      <c r="V3101">
        <v>46</v>
      </c>
      <c r="W3101" t="str">
        <f>HYPERLINK("Gene1263-zp_tree_all.dnd", "Gene1263-tree")</f>
        <v>Gene1263-tree</v>
      </c>
      <c r="X3101">
        <v>35</v>
      </c>
      <c r="Y3101">
        <v>4</v>
      </c>
      <c r="Z3101">
        <v>9</v>
      </c>
      <c r="AA3101">
        <v>4</v>
      </c>
      <c r="AB3101">
        <v>0.30769000000000002</v>
      </c>
      <c r="AC3101" t="s">
        <v>7918</v>
      </c>
      <c r="AD3101" t="s">
        <v>61</v>
      </c>
      <c r="AE3101" t="s">
        <v>62</v>
      </c>
      <c r="AF3101" t="s">
        <v>62</v>
      </c>
      <c r="AG3101">
        <v>0</v>
      </c>
      <c r="AH3101">
        <v>0</v>
      </c>
      <c r="AI3101">
        <v>10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8</v>
      </c>
      <c r="AT3101">
        <v>0</v>
      </c>
      <c r="AU3101">
        <v>9</v>
      </c>
      <c r="AV3101">
        <v>5</v>
      </c>
      <c r="AW3101">
        <v>9</v>
      </c>
      <c r="AX3101">
        <v>8</v>
      </c>
      <c r="AY3101">
        <v>10</v>
      </c>
      <c r="AZ3101">
        <v>2</v>
      </c>
      <c r="BA3101" t="s">
        <v>7919</v>
      </c>
      <c r="BB3101" t="s">
        <v>7920</v>
      </c>
      <c r="BC3101">
        <v>0.92700000000000005</v>
      </c>
      <c r="BD3101" t="s">
        <v>65</v>
      </c>
      <c r="BE3101">
        <v>19</v>
      </c>
      <c r="BF3101">
        <v>10</v>
      </c>
      <c r="BG3101" t="s">
        <v>7921</v>
      </c>
      <c r="BH3101" t="s">
        <v>7922</v>
      </c>
      <c r="BI3101" t="s">
        <v>7923</v>
      </c>
      <c r="BJ3101">
        <v>0.12263</v>
      </c>
      <c r="BK3101">
        <v>1</v>
      </c>
      <c r="BL3101" t="s">
        <v>69</v>
      </c>
      <c r="BM3101">
        <v>-1.544</v>
      </c>
      <c r="BN3101">
        <v>-1.339</v>
      </c>
    </row>
    <row r="3102" spans="10:66">
      <c r="J3102">
        <v>0</v>
      </c>
      <c r="K3102">
        <v>0</v>
      </c>
      <c r="L3102">
        <v>0</v>
      </c>
      <c r="M3102" t="s">
        <v>25021</v>
      </c>
      <c r="N3102">
        <v>1266</v>
      </c>
      <c r="O3102" t="s">
        <v>7938</v>
      </c>
      <c r="P3102" t="s">
        <v>62</v>
      </c>
      <c r="Q3102">
        <v>1293779</v>
      </c>
      <c r="R3102">
        <v>1293964</v>
      </c>
      <c r="S3102" t="s">
        <v>4057</v>
      </c>
      <c r="T3102">
        <v>62</v>
      </c>
      <c r="U3102" t="s">
        <v>465</v>
      </c>
      <c r="V3102">
        <v>46</v>
      </c>
      <c r="W3102" t="str">
        <f>HYPERLINK("Gene1266-zp_tree_all.dnd", "Gene1266-tree")</f>
        <v>Gene1266-tree</v>
      </c>
      <c r="X3102">
        <v>4</v>
      </c>
      <c r="Y3102">
        <v>3</v>
      </c>
      <c r="Z3102">
        <v>4</v>
      </c>
      <c r="AA3102">
        <v>3</v>
      </c>
      <c r="AB3102">
        <v>0.42857000000000001</v>
      </c>
      <c r="AC3102" t="s">
        <v>61</v>
      </c>
      <c r="AD3102" t="s">
        <v>324</v>
      </c>
      <c r="AE3102" t="s">
        <v>62</v>
      </c>
      <c r="AF3102" t="s">
        <v>62</v>
      </c>
      <c r="AG3102">
        <v>0</v>
      </c>
      <c r="AH3102">
        <v>0</v>
      </c>
      <c r="AI3102">
        <v>3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3</v>
      </c>
      <c r="AT3102">
        <v>0</v>
      </c>
      <c r="AU3102">
        <v>5</v>
      </c>
      <c r="AV3102">
        <v>2</v>
      </c>
      <c r="AW3102">
        <v>3</v>
      </c>
      <c r="AX3102">
        <v>3</v>
      </c>
      <c r="AY3102">
        <v>2</v>
      </c>
      <c r="AZ3102">
        <v>0</v>
      </c>
      <c r="BA3102" t="s">
        <v>7939</v>
      </c>
      <c r="BB3102" t="s">
        <v>193</v>
      </c>
      <c r="BC3102">
        <v>1.677</v>
      </c>
      <c r="BD3102" t="s">
        <v>65</v>
      </c>
      <c r="BE3102">
        <v>5</v>
      </c>
      <c r="BF3102">
        <v>3</v>
      </c>
      <c r="BG3102" t="s">
        <v>7940</v>
      </c>
      <c r="BH3102" t="s">
        <v>7941</v>
      </c>
      <c r="BI3102" t="s">
        <v>7942</v>
      </c>
      <c r="BJ3102">
        <v>0.11276</v>
      </c>
      <c r="BK3102">
        <v>0.97799999999999998</v>
      </c>
      <c r="BL3102" t="s">
        <v>69</v>
      </c>
      <c r="BM3102">
        <v>-6.5000000000000002E-2</v>
      </c>
      <c r="BN3102">
        <v>-9.8000000000000004E-2</v>
      </c>
    </row>
    <row r="3103" spans="10:66">
      <c r="J3103">
        <v>0</v>
      </c>
      <c r="K3103">
        <v>0</v>
      </c>
      <c r="L3103">
        <v>0</v>
      </c>
      <c r="M3103" t="s">
        <v>25021</v>
      </c>
      <c r="N3103">
        <v>1268</v>
      </c>
      <c r="O3103" t="s">
        <v>7950</v>
      </c>
      <c r="P3103" t="s">
        <v>62</v>
      </c>
      <c r="Q3103">
        <v>1294999</v>
      </c>
      <c r="R3103">
        <v>1295748</v>
      </c>
      <c r="S3103" t="s">
        <v>5916</v>
      </c>
      <c r="T3103">
        <v>250</v>
      </c>
      <c r="U3103" t="s">
        <v>108</v>
      </c>
      <c r="V3103">
        <v>44</v>
      </c>
      <c r="W3103" t="str">
        <f>HYPERLINK("Gene1268-zp_tree_all.dnd", "Gene1268-tree")</f>
        <v>Gene1268-tree</v>
      </c>
      <c r="X3103">
        <v>10</v>
      </c>
      <c r="Y3103">
        <v>4</v>
      </c>
      <c r="Z3103">
        <v>10</v>
      </c>
      <c r="AA3103">
        <v>4</v>
      </c>
      <c r="AB3103">
        <v>0.28571000000000002</v>
      </c>
      <c r="AC3103" t="s">
        <v>117</v>
      </c>
      <c r="AD3103" t="s">
        <v>61</v>
      </c>
      <c r="AE3103" t="s">
        <v>62</v>
      </c>
      <c r="AF3103" t="s">
        <v>62</v>
      </c>
      <c r="AG3103">
        <v>0</v>
      </c>
      <c r="AH3103">
        <v>0</v>
      </c>
      <c r="AI3103">
        <v>5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4</v>
      </c>
      <c r="AT3103">
        <v>0</v>
      </c>
      <c r="AU3103">
        <v>12</v>
      </c>
      <c r="AV3103">
        <v>6</v>
      </c>
      <c r="AW3103">
        <v>23</v>
      </c>
      <c r="AX3103">
        <v>3</v>
      </c>
      <c r="AY3103">
        <v>14</v>
      </c>
      <c r="AZ3103">
        <v>2</v>
      </c>
      <c r="BA3103" t="s">
        <v>7951</v>
      </c>
      <c r="BB3103" t="s">
        <v>7952</v>
      </c>
      <c r="BC3103">
        <v>6.7000000000000004E-2</v>
      </c>
      <c r="BD3103" t="s">
        <v>65</v>
      </c>
      <c r="BE3103">
        <v>37</v>
      </c>
      <c r="BF3103">
        <v>5</v>
      </c>
      <c r="BG3103" t="s">
        <v>7953</v>
      </c>
      <c r="BH3103" t="s">
        <v>7954</v>
      </c>
      <c r="BI3103" t="s">
        <v>7955</v>
      </c>
      <c r="BJ3103">
        <v>4.3159999999999997E-2</v>
      </c>
      <c r="BK3103">
        <v>1</v>
      </c>
      <c r="BL3103" t="s">
        <v>69</v>
      </c>
      <c r="BM3103">
        <v>-1.0549999999999999</v>
      </c>
      <c r="BN3103">
        <v>-0.84199999999999997</v>
      </c>
    </row>
    <row r="3104" spans="10:66">
      <c r="J3104">
        <v>0</v>
      </c>
      <c r="K3104">
        <v>4</v>
      </c>
      <c r="L3104">
        <v>2</v>
      </c>
      <c r="M3104" t="s">
        <v>25021</v>
      </c>
      <c r="N3104">
        <v>1269</v>
      </c>
      <c r="O3104" t="s">
        <v>7956</v>
      </c>
      <c r="P3104" t="s">
        <v>62</v>
      </c>
      <c r="Q3104">
        <v>1295751</v>
      </c>
      <c r="R3104">
        <v>1296500</v>
      </c>
      <c r="S3104" t="s">
        <v>5350</v>
      </c>
      <c r="T3104">
        <v>250</v>
      </c>
      <c r="U3104" t="s">
        <v>108</v>
      </c>
      <c r="V3104">
        <v>44</v>
      </c>
      <c r="W3104" t="str">
        <f>HYPERLINK("Gene1269-zp_tree_all.dnd", "Gene1269-tree")</f>
        <v>Gene1269-tree</v>
      </c>
      <c r="X3104">
        <v>7</v>
      </c>
      <c r="Y3104">
        <v>5</v>
      </c>
      <c r="Z3104">
        <v>7</v>
      </c>
      <c r="AA3104">
        <v>5</v>
      </c>
      <c r="AB3104">
        <v>0.41666999999999998</v>
      </c>
      <c r="AC3104" t="s">
        <v>152</v>
      </c>
      <c r="AD3104" t="s">
        <v>199</v>
      </c>
      <c r="AE3104" t="s">
        <v>62</v>
      </c>
      <c r="AF3104" t="s">
        <v>62</v>
      </c>
      <c r="AG3104">
        <v>3</v>
      </c>
      <c r="AH3104">
        <v>6</v>
      </c>
      <c r="AI3104">
        <v>16</v>
      </c>
      <c r="AJ3104">
        <v>0.27272999999999997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14</v>
      </c>
      <c r="AT3104">
        <v>0</v>
      </c>
      <c r="AU3104">
        <v>10</v>
      </c>
      <c r="AV3104">
        <v>7</v>
      </c>
      <c r="AW3104">
        <v>28</v>
      </c>
      <c r="AX3104">
        <v>14</v>
      </c>
      <c r="AY3104">
        <v>15</v>
      </c>
      <c r="AZ3104">
        <v>8</v>
      </c>
      <c r="BA3104" t="s">
        <v>7957</v>
      </c>
      <c r="BB3104" t="s">
        <v>7958</v>
      </c>
      <c r="BC3104">
        <v>7.1999999999999995E-2</v>
      </c>
      <c r="BD3104" t="s">
        <v>65</v>
      </c>
      <c r="BE3104">
        <v>43</v>
      </c>
      <c r="BF3104">
        <v>22</v>
      </c>
      <c r="BG3104" t="s">
        <v>7959</v>
      </c>
      <c r="BH3104" t="s">
        <v>7960</v>
      </c>
      <c r="BI3104" t="s">
        <v>7961</v>
      </c>
      <c r="BJ3104">
        <v>0.17459</v>
      </c>
      <c r="BK3104">
        <v>1</v>
      </c>
      <c r="BL3104" t="s">
        <v>69</v>
      </c>
      <c r="BM3104">
        <v>-0.84199999999999997</v>
      </c>
      <c r="BN3104">
        <v>-0.91900000000000004</v>
      </c>
    </row>
    <row r="3105" spans="10:66">
      <c r="J3105">
        <v>0</v>
      </c>
      <c r="K3105">
        <v>6</v>
      </c>
      <c r="L3105">
        <v>0</v>
      </c>
      <c r="M3105" t="s">
        <v>25021</v>
      </c>
      <c r="N3105">
        <v>1270</v>
      </c>
      <c r="O3105" t="s">
        <v>7962</v>
      </c>
      <c r="P3105" t="s">
        <v>62</v>
      </c>
      <c r="Q3105">
        <v>1296623</v>
      </c>
      <c r="R3105">
        <v>1297594</v>
      </c>
      <c r="S3105" t="s">
        <v>1123</v>
      </c>
      <c r="T3105">
        <v>324</v>
      </c>
      <c r="U3105" t="s">
        <v>2513</v>
      </c>
      <c r="V3105">
        <v>43</v>
      </c>
      <c r="W3105" t="str">
        <f>HYPERLINK("Gene1270-zp_tree_all.dnd", "Gene1270-tree")</f>
        <v>Gene1270-tree</v>
      </c>
      <c r="X3105">
        <v>4</v>
      </c>
      <c r="Y3105">
        <v>9</v>
      </c>
      <c r="Z3105">
        <v>4</v>
      </c>
      <c r="AA3105">
        <v>9</v>
      </c>
      <c r="AB3105">
        <v>0.69230999999999998</v>
      </c>
      <c r="AC3105" t="s">
        <v>61</v>
      </c>
      <c r="AD3105" t="s">
        <v>135</v>
      </c>
      <c r="AE3105" t="s">
        <v>62</v>
      </c>
      <c r="AF3105" t="s">
        <v>62</v>
      </c>
      <c r="AG3105">
        <v>3</v>
      </c>
      <c r="AH3105">
        <v>6</v>
      </c>
      <c r="AI3105">
        <v>10</v>
      </c>
      <c r="AJ3105">
        <v>0.375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4</v>
      </c>
      <c r="AQ3105">
        <v>0</v>
      </c>
      <c r="AR3105">
        <v>4</v>
      </c>
      <c r="AS3105">
        <v>10</v>
      </c>
      <c r="AT3105">
        <v>0.28571000000000002</v>
      </c>
      <c r="AU3105">
        <v>11</v>
      </c>
      <c r="AV3105">
        <v>7</v>
      </c>
      <c r="AW3105">
        <v>26</v>
      </c>
      <c r="AX3105">
        <v>13</v>
      </c>
      <c r="AY3105">
        <v>13</v>
      </c>
      <c r="AZ3105">
        <v>3</v>
      </c>
      <c r="BA3105" t="s">
        <v>7963</v>
      </c>
      <c r="BB3105" t="s">
        <v>7964</v>
      </c>
      <c r="BC3105">
        <v>1.087</v>
      </c>
      <c r="BD3105" t="s">
        <v>65</v>
      </c>
      <c r="BE3105">
        <v>39</v>
      </c>
      <c r="BF3105">
        <v>16</v>
      </c>
      <c r="BG3105" t="s">
        <v>7965</v>
      </c>
      <c r="BH3105" t="s">
        <v>2365</v>
      </c>
      <c r="BI3105" t="s">
        <v>7966</v>
      </c>
      <c r="BJ3105">
        <v>0.11352</v>
      </c>
      <c r="BK3105">
        <v>1</v>
      </c>
      <c r="BL3105" t="s">
        <v>69</v>
      </c>
      <c r="BM3105">
        <v>5.5E-2</v>
      </c>
      <c r="BN3105">
        <v>-0.54800000000000004</v>
      </c>
    </row>
    <row r="3106" spans="10:66">
      <c r="J3106">
        <v>0</v>
      </c>
      <c r="K3106">
        <v>2</v>
      </c>
      <c r="L3106">
        <v>0</v>
      </c>
      <c r="M3106" t="s">
        <v>25021</v>
      </c>
      <c r="N3106">
        <v>1284</v>
      </c>
      <c r="O3106" t="s">
        <v>8055</v>
      </c>
      <c r="P3106" t="s">
        <v>62</v>
      </c>
      <c r="Q3106">
        <v>1312854</v>
      </c>
      <c r="R3106">
        <v>1313615</v>
      </c>
      <c r="S3106" t="s">
        <v>1123</v>
      </c>
      <c r="T3106">
        <v>254</v>
      </c>
      <c r="U3106" t="s">
        <v>99</v>
      </c>
      <c r="V3106">
        <v>47</v>
      </c>
      <c r="W3106" t="str">
        <f>HYPERLINK("Gene1284-zp_tree_all.dnd", "Gene1284-tree")</f>
        <v>Gene1284-tree</v>
      </c>
      <c r="X3106">
        <v>32</v>
      </c>
      <c r="Y3106">
        <v>2</v>
      </c>
      <c r="Z3106">
        <v>16</v>
      </c>
      <c r="AA3106">
        <v>2</v>
      </c>
      <c r="AB3106">
        <v>0.11111</v>
      </c>
      <c r="AC3106" t="s">
        <v>8056</v>
      </c>
      <c r="AD3106" t="s">
        <v>81</v>
      </c>
      <c r="AE3106" t="s">
        <v>62</v>
      </c>
      <c r="AF3106" t="s">
        <v>62</v>
      </c>
      <c r="AG3106">
        <v>1</v>
      </c>
      <c r="AH3106">
        <v>2</v>
      </c>
      <c r="AI3106">
        <v>3</v>
      </c>
      <c r="AJ3106">
        <v>0.4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2</v>
      </c>
      <c r="AT3106">
        <v>0</v>
      </c>
      <c r="AU3106">
        <v>13</v>
      </c>
      <c r="AV3106">
        <v>13</v>
      </c>
      <c r="AW3106">
        <v>37</v>
      </c>
      <c r="AX3106">
        <v>2</v>
      </c>
      <c r="AY3106">
        <v>52</v>
      </c>
      <c r="AZ3106">
        <v>3</v>
      </c>
      <c r="BA3106" t="s">
        <v>8057</v>
      </c>
      <c r="BB3106" t="s">
        <v>8058</v>
      </c>
      <c r="BC3106">
        <v>1.7999999999999999E-2</v>
      </c>
      <c r="BD3106" t="s">
        <v>65</v>
      </c>
      <c r="BE3106">
        <v>89</v>
      </c>
      <c r="BF3106">
        <v>5</v>
      </c>
      <c r="BG3106" t="s">
        <v>8059</v>
      </c>
      <c r="BH3106" t="s">
        <v>8060</v>
      </c>
      <c r="BI3106" t="s">
        <v>8061</v>
      </c>
      <c r="BJ3106">
        <v>1.6549999999999999E-2</v>
      </c>
      <c r="BK3106">
        <v>1</v>
      </c>
      <c r="BL3106" t="s">
        <v>69</v>
      </c>
      <c r="BM3106">
        <v>-1.012</v>
      </c>
      <c r="BN3106">
        <v>-1.355</v>
      </c>
    </row>
    <row r="3107" spans="10:66">
      <c r="J3107">
        <v>0</v>
      </c>
      <c r="K3107">
        <v>7</v>
      </c>
      <c r="L3107">
        <v>2</v>
      </c>
      <c r="M3107" t="s">
        <v>25021</v>
      </c>
      <c r="N3107">
        <v>1285</v>
      </c>
      <c r="O3107" t="s">
        <v>8062</v>
      </c>
      <c r="P3107" t="s">
        <v>62</v>
      </c>
      <c r="Q3107">
        <v>1313843</v>
      </c>
      <c r="R3107">
        <v>1314304</v>
      </c>
      <c r="S3107" t="s">
        <v>8063</v>
      </c>
      <c r="T3107">
        <v>154</v>
      </c>
      <c r="U3107" t="s">
        <v>8064</v>
      </c>
      <c r="V3107">
        <v>46</v>
      </c>
      <c r="W3107" t="str">
        <f>HYPERLINK("Gene1285-zp_tree_all.dnd", "Gene1285-tree")</f>
        <v>Gene1285-tree</v>
      </c>
      <c r="X3107">
        <v>4</v>
      </c>
      <c r="Y3107">
        <v>10</v>
      </c>
      <c r="Z3107">
        <v>4</v>
      </c>
      <c r="AA3107">
        <v>10</v>
      </c>
      <c r="AB3107">
        <v>0.71428999999999998</v>
      </c>
      <c r="AC3107" t="s">
        <v>61</v>
      </c>
      <c r="AD3107" t="s">
        <v>117</v>
      </c>
      <c r="AE3107" t="s">
        <v>62</v>
      </c>
      <c r="AF3107" t="s">
        <v>62</v>
      </c>
      <c r="AG3107">
        <v>2</v>
      </c>
      <c r="AH3107">
        <v>9</v>
      </c>
      <c r="AI3107">
        <v>10</v>
      </c>
      <c r="AJ3107">
        <v>0.47367999999999999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4</v>
      </c>
      <c r="AQ3107">
        <v>1</v>
      </c>
      <c r="AR3107">
        <v>5</v>
      </c>
      <c r="AS3107">
        <v>8</v>
      </c>
      <c r="AT3107">
        <v>0.38462000000000002</v>
      </c>
      <c r="AU3107">
        <v>12</v>
      </c>
      <c r="AV3107">
        <v>7</v>
      </c>
      <c r="AW3107">
        <v>19</v>
      </c>
      <c r="AX3107">
        <v>13</v>
      </c>
      <c r="AY3107">
        <v>20</v>
      </c>
      <c r="AZ3107">
        <v>6</v>
      </c>
      <c r="BA3107" t="s">
        <v>8065</v>
      </c>
      <c r="BB3107" t="s">
        <v>8066</v>
      </c>
      <c r="BC3107">
        <v>0.77800000000000002</v>
      </c>
      <c r="BD3107" t="s">
        <v>65</v>
      </c>
      <c r="BE3107">
        <v>39</v>
      </c>
      <c r="BF3107">
        <v>19</v>
      </c>
      <c r="BG3107" t="s">
        <v>8067</v>
      </c>
      <c r="BH3107" t="s">
        <v>8068</v>
      </c>
      <c r="BI3107" t="s">
        <v>8069</v>
      </c>
      <c r="BJ3107">
        <v>0.10484</v>
      </c>
      <c r="BK3107">
        <v>1</v>
      </c>
      <c r="BL3107" t="s">
        <v>69</v>
      </c>
      <c r="BM3107">
        <v>-1.649</v>
      </c>
      <c r="BN3107">
        <v>-1.6080000000000001</v>
      </c>
    </row>
    <row r="3108" spans="10:66">
      <c r="J3108">
        <v>0</v>
      </c>
      <c r="K3108">
        <v>0</v>
      </c>
      <c r="L3108">
        <v>0</v>
      </c>
      <c r="M3108" t="s">
        <v>25021</v>
      </c>
      <c r="N3108">
        <v>1289</v>
      </c>
      <c r="O3108" t="s">
        <v>8084</v>
      </c>
      <c r="P3108" t="s">
        <v>62</v>
      </c>
      <c r="Q3108">
        <v>1317160</v>
      </c>
      <c r="R3108">
        <v>1317414</v>
      </c>
      <c r="S3108" t="s">
        <v>1340</v>
      </c>
      <c r="T3108">
        <v>85</v>
      </c>
      <c r="U3108" t="s">
        <v>8085</v>
      </c>
      <c r="V3108">
        <v>35</v>
      </c>
      <c r="W3108" t="str">
        <f>HYPERLINK("Gene1289-zp_tree_all.dnd", "Gene1289-tree")</f>
        <v>Gene1289-tree</v>
      </c>
      <c r="X3108">
        <v>6</v>
      </c>
      <c r="Y3108">
        <v>3</v>
      </c>
      <c r="Z3108">
        <v>6</v>
      </c>
      <c r="AA3108">
        <v>3</v>
      </c>
      <c r="AB3108">
        <v>0.33333000000000002</v>
      </c>
      <c r="AC3108" t="s">
        <v>90</v>
      </c>
      <c r="AD3108" t="s">
        <v>324</v>
      </c>
      <c r="AE3108" t="s">
        <v>62</v>
      </c>
      <c r="AF3108" t="s">
        <v>62</v>
      </c>
      <c r="AG3108">
        <v>0</v>
      </c>
      <c r="AH3108">
        <v>0</v>
      </c>
      <c r="AI3108">
        <v>4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3</v>
      </c>
      <c r="AT3108">
        <v>0</v>
      </c>
      <c r="AU3108">
        <v>7</v>
      </c>
      <c r="AV3108">
        <v>4</v>
      </c>
      <c r="AW3108">
        <v>8</v>
      </c>
      <c r="AX3108">
        <v>3</v>
      </c>
      <c r="AY3108">
        <v>4</v>
      </c>
      <c r="AZ3108">
        <v>1</v>
      </c>
      <c r="BA3108" t="s">
        <v>8086</v>
      </c>
      <c r="BB3108" t="s">
        <v>8087</v>
      </c>
      <c r="BC3108">
        <v>0.26600000000000001</v>
      </c>
      <c r="BD3108" t="s">
        <v>65</v>
      </c>
      <c r="BE3108">
        <v>12</v>
      </c>
      <c r="BF3108">
        <v>4</v>
      </c>
      <c r="BG3108" t="s">
        <v>8088</v>
      </c>
      <c r="BH3108" t="s">
        <v>8089</v>
      </c>
      <c r="BI3108" t="s">
        <v>8090</v>
      </c>
      <c r="BJ3108">
        <v>0.1002</v>
      </c>
      <c r="BK3108">
        <v>1</v>
      </c>
      <c r="BL3108" t="s">
        <v>69</v>
      </c>
      <c r="BM3108">
        <v>-1.3340000000000001</v>
      </c>
      <c r="BN3108">
        <v>-1.4730000000000001</v>
      </c>
    </row>
    <row r="3109" spans="10:66">
      <c r="J3109">
        <v>0</v>
      </c>
      <c r="K3109">
        <v>2</v>
      </c>
      <c r="L3109">
        <v>0</v>
      </c>
      <c r="M3109" t="s">
        <v>25021</v>
      </c>
      <c r="N3109">
        <v>1291</v>
      </c>
      <c r="O3109" t="s">
        <v>8098</v>
      </c>
      <c r="P3109" t="s">
        <v>62</v>
      </c>
      <c r="Q3109">
        <v>1318531</v>
      </c>
      <c r="R3109">
        <v>1318905</v>
      </c>
      <c r="S3109" t="s">
        <v>8099</v>
      </c>
      <c r="T3109">
        <v>125</v>
      </c>
      <c r="U3109" t="s">
        <v>8100</v>
      </c>
      <c r="V3109">
        <v>32</v>
      </c>
      <c r="W3109" t="str">
        <f>HYPERLINK("Gene1291-zp_tree_all.dnd", "Gene1291-tree")</f>
        <v>Gene1291-tree</v>
      </c>
      <c r="X3109">
        <v>3</v>
      </c>
      <c r="Y3109">
        <v>5</v>
      </c>
      <c r="Z3109">
        <v>3</v>
      </c>
      <c r="AA3109">
        <v>5</v>
      </c>
      <c r="AB3109">
        <v>0.625</v>
      </c>
      <c r="AC3109" t="s">
        <v>324</v>
      </c>
      <c r="AD3109" t="s">
        <v>199</v>
      </c>
      <c r="AE3109" t="s">
        <v>62</v>
      </c>
      <c r="AF3109" t="s">
        <v>62</v>
      </c>
      <c r="AG3109">
        <v>1</v>
      </c>
      <c r="AH3109">
        <v>2</v>
      </c>
      <c r="AI3109">
        <v>4</v>
      </c>
      <c r="AJ3109">
        <v>0.33333000000000002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4</v>
      </c>
      <c r="AT3109">
        <v>0</v>
      </c>
      <c r="AU3109">
        <v>7</v>
      </c>
      <c r="AV3109">
        <v>5</v>
      </c>
      <c r="AW3109">
        <v>18</v>
      </c>
      <c r="AX3109">
        <v>4</v>
      </c>
      <c r="AY3109">
        <v>16</v>
      </c>
      <c r="AZ3109">
        <v>2</v>
      </c>
      <c r="BA3109" t="s">
        <v>8101</v>
      </c>
      <c r="BB3109" t="s">
        <v>8102</v>
      </c>
      <c r="BC3109">
        <v>0.626</v>
      </c>
      <c r="BD3109" t="s">
        <v>65</v>
      </c>
      <c r="BE3109">
        <v>34</v>
      </c>
      <c r="BF3109">
        <v>6</v>
      </c>
      <c r="BG3109" t="s">
        <v>8103</v>
      </c>
      <c r="BH3109" t="s">
        <v>8104</v>
      </c>
      <c r="BI3109" t="s">
        <v>8105</v>
      </c>
      <c r="BJ3109">
        <v>4.6080000000000003E-2</v>
      </c>
      <c r="BK3109">
        <v>1</v>
      </c>
      <c r="BL3109" t="s">
        <v>69</v>
      </c>
      <c r="BM3109">
        <v>-0.54500000000000004</v>
      </c>
      <c r="BN3109">
        <v>0.33500000000000002</v>
      </c>
    </row>
    <row r="3110" spans="10:66">
      <c r="J3110">
        <v>0</v>
      </c>
      <c r="K3110">
        <v>2</v>
      </c>
      <c r="L3110">
        <v>0</v>
      </c>
      <c r="M3110" t="s">
        <v>25021</v>
      </c>
      <c r="N3110">
        <v>1294</v>
      </c>
      <c r="O3110" t="s">
        <v>8120</v>
      </c>
      <c r="P3110" t="s">
        <v>62</v>
      </c>
      <c r="Q3110">
        <v>1320573</v>
      </c>
      <c r="R3110">
        <v>1321166</v>
      </c>
      <c r="S3110" t="s">
        <v>8121</v>
      </c>
      <c r="T3110">
        <v>198</v>
      </c>
      <c r="U3110" t="s">
        <v>1305</v>
      </c>
      <c r="V3110">
        <v>43</v>
      </c>
      <c r="W3110" t="str">
        <f>HYPERLINK("Gene1294-zp_tree_all.dnd", "Gene1294-tree")</f>
        <v>Gene1294-tree</v>
      </c>
      <c r="X3110">
        <v>5</v>
      </c>
      <c r="Y3110">
        <v>5</v>
      </c>
      <c r="Z3110">
        <v>5</v>
      </c>
      <c r="AA3110">
        <v>5</v>
      </c>
      <c r="AB3110">
        <v>0.5</v>
      </c>
      <c r="AC3110" t="s">
        <v>199</v>
      </c>
      <c r="AD3110" t="s">
        <v>199</v>
      </c>
      <c r="AE3110" t="s">
        <v>62</v>
      </c>
      <c r="AF3110" t="s">
        <v>62</v>
      </c>
      <c r="AG3110">
        <v>1</v>
      </c>
      <c r="AH3110">
        <v>2</v>
      </c>
      <c r="AI3110">
        <v>7</v>
      </c>
      <c r="AJ3110">
        <v>0.22222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6</v>
      </c>
      <c r="AT3110">
        <v>0</v>
      </c>
      <c r="AU3110">
        <v>6</v>
      </c>
      <c r="AV3110">
        <v>6</v>
      </c>
      <c r="AW3110">
        <v>23</v>
      </c>
      <c r="AX3110">
        <v>6</v>
      </c>
      <c r="AY3110">
        <v>8</v>
      </c>
      <c r="AZ3110">
        <v>3</v>
      </c>
      <c r="BA3110" t="s">
        <v>8122</v>
      </c>
      <c r="BB3110" t="s">
        <v>8123</v>
      </c>
      <c r="BC3110">
        <v>0.34200000000000003</v>
      </c>
      <c r="BD3110" t="s">
        <v>65</v>
      </c>
      <c r="BE3110">
        <v>31</v>
      </c>
      <c r="BF3110">
        <v>9</v>
      </c>
      <c r="BG3110" t="s">
        <v>8124</v>
      </c>
      <c r="BH3110" t="s">
        <v>8125</v>
      </c>
      <c r="BI3110" t="s">
        <v>8126</v>
      </c>
      <c r="BJ3110">
        <v>8.3119999999999999E-2</v>
      </c>
      <c r="BK3110">
        <v>1</v>
      </c>
      <c r="BL3110" t="s">
        <v>69</v>
      </c>
      <c r="BM3110">
        <v>-1.595</v>
      </c>
      <c r="BN3110">
        <v>-3.2789999999999999</v>
      </c>
    </row>
    <row r="3111" spans="10:66">
      <c r="J3111">
        <v>0</v>
      </c>
      <c r="K3111">
        <v>0</v>
      </c>
      <c r="L3111">
        <v>0</v>
      </c>
      <c r="M3111" t="s">
        <v>25021</v>
      </c>
      <c r="N3111">
        <v>1295</v>
      </c>
      <c r="O3111" t="s">
        <v>8127</v>
      </c>
      <c r="P3111" t="s">
        <v>62</v>
      </c>
      <c r="Q3111">
        <v>1321332</v>
      </c>
      <c r="R3111">
        <v>1321670</v>
      </c>
      <c r="S3111" t="s">
        <v>8128</v>
      </c>
      <c r="T3111">
        <v>113</v>
      </c>
      <c r="U3111" t="s">
        <v>8129</v>
      </c>
      <c r="V3111">
        <v>47</v>
      </c>
      <c r="W3111" t="str">
        <f>HYPERLINK("Gene1295-zp_tree_all.dnd", "Gene1295-tree")</f>
        <v>Gene1295-tree</v>
      </c>
      <c r="X3111">
        <v>6</v>
      </c>
      <c r="Y3111">
        <v>4</v>
      </c>
      <c r="Z3111">
        <v>6</v>
      </c>
      <c r="AA3111">
        <v>4</v>
      </c>
      <c r="AB3111">
        <v>0.4</v>
      </c>
      <c r="AC3111" t="s">
        <v>90</v>
      </c>
      <c r="AD3111" t="s">
        <v>61</v>
      </c>
      <c r="AE3111" t="s">
        <v>62</v>
      </c>
      <c r="AF3111" t="s">
        <v>62</v>
      </c>
      <c r="AG3111">
        <v>0</v>
      </c>
      <c r="AH3111">
        <v>0</v>
      </c>
      <c r="AI3111">
        <v>7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3</v>
      </c>
      <c r="AT3111">
        <v>0</v>
      </c>
      <c r="AU3111">
        <v>8</v>
      </c>
      <c r="AV3111">
        <v>5</v>
      </c>
      <c r="AW3111">
        <v>7</v>
      </c>
      <c r="AX3111">
        <v>3</v>
      </c>
      <c r="AY3111">
        <v>14</v>
      </c>
      <c r="AZ3111">
        <v>4</v>
      </c>
      <c r="BA3111" t="s">
        <v>8130</v>
      </c>
      <c r="BB3111" t="s">
        <v>8131</v>
      </c>
      <c r="BC3111">
        <v>0.32800000000000001</v>
      </c>
      <c r="BD3111" t="s">
        <v>65</v>
      </c>
      <c r="BE3111">
        <v>21</v>
      </c>
      <c r="BF3111">
        <v>7</v>
      </c>
      <c r="BG3111" t="s">
        <v>8132</v>
      </c>
      <c r="BH3111" t="s">
        <v>8133</v>
      </c>
      <c r="BI3111" t="s">
        <v>8134</v>
      </c>
      <c r="BJ3111">
        <v>7.3169999999999999E-2</v>
      </c>
      <c r="BK3111">
        <v>1</v>
      </c>
      <c r="BL3111" t="s">
        <v>69</v>
      </c>
      <c r="BM3111">
        <v>-1.1659999999999999</v>
      </c>
      <c r="BN3111">
        <v>-0.28999999999999998</v>
      </c>
    </row>
    <row r="3112" spans="10:66">
      <c r="J3112">
        <v>0</v>
      </c>
      <c r="K3112">
        <v>0</v>
      </c>
      <c r="L3112">
        <v>0</v>
      </c>
      <c r="M3112" t="s">
        <v>25021</v>
      </c>
      <c r="N3112">
        <v>1333</v>
      </c>
      <c r="O3112" t="s">
        <v>8342</v>
      </c>
      <c r="P3112" t="s">
        <v>62</v>
      </c>
      <c r="Q3112">
        <v>1348615</v>
      </c>
      <c r="R3112">
        <v>1349358</v>
      </c>
      <c r="S3112" t="s">
        <v>8343</v>
      </c>
      <c r="T3112">
        <v>248</v>
      </c>
      <c r="U3112" t="s">
        <v>108</v>
      </c>
      <c r="V3112">
        <v>44</v>
      </c>
      <c r="W3112" t="str">
        <f>HYPERLINK("Gene1333-zp_tree_all.dnd", "Gene1333-tree")</f>
        <v>Gene1333-tree</v>
      </c>
      <c r="X3112">
        <v>10</v>
      </c>
      <c r="Y3112">
        <v>4</v>
      </c>
      <c r="Z3112">
        <v>10</v>
      </c>
      <c r="AA3112">
        <v>4</v>
      </c>
      <c r="AB3112">
        <v>0.28571000000000002</v>
      </c>
      <c r="AC3112" t="s">
        <v>117</v>
      </c>
      <c r="AD3112" t="s">
        <v>61</v>
      </c>
      <c r="AE3112" t="s">
        <v>62</v>
      </c>
      <c r="AF3112" t="s">
        <v>62</v>
      </c>
      <c r="AG3112">
        <v>0</v>
      </c>
      <c r="AH3112">
        <v>0</v>
      </c>
      <c r="AI3112">
        <v>5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5</v>
      </c>
      <c r="AT3112">
        <v>0</v>
      </c>
      <c r="AU3112">
        <v>10</v>
      </c>
      <c r="AV3112">
        <v>5</v>
      </c>
      <c r="AW3112">
        <v>9</v>
      </c>
      <c r="AX3112">
        <v>5</v>
      </c>
      <c r="AY3112">
        <v>7</v>
      </c>
      <c r="AZ3112">
        <v>0</v>
      </c>
      <c r="BA3112" t="s">
        <v>8344</v>
      </c>
      <c r="BB3112" t="s">
        <v>193</v>
      </c>
      <c r="BC3112">
        <v>1.3129999999999999</v>
      </c>
      <c r="BD3112" t="s">
        <v>65</v>
      </c>
      <c r="BE3112">
        <v>16</v>
      </c>
      <c r="BF3112">
        <v>5</v>
      </c>
      <c r="BG3112" t="s">
        <v>8345</v>
      </c>
      <c r="BH3112" t="s">
        <v>8346</v>
      </c>
      <c r="BI3112" t="s">
        <v>8347</v>
      </c>
      <c r="BJ3112">
        <v>5.6070000000000002E-2</v>
      </c>
      <c r="BK3112">
        <v>1</v>
      </c>
      <c r="BL3112" t="s">
        <v>69</v>
      </c>
      <c r="BM3112">
        <v>-0.28100000000000003</v>
      </c>
      <c r="BN3112">
        <v>-0.56699999999999995</v>
      </c>
    </row>
    <row r="3113" spans="10:66">
      <c r="J3113">
        <v>0</v>
      </c>
      <c r="K3113">
        <v>2</v>
      </c>
      <c r="L3113">
        <v>0</v>
      </c>
      <c r="M3113" t="s">
        <v>25021</v>
      </c>
      <c r="N3113">
        <v>1334</v>
      </c>
      <c r="O3113" t="s">
        <v>8348</v>
      </c>
      <c r="P3113" t="s">
        <v>62</v>
      </c>
      <c r="Q3113">
        <v>1349471</v>
      </c>
      <c r="R3113">
        <v>1350469</v>
      </c>
      <c r="S3113" t="s">
        <v>8349</v>
      </c>
      <c r="T3113">
        <v>333</v>
      </c>
      <c r="U3113" t="s">
        <v>1392</v>
      </c>
      <c r="V3113">
        <v>43</v>
      </c>
      <c r="W3113" t="str">
        <f>HYPERLINK("Gene1334-zp_tree_all.dnd", "Gene1334-tree")</f>
        <v>Gene1334-tree</v>
      </c>
      <c r="X3113">
        <v>23</v>
      </c>
      <c r="Y3113">
        <v>4</v>
      </c>
      <c r="Z3113">
        <v>7</v>
      </c>
      <c r="AA3113">
        <v>4</v>
      </c>
      <c r="AB3113">
        <v>0.36364000000000002</v>
      </c>
      <c r="AC3113" t="s">
        <v>8350</v>
      </c>
      <c r="AD3113" t="s">
        <v>61</v>
      </c>
      <c r="AE3113" t="s">
        <v>62</v>
      </c>
      <c r="AF3113" t="s">
        <v>62</v>
      </c>
      <c r="AG3113">
        <v>1</v>
      </c>
      <c r="AH3113">
        <v>2</v>
      </c>
      <c r="AI3113">
        <v>2</v>
      </c>
      <c r="AJ3113">
        <v>0.5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2</v>
      </c>
      <c r="AQ3113">
        <v>0</v>
      </c>
      <c r="AR3113">
        <v>2</v>
      </c>
      <c r="AS3113">
        <v>2</v>
      </c>
      <c r="AT3113">
        <v>0.5</v>
      </c>
      <c r="AU3113">
        <v>10</v>
      </c>
      <c r="AV3113">
        <v>4</v>
      </c>
      <c r="AW3113">
        <v>18</v>
      </c>
      <c r="AX3113">
        <v>4</v>
      </c>
      <c r="AY3113">
        <v>12</v>
      </c>
      <c r="AZ3113">
        <v>0</v>
      </c>
      <c r="BA3113" t="s">
        <v>8351</v>
      </c>
      <c r="BB3113" t="s">
        <v>193</v>
      </c>
      <c r="BC3113">
        <v>1.454</v>
      </c>
      <c r="BD3113" t="s">
        <v>65</v>
      </c>
      <c r="BE3113">
        <v>30</v>
      </c>
      <c r="BF3113">
        <v>4</v>
      </c>
      <c r="BG3113" t="s">
        <v>8352</v>
      </c>
      <c r="BH3113" t="s">
        <v>8353</v>
      </c>
      <c r="BI3113" t="s">
        <v>6135</v>
      </c>
      <c r="BJ3113">
        <v>3.295E-2</v>
      </c>
      <c r="BK3113">
        <v>1</v>
      </c>
      <c r="BL3113" t="s">
        <v>69</v>
      </c>
      <c r="BM3113">
        <v>-0.52700000000000002</v>
      </c>
      <c r="BN3113">
        <v>-1.2050000000000001</v>
      </c>
    </row>
    <row r="3114" spans="10:66">
      <c r="J3114">
        <v>0</v>
      </c>
      <c r="K3114">
        <v>0</v>
      </c>
      <c r="L3114">
        <v>0</v>
      </c>
      <c r="M3114" t="s">
        <v>25021</v>
      </c>
      <c r="N3114">
        <v>1335</v>
      </c>
      <c r="O3114" t="s">
        <v>8354</v>
      </c>
      <c r="P3114" t="s">
        <v>62</v>
      </c>
      <c r="Q3114">
        <v>1350485</v>
      </c>
      <c r="R3114">
        <v>1351099</v>
      </c>
      <c r="S3114" t="s">
        <v>8355</v>
      </c>
      <c r="T3114">
        <v>205</v>
      </c>
      <c r="U3114" t="s">
        <v>749</v>
      </c>
      <c r="V3114">
        <v>47</v>
      </c>
      <c r="W3114" t="str">
        <f>HYPERLINK("Gene1335-zp_tree_all.dnd", "Gene1335-tree")</f>
        <v>Gene1335-tree</v>
      </c>
      <c r="X3114">
        <v>13</v>
      </c>
      <c r="Y3114">
        <v>0</v>
      </c>
      <c r="Z3114">
        <v>13</v>
      </c>
      <c r="AA3114">
        <v>0</v>
      </c>
      <c r="AB3114">
        <v>0</v>
      </c>
      <c r="AC3114" t="s">
        <v>507</v>
      </c>
      <c r="AD3114" t="s">
        <v>62</v>
      </c>
      <c r="AE3114" t="s">
        <v>62</v>
      </c>
      <c r="AF3114" t="s">
        <v>62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10</v>
      </c>
      <c r="AV3114">
        <v>6</v>
      </c>
      <c r="AW3114">
        <v>35</v>
      </c>
      <c r="AX3114">
        <v>0</v>
      </c>
      <c r="AY3114">
        <v>24</v>
      </c>
      <c r="AZ3114">
        <v>0</v>
      </c>
      <c r="BA3114" t="s">
        <v>193</v>
      </c>
      <c r="BB3114" t="s">
        <v>193</v>
      </c>
      <c r="BC3114">
        <v>0</v>
      </c>
      <c r="BD3114" t="s">
        <v>65</v>
      </c>
      <c r="BE3114">
        <v>59</v>
      </c>
      <c r="BF3114">
        <v>0</v>
      </c>
      <c r="BG3114" t="s">
        <v>8356</v>
      </c>
      <c r="BH3114" t="s">
        <v>8357</v>
      </c>
      <c r="BI3114" t="s">
        <v>193</v>
      </c>
      <c r="BJ3114">
        <v>0</v>
      </c>
      <c r="BK3114">
        <v>1</v>
      </c>
      <c r="BL3114" t="s">
        <v>69</v>
      </c>
      <c r="BM3114">
        <v>-1.2829999999999999</v>
      </c>
      <c r="BN3114">
        <v>-1.86</v>
      </c>
    </row>
    <row r="3115" spans="10:66">
      <c r="J3115">
        <v>0</v>
      </c>
      <c r="K3115">
        <v>7</v>
      </c>
      <c r="L3115">
        <v>0</v>
      </c>
      <c r="M3115" t="s">
        <v>25021</v>
      </c>
      <c r="N3115">
        <v>1336</v>
      </c>
      <c r="O3115" t="s">
        <v>8358</v>
      </c>
      <c r="P3115" t="s">
        <v>62</v>
      </c>
      <c r="Q3115">
        <v>1351378</v>
      </c>
      <c r="R3115">
        <v>1352691</v>
      </c>
      <c r="S3115" t="s">
        <v>8359</v>
      </c>
      <c r="T3115">
        <v>438</v>
      </c>
      <c r="U3115" t="s">
        <v>108</v>
      </c>
      <c r="V3115">
        <v>44</v>
      </c>
      <c r="W3115" t="str">
        <f>HYPERLINK("Gene1336-zp_tree_all.dnd", "Gene1336-tree")</f>
        <v>Gene1336-tree</v>
      </c>
      <c r="X3115">
        <v>7</v>
      </c>
      <c r="Y3115">
        <v>8</v>
      </c>
      <c r="Z3115">
        <v>7</v>
      </c>
      <c r="AA3115">
        <v>8</v>
      </c>
      <c r="AB3115">
        <v>0.53332999999999997</v>
      </c>
      <c r="AC3115" t="s">
        <v>152</v>
      </c>
      <c r="AD3115" t="s">
        <v>136</v>
      </c>
      <c r="AE3115" t="s">
        <v>62</v>
      </c>
      <c r="AF3115" t="s">
        <v>62</v>
      </c>
      <c r="AG3115">
        <v>3</v>
      </c>
      <c r="AH3115">
        <v>7</v>
      </c>
      <c r="AI3115">
        <v>6</v>
      </c>
      <c r="AJ3115">
        <v>0.53846000000000005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9</v>
      </c>
      <c r="AT3115">
        <v>0</v>
      </c>
      <c r="AU3115">
        <v>13</v>
      </c>
      <c r="AV3115">
        <v>10</v>
      </c>
      <c r="AW3115">
        <v>54</v>
      </c>
      <c r="AX3115">
        <v>9</v>
      </c>
      <c r="AY3115">
        <v>31</v>
      </c>
      <c r="AZ3115">
        <v>4</v>
      </c>
      <c r="BA3115" t="s">
        <v>8360</v>
      </c>
      <c r="BB3115" t="s">
        <v>8361</v>
      </c>
      <c r="BC3115">
        <v>0.26900000000000002</v>
      </c>
      <c r="BD3115" t="s">
        <v>65</v>
      </c>
      <c r="BE3115">
        <v>85</v>
      </c>
      <c r="BF3115">
        <v>13</v>
      </c>
      <c r="BG3115" t="s">
        <v>8362</v>
      </c>
      <c r="BH3115" t="s">
        <v>8363</v>
      </c>
      <c r="BI3115" t="s">
        <v>8364</v>
      </c>
      <c r="BJ3115">
        <v>4.725E-2</v>
      </c>
      <c r="BK3115">
        <v>1</v>
      </c>
      <c r="BL3115" t="s">
        <v>69</v>
      </c>
      <c r="BM3115">
        <v>-0.71199999999999997</v>
      </c>
      <c r="BN3115">
        <v>-1.47</v>
      </c>
    </row>
    <row r="3116" spans="10:66">
      <c r="J3116">
        <v>0</v>
      </c>
      <c r="K3116">
        <v>5</v>
      </c>
      <c r="L3116">
        <v>0</v>
      </c>
      <c r="M3116" t="s">
        <v>25021</v>
      </c>
      <c r="N3116">
        <v>1351</v>
      </c>
      <c r="O3116" t="s">
        <v>8456</v>
      </c>
      <c r="P3116" t="s">
        <v>62</v>
      </c>
      <c r="Q3116">
        <v>1369879</v>
      </c>
      <c r="R3116">
        <v>1370925</v>
      </c>
      <c r="S3116" t="s">
        <v>8457</v>
      </c>
      <c r="T3116">
        <v>349</v>
      </c>
      <c r="U3116" t="s">
        <v>108</v>
      </c>
      <c r="V3116">
        <v>44</v>
      </c>
      <c r="W3116" t="str">
        <f>HYPERLINK("Gene1351-zp_tree_all.dnd", "Gene1351-tree")</f>
        <v>Gene1351-tree</v>
      </c>
      <c r="X3116">
        <v>7</v>
      </c>
      <c r="Y3116">
        <v>7</v>
      </c>
      <c r="Z3116">
        <v>7</v>
      </c>
      <c r="AA3116">
        <v>7</v>
      </c>
      <c r="AB3116">
        <v>0.5</v>
      </c>
      <c r="AC3116" t="s">
        <v>152</v>
      </c>
      <c r="AD3116" t="s">
        <v>152</v>
      </c>
      <c r="AE3116" t="s">
        <v>62</v>
      </c>
      <c r="AF3116" t="s">
        <v>62</v>
      </c>
      <c r="AG3116">
        <v>1</v>
      </c>
      <c r="AH3116">
        <v>5</v>
      </c>
      <c r="AI3116">
        <v>13</v>
      </c>
      <c r="AJ3116">
        <v>0.27778000000000003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11</v>
      </c>
      <c r="AT3116">
        <v>0</v>
      </c>
      <c r="AU3116">
        <v>12</v>
      </c>
      <c r="AV3116">
        <v>9</v>
      </c>
      <c r="AW3116">
        <v>38</v>
      </c>
      <c r="AX3116">
        <v>11</v>
      </c>
      <c r="AY3116">
        <v>15</v>
      </c>
      <c r="AZ3116">
        <v>7</v>
      </c>
      <c r="BA3116" t="s">
        <v>8458</v>
      </c>
      <c r="BB3116" t="s">
        <v>8459</v>
      </c>
      <c r="BC3116">
        <v>0.67700000000000005</v>
      </c>
      <c r="BD3116" t="s">
        <v>65</v>
      </c>
      <c r="BE3116">
        <v>53</v>
      </c>
      <c r="BF3116">
        <v>18</v>
      </c>
      <c r="BG3116" t="s">
        <v>8460</v>
      </c>
      <c r="BH3116" t="s">
        <v>8461</v>
      </c>
      <c r="BI3116" t="s">
        <v>8462</v>
      </c>
      <c r="BJ3116">
        <v>8.1259999999999999E-2</v>
      </c>
      <c r="BK3116">
        <v>1</v>
      </c>
      <c r="BL3116" t="s">
        <v>69</v>
      </c>
      <c r="BM3116">
        <v>-1.4410000000000001</v>
      </c>
      <c r="BN3116">
        <v>-2.13</v>
      </c>
    </row>
    <row r="3117" spans="10:66">
      <c r="J3117">
        <v>0</v>
      </c>
      <c r="K3117">
        <v>6</v>
      </c>
      <c r="L3117">
        <v>2</v>
      </c>
      <c r="M3117" t="s">
        <v>25021</v>
      </c>
      <c r="N3117">
        <v>1352</v>
      </c>
      <c r="O3117" t="s">
        <v>8463</v>
      </c>
      <c r="P3117" t="s">
        <v>62</v>
      </c>
      <c r="Q3117">
        <v>1371018</v>
      </c>
      <c r="R3117">
        <v>1371875</v>
      </c>
      <c r="S3117" t="s">
        <v>8464</v>
      </c>
      <c r="T3117">
        <v>286</v>
      </c>
      <c r="U3117" t="s">
        <v>265</v>
      </c>
      <c r="V3117">
        <v>43</v>
      </c>
      <c r="W3117" t="str">
        <f>HYPERLINK("Gene1352-zp_tree_all.dnd", "Gene1352-tree")</f>
        <v>Gene1352-tree</v>
      </c>
      <c r="X3117">
        <v>8</v>
      </c>
      <c r="Y3117">
        <v>5</v>
      </c>
      <c r="Z3117">
        <v>8</v>
      </c>
      <c r="AA3117">
        <v>5</v>
      </c>
      <c r="AB3117">
        <v>0.38462000000000002</v>
      </c>
      <c r="AC3117" t="s">
        <v>136</v>
      </c>
      <c r="AD3117" t="s">
        <v>199</v>
      </c>
      <c r="AE3117" t="s">
        <v>62</v>
      </c>
      <c r="AF3117" t="s">
        <v>62</v>
      </c>
      <c r="AG3117">
        <v>4</v>
      </c>
      <c r="AH3117">
        <v>8</v>
      </c>
      <c r="AI3117">
        <v>8</v>
      </c>
      <c r="AJ3117">
        <v>0.5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4</v>
      </c>
      <c r="AQ3117">
        <v>0</v>
      </c>
      <c r="AR3117">
        <v>4</v>
      </c>
      <c r="AS3117">
        <v>7</v>
      </c>
      <c r="AT3117">
        <v>0.36364000000000002</v>
      </c>
      <c r="AU3117">
        <v>11</v>
      </c>
      <c r="AV3117">
        <v>7</v>
      </c>
      <c r="AW3117">
        <v>41</v>
      </c>
      <c r="AX3117">
        <v>11</v>
      </c>
      <c r="AY3117">
        <v>17</v>
      </c>
      <c r="AZ3117">
        <v>6</v>
      </c>
      <c r="BA3117" t="s">
        <v>8465</v>
      </c>
      <c r="BB3117" t="s">
        <v>8466</v>
      </c>
      <c r="BC3117">
        <v>0.186</v>
      </c>
      <c r="BD3117" t="s">
        <v>65</v>
      </c>
      <c r="BE3117">
        <v>58</v>
      </c>
      <c r="BF3117">
        <v>17</v>
      </c>
      <c r="BG3117" t="s">
        <v>8467</v>
      </c>
      <c r="BH3117" t="s">
        <v>8468</v>
      </c>
      <c r="BI3117" t="s">
        <v>8469</v>
      </c>
      <c r="BJ3117">
        <v>7.886E-2</v>
      </c>
      <c r="BK3117">
        <v>1</v>
      </c>
      <c r="BL3117" t="s">
        <v>69</v>
      </c>
      <c r="BM3117">
        <v>-0.95299999999999996</v>
      </c>
      <c r="BN3117">
        <v>-2.4</v>
      </c>
    </row>
    <row r="3118" spans="10:66">
      <c r="J3118">
        <v>0</v>
      </c>
      <c r="K3118">
        <v>0</v>
      </c>
      <c r="L3118">
        <v>2</v>
      </c>
      <c r="M3118" t="s">
        <v>25021</v>
      </c>
      <c r="N3118">
        <v>1355</v>
      </c>
      <c r="O3118" t="s">
        <v>8483</v>
      </c>
      <c r="P3118" t="s">
        <v>62</v>
      </c>
      <c r="Q3118">
        <v>1374071</v>
      </c>
      <c r="R3118">
        <v>1374292</v>
      </c>
      <c r="S3118" t="s">
        <v>288</v>
      </c>
      <c r="T3118">
        <v>74</v>
      </c>
      <c r="U3118" t="s">
        <v>1392</v>
      </c>
      <c r="V3118">
        <v>43</v>
      </c>
      <c r="W3118" t="str">
        <f>HYPERLINK("Gene1355-zp_tree_all.dnd", "Gene1355-tree")</f>
        <v>Gene1355-tree</v>
      </c>
      <c r="X3118">
        <v>3</v>
      </c>
      <c r="Y3118">
        <v>5</v>
      </c>
      <c r="Z3118">
        <v>3</v>
      </c>
      <c r="AA3118">
        <v>5</v>
      </c>
      <c r="AB3118">
        <v>0.625</v>
      </c>
      <c r="AC3118" t="s">
        <v>324</v>
      </c>
      <c r="AD3118" t="s">
        <v>199</v>
      </c>
      <c r="AE3118" t="s">
        <v>62</v>
      </c>
      <c r="AF3118" t="s">
        <v>62</v>
      </c>
      <c r="AG3118">
        <v>1</v>
      </c>
      <c r="AH3118">
        <v>2</v>
      </c>
      <c r="AI3118">
        <v>7</v>
      </c>
      <c r="AJ3118">
        <v>0.22222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8</v>
      </c>
      <c r="AT3118">
        <v>0</v>
      </c>
      <c r="AU3118">
        <v>7</v>
      </c>
      <c r="AV3118">
        <v>1</v>
      </c>
      <c r="AW3118">
        <v>3</v>
      </c>
      <c r="AX3118">
        <v>8</v>
      </c>
      <c r="AY3118">
        <v>0</v>
      </c>
      <c r="AZ3118">
        <v>1</v>
      </c>
      <c r="BA3118" t="s">
        <v>8484</v>
      </c>
      <c r="BB3118" t="s">
        <v>193</v>
      </c>
      <c r="BC3118">
        <v>1.2669999999999999</v>
      </c>
      <c r="BD3118" t="s">
        <v>65</v>
      </c>
      <c r="BE3118">
        <v>3</v>
      </c>
      <c r="BF3118">
        <v>9</v>
      </c>
      <c r="BG3118" t="s">
        <v>8485</v>
      </c>
      <c r="BH3118" t="s">
        <v>8486</v>
      </c>
      <c r="BI3118" t="s">
        <v>8487</v>
      </c>
      <c r="BJ3118">
        <v>0.91124000000000005</v>
      </c>
      <c r="BK3118">
        <v>0.46800000000000003</v>
      </c>
      <c r="BL3118" t="s">
        <v>635</v>
      </c>
      <c r="BM3118">
        <v>0.439</v>
      </c>
      <c r="BN3118">
        <v>-0.60299999999999998</v>
      </c>
    </row>
    <row r="3119" spans="10:66">
      <c r="J3119">
        <v>0</v>
      </c>
      <c r="K3119">
        <v>2</v>
      </c>
      <c r="L3119">
        <v>0</v>
      </c>
      <c r="M3119" t="s">
        <v>25021</v>
      </c>
      <c r="N3119">
        <v>1365</v>
      </c>
      <c r="O3119" t="s">
        <v>8546</v>
      </c>
      <c r="P3119" t="s">
        <v>62</v>
      </c>
      <c r="Q3119">
        <v>1381437</v>
      </c>
      <c r="R3119">
        <v>1381877</v>
      </c>
      <c r="S3119" t="s">
        <v>8547</v>
      </c>
      <c r="T3119">
        <v>147</v>
      </c>
      <c r="U3119" t="s">
        <v>108</v>
      </c>
      <c r="V3119">
        <v>44</v>
      </c>
      <c r="W3119" t="str">
        <f>HYPERLINK("Gene1365-zp_tree_all.dnd", "Gene1365-tree")</f>
        <v>Gene1365-tree</v>
      </c>
      <c r="X3119">
        <v>7</v>
      </c>
      <c r="Y3119">
        <v>4</v>
      </c>
      <c r="Z3119">
        <v>7</v>
      </c>
      <c r="AA3119">
        <v>4</v>
      </c>
      <c r="AB3119">
        <v>0.36364000000000002</v>
      </c>
      <c r="AC3119" t="s">
        <v>152</v>
      </c>
      <c r="AD3119" t="s">
        <v>61</v>
      </c>
      <c r="AE3119" t="s">
        <v>62</v>
      </c>
      <c r="AF3119" t="s">
        <v>62</v>
      </c>
      <c r="AG3119">
        <v>1</v>
      </c>
      <c r="AH3119">
        <v>2</v>
      </c>
      <c r="AI3119">
        <v>4</v>
      </c>
      <c r="AJ3119">
        <v>0.33333000000000002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2</v>
      </c>
      <c r="AQ3119">
        <v>0</v>
      </c>
      <c r="AR3119">
        <v>2</v>
      </c>
      <c r="AS3119">
        <v>4</v>
      </c>
      <c r="AT3119">
        <v>0.33333000000000002</v>
      </c>
      <c r="AU3119">
        <v>8</v>
      </c>
      <c r="AV3119">
        <v>4</v>
      </c>
      <c r="AW3119">
        <v>18</v>
      </c>
      <c r="AX3119">
        <v>6</v>
      </c>
      <c r="AY3119">
        <v>5</v>
      </c>
      <c r="AZ3119">
        <v>0</v>
      </c>
      <c r="BA3119" t="s">
        <v>8548</v>
      </c>
      <c r="BB3119" t="s">
        <v>193</v>
      </c>
      <c r="BC3119">
        <v>1.401</v>
      </c>
      <c r="BD3119" t="s">
        <v>65</v>
      </c>
      <c r="BE3119">
        <v>23</v>
      </c>
      <c r="BF3119">
        <v>6</v>
      </c>
      <c r="BG3119" t="s">
        <v>8549</v>
      </c>
      <c r="BH3119" t="s">
        <v>8550</v>
      </c>
      <c r="BI3119" t="s">
        <v>8551</v>
      </c>
      <c r="BJ3119">
        <v>6.2609999999999999E-2</v>
      </c>
      <c r="BK3119">
        <v>1</v>
      </c>
      <c r="BL3119" t="s">
        <v>69</v>
      </c>
      <c r="BM3119">
        <v>0.32500000000000001</v>
      </c>
      <c r="BN3119">
        <v>0.89800000000000002</v>
      </c>
    </row>
    <row r="3120" spans="10:66">
      <c r="J3120">
        <v>0</v>
      </c>
      <c r="K3120">
        <v>0</v>
      </c>
      <c r="L3120">
        <v>2</v>
      </c>
      <c r="M3120" t="s">
        <v>25021</v>
      </c>
      <c r="N3120">
        <v>1368</v>
      </c>
      <c r="O3120" t="s">
        <v>8558</v>
      </c>
      <c r="P3120" t="s">
        <v>62</v>
      </c>
      <c r="Q3120">
        <v>1382680</v>
      </c>
      <c r="R3120">
        <v>1383147</v>
      </c>
      <c r="S3120" t="s">
        <v>8559</v>
      </c>
      <c r="T3120">
        <v>156</v>
      </c>
      <c r="U3120" t="s">
        <v>108</v>
      </c>
      <c r="V3120">
        <v>44</v>
      </c>
      <c r="W3120" t="str">
        <f>HYPERLINK("Gene1368-zp_tree_all.dnd", "Gene1368-tree")</f>
        <v>Gene1368-tree</v>
      </c>
      <c r="X3120">
        <v>6</v>
      </c>
      <c r="Y3120">
        <v>6</v>
      </c>
      <c r="Z3120">
        <v>6</v>
      </c>
      <c r="AA3120">
        <v>6</v>
      </c>
      <c r="AB3120">
        <v>0.5</v>
      </c>
      <c r="AC3120" t="s">
        <v>90</v>
      </c>
      <c r="AD3120" t="s">
        <v>90</v>
      </c>
      <c r="AE3120" t="s">
        <v>62</v>
      </c>
      <c r="AF3120" t="s">
        <v>62</v>
      </c>
      <c r="AG3120">
        <v>1</v>
      </c>
      <c r="AH3120">
        <v>2</v>
      </c>
      <c r="AI3120">
        <v>17</v>
      </c>
      <c r="AJ3120">
        <v>0.10526000000000001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15</v>
      </c>
      <c r="AT3120">
        <v>0</v>
      </c>
      <c r="AU3120">
        <v>9</v>
      </c>
      <c r="AV3120">
        <v>7</v>
      </c>
      <c r="AW3120">
        <v>29</v>
      </c>
      <c r="AX3120">
        <v>16</v>
      </c>
      <c r="AY3120">
        <v>13</v>
      </c>
      <c r="AZ3120">
        <v>4</v>
      </c>
      <c r="BA3120" t="s">
        <v>8560</v>
      </c>
      <c r="BB3120" t="s">
        <v>8561</v>
      </c>
      <c r="BC3120">
        <v>0.28599999999999998</v>
      </c>
      <c r="BD3120" t="s">
        <v>65</v>
      </c>
      <c r="BE3120">
        <v>42</v>
      </c>
      <c r="BF3120">
        <v>20</v>
      </c>
      <c r="BG3120" t="s">
        <v>8562</v>
      </c>
      <c r="BH3120" t="s">
        <v>8563</v>
      </c>
      <c r="BI3120" t="s">
        <v>8564</v>
      </c>
      <c r="BJ3120">
        <v>0.12017</v>
      </c>
      <c r="BK3120">
        <v>1</v>
      </c>
      <c r="BL3120" t="s">
        <v>69</v>
      </c>
      <c r="BM3120">
        <v>-2.073</v>
      </c>
      <c r="BN3120">
        <v>-3.8069999999999999</v>
      </c>
    </row>
    <row r="3121" spans="10:66">
      <c r="J3121">
        <v>0</v>
      </c>
      <c r="K3121">
        <v>8</v>
      </c>
      <c r="L3121">
        <v>0</v>
      </c>
      <c r="M3121" t="s">
        <v>25021</v>
      </c>
      <c r="N3121">
        <v>1369</v>
      </c>
      <c r="O3121" t="s">
        <v>8565</v>
      </c>
      <c r="P3121" t="s">
        <v>62</v>
      </c>
      <c r="Q3121">
        <v>1383323</v>
      </c>
      <c r="R3121">
        <v>1385608</v>
      </c>
      <c r="S3121" t="s">
        <v>8566</v>
      </c>
      <c r="T3121">
        <v>762</v>
      </c>
      <c r="U3121" t="s">
        <v>108</v>
      </c>
      <c r="V3121">
        <v>44</v>
      </c>
      <c r="W3121" t="str">
        <f>HYPERLINK("Gene1369-zp_tree_all.dnd", "Gene1369-tree")</f>
        <v>Gene1369-tree</v>
      </c>
      <c r="X3121">
        <v>5</v>
      </c>
      <c r="Y3121">
        <v>12</v>
      </c>
      <c r="Z3121">
        <v>5</v>
      </c>
      <c r="AA3121">
        <v>12</v>
      </c>
      <c r="AB3121">
        <v>0.70587999999999995</v>
      </c>
      <c r="AC3121" t="s">
        <v>199</v>
      </c>
      <c r="AD3121" t="s">
        <v>109</v>
      </c>
      <c r="AE3121" t="s">
        <v>62</v>
      </c>
      <c r="AF3121" t="s">
        <v>62</v>
      </c>
      <c r="AG3121">
        <v>4</v>
      </c>
      <c r="AH3121">
        <v>8</v>
      </c>
      <c r="AI3121">
        <v>11</v>
      </c>
      <c r="AJ3121">
        <v>0.42104999999999998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6</v>
      </c>
      <c r="AQ3121">
        <v>0</v>
      </c>
      <c r="AR3121">
        <v>6</v>
      </c>
      <c r="AS3121">
        <v>12</v>
      </c>
      <c r="AT3121">
        <v>0.33333000000000002</v>
      </c>
      <c r="AU3121">
        <v>14</v>
      </c>
      <c r="AV3121">
        <v>13</v>
      </c>
      <c r="AW3121">
        <v>81</v>
      </c>
      <c r="AX3121">
        <v>16</v>
      </c>
      <c r="AY3121">
        <v>50</v>
      </c>
      <c r="AZ3121">
        <v>3</v>
      </c>
      <c r="BA3121" t="s">
        <v>8567</v>
      </c>
      <c r="BB3121" t="s">
        <v>8568</v>
      </c>
      <c r="BC3121">
        <v>0.998</v>
      </c>
      <c r="BD3121" t="s">
        <v>65</v>
      </c>
      <c r="BE3121">
        <v>131</v>
      </c>
      <c r="BF3121">
        <v>19</v>
      </c>
      <c r="BG3121" t="s">
        <v>8569</v>
      </c>
      <c r="BH3121" t="s">
        <v>8570</v>
      </c>
      <c r="BI3121" t="s">
        <v>8571</v>
      </c>
      <c r="BJ3121">
        <v>3.517E-2</v>
      </c>
      <c r="BK3121">
        <v>1</v>
      </c>
      <c r="BL3121" t="s">
        <v>69</v>
      </c>
      <c r="BM3121">
        <v>-1.0780000000000001</v>
      </c>
      <c r="BN3121">
        <v>-1.0880000000000001</v>
      </c>
    </row>
    <row r="3122" spans="10:66">
      <c r="J3122">
        <v>0</v>
      </c>
      <c r="K3122">
        <v>4</v>
      </c>
      <c r="L3122">
        <v>0</v>
      </c>
      <c r="M3122" t="s">
        <v>25021</v>
      </c>
      <c r="N3122">
        <v>1370</v>
      </c>
      <c r="O3122" t="s">
        <v>8572</v>
      </c>
      <c r="P3122" t="s">
        <v>62</v>
      </c>
      <c r="Q3122">
        <v>1386027</v>
      </c>
      <c r="R3122">
        <v>1386983</v>
      </c>
      <c r="S3122" t="s">
        <v>8573</v>
      </c>
      <c r="T3122">
        <v>319</v>
      </c>
      <c r="U3122" t="s">
        <v>108</v>
      </c>
      <c r="V3122">
        <v>44</v>
      </c>
      <c r="W3122" t="str">
        <f>HYPERLINK("Gene1370-zp_tree_all.dnd", "Gene1370-tree")</f>
        <v>Gene1370-tree</v>
      </c>
      <c r="X3122">
        <v>6</v>
      </c>
      <c r="Y3122">
        <v>6</v>
      </c>
      <c r="Z3122">
        <v>6</v>
      </c>
      <c r="AA3122">
        <v>6</v>
      </c>
      <c r="AB3122">
        <v>0.5</v>
      </c>
      <c r="AC3122" t="s">
        <v>90</v>
      </c>
      <c r="AD3122" t="s">
        <v>90</v>
      </c>
      <c r="AE3122" t="s">
        <v>62</v>
      </c>
      <c r="AF3122" t="s">
        <v>62</v>
      </c>
      <c r="AG3122">
        <v>2</v>
      </c>
      <c r="AH3122">
        <v>4</v>
      </c>
      <c r="AI3122">
        <v>4</v>
      </c>
      <c r="AJ3122">
        <v>0.5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4</v>
      </c>
      <c r="AQ3122">
        <v>0</v>
      </c>
      <c r="AR3122">
        <v>4</v>
      </c>
      <c r="AS3122">
        <v>3</v>
      </c>
      <c r="AT3122">
        <v>0.57142999999999999</v>
      </c>
      <c r="AU3122">
        <v>9</v>
      </c>
      <c r="AV3122">
        <v>6</v>
      </c>
      <c r="AW3122">
        <v>24</v>
      </c>
      <c r="AX3122">
        <v>7</v>
      </c>
      <c r="AY3122">
        <v>10</v>
      </c>
      <c r="AZ3122">
        <v>1</v>
      </c>
      <c r="BA3122" t="s">
        <v>8574</v>
      </c>
      <c r="BB3122" t="s">
        <v>8575</v>
      </c>
      <c r="BC3122">
        <v>0.77300000000000002</v>
      </c>
      <c r="BD3122" t="s">
        <v>65</v>
      </c>
      <c r="BE3122">
        <v>34</v>
      </c>
      <c r="BF3122">
        <v>8</v>
      </c>
      <c r="BG3122" t="s">
        <v>8576</v>
      </c>
      <c r="BH3122" t="s">
        <v>8577</v>
      </c>
      <c r="BI3122" t="s">
        <v>8578</v>
      </c>
      <c r="BJ3122">
        <v>6.4560000000000006E-2</v>
      </c>
      <c r="BK3122">
        <v>1</v>
      </c>
      <c r="BL3122" t="s">
        <v>69</v>
      </c>
      <c r="BM3122">
        <v>-0.59199999999999997</v>
      </c>
      <c r="BN3122">
        <v>-2.0329999999999999</v>
      </c>
    </row>
    <row r="3123" spans="10:66">
      <c r="J3123">
        <v>0</v>
      </c>
      <c r="K3123">
        <v>14</v>
      </c>
      <c r="L3123">
        <v>1</v>
      </c>
      <c r="M3123" t="s">
        <v>25021</v>
      </c>
      <c r="N3123">
        <v>1372</v>
      </c>
      <c r="O3123" t="s">
        <v>8585</v>
      </c>
      <c r="P3123" t="s">
        <v>62</v>
      </c>
      <c r="Q3123">
        <v>1388073</v>
      </c>
      <c r="R3123">
        <v>1388834</v>
      </c>
      <c r="S3123" t="s">
        <v>8586</v>
      </c>
      <c r="T3123">
        <v>254</v>
      </c>
      <c r="U3123" t="s">
        <v>108</v>
      </c>
      <c r="V3123">
        <v>44</v>
      </c>
      <c r="W3123" t="str">
        <f>HYPERLINK("Gene1372-zp_tree_all.dnd", "Gene1372-tree")</f>
        <v>Gene1372-tree</v>
      </c>
      <c r="X3123">
        <v>3</v>
      </c>
      <c r="Y3123">
        <v>12</v>
      </c>
      <c r="Z3123">
        <v>3</v>
      </c>
      <c r="AA3123">
        <v>12</v>
      </c>
      <c r="AB3123">
        <v>0.8</v>
      </c>
      <c r="AC3123" t="s">
        <v>324</v>
      </c>
      <c r="AD3123" t="s">
        <v>109</v>
      </c>
      <c r="AE3123" t="s">
        <v>62</v>
      </c>
      <c r="AF3123" t="s">
        <v>62</v>
      </c>
      <c r="AG3123">
        <v>6</v>
      </c>
      <c r="AH3123">
        <v>15</v>
      </c>
      <c r="AI3123">
        <v>13</v>
      </c>
      <c r="AJ3123">
        <v>0.53571000000000002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6</v>
      </c>
      <c r="AQ3123">
        <v>3</v>
      </c>
      <c r="AR3123">
        <v>9</v>
      </c>
      <c r="AS3123">
        <v>12</v>
      </c>
      <c r="AT3123">
        <v>0.42857000000000001</v>
      </c>
      <c r="AU3123">
        <v>15</v>
      </c>
      <c r="AV3123">
        <v>11</v>
      </c>
      <c r="AW3123">
        <v>29</v>
      </c>
      <c r="AX3123">
        <v>21</v>
      </c>
      <c r="AY3123">
        <v>25</v>
      </c>
      <c r="AZ3123">
        <v>7</v>
      </c>
      <c r="BA3123" t="s">
        <v>8587</v>
      </c>
      <c r="BB3123" t="s">
        <v>8588</v>
      </c>
      <c r="BC3123">
        <v>1.43</v>
      </c>
      <c r="BD3123" t="s">
        <v>65</v>
      </c>
      <c r="BE3123">
        <v>54</v>
      </c>
      <c r="BF3123">
        <v>28</v>
      </c>
      <c r="BG3123" t="s">
        <v>8589</v>
      </c>
      <c r="BH3123" t="s">
        <v>8590</v>
      </c>
      <c r="BI3123" t="s">
        <v>8591</v>
      </c>
      <c r="BJ3123">
        <v>0.14263999999999999</v>
      </c>
      <c r="BK3123">
        <v>1</v>
      </c>
      <c r="BL3123" t="s">
        <v>69</v>
      </c>
      <c r="BM3123">
        <v>-0.55800000000000005</v>
      </c>
      <c r="BN3123">
        <v>-0.123</v>
      </c>
    </row>
    <row r="3124" spans="10:66">
      <c r="J3124">
        <v>0</v>
      </c>
      <c r="K3124">
        <v>22</v>
      </c>
      <c r="L3124">
        <v>8</v>
      </c>
      <c r="M3124" t="s">
        <v>25021</v>
      </c>
      <c r="N3124">
        <v>1373</v>
      </c>
      <c r="O3124" t="s">
        <v>8592</v>
      </c>
      <c r="P3124" t="s">
        <v>62</v>
      </c>
      <c r="Q3124">
        <v>1388812</v>
      </c>
      <c r="R3124">
        <v>1390452</v>
      </c>
      <c r="S3124" t="s">
        <v>8593</v>
      </c>
      <c r="T3124">
        <v>547</v>
      </c>
      <c r="U3124" t="s">
        <v>108</v>
      </c>
      <c r="V3124">
        <v>44</v>
      </c>
      <c r="W3124" t="str">
        <f>HYPERLINK("Gene1373-zp_tree_all.dnd", "Gene1373-tree")</f>
        <v>Gene1373-tree</v>
      </c>
      <c r="X3124">
        <v>1</v>
      </c>
      <c r="Y3124">
        <v>15</v>
      </c>
      <c r="Z3124">
        <v>1</v>
      </c>
      <c r="AA3124">
        <v>15</v>
      </c>
      <c r="AB3124">
        <v>0.9375</v>
      </c>
      <c r="AC3124" t="s">
        <v>175</v>
      </c>
      <c r="AD3124" t="s">
        <v>100</v>
      </c>
      <c r="AE3124" t="s">
        <v>62</v>
      </c>
      <c r="AF3124" t="s">
        <v>62</v>
      </c>
      <c r="AG3124">
        <v>11</v>
      </c>
      <c r="AH3124">
        <v>30</v>
      </c>
      <c r="AI3124">
        <v>39</v>
      </c>
      <c r="AJ3124">
        <v>0.43478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9</v>
      </c>
      <c r="AQ3124">
        <v>5</v>
      </c>
      <c r="AR3124">
        <v>14</v>
      </c>
      <c r="AS3124">
        <v>37</v>
      </c>
      <c r="AT3124">
        <v>0.27450999999999998</v>
      </c>
      <c r="AU3124">
        <v>15</v>
      </c>
      <c r="AV3124">
        <v>12</v>
      </c>
      <c r="AW3124">
        <v>51</v>
      </c>
      <c r="AX3124">
        <v>48</v>
      </c>
      <c r="AY3124">
        <v>52</v>
      </c>
      <c r="AZ3124">
        <v>22</v>
      </c>
      <c r="BA3124" t="s">
        <v>8594</v>
      </c>
      <c r="BB3124" t="s">
        <v>8595</v>
      </c>
      <c r="BC3124">
        <v>1.258</v>
      </c>
      <c r="BD3124" t="s">
        <v>65</v>
      </c>
      <c r="BE3124">
        <v>103</v>
      </c>
      <c r="BF3124">
        <v>70</v>
      </c>
      <c r="BG3124" t="s">
        <v>8596</v>
      </c>
      <c r="BH3124" t="s">
        <v>8597</v>
      </c>
      <c r="BI3124" t="s">
        <v>8598</v>
      </c>
      <c r="BJ3124">
        <v>0.17454</v>
      </c>
      <c r="BK3124">
        <v>1</v>
      </c>
      <c r="BL3124" t="s">
        <v>69</v>
      </c>
      <c r="BM3124">
        <v>-0.501</v>
      </c>
      <c r="BN3124">
        <v>-0.70799999999999996</v>
      </c>
    </row>
    <row r="3125" spans="10:66">
      <c r="J3125">
        <v>0</v>
      </c>
      <c r="K3125">
        <v>0</v>
      </c>
      <c r="L3125">
        <v>2</v>
      </c>
      <c r="M3125" t="s">
        <v>25021</v>
      </c>
      <c r="N3125">
        <v>1374</v>
      </c>
      <c r="O3125" t="s">
        <v>8599</v>
      </c>
      <c r="P3125" t="s">
        <v>62</v>
      </c>
      <c r="Q3125">
        <v>1390442</v>
      </c>
      <c r="R3125">
        <v>1391038</v>
      </c>
      <c r="S3125" t="s">
        <v>8600</v>
      </c>
      <c r="T3125">
        <v>199</v>
      </c>
      <c r="U3125" t="s">
        <v>108</v>
      </c>
      <c r="V3125">
        <v>44</v>
      </c>
      <c r="W3125" t="str">
        <f>HYPERLINK("Gene1374-zp_tree_all.dnd", "Gene1374-tree")</f>
        <v>Gene1374-tree</v>
      </c>
      <c r="X3125">
        <v>25</v>
      </c>
      <c r="Y3125">
        <v>5</v>
      </c>
      <c r="Z3125">
        <v>8</v>
      </c>
      <c r="AA3125">
        <v>5</v>
      </c>
      <c r="AB3125">
        <v>0.38462000000000002</v>
      </c>
      <c r="AC3125" t="s">
        <v>1667</v>
      </c>
      <c r="AD3125" t="s">
        <v>199</v>
      </c>
      <c r="AE3125" t="s">
        <v>62</v>
      </c>
      <c r="AF3125" t="s">
        <v>62</v>
      </c>
      <c r="AG3125">
        <v>1</v>
      </c>
      <c r="AH3125">
        <v>2</v>
      </c>
      <c r="AI3125">
        <v>3</v>
      </c>
      <c r="AJ3125">
        <v>0.4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2</v>
      </c>
      <c r="AR3125">
        <v>2</v>
      </c>
      <c r="AS3125">
        <v>3</v>
      </c>
      <c r="AT3125">
        <v>0.4</v>
      </c>
      <c r="AU3125">
        <v>12</v>
      </c>
      <c r="AV3125">
        <v>2</v>
      </c>
      <c r="AW3125">
        <v>20</v>
      </c>
      <c r="AX3125">
        <v>5</v>
      </c>
      <c r="AY3125">
        <v>3</v>
      </c>
      <c r="AZ3125">
        <v>0</v>
      </c>
      <c r="BA3125" t="s">
        <v>8601</v>
      </c>
      <c r="BB3125" t="s">
        <v>193</v>
      </c>
      <c r="BC3125">
        <v>1.8180000000000001</v>
      </c>
      <c r="BD3125" t="s">
        <v>65</v>
      </c>
      <c r="BE3125">
        <v>23</v>
      </c>
      <c r="BF3125">
        <v>5</v>
      </c>
      <c r="BG3125" t="s">
        <v>8602</v>
      </c>
      <c r="BH3125" t="s">
        <v>8603</v>
      </c>
      <c r="BI3125" t="s">
        <v>8604</v>
      </c>
      <c r="BJ3125">
        <v>6.3469999999999999E-2</v>
      </c>
      <c r="BK3125">
        <v>1</v>
      </c>
      <c r="BL3125" t="s">
        <v>69</v>
      </c>
      <c r="BM3125">
        <v>-1.121</v>
      </c>
      <c r="BN3125">
        <v>-1.0189999999999999</v>
      </c>
    </row>
    <row r="3126" spans="10:66">
      <c r="J3126">
        <v>0</v>
      </c>
      <c r="K3126">
        <v>6</v>
      </c>
      <c r="L3126">
        <v>2</v>
      </c>
      <c r="M3126" t="s">
        <v>25021</v>
      </c>
      <c r="N3126">
        <v>1375</v>
      </c>
      <c r="O3126" t="s">
        <v>8605</v>
      </c>
      <c r="P3126" t="s">
        <v>62</v>
      </c>
      <c r="Q3126">
        <v>1391043</v>
      </c>
      <c r="R3126">
        <v>1391642</v>
      </c>
      <c r="S3126" t="s">
        <v>8606</v>
      </c>
      <c r="T3126">
        <v>200</v>
      </c>
      <c r="U3126" t="s">
        <v>108</v>
      </c>
      <c r="V3126">
        <v>44</v>
      </c>
      <c r="W3126" t="str">
        <f>HYPERLINK("Gene1375-zp_tree_all.dnd", "Gene1375-tree")</f>
        <v>Gene1375-tree</v>
      </c>
      <c r="X3126">
        <v>4</v>
      </c>
      <c r="Y3126">
        <v>9</v>
      </c>
      <c r="Z3126">
        <v>4</v>
      </c>
      <c r="AA3126">
        <v>9</v>
      </c>
      <c r="AB3126">
        <v>0.69230999999999998</v>
      </c>
      <c r="AC3126" t="s">
        <v>61</v>
      </c>
      <c r="AD3126" t="s">
        <v>135</v>
      </c>
      <c r="AE3126" t="s">
        <v>62</v>
      </c>
      <c r="AF3126" t="s">
        <v>62</v>
      </c>
      <c r="AG3126">
        <v>4</v>
      </c>
      <c r="AH3126">
        <v>8</v>
      </c>
      <c r="AI3126">
        <v>12</v>
      </c>
      <c r="AJ3126">
        <v>0.4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6</v>
      </c>
      <c r="AQ3126">
        <v>2</v>
      </c>
      <c r="AR3126">
        <v>8</v>
      </c>
      <c r="AS3126">
        <v>9</v>
      </c>
      <c r="AT3126">
        <v>0.47059000000000001</v>
      </c>
      <c r="AU3126">
        <v>12</v>
      </c>
      <c r="AV3126">
        <v>5</v>
      </c>
      <c r="AW3126">
        <v>24</v>
      </c>
      <c r="AX3126">
        <v>17</v>
      </c>
      <c r="AY3126">
        <v>6</v>
      </c>
      <c r="AZ3126">
        <v>3</v>
      </c>
      <c r="BA3126" t="s">
        <v>8607</v>
      </c>
      <c r="BB3126" t="s">
        <v>8608</v>
      </c>
      <c r="BC3126">
        <v>0.68400000000000005</v>
      </c>
      <c r="BD3126" t="s">
        <v>65</v>
      </c>
      <c r="BE3126">
        <v>30</v>
      </c>
      <c r="BF3126">
        <v>20</v>
      </c>
      <c r="BG3126" t="s">
        <v>8609</v>
      </c>
      <c r="BH3126" t="s">
        <v>8610</v>
      </c>
      <c r="BI3126" t="s">
        <v>8611</v>
      </c>
      <c r="BJ3126">
        <v>0.18905</v>
      </c>
      <c r="BK3126">
        <v>1</v>
      </c>
      <c r="BL3126" t="s">
        <v>69</v>
      </c>
      <c r="BM3126">
        <v>-1.0589999999999999</v>
      </c>
      <c r="BN3126">
        <v>-0.46200000000000002</v>
      </c>
    </row>
    <row r="3127" spans="10:66">
      <c r="J3127">
        <v>0</v>
      </c>
      <c r="K3127">
        <v>0</v>
      </c>
      <c r="L3127">
        <v>0</v>
      </c>
      <c r="M3127" t="s">
        <v>25021</v>
      </c>
      <c r="N3127">
        <v>1382</v>
      </c>
      <c r="O3127" t="s">
        <v>8648</v>
      </c>
      <c r="P3127" t="s">
        <v>62</v>
      </c>
      <c r="Q3127">
        <v>1397414</v>
      </c>
      <c r="R3127">
        <v>1397743</v>
      </c>
      <c r="S3127" t="s">
        <v>8649</v>
      </c>
      <c r="T3127">
        <v>110</v>
      </c>
      <c r="U3127" t="s">
        <v>59</v>
      </c>
      <c r="V3127">
        <v>49</v>
      </c>
      <c r="W3127" t="str">
        <f>HYPERLINK("Gene1382-zp_tree_all.dnd", "Gene1382-tree")</f>
        <v>Gene1382-tree</v>
      </c>
      <c r="X3127">
        <v>10</v>
      </c>
      <c r="Y3127">
        <v>1</v>
      </c>
      <c r="Z3127">
        <v>10</v>
      </c>
      <c r="AA3127">
        <v>1</v>
      </c>
      <c r="AB3127">
        <v>9.0910000000000005E-2</v>
      </c>
      <c r="AC3127" t="s">
        <v>117</v>
      </c>
      <c r="AD3127" t="s">
        <v>175</v>
      </c>
      <c r="AE3127" t="s">
        <v>62</v>
      </c>
      <c r="AF3127" t="s">
        <v>62</v>
      </c>
      <c r="AG3127">
        <v>0</v>
      </c>
      <c r="AH3127">
        <v>0</v>
      </c>
      <c r="AI3127">
        <v>3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9</v>
      </c>
      <c r="AV3127">
        <v>4</v>
      </c>
      <c r="AW3127">
        <v>17</v>
      </c>
      <c r="AX3127">
        <v>1</v>
      </c>
      <c r="AY3127">
        <v>14</v>
      </c>
      <c r="AZ3127">
        <v>2</v>
      </c>
      <c r="BA3127" t="s">
        <v>8650</v>
      </c>
      <c r="BB3127" t="s">
        <v>8651</v>
      </c>
      <c r="BC3127">
        <v>0.42399999999999999</v>
      </c>
      <c r="BD3127" t="s">
        <v>65</v>
      </c>
      <c r="BE3127">
        <v>31</v>
      </c>
      <c r="BF3127">
        <v>3</v>
      </c>
      <c r="BG3127" t="s">
        <v>8652</v>
      </c>
      <c r="BH3127" t="s">
        <v>8653</v>
      </c>
      <c r="BI3127" t="s">
        <v>8654</v>
      </c>
      <c r="BJ3127">
        <v>2.7019999999999999E-2</v>
      </c>
      <c r="BK3127">
        <v>1</v>
      </c>
      <c r="BL3127" t="s">
        <v>69</v>
      </c>
      <c r="BM3127">
        <v>-1.6639999999999999</v>
      </c>
      <c r="BN3127">
        <v>-0.64600000000000002</v>
      </c>
    </row>
    <row r="3128" spans="10:66">
      <c r="J3128">
        <v>0</v>
      </c>
      <c r="K3128">
        <v>14</v>
      </c>
      <c r="L3128">
        <v>1</v>
      </c>
      <c r="M3128" t="s">
        <v>25021</v>
      </c>
      <c r="N3128">
        <v>1386</v>
      </c>
      <c r="O3128" t="s">
        <v>8673</v>
      </c>
      <c r="P3128" t="s">
        <v>62</v>
      </c>
      <c r="Q3128">
        <v>1398978</v>
      </c>
      <c r="R3128">
        <v>1400096</v>
      </c>
      <c r="S3128" t="s">
        <v>3798</v>
      </c>
      <c r="T3128">
        <v>373</v>
      </c>
      <c r="U3128" t="s">
        <v>8674</v>
      </c>
      <c r="V3128">
        <v>41</v>
      </c>
      <c r="W3128" t="str">
        <f>HYPERLINK("Gene1386-zp_tree_all.dnd", "Gene1386-tree")</f>
        <v>Gene1386-tree</v>
      </c>
      <c r="X3128">
        <v>2</v>
      </c>
      <c r="Y3128">
        <v>11</v>
      </c>
      <c r="Z3128">
        <v>2</v>
      </c>
      <c r="AA3128">
        <v>11</v>
      </c>
      <c r="AB3128">
        <v>0.84614999999999996</v>
      </c>
      <c r="AC3128" t="s">
        <v>81</v>
      </c>
      <c r="AD3128" t="s">
        <v>73</v>
      </c>
      <c r="AE3128">
        <v>515075683.63</v>
      </c>
      <c r="AF3128" t="s">
        <v>267</v>
      </c>
      <c r="AG3128">
        <v>6</v>
      </c>
      <c r="AH3128">
        <v>15</v>
      </c>
      <c r="AI3128">
        <v>32</v>
      </c>
      <c r="AJ3128">
        <v>0.31914999999999999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5</v>
      </c>
      <c r="AQ3128">
        <v>1</v>
      </c>
      <c r="AR3128">
        <v>6</v>
      </c>
      <c r="AS3128">
        <v>35</v>
      </c>
      <c r="AT3128">
        <v>0.14634</v>
      </c>
      <c r="AU3128">
        <v>13</v>
      </c>
      <c r="AV3128">
        <v>9</v>
      </c>
      <c r="AW3128">
        <v>42</v>
      </c>
      <c r="AX3128">
        <v>42</v>
      </c>
      <c r="AY3128">
        <v>11</v>
      </c>
      <c r="AZ3128">
        <v>6</v>
      </c>
      <c r="BA3128" t="s">
        <v>8675</v>
      </c>
      <c r="BB3128" t="s">
        <v>8676</v>
      </c>
      <c r="BC3128">
        <v>0.89700000000000002</v>
      </c>
      <c r="BD3128" t="s">
        <v>65</v>
      </c>
      <c r="BE3128">
        <v>53</v>
      </c>
      <c r="BF3128">
        <v>48</v>
      </c>
      <c r="BG3128" t="s">
        <v>8677</v>
      </c>
      <c r="BH3128" t="s">
        <v>8678</v>
      </c>
      <c r="BI3128" t="s">
        <v>8679</v>
      </c>
      <c r="BJ3128">
        <v>0.25002999999999997</v>
      </c>
      <c r="BK3128">
        <v>1</v>
      </c>
      <c r="BL3128" t="s">
        <v>69</v>
      </c>
      <c r="BM3128">
        <v>-1.5640000000000001</v>
      </c>
      <c r="BN3128">
        <v>-3.5219999999999998</v>
      </c>
    </row>
    <row r="3129" spans="10:66">
      <c r="J3129">
        <v>0</v>
      </c>
      <c r="K3129">
        <v>3</v>
      </c>
      <c r="L3129">
        <v>0</v>
      </c>
      <c r="M3129" t="s">
        <v>25021</v>
      </c>
      <c r="N3129">
        <v>1388</v>
      </c>
      <c r="O3129" t="s">
        <v>8687</v>
      </c>
      <c r="P3129" t="s">
        <v>62</v>
      </c>
      <c r="Q3129">
        <v>1400770</v>
      </c>
      <c r="R3129">
        <v>1401579</v>
      </c>
      <c r="S3129" t="s">
        <v>8688</v>
      </c>
      <c r="T3129">
        <v>270</v>
      </c>
      <c r="U3129" t="s">
        <v>108</v>
      </c>
      <c r="V3129">
        <v>44</v>
      </c>
      <c r="W3129" t="str">
        <f>HYPERLINK("Gene1388-zp_tree_all.dnd", "Gene1388-tree")</f>
        <v>Gene1388-tree</v>
      </c>
      <c r="X3129">
        <v>6</v>
      </c>
      <c r="Y3129">
        <v>8</v>
      </c>
      <c r="Z3129">
        <v>6</v>
      </c>
      <c r="AA3129">
        <v>8</v>
      </c>
      <c r="AB3129">
        <v>0.57142999999999999</v>
      </c>
      <c r="AC3129" t="s">
        <v>90</v>
      </c>
      <c r="AD3129" t="s">
        <v>136</v>
      </c>
      <c r="AE3129" t="s">
        <v>62</v>
      </c>
      <c r="AF3129" t="s">
        <v>62</v>
      </c>
      <c r="AG3129">
        <v>1</v>
      </c>
      <c r="AH3129">
        <v>3</v>
      </c>
      <c r="AI3129">
        <v>10</v>
      </c>
      <c r="AJ3129">
        <v>0.23077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2</v>
      </c>
      <c r="AQ3129">
        <v>0</v>
      </c>
      <c r="AR3129">
        <v>2</v>
      </c>
      <c r="AS3129">
        <v>10</v>
      </c>
      <c r="AT3129">
        <v>0.16667000000000001</v>
      </c>
      <c r="AU3129">
        <v>13</v>
      </c>
      <c r="AV3129">
        <v>7</v>
      </c>
      <c r="AW3129">
        <v>41</v>
      </c>
      <c r="AX3129">
        <v>13</v>
      </c>
      <c r="AY3129">
        <v>15</v>
      </c>
      <c r="AZ3129">
        <v>1</v>
      </c>
      <c r="BA3129" t="s">
        <v>8689</v>
      </c>
      <c r="BB3129" t="s">
        <v>8690</v>
      </c>
      <c r="BC3129">
        <v>1.119</v>
      </c>
      <c r="BD3129" t="s">
        <v>65</v>
      </c>
      <c r="BE3129">
        <v>56</v>
      </c>
      <c r="BF3129">
        <v>14</v>
      </c>
      <c r="BG3129" t="s">
        <v>8691</v>
      </c>
      <c r="BH3129" t="s">
        <v>8692</v>
      </c>
      <c r="BI3129" t="s">
        <v>8693</v>
      </c>
      <c r="BJ3129">
        <v>7.3679999999999995E-2</v>
      </c>
      <c r="BK3129">
        <v>1</v>
      </c>
      <c r="BL3129" t="s">
        <v>69</v>
      </c>
      <c r="BM3129">
        <v>-0.98399999999999999</v>
      </c>
      <c r="BN3129">
        <v>-1.484</v>
      </c>
    </row>
    <row r="3130" spans="10:66">
      <c r="J3130">
        <v>2</v>
      </c>
      <c r="K3130">
        <v>2</v>
      </c>
      <c r="L3130">
        <v>3</v>
      </c>
      <c r="M3130" t="s">
        <v>25021</v>
      </c>
      <c r="N3130">
        <v>1391</v>
      </c>
      <c r="O3130" t="s">
        <v>8706</v>
      </c>
      <c r="P3130" t="s">
        <v>62</v>
      </c>
      <c r="Q3130">
        <v>1404521</v>
      </c>
      <c r="R3130">
        <v>1406353</v>
      </c>
      <c r="S3130" t="s">
        <v>8707</v>
      </c>
      <c r="T3130">
        <v>611</v>
      </c>
      <c r="U3130" t="s">
        <v>108</v>
      </c>
      <c r="V3130">
        <v>44</v>
      </c>
      <c r="W3130" t="str">
        <f>HYPERLINK("Gene1391-zp_tree_all.dnd", "Gene1391-tree")</f>
        <v>Gene1391-tree</v>
      </c>
      <c r="X3130">
        <v>4</v>
      </c>
      <c r="Y3130">
        <v>12</v>
      </c>
      <c r="Z3130">
        <v>4</v>
      </c>
      <c r="AA3130">
        <v>12</v>
      </c>
      <c r="AB3130">
        <v>0.75</v>
      </c>
      <c r="AC3130" t="s">
        <v>61</v>
      </c>
      <c r="AD3130" t="s">
        <v>109</v>
      </c>
      <c r="AE3130" t="s">
        <v>62</v>
      </c>
      <c r="AF3130" t="s">
        <v>62</v>
      </c>
      <c r="AG3130">
        <v>3</v>
      </c>
      <c r="AH3130">
        <v>7</v>
      </c>
      <c r="AI3130">
        <v>30</v>
      </c>
      <c r="AJ3130">
        <v>0.18919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2</v>
      </c>
      <c r="AR3130">
        <v>2</v>
      </c>
      <c r="AS3130">
        <v>24</v>
      </c>
      <c r="AT3130">
        <v>7.6920000000000002E-2</v>
      </c>
      <c r="AU3130">
        <v>14</v>
      </c>
      <c r="AV3130">
        <v>11</v>
      </c>
      <c r="AW3130">
        <v>55</v>
      </c>
      <c r="AX3130">
        <v>26</v>
      </c>
      <c r="AY3130">
        <v>28</v>
      </c>
      <c r="AZ3130">
        <v>12</v>
      </c>
      <c r="BA3130" t="s">
        <v>8708</v>
      </c>
      <c r="BB3130" t="s">
        <v>8709</v>
      </c>
      <c r="BC3130">
        <v>7.0000000000000007E-2</v>
      </c>
      <c r="BD3130" t="s">
        <v>65</v>
      </c>
      <c r="BE3130">
        <v>83</v>
      </c>
      <c r="BF3130">
        <v>38</v>
      </c>
      <c r="BG3130" t="s">
        <v>8710</v>
      </c>
      <c r="BH3130" t="s">
        <v>8711</v>
      </c>
      <c r="BI3130" t="s">
        <v>8712</v>
      </c>
      <c r="BJ3130">
        <v>0.13367000000000001</v>
      </c>
      <c r="BK3130">
        <v>1</v>
      </c>
      <c r="BL3130" t="s">
        <v>69</v>
      </c>
      <c r="BM3130">
        <v>-1.4710000000000001</v>
      </c>
      <c r="BN3130">
        <v>-2.6819999999999999</v>
      </c>
    </row>
    <row r="3131" spans="10:66">
      <c r="J3131">
        <v>0</v>
      </c>
      <c r="K3131">
        <v>2</v>
      </c>
      <c r="L3131">
        <v>0</v>
      </c>
      <c r="M3131" t="s">
        <v>25021</v>
      </c>
      <c r="N3131">
        <v>1392</v>
      </c>
      <c r="O3131" t="s">
        <v>8713</v>
      </c>
      <c r="P3131" t="s">
        <v>62</v>
      </c>
      <c r="Q3131">
        <v>1406360</v>
      </c>
      <c r="R3131">
        <v>1407292</v>
      </c>
      <c r="S3131" t="s">
        <v>8714</v>
      </c>
      <c r="T3131">
        <v>311</v>
      </c>
      <c r="U3131" t="s">
        <v>1392</v>
      </c>
      <c r="V3131">
        <v>43</v>
      </c>
      <c r="W3131" t="str">
        <f>HYPERLINK("Gene1392-zp_tree_all.dnd", "Gene1392-tree")</f>
        <v>Gene1392-tree</v>
      </c>
      <c r="X3131">
        <v>7</v>
      </c>
      <c r="Y3131">
        <v>6</v>
      </c>
      <c r="Z3131">
        <v>7</v>
      </c>
      <c r="AA3131">
        <v>6</v>
      </c>
      <c r="AB3131">
        <v>0.46154000000000001</v>
      </c>
      <c r="AC3131" t="s">
        <v>152</v>
      </c>
      <c r="AD3131" t="s">
        <v>90</v>
      </c>
      <c r="AE3131" t="s">
        <v>62</v>
      </c>
      <c r="AF3131" t="s">
        <v>62</v>
      </c>
      <c r="AG3131">
        <v>1</v>
      </c>
      <c r="AH3131">
        <v>2</v>
      </c>
      <c r="AI3131">
        <v>9</v>
      </c>
      <c r="AJ3131">
        <v>0.18182000000000001</v>
      </c>
      <c r="AK3131">
        <v>0</v>
      </c>
      <c r="AL3131">
        <v>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5</v>
      </c>
      <c r="AT3131">
        <v>0</v>
      </c>
      <c r="AU3131">
        <v>10</v>
      </c>
      <c r="AV3131">
        <v>9</v>
      </c>
      <c r="AW3131">
        <v>17</v>
      </c>
      <c r="AX3131">
        <v>5</v>
      </c>
      <c r="AY3131">
        <v>28</v>
      </c>
      <c r="AZ3131">
        <v>6</v>
      </c>
      <c r="BA3131" t="s">
        <v>8715</v>
      </c>
      <c r="BB3131" t="s">
        <v>8716</v>
      </c>
      <c r="BC3131">
        <v>0.41499999999999998</v>
      </c>
      <c r="BD3131" t="s">
        <v>65</v>
      </c>
      <c r="BE3131">
        <v>45</v>
      </c>
      <c r="BF3131">
        <v>11</v>
      </c>
      <c r="BG3131" t="s">
        <v>8717</v>
      </c>
      <c r="BH3131" t="s">
        <v>8718</v>
      </c>
      <c r="BI3131" t="s">
        <v>8719</v>
      </c>
      <c r="BJ3131">
        <v>6.8190000000000001E-2</v>
      </c>
      <c r="BK3131">
        <v>1</v>
      </c>
      <c r="BL3131" t="s">
        <v>69</v>
      </c>
      <c r="BM3131">
        <v>0.42799999999999999</v>
      </c>
      <c r="BN3131">
        <v>0.49</v>
      </c>
    </row>
    <row r="3132" spans="10:66">
      <c r="J3132">
        <v>0</v>
      </c>
      <c r="K3132">
        <v>27</v>
      </c>
      <c r="L3132">
        <v>6</v>
      </c>
      <c r="M3132" t="s">
        <v>25021</v>
      </c>
      <c r="N3132">
        <v>1393</v>
      </c>
      <c r="O3132" t="s">
        <v>8720</v>
      </c>
      <c r="P3132" t="s">
        <v>62</v>
      </c>
      <c r="Q3132">
        <v>1407332</v>
      </c>
      <c r="R3132">
        <v>1409731</v>
      </c>
      <c r="S3132" t="s">
        <v>5937</v>
      </c>
      <c r="T3132">
        <v>800</v>
      </c>
      <c r="U3132" t="s">
        <v>108</v>
      </c>
      <c r="V3132">
        <v>44</v>
      </c>
      <c r="W3132" t="str">
        <f>HYPERLINK("Gene1393-zp_tree_all.dnd", "Gene1393-tree")</f>
        <v>Gene1393-tree</v>
      </c>
      <c r="X3132">
        <v>3</v>
      </c>
      <c r="Y3132">
        <v>13</v>
      </c>
      <c r="Z3132">
        <v>3</v>
      </c>
      <c r="AA3132">
        <v>13</v>
      </c>
      <c r="AB3132">
        <v>0.8125</v>
      </c>
      <c r="AC3132" t="s">
        <v>324</v>
      </c>
      <c r="AD3132" t="s">
        <v>507</v>
      </c>
      <c r="AE3132" t="s">
        <v>62</v>
      </c>
      <c r="AF3132" t="s">
        <v>62</v>
      </c>
      <c r="AG3132">
        <v>15</v>
      </c>
      <c r="AH3132">
        <v>33</v>
      </c>
      <c r="AI3132">
        <v>23</v>
      </c>
      <c r="AJ3132">
        <v>0.58928999999999998</v>
      </c>
      <c r="AK3132">
        <v>0</v>
      </c>
      <c r="AL3132">
        <v>0</v>
      </c>
      <c r="AM3132">
        <v>0</v>
      </c>
      <c r="AN3132">
        <v>4</v>
      </c>
      <c r="AO3132">
        <v>0</v>
      </c>
      <c r="AP3132">
        <v>8</v>
      </c>
      <c r="AQ3132">
        <v>2</v>
      </c>
      <c r="AR3132">
        <v>10</v>
      </c>
      <c r="AS3132">
        <v>22</v>
      </c>
      <c r="AT3132">
        <v>0.3125</v>
      </c>
      <c r="AU3132">
        <v>15</v>
      </c>
      <c r="AV3132">
        <v>13</v>
      </c>
      <c r="AW3132">
        <v>104</v>
      </c>
      <c r="AX3132">
        <v>32</v>
      </c>
      <c r="AY3132">
        <v>53</v>
      </c>
      <c r="AZ3132">
        <v>25</v>
      </c>
      <c r="BA3132" t="s">
        <v>8721</v>
      </c>
      <c r="BB3132" t="s">
        <v>8722</v>
      </c>
      <c r="BC3132">
        <v>0.93100000000000005</v>
      </c>
      <c r="BD3132" t="s">
        <v>65</v>
      </c>
      <c r="BE3132">
        <v>157</v>
      </c>
      <c r="BF3132">
        <v>57</v>
      </c>
      <c r="BG3132" t="s">
        <v>8723</v>
      </c>
      <c r="BH3132" t="s">
        <v>8724</v>
      </c>
      <c r="BI3132" t="s">
        <v>8725</v>
      </c>
      <c r="BJ3132">
        <v>0.10992</v>
      </c>
      <c r="BK3132">
        <v>1</v>
      </c>
      <c r="BL3132" t="s">
        <v>69</v>
      </c>
      <c r="BM3132">
        <v>-0.35</v>
      </c>
      <c r="BN3132">
        <v>-0.40899999999999997</v>
      </c>
    </row>
    <row r="3133" spans="10:66">
      <c r="J3133">
        <v>0</v>
      </c>
      <c r="K3133">
        <v>0</v>
      </c>
      <c r="L3133">
        <v>0</v>
      </c>
      <c r="M3133" t="s">
        <v>25021</v>
      </c>
      <c r="N3133">
        <v>1398</v>
      </c>
      <c r="O3133" t="s">
        <v>8753</v>
      </c>
      <c r="P3133" t="s">
        <v>62</v>
      </c>
      <c r="Q3133">
        <v>1413803</v>
      </c>
      <c r="R3133">
        <v>1413994</v>
      </c>
      <c r="S3133" t="s">
        <v>389</v>
      </c>
      <c r="T3133">
        <v>64</v>
      </c>
      <c r="U3133" t="s">
        <v>59</v>
      </c>
      <c r="V3133">
        <v>49</v>
      </c>
      <c r="W3133" t="str">
        <f>HYPERLINK("Gene1398-zp_tree_all.dnd", "Gene1398-tree")</f>
        <v>Gene1398-tree</v>
      </c>
      <c r="X3133">
        <v>7</v>
      </c>
      <c r="Y3133">
        <v>0</v>
      </c>
      <c r="Z3133">
        <v>7</v>
      </c>
      <c r="AA3133">
        <v>0</v>
      </c>
      <c r="AB3133">
        <v>0</v>
      </c>
      <c r="AC3133" t="s">
        <v>152</v>
      </c>
      <c r="AD3133" t="s">
        <v>62</v>
      </c>
      <c r="AE3133" t="s">
        <v>62</v>
      </c>
      <c r="AF3133" t="s">
        <v>62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5</v>
      </c>
      <c r="AV3133">
        <v>2</v>
      </c>
      <c r="AW3133">
        <v>6</v>
      </c>
      <c r="AX3133">
        <v>0</v>
      </c>
      <c r="AY3133">
        <v>2</v>
      </c>
      <c r="AZ3133">
        <v>0</v>
      </c>
      <c r="BA3133" t="s">
        <v>193</v>
      </c>
      <c r="BB3133" t="s">
        <v>193</v>
      </c>
      <c r="BC3133">
        <v>0</v>
      </c>
      <c r="BD3133" t="s">
        <v>65</v>
      </c>
      <c r="BE3133">
        <v>8</v>
      </c>
      <c r="BF3133">
        <v>0</v>
      </c>
      <c r="BG3133" t="s">
        <v>8754</v>
      </c>
      <c r="BH3133" t="s">
        <v>8755</v>
      </c>
      <c r="BI3133" t="s">
        <v>193</v>
      </c>
      <c r="BJ3133">
        <v>0</v>
      </c>
      <c r="BK3133">
        <v>1</v>
      </c>
      <c r="BL3133" t="s">
        <v>69</v>
      </c>
      <c r="BM3133">
        <v>-1.7270000000000001</v>
      </c>
      <c r="BN3133">
        <v>-1.5409999999999999</v>
      </c>
    </row>
    <row r="3134" spans="10:66">
      <c r="J3134">
        <v>0</v>
      </c>
      <c r="K3134">
        <v>4</v>
      </c>
      <c r="L3134">
        <v>0</v>
      </c>
      <c r="M3134" t="s">
        <v>25021</v>
      </c>
      <c r="N3134">
        <v>1399</v>
      </c>
      <c r="O3134" t="s">
        <v>8756</v>
      </c>
      <c r="P3134" t="s">
        <v>62</v>
      </c>
      <c r="Q3134">
        <v>1414128</v>
      </c>
      <c r="R3134">
        <v>1414826</v>
      </c>
      <c r="S3134" t="s">
        <v>8757</v>
      </c>
      <c r="T3134">
        <v>233</v>
      </c>
      <c r="U3134" t="s">
        <v>125</v>
      </c>
      <c r="V3134">
        <v>48</v>
      </c>
      <c r="W3134" t="str">
        <f>HYPERLINK("Gene1399-zp_tree_all.dnd", "Gene1399-tree")</f>
        <v>Gene1399-tree</v>
      </c>
      <c r="X3134">
        <v>15</v>
      </c>
      <c r="Y3134">
        <v>4</v>
      </c>
      <c r="Z3134">
        <v>15</v>
      </c>
      <c r="AA3134">
        <v>4</v>
      </c>
      <c r="AB3134">
        <v>0.21052999999999999</v>
      </c>
      <c r="AC3134" t="s">
        <v>100</v>
      </c>
      <c r="AD3134" t="s">
        <v>61</v>
      </c>
      <c r="AE3134" t="s">
        <v>62</v>
      </c>
      <c r="AF3134" t="s">
        <v>62</v>
      </c>
      <c r="AG3134">
        <v>1</v>
      </c>
      <c r="AH3134">
        <v>4</v>
      </c>
      <c r="AI3134">
        <v>18</v>
      </c>
      <c r="AJ3134">
        <v>0.18182000000000001</v>
      </c>
      <c r="AK3134">
        <v>2</v>
      </c>
      <c r="AL3134">
        <v>0</v>
      </c>
      <c r="AM3134">
        <v>2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6</v>
      </c>
      <c r="AT3134">
        <v>0</v>
      </c>
      <c r="AU3134">
        <v>12</v>
      </c>
      <c r="AV3134">
        <v>12</v>
      </c>
      <c r="AW3134">
        <v>18</v>
      </c>
      <c r="AX3134">
        <v>6</v>
      </c>
      <c r="AY3134">
        <v>47</v>
      </c>
      <c r="AZ3134">
        <v>18</v>
      </c>
      <c r="BA3134" t="s">
        <v>8758</v>
      </c>
      <c r="BB3134" t="s">
        <v>8759</v>
      </c>
      <c r="BC3134">
        <v>8.6999999999999994E-2</v>
      </c>
      <c r="BD3134" t="s">
        <v>65</v>
      </c>
      <c r="BE3134">
        <v>65</v>
      </c>
      <c r="BF3134">
        <v>24</v>
      </c>
      <c r="BG3134" t="s">
        <v>8760</v>
      </c>
      <c r="BH3134" t="s">
        <v>8761</v>
      </c>
      <c r="BI3134" t="s">
        <v>8762</v>
      </c>
      <c r="BJ3134">
        <v>9.7949999999999995E-2</v>
      </c>
      <c r="BK3134">
        <v>1</v>
      </c>
      <c r="BL3134" t="s">
        <v>69</v>
      </c>
      <c r="BM3134">
        <v>-1.252</v>
      </c>
      <c r="BN3134">
        <v>0.318</v>
      </c>
    </row>
    <row r="3135" spans="10:66">
      <c r="J3135">
        <v>0</v>
      </c>
      <c r="K3135">
        <v>6</v>
      </c>
      <c r="L3135">
        <v>0</v>
      </c>
      <c r="M3135" t="s">
        <v>25021</v>
      </c>
      <c r="N3135">
        <v>1404</v>
      </c>
      <c r="O3135" t="s">
        <v>8787</v>
      </c>
      <c r="P3135" t="s">
        <v>62</v>
      </c>
      <c r="Q3135">
        <v>1417941</v>
      </c>
      <c r="R3135">
        <v>1418960</v>
      </c>
      <c r="S3135" t="s">
        <v>8788</v>
      </c>
      <c r="T3135">
        <v>340</v>
      </c>
      <c r="U3135" t="s">
        <v>108</v>
      </c>
      <c r="V3135">
        <v>44</v>
      </c>
      <c r="W3135" t="str">
        <f>HYPERLINK("Gene1404-zp_tree_all.dnd", "Gene1404-tree")</f>
        <v>Gene1404-tree</v>
      </c>
      <c r="X3135">
        <v>11</v>
      </c>
      <c r="Y3135">
        <v>6</v>
      </c>
      <c r="Z3135">
        <v>11</v>
      </c>
      <c r="AA3135">
        <v>6</v>
      </c>
      <c r="AB3135">
        <v>0.35293999999999998</v>
      </c>
      <c r="AC3135" t="s">
        <v>73</v>
      </c>
      <c r="AD3135" t="s">
        <v>90</v>
      </c>
      <c r="AE3135" t="s">
        <v>62</v>
      </c>
      <c r="AF3135" t="s">
        <v>62</v>
      </c>
      <c r="AG3135">
        <v>3</v>
      </c>
      <c r="AH3135">
        <v>6</v>
      </c>
      <c r="AI3135">
        <v>6</v>
      </c>
      <c r="AJ3135">
        <v>0.5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4</v>
      </c>
      <c r="AQ3135">
        <v>0</v>
      </c>
      <c r="AR3135">
        <v>4</v>
      </c>
      <c r="AS3135">
        <v>5</v>
      </c>
      <c r="AT3135">
        <v>0.44444</v>
      </c>
      <c r="AU3135">
        <v>13</v>
      </c>
      <c r="AV3135">
        <v>8</v>
      </c>
      <c r="AW3135">
        <v>22</v>
      </c>
      <c r="AX3135">
        <v>9</v>
      </c>
      <c r="AY3135">
        <v>9</v>
      </c>
      <c r="AZ3135">
        <v>3</v>
      </c>
      <c r="BA3135" t="s">
        <v>8789</v>
      </c>
      <c r="BB3135" t="s">
        <v>8790</v>
      </c>
      <c r="BC3135">
        <v>0.17</v>
      </c>
      <c r="BD3135" t="s">
        <v>65</v>
      </c>
      <c r="BE3135">
        <v>31</v>
      </c>
      <c r="BF3135">
        <v>12</v>
      </c>
      <c r="BG3135" t="s">
        <v>8791</v>
      </c>
      <c r="BH3135" t="s">
        <v>8792</v>
      </c>
      <c r="BI3135" t="s">
        <v>8793</v>
      </c>
      <c r="BJ3135">
        <v>0.10605000000000001</v>
      </c>
      <c r="BK3135">
        <v>1</v>
      </c>
      <c r="BL3135" t="s">
        <v>69</v>
      </c>
      <c r="BM3135">
        <v>-0.93200000000000005</v>
      </c>
      <c r="BN3135">
        <v>-1.9930000000000001</v>
      </c>
    </row>
    <row r="3136" spans="10:66">
      <c r="J3136">
        <v>0</v>
      </c>
      <c r="K3136">
        <v>5</v>
      </c>
      <c r="L3136">
        <v>4</v>
      </c>
      <c r="M3136" t="s">
        <v>25021</v>
      </c>
      <c r="N3136">
        <v>1408</v>
      </c>
      <c r="O3136" t="s">
        <v>8815</v>
      </c>
      <c r="P3136" t="s">
        <v>62</v>
      </c>
      <c r="Q3136">
        <v>1423244</v>
      </c>
      <c r="R3136">
        <v>1424434</v>
      </c>
      <c r="S3136" t="s">
        <v>8816</v>
      </c>
      <c r="T3136">
        <v>397</v>
      </c>
      <c r="U3136" t="s">
        <v>108</v>
      </c>
      <c r="V3136">
        <v>44</v>
      </c>
      <c r="W3136" t="str">
        <f>HYPERLINK("Gene1408-zp_tree_all.dnd", "Gene1408-tree")</f>
        <v>Gene1408-tree</v>
      </c>
      <c r="X3136">
        <v>8</v>
      </c>
      <c r="Y3136">
        <v>7</v>
      </c>
      <c r="Z3136">
        <v>8</v>
      </c>
      <c r="AA3136">
        <v>7</v>
      </c>
      <c r="AB3136">
        <v>0.46666999999999997</v>
      </c>
      <c r="AC3136" t="s">
        <v>136</v>
      </c>
      <c r="AD3136" t="s">
        <v>152</v>
      </c>
      <c r="AE3136" t="s">
        <v>62</v>
      </c>
      <c r="AF3136" t="s">
        <v>62</v>
      </c>
      <c r="AG3136">
        <v>4</v>
      </c>
      <c r="AH3136">
        <v>9</v>
      </c>
      <c r="AI3136">
        <v>10</v>
      </c>
      <c r="AJ3136">
        <v>0.47367999999999999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4</v>
      </c>
      <c r="AQ3136">
        <v>4</v>
      </c>
      <c r="AR3136">
        <v>8</v>
      </c>
      <c r="AS3136">
        <v>7</v>
      </c>
      <c r="AT3136">
        <v>0.53332999999999997</v>
      </c>
      <c r="AU3136">
        <v>13</v>
      </c>
      <c r="AV3136">
        <v>6</v>
      </c>
      <c r="AW3136">
        <v>37</v>
      </c>
      <c r="AX3136">
        <v>15</v>
      </c>
      <c r="AY3136">
        <v>6</v>
      </c>
      <c r="AZ3136">
        <v>4</v>
      </c>
      <c r="BA3136" t="s">
        <v>8817</v>
      </c>
      <c r="BB3136" t="s">
        <v>8818</v>
      </c>
      <c r="BC3136">
        <v>0.30499999999999999</v>
      </c>
      <c r="BD3136" t="s">
        <v>65</v>
      </c>
      <c r="BE3136">
        <v>43</v>
      </c>
      <c r="BF3136">
        <v>19</v>
      </c>
      <c r="BG3136" t="s">
        <v>8819</v>
      </c>
      <c r="BH3136" t="s">
        <v>8820</v>
      </c>
      <c r="BI3136" t="s">
        <v>8821</v>
      </c>
      <c r="BJ3136">
        <v>0.13797999999999999</v>
      </c>
      <c r="BK3136">
        <v>1</v>
      </c>
      <c r="BL3136" t="s">
        <v>69</v>
      </c>
      <c r="BM3136">
        <v>-1.3420000000000001</v>
      </c>
      <c r="BN3136">
        <v>-1.758</v>
      </c>
    </row>
    <row r="3137" spans="10:66">
      <c r="J3137">
        <v>0</v>
      </c>
      <c r="K3137">
        <v>2</v>
      </c>
      <c r="L3137">
        <v>0</v>
      </c>
      <c r="M3137" t="s">
        <v>25021</v>
      </c>
      <c r="N3137">
        <v>1409</v>
      </c>
      <c r="O3137" t="s">
        <v>8822</v>
      </c>
      <c r="P3137" t="s">
        <v>62</v>
      </c>
      <c r="Q3137">
        <v>1424770</v>
      </c>
      <c r="R3137">
        <v>1425546</v>
      </c>
      <c r="S3137" t="s">
        <v>8823</v>
      </c>
      <c r="T3137">
        <v>259</v>
      </c>
      <c r="U3137" t="s">
        <v>108</v>
      </c>
      <c r="V3137">
        <v>44</v>
      </c>
      <c r="W3137" t="str">
        <f>HYPERLINK("Gene1409-zp_tree_all.dnd", "Gene1409-tree")</f>
        <v>Gene1409-tree</v>
      </c>
      <c r="X3137">
        <v>5</v>
      </c>
      <c r="Y3137">
        <v>9</v>
      </c>
      <c r="Z3137">
        <v>5</v>
      </c>
      <c r="AA3137">
        <v>9</v>
      </c>
      <c r="AB3137">
        <v>0.64285999999999999</v>
      </c>
      <c r="AC3137" t="s">
        <v>199</v>
      </c>
      <c r="AD3137" t="s">
        <v>135</v>
      </c>
      <c r="AE3137" t="s">
        <v>62</v>
      </c>
      <c r="AF3137" t="s">
        <v>62</v>
      </c>
      <c r="AG3137">
        <v>1</v>
      </c>
      <c r="AH3137">
        <v>2</v>
      </c>
      <c r="AI3137">
        <v>14</v>
      </c>
      <c r="AJ3137">
        <v>0.125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2</v>
      </c>
      <c r="AQ3137">
        <v>0</v>
      </c>
      <c r="AR3137">
        <v>2</v>
      </c>
      <c r="AS3137">
        <v>12</v>
      </c>
      <c r="AT3137">
        <v>0.14285999999999999</v>
      </c>
      <c r="AU3137">
        <v>13</v>
      </c>
      <c r="AV3137">
        <v>9</v>
      </c>
      <c r="AW3137">
        <v>24</v>
      </c>
      <c r="AX3137">
        <v>14</v>
      </c>
      <c r="AY3137">
        <v>20</v>
      </c>
      <c r="AZ3137">
        <v>2</v>
      </c>
      <c r="BA3137" t="s">
        <v>8824</v>
      </c>
      <c r="BB3137" t="s">
        <v>8825</v>
      </c>
      <c r="BC3137">
        <v>1.917</v>
      </c>
      <c r="BD3137" t="s">
        <v>65</v>
      </c>
      <c r="BE3137">
        <v>44</v>
      </c>
      <c r="BF3137">
        <v>16</v>
      </c>
      <c r="BG3137" t="s">
        <v>8826</v>
      </c>
      <c r="BH3137" t="s">
        <v>8827</v>
      </c>
      <c r="BI3137" t="s">
        <v>8828</v>
      </c>
      <c r="BJ3137">
        <v>0.10116</v>
      </c>
      <c r="BK3137">
        <v>1</v>
      </c>
      <c r="BL3137" t="s">
        <v>69</v>
      </c>
      <c r="BM3137">
        <v>-1.2270000000000001</v>
      </c>
      <c r="BN3137">
        <v>-1.603</v>
      </c>
    </row>
    <row r="3138" spans="10:66">
      <c r="J3138">
        <v>0</v>
      </c>
      <c r="K3138">
        <v>0</v>
      </c>
      <c r="L3138">
        <v>0</v>
      </c>
      <c r="M3138" t="s">
        <v>25021</v>
      </c>
      <c r="N3138">
        <v>1415</v>
      </c>
      <c r="O3138" t="s">
        <v>8861</v>
      </c>
      <c r="P3138" t="s">
        <v>62</v>
      </c>
      <c r="Q3138">
        <v>1430164</v>
      </c>
      <c r="R3138">
        <v>1430481</v>
      </c>
      <c r="S3138" t="s">
        <v>288</v>
      </c>
      <c r="T3138">
        <v>106</v>
      </c>
      <c r="U3138" t="s">
        <v>108</v>
      </c>
      <c r="V3138">
        <v>44</v>
      </c>
      <c r="W3138" t="str">
        <f>HYPERLINK("Gene1415-zp_tree_all.dnd", "Gene1415-tree")</f>
        <v>Gene1415-tree</v>
      </c>
      <c r="X3138">
        <v>9</v>
      </c>
      <c r="Y3138">
        <v>3</v>
      </c>
      <c r="Z3138">
        <v>9</v>
      </c>
      <c r="AA3138">
        <v>3</v>
      </c>
      <c r="AB3138">
        <v>0.25</v>
      </c>
      <c r="AC3138" t="s">
        <v>135</v>
      </c>
      <c r="AD3138" t="s">
        <v>324</v>
      </c>
      <c r="AE3138" t="s">
        <v>62</v>
      </c>
      <c r="AF3138" t="s">
        <v>62</v>
      </c>
      <c r="AG3138">
        <v>0</v>
      </c>
      <c r="AH3138">
        <v>0</v>
      </c>
      <c r="AI3138">
        <v>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4</v>
      </c>
      <c r="AT3138">
        <v>0</v>
      </c>
      <c r="AU3138">
        <v>8</v>
      </c>
      <c r="AV3138">
        <v>7</v>
      </c>
      <c r="AW3138">
        <v>9</v>
      </c>
      <c r="AX3138">
        <v>4</v>
      </c>
      <c r="AY3138">
        <v>10</v>
      </c>
      <c r="AZ3138">
        <v>1</v>
      </c>
      <c r="BA3138" t="s">
        <v>8862</v>
      </c>
      <c r="BB3138" t="s">
        <v>8863</v>
      </c>
      <c r="BC3138">
        <v>0.70699999999999996</v>
      </c>
      <c r="BD3138" t="s">
        <v>65</v>
      </c>
      <c r="BE3138">
        <v>19</v>
      </c>
      <c r="BF3138">
        <v>5</v>
      </c>
      <c r="BG3138" t="s">
        <v>8864</v>
      </c>
      <c r="BH3138" t="s">
        <v>8865</v>
      </c>
      <c r="BI3138" t="s">
        <v>8866</v>
      </c>
      <c r="BJ3138">
        <v>6.3740000000000005E-2</v>
      </c>
      <c r="BK3138">
        <v>1</v>
      </c>
      <c r="BL3138" t="s">
        <v>69</v>
      </c>
      <c r="BM3138">
        <v>0.71199999999999997</v>
      </c>
      <c r="BN3138">
        <v>0.09</v>
      </c>
    </row>
    <row r="3139" spans="10:66">
      <c r="J3139">
        <v>0</v>
      </c>
      <c r="K3139">
        <v>0</v>
      </c>
      <c r="L3139">
        <v>0</v>
      </c>
      <c r="M3139" t="s">
        <v>25021</v>
      </c>
      <c r="N3139">
        <v>1418</v>
      </c>
      <c r="O3139" t="s">
        <v>8880</v>
      </c>
      <c r="P3139" t="s">
        <v>62</v>
      </c>
      <c r="Q3139">
        <v>1431489</v>
      </c>
      <c r="R3139">
        <v>1433006</v>
      </c>
      <c r="S3139" t="s">
        <v>8881</v>
      </c>
      <c r="T3139">
        <v>506</v>
      </c>
      <c r="U3139" t="s">
        <v>409</v>
      </c>
      <c r="V3139">
        <v>45</v>
      </c>
      <c r="W3139" t="str">
        <f>HYPERLINK("Gene1418-zp_tree_all.dnd", "Gene1418-tree")</f>
        <v>Gene1418-tree</v>
      </c>
      <c r="X3139">
        <v>8</v>
      </c>
      <c r="Y3139">
        <v>8</v>
      </c>
      <c r="Z3139">
        <v>8</v>
      </c>
      <c r="AA3139">
        <v>8</v>
      </c>
      <c r="AB3139">
        <v>0.5</v>
      </c>
      <c r="AC3139" t="s">
        <v>136</v>
      </c>
      <c r="AD3139" t="s">
        <v>136</v>
      </c>
      <c r="AE3139" t="s">
        <v>62</v>
      </c>
      <c r="AF3139" t="s">
        <v>62</v>
      </c>
      <c r="AG3139">
        <v>0</v>
      </c>
      <c r="AH3139">
        <v>0</v>
      </c>
      <c r="AI3139">
        <v>15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13</v>
      </c>
      <c r="AT3139">
        <v>0</v>
      </c>
      <c r="AU3139">
        <v>15</v>
      </c>
      <c r="AV3139">
        <v>11</v>
      </c>
      <c r="AW3139">
        <v>106</v>
      </c>
      <c r="AX3139">
        <v>14</v>
      </c>
      <c r="AY3139">
        <v>33</v>
      </c>
      <c r="AZ3139">
        <v>2</v>
      </c>
      <c r="BA3139" t="s">
        <v>8882</v>
      </c>
      <c r="BB3139" t="s">
        <v>8883</v>
      </c>
      <c r="BC3139">
        <v>0.24</v>
      </c>
      <c r="BD3139" t="s">
        <v>65</v>
      </c>
      <c r="BE3139">
        <v>139</v>
      </c>
      <c r="BF3139">
        <v>16</v>
      </c>
      <c r="BG3139" t="s">
        <v>8884</v>
      </c>
      <c r="BH3139" t="s">
        <v>8885</v>
      </c>
      <c r="BI3139" t="s">
        <v>8886</v>
      </c>
      <c r="BJ3139">
        <v>3.3090000000000001E-2</v>
      </c>
      <c r="BK3139">
        <v>1</v>
      </c>
      <c r="BL3139" t="s">
        <v>69</v>
      </c>
      <c r="BM3139">
        <v>-1.2949999999999999</v>
      </c>
      <c r="BN3139">
        <v>-3.2240000000000002</v>
      </c>
    </row>
    <row r="3140" spans="10:66">
      <c r="J3140">
        <v>0</v>
      </c>
      <c r="K3140">
        <v>0</v>
      </c>
      <c r="L3140">
        <v>0</v>
      </c>
      <c r="M3140" t="s">
        <v>25021</v>
      </c>
      <c r="N3140">
        <v>1420</v>
      </c>
      <c r="O3140" t="s">
        <v>8893</v>
      </c>
      <c r="P3140" t="s">
        <v>62</v>
      </c>
      <c r="Q3140">
        <v>1433679</v>
      </c>
      <c r="R3140">
        <v>1434461</v>
      </c>
      <c r="S3140" t="s">
        <v>8894</v>
      </c>
      <c r="T3140">
        <v>261</v>
      </c>
      <c r="U3140" t="s">
        <v>698</v>
      </c>
      <c r="V3140">
        <v>47</v>
      </c>
      <c r="W3140" t="str">
        <f>HYPERLINK("Gene1420-zp_tree_all.dnd", "Gene1420-tree")</f>
        <v>Gene1420-tree</v>
      </c>
      <c r="X3140">
        <v>11</v>
      </c>
      <c r="Y3140">
        <v>3</v>
      </c>
      <c r="Z3140">
        <v>11</v>
      </c>
      <c r="AA3140">
        <v>3</v>
      </c>
      <c r="AB3140">
        <v>0.21429000000000001</v>
      </c>
      <c r="AC3140" t="s">
        <v>73</v>
      </c>
      <c r="AD3140" t="s">
        <v>324</v>
      </c>
      <c r="AE3140" t="s">
        <v>62</v>
      </c>
      <c r="AF3140" t="s">
        <v>62</v>
      </c>
      <c r="AG3140">
        <v>0</v>
      </c>
      <c r="AH3140">
        <v>0</v>
      </c>
      <c r="AI3140">
        <v>6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3</v>
      </c>
      <c r="AT3140">
        <v>0</v>
      </c>
      <c r="AU3140">
        <v>11</v>
      </c>
      <c r="AV3140">
        <v>6</v>
      </c>
      <c r="AW3140">
        <v>20</v>
      </c>
      <c r="AX3140">
        <v>3</v>
      </c>
      <c r="AY3140">
        <v>34</v>
      </c>
      <c r="AZ3140">
        <v>4</v>
      </c>
      <c r="BA3140" t="s">
        <v>8895</v>
      </c>
      <c r="BB3140" t="s">
        <v>8896</v>
      </c>
      <c r="BC3140">
        <v>0.11</v>
      </c>
      <c r="BD3140" t="s">
        <v>65</v>
      </c>
      <c r="BE3140">
        <v>54</v>
      </c>
      <c r="BF3140">
        <v>7</v>
      </c>
      <c r="BG3140" t="s">
        <v>8897</v>
      </c>
      <c r="BH3140" t="s">
        <v>8898</v>
      </c>
      <c r="BI3140" t="s">
        <v>8899</v>
      </c>
      <c r="BJ3140">
        <v>3.1600000000000003E-2</v>
      </c>
      <c r="BK3140">
        <v>1</v>
      </c>
      <c r="BL3140" t="s">
        <v>69</v>
      </c>
      <c r="BM3140">
        <v>-1.464</v>
      </c>
      <c r="BN3140">
        <v>-0.23899999999999999</v>
      </c>
    </row>
    <row r="3141" spans="10:66">
      <c r="J3141">
        <v>0</v>
      </c>
      <c r="K3141">
        <v>0</v>
      </c>
      <c r="L3141">
        <v>0</v>
      </c>
      <c r="M3141" t="s">
        <v>25021</v>
      </c>
      <c r="N3141">
        <v>1421</v>
      </c>
      <c r="O3141" t="s">
        <v>8900</v>
      </c>
      <c r="P3141" t="s">
        <v>62</v>
      </c>
      <c r="Q3141">
        <v>1434436</v>
      </c>
      <c r="R3141">
        <v>1435245</v>
      </c>
      <c r="S3141" t="s">
        <v>8901</v>
      </c>
      <c r="T3141">
        <v>270</v>
      </c>
      <c r="U3141" t="s">
        <v>8902</v>
      </c>
      <c r="V3141">
        <v>45</v>
      </c>
      <c r="W3141" t="str">
        <f>HYPERLINK("Gene1421-zp_tree_all.dnd", "Gene1421-tree")</f>
        <v>Gene1421-tree</v>
      </c>
      <c r="X3141">
        <v>10</v>
      </c>
      <c r="Y3141">
        <v>3</v>
      </c>
      <c r="Z3141">
        <v>10</v>
      </c>
      <c r="AA3141">
        <v>3</v>
      </c>
      <c r="AB3141">
        <v>0.23077</v>
      </c>
      <c r="AC3141" t="s">
        <v>117</v>
      </c>
      <c r="AD3141" t="s">
        <v>324</v>
      </c>
      <c r="AE3141" t="s">
        <v>62</v>
      </c>
      <c r="AF3141" t="s">
        <v>62</v>
      </c>
      <c r="AG3141">
        <v>0</v>
      </c>
      <c r="AH3141">
        <v>0</v>
      </c>
      <c r="AI3141">
        <v>3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3</v>
      </c>
      <c r="AT3141">
        <v>0</v>
      </c>
      <c r="AU3141">
        <v>12</v>
      </c>
      <c r="AV3141">
        <v>8</v>
      </c>
      <c r="AW3141">
        <v>19</v>
      </c>
      <c r="AX3141">
        <v>3</v>
      </c>
      <c r="AY3141">
        <v>41</v>
      </c>
      <c r="AZ3141">
        <v>0</v>
      </c>
      <c r="BA3141" t="s">
        <v>8903</v>
      </c>
      <c r="BB3141" t="s">
        <v>193</v>
      </c>
      <c r="BC3141">
        <v>1.071</v>
      </c>
      <c r="BD3141" t="s">
        <v>65</v>
      </c>
      <c r="BE3141">
        <v>60</v>
      </c>
      <c r="BF3141">
        <v>3</v>
      </c>
      <c r="BG3141" t="s">
        <v>8904</v>
      </c>
      <c r="BH3141" t="s">
        <v>8905</v>
      </c>
      <c r="BI3141" t="s">
        <v>224</v>
      </c>
      <c r="BJ3141">
        <v>8.5100000000000002E-3</v>
      </c>
      <c r="BK3141">
        <v>1</v>
      </c>
      <c r="BL3141" t="s">
        <v>69</v>
      </c>
      <c r="BM3141">
        <v>-1.109</v>
      </c>
      <c r="BN3141">
        <v>0.40899999999999997</v>
      </c>
    </row>
    <row r="3142" spans="10:66">
      <c r="J3142">
        <v>0</v>
      </c>
      <c r="K3142">
        <v>12</v>
      </c>
      <c r="L3142">
        <v>1</v>
      </c>
      <c r="M3142" t="s">
        <v>25021</v>
      </c>
      <c r="N3142">
        <v>1422</v>
      </c>
      <c r="O3142" t="s">
        <v>8906</v>
      </c>
      <c r="P3142" t="s">
        <v>62</v>
      </c>
      <c r="Q3142">
        <v>1435631</v>
      </c>
      <c r="R3142">
        <v>1437727</v>
      </c>
      <c r="S3142" t="s">
        <v>8907</v>
      </c>
      <c r="T3142">
        <v>699</v>
      </c>
      <c r="U3142" t="s">
        <v>108</v>
      </c>
      <c r="V3142">
        <v>44</v>
      </c>
      <c r="W3142" t="str">
        <f>HYPERLINK("Gene1422-zp_tree_all.dnd", "Gene1422-tree")</f>
        <v>Gene1422-tree</v>
      </c>
      <c r="X3142">
        <v>7</v>
      </c>
      <c r="Y3142">
        <v>8</v>
      </c>
      <c r="Z3142">
        <v>7</v>
      </c>
      <c r="AA3142">
        <v>8</v>
      </c>
      <c r="AB3142">
        <v>0.53332999999999997</v>
      </c>
      <c r="AC3142" t="s">
        <v>152</v>
      </c>
      <c r="AD3142" t="s">
        <v>136</v>
      </c>
      <c r="AE3142" t="s">
        <v>62</v>
      </c>
      <c r="AF3142" t="s">
        <v>62</v>
      </c>
      <c r="AG3142">
        <v>6</v>
      </c>
      <c r="AH3142">
        <v>13</v>
      </c>
      <c r="AI3142">
        <v>10</v>
      </c>
      <c r="AJ3142">
        <v>0.56521999999999994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6</v>
      </c>
      <c r="AQ3142">
        <v>0</v>
      </c>
      <c r="AR3142">
        <v>6</v>
      </c>
      <c r="AS3142">
        <v>13</v>
      </c>
      <c r="AT3142">
        <v>0.31579000000000002</v>
      </c>
      <c r="AU3142">
        <v>15</v>
      </c>
      <c r="AV3142">
        <v>11</v>
      </c>
      <c r="AW3142">
        <v>79</v>
      </c>
      <c r="AX3142">
        <v>19</v>
      </c>
      <c r="AY3142">
        <v>37</v>
      </c>
      <c r="AZ3142">
        <v>4</v>
      </c>
      <c r="BA3142" t="s">
        <v>8908</v>
      </c>
      <c r="BB3142" t="s">
        <v>8909</v>
      </c>
      <c r="BC3142">
        <v>0.67500000000000004</v>
      </c>
      <c r="BD3142" t="s">
        <v>65</v>
      </c>
      <c r="BE3142">
        <v>116</v>
      </c>
      <c r="BF3142">
        <v>23</v>
      </c>
      <c r="BG3142" t="s">
        <v>8910</v>
      </c>
      <c r="BH3142" t="s">
        <v>8911</v>
      </c>
      <c r="BI3142" t="s">
        <v>8912</v>
      </c>
      <c r="BJ3142">
        <v>5.0900000000000001E-2</v>
      </c>
      <c r="BK3142">
        <v>1</v>
      </c>
      <c r="BL3142" t="s">
        <v>69</v>
      </c>
      <c r="BM3142">
        <v>-0.67600000000000005</v>
      </c>
      <c r="BN3142">
        <v>-2.2120000000000002</v>
      </c>
    </row>
    <row r="3143" spans="10:66">
      <c r="J3143">
        <v>0</v>
      </c>
      <c r="K3143">
        <v>10</v>
      </c>
      <c r="L3143">
        <v>1</v>
      </c>
      <c r="M3143" t="s">
        <v>25021</v>
      </c>
      <c r="N3143">
        <v>1428</v>
      </c>
      <c r="O3143" t="s">
        <v>8946</v>
      </c>
      <c r="P3143" t="s">
        <v>62</v>
      </c>
      <c r="Q3143">
        <v>1442350</v>
      </c>
      <c r="R3143">
        <v>1442703</v>
      </c>
      <c r="S3143" t="s">
        <v>8947</v>
      </c>
      <c r="T3143">
        <v>118</v>
      </c>
      <c r="U3143" t="s">
        <v>8948</v>
      </c>
      <c r="V3143">
        <v>40</v>
      </c>
      <c r="W3143" t="str">
        <f>HYPERLINK("Gene1428-zp_tree_all.dnd", "Gene1428-tree")</f>
        <v>Gene1428-tree</v>
      </c>
      <c r="X3143">
        <v>6</v>
      </c>
      <c r="Y3143">
        <v>9</v>
      </c>
      <c r="Z3143">
        <v>6</v>
      </c>
      <c r="AA3143">
        <v>9</v>
      </c>
      <c r="AB3143">
        <v>0.6</v>
      </c>
      <c r="AC3143" t="s">
        <v>90</v>
      </c>
      <c r="AD3143" t="s">
        <v>135</v>
      </c>
      <c r="AE3143" t="s">
        <v>62</v>
      </c>
      <c r="AF3143" t="s">
        <v>62</v>
      </c>
      <c r="AG3143">
        <v>4</v>
      </c>
      <c r="AH3143">
        <v>11</v>
      </c>
      <c r="AI3143">
        <v>5</v>
      </c>
      <c r="AJ3143">
        <v>0.6875</v>
      </c>
      <c r="AK3143">
        <v>0</v>
      </c>
      <c r="AL3143">
        <v>0</v>
      </c>
      <c r="AM3143">
        <v>0</v>
      </c>
      <c r="AN3143">
        <v>2</v>
      </c>
      <c r="AO3143">
        <v>0</v>
      </c>
      <c r="AP3143">
        <v>4</v>
      </c>
      <c r="AQ3143">
        <v>2</v>
      </c>
      <c r="AR3143">
        <v>6</v>
      </c>
      <c r="AS3143">
        <v>5</v>
      </c>
      <c r="AT3143">
        <v>0.54544999999999999</v>
      </c>
      <c r="AU3143">
        <v>9</v>
      </c>
      <c r="AV3143">
        <v>8</v>
      </c>
      <c r="AW3143">
        <v>6</v>
      </c>
      <c r="AX3143">
        <v>9</v>
      </c>
      <c r="AY3143">
        <v>3</v>
      </c>
      <c r="AZ3143">
        <v>7</v>
      </c>
      <c r="BA3143" t="s">
        <v>8949</v>
      </c>
      <c r="BB3143" t="s">
        <v>8950</v>
      </c>
      <c r="BC3143">
        <v>0.53100000000000003</v>
      </c>
      <c r="BD3143" t="s">
        <v>65</v>
      </c>
      <c r="BE3143">
        <v>9</v>
      </c>
      <c r="BF3143">
        <v>16</v>
      </c>
      <c r="BG3143" t="s">
        <v>8951</v>
      </c>
      <c r="BH3143" t="s">
        <v>8952</v>
      </c>
      <c r="BI3143" t="s">
        <v>8953</v>
      </c>
      <c r="BJ3143">
        <v>0.45195999999999997</v>
      </c>
      <c r="BK3143">
        <v>0.81799999999999995</v>
      </c>
      <c r="BL3143" t="s">
        <v>635</v>
      </c>
      <c r="BM3143">
        <v>-1.1140000000000001</v>
      </c>
      <c r="BN3143">
        <v>-0.15</v>
      </c>
    </row>
    <row r="3144" spans="10:66">
      <c r="J3144">
        <v>0</v>
      </c>
      <c r="K3144">
        <v>0</v>
      </c>
      <c r="L3144">
        <v>0</v>
      </c>
      <c r="M3144" t="s">
        <v>25021</v>
      </c>
      <c r="N3144">
        <v>1435</v>
      </c>
      <c r="O3144" t="s">
        <v>8984</v>
      </c>
      <c r="P3144" t="s">
        <v>62</v>
      </c>
      <c r="Q3144">
        <v>1447665</v>
      </c>
      <c r="R3144">
        <v>1447847</v>
      </c>
      <c r="S3144" t="s">
        <v>8985</v>
      </c>
      <c r="T3144">
        <v>61</v>
      </c>
      <c r="U3144" t="s">
        <v>698</v>
      </c>
      <c r="V3144">
        <v>47</v>
      </c>
      <c r="W3144" t="str">
        <f>HYPERLINK("Gene1435-zp_tree_all.dnd", "Gene1435-tree")</f>
        <v>Gene1435-tree</v>
      </c>
      <c r="X3144">
        <v>5</v>
      </c>
      <c r="Y3144">
        <v>1</v>
      </c>
      <c r="Z3144">
        <v>5</v>
      </c>
      <c r="AA3144">
        <v>1</v>
      </c>
      <c r="AB3144">
        <v>0.16667000000000001</v>
      </c>
      <c r="AC3144" t="s">
        <v>199</v>
      </c>
      <c r="AD3144" t="s">
        <v>175</v>
      </c>
      <c r="AE3144" t="s">
        <v>62</v>
      </c>
      <c r="AF3144" t="s">
        <v>62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5</v>
      </c>
      <c r="AV3144">
        <v>1</v>
      </c>
      <c r="AW3144">
        <v>5</v>
      </c>
      <c r="AX3144">
        <v>1</v>
      </c>
      <c r="AY3144">
        <v>3</v>
      </c>
      <c r="AZ3144">
        <v>0</v>
      </c>
      <c r="BA3144" t="s">
        <v>8986</v>
      </c>
      <c r="BB3144" t="s">
        <v>193</v>
      </c>
      <c r="BC3144">
        <v>0.50700000000000001</v>
      </c>
      <c r="BD3144" t="s">
        <v>65</v>
      </c>
      <c r="BE3144">
        <v>8</v>
      </c>
      <c r="BF3144">
        <v>1</v>
      </c>
      <c r="BG3144" t="s">
        <v>8987</v>
      </c>
      <c r="BH3144" t="s">
        <v>8988</v>
      </c>
      <c r="BI3144" t="s">
        <v>8989</v>
      </c>
      <c r="BJ3144">
        <v>2.7109999999999999E-2</v>
      </c>
      <c r="BK3144">
        <v>1</v>
      </c>
      <c r="BL3144" t="s">
        <v>69</v>
      </c>
      <c r="BM3144">
        <v>-1.6439999999999999</v>
      </c>
      <c r="BN3144">
        <v>-0.59699999999999998</v>
      </c>
    </row>
    <row r="3145" spans="10:66">
      <c r="J3145">
        <v>0</v>
      </c>
      <c r="K3145">
        <v>12</v>
      </c>
      <c r="L3145">
        <v>4</v>
      </c>
      <c r="M3145" t="s">
        <v>25021</v>
      </c>
      <c r="N3145">
        <v>1449</v>
      </c>
      <c r="O3145" t="s">
        <v>9078</v>
      </c>
      <c r="P3145" t="s">
        <v>62</v>
      </c>
      <c r="Q3145">
        <v>1462816</v>
      </c>
      <c r="R3145">
        <v>1463493</v>
      </c>
      <c r="S3145" t="s">
        <v>9079</v>
      </c>
      <c r="T3145">
        <v>226</v>
      </c>
      <c r="U3145" t="s">
        <v>108</v>
      </c>
      <c r="V3145">
        <v>44</v>
      </c>
      <c r="W3145" t="str">
        <f>HYPERLINK("Gene1449-zp_tree_all.dnd", "Gene1449-tree")</f>
        <v>Gene1449-tree</v>
      </c>
      <c r="X3145">
        <v>3</v>
      </c>
      <c r="Y3145">
        <v>11</v>
      </c>
      <c r="Z3145">
        <v>3</v>
      </c>
      <c r="AA3145">
        <v>11</v>
      </c>
      <c r="AB3145">
        <v>0.78571000000000002</v>
      </c>
      <c r="AC3145" t="s">
        <v>324</v>
      </c>
      <c r="AD3145" t="s">
        <v>73</v>
      </c>
      <c r="AE3145">
        <v>305230034.74400002</v>
      </c>
      <c r="AF3145" t="s">
        <v>267</v>
      </c>
      <c r="AG3145">
        <v>5</v>
      </c>
      <c r="AH3145">
        <v>16</v>
      </c>
      <c r="AI3145">
        <v>19</v>
      </c>
      <c r="AJ3145">
        <v>0.45713999999999999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5</v>
      </c>
      <c r="AQ3145">
        <v>3</v>
      </c>
      <c r="AR3145">
        <v>8</v>
      </c>
      <c r="AS3145">
        <v>20</v>
      </c>
      <c r="AT3145">
        <v>0.28571000000000002</v>
      </c>
      <c r="AU3145">
        <v>12</v>
      </c>
      <c r="AV3145">
        <v>10</v>
      </c>
      <c r="AW3145">
        <v>17</v>
      </c>
      <c r="AX3145">
        <v>27</v>
      </c>
      <c r="AY3145">
        <v>15</v>
      </c>
      <c r="AZ3145">
        <v>8</v>
      </c>
      <c r="BA3145" t="s">
        <v>9080</v>
      </c>
      <c r="BB3145" t="s">
        <v>9081</v>
      </c>
      <c r="BC3145">
        <v>1.4</v>
      </c>
      <c r="BD3145" t="s">
        <v>65</v>
      </c>
      <c r="BE3145">
        <v>32</v>
      </c>
      <c r="BF3145">
        <v>35</v>
      </c>
      <c r="BG3145" t="s">
        <v>9082</v>
      </c>
      <c r="BH3145" t="s">
        <v>9083</v>
      </c>
      <c r="BI3145" t="s">
        <v>9084</v>
      </c>
      <c r="BJ3145">
        <v>0.23533999999999999</v>
      </c>
      <c r="BK3145">
        <v>1</v>
      </c>
      <c r="BL3145" t="s">
        <v>69</v>
      </c>
      <c r="BM3145">
        <v>-0.104</v>
      </c>
      <c r="BN3145">
        <v>-1.179</v>
      </c>
    </row>
    <row r="3146" spans="10:66">
      <c r="J3146">
        <v>0</v>
      </c>
      <c r="K3146">
        <v>2</v>
      </c>
      <c r="L3146">
        <v>0</v>
      </c>
      <c r="M3146" t="s">
        <v>25021</v>
      </c>
      <c r="N3146">
        <v>1452</v>
      </c>
      <c r="O3146" t="s">
        <v>9099</v>
      </c>
      <c r="P3146" t="s">
        <v>62</v>
      </c>
      <c r="Q3146">
        <v>1466641</v>
      </c>
      <c r="R3146">
        <v>1467411</v>
      </c>
      <c r="S3146" t="s">
        <v>288</v>
      </c>
      <c r="T3146">
        <v>257</v>
      </c>
      <c r="U3146" t="s">
        <v>2289</v>
      </c>
      <c r="V3146">
        <v>37</v>
      </c>
      <c r="W3146" t="str">
        <f>HYPERLINK("Gene1452-zp_tree_all.dnd", "Gene1452-tree")</f>
        <v>Gene1452-tree</v>
      </c>
      <c r="X3146">
        <v>11</v>
      </c>
      <c r="Y3146">
        <v>2</v>
      </c>
      <c r="Z3146">
        <v>11</v>
      </c>
      <c r="AA3146">
        <v>2</v>
      </c>
      <c r="AB3146">
        <v>0.15384999999999999</v>
      </c>
      <c r="AC3146" t="s">
        <v>73</v>
      </c>
      <c r="AD3146" t="s">
        <v>81</v>
      </c>
      <c r="AE3146" t="s">
        <v>62</v>
      </c>
      <c r="AF3146" t="s">
        <v>62</v>
      </c>
      <c r="AG3146">
        <v>1</v>
      </c>
      <c r="AH3146">
        <v>2</v>
      </c>
      <c r="AI3146">
        <v>6</v>
      </c>
      <c r="AJ3146">
        <v>0.25</v>
      </c>
      <c r="AK3146">
        <v>0</v>
      </c>
      <c r="AL3146">
        <v>0</v>
      </c>
      <c r="AM3146">
        <v>0</v>
      </c>
      <c r="AN3146">
        <v>3</v>
      </c>
      <c r="AO3146">
        <v>0</v>
      </c>
      <c r="AP3146">
        <v>0</v>
      </c>
      <c r="AQ3146">
        <v>0</v>
      </c>
      <c r="AR3146">
        <v>0</v>
      </c>
      <c r="AS3146">
        <v>4</v>
      </c>
      <c r="AT3146">
        <v>0</v>
      </c>
      <c r="AU3146">
        <v>9</v>
      </c>
      <c r="AV3146">
        <v>8</v>
      </c>
      <c r="AW3146">
        <v>10</v>
      </c>
      <c r="AX3146">
        <v>4</v>
      </c>
      <c r="AY3146">
        <v>15</v>
      </c>
      <c r="AZ3146">
        <v>4</v>
      </c>
      <c r="BA3146" t="s">
        <v>9100</v>
      </c>
      <c r="BB3146" t="s">
        <v>9101</v>
      </c>
      <c r="BC3146">
        <v>0.21</v>
      </c>
      <c r="BD3146" t="s">
        <v>65</v>
      </c>
      <c r="BE3146">
        <v>25</v>
      </c>
      <c r="BF3146">
        <v>8</v>
      </c>
      <c r="BG3146" t="s">
        <v>9102</v>
      </c>
      <c r="BH3146" t="s">
        <v>9103</v>
      </c>
      <c r="BI3146" t="s">
        <v>9104</v>
      </c>
      <c r="BJ3146">
        <v>7.1300000000000002E-2</v>
      </c>
      <c r="BK3146">
        <v>1</v>
      </c>
      <c r="BL3146" t="s">
        <v>69</v>
      </c>
      <c r="BM3146">
        <v>-0.72199999999999998</v>
      </c>
      <c r="BN3146">
        <v>-0.45900000000000002</v>
      </c>
    </row>
    <row r="3147" spans="10:66">
      <c r="J3147">
        <v>0</v>
      </c>
      <c r="K3147">
        <v>2</v>
      </c>
      <c r="L3147">
        <v>0</v>
      </c>
      <c r="M3147" t="s">
        <v>25021</v>
      </c>
      <c r="N3147">
        <v>1455</v>
      </c>
      <c r="O3147" t="s">
        <v>9113</v>
      </c>
      <c r="P3147" t="s">
        <v>62</v>
      </c>
      <c r="Q3147">
        <v>1471860</v>
      </c>
      <c r="R3147">
        <v>1473038</v>
      </c>
      <c r="S3147" t="s">
        <v>9114</v>
      </c>
      <c r="T3147">
        <v>393</v>
      </c>
      <c r="U3147" t="s">
        <v>108</v>
      </c>
      <c r="V3147">
        <v>44</v>
      </c>
      <c r="W3147" t="str">
        <f>HYPERLINK("Gene1455-zp_tree_all.dnd", "Gene1455-tree")</f>
        <v>Gene1455-tree</v>
      </c>
      <c r="X3147">
        <v>11</v>
      </c>
      <c r="Y3147">
        <v>2</v>
      </c>
      <c r="Z3147">
        <v>11</v>
      </c>
      <c r="AA3147">
        <v>2</v>
      </c>
      <c r="AB3147">
        <v>0.15384999999999999</v>
      </c>
      <c r="AC3147" t="s">
        <v>73</v>
      </c>
      <c r="AD3147" t="s">
        <v>81</v>
      </c>
      <c r="AE3147" t="s">
        <v>62</v>
      </c>
      <c r="AF3147" t="s">
        <v>62</v>
      </c>
      <c r="AG3147">
        <v>1</v>
      </c>
      <c r="AH3147">
        <v>2</v>
      </c>
      <c r="AI3147">
        <v>6</v>
      </c>
      <c r="AJ3147">
        <v>0.25</v>
      </c>
      <c r="AK3147">
        <v>0</v>
      </c>
      <c r="AL3147">
        <v>0</v>
      </c>
      <c r="AM3147">
        <v>0</v>
      </c>
      <c r="AN3147">
        <v>3</v>
      </c>
      <c r="AO3147">
        <v>0</v>
      </c>
      <c r="AP3147">
        <v>2</v>
      </c>
      <c r="AQ3147">
        <v>0</v>
      </c>
      <c r="AR3147">
        <v>2</v>
      </c>
      <c r="AS3147">
        <v>1</v>
      </c>
      <c r="AT3147">
        <v>0.66666999999999998</v>
      </c>
      <c r="AU3147">
        <v>11</v>
      </c>
      <c r="AV3147">
        <v>7</v>
      </c>
      <c r="AW3147">
        <v>51</v>
      </c>
      <c r="AX3147">
        <v>3</v>
      </c>
      <c r="AY3147">
        <v>19</v>
      </c>
      <c r="AZ3147">
        <v>5</v>
      </c>
      <c r="BA3147" t="s">
        <v>9115</v>
      </c>
      <c r="BB3147" t="s">
        <v>9116</v>
      </c>
      <c r="BC3147">
        <v>1.01</v>
      </c>
      <c r="BD3147" t="s">
        <v>65</v>
      </c>
      <c r="BE3147">
        <v>70</v>
      </c>
      <c r="BF3147">
        <v>8</v>
      </c>
      <c r="BG3147" t="s">
        <v>9117</v>
      </c>
      <c r="BH3147" t="s">
        <v>9118</v>
      </c>
      <c r="BI3147" t="s">
        <v>9119</v>
      </c>
      <c r="BJ3147">
        <v>5.2150000000000002E-2</v>
      </c>
      <c r="BK3147">
        <v>1</v>
      </c>
      <c r="BL3147" t="s">
        <v>69</v>
      </c>
      <c r="BM3147">
        <v>0.39200000000000002</v>
      </c>
      <c r="BN3147">
        <v>-0.122</v>
      </c>
    </row>
    <row r="3148" spans="10:66">
      <c r="J3148">
        <v>0</v>
      </c>
      <c r="K3148">
        <v>0</v>
      </c>
      <c r="L3148">
        <v>0</v>
      </c>
      <c r="M3148" t="s">
        <v>25021</v>
      </c>
      <c r="N3148">
        <v>1456</v>
      </c>
      <c r="O3148" t="s">
        <v>9120</v>
      </c>
      <c r="P3148" t="s">
        <v>62</v>
      </c>
      <c r="Q3148">
        <v>1473243</v>
      </c>
      <c r="R3148">
        <v>1473401</v>
      </c>
      <c r="S3148" t="s">
        <v>2302</v>
      </c>
      <c r="T3148">
        <v>53</v>
      </c>
      <c r="U3148" t="s">
        <v>698</v>
      </c>
      <c r="V3148">
        <v>47</v>
      </c>
      <c r="W3148" t="str">
        <f>HYPERLINK("Gene1456-zp_tree_all.dnd", "Gene1456-tree")</f>
        <v>Gene1456-tree</v>
      </c>
      <c r="X3148">
        <v>2</v>
      </c>
      <c r="Y3148">
        <v>2</v>
      </c>
      <c r="Z3148">
        <v>2</v>
      </c>
      <c r="AA3148">
        <v>2</v>
      </c>
      <c r="AB3148">
        <v>0.5</v>
      </c>
      <c r="AC3148" t="s">
        <v>81</v>
      </c>
      <c r="AD3148" t="s">
        <v>81</v>
      </c>
      <c r="AE3148" t="s">
        <v>62</v>
      </c>
      <c r="AF3148" t="s">
        <v>62</v>
      </c>
      <c r="AG3148">
        <v>0</v>
      </c>
      <c r="AH3148">
        <v>0</v>
      </c>
      <c r="AI3148">
        <v>4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4</v>
      </c>
      <c r="AT3148">
        <v>0</v>
      </c>
      <c r="AU3148">
        <v>3</v>
      </c>
      <c r="AV3148">
        <v>0</v>
      </c>
      <c r="AW3148">
        <v>6</v>
      </c>
      <c r="AX3148">
        <v>4</v>
      </c>
      <c r="AY3148">
        <v>0</v>
      </c>
      <c r="AZ3148">
        <v>0</v>
      </c>
      <c r="BA3148" t="s">
        <v>9121</v>
      </c>
      <c r="BB3148" t="s">
        <v>193</v>
      </c>
      <c r="BC3148">
        <v>0.82499999999999996</v>
      </c>
      <c r="BD3148" t="s">
        <v>65</v>
      </c>
      <c r="BE3148">
        <v>6</v>
      </c>
      <c r="BF3148">
        <v>4</v>
      </c>
      <c r="BG3148" t="s">
        <v>9122</v>
      </c>
      <c r="BH3148" t="s">
        <v>9123</v>
      </c>
      <c r="BI3148" t="s">
        <v>9124</v>
      </c>
      <c r="BJ3148">
        <v>0.14693999999999999</v>
      </c>
      <c r="BK3148">
        <v>0.98899999999999999</v>
      </c>
      <c r="BL3148" t="s">
        <v>69</v>
      </c>
      <c r="BM3148">
        <v>-1.484</v>
      </c>
      <c r="BN3148">
        <v>0.79500000000000004</v>
      </c>
    </row>
    <row r="3149" spans="10:66">
      <c r="J3149">
        <v>0</v>
      </c>
      <c r="K3149">
        <v>0</v>
      </c>
      <c r="L3149">
        <v>0</v>
      </c>
      <c r="M3149" t="s">
        <v>25021</v>
      </c>
      <c r="N3149">
        <v>1458</v>
      </c>
      <c r="O3149" t="s">
        <v>9132</v>
      </c>
      <c r="P3149" t="s">
        <v>62</v>
      </c>
      <c r="Q3149">
        <v>1474563</v>
      </c>
      <c r="R3149">
        <v>1475024</v>
      </c>
      <c r="S3149" t="s">
        <v>9133</v>
      </c>
      <c r="T3149">
        <v>154</v>
      </c>
      <c r="U3149" t="s">
        <v>59</v>
      </c>
      <c r="V3149">
        <v>49</v>
      </c>
      <c r="W3149" t="str">
        <f>HYPERLINK("Gene1458-zp_tree_all.dnd", "Gene1458-tree")</f>
        <v>Gene1458-tree</v>
      </c>
      <c r="X3149">
        <v>24</v>
      </c>
      <c r="Y3149">
        <v>5</v>
      </c>
      <c r="Z3149">
        <v>5</v>
      </c>
      <c r="AA3149">
        <v>5</v>
      </c>
      <c r="AB3149">
        <v>0.5</v>
      </c>
      <c r="AC3149" t="s">
        <v>2668</v>
      </c>
      <c r="AD3149" t="s">
        <v>199</v>
      </c>
      <c r="AE3149" t="s">
        <v>62</v>
      </c>
      <c r="AF3149" t="s">
        <v>62</v>
      </c>
      <c r="AG3149">
        <v>0</v>
      </c>
      <c r="AH3149">
        <v>0</v>
      </c>
      <c r="AI3149">
        <v>5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4</v>
      </c>
      <c r="AT3149">
        <v>0</v>
      </c>
      <c r="AU3149">
        <v>7</v>
      </c>
      <c r="AV3149">
        <v>5</v>
      </c>
      <c r="AW3149">
        <v>5</v>
      </c>
      <c r="AX3149">
        <v>4</v>
      </c>
      <c r="AY3149">
        <v>10</v>
      </c>
      <c r="AZ3149">
        <v>1</v>
      </c>
      <c r="BA3149" t="s">
        <v>9134</v>
      </c>
      <c r="BB3149" t="s">
        <v>9135</v>
      </c>
      <c r="BC3149">
        <v>1.2749999999999999</v>
      </c>
      <c r="BD3149" t="s">
        <v>65</v>
      </c>
      <c r="BE3149">
        <v>15</v>
      </c>
      <c r="BF3149">
        <v>5</v>
      </c>
      <c r="BG3149" t="s">
        <v>9136</v>
      </c>
      <c r="BH3149" t="s">
        <v>9137</v>
      </c>
      <c r="BI3149" t="s">
        <v>9138</v>
      </c>
      <c r="BJ3149">
        <v>6.3740000000000005E-2</v>
      </c>
      <c r="BK3149">
        <v>1</v>
      </c>
      <c r="BL3149" t="s">
        <v>69</v>
      </c>
      <c r="BM3149">
        <v>-1.51</v>
      </c>
      <c r="BN3149">
        <v>-1.397</v>
      </c>
    </row>
    <row r="3150" spans="10:66">
      <c r="J3150">
        <v>0</v>
      </c>
      <c r="K3150">
        <v>2</v>
      </c>
      <c r="L3150">
        <v>0</v>
      </c>
      <c r="M3150" t="s">
        <v>25021</v>
      </c>
      <c r="N3150">
        <v>1459</v>
      </c>
      <c r="O3150" t="s">
        <v>9139</v>
      </c>
      <c r="P3150" t="s">
        <v>62</v>
      </c>
      <c r="Q3150">
        <v>1475153</v>
      </c>
      <c r="R3150">
        <v>1476442</v>
      </c>
      <c r="S3150" t="s">
        <v>2569</v>
      </c>
      <c r="T3150">
        <v>430</v>
      </c>
      <c r="U3150" t="s">
        <v>108</v>
      </c>
      <c r="V3150">
        <v>44</v>
      </c>
      <c r="W3150" t="str">
        <f>HYPERLINK("Gene1459-zp_tree_all.dnd", "Gene1459-tree")</f>
        <v>Gene1459-tree</v>
      </c>
      <c r="X3150">
        <v>12</v>
      </c>
      <c r="Y3150">
        <v>4</v>
      </c>
      <c r="Z3150">
        <v>12</v>
      </c>
      <c r="AA3150">
        <v>4</v>
      </c>
      <c r="AB3150">
        <v>0.25</v>
      </c>
      <c r="AC3150" t="s">
        <v>109</v>
      </c>
      <c r="AD3150" t="s">
        <v>61</v>
      </c>
      <c r="AE3150" t="s">
        <v>62</v>
      </c>
      <c r="AF3150" t="s">
        <v>62</v>
      </c>
      <c r="AG3150">
        <v>1</v>
      </c>
      <c r="AH3150">
        <v>2</v>
      </c>
      <c r="AI3150">
        <v>6</v>
      </c>
      <c r="AJ3150">
        <v>0.25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6</v>
      </c>
      <c r="AT3150">
        <v>0</v>
      </c>
      <c r="AU3150">
        <v>12</v>
      </c>
      <c r="AV3150">
        <v>10</v>
      </c>
      <c r="AW3150">
        <v>46</v>
      </c>
      <c r="AX3150">
        <v>6</v>
      </c>
      <c r="AY3150">
        <v>29</v>
      </c>
      <c r="AZ3150">
        <v>2</v>
      </c>
      <c r="BA3150" t="s">
        <v>9140</v>
      </c>
      <c r="BB3150" t="s">
        <v>9141</v>
      </c>
      <c r="BC3150">
        <v>0.42</v>
      </c>
      <c r="BD3150" t="s">
        <v>65</v>
      </c>
      <c r="BE3150">
        <v>75</v>
      </c>
      <c r="BF3150">
        <v>8</v>
      </c>
      <c r="BG3150" t="s">
        <v>9142</v>
      </c>
      <c r="BH3150" t="s">
        <v>9143</v>
      </c>
      <c r="BI3150" t="s">
        <v>5341</v>
      </c>
      <c r="BJ3150">
        <v>3.0620000000000001E-2</v>
      </c>
      <c r="BK3150">
        <v>1</v>
      </c>
      <c r="BL3150" t="s">
        <v>69</v>
      </c>
      <c r="BM3150">
        <v>-0.60099999999999998</v>
      </c>
      <c r="BN3150">
        <v>-1.407</v>
      </c>
    </row>
    <row r="3151" spans="10:66">
      <c r="J3151">
        <v>0</v>
      </c>
      <c r="K3151">
        <v>0</v>
      </c>
      <c r="L3151">
        <v>0</v>
      </c>
      <c r="M3151" t="s">
        <v>25021</v>
      </c>
      <c r="N3151">
        <v>1460</v>
      </c>
      <c r="O3151" t="s">
        <v>9144</v>
      </c>
      <c r="P3151" t="s">
        <v>62</v>
      </c>
      <c r="Q3151">
        <v>1476521</v>
      </c>
      <c r="R3151">
        <v>1477012</v>
      </c>
      <c r="S3151" t="s">
        <v>9145</v>
      </c>
      <c r="T3151">
        <v>164</v>
      </c>
      <c r="U3151" t="s">
        <v>465</v>
      </c>
      <c r="V3151">
        <v>46</v>
      </c>
      <c r="W3151" t="str">
        <f>HYPERLINK("Gene1460-zp_tree_all.dnd", "Gene1460-tree")</f>
        <v>Gene1460-tree</v>
      </c>
      <c r="X3151">
        <v>12</v>
      </c>
      <c r="Y3151">
        <v>3</v>
      </c>
      <c r="Z3151">
        <v>12</v>
      </c>
      <c r="AA3151">
        <v>3</v>
      </c>
      <c r="AB3151">
        <v>0.2</v>
      </c>
      <c r="AC3151" t="s">
        <v>109</v>
      </c>
      <c r="AD3151" t="s">
        <v>324</v>
      </c>
      <c r="AE3151" t="s">
        <v>62</v>
      </c>
      <c r="AF3151" t="s">
        <v>62</v>
      </c>
      <c r="AG3151">
        <v>0</v>
      </c>
      <c r="AH3151">
        <v>0</v>
      </c>
      <c r="AI3151">
        <v>6</v>
      </c>
      <c r="AJ3151">
        <v>0</v>
      </c>
      <c r="AK3151">
        <v>0</v>
      </c>
      <c r="AL3151">
        <v>0</v>
      </c>
      <c r="AM3151">
        <v>0</v>
      </c>
      <c r="AN3151">
        <v>3</v>
      </c>
      <c r="AO3151">
        <v>0</v>
      </c>
      <c r="AP3151">
        <v>0</v>
      </c>
      <c r="AQ3151">
        <v>0</v>
      </c>
      <c r="AR3151">
        <v>0</v>
      </c>
      <c r="AS3151">
        <v>3</v>
      </c>
      <c r="AT3151">
        <v>0</v>
      </c>
      <c r="AU3151">
        <v>11</v>
      </c>
      <c r="AV3151">
        <v>5</v>
      </c>
      <c r="AW3151">
        <v>12</v>
      </c>
      <c r="AX3151">
        <v>3</v>
      </c>
      <c r="AY3151">
        <v>17</v>
      </c>
      <c r="AZ3151">
        <v>3</v>
      </c>
      <c r="BA3151" t="s">
        <v>9146</v>
      </c>
      <c r="BB3151" t="s">
        <v>9147</v>
      </c>
      <c r="BC3151">
        <v>0.161</v>
      </c>
      <c r="BD3151" t="s">
        <v>65</v>
      </c>
      <c r="BE3151">
        <v>29</v>
      </c>
      <c r="BF3151">
        <v>6</v>
      </c>
      <c r="BG3151" t="s">
        <v>9148</v>
      </c>
      <c r="BH3151" t="s">
        <v>9149</v>
      </c>
      <c r="BI3151" t="s">
        <v>9150</v>
      </c>
      <c r="BJ3151">
        <v>6.1100000000000002E-2</v>
      </c>
      <c r="BK3151">
        <v>1</v>
      </c>
      <c r="BL3151" t="s">
        <v>69</v>
      </c>
      <c r="BM3151">
        <v>-1.4450000000000001</v>
      </c>
      <c r="BN3151">
        <v>-0.45300000000000001</v>
      </c>
    </row>
    <row r="3152" spans="10:66">
      <c r="J3152">
        <v>0</v>
      </c>
      <c r="K3152">
        <v>0</v>
      </c>
      <c r="L3152">
        <v>0</v>
      </c>
      <c r="M3152" t="s">
        <v>25021</v>
      </c>
      <c r="N3152">
        <v>1461</v>
      </c>
      <c r="O3152" t="s">
        <v>9151</v>
      </c>
      <c r="P3152" t="s">
        <v>62</v>
      </c>
      <c r="Q3152">
        <v>1477072</v>
      </c>
      <c r="R3152">
        <v>1477929</v>
      </c>
      <c r="S3152" t="s">
        <v>9152</v>
      </c>
      <c r="T3152">
        <v>286</v>
      </c>
      <c r="U3152" t="s">
        <v>108</v>
      </c>
      <c r="V3152">
        <v>44</v>
      </c>
      <c r="W3152" t="str">
        <f>HYPERLINK("Gene1461-zp_tree_all.dnd", "Gene1461-tree")</f>
        <v>Gene1461-tree</v>
      </c>
      <c r="X3152">
        <v>30</v>
      </c>
      <c r="Y3152">
        <v>4</v>
      </c>
      <c r="Z3152">
        <v>11</v>
      </c>
      <c r="AA3152">
        <v>4</v>
      </c>
      <c r="AB3152">
        <v>0.26667000000000002</v>
      </c>
      <c r="AC3152" t="s">
        <v>89</v>
      </c>
      <c r="AD3152" t="s">
        <v>61</v>
      </c>
      <c r="AE3152" t="s">
        <v>62</v>
      </c>
      <c r="AF3152" t="s">
        <v>62</v>
      </c>
      <c r="AG3152">
        <v>0</v>
      </c>
      <c r="AH3152">
        <v>0</v>
      </c>
      <c r="AI3152">
        <v>7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5</v>
      </c>
      <c r="AT3152">
        <v>0</v>
      </c>
      <c r="AU3152">
        <v>12</v>
      </c>
      <c r="AV3152">
        <v>6</v>
      </c>
      <c r="AW3152">
        <v>24</v>
      </c>
      <c r="AX3152">
        <v>5</v>
      </c>
      <c r="AY3152">
        <v>11</v>
      </c>
      <c r="AZ3152">
        <v>2</v>
      </c>
      <c r="BA3152" t="s">
        <v>9153</v>
      </c>
      <c r="BB3152" t="s">
        <v>9154</v>
      </c>
      <c r="BC3152">
        <v>0.106</v>
      </c>
      <c r="BD3152" t="s">
        <v>65</v>
      </c>
      <c r="BE3152">
        <v>35</v>
      </c>
      <c r="BF3152">
        <v>7</v>
      </c>
      <c r="BG3152" t="s">
        <v>9155</v>
      </c>
      <c r="BH3152" t="s">
        <v>9156</v>
      </c>
      <c r="BI3152" t="s">
        <v>9157</v>
      </c>
      <c r="BJ3152">
        <v>7.0910000000000001E-2</v>
      </c>
      <c r="BK3152">
        <v>1</v>
      </c>
      <c r="BL3152" t="s">
        <v>69</v>
      </c>
      <c r="BM3152">
        <v>-1.794</v>
      </c>
      <c r="BN3152">
        <v>-2.42</v>
      </c>
    </row>
    <row r="3153" spans="10:66">
      <c r="J3153">
        <v>0</v>
      </c>
      <c r="K3153">
        <v>0</v>
      </c>
      <c r="L3153">
        <v>0</v>
      </c>
      <c r="M3153" t="s">
        <v>25021</v>
      </c>
      <c r="N3153">
        <v>1478</v>
      </c>
      <c r="O3153" t="s">
        <v>9236</v>
      </c>
      <c r="P3153" t="s">
        <v>62</v>
      </c>
      <c r="Q3153">
        <v>1491224</v>
      </c>
      <c r="R3153">
        <v>1492024</v>
      </c>
      <c r="S3153" t="s">
        <v>9237</v>
      </c>
      <c r="T3153">
        <v>267</v>
      </c>
      <c r="U3153" t="s">
        <v>108</v>
      </c>
      <c r="V3153">
        <v>44</v>
      </c>
      <c r="W3153" t="str">
        <f>HYPERLINK("Gene1478-zp_tree_all.dnd", "Gene1478-tree")</f>
        <v>Gene1478-tree</v>
      </c>
      <c r="X3153">
        <v>11</v>
      </c>
      <c r="Y3153">
        <v>3</v>
      </c>
      <c r="Z3153">
        <v>11</v>
      </c>
      <c r="AA3153">
        <v>3</v>
      </c>
      <c r="AB3153">
        <v>0.21429000000000001</v>
      </c>
      <c r="AC3153" t="s">
        <v>73</v>
      </c>
      <c r="AD3153" t="s">
        <v>324</v>
      </c>
      <c r="AE3153" t="s">
        <v>62</v>
      </c>
      <c r="AF3153" t="s">
        <v>62</v>
      </c>
      <c r="AG3153">
        <v>0</v>
      </c>
      <c r="AH3153">
        <v>0</v>
      </c>
      <c r="AI3153">
        <v>3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3</v>
      </c>
      <c r="AT3153">
        <v>0</v>
      </c>
      <c r="AU3153">
        <v>11</v>
      </c>
      <c r="AV3153">
        <v>8</v>
      </c>
      <c r="AW3153">
        <v>19</v>
      </c>
      <c r="AX3153">
        <v>3</v>
      </c>
      <c r="AY3153">
        <v>16</v>
      </c>
      <c r="AZ3153">
        <v>0</v>
      </c>
      <c r="BA3153" t="s">
        <v>9238</v>
      </c>
      <c r="BB3153" t="s">
        <v>193</v>
      </c>
      <c r="BC3153">
        <v>0.99</v>
      </c>
      <c r="BD3153" t="s">
        <v>65</v>
      </c>
      <c r="BE3153">
        <v>35</v>
      </c>
      <c r="BF3153">
        <v>3</v>
      </c>
      <c r="BG3153" t="s">
        <v>9239</v>
      </c>
      <c r="BH3153" t="s">
        <v>9240</v>
      </c>
      <c r="BI3153" t="s">
        <v>9241</v>
      </c>
      <c r="BJ3153">
        <v>1.3899999999999999E-2</v>
      </c>
      <c r="BK3153">
        <v>1</v>
      </c>
      <c r="BL3153" t="s">
        <v>69</v>
      </c>
      <c r="BM3153">
        <v>1.9E-2</v>
      </c>
      <c r="BN3153">
        <v>-0.65400000000000003</v>
      </c>
    </row>
    <row r="3154" spans="10:66">
      <c r="J3154">
        <v>0</v>
      </c>
      <c r="K3154">
        <v>8</v>
      </c>
      <c r="L3154">
        <v>0</v>
      </c>
      <c r="M3154" t="s">
        <v>25021</v>
      </c>
      <c r="N3154">
        <v>1482</v>
      </c>
      <c r="O3154" t="s">
        <v>9262</v>
      </c>
      <c r="P3154" t="s">
        <v>62</v>
      </c>
      <c r="Q3154">
        <v>1494406</v>
      </c>
      <c r="R3154">
        <v>1495368</v>
      </c>
      <c r="S3154" t="s">
        <v>9263</v>
      </c>
      <c r="T3154">
        <v>321</v>
      </c>
      <c r="U3154" t="s">
        <v>108</v>
      </c>
      <c r="V3154">
        <v>44</v>
      </c>
      <c r="W3154" t="str">
        <f>HYPERLINK("Gene1482-zp_tree_all.dnd", "Gene1482-tree")</f>
        <v>Gene1482-tree</v>
      </c>
      <c r="X3154">
        <v>6</v>
      </c>
      <c r="Y3154">
        <v>8</v>
      </c>
      <c r="Z3154">
        <v>6</v>
      </c>
      <c r="AA3154">
        <v>8</v>
      </c>
      <c r="AB3154">
        <v>0.57142999999999999</v>
      </c>
      <c r="AC3154" t="s">
        <v>90</v>
      </c>
      <c r="AD3154" t="s">
        <v>136</v>
      </c>
      <c r="AE3154" t="s">
        <v>62</v>
      </c>
      <c r="AF3154" t="s">
        <v>62</v>
      </c>
      <c r="AG3154">
        <v>2</v>
      </c>
      <c r="AH3154">
        <v>8</v>
      </c>
      <c r="AI3154">
        <v>14</v>
      </c>
      <c r="AJ3154">
        <v>0.36364000000000002</v>
      </c>
      <c r="AK3154">
        <v>0</v>
      </c>
      <c r="AL3154">
        <v>0</v>
      </c>
      <c r="AM3154">
        <v>0</v>
      </c>
      <c r="AN3154">
        <v>2</v>
      </c>
      <c r="AO3154">
        <v>0</v>
      </c>
      <c r="AP3154">
        <v>2</v>
      </c>
      <c r="AQ3154">
        <v>0</v>
      </c>
      <c r="AR3154">
        <v>2</v>
      </c>
      <c r="AS3154">
        <v>12</v>
      </c>
      <c r="AT3154">
        <v>0.14285999999999999</v>
      </c>
      <c r="AU3154">
        <v>11</v>
      </c>
      <c r="AV3154">
        <v>9</v>
      </c>
      <c r="AW3154">
        <v>21</v>
      </c>
      <c r="AX3154">
        <v>12</v>
      </c>
      <c r="AY3154">
        <v>8</v>
      </c>
      <c r="AZ3154">
        <v>10</v>
      </c>
      <c r="BA3154" t="s">
        <v>9264</v>
      </c>
      <c r="BB3154" t="s">
        <v>9265</v>
      </c>
      <c r="BC3154">
        <v>1.2250000000000001</v>
      </c>
      <c r="BD3154" t="s">
        <v>65</v>
      </c>
      <c r="BE3154">
        <v>29</v>
      </c>
      <c r="BF3154">
        <v>22</v>
      </c>
      <c r="BG3154" t="s">
        <v>9266</v>
      </c>
      <c r="BH3154" t="s">
        <v>9267</v>
      </c>
      <c r="BI3154" t="s">
        <v>9268</v>
      </c>
      <c r="BJ3154">
        <v>0.19295000000000001</v>
      </c>
      <c r="BK3154">
        <v>1</v>
      </c>
      <c r="BL3154" t="s">
        <v>69</v>
      </c>
      <c r="BM3154">
        <v>-0.80700000000000005</v>
      </c>
      <c r="BN3154">
        <v>-1.8080000000000001</v>
      </c>
    </row>
    <row r="3155" spans="10:66">
      <c r="J3155">
        <v>0</v>
      </c>
      <c r="K3155">
        <v>0</v>
      </c>
      <c r="L3155">
        <v>0</v>
      </c>
      <c r="M3155" t="s">
        <v>25021</v>
      </c>
      <c r="N3155">
        <v>1499</v>
      </c>
      <c r="O3155" t="s">
        <v>9376</v>
      </c>
      <c r="P3155" t="s">
        <v>62</v>
      </c>
      <c r="Q3155">
        <v>1511926</v>
      </c>
      <c r="R3155">
        <v>1512192</v>
      </c>
      <c r="S3155" t="s">
        <v>7478</v>
      </c>
      <c r="T3155">
        <v>89</v>
      </c>
      <c r="U3155" t="s">
        <v>289</v>
      </c>
      <c r="V3155">
        <v>46</v>
      </c>
      <c r="W3155" t="str">
        <f>HYPERLINK("Gene1499-zp_tree_all.dnd", "Gene1499-tree")</f>
        <v>Gene1499-tree</v>
      </c>
      <c r="X3155">
        <v>28</v>
      </c>
      <c r="Y3155">
        <v>1</v>
      </c>
      <c r="Z3155">
        <v>9</v>
      </c>
      <c r="AA3155">
        <v>1</v>
      </c>
      <c r="AB3155">
        <v>0.1</v>
      </c>
      <c r="AC3155" t="s">
        <v>2825</v>
      </c>
      <c r="AD3155" t="s">
        <v>175</v>
      </c>
      <c r="AE3155" t="s">
        <v>62</v>
      </c>
      <c r="AF3155" t="s">
        <v>62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8</v>
      </c>
      <c r="AV3155">
        <v>3</v>
      </c>
      <c r="AW3155">
        <v>10</v>
      </c>
      <c r="AX3155">
        <v>1</v>
      </c>
      <c r="AY3155">
        <v>11</v>
      </c>
      <c r="AZ3155">
        <v>0</v>
      </c>
      <c r="BA3155" t="s">
        <v>9377</v>
      </c>
      <c r="BB3155" t="s">
        <v>193</v>
      </c>
      <c r="BC3155">
        <v>0.38800000000000001</v>
      </c>
      <c r="BD3155" t="s">
        <v>65</v>
      </c>
      <c r="BE3155">
        <v>21</v>
      </c>
      <c r="BF3155">
        <v>1</v>
      </c>
      <c r="BG3155" t="s">
        <v>9378</v>
      </c>
      <c r="BH3155" t="s">
        <v>9379</v>
      </c>
      <c r="BI3155" t="s">
        <v>9380</v>
      </c>
      <c r="BJ3155">
        <v>1.0120000000000001E-2</v>
      </c>
      <c r="BK3155">
        <v>1</v>
      </c>
      <c r="BL3155" t="s">
        <v>69</v>
      </c>
      <c r="BM3155">
        <v>-1.6080000000000001</v>
      </c>
      <c r="BN3155">
        <v>-1.5680000000000001</v>
      </c>
    </row>
    <row r="3156" spans="10:66">
      <c r="J3156">
        <v>0</v>
      </c>
      <c r="K3156">
        <v>0</v>
      </c>
      <c r="L3156">
        <v>0</v>
      </c>
      <c r="M3156" t="s">
        <v>25021</v>
      </c>
      <c r="N3156">
        <v>1502</v>
      </c>
      <c r="O3156" t="s">
        <v>9394</v>
      </c>
      <c r="P3156" t="s">
        <v>62</v>
      </c>
      <c r="Q3156">
        <v>1515000</v>
      </c>
      <c r="R3156">
        <v>1516229</v>
      </c>
      <c r="S3156" t="s">
        <v>9395</v>
      </c>
      <c r="T3156">
        <v>410</v>
      </c>
      <c r="U3156" t="s">
        <v>108</v>
      </c>
      <c r="V3156">
        <v>44</v>
      </c>
      <c r="W3156" t="str">
        <f>HYPERLINK("Gene1502-zp_tree_all.dnd", "Gene1502-tree")</f>
        <v>Gene1502-tree</v>
      </c>
      <c r="X3156">
        <v>9</v>
      </c>
      <c r="Y3156">
        <v>4</v>
      </c>
      <c r="Z3156">
        <v>9</v>
      </c>
      <c r="AA3156">
        <v>4</v>
      </c>
      <c r="AB3156">
        <v>0.30769000000000002</v>
      </c>
      <c r="AC3156" t="s">
        <v>135</v>
      </c>
      <c r="AD3156" t="s">
        <v>61</v>
      </c>
      <c r="AE3156" t="s">
        <v>62</v>
      </c>
      <c r="AF3156" t="s">
        <v>62</v>
      </c>
      <c r="AG3156">
        <v>0</v>
      </c>
      <c r="AH3156">
        <v>0</v>
      </c>
      <c r="AI3156">
        <v>6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5</v>
      </c>
      <c r="AT3156">
        <v>0</v>
      </c>
      <c r="AU3156">
        <v>12</v>
      </c>
      <c r="AV3156">
        <v>7</v>
      </c>
      <c r="AW3156">
        <v>25</v>
      </c>
      <c r="AX3156">
        <v>5</v>
      </c>
      <c r="AY3156">
        <v>13</v>
      </c>
      <c r="AZ3156">
        <v>1</v>
      </c>
      <c r="BA3156" t="s">
        <v>9396</v>
      </c>
      <c r="BB3156" t="s">
        <v>9397</v>
      </c>
      <c r="BC3156">
        <v>0.47799999999999998</v>
      </c>
      <c r="BD3156" t="s">
        <v>65</v>
      </c>
      <c r="BE3156">
        <v>38</v>
      </c>
      <c r="BF3156">
        <v>6</v>
      </c>
      <c r="BG3156" t="s">
        <v>9398</v>
      </c>
      <c r="BH3156" t="s">
        <v>9399</v>
      </c>
      <c r="BI3156" t="s">
        <v>9400</v>
      </c>
      <c r="BJ3156">
        <v>4.3610000000000003E-2</v>
      </c>
      <c r="BK3156">
        <v>1</v>
      </c>
      <c r="BL3156" t="s">
        <v>69</v>
      </c>
      <c r="BM3156">
        <v>-0.879</v>
      </c>
      <c r="BN3156">
        <v>-1.778</v>
      </c>
    </row>
    <row r="3157" spans="10:66">
      <c r="J3157">
        <v>0</v>
      </c>
      <c r="K3157">
        <v>0</v>
      </c>
      <c r="L3157">
        <v>0</v>
      </c>
      <c r="M3157" t="s">
        <v>25021</v>
      </c>
      <c r="N3157">
        <v>1503</v>
      </c>
      <c r="O3157" t="s">
        <v>9401</v>
      </c>
      <c r="P3157" t="s">
        <v>62</v>
      </c>
      <c r="Q3157">
        <v>1516342</v>
      </c>
      <c r="R3157">
        <v>1516473</v>
      </c>
      <c r="S3157" t="s">
        <v>288</v>
      </c>
      <c r="T3157">
        <v>44</v>
      </c>
      <c r="U3157" t="s">
        <v>59</v>
      </c>
      <c r="V3157">
        <v>49</v>
      </c>
      <c r="W3157" t="str">
        <f>HYPERLINK("Gene1503-zp_tree_all.dnd", "Gene1503-tree")</f>
        <v>Gene1503-tree</v>
      </c>
      <c r="X3157">
        <v>6</v>
      </c>
      <c r="Y3157">
        <v>1</v>
      </c>
      <c r="Z3157">
        <v>6</v>
      </c>
      <c r="AA3157">
        <v>1</v>
      </c>
      <c r="AB3157">
        <v>0.14285999999999999</v>
      </c>
      <c r="AC3157" t="s">
        <v>90</v>
      </c>
      <c r="AD3157" t="s">
        <v>175</v>
      </c>
      <c r="AE3157" t="s">
        <v>62</v>
      </c>
      <c r="AF3157" t="s">
        <v>62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0</v>
      </c>
      <c r="AU3157">
        <v>6</v>
      </c>
      <c r="AV3157">
        <v>2</v>
      </c>
      <c r="AW3157">
        <v>6</v>
      </c>
      <c r="AX3157">
        <v>1</v>
      </c>
      <c r="AY3157">
        <v>2</v>
      </c>
      <c r="AZ3157">
        <v>0</v>
      </c>
      <c r="BA3157" t="s">
        <v>9402</v>
      </c>
      <c r="BB3157" t="s">
        <v>193</v>
      </c>
      <c r="BC3157">
        <v>0.49</v>
      </c>
      <c r="BD3157" t="s">
        <v>65</v>
      </c>
      <c r="BE3157">
        <v>8</v>
      </c>
      <c r="BF3157">
        <v>1</v>
      </c>
      <c r="BG3157" t="s">
        <v>9403</v>
      </c>
      <c r="BH3157" t="s">
        <v>9404</v>
      </c>
      <c r="BI3157" t="s">
        <v>9405</v>
      </c>
      <c r="BJ3157">
        <v>3.3950000000000001E-2</v>
      </c>
      <c r="BK3157">
        <v>1</v>
      </c>
      <c r="BL3157" t="s">
        <v>69</v>
      </c>
      <c r="BM3157">
        <v>-1.379</v>
      </c>
      <c r="BN3157">
        <v>-1.5409999999999999</v>
      </c>
    </row>
    <row r="3158" spans="10:66">
      <c r="J3158">
        <v>0</v>
      </c>
      <c r="K3158">
        <v>0</v>
      </c>
      <c r="L3158">
        <v>0</v>
      </c>
      <c r="M3158" t="s">
        <v>25021</v>
      </c>
      <c r="N3158">
        <v>1504</v>
      </c>
      <c r="O3158" t="s">
        <v>9406</v>
      </c>
      <c r="P3158" t="s">
        <v>62</v>
      </c>
      <c r="Q3158">
        <v>1516577</v>
      </c>
      <c r="R3158">
        <v>1517581</v>
      </c>
      <c r="S3158" t="s">
        <v>9407</v>
      </c>
      <c r="T3158">
        <v>335</v>
      </c>
      <c r="U3158" t="s">
        <v>108</v>
      </c>
      <c r="V3158">
        <v>44</v>
      </c>
      <c r="W3158" t="str">
        <f>HYPERLINK("Gene1504-zp_tree_all.dnd", "Gene1504-tree")</f>
        <v>Gene1504-tree</v>
      </c>
      <c r="X3158">
        <v>8</v>
      </c>
      <c r="Y3158">
        <v>6</v>
      </c>
      <c r="Z3158">
        <v>8</v>
      </c>
      <c r="AA3158">
        <v>6</v>
      </c>
      <c r="AB3158">
        <v>0.42857000000000001</v>
      </c>
      <c r="AC3158" t="s">
        <v>136</v>
      </c>
      <c r="AD3158" t="s">
        <v>90</v>
      </c>
      <c r="AE3158" t="s">
        <v>62</v>
      </c>
      <c r="AF3158" t="s">
        <v>62</v>
      </c>
      <c r="AG3158">
        <v>0</v>
      </c>
      <c r="AH3158">
        <v>0</v>
      </c>
      <c r="AI3158">
        <v>6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6</v>
      </c>
      <c r="AT3158">
        <v>0</v>
      </c>
      <c r="AU3158">
        <v>11</v>
      </c>
      <c r="AV3158">
        <v>6</v>
      </c>
      <c r="AW3158">
        <v>26</v>
      </c>
      <c r="AX3158">
        <v>6</v>
      </c>
      <c r="AY3158">
        <v>7</v>
      </c>
      <c r="AZ3158">
        <v>0</v>
      </c>
      <c r="BA3158" t="s">
        <v>9408</v>
      </c>
      <c r="BB3158" t="s">
        <v>193</v>
      </c>
      <c r="BC3158">
        <v>2.16</v>
      </c>
      <c r="BD3158" t="s">
        <v>267</v>
      </c>
      <c r="BE3158">
        <v>33</v>
      </c>
      <c r="BF3158">
        <v>6</v>
      </c>
      <c r="BG3158" t="s">
        <v>8097</v>
      </c>
      <c r="BH3158" t="s">
        <v>9409</v>
      </c>
      <c r="BI3158" t="s">
        <v>9410</v>
      </c>
      <c r="BJ3158">
        <v>4.1110000000000001E-2</v>
      </c>
      <c r="BK3158">
        <v>1</v>
      </c>
      <c r="BL3158" t="s">
        <v>69</v>
      </c>
      <c r="BM3158">
        <v>-1.625</v>
      </c>
      <c r="BN3158">
        <v>-2.42</v>
      </c>
    </row>
    <row r="3159" spans="10:66">
      <c r="J3159">
        <v>0</v>
      </c>
      <c r="K3159">
        <v>0</v>
      </c>
      <c r="L3159">
        <v>0</v>
      </c>
      <c r="M3159" t="s">
        <v>25021</v>
      </c>
      <c r="N3159">
        <v>1510</v>
      </c>
      <c r="O3159" t="s">
        <v>9439</v>
      </c>
      <c r="P3159" t="s">
        <v>62</v>
      </c>
      <c r="Q3159">
        <v>1523121</v>
      </c>
      <c r="R3159">
        <v>1524785</v>
      </c>
      <c r="S3159" t="s">
        <v>9440</v>
      </c>
      <c r="T3159">
        <v>555</v>
      </c>
      <c r="U3159" t="s">
        <v>108</v>
      </c>
      <c r="V3159">
        <v>44</v>
      </c>
      <c r="W3159" t="str">
        <f>HYPERLINK("Gene1510-zp_tree_all.dnd", "Gene1510-tree")</f>
        <v>Gene1510-tree</v>
      </c>
      <c r="X3159">
        <v>13</v>
      </c>
      <c r="Y3159">
        <v>1</v>
      </c>
      <c r="Z3159">
        <v>13</v>
      </c>
      <c r="AA3159">
        <v>1</v>
      </c>
      <c r="AB3159">
        <v>7.1429999999999993E-2</v>
      </c>
      <c r="AC3159" t="s">
        <v>507</v>
      </c>
      <c r="AD3159" t="s">
        <v>175</v>
      </c>
      <c r="AE3159" t="s">
        <v>62</v>
      </c>
      <c r="AF3159" t="s">
        <v>62</v>
      </c>
      <c r="AG3159">
        <v>0</v>
      </c>
      <c r="AH3159">
        <v>0</v>
      </c>
      <c r="AI3159">
        <v>2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11</v>
      </c>
      <c r="AV3159">
        <v>10</v>
      </c>
      <c r="AW3159">
        <v>27</v>
      </c>
      <c r="AX3159">
        <v>1</v>
      </c>
      <c r="AY3159">
        <v>27</v>
      </c>
      <c r="AZ3159">
        <v>1</v>
      </c>
      <c r="BA3159" t="s">
        <v>9441</v>
      </c>
      <c r="BB3159" t="s">
        <v>9442</v>
      </c>
      <c r="BC3159">
        <v>0</v>
      </c>
      <c r="BD3159" t="s">
        <v>65</v>
      </c>
      <c r="BE3159">
        <v>54</v>
      </c>
      <c r="BF3159">
        <v>2</v>
      </c>
      <c r="BG3159" t="s">
        <v>9443</v>
      </c>
      <c r="BH3159" t="s">
        <v>9444</v>
      </c>
      <c r="BI3159" t="s">
        <v>9445</v>
      </c>
      <c r="BJ3159">
        <v>1.057E-2</v>
      </c>
      <c r="BK3159">
        <v>1</v>
      </c>
      <c r="BL3159" t="s">
        <v>69</v>
      </c>
      <c r="BM3159">
        <v>-0.18099999999999999</v>
      </c>
      <c r="BN3159">
        <v>-0.73099999999999998</v>
      </c>
    </row>
    <row r="3160" spans="10:66">
      <c r="J3160">
        <v>0</v>
      </c>
      <c r="K3160">
        <v>0</v>
      </c>
      <c r="L3160">
        <v>0</v>
      </c>
      <c r="M3160" t="s">
        <v>25021</v>
      </c>
      <c r="N3160">
        <v>1511</v>
      </c>
      <c r="O3160" t="s">
        <v>9446</v>
      </c>
      <c r="P3160" t="s">
        <v>62</v>
      </c>
      <c r="Q3160">
        <v>1524794</v>
      </c>
      <c r="R3160">
        <v>1525000</v>
      </c>
      <c r="S3160" t="s">
        <v>9447</v>
      </c>
      <c r="T3160">
        <v>69</v>
      </c>
      <c r="U3160" t="s">
        <v>59</v>
      </c>
      <c r="V3160">
        <v>49</v>
      </c>
      <c r="W3160" t="str">
        <f>HYPERLINK("Gene1511-zp_tree_all.dnd", "Gene1511-tree")</f>
        <v>Gene1511-tree</v>
      </c>
      <c r="X3160">
        <v>2</v>
      </c>
      <c r="Y3160">
        <v>3</v>
      </c>
      <c r="Z3160">
        <v>2</v>
      </c>
      <c r="AA3160">
        <v>3</v>
      </c>
      <c r="AB3160">
        <v>0.6</v>
      </c>
      <c r="AC3160" t="s">
        <v>81</v>
      </c>
      <c r="AD3160" t="s">
        <v>324</v>
      </c>
      <c r="AE3160" t="s">
        <v>62</v>
      </c>
      <c r="AF3160" t="s">
        <v>62</v>
      </c>
      <c r="AG3160">
        <v>0</v>
      </c>
      <c r="AH3160">
        <v>0</v>
      </c>
      <c r="AI3160">
        <v>3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3</v>
      </c>
      <c r="AT3160">
        <v>0</v>
      </c>
      <c r="AU3160">
        <v>4</v>
      </c>
      <c r="AV3160">
        <v>1</v>
      </c>
      <c r="AW3160">
        <v>2</v>
      </c>
      <c r="AX3160">
        <v>3</v>
      </c>
      <c r="AY3160">
        <v>4</v>
      </c>
      <c r="AZ3160">
        <v>0</v>
      </c>
      <c r="BA3160" t="s">
        <v>9448</v>
      </c>
      <c r="BB3160" t="s">
        <v>193</v>
      </c>
      <c r="BC3160">
        <v>1.5</v>
      </c>
      <c r="BD3160" t="s">
        <v>65</v>
      </c>
      <c r="BE3160">
        <v>6</v>
      </c>
      <c r="BF3160">
        <v>3</v>
      </c>
      <c r="BG3160" t="s">
        <v>9449</v>
      </c>
      <c r="BH3160" t="s">
        <v>9450</v>
      </c>
      <c r="BI3160" t="s">
        <v>9451</v>
      </c>
      <c r="BJ3160">
        <v>9.1719999999999996E-2</v>
      </c>
      <c r="BK3160">
        <v>1</v>
      </c>
      <c r="BL3160" t="s">
        <v>69</v>
      </c>
      <c r="BM3160">
        <v>-1.321</v>
      </c>
      <c r="BN3160">
        <v>0.04</v>
      </c>
    </row>
    <row r="3161" spans="10:66">
      <c r="J3161">
        <v>0</v>
      </c>
      <c r="K3161">
        <v>2</v>
      </c>
      <c r="L3161">
        <v>0</v>
      </c>
      <c r="M3161" t="s">
        <v>25021</v>
      </c>
      <c r="N3161">
        <v>1513</v>
      </c>
      <c r="O3161" t="s">
        <v>9458</v>
      </c>
      <c r="P3161" t="s">
        <v>62</v>
      </c>
      <c r="Q3161">
        <v>1526198</v>
      </c>
      <c r="R3161">
        <v>1526749</v>
      </c>
      <c r="S3161" t="s">
        <v>9459</v>
      </c>
      <c r="T3161">
        <v>184</v>
      </c>
      <c r="U3161" t="s">
        <v>59</v>
      </c>
      <c r="V3161">
        <v>49</v>
      </c>
      <c r="W3161" t="str">
        <f>HYPERLINK("Gene1513-zp_tree_all.dnd", "Gene1513-tree")</f>
        <v>Gene1513-tree</v>
      </c>
      <c r="X3161">
        <v>10</v>
      </c>
      <c r="Y3161">
        <v>7</v>
      </c>
      <c r="Z3161">
        <v>10</v>
      </c>
      <c r="AA3161">
        <v>7</v>
      </c>
      <c r="AB3161">
        <v>0.41176000000000001</v>
      </c>
      <c r="AC3161" t="s">
        <v>117</v>
      </c>
      <c r="AD3161" t="s">
        <v>152</v>
      </c>
      <c r="AE3161" t="s">
        <v>62</v>
      </c>
      <c r="AF3161" t="s">
        <v>62</v>
      </c>
      <c r="AG3161">
        <v>1</v>
      </c>
      <c r="AH3161">
        <v>2</v>
      </c>
      <c r="AI3161">
        <v>9</v>
      </c>
      <c r="AJ3161">
        <v>0.18182000000000001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2</v>
      </c>
      <c r="AQ3161">
        <v>0</v>
      </c>
      <c r="AR3161">
        <v>2</v>
      </c>
      <c r="AS3161">
        <v>6</v>
      </c>
      <c r="AT3161">
        <v>0.25</v>
      </c>
      <c r="AU3161">
        <v>12</v>
      </c>
      <c r="AV3161">
        <v>9</v>
      </c>
      <c r="AW3161">
        <v>24</v>
      </c>
      <c r="AX3161">
        <v>7</v>
      </c>
      <c r="AY3161">
        <v>31</v>
      </c>
      <c r="AZ3161">
        <v>4</v>
      </c>
      <c r="BA3161" t="s">
        <v>9460</v>
      </c>
      <c r="BB3161" t="s">
        <v>9461</v>
      </c>
      <c r="BC3161">
        <v>0.872</v>
      </c>
      <c r="BD3161" t="s">
        <v>65</v>
      </c>
      <c r="BE3161">
        <v>55</v>
      </c>
      <c r="BF3161">
        <v>11</v>
      </c>
      <c r="BG3161" t="s">
        <v>9462</v>
      </c>
      <c r="BH3161" t="s">
        <v>9463</v>
      </c>
      <c r="BI3161" t="s">
        <v>9464</v>
      </c>
      <c r="BJ3161">
        <v>3.1870000000000002E-2</v>
      </c>
      <c r="BK3161">
        <v>1</v>
      </c>
      <c r="BL3161" t="s">
        <v>69</v>
      </c>
      <c r="BM3161">
        <v>-1.548</v>
      </c>
      <c r="BN3161">
        <v>-0.79600000000000004</v>
      </c>
    </row>
    <row r="3162" spans="10:66">
      <c r="J3162">
        <v>0</v>
      </c>
      <c r="K3162">
        <v>0</v>
      </c>
      <c r="L3162">
        <v>0</v>
      </c>
      <c r="M3162" t="s">
        <v>25021</v>
      </c>
      <c r="N3162">
        <v>1514</v>
      </c>
      <c r="O3162" t="s">
        <v>9465</v>
      </c>
      <c r="P3162" t="s">
        <v>62</v>
      </c>
      <c r="Q3162">
        <v>1526862</v>
      </c>
      <c r="R3162">
        <v>1527017</v>
      </c>
      <c r="S3162" t="s">
        <v>9466</v>
      </c>
      <c r="T3162">
        <v>52</v>
      </c>
      <c r="U3162" t="s">
        <v>108</v>
      </c>
      <c r="V3162">
        <v>44</v>
      </c>
      <c r="W3162" t="str">
        <f>HYPERLINK("Gene1514-zp_tree_all.dnd", "Gene1514-tree")</f>
        <v>Gene1514-tree</v>
      </c>
      <c r="X3162">
        <v>4</v>
      </c>
      <c r="Y3162">
        <v>0</v>
      </c>
      <c r="Z3162">
        <v>4</v>
      </c>
      <c r="AA3162">
        <v>0</v>
      </c>
      <c r="AB3162">
        <v>0</v>
      </c>
      <c r="AC3162" t="s">
        <v>61</v>
      </c>
      <c r="AD3162" t="s">
        <v>62</v>
      </c>
      <c r="AE3162" t="s">
        <v>62</v>
      </c>
      <c r="AF3162" t="s">
        <v>62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2</v>
      </c>
      <c r="AV3162">
        <v>1</v>
      </c>
      <c r="AW3162">
        <v>2</v>
      </c>
      <c r="AX3162">
        <v>0</v>
      </c>
      <c r="AY3162">
        <v>0</v>
      </c>
      <c r="AZ3162">
        <v>1</v>
      </c>
      <c r="BA3162" t="s">
        <v>193</v>
      </c>
      <c r="BB3162" t="s">
        <v>193</v>
      </c>
      <c r="BC3162">
        <v>0</v>
      </c>
      <c r="BD3162" t="s">
        <v>65</v>
      </c>
      <c r="BE3162">
        <v>2</v>
      </c>
      <c r="BF3162">
        <v>1</v>
      </c>
      <c r="BG3162" t="s">
        <v>9467</v>
      </c>
      <c r="BH3162" t="s">
        <v>9468</v>
      </c>
      <c r="BI3162" t="s">
        <v>9469</v>
      </c>
      <c r="BJ3162">
        <v>0.26088</v>
      </c>
      <c r="BK3162">
        <v>0.86299999999999999</v>
      </c>
      <c r="BL3162" t="s">
        <v>635</v>
      </c>
      <c r="BM3162">
        <v>-0.13800000000000001</v>
      </c>
      <c r="BN3162">
        <v>-0.378</v>
      </c>
    </row>
    <row r="3163" spans="10:66">
      <c r="J3163">
        <v>0</v>
      </c>
      <c r="K3163">
        <v>0</v>
      </c>
      <c r="L3163">
        <v>0</v>
      </c>
      <c r="M3163" t="s">
        <v>25021</v>
      </c>
      <c r="N3163">
        <v>1521</v>
      </c>
      <c r="O3163" t="s">
        <v>9504</v>
      </c>
      <c r="P3163" t="s">
        <v>62</v>
      </c>
      <c r="Q3163">
        <v>1533330</v>
      </c>
      <c r="R3163">
        <v>1533701</v>
      </c>
      <c r="S3163" t="s">
        <v>9505</v>
      </c>
      <c r="T3163">
        <v>124</v>
      </c>
      <c r="U3163" t="s">
        <v>59</v>
      </c>
      <c r="V3163">
        <v>49</v>
      </c>
      <c r="W3163" t="str">
        <f>HYPERLINK("Gene1521-zp_tree_all.dnd", "Gene1521-tree")</f>
        <v>Gene1521-tree</v>
      </c>
      <c r="X3163">
        <v>44</v>
      </c>
      <c r="Y3163">
        <v>3</v>
      </c>
      <c r="Z3163">
        <v>7</v>
      </c>
      <c r="AA3163">
        <v>3</v>
      </c>
      <c r="AB3163">
        <v>0.3</v>
      </c>
      <c r="AC3163" t="s">
        <v>9506</v>
      </c>
      <c r="AD3163" t="s">
        <v>324</v>
      </c>
      <c r="AE3163" t="s">
        <v>62</v>
      </c>
      <c r="AF3163" t="s">
        <v>62</v>
      </c>
      <c r="AG3163">
        <v>0</v>
      </c>
      <c r="AH3163">
        <v>0</v>
      </c>
      <c r="AI3163">
        <v>8</v>
      </c>
      <c r="AJ3163">
        <v>0</v>
      </c>
      <c r="AK3163">
        <v>0</v>
      </c>
      <c r="AL3163">
        <v>0</v>
      </c>
      <c r="AM3163">
        <v>0</v>
      </c>
      <c r="AN3163">
        <v>2</v>
      </c>
      <c r="AO3163">
        <v>0</v>
      </c>
      <c r="AP3163">
        <v>0</v>
      </c>
      <c r="AQ3163">
        <v>0</v>
      </c>
      <c r="AR3163">
        <v>0</v>
      </c>
      <c r="AS3163">
        <v>5</v>
      </c>
      <c r="AT3163">
        <v>0</v>
      </c>
      <c r="AU3163">
        <v>9</v>
      </c>
      <c r="AV3163">
        <v>3</v>
      </c>
      <c r="AW3163">
        <v>13</v>
      </c>
      <c r="AX3163">
        <v>5</v>
      </c>
      <c r="AY3163">
        <v>13</v>
      </c>
      <c r="AZ3163">
        <v>3</v>
      </c>
      <c r="BA3163" t="s">
        <v>9507</v>
      </c>
      <c r="BB3163" t="s">
        <v>9508</v>
      </c>
      <c r="BC3163">
        <v>0.33300000000000002</v>
      </c>
      <c r="BD3163" t="s">
        <v>65</v>
      </c>
      <c r="BE3163">
        <v>26</v>
      </c>
      <c r="BF3163">
        <v>8</v>
      </c>
      <c r="BG3163" t="s">
        <v>9509</v>
      </c>
      <c r="BH3163" t="s">
        <v>9510</v>
      </c>
      <c r="BI3163" t="s">
        <v>9511</v>
      </c>
      <c r="BJ3163">
        <v>7.7630000000000005E-2</v>
      </c>
      <c r="BK3163">
        <v>1</v>
      </c>
      <c r="BL3163" t="s">
        <v>69</v>
      </c>
      <c r="BM3163">
        <v>-2.032</v>
      </c>
      <c r="BN3163">
        <v>-1.3380000000000001</v>
      </c>
    </row>
    <row r="3164" spans="10:66">
      <c r="J3164">
        <v>0</v>
      </c>
      <c r="K3164">
        <v>4</v>
      </c>
      <c r="L3164">
        <v>0</v>
      </c>
      <c r="M3164" t="s">
        <v>25021</v>
      </c>
      <c r="N3164">
        <v>1523</v>
      </c>
      <c r="O3164" t="s">
        <v>9518</v>
      </c>
      <c r="P3164" t="s">
        <v>62</v>
      </c>
      <c r="Q3164">
        <v>1534282</v>
      </c>
      <c r="R3164">
        <v>1535751</v>
      </c>
      <c r="S3164" t="s">
        <v>9519</v>
      </c>
      <c r="T3164">
        <v>490</v>
      </c>
      <c r="U3164" t="s">
        <v>108</v>
      </c>
      <c r="V3164">
        <v>44</v>
      </c>
      <c r="W3164" t="str">
        <f>HYPERLINK("Gene1523-zp_tree_all.dnd", "Gene1523-tree")</f>
        <v>Gene1523-tree</v>
      </c>
      <c r="X3164">
        <v>8</v>
      </c>
      <c r="Y3164">
        <v>4</v>
      </c>
      <c r="Z3164">
        <v>8</v>
      </c>
      <c r="AA3164">
        <v>4</v>
      </c>
      <c r="AB3164">
        <v>0.33333000000000002</v>
      </c>
      <c r="AC3164" t="s">
        <v>136</v>
      </c>
      <c r="AD3164" t="s">
        <v>61</v>
      </c>
      <c r="AE3164" t="s">
        <v>62</v>
      </c>
      <c r="AF3164" t="s">
        <v>62</v>
      </c>
      <c r="AG3164">
        <v>2</v>
      </c>
      <c r="AH3164">
        <v>4</v>
      </c>
      <c r="AI3164">
        <v>5</v>
      </c>
      <c r="AJ3164">
        <v>0.44444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2</v>
      </c>
      <c r="AQ3164">
        <v>0</v>
      </c>
      <c r="AR3164">
        <v>2</v>
      </c>
      <c r="AS3164">
        <v>6</v>
      </c>
      <c r="AT3164">
        <v>0.25</v>
      </c>
      <c r="AU3164">
        <v>10</v>
      </c>
      <c r="AV3164">
        <v>8</v>
      </c>
      <c r="AW3164">
        <v>53</v>
      </c>
      <c r="AX3164">
        <v>8</v>
      </c>
      <c r="AY3164">
        <v>26</v>
      </c>
      <c r="AZ3164">
        <v>1</v>
      </c>
      <c r="BA3164" t="s">
        <v>9520</v>
      </c>
      <c r="BB3164" t="s">
        <v>9521</v>
      </c>
      <c r="BC3164">
        <v>0.63700000000000001</v>
      </c>
      <c r="BD3164" t="s">
        <v>65</v>
      </c>
      <c r="BE3164">
        <v>79</v>
      </c>
      <c r="BF3164">
        <v>9</v>
      </c>
      <c r="BG3164" t="s">
        <v>9522</v>
      </c>
      <c r="BH3164" t="s">
        <v>9523</v>
      </c>
      <c r="BI3164" t="s">
        <v>9524</v>
      </c>
      <c r="BJ3164">
        <v>2.801E-2</v>
      </c>
      <c r="BK3164">
        <v>1</v>
      </c>
      <c r="BL3164" t="s">
        <v>69</v>
      </c>
      <c r="BM3164">
        <v>-0.38400000000000001</v>
      </c>
      <c r="BN3164">
        <v>-0.91800000000000004</v>
      </c>
    </row>
    <row r="3165" spans="10:66">
      <c r="J3165">
        <v>0</v>
      </c>
      <c r="K3165">
        <v>2</v>
      </c>
      <c r="L3165">
        <v>4</v>
      </c>
      <c r="M3165" t="s">
        <v>25021</v>
      </c>
      <c r="N3165">
        <v>1525</v>
      </c>
      <c r="O3165" t="s">
        <v>9531</v>
      </c>
      <c r="P3165" t="s">
        <v>62</v>
      </c>
      <c r="Q3165">
        <v>1536238</v>
      </c>
      <c r="R3165">
        <v>1536873</v>
      </c>
      <c r="S3165" t="s">
        <v>116</v>
      </c>
      <c r="T3165">
        <v>212</v>
      </c>
      <c r="U3165" t="s">
        <v>289</v>
      </c>
      <c r="V3165">
        <v>46</v>
      </c>
      <c r="W3165" t="str">
        <f>HYPERLINK("Gene1525-zp_tree_all.dnd", "Gene1525-tree")</f>
        <v>Gene1525-tree</v>
      </c>
      <c r="X3165">
        <v>7</v>
      </c>
      <c r="Y3165">
        <v>7</v>
      </c>
      <c r="Z3165">
        <v>7</v>
      </c>
      <c r="AA3165">
        <v>7</v>
      </c>
      <c r="AB3165">
        <v>0.5</v>
      </c>
      <c r="AC3165" t="s">
        <v>152</v>
      </c>
      <c r="AD3165" t="s">
        <v>152</v>
      </c>
      <c r="AE3165" t="s">
        <v>62</v>
      </c>
      <c r="AF3165" t="s">
        <v>62</v>
      </c>
      <c r="AG3165">
        <v>3</v>
      </c>
      <c r="AH3165">
        <v>6</v>
      </c>
      <c r="AI3165">
        <v>9</v>
      </c>
      <c r="AJ3165">
        <v>0.4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2</v>
      </c>
      <c r="AQ3165">
        <v>2</v>
      </c>
      <c r="AR3165">
        <v>4</v>
      </c>
      <c r="AS3165">
        <v>6</v>
      </c>
      <c r="AT3165">
        <v>0.4</v>
      </c>
      <c r="AU3165">
        <v>12</v>
      </c>
      <c r="AV3165">
        <v>7</v>
      </c>
      <c r="AW3165">
        <v>27</v>
      </c>
      <c r="AX3165">
        <v>10</v>
      </c>
      <c r="AY3165">
        <v>28</v>
      </c>
      <c r="AZ3165">
        <v>5</v>
      </c>
      <c r="BA3165" t="s">
        <v>9532</v>
      </c>
      <c r="BB3165" t="s">
        <v>9533</v>
      </c>
      <c r="BC3165">
        <v>0.47799999999999998</v>
      </c>
      <c r="BD3165" t="s">
        <v>65</v>
      </c>
      <c r="BE3165">
        <v>55</v>
      </c>
      <c r="BF3165">
        <v>15</v>
      </c>
      <c r="BG3165" t="s">
        <v>9534</v>
      </c>
      <c r="BH3165" t="s">
        <v>9535</v>
      </c>
      <c r="BI3165" t="s">
        <v>9536</v>
      </c>
      <c r="BJ3165">
        <v>6.8150000000000002E-2</v>
      </c>
      <c r="BK3165">
        <v>1</v>
      </c>
      <c r="BL3165" t="s">
        <v>69</v>
      </c>
      <c r="BM3165">
        <v>-1.3</v>
      </c>
      <c r="BN3165">
        <v>-1.0589999999999999</v>
      </c>
    </row>
    <row r="3166" spans="10:66">
      <c r="J3166">
        <v>0</v>
      </c>
      <c r="K3166">
        <v>6</v>
      </c>
      <c r="L3166">
        <v>0</v>
      </c>
      <c r="M3166" t="s">
        <v>25021</v>
      </c>
      <c r="N3166">
        <v>1529</v>
      </c>
      <c r="O3166" t="s">
        <v>9556</v>
      </c>
      <c r="P3166" t="s">
        <v>62</v>
      </c>
      <c r="Q3166">
        <v>1538773</v>
      </c>
      <c r="R3166">
        <v>1539684</v>
      </c>
      <c r="S3166" t="s">
        <v>9557</v>
      </c>
      <c r="T3166">
        <v>304</v>
      </c>
      <c r="U3166" t="s">
        <v>108</v>
      </c>
      <c r="V3166">
        <v>44</v>
      </c>
      <c r="W3166" t="str">
        <f>HYPERLINK("Gene1529-zp_tree_all.dnd", "Gene1529-tree")</f>
        <v>Gene1529-tree</v>
      </c>
      <c r="X3166">
        <v>4</v>
      </c>
      <c r="Y3166">
        <v>10</v>
      </c>
      <c r="Z3166">
        <v>4</v>
      </c>
      <c r="AA3166">
        <v>10</v>
      </c>
      <c r="AB3166">
        <v>0.71428999999999998</v>
      </c>
      <c r="AC3166" t="s">
        <v>61</v>
      </c>
      <c r="AD3166" t="s">
        <v>117</v>
      </c>
      <c r="AE3166" t="s">
        <v>62</v>
      </c>
      <c r="AF3166" t="s">
        <v>62</v>
      </c>
      <c r="AG3166">
        <v>3</v>
      </c>
      <c r="AH3166">
        <v>6</v>
      </c>
      <c r="AI3166">
        <v>19</v>
      </c>
      <c r="AJ3166">
        <v>0.24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2</v>
      </c>
      <c r="AQ3166">
        <v>0</v>
      </c>
      <c r="AR3166">
        <v>2</v>
      </c>
      <c r="AS3166">
        <v>15</v>
      </c>
      <c r="AT3166">
        <v>0.11765</v>
      </c>
      <c r="AU3166">
        <v>11</v>
      </c>
      <c r="AV3166">
        <v>10</v>
      </c>
      <c r="AW3166">
        <v>36</v>
      </c>
      <c r="AX3166">
        <v>17</v>
      </c>
      <c r="AY3166">
        <v>21</v>
      </c>
      <c r="AZ3166">
        <v>10</v>
      </c>
      <c r="BA3166" t="s">
        <v>9558</v>
      </c>
      <c r="BB3166" t="s">
        <v>9559</v>
      </c>
      <c r="BC3166">
        <v>0.02</v>
      </c>
      <c r="BD3166" t="s">
        <v>65</v>
      </c>
      <c r="BE3166">
        <v>57</v>
      </c>
      <c r="BF3166">
        <v>27</v>
      </c>
      <c r="BG3166" t="s">
        <v>9560</v>
      </c>
      <c r="BH3166" t="s">
        <v>9561</v>
      </c>
      <c r="BI3166" t="s">
        <v>9562</v>
      </c>
      <c r="BJ3166">
        <v>0.13117999999999999</v>
      </c>
      <c r="BK3166">
        <v>1</v>
      </c>
      <c r="BL3166" t="s">
        <v>69</v>
      </c>
      <c r="BM3166">
        <v>-0.73699999999999999</v>
      </c>
      <c r="BN3166">
        <v>-0.91800000000000004</v>
      </c>
    </row>
    <row r="3167" spans="10:66">
      <c r="J3167">
        <v>0</v>
      </c>
      <c r="K3167">
        <v>0</v>
      </c>
      <c r="L3167">
        <v>0</v>
      </c>
      <c r="M3167" t="s">
        <v>25021</v>
      </c>
      <c r="N3167">
        <v>1530</v>
      </c>
      <c r="O3167" t="s">
        <v>9563</v>
      </c>
      <c r="P3167" t="s">
        <v>62</v>
      </c>
      <c r="Q3167">
        <v>1540039</v>
      </c>
      <c r="R3167">
        <v>1541601</v>
      </c>
      <c r="S3167" t="s">
        <v>9564</v>
      </c>
      <c r="T3167">
        <v>521</v>
      </c>
      <c r="U3167" t="s">
        <v>108</v>
      </c>
      <c r="V3167">
        <v>44</v>
      </c>
      <c r="W3167" t="str">
        <f>HYPERLINK("Gene1530-zp_tree_all.dnd", "Gene1530-tree")</f>
        <v>Gene1530-tree</v>
      </c>
      <c r="X3167">
        <v>9</v>
      </c>
      <c r="Y3167">
        <v>3</v>
      </c>
      <c r="Z3167">
        <v>9</v>
      </c>
      <c r="AA3167">
        <v>3</v>
      </c>
      <c r="AB3167">
        <v>0.25</v>
      </c>
      <c r="AC3167" t="s">
        <v>135</v>
      </c>
      <c r="AD3167" t="s">
        <v>324</v>
      </c>
      <c r="AE3167" t="s">
        <v>62</v>
      </c>
      <c r="AF3167" t="s">
        <v>62</v>
      </c>
      <c r="AG3167">
        <v>0</v>
      </c>
      <c r="AH3167">
        <v>0</v>
      </c>
      <c r="AI3167">
        <v>4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3</v>
      </c>
      <c r="AT3167">
        <v>0</v>
      </c>
      <c r="AU3167">
        <v>11</v>
      </c>
      <c r="AV3167">
        <v>7</v>
      </c>
      <c r="AW3167">
        <v>38</v>
      </c>
      <c r="AX3167">
        <v>3</v>
      </c>
      <c r="AY3167">
        <v>8</v>
      </c>
      <c r="AZ3167">
        <v>1</v>
      </c>
      <c r="BA3167" t="s">
        <v>9565</v>
      </c>
      <c r="BB3167" t="s">
        <v>9566</v>
      </c>
      <c r="BC3167">
        <v>0.151</v>
      </c>
      <c r="BD3167" t="s">
        <v>65</v>
      </c>
      <c r="BE3167">
        <v>46</v>
      </c>
      <c r="BF3167">
        <v>4</v>
      </c>
      <c r="BG3167" t="s">
        <v>9567</v>
      </c>
      <c r="BH3167" t="s">
        <v>9568</v>
      </c>
      <c r="BI3167" t="s">
        <v>9569</v>
      </c>
      <c r="BJ3167">
        <v>2.8680000000000001E-2</v>
      </c>
      <c r="BK3167">
        <v>1</v>
      </c>
      <c r="BL3167" t="s">
        <v>69</v>
      </c>
      <c r="BM3167">
        <v>-1.474</v>
      </c>
      <c r="BN3167">
        <v>-2.9049999999999998</v>
      </c>
    </row>
    <row r="3168" spans="10:66">
      <c r="J3168">
        <v>0</v>
      </c>
      <c r="K3168">
        <v>2</v>
      </c>
      <c r="L3168">
        <v>0</v>
      </c>
      <c r="M3168" t="s">
        <v>25021</v>
      </c>
      <c r="N3168">
        <v>1535</v>
      </c>
      <c r="O3168" t="s">
        <v>9591</v>
      </c>
      <c r="P3168" t="s">
        <v>62</v>
      </c>
      <c r="Q3168">
        <v>1544939</v>
      </c>
      <c r="R3168">
        <v>1545547</v>
      </c>
      <c r="S3168" t="s">
        <v>2332</v>
      </c>
      <c r="T3168">
        <v>203</v>
      </c>
      <c r="U3168" t="s">
        <v>108</v>
      </c>
      <c r="V3168">
        <v>44</v>
      </c>
      <c r="W3168" t="str">
        <f>HYPERLINK("Gene1535-zp_tree_all.dnd", "Gene1535-tree")</f>
        <v>Gene1535-tree</v>
      </c>
      <c r="X3168">
        <v>5</v>
      </c>
      <c r="Y3168">
        <v>6</v>
      </c>
      <c r="Z3168">
        <v>5</v>
      </c>
      <c r="AA3168">
        <v>6</v>
      </c>
      <c r="AB3168">
        <v>0.54544999999999999</v>
      </c>
      <c r="AC3168" t="s">
        <v>199</v>
      </c>
      <c r="AD3168" t="s">
        <v>90</v>
      </c>
      <c r="AE3168" t="s">
        <v>62</v>
      </c>
      <c r="AF3168" t="s">
        <v>62</v>
      </c>
      <c r="AG3168">
        <v>1</v>
      </c>
      <c r="AH3168">
        <v>2</v>
      </c>
      <c r="AI3168">
        <v>19</v>
      </c>
      <c r="AJ3168">
        <v>9.5240000000000005E-2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18</v>
      </c>
      <c r="AT3168">
        <v>0</v>
      </c>
      <c r="AU3168">
        <v>7</v>
      </c>
      <c r="AV3168">
        <v>4</v>
      </c>
      <c r="AW3168">
        <v>20</v>
      </c>
      <c r="AX3168">
        <v>20</v>
      </c>
      <c r="AY3168">
        <v>3</v>
      </c>
      <c r="AZ3168">
        <v>3</v>
      </c>
      <c r="BA3168" t="s">
        <v>9592</v>
      </c>
      <c r="BB3168" t="s">
        <v>9593</v>
      </c>
      <c r="BC3168">
        <v>1.0999999999999999E-2</v>
      </c>
      <c r="BD3168" t="s">
        <v>65</v>
      </c>
      <c r="BE3168">
        <v>23</v>
      </c>
      <c r="BF3168">
        <v>23</v>
      </c>
      <c r="BG3168" t="s">
        <v>9594</v>
      </c>
      <c r="BH3168" t="s">
        <v>9595</v>
      </c>
      <c r="BI3168" t="s">
        <v>9596</v>
      </c>
      <c r="BJ3168">
        <v>0.28158</v>
      </c>
      <c r="BK3168">
        <v>1</v>
      </c>
      <c r="BL3168" t="s">
        <v>69</v>
      </c>
      <c r="BM3168">
        <v>-2.319</v>
      </c>
      <c r="BN3168">
        <v>-4.3079999999999998</v>
      </c>
    </row>
    <row r="3169" spans="10:66">
      <c r="J3169">
        <v>0</v>
      </c>
      <c r="K3169">
        <v>0</v>
      </c>
      <c r="L3169">
        <v>0</v>
      </c>
      <c r="M3169" t="s">
        <v>25021</v>
      </c>
      <c r="N3169">
        <v>1536</v>
      </c>
      <c r="O3169" t="s">
        <v>9597</v>
      </c>
      <c r="P3169" t="s">
        <v>62</v>
      </c>
      <c r="Q3169">
        <v>1545823</v>
      </c>
      <c r="R3169">
        <v>1546008</v>
      </c>
      <c r="S3169" t="s">
        <v>288</v>
      </c>
      <c r="T3169">
        <v>62</v>
      </c>
      <c r="U3169" t="s">
        <v>9598</v>
      </c>
      <c r="V3169">
        <v>46</v>
      </c>
      <c r="W3169" t="str">
        <f>HYPERLINK("Gene1536-zp_tree_all.dnd", "Gene1536-tree")</f>
        <v>Gene1536-tree</v>
      </c>
      <c r="X3169">
        <v>7</v>
      </c>
      <c r="Y3169">
        <v>2</v>
      </c>
      <c r="Z3169">
        <v>7</v>
      </c>
      <c r="AA3169">
        <v>2</v>
      </c>
      <c r="AB3169">
        <v>0.22222</v>
      </c>
      <c r="AC3169" t="s">
        <v>152</v>
      </c>
      <c r="AD3169" t="s">
        <v>81</v>
      </c>
      <c r="AE3169" t="s">
        <v>62</v>
      </c>
      <c r="AF3169" t="s">
        <v>62</v>
      </c>
      <c r="AG3169">
        <v>0</v>
      </c>
      <c r="AH3169">
        <v>0</v>
      </c>
      <c r="AI3169">
        <v>5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3</v>
      </c>
      <c r="AT3169">
        <v>0</v>
      </c>
      <c r="AU3169">
        <v>7</v>
      </c>
      <c r="AV3169">
        <v>4</v>
      </c>
      <c r="AW3169">
        <v>9</v>
      </c>
      <c r="AX3169">
        <v>3</v>
      </c>
      <c r="AY3169">
        <v>6</v>
      </c>
      <c r="AZ3169">
        <v>3</v>
      </c>
      <c r="BA3169" t="s">
        <v>9599</v>
      </c>
      <c r="BB3169" t="s">
        <v>9600</v>
      </c>
      <c r="BC3169">
        <v>0.223</v>
      </c>
      <c r="BD3169" t="s">
        <v>65</v>
      </c>
      <c r="BE3169">
        <v>15</v>
      </c>
      <c r="BF3169">
        <v>6</v>
      </c>
      <c r="BG3169" t="s">
        <v>9601</v>
      </c>
      <c r="BH3169" t="s">
        <v>9602</v>
      </c>
      <c r="BI3169" t="s">
        <v>9603</v>
      </c>
      <c r="BJ3169">
        <v>0.12859999999999999</v>
      </c>
      <c r="BK3169">
        <v>1</v>
      </c>
      <c r="BL3169" t="s">
        <v>69</v>
      </c>
      <c r="BM3169">
        <v>-1.476</v>
      </c>
      <c r="BN3169">
        <v>0.23499999999999999</v>
      </c>
    </row>
    <row r="3170" spans="10:66">
      <c r="J3170">
        <v>0</v>
      </c>
      <c r="K3170">
        <v>0</v>
      </c>
      <c r="L3170">
        <v>0</v>
      </c>
      <c r="M3170" t="s">
        <v>25021</v>
      </c>
      <c r="N3170">
        <v>1539</v>
      </c>
      <c r="O3170" t="s">
        <v>9618</v>
      </c>
      <c r="P3170" t="s">
        <v>62</v>
      </c>
      <c r="Q3170">
        <v>1548392</v>
      </c>
      <c r="R3170">
        <v>1548598</v>
      </c>
      <c r="S3170" t="s">
        <v>288</v>
      </c>
      <c r="T3170">
        <v>69</v>
      </c>
      <c r="U3170" t="s">
        <v>394</v>
      </c>
      <c r="V3170">
        <v>48</v>
      </c>
      <c r="W3170" t="str">
        <f>HYPERLINK("Gene1539-zp_tree_all.dnd", "Gene1539-tree")</f>
        <v>Gene1539-tree</v>
      </c>
      <c r="X3170">
        <v>0</v>
      </c>
      <c r="Y3170">
        <v>4</v>
      </c>
      <c r="Z3170">
        <v>0</v>
      </c>
      <c r="AA3170">
        <v>4</v>
      </c>
      <c r="AB3170">
        <v>1</v>
      </c>
      <c r="AC3170" t="s">
        <v>62</v>
      </c>
      <c r="AD3170" t="s">
        <v>61</v>
      </c>
      <c r="AE3170" t="s">
        <v>62</v>
      </c>
      <c r="AF3170" t="s">
        <v>62</v>
      </c>
      <c r="AG3170">
        <v>0</v>
      </c>
      <c r="AH3170">
        <v>0</v>
      </c>
      <c r="AI3170">
        <v>4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4</v>
      </c>
      <c r="AT3170">
        <v>0</v>
      </c>
      <c r="AU3170">
        <v>3</v>
      </c>
      <c r="AV3170">
        <v>1</v>
      </c>
      <c r="AW3170">
        <v>5</v>
      </c>
      <c r="AX3170">
        <v>3</v>
      </c>
      <c r="AY3170">
        <v>4</v>
      </c>
      <c r="AZ3170">
        <v>1</v>
      </c>
      <c r="BA3170" t="s">
        <v>9619</v>
      </c>
      <c r="BB3170" t="s">
        <v>9620</v>
      </c>
      <c r="BC3170">
        <v>0.95099999999999996</v>
      </c>
      <c r="BD3170" t="s">
        <v>65</v>
      </c>
      <c r="BE3170">
        <v>9</v>
      </c>
      <c r="BF3170">
        <v>4</v>
      </c>
      <c r="BG3170" t="s">
        <v>9621</v>
      </c>
      <c r="BH3170" t="s">
        <v>9622</v>
      </c>
      <c r="BI3170" t="s">
        <v>9623</v>
      </c>
      <c r="BJ3170">
        <v>9.2369999999999994E-2</v>
      </c>
      <c r="BK3170">
        <v>1</v>
      </c>
      <c r="BL3170" t="s">
        <v>69</v>
      </c>
      <c r="BM3170">
        <v>-1.7110000000000001</v>
      </c>
      <c r="BN3170">
        <v>-1.5189999999999999</v>
      </c>
    </row>
    <row r="3171" spans="10:66">
      <c r="J3171">
        <v>0</v>
      </c>
      <c r="K3171">
        <v>0</v>
      </c>
      <c r="L3171">
        <v>0</v>
      </c>
      <c r="M3171" t="s">
        <v>25021</v>
      </c>
      <c r="N3171">
        <v>1540</v>
      </c>
      <c r="O3171" t="s">
        <v>9624</v>
      </c>
      <c r="P3171" t="s">
        <v>62</v>
      </c>
      <c r="Q3171">
        <v>1548684</v>
      </c>
      <c r="R3171">
        <v>1549310</v>
      </c>
      <c r="S3171" t="s">
        <v>5957</v>
      </c>
      <c r="T3171">
        <v>209</v>
      </c>
      <c r="U3171" t="s">
        <v>108</v>
      </c>
      <c r="V3171">
        <v>44</v>
      </c>
      <c r="W3171" t="str">
        <f>HYPERLINK("Gene1540-zp_tree_all.dnd", "Gene1540-tree")</f>
        <v>Gene1540-tree</v>
      </c>
      <c r="X3171">
        <v>24</v>
      </c>
      <c r="Y3171">
        <v>8</v>
      </c>
      <c r="Z3171">
        <v>6</v>
      </c>
      <c r="AA3171">
        <v>8</v>
      </c>
      <c r="AB3171">
        <v>0.57142999999999999</v>
      </c>
      <c r="AC3171" t="s">
        <v>2675</v>
      </c>
      <c r="AD3171" t="s">
        <v>136</v>
      </c>
      <c r="AE3171" t="s">
        <v>62</v>
      </c>
      <c r="AF3171" t="s">
        <v>62</v>
      </c>
      <c r="AG3171">
        <v>0</v>
      </c>
      <c r="AH3171">
        <v>0</v>
      </c>
      <c r="AI3171">
        <v>12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12</v>
      </c>
      <c r="AT3171">
        <v>0</v>
      </c>
      <c r="AU3171">
        <v>10</v>
      </c>
      <c r="AV3171">
        <v>7</v>
      </c>
      <c r="AW3171">
        <v>19</v>
      </c>
      <c r="AX3171">
        <v>11</v>
      </c>
      <c r="AY3171">
        <v>10</v>
      </c>
      <c r="AZ3171">
        <v>1</v>
      </c>
      <c r="BA3171" t="s">
        <v>9625</v>
      </c>
      <c r="BB3171" t="s">
        <v>9626</v>
      </c>
      <c r="BC3171">
        <v>1.4530000000000001</v>
      </c>
      <c r="BD3171" t="s">
        <v>65</v>
      </c>
      <c r="BE3171">
        <v>29</v>
      </c>
      <c r="BF3171">
        <v>12</v>
      </c>
      <c r="BG3171" t="s">
        <v>9627</v>
      </c>
      <c r="BH3171" t="s">
        <v>9628</v>
      </c>
      <c r="BI3171" t="s">
        <v>9629</v>
      </c>
      <c r="BJ3171">
        <v>7.7600000000000002E-2</v>
      </c>
      <c r="BK3171">
        <v>1</v>
      </c>
      <c r="BL3171" t="s">
        <v>69</v>
      </c>
      <c r="BM3171">
        <v>-0.78500000000000003</v>
      </c>
      <c r="BN3171">
        <v>-0.39700000000000002</v>
      </c>
    </row>
    <row r="3172" spans="10:66">
      <c r="J3172">
        <v>0</v>
      </c>
      <c r="K3172">
        <v>2</v>
      </c>
      <c r="L3172">
        <v>0</v>
      </c>
      <c r="M3172" t="s">
        <v>25021</v>
      </c>
      <c r="N3172">
        <v>1542</v>
      </c>
      <c r="O3172" t="s">
        <v>9636</v>
      </c>
      <c r="P3172" t="s">
        <v>62</v>
      </c>
      <c r="Q3172">
        <v>1550800</v>
      </c>
      <c r="R3172">
        <v>1551282</v>
      </c>
      <c r="S3172" t="s">
        <v>288</v>
      </c>
      <c r="T3172">
        <v>161</v>
      </c>
      <c r="U3172" t="s">
        <v>108</v>
      </c>
      <c r="V3172">
        <v>44</v>
      </c>
      <c r="W3172" t="str">
        <f>HYPERLINK("Gene1542-zp_tree_all.dnd", "Gene1542-tree")</f>
        <v>Gene1542-tree</v>
      </c>
      <c r="X3172">
        <v>29</v>
      </c>
      <c r="Y3172">
        <v>4</v>
      </c>
      <c r="Z3172">
        <v>6</v>
      </c>
      <c r="AA3172">
        <v>4</v>
      </c>
      <c r="AB3172">
        <v>0.4</v>
      </c>
      <c r="AC3172" t="s">
        <v>3696</v>
      </c>
      <c r="AD3172" t="s">
        <v>61</v>
      </c>
      <c r="AE3172" t="s">
        <v>62</v>
      </c>
      <c r="AF3172" t="s">
        <v>62</v>
      </c>
      <c r="AG3172">
        <v>1</v>
      </c>
      <c r="AH3172">
        <v>2</v>
      </c>
      <c r="AI3172">
        <v>3</v>
      </c>
      <c r="AJ3172">
        <v>0.4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2</v>
      </c>
      <c r="AQ3172">
        <v>0</v>
      </c>
      <c r="AR3172">
        <v>2</v>
      </c>
      <c r="AS3172">
        <v>2</v>
      </c>
      <c r="AT3172">
        <v>0.5</v>
      </c>
      <c r="AU3172">
        <v>6</v>
      </c>
      <c r="AV3172">
        <v>5</v>
      </c>
      <c r="AW3172">
        <v>14</v>
      </c>
      <c r="AX3172">
        <v>4</v>
      </c>
      <c r="AY3172">
        <v>6</v>
      </c>
      <c r="AZ3172">
        <v>1</v>
      </c>
      <c r="BA3172" t="s">
        <v>9637</v>
      </c>
      <c r="BB3172" t="s">
        <v>9638</v>
      </c>
      <c r="BC3172">
        <v>0.33100000000000002</v>
      </c>
      <c r="BD3172" t="s">
        <v>65</v>
      </c>
      <c r="BE3172">
        <v>20</v>
      </c>
      <c r="BF3172">
        <v>5</v>
      </c>
      <c r="BG3172" t="s">
        <v>9639</v>
      </c>
      <c r="BH3172" t="s">
        <v>9640</v>
      </c>
      <c r="BI3172" t="s">
        <v>9641</v>
      </c>
      <c r="BJ3172">
        <v>7.1120000000000003E-2</v>
      </c>
      <c r="BK3172">
        <v>1</v>
      </c>
      <c r="BL3172" t="s">
        <v>69</v>
      </c>
      <c r="BM3172">
        <v>-0.98099999999999998</v>
      </c>
      <c r="BN3172">
        <v>0.09</v>
      </c>
    </row>
    <row r="3173" spans="10:66">
      <c r="J3173">
        <v>0</v>
      </c>
      <c r="K3173">
        <v>11</v>
      </c>
      <c r="L3173">
        <v>0</v>
      </c>
      <c r="M3173" t="s">
        <v>25021</v>
      </c>
      <c r="N3173">
        <v>1547</v>
      </c>
      <c r="O3173" t="s">
        <v>9669</v>
      </c>
      <c r="P3173" t="s">
        <v>62</v>
      </c>
      <c r="Q3173">
        <v>1558037</v>
      </c>
      <c r="R3173">
        <v>1558954</v>
      </c>
      <c r="S3173" t="s">
        <v>9670</v>
      </c>
      <c r="T3173">
        <v>306</v>
      </c>
      <c r="U3173" t="s">
        <v>108</v>
      </c>
      <c r="V3173">
        <v>44</v>
      </c>
      <c r="W3173" t="str">
        <f>HYPERLINK("Gene1547-zp_tree_all.dnd", "Gene1547-tree")</f>
        <v>Gene1547-tree</v>
      </c>
      <c r="X3173">
        <v>10</v>
      </c>
      <c r="Y3173">
        <v>6</v>
      </c>
      <c r="Z3173">
        <v>10</v>
      </c>
      <c r="AA3173">
        <v>6</v>
      </c>
      <c r="AB3173">
        <v>0.375</v>
      </c>
      <c r="AC3173" t="s">
        <v>117</v>
      </c>
      <c r="AD3173" t="s">
        <v>90</v>
      </c>
      <c r="AE3173" t="s">
        <v>62</v>
      </c>
      <c r="AF3173" t="s">
        <v>62</v>
      </c>
      <c r="AG3173">
        <v>2</v>
      </c>
      <c r="AH3173">
        <v>11</v>
      </c>
      <c r="AI3173">
        <v>6</v>
      </c>
      <c r="AJ3173">
        <v>0.64705999999999997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6</v>
      </c>
      <c r="AQ3173">
        <v>0</v>
      </c>
      <c r="AR3173">
        <v>6</v>
      </c>
      <c r="AS3173">
        <v>4</v>
      </c>
      <c r="AT3173">
        <v>0.6</v>
      </c>
      <c r="AU3173">
        <v>13</v>
      </c>
      <c r="AV3173">
        <v>11</v>
      </c>
      <c r="AW3173">
        <v>24</v>
      </c>
      <c r="AX3173">
        <v>10</v>
      </c>
      <c r="AY3173">
        <v>20</v>
      </c>
      <c r="AZ3173">
        <v>7</v>
      </c>
      <c r="BA3173" t="s">
        <v>9671</v>
      </c>
      <c r="BB3173" t="s">
        <v>9672</v>
      </c>
      <c r="BC3173">
        <v>0.154</v>
      </c>
      <c r="BD3173" t="s">
        <v>65</v>
      </c>
      <c r="BE3173">
        <v>44</v>
      </c>
      <c r="BF3173">
        <v>17</v>
      </c>
      <c r="BG3173" t="s">
        <v>9673</v>
      </c>
      <c r="BH3173" t="s">
        <v>9674</v>
      </c>
      <c r="BI3173" t="s">
        <v>9675</v>
      </c>
      <c r="BJ3173">
        <v>7.9890000000000003E-2</v>
      </c>
      <c r="BK3173">
        <v>1</v>
      </c>
      <c r="BL3173" t="s">
        <v>69</v>
      </c>
      <c r="BM3173">
        <v>-0.377</v>
      </c>
      <c r="BN3173">
        <v>-0.78400000000000003</v>
      </c>
    </row>
    <row r="3174" spans="10:66">
      <c r="J3174">
        <v>0</v>
      </c>
      <c r="K3174">
        <v>0</v>
      </c>
      <c r="L3174">
        <v>0</v>
      </c>
      <c r="M3174" t="s">
        <v>25021</v>
      </c>
      <c r="N3174">
        <v>1554</v>
      </c>
      <c r="O3174" t="s">
        <v>9716</v>
      </c>
      <c r="P3174" t="s">
        <v>62</v>
      </c>
      <c r="Q3174">
        <v>1565350</v>
      </c>
      <c r="R3174">
        <v>1565709</v>
      </c>
      <c r="S3174" t="s">
        <v>288</v>
      </c>
      <c r="T3174">
        <v>120</v>
      </c>
      <c r="U3174" t="s">
        <v>6390</v>
      </c>
      <c r="V3174">
        <v>45</v>
      </c>
      <c r="W3174" t="str">
        <f>HYPERLINK("Gene1554-zp_tree_all.dnd", "Gene1554-tree")</f>
        <v>Gene1554-tree</v>
      </c>
      <c r="X3174">
        <v>8</v>
      </c>
      <c r="Y3174">
        <v>2</v>
      </c>
      <c r="Z3174">
        <v>8</v>
      </c>
      <c r="AA3174">
        <v>2</v>
      </c>
      <c r="AB3174">
        <v>0.2</v>
      </c>
      <c r="AC3174" t="s">
        <v>136</v>
      </c>
      <c r="AD3174" t="s">
        <v>81</v>
      </c>
      <c r="AE3174" t="s">
        <v>62</v>
      </c>
      <c r="AF3174" t="s">
        <v>62</v>
      </c>
      <c r="AG3174">
        <v>0</v>
      </c>
      <c r="AH3174">
        <v>0</v>
      </c>
      <c r="AI3174">
        <v>4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2</v>
      </c>
      <c r="AT3174">
        <v>0</v>
      </c>
      <c r="AU3174">
        <v>8</v>
      </c>
      <c r="AV3174">
        <v>4</v>
      </c>
      <c r="AW3174">
        <v>19</v>
      </c>
      <c r="AX3174">
        <v>2</v>
      </c>
      <c r="AY3174">
        <v>12</v>
      </c>
      <c r="AZ3174">
        <v>2</v>
      </c>
      <c r="BA3174" t="s">
        <v>9717</v>
      </c>
      <c r="BB3174" t="s">
        <v>9718</v>
      </c>
      <c r="BC3174">
        <v>0.19600000000000001</v>
      </c>
      <c r="BD3174" t="s">
        <v>65</v>
      </c>
      <c r="BE3174">
        <v>31</v>
      </c>
      <c r="BF3174">
        <v>4</v>
      </c>
      <c r="BG3174" t="s">
        <v>9719</v>
      </c>
      <c r="BH3174" t="s">
        <v>9720</v>
      </c>
      <c r="BI3174" t="s">
        <v>9721</v>
      </c>
      <c r="BJ3174">
        <v>4.0030000000000003E-2</v>
      </c>
      <c r="BK3174">
        <v>1</v>
      </c>
      <c r="BL3174" t="s">
        <v>69</v>
      </c>
      <c r="BM3174">
        <v>-1.0309999999999999</v>
      </c>
      <c r="BN3174">
        <v>-1.119</v>
      </c>
    </row>
    <row r="3175" spans="10:66">
      <c r="J3175">
        <v>0</v>
      </c>
      <c r="K3175">
        <v>2</v>
      </c>
      <c r="L3175">
        <v>0</v>
      </c>
      <c r="M3175" t="s">
        <v>25021</v>
      </c>
      <c r="N3175">
        <v>1563</v>
      </c>
      <c r="O3175" t="s">
        <v>9773</v>
      </c>
      <c r="P3175" t="s">
        <v>62</v>
      </c>
      <c r="Q3175">
        <v>1570577</v>
      </c>
      <c r="R3175">
        <v>1571800</v>
      </c>
      <c r="S3175" t="s">
        <v>9774</v>
      </c>
      <c r="T3175">
        <v>408</v>
      </c>
      <c r="U3175" t="s">
        <v>108</v>
      </c>
      <c r="V3175">
        <v>44</v>
      </c>
      <c r="W3175" t="str">
        <f>HYPERLINK("Gene1563-zp_tree_all.dnd", "Gene1563-tree")</f>
        <v>Gene1563-tree</v>
      </c>
      <c r="X3175">
        <v>8</v>
      </c>
      <c r="Y3175">
        <v>6</v>
      </c>
      <c r="Z3175">
        <v>8</v>
      </c>
      <c r="AA3175">
        <v>6</v>
      </c>
      <c r="AB3175">
        <v>0.42857000000000001</v>
      </c>
      <c r="AC3175" t="s">
        <v>136</v>
      </c>
      <c r="AD3175" t="s">
        <v>90</v>
      </c>
      <c r="AE3175" t="s">
        <v>62</v>
      </c>
      <c r="AF3175" t="s">
        <v>62</v>
      </c>
      <c r="AG3175">
        <v>1</v>
      </c>
      <c r="AH3175">
        <v>2</v>
      </c>
      <c r="AI3175">
        <v>8</v>
      </c>
      <c r="AJ3175">
        <v>0.2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6</v>
      </c>
      <c r="AT3175">
        <v>0</v>
      </c>
      <c r="AU3175">
        <v>11</v>
      </c>
      <c r="AV3175">
        <v>10</v>
      </c>
      <c r="AW3175">
        <v>24</v>
      </c>
      <c r="AX3175">
        <v>6</v>
      </c>
      <c r="AY3175">
        <v>24</v>
      </c>
      <c r="AZ3175">
        <v>4</v>
      </c>
      <c r="BA3175" t="s">
        <v>9775</v>
      </c>
      <c r="BB3175" t="s">
        <v>9776</v>
      </c>
      <c r="BC3175">
        <v>0.34100000000000003</v>
      </c>
      <c r="BD3175" t="s">
        <v>65</v>
      </c>
      <c r="BE3175">
        <v>48</v>
      </c>
      <c r="BF3175">
        <v>10</v>
      </c>
      <c r="BG3175" t="s">
        <v>9777</v>
      </c>
      <c r="BH3175" t="s">
        <v>9778</v>
      </c>
      <c r="BI3175" t="s">
        <v>9779</v>
      </c>
      <c r="BJ3175">
        <v>6.2149999999999997E-2</v>
      </c>
      <c r="BK3175">
        <v>1</v>
      </c>
      <c r="BL3175" t="s">
        <v>69</v>
      </c>
      <c r="BM3175">
        <v>-0.37</v>
      </c>
      <c r="BN3175">
        <v>-0.79200000000000004</v>
      </c>
    </row>
    <row r="3176" spans="10:66">
      <c r="J3176">
        <v>0</v>
      </c>
      <c r="K3176">
        <v>8</v>
      </c>
      <c r="L3176">
        <v>0</v>
      </c>
      <c r="M3176" t="s">
        <v>25021</v>
      </c>
      <c r="N3176">
        <v>1566</v>
      </c>
      <c r="O3176" t="s">
        <v>9793</v>
      </c>
      <c r="P3176" t="s">
        <v>62</v>
      </c>
      <c r="Q3176">
        <v>1573810</v>
      </c>
      <c r="R3176">
        <v>1575054</v>
      </c>
      <c r="S3176" t="s">
        <v>9794</v>
      </c>
      <c r="T3176">
        <v>415</v>
      </c>
      <c r="U3176" t="s">
        <v>1557</v>
      </c>
      <c r="V3176">
        <v>40</v>
      </c>
      <c r="W3176" t="str">
        <f>HYPERLINK("Gene1566-zp_tree_all.dnd", "Gene1566-tree")</f>
        <v>Gene1566-tree</v>
      </c>
      <c r="X3176">
        <v>3</v>
      </c>
      <c r="Y3176">
        <v>8</v>
      </c>
      <c r="Z3176">
        <v>3</v>
      </c>
      <c r="AA3176">
        <v>8</v>
      </c>
      <c r="AB3176">
        <v>0.72726999999999997</v>
      </c>
      <c r="AC3176" t="s">
        <v>324</v>
      </c>
      <c r="AD3176" t="s">
        <v>136</v>
      </c>
      <c r="AE3176" t="s">
        <v>62</v>
      </c>
      <c r="AF3176" t="s">
        <v>62</v>
      </c>
      <c r="AG3176">
        <v>4</v>
      </c>
      <c r="AH3176">
        <v>8</v>
      </c>
      <c r="AI3176">
        <v>28</v>
      </c>
      <c r="AJ3176">
        <v>0.22222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4</v>
      </c>
      <c r="AQ3176">
        <v>0</v>
      </c>
      <c r="AR3176">
        <v>4</v>
      </c>
      <c r="AS3176">
        <v>18</v>
      </c>
      <c r="AT3176">
        <v>0.18182000000000001</v>
      </c>
      <c r="AU3176">
        <v>10</v>
      </c>
      <c r="AV3176">
        <v>8</v>
      </c>
      <c r="AW3176">
        <v>28</v>
      </c>
      <c r="AX3176">
        <v>22</v>
      </c>
      <c r="AY3176">
        <v>33</v>
      </c>
      <c r="AZ3176">
        <v>14</v>
      </c>
      <c r="BA3176" t="s">
        <v>9795</v>
      </c>
      <c r="BB3176" t="s">
        <v>9796</v>
      </c>
      <c r="BC3176">
        <v>1.1599999999999999</v>
      </c>
      <c r="BD3176" t="s">
        <v>65</v>
      </c>
      <c r="BE3176">
        <v>61</v>
      </c>
      <c r="BF3176">
        <v>36</v>
      </c>
      <c r="BG3176" t="s">
        <v>9797</v>
      </c>
      <c r="BH3176" t="s">
        <v>9798</v>
      </c>
      <c r="BI3176" t="s">
        <v>9799</v>
      </c>
      <c r="BJ3176">
        <v>0.17885000000000001</v>
      </c>
      <c r="BK3176">
        <v>1</v>
      </c>
      <c r="BL3176" t="s">
        <v>69</v>
      </c>
      <c r="BM3176">
        <v>0.128</v>
      </c>
      <c r="BN3176">
        <v>-0.64900000000000002</v>
      </c>
    </row>
    <row r="3177" spans="10:66">
      <c r="J3177">
        <v>0</v>
      </c>
      <c r="K3177">
        <v>3</v>
      </c>
      <c r="L3177">
        <v>3</v>
      </c>
      <c r="M3177" t="s">
        <v>25021</v>
      </c>
      <c r="N3177">
        <v>1567</v>
      </c>
      <c r="O3177" t="s">
        <v>9800</v>
      </c>
      <c r="P3177" t="s">
        <v>62</v>
      </c>
      <c r="Q3177">
        <v>1575054</v>
      </c>
      <c r="R3177">
        <v>1575236</v>
      </c>
      <c r="S3177" t="s">
        <v>9801</v>
      </c>
      <c r="T3177">
        <v>61</v>
      </c>
      <c r="U3177" t="s">
        <v>59</v>
      </c>
      <c r="V3177">
        <v>49</v>
      </c>
      <c r="W3177" t="str">
        <f>HYPERLINK("Gene1567-zp_tree_all.dnd", "Gene1567-tree")</f>
        <v>Gene1567-tree</v>
      </c>
      <c r="X3177">
        <v>2</v>
      </c>
      <c r="Y3177">
        <v>5</v>
      </c>
      <c r="Z3177">
        <v>2</v>
      </c>
      <c r="AA3177">
        <v>5</v>
      </c>
      <c r="AB3177">
        <v>0.71428999999999998</v>
      </c>
      <c r="AC3177" t="s">
        <v>81</v>
      </c>
      <c r="AD3177" t="s">
        <v>199</v>
      </c>
      <c r="AE3177" t="s">
        <v>62</v>
      </c>
      <c r="AF3177" t="s">
        <v>62</v>
      </c>
      <c r="AG3177">
        <v>2</v>
      </c>
      <c r="AH3177">
        <v>6</v>
      </c>
      <c r="AI3177">
        <v>3</v>
      </c>
      <c r="AJ3177">
        <v>0.66666999999999998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2</v>
      </c>
      <c r="AQ3177">
        <v>2</v>
      </c>
      <c r="AR3177">
        <v>4</v>
      </c>
      <c r="AS3177">
        <v>1</v>
      </c>
      <c r="AT3177">
        <v>0.8</v>
      </c>
      <c r="AU3177">
        <v>6</v>
      </c>
      <c r="AV3177">
        <v>3</v>
      </c>
      <c r="AW3177">
        <v>2</v>
      </c>
      <c r="AX3177">
        <v>5</v>
      </c>
      <c r="AY3177">
        <v>2</v>
      </c>
      <c r="AZ3177">
        <v>4</v>
      </c>
      <c r="BA3177" t="s">
        <v>9802</v>
      </c>
      <c r="BB3177" t="s">
        <v>9803</v>
      </c>
      <c r="BC3177">
        <v>0.17599999999999999</v>
      </c>
      <c r="BD3177" t="s">
        <v>65</v>
      </c>
      <c r="BE3177">
        <v>4</v>
      </c>
      <c r="BF3177">
        <v>9</v>
      </c>
      <c r="BG3177" t="s">
        <v>9804</v>
      </c>
      <c r="BH3177" t="s">
        <v>9805</v>
      </c>
      <c r="BI3177" t="s">
        <v>9806</v>
      </c>
      <c r="BJ3177">
        <v>0.44879000000000002</v>
      </c>
      <c r="BK3177">
        <v>0.78700000000000003</v>
      </c>
      <c r="BL3177" t="s">
        <v>635</v>
      </c>
      <c r="BM3177">
        <v>-1.853</v>
      </c>
      <c r="BN3177">
        <v>-1.419</v>
      </c>
    </row>
    <row r="3178" spans="10:66">
      <c r="J3178">
        <v>0</v>
      </c>
      <c r="K3178">
        <v>0</v>
      </c>
      <c r="L3178">
        <v>0</v>
      </c>
      <c r="M3178" t="s">
        <v>25021</v>
      </c>
      <c r="N3178">
        <v>1571</v>
      </c>
      <c r="O3178" t="s">
        <v>9820</v>
      </c>
      <c r="P3178" t="s">
        <v>62</v>
      </c>
      <c r="Q3178">
        <v>1576770</v>
      </c>
      <c r="R3178">
        <v>1577249</v>
      </c>
      <c r="S3178" t="s">
        <v>3537</v>
      </c>
      <c r="T3178">
        <v>160</v>
      </c>
      <c r="U3178" t="s">
        <v>160</v>
      </c>
      <c r="V3178">
        <v>45</v>
      </c>
      <c r="W3178" t="str">
        <f>HYPERLINK("Gene1571-zp_tree_all.dnd", "Gene1571-tree")</f>
        <v>Gene1571-tree</v>
      </c>
      <c r="X3178">
        <v>7</v>
      </c>
      <c r="Y3178">
        <v>2</v>
      </c>
      <c r="Z3178">
        <v>7</v>
      </c>
      <c r="AA3178">
        <v>2</v>
      </c>
      <c r="AB3178">
        <v>0.22222</v>
      </c>
      <c r="AC3178" t="s">
        <v>152</v>
      </c>
      <c r="AD3178" t="s">
        <v>81</v>
      </c>
      <c r="AE3178" t="s">
        <v>62</v>
      </c>
      <c r="AF3178" t="s">
        <v>62</v>
      </c>
      <c r="AG3178">
        <v>0</v>
      </c>
      <c r="AH3178">
        <v>0</v>
      </c>
      <c r="AI3178">
        <v>6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5</v>
      </c>
      <c r="AT3178">
        <v>0</v>
      </c>
      <c r="AU3178">
        <v>7</v>
      </c>
      <c r="AV3178">
        <v>3</v>
      </c>
      <c r="AW3178">
        <v>29</v>
      </c>
      <c r="AX3178">
        <v>5</v>
      </c>
      <c r="AY3178">
        <v>2</v>
      </c>
      <c r="AZ3178">
        <v>1</v>
      </c>
      <c r="BA3178" t="s">
        <v>9821</v>
      </c>
      <c r="BB3178" t="s">
        <v>9822</v>
      </c>
      <c r="BC3178">
        <v>0.42399999999999999</v>
      </c>
      <c r="BD3178" t="s">
        <v>65</v>
      </c>
      <c r="BE3178">
        <v>31</v>
      </c>
      <c r="BF3178">
        <v>6</v>
      </c>
      <c r="BG3178" t="s">
        <v>9823</v>
      </c>
      <c r="BH3178" t="s">
        <v>9824</v>
      </c>
      <c r="BI3178" t="s">
        <v>9825</v>
      </c>
      <c r="BJ3178">
        <v>5.176E-2</v>
      </c>
      <c r="BK3178">
        <v>1</v>
      </c>
      <c r="BL3178" t="s">
        <v>69</v>
      </c>
      <c r="BM3178">
        <v>-1.859</v>
      </c>
      <c r="BN3178">
        <v>-3.641</v>
      </c>
    </row>
    <row r="3179" spans="10:66">
      <c r="J3179">
        <v>0</v>
      </c>
      <c r="K3179">
        <v>3</v>
      </c>
      <c r="L3179">
        <v>2</v>
      </c>
      <c r="M3179" t="s">
        <v>25021</v>
      </c>
      <c r="N3179">
        <v>1625</v>
      </c>
      <c r="O3179" t="s">
        <v>10181</v>
      </c>
      <c r="P3179" t="s">
        <v>62</v>
      </c>
      <c r="Q3179">
        <v>1636134</v>
      </c>
      <c r="R3179">
        <v>1637849</v>
      </c>
      <c r="S3179" t="s">
        <v>10182</v>
      </c>
      <c r="T3179">
        <v>572</v>
      </c>
      <c r="U3179" t="s">
        <v>108</v>
      </c>
      <c r="V3179">
        <v>44</v>
      </c>
      <c r="W3179" t="str">
        <f>HYPERLINK("Gene1625-zp_tree_all.dnd", "Gene1625-tree")</f>
        <v>Gene1625-tree</v>
      </c>
      <c r="X3179">
        <v>3</v>
      </c>
      <c r="Y3179">
        <v>11</v>
      </c>
      <c r="Z3179">
        <v>3</v>
      </c>
      <c r="AA3179">
        <v>11</v>
      </c>
      <c r="AB3179">
        <v>0.78571000000000002</v>
      </c>
      <c r="AC3179" t="s">
        <v>324</v>
      </c>
      <c r="AD3179" t="s">
        <v>73</v>
      </c>
      <c r="AE3179">
        <v>305230034.74400002</v>
      </c>
      <c r="AF3179" t="s">
        <v>267</v>
      </c>
      <c r="AG3179">
        <v>2</v>
      </c>
      <c r="AH3179">
        <v>5</v>
      </c>
      <c r="AI3179">
        <v>15</v>
      </c>
      <c r="AJ3179">
        <v>0.25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2</v>
      </c>
      <c r="AQ3179">
        <v>0</v>
      </c>
      <c r="AR3179">
        <v>2</v>
      </c>
      <c r="AS3179">
        <v>11</v>
      </c>
      <c r="AT3179">
        <v>0.15384999999999999</v>
      </c>
      <c r="AU3179">
        <v>13</v>
      </c>
      <c r="AV3179">
        <v>11</v>
      </c>
      <c r="AW3179">
        <v>46</v>
      </c>
      <c r="AX3179">
        <v>13</v>
      </c>
      <c r="AY3179">
        <v>46</v>
      </c>
      <c r="AZ3179">
        <v>7</v>
      </c>
      <c r="BA3179" t="s">
        <v>10183</v>
      </c>
      <c r="BB3179" t="s">
        <v>10184</v>
      </c>
      <c r="BC3179">
        <v>0.90700000000000003</v>
      </c>
      <c r="BD3179" t="s">
        <v>65</v>
      </c>
      <c r="BE3179">
        <v>92</v>
      </c>
      <c r="BF3179">
        <v>20</v>
      </c>
      <c r="BG3179" t="s">
        <v>10185</v>
      </c>
      <c r="BH3179" t="s">
        <v>10186</v>
      </c>
      <c r="BI3179" t="s">
        <v>10187</v>
      </c>
      <c r="BJ3179">
        <v>5.9859999999999997E-2</v>
      </c>
      <c r="BK3179">
        <v>1</v>
      </c>
      <c r="BL3179" t="s">
        <v>69</v>
      </c>
      <c r="BM3179">
        <v>-0.70799999999999996</v>
      </c>
      <c r="BN3179">
        <v>-0.57099999999999995</v>
      </c>
    </row>
    <row r="3180" spans="10:66">
      <c r="J3180">
        <v>0</v>
      </c>
      <c r="K3180">
        <v>0</v>
      </c>
      <c r="L3180">
        <v>0</v>
      </c>
      <c r="M3180" t="s">
        <v>25021</v>
      </c>
      <c r="N3180">
        <v>1657</v>
      </c>
      <c r="O3180" t="s">
        <v>10376</v>
      </c>
      <c r="P3180" t="s">
        <v>62</v>
      </c>
      <c r="Q3180">
        <v>1671169</v>
      </c>
      <c r="R3180">
        <v>1671651</v>
      </c>
      <c r="S3180" t="s">
        <v>10377</v>
      </c>
      <c r="T3180">
        <v>161</v>
      </c>
      <c r="U3180" t="s">
        <v>108</v>
      </c>
      <c r="V3180">
        <v>44</v>
      </c>
      <c r="W3180" t="str">
        <f>HYPERLINK("Gene1657-zp_tree_all.dnd", "Gene1657-tree")</f>
        <v>Gene1657-tree</v>
      </c>
      <c r="X3180">
        <v>30</v>
      </c>
      <c r="Y3180">
        <v>3</v>
      </c>
      <c r="Z3180">
        <v>7</v>
      </c>
      <c r="AA3180">
        <v>3</v>
      </c>
      <c r="AB3180">
        <v>0.3</v>
      </c>
      <c r="AC3180" t="s">
        <v>5684</v>
      </c>
      <c r="AD3180" t="s">
        <v>324</v>
      </c>
      <c r="AE3180" t="s">
        <v>62</v>
      </c>
      <c r="AF3180" t="s">
        <v>62</v>
      </c>
      <c r="AG3180">
        <v>0</v>
      </c>
      <c r="AH3180">
        <v>0</v>
      </c>
      <c r="AI3180">
        <v>4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4</v>
      </c>
      <c r="AT3180">
        <v>0</v>
      </c>
      <c r="AU3180">
        <v>7</v>
      </c>
      <c r="AV3180">
        <v>6</v>
      </c>
      <c r="AW3180">
        <v>15</v>
      </c>
      <c r="AX3180">
        <v>4</v>
      </c>
      <c r="AY3180">
        <v>12</v>
      </c>
      <c r="AZ3180">
        <v>0</v>
      </c>
      <c r="BA3180" t="s">
        <v>10378</v>
      </c>
      <c r="BB3180" t="s">
        <v>193</v>
      </c>
      <c r="BC3180">
        <v>1.486</v>
      </c>
      <c r="BD3180" t="s">
        <v>65</v>
      </c>
      <c r="BE3180">
        <v>27</v>
      </c>
      <c r="BF3180">
        <v>4</v>
      </c>
      <c r="BG3180" t="s">
        <v>10379</v>
      </c>
      <c r="BH3180" t="s">
        <v>10380</v>
      </c>
      <c r="BI3180" t="s">
        <v>10381</v>
      </c>
      <c r="BJ3180">
        <v>3.4160000000000003E-2</v>
      </c>
      <c r="BK3180">
        <v>1</v>
      </c>
      <c r="BL3180" t="s">
        <v>69</v>
      </c>
      <c r="BM3180">
        <v>-1.2090000000000001</v>
      </c>
      <c r="BN3180">
        <v>-2.153</v>
      </c>
    </row>
    <row r="3181" spans="10:66">
      <c r="J3181">
        <v>0</v>
      </c>
      <c r="K3181">
        <v>4</v>
      </c>
      <c r="L3181">
        <v>0</v>
      </c>
      <c r="M3181" t="s">
        <v>25021</v>
      </c>
      <c r="N3181">
        <v>1767</v>
      </c>
      <c r="O3181" t="s">
        <v>11066</v>
      </c>
      <c r="P3181" t="s">
        <v>62</v>
      </c>
      <c r="Q3181">
        <v>1780621</v>
      </c>
      <c r="R3181">
        <v>1781073</v>
      </c>
      <c r="S3181" t="s">
        <v>3095</v>
      </c>
      <c r="T3181">
        <v>151</v>
      </c>
      <c r="U3181" t="s">
        <v>108</v>
      </c>
      <c r="V3181">
        <v>44</v>
      </c>
      <c r="W3181" t="str">
        <f>HYPERLINK("Gene1767-zp_tree_all.dnd", "Gene1767-tree")</f>
        <v>Gene1767-tree</v>
      </c>
      <c r="X3181">
        <v>4</v>
      </c>
      <c r="Y3181">
        <v>7</v>
      </c>
      <c r="Z3181">
        <v>4</v>
      </c>
      <c r="AA3181">
        <v>7</v>
      </c>
      <c r="AB3181">
        <v>0.63636000000000004</v>
      </c>
      <c r="AC3181" t="s">
        <v>61</v>
      </c>
      <c r="AD3181" t="s">
        <v>152</v>
      </c>
      <c r="AE3181" t="s">
        <v>62</v>
      </c>
      <c r="AF3181" t="s">
        <v>62</v>
      </c>
      <c r="AG3181">
        <v>2</v>
      </c>
      <c r="AH3181">
        <v>4</v>
      </c>
      <c r="AI3181">
        <v>13</v>
      </c>
      <c r="AJ3181">
        <v>0.23529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2</v>
      </c>
      <c r="AQ3181">
        <v>0</v>
      </c>
      <c r="AR3181">
        <v>2</v>
      </c>
      <c r="AS3181">
        <v>10</v>
      </c>
      <c r="AT3181">
        <v>0.16667000000000001</v>
      </c>
      <c r="AU3181">
        <v>9</v>
      </c>
      <c r="AV3181">
        <v>6</v>
      </c>
      <c r="AW3181">
        <v>12</v>
      </c>
      <c r="AX3181">
        <v>12</v>
      </c>
      <c r="AY3181">
        <v>9</v>
      </c>
      <c r="AZ3181">
        <v>5</v>
      </c>
      <c r="BA3181" t="s">
        <v>11067</v>
      </c>
      <c r="BB3181" t="s">
        <v>11068</v>
      </c>
      <c r="BC3181">
        <v>0.48</v>
      </c>
      <c r="BD3181" t="s">
        <v>65</v>
      </c>
      <c r="BE3181">
        <v>21</v>
      </c>
      <c r="BF3181">
        <v>17</v>
      </c>
      <c r="BG3181" t="s">
        <v>11069</v>
      </c>
      <c r="BH3181" t="s">
        <v>11070</v>
      </c>
      <c r="BI3181" t="s">
        <v>11071</v>
      </c>
      <c r="BJ3181">
        <v>0.28134999999999999</v>
      </c>
      <c r="BK3181">
        <v>1</v>
      </c>
      <c r="BL3181" t="s">
        <v>69</v>
      </c>
      <c r="BM3181">
        <v>7.0999999999999994E-2</v>
      </c>
      <c r="BN3181">
        <v>0.159</v>
      </c>
    </row>
    <row r="3182" spans="10:66">
      <c r="J3182">
        <v>0</v>
      </c>
      <c r="K3182">
        <v>5</v>
      </c>
      <c r="L3182">
        <v>3</v>
      </c>
      <c r="M3182" t="s">
        <v>25021</v>
      </c>
      <c r="N3182">
        <v>1768</v>
      </c>
      <c r="O3182" t="s">
        <v>11072</v>
      </c>
      <c r="P3182" t="s">
        <v>62</v>
      </c>
      <c r="Q3182">
        <v>1781231</v>
      </c>
      <c r="R3182">
        <v>1781785</v>
      </c>
      <c r="S3182" t="s">
        <v>3095</v>
      </c>
      <c r="T3182">
        <v>185</v>
      </c>
      <c r="U3182" t="s">
        <v>108</v>
      </c>
      <c r="V3182">
        <v>44</v>
      </c>
      <c r="W3182" t="str">
        <f>HYPERLINK("Gene1768-zp_tree_all.dnd", "Gene1768-tree")</f>
        <v>Gene1768-tree</v>
      </c>
      <c r="X3182">
        <v>2</v>
      </c>
      <c r="Y3182">
        <v>9</v>
      </c>
      <c r="Z3182">
        <v>2</v>
      </c>
      <c r="AA3182">
        <v>9</v>
      </c>
      <c r="AB3182">
        <v>0.81818000000000002</v>
      </c>
      <c r="AC3182" t="s">
        <v>81</v>
      </c>
      <c r="AD3182" t="s">
        <v>135</v>
      </c>
      <c r="AE3182" t="s">
        <v>62</v>
      </c>
      <c r="AF3182" t="s">
        <v>62</v>
      </c>
      <c r="AG3182">
        <v>3</v>
      </c>
      <c r="AH3182">
        <v>8</v>
      </c>
      <c r="AI3182">
        <v>9</v>
      </c>
      <c r="AJ3182">
        <v>0.47059000000000001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2</v>
      </c>
      <c r="AQ3182">
        <v>4</v>
      </c>
      <c r="AR3182">
        <v>6</v>
      </c>
      <c r="AS3182">
        <v>9</v>
      </c>
      <c r="AT3182">
        <v>0.4</v>
      </c>
      <c r="AU3182">
        <v>10</v>
      </c>
      <c r="AV3182">
        <v>7</v>
      </c>
      <c r="AW3182">
        <v>16</v>
      </c>
      <c r="AX3182">
        <v>14</v>
      </c>
      <c r="AY3182">
        <v>7</v>
      </c>
      <c r="AZ3182">
        <v>3</v>
      </c>
      <c r="BA3182" t="s">
        <v>11073</v>
      </c>
      <c r="BB3182" t="s">
        <v>11074</v>
      </c>
      <c r="BC3182">
        <v>0.82699999999999996</v>
      </c>
      <c r="BD3182" t="s">
        <v>65</v>
      </c>
      <c r="BE3182">
        <v>23</v>
      </c>
      <c r="BF3182">
        <v>17</v>
      </c>
      <c r="BG3182" t="s">
        <v>11075</v>
      </c>
      <c r="BH3182" t="s">
        <v>11076</v>
      </c>
      <c r="BI3182" t="s">
        <v>11077</v>
      </c>
      <c r="BJ3182">
        <v>0.19439999999999999</v>
      </c>
      <c r="BK3182">
        <v>1</v>
      </c>
      <c r="BL3182" t="s">
        <v>69</v>
      </c>
      <c r="BM3182">
        <v>-0.79200000000000004</v>
      </c>
      <c r="BN3182">
        <v>-1.7769999999999999</v>
      </c>
    </row>
    <row r="3183" spans="10:66">
      <c r="J3183">
        <v>0</v>
      </c>
      <c r="K3183">
        <v>7</v>
      </c>
      <c r="L3183">
        <v>1</v>
      </c>
      <c r="M3183" t="s">
        <v>25021</v>
      </c>
      <c r="N3183">
        <v>1784</v>
      </c>
      <c r="O3183" t="s">
        <v>11185</v>
      </c>
      <c r="P3183" t="s">
        <v>62</v>
      </c>
      <c r="Q3183">
        <v>1858569</v>
      </c>
      <c r="R3183">
        <v>1859783</v>
      </c>
      <c r="S3183" t="s">
        <v>11186</v>
      </c>
      <c r="T3183">
        <v>405</v>
      </c>
      <c r="U3183" t="s">
        <v>11187</v>
      </c>
      <c r="V3183">
        <v>35</v>
      </c>
      <c r="W3183" t="str">
        <f>HYPERLINK("Gene1784-zp_tree_all.dnd", "Gene1784-tree")</f>
        <v>Gene1784-tree</v>
      </c>
      <c r="X3183">
        <v>2</v>
      </c>
      <c r="Y3183">
        <v>10</v>
      </c>
      <c r="Z3183">
        <v>2</v>
      </c>
      <c r="AA3183">
        <v>10</v>
      </c>
      <c r="AB3183">
        <v>0.83333000000000002</v>
      </c>
      <c r="AC3183" t="s">
        <v>81</v>
      </c>
      <c r="AD3183" t="s">
        <v>117</v>
      </c>
      <c r="AE3183" t="s">
        <v>62</v>
      </c>
      <c r="AF3183" t="s">
        <v>62</v>
      </c>
      <c r="AG3183">
        <v>3</v>
      </c>
      <c r="AH3183">
        <v>8</v>
      </c>
      <c r="AI3183">
        <v>15</v>
      </c>
      <c r="AJ3183">
        <v>0.34782999999999997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4</v>
      </c>
      <c r="AQ3183">
        <v>1</v>
      </c>
      <c r="AR3183">
        <v>5</v>
      </c>
      <c r="AS3183">
        <v>12</v>
      </c>
      <c r="AT3183">
        <v>0.29411999999999999</v>
      </c>
      <c r="AU3183">
        <v>12</v>
      </c>
      <c r="AV3183">
        <v>7</v>
      </c>
      <c r="AW3183">
        <v>33</v>
      </c>
      <c r="AX3183">
        <v>17</v>
      </c>
      <c r="AY3183">
        <v>14</v>
      </c>
      <c r="AZ3183">
        <v>6</v>
      </c>
      <c r="BA3183" t="s">
        <v>11188</v>
      </c>
      <c r="BB3183" t="s">
        <v>11189</v>
      </c>
      <c r="BC3183">
        <v>0.29899999999999999</v>
      </c>
      <c r="BD3183" t="s">
        <v>65</v>
      </c>
      <c r="BE3183">
        <v>47</v>
      </c>
      <c r="BF3183">
        <v>23</v>
      </c>
      <c r="BG3183" t="s">
        <v>11190</v>
      </c>
      <c r="BH3183" t="s">
        <v>11191</v>
      </c>
      <c r="BI3183" t="s">
        <v>11192</v>
      </c>
      <c r="BJ3183">
        <v>0.13663</v>
      </c>
      <c r="BK3183">
        <v>1</v>
      </c>
      <c r="BL3183" t="s">
        <v>69</v>
      </c>
      <c r="BM3183">
        <v>-0.47499999999999998</v>
      </c>
      <c r="BN3183">
        <v>-0.40400000000000003</v>
      </c>
    </row>
    <row r="3184" spans="10:66">
      <c r="J3184">
        <v>0</v>
      </c>
      <c r="K3184">
        <v>4</v>
      </c>
      <c r="L3184">
        <v>2</v>
      </c>
      <c r="M3184" t="s">
        <v>25021</v>
      </c>
      <c r="N3184">
        <v>1785</v>
      </c>
      <c r="O3184" t="s">
        <v>11193</v>
      </c>
      <c r="P3184" t="s">
        <v>62</v>
      </c>
      <c r="Q3184">
        <v>1860017</v>
      </c>
      <c r="R3184">
        <v>1860370</v>
      </c>
      <c r="S3184" t="s">
        <v>11194</v>
      </c>
      <c r="T3184">
        <v>118</v>
      </c>
      <c r="U3184" t="s">
        <v>108</v>
      </c>
      <c r="V3184">
        <v>44</v>
      </c>
      <c r="W3184" t="str">
        <f>HYPERLINK("Gene1785-zp_tree_all.dnd", "Gene1785-tree")</f>
        <v>Gene1785-tree</v>
      </c>
      <c r="X3184">
        <v>24</v>
      </c>
      <c r="Y3184">
        <v>4</v>
      </c>
      <c r="Z3184">
        <v>7</v>
      </c>
      <c r="AA3184">
        <v>4</v>
      </c>
      <c r="AB3184">
        <v>0.36364000000000002</v>
      </c>
      <c r="AC3184" t="s">
        <v>638</v>
      </c>
      <c r="AD3184" t="s">
        <v>61</v>
      </c>
      <c r="AE3184" t="s">
        <v>62</v>
      </c>
      <c r="AF3184" t="s">
        <v>62</v>
      </c>
      <c r="AG3184">
        <v>3</v>
      </c>
      <c r="AH3184">
        <v>6</v>
      </c>
      <c r="AI3184">
        <v>2</v>
      </c>
      <c r="AJ3184">
        <v>0.75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5</v>
      </c>
      <c r="AT3184">
        <v>0</v>
      </c>
      <c r="AU3184">
        <v>6</v>
      </c>
      <c r="AV3184">
        <v>5</v>
      </c>
      <c r="AW3184">
        <v>5</v>
      </c>
      <c r="AX3184">
        <v>4</v>
      </c>
      <c r="AY3184">
        <v>4</v>
      </c>
      <c r="AZ3184">
        <v>4</v>
      </c>
      <c r="BA3184" t="s">
        <v>11195</v>
      </c>
      <c r="BB3184" t="s">
        <v>11196</v>
      </c>
      <c r="BC3184">
        <v>0.251</v>
      </c>
      <c r="BD3184" t="s">
        <v>65</v>
      </c>
      <c r="BE3184">
        <v>9</v>
      </c>
      <c r="BF3184">
        <v>8</v>
      </c>
      <c r="BG3184" t="s">
        <v>3046</v>
      </c>
      <c r="BH3184" t="s">
        <v>11197</v>
      </c>
      <c r="BI3184" t="s">
        <v>11198</v>
      </c>
      <c r="BJ3184">
        <v>0.30503000000000002</v>
      </c>
      <c r="BK3184">
        <v>0.96799999999999997</v>
      </c>
      <c r="BL3184" t="s">
        <v>69</v>
      </c>
      <c r="BM3184">
        <v>0.44900000000000001</v>
      </c>
      <c r="BN3184">
        <v>-1.847</v>
      </c>
    </row>
    <row r="3185" spans="10:66">
      <c r="J3185">
        <v>0</v>
      </c>
      <c r="K3185">
        <v>8</v>
      </c>
      <c r="L3185">
        <v>2</v>
      </c>
      <c r="M3185" t="s">
        <v>25021</v>
      </c>
      <c r="N3185">
        <v>1786</v>
      </c>
      <c r="O3185" t="s">
        <v>11199</v>
      </c>
      <c r="P3185" t="s">
        <v>62</v>
      </c>
      <c r="Q3185">
        <v>1860452</v>
      </c>
      <c r="R3185">
        <v>1861273</v>
      </c>
      <c r="S3185" t="s">
        <v>2512</v>
      </c>
      <c r="T3185">
        <v>274</v>
      </c>
      <c r="U3185" t="s">
        <v>265</v>
      </c>
      <c r="V3185">
        <v>43</v>
      </c>
      <c r="W3185" t="str">
        <f>HYPERLINK("Gene1786-zp_tree_all.dnd", "Gene1786-tree")</f>
        <v>Gene1786-tree</v>
      </c>
      <c r="X3185">
        <v>5</v>
      </c>
      <c r="Y3185">
        <v>10</v>
      </c>
      <c r="Z3185">
        <v>5</v>
      </c>
      <c r="AA3185">
        <v>10</v>
      </c>
      <c r="AB3185">
        <v>0.66666999999999998</v>
      </c>
      <c r="AC3185" t="s">
        <v>199</v>
      </c>
      <c r="AD3185" t="s">
        <v>117</v>
      </c>
      <c r="AE3185" t="s">
        <v>62</v>
      </c>
      <c r="AF3185" t="s">
        <v>62</v>
      </c>
      <c r="AG3185">
        <v>4</v>
      </c>
      <c r="AH3185">
        <v>10</v>
      </c>
      <c r="AI3185">
        <v>15</v>
      </c>
      <c r="AJ3185">
        <v>0.4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2</v>
      </c>
      <c r="AQ3185">
        <v>0</v>
      </c>
      <c r="AR3185">
        <v>2</v>
      </c>
      <c r="AS3185">
        <v>12</v>
      </c>
      <c r="AT3185">
        <v>0.14285999999999999</v>
      </c>
      <c r="AU3185">
        <v>14</v>
      </c>
      <c r="AV3185">
        <v>12</v>
      </c>
      <c r="AW3185">
        <v>39</v>
      </c>
      <c r="AX3185">
        <v>14</v>
      </c>
      <c r="AY3185">
        <v>22</v>
      </c>
      <c r="AZ3185">
        <v>11</v>
      </c>
      <c r="BA3185" t="s">
        <v>11200</v>
      </c>
      <c r="BB3185" t="s">
        <v>11201</v>
      </c>
      <c r="BC3185">
        <v>0.49299999999999999</v>
      </c>
      <c r="BD3185" t="s">
        <v>65</v>
      </c>
      <c r="BE3185">
        <v>61</v>
      </c>
      <c r="BF3185">
        <v>25</v>
      </c>
      <c r="BG3185" t="s">
        <v>11202</v>
      </c>
      <c r="BH3185" t="s">
        <v>11203</v>
      </c>
      <c r="BI3185" t="s">
        <v>11204</v>
      </c>
      <c r="BJ3185">
        <v>0.13292000000000001</v>
      </c>
      <c r="BK3185">
        <v>1</v>
      </c>
      <c r="BL3185" t="s">
        <v>69</v>
      </c>
      <c r="BM3185">
        <v>8.4000000000000005E-2</v>
      </c>
      <c r="BN3185">
        <v>-0.33900000000000002</v>
      </c>
    </row>
    <row r="3186" spans="10:66">
      <c r="J3186">
        <v>0</v>
      </c>
      <c r="K3186">
        <v>14</v>
      </c>
      <c r="L3186">
        <v>0</v>
      </c>
      <c r="M3186" t="s">
        <v>25021</v>
      </c>
      <c r="N3186">
        <v>1787</v>
      </c>
      <c r="O3186" t="s">
        <v>11205</v>
      </c>
      <c r="P3186" t="s">
        <v>62</v>
      </c>
      <c r="Q3186">
        <v>1861387</v>
      </c>
      <c r="R3186">
        <v>1862712</v>
      </c>
      <c r="S3186" t="s">
        <v>11206</v>
      </c>
      <c r="T3186">
        <v>442</v>
      </c>
      <c r="U3186" t="s">
        <v>108</v>
      </c>
      <c r="V3186">
        <v>44</v>
      </c>
      <c r="W3186" t="str">
        <f>HYPERLINK("Gene1787-zp_tree_all.dnd", "Gene1787-tree")</f>
        <v>Gene1787-tree</v>
      </c>
      <c r="X3186">
        <v>5</v>
      </c>
      <c r="Y3186">
        <v>10</v>
      </c>
      <c r="Z3186">
        <v>5</v>
      </c>
      <c r="AA3186">
        <v>10</v>
      </c>
      <c r="AB3186">
        <v>0.66666999999999998</v>
      </c>
      <c r="AC3186" t="s">
        <v>199</v>
      </c>
      <c r="AD3186" t="s">
        <v>117</v>
      </c>
      <c r="AE3186" t="s">
        <v>62</v>
      </c>
      <c r="AF3186" t="s">
        <v>62</v>
      </c>
      <c r="AG3186">
        <v>6</v>
      </c>
      <c r="AH3186">
        <v>14</v>
      </c>
      <c r="AI3186">
        <v>16</v>
      </c>
      <c r="AJ3186">
        <v>0.46666999999999997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10</v>
      </c>
      <c r="AQ3186">
        <v>0</v>
      </c>
      <c r="AR3186">
        <v>10</v>
      </c>
      <c r="AS3186">
        <v>15</v>
      </c>
      <c r="AT3186">
        <v>0.4</v>
      </c>
      <c r="AU3186">
        <v>14</v>
      </c>
      <c r="AV3186">
        <v>11</v>
      </c>
      <c r="AW3186">
        <v>34</v>
      </c>
      <c r="AX3186">
        <v>25</v>
      </c>
      <c r="AY3186">
        <v>15</v>
      </c>
      <c r="AZ3186">
        <v>5</v>
      </c>
      <c r="BA3186" t="s">
        <v>11207</v>
      </c>
      <c r="BB3186" t="s">
        <v>11208</v>
      </c>
      <c r="BC3186">
        <v>1.746</v>
      </c>
      <c r="BD3186" t="s">
        <v>65</v>
      </c>
      <c r="BE3186">
        <v>49</v>
      </c>
      <c r="BF3186">
        <v>30</v>
      </c>
      <c r="BG3186" t="s">
        <v>11209</v>
      </c>
      <c r="BH3186" t="s">
        <v>11210</v>
      </c>
      <c r="BI3186" t="s">
        <v>11211</v>
      </c>
      <c r="BJ3186">
        <v>0.18051</v>
      </c>
      <c r="BK3186">
        <v>1</v>
      </c>
      <c r="BL3186" t="s">
        <v>69</v>
      </c>
      <c r="BM3186">
        <v>-0.83099999999999996</v>
      </c>
      <c r="BN3186">
        <v>-1.7829999999999999</v>
      </c>
    </row>
    <row r="3187" spans="10:66">
      <c r="J3187">
        <v>0</v>
      </c>
      <c r="K3187">
        <v>0</v>
      </c>
      <c r="L3187">
        <v>0</v>
      </c>
      <c r="M3187" t="s">
        <v>25021</v>
      </c>
      <c r="N3187">
        <v>1792</v>
      </c>
      <c r="O3187" t="s">
        <v>11225</v>
      </c>
      <c r="P3187" t="s">
        <v>62</v>
      </c>
      <c r="Q3187">
        <v>1864694</v>
      </c>
      <c r="R3187">
        <v>1865044</v>
      </c>
      <c r="S3187" t="s">
        <v>11226</v>
      </c>
      <c r="T3187">
        <v>117</v>
      </c>
      <c r="U3187" t="s">
        <v>108</v>
      </c>
      <c r="V3187">
        <v>44</v>
      </c>
      <c r="W3187" t="str">
        <f>HYPERLINK("Gene1792-zp_tree_all.dnd", "Gene1792-tree")</f>
        <v>Gene1792-tree</v>
      </c>
      <c r="X3187">
        <v>7</v>
      </c>
      <c r="Y3187">
        <v>3</v>
      </c>
      <c r="Z3187">
        <v>7</v>
      </c>
      <c r="AA3187">
        <v>3</v>
      </c>
      <c r="AB3187">
        <v>0.3</v>
      </c>
      <c r="AC3187" t="s">
        <v>152</v>
      </c>
      <c r="AD3187" t="s">
        <v>324</v>
      </c>
      <c r="AE3187" t="s">
        <v>62</v>
      </c>
      <c r="AF3187" t="s">
        <v>62</v>
      </c>
      <c r="AG3187">
        <v>0</v>
      </c>
      <c r="AH3187">
        <v>0</v>
      </c>
      <c r="AI3187">
        <v>5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4</v>
      </c>
      <c r="AT3187">
        <v>0</v>
      </c>
      <c r="AU3187">
        <v>7</v>
      </c>
      <c r="AV3187">
        <v>2</v>
      </c>
      <c r="AW3187">
        <v>5</v>
      </c>
      <c r="AX3187">
        <v>4</v>
      </c>
      <c r="AY3187">
        <v>1</v>
      </c>
      <c r="AZ3187">
        <v>1</v>
      </c>
      <c r="BA3187" t="s">
        <v>11227</v>
      </c>
      <c r="BB3187" t="s">
        <v>11228</v>
      </c>
      <c r="BC3187">
        <v>0.129</v>
      </c>
      <c r="BD3187" t="s">
        <v>65</v>
      </c>
      <c r="BE3187">
        <v>6</v>
      </c>
      <c r="BF3187">
        <v>5</v>
      </c>
      <c r="BG3187" t="s">
        <v>2963</v>
      </c>
      <c r="BH3187" t="s">
        <v>11229</v>
      </c>
      <c r="BI3187" t="s">
        <v>11230</v>
      </c>
      <c r="BJ3187">
        <v>0.33149000000000001</v>
      </c>
      <c r="BK3187">
        <v>0.88700000000000001</v>
      </c>
      <c r="BL3187" t="s">
        <v>635</v>
      </c>
      <c r="BM3187">
        <v>-1.077</v>
      </c>
      <c r="BN3187">
        <v>-1.9</v>
      </c>
    </row>
    <row r="3188" spans="10:66">
      <c r="J3188">
        <v>0</v>
      </c>
      <c r="K3188">
        <v>0</v>
      </c>
      <c r="L3188">
        <v>0</v>
      </c>
      <c r="M3188" t="s">
        <v>25021</v>
      </c>
      <c r="N3188">
        <v>1793</v>
      </c>
      <c r="O3188" t="s">
        <v>11231</v>
      </c>
      <c r="P3188" t="s">
        <v>62</v>
      </c>
      <c r="Q3188">
        <v>1865061</v>
      </c>
      <c r="R3188">
        <v>1865375</v>
      </c>
      <c r="S3188" t="s">
        <v>11226</v>
      </c>
      <c r="T3188">
        <v>105</v>
      </c>
      <c r="U3188" t="s">
        <v>108</v>
      </c>
      <c r="V3188">
        <v>44</v>
      </c>
      <c r="W3188" t="str">
        <f>HYPERLINK("Gene1793-zp_tree_all.dnd", "Gene1793-tree")</f>
        <v>Gene1793-tree</v>
      </c>
      <c r="X3188">
        <v>29</v>
      </c>
      <c r="Y3188">
        <v>4</v>
      </c>
      <c r="Z3188">
        <v>7</v>
      </c>
      <c r="AA3188">
        <v>4</v>
      </c>
      <c r="AB3188">
        <v>0.36364000000000002</v>
      </c>
      <c r="AC3188" t="s">
        <v>1406</v>
      </c>
      <c r="AD3188" t="s">
        <v>61</v>
      </c>
      <c r="AE3188" t="s">
        <v>62</v>
      </c>
      <c r="AF3188" t="s">
        <v>62</v>
      </c>
      <c r="AG3188">
        <v>0</v>
      </c>
      <c r="AH3188">
        <v>0</v>
      </c>
      <c r="AI3188">
        <v>4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4</v>
      </c>
      <c r="AT3188">
        <v>0</v>
      </c>
      <c r="AU3188">
        <v>7</v>
      </c>
      <c r="AV3188">
        <v>4</v>
      </c>
      <c r="AW3188">
        <v>7</v>
      </c>
      <c r="AX3188">
        <v>4</v>
      </c>
      <c r="AY3188">
        <v>4</v>
      </c>
      <c r="AZ3188">
        <v>0</v>
      </c>
      <c r="BA3188" t="s">
        <v>11232</v>
      </c>
      <c r="BB3188" t="s">
        <v>193</v>
      </c>
      <c r="BC3188">
        <v>1.6439999999999999</v>
      </c>
      <c r="BD3188" t="s">
        <v>65</v>
      </c>
      <c r="BE3188">
        <v>11</v>
      </c>
      <c r="BF3188">
        <v>4</v>
      </c>
      <c r="BG3188" t="s">
        <v>11233</v>
      </c>
      <c r="BH3188" t="s">
        <v>11234</v>
      </c>
      <c r="BI3188" t="s">
        <v>11235</v>
      </c>
      <c r="BJ3188">
        <v>9.264E-2</v>
      </c>
      <c r="BK3188">
        <v>1</v>
      </c>
      <c r="BL3188" t="s">
        <v>69</v>
      </c>
      <c r="BM3188">
        <v>-1.272</v>
      </c>
      <c r="BN3188">
        <v>-1.54</v>
      </c>
    </row>
    <row r="3189" spans="10:66">
      <c r="J3189">
        <v>0</v>
      </c>
      <c r="K3189">
        <v>0</v>
      </c>
      <c r="L3189">
        <v>0</v>
      </c>
      <c r="M3189" t="s">
        <v>25021</v>
      </c>
      <c r="N3189">
        <v>1794</v>
      </c>
      <c r="O3189" t="s">
        <v>11236</v>
      </c>
      <c r="P3189" t="s">
        <v>62</v>
      </c>
      <c r="Q3189">
        <v>1865515</v>
      </c>
      <c r="R3189">
        <v>1865787</v>
      </c>
      <c r="S3189" t="s">
        <v>11237</v>
      </c>
      <c r="T3189">
        <v>91</v>
      </c>
      <c r="U3189" t="s">
        <v>11238</v>
      </c>
      <c r="V3189">
        <v>35</v>
      </c>
      <c r="W3189" t="str">
        <f>HYPERLINK("Gene1794-zp_tree_all.dnd", "Gene1794-tree")</f>
        <v>Gene1794-tree</v>
      </c>
      <c r="X3189">
        <v>2</v>
      </c>
      <c r="Y3189">
        <v>19</v>
      </c>
      <c r="Z3189">
        <v>2</v>
      </c>
      <c r="AA3189">
        <v>2</v>
      </c>
      <c r="AB3189">
        <v>0.5</v>
      </c>
      <c r="AC3189" t="s">
        <v>81</v>
      </c>
      <c r="AD3189" t="s">
        <v>3952</v>
      </c>
      <c r="AE3189">
        <v>4.3659999999999997</v>
      </c>
      <c r="AF3189" t="s">
        <v>65</v>
      </c>
      <c r="AG3189">
        <v>0</v>
      </c>
      <c r="AH3189">
        <v>0</v>
      </c>
      <c r="AI3189">
        <v>3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3</v>
      </c>
      <c r="AT3189">
        <v>0</v>
      </c>
      <c r="AU3189">
        <v>2</v>
      </c>
      <c r="AV3189">
        <v>1</v>
      </c>
      <c r="AW3189">
        <v>2</v>
      </c>
      <c r="AX3189">
        <v>3</v>
      </c>
      <c r="AY3189">
        <v>1</v>
      </c>
      <c r="AZ3189">
        <v>0</v>
      </c>
      <c r="BA3189" t="s">
        <v>11239</v>
      </c>
      <c r="BB3189" t="s">
        <v>193</v>
      </c>
      <c r="BC3189">
        <v>12.617000000000001</v>
      </c>
      <c r="BD3189" t="s">
        <v>267</v>
      </c>
      <c r="BE3189">
        <v>3</v>
      </c>
      <c r="BF3189">
        <v>3</v>
      </c>
      <c r="BG3189" t="s">
        <v>11240</v>
      </c>
      <c r="BH3189" t="s">
        <v>11241</v>
      </c>
      <c r="BI3189" t="s">
        <v>11242</v>
      </c>
      <c r="BJ3189">
        <v>0.29759000000000002</v>
      </c>
      <c r="BK3189">
        <v>0.94699999999999995</v>
      </c>
      <c r="BL3189" t="s">
        <v>635</v>
      </c>
      <c r="BM3189">
        <v>2.0089999999999999</v>
      </c>
      <c r="BN3189">
        <v>1.202</v>
      </c>
    </row>
    <row r="3190" spans="10:66">
      <c r="J3190">
        <v>0</v>
      </c>
      <c r="K3190">
        <v>11</v>
      </c>
      <c r="L3190">
        <v>0</v>
      </c>
      <c r="M3190" t="s">
        <v>25021</v>
      </c>
      <c r="N3190">
        <v>1804</v>
      </c>
      <c r="O3190" t="s">
        <v>11300</v>
      </c>
      <c r="P3190" t="s">
        <v>62</v>
      </c>
      <c r="Q3190">
        <v>1872815</v>
      </c>
      <c r="R3190">
        <v>1873579</v>
      </c>
      <c r="S3190" t="s">
        <v>11301</v>
      </c>
      <c r="T3190">
        <v>255</v>
      </c>
      <c r="U3190" t="s">
        <v>108</v>
      </c>
      <c r="V3190">
        <v>44</v>
      </c>
      <c r="W3190" t="str">
        <f>HYPERLINK("Gene1804-zp_tree_all.dnd", "Gene1804-tree")</f>
        <v>Gene1804-tree</v>
      </c>
      <c r="X3190">
        <v>4</v>
      </c>
      <c r="Y3190">
        <v>10</v>
      </c>
      <c r="Z3190">
        <v>4</v>
      </c>
      <c r="AA3190">
        <v>10</v>
      </c>
      <c r="AB3190">
        <v>0.71428999999999998</v>
      </c>
      <c r="AC3190" t="s">
        <v>61</v>
      </c>
      <c r="AD3190" t="s">
        <v>117</v>
      </c>
      <c r="AE3190" t="s">
        <v>62</v>
      </c>
      <c r="AF3190" t="s">
        <v>62</v>
      </c>
      <c r="AG3190">
        <v>4</v>
      </c>
      <c r="AH3190">
        <v>11</v>
      </c>
      <c r="AI3190">
        <v>11</v>
      </c>
      <c r="AJ3190">
        <v>0.5</v>
      </c>
      <c r="AK3190">
        <v>0</v>
      </c>
      <c r="AL3190">
        <v>0</v>
      </c>
      <c r="AM3190">
        <v>0</v>
      </c>
      <c r="AN3190">
        <v>2</v>
      </c>
      <c r="AO3190">
        <v>0</v>
      </c>
      <c r="AP3190">
        <v>5</v>
      </c>
      <c r="AQ3190">
        <v>0</v>
      </c>
      <c r="AR3190">
        <v>5</v>
      </c>
      <c r="AS3190">
        <v>11</v>
      </c>
      <c r="AT3190">
        <v>0.3125</v>
      </c>
      <c r="AU3190">
        <v>12</v>
      </c>
      <c r="AV3190">
        <v>7</v>
      </c>
      <c r="AW3190">
        <v>15</v>
      </c>
      <c r="AX3190">
        <v>15</v>
      </c>
      <c r="AY3190">
        <v>3</v>
      </c>
      <c r="AZ3190">
        <v>7</v>
      </c>
      <c r="BA3190" t="s">
        <v>11302</v>
      </c>
      <c r="BB3190" t="s">
        <v>11303</v>
      </c>
      <c r="BC3190">
        <v>0.77</v>
      </c>
      <c r="BD3190" t="s">
        <v>65</v>
      </c>
      <c r="BE3190">
        <v>18</v>
      </c>
      <c r="BF3190">
        <v>22</v>
      </c>
      <c r="BG3190" t="s">
        <v>11304</v>
      </c>
      <c r="BH3190" t="s">
        <v>11305</v>
      </c>
      <c r="BI3190" t="s">
        <v>11306</v>
      </c>
      <c r="BJ3190">
        <v>0.39872999999999997</v>
      </c>
      <c r="BK3190">
        <v>0.93</v>
      </c>
      <c r="BL3190" t="s">
        <v>635</v>
      </c>
      <c r="BM3190">
        <v>-1.0569999999999999</v>
      </c>
      <c r="BN3190">
        <v>-2.0329999999999999</v>
      </c>
    </row>
    <row r="3191" spans="10:66">
      <c r="J3191">
        <v>0</v>
      </c>
      <c r="K3191">
        <v>16</v>
      </c>
      <c r="L3191">
        <v>1</v>
      </c>
      <c r="M3191" t="s">
        <v>25021</v>
      </c>
      <c r="N3191">
        <v>1823</v>
      </c>
      <c r="O3191" t="s">
        <v>11424</v>
      </c>
      <c r="P3191" t="s">
        <v>62</v>
      </c>
      <c r="Q3191">
        <v>1890515</v>
      </c>
      <c r="R3191">
        <v>1891666</v>
      </c>
      <c r="S3191" t="s">
        <v>9411</v>
      </c>
      <c r="T3191">
        <v>384</v>
      </c>
      <c r="U3191" t="s">
        <v>265</v>
      </c>
      <c r="V3191">
        <v>43</v>
      </c>
      <c r="W3191" t="str">
        <f>HYPERLINK("Gene1823-zp_tree_all.dnd", "Gene1823-tree")</f>
        <v>Gene1823-tree</v>
      </c>
      <c r="X3191">
        <v>4</v>
      </c>
      <c r="Y3191">
        <v>9</v>
      </c>
      <c r="Z3191">
        <v>4</v>
      </c>
      <c r="AA3191">
        <v>9</v>
      </c>
      <c r="AB3191">
        <v>0.69230999999999998</v>
      </c>
      <c r="AC3191" t="s">
        <v>61</v>
      </c>
      <c r="AD3191" t="s">
        <v>135</v>
      </c>
      <c r="AE3191" t="s">
        <v>62</v>
      </c>
      <c r="AF3191" t="s">
        <v>62</v>
      </c>
      <c r="AG3191">
        <v>6</v>
      </c>
      <c r="AH3191">
        <v>17</v>
      </c>
      <c r="AI3191">
        <v>13</v>
      </c>
      <c r="AJ3191">
        <v>0.56667000000000001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2</v>
      </c>
      <c r="AQ3191">
        <v>0</v>
      </c>
      <c r="AR3191">
        <v>2</v>
      </c>
      <c r="AS3191">
        <v>12</v>
      </c>
      <c r="AT3191">
        <v>0.14285999999999999</v>
      </c>
      <c r="AU3191">
        <v>12</v>
      </c>
      <c r="AV3191">
        <v>9</v>
      </c>
      <c r="AW3191">
        <v>38</v>
      </c>
      <c r="AX3191">
        <v>14</v>
      </c>
      <c r="AY3191">
        <v>26</v>
      </c>
      <c r="AZ3191">
        <v>16</v>
      </c>
      <c r="BA3191" t="s">
        <v>11425</v>
      </c>
      <c r="BB3191" t="s">
        <v>11426</v>
      </c>
      <c r="BC3191">
        <v>1.0469999999999999</v>
      </c>
      <c r="BD3191" t="s">
        <v>65</v>
      </c>
      <c r="BE3191">
        <v>64</v>
      </c>
      <c r="BF3191">
        <v>30</v>
      </c>
      <c r="BG3191" t="s">
        <v>11427</v>
      </c>
      <c r="BH3191" t="s">
        <v>11428</v>
      </c>
      <c r="BI3191" t="s">
        <v>11429</v>
      </c>
      <c r="BJ3191">
        <v>0.12997</v>
      </c>
      <c r="BK3191">
        <v>1</v>
      </c>
      <c r="BL3191" t="s">
        <v>69</v>
      </c>
      <c r="BM3191">
        <v>0.56799999999999995</v>
      </c>
      <c r="BN3191">
        <v>-1.1439999999999999</v>
      </c>
    </row>
    <row r="3192" spans="10:66">
      <c r="J3192">
        <v>0</v>
      </c>
      <c r="K3192">
        <v>6</v>
      </c>
      <c r="L3192">
        <v>0</v>
      </c>
      <c r="M3192" t="s">
        <v>25021</v>
      </c>
      <c r="N3192">
        <v>1826</v>
      </c>
      <c r="O3192" t="s">
        <v>11444</v>
      </c>
      <c r="P3192" t="s">
        <v>62</v>
      </c>
      <c r="Q3192">
        <v>1895381</v>
      </c>
      <c r="R3192">
        <v>1896013</v>
      </c>
      <c r="S3192" t="s">
        <v>11445</v>
      </c>
      <c r="T3192">
        <v>211</v>
      </c>
      <c r="U3192" t="s">
        <v>1392</v>
      </c>
      <c r="V3192">
        <v>43</v>
      </c>
      <c r="W3192" t="str">
        <f>HYPERLINK("Gene1826-zp_tree_all.dnd", "Gene1826-tree")</f>
        <v>Gene1826-tree</v>
      </c>
      <c r="X3192">
        <v>4</v>
      </c>
      <c r="Y3192">
        <v>8</v>
      </c>
      <c r="Z3192">
        <v>4</v>
      </c>
      <c r="AA3192">
        <v>8</v>
      </c>
      <c r="AB3192">
        <v>0.66666999999999998</v>
      </c>
      <c r="AC3192" t="s">
        <v>61</v>
      </c>
      <c r="AD3192" t="s">
        <v>136</v>
      </c>
      <c r="AE3192" t="s">
        <v>62</v>
      </c>
      <c r="AF3192" t="s">
        <v>62</v>
      </c>
      <c r="AG3192">
        <v>3</v>
      </c>
      <c r="AH3192">
        <v>6</v>
      </c>
      <c r="AI3192">
        <v>15</v>
      </c>
      <c r="AJ3192">
        <v>0.28571000000000002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13</v>
      </c>
      <c r="AT3192">
        <v>0</v>
      </c>
      <c r="AU3192">
        <v>11</v>
      </c>
      <c r="AV3192">
        <v>7</v>
      </c>
      <c r="AW3192">
        <v>11</v>
      </c>
      <c r="AX3192">
        <v>13</v>
      </c>
      <c r="AY3192">
        <v>3</v>
      </c>
      <c r="AZ3192">
        <v>8</v>
      </c>
      <c r="BA3192" t="s">
        <v>11446</v>
      </c>
      <c r="BB3192" t="s">
        <v>11447</v>
      </c>
      <c r="BC3192">
        <v>0.83699999999999997</v>
      </c>
      <c r="BD3192" t="s">
        <v>65</v>
      </c>
      <c r="BE3192">
        <v>14</v>
      </c>
      <c r="BF3192">
        <v>21</v>
      </c>
      <c r="BG3192" t="s">
        <v>11448</v>
      </c>
      <c r="BH3192" t="s">
        <v>11449</v>
      </c>
      <c r="BI3192" t="s">
        <v>11450</v>
      </c>
      <c r="BJ3192">
        <v>0.55486000000000002</v>
      </c>
      <c r="BK3192">
        <v>0.73</v>
      </c>
      <c r="BL3192" t="s">
        <v>635</v>
      </c>
      <c r="BM3192">
        <v>-0.66800000000000004</v>
      </c>
      <c r="BN3192">
        <v>-1.4450000000000001</v>
      </c>
    </row>
    <row r="3193" spans="10:66">
      <c r="J3193">
        <v>0</v>
      </c>
      <c r="K3193">
        <v>8</v>
      </c>
      <c r="L3193">
        <v>0</v>
      </c>
      <c r="M3193" t="s">
        <v>25021</v>
      </c>
      <c r="N3193">
        <v>1828</v>
      </c>
      <c r="O3193" t="s">
        <v>11458</v>
      </c>
      <c r="P3193" t="s">
        <v>62</v>
      </c>
      <c r="Q3193">
        <v>1897944</v>
      </c>
      <c r="R3193">
        <v>1899125</v>
      </c>
      <c r="S3193" t="s">
        <v>11459</v>
      </c>
      <c r="T3193">
        <v>394</v>
      </c>
      <c r="U3193" t="s">
        <v>108</v>
      </c>
      <c r="V3193">
        <v>44</v>
      </c>
      <c r="W3193" t="str">
        <f>HYPERLINK("Gene1828-zp_tree_all.dnd", "Gene1828-tree")</f>
        <v>Gene1828-tree</v>
      </c>
      <c r="X3193">
        <v>8</v>
      </c>
      <c r="Y3193">
        <v>8</v>
      </c>
      <c r="Z3193">
        <v>8</v>
      </c>
      <c r="AA3193">
        <v>8</v>
      </c>
      <c r="AB3193">
        <v>0.5</v>
      </c>
      <c r="AC3193" t="s">
        <v>136</v>
      </c>
      <c r="AD3193" t="s">
        <v>136</v>
      </c>
      <c r="AE3193" t="s">
        <v>62</v>
      </c>
      <c r="AF3193" t="s">
        <v>62</v>
      </c>
      <c r="AG3193">
        <v>3</v>
      </c>
      <c r="AH3193">
        <v>8</v>
      </c>
      <c r="AI3193">
        <v>19</v>
      </c>
      <c r="AJ3193">
        <v>0.29630000000000001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4</v>
      </c>
      <c r="AQ3193">
        <v>0</v>
      </c>
      <c r="AR3193">
        <v>4</v>
      </c>
      <c r="AS3193">
        <v>17</v>
      </c>
      <c r="AT3193">
        <v>0.19048000000000001</v>
      </c>
      <c r="AU3193">
        <v>14</v>
      </c>
      <c r="AV3193">
        <v>9</v>
      </c>
      <c r="AW3193">
        <v>49</v>
      </c>
      <c r="AX3193">
        <v>22</v>
      </c>
      <c r="AY3193">
        <v>19</v>
      </c>
      <c r="AZ3193">
        <v>6</v>
      </c>
      <c r="BA3193" t="s">
        <v>11460</v>
      </c>
      <c r="BB3193" t="s">
        <v>11461</v>
      </c>
      <c r="BC3193">
        <v>0.185</v>
      </c>
      <c r="BD3193" t="s">
        <v>65</v>
      </c>
      <c r="BE3193">
        <v>68</v>
      </c>
      <c r="BF3193">
        <v>28</v>
      </c>
      <c r="BG3193" t="s">
        <v>11462</v>
      </c>
      <c r="BH3193" t="s">
        <v>11463</v>
      </c>
      <c r="BI3193" t="s">
        <v>4958</v>
      </c>
      <c r="BJ3193">
        <v>0.10983</v>
      </c>
      <c r="BK3193">
        <v>1</v>
      </c>
      <c r="BL3193" t="s">
        <v>69</v>
      </c>
      <c r="BM3193">
        <v>-1.34</v>
      </c>
      <c r="BN3193">
        <v>-2.976</v>
      </c>
    </row>
    <row r="3194" spans="10:66">
      <c r="J3194">
        <v>0</v>
      </c>
      <c r="K3194">
        <v>0</v>
      </c>
      <c r="L3194">
        <v>0</v>
      </c>
      <c r="M3194" t="s">
        <v>25021</v>
      </c>
      <c r="N3194">
        <v>1831</v>
      </c>
      <c r="O3194" t="s">
        <v>11477</v>
      </c>
      <c r="P3194" t="s">
        <v>62</v>
      </c>
      <c r="Q3194">
        <v>1901120</v>
      </c>
      <c r="R3194">
        <v>1901377</v>
      </c>
      <c r="S3194" t="s">
        <v>3688</v>
      </c>
      <c r="T3194">
        <v>86</v>
      </c>
      <c r="U3194" t="s">
        <v>11478</v>
      </c>
      <c r="V3194">
        <v>28</v>
      </c>
      <c r="W3194" t="str">
        <f>HYPERLINK("Gene1831-zp_tree_all.dnd", "Gene1831-tree")</f>
        <v>Gene1831-tree</v>
      </c>
      <c r="X3194">
        <v>4</v>
      </c>
      <c r="Y3194">
        <v>1</v>
      </c>
      <c r="Z3194">
        <v>4</v>
      </c>
      <c r="AA3194">
        <v>1</v>
      </c>
      <c r="AB3194">
        <v>0.2</v>
      </c>
      <c r="AC3194" t="s">
        <v>61</v>
      </c>
      <c r="AD3194" t="s">
        <v>175</v>
      </c>
      <c r="AE3194" t="s">
        <v>62</v>
      </c>
      <c r="AF3194" t="s">
        <v>62</v>
      </c>
      <c r="AG3194">
        <v>0</v>
      </c>
      <c r="AH3194">
        <v>0</v>
      </c>
      <c r="AI3194">
        <v>2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2</v>
      </c>
      <c r="AT3194">
        <v>0</v>
      </c>
      <c r="AU3194">
        <v>4</v>
      </c>
      <c r="AV3194">
        <v>0</v>
      </c>
      <c r="AW3194">
        <v>4</v>
      </c>
      <c r="AX3194">
        <v>2</v>
      </c>
      <c r="AY3194">
        <v>0</v>
      </c>
      <c r="AZ3194">
        <v>0</v>
      </c>
      <c r="BA3194" t="s">
        <v>11479</v>
      </c>
      <c r="BB3194" t="s">
        <v>193</v>
      </c>
      <c r="BC3194">
        <v>0.56999999999999995</v>
      </c>
      <c r="BD3194" t="s">
        <v>65</v>
      </c>
      <c r="BE3194">
        <v>4</v>
      </c>
      <c r="BF3194">
        <v>2</v>
      </c>
      <c r="BG3194" t="s">
        <v>11480</v>
      </c>
      <c r="BH3194" t="s">
        <v>11481</v>
      </c>
      <c r="BI3194" t="s">
        <v>11482</v>
      </c>
      <c r="BJ3194">
        <v>0.11196</v>
      </c>
      <c r="BK3194">
        <v>0.97399999999999998</v>
      </c>
      <c r="BL3194" t="s">
        <v>69</v>
      </c>
      <c r="BM3194">
        <v>-0.59699999999999998</v>
      </c>
      <c r="BN3194">
        <v>1.22</v>
      </c>
    </row>
    <row r="3195" spans="10:66">
      <c r="J3195">
        <v>0</v>
      </c>
      <c r="K3195">
        <v>0</v>
      </c>
      <c r="L3195">
        <v>2</v>
      </c>
      <c r="M3195" t="s">
        <v>25021</v>
      </c>
      <c r="N3195">
        <v>1834</v>
      </c>
      <c r="O3195" t="s">
        <v>11491</v>
      </c>
      <c r="P3195" t="s">
        <v>62</v>
      </c>
      <c r="Q3195">
        <v>1903184</v>
      </c>
      <c r="R3195">
        <v>1903468</v>
      </c>
      <c r="S3195" t="s">
        <v>11492</v>
      </c>
      <c r="T3195">
        <v>95</v>
      </c>
      <c r="U3195" t="s">
        <v>11493</v>
      </c>
      <c r="V3195">
        <v>39</v>
      </c>
      <c r="W3195" t="str">
        <f>HYPERLINK("Gene1834-zp_tree_all.dnd", "Gene1834-tree")</f>
        <v>Gene1834-tree</v>
      </c>
      <c r="X3195">
        <v>0</v>
      </c>
      <c r="Y3195">
        <v>5</v>
      </c>
      <c r="Z3195">
        <v>0</v>
      </c>
      <c r="AA3195">
        <v>5</v>
      </c>
      <c r="AB3195">
        <v>1</v>
      </c>
      <c r="AC3195" t="s">
        <v>62</v>
      </c>
      <c r="AD3195" t="s">
        <v>199</v>
      </c>
      <c r="AE3195" t="s">
        <v>62</v>
      </c>
      <c r="AF3195" t="s">
        <v>62</v>
      </c>
      <c r="AG3195">
        <v>1</v>
      </c>
      <c r="AH3195">
        <v>2</v>
      </c>
      <c r="AI3195">
        <v>4</v>
      </c>
      <c r="AJ3195">
        <v>0.33333000000000002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2</v>
      </c>
      <c r="AR3195">
        <v>2</v>
      </c>
      <c r="AS3195">
        <v>3</v>
      </c>
      <c r="AT3195">
        <v>0.4</v>
      </c>
      <c r="AU3195">
        <v>4</v>
      </c>
      <c r="AV3195">
        <v>1</v>
      </c>
      <c r="AW3195">
        <v>2</v>
      </c>
      <c r="AX3195">
        <v>5</v>
      </c>
      <c r="AY3195">
        <v>0</v>
      </c>
      <c r="AZ3195">
        <v>1</v>
      </c>
      <c r="BA3195" t="s">
        <v>11494</v>
      </c>
      <c r="BB3195" t="s">
        <v>193</v>
      </c>
      <c r="BC3195">
        <v>1.784</v>
      </c>
      <c r="BD3195" t="s">
        <v>65</v>
      </c>
      <c r="BE3195">
        <v>2</v>
      </c>
      <c r="BF3195">
        <v>6</v>
      </c>
      <c r="BG3195" t="s">
        <v>11495</v>
      </c>
      <c r="BH3195" t="s">
        <v>11496</v>
      </c>
      <c r="BI3195" t="s">
        <v>11497</v>
      </c>
      <c r="BJ3195">
        <v>0.99577000000000004</v>
      </c>
      <c r="BK3195">
        <v>0.22600000000000001</v>
      </c>
      <c r="BL3195" t="s">
        <v>635</v>
      </c>
      <c r="BM3195">
        <v>-0.39700000000000002</v>
      </c>
      <c r="BN3195">
        <v>-0.71499999999999997</v>
      </c>
    </row>
    <row r="3196" spans="10:66">
      <c r="J3196">
        <v>0</v>
      </c>
      <c r="K3196">
        <v>6</v>
      </c>
      <c r="L3196">
        <v>2</v>
      </c>
      <c r="M3196" t="s">
        <v>25021</v>
      </c>
      <c r="N3196">
        <v>1835</v>
      </c>
      <c r="O3196" t="s">
        <v>11498</v>
      </c>
      <c r="P3196" t="s">
        <v>62</v>
      </c>
      <c r="Q3196">
        <v>1904396</v>
      </c>
      <c r="R3196">
        <v>1904749</v>
      </c>
      <c r="S3196" t="s">
        <v>11499</v>
      </c>
      <c r="T3196">
        <v>118</v>
      </c>
      <c r="U3196" t="s">
        <v>11500</v>
      </c>
      <c r="V3196">
        <v>39</v>
      </c>
      <c r="W3196" t="str">
        <f>HYPERLINK("Gene1835-zp_tree_all.dnd", "Gene1835-tree")</f>
        <v>Gene1835-tree</v>
      </c>
      <c r="X3196">
        <v>1</v>
      </c>
      <c r="Y3196">
        <v>9</v>
      </c>
      <c r="Z3196">
        <v>1</v>
      </c>
      <c r="AA3196">
        <v>9</v>
      </c>
      <c r="AB3196">
        <v>0.9</v>
      </c>
      <c r="AC3196" t="s">
        <v>175</v>
      </c>
      <c r="AD3196" t="s">
        <v>135</v>
      </c>
      <c r="AE3196" t="s">
        <v>62</v>
      </c>
      <c r="AF3196" t="s">
        <v>62</v>
      </c>
      <c r="AG3196">
        <v>4</v>
      </c>
      <c r="AH3196">
        <v>8</v>
      </c>
      <c r="AI3196">
        <v>9</v>
      </c>
      <c r="AJ3196">
        <v>0.47059000000000001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4</v>
      </c>
      <c r="AQ3196">
        <v>2</v>
      </c>
      <c r="AR3196">
        <v>6</v>
      </c>
      <c r="AS3196">
        <v>8</v>
      </c>
      <c r="AT3196">
        <v>0.42857000000000001</v>
      </c>
      <c r="AU3196">
        <v>8</v>
      </c>
      <c r="AV3196">
        <v>5</v>
      </c>
      <c r="AW3196">
        <v>6</v>
      </c>
      <c r="AX3196">
        <v>12</v>
      </c>
      <c r="AY3196">
        <v>0</v>
      </c>
      <c r="AZ3196">
        <v>5</v>
      </c>
      <c r="BA3196" t="s">
        <v>11501</v>
      </c>
      <c r="BB3196" t="s">
        <v>193</v>
      </c>
      <c r="BC3196">
        <v>2.8130000000000002</v>
      </c>
      <c r="BD3196" t="s">
        <v>267</v>
      </c>
      <c r="BE3196">
        <v>6</v>
      </c>
      <c r="BF3196">
        <v>17</v>
      </c>
      <c r="BG3196" t="s">
        <v>11502</v>
      </c>
      <c r="BH3196" t="s">
        <v>11503</v>
      </c>
      <c r="BI3196" t="s">
        <v>11504</v>
      </c>
      <c r="BJ3196">
        <v>0.97211999999999998</v>
      </c>
      <c r="BK3196">
        <v>0.44</v>
      </c>
      <c r="BL3196" t="s">
        <v>635</v>
      </c>
      <c r="BM3196">
        <v>-0.57699999999999996</v>
      </c>
      <c r="BN3196">
        <v>-1.7589999999999999</v>
      </c>
    </row>
    <row r="3197" spans="10:66">
      <c r="J3197">
        <v>0</v>
      </c>
      <c r="K3197">
        <v>0</v>
      </c>
      <c r="L3197">
        <v>0</v>
      </c>
      <c r="M3197" t="s">
        <v>25021</v>
      </c>
      <c r="N3197">
        <v>1836</v>
      </c>
      <c r="O3197" t="s">
        <v>11505</v>
      </c>
      <c r="P3197" t="s">
        <v>62</v>
      </c>
      <c r="Q3197">
        <v>1904998</v>
      </c>
      <c r="R3197">
        <v>1905195</v>
      </c>
      <c r="S3197" t="s">
        <v>11506</v>
      </c>
      <c r="T3197">
        <v>66</v>
      </c>
      <c r="U3197" t="s">
        <v>11507</v>
      </c>
      <c r="V3197">
        <v>34</v>
      </c>
      <c r="W3197" t="str">
        <f>HYPERLINK("Gene1836-zp_tree_all.dnd", "Gene1836-tree")</f>
        <v>Gene1836-tree</v>
      </c>
      <c r="X3197">
        <v>5</v>
      </c>
      <c r="Y3197">
        <v>1</v>
      </c>
      <c r="Z3197">
        <v>5</v>
      </c>
      <c r="AA3197">
        <v>1</v>
      </c>
      <c r="AB3197">
        <v>0.16667000000000001</v>
      </c>
      <c r="AC3197" t="s">
        <v>199</v>
      </c>
      <c r="AD3197" t="s">
        <v>175</v>
      </c>
      <c r="AE3197" t="s">
        <v>62</v>
      </c>
      <c r="AF3197" t="s">
        <v>62</v>
      </c>
      <c r="AG3197">
        <v>0</v>
      </c>
      <c r="AH3197">
        <v>0</v>
      </c>
      <c r="AI3197">
        <v>2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5</v>
      </c>
      <c r="AV3197">
        <v>1</v>
      </c>
      <c r="AW3197">
        <v>5</v>
      </c>
      <c r="AX3197">
        <v>1</v>
      </c>
      <c r="AY3197">
        <v>0</v>
      </c>
      <c r="AZ3197">
        <v>1</v>
      </c>
      <c r="BA3197" t="s">
        <v>11508</v>
      </c>
      <c r="BB3197" t="s">
        <v>193</v>
      </c>
      <c r="BC3197">
        <v>0.55900000000000005</v>
      </c>
      <c r="BD3197" t="s">
        <v>65</v>
      </c>
      <c r="BE3197">
        <v>5</v>
      </c>
      <c r="BF3197">
        <v>2</v>
      </c>
      <c r="BG3197" t="s">
        <v>11509</v>
      </c>
      <c r="BH3197" t="s">
        <v>11510</v>
      </c>
      <c r="BI3197" t="s">
        <v>11511</v>
      </c>
      <c r="BJ3197">
        <v>0.12562000000000001</v>
      </c>
      <c r="BK3197">
        <v>0.97799999999999998</v>
      </c>
      <c r="BL3197" t="s">
        <v>69</v>
      </c>
      <c r="BM3197">
        <v>-0.222</v>
      </c>
      <c r="BN3197">
        <v>-0.88700000000000001</v>
      </c>
    </row>
    <row r="3198" spans="10:66">
      <c r="J3198">
        <v>0</v>
      </c>
      <c r="K3198">
        <v>0</v>
      </c>
      <c r="L3198">
        <v>0</v>
      </c>
      <c r="M3198" t="s">
        <v>25021</v>
      </c>
      <c r="N3198">
        <v>1837</v>
      </c>
      <c r="O3198" t="s">
        <v>11512</v>
      </c>
      <c r="P3198" t="s">
        <v>62</v>
      </c>
      <c r="Q3198">
        <v>1905373</v>
      </c>
      <c r="R3198">
        <v>1905558</v>
      </c>
      <c r="S3198" t="s">
        <v>1803</v>
      </c>
      <c r="T3198">
        <v>62</v>
      </c>
      <c r="U3198" t="s">
        <v>108</v>
      </c>
      <c r="V3198">
        <v>44</v>
      </c>
      <c r="W3198" t="str">
        <f>HYPERLINK("Gene1837-zp_tree_all.dnd", "Gene1837-tree")</f>
        <v>Gene1837-tree</v>
      </c>
      <c r="X3198">
        <v>5</v>
      </c>
      <c r="Y3198">
        <v>2</v>
      </c>
      <c r="Z3198">
        <v>5</v>
      </c>
      <c r="AA3198">
        <v>2</v>
      </c>
      <c r="AB3198">
        <v>0.28571000000000002</v>
      </c>
      <c r="AC3198" t="s">
        <v>199</v>
      </c>
      <c r="AD3198" t="s">
        <v>81</v>
      </c>
      <c r="AE3198" t="s">
        <v>62</v>
      </c>
      <c r="AF3198" t="s">
        <v>62</v>
      </c>
      <c r="AG3198">
        <v>0</v>
      </c>
      <c r="AH3198">
        <v>0</v>
      </c>
      <c r="AI3198">
        <v>3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2</v>
      </c>
      <c r="AT3198">
        <v>0</v>
      </c>
      <c r="AU3198">
        <v>6</v>
      </c>
      <c r="AV3198">
        <v>1</v>
      </c>
      <c r="AW3198">
        <v>5</v>
      </c>
      <c r="AX3198">
        <v>2</v>
      </c>
      <c r="AY3198">
        <v>1</v>
      </c>
      <c r="AZ3198">
        <v>1</v>
      </c>
      <c r="BA3198" t="s">
        <v>11513</v>
      </c>
      <c r="BB3198" t="s">
        <v>11514</v>
      </c>
      <c r="BC3198">
        <v>1.3819999999999999</v>
      </c>
      <c r="BD3198" t="s">
        <v>65</v>
      </c>
      <c r="BE3198">
        <v>6</v>
      </c>
      <c r="BF3198">
        <v>3</v>
      </c>
      <c r="BG3198" t="s">
        <v>11515</v>
      </c>
      <c r="BH3198" t="s">
        <v>11516</v>
      </c>
      <c r="BI3198" t="s">
        <v>11517</v>
      </c>
      <c r="BJ3198">
        <v>0.15628</v>
      </c>
      <c r="BK3198">
        <v>0.98799999999999999</v>
      </c>
      <c r="BL3198" t="s">
        <v>69</v>
      </c>
      <c r="BM3198">
        <v>-1.391</v>
      </c>
      <c r="BN3198">
        <v>-1.4710000000000001</v>
      </c>
    </row>
    <row r="3199" spans="10:66">
      <c r="J3199">
        <v>0</v>
      </c>
      <c r="K3199">
        <v>0</v>
      </c>
      <c r="L3199">
        <v>0</v>
      </c>
      <c r="M3199" t="s">
        <v>25021</v>
      </c>
      <c r="N3199">
        <v>1839</v>
      </c>
      <c r="O3199" t="s">
        <v>11518</v>
      </c>
      <c r="P3199" t="s">
        <v>62</v>
      </c>
      <c r="Q3199">
        <v>1906275</v>
      </c>
      <c r="R3199">
        <v>1906706</v>
      </c>
      <c r="S3199" t="s">
        <v>11519</v>
      </c>
      <c r="T3199">
        <v>144</v>
      </c>
      <c r="U3199" t="s">
        <v>1392</v>
      </c>
      <c r="V3199">
        <v>43</v>
      </c>
      <c r="W3199" t="str">
        <f>HYPERLINK("Gene1839-zp_tree_all.dnd", "Gene1839-tree")</f>
        <v>Gene1839-tree</v>
      </c>
      <c r="X3199">
        <v>4</v>
      </c>
      <c r="Y3199">
        <v>5</v>
      </c>
      <c r="Z3199">
        <v>4</v>
      </c>
      <c r="AA3199">
        <v>5</v>
      </c>
      <c r="AB3199">
        <v>0.55556000000000005</v>
      </c>
      <c r="AC3199" t="s">
        <v>61</v>
      </c>
      <c r="AD3199" t="s">
        <v>199</v>
      </c>
      <c r="AE3199" t="s">
        <v>62</v>
      </c>
      <c r="AF3199" t="s">
        <v>62</v>
      </c>
      <c r="AG3199">
        <v>0</v>
      </c>
      <c r="AH3199">
        <v>0</v>
      </c>
      <c r="AI3199">
        <v>6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6</v>
      </c>
      <c r="AT3199">
        <v>0</v>
      </c>
      <c r="AU3199">
        <v>6</v>
      </c>
      <c r="AV3199">
        <v>5</v>
      </c>
      <c r="AW3199">
        <v>7</v>
      </c>
      <c r="AX3199">
        <v>5</v>
      </c>
      <c r="AY3199">
        <v>4</v>
      </c>
      <c r="AZ3199">
        <v>1</v>
      </c>
      <c r="BA3199" t="s">
        <v>11520</v>
      </c>
      <c r="BB3199" t="s">
        <v>11521</v>
      </c>
      <c r="BC3199">
        <v>0.82199999999999995</v>
      </c>
      <c r="BD3199" t="s">
        <v>65</v>
      </c>
      <c r="BE3199">
        <v>11</v>
      </c>
      <c r="BF3199">
        <v>6</v>
      </c>
      <c r="BG3199" t="s">
        <v>11522</v>
      </c>
      <c r="BH3199" t="s">
        <v>11523</v>
      </c>
      <c r="BI3199" t="s">
        <v>11524</v>
      </c>
      <c r="BJ3199">
        <v>0.11586</v>
      </c>
      <c r="BK3199">
        <v>0.99</v>
      </c>
      <c r="BL3199" t="s">
        <v>69</v>
      </c>
      <c r="BM3199">
        <v>-1.2809999999999999</v>
      </c>
      <c r="BN3199">
        <v>-0.51</v>
      </c>
    </row>
    <row r="3200" spans="10:66">
      <c r="J3200">
        <v>0</v>
      </c>
      <c r="K3200">
        <v>4</v>
      </c>
      <c r="L3200">
        <v>1</v>
      </c>
      <c r="M3200" t="s">
        <v>25021</v>
      </c>
      <c r="N3200">
        <v>1849</v>
      </c>
      <c r="O3200" t="s">
        <v>11585</v>
      </c>
      <c r="P3200" t="s">
        <v>62</v>
      </c>
      <c r="Q3200">
        <v>1916009</v>
      </c>
      <c r="R3200">
        <v>1916545</v>
      </c>
      <c r="S3200" t="s">
        <v>3095</v>
      </c>
      <c r="T3200">
        <v>179</v>
      </c>
      <c r="U3200" t="s">
        <v>108</v>
      </c>
      <c r="V3200">
        <v>44</v>
      </c>
      <c r="W3200" t="str">
        <f>HYPERLINK("Gene1849-zp_tree_all.dnd", "Gene1849-tree")</f>
        <v>Gene1849-tree</v>
      </c>
      <c r="X3200">
        <v>4</v>
      </c>
      <c r="Y3200">
        <v>6</v>
      </c>
      <c r="Z3200">
        <v>4</v>
      </c>
      <c r="AA3200">
        <v>6</v>
      </c>
      <c r="AB3200">
        <v>0.6</v>
      </c>
      <c r="AC3200" t="s">
        <v>61</v>
      </c>
      <c r="AD3200" t="s">
        <v>90</v>
      </c>
      <c r="AE3200" t="s">
        <v>62</v>
      </c>
      <c r="AF3200" t="s">
        <v>62</v>
      </c>
      <c r="AG3200">
        <v>2</v>
      </c>
      <c r="AH3200">
        <v>5</v>
      </c>
      <c r="AI3200">
        <v>7</v>
      </c>
      <c r="AJ3200">
        <v>0.41666999999999998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2</v>
      </c>
      <c r="AQ3200">
        <v>0</v>
      </c>
      <c r="AR3200">
        <v>2</v>
      </c>
      <c r="AS3200">
        <v>8</v>
      </c>
      <c r="AT3200">
        <v>0.2</v>
      </c>
      <c r="AU3200">
        <v>9</v>
      </c>
      <c r="AV3200">
        <v>5</v>
      </c>
      <c r="AW3200">
        <v>11</v>
      </c>
      <c r="AX3200">
        <v>10</v>
      </c>
      <c r="AY3200">
        <v>5</v>
      </c>
      <c r="AZ3200">
        <v>2</v>
      </c>
      <c r="BA3200" t="s">
        <v>11586</v>
      </c>
      <c r="BB3200" t="s">
        <v>11587</v>
      </c>
      <c r="BC3200">
        <v>1.0249999999999999</v>
      </c>
      <c r="BD3200" t="s">
        <v>65</v>
      </c>
      <c r="BE3200">
        <v>16</v>
      </c>
      <c r="BF3200">
        <v>12</v>
      </c>
      <c r="BG3200" t="s">
        <v>11588</v>
      </c>
      <c r="BH3200" t="s">
        <v>11589</v>
      </c>
      <c r="BI3200" t="s">
        <v>11590</v>
      </c>
      <c r="BJ3200">
        <v>0.17079</v>
      </c>
      <c r="BK3200">
        <v>1</v>
      </c>
      <c r="BL3200" t="s">
        <v>69</v>
      </c>
      <c r="BM3200">
        <v>-0.71699999999999997</v>
      </c>
      <c r="BN3200">
        <v>-1.0309999999999999</v>
      </c>
    </row>
    <row r="3201" spans="10:66">
      <c r="J3201">
        <v>0</v>
      </c>
      <c r="K3201">
        <v>0</v>
      </c>
      <c r="L3201">
        <v>0</v>
      </c>
      <c r="M3201" t="s">
        <v>25021</v>
      </c>
      <c r="N3201">
        <v>1858</v>
      </c>
      <c r="O3201" t="s">
        <v>11637</v>
      </c>
      <c r="P3201" t="s">
        <v>62</v>
      </c>
      <c r="Q3201">
        <v>1922844</v>
      </c>
      <c r="R3201">
        <v>1923014</v>
      </c>
      <c r="S3201" t="s">
        <v>11638</v>
      </c>
      <c r="T3201">
        <v>57</v>
      </c>
      <c r="U3201" t="s">
        <v>11268</v>
      </c>
      <c r="V3201">
        <v>48</v>
      </c>
      <c r="W3201" t="str">
        <f>HYPERLINK("Gene1858-zp_tree_all.dnd", "Gene1858-tree")</f>
        <v>Gene1858-tree</v>
      </c>
      <c r="X3201">
        <v>45</v>
      </c>
      <c r="Y3201">
        <v>1</v>
      </c>
      <c r="Z3201">
        <v>4</v>
      </c>
      <c r="AA3201">
        <v>1</v>
      </c>
      <c r="AB3201">
        <v>0.2</v>
      </c>
      <c r="AC3201" t="s">
        <v>11639</v>
      </c>
      <c r="AD3201" t="s">
        <v>175</v>
      </c>
      <c r="AE3201" t="s">
        <v>62</v>
      </c>
      <c r="AF3201" t="s">
        <v>62</v>
      </c>
      <c r="AG3201">
        <v>0</v>
      </c>
      <c r="AH3201">
        <v>0</v>
      </c>
      <c r="AI3201">
        <v>2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3</v>
      </c>
      <c r="AV3201">
        <v>2</v>
      </c>
      <c r="AW3201">
        <v>2</v>
      </c>
      <c r="AX3201">
        <v>1</v>
      </c>
      <c r="AY3201">
        <v>1</v>
      </c>
      <c r="AZ3201">
        <v>1</v>
      </c>
      <c r="BA3201" t="s">
        <v>11640</v>
      </c>
      <c r="BB3201" t="s">
        <v>11641</v>
      </c>
      <c r="BC3201">
        <v>0.315</v>
      </c>
      <c r="BD3201" t="s">
        <v>65</v>
      </c>
      <c r="BE3201">
        <v>3</v>
      </c>
      <c r="BF3201">
        <v>2</v>
      </c>
      <c r="BG3201" t="s">
        <v>11642</v>
      </c>
      <c r="BH3201" t="s">
        <v>11643</v>
      </c>
      <c r="BI3201" t="s">
        <v>11644</v>
      </c>
      <c r="BJ3201">
        <v>0.19908999999999999</v>
      </c>
      <c r="BK3201">
        <v>0.83499999999999996</v>
      </c>
      <c r="BL3201" t="s">
        <v>635</v>
      </c>
      <c r="BM3201">
        <v>-1.413</v>
      </c>
      <c r="BN3201">
        <v>-0.81200000000000006</v>
      </c>
    </row>
    <row r="3202" spans="10:66">
      <c r="J3202">
        <v>0</v>
      </c>
      <c r="K3202">
        <v>0</v>
      </c>
      <c r="L3202">
        <v>2</v>
      </c>
      <c r="M3202" t="s">
        <v>25021</v>
      </c>
      <c r="N3202">
        <v>1862</v>
      </c>
      <c r="O3202" t="s">
        <v>11664</v>
      </c>
      <c r="P3202" t="s">
        <v>62</v>
      </c>
      <c r="Q3202">
        <v>1924996</v>
      </c>
      <c r="R3202">
        <v>1925421</v>
      </c>
      <c r="S3202" t="s">
        <v>11665</v>
      </c>
      <c r="T3202">
        <v>142</v>
      </c>
      <c r="U3202" t="s">
        <v>108</v>
      </c>
      <c r="V3202">
        <v>44</v>
      </c>
      <c r="W3202" t="str">
        <f>HYPERLINK("Gene1862-zp_tree_all.dnd", "Gene1862-tree")</f>
        <v>Gene1862-tree</v>
      </c>
      <c r="X3202">
        <v>27</v>
      </c>
      <c r="Y3202">
        <v>4</v>
      </c>
      <c r="Z3202">
        <v>7</v>
      </c>
      <c r="AA3202">
        <v>4</v>
      </c>
      <c r="AB3202">
        <v>0.36364000000000002</v>
      </c>
      <c r="AC3202" t="s">
        <v>8429</v>
      </c>
      <c r="AD3202" t="s">
        <v>61</v>
      </c>
      <c r="AE3202" t="s">
        <v>62</v>
      </c>
      <c r="AF3202" t="s">
        <v>62</v>
      </c>
      <c r="AG3202">
        <v>1</v>
      </c>
      <c r="AH3202">
        <v>2</v>
      </c>
      <c r="AI3202">
        <v>4</v>
      </c>
      <c r="AJ3202">
        <v>0.33333000000000002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0</v>
      </c>
      <c r="AQ3202">
        <v>2</v>
      </c>
      <c r="AR3202">
        <v>2</v>
      </c>
      <c r="AS3202">
        <v>3</v>
      </c>
      <c r="AT3202">
        <v>0.4</v>
      </c>
      <c r="AU3202">
        <v>7</v>
      </c>
      <c r="AV3202">
        <v>5</v>
      </c>
      <c r="AW3202">
        <v>10</v>
      </c>
      <c r="AX3202">
        <v>5</v>
      </c>
      <c r="AY3202">
        <v>4</v>
      </c>
      <c r="AZ3202">
        <v>1</v>
      </c>
      <c r="BA3202" t="s">
        <v>11666</v>
      </c>
      <c r="BB3202" t="s">
        <v>11667</v>
      </c>
      <c r="BC3202">
        <v>0.39300000000000002</v>
      </c>
      <c r="BD3202" t="s">
        <v>65</v>
      </c>
      <c r="BE3202">
        <v>14</v>
      </c>
      <c r="BF3202">
        <v>6</v>
      </c>
      <c r="BG3202" t="s">
        <v>11668</v>
      </c>
      <c r="BH3202" t="s">
        <v>11669</v>
      </c>
      <c r="BI3202" t="s">
        <v>11670</v>
      </c>
      <c r="BJ3202">
        <v>9.3509999999999996E-2</v>
      </c>
      <c r="BK3202">
        <v>1</v>
      </c>
      <c r="BL3202" t="s">
        <v>69</v>
      </c>
      <c r="BM3202">
        <v>-1.1359999999999999</v>
      </c>
      <c r="BN3202">
        <v>-2.226</v>
      </c>
    </row>
    <row r="3203" spans="10:66">
      <c r="J3203">
        <v>0</v>
      </c>
      <c r="K3203">
        <v>0</v>
      </c>
      <c r="L3203">
        <v>4</v>
      </c>
      <c r="M3203" t="s">
        <v>25021</v>
      </c>
      <c r="N3203">
        <v>1863</v>
      </c>
      <c r="O3203" t="s">
        <v>11671</v>
      </c>
      <c r="P3203" t="s">
        <v>62</v>
      </c>
      <c r="Q3203">
        <v>1925658</v>
      </c>
      <c r="R3203">
        <v>1926047</v>
      </c>
      <c r="S3203" t="s">
        <v>11506</v>
      </c>
      <c r="T3203">
        <v>130</v>
      </c>
      <c r="U3203" t="s">
        <v>2220</v>
      </c>
      <c r="V3203">
        <v>46</v>
      </c>
      <c r="W3203" t="str">
        <f>HYPERLINK("Gene1863-zp_tree_all.dnd", "Gene1863-tree")</f>
        <v>Gene1863-tree</v>
      </c>
      <c r="X3203">
        <v>6</v>
      </c>
      <c r="Y3203">
        <v>25</v>
      </c>
      <c r="Z3203">
        <v>6</v>
      </c>
      <c r="AA3203">
        <v>5</v>
      </c>
      <c r="AB3203">
        <v>0.45455000000000001</v>
      </c>
      <c r="AC3203" t="s">
        <v>90</v>
      </c>
      <c r="AD3203" t="s">
        <v>4839</v>
      </c>
      <c r="AE3203">
        <v>4.6479999999999997</v>
      </c>
      <c r="AF3203" t="s">
        <v>65</v>
      </c>
      <c r="AG3203">
        <v>2</v>
      </c>
      <c r="AH3203">
        <v>4</v>
      </c>
      <c r="AI3203">
        <v>5</v>
      </c>
      <c r="AJ3203">
        <v>0.44444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0</v>
      </c>
      <c r="AR3203">
        <v>0</v>
      </c>
      <c r="AS3203">
        <v>6</v>
      </c>
      <c r="AT3203">
        <v>0</v>
      </c>
      <c r="AU3203">
        <v>8</v>
      </c>
      <c r="AV3203">
        <v>4</v>
      </c>
      <c r="AW3203">
        <v>12</v>
      </c>
      <c r="AX3203">
        <v>5</v>
      </c>
      <c r="AY3203">
        <v>13</v>
      </c>
      <c r="AZ3203">
        <v>4</v>
      </c>
      <c r="BA3203" t="s">
        <v>11672</v>
      </c>
      <c r="BB3203" t="s">
        <v>11673</v>
      </c>
      <c r="BC3203">
        <v>0.26</v>
      </c>
      <c r="BD3203" t="s">
        <v>65</v>
      </c>
      <c r="BE3203">
        <v>25</v>
      </c>
      <c r="BF3203">
        <v>9</v>
      </c>
      <c r="BG3203" t="s">
        <v>11674</v>
      </c>
      <c r="BH3203" t="s">
        <v>11675</v>
      </c>
      <c r="BI3203" t="s">
        <v>2865</v>
      </c>
      <c r="BJ3203">
        <v>8.1629999999999994E-2</v>
      </c>
      <c r="BK3203">
        <v>1</v>
      </c>
      <c r="BL3203" t="s">
        <v>69</v>
      </c>
      <c r="BM3203">
        <v>-1.802</v>
      </c>
      <c r="BN3203">
        <v>-1.7190000000000001</v>
      </c>
    </row>
    <row r="3204" spans="10:66">
      <c r="J3204">
        <v>0</v>
      </c>
      <c r="K3204">
        <v>0</v>
      </c>
      <c r="L3204">
        <v>0</v>
      </c>
      <c r="M3204" t="s">
        <v>25021</v>
      </c>
      <c r="N3204">
        <v>1864</v>
      </c>
      <c r="O3204" t="s">
        <v>11676</v>
      </c>
      <c r="P3204" t="s">
        <v>62</v>
      </c>
      <c r="Q3204">
        <v>1926131</v>
      </c>
      <c r="R3204">
        <v>1926274</v>
      </c>
      <c r="S3204" t="s">
        <v>389</v>
      </c>
      <c r="T3204">
        <v>48</v>
      </c>
      <c r="U3204" t="s">
        <v>108</v>
      </c>
      <c r="V3204">
        <v>44</v>
      </c>
      <c r="W3204" t="str">
        <f>HYPERLINK("Gene1864-zp_tree_all.dnd", "Gene1864-tree")</f>
        <v>Gene1864-tree</v>
      </c>
      <c r="X3204">
        <v>4</v>
      </c>
      <c r="Y3204">
        <v>0</v>
      </c>
      <c r="Z3204">
        <v>4</v>
      </c>
      <c r="AA3204">
        <v>0</v>
      </c>
      <c r="AB3204">
        <v>0</v>
      </c>
      <c r="AC3204" t="s">
        <v>61</v>
      </c>
      <c r="AD3204" t="s">
        <v>62</v>
      </c>
      <c r="AE3204" t="s">
        <v>62</v>
      </c>
      <c r="AF3204" t="s">
        <v>62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3</v>
      </c>
      <c r="AV3204">
        <v>1</v>
      </c>
      <c r="AW3204">
        <v>3</v>
      </c>
      <c r="AX3204">
        <v>0</v>
      </c>
      <c r="AY3204">
        <v>1</v>
      </c>
      <c r="AZ3204">
        <v>0</v>
      </c>
      <c r="BA3204" t="s">
        <v>193</v>
      </c>
      <c r="BB3204" t="s">
        <v>193</v>
      </c>
      <c r="BC3204">
        <v>0</v>
      </c>
      <c r="BD3204" t="s">
        <v>65</v>
      </c>
      <c r="BE3204">
        <v>4</v>
      </c>
      <c r="BF3204">
        <v>0</v>
      </c>
      <c r="BG3204" t="s">
        <v>11677</v>
      </c>
      <c r="BH3204" t="s">
        <v>11678</v>
      </c>
      <c r="BI3204" t="s">
        <v>193</v>
      </c>
      <c r="BJ3204">
        <v>0</v>
      </c>
      <c r="BK3204">
        <v>1</v>
      </c>
      <c r="BL3204" t="s">
        <v>69</v>
      </c>
      <c r="BM3204">
        <v>1.6140000000000001</v>
      </c>
      <c r="BN3204">
        <v>0.90500000000000003</v>
      </c>
    </row>
    <row r="3205" spans="10:66">
      <c r="J3205">
        <v>0</v>
      </c>
      <c r="K3205">
        <v>0</v>
      </c>
      <c r="L3205">
        <v>0</v>
      </c>
      <c r="M3205" t="s">
        <v>25021</v>
      </c>
      <c r="N3205">
        <v>1865</v>
      </c>
      <c r="O3205" t="s">
        <v>11679</v>
      </c>
      <c r="P3205" t="s">
        <v>62</v>
      </c>
      <c r="Q3205">
        <v>1926309</v>
      </c>
      <c r="R3205">
        <v>1926452</v>
      </c>
      <c r="S3205" t="s">
        <v>389</v>
      </c>
      <c r="T3205">
        <v>48</v>
      </c>
      <c r="U3205" t="s">
        <v>698</v>
      </c>
      <c r="V3205">
        <v>47</v>
      </c>
      <c r="W3205" t="str">
        <f>HYPERLINK("Gene1865-zp_tree_all.dnd", "Gene1865-tree")</f>
        <v>Gene1865-tree</v>
      </c>
      <c r="X3205">
        <v>46</v>
      </c>
      <c r="Y3205">
        <v>0</v>
      </c>
      <c r="Z3205">
        <v>6</v>
      </c>
      <c r="AA3205">
        <v>0</v>
      </c>
      <c r="AB3205">
        <v>0</v>
      </c>
      <c r="AC3205" t="s">
        <v>9935</v>
      </c>
      <c r="AD3205" t="s">
        <v>62</v>
      </c>
      <c r="AE3205" t="s">
        <v>62</v>
      </c>
      <c r="AF3205" t="s">
        <v>62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4</v>
      </c>
      <c r="AV3205">
        <v>2</v>
      </c>
      <c r="AW3205">
        <v>4</v>
      </c>
      <c r="AX3205">
        <v>0</v>
      </c>
      <c r="AY3205">
        <v>5</v>
      </c>
      <c r="AZ3205">
        <v>1</v>
      </c>
      <c r="BA3205" t="s">
        <v>193</v>
      </c>
      <c r="BB3205" t="s">
        <v>11680</v>
      </c>
      <c r="BC3205">
        <v>1.0169999999999999</v>
      </c>
      <c r="BD3205" t="s">
        <v>65</v>
      </c>
      <c r="BE3205">
        <v>9</v>
      </c>
      <c r="BF3205">
        <v>1</v>
      </c>
      <c r="BG3205" t="s">
        <v>11681</v>
      </c>
      <c r="BH3205" t="s">
        <v>11682</v>
      </c>
      <c r="BI3205" t="s">
        <v>11683</v>
      </c>
      <c r="BJ3205">
        <v>2.7980000000000001E-2</v>
      </c>
      <c r="BK3205">
        <v>1</v>
      </c>
      <c r="BL3205" t="s">
        <v>69</v>
      </c>
      <c r="BM3205">
        <v>-1.6910000000000001</v>
      </c>
      <c r="BN3205">
        <v>-1.02</v>
      </c>
    </row>
    <row r="3206" spans="10:66">
      <c r="J3206">
        <v>0</v>
      </c>
      <c r="K3206">
        <v>0</v>
      </c>
      <c r="L3206">
        <v>0</v>
      </c>
      <c r="M3206" t="s">
        <v>25021</v>
      </c>
      <c r="N3206">
        <v>1873</v>
      </c>
      <c r="O3206" t="s">
        <v>11725</v>
      </c>
      <c r="P3206" t="s">
        <v>62</v>
      </c>
      <c r="Q3206">
        <v>1931548</v>
      </c>
      <c r="R3206">
        <v>1931832</v>
      </c>
      <c r="S3206" t="s">
        <v>288</v>
      </c>
      <c r="T3206">
        <v>95</v>
      </c>
      <c r="U3206" t="s">
        <v>108</v>
      </c>
      <c r="V3206">
        <v>44</v>
      </c>
      <c r="W3206" t="str">
        <f>HYPERLINK("Gene1873-zp_tree_all.dnd", "Gene1873-tree")</f>
        <v>Gene1873-tree</v>
      </c>
      <c r="X3206">
        <v>31</v>
      </c>
      <c r="Y3206">
        <v>1</v>
      </c>
      <c r="Z3206">
        <v>11</v>
      </c>
      <c r="AA3206">
        <v>1</v>
      </c>
      <c r="AB3206">
        <v>8.3330000000000001E-2</v>
      </c>
      <c r="AC3206" t="s">
        <v>2860</v>
      </c>
      <c r="AD3206" t="s">
        <v>175</v>
      </c>
      <c r="AE3206" t="s">
        <v>62</v>
      </c>
      <c r="AF3206" t="s">
        <v>62</v>
      </c>
      <c r="AG3206">
        <v>0</v>
      </c>
      <c r="AH3206">
        <v>0</v>
      </c>
      <c r="AI3206">
        <v>2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2</v>
      </c>
      <c r="AT3206">
        <v>0</v>
      </c>
      <c r="AU3206">
        <v>7</v>
      </c>
      <c r="AV3206">
        <v>4</v>
      </c>
      <c r="AW3206">
        <v>8</v>
      </c>
      <c r="AX3206">
        <v>2</v>
      </c>
      <c r="AY3206">
        <v>4</v>
      </c>
      <c r="AZ3206">
        <v>0</v>
      </c>
      <c r="BA3206" t="s">
        <v>11726</v>
      </c>
      <c r="BB3206" t="s">
        <v>193</v>
      </c>
      <c r="BC3206">
        <v>0.41899999999999998</v>
      </c>
      <c r="BD3206" t="s">
        <v>65</v>
      </c>
      <c r="BE3206">
        <v>12</v>
      </c>
      <c r="BF3206">
        <v>2</v>
      </c>
      <c r="BG3206" t="s">
        <v>11727</v>
      </c>
      <c r="BH3206" t="s">
        <v>11728</v>
      </c>
      <c r="BI3206" t="s">
        <v>11729</v>
      </c>
      <c r="BJ3206">
        <v>3.1539999999999999E-2</v>
      </c>
      <c r="BK3206">
        <v>1</v>
      </c>
      <c r="BL3206" t="s">
        <v>69</v>
      </c>
      <c r="BM3206">
        <v>-1.139</v>
      </c>
      <c r="BN3206">
        <v>-1.6619999999999999</v>
      </c>
    </row>
    <row r="3207" spans="10:66">
      <c r="J3207">
        <v>0</v>
      </c>
      <c r="K3207">
        <v>0</v>
      </c>
      <c r="L3207">
        <v>0</v>
      </c>
      <c r="M3207" t="s">
        <v>25021</v>
      </c>
      <c r="N3207">
        <v>1874</v>
      </c>
      <c r="O3207" t="s">
        <v>11730</v>
      </c>
      <c r="P3207" t="s">
        <v>62</v>
      </c>
      <c r="Q3207">
        <v>1931923</v>
      </c>
      <c r="R3207">
        <v>1932501</v>
      </c>
      <c r="S3207" t="s">
        <v>11731</v>
      </c>
      <c r="T3207">
        <v>193</v>
      </c>
      <c r="U3207" t="s">
        <v>749</v>
      </c>
      <c r="V3207">
        <v>47</v>
      </c>
      <c r="W3207" t="str">
        <f>HYPERLINK("Gene1874-zp_tree_all.dnd", "Gene1874-tree")</f>
        <v>Gene1874-tree</v>
      </c>
      <c r="X3207">
        <v>32</v>
      </c>
      <c r="Y3207">
        <v>1</v>
      </c>
      <c r="Z3207">
        <v>12</v>
      </c>
      <c r="AA3207">
        <v>1</v>
      </c>
      <c r="AB3207">
        <v>7.6920000000000002E-2</v>
      </c>
      <c r="AC3207" t="s">
        <v>1782</v>
      </c>
      <c r="AD3207" t="s">
        <v>175</v>
      </c>
      <c r="AE3207" t="s">
        <v>62</v>
      </c>
      <c r="AF3207" t="s">
        <v>62</v>
      </c>
      <c r="AG3207">
        <v>0</v>
      </c>
      <c r="AH3207">
        <v>0</v>
      </c>
      <c r="AI3207">
        <v>4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10</v>
      </c>
      <c r="AV3207">
        <v>4</v>
      </c>
      <c r="AW3207">
        <v>21</v>
      </c>
      <c r="AX3207">
        <v>1</v>
      </c>
      <c r="AY3207">
        <v>21</v>
      </c>
      <c r="AZ3207">
        <v>3</v>
      </c>
      <c r="BA3207" t="s">
        <v>11732</v>
      </c>
      <c r="BB3207" t="s">
        <v>11733</v>
      </c>
      <c r="BC3207">
        <v>0.27400000000000002</v>
      </c>
      <c r="BD3207" t="s">
        <v>65</v>
      </c>
      <c r="BE3207">
        <v>42</v>
      </c>
      <c r="BF3207">
        <v>4</v>
      </c>
      <c r="BG3207" t="s">
        <v>11734</v>
      </c>
      <c r="BH3207" t="s">
        <v>11735</v>
      </c>
      <c r="BI3207" t="s">
        <v>11736</v>
      </c>
      <c r="BJ3207">
        <v>3.8559999999999997E-2</v>
      </c>
      <c r="BK3207">
        <v>1</v>
      </c>
      <c r="BL3207" t="s">
        <v>69</v>
      </c>
      <c r="BM3207">
        <v>-1.7809999999999999</v>
      </c>
      <c r="BN3207">
        <v>-1.714</v>
      </c>
    </row>
    <row r="3208" spans="10:66">
      <c r="J3208">
        <v>0</v>
      </c>
      <c r="K3208">
        <v>8</v>
      </c>
      <c r="L3208">
        <v>2</v>
      </c>
      <c r="M3208" t="s">
        <v>25021</v>
      </c>
      <c r="N3208">
        <v>1883</v>
      </c>
      <c r="O3208" t="s">
        <v>11778</v>
      </c>
      <c r="P3208" t="s">
        <v>62</v>
      </c>
      <c r="Q3208">
        <v>1942717</v>
      </c>
      <c r="R3208">
        <v>1943982</v>
      </c>
      <c r="S3208" t="s">
        <v>11779</v>
      </c>
      <c r="T3208">
        <v>422</v>
      </c>
      <c r="U3208" t="s">
        <v>11780</v>
      </c>
      <c r="V3208">
        <v>43</v>
      </c>
      <c r="W3208" t="str">
        <f>HYPERLINK("Gene1883-zp_tree_all.dnd", "Gene1883-tree")</f>
        <v>Gene1883-tree</v>
      </c>
      <c r="X3208">
        <v>3</v>
      </c>
      <c r="Y3208">
        <v>30</v>
      </c>
      <c r="Z3208">
        <v>3</v>
      </c>
      <c r="AA3208">
        <v>9</v>
      </c>
      <c r="AB3208">
        <v>0.75</v>
      </c>
      <c r="AC3208" t="s">
        <v>324</v>
      </c>
      <c r="AD3208" t="s">
        <v>2142</v>
      </c>
      <c r="AE3208">
        <v>1.887</v>
      </c>
      <c r="AF3208" t="s">
        <v>65</v>
      </c>
      <c r="AG3208">
        <v>5</v>
      </c>
      <c r="AH3208">
        <v>10</v>
      </c>
      <c r="AI3208">
        <v>17</v>
      </c>
      <c r="AJ3208">
        <v>0.37036999999999998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4</v>
      </c>
      <c r="AQ3208">
        <v>4</v>
      </c>
      <c r="AR3208">
        <v>8</v>
      </c>
      <c r="AS3208">
        <v>17</v>
      </c>
      <c r="AT3208">
        <v>0.32</v>
      </c>
      <c r="AU3208">
        <v>10</v>
      </c>
      <c r="AV3208">
        <v>9</v>
      </c>
      <c r="AW3208">
        <v>72</v>
      </c>
      <c r="AX3208">
        <v>23</v>
      </c>
      <c r="AY3208">
        <v>53</v>
      </c>
      <c r="AZ3208">
        <v>5</v>
      </c>
      <c r="BA3208" t="s">
        <v>11781</v>
      </c>
      <c r="BB3208" t="s">
        <v>11782</v>
      </c>
      <c r="BC3208">
        <v>0.86499999999999999</v>
      </c>
      <c r="BD3208" t="s">
        <v>65</v>
      </c>
      <c r="BE3208">
        <v>125</v>
      </c>
      <c r="BF3208">
        <v>28</v>
      </c>
      <c r="BG3208" t="s">
        <v>11783</v>
      </c>
      <c r="BH3208" t="s">
        <v>11784</v>
      </c>
      <c r="BI3208" t="s">
        <v>11785</v>
      </c>
      <c r="BJ3208">
        <v>5.8169999999999999E-2</v>
      </c>
      <c r="BK3208">
        <v>1</v>
      </c>
      <c r="BL3208" t="s">
        <v>69</v>
      </c>
      <c r="BM3208">
        <v>-0.99099999999999999</v>
      </c>
      <c r="BN3208">
        <v>-1.7270000000000001</v>
      </c>
    </row>
    <row r="3209" spans="10:66">
      <c r="J3209">
        <v>2</v>
      </c>
      <c r="K3209">
        <v>32</v>
      </c>
      <c r="L3209">
        <v>7</v>
      </c>
      <c r="M3209" t="s">
        <v>25021</v>
      </c>
      <c r="N3209">
        <v>1884</v>
      </c>
      <c r="O3209" t="s">
        <v>11786</v>
      </c>
      <c r="P3209" t="s">
        <v>62</v>
      </c>
      <c r="Q3209">
        <v>1944116</v>
      </c>
      <c r="R3209">
        <v>1945654</v>
      </c>
      <c r="S3209" t="s">
        <v>11787</v>
      </c>
      <c r="T3209">
        <v>513</v>
      </c>
      <c r="U3209" t="s">
        <v>11788</v>
      </c>
      <c r="V3209">
        <v>36</v>
      </c>
      <c r="W3209" t="str">
        <f>HYPERLINK("Gene1884-zp_tree_all.dnd", "Gene1884-tree")</f>
        <v>Gene1884-tree</v>
      </c>
      <c r="X3209">
        <v>0</v>
      </c>
      <c r="Y3209">
        <v>12</v>
      </c>
      <c r="Z3209">
        <v>0</v>
      </c>
      <c r="AA3209">
        <v>12</v>
      </c>
      <c r="AB3209">
        <v>1</v>
      </c>
      <c r="AC3209" t="s">
        <v>62</v>
      </c>
      <c r="AD3209" t="s">
        <v>109</v>
      </c>
      <c r="AE3209" t="s">
        <v>62</v>
      </c>
      <c r="AF3209" t="s">
        <v>62</v>
      </c>
      <c r="AG3209">
        <v>17</v>
      </c>
      <c r="AH3209">
        <v>41</v>
      </c>
      <c r="AI3209">
        <v>24</v>
      </c>
      <c r="AJ3209">
        <v>0.63077000000000005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11</v>
      </c>
      <c r="AQ3209">
        <v>7</v>
      </c>
      <c r="AR3209">
        <v>18</v>
      </c>
      <c r="AS3209">
        <v>25</v>
      </c>
      <c r="AT3209">
        <v>0.41860000000000003</v>
      </c>
      <c r="AU3209">
        <v>11</v>
      </c>
      <c r="AV3209">
        <v>9</v>
      </c>
      <c r="AW3209">
        <v>105</v>
      </c>
      <c r="AX3209">
        <v>45</v>
      </c>
      <c r="AY3209">
        <v>52</v>
      </c>
      <c r="AZ3209">
        <v>24</v>
      </c>
      <c r="BA3209" t="s">
        <v>11789</v>
      </c>
      <c r="BB3209" t="s">
        <v>11790</v>
      </c>
      <c r="BC3209">
        <v>0.14099999999999999</v>
      </c>
      <c r="BD3209" t="s">
        <v>65</v>
      </c>
      <c r="BE3209">
        <v>157</v>
      </c>
      <c r="BF3209">
        <v>69</v>
      </c>
      <c r="BG3209" t="s">
        <v>11791</v>
      </c>
      <c r="BH3209" t="s">
        <v>11792</v>
      </c>
      <c r="BI3209" t="s">
        <v>11793</v>
      </c>
      <c r="BJ3209">
        <v>0.13227</v>
      </c>
      <c r="BK3209">
        <v>1</v>
      </c>
      <c r="BL3209" t="s">
        <v>69</v>
      </c>
      <c r="BM3209">
        <v>-0.73399999999999999</v>
      </c>
      <c r="BN3209">
        <v>-1.431</v>
      </c>
    </row>
    <row r="3210" spans="10:66">
      <c r="J3210">
        <v>0</v>
      </c>
      <c r="K3210">
        <v>4</v>
      </c>
      <c r="L3210">
        <v>0</v>
      </c>
      <c r="M3210" t="s">
        <v>25021</v>
      </c>
      <c r="N3210">
        <v>1888</v>
      </c>
      <c r="O3210" t="s">
        <v>11815</v>
      </c>
      <c r="P3210" t="s">
        <v>62</v>
      </c>
      <c r="Q3210">
        <v>1948316</v>
      </c>
      <c r="R3210">
        <v>1949512</v>
      </c>
      <c r="S3210" t="s">
        <v>11816</v>
      </c>
      <c r="T3210">
        <v>399</v>
      </c>
      <c r="U3210" t="s">
        <v>108</v>
      </c>
      <c r="V3210">
        <v>44</v>
      </c>
      <c r="W3210" t="str">
        <f>HYPERLINK("Gene1888-zp_tree_all.dnd", "Gene1888-tree")</f>
        <v>Gene1888-tree</v>
      </c>
      <c r="X3210">
        <v>6</v>
      </c>
      <c r="Y3210">
        <v>8</v>
      </c>
      <c r="Z3210">
        <v>6</v>
      </c>
      <c r="AA3210">
        <v>8</v>
      </c>
      <c r="AB3210">
        <v>0.57142999999999999</v>
      </c>
      <c r="AC3210" t="s">
        <v>90</v>
      </c>
      <c r="AD3210" t="s">
        <v>136</v>
      </c>
      <c r="AE3210" t="s">
        <v>62</v>
      </c>
      <c r="AF3210" t="s">
        <v>62</v>
      </c>
      <c r="AG3210">
        <v>2</v>
      </c>
      <c r="AH3210">
        <v>4</v>
      </c>
      <c r="AI3210">
        <v>12</v>
      </c>
      <c r="AJ3210">
        <v>0.25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2</v>
      </c>
      <c r="AQ3210">
        <v>0</v>
      </c>
      <c r="AR3210">
        <v>2</v>
      </c>
      <c r="AS3210">
        <v>11</v>
      </c>
      <c r="AT3210">
        <v>0.15384999999999999</v>
      </c>
      <c r="AU3210">
        <v>11</v>
      </c>
      <c r="AV3210">
        <v>10</v>
      </c>
      <c r="AW3210">
        <v>33</v>
      </c>
      <c r="AX3210">
        <v>10</v>
      </c>
      <c r="AY3210">
        <v>17</v>
      </c>
      <c r="AZ3210">
        <v>6</v>
      </c>
      <c r="BA3210" t="s">
        <v>11817</v>
      </c>
      <c r="BB3210" t="s">
        <v>11818</v>
      </c>
      <c r="BC3210">
        <v>0.12</v>
      </c>
      <c r="BD3210" t="s">
        <v>65</v>
      </c>
      <c r="BE3210">
        <v>50</v>
      </c>
      <c r="BF3210">
        <v>16</v>
      </c>
      <c r="BG3210" t="s">
        <v>11819</v>
      </c>
      <c r="BH3210" t="s">
        <v>11820</v>
      </c>
      <c r="BI3210" t="s">
        <v>11821</v>
      </c>
      <c r="BJ3210">
        <v>9.5619999999999997E-2</v>
      </c>
      <c r="BK3210">
        <v>1</v>
      </c>
      <c r="BL3210" t="s">
        <v>69</v>
      </c>
      <c r="BM3210">
        <v>-0.84399999999999997</v>
      </c>
      <c r="BN3210">
        <v>-0.16300000000000001</v>
      </c>
    </row>
    <row r="3211" spans="10:66">
      <c r="J3211">
        <v>0</v>
      </c>
      <c r="K3211">
        <v>6</v>
      </c>
      <c r="L3211">
        <v>1</v>
      </c>
      <c r="M3211" t="s">
        <v>25021</v>
      </c>
      <c r="N3211">
        <v>1889</v>
      </c>
      <c r="O3211" t="s">
        <v>11822</v>
      </c>
      <c r="P3211" t="s">
        <v>62</v>
      </c>
      <c r="Q3211">
        <v>1949685</v>
      </c>
      <c r="R3211">
        <v>1951217</v>
      </c>
      <c r="S3211" t="s">
        <v>11823</v>
      </c>
      <c r="T3211">
        <v>511</v>
      </c>
      <c r="U3211" t="s">
        <v>108</v>
      </c>
      <c r="V3211">
        <v>44</v>
      </c>
      <c r="W3211" t="str">
        <f>HYPERLINK("Gene1889-zp_tree_all.dnd", "Gene1889-tree")</f>
        <v>Gene1889-tree</v>
      </c>
      <c r="X3211">
        <v>4</v>
      </c>
      <c r="Y3211">
        <v>30</v>
      </c>
      <c r="Z3211">
        <v>4</v>
      </c>
      <c r="AA3211">
        <v>10</v>
      </c>
      <c r="AB3211">
        <v>0.71428999999999998</v>
      </c>
      <c r="AC3211" t="s">
        <v>61</v>
      </c>
      <c r="AD3211" t="s">
        <v>250</v>
      </c>
      <c r="AE3211">
        <v>2.2410000000000001</v>
      </c>
      <c r="AF3211" t="s">
        <v>65</v>
      </c>
      <c r="AG3211">
        <v>2</v>
      </c>
      <c r="AH3211">
        <v>7</v>
      </c>
      <c r="AI3211">
        <v>17</v>
      </c>
      <c r="AJ3211">
        <v>0.29166999999999998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2</v>
      </c>
      <c r="AQ3211">
        <v>0</v>
      </c>
      <c r="AR3211">
        <v>2</v>
      </c>
      <c r="AS3211">
        <v>17</v>
      </c>
      <c r="AT3211">
        <v>0.10526000000000001</v>
      </c>
      <c r="AU3211">
        <v>13</v>
      </c>
      <c r="AV3211">
        <v>9</v>
      </c>
      <c r="AW3211">
        <v>54</v>
      </c>
      <c r="AX3211">
        <v>20</v>
      </c>
      <c r="AY3211">
        <v>21</v>
      </c>
      <c r="AZ3211">
        <v>5</v>
      </c>
      <c r="BA3211" t="s">
        <v>11824</v>
      </c>
      <c r="BB3211" t="s">
        <v>11825</v>
      </c>
      <c r="BC3211">
        <v>0.70199999999999996</v>
      </c>
      <c r="BD3211" t="s">
        <v>65</v>
      </c>
      <c r="BE3211">
        <v>75</v>
      </c>
      <c r="BF3211">
        <v>25</v>
      </c>
      <c r="BG3211" t="s">
        <v>11826</v>
      </c>
      <c r="BH3211" t="s">
        <v>11827</v>
      </c>
      <c r="BI3211" t="s">
        <v>11828</v>
      </c>
      <c r="BJ3211">
        <v>9.7799999999999998E-2</v>
      </c>
      <c r="BK3211">
        <v>1</v>
      </c>
      <c r="BL3211" t="s">
        <v>69</v>
      </c>
      <c r="BM3211">
        <v>-0.82399999999999995</v>
      </c>
      <c r="BN3211">
        <v>-1.1950000000000001</v>
      </c>
    </row>
    <row r="3212" spans="10:66">
      <c r="J3212">
        <v>0</v>
      </c>
      <c r="K3212">
        <v>13</v>
      </c>
      <c r="L3212">
        <v>2</v>
      </c>
      <c r="M3212" t="s">
        <v>25021</v>
      </c>
      <c r="N3212">
        <v>1890</v>
      </c>
      <c r="O3212" t="s">
        <v>11829</v>
      </c>
      <c r="P3212" t="s">
        <v>62</v>
      </c>
      <c r="Q3212">
        <v>1951231</v>
      </c>
      <c r="R3212">
        <v>1952010</v>
      </c>
      <c r="S3212" t="s">
        <v>11830</v>
      </c>
      <c r="T3212">
        <v>260</v>
      </c>
      <c r="U3212" t="s">
        <v>108</v>
      </c>
      <c r="V3212">
        <v>44</v>
      </c>
      <c r="W3212" t="str">
        <f>HYPERLINK("Gene1890-zp_tree_all.dnd", "Gene1890-tree")</f>
        <v>Gene1890-tree</v>
      </c>
      <c r="X3212">
        <v>1</v>
      </c>
      <c r="Y3212">
        <v>10</v>
      </c>
      <c r="Z3212">
        <v>1</v>
      </c>
      <c r="AA3212">
        <v>10</v>
      </c>
      <c r="AB3212">
        <v>0.90908999999999995</v>
      </c>
      <c r="AC3212" t="s">
        <v>175</v>
      </c>
      <c r="AD3212" t="s">
        <v>117</v>
      </c>
      <c r="AE3212" t="s">
        <v>62</v>
      </c>
      <c r="AF3212" t="s">
        <v>62</v>
      </c>
      <c r="AG3212">
        <v>7</v>
      </c>
      <c r="AH3212">
        <v>15</v>
      </c>
      <c r="AI3212">
        <v>9</v>
      </c>
      <c r="AJ3212">
        <v>0.625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8</v>
      </c>
      <c r="AQ3212">
        <v>0</v>
      </c>
      <c r="AR3212">
        <v>8</v>
      </c>
      <c r="AS3212">
        <v>10</v>
      </c>
      <c r="AT3212">
        <v>0.44444</v>
      </c>
      <c r="AU3212">
        <v>11</v>
      </c>
      <c r="AV3212">
        <v>8</v>
      </c>
      <c r="AW3212">
        <v>27</v>
      </c>
      <c r="AX3212">
        <v>18</v>
      </c>
      <c r="AY3212">
        <v>11</v>
      </c>
      <c r="AZ3212">
        <v>6</v>
      </c>
      <c r="BA3212" t="s">
        <v>11831</v>
      </c>
      <c r="BB3212" t="s">
        <v>11832</v>
      </c>
      <c r="BC3212">
        <v>7.1999999999999995E-2</v>
      </c>
      <c r="BD3212" t="s">
        <v>65</v>
      </c>
      <c r="BE3212">
        <v>38</v>
      </c>
      <c r="BF3212">
        <v>24</v>
      </c>
      <c r="BG3212" t="s">
        <v>11833</v>
      </c>
      <c r="BH3212" t="s">
        <v>11834</v>
      </c>
      <c r="BI3212" t="s">
        <v>11835</v>
      </c>
      <c r="BJ3212">
        <v>0.19109999999999999</v>
      </c>
      <c r="BK3212">
        <v>1</v>
      </c>
      <c r="BL3212" t="s">
        <v>69</v>
      </c>
      <c r="BM3212">
        <v>-0.67800000000000005</v>
      </c>
      <c r="BN3212">
        <v>-2.339</v>
      </c>
    </row>
    <row r="3213" spans="10:66">
      <c r="J3213">
        <v>5</v>
      </c>
      <c r="K3213">
        <v>3</v>
      </c>
      <c r="L3213">
        <v>0</v>
      </c>
      <c r="M3213" t="s">
        <v>25021</v>
      </c>
      <c r="N3213">
        <v>1891</v>
      </c>
      <c r="O3213" t="s">
        <v>11836</v>
      </c>
      <c r="P3213" t="s">
        <v>62</v>
      </c>
      <c r="Q3213">
        <v>1952034</v>
      </c>
      <c r="R3213">
        <v>1952930</v>
      </c>
      <c r="S3213" t="s">
        <v>11837</v>
      </c>
      <c r="T3213">
        <v>299</v>
      </c>
      <c r="U3213" t="s">
        <v>108</v>
      </c>
      <c r="V3213">
        <v>44</v>
      </c>
      <c r="W3213" t="str">
        <f>HYPERLINK("Gene1891-zp_tree_all.dnd", "Gene1891-tree")</f>
        <v>Gene1891-tree</v>
      </c>
      <c r="X3213">
        <v>5</v>
      </c>
      <c r="Y3213">
        <v>7</v>
      </c>
      <c r="Z3213">
        <v>5</v>
      </c>
      <c r="AA3213">
        <v>7</v>
      </c>
      <c r="AB3213">
        <v>0.58333000000000002</v>
      </c>
      <c r="AC3213" t="s">
        <v>199</v>
      </c>
      <c r="AD3213" t="s">
        <v>152</v>
      </c>
      <c r="AE3213" t="s">
        <v>62</v>
      </c>
      <c r="AF3213" t="s">
        <v>62</v>
      </c>
      <c r="AG3213">
        <v>2</v>
      </c>
      <c r="AH3213">
        <v>8</v>
      </c>
      <c r="AI3213">
        <v>9</v>
      </c>
      <c r="AJ3213">
        <v>0.47059000000000001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2</v>
      </c>
      <c r="AQ3213">
        <v>1</v>
      </c>
      <c r="AR3213">
        <v>3</v>
      </c>
      <c r="AS3213">
        <v>6</v>
      </c>
      <c r="AT3213">
        <v>0.33333000000000002</v>
      </c>
      <c r="AU3213">
        <v>11</v>
      </c>
      <c r="AV3213">
        <v>7</v>
      </c>
      <c r="AW3213">
        <v>31</v>
      </c>
      <c r="AX3213">
        <v>10</v>
      </c>
      <c r="AY3213">
        <v>22</v>
      </c>
      <c r="AZ3213">
        <v>9</v>
      </c>
      <c r="BA3213" t="s">
        <v>11838</v>
      </c>
      <c r="BB3213" t="s">
        <v>11839</v>
      </c>
      <c r="BC3213">
        <v>0.47199999999999998</v>
      </c>
      <c r="BD3213" t="s">
        <v>65</v>
      </c>
      <c r="BE3213">
        <v>53</v>
      </c>
      <c r="BF3213">
        <v>19</v>
      </c>
      <c r="BG3213" t="s">
        <v>11840</v>
      </c>
      <c r="BH3213" t="s">
        <v>11841</v>
      </c>
      <c r="BI3213" t="s">
        <v>11842</v>
      </c>
      <c r="BJ3213">
        <v>0.13975000000000001</v>
      </c>
      <c r="BK3213">
        <v>1</v>
      </c>
      <c r="BL3213" t="s">
        <v>69</v>
      </c>
      <c r="BM3213">
        <v>0.54100000000000004</v>
      </c>
      <c r="BN3213">
        <v>3.5999999999999997E-2</v>
      </c>
    </row>
    <row r="3214" spans="10:66">
      <c r="J3214">
        <v>0</v>
      </c>
      <c r="K3214">
        <v>0</v>
      </c>
      <c r="L3214">
        <v>0</v>
      </c>
      <c r="M3214" t="s">
        <v>25021</v>
      </c>
      <c r="N3214">
        <v>1892</v>
      </c>
      <c r="O3214" t="s">
        <v>11843</v>
      </c>
      <c r="P3214" t="s">
        <v>62</v>
      </c>
      <c r="Q3214">
        <v>1952948</v>
      </c>
      <c r="R3214">
        <v>1953166</v>
      </c>
      <c r="S3214" t="s">
        <v>11844</v>
      </c>
      <c r="T3214">
        <v>73</v>
      </c>
      <c r="U3214" t="s">
        <v>108</v>
      </c>
      <c r="V3214">
        <v>44</v>
      </c>
      <c r="W3214" t="str">
        <f>HYPERLINK("Gene1892-zp_tree_all.dnd", "Gene1892-tree")</f>
        <v>Gene1892-tree</v>
      </c>
      <c r="X3214">
        <v>2</v>
      </c>
      <c r="Y3214">
        <v>5</v>
      </c>
      <c r="Z3214">
        <v>2</v>
      </c>
      <c r="AA3214">
        <v>5</v>
      </c>
      <c r="AB3214">
        <v>0.71428999999999998</v>
      </c>
      <c r="AC3214" t="s">
        <v>81</v>
      </c>
      <c r="AD3214" t="s">
        <v>199</v>
      </c>
      <c r="AE3214" t="s">
        <v>62</v>
      </c>
      <c r="AF3214" t="s">
        <v>62</v>
      </c>
      <c r="AG3214">
        <v>0</v>
      </c>
      <c r="AH3214">
        <v>0</v>
      </c>
      <c r="AI3214">
        <v>5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4</v>
      </c>
      <c r="AT3214">
        <v>0</v>
      </c>
      <c r="AU3214">
        <v>5</v>
      </c>
      <c r="AV3214">
        <v>1</v>
      </c>
      <c r="AW3214">
        <v>1</v>
      </c>
      <c r="AX3214">
        <v>4</v>
      </c>
      <c r="AY3214">
        <v>0</v>
      </c>
      <c r="AZ3214">
        <v>1</v>
      </c>
      <c r="BA3214" t="s">
        <v>11845</v>
      </c>
      <c r="BB3214" t="s">
        <v>193</v>
      </c>
      <c r="BC3214">
        <v>0.52600000000000002</v>
      </c>
      <c r="BD3214" t="s">
        <v>65</v>
      </c>
      <c r="BE3214">
        <v>1</v>
      </c>
      <c r="BF3214">
        <v>5</v>
      </c>
      <c r="BG3214" t="s">
        <v>11846</v>
      </c>
      <c r="BH3214" t="s">
        <v>11847</v>
      </c>
      <c r="BI3214" t="s">
        <v>11848</v>
      </c>
      <c r="BJ3214">
        <v>1.5407999999999999</v>
      </c>
      <c r="BK3214">
        <v>0.27900000000000003</v>
      </c>
      <c r="BL3214" t="s">
        <v>635</v>
      </c>
      <c r="BM3214">
        <v>0.27700000000000002</v>
      </c>
      <c r="BN3214">
        <v>0.34499999999999997</v>
      </c>
    </row>
    <row r="3215" spans="10:66">
      <c r="J3215">
        <v>0</v>
      </c>
      <c r="K3215">
        <v>8</v>
      </c>
      <c r="L3215">
        <v>3</v>
      </c>
      <c r="M3215" t="s">
        <v>25021</v>
      </c>
      <c r="N3215">
        <v>1893</v>
      </c>
      <c r="O3215" t="s">
        <v>11849</v>
      </c>
      <c r="P3215" t="s">
        <v>62</v>
      </c>
      <c r="Q3215">
        <v>1953184</v>
      </c>
      <c r="R3215">
        <v>1954515</v>
      </c>
      <c r="S3215" t="s">
        <v>11850</v>
      </c>
      <c r="T3215">
        <v>444</v>
      </c>
      <c r="U3215" t="s">
        <v>108</v>
      </c>
      <c r="V3215">
        <v>44</v>
      </c>
      <c r="W3215" t="str">
        <f>HYPERLINK("Gene1893-zp_tree_all.dnd", "Gene1893-tree")</f>
        <v>Gene1893-tree</v>
      </c>
      <c r="X3215">
        <v>3</v>
      </c>
      <c r="Y3215">
        <v>10</v>
      </c>
      <c r="Z3215">
        <v>3</v>
      </c>
      <c r="AA3215">
        <v>10</v>
      </c>
      <c r="AB3215">
        <v>0.76922999999999997</v>
      </c>
      <c r="AC3215" t="s">
        <v>324</v>
      </c>
      <c r="AD3215" t="s">
        <v>117</v>
      </c>
      <c r="AE3215" t="s">
        <v>62</v>
      </c>
      <c r="AF3215" t="s">
        <v>62</v>
      </c>
      <c r="AG3215">
        <v>4</v>
      </c>
      <c r="AH3215">
        <v>11</v>
      </c>
      <c r="AI3215">
        <v>13</v>
      </c>
      <c r="AJ3215">
        <v>0.45833000000000002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4</v>
      </c>
      <c r="AR3215">
        <v>4</v>
      </c>
      <c r="AS3215">
        <v>14</v>
      </c>
      <c r="AT3215">
        <v>0.22222</v>
      </c>
      <c r="AU3215">
        <v>11</v>
      </c>
      <c r="AV3215">
        <v>8</v>
      </c>
      <c r="AW3215">
        <v>27</v>
      </c>
      <c r="AX3215">
        <v>17</v>
      </c>
      <c r="AY3215">
        <v>20</v>
      </c>
      <c r="AZ3215">
        <v>7</v>
      </c>
      <c r="BA3215" t="s">
        <v>11851</v>
      </c>
      <c r="BB3215" t="s">
        <v>11852</v>
      </c>
      <c r="BC3215">
        <v>0.73099999999999998</v>
      </c>
      <c r="BD3215" t="s">
        <v>65</v>
      </c>
      <c r="BE3215">
        <v>47</v>
      </c>
      <c r="BF3215">
        <v>24</v>
      </c>
      <c r="BG3215" t="s">
        <v>11853</v>
      </c>
      <c r="BH3215" t="s">
        <v>11854</v>
      </c>
      <c r="BI3215" t="s">
        <v>11855</v>
      </c>
      <c r="BJ3215">
        <v>0.11255999999999999</v>
      </c>
      <c r="BK3215">
        <v>1</v>
      </c>
      <c r="BL3215" t="s">
        <v>69</v>
      </c>
      <c r="BM3215">
        <v>0.109</v>
      </c>
      <c r="BN3215">
        <v>-1.5860000000000001</v>
      </c>
    </row>
    <row r="3216" spans="10:66">
      <c r="J3216">
        <v>0</v>
      </c>
      <c r="K3216">
        <v>14</v>
      </c>
      <c r="L3216">
        <v>6</v>
      </c>
      <c r="M3216" t="s">
        <v>25021</v>
      </c>
      <c r="N3216">
        <v>1894</v>
      </c>
      <c r="O3216" t="s">
        <v>11856</v>
      </c>
      <c r="P3216" t="s">
        <v>62</v>
      </c>
      <c r="Q3216">
        <v>1954528</v>
      </c>
      <c r="R3216">
        <v>1956174</v>
      </c>
      <c r="S3216" t="s">
        <v>11857</v>
      </c>
      <c r="T3216">
        <v>549</v>
      </c>
      <c r="U3216" t="s">
        <v>108</v>
      </c>
      <c r="V3216">
        <v>44</v>
      </c>
      <c r="W3216" t="str">
        <f>HYPERLINK("Gene1894-zp_tree_all.dnd", "Gene1894-tree")</f>
        <v>Gene1894-tree</v>
      </c>
      <c r="X3216">
        <v>2</v>
      </c>
      <c r="Y3216">
        <v>31</v>
      </c>
      <c r="Z3216">
        <v>2</v>
      </c>
      <c r="AA3216">
        <v>11</v>
      </c>
      <c r="AB3216">
        <v>0.84614999999999996</v>
      </c>
      <c r="AC3216" t="s">
        <v>81</v>
      </c>
      <c r="AD3216" t="s">
        <v>2860</v>
      </c>
      <c r="AE3216">
        <v>0.28299999999999997</v>
      </c>
      <c r="AF3216" t="s">
        <v>65</v>
      </c>
      <c r="AG3216">
        <v>9</v>
      </c>
      <c r="AH3216">
        <v>20</v>
      </c>
      <c r="AI3216">
        <v>21</v>
      </c>
      <c r="AJ3216">
        <v>0.48780000000000001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4</v>
      </c>
      <c r="AQ3216">
        <v>0</v>
      </c>
      <c r="AR3216">
        <v>4</v>
      </c>
      <c r="AS3216">
        <v>24</v>
      </c>
      <c r="AT3216">
        <v>0.14285999999999999</v>
      </c>
      <c r="AU3216">
        <v>12</v>
      </c>
      <c r="AV3216">
        <v>10</v>
      </c>
      <c r="AW3216">
        <v>62</v>
      </c>
      <c r="AX3216">
        <v>25</v>
      </c>
      <c r="AY3216">
        <v>43</v>
      </c>
      <c r="AZ3216">
        <v>17</v>
      </c>
      <c r="BA3216" t="s">
        <v>11858</v>
      </c>
      <c r="BB3216" t="s">
        <v>11859</v>
      </c>
      <c r="BC3216">
        <v>1.9E-2</v>
      </c>
      <c r="BD3216" t="s">
        <v>65</v>
      </c>
      <c r="BE3216">
        <v>105</v>
      </c>
      <c r="BF3216">
        <v>42</v>
      </c>
      <c r="BG3216" t="s">
        <v>11860</v>
      </c>
      <c r="BH3216" t="s">
        <v>11861</v>
      </c>
      <c r="BI3216" t="s">
        <v>11862</v>
      </c>
      <c r="BJ3216">
        <v>0.11788</v>
      </c>
      <c r="BK3216">
        <v>1</v>
      </c>
      <c r="BL3216" t="s">
        <v>69</v>
      </c>
      <c r="BM3216">
        <v>-0.315</v>
      </c>
      <c r="BN3216">
        <v>-1.5309999999999999</v>
      </c>
    </row>
    <row r="3217" spans="10:66">
      <c r="J3217">
        <v>0</v>
      </c>
      <c r="K3217">
        <v>11</v>
      </c>
      <c r="L3217">
        <v>0</v>
      </c>
      <c r="M3217" t="s">
        <v>25021</v>
      </c>
      <c r="N3217">
        <v>1895</v>
      </c>
      <c r="O3217" t="s">
        <v>11863</v>
      </c>
      <c r="P3217" t="s">
        <v>62</v>
      </c>
      <c r="Q3217">
        <v>1956221</v>
      </c>
      <c r="R3217">
        <v>1957360</v>
      </c>
      <c r="S3217" t="s">
        <v>11864</v>
      </c>
      <c r="T3217">
        <v>380</v>
      </c>
      <c r="U3217" t="s">
        <v>108</v>
      </c>
      <c r="V3217">
        <v>44</v>
      </c>
      <c r="W3217" t="str">
        <f>HYPERLINK("Gene1895-zp_tree_all.dnd", "Gene1895-tree")</f>
        <v>Gene1895-tree</v>
      </c>
      <c r="X3217">
        <v>5</v>
      </c>
      <c r="Y3217">
        <v>7</v>
      </c>
      <c r="Z3217">
        <v>5</v>
      </c>
      <c r="AA3217">
        <v>7</v>
      </c>
      <c r="AB3217">
        <v>0.58333000000000002</v>
      </c>
      <c r="AC3217" t="s">
        <v>199</v>
      </c>
      <c r="AD3217" t="s">
        <v>152</v>
      </c>
      <c r="AE3217" t="s">
        <v>62</v>
      </c>
      <c r="AF3217" t="s">
        <v>62</v>
      </c>
      <c r="AG3217">
        <v>4</v>
      </c>
      <c r="AH3217">
        <v>11</v>
      </c>
      <c r="AI3217">
        <v>8</v>
      </c>
      <c r="AJ3217">
        <v>0.57894999999999996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7</v>
      </c>
      <c r="AQ3217">
        <v>0</v>
      </c>
      <c r="AR3217">
        <v>7</v>
      </c>
      <c r="AS3217">
        <v>9</v>
      </c>
      <c r="AT3217">
        <v>0.4375</v>
      </c>
      <c r="AU3217">
        <v>10</v>
      </c>
      <c r="AV3217">
        <v>7</v>
      </c>
      <c r="AW3217">
        <v>47</v>
      </c>
      <c r="AX3217">
        <v>14</v>
      </c>
      <c r="AY3217">
        <v>13</v>
      </c>
      <c r="AZ3217">
        <v>5</v>
      </c>
      <c r="BA3217" t="s">
        <v>11865</v>
      </c>
      <c r="BB3217" t="s">
        <v>11866</v>
      </c>
      <c r="BC3217">
        <v>0.33</v>
      </c>
      <c r="BD3217" t="s">
        <v>65</v>
      </c>
      <c r="BE3217">
        <v>60</v>
      </c>
      <c r="BF3217">
        <v>19</v>
      </c>
      <c r="BG3217" t="s">
        <v>11867</v>
      </c>
      <c r="BH3217" t="s">
        <v>11868</v>
      </c>
      <c r="BI3217" t="s">
        <v>11869</v>
      </c>
      <c r="BJ3217">
        <v>8.7569999999999995E-2</v>
      </c>
      <c r="BK3217">
        <v>1</v>
      </c>
      <c r="BL3217" t="s">
        <v>69</v>
      </c>
      <c r="BM3217">
        <v>-1.1879999999999999</v>
      </c>
      <c r="BN3217">
        <v>-3.165</v>
      </c>
    </row>
    <row r="3218" spans="10:66">
      <c r="J3218">
        <v>0</v>
      </c>
      <c r="K3218">
        <v>4</v>
      </c>
      <c r="L3218">
        <v>2</v>
      </c>
      <c r="M3218" t="s">
        <v>25021</v>
      </c>
      <c r="N3218">
        <v>1896</v>
      </c>
      <c r="O3218" t="s">
        <v>11870</v>
      </c>
      <c r="P3218" t="s">
        <v>62</v>
      </c>
      <c r="Q3218">
        <v>1957454</v>
      </c>
      <c r="R3218">
        <v>1957756</v>
      </c>
      <c r="S3218" t="s">
        <v>288</v>
      </c>
      <c r="T3218">
        <v>101</v>
      </c>
      <c r="U3218" t="s">
        <v>3681</v>
      </c>
      <c r="V3218">
        <v>38</v>
      </c>
      <c r="W3218" t="str">
        <f>HYPERLINK("Gene1896-zp_tree_all.dnd", "Gene1896-tree")</f>
        <v>Gene1896-tree</v>
      </c>
      <c r="X3218">
        <v>3</v>
      </c>
      <c r="Y3218">
        <v>5</v>
      </c>
      <c r="Z3218">
        <v>3</v>
      </c>
      <c r="AA3218">
        <v>5</v>
      </c>
      <c r="AB3218">
        <v>0.625</v>
      </c>
      <c r="AC3218" t="s">
        <v>324</v>
      </c>
      <c r="AD3218" t="s">
        <v>199</v>
      </c>
      <c r="AE3218" t="s">
        <v>62</v>
      </c>
      <c r="AF3218" t="s">
        <v>62</v>
      </c>
      <c r="AG3218">
        <v>3</v>
      </c>
      <c r="AH3218">
        <v>6</v>
      </c>
      <c r="AI3218">
        <v>10</v>
      </c>
      <c r="AJ3218">
        <v>0.375</v>
      </c>
      <c r="AK3218">
        <v>0</v>
      </c>
      <c r="AL3218">
        <v>0</v>
      </c>
      <c r="AM3218">
        <v>0</v>
      </c>
      <c r="AN3218">
        <v>2</v>
      </c>
      <c r="AO3218">
        <v>0</v>
      </c>
      <c r="AP3218">
        <v>2</v>
      </c>
      <c r="AQ3218">
        <v>2</v>
      </c>
      <c r="AR3218">
        <v>4</v>
      </c>
      <c r="AS3218">
        <v>7</v>
      </c>
      <c r="AT3218">
        <v>0.36364000000000002</v>
      </c>
      <c r="AU3218">
        <v>7</v>
      </c>
      <c r="AV3218">
        <v>4</v>
      </c>
      <c r="AW3218">
        <v>10</v>
      </c>
      <c r="AX3218">
        <v>12</v>
      </c>
      <c r="AY3218">
        <v>1</v>
      </c>
      <c r="AZ3218">
        <v>5</v>
      </c>
      <c r="BA3218" t="s">
        <v>11871</v>
      </c>
      <c r="BB3218" t="s">
        <v>11872</v>
      </c>
      <c r="BC3218">
        <v>0.48599999999999999</v>
      </c>
      <c r="BD3218" t="s">
        <v>65</v>
      </c>
      <c r="BE3218">
        <v>11</v>
      </c>
      <c r="BF3218">
        <v>17</v>
      </c>
      <c r="BG3218" t="s">
        <v>11873</v>
      </c>
      <c r="BH3218" t="s">
        <v>11874</v>
      </c>
      <c r="BI3218" t="s">
        <v>11875</v>
      </c>
      <c r="BJ3218">
        <v>0.52578999999999998</v>
      </c>
      <c r="BK3218">
        <v>0.88</v>
      </c>
      <c r="BL3218" t="s">
        <v>635</v>
      </c>
      <c r="BM3218">
        <v>-0.58599999999999997</v>
      </c>
      <c r="BN3218">
        <v>-2.363</v>
      </c>
    </row>
    <row r="3219" spans="10:66">
      <c r="J3219">
        <v>0</v>
      </c>
      <c r="K3219">
        <v>3</v>
      </c>
      <c r="L3219">
        <v>0</v>
      </c>
      <c r="M3219" t="s">
        <v>25021</v>
      </c>
      <c r="N3219">
        <v>1898</v>
      </c>
      <c r="O3219" t="s">
        <v>11876</v>
      </c>
      <c r="P3219" t="s">
        <v>62</v>
      </c>
      <c r="Q3219">
        <v>1959698</v>
      </c>
      <c r="R3219">
        <v>1960087</v>
      </c>
      <c r="S3219" t="s">
        <v>3095</v>
      </c>
      <c r="T3219">
        <v>130</v>
      </c>
      <c r="U3219" t="s">
        <v>108</v>
      </c>
      <c r="V3219">
        <v>44</v>
      </c>
      <c r="W3219" t="str">
        <f>HYPERLINK("Gene1898-zp_tree_all.dnd", "Gene1898-tree")</f>
        <v>Gene1898-tree</v>
      </c>
      <c r="X3219">
        <v>7</v>
      </c>
      <c r="Y3219">
        <v>3</v>
      </c>
      <c r="Z3219">
        <v>7</v>
      </c>
      <c r="AA3219">
        <v>3</v>
      </c>
      <c r="AB3219">
        <v>0.3</v>
      </c>
      <c r="AC3219" t="s">
        <v>152</v>
      </c>
      <c r="AD3219" t="s">
        <v>324</v>
      </c>
      <c r="AE3219" t="s">
        <v>62</v>
      </c>
      <c r="AF3219" t="s">
        <v>62</v>
      </c>
      <c r="AG3219">
        <v>1</v>
      </c>
      <c r="AH3219">
        <v>3</v>
      </c>
      <c r="AI3219">
        <v>3</v>
      </c>
      <c r="AJ3219">
        <v>0.5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3</v>
      </c>
      <c r="AT3219">
        <v>0</v>
      </c>
      <c r="AU3219">
        <v>6</v>
      </c>
      <c r="AV3219">
        <v>6</v>
      </c>
      <c r="AW3219">
        <v>13</v>
      </c>
      <c r="AX3219">
        <v>3</v>
      </c>
      <c r="AY3219">
        <v>7</v>
      </c>
      <c r="AZ3219">
        <v>3</v>
      </c>
      <c r="BA3219" t="s">
        <v>11877</v>
      </c>
      <c r="BB3219" t="s">
        <v>11878</v>
      </c>
      <c r="BC3219">
        <v>0.72799999999999998</v>
      </c>
      <c r="BD3219" t="s">
        <v>65</v>
      </c>
      <c r="BE3219">
        <v>20</v>
      </c>
      <c r="BF3219">
        <v>6</v>
      </c>
      <c r="BG3219" t="s">
        <v>11879</v>
      </c>
      <c r="BH3219" t="s">
        <v>11880</v>
      </c>
      <c r="BI3219" t="s">
        <v>11881</v>
      </c>
      <c r="BJ3219">
        <v>6.8849999999999995E-2</v>
      </c>
      <c r="BK3219">
        <v>1</v>
      </c>
      <c r="BL3219" t="s">
        <v>69</v>
      </c>
      <c r="BM3219">
        <v>9.1999999999999998E-2</v>
      </c>
      <c r="BN3219">
        <v>-0.41599999999999998</v>
      </c>
    </row>
    <row r="3220" spans="10:66">
      <c r="J3220">
        <v>4</v>
      </c>
      <c r="K3220">
        <v>65</v>
      </c>
      <c r="L3220">
        <v>6</v>
      </c>
      <c r="M3220" t="s">
        <v>25021</v>
      </c>
      <c r="N3220">
        <v>1899</v>
      </c>
      <c r="O3220" t="s">
        <v>11882</v>
      </c>
      <c r="P3220" t="s">
        <v>62</v>
      </c>
      <c r="Q3220">
        <v>1960201</v>
      </c>
      <c r="R3220">
        <v>1964037</v>
      </c>
      <c r="S3220" t="s">
        <v>11883</v>
      </c>
      <c r="T3220">
        <v>1279</v>
      </c>
      <c r="U3220" t="s">
        <v>1933</v>
      </c>
      <c r="V3220">
        <v>39</v>
      </c>
      <c r="W3220" t="str">
        <f>HYPERLINK("Gene1899-zp_tree_all.dnd", "Gene1899-tree")</f>
        <v>Gene1899-tree</v>
      </c>
      <c r="X3220">
        <v>1</v>
      </c>
      <c r="Y3220">
        <v>14</v>
      </c>
      <c r="Z3220">
        <v>1</v>
      </c>
      <c r="AA3220">
        <v>14</v>
      </c>
      <c r="AB3220">
        <v>0.93332999999999999</v>
      </c>
      <c r="AC3220" t="s">
        <v>175</v>
      </c>
      <c r="AD3220" t="s">
        <v>543</v>
      </c>
      <c r="AE3220">
        <v>1865302226.941</v>
      </c>
      <c r="AF3220" t="s">
        <v>267</v>
      </c>
      <c r="AG3220">
        <v>30</v>
      </c>
      <c r="AH3220">
        <v>75</v>
      </c>
      <c r="AI3220">
        <v>58</v>
      </c>
      <c r="AJ3220">
        <v>0.56391000000000002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6</v>
      </c>
      <c r="AQ3220">
        <v>8</v>
      </c>
      <c r="AR3220">
        <v>14</v>
      </c>
      <c r="AS3220">
        <v>57</v>
      </c>
      <c r="AT3220">
        <v>0.19717999999999999</v>
      </c>
      <c r="AU3220">
        <v>14</v>
      </c>
      <c r="AV3220">
        <v>12</v>
      </c>
      <c r="AW3220">
        <v>124</v>
      </c>
      <c r="AX3220">
        <v>74</v>
      </c>
      <c r="AY3220">
        <v>145</v>
      </c>
      <c r="AZ3220">
        <v>64</v>
      </c>
      <c r="BA3220" t="s">
        <v>11884</v>
      </c>
      <c r="BB3220" t="s">
        <v>11885</v>
      </c>
      <c r="BC3220">
        <v>0.66400000000000003</v>
      </c>
      <c r="BD3220" t="s">
        <v>65</v>
      </c>
      <c r="BE3220">
        <v>269</v>
      </c>
      <c r="BF3220">
        <v>138</v>
      </c>
      <c r="BG3220" t="s">
        <v>11886</v>
      </c>
      <c r="BH3220" t="s">
        <v>11887</v>
      </c>
      <c r="BI3220" t="s">
        <v>11888</v>
      </c>
      <c r="BJ3220">
        <v>0.15196000000000001</v>
      </c>
      <c r="BK3220">
        <v>1</v>
      </c>
      <c r="BL3220" t="s">
        <v>69</v>
      </c>
      <c r="BM3220">
        <v>-0.121</v>
      </c>
      <c r="BN3220">
        <v>-0.628</v>
      </c>
    </row>
    <row r="3221" spans="10:66">
      <c r="J3221">
        <v>0</v>
      </c>
      <c r="K3221">
        <v>179</v>
      </c>
      <c r="L3221">
        <v>16</v>
      </c>
      <c r="M3221" t="s">
        <v>25021</v>
      </c>
      <c r="N3221">
        <v>1900</v>
      </c>
      <c r="O3221" t="s">
        <v>11889</v>
      </c>
      <c r="P3221" t="s">
        <v>62</v>
      </c>
      <c r="Q3221">
        <v>1964048</v>
      </c>
      <c r="R3221">
        <v>1974856</v>
      </c>
      <c r="S3221" t="s">
        <v>11890</v>
      </c>
      <c r="T3221">
        <v>3603</v>
      </c>
      <c r="U3221" t="s">
        <v>11891</v>
      </c>
      <c r="V3221">
        <v>26</v>
      </c>
      <c r="W3221" t="str">
        <f>HYPERLINK("Gene1900-zp_tree_all.dnd", "Gene1900-tree")</f>
        <v>Gene1900-tree</v>
      </c>
      <c r="X3221">
        <v>0</v>
      </c>
      <c r="Y3221">
        <v>12</v>
      </c>
      <c r="Z3221">
        <v>0</v>
      </c>
      <c r="AA3221">
        <v>12</v>
      </c>
      <c r="AB3221">
        <v>1</v>
      </c>
      <c r="AC3221" t="s">
        <v>62</v>
      </c>
      <c r="AD3221" t="s">
        <v>109</v>
      </c>
      <c r="AE3221" t="s">
        <v>62</v>
      </c>
      <c r="AF3221" t="s">
        <v>62</v>
      </c>
      <c r="AG3221">
        <v>87</v>
      </c>
      <c r="AH3221">
        <v>195</v>
      </c>
      <c r="AI3221">
        <v>197</v>
      </c>
      <c r="AJ3221">
        <v>0.49745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29</v>
      </c>
      <c r="AQ3221">
        <v>36</v>
      </c>
      <c r="AR3221">
        <v>65</v>
      </c>
      <c r="AS3221">
        <v>180</v>
      </c>
      <c r="AT3221">
        <v>0.26530999999999999</v>
      </c>
      <c r="AU3221">
        <v>11</v>
      </c>
      <c r="AV3221">
        <v>9</v>
      </c>
      <c r="AW3221">
        <v>349</v>
      </c>
      <c r="AX3221">
        <v>249</v>
      </c>
      <c r="AY3221">
        <v>269</v>
      </c>
      <c r="AZ3221">
        <v>156</v>
      </c>
      <c r="BA3221" t="s">
        <v>11892</v>
      </c>
      <c r="BB3221" t="s">
        <v>11893</v>
      </c>
      <c r="BC3221">
        <v>0.32700000000000001</v>
      </c>
      <c r="BD3221" t="s">
        <v>65</v>
      </c>
      <c r="BE3221">
        <v>618</v>
      </c>
      <c r="BF3221">
        <v>405</v>
      </c>
      <c r="BG3221" t="s">
        <v>11894</v>
      </c>
      <c r="BH3221" t="s">
        <v>11895</v>
      </c>
      <c r="BI3221" t="s">
        <v>11896</v>
      </c>
      <c r="BJ3221">
        <v>0.18576999999999999</v>
      </c>
      <c r="BK3221">
        <v>1</v>
      </c>
      <c r="BL3221" t="s">
        <v>69</v>
      </c>
      <c r="BM3221">
        <v>-1.1120000000000001</v>
      </c>
      <c r="BN3221">
        <v>-1.351</v>
      </c>
    </row>
    <row r="3222" spans="10:66">
      <c r="J3222">
        <v>11</v>
      </c>
      <c r="K3222">
        <v>183</v>
      </c>
      <c r="L3222">
        <v>26</v>
      </c>
      <c r="M3222" t="s">
        <v>25021</v>
      </c>
      <c r="N3222">
        <v>1901</v>
      </c>
      <c r="O3222" t="s">
        <v>11897</v>
      </c>
      <c r="P3222" t="s">
        <v>62</v>
      </c>
      <c r="Q3222">
        <v>1974884</v>
      </c>
      <c r="R3222">
        <v>1982548</v>
      </c>
      <c r="S3222" t="s">
        <v>11898</v>
      </c>
      <c r="T3222">
        <v>2555</v>
      </c>
      <c r="U3222" t="s">
        <v>11899</v>
      </c>
      <c r="V3222">
        <v>28</v>
      </c>
      <c r="W3222" t="str">
        <f>HYPERLINK("Gene1901-zp_tree_all.dnd", "Gene1901-tree")</f>
        <v>Gene1901-tree</v>
      </c>
      <c r="X3222">
        <v>2</v>
      </c>
      <c r="Y3222">
        <v>14</v>
      </c>
      <c r="Z3222">
        <v>2</v>
      </c>
      <c r="AA3222">
        <v>14</v>
      </c>
      <c r="AB3222">
        <v>0.875</v>
      </c>
      <c r="AC3222" t="s">
        <v>81</v>
      </c>
      <c r="AD3222" t="s">
        <v>543</v>
      </c>
      <c r="AE3222">
        <v>860908720.12699997</v>
      </c>
      <c r="AF3222" t="s">
        <v>267</v>
      </c>
      <c r="AG3222">
        <v>82</v>
      </c>
      <c r="AH3222">
        <v>220</v>
      </c>
      <c r="AI3222">
        <v>158</v>
      </c>
      <c r="AJ3222">
        <v>0.58201000000000003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42</v>
      </c>
      <c r="AQ3222">
        <v>27</v>
      </c>
      <c r="AR3222">
        <v>69</v>
      </c>
      <c r="AS3222">
        <v>121</v>
      </c>
      <c r="AT3222">
        <v>0.36315999999999998</v>
      </c>
      <c r="AU3222">
        <v>13</v>
      </c>
      <c r="AV3222">
        <v>13</v>
      </c>
      <c r="AW3222">
        <v>343</v>
      </c>
      <c r="AX3222">
        <v>198</v>
      </c>
      <c r="AY3222">
        <v>331</v>
      </c>
      <c r="AZ3222">
        <v>199</v>
      </c>
      <c r="BA3222" t="s">
        <v>11900</v>
      </c>
      <c r="BB3222" t="s">
        <v>11901</v>
      </c>
      <c r="BC3222">
        <v>6.9000000000000006E-2</v>
      </c>
      <c r="BD3222" t="s">
        <v>65</v>
      </c>
      <c r="BE3222">
        <v>674</v>
      </c>
      <c r="BF3222">
        <v>397</v>
      </c>
      <c r="BG3222" t="s">
        <v>11902</v>
      </c>
      <c r="BH3222" t="s">
        <v>11903</v>
      </c>
      <c r="BI3222" t="s">
        <v>11904</v>
      </c>
      <c r="BJ3222">
        <v>0.17548</v>
      </c>
      <c r="BK3222">
        <v>1</v>
      </c>
      <c r="BL3222" t="s">
        <v>69</v>
      </c>
      <c r="BM3222">
        <v>-0.30499999999999999</v>
      </c>
      <c r="BN3222">
        <v>-0.747</v>
      </c>
    </row>
    <row r="3223" spans="10:66">
      <c r="J3223">
        <v>2</v>
      </c>
      <c r="K3223">
        <v>150</v>
      </c>
      <c r="L3223">
        <v>40</v>
      </c>
      <c r="M3223" t="s">
        <v>25021</v>
      </c>
      <c r="N3223">
        <v>1902</v>
      </c>
      <c r="O3223" t="s">
        <v>11905</v>
      </c>
      <c r="P3223" t="s">
        <v>62</v>
      </c>
      <c r="Q3223">
        <v>1982568</v>
      </c>
      <c r="R3223">
        <v>1990247</v>
      </c>
      <c r="S3223" t="s">
        <v>11906</v>
      </c>
      <c r="T3223">
        <v>2560</v>
      </c>
      <c r="U3223" t="s">
        <v>11907</v>
      </c>
      <c r="V3223">
        <v>35</v>
      </c>
      <c r="W3223" t="str">
        <f>HYPERLINK("Gene1902-zp_tree_all.dnd", "Gene1902-tree")</f>
        <v>Gene1902-tree</v>
      </c>
      <c r="X3223">
        <v>0</v>
      </c>
      <c r="Y3223">
        <v>14</v>
      </c>
      <c r="Z3223">
        <v>0</v>
      </c>
      <c r="AA3223">
        <v>14</v>
      </c>
      <c r="AB3223">
        <v>1</v>
      </c>
      <c r="AC3223" t="s">
        <v>62</v>
      </c>
      <c r="AD3223" t="s">
        <v>543</v>
      </c>
      <c r="AE3223">
        <v>143484786.68799999</v>
      </c>
      <c r="AF3223" t="s">
        <v>65</v>
      </c>
      <c r="AG3223">
        <v>72</v>
      </c>
      <c r="AH3223">
        <v>192</v>
      </c>
      <c r="AI3223">
        <v>162</v>
      </c>
      <c r="AJ3223">
        <v>0.54237000000000002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47</v>
      </c>
      <c r="AQ3223">
        <v>56</v>
      </c>
      <c r="AR3223">
        <v>103</v>
      </c>
      <c r="AS3223">
        <v>141</v>
      </c>
      <c r="AT3223">
        <v>0.42213000000000001</v>
      </c>
      <c r="AU3223">
        <v>11</v>
      </c>
      <c r="AV3223">
        <v>11</v>
      </c>
      <c r="AW3223">
        <v>261</v>
      </c>
      <c r="AX3223">
        <v>226</v>
      </c>
      <c r="AY3223">
        <v>204</v>
      </c>
      <c r="AZ3223">
        <v>142</v>
      </c>
      <c r="BA3223" t="s">
        <v>11908</v>
      </c>
      <c r="BB3223" t="s">
        <v>11909</v>
      </c>
      <c r="BC3223">
        <v>0.35799999999999998</v>
      </c>
      <c r="BD3223" t="s">
        <v>65</v>
      </c>
      <c r="BE3223">
        <v>465</v>
      </c>
      <c r="BF3223">
        <v>368</v>
      </c>
      <c r="BG3223" t="s">
        <v>11910</v>
      </c>
      <c r="BH3223" t="s">
        <v>11911</v>
      </c>
      <c r="BI3223" t="s">
        <v>11912</v>
      </c>
      <c r="BJ3223">
        <v>0.21662000000000001</v>
      </c>
      <c r="BK3223">
        <v>1</v>
      </c>
      <c r="BL3223" t="s">
        <v>69</v>
      </c>
      <c r="BM3223">
        <v>-0.94799999999999995</v>
      </c>
      <c r="BN3223">
        <v>-1.53</v>
      </c>
    </row>
    <row r="3224" spans="10:66">
      <c r="J3224">
        <v>0</v>
      </c>
      <c r="K3224">
        <v>177</v>
      </c>
      <c r="L3224">
        <v>21</v>
      </c>
      <c r="M3224" t="s">
        <v>25021</v>
      </c>
      <c r="N3224">
        <v>1903</v>
      </c>
      <c r="O3224" t="s">
        <v>11913</v>
      </c>
      <c r="P3224" t="s">
        <v>62</v>
      </c>
      <c r="Q3224">
        <v>1990275</v>
      </c>
      <c r="R3224">
        <v>1997957</v>
      </c>
      <c r="S3224" t="s">
        <v>11914</v>
      </c>
      <c r="T3224">
        <v>2561</v>
      </c>
      <c r="U3224" t="s">
        <v>11915</v>
      </c>
      <c r="V3224">
        <v>33</v>
      </c>
      <c r="W3224" t="str">
        <f>HYPERLINK("Gene1903-zp_tree_all.dnd", "Gene1903-tree")</f>
        <v>Gene1903-tree</v>
      </c>
      <c r="X3224">
        <v>2</v>
      </c>
      <c r="Y3224">
        <v>15</v>
      </c>
      <c r="Z3224">
        <v>2</v>
      </c>
      <c r="AA3224">
        <v>15</v>
      </c>
      <c r="AB3224">
        <v>0.88234999999999997</v>
      </c>
      <c r="AC3224" t="s">
        <v>81</v>
      </c>
      <c r="AD3224" t="s">
        <v>100</v>
      </c>
      <c r="AE3224" t="s">
        <v>62</v>
      </c>
      <c r="AF3224" t="s">
        <v>62</v>
      </c>
      <c r="AG3224">
        <v>66</v>
      </c>
      <c r="AH3224">
        <v>198</v>
      </c>
      <c r="AI3224">
        <v>132</v>
      </c>
      <c r="AJ3224">
        <v>0.6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45</v>
      </c>
      <c r="AQ3224">
        <v>25</v>
      </c>
      <c r="AR3224">
        <v>70</v>
      </c>
      <c r="AS3224">
        <v>111</v>
      </c>
      <c r="AT3224">
        <v>0.38673999999999997</v>
      </c>
      <c r="AU3224">
        <v>15</v>
      </c>
      <c r="AV3224">
        <v>12</v>
      </c>
      <c r="AW3224">
        <v>252</v>
      </c>
      <c r="AX3224">
        <v>188</v>
      </c>
      <c r="AY3224">
        <v>216</v>
      </c>
      <c r="AZ3224">
        <v>162</v>
      </c>
      <c r="BA3224" t="s">
        <v>11916</v>
      </c>
      <c r="BB3224" t="s">
        <v>11917</v>
      </c>
      <c r="BC3224">
        <v>1.9E-2</v>
      </c>
      <c r="BD3224" t="s">
        <v>65</v>
      </c>
      <c r="BE3224">
        <v>468</v>
      </c>
      <c r="BF3224">
        <v>350</v>
      </c>
      <c r="BG3224" t="s">
        <v>11918</v>
      </c>
      <c r="BH3224" t="s">
        <v>11919</v>
      </c>
      <c r="BI3224" t="s">
        <v>11920</v>
      </c>
      <c r="BJ3224">
        <v>0.20852999999999999</v>
      </c>
      <c r="BK3224">
        <v>1</v>
      </c>
      <c r="BL3224" t="s">
        <v>69</v>
      </c>
      <c r="BM3224">
        <v>-0.89700000000000002</v>
      </c>
      <c r="BN3224">
        <v>-0.97899999999999998</v>
      </c>
    </row>
    <row r="3225" spans="10:66">
      <c r="J3225">
        <v>0</v>
      </c>
      <c r="K3225">
        <v>23</v>
      </c>
      <c r="L3225">
        <v>0</v>
      </c>
      <c r="M3225" t="s">
        <v>25021</v>
      </c>
      <c r="N3225">
        <v>1904</v>
      </c>
      <c r="O3225" t="s">
        <v>11921</v>
      </c>
      <c r="P3225" t="s">
        <v>62</v>
      </c>
      <c r="Q3225">
        <v>1998343</v>
      </c>
      <c r="R3225">
        <v>1999815</v>
      </c>
      <c r="S3225" t="s">
        <v>11922</v>
      </c>
      <c r="T3225">
        <v>491</v>
      </c>
      <c r="U3225" t="s">
        <v>108</v>
      </c>
      <c r="V3225">
        <v>44</v>
      </c>
      <c r="W3225" t="str">
        <f>HYPERLINK("Gene1904-zp_tree_all.dnd", "Gene1904-tree")</f>
        <v>Gene1904-tree</v>
      </c>
      <c r="X3225">
        <v>2</v>
      </c>
      <c r="Y3225">
        <v>14</v>
      </c>
      <c r="Z3225">
        <v>2</v>
      </c>
      <c r="AA3225">
        <v>14</v>
      </c>
      <c r="AB3225">
        <v>0.875</v>
      </c>
      <c r="AC3225" t="s">
        <v>81</v>
      </c>
      <c r="AD3225" t="s">
        <v>543</v>
      </c>
      <c r="AE3225">
        <v>860908720.12699997</v>
      </c>
      <c r="AF3225" t="s">
        <v>267</v>
      </c>
      <c r="AG3225">
        <v>10</v>
      </c>
      <c r="AH3225">
        <v>23</v>
      </c>
      <c r="AI3225">
        <v>21</v>
      </c>
      <c r="AJ3225">
        <v>0.52273000000000003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12</v>
      </c>
      <c r="AQ3225">
        <v>0</v>
      </c>
      <c r="AR3225">
        <v>12</v>
      </c>
      <c r="AS3225">
        <v>23</v>
      </c>
      <c r="AT3225">
        <v>0.34286</v>
      </c>
      <c r="AU3225">
        <v>13</v>
      </c>
      <c r="AV3225">
        <v>9</v>
      </c>
      <c r="AW3225">
        <v>38</v>
      </c>
      <c r="AX3225">
        <v>32</v>
      </c>
      <c r="AY3225">
        <v>12</v>
      </c>
      <c r="AZ3225">
        <v>12</v>
      </c>
      <c r="BA3225" t="s">
        <v>11923</v>
      </c>
      <c r="BB3225" t="s">
        <v>11924</v>
      </c>
      <c r="BC3225">
        <v>0.23799999999999999</v>
      </c>
      <c r="BD3225" t="s">
        <v>65</v>
      </c>
      <c r="BE3225">
        <v>50</v>
      </c>
      <c r="BF3225">
        <v>44</v>
      </c>
      <c r="BG3225" t="s">
        <v>11925</v>
      </c>
      <c r="BH3225" t="s">
        <v>11926</v>
      </c>
      <c r="BI3225" t="s">
        <v>11927</v>
      </c>
      <c r="BJ3225">
        <v>0.23566000000000001</v>
      </c>
      <c r="BK3225">
        <v>1</v>
      </c>
      <c r="BL3225" t="s">
        <v>69</v>
      </c>
      <c r="BM3225">
        <v>-1.365</v>
      </c>
      <c r="BN3225">
        <v>-1.9730000000000001</v>
      </c>
    </row>
    <row r="3226" spans="10:66">
      <c r="J3226">
        <v>0</v>
      </c>
      <c r="K3226">
        <v>14</v>
      </c>
      <c r="L3226">
        <v>0</v>
      </c>
      <c r="M3226" t="s">
        <v>25021</v>
      </c>
      <c r="N3226">
        <v>1905</v>
      </c>
      <c r="O3226" t="s">
        <v>11928</v>
      </c>
      <c r="P3226" t="s">
        <v>62</v>
      </c>
      <c r="Q3226">
        <v>1999852</v>
      </c>
      <c r="R3226">
        <v>2000826</v>
      </c>
      <c r="S3226" t="s">
        <v>11929</v>
      </c>
      <c r="T3226">
        <v>325</v>
      </c>
      <c r="U3226" t="s">
        <v>108</v>
      </c>
      <c r="V3226">
        <v>44</v>
      </c>
      <c r="W3226" t="str">
        <f>HYPERLINK("Gene1905-zp_tree_all.dnd", "Gene1905-tree")</f>
        <v>Gene1905-tree</v>
      </c>
      <c r="X3226">
        <v>5</v>
      </c>
      <c r="Y3226">
        <v>8</v>
      </c>
      <c r="Z3226">
        <v>5</v>
      </c>
      <c r="AA3226">
        <v>8</v>
      </c>
      <c r="AB3226">
        <v>0.61538000000000004</v>
      </c>
      <c r="AC3226" t="s">
        <v>199</v>
      </c>
      <c r="AD3226" t="s">
        <v>136</v>
      </c>
      <c r="AE3226" t="s">
        <v>62</v>
      </c>
      <c r="AF3226" t="s">
        <v>62</v>
      </c>
      <c r="AG3226">
        <v>5</v>
      </c>
      <c r="AH3226">
        <v>14</v>
      </c>
      <c r="AI3226">
        <v>21</v>
      </c>
      <c r="AJ3226">
        <v>0.4</v>
      </c>
      <c r="AK3226">
        <v>0</v>
      </c>
      <c r="AL3226">
        <v>0</v>
      </c>
      <c r="AM3226">
        <v>0</v>
      </c>
      <c r="AN3226">
        <v>4</v>
      </c>
      <c r="AO3226">
        <v>0</v>
      </c>
      <c r="AP3226">
        <v>4</v>
      </c>
      <c r="AQ3226">
        <v>0</v>
      </c>
      <c r="AR3226">
        <v>4</v>
      </c>
      <c r="AS3226">
        <v>14</v>
      </c>
      <c r="AT3226">
        <v>0.22222</v>
      </c>
      <c r="AU3226">
        <v>11</v>
      </c>
      <c r="AV3226">
        <v>10</v>
      </c>
      <c r="AW3226">
        <v>31</v>
      </c>
      <c r="AX3226">
        <v>17</v>
      </c>
      <c r="AY3226">
        <v>22</v>
      </c>
      <c r="AZ3226">
        <v>19</v>
      </c>
      <c r="BA3226" t="s">
        <v>11930</v>
      </c>
      <c r="BB3226" t="s">
        <v>11931</v>
      </c>
      <c r="BC3226">
        <v>0.59199999999999997</v>
      </c>
      <c r="BD3226" t="s">
        <v>65</v>
      </c>
      <c r="BE3226">
        <v>53</v>
      </c>
      <c r="BF3226">
        <v>36</v>
      </c>
      <c r="BG3226" t="s">
        <v>11932</v>
      </c>
      <c r="BH3226" t="s">
        <v>11933</v>
      </c>
      <c r="BI3226" t="s">
        <v>11934</v>
      </c>
      <c r="BJ3226">
        <v>0.19781000000000001</v>
      </c>
      <c r="BK3226">
        <v>1</v>
      </c>
      <c r="BL3226" t="s">
        <v>69</v>
      </c>
      <c r="BM3226">
        <v>-0.312</v>
      </c>
      <c r="BN3226">
        <v>-0.875</v>
      </c>
    </row>
    <row r="3227" spans="10:66">
      <c r="J3227">
        <v>0</v>
      </c>
      <c r="K3227">
        <v>0</v>
      </c>
      <c r="L3227">
        <v>0</v>
      </c>
      <c r="M3227" t="s">
        <v>25021</v>
      </c>
      <c r="N3227">
        <v>1906</v>
      </c>
      <c r="O3227" t="s">
        <v>11935</v>
      </c>
      <c r="P3227" t="s">
        <v>62</v>
      </c>
      <c r="Q3227">
        <v>2000963</v>
      </c>
      <c r="R3227">
        <v>2002351</v>
      </c>
      <c r="S3227" t="s">
        <v>11936</v>
      </c>
      <c r="T3227">
        <v>463</v>
      </c>
      <c r="U3227" t="s">
        <v>108</v>
      </c>
      <c r="V3227">
        <v>44</v>
      </c>
      <c r="W3227" t="str">
        <f>HYPERLINK("Gene1906-zp_tree_all.dnd", "Gene1906-tree")</f>
        <v>Gene1906-tree</v>
      </c>
      <c r="X3227">
        <v>10</v>
      </c>
      <c r="Y3227">
        <v>4</v>
      </c>
      <c r="Z3227">
        <v>10</v>
      </c>
      <c r="AA3227">
        <v>4</v>
      </c>
      <c r="AB3227">
        <v>0.28571000000000002</v>
      </c>
      <c r="AC3227" t="s">
        <v>117</v>
      </c>
      <c r="AD3227" t="s">
        <v>61</v>
      </c>
      <c r="AE3227" t="s">
        <v>62</v>
      </c>
      <c r="AF3227" t="s">
        <v>62</v>
      </c>
      <c r="AG3227">
        <v>0</v>
      </c>
      <c r="AH3227">
        <v>0</v>
      </c>
      <c r="AI3227">
        <v>5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5</v>
      </c>
      <c r="AT3227">
        <v>0</v>
      </c>
      <c r="AU3227">
        <v>12</v>
      </c>
      <c r="AV3227">
        <v>11</v>
      </c>
      <c r="AW3227">
        <v>39</v>
      </c>
      <c r="AX3227">
        <v>5</v>
      </c>
      <c r="AY3227">
        <v>30</v>
      </c>
      <c r="AZ3227">
        <v>0</v>
      </c>
      <c r="BA3227" t="s">
        <v>11937</v>
      </c>
      <c r="BB3227" t="s">
        <v>193</v>
      </c>
      <c r="BC3227">
        <v>1.292</v>
      </c>
      <c r="BD3227" t="s">
        <v>65</v>
      </c>
      <c r="BE3227">
        <v>69</v>
      </c>
      <c r="BF3227">
        <v>5</v>
      </c>
      <c r="BG3227" t="s">
        <v>11938</v>
      </c>
      <c r="BH3227" t="s">
        <v>11939</v>
      </c>
      <c r="BI3227" t="s">
        <v>11940</v>
      </c>
      <c r="BJ3227">
        <v>1.949E-2</v>
      </c>
      <c r="BK3227">
        <v>1</v>
      </c>
      <c r="BL3227" t="s">
        <v>69</v>
      </c>
      <c r="BM3227">
        <v>-0.66</v>
      </c>
      <c r="BN3227">
        <v>-0.71</v>
      </c>
    </row>
    <row r="3228" spans="10:66">
      <c r="J3228">
        <v>0</v>
      </c>
      <c r="K3228">
        <v>0</v>
      </c>
      <c r="L3228">
        <v>0</v>
      </c>
      <c r="M3228" t="s">
        <v>25021</v>
      </c>
      <c r="N3228">
        <v>1908</v>
      </c>
      <c r="O3228" t="s">
        <v>11948</v>
      </c>
      <c r="P3228" t="s">
        <v>62</v>
      </c>
      <c r="Q3228">
        <v>2003404</v>
      </c>
      <c r="R3228">
        <v>2003946</v>
      </c>
      <c r="S3228" t="s">
        <v>11949</v>
      </c>
      <c r="T3228">
        <v>181</v>
      </c>
      <c r="U3228" t="s">
        <v>265</v>
      </c>
      <c r="V3228">
        <v>43</v>
      </c>
      <c r="W3228" t="str">
        <f>HYPERLINK("Gene1908-zp_tree_all.dnd", "Gene1908-tree")</f>
        <v>Gene1908-tree</v>
      </c>
      <c r="X3228">
        <v>10</v>
      </c>
      <c r="Y3228">
        <v>2</v>
      </c>
      <c r="Z3228">
        <v>10</v>
      </c>
      <c r="AA3228">
        <v>2</v>
      </c>
      <c r="AB3228">
        <v>0.16667000000000001</v>
      </c>
      <c r="AC3228" t="s">
        <v>117</v>
      </c>
      <c r="AD3228" t="s">
        <v>81</v>
      </c>
      <c r="AE3228" t="s">
        <v>62</v>
      </c>
      <c r="AF3228" t="s">
        <v>62</v>
      </c>
      <c r="AG3228">
        <v>0</v>
      </c>
      <c r="AH3228">
        <v>0</v>
      </c>
      <c r="AI3228">
        <v>2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2</v>
      </c>
      <c r="AT3228">
        <v>0</v>
      </c>
      <c r="AU3228">
        <v>10</v>
      </c>
      <c r="AV3228">
        <v>3</v>
      </c>
      <c r="AW3228">
        <v>15</v>
      </c>
      <c r="AX3228">
        <v>2</v>
      </c>
      <c r="AY3228">
        <v>4</v>
      </c>
      <c r="AZ3228">
        <v>0</v>
      </c>
      <c r="BA3228" t="s">
        <v>11950</v>
      </c>
      <c r="BB3228" t="s">
        <v>193</v>
      </c>
      <c r="BC3228">
        <v>0.76900000000000002</v>
      </c>
      <c r="BD3228" t="s">
        <v>65</v>
      </c>
      <c r="BE3228">
        <v>19</v>
      </c>
      <c r="BF3228">
        <v>2</v>
      </c>
      <c r="BG3228" t="s">
        <v>11951</v>
      </c>
      <c r="BH3228" t="s">
        <v>11952</v>
      </c>
      <c r="BI3228" t="s">
        <v>11953</v>
      </c>
      <c r="BJ3228">
        <v>2.4309999999999998E-2</v>
      </c>
      <c r="BK3228">
        <v>1</v>
      </c>
      <c r="BL3228" t="s">
        <v>69</v>
      </c>
      <c r="BM3228">
        <v>-1.123</v>
      </c>
      <c r="BN3228">
        <v>-1.153</v>
      </c>
    </row>
    <row r="3229" spans="10:66">
      <c r="J3229">
        <v>0</v>
      </c>
      <c r="K3229">
        <v>0</v>
      </c>
      <c r="L3229">
        <v>4</v>
      </c>
      <c r="M3229" t="s">
        <v>25021</v>
      </c>
      <c r="N3229">
        <v>1909</v>
      </c>
      <c r="O3229" t="s">
        <v>11954</v>
      </c>
      <c r="P3229" t="s">
        <v>62</v>
      </c>
      <c r="Q3229">
        <v>2004265</v>
      </c>
      <c r="R3229">
        <v>2004492</v>
      </c>
      <c r="S3229" t="s">
        <v>11955</v>
      </c>
      <c r="T3229">
        <v>76</v>
      </c>
      <c r="U3229" t="s">
        <v>698</v>
      </c>
      <c r="V3229">
        <v>47</v>
      </c>
      <c r="W3229" t="str">
        <f>HYPERLINK("Gene1909-zp_tree_all.dnd", "Gene1909-tree")</f>
        <v>Gene1909-tree</v>
      </c>
      <c r="X3229">
        <v>7</v>
      </c>
      <c r="Y3229">
        <v>8</v>
      </c>
      <c r="Z3229">
        <v>7</v>
      </c>
      <c r="AA3229">
        <v>8</v>
      </c>
      <c r="AB3229">
        <v>0.53332999999999997</v>
      </c>
      <c r="AC3229" t="s">
        <v>152</v>
      </c>
      <c r="AD3229" t="s">
        <v>136</v>
      </c>
      <c r="AE3229" t="s">
        <v>62</v>
      </c>
      <c r="AF3229" t="s">
        <v>62</v>
      </c>
      <c r="AG3229">
        <v>2</v>
      </c>
      <c r="AH3229">
        <v>4</v>
      </c>
      <c r="AI3229">
        <v>11</v>
      </c>
      <c r="AJ3229">
        <v>0.26667000000000002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4</v>
      </c>
      <c r="AR3229">
        <v>4</v>
      </c>
      <c r="AS3229">
        <v>6</v>
      </c>
      <c r="AT3229">
        <v>0.4</v>
      </c>
      <c r="AU3229">
        <v>11</v>
      </c>
      <c r="AV3229">
        <v>7</v>
      </c>
      <c r="AW3229">
        <v>9</v>
      </c>
      <c r="AX3229">
        <v>10</v>
      </c>
      <c r="AY3229">
        <v>11</v>
      </c>
      <c r="AZ3229">
        <v>5</v>
      </c>
      <c r="BA3229" t="s">
        <v>11956</v>
      </c>
      <c r="BB3229" t="s">
        <v>11957</v>
      </c>
      <c r="BC3229">
        <v>0.90500000000000003</v>
      </c>
      <c r="BD3229" t="s">
        <v>65</v>
      </c>
      <c r="BE3229">
        <v>20</v>
      </c>
      <c r="BF3229">
        <v>15</v>
      </c>
      <c r="BG3229" t="s">
        <v>11958</v>
      </c>
      <c r="BH3229" t="s">
        <v>11959</v>
      </c>
      <c r="BI3229" t="s">
        <v>11960</v>
      </c>
      <c r="BJ3229">
        <v>0.16339000000000001</v>
      </c>
      <c r="BK3229">
        <v>1</v>
      </c>
      <c r="BL3229" t="s">
        <v>69</v>
      </c>
      <c r="BM3229">
        <v>-1.103</v>
      </c>
      <c r="BN3229">
        <v>-0.78700000000000003</v>
      </c>
    </row>
    <row r="3230" spans="10:66">
      <c r="J3230">
        <v>0</v>
      </c>
      <c r="K3230">
        <v>6</v>
      </c>
      <c r="L3230">
        <v>0</v>
      </c>
      <c r="M3230" t="s">
        <v>25021</v>
      </c>
      <c r="N3230">
        <v>1911</v>
      </c>
      <c r="O3230" t="s">
        <v>11968</v>
      </c>
      <c r="P3230" t="s">
        <v>62</v>
      </c>
      <c r="Q3230">
        <v>2006544</v>
      </c>
      <c r="R3230">
        <v>2007398</v>
      </c>
      <c r="S3230" t="s">
        <v>11969</v>
      </c>
      <c r="T3230">
        <v>285</v>
      </c>
      <c r="U3230" t="s">
        <v>108</v>
      </c>
      <c r="V3230">
        <v>44</v>
      </c>
      <c r="W3230" t="str">
        <f>HYPERLINK("Gene1911-zp_tree_all.dnd", "Gene1911-tree")</f>
        <v>Gene1911-tree</v>
      </c>
      <c r="X3230">
        <v>6</v>
      </c>
      <c r="Y3230">
        <v>8</v>
      </c>
      <c r="Z3230">
        <v>6</v>
      </c>
      <c r="AA3230">
        <v>8</v>
      </c>
      <c r="AB3230">
        <v>0.57142999999999999</v>
      </c>
      <c r="AC3230" t="s">
        <v>90</v>
      </c>
      <c r="AD3230" t="s">
        <v>136</v>
      </c>
      <c r="AE3230" t="s">
        <v>62</v>
      </c>
      <c r="AF3230" t="s">
        <v>62</v>
      </c>
      <c r="AG3230">
        <v>3</v>
      </c>
      <c r="AH3230">
        <v>6</v>
      </c>
      <c r="AI3230">
        <v>15</v>
      </c>
      <c r="AJ3230">
        <v>0.28571000000000002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4</v>
      </c>
      <c r="AQ3230">
        <v>0</v>
      </c>
      <c r="AR3230">
        <v>4</v>
      </c>
      <c r="AS3230">
        <v>12</v>
      </c>
      <c r="AT3230">
        <v>0.25</v>
      </c>
      <c r="AU3230">
        <v>9</v>
      </c>
      <c r="AV3230">
        <v>11</v>
      </c>
      <c r="AW3230">
        <v>25</v>
      </c>
      <c r="AX3230">
        <v>13</v>
      </c>
      <c r="AY3230">
        <v>19</v>
      </c>
      <c r="AZ3230">
        <v>8</v>
      </c>
      <c r="BA3230" t="s">
        <v>11970</v>
      </c>
      <c r="BB3230" t="s">
        <v>11971</v>
      </c>
      <c r="BC3230">
        <v>0.16800000000000001</v>
      </c>
      <c r="BD3230" t="s">
        <v>65</v>
      </c>
      <c r="BE3230">
        <v>44</v>
      </c>
      <c r="BF3230">
        <v>21</v>
      </c>
      <c r="BG3230" t="s">
        <v>11972</v>
      </c>
      <c r="BH3230" t="s">
        <v>11973</v>
      </c>
      <c r="BI3230" t="s">
        <v>11974</v>
      </c>
      <c r="BJ3230">
        <v>0.15174000000000001</v>
      </c>
      <c r="BK3230">
        <v>1</v>
      </c>
      <c r="BL3230" t="s">
        <v>69</v>
      </c>
      <c r="BM3230">
        <v>-1.23</v>
      </c>
      <c r="BN3230">
        <v>-2.3519999999999999</v>
      </c>
    </row>
    <row r="3231" spans="10:66">
      <c r="J3231">
        <v>0</v>
      </c>
      <c r="K3231">
        <v>0</v>
      </c>
      <c r="L3231">
        <v>0</v>
      </c>
      <c r="M3231" t="s">
        <v>25021</v>
      </c>
      <c r="N3231">
        <v>1913</v>
      </c>
      <c r="O3231" t="s">
        <v>11981</v>
      </c>
      <c r="P3231" t="s">
        <v>62</v>
      </c>
      <c r="Q3231">
        <v>2008575</v>
      </c>
      <c r="R3231">
        <v>2010053</v>
      </c>
      <c r="S3231" t="s">
        <v>11982</v>
      </c>
      <c r="T3231">
        <v>493</v>
      </c>
      <c r="U3231" t="s">
        <v>108</v>
      </c>
      <c r="V3231">
        <v>44</v>
      </c>
      <c r="W3231" t="str">
        <f>HYPERLINK("Gene1913-zp_tree_all.dnd", "Gene1913-tree")</f>
        <v>Gene1913-tree</v>
      </c>
      <c r="X3231">
        <v>10</v>
      </c>
      <c r="Y3231">
        <v>4</v>
      </c>
      <c r="Z3231">
        <v>10</v>
      </c>
      <c r="AA3231">
        <v>4</v>
      </c>
      <c r="AB3231">
        <v>0.28571000000000002</v>
      </c>
      <c r="AC3231" t="s">
        <v>117</v>
      </c>
      <c r="AD3231" t="s">
        <v>61</v>
      </c>
      <c r="AE3231" t="s">
        <v>62</v>
      </c>
      <c r="AF3231" t="s">
        <v>62</v>
      </c>
      <c r="AG3231">
        <v>0</v>
      </c>
      <c r="AH3231">
        <v>0</v>
      </c>
      <c r="AI3231">
        <v>5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4</v>
      </c>
      <c r="AT3231">
        <v>0</v>
      </c>
      <c r="AU3231">
        <v>12</v>
      </c>
      <c r="AV3231">
        <v>11</v>
      </c>
      <c r="AW3231">
        <v>61</v>
      </c>
      <c r="AX3231">
        <v>4</v>
      </c>
      <c r="AY3231">
        <v>43</v>
      </c>
      <c r="AZ3231">
        <v>1</v>
      </c>
      <c r="BA3231" t="s">
        <v>11983</v>
      </c>
      <c r="BB3231" t="s">
        <v>11984</v>
      </c>
      <c r="BC3231">
        <v>0.48899999999999999</v>
      </c>
      <c r="BD3231" t="s">
        <v>65</v>
      </c>
      <c r="BE3231">
        <v>104</v>
      </c>
      <c r="BF3231">
        <v>5</v>
      </c>
      <c r="BG3231" t="s">
        <v>11985</v>
      </c>
      <c r="BH3231" t="s">
        <v>11986</v>
      </c>
      <c r="BI3231" t="s">
        <v>658</v>
      </c>
      <c r="BJ3231">
        <v>1.704E-2</v>
      </c>
      <c r="BK3231">
        <v>1</v>
      </c>
      <c r="BL3231" t="s">
        <v>69</v>
      </c>
      <c r="BM3231">
        <v>-0.189</v>
      </c>
      <c r="BN3231">
        <v>-0.223</v>
      </c>
    </row>
    <row r="3232" spans="10:66">
      <c r="J3232">
        <v>0</v>
      </c>
      <c r="K3232">
        <v>19</v>
      </c>
      <c r="L3232">
        <v>0</v>
      </c>
      <c r="M3232" t="s">
        <v>25021</v>
      </c>
      <c r="N3232">
        <v>1914</v>
      </c>
      <c r="O3232" t="s">
        <v>11987</v>
      </c>
      <c r="P3232" t="s">
        <v>62</v>
      </c>
      <c r="Q3232">
        <v>2010073</v>
      </c>
      <c r="R3232">
        <v>2014632</v>
      </c>
      <c r="S3232" t="s">
        <v>11988</v>
      </c>
      <c r="T3232">
        <v>1520</v>
      </c>
      <c r="U3232" t="s">
        <v>108</v>
      </c>
      <c r="V3232">
        <v>44</v>
      </c>
      <c r="W3232" t="str">
        <f>HYPERLINK("Gene1914-zp_tree_all.dnd", "Gene1914-tree")</f>
        <v>Gene1914-tree</v>
      </c>
      <c r="X3232">
        <v>2</v>
      </c>
      <c r="Y3232">
        <v>19</v>
      </c>
      <c r="Z3232">
        <v>2</v>
      </c>
      <c r="AA3232">
        <v>16</v>
      </c>
      <c r="AB3232">
        <v>0.88888999999999996</v>
      </c>
      <c r="AC3232" t="s">
        <v>81</v>
      </c>
      <c r="AD3232" t="s">
        <v>11989</v>
      </c>
      <c r="AE3232">
        <v>14.021000000000001</v>
      </c>
      <c r="AF3232" t="s">
        <v>267</v>
      </c>
      <c r="AG3232">
        <v>7</v>
      </c>
      <c r="AH3232">
        <v>19</v>
      </c>
      <c r="AI3232">
        <v>37</v>
      </c>
      <c r="AJ3232">
        <v>0.33928999999999998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6</v>
      </c>
      <c r="AQ3232">
        <v>0</v>
      </c>
      <c r="AR3232">
        <v>6</v>
      </c>
      <c r="AS3232">
        <v>28</v>
      </c>
      <c r="AT3232">
        <v>0.17646999999999999</v>
      </c>
      <c r="AU3232">
        <v>15</v>
      </c>
      <c r="AV3232">
        <v>15</v>
      </c>
      <c r="AW3232">
        <v>182</v>
      </c>
      <c r="AX3232">
        <v>31</v>
      </c>
      <c r="AY3232">
        <v>100</v>
      </c>
      <c r="AZ3232">
        <v>26</v>
      </c>
      <c r="BA3232" t="s">
        <v>11990</v>
      </c>
      <c r="BB3232" t="s">
        <v>11991</v>
      </c>
      <c r="BC3232">
        <v>0.90900000000000003</v>
      </c>
      <c r="BD3232" t="s">
        <v>65</v>
      </c>
      <c r="BE3232">
        <v>282</v>
      </c>
      <c r="BF3232">
        <v>57</v>
      </c>
      <c r="BG3232" t="s">
        <v>11992</v>
      </c>
      <c r="BH3232" t="s">
        <v>11993</v>
      </c>
      <c r="BI3232" t="s">
        <v>11994</v>
      </c>
      <c r="BJ3232">
        <v>6.7229999999999998E-2</v>
      </c>
      <c r="BK3232">
        <v>1</v>
      </c>
      <c r="BL3232" t="s">
        <v>69</v>
      </c>
      <c r="BM3232">
        <v>-0.82599999999999996</v>
      </c>
      <c r="BN3232">
        <v>-1.8819999999999999</v>
      </c>
    </row>
    <row r="3233" spans="10:66">
      <c r="J3233">
        <v>0</v>
      </c>
      <c r="K3233">
        <v>4</v>
      </c>
      <c r="L3233">
        <v>0</v>
      </c>
      <c r="M3233" t="s">
        <v>25021</v>
      </c>
      <c r="N3233">
        <v>1916</v>
      </c>
      <c r="O3233" t="s">
        <v>12002</v>
      </c>
      <c r="P3233" t="s">
        <v>62</v>
      </c>
      <c r="Q3233">
        <v>2015736</v>
      </c>
      <c r="R3233">
        <v>2016848</v>
      </c>
      <c r="S3233" t="s">
        <v>8527</v>
      </c>
      <c r="T3233">
        <v>371</v>
      </c>
      <c r="U3233" t="s">
        <v>2289</v>
      </c>
      <c r="V3233">
        <v>37</v>
      </c>
      <c r="W3233" t="str">
        <f>HYPERLINK("Gene1916-zp_tree_all.dnd", "Gene1916-tree")</f>
        <v>Gene1916-tree</v>
      </c>
      <c r="X3233">
        <v>4</v>
      </c>
      <c r="Y3233">
        <v>8</v>
      </c>
      <c r="Z3233">
        <v>4</v>
      </c>
      <c r="AA3233">
        <v>8</v>
      </c>
      <c r="AB3233">
        <v>0.66666999999999998</v>
      </c>
      <c r="AC3233" t="s">
        <v>61</v>
      </c>
      <c r="AD3233" t="s">
        <v>136</v>
      </c>
      <c r="AE3233" t="s">
        <v>62</v>
      </c>
      <c r="AF3233" t="s">
        <v>62</v>
      </c>
      <c r="AG3233">
        <v>2</v>
      </c>
      <c r="AH3233">
        <v>4</v>
      </c>
      <c r="AI3233">
        <v>10</v>
      </c>
      <c r="AJ3233">
        <v>0.28571000000000002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2</v>
      </c>
      <c r="AQ3233">
        <v>0</v>
      </c>
      <c r="AR3233">
        <v>2</v>
      </c>
      <c r="AS3233">
        <v>8</v>
      </c>
      <c r="AT3233">
        <v>0.2</v>
      </c>
      <c r="AU3233">
        <v>8</v>
      </c>
      <c r="AV3233">
        <v>8</v>
      </c>
      <c r="AW3233">
        <v>28</v>
      </c>
      <c r="AX3233">
        <v>9</v>
      </c>
      <c r="AY3233">
        <v>22</v>
      </c>
      <c r="AZ3233">
        <v>5</v>
      </c>
      <c r="BA3233" t="s">
        <v>12003</v>
      </c>
      <c r="BB3233" t="s">
        <v>12004</v>
      </c>
      <c r="BC3233">
        <v>0.433</v>
      </c>
      <c r="BD3233" t="s">
        <v>65</v>
      </c>
      <c r="BE3233">
        <v>50</v>
      </c>
      <c r="BF3233">
        <v>14</v>
      </c>
      <c r="BG3233" t="s">
        <v>12005</v>
      </c>
      <c r="BH3233" t="s">
        <v>12006</v>
      </c>
      <c r="BI3233" t="s">
        <v>12007</v>
      </c>
      <c r="BJ3233">
        <v>9.0060000000000001E-2</v>
      </c>
      <c r="BK3233">
        <v>1</v>
      </c>
      <c r="BL3233" t="s">
        <v>69</v>
      </c>
      <c r="BM3233">
        <v>-0.29199999999999998</v>
      </c>
      <c r="BN3233">
        <v>-0.98299999999999998</v>
      </c>
    </row>
    <row r="3234" spans="10:66">
      <c r="J3234">
        <v>0</v>
      </c>
      <c r="K3234">
        <v>0</v>
      </c>
      <c r="L3234">
        <v>2</v>
      </c>
      <c r="M3234" t="s">
        <v>25021</v>
      </c>
      <c r="N3234">
        <v>1917</v>
      </c>
      <c r="O3234" t="s">
        <v>12008</v>
      </c>
      <c r="P3234" t="s">
        <v>62</v>
      </c>
      <c r="Q3234">
        <v>2016848</v>
      </c>
      <c r="R3234">
        <v>2017738</v>
      </c>
      <c r="S3234" t="s">
        <v>12009</v>
      </c>
      <c r="T3234">
        <v>297</v>
      </c>
      <c r="U3234" t="s">
        <v>12010</v>
      </c>
      <c r="V3234">
        <v>39</v>
      </c>
      <c r="W3234" t="str">
        <f>HYPERLINK("Gene1917-zp_tree_all.dnd", "Gene1917-tree")</f>
        <v>Gene1917-tree</v>
      </c>
      <c r="X3234">
        <v>10</v>
      </c>
      <c r="Y3234">
        <v>6</v>
      </c>
      <c r="Z3234">
        <v>10</v>
      </c>
      <c r="AA3234">
        <v>6</v>
      </c>
      <c r="AB3234">
        <v>0.375</v>
      </c>
      <c r="AC3234" t="s">
        <v>117</v>
      </c>
      <c r="AD3234" t="s">
        <v>90</v>
      </c>
      <c r="AE3234" t="s">
        <v>62</v>
      </c>
      <c r="AF3234" t="s">
        <v>62</v>
      </c>
      <c r="AG3234">
        <v>1</v>
      </c>
      <c r="AH3234">
        <v>2</v>
      </c>
      <c r="AI3234">
        <v>16</v>
      </c>
      <c r="AJ3234">
        <v>0.11111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7</v>
      </c>
      <c r="AT3234">
        <v>0</v>
      </c>
      <c r="AU3234">
        <v>12</v>
      </c>
      <c r="AV3234">
        <v>10</v>
      </c>
      <c r="AW3234">
        <v>17</v>
      </c>
      <c r="AX3234">
        <v>6</v>
      </c>
      <c r="AY3234">
        <v>36</v>
      </c>
      <c r="AZ3234">
        <v>12</v>
      </c>
      <c r="BA3234" t="s">
        <v>12011</v>
      </c>
      <c r="BB3234" t="s">
        <v>12012</v>
      </c>
      <c r="BC3234">
        <v>3.4000000000000002E-2</v>
      </c>
      <c r="BD3234" t="s">
        <v>65</v>
      </c>
      <c r="BE3234">
        <v>53</v>
      </c>
      <c r="BF3234">
        <v>18</v>
      </c>
      <c r="BG3234" t="s">
        <v>12013</v>
      </c>
      <c r="BH3234" t="s">
        <v>12014</v>
      </c>
      <c r="BI3234" t="s">
        <v>12015</v>
      </c>
      <c r="BJ3234">
        <v>8.48E-2</v>
      </c>
      <c r="BK3234">
        <v>1</v>
      </c>
      <c r="BL3234" t="s">
        <v>69</v>
      </c>
      <c r="BM3234">
        <v>-1.462</v>
      </c>
      <c r="BN3234">
        <v>7.0000000000000001E-3</v>
      </c>
    </row>
    <row r="3235" spans="10:66">
      <c r="J3235">
        <v>0</v>
      </c>
      <c r="K3235">
        <v>0</v>
      </c>
      <c r="L3235">
        <v>0</v>
      </c>
      <c r="M3235" t="s">
        <v>25021</v>
      </c>
      <c r="N3235">
        <v>1918</v>
      </c>
      <c r="O3235" t="s">
        <v>12016</v>
      </c>
      <c r="P3235" t="s">
        <v>62</v>
      </c>
      <c r="Q3235">
        <v>2017889</v>
      </c>
      <c r="R3235">
        <v>2018254</v>
      </c>
      <c r="S3235" t="s">
        <v>12017</v>
      </c>
      <c r="T3235">
        <v>122</v>
      </c>
      <c r="U3235" t="s">
        <v>108</v>
      </c>
      <c r="V3235">
        <v>44</v>
      </c>
      <c r="W3235" t="str">
        <f>HYPERLINK("Gene1918-zp_tree_all.dnd", "Gene1918-tree")</f>
        <v>Gene1918-tree</v>
      </c>
      <c r="X3235">
        <v>8</v>
      </c>
      <c r="Y3235">
        <v>0</v>
      </c>
      <c r="Z3235">
        <v>8</v>
      </c>
      <c r="AA3235">
        <v>0</v>
      </c>
      <c r="AB3235">
        <v>0</v>
      </c>
      <c r="AC3235" t="s">
        <v>136</v>
      </c>
      <c r="AD3235" t="s">
        <v>62</v>
      </c>
      <c r="AE3235" t="s">
        <v>62</v>
      </c>
      <c r="AF3235" t="s">
        <v>62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5</v>
      </c>
      <c r="AV3235">
        <v>2</v>
      </c>
      <c r="AW3235">
        <v>7</v>
      </c>
      <c r="AX3235">
        <v>0</v>
      </c>
      <c r="AY3235">
        <v>2</v>
      </c>
      <c r="AZ3235">
        <v>0</v>
      </c>
      <c r="BA3235" t="s">
        <v>193</v>
      </c>
      <c r="BB3235" t="s">
        <v>193</v>
      </c>
      <c r="BC3235">
        <v>0</v>
      </c>
      <c r="BD3235" t="s">
        <v>65</v>
      </c>
      <c r="BE3235">
        <v>9</v>
      </c>
      <c r="BF3235">
        <v>0</v>
      </c>
      <c r="BG3235" t="s">
        <v>12018</v>
      </c>
      <c r="BH3235" t="s">
        <v>12019</v>
      </c>
      <c r="BI3235" t="s">
        <v>193</v>
      </c>
      <c r="BJ3235">
        <v>0</v>
      </c>
      <c r="BK3235">
        <v>1</v>
      </c>
      <c r="BL3235" t="s">
        <v>69</v>
      </c>
      <c r="BM3235">
        <v>-1.1479999999999999</v>
      </c>
      <c r="BN3235">
        <v>7.4999999999999997E-2</v>
      </c>
    </row>
    <row r="3236" spans="10:66">
      <c r="J3236">
        <v>0</v>
      </c>
      <c r="K3236">
        <v>0</v>
      </c>
      <c r="L3236">
        <v>0</v>
      </c>
      <c r="M3236" t="s">
        <v>25021</v>
      </c>
      <c r="N3236">
        <v>1920</v>
      </c>
      <c r="O3236" t="s">
        <v>12027</v>
      </c>
      <c r="P3236" t="s">
        <v>57</v>
      </c>
      <c r="Q3236">
        <v>2019421</v>
      </c>
      <c r="R3236">
        <v>2019723</v>
      </c>
      <c r="S3236" t="s">
        <v>12028</v>
      </c>
      <c r="T3236">
        <v>101</v>
      </c>
      <c r="U3236" t="s">
        <v>12029</v>
      </c>
      <c r="V3236">
        <v>32</v>
      </c>
      <c r="W3236" t="str">
        <f>HYPERLINK("Gene1920-zp_tree_all.dnd", "Gene1920-tree")</f>
        <v>Gene1920-tree</v>
      </c>
      <c r="X3236">
        <v>3</v>
      </c>
      <c r="Y3236">
        <v>3</v>
      </c>
      <c r="Z3236">
        <v>3</v>
      </c>
      <c r="AA3236">
        <v>3</v>
      </c>
      <c r="AB3236">
        <v>0.5</v>
      </c>
      <c r="AC3236" t="s">
        <v>324</v>
      </c>
      <c r="AD3236" t="s">
        <v>324</v>
      </c>
      <c r="AE3236" t="s">
        <v>62</v>
      </c>
      <c r="AF3236" t="s">
        <v>62</v>
      </c>
      <c r="AG3236">
        <v>0</v>
      </c>
      <c r="AH3236">
        <v>0</v>
      </c>
      <c r="AI3236">
        <v>11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5</v>
      </c>
      <c r="AT3236">
        <v>0</v>
      </c>
      <c r="AU3236">
        <v>5</v>
      </c>
      <c r="AV3236">
        <v>3</v>
      </c>
      <c r="AW3236">
        <v>6</v>
      </c>
      <c r="AX3236">
        <v>5</v>
      </c>
      <c r="AY3236">
        <v>6</v>
      </c>
      <c r="AZ3236">
        <v>6</v>
      </c>
      <c r="BA3236" t="s">
        <v>12030</v>
      </c>
      <c r="BB3236" t="s">
        <v>12031</v>
      </c>
      <c r="BC3236">
        <v>0.152</v>
      </c>
      <c r="BD3236" t="s">
        <v>65</v>
      </c>
      <c r="BE3236">
        <v>12</v>
      </c>
      <c r="BF3236">
        <v>11</v>
      </c>
      <c r="BG3236" t="s">
        <v>12032</v>
      </c>
      <c r="BH3236" t="s">
        <v>12033</v>
      </c>
      <c r="BI3236" t="s">
        <v>12034</v>
      </c>
      <c r="BJ3236">
        <v>0.27385999999999999</v>
      </c>
      <c r="BK3236">
        <v>0.98</v>
      </c>
      <c r="BL3236" t="s">
        <v>69</v>
      </c>
      <c r="BM3236">
        <v>1.446</v>
      </c>
      <c r="BN3236">
        <v>0.67900000000000005</v>
      </c>
    </row>
    <row r="3237" spans="10:66">
      <c r="J3237">
        <v>0</v>
      </c>
      <c r="K3237">
        <v>0</v>
      </c>
      <c r="L3237">
        <v>2</v>
      </c>
      <c r="M3237" t="s">
        <v>25021</v>
      </c>
      <c r="N3237">
        <v>1921</v>
      </c>
      <c r="O3237" t="s">
        <v>12035</v>
      </c>
      <c r="P3237" t="s">
        <v>57</v>
      </c>
      <c r="Q3237">
        <v>2019797</v>
      </c>
      <c r="R3237">
        <v>2020564</v>
      </c>
      <c r="S3237" t="s">
        <v>116</v>
      </c>
      <c r="T3237">
        <v>256</v>
      </c>
      <c r="U3237" t="s">
        <v>12036</v>
      </c>
      <c r="V3237">
        <v>29</v>
      </c>
      <c r="W3237" t="str">
        <f>HYPERLINK("Gene1921-zp_tree_all.dnd", "Gene1921-tree")</f>
        <v>Gene1921-tree</v>
      </c>
      <c r="X3237">
        <v>0</v>
      </c>
      <c r="Y3237">
        <v>25</v>
      </c>
      <c r="Z3237">
        <v>0</v>
      </c>
      <c r="AA3237">
        <v>6</v>
      </c>
      <c r="AB3237">
        <v>1</v>
      </c>
      <c r="AC3237" t="s">
        <v>62</v>
      </c>
      <c r="AD3237" t="s">
        <v>965</v>
      </c>
      <c r="AE3237">
        <v>5.3289999999999997</v>
      </c>
      <c r="AF3237" t="s">
        <v>65</v>
      </c>
      <c r="AG3237">
        <v>1</v>
      </c>
      <c r="AH3237">
        <v>2</v>
      </c>
      <c r="AI3237">
        <v>20</v>
      </c>
      <c r="AJ3237">
        <v>9.0910000000000005E-2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2</v>
      </c>
      <c r="AR3237">
        <v>2</v>
      </c>
      <c r="AS3237">
        <v>19</v>
      </c>
      <c r="AT3237">
        <v>9.5240000000000005E-2</v>
      </c>
      <c r="AU3237">
        <v>6</v>
      </c>
      <c r="AV3237">
        <v>3</v>
      </c>
      <c r="AW3237">
        <v>10</v>
      </c>
      <c r="AX3237">
        <v>8</v>
      </c>
      <c r="AY3237">
        <v>18</v>
      </c>
      <c r="AZ3237">
        <v>16</v>
      </c>
      <c r="BA3237" t="s">
        <v>12037</v>
      </c>
      <c r="BB3237" t="s">
        <v>12038</v>
      </c>
      <c r="BC3237">
        <v>6.2E-2</v>
      </c>
      <c r="BD3237" t="s">
        <v>65</v>
      </c>
      <c r="BE3237">
        <v>28</v>
      </c>
      <c r="BF3237">
        <v>24</v>
      </c>
      <c r="BG3237" t="s">
        <v>12039</v>
      </c>
      <c r="BH3237" t="s">
        <v>12040</v>
      </c>
      <c r="BI3237" t="s">
        <v>12041</v>
      </c>
      <c r="BJ3237">
        <v>0.26817999999999997</v>
      </c>
      <c r="BK3237">
        <v>1</v>
      </c>
      <c r="BL3237" t="s">
        <v>69</v>
      </c>
      <c r="BM3237">
        <v>1.081</v>
      </c>
      <c r="BN3237">
        <v>0.69099999999999995</v>
      </c>
    </row>
    <row r="3238" spans="10:66">
      <c r="J3238">
        <v>0</v>
      </c>
      <c r="K3238">
        <v>13</v>
      </c>
      <c r="L3238">
        <v>2</v>
      </c>
      <c r="M3238" t="s">
        <v>25021</v>
      </c>
      <c r="N3238">
        <v>1922</v>
      </c>
      <c r="O3238" t="s">
        <v>12042</v>
      </c>
      <c r="P3238" t="s">
        <v>57</v>
      </c>
      <c r="Q3238">
        <v>2020611</v>
      </c>
      <c r="R3238">
        <v>2021141</v>
      </c>
      <c r="S3238" t="s">
        <v>3718</v>
      </c>
      <c r="T3238">
        <v>177</v>
      </c>
      <c r="U3238" t="s">
        <v>11485</v>
      </c>
      <c r="V3238">
        <v>43</v>
      </c>
      <c r="W3238" t="str">
        <f>HYPERLINK("Gene1922-zp_tree_all.dnd", "Gene1922-tree")</f>
        <v>Gene1922-tree</v>
      </c>
      <c r="X3238">
        <v>3</v>
      </c>
      <c r="Y3238">
        <v>10</v>
      </c>
      <c r="Z3238">
        <v>3</v>
      </c>
      <c r="AA3238">
        <v>10</v>
      </c>
      <c r="AB3238">
        <v>0.76922999999999997</v>
      </c>
      <c r="AC3238" t="s">
        <v>324</v>
      </c>
      <c r="AD3238" t="s">
        <v>117</v>
      </c>
      <c r="AE3238" t="s">
        <v>62</v>
      </c>
      <c r="AF3238" t="s">
        <v>62</v>
      </c>
      <c r="AG3238">
        <v>7</v>
      </c>
      <c r="AH3238">
        <v>15</v>
      </c>
      <c r="AI3238">
        <v>13</v>
      </c>
      <c r="AJ3238">
        <v>0.53571000000000002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6</v>
      </c>
      <c r="AQ3238">
        <v>2</v>
      </c>
      <c r="AR3238">
        <v>8</v>
      </c>
      <c r="AS3238">
        <v>14</v>
      </c>
      <c r="AT3238">
        <v>0.36364000000000002</v>
      </c>
      <c r="AU3238">
        <v>13</v>
      </c>
      <c r="AV3238">
        <v>9</v>
      </c>
      <c r="AW3238">
        <v>38</v>
      </c>
      <c r="AX3238">
        <v>22</v>
      </c>
      <c r="AY3238">
        <v>16</v>
      </c>
      <c r="AZ3238">
        <v>6</v>
      </c>
      <c r="BA3238" t="s">
        <v>12043</v>
      </c>
      <c r="BB3238" t="s">
        <v>12044</v>
      </c>
      <c r="BC3238">
        <v>0.60599999999999998</v>
      </c>
      <c r="BD3238" t="s">
        <v>65</v>
      </c>
      <c r="BE3238">
        <v>54</v>
      </c>
      <c r="BF3238">
        <v>28</v>
      </c>
      <c r="BG3238" t="s">
        <v>12045</v>
      </c>
      <c r="BH3238" t="s">
        <v>12046</v>
      </c>
      <c r="BI3238" t="s">
        <v>12047</v>
      </c>
      <c r="BJ3238">
        <v>0.16943</v>
      </c>
      <c r="BK3238">
        <v>1</v>
      </c>
      <c r="BL3238" t="s">
        <v>69</v>
      </c>
      <c r="BM3238">
        <v>-1.0960000000000001</v>
      </c>
      <c r="BN3238">
        <v>-0.68100000000000005</v>
      </c>
    </row>
    <row r="3239" spans="10:66">
      <c r="J3239">
        <v>0</v>
      </c>
      <c r="K3239">
        <v>25</v>
      </c>
      <c r="L3239">
        <v>2</v>
      </c>
      <c r="M3239" t="s">
        <v>25021</v>
      </c>
      <c r="N3239">
        <v>1926</v>
      </c>
      <c r="O3239" t="s">
        <v>12070</v>
      </c>
      <c r="P3239" t="s">
        <v>57</v>
      </c>
      <c r="Q3239">
        <v>2025400</v>
      </c>
      <c r="R3239">
        <v>2027439</v>
      </c>
      <c r="S3239" t="s">
        <v>12071</v>
      </c>
      <c r="T3239">
        <v>680</v>
      </c>
      <c r="U3239" t="s">
        <v>12072</v>
      </c>
      <c r="V3239">
        <v>35</v>
      </c>
      <c r="W3239" t="str">
        <f>HYPERLINK("Gene1926-zp_tree_all.dnd", "Gene1926-tree")</f>
        <v>Gene1926-tree</v>
      </c>
      <c r="X3239">
        <v>2</v>
      </c>
      <c r="Y3239">
        <v>11</v>
      </c>
      <c r="Z3239">
        <v>2</v>
      </c>
      <c r="AA3239">
        <v>11</v>
      </c>
      <c r="AB3239">
        <v>0.84614999999999996</v>
      </c>
      <c r="AC3239" t="s">
        <v>81</v>
      </c>
      <c r="AD3239" t="s">
        <v>73</v>
      </c>
      <c r="AE3239">
        <v>515075683.63</v>
      </c>
      <c r="AF3239" t="s">
        <v>267</v>
      </c>
      <c r="AG3239">
        <v>11</v>
      </c>
      <c r="AH3239">
        <v>27</v>
      </c>
      <c r="AI3239">
        <v>30</v>
      </c>
      <c r="AJ3239">
        <v>0.47367999999999999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11</v>
      </c>
      <c r="AQ3239">
        <v>0</v>
      </c>
      <c r="AR3239">
        <v>11</v>
      </c>
      <c r="AS3239">
        <v>30</v>
      </c>
      <c r="AT3239">
        <v>0.26828999999999997</v>
      </c>
      <c r="AU3239">
        <v>13</v>
      </c>
      <c r="AV3239">
        <v>10</v>
      </c>
      <c r="AW3239">
        <v>98</v>
      </c>
      <c r="AX3239">
        <v>42</v>
      </c>
      <c r="AY3239">
        <v>51</v>
      </c>
      <c r="AZ3239">
        <v>16</v>
      </c>
      <c r="BA3239" t="s">
        <v>12073</v>
      </c>
      <c r="BB3239" t="s">
        <v>12074</v>
      </c>
      <c r="BC3239">
        <v>0.35099999999999998</v>
      </c>
      <c r="BD3239" t="s">
        <v>65</v>
      </c>
      <c r="BE3239">
        <v>149</v>
      </c>
      <c r="BF3239">
        <v>58</v>
      </c>
      <c r="BG3239" t="s">
        <v>12075</v>
      </c>
      <c r="BH3239" t="s">
        <v>12076</v>
      </c>
      <c r="BI3239" t="s">
        <v>12077</v>
      </c>
      <c r="BJ3239">
        <v>0.11700000000000001</v>
      </c>
      <c r="BK3239">
        <v>1</v>
      </c>
      <c r="BL3239" t="s">
        <v>69</v>
      </c>
      <c r="BM3239">
        <v>-1.169</v>
      </c>
      <c r="BN3239">
        <v>-1.889</v>
      </c>
    </row>
    <row r="3240" spans="10:66">
      <c r="J3240">
        <v>0</v>
      </c>
      <c r="K3240">
        <v>4</v>
      </c>
      <c r="L3240">
        <v>0</v>
      </c>
      <c r="M3240" t="s">
        <v>25021</v>
      </c>
      <c r="N3240">
        <v>1927</v>
      </c>
      <c r="O3240" t="s">
        <v>12078</v>
      </c>
      <c r="P3240" t="s">
        <v>57</v>
      </c>
      <c r="Q3240">
        <v>2027509</v>
      </c>
      <c r="R3240">
        <v>2027799</v>
      </c>
      <c r="S3240" t="s">
        <v>116</v>
      </c>
      <c r="T3240">
        <v>97</v>
      </c>
      <c r="U3240" t="s">
        <v>2078</v>
      </c>
      <c r="V3240">
        <v>36</v>
      </c>
      <c r="W3240" t="str">
        <f>HYPERLINK("Gene1927-zp_tree_all.dnd", "Gene1927-tree")</f>
        <v>Gene1927-tree</v>
      </c>
      <c r="X3240">
        <v>26</v>
      </c>
      <c r="Y3240">
        <v>4</v>
      </c>
      <c r="Z3240">
        <v>5</v>
      </c>
      <c r="AA3240">
        <v>4</v>
      </c>
      <c r="AB3240">
        <v>0.44444</v>
      </c>
      <c r="AC3240" t="s">
        <v>4315</v>
      </c>
      <c r="AD3240" t="s">
        <v>61</v>
      </c>
      <c r="AE3240" t="s">
        <v>62</v>
      </c>
      <c r="AF3240" t="s">
        <v>62</v>
      </c>
      <c r="AG3240">
        <v>2</v>
      </c>
      <c r="AH3240">
        <v>4</v>
      </c>
      <c r="AI3240">
        <v>9</v>
      </c>
      <c r="AJ3240">
        <v>0.30769000000000002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7</v>
      </c>
      <c r="AT3240">
        <v>0</v>
      </c>
      <c r="AU3240">
        <v>8</v>
      </c>
      <c r="AV3240">
        <v>6</v>
      </c>
      <c r="AW3240">
        <v>9</v>
      </c>
      <c r="AX3240">
        <v>8</v>
      </c>
      <c r="AY3240">
        <v>7</v>
      </c>
      <c r="AZ3240">
        <v>6</v>
      </c>
      <c r="BA3240" t="s">
        <v>12079</v>
      </c>
      <c r="BB3240" t="s">
        <v>12080</v>
      </c>
      <c r="BC3240">
        <v>4.2000000000000003E-2</v>
      </c>
      <c r="BD3240" t="s">
        <v>65</v>
      </c>
      <c r="BE3240">
        <v>16</v>
      </c>
      <c r="BF3240">
        <v>14</v>
      </c>
      <c r="BG3240" t="s">
        <v>12081</v>
      </c>
      <c r="BH3240" t="s">
        <v>12082</v>
      </c>
      <c r="BI3240" t="s">
        <v>12083</v>
      </c>
      <c r="BJ3240">
        <v>0.22832</v>
      </c>
      <c r="BK3240">
        <v>1</v>
      </c>
      <c r="BL3240" t="s">
        <v>69</v>
      </c>
      <c r="BM3240">
        <v>-0.222</v>
      </c>
      <c r="BN3240">
        <v>-1.2749999999999999</v>
      </c>
    </row>
    <row r="3241" spans="10:66">
      <c r="J3241">
        <v>0</v>
      </c>
      <c r="K3241">
        <v>0</v>
      </c>
      <c r="L3241">
        <v>0</v>
      </c>
      <c r="M3241" t="s">
        <v>25021</v>
      </c>
      <c r="N3241">
        <v>1930</v>
      </c>
      <c r="O3241" t="s">
        <v>12092</v>
      </c>
      <c r="P3241" t="s">
        <v>57</v>
      </c>
      <c r="Q3241">
        <v>2029020</v>
      </c>
      <c r="R3241">
        <v>2029310</v>
      </c>
      <c r="S3241" t="s">
        <v>12093</v>
      </c>
      <c r="T3241">
        <v>97</v>
      </c>
      <c r="U3241" t="s">
        <v>2078</v>
      </c>
      <c r="V3241">
        <v>36</v>
      </c>
      <c r="W3241" t="str">
        <f>HYPERLINK("Gene1930-zp_tree_all.dnd", "Gene1930-tree")</f>
        <v>Gene1930-tree</v>
      </c>
      <c r="X3241">
        <v>9</v>
      </c>
      <c r="Y3241">
        <v>2</v>
      </c>
      <c r="Z3241">
        <v>9</v>
      </c>
      <c r="AA3241">
        <v>2</v>
      </c>
      <c r="AB3241">
        <v>0.18182000000000001</v>
      </c>
      <c r="AC3241" t="s">
        <v>135</v>
      </c>
      <c r="AD3241" t="s">
        <v>81</v>
      </c>
      <c r="AE3241" t="s">
        <v>62</v>
      </c>
      <c r="AF3241" t="s">
        <v>62</v>
      </c>
      <c r="AG3241">
        <v>0</v>
      </c>
      <c r="AH3241">
        <v>0</v>
      </c>
      <c r="AI3241">
        <v>4</v>
      </c>
      <c r="AJ3241">
        <v>0</v>
      </c>
      <c r="AK3241">
        <v>0</v>
      </c>
      <c r="AL3241">
        <v>0</v>
      </c>
      <c r="AM3241">
        <v>0</v>
      </c>
      <c r="AN3241">
        <v>3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0</v>
      </c>
      <c r="AU3241">
        <v>5</v>
      </c>
      <c r="AV3241">
        <v>6</v>
      </c>
      <c r="AW3241">
        <v>5</v>
      </c>
      <c r="AX3241">
        <v>1</v>
      </c>
      <c r="AY3241">
        <v>9</v>
      </c>
      <c r="AZ3241">
        <v>3</v>
      </c>
      <c r="BA3241" t="s">
        <v>12094</v>
      </c>
      <c r="BB3241" t="s">
        <v>12095</v>
      </c>
      <c r="BC3241">
        <v>0.26600000000000001</v>
      </c>
      <c r="BD3241" t="s">
        <v>65</v>
      </c>
      <c r="BE3241">
        <v>14</v>
      </c>
      <c r="BF3241">
        <v>4</v>
      </c>
      <c r="BG3241" t="s">
        <v>12096</v>
      </c>
      <c r="BH3241" t="s">
        <v>12097</v>
      </c>
      <c r="BI3241" t="s">
        <v>12098</v>
      </c>
      <c r="BJ3241">
        <v>6.8790000000000004E-2</v>
      </c>
      <c r="BK3241">
        <v>1</v>
      </c>
      <c r="BL3241" t="s">
        <v>69</v>
      </c>
      <c r="BM3241">
        <v>-0.71099999999999997</v>
      </c>
      <c r="BN3241">
        <v>0.71899999999999997</v>
      </c>
    </row>
    <row r="3242" spans="10:66">
      <c r="J3242">
        <v>0</v>
      </c>
      <c r="K3242">
        <v>4</v>
      </c>
      <c r="L3242">
        <v>4</v>
      </c>
      <c r="M3242" t="s">
        <v>25021</v>
      </c>
      <c r="N3242">
        <v>1932</v>
      </c>
      <c r="O3242" t="s">
        <v>12107</v>
      </c>
      <c r="P3242" t="s">
        <v>57</v>
      </c>
      <c r="Q3242">
        <v>2031439</v>
      </c>
      <c r="R3242">
        <v>2032887</v>
      </c>
      <c r="S3242" t="s">
        <v>12108</v>
      </c>
      <c r="T3242">
        <v>483</v>
      </c>
      <c r="U3242" t="s">
        <v>1907</v>
      </c>
      <c r="V3242">
        <v>38</v>
      </c>
      <c r="W3242" t="str">
        <f>HYPERLINK("Gene1932-zp_tree_all.dnd", "Gene1932-tree")</f>
        <v>Gene1932-tree</v>
      </c>
      <c r="X3242">
        <v>5</v>
      </c>
      <c r="Y3242">
        <v>7</v>
      </c>
      <c r="Z3242">
        <v>5</v>
      </c>
      <c r="AA3242">
        <v>7</v>
      </c>
      <c r="AB3242">
        <v>0.58333000000000002</v>
      </c>
      <c r="AC3242" t="s">
        <v>199</v>
      </c>
      <c r="AD3242" t="s">
        <v>152</v>
      </c>
      <c r="AE3242" t="s">
        <v>62</v>
      </c>
      <c r="AF3242" t="s">
        <v>62</v>
      </c>
      <c r="AG3242">
        <v>4</v>
      </c>
      <c r="AH3242">
        <v>8</v>
      </c>
      <c r="AI3242">
        <v>14</v>
      </c>
      <c r="AJ3242">
        <v>0.36364000000000002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2</v>
      </c>
      <c r="AQ3242">
        <v>2</v>
      </c>
      <c r="AR3242">
        <v>4</v>
      </c>
      <c r="AS3242">
        <v>13</v>
      </c>
      <c r="AT3242">
        <v>0.23529</v>
      </c>
      <c r="AU3242">
        <v>11</v>
      </c>
      <c r="AV3242">
        <v>8</v>
      </c>
      <c r="AW3242">
        <v>37</v>
      </c>
      <c r="AX3242">
        <v>17</v>
      </c>
      <c r="AY3242">
        <v>19</v>
      </c>
      <c r="AZ3242">
        <v>5</v>
      </c>
      <c r="BA3242" t="s">
        <v>12109</v>
      </c>
      <c r="BB3242" t="s">
        <v>12110</v>
      </c>
      <c r="BC3242">
        <v>0.51200000000000001</v>
      </c>
      <c r="BD3242" t="s">
        <v>65</v>
      </c>
      <c r="BE3242">
        <v>56</v>
      </c>
      <c r="BF3242">
        <v>22</v>
      </c>
      <c r="BG3242" t="s">
        <v>12111</v>
      </c>
      <c r="BH3242" t="s">
        <v>12112</v>
      </c>
      <c r="BI3242" t="s">
        <v>12113</v>
      </c>
      <c r="BJ3242">
        <v>0.11272</v>
      </c>
      <c r="BK3242">
        <v>1</v>
      </c>
      <c r="BL3242" t="s">
        <v>69</v>
      </c>
      <c r="BM3242">
        <v>-1.33</v>
      </c>
      <c r="BN3242">
        <v>-0.70199999999999996</v>
      </c>
    </row>
    <row r="3243" spans="10:66">
      <c r="J3243">
        <v>0</v>
      </c>
      <c r="K3243">
        <v>0</v>
      </c>
      <c r="L3243">
        <v>0</v>
      </c>
      <c r="M3243" t="s">
        <v>25021</v>
      </c>
      <c r="N3243">
        <v>1935</v>
      </c>
      <c r="O3243" t="s">
        <v>12127</v>
      </c>
      <c r="P3243" t="s">
        <v>57</v>
      </c>
      <c r="Q3243">
        <v>2034745</v>
      </c>
      <c r="R3243">
        <v>2035779</v>
      </c>
      <c r="S3243" t="s">
        <v>12128</v>
      </c>
      <c r="T3243">
        <v>345</v>
      </c>
      <c r="U3243" t="s">
        <v>2078</v>
      </c>
      <c r="V3243">
        <v>36</v>
      </c>
      <c r="W3243" t="str">
        <f>HYPERLINK("Gene1935-zp_tree_all.dnd", "Gene1935-tree")</f>
        <v>Gene1935-tree</v>
      </c>
      <c r="X3243">
        <v>7</v>
      </c>
      <c r="Y3243">
        <v>23</v>
      </c>
      <c r="Z3243">
        <v>7</v>
      </c>
      <c r="AA3243">
        <v>6</v>
      </c>
      <c r="AB3243">
        <v>0.46154000000000001</v>
      </c>
      <c r="AC3243" t="s">
        <v>152</v>
      </c>
      <c r="AD3243" t="s">
        <v>3589</v>
      </c>
      <c r="AE3243">
        <v>3.7679999999999998</v>
      </c>
      <c r="AF3243" t="s">
        <v>65</v>
      </c>
      <c r="AG3243">
        <v>0</v>
      </c>
      <c r="AH3243">
        <v>0</v>
      </c>
      <c r="AI3243">
        <v>11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7</v>
      </c>
      <c r="AT3243">
        <v>0</v>
      </c>
      <c r="AU3243">
        <v>9</v>
      </c>
      <c r="AV3243">
        <v>7</v>
      </c>
      <c r="AW3243">
        <v>14</v>
      </c>
      <c r="AX3243">
        <v>7</v>
      </c>
      <c r="AY3243">
        <v>8</v>
      </c>
      <c r="AZ3243">
        <v>4</v>
      </c>
      <c r="BA3243" t="s">
        <v>12129</v>
      </c>
      <c r="BB3243" t="s">
        <v>12130</v>
      </c>
      <c r="BC3243">
        <v>2E-3</v>
      </c>
      <c r="BD3243" t="s">
        <v>65</v>
      </c>
      <c r="BE3243">
        <v>22</v>
      </c>
      <c r="BF3243">
        <v>11</v>
      </c>
      <c r="BG3243" t="s">
        <v>12131</v>
      </c>
      <c r="BH3243" t="s">
        <v>12132</v>
      </c>
      <c r="BI3243" t="s">
        <v>11821</v>
      </c>
      <c r="BJ3243">
        <v>0.14288000000000001</v>
      </c>
      <c r="BK3243">
        <v>1</v>
      </c>
      <c r="BL3243" t="s">
        <v>69</v>
      </c>
      <c r="BM3243">
        <v>-1.0920000000000001</v>
      </c>
      <c r="BN3243">
        <v>-2.3660000000000001</v>
      </c>
    </row>
    <row r="3244" spans="10:66">
      <c r="J3244">
        <v>0</v>
      </c>
      <c r="K3244">
        <v>4</v>
      </c>
      <c r="L3244">
        <v>0</v>
      </c>
      <c r="M3244" t="s">
        <v>25021</v>
      </c>
      <c r="N3244">
        <v>1936</v>
      </c>
      <c r="O3244" t="s">
        <v>12133</v>
      </c>
      <c r="P3244" t="s">
        <v>57</v>
      </c>
      <c r="Q3244">
        <v>2036039</v>
      </c>
      <c r="R3244">
        <v>2036719</v>
      </c>
      <c r="S3244" t="s">
        <v>12134</v>
      </c>
      <c r="T3244">
        <v>227</v>
      </c>
      <c r="U3244" t="s">
        <v>12135</v>
      </c>
      <c r="V3244">
        <v>34</v>
      </c>
      <c r="W3244" t="str">
        <f>HYPERLINK("Gene1936-zp_tree_all.dnd", "Gene1936-tree")</f>
        <v>Gene1936-tree</v>
      </c>
      <c r="X3244">
        <v>7</v>
      </c>
      <c r="Y3244">
        <v>4</v>
      </c>
      <c r="Z3244">
        <v>7</v>
      </c>
      <c r="AA3244">
        <v>4</v>
      </c>
      <c r="AB3244">
        <v>0.36364000000000002</v>
      </c>
      <c r="AC3244" t="s">
        <v>152</v>
      </c>
      <c r="AD3244" t="s">
        <v>61</v>
      </c>
      <c r="AE3244" t="s">
        <v>62</v>
      </c>
      <c r="AF3244" t="s">
        <v>62</v>
      </c>
      <c r="AG3244">
        <v>2</v>
      </c>
      <c r="AH3244">
        <v>4</v>
      </c>
      <c r="AI3244">
        <v>10</v>
      </c>
      <c r="AJ3244">
        <v>0.28571000000000002</v>
      </c>
      <c r="AK3244">
        <v>0</v>
      </c>
      <c r="AL3244">
        <v>0</v>
      </c>
      <c r="AM3244">
        <v>0</v>
      </c>
      <c r="AN3244">
        <v>2</v>
      </c>
      <c r="AO3244">
        <v>0</v>
      </c>
      <c r="AP3244">
        <v>4</v>
      </c>
      <c r="AQ3244">
        <v>0</v>
      </c>
      <c r="AR3244">
        <v>4</v>
      </c>
      <c r="AS3244">
        <v>8</v>
      </c>
      <c r="AT3244">
        <v>0.33333000000000002</v>
      </c>
      <c r="AU3244">
        <v>6</v>
      </c>
      <c r="AV3244">
        <v>4</v>
      </c>
      <c r="AW3244">
        <v>24</v>
      </c>
      <c r="AX3244">
        <v>11</v>
      </c>
      <c r="AY3244">
        <v>2</v>
      </c>
      <c r="AZ3244">
        <v>3</v>
      </c>
      <c r="BA3244" t="s">
        <v>12136</v>
      </c>
      <c r="BB3244" t="s">
        <v>12137</v>
      </c>
      <c r="BC3244">
        <v>0.876</v>
      </c>
      <c r="BD3244" t="s">
        <v>65</v>
      </c>
      <c r="BE3244">
        <v>26</v>
      </c>
      <c r="BF3244">
        <v>14</v>
      </c>
      <c r="BG3244" t="s">
        <v>12138</v>
      </c>
      <c r="BH3244" t="s">
        <v>12139</v>
      </c>
      <c r="BI3244" t="s">
        <v>12140</v>
      </c>
      <c r="BJ3244">
        <v>0.16483999999999999</v>
      </c>
      <c r="BK3244">
        <v>1</v>
      </c>
      <c r="BL3244" t="s">
        <v>69</v>
      </c>
      <c r="BM3244">
        <v>-2.2709999999999999</v>
      </c>
      <c r="BN3244">
        <v>-3.5529999999999999</v>
      </c>
    </row>
    <row r="3245" spans="10:66">
      <c r="J3245">
        <v>0</v>
      </c>
      <c r="K3245">
        <v>0</v>
      </c>
      <c r="L3245">
        <v>0</v>
      </c>
      <c r="M3245" t="s">
        <v>25021</v>
      </c>
      <c r="N3245">
        <v>1941</v>
      </c>
      <c r="O3245" t="s">
        <v>12166</v>
      </c>
      <c r="P3245" t="s">
        <v>57</v>
      </c>
      <c r="Q3245">
        <v>2040673</v>
      </c>
      <c r="R3245">
        <v>2041026</v>
      </c>
      <c r="S3245" t="s">
        <v>288</v>
      </c>
      <c r="T3245">
        <v>118</v>
      </c>
      <c r="U3245" t="s">
        <v>12167</v>
      </c>
      <c r="V3245">
        <v>25</v>
      </c>
      <c r="W3245" t="str">
        <f>HYPERLINK("Gene1941-zp_tree_all.dnd", "Gene1941-tree")</f>
        <v>Gene1941-tree</v>
      </c>
      <c r="X3245">
        <v>1</v>
      </c>
      <c r="Y3245">
        <v>23</v>
      </c>
      <c r="Z3245">
        <v>1</v>
      </c>
      <c r="AA3245">
        <v>4</v>
      </c>
      <c r="AB3245">
        <v>0.8</v>
      </c>
      <c r="AC3245" t="s">
        <v>175</v>
      </c>
      <c r="AD3245" t="s">
        <v>690</v>
      </c>
      <c r="AE3245">
        <v>2.0529999999999999</v>
      </c>
      <c r="AF3245" t="s">
        <v>267</v>
      </c>
      <c r="AG3245">
        <v>0</v>
      </c>
      <c r="AH3245">
        <v>0</v>
      </c>
      <c r="AI3245">
        <v>8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9</v>
      </c>
      <c r="AT3245">
        <v>0</v>
      </c>
      <c r="AU3245">
        <v>4</v>
      </c>
      <c r="AV3245">
        <v>1</v>
      </c>
      <c r="AW3245">
        <v>4</v>
      </c>
      <c r="AX3245">
        <v>9</v>
      </c>
      <c r="AY3245">
        <v>1</v>
      </c>
      <c r="AZ3245">
        <v>1</v>
      </c>
      <c r="BA3245" t="s">
        <v>12168</v>
      </c>
      <c r="BB3245" t="s">
        <v>12169</v>
      </c>
      <c r="BC3245">
        <v>0.54800000000000004</v>
      </c>
      <c r="BD3245" t="s">
        <v>65</v>
      </c>
      <c r="BE3245">
        <v>5</v>
      </c>
      <c r="BF3245">
        <v>10</v>
      </c>
      <c r="BG3245" t="s">
        <v>12170</v>
      </c>
      <c r="BH3245" t="s">
        <v>12171</v>
      </c>
      <c r="BI3245" t="s">
        <v>12172</v>
      </c>
      <c r="BJ3245">
        <v>0.46151999999999999</v>
      </c>
      <c r="BK3245">
        <v>0.80800000000000005</v>
      </c>
      <c r="BL3245" t="s">
        <v>635</v>
      </c>
      <c r="BM3245">
        <v>-1.909</v>
      </c>
      <c r="BN3245">
        <v>-2.5390000000000001</v>
      </c>
    </row>
    <row r="3246" spans="10:66">
      <c r="J3246">
        <v>0</v>
      </c>
      <c r="K3246">
        <v>4</v>
      </c>
      <c r="L3246">
        <v>2</v>
      </c>
      <c r="M3246" t="s">
        <v>25021</v>
      </c>
      <c r="N3246">
        <v>1945</v>
      </c>
      <c r="O3246" t="s">
        <v>12187</v>
      </c>
      <c r="P3246" t="s">
        <v>57</v>
      </c>
      <c r="Q3246">
        <v>2043186</v>
      </c>
      <c r="R3246">
        <v>2043665</v>
      </c>
      <c r="S3246" t="s">
        <v>12188</v>
      </c>
      <c r="T3246">
        <v>160</v>
      </c>
      <c r="U3246" t="s">
        <v>12189</v>
      </c>
      <c r="V3246">
        <v>37</v>
      </c>
      <c r="W3246" t="str">
        <f>HYPERLINK("Gene1945-zp_tree_all.dnd", "Gene1945-tree")</f>
        <v>Gene1945-tree</v>
      </c>
      <c r="X3246">
        <v>7</v>
      </c>
      <c r="Y3246">
        <v>24</v>
      </c>
      <c r="Z3246">
        <v>7</v>
      </c>
      <c r="AA3246">
        <v>5</v>
      </c>
      <c r="AB3246">
        <v>0.41666999999999998</v>
      </c>
      <c r="AC3246" t="s">
        <v>152</v>
      </c>
      <c r="AD3246" t="s">
        <v>2668</v>
      </c>
      <c r="AE3246">
        <v>4.6369999999999996</v>
      </c>
      <c r="AF3246" t="s">
        <v>65</v>
      </c>
      <c r="AG3246">
        <v>3</v>
      </c>
      <c r="AH3246">
        <v>6</v>
      </c>
      <c r="AI3246">
        <v>6</v>
      </c>
      <c r="AJ3246">
        <v>0.5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4</v>
      </c>
      <c r="AQ3246">
        <v>2</v>
      </c>
      <c r="AR3246">
        <v>6</v>
      </c>
      <c r="AS3246">
        <v>5</v>
      </c>
      <c r="AT3246">
        <v>0.54544999999999999</v>
      </c>
      <c r="AU3246">
        <v>10</v>
      </c>
      <c r="AV3246">
        <v>4</v>
      </c>
      <c r="AW3246">
        <v>10</v>
      </c>
      <c r="AX3246">
        <v>11</v>
      </c>
      <c r="AY3246">
        <v>3</v>
      </c>
      <c r="AZ3246">
        <v>1</v>
      </c>
      <c r="BA3246" t="s">
        <v>12190</v>
      </c>
      <c r="BB3246" t="s">
        <v>12191</v>
      </c>
      <c r="BC3246">
        <v>0.92700000000000005</v>
      </c>
      <c r="BD3246" t="s">
        <v>65</v>
      </c>
      <c r="BE3246">
        <v>13</v>
      </c>
      <c r="BF3246">
        <v>12</v>
      </c>
      <c r="BG3246" t="s">
        <v>12192</v>
      </c>
      <c r="BH3246" t="s">
        <v>12193</v>
      </c>
      <c r="BI3246" t="s">
        <v>12194</v>
      </c>
      <c r="BJ3246">
        <v>0.22622999999999999</v>
      </c>
      <c r="BK3246">
        <v>1</v>
      </c>
      <c r="BL3246" t="s">
        <v>69</v>
      </c>
      <c r="BM3246">
        <v>-0.91900000000000004</v>
      </c>
      <c r="BN3246">
        <v>-1.425</v>
      </c>
    </row>
    <row r="3247" spans="10:66">
      <c r="J3247">
        <v>0</v>
      </c>
      <c r="K3247">
        <v>11</v>
      </c>
      <c r="L3247">
        <v>1</v>
      </c>
      <c r="M3247" t="s">
        <v>25021</v>
      </c>
      <c r="N3247">
        <v>1947</v>
      </c>
      <c r="O3247" t="s">
        <v>12195</v>
      </c>
      <c r="P3247" t="s">
        <v>57</v>
      </c>
      <c r="Q3247">
        <v>2044038</v>
      </c>
      <c r="R3247">
        <v>2044829</v>
      </c>
      <c r="S3247" t="s">
        <v>3095</v>
      </c>
      <c r="T3247">
        <v>264</v>
      </c>
      <c r="U3247" t="s">
        <v>12189</v>
      </c>
      <c r="V3247">
        <v>37</v>
      </c>
      <c r="W3247" t="str">
        <f>HYPERLINK("Gene1947-zp_tree_all.dnd", "Gene1947-tree")</f>
        <v>Gene1947-tree</v>
      </c>
      <c r="X3247">
        <v>5</v>
      </c>
      <c r="Y3247">
        <v>9</v>
      </c>
      <c r="Z3247">
        <v>5</v>
      </c>
      <c r="AA3247">
        <v>9</v>
      </c>
      <c r="AB3247">
        <v>0.64285999999999999</v>
      </c>
      <c r="AC3247" t="s">
        <v>199</v>
      </c>
      <c r="AD3247" t="s">
        <v>135</v>
      </c>
      <c r="AE3247" t="s">
        <v>62</v>
      </c>
      <c r="AF3247" t="s">
        <v>62</v>
      </c>
      <c r="AG3247">
        <v>5</v>
      </c>
      <c r="AH3247">
        <v>12</v>
      </c>
      <c r="AI3247">
        <v>12</v>
      </c>
      <c r="AJ3247">
        <v>0.5</v>
      </c>
      <c r="AK3247">
        <v>0</v>
      </c>
      <c r="AL3247">
        <v>0</v>
      </c>
      <c r="AM3247">
        <v>0</v>
      </c>
      <c r="AN3247">
        <v>2</v>
      </c>
      <c r="AO3247">
        <v>0</v>
      </c>
      <c r="AP3247">
        <v>4</v>
      </c>
      <c r="AQ3247">
        <v>0</v>
      </c>
      <c r="AR3247">
        <v>4</v>
      </c>
      <c r="AS3247">
        <v>10</v>
      </c>
      <c r="AT3247">
        <v>0.28571000000000002</v>
      </c>
      <c r="AU3247">
        <v>11</v>
      </c>
      <c r="AV3247">
        <v>8</v>
      </c>
      <c r="AW3247">
        <v>22</v>
      </c>
      <c r="AX3247">
        <v>12</v>
      </c>
      <c r="AY3247">
        <v>15</v>
      </c>
      <c r="AZ3247">
        <v>12</v>
      </c>
      <c r="BA3247" t="s">
        <v>12196</v>
      </c>
      <c r="BB3247" t="s">
        <v>12197</v>
      </c>
      <c r="BC3247">
        <v>0.65800000000000003</v>
      </c>
      <c r="BD3247" t="s">
        <v>65</v>
      </c>
      <c r="BE3247">
        <v>37</v>
      </c>
      <c r="BF3247">
        <v>24</v>
      </c>
      <c r="BG3247" t="s">
        <v>12198</v>
      </c>
      <c r="BH3247" t="s">
        <v>12199</v>
      </c>
      <c r="BI3247" t="s">
        <v>12200</v>
      </c>
      <c r="BJ3247">
        <v>0.19458</v>
      </c>
      <c r="BK3247">
        <v>1</v>
      </c>
      <c r="BL3247" t="s">
        <v>69</v>
      </c>
      <c r="BM3247">
        <v>-0.82699999999999996</v>
      </c>
      <c r="BN3247">
        <v>-1.125</v>
      </c>
    </row>
    <row r="3248" spans="10:66">
      <c r="J3248">
        <v>0</v>
      </c>
      <c r="K3248">
        <v>8</v>
      </c>
      <c r="L3248">
        <v>0</v>
      </c>
      <c r="M3248" t="s">
        <v>25021</v>
      </c>
      <c r="N3248">
        <v>1949</v>
      </c>
      <c r="O3248" t="s">
        <v>12207</v>
      </c>
      <c r="P3248" t="s">
        <v>57</v>
      </c>
      <c r="Q3248">
        <v>2045929</v>
      </c>
      <c r="R3248">
        <v>2046804</v>
      </c>
      <c r="S3248" t="s">
        <v>12208</v>
      </c>
      <c r="T3248">
        <v>292</v>
      </c>
      <c r="U3248" t="s">
        <v>1907</v>
      </c>
      <c r="V3248">
        <v>38</v>
      </c>
      <c r="W3248" t="str">
        <f>HYPERLINK("Gene1949-zp_tree_all.dnd", "Gene1949-tree")</f>
        <v>Gene1949-tree</v>
      </c>
      <c r="X3248">
        <v>4</v>
      </c>
      <c r="Y3248">
        <v>8</v>
      </c>
      <c r="Z3248">
        <v>4</v>
      </c>
      <c r="AA3248">
        <v>8</v>
      </c>
      <c r="AB3248">
        <v>0.66666999999999998</v>
      </c>
      <c r="AC3248" t="s">
        <v>61</v>
      </c>
      <c r="AD3248" t="s">
        <v>136</v>
      </c>
      <c r="AE3248" t="s">
        <v>62</v>
      </c>
      <c r="AF3248" t="s">
        <v>62</v>
      </c>
      <c r="AG3248">
        <v>4</v>
      </c>
      <c r="AH3248">
        <v>8</v>
      </c>
      <c r="AI3248">
        <v>16</v>
      </c>
      <c r="AJ3248">
        <v>0.33333000000000002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2</v>
      </c>
      <c r="AQ3248">
        <v>0</v>
      </c>
      <c r="AR3248">
        <v>2</v>
      </c>
      <c r="AS3248">
        <v>15</v>
      </c>
      <c r="AT3248">
        <v>0.11765</v>
      </c>
      <c r="AU3248">
        <v>12</v>
      </c>
      <c r="AV3248">
        <v>9</v>
      </c>
      <c r="AW3248">
        <v>25</v>
      </c>
      <c r="AX3248">
        <v>17</v>
      </c>
      <c r="AY3248">
        <v>11</v>
      </c>
      <c r="AZ3248">
        <v>7</v>
      </c>
      <c r="BA3248" t="s">
        <v>12209</v>
      </c>
      <c r="BB3248" t="s">
        <v>12210</v>
      </c>
      <c r="BC3248">
        <v>0.111</v>
      </c>
      <c r="BD3248" t="s">
        <v>65</v>
      </c>
      <c r="BE3248">
        <v>36</v>
      </c>
      <c r="BF3248">
        <v>24</v>
      </c>
      <c r="BG3248" t="s">
        <v>12211</v>
      </c>
      <c r="BH3248" t="s">
        <v>12212</v>
      </c>
      <c r="BI3248" t="s">
        <v>12213</v>
      </c>
      <c r="BJ3248">
        <v>0.1925</v>
      </c>
      <c r="BK3248">
        <v>1</v>
      </c>
      <c r="BL3248" t="s">
        <v>69</v>
      </c>
      <c r="BM3248">
        <v>-0.71899999999999997</v>
      </c>
      <c r="BN3248">
        <v>-1.363</v>
      </c>
    </row>
    <row r="3249" spans="10:66">
      <c r="J3249">
        <v>0</v>
      </c>
      <c r="K3249">
        <v>4</v>
      </c>
      <c r="L3249">
        <v>0</v>
      </c>
      <c r="M3249" t="s">
        <v>25021</v>
      </c>
      <c r="N3249">
        <v>1952</v>
      </c>
      <c r="O3249" t="s">
        <v>12228</v>
      </c>
      <c r="P3249" t="s">
        <v>57</v>
      </c>
      <c r="Q3249">
        <v>2048533</v>
      </c>
      <c r="R3249">
        <v>2049450</v>
      </c>
      <c r="S3249" t="s">
        <v>12229</v>
      </c>
      <c r="T3249">
        <v>306</v>
      </c>
      <c r="U3249" t="s">
        <v>1907</v>
      </c>
      <c r="V3249">
        <v>38</v>
      </c>
      <c r="W3249" t="str">
        <f>HYPERLINK("Gene1952-zp_tree_all.dnd", "Gene1952-tree")</f>
        <v>Gene1952-tree</v>
      </c>
      <c r="X3249">
        <v>5</v>
      </c>
      <c r="Y3249">
        <v>8</v>
      </c>
      <c r="Z3249">
        <v>5</v>
      </c>
      <c r="AA3249">
        <v>8</v>
      </c>
      <c r="AB3249">
        <v>0.61538000000000004</v>
      </c>
      <c r="AC3249" t="s">
        <v>199</v>
      </c>
      <c r="AD3249" t="s">
        <v>136</v>
      </c>
      <c r="AE3249" t="s">
        <v>62</v>
      </c>
      <c r="AF3249" t="s">
        <v>62</v>
      </c>
      <c r="AG3249">
        <v>2</v>
      </c>
      <c r="AH3249">
        <v>4</v>
      </c>
      <c r="AI3249">
        <v>18</v>
      </c>
      <c r="AJ3249">
        <v>0.18182000000000001</v>
      </c>
      <c r="AK3249">
        <v>0</v>
      </c>
      <c r="AL3249">
        <v>0</v>
      </c>
      <c r="AM3249">
        <v>0</v>
      </c>
      <c r="AN3249">
        <v>2</v>
      </c>
      <c r="AO3249">
        <v>0</v>
      </c>
      <c r="AP3249">
        <v>2</v>
      </c>
      <c r="AQ3249">
        <v>0</v>
      </c>
      <c r="AR3249">
        <v>2</v>
      </c>
      <c r="AS3249">
        <v>15</v>
      </c>
      <c r="AT3249">
        <v>0.11765</v>
      </c>
      <c r="AU3249">
        <v>9</v>
      </c>
      <c r="AV3249">
        <v>10</v>
      </c>
      <c r="AW3249">
        <v>24</v>
      </c>
      <c r="AX3249">
        <v>17</v>
      </c>
      <c r="AY3249">
        <v>15</v>
      </c>
      <c r="AZ3249">
        <v>5</v>
      </c>
      <c r="BA3249" t="s">
        <v>12230</v>
      </c>
      <c r="BB3249" t="s">
        <v>12231</v>
      </c>
      <c r="BC3249">
        <v>0.54800000000000004</v>
      </c>
      <c r="BD3249" t="s">
        <v>65</v>
      </c>
      <c r="BE3249">
        <v>39</v>
      </c>
      <c r="BF3249">
        <v>22</v>
      </c>
      <c r="BG3249" t="s">
        <v>12232</v>
      </c>
      <c r="BH3249" t="s">
        <v>12233</v>
      </c>
      <c r="BI3249" t="s">
        <v>12234</v>
      </c>
      <c r="BJ3249">
        <v>0.16952</v>
      </c>
      <c r="BK3249">
        <v>1</v>
      </c>
      <c r="BL3249" t="s">
        <v>69</v>
      </c>
      <c r="BM3249">
        <v>-1.129</v>
      </c>
      <c r="BN3249">
        <v>-2.214</v>
      </c>
    </row>
    <row r="3250" spans="10:66">
      <c r="J3250">
        <v>0</v>
      </c>
      <c r="K3250">
        <v>2</v>
      </c>
      <c r="L3250">
        <v>2</v>
      </c>
      <c r="M3250" t="s">
        <v>25021</v>
      </c>
      <c r="N3250">
        <v>1955</v>
      </c>
      <c r="O3250" t="s">
        <v>12242</v>
      </c>
      <c r="P3250" t="s">
        <v>57</v>
      </c>
      <c r="Q3250">
        <v>2050689</v>
      </c>
      <c r="R3250">
        <v>2050949</v>
      </c>
      <c r="S3250" t="s">
        <v>12243</v>
      </c>
      <c r="T3250">
        <v>87</v>
      </c>
      <c r="U3250" t="s">
        <v>12244</v>
      </c>
      <c r="V3250">
        <v>37</v>
      </c>
      <c r="W3250" t="str">
        <f>HYPERLINK("Gene1955-zp_tree_all.dnd", "Gene1955-tree")</f>
        <v>Gene1955-tree</v>
      </c>
      <c r="X3250">
        <v>0</v>
      </c>
      <c r="Y3250">
        <v>8</v>
      </c>
      <c r="Z3250">
        <v>0</v>
      </c>
      <c r="AA3250">
        <v>8</v>
      </c>
      <c r="AB3250">
        <v>1</v>
      </c>
      <c r="AC3250" t="s">
        <v>62</v>
      </c>
      <c r="AD3250" t="s">
        <v>136</v>
      </c>
      <c r="AE3250" t="s">
        <v>62</v>
      </c>
      <c r="AF3250" t="s">
        <v>62</v>
      </c>
      <c r="AG3250">
        <v>2</v>
      </c>
      <c r="AH3250">
        <v>4</v>
      </c>
      <c r="AI3250">
        <v>9</v>
      </c>
      <c r="AJ3250">
        <v>0.30769000000000002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2</v>
      </c>
      <c r="AQ3250">
        <v>2</v>
      </c>
      <c r="AR3250">
        <v>4</v>
      </c>
      <c r="AS3250">
        <v>9</v>
      </c>
      <c r="AT3250">
        <v>0.30769000000000002</v>
      </c>
      <c r="AU3250">
        <v>6</v>
      </c>
      <c r="AV3250">
        <v>3</v>
      </c>
      <c r="AW3250">
        <v>5</v>
      </c>
      <c r="AX3250">
        <v>10</v>
      </c>
      <c r="AY3250">
        <v>1</v>
      </c>
      <c r="AZ3250">
        <v>3</v>
      </c>
      <c r="BA3250" t="s">
        <v>12245</v>
      </c>
      <c r="BB3250" t="s">
        <v>12246</v>
      </c>
      <c r="BC3250">
        <v>0.215</v>
      </c>
      <c r="BD3250" t="s">
        <v>65</v>
      </c>
      <c r="BE3250">
        <v>6</v>
      </c>
      <c r="BF3250">
        <v>13</v>
      </c>
      <c r="BG3250" t="s">
        <v>12247</v>
      </c>
      <c r="BH3250" t="s">
        <v>12248</v>
      </c>
      <c r="BI3250" t="s">
        <v>12249</v>
      </c>
      <c r="BJ3250">
        <v>0.61924000000000001</v>
      </c>
      <c r="BK3250">
        <v>0.77</v>
      </c>
      <c r="BL3250" t="s">
        <v>635</v>
      </c>
      <c r="BM3250">
        <v>-0.52500000000000002</v>
      </c>
      <c r="BN3250">
        <v>0.158</v>
      </c>
    </row>
    <row r="3251" spans="10:66">
      <c r="J3251">
        <v>0</v>
      </c>
      <c r="K3251">
        <v>3</v>
      </c>
      <c r="L3251">
        <v>2</v>
      </c>
      <c r="M3251" t="s">
        <v>25021</v>
      </c>
      <c r="N3251">
        <v>1959</v>
      </c>
      <c r="O3251" t="s">
        <v>12273</v>
      </c>
      <c r="P3251" t="s">
        <v>57</v>
      </c>
      <c r="Q3251">
        <v>2056278</v>
      </c>
      <c r="R3251">
        <v>2056613</v>
      </c>
      <c r="S3251" t="s">
        <v>12274</v>
      </c>
      <c r="T3251">
        <v>112</v>
      </c>
      <c r="U3251" t="s">
        <v>12275</v>
      </c>
      <c r="V3251">
        <v>32</v>
      </c>
      <c r="W3251" t="str">
        <f>HYPERLINK("Gene1959-zp_tree_all.dnd", "Gene1959-tree")</f>
        <v>Gene1959-tree</v>
      </c>
      <c r="X3251">
        <v>2</v>
      </c>
      <c r="Y3251">
        <v>7</v>
      </c>
      <c r="Z3251">
        <v>2</v>
      </c>
      <c r="AA3251">
        <v>7</v>
      </c>
      <c r="AB3251">
        <v>0.77778000000000003</v>
      </c>
      <c r="AC3251" t="s">
        <v>81</v>
      </c>
      <c r="AD3251" t="s">
        <v>152</v>
      </c>
      <c r="AE3251" t="s">
        <v>62</v>
      </c>
      <c r="AF3251" t="s">
        <v>62</v>
      </c>
      <c r="AG3251">
        <v>2</v>
      </c>
      <c r="AH3251">
        <v>5</v>
      </c>
      <c r="AI3251">
        <v>15</v>
      </c>
      <c r="AJ3251">
        <v>0.25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2</v>
      </c>
      <c r="AQ3251">
        <v>0</v>
      </c>
      <c r="AR3251">
        <v>2</v>
      </c>
      <c r="AS3251">
        <v>10</v>
      </c>
      <c r="AT3251">
        <v>0.16667000000000001</v>
      </c>
      <c r="AU3251">
        <v>7</v>
      </c>
      <c r="AV3251">
        <v>4</v>
      </c>
      <c r="AW3251">
        <v>9</v>
      </c>
      <c r="AX3251">
        <v>8</v>
      </c>
      <c r="AY3251">
        <v>7</v>
      </c>
      <c r="AZ3251">
        <v>12</v>
      </c>
      <c r="BA3251" t="s">
        <v>12276</v>
      </c>
      <c r="BB3251" t="s">
        <v>12277</v>
      </c>
      <c r="BC3251">
        <v>0.83399999999999996</v>
      </c>
      <c r="BD3251" t="s">
        <v>65</v>
      </c>
      <c r="BE3251">
        <v>16</v>
      </c>
      <c r="BF3251">
        <v>20</v>
      </c>
      <c r="BG3251" t="s">
        <v>12278</v>
      </c>
      <c r="BH3251" t="s">
        <v>12279</v>
      </c>
      <c r="BI3251" t="s">
        <v>12280</v>
      </c>
      <c r="BJ3251">
        <v>0.36353999999999997</v>
      </c>
      <c r="BK3251">
        <v>0.99</v>
      </c>
      <c r="BL3251" t="s">
        <v>69</v>
      </c>
      <c r="BM3251">
        <v>-1.462</v>
      </c>
      <c r="BN3251">
        <v>9.6000000000000002E-2</v>
      </c>
    </row>
    <row r="3252" spans="10:66">
      <c r="J3252">
        <v>0</v>
      </c>
      <c r="K3252">
        <v>4</v>
      </c>
      <c r="L3252">
        <v>0</v>
      </c>
      <c r="M3252" t="s">
        <v>25021</v>
      </c>
      <c r="N3252">
        <v>1961</v>
      </c>
      <c r="O3252" t="s">
        <v>12289</v>
      </c>
      <c r="P3252" t="s">
        <v>57</v>
      </c>
      <c r="Q3252">
        <v>2057214</v>
      </c>
      <c r="R3252">
        <v>2057576</v>
      </c>
      <c r="S3252" t="s">
        <v>12290</v>
      </c>
      <c r="T3252">
        <v>121</v>
      </c>
      <c r="U3252" t="s">
        <v>12291</v>
      </c>
      <c r="V3252">
        <v>27</v>
      </c>
      <c r="W3252" t="str">
        <f>HYPERLINK("Gene1961-zp_tree_all.dnd", "Gene1961-tree")</f>
        <v>Gene1961-tree</v>
      </c>
      <c r="X3252">
        <v>1</v>
      </c>
      <c r="Y3252">
        <v>24</v>
      </c>
      <c r="Z3252">
        <v>1</v>
      </c>
      <c r="AA3252">
        <v>5</v>
      </c>
      <c r="AB3252">
        <v>0.83333000000000002</v>
      </c>
      <c r="AC3252" t="s">
        <v>175</v>
      </c>
      <c r="AD3252" t="s">
        <v>2668</v>
      </c>
      <c r="AE3252">
        <v>2.4790000000000001</v>
      </c>
      <c r="AF3252" t="s">
        <v>267</v>
      </c>
      <c r="AG3252">
        <v>2</v>
      </c>
      <c r="AH3252">
        <v>4</v>
      </c>
      <c r="AI3252">
        <v>10</v>
      </c>
      <c r="AJ3252">
        <v>0.28571000000000002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2</v>
      </c>
      <c r="AQ3252">
        <v>0</v>
      </c>
      <c r="AR3252">
        <v>2</v>
      </c>
      <c r="AS3252">
        <v>9</v>
      </c>
      <c r="AT3252">
        <v>0.18182000000000001</v>
      </c>
      <c r="AU3252">
        <v>5</v>
      </c>
      <c r="AV3252">
        <v>3</v>
      </c>
      <c r="AW3252">
        <v>8</v>
      </c>
      <c r="AX3252">
        <v>7</v>
      </c>
      <c r="AY3252">
        <v>5</v>
      </c>
      <c r="AZ3252">
        <v>7</v>
      </c>
      <c r="BA3252" t="s">
        <v>12292</v>
      </c>
      <c r="BB3252" t="s">
        <v>12293</v>
      </c>
      <c r="BC3252">
        <v>0.64700000000000002</v>
      </c>
      <c r="BD3252" t="s">
        <v>65</v>
      </c>
      <c r="BE3252">
        <v>13</v>
      </c>
      <c r="BF3252">
        <v>14</v>
      </c>
      <c r="BG3252" t="s">
        <v>12294</v>
      </c>
      <c r="BH3252" t="s">
        <v>12295</v>
      </c>
      <c r="BI3252" t="s">
        <v>12296</v>
      </c>
      <c r="BJ3252">
        <v>0.27445000000000003</v>
      </c>
      <c r="BK3252">
        <v>1</v>
      </c>
      <c r="BL3252" t="s">
        <v>69</v>
      </c>
      <c r="BM3252">
        <v>-0.38600000000000001</v>
      </c>
      <c r="BN3252">
        <v>0.58499999999999996</v>
      </c>
    </row>
    <row r="3253" spans="10:66">
      <c r="J3253">
        <v>0</v>
      </c>
      <c r="K3253">
        <v>2</v>
      </c>
      <c r="L3253">
        <v>0</v>
      </c>
      <c r="M3253" t="s">
        <v>25021</v>
      </c>
      <c r="N3253">
        <v>1969</v>
      </c>
      <c r="O3253" t="s">
        <v>12297</v>
      </c>
      <c r="P3253" t="s">
        <v>57</v>
      </c>
      <c r="Q3253">
        <v>2062150</v>
      </c>
      <c r="R3253">
        <v>2063262</v>
      </c>
      <c r="S3253" t="s">
        <v>1932</v>
      </c>
      <c r="T3253">
        <v>371</v>
      </c>
      <c r="U3253" t="s">
        <v>12298</v>
      </c>
      <c r="V3253">
        <v>26</v>
      </c>
      <c r="W3253" t="str">
        <f>HYPERLINK("Gene1969-zp_tree_all.dnd", "Gene1969-tree")</f>
        <v>Gene1969-tree</v>
      </c>
      <c r="X3253">
        <v>0</v>
      </c>
      <c r="Y3253">
        <v>6</v>
      </c>
      <c r="Z3253">
        <v>0</v>
      </c>
      <c r="AA3253">
        <v>6</v>
      </c>
      <c r="AB3253">
        <v>1</v>
      </c>
      <c r="AC3253" t="s">
        <v>62</v>
      </c>
      <c r="AD3253" t="s">
        <v>90</v>
      </c>
      <c r="AE3253" t="s">
        <v>62</v>
      </c>
      <c r="AF3253" t="s">
        <v>62</v>
      </c>
      <c r="AG3253">
        <v>1</v>
      </c>
      <c r="AH3253">
        <v>2</v>
      </c>
      <c r="AI3253">
        <v>14</v>
      </c>
      <c r="AJ3253">
        <v>0.125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2</v>
      </c>
      <c r="AQ3253">
        <v>0</v>
      </c>
      <c r="AR3253">
        <v>2</v>
      </c>
      <c r="AS3253">
        <v>13</v>
      </c>
      <c r="AT3253">
        <v>0.13333</v>
      </c>
      <c r="AU3253">
        <v>5</v>
      </c>
      <c r="AV3253">
        <v>2</v>
      </c>
      <c r="AW3253">
        <v>40</v>
      </c>
      <c r="AX3253">
        <v>15</v>
      </c>
      <c r="AY3253">
        <v>6</v>
      </c>
      <c r="AZ3253">
        <v>1</v>
      </c>
      <c r="BA3253" t="s">
        <v>12299</v>
      </c>
      <c r="BB3253" t="s">
        <v>12300</v>
      </c>
      <c r="BC3253">
        <v>0.629</v>
      </c>
      <c r="BD3253" t="s">
        <v>65</v>
      </c>
      <c r="BE3253">
        <v>46</v>
      </c>
      <c r="BF3253">
        <v>16</v>
      </c>
      <c r="BG3253" t="s">
        <v>12301</v>
      </c>
      <c r="BH3253" t="s">
        <v>12302</v>
      </c>
      <c r="BI3253" t="s">
        <v>12303</v>
      </c>
      <c r="BJ3253">
        <v>7.911E-2</v>
      </c>
      <c r="BK3253">
        <v>1</v>
      </c>
      <c r="BL3253" t="s">
        <v>69</v>
      </c>
      <c r="BM3253">
        <v>-2.3780000000000001</v>
      </c>
      <c r="BN3253">
        <v>-3.1909999999999998</v>
      </c>
    </row>
    <row r="3254" spans="10:66">
      <c r="J3254">
        <v>0</v>
      </c>
      <c r="K3254">
        <v>0</v>
      </c>
      <c r="L3254">
        <v>0</v>
      </c>
      <c r="M3254" t="s">
        <v>25021</v>
      </c>
      <c r="N3254">
        <v>1970</v>
      </c>
      <c r="O3254" t="s">
        <v>12304</v>
      </c>
      <c r="P3254" t="s">
        <v>57</v>
      </c>
      <c r="Q3254">
        <v>2063262</v>
      </c>
      <c r="R3254">
        <v>2063381</v>
      </c>
      <c r="S3254" t="s">
        <v>12305</v>
      </c>
      <c r="T3254">
        <v>40</v>
      </c>
      <c r="U3254" t="s">
        <v>12306</v>
      </c>
      <c r="V3254">
        <v>27</v>
      </c>
      <c r="W3254" t="str">
        <f>HYPERLINK("Gene1970-zp_tree_all.dnd", "Gene1970-tree")</f>
        <v>Gene1970-tree</v>
      </c>
      <c r="X3254">
        <v>3</v>
      </c>
      <c r="Y3254">
        <v>1</v>
      </c>
      <c r="Z3254">
        <v>3</v>
      </c>
      <c r="AA3254">
        <v>1</v>
      </c>
      <c r="AB3254">
        <v>0.25</v>
      </c>
      <c r="AC3254" t="s">
        <v>324</v>
      </c>
      <c r="AD3254" t="s">
        <v>175</v>
      </c>
      <c r="AE3254" t="s">
        <v>62</v>
      </c>
      <c r="AF3254" t="s">
        <v>62</v>
      </c>
      <c r="AG3254">
        <v>0</v>
      </c>
      <c r="AH3254">
        <v>0</v>
      </c>
      <c r="AI3254">
        <v>2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2</v>
      </c>
      <c r="AT3254">
        <v>0</v>
      </c>
      <c r="AU3254">
        <v>4</v>
      </c>
      <c r="AV3254">
        <v>1</v>
      </c>
      <c r="AW3254">
        <v>4</v>
      </c>
      <c r="AX3254">
        <v>2</v>
      </c>
      <c r="AY3254">
        <v>1</v>
      </c>
      <c r="AZ3254">
        <v>0</v>
      </c>
      <c r="BA3254" t="s">
        <v>12307</v>
      </c>
      <c r="BB3254" t="s">
        <v>193</v>
      </c>
      <c r="BC3254">
        <v>0.66700000000000004</v>
      </c>
      <c r="BD3254" t="s">
        <v>65</v>
      </c>
      <c r="BE3254">
        <v>5</v>
      </c>
      <c r="BF3254">
        <v>2</v>
      </c>
      <c r="BG3254" t="s">
        <v>12308</v>
      </c>
      <c r="BH3254" t="s">
        <v>12309</v>
      </c>
      <c r="BI3254" t="s">
        <v>12310</v>
      </c>
      <c r="BJ3254">
        <v>0.13386999999999999</v>
      </c>
      <c r="BK3254">
        <v>0.96</v>
      </c>
      <c r="BL3254" t="s">
        <v>69</v>
      </c>
      <c r="BM3254">
        <v>-1.611</v>
      </c>
      <c r="BN3254">
        <v>-1.8029999999999999</v>
      </c>
    </row>
    <row r="3255" spans="10:66">
      <c r="J3255">
        <v>0</v>
      </c>
      <c r="K3255">
        <v>27</v>
      </c>
      <c r="L3255">
        <v>1</v>
      </c>
      <c r="M3255" t="s">
        <v>25021</v>
      </c>
      <c r="N3255">
        <v>1981</v>
      </c>
      <c r="O3255" t="s">
        <v>12334</v>
      </c>
      <c r="P3255" t="s">
        <v>57</v>
      </c>
      <c r="Q3255">
        <v>2074343</v>
      </c>
      <c r="R3255">
        <v>2075776</v>
      </c>
      <c r="S3255" t="s">
        <v>12335</v>
      </c>
      <c r="T3255">
        <v>478</v>
      </c>
      <c r="U3255" t="s">
        <v>108</v>
      </c>
      <c r="V3255">
        <v>44</v>
      </c>
      <c r="W3255" t="str">
        <f>HYPERLINK("Gene1981-zp_tree_all.dnd", "Gene1981-tree")</f>
        <v>Gene1981-tree</v>
      </c>
      <c r="X3255">
        <v>3</v>
      </c>
      <c r="Y3255">
        <v>10</v>
      </c>
      <c r="Z3255">
        <v>3</v>
      </c>
      <c r="AA3255">
        <v>10</v>
      </c>
      <c r="AB3255">
        <v>0.76922999999999997</v>
      </c>
      <c r="AC3255" t="s">
        <v>324</v>
      </c>
      <c r="AD3255" t="s">
        <v>117</v>
      </c>
      <c r="AE3255" t="s">
        <v>62</v>
      </c>
      <c r="AF3255" t="s">
        <v>62</v>
      </c>
      <c r="AG3255">
        <v>10</v>
      </c>
      <c r="AH3255">
        <v>28</v>
      </c>
      <c r="AI3255">
        <v>24</v>
      </c>
      <c r="AJ3255">
        <v>0.53846000000000005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10</v>
      </c>
      <c r="AQ3255">
        <v>2</v>
      </c>
      <c r="AR3255">
        <v>12</v>
      </c>
      <c r="AS3255">
        <v>22</v>
      </c>
      <c r="AT3255">
        <v>0.35293999999999998</v>
      </c>
      <c r="AU3255">
        <v>12</v>
      </c>
      <c r="AV3255">
        <v>10</v>
      </c>
      <c r="AW3255">
        <v>44</v>
      </c>
      <c r="AX3255">
        <v>31</v>
      </c>
      <c r="AY3255">
        <v>52</v>
      </c>
      <c r="AZ3255">
        <v>22</v>
      </c>
      <c r="BA3255" t="s">
        <v>12336</v>
      </c>
      <c r="BB3255" t="s">
        <v>12337</v>
      </c>
      <c r="BC3255">
        <v>0.66500000000000004</v>
      </c>
      <c r="BD3255" t="s">
        <v>65</v>
      </c>
      <c r="BE3255">
        <v>96</v>
      </c>
      <c r="BF3255">
        <v>53</v>
      </c>
      <c r="BG3255" t="s">
        <v>12338</v>
      </c>
      <c r="BH3255" t="s">
        <v>12339</v>
      </c>
      <c r="BI3255" t="s">
        <v>12340</v>
      </c>
      <c r="BJ3255">
        <v>0.12714</v>
      </c>
      <c r="BK3255">
        <v>1</v>
      </c>
      <c r="BL3255" t="s">
        <v>69</v>
      </c>
      <c r="BM3255">
        <v>-0.46500000000000002</v>
      </c>
      <c r="BN3255">
        <v>-0.85899999999999999</v>
      </c>
    </row>
    <row r="3256" spans="10:66">
      <c r="J3256">
        <v>0</v>
      </c>
      <c r="K3256">
        <v>2</v>
      </c>
      <c r="L3256">
        <v>0</v>
      </c>
      <c r="M3256" t="s">
        <v>25021</v>
      </c>
      <c r="N3256">
        <v>1982</v>
      </c>
      <c r="O3256" t="s">
        <v>12341</v>
      </c>
      <c r="P3256" t="s">
        <v>57</v>
      </c>
      <c r="Q3256">
        <v>2076206</v>
      </c>
      <c r="R3256">
        <v>2078623</v>
      </c>
      <c r="S3256" t="s">
        <v>12342</v>
      </c>
      <c r="T3256">
        <v>806</v>
      </c>
      <c r="U3256" t="s">
        <v>12343</v>
      </c>
      <c r="V3256">
        <v>25</v>
      </c>
      <c r="W3256" t="str">
        <f>HYPERLINK("Gene1982-zp_tree_all.dnd", "Gene1982-tree")</f>
        <v>Gene1982-tree</v>
      </c>
      <c r="X3256">
        <v>1</v>
      </c>
      <c r="Y3256">
        <v>4</v>
      </c>
      <c r="Z3256">
        <v>1</v>
      </c>
      <c r="AA3256">
        <v>4</v>
      </c>
      <c r="AB3256">
        <v>0.8</v>
      </c>
      <c r="AC3256" t="s">
        <v>175</v>
      </c>
      <c r="AD3256" t="s">
        <v>61</v>
      </c>
      <c r="AE3256" t="s">
        <v>62</v>
      </c>
      <c r="AF3256" t="s">
        <v>62</v>
      </c>
      <c r="AG3256">
        <v>1</v>
      </c>
      <c r="AH3256">
        <v>2</v>
      </c>
      <c r="AI3256">
        <v>10</v>
      </c>
      <c r="AJ3256">
        <v>0.16667000000000001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2</v>
      </c>
      <c r="AQ3256">
        <v>0</v>
      </c>
      <c r="AR3256">
        <v>2</v>
      </c>
      <c r="AS3256">
        <v>9</v>
      </c>
      <c r="AT3256">
        <v>0.18182000000000001</v>
      </c>
      <c r="AU3256">
        <v>4</v>
      </c>
      <c r="AV3256">
        <v>2</v>
      </c>
      <c r="AW3256">
        <v>15</v>
      </c>
      <c r="AX3256">
        <v>11</v>
      </c>
      <c r="AY3256">
        <v>5</v>
      </c>
      <c r="AZ3256">
        <v>1</v>
      </c>
      <c r="BA3256" t="s">
        <v>12344</v>
      </c>
      <c r="BB3256" t="s">
        <v>12345</v>
      </c>
      <c r="BC3256">
        <v>0.8</v>
      </c>
      <c r="BD3256" t="s">
        <v>65</v>
      </c>
      <c r="BE3256">
        <v>20</v>
      </c>
      <c r="BF3256">
        <v>12</v>
      </c>
      <c r="BG3256" t="s">
        <v>12346</v>
      </c>
      <c r="BH3256" t="s">
        <v>12347</v>
      </c>
      <c r="BI3256" t="s">
        <v>12348</v>
      </c>
      <c r="BJ3256">
        <v>0.17237</v>
      </c>
      <c r="BK3256">
        <v>1</v>
      </c>
      <c r="BL3256" t="s">
        <v>69</v>
      </c>
      <c r="BM3256">
        <v>-2.274</v>
      </c>
      <c r="BN3256">
        <v>-3.016</v>
      </c>
    </row>
    <row r="3257" spans="10:66">
      <c r="J3257">
        <v>0</v>
      </c>
      <c r="K3257">
        <v>14</v>
      </c>
      <c r="L3257">
        <v>0</v>
      </c>
      <c r="M3257" t="s">
        <v>25021</v>
      </c>
      <c r="N3257">
        <v>1990</v>
      </c>
      <c r="O3257" t="s">
        <v>12393</v>
      </c>
      <c r="P3257" t="s">
        <v>57</v>
      </c>
      <c r="Q3257">
        <v>2084214</v>
      </c>
      <c r="R3257">
        <v>2084756</v>
      </c>
      <c r="S3257" t="s">
        <v>12394</v>
      </c>
      <c r="T3257">
        <v>181</v>
      </c>
      <c r="U3257" t="s">
        <v>108</v>
      </c>
      <c r="V3257">
        <v>44</v>
      </c>
      <c r="W3257" t="str">
        <f>HYPERLINK("Gene1990-zp_tree_all.dnd", "Gene1990-tree")</f>
        <v>Gene1990-tree</v>
      </c>
      <c r="X3257">
        <v>3</v>
      </c>
      <c r="Y3257">
        <v>10</v>
      </c>
      <c r="Z3257">
        <v>3</v>
      </c>
      <c r="AA3257">
        <v>10</v>
      </c>
      <c r="AB3257">
        <v>0.76922999999999997</v>
      </c>
      <c r="AC3257" t="s">
        <v>324</v>
      </c>
      <c r="AD3257" t="s">
        <v>117</v>
      </c>
      <c r="AE3257" t="s">
        <v>62</v>
      </c>
      <c r="AF3257" t="s">
        <v>62</v>
      </c>
      <c r="AG3257">
        <v>4</v>
      </c>
      <c r="AH3257">
        <v>14</v>
      </c>
      <c r="AI3257">
        <v>10</v>
      </c>
      <c r="AJ3257">
        <v>0.58333000000000002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9</v>
      </c>
      <c r="AQ3257">
        <v>1</v>
      </c>
      <c r="AR3257">
        <v>10</v>
      </c>
      <c r="AS3257">
        <v>7</v>
      </c>
      <c r="AT3257">
        <v>0.58823999999999999</v>
      </c>
      <c r="AU3257">
        <v>9</v>
      </c>
      <c r="AV3257">
        <v>9</v>
      </c>
      <c r="AW3257">
        <v>9</v>
      </c>
      <c r="AX3257">
        <v>14</v>
      </c>
      <c r="AY3257">
        <v>13</v>
      </c>
      <c r="AZ3257">
        <v>10</v>
      </c>
      <c r="BA3257" t="s">
        <v>12395</v>
      </c>
      <c r="BB3257" t="s">
        <v>12396</v>
      </c>
      <c r="BC3257">
        <v>0.63100000000000001</v>
      </c>
      <c r="BD3257" t="s">
        <v>65</v>
      </c>
      <c r="BE3257">
        <v>22</v>
      </c>
      <c r="BF3257">
        <v>24</v>
      </c>
      <c r="BG3257" t="s">
        <v>12397</v>
      </c>
      <c r="BH3257" t="s">
        <v>12398</v>
      </c>
      <c r="BI3257" t="s">
        <v>12399</v>
      </c>
      <c r="BJ3257">
        <v>0.19170000000000001</v>
      </c>
      <c r="BK3257">
        <v>0.99</v>
      </c>
      <c r="BL3257" t="s">
        <v>69</v>
      </c>
      <c r="BM3257">
        <v>0.66500000000000004</v>
      </c>
      <c r="BN3257">
        <v>0.18</v>
      </c>
    </row>
    <row r="3258" spans="10:66">
      <c r="J3258">
        <v>0</v>
      </c>
      <c r="K3258">
        <v>0</v>
      </c>
      <c r="L3258">
        <v>2</v>
      </c>
      <c r="M3258" t="s">
        <v>25021</v>
      </c>
      <c r="N3258">
        <v>1992</v>
      </c>
      <c r="O3258" t="s">
        <v>12404</v>
      </c>
      <c r="P3258" t="s">
        <v>57</v>
      </c>
      <c r="Q3258">
        <v>2085303</v>
      </c>
      <c r="R3258">
        <v>2085977</v>
      </c>
      <c r="S3258" t="s">
        <v>12405</v>
      </c>
      <c r="T3258">
        <v>225</v>
      </c>
      <c r="U3258" t="s">
        <v>96</v>
      </c>
      <c r="V3258">
        <v>48</v>
      </c>
      <c r="W3258" t="str">
        <f>HYPERLINK("Gene1992-zp_tree_all.dnd", "Gene1992-tree")</f>
        <v>Gene1992-tree</v>
      </c>
      <c r="X3258">
        <v>9</v>
      </c>
      <c r="Y3258">
        <v>6</v>
      </c>
      <c r="Z3258">
        <v>9</v>
      </c>
      <c r="AA3258">
        <v>6</v>
      </c>
      <c r="AB3258">
        <v>0.4</v>
      </c>
      <c r="AC3258" t="s">
        <v>135</v>
      </c>
      <c r="AD3258" t="s">
        <v>90</v>
      </c>
      <c r="AE3258" t="s">
        <v>62</v>
      </c>
      <c r="AF3258" t="s">
        <v>62</v>
      </c>
      <c r="AG3258">
        <v>1</v>
      </c>
      <c r="AH3258">
        <v>2</v>
      </c>
      <c r="AI3258">
        <v>15</v>
      </c>
      <c r="AJ3258">
        <v>0.11765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10</v>
      </c>
      <c r="AT3258">
        <v>0</v>
      </c>
      <c r="AU3258">
        <v>11</v>
      </c>
      <c r="AV3258">
        <v>7</v>
      </c>
      <c r="AW3258">
        <v>14</v>
      </c>
      <c r="AX3258">
        <v>11</v>
      </c>
      <c r="AY3258">
        <v>23</v>
      </c>
      <c r="AZ3258">
        <v>8</v>
      </c>
      <c r="BA3258" t="s">
        <v>12406</v>
      </c>
      <c r="BB3258" t="s">
        <v>12407</v>
      </c>
      <c r="BC3258">
        <v>0.64</v>
      </c>
      <c r="BD3258" t="s">
        <v>65</v>
      </c>
      <c r="BE3258">
        <v>37</v>
      </c>
      <c r="BF3258">
        <v>19</v>
      </c>
      <c r="BG3258" t="s">
        <v>12408</v>
      </c>
      <c r="BH3258" t="s">
        <v>12409</v>
      </c>
      <c r="BI3258" t="s">
        <v>12410</v>
      </c>
      <c r="BJ3258">
        <v>0.1338</v>
      </c>
      <c r="BK3258">
        <v>1</v>
      </c>
      <c r="BL3258" t="s">
        <v>69</v>
      </c>
      <c r="BM3258">
        <v>-1.7509999999999999</v>
      </c>
      <c r="BN3258">
        <v>-1.4079999999999999</v>
      </c>
    </row>
    <row r="3259" spans="10:66">
      <c r="J3259">
        <v>0</v>
      </c>
      <c r="K3259">
        <v>2</v>
      </c>
      <c r="L3259">
        <v>0</v>
      </c>
      <c r="M3259" t="s">
        <v>25021</v>
      </c>
      <c r="N3259">
        <v>1995</v>
      </c>
      <c r="O3259" t="s">
        <v>12422</v>
      </c>
      <c r="P3259" t="s">
        <v>57</v>
      </c>
      <c r="Q3259">
        <v>2087696</v>
      </c>
      <c r="R3259">
        <v>2088190</v>
      </c>
      <c r="S3259" t="s">
        <v>116</v>
      </c>
      <c r="T3259">
        <v>165</v>
      </c>
      <c r="U3259" t="s">
        <v>108</v>
      </c>
      <c r="V3259">
        <v>44</v>
      </c>
      <c r="W3259" t="str">
        <f>HYPERLINK("Gene1995-zp_tree_all.dnd", "Gene1995-tree")</f>
        <v>Gene1995-tree</v>
      </c>
      <c r="X3259">
        <v>10</v>
      </c>
      <c r="Y3259">
        <v>22</v>
      </c>
      <c r="Z3259">
        <v>10</v>
      </c>
      <c r="AA3259">
        <v>4</v>
      </c>
      <c r="AB3259">
        <v>0.28571000000000002</v>
      </c>
      <c r="AC3259" t="s">
        <v>117</v>
      </c>
      <c r="AD3259" t="s">
        <v>2634</v>
      </c>
      <c r="AE3259">
        <v>5.4459999999999997</v>
      </c>
      <c r="AF3259" t="s">
        <v>65</v>
      </c>
      <c r="AG3259">
        <v>1</v>
      </c>
      <c r="AH3259">
        <v>2</v>
      </c>
      <c r="AI3259">
        <v>8</v>
      </c>
      <c r="AJ3259">
        <v>0.2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5</v>
      </c>
      <c r="AT3259">
        <v>0</v>
      </c>
      <c r="AU3259">
        <v>11</v>
      </c>
      <c r="AV3259">
        <v>8</v>
      </c>
      <c r="AW3259">
        <v>16</v>
      </c>
      <c r="AX3259">
        <v>5</v>
      </c>
      <c r="AY3259">
        <v>14</v>
      </c>
      <c r="AZ3259">
        <v>5</v>
      </c>
      <c r="BA3259" t="s">
        <v>12423</v>
      </c>
      <c r="BB3259" t="s">
        <v>12424</v>
      </c>
      <c r="BC3259">
        <v>0.107</v>
      </c>
      <c r="BD3259" t="s">
        <v>65</v>
      </c>
      <c r="BE3259">
        <v>30</v>
      </c>
      <c r="BF3259">
        <v>10</v>
      </c>
      <c r="BG3259" t="s">
        <v>12425</v>
      </c>
      <c r="BH3259" t="s">
        <v>12426</v>
      </c>
      <c r="BI3259" t="s">
        <v>12427</v>
      </c>
      <c r="BJ3259">
        <v>8.7359999999999993E-2</v>
      </c>
      <c r="BK3259">
        <v>1</v>
      </c>
      <c r="BL3259" t="s">
        <v>69</v>
      </c>
      <c r="BM3259">
        <v>2E-3</v>
      </c>
      <c r="BN3259">
        <v>0.48</v>
      </c>
    </row>
    <row r="3260" spans="10:66">
      <c r="J3260">
        <v>0</v>
      </c>
      <c r="K3260">
        <v>10</v>
      </c>
      <c r="L3260">
        <v>0</v>
      </c>
      <c r="M3260" t="s">
        <v>25021</v>
      </c>
      <c r="N3260">
        <v>1996</v>
      </c>
      <c r="O3260" t="s">
        <v>12428</v>
      </c>
      <c r="P3260" t="s">
        <v>57</v>
      </c>
      <c r="Q3260">
        <v>2088257</v>
      </c>
      <c r="R3260">
        <v>2089231</v>
      </c>
      <c r="S3260" t="s">
        <v>12429</v>
      </c>
      <c r="T3260">
        <v>325</v>
      </c>
      <c r="U3260" t="s">
        <v>108</v>
      </c>
      <c r="V3260">
        <v>44</v>
      </c>
      <c r="W3260" t="str">
        <f>HYPERLINK("Gene1996-zp_tree_all.dnd", "Gene1996-tree")</f>
        <v>Gene1996-tree</v>
      </c>
      <c r="X3260">
        <v>3</v>
      </c>
      <c r="Y3260">
        <v>11</v>
      </c>
      <c r="Z3260">
        <v>3</v>
      </c>
      <c r="AA3260">
        <v>11</v>
      </c>
      <c r="AB3260">
        <v>0.78571000000000002</v>
      </c>
      <c r="AC3260" t="s">
        <v>324</v>
      </c>
      <c r="AD3260" t="s">
        <v>73</v>
      </c>
      <c r="AE3260">
        <v>305230034.74400002</v>
      </c>
      <c r="AF3260" t="s">
        <v>267</v>
      </c>
      <c r="AG3260">
        <v>4</v>
      </c>
      <c r="AH3260">
        <v>10</v>
      </c>
      <c r="AI3260">
        <v>16</v>
      </c>
      <c r="AJ3260">
        <v>0.38462000000000002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8</v>
      </c>
      <c r="AQ3260">
        <v>0</v>
      </c>
      <c r="AR3260">
        <v>8</v>
      </c>
      <c r="AS3260">
        <v>10</v>
      </c>
      <c r="AT3260">
        <v>0.44444</v>
      </c>
      <c r="AU3260">
        <v>12</v>
      </c>
      <c r="AV3260">
        <v>9</v>
      </c>
      <c r="AW3260">
        <v>27</v>
      </c>
      <c r="AX3260">
        <v>15</v>
      </c>
      <c r="AY3260">
        <v>31</v>
      </c>
      <c r="AZ3260">
        <v>14</v>
      </c>
      <c r="BA3260" t="s">
        <v>12430</v>
      </c>
      <c r="BB3260" t="s">
        <v>12431</v>
      </c>
      <c r="BC3260">
        <v>0.33500000000000002</v>
      </c>
      <c r="BD3260" t="s">
        <v>65</v>
      </c>
      <c r="BE3260">
        <v>58</v>
      </c>
      <c r="BF3260">
        <v>29</v>
      </c>
      <c r="BG3260" t="s">
        <v>12432</v>
      </c>
      <c r="BH3260" t="s">
        <v>12433</v>
      </c>
      <c r="BI3260" t="s">
        <v>12434</v>
      </c>
      <c r="BJ3260">
        <v>0.13771</v>
      </c>
      <c r="BK3260">
        <v>1</v>
      </c>
      <c r="BL3260" t="s">
        <v>69</v>
      </c>
      <c r="BM3260">
        <v>0.5</v>
      </c>
      <c r="BN3260">
        <v>0.17499999999999999</v>
      </c>
    </row>
    <row r="3261" spans="10:66">
      <c r="J3261">
        <v>0</v>
      </c>
      <c r="K3261">
        <v>2</v>
      </c>
      <c r="L3261">
        <v>0</v>
      </c>
      <c r="M3261" t="s">
        <v>25021</v>
      </c>
      <c r="N3261">
        <v>1997</v>
      </c>
      <c r="O3261" t="s">
        <v>12435</v>
      </c>
      <c r="P3261" t="s">
        <v>57</v>
      </c>
      <c r="Q3261">
        <v>2089396</v>
      </c>
      <c r="R3261">
        <v>2090451</v>
      </c>
      <c r="S3261" t="s">
        <v>12436</v>
      </c>
      <c r="T3261">
        <v>352</v>
      </c>
      <c r="U3261" t="s">
        <v>108</v>
      </c>
      <c r="V3261">
        <v>44</v>
      </c>
      <c r="W3261" t="str">
        <f>HYPERLINK("Gene1997-zp_tree_all.dnd", "Gene1997-tree")</f>
        <v>Gene1997-tree</v>
      </c>
      <c r="X3261">
        <v>11</v>
      </c>
      <c r="Y3261">
        <v>4</v>
      </c>
      <c r="Z3261">
        <v>11</v>
      </c>
      <c r="AA3261">
        <v>4</v>
      </c>
      <c r="AB3261">
        <v>0.26667000000000002</v>
      </c>
      <c r="AC3261" t="s">
        <v>73</v>
      </c>
      <c r="AD3261" t="s">
        <v>61</v>
      </c>
      <c r="AE3261" t="s">
        <v>62</v>
      </c>
      <c r="AF3261" t="s">
        <v>62</v>
      </c>
      <c r="AG3261">
        <v>1</v>
      </c>
      <c r="AH3261">
        <v>2</v>
      </c>
      <c r="AI3261">
        <v>3</v>
      </c>
      <c r="AJ3261">
        <v>0.4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2</v>
      </c>
      <c r="AQ3261">
        <v>0</v>
      </c>
      <c r="AR3261">
        <v>2</v>
      </c>
      <c r="AS3261">
        <v>2</v>
      </c>
      <c r="AT3261">
        <v>0.5</v>
      </c>
      <c r="AU3261">
        <v>13</v>
      </c>
      <c r="AV3261">
        <v>8</v>
      </c>
      <c r="AW3261">
        <v>26</v>
      </c>
      <c r="AX3261">
        <v>4</v>
      </c>
      <c r="AY3261">
        <v>14</v>
      </c>
      <c r="AZ3261">
        <v>1</v>
      </c>
      <c r="BA3261" t="s">
        <v>12437</v>
      </c>
      <c r="BB3261" t="s">
        <v>12438</v>
      </c>
      <c r="BC3261">
        <v>0.376</v>
      </c>
      <c r="BD3261" t="s">
        <v>65</v>
      </c>
      <c r="BE3261">
        <v>40</v>
      </c>
      <c r="BF3261">
        <v>5</v>
      </c>
      <c r="BG3261" t="s">
        <v>12439</v>
      </c>
      <c r="BH3261" t="s">
        <v>12440</v>
      </c>
      <c r="BI3261" t="s">
        <v>5488</v>
      </c>
      <c r="BJ3261">
        <v>3.415E-2</v>
      </c>
      <c r="BK3261">
        <v>1</v>
      </c>
      <c r="BL3261" t="s">
        <v>69</v>
      </c>
      <c r="BM3261">
        <v>-1.012</v>
      </c>
      <c r="BN3261">
        <v>-0.52900000000000003</v>
      </c>
    </row>
    <row r="3262" spans="10:66">
      <c r="J3262">
        <v>0</v>
      </c>
      <c r="K3262">
        <v>4</v>
      </c>
      <c r="L3262">
        <v>0</v>
      </c>
      <c r="M3262" t="s">
        <v>25021</v>
      </c>
      <c r="N3262">
        <v>1998</v>
      </c>
      <c r="O3262" t="s">
        <v>12441</v>
      </c>
      <c r="P3262" t="s">
        <v>57</v>
      </c>
      <c r="Q3262">
        <v>2090574</v>
      </c>
      <c r="R3262">
        <v>2091683</v>
      </c>
      <c r="S3262" t="s">
        <v>12442</v>
      </c>
      <c r="T3262">
        <v>370</v>
      </c>
      <c r="U3262" t="s">
        <v>108</v>
      </c>
      <c r="V3262">
        <v>44</v>
      </c>
      <c r="W3262" t="str">
        <f>HYPERLINK("Gene1998-zp_tree_all.dnd", "Gene1998-tree")</f>
        <v>Gene1998-tree</v>
      </c>
      <c r="X3262">
        <v>10</v>
      </c>
      <c r="Y3262">
        <v>3</v>
      </c>
      <c r="Z3262">
        <v>10</v>
      </c>
      <c r="AA3262">
        <v>3</v>
      </c>
      <c r="AB3262">
        <v>0.23077</v>
      </c>
      <c r="AC3262" t="s">
        <v>117</v>
      </c>
      <c r="AD3262" t="s">
        <v>324</v>
      </c>
      <c r="AE3262" t="s">
        <v>62</v>
      </c>
      <c r="AF3262" t="s">
        <v>62</v>
      </c>
      <c r="AG3262">
        <v>2</v>
      </c>
      <c r="AH3262">
        <v>4</v>
      </c>
      <c r="AI3262">
        <v>6</v>
      </c>
      <c r="AJ3262">
        <v>0.4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4</v>
      </c>
      <c r="AT3262">
        <v>0</v>
      </c>
      <c r="AU3262">
        <v>12</v>
      </c>
      <c r="AV3262">
        <v>9</v>
      </c>
      <c r="AW3262">
        <v>36</v>
      </c>
      <c r="AX3262">
        <v>4</v>
      </c>
      <c r="AY3262">
        <v>23</v>
      </c>
      <c r="AZ3262">
        <v>6</v>
      </c>
      <c r="BA3262" t="s">
        <v>12443</v>
      </c>
      <c r="BB3262" t="s">
        <v>12444</v>
      </c>
      <c r="BC3262">
        <v>0.63100000000000001</v>
      </c>
      <c r="BD3262" t="s">
        <v>65</v>
      </c>
      <c r="BE3262">
        <v>59</v>
      </c>
      <c r="BF3262">
        <v>10</v>
      </c>
      <c r="BG3262" t="s">
        <v>12445</v>
      </c>
      <c r="BH3262" t="s">
        <v>12446</v>
      </c>
      <c r="BI3262" t="s">
        <v>12447</v>
      </c>
      <c r="BJ3262">
        <v>5.5739999999999998E-2</v>
      </c>
      <c r="BK3262">
        <v>1</v>
      </c>
      <c r="BL3262" t="s">
        <v>69</v>
      </c>
      <c r="BM3262">
        <v>-8.3000000000000004E-2</v>
      </c>
      <c r="BN3262">
        <v>-0.91900000000000004</v>
      </c>
    </row>
    <row r="3263" spans="10:66">
      <c r="J3263">
        <v>0</v>
      </c>
      <c r="K3263">
        <v>0</v>
      </c>
      <c r="L3263">
        <v>0</v>
      </c>
      <c r="M3263" t="s">
        <v>25021</v>
      </c>
      <c r="N3263">
        <v>1999</v>
      </c>
      <c r="O3263" t="s">
        <v>12448</v>
      </c>
      <c r="P3263" t="s">
        <v>57</v>
      </c>
      <c r="Q3263">
        <v>2091705</v>
      </c>
      <c r="R3263">
        <v>2092301</v>
      </c>
      <c r="S3263" t="s">
        <v>12449</v>
      </c>
      <c r="T3263">
        <v>199</v>
      </c>
      <c r="U3263" t="s">
        <v>160</v>
      </c>
      <c r="V3263">
        <v>45</v>
      </c>
      <c r="W3263" t="str">
        <f>HYPERLINK("Gene1999-zp_tree_all.dnd", "Gene1999-tree")</f>
        <v>Gene1999-tree</v>
      </c>
      <c r="X3263">
        <v>8</v>
      </c>
      <c r="Y3263">
        <v>3</v>
      </c>
      <c r="Z3263">
        <v>8</v>
      </c>
      <c r="AA3263">
        <v>3</v>
      </c>
      <c r="AB3263">
        <v>0.27272999999999997</v>
      </c>
      <c r="AC3263" t="s">
        <v>136</v>
      </c>
      <c r="AD3263" t="s">
        <v>324</v>
      </c>
      <c r="AE3263" t="s">
        <v>62</v>
      </c>
      <c r="AF3263" t="s">
        <v>62</v>
      </c>
      <c r="AG3263">
        <v>0</v>
      </c>
      <c r="AH3263">
        <v>0</v>
      </c>
      <c r="AI3263">
        <v>7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7</v>
      </c>
      <c r="AT3263">
        <v>0</v>
      </c>
      <c r="AU3263">
        <v>10</v>
      </c>
      <c r="AV3263">
        <v>4</v>
      </c>
      <c r="AW3263">
        <v>37</v>
      </c>
      <c r="AX3263">
        <v>7</v>
      </c>
      <c r="AY3263">
        <v>5</v>
      </c>
      <c r="AZ3263">
        <v>0</v>
      </c>
      <c r="BA3263" t="s">
        <v>12450</v>
      </c>
      <c r="BB3263" t="s">
        <v>193</v>
      </c>
      <c r="BC3263">
        <v>0.434</v>
      </c>
      <c r="BD3263" t="s">
        <v>65</v>
      </c>
      <c r="BE3263">
        <v>42</v>
      </c>
      <c r="BF3263">
        <v>7</v>
      </c>
      <c r="BG3263" t="s">
        <v>12451</v>
      </c>
      <c r="BH3263" t="s">
        <v>12452</v>
      </c>
      <c r="BI3263" t="s">
        <v>12453</v>
      </c>
      <c r="BJ3263">
        <v>4.3810000000000002E-2</v>
      </c>
      <c r="BK3263">
        <v>1</v>
      </c>
      <c r="BL3263" t="s">
        <v>69</v>
      </c>
      <c r="BM3263">
        <v>-1.8640000000000001</v>
      </c>
      <c r="BN3263">
        <v>-4.4139999999999997</v>
      </c>
    </row>
    <row r="3264" spans="10:66">
      <c r="J3264">
        <v>0</v>
      </c>
      <c r="K3264">
        <v>0</v>
      </c>
      <c r="L3264">
        <v>0</v>
      </c>
      <c r="M3264" t="s">
        <v>25021</v>
      </c>
      <c r="N3264">
        <v>2005</v>
      </c>
      <c r="O3264" t="s">
        <v>12487</v>
      </c>
      <c r="P3264" t="s">
        <v>57</v>
      </c>
      <c r="Q3264">
        <v>2098102</v>
      </c>
      <c r="R3264">
        <v>2098326</v>
      </c>
      <c r="S3264" t="s">
        <v>116</v>
      </c>
      <c r="T3264">
        <v>75</v>
      </c>
      <c r="U3264" t="s">
        <v>108</v>
      </c>
      <c r="V3264">
        <v>44</v>
      </c>
      <c r="W3264" t="str">
        <f>HYPERLINK("Gene2005-zp_tree_all.dnd", "Gene2005-tree")</f>
        <v>Gene2005-tree</v>
      </c>
      <c r="X3264">
        <v>2</v>
      </c>
      <c r="Y3264">
        <v>4</v>
      </c>
      <c r="Z3264">
        <v>2</v>
      </c>
      <c r="AA3264">
        <v>4</v>
      </c>
      <c r="AB3264">
        <v>0.66666999999999998</v>
      </c>
      <c r="AC3264" t="s">
        <v>81</v>
      </c>
      <c r="AD3264" t="s">
        <v>61</v>
      </c>
      <c r="AE3264" t="s">
        <v>62</v>
      </c>
      <c r="AF3264" t="s">
        <v>62</v>
      </c>
      <c r="AG3264">
        <v>0</v>
      </c>
      <c r="AH3264">
        <v>0</v>
      </c>
      <c r="AI3264">
        <v>5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5</v>
      </c>
      <c r="AT3264">
        <v>0</v>
      </c>
      <c r="AU3264">
        <v>4</v>
      </c>
      <c r="AV3264">
        <v>1</v>
      </c>
      <c r="AW3264">
        <v>3</v>
      </c>
      <c r="AX3264">
        <v>4</v>
      </c>
      <c r="AY3264">
        <v>0</v>
      </c>
      <c r="AZ3264">
        <v>1</v>
      </c>
      <c r="BA3264" t="s">
        <v>12488</v>
      </c>
      <c r="BB3264" t="s">
        <v>193</v>
      </c>
      <c r="BC3264">
        <v>2.3940000000000001</v>
      </c>
      <c r="BD3264" t="s">
        <v>267</v>
      </c>
      <c r="BE3264">
        <v>3</v>
      </c>
      <c r="BF3264">
        <v>5</v>
      </c>
      <c r="BG3264" t="s">
        <v>12489</v>
      </c>
      <c r="BH3264" t="s">
        <v>12490</v>
      </c>
      <c r="BI3264" t="s">
        <v>12491</v>
      </c>
      <c r="BJ3264">
        <v>0.60702999999999996</v>
      </c>
      <c r="BK3264">
        <v>0.64700000000000002</v>
      </c>
      <c r="BL3264" t="s">
        <v>635</v>
      </c>
      <c r="BM3264">
        <v>1.4219999999999999</v>
      </c>
      <c r="BN3264">
        <v>-0.26800000000000002</v>
      </c>
    </row>
    <row r="3265" spans="10:66">
      <c r="J3265">
        <v>0</v>
      </c>
      <c r="K3265">
        <v>0</v>
      </c>
      <c r="L3265">
        <v>0</v>
      </c>
      <c r="M3265" t="s">
        <v>25021</v>
      </c>
      <c r="N3265">
        <v>2008</v>
      </c>
      <c r="O3265" t="s">
        <v>12498</v>
      </c>
      <c r="P3265" t="s">
        <v>57</v>
      </c>
      <c r="Q3265">
        <v>2099127</v>
      </c>
      <c r="R3265">
        <v>2099357</v>
      </c>
      <c r="S3265" t="s">
        <v>12499</v>
      </c>
      <c r="T3265">
        <v>77</v>
      </c>
      <c r="U3265" t="s">
        <v>108</v>
      </c>
      <c r="V3265">
        <v>44</v>
      </c>
      <c r="W3265" t="str">
        <f>HYPERLINK("Gene2008-zp_tree_all.dnd", "Gene2008-tree")</f>
        <v>Gene2008-tree</v>
      </c>
      <c r="X3265">
        <v>7</v>
      </c>
      <c r="Y3265">
        <v>0</v>
      </c>
      <c r="Z3265">
        <v>7</v>
      </c>
      <c r="AA3265">
        <v>0</v>
      </c>
      <c r="AB3265">
        <v>0</v>
      </c>
      <c r="AC3265" t="s">
        <v>152</v>
      </c>
      <c r="AD3265" t="s">
        <v>62</v>
      </c>
      <c r="AE3265" t="s">
        <v>62</v>
      </c>
      <c r="AF3265" t="s">
        <v>62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5</v>
      </c>
      <c r="AV3265">
        <v>2</v>
      </c>
      <c r="AW3265">
        <v>5</v>
      </c>
      <c r="AX3265">
        <v>0</v>
      </c>
      <c r="AY3265">
        <v>4</v>
      </c>
      <c r="AZ3265">
        <v>0</v>
      </c>
      <c r="BA3265" t="s">
        <v>193</v>
      </c>
      <c r="BB3265" t="s">
        <v>193</v>
      </c>
      <c r="BC3265">
        <v>0</v>
      </c>
      <c r="BD3265" t="s">
        <v>65</v>
      </c>
      <c r="BE3265">
        <v>9</v>
      </c>
      <c r="BF3265">
        <v>0</v>
      </c>
      <c r="BG3265" t="s">
        <v>12500</v>
      </c>
      <c r="BH3265" t="s">
        <v>12501</v>
      </c>
      <c r="BI3265" t="s">
        <v>193</v>
      </c>
      <c r="BJ3265">
        <v>0</v>
      </c>
      <c r="BK3265">
        <v>1</v>
      </c>
      <c r="BL3265" t="s">
        <v>69</v>
      </c>
      <c r="BM3265">
        <v>1.8029999999999999</v>
      </c>
      <c r="BN3265">
        <v>-8.2000000000000003E-2</v>
      </c>
    </row>
    <row r="3266" spans="10:66">
      <c r="J3266">
        <v>0</v>
      </c>
      <c r="K3266">
        <v>4</v>
      </c>
      <c r="L3266">
        <v>0</v>
      </c>
      <c r="M3266" t="s">
        <v>25021</v>
      </c>
      <c r="N3266">
        <v>2011</v>
      </c>
      <c r="O3266" t="s">
        <v>12506</v>
      </c>
      <c r="P3266" t="s">
        <v>57</v>
      </c>
      <c r="Q3266">
        <v>2100580</v>
      </c>
      <c r="R3266">
        <v>2102064</v>
      </c>
      <c r="S3266" t="s">
        <v>12507</v>
      </c>
      <c r="T3266">
        <v>495</v>
      </c>
      <c r="U3266" t="s">
        <v>108</v>
      </c>
      <c r="V3266">
        <v>44</v>
      </c>
      <c r="W3266" t="str">
        <f>HYPERLINK("Gene2011-zp_tree_all.dnd", "Gene2011-tree")</f>
        <v>Gene2011-tree</v>
      </c>
      <c r="X3266">
        <v>8</v>
      </c>
      <c r="Y3266">
        <v>9</v>
      </c>
      <c r="Z3266">
        <v>8</v>
      </c>
      <c r="AA3266">
        <v>9</v>
      </c>
      <c r="AB3266">
        <v>0.52941000000000005</v>
      </c>
      <c r="AC3266" t="s">
        <v>136</v>
      </c>
      <c r="AD3266" t="s">
        <v>135</v>
      </c>
      <c r="AE3266" t="s">
        <v>62</v>
      </c>
      <c r="AF3266" t="s">
        <v>62</v>
      </c>
      <c r="AG3266">
        <v>2</v>
      </c>
      <c r="AH3266">
        <v>4</v>
      </c>
      <c r="AI3266">
        <v>6</v>
      </c>
      <c r="AJ3266">
        <v>0.4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4</v>
      </c>
      <c r="AQ3266">
        <v>0</v>
      </c>
      <c r="AR3266">
        <v>4</v>
      </c>
      <c r="AS3266">
        <v>5</v>
      </c>
      <c r="AT3266">
        <v>0.44444</v>
      </c>
      <c r="AU3266">
        <v>14</v>
      </c>
      <c r="AV3266">
        <v>12</v>
      </c>
      <c r="AW3266">
        <v>46</v>
      </c>
      <c r="AX3266">
        <v>8</v>
      </c>
      <c r="AY3266">
        <v>23</v>
      </c>
      <c r="AZ3266">
        <v>2</v>
      </c>
      <c r="BA3266" t="s">
        <v>12508</v>
      </c>
      <c r="BB3266" t="s">
        <v>12509</v>
      </c>
      <c r="BC3266">
        <v>0.51800000000000002</v>
      </c>
      <c r="BD3266" t="s">
        <v>65</v>
      </c>
      <c r="BE3266">
        <v>69</v>
      </c>
      <c r="BF3266">
        <v>10</v>
      </c>
      <c r="BG3266" t="s">
        <v>12510</v>
      </c>
      <c r="BH3266" t="s">
        <v>12511</v>
      </c>
      <c r="BI3266" t="s">
        <v>12512</v>
      </c>
      <c r="BJ3266">
        <v>3.8170000000000003E-2</v>
      </c>
      <c r="BK3266">
        <v>1</v>
      </c>
      <c r="BL3266" t="s">
        <v>69</v>
      </c>
      <c r="BM3266">
        <v>-1.2190000000000001</v>
      </c>
      <c r="BN3266">
        <v>-2.0859999999999999</v>
      </c>
    </row>
    <row r="3267" spans="10:66">
      <c r="J3267">
        <v>0</v>
      </c>
      <c r="K3267">
        <v>21</v>
      </c>
      <c r="L3267">
        <v>2</v>
      </c>
      <c r="M3267" t="s">
        <v>25021</v>
      </c>
      <c r="N3267">
        <v>2012</v>
      </c>
      <c r="O3267" t="s">
        <v>12513</v>
      </c>
      <c r="P3267" t="s">
        <v>57</v>
      </c>
      <c r="Q3267">
        <v>2102168</v>
      </c>
      <c r="R3267">
        <v>2104063</v>
      </c>
      <c r="S3267" t="s">
        <v>12514</v>
      </c>
      <c r="T3267">
        <v>632</v>
      </c>
      <c r="U3267" t="s">
        <v>108</v>
      </c>
      <c r="V3267">
        <v>44</v>
      </c>
      <c r="W3267" t="str">
        <f>HYPERLINK("Gene2012-zp_tree_all.dnd", "Gene2012-tree")</f>
        <v>Gene2012-tree</v>
      </c>
      <c r="X3267">
        <v>3</v>
      </c>
      <c r="Y3267">
        <v>12</v>
      </c>
      <c r="Z3267">
        <v>3</v>
      </c>
      <c r="AA3267">
        <v>12</v>
      </c>
      <c r="AB3267">
        <v>0.8</v>
      </c>
      <c r="AC3267" t="s">
        <v>324</v>
      </c>
      <c r="AD3267" t="s">
        <v>109</v>
      </c>
      <c r="AE3267" t="s">
        <v>62</v>
      </c>
      <c r="AF3267" t="s">
        <v>62</v>
      </c>
      <c r="AG3267">
        <v>10</v>
      </c>
      <c r="AH3267">
        <v>23</v>
      </c>
      <c r="AI3267">
        <v>40</v>
      </c>
      <c r="AJ3267">
        <v>0.36508000000000002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8</v>
      </c>
      <c r="AQ3267">
        <v>0</v>
      </c>
      <c r="AR3267">
        <v>8</v>
      </c>
      <c r="AS3267">
        <v>35</v>
      </c>
      <c r="AT3267">
        <v>0.18604999999999999</v>
      </c>
      <c r="AU3267">
        <v>15</v>
      </c>
      <c r="AV3267">
        <v>12</v>
      </c>
      <c r="AW3267">
        <v>62</v>
      </c>
      <c r="AX3267">
        <v>44</v>
      </c>
      <c r="AY3267">
        <v>41</v>
      </c>
      <c r="AZ3267">
        <v>20</v>
      </c>
      <c r="BA3267" t="s">
        <v>12515</v>
      </c>
      <c r="BB3267" t="s">
        <v>12516</v>
      </c>
      <c r="BC3267">
        <v>0.69499999999999995</v>
      </c>
      <c r="BD3267" t="s">
        <v>65</v>
      </c>
      <c r="BE3267">
        <v>103</v>
      </c>
      <c r="BF3267">
        <v>64</v>
      </c>
      <c r="BG3267" t="s">
        <v>12517</v>
      </c>
      <c r="BH3267" t="s">
        <v>12518</v>
      </c>
      <c r="BI3267" t="s">
        <v>12519</v>
      </c>
      <c r="BJ3267">
        <v>0.19750999999999999</v>
      </c>
      <c r="BK3267">
        <v>1</v>
      </c>
      <c r="BL3267" t="s">
        <v>69</v>
      </c>
      <c r="BM3267">
        <v>-0.95</v>
      </c>
      <c r="BN3267">
        <v>-0.73599999999999999</v>
      </c>
    </row>
    <row r="3268" spans="10:66">
      <c r="J3268">
        <v>0</v>
      </c>
      <c r="K3268">
        <v>0</v>
      </c>
      <c r="L3268">
        <v>0</v>
      </c>
      <c r="M3268" t="s">
        <v>25021</v>
      </c>
      <c r="N3268">
        <v>2013</v>
      </c>
      <c r="O3268" t="s">
        <v>12520</v>
      </c>
      <c r="P3268" t="s">
        <v>57</v>
      </c>
      <c r="Q3268">
        <v>2104056</v>
      </c>
      <c r="R3268">
        <v>2104898</v>
      </c>
      <c r="S3268" t="s">
        <v>12521</v>
      </c>
      <c r="T3268">
        <v>281</v>
      </c>
      <c r="U3268" t="s">
        <v>108</v>
      </c>
      <c r="V3268">
        <v>44</v>
      </c>
      <c r="W3268" t="str">
        <f>HYPERLINK("Gene2013-zp_tree_all.dnd", "Gene2013-tree")</f>
        <v>Gene2013-tree</v>
      </c>
      <c r="X3268">
        <v>10</v>
      </c>
      <c r="Y3268">
        <v>20</v>
      </c>
      <c r="Z3268">
        <v>10</v>
      </c>
      <c r="AA3268">
        <v>3</v>
      </c>
      <c r="AB3268">
        <v>0.23077</v>
      </c>
      <c r="AC3268" t="s">
        <v>117</v>
      </c>
      <c r="AD3268" t="s">
        <v>11261</v>
      </c>
      <c r="AE3268">
        <v>6.27</v>
      </c>
      <c r="AF3268" t="s">
        <v>65</v>
      </c>
      <c r="AG3268">
        <v>0</v>
      </c>
      <c r="AH3268">
        <v>0</v>
      </c>
      <c r="AI3268">
        <v>5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4</v>
      </c>
      <c r="AT3268">
        <v>0</v>
      </c>
      <c r="AU3268">
        <v>11</v>
      </c>
      <c r="AV3268">
        <v>8</v>
      </c>
      <c r="AW3268">
        <v>24</v>
      </c>
      <c r="AX3268">
        <v>4</v>
      </c>
      <c r="AY3268">
        <v>14</v>
      </c>
      <c r="AZ3268">
        <v>1</v>
      </c>
      <c r="BA3268" t="s">
        <v>12522</v>
      </c>
      <c r="BB3268" t="s">
        <v>12523</v>
      </c>
      <c r="BC3268">
        <v>0.37</v>
      </c>
      <c r="BD3268" t="s">
        <v>65</v>
      </c>
      <c r="BE3268">
        <v>38</v>
      </c>
      <c r="BF3268">
        <v>5</v>
      </c>
      <c r="BG3268" t="s">
        <v>12524</v>
      </c>
      <c r="BH3268" t="s">
        <v>12525</v>
      </c>
      <c r="BI3268" t="s">
        <v>12526</v>
      </c>
      <c r="BJ3268">
        <v>2.64E-2</v>
      </c>
      <c r="BK3268">
        <v>1</v>
      </c>
      <c r="BL3268" t="s">
        <v>69</v>
      </c>
      <c r="BM3268">
        <v>-0.1</v>
      </c>
      <c r="BN3268">
        <v>-0.39700000000000002</v>
      </c>
    </row>
    <row r="3269" spans="10:66">
      <c r="J3269">
        <v>0</v>
      </c>
      <c r="K3269">
        <v>0</v>
      </c>
      <c r="L3269">
        <v>3</v>
      </c>
      <c r="M3269" t="s">
        <v>25021</v>
      </c>
      <c r="N3269">
        <v>2015</v>
      </c>
      <c r="O3269" t="s">
        <v>12533</v>
      </c>
      <c r="P3269" t="s">
        <v>57</v>
      </c>
      <c r="Q3269">
        <v>2106490</v>
      </c>
      <c r="R3269">
        <v>2107452</v>
      </c>
      <c r="S3269" t="s">
        <v>12534</v>
      </c>
      <c r="T3269">
        <v>321</v>
      </c>
      <c r="U3269" t="s">
        <v>108</v>
      </c>
      <c r="V3269">
        <v>44</v>
      </c>
      <c r="W3269" t="str">
        <f>HYPERLINK("Gene2015-zp_tree_all.dnd", "Gene2015-tree")</f>
        <v>Gene2015-tree</v>
      </c>
      <c r="X3269">
        <v>23</v>
      </c>
      <c r="Y3269">
        <v>8</v>
      </c>
      <c r="Z3269">
        <v>5</v>
      </c>
      <c r="AA3269">
        <v>8</v>
      </c>
      <c r="AB3269">
        <v>0.61538000000000004</v>
      </c>
      <c r="AC3269" t="s">
        <v>1652</v>
      </c>
      <c r="AD3269" t="s">
        <v>136</v>
      </c>
      <c r="AE3269" t="s">
        <v>62</v>
      </c>
      <c r="AF3269" t="s">
        <v>62</v>
      </c>
      <c r="AG3269">
        <v>1</v>
      </c>
      <c r="AH3269">
        <v>3</v>
      </c>
      <c r="AI3269">
        <v>10</v>
      </c>
      <c r="AJ3269">
        <v>0.23077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</v>
      </c>
      <c r="AR3269">
        <v>3</v>
      </c>
      <c r="AS3269">
        <v>8</v>
      </c>
      <c r="AT3269">
        <v>0.27272999999999997</v>
      </c>
      <c r="AU3269">
        <v>12</v>
      </c>
      <c r="AV3269">
        <v>7</v>
      </c>
      <c r="AW3269">
        <v>36</v>
      </c>
      <c r="AX3269">
        <v>11</v>
      </c>
      <c r="AY3269">
        <v>9</v>
      </c>
      <c r="AZ3269">
        <v>2</v>
      </c>
      <c r="BA3269" t="s">
        <v>12535</v>
      </c>
      <c r="BB3269" t="s">
        <v>12536</v>
      </c>
      <c r="BC3269">
        <v>0.32500000000000001</v>
      </c>
      <c r="BD3269" t="s">
        <v>65</v>
      </c>
      <c r="BE3269">
        <v>45</v>
      </c>
      <c r="BF3269">
        <v>13</v>
      </c>
      <c r="BG3269" t="s">
        <v>12537</v>
      </c>
      <c r="BH3269" t="s">
        <v>12538</v>
      </c>
      <c r="BI3269" t="s">
        <v>4965</v>
      </c>
      <c r="BJ3269">
        <v>9.647E-2</v>
      </c>
      <c r="BK3269">
        <v>1</v>
      </c>
      <c r="BL3269" t="s">
        <v>69</v>
      </c>
      <c r="BM3269">
        <v>-1.0680000000000001</v>
      </c>
      <c r="BN3269">
        <v>-1.411</v>
      </c>
    </row>
    <row r="3270" spans="10:66">
      <c r="J3270">
        <v>0</v>
      </c>
      <c r="K3270">
        <v>0</v>
      </c>
      <c r="L3270">
        <v>0</v>
      </c>
      <c r="M3270" t="s">
        <v>25021</v>
      </c>
      <c r="N3270">
        <v>2024</v>
      </c>
      <c r="O3270" t="s">
        <v>12594</v>
      </c>
      <c r="P3270" t="s">
        <v>57</v>
      </c>
      <c r="Q3270">
        <v>2119393</v>
      </c>
      <c r="R3270">
        <v>2120748</v>
      </c>
      <c r="S3270" t="s">
        <v>12595</v>
      </c>
      <c r="T3270">
        <v>452</v>
      </c>
      <c r="U3270" t="s">
        <v>5228</v>
      </c>
      <c r="V3270">
        <v>43</v>
      </c>
      <c r="W3270" t="str">
        <f>HYPERLINK("Gene2024-zp_tree_all.dnd", "Gene2024-tree")</f>
        <v>Gene2024-tree</v>
      </c>
      <c r="X3270">
        <v>5</v>
      </c>
      <c r="Y3270">
        <v>8</v>
      </c>
      <c r="Z3270">
        <v>5</v>
      </c>
      <c r="AA3270">
        <v>8</v>
      </c>
      <c r="AB3270">
        <v>0.61538000000000004</v>
      </c>
      <c r="AC3270" t="s">
        <v>199</v>
      </c>
      <c r="AD3270" t="s">
        <v>136</v>
      </c>
      <c r="AE3270" t="s">
        <v>62</v>
      </c>
      <c r="AF3270" t="s">
        <v>62</v>
      </c>
      <c r="AG3270">
        <v>0</v>
      </c>
      <c r="AH3270">
        <v>0</v>
      </c>
      <c r="AI3270">
        <v>16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13</v>
      </c>
      <c r="AT3270">
        <v>0</v>
      </c>
      <c r="AU3270">
        <v>12</v>
      </c>
      <c r="AV3270">
        <v>10</v>
      </c>
      <c r="AW3270">
        <v>48</v>
      </c>
      <c r="AX3270">
        <v>13</v>
      </c>
      <c r="AY3270">
        <v>36</v>
      </c>
      <c r="AZ3270">
        <v>3</v>
      </c>
      <c r="BA3270" t="s">
        <v>12596</v>
      </c>
      <c r="BB3270" t="s">
        <v>12597</v>
      </c>
      <c r="BC3270">
        <v>0.70699999999999996</v>
      </c>
      <c r="BD3270" t="s">
        <v>65</v>
      </c>
      <c r="BE3270">
        <v>84</v>
      </c>
      <c r="BF3270">
        <v>16</v>
      </c>
      <c r="BG3270" t="s">
        <v>12598</v>
      </c>
      <c r="BH3270" t="s">
        <v>12599</v>
      </c>
      <c r="BI3270" t="s">
        <v>12600</v>
      </c>
      <c r="BJ3270">
        <v>5.8369999999999998E-2</v>
      </c>
      <c r="BK3270">
        <v>1</v>
      </c>
      <c r="BL3270" t="s">
        <v>69</v>
      </c>
      <c r="BM3270">
        <v>-0.66</v>
      </c>
      <c r="BN3270">
        <v>-1.1910000000000001</v>
      </c>
    </row>
    <row r="3271" spans="10:66">
      <c r="J3271">
        <v>0</v>
      </c>
      <c r="K3271">
        <v>4</v>
      </c>
      <c r="L3271">
        <v>2</v>
      </c>
      <c r="M3271" t="s">
        <v>25021</v>
      </c>
      <c r="N3271">
        <v>2025</v>
      </c>
      <c r="O3271" t="s">
        <v>12601</v>
      </c>
      <c r="P3271" t="s">
        <v>57</v>
      </c>
      <c r="Q3271">
        <v>2120767</v>
      </c>
      <c r="R3271">
        <v>2121612</v>
      </c>
      <c r="S3271" t="s">
        <v>12602</v>
      </c>
      <c r="T3271">
        <v>282</v>
      </c>
      <c r="U3271" t="s">
        <v>108</v>
      </c>
      <c r="V3271">
        <v>44</v>
      </c>
      <c r="W3271" t="str">
        <f>HYPERLINK("Gene2025-zp_tree_all.dnd", "Gene2025-tree")</f>
        <v>Gene2025-tree</v>
      </c>
      <c r="X3271">
        <v>6</v>
      </c>
      <c r="Y3271">
        <v>8</v>
      </c>
      <c r="Z3271">
        <v>6</v>
      </c>
      <c r="AA3271">
        <v>8</v>
      </c>
      <c r="AB3271">
        <v>0.57142999999999999</v>
      </c>
      <c r="AC3271" t="s">
        <v>90</v>
      </c>
      <c r="AD3271" t="s">
        <v>136</v>
      </c>
      <c r="AE3271" t="s">
        <v>62</v>
      </c>
      <c r="AF3271" t="s">
        <v>62</v>
      </c>
      <c r="AG3271">
        <v>3</v>
      </c>
      <c r="AH3271">
        <v>6</v>
      </c>
      <c r="AI3271">
        <v>4</v>
      </c>
      <c r="AJ3271">
        <v>0.6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2</v>
      </c>
      <c r="AQ3271">
        <v>4</v>
      </c>
      <c r="AR3271">
        <v>6</v>
      </c>
      <c r="AS3271">
        <v>4</v>
      </c>
      <c r="AT3271">
        <v>0.6</v>
      </c>
      <c r="AU3271">
        <v>11</v>
      </c>
      <c r="AV3271">
        <v>7</v>
      </c>
      <c r="AW3271">
        <v>16</v>
      </c>
      <c r="AX3271">
        <v>9</v>
      </c>
      <c r="AY3271">
        <v>6</v>
      </c>
      <c r="AZ3271">
        <v>1</v>
      </c>
      <c r="BA3271" t="s">
        <v>12603</v>
      </c>
      <c r="BB3271" t="s">
        <v>12604</v>
      </c>
      <c r="BC3271">
        <v>0.75800000000000001</v>
      </c>
      <c r="BD3271" t="s">
        <v>65</v>
      </c>
      <c r="BE3271">
        <v>22</v>
      </c>
      <c r="BF3271">
        <v>10</v>
      </c>
      <c r="BG3271" t="s">
        <v>12605</v>
      </c>
      <c r="BH3271" t="s">
        <v>12606</v>
      </c>
      <c r="BI3271" t="s">
        <v>12607</v>
      </c>
      <c r="BJ3271">
        <v>9.9250000000000005E-2</v>
      </c>
      <c r="BK3271">
        <v>1</v>
      </c>
      <c r="BL3271" t="s">
        <v>69</v>
      </c>
      <c r="BM3271">
        <v>-1.2430000000000001</v>
      </c>
      <c r="BN3271">
        <v>-1.857</v>
      </c>
    </row>
    <row r="3272" spans="10:66">
      <c r="J3272">
        <v>0</v>
      </c>
      <c r="K3272">
        <v>0</v>
      </c>
      <c r="L3272">
        <v>4</v>
      </c>
      <c r="M3272" t="s">
        <v>25021</v>
      </c>
      <c r="N3272">
        <v>2030</v>
      </c>
      <c r="O3272" t="s">
        <v>12634</v>
      </c>
      <c r="P3272" t="s">
        <v>57</v>
      </c>
      <c r="Q3272">
        <v>2124021</v>
      </c>
      <c r="R3272">
        <v>2124491</v>
      </c>
      <c r="S3272" t="s">
        <v>12635</v>
      </c>
      <c r="T3272">
        <v>157</v>
      </c>
      <c r="U3272" t="s">
        <v>108</v>
      </c>
      <c r="V3272">
        <v>44</v>
      </c>
      <c r="W3272" t="str">
        <f>HYPERLINK("Gene2030-zp_tree_all.dnd", "Gene2030-tree")</f>
        <v>Gene2030-tree</v>
      </c>
      <c r="X3272">
        <v>6</v>
      </c>
      <c r="Y3272">
        <v>4</v>
      </c>
      <c r="Z3272">
        <v>6</v>
      </c>
      <c r="AA3272">
        <v>4</v>
      </c>
      <c r="AB3272">
        <v>0.4</v>
      </c>
      <c r="AC3272" t="s">
        <v>90</v>
      </c>
      <c r="AD3272" t="s">
        <v>61</v>
      </c>
      <c r="AE3272" t="s">
        <v>62</v>
      </c>
      <c r="AF3272" t="s">
        <v>62</v>
      </c>
      <c r="AG3272">
        <v>2</v>
      </c>
      <c r="AH3272">
        <v>4</v>
      </c>
      <c r="AI3272">
        <v>4</v>
      </c>
      <c r="AJ3272">
        <v>0.5</v>
      </c>
      <c r="AK3272">
        <v>0</v>
      </c>
      <c r="AL3272">
        <v>0</v>
      </c>
      <c r="AM3272">
        <v>0</v>
      </c>
      <c r="AN3272">
        <v>2</v>
      </c>
      <c r="AO3272">
        <v>0</v>
      </c>
      <c r="AP3272">
        <v>0</v>
      </c>
      <c r="AQ3272">
        <v>4</v>
      </c>
      <c r="AR3272">
        <v>4</v>
      </c>
      <c r="AS3272">
        <v>2</v>
      </c>
      <c r="AT3272">
        <v>0.66666999999999998</v>
      </c>
      <c r="AU3272">
        <v>7</v>
      </c>
      <c r="AV3272">
        <v>3</v>
      </c>
      <c r="AW3272">
        <v>11</v>
      </c>
      <c r="AX3272">
        <v>7</v>
      </c>
      <c r="AY3272">
        <v>2</v>
      </c>
      <c r="AZ3272">
        <v>2</v>
      </c>
      <c r="BA3272" t="s">
        <v>12636</v>
      </c>
      <c r="BB3272" t="s">
        <v>12637</v>
      </c>
      <c r="BC3272">
        <v>0.23599999999999999</v>
      </c>
      <c r="BD3272" t="s">
        <v>65</v>
      </c>
      <c r="BE3272">
        <v>13</v>
      </c>
      <c r="BF3272">
        <v>9</v>
      </c>
      <c r="BG3272" t="s">
        <v>12638</v>
      </c>
      <c r="BH3272" t="s">
        <v>12639</v>
      </c>
      <c r="BI3272" t="s">
        <v>12640</v>
      </c>
      <c r="BJ3272">
        <v>0.19503999999999999</v>
      </c>
      <c r="BK3272">
        <v>1</v>
      </c>
      <c r="BL3272" t="s">
        <v>69</v>
      </c>
      <c r="BM3272">
        <v>-1.5029999999999999</v>
      </c>
      <c r="BN3272">
        <v>-3.661</v>
      </c>
    </row>
    <row r="3273" spans="10:66">
      <c r="J3273">
        <v>0</v>
      </c>
      <c r="K3273">
        <v>2</v>
      </c>
      <c r="L3273">
        <v>0</v>
      </c>
      <c r="M3273" t="s">
        <v>25021</v>
      </c>
      <c r="N3273">
        <v>2033</v>
      </c>
      <c r="O3273" t="s">
        <v>12654</v>
      </c>
      <c r="P3273" t="s">
        <v>57</v>
      </c>
      <c r="Q3273">
        <v>2126549</v>
      </c>
      <c r="R3273">
        <v>2126935</v>
      </c>
      <c r="S3273" t="s">
        <v>12655</v>
      </c>
      <c r="T3273">
        <v>129</v>
      </c>
      <c r="U3273" t="s">
        <v>108</v>
      </c>
      <c r="V3273">
        <v>44</v>
      </c>
      <c r="W3273" t="str">
        <f>HYPERLINK("Gene2033-zp_tree_all.dnd", "Gene2033-tree")</f>
        <v>Gene2033-tree</v>
      </c>
      <c r="X3273">
        <v>8</v>
      </c>
      <c r="Y3273">
        <v>4</v>
      </c>
      <c r="Z3273">
        <v>8</v>
      </c>
      <c r="AA3273">
        <v>4</v>
      </c>
      <c r="AB3273">
        <v>0.33333000000000002</v>
      </c>
      <c r="AC3273" t="s">
        <v>136</v>
      </c>
      <c r="AD3273" t="s">
        <v>61</v>
      </c>
      <c r="AE3273" t="s">
        <v>62</v>
      </c>
      <c r="AF3273" t="s">
        <v>62</v>
      </c>
      <c r="AG3273">
        <v>1</v>
      </c>
      <c r="AH3273">
        <v>2</v>
      </c>
      <c r="AI3273">
        <v>7</v>
      </c>
      <c r="AJ3273">
        <v>0.22222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8</v>
      </c>
      <c r="AT3273">
        <v>0</v>
      </c>
      <c r="AU3273">
        <v>6</v>
      </c>
      <c r="AV3273">
        <v>5</v>
      </c>
      <c r="AW3273">
        <v>8</v>
      </c>
      <c r="AX3273">
        <v>8</v>
      </c>
      <c r="AY3273">
        <v>6</v>
      </c>
      <c r="AZ3273">
        <v>1</v>
      </c>
      <c r="BA3273" t="s">
        <v>12656</v>
      </c>
      <c r="BB3273" t="s">
        <v>12657</v>
      </c>
      <c r="BC3273">
        <v>0.71899999999999997</v>
      </c>
      <c r="BD3273" t="s">
        <v>65</v>
      </c>
      <c r="BE3273">
        <v>14</v>
      </c>
      <c r="BF3273">
        <v>9</v>
      </c>
      <c r="BG3273" t="s">
        <v>12658</v>
      </c>
      <c r="BH3273" t="s">
        <v>12659</v>
      </c>
      <c r="BI3273" t="s">
        <v>12660</v>
      </c>
      <c r="BJ3273">
        <v>0.13245999999999999</v>
      </c>
      <c r="BK3273">
        <v>1</v>
      </c>
      <c r="BL3273" t="s">
        <v>69</v>
      </c>
      <c r="BM3273">
        <v>0.82399999999999995</v>
      </c>
      <c r="BN3273">
        <v>0.17399999999999999</v>
      </c>
    </row>
    <row r="3274" spans="10:66">
      <c r="J3274">
        <v>0</v>
      </c>
      <c r="K3274">
        <v>4</v>
      </c>
      <c r="L3274">
        <v>3</v>
      </c>
      <c r="M3274" t="s">
        <v>25021</v>
      </c>
      <c r="N3274">
        <v>2035</v>
      </c>
      <c r="O3274" t="s">
        <v>12667</v>
      </c>
      <c r="P3274" t="s">
        <v>57</v>
      </c>
      <c r="Q3274">
        <v>2127813</v>
      </c>
      <c r="R3274">
        <v>2128418</v>
      </c>
      <c r="S3274" t="s">
        <v>12668</v>
      </c>
      <c r="T3274">
        <v>202</v>
      </c>
      <c r="U3274" t="s">
        <v>59</v>
      </c>
      <c r="V3274">
        <v>49</v>
      </c>
      <c r="W3274" t="str">
        <f>HYPERLINK("Gene2035-zp_tree_all.dnd", "Gene2035-tree")</f>
        <v>Gene2035-tree</v>
      </c>
      <c r="X3274">
        <v>9</v>
      </c>
      <c r="Y3274">
        <v>7</v>
      </c>
      <c r="Z3274">
        <v>9</v>
      </c>
      <c r="AA3274">
        <v>7</v>
      </c>
      <c r="AB3274">
        <v>0.4375</v>
      </c>
      <c r="AC3274" t="s">
        <v>135</v>
      </c>
      <c r="AD3274" t="s">
        <v>152</v>
      </c>
      <c r="AE3274" t="s">
        <v>62</v>
      </c>
      <c r="AF3274" t="s">
        <v>62</v>
      </c>
      <c r="AG3274">
        <v>3</v>
      </c>
      <c r="AH3274">
        <v>7</v>
      </c>
      <c r="AI3274">
        <v>11</v>
      </c>
      <c r="AJ3274">
        <v>0.38889000000000001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2</v>
      </c>
      <c r="AQ3274">
        <v>0</v>
      </c>
      <c r="AR3274">
        <v>2</v>
      </c>
      <c r="AS3274">
        <v>8</v>
      </c>
      <c r="AT3274">
        <v>0.2</v>
      </c>
      <c r="AU3274">
        <v>13</v>
      </c>
      <c r="AV3274">
        <v>9</v>
      </c>
      <c r="AW3274">
        <v>17</v>
      </c>
      <c r="AX3274">
        <v>10</v>
      </c>
      <c r="AY3274">
        <v>39</v>
      </c>
      <c r="AZ3274">
        <v>8</v>
      </c>
      <c r="BA3274" t="s">
        <v>12669</v>
      </c>
      <c r="BB3274" t="s">
        <v>12670</v>
      </c>
      <c r="BC3274">
        <v>1.004</v>
      </c>
      <c r="BD3274" t="s">
        <v>65</v>
      </c>
      <c r="BE3274">
        <v>56</v>
      </c>
      <c r="BF3274">
        <v>18</v>
      </c>
      <c r="BG3274" t="s">
        <v>12671</v>
      </c>
      <c r="BH3274" t="s">
        <v>12672</v>
      </c>
      <c r="BI3274" t="s">
        <v>12673</v>
      </c>
      <c r="BJ3274">
        <v>6.4960000000000004E-2</v>
      </c>
      <c r="BK3274">
        <v>1</v>
      </c>
      <c r="BL3274" t="s">
        <v>69</v>
      </c>
      <c r="BM3274">
        <v>-1.33</v>
      </c>
      <c r="BN3274">
        <v>-0.438</v>
      </c>
    </row>
    <row r="3275" spans="10:66">
      <c r="J3275">
        <v>0</v>
      </c>
      <c r="K3275">
        <v>2</v>
      </c>
      <c r="L3275">
        <v>0</v>
      </c>
      <c r="M3275" t="s">
        <v>25021</v>
      </c>
      <c r="N3275">
        <v>2038</v>
      </c>
      <c r="O3275" t="s">
        <v>12687</v>
      </c>
      <c r="P3275" t="s">
        <v>57</v>
      </c>
      <c r="Q3275">
        <v>2130177</v>
      </c>
      <c r="R3275">
        <v>2130374</v>
      </c>
      <c r="S3275" t="s">
        <v>2332</v>
      </c>
      <c r="T3275">
        <v>66</v>
      </c>
      <c r="U3275" t="s">
        <v>465</v>
      </c>
      <c r="V3275">
        <v>46</v>
      </c>
      <c r="W3275" t="str">
        <f>HYPERLINK("Gene2038-zp_tree_all.dnd", "Gene2038-tree")</f>
        <v>Gene2038-tree</v>
      </c>
      <c r="X3275">
        <v>37</v>
      </c>
      <c r="Y3275">
        <v>4</v>
      </c>
      <c r="Z3275">
        <v>4</v>
      </c>
      <c r="AA3275">
        <v>4</v>
      </c>
      <c r="AB3275">
        <v>0.5</v>
      </c>
      <c r="AC3275" t="s">
        <v>12688</v>
      </c>
      <c r="AD3275" t="s">
        <v>61</v>
      </c>
      <c r="AE3275" t="s">
        <v>62</v>
      </c>
      <c r="AF3275" t="s">
        <v>62</v>
      </c>
      <c r="AG3275">
        <v>1</v>
      </c>
      <c r="AH3275">
        <v>2</v>
      </c>
      <c r="AI3275">
        <v>3</v>
      </c>
      <c r="AJ3275">
        <v>0.4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2</v>
      </c>
      <c r="AQ3275">
        <v>0</v>
      </c>
      <c r="AR3275">
        <v>2</v>
      </c>
      <c r="AS3275">
        <v>2</v>
      </c>
      <c r="AT3275">
        <v>0.5</v>
      </c>
      <c r="AU3275">
        <v>4</v>
      </c>
      <c r="AV3275">
        <v>4</v>
      </c>
      <c r="AW3275">
        <v>8</v>
      </c>
      <c r="AX3275">
        <v>4</v>
      </c>
      <c r="AY3275">
        <v>4</v>
      </c>
      <c r="AZ3275">
        <v>1</v>
      </c>
      <c r="BA3275" t="s">
        <v>12689</v>
      </c>
      <c r="BB3275" t="s">
        <v>12690</v>
      </c>
      <c r="BC3275">
        <v>0.41899999999999998</v>
      </c>
      <c r="BD3275" t="s">
        <v>65</v>
      </c>
      <c r="BE3275">
        <v>12</v>
      </c>
      <c r="BF3275">
        <v>5</v>
      </c>
      <c r="BG3275" t="s">
        <v>12691</v>
      </c>
      <c r="BH3275" t="s">
        <v>12692</v>
      </c>
      <c r="BI3275" t="s">
        <v>12693</v>
      </c>
      <c r="BJ3275">
        <v>0.12994</v>
      </c>
      <c r="BK3275">
        <v>1</v>
      </c>
      <c r="BL3275" t="s">
        <v>69</v>
      </c>
      <c r="BM3275">
        <v>-1.2629999999999999</v>
      </c>
      <c r="BN3275">
        <v>1.2E-2</v>
      </c>
    </row>
    <row r="3276" spans="10:66">
      <c r="J3276">
        <v>0</v>
      </c>
      <c r="K3276">
        <v>11</v>
      </c>
      <c r="L3276">
        <v>2</v>
      </c>
      <c r="M3276" t="s">
        <v>25021</v>
      </c>
      <c r="N3276">
        <v>2039</v>
      </c>
      <c r="O3276" t="s">
        <v>12694</v>
      </c>
      <c r="P3276" t="s">
        <v>57</v>
      </c>
      <c r="Q3276">
        <v>2130377</v>
      </c>
      <c r="R3276">
        <v>2131864</v>
      </c>
      <c r="S3276" t="s">
        <v>12695</v>
      </c>
      <c r="T3276">
        <v>496</v>
      </c>
      <c r="U3276" t="s">
        <v>2513</v>
      </c>
      <c r="V3276">
        <v>43</v>
      </c>
      <c r="W3276" t="str">
        <f>HYPERLINK("Gene2039-zp_tree_all.dnd", "Gene2039-tree")</f>
        <v>Gene2039-tree</v>
      </c>
      <c r="X3276">
        <v>4</v>
      </c>
      <c r="Y3276">
        <v>10</v>
      </c>
      <c r="Z3276">
        <v>4</v>
      </c>
      <c r="AA3276">
        <v>10</v>
      </c>
      <c r="AB3276">
        <v>0.71428999999999998</v>
      </c>
      <c r="AC3276" t="s">
        <v>61</v>
      </c>
      <c r="AD3276" t="s">
        <v>117</v>
      </c>
      <c r="AE3276" t="s">
        <v>62</v>
      </c>
      <c r="AF3276" t="s">
        <v>62</v>
      </c>
      <c r="AG3276">
        <v>5</v>
      </c>
      <c r="AH3276">
        <v>13</v>
      </c>
      <c r="AI3276">
        <v>10</v>
      </c>
      <c r="AJ3276">
        <v>0.56521999999999994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4</v>
      </c>
      <c r="AQ3276">
        <v>0</v>
      </c>
      <c r="AR3276">
        <v>4</v>
      </c>
      <c r="AS3276">
        <v>10</v>
      </c>
      <c r="AT3276">
        <v>0.28571000000000002</v>
      </c>
      <c r="AU3276">
        <v>12</v>
      </c>
      <c r="AV3276">
        <v>11</v>
      </c>
      <c r="AW3276">
        <v>96</v>
      </c>
      <c r="AX3276">
        <v>11</v>
      </c>
      <c r="AY3276">
        <v>87</v>
      </c>
      <c r="AZ3276">
        <v>13</v>
      </c>
      <c r="BA3276" t="s">
        <v>12696</v>
      </c>
      <c r="BB3276" t="s">
        <v>12697</v>
      </c>
      <c r="BC3276">
        <v>0.47699999999999998</v>
      </c>
      <c r="BD3276" t="s">
        <v>65</v>
      </c>
      <c r="BE3276">
        <v>183</v>
      </c>
      <c r="BF3276">
        <v>24</v>
      </c>
      <c r="BG3276" t="s">
        <v>12698</v>
      </c>
      <c r="BH3276" t="s">
        <v>12699</v>
      </c>
      <c r="BI3276" t="s">
        <v>12700</v>
      </c>
      <c r="BJ3276">
        <v>4.3200000000000002E-2</v>
      </c>
      <c r="BK3276">
        <v>1</v>
      </c>
      <c r="BL3276" t="s">
        <v>69</v>
      </c>
      <c r="BM3276">
        <v>-0.20699999999999999</v>
      </c>
      <c r="BN3276">
        <v>-0.36199999999999999</v>
      </c>
    </row>
    <row r="3277" spans="10:66">
      <c r="J3277">
        <v>0</v>
      </c>
      <c r="K3277">
        <v>0</v>
      </c>
      <c r="L3277">
        <v>2</v>
      </c>
      <c r="M3277" t="s">
        <v>25021</v>
      </c>
      <c r="N3277">
        <v>2041</v>
      </c>
      <c r="O3277" t="s">
        <v>12708</v>
      </c>
      <c r="P3277" t="s">
        <v>57</v>
      </c>
      <c r="Q3277">
        <v>2133455</v>
      </c>
      <c r="R3277">
        <v>2134153</v>
      </c>
      <c r="S3277" t="s">
        <v>12709</v>
      </c>
      <c r="T3277">
        <v>233</v>
      </c>
      <c r="U3277" t="s">
        <v>108</v>
      </c>
      <c r="V3277">
        <v>44</v>
      </c>
      <c r="W3277" t="str">
        <f>HYPERLINK("Gene2041-zp_tree_all.dnd", "Gene2041-tree")</f>
        <v>Gene2041-tree</v>
      </c>
      <c r="X3277">
        <v>5</v>
      </c>
      <c r="Y3277">
        <v>5</v>
      </c>
      <c r="Z3277">
        <v>5</v>
      </c>
      <c r="AA3277">
        <v>5</v>
      </c>
      <c r="AB3277">
        <v>0.5</v>
      </c>
      <c r="AC3277" t="s">
        <v>199</v>
      </c>
      <c r="AD3277" t="s">
        <v>199</v>
      </c>
      <c r="AE3277" t="s">
        <v>62</v>
      </c>
      <c r="AF3277" t="s">
        <v>62</v>
      </c>
      <c r="AG3277">
        <v>1</v>
      </c>
      <c r="AH3277">
        <v>2</v>
      </c>
      <c r="AI3277">
        <v>7</v>
      </c>
      <c r="AJ3277">
        <v>0.22222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6</v>
      </c>
      <c r="AT3277">
        <v>0</v>
      </c>
      <c r="AU3277">
        <v>8</v>
      </c>
      <c r="AV3277">
        <v>5</v>
      </c>
      <c r="AW3277">
        <v>13</v>
      </c>
      <c r="AX3277">
        <v>6</v>
      </c>
      <c r="AY3277">
        <v>5</v>
      </c>
      <c r="AZ3277">
        <v>3</v>
      </c>
      <c r="BA3277" t="s">
        <v>12710</v>
      </c>
      <c r="BB3277" t="s">
        <v>12711</v>
      </c>
      <c r="BC3277">
        <v>0.19900000000000001</v>
      </c>
      <c r="BD3277" t="s">
        <v>65</v>
      </c>
      <c r="BE3277">
        <v>18</v>
      </c>
      <c r="BF3277">
        <v>9</v>
      </c>
      <c r="BG3277" t="s">
        <v>12712</v>
      </c>
      <c r="BH3277" t="s">
        <v>12713</v>
      </c>
      <c r="BI3277" t="s">
        <v>12714</v>
      </c>
      <c r="BJ3277">
        <v>0.14047000000000001</v>
      </c>
      <c r="BK3277">
        <v>1</v>
      </c>
      <c r="BL3277" t="s">
        <v>69</v>
      </c>
      <c r="BM3277">
        <v>-0.73399999999999999</v>
      </c>
      <c r="BN3277">
        <v>-1.196</v>
      </c>
    </row>
    <row r="3278" spans="10:66">
      <c r="J3278">
        <v>0</v>
      </c>
      <c r="K3278">
        <v>2</v>
      </c>
      <c r="L3278">
        <v>2</v>
      </c>
      <c r="M3278" t="s">
        <v>25021</v>
      </c>
      <c r="N3278">
        <v>2042</v>
      </c>
      <c r="O3278" t="s">
        <v>12715</v>
      </c>
      <c r="P3278" t="s">
        <v>57</v>
      </c>
      <c r="Q3278">
        <v>2134244</v>
      </c>
      <c r="R3278">
        <v>2134492</v>
      </c>
      <c r="S3278" t="s">
        <v>5691</v>
      </c>
      <c r="T3278">
        <v>83</v>
      </c>
      <c r="U3278" t="s">
        <v>11324</v>
      </c>
      <c r="V3278">
        <v>46</v>
      </c>
      <c r="W3278" t="str">
        <f>HYPERLINK("Gene2042-zp_tree_all.dnd", "Gene2042-tree")</f>
        <v>Gene2042-tree</v>
      </c>
      <c r="X3278">
        <v>30</v>
      </c>
      <c r="Y3278">
        <v>3</v>
      </c>
      <c r="Z3278">
        <v>6</v>
      </c>
      <c r="AA3278">
        <v>3</v>
      </c>
      <c r="AB3278">
        <v>0.33333000000000002</v>
      </c>
      <c r="AC3278" t="s">
        <v>12716</v>
      </c>
      <c r="AD3278" t="s">
        <v>324</v>
      </c>
      <c r="AE3278" t="s">
        <v>62</v>
      </c>
      <c r="AF3278" t="s">
        <v>62</v>
      </c>
      <c r="AG3278">
        <v>2</v>
      </c>
      <c r="AH3278">
        <v>4</v>
      </c>
      <c r="AI3278">
        <v>7</v>
      </c>
      <c r="AJ3278">
        <v>0.36364000000000002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7</v>
      </c>
      <c r="AT3278">
        <v>0</v>
      </c>
      <c r="AU3278">
        <v>5</v>
      </c>
      <c r="AV3278">
        <v>5</v>
      </c>
      <c r="AW3278">
        <v>10</v>
      </c>
      <c r="AX3278">
        <v>6</v>
      </c>
      <c r="AY3278">
        <v>8</v>
      </c>
      <c r="AZ3278">
        <v>6</v>
      </c>
      <c r="BA3278" t="s">
        <v>12717</v>
      </c>
      <c r="BB3278" t="s">
        <v>12718</v>
      </c>
      <c r="BC3278">
        <v>0.18</v>
      </c>
      <c r="BD3278" t="s">
        <v>65</v>
      </c>
      <c r="BE3278">
        <v>18</v>
      </c>
      <c r="BF3278">
        <v>12</v>
      </c>
      <c r="BG3278" t="s">
        <v>12719</v>
      </c>
      <c r="BH3278" t="s">
        <v>12720</v>
      </c>
      <c r="BI3278" t="s">
        <v>12721</v>
      </c>
      <c r="BJ3278">
        <v>0.22212000000000001</v>
      </c>
      <c r="BK3278">
        <v>1</v>
      </c>
      <c r="BL3278" t="s">
        <v>69</v>
      </c>
      <c r="BM3278">
        <v>-0.27300000000000002</v>
      </c>
      <c r="BN3278">
        <v>-0.96199999999999997</v>
      </c>
    </row>
    <row r="3279" spans="10:66">
      <c r="J3279">
        <v>0</v>
      </c>
      <c r="K3279">
        <v>0</v>
      </c>
      <c r="L3279">
        <v>0</v>
      </c>
      <c r="M3279" t="s">
        <v>25021</v>
      </c>
      <c r="N3279">
        <v>2045</v>
      </c>
      <c r="O3279" t="s">
        <v>12735</v>
      </c>
      <c r="P3279" t="s">
        <v>57</v>
      </c>
      <c r="Q3279">
        <v>2136373</v>
      </c>
      <c r="R3279">
        <v>2136495</v>
      </c>
      <c r="S3279" t="s">
        <v>288</v>
      </c>
      <c r="T3279">
        <v>41</v>
      </c>
      <c r="U3279" t="s">
        <v>108</v>
      </c>
      <c r="V3279">
        <v>44</v>
      </c>
      <c r="W3279" t="str">
        <f>HYPERLINK("Gene2045-zp_tree_all.dnd", "Gene2045-tree")</f>
        <v>Gene2045-tree</v>
      </c>
      <c r="X3279">
        <v>5</v>
      </c>
      <c r="Y3279">
        <v>0</v>
      </c>
      <c r="Z3279">
        <v>5</v>
      </c>
      <c r="AA3279">
        <v>0</v>
      </c>
      <c r="AB3279">
        <v>0</v>
      </c>
      <c r="AC3279" t="s">
        <v>199</v>
      </c>
      <c r="AD3279" t="s">
        <v>62</v>
      </c>
      <c r="AE3279" t="s">
        <v>62</v>
      </c>
      <c r="AF3279" t="s">
        <v>62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2</v>
      </c>
      <c r="AV3279">
        <v>2</v>
      </c>
      <c r="AW3279">
        <v>2</v>
      </c>
      <c r="AX3279">
        <v>0</v>
      </c>
      <c r="AY3279">
        <v>2</v>
      </c>
      <c r="AZ3279">
        <v>0</v>
      </c>
      <c r="BA3279" t="s">
        <v>193</v>
      </c>
      <c r="BB3279" t="s">
        <v>193</v>
      </c>
      <c r="BC3279">
        <v>0</v>
      </c>
      <c r="BD3279" t="s">
        <v>65</v>
      </c>
      <c r="BE3279">
        <v>4</v>
      </c>
      <c r="BF3279">
        <v>0</v>
      </c>
      <c r="BG3279" t="s">
        <v>12736</v>
      </c>
      <c r="BH3279" t="s">
        <v>12737</v>
      </c>
      <c r="BI3279" t="s">
        <v>193</v>
      </c>
      <c r="BJ3279">
        <v>0</v>
      </c>
      <c r="BK3279">
        <v>1</v>
      </c>
      <c r="BL3279" t="s">
        <v>69</v>
      </c>
      <c r="BM3279">
        <v>1.105</v>
      </c>
      <c r="BN3279">
        <v>-0.378</v>
      </c>
    </row>
    <row r="3280" spans="10:66">
      <c r="J3280">
        <v>0</v>
      </c>
      <c r="K3280">
        <v>0</v>
      </c>
      <c r="L3280">
        <v>2</v>
      </c>
      <c r="M3280" t="s">
        <v>25021</v>
      </c>
      <c r="N3280">
        <v>2049</v>
      </c>
      <c r="O3280" t="s">
        <v>12758</v>
      </c>
      <c r="P3280" t="s">
        <v>57</v>
      </c>
      <c r="Q3280">
        <v>2137897</v>
      </c>
      <c r="R3280">
        <v>2138037</v>
      </c>
      <c r="S3280" t="s">
        <v>2302</v>
      </c>
      <c r="T3280">
        <v>47</v>
      </c>
      <c r="U3280" t="s">
        <v>59</v>
      </c>
      <c r="V3280">
        <v>49</v>
      </c>
      <c r="W3280" t="str">
        <f>HYPERLINK("Gene2049-zp_tree_all.dnd", "Gene2049-tree")</f>
        <v>Gene2049-tree</v>
      </c>
      <c r="X3280">
        <v>44</v>
      </c>
      <c r="Y3280">
        <v>3</v>
      </c>
      <c r="Z3280">
        <v>5</v>
      </c>
      <c r="AA3280">
        <v>3</v>
      </c>
      <c r="AB3280">
        <v>0.375</v>
      </c>
      <c r="AC3280" t="s">
        <v>12759</v>
      </c>
      <c r="AD3280" t="s">
        <v>324</v>
      </c>
      <c r="AE3280" t="s">
        <v>62</v>
      </c>
      <c r="AF3280" t="s">
        <v>62</v>
      </c>
      <c r="AG3280">
        <v>1</v>
      </c>
      <c r="AH3280">
        <v>2</v>
      </c>
      <c r="AI3280">
        <v>3</v>
      </c>
      <c r="AJ3280">
        <v>0.4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4</v>
      </c>
      <c r="AT3280">
        <v>0</v>
      </c>
      <c r="AU3280">
        <v>5</v>
      </c>
      <c r="AV3280">
        <v>2</v>
      </c>
      <c r="AW3280">
        <v>3</v>
      </c>
      <c r="AX3280">
        <v>3</v>
      </c>
      <c r="AY3280">
        <v>3</v>
      </c>
      <c r="AZ3280">
        <v>2</v>
      </c>
      <c r="BA3280" t="s">
        <v>12760</v>
      </c>
      <c r="BB3280" t="s">
        <v>12761</v>
      </c>
      <c r="BC3280">
        <v>0.317</v>
      </c>
      <c r="BD3280" t="s">
        <v>65</v>
      </c>
      <c r="BE3280">
        <v>6</v>
      </c>
      <c r="BF3280">
        <v>5</v>
      </c>
      <c r="BG3280" t="s">
        <v>12762</v>
      </c>
      <c r="BH3280" t="s">
        <v>12763</v>
      </c>
      <c r="BI3280" t="s">
        <v>12764</v>
      </c>
      <c r="BJ3280">
        <v>0.13472000000000001</v>
      </c>
      <c r="BK3280">
        <v>0.97899999999999998</v>
      </c>
      <c r="BL3280" t="s">
        <v>69</v>
      </c>
      <c r="BM3280">
        <v>-1.8120000000000001</v>
      </c>
      <c r="BN3280">
        <v>-0.84699999999999998</v>
      </c>
    </row>
    <row r="3281" spans="10:66">
      <c r="J3281">
        <v>0</v>
      </c>
      <c r="K3281">
        <v>7</v>
      </c>
      <c r="L3281">
        <v>0</v>
      </c>
      <c r="M3281" t="s">
        <v>25021</v>
      </c>
      <c r="N3281">
        <v>2063</v>
      </c>
      <c r="O3281" t="s">
        <v>12848</v>
      </c>
      <c r="P3281" t="s">
        <v>57</v>
      </c>
      <c r="Q3281">
        <v>2148676</v>
      </c>
      <c r="R3281">
        <v>2149074</v>
      </c>
      <c r="S3281" t="s">
        <v>12849</v>
      </c>
      <c r="T3281">
        <v>133</v>
      </c>
      <c r="U3281" t="s">
        <v>12850</v>
      </c>
      <c r="V3281">
        <v>39</v>
      </c>
      <c r="W3281" t="str">
        <f>HYPERLINK("Gene2063-zp_tree_all.dnd", "Gene2063-tree")</f>
        <v>Gene2063-tree</v>
      </c>
      <c r="X3281">
        <v>24</v>
      </c>
      <c r="Y3281">
        <v>6</v>
      </c>
      <c r="Z3281">
        <v>8</v>
      </c>
      <c r="AA3281">
        <v>6</v>
      </c>
      <c r="AB3281">
        <v>0.42857000000000001</v>
      </c>
      <c r="AC3281" t="s">
        <v>12851</v>
      </c>
      <c r="AD3281" t="s">
        <v>90</v>
      </c>
      <c r="AE3281" t="s">
        <v>62</v>
      </c>
      <c r="AF3281" t="s">
        <v>62</v>
      </c>
      <c r="AG3281">
        <v>3</v>
      </c>
      <c r="AH3281">
        <v>7</v>
      </c>
      <c r="AI3281">
        <v>12</v>
      </c>
      <c r="AJ3281">
        <v>0.36842000000000003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2</v>
      </c>
      <c r="AQ3281">
        <v>0</v>
      </c>
      <c r="AR3281">
        <v>2</v>
      </c>
      <c r="AS3281">
        <v>9</v>
      </c>
      <c r="AT3281">
        <v>0.18182000000000001</v>
      </c>
      <c r="AU3281">
        <v>11</v>
      </c>
      <c r="AV3281">
        <v>7</v>
      </c>
      <c r="AW3281">
        <v>22</v>
      </c>
      <c r="AX3281">
        <v>11</v>
      </c>
      <c r="AY3281">
        <v>14</v>
      </c>
      <c r="AZ3281">
        <v>8</v>
      </c>
      <c r="BA3281" t="s">
        <v>12852</v>
      </c>
      <c r="BB3281" t="s">
        <v>12853</v>
      </c>
      <c r="BC3281">
        <v>9.7000000000000003E-2</v>
      </c>
      <c r="BD3281" t="s">
        <v>65</v>
      </c>
      <c r="BE3281">
        <v>36</v>
      </c>
      <c r="BF3281">
        <v>19</v>
      </c>
      <c r="BG3281" t="s">
        <v>12854</v>
      </c>
      <c r="BH3281" t="s">
        <v>12855</v>
      </c>
      <c r="BI3281" t="s">
        <v>12856</v>
      </c>
      <c r="BJ3281">
        <v>0.13286000000000001</v>
      </c>
      <c r="BK3281">
        <v>1</v>
      </c>
      <c r="BL3281" t="s">
        <v>69</v>
      </c>
      <c r="BM3281">
        <v>-0.27100000000000002</v>
      </c>
      <c r="BN3281">
        <v>-1.0629999999999999</v>
      </c>
    </row>
    <row r="3282" spans="10:66">
      <c r="J3282">
        <v>0</v>
      </c>
      <c r="K3282">
        <v>13</v>
      </c>
      <c r="L3282">
        <v>2</v>
      </c>
      <c r="M3282" t="s">
        <v>25021</v>
      </c>
      <c r="N3282">
        <v>2064</v>
      </c>
      <c r="O3282" t="s">
        <v>12857</v>
      </c>
      <c r="P3282" t="s">
        <v>57</v>
      </c>
      <c r="Q3282">
        <v>2149084</v>
      </c>
      <c r="R3282">
        <v>2150034</v>
      </c>
      <c r="S3282" t="s">
        <v>12830</v>
      </c>
      <c r="T3282">
        <v>317</v>
      </c>
      <c r="U3282" t="s">
        <v>108</v>
      </c>
      <c r="V3282">
        <v>44</v>
      </c>
      <c r="W3282" t="str">
        <f>HYPERLINK("Gene2064-zp_tree_all.dnd", "Gene2064-tree")</f>
        <v>Gene2064-tree</v>
      </c>
      <c r="X3282">
        <v>6</v>
      </c>
      <c r="Y3282">
        <v>11</v>
      </c>
      <c r="Z3282">
        <v>6</v>
      </c>
      <c r="AA3282">
        <v>11</v>
      </c>
      <c r="AB3282">
        <v>0.64705999999999997</v>
      </c>
      <c r="AC3282" t="s">
        <v>90</v>
      </c>
      <c r="AD3282" t="s">
        <v>73</v>
      </c>
      <c r="AE3282">
        <v>95384385.856999993</v>
      </c>
      <c r="AF3282" t="s">
        <v>267</v>
      </c>
      <c r="AG3282">
        <v>7</v>
      </c>
      <c r="AH3282">
        <v>15</v>
      </c>
      <c r="AI3282">
        <v>27</v>
      </c>
      <c r="AJ3282">
        <v>0.35714000000000001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4</v>
      </c>
      <c r="AQ3282">
        <v>0</v>
      </c>
      <c r="AR3282">
        <v>4</v>
      </c>
      <c r="AS3282">
        <v>15</v>
      </c>
      <c r="AT3282">
        <v>0.21052999999999999</v>
      </c>
      <c r="AU3282">
        <v>15</v>
      </c>
      <c r="AV3282">
        <v>10</v>
      </c>
      <c r="AW3282">
        <v>18</v>
      </c>
      <c r="AX3282">
        <v>19</v>
      </c>
      <c r="AY3282">
        <v>16</v>
      </c>
      <c r="AZ3282">
        <v>24</v>
      </c>
      <c r="BA3282" t="s">
        <v>12858</v>
      </c>
      <c r="BB3282" t="s">
        <v>12859</v>
      </c>
      <c r="BC3282">
        <v>0.155</v>
      </c>
      <c r="BD3282" t="s">
        <v>65</v>
      </c>
      <c r="BE3282">
        <v>34</v>
      </c>
      <c r="BF3282">
        <v>43</v>
      </c>
      <c r="BG3282" t="s">
        <v>12860</v>
      </c>
      <c r="BH3282" t="s">
        <v>12861</v>
      </c>
      <c r="BI3282" t="s">
        <v>12862</v>
      </c>
      <c r="BJ3282">
        <v>0.39138000000000001</v>
      </c>
      <c r="BK3282">
        <v>0.97</v>
      </c>
      <c r="BL3282" t="s">
        <v>69</v>
      </c>
      <c r="BM3282">
        <v>0.61399999999999999</v>
      </c>
      <c r="BN3282">
        <v>-0.56000000000000005</v>
      </c>
    </row>
    <row r="3283" spans="10:66">
      <c r="J3283">
        <v>0</v>
      </c>
      <c r="K3283">
        <v>0</v>
      </c>
      <c r="L3283">
        <v>0</v>
      </c>
      <c r="M3283" t="s">
        <v>25021</v>
      </c>
      <c r="N3283">
        <v>2069</v>
      </c>
      <c r="O3283" t="s">
        <v>12871</v>
      </c>
      <c r="P3283" t="s">
        <v>57</v>
      </c>
      <c r="Q3283">
        <v>2152927</v>
      </c>
      <c r="R3283">
        <v>2153166</v>
      </c>
      <c r="S3283" t="s">
        <v>12872</v>
      </c>
      <c r="T3283">
        <v>80</v>
      </c>
      <c r="U3283" t="s">
        <v>12873</v>
      </c>
      <c r="V3283">
        <v>18</v>
      </c>
      <c r="W3283" t="str">
        <f>HYPERLINK("Gene2069-zp_tree_all.dnd", "Gene2069-tree")</f>
        <v>Gene2069-tree</v>
      </c>
      <c r="X3283">
        <v>2</v>
      </c>
      <c r="Y3283">
        <v>16</v>
      </c>
      <c r="Z3283">
        <v>2</v>
      </c>
      <c r="AA3283">
        <v>3</v>
      </c>
      <c r="AB3283">
        <v>0.6</v>
      </c>
      <c r="AC3283" t="s">
        <v>81</v>
      </c>
      <c r="AD3283" t="s">
        <v>12874</v>
      </c>
      <c r="AE3283">
        <v>2.0350000000000001</v>
      </c>
      <c r="AF3283" t="s">
        <v>65</v>
      </c>
      <c r="AG3283">
        <v>0</v>
      </c>
      <c r="AH3283">
        <v>0</v>
      </c>
      <c r="AI3283">
        <v>5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2</v>
      </c>
      <c r="AT3283">
        <v>0</v>
      </c>
      <c r="AU3283">
        <v>4</v>
      </c>
      <c r="AV3283">
        <v>2</v>
      </c>
      <c r="AW3283">
        <v>9</v>
      </c>
      <c r="AX3283">
        <v>2</v>
      </c>
      <c r="AY3283">
        <v>2</v>
      </c>
      <c r="AZ3283">
        <v>3</v>
      </c>
      <c r="BA3283" t="s">
        <v>12875</v>
      </c>
      <c r="BB3283" t="s">
        <v>12876</v>
      </c>
      <c r="BC3283">
        <v>1.0649999999999999</v>
      </c>
      <c r="BD3283" t="s">
        <v>65</v>
      </c>
      <c r="BE3283">
        <v>11</v>
      </c>
      <c r="BF3283">
        <v>5</v>
      </c>
      <c r="BG3283" t="s">
        <v>12877</v>
      </c>
      <c r="BH3283" t="s">
        <v>12878</v>
      </c>
      <c r="BI3283" t="s">
        <v>12879</v>
      </c>
      <c r="BJ3283">
        <v>0.14393</v>
      </c>
      <c r="BK3283">
        <v>0.99</v>
      </c>
      <c r="BL3283" t="s">
        <v>69</v>
      </c>
      <c r="BM3283">
        <v>-1.5469999999999999</v>
      </c>
      <c r="BN3283">
        <v>-1.4359999999999999</v>
      </c>
    </row>
    <row r="3284" spans="10:66">
      <c r="J3284">
        <v>0</v>
      </c>
      <c r="K3284">
        <v>0</v>
      </c>
      <c r="L3284">
        <v>0</v>
      </c>
      <c r="M3284" t="s">
        <v>25021</v>
      </c>
      <c r="N3284">
        <v>2080</v>
      </c>
      <c r="O3284" t="s">
        <v>12889</v>
      </c>
      <c r="P3284" t="s">
        <v>57</v>
      </c>
      <c r="Q3284">
        <v>2156239</v>
      </c>
      <c r="R3284">
        <v>2156454</v>
      </c>
      <c r="S3284" t="s">
        <v>389</v>
      </c>
      <c r="T3284">
        <v>72</v>
      </c>
      <c r="U3284" t="s">
        <v>12883</v>
      </c>
      <c r="V3284">
        <v>17</v>
      </c>
      <c r="W3284" t="str">
        <f>HYPERLINK("Gene2080-zp_tree_all.dnd", "Gene2080-tree")</f>
        <v>Gene2080-tree</v>
      </c>
      <c r="X3284">
        <v>17</v>
      </c>
      <c r="Y3284">
        <v>0</v>
      </c>
      <c r="Z3284">
        <v>4</v>
      </c>
      <c r="AA3284">
        <v>0</v>
      </c>
      <c r="AB3284">
        <v>0</v>
      </c>
      <c r="AC3284" t="s">
        <v>12884</v>
      </c>
      <c r="AD3284" t="s">
        <v>62</v>
      </c>
      <c r="AE3284" t="s">
        <v>62</v>
      </c>
      <c r="AF3284" t="s">
        <v>62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3</v>
      </c>
      <c r="AV3284">
        <v>0</v>
      </c>
      <c r="AW3284">
        <v>11</v>
      </c>
      <c r="AX3284">
        <v>0</v>
      </c>
      <c r="AY3284">
        <v>0</v>
      </c>
      <c r="AZ3284">
        <v>0</v>
      </c>
      <c r="BA3284" t="s">
        <v>193</v>
      </c>
      <c r="BB3284" t="s">
        <v>193</v>
      </c>
      <c r="BC3284">
        <v>0</v>
      </c>
      <c r="BD3284" t="s">
        <v>65</v>
      </c>
      <c r="BE3284">
        <v>11</v>
      </c>
      <c r="BF3284">
        <v>0</v>
      </c>
      <c r="BG3284" t="s">
        <v>12890</v>
      </c>
      <c r="BH3284" t="s">
        <v>12891</v>
      </c>
      <c r="BI3284" t="s">
        <v>193</v>
      </c>
      <c r="BJ3284">
        <v>0</v>
      </c>
      <c r="BK3284">
        <v>1</v>
      </c>
      <c r="BL3284" t="s">
        <v>69</v>
      </c>
      <c r="BM3284">
        <v>-2.0169999999999999</v>
      </c>
      <c r="BN3284">
        <v>-2.722</v>
      </c>
    </row>
    <row r="3285" spans="10:66">
      <c r="J3285">
        <v>0</v>
      </c>
      <c r="K3285">
        <v>0</v>
      </c>
      <c r="L3285">
        <v>0</v>
      </c>
      <c r="M3285" t="s">
        <v>25021</v>
      </c>
      <c r="N3285">
        <v>2177</v>
      </c>
      <c r="O3285" t="s">
        <v>12944</v>
      </c>
      <c r="P3285" t="s">
        <v>57</v>
      </c>
      <c r="Q3285">
        <v>2212848</v>
      </c>
      <c r="R3285">
        <v>2213075</v>
      </c>
      <c r="S3285" t="s">
        <v>12938</v>
      </c>
      <c r="T3285">
        <v>76</v>
      </c>
      <c r="U3285" t="s">
        <v>12945</v>
      </c>
      <c r="V3285">
        <v>22</v>
      </c>
      <c r="W3285" t="str">
        <f>HYPERLINK("Gene2177-zp_tree_all.dnd", "Gene2177-tree")</f>
        <v>Gene2177-tree</v>
      </c>
      <c r="X3285">
        <v>2</v>
      </c>
      <c r="Y3285">
        <v>2</v>
      </c>
      <c r="Z3285">
        <v>2</v>
      </c>
      <c r="AA3285">
        <v>2</v>
      </c>
      <c r="AB3285">
        <v>0.5</v>
      </c>
      <c r="AC3285" t="s">
        <v>81</v>
      </c>
      <c r="AD3285" t="s">
        <v>81</v>
      </c>
      <c r="AE3285" t="s">
        <v>62</v>
      </c>
      <c r="AF3285" t="s">
        <v>62</v>
      </c>
      <c r="AG3285">
        <v>0</v>
      </c>
      <c r="AH3285">
        <v>0</v>
      </c>
      <c r="AI3285">
        <v>5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5</v>
      </c>
      <c r="AT3285">
        <v>0</v>
      </c>
      <c r="AU3285">
        <v>3</v>
      </c>
      <c r="AV3285">
        <v>1</v>
      </c>
      <c r="AW3285">
        <v>5</v>
      </c>
      <c r="AX3285">
        <v>5</v>
      </c>
      <c r="AY3285">
        <v>1</v>
      </c>
      <c r="AZ3285">
        <v>0</v>
      </c>
      <c r="BA3285" t="s">
        <v>12946</v>
      </c>
      <c r="BB3285" t="s">
        <v>193</v>
      </c>
      <c r="BC3285">
        <v>1.254</v>
      </c>
      <c r="BD3285" t="s">
        <v>65</v>
      </c>
      <c r="BE3285">
        <v>6</v>
      </c>
      <c r="BF3285">
        <v>5</v>
      </c>
      <c r="BG3285" t="s">
        <v>12947</v>
      </c>
      <c r="BH3285" t="s">
        <v>12948</v>
      </c>
      <c r="BI3285" t="s">
        <v>12949</v>
      </c>
      <c r="BJ3285">
        <v>0.24970000000000001</v>
      </c>
      <c r="BK3285">
        <v>0.96799999999999997</v>
      </c>
      <c r="BL3285" t="s">
        <v>69</v>
      </c>
      <c r="BM3285">
        <v>1.5289999999999999</v>
      </c>
      <c r="BN3285">
        <v>0.98299999999999998</v>
      </c>
    </row>
    <row r="3286" spans="10:66">
      <c r="J3286">
        <v>0</v>
      </c>
      <c r="K3286">
        <v>0</v>
      </c>
      <c r="L3286">
        <v>0</v>
      </c>
      <c r="M3286" t="s">
        <v>25021</v>
      </c>
      <c r="N3286">
        <v>2196</v>
      </c>
      <c r="O3286" t="s">
        <v>12956</v>
      </c>
      <c r="P3286" t="s">
        <v>57</v>
      </c>
      <c r="Q3286">
        <v>2229988</v>
      </c>
      <c r="R3286">
        <v>2230905</v>
      </c>
      <c r="S3286" t="s">
        <v>12900</v>
      </c>
      <c r="T3286">
        <v>306</v>
      </c>
      <c r="U3286" t="s">
        <v>12957</v>
      </c>
      <c r="V3286">
        <v>17</v>
      </c>
      <c r="W3286" t="str">
        <f>HYPERLINK("Gene2196-zp_tree_all.dnd", "Gene2196-tree")</f>
        <v>Gene2196-tree</v>
      </c>
      <c r="X3286">
        <v>15</v>
      </c>
      <c r="Y3286">
        <v>2</v>
      </c>
      <c r="Z3286">
        <v>2</v>
      </c>
      <c r="AA3286">
        <v>2</v>
      </c>
      <c r="AB3286">
        <v>0.5</v>
      </c>
      <c r="AC3286" t="s">
        <v>12915</v>
      </c>
      <c r="AD3286" t="s">
        <v>81</v>
      </c>
      <c r="AE3286" t="s">
        <v>62</v>
      </c>
      <c r="AF3286" t="s">
        <v>62</v>
      </c>
      <c r="AG3286">
        <v>0</v>
      </c>
      <c r="AH3286">
        <v>0</v>
      </c>
      <c r="AI3286">
        <v>6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6</v>
      </c>
      <c r="AT3286">
        <v>0</v>
      </c>
      <c r="AU3286">
        <v>4</v>
      </c>
      <c r="AV3286">
        <v>1</v>
      </c>
      <c r="AW3286">
        <v>45</v>
      </c>
      <c r="AX3286">
        <v>6</v>
      </c>
      <c r="AY3286">
        <v>6</v>
      </c>
      <c r="AZ3286">
        <v>0</v>
      </c>
      <c r="BA3286" t="s">
        <v>12958</v>
      </c>
      <c r="BB3286" t="s">
        <v>193</v>
      </c>
      <c r="BC3286">
        <v>1.02</v>
      </c>
      <c r="BD3286" t="s">
        <v>65</v>
      </c>
      <c r="BE3286">
        <v>51</v>
      </c>
      <c r="BF3286">
        <v>6</v>
      </c>
      <c r="BG3286" t="s">
        <v>12959</v>
      </c>
      <c r="BH3286" t="s">
        <v>12960</v>
      </c>
      <c r="BI3286" t="s">
        <v>12961</v>
      </c>
      <c r="BJ3286">
        <v>2.9790000000000001E-2</v>
      </c>
      <c r="BK3286">
        <v>1</v>
      </c>
      <c r="BL3286" t="s">
        <v>69</v>
      </c>
      <c r="BM3286">
        <v>-1.871</v>
      </c>
      <c r="BN3286">
        <v>-2.0760000000000001</v>
      </c>
    </row>
    <row r="3287" spans="10:66">
      <c r="J3287">
        <v>0</v>
      </c>
      <c r="K3287">
        <v>0</v>
      </c>
      <c r="L3287">
        <v>0</v>
      </c>
      <c r="M3287" t="s">
        <v>25021</v>
      </c>
      <c r="N3287">
        <v>2197</v>
      </c>
      <c r="O3287" t="s">
        <v>12962</v>
      </c>
      <c r="P3287" t="s">
        <v>57</v>
      </c>
      <c r="Q3287">
        <v>2230895</v>
      </c>
      <c r="R3287">
        <v>2232661</v>
      </c>
      <c r="S3287" t="s">
        <v>12963</v>
      </c>
      <c r="T3287">
        <v>589</v>
      </c>
      <c r="U3287" t="s">
        <v>12957</v>
      </c>
      <c r="V3287">
        <v>17</v>
      </c>
      <c r="W3287" t="str">
        <f>HYPERLINK("Gene2197-zp_tree_all.dnd", "Gene2197-tree")</f>
        <v>Gene2197-tree</v>
      </c>
      <c r="X3287">
        <v>2</v>
      </c>
      <c r="Y3287">
        <v>15</v>
      </c>
      <c r="Z3287">
        <v>2</v>
      </c>
      <c r="AA3287">
        <v>2</v>
      </c>
      <c r="AB3287">
        <v>0.5</v>
      </c>
      <c r="AC3287" t="s">
        <v>81</v>
      </c>
      <c r="AD3287" t="s">
        <v>12915</v>
      </c>
      <c r="AE3287">
        <v>3.3639999999999999</v>
      </c>
      <c r="AF3287" t="s">
        <v>65</v>
      </c>
      <c r="AG3287">
        <v>0</v>
      </c>
      <c r="AH3287">
        <v>0</v>
      </c>
      <c r="AI3287">
        <v>3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3</v>
      </c>
      <c r="AT3287">
        <v>0</v>
      </c>
      <c r="AU3287">
        <v>4</v>
      </c>
      <c r="AV3287">
        <v>1</v>
      </c>
      <c r="AW3287">
        <v>49</v>
      </c>
      <c r="AX3287">
        <v>3</v>
      </c>
      <c r="AY3287">
        <v>10</v>
      </c>
      <c r="AZ3287">
        <v>0</v>
      </c>
      <c r="BA3287" t="s">
        <v>12964</v>
      </c>
      <c r="BB3287" t="s">
        <v>193</v>
      </c>
      <c r="BC3287">
        <v>1.47</v>
      </c>
      <c r="BD3287" t="s">
        <v>65</v>
      </c>
      <c r="BE3287">
        <v>59</v>
      </c>
      <c r="BF3287">
        <v>3</v>
      </c>
      <c r="BG3287" t="s">
        <v>12965</v>
      </c>
      <c r="BH3287" t="s">
        <v>12966</v>
      </c>
      <c r="BI3287" t="s">
        <v>12967</v>
      </c>
      <c r="BJ3287">
        <v>1.376E-2</v>
      </c>
      <c r="BK3287">
        <v>1</v>
      </c>
      <c r="BL3287" t="s">
        <v>69</v>
      </c>
      <c r="BM3287">
        <v>-1.385</v>
      </c>
      <c r="BN3287">
        <v>-0.54300000000000004</v>
      </c>
    </row>
    <row r="3288" spans="10:66">
      <c r="J3288">
        <v>0</v>
      </c>
      <c r="K3288">
        <v>6</v>
      </c>
      <c r="L3288">
        <v>3</v>
      </c>
      <c r="M3288" t="s">
        <v>25021</v>
      </c>
      <c r="N3288">
        <v>2198</v>
      </c>
      <c r="O3288" t="s">
        <v>12968</v>
      </c>
      <c r="P3288" t="s">
        <v>57</v>
      </c>
      <c r="Q3288">
        <v>2232682</v>
      </c>
      <c r="R3288">
        <v>2234199</v>
      </c>
      <c r="S3288" t="s">
        <v>12900</v>
      </c>
      <c r="T3288">
        <v>506</v>
      </c>
      <c r="U3288" t="s">
        <v>12957</v>
      </c>
      <c r="V3288">
        <v>17</v>
      </c>
      <c r="W3288" t="str">
        <f>HYPERLINK("Gene2198-zp_tree_all.dnd", "Gene2198-tree")</f>
        <v>Gene2198-tree</v>
      </c>
      <c r="X3288">
        <v>0</v>
      </c>
      <c r="Y3288">
        <v>17</v>
      </c>
      <c r="Z3288">
        <v>0</v>
      </c>
      <c r="AA3288">
        <v>4</v>
      </c>
      <c r="AB3288">
        <v>1</v>
      </c>
      <c r="AC3288" t="s">
        <v>62</v>
      </c>
      <c r="AD3288" t="s">
        <v>12884</v>
      </c>
      <c r="AE3288">
        <v>4.8689999999999998</v>
      </c>
      <c r="AF3288" t="s">
        <v>65</v>
      </c>
      <c r="AG3288">
        <v>4</v>
      </c>
      <c r="AH3288">
        <v>9</v>
      </c>
      <c r="AI3288">
        <v>13</v>
      </c>
      <c r="AJ3288">
        <v>0.40909000000000001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6</v>
      </c>
      <c r="AQ3288">
        <v>3</v>
      </c>
      <c r="AR3288">
        <v>9</v>
      </c>
      <c r="AS3288">
        <v>12</v>
      </c>
      <c r="AT3288">
        <v>0.42857000000000001</v>
      </c>
      <c r="AU3288">
        <v>4</v>
      </c>
      <c r="AV3288">
        <v>1</v>
      </c>
      <c r="AW3288">
        <v>87</v>
      </c>
      <c r="AX3288">
        <v>21</v>
      </c>
      <c r="AY3288">
        <v>9</v>
      </c>
      <c r="AZ3288">
        <v>1</v>
      </c>
      <c r="BA3288" t="s">
        <v>12969</v>
      </c>
      <c r="BB3288" t="s">
        <v>12970</v>
      </c>
      <c r="BC3288">
        <v>2.117</v>
      </c>
      <c r="BD3288" t="s">
        <v>267</v>
      </c>
      <c r="BE3288">
        <v>96</v>
      </c>
      <c r="BF3288">
        <v>22</v>
      </c>
      <c r="BG3288" t="s">
        <v>12971</v>
      </c>
      <c r="BH3288" t="s">
        <v>12972</v>
      </c>
      <c r="BI3288" t="s">
        <v>12973</v>
      </c>
      <c r="BJ3288">
        <v>5.7279999999999998E-2</v>
      </c>
      <c r="BK3288">
        <v>1</v>
      </c>
      <c r="BL3288" t="s">
        <v>69</v>
      </c>
      <c r="BM3288">
        <v>-1.6819999999999999</v>
      </c>
      <c r="BN3288">
        <v>-1.722</v>
      </c>
    </row>
    <row r="3289" spans="10:66">
      <c r="J3289">
        <v>0</v>
      </c>
      <c r="K3289">
        <v>6</v>
      </c>
      <c r="L3289">
        <v>0</v>
      </c>
      <c r="M3289" t="s">
        <v>25021</v>
      </c>
      <c r="N3289">
        <v>2199</v>
      </c>
      <c r="O3289" t="s">
        <v>12974</v>
      </c>
      <c r="P3289" t="s">
        <v>57</v>
      </c>
      <c r="Q3289">
        <v>2234233</v>
      </c>
      <c r="R3289">
        <v>2235666</v>
      </c>
      <c r="S3289" t="s">
        <v>12900</v>
      </c>
      <c r="T3289">
        <v>478</v>
      </c>
      <c r="U3289" t="s">
        <v>12957</v>
      </c>
      <c r="V3289">
        <v>17</v>
      </c>
      <c r="W3289" t="str">
        <f>HYPERLINK("Gene2199-zp_tree_all.dnd", "Gene2199-tree")</f>
        <v>Gene2199-tree</v>
      </c>
      <c r="X3289">
        <v>0</v>
      </c>
      <c r="Y3289">
        <v>17</v>
      </c>
      <c r="Z3289">
        <v>0</v>
      </c>
      <c r="AA3289">
        <v>4</v>
      </c>
      <c r="AB3289">
        <v>1</v>
      </c>
      <c r="AC3289" t="s">
        <v>62</v>
      </c>
      <c r="AD3289" t="s">
        <v>12884</v>
      </c>
      <c r="AE3289">
        <v>4.8689999999999998</v>
      </c>
      <c r="AF3289" t="s">
        <v>65</v>
      </c>
      <c r="AG3289">
        <v>3</v>
      </c>
      <c r="AH3289">
        <v>6</v>
      </c>
      <c r="AI3289">
        <v>24</v>
      </c>
      <c r="AJ3289">
        <v>0.2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4</v>
      </c>
      <c r="AQ3289">
        <v>2</v>
      </c>
      <c r="AR3289">
        <v>6</v>
      </c>
      <c r="AS3289">
        <v>24</v>
      </c>
      <c r="AT3289">
        <v>0.2</v>
      </c>
      <c r="AU3289">
        <v>4</v>
      </c>
      <c r="AV3289">
        <v>1</v>
      </c>
      <c r="AW3289">
        <v>30</v>
      </c>
      <c r="AX3289">
        <v>21</v>
      </c>
      <c r="AY3289">
        <v>26</v>
      </c>
      <c r="AZ3289">
        <v>10</v>
      </c>
      <c r="BA3289" t="s">
        <v>12975</v>
      </c>
      <c r="BB3289" t="s">
        <v>12976</v>
      </c>
      <c r="BC3289">
        <v>7.7960000000000003</v>
      </c>
      <c r="BD3289" t="s">
        <v>267</v>
      </c>
      <c r="BE3289">
        <v>56</v>
      </c>
      <c r="BF3289">
        <v>31</v>
      </c>
      <c r="BG3289" t="s">
        <v>12977</v>
      </c>
      <c r="BH3289" t="s">
        <v>12978</v>
      </c>
      <c r="BI3289" t="s">
        <v>12979</v>
      </c>
      <c r="BJ3289">
        <v>0.12598999999999999</v>
      </c>
      <c r="BK3289">
        <v>1</v>
      </c>
      <c r="BL3289" t="s">
        <v>69</v>
      </c>
      <c r="BM3289">
        <v>-1.4470000000000001</v>
      </c>
      <c r="BN3289">
        <v>-0.41699999999999998</v>
      </c>
    </row>
    <row r="3290" spans="10:66">
      <c r="J3290">
        <v>0</v>
      </c>
      <c r="K3290">
        <v>0</v>
      </c>
      <c r="L3290">
        <v>0</v>
      </c>
      <c r="M3290" t="s">
        <v>25021</v>
      </c>
      <c r="N3290">
        <v>2200</v>
      </c>
      <c r="O3290" t="s">
        <v>12980</v>
      </c>
      <c r="P3290" t="s">
        <v>57</v>
      </c>
      <c r="Q3290">
        <v>2235694</v>
      </c>
      <c r="R3290">
        <v>2236227</v>
      </c>
      <c r="S3290" t="s">
        <v>12900</v>
      </c>
      <c r="T3290">
        <v>178</v>
      </c>
      <c r="U3290" t="s">
        <v>12957</v>
      </c>
      <c r="V3290">
        <v>17</v>
      </c>
      <c r="W3290" t="str">
        <f>HYPERLINK("Gene2200-zp_tree_all.dnd", "Gene2200-tree")</f>
        <v>Gene2200-tree</v>
      </c>
      <c r="X3290">
        <v>0</v>
      </c>
      <c r="Y3290">
        <v>17</v>
      </c>
      <c r="Z3290">
        <v>0</v>
      </c>
      <c r="AA3290">
        <v>4</v>
      </c>
      <c r="AB3290">
        <v>1</v>
      </c>
      <c r="AC3290" t="s">
        <v>62</v>
      </c>
      <c r="AD3290" t="s">
        <v>12884</v>
      </c>
      <c r="AE3290">
        <v>4.8689999999999998</v>
      </c>
      <c r="AF3290" t="s">
        <v>65</v>
      </c>
      <c r="AG3290">
        <v>0</v>
      </c>
      <c r="AH3290">
        <v>0</v>
      </c>
      <c r="AI3290">
        <v>4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4</v>
      </c>
      <c r="AT3290">
        <v>0</v>
      </c>
      <c r="AU3290">
        <v>4</v>
      </c>
      <c r="AV3290">
        <v>1</v>
      </c>
      <c r="AW3290">
        <v>22</v>
      </c>
      <c r="AX3290">
        <v>4</v>
      </c>
      <c r="AY3290">
        <v>1</v>
      </c>
      <c r="AZ3290">
        <v>0</v>
      </c>
      <c r="BA3290" t="s">
        <v>12981</v>
      </c>
      <c r="BB3290" t="s">
        <v>193</v>
      </c>
      <c r="BC3290">
        <v>4.3460000000000001</v>
      </c>
      <c r="BD3290" t="s">
        <v>267</v>
      </c>
      <c r="BE3290">
        <v>23</v>
      </c>
      <c r="BF3290">
        <v>4</v>
      </c>
      <c r="BG3290" t="s">
        <v>12982</v>
      </c>
      <c r="BH3290" t="s">
        <v>12983</v>
      </c>
      <c r="BI3290" t="s">
        <v>12984</v>
      </c>
      <c r="BJ3290">
        <v>5.1389999999999998E-2</v>
      </c>
      <c r="BK3290">
        <v>1</v>
      </c>
      <c r="BL3290" t="s">
        <v>69</v>
      </c>
      <c r="BM3290">
        <v>-1.9219999999999999</v>
      </c>
      <c r="BN3290">
        <v>-2.3319999999999999</v>
      </c>
    </row>
    <row r="3291" spans="10:66">
      <c r="J3291">
        <v>0</v>
      </c>
      <c r="K3291">
        <v>0</v>
      </c>
      <c r="L3291">
        <v>0</v>
      </c>
      <c r="M3291" t="s">
        <v>25021</v>
      </c>
      <c r="N3291">
        <v>2201</v>
      </c>
      <c r="O3291" t="s">
        <v>12985</v>
      </c>
      <c r="P3291" t="s">
        <v>57</v>
      </c>
      <c r="Q3291">
        <v>2236269</v>
      </c>
      <c r="R3291">
        <v>2237282</v>
      </c>
      <c r="S3291" t="s">
        <v>12900</v>
      </c>
      <c r="T3291">
        <v>338</v>
      </c>
      <c r="U3291" t="s">
        <v>12957</v>
      </c>
      <c r="V3291">
        <v>17</v>
      </c>
      <c r="W3291" t="str">
        <f>HYPERLINK("Gene2201-zp_tree_all.dnd", "Gene2201-tree")</f>
        <v>Gene2201-tree</v>
      </c>
      <c r="X3291">
        <v>2</v>
      </c>
      <c r="Y3291">
        <v>15</v>
      </c>
      <c r="Z3291">
        <v>2</v>
      </c>
      <c r="AA3291">
        <v>2</v>
      </c>
      <c r="AB3291">
        <v>0.5</v>
      </c>
      <c r="AC3291" t="s">
        <v>81</v>
      </c>
      <c r="AD3291" t="s">
        <v>12915</v>
      </c>
      <c r="AE3291">
        <v>3.3639999999999999</v>
      </c>
      <c r="AF3291" t="s">
        <v>65</v>
      </c>
      <c r="AG3291">
        <v>0</v>
      </c>
      <c r="AH3291">
        <v>0</v>
      </c>
      <c r="AI3291">
        <v>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</v>
      </c>
      <c r="AT3291">
        <v>0</v>
      </c>
      <c r="AU3291">
        <v>4</v>
      </c>
      <c r="AV3291">
        <v>1</v>
      </c>
      <c r="AW3291">
        <v>48</v>
      </c>
      <c r="AX3291">
        <v>2</v>
      </c>
      <c r="AY3291">
        <v>10</v>
      </c>
      <c r="AZ3291">
        <v>0</v>
      </c>
      <c r="BA3291" t="s">
        <v>12986</v>
      </c>
      <c r="BB3291" t="s">
        <v>193</v>
      </c>
      <c r="BC3291">
        <v>1.21</v>
      </c>
      <c r="BD3291" t="s">
        <v>65</v>
      </c>
      <c r="BE3291">
        <v>58</v>
      </c>
      <c r="BF3291">
        <v>2</v>
      </c>
      <c r="BG3291" t="s">
        <v>12987</v>
      </c>
      <c r="BH3291" t="s">
        <v>12988</v>
      </c>
      <c r="BI3291" t="s">
        <v>12989</v>
      </c>
      <c r="BJ3291">
        <v>9.2300000000000004E-3</v>
      </c>
      <c r="BK3291">
        <v>1</v>
      </c>
      <c r="BL3291" t="s">
        <v>69</v>
      </c>
      <c r="BM3291">
        <v>-2.121</v>
      </c>
      <c r="BN3291">
        <v>-3.0430000000000001</v>
      </c>
    </row>
    <row r="3292" spans="10:66">
      <c r="J3292">
        <v>0</v>
      </c>
      <c r="K3292">
        <v>0</v>
      </c>
      <c r="L3292">
        <v>0</v>
      </c>
      <c r="M3292" t="s">
        <v>25021</v>
      </c>
      <c r="N3292">
        <v>2202</v>
      </c>
      <c r="O3292" t="s">
        <v>12990</v>
      </c>
      <c r="P3292" t="s">
        <v>57</v>
      </c>
      <c r="Q3292">
        <v>2237321</v>
      </c>
      <c r="R3292">
        <v>2237788</v>
      </c>
      <c r="S3292" t="s">
        <v>12900</v>
      </c>
      <c r="T3292">
        <v>156</v>
      </c>
      <c r="U3292" t="s">
        <v>12957</v>
      </c>
      <c r="V3292">
        <v>17</v>
      </c>
      <c r="W3292" t="str">
        <f>HYPERLINK("Gene2202-zp_tree_all.dnd", "Gene2202-tree")</f>
        <v>Gene2202-tree</v>
      </c>
      <c r="X3292">
        <v>2</v>
      </c>
      <c r="Y3292">
        <v>15</v>
      </c>
      <c r="Z3292">
        <v>2</v>
      </c>
      <c r="AA3292">
        <v>2</v>
      </c>
      <c r="AB3292">
        <v>0.5</v>
      </c>
      <c r="AC3292" t="s">
        <v>81</v>
      </c>
      <c r="AD3292" t="s">
        <v>12915</v>
      </c>
      <c r="AE3292">
        <v>3.3639999999999999</v>
      </c>
      <c r="AF3292" t="s">
        <v>65</v>
      </c>
      <c r="AG3292">
        <v>0</v>
      </c>
      <c r="AH3292">
        <v>0</v>
      </c>
      <c r="AI3292">
        <v>2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2</v>
      </c>
      <c r="AT3292">
        <v>0</v>
      </c>
      <c r="AU3292">
        <v>3</v>
      </c>
      <c r="AV3292">
        <v>1</v>
      </c>
      <c r="AW3292">
        <v>11</v>
      </c>
      <c r="AX3292">
        <v>2</v>
      </c>
      <c r="AY3292">
        <v>2</v>
      </c>
      <c r="AZ3292">
        <v>0</v>
      </c>
      <c r="BA3292" t="s">
        <v>12991</v>
      </c>
      <c r="BB3292" t="s">
        <v>193</v>
      </c>
      <c r="BC3292">
        <v>0.85299999999999998</v>
      </c>
      <c r="BD3292" t="s">
        <v>65</v>
      </c>
      <c r="BE3292">
        <v>13</v>
      </c>
      <c r="BF3292">
        <v>2</v>
      </c>
      <c r="BG3292" t="s">
        <v>12992</v>
      </c>
      <c r="BH3292" t="s">
        <v>12993</v>
      </c>
      <c r="BI3292" t="s">
        <v>12994</v>
      </c>
      <c r="BJ3292">
        <v>3.567E-2</v>
      </c>
      <c r="BK3292">
        <v>1</v>
      </c>
      <c r="BL3292" t="s">
        <v>69</v>
      </c>
      <c r="BM3292">
        <v>-1.9750000000000001</v>
      </c>
      <c r="BN3292">
        <v>-2.335</v>
      </c>
    </row>
    <row r="3293" spans="10:66">
      <c r="J3293">
        <v>0</v>
      </c>
      <c r="K3293">
        <v>0</v>
      </c>
      <c r="L3293">
        <v>0</v>
      </c>
      <c r="M3293" t="s">
        <v>25021</v>
      </c>
      <c r="N3293">
        <v>2205</v>
      </c>
      <c r="O3293" t="s">
        <v>12995</v>
      </c>
      <c r="P3293" t="s">
        <v>57</v>
      </c>
      <c r="Q3293">
        <v>2238436</v>
      </c>
      <c r="R3293">
        <v>2239083</v>
      </c>
      <c r="S3293" t="s">
        <v>12900</v>
      </c>
      <c r="T3293">
        <v>216</v>
      </c>
      <c r="U3293" t="s">
        <v>12957</v>
      </c>
      <c r="V3293">
        <v>17</v>
      </c>
      <c r="W3293" t="str">
        <f>HYPERLINK("Gene2205-zp_tree_all.dnd", "Gene2205-tree")</f>
        <v>Gene2205-tree</v>
      </c>
      <c r="X3293">
        <v>15</v>
      </c>
      <c r="Y3293">
        <v>2</v>
      </c>
      <c r="Z3293">
        <v>2</v>
      </c>
      <c r="AA3293">
        <v>2</v>
      </c>
      <c r="AB3293">
        <v>0.5</v>
      </c>
      <c r="AC3293" t="s">
        <v>12915</v>
      </c>
      <c r="AD3293" t="s">
        <v>81</v>
      </c>
      <c r="AE3293" t="s">
        <v>62</v>
      </c>
      <c r="AF3293" t="s">
        <v>62</v>
      </c>
      <c r="AG3293">
        <v>0</v>
      </c>
      <c r="AH3293">
        <v>0</v>
      </c>
      <c r="AI3293">
        <v>4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4</v>
      </c>
      <c r="AT3293">
        <v>0</v>
      </c>
      <c r="AU3293">
        <v>4</v>
      </c>
      <c r="AV3293">
        <v>1</v>
      </c>
      <c r="AW3293">
        <v>8</v>
      </c>
      <c r="AX3293">
        <v>4</v>
      </c>
      <c r="AY3293">
        <v>3</v>
      </c>
      <c r="AZ3293">
        <v>0</v>
      </c>
      <c r="BA3293" t="s">
        <v>12996</v>
      </c>
      <c r="BB3293" t="s">
        <v>193</v>
      </c>
      <c r="BC3293">
        <v>1.7749999999999999</v>
      </c>
      <c r="BD3293" t="s">
        <v>65</v>
      </c>
      <c r="BE3293">
        <v>11</v>
      </c>
      <c r="BF3293">
        <v>4</v>
      </c>
      <c r="BG3293" t="s">
        <v>12997</v>
      </c>
      <c r="BH3293" t="s">
        <v>12998</v>
      </c>
      <c r="BI3293" t="s">
        <v>12999</v>
      </c>
      <c r="BJ3293">
        <v>0.11723</v>
      </c>
      <c r="BK3293">
        <v>1</v>
      </c>
      <c r="BL3293" t="s">
        <v>69</v>
      </c>
      <c r="BM3293">
        <v>-1.8169999999999999</v>
      </c>
      <c r="BN3293">
        <v>-2.411</v>
      </c>
    </row>
    <row r="3294" spans="10:66">
      <c r="J3294">
        <v>0</v>
      </c>
      <c r="K3294">
        <v>0</v>
      </c>
      <c r="L3294">
        <v>0</v>
      </c>
      <c r="M3294" t="s">
        <v>25021</v>
      </c>
      <c r="N3294">
        <v>2206</v>
      </c>
      <c r="O3294" t="s">
        <v>13000</v>
      </c>
      <c r="P3294" t="s">
        <v>57</v>
      </c>
      <c r="Q3294">
        <v>2239083</v>
      </c>
      <c r="R3294">
        <v>2239586</v>
      </c>
      <c r="S3294" t="s">
        <v>12900</v>
      </c>
      <c r="T3294">
        <v>168</v>
      </c>
      <c r="U3294" t="s">
        <v>12873</v>
      </c>
      <c r="V3294">
        <v>18</v>
      </c>
      <c r="W3294" t="str">
        <f>HYPERLINK("Gene2206-zp_tree_all.dnd", "Gene2206-tree")</f>
        <v>Gene2206-tree</v>
      </c>
      <c r="X3294">
        <v>3</v>
      </c>
      <c r="Y3294">
        <v>2</v>
      </c>
      <c r="Z3294">
        <v>3</v>
      </c>
      <c r="AA3294">
        <v>2</v>
      </c>
      <c r="AB3294">
        <v>0.4</v>
      </c>
      <c r="AC3294" t="s">
        <v>324</v>
      </c>
      <c r="AD3294" t="s">
        <v>81</v>
      </c>
      <c r="AE3294" t="s">
        <v>62</v>
      </c>
      <c r="AF3294" t="s">
        <v>62</v>
      </c>
      <c r="AG3294">
        <v>0</v>
      </c>
      <c r="AH3294">
        <v>0</v>
      </c>
      <c r="AI3294">
        <v>6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4</v>
      </c>
      <c r="AT3294">
        <v>0</v>
      </c>
      <c r="AU3294">
        <v>4</v>
      </c>
      <c r="AV3294">
        <v>1</v>
      </c>
      <c r="AW3294">
        <v>11</v>
      </c>
      <c r="AX3294">
        <v>5</v>
      </c>
      <c r="AY3294">
        <v>2</v>
      </c>
      <c r="AZ3294">
        <v>2</v>
      </c>
      <c r="BA3294" t="s">
        <v>13001</v>
      </c>
      <c r="BB3294" t="s">
        <v>13002</v>
      </c>
      <c r="BC3294">
        <v>1.02</v>
      </c>
      <c r="BD3294" t="s">
        <v>65</v>
      </c>
      <c r="BE3294">
        <v>13</v>
      </c>
      <c r="BF3294">
        <v>7</v>
      </c>
      <c r="BG3294" t="s">
        <v>13003</v>
      </c>
      <c r="BH3294" t="s">
        <v>13004</v>
      </c>
      <c r="BI3294" t="s">
        <v>13005</v>
      </c>
      <c r="BJ3294">
        <v>0.15331</v>
      </c>
      <c r="BK3294">
        <v>1</v>
      </c>
      <c r="BL3294" t="s">
        <v>69</v>
      </c>
      <c r="BM3294">
        <v>-2.1459999999999999</v>
      </c>
      <c r="BN3294">
        <v>-2.5139999999999998</v>
      </c>
    </row>
    <row r="3295" spans="10:66">
      <c r="J3295">
        <v>0</v>
      </c>
      <c r="K3295">
        <v>0</v>
      </c>
      <c r="L3295">
        <v>0</v>
      </c>
      <c r="M3295" t="s">
        <v>25021</v>
      </c>
      <c r="N3295">
        <v>2207</v>
      </c>
      <c r="O3295" t="s">
        <v>13006</v>
      </c>
      <c r="P3295" t="s">
        <v>57</v>
      </c>
      <c r="Q3295">
        <v>2239586</v>
      </c>
      <c r="R3295">
        <v>2240293</v>
      </c>
      <c r="S3295" t="s">
        <v>12900</v>
      </c>
      <c r="T3295">
        <v>236</v>
      </c>
      <c r="U3295" t="s">
        <v>12873</v>
      </c>
      <c r="V3295">
        <v>18</v>
      </c>
      <c r="W3295" t="str">
        <f>HYPERLINK("Gene2207-zp_tree_all.dnd", "Gene2207-tree")</f>
        <v>Gene2207-tree</v>
      </c>
      <c r="X3295">
        <v>17</v>
      </c>
      <c r="Y3295">
        <v>1</v>
      </c>
      <c r="Z3295">
        <v>4</v>
      </c>
      <c r="AA3295">
        <v>1</v>
      </c>
      <c r="AB3295">
        <v>0.2</v>
      </c>
      <c r="AC3295" t="s">
        <v>12884</v>
      </c>
      <c r="AD3295" t="s">
        <v>175</v>
      </c>
      <c r="AE3295" t="s">
        <v>62</v>
      </c>
      <c r="AF3295" t="s">
        <v>62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3</v>
      </c>
      <c r="AV3295">
        <v>2</v>
      </c>
      <c r="AW3295">
        <v>14</v>
      </c>
      <c r="AX3295">
        <v>1</v>
      </c>
      <c r="AY3295">
        <v>5</v>
      </c>
      <c r="AZ3295">
        <v>0</v>
      </c>
      <c r="BA3295" t="s">
        <v>13007</v>
      </c>
      <c r="BB3295" t="s">
        <v>193</v>
      </c>
      <c r="BC3295">
        <v>0.68799999999999994</v>
      </c>
      <c r="BD3295" t="s">
        <v>65</v>
      </c>
      <c r="BE3295">
        <v>19</v>
      </c>
      <c r="BF3295">
        <v>1</v>
      </c>
      <c r="BG3295" t="s">
        <v>13008</v>
      </c>
      <c r="BH3295" t="s">
        <v>13009</v>
      </c>
      <c r="BI3295" t="s">
        <v>13010</v>
      </c>
      <c r="BJ3295">
        <v>1.286E-2</v>
      </c>
      <c r="BK3295">
        <v>1</v>
      </c>
      <c r="BL3295" t="s">
        <v>69</v>
      </c>
      <c r="BM3295">
        <v>-1.506</v>
      </c>
      <c r="BN3295">
        <v>-2.194</v>
      </c>
    </row>
    <row r="3296" spans="10:66">
      <c r="J3296">
        <v>0</v>
      </c>
      <c r="K3296">
        <v>0</v>
      </c>
      <c r="L3296">
        <v>0</v>
      </c>
      <c r="M3296" t="s">
        <v>25021</v>
      </c>
      <c r="N3296">
        <v>2208</v>
      </c>
      <c r="O3296" t="s">
        <v>13011</v>
      </c>
      <c r="P3296" t="s">
        <v>57</v>
      </c>
      <c r="Q3296">
        <v>2240339</v>
      </c>
      <c r="R3296">
        <v>2241133</v>
      </c>
      <c r="S3296" t="s">
        <v>12900</v>
      </c>
      <c r="T3296">
        <v>265</v>
      </c>
      <c r="U3296" t="s">
        <v>12873</v>
      </c>
      <c r="V3296">
        <v>18</v>
      </c>
      <c r="W3296" t="str">
        <f>HYPERLINK("Gene2208-zp_tree_all.dnd", "Gene2208-tree")</f>
        <v>Gene2208-tree</v>
      </c>
      <c r="X3296">
        <v>0</v>
      </c>
      <c r="Y3296">
        <v>18</v>
      </c>
      <c r="Z3296">
        <v>0</v>
      </c>
      <c r="AA3296">
        <v>4</v>
      </c>
      <c r="AB3296">
        <v>1</v>
      </c>
      <c r="AC3296" t="s">
        <v>62</v>
      </c>
      <c r="AD3296" t="s">
        <v>13012</v>
      </c>
      <c r="AE3296">
        <v>5.15</v>
      </c>
      <c r="AF3296" t="s">
        <v>65</v>
      </c>
      <c r="AG3296">
        <v>0</v>
      </c>
      <c r="AH3296">
        <v>0</v>
      </c>
      <c r="AI3296">
        <v>4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4</v>
      </c>
      <c r="AT3296">
        <v>0</v>
      </c>
      <c r="AU3296">
        <v>3</v>
      </c>
      <c r="AV3296">
        <v>1</v>
      </c>
      <c r="AW3296">
        <v>6</v>
      </c>
      <c r="AX3296">
        <v>3</v>
      </c>
      <c r="AY3296">
        <v>5</v>
      </c>
      <c r="AZ3296">
        <v>1</v>
      </c>
      <c r="BA3296" t="s">
        <v>13013</v>
      </c>
      <c r="BB3296" t="s">
        <v>13014</v>
      </c>
      <c r="BC3296">
        <v>2.089</v>
      </c>
      <c r="BD3296" t="s">
        <v>267</v>
      </c>
      <c r="BE3296">
        <v>11</v>
      </c>
      <c r="BF3296">
        <v>4</v>
      </c>
      <c r="BG3296" t="s">
        <v>13015</v>
      </c>
      <c r="BH3296" t="s">
        <v>13016</v>
      </c>
      <c r="BI3296" t="s">
        <v>13017</v>
      </c>
      <c r="BJ3296">
        <v>0.1145</v>
      </c>
      <c r="BK3296">
        <v>1</v>
      </c>
      <c r="BL3296" t="s">
        <v>69</v>
      </c>
      <c r="BM3296">
        <v>-1.1759999999999999</v>
      </c>
      <c r="BN3296">
        <v>-0.73899999999999999</v>
      </c>
    </row>
    <row r="3297" spans="10:66">
      <c r="J3297">
        <v>0</v>
      </c>
      <c r="K3297">
        <v>0</v>
      </c>
      <c r="L3297">
        <v>2</v>
      </c>
      <c r="M3297" t="s">
        <v>25021</v>
      </c>
      <c r="N3297">
        <v>2209</v>
      </c>
      <c r="O3297" t="s">
        <v>13018</v>
      </c>
      <c r="P3297" t="s">
        <v>57</v>
      </c>
      <c r="Q3297">
        <v>2241154</v>
      </c>
      <c r="R3297">
        <v>2241762</v>
      </c>
      <c r="S3297" t="s">
        <v>12900</v>
      </c>
      <c r="T3297">
        <v>203</v>
      </c>
      <c r="U3297" t="s">
        <v>12873</v>
      </c>
      <c r="V3297">
        <v>18</v>
      </c>
      <c r="W3297" t="str">
        <f>HYPERLINK("Gene2209-zp_tree_all.dnd", "Gene2209-tree")</f>
        <v>Gene2209-tree</v>
      </c>
      <c r="X3297">
        <v>0</v>
      </c>
      <c r="Y3297">
        <v>18</v>
      </c>
      <c r="Z3297">
        <v>0</v>
      </c>
      <c r="AA3297">
        <v>4</v>
      </c>
      <c r="AB3297">
        <v>1</v>
      </c>
      <c r="AC3297" t="s">
        <v>62</v>
      </c>
      <c r="AD3297" t="s">
        <v>13012</v>
      </c>
      <c r="AE3297">
        <v>5.15</v>
      </c>
      <c r="AF3297" t="s">
        <v>65</v>
      </c>
      <c r="AG3297">
        <v>1</v>
      </c>
      <c r="AH3297">
        <v>2</v>
      </c>
      <c r="AI3297">
        <v>4</v>
      </c>
      <c r="AJ3297">
        <v>0.33333000000000002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2</v>
      </c>
      <c r="AR3297">
        <v>2</v>
      </c>
      <c r="AS3297">
        <v>4</v>
      </c>
      <c r="AT3297">
        <v>0.33333000000000002</v>
      </c>
      <c r="AU3297">
        <v>4</v>
      </c>
      <c r="AV3297">
        <v>0</v>
      </c>
      <c r="AW3297">
        <v>9</v>
      </c>
      <c r="AX3297">
        <v>6</v>
      </c>
      <c r="AY3297">
        <v>0</v>
      </c>
      <c r="AZ3297">
        <v>0</v>
      </c>
      <c r="BA3297" t="s">
        <v>13019</v>
      </c>
      <c r="BB3297" t="s">
        <v>193</v>
      </c>
      <c r="BC3297">
        <v>0.64300000000000002</v>
      </c>
      <c r="BD3297" t="s">
        <v>65</v>
      </c>
      <c r="BE3297">
        <v>9</v>
      </c>
      <c r="BF3297">
        <v>6</v>
      </c>
      <c r="BG3297" t="s">
        <v>13020</v>
      </c>
      <c r="BH3297" t="s">
        <v>13021</v>
      </c>
      <c r="BI3297" t="s">
        <v>13022</v>
      </c>
      <c r="BJ3297">
        <v>0.21303</v>
      </c>
      <c r="BK3297">
        <v>0.99</v>
      </c>
      <c r="BL3297" t="s">
        <v>69</v>
      </c>
      <c r="BM3297">
        <v>-2.1840000000000002</v>
      </c>
      <c r="BN3297">
        <v>-3.0739999999999998</v>
      </c>
    </row>
    <row r="3298" spans="10:66">
      <c r="J3298">
        <v>0</v>
      </c>
      <c r="K3298">
        <v>0</v>
      </c>
      <c r="L3298">
        <v>0</v>
      </c>
      <c r="M3298" t="s">
        <v>25021</v>
      </c>
      <c r="N3298">
        <v>2210</v>
      </c>
      <c r="O3298" t="s">
        <v>13023</v>
      </c>
      <c r="P3298" t="s">
        <v>57</v>
      </c>
      <c r="Q3298">
        <v>2241765</v>
      </c>
      <c r="R3298">
        <v>2241989</v>
      </c>
      <c r="S3298" t="s">
        <v>12870</v>
      </c>
      <c r="T3298">
        <v>75</v>
      </c>
      <c r="U3298" t="s">
        <v>12873</v>
      </c>
      <c r="V3298">
        <v>18</v>
      </c>
      <c r="W3298" t="str">
        <f>HYPERLINK("Gene2210-zp_tree_all.dnd", "Gene2210-tree")</f>
        <v>Gene2210-tree</v>
      </c>
      <c r="X3298">
        <v>18</v>
      </c>
      <c r="Y3298">
        <v>0</v>
      </c>
      <c r="Z3298">
        <v>4</v>
      </c>
      <c r="AA3298">
        <v>0</v>
      </c>
      <c r="AB3298">
        <v>0</v>
      </c>
      <c r="AC3298" t="s">
        <v>13012</v>
      </c>
      <c r="AD3298" t="s">
        <v>62</v>
      </c>
      <c r="AE3298" t="s">
        <v>62</v>
      </c>
      <c r="AF3298" t="s">
        <v>62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3</v>
      </c>
      <c r="AV3298">
        <v>1</v>
      </c>
      <c r="AW3298">
        <v>4</v>
      </c>
      <c r="AX3298">
        <v>0</v>
      </c>
      <c r="AY3298">
        <v>2</v>
      </c>
      <c r="AZ3298">
        <v>0</v>
      </c>
      <c r="BA3298" t="s">
        <v>193</v>
      </c>
      <c r="BB3298" t="s">
        <v>193</v>
      </c>
      <c r="BC3298">
        <v>0</v>
      </c>
      <c r="BD3298" t="s">
        <v>65</v>
      </c>
      <c r="BE3298">
        <v>6</v>
      </c>
      <c r="BF3298">
        <v>0</v>
      </c>
      <c r="BG3298" t="s">
        <v>13024</v>
      </c>
      <c r="BH3298" t="s">
        <v>13025</v>
      </c>
      <c r="BI3298" t="s">
        <v>193</v>
      </c>
      <c r="BJ3298">
        <v>0</v>
      </c>
      <c r="BK3298">
        <v>1</v>
      </c>
      <c r="BL3298" t="s">
        <v>69</v>
      </c>
      <c r="BM3298">
        <v>-0.97299999999999998</v>
      </c>
      <c r="BN3298">
        <v>-0.104</v>
      </c>
    </row>
    <row r="3299" spans="10:66">
      <c r="J3299">
        <v>0</v>
      </c>
      <c r="K3299">
        <v>0</v>
      </c>
      <c r="L3299">
        <v>0</v>
      </c>
      <c r="M3299" t="s">
        <v>25021</v>
      </c>
      <c r="N3299">
        <v>2261</v>
      </c>
      <c r="O3299" t="s">
        <v>13071</v>
      </c>
      <c r="P3299" t="s">
        <v>57</v>
      </c>
      <c r="Q3299">
        <v>2288194</v>
      </c>
      <c r="R3299">
        <v>2288616</v>
      </c>
      <c r="S3299" t="s">
        <v>3745</v>
      </c>
      <c r="T3299">
        <v>141</v>
      </c>
      <c r="U3299" t="s">
        <v>59</v>
      </c>
      <c r="V3299">
        <v>49</v>
      </c>
      <c r="W3299" t="str">
        <f>HYPERLINK("Gene2261-zp_tree_all.dnd", "Gene2261-tree")</f>
        <v>Gene2261-tree</v>
      </c>
      <c r="X3299">
        <v>9</v>
      </c>
      <c r="Y3299">
        <v>1</v>
      </c>
      <c r="Z3299">
        <v>9</v>
      </c>
      <c r="AA3299">
        <v>1</v>
      </c>
      <c r="AB3299">
        <v>0.1</v>
      </c>
      <c r="AC3299" t="s">
        <v>135</v>
      </c>
      <c r="AD3299" t="s">
        <v>175</v>
      </c>
      <c r="AE3299" t="s">
        <v>62</v>
      </c>
      <c r="AF3299" t="s">
        <v>62</v>
      </c>
      <c r="AG3299">
        <v>0</v>
      </c>
      <c r="AH3299">
        <v>0</v>
      </c>
      <c r="AI3299">
        <v>3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9</v>
      </c>
      <c r="AV3299">
        <v>4</v>
      </c>
      <c r="AW3299">
        <v>18</v>
      </c>
      <c r="AX3299">
        <v>1</v>
      </c>
      <c r="AY3299">
        <v>20</v>
      </c>
      <c r="AZ3299">
        <v>2</v>
      </c>
      <c r="BA3299" t="s">
        <v>13072</v>
      </c>
      <c r="BB3299" t="s">
        <v>13073</v>
      </c>
      <c r="BC3299">
        <v>0.187</v>
      </c>
      <c r="BD3299" t="s">
        <v>65</v>
      </c>
      <c r="BE3299">
        <v>38</v>
      </c>
      <c r="BF3299">
        <v>3</v>
      </c>
      <c r="BG3299" t="s">
        <v>13074</v>
      </c>
      <c r="BH3299" t="s">
        <v>13075</v>
      </c>
      <c r="BI3299" t="s">
        <v>13076</v>
      </c>
      <c r="BJ3299">
        <v>2.7210000000000002E-2</v>
      </c>
      <c r="BK3299">
        <v>1</v>
      </c>
      <c r="BL3299" t="s">
        <v>69</v>
      </c>
      <c r="BM3299">
        <v>-1.36</v>
      </c>
      <c r="BN3299">
        <v>-0.77100000000000002</v>
      </c>
    </row>
    <row r="3300" spans="10:66">
      <c r="J3300">
        <v>0</v>
      </c>
      <c r="K3300">
        <v>2</v>
      </c>
      <c r="L3300">
        <v>2</v>
      </c>
      <c r="M3300" t="s">
        <v>25021</v>
      </c>
      <c r="N3300">
        <v>2269</v>
      </c>
      <c r="O3300" t="s">
        <v>13124</v>
      </c>
      <c r="P3300" t="s">
        <v>57</v>
      </c>
      <c r="Q3300">
        <v>2294286</v>
      </c>
      <c r="R3300">
        <v>2295278</v>
      </c>
      <c r="S3300" t="s">
        <v>13125</v>
      </c>
      <c r="T3300">
        <v>331</v>
      </c>
      <c r="U3300" t="s">
        <v>108</v>
      </c>
      <c r="V3300">
        <v>44</v>
      </c>
      <c r="W3300" t="str">
        <f>HYPERLINK("Gene2269-zp_tree_all.dnd", "Gene2269-tree")</f>
        <v>Gene2269-tree</v>
      </c>
      <c r="X3300">
        <v>6</v>
      </c>
      <c r="Y3300">
        <v>7</v>
      </c>
      <c r="Z3300">
        <v>6</v>
      </c>
      <c r="AA3300">
        <v>7</v>
      </c>
      <c r="AB3300">
        <v>0.53846000000000005</v>
      </c>
      <c r="AC3300" t="s">
        <v>90</v>
      </c>
      <c r="AD3300" t="s">
        <v>152</v>
      </c>
      <c r="AE3300" t="s">
        <v>62</v>
      </c>
      <c r="AF3300" t="s">
        <v>62</v>
      </c>
      <c r="AG3300">
        <v>2</v>
      </c>
      <c r="AH3300">
        <v>4</v>
      </c>
      <c r="AI3300">
        <v>13</v>
      </c>
      <c r="AJ3300">
        <v>0.23529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2</v>
      </c>
      <c r="AQ3300">
        <v>0</v>
      </c>
      <c r="AR3300">
        <v>2</v>
      </c>
      <c r="AS3300">
        <v>11</v>
      </c>
      <c r="AT3300">
        <v>0.15384999999999999</v>
      </c>
      <c r="AU3300">
        <v>9</v>
      </c>
      <c r="AV3300">
        <v>9</v>
      </c>
      <c r="AW3300">
        <v>11</v>
      </c>
      <c r="AX3300">
        <v>6</v>
      </c>
      <c r="AY3300">
        <v>11</v>
      </c>
      <c r="AZ3300">
        <v>11</v>
      </c>
      <c r="BA3300" t="s">
        <v>13126</v>
      </c>
      <c r="BB3300" t="s">
        <v>13127</v>
      </c>
      <c r="BC3300">
        <v>0.35099999999999998</v>
      </c>
      <c r="BD3300" t="s">
        <v>65</v>
      </c>
      <c r="BE3300">
        <v>22</v>
      </c>
      <c r="BF3300">
        <v>17</v>
      </c>
      <c r="BG3300" t="s">
        <v>13128</v>
      </c>
      <c r="BH3300" t="s">
        <v>13129</v>
      </c>
      <c r="BI3300" t="s">
        <v>13130</v>
      </c>
      <c r="BJ3300">
        <v>0.25330999999999998</v>
      </c>
      <c r="BK3300">
        <v>1</v>
      </c>
      <c r="BL3300" t="s">
        <v>69</v>
      </c>
      <c r="BM3300">
        <v>-0.20499999999999999</v>
      </c>
      <c r="BN3300">
        <v>-0.29199999999999998</v>
      </c>
    </row>
    <row r="3301" spans="10:66">
      <c r="J3301">
        <v>0</v>
      </c>
      <c r="K3301">
        <v>0</v>
      </c>
      <c r="L3301">
        <v>0</v>
      </c>
      <c r="M3301" t="s">
        <v>25021</v>
      </c>
      <c r="N3301">
        <v>2270</v>
      </c>
      <c r="O3301" t="s">
        <v>13131</v>
      </c>
      <c r="P3301" t="s">
        <v>57</v>
      </c>
      <c r="Q3301">
        <v>2295302</v>
      </c>
      <c r="R3301">
        <v>2295940</v>
      </c>
      <c r="S3301" t="s">
        <v>5589</v>
      </c>
      <c r="T3301">
        <v>213</v>
      </c>
      <c r="U3301" t="s">
        <v>108</v>
      </c>
      <c r="V3301">
        <v>44</v>
      </c>
      <c r="W3301" t="str">
        <f>HYPERLINK("Gene2270-zp_tree_all.dnd", "Gene2270-tree")</f>
        <v>Gene2270-tree</v>
      </c>
      <c r="X3301">
        <v>10</v>
      </c>
      <c r="Y3301">
        <v>2</v>
      </c>
      <c r="Z3301">
        <v>10</v>
      </c>
      <c r="AA3301">
        <v>2</v>
      </c>
      <c r="AB3301">
        <v>0.16667000000000001</v>
      </c>
      <c r="AC3301" t="s">
        <v>117</v>
      </c>
      <c r="AD3301" t="s">
        <v>81</v>
      </c>
      <c r="AE3301" t="s">
        <v>62</v>
      </c>
      <c r="AF3301" t="s">
        <v>62</v>
      </c>
      <c r="AG3301">
        <v>0</v>
      </c>
      <c r="AH3301">
        <v>0</v>
      </c>
      <c r="AI3301">
        <v>3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3</v>
      </c>
      <c r="AT3301">
        <v>0</v>
      </c>
      <c r="AU3301">
        <v>9</v>
      </c>
      <c r="AV3301">
        <v>4</v>
      </c>
      <c r="AW3301">
        <v>10</v>
      </c>
      <c r="AX3301">
        <v>3</v>
      </c>
      <c r="AY3301">
        <v>7</v>
      </c>
      <c r="AZ3301">
        <v>0</v>
      </c>
      <c r="BA3301" t="s">
        <v>13132</v>
      </c>
      <c r="BB3301" t="s">
        <v>193</v>
      </c>
      <c r="BC3301">
        <v>0.67400000000000004</v>
      </c>
      <c r="BD3301" t="s">
        <v>65</v>
      </c>
      <c r="BE3301">
        <v>17</v>
      </c>
      <c r="BF3301">
        <v>3</v>
      </c>
      <c r="BG3301" t="s">
        <v>13133</v>
      </c>
      <c r="BH3301" t="s">
        <v>13134</v>
      </c>
      <c r="BI3301" t="s">
        <v>13135</v>
      </c>
      <c r="BJ3301">
        <v>3.7699999999999997E-2</v>
      </c>
      <c r="BK3301">
        <v>1</v>
      </c>
      <c r="BL3301" t="s">
        <v>69</v>
      </c>
      <c r="BM3301">
        <v>-4.1000000000000002E-2</v>
      </c>
      <c r="BN3301">
        <v>-0.19600000000000001</v>
      </c>
    </row>
    <row r="3302" spans="10:66">
      <c r="J3302">
        <v>0</v>
      </c>
      <c r="K3302">
        <v>7</v>
      </c>
      <c r="L3302">
        <v>2</v>
      </c>
      <c r="M3302" t="s">
        <v>25021</v>
      </c>
      <c r="N3302">
        <v>2282</v>
      </c>
      <c r="O3302" t="s">
        <v>13210</v>
      </c>
      <c r="P3302" t="s">
        <v>57</v>
      </c>
      <c r="Q3302">
        <v>2305378</v>
      </c>
      <c r="R3302">
        <v>2306280</v>
      </c>
      <c r="S3302" t="s">
        <v>13211</v>
      </c>
      <c r="T3302">
        <v>301</v>
      </c>
      <c r="U3302" t="s">
        <v>59</v>
      </c>
      <c r="V3302">
        <v>49</v>
      </c>
      <c r="W3302" t="str">
        <f>HYPERLINK("Gene2282-zp_tree_all.dnd", "Gene2282-tree")</f>
        <v>Gene2282-tree</v>
      </c>
      <c r="X3302">
        <v>28</v>
      </c>
      <c r="Y3302">
        <v>11</v>
      </c>
      <c r="Z3302">
        <v>6</v>
      </c>
      <c r="AA3302">
        <v>11</v>
      </c>
      <c r="AB3302">
        <v>0.64705999999999997</v>
      </c>
      <c r="AC3302" t="s">
        <v>5497</v>
      </c>
      <c r="AD3302" t="s">
        <v>73</v>
      </c>
      <c r="AE3302">
        <v>5.1890000000000001</v>
      </c>
      <c r="AF3302" t="s">
        <v>267</v>
      </c>
      <c r="AG3302">
        <v>4</v>
      </c>
      <c r="AH3302">
        <v>9</v>
      </c>
      <c r="AI3302">
        <v>14</v>
      </c>
      <c r="AJ3302">
        <v>0.39129999999999998</v>
      </c>
      <c r="AK3302">
        <v>0</v>
      </c>
      <c r="AL3302">
        <v>0</v>
      </c>
      <c r="AM3302">
        <v>0</v>
      </c>
      <c r="AN3302">
        <v>2</v>
      </c>
      <c r="AO3302">
        <v>0</v>
      </c>
      <c r="AP3302">
        <v>3</v>
      </c>
      <c r="AQ3302">
        <v>0</v>
      </c>
      <c r="AR3302">
        <v>3</v>
      </c>
      <c r="AS3302">
        <v>9</v>
      </c>
      <c r="AT3302">
        <v>0.25</v>
      </c>
      <c r="AU3302">
        <v>13</v>
      </c>
      <c r="AV3302">
        <v>10</v>
      </c>
      <c r="AW3302">
        <v>20</v>
      </c>
      <c r="AX3302">
        <v>12</v>
      </c>
      <c r="AY3302">
        <v>34</v>
      </c>
      <c r="AZ3302">
        <v>11</v>
      </c>
      <c r="BA3302" t="s">
        <v>13212</v>
      </c>
      <c r="BB3302" t="s">
        <v>13213</v>
      </c>
      <c r="BC3302">
        <v>0.80100000000000005</v>
      </c>
      <c r="BD3302" t="s">
        <v>65</v>
      </c>
      <c r="BE3302">
        <v>54</v>
      </c>
      <c r="BF3302">
        <v>23</v>
      </c>
      <c r="BG3302" t="s">
        <v>13214</v>
      </c>
      <c r="BH3302" t="s">
        <v>13215</v>
      </c>
      <c r="BI3302" t="s">
        <v>13216</v>
      </c>
      <c r="BJ3302">
        <v>9.8799999999999999E-2</v>
      </c>
      <c r="BK3302">
        <v>1</v>
      </c>
      <c r="BL3302" t="s">
        <v>69</v>
      </c>
      <c r="BM3302">
        <v>-1.3919999999999999</v>
      </c>
      <c r="BN3302">
        <v>-1.0169999999999999</v>
      </c>
    </row>
    <row r="3303" spans="10:66">
      <c r="J3303">
        <v>0</v>
      </c>
      <c r="K3303">
        <v>0</v>
      </c>
      <c r="L3303">
        <v>0</v>
      </c>
      <c r="M3303" t="s">
        <v>25021</v>
      </c>
      <c r="N3303">
        <v>2283</v>
      </c>
      <c r="O3303" t="s">
        <v>13217</v>
      </c>
      <c r="P3303" t="s">
        <v>57</v>
      </c>
      <c r="Q3303">
        <v>2306514</v>
      </c>
      <c r="R3303">
        <v>2307659</v>
      </c>
      <c r="S3303" t="s">
        <v>13218</v>
      </c>
      <c r="T3303">
        <v>382</v>
      </c>
      <c r="U3303" t="s">
        <v>108</v>
      </c>
      <c r="V3303">
        <v>44</v>
      </c>
      <c r="W3303" t="str">
        <f>HYPERLINK("Gene2283-zp_tree_all.dnd", "Gene2283-tree")</f>
        <v>Gene2283-tree</v>
      </c>
      <c r="X3303">
        <v>29</v>
      </c>
      <c r="Y3303">
        <v>3</v>
      </c>
      <c r="Z3303">
        <v>6</v>
      </c>
      <c r="AA3303">
        <v>3</v>
      </c>
      <c r="AB3303">
        <v>0.33333000000000002</v>
      </c>
      <c r="AC3303" t="s">
        <v>3696</v>
      </c>
      <c r="AD3303" t="s">
        <v>324</v>
      </c>
      <c r="AE3303" t="s">
        <v>62</v>
      </c>
      <c r="AF3303" t="s">
        <v>62</v>
      </c>
      <c r="AG3303">
        <v>0</v>
      </c>
      <c r="AH3303">
        <v>0</v>
      </c>
      <c r="AI3303">
        <v>4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3</v>
      </c>
      <c r="AT3303">
        <v>0</v>
      </c>
      <c r="AU3303">
        <v>6</v>
      </c>
      <c r="AV3303">
        <v>5</v>
      </c>
      <c r="AW3303">
        <v>8</v>
      </c>
      <c r="AX3303">
        <v>3</v>
      </c>
      <c r="AY3303">
        <v>16</v>
      </c>
      <c r="AZ3303">
        <v>1</v>
      </c>
      <c r="BA3303" t="s">
        <v>13219</v>
      </c>
      <c r="BB3303" t="s">
        <v>13220</v>
      </c>
      <c r="BC3303">
        <v>0.91900000000000004</v>
      </c>
      <c r="BD3303" t="s">
        <v>65</v>
      </c>
      <c r="BE3303">
        <v>24</v>
      </c>
      <c r="BF3303">
        <v>4</v>
      </c>
      <c r="BG3303" t="s">
        <v>13221</v>
      </c>
      <c r="BH3303" t="s">
        <v>13222</v>
      </c>
      <c r="BI3303" t="s">
        <v>13223</v>
      </c>
      <c r="BJ3303">
        <v>3.637E-2</v>
      </c>
      <c r="BK3303">
        <v>1</v>
      </c>
      <c r="BL3303" t="s">
        <v>69</v>
      </c>
      <c r="BM3303">
        <v>-0.155</v>
      </c>
      <c r="BN3303">
        <v>-0.54300000000000004</v>
      </c>
    </row>
    <row r="3304" spans="10:66">
      <c r="J3304">
        <v>0</v>
      </c>
      <c r="K3304">
        <v>4</v>
      </c>
      <c r="L3304">
        <v>2</v>
      </c>
      <c r="M3304" t="s">
        <v>25021</v>
      </c>
      <c r="N3304">
        <v>2284</v>
      </c>
      <c r="O3304" t="s">
        <v>13224</v>
      </c>
      <c r="P3304" t="s">
        <v>57</v>
      </c>
      <c r="Q3304">
        <v>2307743</v>
      </c>
      <c r="R3304">
        <v>2307886</v>
      </c>
      <c r="S3304" t="s">
        <v>13225</v>
      </c>
      <c r="T3304">
        <v>48</v>
      </c>
      <c r="U3304" t="s">
        <v>59</v>
      </c>
      <c r="V3304">
        <v>49</v>
      </c>
      <c r="W3304" t="str">
        <f>HYPERLINK("Gene2284-zp_tree_all.dnd", "Gene2284-tree")</f>
        <v>Gene2284-tree</v>
      </c>
      <c r="X3304">
        <v>28</v>
      </c>
      <c r="Y3304">
        <v>5</v>
      </c>
      <c r="Z3304">
        <v>5</v>
      </c>
      <c r="AA3304">
        <v>5</v>
      </c>
      <c r="AB3304">
        <v>0.5</v>
      </c>
      <c r="AC3304" t="s">
        <v>13226</v>
      </c>
      <c r="AD3304" t="s">
        <v>199</v>
      </c>
      <c r="AE3304" t="s">
        <v>62</v>
      </c>
      <c r="AF3304" t="s">
        <v>62</v>
      </c>
      <c r="AG3304">
        <v>3</v>
      </c>
      <c r="AH3304">
        <v>6</v>
      </c>
      <c r="AI3304">
        <v>4</v>
      </c>
      <c r="AJ3304">
        <v>0.6</v>
      </c>
      <c r="AK3304">
        <v>0</v>
      </c>
      <c r="AL3304">
        <v>0</v>
      </c>
      <c r="AM3304">
        <v>0</v>
      </c>
      <c r="AN3304">
        <v>3</v>
      </c>
      <c r="AO3304">
        <v>0</v>
      </c>
      <c r="AP3304">
        <v>4</v>
      </c>
      <c r="AQ3304">
        <v>0</v>
      </c>
      <c r="AR3304">
        <v>4</v>
      </c>
      <c r="AS3304">
        <v>3</v>
      </c>
      <c r="AT3304">
        <v>0.57142999999999999</v>
      </c>
      <c r="AU3304">
        <v>3</v>
      </c>
      <c r="AV3304">
        <v>7</v>
      </c>
      <c r="AW3304">
        <v>3</v>
      </c>
      <c r="AX3304">
        <v>1</v>
      </c>
      <c r="AY3304">
        <v>1</v>
      </c>
      <c r="AZ3304">
        <v>9</v>
      </c>
      <c r="BA3304" t="s">
        <v>13227</v>
      </c>
      <c r="BB3304" t="s">
        <v>13228</v>
      </c>
      <c r="BC3304">
        <v>0.39400000000000002</v>
      </c>
      <c r="BD3304" t="s">
        <v>65</v>
      </c>
      <c r="BE3304">
        <v>4</v>
      </c>
      <c r="BF3304">
        <v>10</v>
      </c>
      <c r="BG3304" t="s">
        <v>13229</v>
      </c>
      <c r="BH3304" t="s">
        <v>13230</v>
      </c>
      <c r="BI3304" t="s">
        <v>13231</v>
      </c>
      <c r="BJ3304">
        <v>0.84963</v>
      </c>
      <c r="BK3304">
        <v>0.443</v>
      </c>
      <c r="BL3304" t="s">
        <v>635</v>
      </c>
      <c r="BM3304">
        <v>0.309</v>
      </c>
      <c r="BN3304">
        <v>1.4770000000000001</v>
      </c>
    </row>
    <row r="3305" spans="10:66">
      <c r="J3305">
        <v>0</v>
      </c>
      <c r="K3305">
        <v>0</v>
      </c>
      <c r="L3305">
        <v>0</v>
      </c>
      <c r="M3305" t="s">
        <v>25021</v>
      </c>
      <c r="N3305">
        <v>2286</v>
      </c>
      <c r="O3305" t="s">
        <v>13236</v>
      </c>
      <c r="P3305" t="s">
        <v>57</v>
      </c>
      <c r="Q3305">
        <v>2308495</v>
      </c>
      <c r="R3305">
        <v>2308761</v>
      </c>
      <c r="S3305" t="s">
        <v>5691</v>
      </c>
      <c r="T3305">
        <v>89</v>
      </c>
      <c r="U3305" t="s">
        <v>108</v>
      </c>
      <c r="V3305">
        <v>44</v>
      </c>
      <c r="W3305" t="str">
        <f>HYPERLINK("Gene2286-zp_tree_all.dnd", "Gene2286-tree")</f>
        <v>Gene2286-tree</v>
      </c>
      <c r="X3305">
        <v>8</v>
      </c>
      <c r="Y3305">
        <v>6</v>
      </c>
      <c r="Z3305">
        <v>8</v>
      </c>
      <c r="AA3305">
        <v>6</v>
      </c>
      <c r="AB3305">
        <v>0.42857000000000001</v>
      </c>
      <c r="AC3305" t="s">
        <v>136</v>
      </c>
      <c r="AD3305" t="s">
        <v>90</v>
      </c>
      <c r="AE3305" t="s">
        <v>62</v>
      </c>
      <c r="AF3305" t="s">
        <v>62</v>
      </c>
      <c r="AG3305">
        <v>0</v>
      </c>
      <c r="AH3305">
        <v>0</v>
      </c>
      <c r="AI3305">
        <v>8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7</v>
      </c>
      <c r="AT3305">
        <v>0</v>
      </c>
      <c r="AU3305">
        <v>8</v>
      </c>
      <c r="AV3305">
        <v>7</v>
      </c>
      <c r="AW3305">
        <v>6</v>
      </c>
      <c r="AX3305">
        <v>6</v>
      </c>
      <c r="AY3305">
        <v>7</v>
      </c>
      <c r="AZ3305">
        <v>2</v>
      </c>
      <c r="BA3305" t="s">
        <v>13237</v>
      </c>
      <c r="BB3305" t="s">
        <v>13238</v>
      </c>
      <c r="BC3305">
        <v>1.3959999999999999</v>
      </c>
      <c r="BD3305" t="s">
        <v>65</v>
      </c>
      <c r="BE3305">
        <v>13</v>
      </c>
      <c r="BF3305">
        <v>8</v>
      </c>
      <c r="BG3305" t="s">
        <v>13239</v>
      </c>
      <c r="BH3305" t="s">
        <v>13240</v>
      </c>
      <c r="BI3305" t="s">
        <v>13241</v>
      </c>
      <c r="BJ3305">
        <v>0.17523</v>
      </c>
      <c r="BK3305">
        <v>1</v>
      </c>
      <c r="BL3305" t="s">
        <v>69</v>
      </c>
      <c r="BM3305">
        <v>-0.71799999999999997</v>
      </c>
      <c r="BN3305">
        <v>-1.3680000000000001</v>
      </c>
    </row>
    <row r="3306" spans="10:66">
      <c r="J3306">
        <v>0</v>
      </c>
      <c r="K3306">
        <v>5</v>
      </c>
      <c r="L3306">
        <v>2</v>
      </c>
      <c r="M3306" t="s">
        <v>25021</v>
      </c>
      <c r="N3306">
        <v>2289</v>
      </c>
      <c r="O3306" t="s">
        <v>13255</v>
      </c>
      <c r="P3306" t="s">
        <v>57</v>
      </c>
      <c r="Q3306">
        <v>2309730</v>
      </c>
      <c r="R3306">
        <v>2310416</v>
      </c>
      <c r="S3306" t="s">
        <v>13256</v>
      </c>
      <c r="T3306">
        <v>229</v>
      </c>
      <c r="U3306" t="s">
        <v>96</v>
      </c>
      <c r="V3306">
        <v>48</v>
      </c>
      <c r="W3306" t="str">
        <f>HYPERLINK("Gene2289-zp_tree_all.dnd", "Gene2289-tree")</f>
        <v>Gene2289-tree</v>
      </c>
      <c r="X3306">
        <v>9</v>
      </c>
      <c r="Y3306">
        <v>27</v>
      </c>
      <c r="Z3306">
        <v>9</v>
      </c>
      <c r="AA3306">
        <v>8</v>
      </c>
      <c r="AB3306">
        <v>0.47059000000000001</v>
      </c>
      <c r="AC3306" t="s">
        <v>135</v>
      </c>
      <c r="AD3306" t="s">
        <v>282</v>
      </c>
      <c r="AE3306">
        <v>3.7669999999999999</v>
      </c>
      <c r="AF3306" t="s">
        <v>65</v>
      </c>
      <c r="AG3306">
        <v>3</v>
      </c>
      <c r="AH3306">
        <v>7</v>
      </c>
      <c r="AI3306">
        <v>8</v>
      </c>
      <c r="AJ3306">
        <v>0.46666999999999997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2</v>
      </c>
      <c r="AQ3306">
        <v>0</v>
      </c>
      <c r="AR3306">
        <v>2</v>
      </c>
      <c r="AS3306">
        <v>7</v>
      </c>
      <c r="AT3306">
        <v>0.22222</v>
      </c>
      <c r="AU3306">
        <v>13</v>
      </c>
      <c r="AV3306">
        <v>9</v>
      </c>
      <c r="AW3306">
        <v>29</v>
      </c>
      <c r="AX3306">
        <v>7</v>
      </c>
      <c r="AY3306">
        <v>30</v>
      </c>
      <c r="AZ3306">
        <v>8</v>
      </c>
      <c r="BA3306" t="s">
        <v>13257</v>
      </c>
      <c r="BB3306" t="s">
        <v>13258</v>
      </c>
      <c r="BC3306">
        <v>5.0999999999999997E-2</v>
      </c>
      <c r="BD3306" t="s">
        <v>65</v>
      </c>
      <c r="BE3306">
        <v>59</v>
      </c>
      <c r="BF3306">
        <v>15</v>
      </c>
      <c r="BG3306" t="s">
        <v>13259</v>
      </c>
      <c r="BH3306" t="s">
        <v>13260</v>
      </c>
      <c r="BI3306" t="s">
        <v>13261</v>
      </c>
      <c r="BJ3306">
        <v>7.7020000000000005E-2</v>
      </c>
      <c r="BK3306">
        <v>1</v>
      </c>
      <c r="BL3306" t="s">
        <v>69</v>
      </c>
      <c r="BM3306">
        <v>-0.94699999999999995</v>
      </c>
      <c r="BN3306">
        <v>-1.5960000000000001</v>
      </c>
    </row>
    <row r="3307" spans="10:66">
      <c r="J3307">
        <v>0</v>
      </c>
      <c r="K3307">
        <v>6</v>
      </c>
      <c r="L3307">
        <v>1</v>
      </c>
      <c r="M3307" t="s">
        <v>25021</v>
      </c>
      <c r="N3307">
        <v>2290</v>
      </c>
      <c r="O3307" t="s">
        <v>13262</v>
      </c>
      <c r="P3307" t="s">
        <v>57</v>
      </c>
      <c r="Q3307">
        <v>2310419</v>
      </c>
      <c r="R3307">
        <v>2310814</v>
      </c>
      <c r="S3307" t="s">
        <v>13263</v>
      </c>
      <c r="T3307">
        <v>132</v>
      </c>
      <c r="U3307" t="s">
        <v>108</v>
      </c>
      <c r="V3307">
        <v>44</v>
      </c>
      <c r="W3307" t="str">
        <f>HYPERLINK("Gene2290-zp_tree_all.dnd", "Gene2290-tree")</f>
        <v>Gene2290-tree</v>
      </c>
      <c r="X3307">
        <v>5</v>
      </c>
      <c r="Y3307">
        <v>7</v>
      </c>
      <c r="Z3307">
        <v>5</v>
      </c>
      <c r="AA3307">
        <v>7</v>
      </c>
      <c r="AB3307">
        <v>0.58333000000000002</v>
      </c>
      <c r="AC3307" t="s">
        <v>199</v>
      </c>
      <c r="AD3307" t="s">
        <v>152</v>
      </c>
      <c r="AE3307" t="s">
        <v>62</v>
      </c>
      <c r="AF3307" t="s">
        <v>62</v>
      </c>
      <c r="AG3307">
        <v>2</v>
      </c>
      <c r="AH3307">
        <v>7</v>
      </c>
      <c r="AI3307">
        <v>5</v>
      </c>
      <c r="AJ3307">
        <v>0.58333000000000002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2</v>
      </c>
      <c r="AQ3307">
        <v>1</v>
      </c>
      <c r="AR3307">
        <v>3</v>
      </c>
      <c r="AS3307">
        <v>6</v>
      </c>
      <c r="AT3307">
        <v>0.33333000000000002</v>
      </c>
      <c r="AU3307">
        <v>7</v>
      </c>
      <c r="AV3307">
        <v>7</v>
      </c>
      <c r="AW3307">
        <v>12</v>
      </c>
      <c r="AX3307">
        <v>8</v>
      </c>
      <c r="AY3307">
        <v>11</v>
      </c>
      <c r="AZ3307">
        <v>4</v>
      </c>
      <c r="BA3307" t="s">
        <v>13264</v>
      </c>
      <c r="BB3307" t="s">
        <v>13265</v>
      </c>
      <c r="BC3307">
        <v>0.86299999999999999</v>
      </c>
      <c r="BD3307" t="s">
        <v>65</v>
      </c>
      <c r="BE3307">
        <v>23</v>
      </c>
      <c r="BF3307">
        <v>12</v>
      </c>
      <c r="BG3307" t="s">
        <v>13266</v>
      </c>
      <c r="BH3307" t="s">
        <v>13267</v>
      </c>
      <c r="BI3307" t="s">
        <v>13268</v>
      </c>
      <c r="BJ3307">
        <v>0.11743000000000001</v>
      </c>
      <c r="BK3307">
        <v>1</v>
      </c>
      <c r="BL3307" t="s">
        <v>69</v>
      </c>
      <c r="BM3307">
        <v>0.70399999999999996</v>
      </c>
      <c r="BN3307">
        <v>-1.119</v>
      </c>
    </row>
    <row r="3308" spans="10:66">
      <c r="J3308">
        <v>0</v>
      </c>
      <c r="K3308">
        <v>0</v>
      </c>
      <c r="L3308">
        <v>0</v>
      </c>
      <c r="M3308" t="s">
        <v>25021</v>
      </c>
      <c r="N3308">
        <v>2291</v>
      </c>
      <c r="O3308" t="s">
        <v>13269</v>
      </c>
      <c r="P3308" t="s">
        <v>57</v>
      </c>
      <c r="Q3308">
        <v>2310859</v>
      </c>
      <c r="R3308">
        <v>2310984</v>
      </c>
      <c r="S3308" t="s">
        <v>389</v>
      </c>
      <c r="T3308">
        <v>42</v>
      </c>
      <c r="U3308" t="s">
        <v>59</v>
      </c>
      <c r="V3308">
        <v>49</v>
      </c>
      <c r="W3308" t="str">
        <f>HYPERLINK("Gene2291-zp_tree_all.dnd", "Gene2291-tree")</f>
        <v>Gene2291-tree</v>
      </c>
      <c r="X3308">
        <v>35</v>
      </c>
      <c r="Y3308">
        <v>2</v>
      </c>
      <c r="Z3308">
        <v>6</v>
      </c>
      <c r="AA3308">
        <v>2</v>
      </c>
      <c r="AB3308">
        <v>0.25</v>
      </c>
      <c r="AC3308" t="s">
        <v>13270</v>
      </c>
      <c r="AD3308" t="s">
        <v>81</v>
      </c>
      <c r="AE3308" t="s">
        <v>62</v>
      </c>
      <c r="AF3308" t="s">
        <v>62</v>
      </c>
      <c r="AG3308">
        <v>0</v>
      </c>
      <c r="AH3308">
        <v>0</v>
      </c>
      <c r="AI3308">
        <v>3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2</v>
      </c>
      <c r="AT3308">
        <v>0</v>
      </c>
      <c r="AU3308">
        <v>5</v>
      </c>
      <c r="AV3308">
        <v>4</v>
      </c>
      <c r="AW3308">
        <v>3</v>
      </c>
      <c r="AX3308">
        <v>2</v>
      </c>
      <c r="AY3308">
        <v>3</v>
      </c>
      <c r="AZ3308">
        <v>1</v>
      </c>
      <c r="BA3308" t="s">
        <v>13271</v>
      </c>
      <c r="BB3308" t="s">
        <v>13272</v>
      </c>
      <c r="BC3308">
        <v>0.39100000000000001</v>
      </c>
      <c r="BD3308" t="s">
        <v>65</v>
      </c>
      <c r="BE3308">
        <v>6</v>
      </c>
      <c r="BF3308">
        <v>3</v>
      </c>
      <c r="BG3308" t="s">
        <v>13273</v>
      </c>
      <c r="BH3308" t="s">
        <v>13274</v>
      </c>
      <c r="BI3308" t="s">
        <v>13275</v>
      </c>
      <c r="BJ3308">
        <v>0.10538</v>
      </c>
      <c r="BK3308">
        <v>1</v>
      </c>
      <c r="BL3308" t="s">
        <v>69</v>
      </c>
      <c r="BM3308">
        <v>-1.198</v>
      </c>
      <c r="BN3308">
        <v>-1.2729999999999999</v>
      </c>
    </row>
    <row r="3309" spans="10:66">
      <c r="J3309">
        <v>0</v>
      </c>
      <c r="K3309">
        <v>3</v>
      </c>
      <c r="L3309">
        <v>5</v>
      </c>
      <c r="M3309" t="s">
        <v>25021</v>
      </c>
      <c r="N3309">
        <v>2306</v>
      </c>
      <c r="O3309" t="s">
        <v>13367</v>
      </c>
      <c r="P3309" t="s">
        <v>57</v>
      </c>
      <c r="Q3309">
        <v>2325854</v>
      </c>
      <c r="R3309">
        <v>2326678</v>
      </c>
      <c r="S3309" t="s">
        <v>13368</v>
      </c>
      <c r="T3309">
        <v>275</v>
      </c>
      <c r="U3309" t="s">
        <v>108</v>
      </c>
      <c r="V3309">
        <v>44</v>
      </c>
      <c r="W3309" t="str">
        <f>HYPERLINK("Gene2306-zp_tree_all.dnd", "Gene2306-tree")</f>
        <v>Gene2306-tree</v>
      </c>
      <c r="X3309">
        <v>5</v>
      </c>
      <c r="Y3309">
        <v>8</v>
      </c>
      <c r="Z3309">
        <v>5</v>
      </c>
      <c r="AA3309">
        <v>8</v>
      </c>
      <c r="AB3309">
        <v>0.61538000000000004</v>
      </c>
      <c r="AC3309" t="s">
        <v>199</v>
      </c>
      <c r="AD3309" t="s">
        <v>136</v>
      </c>
      <c r="AE3309" t="s">
        <v>62</v>
      </c>
      <c r="AF3309" t="s">
        <v>62</v>
      </c>
      <c r="AG3309">
        <v>3</v>
      </c>
      <c r="AH3309">
        <v>8</v>
      </c>
      <c r="AI3309">
        <v>6</v>
      </c>
      <c r="AJ3309">
        <v>0.57142999999999999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2</v>
      </c>
      <c r="AQ3309">
        <v>2</v>
      </c>
      <c r="AR3309">
        <v>4</v>
      </c>
      <c r="AS3309">
        <v>5</v>
      </c>
      <c r="AT3309">
        <v>0.44444</v>
      </c>
      <c r="AU3309">
        <v>10</v>
      </c>
      <c r="AV3309">
        <v>8</v>
      </c>
      <c r="AW3309">
        <v>13</v>
      </c>
      <c r="AX3309">
        <v>7</v>
      </c>
      <c r="AY3309">
        <v>16</v>
      </c>
      <c r="AZ3309">
        <v>7</v>
      </c>
      <c r="BA3309" t="s">
        <v>13369</v>
      </c>
      <c r="BB3309" t="s">
        <v>13370</v>
      </c>
      <c r="BC3309">
        <v>0.33700000000000002</v>
      </c>
      <c r="BD3309" t="s">
        <v>65</v>
      </c>
      <c r="BE3309">
        <v>29</v>
      </c>
      <c r="BF3309">
        <v>14</v>
      </c>
      <c r="BG3309" t="s">
        <v>13371</v>
      </c>
      <c r="BH3309" t="s">
        <v>13372</v>
      </c>
      <c r="BI3309" t="s">
        <v>13373</v>
      </c>
      <c r="BJ3309">
        <v>0.10047</v>
      </c>
      <c r="BK3309">
        <v>1</v>
      </c>
      <c r="BL3309" t="s">
        <v>69</v>
      </c>
      <c r="BM3309">
        <v>0.39600000000000002</v>
      </c>
      <c r="BN3309">
        <v>0.128</v>
      </c>
    </row>
    <row r="3310" spans="10:66">
      <c r="J3310">
        <v>0</v>
      </c>
      <c r="K3310">
        <v>9</v>
      </c>
      <c r="L3310">
        <v>0</v>
      </c>
      <c r="M3310" t="s">
        <v>25021</v>
      </c>
      <c r="N3310">
        <v>2307</v>
      </c>
      <c r="O3310" t="s">
        <v>13374</v>
      </c>
      <c r="P3310" t="s">
        <v>57</v>
      </c>
      <c r="Q3310">
        <v>2326683</v>
      </c>
      <c r="R3310">
        <v>2327444</v>
      </c>
      <c r="S3310" t="s">
        <v>13375</v>
      </c>
      <c r="T3310">
        <v>254</v>
      </c>
      <c r="U3310" t="s">
        <v>108</v>
      </c>
      <c r="V3310">
        <v>44</v>
      </c>
      <c r="W3310" t="str">
        <f>HYPERLINK("Gene2307-zp_tree_all.dnd", "Gene2307-tree")</f>
        <v>Gene2307-tree</v>
      </c>
      <c r="X3310">
        <v>4</v>
      </c>
      <c r="Y3310">
        <v>7</v>
      </c>
      <c r="Z3310">
        <v>4</v>
      </c>
      <c r="AA3310">
        <v>7</v>
      </c>
      <c r="AB3310">
        <v>0.63636000000000004</v>
      </c>
      <c r="AC3310" t="s">
        <v>61</v>
      </c>
      <c r="AD3310" t="s">
        <v>152</v>
      </c>
      <c r="AE3310" t="s">
        <v>62</v>
      </c>
      <c r="AF3310" t="s">
        <v>62</v>
      </c>
      <c r="AG3310">
        <v>4</v>
      </c>
      <c r="AH3310">
        <v>9</v>
      </c>
      <c r="AI3310">
        <v>10</v>
      </c>
      <c r="AJ3310">
        <v>0.47367999999999999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3</v>
      </c>
      <c r="AQ3310">
        <v>0</v>
      </c>
      <c r="AR3310">
        <v>3</v>
      </c>
      <c r="AS3310">
        <v>9</v>
      </c>
      <c r="AT3310">
        <v>0.25</v>
      </c>
      <c r="AU3310">
        <v>9</v>
      </c>
      <c r="AV3310">
        <v>8</v>
      </c>
      <c r="AW3310">
        <v>18</v>
      </c>
      <c r="AX3310">
        <v>12</v>
      </c>
      <c r="AY3310">
        <v>8</v>
      </c>
      <c r="AZ3310">
        <v>7</v>
      </c>
      <c r="BA3310" t="s">
        <v>13376</v>
      </c>
      <c r="BB3310" t="s">
        <v>13377</v>
      </c>
      <c r="BC3310">
        <v>0.35399999999999998</v>
      </c>
      <c r="BD3310" t="s">
        <v>65</v>
      </c>
      <c r="BE3310">
        <v>26</v>
      </c>
      <c r="BF3310">
        <v>19</v>
      </c>
      <c r="BG3310" t="s">
        <v>13378</v>
      </c>
      <c r="BH3310" t="s">
        <v>13379</v>
      </c>
      <c r="BI3310" t="s">
        <v>13380</v>
      </c>
      <c r="BJ3310">
        <v>0.21848000000000001</v>
      </c>
      <c r="BK3310">
        <v>1</v>
      </c>
      <c r="BL3310" t="s">
        <v>69</v>
      </c>
      <c r="BM3310">
        <v>-0.28399999999999997</v>
      </c>
      <c r="BN3310">
        <v>-1.746</v>
      </c>
    </row>
    <row r="3311" spans="10:66">
      <c r="J3311">
        <v>0</v>
      </c>
      <c r="K3311">
        <v>0</v>
      </c>
      <c r="L3311">
        <v>0</v>
      </c>
      <c r="M3311" t="s">
        <v>25021</v>
      </c>
      <c r="N3311">
        <v>2310</v>
      </c>
      <c r="O3311" t="s">
        <v>13394</v>
      </c>
      <c r="P3311" t="s">
        <v>57</v>
      </c>
      <c r="Q3311">
        <v>2329870</v>
      </c>
      <c r="R3311">
        <v>2330019</v>
      </c>
      <c r="S3311" t="s">
        <v>116</v>
      </c>
      <c r="T3311">
        <v>50</v>
      </c>
      <c r="U3311" t="s">
        <v>59</v>
      </c>
      <c r="V3311">
        <v>49</v>
      </c>
      <c r="W3311" t="str">
        <f>HYPERLINK("Gene2310-zp_tree_all.dnd", "Gene2310-tree")</f>
        <v>Gene2310-tree</v>
      </c>
      <c r="X3311">
        <v>24</v>
      </c>
      <c r="Y3311">
        <v>0</v>
      </c>
      <c r="Z3311">
        <v>7</v>
      </c>
      <c r="AA3311">
        <v>0</v>
      </c>
      <c r="AB3311">
        <v>0</v>
      </c>
      <c r="AC3311" t="s">
        <v>638</v>
      </c>
      <c r="AD3311" t="s">
        <v>62</v>
      </c>
      <c r="AE3311" t="s">
        <v>62</v>
      </c>
      <c r="AF3311" t="s">
        <v>62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4</v>
      </c>
      <c r="AV3311">
        <v>2</v>
      </c>
      <c r="AW3311">
        <v>4</v>
      </c>
      <c r="AX3311">
        <v>0</v>
      </c>
      <c r="AY3311">
        <v>2</v>
      </c>
      <c r="AZ3311">
        <v>0</v>
      </c>
      <c r="BA3311" t="s">
        <v>193</v>
      </c>
      <c r="BB3311" t="s">
        <v>193</v>
      </c>
      <c r="BC3311">
        <v>0</v>
      </c>
      <c r="BD3311" t="s">
        <v>65</v>
      </c>
      <c r="BE3311">
        <v>6</v>
      </c>
      <c r="BF3311">
        <v>0</v>
      </c>
      <c r="BG3311" t="s">
        <v>13395</v>
      </c>
      <c r="BH3311" t="s">
        <v>13396</v>
      </c>
      <c r="BI3311" t="s">
        <v>193</v>
      </c>
      <c r="BJ3311">
        <v>0</v>
      </c>
      <c r="BK3311">
        <v>1</v>
      </c>
      <c r="BL3311" t="s">
        <v>69</v>
      </c>
      <c r="BM3311">
        <v>-0.84399999999999997</v>
      </c>
      <c r="BN3311">
        <v>-1.393</v>
      </c>
    </row>
    <row r="3312" spans="10:66">
      <c r="J3312">
        <v>0</v>
      </c>
      <c r="K3312">
        <v>2</v>
      </c>
      <c r="L3312">
        <v>0</v>
      </c>
      <c r="M3312" t="s">
        <v>25021</v>
      </c>
      <c r="N3312">
        <v>2318</v>
      </c>
      <c r="O3312" t="s">
        <v>13439</v>
      </c>
      <c r="P3312" t="s">
        <v>57</v>
      </c>
      <c r="Q3312">
        <v>2337577</v>
      </c>
      <c r="R3312">
        <v>2337993</v>
      </c>
      <c r="S3312" t="s">
        <v>12493</v>
      </c>
      <c r="T3312">
        <v>139</v>
      </c>
      <c r="U3312" t="s">
        <v>108</v>
      </c>
      <c r="V3312">
        <v>44</v>
      </c>
      <c r="W3312" t="str">
        <f>HYPERLINK("Gene2318-zp_tree_all.dnd", "Gene2318-tree")</f>
        <v>Gene2318-tree</v>
      </c>
      <c r="X3312">
        <v>6</v>
      </c>
      <c r="Y3312">
        <v>6</v>
      </c>
      <c r="Z3312">
        <v>6</v>
      </c>
      <c r="AA3312">
        <v>6</v>
      </c>
      <c r="AB3312">
        <v>0.5</v>
      </c>
      <c r="AC3312" t="s">
        <v>90</v>
      </c>
      <c r="AD3312" t="s">
        <v>90</v>
      </c>
      <c r="AE3312" t="s">
        <v>62</v>
      </c>
      <c r="AF3312" t="s">
        <v>62</v>
      </c>
      <c r="AG3312">
        <v>1</v>
      </c>
      <c r="AH3312">
        <v>2</v>
      </c>
      <c r="AI3312">
        <v>5</v>
      </c>
      <c r="AJ3312">
        <v>0.28571000000000002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2</v>
      </c>
      <c r="AQ3312">
        <v>0</v>
      </c>
      <c r="AR3312">
        <v>2</v>
      </c>
      <c r="AS3312">
        <v>4</v>
      </c>
      <c r="AT3312">
        <v>0.33333000000000002</v>
      </c>
      <c r="AU3312">
        <v>7</v>
      </c>
      <c r="AV3312">
        <v>5</v>
      </c>
      <c r="AW3312">
        <v>5</v>
      </c>
      <c r="AX3312">
        <v>4</v>
      </c>
      <c r="AY3312">
        <v>2</v>
      </c>
      <c r="AZ3312">
        <v>3</v>
      </c>
      <c r="BA3312" t="s">
        <v>13440</v>
      </c>
      <c r="BB3312" t="s">
        <v>13441</v>
      </c>
      <c r="BC3312">
        <v>0.45500000000000002</v>
      </c>
      <c r="BD3312" t="s">
        <v>65</v>
      </c>
      <c r="BE3312">
        <v>7</v>
      </c>
      <c r="BF3312">
        <v>7</v>
      </c>
      <c r="BG3312" t="s">
        <v>13442</v>
      </c>
      <c r="BH3312" t="s">
        <v>13443</v>
      </c>
      <c r="BI3312" t="s">
        <v>13444</v>
      </c>
      <c r="BJ3312">
        <v>0.27729999999999999</v>
      </c>
      <c r="BK3312">
        <v>0.91600000000000004</v>
      </c>
      <c r="BL3312" t="s">
        <v>635</v>
      </c>
      <c r="BM3312">
        <v>-0.22700000000000001</v>
      </c>
      <c r="BN3312">
        <v>0.43</v>
      </c>
    </row>
    <row r="3313" spans="10:66">
      <c r="J3313">
        <v>0</v>
      </c>
      <c r="K3313">
        <v>0</v>
      </c>
      <c r="L3313">
        <v>0</v>
      </c>
      <c r="M3313" t="s">
        <v>25021</v>
      </c>
      <c r="N3313">
        <v>2320</v>
      </c>
      <c r="O3313" t="s">
        <v>13452</v>
      </c>
      <c r="P3313" t="s">
        <v>57</v>
      </c>
      <c r="Q3313">
        <v>2338582</v>
      </c>
      <c r="R3313">
        <v>2338767</v>
      </c>
      <c r="S3313" t="s">
        <v>12093</v>
      </c>
      <c r="T3313">
        <v>62</v>
      </c>
      <c r="U3313" t="s">
        <v>59</v>
      </c>
      <c r="V3313">
        <v>49</v>
      </c>
      <c r="W3313" t="str">
        <f>HYPERLINK("Gene2320-zp_tree_all.dnd", "Gene2320-tree")</f>
        <v>Gene2320-tree</v>
      </c>
      <c r="X3313">
        <v>2</v>
      </c>
      <c r="Y3313">
        <v>2</v>
      </c>
      <c r="Z3313">
        <v>2</v>
      </c>
      <c r="AA3313">
        <v>2</v>
      </c>
      <c r="AB3313">
        <v>0.5</v>
      </c>
      <c r="AC3313" t="s">
        <v>81</v>
      </c>
      <c r="AD3313" t="s">
        <v>81</v>
      </c>
      <c r="AE3313" t="s">
        <v>62</v>
      </c>
      <c r="AF3313" t="s">
        <v>62</v>
      </c>
      <c r="AG3313">
        <v>0</v>
      </c>
      <c r="AH3313">
        <v>0</v>
      </c>
      <c r="AI3313">
        <v>3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3</v>
      </c>
      <c r="AT3313">
        <v>0</v>
      </c>
      <c r="AU3313">
        <v>3</v>
      </c>
      <c r="AV3313">
        <v>0</v>
      </c>
      <c r="AW3313">
        <v>2</v>
      </c>
      <c r="AX3313">
        <v>3</v>
      </c>
      <c r="AY3313">
        <v>0</v>
      </c>
      <c r="AZ3313">
        <v>0</v>
      </c>
      <c r="BA3313" t="s">
        <v>13453</v>
      </c>
      <c r="BB3313" t="s">
        <v>193</v>
      </c>
      <c r="BC3313">
        <v>1.482</v>
      </c>
      <c r="BD3313" t="s">
        <v>65</v>
      </c>
      <c r="BE3313">
        <v>2</v>
      </c>
      <c r="BF3313">
        <v>3</v>
      </c>
      <c r="BG3313" t="s">
        <v>13454</v>
      </c>
      <c r="BH3313" t="s">
        <v>13455</v>
      </c>
      <c r="BI3313" t="s">
        <v>13456</v>
      </c>
      <c r="BJ3313">
        <v>0.43091000000000002</v>
      </c>
      <c r="BK3313">
        <v>0.623</v>
      </c>
      <c r="BL3313" t="s">
        <v>635</v>
      </c>
      <c r="BM3313">
        <v>-1.1080000000000001</v>
      </c>
      <c r="BN3313">
        <v>-1.1919999999999999</v>
      </c>
    </row>
    <row r="3314" spans="10:66">
      <c r="J3314">
        <v>0</v>
      </c>
      <c r="K3314">
        <v>0</v>
      </c>
      <c r="L3314">
        <v>0</v>
      </c>
      <c r="M3314" t="s">
        <v>25021</v>
      </c>
      <c r="N3314">
        <v>2323</v>
      </c>
      <c r="O3314" t="s">
        <v>13469</v>
      </c>
      <c r="P3314" t="s">
        <v>57</v>
      </c>
      <c r="Q3314">
        <v>2339670</v>
      </c>
      <c r="R3314">
        <v>2339771</v>
      </c>
      <c r="S3314" t="s">
        <v>389</v>
      </c>
      <c r="T3314">
        <v>34</v>
      </c>
      <c r="U3314" t="s">
        <v>59</v>
      </c>
      <c r="V3314">
        <v>49</v>
      </c>
      <c r="W3314" t="str">
        <f>HYPERLINK("Gene2323-zp_tree_all.dnd", "Gene2323-tree")</f>
        <v>Gene2323-tree</v>
      </c>
      <c r="X3314">
        <v>4</v>
      </c>
      <c r="Y3314">
        <v>0</v>
      </c>
      <c r="Z3314">
        <v>4</v>
      </c>
      <c r="AA3314">
        <v>0</v>
      </c>
      <c r="AB3314">
        <v>0</v>
      </c>
      <c r="AC3314" t="s">
        <v>61</v>
      </c>
      <c r="AD3314" t="s">
        <v>62</v>
      </c>
      <c r="AE3314" t="s">
        <v>62</v>
      </c>
      <c r="AF3314" t="s">
        <v>62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3</v>
      </c>
      <c r="AV3314">
        <v>0</v>
      </c>
      <c r="AW3314">
        <v>4</v>
      </c>
      <c r="AX3314">
        <v>0</v>
      </c>
      <c r="AY3314">
        <v>0</v>
      </c>
      <c r="AZ3314">
        <v>0</v>
      </c>
      <c r="BA3314" t="s">
        <v>193</v>
      </c>
      <c r="BB3314" t="s">
        <v>193</v>
      </c>
      <c r="BC3314">
        <v>0</v>
      </c>
      <c r="BD3314" t="s">
        <v>65</v>
      </c>
      <c r="BE3314">
        <v>4</v>
      </c>
      <c r="BF3314">
        <v>0</v>
      </c>
      <c r="BG3314" t="s">
        <v>13470</v>
      </c>
      <c r="BH3314" t="s">
        <v>13471</v>
      </c>
      <c r="BI3314" t="s">
        <v>193</v>
      </c>
      <c r="BJ3314">
        <v>0</v>
      </c>
      <c r="BK3314">
        <v>1</v>
      </c>
      <c r="BL3314" t="s">
        <v>69</v>
      </c>
      <c r="BM3314">
        <v>-1.022</v>
      </c>
      <c r="BN3314">
        <v>-9.2999999999999999E-2</v>
      </c>
    </row>
    <row r="3315" spans="10:66">
      <c r="J3315">
        <v>0</v>
      </c>
      <c r="K3315">
        <v>0</v>
      </c>
      <c r="L3315">
        <v>2</v>
      </c>
      <c r="M3315" t="s">
        <v>25021</v>
      </c>
      <c r="N3315">
        <v>2325</v>
      </c>
      <c r="O3315" t="s">
        <v>13478</v>
      </c>
      <c r="P3315" t="s">
        <v>57</v>
      </c>
      <c r="Q3315">
        <v>2340802</v>
      </c>
      <c r="R3315">
        <v>2341419</v>
      </c>
      <c r="S3315" t="s">
        <v>13479</v>
      </c>
      <c r="T3315">
        <v>206</v>
      </c>
      <c r="U3315" t="s">
        <v>59</v>
      </c>
      <c r="V3315">
        <v>49</v>
      </c>
      <c r="W3315" t="str">
        <f>HYPERLINK("Gene2325-zp_tree_all.dnd", "Gene2325-tree")</f>
        <v>Gene2325-tree</v>
      </c>
      <c r="X3315">
        <v>8</v>
      </c>
      <c r="Y3315">
        <v>6</v>
      </c>
      <c r="Z3315">
        <v>8</v>
      </c>
      <c r="AA3315">
        <v>6</v>
      </c>
      <c r="AB3315">
        <v>0.42857000000000001</v>
      </c>
      <c r="AC3315" t="s">
        <v>136</v>
      </c>
      <c r="AD3315" t="s">
        <v>90</v>
      </c>
      <c r="AE3315" t="s">
        <v>62</v>
      </c>
      <c r="AF3315" t="s">
        <v>62</v>
      </c>
      <c r="AG3315">
        <v>1</v>
      </c>
      <c r="AH3315">
        <v>2</v>
      </c>
      <c r="AI3315">
        <v>8</v>
      </c>
      <c r="AJ3315">
        <v>0.2</v>
      </c>
      <c r="AK3315">
        <v>0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6</v>
      </c>
      <c r="AT3315">
        <v>0</v>
      </c>
      <c r="AU3315">
        <v>10</v>
      </c>
      <c r="AV3315">
        <v>6</v>
      </c>
      <c r="AW3315">
        <v>14</v>
      </c>
      <c r="AX3315">
        <v>5</v>
      </c>
      <c r="AY3315">
        <v>19</v>
      </c>
      <c r="AZ3315">
        <v>5</v>
      </c>
      <c r="BA3315" t="s">
        <v>13480</v>
      </c>
      <c r="BB3315" t="s">
        <v>13481</v>
      </c>
      <c r="BC3315">
        <v>0.318</v>
      </c>
      <c r="BD3315" t="s">
        <v>65</v>
      </c>
      <c r="BE3315">
        <v>33</v>
      </c>
      <c r="BF3315">
        <v>10</v>
      </c>
      <c r="BG3315" t="s">
        <v>13482</v>
      </c>
      <c r="BH3315" t="s">
        <v>13483</v>
      </c>
      <c r="BI3315" t="s">
        <v>13484</v>
      </c>
      <c r="BJ3315">
        <v>6.7739999999999995E-2</v>
      </c>
      <c r="BK3315">
        <v>1</v>
      </c>
      <c r="BL3315" t="s">
        <v>69</v>
      </c>
      <c r="BM3315">
        <v>-1.5289999999999999</v>
      </c>
      <c r="BN3315">
        <v>-1.593</v>
      </c>
    </row>
    <row r="3316" spans="10:66">
      <c r="J3316">
        <v>0</v>
      </c>
      <c r="K3316">
        <v>2</v>
      </c>
      <c r="L3316">
        <v>0</v>
      </c>
      <c r="M3316" t="s">
        <v>25021</v>
      </c>
      <c r="N3316">
        <v>2326</v>
      </c>
      <c r="O3316" t="s">
        <v>13485</v>
      </c>
      <c r="P3316" t="s">
        <v>57</v>
      </c>
      <c r="Q3316">
        <v>2341444</v>
      </c>
      <c r="R3316">
        <v>2344185</v>
      </c>
      <c r="S3316" t="s">
        <v>13486</v>
      </c>
      <c r="T3316">
        <v>914</v>
      </c>
      <c r="U3316" t="s">
        <v>13487</v>
      </c>
      <c r="V3316">
        <v>34</v>
      </c>
      <c r="W3316" t="str">
        <f>HYPERLINK("Gene2326-zp_tree_all.dnd", "Gene2326-tree")</f>
        <v>Gene2326-tree</v>
      </c>
      <c r="X3316">
        <v>2</v>
      </c>
      <c r="Y3316">
        <v>5</v>
      </c>
      <c r="Z3316">
        <v>2</v>
      </c>
      <c r="AA3316">
        <v>5</v>
      </c>
      <c r="AB3316">
        <v>0.71428999999999998</v>
      </c>
      <c r="AC3316" t="s">
        <v>81</v>
      </c>
      <c r="AD3316" t="s">
        <v>199</v>
      </c>
      <c r="AE3316" t="s">
        <v>62</v>
      </c>
      <c r="AF3316" t="s">
        <v>62</v>
      </c>
      <c r="AG3316">
        <v>1</v>
      </c>
      <c r="AH3316">
        <v>2</v>
      </c>
      <c r="AI3316">
        <v>8</v>
      </c>
      <c r="AJ3316">
        <v>0.2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2</v>
      </c>
      <c r="AQ3316">
        <v>0</v>
      </c>
      <c r="AR3316">
        <v>2</v>
      </c>
      <c r="AS3316">
        <v>7</v>
      </c>
      <c r="AT3316">
        <v>0.22222</v>
      </c>
      <c r="AU3316">
        <v>6</v>
      </c>
      <c r="AV3316">
        <v>3</v>
      </c>
      <c r="AW3316">
        <v>49</v>
      </c>
      <c r="AX3316">
        <v>9</v>
      </c>
      <c r="AY3316">
        <v>21</v>
      </c>
      <c r="AZ3316">
        <v>1</v>
      </c>
      <c r="BA3316" t="s">
        <v>13488</v>
      </c>
      <c r="BB3316" t="s">
        <v>13489</v>
      </c>
      <c r="BC3316">
        <v>1.0489999999999999</v>
      </c>
      <c r="BD3316" t="s">
        <v>65</v>
      </c>
      <c r="BE3316">
        <v>70</v>
      </c>
      <c r="BF3316">
        <v>10</v>
      </c>
      <c r="BG3316" t="s">
        <v>13490</v>
      </c>
      <c r="BH3316" t="s">
        <v>13491</v>
      </c>
      <c r="BI3316" t="s">
        <v>13492</v>
      </c>
      <c r="BJ3316">
        <v>3.601E-2</v>
      </c>
      <c r="BK3316">
        <v>1</v>
      </c>
      <c r="BL3316" t="s">
        <v>69</v>
      </c>
      <c r="BM3316">
        <v>-1.266</v>
      </c>
      <c r="BN3316">
        <v>-1.839</v>
      </c>
    </row>
    <row r="3317" spans="10:66">
      <c r="J3317">
        <v>0</v>
      </c>
      <c r="K3317">
        <v>0</v>
      </c>
      <c r="L3317">
        <v>0</v>
      </c>
      <c r="M3317" t="s">
        <v>25021</v>
      </c>
      <c r="N3317">
        <v>2345</v>
      </c>
      <c r="O3317" t="s">
        <v>13615</v>
      </c>
      <c r="P3317" t="s">
        <v>57</v>
      </c>
      <c r="Q3317">
        <v>2360630</v>
      </c>
      <c r="R3317">
        <v>2361499</v>
      </c>
      <c r="S3317" t="s">
        <v>3095</v>
      </c>
      <c r="T3317">
        <v>290</v>
      </c>
      <c r="U3317" t="s">
        <v>13568</v>
      </c>
      <c r="V3317">
        <v>40</v>
      </c>
      <c r="W3317" t="str">
        <f>HYPERLINK("Gene2345-zp_tree_all.dnd", "Gene2345-tree")</f>
        <v>Gene2345-tree</v>
      </c>
      <c r="X3317">
        <v>9</v>
      </c>
      <c r="Y3317">
        <v>2</v>
      </c>
      <c r="Z3317">
        <v>9</v>
      </c>
      <c r="AA3317">
        <v>2</v>
      </c>
      <c r="AB3317">
        <v>0.18182000000000001</v>
      </c>
      <c r="AC3317" t="s">
        <v>135</v>
      </c>
      <c r="AD3317" t="s">
        <v>81</v>
      </c>
      <c r="AE3317" t="s">
        <v>62</v>
      </c>
      <c r="AF3317" t="s">
        <v>62</v>
      </c>
      <c r="AG3317">
        <v>0</v>
      </c>
      <c r="AH3317">
        <v>0</v>
      </c>
      <c r="AI3317">
        <v>2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</v>
      </c>
      <c r="AT3317">
        <v>0</v>
      </c>
      <c r="AU3317">
        <v>11</v>
      </c>
      <c r="AV3317">
        <v>2</v>
      </c>
      <c r="AW3317">
        <v>36</v>
      </c>
      <c r="AX3317">
        <v>2</v>
      </c>
      <c r="AY3317">
        <v>3</v>
      </c>
      <c r="AZ3317">
        <v>0</v>
      </c>
      <c r="BA3317" t="s">
        <v>13616</v>
      </c>
      <c r="BB3317" t="s">
        <v>193</v>
      </c>
      <c r="BC3317">
        <v>0.69699999999999995</v>
      </c>
      <c r="BD3317" t="s">
        <v>65</v>
      </c>
      <c r="BE3317">
        <v>39</v>
      </c>
      <c r="BF3317">
        <v>2</v>
      </c>
      <c r="BG3317" t="s">
        <v>582</v>
      </c>
      <c r="BH3317" t="s">
        <v>13617</v>
      </c>
      <c r="BI3317" t="s">
        <v>13618</v>
      </c>
      <c r="BJ3317">
        <v>1.47E-2</v>
      </c>
      <c r="BK3317">
        <v>1</v>
      </c>
      <c r="BL3317" t="s">
        <v>69</v>
      </c>
      <c r="BM3317">
        <v>-1.53</v>
      </c>
      <c r="BN3317">
        <v>-3.734</v>
      </c>
    </row>
    <row r="3318" spans="10:66">
      <c r="J3318">
        <v>0</v>
      </c>
      <c r="K3318">
        <v>0</v>
      </c>
      <c r="L3318">
        <v>2</v>
      </c>
      <c r="M3318" t="s">
        <v>25021</v>
      </c>
      <c r="N3318">
        <v>2382</v>
      </c>
      <c r="O3318" t="s">
        <v>13857</v>
      </c>
      <c r="P3318" t="s">
        <v>57</v>
      </c>
      <c r="Q3318">
        <v>2393428</v>
      </c>
      <c r="R3318">
        <v>2393556</v>
      </c>
      <c r="S3318" t="s">
        <v>5815</v>
      </c>
      <c r="T3318">
        <v>43</v>
      </c>
      <c r="U3318" t="s">
        <v>59</v>
      </c>
      <c r="V3318">
        <v>49</v>
      </c>
      <c r="W3318" t="str">
        <f>HYPERLINK("Gene2382-zp_tree_all.dnd", "Gene2382-tree")</f>
        <v>Gene2382-tree</v>
      </c>
      <c r="X3318">
        <v>28</v>
      </c>
      <c r="Y3318">
        <v>2</v>
      </c>
      <c r="Z3318">
        <v>7</v>
      </c>
      <c r="AA3318">
        <v>2</v>
      </c>
      <c r="AB3318">
        <v>0.22222</v>
      </c>
      <c r="AC3318" t="s">
        <v>4142</v>
      </c>
      <c r="AD3318" t="s">
        <v>81</v>
      </c>
      <c r="AE3318" t="s">
        <v>62</v>
      </c>
      <c r="AF3318" t="s">
        <v>62</v>
      </c>
      <c r="AG3318">
        <v>1</v>
      </c>
      <c r="AH3318">
        <v>2</v>
      </c>
      <c r="AI3318">
        <v>1</v>
      </c>
      <c r="AJ3318">
        <v>0.66666999999999998</v>
      </c>
      <c r="AK3318">
        <v>0</v>
      </c>
      <c r="AL3318">
        <v>0</v>
      </c>
      <c r="AM3318">
        <v>0</v>
      </c>
      <c r="AN3318">
        <v>1</v>
      </c>
      <c r="AO3318">
        <v>0</v>
      </c>
      <c r="AP3318">
        <v>0</v>
      </c>
      <c r="AQ3318">
        <v>0</v>
      </c>
      <c r="AR3318">
        <v>0</v>
      </c>
      <c r="AS3318">
        <v>2</v>
      </c>
      <c r="AT3318">
        <v>0</v>
      </c>
      <c r="AU3318">
        <v>6</v>
      </c>
      <c r="AV3318">
        <v>3</v>
      </c>
      <c r="AW3318">
        <v>7</v>
      </c>
      <c r="AX3318">
        <v>2</v>
      </c>
      <c r="AY3318">
        <v>5</v>
      </c>
      <c r="AZ3318">
        <v>1</v>
      </c>
      <c r="BA3318" t="s">
        <v>13858</v>
      </c>
      <c r="BB3318" t="s">
        <v>13859</v>
      </c>
      <c r="BC3318">
        <v>0.23799999999999999</v>
      </c>
      <c r="BD3318" t="s">
        <v>65</v>
      </c>
      <c r="BE3318">
        <v>12</v>
      </c>
      <c r="BF3318">
        <v>3</v>
      </c>
      <c r="BG3318" t="s">
        <v>13860</v>
      </c>
      <c r="BH3318" t="s">
        <v>13861</v>
      </c>
      <c r="BI3318" t="s">
        <v>13862</v>
      </c>
      <c r="BJ3318">
        <v>5.4359999999999999E-2</v>
      </c>
      <c r="BK3318">
        <v>1</v>
      </c>
      <c r="BL3318" t="s">
        <v>69</v>
      </c>
      <c r="BM3318">
        <v>-1.4550000000000001</v>
      </c>
      <c r="BN3318">
        <v>-1.345</v>
      </c>
    </row>
    <row r="3319" spans="10:66">
      <c r="J3319">
        <v>0</v>
      </c>
      <c r="K3319">
        <v>0</v>
      </c>
      <c r="L3319">
        <v>0</v>
      </c>
      <c r="M3319" t="s">
        <v>25021</v>
      </c>
      <c r="N3319">
        <v>2400</v>
      </c>
      <c r="O3319" t="s">
        <v>13970</v>
      </c>
      <c r="P3319" t="s">
        <v>57</v>
      </c>
      <c r="Q3319">
        <v>2409729</v>
      </c>
      <c r="R3319">
        <v>2409974</v>
      </c>
      <c r="S3319" t="s">
        <v>13971</v>
      </c>
      <c r="T3319">
        <v>82</v>
      </c>
      <c r="U3319" t="s">
        <v>59</v>
      </c>
      <c r="V3319">
        <v>49</v>
      </c>
      <c r="W3319" t="str">
        <f>HYPERLINK("Gene2400-zp_tree_all.dnd", "Gene2400-tree")</f>
        <v>Gene2400-tree</v>
      </c>
      <c r="X3319">
        <v>46</v>
      </c>
      <c r="Y3319">
        <v>1</v>
      </c>
      <c r="Z3319">
        <v>7</v>
      </c>
      <c r="AA3319">
        <v>1</v>
      </c>
      <c r="AB3319">
        <v>0.125</v>
      </c>
      <c r="AC3319" t="s">
        <v>950</v>
      </c>
      <c r="AD3319" t="s">
        <v>175</v>
      </c>
      <c r="AE3319" t="s">
        <v>62</v>
      </c>
      <c r="AF3319" t="s">
        <v>62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0</v>
      </c>
      <c r="AU3319">
        <v>5</v>
      </c>
      <c r="AV3319">
        <v>3</v>
      </c>
      <c r="AW3319">
        <v>4</v>
      </c>
      <c r="AX3319">
        <v>1</v>
      </c>
      <c r="AY3319">
        <v>4</v>
      </c>
      <c r="AZ3319">
        <v>0</v>
      </c>
      <c r="BA3319" t="s">
        <v>13972</v>
      </c>
      <c r="BB3319" t="s">
        <v>193</v>
      </c>
      <c r="BC3319">
        <v>0.52600000000000002</v>
      </c>
      <c r="BD3319" t="s">
        <v>65</v>
      </c>
      <c r="BE3319">
        <v>8</v>
      </c>
      <c r="BF3319">
        <v>1</v>
      </c>
      <c r="BG3319" t="s">
        <v>13973</v>
      </c>
      <c r="BH3319" t="s">
        <v>13974</v>
      </c>
      <c r="BI3319" t="s">
        <v>13975</v>
      </c>
      <c r="BJ3319">
        <v>2.2859999999999998E-2</v>
      </c>
      <c r="BK3319">
        <v>1</v>
      </c>
      <c r="BL3319" t="s">
        <v>69</v>
      </c>
      <c r="BM3319">
        <v>-1.671</v>
      </c>
      <c r="BN3319">
        <v>-1.2729999999999999</v>
      </c>
    </row>
    <row r="3320" spans="10:66">
      <c r="J3320">
        <v>0</v>
      </c>
      <c r="K3320">
        <v>2</v>
      </c>
      <c r="L3320">
        <v>0</v>
      </c>
      <c r="M3320" t="s">
        <v>25021</v>
      </c>
      <c r="N3320">
        <v>2402</v>
      </c>
      <c r="O3320" t="s">
        <v>13982</v>
      </c>
      <c r="P3320" t="s">
        <v>57</v>
      </c>
      <c r="Q3320">
        <v>2411086</v>
      </c>
      <c r="R3320">
        <v>2412660</v>
      </c>
      <c r="S3320" t="s">
        <v>13983</v>
      </c>
      <c r="T3320">
        <v>525</v>
      </c>
      <c r="U3320" t="s">
        <v>108</v>
      </c>
      <c r="V3320">
        <v>44</v>
      </c>
      <c r="W3320" t="str">
        <f>HYPERLINK("Gene2402-zp_tree_all.dnd", "Gene2402-tree")</f>
        <v>Gene2402-tree</v>
      </c>
      <c r="X3320">
        <v>9</v>
      </c>
      <c r="Y3320">
        <v>4</v>
      </c>
      <c r="Z3320">
        <v>9</v>
      </c>
      <c r="AA3320">
        <v>4</v>
      </c>
      <c r="AB3320">
        <v>0.30769000000000002</v>
      </c>
      <c r="AC3320" t="s">
        <v>135</v>
      </c>
      <c r="AD3320" t="s">
        <v>61</v>
      </c>
      <c r="AE3320" t="s">
        <v>62</v>
      </c>
      <c r="AF3320" t="s">
        <v>62</v>
      </c>
      <c r="AG3320">
        <v>1</v>
      </c>
      <c r="AH3320">
        <v>2</v>
      </c>
      <c r="AI3320">
        <v>4</v>
      </c>
      <c r="AJ3320">
        <v>0.33333000000000002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4</v>
      </c>
      <c r="AT3320">
        <v>0</v>
      </c>
      <c r="AU3320">
        <v>13</v>
      </c>
      <c r="AV3320">
        <v>10</v>
      </c>
      <c r="AW3320">
        <v>62</v>
      </c>
      <c r="AX3320">
        <v>4</v>
      </c>
      <c r="AY3320">
        <v>26</v>
      </c>
      <c r="AZ3320">
        <v>2</v>
      </c>
      <c r="BA3320" t="s">
        <v>13984</v>
      </c>
      <c r="BB3320" t="s">
        <v>13985</v>
      </c>
      <c r="BC3320">
        <v>0.106</v>
      </c>
      <c r="BD3320" t="s">
        <v>65</v>
      </c>
      <c r="BE3320">
        <v>88</v>
      </c>
      <c r="BF3320">
        <v>6</v>
      </c>
      <c r="BG3320" t="s">
        <v>13986</v>
      </c>
      <c r="BH3320" t="s">
        <v>13987</v>
      </c>
      <c r="BI3320" t="s">
        <v>13988</v>
      </c>
      <c r="BJ3320">
        <v>1.6459999999999999E-2</v>
      </c>
      <c r="BK3320">
        <v>1</v>
      </c>
      <c r="BL3320" t="s">
        <v>69</v>
      </c>
      <c r="BM3320">
        <v>-1.258</v>
      </c>
      <c r="BN3320">
        <v>-2.9220000000000002</v>
      </c>
    </row>
    <row r="3321" spans="10:66">
      <c r="J3321">
        <v>0</v>
      </c>
      <c r="K3321">
        <v>9</v>
      </c>
      <c r="L3321">
        <v>1</v>
      </c>
      <c r="M3321" t="s">
        <v>25021</v>
      </c>
      <c r="N3321">
        <v>2418</v>
      </c>
      <c r="O3321" t="s">
        <v>14089</v>
      </c>
      <c r="P3321" t="s">
        <v>57</v>
      </c>
      <c r="Q3321">
        <v>2426867</v>
      </c>
      <c r="R3321">
        <v>2427388</v>
      </c>
      <c r="S3321" t="s">
        <v>116</v>
      </c>
      <c r="T3321">
        <v>174</v>
      </c>
      <c r="U3321" t="s">
        <v>10539</v>
      </c>
      <c r="V3321">
        <v>43</v>
      </c>
      <c r="W3321" t="str">
        <f>HYPERLINK("Gene2418-zp_tree_all.dnd", "Gene2418-tree")</f>
        <v>Gene2418-tree</v>
      </c>
      <c r="X3321">
        <v>4</v>
      </c>
      <c r="Y3321">
        <v>9</v>
      </c>
      <c r="Z3321">
        <v>4</v>
      </c>
      <c r="AA3321">
        <v>9</v>
      </c>
      <c r="AB3321">
        <v>0.69230999999999998</v>
      </c>
      <c r="AC3321" t="s">
        <v>61</v>
      </c>
      <c r="AD3321" t="s">
        <v>135</v>
      </c>
      <c r="AE3321" t="s">
        <v>62</v>
      </c>
      <c r="AF3321" t="s">
        <v>62</v>
      </c>
      <c r="AG3321">
        <v>3</v>
      </c>
      <c r="AH3321">
        <v>10</v>
      </c>
      <c r="AI3321">
        <v>8</v>
      </c>
      <c r="AJ3321">
        <v>0.55556000000000005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5</v>
      </c>
      <c r="AQ3321">
        <v>1</v>
      </c>
      <c r="AR3321">
        <v>6</v>
      </c>
      <c r="AS3321">
        <v>6</v>
      </c>
      <c r="AT3321">
        <v>0.5</v>
      </c>
      <c r="AU3321">
        <v>12</v>
      </c>
      <c r="AV3321">
        <v>7</v>
      </c>
      <c r="AW3321">
        <v>21</v>
      </c>
      <c r="AX3321">
        <v>10</v>
      </c>
      <c r="AY3321">
        <v>13</v>
      </c>
      <c r="AZ3321">
        <v>8</v>
      </c>
      <c r="BA3321" t="s">
        <v>14090</v>
      </c>
      <c r="BB3321" t="s">
        <v>14091</v>
      </c>
      <c r="BC3321">
        <v>0.73299999999999998</v>
      </c>
      <c r="BD3321" t="s">
        <v>65</v>
      </c>
      <c r="BE3321">
        <v>34</v>
      </c>
      <c r="BF3321">
        <v>18</v>
      </c>
      <c r="BG3321" t="s">
        <v>14092</v>
      </c>
      <c r="BH3321" t="s">
        <v>14093</v>
      </c>
      <c r="BI3321" t="s">
        <v>14094</v>
      </c>
      <c r="BJ3321">
        <v>0.13245000000000001</v>
      </c>
      <c r="BK3321">
        <v>1</v>
      </c>
      <c r="BL3321" t="s">
        <v>69</v>
      </c>
      <c r="BM3321">
        <v>0.16800000000000001</v>
      </c>
      <c r="BN3321">
        <v>-0.67500000000000004</v>
      </c>
    </row>
    <row r="3322" spans="10:66">
      <c r="J3322">
        <v>0</v>
      </c>
      <c r="K3322">
        <v>2</v>
      </c>
      <c r="L3322">
        <v>0</v>
      </c>
      <c r="M3322" t="s">
        <v>25021</v>
      </c>
      <c r="N3322">
        <v>2426</v>
      </c>
      <c r="O3322" t="s">
        <v>14136</v>
      </c>
      <c r="P3322" t="s">
        <v>57</v>
      </c>
      <c r="Q3322">
        <v>2433137</v>
      </c>
      <c r="R3322">
        <v>2433370</v>
      </c>
      <c r="S3322" t="s">
        <v>2302</v>
      </c>
      <c r="T3322">
        <v>78</v>
      </c>
      <c r="U3322" t="s">
        <v>14137</v>
      </c>
      <c r="V3322">
        <v>36</v>
      </c>
      <c r="W3322" t="str">
        <f>HYPERLINK("Gene2426-zp_tree_all.dnd", "Gene2426-tree")</f>
        <v>Gene2426-tree</v>
      </c>
      <c r="X3322">
        <v>3</v>
      </c>
      <c r="Y3322">
        <v>5</v>
      </c>
      <c r="Z3322">
        <v>3</v>
      </c>
      <c r="AA3322">
        <v>5</v>
      </c>
      <c r="AB3322">
        <v>0.625</v>
      </c>
      <c r="AC3322" t="s">
        <v>324</v>
      </c>
      <c r="AD3322" t="s">
        <v>199</v>
      </c>
      <c r="AE3322" t="s">
        <v>62</v>
      </c>
      <c r="AF3322" t="s">
        <v>62</v>
      </c>
      <c r="AG3322">
        <v>1</v>
      </c>
      <c r="AH3322">
        <v>2</v>
      </c>
      <c r="AI3322">
        <v>9</v>
      </c>
      <c r="AJ3322">
        <v>0.18182000000000001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6</v>
      </c>
      <c r="AT3322">
        <v>0</v>
      </c>
      <c r="AU3322">
        <v>7</v>
      </c>
      <c r="AV3322">
        <v>3</v>
      </c>
      <c r="AW3322">
        <v>3</v>
      </c>
      <c r="AX3322">
        <v>6</v>
      </c>
      <c r="AY3322">
        <v>1</v>
      </c>
      <c r="AZ3322">
        <v>5</v>
      </c>
      <c r="BA3322" t="s">
        <v>14138</v>
      </c>
      <c r="BB3322" t="s">
        <v>14139</v>
      </c>
      <c r="BC3322">
        <v>0.438</v>
      </c>
      <c r="BD3322" t="s">
        <v>65</v>
      </c>
      <c r="BE3322">
        <v>4</v>
      </c>
      <c r="BF3322">
        <v>11</v>
      </c>
      <c r="BG3322" t="s">
        <v>14140</v>
      </c>
      <c r="BH3322" t="s">
        <v>14141</v>
      </c>
      <c r="BI3322" t="s">
        <v>14142</v>
      </c>
      <c r="BJ3322">
        <v>0.66427000000000003</v>
      </c>
      <c r="BK3322">
        <v>0.68400000000000005</v>
      </c>
      <c r="BL3322" t="s">
        <v>635</v>
      </c>
      <c r="BM3322">
        <v>-0.129</v>
      </c>
      <c r="BN3322">
        <v>0.105</v>
      </c>
    </row>
    <row r="3323" spans="10:66">
      <c r="J3323">
        <v>0</v>
      </c>
      <c r="K3323">
        <v>0</v>
      </c>
      <c r="L3323">
        <v>0</v>
      </c>
      <c r="M3323" t="s">
        <v>25021</v>
      </c>
      <c r="N3323">
        <v>2432</v>
      </c>
      <c r="O3323" t="s">
        <v>14156</v>
      </c>
      <c r="P3323" t="s">
        <v>57</v>
      </c>
      <c r="Q3323">
        <v>2435012</v>
      </c>
      <c r="R3323">
        <v>2435221</v>
      </c>
      <c r="S3323" t="s">
        <v>14157</v>
      </c>
      <c r="T3323">
        <v>70</v>
      </c>
      <c r="U3323" t="s">
        <v>108</v>
      </c>
      <c r="V3323">
        <v>44</v>
      </c>
      <c r="W3323" t="str">
        <f>HYPERLINK("Gene2432-zp_tree_all.dnd", "Gene2432-tree")</f>
        <v>Gene2432-tree</v>
      </c>
      <c r="X3323">
        <v>8</v>
      </c>
      <c r="Y3323">
        <v>0</v>
      </c>
      <c r="Z3323">
        <v>8</v>
      </c>
      <c r="AA3323">
        <v>0</v>
      </c>
      <c r="AB3323">
        <v>0</v>
      </c>
      <c r="AC3323" t="s">
        <v>136</v>
      </c>
      <c r="AD3323" t="s">
        <v>62</v>
      </c>
      <c r="AE3323" t="s">
        <v>62</v>
      </c>
      <c r="AF3323" t="s">
        <v>62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6</v>
      </c>
      <c r="AV3323">
        <v>1</v>
      </c>
      <c r="AW3323">
        <v>6</v>
      </c>
      <c r="AX3323">
        <v>0</v>
      </c>
      <c r="AY3323">
        <v>1</v>
      </c>
      <c r="AZ3323">
        <v>0</v>
      </c>
      <c r="BA3323" t="s">
        <v>193</v>
      </c>
      <c r="BB3323" t="s">
        <v>193</v>
      </c>
      <c r="BC3323">
        <v>0</v>
      </c>
      <c r="BD3323" t="s">
        <v>65</v>
      </c>
      <c r="BE3323">
        <v>7</v>
      </c>
      <c r="BF3323">
        <v>0</v>
      </c>
      <c r="BG3323" t="s">
        <v>14158</v>
      </c>
      <c r="BH3323" t="s">
        <v>14159</v>
      </c>
      <c r="BI3323" t="s">
        <v>193</v>
      </c>
      <c r="BJ3323">
        <v>0</v>
      </c>
      <c r="BK3323">
        <v>1</v>
      </c>
      <c r="BL3323" t="s">
        <v>69</v>
      </c>
      <c r="BM3323">
        <v>-0.36799999999999999</v>
      </c>
      <c r="BN3323">
        <v>-1.0269999999999999</v>
      </c>
    </row>
    <row r="3324" spans="10:66">
      <c r="J3324">
        <v>0</v>
      </c>
      <c r="K3324">
        <v>2</v>
      </c>
      <c r="L3324">
        <v>0</v>
      </c>
      <c r="M3324" t="s">
        <v>25021</v>
      </c>
      <c r="N3324">
        <v>2434</v>
      </c>
      <c r="O3324" t="s">
        <v>14167</v>
      </c>
      <c r="P3324" t="s">
        <v>57</v>
      </c>
      <c r="Q3324">
        <v>2436045</v>
      </c>
      <c r="R3324">
        <v>2436914</v>
      </c>
      <c r="S3324" t="s">
        <v>2332</v>
      </c>
      <c r="T3324">
        <v>290</v>
      </c>
      <c r="U3324" t="s">
        <v>108</v>
      </c>
      <c r="V3324">
        <v>44</v>
      </c>
      <c r="W3324" t="str">
        <f>HYPERLINK("Gene2434-zp_tree_all.dnd", "Gene2434-tree")</f>
        <v>Gene2434-tree</v>
      </c>
      <c r="X3324">
        <v>8</v>
      </c>
      <c r="Y3324">
        <v>5</v>
      </c>
      <c r="Z3324">
        <v>8</v>
      </c>
      <c r="AA3324">
        <v>5</v>
      </c>
      <c r="AB3324">
        <v>0.38462000000000002</v>
      </c>
      <c r="AC3324" t="s">
        <v>136</v>
      </c>
      <c r="AD3324" t="s">
        <v>199</v>
      </c>
      <c r="AE3324" t="s">
        <v>62</v>
      </c>
      <c r="AF3324" t="s">
        <v>62</v>
      </c>
      <c r="AG3324">
        <v>1</v>
      </c>
      <c r="AH3324">
        <v>2</v>
      </c>
      <c r="AI3324">
        <v>5</v>
      </c>
      <c r="AJ3324">
        <v>0.28571000000000002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5</v>
      </c>
      <c r="AT3324">
        <v>0</v>
      </c>
      <c r="AU3324">
        <v>11</v>
      </c>
      <c r="AV3324">
        <v>9</v>
      </c>
      <c r="AW3324">
        <v>33</v>
      </c>
      <c r="AX3324">
        <v>5</v>
      </c>
      <c r="AY3324">
        <v>29</v>
      </c>
      <c r="AZ3324">
        <v>2</v>
      </c>
      <c r="BA3324" t="s">
        <v>14168</v>
      </c>
      <c r="BB3324" t="s">
        <v>14169</v>
      </c>
      <c r="BC3324">
        <v>0.65100000000000002</v>
      </c>
      <c r="BD3324" t="s">
        <v>65</v>
      </c>
      <c r="BE3324">
        <v>62</v>
      </c>
      <c r="BF3324">
        <v>7</v>
      </c>
      <c r="BG3324" t="s">
        <v>14170</v>
      </c>
      <c r="BH3324" t="s">
        <v>14171</v>
      </c>
      <c r="BI3324" t="s">
        <v>14172</v>
      </c>
      <c r="BJ3324">
        <v>3.15E-2</v>
      </c>
      <c r="BK3324">
        <v>1</v>
      </c>
      <c r="BL3324" t="s">
        <v>69</v>
      </c>
      <c r="BM3324">
        <v>-0.81</v>
      </c>
      <c r="BN3324">
        <v>-1.097</v>
      </c>
    </row>
    <row r="3325" spans="10:66">
      <c r="J3325">
        <v>0</v>
      </c>
      <c r="K3325">
        <v>2</v>
      </c>
      <c r="L3325">
        <v>0</v>
      </c>
      <c r="M3325" t="s">
        <v>25021</v>
      </c>
      <c r="N3325">
        <v>2458</v>
      </c>
      <c r="O3325" t="s">
        <v>14318</v>
      </c>
      <c r="P3325" t="s">
        <v>57</v>
      </c>
      <c r="Q3325">
        <v>2456990</v>
      </c>
      <c r="R3325">
        <v>2457337</v>
      </c>
      <c r="S3325" t="s">
        <v>14319</v>
      </c>
      <c r="T3325">
        <v>116</v>
      </c>
      <c r="U3325" t="s">
        <v>6390</v>
      </c>
      <c r="V3325">
        <v>45</v>
      </c>
      <c r="W3325" t="str">
        <f>HYPERLINK("Gene2458-zp_tree_all.dnd", "Gene2458-tree")</f>
        <v>Gene2458-tree</v>
      </c>
      <c r="X3325">
        <v>24</v>
      </c>
      <c r="Y3325">
        <v>2</v>
      </c>
      <c r="Z3325">
        <v>5</v>
      </c>
      <c r="AA3325">
        <v>2</v>
      </c>
      <c r="AB3325">
        <v>0.28571000000000002</v>
      </c>
      <c r="AC3325" t="s">
        <v>2668</v>
      </c>
      <c r="AD3325" t="s">
        <v>81</v>
      </c>
      <c r="AE3325" t="s">
        <v>62</v>
      </c>
      <c r="AF3325" t="s">
        <v>62</v>
      </c>
      <c r="AG3325">
        <v>1</v>
      </c>
      <c r="AH3325">
        <v>2</v>
      </c>
      <c r="AI3325">
        <v>3</v>
      </c>
      <c r="AJ3325">
        <v>0.4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2</v>
      </c>
      <c r="AQ3325">
        <v>0</v>
      </c>
      <c r="AR3325">
        <v>2</v>
      </c>
      <c r="AS3325">
        <v>3</v>
      </c>
      <c r="AT3325">
        <v>0.4</v>
      </c>
      <c r="AU3325">
        <v>5</v>
      </c>
      <c r="AV3325">
        <v>1</v>
      </c>
      <c r="AW3325">
        <v>14</v>
      </c>
      <c r="AX3325">
        <v>5</v>
      </c>
      <c r="AY3325">
        <v>1</v>
      </c>
      <c r="AZ3325">
        <v>0</v>
      </c>
      <c r="BA3325" t="s">
        <v>14320</v>
      </c>
      <c r="BB3325" t="s">
        <v>193</v>
      </c>
      <c r="BC3325">
        <v>0.47799999999999998</v>
      </c>
      <c r="BD3325" t="s">
        <v>65</v>
      </c>
      <c r="BE3325">
        <v>15</v>
      </c>
      <c r="BF3325">
        <v>5</v>
      </c>
      <c r="BG3325" t="s">
        <v>14321</v>
      </c>
      <c r="BH3325" t="s">
        <v>14322</v>
      </c>
      <c r="BI3325" t="s">
        <v>14323</v>
      </c>
      <c r="BJ3325">
        <v>8.1570000000000004E-2</v>
      </c>
      <c r="BK3325">
        <v>1</v>
      </c>
      <c r="BL3325" t="s">
        <v>69</v>
      </c>
      <c r="BM3325">
        <v>-2.1339999999999999</v>
      </c>
      <c r="BN3325">
        <v>-4.3079999999999998</v>
      </c>
    </row>
    <row r="3326" spans="10:66">
      <c r="J3326">
        <v>0</v>
      </c>
      <c r="K3326">
        <v>0</v>
      </c>
      <c r="L3326">
        <v>0</v>
      </c>
      <c r="M3326" t="s">
        <v>25021</v>
      </c>
      <c r="N3326">
        <v>2461</v>
      </c>
      <c r="O3326" t="s">
        <v>14337</v>
      </c>
      <c r="P3326" t="s">
        <v>57</v>
      </c>
      <c r="Q3326">
        <v>2459141</v>
      </c>
      <c r="R3326">
        <v>2459260</v>
      </c>
      <c r="S3326" t="s">
        <v>11600</v>
      </c>
      <c r="T3326">
        <v>40</v>
      </c>
      <c r="U3326" t="s">
        <v>108</v>
      </c>
      <c r="V3326">
        <v>44</v>
      </c>
      <c r="W3326" t="str">
        <f>HYPERLINK("Gene2461-zp_tree_all.dnd", "Gene2461-tree")</f>
        <v>Gene2461-tree</v>
      </c>
      <c r="X3326">
        <v>3</v>
      </c>
      <c r="Y3326">
        <v>2</v>
      </c>
      <c r="Z3326">
        <v>3</v>
      </c>
      <c r="AA3326">
        <v>2</v>
      </c>
      <c r="AB3326">
        <v>0.4</v>
      </c>
      <c r="AC3326" t="s">
        <v>324</v>
      </c>
      <c r="AD3326" t="s">
        <v>81</v>
      </c>
      <c r="AE3326" t="s">
        <v>62</v>
      </c>
      <c r="AF3326" t="s">
        <v>62</v>
      </c>
      <c r="AG3326">
        <v>0</v>
      </c>
      <c r="AH3326">
        <v>0</v>
      </c>
      <c r="AI3326">
        <v>2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2</v>
      </c>
      <c r="AT3326">
        <v>0</v>
      </c>
      <c r="AU3326">
        <v>4</v>
      </c>
      <c r="AV3326">
        <v>0</v>
      </c>
      <c r="AW3326">
        <v>3</v>
      </c>
      <c r="AX3326">
        <v>2</v>
      </c>
      <c r="AY3326">
        <v>0</v>
      </c>
      <c r="AZ3326">
        <v>0</v>
      </c>
      <c r="BA3326" t="s">
        <v>14338</v>
      </c>
      <c r="BB3326" t="s">
        <v>193</v>
      </c>
      <c r="BC3326">
        <v>1.5</v>
      </c>
      <c r="BD3326" t="s">
        <v>65</v>
      </c>
      <c r="BE3326">
        <v>3</v>
      </c>
      <c r="BF3326">
        <v>2</v>
      </c>
      <c r="BG3326" t="s">
        <v>14339</v>
      </c>
      <c r="BH3326" t="s">
        <v>14340</v>
      </c>
      <c r="BI3326" t="s">
        <v>14341</v>
      </c>
      <c r="BJ3326">
        <v>0.1867</v>
      </c>
      <c r="BK3326">
        <v>0.87</v>
      </c>
      <c r="BL3326" t="s">
        <v>635</v>
      </c>
      <c r="BM3326">
        <v>-0.13100000000000001</v>
      </c>
      <c r="BN3326">
        <v>1.1080000000000001</v>
      </c>
    </row>
    <row r="3327" spans="10:66">
      <c r="J3327">
        <v>0</v>
      </c>
      <c r="K3327">
        <v>4</v>
      </c>
      <c r="L3327">
        <v>0</v>
      </c>
      <c r="M3327" t="s">
        <v>25021</v>
      </c>
      <c r="N3327">
        <v>2462</v>
      </c>
      <c r="O3327" t="s">
        <v>14342</v>
      </c>
      <c r="P3327" t="s">
        <v>57</v>
      </c>
      <c r="Q3327">
        <v>2459326</v>
      </c>
      <c r="R3327">
        <v>2460243</v>
      </c>
      <c r="S3327" t="s">
        <v>14343</v>
      </c>
      <c r="T3327">
        <v>306</v>
      </c>
      <c r="U3327" t="s">
        <v>108</v>
      </c>
      <c r="V3327">
        <v>44</v>
      </c>
      <c r="W3327" t="str">
        <f>HYPERLINK("Gene2462-zp_tree_all.dnd", "Gene2462-tree")</f>
        <v>Gene2462-tree</v>
      </c>
      <c r="X3327">
        <v>4</v>
      </c>
      <c r="Y3327">
        <v>28</v>
      </c>
      <c r="Z3327">
        <v>4</v>
      </c>
      <c r="AA3327">
        <v>11</v>
      </c>
      <c r="AB3327">
        <v>0.73333000000000004</v>
      </c>
      <c r="AC3327" t="s">
        <v>61</v>
      </c>
      <c r="AD3327" t="s">
        <v>4050</v>
      </c>
      <c r="AE3327">
        <v>1.601</v>
      </c>
      <c r="AF3327" t="s">
        <v>65</v>
      </c>
      <c r="AG3327">
        <v>2</v>
      </c>
      <c r="AH3327">
        <v>4</v>
      </c>
      <c r="AI3327">
        <v>17</v>
      </c>
      <c r="AJ3327">
        <v>0.19048000000000001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17</v>
      </c>
      <c r="AT3327">
        <v>0</v>
      </c>
      <c r="AU3327">
        <v>13</v>
      </c>
      <c r="AV3327">
        <v>12</v>
      </c>
      <c r="AW3327">
        <v>41</v>
      </c>
      <c r="AX3327">
        <v>17</v>
      </c>
      <c r="AY3327">
        <v>18</v>
      </c>
      <c r="AZ3327">
        <v>4</v>
      </c>
      <c r="BA3327" t="s">
        <v>14344</v>
      </c>
      <c r="BB3327" t="s">
        <v>14345</v>
      </c>
      <c r="BC3327">
        <v>0.995</v>
      </c>
      <c r="BD3327" t="s">
        <v>65</v>
      </c>
      <c r="BE3327">
        <v>59</v>
      </c>
      <c r="BF3327">
        <v>21</v>
      </c>
      <c r="BG3327" t="s">
        <v>14346</v>
      </c>
      <c r="BH3327" t="s">
        <v>14347</v>
      </c>
      <c r="BI3327" t="s">
        <v>14348</v>
      </c>
      <c r="BJ3327">
        <v>9.9260000000000001E-2</v>
      </c>
      <c r="BK3327">
        <v>1</v>
      </c>
      <c r="BL3327" t="s">
        <v>69</v>
      </c>
      <c r="BM3327">
        <v>-0.69199999999999995</v>
      </c>
      <c r="BN3327">
        <v>-1.8740000000000001</v>
      </c>
    </row>
    <row r="3328" spans="10:66">
      <c r="J3328">
        <v>0</v>
      </c>
      <c r="K3328">
        <v>8</v>
      </c>
      <c r="L3328">
        <v>0</v>
      </c>
      <c r="M3328" t="s">
        <v>25021</v>
      </c>
      <c r="N3328">
        <v>2464</v>
      </c>
      <c r="O3328" t="s">
        <v>14355</v>
      </c>
      <c r="P3328" t="s">
        <v>57</v>
      </c>
      <c r="Q3328">
        <v>2460664</v>
      </c>
      <c r="R3328">
        <v>2461578</v>
      </c>
      <c r="S3328" t="s">
        <v>2512</v>
      </c>
      <c r="T3328">
        <v>305</v>
      </c>
      <c r="U3328" t="s">
        <v>5451</v>
      </c>
      <c r="V3328">
        <v>43</v>
      </c>
      <c r="W3328" t="str">
        <f>HYPERLINK("Gene2464-zp_tree_all.dnd", "Gene2464-tree")</f>
        <v>Gene2464-tree</v>
      </c>
      <c r="X3328">
        <v>3</v>
      </c>
      <c r="Y3328">
        <v>9</v>
      </c>
      <c r="Z3328">
        <v>3</v>
      </c>
      <c r="AA3328">
        <v>9</v>
      </c>
      <c r="AB3328">
        <v>0.75</v>
      </c>
      <c r="AC3328" t="s">
        <v>324</v>
      </c>
      <c r="AD3328" t="s">
        <v>135</v>
      </c>
      <c r="AE3328" t="s">
        <v>62</v>
      </c>
      <c r="AF3328" t="s">
        <v>62</v>
      </c>
      <c r="AG3328">
        <v>4</v>
      </c>
      <c r="AH3328">
        <v>8</v>
      </c>
      <c r="AI3328">
        <v>15</v>
      </c>
      <c r="AJ3328">
        <v>0.34782999999999997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6</v>
      </c>
      <c r="AQ3328">
        <v>2</v>
      </c>
      <c r="AR3328">
        <v>8</v>
      </c>
      <c r="AS3328">
        <v>15</v>
      </c>
      <c r="AT3328">
        <v>0.34782999999999997</v>
      </c>
      <c r="AU3328">
        <v>11</v>
      </c>
      <c r="AV3328">
        <v>9</v>
      </c>
      <c r="AW3328">
        <v>34</v>
      </c>
      <c r="AX3328">
        <v>19</v>
      </c>
      <c r="AY3328">
        <v>26</v>
      </c>
      <c r="AZ3328">
        <v>4</v>
      </c>
      <c r="BA3328" t="s">
        <v>14356</v>
      </c>
      <c r="BB3328" t="s">
        <v>14357</v>
      </c>
      <c r="BC3328">
        <v>0.82499999999999996</v>
      </c>
      <c r="BD3328" t="s">
        <v>65</v>
      </c>
      <c r="BE3328">
        <v>60</v>
      </c>
      <c r="BF3328">
        <v>23</v>
      </c>
      <c r="BG3328" t="s">
        <v>14358</v>
      </c>
      <c r="BH3328" t="s">
        <v>14359</v>
      </c>
      <c r="BI3328" t="s">
        <v>14360</v>
      </c>
      <c r="BJ3328">
        <v>9.7229999999999997E-2</v>
      </c>
      <c r="BK3328">
        <v>1</v>
      </c>
      <c r="BL3328" t="s">
        <v>69</v>
      </c>
      <c r="BM3328">
        <v>0.56000000000000005</v>
      </c>
      <c r="BN3328">
        <v>0.16600000000000001</v>
      </c>
    </row>
    <row r="3329" spans="10:66">
      <c r="J3329">
        <v>0</v>
      </c>
      <c r="K3329">
        <v>2</v>
      </c>
      <c r="L3329">
        <v>0</v>
      </c>
      <c r="M3329" t="s">
        <v>25021</v>
      </c>
      <c r="N3329">
        <v>2472</v>
      </c>
      <c r="O3329" t="s">
        <v>14406</v>
      </c>
      <c r="P3329" t="s">
        <v>57</v>
      </c>
      <c r="Q3329">
        <v>2465966</v>
      </c>
      <c r="R3329">
        <v>2466169</v>
      </c>
      <c r="S3329" t="s">
        <v>116</v>
      </c>
      <c r="T3329">
        <v>68</v>
      </c>
      <c r="U3329" t="s">
        <v>108</v>
      </c>
      <c r="V3329">
        <v>44</v>
      </c>
      <c r="W3329" t="str">
        <f>HYPERLINK("Gene2472-zp_tree_all.dnd", "Gene2472-tree")</f>
        <v>Gene2472-tree</v>
      </c>
      <c r="X3329">
        <v>9</v>
      </c>
      <c r="Y3329">
        <v>3</v>
      </c>
      <c r="Z3329">
        <v>9</v>
      </c>
      <c r="AA3329">
        <v>3</v>
      </c>
      <c r="AB3329">
        <v>0.25</v>
      </c>
      <c r="AC3329" t="s">
        <v>135</v>
      </c>
      <c r="AD3329" t="s">
        <v>324</v>
      </c>
      <c r="AE3329" t="s">
        <v>62</v>
      </c>
      <c r="AF3329" t="s">
        <v>62</v>
      </c>
      <c r="AG3329">
        <v>1</v>
      </c>
      <c r="AH3329">
        <v>2</v>
      </c>
      <c r="AI3329">
        <v>3</v>
      </c>
      <c r="AJ3329">
        <v>0.4</v>
      </c>
      <c r="AK3329">
        <v>0</v>
      </c>
      <c r="AL3329">
        <v>0</v>
      </c>
      <c r="AM3329">
        <v>0</v>
      </c>
      <c r="AN3329">
        <v>2</v>
      </c>
      <c r="AO3329">
        <v>0</v>
      </c>
      <c r="AP3329">
        <v>0</v>
      </c>
      <c r="AQ3329">
        <v>0</v>
      </c>
      <c r="AR3329">
        <v>0</v>
      </c>
      <c r="AS3329">
        <v>3</v>
      </c>
      <c r="AT3329">
        <v>0</v>
      </c>
      <c r="AU3329">
        <v>6</v>
      </c>
      <c r="AV3329">
        <v>5</v>
      </c>
      <c r="AW3329">
        <v>5</v>
      </c>
      <c r="AX3329">
        <v>2</v>
      </c>
      <c r="AY3329">
        <v>6</v>
      </c>
      <c r="AZ3329">
        <v>3</v>
      </c>
      <c r="BA3329" t="s">
        <v>14407</v>
      </c>
      <c r="BB3329" t="s">
        <v>14408</v>
      </c>
      <c r="BC3329">
        <v>0.152</v>
      </c>
      <c r="BD3329" t="s">
        <v>65</v>
      </c>
      <c r="BE3329">
        <v>11</v>
      </c>
      <c r="BF3329">
        <v>5</v>
      </c>
      <c r="BG3329" t="s">
        <v>14409</v>
      </c>
      <c r="BH3329" t="s">
        <v>14410</v>
      </c>
      <c r="BI3329" t="s">
        <v>14411</v>
      </c>
      <c r="BJ3329">
        <v>0.114</v>
      </c>
      <c r="BK3329">
        <v>1</v>
      </c>
      <c r="BL3329" t="s">
        <v>69</v>
      </c>
      <c r="BM3329">
        <v>7.0999999999999994E-2</v>
      </c>
      <c r="BN3329">
        <v>-0.61599999999999999</v>
      </c>
    </row>
    <row r="3330" spans="10:66">
      <c r="J3330">
        <v>0</v>
      </c>
      <c r="K3330">
        <v>9</v>
      </c>
      <c r="L3330">
        <v>2</v>
      </c>
      <c r="M3330" t="s">
        <v>25021</v>
      </c>
      <c r="N3330">
        <v>2473</v>
      </c>
      <c r="O3330" t="s">
        <v>14412</v>
      </c>
      <c r="P3330" t="s">
        <v>57</v>
      </c>
      <c r="Q3330">
        <v>2466721</v>
      </c>
      <c r="R3330">
        <v>2467950</v>
      </c>
      <c r="S3330" t="s">
        <v>2641</v>
      </c>
      <c r="T3330">
        <v>410</v>
      </c>
      <c r="U3330" t="s">
        <v>108</v>
      </c>
      <c r="V3330">
        <v>44</v>
      </c>
      <c r="W3330" t="str">
        <f>HYPERLINK("Gene2473-zp_tree_all.dnd", "Gene2473-tree")</f>
        <v>Gene2473-tree</v>
      </c>
      <c r="X3330">
        <v>6</v>
      </c>
      <c r="Y3330">
        <v>7</v>
      </c>
      <c r="Z3330">
        <v>6</v>
      </c>
      <c r="AA3330">
        <v>7</v>
      </c>
      <c r="AB3330">
        <v>0.53846000000000005</v>
      </c>
      <c r="AC3330" t="s">
        <v>90</v>
      </c>
      <c r="AD3330" t="s">
        <v>152</v>
      </c>
      <c r="AE3330" t="s">
        <v>62</v>
      </c>
      <c r="AF3330" t="s">
        <v>62</v>
      </c>
      <c r="AG3330">
        <v>5</v>
      </c>
      <c r="AH3330">
        <v>11</v>
      </c>
      <c r="AI3330">
        <v>16</v>
      </c>
      <c r="AJ3330">
        <v>0.40740999999999999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4</v>
      </c>
      <c r="AQ3330">
        <v>0</v>
      </c>
      <c r="AR3330">
        <v>4</v>
      </c>
      <c r="AS3330">
        <v>15</v>
      </c>
      <c r="AT3330">
        <v>0.21052999999999999</v>
      </c>
      <c r="AU3330">
        <v>11</v>
      </c>
      <c r="AV3330">
        <v>10</v>
      </c>
      <c r="AW3330">
        <v>27</v>
      </c>
      <c r="AX3330">
        <v>19</v>
      </c>
      <c r="AY3330">
        <v>23</v>
      </c>
      <c r="AZ3330">
        <v>8</v>
      </c>
      <c r="BA3330" t="s">
        <v>14413</v>
      </c>
      <c r="BB3330" t="s">
        <v>14414</v>
      </c>
      <c r="BC3330">
        <v>1.1419999999999999</v>
      </c>
      <c r="BD3330" t="s">
        <v>65</v>
      </c>
      <c r="BE3330">
        <v>50</v>
      </c>
      <c r="BF3330">
        <v>27</v>
      </c>
      <c r="BG3330" t="s">
        <v>14415</v>
      </c>
      <c r="BH3330" t="s">
        <v>14416</v>
      </c>
      <c r="BI3330" t="s">
        <v>14417</v>
      </c>
      <c r="BJ3330">
        <v>0.152</v>
      </c>
      <c r="BK3330">
        <v>1</v>
      </c>
      <c r="BL3330" t="s">
        <v>69</v>
      </c>
      <c r="BM3330">
        <v>-0.42299999999999999</v>
      </c>
      <c r="BN3330">
        <v>-1.07</v>
      </c>
    </row>
    <row r="3331" spans="10:66">
      <c r="J3331">
        <v>0</v>
      </c>
      <c r="K3331">
        <v>6</v>
      </c>
      <c r="L3331">
        <v>0</v>
      </c>
      <c r="M3331" t="s">
        <v>25021</v>
      </c>
      <c r="N3331">
        <v>2474</v>
      </c>
      <c r="O3331" t="s">
        <v>14418</v>
      </c>
      <c r="P3331" t="s">
        <v>57</v>
      </c>
      <c r="Q3331">
        <v>2467800</v>
      </c>
      <c r="R3331">
        <v>2468159</v>
      </c>
      <c r="S3331" t="s">
        <v>2302</v>
      </c>
      <c r="T3331">
        <v>120</v>
      </c>
      <c r="U3331" t="s">
        <v>108</v>
      </c>
      <c r="V3331">
        <v>44</v>
      </c>
      <c r="W3331" t="str">
        <f>HYPERLINK("Gene2474-zp_tree_all.dnd", "Gene2474-tree")</f>
        <v>Gene2474-tree</v>
      </c>
      <c r="X3331">
        <v>4</v>
      </c>
      <c r="Y3331">
        <v>6</v>
      </c>
      <c r="Z3331">
        <v>4</v>
      </c>
      <c r="AA3331">
        <v>6</v>
      </c>
      <c r="AB3331">
        <v>0.6</v>
      </c>
      <c r="AC3331" t="s">
        <v>61</v>
      </c>
      <c r="AD3331" t="s">
        <v>90</v>
      </c>
      <c r="AE3331" t="s">
        <v>62</v>
      </c>
      <c r="AF3331" t="s">
        <v>62</v>
      </c>
      <c r="AG3331">
        <v>3</v>
      </c>
      <c r="AH3331">
        <v>6</v>
      </c>
      <c r="AI3331">
        <v>19</v>
      </c>
      <c r="AJ3331">
        <v>0.24</v>
      </c>
      <c r="AK3331">
        <v>0</v>
      </c>
      <c r="AL3331">
        <v>0</v>
      </c>
      <c r="AM3331">
        <v>0</v>
      </c>
      <c r="AN3331">
        <v>2</v>
      </c>
      <c r="AO3331">
        <v>0</v>
      </c>
      <c r="AP3331">
        <v>2</v>
      </c>
      <c r="AQ3331">
        <v>0</v>
      </c>
      <c r="AR3331">
        <v>2</v>
      </c>
      <c r="AS3331">
        <v>18</v>
      </c>
      <c r="AT3331">
        <v>0.1</v>
      </c>
      <c r="AU3331">
        <v>8</v>
      </c>
      <c r="AV3331">
        <v>6</v>
      </c>
      <c r="AW3331">
        <v>8</v>
      </c>
      <c r="AX3331">
        <v>20</v>
      </c>
      <c r="AY3331">
        <v>1</v>
      </c>
      <c r="AZ3331">
        <v>5</v>
      </c>
      <c r="BA3331" t="s">
        <v>14419</v>
      </c>
      <c r="BB3331" t="s">
        <v>14420</v>
      </c>
      <c r="BC3331">
        <v>0.22600000000000001</v>
      </c>
      <c r="BD3331" t="s">
        <v>65</v>
      </c>
      <c r="BE3331">
        <v>9</v>
      </c>
      <c r="BF3331">
        <v>25</v>
      </c>
      <c r="BG3331" t="s">
        <v>14421</v>
      </c>
      <c r="BH3331" t="s">
        <v>14422</v>
      </c>
      <c r="BI3331" t="s">
        <v>14423</v>
      </c>
      <c r="BJ3331">
        <v>0.74904999999999999</v>
      </c>
      <c r="BK3331">
        <v>0.56000000000000005</v>
      </c>
      <c r="BL3331" t="s">
        <v>635</v>
      </c>
      <c r="BM3331">
        <v>-1.671</v>
      </c>
      <c r="BN3331">
        <v>-3.2669999999999999</v>
      </c>
    </row>
    <row r="3332" spans="10:66">
      <c r="J3332">
        <v>0</v>
      </c>
      <c r="K3332">
        <v>4</v>
      </c>
      <c r="L3332">
        <v>0</v>
      </c>
      <c r="M3332" t="s">
        <v>25021</v>
      </c>
      <c r="N3332">
        <v>2480</v>
      </c>
      <c r="O3332" t="s">
        <v>14459</v>
      </c>
      <c r="P3332" t="s">
        <v>57</v>
      </c>
      <c r="Q3332">
        <v>2473151</v>
      </c>
      <c r="R3332">
        <v>2473984</v>
      </c>
      <c r="S3332" t="s">
        <v>14460</v>
      </c>
      <c r="T3332">
        <v>278</v>
      </c>
      <c r="U3332" t="s">
        <v>108</v>
      </c>
      <c r="V3332">
        <v>44</v>
      </c>
      <c r="W3332" t="str">
        <f>HYPERLINK("Gene2480-zp_tree_all.dnd", "Gene2480-tree")</f>
        <v>Gene2480-tree</v>
      </c>
      <c r="X3332">
        <v>8</v>
      </c>
      <c r="Y3332">
        <v>5</v>
      </c>
      <c r="Z3332">
        <v>8</v>
      </c>
      <c r="AA3332">
        <v>5</v>
      </c>
      <c r="AB3332">
        <v>0.38462000000000002</v>
      </c>
      <c r="AC3332" t="s">
        <v>136</v>
      </c>
      <c r="AD3332" t="s">
        <v>199</v>
      </c>
      <c r="AE3332" t="s">
        <v>62</v>
      </c>
      <c r="AF3332" t="s">
        <v>62</v>
      </c>
      <c r="AG3332">
        <v>2</v>
      </c>
      <c r="AH3332">
        <v>4</v>
      </c>
      <c r="AI3332">
        <v>9</v>
      </c>
      <c r="AJ3332">
        <v>0.30769000000000002</v>
      </c>
      <c r="AK3332">
        <v>0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0</v>
      </c>
      <c r="AS3332">
        <v>10</v>
      </c>
      <c r="AT3332">
        <v>0</v>
      </c>
      <c r="AU3332">
        <v>9</v>
      </c>
      <c r="AV3332">
        <v>8</v>
      </c>
      <c r="AW3332">
        <v>14</v>
      </c>
      <c r="AX3332">
        <v>10</v>
      </c>
      <c r="AY3332">
        <v>12</v>
      </c>
      <c r="AZ3332">
        <v>3</v>
      </c>
      <c r="BA3332" t="s">
        <v>14461</v>
      </c>
      <c r="BB3332" t="s">
        <v>14462</v>
      </c>
      <c r="BC3332">
        <v>0.65700000000000003</v>
      </c>
      <c r="BD3332" t="s">
        <v>65</v>
      </c>
      <c r="BE3332">
        <v>26</v>
      </c>
      <c r="BF3332">
        <v>13</v>
      </c>
      <c r="BG3332" t="s">
        <v>14463</v>
      </c>
      <c r="BH3332" t="s">
        <v>14464</v>
      </c>
      <c r="BI3332" t="s">
        <v>14465</v>
      </c>
      <c r="BJ3332">
        <v>0.11656</v>
      </c>
      <c r="BK3332">
        <v>1</v>
      </c>
      <c r="BL3332" t="s">
        <v>69</v>
      </c>
      <c r="BM3332">
        <v>-1.0649999999999999</v>
      </c>
      <c r="BN3332">
        <v>-0.92300000000000004</v>
      </c>
    </row>
    <row r="3333" spans="10:66">
      <c r="J3333">
        <v>0</v>
      </c>
      <c r="K3333">
        <v>0</v>
      </c>
      <c r="L3333">
        <v>0</v>
      </c>
      <c r="M3333" t="s">
        <v>25021</v>
      </c>
      <c r="N3333">
        <v>2482</v>
      </c>
      <c r="O3333" t="s">
        <v>14473</v>
      </c>
      <c r="P3333" t="s">
        <v>57</v>
      </c>
      <c r="Q3333">
        <v>2475843</v>
      </c>
      <c r="R3333">
        <v>2476856</v>
      </c>
      <c r="S3333" t="s">
        <v>14474</v>
      </c>
      <c r="T3333">
        <v>338</v>
      </c>
      <c r="U3333" t="s">
        <v>108</v>
      </c>
      <c r="V3333">
        <v>44</v>
      </c>
      <c r="W3333" t="str">
        <f>HYPERLINK("Gene2482-zp_tree_all.dnd", "Gene2482-tree")</f>
        <v>Gene2482-tree</v>
      </c>
      <c r="X3333">
        <v>9</v>
      </c>
      <c r="Y3333">
        <v>4</v>
      </c>
      <c r="Z3333">
        <v>9</v>
      </c>
      <c r="AA3333">
        <v>4</v>
      </c>
      <c r="AB3333">
        <v>0.30769000000000002</v>
      </c>
      <c r="AC3333" t="s">
        <v>135</v>
      </c>
      <c r="AD3333" t="s">
        <v>61</v>
      </c>
      <c r="AE3333" t="s">
        <v>62</v>
      </c>
      <c r="AF3333" t="s">
        <v>62</v>
      </c>
      <c r="AG3333">
        <v>0</v>
      </c>
      <c r="AH3333">
        <v>0</v>
      </c>
      <c r="AI3333">
        <v>5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5</v>
      </c>
      <c r="AT3333">
        <v>0</v>
      </c>
      <c r="AU3333">
        <v>13</v>
      </c>
      <c r="AV3333">
        <v>6</v>
      </c>
      <c r="AW3333">
        <v>37</v>
      </c>
      <c r="AX3333">
        <v>5</v>
      </c>
      <c r="AY3333">
        <v>13</v>
      </c>
      <c r="AZ3333">
        <v>0</v>
      </c>
      <c r="BA3333" t="s">
        <v>14475</v>
      </c>
      <c r="BB3333" t="s">
        <v>193</v>
      </c>
      <c r="BC3333">
        <v>1.1779999999999999</v>
      </c>
      <c r="BD3333" t="s">
        <v>65</v>
      </c>
      <c r="BE3333">
        <v>50</v>
      </c>
      <c r="BF3333">
        <v>5</v>
      </c>
      <c r="BG3333" t="s">
        <v>14476</v>
      </c>
      <c r="BH3333" t="s">
        <v>14477</v>
      </c>
      <c r="BI3333" t="s">
        <v>14478</v>
      </c>
      <c r="BJ3333">
        <v>2.3060000000000001E-2</v>
      </c>
      <c r="BK3333">
        <v>1</v>
      </c>
      <c r="BL3333" t="s">
        <v>69</v>
      </c>
      <c r="BM3333">
        <v>-0.83299999999999996</v>
      </c>
      <c r="BN3333">
        <v>-1.194</v>
      </c>
    </row>
    <row r="3334" spans="10:66">
      <c r="J3334">
        <v>0</v>
      </c>
      <c r="K3334">
        <v>0</v>
      </c>
      <c r="L3334">
        <v>0</v>
      </c>
      <c r="M3334" t="s">
        <v>25021</v>
      </c>
      <c r="N3334">
        <v>2483</v>
      </c>
      <c r="O3334" t="s">
        <v>14479</v>
      </c>
      <c r="P3334" t="s">
        <v>57</v>
      </c>
      <c r="Q3334">
        <v>2476969</v>
      </c>
      <c r="R3334">
        <v>2477727</v>
      </c>
      <c r="S3334" t="s">
        <v>2512</v>
      </c>
      <c r="T3334">
        <v>253</v>
      </c>
      <c r="U3334" t="s">
        <v>108</v>
      </c>
      <c r="V3334">
        <v>44</v>
      </c>
      <c r="W3334" t="str">
        <f>HYPERLINK("Gene2483-zp_tree_all.dnd", "Gene2483-tree")</f>
        <v>Gene2483-tree</v>
      </c>
      <c r="X3334">
        <v>7</v>
      </c>
      <c r="Y3334">
        <v>4</v>
      </c>
      <c r="Z3334">
        <v>7</v>
      </c>
      <c r="AA3334">
        <v>4</v>
      </c>
      <c r="AB3334">
        <v>0.36364000000000002</v>
      </c>
      <c r="AC3334" t="s">
        <v>152</v>
      </c>
      <c r="AD3334" t="s">
        <v>61</v>
      </c>
      <c r="AE3334" t="s">
        <v>62</v>
      </c>
      <c r="AF3334" t="s">
        <v>62</v>
      </c>
      <c r="AG3334">
        <v>0</v>
      </c>
      <c r="AH3334">
        <v>0</v>
      </c>
      <c r="AI3334">
        <v>6</v>
      </c>
      <c r="AJ3334">
        <v>0</v>
      </c>
      <c r="AK3334">
        <v>0</v>
      </c>
      <c r="AL3334">
        <v>0</v>
      </c>
      <c r="AM3334">
        <v>0</v>
      </c>
      <c r="AN3334">
        <v>2</v>
      </c>
      <c r="AO3334">
        <v>0</v>
      </c>
      <c r="AP3334">
        <v>0</v>
      </c>
      <c r="AQ3334">
        <v>0</v>
      </c>
      <c r="AR3334">
        <v>0</v>
      </c>
      <c r="AS3334">
        <v>4</v>
      </c>
      <c r="AT3334">
        <v>0</v>
      </c>
      <c r="AU3334">
        <v>7</v>
      </c>
      <c r="AV3334">
        <v>4</v>
      </c>
      <c r="AW3334">
        <v>9</v>
      </c>
      <c r="AX3334">
        <v>3</v>
      </c>
      <c r="AY3334">
        <v>3</v>
      </c>
      <c r="AZ3334">
        <v>3</v>
      </c>
      <c r="BA3334" t="s">
        <v>14480</v>
      </c>
      <c r="BB3334" t="s">
        <v>14481</v>
      </c>
      <c r="BC3334">
        <v>0.82699999999999996</v>
      </c>
      <c r="BD3334" t="s">
        <v>65</v>
      </c>
      <c r="BE3334">
        <v>12</v>
      </c>
      <c r="BF3334">
        <v>6</v>
      </c>
      <c r="BG3334" t="s">
        <v>14482</v>
      </c>
      <c r="BH3334" t="s">
        <v>14483</v>
      </c>
      <c r="BI3334" t="s">
        <v>14484</v>
      </c>
      <c r="BJ3334">
        <v>0.17399000000000001</v>
      </c>
      <c r="BK3334">
        <v>1</v>
      </c>
      <c r="BL3334" t="s">
        <v>69</v>
      </c>
      <c r="BM3334">
        <v>-1.6930000000000001</v>
      </c>
      <c r="BN3334">
        <v>-2.4209999999999998</v>
      </c>
    </row>
    <row r="3335" spans="10:66">
      <c r="J3335">
        <v>0</v>
      </c>
      <c r="K3335">
        <v>0</v>
      </c>
      <c r="L3335">
        <v>0</v>
      </c>
      <c r="M3335" t="s">
        <v>25021</v>
      </c>
      <c r="N3335">
        <v>2487</v>
      </c>
      <c r="O3335" t="s">
        <v>14491</v>
      </c>
      <c r="P3335" t="s">
        <v>57</v>
      </c>
      <c r="Q3335">
        <v>2479156</v>
      </c>
      <c r="R3335">
        <v>2480622</v>
      </c>
      <c r="S3335" t="s">
        <v>14492</v>
      </c>
      <c r="T3335">
        <v>489</v>
      </c>
      <c r="U3335" t="s">
        <v>108</v>
      </c>
      <c r="V3335">
        <v>44</v>
      </c>
      <c r="W3335" t="str">
        <f>HYPERLINK("Gene2487-zp_tree_all.dnd", "Gene2487-tree")</f>
        <v>Gene2487-tree</v>
      </c>
      <c r="X3335">
        <v>12</v>
      </c>
      <c r="Y3335">
        <v>3</v>
      </c>
      <c r="Z3335">
        <v>12</v>
      </c>
      <c r="AA3335">
        <v>3</v>
      </c>
      <c r="AB3335">
        <v>0.2</v>
      </c>
      <c r="AC3335" t="s">
        <v>109</v>
      </c>
      <c r="AD3335" t="s">
        <v>324</v>
      </c>
      <c r="AE3335" t="s">
        <v>62</v>
      </c>
      <c r="AF3335" t="s">
        <v>62</v>
      </c>
      <c r="AG3335">
        <v>0</v>
      </c>
      <c r="AH3335">
        <v>0</v>
      </c>
      <c r="AI3335">
        <v>10</v>
      </c>
      <c r="AJ3335">
        <v>0</v>
      </c>
      <c r="AK3335">
        <v>0</v>
      </c>
      <c r="AL3335">
        <v>0</v>
      </c>
      <c r="AM3335">
        <v>0</v>
      </c>
      <c r="AN3335">
        <v>3</v>
      </c>
      <c r="AO3335">
        <v>0</v>
      </c>
      <c r="AP3335">
        <v>0</v>
      </c>
      <c r="AQ3335">
        <v>0</v>
      </c>
      <c r="AR3335">
        <v>0</v>
      </c>
      <c r="AS3335">
        <v>3</v>
      </c>
      <c r="AT3335">
        <v>0</v>
      </c>
      <c r="AU3335">
        <v>11</v>
      </c>
      <c r="AV3335">
        <v>8</v>
      </c>
      <c r="AW3335">
        <v>49</v>
      </c>
      <c r="AX3335">
        <v>4</v>
      </c>
      <c r="AY3335">
        <v>21</v>
      </c>
      <c r="AZ3335">
        <v>7</v>
      </c>
      <c r="BA3335" t="s">
        <v>14493</v>
      </c>
      <c r="BB3335" t="s">
        <v>14494</v>
      </c>
      <c r="BC3335">
        <v>1.1180000000000001</v>
      </c>
      <c r="BD3335" t="s">
        <v>65</v>
      </c>
      <c r="BE3335">
        <v>70</v>
      </c>
      <c r="BF3335">
        <v>11</v>
      </c>
      <c r="BG3335" t="s">
        <v>1060</v>
      </c>
      <c r="BH3335" t="s">
        <v>14495</v>
      </c>
      <c r="BI3335" t="s">
        <v>14496</v>
      </c>
      <c r="BJ3335">
        <v>7.0000000000000007E-2</v>
      </c>
      <c r="BK3335">
        <v>1</v>
      </c>
      <c r="BL3335" t="s">
        <v>69</v>
      </c>
      <c r="BM3335">
        <v>-1.2529999999999999</v>
      </c>
      <c r="BN3335">
        <v>-1.901</v>
      </c>
    </row>
    <row r="3336" spans="10:66">
      <c r="J3336">
        <v>0</v>
      </c>
      <c r="K3336">
        <v>5</v>
      </c>
      <c r="L3336">
        <v>0</v>
      </c>
      <c r="M3336" t="s">
        <v>25021</v>
      </c>
      <c r="N3336">
        <v>2490</v>
      </c>
      <c r="O3336" t="s">
        <v>14511</v>
      </c>
      <c r="P3336" t="s">
        <v>57</v>
      </c>
      <c r="Q3336">
        <v>2483586</v>
      </c>
      <c r="R3336">
        <v>2483870</v>
      </c>
      <c r="S3336" t="s">
        <v>14512</v>
      </c>
      <c r="T3336">
        <v>95</v>
      </c>
      <c r="U3336" t="s">
        <v>59</v>
      </c>
      <c r="V3336">
        <v>49</v>
      </c>
      <c r="W3336" t="str">
        <f>HYPERLINK("Gene2490-zp_tree_all.dnd", "Gene2490-tree")</f>
        <v>Gene2490-tree</v>
      </c>
      <c r="X3336">
        <v>6</v>
      </c>
      <c r="Y3336">
        <v>5</v>
      </c>
      <c r="Z3336">
        <v>6</v>
      </c>
      <c r="AA3336">
        <v>5</v>
      </c>
      <c r="AB3336">
        <v>0.45455000000000001</v>
      </c>
      <c r="AC3336" t="s">
        <v>90</v>
      </c>
      <c r="AD3336" t="s">
        <v>199</v>
      </c>
      <c r="AE3336" t="s">
        <v>62</v>
      </c>
      <c r="AF3336" t="s">
        <v>62</v>
      </c>
      <c r="AG3336">
        <v>2</v>
      </c>
      <c r="AH3336">
        <v>5</v>
      </c>
      <c r="AI3336">
        <v>4</v>
      </c>
      <c r="AJ3336">
        <v>0.55556000000000005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4</v>
      </c>
      <c r="AQ3336">
        <v>0</v>
      </c>
      <c r="AR3336">
        <v>4</v>
      </c>
      <c r="AS3336">
        <v>1</v>
      </c>
      <c r="AT3336">
        <v>0.8</v>
      </c>
      <c r="AU3336">
        <v>5</v>
      </c>
      <c r="AV3336">
        <v>7</v>
      </c>
      <c r="AW3336">
        <v>7</v>
      </c>
      <c r="AX3336">
        <v>5</v>
      </c>
      <c r="AY3336">
        <v>5</v>
      </c>
      <c r="AZ3336">
        <v>4</v>
      </c>
      <c r="BA3336" t="s">
        <v>14513</v>
      </c>
      <c r="BB3336" t="s">
        <v>14514</v>
      </c>
      <c r="BC3336">
        <v>9.2999999999999999E-2</v>
      </c>
      <c r="BD3336" t="s">
        <v>65</v>
      </c>
      <c r="BE3336">
        <v>12</v>
      </c>
      <c r="BF3336">
        <v>9</v>
      </c>
      <c r="BG3336" t="s">
        <v>14515</v>
      </c>
      <c r="BH3336" t="s">
        <v>14516</v>
      </c>
      <c r="BI3336" t="s">
        <v>14517</v>
      </c>
      <c r="BJ3336">
        <v>0.18004000000000001</v>
      </c>
      <c r="BK3336">
        <v>0.99</v>
      </c>
      <c r="BL3336" t="s">
        <v>69</v>
      </c>
      <c r="BM3336">
        <v>-0.109</v>
      </c>
      <c r="BN3336">
        <v>-1.2949999999999999</v>
      </c>
    </row>
    <row r="3337" spans="10:66">
      <c r="J3337">
        <v>0</v>
      </c>
      <c r="K3337">
        <v>0</v>
      </c>
      <c r="L3337">
        <v>0</v>
      </c>
      <c r="M3337" t="s">
        <v>25021</v>
      </c>
      <c r="N3337">
        <v>2491</v>
      </c>
      <c r="O3337" t="s">
        <v>14518</v>
      </c>
      <c r="P3337" t="s">
        <v>57</v>
      </c>
      <c r="Q3337">
        <v>2483904</v>
      </c>
      <c r="R3337">
        <v>2484728</v>
      </c>
      <c r="S3337" t="s">
        <v>14519</v>
      </c>
      <c r="T3337">
        <v>275</v>
      </c>
      <c r="U3337" t="s">
        <v>14520</v>
      </c>
      <c r="V3337">
        <v>33</v>
      </c>
      <c r="W3337" t="str">
        <f>HYPERLINK("Gene2491-zp_tree_all.dnd", "Gene2491-tree")</f>
        <v>Gene2491-tree</v>
      </c>
      <c r="X3337">
        <v>5</v>
      </c>
      <c r="Y3337">
        <v>1</v>
      </c>
      <c r="Z3337">
        <v>5</v>
      </c>
      <c r="AA3337">
        <v>1</v>
      </c>
      <c r="AB3337">
        <v>0.16667000000000001</v>
      </c>
      <c r="AC3337" t="s">
        <v>199</v>
      </c>
      <c r="AD3337" t="s">
        <v>175</v>
      </c>
      <c r="AE3337" t="s">
        <v>62</v>
      </c>
      <c r="AF3337" t="s">
        <v>62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5</v>
      </c>
      <c r="AV3337">
        <v>2</v>
      </c>
      <c r="AW3337">
        <v>15</v>
      </c>
      <c r="AX3337">
        <v>1</v>
      </c>
      <c r="AY3337">
        <v>2</v>
      </c>
      <c r="AZ3337">
        <v>0</v>
      </c>
      <c r="BA3337" t="s">
        <v>14521</v>
      </c>
      <c r="BB3337" t="s">
        <v>193</v>
      </c>
      <c r="BC3337">
        <v>0.41299999999999998</v>
      </c>
      <c r="BD3337" t="s">
        <v>65</v>
      </c>
      <c r="BE3337">
        <v>17</v>
      </c>
      <c r="BF3337">
        <v>1</v>
      </c>
      <c r="BG3337" t="s">
        <v>14522</v>
      </c>
      <c r="BH3337" t="s">
        <v>14523</v>
      </c>
      <c r="BI3337" t="s">
        <v>14524</v>
      </c>
      <c r="BJ3337">
        <v>1.7160000000000002E-2</v>
      </c>
      <c r="BK3337">
        <v>1</v>
      </c>
      <c r="BL3337" t="s">
        <v>69</v>
      </c>
      <c r="BM3337">
        <v>0.65100000000000002</v>
      </c>
      <c r="BN3337">
        <v>1.143</v>
      </c>
    </row>
    <row r="3338" spans="10:66">
      <c r="J3338">
        <v>2</v>
      </c>
      <c r="K3338">
        <v>14</v>
      </c>
      <c r="L3338">
        <v>2</v>
      </c>
      <c r="M3338" t="s">
        <v>25021</v>
      </c>
      <c r="N3338">
        <v>2492</v>
      </c>
      <c r="O3338" t="s">
        <v>14525</v>
      </c>
      <c r="P3338" t="s">
        <v>57</v>
      </c>
      <c r="Q3338">
        <v>2484911</v>
      </c>
      <c r="R3338">
        <v>2485636</v>
      </c>
      <c r="S3338" t="s">
        <v>116</v>
      </c>
      <c r="T3338">
        <v>242</v>
      </c>
      <c r="U3338" t="s">
        <v>1124</v>
      </c>
      <c r="V3338">
        <v>43</v>
      </c>
      <c r="W3338" t="str">
        <f>HYPERLINK("Gene2492-zp_tree_all.dnd", "Gene2492-tree")</f>
        <v>Gene2492-tree</v>
      </c>
      <c r="X3338">
        <v>7</v>
      </c>
      <c r="Y3338">
        <v>7</v>
      </c>
      <c r="Z3338">
        <v>7</v>
      </c>
      <c r="AA3338">
        <v>7</v>
      </c>
      <c r="AB3338">
        <v>0.5</v>
      </c>
      <c r="AC3338" t="s">
        <v>152</v>
      </c>
      <c r="AD3338" t="s">
        <v>152</v>
      </c>
      <c r="AE3338" t="s">
        <v>62</v>
      </c>
      <c r="AF3338" t="s">
        <v>62</v>
      </c>
      <c r="AG3338">
        <v>7</v>
      </c>
      <c r="AH3338">
        <v>18</v>
      </c>
      <c r="AI3338">
        <v>13</v>
      </c>
      <c r="AJ3338">
        <v>0.58065</v>
      </c>
      <c r="AK3338">
        <v>0</v>
      </c>
      <c r="AL3338">
        <v>0</v>
      </c>
      <c r="AM3338">
        <v>0</v>
      </c>
      <c r="AN3338">
        <v>1</v>
      </c>
      <c r="AO3338">
        <v>0</v>
      </c>
      <c r="AP3338">
        <v>2</v>
      </c>
      <c r="AQ3338">
        <v>2</v>
      </c>
      <c r="AR3338">
        <v>4</v>
      </c>
      <c r="AS3338">
        <v>13</v>
      </c>
      <c r="AT3338">
        <v>0.23529</v>
      </c>
      <c r="AU3338">
        <v>12</v>
      </c>
      <c r="AV3338">
        <v>9</v>
      </c>
      <c r="AW3338">
        <v>32</v>
      </c>
      <c r="AX3338">
        <v>18</v>
      </c>
      <c r="AY3338">
        <v>31</v>
      </c>
      <c r="AZ3338">
        <v>14</v>
      </c>
      <c r="BA3338" t="s">
        <v>14526</v>
      </c>
      <c r="BB3338" t="s">
        <v>14527</v>
      </c>
      <c r="BC3338">
        <v>0.223</v>
      </c>
      <c r="BD3338" t="s">
        <v>65</v>
      </c>
      <c r="BE3338">
        <v>63</v>
      </c>
      <c r="BF3338">
        <v>32</v>
      </c>
      <c r="BG3338" t="s">
        <v>14528</v>
      </c>
      <c r="BH3338" t="s">
        <v>14529</v>
      </c>
      <c r="BI3338" t="s">
        <v>14530</v>
      </c>
      <c r="BJ3338">
        <v>0.13741999999999999</v>
      </c>
      <c r="BK3338">
        <v>1</v>
      </c>
      <c r="BL3338" t="s">
        <v>69</v>
      </c>
      <c r="BM3338">
        <v>1.0029999999999999</v>
      </c>
      <c r="BN3338">
        <v>0.49399999999999999</v>
      </c>
    </row>
    <row r="3339" spans="10:66">
      <c r="J3339">
        <v>0</v>
      </c>
      <c r="K3339">
        <v>10</v>
      </c>
      <c r="L3339">
        <v>0</v>
      </c>
      <c r="M3339" t="s">
        <v>25021</v>
      </c>
      <c r="N3339">
        <v>2502</v>
      </c>
      <c r="O3339" t="s">
        <v>14591</v>
      </c>
      <c r="P3339" t="s">
        <v>57</v>
      </c>
      <c r="Q3339">
        <v>2493662</v>
      </c>
      <c r="R3339">
        <v>2494552</v>
      </c>
      <c r="S3339" t="s">
        <v>14592</v>
      </c>
      <c r="T3339">
        <v>297</v>
      </c>
      <c r="U3339" t="s">
        <v>108</v>
      </c>
      <c r="V3339">
        <v>44</v>
      </c>
      <c r="W3339" t="str">
        <f>HYPERLINK("Gene2502-zp_tree_all.dnd", "Gene2502-tree")</f>
        <v>Gene2502-tree</v>
      </c>
      <c r="X3339">
        <v>9</v>
      </c>
      <c r="Y3339">
        <v>5</v>
      </c>
      <c r="Z3339">
        <v>9</v>
      </c>
      <c r="AA3339">
        <v>5</v>
      </c>
      <c r="AB3339">
        <v>0.35714000000000001</v>
      </c>
      <c r="AC3339" t="s">
        <v>135</v>
      </c>
      <c r="AD3339" t="s">
        <v>199</v>
      </c>
      <c r="AE3339" t="s">
        <v>62</v>
      </c>
      <c r="AF3339" t="s">
        <v>62</v>
      </c>
      <c r="AG3339">
        <v>3</v>
      </c>
      <c r="AH3339">
        <v>10</v>
      </c>
      <c r="AI3339">
        <v>6</v>
      </c>
      <c r="AJ3339">
        <v>0.625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2</v>
      </c>
      <c r="AQ3339">
        <v>0</v>
      </c>
      <c r="AR3339">
        <v>2</v>
      </c>
      <c r="AS3339">
        <v>6</v>
      </c>
      <c r="AT3339">
        <v>0.25</v>
      </c>
      <c r="AU3339">
        <v>10</v>
      </c>
      <c r="AV3339">
        <v>11</v>
      </c>
      <c r="AW3339">
        <v>28</v>
      </c>
      <c r="AX3339">
        <v>8</v>
      </c>
      <c r="AY3339">
        <v>32</v>
      </c>
      <c r="AZ3339">
        <v>8</v>
      </c>
      <c r="BA3339" t="s">
        <v>14593</v>
      </c>
      <c r="BB3339" t="s">
        <v>14594</v>
      </c>
      <c r="BC3339">
        <v>0.13500000000000001</v>
      </c>
      <c r="BD3339" t="s">
        <v>65</v>
      </c>
      <c r="BE3339">
        <v>60</v>
      </c>
      <c r="BF3339">
        <v>16</v>
      </c>
      <c r="BG3339" t="s">
        <v>14595</v>
      </c>
      <c r="BH3339" t="s">
        <v>14596</v>
      </c>
      <c r="BI3339" t="s">
        <v>14597</v>
      </c>
      <c r="BJ3339">
        <v>5.9400000000000001E-2</v>
      </c>
      <c r="BK3339">
        <v>1</v>
      </c>
      <c r="BL3339" t="s">
        <v>69</v>
      </c>
      <c r="BM3339">
        <v>0.215</v>
      </c>
      <c r="BN3339">
        <v>-0.63400000000000001</v>
      </c>
    </row>
    <row r="3340" spans="10:66">
      <c r="J3340">
        <v>0</v>
      </c>
      <c r="K3340">
        <v>4</v>
      </c>
      <c r="L3340">
        <v>0</v>
      </c>
      <c r="M3340" t="s">
        <v>25021</v>
      </c>
      <c r="N3340">
        <v>2503</v>
      </c>
      <c r="O3340" t="s">
        <v>14598</v>
      </c>
      <c r="P3340" t="s">
        <v>57</v>
      </c>
      <c r="Q3340">
        <v>2494656</v>
      </c>
      <c r="R3340">
        <v>2495822</v>
      </c>
      <c r="S3340" t="s">
        <v>2100</v>
      </c>
      <c r="T3340">
        <v>389</v>
      </c>
      <c r="U3340" t="s">
        <v>108</v>
      </c>
      <c r="V3340">
        <v>44</v>
      </c>
      <c r="W3340" t="str">
        <f>HYPERLINK("Gene2503-zp_tree_all.dnd", "Gene2503-tree")</f>
        <v>Gene2503-tree</v>
      </c>
      <c r="X3340">
        <v>6</v>
      </c>
      <c r="Y3340">
        <v>7</v>
      </c>
      <c r="Z3340">
        <v>6</v>
      </c>
      <c r="AA3340">
        <v>7</v>
      </c>
      <c r="AB3340">
        <v>0.53846000000000005</v>
      </c>
      <c r="AC3340" t="s">
        <v>90</v>
      </c>
      <c r="AD3340" t="s">
        <v>152</v>
      </c>
      <c r="AE3340" t="s">
        <v>62</v>
      </c>
      <c r="AF3340" t="s">
        <v>62</v>
      </c>
      <c r="AG3340">
        <v>2</v>
      </c>
      <c r="AH3340">
        <v>4</v>
      </c>
      <c r="AI3340">
        <v>9</v>
      </c>
      <c r="AJ3340">
        <v>0.30769000000000002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4</v>
      </c>
      <c r="AQ3340">
        <v>0</v>
      </c>
      <c r="AR3340">
        <v>4</v>
      </c>
      <c r="AS3340">
        <v>8</v>
      </c>
      <c r="AT3340">
        <v>0.33333000000000002</v>
      </c>
      <c r="AU3340">
        <v>13</v>
      </c>
      <c r="AV3340">
        <v>10</v>
      </c>
      <c r="AW3340">
        <v>65</v>
      </c>
      <c r="AX3340">
        <v>12</v>
      </c>
      <c r="AY3340">
        <v>27</v>
      </c>
      <c r="AZ3340">
        <v>1</v>
      </c>
      <c r="BA3340" t="s">
        <v>14599</v>
      </c>
      <c r="BB3340" t="s">
        <v>14600</v>
      </c>
      <c r="BC3340">
        <v>1.0469999999999999</v>
      </c>
      <c r="BD3340" t="s">
        <v>65</v>
      </c>
      <c r="BE3340">
        <v>92</v>
      </c>
      <c r="BF3340">
        <v>13</v>
      </c>
      <c r="BG3340" t="s">
        <v>14601</v>
      </c>
      <c r="BH3340" t="s">
        <v>14602</v>
      </c>
      <c r="BI3340" t="s">
        <v>14603</v>
      </c>
      <c r="BJ3340">
        <v>4.1579999999999999E-2</v>
      </c>
      <c r="BK3340">
        <v>1</v>
      </c>
      <c r="BL3340" t="s">
        <v>69</v>
      </c>
      <c r="BM3340">
        <v>-0.79800000000000004</v>
      </c>
      <c r="BN3340">
        <v>-0.751</v>
      </c>
    </row>
    <row r="3341" spans="10:66">
      <c r="J3341">
        <v>0</v>
      </c>
      <c r="K3341">
        <v>0</v>
      </c>
      <c r="L3341">
        <v>2</v>
      </c>
      <c r="M3341" t="s">
        <v>25021</v>
      </c>
      <c r="N3341">
        <v>2504</v>
      </c>
      <c r="O3341" t="s">
        <v>14604</v>
      </c>
      <c r="P3341" t="s">
        <v>57</v>
      </c>
      <c r="Q3341">
        <v>2495898</v>
      </c>
      <c r="R3341">
        <v>2496731</v>
      </c>
      <c r="S3341" t="s">
        <v>14605</v>
      </c>
      <c r="T3341">
        <v>278</v>
      </c>
      <c r="U3341" t="s">
        <v>14606</v>
      </c>
      <c r="V3341">
        <v>42</v>
      </c>
      <c r="W3341" t="str">
        <f>HYPERLINK("Gene2504-zp_tree_all.dnd", "Gene2504-tree")</f>
        <v>Gene2504-tree</v>
      </c>
      <c r="X3341">
        <v>5</v>
      </c>
      <c r="Y3341">
        <v>8</v>
      </c>
      <c r="Z3341">
        <v>5</v>
      </c>
      <c r="AA3341">
        <v>8</v>
      </c>
      <c r="AB3341">
        <v>0.61538000000000004</v>
      </c>
      <c r="AC3341" t="s">
        <v>199</v>
      </c>
      <c r="AD3341" t="s">
        <v>136</v>
      </c>
      <c r="AE3341" t="s">
        <v>62</v>
      </c>
      <c r="AF3341" t="s">
        <v>62</v>
      </c>
      <c r="AG3341">
        <v>1</v>
      </c>
      <c r="AH3341">
        <v>2</v>
      </c>
      <c r="AI3341">
        <v>10</v>
      </c>
      <c r="AJ3341">
        <v>0.16667000000000001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2</v>
      </c>
      <c r="AR3341">
        <v>2</v>
      </c>
      <c r="AS3341">
        <v>10</v>
      </c>
      <c r="AT3341">
        <v>0.16667000000000001</v>
      </c>
      <c r="AU3341">
        <v>11</v>
      </c>
      <c r="AV3341">
        <v>9</v>
      </c>
      <c r="AW3341">
        <v>28</v>
      </c>
      <c r="AX3341">
        <v>9</v>
      </c>
      <c r="AY3341">
        <v>33</v>
      </c>
      <c r="AZ3341">
        <v>3</v>
      </c>
      <c r="BA3341" t="s">
        <v>14607</v>
      </c>
      <c r="BB3341" t="s">
        <v>14608</v>
      </c>
      <c r="BC3341">
        <v>0.80300000000000005</v>
      </c>
      <c r="BD3341" t="s">
        <v>65</v>
      </c>
      <c r="BE3341">
        <v>61</v>
      </c>
      <c r="BF3341">
        <v>12</v>
      </c>
      <c r="BG3341" t="s">
        <v>14609</v>
      </c>
      <c r="BH3341" t="s">
        <v>14610</v>
      </c>
      <c r="BI3341" t="s">
        <v>14611</v>
      </c>
      <c r="BJ3341">
        <v>4.8489999999999998E-2</v>
      </c>
      <c r="BK3341">
        <v>1</v>
      </c>
      <c r="BL3341" t="s">
        <v>69</v>
      </c>
      <c r="BM3341">
        <v>-0.224</v>
      </c>
      <c r="BN3341">
        <v>-0.26400000000000001</v>
      </c>
    </row>
    <row r="3342" spans="10:66">
      <c r="J3342">
        <v>0</v>
      </c>
      <c r="K3342">
        <v>0</v>
      </c>
      <c r="L3342">
        <v>0</v>
      </c>
      <c r="M3342" t="s">
        <v>25021</v>
      </c>
      <c r="N3342">
        <v>2513</v>
      </c>
      <c r="O3342" t="s">
        <v>14664</v>
      </c>
      <c r="P3342" t="s">
        <v>57</v>
      </c>
      <c r="Q3342">
        <v>2507020</v>
      </c>
      <c r="R3342">
        <v>2507253</v>
      </c>
      <c r="S3342" t="s">
        <v>116</v>
      </c>
      <c r="T3342">
        <v>78</v>
      </c>
      <c r="U3342" t="s">
        <v>108</v>
      </c>
      <c r="V3342">
        <v>44</v>
      </c>
      <c r="W3342" t="str">
        <f>HYPERLINK("Gene2513-zp_tree_all.dnd", "Gene2513-tree")</f>
        <v>Gene2513-tree</v>
      </c>
      <c r="X3342">
        <v>4</v>
      </c>
      <c r="Y3342">
        <v>0</v>
      </c>
      <c r="Z3342">
        <v>4</v>
      </c>
      <c r="AA3342">
        <v>0</v>
      </c>
      <c r="AB3342">
        <v>0</v>
      </c>
      <c r="AC3342" t="s">
        <v>61</v>
      </c>
      <c r="AD3342" t="s">
        <v>62</v>
      </c>
      <c r="AE3342" t="s">
        <v>62</v>
      </c>
      <c r="AF3342" t="s">
        <v>62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3</v>
      </c>
      <c r="AV3342">
        <v>0</v>
      </c>
      <c r="AW3342">
        <v>3</v>
      </c>
      <c r="AX3342">
        <v>0</v>
      </c>
      <c r="AY3342">
        <v>0</v>
      </c>
      <c r="AZ3342">
        <v>0</v>
      </c>
      <c r="BA3342" t="s">
        <v>193</v>
      </c>
      <c r="BB3342" t="s">
        <v>193</v>
      </c>
      <c r="BC3342">
        <v>0</v>
      </c>
      <c r="BD3342" t="s">
        <v>65</v>
      </c>
      <c r="BE3342">
        <v>3</v>
      </c>
      <c r="BF3342">
        <v>0</v>
      </c>
      <c r="BG3342" t="s">
        <v>14665</v>
      </c>
      <c r="BH3342" t="s">
        <v>14666</v>
      </c>
      <c r="BI3342" t="s">
        <v>193</v>
      </c>
      <c r="BJ3342">
        <v>0</v>
      </c>
      <c r="BK3342">
        <v>1</v>
      </c>
      <c r="BL3342" t="s">
        <v>69</v>
      </c>
      <c r="BM3342">
        <v>-0.97099999999999997</v>
      </c>
      <c r="BN3342">
        <v>-0.378</v>
      </c>
    </row>
    <row r="3343" spans="10:66">
      <c r="J3343">
        <v>0</v>
      </c>
      <c r="K3343">
        <v>0</v>
      </c>
      <c r="L3343">
        <v>0</v>
      </c>
      <c r="M3343" t="s">
        <v>25021</v>
      </c>
      <c r="N3343">
        <v>2523</v>
      </c>
      <c r="O3343" t="s">
        <v>14728</v>
      </c>
      <c r="P3343" t="s">
        <v>57</v>
      </c>
      <c r="Q3343">
        <v>2516215</v>
      </c>
      <c r="R3343">
        <v>2516364</v>
      </c>
      <c r="S3343" t="s">
        <v>14729</v>
      </c>
      <c r="T3343">
        <v>50</v>
      </c>
      <c r="U3343" t="s">
        <v>1392</v>
      </c>
      <c r="V3343">
        <v>43</v>
      </c>
      <c r="W3343" t="str">
        <f>HYPERLINK("Gene2523-zp_tree_all.dnd", "Gene2523-tree")</f>
        <v>Gene2523-tree</v>
      </c>
      <c r="X3343">
        <v>0</v>
      </c>
      <c r="Y3343">
        <v>5</v>
      </c>
      <c r="Z3343">
        <v>0</v>
      </c>
      <c r="AA3343">
        <v>5</v>
      </c>
      <c r="AB3343">
        <v>1</v>
      </c>
      <c r="AC3343" t="s">
        <v>62</v>
      </c>
      <c r="AD3343" t="s">
        <v>199</v>
      </c>
      <c r="AE3343" t="s">
        <v>62</v>
      </c>
      <c r="AF3343" t="s">
        <v>62</v>
      </c>
      <c r="AG3343">
        <v>0</v>
      </c>
      <c r="AH3343">
        <v>0</v>
      </c>
      <c r="AI3343">
        <v>5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5</v>
      </c>
      <c r="AT3343">
        <v>0</v>
      </c>
      <c r="AU3343">
        <v>4</v>
      </c>
      <c r="AV3343">
        <v>0</v>
      </c>
      <c r="AW3343">
        <v>2</v>
      </c>
      <c r="AX3343">
        <v>5</v>
      </c>
      <c r="AY3343">
        <v>0</v>
      </c>
      <c r="AZ3343">
        <v>0</v>
      </c>
      <c r="BA3343" t="s">
        <v>14730</v>
      </c>
      <c r="BB3343" t="s">
        <v>193</v>
      </c>
      <c r="BC3343">
        <v>1.782</v>
      </c>
      <c r="BD3343" t="s">
        <v>65</v>
      </c>
      <c r="BE3343">
        <v>2</v>
      </c>
      <c r="BF3343">
        <v>5</v>
      </c>
      <c r="BG3343" t="s">
        <v>14731</v>
      </c>
      <c r="BH3343" t="s">
        <v>14732</v>
      </c>
      <c r="BI3343" t="s">
        <v>14733</v>
      </c>
      <c r="BJ3343">
        <v>0.73594999999999999</v>
      </c>
      <c r="BK3343">
        <v>0.43</v>
      </c>
      <c r="BL3343" t="s">
        <v>635</v>
      </c>
      <c r="BM3343">
        <v>-5.8000000000000003E-2</v>
      </c>
      <c r="BN3343">
        <v>-1.0149999999999999</v>
      </c>
    </row>
    <row r="3344" spans="10:66">
      <c r="J3344">
        <v>0</v>
      </c>
      <c r="K3344">
        <v>9</v>
      </c>
      <c r="L3344">
        <v>4</v>
      </c>
      <c r="M3344" t="s">
        <v>25021</v>
      </c>
      <c r="N3344">
        <v>2551</v>
      </c>
      <c r="O3344" t="s">
        <v>14909</v>
      </c>
      <c r="P3344" t="s">
        <v>57</v>
      </c>
      <c r="Q3344">
        <v>2541051</v>
      </c>
      <c r="R3344">
        <v>2542004</v>
      </c>
      <c r="S3344" t="s">
        <v>116</v>
      </c>
      <c r="T3344">
        <v>318</v>
      </c>
      <c r="U3344" t="s">
        <v>108</v>
      </c>
      <c r="V3344">
        <v>44</v>
      </c>
      <c r="W3344" t="str">
        <f>HYPERLINK("Gene2551-zp_tree_all.dnd", "Gene2551-tree")</f>
        <v>Gene2551-tree</v>
      </c>
      <c r="X3344">
        <v>7</v>
      </c>
      <c r="Y3344">
        <v>10</v>
      </c>
      <c r="Z3344">
        <v>7</v>
      </c>
      <c r="AA3344">
        <v>10</v>
      </c>
      <c r="AB3344">
        <v>0.58823999999999999</v>
      </c>
      <c r="AC3344" t="s">
        <v>152</v>
      </c>
      <c r="AD3344" t="s">
        <v>117</v>
      </c>
      <c r="AE3344" t="s">
        <v>62</v>
      </c>
      <c r="AF3344" t="s">
        <v>62</v>
      </c>
      <c r="AG3344">
        <v>4</v>
      </c>
      <c r="AH3344">
        <v>13</v>
      </c>
      <c r="AI3344">
        <v>7</v>
      </c>
      <c r="AJ3344">
        <v>0.65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4</v>
      </c>
      <c r="AQ3344">
        <v>2</v>
      </c>
      <c r="AR3344">
        <v>6</v>
      </c>
      <c r="AS3344">
        <v>7</v>
      </c>
      <c r="AT3344">
        <v>0.46154000000000001</v>
      </c>
      <c r="AU3344">
        <v>14</v>
      </c>
      <c r="AV3344">
        <v>10</v>
      </c>
      <c r="AW3344">
        <v>24</v>
      </c>
      <c r="AX3344">
        <v>13</v>
      </c>
      <c r="AY3344">
        <v>18</v>
      </c>
      <c r="AZ3344">
        <v>7</v>
      </c>
      <c r="BA3344" t="s">
        <v>14910</v>
      </c>
      <c r="BB3344" t="s">
        <v>14911</v>
      </c>
      <c r="BC3344">
        <v>0.47599999999999998</v>
      </c>
      <c r="BD3344" t="s">
        <v>65</v>
      </c>
      <c r="BE3344">
        <v>42</v>
      </c>
      <c r="BF3344">
        <v>20</v>
      </c>
      <c r="BG3344" t="s">
        <v>14912</v>
      </c>
      <c r="BH3344" t="s">
        <v>14913</v>
      </c>
      <c r="BI3344" t="s">
        <v>14914</v>
      </c>
      <c r="BJ3344">
        <v>0.11285000000000001</v>
      </c>
      <c r="BK3344">
        <v>1</v>
      </c>
      <c r="BL3344" t="s">
        <v>69</v>
      </c>
      <c r="BM3344">
        <v>-0.57799999999999996</v>
      </c>
      <c r="BN3344">
        <v>-0.85499999999999998</v>
      </c>
    </row>
    <row r="3345" spans="10:66">
      <c r="J3345">
        <v>0</v>
      </c>
      <c r="K3345">
        <v>0</v>
      </c>
      <c r="L3345">
        <v>0</v>
      </c>
      <c r="M3345" t="s">
        <v>25021</v>
      </c>
      <c r="N3345">
        <v>2552</v>
      </c>
      <c r="O3345" t="s">
        <v>14915</v>
      </c>
      <c r="P3345" t="s">
        <v>57</v>
      </c>
      <c r="Q3345">
        <v>2542047</v>
      </c>
      <c r="R3345">
        <v>2542439</v>
      </c>
      <c r="S3345" t="s">
        <v>116</v>
      </c>
      <c r="T3345">
        <v>131</v>
      </c>
      <c r="U3345" t="s">
        <v>59</v>
      </c>
      <c r="V3345">
        <v>49</v>
      </c>
      <c r="W3345" t="str">
        <f>HYPERLINK("Gene2552-zp_tree_all.dnd", "Gene2552-tree")</f>
        <v>Gene2552-tree</v>
      </c>
      <c r="X3345">
        <v>13</v>
      </c>
      <c r="Y3345">
        <v>1</v>
      </c>
      <c r="Z3345">
        <v>13</v>
      </c>
      <c r="AA3345">
        <v>1</v>
      </c>
      <c r="AB3345">
        <v>7.1429999999999993E-2</v>
      </c>
      <c r="AC3345" t="s">
        <v>507</v>
      </c>
      <c r="AD3345" t="s">
        <v>175</v>
      </c>
      <c r="AE3345" t="s">
        <v>62</v>
      </c>
      <c r="AF3345" t="s">
        <v>62</v>
      </c>
      <c r="AG3345">
        <v>0</v>
      </c>
      <c r="AH3345">
        <v>0</v>
      </c>
      <c r="AI3345">
        <v>3</v>
      </c>
      <c r="AJ3345">
        <v>0</v>
      </c>
      <c r="AK3345">
        <v>0</v>
      </c>
      <c r="AL3345">
        <v>0</v>
      </c>
      <c r="AM3345">
        <v>0</v>
      </c>
      <c r="AN3345">
        <v>2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9</v>
      </c>
      <c r="AV3345">
        <v>5</v>
      </c>
      <c r="AW3345">
        <v>10</v>
      </c>
      <c r="AX3345">
        <v>1</v>
      </c>
      <c r="AY3345">
        <v>11</v>
      </c>
      <c r="AZ3345">
        <v>2</v>
      </c>
      <c r="BA3345" t="s">
        <v>14916</v>
      </c>
      <c r="BB3345" t="s">
        <v>14917</v>
      </c>
      <c r="BC3345">
        <v>0.17699999999999999</v>
      </c>
      <c r="BD3345" t="s">
        <v>65</v>
      </c>
      <c r="BE3345">
        <v>21</v>
      </c>
      <c r="BF3345">
        <v>3</v>
      </c>
      <c r="BG3345" t="s">
        <v>14918</v>
      </c>
      <c r="BH3345" t="s">
        <v>14919</v>
      </c>
      <c r="BI3345" t="s">
        <v>14920</v>
      </c>
      <c r="BJ3345">
        <v>4.1020000000000001E-2</v>
      </c>
      <c r="BK3345">
        <v>1</v>
      </c>
      <c r="BL3345" t="s">
        <v>69</v>
      </c>
      <c r="BM3345">
        <v>-1.6930000000000001</v>
      </c>
      <c r="BN3345">
        <v>-1.2310000000000001</v>
      </c>
    </row>
    <row r="3346" spans="10:66">
      <c r="J3346">
        <v>0</v>
      </c>
      <c r="K3346">
        <v>0</v>
      </c>
      <c r="L3346">
        <v>0</v>
      </c>
      <c r="M3346" t="s">
        <v>25021</v>
      </c>
      <c r="N3346">
        <v>2556</v>
      </c>
      <c r="O3346" t="s">
        <v>14941</v>
      </c>
      <c r="P3346" t="s">
        <v>57</v>
      </c>
      <c r="Q3346">
        <v>2544995</v>
      </c>
      <c r="R3346">
        <v>2545372</v>
      </c>
      <c r="S3346" t="s">
        <v>14942</v>
      </c>
      <c r="T3346">
        <v>126</v>
      </c>
      <c r="U3346" t="s">
        <v>409</v>
      </c>
      <c r="V3346">
        <v>45</v>
      </c>
      <c r="W3346" t="str">
        <f>HYPERLINK("Gene2556-zp_tree_all.dnd", "Gene2556-tree")</f>
        <v>Gene2556-tree</v>
      </c>
      <c r="X3346">
        <v>7</v>
      </c>
      <c r="Y3346">
        <v>1</v>
      </c>
      <c r="Z3346">
        <v>7</v>
      </c>
      <c r="AA3346">
        <v>1</v>
      </c>
      <c r="AB3346">
        <v>0.125</v>
      </c>
      <c r="AC3346" t="s">
        <v>152</v>
      </c>
      <c r="AD3346" t="s">
        <v>175</v>
      </c>
      <c r="AE3346" t="s">
        <v>62</v>
      </c>
      <c r="AF3346" t="s">
        <v>62</v>
      </c>
      <c r="AG3346">
        <v>0</v>
      </c>
      <c r="AH3346">
        <v>0</v>
      </c>
      <c r="AI3346">
        <v>2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5</v>
      </c>
      <c r="AV3346">
        <v>3</v>
      </c>
      <c r="AW3346">
        <v>16</v>
      </c>
      <c r="AX3346">
        <v>1</v>
      </c>
      <c r="AY3346">
        <v>3</v>
      </c>
      <c r="AZ3346">
        <v>1</v>
      </c>
      <c r="BA3346" t="s">
        <v>14943</v>
      </c>
      <c r="BB3346" t="s">
        <v>14944</v>
      </c>
      <c r="BC3346">
        <v>0.66200000000000003</v>
      </c>
      <c r="BD3346" t="s">
        <v>65</v>
      </c>
      <c r="BE3346">
        <v>19</v>
      </c>
      <c r="BF3346">
        <v>2</v>
      </c>
      <c r="BG3346" t="s">
        <v>14945</v>
      </c>
      <c r="BH3346" t="s">
        <v>14946</v>
      </c>
      <c r="BI3346" t="s">
        <v>14947</v>
      </c>
      <c r="BJ3346">
        <v>3.7719999999999997E-2</v>
      </c>
      <c r="BK3346">
        <v>1</v>
      </c>
      <c r="BL3346" t="s">
        <v>69</v>
      </c>
      <c r="BM3346">
        <v>-1.5249999999999999</v>
      </c>
      <c r="BN3346">
        <v>-2.7879999999999998</v>
      </c>
    </row>
    <row r="3347" spans="10:66">
      <c r="J3347">
        <v>0</v>
      </c>
      <c r="K3347">
        <v>4</v>
      </c>
      <c r="L3347">
        <v>0</v>
      </c>
      <c r="M3347" t="s">
        <v>25021</v>
      </c>
      <c r="N3347">
        <v>2560</v>
      </c>
      <c r="O3347" t="s">
        <v>14969</v>
      </c>
      <c r="P3347" t="s">
        <v>57</v>
      </c>
      <c r="Q3347">
        <v>2549775</v>
      </c>
      <c r="R3347">
        <v>2551445</v>
      </c>
      <c r="S3347" t="s">
        <v>14970</v>
      </c>
      <c r="T3347">
        <v>557</v>
      </c>
      <c r="U3347" t="s">
        <v>108</v>
      </c>
      <c r="V3347">
        <v>44</v>
      </c>
      <c r="W3347" t="str">
        <f>HYPERLINK("Gene2560-zp_tree_all.dnd", "Gene2560-tree")</f>
        <v>Gene2560-tree</v>
      </c>
      <c r="X3347">
        <v>9</v>
      </c>
      <c r="Y3347">
        <v>5</v>
      </c>
      <c r="Z3347">
        <v>9</v>
      </c>
      <c r="AA3347">
        <v>5</v>
      </c>
      <c r="AB3347">
        <v>0.35714000000000001</v>
      </c>
      <c r="AC3347" t="s">
        <v>135</v>
      </c>
      <c r="AD3347" t="s">
        <v>199</v>
      </c>
      <c r="AE3347" t="s">
        <v>62</v>
      </c>
      <c r="AF3347" t="s">
        <v>62</v>
      </c>
      <c r="AG3347">
        <v>2</v>
      </c>
      <c r="AH3347">
        <v>4</v>
      </c>
      <c r="AI3347">
        <v>7</v>
      </c>
      <c r="AJ3347">
        <v>0.36364000000000002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7</v>
      </c>
      <c r="AT3347">
        <v>0</v>
      </c>
      <c r="AU3347">
        <v>12</v>
      </c>
      <c r="AV3347">
        <v>11</v>
      </c>
      <c r="AW3347">
        <v>35</v>
      </c>
      <c r="AX3347">
        <v>7</v>
      </c>
      <c r="AY3347">
        <v>55</v>
      </c>
      <c r="AZ3347">
        <v>4</v>
      </c>
      <c r="BA3347" t="s">
        <v>14971</v>
      </c>
      <c r="BB3347" t="s">
        <v>14972</v>
      </c>
      <c r="BC3347">
        <v>0.80100000000000005</v>
      </c>
      <c r="BD3347" t="s">
        <v>65</v>
      </c>
      <c r="BE3347">
        <v>90</v>
      </c>
      <c r="BF3347">
        <v>11</v>
      </c>
      <c r="BG3347" t="s">
        <v>14973</v>
      </c>
      <c r="BH3347" t="s">
        <v>14974</v>
      </c>
      <c r="BI3347" t="s">
        <v>14975</v>
      </c>
      <c r="BJ3347">
        <v>3.551E-2</v>
      </c>
      <c r="BK3347">
        <v>1</v>
      </c>
      <c r="BL3347" t="s">
        <v>69</v>
      </c>
      <c r="BM3347">
        <v>-3.7999999999999999E-2</v>
      </c>
      <c r="BN3347">
        <v>2.9000000000000001E-2</v>
      </c>
    </row>
    <row r="3348" spans="10:66">
      <c r="J3348">
        <v>0</v>
      </c>
      <c r="K3348">
        <v>2</v>
      </c>
      <c r="L3348">
        <v>2</v>
      </c>
      <c r="M3348" t="s">
        <v>25021</v>
      </c>
      <c r="N3348">
        <v>2561</v>
      </c>
      <c r="O3348" t="s">
        <v>14976</v>
      </c>
      <c r="P3348" t="s">
        <v>57</v>
      </c>
      <c r="Q3348">
        <v>2551469</v>
      </c>
      <c r="R3348">
        <v>2552260</v>
      </c>
      <c r="S3348" t="s">
        <v>116</v>
      </c>
      <c r="T3348">
        <v>264</v>
      </c>
      <c r="U3348" t="s">
        <v>108</v>
      </c>
      <c r="V3348">
        <v>44</v>
      </c>
      <c r="W3348" t="str">
        <f>HYPERLINK("Gene2561-zp_tree_all.dnd", "Gene2561-tree")</f>
        <v>Gene2561-tree</v>
      </c>
      <c r="X3348">
        <v>5</v>
      </c>
      <c r="Y3348">
        <v>5</v>
      </c>
      <c r="Z3348">
        <v>5</v>
      </c>
      <c r="AA3348">
        <v>5</v>
      </c>
      <c r="AB3348">
        <v>0.5</v>
      </c>
      <c r="AC3348" t="s">
        <v>199</v>
      </c>
      <c r="AD3348" t="s">
        <v>199</v>
      </c>
      <c r="AE3348" t="s">
        <v>62</v>
      </c>
      <c r="AF3348" t="s">
        <v>62</v>
      </c>
      <c r="AG3348">
        <v>2</v>
      </c>
      <c r="AH3348">
        <v>4</v>
      </c>
      <c r="AI3348">
        <v>4</v>
      </c>
      <c r="AJ3348">
        <v>0.5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2</v>
      </c>
      <c r="AQ3348">
        <v>0</v>
      </c>
      <c r="AR3348">
        <v>2</v>
      </c>
      <c r="AS3348">
        <v>4</v>
      </c>
      <c r="AT3348">
        <v>0.33333000000000002</v>
      </c>
      <c r="AU3348">
        <v>8</v>
      </c>
      <c r="AV3348">
        <v>3</v>
      </c>
      <c r="AW3348">
        <v>9</v>
      </c>
      <c r="AX3348">
        <v>6</v>
      </c>
      <c r="AY3348">
        <v>8</v>
      </c>
      <c r="AZ3348">
        <v>2</v>
      </c>
      <c r="BA3348" t="s">
        <v>14977</v>
      </c>
      <c r="BB3348" t="s">
        <v>14978</v>
      </c>
      <c r="BC3348">
        <v>0.77</v>
      </c>
      <c r="BD3348" t="s">
        <v>65</v>
      </c>
      <c r="BE3348">
        <v>17</v>
      </c>
      <c r="BF3348">
        <v>8</v>
      </c>
      <c r="BG3348" t="s">
        <v>14979</v>
      </c>
      <c r="BH3348" t="s">
        <v>14980</v>
      </c>
      <c r="BI3348" t="s">
        <v>14981</v>
      </c>
      <c r="BJ3348">
        <v>0.12363</v>
      </c>
      <c r="BK3348">
        <v>1</v>
      </c>
      <c r="BL3348" t="s">
        <v>69</v>
      </c>
      <c r="BM3348">
        <v>-0.72499999999999998</v>
      </c>
      <c r="BN3348">
        <v>-0.70499999999999996</v>
      </c>
    </row>
    <row r="3349" spans="10:66">
      <c r="J3349">
        <v>0</v>
      </c>
      <c r="K3349">
        <v>0</v>
      </c>
      <c r="L3349">
        <v>0</v>
      </c>
      <c r="M3349" t="s">
        <v>25021</v>
      </c>
      <c r="N3349">
        <v>2562</v>
      </c>
      <c r="O3349" t="s">
        <v>14982</v>
      </c>
      <c r="P3349" t="s">
        <v>57</v>
      </c>
      <c r="Q3349">
        <v>2552446</v>
      </c>
      <c r="R3349">
        <v>2552616</v>
      </c>
      <c r="S3349" t="s">
        <v>14983</v>
      </c>
      <c r="T3349">
        <v>57</v>
      </c>
      <c r="U3349" t="s">
        <v>59</v>
      </c>
      <c r="V3349">
        <v>49</v>
      </c>
      <c r="W3349" t="str">
        <f>HYPERLINK("Gene2562-zp_tree_all.dnd", "Gene2562-tree")</f>
        <v>Gene2562-tree</v>
      </c>
      <c r="X3349">
        <v>1</v>
      </c>
      <c r="Y3349">
        <v>3</v>
      </c>
      <c r="Z3349">
        <v>1</v>
      </c>
      <c r="AA3349">
        <v>3</v>
      </c>
      <c r="AB3349">
        <v>0.75</v>
      </c>
      <c r="AC3349" t="s">
        <v>175</v>
      </c>
      <c r="AD3349" t="s">
        <v>324</v>
      </c>
      <c r="AE3349" t="s">
        <v>62</v>
      </c>
      <c r="AF3349" t="s">
        <v>62</v>
      </c>
      <c r="AG3349">
        <v>0</v>
      </c>
      <c r="AH3349">
        <v>0</v>
      </c>
      <c r="AI3349">
        <v>3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3</v>
      </c>
      <c r="AT3349">
        <v>0</v>
      </c>
      <c r="AU3349">
        <v>3</v>
      </c>
      <c r="AV3349">
        <v>1</v>
      </c>
      <c r="AW3349">
        <v>3</v>
      </c>
      <c r="AX3349">
        <v>2</v>
      </c>
      <c r="AY3349">
        <v>1</v>
      </c>
      <c r="AZ3349">
        <v>1</v>
      </c>
      <c r="BA3349" t="s">
        <v>14984</v>
      </c>
      <c r="BB3349" t="s">
        <v>14985</v>
      </c>
      <c r="BC3349">
        <v>0.76800000000000002</v>
      </c>
      <c r="BD3349" t="s">
        <v>65</v>
      </c>
      <c r="BE3349">
        <v>4</v>
      </c>
      <c r="BF3349">
        <v>3</v>
      </c>
      <c r="BG3349" t="s">
        <v>14986</v>
      </c>
      <c r="BH3349" t="s">
        <v>14987</v>
      </c>
      <c r="BI3349" t="s">
        <v>14988</v>
      </c>
      <c r="BJ3349">
        <v>0.17313000000000001</v>
      </c>
      <c r="BK3349">
        <v>0.94199999999999995</v>
      </c>
      <c r="BL3349" t="s">
        <v>635</v>
      </c>
      <c r="BM3349">
        <v>-0.65600000000000003</v>
      </c>
      <c r="BN3349">
        <v>0.46700000000000003</v>
      </c>
    </row>
    <row r="3350" spans="10:66">
      <c r="J3350">
        <v>0</v>
      </c>
      <c r="K3350">
        <v>0</v>
      </c>
      <c r="L3350">
        <v>0</v>
      </c>
      <c r="M3350" t="s">
        <v>25021</v>
      </c>
      <c r="N3350">
        <v>2563</v>
      </c>
      <c r="O3350" t="s">
        <v>14989</v>
      </c>
      <c r="P3350" t="s">
        <v>57</v>
      </c>
      <c r="Q3350">
        <v>2552653</v>
      </c>
      <c r="R3350">
        <v>2552985</v>
      </c>
      <c r="S3350" t="s">
        <v>14990</v>
      </c>
      <c r="T3350">
        <v>111</v>
      </c>
      <c r="U3350" t="s">
        <v>14991</v>
      </c>
      <c r="V3350">
        <v>50</v>
      </c>
      <c r="W3350" t="str">
        <f>HYPERLINK("Gene2563-zp_tree_all.dnd", "Gene2563-tree")</f>
        <v>Gene2563-tree</v>
      </c>
      <c r="X3350">
        <v>37</v>
      </c>
      <c r="Y3350">
        <v>2</v>
      </c>
      <c r="Z3350">
        <v>4</v>
      </c>
      <c r="AA3350">
        <v>2</v>
      </c>
      <c r="AB3350">
        <v>0.33333000000000002</v>
      </c>
      <c r="AC3350" t="s">
        <v>12688</v>
      </c>
      <c r="AD3350" t="s">
        <v>81</v>
      </c>
      <c r="AE3350" t="s">
        <v>62</v>
      </c>
      <c r="AF3350" t="s">
        <v>62</v>
      </c>
      <c r="AG3350">
        <v>0</v>
      </c>
      <c r="AH3350">
        <v>0</v>
      </c>
      <c r="AI3350">
        <v>2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2</v>
      </c>
      <c r="AT3350">
        <v>0</v>
      </c>
      <c r="AU3350">
        <v>5</v>
      </c>
      <c r="AV3350">
        <v>1</v>
      </c>
      <c r="AW3350">
        <v>11</v>
      </c>
      <c r="AX3350">
        <v>2</v>
      </c>
      <c r="AY3350">
        <v>1</v>
      </c>
      <c r="AZ3350">
        <v>0</v>
      </c>
      <c r="BA3350" t="s">
        <v>14992</v>
      </c>
      <c r="BB3350" t="s">
        <v>193</v>
      </c>
      <c r="BC3350">
        <v>0.66600000000000004</v>
      </c>
      <c r="BD3350" t="s">
        <v>65</v>
      </c>
      <c r="BE3350">
        <v>12</v>
      </c>
      <c r="BF3350">
        <v>2</v>
      </c>
      <c r="BG3350" t="s">
        <v>14993</v>
      </c>
      <c r="BH3350" t="s">
        <v>14994</v>
      </c>
      <c r="BI3350" t="s">
        <v>14995</v>
      </c>
      <c r="BJ3350">
        <v>4.5940000000000002E-2</v>
      </c>
      <c r="BK3350">
        <v>1</v>
      </c>
      <c r="BL3350" t="s">
        <v>69</v>
      </c>
      <c r="BM3350">
        <v>-1.536</v>
      </c>
      <c r="BN3350">
        <v>1.4770000000000001</v>
      </c>
    </row>
    <row r="3351" spans="10:66">
      <c r="J3351">
        <v>0</v>
      </c>
      <c r="K3351">
        <v>0</v>
      </c>
      <c r="L3351">
        <v>2</v>
      </c>
      <c r="M3351" t="s">
        <v>25021</v>
      </c>
      <c r="N3351">
        <v>2567</v>
      </c>
      <c r="O3351" t="s">
        <v>15015</v>
      </c>
      <c r="P3351" t="s">
        <v>57</v>
      </c>
      <c r="Q3351">
        <v>2555519</v>
      </c>
      <c r="R3351">
        <v>2555842</v>
      </c>
      <c r="S3351" t="s">
        <v>2332</v>
      </c>
      <c r="T3351">
        <v>108</v>
      </c>
      <c r="U3351" t="s">
        <v>108</v>
      </c>
      <c r="V3351">
        <v>44</v>
      </c>
      <c r="W3351" t="str">
        <f>HYPERLINK("Gene2567-zp_tree_all.dnd", "Gene2567-tree")</f>
        <v>Gene2567-tree</v>
      </c>
      <c r="X3351">
        <v>25</v>
      </c>
      <c r="Y3351">
        <v>5</v>
      </c>
      <c r="Z3351">
        <v>6</v>
      </c>
      <c r="AA3351">
        <v>5</v>
      </c>
      <c r="AB3351">
        <v>0.45455000000000001</v>
      </c>
      <c r="AC3351" t="s">
        <v>965</v>
      </c>
      <c r="AD3351" t="s">
        <v>199</v>
      </c>
      <c r="AE3351" t="s">
        <v>62</v>
      </c>
      <c r="AF3351" t="s">
        <v>62</v>
      </c>
      <c r="AG3351">
        <v>1</v>
      </c>
      <c r="AH3351">
        <v>2</v>
      </c>
      <c r="AI3351">
        <v>6</v>
      </c>
      <c r="AJ3351">
        <v>0.25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2</v>
      </c>
      <c r="AR3351">
        <v>2</v>
      </c>
      <c r="AS3351">
        <v>6</v>
      </c>
      <c r="AT3351">
        <v>0.25</v>
      </c>
      <c r="AU3351">
        <v>5</v>
      </c>
      <c r="AV3351">
        <v>5</v>
      </c>
      <c r="AW3351">
        <v>2</v>
      </c>
      <c r="AX3351">
        <v>7</v>
      </c>
      <c r="AY3351">
        <v>6</v>
      </c>
      <c r="AZ3351">
        <v>1</v>
      </c>
      <c r="BA3351" t="s">
        <v>15016</v>
      </c>
      <c r="BB3351" t="s">
        <v>15017</v>
      </c>
      <c r="BC3351">
        <v>1.042</v>
      </c>
      <c r="BD3351" t="s">
        <v>65</v>
      </c>
      <c r="BE3351">
        <v>8</v>
      </c>
      <c r="BF3351">
        <v>8</v>
      </c>
      <c r="BG3351" t="s">
        <v>15018</v>
      </c>
      <c r="BH3351" t="s">
        <v>15019</v>
      </c>
      <c r="BI3351" t="s">
        <v>15020</v>
      </c>
      <c r="BJ3351">
        <v>0.18845000000000001</v>
      </c>
      <c r="BK3351">
        <v>0.98</v>
      </c>
      <c r="BL3351" t="s">
        <v>69</v>
      </c>
      <c r="BM3351">
        <v>-1.413</v>
      </c>
      <c r="BN3351">
        <v>-1.732</v>
      </c>
    </row>
    <row r="3352" spans="10:66">
      <c r="J3352">
        <v>0</v>
      </c>
      <c r="K3352">
        <v>11</v>
      </c>
      <c r="L3352">
        <v>0</v>
      </c>
      <c r="M3352" t="s">
        <v>25021</v>
      </c>
      <c r="N3352">
        <v>2577</v>
      </c>
      <c r="O3352" t="s">
        <v>15082</v>
      </c>
      <c r="P3352" t="s">
        <v>57</v>
      </c>
      <c r="Q3352">
        <v>2561585</v>
      </c>
      <c r="R3352">
        <v>2562910</v>
      </c>
      <c r="S3352" t="s">
        <v>15083</v>
      </c>
      <c r="T3352">
        <v>442</v>
      </c>
      <c r="U3352" t="s">
        <v>5451</v>
      </c>
      <c r="V3352">
        <v>43</v>
      </c>
      <c r="W3352" t="str">
        <f>HYPERLINK("Gene2577-zp_tree_all.dnd", "Gene2577-tree")</f>
        <v>Gene2577-tree</v>
      </c>
      <c r="X3352">
        <v>7</v>
      </c>
      <c r="Y3352">
        <v>7</v>
      </c>
      <c r="Z3352">
        <v>7</v>
      </c>
      <c r="AA3352">
        <v>7</v>
      </c>
      <c r="AB3352">
        <v>0.5</v>
      </c>
      <c r="AC3352" t="s">
        <v>152</v>
      </c>
      <c r="AD3352" t="s">
        <v>152</v>
      </c>
      <c r="AE3352" t="s">
        <v>62</v>
      </c>
      <c r="AF3352" t="s">
        <v>62</v>
      </c>
      <c r="AG3352">
        <v>4</v>
      </c>
      <c r="AH3352">
        <v>11</v>
      </c>
      <c r="AI3352">
        <v>6</v>
      </c>
      <c r="AJ3352">
        <v>0.64705999999999997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3</v>
      </c>
      <c r="AQ3352">
        <v>0</v>
      </c>
      <c r="AR3352">
        <v>3</v>
      </c>
      <c r="AS3352">
        <v>6</v>
      </c>
      <c r="AT3352">
        <v>0.33333000000000002</v>
      </c>
      <c r="AU3352">
        <v>11</v>
      </c>
      <c r="AV3352">
        <v>10</v>
      </c>
      <c r="AW3352">
        <v>33</v>
      </c>
      <c r="AX3352">
        <v>9</v>
      </c>
      <c r="AY3352">
        <v>38</v>
      </c>
      <c r="AZ3352">
        <v>8</v>
      </c>
      <c r="BA3352" t="s">
        <v>15084</v>
      </c>
      <c r="BB3352" t="s">
        <v>15085</v>
      </c>
      <c r="BC3352">
        <v>0.378</v>
      </c>
      <c r="BD3352" t="s">
        <v>65</v>
      </c>
      <c r="BE3352">
        <v>71</v>
      </c>
      <c r="BF3352">
        <v>17</v>
      </c>
      <c r="BG3352" t="s">
        <v>15086</v>
      </c>
      <c r="BH3352" t="s">
        <v>15087</v>
      </c>
      <c r="BI3352" t="s">
        <v>15088</v>
      </c>
      <c r="BJ3352">
        <v>5.6180000000000001E-2</v>
      </c>
      <c r="BK3352">
        <v>1</v>
      </c>
      <c r="BL3352" t="s">
        <v>69</v>
      </c>
      <c r="BM3352">
        <v>0.44600000000000001</v>
      </c>
      <c r="BN3352">
        <v>-0.42499999999999999</v>
      </c>
    </row>
    <row r="3353" spans="10:66">
      <c r="J3353">
        <v>0</v>
      </c>
      <c r="K3353">
        <v>0</v>
      </c>
      <c r="L3353">
        <v>0</v>
      </c>
      <c r="M3353" t="s">
        <v>25021</v>
      </c>
      <c r="N3353">
        <v>2580</v>
      </c>
      <c r="O3353" t="s">
        <v>15102</v>
      </c>
      <c r="P3353" t="s">
        <v>57</v>
      </c>
      <c r="Q3353">
        <v>2564638</v>
      </c>
      <c r="R3353">
        <v>2564880</v>
      </c>
      <c r="S3353" t="s">
        <v>116</v>
      </c>
      <c r="T3353">
        <v>81</v>
      </c>
      <c r="U3353" t="s">
        <v>59</v>
      </c>
      <c r="V3353">
        <v>49</v>
      </c>
      <c r="W3353" t="str">
        <f>HYPERLINK("Gene2580-zp_tree_all.dnd", "Gene2580-tree")</f>
        <v>Gene2580-tree</v>
      </c>
      <c r="X3353">
        <v>7</v>
      </c>
      <c r="Y3353">
        <v>3</v>
      </c>
      <c r="Z3353">
        <v>7</v>
      </c>
      <c r="AA3353">
        <v>3</v>
      </c>
      <c r="AB3353">
        <v>0.3</v>
      </c>
      <c r="AC3353" t="s">
        <v>152</v>
      </c>
      <c r="AD3353" t="s">
        <v>324</v>
      </c>
      <c r="AE3353" t="s">
        <v>62</v>
      </c>
      <c r="AF3353" t="s">
        <v>62</v>
      </c>
      <c r="AG3353">
        <v>0</v>
      </c>
      <c r="AH3353">
        <v>0</v>
      </c>
      <c r="AI3353">
        <v>3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3</v>
      </c>
      <c r="AT3353">
        <v>0</v>
      </c>
      <c r="AU3353">
        <v>7</v>
      </c>
      <c r="AV3353">
        <v>5</v>
      </c>
      <c r="AW3353">
        <v>6</v>
      </c>
      <c r="AX3353">
        <v>2</v>
      </c>
      <c r="AY3353">
        <v>9</v>
      </c>
      <c r="AZ3353">
        <v>1</v>
      </c>
      <c r="BA3353" t="s">
        <v>15103</v>
      </c>
      <c r="BB3353" t="s">
        <v>15104</v>
      </c>
      <c r="BC3353">
        <v>0.50600000000000001</v>
      </c>
      <c r="BD3353" t="s">
        <v>65</v>
      </c>
      <c r="BE3353">
        <v>15</v>
      </c>
      <c r="BF3353">
        <v>3</v>
      </c>
      <c r="BG3353" t="s">
        <v>15105</v>
      </c>
      <c r="BH3353" t="s">
        <v>15106</v>
      </c>
      <c r="BI3353" t="s">
        <v>15107</v>
      </c>
      <c r="BJ3353">
        <v>4.487E-2</v>
      </c>
      <c r="BK3353">
        <v>1</v>
      </c>
      <c r="BL3353" t="s">
        <v>69</v>
      </c>
      <c r="BM3353">
        <v>-1.4990000000000001</v>
      </c>
      <c r="BN3353">
        <v>-1.173</v>
      </c>
    </row>
    <row r="3354" spans="10:66">
      <c r="J3354">
        <v>0</v>
      </c>
      <c r="K3354">
        <v>0</v>
      </c>
      <c r="L3354">
        <v>0</v>
      </c>
      <c r="M3354" t="s">
        <v>25021</v>
      </c>
      <c r="N3354">
        <v>2582</v>
      </c>
      <c r="O3354" t="s">
        <v>15115</v>
      </c>
      <c r="P3354" t="s">
        <v>57</v>
      </c>
      <c r="Q3354">
        <v>2565715</v>
      </c>
      <c r="R3354">
        <v>2565885</v>
      </c>
      <c r="S3354" t="s">
        <v>116</v>
      </c>
      <c r="T3354">
        <v>57</v>
      </c>
      <c r="U3354" t="s">
        <v>72</v>
      </c>
      <c r="V3354">
        <v>45</v>
      </c>
      <c r="W3354" t="str">
        <f>HYPERLINK("Gene2582-zp_tree_all.dnd", "Gene2582-tree")</f>
        <v>Gene2582-tree</v>
      </c>
      <c r="X3354">
        <v>44</v>
      </c>
      <c r="Y3354">
        <v>1</v>
      </c>
      <c r="Z3354">
        <v>3</v>
      </c>
      <c r="AA3354">
        <v>1</v>
      </c>
      <c r="AB3354">
        <v>0.25</v>
      </c>
      <c r="AC3354" t="s">
        <v>15116</v>
      </c>
      <c r="AD3354" t="s">
        <v>175</v>
      </c>
      <c r="AE3354" t="s">
        <v>62</v>
      </c>
      <c r="AF3354" t="s">
        <v>62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2</v>
      </c>
      <c r="AV3354">
        <v>1</v>
      </c>
      <c r="AW3354">
        <v>6</v>
      </c>
      <c r="AX3354">
        <v>1</v>
      </c>
      <c r="AY3354">
        <v>2</v>
      </c>
      <c r="AZ3354">
        <v>0</v>
      </c>
      <c r="BA3354" t="s">
        <v>15117</v>
      </c>
      <c r="BB3354" t="s">
        <v>193</v>
      </c>
      <c r="BC3354">
        <v>0.96199999999999997</v>
      </c>
      <c r="BD3354" t="s">
        <v>65</v>
      </c>
      <c r="BE3354">
        <v>8</v>
      </c>
      <c r="BF3354">
        <v>1</v>
      </c>
      <c r="BG3354" t="s">
        <v>15118</v>
      </c>
      <c r="BH3354" t="s">
        <v>15119</v>
      </c>
      <c r="BI3354" t="s">
        <v>15120</v>
      </c>
      <c r="BJ3354">
        <v>3.5279999999999999E-2</v>
      </c>
      <c r="BK3354">
        <v>1</v>
      </c>
      <c r="BL3354" t="s">
        <v>69</v>
      </c>
      <c r="BM3354">
        <v>-2.0489999999999999</v>
      </c>
      <c r="BN3354">
        <v>-3.5790000000000002</v>
      </c>
    </row>
    <row r="3355" spans="10:66">
      <c r="J3355">
        <v>0</v>
      </c>
      <c r="K3355">
        <v>0</v>
      </c>
      <c r="L3355">
        <v>0</v>
      </c>
      <c r="M3355" t="s">
        <v>25021</v>
      </c>
      <c r="N3355">
        <v>2595</v>
      </c>
      <c r="O3355" t="s">
        <v>15187</v>
      </c>
      <c r="P3355" t="s">
        <v>57</v>
      </c>
      <c r="Q3355">
        <v>2576367</v>
      </c>
      <c r="R3355">
        <v>2576717</v>
      </c>
      <c r="S3355" t="s">
        <v>116</v>
      </c>
      <c r="T3355">
        <v>117</v>
      </c>
      <c r="U3355" t="s">
        <v>59</v>
      </c>
      <c r="V3355">
        <v>49</v>
      </c>
      <c r="W3355" t="str">
        <f>HYPERLINK("Gene2595-zp_tree_all.dnd", "Gene2595-tree")</f>
        <v>Gene2595-tree</v>
      </c>
      <c r="X3355">
        <v>31</v>
      </c>
      <c r="Y3355">
        <v>1</v>
      </c>
      <c r="Z3355">
        <v>12</v>
      </c>
      <c r="AA3355">
        <v>1</v>
      </c>
      <c r="AB3355">
        <v>7.6920000000000002E-2</v>
      </c>
      <c r="AC3355" t="s">
        <v>5000</v>
      </c>
      <c r="AD3355" t="s">
        <v>175</v>
      </c>
      <c r="AE3355" t="s">
        <v>62</v>
      </c>
      <c r="AF3355" t="s">
        <v>62</v>
      </c>
      <c r="AG3355">
        <v>0</v>
      </c>
      <c r="AH3355">
        <v>0</v>
      </c>
      <c r="AI3355">
        <v>3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0</v>
      </c>
      <c r="AU3355">
        <v>11</v>
      </c>
      <c r="AV3355">
        <v>4</v>
      </c>
      <c r="AW3355">
        <v>13</v>
      </c>
      <c r="AX3355">
        <v>1</v>
      </c>
      <c r="AY3355">
        <v>8</v>
      </c>
      <c r="AZ3355">
        <v>2</v>
      </c>
      <c r="BA3355" t="s">
        <v>15188</v>
      </c>
      <c r="BB3355" t="s">
        <v>15189</v>
      </c>
      <c r="BC3355">
        <v>0.439</v>
      </c>
      <c r="BD3355" t="s">
        <v>65</v>
      </c>
      <c r="BE3355">
        <v>21</v>
      </c>
      <c r="BF3355">
        <v>3</v>
      </c>
      <c r="BG3355" t="s">
        <v>15190</v>
      </c>
      <c r="BH3355" t="s">
        <v>15191</v>
      </c>
      <c r="BI3355" t="s">
        <v>15192</v>
      </c>
      <c r="BJ3355">
        <v>5.595E-2</v>
      </c>
      <c r="BK3355">
        <v>1</v>
      </c>
      <c r="BL3355" t="s">
        <v>69</v>
      </c>
      <c r="BM3355">
        <v>-0.90400000000000003</v>
      </c>
      <c r="BN3355">
        <v>-1.012</v>
      </c>
    </row>
    <row r="3356" spans="10:66">
      <c r="J3356">
        <v>0</v>
      </c>
      <c r="K3356">
        <v>4</v>
      </c>
      <c r="L3356">
        <v>0</v>
      </c>
      <c r="M3356" t="s">
        <v>25021</v>
      </c>
      <c r="N3356">
        <v>2596</v>
      </c>
      <c r="O3356" t="s">
        <v>15193</v>
      </c>
      <c r="P3356" t="s">
        <v>57</v>
      </c>
      <c r="Q3356">
        <v>2576717</v>
      </c>
      <c r="R3356">
        <v>2577178</v>
      </c>
      <c r="S3356" t="s">
        <v>116</v>
      </c>
      <c r="T3356">
        <v>154</v>
      </c>
      <c r="U3356" t="s">
        <v>15194</v>
      </c>
      <c r="V3356">
        <v>45</v>
      </c>
      <c r="W3356" t="str">
        <f>HYPERLINK("Gene2596-zp_tree_all.dnd", "Gene2596-tree")</f>
        <v>Gene2596-tree</v>
      </c>
      <c r="X3356">
        <v>6</v>
      </c>
      <c r="Y3356">
        <v>24</v>
      </c>
      <c r="Z3356">
        <v>6</v>
      </c>
      <c r="AA3356">
        <v>5</v>
      </c>
      <c r="AB3356">
        <v>0.45455000000000001</v>
      </c>
      <c r="AC3356" t="s">
        <v>90</v>
      </c>
      <c r="AD3356" t="s">
        <v>2668</v>
      </c>
      <c r="AE3356">
        <v>4.4390000000000001</v>
      </c>
      <c r="AF3356" t="s">
        <v>65</v>
      </c>
      <c r="AG3356">
        <v>2</v>
      </c>
      <c r="AH3356">
        <v>4</v>
      </c>
      <c r="AI3356">
        <v>8</v>
      </c>
      <c r="AJ3356">
        <v>0.33333000000000002</v>
      </c>
      <c r="AK3356">
        <v>0</v>
      </c>
      <c r="AL3356">
        <v>0</v>
      </c>
      <c r="AM3356">
        <v>0</v>
      </c>
      <c r="AN3356">
        <v>3</v>
      </c>
      <c r="AO3356">
        <v>0</v>
      </c>
      <c r="AP3356">
        <v>0</v>
      </c>
      <c r="AQ3356">
        <v>0</v>
      </c>
      <c r="AR3356">
        <v>0</v>
      </c>
      <c r="AS3356">
        <v>4</v>
      </c>
      <c r="AT3356">
        <v>0</v>
      </c>
      <c r="AU3356">
        <v>8</v>
      </c>
      <c r="AV3356">
        <v>4</v>
      </c>
      <c r="AW3356">
        <v>10</v>
      </c>
      <c r="AX3356">
        <v>4</v>
      </c>
      <c r="AY3356">
        <v>21</v>
      </c>
      <c r="AZ3356">
        <v>8</v>
      </c>
      <c r="BA3356" t="s">
        <v>15195</v>
      </c>
      <c r="BB3356" t="s">
        <v>15196</v>
      </c>
      <c r="BC3356">
        <v>0.113</v>
      </c>
      <c r="BD3356" t="s">
        <v>65</v>
      </c>
      <c r="BE3356">
        <v>31</v>
      </c>
      <c r="BF3356">
        <v>12</v>
      </c>
      <c r="BG3356" t="s">
        <v>15197</v>
      </c>
      <c r="BH3356" t="s">
        <v>15198</v>
      </c>
      <c r="BI3356" t="s">
        <v>15199</v>
      </c>
      <c r="BJ3356">
        <v>0.10263</v>
      </c>
      <c r="BK3356">
        <v>1</v>
      </c>
      <c r="BL3356" t="s">
        <v>69</v>
      </c>
      <c r="BM3356">
        <v>0.66100000000000003</v>
      </c>
      <c r="BN3356">
        <v>-0.128</v>
      </c>
    </row>
    <row r="3357" spans="10:66">
      <c r="J3357">
        <v>0</v>
      </c>
      <c r="K3357">
        <v>0</v>
      </c>
      <c r="L3357">
        <v>0</v>
      </c>
      <c r="M3357" t="s">
        <v>25021</v>
      </c>
      <c r="N3357">
        <v>2606</v>
      </c>
      <c r="O3357" t="s">
        <v>15258</v>
      </c>
      <c r="P3357" t="s">
        <v>57</v>
      </c>
      <c r="Q3357">
        <v>2586813</v>
      </c>
      <c r="R3357">
        <v>2587577</v>
      </c>
      <c r="S3357" t="s">
        <v>15259</v>
      </c>
      <c r="T3357">
        <v>255</v>
      </c>
      <c r="U3357" t="s">
        <v>160</v>
      </c>
      <c r="V3357">
        <v>45</v>
      </c>
      <c r="W3357" t="str">
        <f>HYPERLINK("Gene2606-zp_tree_all.dnd", "Gene2606-tree")</f>
        <v>Gene2606-tree</v>
      </c>
      <c r="X3357">
        <v>8</v>
      </c>
      <c r="Y3357">
        <v>7</v>
      </c>
      <c r="Z3357">
        <v>8</v>
      </c>
      <c r="AA3357">
        <v>7</v>
      </c>
      <c r="AB3357">
        <v>0.46666999999999997</v>
      </c>
      <c r="AC3357" t="s">
        <v>136</v>
      </c>
      <c r="AD3357" t="s">
        <v>152</v>
      </c>
      <c r="AE3357" t="s">
        <v>62</v>
      </c>
      <c r="AF3357" t="s">
        <v>62</v>
      </c>
      <c r="AG3357">
        <v>0</v>
      </c>
      <c r="AH3357">
        <v>0</v>
      </c>
      <c r="AI3357">
        <v>9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9</v>
      </c>
      <c r="AT3357">
        <v>0</v>
      </c>
      <c r="AU3357">
        <v>13</v>
      </c>
      <c r="AV3357">
        <v>8</v>
      </c>
      <c r="AW3357">
        <v>35</v>
      </c>
      <c r="AX3357">
        <v>9</v>
      </c>
      <c r="AY3357">
        <v>8</v>
      </c>
      <c r="AZ3357">
        <v>0</v>
      </c>
      <c r="BA3357" t="s">
        <v>15260</v>
      </c>
      <c r="BB3357" t="s">
        <v>193</v>
      </c>
      <c r="BC3357">
        <v>0.68600000000000005</v>
      </c>
      <c r="BD3357" t="s">
        <v>65</v>
      </c>
      <c r="BE3357">
        <v>43</v>
      </c>
      <c r="BF3357">
        <v>9</v>
      </c>
      <c r="BG3357" t="s">
        <v>15261</v>
      </c>
      <c r="BH3357" t="s">
        <v>15262</v>
      </c>
      <c r="BI3357" t="s">
        <v>15263</v>
      </c>
      <c r="BJ3357">
        <v>4.7849999999999997E-2</v>
      </c>
      <c r="BK3357">
        <v>1</v>
      </c>
      <c r="BL3357" t="s">
        <v>69</v>
      </c>
      <c r="BM3357">
        <v>-1.63</v>
      </c>
      <c r="BN3357">
        <v>-3.625</v>
      </c>
    </row>
    <row r="3358" spans="10:66">
      <c r="J3358">
        <v>0</v>
      </c>
      <c r="K3358">
        <v>0</v>
      </c>
      <c r="L3358">
        <v>2</v>
      </c>
      <c r="M3358" t="s">
        <v>25021</v>
      </c>
      <c r="N3358">
        <v>2608</v>
      </c>
      <c r="O3358" t="s">
        <v>15264</v>
      </c>
      <c r="P3358" t="s">
        <v>57</v>
      </c>
      <c r="Q3358">
        <v>2588701</v>
      </c>
      <c r="R3358">
        <v>2588997</v>
      </c>
      <c r="S3358" t="s">
        <v>15259</v>
      </c>
      <c r="T3358">
        <v>99</v>
      </c>
      <c r="U3358" t="s">
        <v>265</v>
      </c>
      <c r="V3358">
        <v>43</v>
      </c>
      <c r="W3358" t="str">
        <f>HYPERLINK("Gene2608-zp_tree_all.dnd", "Gene2608-tree")</f>
        <v>Gene2608-tree</v>
      </c>
      <c r="X3358">
        <v>6</v>
      </c>
      <c r="Y3358">
        <v>6</v>
      </c>
      <c r="Z3358">
        <v>6</v>
      </c>
      <c r="AA3358">
        <v>6</v>
      </c>
      <c r="AB3358">
        <v>0.5</v>
      </c>
      <c r="AC3358" t="s">
        <v>90</v>
      </c>
      <c r="AD3358" t="s">
        <v>90</v>
      </c>
      <c r="AE3358" t="s">
        <v>62</v>
      </c>
      <c r="AF3358" t="s">
        <v>62</v>
      </c>
      <c r="AG3358">
        <v>1</v>
      </c>
      <c r="AH3358">
        <v>2</v>
      </c>
      <c r="AI3358">
        <v>6</v>
      </c>
      <c r="AJ3358">
        <v>0.25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2</v>
      </c>
      <c r="AR3358">
        <v>2</v>
      </c>
      <c r="AS3358">
        <v>5</v>
      </c>
      <c r="AT3358">
        <v>0.28571000000000002</v>
      </c>
      <c r="AU3358">
        <v>10</v>
      </c>
      <c r="AV3358">
        <v>5</v>
      </c>
      <c r="AW3358">
        <v>6</v>
      </c>
      <c r="AX3358">
        <v>7</v>
      </c>
      <c r="AY3358">
        <v>5</v>
      </c>
      <c r="AZ3358">
        <v>1</v>
      </c>
      <c r="BA3358" t="s">
        <v>15265</v>
      </c>
      <c r="BB3358" t="s">
        <v>15266</v>
      </c>
      <c r="BC3358">
        <v>1.423</v>
      </c>
      <c r="BD3358" t="s">
        <v>65</v>
      </c>
      <c r="BE3358">
        <v>11</v>
      </c>
      <c r="BF3358">
        <v>8</v>
      </c>
      <c r="BG3358" t="s">
        <v>15267</v>
      </c>
      <c r="BH3358" t="s">
        <v>15268</v>
      </c>
      <c r="BI3358" t="s">
        <v>15269</v>
      </c>
      <c r="BJ3358">
        <v>0.21775</v>
      </c>
      <c r="BK3358">
        <v>0.99</v>
      </c>
      <c r="BL3358" t="s">
        <v>69</v>
      </c>
      <c r="BM3358">
        <v>-0.61899999999999999</v>
      </c>
      <c r="BN3358">
        <v>-1.288</v>
      </c>
    </row>
    <row r="3359" spans="10:66">
      <c r="J3359">
        <v>0</v>
      </c>
      <c r="K3359">
        <v>2</v>
      </c>
      <c r="L3359">
        <v>0</v>
      </c>
      <c r="M3359" t="s">
        <v>25021</v>
      </c>
      <c r="N3359">
        <v>2609</v>
      </c>
      <c r="O3359" t="s">
        <v>15270</v>
      </c>
      <c r="P3359" t="s">
        <v>57</v>
      </c>
      <c r="Q3359">
        <v>2589123</v>
      </c>
      <c r="R3359">
        <v>2590253</v>
      </c>
      <c r="S3359" t="s">
        <v>15271</v>
      </c>
      <c r="T3359">
        <v>377</v>
      </c>
      <c r="U3359" t="s">
        <v>698</v>
      </c>
      <c r="V3359">
        <v>47</v>
      </c>
      <c r="W3359" t="str">
        <f>HYPERLINK("Gene2609-zp_tree_all.dnd", "Gene2609-tree")</f>
        <v>Gene2609-tree</v>
      </c>
      <c r="X3359">
        <v>16</v>
      </c>
      <c r="Y3359">
        <v>3</v>
      </c>
      <c r="Z3359">
        <v>16</v>
      </c>
      <c r="AA3359">
        <v>3</v>
      </c>
      <c r="AB3359">
        <v>0.15789</v>
      </c>
      <c r="AC3359" t="s">
        <v>60</v>
      </c>
      <c r="AD3359" t="s">
        <v>324</v>
      </c>
      <c r="AE3359" t="s">
        <v>62</v>
      </c>
      <c r="AF3359" t="s">
        <v>62</v>
      </c>
      <c r="AG3359">
        <v>1</v>
      </c>
      <c r="AH3359">
        <v>2</v>
      </c>
      <c r="AI3359">
        <v>5</v>
      </c>
      <c r="AJ3359">
        <v>0.28571000000000002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2</v>
      </c>
      <c r="AQ3359">
        <v>0</v>
      </c>
      <c r="AR3359">
        <v>2</v>
      </c>
      <c r="AS3359">
        <v>3</v>
      </c>
      <c r="AT3359">
        <v>0.4</v>
      </c>
      <c r="AU3359">
        <v>19</v>
      </c>
      <c r="AV3359">
        <v>12</v>
      </c>
      <c r="AW3359">
        <v>58</v>
      </c>
      <c r="AX3359">
        <v>5</v>
      </c>
      <c r="AY3359">
        <v>69</v>
      </c>
      <c r="AZ3359">
        <v>3</v>
      </c>
      <c r="BA3359" t="s">
        <v>15272</v>
      </c>
      <c r="BB3359" t="s">
        <v>15273</v>
      </c>
      <c r="BC3359">
        <v>0.19400000000000001</v>
      </c>
      <c r="BD3359" t="s">
        <v>65</v>
      </c>
      <c r="BE3359">
        <v>127</v>
      </c>
      <c r="BF3359">
        <v>8</v>
      </c>
      <c r="BG3359" t="s">
        <v>15274</v>
      </c>
      <c r="BH3359" t="s">
        <v>15275</v>
      </c>
      <c r="BI3359" t="s">
        <v>15276</v>
      </c>
      <c r="BJ3359">
        <v>1.7590000000000001E-2</v>
      </c>
      <c r="BK3359">
        <v>1</v>
      </c>
      <c r="BL3359" t="s">
        <v>69</v>
      </c>
      <c r="BM3359">
        <v>-1.347</v>
      </c>
      <c r="BN3359">
        <v>-0.64700000000000002</v>
      </c>
    </row>
    <row r="3360" spans="10:66">
      <c r="J3360">
        <v>0</v>
      </c>
      <c r="K3360">
        <v>0</v>
      </c>
      <c r="L3360">
        <v>0</v>
      </c>
      <c r="M3360" t="s">
        <v>25021</v>
      </c>
      <c r="N3360">
        <v>2611</v>
      </c>
      <c r="O3360" t="s">
        <v>15284</v>
      </c>
      <c r="P3360" t="s">
        <v>57</v>
      </c>
      <c r="Q3360">
        <v>2590804</v>
      </c>
      <c r="R3360">
        <v>2591382</v>
      </c>
      <c r="S3360" t="s">
        <v>15285</v>
      </c>
      <c r="T3360">
        <v>193</v>
      </c>
      <c r="U3360" t="s">
        <v>108</v>
      </c>
      <c r="V3360">
        <v>44</v>
      </c>
      <c r="W3360" t="str">
        <f>HYPERLINK("Gene2611-zp_tree_all.dnd", "Gene2611-tree")</f>
        <v>Gene2611-tree</v>
      </c>
      <c r="X3360">
        <v>5</v>
      </c>
      <c r="Y3360">
        <v>5</v>
      </c>
      <c r="Z3360">
        <v>5</v>
      </c>
      <c r="AA3360">
        <v>5</v>
      </c>
      <c r="AB3360">
        <v>0.5</v>
      </c>
      <c r="AC3360" t="s">
        <v>199</v>
      </c>
      <c r="AD3360" t="s">
        <v>199</v>
      </c>
      <c r="AE3360" t="s">
        <v>62</v>
      </c>
      <c r="AF3360" t="s">
        <v>62</v>
      </c>
      <c r="AG3360">
        <v>0</v>
      </c>
      <c r="AH3360">
        <v>0</v>
      </c>
      <c r="AI3360">
        <v>6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5</v>
      </c>
      <c r="AT3360">
        <v>0</v>
      </c>
      <c r="AU3360">
        <v>6</v>
      </c>
      <c r="AV3360">
        <v>3</v>
      </c>
      <c r="AW3360">
        <v>13</v>
      </c>
      <c r="AX3360">
        <v>5</v>
      </c>
      <c r="AY3360">
        <v>3</v>
      </c>
      <c r="AZ3360">
        <v>1</v>
      </c>
      <c r="BA3360" t="s">
        <v>15286</v>
      </c>
      <c r="BB3360" t="s">
        <v>15287</v>
      </c>
      <c r="BC3360">
        <v>8.7999999999999995E-2</v>
      </c>
      <c r="BD3360" t="s">
        <v>65</v>
      </c>
      <c r="BE3360">
        <v>16</v>
      </c>
      <c r="BF3360">
        <v>6</v>
      </c>
      <c r="BG3360" t="s">
        <v>15288</v>
      </c>
      <c r="BH3360" t="s">
        <v>15289</v>
      </c>
      <c r="BI3360" t="s">
        <v>15290</v>
      </c>
      <c r="BJ3360">
        <v>0.10537000000000001</v>
      </c>
      <c r="BK3360">
        <v>1</v>
      </c>
      <c r="BL3360" t="s">
        <v>69</v>
      </c>
      <c r="BM3360">
        <v>-4.2999999999999997E-2</v>
      </c>
      <c r="BN3360">
        <v>-0.93700000000000006</v>
      </c>
    </row>
    <row r="3361" spans="10:66">
      <c r="J3361">
        <v>0</v>
      </c>
      <c r="K3361">
        <v>0</v>
      </c>
      <c r="L3361">
        <v>2</v>
      </c>
      <c r="M3361" t="s">
        <v>25021</v>
      </c>
      <c r="N3361">
        <v>2614</v>
      </c>
      <c r="O3361" t="s">
        <v>15304</v>
      </c>
      <c r="P3361" t="s">
        <v>57</v>
      </c>
      <c r="Q3361">
        <v>2593000</v>
      </c>
      <c r="R3361">
        <v>2593251</v>
      </c>
      <c r="S3361" t="s">
        <v>116</v>
      </c>
      <c r="T3361">
        <v>84</v>
      </c>
      <c r="U3361" t="s">
        <v>15305</v>
      </c>
      <c r="V3361">
        <v>44</v>
      </c>
      <c r="W3361" t="str">
        <f>HYPERLINK("Gene2614-zp_tree_all.dnd", "Gene2614-tree")</f>
        <v>Gene2614-tree</v>
      </c>
      <c r="X3361">
        <v>31</v>
      </c>
      <c r="Y3361">
        <v>3</v>
      </c>
      <c r="Z3361">
        <v>8</v>
      </c>
      <c r="AA3361">
        <v>3</v>
      </c>
      <c r="AB3361">
        <v>0.27272999999999997</v>
      </c>
      <c r="AC3361" t="s">
        <v>7249</v>
      </c>
      <c r="AD3361" t="s">
        <v>324</v>
      </c>
      <c r="AE3361" t="s">
        <v>62</v>
      </c>
      <c r="AF3361" t="s">
        <v>62</v>
      </c>
      <c r="AG3361">
        <v>1</v>
      </c>
      <c r="AH3361">
        <v>2</v>
      </c>
      <c r="AI3361">
        <v>2</v>
      </c>
      <c r="AJ3361">
        <v>0.5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2</v>
      </c>
      <c r="AR3361">
        <v>2</v>
      </c>
      <c r="AS3361">
        <v>2</v>
      </c>
      <c r="AT3361">
        <v>0.5</v>
      </c>
      <c r="AU3361">
        <v>7</v>
      </c>
      <c r="AV3361">
        <v>4</v>
      </c>
      <c r="AW3361">
        <v>11</v>
      </c>
      <c r="AX3361">
        <v>2</v>
      </c>
      <c r="AY3361">
        <v>12</v>
      </c>
      <c r="AZ3361">
        <v>2</v>
      </c>
      <c r="BA3361" t="s">
        <v>15306</v>
      </c>
      <c r="BB3361" t="s">
        <v>15307</v>
      </c>
      <c r="BC3361">
        <v>5.7000000000000002E-2</v>
      </c>
      <c r="BD3361" t="s">
        <v>65</v>
      </c>
      <c r="BE3361">
        <v>23</v>
      </c>
      <c r="BF3361">
        <v>4</v>
      </c>
      <c r="BG3361" t="s">
        <v>15308</v>
      </c>
      <c r="BH3361" t="s">
        <v>15309</v>
      </c>
      <c r="BI3361" t="s">
        <v>15310</v>
      </c>
      <c r="BJ3361">
        <v>4.1360000000000001E-2</v>
      </c>
      <c r="BK3361">
        <v>1</v>
      </c>
      <c r="BL3361" t="s">
        <v>69</v>
      </c>
      <c r="BM3361">
        <v>-1.4910000000000001</v>
      </c>
      <c r="BN3361">
        <v>-0.33300000000000002</v>
      </c>
    </row>
    <row r="3362" spans="10:66">
      <c r="J3362">
        <v>0</v>
      </c>
      <c r="K3362">
        <v>5</v>
      </c>
      <c r="L3362">
        <v>4</v>
      </c>
      <c r="M3362" t="s">
        <v>25021</v>
      </c>
      <c r="N3362">
        <v>2617</v>
      </c>
      <c r="O3362" t="s">
        <v>15325</v>
      </c>
      <c r="P3362" t="s">
        <v>57</v>
      </c>
      <c r="Q3362">
        <v>2595669</v>
      </c>
      <c r="R3362">
        <v>2596409</v>
      </c>
      <c r="S3362" t="s">
        <v>116</v>
      </c>
      <c r="T3362">
        <v>247</v>
      </c>
      <c r="U3362" t="s">
        <v>15326</v>
      </c>
      <c r="V3362">
        <v>36</v>
      </c>
      <c r="W3362" t="str">
        <f>HYPERLINK("Gene2617-zp_tree_all.dnd", "Gene2617-tree")</f>
        <v>Gene2617-tree</v>
      </c>
      <c r="X3362">
        <v>2</v>
      </c>
      <c r="Y3362">
        <v>10</v>
      </c>
      <c r="Z3362">
        <v>2</v>
      </c>
      <c r="AA3362">
        <v>10</v>
      </c>
      <c r="AB3362">
        <v>0.83333000000000002</v>
      </c>
      <c r="AC3362" t="s">
        <v>81</v>
      </c>
      <c r="AD3362" t="s">
        <v>117</v>
      </c>
      <c r="AE3362" t="s">
        <v>62</v>
      </c>
      <c r="AF3362" t="s">
        <v>62</v>
      </c>
      <c r="AG3362">
        <v>4</v>
      </c>
      <c r="AH3362">
        <v>9</v>
      </c>
      <c r="AI3362">
        <v>9</v>
      </c>
      <c r="AJ3362">
        <v>0.5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4</v>
      </c>
      <c r="AQ3362">
        <v>4</v>
      </c>
      <c r="AR3362">
        <v>8</v>
      </c>
      <c r="AS3362">
        <v>8</v>
      </c>
      <c r="AT3362">
        <v>0.5</v>
      </c>
      <c r="AU3362">
        <v>11</v>
      </c>
      <c r="AV3362">
        <v>7</v>
      </c>
      <c r="AW3362">
        <v>12</v>
      </c>
      <c r="AX3362">
        <v>13</v>
      </c>
      <c r="AY3362">
        <v>8</v>
      </c>
      <c r="AZ3362">
        <v>6</v>
      </c>
      <c r="BA3362" t="s">
        <v>15327</v>
      </c>
      <c r="BB3362" t="s">
        <v>15328</v>
      </c>
      <c r="BC3362">
        <v>0.33900000000000002</v>
      </c>
      <c r="BD3362" t="s">
        <v>65</v>
      </c>
      <c r="BE3362">
        <v>20</v>
      </c>
      <c r="BF3362">
        <v>19</v>
      </c>
      <c r="BG3362" t="s">
        <v>15329</v>
      </c>
      <c r="BH3362" t="s">
        <v>15330</v>
      </c>
      <c r="BI3362" t="s">
        <v>15331</v>
      </c>
      <c r="BJ3362">
        <v>0.24715000000000001</v>
      </c>
      <c r="BK3362">
        <v>1</v>
      </c>
      <c r="BL3362" t="s">
        <v>69</v>
      </c>
      <c r="BM3362">
        <v>-0.54100000000000004</v>
      </c>
      <c r="BN3362">
        <v>-1.3129999999999999</v>
      </c>
    </row>
    <row r="3363" spans="10:66">
      <c r="J3363">
        <v>0</v>
      </c>
      <c r="K3363">
        <v>0</v>
      </c>
      <c r="L3363">
        <v>0</v>
      </c>
      <c r="M3363" t="s">
        <v>25021</v>
      </c>
      <c r="N3363">
        <v>2618</v>
      </c>
      <c r="O3363" t="s">
        <v>15332</v>
      </c>
      <c r="P3363" t="s">
        <v>57</v>
      </c>
      <c r="Q3363">
        <v>2596535</v>
      </c>
      <c r="R3363">
        <v>2597476</v>
      </c>
      <c r="S3363" t="s">
        <v>15333</v>
      </c>
      <c r="T3363">
        <v>314</v>
      </c>
      <c r="U3363" t="s">
        <v>15334</v>
      </c>
      <c r="V3363">
        <v>41</v>
      </c>
      <c r="W3363" t="str">
        <f>HYPERLINK("Gene2618-zp_tree_all.dnd", "Gene2618-tree")</f>
        <v>Gene2618-tree</v>
      </c>
      <c r="X3363">
        <v>12</v>
      </c>
      <c r="Y3363">
        <v>2</v>
      </c>
      <c r="Z3363">
        <v>12</v>
      </c>
      <c r="AA3363">
        <v>2</v>
      </c>
      <c r="AB3363">
        <v>0.14285999999999999</v>
      </c>
      <c r="AC3363" t="s">
        <v>109</v>
      </c>
      <c r="AD3363" t="s">
        <v>81</v>
      </c>
      <c r="AE3363" t="s">
        <v>62</v>
      </c>
      <c r="AF3363" t="s">
        <v>62</v>
      </c>
      <c r="AG3363">
        <v>0</v>
      </c>
      <c r="AH3363">
        <v>0</v>
      </c>
      <c r="AI3363">
        <v>3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2</v>
      </c>
      <c r="AT3363">
        <v>0</v>
      </c>
      <c r="AU3363">
        <v>13</v>
      </c>
      <c r="AV3363">
        <v>5</v>
      </c>
      <c r="AW3363">
        <v>23</v>
      </c>
      <c r="AX3363">
        <v>2</v>
      </c>
      <c r="AY3363">
        <v>7</v>
      </c>
      <c r="AZ3363">
        <v>1</v>
      </c>
      <c r="BA3363" t="s">
        <v>15335</v>
      </c>
      <c r="BB3363" t="s">
        <v>15336</v>
      </c>
      <c r="BC3363">
        <v>0.189</v>
      </c>
      <c r="BD3363" t="s">
        <v>65</v>
      </c>
      <c r="BE3363">
        <v>30</v>
      </c>
      <c r="BF3363">
        <v>3</v>
      </c>
      <c r="BG3363" t="s">
        <v>15337</v>
      </c>
      <c r="BH3363" t="s">
        <v>15338</v>
      </c>
      <c r="BI3363" t="s">
        <v>15339</v>
      </c>
      <c r="BJ3363">
        <v>3.5279999999999999E-2</v>
      </c>
      <c r="BK3363">
        <v>1</v>
      </c>
      <c r="BL3363" t="s">
        <v>69</v>
      </c>
      <c r="BM3363">
        <v>-1.014</v>
      </c>
      <c r="BN3363">
        <v>-1.744</v>
      </c>
    </row>
    <row r="3364" spans="10:66">
      <c r="J3364">
        <v>0</v>
      </c>
      <c r="K3364">
        <v>0</v>
      </c>
      <c r="L3364">
        <v>6</v>
      </c>
      <c r="M3364" t="s">
        <v>25021</v>
      </c>
      <c r="N3364">
        <v>2624</v>
      </c>
      <c r="O3364" t="s">
        <v>15373</v>
      </c>
      <c r="P3364" t="s">
        <v>57</v>
      </c>
      <c r="Q3364">
        <v>2602979</v>
      </c>
      <c r="R3364">
        <v>2603272</v>
      </c>
      <c r="S3364" t="s">
        <v>2302</v>
      </c>
      <c r="T3364">
        <v>98</v>
      </c>
      <c r="U3364" t="s">
        <v>59</v>
      </c>
      <c r="V3364">
        <v>49</v>
      </c>
      <c r="W3364" t="str">
        <f>HYPERLINK("Gene2624-zp_tree_all.dnd", "Gene2624-tree")</f>
        <v>Gene2624-tree</v>
      </c>
      <c r="X3364">
        <v>2</v>
      </c>
      <c r="Y3364">
        <v>9</v>
      </c>
      <c r="Z3364">
        <v>2</v>
      </c>
      <c r="AA3364">
        <v>9</v>
      </c>
      <c r="AB3364">
        <v>0.81818000000000002</v>
      </c>
      <c r="AC3364" t="s">
        <v>81</v>
      </c>
      <c r="AD3364" t="s">
        <v>135</v>
      </c>
      <c r="AE3364" t="s">
        <v>62</v>
      </c>
      <c r="AF3364" t="s">
        <v>62</v>
      </c>
      <c r="AG3364">
        <v>3</v>
      </c>
      <c r="AH3364">
        <v>6</v>
      </c>
      <c r="AI3364">
        <v>10</v>
      </c>
      <c r="AJ3364">
        <v>0.375</v>
      </c>
      <c r="AK3364">
        <v>0</v>
      </c>
      <c r="AL3364">
        <v>0</v>
      </c>
      <c r="AM3364">
        <v>0</v>
      </c>
      <c r="AN3364">
        <v>1</v>
      </c>
      <c r="AO3364">
        <v>0</v>
      </c>
      <c r="AP3364">
        <v>0</v>
      </c>
      <c r="AQ3364">
        <v>6</v>
      </c>
      <c r="AR3364">
        <v>6</v>
      </c>
      <c r="AS3364">
        <v>7</v>
      </c>
      <c r="AT3364">
        <v>0.46154000000000001</v>
      </c>
      <c r="AU3364">
        <v>9</v>
      </c>
      <c r="AV3364">
        <v>3</v>
      </c>
      <c r="AW3364">
        <v>2</v>
      </c>
      <c r="AX3364">
        <v>13</v>
      </c>
      <c r="AY3364">
        <v>0</v>
      </c>
      <c r="AZ3364">
        <v>3</v>
      </c>
      <c r="BA3364" t="s">
        <v>15374</v>
      </c>
      <c r="BB3364" t="s">
        <v>193</v>
      </c>
      <c r="BC3364">
        <v>0.74099999999999999</v>
      </c>
      <c r="BD3364" t="s">
        <v>65</v>
      </c>
      <c r="BE3364">
        <v>2</v>
      </c>
      <c r="BF3364">
        <v>16</v>
      </c>
      <c r="BG3364" t="s">
        <v>15375</v>
      </c>
      <c r="BH3364" t="s">
        <v>15376</v>
      </c>
      <c r="BI3364" t="s">
        <v>15377</v>
      </c>
      <c r="BJ3364">
        <v>2.8215499999999998</v>
      </c>
      <c r="BK3364">
        <v>0.05</v>
      </c>
      <c r="BL3364" t="s">
        <v>635</v>
      </c>
      <c r="BM3364">
        <v>-1.8420000000000001</v>
      </c>
      <c r="BN3364">
        <v>-2.1280000000000001</v>
      </c>
    </row>
    <row r="3365" spans="10:66">
      <c r="J3365">
        <v>0</v>
      </c>
      <c r="K3365">
        <v>2</v>
      </c>
      <c r="L3365">
        <v>0</v>
      </c>
      <c r="M3365" t="s">
        <v>25021</v>
      </c>
      <c r="N3365">
        <v>2645</v>
      </c>
      <c r="O3365" t="s">
        <v>15495</v>
      </c>
      <c r="P3365" t="s">
        <v>57</v>
      </c>
      <c r="Q3365">
        <v>2620717</v>
      </c>
      <c r="R3365">
        <v>2621637</v>
      </c>
      <c r="S3365" t="s">
        <v>15496</v>
      </c>
      <c r="T3365">
        <v>307</v>
      </c>
      <c r="U3365" t="s">
        <v>1392</v>
      </c>
      <c r="V3365">
        <v>43</v>
      </c>
      <c r="W3365" t="str">
        <f>HYPERLINK("Gene2645-zp_tree_all.dnd", "Gene2645-tree")</f>
        <v>Gene2645-tree</v>
      </c>
      <c r="X3365">
        <v>10</v>
      </c>
      <c r="Y3365">
        <v>3</v>
      </c>
      <c r="Z3365">
        <v>10</v>
      </c>
      <c r="AA3365">
        <v>3</v>
      </c>
      <c r="AB3365">
        <v>0.23077</v>
      </c>
      <c r="AC3365" t="s">
        <v>117</v>
      </c>
      <c r="AD3365" t="s">
        <v>324</v>
      </c>
      <c r="AE3365" t="s">
        <v>62</v>
      </c>
      <c r="AF3365" t="s">
        <v>62</v>
      </c>
      <c r="AG3365">
        <v>1</v>
      </c>
      <c r="AH3365">
        <v>2</v>
      </c>
      <c r="AI3365">
        <v>8</v>
      </c>
      <c r="AJ3365">
        <v>0.2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5</v>
      </c>
      <c r="AT3365">
        <v>0</v>
      </c>
      <c r="AU3365">
        <v>9</v>
      </c>
      <c r="AV3365">
        <v>10</v>
      </c>
      <c r="AW3365">
        <v>31</v>
      </c>
      <c r="AX3365">
        <v>5</v>
      </c>
      <c r="AY3365">
        <v>45</v>
      </c>
      <c r="AZ3365">
        <v>5</v>
      </c>
      <c r="BA3365" t="s">
        <v>15497</v>
      </c>
      <c r="BB3365" t="s">
        <v>15498</v>
      </c>
      <c r="BC3365">
        <v>0.247</v>
      </c>
      <c r="BD3365" t="s">
        <v>65</v>
      </c>
      <c r="BE3365">
        <v>76</v>
      </c>
      <c r="BF3365">
        <v>10</v>
      </c>
      <c r="BG3365" t="s">
        <v>15499</v>
      </c>
      <c r="BH3365" t="s">
        <v>15500</v>
      </c>
      <c r="BI3365" t="s">
        <v>15501</v>
      </c>
      <c r="BJ3365">
        <v>4.4819999999999999E-2</v>
      </c>
      <c r="BK3365">
        <v>1</v>
      </c>
      <c r="BL3365" t="s">
        <v>69</v>
      </c>
      <c r="BM3365">
        <v>0.45400000000000001</v>
      </c>
      <c r="BN3365">
        <v>-3.9E-2</v>
      </c>
    </row>
    <row r="3366" spans="10:66">
      <c r="J3366">
        <v>0</v>
      </c>
      <c r="K3366">
        <v>0</v>
      </c>
      <c r="L3366">
        <v>0</v>
      </c>
      <c r="M3366" t="s">
        <v>25021</v>
      </c>
      <c r="N3366">
        <v>2658</v>
      </c>
      <c r="O3366" t="s">
        <v>15582</v>
      </c>
      <c r="P3366" t="s">
        <v>57</v>
      </c>
      <c r="Q3366">
        <v>2635815</v>
      </c>
      <c r="R3366">
        <v>2636078</v>
      </c>
      <c r="S3366" t="s">
        <v>15583</v>
      </c>
      <c r="T3366">
        <v>88</v>
      </c>
      <c r="U3366" t="s">
        <v>515</v>
      </c>
      <c r="V3366">
        <v>51</v>
      </c>
      <c r="W3366" t="str">
        <f>HYPERLINK("Gene2658-zp_tree_all.dnd", "Gene2658-tree")</f>
        <v>Gene2658-tree</v>
      </c>
      <c r="X3366">
        <v>3</v>
      </c>
      <c r="Y3366">
        <v>2</v>
      </c>
      <c r="Z3366">
        <v>3</v>
      </c>
      <c r="AA3366">
        <v>2</v>
      </c>
      <c r="AB3366">
        <v>0.4</v>
      </c>
      <c r="AC3366" t="s">
        <v>324</v>
      </c>
      <c r="AD3366" t="s">
        <v>81</v>
      </c>
      <c r="AE3366" t="s">
        <v>62</v>
      </c>
      <c r="AF3366" t="s">
        <v>62</v>
      </c>
      <c r="AG3366">
        <v>0</v>
      </c>
      <c r="AH3366">
        <v>0</v>
      </c>
      <c r="AI3366">
        <v>4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4</v>
      </c>
      <c r="AT3366">
        <v>0</v>
      </c>
      <c r="AU3366">
        <v>2</v>
      </c>
      <c r="AV3366">
        <v>2</v>
      </c>
      <c r="AW3366">
        <v>8</v>
      </c>
      <c r="AX3366">
        <v>3</v>
      </c>
      <c r="AY3366">
        <v>2</v>
      </c>
      <c r="AZ3366">
        <v>1</v>
      </c>
      <c r="BA3366" t="s">
        <v>15584</v>
      </c>
      <c r="BB3366" t="s">
        <v>15585</v>
      </c>
      <c r="BC3366">
        <v>0.17299999999999999</v>
      </c>
      <c r="BD3366" t="s">
        <v>65</v>
      </c>
      <c r="BE3366">
        <v>10</v>
      </c>
      <c r="BF3366">
        <v>4</v>
      </c>
      <c r="BG3366" t="s">
        <v>15586</v>
      </c>
      <c r="BH3366" t="s">
        <v>15587</v>
      </c>
      <c r="BI3366" t="s">
        <v>15588</v>
      </c>
      <c r="BJ3366">
        <v>0.12791</v>
      </c>
      <c r="BK3366">
        <v>1</v>
      </c>
      <c r="BL3366" t="s">
        <v>69</v>
      </c>
      <c r="BM3366">
        <v>-1.88</v>
      </c>
      <c r="BN3366">
        <v>1.512</v>
      </c>
    </row>
    <row r="3367" spans="10:66">
      <c r="J3367">
        <v>0</v>
      </c>
      <c r="K3367">
        <v>8</v>
      </c>
      <c r="L3367">
        <v>2</v>
      </c>
      <c r="M3367" t="s">
        <v>25021</v>
      </c>
      <c r="N3367">
        <v>2664</v>
      </c>
      <c r="O3367" t="s">
        <v>15624</v>
      </c>
      <c r="P3367" t="s">
        <v>57</v>
      </c>
      <c r="Q3367">
        <v>2641214</v>
      </c>
      <c r="R3367">
        <v>2642032</v>
      </c>
      <c r="S3367" t="s">
        <v>15625</v>
      </c>
      <c r="T3367">
        <v>273</v>
      </c>
      <c r="U3367" t="s">
        <v>99</v>
      </c>
      <c r="V3367">
        <v>47</v>
      </c>
      <c r="W3367" t="str">
        <f>HYPERLINK("Gene2664-zp_tree_all.dnd", "Gene2664-tree")</f>
        <v>Gene2664-tree</v>
      </c>
      <c r="X3367">
        <v>9</v>
      </c>
      <c r="Y3367">
        <v>6</v>
      </c>
      <c r="Z3367">
        <v>9</v>
      </c>
      <c r="AA3367">
        <v>6</v>
      </c>
      <c r="AB3367">
        <v>0.4</v>
      </c>
      <c r="AC3367" t="s">
        <v>135</v>
      </c>
      <c r="AD3367" t="s">
        <v>90</v>
      </c>
      <c r="AE3367" t="s">
        <v>62</v>
      </c>
      <c r="AF3367" t="s">
        <v>62</v>
      </c>
      <c r="AG3367">
        <v>3</v>
      </c>
      <c r="AH3367">
        <v>10</v>
      </c>
      <c r="AI3367">
        <v>10</v>
      </c>
      <c r="AJ3367">
        <v>0.5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6</v>
      </c>
      <c r="AQ3367">
        <v>0</v>
      </c>
      <c r="AR3367">
        <v>6</v>
      </c>
      <c r="AS3367">
        <v>8</v>
      </c>
      <c r="AT3367">
        <v>0.42857000000000001</v>
      </c>
      <c r="AU3367">
        <v>12</v>
      </c>
      <c r="AV3367">
        <v>11</v>
      </c>
      <c r="AW3367">
        <v>37</v>
      </c>
      <c r="AX3367">
        <v>14</v>
      </c>
      <c r="AY3367">
        <v>51</v>
      </c>
      <c r="AZ3367">
        <v>6</v>
      </c>
      <c r="BA3367" t="s">
        <v>15626</v>
      </c>
      <c r="BB3367" t="s">
        <v>15627</v>
      </c>
      <c r="BC3367">
        <v>0.66700000000000004</v>
      </c>
      <c r="BD3367" t="s">
        <v>65</v>
      </c>
      <c r="BE3367">
        <v>88</v>
      </c>
      <c r="BF3367">
        <v>20</v>
      </c>
      <c r="BG3367" t="s">
        <v>15628</v>
      </c>
      <c r="BH3367" t="s">
        <v>15629</v>
      </c>
      <c r="BI3367" t="s">
        <v>15630</v>
      </c>
      <c r="BJ3367">
        <v>4.3549999999999998E-2</v>
      </c>
      <c r="BK3367">
        <v>1</v>
      </c>
      <c r="BL3367" t="s">
        <v>69</v>
      </c>
      <c r="BM3367">
        <v>-1.6020000000000001</v>
      </c>
      <c r="BN3367">
        <v>-0.86699999999999999</v>
      </c>
    </row>
    <row r="3368" spans="10:66">
      <c r="J3368">
        <v>0</v>
      </c>
      <c r="K3368">
        <v>0</v>
      </c>
      <c r="L3368">
        <v>0</v>
      </c>
      <c r="M3368" t="s">
        <v>25021</v>
      </c>
      <c r="N3368">
        <v>2673</v>
      </c>
      <c r="O3368" t="s">
        <v>15680</v>
      </c>
      <c r="P3368" t="s">
        <v>57</v>
      </c>
      <c r="Q3368">
        <v>2647456</v>
      </c>
      <c r="R3368">
        <v>2647611</v>
      </c>
      <c r="S3368" t="s">
        <v>15681</v>
      </c>
      <c r="T3368">
        <v>52</v>
      </c>
      <c r="U3368" t="s">
        <v>59</v>
      </c>
      <c r="V3368">
        <v>49</v>
      </c>
      <c r="W3368" t="str">
        <f>HYPERLINK("Gene2673-zp_tree_all.dnd", "Gene2673-tree")</f>
        <v>Gene2673-tree</v>
      </c>
      <c r="X3368">
        <v>25</v>
      </c>
      <c r="Y3368">
        <v>0</v>
      </c>
      <c r="Z3368">
        <v>5</v>
      </c>
      <c r="AA3368">
        <v>0</v>
      </c>
      <c r="AB3368">
        <v>0</v>
      </c>
      <c r="AC3368" t="s">
        <v>4839</v>
      </c>
      <c r="AD3368" t="s">
        <v>62</v>
      </c>
      <c r="AE3368" t="s">
        <v>62</v>
      </c>
      <c r="AF3368" t="s">
        <v>62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3</v>
      </c>
      <c r="AV3368">
        <v>1</v>
      </c>
      <c r="AW3368">
        <v>3</v>
      </c>
      <c r="AX3368">
        <v>0</v>
      </c>
      <c r="AY3368">
        <v>1</v>
      </c>
      <c r="AZ3368">
        <v>0</v>
      </c>
      <c r="BA3368" t="s">
        <v>193</v>
      </c>
      <c r="BB3368" t="s">
        <v>193</v>
      </c>
      <c r="BC3368">
        <v>0</v>
      </c>
      <c r="BD3368" t="s">
        <v>65</v>
      </c>
      <c r="BE3368">
        <v>4</v>
      </c>
      <c r="BF3368">
        <v>0</v>
      </c>
      <c r="BG3368" t="s">
        <v>15682</v>
      </c>
      <c r="BH3368" t="s">
        <v>15683</v>
      </c>
      <c r="BI3368" t="s">
        <v>193</v>
      </c>
      <c r="BJ3368">
        <v>0</v>
      </c>
      <c r="BK3368">
        <v>1</v>
      </c>
      <c r="BL3368" t="s">
        <v>69</v>
      </c>
      <c r="BM3368">
        <v>-0.58499999999999996</v>
      </c>
      <c r="BN3368">
        <v>-1.1919999999999999</v>
      </c>
    </row>
    <row r="3369" spans="10:66">
      <c r="J3369">
        <v>0</v>
      </c>
      <c r="K3369">
        <v>11</v>
      </c>
      <c r="L3369">
        <v>0</v>
      </c>
      <c r="M3369" t="s">
        <v>25021</v>
      </c>
      <c r="N3369">
        <v>2676</v>
      </c>
      <c r="O3369" t="s">
        <v>15697</v>
      </c>
      <c r="P3369" t="s">
        <v>57</v>
      </c>
      <c r="Q3369">
        <v>2649842</v>
      </c>
      <c r="R3369">
        <v>2650465</v>
      </c>
      <c r="S3369" t="s">
        <v>3674</v>
      </c>
      <c r="T3369">
        <v>208</v>
      </c>
      <c r="U3369" t="s">
        <v>108</v>
      </c>
      <c r="V3369">
        <v>44</v>
      </c>
      <c r="W3369" t="str">
        <f>HYPERLINK("Gene2676-zp_tree_all.dnd", "Gene2676-tree")</f>
        <v>Gene2676-tree</v>
      </c>
      <c r="X3369">
        <v>4</v>
      </c>
      <c r="Y3369">
        <v>29</v>
      </c>
      <c r="Z3369">
        <v>4</v>
      </c>
      <c r="AA3369">
        <v>10</v>
      </c>
      <c r="AB3369">
        <v>0.71428999999999998</v>
      </c>
      <c r="AC3369" t="s">
        <v>61</v>
      </c>
      <c r="AD3369" t="s">
        <v>2184</v>
      </c>
      <c r="AE3369">
        <v>2.0990000000000002</v>
      </c>
      <c r="AF3369" t="s">
        <v>65</v>
      </c>
      <c r="AG3369">
        <v>5</v>
      </c>
      <c r="AH3369">
        <v>11</v>
      </c>
      <c r="AI3369">
        <v>11</v>
      </c>
      <c r="AJ3369">
        <v>0.5</v>
      </c>
      <c r="AK3369">
        <v>0</v>
      </c>
      <c r="AL3369">
        <v>0</v>
      </c>
      <c r="AM3369">
        <v>0</v>
      </c>
      <c r="AN3369">
        <v>1</v>
      </c>
      <c r="AO3369">
        <v>0</v>
      </c>
      <c r="AP3369">
        <v>6</v>
      </c>
      <c r="AQ3369">
        <v>0</v>
      </c>
      <c r="AR3369">
        <v>6</v>
      </c>
      <c r="AS3369">
        <v>11</v>
      </c>
      <c r="AT3369">
        <v>0.35293999999999998</v>
      </c>
      <c r="AU3369">
        <v>12</v>
      </c>
      <c r="AV3369">
        <v>7</v>
      </c>
      <c r="AW3369">
        <v>11</v>
      </c>
      <c r="AX3369">
        <v>16</v>
      </c>
      <c r="AY3369">
        <v>13</v>
      </c>
      <c r="AZ3369">
        <v>6</v>
      </c>
      <c r="BA3369" t="s">
        <v>15698</v>
      </c>
      <c r="BB3369" t="s">
        <v>15699</v>
      </c>
      <c r="BC3369">
        <v>1.0569999999999999</v>
      </c>
      <c r="BD3369" t="s">
        <v>65</v>
      </c>
      <c r="BE3369">
        <v>24</v>
      </c>
      <c r="BF3369">
        <v>22</v>
      </c>
      <c r="BG3369" t="s">
        <v>15700</v>
      </c>
      <c r="BH3369" t="s">
        <v>15701</v>
      </c>
      <c r="BI3369" t="s">
        <v>15702</v>
      </c>
      <c r="BJ3369">
        <v>0.23066</v>
      </c>
      <c r="BK3369">
        <v>1</v>
      </c>
      <c r="BL3369" t="s">
        <v>69</v>
      </c>
      <c r="BM3369">
        <v>-8.0000000000000002E-3</v>
      </c>
      <c r="BN3369">
        <v>-0.46100000000000002</v>
      </c>
    </row>
    <row r="3370" spans="10:66">
      <c r="J3370">
        <v>0</v>
      </c>
      <c r="K3370">
        <v>2</v>
      </c>
      <c r="L3370">
        <v>0</v>
      </c>
      <c r="M3370" t="s">
        <v>25021</v>
      </c>
      <c r="N3370">
        <v>2678</v>
      </c>
      <c r="O3370" t="s">
        <v>15709</v>
      </c>
      <c r="P3370" t="s">
        <v>57</v>
      </c>
      <c r="Q3370">
        <v>2651632</v>
      </c>
      <c r="R3370">
        <v>2652351</v>
      </c>
      <c r="S3370" t="s">
        <v>116</v>
      </c>
      <c r="T3370">
        <v>240</v>
      </c>
      <c r="U3370" t="s">
        <v>108</v>
      </c>
      <c r="V3370">
        <v>44</v>
      </c>
      <c r="W3370" t="str">
        <f>HYPERLINK("Gene2678-zp_tree_all.dnd", "Gene2678-tree")</f>
        <v>Gene2678-tree</v>
      </c>
      <c r="X3370">
        <v>6</v>
      </c>
      <c r="Y3370">
        <v>6</v>
      </c>
      <c r="Z3370">
        <v>6</v>
      </c>
      <c r="AA3370">
        <v>6</v>
      </c>
      <c r="AB3370">
        <v>0.5</v>
      </c>
      <c r="AC3370" t="s">
        <v>90</v>
      </c>
      <c r="AD3370" t="s">
        <v>90</v>
      </c>
      <c r="AE3370" t="s">
        <v>62</v>
      </c>
      <c r="AF3370" t="s">
        <v>62</v>
      </c>
      <c r="AG3370">
        <v>1</v>
      </c>
      <c r="AH3370">
        <v>2</v>
      </c>
      <c r="AI3370">
        <v>12</v>
      </c>
      <c r="AJ3370">
        <v>0.14285999999999999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2</v>
      </c>
      <c r="AQ3370">
        <v>0</v>
      </c>
      <c r="AR3370">
        <v>2</v>
      </c>
      <c r="AS3370">
        <v>9</v>
      </c>
      <c r="AT3370">
        <v>0.18182000000000001</v>
      </c>
      <c r="AU3370">
        <v>9</v>
      </c>
      <c r="AV3370">
        <v>5</v>
      </c>
      <c r="AW3370">
        <v>14</v>
      </c>
      <c r="AX3370">
        <v>11</v>
      </c>
      <c r="AY3370">
        <v>7</v>
      </c>
      <c r="AZ3370">
        <v>3</v>
      </c>
      <c r="BA3370" t="s">
        <v>15710</v>
      </c>
      <c r="BB3370" t="s">
        <v>15711</v>
      </c>
      <c r="BC3370">
        <v>0.58499999999999996</v>
      </c>
      <c r="BD3370" t="s">
        <v>65</v>
      </c>
      <c r="BE3370">
        <v>21</v>
      </c>
      <c r="BF3370">
        <v>14</v>
      </c>
      <c r="BG3370" t="s">
        <v>15712</v>
      </c>
      <c r="BH3370" t="s">
        <v>15713</v>
      </c>
      <c r="BI3370" t="s">
        <v>15714</v>
      </c>
      <c r="BJ3370">
        <v>0.20899999999999999</v>
      </c>
      <c r="BK3370">
        <v>1</v>
      </c>
      <c r="BL3370" t="s">
        <v>69</v>
      </c>
      <c r="BM3370">
        <v>-0.76800000000000002</v>
      </c>
      <c r="BN3370">
        <v>-2.169</v>
      </c>
    </row>
    <row r="3371" spans="10:66">
      <c r="J3371">
        <v>0</v>
      </c>
      <c r="K3371">
        <v>2</v>
      </c>
      <c r="L3371">
        <v>0</v>
      </c>
      <c r="M3371" t="s">
        <v>25021</v>
      </c>
      <c r="N3371">
        <v>2687</v>
      </c>
      <c r="O3371" t="s">
        <v>15730</v>
      </c>
      <c r="P3371" t="s">
        <v>57</v>
      </c>
      <c r="Q3371">
        <v>2659213</v>
      </c>
      <c r="R3371">
        <v>2660337</v>
      </c>
      <c r="S3371" t="s">
        <v>15731</v>
      </c>
      <c r="T3371">
        <v>375</v>
      </c>
      <c r="U3371" t="s">
        <v>15732</v>
      </c>
      <c r="V3371">
        <v>23</v>
      </c>
      <c r="W3371" t="str">
        <f>HYPERLINK("Gene2687-zp_tree_all.dnd", "Gene2687-tree")</f>
        <v>Gene2687-tree</v>
      </c>
      <c r="X3371">
        <v>3</v>
      </c>
      <c r="Y3371">
        <v>3</v>
      </c>
      <c r="Z3371">
        <v>3</v>
      </c>
      <c r="AA3371">
        <v>3</v>
      </c>
      <c r="AB3371">
        <v>0.5</v>
      </c>
      <c r="AC3371" t="s">
        <v>324</v>
      </c>
      <c r="AD3371" t="s">
        <v>324</v>
      </c>
      <c r="AE3371" t="s">
        <v>62</v>
      </c>
      <c r="AF3371" t="s">
        <v>62</v>
      </c>
      <c r="AG3371">
        <v>1</v>
      </c>
      <c r="AH3371">
        <v>2</v>
      </c>
      <c r="AI3371">
        <v>6</v>
      </c>
      <c r="AJ3371">
        <v>0.25</v>
      </c>
      <c r="AK3371">
        <v>0</v>
      </c>
      <c r="AL3371">
        <v>0</v>
      </c>
      <c r="AM3371">
        <v>0</v>
      </c>
      <c r="AN3371">
        <v>1</v>
      </c>
      <c r="AO3371">
        <v>0</v>
      </c>
      <c r="AP3371">
        <v>2</v>
      </c>
      <c r="AQ3371">
        <v>0</v>
      </c>
      <c r="AR3371">
        <v>2</v>
      </c>
      <c r="AS3371">
        <v>4</v>
      </c>
      <c r="AT3371">
        <v>0.33333000000000002</v>
      </c>
      <c r="AU3371">
        <v>5</v>
      </c>
      <c r="AV3371">
        <v>3</v>
      </c>
      <c r="AW3371">
        <v>54</v>
      </c>
      <c r="AX3371">
        <v>6</v>
      </c>
      <c r="AY3371">
        <v>38</v>
      </c>
      <c r="AZ3371">
        <v>2</v>
      </c>
      <c r="BA3371" t="s">
        <v>15733</v>
      </c>
      <c r="BB3371" t="s">
        <v>15734</v>
      </c>
      <c r="BC3371">
        <v>1.0629999999999999</v>
      </c>
      <c r="BD3371" t="s">
        <v>65</v>
      </c>
      <c r="BE3371">
        <v>92</v>
      </c>
      <c r="BF3371">
        <v>8</v>
      </c>
      <c r="BG3371" t="s">
        <v>15735</v>
      </c>
      <c r="BH3371" t="s">
        <v>15736</v>
      </c>
      <c r="BI3371" t="s">
        <v>15737</v>
      </c>
      <c r="BJ3371">
        <v>1.975E-2</v>
      </c>
      <c r="BK3371">
        <v>1</v>
      </c>
      <c r="BL3371" t="s">
        <v>69</v>
      </c>
      <c r="BM3371">
        <v>-1.1299999999999999</v>
      </c>
      <c r="BN3371">
        <v>-0.52700000000000002</v>
      </c>
    </row>
    <row r="3372" spans="10:66">
      <c r="J3372">
        <v>0</v>
      </c>
      <c r="K3372">
        <v>0</v>
      </c>
      <c r="L3372">
        <v>0</v>
      </c>
      <c r="M3372" t="s">
        <v>25021</v>
      </c>
      <c r="N3372">
        <v>2688</v>
      </c>
      <c r="O3372" t="s">
        <v>15738</v>
      </c>
      <c r="P3372" t="s">
        <v>57</v>
      </c>
      <c r="Q3372">
        <v>2660330</v>
      </c>
      <c r="R3372">
        <v>2660461</v>
      </c>
      <c r="S3372" t="s">
        <v>15739</v>
      </c>
      <c r="T3372">
        <v>44</v>
      </c>
      <c r="U3372" t="s">
        <v>15740</v>
      </c>
      <c r="V3372">
        <v>26</v>
      </c>
      <c r="W3372" t="str">
        <f>HYPERLINK("Gene2688-zp_tree_all.dnd", "Gene2688-tree")</f>
        <v>Gene2688-tree</v>
      </c>
      <c r="X3372">
        <v>3</v>
      </c>
      <c r="Y3372">
        <v>2</v>
      </c>
      <c r="Z3372">
        <v>3</v>
      </c>
      <c r="AA3372">
        <v>2</v>
      </c>
      <c r="AB3372">
        <v>0.4</v>
      </c>
      <c r="AC3372" t="s">
        <v>324</v>
      </c>
      <c r="AD3372" t="s">
        <v>81</v>
      </c>
      <c r="AE3372" t="s">
        <v>62</v>
      </c>
      <c r="AF3372" t="s">
        <v>62</v>
      </c>
      <c r="AG3372">
        <v>0</v>
      </c>
      <c r="AH3372">
        <v>0</v>
      </c>
      <c r="AI3372">
        <v>4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3</v>
      </c>
      <c r="AT3372">
        <v>0</v>
      </c>
      <c r="AU3372">
        <v>3</v>
      </c>
      <c r="AV3372">
        <v>2</v>
      </c>
      <c r="AW3372">
        <v>2</v>
      </c>
      <c r="AX3372">
        <v>3</v>
      </c>
      <c r="AY3372">
        <v>1</v>
      </c>
      <c r="AZ3372">
        <v>1</v>
      </c>
      <c r="BA3372" t="s">
        <v>15741</v>
      </c>
      <c r="BB3372" t="s">
        <v>15742</v>
      </c>
      <c r="BC3372">
        <v>0.29099999999999998</v>
      </c>
      <c r="BD3372" t="s">
        <v>65</v>
      </c>
      <c r="BE3372">
        <v>3</v>
      </c>
      <c r="BF3372">
        <v>4</v>
      </c>
      <c r="BG3372" t="s">
        <v>15743</v>
      </c>
      <c r="BH3372" t="s">
        <v>15744</v>
      </c>
      <c r="BI3372" t="s">
        <v>15745</v>
      </c>
      <c r="BJ3372">
        <v>0.37084</v>
      </c>
      <c r="BK3372">
        <v>0.84499999999999997</v>
      </c>
      <c r="BL3372" t="s">
        <v>635</v>
      </c>
      <c r="BM3372">
        <v>-1.002</v>
      </c>
      <c r="BN3372">
        <v>-1.4059999999999999</v>
      </c>
    </row>
    <row r="3373" spans="10:66">
      <c r="J3373">
        <v>0</v>
      </c>
      <c r="K3373">
        <v>0</v>
      </c>
      <c r="L3373">
        <v>0</v>
      </c>
      <c r="M3373" t="s">
        <v>25021</v>
      </c>
      <c r="N3373">
        <v>2690</v>
      </c>
      <c r="O3373" t="s">
        <v>15746</v>
      </c>
      <c r="P3373" t="s">
        <v>57</v>
      </c>
      <c r="Q3373">
        <v>2661102</v>
      </c>
      <c r="R3373">
        <v>2662694</v>
      </c>
      <c r="S3373" t="s">
        <v>15747</v>
      </c>
      <c r="T3373">
        <v>531</v>
      </c>
      <c r="U3373" t="s">
        <v>15729</v>
      </c>
      <c r="V3373">
        <v>20</v>
      </c>
      <c r="W3373" t="str">
        <f>HYPERLINK("Gene2690-zp_tree_all.dnd", "Gene2690-tree")</f>
        <v>Gene2690-tree</v>
      </c>
      <c r="X3373">
        <v>2</v>
      </c>
      <c r="Y3373">
        <v>2</v>
      </c>
      <c r="Z3373">
        <v>2</v>
      </c>
      <c r="AA3373">
        <v>2</v>
      </c>
      <c r="AB3373">
        <v>0.5</v>
      </c>
      <c r="AC3373" t="s">
        <v>81</v>
      </c>
      <c r="AD3373" t="s">
        <v>81</v>
      </c>
      <c r="AE3373" t="s">
        <v>62</v>
      </c>
      <c r="AF3373" t="s">
        <v>62</v>
      </c>
      <c r="AG3373">
        <v>0</v>
      </c>
      <c r="AH3373">
        <v>0</v>
      </c>
      <c r="AI3373">
        <v>8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4</v>
      </c>
      <c r="AT3373">
        <v>0</v>
      </c>
      <c r="AU3373">
        <v>4</v>
      </c>
      <c r="AV3373">
        <v>1</v>
      </c>
      <c r="AW3373">
        <v>27</v>
      </c>
      <c r="AX3373">
        <v>4</v>
      </c>
      <c r="AY3373">
        <v>2</v>
      </c>
      <c r="AZ3373">
        <v>4</v>
      </c>
      <c r="BA3373" t="s">
        <v>15748</v>
      </c>
      <c r="BB3373" t="s">
        <v>15749</v>
      </c>
      <c r="BC3373">
        <v>10.872</v>
      </c>
      <c r="BD3373" t="s">
        <v>65</v>
      </c>
      <c r="BE3373">
        <v>29</v>
      </c>
      <c r="BF3373">
        <v>8</v>
      </c>
      <c r="BG3373" t="s">
        <v>15750</v>
      </c>
      <c r="BH3373" t="s">
        <v>15751</v>
      </c>
      <c r="BI3373" t="s">
        <v>15752</v>
      </c>
      <c r="BJ3373">
        <v>8.2909999999999998E-2</v>
      </c>
      <c r="BK3373">
        <v>1</v>
      </c>
      <c r="BL3373" t="s">
        <v>69</v>
      </c>
      <c r="BM3373">
        <v>-2.3119999999999998</v>
      </c>
      <c r="BN3373">
        <v>-2.8860000000000001</v>
      </c>
    </row>
    <row r="3374" spans="10:66">
      <c r="J3374">
        <v>0</v>
      </c>
      <c r="K3374">
        <v>0</v>
      </c>
      <c r="L3374">
        <v>0</v>
      </c>
      <c r="M3374" t="s">
        <v>25021</v>
      </c>
      <c r="N3374">
        <v>2750</v>
      </c>
      <c r="O3374" t="s">
        <v>15791</v>
      </c>
      <c r="P3374" t="s">
        <v>57</v>
      </c>
      <c r="Q3374">
        <v>2705398</v>
      </c>
      <c r="R3374">
        <v>2706612</v>
      </c>
      <c r="S3374" t="s">
        <v>3095</v>
      </c>
      <c r="T3374">
        <v>405</v>
      </c>
      <c r="U3374" t="s">
        <v>15778</v>
      </c>
      <c r="V3374">
        <v>29</v>
      </c>
      <c r="W3374" t="str">
        <f>HYPERLINK("Gene2750-zp_tree_all.dnd", "Gene2750-tree")</f>
        <v>Gene2750-tree</v>
      </c>
      <c r="X3374">
        <v>0</v>
      </c>
      <c r="Y3374">
        <v>5</v>
      </c>
      <c r="Z3374">
        <v>0</v>
      </c>
      <c r="AA3374">
        <v>5</v>
      </c>
      <c r="AB3374">
        <v>1</v>
      </c>
      <c r="AC3374" t="s">
        <v>62</v>
      </c>
      <c r="AD3374" t="s">
        <v>199</v>
      </c>
      <c r="AE3374" t="s">
        <v>62</v>
      </c>
      <c r="AF3374" t="s">
        <v>62</v>
      </c>
      <c r="AG3374">
        <v>0</v>
      </c>
      <c r="AH3374">
        <v>0</v>
      </c>
      <c r="AI3374">
        <v>11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10</v>
      </c>
      <c r="AT3374">
        <v>0</v>
      </c>
      <c r="AU3374">
        <v>4</v>
      </c>
      <c r="AV3374">
        <v>2</v>
      </c>
      <c r="AW3374">
        <v>7</v>
      </c>
      <c r="AX3374">
        <v>10</v>
      </c>
      <c r="AY3374">
        <v>1</v>
      </c>
      <c r="AZ3374">
        <v>1</v>
      </c>
      <c r="BA3374" t="s">
        <v>15792</v>
      </c>
      <c r="BB3374" t="s">
        <v>15793</v>
      </c>
      <c r="BC3374">
        <v>0.25700000000000001</v>
      </c>
      <c r="BD3374" t="s">
        <v>65</v>
      </c>
      <c r="BE3374">
        <v>8</v>
      </c>
      <c r="BF3374">
        <v>11</v>
      </c>
      <c r="BG3374" t="s">
        <v>15794</v>
      </c>
      <c r="BH3374" t="s">
        <v>15795</v>
      </c>
      <c r="BI3374" t="s">
        <v>15796</v>
      </c>
      <c r="BJ3374">
        <v>0.39434999999999998</v>
      </c>
      <c r="BK3374">
        <v>0.94899999999999995</v>
      </c>
      <c r="BL3374" t="s">
        <v>635</v>
      </c>
      <c r="BM3374">
        <v>-1.276</v>
      </c>
      <c r="BN3374">
        <v>-1.603</v>
      </c>
    </row>
    <row r="3375" spans="10:66">
      <c r="J3375">
        <v>0</v>
      </c>
      <c r="K3375">
        <v>0</v>
      </c>
      <c r="L3375">
        <v>0</v>
      </c>
      <c r="M3375" t="s">
        <v>25021</v>
      </c>
      <c r="N3375">
        <v>2751</v>
      </c>
      <c r="O3375" t="s">
        <v>15797</v>
      </c>
      <c r="P3375" t="s">
        <v>57</v>
      </c>
      <c r="Q3375">
        <v>2706534</v>
      </c>
      <c r="R3375">
        <v>2706779</v>
      </c>
      <c r="S3375" t="s">
        <v>15798</v>
      </c>
      <c r="T3375">
        <v>82</v>
      </c>
      <c r="U3375" t="s">
        <v>15778</v>
      </c>
      <c r="V3375">
        <v>29</v>
      </c>
      <c r="W3375" t="str">
        <f>HYPERLINK("Gene2751-zp_tree_all.dnd", "Gene2751-tree")</f>
        <v>Gene2751-tree</v>
      </c>
      <c r="X3375">
        <v>0</v>
      </c>
      <c r="Y3375">
        <v>4</v>
      </c>
      <c r="Z3375">
        <v>0</v>
      </c>
      <c r="AA3375">
        <v>4</v>
      </c>
      <c r="AB3375">
        <v>1</v>
      </c>
      <c r="AC3375" t="s">
        <v>62</v>
      </c>
      <c r="AD3375" t="s">
        <v>61</v>
      </c>
      <c r="AE3375" t="s">
        <v>62</v>
      </c>
      <c r="AF3375" t="s">
        <v>62</v>
      </c>
      <c r="AG3375">
        <v>0</v>
      </c>
      <c r="AH3375">
        <v>0</v>
      </c>
      <c r="AI3375">
        <v>4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4</v>
      </c>
      <c r="AT3375">
        <v>0</v>
      </c>
      <c r="AU3375">
        <v>3</v>
      </c>
      <c r="AV3375">
        <v>0</v>
      </c>
      <c r="AW3375">
        <v>1</v>
      </c>
      <c r="AX3375">
        <v>4</v>
      </c>
      <c r="AY3375">
        <v>0</v>
      </c>
      <c r="AZ3375">
        <v>0</v>
      </c>
      <c r="BA3375" t="s">
        <v>15799</v>
      </c>
      <c r="BB3375" t="s">
        <v>193</v>
      </c>
      <c r="BC3375">
        <v>0.81499999999999995</v>
      </c>
      <c r="BD3375" t="s">
        <v>65</v>
      </c>
      <c r="BE3375">
        <v>1</v>
      </c>
      <c r="BF3375">
        <v>4</v>
      </c>
      <c r="BG3375" t="s">
        <v>15800</v>
      </c>
      <c r="BH3375" t="s">
        <v>15801</v>
      </c>
      <c r="BI3375" t="s">
        <v>15802</v>
      </c>
      <c r="BJ3375">
        <v>1.1683600000000001</v>
      </c>
      <c r="BK3375">
        <v>0.17899999999999999</v>
      </c>
      <c r="BL3375" t="s">
        <v>635</v>
      </c>
      <c r="BM3375">
        <v>-1.24</v>
      </c>
      <c r="BN3375">
        <v>-1.4630000000000001</v>
      </c>
    </row>
    <row r="3376" spans="10:66">
      <c r="J3376">
        <v>0</v>
      </c>
      <c r="K3376">
        <v>13</v>
      </c>
      <c r="L3376">
        <v>4</v>
      </c>
      <c r="M3376" t="s">
        <v>25021</v>
      </c>
      <c r="N3376">
        <v>2765</v>
      </c>
      <c r="O3376" t="s">
        <v>15864</v>
      </c>
      <c r="P3376" t="s">
        <v>57</v>
      </c>
      <c r="Q3376">
        <v>2716973</v>
      </c>
      <c r="R3376">
        <v>2718172</v>
      </c>
      <c r="S3376" t="s">
        <v>15865</v>
      </c>
      <c r="T3376">
        <v>400</v>
      </c>
      <c r="U3376" t="s">
        <v>6390</v>
      </c>
      <c r="V3376">
        <v>45</v>
      </c>
      <c r="W3376" t="str">
        <f>HYPERLINK("Gene2765-zp_tree_all.dnd", "Gene2765-tree")</f>
        <v>Gene2765-tree</v>
      </c>
      <c r="X3376">
        <v>4</v>
      </c>
      <c r="Y3376">
        <v>12</v>
      </c>
      <c r="Z3376">
        <v>4</v>
      </c>
      <c r="AA3376">
        <v>12</v>
      </c>
      <c r="AB3376">
        <v>0.75</v>
      </c>
      <c r="AC3376" t="s">
        <v>61</v>
      </c>
      <c r="AD3376" t="s">
        <v>109</v>
      </c>
      <c r="AE3376" t="s">
        <v>62</v>
      </c>
      <c r="AF3376" t="s">
        <v>62</v>
      </c>
      <c r="AG3376">
        <v>7</v>
      </c>
      <c r="AH3376">
        <v>17</v>
      </c>
      <c r="AI3376">
        <v>26</v>
      </c>
      <c r="AJ3376">
        <v>0.39534999999999998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9</v>
      </c>
      <c r="AQ3376">
        <v>4</v>
      </c>
      <c r="AR3376">
        <v>13</v>
      </c>
      <c r="AS3376">
        <v>23</v>
      </c>
      <c r="AT3376">
        <v>0.36110999999999999</v>
      </c>
      <c r="AU3376">
        <v>16</v>
      </c>
      <c r="AV3376">
        <v>9</v>
      </c>
      <c r="AW3376">
        <v>84</v>
      </c>
      <c r="AX3376">
        <v>38</v>
      </c>
      <c r="AY3376">
        <v>20</v>
      </c>
      <c r="AZ3376">
        <v>7</v>
      </c>
      <c r="BA3376" t="s">
        <v>15866</v>
      </c>
      <c r="BB3376" t="s">
        <v>15867</v>
      </c>
      <c r="BC3376">
        <v>0.1</v>
      </c>
      <c r="BD3376" t="s">
        <v>65</v>
      </c>
      <c r="BE3376">
        <v>104</v>
      </c>
      <c r="BF3376">
        <v>45</v>
      </c>
      <c r="BG3376" t="s">
        <v>15868</v>
      </c>
      <c r="BH3376" t="s">
        <v>15869</v>
      </c>
      <c r="BI3376" t="s">
        <v>15870</v>
      </c>
      <c r="BJ3376">
        <v>0.12332</v>
      </c>
      <c r="BK3376">
        <v>1</v>
      </c>
      <c r="BL3376" t="s">
        <v>69</v>
      </c>
      <c r="BM3376">
        <v>-1.595</v>
      </c>
      <c r="BN3376">
        <v>-2.694</v>
      </c>
    </row>
    <row r="3377" spans="10:66">
      <c r="J3377">
        <v>0</v>
      </c>
      <c r="K3377">
        <v>11</v>
      </c>
      <c r="L3377">
        <v>0</v>
      </c>
      <c r="M3377" t="s">
        <v>25021</v>
      </c>
      <c r="N3377">
        <v>2766</v>
      </c>
      <c r="O3377" t="s">
        <v>15871</v>
      </c>
      <c r="P3377" t="s">
        <v>57</v>
      </c>
      <c r="Q3377">
        <v>2718344</v>
      </c>
      <c r="R3377">
        <v>2718799</v>
      </c>
      <c r="S3377" t="s">
        <v>15872</v>
      </c>
      <c r="T3377">
        <v>152</v>
      </c>
      <c r="U3377" t="s">
        <v>108</v>
      </c>
      <c r="V3377">
        <v>44</v>
      </c>
      <c r="W3377" t="str">
        <f>HYPERLINK("Gene2766-zp_tree_all.dnd", "Gene2766-tree")</f>
        <v>Gene2766-tree</v>
      </c>
      <c r="X3377">
        <v>3</v>
      </c>
      <c r="Y3377">
        <v>10</v>
      </c>
      <c r="Z3377">
        <v>3</v>
      </c>
      <c r="AA3377">
        <v>10</v>
      </c>
      <c r="AB3377">
        <v>0.76922999999999997</v>
      </c>
      <c r="AC3377" t="s">
        <v>324</v>
      </c>
      <c r="AD3377" t="s">
        <v>117</v>
      </c>
      <c r="AE3377" t="s">
        <v>62</v>
      </c>
      <c r="AF3377" t="s">
        <v>62</v>
      </c>
      <c r="AG3377">
        <v>5</v>
      </c>
      <c r="AH3377">
        <v>11</v>
      </c>
      <c r="AI3377">
        <v>10</v>
      </c>
      <c r="AJ3377">
        <v>0.52381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6</v>
      </c>
      <c r="AQ3377">
        <v>0</v>
      </c>
      <c r="AR3377">
        <v>6</v>
      </c>
      <c r="AS3377">
        <v>10</v>
      </c>
      <c r="AT3377">
        <v>0.375</v>
      </c>
      <c r="AU3377">
        <v>9</v>
      </c>
      <c r="AV3377">
        <v>9</v>
      </c>
      <c r="AW3377">
        <v>9</v>
      </c>
      <c r="AX3377">
        <v>12</v>
      </c>
      <c r="AY3377">
        <v>13</v>
      </c>
      <c r="AZ3377">
        <v>9</v>
      </c>
      <c r="BA3377" t="s">
        <v>15873</v>
      </c>
      <c r="BB3377" t="s">
        <v>15874</v>
      </c>
      <c r="BC3377">
        <v>1.351</v>
      </c>
      <c r="BD3377" t="s">
        <v>65</v>
      </c>
      <c r="BE3377">
        <v>22</v>
      </c>
      <c r="BF3377">
        <v>21</v>
      </c>
      <c r="BG3377" t="s">
        <v>15875</v>
      </c>
      <c r="BH3377" t="s">
        <v>15876</v>
      </c>
      <c r="BI3377" t="s">
        <v>15877</v>
      </c>
      <c r="BJ3377">
        <v>0.29748999999999998</v>
      </c>
      <c r="BK3377">
        <v>0.99</v>
      </c>
      <c r="BL3377" t="s">
        <v>69</v>
      </c>
      <c r="BM3377">
        <v>-0.313</v>
      </c>
      <c r="BN3377">
        <v>-0.31</v>
      </c>
    </row>
    <row r="3378" spans="10:66">
      <c r="J3378">
        <v>0</v>
      </c>
      <c r="K3378">
        <v>6</v>
      </c>
      <c r="L3378">
        <v>1</v>
      </c>
      <c r="M3378" t="s">
        <v>25021</v>
      </c>
      <c r="N3378">
        <v>2770</v>
      </c>
      <c r="O3378" t="s">
        <v>15896</v>
      </c>
      <c r="P3378" t="s">
        <v>57</v>
      </c>
      <c r="Q3378">
        <v>2721778</v>
      </c>
      <c r="R3378">
        <v>2722641</v>
      </c>
      <c r="S3378" t="s">
        <v>11969</v>
      </c>
      <c r="T3378">
        <v>288</v>
      </c>
      <c r="U3378" t="s">
        <v>1392</v>
      </c>
      <c r="V3378">
        <v>43</v>
      </c>
      <c r="W3378" t="str">
        <f>HYPERLINK("Gene2770-zp_tree_all.dnd", "Gene2770-tree")</f>
        <v>Gene2770-tree</v>
      </c>
      <c r="X3378">
        <v>7</v>
      </c>
      <c r="Y3378">
        <v>8</v>
      </c>
      <c r="Z3378">
        <v>7</v>
      </c>
      <c r="AA3378">
        <v>8</v>
      </c>
      <c r="AB3378">
        <v>0.53332999999999997</v>
      </c>
      <c r="AC3378" t="s">
        <v>152</v>
      </c>
      <c r="AD3378" t="s">
        <v>136</v>
      </c>
      <c r="AE3378" t="s">
        <v>62</v>
      </c>
      <c r="AF3378" t="s">
        <v>62</v>
      </c>
      <c r="AG3378">
        <v>3</v>
      </c>
      <c r="AH3378">
        <v>7</v>
      </c>
      <c r="AI3378">
        <v>6</v>
      </c>
      <c r="AJ3378">
        <v>0.53846000000000005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2</v>
      </c>
      <c r="AQ3378">
        <v>1</v>
      </c>
      <c r="AR3378">
        <v>3</v>
      </c>
      <c r="AS3378">
        <v>8</v>
      </c>
      <c r="AT3378">
        <v>0.27272999999999997</v>
      </c>
      <c r="AU3378">
        <v>10</v>
      </c>
      <c r="AV3378">
        <v>10</v>
      </c>
      <c r="AW3378">
        <v>13</v>
      </c>
      <c r="AX3378">
        <v>8</v>
      </c>
      <c r="AY3378">
        <v>23</v>
      </c>
      <c r="AZ3378">
        <v>5</v>
      </c>
      <c r="BA3378" t="s">
        <v>15897</v>
      </c>
      <c r="BB3378" t="s">
        <v>15898</v>
      </c>
      <c r="BC3378">
        <v>1.157</v>
      </c>
      <c r="BD3378" t="s">
        <v>65</v>
      </c>
      <c r="BE3378">
        <v>36</v>
      </c>
      <c r="BF3378">
        <v>13</v>
      </c>
      <c r="BG3378" t="s">
        <v>15899</v>
      </c>
      <c r="BH3378" t="s">
        <v>15900</v>
      </c>
      <c r="BI3378" t="s">
        <v>15901</v>
      </c>
      <c r="BJ3378">
        <v>8.0799999999999997E-2</v>
      </c>
      <c r="BK3378">
        <v>1</v>
      </c>
      <c r="BL3378" t="s">
        <v>69</v>
      </c>
      <c r="BM3378">
        <v>-0.03</v>
      </c>
      <c r="BN3378">
        <v>-1.1319999999999999</v>
      </c>
    </row>
    <row r="3379" spans="10:66">
      <c r="J3379">
        <v>0</v>
      </c>
      <c r="K3379">
        <v>2</v>
      </c>
      <c r="L3379">
        <v>0</v>
      </c>
      <c r="M3379" t="s">
        <v>25021</v>
      </c>
      <c r="N3379">
        <v>2774</v>
      </c>
      <c r="O3379" t="s">
        <v>15921</v>
      </c>
      <c r="P3379" t="s">
        <v>57</v>
      </c>
      <c r="Q3379">
        <v>2725837</v>
      </c>
      <c r="R3379">
        <v>2726724</v>
      </c>
      <c r="S3379" t="s">
        <v>11969</v>
      </c>
      <c r="T3379">
        <v>296</v>
      </c>
      <c r="U3379" t="s">
        <v>15922</v>
      </c>
      <c r="V3379">
        <v>29</v>
      </c>
      <c r="W3379" t="str">
        <f>HYPERLINK("Gene2774-zp_tree_all.dnd", "Gene2774-tree")</f>
        <v>Gene2774-tree</v>
      </c>
      <c r="X3379">
        <v>4</v>
      </c>
      <c r="Y3379">
        <v>4</v>
      </c>
      <c r="Z3379">
        <v>4</v>
      </c>
      <c r="AA3379">
        <v>4</v>
      </c>
      <c r="AB3379">
        <v>0.5</v>
      </c>
      <c r="AC3379" t="s">
        <v>61</v>
      </c>
      <c r="AD3379" t="s">
        <v>61</v>
      </c>
      <c r="AE3379" t="s">
        <v>62</v>
      </c>
      <c r="AF3379" t="s">
        <v>62</v>
      </c>
      <c r="AG3379">
        <v>1</v>
      </c>
      <c r="AH3379">
        <v>2</v>
      </c>
      <c r="AI3379">
        <v>6</v>
      </c>
      <c r="AJ3379">
        <v>0.25</v>
      </c>
      <c r="AK3379">
        <v>0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0</v>
      </c>
      <c r="AS3379">
        <v>5</v>
      </c>
      <c r="AT3379">
        <v>0</v>
      </c>
      <c r="AU3379">
        <v>7</v>
      </c>
      <c r="AV3379">
        <v>5</v>
      </c>
      <c r="AW3379">
        <v>11</v>
      </c>
      <c r="AX3379">
        <v>5</v>
      </c>
      <c r="AY3379">
        <v>8</v>
      </c>
      <c r="AZ3379">
        <v>3</v>
      </c>
      <c r="BA3379" t="s">
        <v>15923</v>
      </c>
      <c r="BB3379" t="s">
        <v>15924</v>
      </c>
      <c r="BC3379">
        <v>0.26</v>
      </c>
      <c r="BD3379" t="s">
        <v>65</v>
      </c>
      <c r="BE3379">
        <v>19</v>
      </c>
      <c r="BF3379">
        <v>8</v>
      </c>
      <c r="BG3379" t="s">
        <v>15925</v>
      </c>
      <c r="BH3379" t="s">
        <v>15926</v>
      </c>
      <c r="BI3379" t="s">
        <v>15927</v>
      </c>
      <c r="BJ3379">
        <v>0.14499999999999999</v>
      </c>
      <c r="BK3379">
        <v>1</v>
      </c>
      <c r="BL3379" t="s">
        <v>69</v>
      </c>
      <c r="BM3379">
        <v>3.6999999999999998E-2</v>
      </c>
      <c r="BN3379">
        <v>-0.432</v>
      </c>
    </row>
    <row r="3380" spans="10:66">
      <c r="J3380">
        <v>0</v>
      </c>
      <c r="K3380">
        <v>12</v>
      </c>
      <c r="L3380">
        <v>0</v>
      </c>
      <c r="M3380" t="s">
        <v>25021</v>
      </c>
      <c r="N3380">
        <v>2789</v>
      </c>
      <c r="O3380" t="s">
        <v>15996</v>
      </c>
      <c r="P3380" t="s">
        <v>57</v>
      </c>
      <c r="Q3380">
        <v>2736915</v>
      </c>
      <c r="R3380">
        <v>2737955</v>
      </c>
      <c r="S3380" t="s">
        <v>15997</v>
      </c>
      <c r="T3380">
        <v>347</v>
      </c>
      <c r="U3380" t="s">
        <v>5762</v>
      </c>
      <c r="V3380">
        <v>43</v>
      </c>
      <c r="W3380" t="str">
        <f>HYPERLINK("Gene2789-zp_tree_all.dnd", "Gene2789-tree")</f>
        <v>Gene2789-tree</v>
      </c>
      <c r="X3380">
        <v>6</v>
      </c>
      <c r="Y3380">
        <v>9</v>
      </c>
      <c r="Z3380">
        <v>6</v>
      </c>
      <c r="AA3380">
        <v>9</v>
      </c>
      <c r="AB3380">
        <v>0.6</v>
      </c>
      <c r="AC3380" t="s">
        <v>90</v>
      </c>
      <c r="AD3380" t="s">
        <v>135</v>
      </c>
      <c r="AE3380" t="s">
        <v>62</v>
      </c>
      <c r="AF3380" t="s">
        <v>62</v>
      </c>
      <c r="AG3380">
        <v>5</v>
      </c>
      <c r="AH3380">
        <v>12</v>
      </c>
      <c r="AI3380">
        <v>12</v>
      </c>
      <c r="AJ3380">
        <v>0.5</v>
      </c>
      <c r="AK3380">
        <v>2</v>
      </c>
      <c r="AL3380">
        <v>0</v>
      </c>
      <c r="AM3380">
        <v>2</v>
      </c>
      <c r="AN3380">
        <v>1</v>
      </c>
      <c r="AO3380">
        <v>0.66666999999999998</v>
      </c>
      <c r="AP3380">
        <v>7</v>
      </c>
      <c r="AQ3380">
        <v>0</v>
      </c>
      <c r="AR3380">
        <v>7</v>
      </c>
      <c r="AS3380">
        <v>8</v>
      </c>
      <c r="AT3380">
        <v>0.46666999999999997</v>
      </c>
      <c r="AU3380">
        <v>10</v>
      </c>
      <c r="AV3380">
        <v>11</v>
      </c>
      <c r="AW3380">
        <v>26</v>
      </c>
      <c r="AX3380">
        <v>14</v>
      </c>
      <c r="AY3380">
        <v>18</v>
      </c>
      <c r="AZ3380">
        <v>10</v>
      </c>
      <c r="BA3380" t="s">
        <v>15998</v>
      </c>
      <c r="BB3380" t="s">
        <v>15999</v>
      </c>
      <c r="BC3380">
        <v>3.1E-2</v>
      </c>
      <c r="BD3380" t="s">
        <v>65</v>
      </c>
      <c r="BE3380">
        <v>44</v>
      </c>
      <c r="BF3380">
        <v>24</v>
      </c>
      <c r="BG3380" t="s">
        <v>7588</v>
      </c>
      <c r="BH3380" t="s">
        <v>16000</v>
      </c>
      <c r="BI3380" t="s">
        <v>16001</v>
      </c>
      <c r="BJ3380">
        <v>0.15059</v>
      </c>
      <c r="BK3380">
        <v>1</v>
      </c>
      <c r="BL3380" t="s">
        <v>69</v>
      </c>
      <c r="BM3380">
        <v>-0.04</v>
      </c>
      <c r="BN3380">
        <v>-1.3180000000000001</v>
      </c>
    </row>
    <row r="3381" spans="10:66">
      <c r="J3381">
        <v>0</v>
      </c>
      <c r="K3381">
        <v>8</v>
      </c>
      <c r="L3381">
        <v>2</v>
      </c>
      <c r="M3381" t="s">
        <v>25021</v>
      </c>
      <c r="N3381">
        <v>2790</v>
      </c>
      <c r="O3381" t="s">
        <v>16002</v>
      </c>
      <c r="P3381" t="s">
        <v>57</v>
      </c>
      <c r="Q3381">
        <v>2738308</v>
      </c>
      <c r="R3381">
        <v>2739102</v>
      </c>
      <c r="S3381" t="s">
        <v>16003</v>
      </c>
      <c r="T3381">
        <v>265</v>
      </c>
      <c r="U3381" t="s">
        <v>5762</v>
      </c>
      <c r="V3381">
        <v>43</v>
      </c>
      <c r="W3381" t="str">
        <f>HYPERLINK("Gene2790-zp_tree_all.dnd", "Gene2790-tree")</f>
        <v>Gene2790-tree</v>
      </c>
      <c r="X3381">
        <v>4</v>
      </c>
      <c r="Y3381">
        <v>10</v>
      </c>
      <c r="Z3381">
        <v>4</v>
      </c>
      <c r="AA3381">
        <v>10</v>
      </c>
      <c r="AB3381">
        <v>0.71428999999999998</v>
      </c>
      <c r="AC3381" t="s">
        <v>61</v>
      </c>
      <c r="AD3381" t="s">
        <v>117</v>
      </c>
      <c r="AE3381" t="s">
        <v>62</v>
      </c>
      <c r="AF3381" t="s">
        <v>62</v>
      </c>
      <c r="AG3381">
        <v>4</v>
      </c>
      <c r="AH3381">
        <v>10</v>
      </c>
      <c r="AI3381">
        <v>23</v>
      </c>
      <c r="AJ3381">
        <v>0.30303000000000002</v>
      </c>
      <c r="AK3381">
        <v>0</v>
      </c>
      <c r="AL3381">
        <v>0</v>
      </c>
      <c r="AM3381">
        <v>0</v>
      </c>
      <c r="AN3381">
        <v>2</v>
      </c>
      <c r="AO3381">
        <v>0</v>
      </c>
      <c r="AP3381">
        <v>2</v>
      </c>
      <c r="AQ3381">
        <v>2</v>
      </c>
      <c r="AR3381">
        <v>4</v>
      </c>
      <c r="AS3381">
        <v>16</v>
      </c>
      <c r="AT3381">
        <v>0.2</v>
      </c>
      <c r="AU3381">
        <v>12</v>
      </c>
      <c r="AV3381">
        <v>10</v>
      </c>
      <c r="AW3381">
        <v>20</v>
      </c>
      <c r="AX3381">
        <v>21</v>
      </c>
      <c r="AY3381">
        <v>17</v>
      </c>
      <c r="AZ3381">
        <v>13</v>
      </c>
      <c r="BA3381" t="s">
        <v>16004</v>
      </c>
      <c r="BB3381" t="s">
        <v>16005</v>
      </c>
      <c r="BC3381">
        <v>0.29199999999999998</v>
      </c>
      <c r="BD3381" t="s">
        <v>65</v>
      </c>
      <c r="BE3381">
        <v>37</v>
      </c>
      <c r="BF3381">
        <v>34</v>
      </c>
      <c r="BG3381" t="s">
        <v>16006</v>
      </c>
      <c r="BH3381" t="s">
        <v>16007</v>
      </c>
      <c r="BI3381" t="s">
        <v>16008</v>
      </c>
      <c r="BJ3381">
        <v>0.25208999999999998</v>
      </c>
      <c r="BK3381">
        <v>1</v>
      </c>
      <c r="BL3381" t="s">
        <v>69</v>
      </c>
      <c r="BM3381">
        <v>-1.5029999999999999</v>
      </c>
      <c r="BN3381">
        <v>-2.0539999999999998</v>
      </c>
    </row>
    <row r="3382" spans="10:66">
      <c r="J3382">
        <v>0</v>
      </c>
      <c r="K3382">
        <v>4</v>
      </c>
      <c r="L3382">
        <v>0</v>
      </c>
      <c r="M3382" t="s">
        <v>25021</v>
      </c>
      <c r="N3382">
        <v>2791</v>
      </c>
      <c r="O3382" t="s">
        <v>16009</v>
      </c>
      <c r="P3382" t="s">
        <v>57</v>
      </c>
      <c r="Q3382">
        <v>2739486</v>
      </c>
      <c r="R3382">
        <v>2740190</v>
      </c>
      <c r="S3382" t="s">
        <v>1523</v>
      </c>
      <c r="T3382">
        <v>235</v>
      </c>
      <c r="U3382" t="s">
        <v>5762</v>
      </c>
      <c r="V3382">
        <v>43</v>
      </c>
      <c r="W3382" t="str">
        <f>HYPERLINK("Gene2791-zp_tree_all.dnd", "Gene2791-tree")</f>
        <v>Gene2791-tree</v>
      </c>
      <c r="X3382">
        <v>7</v>
      </c>
      <c r="Y3382">
        <v>6</v>
      </c>
      <c r="Z3382">
        <v>7</v>
      </c>
      <c r="AA3382">
        <v>6</v>
      </c>
      <c r="AB3382">
        <v>0.46154000000000001</v>
      </c>
      <c r="AC3382" t="s">
        <v>152</v>
      </c>
      <c r="AD3382" t="s">
        <v>90</v>
      </c>
      <c r="AE3382" t="s">
        <v>62</v>
      </c>
      <c r="AF3382" t="s">
        <v>62</v>
      </c>
      <c r="AG3382">
        <v>2</v>
      </c>
      <c r="AH3382">
        <v>4</v>
      </c>
      <c r="AI3382">
        <v>7</v>
      </c>
      <c r="AJ3382">
        <v>0.36364000000000002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2</v>
      </c>
      <c r="AQ3382">
        <v>0</v>
      </c>
      <c r="AR3382">
        <v>2</v>
      </c>
      <c r="AS3382">
        <v>5</v>
      </c>
      <c r="AT3382">
        <v>0.28571000000000002</v>
      </c>
      <c r="AU3382">
        <v>11</v>
      </c>
      <c r="AV3382">
        <v>10</v>
      </c>
      <c r="AW3382">
        <v>39</v>
      </c>
      <c r="AX3382">
        <v>7</v>
      </c>
      <c r="AY3382">
        <v>33</v>
      </c>
      <c r="AZ3382">
        <v>4</v>
      </c>
      <c r="BA3382" t="s">
        <v>16010</v>
      </c>
      <c r="BB3382" t="s">
        <v>16011</v>
      </c>
      <c r="BC3382">
        <v>0.25800000000000001</v>
      </c>
      <c r="BD3382" t="s">
        <v>65</v>
      </c>
      <c r="BE3382">
        <v>72</v>
      </c>
      <c r="BF3382">
        <v>11</v>
      </c>
      <c r="BG3382" t="s">
        <v>16012</v>
      </c>
      <c r="BH3382" t="s">
        <v>16013</v>
      </c>
      <c r="BI3382" t="s">
        <v>16014</v>
      </c>
      <c r="BJ3382">
        <v>5.8990000000000001E-2</v>
      </c>
      <c r="BK3382">
        <v>1</v>
      </c>
      <c r="BL3382" t="s">
        <v>69</v>
      </c>
      <c r="BM3382">
        <v>0.47199999999999998</v>
      </c>
      <c r="BN3382">
        <v>0.90700000000000003</v>
      </c>
    </row>
    <row r="3383" spans="10:66">
      <c r="J3383">
        <v>0</v>
      </c>
      <c r="K3383">
        <v>4</v>
      </c>
      <c r="L3383">
        <v>4</v>
      </c>
      <c r="M3383" t="s">
        <v>25021</v>
      </c>
      <c r="N3383">
        <v>2796</v>
      </c>
      <c r="O3383" t="s">
        <v>16022</v>
      </c>
      <c r="P3383" t="s">
        <v>57</v>
      </c>
      <c r="Q3383">
        <v>2742909</v>
      </c>
      <c r="R3383">
        <v>2743886</v>
      </c>
      <c r="S3383" t="s">
        <v>16023</v>
      </c>
      <c r="T3383">
        <v>326</v>
      </c>
      <c r="U3383" t="s">
        <v>16024</v>
      </c>
      <c r="V3383">
        <v>45</v>
      </c>
      <c r="W3383" t="str">
        <f>HYPERLINK("Gene2796-zp_tree_all.dnd", "Gene2796-tree")</f>
        <v>Gene2796-tree</v>
      </c>
      <c r="X3383">
        <v>4</v>
      </c>
      <c r="Y3383">
        <v>12</v>
      </c>
      <c r="Z3383">
        <v>4</v>
      </c>
      <c r="AA3383">
        <v>12</v>
      </c>
      <c r="AB3383">
        <v>0.75</v>
      </c>
      <c r="AC3383" t="s">
        <v>61</v>
      </c>
      <c r="AD3383" t="s">
        <v>109</v>
      </c>
      <c r="AE3383" t="s">
        <v>62</v>
      </c>
      <c r="AF3383" t="s">
        <v>62</v>
      </c>
      <c r="AG3383">
        <v>4</v>
      </c>
      <c r="AH3383">
        <v>8</v>
      </c>
      <c r="AI3383">
        <v>23</v>
      </c>
      <c r="AJ3383">
        <v>0.25806000000000001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2</v>
      </c>
      <c r="AQ3383">
        <v>2</v>
      </c>
      <c r="AR3383">
        <v>4</v>
      </c>
      <c r="AS3383">
        <v>21</v>
      </c>
      <c r="AT3383">
        <v>0.16</v>
      </c>
      <c r="AU3383">
        <v>13</v>
      </c>
      <c r="AV3383">
        <v>7</v>
      </c>
      <c r="AW3383">
        <v>55</v>
      </c>
      <c r="AX3383">
        <v>23</v>
      </c>
      <c r="AY3383">
        <v>23</v>
      </c>
      <c r="AZ3383">
        <v>8</v>
      </c>
      <c r="BA3383" t="s">
        <v>16025</v>
      </c>
      <c r="BB3383" t="s">
        <v>16026</v>
      </c>
      <c r="BC3383">
        <v>0.122</v>
      </c>
      <c r="BD3383" t="s">
        <v>65</v>
      </c>
      <c r="BE3383">
        <v>78</v>
      </c>
      <c r="BF3383">
        <v>31</v>
      </c>
      <c r="BG3383" t="s">
        <v>16027</v>
      </c>
      <c r="BH3383" t="s">
        <v>16028</v>
      </c>
      <c r="BI3383" t="s">
        <v>16029</v>
      </c>
      <c r="BJ3383">
        <v>0.10582</v>
      </c>
      <c r="BK3383">
        <v>1</v>
      </c>
      <c r="BL3383" t="s">
        <v>69</v>
      </c>
      <c r="BM3383">
        <v>-1.986</v>
      </c>
      <c r="BN3383">
        <v>-2.887</v>
      </c>
    </row>
    <row r="3384" spans="10:66">
      <c r="J3384">
        <v>0</v>
      </c>
      <c r="K3384">
        <v>0</v>
      </c>
      <c r="L3384">
        <v>0</v>
      </c>
      <c r="M3384" t="s">
        <v>25021</v>
      </c>
      <c r="N3384">
        <v>2799</v>
      </c>
      <c r="O3384" t="s">
        <v>16045</v>
      </c>
      <c r="P3384" t="s">
        <v>57</v>
      </c>
      <c r="Q3384">
        <v>2746608</v>
      </c>
      <c r="R3384">
        <v>2747708</v>
      </c>
      <c r="S3384" t="s">
        <v>16046</v>
      </c>
      <c r="T3384">
        <v>367</v>
      </c>
      <c r="U3384" t="s">
        <v>16040</v>
      </c>
      <c r="V3384">
        <v>30</v>
      </c>
      <c r="W3384" t="str">
        <f>HYPERLINK("Gene2799-zp_tree_all.dnd", "Gene2799-tree")</f>
        <v>Gene2799-tree</v>
      </c>
      <c r="X3384">
        <v>5</v>
      </c>
      <c r="Y3384">
        <v>4</v>
      </c>
      <c r="Z3384">
        <v>5</v>
      </c>
      <c r="AA3384">
        <v>4</v>
      </c>
      <c r="AB3384">
        <v>0.44444</v>
      </c>
      <c r="AC3384" t="s">
        <v>199</v>
      </c>
      <c r="AD3384" t="s">
        <v>61</v>
      </c>
      <c r="AE3384" t="s">
        <v>62</v>
      </c>
      <c r="AF3384" t="s">
        <v>62</v>
      </c>
      <c r="AG3384">
        <v>0</v>
      </c>
      <c r="AH3384">
        <v>0</v>
      </c>
      <c r="AI3384">
        <v>18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13</v>
      </c>
      <c r="AT3384">
        <v>0</v>
      </c>
      <c r="AU3384">
        <v>8</v>
      </c>
      <c r="AV3384">
        <v>4</v>
      </c>
      <c r="AW3384">
        <v>47</v>
      </c>
      <c r="AX3384">
        <v>13</v>
      </c>
      <c r="AY3384">
        <v>12</v>
      </c>
      <c r="AZ3384">
        <v>5</v>
      </c>
      <c r="BA3384" t="s">
        <v>16047</v>
      </c>
      <c r="BB3384" t="s">
        <v>16048</v>
      </c>
      <c r="BC3384">
        <v>0.192</v>
      </c>
      <c r="BD3384" t="s">
        <v>65</v>
      </c>
      <c r="BE3384">
        <v>59</v>
      </c>
      <c r="BF3384">
        <v>18</v>
      </c>
      <c r="BG3384" t="s">
        <v>16049</v>
      </c>
      <c r="BH3384" t="s">
        <v>16050</v>
      </c>
      <c r="BI3384" t="s">
        <v>16051</v>
      </c>
      <c r="BJ3384">
        <v>9.468E-2</v>
      </c>
      <c r="BK3384">
        <v>1</v>
      </c>
      <c r="BL3384" t="s">
        <v>69</v>
      </c>
      <c r="BM3384">
        <v>-2.02</v>
      </c>
      <c r="BN3384">
        <v>-2.7909999999999999</v>
      </c>
    </row>
    <row r="3385" spans="10:66">
      <c r="J3385">
        <v>0</v>
      </c>
      <c r="K3385">
        <v>4</v>
      </c>
      <c r="L3385">
        <v>6</v>
      </c>
      <c r="M3385" t="s">
        <v>25021</v>
      </c>
      <c r="N3385">
        <v>2801</v>
      </c>
      <c r="O3385" t="s">
        <v>16059</v>
      </c>
      <c r="P3385" t="s">
        <v>57</v>
      </c>
      <c r="Q3385">
        <v>2749260</v>
      </c>
      <c r="R3385">
        <v>2749520</v>
      </c>
      <c r="S3385" t="s">
        <v>116</v>
      </c>
      <c r="T3385">
        <v>87</v>
      </c>
      <c r="U3385" t="s">
        <v>16060</v>
      </c>
      <c r="V3385">
        <v>47</v>
      </c>
      <c r="W3385" t="str">
        <f>HYPERLINK("Gene2801-zp_tree_all.dnd", "Gene2801-tree")</f>
        <v>Gene2801-tree</v>
      </c>
      <c r="X3385">
        <v>3</v>
      </c>
      <c r="Y3385">
        <v>8</v>
      </c>
      <c r="Z3385">
        <v>3</v>
      </c>
      <c r="AA3385">
        <v>8</v>
      </c>
      <c r="AB3385">
        <v>0.72726999999999997</v>
      </c>
      <c r="AC3385" t="s">
        <v>324</v>
      </c>
      <c r="AD3385" t="s">
        <v>136</v>
      </c>
      <c r="AE3385" t="s">
        <v>62</v>
      </c>
      <c r="AF3385" t="s">
        <v>62</v>
      </c>
      <c r="AG3385">
        <v>4</v>
      </c>
      <c r="AH3385">
        <v>10</v>
      </c>
      <c r="AI3385">
        <v>7</v>
      </c>
      <c r="AJ3385">
        <v>0.58823999999999999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4</v>
      </c>
      <c r="AQ3385">
        <v>2</v>
      </c>
      <c r="AR3385">
        <v>6</v>
      </c>
      <c r="AS3385">
        <v>6</v>
      </c>
      <c r="AT3385">
        <v>0.5</v>
      </c>
      <c r="AU3385">
        <v>8</v>
      </c>
      <c r="AV3385">
        <v>5</v>
      </c>
      <c r="AW3385">
        <v>8</v>
      </c>
      <c r="AX3385">
        <v>9</v>
      </c>
      <c r="AY3385">
        <v>4</v>
      </c>
      <c r="AZ3385">
        <v>9</v>
      </c>
      <c r="BA3385" t="s">
        <v>16061</v>
      </c>
      <c r="BB3385" t="s">
        <v>16062</v>
      </c>
      <c r="BC3385">
        <v>0.44500000000000001</v>
      </c>
      <c r="BD3385" t="s">
        <v>65</v>
      </c>
      <c r="BE3385">
        <v>12</v>
      </c>
      <c r="BF3385">
        <v>18</v>
      </c>
      <c r="BG3385" t="s">
        <v>16063</v>
      </c>
      <c r="BH3385" t="s">
        <v>16064</v>
      </c>
      <c r="BI3385" t="s">
        <v>16065</v>
      </c>
      <c r="BJ3385">
        <v>0.46466000000000002</v>
      </c>
      <c r="BK3385">
        <v>0.92</v>
      </c>
      <c r="BL3385" t="s">
        <v>635</v>
      </c>
      <c r="BM3385">
        <v>-1.498</v>
      </c>
      <c r="BN3385">
        <v>-1.847</v>
      </c>
    </row>
    <row r="3386" spans="10:66">
      <c r="J3386">
        <v>0</v>
      </c>
      <c r="K3386">
        <v>26</v>
      </c>
      <c r="L3386">
        <v>13</v>
      </c>
      <c r="M3386" t="s">
        <v>25021</v>
      </c>
      <c r="N3386">
        <v>2802</v>
      </c>
      <c r="O3386" t="s">
        <v>16066</v>
      </c>
      <c r="P3386" t="s">
        <v>57</v>
      </c>
      <c r="Q3386">
        <v>2749660</v>
      </c>
      <c r="R3386">
        <v>2750472</v>
      </c>
      <c r="S3386" t="s">
        <v>2512</v>
      </c>
      <c r="T3386">
        <v>271</v>
      </c>
      <c r="U3386" t="s">
        <v>16067</v>
      </c>
      <c r="V3386">
        <v>44</v>
      </c>
      <c r="W3386" t="str">
        <f>HYPERLINK("Gene2802-zp_tree_all.dnd", "Gene2802-tree")</f>
        <v>Gene2802-tree</v>
      </c>
      <c r="X3386">
        <v>2</v>
      </c>
      <c r="Y3386">
        <v>13</v>
      </c>
      <c r="Z3386">
        <v>2</v>
      </c>
      <c r="AA3386">
        <v>13</v>
      </c>
      <c r="AB3386">
        <v>0.86667000000000005</v>
      </c>
      <c r="AC3386" t="s">
        <v>81</v>
      </c>
      <c r="AD3386" t="s">
        <v>507</v>
      </c>
      <c r="AE3386" t="s">
        <v>62</v>
      </c>
      <c r="AF3386" t="s">
        <v>62</v>
      </c>
      <c r="AG3386">
        <v>15</v>
      </c>
      <c r="AH3386">
        <v>39</v>
      </c>
      <c r="AI3386">
        <v>19</v>
      </c>
      <c r="AJ3386">
        <v>0.67240999999999995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16</v>
      </c>
      <c r="AQ3386">
        <v>12</v>
      </c>
      <c r="AR3386">
        <v>28</v>
      </c>
      <c r="AS3386">
        <v>16</v>
      </c>
      <c r="AT3386">
        <v>0.63636000000000004</v>
      </c>
      <c r="AU3386">
        <v>15</v>
      </c>
      <c r="AV3386">
        <v>11</v>
      </c>
      <c r="AW3386">
        <v>31</v>
      </c>
      <c r="AX3386">
        <v>44</v>
      </c>
      <c r="AY3386">
        <v>18</v>
      </c>
      <c r="AZ3386">
        <v>14</v>
      </c>
      <c r="BA3386" t="s">
        <v>16068</v>
      </c>
      <c r="BB3386" t="s">
        <v>16069</v>
      </c>
      <c r="BC3386">
        <v>0.875</v>
      </c>
      <c r="BD3386" t="s">
        <v>65</v>
      </c>
      <c r="BE3386">
        <v>49</v>
      </c>
      <c r="BF3386">
        <v>58</v>
      </c>
      <c r="BG3386" t="s">
        <v>16070</v>
      </c>
      <c r="BH3386" t="s">
        <v>16071</v>
      </c>
      <c r="BI3386" t="s">
        <v>16072</v>
      </c>
      <c r="BJ3386">
        <v>0.30630000000000002</v>
      </c>
      <c r="BK3386">
        <v>1</v>
      </c>
      <c r="BL3386" t="s">
        <v>69</v>
      </c>
      <c r="BM3386">
        <v>-0.78</v>
      </c>
      <c r="BN3386">
        <v>-1.528</v>
      </c>
    </row>
    <row r="3387" spans="10:66">
      <c r="J3387">
        <v>0</v>
      </c>
      <c r="K3387">
        <v>0</v>
      </c>
      <c r="L3387">
        <v>0</v>
      </c>
      <c r="M3387" t="s">
        <v>25021</v>
      </c>
      <c r="N3387">
        <v>2806</v>
      </c>
      <c r="O3387" t="s">
        <v>16094</v>
      </c>
      <c r="P3387" t="s">
        <v>57</v>
      </c>
      <c r="Q3387">
        <v>2752802</v>
      </c>
      <c r="R3387">
        <v>2753044</v>
      </c>
      <c r="S3387" t="s">
        <v>5691</v>
      </c>
      <c r="T3387">
        <v>81</v>
      </c>
      <c r="U3387" t="s">
        <v>5762</v>
      </c>
      <c r="V3387">
        <v>43</v>
      </c>
      <c r="W3387" t="str">
        <f>HYPERLINK("Gene2806-zp_tree_all.dnd", "Gene2806-tree")</f>
        <v>Gene2806-tree</v>
      </c>
      <c r="X3387">
        <v>6</v>
      </c>
      <c r="Y3387">
        <v>4</v>
      </c>
      <c r="Z3387">
        <v>6</v>
      </c>
      <c r="AA3387">
        <v>4</v>
      </c>
      <c r="AB3387">
        <v>0.4</v>
      </c>
      <c r="AC3387" t="s">
        <v>90</v>
      </c>
      <c r="AD3387" t="s">
        <v>61</v>
      </c>
      <c r="AE3387" t="s">
        <v>62</v>
      </c>
      <c r="AF3387" t="s">
        <v>62</v>
      </c>
      <c r="AG3387">
        <v>0</v>
      </c>
      <c r="AH3387">
        <v>0</v>
      </c>
      <c r="AI3387">
        <v>5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5</v>
      </c>
      <c r="AT3387">
        <v>0</v>
      </c>
      <c r="AU3387">
        <v>5</v>
      </c>
      <c r="AV3387">
        <v>5</v>
      </c>
      <c r="AW3387">
        <v>8</v>
      </c>
      <c r="AX3387">
        <v>5</v>
      </c>
      <c r="AY3387">
        <v>5</v>
      </c>
      <c r="AZ3387">
        <v>0</v>
      </c>
      <c r="BA3387" t="s">
        <v>16095</v>
      </c>
      <c r="BB3387" t="s">
        <v>193</v>
      </c>
      <c r="BC3387">
        <v>1.2470000000000001</v>
      </c>
      <c r="BD3387" t="s">
        <v>65</v>
      </c>
      <c r="BE3387">
        <v>13</v>
      </c>
      <c r="BF3387">
        <v>5</v>
      </c>
      <c r="BG3387" t="s">
        <v>16096</v>
      </c>
      <c r="BH3387" t="s">
        <v>16097</v>
      </c>
      <c r="BI3387" t="s">
        <v>16098</v>
      </c>
      <c r="BJ3387">
        <v>7.3099999999999998E-2</v>
      </c>
      <c r="BK3387">
        <v>1</v>
      </c>
      <c r="BL3387" t="s">
        <v>69</v>
      </c>
      <c r="BM3387">
        <v>0.17699999999999999</v>
      </c>
      <c r="BN3387">
        <v>0.14499999999999999</v>
      </c>
    </row>
    <row r="3388" spans="10:66">
      <c r="J3388">
        <v>0</v>
      </c>
      <c r="K3388">
        <v>0</v>
      </c>
      <c r="L3388">
        <v>0</v>
      </c>
      <c r="M3388" t="s">
        <v>25021</v>
      </c>
      <c r="N3388">
        <v>2807</v>
      </c>
      <c r="O3388" t="s">
        <v>16099</v>
      </c>
      <c r="P3388" t="s">
        <v>57</v>
      </c>
      <c r="Q3388">
        <v>2753065</v>
      </c>
      <c r="R3388">
        <v>2753430</v>
      </c>
      <c r="S3388" t="s">
        <v>5691</v>
      </c>
      <c r="T3388">
        <v>122</v>
      </c>
      <c r="U3388" t="s">
        <v>5762</v>
      </c>
      <c r="V3388">
        <v>43</v>
      </c>
      <c r="W3388" t="str">
        <f>HYPERLINK("Gene2807-zp_tree_all.dnd", "Gene2807-tree")</f>
        <v>Gene2807-tree</v>
      </c>
      <c r="X3388">
        <v>12</v>
      </c>
      <c r="Y3388">
        <v>0</v>
      </c>
      <c r="Z3388">
        <v>12</v>
      </c>
      <c r="AA3388">
        <v>0</v>
      </c>
      <c r="AB3388">
        <v>0</v>
      </c>
      <c r="AC3388" t="s">
        <v>109</v>
      </c>
      <c r="AD3388" t="s">
        <v>62</v>
      </c>
      <c r="AE3388" t="s">
        <v>62</v>
      </c>
      <c r="AF3388" t="s">
        <v>62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6</v>
      </c>
      <c r="AV3388">
        <v>6</v>
      </c>
      <c r="AW3388">
        <v>11</v>
      </c>
      <c r="AX3388">
        <v>0</v>
      </c>
      <c r="AY3388">
        <v>11</v>
      </c>
      <c r="AZ3388">
        <v>2</v>
      </c>
      <c r="BA3388" t="s">
        <v>193</v>
      </c>
      <c r="BB3388" t="s">
        <v>16100</v>
      </c>
      <c r="BC3388">
        <v>0.44900000000000001</v>
      </c>
      <c r="BD3388" t="s">
        <v>65</v>
      </c>
      <c r="BE3388">
        <v>22</v>
      </c>
      <c r="BF3388">
        <v>2</v>
      </c>
      <c r="BG3388" t="s">
        <v>16101</v>
      </c>
      <c r="BH3388" t="s">
        <v>16102</v>
      </c>
      <c r="BI3388" t="s">
        <v>16103</v>
      </c>
      <c r="BJ3388">
        <v>4.6539999999999998E-2</v>
      </c>
      <c r="BK3388">
        <v>1</v>
      </c>
      <c r="BL3388" t="s">
        <v>69</v>
      </c>
      <c r="BM3388">
        <v>0.376</v>
      </c>
      <c r="BN3388">
        <v>0.24199999999999999</v>
      </c>
    </row>
    <row r="3389" spans="10:66">
      <c r="J3389">
        <v>0</v>
      </c>
      <c r="K3389">
        <v>6</v>
      </c>
      <c r="L3389">
        <v>0</v>
      </c>
      <c r="M3389" t="s">
        <v>25021</v>
      </c>
      <c r="N3389">
        <v>2808</v>
      </c>
      <c r="O3389" t="s">
        <v>16104</v>
      </c>
      <c r="P3389" t="s">
        <v>57</v>
      </c>
      <c r="Q3389">
        <v>2753452</v>
      </c>
      <c r="R3389">
        <v>2754585</v>
      </c>
      <c r="S3389" t="s">
        <v>16105</v>
      </c>
      <c r="T3389">
        <v>378</v>
      </c>
      <c r="U3389" t="s">
        <v>5762</v>
      </c>
      <c r="V3389">
        <v>43</v>
      </c>
      <c r="W3389" t="str">
        <f>HYPERLINK("Gene2808-zp_tree_all.dnd", "Gene2808-tree")</f>
        <v>Gene2808-tree</v>
      </c>
      <c r="X3389">
        <v>8</v>
      </c>
      <c r="Y3389">
        <v>5</v>
      </c>
      <c r="Z3389">
        <v>8</v>
      </c>
      <c r="AA3389">
        <v>5</v>
      </c>
      <c r="AB3389">
        <v>0.38462000000000002</v>
      </c>
      <c r="AC3389" t="s">
        <v>136</v>
      </c>
      <c r="AD3389" t="s">
        <v>199</v>
      </c>
      <c r="AE3389" t="s">
        <v>62</v>
      </c>
      <c r="AF3389" t="s">
        <v>62</v>
      </c>
      <c r="AG3389">
        <v>3</v>
      </c>
      <c r="AH3389">
        <v>6</v>
      </c>
      <c r="AI3389">
        <v>9</v>
      </c>
      <c r="AJ3389">
        <v>0.4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6</v>
      </c>
      <c r="AT3389">
        <v>0</v>
      </c>
      <c r="AU3389">
        <v>13</v>
      </c>
      <c r="AV3389">
        <v>8</v>
      </c>
      <c r="AW3389">
        <v>54</v>
      </c>
      <c r="AX3389">
        <v>7</v>
      </c>
      <c r="AY3389">
        <v>53</v>
      </c>
      <c r="AZ3389">
        <v>10</v>
      </c>
      <c r="BA3389" t="s">
        <v>16106</v>
      </c>
      <c r="BB3389" t="s">
        <v>16107</v>
      </c>
      <c r="BC3389">
        <v>0.36099999999999999</v>
      </c>
      <c r="BD3389" t="s">
        <v>65</v>
      </c>
      <c r="BE3389">
        <v>107</v>
      </c>
      <c r="BF3389">
        <v>17</v>
      </c>
      <c r="BG3389" t="s">
        <v>16108</v>
      </c>
      <c r="BH3389" t="s">
        <v>16109</v>
      </c>
      <c r="BI3389" t="s">
        <v>16014</v>
      </c>
      <c r="BJ3389">
        <v>4.5870000000000001E-2</v>
      </c>
      <c r="BK3389">
        <v>1</v>
      </c>
      <c r="BL3389" t="s">
        <v>69</v>
      </c>
      <c r="BM3389">
        <v>-0.255</v>
      </c>
      <c r="BN3389">
        <v>0.65</v>
      </c>
    </row>
    <row r="3390" spans="10:66">
      <c r="J3390">
        <v>0</v>
      </c>
      <c r="K3390">
        <v>0</v>
      </c>
      <c r="L3390">
        <v>0</v>
      </c>
      <c r="M3390" t="s">
        <v>25021</v>
      </c>
      <c r="N3390">
        <v>2809</v>
      </c>
      <c r="O3390" t="s">
        <v>16110</v>
      </c>
      <c r="P3390" t="s">
        <v>57</v>
      </c>
      <c r="Q3390">
        <v>2754607</v>
      </c>
      <c r="R3390">
        <v>2754801</v>
      </c>
      <c r="S3390" t="s">
        <v>5691</v>
      </c>
      <c r="T3390">
        <v>65</v>
      </c>
      <c r="U3390" t="s">
        <v>12268</v>
      </c>
      <c r="V3390">
        <v>33</v>
      </c>
      <c r="W3390" t="str">
        <f>HYPERLINK("Gene2809-zp_tree_all.dnd", "Gene2809-tree")</f>
        <v>Gene2809-tree</v>
      </c>
      <c r="X3390">
        <v>4</v>
      </c>
      <c r="Y3390">
        <v>2</v>
      </c>
      <c r="Z3390">
        <v>4</v>
      </c>
      <c r="AA3390">
        <v>2</v>
      </c>
      <c r="AB3390">
        <v>0.33333000000000002</v>
      </c>
      <c r="AC3390" t="s">
        <v>61</v>
      </c>
      <c r="AD3390" t="s">
        <v>81</v>
      </c>
      <c r="AE3390" t="s">
        <v>62</v>
      </c>
      <c r="AF3390" t="s">
        <v>62</v>
      </c>
      <c r="AG3390">
        <v>0</v>
      </c>
      <c r="AH3390">
        <v>0</v>
      </c>
      <c r="AI3390">
        <v>3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3</v>
      </c>
      <c r="AT3390">
        <v>0</v>
      </c>
      <c r="AU3390">
        <v>4</v>
      </c>
      <c r="AV3390">
        <v>1</v>
      </c>
      <c r="AW3390">
        <v>5</v>
      </c>
      <c r="AX3390">
        <v>3</v>
      </c>
      <c r="AY3390">
        <v>1</v>
      </c>
      <c r="AZ3390">
        <v>0</v>
      </c>
      <c r="BA3390" t="s">
        <v>16111</v>
      </c>
      <c r="BB3390" t="s">
        <v>193</v>
      </c>
      <c r="BC3390">
        <v>1.198</v>
      </c>
      <c r="BD3390" t="s">
        <v>65</v>
      </c>
      <c r="BE3390">
        <v>6</v>
      </c>
      <c r="BF3390">
        <v>3</v>
      </c>
      <c r="BG3390" t="s">
        <v>16112</v>
      </c>
      <c r="BH3390" t="s">
        <v>16113</v>
      </c>
      <c r="BI3390" t="s">
        <v>16114</v>
      </c>
      <c r="BJ3390">
        <v>0.11637</v>
      </c>
      <c r="BK3390">
        <v>1</v>
      </c>
      <c r="BL3390" t="s">
        <v>69</v>
      </c>
      <c r="BM3390">
        <v>-1.468</v>
      </c>
      <c r="BN3390">
        <v>-2.8130000000000002</v>
      </c>
    </row>
    <row r="3391" spans="10:66">
      <c r="J3391">
        <v>0</v>
      </c>
      <c r="K3391">
        <v>4</v>
      </c>
      <c r="L3391">
        <v>0</v>
      </c>
      <c r="M3391" t="s">
        <v>25021</v>
      </c>
      <c r="N3391">
        <v>2810</v>
      </c>
      <c r="O3391" t="s">
        <v>16115</v>
      </c>
      <c r="P3391" t="s">
        <v>57</v>
      </c>
      <c r="Q3391">
        <v>2754820</v>
      </c>
      <c r="R3391">
        <v>2755116</v>
      </c>
      <c r="S3391" t="s">
        <v>5691</v>
      </c>
      <c r="T3391">
        <v>99</v>
      </c>
      <c r="U3391" t="s">
        <v>108</v>
      </c>
      <c r="V3391">
        <v>44</v>
      </c>
      <c r="W3391" t="str">
        <f>HYPERLINK("Gene2810-zp_tree_all.dnd", "Gene2810-tree")</f>
        <v>Gene2810-tree</v>
      </c>
      <c r="X3391">
        <v>6</v>
      </c>
      <c r="Y3391">
        <v>5</v>
      </c>
      <c r="Z3391">
        <v>6</v>
      </c>
      <c r="AA3391">
        <v>5</v>
      </c>
      <c r="AB3391">
        <v>0.45455000000000001</v>
      </c>
      <c r="AC3391" t="s">
        <v>90</v>
      </c>
      <c r="AD3391" t="s">
        <v>199</v>
      </c>
      <c r="AE3391" t="s">
        <v>62</v>
      </c>
      <c r="AF3391" t="s">
        <v>62</v>
      </c>
      <c r="AG3391">
        <v>2</v>
      </c>
      <c r="AH3391">
        <v>4</v>
      </c>
      <c r="AI3391">
        <v>5</v>
      </c>
      <c r="AJ3391">
        <v>0.44444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2</v>
      </c>
      <c r="AQ3391">
        <v>0</v>
      </c>
      <c r="AR3391">
        <v>2</v>
      </c>
      <c r="AS3391">
        <v>4</v>
      </c>
      <c r="AT3391">
        <v>0.33333000000000002</v>
      </c>
      <c r="AU3391">
        <v>9</v>
      </c>
      <c r="AV3391">
        <v>6</v>
      </c>
      <c r="AW3391">
        <v>14</v>
      </c>
      <c r="AX3391">
        <v>5</v>
      </c>
      <c r="AY3391">
        <v>16</v>
      </c>
      <c r="AZ3391">
        <v>4</v>
      </c>
      <c r="BA3391" t="s">
        <v>16116</v>
      </c>
      <c r="BB3391" t="s">
        <v>16117</v>
      </c>
      <c r="BC3391">
        <v>0.40400000000000003</v>
      </c>
      <c r="BD3391" t="s">
        <v>65</v>
      </c>
      <c r="BE3391">
        <v>30</v>
      </c>
      <c r="BF3391">
        <v>9</v>
      </c>
      <c r="BG3391" t="s">
        <v>16118</v>
      </c>
      <c r="BH3391" t="s">
        <v>16119</v>
      </c>
      <c r="BI3391" t="s">
        <v>16120</v>
      </c>
      <c r="BJ3391">
        <v>8.0600000000000005E-2</v>
      </c>
      <c r="BK3391">
        <v>1</v>
      </c>
      <c r="BL3391" t="s">
        <v>69</v>
      </c>
      <c r="BM3391">
        <v>-0.223</v>
      </c>
      <c r="BN3391">
        <v>0.43</v>
      </c>
    </row>
    <row r="3392" spans="10:66">
      <c r="J3392">
        <v>0</v>
      </c>
      <c r="K3392">
        <v>0</v>
      </c>
      <c r="L3392">
        <v>0</v>
      </c>
      <c r="M3392" t="s">
        <v>25021</v>
      </c>
      <c r="N3392">
        <v>2812</v>
      </c>
      <c r="O3392" t="s">
        <v>16128</v>
      </c>
      <c r="P3392" t="s">
        <v>57</v>
      </c>
      <c r="Q3392">
        <v>2755987</v>
      </c>
      <c r="R3392">
        <v>2756178</v>
      </c>
      <c r="S3392" t="s">
        <v>16129</v>
      </c>
      <c r="T3392">
        <v>64</v>
      </c>
      <c r="U3392" t="s">
        <v>16130</v>
      </c>
      <c r="V3392">
        <v>38</v>
      </c>
      <c r="W3392" t="str">
        <f>HYPERLINK("Gene2812-zp_tree_all.dnd", "Gene2812-tree")</f>
        <v>Gene2812-tree</v>
      </c>
      <c r="X3392">
        <v>0</v>
      </c>
      <c r="Y3392">
        <v>5</v>
      </c>
      <c r="Z3392">
        <v>0</v>
      </c>
      <c r="AA3392">
        <v>5</v>
      </c>
      <c r="AB3392">
        <v>1</v>
      </c>
      <c r="AC3392" t="s">
        <v>62</v>
      </c>
      <c r="AD3392" t="s">
        <v>199</v>
      </c>
      <c r="AE3392" t="s">
        <v>62</v>
      </c>
      <c r="AF3392" t="s">
        <v>62</v>
      </c>
      <c r="AG3392">
        <v>0</v>
      </c>
      <c r="AH3392">
        <v>0</v>
      </c>
      <c r="AI3392">
        <v>8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8</v>
      </c>
      <c r="AT3392">
        <v>0</v>
      </c>
      <c r="AU3392">
        <v>2</v>
      </c>
      <c r="AV3392">
        <v>2</v>
      </c>
      <c r="AW3392">
        <v>0</v>
      </c>
      <c r="AX3392">
        <v>3</v>
      </c>
      <c r="AY3392">
        <v>2</v>
      </c>
      <c r="AZ3392">
        <v>6</v>
      </c>
      <c r="BA3392" t="s">
        <v>193</v>
      </c>
      <c r="BB3392" t="s">
        <v>16131</v>
      </c>
      <c r="BC3392">
        <v>0.97499999999999998</v>
      </c>
      <c r="BD3392" t="s">
        <v>65</v>
      </c>
      <c r="BE3392">
        <v>2</v>
      </c>
      <c r="BF3392">
        <v>9</v>
      </c>
      <c r="BG3392" t="s">
        <v>16132</v>
      </c>
      <c r="BH3392" t="s">
        <v>16133</v>
      </c>
      <c r="BI3392" t="s">
        <v>16134</v>
      </c>
      <c r="BJ3392">
        <v>1.1325799999999999</v>
      </c>
      <c r="BK3392">
        <v>0.52100000000000002</v>
      </c>
      <c r="BL3392" t="s">
        <v>635</v>
      </c>
      <c r="BM3392">
        <v>-0.23200000000000001</v>
      </c>
      <c r="BN3392">
        <v>0.36899999999999999</v>
      </c>
    </row>
    <row r="3393" spans="10:66">
      <c r="J3393">
        <v>0</v>
      </c>
      <c r="K3393">
        <v>7</v>
      </c>
      <c r="L3393">
        <v>0</v>
      </c>
      <c r="M3393" t="s">
        <v>25021</v>
      </c>
      <c r="N3393">
        <v>2813</v>
      </c>
      <c r="O3393" t="s">
        <v>16135</v>
      </c>
      <c r="P3393" t="s">
        <v>57</v>
      </c>
      <c r="Q3393">
        <v>2756312</v>
      </c>
      <c r="R3393">
        <v>2757358</v>
      </c>
      <c r="S3393" t="s">
        <v>16136</v>
      </c>
      <c r="T3393">
        <v>349</v>
      </c>
      <c r="U3393" t="s">
        <v>108</v>
      </c>
      <c r="V3393">
        <v>44</v>
      </c>
      <c r="W3393" t="str">
        <f>HYPERLINK("Gene2813-zp_tree_all.dnd", "Gene2813-tree")</f>
        <v>Gene2813-tree</v>
      </c>
      <c r="X3393">
        <v>9</v>
      </c>
      <c r="Y3393">
        <v>7</v>
      </c>
      <c r="Z3393">
        <v>9</v>
      </c>
      <c r="AA3393">
        <v>7</v>
      </c>
      <c r="AB3393">
        <v>0.4375</v>
      </c>
      <c r="AC3393" t="s">
        <v>135</v>
      </c>
      <c r="AD3393" t="s">
        <v>152</v>
      </c>
      <c r="AE3393" t="s">
        <v>62</v>
      </c>
      <c r="AF3393" t="s">
        <v>62</v>
      </c>
      <c r="AG3393">
        <v>3</v>
      </c>
      <c r="AH3393">
        <v>7</v>
      </c>
      <c r="AI3393">
        <v>14</v>
      </c>
      <c r="AJ3393">
        <v>0.33333000000000002</v>
      </c>
      <c r="AK3393">
        <v>0</v>
      </c>
      <c r="AL3393">
        <v>0</v>
      </c>
      <c r="AM3393">
        <v>0</v>
      </c>
      <c r="AN3393">
        <v>3</v>
      </c>
      <c r="AO3393">
        <v>0</v>
      </c>
      <c r="AP3393">
        <v>2</v>
      </c>
      <c r="AQ3393">
        <v>0</v>
      </c>
      <c r="AR3393">
        <v>2</v>
      </c>
      <c r="AS3393">
        <v>10</v>
      </c>
      <c r="AT3393">
        <v>0.16667000000000001</v>
      </c>
      <c r="AU3393">
        <v>13</v>
      </c>
      <c r="AV3393">
        <v>12</v>
      </c>
      <c r="AW3393">
        <v>23</v>
      </c>
      <c r="AX3393">
        <v>12</v>
      </c>
      <c r="AY3393">
        <v>40</v>
      </c>
      <c r="AZ3393">
        <v>9</v>
      </c>
      <c r="BA3393" t="s">
        <v>16137</v>
      </c>
      <c r="BB3393" t="s">
        <v>16138</v>
      </c>
      <c r="BC3393">
        <v>0.94899999999999995</v>
      </c>
      <c r="BD3393" t="s">
        <v>65</v>
      </c>
      <c r="BE3393">
        <v>63</v>
      </c>
      <c r="BF3393">
        <v>21</v>
      </c>
      <c r="BG3393" t="s">
        <v>16139</v>
      </c>
      <c r="BH3393" t="s">
        <v>16140</v>
      </c>
      <c r="BI3393" t="s">
        <v>16141</v>
      </c>
      <c r="BJ3393">
        <v>8.4190000000000001E-2</v>
      </c>
      <c r="BK3393">
        <v>1</v>
      </c>
      <c r="BL3393" t="s">
        <v>69</v>
      </c>
      <c r="BM3393">
        <v>0.57199999999999995</v>
      </c>
      <c r="BN3393">
        <v>-0.27200000000000002</v>
      </c>
    </row>
    <row r="3394" spans="10:66">
      <c r="J3394">
        <v>0</v>
      </c>
      <c r="K3394">
        <v>0</v>
      </c>
      <c r="L3394">
        <v>0</v>
      </c>
      <c r="M3394" t="s">
        <v>25021</v>
      </c>
      <c r="N3394">
        <v>2814</v>
      </c>
      <c r="O3394" t="s">
        <v>16142</v>
      </c>
      <c r="P3394" t="s">
        <v>57</v>
      </c>
      <c r="Q3394">
        <v>2757492</v>
      </c>
      <c r="R3394">
        <v>2757998</v>
      </c>
      <c r="S3394" t="s">
        <v>16143</v>
      </c>
      <c r="T3394">
        <v>169</v>
      </c>
      <c r="U3394" t="s">
        <v>160</v>
      </c>
      <c r="V3394">
        <v>45</v>
      </c>
      <c r="W3394" t="str">
        <f>HYPERLINK("Gene2814-zp_tree_all.dnd", "Gene2814-tree")</f>
        <v>Gene2814-tree</v>
      </c>
      <c r="X3394">
        <v>11</v>
      </c>
      <c r="Y3394">
        <v>2</v>
      </c>
      <c r="Z3394">
        <v>11</v>
      </c>
      <c r="AA3394">
        <v>2</v>
      </c>
      <c r="AB3394">
        <v>0.15384999999999999</v>
      </c>
      <c r="AC3394" t="s">
        <v>73</v>
      </c>
      <c r="AD3394" t="s">
        <v>81</v>
      </c>
      <c r="AE3394" t="s">
        <v>62</v>
      </c>
      <c r="AF3394" t="s">
        <v>62</v>
      </c>
      <c r="AG3394">
        <v>0</v>
      </c>
      <c r="AH3394">
        <v>0</v>
      </c>
      <c r="AI3394">
        <v>4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4</v>
      </c>
      <c r="AT3394">
        <v>0</v>
      </c>
      <c r="AU3394">
        <v>6</v>
      </c>
      <c r="AV3394">
        <v>7</v>
      </c>
      <c r="AW3394">
        <v>26</v>
      </c>
      <c r="AX3394">
        <v>4</v>
      </c>
      <c r="AY3394">
        <v>10</v>
      </c>
      <c r="AZ3394">
        <v>0</v>
      </c>
      <c r="BA3394" t="s">
        <v>16144</v>
      </c>
      <c r="BB3394" t="s">
        <v>193</v>
      </c>
      <c r="BC3394">
        <v>0.44</v>
      </c>
      <c r="BD3394" t="s">
        <v>65</v>
      </c>
      <c r="BE3394">
        <v>36</v>
      </c>
      <c r="BF3394">
        <v>4</v>
      </c>
      <c r="BG3394" t="s">
        <v>16145</v>
      </c>
      <c r="BH3394" t="s">
        <v>16146</v>
      </c>
      <c r="BI3394" t="s">
        <v>16147</v>
      </c>
      <c r="BJ3394">
        <v>2.154E-2</v>
      </c>
      <c r="BK3394">
        <v>1</v>
      </c>
      <c r="BL3394" t="s">
        <v>69</v>
      </c>
      <c r="BM3394">
        <v>-1.573</v>
      </c>
      <c r="BN3394">
        <v>-3.585</v>
      </c>
    </row>
    <row r="3395" spans="10:66">
      <c r="J3395">
        <v>0</v>
      </c>
      <c r="K3395">
        <v>0</v>
      </c>
      <c r="L3395">
        <v>2</v>
      </c>
      <c r="M3395" t="s">
        <v>25021</v>
      </c>
      <c r="N3395">
        <v>2821</v>
      </c>
      <c r="O3395" t="s">
        <v>16188</v>
      </c>
      <c r="P3395" t="s">
        <v>57</v>
      </c>
      <c r="Q3395">
        <v>2766379</v>
      </c>
      <c r="R3395">
        <v>2766516</v>
      </c>
      <c r="S3395" t="s">
        <v>16189</v>
      </c>
      <c r="T3395">
        <v>46</v>
      </c>
      <c r="U3395" t="s">
        <v>108</v>
      </c>
      <c r="V3395">
        <v>44</v>
      </c>
      <c r="W3395" t="str">
        <f>HYPERLINK("Gene2821-zp_tree_all.dnd", "Gene2821-tree")</f>
        <v>Gene2821-tree</v>
      </c>
      <c r="X3395">
        <v>2</v>
      </c>
      <c r="Y3395">
        <v>5</v>
      </c>
      <c r="Z3395">
        <v>2</v>
      </c>
      <c r="AA3395">
        <v>5</v>
      </c>
      <c r="AB3395">
        <v>0.71428999999999998</v>
      </c>
      <c r="AC3395" t="s">
        <v>81</v>
      </c>
      <c r="AD3395" t="s">
        <v>199</v>
      </c>
      <c r="AE3395" t="s">
        <v>62</v>
      </c>
      <c r="AF3395" t="s">
        <v>62</v>
      </c>
      <c r="AG3395">
        <v>1</v>
      </c>
      <c r="AH3395">
        <v>2</v>
      </c>
      <c r="AI3395">
        <v>4</v>
      </c>
      <c r="AJ3395">
        <v>0.33333000000000002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5</v>
      </c>
      <c r="AT3395">
        <v>0</v>
      </c>
      <c r="AU3395">
        <v>5</v>
      </c>
      <c r="AV3395">
        <v>2</v>
      </c>
      <c r="AW3395">
        <v>2</v>
      </c>
      <c r="AX3395">
        <v>4</v>
      </c>
      <c r="AY3395">
        <v>0</v>
      </c>
      <c r="AZ3395">
        <v>2</v>
      </c>
      <c r="BA3395" t="s">
        <v>16190</v>
      </c>
      <c r="BB3395" t="s">
        <v>193</v>
      </c>
      <c r="BC3395">
        <v>1.278</v>
      </c>
      <c r="BD3395" t="s">
        <v>65</v>
      </c>
      <c r="BE3395">
        <v>2</v>
      </c>
      <c r="BF3395">
        <v>6</v>
      </c>
      <c r="BG3395" t="s">
        <v>16191</v>
      </c>
      <c r="BH3395" t="s">
        <v>16192</v>
      </c>
      <c r="BI3395" t="s">
        <v>16193</v>
      </c>
      <c r="BJ3395">
        <v>1.08033</v>
      </c>
      <c r="BK3395">
        <v>0.442</v>
      </c>
      <c r="BL3395" t="s">
        <v>635</v>
      </c>
      <c r="BM3395">
        <v>-1.47</v>
      </c>
      <c r="BN3395">
        <v>-1.847</v>
      </c>
    </row>
    <row r="3396" spans="10:66">
      <c r="J3396">
        <v>0</v>
      </c>
      <c r="K3396">
        <v>12</v>
      </c>
      <c r="L3396">
        <v>0</v>
      </c>
      <c r="M3396" t="s">
        <v>25021</v>
      </c>
      <c r="N3396">
        <v>2823</v>
      </c>
      <c r="O3396" t="s">
        <v>16199</v>
      </c>
      <c r="P3396" t="s">
        <v>57</v>
      </c>
      <c r="Q3396">
        <v>2768827</v>
      </c>
      <c r="R3396">
        <v>2769651</v>
      </c>
      <c r="S3396" t="s">
        <v>16200</v>
      </c>
      <c r="T3396">
        <v>275</v>
      </c>
      <c r="U3396" t="s">
        <v>108</v>
      </c>
      <c r="V3396">
        <v>44</v>
      </c>
      <c r="W3396" t="str">
        <f>HYPERLINK("Gene2823-zp_tree_all.dnd", "Gene2823-tree")</f>
        <v>Gene2823-tree</v>
      </c>
      <c r="X3396">
        <v>7</v>
      </c>
      <c r="Y3396">
        <v>7</v>
      </c>
      <c r="Z3396">
        <v>7</v>
      </c>
      <c r="AA3396">
        <v>7</v>
      </c>
      <c r="AB3396">
        <v>0.5</v>
      </c>
      <c r="AC3396" t="s">
        <v>152</v>
      </c>
      <c r="AD3396" t="s">
        <v>152</v>
      </c>
      <c r="AE3396" t="s">
        <v>62</v>
      </c>
      <c r="AF3396" t="s">
        <v>62</v>
      </c>
      <c r="AG3396">
        <v>4</v>
      </c>
      <c r="AH3396">
        <v>12</v>
      </c>
      <c r="AI3396">
        <v>6</v>
      </c>
      <c r="AJ3396">
        <v>0.66666999999999998</v>
      </c>
      <c r="AK3396">
        <v>0</v>
      </c>
      <c r="AL3396">
        <v>0</v>
      </c>
      <c r="AM3396">
        <v>0</v>
      </c>
      <c r="AN3396">
        <v>1</v>
      </c>
      <c r="AO3396">
        <v>0</v>
      </c>
      <c r="AP3396">
        <v>7</v>
      </c>
      <c r="AQ3396">
        <v>0</v>
      </c>
      <c r="AR3396">
        <v>7</v>
      </c>
      <c r="AS3396">
        <v>5</v>
      </c>
      <c r="AT3396">
        <v>0.58333000000000002</v>
      </c>
      <c r="AU3396">
        <v>13</v>
      </c>
      <c r="AV3396">
        <v>9</v>
      </c>
      <c r="AW3396">
        <v>33</v>
      </c>
      <c r="AX3396">
        <v>12</v>
      </c>
      <c r="AY3396">
        <v>21</v>
      </c>
      <c r="AZ3396">
        <v>6</v>
      </c>
      <c r="BA3396" t="s">
        <v>16201</v>
      </c>
      <c r="BB3396" t="s">
        <v>16202</v>
      </c>
      <c r="BC3396">
        <v>0.41699999999999998</v>
      </c>
      <c r="BD3396" t="s">
        <v>65</v>
      </c>
      <c r="BE3396">
        <v>54</v>
      </c>
      <c r="BF3396">
        <v>18</v>
      </c>
      <c r="BG3396" t="s">
        <v>16203</v>
      </c>
      <c r="BH3396" t="s">
        <v>16204</v>
      </c>
      <c r="BI3396" t="s">
        <v>16205</v>
      </c>
      <c r="BJ3396">
        <v>8.5819999999999994E-2</v>
      </c>
      <c r="BK3396">
        <v>1</v>
      </c>
      <c r="BL3396" t="s">
        <v>69</v>
      </c>
      <c r="BM3396">
        <v>0.21</v>
      </c>
      <c r="BN3396">
        <v>-0.61799999999999999</v>
      </c>
    </row>
    <row r="3397" spans="10:66">
      <c r="J3397">
        <v>0</v>
      </c>
      <c r="K3397">
        <v>4</v>
      </c>
      <c r="L3397">
        <v>0</v>
      </c>
      <c r="M3397" t="s">
        <v>25021</v>
      </c>
      <c r="N3397">
        <v>2824</v>
      </c>
      <c r="O3397" t="s">
        <v>16206</v>
      </c>
      <c r="P3397" t="s">
        <v>57</v>
      </c>
      <c r="Q3397">
        <v>2769850</v>
      </c>
      <c r="R3397">
        <v>2770347</v>
      </c>
      <c r="S3397" t="s">
        <v>16207</v>
      </c>
      <c r="T3397">
        <v>166</v>
      </c>
      <c r="U3397" t="s">
        <v>16208</v>
      </c>
      <c r="V3397">
        <v>48</v>
      </c>
      <c r="W3397" t="str">
        <f>HYPERLINK("Gene2824-zp_tree_all.dnd", "Gene2824-tree")</f>
        <v>Gene2824-tree</v>
      </c>
      <c r="X3397">
        <v>10</v>
      </c>
      <c r="Y3397">
        <v>5</v>
      </c>
      <c r="Z3397">
        <v>10</v>
      </c>
      <c r="AA3397">
        <v>5</v>
      </c>
      <c r="AB3397">
        <v>0.33333000000000002</v>
      </c>
      <c r="AC3397" t="s">
        <v>117</v>
      </c>
      <c r="AD3397" t="s">
        <v>199</v>
      </c>
      <c r="AE3397" t="s">
        <v>62</v>
      </c>
      <c r="AF3397" t="s">
        <v>62</v>
      </c>
      <c r="AG3397">
        <v>1</v>
      </c>
      <c r="AH3397">
        <v>4</v>
      </c>
      <c r="AI3397">
        <v>12</v>
      </c>
      <c r="AJ3397">
        <v>0.25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2</v>
      </c>
      <c r="AQ3397">
        <v>1</v>
      </c>
      <c r="AR3397">
        <v>3</v>
      </c>
      <c r="AS3397">
        <v>5</v>
      </c>
      <c r="AT3397">
        <v>0.375</v>
      </c>
      <c r="AU3397">
        <v>12</v>
      </c>
      <c r="AV3397">
        <v>9</v>
      </c>
      <c r="AW3397">
        <v>18</v>
      </c>
      <c r="AX3397">
        <v>8</v>
      </c>
      <c r="AY3397">
        <v>21</v>
      </c>
      <c r="AZ3397">
        <v>8</v>
      </c>
      <c r="BA3397" t="s">
        <v>16209</v>
      </c>
      <c r="BB3397" t="s">
        <v>16210</v>
      </c>
      <c r="BC3397">
        <v>0.13900000000000001</v>
      </c>
      <c r="BD3397" t="s">
        <v>65</v>
      </c>
      <c r="BE3397">
        <v>39</v>
      </c>
      <c r="BF3397">
        <v>16</v>
      </c>
      <c r="BG3397" t="s">
        <v>16211</v>
      </c>
      <c r="BH3397" t="s">
        <v>16212</v>
      </c>
      <c r="BI3397" t="s">
        <v>16213</v>
      </c>
      <c r="BJ3397">
        <v>9.3869999999999995E-2</v>
      </c>
      <c r="BK3397">
        <v>1</v>
      </c>
      <c r="BL3397" t="s">
        <v>69</v>
      </c>
      <c r="BM3397">
        <v>-1.1439999999999999</v>
      </c>
      <c r="BN3397">
        <v>-0.308</v>
      </c>
    </row>
    <row r="3398" spans="10:66">
      <c r="J3398">
        <v>0</v>
      </c>
      <c r="K3398">
        <v>9</v>
      </c>
      <c r="L3398">
        <v>1</v>
      </c>
      <c r="M3398" t="s">
        <v>25021</v>
      </c>
      <c r="N3398">
        <v>2825</v>
      </c>
      <c r="O3398" t="s">
        <v>16214</v>
      </c>
      <c r="P3398" t="s">
        <v>57</v>
      </c>
      <c r="Q3398">
        <v>2770350</v>
      </c>
      <c r="R3398">
        <v>2771204</v>
      </c>
      <c r="S3398" t="s">
        <v>16215</v>
      </c>
      <c r="T3398">
        <v>285</v>
      </c>
      <c r="U3398" t="s">
        <v>108</v>
      </c>
      <c r="V3398">
        <v>44</v>
      </c>
      <c r="W3398" t="str">
        <f>HYPERLINK("Gene2825-zp_tree_all.dnd", "Gene2825-tree")</f>
        <v>Gene2825-tree</v>
      </c>
      <c r="X3398">
        <v>6</v>
      </c>
      <c r="Y3398">
        <v>25</v>
      </c>
      <c r="Z3398">
        <v>6</v>
      </c>
      <c r="AA3398">
        <v>8</v>
      </c>
      <c r="AB3398">
        <v>0.57142999999999999</v>
      </c>
      <c r="AC3398" t="s">
        <v>90</v>
      </c>
      <c r="AD3398" t="s">
        <v>1667</v>
      </c>
      <c r="AE3398">
        <v>2.972</v>
      </c>
      <c r="AF3398" t="s">
        <v>65</v>
      </c>
      <c r="AG3398">
        <v>4</v>
      </c>
      <c r="AH3398">
        <v>10</v>
      </c>
      <c r="AI3398">
        <v>9</v>
      </c>
      <c r="AJ3398">
        <v>0.52632000000000001</v>
      </c>
      <c r="AK3398">
        <v>0</v>
      </c>
      <c r="AL3398">
        <v>0</v>
      </c>
      <c r="AM3398">
        <v>0</v>
      </c>
      <c r="AN3398">
        <v>2</v>
      </c>
      <c r="AO3398">
        <v>0</v>
      </c>
      <c r="AP3398">
        <v>4</v>
      </c>
      <c r="AQ3398">
        <v>1</v>
      </c>
      <c r="AR3398">
        <v>5</v>
      </c>
      <c r="AS3398">
        <v>9</v>
      </c>
      <c r="AT3398">
        <v>0.35714000000000001</v>
      </c>
      <c r="AU3398">
        <v>10</v>
      </c>
      <c r="AV3398">
        <v>7</v>
      </c>
      <c r="AW3398">
        <v>16</v>
      </c>
      <c r="AX3398">
        <v>12</v>
      </c>
      <c r="AY3398">
        <v>10</v>
      </c>
      <c r="AZ3398">
        <v>7</v>
      </c>
      <c r="BA3398" t="s">
        <v>16216</v>
      </c>
      <c r="BB3398" t="s">
        <v>16217</v>
      </c>
      <c r="BC3398">
        <v>0.115</v>
      </c>
      <c r="BD3398" t="s">
        <v>65</v>
      </c>
      <c r="BE3398">
        <v>26</v>
      </c>
      <c r="BF3398">
        <v>19</v>
      </c>
      <c r="BG3398" t="s">
        <v>16218</v>
      </c>
      <c r="BH3398" t="s">
        <v>16219</v>
      </c>
      <c r="BI3398" t="s">
        <v>16220</v>
      </c>
      <c r="BJ3398">
        <v>0.15606</v>
      </c>
      <c r="BK3398">
        <v>1</v>
      </c>
      <c r="BL3398" t="s">
        <v>69</v>
      </c>
      <c r="BM3398">
        <v>0.115</v>
      </c>
      <c r="BN3398">
        <v>-1.2370000000000001</v>
      </c>
    </row>
    <row r="3399" spans="10:66">
      <c r="J3399">
        <v>3</v>
      </c>
      <c r="K3399">
        <v>35</v>
      </c>
      <c r="L3399">
        <v>12</v>
      </c>
      <c r="M3399" t="s">
        <v>25021</v>
      </c>
      <c r="N3399">
        <v>2826</v>
      </c>
      <c r="O3399" t="s">
        <v>16221</v>
      </c>
      <c r="P3399" t="s">
        <v>57</v>
      </c>
      <c r="Q3399">
        <v>2771318</v>
      </c>
      <c r="R3399">
        <v>2773219</v>
      </c>
      <c r="S3399" t="s">
        <v>16222</v>
      </c>
      <c r="T3399">
        <v>634</v>
      </c>
      <c r="U3399" t="s">
        <v>16223</v>
      </c>
      <c r="V3399">
        <v>38</v>
      </c>
      <c r="W3399" t="str">
        <f>HYPERLINK("Gene2826-zp_tree_all.dnd", "Gene2826-tree")</f>
        <v>Gene2826-tree</v>
      </c>
      <c r="X3399">
        <v>3</v>
      </c>
      <c r="Y3399">
        <v>12</v>
      </c>
      <c r="Z3399">
        <v>3</v>
      </c>
      <c r="AA3399">
        <v>12</v>
      </c>
      <c r="AB3399">
        <v>0.8</v>
      </c>
      <c r="AC3399" t="s">
        <v>324</v>
      </c>
      <c r="AD3399" t="s">
        <v>109</v>
      </c>
      <c r="AE3399" t="s">
        <v>62</v>
      </c>
      <c r="AF3399" t="s">
        <v>62</v>
      </c>
      <c r="AG3399">
        <v>20</v>
      </c>
      <c r="AH3399">
        <v>50</v>
      </c>
      <c r="AI3399">
        <v>35</v>
      </c>
      <c r="AJ3399">
        <v>0.58823999999999999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6</v>
      </c>
      <c r="AQ3399">
        <v>6</v>
      </c>
      <c r="AR3399">
        <v>12</v>
      </c>
      <c r="AS3399">
        <v>26</v>
      </c>
      <c r="AT3399">
        <v>0.31579000000000002</v>
      </c>
      <c r="AU3399">
        <v>14</v>
      </c>
      <c r="AV3399">
        <v>11</v>
      </c>
      <c r="AW3399">
        <v>62</v>
      </c>
      <c r="AX3399">
        <v>39</v>
      </c>
      <c r="AY3399">
        <v>66</v>
      </c>
      <c r="AZ3399">
        <v>49</v>
      </c>
      <c r="BA3399" t="s">
        <v>16224</v>
      </c>
      <c r="BB3399" t="s">
        <v>16225</v>
      </c>
      <c r="BC3399">
        <v>0.33400000000000002</v>
      </c>
      <c r="BD3399" t="s">
        <v>65</v>
      </c>
      <c r="BE3399">
        <v>128</v>
      </c>
      <c r="BF3399">
        <v>88</v>
      </c>
      <c r="BG3399" t="s">
        <v>16226</v>
      </c>
      <c r="BH3399" t="s">
        <v>16227</v>
      </c>
      <c r="BI3399" t="s">
        <v>16228</v>
      </c>
      <c r="BJ3399">
        <v>0.21407000000000001</v>
      </c>
      <c r="BK3399">
        <v>1</v>
      </c>
      <c r="BL3399" t="s">
        <v>69</v>
      </c>
      <c r="BM3399">
        <v>0.16700000000000001</v>
      </c>
      <c r="BN3399">
        <v>0.443</v>
      </c>
    </row>
    <row r="3400" spans="10:66">
      <c r="J3400">
        <v>0</v>
      </c>
      <c r="K3400">
        <v>2</v>
      </c>
      <c r="L3400">
        <v>0</v>
      </c>
      <c r="M3400" t="s">
        <v>25021</v>
      </c>
      <c r="N3400">
        <v>2827</v>
      </c>
      <c r="O3400" t="s">
        <v>16229</v>
      </c>
      <c r="P3400" t="s">
        <v>57</v>
      </c>
      <c r="Q3400">
        <v>2773356</v>
      </c>
      <c r="R3400">
        <v>2773643</v>
      </c>
      <c r="S3400" t="s">
        <v>116</v>
      </c>
      <c r="T3400">
        <v>96</v>
      </c>
      <c r="U3400" t="s">
        <v>16230</v>
      </c>
      <c r="V3400">
        <v>35</v>
      </c>
      <c r="W3400" t="str">
        <f>HYPERLINK("Gene2827-zp_tree_all.dnd", "Gene2827-tree")</f>
        <v>Gene2827-tree</v>
      </c>
      <c r="X3400">
        <v>4</v>
      </c>
      <c r="Y3400">
        <v>3</v>
      </c>
      <c r="Z3400">
        <v>4</v>
      </c>
      <c r="AA3400">
        <v>3</v>
      </c>
      <c r="AB3400">
        <v>0.42857000000000001</v>
      </c>
      <c r="AC3400" t="s">
        <v>61</v>
      </c>
      <c r="AD3400" t="s">
        <v>324</v>
      </c>
      <c r="AE3400" t="s">
        <v>62</v>
      </c>
      <c r="AF3400" t="s">
        <v>62</v>
      </c>
      <c r="AG3400">
        <v>1</v>
      </c>
      <c r="AH3400">
        <v>2</v>
      </c>
      <c r="AI3400">
        <v>8</v>
      </c>
      <c r="AJ3400">
        <v>0.2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4</v>
      </c>
      <c r="AT3400">
        <v>0</v>
      </c>
      <c r="AU3400">
        <v>5</v>
      </c>
      <c r="AV3400">
        <v>4</v>
      </c>
      <c r="AW3400">
        <v>11</v>
      </c>
      <c r="AX3400">
        <v>4</v>
      </c>
      <c r="AY3400">
        <v>10</v>
      </c>
      <c r="AZ3400">
        <v>6</v>
      </c>
      <c r="BA3400" t="s">
        <v>16231</v>
      </c>
      <c r="BB3400" t="s">
        <v>16232</v>
      </c>
      <c r="BC3400">
        <v>0.433</v>
      </c>
      <c r="BD3400" t="s">
        <v>65</v>
      </c>
      <c r="BE3400">
        <v>21</v>
      </c>
      <c r="BF3400">
        <v>10</v>
      </c>
      <c r="BG3400" t="s">
        <v>16233</v>
      </c>
      <c r="BH3400" t="s">
        <v>16234</v>
      </c>
      <c r="BI3400" t="s">
        <v>16235</v>
      </c>
      <c r="BJ3400">
        <v>0.13514999999999999</v>
      </c>
      <c r="BK3400">
        <v>1</v>
      </c>
      <c r="BL3400" t="s">
        <v>69</v>
      </c>
      <c r="BM3400">
        <v>0.94399999999999995</v>
      </c>
      <c r="BN3400">
        <v>1.7010000000000001</v>
      </c>
    </row>
    <row r="3401" spans="10:66">
      <c r="J3401">
        <v>0</v>
      </c>
      <c r="K3401">
        <v>0</v>
      </c>
      <c r="L3401">
        <v>0</v>
      </c>
      <c r="M3401" t="s">
        <v>25021</v>
      </c>
      <c r="N3401">
        <v>2834</v>
      </c>
      <c r="O3401" t="s">
        <v>16274</v>
      </c>
      <c r="P3401" t="s">
        <v>57</v>
      </c>
      <c r="Q3401">
        <v>2781209</v>
      </c>
      <c r="R3401">
        <v>2784148</v>
      </c>
      <c r="S3401" t="s">
        <v>16275</v>
      </c>
      <c r="T3401">
        <v>980</v>
      </c>
      <c r="U3401" t="s">
        <v>265</v>
      </c>
      <c r="V3401">
        <v>43</v>
      </c>
      <c r="W3401" t="str">
        <f>HYPERLINK("Gene2834-zp_tree_all.dnd", "Gene2834-tree")</f>
        <v>Gene2834-tree</v>
      </c>
      <c r="X3401">
        <v>6</v>
      </c>
      <c r="Y3401">
        <v>9</v>
      </c>
      <c r="Z3401">
        <v>6</v>
      </c>
      <c r="AA3401">
        <v>9</v>
      </c>
      <c r="AB3401">
        <v>0.6</v>
      </c>
      <c r="AC3401" t="s">
        <v>90</v>
      </c>
      <c r="AD3401" t="s">
        <v>135</v>
      </c>
      <c r="AE3401" t="s">
        <v>62</v>
      </c>
      <c r="AF3401" t="s">
        <v>62</v>
      </c>
      <c r="AG3401">
        <v>0</v>
      </c>
      <c r="AH3401">
        <v>0</v>
      </c>
      <c r="AI3401">
        <v>14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11</v>
      </c>
      <c r="AT3401">
        <v>0</v>
      </c>
      <c r="AU3401">
        <v>14</v>
      </c>
      <c r="AV3401">
        <v>12</v>
      </c>
      <c r="AW3401">
        <v>71</v>
      </c>
      <c r="AX3401">
        <v>9</v>
      </c>
      <c r="AY3401">
        <v>87</v>
      </c>
      <c r="AZ3401">
        <v>5</v>
      </c>
      <c r="BA3401" t="s">
        <v>16276</v>
      </c>
      <c r="BB3401" t="s">
        <v>16277</v>
      </c>
      <c r="BC3401">
        <v>0.92900000000000005</v>
      </c>
      <c r="BD3401" t="s">
        <v>65</v>
      </c>
      <c r="BE3401">
        <v>158</v>
      </c>
      <c r="BF3401">
        <v>14</v>
      </c>
      <c r="BG3401" t="s">
        <v>16278</v>
      </c>
      <c r="BH3401" t="s">
        <v>16279</v>
      </c>
      <c r="BI3401" t="s">
        <v>16280</v>
      </c>
      <c r="BJ3401">
        <v>2.7910000000000001E-2</v>
      </c>
      <c r="BK3401">
        <v>1</v>
      </c>
      <c r="BL3401" t="s">
        <v>69</v>
      </c>
      <c r="BM3401">
        <v>-0.69299999999999995</v>
      </c>
      <c r="BN3401">
        <v>-1.0409999999999999</v>
      </c>
    </row>
    <row r="3402" spans="10:66">
      <c r="J3402">
        <v>0</v>
      </c>
      <c r="K3402">
        <v>0</v>
      </c>
      <c r="L3402">
        <v>0</v>
      </c>
      <c r="M3402" t="s">
        <v>25021</v>
      </c>
      <c r="N3402">
        <v>2835</v>
      </c>
      <c r="O3402" t="s">
        <v>16281</v>
      </c>
      <c r="P3402" t="s">
        <v>57</v>
      </c>
      <c r="Q3402">
        <v>2784170</v>
      </c>
      <c r="R3402">
        <v>2784649</v>
      </c>
      <c r="S3402" t="s">
        <v>116</v>
      </c>
      <c r="T3402">
        <v>160</v>
      </c>
      <c r="U3402" t="s">
        <v>108</v>
      </c>
      <c r="V3402">
        <v>44</v>
      </c>
      <c r="W3402" t="str">
        <f>HYPERLINK("Gene2835-zp_tree_all.dnd", "Gene2835-tree")</f>
        <v>Gene2835-tree</v>
      </c>
      <c r="X3402">
        <v>13</v>
      </c>
      <c r="Y3402">
        <v>0</v>
      </c>
      <c r="Z3402">
        <v>13</v>
      </c>
      <c r="AA3402">
        <v>0</v>
      </c>
      <c r="AB3402">
        <v>0</v>
      </c>
      <c r="AC3402" t="s">
        <v>507</v>
      </c>
      <c r="AD3402" t="s">
        <v>62</v>
      </c>
      <c r="AE3402" t="s">
        <v>62</v>
      </c>
      <c r="AF3402" t="s">
        <v>62</v>
      </c>
      <c r="AG3402">
        <v>0</v>
      </c>
      <c r="AH3402">
        <v>0</v>
      </c>
      <c r="AI3402">
        <v>2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11</v>
      </c>
      <c r="AV3402">
        <v>3</v>
      </c>
      <c r="AW3402">
        <v>13</v>
      </c>
      <c r="AX3402">
        <v>0</v>
      </c>
      <c r="AY3402">
        <v>4</v>
      </c>
      <c r="AZ3402">
        <v>2</v>
      </c>
      <c r="BA3402" t="s">
        <v>193</v>
      </c>
      <c r="BB3402" t="s">
        <v>16282</v>
      </c>
      <c r="BC3402">
        <v>2.76</v>
      </c>
      <c r="BD3402" t="s">
        <v>65</v>
      </c>
      <c r="BE3402">
        <v>17</v>
      </c>
      <c r="BF3402">
        <v>2</v>
      </c>
      <c r="BG3402" t="s">
        <v>16283</v>
      </c>
      <c r="BH3402" t="s">
        <v>16284</v>
      </c>
      <c r="BI3402" t="s">
        <v>16285</v>
      </c>
      <c r="BJ3402">
        <v>9.9680000000000005E-2</v>
      </c>
      <c r="BK3402">
        <v>0.99</v>
      </c>
      <c r="BL3402" t="s">
        <v>69</v>
      </c>
      <c r="BM3402">
        <v>-0.505</v>
      </c>
      <c r="BN3402">
        <v>-2.1850000000000001</v>
      </c>
    </row>
    <row r="3403" spans="10:66">
      <c r="J3403">
        <v>0</v>
      </c>
      <c r="K3403">
        <v>0</v>
      </c>
      <c r="L3403">
        <v>0</v>
      </c>
      <c r="M3403" t="s">
        <v>25021</v>
      </c>
      <c r="N3403">
        <v>2841</v>
      </c>
      <c r="O3403" t="s">
        <v>16318</v>
      </c>
      <c r="P3403" t="s">
        <v>57</v>
      </c>
      <c r="Q3403">
        <v>2788680</v>
      </c>
      <c r="R3403">
        <v>2788880</v>
      </c>
      <c r="S3403" t="s">
        <v>116</v>
      </c>
      <c r="T3403">
        <v>67</v>
      </c>
      <c r="U3403" t="s">
        <v>59</v>
      </c>
      <c r="V3403">
        <v>49</v>
      </c>
      <c r="W3403" t="str">
        <f>HYPERLINK("Gene2841-zp_tree_all.dnd", "Gene2841-tree")</f>
        <v>Gene2841-tree</v>
      </c>
      <c r="X3403">
        <v>11</v>
      </c>
      <c r="Y3403">
        <v>2</v>
      </c>
      <c r="Z3403">
        <v>11</v>
      </c>
      <c r="AA3403">
        <v>2</v>
      </c>
      <c r="AB3403">
        <v>0.15384999999999999</v>
      </c>
      <c r="AC3403" t="s">
        <v>73</v>
      </c>
      <c r="AD3403" t="s">
        <v>81</v>
      </c>
      <c r="AE3403" t="s">
        <v>62</v>
      </c>
      <c r="AF3403" t="s">
        <v>62</v>
      </c>
      <c r="AG3403">
        <v>0</v>
      </c>
      <c r="AH3403">
        <v>0</v>
      </c>
      <c r="AI3403">
        <v>3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11</v>
      </c>
      <c r="AV3403">
        <v>3</v>
      </c>
      <c r="AW3403">
        <v>12</v>
      </c>
      <c r="AX3403">
        <v>2</v>
      </c>
      <c r="AY3403">
        <v>4</v>
      </c>
      <c r="AZ3403">
        <v>2</v>
      </c>
      <c r="BA3403" t="s">
        <v>16319</v>
      </c>
      <c r="BB3403" t="s">
        <v>16320</v>
      </c>
      <c r="BC3403">
        <v>0.55500000000000005</v>
      </c>
      <c r="BD3403" t="s">
        <v>65</v>
      </c>
      <c r="BE3403">
        <v>16</v>
      </c>
      <c r="BF3403">
        <v>4</v>
      </c>
      <c r="BG3403" t="s">
        <v>16321</v>
      </c>
      <c r="BH3403" t="s">
        <v>16322</v>
      </c>
      <c r="BI3403" t="s">
        <v>16323</v>
      </c>
      <c r="BJ3403">
        <v>8.1019999999999995E-2</v>
      </c>
      <c r="BK3403">
        <v>1</v>
      </c>
      <c r="BL3403" t="s">
        <v>69</v>
      </c>
      <c r="BM3403">
        <v>-0.623</v>
      </c>
      <c r="BN3403">
        <v>-0.35099999999999998</v>
      </c>
    </row>
    <row r="3404" spans="10:66">
      <c r="J3404">
        <v>0</v>
      </c>
      <c r="K3404">
        <v>8</v>
      </c>
      <c r="L3404">
        <v>0</v>
      </c>
      <c r="M3404" t="s">
        <v>25021</v>
      </c>
      <c r="N3404">
        <v>2855</v>
      </c>
      <c r="O3404" t="s">
        <v>16405</v>
      </c>
      <c r="P3404" t="s">
        <v>57</v>
      </c>
      <c r="Q3404">
        <v>2802358</v>
      </c>
      <c r="R3404">
        <v>2803083</v>
      </c>
      <c r="S3404" t="s">
        <v>16406</v>
      </c>
      <c r="T3404">
        <v>242</v>
      </c>
      <c r="U3404" t="s">
        <v>108</v>
      </c>
      <c r="V3404">
        <v>44</v>
      </c>
      <c r="W3404" t="str">
        <f>HYPERLINK("Gene2855-zp_tree_all.dnd", "Gene2855-tree")</f>
        <v>Gene2855-tree</v>
      </c>
      <c r="X3404">
        <v>9</v>
      </c>
      <c r="Y3404">
        <v>4</v>
      </c>
      <c r="Z3404">
        <v>9</v>
      </c>
      <c r="AA3404">
        <v>4</v>
      </c>
      <c r="AB3404">
        <v>0.30769000000000002</v>
      </c>
      <c r="AC3404" t="s">
        <v>135</v>
      </c>
      <c r="AD3404" t="s">
        <v>61</v>
      </c>
      <c r="AE3404" t="s">
        <v>62</v>
      </c>
      <c r="AF3404" t="s">
        <v>62</v>
      </c>
      <c r="AG3404">
        <v>4</v>
      </c>
      <c r="AH3404">
        <v>8</v>
      </c>
      <c r="AI3404">
        <v>8</v>
      </c>
      <c r="AJ3404">
        <v>0.5</v>
      </c>
      <c r="AK3404">
        <v>0</v>
      </c>
      <c r="AL3404">
        <v>0</v>
      </c>
      <c r="AM3404">
        <v>0</v>
      </c>
      <c r="AN3404">
        <v>3</v>
      </c>
      <c r="AO3404">
        <v>0</v>
      </c>
      <c r="AP3404">
        <v>0</v>
      </c>
      <c r="AQ3404">
        <v>0</v>
      </c>
      <c r="AR3404">
        <v>0</v>
      </c>
      <c r="AS3404">
        <v>8</v>
      </c>
      <c r="AT3404">
        <v>0</v>
      </c>
      <c r="AU3404">
        <v>10</v>
      </c>
      <c r="AV3404">
        <v>6</v>
      </c>
      <c r="AW3404">
        <v>25</v>
      </c>
      <c r="AX3404">
        <v>8</v>
      </c>
      <c r="AY3404">
        <v>9</v>
      </c>
      <c r="AZ3404">
        <v>8</v>
      </c>
      <c r="BA3404" t="s">
        <v>16407</v>
      </c>
      <c r="BB3404" t="s">
        <v>16408</v>
      </c>
      <c r="BC3404">
        <v>1.774</v>
      </c>
      <c r="BD3404" t="s">
        <v>65</v>
      </c>
      <c r="BE3404">
        <v>34</v>
      </c>
      <c r="BF3404">
        <v>16</v>
      </c>
      <c r="BG3404" t="s">
        <v>16409</v>
      </c>
      <c r="BH3404" t="s">
        <v>16410</v>
      </c>
      <c r="BI3404" t="s">
        <v>16411</v>
      </c>
      <c r="BJ3404">
        <v>0.16508</v>
      </c>
      <c r="BK3404">
        <v>1</v>
      </c>
      <c r="BL3404" t="s">
        <v>69</v>
      </c>
      <c r="BM3404">
        <v>-0.68400000000000005</v>
      </c>
      <c r="BN3404">
        <v>-0.17199999999999999</v>
      </c>
    </row>
    <row r="3405" spans="10:66">
      <c r="J3405">
        <v>0</v>
      </c>
      <c r="K3405">
        <v>4</v>
      </c>
      <c r="L3405">
        <v>0</v>
      </c>
      <c r="M3405" t="s">
        <v>25021</v>
      </c>
      <c r="N3405">
        <v>2856</v>
      </c>
      <c r="O3405" t="s">
        <v>16412</v>
      </c>
      <c r="P3405" t="s">
        <v>57</v>
      </c>
      <c r="Q3405">
        <v>2803108</v>
      </c>
      <c r="R3405">
        <v>2803926</v>
      </c>
      <c r="S3405" t="s">
        <v>16413</v>
      </c>
      <c r="T3405">
        <v>273</v>
      </c>
      <c r="U3405" t="s">
        <v>108</v>
      </c>
      <c r="V3405">
        <v>44</v>
      </c>
      <c r="W3405" t="str">
        <f>HYPERLINK("Gene2856-zp_tree_all.dnd", "Gene2856-tree")</f>
        <v>Gene2856-tree</v>
      </c>
      <c r="X3405">
        <v>6</v>
      </c>
      <c r="Y3405">
        <v>5</v>
      </c>
      <c r="Z3405">
        <v>6</v>
      </c>
      <c r="AA3405">
        <v>5</v>
      </c>
      <c r="AB3405">
        <v>0.45455000000000001</v>
      </c>
      <c r="AC3405" t="s">
        <v>90</v>
      </c>
      <c r="AD3405" t="s">
        <v>199</v>
      </c>
      <c r="AE3405" t="s">
        <v>62</v>
      </c>
      <c r="AF3405" t="s">
        <v>62</v>
      </c>
      <c r="AG3405">
        <v>1</v>
      </c>
      <c r="AH3405">
        <v>4</v>
      </c>
      <c r="AI3405">
        <v>8</v>
      </c>
      <c r="AJ3405">
        <v>0.33333000000000002</v>
      </c>
      <c r="AK3405">
        <v>0</v>
      </c>
      <c r="AL3405">
        <v>0</v>
      </c>
      <c r="AM3405">
        <v>0</v>
      </c>
      <c r="AN3405">
        <v>3</v>
      </c>
      <c r="AO3405">
        <v>0</v>
      </c>
      <c r="AP3405">
        <v>2</v>
      </c>
      <c r="AQ3405">
        <v>0</v>
      </c>
      <c r="AR3405">
        <v>2</v>
      </c>
      <c r="AS3405">
        <v>5</v>
      </c>
      <c r="AT3405">
        <v>0.28571000000000002</v>
      </c>
      <c r="AU3405">
        <v>10</v>
      </c>
      <c r="AV3405">
        <v>4</v>
      </c>
      <c r="AW3405">
        <v>20</v>
      </c>
      <c r="AX3405">
        <v>7</v>
      </c>
      <c r="AY3405">
        <v>3</v>
      </c>
      <c r="AZ3405">
        <v>5</v>
      </c>
      <c r="BA3405" t="s">
        <v>16414</v>
      </c>
      <c r="BB3405" t="s">
        <v>16415</v>
      </c>
      <c r="BC3405">
        <v>0.79100000000000004</v>
      </c>
      <c r="BD3405" t="s">
        <v>65</v>
      </c>
      <c r="BE3405">
        <v>23</v>
      </c>
      <c r="BF3405">
        <v>12</v>
      </c>
      <c r="BG3405" t="s">
        <v>16416</v>
      </c>
      <c r="BH3405" t="s">
        <v>16417</v>
      </c>
      <c r="BI3405" t="s">
        <v>16418</v>
      </c>
      <c r="BJ3405">
        <v>0.17735999999999999</v>
      </c>
      <c r="BK3405">
        <v>1</v>
      </c>
      <c r="BL3405" t="s">
        <v>69</v>
      </c>
      <c r="BM3405">
        <v>-0.13200000000000001</v>
      </c>
      <c r="BN3405">
        <v>3.3000000000000002E-2</v>
      </c>
    </row>
    <row r="3406" spans="10:66">
      <c r="J3406">
        <v>0</v>
      </c>
      <c r="K3406">
        <v>9</v>
      </c>
      <c r="L3406">
        <v>2</v>
      </c>
      <c r="M3406" t="s">
        <v>25021</v>
      </c>
      <c r="N3406">
        <v>2857</v>
      </c>
      <c r="O3406" t="s">
        <v>16419</v>
      </c>
      <c r="P3406" t="s">
        <v>57</v>
      </c>
      <c r="Q3406">
        <v>2803990</v>
      </c>
      <c r="R3406">
        <v>2804637</v>
      </c>
      <c r="S3406" t="s">
        <v>16420</v>
      </c>
      <c r="T3406">
        <v>216</v>
      </c>
      <c r="U3406" t="s">
        <v>108</v>
      </c>
      <c r="V3406">
        <v>44</v>
      </c>
      <c r="W3406" t="str">
        <f>HYPERLINK("Gene2857-zp_tree_all.dnd", "Gene2857-tree")</f>
        <v>Gene2857-tree</v>
      </c>
      <c r="X3406">
        <v>6</v>
      </c>
      <c r="Y3406">
        <v>7</v>
      </c>
      <c r="Z3406">
        <v>6</v>
      </c>
      <c r="AA3406">
        <v>7</v>
      </c>
      <c r="AB3406">
        <v>0.53846000000000005</v>
      </c>
      <c r="AC3406" t="s">
        <v>90</v>
      </c>
      <c r="AD3406" t="s">
        <v>152</v>
      </c>
      <c r="AE3406" t="s">
        <v>62</v>
      </c>
      <c r="AF3406" t="s">
        <v>62</v>
      </c>
      <c r="AG3406">
        <v>5</v>
      </c>
      <c r="AH3406">
        <v>11</v>
      </c>
      <c r="AI3406">
        <v>3</v>
      </c>
      <c r="AJ3406">
        <v>0.78571000000000002</v>
      </c>
      <c r="AK3406">
        <v>0</v>
      </c>
      <c r="AL3406">
        <v>0</v>
      </c>
      <c r="AM3406">
        <v>0</v>
      </c>
      <c r="AN3406">
        <v>3</v>
      </c>
      <c r="AO3406">
        <v>0</v>
      </c>
      <c r="AP3406">
        <v>2</v>
      </c>
      <c r="AQ3406">
        <v>2</v>
      </c>
      <c r="AR3406">
        <v>4</v>
      </c>
      <c r="AS3406">
        <v>5</v>
      </c>
      <c r="AT3406">
        <v>0.44444</v>
      </c>
      <c r="AU3406">
        <v>9</v>
      </c>
      <c r="AV3406">
        <v>8</v>
      </c>
      <c r="AW3406">
        <v>11</v>
      </c>
      <c r="AX3406">
        <v>8</v>
      </c>
      <c r="AY3406">
        <v>9</v>
      </c>
      <c r="AZ3406">
        <v>6</v>
      </c>
      <c r="BA3406" t="s">
        <v>16421</v>
      </c>
      <c r="BB3406" t="s">
        <v>16422</v>
      </c>
      <c r="BC3406">
        <v>0.111</v>
      </c>
      <c r="BD3406" t="s">
        <v>65</v>
      </c>
      <c r="BE3406">
        <v>20</v>
      </c>
      <c r="BF3406">
        <v>14</v>
      </c>
      <c r="BG3406" t="s">
        <v>16423</v>
      </c>
      <c r="BH3406" t="s">
        <v>16424</v>
      </c>
      <c r="BI3406" t="s">
        <v>16425</v>
      </c>
      <c r="BJ3406">
        <v>0.16159999999999999</v>
      </c>
      <c r="BK3406">
        <v>1</v>
      </c>
      <c r="BL3406" t="s">
        <v>69</v>
      </c>
      <c r="BM3406">
        <v>-0.48099999999999998</v>
      </c>
      <c r="BN3406">
        <v>-1.298</v>
      </c>
    </row>
    <row r="3407" spans="10:66">
      <c r="J3407">
        <v>0</v>
      </c>
      <c r="K3407">
        <v>0</v>
      </c>
      <c r="L3407">
        <v>0</v>
      </c>
      <c r="M3407" t="s">
        <v>25021</v>
      </c>
      <c r="N3407">
        <v>2858</v>
      </c>
      <c r="O3407" t="s">
        <v>16426</v>
      </c>
      <c r="P3407" t="s">
        <v>57</v>
      </c>
      <c r="Q3407">
        <v>2804657</v>
      </c>
      <c r="R3407">
        <v>2805310</v>
      </c>
      <c r="S3407" t="s">
        <v>16420</v>
      </c>
      <c r="T3407">
        <v>218</v>
      </c>
      <c r="U3407" t="s">
        <v>108</v>
      </c>
      <c r="V3407">
        <v>44</v>
      </c>
      <c r="W3407" t="str">
        <f>HYPERLINK("Gene2858-zp_tree_all.dnd", "Gene2858-tree")</f>
        <v>Gene2858-tree</v>
      </c>
      <c r="X3407">
        <v>8</v>
      </c>
      <c r="Y3407">
        <v>3</v>
      </c>
      <c r="Z3407">
        <v>8</v>
      </c>
      <c r="AA3407">
        <v>3</v>
      </c>
      <c r="AB3407">
        <v>0.27272999999999997</v>
      </c>
      <c r="AC3407" t="s">
        <v>136</v>
      </c>
      <c r="AD3407" t="s">
        <v>324</v>
      </c>
      <c r="AE3407" t="s">
        <v>62</v>
      </c>
      <c r="AF3407" t="s">
        <v>62</v>
      </c>
      <c r="AG3407">
        <v>0</v>
      </c>
      <c r="AH3407">
        <v>0</v>
      </c>
      <c r="AI3407">
        <v>4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4</v>
      </c>
      <c r="AT3407">
        <v>0</v>
      </c>
      <c r="AU3407">
        <v>10</v>
      </c>
      <c r="AV3407">
        <v>5</v>
      </c>
      <c r="AW3407">
        <v>13</v>
      </c>
      <c r="AX3407">
        <v>4</v>
      </c>
      <c r="AY3407">
        <v>5</v>
      </c>
      <c r="AZ3407">
        <v>0</v>
      </c>
      <c r="BA3407" t="s">
        <v>16427</v>
      </c>
      <c r="BB3407" t="s">
        <v>193</v>
      </c>
      <c r="BC3407">
        <v>0.90900000000000003</v>
      </c>
      <c r="BD3407" t="s">
        <v>65</v>
      </c>
      <c r="BE3407">
        <v>18</v>
      </c>
      <c r="BF3407">
        <v>4</v>
      </c>
      <c r="BG3407" t="s">
        <v>16428</v>
      </c>
      <c r="BH3407" t="s">
        <v>16429</v>
      </c>
      <c r="BI3407" t="s">
        <v>16430</v>
      </c>
      <c r="BJ3407">
        <v>5.7450000000000001E-2</v>
      </c>
      <c r="BK3407">
        <v>1</v>
      </c>
      <c r="BL3407" t="s">
        <v>69</v>
      </c>
      <c r="BM3407">
        <v>-0.98299999999999998</v>
      </c>
      <c r="BN3407">
        <v>-2.0739999999999998</v>
      </c>
    </row>
    <row r="3408" spans="10:66">
      <c r="J3408">
        <v>0</v>
      </c>
      <c r="K3408">
        <v>2</v>
      </c>
      <c r="L3408">
        <v>0</v>
      </c>
      <c r="M3408" t="s">
        <v>25021</v>
      </c>
      <c r="N3408">
        <v>2867</v>
      </c>
      <c r="O3408" t="s">
        <v>16478</v>
      </c>
      <c r="P3408" t="s">
        <v>57</v>
      </c>
      <c r="Q3408">
        <v>2812336</v>
      </c>
      <c r="R3408">
        <v>2813598</v>
      </c>
      <c r="S3408" t="s">
        <v>16479</v>
      </c>
      <c r="T3408">
        <v>421</v>
      </c>
      <c r="U3408" t="s">
        <v>108</v>
      </c>
      <c r="V3408">
        <v>44</v>
      </c>
      <c r="W3408" t="str">
        <f>HYPERLINK("Gene2867-zp_tree_all.dnd", "Gene2867-tree")</f>
        <v>Gene2867-tree</v>
      </c>
      <c r="X3408">
        <v>6</v>
      </c>
      <c r="Y3408">
        <v>7</v>
      </c>
      <c r="Z3408">
        <v>6</v>
      </c>
      <c r="AA3408">
        <v>7</v>
      </c>
      <c r="AB3408">
        <v>0.53846000000000005</v>
      </c>
      <c r="AC3408" t="s">
        <v>90</v>
      </c>
      <c r="AD3408" t="s">
        <v>152</v>
      </c>
      <c r="AE3408" t="s">
        <v>62</v>
      </c>
      <c r="AF3408" t="s">
        <v>62</v>
      </c>
      <c r="AG3408">
        <v>1</v>
      </c>
      <c r="AH3408">
        <v>2</v>
      </c>
      <c r="AI3408">
        <v>9</v>
      </c>
      <c r="AJ3408">
        <v>0.18182000000000001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2</v>
      </c>
      <c r="AQ3408">
        <v>0</v>
      </c>
      <c r="AR3408">
        <v>2</v>
      </c>
      <c r="AS3408">
        <v>7</v>
      </c>
      <c r="AT3408">
        <v>0.22222</v>
      </c>
      <c r="AU3408">
        <v>12</v>
      </c>
      <c r="AV3408">
        <v>8</v>
      </c>
      <c r="AW3408">
        <v>30</v>
      </c>
      <c r="AX3408">
        <v>9</v>
      </c>
      <c r="AY3408">
        <v>30</v>
      </c>
      <c r="AZ3408">
        <v>2</v>
      </c>
      <c r="BA3408" t="s">
        <v>16480</v>
      </c>
      <c r="BB3408" t="s">
        <v>16481</v>
      </c>
      <c r="BC3408">
        <v>1.6220000000000001</v>
      </c>
      <c r="BD3408" t="s">
        <v>65</v>
      </c>
      <c r="BE3408">
        <v>60</v>
      </c>
      <c r="BF3408">
        <v>11</v>
      </c>
      <c r="BG3408" t="s">
        <v>16482</v>
      </c>
      <c r="BH3408" t="s">
        <v>16483</v>
      </c>
      <c r="BI3408" t="s">
        <v>16484</v>
      </c>
      <c r="BJ3408">
        <v>5.0340000000000003E-2</v>
      </c>
      <c r="BK3408">
        <v>1</v>
      </c>
      <c r="BL3408" t="s">
        <v>69</v>
      </c>
      <c r="BM3408">
        <v>-0.49099999999999999</v>
      </c>
      <c r="BN3408">
        <v>-0.97299999999999998</v>
      </c>
    </row>
    <row r="3409" spans="10:66">
      <c r="J3409">
        <v>0</v>
      </c>
      <c r="K3409">
        <v>2</v>
      </c>
      <c r="L3409">
        <v>0</v>
      </c>
      <c r="M3409" t="s">
        <v>25021</v>
      </c>
      <c r="N3409">
        <v>2872</v>
      </c>
      <c r="O3409" t="s">
        <v>16512</v>
      </c>
      <c r="P3409" t="s">
        <v>57</v>
      </c>
      <c r="Q3409">
        <v>2818494</v>
      </c>
      <c r="R3409">
        <v>2820047</v>
      </c>
      <c r="S3409" t="s">
        <v>16513</v>
      </c>
      <c r="T3409">
        <v>518</v>
      </c>
      <c r="U3409" t="s">
        <v>108</v>
      </c>
      <c r="V3409">
        <v>44</v>
      </c>
      <c r="W3409" t="str">
        <f>HYPERLINK("Gene2872-zp_tree_all.dnd", "Gene2872-tree")</f>
        <v>Gene2872-tree</v>
      </c>
      <c r="X3409">
        <v>26</v>
      </c>
      <c r="Y3409">
        <v>7</v>
      </c>
      <c r="Z3409">
        <v>6</v>
      </c>
      <c r="AA3409">
        <v>7</v>
      </c>
      <c r="AB3409">
        <v>0.53846000000000005</v>
      </c>
      <c r="AC3409" t="s">
        <v>1030</v>
      </c>
      <c r="AD3409" t="s">
        <v>152</v>
      </c>
      <c r="AE3409" t="s">
        <v>62</v>
      </c>
      <c r="AF3409" t="s">
        <v>62</v>
      </c>
      <c r="AG3409">
        <v>1</v>
      </c>
      <c r="AH3409">
        <v>2</v>
      </c>
      <c r="AI3409">
        <v>18</v>
      </c>
      <c r="AJ3409">
        <v>0.1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0</v>
      </c>
      <c r="AS3409">
        <v>15</v>
      </c>
      <c r="AT3409">
        <v>0</v>
      </c>
      <c r="AU3409">
        <v>8</v>
      </c>
      <c r="AV3409">
        <v>8</v>
      </c>
      <c r="AW3409">
        <v>22</v>
      </c>
      <c r="AX3409">
        <v>15</v>
      </c>
      <c r="AY3409">
        <v>19</v>
      </c>
      <c r="AZ3409">
        <v>5</v>
      </c>
      <c r="BA3409" t="s">
        <v>16514</v>
      </c>
      <c r="BB3409" t="s">
        <v>16515</v>
      </c>
      <c r="BC3409">
        <v>0.74399999999999999</v>
      </c>
      <c r="BD3409" t="s">
        <v>65</v>
      </c>
      <c r="BE3409">
        <v>41</v>
      </c>
      <c r="BF3409">
        <v>20</v>
      </c>
      <c r="BG3409" t="s">
        <v>16516</v>
      </c>
      <c r="BH3409" t="s">
        <v>16517</v>
      </c>
      <c r="BI3409" t="s">
        <v>16518</v>
      </c>
      <c r="BJ3409">
        <v>0.13755999999999999</v>
      </c>
      <c r="BK3409">
        <v>1</v>
      </c>
      <c r="BL3409" t="s">
        <v>69</v>
      </c>
      <c r="BM3409">
        <v>-0.97</v>
      </c>
      <c r="BN3409">
        <v>-1.853</v>
      </c>
    </row>
    <row r="3410" spans="10:66">
      <c r="J3410">
        <v>0</v>
      </c>
      <c r="K3410">
        <v>4</v>
      </c>
      <c r="L3410">
        <v>0</v>
      </c>
      <c r="M3410" t="s">
        <v>25021</v>
      </c>
      <c r="N3410">
        <v>2881</v>
      </c>
      <c r="O3410" t="s">
        <v>16574</v>
      </c>
      <c r="P3410" t="s">
        <v>57</v>
      </c>
      <c r="Q3410">
        <v>2829564</v>
      </c>
      <c r="R3410">
        <v>2831117</v>
      </c>
      <c r="S3410" t="s">
        <v>16575</v>
      </c>
      <c r="T3410">
        <v>518</v>
      </c>
      <c r="U3410" t="s">
        <v>108</v>
      </c>
      <c r="V3410">
        <v>44</v>
      </c>
      <c r="W3410" t="str">
        <f>HYPERLINK("Gene2881-zp_tree_all.dnd", "Gene2881-tree")</f>
        <v>Gene2881-tree</v>
      </c>
      <c r="X3410">
        <v>8</v>
      </c>
      <c r="Y3410">
        <v>4</v>
      </c>
      <c r="Z3410">
        <v>8</v>
      </c>
      <c r="AA3410">
        <v>4</v>
      </c>
      <c r="AB3410">
        <v>0.33333000000000002</v>
      </c>
      <c r="AC3410" t="s">
        <v>136</v>
      </c>
      <c r="AD3410" t="s">
        <v>61</v>
      </c>
      <c r="AE3410" t="s">
        <v>62</v>
      </c>
      <c r="AF3410" t="s">
        <v>62</v>
      </c>
      <c r="AG3410">
        <v>2</v>
      </c>
      <c r="AH3410">
        <v>4</v>
      </c>
      <c r="AI3410">
        <v>7</v>
      </c>
      <c r="AJ3410">
        <v>0.36364000000000002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5</v>
      </c>
      <c r="AT3410">
        <v>0</v>
      </c>
      <c r="AU3410">
        <v>11</v>
      </c>
      <c r="AV3410">
        <v>8</v>
      </c>
      <c r="AW3410">
        <v>38</v>
      </c>
      <c r="AX3410">
        <v>5</v>
      </c>
      <c r="AY3410">
        <v>21</v>
      </c>
      <c r="AZ3410">
        <v>6</v>
      </c>
      <c r="BA3410" t="s">
        <v>16576</v>
      </c>
      <c r="BB3410" t="s">
        <v>16577</v>
      </c>
      <c r="BC3410">
        <v>0.73699999999999999</v>
      </c>
      <c r="BD3410" t="s">
        <v>65</v>
      </c>
      <c r="BE3410">
        <v>59</v>
      </c>
      <c r="BF3410">
        <v>11</v>
      </c>
      <c r="BG3410" t="s">
        <v>16578</v>
      </c>
      <c r="BH3410" t="s">
        <v>16579</v>
      </c>
      <c r="BI3410" t="s">
        <v>14603</v>
      </c>
      <c r="BJ3410">
        <v>6.8400000000000002E-2</v>
      </c>
      <c r="BK3410">
        <v>1</v>
      </c>
      <c r="BL3410" t="s">
        <v>69</v>
      </c>
      <c r="BM3410">
        <v>0.34399999999999997</v>
      </c>
      <c r="BN3410">
        <v>-0.6</v>
      </c>
    </row>
    <row r="3411" spans="10:66">
      <c r="J3411">
        <v>0</v>
      </c>
      <c r="K3411">
        <v>2</v>
      </c>
      <c r="L3411">
        <v>0</v>
      </c>
      <c r="M3411" t="s">
        <v>25021</v>
      </c>
      <c r="N3411">
        <v>2883</v>
      </c>
      <c r="O3411" t="s">
        <v>16586</v>
      </c>
      <c r="P3411" t="s">
        <v>57</v>
      </c>
      <c r="Q3411">
        <v>2831915</v>
      </c>
      <c r="R3411">
        <v>2832364</v>
      </c>
      <c r="S3411" t="s">
        <v>2569</v>
      </c>
      <c r="T3411">
        <v>150</v>
      </c>
      <c r="U3411" t="s">
        <v>2513</v>
      </c>
      <c r="V3411">
        <v>43</v>
      </c>
      <c r="W3411" t="str">
        <f>HYPERLINK("Gene2883-zp_tree_all.dnd", "Gene2883-tree")</f>
        <v>Gene2883-tree</v>
      </c>
      <c r="X3411">
        <v>5</v>
      </c>
      <c r="Y3411">
        <v>5</v>
      </c>
      <c r="Z3411">
        <v>5</v>
      </c>
      <c r="AA3411">
        <v>5</v>
      </c>
      <c r="AB3411">
        <v>0.5</v>
      </c>
      <c r="AC3411" t="s">
        <v>199</v>
      </c>
      <c r="AD3411" t="s">
        <v>199</v>
      </c>
      <c r="AE3411" t="s">
        <v>62</v>
      </c>
      <c r="AF3411" t="s">
        <v>62</v>
      </c>
      <c r="AG3411">
        <v>1</v>
      </c>
      <c r="AH3411">
        <v>2</v>
      </c>
      <c r="AI3411">
        <v>6</v>
      </c>
      <c r="AJ3411">
        <v>0.25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0</v>
      </c>
      <c r="AR3411">
        <v>0</v>
      </c>
      <c r="AS3411">
        <v>6</v>
      </c>
      <c r="AT3411">
        <v>0</v>
      </c>
      <c r="AU3411">
        <v>6</v>
      </c>
      <c r="AV3411">
        <v>5</v>
      </c>
      <c r="AW3411">
        <v>5</v>
      </c>
      <c r="AX3411">
        <v>3</v>
      </c>
      <c r="AY3411">
        <v>8</v>
      </c>
      <c r="AZ3411">
        <v>5</v>
      </c>
      <c r="BA3411" t="s">
        <v>16587</v>
      </c>
      <c r="BB3411" t="s">
        <v>16588</v>
      </c>
      <c r="BC3411">
        <v>3.1E-2</v>
      </c>
      <c r="BD3411" t="s">
        <v>65</v>
      </c>
      <c r="BE3411">
        <v>13</v>
      </c>
      <c r="BF3411">
        <v>8</v>
      </c>
      <c r="BG3411" t="s">
        <v>16589</v>
      </c>
      <c r="BH3411" t="s">
        <v>16590</v>
      </c>
      <c r="BI3411" t="s">
        <v>16591</v>
      </c>
      <c r="BJ3411">
        <v>0.18309</v>
      </c>
      <c r="BK3411">
        <v>1</v>
      </c>
      <c r="BL3411" t="s">
        <v>69</v>
      </c>
      <c r="BM3411">
        <v>0.83899999999999997</v>
      </c>
      <c r="BN3411">
        <v>0.55000000000000004</v>
      </c>
    </row>
    <row r="3412" spans="10:66">
      <c r="J3412">
        <v>0</v>
      </c>
      <c r="K3412">
        <v>0</v>
      </c>
      <c r="L3412">
        <v>0</v>
      </c>
      <c r="M3412" t="s">
        <v>25021</v>
      </c>
      <c r="N3412">
        <v>2893</v>
      </c>
      <c r="O3412" t="s">
        <v>16652</v>
      </c>
      <c r="P3412" t="s">
        <v>57</v>
      </c>
      <c r="Q3412">
        <v>2840110</v>
      </c>
      <c r="R3412">
        <v>2840754</v>
      </c>
      <c r="S3412" t="s">
        <v>16653</v>
      </c>
      <c r="T3412">
        <v>215</v>
      </c>
      <c r="U3412" t="s">
        <v>409</v>
      </c>
      <c r="V3412">
        <v>45</v>
      </c>
      <c r="W3412" t="str">
        <f>HYPERLINK("Gene2893-zp_tree_all.dnd", "Gene2893-tree")</f>
        <v>Gene2893-tree</v>
      </c>
      <c r="X3412">
        <v>4</v>
      </c>
      <c r="Y3412">
        <v>7</v>
      </c>
      <c r="Z3412">
        <v>4</v>
      </c>
      <c r="AA3412">
        <v>7</v>
      </c>
      <c r="AB3412">
        <v>0.63636000000000004</v>
      </c>
      <c r="AC3412" t="s">
        <v>61</v>
      </c>
      <c r="AD3412" t="s">
        <v>152</v>
      </c>
      <c r="AE3412" t="s">
        <v>62</v>
      </c>
      <c r="AF3412" t="s">
        <v>62</v>
      </c>
      <c r="AG3412">
        <v>0</v>
      </c>
      <c r="AH3412">
        <v>0</v>
      </c>
      <c r="AI3412">
        <v>9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8</v>
      </c>
      <c r="AT3412">
        <v>0</v>
      </c>
      <c r="AU3412">
        <v>9</v>
      </c>
      <c r="AV3412">
        <v>3</v>
      </c>
      <c r="AW3412">
        <v>31</v>
      </c>
      <c r="AX3412">
        <v>8</v>
      </c>
      <c r="AY3412">
        <v>17</v>
      </c>
      <c r="AZ3412">
        <v>1</v>
      </c>
      <c r="BA3412" t="s">
        <v>16654</v>
      </c>
      <c r="BB3412" t="s">
        <v>16655</v>
      </c>
      <c r="BC3412">
        <v>0.68100000000000005</v>
      </c>
      <c r="BD3412" t="s">
        <v>65</v>
      </c>
      <c r="BE3412">
        <v>48</v>
      </c>
      <c r="BF3412">
        <v>9</v>
      </c>
      <c r="BG3412" t="s">
        <v>16656</v>
      </c>
      <c r="BH3412" t="s">
        <v>16657</v>
      </c>
      <c r="BI3412" t="s">
        <v>16658</v>
      </c>
      <c r="BJ3412">
        <v>4.2549999999999998E-2</v>
      </c>
      <c r="BK3412">
        <v>1</v>
      </c>
      <c r="BL3412" t="s">
        <v>69</v>
      </c>
      <c r="BM3412">
        <v>-1.98</v>
      </c>
      <c r="BN3412">
        <v>-2.4630000000000001</v>
      </c>
    </row>
    <row r="3413" spans="10:66">
      <c r="J3413">
        <v>0</v>
      </c>
      <c r="K3413">
        <v>0</v>
      </c>
      <c r="L3413">
        <v>0</v>
      </c>
      <c r="M3413" t="s">
        <v>25021</v>
      </c>
      <c r="N3413">
        <v>2896</v>
      </c>
      <c r="O3413" t="s">
        <v>16664</v>
      </c>
      <c r="P3413" t="s">
        <v>57</v>
      </c>
      <c r="Q3413">
        <v>2841307</v>
      </c>
      <c r="R3413">
        <v>2841444</v>
      </c>
      <c r="S3413" t="s">
        <v>2302</v>
      </c>
      <c r="T3413">
        <v>46</v>
      </c>
      <c r="U3413" t="s">
        <v>108</v>
      </c>
      <c r="V3413">
        <v>44</v>
      </c>
      <c r="W3413" t="str">
        <f>HYPERLINK("Gene2896-zp_tree_all.dnd", "Gene2896-tree")</f>
        <v>Gene2896-tree</v>
      </c>
      <c r="X3413">
        <v>38</v>
      </c>
      <c r="Y3413">
        <v>1</v>
      </c>
      <c r="Z3413">
        <v>6</v>
      </c>
      <c r="AA3413">
        <v>1</v>
      </c>
      <c r="AB3413">
        <v>0.14285999999999999</v>
      </c>
      <c r="AC3413" t="s">
        <v>8639</v>
      </c>
      <c r="AD3413" t="s">
        <v>175</v>
      </c>
      <c r="AE3413" t="s">
        <v>62</v>
      </c>
      <c r="AF3413" t="s">
        <v>62</v>
      </c>
      <c r="AG3413">
        <v>0</v>
      </c>
      <c r="AH3413">
        <v>0</v>
      </c>
      <c r="AI3413">
        <v>2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4</v>
      </c>
      <c r="AV3413">
        <v>2</v>
      </c>
      <c r="AW3413">
        <v>5</v>
      </c>
      <c r="AX3413">
        <v>1</v>
      </c>
      <c r="AY3413">
        <v>1</v>
      </c>
      <c r="AZ3413">
        <v>1</v>
      </c>
      <c r="BA3413" t="s">
        <v>16665</v>
      </c>
      <c r="BB3413" t="s">
        <v>16666</v>
      </c>
      <c r="BC3413">
        <v>0.55400000000000005</v>
      </c>
      <c r="BD3413" t="s">
        <v>65</v>
      </c>
      <c r="BE3413">
        <v>6</v>
      </c>
      <c r="BF3413">
        <v>2</v>
      </c>
      <c r="BG3413" t="s">
        <v>16667</v>
      </c>
      <c r="BH3413" t="s">
        <v>16668</v>
      </c>
      <c r="BI3413" t="s">
        <v>16669</v>
      </c>
      <c r="BJ3413">
        <v>0.10426000000000001</v>
      </c>
      <c r="BK3413">
        <v>0.98899999999999999</v>
      </c>
      <c r="BL3413" t="s">
        <v>69</v>
      </c>
      <c r="BM3413">
        <v>-1.429</v>
      </c>
      <c r="BN3413">
        <v>-0.77600000000000002</v>
      </c>
    </row>
    <row r="3414" spans="10:66">
      <c r="J3414">
        <v>0</v>
      </c>
      <c r="K3414">
        <v>8</v>
      </c>
      <c r="L3414">
        <v>0</v>
      </c>
      <c r="M3414" t="s">
        <v>25021</v>
      </c>
      <c r="N3414">
        <v>2897</v>
      </c>
      <c r="O3414" t="s">
        <v>16670</v>
      </c>
      <c r="P3414" t="s">
        <v>57</v>
      </c>
      <c r="Q3414">
        <v>2841611</v>
      </c>
      <c r="R3414">
        <v>2843062</v>
      </c>
      <c r="S3414" t="s">
        <v>16671</v>
      </c>
      <c r="T3414">
        <v>484</v>
      </c>
      <c r="U3414" t="s">
        <v>108</v>
      </c>
      <c r="V3414">
        <v>44</v>
      </c>
      <c r="W3414" t="str">
        <f>HYPERLINK("Gene2897-zp_tree_all.dnd", "Gene2897-tree")</f>
        <v>Gene2897-tree</v>
      </c>
      <c r="X3414">
        <v>5</v>
      </c>
      <c r="Y3414">
        <v>8</v>
      </c>
      <c r="Z3414">
        <v>5</v>
      </c>
      <c r="AA3414">
        <v>8</v>
      </c>
      <c r="AB3414">
        <v>0.61538000000000004</v>
      </c>
      <c r="AC3414" t="s">
        <v>199</v>
      </c>
      <c r="AD3414" t="s">
        <v>136</v>
      </c>
      <c r="AE3414" t="s">
        <v>62</v>
      </c>
      <c r="AF3414" t="s">
        <v>62</v>
      </c>
      <c r="AG3414">
        <v>3</v>
      </c>
      <c r="AH3414">
        <v>8</v>
      </c>
      <c r="AI3414">
        <v>10</v>
      </c>
      <c r="AJ3414">
        <v>0.44444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2</v>
      </c>
      <c r="AQ3414">
        <v>0</v>
      </c>
      <c r="AR3414">
        <v>2</v>
      </c>
      <c r="AS3414">
        <v>10</v>
      </c>
      <c r="AT3414">
        <v>0.16667000000000001</v>
      </c>
      <c r="AU3414">
        <v>12</v>
      </c>
      <c r="AV3414">
        <v>9</v>
      </c>
      <c r="AW3414">
        <v>36</v>
      </c>
      <c r="AX3414">
        <v>14</v>
      </c>
      <c r="AY3414">
        <v>21</v>
      </c>
      <c r="AZ3414">
        <v>6</v>
      </c>
      <c r="BA3414" t="s">
        <v>16672</v>
      </c>
      <c r="BB3414" t="s">
        <v>16673</v>
      </c>
      <c r="BC3414">
        <v>0.34100000000000003</v>
      </c>
      <c r="BD3414" t="s">
        <v>65</v>
      </c>
      <c r="BE3414">
        <v>57</v>
      </c>
      <c r="BF3414">
        <v>20</v>
      </c>
      <c r="BG3414" t="s">
        <v>16674</v>
      </c>
      <c r="BH3414" t="s">
        <v>16675</v>
      </c>
      <c r="BI3414" t="s">
        <v>16676</v>
      </c>
      <c r="BJ3414">
        <v>9.8150000000000001E-2</v>
      </c>
      <c r="BK3414">
        <v>1</v>
      </c>
      <c r="BL3414" t="s">
        <v>69</v>
      </c>
      <c r="BM3414">
        <v>-0.95799999999999996</v>
      </c>
      <c r="BN3414">
        <v>-1.0629999999999999</v>
      </c>
    </row>
    <row r="3415" spans="10:66">
      <c r="J3415">
        <v>0</v>
      </c>
      <c r="K3415">
        <v>0</v>
      </c>
      <c r="L3415">
        <v>2</v>
      </c>
      <c r="M3415" t="s">
        <v>25021</v>
      </c>
      <c r="N3415">
        <v>2904</v>
      </c>
      <c r="O3415" t="s">
        <v>16718</v>
      </c>
      <c r="P3415" t="s">
        <v>57</v>
      </c>
      <c r="Q3415">
        <v>2849569</v>
      </c>
      <c r="R3415">
        <v>2850753</v>
      </c>
      <c r="S3415" t="s">
        <v>16719</v>
      </c>
      <c r="T3415">
        <v>395</v>
      </c>
      <c r="U3415" t="s">
        <v>108</v>
      </c>
      <c r="V3415">
        <v>44</v>
      </c>
      <c r="W3415" t="str">
        <f>HYPERLINK("Gene2904-zp_tree_all.dnd", "Gene2904-tree")</f>
        <v>Gene2904-tree</v>
      </c>
      <c r="X3415">
        <v>4</v>
      </c>
      <c r="Y3415">
        <v>9</v>
      </c>
      <c r="Z3415">
        <v>4</v>
      </c>
      <c r="AA3415">
        <v>9</v>
      </c>
      <c r="AB3415">
        <v>0.69230999999999998</v>
      </c>
      <c r="AC3415" t="s">
        <v>61</v>
      </c>
      <c r="AD3415" t="s">
        <v>135</v>
      </c>
      <c r="AE3415" t="s">
        <v>62</v>
      </c>
      <c r="AF3415" t="s">
        <v>62</v>
      </c>
      <c r="AG3415">
        <v>1</v>
      </c>
      <c r="AH3415">
        <v>2</v>
      </c>
      <c r="AI3415">
        <v>24</v>
      </c>
      <c r="AJ3415">
        <v>7.6920000000000002E-2</v>
      </c>
      <c r="AK3415">
        <v>0</v>
      </c>
      <c r="AL3415">
        <v>0</v>
      </c>
      <c r="AM3415">
        <v>0</v>
      </c>
      <c r="AN3415">
        <v>3</v>
      </c>
      <c r="AO3415">
        <v>0</v>
      </c>
      <c r="AP3415">
        <v>0</v>
      </c>
      <c r="AQ3415">
        <v>2</v>
      </c>
      <c r="AR3415">
        <v>2</v>
      </c>
      <c r="AS3415">
        <v>15</v>
      </c>
      <c r="AT3415">
        <v>0.11765</v>
      </c>
      <c r="AU3415">
        <v>11</v>
      </c>
      <c r="AV3415">
        <v>7</v>
      </c>
      <c r="AW3415">
        <v>18</v>
      </c>
      <c r="AX3415">
        <v>17</v>
      </c>
      <c r="AY3415">
        <v>13</v>
      </c>
      <c r="AZ3415">
        <v>9</v>
      </c>
      <c r="BA3415" t="s">
        <v>16720</v>
      </c>
      <c r="BB3415" t="s">
        <v>16721</v>
      </c>
      <c r="BC3415">
        <v>0.248</v>
      </c>
      <c r="BD3415" t="s">
        <v>65</v>
      </c>
      <c r="BE3415">
        <v>31</v>
      </c>
      <c r="BF3415">
        <v>26</v>
      </c>
      <c r="BG3415" t="s">
        <v>16722</v>
      </c>
      <c r="BH3415" t="s">
        <v>16723</v>
      </c>
      <c r="BI3415" t="s">
        <v>16724</v>
      </c>
      <c r="BJ3415">
        <v>0.23285</v>
      </c>
      <c r="BK3415">
        <v>1</v>
      </c>
      <c r="BL3415" t="s">
        <v>69</v>
      </c>
      <c r="BM3415">
        <v>-1.022</v>
      </c>
      <c r="BN3415">
        <v>-2.1190000000000002</v>
      </c>
    </row>
    <row r="3416" spans="10:66">
      <c r="J3416">
        <v>0</v>
      </c>
      <c r="K3416">
        <v>0</v>
      </c>
      <c r="L3416">
        <v>0</v>
      </c>
      <c r="M3416" t="s">
        <v>25021</v>
      </c>
      <c r="N3416">
        <v>2905</v>
      </c>
      <c r="O3416" t="s">
        <v>16725</v>
      </c>
      <c r="P3416" t="s">
        <v>57</v>
      </c>
      <c r="Q3416">
        <v>2850716</v>
      </c>
      <c r="R3416">
        <v>2851255</v>
      </c>
      <c r="S3416" t="s">
        <v>16726</v>
      </c>
      <c r="T3416">
        <v>180</v>
      </c>
      <c r="U3416" t="s">
        <v>265</v>
      </c>
      <c r="V3416">
        <v>43</v>
      </c>
      <c r="W3416" t="str">
        <f>HYPERLINK("Gene2905-zp_tree_all.dnd", "Gene2905-tree")</f>
        <v>Gene2905-tree</v>
      </c>
      <c r="X3416">
        <v>7</v>
      </c>
      <c r="Y3416">
        <v>2</v>
      </c>
      <c r="Z3416">
        <v>7</v>
      </c>
      <c r="AA3416">
        <v>2</v>
      </c>
      <c r="AB3416">
        <v>0.22222</v>
      </c>
      <c r="AC3416" t="s">
        <v>152</v>
      </c>
      <c r="AD3416" t="s">
        <v>81</v>
      </c>
      <c r="AE3416" t="s">
        <v>62</v>
      </c>
      <c r="AF3416" t="s">
        <v>62</v>
      </c>
      <c r="AG3416">
        <v>0</v>
      </c>
      <c r="AH3416">
        <v>0</v>
      </c>
      <c r="AI3416">
        <v>4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3</v>
      </c>
      <c r="AT3416">
        <v>0</v>
      </c>
      <c r="AU3416">
        <v>7</v>
      </c>
      <c r="AV3416">
        <v>5</v>
      </c>
      <c r="AW3416">
        <v>10</v>
      </c>
      <c r="AX3416">
        <v>3</v>
      </c>
      <c r="AY3416">
        <v>7</v>
      </c>
      <c r="AZ3416">
        <v>1</v>
      </c>
      <c r="BA3416" t="s">
        <v>16727</v>
      </c>
      <c r="BB3416" t="s">
        <v>16728</v>
      </c>
      <c r="BC3416">
        <v>0.34799999999999998</v>
      </c>
      <c r="BD3416" t="s">
        <v>65</v>
      </c>
      <c r="BE3416">
        <v>17</v>
      </c>
      <c r="BF3416">
        <v>4</v>
      </c>
      <c r="BG3416" t="s">
        <v>16729</v>
      </c>
      <c r="BH3416" t="s">
        <v>16730</v>
      </c>
      <c r="BI3416" t="s">
        <v>16731</v>
      </c>
      <c r="BJ3416">
        <v>6.0879999999999997E-2</v>
      </c>
      <c r="BK3416">
        <v>1</v>
      </c>
      <c r="BL3416" t="s">
        <v>69</v>
      </c>
      <c r="BM3416">
        <v>-0.749</v>
      </c>
      <c r="BN3416">
        <v>-1.0509999999999999</v>
      </c>
    </row>
    <row r="3417" spans="10:66">
      <c r="J3417">
        <v>0</v>
      </c>
      <c r="K3417">
        <v>0</v>
      </c>
      <c r="L3417">
        <v>0</v>
      </c>
      <c r="M3417" t="s">
        <v>25021</v>
      </c>
      <c r="N3417">
        <v>2926</v>
      </c>
      <c r="O3417" t="s">
        <v>16857</v>
      </c>
      <c r="P3417" t="s">
        <v>57</v>
      </c>
      <c r="Q3417">
        <v>2869754</v>
      </c>
      <c r="R3417">
        <v>2869942</v>
      </c>
      <c r="S3417" t="s">
        <v>116</v>
      </c>
      <c r="T3417">
        <v>63</v>
      </c>
      <c r="U3417" t="s">
        <v>409</v>
      </c>
      <c r="V3417">
        <v>45</v>
      </c>
      <c r="W3417" t="str">
        <f>HYPERLINK("Gene2926-zp_tree_all.dnd", "Gene2926-tree")</f>
        <v>Gene2926-tree</v>
      </c>
      <c r="X3417">
        <v>3</v>
      </c>
      <c r="Y3417">
        <v>1</v>
      </c>
      <c r="Z3417">
        <v>3</v>
      </c>
      <c r="AA3417">
        <v>1</v>
      </c>
      <c r="AB3417">
        <v>0.25</v>
      </c>
      <c r="AC3417" t="s">
        <v>324</v>
      </c>
      <c r="AD3417" t="s">
        <v>175</v>
      </c>
      <c r="AE3417" t="s">
        <v>62</v>
      </c>
      <c r="AF3417" t="s">
        <v>62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2</v>
      </c>
      <c r="AV3417">
        <v>1</v>
      </c>
      <c r="AW3417">
        <v>5</v>
      </c>
      <c r="AX3417">
        <v>1</v>
      </c>
      <c r="AY3417">
        <v>1</v>
      </c>
      <c r="AZ3417">
        <v>0</v>
      </c>
      <c r="BA3417" t="s">
        <v>16858</v>
      </c>
      <c r="BB3417" t="s">
        <v>193</v>
      </c>
      <c r="BC3417">
        <v>0.70699999999999996</v>
      </c>
      <c r="BD3417" t="s">
        <v>65</v>
      </c>
      <c r="BE3417">
        <v>6</v>
      </c>
      <c r="BF3417">
        <v>1</v>
      </c>
      <c r="BG3417" t="s">
        <v>16859</v>
      </c>
      <c r="BH3417" t="s">
        <v>16860</v>
      </c>
      <c r="BI3417" t="s">
        <v>16861</v>
      </c>
      <c r="BJ3417">
        <v>5.3850000000000002E-2</v>
      </c>
      <c r="BK3417">
        <v>1</v>
      </c>
      <c r="BL3417" t="s">
        <v>69</v>
      </c>
      <c r="BM3417">
        <v>-1.7230000000000001</v>
      </c>
      <c r="BN3417">
        <v>-3.8740000000000001</v>
      </c>
    </row>
    <row r="3418" spans="10:66">
      <c r="J3418">
        <v>0</v>
      </c>
      <c r="K3418">
        <v>3</v>
      </c>
      <c r="L3418">
        <v>0</v>
      </c>
      <c r="M3418" t="s">
        <v>25021</v>
      </c>
      <c r="N3418">
        <v>2935</v>
      </c>
      <c r="O3418" t="s">
        <v>16912</v>
      </c>
      <c r="P3418" t="s">
        <v>57</v>
      </c>
      <c r="Q3418">
        <v>2879363</v>
      </c>
      <c r="R3418">
        <v>2879857</v>
      </c>
      <c r="S3418" t="s">
        <v>3095</v>
      </c>
      <c r="T3418">
        <v>165</v>
      </c>
      <c r="U3418" t="s">
        <v>289</v>
      </c>
      <c r="V3418">
        <v>46</v>
      </c>
      <c r="W3418" t="str">
        <f>HYPERLINK("Gene2935-zp_tree_all.dnd", "Gene2935-tree")</f>
        <v>Gene2935-tree</v>
      </c>
      <c r="X3418">
        <v>12</v>
      </c>
      <c r="Y3418">
        <v>2</v>
      </c>
      <c r="Z3418">
        <v>12</v>
      </c>
      <c r="AA3418">
        <v>2</v>
      </c>
      <c r="AB3418">
        <v>0.14285999999999999</v>
      </c>
      <c r="AC3418" t="s">
        <v>109</v>
      </c>
      <c r="AD3418" t="s">
        <v>81</v>
      </c>
      <c r="AE3418" t="s">
        <v>62</v>
      </c>
      <c r="AF3418" t="s">
        <v>62</v>
      </c>
      <c r="AG3418">
        <v>1</v>
      </c>
      <c r="AH3418">
        <v>3</v>
      </c>
      <c r="AI3418">
        <v>6</v>
      </c>
      <c r="AJ3418">
        <v>0.33333000000000002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2</v>
      </c>
      <c r="AT3418">
        <v>0</v>
      </c>
      <c r="AU3418">
        <v>13</v>
      </c>
      <c r="AV3418">
        <v>6</v>
      </c>
      <c r="AW3418">
        <v>26</v>
      </c>
      <c r="AX3418">
        <v>2</v>
      </c>
      <c r="AY3418">
        <v>34</v>
      </c>
      <c r="AZ3418">
        <v>9</v>
      </c>
      <c r="BA3418" t="s">
        <v>16913</v>
      </c>
      <c r="BB3418" t="s">
        <v>16914</v>
      </c>
      <c r="BC3418">
        <v>0.51900000000000002</v>
      </c>
      <c r="BD3418" t="s">
        <v>65</v>
      </c>
      <c r="BE3418">
        <v>60</v>
      </c>
      <c r="BF3418">
        <v>11</v>
      </c>
      <c r="BG3418" t="s">
        <v>16915</v>
      </c>
      <c r="BH3418" t="s">
        <v>16916</v>
      </c>
      <c r="BI3418" t="s">
        <v>16917</v>
      </c>
      <c r="BJ3418">
        <v>5.7140000000000003E-2</v>
      </c>
      <c r="BK3418">
        <v>1</v>
      </c>
      <c r="BL3418" t="s">
        <v>69</v>
      </c>
      <c r="BM3418">
        <v>-1.5429999999999999</v>
      </c>
      <c r="BN3418">
        <v>0.82599999999999996</v>
      </c>
    </row>
    <row r="3419" spans="10:66">
      <c r="J3419">
        <v>0</v>
      </c>
      <c r="K3419">
        <v>4</v>
      </c>
      <c r="L3419">
        <v>0</v>
      </c>
      <c r="M3419" t="s">
        <v>25021</v>
      </c>
      <c r="N3419">
        <v>2949</v>
      </c>
      <c r="O3419" t="s">
        <v>17006</v>
      </c>
      <c r="P3419" t="s">
        <v>57</v>
      </c>
      <c r="Q3419">
        <v>2897788</v>
      </c>
      <c r="R3419">
        <v>2898120</v>
      </c>
      <c r="S3419" t="s">
        <v>17007</v>
      </c>
      <c r="T3419">
        <v>111</v>
      </c>
      <c r="U3419" t="s">
        <v>17008</v>
      </c>
      <c r="V3419">
        <v>28</v>
      </c>
      <c r="W3419" t="str">
        <f>HYPERLINK("Gene2949-zp_tree_all.dnd", "Gene2949-tree")</f>
        <v>Gene2949-tree</v>
      </c>
      <c r="X3419">
        <v>1</v>
      </c>
      <c r="Y3419">
        <v>5</v>
      </c>
      <c r="Z3419">
        <v>1</v>
      </c>
      <c r="AA3419">
        <v>5</v>
      </c>
      <c r="AB3419">
        <v>0.83333000000000002</v>
      </c>
      <c r="AC3419" t="s">
        <v>175</v>
      </c>
      <c r="AD3419" t="s">
        <v>199</v>
      </c>
      <c r="AE3419" t="s">
        <v>62</v>
      </c>
      <c r="AF3419" t="s">
        <v>62</v>
      </c>
      <c r="AG3419">
        <v>2</v>
      </c>
      <c r="AH3419">
        <v>4</v>
      </c>
      <c r="AI3419">
        <v>4</v>
      </c>
      <c r="AJ3419">
        <v>0.5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4</v>
      </c>
      <c r="AQ3419">
        <v>0</v>
      </c>
      <c r="AR3419">
        <v>4</v>
      </c>
      <c r="AS3419">
        <v>4</v>
      </c>
      <c r="AT3419">
        <v>0.5</v>
      </c>
      <c r="AU3419">
        <v>5</v>
      </c>
      <c r="AV3419">
        <v>2</v>
      </c>
      <c r="AW3419">
        <v>7</v>
      </c>
      <c r="AX3419">
        <v>8</v>
      </c>
      <c r="AY3419">
        <v>4</v>
      </c>
      <c r="AZ3419">
        <v>2</v>
      </c>
      <c r="BA3419" t="s">
        <v>17009</v>
      </c>
      <c r="BB3419" t="s">
        <v>17010</v>
      </c>
      <c r="BC3419">
        <v>0.96499999999999997</v>
      </c>
      <c r="BD3419" t="s">
        <v>65</v>
      </c>
      <c r="BE3419">
        <v>11</v>
      </c>
      <c r="BF3419">
        <v>10</v>
      </c>
      <c r="BG3419" t="s">
        <v>17011</v>
      </c>
      <c r="BH3419" t="s">
        <v>17012</v>
      </c>
      <c r="BI3419" t="s">
        <v>17013</v>
      </c>
      <c r="BJ3419">
        <v>0.28132000000000001</v>
      </c>
      <c r="BK3419">
        <v>0.94899999999999995</v>
      </c>
      <c r="BL3419" t="s">
        <v>635</v>
      </c>
      <c r="BM3419">
        <v>-0.432</v>
      </c>
      <c r="BN3419">
        <v>1.1539999999999999</v>
      </c>
    </row>
    <row r="3420" spans="10:66">
      <c r="J3420">
        <v>0</v>
      </c>
      <c r="K3420">
        <v>2</v>
      </c>
      <c r="L3420">
        <v>2</v>
      </c>
      <c r="M3420" t="s">
        <v>25021</v>
      </c>
      <c r="N3420">
        <v>2950</v>
      </c>
      <c r="O3420" t="s">
        <v>17014</v>
      </c>
      <c r="P3420" t="s">
        <v>57</v>
      </c>
      <c r="Q3420">
        <v>2898292</v>
      </c>
      <c r="R3420">
        <v>2898744</v>
      </c>
      <c r="S3420" t="s">
        <v>17015</v>
      </c>
      <c r="T3420">
        <v>151</v>
      </c>
      <c r="U3420" t="s">
        <v>17016</v>
      </c>
      <c r="V3420">
        <v>27</v>
      </c>
      <c r="W3420" t="str">
        <f>HYPERLINK("Gene2950-zp_tree_all.dnd", "Gene2950-tree")</f>
        <v>Gene2950-tree</v>
      </c>
      <c r="X3420">
        <v>1</v>
      </c>
      <c r="Y3420">
        <v>5</v>
      </c>
      <c r="Z3420">
        <v>1</v>
      </c>
      <c r="AA3420">
        <v>5</v>
      </c>
      <c r="AB3420">
        <v>0.83333000000000002</v>
      </c>
      <c r="AC3420" t="s">
        <v>175</v>
      </c>
      <c r="AD3420" t="s">
        <v>199</v>
      </c>
      <c r="AE3420" t="s">
        <v>62</v>
      </c>
      <c r="AF3420" t="s">
        <v>62</v>
      </c>
      <c r="AG3420">
        <v>1</v>
      </c>
      <c r="AH3420">
        <v>4</v>
      </c>
      <c r="AI3420">
        <v>12</v>
      </c>
      <c r="AJ3420">
        <v>0.25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2</v>
      </c>
      <c r="AQ3420">
        <v>1</v>
      </c>
      <c r="AR3420">
        <v>3</v>
      </c>
      <c r="AS3420">
        <v>8</v>
      </c>
      <c r="AT3420">
        <v>0.27272999999999997</v>
      </c>
      <c r="AU3420">
        <v>6</v>
      </c>
      <c r="AV3420">
        <v>2</v>
      </c>
      <c r="AW3420">
        <v>9</v>
      </c>
      <c r="AX3420">
        <v>11</v>
      </c>
      <c r="AY3420">
        <v>10</v>
      </c>
      <c r="AZ3420">
        <v>5</v>
      </c>
      <c r="BA3420" t="s">
        <v>17017</v>
      </c>
      <c r="BB3420" t="s">
        <v>17018</v>
      </c>
      <c r="BC3420">
        <v>1.3129999999999999</v>
      </c>
      <c r="BD3420" t="s">
        <v>65</v>
      </c>
      <c r="BE3420">
        <v>19</v>
      </c>
      <c r="BF3420">
        <v>16</v>
      </c>
      <c r="BG3420" t="s">
        <v>17019</v>
      </c>
      <c r="BH3420" t="s">
        <v>17020</v>
      </c>
      <c r="BI3420" t="s">
        <v>17021</v>
      </c>
      <c r="BJ3420">
        <v>0.19645000000000001</v>
      </c>
      <c r="BK3420">
        <v>1</v>
      </c>
      <c r="BL3420" t="s">
        <v>69</v>
      </c>
      <c r="BM3420">
        <v>-0.997</v>
      </c>
      <c r="BN3420">
        <v>-0.61699999999999999</v>
      </c>
    </row>
    <row r="3421" spans="10:66">
      <c r="J3421">
        <v>0</v>
      </c>
      <c r="K3421">
        <v>4</v>
      </c>
      <c r="L3421">
        <v>0</v>
      </c>
      <c r="M3421" t="s">
        <v>25021</v>
      </c>
      <c r="N3421">
        <v>2951</v>
      </c>
      <c r="O3421" t="s">
        <v>17022</v>
      </c>
      <c r="P3421" t="s">
        <v>57</v>
      </c>
      <c r="Q3421">
        <v>2898931</v>
      </c>
      <c r="R3421">
        <v>2899749</v>
      </c>
      <c r="S3421" t="s">
        <v>17023</v>
      </c>
      <c r="T3421">
        <v>273</v>
      </c>
      <c r="U3421" t="s">
        <v>17024</v>
      </c>
      <c r="V3421">
        <v>33</v>
      </c>
      <c r="W3421" t="str">
        <f>HYPERLINK("Gene2951-zp_tree_all.dnd", "Gene2951-tree")</f>
        <v>Gene2951-tree</v>
      </c>
      <c r="X3421">
        <v>3</v>
      </c>
      <c r="Y3421">
        <v>6</v>
      </c>
      <c r="Z3421">
        <v>3</v>
      </c>
      <c r="AA3421">
        <v>6</v>
      </c>
      <c r="AB3421">
        <v>0.66666999999999998</v>
      </c>
      <c r="AC3421" t="s">
        <v>324</v>
      </c>
      <c r="AD3421" t="s">
        <v>90</v>
      </c>
      <c r="AE3421" t="s">
        <v>62</v>
      </c>
      <c r="AF3421" t="s">
        <v>62</v>
      </c>
      <c r="AG3421">
        <v>2</v>
      </c>
      <c r="AH3421">
        <v>4</v>
      </c>
      <c r="AI3421">
        <v>12</v>
      </c>
      <c r="AJ3421">
        <v>0.25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2</v>
      </c>
      <c r="AQ3421">
        <v>0</v>
      </c>
      <c r="AR3421">
        <v>2</v>
      </c>
      <c r="AS3421">
        <v>11</v>
      </c>
      <c r="AT3421">
        <v>0.15384999999999999</v>
      </c>
      <c r="AU3421">
        <v>9</v>
      </c>
      <c r="AV3421">
        <v>5</v>
      </c>
      <c r="AW3421">
        <v>28</v>
      </c>
      <c r="AX3421">
        <v>13</v>
      </c>
      <c r="AY3421">
        <v>9</v>
      </c>
      <c r="AZ3421">
        <v>3</v>
      </c>
      <c r="BA3421" t="s">
        <v>17025</v>
      </c>
      <c r="BB3421" t="s">
        <v>17026</v>
      </c>
      <c r="BC3421">
        <v>0.31900000000000001</v>
      </c>
      <c r="BD3421" t="s">
        <v>65</v>
      </c>
      <c r="BE3421">
        <v>37</v>
      </c>
      <c r="BF3421">
        <v>16</v>
      </c>
      <c r="BG3421" t="s">
        <v>17027</v>
      </c>
      <c r="BH3421" t="s">
        <v>17028</v>
      </c>
      <c r="BI3421" t="s">
        <v>17029</v>
      </c>
      <c r="BJ3421">
        <v>0.12512999999999999</v>
      </c>
      <c r="BK3421">
        <v>1</v>
      </c>
      <c r="BL3421" t="s">
        <v>69</v>
      </c>
      <c r="BM3421">
        <v>-1.2450000000000001</v>
      </c>
      <c r="BN3421">
        <v>-1.081</v>
      </c>
    </row>
    <row r="3422" spans="10:66">
      <c r="J3422">
        <v>0</v>
      </c>
      <c r="K3422">
        <v>0</v>
      </c>
      <c r="L3422">
        <v>0</v>
      </c>
      <c r="M3422" t="s">
        <v>25021</v>
      </c>
      <c r="N3422">
        <v>2963</v>
      </c>
      <c r="O3422" t="s">
        <v>17093</v>
      </c>
      <c r="P3422" t="s">
        <v>57</v>
      </c>
      <c r="Q3422">
        <v>2909030</v>
      </c>
      <c r="R3422">
        <v>2909473</v>
      </c>
      <c r="S3422" t="s">
        <v>116</v>
      </c>
      <c r="T3422">
        <v>148</v>
      </c>
      <c r="U3422" t="s">
        <v>59</v>
      </c>
      <c r="V3422">
        <v>49</v>
      </c>
      <c r="W3422" t="str">
        <f>HYPERLINK("Gene2963-zp_tree_all.dnd", "Gene2963-tree")</f>
        <v>Gene2963-tree</v>
      </c>
      <c r="X3422">
        <v>25</v>
      </c>
      <c r="Y3422">
        <v>3</v>
      </c>
      <c r="Z3422">
        <v>8</v>
      </c>
      <c r="AA3422">
        <v>3</v>
      </c>
      <c r="AB3422">
        <v>0.27272999999999997</v>
      </c>
      <c r="AC3422" t="s">
        <v>1667</v>
      </c>
      <c r="AD3422" t="s">
        <v>324</v>
      </c>
      <c r="AE3422" t="s">
        <v>62</v>
      </c>
      <c r="AF3422" t="s">
        <v>62</v>
      </c>
      <c r="AG3422">
        <v>0</v>
      </c>
      <c r="AH3422">
        <v>0</v>
      </c>
      <c r="AI3422">
        <v>3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3</v>
      </c>
      <c r="AT3422">
        <v>0</v>
      </c>
      <c r="AU3422">
        <v>10</v>
      </c>
      <c r="AV3422">
        <v>3</v>
      </c>
      <c r="AW3422">
        <v>22</v>
      </c>
      <c r="AX3422">
        <v>3</v>
      </c>
      <c r="AY3422">
        <v>8</v>
      </c>
      <c r="AZ3422">
        <v>0</v>
      </c>
      <c r="BA3422" t="s">
        <v>17094</v>
      </c>
      <c r="BB3422" t="s">
        <v>193</v>
      </c>
      <c r="BC3422">
        <v>1.1659999999999999</v>
      </c>
      <c r="BD3422" t="s">
        <v>65</v>
      </c>
      <c r="BE3422">
        <v>30</v>
      </c>
      <c r="BF3422">
        <v>3</v>
      </c>
      <c r="BG3422" t="s">
        <v>17095</v>
      </c>
      <c r="BH3422" t="s">
        <v>17096</v>
      </c>
      <c r="BI3422" t="s">
        <v>17097</v>
      </c>
      <c r="BJ3422">
        <v>2.1860000000000001E-2</v>
      </c>
      <c r="BK3422">
        <v>1</v>
      </c>
      <c r="BL3422" t="s">
        <v>69</v>
      </c>
      <c r="BM3422">
        <v>-1.0389999999999999</v>
      </c>
      <c r="BN3422">
        <v>5.2999999999999999E-2</v>
      </c>
    </row>
    <row r="3423" spans="10:66">
      <c r="J3423">
        <v>0</v>
      </c>
      <c r="K3423">
        <v>4</v>
      </c>
      <c r="L3423">
        <v>0</v>
      </c>
      <c r="M3423" t="s">
        <v>25021</v>
      </c>
      <c r="N3423">
        <v>2979</v>
      </c>
      <c r="O3423" t="s">
        <v>17187</v>
      </c>
      <c r="P3423" t="s">
        <v>57</v>
      </c>
      <c r="Q3423">
        <v>2926031</v>
      </c>
      <c r="R3423">
        <v>2926969</v>
      </c>
      <c r="S3423" t="s">
        <v>17188</v>
      </c>
      <c r="T3423">
        <v>313</v>
      </c>
      <c r="U3423" t="s">
        <v>108</v>
      </c>
      <c r="V3423">
        <v>44</v>
      </c>
      <c r="W3423" t="str">
        <f>HYPERLINK("Gene2979-zp_tree_all.dnd", "Gene2979-tree")</f>
        <v>Gene2979-tree</v>
      </c>
      <c r="X3423">
        <v>11</v>
      </c>
      <c r="Y3423">
        <v>3</v>
      </c>
      <c r="Z3423">
        <v>11</v>
      </c>
      <c r="AA3423">
        <v>3</v>
      </c>
      <c r="AB3423">
        <v>0.21429000000000001</v>
      </c>
      <c r="AC3423" t="s">
        <v>73</v>
      </c>
      <c r="AD3423" t="s">
        <v>324</v>
      </c>
      <c r="AE3423" t="s">
        <v>62</v>
      </c>
      <c r="AF3423" t="s">
        <v>62</v>
      </c>
      <c r="AG3423">
        <v>2</v>
      </c>
      <c r="AH3423">
        <v>4</v>
      </c>
      <c r="AI3423">
        <v>5</v>
      </c>
      <c r="AJ3423">
        <v>0.44444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3</v>
      </c>
      <c r="AT3423">
        <v>0</v>
      </c>
      <c r="AU3423">
        <v>9</v>
      </c>
      <c r="AV3423">
        <v>10</v>
      </c>
      <c r="AW3423">
        <v>32</v>
      </c>
      <c r="AX3423">
        <v>3</v>
      </c>
      <c r="AY3423">
        <v>34</v>
      </c>
      <c r="AZ3423">
        <v>6</v>
      </c>
      <c r="BA3423" t="s">
        <v>17189</v>
      </c>
      <c r="BB3423" t="s">
        <v>17190</v>
      </c>
      <c r="BC3423">
        <v>0.44500000000000001</v>
      </c>
      <c r="BD3423" t="s">
        <v>65</v>
      </c>
      <c r="BE3423">
        <v>66</v>
      </c>
      <c r="BF3423">
        <v>9</v>
      </c>
      <c r="BG3423" t="s">
        <v>17191</v>
      </c>
      <c r="BH3423" t="s">
        <v>17192</v>
      </c>
      <c r="BI3423" t="s">
        <v>17193</v>
      </c>
      <c r="BJ3423">
        <v>5.8209999999999998E-2</v>
      </c>
      <c r="BK3423">
        <v>1</v>
      </c>
      <c r="BL3423" t="s">
        <v>69</v>
      </c>
      <c r="BM3423">
        <v>1.331</v>
      </c>
      <c r="BN3423">
        <v>0.80300000000000005</v>
      </c>
    </row>
    <row r="3424" spans="10:66">
      <c r="J3424">
        <v>0</v>
      </c>
      <c r="K3424">
        <v>0</v>
      </c>
      <c r="L3424">
        <v>0</v>
      </c>
      <c r="M3424" t="s">
        <v>25021</v>
      </c>
      <c r="N3424">
        <v>2982</v>
      </c>
      <c r="O3424" t="s">
        <v>17208</v>
      </c>
      <c r="P3424" t="s">
        <v>57</v>
      </c>
      <c r="Q3424">
        <v>2930554</v>
      </c>
      <c r="R3424">
        <v>2930757</v>
      </c>
      <c r="S3424" t="s">
        <v>17209</v>
      </c>
      <c r="T3424">
        <v>68</v>
      </c>
      <c r="U3424" t="s">
        <v>59</v>
      </c>
      <c r="V3424">
        <v>49</v>
      </c>
      <c r="W3424" t="str">
        <f>HYPERLINK("Gene2982-zp_tree_all.dnd", "Gene2982-tree")</f>
        <v>Gene2982-tree</v>
      </c>
      <c r="X3424">
        <v>2</v>
      </c>
      <c r="Y3424">
        <v>37</v>
      </c>
      <c r="Z3424">
        <v>2</v>
      </c>
      <c r="AA3424">
        <v>6</v>
      </c>
      <c r="AB3424">
        <v>0.75</v>
      </c>
      <c r="AC3424" t="s">
        <v>81</v>
      </c>
      <c r="AD3424" t="s">
        <v>5027</v>
      </c>
      <c r="AE3424">
        <v>2.6720000000000002</v>
      </c>
      <c r="AF3424" t="s">
        <v>65</v>
      </c>
      <c r="AG3424">
        <v>0</v>
      </c>
      <c r="AH3424">
        <v>0</v>
      </c>
      <c r="AI3424">
        <v>6</v>
      </c>
      <c r="AJ3424">
        <v>0</v>
      </c>
      <c r="AK3424">
        <v>0</v>
      </c>
      <c r="AL3424">
        <v>0</v>
      </c>
      <c r="AM3424">
        <v>0</v>
      </c>
      <c r="AN3424">
        <v>1</v>
      </c>
      <c r="AO3424">
        <v>0</v>
      </c>
      <c r="AP3424">
        <v>0</v>
      </c>
      <c r="AQ3424">
        <v>0</v>
      </c>
      <c r="AR3424">
        <v>0</v>
      </c>
      <c r="AS3424">
        <v>5</v>
      </c>
      <c r="AT3424">
        <v>0</v>
      </c>
      <c r="AU3424">
        <v>6</v>
      </c>
      <c r="AV3424">
        <v>1</v>
      </c>
      <c r="AW3424">
        <v>2</v>
      </c>
      <c r="AX3424">
        <v>5</v>
      </c>
      <c r="AY3424">
        <v>0</v>
      </c>
      <c r="AZ3424">
        <v>1</v>
      </c>
      <c r="BA3424" t="s">
        <v>17210</v>
      </c>
      <c r="BB3424" t="s">
        <v>193</v>
      </c>
      <c r="BC3424">
        <v>1.113</v>
      </c>
      <c r="BD3424" t="s">
        <v>65</v>
      </c>
      <c r="BE3424">
        <v>2</v>
      </c>
      <c r="BF3424">
        <v>6</v>
      </c>
      <c r="BG3424" t="s">
        <v>17211</v>
      </c>
      <c r="BH3424" t="s">
        <v>17212</v>
      </c>
      <c r="BI3424" t="s">
        <v>17213</v>
      </c>
      <c r="BJ3424">
        <v>1.10233</v>
      </c>
      <c r="BK3424">
        <v>0.26</v>
      </c>
      <c r="BL3424" t="s">
        <v>635</v>
      </c>
      <c r="BM3424">
        <v>-1.607</v>
      </c>
      <c r="BN3424">
        <v>-1.419</v>
      </c>
    </row>
    <row r="3425" spans="10:66">
      <c r="J3425">
        <v>0</v>
      </c>
      <c r="K3425">
        <v>0</v>
      </c>
      <c r="L3425">
        <v>0</v>
      </c>
      <c r="M3425" t="s">
        <v>25021</v>
      </c>
      <c r="N3425">
        <v>2983</v>
      </c>
      <c r="O3425" t="s">
        <v>17214</v>
      </c>
      <c r="P3425" t="s">
        <v>57</v>
      </c>
      <c r="Q3425">
        <v>2931692</v>
      </c>
      <c r="R3425">
        <v>2931904</v>
      </c>
      <c r="S3425" t="s">
        <v>389</v>
      </c>
      <c r="T3425">
        <v>71</v>
      </c>
      <c r="U3425" t="s">
        <v>59</v>
      </c>
      <c r="V3425">
        <v>49</v>
      </c>
      <c r="W3425" t="str">
        <f>HYPERLINK("Gene2983-zp_tree_all.dnd", "Gene2983-tree")</f>
        <v>Gene2983-tree</v>
      </c>
      <c r="X3425">
        <v>6</v>
      </c>
      <c r="Y3425">
        <v>2</v>
      </c>
      <c r="Z3425">
        <v>6</v>
      </c>
      <c r="AA3425">
        <v>2</v>
      </c>
      <c r="AB3425">
        <v>0.25</v>
      </c>
      <c r="AC3425" t="s">
        <v>90</v>
      </c>
      <c r="AD3425" t="s">
        <v>81</v>
      </c>
      <c r="AE3425" t="s">
        <v>62</v>
      </c>
      <c r="AF3425" t="s">
        <v>62</v>
      </c>
      <c r="AG3425">
        <v>0</v>
      </c>
      <c r="AH3425">
        <v>0</v>
      </c>
      <c r="AI3425">
        <v>2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5</v>
      </c>
      <c r="AV3425">
        <v>4</v>
      </c>
      <c r="AW3425">
        <v>8</v>
      </c>
      <c r="AX3425">
        <v>1</v>
      </c>
      <c r="AY3425">
        <v>11</v>
      </c>
      <c r="AZ3425">
        <v>1</v>
      </c>
      <c r="BA3425" t="s">
        <v>17215</v>
      </c>
      <c r="BB3425" t="s">
        <v>17216</v>
      </c>
      <c r="BC3425">
        <v>0.129</v>
      </c>
      <c r="BD3425" t="s">
        <v>65</v>
      </c>
      <c r="BE3425">
        <v>19</v>
      </c>
      <c r="BF3425">
        <v>2</v>
      </c>
      <c r="BG3425" t="s">
        <v>17217</v>
      </c>
      <c r="BH3425" t="s">
        <v>17218</v>
      </c>
      <c r="BI3425" t="s">
        <v>17219</v>
      </c>
      <c r="BJ3425">
        <v>2.2880000000000001E-2</v>
      </c>
      <c r="BK3425">
        <v>1</v>
      </c>
      <c r="BL3425" t="s">
        <v>69</v>
      </c>
      <c r="BM3425">
        <v>-1.1579999999999999</v>
      </c>
      <c r="BN3425">
        <v>0.44700000000000001</v>
      </c>
    </row>
    <row r="3426" spans="10:66">
      <c r="J3426">
        <v>0</v>
      </c>
      <c r="K3426">
        <v>21</v>
      </c>
      <c r="L3426">
        <v>1</v>
      </c>
      <c r="M3426" t="s">
        <v>25021</v>
      </c>
      <c r="N3426">
        <v>2984</v>
      </c>
      <c r="O3426" t="s">
        <v>17220</v>
      </c>
      <c r="P3426" t="s">
        <v>57</v>
      </c>
      <c r="Q3426">
        <v>2931976</v>
      </c>
      <c r="R3426">
        <v>2933079</v>
      </c>
      <c r="S3426" t="s">
        <v>17221</v>
      </c>
      <c r="T3426">
        <v>368</v>
      </c>
      <c r="U3426" t="s">
        <v>108</v>
      </c>
      <c r="V3426">
        <v>44</v>
      </c>
      <c r="W3426" t="str">
        <f>HYPERLINK("Gene2984-zp_tree_all.dnd", "Gene2984-tree")</f>
        <v>Gene2984-tree</v>
      </c>
      <c r="X3426">
        <v>2</v>
      </c>
      <c r="Y3426">
        <v>14</v>
      </c>
      <c r="Z3426">
        <v>2</v>
      </c>
      <c r="AA3426">
        <v>14</v>
      </c>
      <c r="AB3426">
        <v>0.875</v>
      </c>
      <c r="AC3426" t="s">
        <v>81</v>
      </c>
      <c r="AD3426" t="s">
        <v>543</v>
      </c>
      <c r="AE3426">
        <v>860908720.12699997</v>
      </c>
      <c r="AF3426" t="s">
        <v>267</v>
      </c>
      <c r="AG3426">
        <v>7</v>
      </c>
      <c r="AH3426">
        <v>22</v>
      </c>
      <c r="AI3426">
        <v>17</v>
      </c>
      <c r="AJ3426">
        <v>0.56410000000000005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14</v>
      </c>
      <c r="AQ3426">
        <v>1</v>
      </c>
      <c r="AR3426">
        <v>15</v>
      </c>
      <c r="AS3426">
        <v>12</v>
      </c>
      <c r="AT3426">
        <v>0.55556000000000005</v>
      </c>
      <c r="AU3426">
        <v>12</v>
      </c>
      <c r="AV3426">
        <v>10</v>
      </c>
      <c r="AW3426">
        <v>17</v>
      </c>
      <c r="AX3426">
        <v>21</v>
      </c>
      <c r="AY3426">
        <v>35</v>
      </c>
      <c r="AZ3426">
        <v>18</v>
      </c>
      <c r="BA3426" t="s">
        <v>17222</v>
      </c>
      <c r="BB3426" t="s">
        <v>17223</v>
      </c>
      <c r="BC3426">
        <v>1.0629999999999999</v>
      </c>
      <c r="BD3426" t="s">
        <v>65</v>
      </c>
      <c r="BE3426">
        <v>52</v>
      </c>
      <c r="BF3426">
        <v>39</v>
      </c>
      <c r="BG3426" t="s">
        <v>17224</v>
      </c>
      <c r="BH3426" t="s">
        <v>17225</v>
      </c>
      <c r="BI3426" t="s">
        <v>17226</v>
      </c>
      <c r="BJ3426">
        <v>0.16713</v>
      </c>
      <c r="BK3426">
        <v>1</v>
      </c>
      <c r="BL3426" t="s">
        <v>69</v>
      </c>
      <c r="BM3426">
        <v>-0.16900000000000001</v>
      </c>
      <c r="BN3426">
        <v>-0.19600000000000001</v>
      </c>
    </row>
    <row r="3427" spans="10:66">
      <c r="J3427">
        <v>2</v>
      </c>
      <c r="K3427">
        <v>20</v>
      </c>
      <c r="L3427">
        <v>1</v>
      </c>
      <c r="M3427" t="s">
        <v>25021</v>
      </c>
      <c r="N3427">
        <v>2985</v>
      </c>
      <c r="O3427" t="s">
        <v>17227</v>
      </c>
      <c r="P3427" t="s">
        <v>57</v>
      </c>
      <c r="Q3427">
        <v>2933185</v>
      </c>
      <c r="R3427">
        <v>2934594</v>
      </c>
      <c r="S3427" t="s">
        <v>17228</v>
      </c>
      <c r="T3427">
        <v>470</v>
      </c>
      <c r="U3427" t="s">
        <v>108</v>
      </c>
      <c r="V3427">
        <v>44</v>
      </c>
      <c r="W3427" t="str">
        <f>HYPERLINK("Gene2985-zp_tree_all.dnd", "Gene2985-tree")</f>
        <v>Gene2985-tree</v>
      </c>
      <c r="X3427">
        <v>4</v>
      </c>
      <c r="Y3427">
        <v>10</v>
      </c>
      <c r="Z3427">
        <v>4</v>
      </c>
      <c r="AA3427">
        <v>10</v>
      </c>
      <c r="AB3427">
        <v>0.71428999999999998</v>
      </c>
      <c r="AC3427" t="s">
        <v>61</v>
      </c>
      <c r="AD3427" t="s">
        <v>117</v>
      </c>
      <c r="AE3427" t="s">
        <v>62</v>
      </c>
      <c r="AF3427" t="s">
        <v>62</v>
      </c>
      <c r="AG3427">
        <v>8</v>
      </c>
      <c r="AH3427">
        <v>23</v>
      </c>
      <c r="AI3427">
        <v>18</v>
      </c>
      <c r="AJ3427">
        <v>0.56098000000000003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8</v>
      </c>
      <c r="AQ3427">
        <v>2</v>
      </c>
      <c r="AR3427">
        <v>10</v>
      </c>
      <c r="AS3427">
        <v>14</v>
      </c>
      <c r="AT3427">
        <v>0.41666999999999998</v>
      </c>
      <c r="AU3427">
        <v>13</v>
      </c>
      <c r="AV3427">
        <v>10</v>
      </c>
      <c r="AW3427">
        <v>102</v>
      </c>
      <c r="AX3427">
        <v>25</v>
      </c>
      <c r="AY3427">
        <v>71</v>
      </c>
      <c r="AZ3427">
        <v>17</v>
      </c>
      <c r="BA3427" t="s">
        <v>17229</v>
      </c>
      <c r="BB3427" t="s">
        <v>17230</v>
      </c>
      <c r="BC3427">
        <v>3.3000000000000002E-2</v>
      </c>
      <c r="BD3427" t="s">
        <v>65</v>
      </c>
      <c r="BE3427">
        <v>173</v>
      </c>
      <c r="BF3427">
        <v>42</v>
      </c>
      <c r="BG3427" t="s">
        <v>17231</v>
      </c>
      <c r="BH3427" t="s">
        <v>17232</v>
      </c>
      <c r="BI3427" t="s">
        <v>17233</v>
      </c>
      <c r="BJ3427">
        <v>8.1290000000000001E-2</v>
      </c>
      <c r="BK3427">
        <v>1</v>
      </c>
      <c r="BL3427" t="s">
        <v>69</v>
      </c>
      <c r="BM3427">
        <v>0.38200000000000001</v>
      </c>
      <c r="BN3427">
        <v>2.9000000000000001E-2</v>
      </c>
    </row>
    <row r="3428" spans="10:66">
      <c r="J3428">
        <v>2</v>
      </c>
      <c r="K3428">
        <v>15</v>
      </c>
      <c r="L3428">
        <v>2</v>
      </c>
      <c r="M3428" t="s">
        <v>25021</v>
      </c>
      <c r="N3428">
        <v>2986</v>
      </c>
      <c r="O3428" t="s">
        <v>17234</v>
      </c>
      <c r="P3428" t="s">
        <v>57</v>
      </c>
      <c r="Q3428">
        <v>2934594</v>
      </c>
      <c r="R3428">
        <v>2935925</v>
      </c>
      <c r="S3428" t="s">
        <v>17235</v>
      </c>
      <c r="T3428">
        <v>444</v>
      </c>
      <c r="U3428" t="s">
        <v>1557</v>
      </c>
      <c r="V3428">
        <v>40</v>
      </c>
      <c r="W3428" t="str">
        <f>HYPERLINK("Gene2986-zp_tree_all.dnd", "Gene2986-tree")</f>
        <v>Gene2986-tree</v>
      </c>
      <c r="X3428">
        <v>5</v>
      </c>
      <c r="Y3428">
        <v>9</v>
      </c>
      <c r="Z3428">
        <v>5</v>
      </c>
      <c r="AA3428">
        <v>9</v>
      </c>
      <c r="AB3428">
        <v>0.64285999999999999</v>
      </c>
      <c r="AC3428" t="s">
        <v>199</v>
      </c>
      <c r="AD3428" t="s">
        <v>135</v>
      </c>
      <c r="AE3428" t="s">
        <v>62</v>
      </c>
      <c r="AF3428" t="s">
        <v>62</v>
      </c>
      <c r="AG3428">
        <v>7</v>
      </c>
      <c r="AH3428">
        <v>19</v>
      </c>
      <c r="AI3428">
        <v>18</v>
      </c>
      <c r="AJ3428">
        <v>0.51351000000000002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2</v>
      </c>
      <c r="AQ3428">
        <v>4</v>
      </c>
      <c r="AR3428">
        <v>6</v>
      </c>
      <c r="AS3428">
        <v>19</v>
      </c>
      <c r="AT3428">
        <v>0.24</v>
      </c>
      <c r="AU3428">
        <v>12</v>
      </c>
      <c r="AV3428">
        <v>10</v>
      </c>
      <c r="AW3428">
        <v>82</v>
      </c>
      <c r="AX3428">
        <v>23</v>
      </c>
      <c r="AY3428">
        <v>74</v>
      </c>
      <c r="AZ3428">
        <v>15</v>
      </c>
      <c r="BA3428" t="s">
        <v>17236</v>
      </c>
      <c r="BB3428" t="s">
        <v>17237</v>
      </c>
      <c r="BC3428">
        <v>0.52500000000000002</v>
      </c>
      <c r="BD3428" t="s">
        <v>65</v>
      </c>
      <c r="BE3428">
        <v>156</v>
      </c>
      <c r="BF3428">
        <v>38</v>
      </c>
      <c r="BG3428" t="s">
        <v>17238</v>
      </c>
      <c r="BH3428" t="s">
        <v>17239</v>
      </c>
      <c r="BI3428" t="s">
        <v>17240</v>
      </c>
      <c r="BJ3428">
        <v>5.3870000000000001E-2</v>
      </c>
      <c r="BK3428">
        <v>1</v>
      </c>
      <c r="BL3428" t="s">
        <v>69</v>
      </c>
      <c r="BM3428">
        <v>0.24199999999999999</v>
      </c>
      <c r="BN3428">
        <v>-0.44900000000000001</v>
      </c>
    </row>
    <row r="3429" spans="10:66">
      <c r="J3429">
        <v>0</v>
      </c>
      <c r="K3429">
        <v>0</v>
      </c>
      <c r="L3429">
        <v>0</v>
      </c>
      <c r="M3429" t="s">
        <v>25021</v>
      </c>
      <c r="N3429">
        <v>3000</v>
      </c>
      <c r="O3429" t="s">
        <v>17326</v>
      </c>
      <c r="P3429" t="s">
        <v>57</v>
      </c>
      <c r="Q3429">
        <v>2951490</v>
      </c>
      <c r="R3429">
        <v>2951879</v>
      </c>
      <c r="S3429" t="s">
        <v>116</v>
      </c>
      <c r="T3429">
        <v>130</v>
      </c>
      <c r="U3429" t="s">
        <v>59</v>
      </c>
      <c r="V3429">
        <v>49</v>
      </c>
      <c r="W3429" t="str">
        <f>HYPERLINK("Gene3000-zp_tree_all.dnd", "Gene3000-tree")</f>
        <v>Gene3000-tree</v>
      </c>
      <c r="X3429">
        <v>8</v>
      </c>
      <c r="Y3429">
        <v>3</v>
      </c>
      <c r="Z3429">
        <v>8</v>
      </c>
      <c r="AA3429">
        <v>3</v>
      </c>
      <c r="AB3429">
        <v>0.27272999999999997</v>
      </c>
      <c r="AC3429" t="s">
        <v>136</v>
      </c>
      <c r="AD3429" t="s">
        <v>324</v>
      </c>
      <c r="AE3429" t="s">
        <v>62</v>
      </c>
      <c r="AF3429" t="s">
        <v>62</v>
      </c>
      <c r="AG3429">
        <v>0</v>
      </c>
      <c r="AH3429">
        <v>0</v>
      </c>
      <c r="AI3429">
        <v>5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3</v>
      </c>
      <c r="AT3429">
        <v>0</v>
      </c>
      <c r="AU3429">
        <v>7</v>
      </c>
      <c r="AV3429">
        <v>5</v>
      </c>
      <c r="AW3429">
        <v>10</v>
      </c>
      <c r="AX3429">
        <v>3</v>
      </c>
      <c r="AY3429">
        <v>19</v>
      </c>
      <c r="AZ3429">
        <v>2</v>
      </c>
      <c r="BA3429" t="s">
        <v>17327</v>
      </c>
      <c r="BB3429" t="s">
        <v>17328</v>
      </c>
      <c r="BC3429">
        <v>0.85099999999999998</v>
      </c>
      <c r="BD3429" t="s">
        <v>65</v>
      </c>
      <c r="BE3429">
        <v>29</v>
      </c>
      <c r="BF3429">
        <v>5</v>
      </c>
      <c r="BG3429" t="s">
        <v>17329</v>
      </c>
      <c r="BH3429" t="s">
        <v>17330</v>
      </c>
      <c r="BI3429" t="s">
        <v>17331</v>
      </c>
      <c r="BJ3429">
        <v>3.3919999999999999E-2</v>
      </c>
      <c r="BK3429">
        <v>1</v>
      </c>
      <c r="BL3429" t="s">
        <v>69</v>
      </c>
      <c r="BM3429">
        <v>-1.6519999999999999</v>
      </c>
      <c r="BN3429">
        <v>-0.42199999999999999</v>
      </c>
    </row>
    <row r="3430" spans="10:66">
      <c r="J3430">
        <v>0</v>
      </c>
      <c r="K3430">
        <v>7</v>
      </c>
      <c r="L3430">
        <v>0</v>
      </c>
      <c r="M3430" t="s">
        <v>25021</v>
      </c>
      <c r="N3430">
        <v>3005</v>
      </c>
      <c r="O3430" t="s">
        <v>17355</v>
      </c>
      <c r="P3430" t="s">
        <v>57</v>
      </c>
      <c r="Q3430">
        <v>2953795</v>
      </c>
      <c r="R3430">
        <v>2954457</v>
      </c>
      <c r="S3430" t="s">
        <v>1523</v>
      </c>
      <c r="T3430">
        <v>221</v>
      </c>
      <c r="U3430" t="s">
        <v>17356</v>
      </c>
      <c r="V3430">
        <v>36</v>
      </c>
      <c r="W3430" t="str">
        <f>HYPERLINK("Gene3005-zp_tree_all.dnd", "Gene3005-tree")</f>
        <v>Gene3005-tree</v>
      </c>
      <c r="X3430">
        <v>4</v>
      </c>
      <c r="Y3430">
        <v>6</v>
      </c>
      <c r="Z3430">
        <v>4</v>
      </c>
      <c r="AA3430">
        <v>6</v>
      </c>
      <c r="AB3430">
        <v>0.6</v>
      </c>
      <c r="AC3430" t="s">
        <v>61</v>
      </c>
      <c r="AD3430" t="s">
        <v>90</v>
      </c>
      <c r="AE3430" t="s">
        <v>62</v>
      </c>
      <c r="AF3430" t="s">
        <v>62</v>
      </c>
      <c r="AG3430">
        <v>3</v>
      </c>
      <c r="AH3430">
        <v>7</v>
      </c>
      <c r="AI3430">
        <v>11</v>
      </c>
      <c r="AJ3430">
        <v>0.38889000000000001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2</v>
      </c>
      <c r="AQ3430">
        <v>0</v>
      </c>
      <c r="AR3430">
        <v>2</v>
      </c>
      <c r="AS3430">
        <v>10</v>
      </c>
      <c r="AT3430">
        <v>0.16667000000000001</v>
      </c>
      <c r="AU3430">
        <v>9</v>
      </c>
      <c r="AV3430">
        <v>7</v>
      </c>
      <c r="AW3430">
        <v>13</v>
      </c>
      <c r="AX3430">
        <v>13</v>
      </c>
      <c r="AY3430">
        <v>13</v>
      </c>
      <c r="AZ3430">
        <v>7</v>
      </c>
      <c r="BA3430" t="s">
        <v>17357</v>
      </c>
      <c r="BB3430" t="s">
        <v>17358</v>
      </c>
      <c r="BC3430">
        <v>0.72</v>
      </c>
      <c r="BD3430" t="s">
        <v>65</v>
      </c>
      <c r="BE3430">
        <v>26</v>
      </c>
      <c r="BF3430">
        <v>20</v>
      </c>
      <c r="BG3430" t="s">
        <v>17359</v>
      </c>
      <c r="BH3430" t="s">
        <v>17360</v>
      </c>
      <c r="BI3430" t="s">
        <v>11246</v>
      </c>
      <c r="BJ3430">
        <v>0.17544000000000001</v>
      </c>
      <c r="BK3430">
        <v>1</v>
      </c>
      <c r="BL3430" t="s">
        <v>69</v>
      </c>
      <c r="BM3430">
        <v>0.30399999999999999</v>
      </c>
      <c r="BN3430">
        <v>-0.27400000000000002</v>
      </c>
    </row>
    <row r="3431" spans="10:66">
      <c r="J3431">
        <v>0</v>
      </c>
      <c r="K3431">
        <v>0</v>
      </c>
      <c r="L3431">
        <v>0</v>
      </c>
      <c r="M3431" t="s">
        <v>25021</v>
      </c>
      <c r="N3431">
        <v>3010</v>
      </c>
      <c r="O3431" t="s">
        <v>17388</v>
      </c>
      <c r="P3431" t="s">
        <v>57</v>
      </c>
      <c r="Q3431">
        <v>2958434</v>
      </c>
      <c r="R3431">
        <v>2959213</v>
      </c>
      <c r="S3431" t="s">
        <v>17389</v>
      </c>
      <c r="T3431">
        <v>260</v>
      </c>
      <c r="U3431" t="s">
        <v>108</v>
      </c>
      <c r="V3431">
        <v>44</v>
      </c>
      <c r="W3431" t="str">
        <f>HYPERLINK("Gene3010-zp_tree_all.dnd", "Gene3010-tree")</f>
        <v>Gene3010-tree</v>
      </c>
      <c r="X3431">
        <v>5</v>
      </c>
      <c r="Y3431">
        <v>6</v>
      </c>
      <c r="Z3431">
        <v>5</v>
      </c>
      <c r="AA3431">
        <v>6</v>
      </c>
      <c r="AB3431">
        <v>0.54544999999999999</v>
      </c>
      <c r="AC3431" t="s">
        <v>199</v>
      </c>
      <c r="AD3431" t="s">
        <v>90</v>
      </c>
      <c r="AE3431" t="s">
        <v>62</v>
      </c>
      <c r="AF3431" t="s">
        <v>62</v>
      </c>
      <c r="AG3431">
        <v>0</v>
      </c>
      <c r="AH3431">
        <v>0</v>
      </c>
      <c r="AI3431">
        <v>9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8</v>
      </c>
      <c r="AT3431">
        <v>0</v>
      </c>
      <c r="AU3431">
        <v>10</v>
      </c>
      <c r="AV3431">
        <v>4</v>
      </c>
      <c r="AW3431">
        <v>22</v>
      </c>
      <c r="AX3431">
        <v>8</v>
      </c>
      <c r="AY3431">
        <v>7</v>
      </c>
      <c r="AZ3431">
        <v>1</v>
      </c>
      <c r="BA3431" t="s">
        <v>17390</v>
      </c>
      <c r="BB3431" t="s">
        <v>17391</v>
      </c>
      <c r="BC3431">
        <v>0.76</v>
      </c>
      <c r="BD3431" t="s">
        <v>65</v>
      </c>
      <c r="BE3431">
        <v>29</v>
      </c>
      <c r="BF3431">
        <v>9</v>
      </c>
      <c r="BG3431" t="s">
        <v>17392</v>
      </c>
      <c r="BH3431" t="s">
        <v>17393</v>
      </c>
      <c r="BI3431" t="s">
        <v>17394</v>
      </c>
      <c r="BJ3431">
        <v>9.9070000000000005E-2</v>
      </c>
      <c r="BK3431">
        <v>1</v>
      </c>
      <c r="BL3431" t="s">
        <v>69</v>
      </c>
      <c r="BM3431">
        <v>-1.4999999999999999E-2</v>
      </c>
      <c r="BN3431">
        <v>-1.196</v>
      </c>
    </row>
    <row r="3432" spans="10:66">
      <c r="J3432">
        <v>0</v>
      </c>
      <c r="K3432">
        <v>2</v>
      </c>
      <c r="L3432">
        <v>0</v>
      </c>
      <c r="M3432" t="s">
        <v>25021</v>
      </c>
      <c r="N3432">
        <v>3020</v>
      </c>
      <c r="O3432" t="s">
        <v>17452</v>
      </c>
      <c r="P3432" t="s">
        <v>57</v>
      </c>
      <c r="Q3432">
        <v>2968824</v>
      </c>
      <c r="R3432">
        <v>2970011</v>
      </c>
      <c r="S3432" t="s">
        <v>2569</v>
      </c>
      <c r="T3432">
        <v>396</v>
      </c>
      <c r="U3432" t="s">
        <v>17453</v>
      </c>
      <c r="V3432">
        <v>43</v>
      </c>
      <c r="W3432" t="str">
        <f>HYPERLINK("Gene3020-zp_tree_all.dnd", "Gene3020-tree")</f>
        <v>Gene3020-tree</v>
      </c>
      <c r="X3432">
        <v>7</v>
      </c>
      <c r="Y3432">
        <v>5</v>
      </c>
      <c r="Z3432">
        <v>7</v>
      </c>
      <c r="AA3432">
        <v>5</v>
      </c>
      <c r="AB3432">
        <v>0.41666999999999998</v>
      </c>
      <c r="AC3432" t="s">
        <v>152</v>
      </c>
      <c r="AD3432" t="s">
        <v>199</v>
      </c>
      <c r="AE3432" t="s">
        <v>62</v>
      </c>
      <c r="AF3432" t="s">
        <v>62</v>
      </c>
      <c r="AG3432">
        <v>1</v>
      </c>
      <c r="AH3432">
        <v>2</v>
      </c>
      <c r="AI3432">
        <v>8</v>
      </c>
      <c r="AJ3432">
        <v>0.2</v>
      </c>
      <c r="AK3432">
        <v>0</v>
      </c>
      <c r="AL3432">
        <v>0</v>
      </c>
      <c r="AM3432">
        <v>0</v>
      </c>
      <c r="AN3432">
        <v>2</v>
      </c>
      <c r="AO3432">
        <v>0</v>
      </c>
      <c r="AP3432">
        <v>0</v>
      </c>
      <c r="AQ3432">
        <v>0</v>
      </c>
      <c r="AR3432">
        <v>0</v>
      </c>
      <c r="AS3432">
        <v>6</v>
      </c>
      <c r="AT3432">
        <v>0</v>
      </c>
      <c r="AU3432">
        <v>10</v>
      </c>
      <c r="AV3432">
        <v>9</v>
      </c>
      <c r="AW3432">
        <v>18</v>
      </c>
      <c r="AX3432">
        <v>6</v>
      </c>
      <c r="AY3432">
        <v>25</v>
      </c>
      <c r="AZ3432">
        <v>4</v>
      </c>
      <c r="BA3432" t="s">
        <v>17454</v>
      </c>
      <c r="BB3432" t="s">
        <v>17455</v>
      </c>
      <c r="BC3432">
        <v>0.877</v>
      </c>
      <c r="BD3432" t="s">
        <v>65</v>
      </c>
      <c r="BE3432">
        <v>43</v>
      </c>
      <c r="BF3432">
        <v>10</v>
      </c>
      <c r="BG3432" t="s">
        <v>17456</v>
      </c>
      <c r="BH3432" t="s">
        <v>17457</v>
      </c>
      <c r="BI3432" t="s">
        <v>17458</v>
      </c>
      <c r="BJ3432">
        <v>7.1340000000000001E-2</v>
      </c>
      <c r="BK3432">
        <v>1</v>
      </c>
      <c r="BL3432" t="s">
        <v>69</v>
      </c>
      <c r="BM3432">
        <v>-0.63800000000000001</v>
      </c>
      <c r="BN3432">
        <v>-0.30499999999999999</v>
      </c>
    </row>
    <row r="3433" spans="10:66">
      <c r="J3433">
        <v>0</v>
      </c>
      <c r="K3433">
        <v>0</v>
      </c>
      <c r="L3433">
        <v>0</v>
      </c>
      <c r="M3433" t="s">
        <v>25021</v>
      </c>
      <c r="N3433">
        <v>3021</v>
      </c>
      <c r="O3433" t="s">
        <v>17459</v>
      </c>
      <c r="P3433" t="s">
        <v>57</v>
      </c>
      <c r="Q3433">
        <v>2970038</v>
      </c>
      <c r="R3433">
        <v>2970877</v>
      </c>
      <c r="S3433" t="s">
        <v>17460</v>
      </c>
      <c r="T3433">
        <v>280</v>
      </c>
      <c r="U3433" t="s">
        <v>108</v>
      </c>
      <c r="V3433">
        <v>44</v>
      </c>
      <c r="W3433" t="str">
        <f>HYPERLINK("Gene3021-zp_tree_all.dnd", "Gene3021-tree")</f>
        <v>Gene3021-tree</v>
      </c>
      <c r="X3433">
        <v>8</v>
      </c>
      <c r="Y3433">
        <v>4</v>
      </c>
      <c r="Z3433">
        <v>8</v>
      </c>
      <c r="AA3433">
        <v>4</v>
      </c>
      <c r="AB3433">
        <v>0.33333000000000002</v>
      </c>
      <c r="AC3433" t="s">
        <v>136</v>
      </c>
      <c r="AD3433" t="s">
        <v>61</v>
      </c>
      <c r="AE3433" t="s">
        <v>62</v>
      </c>
      <c r="AF3433" t="s">
        <v>62</v>
      </c>
      <c r="AG3433">
        <v>0</v>
      </c>
      <c r="AH3433">
        <v>0</v>
      </c>
      <c r="AI3433">
        <v>6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6</v>
      </c>
      <c r="AT3433">
        <v>0</v>
      </c>
      <c r="AU3433">
        <v>9</v>
      </c>
      <c r="AV3433">
        <v>7</v>
      </c>
      <c r="AW3433">
        <v>25</v>
      </c>
      <c r="AX3433">
        <v>6</v>
      </c>
      <c r="AY3433">
        <v>17</v>
      </c>
      <c r="AZ3433">
        <v>0</v>
      </c>
      <c r="BA3433" t="s">
        <v>17461</v>
      </c>
      <c r="BB3433" t="s">
        <v>193</v>
      </c>
      <c r="BC3433">
        <v>1.246</v>
      </c>
      <c r="BD3433" t="s">
        <v>65</v>
      </c>
      <c r="BE3433">
        <v>42</v>
      </c>
      <c r="BF3433">
        <v>6</v>
      </c>
      <c r="BG3433" t="s">
        <v>17462</v>
      </c>
      <c r="BH3433" t="s">
        <v>17463</v>
      </c>
      <c r="BI3433" t="s">
        <v>17464</v>
      </c>
      <c r="BJ3433">
        <v>2.76E-2</v>
      </c>
      <c r="BK3433">
        <v>1</v>
      </c>
      <c r="BL3433" t="s">
        <v>69</v>
      </c>
      <c r="BM3433">
        <v>-1.091</v>
      </c>
      <c r="BN3433">
        <v>-1.8979999999999999</v>
      </c>
    </row>
    <row r="3434" spans="10:66">
      <c r="J3434">
        <v>0</v>
      </c>
      <c r="K3434">
        <v>2</v>
      </c>
      <c r="L3434">
        <v>0</v>
      </c>
      <c r="M3434" t="s">
        <v>25021</v>
      </c>
      <c r="N3434">
        <v>3032</v>
      </c>
      <c r="O3434" t="s">
        <v>17531</v>
      </c>
      <c r="P3434" t="s">
        <v>57</v>
      </c>
      <c r="Q3434">
        <v>2983164</v>
      </c>
      <c r="R3434">
        <v>2984276</v>
      </c>
      <c r="S3434" t="s">
        <v>17532</v>
      </c>
      <c r="T3434">
        <v>371</v>
      </c>
      <c r="U3434" t="s">
        <v>108</v>
      </c>
      <c r="V3434">
        <v>44</v>
      </c>
      <c r="W3434" t="str">
        <f>HYPERLINK("Gene3032-zp_tree_all.dnd", "Gene3032-tree")</f>
        <v>Gene3032-tree</v>
      </c>
      <c r="X3434">
        <v>11</v>
      </c>
      <c r="Y3434">
        <v>2</v>
      </c>
      <c r="Z3434">
        <v>11</v>
      </c>
      <c r="AA3434">
        <v>2</v>
      </c>
      <c r="AB3434">
        <v>0.15384999999999999</v>
      </c>
      <c r="AC3434" t="s">
        <v>73</v>
      </c>
      <c r="AD3434" t="s">
        <v>81</v>
      </c>
      <c r="AE3434" t="s">
        <v>62</v>
      </c>
      <c r="AF3434" t="s">
        <v>62</v>
      </c>
      <c r="AG3434">
        <v>1</v>
      </c>
      <c r="AH3434">
        <v>2</v>
      </c>
      <c r="AI3434">
        <v>3</v>
      </c>
      <c r="AJ3434">
        <v>0.4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0</v>
      </c>
      <c r="AR3434">
        <v>0</v>
      </c>
      <c r="AS3434">
        <v>3</v>
      </c>
      <c r="AT3434">
        <v>0</v>
      </c>
      <c r="AU3434">
        <v>9</v>
      </c>
      <c r="AV3434">
        <v>10</v>
      </c>
      <c r="AW3434">
        <v>30</v>
      </c>
      <c r="AX3434">
        <v>3</v>
      </c>
      <c r="AY3434">
        <v>14</v>
      </c>
      <c r="AZ3434">
        <v>2</v>
      </c>
      <c r="BA3434" t="s">
        <v>17533</v>
      </c>
      <c r="BB3434" t="s">
        <v>17534</v>
      </c>
      <c r="BC3434">
        <v>0.17599999999999999</v>
      </c>
      <c r="BD3434" t="s">
        <v>65</v>
      </c>
      <c r="BE3434">
        <v>44</v>
      </c>
      <c r="BF3434">
        <v>5</v>
      </c>
      <c r="BG3434" t="s">
        <v>17535</v>
      </c>
      <c r="BH3434" t="s">
        <v>17536</v>
      </c>
      <c r="BI3434" t="s">
        <v>17537</v>
      </c>
      <c r="BJ3434">
        <v>2.9329999999999998E-2</v>
      </c>
      <c r="BK3434">
        <v>1</v>
      </c>
      <c r="BL3434" t="s">
        <v>69</v>
      </c>
      <c r="BM3434">
        <v>-0.46800000000000003</v>
      </c>
      <c r="BN3434">
        <v>-1.27</v>
      </c>
    </row>
    <row r="3435" spans="10:66">
      <c r="J3435">
        <v>0</v>
      </c>
      <c r="K3435">
        <v>0</v>
      </c>
      <c r="L3435">
        <v>0</v>
      </c>
      <c r="M3435" t="s">
        <v>25021</v>
      </c>
      <c r="N3435">
        <v>3040</v>
      </c>
      <c r="O3435" t="s">
        <v>17585</v>
      </c>
      <c r="P3435" t="s">
        <v>57</v>
      </c>
      <c r="Q3435">
        <v>2994756</v>
      </c>
      <c r="R3435">
        <v>2995094</v>
      </c>
      <c r="S3435" t="s">
        <v>17586</v>
      </c>
      <c r="T3435">
        <v>113</v>
      </c>
      <c r="U3435" t="s">
        <v>289</v>
      </c>
      <c r="V3435">
        <v>46</v>
      </c>
      <c r="W3435" t="str">
        <f>HYPERLINK("Gene3040-zp_tree_all.dnd", "Gene3040-tree")</f>
        <v>Gene3040-tree</v>
      </c>
      <c r="X3435">
        <v>13</v>
      </c>
      <c r="Y3435">
        <v>0</v>
      </c>
      <c r="Z3435">
        <v>13</v>
      </c>
      <c r="AA3435">
        <v>0</v>
      </c>
      <c r="AB3435">
        <v>0</v>
      </c>
      <c r="AC3435" t="s">
        <v>507</v>
      </c>
      <c r="AD3435" t="s">
        <v>62</v>
      </c>
      <c r="AE3435" t="s">
        <v>62</v>
      </c>
      <c r="AF3435" t="s">
        <v>62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8</v>
      </c>
      <c r="AV3435">
        <v>6</v>
      </c>
      <c r="AW3435">
        <v>13</v>
      </c>
      <c r="AX3435">
        <v>0</v>
      </c>
      <c r="AY3435">
        <v>16</v>
      </c>
      <c r="AZ3435">
        <v>1</v>
      </c>
      <c r="BA3435" t="s">
        <v>193</v>
      </c>
      <c r="BB3435" t="s">
        <v>17587</v>
      </c>
      <c r="BC3435">
        <v>0.36799999999999999</v>
      </c>
      <c r="BD3435" t="s">
        <v>65</v>
      </c>
      <c r="BE3435">
        <v>29</v>
      </c>
      <c r="BF3435">
        <v>1</v>
      </c>
      <c r="BG3435" t="s">
        <v>17588</v>
      </c>
      <c r="BH3435" t="s">
        <v>17589</v>
      </c>
      <c r="BI3435" t="s">
        <v>17590</v>
      </c>
      <c r="BJ3435">
        <v>1.3180000000000001E-2</v>
      </c>
      <c r="BK3435">
        <v>1</v>
      </c>
      <c r="BL3435" t="s">
        <v>69</v>
      </c>
      <c r="BM3435">
        <v>-1.47</v>
      </c>
      <c r="BN3435">
        <v>-0.35799999999999998</v>
      </c>
    </row>
    <row r="3436" spans="10:66">
      <c r="J3436">
        <v>0</v>
      </c>
      <c r="K3436">
        <v>0</v>
      </c>
      <c r="L3436">
        <v>0</v>
      </c>
      <c r="M3436" t="s">
        <v>25021</v>
      </c>
      <c r="N3436">
        <v>3041</v>
      </c>
      <c r="O3436" t="s">
        <v>17591</v>
      </c>
      <c r="P3436" t="s">
        <v>57</v>
      </c>
      <c r="Q3436">
        <v>2995094</v>
      </c>
      <c r="R3436">
        <v>2995594</v>
      </c>
      <c r="S3436" t="s">
        <v>17592</v>
      </c>
      <c r="T3436">
        <v>167</v>
      </c>
      <c r="U3436" t="s">
        <v>698</v>
      </c>
      <c r="V3436">
        <v>47</v>
      </c>
      <c r="W3436" t="str">
        <f>HYPERLINK("Gene3041-zp_tree_all.dnd", "Gene3041-tree")</f>
        <v>Gene3041-tree</v>
      </c>
      <c r="X3436">
        <v>15</v>
      </c>
      <c r="Y3436">
        <v>1</v>
      </c>
      <c r="Z3436">
        <v>15</v>
      </c>
      <c r="AA3436">
        <v>1</v>
      </c>
      <c r="AB3436">
        <v>6.25E-2</v>
      </c>
      <c r="AC3436" t="s">
        <v>100</v>
      </c>
      <c r="AD3436" t="s">
        <v>175</v>
      </c>
      <c r="AE3436" t="s">
        <v>62</v>
      </c>
      <c r="AF3436" t="s">
        <v>62</v>
      </c>
      <c r="AG3436">
        <v>0</v>
      </c>
      <c r="AH3436">
        <v>0</v>
      </c>
      <c r="AI3436">
        <v>3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  <c r="AU3436">
        <v>12</v>
      </c>
      <c r="AV3436">
        <v>7</v>
      </c>
      <c r="AW3436">
        <v>18</v>
      </c>
      <c r="AX3436">
        <v>0</v>
      </c>
      <c r="AY3436">
        <v>25</v>
      </c>
      <c r="AZ3436">
        <v>3</v>
      </c>
      <c r="BA3436" t="s">
        <v>193</v>
      </c>
      <c r="BB3436" t="s">
        <v>17593</v>
      </c>
      <c r="BC3436">
        <v>0.61399999999999999</v>
      </c>
      <c r="BD3436" t="s">
        <v>65</v>
      </c>
      <c r="BE3436">
        <v>43</v>
      </c>
      <c r="BF3436">
        <v>3</v>
      </c>
      <c r="BG3436" t="s">
        <v>17594</v>
      </c>
      <c r="BH3436" t="s">
        <v>17595</v>
      </c>
      <c r="BI3436" t="s">
        <v>17596</v>
      </c>
      <c r="BJ3436">
        <v>2.247E-2</v>
      </c>
      <c r="BK3436">
        <v>1</v>
      </c>
      <c r="BL3436" t="s">
        <v>69</v>
      </c>
      <c r="BM3436">
        <v>-1.401</v>
      </c>
      <c r="BN3436">
        <v>0.53600000000000003</v>
      </c>
    </row>
    <row r="3437" spans="10:66">
      <c r="J3437">
        <v>0</v>
      </c>
      <c r="K3437">
        <v>0</v>
      </c>
      <c r="L3437">
        <v>0</v>
      </c>
      <c r="M3437" t="s">
        <v>25021</v>
      </c>
      <c r="N3437">
        <v>3042</v>
      </c>
      <c r="O3437" t="s">
        <v>17597</v>
      </c>
      <c r="P3437" t="s">
        <v>57</v>
      </c>
      <c r="Q3437">
        <v>2995699</v>
      </c>
      <c r="R3437">
        <v>2995887</v>
      </c>
      <c r="S3437" t="s">
        <v>17598</v>
      </c>
      <c r="T3437">
        <v>63</v>
      </c>
      <c r="U3437" t="s">
        <v>59</v>
      </c>
      <c r="V3437">
        <v>49</v>
      </c>
      <c r="W3437" t="str">
        <f>HYPERLINK("Gene3042-zp_tree_all.dnd", "Gene3042-tree")</f>
        <v>Gene3042-tree</v>
      </c>
      <c r="X3437">
        <v>5</v>
      </c>
      <c r="Y3437">
        <v>0</v>
      </c>
      <c r="Z3437">
        <v>5</v>
      </c>
      <c r="AA3437">
        <v>0</v>
      </c>
      <c r="AB3437">
        <v>0</v>
      </c>
      <c r="AC3437" t="s">
        <v>199</v>
      </c>
      <c r="AD3437" t="s">
        <v>62</v>
      </c>
      <c r="AE3437" t="s">
        <v>62</v>
      </c>
      <c r="AF3437" t="s">
        <v>62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</v>
      </c>
      <c r="AV3437">
        <v>2</v>
      </c>
      <c r="AW3437">
        <v>2</v>
      </c>
      <c r="AX3437">
        <v>0</v>
      </c>
      <c r="AY3437">
        <v>4</v>
      </c>
      <c r="AZ3437">
        <v>1</v>
      </c>
      <c r="BA3437" t="s">
        <v>193</v>
      </c>
      <c r="BB3437" t="s">
        <v>17599</v>
      </c>
      <c r="BC3437">
        <v>1.4139999999999999</v>
      </c>
      <c r="BD3437" t="s">
        <v>65</v>
      </c>
      <c r="BE3437">
        <v>6</v>
      </c>
      <c r="BF3437">
        <v>1</v>
      </c>
      <c r="BG3437" t="s">
        <v>17600</v>
      </c>
      <c r="BH3437" t="s">
        <v>17601</v>
      </c>
      <c r="BI3437" t="s">
        <v>17602</v>
      </c>
      <c r="BJ3437">
        <v>4.9680000000000002E-2</v>
      </c>
      <c r="BK3437">
        <v>1</v>
      </c>
      <c r="BL3437" t="s">
        <v>69</v>
      </c>
      <c r="BM3437">
        <v>-1.171</v>
      </c>
      <c r="BN3437">
        <v>-0.308</v>
      </c>
    </row>
    <row r="3438" spans="10:66">
      <c r="J3438">
        <v>0</v>
      </c>
      <c r="K3438">
        <v>2</v>
      </c>
      <c r="L3438">
        <v>2</v>
      </c>
      <c r="M3438" t="s">
        <v>25021</v>
      </c>
      <c r="N3438">
        <v>3044</v>
      </c>
      <c r="O3438" t="s">
        <v>17610</v>
      </c>
      <c r="P3438" t="s">
        <v>57</v>
      </c>
      <c r="Q3438">
        <v>2996980</v>
      </c>
      <c r="R3438">
        <v>2997279</v>
      </c>
      <c r="S3438" t="s">
        <v>116</v>
      </c>
      <c r="T3438">
        <v>100</v>
      </c>
      <c r="U3438" t="s">
        <v>59</v>
      </c>
      <c r="V3438">
        <v>49</v>
      </c>
      <c r="W3438" t="str">
        <f>HYPERLINK("Gene3044-zp_tree_all.dnd", "Gene3044-tree")</f>
        <v>Gene3044-tree</v>
      </c>
      <c r="X3438">
        <v>5</v>
      </c>
      <c r="Y3438">
        <v>3</v>
      </c>
      <c r="Z3438">
        <v>5</v>
      </c>
      <c r="AA3438">
        <v>3</v>
      </c>
      <c r="AB3438">
        <v>0.375</v>
      </c>
      <c r="AC3438" t="s">
        <v>199</v>
      </c>
      <c r="AD3438" t="s">
        <v>324</v>
      </c>
      <c r="AE3438" t="s">
        <v>62</v>
      </c>
      <c r="AF3438" t="s">
        <v>62</v>
      </c>
      <c r="AG3438">
        <v>2</v>
      </c>
      <c r="AH3438">
        <v>4</v>
      </c>
      <c r="AI3438">
        <v>4</v>
      </c>
      <c r="AJ3438">
        <v>0.5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0</v>
      </c>
      <c r="AR3438">
        <v>0</v>
      </c>
      <c r="AS3438">
        <v>3</v>
      </c>
      <c r="AT3438">
        <v>0</v>
      </c>
      <c r="AU3438">
        <v>5</v>
      </c>
      <c r="AV3438">
        <v>4</v>
      </c>
      <c r="AW3438">
        <v>3</v>
      </c>
      <c r="AX3438">
        <v>2</v>
      </c>
      <c r="AY3438">
        <v>10</v>
      </c>
      <c r="AZ3438">
        <v>6</v>
      </c>
      <c r="BA3438" t="s">
        <v>17611</v>
      </c>
      <c r="BB3438" t="s">
        <v>17612</v>
      </c>
      <c r="BC3438">
        <v>9.8000000000000004E-2</v>
      </c>
      <c r="BD3438" t="s">
        <v>65</v>
      </c>
      <c r="BE3438">
        <v>13</v>
      </c>
      <c r="BF3438">
        <v>8</v>
      </c>
      <c r="BG3438" t="s">
        <v>17613</v>
      </c>
      <c r="BH3438" t="s">
        <v>17614</v>
      </c>
      <c r="BI3438" t="s">
        <v>17615</v>
      </c>
      <c r="BJ3438">
        <v>0.18614</v>
      </c>
      <c r="BK3438">
        <v>1</v>
      </c>
      <c r="BL3438" t="s">
        <v>69</v>
      </c>
      <c r="BM3438">
        <v>-0.877</v>
      </c>
      <c r="BN3438">
        <v>0.89900000000000002</v>
      </c>
    </row>
    <row r="3439" spans="10:66">
      <c r="J3439">
        <v>0</v>
      </c>
      <c r="K3439">
        <v>2</v>
      </c>
      <c r="L3439">
        <v>0</v>
      </c>
      <c r="M3439" t="s">
        <v>25021</v>
      </c>
      <c r="N3439">
        <v>3058</v>
      </c>
      <c r="O3439" t="s">
        <v>17703</v>
      </c>
      <c r="P3439" t="s">
        <v>57</v>
      </c>
      <c r="Q3439">
        <v>3008938</v>
      </c>
      <c r="R3439">
        <v>3009861</v>
      </c>
      <c r="S3439" t="s">
        <v>17704</v>
      </c>
      <c r="T3439">
        <v>308</v>
      </c>
      <c r="U3439" t="s">
        <v>2555</v>
      </c>
      <c r="V3439">
        <v>34</v>
      </c>
      <c r="W3439" t="str">
        <f>HYPERLINK("Gene3058-zp_tree_all.dnd", "Gene3058-tree")</f>
        <v>Gene3058-tree</v>
      </c>
      <c r="X3439">
        <v>2</v>
      </c>
      <c r="Y3439">
        <v>7</v>
      </c>
      <c r="Z3439">
        <v>2</v>
      </c>
      <c r="AA3439">
        <v>7</v>
      </c>
      <c r="AB3439">
        <v>0.77778000000000003</v>
      </c>
      <c r="AC3439" t="s">
        <v>81</v>
      </c>
      <c r="AD3439" t="s">
        <v>152</v>
      </c>
      <c r="AE3439" t="s">
        <v>62</v>
      </c>
      <c r="AF3439" t="s">
        <v>62</v>
      </c>
      <c r="AG3439">
        <v>1</v>
      </c>
      <c r="AH3439">
        <v>2</v>
      </c>
      <c r="AI3439">
        <v>11</v>
      </c>
      <c r="AJ3439">
        <v>0.15384999999999999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2</v>
      </c>
      <c r="AQ3439">
        <v>0</v>
      </c>
      <c r="AR3439">
        <v>2</v>
      </c>
      <c r="AS3439">
        <v>6</v>
      </c>
      <c r="AT3439">
        <v>0.25</v>
      </c>
      <c r="AU3439">
        <v>8</v>
      </c>
      <c r="AV3439">
        <v>4</v>
      </c>
      <c r="AW3439">
        <v>21</v>
      </c>
      <c r="AX3439">
        <v>8</v>
      </c>
      <c r="AY3439">
        <v>8</v>
      </c>
      <c r="AZ3439">
        <v>6</v>
      </c>
      <c r="BA3439" t="s">
        <v>17705</v>
      </c>
      <c r="BB3439" t="s">
        <v>17706</v>
      </c>
      <c r="BC3439">
        <v>0.85199999999999998</v>
      </c>
      <c r="BD3439" t="s">
        <v>65</v>
      </c>
      <c r="BE3439">
        <v>29</v>
      </c>
      <c r="BF3439">
        <v>14</v>
      </c>
      <c r="BG3439" t="s">
        <v>17707</v>
      </c>
      <c r="BH3439" t="s">
        <v>17708</v>
      </c>
      <c r="BI3439" t="s">
        <v>17709</v>
      </c>
      <c r="BJ3439">
        <v>0.17632</v>
      </c>
      <c r="BK3439">
        <v>1</v>
      </c>
      <c r="BL3439" t="s">
        <v>69</v>
      </c>
      <c r="BM3439">
        <v>-1.2070000000000001</v>
      </c>
      <c r="BN3439">
        <v>-1.002</v>
      </c>
    </row>
    <row r="3440" spans="10:66">
      <c r="J3440">
        <v>0</v>
      </c>
      <c r="K3440">
        <v>4</v>
      </c>
      <c r="L3440">
        <v>1</v>
      </c>
      <c r="M3440" t="s">
        <v>25021</v>
      </c>
      <c r="N3440">
        <v>3072</v>
      </c>
      <c r="O3440" t="s">
        <v>17792</v>
      </c>
      <c r="P3440" t="s">
        <v>57</v>
      </c>
      <c r="Q3440">
        <v>3021233</v>
      </c>
      <c r="R3440">
        <v>3022033</v>
      </c>
      <c r="S3440" t="s">
        <v>17793</v>
      </c>
      <c r="T3440">
        <v>267</v>
      </c>
      <c r="U3440" t="s">
        <v>108</v>
      </c>
      <c r="V3440">
        <v>44</v>
      </c>
      <c r="W3440" t="str">
        <f>HYPERLINK("Gene3072-zp_tree_all.dnd", "Gene3072-tree")</f>
        <v>Gene3072-tree</v>
      </c>
      <c r="X3440">
        <v>10</v>
      </c>
      <c r="Y3440">
        <v>5</v>
      </c>
      <c r="Z3440">
        <v>10</v>
      </c>
      <c r="AA3440">
        <v>5</v>
      </c>
      <c r="AB3440">
        <v>0.33333000000000002</v>
      </c>
      <c r="AC3440" t="s">
        <v>117</v>
      </c>
      <c r="AD3440" t="s">
        <v>199</v>
      </c>
      <c r="AE3440" t="s">
        <v>62</v>
      </c>
      <c r="AF3440" t="s">
        <v>62</v>
      </c>
      <c r="AG3440">
        <v>2</v>
      </c>
      <c r="AH3440">
        <v>5</v>
      </c>
      <c r="AI3440">
        <v>6</v>
      </c>
      <c r="AJ3440">
        <v>0.45455000000000001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2</v>
      </c>
      <c r="AQ3440">
        <v>0</v>
      </c>
      <c r="AR3440">
        <v>2</v>
      </c>
      <c r="AS3440">
        <v>6</v>
      </c>
      <c r="AT3440">
        <v>0.25</v>
      </c>
      <c r="AU3440">
        <v>13</v>
      </c>
      <c r="AV3440">
        <v>10</v>
      </c>
      <c r="AW3440">
        <v>47</v>
      </c>
      <c r="AX3440">
        <v>8</v>
      </c>
      <c r="AY3440">
        <v>34</v>
      </c>
      <c r="AZ3440">
        <v>3</v>
      </c>
      <c r="BA3440" t="s">
        <v>17794</v>
      </c>
      <c r="BB3440" t="s">
        <v>17795</v>
      </c>
      <c r="BC3440">
        <v>0.53400000000000003</v>
      </c>
      <c r="BD3440" t="s">
        <v>65</v>
      </c>
      <c r="BE3440">
        <v>81</v>
      </c>
      <c r="BF3440">
        <v>11</v>
      </c>
      <c r="BG3440" t="s">
        <v>17796</v>
      </c>
      <c r="BH3440" t="s">
        <v>17797</v>
      </c>
      <c r="BI3440" t="s">
        <v>17798</v>
      </c>
      <c r="BJ3440">
        <v>3.4279999999999998E-2</v>
      </c>
      <c r="BK3440">
        <v>1</v>
      </c>
      <c r="BL3440" t="s">
        <v>69</v>
      </c>
      <c r="BM3440">
        <v>-0.46600000000000003</v>
      </c>
      <c r="BN3440">
        <v>-0.83599999999999997</v>
      </c>
    </row>
    <row r="3441" spans="10:66">
      <c r="J3441">
        <v>0</v>
      </c>
      <c r="K3441">
        <v>3</v>
      </c>
      <c r="L3441">
        <v>0</v>
      </c>
      <c r="M3441" t="s">
        <v>25021</v>
      </c>
      <c r="N3441">
        <v>3078</v>
      </c>
      <c r="O3441" t="s">
        <v>17832</v>
      </c>
      <c r="P3441" t="s">
        <v>57</v>
      </c>
      <c r="Q3441">
        <v>3028297</v>
      </c>
      <c r="R3441">
        <v>3029631</v>
      </c>
      <c r="S3441" t="s">
        <v>17833</v>
      </c>
      <c r="T3441">
        <v>445</v>
      </c>
      <c r="U3441" t="s">
        <v>108</v>
      </c>
      <c r="V3441">
        <v>44</v>
      </c>
      <c r="W3441" t="str">
        <f>HYPERLINK("Gene3078-zp_tree_all.dnd", "Gene3078-tree")</f>
        <v>Gene3078-tree</v>
      </c>
      <c r="X3441">
        <v>10</v>
      </c>
      <c r="Y3441">
        <v>4</v>
      </c>
      <c r="Z3441">
        <v>10</v>
      </c>
      <c r="AA3441">
        <v>4</v>
      </c>
      <c r="AB3441">
        <v>0.28571000000000002</v>
      </c>
      <c r="AC3441" t="s">
        <v>117</v>
      </c>
      <c r="AD3441" t="s">
        <v>61</v>
      </c>
      <c r="AE3441" t="s">
        <v>62</v>
      </c>
      <c r="AF3441" t="s">
        <v>62</v>
      </c>
      <c r="AG3441">
        <v>1</v>
      </c>
      <c r="AH3441">
        <v>3</v>
      </c>
      <c r="AI3441">
        <v>1</v>
      </c>
      <c r="AJ3441">
        <v>0.75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3</v>
      </c>
      <c r="AQ3441">
        <v>0</v>
      </c>
      <c r="AR3441">
        <v>3</v>
      </c>
      <c r="AS3441">
        <v>1</v>
      </c>
      <c r="AT3441">
        <v>0.75</v>
      </c>
      <c r="AU3441">
        <v>12</v>
      </c>
      <c r="AV3441">
        <v>10</v>
      </c>
      <c r="AW3441">
        <v>34</v>
      </c>
      <c r="AX3441">
        <v>4</v>
      </c>
      <c r="AY3441">
        <v>14</v>
      </c>
      <c r="AZ3441">
        <v>0</v>
      </c>
      <c r="BA3441" t="s">
        <v>17834</v>
      </c>
      <c r="BB3441" t="s">
        <v>193</v>
      </c>
      <c r="BC3441">
        <v>1.385</v>
      </c>
      <c r="BD3441" t="s">
        <v>65</v>
      </c>
      <c r="BE3441">
        <v>48</v>
      </c>
      <c r="BF3441">
        <v>4</v>
      </c>
      <c r="BG3441" t="s">
        <v>17835</v>
      </c>
      <c r="BH3441" t="s">
        <v>17836</v>
      </c>
      <c r="BI3441" t="s">
        <v>17837</v>
      </c>
      <c r="BJ3441">
        <v>2.094E-2</v>
      </c>
      <c r="BK3441">
        <v>1</v>
      </c>
      <c r="BL3441" t="s">
        <v>69</v>
      </c>
      <c r="BM3441">
        <v>-0.502</v>
      </c>
      <c r="BN3441">
        <v>-0.622</v>
      </c>
    </row>
    <row r="3442" spans="10:66">
      <c r="J3442">
        <v>0</v>
      </c>
      <c r="K3442">
        <v>2</v>
      </c>
      <c r="L3442">
        <v>0</v>
      </c>
      <c r="M3442" t="s">
        <v>25021</v>
      </c>
      <c r="N3442">
        <v>3080</v>
      </c>
      <c r="O3442" t="s">
        <v>17844</v>
      </c>
      <c r="P3442" t="s">
        <v>57</v>
      </c>
      <c r="Q3442">
        <v>3031614</v>
      </c>
      <c r="R3442">
        <v>3032417</v>
      </c>
      <c r="S3442" t="s">
        <v>17845</v>
      </c>
      <c r="T3442">
        <v>268</v>
      </c>
      <c r="U3442" t="s">
        <v>108</v>
      </c>
      <c r="V3442">
        <v>44</v>
      </c>
      <c r="W3442" t="str">
        <f>HYPERLINK("Gene3080-zp_tree_all.dnd", "Gene3080-tree")</f>
        <v>Gene3080-tree</v>
      </c>
      <c r="X3442">
        <v>7</v>
      </c>
      <c r="Y3442">
        <v>5</v>
      </c>
      <c r="Z3442">
        <v>7</v>
      </c>
      <c r="AA3442">
        <v>5</v>
      </c>
      <c r="AB3442">
        <v>0.41666999999999998</v>
      </c>
      <c r="AC3442" t="s">
        <v>152</v>
      </c>
      <c r="AD3442" t="s">
        <v>199</v>
      </c>
      <c r="AE3442" t="s">
        <v>62</v>
      </c>
      <c r="AF3442" t="s">
        <v>62</v>
      </c>
      <c r="AG3442">
        <v>1</v>
      </c>
      <c r="AH3442">
        <v>2</v>
      </c>
      <c r="AI3442">
        <v>9</v>
      </c>
      <c r="AJ3442">
        <v>0.18182000000000001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2</v>
      </c>
      <c r="AQ3442">
        <v>0</v>
      </c>
      <c r="AR3442">
        <v>2</v>
      </c>
      <c r="AS3442">
        <v>7</v>
      </c>
      <c r="AT3442">
        <v>0.22222</v>
      </c>
      <c r="AU3442">
        <v>11</v>
      </c>
      <c r="AV3442">
        <v>5</v>
      </c>
      <c r="AW3442">
        <v>20</v>
      </c>
      <c r="AX3442">
        <v>9</v>
      </c>
      <c r="AY3442">
        <v>15</v>
      </c>
      <c r="AZ3442">
        <v>2</v>
      </c>
      <c r="BA3442" t="s">
        <v>17846</v>
      </c>
      <c r="BB3442" t="s">
        <v>17847</v>
      </c>
      <c r="BC3442">
        <v>0.76200000000000001</v>
      </c>
      <c r="BD3442" t="s">
        <v>65</v>
      </c>
      <c r="BE3442">
        <v>35</v>
      </c>
      <c r="BF3442">
        <v>11</v>
      </c>
      <c r="BG3442" t="s">
        <v>17848</v>
      </c>
      <c r="BH3442" t="s">
        <v>17849</v>
      </c>
      <c r="BI3442" t="s">
        <v>17850</v>
      </c>
      <c r="BJ3442">
        <v>0.10138</v>
      </c>
      <c r="BK3442">
        <v>1</v>
      </c>
      <c r="BL3442" t="s">
        <v>69</v>
      </c>
      <c r="BM3442">
        <v>-0.75900000000000001</v>
      </c>
      <c r="BN3442">
        <v>-1.421</v>
      </c>
    </row>
    <row r="3443" spans="10:66">
      <c r="J3443">
        <v>0</v>
      </c>
      <c r="K3443">
        <v>2</v>
      </c>
      <c r="L3443">
        <v>0</v>
      </c>
      <c r="M3443" t="s">
        <v>25021</v>
      </c>
      <c r="N3443">
        <v>3082</v>
      </c>
      <c r="O3443" t="s">
        <v>17858</v>
      </c>
      <c r="P3443" t="s">
        <v>57</v>
      </c>
      <c r="Q3443">
        <v>3033167</v>
      </c>
      <c r="R3443">
        <v>3033655</v>
      </c>
      <c r="S3443" t="s">
        <v>17859</v>
      </c>
      <c r="T3443">
        <v>163</v>
      </c>
      <c r="U3443" t="s">
        <v>108</v>
      </c>
      <c r="V3443">
        <v>44</v>
      </c>
      <c r="W3443" t="str">
        <f>HYPERLINK("Gene3082-zp_tree_all.dnd", "Gene3082-tree")</f>
        <v>Gene3082-tree</v>
      </c>
      <c r="X3443">
        <v>8</v>
      </c>
      <c r="Y3443">
        <v>2</v>
      </c>
      <c r="Z3443">
        <v>8</v>
      </c>
      <c r="AA3443">
        <v>2</v>
      </c>
      <c r="AB3443">
        <v>0.2</v>
      </c>
      <c r="AC3443" t="s">
        <v>136</v>
      </c>
      <c r="AD3443" t="s">
        <v>81</v>
      </c>
      <c r="AE3443" t="s">
        <v>62</v>
      </c>
      <c r="AF3443" t="s">
        <v>62</v>
      </c>
      <c r="AG3443">
        <v>1</v>
      </c>
      <c r="AH3443">
        <v>2</v>
      </c>
      <c r="AI3443">
        <v>1</v>
      </c>
      <c r="AJ3443">
        <v>0.66666999999999998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0</v>
      </c>
      <c r="AS3443">
        <v>2</v>
      </c>
      <c r="AT3443">
        <v>0</v>
      </c>
      <c r="AU3443">
        <v>8</v>
      </c>
      <c r="AV3443">
        <v>4</v>
      </c>
      <c r="AW3443">
        <v>9</v>
      </c>
      <c r="AX3443">
        <v>2</v>
      </c>
      <c r="AY3443">
        <v>5</v>
      </c>
      <c r="AZ3443">
        <v>1</v>
      </c>
      <c r="BA3443" t="s">
        <v>17860</v>
      </c>
      <c r="BB3443" t="s">
        <v>17861</v>
      </c>
      <c r="BC3443">
        <v>4.5999999999999999E-2</v>
      </c>
      <c r="BD3443" t="s">
        <v>65</v>
      </c>
      <c r="BE3443">
        <v>14</v>
      </c>
      <c r="BF3443">
        <v>3</v>
      </c>
      <c r="BG3443" t="s">
        <v>17862</v>
      </c>
      <c r="BH3443" t="s">
        <v>17863</v>
      </c>
      <c r="BI3443" t="s">
        <v>17864</v>
      </c>
      <c r="BJ3443">
        <v>6.3320000000000001E-2</v>
      </c>
      <c r="BK3443">
        <v>1</v>
      </c>
      <c r="BL3443" t="s">
        <v>69</v>
      </c>
      <c r="BM3443">
        <v>-0.68300000000000005</v>
      </c>
      <c r="BN3443">
        <v>-1.984</v>
      </c>
    </row>
    <row r="3444" spans="10:66">
      <c r="J3444">
        <v>0</v>
      </c>
      <c r="K3444">
        <v>0</v>
      </c>
      <c r="L3444">
        <v>0</v>
      </c>
      <c r="M3444" t="s">
        <v>25021</v>
      </c>
      <c r="N3444">
        <v>3084</v>
      </c>
      <c r="O3444" t="s">
        <v>17871</v>
      </c>
      <c r="P3444" t="s">
        <v>57</v>
      </c>
      <c r="Q3444">
        <v>3035730</v>
      </c>
      <c r="R3444">
        <v>3036329</v>
      </c>
      <c r="S3444" t="s">
        <v>17872</v>
      </c>
      <c r="T3444">
        <v>200</v>
      </c>
      <c r="U3444" t="s">
        <v>59</v>
      </c>
      <c r="V3444">
        <v>49</v>
      </c>
      <c r="W3444" t="str">
        <f>HYPERLINK("Gene3084-zp_tree_all.dnd", "Gene3084-tree")</f>
        <v>Gene3084-tree</v>
      </c>
      <c r="X3444">
        <v>12</v>
      </c>
      <c r="Y3444">
        <v>0</v>
      </c>
      <c r="Z3444">
        <v>12</v>
      </c>
      <c r="AA3444">
        <v>0</v>
      </c>
      <c r="AB3444">
        <v>0</v>
      </c>
      <c r="AC3444" t="s">
        <v>109</v>
      </c>
      <c r="AD3444" t="s">
        <v>62</v>
      </c>
      <c r="AE3444" t="s">
        <v>62</v>
      </c>
      <c r="AF3444" t="s">
        <v>62</v>
      </c>
      <c r="AG3444">
        <v>0</v>
      </c>
      <c r="AH3444">
        <v>0</v>
      </c>
      <c r="AI3444">
        <v>2</v>
      </c>
      <c r="AJ3444">
        <v>0</v>
      </c>
      <c r="AK3444">
        <v>0</v>
      </c>
      <c r="AL3444">
        <v>0</v>
      </c>
      <c r="AM3444">
        <v>0</v>
      </c>
      <c r="AN3444">
        <v>2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8</v>
      </c>
      <c r="AV3444">
        <v>5</v>
      </c>
      <c r="AW3444">
        <v>13</v>
      </c>
      <c r="AX3444">
        <v>0</v>
      </c>
      <c r="AY3444">
        <v>9</v>
      </c>
      <c r="AZ3444">
        <v>2</v>
      </c>
      <c r="BA3444" t="s">
        <v>193</v>
      </c>
      <c r="BB3444" t="s">
        <v>17873</v>
      </c>
      <c r="BC3444">
        <v>0.96799999999999997</v>
      </c>
      <c r="BD3444" t="s">
        <v>65</v>
      </c>
      <c r="BE3444">
        <v>22</v>
      </c>
      <c r="BF3444">
        <v>2</v>
      </c>
      <c r="BG3444" t="s">
        <v>17874</v>
      </c>
      <c r="BH3444" t="s">
        <v>17875</v>
      </c>
      <c r="BI3444" t="s">
        <v>17876</v>
      </c>
      <c r="BJ3444">
        <v>5.0729999999999997E-2</v>
      </c>
      <c r="BK3444">
        <v>1</v>
      </c>
      <c r="BL3444" t="s">
        <v>69</v>
      </c>
      <c r="BM3444">
        <v>-1.6259999999999999</v>
      </c>
      <c r="BN3444">
        <v>-1.014</v>
      </c>
    </row>
    <row r="3445" spans="10:66">
      <c r="J3445">
        <v>0</v>
      </c>
      <c r="K3445">
        <v>0</v>
      </c>
      <c r="L3445">
        <v>0</v>
      </c>
      <c r="M3445" t="s">
        <v>25021</v>
      </c>
      <c r="N3445">
        <v>3087</v>
      </c>
      <c r="O3445" t="s">
        <v>17890</v>
      </c>
      <c r="P3445" t="s">
        <v>57</v>
      </c>
      <c r="Q3445">
        <v>3040092</v>
      </c>
      <c r="R3445">
        <v>3040721</v>
      </c>
      <c r="S3445" t="s">
        <v>17891</v>
      </c>
      <c r="T3445">
        <v>210</v>
      </c>
      <c r="U3445" t="s">
        <v>698</v>
      </c>
      <c r="V3445">
        <v>47</v>
      </c>
      <c r="W3445" t="str">
        <f>HYPERLINK("Gene3087-zp_tree_all.dnd", "Gene3087-tree")</f>
        <v>Gene3087-tree</v>
      </c>
      <c r="X3445">
        <v>11</v>
      </c>
      <c r="Y3445">
        <v>2</v>
      </c>
      <c r="Z3445">
        <v>11</v>
      </c>
      <c r="AA3445">
        <v>2</v>
      </c>
      <c r="AB3445">
        <v>0.15384999999999999</v>
      </c>
      <c r="AC3445" t="s">
        <v>73</v>
      </c>
      <c r="AD3445" t="s">
        <v>81</v>
      </c>
      <c r="AE3445" t="s">
        <v>62</v>
      </c>
      <c r="AF3445" t="s">
        <v>62</v>
      </c>
      <c r="AG3445">
        <v>0</v>
      </c>
      <c r="AH3445">
        <v>0</v>
      </c>
      <c r="AI3445">
        <v>9</v>
      </c>
      <c r="AJ3445">
        <v>0</v>
      </c>
      <c r="AK3445">
        <v>0</v>
      </c>
      <c r="AL3445">
        <v>0</v>
      </c>
      <c r="AM3445">
        <v>0</v>
      </c>
      <c r="AN3445">
        <v>2</v>
      </c>
      <c r="AO3445">
        <v>0</v>
      </c>
      <c r="AP3445">
        <v>0</v>
      </c>
      <c r="AQ3445">
        <v>0</v>
      </c>
      <c r="AR3445">
        <v>0</v>
      </c>
      <c r="AS3445">
        <v>3</v>
      </c>
      <c r="AT3445">
        <v>0</v>
      </c>
      <c r="AU3445">
        <v>8</v>
      </c>
      <c r="AV3445">
        <v>8</v>
      </c>
      <c r="AW3445">
        <v>17</v>
      </c>
      <c r="AX3445">
        <v>2</v>
      </c>
      <c r="AY3445">
        <v>24</v>
      </c>
      <c r="AZ3445">
        <v>7</v>
      </c>
      <c r="BA3445" t="s">
        <v>17892</v>
      </c>
      <c r="BB3445" t="s">
        <v>17893</v>
      </c>
      <c r="BC3445">
        <v>0.372</v>
      </c>
      <c r="BD3445" t="s">
        <v>65</v>
      </c>
      <c r="BE3445">
        <v>41</v>
      </c>
      <c r="BF3445">
        <v>9</v>
      </c>
      <c r="BG3445" t="s">
        <v>17894</v>
      </c>
      <c r="BH3445" t="s">
        <v>17895</v>
      </c>
      <c r="BI3445" t="s">
        <v>17896</v>
      </c>
      <c r="BJ3445">
        <v>7.2559999999999999E-2</v>
      </c>
      <c r="BK3445">
        <v>1</v>
      </c>
      <c r="BL3445" t="s">
        <v>69</v>
      </c>
      <c r="BM3445">
        <v>-1.6379999999999999</v>
      </c>
      <c r="BN3445">
        <v>-0.66700000000000004</v>
      </c>
    </row>
    <row r="3446" spans="10:66">
      <c r="J3446">
        <v>0</v>
      </c>
      <c r="K3446">
        <v>2</v>
      </c>
      <c r="L3446">
        <v>4</v>
      </c>
      <c r="M3446" t="s">
        <v>25021</v>
      </c>
      <c r="N3446">
        <v>3088</v>
      </c>
      <c r="O3446" t="s">
        <v>17897</v>
      </c>
      <c r="P3446" t="s">
        <v>57</v>
      </c>
      <c r="Q3446">
        <v>3040751</v>
      </c>
      <c r="R3446">
        <v>3041392</v>
      </c>
      <c r="S3446" t="s">
        <v>17898</v>
      </c>
      <c r="T3446">
        <v>214</v>
      </c>
      <c r="U3446" t="s">
        <v>698</v>
      </c>
      <c r="V3446">
        <v>47</v>
      </c>
      <c r="W3446" t="str">
        <f>HYPERLINK("Gene3088-zp_tree_all.dnd", "Gene3088-tree")</f>
        <v>Gene3088-tree</v>
      </c>
      <c r="X3446">
        <v>11</v>
      </c>
      <c r="Y3446">
        <v>7</v>
      </c>
      <c r="Z3446">
        <v>11</v>
      </c>
      <c r="AA3446">
        <v>7</v>
      </c>
      <c r="AB3446">
        <v>0.38889000000000001</v>
      </c>
      <c r="AC3446" t="s">
        <v>73</v>
      </c>
      <c r="AD3446" t="s">
        <v>152</v>
      </c>
      <c r="AE3446" t="s">
        <v>62</v>
      </c>
      <c r="AF3446" t="s">
        <v>62</v>
      </c>
      <c r="AG3446">
        <v>3</v>
      </c>
      <c r="AH3446">
        <v>6</v>
      </c>
      <c r="AI3446">
        <v>11</v>
      </c>
      <c r="AJ3446">
        <v>0.35293999999999998</v>
      </c>
      <c r="AK3446">
        <v>0</v>
      </c>
      <c r="AL3446">
        <v>0</v>
      </c>
      <c r="AM3446">
        <v>0</v>
      </c>
      <c r="AN3446">
        <v>2</v>
      </c>
      <c r="AO3446">
        <v>0</v>
      </c>
      <c r="AP3446">
        <v>0</v>
      </c>
      <c r="AQ3446">
        <v>0</v>
      </c>
      <c r="AR3446">
        <v>0</v>
      </c>
      <c r="AS3446">
        <v>9</v>
      </c>
      <c r="AT3446">
        <v>0</v>
      </c>
      <c r="AU3446">
        <v>14</v>
      </c>
      <c r="AV3446">
        <v>10</v>
      </c>
      <c r="AW3446">
        <v>25</v>
      </c>
      <c r="AX3446">
        <v>10</v>
      </c>
      <c r="AY3446">
        <v>32</v>
      </c>
      <c r="AZ3446">
        <v>8</v>
      </c>
      <c r="BA3446" t="s">
        <v>17899</v>
      </c>
      <c r="BB3446" t="s">
        <v>17900</v>
      </c>
      <c r="BC3446">
        <v>0.24399999999999999</v>
      </c>
      <c r="BD3446" t="s">
        <v>65</v>
      </c>
      <c r="BE3446">
        <v>57</v>
      </c>
      <c r="BF3446">
        <v>18</v>
      </c>
      <c r="BG3446" t="s">
        <v>17901</v>
      </c>
      <c r="BH3446" t="s">
        <v>17902</v>
      </c>
      <c r="BI3446" t="s">
        <v>17903</v>
      </c>
      <c r="BJ3446">
        <v>7.6999999999999999E-2</v>
      </c>
      <c r="BK3446">
        <v>1</v>
      </c>
      <c r="BL3446" t="s">
        <v>69</v>
      </c>
      <c r="BM3446">
        <v>-1.417</v>
      </c>
      <c r="BN3446">
        <v>-0.78300000000000003</v>
      </c>
    </row>
    <row r="3447" spans="10:66">
      <c r="J3447">
        <v>0</v>
      </c>
      <c r="K3447">
        <v>2</v>
      </c>
      <c r="L3447">
        <v>0</v>
      </c>
      <c r="M3447" t="s">
        <v>25021</v>
      </c>
      <c r="N3447">
        <v>3089</v>
      </c>
      <c r="O3447" t="s">
        <v>17904</v>
      </c>
      <c r="P3447" t="s">
        <v>57</v>
      </c>
      <c r="Q3447">
        <v>3041392</v>
      </c>
      <c r="R3447">
        <v>3042552</v>
      </c>
      <c r="S3447" t="s">
        <v>17905</v>
      </c>
      <c r="T3447">
        <v>387</v>
      </c>
      <c r="U3447" t="s">
        <v>108</v>
      </c>
      <c r="V3447">
        <v>44</v>
      </c>
      <c r="W3447" t="str">
        <f>HYPERLINK("Gene3089-zp_tree_all.dnd", "Gene3089-tree")</f>
        <v>Gene3089-tree</v>
      </c>
      <c r="X3447">
        <v>9</v>
      </c>
      <c r="Y3447">
        <v>5</v>
      </c>
      <c r="Z3447">
        <v>9</v>
      </c>
      <c r="AA3447">
        <v>5</v>
      </c>
      <c r="AB3447">
        <v>0.35714000000000001</v>
      </c>
      <c r="AC3447" t="s">
        <v>135</v>
      </c>
      <c r="AD3447" t="s">
        <v>199</v>
      </c>
      <c r="AE3447" t="s">
        <v>62</v>
      </c>
      <c r="AF3447" t="s">
        <v>62</v>
      </c>
      <c r="AG3447">
        <v>1</v>
      </c>
      <c r="AH3447">
        <v>2</v>
      </c>
      <c r="AI3447">
        <v>11</v>
      </c>
      <c r="AJ3447">
        <v>0.15384999999999999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10</v>
      </c>
      <c r="AT3447">
        <v>0</v>
      </c>
      <c r="AU3447">
        <v>12</v>
      </c>
      <c r="AV3447">
        <v>10</v>
      </c>
      <c r="AW3447">
        <v>28</v>
      </c>
      <c r="AX3447">
        <v>10</v>
      </c>
      <c r="AY3447">
        <v>35</v>
      </c>
      <c r="AZ3447">
        <v>3</v>
      </c>
      <c r="BA3447" t="s">
        <v>17906</v>
      </c>
      <c r="BB3447" t="s">
        <v>17907</v>
      </c>
      <c r="BC3447">
        <v>0.59199999999999997</v>
      </c>
      <c r="BD3447" t="s">
        <v>65</v>
      </c>
      <c r="BE3447">
        <v>63</v>
      </c>
      <c r="BF3447">
        <v>13</v>
      </c>
      <c r="BG3447" t="s">
        <v>17908</v>
      </c>
      <c r="BH3447" t="s">
        <v>17909</v>
      </c>
      <c r="BI3447" t="s">
        <v>17910</v>
      </c>
      <c r="BJ3447">
        <v>5.6669999999999998E-2</v>
      </c>
      <c r="BK3447">
        <v>1</v>
      </c>
      <c r="BL3447" t="s">
        <v>69</v>
      </c>
      <c r="BM3447">
        <v>0.02</v>
      </c>
      <c r="BN3447">
        <v>-0.82</v>
      </c>
    </row>
    <row r="3448" spans="10:66">
      <c r="J3448">
        <v>0</v>
      </c>
      <c r="K3448">
        <v>0</v>
      </c>
      <c r="L3448">
        <v>0</v>
      </c>
      <c r="M3448" t="s">
        <v>25021</v>
      </c>
      <c r="N3448">
        <v>3104</v>
      </c>
      <c r="O3448" t="s">
        <v>18004</v>
      </c>
      <c r="P3448" t="s">
        <v>57</v>
      </c>
      <c r="Q3448">
        <v>3056479</v>
      </c>
      <c r="R3448">
        <v>3056793</v>
      </c>
      <c r="S3448" t="s">
        <v>116</v>
      </c>
      <c r="T3448">
        <v>105</v>
      </c>
      <c r="U3448" t="s">
        <v>3274</v>
      </c>
      <c r="V3448">
        <v>46</v>
      </c>
      <c r="W3448" t="str">
        <f>HYPERLINK("Gene3104-zp_tree_all.dnd", "Gene3104-tree")</f>
        <v>Gene3104-tree</v>
      </c>
      <c r="X3448">
        <v>13</v>
      </c>
      <c r="Y3448">
        <v>1</v>
      </c>
      <c r="Z3448">
        <v>13</v>
      </c>
      <c r="AA3448">
        <v>1</v>
      </c>
      <c r="AB3448">
        <v>7.1429999999999993E-2</v>
      </c>
      <c r="AC3448" t="s">
        <v>507</v>
      </c>
      <c r="AD3448" t="s">
        <v>175</v>
      </c>
      <c r="AE3448" t="s">
        <v>62</v>
      </c>
      <c r="AF3448" t="s">
        <v>62</v>
      </c>
      <c r="AG3448">
        <v>0</v>
      </c>
      <c r="AH3448">
        <v>0</v>
      </c>
      <c r="AI3448">
        <v>4</v>
      </c>
      <c r="AJ3448">
        <v>0</v>
      </c>
      <c r="AK3448">
        <v>0</v>
      </c>
      <c r="AL3448">
        <v>0</v>
      </c>
      <c r="AM3448">
        <v>0</v>
      </c>
      <c r="AN3448">
        <v>2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10</v>
      </c>
      <c r="AV3448">
        <v>6</v>
      </c>
      <c r="AW3448">
        <v>14</v>
      </c>
      <c r="AX3448">
        <v>2</v>
      </c>
      <c r="AY3448">
        <v>13</v>
      </c>
      <c r="AZ3448">
        <v>3</v>
      </c>
      <c r="BA3448" t="s">
        <v>18005</v>
      </c>
      <c r="BB3448" t="s">
        <v>18006</v>
      </c>
      <c r="BC3448">
        <v>0.152</v>
      </c>
      <c r="BD3448" t="s">
        <v>65</v>
      </c>
      <c r="BE3448">
        <v>27</v>
      </c>
      <c r="BF3448">
        <v>5</v>
      </c>
      <c r="BG3448" t="s">
        <v>18007</v>
      </c>
      <c r="BH3448" t="s">
        <v>18008</v>
      </c>
      <c r="BI3448" t="s">
        <v>18009</v>
      </c>
      <c r="BJ3448">
        <v>6.88E-2</v>
      </c>
      <c r="BK3448">
        <v>1</v>
      </c>
      <c r="BL3448" t="s">
        <v>69</v>
      </c>
      <c r="BM3448">
        <v>-1.502</v>
      </c>
      <c r="BN3448">
        <v>-0.78600000000000003</v>
      </c>
    </row>
    <row r="3449" spans="10:66">
      <c r="J3449">
        <v>0</v>
      </c>
      <c r="K3449">
        <v>0</v>
      </c>
      <c r="L3449">
        <v>0</v>
      </c>
      <c r="M3449" t="s">
        <v>25021</v>
      </c>
      <c r="N3449">
        <v>3108</v>
      </c>
      <c r="O3449" t="s">
        <v>18030</v>
      </c>
      <c r="P3449" t="s">
        <v>57</v>
      </c>
      <c r="Q3449">
        <v>3060395</v>
      </c>
      <c r="R3449">
        <v>3060670</v>
      </c>
      <c r="S3449" t="s">
        <v>116</v>
      </c>
      <c r="T3449">
        <v>92</v>
      </c>
      <c r="U3449" t="s">
        <v>59</v>
      </c>
      <c r="V3449">
        <v>49</v>
      </c>
      <c r="W3449" t="str">
        <f>HYPERLINK("Gene3108-zp_tree_all.dnd", "Gene3108-tree")</f>
        <v>Gene3108-tree</v>
      </c>
      <c r="X3449">
        <v>4</v>
      </c>
      <c r="Y3449">
        <v>2</v>
      </c>
      <c r="Z3449">
        <v>4</v>
      </c>
      <c r="AA3449">
        <v>2</v>
      </c>
      <c r="AB3449">
        <v>0.33333000000000002</v>
      </c>
      <c r="AC3449" t="s">
        <v>61</v>
      </c>
      <c r="AD3449" t="s">
        <v>81</v>
      </c>
      <c r="AE3449" t="s">
        <v>62</v>
      </c>
      <c r="AF3449" t="s">
        <v>62</v>
      </c>
      <c r="AG3449">
        <v>0</v>
      </c>
      <c r="AH3449">
        <v>0</v>
      </c>
      <c r="AI3449">
        <v>2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2</v>
      </c>
      <c r="AT3449">
        <v>0</v>
      </c>
      <c r="AU3449">
        <v>5</v>
      </c>
      <c r="AV3449">
        <v>1</v>
      </c>
      <c r="AW3449">
        <v>9</v>
      </c>
      <c r="AX3449">
        <v>2</v>
      </c>
      <c r="AY3449">
        <v>4</v>
      </c>
      <c r="AZ3449">
        <v>0</v>
      </c>
      <c r="BA3449" t="s">
        <v>18031</v>
      </c>
      <c r="BB3449" t="s">
        <v>193</v>
      </c>
      <c r="BC3449">
        <v>1.161</v>
      </c>
      <c r="BD3449" t="s">
        <v>65</v>
      </c>
      <c r="BE3449">
        <v>13</v>
      </c>
      <c r="BF3449">
        <v>2</v>
      </c>
      <c r="BG3449" t="s">
        <v>18032</v>
      </c>
      <c r="BH3449" t="s">
        <v>18033</v>
      </c>
      <c r="BI3449" t="s">
        <v>18034</v>
      </c>
      <c r="BJ3449">
        <v>2.9960000000000001E-2</v>
      </c>
      <c r="BK3449">
        <v>1</v>
      </c>
      <c r="BL3449" t="s">
        <v>69</v>
      </c>
      <c r="BM3449">
        <v>-1.6040000000000001</v>
      </c>
      <c r="BN3449">
        <v>-0.25900000000000001</v>
      </c>
    </row>
    <row r="3450" spans="10:66">
      <c r="J3450">
        <v>0</v>
      </c>
      <c r="K3450">
        <v>0</v>
      </c>
      <c r="L3450">
        <v>2</v>
      </c>
      <c r="M3450" t="s">
        <v>25021</v>
      </c>
      <c r="N3450">
        <v>3114</v>
      </c>
      <c r="O3450" t="s">
        <v>18068</v>
      </c>
      <c r="P3450" t="s">
        <v>57</v>
      </c>
      <c r="Q3450">
        <v>3066451</v>
      </c>
      <c r="R3450">
        <v>3067383</v>
      </c>
      <c r="S3450" t="s">
        <v>18069</v>
      </c>
      <c r="T3450">
        <v>311</v>
      </c>
      <c r="U3450" t="s">
        <v>108</v>
      </c>
      <c r="V3450">
        <v>44</v>
      </c>
      <c r="W3450" t="str">
        <f>HYPERLINK("Gene3114-zp_tree_all.dnd", "Gene3114-tree")</f>
        <v>Gene3114-tree</v>
      </c>
      <c r="X3450">
        <v>9</v>
      </c>
      <c r="Y3450">
        <v>6</v>
      </c>
      <c r="Z3450">
        <v>9</v>
      </c>
      <c r="AA3450">
        <v>6</v>
      </c>
      <c r="AB3450">
        <v>0.4</v>
      </c>
      <c r="AC3450" t="s">
        <v>135</v>
      </c>
      <c r="AD3450" t="s">
        <v>90</v>
      </c>
      <c r="AE3450" t="s">
        <v>62</v>
      </c>
      <c r="AF3450" t="s">
        <v>62</v>
      </c>
      <c r="AG3450">
        <v>1</v>
      </c>
      <c r="AH3450">
        <v>2</v>
      </c>
      <c r="AI3450">
        <v>4</v>
      </c>
      <c r="AJ3450">
        <v>0.33333000000000002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2</v>
      </c>
      <c r="AR3450">
        <v>2</v>
      </c>
      <c r="AS3450">
        <v>4</v>
      </c>
      <c r="AT3450">
        <v>0.33333000000000002</v>
      </c>
      <c r="AU3450">
        <v>13</v>
      </c>
      <c r="AV3450">
        <v>9</v>
      </c>
      <c r="AW3450">
        <v>42</v>
      </c>
      <c r="AX3450">
        <v>6</v>
      </c>
      <c r="AY3450">
        <v>14</v>
      </c>
      <c r="AZ3450">
        <v>0</v>
      </c>
      <c r="BA3450" t="s">
        <v>18070</v>
      </c>
      <c r="BB3450" t="s">
        <v>193</v>
      </c>
      <c r="BC3450">
        <v>1.5780000000000001</v>
      </c>
      <c r="BD3450" t="s">
        <v>65</v>
      </c>
      <c r="BE3450">
        <v>56</v>
      </c>
      <c r="BF3450">
        <v>6</v>
      </c>
      <c r="BG3450" t="s">
        <v>18071</v>
      </c>
      <c r="BH3450" t="s">
        <v>18072</v>
      </c>
      <c r="BI3450" t="s">
        <v>18073</v>
      </c>
      <c r="BJ3450">
        <v>2.878E-2</v>
      </c>
      <c r="BK3450">
        <v>1</v>
      </c>
      <c r="BL3450" t="s">
        <v>69</v>
      </c>
      <c r="BM3450">
        <v>-1.377</v>
      </c>
      <c r="BN3450">
        <v>-2.15</v>
      </c>
    </row>
    <row r="3451" spans="10:66">
      <c r="J3451">
        <v>0</v>
      </c>
      <c r="K3451">
        <v>4</v>
      </c>
      <c r="L3451">
        <v>2</v>
      </c>
      <c r="M3451" t="s">
        <v>25021</v>
      </c>
      <c r="N3451">
        <v>3116</v>
      </c>
      <c r="O3451" t="s">
        <v>18081</v>
      </c>
      <c r="P3451" t="s">
        <v>57</v>
      </c>
      <c r="Q3451">
        <v>3068908</v>
      </c>
      <c r="R3451">
        <v>3070203</v>
      </c>
      <c r="S3451" t="s">
        <v>4184</v>
      </c>
      <c r="T3451">
        <v>432</v>
      </c>
      <c r="U3451" t="s">
        <v>160</v>
      </c>
      <c r="V3451">
        <v>45</v>
      </c>
      <c r="W3451" t="str">
        <f>HYPERLINK("Gene3116-zp_tree_all.dnd", "Gene3116-tree")</f>
        <v>Gene3116-tree</v>
      </c>
      <c r="X3451">
        <v>12</v>
      </c>
      <c r="Y3451">
        <v>5</v>
      </c>
      <c r="Z3451">
        <v>12</v>
      </c>
      <c r="AA3451">
        <v>5</v>
      </c>
      <c r="AB3451">
        <v>0.29411999999999999</v>
      </c>
      <c r="AC3451" t="s">
        <v>109</v>
      </c>
      <c r="AD3451" t="s">
        <v>199</v>
      </c>
      <c r="AE3451" t="s">
        <v>62</v>
      </c>
      <c r="AF3451" t="s">
        <v>62</v>
      </c>
      <c r="AG3451">
        <v>2</v>
      </c>
      <c r="AH3451">
        <v>6</v>
      </c>
      <c r="AI3451">
        <v>8</v>
      </c>
      <c r="AJ3451">
        <v>0.42857000000000001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2</v>
      </c>
      <c r="AR3451">
        <v>2</v>
      </c>
      <c r="AS3451">
        <v>9</v>
      </c>
      <c r="AT3451">
        <v>0.18182000000000001</v>
      </c>
      <c r="AU3451">
        <v>15</v>
      </c>
      <c r="AV3451">
        <v>14</v>
      </c>
      <c r="AW3451">
        <v>81</v>
      </c>
      <c r="AX3451">
        <v>11</v>
      </c>
      <c r="AY3451">
        <v>52</v>
      </c>
      <c r="AZ3451">
        <v>3</v>
      </c>
      <c r="BA3451" t="s">
        <v>18082</v>
      </c>
      <c r="BB3451" t="s">
        <v>18083</v>
      </c>
      <c r="BC3451">
        <v>0.224</v>
      </c>
      <c r="BD3451" t="s">
        <v>65</v>
      </c>
      <c r="BE3451">
        <v>133</v>
      </c>
      <c r="BF3451">
        <v>14</v>
      </c>
      <c r="BG3451" t="s">
        <v>18084</v>
      </c>
      <c r="BH3451" t="s">
        <v>18085</v>
      </c>
      <c r="BI3451" t="s">
        <v>18086</v>
      </c>
      <c r="BJ3451">
        <v>2.5899999999999999E-2</v>
      </c>
      <c r="BK3451">
        <v>1</v>
      </c>
      <c r="BL3451" t="s">
        <v>69</v>
      </c>
      <c r="BM3451">
        <v>-1.103</v>
      </c>
      <c r="BN3451">
        <v>-2.9929999999999999</v>
      </c>
    </row>
    <row r="3452" spans="10:66">
      <c r="J3452">
        <v>0</v>
      </c>
      <c r="K3452">
        <v>0</v>
      </c>
      <c r="L3452">
        <v>0</v>
      </c>
      <c r="M3452" t="s">
        <v>25021</v>
      </c>
      <c r="N3452">
        <v>3119</v>
      </c>
      <c r="O3452" t="s">
        <v>18098</v>
      </c>
      <c r="P3452" t="s">
        <v>57</v>
      </c>
      <c r="Q3452">
        <v>3072401</v>
      </c>
      <c r="R3452">
        <v>3072619</v>
      </c>
      <c r="S3452" t="s">
        <v>18099</v>
      </c>
      <c r="T3452">
        <v>73</v>
      </c>
      <c r="U3452" t="s">
        <v>59</v>
      </c>
      <c r="V3452">
        <v>49</v>
      </c>
      <c r="W3452" t="str">
        <f>HYPERLINK("Gene3119-zp_tree_all.dnd", "Gene3119-tree")</f>
        <v>Gene3119-tree</v>
      </c>
      <c r="X3452">
        <v>24</v>
      </c>
      <c r="Y3452">
        <v>0</v>
      </c>
      <c r="Z3452">
        <v>4</v>
      </c>
      <c r="AA3452">
        <v>0</v>
      </c>
      <c r="AB3452">
        <v>0</v>
      </c>
      <c r="AC3452" t="s">
        <v>1495</v>
      </c>
      <c r="AD3452" t="s">
        <v>62</v>
      </c>
      <c r="AE3452" t="s">
        <v>62</v>
      </c>
      <c r="AF3452" t="s">
        <v>62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3</v>
      </c>
      <c r="AV3452">
        <v>0</v>
      </c>
      <c r="AW3452">
        <v>3</v>
      </c>
      <c r="AX3452">
        <v>0</v>
      </c>
      <c r="AY3452">
        <v>0</v>
      </c>
      <c r="AZ3452">
        <v>0</v>
      </c>
      <c r="BA3452" t="s">
        <v>193</v>
      </c>
      <c r="BB3452" t="s">
        <v>193</v>
      </c>
      <c r="BC3452">
        <v>0</v>
      </c>
      <c r="BD3452" t="s">
        <v>65</v>
      </c>
      <c r="BE3452">
        <v>3</v>
      </c>
      <c r="BF3452">
        <v>0</v>
      </c>
      <c r="BG3452" t="s">
        <v>6968</v>
      </c>
      <c r="BH3452" t="s">
        <v>18100</v>
      </c>
      <c r="BI3452" t="s">
        <v>193</v>
      </c>
      <c r="BJ3452">
        <v>0</v>
      </c>
      <c r="BK3452">
        <v>1</v>
      </c>
      <c r="BL3452" t="s">
        <v>69</v>
      </c>
      <c r="BM3452">
        <v>-0.161</v>
      </c>
      <c r="BN3452">
        <v>-0.40799999999999997</v>
      </c>
    </row>
    <row r="3453" spans="10:66">
      <c r="J3453">
        <v>0</v>
      </c>
      <c r="K3453">
        <v>4</v>
      </c>
      <c r="L3453">
        <v>4</v>
      </c>
      <c r="M3453" t="s">
        <v>25021</v>
      </c>
      <c r="N3453">
        <v>3122</v>
      </c>
      <c r="O3453" t="s">
        <v>18114</v>
      </c>
      <c r="P3453" t="s">
        <v>57</v>
      </c>
      <c r="Q3453">
        <v>3075367</v>
      </c>
      <c r="R3453">
        <v>3076626</v>
      </c>
      <c r="S3453" t="s">
        <v>18115</v>
      </c>
      <c r="T3453">
        <v>420</v>
      </c>
      <c r="U3453" t="s">
        <v>72</v>
      </c>
      <c r="V3453">
        <v>45</v>
      </c>
      <c r="W3453" t="str">
        <f>HYPERLINK("Gene3122-zp_tree_all.dnd", "Gene3122-tree")</f>
        <v>Gene3122-tree</v>
      </c>
      <c r="X3453">
        <v>9</v>
      </c>
      <c r="Y3453">
        <v>7</v>
      </c>
      <c r="Z3453">
        <v>9</v>
      </c>
      <c r="AA3453">
        <v>7</v>
      </c>
      <c r="AB3453">
        <v>0.4375</v>
      </c>
      <c r="AC3453" t="s">
        <v>135</v>
      </c>
      <c r="AD3453" t="s">
        <v>152</v>
      </c>
      <c r="AE3453" t="s">
        <v>62</v>
      </c>
      <c r="AF3453" t="s">
        <v>62</v>
      </c>
      <c r="AG3453">
        <v>4</v>
      </c>
      <c r="AH3453">
        <v>8</v>
      </c>
      <c r="AI3453">
        <v>8</v>
      </c>
      <c r="AJ3453">
        <v>0.5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4</v>
      </c>
      <c r="AQ3453">
        <v>2</v>
      </c>
      <c r="AR3453">
        <v>6</v>
      </c>
      <c r="AS3453">
        <v>7</v>
      </c>
      <c r="AT3453">
        <v>0.46154000000000001</v>
      </c>
      <c r="AU3453">
        <v>16</v>
      </c>
      <c r="AV3453">
        <v>11</v>
      </c>
      <c r="AW3453">
        <v>90</v>
      </c>
      <c r="AX3453">
        <v>15</v>
      </c>
      <c r="AY3453">
        <v>23</v>
      </c>
      <c r="AZ3453">
        <v>3</v>
      </c>
      <c r="BA3453" t="s">
        <v>18116</v>
      </c>
      <c r="BB3453" t="s">
        <v>18117</v>
      </c>
      <c r="BC3453">
        <v>7.0999999999999994E-2</v>
      </c>
      <c r="BD3453" t="s">
        <v>65</v>
      </c>
      <c r="BE3453">
        <v>113</v>
      </c>
      <c r="BF3453">
        <v>18</v>
      </c>
      <c r="BG3453" t="s">
        <v>18118</v>
      </c>
      <c r="BH3453" t="s">
        <v>18119</v>
      </c>
      <c r="BI3453" t="s">
        <v>18120</v>
      </c>
      <c r="BJ3453">
        <v>5.3749999999999999E-2</v>
      </c>
      <c r="BK3453">
        <v>1</v>
      </c>
      <c r="BL3453" t="s">
        <v>69</v>
      </c>
      <c r="BM3453">
        <v>-2.0169999999999999</v>
      </c>
      <c r="BN3453">
        <v>-4.4800000000000004</v>
      </c>
    </row>
    <row r="3454" spans="10:66">
      <c r="J3454">
        <v>0</v>
      </c>
      <c r="K3454">
        <v>0</v>
      </c>
      <c r="L3454">
        <v>0</v>
      </c>
      <c r="M3454" t="s">
        <v>25021</v>
      </c>
      <c r="N3454">
        <v>3123</v>
      </c>
      <c r="O3454" t="s">
        <v>18121</v>
      </c>
      <c r="P3454" t="s">
        <v>57</v>
      </c>
      <c r="Q3454">
        <v>3076818</v>
      </c>
      <c r="R3454">
        <v>3078353</v>
      </c>
      <c r="S3454" t="s">
        <v>18122</v>
      </c>
      <c r="T3454">
        <v>512</v>
      </c>
      <c r="U3454" t="s">
        <v>108</v>
      </c>
      <c r="V3454">
        <v>44</v>
      </c>
      <c r="W3454" t="str">
        <f>HYPERLINK("Gene3123-zp_tree_all.dnd", "Gene3123-tree")</f>
        <v>Gene3123-tree</v>
      </c>
      <c r="X3454">
        <v>12</v>
      </c>
      <c r="Y3454">
        <v>2</v>
      </c>
      <c r="Z3454">
        <v>12</v>
      </c>
      <c r="AA3454">
        <v>2</v>
      </c>
      <c r="AB3454">
        <v>0.14285999999999999</v>
      </c>
      <c r="AC3454" t="s">
        <v>109</v>
      </c>
      <c r="AD3454" t="s">
        <v>81</v>
      </c>
      <c r="AE3454" t="s">
        <v>62</v>
      </c>
      <c r="AF3454" t="s">
        <v>62</v>
      </c>
      <c r="AG3454">
        <v>0</v>
      </c>
      <c r="AH3454">
        <v>0</v>
      </c>
      <c r="AI3454">
        <v>3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2</v>
      </c>
      <c r="AT3454">
        <v>0</v>
      </c>
      <c r="AU3454">
        <v>12</v>
      </c>
      <c r="AV3454">
        <v>8</v>
      </c>
      <c r="AW3454">
        <v>23</v>
      </c>
      <c r="AX3454">
        <v>2</v>
      </c>
      <c r="AY3454">
        <v>16</v>
      </c>
      <c r="AZ3454">
        <v>1</v>
      </c>
      <c r="BA3454" t="s">
        <v>18123</v>
      </c>
      <c r="BB3454" t="s">
        <v>18124</v>
      </c>
      <c r="BC3454">
        <v>0.115</v>
      </c>
      <c r="BD3454" t="s">
        <v>65</v>
      </c>
      <c r="BE3454">
        <v>39</v>
      </c>
      <c r="BF3454">
        <v>3</v>
      </c>
      <c r="BG3454" t="s">
        <v>18125</v>
      </c>
      <c r="BH3454" t="s">
        <v>18126</v>
      </c>
      <c r="BI3454" t="s">
        <v>434</v>
      </c>
      <c r="BJ3454">
        <v>2.8129999999999999E-2</v>
      </c>
      <c r="BK3454">
        <v>1</v>
      </c>
      <c r="BL3454" t="s">
        <v>69</v>
      </c>
      <c r="BM3454">
        <v>-0.75</v>
      </c>
      <c r="BN3454">
        <v>-1.57</v>
      </c>
    </row>
    <row r="3455" spans="10:66">
      <c r="J3455">
        <v>2</v>
      </c>
      <c r="K3455">
        <v>22</v>
      </c>
      <c r="L3455">
        <v>5</v>
      </c>
      <c r="M3455" t="s">
        <v>25021</v>
      </c>
      <c r="N3455">
        <v>3130</v>
      </c>
      <c r="O3455" t="s">
        <v>18168</v>
      </c>
      <c r="P3455" t="s">
        <v>57</v>
      </c>
      <c r="Q3455">
        <v>3083441</v>
      </c>
      <c r="R3455">
        <v>3085756</v>
      </c>
      <c r="S3455" t="s">
        <v>18169</v>
      </c>
      <c r="T3455">
        <v>772</v>
      </c>
      <c r="U3455" t="s">
        <v>2289</v>
      </c>
      <c r="V3455">
        <v>37</v>
      </c>
      <c r="W3455" t="str">
        <f>HYPERLINK("Gene3130-zp_tree_all.dnd", "Gene3130-tree")</f>
        <v>Gene3130-tree</v>
      </c>
      <c r="X3455">
        <v>8</v>
      </c>
      <c r="Y3455">
        <v>8</v>
      </c>
      <c r="Z3455">
        <v>8</v>
      </c>
      <c r="AA3455">
        <v>8</v>
      </c>
      <c r="AB3455">
        <v>0.5</v>
      </c>
      <c r="AC3455" t="s">
        <v>136</v>
      </c>
      <c r="AD3455" t="s">
        <v>136</v>
      </c>
      <c r="AE3455" t="s">
        <v>62</v>
      </c>
      <c r="AF3455" t="s">
        <v>62</v>
      </c>
      <c r="AG3455">
        <v>11</v>
      </c>
      <c r="AH3455">
        <v>29</v>
      </c>
      <c r="AI3455">
        <v>25</v>
      </c>
      <c r="AJ3455">
        <v>0.53703999999999996</v>
      </c>
      <c r="AK3455">
        <v>0</v>
      </c>
      <c r="AL3455">
        <v>0</v>
      </c>
      <c r="AM3455">
        <v>0</v>
      </c>
      <c r="AN3455">
        <v>6</v>
      </c>
      <c r="AO3455">
        <v>0</v>
      </c>
      <c r="AP3455">
        <v>6</v>
      </c>
      <c r="AQ3455">
        <v>4</v>
      </c>
      <c r="AR3455">
        <v>10</v>
      </c>
      <c r="AS3455">
        <v>23</v>
      </c>
      <c r="AT3455">
        <v>0.30303000000000002</v>
      </c>
      <c r="AU3455">
        <v>13</v>
      </c>
      <c r="AV3455">
        <v>13</v>
      </c>
      <c r="AW3455">
        <v>124</v>
      </c>
      <c r="AX3455">
        <v>34</v>
      </c>
      <c r="AY3455">
        <v>95</v>
      </c>
      <c r="AZ3455">
        <v>21</v>
      </c>
      <c r="BA3455" t="s">
        <v>18170</v>
      </c>
      <c r="BB3455" t="s">
        <v>18171</v>
      </c>
      <c r="BC3455">
        <v>0.13</v>
      </c>
      <c r="BD3455" t="s">
        <v>65</v>
      </c>
      <c r="BE3455">
        <v>219</v>
      </c>
      <c r="BF3455">
        <v>55</v>
      </c>
      <c r="BG3455" t="s">
        <v>18172</v>
      </c>
      <c r="BH3455" t="s">
        <v>18173</v>
      </c>
      <c r="BI3455" t="s">
        <v>18174</v>
      </c>
      <c r="BJ3455">
        <v>6.4140000000000003E-2</v>
      </c>
      <c r="BK3455">
        <v>1</v>
      </c>
      <c r="BL3455" t="s">
        <v>69</v>
      </c>
      <c r="BM3455">
        <v>-0.99</v>
      </c>
      <c r="BN3455">
        <v>-2.3109999999999999</v>
      </c>
    </row>
    <row r="3456" spans="10:66">
      <c r="J3456">
        <v>0</v>
      </c>
      <c r="K3456">
        <v>14</v>
      </c>
      <c r="L3456">
        <v>0</v>
      </c>
      <c r="M3456" t="s">
        <v>25021</v>
      </c>
      <c r="N3456">
        <v>3141</v>
      </c>
      <c r="O3456" t="s">
        <v>18242</v>
      </c>
      <c r="P3456" t="s">
        <v>57</v>
      </c>
      <c r="Q3456">
        <v>3096782</v>
      </c>
      <c r="R3456">
        <v>3097813</v>
      </c>
      <c r="S3456" t="s">
        <v>8035</v>
      </c>
      <c r="T3456">
        <v>344</v>
      </c>
      <c r="U3456" t="s">
        <v>108</v>
      </c>
      <c r="V3456">
        <v>44</v>
      </c>
      <c r="W3456" t="str">
        <f>HYPERLINK("Gene3141-zp_tree_all.dnd", "Gene3141-tree")</f>
        <v>Gene3141-tree</v>
      </c>
      <c r="X3456">
        <v>8</v>
      </c>
      <c r="Y3456">
        <v>9</v>
      </c>
      <c r="Z3456">
        <v>8</v>
      </c>
      <c r="AA3456">
        <v>9</v>
      </c>
      <c r="AB3456">
        <v>0.52941000000000005</v>
      </c>
      <c r="AC3456" t="s">
        <v>136</v>
      </c>
      <c r="AD3456" t="s">
        <v>135</v>
      </c>
      <c r="AE3456" t="s">
        <v>62</v>
      </c>
      <c r="AF3456" t="s">
        <v>62</v>
      </c>
      <c r="AG3456">
        <v>6</v>
      </c>
      <c r="AH3456">
        <v>14</v>
      </c>
      <c r="AI3456">
        <v>13</v>
      </c>
      <c r="AJ3456">
        <v>0.51851999999999998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6</v>
      </c>
      <c r="AQ3456">
        <v>2</v>
      </c>
      <c r="AR3456">
        <v>8</v>
      </c>
      <c r="AS3456">
        <v>10</v>
      </c>
      <c r="AT3456">
        <v>0.44444</v>
      </c>
      <c r="AU3456">
        <v>15</v>
      </c>
      <c r="AV3456">
        <v>12</v>
      </c>
      <c r="AW3456">
        <v>49</v>
      </c>
      <c r="AX3456">
        <v>18</v>
      </c>
      <c r="AY3456">
        <v>20</v>
      </c>
      <c r="AZ3456">
        <v>9</v>
      </c>
      <c r="BA3456" t="s">
        <v>18243</v>
      </c>
      <c r="BB3456" t="s">
        <v>18244</v>
      </c>
      <c r="BC3456">
        <v>0.34399999999999997</v>
      </c>
      <c r="BD3456" t="s">
        <v>65</v>
      </c>
      <c r="BE3456">
        <v>69</v>
      </c>
      <c r="BF3456">
        <v>27</v>
      </c>
      <c r="BG3456" t="s">
        <v>18245</v>
      </c>
      <c r="BH3456" t="s">
        <v>18246</v>
      </c>
      <c r="BI3456" t="s">
        <v>18247</v>
      </c>
      <c r="BJ3456">
        <v>0.11358</v>
      </c>
      <c r="BK3456">
        <v>1</v>
      </c>
      <c r="BL3456" t="s">
        <v>69</v>
      </c>
      <c r="BM3456">
        <v>-0.77800000000000002</v>
      </c>
      <c r="BN3456">
        <v>7.0000000000000001E-3</v>
      </c>
    </row>
    <row r="3457" spans="10:66">
      <c r="J3457">
        <v>0</v>
      </c>
      <c r="K3457">
        <v>22</v>
      </c>
      <c r="L3457">
        <v>0</v>
      </c>
      <c r="M3457" t="s">
        <v>25021</v>
      </c>
      <c r="N3457">
        <v>3142</v>
      </c>
      <c r="O3457" t="s">
        <v>18248</v>
      </c>
      <c r="P3457" t="s">
        <v>57</v>
      </c>
      <c r="Q3457">
        <v>3097850</v>
      </c>
      <c r="R3457">
        <v>3099127</v>
      </c>
      <c r="S3457" t="s">
        <v>18249</v>
      </c>
      <c r="T3457">
        <v>426</v>
      </c>
      <c r="U3457" t="s">
        <v>108</v>
      </c>
      <c r="V3457">
        <v>44</v>
      </c>
      <c r="W3457" t="str">
        <f>HYPERLINK("Gene3142-zp_tree_all.dnd", "Gene3142-tree")</f>
        <v>Gene3142-tree</v>
      </c>
      <c r="X3457">
        <v>6</v>
      </c>
      <c r="Y3457">
        <v>11</v>
      </c>
      <c r="Z3457">
        <v>6</v>
      </c>
      <c r="AA3457">
        <v>11</v>
      </c>
      <c r="AB3457">
        <v>0.64705999999999997</v>
      </c>
      <c r="AC3457" t="s">
        <v>90</v>
      </c>
      <c r="AD3457" t="s">
        <v>73</v>
      </c>
      <c r="AE3457">
        <v>95384385.856999993</v>
      </c>
      <c r="AF3457" t="s">
        <v>267</v>
      </c>
      <c r="AG3457">
        <v>10</v>
      </c>
      <c r="AH3457">
        <v>22</v>
      </c>
      <c r="AI3457">
        <v>21</v>
      </c>
      <c r="AJ3457">
        <v>0.51163000000000003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6</v>
      </c>
      <c r="AQ3457">
        <v>0</v>
      </c>
      <c r="AR3457">
        <v>6</v>
      </c>
      <c r="AS3457">
        <v>22</v>
      </c>
      <c r="AT3457">
        <v>0.21429000000000001</v>
      </c>
      <c r="AU3457">
        <v>15</v>
      </c>
      <c r="AV3457">
        <v>13</v>
      </c>
      <c r="AW3457">
        <v>62</v>
      </c>
      <c r="AX3457">
        <v>27</v>
      </c>
      <c r="AY3457">
        <v>47</v>
      </c>
      <c r="AZ3457">
        <v>17</v>
      </c>
      <c r="BA3457" t="s">
        <v>18250</v>
      </c>
      <c r="BB3457" t="s">
        <v>18251</v>
      </c>
      <c r="BC3457">
        <v>0.318</v>
      </c>
      <c r="BD3457" t="s">
        <v>65</v>
      </c>
      <c r="BE3457">
        <v>109</v>
      </c>
      <c r="BF3457">
        <v>44</v>
      </c>
      <c r="BG3457" t="s">
        <v>18252</v>
      </c>
      <c r="BH3457" t="s">
        <v>18253</v>
      </c>
      <c r="BI3457" t="s">
        <v>18254</v>
      </c>
      <c r="BJ3457">
        <v>0.12586</v>
      </c>
      <c r="BK3457">
        <v>1</v>
      </c>
      <c r="BL3457" t="s">
        <v>69</v>
      </c>
      <c r="BM3457">
        <v>-0.311</v>
      </c>
      <c r="BN3457">
        <v>-0.746</v>
      </c>
    </row>
    <row r="3458" spans="10:66">
      <c r="J3458">
        <v>0</v>
      </c>
      <c r="K3458">
        <v>0</v>
      </c>
      <c r="L3458">
        <v>0</v>
      </c>
      <c r="M3458" t="s">
        <v>25021</v>
      </c>
      <c r="N3458">
        <v>3143</v>
      </c>
      <c r="O3458" t="s">
        <v>18255</v>
      </c>
      <c r="P3458" t="s">
        <v>57</v>
      </c>
      <c r="Q3458">
        <v>3099123</v>
      </c>
      <c r="R3458">
        <v>3100031</v>
      </c>
      <c r="S3458" t="s">
        <v>18256</v>
      </c>
      <c r="T3458">
        <v>303</v>
      </c>
      <c r="U3458" t="s">
        <v>1933</v>
      </c>
      <c r="V3458">
        <v>39</v>
      </c>
      <c r="W3458" t="str">
        <f>HYPERLINK("Gene3143-zp_tree_all.dnd", "Gene3143-tree")</f>
        <v>Gene3143-tree</v>
      </c>
      <c r="X3458">
        <v>10</v>
      </c>
      <c r="Y3458">
        <v>6</v>
      </c>
      <c r="Z3458">
        <v>10</v>
      </c>
      <c r="AA3458">
        <v>6</v>
      </c>
      <c r="AB3458">
        <v>0.375</v>
      </c>
      <c r="AC3458" t="s">
        <v>117</v>
      </c>
      <c r="AD3458" t="s">
        <v>90</v>
      </c>
      <c r="AE3458" t="s">
        <v>62</v>
      </c>
      <c r="AF3458" t="s">
        <v>62</v>
      </c>
      <c r="AG3458">
        <v>0</v>
      </c>
      <c r="AH3458">
        <v>0</v>
      </c>
      <c r="AI3458">
        <v>9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8</v>
      </c>
      <c r="AT3458">
        <v>0</v>
      </c>
      <c r="AU3458">
        <v>13</v>
      </c>
      <c r="AV3458">
        <v>10</v>
      </c>
      <c r="AW3458">
        <v>33</v>
      </c>
      <c r="AX3458">
        <v>7</v>
      </c>
      <c r="AY3458">
        <v>28</v>
      </c>
      <c r="AZ3458">
        <v>2</v>
      </c>
      <c r="BA3458" t="s">
        <v>18257</v>
      </c>
      <c r="BB3458" t="s">
        <v>18258</v>
      </c>
      <c r="BC3458">
        <v>0.68</v>
      </c>
      <c r="BD3458" t="s">
        <v>65</v>
      </c>
      <c r="BE3458">
        <v>61</v>
      </c>
      <c r="BF3458">
        <v>9</v>
      </c>
      <c r="BG3458" t="s">
        <v>18259</v>
      </c>
      <c r="BH3458" t="s">
        <v>18260</v>
      </c>
      <c r="BI3458" t="s">
        <v>7717</v>
      </c>
      <c r="BJ3458">
        <v>3.7560000000000003E-2</v>
      </c>
      <c r="BK3458">
        <v>1</v>
      </c>
      <c r="BL3458" t="s">
        <v>69</v>
      </c>
      <c r="BM3458">
        <v>-0.77700000000000002</v>
      </c>
      <c r="BN3458">
        <v>-1.2110000000000001</v>
      </c>
    </row>
    <row r="3459" spans="10:66">
      <c r="J3459">
        <v>0</v>
      </c>
      <c r="K3459">
        <v>5</v>
      </c>
      <c r="L3459">
        <v>0</v>
      </c>
      <c r="M3459" t="s">
        <v>25021</v>
      </c>
      <c r="N3459">
        <v>3144</v>
      </c>
      <c r="O3459" t="s">
        <v>18261</v>
      </c>
      <c r="P3459" t="s">
        <v>57</v>
      </c>
      <c r="Q3459">
        <v>3100031</v>
      </c>
      <c r="R3459">
        <v>3100858</v>
      </c>
      <c r="S3459" t="s">
        <v>18262</v>
      </c>
      <c r="T3459">
        <v>276</v>
      </c>
      <c r="U3459" t="s">
        <v>108</v>
      </c>
      <c r="V3459">
        <v>44</v>
      </c>
      <c r="W3459" t="str">
        <f>HYPERLINK("Gene3144-zp_tree_all.dnd", "Gene3144-tree")</f>
        <v>Gene3144-tree</v>
      </c>
      <c r="X3459">
        <v>8</v>
      </c>
      <c r="Y3459">
        <v>8</v>
      </c>
      <c r="Z3459">
        <v>8</v>
      </c>
      <c r="AA3459">
        <v>8</v>
      </c>
      <c r="AB3459">
        <v>0.5</v>
      </c>
      <c r="AC3459" t="s">
        <v>136</v>
      </c>
      <c r="AD3459" t="s">
        <v>136</v>
      </c>
      <c r="AE3459" t="s">
        <v>62</v>
      </c>
      <c r="AF3459" t="s">
        <v>62</v>
      </c>
      <c r="AG3459">
        <v>2</v>
      </c>
      <c r="AH3459">
        <v>5</v>
      </c>
      <c r="AI3459">
        <v>8</v>
      </c>
      <c r="AJ3459">
        <v>0.38462000000000002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2</v>
      </c>
      <c r="AQ3459">
        <v>1</v>
      </c>
      <c r="AR3459">
        <v>3</v>
      </c>
      <c r="AS3459">
        <v>7</v>
      </c>
      <c r="AT3459">
        <v>0.3</v>
      </c>
      <c r="AU3459">
        <v>13</v>
      </c>
      <c r="AV3459">
        <v>10</v>
      </c>
      <c r="AW3459">
        <v>23</v>
      </c>
      <c r="AX3459">
        <v>7</v>
      </c>
      <c r="AY3459">
        <v>17</v>
      </c>
      <c r="AZ3459">
        <v>6</v>
      </c>
      <c r="BA3459" t="s">
        <v>18263</v>
      </c>
      <c r="BB3459" t="s">
        <v>18264</v>
      </c>
      <c r="BC3459">
        <v>0.15</v>
      </c>
      <c r="BD3459" t="s">
        <v>65</v>
      </c>
      <c r="BE3459">
        <v>40</v>
      </c>
      <c r="BF3459">
        <v>13</v>
      </c>
      <c r="BG3459" t="s">
        <v>18265</v>
      </c>
      <c r="BH3459" t="s">
        <v>18266</v>
      </c>
      <c r="BI3459" t="s">
        <v>18267</v>
      </c>
      <c r="BJ3459">
        <v>0.10789</v>
      </c>
      <c r="BK3459">
        <v>1</v>
      </c>
      <c r="BL3459" t="s">
        <v>69</v>
      </c>
      <c r="BM3459">
        <v>-1.022</v>
      </c>
      <c r="BN3459">
        <v>-1.135</v>
      </c>
    </row>
    <row r="3460" spans="10:66">
      <c r="J3460">
        <v>0</v>
      </c>
      <c r="K3460">
        <v>5</v>
      </c>
      <c r="L3460">
        <v>1</v>
      </c>
      <c r="M3460" t="s">
        <v>25021</v>
      </c>
      <c r="N3460">
        <v>3145</v>
      </c>
      <c r="O3460" t="s">
        <v>18268</v>
      </c>
      <c r="P3460" t="s">
        <v>57</v>
      </c>
      <c r="Q3460">
        <v>3100881</v>
      </c>
      <c r="R3460">
        <v>3102176</v>
      </c>
      <c r="S3460" t="s">
        <v>18269</v>
      </c>
      <c r="T3460">
        <v>432</v>
      </c>
      <c r="U3460" t="s">
        <v>265</v>
      </c>
      <c r="V3460">
        <v>43</v>
      </c>
      <c r="W3460" t="str">
        <f>HYPERLINK("Gene3145-zp_tree_all.dnd", "Gene3145-tree")</f>
        <v>Gene3145-tree</v>
      </c>
      <c r="X3460">
        <v>5</v>
      </c>
      <c r="Y3460">
        <v>9</v>
      </c>
      <c r="Z3460">
        <v>5</v>
      </c>
      <c r="AA3460">
        <v>9</v>
      </c>
      <c r="AB3460">
        <v>0.64285999999999999</v>
      </c>
      <c r="AC3460" t="s">
        <v>199</v>
      </c>
      <c r="AD3460" t="s">
        <v>135</v>
      </c>
      <c r="AE3460" t="s">
        <v>62</v>
      </c>
      <c r="AF3460" t="s">
        <v>62</v>
      </c>
      <c r="AG3460">
        <v>2</v>
      </c>
      <c r="AH3460">
        <v>6</v>
      </c>
      <c r="AI3460">
        <v>8</v>
      </c>
      <c r="AJ3460">
        <v>0.42857000000000001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3</v>
      </c>
      <c r="AQ3460">
        <v>0</v>
      </c>
      <c r="AR3460">
        <v>3</v>
      </c>
      <c r="AS3460">
        <v>8</v>
      </c>
      <c r="AT3460">
        <v>0.27272999999999997</v>
      </c>
      <c r="AU3460">
        <v>14</v>
      </c>
      <c r="AV3460">
        <v>10</v>
      </c>
      <c r="AW3460">
        <v>43</v>
      </c>
      <c r="AX3460">
        <v>11</v>
      </c>
      <c r="AY3460">
        <v>18</v>
      </c>
      <c r="AZ3460">
        <v>3</v>
      </c>
      <c r="BA3460" t="s">
        <v>18270</v>
      </c>
      <c r="BB3460" t="s">
        <v>18271</v>
      </c>
      <c r="BC3460">
        <v>0.58599999999999997</v>
      </c>
      <c r="BD3460" t="s">
        <v>65</v>
      </c>
      <c r="BE3460">
        <v>61</v>
      </c>
      <c r="BF3460">
        <v>14</v>
      </c>
      <c r="BG3460" t="s">
        <v>2447</v>
      </c>
      <c r="BH3460" t="s">
        <v>18272</v>
      </c>
      <c r="BI3460" t="s">
        <v>3879</v>
      </c>
      <c r="BJ3460">
        <v>6.1920000000000003E-2</v>
      </c>
      <c r="BK3460">
        <v>1</v>
      </c>
      <c r="BL3460" t="s">
        <v>69</v>
      </c>
      <c r="BM3460">
        <v>-0.49399999999999999</v>
      </c>
      <c r="BN3460">
        <v>-1.171</v>
      </c>
    </row>
    <row r="3461" spans="10:66">
      <c r="J3461">
        <v>0</v>
      </c>
      <c r="K3461">
        <v>0</v>
      </c>
      <c r="L3461">
        <v>0</v>
      </c>
      <c r="M3461" t="s">
        <v>25021</v>
      </c>
      <c r="N3461">
        <v>3149</v>
      </c>
      <c r="O3461" t="s">
        <v>18293</v>
      </c>
      <c r="P3461" t="s">
        <v>57</v>
      </c>
      <c r="Q3461">
        <v>3106210</v>
      </c>
      <c r="R3461">
        <v>3106992</v>
      </c>
      <c r="S3461" t="s">
        <v>18294</v>
      </c>
      <c r="T3461">
        <v>261</v>
      </c>
      <c r="U3461" t="s">
        <v>108</v>
      </c>
      <c r="V3461">
        <v>44</v>
      </c>
      <c r="W3461" t="str">
        <f>HYPERLINK("Gene3149-zp_tree_all.dnd", "Gene3149-tree")</f>
        <v>Gene3149-tree</v>
      </c>
      <c r="X3461">
        <v>11</v>
      </c>
      <c r="Y3461">
        <v>4</v>
      </c>
      <c r="Z3461">
        <v>11</v>
      </c>
      <c r="AA3461">
        <v>4</v>
      </c>
      <c r="AB3461">
        <v>0.26667000000000002</v>
      </c>
      <c r="AC3461" t="s">
        <v>73</v>
      </c>
      <c r="AD3461" t="s">
        <v>61</v>
      </c>
      <c r="AE3461" t="s">
        <v>62</v>
      </c>
      <c r="AF3461" t="s">
        <v>62</v>
      </c>
      <c r="AG3461">
        <v>0</v>
      </c>
      <c r="AH3461">
        <v>0</v>
      </c>
      <c r="AI3461">
        <v>15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8</v>
      </c>
      <c r="AT3461">
        <v>0</v>
      </c>
      <c r="AU3461">
        <v>14</v>
      </c>
      <c r="AV3461">
        <v>10</v>
      </c>
      <c r="AW3461">
        <v>23</v>
      </c>
      <c r="AX3461">
        <v>8</v>
      </c>
      <c r="AY3461">
        <v>16</v>
      </c>
      <c r="AZ3461">
        <v>7</v>
      </c>
      <c r="BA3461" t="s">
        <v>18295</v>
      </c>
      <c r="BB3461" t="s">
        <v>18296</v>
      </c>
      <c r="BC3461">
        <v>0.23100000000000001</v>
      </c>
      <c r="BD3461" t="s">
        <v>65</v>
      </c>
      <c r="BE3461">
        <v>39</v>
      </c>
      <c r="BF3461">
        <v>15</v>
      </c>
      <c r="BG3461" t="s">
        <v>18297</v>
      </c>
      <c r="BH3461" t="s">
        <v>18298</v>
      </c>
      <c r="BI3461" t="s">
        <v>18299</v>
      </c>
      <c r="BJ3461">
        <v>0.13031999999999999</v>
      </c>
      <c r="BK3461">
        <v>1</v>
      </c>
      <c r="BL3461" t="s">
        <v>69</v>
      </c>
      <c r="BM3461">
        <v>-0.23300000000000001</v>
      </c>
      <c r="BN3461">
        <v>-1.0509999999999999</v>
      </c>
    </row>
    <row r="3462" spans="10:66">
      <c r="J3462">
        <v>0</v>
      </c>
      <c r="K3462">
        <v>4</v>
      </c>
      <c r="L3462">
        <v>0</v>
      </c>
      <c r="M3462" t="s">
        <v>25021</v>
      </c>
      <c r="N3462">
        <v>3151</v>
      </c>
      <c r="O3462" t="s">
        <v>18306</v>
      </c>
      <c r="P3462" t="s">
        <v>57</v>
      </c>
      <c r="Q3462">
        <v>3108614</v>
      </c>
      <c r="R3462">
        <v>3109357</v>
      </c>
      <c r="S3462" t="s">
        <v>116</v>
      </c>
      <c r="T3462">
        <v>248</v>
      </c>
      <c r="U3462" t="s">
        <v>108</v>
      </c>
      <c r="V3462">
        <v>44</v>
      </c>
      <c r="W3462" t="str">
        <f>HYPERLINK("Gene3151-zp_tree_all.dnd", "Gene3151-tree")</f>
        <v>Gene3151-tree</v>
      </c>
      <c r="X3462">
        <v>5</v>
      </c>
      <c r="Y3462">
        <v>9</v>
      </c>
      <c r="Z3462">
        <v>5</v>
      </c>
      <c r="AA3462">
        <v>9</v>
      </c>
      <c r="AB3462">
        <v>0.64285999999999999</v>
      </c>
      <c r="AC3462" t="s">
        <v>199</v>
      </c>
      <c r="AD3462" t="s">
        <v>135</v>
      </c>
      <c r="AE3462" t="s">
        <v>62</v>
      </c>
      <c r="AF3462" t="s">
        <v>62</v>
      </c>
      <c r="AG3462">
        <v>2</v>
      </c>
      <c r="AH3462">
        <v>4</v>
      </c>
      <c r="AI3462">
        <v>14</v>
      </c>
      <c r="AJ3462">
        <v>0.22222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14</v>
      </c>
      <c r="AT3462">
        <v>0</v>
      </c>
      <c r="AU3462">
        <v>12</v>
      </c>
      <c r="AV3462">
        <v>9</v>
      </c>
      <c r="AW3462">
        <v>19</v>
      </c>
      <c r="AX3462">
        <v>13</v>
      </c>
      <c r="AY3462">
        <v>17</v>
      </c>
      <c r="AZ3462">
        <v>5</v>
      </c>
      <c r="BA3462" t="s">
        <v>18307</v>
      </c>
      <c r="BB3462" t="s">
        <v>18308</v>
      </c>
      <c r="BC3462">
        <v>1.1020000000000001</v>
      </c>
      <c r="BD3462" t="s">
        <v>65</v>
      </c>
      <c r="BE3462">
        <v>36</v>
      </c>
      <c r="BF3462">
        <v>18</v>
      </c>
      <c r="BG3462" t="s">
        <v>18309</v>
      </c>
      <c r="BH3462" t="s">
        <v>18310</v>
      </c>
      <c r="BI3462" t="s">
        <v>18311</v>
      </c>
      <c r="BJ3462">
        <v>0.13244</v>
      </c>
      <c r="BK3462">
        <v>1</v>
      </c>
      <c r="BL3462" t="s">
        <v>69</v>
      </c>
      <c r="BM3462">
        <v>-0.93700000000000006</v>
      </c>
      <c r="BN3462">
        <v>-0.6</v>
      </c>
    </row>
    <row r="3463" spans="10:66">
      <c r="J3463">
        <v>0</v>
      </c>
      <c r="K3463">
        <v>0</v>
      </c>
      <c r="L3463">
        <v>0</v>
      </c>
      <c r="M3463" t="s">
        <v>25021</v>
      </c>
      <c r="N3463">
        <v>3164</v>
      </c>
      <c r="O3463" t="s">
        <v>18393</v>
      </c>
      <c r="P3463" t="s">
        <v>57</v>
      </c>
      <c r="Q3463">
        <v>3119999</v>
      </c>
      <c r="R3463">
        <v>3120964</v>
      </c>
      <c r="S3463" t="s">
        <v>1340</v>
      </c>
      <c r="T3463">
        <v>322</v>
      </c>
      <c r="U3463" t="s">
        <v>108</v>
      </c>
      <c r="V3463">
        <v>44</v>
      </c>
      <c r="W3463" t="str">
        <f>HYPERLINK("Gene3164-zp_tree_all.dnd", "Gene3164-tree")</f>
        <v>Gene3164-tree</v>
      </c>
      <c r="X3463">
        <v>9</v>
      </c>
      <c r="Y3463">
        <v>4</v>
      </c>
      <c r="Z3463">
        <v>9</v>
      </c>
      <c r="AA3463">
        <v>4</v>
      </c>
      <c r="AB3463">
        <v>0.30769000000000002</v>
      </c>
      <c r="AC3463" t="s">
        <v>135</v>
      </c>
      <c r="AD3463" t="s">
        <v>61</v>
      </c>
      <c r="AE3463" t="s">
        <v>62</v>
      </c>
      <c r="AF3463" t="s">
        <v>62</v>
      </c>
      <c r="AG3463">
        <v>0</v>
      </c>
      <c r="AH3463">
        <v>0</v>
      </c>
      <c r="AI3463">
        <v>6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4</v>
      </c>
      <c r="AT3463">
        <v>0</v>
      </c>
      <c r="AU3463">
        <v>12</v>
      </c>
      <c r="AV3463">
        <v>9</v>
      </c>
      <c r="AW3463">
        <v>58</v>
      </c>
      <c r="AX3463">
        <v>4</v>
      </c>
      <c r="AY3463">
        <v>32</v>
      </c>
      <c r="AZ3463">
        <v>3</v>
      </c>
      <c r="BA3463" t="s">
        <v>18394</v>
      </c>
      <c r="BB3463" t="s">
        <v>18395</v>
      </c>
      <c r="BC3463">
        <v>0.27100000000000002</v>
      </c>
      <c r="BD3463" t="s">
        <v>65</v>
      </c>
      <c r="BE3463">
        <v>90</v>
      </c>
      <c r="BF3463">
        <v>7</v>
      </c>
      <c r="BG3463" t="s">
        <v>18396</v>
      </c>
      <c r="BH3463" t="s">
        <v>18397</v>
      </c>
      <c r="BI3463" t="s">
        <v>6584</v>
      </c>
      <c r="BJ3463">
        <v>2.4410000000000001E-2</v>
      </c>
      <c r="BK3463">
        <v>1</v>
      </c>
      <c r="BL3463" t="s">
        <v>69</v>
      </c>
      <c r="BM3463">
        <v>-0.67</v>
      </c>
      <c r="BN3463">
        <v>-1.9319999999999999</v>
      </c>
    </row>
    <row r="3464" spans="10:66">
      <c r="J3464">
        <v>0</v>
      </c>
      <c r="K3464">
        <v>6</v>
      </c>
      <c r="L3464">
        <v>0</v>
      </c>
      <c r="M3464" t="s">
        <v>25021</v>
      </c>
      <c r="N3464">
        <v>3165</v>
      </c>
      <c r="O3464" t="s">
        <v>18398</v>
      </c>
      <c r="P3464" t="s">
        <v>57</v>
      </c>
      <c r="Q3464">
        <v>3120964</v>
      </c>
      <c r="R3464">
        <v>3121545</v>
      </c>
      <c r="S3464" t="s">
        <v>18399</v>
      </c>
      <c r="T3464">
        <v>194</v>
      </c>
      <c r="U3464" t="s">
        <v>108</v>
      </c>
      <c r="V3464">
        <v>44</v>
      </c>
      <c r="W3464" t="str">
        <f>HYPERLINK("Gene3165-zp_tree_all.dnd", "Gene3165-tree")</f>
        <v>Gene3165-tree</v>
      </c>
      <c r="X3464">
        <v>9</v>
      </c>
      <c r="Y3464">
        <v>6</v>
      </c>
      <c r="Z3464">
        <v>9</v>
      </c>
      <c r="AA3464">
        <v>6</v>
      </c>
      <c r="AB3464">
        <v>0.4</v>
      </c>
      <c r="AC3464" t="s">
        <v>135</v>
      </c>
      <c r="AD3464" t="s">
        <v>90</v>
      </c>
      <c r="AE3464" t="s">
        <v>62</v>
      </c>
      <c r="AF3464" t="s">
        <v>62</v>
      </c>
      <c r="AG3464">
        <v>2</v>
      </c>
      <c r="AH3464">
        <v>6</v>
      </c>
      <c r="AI3464">
        <v>11</v>
      </c>
      <c r="AJ3464">
        <v>0.35293999999999998</v>
      </c>
      <c r="AK3464">
        <v>0</v>
      </c>
      <c r="AL3464">
        <v>0</v>
      </c>
      <c r="AM3464">
        <v>0</v>
      </c>
      <c r="AN3464">
        <v>3</v>
      </c>
      <c r="AO3464">
        <v>0</v>
      </c>
      <c r="AP3464">
        <v>3</v>
      </c>
      <c r="AQ3464">
        <v>0</v>
      </c>
      <c r="AR3464">
        <v>3</v>
      </c>
      <c r="AS3464">
        <v>8</v>
      </c>
      <c r="AT3464">
        <v>0.27272999999999997</v>
      </c>
      <c r="AU3464">
        <v>12</v>
      </c>
      <c r="AV3464">
        <v>11</v>
      </c>
      <c r="AW3464">
        <v>32</v>
      </c>
      <c r="AX3464">
        <v>11</v>
      </c>
      <c r="AY3464">
        <v>15</v>
      </c>
      <c r="AZ3464">
        <v>6</v>
      </c>
      <c r="BA3464" t="s">
        <v>18400</v>
      </c>
      <c r="BB3464" t="s">
        <v>18401</v>
      </c>
      <c r="BC3464">
        <v>0.107</v>
      </c>
      <c r="BD3464" t="s">
        <v>65</v>
      </c>
      <c r="BE3464">
        <v>47</v>
      </c>
      <c r="BF3464">
        <v>17</v>
      </c>
      <c r="BG3464" t="s">
        <v>18402</v>
      </c>
      <c r="BH3464" t="s">
        <v>18403</v>
      </c>
      <c r="BI3464" t="s">
        <v>18404</v>
      </c>
      <c r="BJ3464">
        <v>9.9140000000000006E-2</v>
      </c>
      <c r="BK3464">
        <v>1</v>
      </c>
      <c r="BL3464" t="s">
        <v>69</v>
      </c>
      <c r="BM3464">
        <v>-1.129</v>
      </c>
      <c r="BN3464">
        <v>-2.161</v>
      </c>
    </row>
    <row r="3465" spans="10:66">
      <c r="J3465">
        <v>0</v>
      </c>
      <c r="K3465">
        <v>2</v>
      </c>
      <c r="L3465">
        <v>3</v>
      </c>
      <c r="M3465" t="s">
        <v>25021</v>
      </c>
      <c r="N3465">
        <v>3168</v>
      </c>
      <c r="O3465" t="s">
        <v>18419</v>
      </c>
      <c r="P3465" t="s">
        <v>57</v>
      </c>
      <c r="Q3465">
        <v>3123490</v>
      </c>
      <c r="R3465">
        <v>3124002</v>
      </c>
      <c r="S3465" t="s">
        <v>18420</v>
      </c>
      <c r="T3465">
        <v>171</v>
      </c>
      <c r="U3465" t="s">
        <v>3274</v>
      </c>
      <c r="V3465">
        <v>46</v>
      </c>
      <c r="W3465" t="str">
        <f>HYPERLINK("Gene3168-zp_tree_all.dnd", "Gene3168-tree")</f>
        <v>Gene3168-tree</v>
      </c>
      <c r="X3465">
        <v>12</v>
      </c>
      <c r="Y3465">
        <v>3</v>
      </c>
      <c r="Z3465">
        <v>12</v>
      </c>
      <c r="AA3465">
        <v>3</v>
      </c>
      <c r="AB3465">
        <v>0.2</v>
      </c>
      <c r="AC3465" t="s">
        <v>109</v>
      </c>
      <c r="AD3465" t="s">
        <v>324</v>
      </c>
      <c r="AE3465" t="s">
        <v>62</v>
      </c>
      <c r="AF3465" t="s">
        <v>62</v>
      </c>
      <c r="AG3465">
        <v>2</v>
      </c>
      <c r="AH3465">
        <v>5</v>
      </c>
      <c r="AI3465">
        <v>8</v>
      </c>
      <c r="AJ3465">
        <v>0.38462000000000002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0</v>
      </c>
      <c r="AQ3465">
        <v>2</v>
      </c>
      <c r="AR3465">
        <v>2</v>
      </c>
      <c r="AS3465">
        <v>3</v>
      </c>
      <c r="AT3465">
        <v>0.4</v>
      </c>
      <c r="AU3465">
        <v>12</v>
      </c>
      <c r="AV3465">
        <v>8</v>
      </c>
      <c r="AW3465">
        <v>22</v>
      </c>
      <c r="AX3465">
        <v>6</v>
      </c>
      <c r="AY3465">
        <v>22</v>
      </c>
      <c r="AZ3465">
        <v>8</v>
      </c>
      <c r="BA3465" t="s">
        <v>18421</v>
      </c>
      <c r="BB3465" t="s">
        <v>18422</v>
      </c>
      <c r="BC3465">
        <v>8.2000000000000003E-2</v>
      </c>
      <c r="BD3465" t="s">
        <v>65</v>
      </c>
      <c r="BE3465">
        <v>44</v>
      </c>
      <c r="BF3465">
        <v>14</v>
      </c>
      <c r="BG3465" t="s">
        <v>18423</v>
      </c>
      <c r="BH3465" t="s">
        <v>18424</v>
      </c>
      <c r="BI3465" t="s">
        <v>18425</v>
      </c>
      <c r="BJ3465">
        <v>9.6799999999999997E-2</v>
      </c>
      <c r="BK3465">
        <v>1</v>
      </c>
      <c r="BL3465" t="s">
        <v>69</v>
      </c>
      <c r="BM3465">
        <v>-1.546</v>
      </c>
      <c r="BN3465">
        <v>-0.76600000000000001</v>
      </c>
    </row>
    <row r="3466" spans="10:66">
      <c r="J3466">
        <v>0</v>
      </c>
      <c r="K3466">
        <v>0</v>
      </c>
      <c r="L3466">
        <v>0</v>
      </c>
      <c r="M3466" t="s">
        <v>25021</v>
      </c>
      <c r="N3466">
        <v>3172</v>
      </c>
      <c r="O3466" t="s">
        <v>18444</v>
      </c>
      <c r="P3466" t="s">
        <v>57</v>
      </c>
      <c r="Q3466">
        <v>3129530</v>
      </c>
      <c r="R3466">
        <v>3131110</v>
      </c>
      <c r="S3466" t="s">
        <v>18445</v>
      </c>
      <c r="T3466">
        <v>527</v>
      </c>
      <c r="U3466" t="s">
        <v>108</v>
      </c>
      <c r="V3466">
        <v>44</v>
      </c>
      <c r="W3466" t="str">
        <f>HYPERLINK("Gene3172-zp_tree_all.dnd", "Gene3172-tree")</f>
        <v>Gene3172-tree</v>
      </c>
      <c r="X3466">
        <v>9</v>
      </c>
      <c r="Y3466">
        <v>6</v>
      </c>
      <c r="Z3466">
        <v>9</v>
      </c>
      <c r="AA3466">
        <v>6</v>
      </c>
      <c r="AB3466">
        <v>0.4</v>
      </c>
      <c r="AC3466" t="s">
        <v>135</v>
      </c>
      <c r="AD3466" t="s">
        <v>90</v>
      </c>
      <c r="AE3466" t="s">
        <v>62</v>
      </c>
      <c r="AF3466" t="s">
        <v>62</v>
      </c>
      <c r="AG3466">
        <v>0</v>
      </c>
      <c r="AH3466">
        <v>0</v>
      </c>
      <c r="AI3466">
        <v>10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9</v>
      </c>
      <c r="AT3466">
        <v>0</v>
      </c>
      <c r="AU3466">
        <v>11</v>
      </c>
      <c r="AV3466">
        <v>11</v>
      </c>
      <c r="AW3466">
        <v>85</v>
      </c>
      <c r="AX3466">
        <v>9</v>
      </c>
      <c r="AY3466">
        <v>47</v>
      </c>
      <c r="AZ3466">
        <v>2</v>
      </c>
      <c r="BA3466" t="s">
        <v>18446</v>
      </c>
      <c r="BB3466" t="s">
        <v>18447</v>
      </c>
      <c r="BC3466">
        <v>0.67400000000000004</v>
      </c>
      <c r="BD3466" t="s">
        <v>65</v>
      </c>
      <c r="BE3466">
        <v>132</v>
      </c>
      <c r="BF3466">
        <v>11</v>
      </c>
      <c r="BG3466" t="s">
        <v>18448</v>
      </c>
      <c r="BH3466" t="s">
        <v>18449</v>
      </c>
      <c r="BI3466" t="s">
        <v>9682</v>
      </c>
      <c r="BJ3466">
        <v>2.4309999999999998E-2</v>
      </c>
      <c r="BK3466">
        <v>1</v>
      </c>
      <c r="BL3466" t="s">
        <v>69</v>
      </c>
      <c r="BM3466">
        <v>-0.83599999999999997</v>
      </c>
      <c r="BN3466">
        <v>-2.2480000000000002</v>
      </c>
    </row>
    <row r="3467" spans="10:66">
      <c r="J3467">
        <v>0</v>
      </c>
      <c r="K3467">
        <v>9</v>
      </c>
      <c r="L3467">
        <v>0</v>
      </c>
      <c r="M3467" t="s">
        <v>25021</v>
      </c>
      <c r="N3467">
        <v>3175</v>
      </c>
      <c r="O3467" t="s">
        <v>18465</v>
      </c>
      <c r="P3467" t="s">
        <v>57</v>
      </c>
      <c r="Q3467">
        <v>3132370</v>
      </c>
      <c r="R3467">
        <v>3133371</v>
      </c>
      <c r="S3467" t="s">
        <v>18466</v>
      </c>
      <c r="T3467">
        <v>334</v>
      </c>
      <c r="U3467" t="s">
        <v>108</v>
      </c>
      <c r="V3467">
        <v>44</v>
      </c>
      <c r="W3467" t="str">
        <f>HYPERLINK("Gene3175-zp_tree_all.dnd", "Gene3175-tree")</f>
        <v>Gene3175-tree</v>
      </c>
      <c r="X3467">
        <v>5</v>
      </c>
      <c r="Y3467">
        <v>33</v>
      </c>
      <c r="Z3467">
        <v>5</v>
      </c>
      <c r="AA3467">
        <v>9</v>
      </c>
      <c r="AB3467">
        <v>0.64285999999999999</v>
      </c>
      <c r="AC3467" t="s">
        <v>199</v>
      </c>
      <c r="AD3467" t="s">
        <v>18467</v>
      </c>
      <c r="AE3467">
        <v>3.5139999999999998</v>
      </c>
      <c r="AF3467" t="s">
        <v>65</v>
      </c>
      <c r="AG3467">
        <v>3</v>
      </c>
      <c r="AH3467">
        <v>9</v>
      </c>
      <c r="AI3467">
        <v>5</v>
      </c>
      <c r="AJ3467">
        <v>0.64285999999999999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7</v>
      </c>
      <c r="AQ3467">
        <v>0</v>
      </c>
      <c r="AR3467">
        <v>7</v>
      </c>
      <c r="AS3467">
        <v>3</v>
      </c>
      <c r="AT3467">
        <v>0.7</v>
      </c>
      <c r="AU3467">
        <v>11</v>
      </c>
      <c r="AV3467">
        <v>8</v>
      </c>
      <c r="AW3467">
        <v>24</v>
      </c>
      <c r="AX3467">
        <v>10</v>
      </c>
      <c r="AY3467">
        <v>10</v>
      </c>
      <c r="AZ3467">
        <v>6</v>
      </c>
      <c r="BA3467" t="s">
        <v>18468</v>
      </c>
      <c r="BB3467" t="s">
        <v>18469</v>
      </c>
      <c r="BC3467">
        <v>0.33400000000000002</v>
      </c>
      <c r="BD3467" t="s">
        <v>65</v>
      </c>
      <c r="BE3467">
        <v>34</v>
      </c>
      <c r="BF3467">
        <v>16</v>
      </c>
      <c r="BG3467" t="s">
        <v>18470</v>
      </c>
      <c r="BH3467" t="s">
        <v>18471</v>
      </c>
      <c r="BI3467" t="s">
        <v>18472</v>
      </c>
      <c r="BJ3467">
        <v>0.12631999999999999</v>
      </c>
      <c r="BK3467">
        <v>1</v>
      </c>
      <c r="BL3467" t="s">
        <v>69</v>
      </c>
      <c r="BM3467">
        <v>-1.054</v>
      </c>
      <c r="BN3467">
        <v>-0.77500000000000002</v>
      </c>
    </row>
    <row r="3468" spans="10:66">
      <c r="J3468">
        <v>0</v>
      </c>
      <c r="K3468">
        <v>0</v>
      </c>
      <c r="L3468">
        <v>0</v>
      </c>
      <c r="M3468" t="s">
        <v>25021</v>
      </c>
      <c r="N3468">
        <v>3176</v>
      </c>
      <c r="O3468" t="s">
        <v>18473</v>
      </c>
      <c r="P3468" t="s">
        <v>57</v>
      </c>
      <c r="Q3468">
        <v>3133387</v>
      </c>
      <c r="R3468">
        <v>3134166</v>
      </c>
      <c r="S3468" t="s">
        <v>18474</v>
      </c>
      <c r="T3468">
        <v>260</v>
      </c>
      <c r="U3468" t="s">
        <v>289</v>
      </c>
      <c r="V3468">
        <v>46</v>
      </c>
      <c r="W3468" t="str">
        <f>HYPERLINK("Gene3176-zp_tree_all.dnd", "Gene3176-tree")</f>
        <v>Gene3176-tree</v>
      </c>
      <c r="X3468">
        <v>10</v>
      </c>
      <c r="Y3468">
        <v>1</v>
      </c>
      <c r="Z3468">
        <v>10</v>
      </c>
      <c r="AA3468">
        <v>1</v>
      </c>
      <c r="AB3468">
        <v>9.0910000000000005E-2</v>
      </c>
      <c r="AC3468" t="s">
        <v>117</v>
      </c>
      <c r="AD3468" t="s">
        <v>175</v>
      </c>
      <c r="AE3468" t="s">
        <v>62</v>
      </c>
      <c r="AF3468" t="s">
        <v>62</v>
      </c>
      <c r="AG3468">
        <v>0</v>
      </c>
      <c r="AH3468">
        <v>0</v>
      </c>
      <c r="AI3468">
        <v>7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0</v>
      </c>
      <c r="AU3468">
        <v>8</v>
      </c>
      <c r="AV3468">
        <v>5</v>
      </c>
      <c r="AW3468">
        <v>11</v>
      </c>
      <c r="AX3468">
        <v>1</v>
      </c>
      <c r="AY3468">
        <v>33</v>
      </c>
      <c r="AZ3468">
        <v>6</v>
      </c>
      <c r="BA3468" t="s">
        <v>18475</v>
      </c>
      <c r="BB3468" t="s">
        <v>18476</v>
      </c>
      <c r="BC3468">
        <v>0.14199999999999999</v>
      </c>
      <c r="BD3468" t="s">
        <v>65</v>
      </c>
      <c r="BE3468">
        <v>44</v>
      </c>
      <c r="BF3468">
        <v>7</v>
      </c>
      <c r="BG3468" t="s">
        <v>18477</v>
      </c>
      <c r="BH3468" t="s">
        <v>18478</v>
      </c>
      <c r="BI3468" t="s">
        <v>18479</v>
      </c>
      <c r="BJ3468">
        <v>4.5519999999999998E-2</v>
      </c>
      <c r="BK3468">
        <v>1</v>
      </c>
      <c r="BL3468" t="s">
        <v>69</v>
      </c>
      <c r="BM3468">
        <v>-1.6719999999999999</v>
      </c>
      <c r="BN3468">
        <v>1.03</v>
      </c>
    </row>
    <row r="3469" spans="10:66">
      <c r="J3469">
        <v>0</v>
      </c>
      <c r="K3469">
        <v>0</v>
      </c>
      <c r="L3469">
        <v>0</v>
      </c>
      <c r="M3469" t="s">
        <v>25021</v>
      </c>
      <c r="N3469">
        <v>3177</v>
      </c>
      <c r="O3469" t="s">
        <v>18480</v>
      </c>
      <c r="P3469" t="s">
        <v>57</v>
      </c>
      <c r="Q3469">
        <v>3134144</v>
      </c>
      <c r="R3469">
        <v>3134953</v>
      </c>
      <c r="S3469" t="s">
        <v>18481</v>
      </c>
      <c r="T3469">
        <v>270</v>
      </c>
      <c r="U3469" t="s">
        <v>108</v>
      </c>
      <c r="V3469">
        <v>44</v>
      </c>
      <c r="W3469" t="str">
        <f>HYPERLINK("Gene3177-zp_tree_all.dnd", "Gene3177-tree")</f>
        <v>Gene3177-tree</v>
      </c>
      <c r="X3469">
        <v>11</v>
      </c>
      <c r="Y3469">
        <v>0</v>
      </c>
      <c r="Z3469">
        <v>11</v>
      </c>
      <c r="AA3469">
        <v>0</v>
      </c>
      <c r="AB3469">
        <v>0</v>
      </c>
      <c r="AC3469" t="s">
        <v>73</v>
      </c>
      <c r="AD3469" t="s">
        <v>62</v>
      </c>
      <c r="AE3469" t="s">
        <v>62</v>
      </c>
      <c r="AF3469" t="s">
        <v>62</v>
      </c>
      <c r="AG3469">
        <v>0</v>
      </c>
      <c r="AH3469">
        <v>0</v>
      </c>
      <c r="AI3469">
        <v>2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8</v>
      </c>
      <c r="AV3469">
        <v>7</v>
      </c>
      <c r="AW3469">
        <v>13</v>
      </c>
      <c r="AX3469">
        <v>0</v>
      </c>
      <c r="AY3469">
        <v>14</v>
      </c>
      <c r="AZ3469">
        <v>2</v>
      </c>
      <c r="BA3469" t="s">
        <v>193</v>
      </c>
      <c r="BB3469" t="s">
        <v>18482</v>
      </c>
      <c r="BC3469">
        <v>0.88</v>
      </c>
      <c r="BD3469" t="s">
        <v>65</v>
      </c>
      <c r="BE3469">
        <v>27</v>
      </c>
      <c r="BF3469">
        <v>2</v>
      </c>
      <c r="BG3469" t="s">
        <v>18483</v>
      </c>
      <c r="BH3469" t="s">
        <v>18484</v>
      </c>
      <c r="BI3469" t="s">
        <v>18485</v>
      </c>
      <c r="BJ3469">
        <v>4.1980000000000003E-2</v>
      </c>
      <c r="BK3469">
        <v>1</v>
      </c>
      <c r="BL3469" t="s">
        <v>69</v>
      </c>
      <c r="BM3469">
        <v>0.30199999999999999</v>
      </c>
      <c r="BN3469">
        <v>0.66400000000000003</v>
      </c>
    </row>
    <row r="3470" spans="10:66">
      <c r="J3470">
        <v>0</v>
      </c>
      <c r="K3470">
        <v>0</v>
      </c>
      <c r="L3470">
        <v>2</v>
      </c>
      <c r="M3470" t="s">
        <v>25021</v>
      </c>
      <c r="N3470">
        <v>3181</v>
      </c>
      <c r="O3470" t="s">
        <v>18507</v>
      </c>
      <c r="P3470" t="s">
        <v>57</v>
      </c>
      <c r="Q3470">
        <v>3136768</v>
      </c>
      <c r="R3470">
        <v>3136941</v>
      </c>
      <c r="S3470" t="s">
        <v>116</v>
      </c>
      <c r="T3470">
        <v>58</v>
      </c>
      <c r="U3470" t="s">
        <v>108</v>
      </c>
      <c r="V3470">
        <v>44</v>
      </c>
      <c r="W3470" t="str">
        <f>HYPERLINK("Gene3181-zp_tree_all.dnd", "Gene3181-tree")</f>
        <v>Gene3181-tree</v>
      </c>
      <c r="X3470">
        <v>34</v>
      </c>
      <c r="Y3470">
        <v>2</v>
      </c>
      <c r="Z3470">
        <v>2</v>
      </c>
      <c r="AA3470">
        <v>2</v>
      </c>
      <c r="AB3470">
        <v>0.5</v>
      </c>
      <c r="AC3470" t="s">
        <v>18508</v>
      </c>
      <c r="AD3470" t="s">
        <v>81</v>
      </c>
      <c r="AE3470" t="s">
        <v>62</v>
      </c>
      <c r="AF3470" t="s">
        <v>62</v>
      </c>
      <c r="AG3470">
        <v>1</v>
      </c>
      <c r="AH3470">
        <v>2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2</v>
      </c>
      <c r="AV3470">
        <v>1</v>
      </c>
      <c r="AW3470">
        <v>1</v>
      </c>
      <c r="AX3470">
        <v>1</v>
      </c>
      <c r="AY3470">
        <v>0</v>
      </c>
      <c r="AZ3470">
        <v>1</v>
      </c>
      <c r="BA3470" t="s">
        <v>18509</v>
      </c>
      <c r="BB3470" t="s">
        <v>193</v>
      </c>
      <c r="BC3470">
        <v>0.70699999999999996</v>
      </c>
      <c r="BD3470" t="s">
        <v>65</v>
      </c>
      <c r="BE3470">
        <v>1</v>
      </c>
      <c r="BF3470">
        <v>2</v>
      </c>
      <c r="BG3470" t="s">
        <v>18510</v>
      </c>
      <c r="BH3470" t="s">
        <v>18511</v>
      </c>
      <c r="BI3470" t="s">
        <v>18512</v>
      </c>
      <c r="BJ3470">
        <v>0.47422999999999998</v>
      </c>
      <c r="BK3470">
        <v>0.66700000000000004</v>
      </c>
      <c r="BL3470" t="s">
        <v>635</v>
      </c>
      <c r="BM3470">
        <v>-5.5E-2</v>
      </c>
      <c r="BN3470">
        <v>-0.85599999999999998</v>
      </c>
    </row>
    <row r="3471" spans="10:66">
      <c r="J3471">
        <v>0</v>
      </c>
      <c r="K3471">
        <v>0</v>
      </c>
      <c r="L3471">
        <v>0</v>
      </c>
      <c r="M3471" t="s">
        <v>25021</v>
      </c>
      <c r="N3471">
        <v>3184</v>
      </c>
      <c r="O3471" t="s">
        <v>18525</v>
      </c>
      <c r="P3471" t="s">
        <v>57</v>
      </c>
      <c r="Q3471">
        <v>3138097</v>
      </c>
      <c r="R3471">
        <v>3138321</v>
      </c>
      <c r="S3471" t="s">
        <v>18526</v>
      </c>
      <c r="T3471">
        <v>75</v>
      </c>
      <c r="U3471" t="s">
        <v>160</v>
      </c>
      <c r="V3471">
        <v>45</v>
      </c>
      <c r="W3471" t="str">
        <f>HYPERLINK("Gene3184-zp_tree_all.dnd", "Gene3184-tree")</f>
        <v>Gene3184-tree</v>
      </c>
      <c r="X3471">
        <v>5</v>
      </c>
      <c r="Y3471">
        <v>2</v>
      </c>
      <c r="Z3471">
        <v>5</v>
      </c>
      <c r="AA3471">
        <v>2</v>
      </c>
      <c r="AB3471">
        <v>0.28571000000000002</v>
      </c>
      <c r="AC3471" t="s">
        <v>199</v>
      </c>
      <c r="AD3471" t="s">
        <v>81</v>
      </c>
      <c r="AE3471" t="s">
        <v>62</v>
      </c>
      <c r="AF3471" t="s">
        <v>62</v>
      </c>
      <c r="AG3471">
        <v>0</v>
      </c>
      <c r="AH3471">
        <v>0</v>
      </c>
      <c r="AI3471">
        <v>3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3</v>
      </c>
      <c r="AT3471">
        <v>0</v>
      </c>
      <c r="AU3471">
        <v>5</v>
      </c>
      <c r="AV3471">
        <v>2</v>
      </c>
      <c r="AW3471">
        <v>14</v>
      </c>
      <c r="AX3471">
        <v>3</v>
      </c>
      <c r="AY3471">
        <v>3</v>
      </c>
      <c r="AZ3471">
        <v>0</v>
      </c>
      <c r="BA3471" t="s">
        <v>18527</v>
      </c>
      <c r="BB3471" t="s">
        <v>193</v>
      </c>
      <c r="BC3471">
        <v>0.87</v>
      </c>
      <c r="BD3471" t="s">
        <v>65</v>
      </c>
      <c r="BE3471">
        <v>17</v>
      </c>
      <c r="BF3471">
        <v>3</v>
      </c>
      <c r="BG3471" t="s">
        <v>18528</v>
      </c>
      <c r="BH3471" t="s">
        <v>18529</v>
      </c>
      <c r="BI3471" t="s">
        <v>18530</v>
      </c>
      <c r="BJ3471">
        <v>4.4409999999999998E-2</v>
      </c>
      <c r="BK3471">
        <v>1</v>
      </c>
      <c r="BL3471" t="s">
        <v>69</v>
      </c>
      <c r="BM3471">
        <v>-2.2120000000000002</v>
      </c>
      <c r="BN3471">
        <v>-3.5630000000000002</v>
      </c>
    </row>
    <row r="3472" spans="10:66">
      <c r="J3472">
        <v>0</v>
      </c>
      <c r="K3472">
        <v>3</v>
      </c>
      <c r="L3472">
        <v>0</v>
      </c>
      <c r="M3472" t="s">
        <v>25021</v>
      </c>
      <c r="N3472">
        <v>3187</v>
      </c>
      <c r="O3472" t="s">
        <v>18545</v>
      </c>
      <c r="P3472" t="s">
        <v>57</v>
      </c>
      <c r="Q3472">
        <v>3139431</v>
      </c>
      <c r="R3472">
        <v>3140759</v>
      </c>
      <c r="S3472" t="s">
        <v>18546</v>
      </c>
      <c r="T3472">
        <v>443</v>
      </c>
      <c r="U3472" t="s">
        <v>108</v>
      </c>
      <c r="V3472">
        <v>44</v>
      </c>
      <c r="W3472" t="str">
        <f>HYPERLINK("Gene3187-zp_tree_all.dnd", "Gene3187-tree")</f>
        <v>Gene3187-tree</v>
      </c>
      <c r="X3472">
        <v>9</v>
      </c>
      <c r="Y3472">
        <v>6</v>
      </c>
      <c r="Z3472">
        <v>9</v>
      </c>
      <c r="AA3472">
        <v>6</v>
      </c>
      <c r="AB3472">
        <v>0.4</v>
      </c>
      <c r="AC3472" t="s">
        <v>135</v>
      </c>
      <c r="AD3472" t="s">
        <v>90</v>
      </c>
      <c r="AE3472" t="s">
        <v>62</v>
      </c>
      <c r="AF3472" t="s">
        <v>62</v>
      </c>
      <c r="AG3472">
        <v>1</v>
      </c>
      <c r="AH3472">
        <v>3</v>
      </c>
      <c r="AI3472">
        <v>6</v>
      </c>
      <c r="AJ3472">
        <v>0.33333000000000002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6</v>
      </c>
      <c r="AT3472">
        <v>0</v>
      </c>
      <c r="AU3472">
        <v>15</v>
      </c>
      <c r="AV3472">
        <v>10</v>
      </c>
      <c r="AW3472">
        <v>58</v>
      </c>
      <c r="AX3472">
        <v>6</v>
      </c>
      <c r="AY3472">
        <v>57</v>
      </c>
      <c r="AZ3472">
        <v>3</v>
      </c>
      <c r="BA3472" t="s">
        <v>18547</v>
      </c>
      <c r="BB3472" t="s">
        <v>18548</v>
      </c>
      <c r="BC3472">
        <v>0.60499999999999998</v>
      </c>
      <c r="BD3472" t="s">
        <v>65</v>
      </c>
      <c r="BE3472">
        <v>115</v>
      </c>
      <c r="BF3472">
        <v>9</v>
      </c>
      <c r="BG3472" t="s">
        <v>18549</v>
      </c>
      <c r="BH3472" t="s">
        <v>18550</v>
      </c>
      <c r="BI3472" t="s">
        <v>1403</v>
      </c>
      <c r="BJ3472">
        <v>2.078E-2</v>
      </c>
      <c r="BK3472">
        <v>1</v>
      </c>
      <c r="BL3472" t="s">
        <v>69</v>
      </c>
      <c r="BM3472">
        <v>-0.217</v>
      </c>
      <c r="BN3472">
        <v>-0.72</v>
      </c>
    </row>
    <row r="3473" spans="10:66">
      <c r="J3473">
        <v>0</v>
      </c>
      <c r="K3473">
        <v>9</v>
      </c>
      <c r="L3473">
        <v>0</v>
      </c>
      <c r="M3473" t="s">
        <v>25021</v>
      </c>
      <c r="N3473">
        <v>3188</v>
      </c>
      <c r="O3473" t="s">
        <v>18551</v>
      </c>
      <c r="P3473" t="s">
        <v>57</v>
      </c>
      <c r="Q3473">
        <v>3140806</v>
      </c>
      <c r="R3473">
        <v>3141843</v>
      </c>
      <c r="S3473" t="s">
        <v>18552</v>
      </c>
      <c r="T3473">
        <v>346</v>
      </c>
      <c r="U3473" t="s">
        <v>108</v>
      </c>
      <c r="V3473">
        <v>44</v>
      </c>
      <c r="W3473" t="str">
        <f>HYPERLINK("Gene3188-zp_tree_all.dnd", "Gene3188-tree")</f>
        <v>Gene3188-tree</v>
      </c>
      <c r="X3473">
        <v>11</v>
      </c>
      <c r="Y3473">
        <v>4</v>
      </c>
      <c r="Z3473">
        <v>11</v>
      </c>
      <c r="AA3473">
        <v>4</v>
      </c>
      <c r="AB3473">
        <v>0.26667000000000002</v>
      </c>
      <c r="AC3473" t="s">
        <v>73</v>
      </c>
      <c r="AD3473" t="s">
        <v>61</v>
      </c>
      <c r="AE3473" t="s">
        <v>62</v>
      </c>
      <c r="AF3473" t="s">
        <v>62</v>
      </c>
      <c r="AG3473">
        <v>4</v>
      </c>
      <c r="AH3473">
        <v>9</v>
      </c>
      <c r="AI3473">
        <v>1</v>
      </c>
      <c r="AJ3473">
        <v>0.9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2</v>
      </c>
      <c r="AQ3473">
        <v>0</v>
      </c>
      <c r="AR3473">
        <v>2</v>
      </c>
      <c r="AS3473">
        <v>3</v>
      </c>
      <c r="AT3473">
        <v>0.4</v>
      </c>
      <c r="AU3473">
        <v>11</v>
      </c>
      <c r="AV3473">
        <v>12</v>
      </c>
      <c r="AW3473">
        <v>34</v>
      </c>
      <c r="AX3473">
        <v>5</v>
      </c>
      <c r="AY3473">
        <v>28</v>
      </c>
      <c r="AZ3473">
        <v>5</v>
      </c>
      <c r="BA3473" t="s">
        <v>18553</v>
      </c>
      <c r="BB3473" t="s">
        <v>18554</v>
      </c>
      <c r="BC3473">
        <v>0.21</v>
      </c>
      <c r="BD3473" t="s">
        <v>65</v>
      </c>
      <c r="BE3473">
        <v>62</v>
      </c>
      <c r="BF3473">
        <v>10</v>
      </c>
      <c r="BG3473" t="s">
        <v>18555</v>
      </c>
      <c r="BH3473" t="s">
        <v>18556</v>
      </c>
      <c r="BI3473" t="s">
        <v>18557</v>
      </c>
      <c r="BJ3473">
        <v>4.9399999999999999E-2</v>
      </c>
      <c r="BK3473">
        <v>1</v>
      </c>
      <c r="BL3473" t="s">
        <v>69</v>
      </c>
      <c r="BM3473">
        <v>0.17199999999999999</v>
      </c>
      <c r="BN3473">
        <v>-0.25600000000000001</v>
      </c>
    </row>
    <row r="3474" spans="10:66">
      <c r="J3474">
        <v>0</v>
      </c>
      <c r="K3474">
        <v>0</v>
      </c>
      <c r="L3474">
        <v>2</v>
      </c>
      <c r="M3474" t="s">
        <v>25021</v>
      </c>
      <c r="N3474">
        <v>3189</v>
      </c>
      <c r="O3474" t="s">
        <v>18558</v>
      </c>
      <c r="P3474" t="s">
        <v>57</v>
      </c>
      <c r="Q3474">
        <v>3141900</v>
      </c>
      <c r="R3474">
        <v>3142055</v>
      </c>
      <c r="S3474" t="s">
        <v>116</v>
      </c>
      <c r="T3474">
        <v>52</v>
      </c>
      <c r="U3474" t="s">
        <v>59</v>
      </c>
      <c r="V3474">
        <v>49</v>
      </c>
      <c r="W3474" t="str">
        <f>HYPERLINK("Gene3189-zp_tree_all.dnd", "Gene3189-tree")</f>
        <v>Gene3189-tree</v>
      </c>
      <c r="X3474">
        <v>41</v>
      </c>
      <c r="Y3474">
        <v>2</v>
      </c>
      <c r="Z3474">
        <v>4</v>
      </c>
      <c r="AA3474">
        <v>2</v>
      </c>
      <c r="AB3474">
        <v>0.33333000000000002</v>
      </c>
      <c r="AC3474" t="s">
        <v>18559</v>
      </c>
      <c r="AD3474" t="s">
        <v>81</v>
      </c>
      <c r="AE3474" t="s">
        <v>62</v>
      </c>
      <c r="AF3474" t="s">
        <v>62</v>
      </c>
      <c r="AG3474">
        <v>1</v>
      </c>
      <c r="AH3474">
        <v>2</v>
      </c>
      <c r="AI3474">
        <v>2</v>
      </c>
      <c r="AJ3474">
        <v>0.5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2</v>
      </c>
      <c r="AT3474">
        <v>0</v>
      </c>
      <c r="AU3474">
        <v>4</v>
      </c>
      <c r="AV3474">
        <v>3</v>
      </c>
      <c r="AW3474">
        <v>2</v>
      </c>
      <c r="AX3474">
        <v>2</v>
      </c>
      <c r="AY3474">
        <v>5</v>
      </c>
      <c r="AZ3474">
        <v>2</v>
      </c>
      <c r="BA3474" t="s">
        <v>18560</v>
      </c>
      <c r="BB3474" t="s">
        <v>18561</v>
      </c>
      <c r="BC3474">
        <v>0.59799999999999998</v>
      </c>
      <c r="BD3474" t="s">
        <v>65</v>
      </c>
      <c r="BE3474">
        <v>7</v>
      </c>
      <c r="BF3474">
        <v>4</v>
      </c>
      <c r="BG3474" t="s">
        <v>18562</v>
      </c>
      <c r="BH3474" t="s">
        <v>18563</v>
      </c>
      <c r="BI3474" t="s">
        <v>18564</v>
      </c>
      <c r="BJ3474">
        <v>0.14137</v>
      </c>
      <c r="BK3474">
        <v>0.95799999999999996</v>
      </c>
      <c r="BL3474" t="s">
        <v>69</v>
      </c>
      <c r="BM3474">
        <v>-1.115</v>
      </c>
      <c r="BN3474">
        <v>0.04</v>
      </c>
    </row>
    <row r="3475" spans="10:66">
      <c r="J3475">
        <v>0</v>
      </c>
      <c r="K3475">
        <v>4</v>
      </c>
      <c r="L3475">
        <v>0</v>
      </c>
      <c r="M3475" t="s">
        <v>25021</v>
      </c>
      <c r="N3475">
        <v>3200</v>
      </c>
      <c r="O3475" t="s">
        <v>18630</v>
      </c>
      <c r="P3475" t="s">
        <v>57</v>
      </c>
      <c r="Q3475">
        <v>3154007</v>
      </c>
      <c r="R3475">
        <v>3154723</v>
      </c>
      <c r="S3475" t="s">
        <v>18631</v>
      </c>
      <c r="T3475">
        <v>239</v>
      </c>
      <c r="U3475" t="s">
        <v>108</v>
      </c>
      <c r="V3475">
        <v>44</v>
      </c>
      <c r="W3475" t="str">
        <f>HYPERLINK("Gene3200-zp_tree_all.dnd", "Gene3200-tree")</f>
        <v>Gene3200-tree</v>
      </c>
      <c r="X3475">
        <v>7</v>
      </c>
      <c r="Y3475">
        <v>6</v>
      </c>
      <c r="Z3475">
        <v>7</v>
      </c>
      <c r="AA3475">
        <v>6</v>
      </c>
      <c r="AB3475">
        <v>0.46154000000000001</v>
      </c>
      <c r="AC3475" t="s">
        <v>152</v>
      </c>
      <c r="AD3475" t="s">
        <v>90</v>
      </c>
      <c r="AE3475" t="s">
        <v>62</v>
      </c>
      <c r="AF3475" t="s">
        <v>62</v>
      </c>
      <c r="AG3475">
        <v>2</v>
      </c>
      <c r="AH3475">
        <v>4</v>
      </c>
      <c r="AI3475">
        <v>4</v>
      </c>
      <c r="AJ3475">
        <v>0.5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4</v>
      </c>
      <c r="AQ3475">
        <v>0</v>
      </c>
      <c r="AR3475">
        <v>4</v>
      </c>
      <c r="AS3475">
        <v>4</v>
      </c>
      <c r="AT3475">
        <v>0.5</v>
      </c>
      <c r="AU3475">
        <v>12</v>
      </c>
      <c r="AV3475">
        <v>6</v>
      </c>
      <c r="AW3475">
        <v>28</v>
      </c>
      <c r="AX3475">
        <v>9</v>
      </c>
      <c r="AY3475">
        <v>12</v>
      </c>
      <c r="AZ3475">
        <v>0</v>
      </c>
      <c r="BA3475" t="s">
        <v>18632</v>
      </c>
      <c r="BB3475" t="s">
        <v>193</v>
      </c>
      <c r="BC3475">
        <v>1.5580000000000001</v>
      </c>
      <c r="BD3475" t="s">
        <v>65</v>
      </c>
      <c r="BE3475">
        <v>40</v>
      </c>
      <c r="BF3475">
        <v>9</v>
      </c>
      <c r="BG3475" t="s">
        <v>18633</v>
      </c>
      <c r="BH3475" t="s">
        <v>18634</v>
      </c>
      <c r="BI3475" t="s">
        <v>18635</v>
      </c>
      <c r="BJ3475">
        <v>4.8050000000000002E-2</v>
      </c>
      <c r="BK3475">
        <v>1</v>
      </c>
      <c r="BL3475" t="s">
        <v>69</v>
      </c>
      <c r="BM3475">
        <v>-1.135</v>
      </c>
      <c r="BN3475">
        <v>-1.35</v>
      </c>
    </row>
    <row r="3476" spans="10:66">
      <c r="J3476">
        <v>0</v>
      </c>
      <c r="K3476">
        <v>12</v>
      </c>
      <c r="L3476">
        <v>0</v>
      </c>
      <c r="M3476" t="s">
        <v>25021</v>
      </c>
      <c r="N3476">
        <v>3202</v>
      </c>
      <c r="O3476" t="s">
        <v>18642</v>
      </c>
      <c r="P3476" t="s">
        <v>57</v>
      </c>
      <c r="Q3476">
        <v>3155725</v>
      </c>
      <c r="R3476">
        <v>3157008</v>
      </c>
      <c r="S3476" t="s">
        <v>18643</v>
      </c>
      <c r="T3476">
        <v>428</v>
      </c>
      <c r="U3476" t="s">
        <v>108</v>
      </c>
      <c r="V3476">
        <v>44</v>
      </c>
      <c r="W3476" t="str">
        <f>HYPERLINK("Gene3202-zp_tree_all.dnd", "Gene3202-tree")</f>
        <v>Gene3202-tree</v>
      </c>
      <c r="X3476">
        <v>7</v>
      </c>
      <c r="Y3476">
        <v>8</v>
      </c>
      <c r="Z3476">
        <v>7</v>
      </c>
      <c r="AA3476">
        <v>8</v>
      </c>
      <c r="AB3476">
        <v>0.53332999999999997</v>
      </c>
      <c r="AC3476" t="s">
        <v>152</v>
      </c>
      <c r="AD3476" t="s">
        <v>136</v>
      </c>
      <c r="AE3476" t="s">
        <v>62</v>
      </c>
      <c r="AF3476" t="s">
        <v>62</v>
      </c>
      <c r="AG3476">
        <v>5</v>
      </c>
      <c r="AH3476">
        <v>12</v>
      </c>
      <c r="AI3476">
        <v>11</v>
      </c>
      <c r="AJ3476">
        <v>0.52173999999999998</v>
      </c>
      <c r="AK3476">
        <v>0</v>
      </c>
      <c r="AL3476">
        <v>0</v>
      </c>
      <c r="AM3476">
        <v>0</v>
      </c>
      <c r="AN3476">
        <v>4</v>
      </c>
      <c r="AO3476">
        <v>0</v>
      </c>
      <c r="AP3476">
        <v>4</v>
      </c>
      <c r="AQ3476">
        <v>0</v>
      </c>
      <c r="AR3476">
        <v>4</v>
      </c>
      <c r="AS3476">
        <v>11</v>
      </c>
      <c r="AT3476">
        <v>0.26667000000000002</v>
      </c>
      <c r="AU3476">
        <v>10</v>
      </c>
      <c r="AV3476">
        <v>10</v>
      </c>
      <c r="AW3476">
        <v>25</v>
      </c>
      <c r="AX3476">
        <v>12</v>
      </c>
      <c r="AY3476">
        <v>25</v>
      </c>
      <c r="AZ3476">
        <v>11</v>
      </c>
      <c r="BA3476" t="s">
        <v>18644</v>
      </c>
      <c r="BB3476" t="s">
        <v>18645</v>
      </c>
      <c r="BC3476">
        <v>0.185</v>
      </c>
      <c r="BD3476" t="s">
        <v>65</v>
      </c>
      <c r="BE3476">
        <v>50</v>
      </c>
      <c r="BF3476">
        <v>23</v>
      </c>
      <c r="BG3476" t="s">
        <v>18646</v>
      </c>
      <c r="BH3476" t="s">
        <v>18647</v>
      </c>
      <c r="BI3476" t="s">
        <v>18648</v>
      </c>
      <c r="BJ3476">
        <v>0.12515999999999999</v>
      </c>
      <c r="BK3476">
        <v>1</v>
      </c>
      <c r="BL3476" t="s">
        <v>69</v>
      </c>
      <c r="BM3476">
        <v>-0.53500000000000003</v>
      </c>
      <c r="BN3476">
        <v>-0.08</v>
      </c>
    </row>
    <row r="3477" spans="10:66">
      <c r="J3477">
        <v>0</v>
      </c>
      <c r="K3477">
        <v>22</v>
      </c>
      <c r="L3477">
        <v>3</v>
      </c>
      <c r="M3477" t="s">
        <v>25021</v>
      </c>
      <c r="N3477">
        <v>3203</v>
      </c>
      <c r="O3477" t="s">
        <v>18649</v>
      </c>
      <c r="P3477" t="s">
        <v>57</v>
      </c>
      <c r="Q3477">
        <v>3157008</v>
      </c>
      <c r="R3477">
        <v>3157955</v>
      </c>
      <c r="S3477" t="s">
        <v>18650</v>
      </c>
      <c r="T3477">
        <v>316</v>
      </c>
      <c r="U3477" t="s">
        <v>108</v>
      </c>
      <c r="V3477">
        <v>44</v>
      </c>
      <c r="W3477" t="str">
        <f>HYPERLINK("Gene3203-zp_tree_all.dnd", "Gene3203-tree")</f>
        <v>Gene3203-tree</v>
      </c>
      <c r="X3477">
        <v>3</v>
      </c>
      <c r="Y3477">
        <v>31</v>
      </c>
      <c r="Z3477">
        <v>3</v>
      </c>
      <c r="AA3477">
        <v>12</v>
      </c>
      <c r="AB3477">
        <v>0.8</v>
      </c>
      <c r="AC3477" t="s">
        <v>324</v>
      </c>
      <c r="AD3477" t="s">
        <v>5000</v>
      </c>
      <c r="AE3477">
        <v>0.89600000000000002</v>
      </c>
      <c r="AF3477" t="s">
        <v>65</v>
      </c>
      <c r="AG3477">
        <v>10</v>
      </c>
      <c r="AH3477">
        <v>25</v>
      </c>
      <c r="AI3477">
        <v>11</v>
      </c>
      <c r="AJ3477">
        <v>0.69443999999999995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13</v>
      </c>
      <c r="AQ3477">
        <v>2</v>
      </c>
      <c r="AR3477">
        <v>15</v>
      </c>
      <c r="AS3477">
        <v>11</v>
      </c>
      <c r="AT3477">
        <v>0.57691999999999999</v>
      </c>
      <c r="AU3477">
        <v>13</v>
      </c>
      <c r="AV3477">
        <v>10</v>
      </c>
      <c r="AW3477">
        <v>40</v>
      </c>
      <c r="AX3477">
        <v>24</v>
      </c>
      <c r="AY3477">
        <v>15</v>
      </c>
      <c r="AZ3477">
        <v>12</v>
      </c>
      <c r="BA3477" t="s">
        <v>18651</v>
      </c>
      <c r="BB3477" t="s">
        <v>18652</v>
      </c>
      <c r="BC3477">
        <v>0.40600000000000003</v>
      </c>
      <c r="BD3477" t="s">
        <v>65</v>
      </c>
      <c r="BE3477">
        <v>55</v>
      </c>
      <c r="BF3477">
        <v>36</v>
      </c>
      <c r="BG3477" t="s">
        <v>18653</v>
      </c>
      <c r="BH3477" t="s">
        <v>18654</v>
      </c>
      <c r="BI3477" t="s">
        <v>18655</v>
      </c>
      <c r="BJ3477">
        <v>0.20362</v>
      </c>
      <c r="BK3477">
        <v>1</v>
      </c>
      <c r="BL3477" t="s">
        <v>69</v>
      </c>
      <c r="BM3477">
        <v>-0.91100000000000003</v>
      </c>
      <c r="BN3477">
        <v>-2.1779999999999999</v>
      </c>
    </row>
    <row r="3478" spans="10:66">
      <c r="J3478">
        <v>0</v>
      </c>
      <c r="K3478">
        <v>17</v>
      </c>
      <c r="L3478">
        <v>2</v>
      </c>
      <c r="M3478" t="s">
        <v>25021</v>
      </c>
      <c r="N3478">
        <v>3204</v>
      </c>
      <c r="O3478" t="s">
        <v>18656</v>
      </c>
      <c r="P3478" t="s">
        <v>57</v>
      </c>
      <c r="Q3478">
        <v>3157961</v>
      </c>
      <c r="R3478">
        <v>3159181</v>
      </c>
      <c r="S3478" t="s">
        <v>18657</v>
      </c>
      <c r="T3478">
        <v>407</v>
      </c>
      <c r="U3478" t="s">
        <v>108</v>
      </c>
      <c r="V3478">
        <v>44</v>
      </c>
      <c r="W3478" t="str">
        <f>HYPERLINK("Gene3204-zp_tree_all.dnd", "Gene3204-tree")</f>
        <v>Gene3204-tree</v>
      </c>
      <c r="X3478">
        <v>23</v>
      </c>
      <c r="Y3478">
        <v>10</v>
      </c>
      <c r="Z3478">
        <v>4</v>
      </c>
      <c r="AA3478">
        <v>10</v>
      </c>
      <c r="AB3478">
        <v>0.71428999999999998</v>
      </c>
      <c r="AC3478" t="s">
        <v>690</v>
      </c>
      <c r="AD3478" t="s">
        <v>117</v>
      </c>
      <c r="AE3478" t="s">
        <v>62</v>
      </c>
      <c r="AF3478" t="s">
        <v>62</v>
      </c>
      <c r="AG3478">
        <v>8</v>
      </c>
      <c r="AH3478">
        <v>19</v>
      </c>
      <c r="AI3478">
        <v>8</v>
      </c>
      <c r="AJ3478">
        <v>0.70369999999999999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6</v>
      </c>
      <c r="AQ3478">
        <v>4</v>
      </c>
      <c r="AR3478">
        <v>10</v>
      </c>
      <c r="AS3478">
        <v>10</v>
      </c>
      <c r="AT3478">
        <v>0.5</v>
      </c>
      <c r="AU3478">
        <v>13</v>
      </c>
      <c r="AV3478">
        <v>10</v>
      </c>
      <c r="AW3478">
        <v>48</v>
      </c>
      <c r="AX3478">
        <v>20</v>
      </c>
      <c r="AY3478">
        <v>24</v>
      </c>
      <c r="AZ3478">
        <v>7</v>
      </c>
      <c r="BA3478" t="s">
        <v>18658</v>
      </c>
      <c r="BB3478" t="s">
        <v>18659</v>
      </c>
      <c r="BC3478">
        <v>0.57099999999999995</v>
      </c>
      <c r="BD3478" t="s">
        <v>65</v>
      </c>
      <c r="BE3478">
        <v>72</v>
      </c>
      <c r="BF3478">
        <v>27</v>
      </c>
      <c r="BG3478" t="s">
        <v>18660</v>
      </c>
      <c r="BH3478" t="s">
        <v>18661</v>
      </c>
      <c r="BI3478" t="s">
        <v>18662</v>
      </c>
      <c r="BJ3478">
        <v>0.10736</v>
      </c>
      <c r="BK3478">
        <v>1</v>
      </c>
      <c r="BL3478" t="s">
        <v>69</v>
      </c>
      <c r="BM3478">
        <v>-0.65900000000000003</v>
      </c>
      <c r="BN3478">
        <v>-1.633</v>
      </c>
    </row>
    <row r="3479" spans="10:66">
      <c r="J3479">
        <v>0</v>
      </c>
      <c r="K3479">
        <v>11</v>
      </c>
      <c r="L3479">
        <v>2</v>
      </c>
      <c r="M3479" t="s">
        <v>25021</v>
      </c>
      <c r="N3479">
        <v>3208</v>
      </c>
      <c r="O3479" t="s">
        <v>18682</v>
      </c>
      <c r="P3479" t="s">
        <v>57</v>
      </c>
      <c r="Q3479">
        <v>3162084</v>
      </c>
      <c r="R3479">
        <v>3163154</v>
      </c>
      <c r="S3479" t="s">
        <v>18683</v>
      </c>
      <c r="T3479">
        <v>357</v>
      </c>
      <c r="U3479" t="s">
        <v>108</v>
      </c>
      <c r="V3479">
        <v>44</v>
      </c>
      <c r="W3479" t="str">
        <f>HYPERLINK("Gene3208-zp_tree_all.dnd", "Gene3208-tree")</f>
        <v>Gene3208-tree</v>
      </c>
      <c r="X3479">
        <v>3</v>
      </c>
      <c r="Y3479">
        <v>10</v>
      </c>
      <c r="Z3479">
        <v>3</v>
      </c>
      <c r="AA3479">
        <v>10</v>
      </c>
      <c r="AB3479">
        <v>0.76922999999999997</v>
      </c>
      <c r="AC3479" t="s">
        <v>324</v>
      </c>
      <c r="AD3479" t="s">
        <v>117</v>
      </c>
      <c r="AE3479" t="s">
        <v>62</v>
      </c>
      <c r="AF3479" t="s">
        <v>62</v>
      </c>
      <c r="AG3479">
        <v>4</v>
      </c>
      <c r="AH3479">
        <v>13</v>
      </c>
      <c r="AI3479">
        <v>13</v>
      </c>
      <c r="AJ3479">
        <v>0.5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6</v>
      </c>
      <c r="AQ3479">
        <v>3</v>
      </c>
      <c r="AR3479">
        <v>9</v>
      </c>
      <c r="AS3479">
        <v>10</v>
      </c>
      <c r="AT3479">
        <v>0.47367999999999999</v>
      </c>
      <c r="AU3479">
        <v>10</v>
      </c>
      <c r="AV3479">
        <v>9</v>
      </c>
      <c r="AW3479">
        <v>29</v>
      </c>
      <c r="AX3479">
        <v>21</v>
      </c>
      <c r="AY3479">
        <v>13</v>
      </c>
      <c r="AZ3479">
        <v>7</v>
      </c>
      <c r="BA3479" t="s">
        <v>18684</v>
      </c>
      <c r="BB3479" t="s">
        <v>18685</v>
      </c>
      <c r="BC3479">
        <v>0.32900000000000001</v>
      </c>
      <c r="BD3479" t="s">
        <v>65</v>
      </c>
      <c r="BE3479">
        <v>42</v>
      </c>
      <c r="BF3479">
        <v>28</v>
      </c>
      <c r="BG3479" t="s">
        <v>18686</v>
      </c>
      <c r="BH3479" t="s">
        <v>18687</v>
      </c>
      <c r="BI3479" t="s">
        <v>18688</v>
      </c>
      <c r="BJ3479">
        <v>0.15384</v>
      </c>
      <c r="BK3479">
        <v>1</v>
      </c>
      <c r="BL3479" t="s">
        <v>69</v>
      </c>
      <c r="BM3479">
        <v>-0.46899999999999997</v>
      </c>
      <c r="BN3479">
        <v>-2.13</v>
      </c>
    </row>
    <row r="3480" spans="10:66">
      <c r="J3480">
        <v>0</v>
      </c>
      <c r="K3480">
        <v>7</v>
      </c>
      <c r="L3480">
        <v>3</v>
      </c>
      <c r="M3480" t="s">
        <v>25021</v>
      </c>
      <c r="N3480">
        <v>3209</v>
      </c>
      <c r="O3480" t="s">
        <v>18689</v>
      </c>
      <c r="P3480" t="s">
        <v>57</v>
      </c>
      <c r="Q3480">
        <v>3163237</v>
      </c>
      <c r="R3480">
        <v>3163701</v>
      </c>
      <c r="S3480" t="s">
        <v>18690</v>
      </c>
      <c r="T3480">
        <v>155</v>
      </c>
      <c r="U3480" t="s">
        <v>9585</v>
      </c>
      <c r="V3480">
        <v>42</v>
      </c>
      <c r="W3480" t="str">
        <f>HYPERLINK("Gene3209-zp_tree_all.dnd", "Gene3209-tree")</f>
        <v>Gene3209-tree</v>
      </c>
      <c r="X3480">
        <v>0</v>
      </c>
      <c r="Y3480">
        <v>10</v>
      </c>
      <c r="Z3480">
        <v>0</v>
      </c>
      <c r="AA3480">
        <v>10</v>
      </c>
      <c r="AB3480">
        <v>1</v>
      </c>
      <c r="AC3480" t="s">
        <v>62</v>
      </c>
      <c r="AD3480" t="s">
        <v>117</v>
      </c>
      <c r="AE3480" t="s">
        <v>62</v>
      </c>
      <c r="AF3480" t="s">
        <v>62</v>
      </c>
      <c r="AG3480">
        <v>2</v>
      </c>
      <c r="AH3480">
        <v>10</v>
      </c>
      <c r="AI3480">
        <v>10</v>
      </c>
      <c r="AJ3480">
        <v>0.5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7</v>
      </c>
      <c r="AQ3480">
        <v>3</v>
      </c>
      <c r="AR3480">
        <v>10</v>
      </c>
      <c r="AS3480">
        <v>10</v>
      </c>
      <c r="AT3480">
        <v>0.5</v>
      </c>
      <c r="AU3480">
        <v>9</v>
      </c>
      <c r="AV3480">
        <v>2</v>
      </c>
      <c r="AW3480">
        <v>10</v>
      </c>
      <c r="AX3480">
        <v>19</v>
      </c>
      <c r="AY3480">
        <v>3</v>
      </c>
      <c r="AZ3480">
        <v>1</v>
      </c>
      <c r="BA3480" t="s">
        <v>18691</v>
      </c>
      <c r="BB3480" t="s">
        <v>18692</v>
      </c>
      <c r="BC3480">
        <v>1.46</v>
      </c>
      <c r="BD3480" t="s">
        <v>65</v>
      </c>
      <c r="BE3480">
        <v>13</v>
      </c>
      <c r="BF3480">
        <v>20</v>
      </c>
      <c r="BG3480" t="s">
        <v>11097</v>
      </c>
      <c r="BH3480" t="s">
        <v>18693</v>
      </c>
      <c r="BI3480" t="s">
        <v>18694</v>
      </c>
      <c r="BJ3480">
        <v>0.30776999999999999</v>
      </c>
      <c r="BK3480">
        <v>0.99</v>
      </c>
      <c r="BL3480" t="s">
        <v>69</v>
      </c>
      <c r="BM3480">
        <v>-1.607</v>
      </c>
      <c r="BN3480">
        <v>-2.63</v>
      </c>
    </row>
    <row r="3481" spans="10:66">
      <c r="J3481">
        <v>0</v>
      </c>
      <c r="K3481">
        <v>0</v>
      </c>
      <c r="L3481">
        <v>0</v>
      </c>
      <c r="M3481" t="s">
        <v>25021</v>
      </c>
      <c r="N3481">
        <v>3215</v>
      </c>
      <c r="O3481" t="s">
        <v>18729</v>
      </c>
      <c r="P3481" t="s">
        <v>57</v>
      </c>
      <c r="Q3481">
        <v>3179306</v>
      </c>
      <c r="R3481">
        <v>3179881</v>
      </c>
      <c r="S3481" t="s">
        <v>18730</v>
      </c>
      <c r="T3481">
        <v>192</v>
      </c>
      <c r="U3481" t="s">
        <v>108</v>
      </c>
      <c r="V3481">
        <v>44</v>
      </c>
      <c r="W3481" t="str">
        <f>HYPERLINK("Gene3215-zp_tree_all.dnd", "Gene3215-tree")</f>
        <v>Gene3215-tree</v>
      </c>
      <c r="X3481">
        <v>5</v>
      </c>
      <c r="Y3481">
        <v>3</v>
      </c>
      <c r="Z3481">
        <v>5</v>
      </c>
      <c r="AA3481">
        <v>3</v>
      </c>
      <c r="AB3481">
        <v>0.375</v>
      </c>
      <c r="AC3481" t="s">
        <v>199</v>
      </c>
      <c r="AD3481" t="s">
        <v>324</v>
      </c>
      <c r="AE3481" t="s">
        <v>62</v>
      </c>
      <c r="AF3481" t="s">
        <v>62</v>
      </c>
      <c r="AG3481">
        <v>0</v>
      </c>
      <c r="AH3481">
        <v>0</v>
      </c>
      <c r="AI3481">
        <v>4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3</v>
      </c>
      <c r="AT3481">
        <v>0</v>
      </c>
      <c r="AU3481">
        <v>6</v>
      </c>
      <c r="AV3481">
        <v>3</v>
      </c>
      <c r="AW3481">
        <v>8</v>
      </c>
      <c r="AX3481">
        <v>3</v>
      </c>
      <c r="AY3481">
        <v>4</v>
      </c>
      <c r="AZ3481">
        <v>1</v>
      </c>
      <c r="BA3481" t="s">
        <v>18731</v>
      </c>
      <c r="BB3481" t="s">
        <v>18732</v>
      </c>
      <c r="BC3481">
        <v>0.32400000000000001</v>
      </c>
      <c r="BD3481" t="s">
        <v>65</v>
      </c>
      <c r="BE3481">
        <v>12</v>
      </c>
      <c r="BF3481">
        <v>4</v>
      </c>
      <c r="BG3481" t="s">
        <v>18733</v>
      </c>
      <c r="BH3481" t="s">
        <v>18734</v>
      </c>
      <c r="BI3481" t="s">
        <v>18735</v>
      </c>
      <c r="BJ3481">
        <v>0.11846</v>
      </c>
      <c r="BK3481">
        <v>1</v>
      </c>
      <c r="BL3481" t="s">
        <v>69</v>
      </c>
      <c r="BM3481">
        <v>-1.5229999999999999</v>
      </c>
      <c r="BN3481">
        <v>-1.452</v>
      </c>
    </row>
    <row r="3482" spans="10:66">
      <c r="J3482">
        <v>0</v>
      </c>
      <c r="K3482">
        <v>0</v>
      </c>
      <c r="L3482">
        <v>0</v>
      </c>
      <c r="M3482" t="s">
        <v>25021</v>
      </c>
      <c r="N3482">
        <v>3219</v>
      </c>
      <c r="O3482" t="s">
        <v>18756</v>
      </c>
      <c r="P3482" t="s">
        <v>57</v>
      </c>
      <c r="Q3482">
        <v>3182707</v>
      </c>
      <c r="R3482">
        <v>3183192</v>
      </c>
      <c r="S3482" t="s">
        <v>116</v>
      </c>
      <c r="T3482">
        <v>162</v>
      </c>
      <c r="U3482" t="s">
        <v>465</v>
      </c>
      <c r="V3482">
        <v>46</v>
      </c>
      <c r="W3482" t="str">
        <f>HYPERLINK("Gene3219-zp_tree_all.dnd", "Gene3219-tree")</f>
        <v>Gene3219-tree</v>
      </c>
      <c r="X3482">
        <v>7</v>
      </c>
      <c r="Y3482">
        <v>5</v>
      </c>
      <c r="Z3482">
        <v>7</v>
      </c>
      <c r="AA3482">
        <v>5</v>
      </c>
      <c r="AB3482">
        <v>0.41666999999999998</v>
      </c>
      <c r="AC3482" t="s">
        <v>152</v>
      </c>
      <c r="AD3482" t="s">
        <v>199</v>
      </c>
      <c r="AE3482" t="s">
        <v>62</v>
      </c>
      <c r="AF3482" t="s">
        <v>62</v>
      </c>
      <c r="AG3482">
        <v>0</v>
      </c>
      <c r="AH3482">
        <v>0</v>
      </c>
      <c r="AI3482">
        <v>12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12</v>
      </c>
      <c r="AT3482">
        <v>0</v>
      </c>
      <c r="AU3482">
        <v>7</v>
      </c>
      <c r="AV3482">
        <v>4</v>
      </c>
      <c r="AW3482">
        <v>18</v>
      </c>
      <c r="AX3482">
        <v>12</v>
      </c>
      <c r="AY3482">
        <v>5</v>
      </c>
      <c r="AZ3482">
        <v>0</v>
      </c>
      <c r="BA3482" t="s">
        <v>18757</v>
      </c>
      <c r="BB3482" t="s">
        <v>193</v>
      </c>
      <c r="BC3482">
        <v>0.45400000000000001</v>
      </c>
      <c r="BD3482" t="s">
        <v>65</v>
      </c>
      <c r="BE3482">
        <v>23</v>
      </c>
      <c r="BF3482">
        <v>12</v>
      </c>
      <c r="BG3482" t="s">
        <v>18758</v>
      </c>
      <c r="BH3482" t="s">
        <v>18759</v>
      </c>
      <c r="BI3482" t="s">
        <v>18760</v>
      </c>
      <c r="BJ3482">
        <v>0.10714</v>
      </c>
      <c r="BK3482">
        <v>1</v>
      </c>
      <c r="BL3482" t="s">
        <v>69</v>
      </c>
      <c r="BM3482">
        <v>-1.6279999999999999</v>
      </c>
      <c r="BN3482">
        <v>0.35599999999999998</v>
      </c>
    </row>
    <row r="3483" spans="10:66">
      <c r="J3483">
        <v>0</v>
      </c>
      <c r="K3483">
        <v>4</v>
      </c>
      <c r="L3483">
        <v>0</v>
      </c>
      <c r="M3483" t="s">
        <v>25021</v>
      </c>
      <c r="N3483">
        <v>3223</v>
      </c>
      <c r="O3483" t="s">
        <v>18780</v>
      </c>
      <c r="P3483" t="s">
        <v>57</v>
      </c>
      <c r="Q3483">
        <v>3186763</v>
      </c>
      <c r="R3483">
        <v>3187302</v>
      </c>
      <c r="S3483" t="s">
        <v>18781</v>
      </c>
      <c r="T3483">
        <v>180</v>
      </c>
      <c r="U3483" t="s">
        <v>108</v>
      </c>
      <c r="V3483">
        <v>44</v>
      </c>
      <c r="W3483" t="str">
        <f>HYPERLINK("Gene3223-zp_tree_all.dnd", "Gene3223-tree")</f>
        <v>Gene3223-tree</v>
      </c>
      <c r="X3483">
        <v>5</v>
      </c>
      <c r="Y3483">
        <v>6</v>
      </c>
      <c r="Z3483">
        <v>5</v>
      </c>
      <c r="AA3483">
        <v>6</v>
      </c>
      <c r="AB3483">
        <v>0.54544999999999999</v>
      </c>
      <c r="AC3483" t="s">
        <v>199</v>
      </c>
      <c r="AD3483" t="s">
        <v>90</v>
      </c>
      <c r="AE3483" t="s">
        <v>62</v>
      </c>
      <c r="AF3483" t="s">
        <v>62</v>
      </c>
      <c r="AG3483">
        <v>2</v>
      </c>
      <c r="AH3483">
        <v>4</v>
      </c>
      <c r="AI3483">
        <v>5</v>
      </c>
      <c r="AJ3483">
        <v>0.44444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7</v>
      </c>
      <c r="AT3483">
        <v>0</v>
      </c>
      <c r="AU3483">
        <v>6</v>
      </c>
      <c r="AV3483">
        <v>6</v>
      </c>
      <c r="AW3483">
        <v>11</v>
      </c>
      <c r="AX3483">
        <v>2</v>
      </c>
      <c r="AY3483">
        <v>3</v>
      </c>
      <c r="AZ3483">
        <v>7</v>
      </c>
      <c r="BA3483" t="s">
        <v>18782</v>
      </c>
      <c r="BB3483" t="s">
        <v>18783</v>
      </c>
      <c r="BC3483">
        <v>2.0209999999999999</v>
      </c>
      <c r="BD3483" t="s">
        <v>65</v>
      </c>
      <c r="BE3483">
        <v>14</v>
      </c>
      <c r="BF3483">
        <v>9</v>
      </c>
      <c r="BG3483" t="s">
        <v>18784</v>
      </c>
      <c r="BH3483" t="s">
        <v>18785</v>
      </c>
      <c r="BI3483" t="s">
        <v>18786</v>
      </c>
      <c r="BJ3483">
        <v>0.17358000000000001</v>
      </c>
      <c r="BK3483">
        <v>1</v>
      </c>
      <c r="BL3483" t="s">
        <v>69</v>
      </c>
      <c r="BM3483">
        <v>-0.497</v>
      </c>
      <c r="BN3483">
        <v>-0.81599999999999995</v>
      </c>
    </row>
    <row r="3484" spans="10:66">
      <c r="J3484">
        <v>0</v>
      </c>
      <c r="K3484">
        <v>0</v>
      </c>
      <c r="L3484">
        <v>0</v>
      </c>
      <c r="M3484" t="s">
        <v>25021</v>
      </c>
      <c r="N3484">
        <v>3224</v>
      </c>
      <c r="O3484" t="s">
        <v>18787</v>
      </c>
      <c r="P3484" t="s">
        <v>57</v>
      </c>
      <c r="Q3484">
        <v>3187503</v>
      </c>
      <c r="R3484">
        <v>3188045</v>
      </c>
      <c r="S3484" t="s">
        <v>18788</v>
      </c>
      <c r="T3484">
        <v>181</v>
      </c>
      <c r="U3484" t="s">
        <v>108</v>
      </c>
      <c r="V3484">
        <v>44</v>
      </c>
      <c r="W3484" t="str">
        <f>HYPERLINK("Gene3224-zp_tree_all.dnd", "Gene3224-tree")</f>
        <v>Gene3224-tree</v>
      </c>
      <c r="X3484">
        <v>9</v>
      </c>
      <c r="Y3484">
        <v>2</v>
      </c>
      <c r="Z3484">
        <v>9</v>
      </c>
      <c r="AA3484">
        <v>2</v>
      </c>
      <c r="AB3484">
        <v>0.18182000000000001</v>
      </c>
      <c r="AC3484" t="s">
        <v>135</v>
      </c>
      <c r="AD3484" t="s">
        <v>81</v>
      </c>
      <c r="AE3484" t="s">
        <v>62</v>
      </c>
      <c r="AF3484" t="s">
        <v>62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2</v>
      </c>
      <c r="AT3484">
        <v>0</v>
      </c>
      <c r="AU3484">
        <v>7</v>
      </c>
      <c r="AV3484">
        <v>4</v>
      </c>
      <c r="AW3484">
        <v>12</v>
      </c>
      <c r="AX3484">
        <v>2</v>
      </c>
      <c r="AY3484">
        <v>5</v>
      </c>
      <c r="AZ3484">
        <v>0</v>
      </c>
      <c r="BA3484" t="s">
        <v>18789</v>
      </c>
      <c r="BB3484" t="s">
        <v>193</v>
      </c>
      <c r="BC3484">
        <v>0.92400000000000004</v>
      </c>
      <c r="BD3484" t="s">
        <v>65</v>
      </c>
      <c r="BE3484">
        <v>17</v>
      </c>
      <c r="BF3484">
        <v>2</v>
      </c>
      <c r="BG3484" t="s">
        <v>18790</v>
      </c>
      <c r="BH3484" t="s">
        <v>18791</v>
      </c>
      <c r="BI3484" t="s">
        <v>18792</v>
      </c>
      <c r="BJ3484">
        <v>2.9960000000000001E-2</v>
      </c>
      <c r="BK3484">
        <v>1</v>
      </c>
      <c r="BL3484" t="s">
        <v>69</v>
      </c>
      <c r="BM3484">
        <v>-7.5999999999999998E-2</v>
      </c>
      <c r="BN3484">
        <v>-0.65300000000000002</v>
      </c>
    </row>
    <row r="3485" spans="10:66">
      <c r="J3485">
        <v>0</v>
      </c>
      <c r="K3485">
        <v>0</v>
      </c>
      <c r="L3485">
        <v>0</v>
      </c>
      <c r="M3485" t="s">
        <v>25021</v>
      </c>
      <c r="N3485">
        <v>3225</v>
      </c>
      <c r="O3485" t="s">
        <v>18793</v>
      </c>
      <c r="P3485" t="s">
        <v>57</v>
      </c>
      <c r="Q3485">
        <v>3188414</v>
      </c>
      <c r="R3485">
        <v>3189079</v>
      </c>
      <c r="S3485" t="s">
        <v>9427</v>
      </c>
      <c r="T3485">
        <v>222</v>
      </c>
      <c r="U3485" t="s">
        <v>108</v>
      </c>
      <c r="V3485">
        <v>44</v>
      </c>
      <c r="W3485" t="str">
        <f>HYPERLINK("Gene3225-zp_tree_all.dnd", "Gene3225-tree")</f>
        <v>Gene3225-tree</v>
      </c>
      <c r="X3485">
        <v>10</v>
      </c>
      <c r="Y3485">
        <v>3</v>
      </c>
      <c r="Z3485">
        <v>10</v>
      </c>
      <c r="AA3485">
        <v>3</v>
      </c>
      <c r="AB3485">
        <v>0.23077</v>
      </c>
      <c r="AC3485" t="s">
        <v>117</v>
      </c>
      <c r="AD3485" t="s">
        <v>324</v>
      </c>
      <c r="AE3485" t="s">
        <v>62</v>
      </c>
      <c r="AF3485" t="s">
        <v>62</v>
      </c>
      <c r="AG3485">
        <v>0</v>
      </c>
      <c r="AH3485">
        <v>0</v>
      </c>
      <c r="AI3485">
        <v>4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3</v>
      </c>
      <c r="AT3485">
        <v>0</v>
      </c>
      <c r="AU3485">
        <v>8</v>
      </c>
      <c r="AV3485">
        <v>8</v>
      </c>
      <c r="AW3485">
        <v>10</v>
      </c>
      <c r="AX3485">
        <v>3</v>
      </c>
      <c r="AY3485">
        <v>11</v>
      </c>
      <c r="AZ3485">
        <v>1</v>
      </c>
      <c r="BA3485" t="s">
        <v>18794</v>
      </c>
      <c r="BB3485" t="s">
        <v>18795</v>
      </c>
      <c r="BC3485">
        <v>0.59899999999999998</v>
      </c>
      <c r="BD3485" t="s">
        <v>65</v>
      </c>
      <c r="BE3485">
        <v>21</v>
      </c>
      <c r="BF3485">
        <v>4</v>
      </c>
      <c r="BG3485" t="s">
        <v>18796</v>
      </c>
      <c r="BH3485" t="s">
        <v>18797</v>
      </c>
      <c r="BI3485" t="s">
        <v>6043</v>
      </c>
      <c r="BJ3485">
        <v>4.5100000000000001E-2</v>
      </c>
      <c r="BK3485">
        <v>1</v>
      </c>
      <c r="BL3485" t="s">
        <v>69</v>
      </c>
      <c r="BM3485">
        <v>-0.52900000000000003</v>
      </c>
      <c r="BN3485">
        <v>-1.1719999999999999</v>
      </c>
    </row>
    <row r="3486" spans="10:66">
      <c r="J3486">
        <v>0</v>
      </c>
      <c r="K3486">
        <v>6</v>
      </c>
      <c r="L3486">
        <v>0</v>
      </c>
      <c r="M3486" t="s">
        <v>25021</v>
      </c>
      <c r="N3486">
        <v>3226</v>
      </c>
      <c r="O3486" t="s">
        <v>18798</v>
      </c>
      <c r="P3486" t="s">
        <v>57</v>
      </c>
      <c r="Q3486">
        <v>3189089</v>
      </c>
      <c r="R3486">
        <v>3190423</v>
      </c>
      <c r="S3486" t="s">
        <v>18799</v>
      </c>
      <c r="T3486">
        <v>445</v>
      </c>
      <c r="U3486" t="s">
        <v>108</v>
      </c>
      <c r="V3486">
        <v>44</v>
      </c>
      <c r="W3486" t="str">
        <f>HYPERLINK("Gene3226-zp_tree_all.dnd", "Gene3226-tree")</f>
        <v>Gene3226-tree</v>
      </c>
      <c r="X3486">
        <v>7</v>
      </c>
      <c r="Y3486">
        <v>11</v>
      </c>
      <c r="Z3486">
        <v>7</v>
      </c>
      <c r="AA3486">
        <v>11</v>
      </c>
      <c r="AB3486">
        <v>0.61111000000000004</v>
      </c>
      <c r="AC3486" t="s">
        <v>152</v>
      </c>
      <c r="AD3486" t="s">
        <v>73</v>
      </c>
      <c r="AE3486">
        <v>65406436.016999997</v>
      </c>
      <c r="AF3486" t="s">
        <v>267</v>
      </c>
      <c r="AG3486">
        <v>3</v>
      </c>
      <c r="AH3486">
        <v>6</v>
      </c>
      <c r="AI3486">
        <v>14</v>
      </c>
      <c r="AJ3486">
        <v>0.3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2</v>
      </c>
      <c r="AQ3486">
        <v>0</v>
      </c>
      <c r="AR3486">
        <v>2</v>
      </c>
      <c r="AS3486">
        <v>15</v>
      </c>
      <c r="AT3486">
        <v>0.11765</v>
      </c>
      <c r="AU3486">
        <v>15</v>
      </c>
      <c r="AV3486">
        <v>11</v>
      </c>
      <c r="AW3486">
        <v>32</v>
      </c>
      <c r="AX3486">
        <v>17</v>
      </c>
      <c r="AY3486">
        <v>35</v>
      </c>
      <c r="AZ3486">
        <v>3</v>
      </c>
      <c r="BA3486" t="s">
        <v>18800</v>
      </c>
      <c r="BB3486" t="s">
        <v>18801</v>
      </c>
      <c r="BC3486">
        <v>1.268</v>
      </c>
      <c r="BD3486" t="s">
        <v>65</v>
      </c>
      <c r="BE3486">
        <v>67</v>
      </c>
      <c r="BF3486">
        <v>20</v>
      </c>
      <c r="BG3486" t="s">
        <v>18802</v>
      </c>
      <c r="BH3486" t="s">
        <v>18803</v>
      </c>
      <c r="BI3486" t="s">
        <v>9028</v>
      </c>
      <c r="BJ3486">
        <v>8.0769999999999995E-2</v>
      </c>
      <c r="BK3486">
        <v>1</v>
      </c>
      <c r="BL3486" t="s">
        <v>69</v>
      </c>
      <c r="BM3486">
        <v>-0.52800000000000002</v>
      </c>
      <c r="BN3486">
        <v>-1.1819999999999999</v>
      </c>
    </row>
    <row r="3487" spans="10:66">
      <c r="J3487">
        <v>0</v>
      </c>
      <c r="K3487">
        <v>6</v>
      </c>
      <c r="L3487">
        <v>1</v>
      </c>
      <c r="M3487" t="s">
        <v>25021</v>
      </c>
      <c r="N3487">
        <v>3230</v>
      </c>
      <c r="O3487" t="s">
        <v>18822</v>
      </c>
      <c r="P3487" t="s">
        <v>57</v>
      </c>
      <c r="Q3487">
        <v>3193863</v>
      </c>
      <c r="R3487">
        <v>3194345</v>
      </c>
      <c r="S3487" t="s">
        <v>18823</v>
      </c>
      <c r="T3487">
        <v>161</v>
      </c>
      <c r="U3487" t="s">
        <v>108</v>
      </c>
      <c r="V3487">
        <v>44</v>
      </c>
      <c r="W3487" t="str">
        <f>HYPERLINK("Gene3230-zp_tree_all.dnd", "Gene3230-tree")</f>
        <v>Gene3230-tree</v>
      </c>
      <c r="X3487">
        <v>5</v>
      </c>
      <c r="Y3487">
        <v>7</v>
      </c>
      <c r="Z3487">
        <v>5</v>
      </c>
      <c r="AA3487">
        <v>7</v>
      </c>
      <c r="AB3487">
        <v>0.58333000000000002</v>
      </c>
      <c r="AC3487" t="s">
        <v>199</v>
      </c>
      <c r="AD3487" t="s">
        <v>152</v>
      </c>
      <c r="AE3487" t="s">
        <v>62</v>
      </c>
      <c r="AF3487" t="s">
        <v>62</v>
      </c>
      <c r="AG3487">
        <v>2</v>
      </c>
      <c r="AH3487">
        <v>7</v>
      </c>
      <c r="AI3487">
        <v>6</v>
      </c>
      <c r="AJ3487">
        <v>0.53846000000000005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3</v>
      </c>
      <c r="AQ3487">
        <v>1</v>
      </c>
      <c r="AR3487">
        <v>4</v>
      </c>
      <c r="AS3487">
        <v>6</v>
      </c>
      <c r="AT3487">
        <v>0.4</v>
      </c>
      <c r="AU3487">
        <v>11</v>
      </c>
      <c r="AV3487">
        <v>8</v>
      </c>
      <c r="AW3487">
        <v>21</v>
      </c>
      <c r="AX3487">
        <v>10</v>
      </c>
      <c r="AY3487">
        <v>9</v>
      </c>
      <c r="AZ3487">
        <v>3</v>
      </c>
      <c r="BA3487" t="s">
        <v>18824</v>
      </c>
      <c r="BB3487" t="s">
        <v>18825</v>
      </c>
      <c r="BC3487">
        <v>0.317</v>
      </c>
      <c r="BD3487" t="s">
        <v>65</v>
      </c>
      <c r="BE3487">
        <v>30</v>
      </c>
      <c r="BF3487">
        <v>13</v>
      </c>
      <c r="BG3487" t="s">
        <v>18826</v>
      </c>
      <c r="BH3487" t="s">
        <v>18827</v>
      </c>
      <c r="BI3487" t="s">
        <v>18828</v>
      </c>
      <c r="BJ3487">
        <v>0.10166</v>
      </c>
      <c r="BK3487">
        <v>1</v>
      </c>
      <c r="BL3487" t="s">
        <v>69</v>
      </c>
      <c r="BM3487">
        <v>-0.30199999999999999</v>
      </c>
      <c r="BN3487">
        <v>-1.421</v>
      </c>
    </row>
    <row r="3488" spans="10:66">
      <c r="J3488">
        <v>0</v>
      </c>
      <c r="K3488">
        <v>10</v>
      </c>
      <c r="L3488">
        <v>0</v>
      </c>
      <c r="M3488" t="s">
        <v>25021</v>
      </c>
      <c r="N3488">
        <v>3233</v>
      </c>
      <c r="O3488" t="s">
        <v>18842</v>
      </c>
      <c r="P3488" t="s">
        <v>57</v>
      </c>
      <c r="Q3488">
        <v>3196906</v>
      </c>
      <c r="R3488">
        <v>3197889</v>
      </c>
      <c r="S3488" t="s">
        <v>18843</v>
      </c>
      <c r="T3488">
        <v>328</v>
      </c>
      <c r="U3488" t="s">
        <v>108</v>
      </c>
      <c r="V3488">
        <v>44</v>
      </c>
      <c r="W3488" t="str">
        <f>HYPERLINK("Gene3233-zp_tree_all.dnd", "Gene3233-tree")</f>
        <v>Gene3233-tree</v>
      </c>
      <c r="X3488">
        <v>8</v>
      </c>
      <c r="Y3488">
        <v>7</v>
      </c>
      <c r="Z3488">
        <v>8</v>
      </c>
      <c r="AA3488">
        <v>7</v>
      </c>
      <c r="AB3488">
        <v>0.46666999999999997</v>
      </c>
      <c r="AC3488" t="s">
        <v>136</v>
      </c>
      <c r="AD3488" t="s">
        <v>152</v>
      </c>
      <c r="AE3488" t="s">
        <v>62</v>
      </c>
      <c r="AF3488" t="s">
        <v>62</v>
      </c>
      <c r="AG3488">
        <v>4</v>
      </c>
      <c r="AH3488">
        <v>10</v>
      </c>
      <c r="AI3488">
        <v>11</v>
      </c>
      <c r="AJ3488">
        <v>0.47619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14</v>
      </c>
      <c r="AT3488">
        <v>0</v>
      </c>
      <c r="AU3488">
        <v>12</v>
      </c>
      <c r="AV3488">
        <v>11</v>
      </c>
      <c r="AW3488">
        <v>37</v>
      </c>
      <c r="AX3488">
        <v>14</v>
      </c>
      <c r="AY3488">
        <v>24</v>
      </c>
      <c r="AZ3488">
        <v>7</v>
      </c>
      <c r="BA3488" t="s">
        <v>18844</v>
      </c>
      <c r="BB3488" t="s">
        <v>18845</v>
      </c>
      <c r="BC3488">
        <v>0.161</v>
      </c>
      <c r="BD3488" t="s">
        <v>65</v>
      </c>
      <c r="BE3488">
        <v>61</v>
      </c>
      <c r="BF3488">
        <v>21</v>
      </c>
      <c r="BG3488" t="s">
        <v>18846</v>
      </c>
      <c r="BH3488" t="s">
        <v>18847</v>
      </c>
      <c r="BI3488" t="s">
        <v>9001</v>
      </c>
      <c r="BJ3488">
        <v>7.535E-2</v>
      </c>
      <c r="BK3488">
        <v>1</v>
      </c>
      <c r="BL3488" t="s">
        <v>69</v>
      </c>
      <c r="BM3488">
        <v>-1.3</v>
      </c>
      <c r="BN3488">
        <v>-1.901</v>
      </c>
    </row>
    <row r="3489" spans="10:66">
      <c r="J3489">
        <v>0</v>
      </c>
      <c r="K3489">
        <v>0</v>
      </c>
      <c r="L3489">
        <v>0</v>
      </c>
      <c r="M3489" t="s">
        <v>25021</v>
      </c>
      <c r="N3489">
        <v>3243</v>
      </c>
      <c r="O3489" t="s">
        <v>18907</v>
      </c>
      <c r="P3489" t="s">
        <v>57</v>
      </c>
      <c r="Q3489">
        <v>3212591</v>
      </c>
      <c r="R3489">
        <v>3213325</v>
      </c>
      <c r="S3489" t="s">
        <v>18908</v>
      </c>
      <c r="T3489">
        <v>245</v>
      </c>
      <c r="U3489" t="s">
        <v>108</v>
      </c>
      <c r="V3489">
        <v>44</v>
      </c>
      <c r="W3489" t="str">
        <f>HYPERLINK("Gene3243-zp_tree_all.dnd", "Gene3243-tree")</f>
        <v>Gene3243-tree</v>
      </c>
      <c r="X3489">
        <v>9</v>
      </c>
      <c r="Y3489">
        <v>4</v>
      </c>
      <c r="Z3489">
        <v>9</v>
      </c>
      <c r="AA3489">
        <v>4</v>
      </c>
      <c r="AB3489">
        <v>0.30769000000000002</v>
      </c>
      <c r="AC3489" t="s">
        <v>135</v>
      </c>
      <c r="AD3489" t="s">
        <v>61</v>
      </c>
      <c r="AE3489" t="s">
        <v>62</v>
      </c>
      <c r="AF3489" t="s">
        <v>62</v>
      </c>
      <c r="AG3489">
        <v>0</v>
      </c>
      <c r="AH3489">
        <v>0</v>
      </c>
      <c r="AI3489">
        <v>8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6</v>
      </c>
      <c r="AT3489">
        <v>0</v>
      </c>
      <c r="AU3489">
        <v>11</v>
      </c>
      <c r="AV3489">
        <v>8</v>
      </c>
      <c r="AW3489">
        <v>24</v>
      </c>
      <c r="AX3489">
        <v>6</v>
      </c>
      <c r="AY3489">
        <v>9</v>
      </c>
      <c r="AZ3489">
        <v>2</v>
      </c>
      <c r="BA3489" t="s">
        <v>18909</v>
      </c>
      <c r="BB3489" t="s">
        <v>18910</v>
      </c>
      <c r="BC3489">
        <v>8.3000000000000004E-2</v>
      </c>
      <c r="BD3489" t="s">
        <v>65</v>
      </c>
      <c r="BE3489">
        <v>33</v>
      </c>
      <c r="BF3489">
        <v>8</v>
      </c>
      <c r="BG3489" t="s">
        <v>18911</v>
      </c>
      <c r="BH3489" t="s">
        <v>18912</v>
      </c>
      <c r="BI3489" t="s">
        <v>18913</v>
      </c>
      <c r="BJ3489">
        <v>8.1920000000000007E-2</v>
      </c>
      <c r="BK3489">
        <v>1</v>
      </c>
      <c r="BL3489" t="s">
        <v>69</v>
      </c>
      <c r="BM3489">
        <v>-0.40699999999999997</v>
      </c>
      <c r="BN3489">
        <v>-0.74</v>
      </c>
    </row>
    <row r="3490" spans="10:66">
      <c r="J3490">
        <v>0</v>
      </c>
      <c r="K3490">
        <v>4</v>
      </c>
      <c r="L3490">
        <v>1</v>
      </c>
      <c r="M3490" t="s">
        <v>25021</v>
      </c>
      <c r="N3490">
        <v>3250</v>
      </c>
      <c r="O3490" t="s">
        <v>18945</v>
      </c>
      <c r="P3490" t="s">
        <v>57</v>
      </c>
      <c r="Q3490">
        <v>3218525</v>
      </c>
      <c r="R3490">
        <v>3218854</v>
      </c>
      <c r="S3490" t="s">
        <v>18946</v>
      </c>
      <c r="T3490">
        <v>110</v>
      </c>
      <c r="U3490" t="s">
        <v>125</v>
      </c>
      <c r="V3490">
        <v>48</v>
      </c>
      <c r="W3490" t="str">
        <f>HYPERLINK("Gene3250-zp_tree_all.dnd", "Gene3250-tree")</f>
        <v>Gene3250-tree</v>
      </c>
      <c r="X3490">
        <v>11</v>
      </c>
      <c r="Y3490">
        <v>2</v>
      </c>
      <c r="Z3490">
        <v>11</v>
      </c>
      <c r="AA3490">
        <v>2</v>
      </c>
      <c r="AB3490">
        <v>0.15384999999999999</v>
      </c>
      <c r="AC3490" t="s">
        <v>73</v>
      </c>
      <c r="AD3490" t="s">
        <v>81</v>
      </c>
      <c r="AE3490" t="s">
        <v>62</v>
      </c>
      <c r="AF3490" t="s">
        <v>62</v>
      </c>
      <c r="AG3490">
        <v>1</v>
      </c>
      <c r="AH3490">
        <v>5</v>
      </c>
      <c r="AI3490">
        <v>5</v>
      </c>
      <c r="AJ3490">
        <v>0.5</v>
      </c>
      <c r="AK3490">
        <v>0</v>
      </c>
      <c r="AL3490">
        <v>2</v>
      </c>
      <c r="AM3490">
        <v>2</v>
      </c>
      <c r="AN3490">
        <v>2</v>
      </c>
      <c r="AO3490">
        <v>0.5</v>
      </c>
      <c r="AP3490">
        <v>2</v>
      </c>
      <c r="AQ3490">
        <v>0</v>
      </c>
      <c r="AR3490">
        <v>2</v>
      </c>
      <c r="AS3490">
        <v>0</v>
      </c>
      <c r="AT3490">
        <v>1</v>
      </c>
      <c r="AU3490">
        <v>9</v>
      </c>
      <c r="AV3490">
        <v>6</v>
      </c>
      <c r="AW3490">
        <v>10</v>
      </c>
      <c r="AX3490">
        <v>2</v>
      </c>
      <c r="AY3490">
        <v>11</v>
      </c>
      <c r="AZ3490">
        <v>8</v>
      </c>
      <c r="BA3490" t="s">
        <v>18947</v>
      </c>
      <c r="BB3490" t="s">
        <v>18948</v>
      </c>
      <c r="BC3490">
        <v>0.83899999999999997</v>
      </c>
      <c r="BD3490" t="s">
        <v>65</v>
      </c>
      <c r="BE3490">
        <v>21</v>
      </c>
      <c r="BF3490">
        <v>10</v>
      </c>
      <c r="BG3490" t="s">
        <v>18949</v>
      </c>
      <c r="BH3490" t="s">
        <v>18950</v>
      </c>
      <c r="BI3490" t="s">
        <v>18951</v>
      </c>
      <c r="BJ3490">
        <v>0.10686</v>
      </c>
      <c r="BK3490">
        <v>1</v>
      </c>
      <c r="BL3490" t="s">
        <v>69</v>
      </c>
      <c r="BM3490">
        <v>-0.90500000000000003</v>
      </c>
      <c r="BN3490">
        <v>1.0780000000000001</v>
      </c>
    </row>
    <row r="3491" spans="10:66">
      <c r="J3491">
        <v>0</v>
      </c>
      <c r="K3491">
        <v>0</v>
      </c>
      <c r="L3491">
        <v>2</v>
      </c>
      <c r="M3491" t="s">
        <v>25021</v>
      </c>
      <c r="N3491">
        <v>3251</v>
      </c>
      <c r="O3491" t="s">
        <v>18952</v>
      </c>
      <c r="P3491" t="s">
        <v>57</v>
      </c>
      <c r="Q3491">
        <v>3218854</v>
      </c>
      <c r="R3491">
        <v>3219837</v>
      </c>
      <c r="S3491" t="s">
        <v>18953</v>
      </c>
      <c r="T3491">
        <v>328</v>
      </c>
      <c r="U3491" t="s">
        <v>108</v>
      </c>
      <c r="V3491">
        <v>44</v>
      </c>
      <c r="W3491" t="str">
        <f>HYPERLINK("Gene3251-zp_tree_all.dnd", "Gene3251-tree")</f>
        <v>Gene3251-tree</v>
      </c>
      <c r="X3491">
        <v>9</v>
      </c>
      <c r="Y3491">
        <v>7</v>
      </c>
      <c r="Z3491">
        <v>9</v>
      </c>
      <c r="AA3491">
        <v>7</v>
      </c>
      <c r="AB3491">
        <v>0.4375</v>
      </c>
      <c r="AC3491" t="s">
        <v>135</v>
      </c>
      <c r="AD3491" t="s">
        <v>152</v>
      </c>
      <c r="AE3491" t="s">
        <v>62</v>
      </c>
      <c r="AF3491" t="s">
        <v>62</v>
      </c>
      <c r="AG3491">
        <v>1</v>
      </c>
      <c r="AH3491">
        <v>2</v>
      </c>
      <c r="AI3491">
        <v>7</v>
      </c>
      <c r="AJ3491">
        <v>0.22222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2</v>
      </c>
      <c r="AR3491">
        <v>2</v>
      </c>
      <c r="AS3491">
        <v>5</v>
      </c>
      <c r="AT3491">
        <v>0.28571000000000002</v>
      </c>
      <c r="AU3491">
        <v>14</v>
      </c>
      <c r="AV3491">
        <v>11</v>
      </c>
      <c r="AW3491">
        <v>38</v>
      </c>
      <c r="AX3491">
        <v>8</v>
      </c>
      <c r="AY3491">
        <v>23</v>
      </c>
      <c r="AZ3491">
        <v>2</v>
      </c>
      <c r="BA3491" t="s">
        <v>18954</v>
      </c>
      <c r="BB3491" t="s">
        <v>18955</v>
      </c>
      <c r="BC3491">
        <v>0.42599999999999999</v>
      </c>
      <c r="BD3491" t="s">
        <v>65</v>
      </c>
      <c r="BE3491">
        <v>61</v>
      </c>
      <c r="BF3491">
        <v>10</v>
      </c>
      <c r="BG3491" t="s">
        <v>18956</v>
      </c>
      <c r="BH3491" t="s">
        <v>18957</v>
      </c>
      <c r="BI3491" t="s">
        <v>18958</v>
      </c>
      <c r="BJ3491">
        <v>6.8479999999999999E-2</v>
      </c>
      <c r="BK3491">
        <v>1</v>
      </c>
      <c r="BL3491" t="s">
        <v>69</v>
      </c>
      <c r="BM3491">
        <v>-0.32800000000000001</v>
      </c>
      <c r="BN3491">
        <v>-0.68700000000000006</v>
      </c>
    </row>
    <row r="3492" spans="10:66">
      <c r="J3492">
        <v>0</v>
      </c>
      <c r="K3492">
        <v>0</v>
      </c>
      <c r="L3492">
        <v>0</v>
      </c>
      <c r="M3492" t="s">
        <v>25021</v>
      </c>
      <c r="N3492">
        <v>3257</v>
      </c>
      <c r="O3492" t="s">
        <v>18992</v>
      </c>
      <c r="P3492" t="s">
        <v>57</v>
      </c>
      <c r="Q3492">
        <v>3224864</v>
      </c>
      <c r="R3492">
        <v>3225097</v>
      </c>
      <c r="S3492" t="s">
        <v>116</v>
      </c>
      <c r="T3492">
        <v>78</v>
      </c>
      <c r="U3492" t="s">
        <v>59</v>
      </c>
      <c r="V3492">
        <v>49</v>
      </c>
      <c r="W3492" t="str">
        <f>HYPERLINK("Gene3257-zp_tree_all.dnd", "Gene3257-tree")</f>
        <v>Gene3257-tree</v>
      </c>
      <c r="X3492">
        <v>5</v>
      </c>
      <c r="Y3492">
        <v>0</v>
      </c>
      <c r="Z3492">
        <v>5</v>
      </c>
      <c r="AA3492">
        <v>0</v>
      </c>
      <c r="AB3492">
        <v>0</v>
      </c>
      <c r="AC3492" t="s">
        <v>199</v>
      </c>
      <c r="AD3492" t="s">
        <v>62</v>
      </c>
      <c r="AE3492" t="s">
        <v>62</v>
      </c>
      <c r="AF3492" t="s">
        <v>62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4</v>
      </c>
      <c r="AV3492">
        <v>2</v>
      </c>
      <c r="AW3492">
        <v>6</v>
      </c>
      <c r="AX3492">
        <v>0</v>
      </c>
      <c r="AY3492">
        <v>9</v>
      </c>
      <c r="AZ3492">
        <v>0</v>
      </c>
      <c r="BA3492" t="s">
        <v>193</v>
      </c>
      <c r="BB3492" t="s">
        <v>193</v>
      </c>
      <c r="BC3492">
        <v>0</v>
      </c>
      <c r="BD3492" t="s">
        <v>65</v>
      </c>
      <c r="BE3492">
        <v>15</v>
      </c>
      <c r="BF3492">
        <v>0</v>
      </c>
      <c r="BG3492" t="s">
        <v>18993</v>
      </c>
      <c r="BH3492" t="s">
        <v>18994</v>
      </c>
      <c r="BI3492" t="s">
        <v>193</v>
      </c>
      <c r="BJ3492">
        <v>0</v>
      </c>
      <c r="BK3492">
        <v>1</v>
      </c>
      <c r="BL3492" t="s">
        <v>69</v>
      </c>
      <c r="BM3492">
        <v>-1.1599999999999999</v>
      </c>
      <c r="BN3492">
        <v>0.57999999999999996</v>
      </c>
    </row>
    <row r="3493" spans="10:66">
      <c r="J3493">
        <v>0</v>
      </c>
      <c r="K3493">
        <v>3</v>
      </c>
      <c r="L3493">
        <v>4</v>
      </c>
      <c r="M3493" t="s">
        <v>25021</v>
      </c>
      <c r="N3493">
        <v>3261</v>
      </c>
      <c r="O3493" t="s">
        <v>19013</v>
      </c>
      <c r="P3493" t="s">
        <v>57</v>
      </c>
      <c r="Q3493">
        <v>3227581</v>
      </c>
      <c r="R3493">
        <v>3228399</v>
      </c>
      <c r="S3493" t="s">
        <v>2512</v>
      </c>
      <c r="T3493">
        <v>273</v>
      </c>
      <c r="U3493" t="s">
        <v>108</v>
      </c>
      <c r="V3493">
        <v>44</v>
      </c>
      <c r="W3493" t="str">
        <f>HYPERLINK("Gene3261-zp_tree_all.dnd", "Gene3261-tree")</f>
        <v>Gene3261-tree</v>
      </c>
      <c r="X3493">
        <v>8</v>
      </c>
      <c r="Y3493">
        <v>5</v>
      </c>
      <c r="Z3493">
        <v>8</v>
      </c>
      <c r="AA3493">
        <v>5</v>
      </c>
      <c r="AB3493">
        <v>0.38462000000000002</v>
      </c>
      <c r="AC3493" t="s">
        <v>136</v>
      </c>
      <c r="AD3493" t="s">
        <v>199</v>
      </c>
      <c r="AE3493" t="s">
        <v>62</v>
      </c>
      <c r="AF3493" t="s">
        <v>62</v>
      </c>
      <c r="AG3493">
        <v>3</v>
      </c>
      <c r="AH3493">
        <v>7</v>
      </c>
      <c r="AI3493">
        <v>6</v>
      </c>
      <c r="AJ3493">
        <v>0.53846000000000005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2</v>
      </c>
      <c r="AQ3493">
        <v>0</v>
      </c>
      <c r="AR3493">
        <v>2</v>
      </c>
      <c r="AS3493">
        <v>7</v>
      </c>
      <c r="AT3493">
        <v>0.22222</v>
      </c>
      <c r="AU3493">
        <v>12</v>
      </c>
      <c r="AV3493">
        <v>7</v>
      </c>
      <c r="AW3493">
        <v>36</v>
      </c>
      <c r="AX3493">
        <v>9</v>
      </c>
      <c r="AY3493">
        <v>13</v>
      </c>
      <c r="AZ3493">
        <v>4</v>
      </c>
      <c r="BA3493" t="s">
        <v>19014</v>
      </c>
      <c r="BB3493" t="s">
        <v>19015</v>
      </c>
      <c r="BC3493">
        <v>0.214</v>
      </c>
      <c r="BD3493" t="s">
        <v>65</v>
      </c>
      <c r="BE3493">
        <v>49</v>
      </c>
      <c r="BF3493">
        <v>13</v>
      </c>
      <c r="BG3493" t="s">
        <v>19016</v>
      </c>
      <c r="BH3493" t="s">
        <v>19017</v>
      </c>
      <c r="BI3493" t="s">
        <v>19018</v>
      </c>
      <c r="BJ3493">
        <v>6.9320000000000007E-2</v>
      </c>
      <c r="BK3493">
        <v>1</v>
      </c>
      <c r="BL3493" t="s">
        <v>69</v>
      </c>
      <c r="BM3493">
        <v>-1.6839999999999999</v>
      </c>
      <c r="BN3493">
        <v>-1.806</v>
      </c>
    </row>
    <row r="3494" spans="10:66">
      <c r="J3494">
        <v>0</v>
      </c>
      <c r="K3494">
        <v>22</v>
      </c>
      <c r="L3494">
        <v>0</v>
      </c>
      <c r="M3494" t="s">
        <v>25021</v>
      </c>
      <c r="N3494">
        <v>3263</v>
      </c>
      <c r="O3494" t="s">
        <v>19025</v>
      </c>
      <c r="P3494" t="s">
        <v>57</v>
      </c>
      <c r="Q3494">
        <v>3228778</v>
      </c>
      <c r="R3494">
        <v>3229938</v>
      </c>
      <c r="S3494" t="s">
        <v>19026</v>
      </c>
      <c r="T3494">
        <v>387</v>
      </c>
      <c r="U3494" t="s">
        <v>108</v>
      </c>
      <c r="V3494">
        <v>44</v>
      </c>
      <c r="W3494" t="str">
        <f>HYPERLINK("Gene3263-zp_tree_all.dnd", "Gene3263-tree")</f>
        <v>Gene3263-tree</v>
      </c>
      <c r="X3494">
        <v>2</v>
      </c>
      <c r="Y3494">
        <v>14</v>
      </c>
      <c r="Z3494">
        <v>2</v>
      </c>
      <c r="AA3494">
        <v>14</v>
      </c>
      <c r="AB3494">
        <v>0.875</v>
      </c>
      <c r="AC3494" t="s">
        <v>81</v>
      </c>
      <c r="AD3494" t="s">
        <v>543</v>
      </c>
      <c r="AE3494">
        <v>860908720.12699997</v>
      </c>
      <c r="AF3494" t="s">
        <v>267</v>
      </c>
      <c r="AG3494">
        <v>6</v>
      </c>
      <c r="AH3494">
        <v>22</v>
      </c>
      <c r="AI3494">
        <v>21</v>
      </c>
      <c r="AJ3494">
        <v>0.51163000000000003</v>
      </c>
      <c r="AK3494">
        <v>0</v>
      </c>
      <c r="AL3494">
        <v>0</v>
      </c>
      <c r="AM3494">
        <v>0</v>
      </c>
      <c r="AN3494">
        <v>4</v>
      </c>
      <c r="AO3494">
        <v>0</v>
      </c>
      <c r="AP3494">
        <v>12</v>
      </c>
      <c r="AQ3494">
        <v>0</v>
      </c>
      <c r="AR3494">
        <v>12</v>
      </c>
      <c r="AS3494">
        <v>19</v>
      </c>
      <c r="AT3494">
        <v>0.3871</v>
      </c>
      <c r="AU3494">
        <v>14</v>
      </c>
      <c r="AV3494">
        <v>12</v>
      </c>
      <c r="AW3494">
        <v>43</v>
      </c>
      <c r="AX3494">
        <v>28</v>
      </c>
      <c r="AY3494">
        <v>34</v>
      </c>
      <c r="AZ3494">
        <v>16</v>
      </c>
      <c r="BA3494" t="s">
        <v>19027</v>
      </c>
      <c r="BB3494" t="s">
        <v>19028</v>
      </c>
      <c r="BC3494">
        <v>0.56599999999999995</v>
      </c>
      <c r="BD3494" t="s">
        <v>65</v>
      </c>
      <c r="BE3494">
        <v>77</v>
      </c>
      <c r="BF3494">
        <v>44</v>
      </c>
      <c r="BG3494" t="s">
        <v>19029</v>
      </c>
      <c r="BH3494" t="s">
        <v>19030</v>
      </c>
      <c r="BI3494" t="s">
        <v>19031</v>
      </c>
      <c r="BJ3494">
        <v>0.13217999999999999</v>
      </c>
      <c r="BK3494">
        <v>1</v>
      </c>
      <c r="BL3494" t="s">
        <v>69</v>
      </c>
      <c r="BM3494">
        <v>-0.56599999999999995</v>
      </c>
      <c r="BN3494">
        <v>-1.821</v>
      </c>
    </row>
    <row r="3495" spans="10:66">
      <c r="J3495">
        <v>0</v>
      </c>
      <c r="K3495">
        <v>0</v>
      </c>
      <c r="L3495">
        <v>0</v>
      </c>
      <c r="M3495" t="s">
        <v>25021</v>
      </c>
      <c r="N3495">
        <v>3264</v>
      </c>
      <c r="O3495" t="s">
        <v>19032</v>
      </c>
      <c r="P3495" t="s">
        <v>57</v>
      </c>
      <c r="Q3495">
        <v>3230067</v>
      </c>
      <c r="R3495">
        <v>3231350</v>
      </c>
      <c r="S3495" t="s">
        <v>19033</v>
      </c>
      <c r="T3495">
        <v>428</v>
      </c>
      <c r="U3495" t="s">
        <v>5577</v>
      </c>
      <c r="V3495">
        <v>43</v>
      </c>
      <c r="W3495" t="str">
        <f>HYPERLINK("Gene3264-zp_tree_all.dnd", "Gene3264-tree")</f>
        <v>Gene3264-tree</v>
      </c>
      <c r="X3495">
        <v>9</v>
      </c>
      <c r="Y3495">
        <v>6</v>
      </c>
      <c r="Z3495">
        <v>9</v>
      </c>
      <c r="AA3495">
        <v>6</v>
      </c>
      <c r="AB3495">
        <v>0.4</v>
      </c>
      <c r="AC3495" t="s">
        <v>135</v>
      </c>
      <c r="AD3495" t="s">
        <v>90</v>
      </c>
      <c r="AE3495" t="s">
        <v>62</v>
      </c>
      <c r="AF3495" t="s">
        <v>62</v>
      </c>
      <c r="AG3495">
        <v>0</v>
      </c>
      <c r="AH3495">
        <v>0</v>
      </c>
      <c r="AI3495">
        <v>11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9</v>
      </c>
      <c r="AT3495">
        <v>0</v>
      </c>
      <c r="AU3495">
        <v>12</v>
      </c>
      <c r="AV3495">
        <v>11</v>
      </c>
      <c r="AW3495">
        <v>39</v>
      </c>
      <c r="AX3495">
        <v>9</v>
      </c>
      <c r="AY3495">
        <v>15</v>
      </c>
      <c r="AZ3495">
        <v>2</v>
      </c>
      <c r="BA3495" t="s">
        <v>19034</v>
      </c>
      <c r="BB3495" t="s">
        <v>19035</v>
      </c>
      <c r="BC3495">
        <v>0.39200000000000002</v>
      </c>
      <c r="BD3495" t="s">
        <v>65</v>
      </c>
      <c r="BE3495">
        <v>54</v>
      </c>
      <c r="BF3495">
        <v>11</v>
      </c>
      <c r="BG3495" t="s">
        <v>19036</v>
      </c>
      <c r="BH3495" t="s">
        <v>19037</v>
      </c>
      <c r="BI3495" t="s">
        <v>19038</v>
      </c>
      <c r="BJ3495">
        <v>5.7290000000000001E-2</v>
      </c>
      <c r="BK3495">
        <v>1</v>
      </c>
      <c r="BL3495" t="s">
        <v>69</v>
      </c>
      <c r="BM3495">
        <v>-1.498</v>
      </c>
      <c r="BN3495">
        <v>-2.242</v>
      </c>
    </row>
    <row r="3496" spans="10:66">
      <c r="J3496">
        <v>0</v>
      </c>
      <c r="K3496">
        <v>7</v>
      </c>
      <c r="L3496">
        <v>3</v>
      </c>
      <c r="M3496" t="s">
        <v>25021</v>
      </c>
      <c r="N3496">
        <v>3265</v>
      </c>
      <c r="O3496" t="s">
        <v>19039</v>
      </c>
      <c r="P3496" t="s">
        <v>57</v>
      </c>
      <c r="Q3496">
        <v>3231399</v>
      </c>
      <c r="R3496">
        <v>3231782</v>
      </c>
      <c r="S3496" t="s">
        <v>19040</v>
      </c>
      <c r="T3496">
        <v>128</v>
      </c>
      <c r="U3496" t="s">
        <v>72</v>
      </c>
      <c r="V3496">
        <v>45</v>
      </c>
      <c r="W3496" t="str">
        <f>HYPERLINK("Gene3265-zp_tree_all.dnd", "Gene3265-tree")</f>
        <v>Gene3265-tree</v>
      </c>
      <c r="X3496">
        <v>4</v>
      </c>
      <c r="Y3496">
        <v>9</v>
      </c>
      <c r="Z3496">
        <v>4</v>
      </c>
      <c r="AA3496">
        <v>9</v>
      </c>
      <c r="AB3496">
        <v>0.69230999999999998</v>
      </c>
      <c r="AC3496" t="s">
        <v>61</v>
      </c>
      <c r="AD3496" t="s">
        <v>135</v>
      </c>
      <c r="AE3496" t="s">
        <v>62</v>
      </c>
      <c r="AF3496" t="s">
        <v>62</v>
      </c>
      <c r="AG3496">
        <v>4</v>
      </c>
      <c r="AH3496">
        <v>10</v>
      </c>
      <c r="AI3496">
        <v>9</v>
      </c>
      <c r="AJ3496">
        <v>0.52632000000000001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7</v>
      </c>
      <c r="AQ3496">
        <v>3</v>
      </c>
      <c r="AR3496">
        <v>10</v>
      </c>
      <c r="AS3496">
        <v>6</v>
      </c>
      <c r="AT3496">
        <v>0.625</v>
      </c>
      <c r="AU3496">
        <v>10</v>
      </c>
      <c r="AV3496">
        <v>8</v>
      </c>
      <c r="AW3496">
        <v>29</v>
      </c>
      <c r="AX3496">
        <v>14</v>
      </c>
      <c r="AY3496">
        <v>9</v>
      </c>
      <c r="AZ3496">
        <v>5</v>
      </c>
      <c r="BA3496" t="s">
        <v>19041</v>
      </c>
      <c r="BB3496" t="s">
        <v>19042</v>
      </c>
      <c r="BC3496">
        <v>0.189</v>
      </c>
      <c r="BD3496" t="s">
        <v>65</v>
      </c>
      <c r="BE3496">
        <v>38</v>
      </c>
      <c r="BF3496">
        <v>19</v>
      </c>
      <c r="BG3496" t="s">
        <v>19043</v>
      </c>
      <c r="BH3496" t="s">
        <v>19044</v>
      </c>
      <c r="BI3496" t="s">
        <v>19045</v>
      </c>
      <c r="BJ3496">
        <v>0.15508</v>
      </c>
      <c r="BK3496">
        <v>1</v>
      </c>
      <c r="BL3496" t="s">
        <v>69</v>
      </c>
      <c r="BM3496">
        <v>-1.36</v>
      </c>
      <c r="BN3496">
        <v>-2.56</v>
      </c>
    </row>
    <row r="3497" spans="10:66">
      <c r="J3497">
        <v>0</v>
      </c>
      <c r="K3497">
        <v>7</v>
      </c>
      <c r="L3497">
        <v>1</v>
      </c>
      <c r="M3497" t="s">
        <v>25021</v>
      </c>
      <c r="N3497">
        <v>3267</v>
      </c>
      <c r="O3497" t="s">
        <v>19053</v>
      </c>
      <c r="P3497" t="s">
        <v>57</v>
      </c>
      <c r="Q3497">
        <v>3232640</v>
      </c>
      <c r="R3497">
        <v>3233815</v>
      </c>
      <c r="S3497" t="s">
        <v>19054</v>
      </c>
      <c r="T3497">
        <v>392</v>
      </c>
      <c r="U3497" t="s">
        <v>59</v>
      </c>
      <c r="V3497">
        <v>49</v>
      </c>
      <c r="W3497" t="str">
        <f>HYPERLINK("Gene3267-zp_tree_all.dnd", "Gene3267-tree")</f>
        <v>Gene3267-tree</v>
      </c>
      <c r="X3497">
        <v>11</v>
      </c>
      <c r="Y3497">
        <v>28</v>
      </c>
      <c r="Z3497">
        <v>11</v>
      </c>
      <c r="AA3497">
        <v>9</v>
      </c>
      <c r="AB3497">
        <v>0.45</v>
      </c>
      <c r="AC3497" t="s">
        <v>73</v>
      </c>
      <c r="AD3497" t="s">
        <v>2825</v>
      </c>
      <c r="AE3497">
        <v>3.7069999999999999</v>
      </c>
      <c r="AF3497" t="s">
        <v>65</v>
      </c>
      <c r="AG3497">
        <v>3</v>
      </c>
      <c r="AH3497">
        <v>8</v>
      </c>
      <c r="AI3497">
        <v>20</v>
      </c>
      <c r="AJ3497">
        <v>0.28571000000000002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2</v>
      </c>
      <c r="AQ3497">
        <v>0</v>
      </c>
      <c r="AR3497">
        <v>2</v>
      </c>
      <c r="AS3497">
        <v>10</v>
      </c>
      <c r="AT3497">
        <v>0.16667000000000001</v>
      </c>
      <c r="AU3497">
        <v>20</v>
      </c>
      <c r="AV3497">
        <v>13</v>
      </c>
      <c r="AW3497">
        <v>74</v>
      </c>
      <c r="AX3497">
        <v>12</v>
      </c>
      <c r="AY3497">
        <v>60</v>
      </c>
      <c r="AZ3497">
        <v>17</v>
      </c>
      <c r="BA3497" t="s">
        <v>19055</v>
      </c>
      <c r="BB3497" t="s">
        <v>19056</v>
      </c>
      <c r="BC3497">
        <v>0.42199999999999999</v>
      </c>
      <c r="BD3497" t="s">
        <v>65</v>
      </c>
      <c r="BE3497">
        <v>134</v>
      </c>
      <c r="BF3497">
        <v>29</v>
      </c>
      <c r="BG3497" t="s">
        <v>19057</v>
      </c>
      <c r="BH3497" t="s">
        <v>19058</v>
      </c>
      <c r="BI3497" t="s">
        <v>19059</v>
      </c>
      <c r="BJ3497">
        <v>7.4709999999999999E-2</v>
      </c>
      <c r="BK3497">
        <v>1</v>
      </c>
      <c r="BL3497" t="s">
        <v>69</v>
      </c>
      <c r="BM3497">
        <v>-1.639</v>
      </c>
      <c r="BN3497">
        <v>-1.587</v>
      </c>
    </row>
    <row r="3498" spans="10:66">
      <c r="J3498">
        <v>2</v>
      </c>
      <c r="K3498">
        <v>9</v>
      </c>
      <c r="L3498">
        <v>2</v>
      </c>
      <c r="M3498" t="s">
        <v>25021</v>
      </c>
      <c r="N3498">
        <v>3268</v>
      </c>
      <c r="O3498" t="s">
        <v>19060</v>
      </c>
      <c r="P3498" t="s">
        <v>57</v>
      </c>
      <c r="Q3498">
        <v>3233911</v>
      </c>
      <c r="R3498">
        <v>3235782</v>
      </c>
      <c r="S3498" t="s">
        <v>19061</v>
      </c>
      <c r="T3498">
        <v>624</v>
      </c>
      <c r="U3498" t="s">
        <v>1607</v>
      </c>
      <c r="V3498">
        <v>47</v>
      </c>
      <c r="W3498" t="str">
        <f>HYPERLINK("Gene3268-zp_tree_all.dnd", "Gene3268-tree")</f>
        <v>Gene3268-tree</v>
      </c>
      <c r="X3498">
        <v>11</v>
      </c>
      <c r="Y3498">
        <v>8</v>
      </c>
      <c r="Z3498">
        <v>11</v>
      </c>
      <c r="AA3498">
        <v>8</v>
      </c>
      <c r="AB3498">
        <v>0.42104999999999998</v>
      </c>
      <c r="AC3498" t="s">
        <v>73</v>
      </c>
      <c r="AD3498" t="s">
        <v>136</v>
      </c>
      <c r="AE3498" t="s">
        <v>62</v>
      </c>
      <c r="AF3498" t="s">
        <v>62</v>
      </c>
      <c r="AG3498">
        <v>4</v>
      </c>
      <c r="AH3498">
        <v>13</v>
      </c>
      <c r="AI3498">
        <v>22</v>
      </c>
      <c r="AJ3498">
        <v>0.37142999999999998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2</v>
      </c>
      <c r="AR3498">
        <v>2</v>
      </c>
      <c r="AS3498">
        <v>13</v>
      </c>
      <c r="AT3498">
        <v>0.13333</v>
      </c>
      <c r="AU3498">
        <v>18</v>
      </c>
      <c r="AV3498">
        <v>14</v>
      </c>
      <c r="AW3498">
        <v>107</v>
      </c>
      <c r="AX3498">
        <v>14</v>
      </c>
      <c r="AY3498">
        <v>98</v>
      </c>
      <c r="AZ3498">
        <v>25</v>
      </c>
      <c r="BA3498" t="s">
        <v>19062</v>
      </c>
      <c r="BB3498" t="s">
        <v>19063</v>
      </c>
      <c r="BC3498">
        <v>0.42399999999999999</v>
      </c>
      <c r="BD3498" t="s">
        <v>65</v>
      </c>
      <c r="BE3498">
        <v>205</v>
      </c>
      <c r="BF3498">
        <v>39</v>
      </c>
      <c r="BG3498" t="s">
        <v>19064</v>
      </c>
      <c r="BH3498" t="s">
        <v>19065</v>
      </c>
      <c r="BI3498" t="s">
        <v>19066</v>
      </c>
      <c r="BJ3498">
        <v>6.0240000000000002E-2</v>
      </c>
      <c r="BK3498">
        <v>1</v>
      </c>
      <c r="BL3498" t="s">
        <v>69</v>
      </c>
      <c r="BM3498">
        <v>-1.6659999999999999</v>
      </c>
      <c r="BN3498">
        <v>-2.0369999999999999</v>
      </c>
    </row>
    <row r="3499" spans="10:66">
      <c r="J3499">
        <v>0</v>
      </c>
      <c r="K3499">
        <v>5</v>
      </c>
      <c r="L3499">
        <v>1</v>
      </c>
      <c r="M3499" t="s">
        <v>25021</v>
      </c>
      <c r="N3499">
        <v>3269</v>
      </c>
      <c r="O3499" t="s">
        <v>19067</v>
      </c>
      <c r="P3499" t="s">
        <v>57</v>
      </c>
      <c r="Q3499">
        <v>3235806</v>
      </c>
      <c r="R3499">
        <v>3236216</v>
      </c>
      <c r="S3499" t="s">
        <v>19068</v>
      </c>
      <c r="T3499">
        <v>137</v>
      </c>
      <c r="U3499" t="s">
        <v>214</v>
      </c>
      <c r="V3499">
        <v>48</v>
      </c>
      <c r="W3499" t="str">
        <f>HYPERLINK("Gene3269-zp_tree_all.dnd", "Gene3269-tree")</f>
        <v>Gene3269-tree</v>
      </c>
      <c r="X3499">
        <v>10</v>
      </c>
      <c r="Y3499">
        <v>5</v>
      </c>
      <c r="Z3499">
        <v>10</v>
      </c>
      <c r="AA3499">
        <v>5</v>
      </c>
      <c r="AB3499">
        <v>0.33333000000000002</v>
      </c>
      <c r="AC3499" t="s">
        <v>117</v>
      </c>
      <c r="AD3499" t="s">
        <v>199</v>
      </c>
      <c r="AE3499" t="s">
        <v>62</v>
      </c>
      <c r="AF3499" t="s">
        <v>62</v>
      </c>
      <c r="AG3499">
        <v>2</v>
      </c>
      <c r="AH3499">
        <v>6</v>
      </c>
      <c r="AI3499">
        <v>7</v>
      </c>
      <c r="AJ3499">
        <v>0.46154000000000001</v>
      </c>
      <c r="AK3499">
        <v>0</v>
      </c>
      <c r="AL3499">
        <v>0</v>
      </c>
      <c r="AM3499">
        <v>0</v>
      </c>
      <c r="AN3499">
        <v>2</v>
      </c>
      <c r="AO3499">
        <v>0</v>
      </c>
      <c r="AP3499">
        <v>0</v>
      </c>
      <c r="AQ3499">
        <v>0</v>
      </c>
      <c r="AR3499">
        <v>0</v>
      </c>
      <c r="AS3499">
        <v>5</v>
      </c>
      <c r="AT3499">
        <v>0</v>
      </c>
      <c r="AU3499">
        <v>12</v>
      </c>
      <c r="AV3499">
        <v>9</v>
      </c>
      <c r="AW3499">
        <v>16</v>
      </c>
      <c r="AX3499">
        <v>5</v>
      </c>
      <c r="AY3499">
        <v>25</v>
      </c>
      <c r="AZ3499">
        <v>8</v>
      </c>
      <c r="BA3499" t="s">
        <v>19069</v>
      </c>
      <c r="BB3499" t="s">
        <v>19070</v>
      </c>
      <c r="BC3499">
        <v>6.0000000000000001E-3</v>
      </c>
      <c r="BD3499" t="s">
        <v>65</v>
      </c>
      <c r="BE3499">
        <v>41</v>
      </c>
      <c r="BF3499">
        <v>13</v>
      </c>
      <c r="BG3499" t="s">
        <v>19071</v>
      </c>
      <c r="BH3499" t="s">
        <v>19072</v>
      </c>
      <c r="BI3499" t="s">
        <v>19073</v>
      </c>
      <c r="BJ3499">
        <v>8.4559999999999996E-2</v>
      </c>
      <c r="BK3499">
        <v>1</v>
      </c>
      <c r="BL3499" t="s">
        <v>69</v>
      </c>
      <c r="BM3499">
        <v>-1.0409999999999999</v>
      </c>
      <c r="BN3499">
        <v>-0.215</v>
      </c>
    </row>
    <row r="3500" spans="10:66">
      <c r="J3500">
        <v>0</v>
      </c>
      <c r="K3500">
        <v>2</v>
      </c>
      <c r="L3500">
        <v>0</v>
      </c>
      <c r="M3500" t="s">
        <v>25021</v>
      </c>
      <c r="N3500">
        <v>3271</v>
      </c>
      <c r="O3500" t="s">
        <v>19080</v>
      </c>
      <c r="P3500" t="s">
        <v>57</v>
      </c>
      <c r="Q3500">
        <v>3237157</v>
      </c>
      <c r="R3500">
        <v>3238755</v>
      </c>
      <c r="S3500" t="s">
        <v>19081</v>
      </c>
      <c r="T3500">
        <v>533</v>
      </c>
      <c r="U3500" t="s">
        <v>108</v>
      </c>
      <c r="V3500">
        <v>44</v>
      </c>
      <c r="W3500" t="str">
        <f>HYPERLINK("Gene3271-zp_tree_all.dnd", "Gene3271-tree")</f>
        <v>Gene3271-tree</v>
      </c>
      <c r="X3500">
        <v>5</v>
      </c>
      <c r="Y3500">
        <v>8</v>
      </c>
      <c r="Z3500">
        <v>5</v>
      </c>
      <c r="AA3500">
        <v>8</v>
      </c>
      <c r="AB3500">
        <v>0.61538000000000004</v>
      </c>
      <c r="AC3500" t="s">
        <v>199</v>
      </c>
      <c r="AD3500" t="s">
        <v>136</v>
      </c>
      <c r="AE3500" t="s">
        <v>62</v>
      </c>
      <c r="AF3500" t="s">
        <v>62</v>
      </c>
      <c r="AG3500">
        <v>1</v>
      </c>
      <c r="AH3500">
        <v>2</v>
      </c>
      <c r="AI3500">
        <v>8</v>
      </c>
      <c r="AJ3500">
        <v>0.2</v>
      </c>
      <c r="AK3500">
        <v>0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8</v>
      </c>
      <c r="AT3500">
        <v>0</v>
      </c>
      <c r="AU3500">
        <v>12</v>
      </c>
      <c r="AV3500">
        <v>6</v>
      </c>
      <c r="AW3500">
        <v>35</v>
      </c>
      <c r="AX3500">
        <v>8</v>
      </c>
      <c r="AY3500">
        <v>13</v>
      </c>
      <c r="AZ3500">
        <v>2</v>
      </c>
      <c r="BA3500" t="s">
        <v>19082</v>
      </c>
      <c r="BB3500" t="s">
        <v>19083</v>
      </c>
      <c r="BC3500">
        <v>0.432</v>
      </c>
      <c r="BD3500" t="s">
        <v>65</v>
      </c>
      <c r="BE3500">
        <v>48</v>
      </c>
      <c r="BF3500">
        <v>10</v>
      </c>
      <c r="BG3500" t="s">
        <v>19084</v>
      </c>
      <c r="BH3500" t="s">
        <v>19085</v>
      </c>
      <c r="BI3500" t="s">
        <v>19086</v>
      </c>
      <c r="BJ3500">
        <v>5.9089999999999997E-2</v>
      </c>
      <c r="BK3500">
        <v>1</v>
      </c>
      <c r="BL3500" t="s">
        <v>69</v>
      </c>
      <c r="BM3500">
        <v>-1.4570000000000001</v>
      </c>
      <c r="BN3500">
        <v>-2.08</v>
      </c>
    </row>
    <row r="3501" spans="10:66">
      <c r="J3501">
        <v>0</v>
      </c>
      <c r="K3501">
        <v>0</v>
      </c>
      <c r="L3501">
        <v>0</v>
      </c>
      <c r="M3501" t="s">
        <v>25021</v>
      </c>
      <c r="N3501">
        <v>3272</v>
      </c>
      <c r="O3501" t="s">
        <v>19087</v>
      </c>
      <c r="P3501" t="s">
        <v>57</v>
      </c>
      <c r="Q3501">
        <v>3238751</v>
      </c>
      <c r="R3501">
        <v>3239455</v>
      </c>
      <c r="S3501" t="s">
        <v>19088</v>
      </c>
      <c r="T3501">
        <v>235</v>
      </c>
      <c r="U3501" t="s">
        <v>289</v>
      </c>
      <c r="V3501">
        <v>46</v>
      </c>
      <c r="W3501" t="str">
        <f>HYPERLINK("Gene3272-zp_tree_all.dnd", "Gene3272-tree")</f>
        <v>Gene3272-tree</v>
      </c>
      <c r="X3501">
        <v>13</v>
      </c>
      <c r="Y3501">
        <v>2</v>
      </c>
      <c r="Z3501">
        <v>13</v>
      </c>
      <c r="AA3501">
        <v>2</v>
      </c>
      <c r="AB3501">
        <v>0.13333</v>
      </c>
      <c r="AC3501" t="s">
        <v>507</v>
      </c>
      <c r="AD3501" t="s">
        <v>81</v>
      </c>
      <c r="AE3501" t="s">
        <v>62</v>
      </c>
      <c r="AF3501" t="s">
        <v>62</v>
      </c>
      <c r="AG3501">
        <v>0</v>
      </c>
      <c r="AH3501">
        <v>0</v>
      </c>
      <c r="AI3501">
        <v>8</v>
      </c>
      <c r="AJ3501">
        <v>0</v>
      </c>
      <c r="AK3501">
        <v>0</v>
      </c>
      <c r="AL3501">
        <v>0</v>
      </c>
      <c r="AM3501">
        <v>0</v>
      </c>
      <c r="AN3501">
        <v>5</v>
      </c>
      <c r="AO3501">
        <v>0</v>
      </c>
      <c r="AP3501">
        <v>0</v>
      </c>
      <c r="AQ3501">
        <v>0</v>
      </c>
      <c r="AR3501">
        <v>0</v>
      </c>
      <c r="AS3501">
        <v>3</v>
      </c>
      <c r="AT3501">
        <v>0</v>
      </c>
      <c r="AU3501">
        <v>11</v>
      </c>
      <c r="AV3501">
        <v>8</v>
      </c>
      <c r="AW3501">
        <v>17</v>
      </c>
      <c r="AX3501">
        <v>3</v>
      </c>
      <c r="AY3501">
        <v>31</v>
      </c>
      <c r="AZ3501">
        <v>5</v>
      </c>
      <c r="BA3501" t="s">
        <v>19089</v>
      </c>
      <c r="BB3501" t="s">
        <v>19090</v>
      </c>
      <c r="BC3501">
        <v>0.04</v>
      </c>
      <c r="BD3501" t="s">
        <v>65</v>
      </c>
      <c r="BE3501">
        <v>48</v>
      </c>
      <c r="BF3501">
        <v>8</v>
      </c>
      <c r="BG3501" t="s">
        <v>19091</v>
      </c>
      <c r="BH3501" t="s">
        <v>19092</v>
      </c>
      <c r="BI3501" t="s">
        <v>19093</v>
      </c>
      <c r="BJ3501">
        <v>4.3569999999999998E-2</v>
      </c>
      <c r="BK3501">
        <v>1</v>
      </c>
      <c r="BL3501" t="s">
        <v>69</v>
      </c>
      <c r="BM3501">
        <v>-1.01</v>
      </c>
      <c r="BN3501">
        <v>0.16500000000000001</v>
      </c>
    </row>
    <row r="3502" spans="10:66">
      <c r="J3502">
        <v>0</v>
      </c>
      <c r="K3502">
        <v>3</v>
      </c>
      <c r="L3502">
        <v>0</v>
      </c>
      <c r="M3502" t="s">
        <v>25021</v>
      </c>
      <c r="N3502">
        <v>3273</v>
      </c>
      <c r="O3502" t="s">
        <v>19094</v>
      </c>
      <c r="P3502" t="s">
        <v>57</v>
      </c>
      <c r="Q3502">
        <v>3239930</v>
      </c>
      <c r="R3502">
        <v>3241006</v>
      </c>
      <c r="S3502" t="s">
        <v>19095</v>
      </c>
      <c r="T3502">
        <v>359</v>
      </c>
      <c r="U3502" t="s">
        <v>1392</v>
      </c>
      <c r="V3502">
        <v>43</v>
      </c>
      <c r="W3502" t="str">
        <f>HYPERLINK("Gene3273-zp_tree_all.dnd", "Gene3273-tree")</f>
        <v>Gene3273-tree</v>
      </c>
      <c r="X3502">
        <v>6</v>
      </c>
      <c r="Y3502">
        <v>6</v>
      </c>
      <c r="Z3502">
        <v>6</v>
      </c>
      <c r="AA3502">
        <v>6</v>
      </c>
      <c r="AB3502">
        <v>0.5</v>
      </c>
      <c r="AC3502" t="s">
        <v>90</v>
      </c>
      <c r="AD3502" t="s">
        <v>90</v>
      </c>
      <c r="AE3502" t="s">
        <v>62</v>
      </c>
      <c r="AF3502" t="s">
        <v>62</v>
      </c>
      <c r="AG3502">
        <v>1</v>
      </c>
      <c r="AH3502">
        <v>3</v>
      </c>
      <c r="AI3502">
        <v>4</v>
      </c>
      <c r="AJ3502">
        <v>0.42857000000000001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2</v>
      </c>
      <c r="AQ3502">
        <v>0</v>
      </c>
      <c r="AR3502">
        <v>2</v>
      </c>
      <c r="AS3502">
        <v>4</v>
      </c>
      <c r="AT3502">
        <v>0.33333000000000002</v>
      </c>
      <c r="AU3502">
        <v>9</v>
      </c>
      <c r="AV3502">
        <v>7</v>
      </c>
      <c r="AW3502">
        <v>13</v>
      </c>
      <c r="AX3502">
        <v>6</v>
      </c>
      <c r="AY3502">
        <v>14</v>
      </c>
      <c r="AZ3502">
        <v>1</v>
      </c>
      <c r="BA3502" t="s">
        <v>19096</v>
      </c>
      <c r="BB3502" t="s">
        <v>19097</v>
      </c>
      <c r="BC3502">
        <v>1.512</v>
      </c>
      <c r="BD3502" t="s">
        <v>65</v>
      </c>
      <c r="BE3502">
        <v>27</v>
      </c>
      <c r="BF3502">
        <v>7</v>
      </c>
      <c r="BG3502" t="s">
        <v>19098</v>
      </c>
      <c r="BH3502" t="s">
        <v>19099</v>
      </c>
      <c r="BI3502" t="s">
        <v>11763</v>
      </c>
      <c r="BJ3502">
        <v>5.1380000000000002E-2</v>
      </c>
      <c r="BK3502">
        <v>1</v>
      </c>
      <c r="BL3502" t="s">
        <v>69</v>
      </c>
      <c r="BM3502">
        <v>-0.90200000000000002</v>
      </c>
      <c r="BN3502">
        <v>-0.63800000000000001</v>
      </c>
    </row>
    <row r="3503" spans="10:66">
      <c r="J3503">
        <v>0</v>
      </c>
      <c r="K3503">
        <v>6</v>
      </c>
      <c r="L3503">
        <v>0</v>
      </c>
      <c r="M3503" t="s">
        <v>25021</v>
      </c>
      <c r="N3503">
        <v>3274</v>
      </c>
      <c r="O3503" t="s">
        <v>19100</v>
      </c>
      <c r="P3503" t="s">
        <v>57</v>
      </c>
      <c r="Q3503">
        <v>3241085</v>
      </c>
      <c r="R3503">
        <v>3242614</v>
      </c>
      <c r="S3503" t="s">
        <v>19101</v>
      </c>
      <c r="T3503">
        <v>510</v>
      </c>
      <c r="U3503" t="s">
        <v>108</v>
      </c>
      <c r="V3503">
        <v>44</v>
      </c>
      <c r="W3503" t="str">
        <f>HYPERLINK("Gene3274-zp_tree_all.dnd", "Gene3274-tree")</f>
        <v>Gene3274-tree</v>
      </c>
      <c r="X3503">
        <v>4</v>
      </c>
      <c r="Y3503">
        <v>10</v>
      </c>
      <c r="Z3503">
        <v>4</v>
      </c>
      <c r="AA3503">
        <v>10</v>
      </c>
      <c r="AB3503">
        <v>0.71428999999999998</v>
      </c>
      <c r="AC3503" t="s">
        <v>61</v>
      </c>
      <c r="AD3503" t="s">
        <v>117</v>
      </c>
      <c r="AE3503" t="s">
        <v>62</v>
      </c>
      <c r="AF3503" t="s">
        <v>62</v>
      </c>
      <c r="AG3503">
        <v>3</v>
      </c>
      <c r="AH3503">
        <v>6</v>
      </c>
      <c r="AI3503">
        <v>13</v>
      </c>
      <c r="AJ3503">
        <v>0.31579000000000002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13</v>
      </c>
      <c r="AT3503">
        <v>0</v>
      </c>
      <c r="AU3503">
        <v>10</v>
      </c>
      <c r="AV3503">
        <v>11</v>
      </c>
      <c r="AW3503">
        <v>17</v>
      </c>
      <c r="AX3503">
        <v>12</v>
      </c>
      <c r="AY3503">
        <v>38</v>
      </c>
      <c r="AZ3503">
        <v>7</v>
      </c>
      <c r="BA3503" t="s">
        <v>19102</v>
      </c>
      <c r="BB3503" t="s">
        <v>19103</v>
      </c>
      <c r="BC3503">
        <v>0.97799999999999998</v>
      </c>
      <c r="BD3503" t="s">
        <v>65</v>
      </c>
      <c r="BE3503">
        <v>55</v>
      </c>
      <c r="BF3503">
        <v>19</v>
      </c>
      <c r="BG3503" t="s">
        <v>19104</v>
      </c>
      <c r="BH3503" t="s">
        <v>19105</v>
      </c>
      <c r="BI3503" t="s">
        <v>18854</v>
      </c>
      <c r="BJ3503">
        <v>9.1670000000000001E-2</v>
      </c>
      <c r="BK3503">
        <v>1</v>
      </c>
      <c r="BL3503" t="s">
        <v>69</v>
      </c>
      <c r="BM3503">
        <v>-0.753</v>
      </c>
      <c r="BN3503">
        <v>-1.724</v>
      </c>
    </row>
    <row r="3504" spans="10:66">
      <c r="J3504">
        <v>0</v>
      </c>
      <c r="K3504">
        <v>0</v>
      </c>
      <c r="L3504">
        <v>2</v>
      </c>
      <c r="M3504" t="s">
        <v>25021</v>
      </c>
      <c r="N3504">
        <v>3275</v>
      </c>
      <c r="O3504" t="s">
        <v>19106</v>
      </c>
      <c r="P3504" t="s">
        <v>57</v>
      </c>
      <c r="Q3504">
        <v>3242610</v>
      </c>
      <c r="R3504">
        <v>3243653</v>
      </c>
      <c r="S3504" t="s">
        <v>19107</v>
      </c>
      <c r="T3504">
        <v>348</v>
      </c>
      <c r="U3504" t="s">
        <v>108</v>
      </c>
      <c r="V3504">
        <v>44</v>
      </c>
      <c r="W3504" t="str">
        <f>HYPERLINK("Gene3275-zp_tree_all.dnd", "Gene3275-tree")</f>
        <v>Gene3275-tree</v>
      </c>
      <c r="X3504">
        <v>10</v>
      </c>
      <c r="Y3504">
        <v>5</v>
      </c>
      <c r="Z3504">
        <v>10</v>
      </c>
      <c r="AA3504">
        <v>5</v>
      </c>
      <c r="AB3504">
        <v>0.33333000000000002</v>
      </c>
      <c r="AC3504" t="s">
        <v>117</v>
      </c>
      <c r="AD3504" t="s">
        <v>199</v>
      </c>
      <c r="AE3504" t="s">
        <v>62</v>
      </c>
      <c r="AF3504" t="s">
        <v>62</v>
      </c>
      <c r="AG3504">
        <v>1</v>
      </c>
      <c r="AH3504">
        <v>2</v>
      </c>
      <c r="AI3504">
        <v>12</v>
      </c>
      <c r="AJ3504">
        <v>0.14285999999999999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7</v>
      </c>
      <c r="AT3504">
        <v>0</v>
      </c>
      <c r="AU3504">
        <v>13</v>
      </c>
      <c r="AV3504">
        <v>11</v>
      </c>
      <c r="AW3504">
        <v>38</v>
      </c>
      <c r="AX3504">
        <v>7</v>
      </c>
      <c r="AY3504">
        <v>20</v>
      </c>
      <c r="AZ3504">
        <v>7</v>
      </c>
      <c r="BA3504" t="s">
        <v>19108</v>
      </c>
      <c r="BB3504" t="s">
        <v>19109</v>
      </c>
      <c r="BC3504">
        <v>0.61299999999999999</v>
      </c>
      <c r="BD3504" t="s">
        <v>65</v>
      </c>
      <c r="BE3504">
        <v>58</v>
      </c>
      <c r="BF3504">
        <v>14</v>
      </c>
      <c r="BG3504" t="s">
        <v>19110</v>
      </c>
      <c r="BH3504" t="s">
        <v>19111</v>
      </c>
      <c r="BI3504" t="s">
        <v>19112</v>
      </c>
      <c r="BJ3504">
        <v>9.9540000000000003E-2</v>
      </c>
      <c r="BK3504">
        <v>1</v>
      </c>
      <c r="BL3504" t="s">
        <v>69</v>
      </c>
      <c r="BM3504">
        <v>-1.02</v>
      </c>
      <c r="BN3504">
        <v>-2.16</v>
      </c>
    </row>
    <row r="3505" spans="10:66">
      <c r="J3505">
        <v>0</v>
      </c>
      <c r="K3505">
        <v>2</v>
      </c>
      <c r="L3505">
        <v>0</v>
      </c>
      <c r="M3505" t="s">
        <v>25021</v>
      </c>
      <c r="N3505">
        <v>3276</v>
      </c>
      <c r="O3505" t="s">
        <v>19113</v>
      </c>
      <c r="P3505" t="s">
        <v>57</v>
      </c>
      <c r="Q3505">
        <v>3243657</v>
      </c>
      <c r="R3505">
        <v>3244613</v>
      </c>
      <c r="S3505" t="s">
        <v>19107</v>
      </c>
      <c r="T3505">
        <v>319</v>
      </c>
      <c r="U3505" t="s">
        <v>108</v>
      </c>
      <c r="V3505">
        <v>44</v>
      </c>
      <c r="W3505" t="str">
        <f>HYPERLINK("Gene3276-zp_tree_all.dnd", "Gene3276-tree")</f>
        <v>Gene3276-tree</v>
      </c>
      <c r="X3505">
        <v>9</v>
      </c>
      <c r="Y3505">
        <v>6</v>
      </c>
      <c r="Z3505">
        <v>9</v>
      </c>
      <c r="AA3505">
        <v>6</v>
      </c>
      <c r="AB3505">
        <v>0.4</v>
      </c>
      <c r="AC3505" t="s">
        <v>135</v>
      </c>
      <c r="AD3505" t="s">
        <v>90</v>
      </c>
      <c r="AE3505" t="s">
        <v>62</v>
      </c>
      <c r="AF3505" t="s">
        <v>62</v>
      </c>
      <c r="AG3505">
        <v>1</v>
      </c>
      <c r="AH3505">
        <v>2</v>
      </c>
      <c r="AI3505">
        <v>10</v>
      </c>
      <c r="AJ3505">
        <v>0.16667000000000001</v>
      </c>
      <c r="AK3505">
        <v>0</v>
      </c>
      <c r="AL3505">
        <v>0</v>
      </c>
      <c r="AM3505">
        <v>0</v>
      </c>
      <c r="AN3505">
        <v>2</v>
      </c>
      <c r="AO3505">
        <v>0</v>
      </c>
      <c r="AP3505">
        <v>0</v>
      </c>
      <c r="AQ3505">
        <v>0</v>
      </c>
      <c r="AR3505">
        <v>0</v>
      </c>
      <c r="AS3505">
        <v>7</v>
      </c>
      <c r="AT3505">
        <v>0</v>
      </c>
      <c r="AU3505">
        <v>12</v>
      </c>
      <c r="AV3505">
        <v>10</v>
      </c>
      <c r="AW3505">
        <v>32</v>
      </c>
      <c r="AX3505">
        <v>7</v>
      </c>
      <c r="AY3505">
        <v>24</v>
      </c>
      <c r="AZ3505">
        <v>5</v>
      </c>
      <c r="BA3505" t="s">
        <v>19114</v>
      </c>
      <c r="BB3505" t="s">
        <v>19115</v>
      </c>
      <c r="BC3505">
        <v>4.3999999999999997E-2</v>
      </c>
      <c r="BD3505" t="s">
        <v>65</v>
      </c>
      <c r="BE3505">
        <v>56</v>
      </c>
      <c r="BF3505">
        <v>12</v>
      </c>
      <c r="BG3505" t="s">
        <v>19116</v>
      </c>
      <c r="BH3505" t="s">
        <v>19117</v>
      </c>
      <c r="BI3505" t="s">
        <v>19118</v>
      </c>
      <c r="BJ3505">
        <v>8.2379999999999995E-2</v>
      </c>
      <c r="BK3505">
        <v>1</v>
      </c>
      <c r="BL3505" t="s">
        <v>69</v>
      </c>
      <c r="BM3505">
        <v>-1.177</v>
      </c>
      <c r="BN3505">
        <v>-0.29199999999999998</v>
      </c>
    </row>
    <row r="3506" spans="10:66">
      <c r="J3506">
        <v>0</v>
      </c>
      <c r="K3506">
        <v>3</v>
      </c>
      <c r="L3506">
        <v>0</v>
      </c>
      <c r="M3506" t="s">
        <v>25021</v>
      </c>
      <c r="N3506">
        <v>3277</v>
      </c>
      <c r="O3506" t="s">
        <v>19119</v>
      </c>
      <c r="P3506" t="s">
        <v>57</v>
      </c>
      <c r="Q3506">
        <v>3244770</v>
      </c>
      <c r="R3506">
        <v>3246113</v>
      </c>
      <c r="S3506" t="s">
        <v>19120</v>
      </c>
      <c r="T3506">
        <v>448</v>
      </c>
      <c r="U3506" t="s">
        <v>108</v>
      </c>
      <c r="V3506">
        <v>44</v>
      </c>
      <c r="W3506" t="str">
        <f>HYPERLINK("Gene3277-zp_tree_all.dnd", "Gene3277-tree")</f>
        <v>Gene3277-tree</v>
      </c>
      <c r="X3506">
        <v>12</v>
      </c>
      <c r="Y3506">
        <v>4</v>
      </c>
      <c r="Z3506">
        <v>12</v>
      </c>
      <c r="AA3506">
        <v>4</v>
      </c>
      <c r="AB3506">
        <v>0.25</v>
      </c>
      <c r="AC3506" t="s">
        <v>109</v>
      </c>
      <c r="AD3506" t="s">
        <v>61</v>
      </c>
      <c r="AE3506" t="s">
        <v>62</v>
      </c>
      <c r="AF3506" t="s">
        <v>62</v>
      </c>
      <c r="AG3506">
        <v>1</v>
      </c>
      <c r="AH3506">
        <v>3</v>
      </c>
      <c r="AI3506">
        <v>6</v>
      </c>
      <c r="AJ3506">
        <v>0.33333000000000002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2</v>
      </c>
      <c r="AQ3506">
        <v>0</v>
      </c>
      <c r="AR3506">
        <v>2</v>
      </c>
      <c r="AS3506">
        <v>4</v>
      </c>
      <c r="AT3506">
        <v>0.33333000000000002</v>
      </c>
      <c r="AU3506">
        <v>15</v>
      </c>
      <c r="AV3506">
        <v>12</v>
      </c>
      <c r="AW3506">
        <v>52</v>
      </c>
      <c r="AX3506">
        <v>5</v>
      </c>
      <c r="AY3506">
        <v>34</v>
      </c>
      <c r="AZ3506">
        <v>4</v>
      </c>
      <c r="BA3506" t="s">
        <v>19121</v>
      </c>
      <c r="BB3506" t="s">
        <v>19122</v>
      </c>
      <c r="BC3506">
        <v>0.127</v>
      </c>
      <c r="BD3506" t="s">
        <v>65</v>
      </c>
      <c r="BE3506">
        <v>86</v>
      </c>
      <c r="BF3506">
        <v>9</v>
      </c>
      <c r="BG3506" t="s">
        <v>19123</v>
      </c>
      <c r="BH3506" t="s">
        <v>19124</v>
      </c>
      <c r="BI3506" t="s">
        <v>19125</v>
      </c>
      <c r="BJ3506">
        <v>3.9219999999999998E-2</v>
      </c>
      <c r="BK3506">
        <v>1</v>
      </c>
      <c r="BL3506" t="s">
        <v>69</v>
      </c>
      <c r="BM3506">
        <v>-0.61199999999999999</v>
      </c>
      <c r="BN3506">
        <v>-0.82499999999999996</v>
      </c>
    </row>
    <row r="3507" spans="10:66">
      <c r="J3507">
        <v>0</v>
      </c>
      <c r="K3507">
        <v>9</v>
      </c>
      <c r="L3507">
        <v>0</v>
      </c>
      <c r="M3507" t="s">
        <v>25021</v>
      </c>
      <c r="N3507">
        <v>3279</v>
      </c>
      <c r="O3507" t="s">
        <v>19132</v>
      </c>
      <c r="P3507" t="s">
        <v>57</v>
      </c>
      <c r="Q3507">
        <v>3246598</v>
      </c>
      <c r="R3507">
        <v>3249000</v>
      </c>
      <c r="S3507" t="s">
        <v>19133</v>
      </c>
      <c r="T3507">
        <v>801</v>
      </c>
      <c r="U3507" t="s">
        <v>19134</v>
      </c>
      <c r="V3507">
        <v>41</v>
      </c>
      <c r="W3507" t="str">
        <f>HYPERLINK("Gene3279-zp_tree_all.dnd", "Gene3279-tree")</f>
        <v>Gene3279-tree</v>
      </c>
      <c r="X3507">
        <v>6</v>
      </c>
      <c r="Y3507">
        <v>7</v>
      </c>
      <c r="Z3507">
        <v>6</v>
      </c>
      <c r="AA3507">
        <v>7</v>
      </c>
      <c r="AB3507">
        <v>0.53846000000000005</v>
      </c>
      <c r="AC3507" t="s">
        <v>90</v>
      </c>
      <c r="AD3507" t="s">
        <v>152</v>
      </c>
      <c r="AE3507" t="s">
        <v>62</v>
      </c>
      <c r="AF3507" t="s">
        <v>62</v>
      </c>
      <c r="AG3507">
        <v>4</v>
      </c>
      <c r="AH3507">
        <v>9</v>
      </c>
      <c r="AI3507">
        <v>13</v>
      </c>
      <c r="AJ3507">
        <v>0.40909000000000001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12</v>
      </c>
      <c r="AT3507">
        <v>0</v>
      </c>
      <c r="AU3507">
        <v>12</v>
      </c>
      <c r="AV3507">
        <v>9</v>
      </c>
      <c r="AW3507">
        <v>54</v>
      </c>
      <c r="AX3507">
        <v>12</v>
      </c>
      <c r="AY3507">
        <v>36</v>
      </c>
      <c r="AZ3507">
        <v>10</v>
      </c>
      <c r="BA3507" t="s">
        <v>19135</v>
      </c>
      <c r="BB3507" t="s">
        <v>19136</v>
      </c>
      <c r="BC3507">
        <v>0.193</v>
      </c>
      <c r="BD3507" t="s">
        <v>65</v>
      </c>
      <c r="BE3507">
        <v>90</v>
      </c>
      <c r="BF3507">
        <v>22</v>
      </c>
      <c r="BG3507" t="s">
        <v>19137</v>
      </c>
      <c r="BH3507" t="s">
        <v>19138</v>
      </c>
      <c r="BI3507" t="s">
        <v>10687</v>
      </c>
      <c r="BJ3507">
        <v>7.6090000000000005E-2</v>
      </c>
      <c r="BK3507">
        <v>1</v>
      </c>
      <c r="BL3507" t="s">
        <v>69</v>
      </c>
      <c r="BM3507">
        <v>-0.214</v>
      </c>
      <c r="BN3507">
        <v>-0.61699999999999999</v>
      </c>
    </row>
    <row r="3508" spans="10:66">
      <c r="J3508">
        <v>0</v>
      </c>
      <c r="K3508">
        <v>0</v>
      </c>
      <c r="L3508">
        <v>0</v>
      </c>
      <c r="M3508" t="s">
        <v>25021</v>
      </c>
      <c r="N3508">
        <v>3280</v>
      </c>
      <c r="O3508" t="s">
        <v>19139</v>
      </c>
      <c r="P3508" t="s">
        <v>57</v>
      </c>
      <c r="Q3508">
        <v>3248996</v>
      </c>
      <c r="R3508">
        <v>3249424</v>
      </c>
      <c r="S3508" t="s">
        <v>19140</v>
      </c>
      <c r="T3508">
        <v>143</v>
      </c>
      <c r="U3508" t="s">
        <v>59</v>
      </c>
      <c r="V3508">
        <v>49</v>
      </c>
      <c r="W3508" t="str">
        <f>HYPERLINK("Gene3280-zp_tree_all.dnd", "Gene3280-tree")</f>
        <v>Gene3280-tree</v>
      </c>
      <c r="X3508">
        <v>11</v>
      </c>
      <c r="Y3508">
        <v>2</v>
      </c>
      <c r="Z3508">
        <v>11</v>
      </c>
      <c r="AA3508">
        <v>2</v>
      </c>
      <c r="AB3508">
        <v>0.15384999999999999</v>
      </c>
      <c r="AC3508" t="s">
        <v>73</v>
      </c>
      <c r="AD3508" t="s">
        <v>81</v>
      </c>
      <c r="AE3508" t="s">
        <v>62</v>
      </c>
      <c r="AF3508" t="s">
        <v>62</v>
      </c>
      <c r="AG3508">
        <v>0</v>
      </c>
      <c r="AH3508">
        <v>0</v>
      </c>
      <c r="AI3508">
        <v>5</v>
      </c>
      <c r="AJ3508">
        <v>0</v>
      </c>
      <c r="AK3508">
        <v>0</v>
      </c>
      <c r="AL3508">
        <v>0</v>
      </c>
      <c r="AM3508">
        <v>0</v>
      </c>
      <c r="AN3508">
        <v>2</v>
      </c>
      <c r="AO3508">
        <v>0</v>
      </c>
      <c r="AP3508">
        <v>0</v>
      </c>
      <c r="AQ3508">
        <v>0</v>
      </c>
      <c r="AR3508">
        <v>0</v>
      </c>
      <c r="AS3508">
        <v>2</v>
      </c>
      <c r="AT3508">
        <v>0</v>
      </c>
      <c r="AU3508">
        <v>9</v>
      </c>
      <c r="AV3508">
        <v>5</v>
      </c>
      <c r="AW3508">
        <v>27</v>
      </c>
      <c r="AX3508">
        <v>3</v>
      </c>
      <c r="AY3508">
        <v>14</v>
      </c>
      <c r="AZ3508">
        <v>3</v>
      </c>
      <c r="BA3508" t="s">
        <v>19141</v>
      </c>
      <c r="BB3508" t="s">
        <v>19142</v>
      </c>
      <c r="BC3508">
        <v>0.374</v>
      </c>
      <c r="BD3508" t="s">
        <v>65</v>
      </c>
      <c r="BE3508">
        <v>41</v>
      </c>
      <c r="BF3508">
        <v>6</v>
      </c>
      <c r="BG3508" t="s">
        <v>19143</v>
      </c>
      <c r="BH3508" t="s">
        <v>19144</v>
      </c>
      <c r="BI3508" t="s">
        <v>19145</v>
      </c>
      <c r="BJ3508">
        <v>6.2820000000000001E-2</v>
      </c>
      <c r="BK3508">
        <v>1</v>
      </c>
      <c r="BL3508" t="s">
        <v>69</v>
      </c>
      <c r="BM3508">
        <v>-1.0980000000000001</v>
      </c>
      <c r="BN3508">
        <v>0.55200000000000005</v>
      </c>
    </row>
    <row r="3509" spans="10:66">
      <c r="J3509">
        <v>0</v>
      </c>
      <c r="K3509">
        <v>0</v>
      </c>
      <c r="L3509">
        <v>0</v>
      </c>
      <c r="M3509" t="s">
        <v>25021</v>
      </c>
      <c r="N3509">
        <v>3281</v>
      </c>
      <c r="O3509" t="s">
        <v>19146</v>
      </c>
      <c r="P3509" t="s">
        <v>57</v>
      </c>
      <c r="Q3509">
        <v>3249427</v>
      </c>
      <c r="R3509">
        <v>3249765</v>
      </c>
      <c r="S3509" t="s">
        <v>19147</v>
      </c>
      <c r="T3509">
        <v>113</v>
      </c>
      <c r="U3509" t="s">
        <v>59</v>
      </c>
      <c r="V3509">
        <v>49</v>
      </c>
      <c r="W3509" t="str">
        <f>HYPERLINK("Gene3281-zp_tree_all.dnd", "Gene3281-tree")</f>
        <v>Gene3281-tree</v>
      </c>
      <c r="X3509">
        <v>14</v>
      </c>
      <c r="Y3509">
        <v>1</v>
      </c>
      <c r="Z3509">
        <v>14</v>
      </c>
      <c r="AA3509">
        <v>1</v>
      </c>
      <c r="AB3509">
        <v>6.6669999999999993E-2</v>
      </c>
      <c r="AC3509" t="s">
        <v>543</v>
      </c>
      <c r="AD3509" t="s">
        <v>175</v>
      </c>
      <c r="AE3509" t="s">
        <v>62</v>
      </c>
      <c r="AF3509" t="s">
        <v>62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10</v>
      </c>
      <c r="AV3509">
        <v>7</v>
      </c>
      <c r="AW3509">
        <v>14</v>
      </c>
      <c r="AX3509">
        <v>1</v>
      </c>
      <c r="AY3509">
        <v>12</v>
      </c>
      <c r="AZ3509">
        <v>1</v>
      </c>
      <c r="BA3509" t="s">
        <v>19148</v>
      </c>
      <c r="BB3509" t="s">
        <v>19149</v>
      </c>
      <c r="BC3509">
        <v>0.04</v>
      </c>
      <c r="BD3509" t="s">
        <v>65</v>
      </c>
      <c r="BE3509">
        <v>26</v>
      </c>
      <c r="BF3509">
        <v>2</v>
      </c>
      <c r="BG3509" t="s">
        <v>19150</v>
      </c>
      <c r="BH3509" t="s">
        <v>19151</v>
      </c>
      <c r="BI3509" t="s">
        <v>19152</v>
      </c>
      <c r="BJ3509">
        <v>2.0920000000000001E-2</v>
      </c>
      <c r="BK3509">
        <v>1</v>
      </c>
      <c r="BL3509" t="s">
        <v>69</v>
      </c>
      <c r="BM3509">
        <v>-1.25</v>
      </c>
      <c r="BN3509">
        <v>-0.57199999999999995</v>
      </c>
    </row>
    <row r="3510" spans="10:66">
      <c r="J3510">
        <v>0</v>
      </c>
      <c r="K3510">
        <v>15</v>
      </c>
      <c r="L3510">
        <v>0</v>
      </c>
      <c r="M3510" t="s">
        <v>25021</v>
      </c>
      <c r="N3510">
        <v>3282</v>
      </c>
      <c r="O3510" t="s">
        <v>19153</v>
      </c>
      <c r="P3510" t="s">
        <v>57</v>
      </c>
      <c r="Q3510">
        <v>3249761</v>
      </c>
      <c r="R3510">
        <v>3251239</v>
      </c>
      <c r="S3510" t="s">
        <v>19154</v>
      </c>
      <c r="T3510">
        <v>493</v>
      </c>
      <c r="U3510" t="s">
        <v>108</v>
      </c>
      <c r="V3510">
        <v>44</v>
      </c>
      <c r="W3510" t="str">
        <f>HYPERLINK("Gene3282-zp_tree_all.dnd", "Gene3282-tree")</f>
        <v>Gene3282-tree</v>
      </c>
      <c r="X3510">
        <v>6</v>
      </c>
      <c r="Y3510">
        <v>11</v>
      </c>
      <c r="Z3510">
        <v>6</v>
      </c>
      <c r="AA3510">
        <v>11</v>
      </c>
      <c r="AB3510">
        <v>0.64705999999999997</v>
      </c>
      <c r="AC3510" t="s">
        <v>90</v>
      </c>
      <c r="AD3510" t="s">
        <v>73</v>
      </c>
      <c r="AE3510">
        <v>95384385.856999993</v>
      </c>
      <c r="AF3510" t="s">
        <v>267</v>
      </c>
      <c r="AG3510">
        <v>4</v>
      </c>
      <c r="AH3510">
        <v>15</v>
      </c>
      <c r="AI3510">
        <v>15</v>
      </c>
      <c r="AJ3510">
        <v>0.5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9</v>
      </c>
      <c r="AQ3510">
        <v>0</v>
      </c>
      <c r="AR3510">
        <v>9</v>
      </c>
      <c r="AS3510">
        <v>10</v>
      </c>
      <c r="AT3510">
        <v>0.47367999999999999</v>
      </c>
      <c r="AU3510">
        <v>17</v>
      </c>
      <c r="AV3510">
        <v>14</v>
      </c>
      <c r="AW3510">
        <v>69</v>
      </c>
      <c r="AX3510">
        <v>19</v>
      </c>
      <c r="AY3510">
        <v>44</v>
      </c>
      <c r="AZ3510">
        <v>11</v>
      </c>
      <c r="BA3510" t="s">
        <v>19155</v>
      </c>
      <c r="BB3510" t="s">
        <v>19156</v>
      </c>
      <c r="BC3510">
        <v>0.125</v>
      </c>
      <c r="BD3510" t="s">
        <v>65</v>
      </c>
      <c r="BE3510">
        <v>113</v>
      </c>
      <c r="BF3510">
        <v>30</v>
      </c>
      <c r="BG3510" t="s">
        <v>19157</v>
      </c>
      <c r="BH3510" t="s">
        <v>19158</v>
      </c>
      <c r="BI3510" t="s">
        <v>19159</v>
      </c>
      <c r="BJ3510">
        <v>9.4409999999999994E-2</v>
      </c>
      <c r="BK3510">
        <v>1</v>
      </c>
      <c r="BL3510" t="s">
        <v>69</v>
      </c>
      <c r="BM3510">
        <v>-0.45100000000000001</v>
      </c>
      <c r="BN3510">
        <v>-1.593</v>
      </c>
    </row>
    <row r="3511" spans="10:66">
      <c r="J3511">
        <v>0</v>
      </c>
      <c r="K3511">
        <v>0</v>
      </c>
      <c r="L3511">
        <v>0</v>
      </c>
      <c r="M3511" t="s">
        <v>25021</v>
      </c>
      <c r="N3511">
        <v>3283</v>
      </c>
      <c r="O3511" t="s">
        <v>19160</v>
      </c>
      <c r="P3511" t="s">
        <v>57</v>
      </c>
      <c r="Q3511">
        <v>3251248</v>
      </c>
      <c r="R3511">
        <v>3251721</v>
      </c>
      <c r="S3511" t="s">
        <v>19161</v>
      </c>
      <c r="T3511">
        <v>158</v>
      </c>
      <c r="U3511" t="s">
        <v>108</v>
      </c>
      <c r="V3511">
        <v>44</v>
      </c>
      <c r="W3511" t="str">
        <f>HYPERLINK("Gene3283-zp_tree_all.dnd", "Gene3283-tree")</f>
        <v>Gene3283-tree</v>
      </c>
      <c r="X3511">
        <v>11</v>
      </c>
      <c r="Y3511">
        <v>1</v>
      </c>
      <c r="Z3511">
        <v>11</v>
      </c>
      <c r="AA3511">
        <v>1</v>
      </c>
      <c r="AB3511">
        <v>8.3330000000000001E-2</v>
      </c>
      <c r="AC3511" t="s">
        <v>73</v>
      </c>
      <c r="AD3511" t="s">
        <v>175</v>
      </c>
      <c r="AE3511" t="s">
        <v>62</v>
      </c>
      <c r="AF3511" t="s">
        <v>62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11</v>
      </c>
      <c r="AV3511">
        <v>4</v>
      </c>
      <c r="AW3511">
        <v>17</v>
      </c>
      <c r="AX3511">
        <v>1</v>
      </c>
      <c r="AY3511">
        <v>5</v>
      </c>
      <c r="AZ3511">
        <v>0</v>
      </c>
      <c r="BA3511" t="s">
        <v>19162</v>
      </c>
      <c r="BB3511" t="s">
        <v>193</v>
      </c>
      <c r="BC3511">
        <v>0.30199999999999999</v>
      </c>
      <c r="BD3511" t="s">
        <v>65</v>
      </c>
      <c r="BE3511">
        <v>22</v>
      </c>
      <c r="BF3511">
        <v>1</v>
      </c>
      <c r="BG3511" t="s">
        <v>19163</v>
      </c>
      <c r="BH3511" t="s">
        <v>19164</v>
      </c>
      <c r="BI3511" t="s">
        <v>14208</v>
      </c>
      <c r="BJ3511">
        <v>1.15E-2</v>
      </c>
      <c r="BK3511">
        <v>1</v>
      </c>
      <c r="BL3511" t="s">
        <v>69</v>
      </c>
      <c r="BM3511">
        <v>-0.66500000000000004</v>
      </c>
      <c r="BN3511">
        <v>-1.2110000000000001</v>
      </c>
    </row>
    <row r="3512" spans="10:66">
      <c r="J3512">
        <v>0</v>
      </c>
      <c r="K3512">
        <v>0</v>
      </c>
      <c r="L3512">
        <v>0</v>
      </c>
      <c r="M3512" t="s">
        <v>25021</v>
      </c>
      <c r="N3512">
        <v>3284</v>
      </c>
      <c r="O3512" t="s">
        <v>19165</v>
      </c>
      <c r="P3512" t="s">
        <v>57</v>
      </c>
      <c r="Q3512">
        <v>3251724</v>
      </c>
      <c r="R3512">
        <v>3252005</v>
      </c>
      <c r="S3512" t="s">
        <v>19166</v>
      </c>
      <c r="T3512">
        <v>94</v>
      </c>
      <c r="U3512" t="s">
        <v>394</v>
      </c>
      <c r="V3512">
        <v>48</v>
      </c>
      <c r="W3512" t="str">
        <f>HYPERLINK("Gene3284-zp_tree_all.dnd", "Gene3284-tree")</f>
        <v>Gene3284-tree</v>
      </c>
      <c r="X3512">
        <v>13</v>
      </c>
      <c r="Y3512">
        <v>2</v>
      </c>
      <c r="Z3512">
        <v>13</v>
      </c>
      <c r="AA3512">
        <v>2</v>
      </c>
      <c r="AB3512">
        <v>0.13333</v>
      </c>
      <c r="AC3512" t="s">
        <v>507</v>
      </c>
      <c r="AD3512" t="s">
        <v>81</v>
      </c>
      <c r="AE3512" t="s">
        <v>62</v>
      </c>
      <c r="AF3512" t="s">
        <v>62</v>
      </c>
      <c r="AG3512">
        <v>0</v>
      </c>
      <c r="AH3512">
        <v>0</v>
      </c>
      <c r="AI3512">
        <v>3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2</v>
      </c>
      <c r="AT3512">
        <v>0</v>
      </c>
      <c r="AU3512">
        <v>10</v>
      </c>
      <c r="AV3512">
        <v>5</v>
      </c>
      <c r="AW3512">
        <v>19</v>
      </c>
      <c r="AX3512">
        <v>2</v>
      </c>
      <c r="AY3512">
        <v>10</v>
      </c>
      <c r="AZ3512">
        <v>1</v>
      </c>
      <c r="BA3512" t="s">
        <v>19167</v>
      </c>
      <c r="BB3512" t="s">
        <v>19168</v>
      </c>
      <c r="BC3512">
        <v>1.9E-2</v>
      </c>
      <c r="BD3512" t="s">
        <v>65</v>
      </c>
      <c r="BE3512">
        <v>29</v>
      </c>
      <c r="BF3512">
        <v>3</v>
      </c>
      <c r="BG3512" t="s">
        <v>19169</v>
      </c>
      <c r="BH3512" t="s">
        <v>19170</v>
      </c>
      <c r="BI3512" t="s">
        <v>19171</v>
      </c>
      <c r="BJ3512">
        <v>3.635E-2</v>
      </c>
      <c r="BK3512">
        <v>1</v>
      </c>
      <c r="BL3512" t="s">
        <v>69</v>
      </c>
      <c r="BM3512">
        <v>-1.2729999999999999</v>
      </c>
      <c r="BN3512">
        <v>-2.6709999999999998</v>
      </c>
    </row>
    <row r="3513" spans="10:66">
      <c r="J3513">
        <v>0</v>
      </c>
      <c r="K3513">
        <v>5</v>
      </c>
      <c r="L3513">
        <v>0</v>
      </c>
      <c r="M3513" t="s">
        <v>25021</v>
      </c>
      <c r="N3513">
        <v>3285</v>
      </c>
      <c r="O3513" t="s">
        <v>19172</v>
      </c>
      <c r="P3513" t="s">
        <v>57</v>
      </c>
      <c r="Q3513">
        <v>3251992</v>
      </c>
      <c r="R3513">
        <v>3252363</v>
      </c>
      <c r="S3513" t="s">
        <v>19161</v>
      </c>
      <c r="T3513">
        <v>124</v>
      </c>
      <c r="U3513" t="s">
        <v>108</v>
      </c>
      <c r="V3513">
        <v>44</v>
      </c>
      <c r="W3513" t="str">
        <f>HYPERLINK("Gene3285-zp_tree_all.dnd", "Gene3285-tree")</f>
        <v>Gene3285-tree</v>
      </c>
      <c r="X3513">
        <v>12</v>
      </c>
      <c r="Y3513">
        <v>3</v>
      </c>
      <c r="Z3513">
        <v>12</v>
      </c>
      <c r="AA3513">
        <v>3</v>
      </c>
      <c r="AB3513">
        <v>0.2</v>
      </c>
      <c r="AC3513" t="s">
        <v>109</v>
      </c>
      <c r="AD3513" t="s">
        <v>324</v>
      </c>
      <c r="AE3513" t="s">
        <v>62</v>
      </c>
      <c r="AF3513" t="s">
        <v>62</v>
      </c>
      <c r="AG3513">
        <v>2</v>
      </c>
      <c r="AH3513">
        <v>5</v>
      </c>
      <c r="AI3513">
        <v>1</v>
      </c>
      <c r="AJ3513">
        <v>0.83333000000000002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2</v>
      </c>
      <c r="AQ3513">
        <v>0</v>
      </c>
      <c r="AR3513">
        <v>2</v>
      </c>
      <c r="AS3513">
        <v>2</v>
      </c>
      <c r="AT3513">
        <v>0.5</v>
      </c>
      <c r="AU3513">
        <v>12</v>
      </c>
      <c r="AV3513">
        <v>8</v>
      </c>
      <c r="AW3513">
        <v>19</v>
      </c>
      <c r="AX3513">
        <v>4</v>
      </c>
      <c r="AY3513">
        <v>8</v>
      </c>
      <c r="AZ3513">
        <v>2</v>
      </c>
      <c r="BA3513" t="s">
        <v>19173</v>
      </c>
      <c r="BB3513" t="s">
        <v>19174</v>
      </c>
      <c r="BC3513">
        <v>0.108</v>
      </c>
      <c r="BD3513" t="s">
        <v>65</v>
      </c>
      <c r="BE3513">
        <v>27</v>
      </c>
      <c r="BF3513">
        <v>6</v>
      </c>
      <c r="BG3513" t="s">
        <v>19175</v>
      </c>
      <c r="BH3513" t="s">
        <v>19176</v>
      </c>
      <c r="BI3513" t="s">
        <v>19177</v>
      </c>
      <c r="BJ3513">
        <v>6.8860000000000005E-2</v>
      </c>
      <c r="BK3513">
        <v>1</v>
      </c>
      <c r="BL3513" t="s">
        <v>69</v>
      </c>
      <c r="BM3513">
        <v>0.34300000000000003</v>
      </c>
      <c r="BN3513">
        <v>0.60599999999999998</v>
      </c>
    </row>
    <row r="3514" spans="10:66">
      <c r="J3514">
        <v>0</v>
      </c>
      <c r="K3514">
        <v>0</v>
      </c>
      <c r="L3514">
        <v>0</v>
      </c>
      <c r="M3514" t="s">
        <v>25021</v>
      </c>
      <c r="N3514">
        <v>3292</v>
      </c>
      <c r="O3514" t="s">
        <v>19207</v>
      </c>
      <c r="P3514" t="s">
        <v>57</v>
      </c>
      <c r="Q3514">
        <v>3257454</v>
      </c>
      <c r="R3514">
        <v>3257576</v>
      </c>
      <c r="S3514" t="s">
        <v>19208</v>
      </c>
      <c r="T3514">
        <v>41</v>
      </c>
      <c r="U3514" t="s">
        <v>19209</v>
      </c>
      <c r="V3514">
        <v>47</v>
      </c>
      <c r="W3514" t="str">
        <f>HYPERLINK("Gene3292-zp_tree_all.dnd", "Gene3292-tree")</f>
        <v>Gene3292-tree</v>
      </c>
      <c r="X3514">
        <v>4</v>
      </c>
      <c r="Y3514">
        <v>5</v>
      </c>
      <c r="Z3514">
        <v>4</v>
      </c>
      <c r="AA3514">
        <v>5</v>
      </c>
      <c r="AB3514">
        <v>0.55556000000000005</v>
      </c>
      <c r="AC3514" t="s">
        <v>61</v>
      </c>
      <c r="AD3514" t="s">
        <v>199</v>
      </c>
      <c r="AE3514" t="s">
        <v>62</v>
      </c>
      <c r="AF3514" t="s">
        <v>62</v>
      </c>
      <c r="AG3514">
        <v>0</v>
      </c>
      <c r="AH3514">
        <v>0</v>
      </c>
      <c r="AI3514">
        <v>9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7</v>
      </c>
      <c r="AT3514">
        <v>0</v>
      </c>
      <c r="AU3514">
        <v>6</v>
      </c>
      <c r="AV3514">
        <v>4</v>
      </c>
      <c r="AW3514">
        <v>3</v>
      </c>
      <c r="AX3514">
        <v>7</v>
      </c>
      <c r="AY3514">
        <v>3</v>
      </c>
      <c r="AZ3514">
        <v>3</v>
      </c>
      <c r="BA3514" t="s">
        <v>19210</v>
      </c>
      <c r="BB3514" t="s">
        <v>19211</v>
      </c>
      <c r="BC3514">
        <v>0.39600000000000002</v>
      </c>
      <c r="BD3514" t="s">
        <v>65</v>
      </c>
      <c r="BE3514">
        <v>6</v>
      </c>
      <c r="BF3514">
        <v>10</v>
      </c>
      <c r="BG3514" t="s">
        <v>19212</v>
      </c>
      <c r="BH3514" t="s">
        <v>19213</v>
      </c>
      <c r="BI3514" t="s">
        <v>19214</v>
      </c>
      <c r="BJ3514">
        <v>0.58433999999999997</v>
      </c>
      <c r="BK3514">
        <v>0.71699999999999997</v>
      </c>
      <c r="BL3514" t="s">
        <v>635</v>
      </c>
      <c r="BM3514">
        <v>-0.94699999999999995</v>
      </c>
      <c r="BN3514">
        <v>0.58899999999999997</v>
      </c>
    </row>
    <row r="3515" spans="10:66">
      <c r="J3515">
        <v>0</v>
      </c>
      <c r="K3515">
        <v>2</v>
      </c>
      <c r="L3515">
        <v>0</v>
      </c>
      <c r="M3515" t="s">
        <v>25021</v>
      </c>
      <c r="N3515">
        <v>3300</v>
      </c>
      <c r="O3515" t="s">
        <v>19259</v>
      </c>
      <c r="P3515" t="s">
        <v>57</v>
      </c>
      <c r="Q3515">
        <v>3263835</v>
      </c>
      <c r="R3515">
        <v>3264221</v>
      </c>
      <c r="S3515" t="s">
        <v>116</v>
      </c>
      <c r="T3515">
        <v>129</v>
      </c>
      <c r="U3515" t="s">
        <v>1196</v>
      </c>
      <c r="V3515">
        <v>39</v>
      </c>
      <c r="W3515" t="str">
        <f>HYPERLINK("Gene3300-zp_tree_all.dnd", "Gene3300-tree")</f>
        <v>Gene3300-tree</v>
      </c>
      <c r="X3515">
        <v>4</v>
      </c>
      <c r="Y3515">
        <v>8</v>
      </c>
      <c r="Z3515">
        <v>4</v>
      </c>
      <c r="AA3515">
        <v>8</v>
      </c>
      <c r="AB3515">
        <v>0.66666999999999998</v>
      </c>
      <c r="AC3515" t="s">
        <v>61</v>
      </c>
      <c r="AD3515" t="s">
        <v>136</v>
      </c>
      <c r="AE3515" t="s">
        <v>62</v>
      </c>
      <c r="AF3515" t="s">
        <v>62</v>
      </c>
      <c r="AG3515">
        <v>1</v>
      </c>
      <c r="AH3515">
        <v>2</v>
      </c>
      <c r="AI3515">
        <v>16</v>
      </c>
      <c r="AJ3515">
        <v>0.11111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2</v>
      </c>
      <c r="AS3515">
        <v>13</v>
      </c>
      <c r="AT3515">
        <v>0.13333</v>
      </c>
      <c r="AU3515">
        <v>9</v>
      </c>
      <c r="AV3515">
        <v>6</v>
      </c>
      <c r="AW3515">
        <v>9</v>
      </c>
      <c r="AX3515">
        <v>9</v>
      </c>
      <c r="AY3515">
        <v>12</v>
      </c>
      <c r="AZ3515">
        <v>10</v>
      </c>
      <c r="BA3515" t="s">
        <v>19260</v>
      </c>
      <c r="BB3515" t="s">
        <v>19261</v>
      </c>
      <c r="BC3515">
        <v>0.183</v>
      </c>
      <c r="BD3515" t="s">
        <v>65</v>
      </c>
      <c r="BE3515">
        <v>21</v>
      </c>
      <c r="BF3515">
        <v>19</v>
      </c>
      <c r="BG3515" t="s">
        <v>19262</v>
      </c>
      <c r="BH3515" t="s">
        <v>19263</v>
      </c>
      <c r="BI3515" t="s">
        <v>19264</v>
      </c>
      <c r="BJ3515">
        <v>0.36362</v>
      </c>
      <c r="BK3515">
        <v>0.97</v>
      </c>
      <c r="BL3515" t="s">
        <v>69</v>
      </c>
      <c r="BM3515">
        <v>-1.2849999999999999</v>
      </c>
      <c r="BN3515">
        <v>-0.82399999999999995</v>
      </c>
    </row>
    <row r="3516" spans="10:66">
      <c r="J3516">
        <v>0</v>
      </c>
      <c r="K3516">
        <v>14</v>
      </c>
      <c r="L3516">
        <v>0</v>
      </c>
      <c r="M3516" t="s">
        <v>25021</v>
      </c>
      <c r="N3516">
        <v>3310</v>
      </c>
      <c r="O3516" t="s">
        <v>19313</v>
      </c>
      <c r="P3516" t="s">
        <v>57</v>
      </c>
      <c r="Q3516">
        <v>3276955</v>
      </c>
      <c r="R3516">
        <v>3278220</v>
      </c>
      <c r="S3516" t="s">
        <v>19314</v>
      </c>
      <c r="T3516">
        <v>422</v>
      </c>
      <c r="U3516" t="s">
        <v>265</v>
      </c>
      <c r="V3516">
        <v>43</v>
      </c>
      <c r="W3516" t="str">
        <f>HYPERLINK("Gene3310-zp_tree_all.dnd", "Gene3310-tree")</f>
        <v>Gene3310-tree</v>
      </c>
      <c r="X3516">
        <v>7</v>
      </c>
      <c r="Y3516">
        <v>10</v>
      </c>
      <c r="Z3516">
        <v>7</v>
      </c>
      <c r="AA3516">
        <v>10</v>
      </c>
      <c r="AB3516">
        <v>0.58823999999999999</v>
      </c>
      <c r="AC3516" t="s">
        <v>152</v>
      </c>
      <c r="AD3516" t="s">
        <v>117</v>
      </c>
      <c r="AE3516" t="s">
        <v>62</v>
      </c>
      <c r="AF3516" t="s">
        <v>62</v>
      </c>
      <c r="AG3516">
        <v>6</v>
      </c>
      <c r="AH3516">
        <v>14</v>
      </c>
      <c r="AI3516">
        <v>14</v>
      </c>
      <c r="AJ3516">
        <v>0.5</v>
      </c>
      <c r="AK3516">
        <v>0</v>
      </c>
      <c r="AL3516">
        <v>0</v>
      </c>
      <c r="AM3516">
        <v>0</v>
      </c>
      <c r="AN3516">
        <v>1</v>
      </c>
      <c r="AO3516">
        <v>0</v>
      </c>
      <c r="AP3516">
        <v>10</v>
      </c>
      <c r="AQ3516">
        <v>2</v>
      </c>
      <c r="AR3516">
        <v>12</v>
      </c>
      <c r="AS3516">
        <v>14</v>
      </c>
      <c r="AT3516">
        <v>0.46154000000000001</v>
      </c>
      <c r="AU3516">
        <v>14</v>
      </c>
      <c r="AV3516">
        <v>11</v>
      </c>
      <c r="AW3516">
        <v>43</v>
      </c>
      <c r="AX3516">
        <v>26</v>
      </c>
      <c r="AY3516">
        <v>29</v>
      </c>
      <c r="AZ3516">
        <v>2</v>
      </c>
      <c r="BA3516" t="s">
        <v>19315</v>
      </c>
      <c r="BB3516" t="s">
        <v>19316</v>
      </c>
      <c r="BC3516">
        <v>0.998</v>
      </c>
      <c r="BD3516" t="s">
        <v>65</v>
      </c>
      <c r="BE3516">
        <v>72</v>
      </c>
      <c r="BF3516">
        <v>28</v>
      </c>
      <c r="BG3516" t="s">
        <v>19317</v>
      </c>
      <c r="BH3516" t="s">
        <v>19318</v>
      </c>
      <c r="BI3516" t="s">
        <v>19319</v>
      </c>
      <c r="BJ3516">
        <v>8.0180000000000001E-2</v>
      </c>
      <c r="BK3516">
        <v>1</v>
      </c>
      <c r="BL3516" t="s">
        <v>69</v>
      </c>
      <c r="BM3516">
        <v>-1.2729999999999999</v>
      </c>
      <c r="BN3516">
        <v>-2.2120000000000002</v>
      </c>
    </row>
    <row r="3517" spans="10:66">
      <c r="J3517">
        <v>0</v>
      </c>
      <c r="K3517">
        <v>4</v>
      </c>
      <c r="L3517">
        <v>0</v>
      </c>
      <c r="M3517" t="s">
        <v>25021</v>
      </c>
      <c r="N3517">
        <v>3311</v>
      </c>
      <c r="O3517" t="s">
        <v>19320</v>
      </c>
      <c r="P3517" t="s">
        <v>57</v>
      </c>
      <c r="Q3517">
        <v>3278325</v>
      </c>
      <c r="R3517">
        <v>3279458</v>
      </c>
      <c r="S3517" t="s">
        <v>19321</v>
      </c>
      <c r="T3517">
        <v>378</v>
      </c>
      <c r="U3517" t="s">
        <v>1124</v>
      </c>
      <c r="V3517">
        <v>43</v>
      </c>
      <c r="W3517" t="str">
        <f>HYPERLINK("Gene3311-zp_tree_all.dnd", "Gene3311-tree")</f>
        <v>Gene3311-tree</v>
      </c>
      <c r="X3517">
        <v>6</v>
      </c>
      <c r="Y3517">
        <v>9</v>
      </c>
      <c r="Z3517">
        <v>6</v>
      </c>
      <c r="AA3517">
        <v>9</v>
      </c>
      <c r="AB3517">
        <v>0.6</v>
      </c>
      <c r="AC3517" t="s">
        <v>90</v>
      </c>
      <c r="AD3517" t="s">
        <v>135</v>
      </c>
      <c r="AE3517" t="s">
        <v>62</v>
      </c>
      <c r="AF3517" t="s">
        <v>62</v>
      </c>
      <c r="AG3517">
        <v>2</v>
      </c>
      <c r="AH3517">
        <v>4</v>
      </c>
      <c r="AI3517">
        <v>7</v>
      </c>
      <c r="AJ3517">
        <v>0.36364000000000002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4</v>
      </c>
      <c r="AR3517">
        <v>4</v>
      </c>
      <c r="AS3517">
        <v>7</v>
      </c>
      <c r="AT3517">
        <v>0.36364000000000002</v>
      </c>
      <c r="AU3517">
        <v>14</v>
      </c>
      <c r="AV3517">
        <v>10</v>
      </c>
      <c r="AW3517">
        <v>55</v>
      </c>
      <c r="AX3517">
        <v>11</v>
      </c>
      <c r="AY3517">
        <v>19</v>
      </c>
      <c r="AZ3517">
        <v>0</v>
      </c>
      <c r="BA3517" t="s">
        <v>19322</v>
      </c>
      <c r="BB3517" t="s">
        <v>193</v>
      </c>
      <c r="BC3517">
        <v>3.0859999999999999</v>
      </c>
      <c r="BD3517" t="s">
        <v>267</v>
      </c>
      <c r="BE3517">
        <v>74</v>
      </c>
      <c r="BF3517">
        <v>11</v>
      </c>
      <c r="BG3517" t="s">
        <v>9142</v>
      </c>
      <c r="BH3517" t="s">
        <v>19323</v>
      </c>
      <c r="BI3517" t="s">
        <v>19324</v>
      </c>
      <c r="BJ3517">
        <v>4.2130000000000001E-2</v>
      </c>
      <c r="BK3517">
        <v>1</v>
      </c>
      <c r="BL3517" t="s">
        <v>69</v>
      </c>
      <c r="BM3517">
        <v>-0.495</v>
      </c>
      <c r="BN3517">
        <v>-0.84899999999999998</v>
      </c>
    </row>
    <row r="3518" spans="10:66">
      <c r="J3518">
        <v>0</v>
      </c>
      <c r="K3518">
        <v>0</v>
      </c>
      <c r="L3518">
        <v>0</v>
      </c>
      <c r="M3518" t="s">
        <v>25021</v>
      </c>
      <c r="N3518">
        <v>3312</v>
      </c>
      <c r="O3518" t="s">
        <v>19325</v>
      </c>
      <c r="P3518" t="s">
        <v>57</v>
      </c>
      <c r="Q3518">
        <v>3279573</v>
      </c>
      <c r="R3518">
        <v>3280247</v>
      </c>
      <c r="S3518" t="s">
        <v>116</v>
      </c>
      <c r="T3518">
        <v>225</v>
      </c>
      <c r="U3518" t="s">
        <v>19326</v>
      </c>
      <c r="V3518">
        <v>42</v>
      </c>
      <c r="W3518" t="str">
        <f>HYPERLINK("Gene3312-zp_tree_all.dnd", "Gene3312-tree")</f>
        <v>Gene3312-tree</v>
      </c>
      <c r="X3518">
        <v>9</v>
      </c>
      <c r="Y3518">
        <v>3</v>
      </c>
      <c r="Z3518">
        <v>9</v>
      </c>
      <c r="AA3518">
        <v>3</v>
      </c>
      <c r="AB3518">
        <v>0.25</v>
      </c>
      <c r="AC3518" t="s">
        <v>135</v>
      </c>
      <c r="AD3518" t="s">
        <v>324</v>
      </c>
      <c r="AE3518" t="s">
        <v>62</v>
      </c>
      <c r="AF3518" t="s">
        <v>62</v>
      </c>
      <c r="AG3518">
        <v>0</v>
      </c>
      <c r="AH3518">
        <v>0</v>
      </c>
      <c r="AI3518">
        <v>5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4</v>
      </c>
      <c r="AT3518">
        <v>0</v>
      </c>
      <c r="AU3518">
        <v>9</v>
      </c>
      <c r="AV3518">
        <v>6</v>
      </c>
      <c r="AW3518">
        <v>27</v>
      </c>
      <c r="AX3518">
        <v>4</v>
      </c>
      <c r="AY3518">
        <v>9</v>
      </c>
      <c r="AZ3518">
        <v>1</v>
      </c>
      <c r="BA3518" t="s">
        <v>19327</v>
      </c>
      <c r="BB3518" t="s">
        <v>19328</v>
      </c>
      <c r="BC3518">
        <v>0.114</v>
      </c>
      <c r="BD3518" t="s">
        <v>65</v>
      </c>
      <c r="BE3518">
        <v>36</v>
      </c>
      <c r="BF3518">
        <v>5</v>
      </c>
      <c r="BG3518" t="s">
        <v>19329</v>
      </c>
      <c r="BH3518" t="s">
        <v>19330</v>
      </c>
      <c r="BI3518" t="s">
        <v>19331</v>
      </c>
      <c r="BJ3518">
        <v>3.3730000000000003E-2</v>
      </c>
      <c r="BK3518">
        <v>1</v>
      </c>
      <c r="BL3518" t="s">
        <v>69</v>
      </c>
      <c r="BM3518">
        <v>-0.97699999999999998</v>
      </c>
      <c r="BN3518">
        <v>-2.2360000000000002</v>
      </c>
    </row>
    <row r="3519" spans="10:66">
      <c r="J3519">
        <v>0</v>
      </c>
      <c r="K3519">
        <v>0</v>
      </c>
      <c r="L3519">
        <v>4</v>
      </c>
      <c r="M3519" t="s">
        <v>25021</v>
      </c>
      <c r="N3519">
        <v>3321</v>
      </c>
      <c r="O3519" t="s">
        <v>19388</v>
      </c>
      <c r="P3519" t="s">
        <v>57</v>
      </c>
      <c r="Q3519">
        <v>3294270</v>
      </c>
      <c r="R3519">
        <v>3294869</v>
      </c>
      <c r="S3519" t="s">
        <v>19389</v>
      </c>
      <c r="T3519">
        <v>200</v>
      </c>
      <c r="U3519" t="s">
        <v>108</v>
      </c>
      <c r="V3519">
        <v>44</v>
      </c>
      <c r="W3519" t="str">
        <f>HYPERLINK("Gene3321-zp_tree_all.dnd", "Gene3321-tree")</f>
        <v>Gene3321-tree</v>
      </c>
      <c r="X3519">
        <v>8</v>
      </c>
      <c r="Y3519">
        <v>6</v>
      </c>
      <c r="Z3519">
        <v>8</v>
      </c>
      <c r="AA3519">
        <v>6</v>
      </c>
      <c r="AB3519">
        <v>0.42857000000000001</v>
      </c>
      <c r="AC3519" t="s">
        <v>136</v>
      </c>
      <c r="AD3519" t="s">
        <v>90</v>
      </c>
      <c r="AE3519" t="s">
        <v>62</v>
      </c>
      <c r="AF3519" t="s">
        <v>62</v>
      </c>
      <c r="AG3519">
        <v>2</v>
      </c>
      <c r="AH3519">
        <v>4</v>
      </c>
      <c r="AI3519">
        <v>6</v>
      </c>
      <c r="AJ3519">
        <v>0.4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2</v>
      </c>
      <c r="AR3519">
        <v>2</v>
      </c>
      <c r="AS3519">
        <v>6</v>
      </c>
      <c r="AT3519">
        <v>0.25</v>
      </c>
      <c r="AU3519">
        <v>10</v>
      </c>
      <c r="AV3519">
        <v>7</v>
      </c>
      <c r="AW3519">
        <v>10</v>
      </c>
      <c r="AX3519">
        <v>7</v>
      </c>
      <c r="AY3519">
        <v>8</v>
      </c>
      <c r="AZ3519">
        <v>3</v>
      </c>
      <c r="BA3519" t="s">
        <v>19390</v>
      </c>
      <c r="BB3519" t="s">
        <v>19391</v>
      </c>
      <c r="BC3519">
        <v>0.69</v>
      </c>
      <c r="BD3519" t="s">
        <v>65</v>
      </c>
      <c r="BE3519">
        <v>18</v>
      </c>
      <c r="BF3519">
        <v>10</v>
      </c>
      <c r="BG3519" t="s">
        <v>19392</v>
      </c>
      <c r="BH3519" t="s">
        <v>19393</v>
      </c>
      <c r="BI3519" t="s">
        <v>19394</v>
      </c>
      <c r="BJ3519">
        <v>0.18471000000000001</v>
      </c>
      <c r="BK3519">
        <v>1</v>
      </c>
      <c r="BL3519" t="s">
        <v>69</v>
      </c>
      <c r="BM3519">
        <v>-1.2929999999999999</v>
      </c>
      <c r="BN3519">
        <v>-2.58</v>
      </c>
    </row>
    <row r="3520" spans="10:66">
      <c r="J3520">
        <v>0</v>
      </c>
      <c r="K3520">
        <v>5</v>
      </c>
      <c r="L3520">
        <v>3</v>
      </c>
      <c r="M3520" t="s">
        <v>25021</v>
      </c>
      <c r="N3520">
        <v>3324</v>
      </c>
      <c r="O3520" t="s">
        <v>19409</v>
      </c>
      <c r="P3520" t="s">
        <v>57</v>
      </c>
      <c r="Q3520">
        <v>3298077</v>
      </c>
      <c r="R3520">
        <v>3298550</v>
      </c>
      <c r="S3520" t="s">
        <v>3095</v>
      </c>
      <c r="T3520">
        <v>158</v>
      </c>
      <c r="U3520" t="s">
        <v>160</v>
      </c>
      <c r="V3520">
        <v>45</v>
      </c>
      <c r="W3520" t="str">
        <f>HYPERLINK("Gene3324-zp_tree_all.dnd", "Gene3324-tree")</f>
        <v>Gene3324-tree</v>
      </c>
      <c r="X3520">
        <v>12</v>
      </c>
      <c r="Y3520">
        <v>4</v>
      </c>
      <c r="Z3520">
        <v>12</v>
      </c>
      <c r="AA3520">
        <v>4</v>
      </c>
      <c r="AB3520">
        <v>0.25</v>
      </c>
      <c r="AC3520" t="s">
        <v>109</v>
      </c>
      <c r="AD3520" t="s">
        <v>61</v>
      </c>
      <c r="AE3520" t="s">
        <v>62</v>
      </c>
      <c r="AF3520" t="s">
        <v>62</v>
      </c>
      <c r="AG3520">
        <v>3</v>
      </c>
      <c r="AH3520">
        <v>8</v>
      </c>
      <c r="AI3520">
        <v>4</v>
      </c>
      <c r="AJ3520">
        <v>0.66666999999999998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2</v>
      </c>
      <c r="AQ3520">
        <v>4</v>
      </c>
      <c r="AR3520">
        <v>6</v>
      </c>
      <c r="AS3520">
        <v>4</v>
      </c>
      <c r="AT3520">
        <v>0.6</v>
      </c>
      <c r="AU3520">
        <v>12</v>
      </c>
      <c r="AV3520">
        <v>10</v>
      </c>
      <c r="AW3520">
        <v>34</v>
      </c>
      <c r="AX3520">
        <v>11</v>
      </c>
      <c r="AY3520">
        <v>14</v>
      </c>
      <c r="AZ3520">
        <v>2</v>
      </c>
      <c r="BA3520" t="s">
        <v>19410</v>
      </c>
      <c r="BB3520" t="s">
        <v>19411</v>
      </c>
      <c r="BC3520">
        <v>0.33100000000000002</v>
      </c>
      <c r="BD3520" t="s">
        <v>65</v>
      </c>
      <c r="BE3520">
        <v>48</v>
      </c>
      <c r="BF3520">
        <v>13</v>
      </c>
      <c r="BG3520" t="s">
        <v>19412</v>
      </c>
      <c r="BH3520" t="s">
        <v>19413</v>
      </c>
      <c r="BI3520" t="s">
        <v>19414</v>
      </c>
      <c r="BJ3520">
        <v>7.3889999999999997E-2</v>
      </c>
      <c r="BK3520">
        <v>1</v>
      </c>
      <c r="BL3520" t="s">
        <v>69</v>
      </c>
      <c r="BM3520">
        <v>-1.6080000000000001</v>
      </c>
      <c r="BN3520">
        <v>-3.0750000000000002</v>
      </c>
    </row>
    <row r="3521" spans="10:66">
      <c r="J3521">
        <v>0</v>
      </c>
      <c r="K3521">
        <v>5</v>
      </c>
      <c r="L3521">
        <v>0</v>
      </c>
      <c r="M3521" t="s">
        <v>25021</v>
      </c>
      <c r="N3521">
        <v>3329</v>
      </c>
      <c r="O3521" t="s">
        <v>19440</v>
      </c>
      <c r="P3521" t="s">
        <v>57</v>
      </c>
      <c r="Q3521">
        <v>3301586</v>
      </c>
      <c r="R3521">
        <v>3302581</v>
      </c>
      <c r="S3521" t="s">
        <v>19441</v>
      </c>
      <c r="T3521">
        <v>332</v>
      </c>
      <c r="U3521" t="s">
        <v>125</v>
      </c>
      <c r="V3521">
        <v>48</v>
      </c>
      <c r="W3521" t="str">
        <f>HYPERLINK("Gene3329-zp_tree_all.dnd", "Gene3329-tree")</f>
        <v>Gene3329-tree</v>
      </c>
      <c r="X3521">
        <v>15</v>
      </c>
      <c r="Y3521">
        <v>4</v>
      </c>
      <c r="Z3521">
        <v>15</v>
      </c>
      <c r="AA3521">
        <v>4</v>
      </c>
      <c r="AB3521">
        <v>0.21052999999999999</v>
      </c>
      <c r="AC3521" t="s">
        <v>100</v>
      </c>
      <c r="AD3521" t="s">
        <v>61</v>
      </c>
      <c r="AE3521" t="s">
        <v>62</v>
      </c>
      <c r="AF3521" t="s">
        <v>62</v>
      </c>
      <c r="AG3521">
        <v>2</v>
      </c>
      <c r="AH3521">
        <v>5</v>
      </c>
      <c r="AI3521">
        <v>1</v>
      </c>
      <c r="AJ3521">
        <v>0.83333000000000002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2</v>
      </c>
      <c r="AQ3521">
        <v>0</v>
      </c>
      <c r="AR3521">
        <v>2</v>
      </c>
      <c r="AS3521">
        <v>2</v>
      </c>
      <c r="AT3521">
        <v>0.5</v>
      </c>
      <c r="AU3521">
        <v>14</v>
      </c>
      <c r="AV3521">
        <v>13</v>
      </c>
      <c r="AW3521">
        <v>45</v>
      </c>
      <c r="AX3521">
        <v>4</v>
      </c>
      <c r="AY3521">
        <v>56</v>
      </c>
      <c r="AZ3521">
        <v>2</v>
      </c>
      <c r="BA3521" t="s">
        <v>19442</v>
      </c>
      <c r="BB3521" t="s">
        <v>19443</v>
      </c>
      <c r="BC3521">
        <v>0.47399999999999998</v>
      </c>
      <c r="BD3521" t="s">
        <v>65</v>
      </c>
      <c r="BE3521">
        <v>101</v>
      </c>
      <c r="BF3521">
        <v>6</v>
      </c>
      <c r="BG3521" t="s">
        <v>19444</v>
      </c>
      <c r="BH3521" t="s">
        <v>19445</v>
      </c>
      <c r="BI3521" t="s">
        <v>19446</v>
      </c>
      <c r="BJ3521">
        <v>1.387E-2</v>
      </c>
      <c r="BK3521">
        <v>1</v>
      </c>
      <c r="BL3521" t="s">
        <v>69</v>
      </c>
      <c r="BM3521">
        <v>-0.97499999999999998</v>
      </c>
      <c r="BN3521">
        <v>0.58399999999999996</v>
      </c>
    </row>
    <row r="3522" spans="10:66">
      <c r="J3522">
        <v>0</v>
      </c>
      <c r="K3522">
        <v>7</v>
      </c>
      <c r="L3522">
        <v>7</v>
      </c>
      <c r="M3522" t="s">
        <v>25021</v>
      </c>
      <c r="N3522">
        <v>3331</v>
      </c>
      <c r="O3522" t="s">
        <v>19453</v>
      </c>
      <c r="P3522" t="s">
        <v>57</v>
      </c>
      <c r="Q3522">
        <v>3303042</v>
      </c>
      <c r="R3522">
        <v>3304019</v>
      </c>
      <c r="S3522" t="s">
        <v>19454</v>
      </c>
      <c r="T3522">
        <v>326</v>
      </c>
      <c r="U3522" t="s">
        <v>125</v>
      </c>
      <c r="V3522">
        <v>48</v>
      </c>
      <c r="W3522" t="str">
        <f>HYPERLINK("Gene3331-zp_tree_all.dnd", "Gene3331-tree")</f>
        <v>Gene3331-tree</v>
      </c>
      <c r="X3522">
        <v>13</v>
      </c>
      <c r="Y3522">
        <v>6</v>
      </c>
      <c r="Z3522">
        <v>13</v>
      </c>
      <c r="AA3522">
        <v>6</v>
      </c>
      <c r="AB3522">
        <v>0.31579000000000002</v>
      </c>
      <c r="AC3522" t="s">
        <v>507</v>
      </c>
      <c r="AD3522" t="s">
        <v>90</v>
      </c>
      <c r="AE3522" t="s">
        <v>62</v>
      </c>
      <c r="AF3522" t="s">
        <v>62</v>
      </c>
      <c r="AG3522">
        <v>6</v>
      </c>
      <c r="AH3522">
        <v>14</v>
      </c>
      <c r="AI3522">
        <v>7</v>
      </c>
      <c r="AJ3522">
        <v>0.66666999999999998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2</v>
      </c>
      <c r="AR3522">
        <v>2</v>
      </c>
      <c r="AS3522">
        <v>8</v>
      </c>
      <c r="AT3522">
        <v>0.2</v>
      </c>
      <c r="AU3522">
        <v>19</v>
      </c>
      <c r="AV3522">
        <v>13</v>
      </c>
      <c r="AW3522">
        <v>79</v>
      </c>
      <c r="AX3522">
        <v>11</v>
      </c>
      <c r="AY3522">
        <v>72</v>
      </c>
      <c r="AZ3522">
        <v>14</v>
      </c>
      <c r="BA3522" t="s">
        <v>19455</v>
      </c>
      <c r="BB3522" t="s">
        <v>19456</v>
      </c>
      <c r="BC3522">
        <v>0.249</v>
      </c>
      <c r="BD3522" t="s">
        <v>65</v>
      </c>
      <c r="BE3522">
        <v>151</v>
      </c>
      <c r="BF3522">
        <v>25</v>
      </c>
      <c r="BG3522" t="s">
        <v>19457</v>
      </c>
      <c r="BH3522" t="s">
        <v>19458</v>
      </c>
      <c r="BI3522" t="s">
        <v>14688</v>
      </c>
      <c r="BJ3522">
        <v>4.7070000000000001E-2</v>
      </c>
      <c r="BK3522">
        <v>1</v>
      </c>
      <c r="BL3522" t="s">
        <v>69</v>
      </c>
      <c r="BM3522">
        <v>-0.97199999999999998</v>
      </c>
      <c r="BN3522">
        <v>-0.33400000000000002</v>
      </c>
    </row>
    <row r="3523" spans="10:66">
      <c r="J3523">
        <v>0</v>
      </c>
      <c r="K3523">
        <v>0</v>
      </c>
      <c r="L3523">
        <v>0</v>
      </c>
      <c r="M3523" t="s">
        <v>25021</v>
      </c>
      <c r="N3523">
        <v>3338</v>
      </c>
      <c r="O3523" t="s">
        <v>19498</v>
      </c>
      <c r="P3523" t="s">
        <v>57</v>
      </c>
      <c r="Q3523">
        <v>3308867</v>
      </c>
      <c r="R3523">
        <v>3309931</v>
      </c>
      <c r="S3523" t="s">
        <v>19499</v>
      </c>
      <c r="T3523">
        <v>355</v>
      </c>
      <c r="U3523" t="s">
        <v>96</v>
      </c>
      <c r="V3523">
        <v>48</v>
      </c>
      <c r="W3523" t="str">
        <f>HYPERLINK("Gene3338-zp_tree_all.dnd", "Gene3338-tree")</f>
        <v>Gene3338-tree</v>
      </c>
      <c r="X3523">
        <v>13</v>
      </c>
      <c r="Y3523">
        <v>5</v>
      </c>
      <c r="Z3523">
        <v>13</v>
      </c>
      <c r="AA3523">
        <v>5</v>
      </c>
      <c r="AB3523">
        <v>0.27778000000000003</v>
      </c>
      <c r="AC3523" t="s">
        <v>507</v>
      </c>
      <c r="AD3523" t="s">
        <v>199</v>
      </c>
      <c r="AE3523" t="s">
        <v>62</v>
      </c>
      <c r="AF3523" t="s">
        <v>62</v>
      </c>
      <c r="AG3523">
        <v>0</v>
      </c>
      <c r="AH3523">
        <v>0</v>
      </c>
      <c r="AI3523">
        <v>11</v>
      </c>
      <c r="AJ3523">
        <v>0</v>
      </c>
      <c r="AK3523">
        <v>0</v>
      </c>
      <c r="AL3523">
        <v>0</v>
      </c>
      <c r="AM3523">
        <v>0</v>
      </c>
      <c r="AN3523">
        <v>3</v>
      </c>
      <c r="AO3523">
        <v>0</v>
      </c>
      <c r="AP3523">
        <v>0</v>
      </c>
      <c r="AQ3523">
        <v>0</v>
      </c>
      <c r="AR3523">
        <v>0</v>
      </c>
      <c r="AS3523">
        <v>5</v>
      </c>
      <c r="AT3523">
        <v>0</v>
      </c>
      <c r="AU3523">
        <v>15</v>
      </c>
      <c r="AV3523">
        <v>8</v>
      </c>
      <c r="AW3523">
        <v>42</v>
      </c>
      <c r="AX3523">
        <v>6</v>
      </c>
      <c r="AY3523">
        <v>47</v>
      </c>
      <c r="AZ3523">
        <v>7</v>
      </c>
      <c r="BA3523" t="s">
        <v>19500</v>
      </c>
      <c r="BB3523" t="s">
        <v>19501</v>
      </c>
      <c r="BC3523">
        <v>2.3E-2</v>
      </c>
      <c r="BD3523" t="s">
        <v>65</v>
      </c>
      <c r="BE3523">
        <v>89</v>
      </c>
      <c r="BF3523">
        <v>13</v>
      </c>
      <c r="BG3523" t="s">
        <v>19502</v>
      </c>
      <c r="BH3523" t="s">
        <v>19503</v>
      </c>
      <c r="BI3523" t="s">
        <v>19504</v>
      </c>
      <c r="BJ3523">
        <v>4.7500000000000001E-2</v>
      </c>
      <c r="BK3523">
        <v>1</v>
      </c>
      <c r="BL3523" t="s">
        <v>69</v>
      </c>
      <c r="BM3523">
        <v>-1.623</v>
      </c>
      <c r="BN3523">
        <v>-1.373</v>
      </c>
    </row>
    <row r="3524" spans="10:66">
      <c r="J3524">
        <v>0</v>
      </c>
      <c r="K3524">
        <v>0</v>
      </c>
      <c r="L3524">
        <v>0</v>
      </c>
      <c r="M3524" t="s">
        <v>25021</v>
      </c>
      <c r="N3524">
        <v>3340</v>
      </c>
      <c r="O3524" t="s">
        <v>19512</v>
      </c>
      <c r="P3524" t="s">
        <v>57</v>
      </c>
      <c r="Q3524">
        <v>3310386</v>
      </c>
      <c r="R3524">
        <v>3310718</v>
      </c>
      <c r="S3524" t="s">
        <v>19513</v>
      </c>
      <c r="T3524">
        <v>111</v>
      </c>
      <c r="U3524" t="s">
        <v>59</v>
      </c>
      <c r="V3524">
        <v>49</v>
      </c>
      <c r="W3524" t="str">
        <f>HYPERLINK("Gene3340-zp_tree_all.dnd", "Gene3340-tree")</f>
        <v>Gene3340-tree</v>
      </c>
      <c r="X3524">
        <v>11</v>
      </c>
      <c r="Y3524">
        <v>2</v>
      </c>
      <c r="Z3524">
        <v>11</v>
      </c>
      <c r="AA3524">
        <v>2</v>
      </c>
      <c r="AB3524">
        <v>0.15384999999999999</v>
      </c>
      <c r="AC3524" t="s">
        <v>73</v>
      </c>
      <c r="AD3524" t="s">
        <v>81</v>
      </c>
      <c r="AE3524" t="s">
        <v>62</v>
      </c>
      <c r="AF3524" t="s">
        <v>62</v>
      </c>
      <c r="AG3524">
        <v>0</v>
      </c>
      <c r="AH3524">
        <v>0</v>
      </c>
      <c r="AI3524">
        <v>2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2</v>
      </c>
      <c r="AT3524">
        <v>0</v>
      </c>
      <c r="AU3524">
        <v>8</v>
      </c>
      <c r="AV3524">
        <v>6</v>
      </c>
      <c r="AW3524">
        <v>6</v>
      </c>
      <c r="AX3524">
        <v>2</v>
      </c>
      <c r="AY3524">
        <v>7</v>
      </c>
      <c r="AZ3524">
        <v>0</v>
      </c>
      <c r="BA3524" t="s">
        <v>19514</v>
      </c>
      <c r="BB3524" t="s">
        <v>193</v>
      </c>
      <c r="BC3524">
        <v>0.84899999999999998</v>
      </c>
      <c r="BD3524" t="s">
        <v>65</v>
      </c>
      <c r="BE3524">
        <v>13</v>
      </c>
      <c r="BF3524">
        <v>2</v>
      </c>
      <c r="BG3524" t="s">
        <v>19515</v>
      </c>
      <c r="BH3524" t="s">
        <v>19516</v>
      </c>
      <c r="BI3524" t="s">
        <v>3234</v>
      </c>
      <c r="BJ3524">
        <v>2.7359999999999999E-2</v>
      </c>
      <c r="BK3524">
        <v>1</v>
      </c>
      <c r="BL3524" t="s">
        <v>69</v>
      </c>
      <c r="BM3524">
        <v>-0.38500000000000001</v>
      </c>
      <c r="BN3524">
        <v>1.0029999999999999</v>
      </c>
    </row>
    <row r="3525" spans="10:66">
      <c r="J3525">
        <v>0</v>
      </c>
      <c r="K3525">
        <v>0</v>
      </c>
      <c r="L3525">
        <v>2</v>
      </c>
      <c r="M3525" t="s">
        <v>25021</v>
      </c>
      <c r="N3525">
        <v>3346</v>
      </c>
      <c r="O3525" t="s">
        <v>19552</v>
      </c>
      <c r="P3525" t="s">
        <v>57</v>
      </c>
      <c r="Q3525">
        <v>3317502</v>
      </c>
      <c r="R3525">
        <v>3317999</v>
      </c>
      <c r="S3525" t="s">
        <v>13158</v>
      </c>
      <c r="T3525">
        <v>166</v>
      </c>
      <c r="U3525" t="s">
        <v>18451</v>
      </c>
      <c r="V3525">
        <v>48</v>
      </c>
      <c r="W3525" t="str">
        <f>HYPERLINK("Gene3346-zp_tree_all.dnd", "Gene3346-tree")</f>
        <v>Gene3346-tree</v>
      </c>
      <c r="X3525">
        <v>10</v>
      </c>
      <c r="Y3525">
        <v>2</v>
      </c>
      <c r="Z3525">
        <v>10</v>
      </c>
      <c r="AA3525">
        <v>2</v>
      </c>
      <c r="AB3525">
        <v>0.16667000000000001</v>
      </c>
      <c r="AC3525" t="s">
        <v>117</v>
      </c>
      <c r="AD3525" t="s">
        <v>81</v>
      </c>
      <c r="AE3525" t="s">
        <v>62</v>
      </c>
      <c r="AF3525" t="s">
        <v>62</v>
      </c>
      <c r="AG3525">
        <v>1</v>
      </c>
      <c r="AH3525">
        <v>2</v>
      </c>
      <c r="AI3525">
        <v>6</v>
      </c>
      <c r="AJ3525">
        <v>0.25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2</v>
      </c>
      <c r="AR3525">
        <v>2</v>
      </c>
      <c r="AS3525">
        <v>2</v>
      </c>
      <c r="AT3525">
        <v>0.5</v>
      </c>
      <c r="AU3525">
        <v>8</v>
      </c>
      <c r="AV3525">
        <v>6</v>
      </c>
      <c r="AW3525">
        <v>15</v>
      </c>
      <c r="AX3525">
        <v>4</v>
      </c>
      <c r="AY3525">
        <v>21</v>
      </c>
      <c r="AZ3525">
        <v>4</v>
      </c>
      <c r="BA3525" t="s">
        <v>19553</v>
      </c>
      <c r="BB3525" t="s">
        <v>19554</v>
      </c>
      <c r="BC3525">
        <v>0.19</v>
      </c>
      <c r="BD3525" t="s">
        <v>65</v>
      </c>
      <c r="BE3525">
        <v>36</v>
      </c>
      <c r="BF3525">
        <v>8</v>
      </c>
      <c r="BG3525" t="s">
        <v>19555</v>
      </c>
      <c r="BH3525" t="s">
        <v>19556</v>
      </c>
      <c r="BI3525" t="s">
        <v>19557</v>
      </c>
      <c r="BJ3525">
        <v>0.06</v>
      </c>
      <c r="BK3525">
        <v>1</v>
      </c>
      <c r="BL3525" t="s">
        <v>69</v>
      </c>
      <c r="BM3525">
        <v>-1.7250000000000001</v>
      </c>
      <c r="BN3525">
        <v>-1.129</v>
      </c>
    </row>
    <row r="3526" spans="10:66">
      <c r="J3526">
        <v>0</v>
      </c>
      <c r="K3526">
        <v>4</v>
      </c>
      <c r="L3526">
        <v>0</v>
      </c>
      <c r="M3526" t="s">
        <v>25021</v>
      </c>
      <c r="N3526">
        <v>3350</v>
      </c>
      <c r="O3526" t="s">
        <v>19576</v>
      </c>
      <c r="P3526" t="s">
        <v>57</v>
      </c>
      <c r="Q3526">
        <v>3319676</v>
      </c>
      <c r="R3526">
        <v>3320305</v>
      </c>
      <c r="S3526" t="s">
        <v>19577</v>
      </c>
      <c r="T3526">
        <v>210</v>
      </c>
      <c r="U3526" t="s">
        <v>108</v>
      </c>
      <c r="V3526">
        <v>44</v>
      </c>
      <c r="W3526" t="str">
        <f>HYPERLINK("Gene3350-zp_tree_all.dnd", "Gene3350-tree")</f>
        <v>Gene3350-tree</v>
      </c>
      <c r="X3526">
        <v>5</v>
      </c>
      <c r="Y3526">
        <v>7</v>
      </c>
      <c r="Z3526">
        <v>5</v>
      </c>
      <c r="AA3526">
        <v>7</v>
      </c>
      <c r="AB3526">
        <v>0.58333000000000002</v>
      </c>
      <c r="AC3526" t="s">
        <v>199</v>
      </c>
      <c r="AD3526" t="s">
        <v>152</v>
      </c>
      <c r="AE3526" t="s">
        <v>62</v>
      </c>
      <c r="AF3526" t="s">
        <v>62</v>
      </c>
      <c r="AG3526">
        <v>1</v>
      </c>
      <c r="AH3526">
        <v>4</v>
      </c>
      <c r="AI3526">
        <v>8</v>
      </c>
      <c r="AJ3526">
        <v>0.33333000000000002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3</v>
      </c>
      <c r="AQ3526">
        <v>0</v>
      </c>
      <c r="AR3526">
        <v>3</v>
      </c>
      <c r="AS3526">
        <v>7</v>
      </c>
      <c r="AT3526">
        <v>0.3</v>
      </c>
      <c r="AU3526">
        <v>11</v>
      </c>
      <c r="AV3526">
        <v>4</v>
      </c>
      <c r="AW3526">
        <v>19</v>
      </c>
      <c r="AX3526">
        <v>10</v>
      </c>
      <c r="AY3526">
        <v>5</v>
      </c>
      <c r="AZ3526">
        <v>2</v>
      </c>
      <c r="BA3526" t="s">
        <v>19578</v>
      </c>
      <c r="BB3526" t="s">
        <v>19579</v>
      </c>
      <c r="BC3526">
        <v>0.182</v>
      </c>
      <c r="BD3526" t="s">
        <v>65</v>
      </c>
      <c r="BE3526">
        <v>24</v>
      </c>
      <c r="BF3526">
        <v>12</v>
      </c>
      <c r="BG3526" t="s">
        <v>19580</v>
      </c>
      <c r="BH3526" t="s">
        <v>19581</v>
      </c>
      <c r="BI3526" t="s">
        <v>19582</v>
      </c>
      <c r="BJ3526">
        <v>0.12948000000000001</v>
      </c>
      <c r="BK3526">
        <v>1</v>
      </c>
      <c r="BL3526" t="s">
        <v>69</v>
      </c>
      <c r="BM3526">
        <v>-0.53500000000000003</v>
      </c>
      <c r="BN3526">
        <v>-2.1179999999999999</v>
      </c>
    </row>
    <row r="3527" spans="10:66">
      <c r="J3527">
        <v>0</v>
      </c>
      <c r="K3527">
        <v>2</v>
      </c>
      <c r="L3527">
        <v>0</v>
      </c>
      <c r="M3527" t="s">
        <v>25021</v>
      </c>
      <c r="N3527">
        <v>3352</v>
      </c>
      <c r="O3527" t="s">
        <v>19589</v>
      </c>
      <c r="P3527" t="s">
        <v>57</v>
      </c>
      <c r="Q3527">
        <v>3321455</v>
      </c>
      <c r="R3527">
        <v>3322432</v>
      </c>
      <c r="S3527" t="s">
        <v>19590</v>
      </c>
      <c r="T3527">
        <v>326</v>
      </c>
      <c r="U3527" t="s">
        <v>108</v>
      </c>
      <c r="V3527">
        <v>44</v>
      </c>
      <c r="W3527" t="str">
        <f>HYPERLINK("Gene3352-zp_tree_all.dnd", "Gene3352-tree")</f>
        <v>Gene3352-tree</v>
      </c>
      <c r="X3527">
        <v>9</v>
      </c>
      <c r="Y3527">
        <v>3</v>
      </c>
      <c r="Z3527">
        <v>9</v>
      </c>
      <c r="AA3527">
        <v>3</v>
      </c>
      <c r="AB3527">
        <v>0.25</v>
      </c>
      <c r="AC3527" t="s">
        <v>135</v>
      </c>
      <c r="AD3527" t="s">
        <v>324</v>
      </c>
      <c r="AE3527" t="s">
        <v>62</v>
      </c>
      <c r="AF3527" t="s">
        <v>62</v>
      </c>
      <c r="AG3527">
        <v>1</v>
      </c>
      <c r="AH3527">
        <v>2</v>
      </c>
      <c r="AI3527">
        <v>2</v>
      </c>
      <c r="AJ3527">
        <v>0.5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3</v>
      </c>
      <c r="AT3527">
        <v>0</v>
      </c>
      <c r="AU3527">
        <v>9</v>
      </c>
      <c r="AV3527">
        <v>6</v>
      </c>
      <c r="AW3527">
        <v>22</v>
      </c>
      <c r="AX3527">
        <v>3</v>
      </c>
      <c r="AY3527">
        <v>15</v>
      </c>
      <c r="AZ3527">
        <v>1</v>
      </c>
      <c r="BA3527" t="s">
        <v>19591</v>
      </c>
      <c r="BB3527" t="s">
        <v>19592</v>
      </c>
      <c r="BC3527">
        <v>0.35599999999999998</v>
      </c>
      <c r="BD3527" t="s">
        <v>65</v>
      </c>
      <c r="BE3527">
        <v>37</v>
      </c>
      <c r="BF3527">
        <v>4</v>
      </c>
      <c r="BG3527" t="s">
        <v>19593</v>
      </c>
      <c r="BH3527" t="s">
        <v>19594</v>
      </c>
      <c r="BI3527" t="s">
        <v>19595</v>
      </c>
      <c r="BJ3527">
        <v>3.3500000000000002E-2</v>
      </c>
      <c r="BK3527">
        <v>1</v>
      </c>
      <c r="BL3527" t="s">
        <v>69</v>
      </c>
      <c r="BM3527">
        <v>-1.087</v>
      </c>
      <c r="BN3527">
        <v>-0.115</v>
      </c>
    </row>
    <row r="3528" spans="10:66">
      <c r="J3528">
        <v>0</v>
      </c>
      <c r="K3528">
        <v>0</v>
      </c>
      <c r="L3528">
        <v>0</v>
      </c>
      <c r="M3528" t="s">
        <v>25021</v>
      </c>
      <c r="N3528">
        <v>3360</v>
      </c>
      <c r="O3528" t="s">
        <v>19632</v>
      </c>
      <c r="P3528" t="s">
        <v>57</v>
      </c>
      <c r="Q3528">
        <v>3328762</v>
      </c>
      <c r="R3528">
        <v>3330354</v>
      </c>
      <c r="S3528" t="s">
        <v>19633</v>
      </c>
      <c r="T3528">
        <v>531</v>
      </c>
      <c r="U3528" t="s">
        <v>108</v>
      </c>
      <c r="V3528">
        <v>44</v>
      </c>
      <c r="W3528" t="str">
        <f>HYPERLINK("Gene3360-zp_tree_all.dnd", "Gene3360-tree")</f>
        <v>Gene3360-tree</v>
      </c>
      <c r="X3528">
        <v>8</v>
      </c>
      <c r="Y3528">
        <v>8</v>
      </c>
      <c r="Z3528">
        <v>8</v>
      </c>
      <c r="AA3528">
        <v>8</v>
      </c>
      <c r="AB3528">
        <v>0.5</v>
      </c>
      <c r="AC3528" t="s">
        <v>136</v>
      </c>
      <c r="AD3528" t="s">
        <v>136</v>
      </c>
      <c r="AE3528" t="s">
        <v>62</v>
      </c>
      <c r="AF3528" t="s">
        <v>62</v>
      </c>
      <c r="AG3528">
        <v>0</v>
      </c>
      <c r="AH3528">
        <v>0</v>
      </c>
      <c r="AI3528">
        <v>11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9</v>
      </c>
      <c r="AT3528">
        <v>0</v>
      </c>
      <c r="AU3528">
        <v>13</v>
      </c>
      <c r="AV3528">
        <v>11</v>
      </c>
      <c r="AW3528">
        <v>64</v>
      </c>
      <c r="AX3528">
        <v>7</v>
      </c>
      <c r="AY3528">
        <v>32</v>
      </c>
      <c r="AZ3528">
        <v>4</v>
      </c>
      <c r="BA3528" t="s">
        <v>19634</v>
      </c>
      <c r="BB3528" t="s">
        <v>19635</v>
      </c>
      <c r="BC3528">
        <v>0.123</v>
      </c>
      <c r="BD3528" t="s">
        <v>65</v>
      </c>
      <c r="BE3528">
        <v>96</v>
      </c>
      <c r="BF3528">
        <v>11</v>
      </c>
      <c r="BG3528" t="s">
        <v>6995</v>
      </c>
      <c r="BH3528" t="s">
        <v>19636</v>
      </c>
      <c r="BI3528" t="s">
        <v>19637</v>
      </c>
      <c r="BJ3528">
        <v>3.5580000000000001E-2</v>
      </c>
      <c r="BK3528">
        <v>1</v>
      </c>
      <c r="BL3528" t="s">
        <v>69</v>
      </c>
      <c r="BM3528">
        <v>-0.52700000000000002</v>
      </c>
      <c r="BN3528">
        <v>-0.72699999999999998</v>
      </c>
    </row>
    <row r="3529" spans="10:66">
      <c r="J3529">
        <v>0</v>
      </c>
      <c r="K3529">
        <v>18</v>
      </c>
      <c r="L3529">
        <v>0</v>
      </c>
      <c r="M3529" t="s">
        <v>25021</v>
      </c>
      <c r="N3529">
        <v>3361</v>
      </c>
      <c r="O3529" t="s">
        <v>19638</v>
      </c>
      <c r="P3529" t="s">
        <v>57</v>
      </c>
      <c r="Q3529">
        <v>3330502</v>
      </c>
      <c r="R3529">
        <v>3331848</v>
      </c>
      <c r="S3529" t="s">
        <v>19639</v>
      </c>
      <c r="T3529">
        <v>449</v>
      </c>
      <c r="U3529" t="s">
        <v>108</v>
      </c>
      <c r="V3529">
        <v>44</v>
      </c>
      <c r="W3529" t="str">
        <f>HYPERLINK("Gene3361-zp_tree_all.dnd", "Gene3361-tree")</f>
        <v>Gene3361-tree</v>
      </c>
      <c r="X3529">
        <v>5</v>
      </c>
      <c r="Y3529">
        <v>11</v>
      </c>
      <c r="Z3529">
        <v>5</v>
      </c>
      <c r="AA3529">
        <v>11</v>
      </c>
      <c r="AB3529">
        <v>0.6875</v>
      </c>
      <c r="AC3529" t="s">
        <v>199</v>
      </c>
      <c r="AD3529" t="s">
        <v>73</v>
      </c>
      <c r="AE3529">
        <v>137353515.63499999</v>
      </c>
      <c r="AF3529" t="s">
        <v>267</v>
      </c>
      <c r="AG3529">
        <v>7</v>
      </c>
      <c r="AH3529">
        <v>18</v>
      </c>
      <c r="AI3529">
        <v>27</v>
      </c>
      <c r="AJ3529">
        <v>0.4</v>
      </c>
      <c r="AK3529">
        <v>0</v>
      </c>
      <c r="AL3529">
        <v>0</v>
      </c>
      <c r="AM3529">
        <v>0</v>
      </c>
      <c r="AN3529">
        <v>4</v>
      </c>
      <c r="AO3529">
        <v>0</v>
      </c>
      <c r="AP3529">
        <v>7</v>
      </c>
      <c r="AQ3529">
        <v>0</v>
      </c>
      <c r="AR3529">
        <v>7</v>
      </c>
      <c r="AS3529">
        <v>23</v>
      </c>
      <c r="AT3529">
        <v>0.23333000000000001</v>
      </c>
      <c r="AU3529">
        <v>14</v>
      </c>
      <c r="AV3529">
        <v>12</v>
      </c>
      <c r="AW3529">
        <v>62</v>
      </c>
      <c r="AX3529">
        <v>30</v>
      </c>
      <c r="AY3529">
        <v>34</v>
      </c>
      <c r="AZ3529">
        <v>16</v>
      </c>
      <c r="BA3529" t="s">
        <v>19640</v>
      </c>
      <c r="BB3529" t="s">
        <v>19641</v>
      </c>
      <c r="BC3529">
        <v>0.04</v>
      </c>
      <c r="BD3529" t="s">
        <v>65</v>
      </c>
      <c r="BE3529">
        <v>96</v>
      </c>
      <c r="BF3529">
        <v>46</v>
      </c>
      <c r="BG3529" t="s">
        <v>19642</v>
      </c>
      <c r="BH3529" t="s">
        <v>19643</v>
      </c>
      <c r="BI3529" t="s">
        <v>19644</v>
      </c>
      <c r="BJ3529">
        <v>0.17104</v>
      </c>
      <c r="BK3529">
        <v>1</v>
      </c>
      <c r="BL3529" t="s">
        <v>69</v>
      </c>
      <c r="BM3529">
        <v>-0.76</v>
      </c>
      <c r="BN3529">
        <v>-0.88800000000000001</v>
      </c>
    </row>
    <row r="3530" spans="10:66">
      <c r="J3530">
        <v>0</v>
      </c>
      <c r="K3530">
        <v>13</v>
      </c>
      <c r="L3530">
        <v>2</v>
      </c>
      <c r="M3530" t="s">
        <v>25021</v>
      </c>
      <c r="N3530">
        <v>3362</v>
      </c>
      <c r="O3530" t="s">
        <v>19645</v>
      </c>
      <c r="P3530" t="s">
        <v>57</v>
      </c>
      <c r="Q3530">
        <v>3331857</v>
      </c>
      <c r="R3530">
        <v>3333146</v>
      </c>
      <c r="S3530" t="s">
        <v>19646</v>
      </c>
      <c r="T3530">
        <v>430</v>
      </c>
      <c r="U3530" t="s">
        <v>1392</v>
      </c>
      <c r="V3530">
        <v>43</v>
      </c>
      <c r="W3530" t="str">
        <f>HYPERLINK("Gene3362-zp_tree_all.dnd", "Gene3362-tree")</f>
        <v>Gene3362-tree</v>
      </c>
      <c r="X3530">
        <v>23</v>
      </c>
      <c r="Y3530">
        <v>11</v>
      </c>
      <c r="Z3530">
        <v>6</v>
      </c>
      <c r="AA3530">
        <v>11</v>
      </c>
      <c r="AB3530">
        <v>0.64705999999999997</v>
      </c>
      <c r="AC3530" t="s">
        <v>3589</v>
      </c>
      <c r="AD3530" t="s">
        <v>73</v>
      </c>
      <c r="AE3530">
        <v>4.1769999999999996</v>
      </c>
      <c r="AF3530" t="s">
        <v>267</v>
      </c>
      <c r="AG3530">
        <v>7</v>
      </c>
      <c r="AH3530">
        <v>15</v>
      </c>
      <c r="AI3530">
        <v>15</v>
      </c>
      <c r="AJ3530">
        <v>0.5</v>
      </c>
      <c r="AK3530">
        <v>0</v>
      </c>
      <c r="AL3530">
        <v>0</v>
      </c>
      <c r="AM3530">
        <v>0</v>
      </c>
      <c r="AN3530">
        <v>4</v>
      </c>
      <c r="AO3530">
        <v>0</v>
      </c>
      <c r="AP3530">
        <v>7</v>
      </c>
      <c r="AQ3530">
        <v>0</v>
      </c>
      <c r="AR3530">
        <v>7</v>
      </c>
      <c r="AS3530">
        <v>14</v>
      </c>
      <c r="AT3530">
        <v>0.33333000000000002</v>
      </c>
      <c r="AU3530">
        <v>13</v>
      </c>
      <c r="AV3530">
        <v>13</v>
      </c>
      <c r="AW3530">
        <v>55</v>
      </c>
      <c r="AX3530">
        <v>20</v>
      </c>
      <c r="AY3530">
        <v>39</v>
      </c>
      <c r="AZ3530">
        <v>11</v>
      </c>
      <c r="BA3530" t="s">
        <v>19647</v>
      </c>
      <c r="BB3530" t="s">
        <v>19648</v>
      </c>
      <c r="BC3530">
        <v>0.28000000000000003</v>
      </c>
      <c r="BD3530" t="s">
        <v>65</v>
      </c>
      <c r="BE3530">
        <v>94</v>
      </c>
      <c r="BF3530">
        <v>31</v>
      </c>
      <c r="BG3530" t="s">
        <v>19649</v>
      </c>
      <c r="BH3530" t="s">
        <v>19650</v>
      </c>
      <c r="BI3530" t="s">
        <v>19651</v>
      </c>
      <c r="BJ3530">
        <v>0.11430999999999999</v>
      </c>
      <c r="BK3530">
        <v>1</v>
      </c>
      <c r="BL3530" t="s">
        <v>69</v>
      </c>
      <c r="BM3530">
        <v>-0.313</v>
      </c>
      <c r="BN3530">
        <v>-0.64800000000000002</v>
      </c>
    </row>
    <row r="3531" spans="10:66">
      <c r="J3531">
        <v>0</v>
      </c>
      <c r="K3531">
        <v>24</v>
      </c>
      <c r="L3531">
        <v>0</v>
      </c>
      <c r="M3531" t="s">
        <v>25021</v>
      </c>
      <c r="N3531">
        <v>3363</v>
      </c>
      <c r="O3531" t="s">
        <v>19652</v>
      </c>
      <c r="P3531" t="s">
        <v>57</v>
      </c>
      <c r="Q3531">
        <v>3333162</v>
      </c>
      <c r="R3531">
        <v>3334643</v>
      </c>
      <c r="S3531" t="s">
        <v>19653</v>
      </c>
      <c r="T3531">
        <v>494</v>
      </c>
      <c r="U3531" t="s">
        <v>1392</v>
      </c>
      <c r="V3531">
        <v>43</v>
      </c>
      <c r="W3531" t="str">
        <f>HYPERLINK("Gene3363-zp_tree_all.dnd", "Gene3363-tree")</f>
        <v>Gene3363-tree</v>
      </c>
      <c r="X3531">
        <v>3</v>
      </c>
      <c r="Y3531">
        <v>14</v>
      </c>
      <c r="Z3531">
        <v>3</v>
      </c>
      <c r="AA3531">
        <v>14</v>
      </c>
      <c r="AB3531">
        <v>0.82352999999999998</v>
      </c>
      <c r="AC3531" t="s">
        <v>324</v>
      </c>
      <c r="AD3531" t="s">
        <v>543</v>
      </c>
      <c r="AE3531">
        <v>526110884.52200001</v>
      </c>
      <c r="AF3531" t="s">
        <v>267</v>
      </c>
      <c r="AG3531">
        <v>8</v>
      </c>
      <c r="AH3531">
        <v>24</v>
      </c>
      <c r="AI3531">
        <v>18</v>
      </c>
      <c r="AJ3531">
        <v>0.57142999999999999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11</v>
      </c>
      <c r="AQ3531">
        <v>0</v>
      </c>
      <c r="AR3531">
        <v>11</v>
      </c>
      <c r="AS3531">
        <v>15</v>
      </c>
      <c r="AT3531">
        <v>0.42308000000000001</v>
      </c>
      <c r="AU3531">
        <v>15</v>
      </c>
      <c r="AV3531">
        <v>11</v>
      </c>
      <c r="AW3531">
        <v>36</v>
      </c>
      <c r="AX3531">
        <v>20</v>
      </c>
      <c r="AY3531">
        <v>39</v>
      </c>
      <c r="AZ3531">
        <v>23</v>
      </c>
      <c r="BA3531" t="s">
        <v>19654</v>
      </c>
      <c r="BB3531" t="s">
        <v>19655</v>
      </c>
      <c r="BC3531">
        <v>0.16600000000000001</v>
      </c>
      <c r="BD3531" t="s">
        <v>65</v>
      </c>
      <c r="BE3531">
        <v>75</v>
      </c>
      <c r="BF3531">
        <v>43</v>
      </c>
      <c r="BG3531" t="s">
        <v>19656</v>
      </c>
      <c r="BH3531" t="s">
        <v>19657</v>
      </c>
      <c r="BI3531" t="s">
        <v>19658</v>
      </c>
      <c r="BJ3531">
        <v>0.17618</v>
      </c>
      <c r="BK3531">
        <v>1</v>
      </c>
      <c r="BL3531" t="s">
        <v>69</v>
      </c>
      <c r="BM3531">
        <v>0.19800000000000001</v>
      </c>
      <c r="BN3531">
        <v>-0.57099999999999995</v>
      </c>
    </row>
    <row r="3532" spans="10:66">
      <c r="J3532">
        <v>0</v>
      </c>
      <c r="K3532">
        <v>9</v>
      </c>
      <c r="L3532">
        <v>2</v>
      </c>
      <c r="M3532" t="s">
        <v>25021</v>
      </c>
      <c r="N3532">
        <v>3364</v>
      </c>
      <c r="O3532" t="s">
        <v>19659</v>
      </c>
      <c r="P3532" t="s">
        <v>57</v>
      </c>
      <c r="Q3532">
        <v>3334646</v>
      </c>
      <c r="R3532">
        <v>3334987</v>
      </c>
      <c r="S3532" t="s">
        <v>19660</v>
      </c>
      <c r="T3532">
        <v>114</v>
      </c>
      <c r="U3532" t="s">
        <v>19661</v>
      </c>
      <c r="V3532">
        <v>34</v>
      </c>
      <c r="W3532" t="str">
        <f>HYPERLINK("Gene3364-zp_tree_all.dnd", "Gene3364-tree")</f>
        <v>Gene3364-tree</v>
      </c>
      <c r="X3532">
        <v>1</v>
      </c>
      <c r="Y3532">
        <v>7</v>
      </c>
      <c r="Z3532">
        <v>1</v>
      </c>
      <c r="AA3532">
        <v>7</v>
      </c>
      <c r="AB3532">
        <v>0.875</v>
      </c>
      <c r="AC3532" t="s">
        <v>175</v>
      </c>
      <c r="AD3532" t="s">
        <v>152</v>
      </c>
      <c r="AE3532" t="s">
        <v>62</v>
      </c>
      <c r="AF3532" t="s">
        <v>62</v>
      </c>
      <c r="AG3532">
        <v>4</v>
      </c>
      <c r="AH3532">
        <v>11</v>
      </c>
      <c r="AI3532">
        <v>10</v>
      </c>
      <c r="AJ3532">
        <v>0.52381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3</v>
      </c>
      <c r="AQ3532">
        <v>0</v>
      </c>
      <c r="AR3532">
        <v>3</v>
      </c>
      <c r="AS3532">
        <v>7</v>
      </c>
      <c r="AT3532">
        <v>0.3</v>
      </c>
      <c r="AU3532">
        <v>6</v>
      </c>
      <c r="AV3532">
        <v>5</v>
      </c>
      <c r="AW3532">
        <v>5</v>
      </c>
      <c r="AX3532">
        <v>8</v>
      </c>
      <c r="AY3532">
        <v>10</v>
      </c>
      <c r="AZ3532">
        <v>13</v>
      </c>
      <c r="BA3532" t="s">
        <v>19662</v>
      </c>
      <c r="BB3532" t="s">
        <v>19663</v>
      </c>
      <c r="BC3532">
        <v>0.122</v>
      </c>
      <c r="BD3532" t="s">
        <v>65</v>
      </c>
      <c r="BE3532">
        <v>15</v>
      </c>
      <c r="BF3532">
        <v>21</v>
      </c>
      <c r="BG3532" t="s">
        <v>19664</v>
      </c>
      <c r="BH3532" t="s">
        <v>19665</v>
      </c>
      <c r="BI3532" t="s">
        <v>19666</v>
      </c>
      <c r="BJ3532">
        <v>0.35719000000000001</v>
      </c>
      <c r="BK3532">
        <v>0.96</v>
      </c>
      <c r="BL3532" t="s">
        <v>69</v>
      </c>
      <c r="BM3532">
        <v>1.405</v>
      </c>
      <c r="BN3532">
        <v>0.20399999999999999</v>
      </c>
    </row>
    <row r="3533" spans="10:66">
      <c r="J3533">
        <v>0</v>
      </c>
      <c r="K3533">
        <v>0</v>
      </c>
      <c r="L3533">
        <v>0</v>
      </c>
      <c r="M3533" t="s">
        <v>25021</v>
      </c>
      <c r="N3533">
        <v>3365</v>
      </c>
      <c r="O3533" t="s">
        <v>19667</v>
      </c>
      <c r="P3533" t="s">
        <v>57</v>
      </c>
      <c r="Q3533">
        <v>3335414</v>
      </c>
      <c r="R3533">
        <v>3335542</v>
      </c>
      <c r="S3533" t="s">
        <v>2603</v>
      </c>
      <c r="T3533">
        <v>43</v>
      </c>
      <c r="U3533" t="s">
        <v>108</v>
      </c>
      <c r="V3533">
        <v>44</v>
      </c>
      <c r="W3533" t="str">
        <f>HYPERLINK("Gene3365-zp_tree_all.dnd", "Gene3365-tree")</f>
        <v>Gene3365-tree</v>
      </c>
      <c r="X3533">
        <v>4</v>
      </c>
      <c r="Y3533">
        <v>1</v>
      </c>
      <c r="Z3533">
        <v>4</v>
      </c>
      <c r="AA3533">
        <v>1</v>
      </c>
      <c r="AB3533">
        <v>0.2</v>
      </c>
      <c r="AC3533" t="s">
        <v>61</v>
      </c>
      <c r="AD3533" t="s">
        <v>175</v>
      </c>
      <c r="AE3533" t="s">
        <v>62</v>
      </c>
      <c r="AF3533" t="s">
        <v>62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3</v>
      </c>
      <c r="AV3533">
        <v>1</v>
      </c>
      <c r="AW3533">
        <v>2</v>
      </c>
      <c r="AX3533">
        <v>1</v>
      </c>
      <c r="AY3533">
        <v>1</v>
      </c>
      <c r="AZ3533">
        <v>0</v>
      </c>
      <c r="BA3533" t="s">
        <v>19668</v>
      </c>
      <c r="BB3533" t="s">
        <v>193</v>
      </c>
      <c r="BC3533">
        <v>0.69299999999999995</v>
      </c>
      <c r="BD3533" t="s">
        <v>65</v>
      </c>
      <c r="BE3533">
        <v>3</v>
      </c>
      <c r="BF3533">
        <v>1</v>
      </c>
      <c r="BG3533" t="s">
        <v>19669</v>
      </c>
      <c r="BH3533" t="s">
        <v>19670</v>
      </c>
      <c r="BI3533" t="s">
        <v>19671</v>
      </c>
      <c r="BJ3533">
        <v>9.2460000000000001E-2</v>
      </c>
      <c r="BK3533">
        <v>1</v>
      </c>
      <c r="BL3533" t="s">
        <v>69</v>
      </c>
      <c r="BM3533">
        <v>-1.1060000000000001</v>
      </c>
      <c r="BN3533">
        <v>-1.145</v>
      </c>
    </row>
    <row r="3534" spans="10:66">
      <c r="J3534">
        <v>0</v>
      </c>
      <c r="K3534">
        <v>2</v>
      </c>
      <c r="L3534">
        <v>6</v>
      </c>
      <c r="M3534" t="s">
        <v>25021</v>
      </c>
      <c r="N3534">
        <v>3375</v>
      </c>
      <c r="O3534" t="s">
        <v>19729</v>
      </c>
      <c r="P3534" t="s">
        <v>57</v>
      </c>
      <c r="Q3534">
        <v>3346298</v>
      </c>
      <c r="R3534">
        <v>3347023</v>
      </c>
      <c r="S3534" t="s">
        <v>19730</v>
      </c>
      <c r="T3534">
        <v>242</v>
      </c>
      <c r="U3534" t="s">
        <v>11803</v>
      </c>
      <c r="V3534">
        <v>47</v>
      </c>
      <c r="W3534" t="str">
        <f>HYPERLINK("Gene3375-zp_tree_all.dnd", "Gene3375-tree")</f>
        <v>Gene3375-tree</v>
      </c>
      <c r="X3534">
        <v>9</v>
      </c>
      <c r="Y3534">
        <v>7</v>
      </c>
      <c r="Z3534">
        <v>9</v>
      </c>
      <c r="AA3534">
        <v>7</v>
      </c>
      <c r="AB3534">
        <v>0.4375</v>
      </c>
      <c r="AC3534" t="s">
        <v>135</v>
      </c>
      <c r="AD3534" t="s">
        <v>152</v>
      </c>
      <c r="AE3534" t="s">
        <v>62</v>
      </c>
      <c r="AF3534" t="s">
        <v>62</v>
      </c>
      <c r="AG3534">
        <v>3</v>
      </c>
      <c r="AH3534">
        <v>8</v>
      </c>
      <c r="AI3534">
        <v>12</v>
      </c>
      <c r="AJ3534">
        <v>0.4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2</v>
      </c>
      <c r="AQ3534">
        <v>0</v>
      </c>
      <c r="AR3534">
        <v>2</v>
      </c>
      <c r="AS3534">
        <v>8</v>
      </c>
      <c r="AT3534">
        <v>0.2</v>
      </c>
      <c r="AU3534">
        <v>12</v>
      </c>
      <c r="AV3534">
        <v>7</v>
      </c>
      <c r="AW3534">
        <v>31</v>
      </c>
      <c r="AX3534">
        <v>11</v>
      </c>
      <c r="AY3534">
        <v>28</v>
      </c>
      <c r="AZ3534">
        <v>10</v>
      </c>
      <c r="BA3534" t="s">
        <v>19731</v>
      </c>
      <c r="BB3534" t="s">
        <v>19732</v>
      </c>
      <c r="BC3534">
        <v>2E-3</v>
      </c>
      <c r="BD3534" t="s">
        <v>65</v>
      </c>
      <c r="BE3534">
        <v>59</v>
      </c>
      <c r="BF3534">
        <v>21</v>
      </c>
      <c r="BG3534" t="s">
        <v>19733</v>
      </c>
      <c r="BH3534" t="s">
        <v>19734</v>
      </c>
      <c r="BI3534" t="s">
        <v>19735</v>
      </c>
      <c r="BJ3534">
        <v>8.8209999999999997E-2</v>
      </c>
      <c r="BK3534">
        <v>1</v>
      </c>
      <c r="BL3534" t="s">
        <v>69</v>
      </c>
      <c r="BM3534">
        <v>-1.8620000000000001</v>
      </c>
      <c r="BN3534">
        <v>-2.4769999999999999</v>
      </c>
    </row>
    <row r="3535" spans="10:66">
      <c r="J3535">
        <v>0</v>
      </c>
      <c r="K3535">
        <v>0</v>
      </c>
      <c r="L3535">
        <v>0</v>
      </c>
      <c r="M3535" t="s">
        <v>25021</v>
      </c>
      <c r="N3535">
        <v>3383</v>
      </c>
      <c r="O3535" t="s">
        <v>19784</v>
      </c>
      <c r="P3535" t="s">
        <v>57</v>
      </c>
      <c r="Q3535">
        <v>3354066</v>
      </c>
      <c r="R3535">
        <v>3354209</v>
      </c>
      <c r="S3535" t="s">
        <v>389</v>
      </c>
      <c r="T3535">
        <v>48</v>
      </c>
      <c r="U3535" t="s">
        <v>1124</v>
      </c>
      <c r="V3535">
        <v>43</v>
      </c>
      <c r="W3535" t="str">
        <f>HYPERLINK("Gene3383-zp_tree_all.dnd", "Gene3383-tree")</f>
        <v>Gene3383-tree</v>
      </c>
      <c r="X3535">
        <v>24</v>
      </c>
      <c r="Y3535">
        <v>1</v>
      </c>
      <c r="Z3535">
        <v>4</v>
      </c>
      <c r="AA3535">
        <v>1</v>
      </c>
      <c r="AB3535">
        <v>0.2</v>
      </c>
      <c r="AC3535" t="s">
        <v>1495</v>
      </c>
      <c r="AD3535" t="s">
        <v>175</v>
      </c>
      <c r="AE3535" t="s">
        <v>62</v>
      </c>
      <c r="AF3535" t="s">
        <v>62</v>
      </c>
      <c r="AG3535">
        <v>0</v>
      </c>
      <c r="AH3535">
        <v>0</v>
      </c>
      <c r="AI3535">
        <v>2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5</v>
      </c>
      <c r="AV3535">
        <v>1</v>
      </c>
      <c r="AW3535">
        <v>7</v>
      </c>
      <c r="AX3535">
        <v>1</v>
      </c>
      <c r="AY3535">
        <v>0</v>
      </c>
      <c r="AZ3535">
        <v>1</v>
      </c>
      <c r="BA3535" t="s">
        <v>19785</v>
      </c>
      <c r="BB3535" t="s">
        <v>193</v>
      </c>
      <c r="BC3535">
        <v>0.54100000000000004</v>
      </c>
      <c r="BD3535" t="s">
        <v>65</v>
      </c>
      <c r="BE3535">
        <v>7</v>
      </c>
      <c r="BF3535">
        <v>2</v>
      </c>
      <c r="BG3535" t="s">
        <v>19786</v>
      </c>
      <c r="BH3535" t="s">
        <v>19787</v>
      </c>
      <c r="BI3535" t="s">
        <v>19788</v>
      </c>
      <c r="BJ3535">
        <v>0.1057</v>
      </c>
      <c r="BK3535">
        <v>0.98799999999999999</v>
      </c>
      <c r="BL3535" t="s">
        <v>69</v>
      </c>
      <c r="BM3535">
        <v>-0.218</v>
      </c>
      <c r="BN3535">
        <v>-1.7709999999999999</v>
      </c>
    </row>
    <row r="3536" spans="10:66">
      <c r="J3536">
        <v>0</v>
      </c>
      <c r="K3536">
        <v>0</v>
      </c>
      <c r="L3536">
        <v>0</v>
      </c>
      <c r="M3536" t="s">
        <v>25021</v>
      </c>
      <c r="N3536">
        <v>3384</v>
      </c>
      <c r="O3536" t="s">
        <v>19789</v>
      </c>
      <c r="P3536" t="s">
        <v>57</v>
      </c>
      <c r="Q3536">
        <v>3354212</v>
      </c>
      <c r="R3536">
        <v>3354484</v>
      </c>
      <c r="S3536" t="s">
        <v>116</v>
      </c>
      <c r="T3536">
        <v>91</v>
      </c>
      <c r="U3536" t="s">
        <v>108</v>
      </c>
      <c r="V3536">
        <v>44</v>
      </c>
      <c r="W3536" t="str">
        <f>HYPERLINK("Gene3384-zp_tree_all.dnd", "Gene3384-tree")</f>
        <v>Gene3384-tree</v>
      </c>
      <c r="X3536">
        <v>4</v>
      </c>
      <c r="Y3536">
        <v>1</v>
      </c>
      <c r="Z3536">
        <v>4</v>
      </c>
      <c r="AA3536">
        <v>1</v>
      </c>
      <c r="AB3536">
        <v>0.2</v>
      </c>
      <c r="AC3536" t="s">
        <v>61</v>
      </c>
      <c r="AD3536" t="s">
        <v>175</v>
      </c>
      <c r="AE3536" t="s">
        <v>62</v>
      </c>
      <c r="AF3536" t="s">
        <v>62</v>
      </c>
      <c r="AG3536">
        <v>0</v>
      </c>
      <c r="AH3536">
        <v>0</v>
      </c>
      <c r="AI3536">
        <v>3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3</v>
      </c>
      <c r="AT3536">
        <v>0</v>
      </c>
      <c r="AU3536">
        <v>3</v>
      </c>
      <c r="AV3536">
        <v>1</v>
      </c>
      <c r="AW3536">
        <v>5</v>
      </c>
      <c r="AX3536">
        <v>3</v>
      </c>
      <c r="AY3536">
        <v>1</v>
      </c>
      <c r="AZ3536">
        <v>0</v>
      </c>
      <c r="BA3536" t="s">
        <v>19790</v>
      </c>
      <c r="BB3536" t="s">
        <v>193</v>
      </c>
      <c r="BC3536">
        <v>0.74199999999999999</v>
      </c>
      <c r="BD3536" t="s">
        <v>65</v>
      </c>
      <c r="BE3536">
        <v>6</v>
      </c>
      <c r="BF3536">
        <v>3</v>
      </c>
      <c r="BG3536" t="s">
        <v>19791</v>
      </c>
      <c r="BH3536" t="s">
        <v>19792</v>
      </c>
      <c r="BI3536" t="s">
        <v>19793</v>
      </c>
      <c r="BJ3536">
        <v>0.10786999999999999</v>
      </c>
      <c r="BK3536">
        <v>1</v>
      </c>
      <c r="BL3536" t="s">
        <v>69</v>
      </c>
      <c r="BM3536">
        <v>-0.70199999999999996</v>
      </c>
      <c r="BN3536">
        <v>0.71599999999999997</v>
      </c>
    </row>
    <row r="3537" spans="10:66">
      <c r="J3537">
        <v>0</v>
      </c>
      <c r="K3537">
        <v>0</v>
      </c>
      <c r="L3537">
        <v>0</v>
      </c>
      <c r="M3537" t="s">
        <v>25021</v>
      </c>
      <c r="N3537">
        <v>3406</v>
      </c>
      <c r="O3537" t="s">
        <v>19927</v>
      </c>
      <c r="P3537" t="s">
        <v>57</v>
      </c>
      <c r="Q3537">
        <v>3372569</v>
      </c>
      <c r="R3537">
        <v>3372712</v>
      </c>
      <c r="S3537" t="s">
        <v>116</v>
      </c>
      <c r="T3537">
        <v>48</v>
      </c>
      <c r="U3537" t="s">
        <v>96</v>
      </c>
      <c r="V3537">
        <v>48</v>
      </c>
      <c r="W3537" t="str">
        <f>HYPERLINK("Gene3406-zp_tree_all.dnd", "Gene3406-tree")</f>
        <v>Gene3406-tree</v>
      </c>
      <c r="X3537">
        <v>5</v>
      </c>
      <c r="Y3537">
        <v>2</v>
      </c>
      <c r="Z3537">
        <v>5</v>
      </c>
      <c r="AA3537">
        <v>2</v>
      </c>
      <c r="AB3537">
        <v>0.28571000000000002</v>
      </c>
      <c r="AC3537" t="s">
        <v>199</v>
      </c>
      <c r="AD3537" t="s">
        <v>81</v>
      </c>
      <c r="AE3537" t="s">
        <v>62</v>
      </c>
      <c r="AF3537" t="s">
        <v>62</v>
      </c>
      <c r="AG3537">
        <v>0</v>
      </c>
      <c r="AH3537">
        <v>0</v>
      </c>
      <c r="AI3537">
        <v>2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2</v>
      </c>
      <c r="AT3537">
        <v>0</v>
      </c>
      <c r="AU3537">
        <v>4</v>
      </c>
      <c r="AV3537">
        <v>2</v>
      </c>
      <c r="AW3537">
        <v>2</v>
      </c>
      <c r="AX3537">
        <v>3</v>
      </c>
      <c r="AY3537">
        <v>4</v>
      </c>
      <c r="AZ3537">
        <v>0</v>
      </c>
      <c r="BA3537" t="s">
        <v>19928</v>
      </c>
      <c r="BB3537" t="s">
        <v>193</v>
      </c>
      <c r="BC3537">
        <v>0.89900000000000002</v>
      </c>
      <c r="BD3537" t="s">
        <v>65</v>
      </c>
      <c r="BE3537">
        <v>6</v>
      </c>
      <c r="BF3537">
        <v>3</v>
      </c>
      <c r="BG3537" t="s">
        <v>19929</v>
      </c>
      <c r="BH3537" t="s">
        <v>19930</v>
      </c>
      <c r="BI3537" t="s">
        <v>19931</v>
      </c>
      <c r="BJ3537">
        <v>9.0670000000000001E-2</v>
      </c>
      <c r="BK3537">
        <v>1</v>
      </c>
      <c r="BL3537" t="s">
        <v>69</v>
      </c>
      <c r="BM3537">
        <v>-1.0089999999999999</v>
      </c>
      <c r="BN3537">
        <v>-0.112</v>
      </c>
    </row>
    <row r="3538" spans="10:66">
      <c r="J3538">
        <v>0</v>
      </c>
      <c r="K3538">
        <v>0</v>
      </c>
      <c r="L3538">
        <v>0</v>
      </c>
      <c r="M3538" t="s">
        <v>25021</v>
      </c>
      <c r="N3538">
        <v>3408</v>
      </c>
      <c r="O3538" t="s">
        <v>19939</v>
      </c>
      <c r="P3538" t="s">
        <v>57</v>
      </c>
      <c r="Q3538">
        <v>3373743</v>
      </c>
      <c r="R3538">
        <v>3373985</v>
      </c>
      <c r="S3538" t="s">
        <v>116</v>
      </c>
      <c r="T3538">
        <v>81</v>
      </c>
      <c r="U3538" t="s">
        <v>59</v>
      </c>
      <c r="V3538">
        <v>49</v>
      </c>
      <c r="W3538" t="str">
        <f>HYPERLINK("Gene3408-zp_tree_all.dnd", "Gene3408-tree")</f>
        <v>Gene3408-tree</v>
      </c>
      <c r="X3538">
        <v>5</v>
      </c>
      <c r="Y3538">
        <v>3</v>
      </c>
      <c r="Z3538">
        <v>5</v>
      </c>
      <c r="AA3538">
        <v>3</v>
      </c>
      <c r="AB3538">
        <v>0.375</v>
      </c>
      <c r="AC3538" t="s">
        <v>199</v>
      </c>
      <c r="AD3538" t="s">
        <v>324</v>
      </c>
      <c r="AE3538" t="s">
        <v>62</v>
      </c>
      <c r="AF3538" t="s">
        <v>62</v>
      </c>
      <c r="AG3538">
        <v>0</v>
      </c>
      <c r="AH3538">
        <v>0</v>
      </c>
      <c r="AI3538">
        <v>4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3</v>
      </c>
      <c r="AT3538">
        <v>0</v>
      </c>
      <c r="AU3538">
        <v>6</v>
      </c>
      <c r="AV3538">
        <v>2</v>
      </c>
      <c r="AW3538">
        <v>8</v>
      </c>
      <c r="AX3538">
        <v>3</v>
      </c>
      <c r="AY3538">
        <v>4</v>
      </c>
      <c r="AZ3538">
        <v>1</v>
      </c>
      <c r="BA3538" t="s">
        <v>19940</v>
      </c>
      <c r="BB3538" t="s">
        <v>19941</v>
      </c>
      <c r="BC3538">
        <v>0.42799999999999999</v>
      </c>
      <c r="BD3538" t="s">
        <v>65</v>
      </c>
      <c r="BE3538">
        <v>12</v>
      </c>
      <c r="BF3538">
        <v>4</v>
      </c>
      <c r="BG3538" t="s">
        <v>19942</v>
      </c>
      <c r="BH3538" t="s">
        <v>19943</v>
      </c>
      <c r="BI3538" t="s">
        <v>19944</v>
      </c>
      <c r="BJ3538">
        <v>7.8759999999999997E-2</v>
      </c>
      <c r="BK3538">
        <v>1</v>
      </c>
      <c r="BL3538" t="s">
        <v>69</v>
      </c>
      <c r="BM3538">
        <v>-1.141</v>
      </c>
      <c r="BN3538">
        <v>-1.0269999999999999</v>
      </c>
    </row>
    <row r="3539" spans="10:66">
      <c r="J3539">
        <v>0</v>
      </c>
      <c r="K3539">
        <v>0</v>
      </c>
      <c r="L3539">
        <v>2</v>
      </c>
      <c r="M3539" t="s">
        <v>25021</v>
      </c>
      <c r="N3539">
        <v>3409</v>
      </c>
      <c r="O3539" t="s">
        <v>19945</v>
      </c>
      <c r="P3539" t="s">
        <v>57</v>
      </c>
      <c r="Q3539">
        <v>3374001</v>
      </c>
      <c r="R3539">
        <v>3374330</v>
      </c>
      <c r="S3539" t="s">
        <v>19946</v>
      </c>
      <c r="T3539">
        <v>110</v>
      </c>
      <c r="U3539" t="s">
        <v>59</v>
      </c>
      <c r="V3539">
        <v>49</v>
      </c>
      <c r="W3539" t="str">
        <f>HYPERLINK("Gene3409-zp_tree_all.dnd", "Gene3409-tree")</f>
        <v>Gene3409-tree</v>
      </c>
      <c r="X3539">
        <v>11</v>
      </c>
      <c r="Y3539">
        <v>1</v>
      </c>
      <c r="Z3539">
        <v>11</v>
      </c>
      <c r="AA3539">
        <v>1</v>
      </c>
      <c r="AB3539">
        <v>8.3330000000000001E-2</v>
      </c>
      <c r="AC3539" t="s">
        <v>73</v>
      </c>
      <c r="AD3539" t="s">
        <v>175</v>
      </c>
      <c r="AE3539" t="s">
        <v>62</v>
      </c>
      <c r="AF3539" t="s">
        <v>62</v>
      </c>
      <c r="AG3539">
        <v>1</v>
      </c>
      <c r="AH3539">
        <v>2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8</v>
      </c>
      <c r="AV3539">
        <v>6</v>
      </c>
      <c r="AW3539">
        <v>15</v>
      </c>
      <c r="AX3539">
        <v>1</v>
      </c>
      <c r="AY3539">
        <v>16</v>
      </c>
      <c r="AZ3539">
        <v>1</v>
      </c>
      <c r="BA3539" t="s">
        <v>19947</v>
      </c>
      <c r="BB3539" t="s">
        <v>19948</v>
      </c>
      <c r="BC3539">
        <v>2.5000000000000001E-2</v>
      </c>
      <c r="BD3539" t="s">
        <v>65</v>
      </c>
      <c r="BE3539">
        <v>31</v>
      </c>
      <c r="BF3539">
        <v>2</v>
      </c>
      <c r="BG3539" t="s">
        <v>19949</v>
      </c>
      <c r="BH3539" t="s">
        <v>19950</v>
      </c>
      <c r="BI3539" t="s">
        <v>19951</v>
      </c>
      <c r="BJ3539">
        <v>1.2200000000000001E-2</v>
      </c>
      <c r="BK3539">
        <v>1</v>
      </c>
      <c r="BL3539" t="s">
        <v>69</v>
      </c>
      <c r="BM3539">
        <v>-0.81100000000000005</v>
      </c>
      <c r="BN3539">
        <v>0.223</v>
      </c>
    </row>
    <row r="3540" spans="10:66">
      <c r="J3540">
        <v>0</v>
      </c>
      <c r="K3540">
        <v>2</v>
      </c>
      <c r="L3540">
        <v>0</v>
      </c>
      <c r="M3540" t="s">
        <v>25021</v>
      </c>
      <c r="N3540">
        <v>3410</v>
      </c>
      <c r="O3540" t="s">
        <v>19952</v>
      </c>
      <c r="P3540" t="s">
        <v>57</v>
      </c>
      <c r="Q3540">
        <v>3374492</v>
      </c>
      <c r="R3540">
        <v>3374956</v>
      </c>
      <c r="S3540" t="s">
        <v>19953</v>
      </c>
      <c r="T3540">
        <v>155</v>
      </c>
      <c r="U3540" t="s">
        <v>19954</v>
      </c>
      <c r="V3540">
        <v>40</v>
      </c>
      <c r="W3540" t="str">
        <f>HYPERLINK("Gene3410-zp_tree_all.dnd", "Gene3410-tree")</f>
        <v>Gene3410-tree</v>
      </c>
      <c r="X3540">
        <v>6</v>
      </c>
      <c r="Y3540">
        <v>3</v>
      </c>
      <c r="Z3540">
        <v>6</v>
      </c>
      <c r="AA3540">
        <v>3</v>
      </c>
      <c r="AB3540">
        <v>0.33333000000000002</v>
      </c>
      <c r="AC3540" t="s">
        <v>90</v>
      </c>
      <c r="AD3540" t="s">
        <v>324</v>
      </c>
      <c r="AE3540" t="s">
        <v>62</v>
      </c>
      <c r="AF3540" t="s">
        <v>62</v>
      </c>
      <c r="AG3540">
        <v>1</v>
      </c>
      <c r="AH3540">
        <v>2</v>
      </c>
      <c r="AI3540">
        <v>4</v>
      </c>
      <c r="AJ3540">
        <v>0.33333000000000002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4</v>
      </c>
      <c r="AT3540">
        <v>0</v>
      </c>
      <c r="AU3540">
        <v>7</v>
      </c>
      <c r="AV3540">
        <v>5</v>
      </c>
      <c r="AW3540">
        <v>24</v>
      </c>
      <c r="AX3540">
        <v>5</v>
      </c>
      <c r="AY3540">
        <v>4</v>
      </c>
      <c r="AZ3540">
        <v>2</v>
      </c>
      <c r="BA3540" t="s">
        <v>19955</v>
      </c>
      <c r="BB3540" t="s">
        <v>19956</v>
      </c>
      <c r="BC3540">
        <v>0.5</v>
      </c>
      <c r="BD3540" t="s">
        <v>65</v>
      </c>
      <c r="BE3540">
        <v>28</v>
      </c>
      <c r="BF3540">
        <v>7</v>
      </c>
      <c r="BG3540" t="s">
        <v>19957</v>
      </c>
      <c r="BH3540" t="s">
        <v>19958</v>
      </c>
      <c r="BI3540" t="s">
        <v>19959</v>
      </c>
      <c r="BJ3540">
        <v>6.2129999999999998E-2</v>
      </c>
      <c r="BK3540">
        <v>1</v>
      </c>
      <c r="BL3540" t="s">
        <v>69</v>
      </c>
      <c r="BM3540">
        <v>-1.0549999999999999</v>
      </c>
      <c r="BN3540">
        <v>-2.4220000000000002</v>
      </c>
    </row>
    <row r="3541" spans="10:66">
      <c r="J3541">
        <v>0</v>
      </c>
      <c r="K3541">
        <v>5</v>
      </c>
      <c r="L3541">
        <v>0</v>
      </c>
      <c r="M3541" t="s">
        <v>25021</v>
      </c>
      <c r="N3541">
        <v>3411</v>
      </c>
      <c r="O3541" t="s">
        <v>19960</v>
      </c>
      <c r="P3541" t="s">
        <v>57</v>
      </c>
      <c r="Q3541">
        <v>3374956</v>
      </c>
      <c r="R3541">
        <v>3376578</v>
      </c>
      <c r="S3541" t="s">
        <v>2100</v>
      </c>
      <c r="T3541">
        <v>541</v>
      </c>
      <c r="U3541" t="s">
        <v>1392</v>
      </c>
      <c r="V3541">
        <v>43</v>
      </c>
      <c r="W3541" t="str">
        <f>HYPERLINK("Gene3411-zp_tree_all.dnd", "Gene3411-tree")</f>
        <v>Gene3411-tree</v>
      </c>
      <c r="X3541">
        <v>6</v>
      </c>
      <c r="Y3541">
        <v>6</v>
      </c>
      <c r="Z3541">
        <v>6</v>
      </c>
      <c r="AA3541">
        <v>6</v>
      </c>
      <c r="AB3541">
        <v>0.5</v>
      </c>
      <c r="AC3541" t="s">
        <v>90</v>
      </c>
      <c r="AD3541" t="s">
        <v>90</v>
      </c>
      <c r="AE3541" t="s">
        <v>62</v>
      </c>
      <c r="AF3541" t="s">
        <v>62</v>
      </c>
      <c r="AG3541">
        <v>2</v>
      </c>
      <c r="AH3541">
        <v>5</v>
      </c>
      <c r="AI3541">
        <v>6</v>
      </c>
      <c r="AJ3541">
        <v>0.45455000000000001</v>
      </c>
      <c r="AK3541">
        <v>0</v>
      </c>
      <c r="AL3541">
        <v>0</v>
      </c>
      <c r="AM3541">
        <v>0</v>
      </c>
      <c r="AN3541">
        <v>1</v>
      </c>
      <c r="AO3541">
        <v>0</v>
      </c>
      <c r="AP3541">
        <v>2</v>
      </c>
      <c r="AQ3541">
        <v>0</v>
      </c>
      <c r="AR3541">
        <v>2</v>
      </c>
      <c r="AS3541">
        <v>7</v>
      </c>
      <c r="AT3541">
        <v>0.22222</v>
      </c>
      <c r="AU3541">
        <v>10</v>
      </c>
      <c r="AV3541">
        <v>7</v>
      </c>
      <c r="AW3541">
        <v>46</v>
      </c>
      <c r="AX3541">
        <v>9</v>
      </c>
      <c r="AY3541">
        <v>16</v>
      </c>
      <c r="AZ3541">
        <v>2</v>
      </c>
      <c r="BA3541" t="s">
        <v>19961</v>
      </c>
      <c r="BB3541" t="s">
        <v>19962</v>
      </c>
      <c r="BC3541">
        <v>0.40899999999999997</v>
      </c>
      <c r="BD3541" t="s">
        <v>65</v>
      </c>
      <c r="BE3541">
        <v>62</v>
      </c>
      <c r="BF3541">
        <v>11</v>
      </c>
      <c r="BG3541" t="s">
        <v>19963</v>
      </c>
      <c r="BH3541" t="s">
        <v>19964</v>
      </c>
      <c r="BI3541" t="s">
        <v>19965</v>
      </c>
      <c r="BJ3541">
        <v>5.083E-2</v>
      </c>
      <c r="BK3541">
        <v>1</v>
      </c>
      <c r="BL3541" t="s">
        <v>69</v>
      </c>
      <c r="BM3541">
        <v>-0.81899999999999995</v>
      </c>
      <c r="BN3541">
        <v>-0.47099999999999997</v>
      </c>
    </row>
    <row r="3542" spans="10:66">
      <c r="J3542">
        <v>0</v>
      </c>
      <c r="K3542">
        <v>0</v>
      </c>
      <c r="L3542">
        <v>0</v>
      </c>
      <c r="M3542" t="s">
        <v>25021</v>
      </c>
      <c r="N3542">
        <v>3415</v>
      </c>
      <c r="O3542" t="s">
        <v>19986</v>
      </c>
      <c r="P3542" t="s">
        <v>57</v>
      </c>
      <c r="Q3542">
        <v>3377893</v>
      </c>
      <c r="R3542">
        <v>3378777</v>
      </c>
      <c r="S3542" t="s">
        <v>19987</v>
      </c>
      <c r="T3542">
        <v>295</v>
      </c>
      <c r="U3542" t="s">
        <v>108</v>
      </c>
      <c r="V3542">
        <v>44</v>
      </c>
      <c r="W3542" t="str">
        <f>HYPERLINK("Gene3415-zp_tree_all.dnd", "Gene3415-tree")</f>
        <v>Gene3415-tree</v>
      </c>
      <c r="X3542">
        <v>6</v>
      </c>
      <c r="Y3542">
        <v>7</v>
      </c>
      <c r="Z3542">
        <v>6</v>
      </c>
      <c r="AA3542">
        <v>7</v>
      </c>
      <c r="AB3542">
        <v>0.53846000000000005</v>
      </c>
      <c r="AC3542" t="s">
        <v>90</v>
      </c>
      <c r="AD3542" t="s">
        <v>152</v>
      </c>
      <c r="AE3542" t="s">
        <v>62</v>
      </c>
      <c r="AF3542" t="s">
        <v>62</v>
      </c>
      <c r="AG3542">
        <v>0</v>
      </c>
      <c r="AH3542">
        <v>0</v>
      </c>
      <c r="AI3542">
        <v>13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12</v>
      </c>
      <c r="AT3542">
        <v>0</v>
      </c>
      <c r="AU3542">
        <v>11</v>
      </c>
      <c r="AV3542">
        <v>10</v>
      </c>
      <c r="AW3542">
        <v>35</v>
      </c>
      <c r="AX3542">
        <v>9</v>
      </c>
      <c r="AY3542">
        <v>28</v>
      </c>
      <c r="AZ3542">
        <v>4</v>
      </c>
      <c r="BA3542" t="s">
        <v>19988</v>
      </c>
      <c r="BB3542" t="s">
        <v>19989</v>
      </c>
      <c r="BC3542">
        <v>0.40400000000000003</v>
      </c>
      <c r="BD3542" t="s">
        <v>65</v>
      </c>
      <c r="BE3542">
        <v>63</v>
      </c>
      <c r="BF3542">
        <v>13</v>
      </c>
      <c r="BG3542" t="s">
        <v>19990</v>
      </c>
      <c r="BH3542" t="s">
        <v>19991</v>
      </c>
      <c r="BI3542" t="s">
        <v>19992</v>
      </c>
      <c r="BJ3542">
        <v>6.2670000000000003E-2</v>
      </c>
      <c r="BK3542">
        <v>1</v>
      </c>
      <c r="BL3542" t="s">
        <v>69</v>
      </c>
      <c r="BM3542">
        <v>-0.28499999999999998</v>
      </c>
      <c r="BN3542">
        <v>-0.75900000000000001</v>
      </c>
    </row>
    <row r="3543" spans="10:66">
      <c r="J3543">
        <v>0</v>
      </c>
      <c r="K3543">
        <v>8</v>
      </c>
      <c r="L3543">
        <v>0</v>
      </c>
      <c r="M3543" t="s">
        <v>25021</v>
      </c>
      <c r="N3543">
        <v>3421</v>
      </c>
      <c r="O3543" t="s">
        <v>20014</v>
      </c>
      <c r="P3543" t="s">
        <v>57</v>
      </c>
      <c r="Q3543">
        <v>3382633</v>
      </c>
      <c r="R3543">
        <v>3383472</v>
      </c>
      <c r="S3543" t="s">
        <v>20015</v>
      </c>
      <c r="T3543">
        <v>280</v>
      </c>
      <c r="U3543" t="s">
        <v>2078</v>
      </c>
      <c r="V3543">
        <v>36</v>
      </c>
      <c r="W3543" t="str">
        <f>HYPERLINK("Gene3421-zp_tree_all.dnd", "Gene3421-tree")</f>
        <v>Gene3421-tree</v>
      </c>
      <c r="X3543">
        <v>6</v>
      </c>
      <c r="Y3543">
        <v>5</v>
      </c>
      <c r="Z3543">
        <v>6</v>
      </c>
      <c r="AA3543">
        <v>5</v>
      </c>
      <c r="AB3543">
        <v>0.45455000000000001</v>
      </c>
      <c r="AC3543" t="s">
        <v>90</v>
      </c>
      <c r="AD3543" t="s">
        <v>199</v>
      </c>
      <c r="AE3543" t="s">
        <v>62</v>
      </c>
      <c r="AF3543" t="s">
        <v>62</v>
      </c>
      <c r="AG3543">
        <v>3</v>
      </c>
      <c r="AH3543">
        <v>8</v>
      </c>
      <c r="AI3543">
        <v>9</v>
      </c>
      <c r="AJ3543">
        <v>0.47059000000000001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2</v>
      </c>
      <c r="AQ3543">
        <v>2</v>
      </c>
      <c r="AR3543">
        <v>4</v>
      </c>
      <c r="AS3543">
        <v>8</v>
      </c>
      <c r="AT3543">
        <v>0.33333000000000002</v>
      </c>
      <c r="AU3543">
        <v>10</v>
      </c>
      <c r="AV3543">
        <v>8</v>
      </c>
      <c r="AW3543">
        <v>25</v>
      </c>
      <c r="AX3543">
        <v>12</v>
      </c>
      <c r="AY3543">
        <v>18</v>
      </c>
      <c r="AZ3543">
        <v>5</v>
      </c>
      <c r="BA3543" t="s">
        <v>20016</v>
      </c>
      <c r="BB3543" t="s">
        <v>20017</v>
      </c>
      <c r="BC3543">
        <v>0.58599999999999997</v>
      </c>
      <c r="BD3543" t="s">
        <v>65</v>
      </c>
      <c r="BE3543">
        <v>43</v>
      </c>
      <c r="BF3543">
        <v>17</v>
      </c>
      <c r="BG3543" t="s">
        <v>20018</v>
      </c>
      <c r="BH3543" t="s">
        <v>20019</v>
      </c>
      <c r="BI3543" t="s">
        <v>20020</v>
      </c>
      <c r="BJ3543">
        <v>0.11408</v>
      </c>
      <c r="BK3543">
        <v>1</v>
      </c>
      <c r="BL3543" t="s">
        <v>69</v>
      </c>
      <c r="BM3543">
        <v>-0.39800000000000002</v>
      </c>
      <c r="BN3543">
        <v>-0.98899999999999999</v>
      </c>
    </row>
    <row r="3544" spans="10:66">
      <c r="J3544">
        <v>0</v>
      </c>
      <c r="K3544">
        <v>0</v>
      </c>
      <c r="L3544">
        <v>0</v>
      </c>
      <c r="M3544" t="s">
        <v>25021</v>
      </c>
      <c r="N3544">
        <v>3422</v>
      </c>
      <c r="O3544" t="s">
        <v>20021</v>
      </c>
      <c r="P3544" t="s">
        <v>57</v>
      </c>
      <c r="Q3544">
        <v>3383565</v>
      </c>
      <c r="R3544">
        <v>3384023</v>
      </c>
      <c r="S3544" t="s">
        <v>20022</v>
      </c>
      <c r="T3544">
        <v>153</v>
      </c>
      <c r="U3544" t="s">
        <v>59</v>
      </c>
      <c r="V3544">
        <v>49</v>
      </c>
      <c r="W3544" t="str">
        <f>HYPERLINK("Gene3422-zp_tree_all.dnd", "Gene3422-tree")</f>
        <v>Gene3422-tree</v>
      </c>
      <c r="X3544">
        <v>11</v>
      </c>
      <c r="Y3544">
        <v>4</v>
      </c>
      <c r="Z3544">
        <v>11</v>
      </c>
      <c r="AA3544">
        <v>4</v>
      </c>
      <c r="AB3544">
        <v>0.26667000000000002</v>
      </c>
      <c r="AC3544" t="s">
        <v>73</v>
      </c>
      <c r="AD3544" t="s">
        <v>61</v>
      </c>
      <c r="AE3544" t="s">
        <v>62</v>
      </c>
      <c r="AF3544" t="s">
        <v>62</v>
      </c>
      <c r="AG3544">
        <v>0</v>
      </c>
      <c r="AH3544">
        <v>0</v>
      </c>
      <c r="AI3544">
        <v>9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5</v>
      </c>
      <c r="AT3544">
        <v>0</v>
      </c>
      <c r="AU3544">
        <v>12</v>
      </c>
      <c r="AV3544">
        <v>8</v>
      </c>
      <c r="AW3544">
        <v>15</v>
      </c>
      <c r="AX3544">
        <v>5</v>
      </c>
      <c r="AY3544">
        <v>22</v>
      </c>
      <c r="AZ3544">
        <v>4</v>
      </c>
      <c r="BA3544" t="s">
        <v>20023</v>
      </c>
      <c r="BB3544" t="s">
        <v>20024</v>
      </c>
      <c r="BC3544">
        <v>0.33900000000000002</v>
      </c>
      <c r="BD3544" t="s">
        <v>65</v>
      </c>
      <c r="BE3544">
        <v>37</v>
      </c>
      <c r="BF3544">
        <v>9</v>
      </c>
      <c r="BG3544" t="s">
        <v>20025</v>
      </c>
      <c r="BH3544" t="s">
        <v>20026</v>
      </c>
      <c r="BI3544" t="s">
        <v>20027</v>
      </c>
      <c r="BJ3544">
        <v>7.2720000000000007E-2</v>
      </c>
      <c r="BK3544">
        <v>1</v>
      </c>
      <c r="BL3544" t="s">
        <v>69</v>
      </c>
      <c r="BM3544">
        <v>-1.427</v>
      </c>
      <c r="BN3544">
        <v>-0.879</v>
      </c>
    </row>
    <row r="3545" spans="10:66">
      <c r="J3545">
        <v>0</v>
      </c>
      <c r="K3545">
        <v>0</v>
      </c>
      <c r="L3545">
        <v>0</v>
      </c>
      <c r="M3545" t="s">
        <v>25021</v>
      </c>
      <c r="N3545">
        <v>3424</v>
      </c>
      <c r="O3545" t="s">
        <v>20035</v>
      </c>
      <c r="P3545" t="s">
        <v>57</v>
      </c>
      <c r="Q3545">
        <v>3385724</v>
      </c>
      <c r="R3545">
        <v>3386398</v>
      </c>
      <c r="S3545" t="s">
        <v>20036</v>
      </c>
      <c r="T3545">
        <v>225</v>
      </c>
      <c r="U3545" t="s">
        <v>214</v>
      </c>
      <c r="V3545">
        <v>48</v>
      </c>
      <c r="W3545" t="str">
        <f>HYPERLINK("Gene3424-zp_tree_all.dnd", "Gene3424-tree")</f>
        <v>Gene3424-tree</v>
      </c>
      <c r="X3545">
        <v>14</v>
      </c>
      <c r="Y3545">
        <v>2</v>
      </c>
      <c r="Z3545">
        <v>14</v>
      </c>
      <c r="AA3545">
        <v>2</v>
      </c>
      <c r="AB3545">
        <v>0.125</v>
      </c>
      <c r="AC3545" t="s">
        <v>543</v>
      </c>
      <c r="AD3545" t="s">
        <v>81</v>
      </c>
      <c r="AE3545" t="s">
        <v>62</v>
      </c>
      <c r="AF3545" t="s">
        <v>62</v>
      </c>
      <c r="AG3545">
        <v>0</v>
      </c>
      <c r="AH3545">
        <v>0</v>
      </c>
      <c r="AI3545">
        <v>5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2</v>
      </c>
      <c r="AT3545">
        <v>0</v>
      </c>
      <c r="AU3545">
        <v>12</v>
      </c>
      <c r="AV3545">
        <v>7</v>
      </c>
      <c r="AW3545">
        <v>39</v>
      </c>
      <c r="AX3545">
        <v>2</v>
      </c>
      <c r="AY3545">
        <v>28</v>
      </c>
      <c r="AZ3545">
        <v>3</v>
      </c>
      <c r="BA3545" t="s">
        <v>20037</v>
      </c>
      <c r="BB3545" t="s">
        <v>20038</v>
      </c>
      <c r="BC3545">
        <v>0.26</v>
      </c>
      <c r="BD3545" t="s">
        <v>65</v>
      </c>
      <c r="BE3545">
        <v>67</v>
      </c>
      <c r="BF3545">
        <v>5</v>
      </c>
      <c r="BG3545" t="s">
        <v>20039</v>
      </c>
      <c r="BH3545" t="s">
        <v>20040</v>
      </c>
      <c r="BI3545" t="s">
        <v>20041</v>
      </c>
      <c r="BJ3545">
        <v>2.2429999999999999E-2</v>
      </c>
      <c r="BK3545">
        <v>1</v>
      </c>
      <c r="BL3545" t="s">
        <v>69</v>
      </c>
      <c r="BM3545">
        <v>-1.391</v>
      </c>
      <c r="BN3545">
        <v>-1.96</v>
      </c>
    </row>
    <row r="3546" spans="10:66">
      <c r="J3546">
        <v>0</v>
      </c>
      <c r="K3546">
        <v>0</v>
      </c>
      <c r="L3546">
        <v>0</v>
      </c>
      <c r="M3546" t="s">
        <v>25021</v>
      </c>
      <c r="N3546">
        <v>3425</v>
      </c>
      <c r="O3546" t="s">
        <v>20042</v>
      </c>
      <c r="P3546" t="s">
        <v>57</v>
      </c>
      <c r="Q3546">
        <v>3386398</v>
      </c>
      <c r="R3546">
        <v>3387750</v>
      </c>
      <c r="S3546" t="s">
        <v>20043</v>
      </c>
      <c r="T3546">
        <v>451</v>
      </c>
      <c r="U3546" t="s">
        <v>108</v>
      </c>
      <c r="V3546">
        <v>44</v>
      </c>
      <c r="W3546" t="str">
        <f>HYPERLINK("Gene3425-zp_tree_all.dnd", "Gene3425-tree")</f>
        <v>Gene3425-tree</v>
      </c>
      <c r="X3546">
        <v>11</v>
      </c>
      <c r="Y3546">
        <v>3</v>
      </c>
      <c r="Z3546">
        <v>11</v>
      </c>
      <c r="AA3546">
        <v>3</v>
      </c>
      <c r="AB3546">
        <v>0.21429000000000001</v>
      </c>
      <c r="AC3546" t="s">
        <v>73</v>
      </c>
      <c r="AD3546" t="s">
        <v>324</v>
      </c>
      <c r="AE3546" t="s">
        <v>62</v>
      </c>
      <c r="AF3546" t="s">
        <v>62</v>
      </c>
      <c r="AG3546">
        <v>0</v>
      </c>
      <c r="AH3546">
        <v>0</v>
      </c>
      <c r="AI3546">
        <v>4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4</v>
      </c>
      <c r="AT3546">
        <v>0</v>
      </c>
      <c r="AU3546">
        <v>11</v>
      </c>
      <c r="AV3546">
        <v>6</v>
      </c>
      <c r="AW3546">
        <v>35</v>
      </c>
      <c r="AX3546">
        <v>4</v>
      </c>
      <c r="AY3546">
        <v>13</v>
      </c>
      <c r="AZ3546">
        <v>0</v>
      </c>
      <c r="BA3546" t="s">
        <v>20044</v>
      </c>
      <c r="BB3546" t="s">
        <v>193</v>
      </c>
      <c r="BC3546">
        <v>0.91800000000000004</v>
      </c>
      <c r="BD3546" t="s">
        <v>65</v>
      </c>
      <c r="BE3546">
        <v>48</v>
      </c>
      <c r="BF3546">
        <v>4</v>
      </c>
      <c r="BG3546" t="s">
        <v>20045</v>
      </c>
      <c r="BH3546" t="s">
        <v>20046</v>
      </c>
      <c r="BI3546" t="s">
        <v>20047</v>
      </c>
      <c r="BJ3546">
        <v>1.848E-2</v>
      </c>
      <c r="BK3546">
        <v>1</v>
      </c>
      <c r="BL3546" t="s">
        <v>69</v>
      </c>
      <c r="BM3546">
        <v>-1.611</v>
      </c>
      <c r="BN3546">
        <v>-1.629</v>
      </c>
    </row>
    <row r="3547" spans="10:66">
      <c r="J3547">
        <v>0</v>
      </c>
      <c r="K3547">
        <v>0</v>
      </c>
      <c r="L3547">
        <v>0</v>
      </c>
      <c r="M3547" t="s">
        <v>25021</v>
      </c>
      <c r="N3547">
        <v>3427</v>
      </c>
      <c r="O3547" t="s">
        <v>20052</v>
      </c>
      <c r="P3547" t="s">
        <v>57</v>
      </c>
      <c r="Q3547">
        <v>3388113</v>
      </c>
      <c r="R3547">
        <v>3388985</v>
      </c>
      <c r="S3547" t="s">
        <v>637</v>
      </c>
      <c r="T3547">
        <v>291</v>
      </c>
      <c r="U3547" t="s">
        <v>59</v>
      </c>
      <c r="V3547">
        <v>49</v>
      </c>
      <c r="W3547" t="str">
        <f>HYPERLINK("Gene3427-zp_tree_all.dnd", "Gene3427-tree")</f>
        <v>Gene3427-tree</v>
      </c>
      <c r="X3547">
        <v>13</v>
      </c>
      <c r="Y3547">
        <v>6</v>
      </c>
      <c r="Z3547">
        <v>13</v>
      </c>
      <c r="AA3547">
        <v>6</v>
      </c>
      <c r="AB3547">
        <v>0.31579000000000002</v>
      </c>
      <c r="AC3547" t="s">
        <v>507</v>
      </c>
      <c r="AD3547" t="s">
        <v>90</v>
      </c>
      <c r="AE3547" t="s">
        <v>62</v>
      </c>
      <c r="AF3547" t="s">
        <v>62</v>
      </c>
      <c r="AG3547">
        <v>0</v>
      </c>
      <c r="AH3547">
        <v>0</v>
      </c>
      <c r="AI3547">
        <v>16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0</v>
      </c>
      <c r="AR3547">
        <v>0</v>
      </c>
      <c r="AS3547">
        <v>8</v>
      </c>
      <c r="AT3547">
        <v>0</v>
      </c>
      <c r="AU3547">
        <v>14</v>
      </c>
      <c r="AV3547">
        <v>12</v>
      </c>
      <c r="AW3547">
        <v>29</v>
      </c>
      <c r="AX3547">
        <v>8</v>
      </c>
      <c r="AY3547">
        <v>40</v>
      </c>
      <c r="AZ3547">
        <v>9</v>
      </c>
      <c r="BA3547" t="s">
        <v>20053</v>
      </c>
      <c r="BB3547" t="s">
        <v>20054</v>
      </c>
      <c r="BC3547">
        <v>0.17100000000000001</v>
      </c>
      <c r="BD3547" t="s">
        <v>65</v>
      </c>
      <c r="BE3547">
        <v>69</v>
      </c>
      <c r="BF3547">
        <v>17</v>
      </c>
      <c r="BG3547" t="s">
        <v>20055</v>
      </c>
      <c r="BH3547" t="s">
        <v>20056</v>
      </c>
      <c r="BI3547" t="s">
        <v>20057</v>
      </c>
      <c r="BJ3547">
        <v>7.0980000000000001E-2</v>
      </c>
      <c r="BK3547">
        <v>1</v>
      </c>
      <c r="BL3547" t="s">
        <v>69</v>
      </c>
      <c r="BM3547">
        <v>-1.276</v>
      </c>
      <c r="BN3547">
        <v>-0.50700000000000001</v>
      </c>
    </row>
    <row r="3548" spans="10:66">
      <c r="J3548">
        <v>0</v>
      </c>
      <c r="K3548">
        <v>5</v>
      </c>
      <c r="L3548">
        <v>0</v>
      </c>
      <c r="M3548" t="s">
        <v>25021</v>
      </c>
      <c r="N3548">
        <v>3430</v>
      </c>
      <c r="O3548" t="s">
        <v>20070</v>
      </c>
      <c r="P3548" t="s">
        <v>57</v>
      </c>
      <c r="Q3548">
        <v>3390782</v>
      </c>
      <c r="R3548">
        <v>3392227</v>
      </c>
      <c r="S3548" t="s">
        <v>20071</v>
      </c>
      <c r="T3548">
        <v>482</v>
      </c>
      <c r="U3548" t="s">
        <v>108</v>
      </c>
      <c r="V3548">
        <v>44</v>
      </c>
      <c r="W3548" t="str">
        <f>HYPERLINK("Gene3430-zp_tree_all.dnd", "Gene3430-tree")</f>
        <v>Gene3430-tree</v>
      </c>
      <c r="X3548">
        <v>9</v>
      </c>
      <c r="Y3548">
        <v>10</v>
      </c>
      <c r="Z3548">
        <v>9</v>
      </c>
      <c r="AA3548">
        <v>8</v>
      </c>
      <c r="AB3548">
        <v>0.47059000000000001</v>
      </c>
      <c r="AC3548" t="s">
        <v>135</v>
      </c>
      <c r="AD3548" t="s">
        <v>20072</v>
      </c>
      <c r="AE3548">
        <v>0.84299999999999997</v>
      </c>
      <c r="AF3548" t="s">
        <v>65</v>
      </c>
      <c r="AG3548">
        <v>2</v>
      </c>
      <c r="AH3548">
        <v>5</v>
      </c>
      <c r="AI3548">
        <v>11</v>
      </c>
      <c r="AJ3548">
        <v>0.3125</v>
      </c>
      <c r="AK3548">
        <v>0</v>
      </c>
      <c r="AL3548">
        <v>0</v>
      </c>
      <c r="AM3548">
        <v>0</v>
      </c>
      <c r="AN3548">
        <v>1</v>
      </c>
      <c r="AO3548">
        <v>0</v>
      </c>
      <c r="AP3548">
        <v>2</v>
      </c>
      <c r="AQ3548">
        <v>0</v>
      </c>
      <c r="AR3548">
        <v>2</v>
      </c>
      <c r="AS3548">
        <v>9</v>
      </c>
      <c r="AT3548">
        <v>0.18182000000000001</v>
      </c>
      <c r="AU3548">
        <v>13</v>
      </c>
      <c r="AV3548">
        <v>12</v>
      </c>
      <c r="AW3548">
        <v>38</v>
      </c>
      <c r="AX3548">
        <v>10</v>
      </c>
      <c r="AY3548">
        <v>47</v>
      </c>
      <c r="AZ3548">
        <v>7</v>
      </c>
      <c r="BA3548" t="s">
        <v>20073</v>
      </c>
      <c r="BB3548" t="s">
        <v>20074</v>
      </c>
      <c r="BC3548">
        <v>0.47299999999999998</v>
      </c>
      <c r="BD3548" t="s">
        <v>65</v>
      </c>
      <c r="BE3548">
        <v>85</v>
      </c>
      <c r="BF3548">
        <v>17</v>
      </c>
      <c r="BG3548" t="s">
        <v>20075</v>
      </c>
      <c r="BH3548" t="s">
        <v>20076</v>
      </c>
      <c r="BI3548" t="s">
        <v>20077</v>
      </c>
      <c r="BJ3548">
        <v>6.0539999999999997E-2</v>
      </c>
      <c r="BK3548">
        <v>1</v>
      </c>
      <c r="BL3548" t="s">
        <v>69</v>
      </c>
      <c r="BM3548">
        <v>-0.34499999999999997</v>
      </c>
      <c r="BN3548">
        <v>-0.46600000000000003</v>
      </c>
    </row>
    <row r="3549" spans="10:66">
      <c r="J3549">
        <v>0</v>
      </c>
      <c r="K3549">
        <v>6</v>
      </c>
      <c r="L3549">
        <v>4</v>
      </c>
      <c r="M3549" t="s">
        <v>25021</v>
      </c>
      <c r="N3549">
        <v>3431</v>
      </c>
      <c r="O3549" t="s">
        <v>20078</v>
      </c>
      <c r="P3549" t="s">
        <v>57</v>
      </c>
      <c r="Q3549">
        <v>3392199</v>
      </c>
      <c r="R3549">
        <v>3393293</v>
      </c>
      <c r="S3549" t="s">
        <v>20079</v>
      </c>
      <c r="T3549">
        <v>365</v>
      </c>
      <c r="U3549" t="s">
        <v>108</v>
      </c>
      <c r="V3549">
        <v>44</v>
      </c>
      <c r="W3549" t="str">
        <f>HYPERLINK("Gene3431-zp_tree_all.dnd", "Gene3431-tree")</f>
        <v>Gene3431-tree</v>
      </c>
      <c r="X3549">
        <v>28</v>
      </c>
      <c r="Y3549">
        <v>7</v>
      </c>
      <c r="Z3549">
        <v>6</v>
      </c>
      <c r="AA3549">
        <v>7</v>
      </c>
      <c r="AB3549">
        <v>0.53846000000000005</v>
      </c>
      <c r="AC3549" t="s">
        <v>5497</v>
      </c>
      <c r="AD3549" t="s">
        <v>152</v>
      </c>
      <c r="AE3549" t="s">
        <v>62</v>
      </c>
      <c r="AF3549" t="s">
        <v>62</v>
      </c>
      <c r="AG3549">
        <v>4</v>
      </c>
      <c r="AH3549">
        <v>10</v>
      </c>
      <c r="AI3549">
        <v>14</v>
      </c>
      <c r="AJ3549">
        <v>0.41666999999999998</v>
      </c>
      <c r="AK3549">
        <v>0</v>
      </c>
      <c r="AL3549">
        <v>0</v>
      </c>
      <c r="AM3549">
        <v>0</v>
      </c>
      <c r="AN3549">
        <v>2</v>
      </c>
      <c r="AO3549">
        <v>0</v>
      </c>
      <c r="AP3549">
        <v>2</v>
      </c>
      <c r="AQ3549">
        <v>4</v>
      </c>
      <c r="AR3549">
        <v>6</v>
      </c>
      <c r="AS3549">
        <v>10</v>
      </c>
      <c r="AT3549">
        <v>0.375</v>
      </c>
      <c r="AU3549">
        <v>10</v>
      </c>
      <c r="AV3549">
        <v>8</v>
      </c>
      <c r="AW3549">
        <v>52</v>
      </c>
      <c r="AX3549">
        <v>15</v>
      </c>
      <c r="AY3549">
        <v>37</v>
      </c>
      <c r="AZ3549">
        <v>9</v>
      </c>
      <c r="BA3549" t="s">
        <v>20080</v>
      </c>
      <c r="BB3549" t="s">
        <v>20081</v>
      </c>
      <c r="BC3549">
        <v>7.2999999999999995E-2</v>
      </c>
      <c r="BD3549" t="s">
        <v>65</v>
      </c>
      <c r="BE3549">
        <v>89</v>
      </c>
      <c r="BF3549">
        <v>24</v>
      </c>
      <c r="BG3549" t="s">
        <v>20082</v>
      </c>
      <c r="BH3549" t="s">
        <v>20083</v>
      </c>
      <c r="BI3549" t="s">
        <v>14075</v>
      </c>
      <c r="BJ3549">
        <v>8.0060000000000006E-2</v>
      </c>
      <c r="BK3549">
        <v>1</v>
      </c>
      <c r="BL3549" t="s">
        <v>69</v>
      </c>
      <c r="BM3549">
        <v>-1.1950000000000001</v>
      </c>
      <c r="BN3549">
        <v>-2.7090000000000001</v>
      </c>
    </row>
    <row r="3550" spans="10:66">
      <c r="J3550">
        <v>0</v>
      </c>
      <c r="K3550">
        <v>9</v>
      </c>
      <c r="L3550">
        <v>4</v>
      </c>
      <c r="M3550" t="s">
        <v>25021</v>
      </c>
      <c r="N3550">
        <v>3432</v>
      </c>
      <c r="O3550" t="s">
        <v>20084</v>
      </c>
      <c r="P3550" t="s">
        <v>57</v>
      </c>
      <c r="Q3550">
        <v>3393293</v>
      </c>
      <c r="R3550">
        <v>3394411</v>
      </c>
      <c r="S3550" t="s">
        <v>20085</v>
      </c>
      <c r="T3550">
        <v>373</v>
      </c>
      <c r="U3550" t="s">
        <v>1392</v>
      </c>
      <c r="V3550">
        <v>43</v>
      </c>
      <c r="W3550" t="str">
        <f>HYPERLINK("Gene3432-zp_tree_all.dnd", "Gene3432-tree")</f>
        <v>Gene3432-tree</v>
      </c>
      <c r="X3550">
        <v>0</v>
      </c>
      <c r="Y3550">
        <v>9</v>
      </c>
      <c r="Z3550">
        <v>0</v>
      </c>
      <c r="AA3550">
        <v>9</v>
      </c>
      <c r="AB3550">
        <v>1</v>
      </c>
      <c r="AC3550" t="s">
        <v>62</v>
      </c>
      <c r="AD3550" t="s">
        <v>135</v>
      </c>
      <c r="AE3550" t="s">
        <v>62</v>
      </c>
      <c r="AF3550" t="s">
        <v>62</v>
      </c>
      <c r="AG3550">
        <v>6</v>
      </c>
      <c r="AH3550">
        <v>13</v>
      </c>
      <c r="AI3550">
        <v>35</v>
      </c>
      <c r="AJ3550">
        <v>0.27083000000000002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31</v>
      </c>
      <c r="AT3550">
        <v>0</v>
      </c>
      <c r="AU3550">
        <v>8</v>
      </c>
      <c r="AV3550">
        <v>6</v>
      </c>
      <c r="AW3550">
        <v>46</v>
      </c>
      <c r="AX3550">
        <v>31</v>
      </c>
      <c r="AY3550">
        <v>22</v>
      </c>
      <c r="AZ3550">
        <v>17</v>
      </c>
      <c r="BA3550" t="s">
        <v>20086</v>
      </c>
      <c r="BB3550" t="s">
        <v>20087</v>
      </c>
      <c r="BC3550">
        <v>0.184</v>
      </c>
      <c r="BD3550" t="s">
        <v>65</v>
      </c>
      <c r="BE3550">
        <v>68</v>
      </c>
      <c r="BF3550">
        <v>48</v>
      </c>
      <c r="BG3550" t="s">
        <v>20088</v>
      </c>
      <c r="BH3550" t="s">
        <v>20089</v>
      </c>
      <c r="BI3550" t="s">
        <v>20090</v>
      </c>
      <c r="BJ3550">
        <v>0.18171000000000001</v>
      </c>
      <c r="BK3550">
        <v>1</v>
      </c>
      <c r="BL3550" t="s">
        <v>69</v>
      </c>
      <c r="BM3550">
        <v>0.28499999999999998</v>
      </c>
      <c r="BN3550">
        <v>-0.05</v>
      </c>
    </row>
    <row r="3551" spans="10:66">
      <c r="J3551">
        <v>0</v>
      </c>
      <c r="K3551">
        <v>6</v>
      </c>
      <c r="L3551">
        <v>0</v>
      </c>
      <c r="M3551" t="s">
        <v>25021</v>
      </c>
      <c r="N3551">
        <v>3444</v>
      </c>
      <c r="O3551" t="s">
        <v>20166</v>
      </c>
      <c r="P3551" t="s">
        <v>57</v>
      </c>
      <c r="Q3551">
        <v>3404835</v>
      </c>
      <c r="R3551">
        <v>3405623</v>
      </c>
      <c r="S3551" t="s">
        <v>1940</v>
      </c>
      <c r="T3551">
        <v>263</v>
      </c>
      <c r="U3551" t="s">
        <v>108</v>
      </c>
      <c r="V3551">
        <v>44</v>
      </c>
      <c r="W3551" t="str">
        <f>HYPERLINK("Gene3444-zp_tree_all.dnd", "Gene3444-tree")</f>
        <v>Gene3444-tree</v>
      </c>
      <c r="X3551">
        <v>10</v>
      </c>
      <c r="Y3551">
        <v>4</v>
      </c>
      <c r="Z3551">
        <v>10</v>
      </c>
      <c r="AA3551">
        <v>4</v>
      </c>
      <c r="AB3551">
        <v>0.28571000000000002</v>
      </c>
      <c r="AC3551" t="s">
        <v>117</v>
      </c>
      <c r="AD3551" t="s">
        <v>61</v>
      </c>
      <c r="AE3551" t="s">
        <v>62</v>
      </c>
      <c r="AF3551" t="s">
        <v>62</v>
      </c>
      <c r="AG3551">
        <v>3</v>
      </c>
      <c r="AH3551">
        <v>6</v>
      </c>
      <c r="AI3551">
        <v>3</v>
      </c>
      <c r="AJ3551">
        <v>0.66666999999999998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2</v>
      </c>
      <c r="AQ3551">
        <v>0</v>
      </c>
      <c r="AR3551">
        <v>2</v>
      </c>
      <c r="AS3551">
        <v>3</v>
      </c>
      <c r="AT3551">
        <v>0.4</v>
      </c>
      <c r="AU3551">
        <v>13</v>
      </c>
      <c r="AV3551">
        <v>11</v>
      </c>
      <c r="AW3551">
        <v>32</v>
      </c>
      <c r="AX3551">
        <v>5</v>
      </c>
      <c r="AY3551">
        <v>22</v>
      </c>
      <c r="AZ3551">
        <v>4</v>
      </c>
      <c r="BA3551" t="s">
        <v>20167</v>
      </c>
      <c r="BB3551" t="s">
        <v>20168</v>
      </c>
      <c r="BC3551">
        <v>0.11600000000000001</v>
      </c>
      <c r="BD3551" t="s">
        <v>65</v>
      </c>
      <c r="BE3551">
        <v>54</v>
      </c>
      <c r="BF3551">
        <v>9</v>
      </c>
      <c r="BG3551" t="s">
        <v>20169</v>
      </c>
      <c r="BH3551" t="s">
        <v>20170</v>
      </c>
      <c r="BI3551" t="s">
        <v>20171</v>
      </c>
      <c r="BJ3551">
        <v>4.5870000000000001E-2</v>
      </c>
      <c r="BK3551">
        <v>1</v>
      </c>
      <c r="BL3551" t="s">
        <v>69</v>
      </c>
      <c r="BM3551">
        <v>-0.503</v>
      </c>
      <c r="BN3551">
        <v>-1.732</v>
      </c>
    </row>
    <row r="3552" spans="10:66">
      <c r="J3552">
        <v>0</v>
      </c>
      <c r="K3552">
        <v>3</v>
      </c>
      <c r="L3552">
        <v>0</v>
      </c>
      <c r="M3552" t="s">
        <v>25021</v>
      </c>
      <c r="N3552">
        <v>3451</v>
      </c>
      <c r="O3552" t="s">
        <v>20204</v>
      </c>
      <c r="P3552" t="s">
        <v>57</v>
      </c>
      <c r="Q3552">
        <v>3410466</v>
      </c>
      <c r="R3552">
        <v>3411620</v>
      </c>
      <c r="S3552" t="s">
        <v>20205</v>
      </c>
      <c r="T3552">
        <v>385</v>
      </c>
      <c r="U3552" t="s">
        <v>15618</v>
      </c>
      <c r="V3552">
        <v>43</v>
      </c>
      <c r="W3552" t="str">
        <f>HYPERLINK("Gene3451-zp_tree_all.dnd", "Gene3451-tree")</f>
        <v>Gene3451-tree</v>
      </c>
      <c r="X3552">
        <v>6</v>
      </c>
      <c r="Y3552">
        <v>7</v>
      </c>
      <c r="Z3552">
        <v>6</v>
      </c>
      <c r="AA3552">
        <v>7</v>
      </c>
      <c r="AB3552">
        <v>0.53846000000000005</v>
      </c>
      <c r="AC3552" t="s">
        <v>90</v>
      </c>
      <c r="AD3552" t="s">
        <v>152</v>
      </c>
      <c r="AE3552" t="s">
        <v>62</v>
      </c>
      <c r="AF3552" t="s">
        <v>62</v>
      </c>
      <c r="AG3552">
        <v>1</v>
      </c>
      <c r="AH3552">
        <v>3</v>
      </c>
      <c r="AI3552">
        <v>8</v>
      </c>
      <c r="AJ3552">
        <v>0.27272999999999997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2</v>
      </c>
      <c r="AQ3552">
        <v>0</v>
      </c>
      <c r="AR3552">
        <v>2</v>
      </c>
      <c r="AS3552">
        <v>6</v>
      </c>
      <c r="AT3552">
        <v>0.25</v>
      </c>
      <c r="AU3552">
        <v>11</v>
      </c>
      <c r="AV3552">
        <v>7</v>
      </c>
      <c r="AW3552">
        <v>46</v>
      </c>
      <c r="AX3552">
        <v>8</v>
      </c>
      <c r="AY3552">
        <v>19</v>
      </c>
      <c r="AZ3552">
        <v>3</v>
      </c>
      <c r="BA3552" t="s">
        <v>20206</v>
      </c>
      <c r="BB3552" t="s">
        <v>20207</v>
      </c>
      <c r="BC3552">
        <v>0.128</v>
      </c>
      <c r="BD3552" t="s">
        <v>65</v>
      </c>
      <c r="BE3552">
        <v>65</v>
      </c>
      <c r="BF3552">
        <v>11</v>
      </c>
      <c r="BG3552" t="s">
        <v>20208</v>
      </c>
      <c r="BH3552" t="s">
        <v>20209</v>
      </c>
      <c r="BI3552" t="s">
        <v>20210</v>
      </c>
      <c r="BJ3552">
        <v>5.1150000000000001E-2</v>
      </c>
      <c r="BK3552">
        <v>1</v>
      </c>
      <c r="BL3552" t="s">
        <v>69</v>
      </c>
      <c r="BM3552">
        <v>-0.997</v>
      </c>
      <c r="BN3552">
        <v>-2.169</v>
      </c>
    </row>
    <row r="3553" spans="10:66">
      <c r="J3553">
        <v>0</v>
      </c>
      <c r="K3553">
        <v>0</v>
      </c>
      <c r="L3553">
        <v>0</v>
      </c>
      <c r="M3553" t="s">
        <v>25021</v>
      </c>
      <c r="N3553">
        <v>3452</v>
      </c>
      <c r="O3553" t="s">
        <v>20211</v>
      </c>
      <c r="P3553" t="s">
        <v>57</v>
      </c>
      <c r="Q3553">
        <v>3411684</v>
      </c>
      <c r="R3553">
        <v>3412091</v>
      </c>
      <c r="S3553" t="s">
        <v>20212</v>
      </c>
      <c r="T3553">
        <v>136</v>
      </c>
      <c r="U3553" t="s">
        <v>108</v>
      </c>
      <c r="V3553">
        <v>44</v>
      </c>
      <c r="W3553" t="str">
        <f>HYPERLINK("Gene3452-zp_tree_all.dnd", "Gene3452-tree")</f>
        <v>Gene3452-tree</v>
      </c>
      <c r="X3553">
        <v>28</v>
      </c>
      <c r="Y3553">
        <v>5</v>
      </c>
      <c r="Z3553">
        <v>9</v>
      </c>
      <c r="AA3553">
        <v>5</v>
      </c>
      <c r="AB3553">
        <v>0.35714000000000001</v>
      </c>
      <c r="AC3553" t="s">
        <v>2825</v>
      </c>
      <c r="AD3553" t="s">
        <v>199</v>
      </c>
      <c r="AE3553" t="s">
        <v>62</v>
      </c>
      <c r="AF3553" t="s">
        <v>62</v>
      </c>
      <c r="AG3553">
        <v>0</v>
      </c>
      <c r="AH3553">
        <v>0</v>
      </c>
      <c r="AI3553">
        <v>7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7</v>
      </c>
      <c r="AT3553">
        <v>0</v>
      </c>
      <c r="AU3553">
        <v>10</v>
      </c>
      <c r="AV3553">
        <v>7</v>
      </c>
      <c r="AW3553">
        <v>18</v>
      </c>
      <c r="AX3553">
        <v>7</v>
      </c>
      <c r="AY3553">
        <v>8</v>
      </c>
      <c r="AZ3553">
        <v>0</v>
      </c>
      <c r="BA3553" t="s">
        <v>20213</v>
      </c>
      <c r="BB3553" t="s">
        <v>193</v>
      </c>
      <c r="BC3553">
        <v>0.96899999999999997</v>
      </c>
      <c r="BD3553" t="s">
        <v>65</v>
      </c>
      <c r="BE3553">
        <v>26</v>
      </c>
      <c r="BF3553">
        <v>7</v>
      </c>
      <c r="BG3553" t="s">
        <v>20214</v>
      </c>
      <c r="BH3553" t="s">
        <v>20215</v>
      </c>
      <c r="BI3553" t="s">
        <v>11697</v>
      </c>
      <c r="BJ3553">
        <v>6.2309999999999997E-2</v>
      </c>
      <c r="BK3553">
        <v>1</v>
      </c>
      <c r="BL3553" t="s">
        <v>69</v>
      </c>
      <c r="BM3553">
        <v>-1.532</v>
      </c>
      <c r="BN3553">
        <v>-3.47</v>
      </c>
    </row>
    <row r="3554" spans="10:66">
      <c r="J3554">
        <v>0</v>
      </c>
      <c r="K3554">
        <v>11</v>
      </c>
      <c r="L3554">
        <v>0</v>
      </c>
      <c r="M3554" t="s">
        <v>25021</v>
      </c>
      <c r="N3554">
        <v>3459</v>
      </c>
      <c r="O3554" t="s">
        <v>20253</v>
      </c>
      <c r="P3554" t="s">
        <v>57</v>
      </c>
      <c r="Q3554">
        <v>3418474</v>
      </c>
      <c r="R3554">
        <v>3419418</v>
      </c>
      <c r="S3554" t="s">
        <v>20254</v>
      </c>
      <c r="T3554">
        <v>315</v>
      </c>
      <c r="U3554" t="s">
        <v>108</v>
      </c>
      <c r="V3554">
        <v>44</v>
      </c>
      <c r="W3554" t="str">
        <f>HYPERLINK("Gene3459-zp_tree_all.dnd", "Gene3459-tree")</f>
        <v>Gene3459-tree</v>
      </c>
      <c r="X3554">
        <v>3</v>
      </c>
      <c r="Y3554">
        <v>11</v>
      </c>
      <c r="Z3554">
        <v>3</v>
      </c>
      <c r="AA3554">
        <v>11</v>
      </c>
      <c r="AB3554">
        <v>0.78571000000000002</v>
      </c>
      <c r="AC3554" t="s">
        <v>324</v>
      </c>
      <c r="AD3554" t="s">
        <v>73</v>
      </c>
      <c r="AE3554">
        <v>305230034.74400002</v>
      </c>
      <c r="AF3554" t="s">
        <v>267</v>
      </c>
      <c r="AG3554">
        <v>4</v>
      </c>
      <c r="AH3554">
        <v>11</v>
      </c>
      <c r="AI3554">
        <v>10</v>
      </c>
      <c r="AJ3554">
        <v>0.52381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5</v>
      </c>
      <c r="AQ3554">
        <v>0</v>
      </c>
      <c r="AR3554">
        <v>5</v>
      </c>
      <c r="AS3554">
        <v>7</v>
      </c>
      <c r="AT3554">
        <v>0.41666999999999998</v>
      </c>
      <c r="AU3554">
        <v>12</v>
      </c>
      <c r="AV3554">
        <v>8</v>
      </c>
      <c r="AW3554">
        <v>29</v>
      </c>
      <c r="AX3554">
        <v>11</v>
      </c>
      <c r="AY3554">
        <v>31</v>
      </c>
      <c r="AZ3554">
        <v>10</v>
      </c>
      <c r="BA3554" t="s">
        <v>20255</v>
      </c>
      <c r="BB3554" t="s">
        <v>20256</v>
      </c>
      <c r="BC3554">
        <v>0.32600000000000001</v>
      </c>
      <c r="BD3554" t="s">
        <v>65</v>
      </c>
      <c r="BE3554">
        <v>60</v>
      </c>
      <c r="BF3554">
        <v>21</v>
      </c>
      <c r="BG3554" t="s">
        <v>20257</v>
      </c>
      <c r="BH3554" t="s">
        <v>20258</v>
      </c>
      <c r="BI3554" t="s">
        <v>20259</v>
      </c>
      <c r="BJ3554">
        <v>9.8570000000000005E-2</v>
      </c>
      <c r="BK3554">
        <v>1</v>
      </c>
      <c r="BL3554" t="s">
        <v>69</v>
      </c>
      <c r="BM3554">
        <v>-0.29399999999999998</v>
      </c>
      <c r="BN3554">
        <v>-0.42099999999999999</v>
      </c>
    </row>
    <row r="3555" spans="10:66">
      <c r="J3555">
        <v>0</v>
      </c>
      <c r="K3555">
        <v>0</v>
      </c>
      <c r="L3555">
        <v>0</v>
      </c>
      <c r="M3555" t="s">
        <v>25021</v>
      </c>
      <c r="N3555">
        <v>3462</v>
      </c>
      <c r="O3555" t="s">
        <v>20271</v>
      </c>
      <c r="P3555" t="s">
        <v>57</v>
      </c>
      <c r="Q3555">
        <v>3421772</v>
      </c>
      <c r="R3555">
        <v>3422251</v>
      </c>
      <c r="S3555" t="s">
        <v>5589</v>
      </c>
      <c r="T3555">
        <v>160</v>
      </c>
      <c r="U3555" t="s">
        <v>108</v>
      </c>
      <c r="V3555">
        <v>44</v>
      </c>
      <c r="W3555" t="str">
        <f>HYPERLINK("Gene3462-zp_tree_all.dnd", "Gene3462-tree")</f>
        <v>Gene3462-tree</v>
      </c>
      <c r="X3555">
        <v>7</v>
      </c>
      <c r="Y3555">
        <v>3</v>
      </c>
      <c r="Z3555">
        <v>7</v>
      </c>
      <c r="AA3555">
        <v>3</v>
      </c>
      <c r="AB3555">
        <v>0.3</v>
      </c>
      <c r="AC3555" t="s">
        <v>152</v>
      </c>
      <c r="AD3555" t="s">
        <v>324</v>
      </c>
      <c r="AE3555" t="s">
        <v>62</v>
      </c>
      <c r="AF3555" t="s">
        <v>62</v>
      </c>
      <c r="AG3555">
        <v>0</v>
      </c>
      <c r="AH3555">
        <v>0</v>
      </c>
      <c r="AI3555">
        <v>4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4</v>
      </c>
      <c r="AT3555">
        <v>0</v>
      </c>
      <c r="AU3555">
        <v>8</v>
      </c>
      <c r="AV3555">
        <v>4</v>
      </c>
      <c r="AW3555">
        <v>11</v>
      </c>
      <c r="AX3555">
        <v>4</v>
      </c>
      <c r="AY3555">
        <v>5</v>
      </c>
      <c r="AZ3555">
        <v>0</v>
      </c>
      <c r="BA3555" t="s">
        <v>20272</v>
      </c>
      <c r="BB3555" t="s">
        <v>193</v>
      </c>
      <c r="BC3555">
        <v>1.2490000000000001</v>
      </c>
      <c r="BD3555" t="s">
        <v>65</v>
      </c>
      <c r="BE3555">
        <v>16</v>
      </c>
      <c r="BF3555">
        <v>4</v>
      </c>
      <c r="BG3555" t="s">
        <v>20273</v>
      </c>
      <c r="BH3555" t="s">
        <v>20274</v>
      </c>
      <c r="BI3555" t="s">
        <v>20275</v>
      </c>
      <c r="BJ3555">
        <v>6.1690000000000002E-2</v>
      </c>
      <c r="BK3555">
        <v>1</v>
      </c>
      <c r="BL3555" t="s">
        <v>69</v>
      </c>
      <c r="BM3555">
        <v>-0.59099999999999997</v>
      </c>
      <c r="BN3555">
        <v>-1.454</v>
      </c>
    </row>
    <row r="3556" spans="10:66">
      <c r="J3556">
        <v>0</v>
      </c>
      <c r="K3556">
        <v>11</v>
      </c>
      <c r="L3556">
        <v>0</v>
      </c>
      <c r="M3556" t="s">
        <v>25021</v>
      </c>
      <c r="N3556">
        <v>3463</v>
      </c>
      <c r="O3556" t="s">
        <v>20276</v>
      </c>
      <c r="P3556" t="s">
        <v>57</v>
      </c>
      <c r="Q3556">
        <v>3422354</v>
      </c>
      <c r="R3556">
        <v>3424204</v>
      </c>
      <c r="S3556" t="s">
        <v>20277</v>
      </c>
      <c r="T3556">
        <v>617</v>
      </c>
      <c r="U3556" t="s">
        <v>108</v>
      </c>
      <c r="V3556">
        <v>44</v>
      </c>
      <c r="W3556" t="str">
        <f>HYPERLINK("Gene3463-zp_tree_all.dnd", "Gene3463-tree")</f>
        <v>Gene3463-tree</v>
      </c>
      <c r="X3556">
        <v>3</v>
      </c>
      <c r="Y3556">
        <v>32</v>
      </c>
      <c r="Z3556">
        <v>3</v>
      </c>
      <c r="AA3556">
        <v>12</v>
      </c>
      <c r="AB3556">
        <v>0.8</v>
      </c>
      <c r="AC3556" t="s">
        <v>324</v>
      </c>
      <c r="AD3556" t="s">
        <v>1782</v>
      </c>
      <c r="AE3556">
        <v>1.03</v>
      </c>
      <c r="AF3556" t="s">
        <v>65</v>
      </c>
      <c r="AG3556">
        <v>5</v>
      </c>
      <c r="AH3556">
        <v>11</v>
      </c>
      <c r="AI3556">
        <v>33</v>
      </c>
      <c r="AJ3556">
        <v>0.25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2</v>
      </c>
      <c r="AQ3556">
        <v>2</v>
      </c>
      <c r="AR3556">
        <v>4</v>
      </c>
      <c r="AS3556">
        <v>24</v>
      </c>
      <c r="AT3556">
        <v>0.14285999999999999</v>
      </c>
      <c r="AU3556">
        <v>11</v>
      </c>
      <c r="AV3556">
        <v>12</v>
      </c>
      <c r="AW3556">
        <v>79</v>
      </c>
      <c r="AX3556">
        <v>25</v>
      </c>
      <c r="AY3556">
        <v>49</v>
      </c>
      <c r="AZ3556">
        <v>19</v>
      </c>
      <c r="BA3556" t="s">
        <v>20278</v>
      </c>
      <c r="BB3556" t="s">
        <v>20279</v>
      </c>
      <c r="BC3556">
        <v>0.17799999999999999</v>
      </c>
      <c r="BD3556" t="s">
        <v>65</v>
      </c>
      <c r="BE3556">
        <v>128</v>
      </c>
      <c r="BF3556">
        <v>44</v>
      </c>
      <c r="BG3556" t="s">
        <v>20280</v>
      </c>
      <c r="BH3556" t="s">
        <v>20281</v>
      </c>
      <c r="BI3556" t="s">
        <v>20282</v>
      </c>
      <c r="BJ3556">
        <v>0.10564999999999999</v>
      </c>
      <c r="BK3556">
        <v>1</v>
      </c>
      <c r="BL3556" t="s">
        <v>69</v>
      </c>
      <c r="BM3556">
        <v>-1.1739999999999999</v>
      </c>
      <c r="BN3556">
        <v>-2.766</v>
      </c>
    </row>
    <row r="3557" spans="10:66">
      <c r="J3557">
        <v>0</v>
      </c>
      <c r="K3557">
        <v>2</v>
      </c>
      <c r="L3557">
        <v>2</v>
      </c>
      <c r="M3557" t="s">
        <v>25021</v>
      </c>
      <c r="N3557">
        <v>3465</v>
      </c>
      <c r="O3557" t="s">
        <v>20290</v>
      </c>
      <c r="P3557" t="s">
        <v>57</v>
      </c>
      <c r="Q3557">
        <v>3425272</v>
      </c>
      <c r="R3557">
        <v>3426051</v>
      </c>
      <c r="S3557" t="s">
        <v>20291</v>
      </c>
      <c r="T3557">
        <v>260</v>
      </c>
      <c r="U3557" t="s">
        <v>108</v>
      </c>
      <c r="V3557">
        <v>44</v>
      </c>
      <c r="W3557" t="str">
        <f>HYPERLINK("Gene3465-zp_tree_all.dnd", "Gene3465-tree")</f>
        <v>Gene3465-tree</v>
      </c>
      <c r="X3557">
        <v>4</v>
      </c>
      <c r="Y3557">
        <v>8</v>
      </c>
      <c r="Z3557">
        <v>4</v>
      </c>
      <c r="AA3557">
        <v>8</v>
      </c>
      <c r="AB3557">
        <v>0.66666999999999998</v>
      </c>
      <c r="AC3557" t="s">
        <v>61</v>
      </c>
      <c r="AD3557" t="s">
        <v>136</v>
      </c>
      <c r="AE3557" t="s">
        <v>62</v>
      </c>
      <c r="AF3557" t="s">
        <v>62</v>
      </c>
      <c r="AG3557">
        <v>2</v>
      </c>
      <c r="AH3557">
        <v>4</v>
      </c>
      <c r="AI3557">
        <v>12</v>
      </c>
      <c r="AJ3557">
        <v>0.25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2</v>
      </c>
      <c r="AR3557">
        <v>2</v>
      </c>
      <c r="AS3557">
        <v>12</v>
      </c>
      <c r="AT3557">
        <v>0.14285999999999999</v>
      </c>
      <c r="AU3557">
        <v>10</v>
      </c>
      <c r="AV3557">
        <v>6</v>
      </c>
      <c r="AW3557">
        <v>21</v>
      </c>
      <c r="AX3557">
        <v>11</v>
      </c>
      <c r="AY3557">
        <v>11</v>
      </c>
      <c r="AZ3557">
        <v>5</v>
      </c>
      <c r="BA3557" t="s">
        <v>20292</v>
      </c>
      <c r="BB3557" t="s">
        <v>20293</v>
      </c>
      <c r="BC3557">
        <v>0.114</v>
      </c>
      <c r="BD3557" t="s">
        <v>65</v>
      </c>
      <c r="BE3557">
        <v>32</v>
      </c>
      <c r="BF3557">
        <v>16</v>
      </c>
      <c r="BG3557" t="s">
        <v>20294</v>
      </c>
      <c r="BH3557" t="s">
        <v>20295</v>
      </c>
      <c r="BI3557" t="s">
        <v>20296</v>
      </c>
      <c r="BJ3557">
        <v>0.15214</v>
      </c>
      <c r="BK3557">
        <v>1</v>
      </c>
      <c r="BL3557" t="s">
        <v>69</v>
      </c>
      <c r="BM3557">
        <v>-0.50900000000000001</v>
      </c>
      <c r="BN3557">
        <v>-3.0129999999999999</v>
      </c>
    </row>
    <row r="3558" spans="10:66">
      <c r="J3558">
        <v>2</v>
      </c>
      <c r="K3558">
        <v>5</v>
      </c>
      <c r="L3558">
        <v>0</v>
      </c>
      <c r="M3558" t="s">
        <v>25021</v>
      </c>
      <c r="N3558">
        <v>3466</v>
      </c>
      <c r="O3558" t="s">
        <v>20297</v>
      </c>
      <c r="P3558" t="s">
        <v>57</v>
      </c>
      <c r="Q3558">
        <v>3426026</v>
      </c>
      <c r="R3558">
        <v>3426715</v>
      </c>
      <c r="S3558" t="s">
        <v>20298</v>
      </c>
      <c r="T3558">
        <v>230</v>
      </c>
      <c r="U3558" t="s">
        <v>108</v>
      </c>
      <c r="V3558">
        <v>44</v>
      </c>
      <c r="W3558" t="str">
        <f>HYPERLINK("Gene3466-zp_tree_all.dnd", "Gene3466-tree")</f>
        <v>Gene3466-tree</v>
      </c>
      <c r="X3558">
        <v>6</v>
      </c>
      <c r="Y3558">
        <v>7</v>
      </c>
      <c r="Z3558">
        <v>6</v>
      </c>
      <c r="AA3558">
        <v>7</v>
      </c>
      <c r="AB3558">
        <v>0.53846000000000005</v>
      </c>
      <c r="AC3558" t="s">
        <v>90</v>
      </c>
      <c r="AD3558" t="s">
        <v>152</v>
      </c>
      <c r="AE3558" t="s">
        <v>62</v>
      </c>
      <c r="AF3558" t="s">
        <v>62</v>
      </c>
      <c r="AG3558">
        <v>3</v>
      </c>
      <c r="AH3558">
        <v>7</v>
      </c>
      <c r="AI3558">
        <v>6</v>
      </c>
      <c r="AJ3558">
        <v>0.53846000000000005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4</v>
      </c>
      <c r="AQ3558">
        <v>0</v>
      </c>
      <c r="AR3558">
        <v>4</v>
      </c>
      <c r="AS3558">
        <v>5</v>
      </c>
      <c r="AT3558">
        <v>0.44444</v>
      </c>
      <c r="AU3558">
        <v>10</v>
      </c>
      <c r="AV3558">
        <v>7</v>
      </c>
      <c r="AW3558">
        <v>24</v>
      </c>
      <c r="AX3558">
        <v>7</v>
      </c>
      <c r="AY3558">
        <v>13</v>
      </c>
      <c r="AZ3558">
        <v>6</v>
      </c>
      <c r="BA3558" t="s">
        <v>20299</v>
      </c>
      <c r="BB3558" t="s">
        <v>20300</v>
      </c>
      <c r="BC3558">
        <v>0.5</v>
      </c>
      <c r="BD3558" t="s">
        <v>65</v>
      </c>
      <c r="BE3558">
        <v>37</v>
      </c>
      <c r="BF3558">
        <v>13</v>
      </c>
      <c r="BG3558" t="s">
        <v>20301</v>
      </c>
      <c r="BH3558" t="s">
        <v>20302</v>
      </c>
      <c r="BI3558" t="s">
        <v>20303</v>
      </c>
      <c r="BJ3558">
        <v>9.8780000000000007E-2</v>
      </c>
      <c r="BK3558">
        <v>1</v>
      </c>
      <c r="BL3558" t="s">
        <v>69</v>
      </c>
      <c r="BM3558">
        <v>-0.84599999999999997</v>
      </c>
      <c r="BN3558">
        <v>-2.0129999999999999</v>
      </c>
    </row>
    <row r="3559" spans="10:66">
      <c r="J3559">
        <v>0</v>
      </c>
      <c r="K3559">
        <v>2</v>
      </c>
      <c r="L3559">
        <v>2</v>
      </c>
      <c r="M3559" t="s">
        <v>25021</v>
      </c>
      <c r="N3559">
        <v>3468</v>
      </c>
      <c r="O3559" t="s">
        <v>20311</v>
      </c>
      <c r="P3559" t="s">
        <v>57</v>
      </c>
      <c r="Q3559">
        <v>3427802</v>
      </c>
      <c r="R3559">
        <v>3428284</v>
      </c>
      <c r="S3559" t="s">
        <v>20312</v>
      </c>
      <c r="T3559">
        <v>161</v>
      </c>
      <c r="U3559" t="s">
        <v>465</v>
      </c>
      <c r="V3559">
        <v>46</v>
      </c>
      <c r="W3559" t="str">
        <f>HYPERLINK("Gene3468-zp_tree_all.dnd", "Gene3468-tree")</f>
        <v>Gene3468-tree</v>
      </c>
      <c r="X3559">
        <v>7</v>
      </c>
      <c r="Y3559">
        <v>3</v>
      </c>
      <c r="Z3559">
        <v>7</v>
      </c>
      <c r="AA3559">
        <v>3</v>
      </c>
      <c r="AB3559">
        <v>0.3</v>
      </c>
      <c r="AC3559" t="s">
        <v>152</v>
      </c>
      <c r="AD3559" t="s">
        <v>324</v>
      </c>
      <c r="AE3559" t="s">
        <v>62</v>
      </c>
      <c r="AF3559" t="s">
        <v>62</v>
      </c>
      <c r="AG3559">
        <v>2</v>
      </c>
      <c r="AH3559">
        <v>4</v>
      </c>
      <c r="AI3559">
        <v>6</v>
      </c>
      <c r="AJ3559">
        <v>0.4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5</v>
      </c>
      <c r="AT3559">
        <v>0</v>
      </c>
      <c r="AU3559">
        <v>8</v>
      </c>
      <c r="AV3559">
        <v>5</v>
      </c>
      <c r="AW3559">
        <v>11</v>
      </c>
      <c r="AX3559">
        <v>5</v>
      </c>
      <c r="AY3559">
        <v>19</v>
      </c>
      <c r="AZ3559">
        <v>5</v>
      </c>
      <c r="BA3559" t="s">
        <v>20313</v>
      </c>
      <c r="BB3559" t="s">
        <v>20314</v>
      </c>
      <c r="BC3559">
        <v>0.36399999999999999</v>
      </c>
      <c r="BD3559" t="s">
        <v>65</v>
      </c>
      <c r="BE3559">
        <v>30</v>
      </c>
      <c r="BF3559">
        <v>10</v>
      </c>
      <c r="BG3559" t="s">
        <v>20315</v>
      </c>
      <c r="BH3559" t="s">
        <v>20316</v>
      </c>
      <c r="BI3559" t="s">
        <v>20317</v>
      </c>
      <c r="BJ3559">
        <v>8.6269999999999999E-2</v>
      </c>
      <c r="BK3559">
        <v>1</v>
      </c>
      <c r="BL3559" t="s">
        <v>69</v>
      </c>
      <c r="BM3559">
        <v>-1.0549999999999999</v>
      </c>
      <c r="BN3559">
        <v>5.2999999999999999E-2</v>
      </c>
    </row>
    <row r="3560" spans="10:66">
      <c r="J3560">
        <v>0</v>
      </c>
      <c r="K3560">
        <v>13</v>
      </c>
      <c r="L3560">
        <v>0</v>
      </c>
      <c r="M3560" t="s">
        <v>25021</v>
      </c>
      <c r="N3560">
        <v>3480</v>
      </c>
      <c r="O3560" t="s">
        <v>20388</v>
      </c>
      <c r="P3560" t="s">
        <v>57</v>
      </c>
      <c r="Q3560">
        <v>3444329</v>
      </c>
      <c r="R3560">
        <v>3445402</v>
      </c>
      <c r="S3560" t="s">
        <v>20389</v>
      </c>
      <c r="T3560">
        <v>358</v>
      </c>
      <c r="U3560" t="s">
        <v>108</v>
      </c>
      <c r="V3560">
        <v>44</v>
      </c>
      <c r="W3560" t="str">
        <f>HYPERLINK("Gene3480-zp_tree_all.dnd", "Gene3480-tree")</f>
        <v>Gene3480-tree</v>
      </c>
      <c r="X3560">
        <v>8</v>
      </c>
      <c r="Y3560">
        <v>7</v>
      </c>
      <c r="Z3560">
        <v>8</v>
      </c>
      <c r="AA3560">
        <v>7</v>
      </c>
      <c r="AB3560">
        <v>0.46666999999999997</v>
      </c>
      <c r="AC3560" t="s">
        <v>136</v>
      </c>
      <c r="AD3560" t="s">
        <v>152</v>
      </c>
      <c r="AE3560" t="s">
        <v>62</v>
      </c>
      <c r="AF3560" t="s">
        <v>62</v>
      </c>
      <c r="AG3560">
        <v>4</v>
      </c>
      <c r="AH3560">
        <v>13</v>
      </c>
      <c r="AI3560">
        <v>18</v>
      </c>
      <c r="AJ3560">
        <v>0.41935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5</v>
      </c>
      <c r="AQ3560">
        <v>0</v>
      </c>
      <c r="AR3560">
        <v>5</v>
      </c>
      <c r="AS3560">
        <v>7</v>
      </c>
      <c r="AT3560">
        <v>0.41666999999999998</v>
      </c>
      <c r="AU3560">
        <v>12</v>
      </c>
      <c r="AV3560">
        <v>12</v>
      </c>
      <c r="AW3560">
        <v>27</v>
      </c>
      <c r="AX3560">
        <v>12</v>
      </c>
      <c r="AY3560">
        <v>33</v>
      </c>
      <c r="AZ3560">
        <v>19</v>
      </c>
      <c r="BA3560" t="s">
        <v>20390</v>
      </c>
      <c r="BB3560" t="s">
        <v>20391</v>
      </c>
      <c r="BC3560">
        <v>0.24099999999999999</v>
      </c>
      <c r="BD3560" t="s">
        <v>65</v>
      </c>
      <c r="BE3560">
        <v>60</v>
      </c>
      <c r="BF3560">
        <v>31</v>
      </c>
      <c r="BG3560" t="s">
        <v>20392</v>
      </c>
      <c r="BH3560" t="s">
        <v>20393</v>
      </c>
      <c r="BI3560" t="s">
        <v>20394</v>
      </c>
      <c r="BJ3560">
        <v>0.14792</v>
      </c>
      <c r="BK3560">
        <v>1</v>
      </c>
      <c r="BL3560" t="s">
        <v>69</v>
      </c>
      <c r="BM3560">
        <v>-2E-3</v>
      </c>
      <c r="BN3560">
        <v>-0.626</v>
      </c>
    </row>
    <row r="3561" spans="10:66">
      <c r="J3561">
        <v>0</v>
      </c>
      <c r="K3561">
        <v>4</v>
      </c>
      <c r="L3561">
        <v>2</v>
      </c>
      <c r="M3561" t="s">
        <v>25021</v>
      </c>
      <c r="N3561">
        <v>3491</v>
      </c>
      <c r="O3561" t="s">
        <v>20452</v>
      </c>
      <c r="P3561" t="s">
        <v>57</v>
      </c>
      <c r="Q3561">
        <v>3455472</v>
      </c>
      <c r="R3561">
        <v>3456239</v>
      </c>
      <c r="S3561" t="s">
        <v>2512</v>
      </c>
      <c r="T3561">
        <v>256</v>
      </c>
      <c r="U3561" t="s">
        <v>108</v>
      </c>
      <c r="V3561">
        <v>44</v>
      </c>
      <c r="W3561" t="str">
        <f>HYPERLINK("Gene3491-zp_tree_all.dnd", "Gene3491-tree")</f>
        <v>Gene3491-tree</v>
      </c>
      <c r="X3561">
        <v>6</v>
      </c>
      <c r="Y3561">
        <v>8</v>
      </c>
      <c r="Z3561">
        <v>6</v>
      </c>
      <c r="AA3561">
        <v>8</v>
      </c>
      <c r="AB3561">
        <v>0.57142999999999999</v>
      </c>
      <c r="AC3561" t="s">
        <v>90</v>
      </c>
      <c r="AD3561" t="s">
        <v>136</v>
      </c>
      <c r="AE3561" t="s">
        <v>62</v>
      </c>
      <c r="AF3561" t="s">
        <v>62</v>
      </c>
      <c r="AG3561">
        <v>3</v>
      </c>
      <c r="AH3561">
        <v>6</v>
      </c>
      <c r="AI3561">
        <v>14</v>
      </c>
      <c r="AJ3561">
        <v>0.3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2</v>
      </c>
      <c r="AR3561">
        <v>2</v>
      </c>
      <c r="AS3561">
        <v>12</v>
      </c>
      <c r="AT3561">
        <v>0.14285999999999999</v>
      </c>
      <c r="AU3561">
        <v>12</v>
      </c>
      <c r="AV3561">
        <v>8</v>
      </c>
      <c r="AW3561">
        <v>20</v>
      </c>
      <c r="AX3561">
        <v>12</v>
      </c>
      <c r="AY3561">
        <v>8</v>
      </c>
      <c r="AZ3561">
        <v>8</v>
      </c>
      <c r="BA3561" t="s">
        <v>20453</v>
      </c>
      <c r="BB3561" t="s">
        <v>20454</v>
      </c>
      <c r="BC3561">
        <v>0.61899999999999999</v>
      </c>
      <c r="BD3561" t="s">
        <v>65</v>
      </c>
      <c r="BE3561">
        <v>28</v>
      </c>
      <c r="BF3561">
        <v>20</v>
      </c>
      <c r="BG3561" t="s">
        <v>20455</v>
      </c>
      <c r="BH3561" t="s">
        <v>20456</v>
      </c>
      <c r="BI3561" t="s">
        <v>20457</v>
      </c>
      <c r="BJ3561">
        <v>0.25273000000000001</v>
      </c>
      <c r="BK3561">
        <v>1</v>
      </c>
      <c r="BL3561" t="s">
        <v>69</v>
      </c>
      <c r="BM3561">
        <v>-1.167</v>
      </c>
      <c r="BN3561">
        <v>-1.7030000000000001</v>
      </c>
    </row>
    <row r="3562" spans="10:66">
      <c r="J3562">
        <v>0</v>
      </c>
      <c r="K3562">
        <v>0</v>
      </c>
      <c r="L3562">
        <v>0</v>
      </c>
      <c r="M3562" t="s">
        <v>25021</v>
      </c>
      <c r="N3562">
        <v>3493</v>
      </c>
      <c r="O3562" t="s">
        <v>20464</v>
      </c>
      <c r="P3562" t="s">
        <v>57</v>
      </c>
      <c r="Q3562">
        <v>3456667</v>
      </c>
      <c r="R3562">
        <v>3457071</v>
      </c>
      <c r="S3562" t="s">
        <v>12662</v>
      </c>
      <c r="T3562">
        <v>135</v>
      </c>
      <c r="U3562" t="s">
        <v>20465</v>
      </c>
      <c r="V3562">
        <v>46</v>
      </c>
      <c r="W3562" t="str">
        <f>HYPERLINK("Gene3493-zp_tree_all.dnd", "Gene3493-tree")</f>
        <v>Gene3493-tree</v>
      </c>
      <c r="X3562">
        <v>15</v>
      </c>
      <c r="Y3562">
        <v>4</v>
      </c>
      <c r="Z3562">
        <v>15</v>
      </c>
      <c r="AA3562">
        <v>4</v>
      </c>
      <c r="AB3562">
        <v>0.21052999999999999</v>
      </c>
      <c r="AC3562" t="s">
        <v>100</v>
      </c>
      <c r="AD3562" t="s">
        <v>61</v>
      </c>
      <c r="AE3562" t="s">
        <v>62</v>
      </c>
      <c r="AF3562" t="s">
        <v>62</v>
      </c>
      <c r="AG3562">
        <v>0</v>
      </c>
      <c r="AH3562">
        <v>0</v>
      </c>
      <c r="AI3562">
        <v>6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4</v>
      </c>
      <c r="AT3562">
        <v>0</v>
      </c>
      <c r="AU3562">
        <v>15</v>
      </c>
      <c r="AV3562">
        <v>11</v>
      </c>
      <c r="AW3562">
        <v>24</v>
      </c>
      <c r="AX3562">
        <v>4</v>
      </c>
      <c r="AY3562">
        <v>27</v>
      </c>
      <c r="AZ3562">
        <v>2</v>
      </c>
      <c r="BA3562" t="s">
        <v>20466</v>
      </c>
      <c r="BB3562" t="s">
        <v>20467</v>
      </c>
      <c r="BC3562">
        <v>0.53600000000000003</v>
      </c>
      <c r="BD3562" t="s">
        <v>65</v>
      </c>
      <c r="BE3562">
        <v>51</v>
      </c>
      <c r="BF3562">
        <v>6</v>
      </c>
      <c r="BG3562" t="s">
        <v>20468</v>
      </c>
      <c r="BH3562" t="s">
        <v>20469</v>
      </c>
      <c r="BI3562" t="s">
        <v>20470</v>
      </c>
      <c r="BJ3562">
        <v>2.2009999999999998E-2</v>
      </c>
      <c r="BK3562">
        <v>1</v>
      </c>
      <c r="BL3562" t="s">
        <v>69</v>
      </c>
      <c r="BM3562">
        <v>-1.3440000000000001</v>
      </c>
      <c r="BN3562">
        <v>-1.1379999999999999</v>
      </c>
    </row>
    <row r="3563" spans="10:66">
      <c r="J3563">
        <v>0</v>
      </c>
      <c r="K3563">
        <v>2</v>
      </c>
      <c r="L3563">
        <v>2</v>
      </c>
      <c r="M3563" t="s">
        <v>25021</v>
      </c>
      <c r="N3563">
        <v>3494</v>
      </c>
      <c r="O3563" t="s">
        <v>20471</v>
      </c>
      <c r="P3563" t="s">
        <v>57</v>
      </c>
      <c r="Q3563">
        <v>3457104</v>
      </c>
      <c r="R3563">
        <v>3457520</v>
      </c>
      <c r="S3563" t="s">
        <v>20472</v>
      </c>
      <c r="T3563">
        <v>139</v>
      </c>
      <c r="U3563" t="s">
        <v>8341</v>
      </c>
      <c r="V3563">
        <v>42</v>
      </c>
      <c r="W3563" t="str">
        <f>HYPERLINK("Gene3494-zp_tree_all.dnd", "Gene3494-tree")</f>
        <v>Gene3494-tree</v>
      </c>
      <c r="X3563">
        <v>5</v>
      </c>
      <c r="Y3563">
        <v>7</v>
      </c>
      <c r="Z3563">
        <v>5</v>
      </c>
      <c r="AA3563">
        <v>7</v>
      </c>
      <c r="AB3563">
        <v>0.58333000000000002</v>
      </c>
      <c r="AC3563" t="s">
        <v>199</v>
      </c>
      <c r="AD3563" t="s">
        <v>152</v>
      </c>
      <c r="AE3563" t="s">
        <v>62</v>
      </c>
      <c r="AF3563" t="s">
        <v>62</v>
      </c>
      <c r="AG3563">
        <v>2</v>
      </c>
      <c r="AH3563">
        <v>4</v>
      </c>
      <c r="AI3563">
        <v>9</v>
      </c>
      <c r="AJ3563">
        <v>0.30769000000000002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2</v>
      </c>
      <c r="AQ3563">
        <v>0</v>
      </c>
      <c r="AR3563">
        <v>2</v>
      </c>
      <c r="AS3563">
        <v>8</v>
      </c>
      <c r="AT3563">
        <v>0.2</v>
      </c>
      <c r="AU3563">
        <v>9</v>
      </c>
      <c r="AV3563">
        <v>4</v>
      </c>
      <c r="AW3563">
        <v>20</v>
      </c>
      <c r="AX3563">
        <v>10</v>
      </c>
      <c r="AY3563">
        <v>6</v>
      </c>
      <c r="AZ3563">
        <v>3</v>
      </c>
      <c r="BA3563" t="s">
        <v>20473</v>
      </c>
      <c r="BB3563" t="s">
        <v>20474</v>
      </c>
      <c r="BC3563">
        <v>2.8000000000000001E-2</v>
      </c>
      <c r="BD3563" t="s">
        <v>65</v>
      </c>
      <c r="BE3563">
        <v>26</v>
      </c>
      <c r="BF3563">
        <v>13</v>
      </c>
      <c r="BG3563" t="s">
        <v>20475</v>
      </c>
      <c r="BH3563" t="s">
        <v>20476</v>
      </c>
      <c r="BI3563" t="s">
        <v>20477</v>
      </c>
      <c r="BJ3563">
        <v>0.18223</v>
      </c>
      <c r="BK3563">
        <v>1</v>
      </c>
      <c r="BL3563" t="s">
        <v>69</v>
      </c>
      <c r="BM3563">
        <v>-1.8240000000000001</v>
      </c>
      <c r="BN3563">
        <v>-4.3810000000000002</v>
      </c>
    </row>
    <row r="3564" spans="10:66">
      <c r="J3564">
        <v>0</v>
      </c>
      <c r="K3564">
        <v>0</v>
      </c>
      <c r="L3564">
        <v>0</v>
      </c>
      <c r="M3564" t="s">
        <v>25021</v>
      </c>
      <c r="N3564">
        <v>3495</v>
      </c>
      <c r="O3564" t="s">
        <v>20478</v>
      </c>
      <c r="P3564" t="s">
        <v>57</v>
      </c>
      <c r="Q3564">
        <v>3457615</v>
      </c>
      <c r="R3564">
        <v>3457938</v>
      </c>
      <c r="S3564" t="s">
        <v>20479</v>
      </c>
      <c r="T3564">
        <v>108</v>
      </c>
      <c r="U3564" t="s">
        <v>20480</v>
      </c>
      <c r="V3564">
        <v>47</v>
      </c>
      <c r="W3564" t="str">
        <f>HYPERLINK("Gene3495-zp_tree_all.dnd", "Gene3495-tree")</f>
        <v>Gene3495-tree</v>
      </c>
      <c r="X3564">
        <v>12</v>
      </c>
      <c r="Y3564">
        <v>1</v>
      </c>
      <c r="Z3564">
        <v>12</v>
      </c>
      <c r="AA3564">
        <v>1</v>
      </c>
      <c r="AB3564">
        <v>7.6920000000000002E-2</v>
      </c>
      <c r="AC3564" t="s">
        <v>109</v>
      </c>
      <c r="AD3564" t="s">
        <v>175</v>
      </c>
      <c r="AE3564" t="s">
        <v>62</v>
      </c>
      <c r="AF3564" t="s">
        <v>62</v>
      </c>
      <c r="AG3564">
        <v>0</v>
      </c>
      <c r="AH3564">
        <v>0</v>
      </c>
      <c r="AI3564">
        <v>2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0</v>
      </c>
      <c r="AU3564">
        <v>7</v>
      </c>
      <c r="AV3564">
        <v>9</v>
      </c>
      <c r="AW3564">
        <v>14</v>
      </c>
      <c r="AX3564">
        <v>1</v>
      </c>
      <c r="AY3564">
        <v>22</v>
      </c>
      <c r="AZ3564">
        <v>1</v>
      </c>
      <c r="BA3564" t="s">
        <v>20481</v>
      </c>
      <c r="BB3564" t="s">
        <v>20482</v>
      </c>
      <c r="BC3564">
        <v>0.11</v>
      </c>
      <c r="BD3564" t="s">
        <v>65</v>
      </c>
      <c r="BE3564">
        <v>36</v>
      </c>
      <c r="BF3564">
        <v>2</v>
      </c>
      <c r="BG3564" t="s">
        <v>20483</v>
      </c>
      <c r="BH3564" t="s">
        <v>20484</v>
      </c>
      <c r="BI3564" t="s">
        <v>20485</v>
      </c>
      <c r="BJ3564">
        <v>2.0959999999999999E-2</v>
      </c>
      <c r="BK3564">
        <v>1</v>
      </c>
      <c r="BL3564" t="s">
        <v>69</v>
      </c>
      <c r="BM3564">
        <v>-0.68600000000000005</v>
      </c>
      <c r="BN3564">
        <v>-0.14099999999999999</v>
      </c>
    </row>
    <row r="3565" spans="10:66">
      <c r="J3565">
        <v>0</v>
      </c>
      <c r="K3565">
        <v>16</v>
      </c>
      <c r="L3565">
        <v>0</v>
      </c>
      <c r="M3565" t="s">
        <v>25021</v>
      </c>
      <c r="N3565">
        <v>3496</v>
      </c>
      <c r="O3565" t="s">
        <v>20486</v>
      </c>
      <c r="P3565" t="s">
        <v>57</v>
      </c>
      <c r="Q3565">
        <v>3458066</v>
      </c>
      <c r="R3565">
        <v>3459763</v>
      </c>
      <c r="S3565" t="s">
        <v>20487</v>
      </c>
      <c r="T3565">
        <v>566</v>
      </c>
      <c r="U3565" t="s">
        <v>20488</v>
      </c>
      <c r="V3565">
        <v>37</v>
      </c>
      <c r="W3565" t="str">
        <f>HYPERLINK("Gene3496-zp_tree_all.dnd", "Gene3496-tree")</f>
        <v>Gene3496-tree</v>
      </c>
      <c r="X3565">
        <v>2</v>
      </c>
      <c r="Y3565">
        <v>7</v>
      </c>
      <c r="Z3565">
        <v>2</v>
      </c>
      <c r="AA3565">
        <v>7</v>
      </c>
      <c r="AB3565">
        <v>0.77778000000000003</v>
      </c>
      <c r="AC3565" t="s">
        <v>81</v>
      </c>
      <c r="AD3565" t="s">
        <v>152</v>
      </c>
      <c r="AE3565" t="s">
        <v>62</v>
      </c>
      <c r="AF3565" t="s">
        <v>62</v>
      </c>
      <c r="AG3565">
        <v>7</v>
      </c>
      <c r="AH3565">
        <v>16</v>
      </c>
      <c r="AI3565">
        <v>28</v>
      </c>
      <c r="AJ3565">
        <v>0.36364000000000002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2</v>
      </c>
      <c r="AQ3565">
        <v>0</v>
      </c>
      <c r="AR3565">
        <v>2</v>
      </c>
      <c r="AS3565">
        <v>31</v>
      </c>
      <c r="AT3565">
        <v>6.0609999999999997E-2</v>
      </c>
      <c r="AU3565">
        <v>9</v>
      </c>
      <c r="AV3565">
        <v>5</v>
      </c>
      <c r="AW3565">
        <v>86</v>
      </c>
      <c r="AX3565">
        <v>34</v>
      </c>
      <c r="AY3565">
        <v>36</v>
      </c>
      <c r="AZ3565">
        <v>12</v>
      </c>
      <c r="BA3565" t="s">
        <v>20489</v>
      </c>
      <c r="BB3565" t="s">
        <v>20490</v>
      </c>
      <c r="BC3565">
        <v>0.39500000000000002</v>
      </c>
      <c r="BD3565" t="s">
        <v>65</v>
      </c>
      <c r="BE3565">
        <v>122</v>
      </c>
      <c r="BF3565">
        <v>46</v>
      </c>
      <c r="BG3565" t="s">
        <v>20491</v>
      </c>
      <c r="BH3565" t="s">
        <v>20492</v>
      </c>
      <c r="BI3565" t="s">
        <v>20493</v>
      </c>
      <c r="BJ3565">
        <v>0.11661000000000001</v>
      </c>
      <c r="BK3565">
        <v>1</v>
      </c>
      <c r="BL3565" t="s">
        <v>69</v>
      </c>
      <c r="BM3565">
        <v>-0.49099999999999999</v>
      </c>
      <c r="BN3565">
        <v>-1.056</v>
      </c>
    </row>
    <row r="3566" spans="10:66">
      <c r="J3566">
        <v>0</v>
      </c>
      <c r="K3566">
        <v>7</v>
      </c>
      <c r="L3566">
        <v>0</v>
      </c>
      <c r="M3566" t="s">
        <v>25021</v>
      </c>
      <c r="N3566">
        <v>3501</v>
      </c>
      <c r="O3566" t="s">
        <v>20521</v>
      </c>
      <c r="P3566" t="s">
        <v>57</v>
      </c>
      <c r="Q3566">
        <v>3463534</v>
      </c>
      <c r="R3566">
        <v>3464064</v>
      </c>
      <c r="S3566" t="s">
        <v>20522</v>
      </c>
      <c r="T3566">
        <v>177</v>
      </c>
      <c r="U3566" t="s">
        <v>72</v>
      </c>
      <c r="V3566">
        <v>45</v>
      </c>
      <c r="W3566" t="str">
        <f>HYPERLINK("Gene3501-zp_tree_all.dnd", "Gene3501-tree")</f>
        <v>Gene3501-tree</v>
      </c>
      <c r="X3566">
        <v>11</v>
      </c>
      <c r="Y3566">
        <v>5</v>
      </c>
      <c r="Z3566">
        <v>11</v>
      </c>
      <c r="AA3566">
        <v>5</v>
      </c>
      <c r="AB3566">
        <v>0.3125</v>
      </c>
      <c r="AC3566" t="s">
        <v>73</v>
      </c>
      <c r="AD3566" t="s">
        <v>199</v>
      </c>
      <c r="AE3566" t="s">
        <v>62</v>
      </c>
      <c r="AF3566" t="s">
        <v>62</v>
      </c>
      <c r="AG3566">
        <v>2</v>
      </c>
      <c r="AH3566">
        <v>7</v>
      </c>
      <c r="AI3566">
        <v>5</v>
      </c>
      <c r="AJ3566">
        <v>0.58333000000000002</v>
      </c>
      <c r="AK3566">
        <v>0</v>
      </c>
      <c r="AL3566">
        <v>0</v>
      </c>
      <c r="AM3566">
        <v>0</v>
      </c>
      <c r="AN3566">
        <v>2</v>
      </c>
      <c r="AO3566">
        <v>0</v>
      </c>
      <c r="AP3566">
        <v>3</v>
      </c>
      <c r="AQ3566">
        <v>0</v>
      </c>
      <c r="AR3566">
        <v>3</v>
      </c>
      <c r="AS3566">
        <v>6</v>
      </c>
      <c r="AT3566">
        <v>0.33333000000000002</v>
      </c>
      <c r="AU3566">
        <v>10</v>
      </c>
      <c r="AV3566">
        <v>9</v>
      </c>
      <c r="AW3566">
        <v>34</v>
      </c>
      <c r="AX3566">
        <v>9</v>
      </c>
      <c r="AY3566">
        <v>8</v>
      </c>
      <c r="AZ3566">
        <v>3</v>
      </c>
      <c r="BA3566" t="s">
        <v>20523</v>
      </c>
      <c r="BB3566" t="s">
        <v>20524</v>
      </c>
      <c r="BC3566">
        <v>0.27500000000000002</v>
      </c>
      <c r="BD3566" t="s">
        <v>65</v>
      </c>
      <c r="BE3566">
        <v>42</v>
      </c>
      <c r="BF3566">
        <v>12</v>
      </c>
      <c r="BG3566" t="s">
        <v>20525</v>
      </c>
      <c r="BH3566" t="s">
        <v>20526</v>
      </c>
      <c r="BI3566" t="s">
        <v>20527</v>
      </c>
      <c r="BJ3566">
        <v>5.9310000000000002E-2</v>
      </c>
      <c r="BK3566">
        <v>1</v>
      </c>
      <c r="BL3566" t="s">
        <v>69</v>
      </c>
      <c r="BM3566">
        <v>-0.69199999999999995</v>
      </c>
      <c r="BN3566">
        <v>-3.2269999999999999</v>
      </c>
    </row>
    <row r="3567" spans="10:66">
      <c r="J3567">
        <v>0</v>
      </c>
      <c r="K3567">
        <v>0</v>
      </c>
      <c r="L3567">
        <v>0</v>
      </c>
      <c r="M3567" t="s">
        <v>25021</v>
      </c>
      <c r="N3567">
        <v>3511</v>
      </c>
      <c r="O3567" t="s">
        <v>20554</v>
      </c>
      <c r="P3567" t="s">
        <v>57</v>
      </c>
      <c r="Q3567">
        <v>3471266</v>
      </c>
      <c r="R3567">
        <v>3471820</v>
      </c>
      <c r="S3567" t="s">
        <v>20555</v>
      </c>
      <c r="T3567">
        <v>185</v>
      </c>
      <c r="U3567" t="s">
        <v>465</v>
      </c>
      <c r="V3567">
        <v>46</v>
      </c>
      <c r="W3567" t="str">
        <f>HYPERLINK("Gene3511-zp_tree_all.dnd", "Gene3511-tree")</f>
        <v>Gene3511-tree</v>
      </c>
      <c r="X3567">
        <v>8</v>
      </c>
      <c r="Y3567">
        <v>5</v>
      </c>
      <c r="Z3567">
        <v>8</v>
      </c>
      <c r="AA3567">
        <v>5</v>
      </c>
      <c r="AB3567">
        <v>0.38462000000000002</v>
      </c>
      <c r="AC3567" t="s">
        <v>136</v>
      </c>
      <c r="AD3567" t="s">
        <v>199</v>
      </c>
      <c r="AE3567" t="s">
        <v>62</v>
      </c>
      <c r="AF3567" t="s">
        <v>62</v>
      </c>
      <c r="AG3567">
        <v>0</v>
      </c>
      <c r="AH3567">
        <v>0</v>
      </c>
      <c r="AI3567">
        <v>10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5</v>
      </c>
      <c r="AT3567">
        <v>0</v>
      </c>
      <c r="AU3567">
        <v>10</v>
      </c>
      <c r="AV3567">
        <v>7</v>
      </c>
      <c r="AW3567">
        <v>11</v>
      </c>
      <c r="AX3567">
        <v>4</v>
      </c>
      <c r="AY3567">
        <v>16</v>
      </c>
      <c r="AZ3567">
        <v>6</v>
      </c>
      <c r="BA3567" t="s">
        <v>20556</v>
      </c>
      <c r="BB3567" t="s">
        <v>20557</v>
      </c>
      <c r="BC3567">
        <v>1E-3</v>
      </c>
      <c r="BD3567" t="s">
        <v>65</v>
      </c>
      <c r="BE3567">
        <v>27</v>
      </c>
      <c r="BF3567">
        <v>10</v>
      </c>
      <c r="BG3567" t="s">
        <v>20558</v>
      </c>
      <c r="BH3567" t="s">
        <v>20559</v>
      </c>
      <c r="BI3567" t="s">
        <v>20560</v>
      </c>
      <c r="BJ3567">
        <v>8.6660000000000001E-2</v>
      </c>
      <c r="BK3567">
        <v>1</v>
      </c>
      <c r="BL3567" t="s">
        <v>69</v>
      </c>
      <c r="BM3567">
        <v>-1.4219999999999999</v>
      </c>
      <c r="BN3567">
        <v>-0.79900000000000004</v>
      </c>
    </row>
    <row r="3568" spans="10:66">
      <c r="J3568">
        <v>0</v>
      </c>
      <c r="K3568">
        <v>3</v>
      </c>
      <c r="L3568">
        <v>1</v>
      </c>
      <c r="M3568" t="s">
        <v>25021</v>
      </c>
      <c r="N3568">
        <v>3513</v>
      </c>
      <c r="O3568" t="s">
        <v>20567</v>
      </c>
      <c r="P3568" t="s">
        <v>57</v>
      </c>
      <c r="Q3568">
        <v>3472626</v>
      </c>
      <c r="R3568">
        <v>3473237</v>
      </c>
      <c r="S3568" t="s">
        <v>116</v>
      </c>
      <c r="T3568">
        <v>204</v>
      </c>
      <c r="U3568" t="s">
        <v>108</v>
      </c>
      <c r="V3568">
        <v>44</v>
      </c>
      <c r="W3568" t="str">
        <f>HYPERLINK("Gene3513-zp_tree_all.dnd", "Gene3513-tree")</f>
        <v>Gene3513-tree</v>
      </c>
      <c r="X3568">
        <v>6</v>
      </c>
      <c r="Y3568">
        <v>6</v>
      </c>
      <c r="Z3568">
        <v>6</v>
      </c>
      <c r="AA3568">
        <v>6</v>
      </c>
      <c r="AB3568">
        <v>0.5</v>
      </c>
      <c r="AC3568" t="s">
        <v>90</v>
      </c>
      <c r="AD3568" t="s">
        <v>90</v>
      </c>
      <c r="AE3568" t="s">
        <v>62</v>
      </c>
      <c r="AF3568" t="s">
        <v>62</v>
      </c>
      <c r="AG3568">
        <v>1</v>
      </c>
      <c r="AH3568">
        <v>4</v>
      </c>
      <c r="AI3568">
        <v>5</v>
      </c>
      <c r="AJ3568">
        <v>0.44444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2</v>
      </c>
      <c r="AR3568">
        <v>2</v>
      </c>
      <c r="AS3568">
        <v>5</v>
      </c>
      <c r="AT3568">
        <v>0.28571000000000002</v>
      </c>
      <c r="AU3568">
        <v>9</v>
      </c>
      <c r="AV3568">
        <v>8</v>
      </c>
      <c r="AW3568">
        <v>15</v>
      </c>
      <c r="AX3568">
        <v>7</v>
      </c>
      <c r="AY3568">
        <v>15</v>
      </c>
      <c r="AZ3568">
        <v>2</v>
      </c>
      <c r="BA3568" t="s">
        <v>20568</v>
      </c>
      <c r="BB3568" t="s">
        <v>20569</v>
      </c>
      <c r="BC3568">
        <v>1.2230000000000001</v>
      </c>
      <c r="BD3568" t="s">
        <v>65</v>
      </c>
      <c r="BE3568">
        <v>30</v>
      </c>
      <c r="BF3568">
        <v>9</v>
      </c>
      <c r="BG3568" t="s">
        <v>20570</v>
      </c>
      <c r="BH3568" t="s">
        <v>20571</v>
      </c>
      <c r="BI3568" t="s">
        <v>20572</v>
      </c>
      <c r="BJ3568">
        <v>5.4420000000000003E-2</v>
      </c>
      <c r="BK3568">
        <v>1</v>
      </c>
      <c r="BL3568" t="s">
        <v>69</v>
      </c>
      <c r="BM3568">
        <v>-0.77</v>
      </c>
      <c r="BN3568">
        <v>1.4999999999999999E-2</v>
      </c>
    </row>
    <row r="3569" spans="10:66">
      <c r="J3569">
        <v>0</v>
      </c>
      <c r="K3569">
        <v>10</v>
      </c>
      <c r="L3569">
        <v>0</v>
      </c>
      <c r="M3569" t="s">
        <v>25021</v>
      </c>
      <c r="N3569">
        <v>3514</v>
      </c>
      <c r="O3569" t="s">
        <v>20573</v>
      </c>
      <c r="P3569" t="s">
        <v>57</v>
      </c>
      <c r="Q3569">
        <v>3473372</v>
      </c>
      <c r="R3569">
        <v>3474067</v>
      </c>
      <c r="S3569" t="s">
        <v>116</v>
      </c>
      <c r="T3569">
        <v>232</v>
      </c>
      <c r="U3569" t="s">
        <v>108</v>
      </c>
      <c r="V3569">
        <v>44</v>
      </c>
      <c r="W3569" t="str">
        <f>HYPERLINK("Gene3514-zp_tree_all.dnd", "Gene3514-tree")</f>
        <v>Gene3514-tree</v>
      </c>
      <c r="X3569">
        <v>2</v>
      </c>
      <c r="Y3569">
        <v>31</v>
      </c>
      <c r="Z3569">
        <v>2</v>
      </c>
      <c r="AA3569">
        <v>12</v>
      </c>
      <c r="AB3569">
        <v>0.85714000000000001</v>
      </c>
      <c r="AC3569" t="s">
        <v>81</v>
      </c>
      <c r="AD3569" t="s">
        <v>5000</v>
      </c>
      <c r="AE3569">
        <v>0.68700000000000006</v>
      </c>
      <c r="AF3569" t="s">
        <v>65</v>
      </c>
      <c r="AG3569">
        <v>4</v>
      </c>
      <c r="AH3569">
        <v>10</v>
      </c>
      <c r="AI3569">
        <v>13</v>
      </c>
      <c r="AJ3569">
        <v>0.43478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5</v>
      </c>
      <c r="AQ3569">
        <v>0</v>
      </c>
      <c r="AR3569">
        <v>5</v>
      </c>
      <c r="AS3569">
        <v>11</v>
      </c>
      <c r="AT3569">
        <v>0.3125</v>
      </c>
      <c r="AU3569">
        <v>12</v>
      </c>
      <c r="AV3569">
        <v>9</v>
      </c>
      <c r="AW3569">
        <v>20</v>
      </c>
      <c r="AX3569">
        <v>14</v>
      </c>
      <c r="AY3569">
        <v>14</v>
      </c>
      <c r="AZ3569">
        <v>9</v>
      </c>
      <c r="BA3569" t="s">
        <v>20574</v>
      </c>
      <c r="BB3569" t="s">
        <v>20575</v>
      </c>
      <c r="BC3569">
        <v>6.9000000000000006E-2</v>
      </c>
      <c r="BD3569" t="s">
        <v>65</v>
      </c>
      <c r="BE3569">
        <v>34</v>
      </c>
      <c r="BF3569">
        <v>23</v>
      </c>
      <c r="BG3569" t="s">
        <v>20576</v>
      </c>
      <c r="BH3569" t="s">
        <v>20577</v>
      </c>
      <c r="BI3569" t="s">
        <v>20578</v>
      </c>
      <c r="BJ3569">
        <v>0.17926</v>
      </c>
      <c r="BK3569">
        <v>1</v>
      </c>
      <c r="BL3569" t="s">
        <v>69</v>
      </c>
      <c r="BM3569">
        <v>-0.35599999999999998</v>
      </c>
      <c r="BN3569">
        <v>-1.2470000000000001</v>
      </c>
    </row>
    <row r="3570" spans="10:66">
      <c r="J3570">
        <v>0</v>
      </c>
      <c r="K3570">
        <v>2</v>
      </c>
      <c r="L3570">
        <v>0</v>
      </c>
      <c r="M3570" t="s">
        <v>25021</v>
      </c>
      <c r="N3570">
        <v>3516</v>
      </c>
      <c r="O3570" t="s">
        <v>20585</v>
      </c>
      <c r="P3570" t="s">
        <v>57</v>
      </c>
      <c r="Q3570">
        <v>3476043</v>
      </c>
      <c r="R3570">
        <v>3476507</v>
      </c>
      <c r="S3570" t="s">
        <v>20586</v>
      </c>
      <c r="T3570">
        <v>155</v>
      </c>
      <c r="U3570" t="s">
        <v>20587</v>
      </c>
      <c r="V3570">
        <v>37</v>
      </c>
      <c r="W3570" t="str">
        <f>HYPERLINK("Gene3516-zp_tree_all.dnd", "Gene3516-tree")</f>
        <v>Gene3516-tree</v>
      </c>
      <c r="X3570">
        <v>8</v>
      </c>
      <c r="Y3570">
        <v>2</v>
      </c>
      <c r="Z3570">
        <v>8</v>
      </c>
      <c r="AA3570">
        <v>2</v>
      </c>
      <c r="AB3570">
        <v>0.2</v>
      </c>
      <c r="AC3570" t="s">
        <v>136</v>
      </c>
      <c r="AD3570" t="s">
        <v>81</v>
      </c>
      <c r="AE3570" t="s">
        <v>62</v>
      </c>
      <c r="AF3570" t="s">
        <v>62</v>
      </c>
      <c r="AG3570">
        <v>1</v>
      </c>
      <c r="AH3570">
        <v>2</v>
      </c>
      <c r="AI3570">
        <v>4</v>
      </c>
      <c r="AJ3570">
        <v>0.33333000000000002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0</v>
      </c>
      <c r="AU3570">
        <v>7</v>
      </c>
      <c r="AV3570">
        <v>6</v>
      </c>
      <c r="AW3570">
        <v>12</v>
      </c>
      <c r="AX3570">
        <v>2</v>
      </c>
      <c r="AY3570">
        <v>8</v>
      </c>
      <c r="AZ3570">
        <v>4</v>
      </c>
      <c r="BA3570" t="s">
        <v>20588</v>
      </c>
      <c r="BB3570" t="s">
        <v>20589</v>
      </c>
      <c r="BC3570">
        <v>0.91800000000000004</v>
      </c>
      <c r="BD3570" t="s">
        <v>65</v>
      </c>
      <c r="BE3570">
        <v>20</v>
      </c>
      <c r="BF3570">
        <v>6</v>
      </c>
      <c r="BG3570" t="s">
        <v>20590</v>
      </c>
      <c r="BH3570" t="s">
        <v>20591</v>
      </c>
      <c r="BI3570" t="s">
        <v>20592</v>
      </c>
      <c r="BJ3570">
        <v>0.11194</v>
      </c>
      <c r="BK3570">
        <v>1</v>
      </c>
      <c r="BL3570" t="s">
        <v>69</v>
      </c>
      <c r="BM3570">
        <v>0.60799999999999998</v>
      </c>
      <c r="BN3570">
        <v>7.0999999999999994E-2</v>
      </c>
    </row>
    <row r="3571" spans="10:66">
      <c r="J3571">
        <v>0</v>
      </c>
      <c r="K3571">
        <v>0</v>
      </c>
      <c r="L3571">
        <v>0</v>
      </c>
      <c r="M3571" t="s">
        <v>25021</v>
      </c>
      <c r="N3571">
        <v>3524</v>
      </c>
      <c r="O3571" t="s">
        <v>20641</v>
      </c>
      <c r="P3571" t="s">
        <v>57</v>
      </c>
      <c r="Q3571">
        <v>3485670</v>
      </c>
      <c r="R3571">
        <v>3486755</v>
      </c>
      <c r="S3571" t="s">
        <v>20642</v>
      </c>
      <c r="T3571">
        <v>362</v>
      </c>
      <c r="U3571" t="s">
        <v>108</v>
      </c>
      <c r="V3571">
        <v>44</v>
      </c>
      <c r="W3571" t="str">
        <f>HYPERLINK("Gene3524-zp_tree_all.dnd", "Gene3524-tree")</f>
        <v>Gene3524-tree</v>
      </c>
      <c r="X3571">
        <v>10</v>
      </c>
      <c r="Y3571">
        <v>2</v>
      </c>
      <c r="Z3571">
        <v>10</v>
      </c>
      <c r="AA3571">
        <v>2</v>
      </c>
      <c r="AB3571">
        <v>0.16667000000000001</v>
      </c>
      <c r="AC3571" t="s">
        <v>117</v>
      </c>
      <c r="AD3571" t="s">
        <v>81</v>
      </c>
      <c r="AE3571" t="s">
        <v>62</v>
      </c>
      <c r="AF3571" t="s">
        <v>62</v>
      </c>
      <c r="AG3571">
        <v>0</v>
      </c>
      <c r="AH3571">
        <v>0</v>
      </c>
      <c r="AI3571">
        <v>2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2</v>
      </c>
      <c r="AT3571">
        <v>0</v>
      </c>
      <c r="AU3571">
        <v>10</v>
      </c>
      <c r="AV3571">
        <v>5</v>
      </c>
      <c r="AW3571">
        <v>18</v>
      </c>
      <c r="AX3571">
        <v>2</v>
      </c>
      <c r="AY3571">
        <v>8</v>
      </c>
      <c r="AZ3571">
        <v>0</v>
      </c>
      <c r="BA3571" t="s">
        <v>20643</v>
      </c>
      <c r="BB3571" t="s">
        <v>193</v>
      </c>
      <c r="BC3571">
        <v>0.746</v>
      </c>
      <c r="BD3571" t="s">
        <v>65</v>
      </c>
      <c r="BE3571">
        <v>26</v>
      </c>
      <c r="BF3571">
        <v>2</v>
      </c>
      <c r="BG3571" t="s">
        <v>20644</v>
      </c>
      <c r="BH3571" t="s">
        <v>20645</v>
      </c>
      <c r="BI3571" t="s">
        <v>5581</v>
      </c>
      <c r="BJ3571">
        <v>1.7690000000000001E-2</v>
      </c>
      <c r="BK3571">
        <v>1</v>
      </c>
      <c r="BL3571" t="s">
        <v>69</v>
      </c>
      <c r="BM3571">
        <v>-0.33500000000000002</v>
      </c>
      <c r="BN3571">
        <v>-1.389</v>
      </c>
    </row>
    <row r="3572" spans="10:66">
      <c r="J3572">
        <v>0</v>
      </c>
      <c r="K3572">
        <v>2</v>
      </c>
      <c r="L3572">
        <v>0</v>
      </c>
      <c r="M3572" t="s">
        <v>25021</v>
      </c>
      <c r="N3572">
        <v>3527</v>
      </c>
      <c r="O3572" t="s">
        <v>20658</v>
      </c>
      <c r="P3572" t="s">
        <v>57</v>
      </c>
      <c r="Q3572">
        <v>3488952</v>
      </c>
      <c r="R3572">
        <v>3489866</v>
      </c>
      <c r="S3572" t="s">
        <v>20659</v>
      </c>
      <c r="T3572">
        <v>305</v>
      </c>
      <c r="U3572" t="s">
        <v>108</v>
      </c>
      <c r="V3572">
        <v>44</v>
      </c>
      <c r="W3572" t="str">
        <f>HYPERLINK("Gene3527-zp_tree_all.dnd", "Gene3527-tree")</f>
        <v>Gene3527-tree</v>
      </c>
      <c r="X3572">
        <v>8</v>
      </c>
      <c r="Y3572">
        <v>7</v>
      </c>
      <c r="Z3572">
        <v>8</v>
      </c>
      <c r="AA3572">
        <v>7</v>
      </c>
      <c r="AB3572">
        <v>0.46666999999999997</v>
      </c>
      <c r="AC3572" t="s">
        <v>136</v>
      </c>
      <c r="AD3572" t="s">
        <v>152</v>
      </c>
      <c r="AE3572" t="s">
        <v>62</v>
      </c>
      <c r="AF3572" t="s">
        <v>62</v>
      </c>
      <c r="AG3572">
        <v>1</v>
      </c>
      <c r="AH3572">
        <v>2</v>
      </c>
      <c r="AI3572">
        <v>11</v>
      </c>
      <c r="AJ3572">
        <v>0.15384999999999999</v>
      </c>
      <c r="AK3572">
        <v>0</v>
      </c>
      <c r="AL3572">
        <v>0</v>
      </c>
      <c r="AM3572">
        <v>0</v>
      </c>
      <c r="AN3572">
        <v>1</v>
      </c>
      <c r="AO3572">
        <v>0</v>
      </c>
      <c r="AP3572">
        <v>0</v>
      </c>
      <c r="AQ3572">
        <v>0</v>
      </c>
      <c r="AR3572">
        <v>0</v>
      </c>
      <c r="AS3572">
        <v>11</v>
      </c>
      <c r="AT3572">
        <v>0</v>
      </c>
      <c r="AU3572">
        <v>11</v>
      </c>
      <c r="AV3572">
        <v>9</v>
      </c>
      <c r="AW3572">
        <v>21</v>
      </c>
      <c r="AX3572">
        <v>11</v>
      </c>
      <c r="AY3572">
        <v>13</v>
      </c>
      <c r="AZ3572">
        <v>2</v>
      </c>
      <c r="BA3572" t="s">
        <v>20660</v>
      </c>
      <c r="BB3572" t="s">
        <v>20661</v>
      </c>
      <c r="BC3572">
        <v>1.298</v>
      </c>
      <c r="BD3572" t="s">
        <v>65</v>
      </c>
      <c r="BE3572">
        <v>34</v>
      </c>
      <c r="BF3572">
        <v>13</v>
      </c>
      <c r="BG3572" t="s">
        <v>20662</v>
      </c>
      <c r="BH3572" t="s">
        <v>20663</v>
      </c>
      <c r="BI3572" t="s">
        <v>95</v>
      </c>
      <c r="BJ3572">
        <v>0.12459000000000001</v>
      </c>
      <c r="BK3572">
        <v>1</v>
      </c>
      <c r="BL3572" t="s">
        <v>69</v>
      </c>
      <c r="BM3572">
        <v>-0.32800000000000001</v>
      </c>
      <c r="BN3572">
        <v>-1.4330000000000001</v>
      </c>
    </row>
    <row r="3573" spans="10:66">
      <c r="J3573">
        <v>0</v>
      </c>
      <c r="K3573">
        <v>0</v>
      </c>
      <c r="L3573">
        <v>2</v>
      </c>
      <c r="M3573" t="s">
        <v>25021</v>
      </c>
      <c r="N3573">
        <v>3537</v>
      </c>
      <c r="O3573" t="s">
        <v>20723</v>
      </c>
      <c r="P3573" t="s">
        <v>57</v>
      </c>
      <c r="Q3573">
        <v>3499541</v>
      </c>
      <c r="R3573">
        <v>3500347</v>
      </c>
      <c r="S3573" t="s">
        <v>20724</v>
      </c>
      <c r="T3573">
        <v>269</v>
      </c>
      <c r="U3573" t="s">
        <v>20725</v>
      </c>
      <c r="V3573">
        <v>42</v>
      </c>
      <c r="W3573" t="str">
        <f>HYPERLINK("Gene3537-zp_tree_all.dnd", "Gene3537-tree")</f>
        <v>Gene3537-tree</v>
      </c>
      <c r="X3573">
        <v>29</v>
      </c>
      <c r="Y3573">
        <v>7</v>
      </c>
      <c r="Z3573">
        <v>2</v>
      </c>
      <c r="AA3573">
        <v>7</v>
      </c>
      <c r="AB3573">
        <v>0.77778000000000003</v>
      </c>
      <c r="AC3573" t="s">
        <v>20726</v>
      </c>
      <c r="AD3573" t="s">
        <v>152</v>
      </c>
      <c r="AE3573" t="s">
        <v>62</v>
      </c>
      <c r="AF3573" t="s">
        <v>62</v>
      </c>
      <c r="AG3573">
        <v>1</v>
      </c>
      <c r="AH3573">
        <v>2</v>
      </c>
      <c r="AI3573">
        <v>9</v>
      </c>
      <c r="AJ3573">
        <v>0.18182000000000001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2</v>
      </c>
      <c r="AR3573">
        <v>2</v>
      </c>
      <c r="AS3573">
        <v>7</v>
      </c>
      <c r="AT3573">
        <v>0.22222</v>
      </c>
      <c r="AU3573">
        <v>8</v>
      </c>
      <c r="AV3573">
        <v>5</v>
      </c>
      <c r="AW3573">
        <v>10</v>
      </c>
      <c r="AX3573">
        <v>9</v>
      </c>
      <c r="AY3573">
        <v>3</v>
      </c>
      <c r="AZ3573">
        <v>2</v>
      </c>
      <c r="BA3573" t="s">
        <v>20727</v>
      </c>
      <c r="BB3573" t="s">
        <v>20728</v>
      </c>
      <c r="BC3573">
        <v>0.316</v>
      </c>
      <c r="BD3573" t="s">
        <v>65</v>
      </c>
      <c r="BE3573">
        <v>13</v>
      </c>
      <c r="BF3573">
        <v>11</v>
      </c>
      <c r="BG3573" t="s">
        <v>20729</v>
      </c>
      <c r="BH3573" t="s">
        <v>20730</v>
      </c>
      <c r="BI3573" t="s">
        <v>20731</v>
      </c>
      <c r="BJ3573">
        <v>0.25128</v>
      </c>
      <c r="BK3573">
        <v>1</v>
      </c>
      <c r="BL3573" t="s">
        <v>69</v>
      </c>
      <c r="BM3573">
        <v>-1.6930000000000001</v>
      </c>
      <c r="BN3573">
        <v>-2.536</v>
      </c>
    </row>
    <row r="3574" spans="10:66">
      <c r="J3574">
        <v>0</v>
      </c>
      <c r="K3574">
        <v>12</v>
      </c>
      <c r="L3574">
        <v>0</v>
      </c>
      <c r="M3574" t="s">
        <v>25021</v>
      </c>
      <c r="N3574">
        <v>3538</v>
      </c>
      <c r="O3574" t="s">
        <v>20732</v>
      </c>
      <c r="P3574" t="s">
        <v>57</v>
      </c>
      <c r="Q3574">
        <v>3500386</v>
      </c>
      <c r="R3574">
        <v>3501594</v>
      </c>
      <c r="S3574" t="s">
        <v>20733</v>
      </c>
      <c r="T3574">
        <v>403</v>
      </c>
      <c r="U3574" t="s">
        <v>5451</v>
      </c>
      <c r="V3574">
        <v>43</v>
      </c>
      <c r="W3574" t="str">
        <f>HYPERLINK("Gene3538-zp_tree_all.dnd", "Gene3538-tree")</f>
        <v>Gene3538-tree</v>
      </c>
      <c r="X3574">
        <v>6</v>
      </c>
      <c r="Y3574">
        <v>9</v>
      </c>
      <c r="Z3574">
        <v>6</v>
      </c>
      <c r="AA3574">
        <v>9</v>
      </c>
      <c r="AB3574">
        <v>0.6</v>
      </c>
      <c r="AC3574" t="s">
        <v>90</v>
      </c>
      <c r="AD3574" t="s">
        <v>135</v>
      </c>
      <c r="AE3574" t="s">
        <v>62</v>
      </c>
      <c r="AF3574" t="s">
        <v>62</v>
      </c>
      <c r="AG3574">
        <v>6</v>
      </c>
      <c r="AH3574">
        <v>12</v>
      </c>
      <c r="AI3574">
        <v>23</v>
      </c>
      <c r="AJ3574">
        <v>0.34286</v>
      </c>
      <c r="AK3574">
        <v>0</v>
      </c>
      <c r="AL3574">
        <v>0</v>
      </c>
      <c r="AM3574">
        <v>0</v>
      </c>
      <c r="AN3574">
        <v>3</v>
      </c>
      <c r="AO3574">
        <v>0</v>
      </c>
      <c r="AP3574">
        <v>0</v>
      </c>
      <c r="AQ3574">
        <v>0</v>
      </c>
      <c r="AR3574">
        <v>0</v>
      </c>
      <c r="AS3574">
        <v>26</v>
      </c>
      <c r="AT3574">
        <v>0</v>
      </c>
      <c r="AU3574">
        <v>12</v>
      </c>
      <c r="AV3574">
        <v>10</v>
      </c>
      <c r="AW3574">
        <v>51</v>
      </c>
      <c r="AX3574">
        <v>20</v>
      </c>
      <c r="AY3574">
        <v>32</v>
      </c>
      <c r="AZ3574">
        <v>17</v>
      </c>
      <c r="BA3574" t="s">
        <v>20734</v>
      </c>
      <c r="BB3574" t="s">
        <v>20735</v>
      </c>
      <c r="BC3574">
        <v>0.24399999999999999</v>
      </c>
      <c r="BD3574" t="s">
        <v>65</v>
      </c>
      <c r="BE3574">
        <v>83</v>
      </c>
      <c r="BF3574">
        <v>37</v>
      </c>
      <c r="BG3574" t="s">
        <v>20736</v>
      </c>
      <c r="BH3574" t="s">
        <v>20737</v>
      </c>
      <c r="BI3574" t="s">
        <v>20738</v>
      </c>
      <c r="BJ3574">
        <v>0.14138999999999999</v>
      </c>
      <c r="BK3574">
        <v>1</v>
      </c>
      <c r="BL3574" t="s">
        <v>69</v>
      </c>
      <c r="BM3574">
        <v>-1.091</v>
      </c>
      <c r="BN3574">
        <v>-1.9970000000000001</v>
      </c>
    </row>
    <row r="3575" spans="10:66">
      <c r="J3575">
        <v>0</v>
      </c>
      <c r="K3575">
        <v>11</v>
      </c>
      <c r="L3575">
        <v>1</v>
      </c>
      <c r="M3575" t="s">
        <v>25021</v>
      </c>
      <c r="N3575">
        <v>3546</v>
      </c>
      <c r="O3575" t="s">
        <v>20783</v>
      </c>
      <c r="P3575" t="s">
        <v>57</v>
      </c>
      <c r="Q3575">
        <v>3510780</v>
      </c>
      <c r="R3575">
        <v>3512468</v>
      </c>
      <c r="S3575" t="s">
        <v>2093</v>
      </c>
      <c r="T3575">
        <v>563</v>
      </c>
      <c r="U3575" t="s">
        <v>108</v>
      </c>
      <c r="V3575">
        <v>44</v>
      </c>
      <c r="W3575" t="str">
        <f>HYPERLINK("Gene3546-zp_tree_all.dnd", "Gene3546-tree")</f>
        <v>Gene3546-tree</v>
      </c>
      <c r="X3575">
        <v>7</v>
      </c>
      <c r="Y3575">
        <v>8</v>
      </c>
      <c r="Z3575">
        <v>7</v>
      </c>
      <c r="AA3575">
        <v>8</v>
      </c>
      <c r="AB3575">
        <v>0.53332999999999997</v>
      </c>
      <c r="AC3575" t="s">
        <v>152</v>
      </c>
      <c r="AD3575" t="s">
        <v>136</v>
      </c>
      <c r="AE3575" t="s">
        <v>62</v>
      </c>
      <c r="AF3575" t="s">
        <v>62</v>
      </c>
      <c r="AG3575">
        <v>5</v>
      </c>
      <c r="AH3575">
        <v>12</v>
      </c>
      <c r="AI3575">
        <v>13</v>
      </c>
      <c r="AJ3575">
        <v>0.48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3</v>
      </c>
      <c r="AQ3575">
        <v>2</v>
      </c>
      <c r="AR3575">
        <v>5</v>
      </c>
      <c r="AS3575">
        <v>6</v>
      </c>
      <c r="AT3575">
        <v>0.45455000000000001</v>
      </c>
      <c r="AU3575">
        <v>14</v>
      </c>
      <c r="AV3575">
        <v>12</v>
      </c>
      <c r="AW3575">
        <v>74</v>
      </c>
      <c r="AX3575">
        <v>11</v>
      </c>
      <c r="AY3575">
        <v>54</v>
      </c>
      <c r="AZ3575">
        <v>15</v>
      </c>
      <c r="BA3575" t="s">
        <v>20784</v>
      </c>
      <c r="BB3575" t="s">
        <v>20785</v>
      </c>
      <c r="BC3575">
        <v>1.002</v>
      </c>
      <c r="BD3575" t="s">
        <v>65</v>
      </c>
      <c r="BE3575">
        <v>128</v>
      </c>
      <c r="BF3575">
        <v>26</v>
      </c>
      <c r="BG3575" t="s">
        <v>20786</v>
      </c>
      <c r="BH3575" t="s">
        <v>20787</v>
      </c>
      <c r="BI3575" t="s">
        <v>20788</v>
      </c>
      <c r="BJ3575">
        <v>8.1170000000000006E-2</v>
      </c>
      <c r="BK3575">
        <v>1</v>
      </c>
      <c r="BL3575" t="s">
        <v>69</v>
      </c>
      <c r="BM3575">
        <v>-0.443</v>
      </c>
      <c r="BN3575">
        <v>-0.88700000000000001</v>
      </c>
    </row>
    <row r="3576" spans="10:66">
      <c r="J3576">
        <v>0</v>
      </c>
      <c r="K3576">
        <v>0</v>
      </c>
      <c r="L3576">
        <v>0</v>
      </c>
      <c r="M3576" t="s">
        <v>25021</v>
      </c>
      <c r="N3576">
        <v>3548</v>
      </c>
      <c r="O3576" t="s">
        <v>20796</v>
      </c>
      <c r="P3576" t="s">
        <v>57</v>
      </c>
      <c r="Q3576">
        <v>3513887</v>
      </c>
      <c r="R3576">
        <v>3514102</v>
      </c>
      <c r="S3576" t="s">
        <v>116</v>
      </c>
      <c r="T3576">
        <v>72</v>
      </c>
      <c r="U3576" t="s">
        <v>59</v>
      </c>
      <c r="V3576">
        <v>49</v>
      </c>
      <c r="W3576" t="str">
        <f>HYPERLINK("Gene3548-zp_tree_all.dnd", "Gene3548-tree")</f>
        <v>Gene3548-tree</v>
      </c>
      <c r="X3576">
        <v>8</v>
      </c>
      <c r="Y3576">
        <v>1</v>
      </c>
      <c r="Z3576">
        <v>8</v>
      </c>
      <c r="AA3576">
        <v>1</v>
      </c>
      <c r="AB3576">
        <v>0.11111</v>
      </c>
      <c r="AC3576" t="s">
        <v>136</v>
      </c>
      <c r="AD3576" t="s">
        <v>175</v>
      </c>
      <c r="AE3576" t="s">
        <v>62</v>
      </c>
      <c r="AF3576" t="s">
        <v>62</v>
      </c>
      <c r="AG3576">
        <v>0</v>
      </c>
      <c r="AH3576">
        <v>0</v>
      </c>
      <c r="AI3576">
        <v>2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6</v>
      </c>
      <c r="AV3576">
        <v>5</v>
      </c>
      <c r="AW3576">
        <v>15</v>
      </c>
      <c r="AX3576">
        <v>1</v>
      </c>
      <c r="AY3576">
        <v>8</v>
      </c>
      <c r="AZ3576">
        <v>1</v>
      </c>
      <c r="BA3576" t="s">
        <v>20797</v>
      </c>
      <c r="BB3576" t="s">
        <v>20798</v>
      </c>
      <c r="BC3576">
        <v>0.215</v>
      </c>
      <c r="BD3576" t="s">
        <v>65</v>
      </c>
      <c r="BE3576">
        <v>23</v>
      </c>
      <c r="BF3576">
        <v>2</v>
      </c>
      <c r="BG3576" t="s">
        <v>20799</v>
      </c>
      <c r="BH3576" t="s">
        <v>20800</v>
      </c>
      <c r="BI3576" t="s">
        <v>20801</v>
      </c>
      <c r="BJ3576">
        <v>2.2190000000000001E-2</v>
      </c>
      <c r="BK3576">
        <v>1</v>
      </c>
      <c r="BL3576" t="s">
        <v>69</v>
      </c>
      <c r="BM3576">
        <v>-1.351</v>
      </c>
      <c r="BN3576">
        <v>-3.0979999999999999</v>
      </c>
    </row>
    <row r="3577" spans="10:66">
      <c r="J3577">
        <v>0</v>
      </c>
      <c r="K3577">
        <v>0</v>
      </c>
      <c r="L3577">
        <v>0</v>
      </c>
      <c r="M3577" t="s">
        <v>25021</v>
      </c>
      <c r="N3577">
        <v>3564</v>
      </c>
      <c r="O3577" t="s">
        <v>20905</v>
      </c>
      <c r="P3577" t="s">
        <v>57</v>
      </c>
      <c r="Q3577">
        <v>3530101</v>
      </c>
      <c r="R3577">
        <v>3530556</v>
      </c>
      <c r="S3577" t="s">
        <v>20906</v>
      </c>
      <c r="T3577">
        <v>152</v>
      </c>
      <c r="U3577" t="s">
        <v>6390</v>
      </c>
      <c r="V3577">
        <v>45</v>
      </c>
      <c r="W3577" t="str">
        <f>HYPERLINK("Gene3564-zp_tree_all.dnd", "Gene3564-tree")</f>
        <v>Gene3564-tree</v>
      </c>
      <c r="X3577">
        <v>8</v>
      </c>
      <c r="Y3577">
        <v>5</v>
      </c>
      <c r="Z3577">
        <v>8</v>
      </c>
      <c r="AA3577">
        <v>5</v>
      </c>
      <c r="AB3577">
        <v>0.38462000000000002</v>
      </c>
      <c r="AC3577" t="s">
        <v>136</v>
      </c>
      <c r="AD3577" t="s">
        <v>199</v>
      </c>
      <c r="AE3577" t="s">
        <v>62</v>
      </c>
      <c r="AF3577" t="s">
        <v>62</v>
      </c>
      <c r="AG3577">
        <v>0</v>
      </c>
      <c r="AH3577">
        <v>0</v>
      </c>
      <c r="AI3577">
        <v>7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6</v>
      </c>
      <c r="AT3577">
        <v>0</v>
      </c>
      <c r="AU3577">
        <v>11</v>
      </c>
      <c r="AV3577">
        <v>6</v>
      </c>
      <c r="AW3577">
        <v>27</v>
      </c>
      <c r="AX3577">
        <v>7</v>
      </c>
      <c r="AY3577">
        <v>9</v>
      </c>
      <c r="AZ3577">
        <v>1</v>
      </c>
      <c r="BA3577" t="s">
        <v>20907</v>
      </c>
      <c r="BB3577" t="s">
        <v>20908</v>
      </c>
      <c r="BC3577">
        <v>0.33500000000000002</v>
      </c>
      <c r="BD3577" t="s">
        <v>65</v>
      </c>
      <c r="BE3577">
        <v>36</v>
      </c>
      <c r="BF3577">
        <v>8</v>
      </c>
      <c r="BG3577" t="s">
        <v>20909</v>
      </c>
      <c r="BH3577" t="s">
        <v>20910</v>
      </c>
      <c r="BI3577" t="s">
        <v>20911</v>
      </c>
      <c r="BJ3577">
        <v>5.8470000000000001E-2</v>
      </c>
      <c r="BK3577">
        <v>1</v>
      </c>
      <c r="BL3577" t="s">
        <v>69</v>
      </c>
      <c r="BM3577">
        <v>-0.997</v>
      </c>
      <c r="BN3577">
        <v>-3.1019999999999999</v>
      </c>
    </row>
    <row r="3578" spans="10:66">
      <c r="J3578">
        <v>0</v>
      </c>
      <c r="K3578">
        <v>45</v>
      </c>
      <c r="L3578">
        <v>6</v>
      </c>
      <c r="M3578" t="s">
        <v>25021</v>
      </c>
      <c r="N3578">
        <v>3565</v>
      </c>
      <c r="O3578" t="s">
        <v>20912</v>
      </c>
      <c r="P3578" t="s">
        <v>57</v>
      </c>
      <c r="Q3578">
        <v>3530635</v>
      </c>
      <c r="R3578">
        <v>3532101</v>
      </c>
      <c r="S3578" t="s">
        <v>20913</v>
      </c>
      <c r="T3578">
        <v>489</v>
      </c>
      <c r="U3578" t="s">
        <v>20914</v>
      </c>
      <c r="V3578">
        <v>39</v>
      </c>
      <c r="W3578" t="str">
        <f>HYPERLINK("Gene3565-zp_tree_all.dnd", "Gene3565-tree")</f>
        <v>Gene3565-tree</v>
      </c>
      <c r="X3578">
        <v>2</v>
      </c>
      <c r="Y3578">
        <v>12</v>
      </c>
      <c r="Z3578">
        <v>2</v>
      </c>
      <c r="AA3578">
        <v>12</v>
      </c>
      <c r="AB3578">
        <v>0.85714000000000001</v>
      </c>
      <c r="AC3578" t="s">
        <v>81</v>
      </c>
      <c r="AD3578" t="s">
        <v>109</v>
      </c>
      <c r="AE3578" t="s">
        <v>62</v>
      </c>
      <c r="AF3578" t="s">
        <v>62</v>
      </c>
      <c r="AG3578">
        <v>20</v>
      </c>
      <c r="AH3578">
        <v>51</v>
      </c>
      <c r="AI3578">
        <v>29</v>
      </c>
      <c r="AJ3578">
        <v>0.63749999999999996</v>
      </c>
      <c r="AK3578">
        <v>0</v>
      </c>
      <c r="AL3578">
        <v>0</v>
      </c>
      <c r="AM3578">
        <v>0</v>
      </c>
      <c r="AN3578">
        <v>4</v>
      </c>
      <c r="AO3578">
        <v>0</v>
      </c>
      <c r="AP3578">
        <v>11</v>
      </c>
      <c r="AQ3578">
        <v>10</v>
      </c>
      <c r="AR3578">
        <v>21</v>
      </c>
      <c r="AS3578">
        <v>35</v>
      </c>
      <c r="AT3578">
        <v>0.375</v>
      </c>
      <c r="AU3578">
        <v>12</v>
      </c>
      <c r="AV3578">
        <v>11</v>
      </c>
      <c r="AW3578">
        <v>119</v>
      </c>
      <c r="AX3578">
        <v>58</v>
      </c>
      <c r="AY3578">
        <v>75</v>
      </c>
      <c r="AZ3578">
        <v>24</v>
      </c>
      <c r="BA3578" t="s">
        <v>20915</v>
      </c>
      <c r="BB3578" t="s">
        <v>20916</v>
      </c>
      <c r="BC3578">
        <v>0.75600000000000001</v>
      </c>
      <c r="BD3578" t="s">
        <v>65</v>
      </c>
      <c r="BE3578">
        <v>194</v>
      </c>
      <c r="BF3578">
        <v>82</v>
      </c>
      <c r="BG3578" t="s">
        <v>20917</v>
      </c>
      <c r="BH3578" t="s">
        <v>20918</v>
      </c>
      <c r="BI3578" t="s">
        <v>20919</v>
      </c>
      <c r="BJ3578">
        <v>0.11729000000000001</v>
      </c>
      <c r="BK3578">
        <v>1</v>
      </c>
      <c r="BL3578" t="s">
        <v>69</v>
      </c>
      <c r="BM3578">
        <v>-0.26900000000000002</v>
      </c>
      <c r="BN3578">
        <v>-1.5049999999999999</v>
      </c>
    </row>
    <row r="3579" spans="10:66">
      <c r="J3579">
        <v>0</v>
      </c>
      <c r="K3579">
        <v>0</v>
      </c>
      <c r="L3579">
        <v>6</v>
      </c>
      <c r="M3579" t="s">
        <v>25021</v>
      </c>
      <c r="N3579">
        <v>3566</v>
      </c>
      <c r="O3579" t="s">
        <v>20920</v>
      </c>
      <c r="P3579" t="s">
        <v>57</v>
      </c>
      <c r="Q3579">
        <v>3532107</v>
      </c>
      <c r="R3579">
        <v>3532295</v>
      </c>
      <c r="S3579" t="s">
        <v>20921</v>
      </c>
      <c r="T3579">
        <v>63</v>
      </c>
      <c r="U3579" t="s">
        <v>20922</v>
      </c>
      <c r="V3579">
        <v>44</v>
      </c>
      <c r="W3579" t="str">
        <f>HYPERLINK("Gene3566-zp_tree_all.dnd", "Gene3566-tree")</f>
        <v>Gene3566-tree</v>
      </c>
      <c r="X3579">
        <v>2</v>
      </c>
      <c r="Y3579">
        <v>29</v>
      </c>
      <c r="Z3579">
        <v>2</v>
      </c>
      <c r="AA3579">
        <v>7</v>
      </c>
      <c r="AB3579">
        <v>0.77778000000000003</v>
      </c>
      <c r="AC3579" t="s">
        <v>81</v>
      </c>
      <c r="AD3579" t="s">
        <v>1406</v>
      </c>
      <c r="AE3579">
        <v>1.1930000000000001</v>
      </c>
      <c r="AF3579" t="s">
        <v>65</v>
      </c>
      <c r="AG3579">
        <v>3</v>
      </c>
      <c r="AH3579">
        <v>6</v>
      </c>
      <c r="AI3579">
        <v>5</v>
      </c>
      <c r="AJ3579">
        <v>0.54544999999999999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6</v>
      </c>
      <c r="AR3579">
        <v>6</v>
      </c>
      <c r="AS3579">
        <v>5</v>
      </c>
      <c r="AT3579">
        <v>0.54544999999999999</v>
      </c>
      <c r="AU3579">
        <v>5</v>
      </c>
      <c r="AV3579">
        <v>3</v>
      </c>
      <c r="AW3579">
        <v>1</v>
      </c>
      <c r="AX3579">
        <v>9</v>
      </c>
      <c r="AY3579">
        <v>2</v>
      </c>
      <c r="AZ3579">
        <v>2</v>
      </c>
      <c r="BA3579" t="s">
        <v>20923</v>
      </c>
      <c r="BB3579" t="s">
        <v>20924</v>
      </c>
      <c r="BC3579">
        <v>0.41299999999999998</v>
      </c>
      <c r="BD3579" t="s">
        <v>65</v>
      </c>
      <c r="BE3579">
        <v>3</v>
      </c>
      <c r="BF3579">
        <v>11</v>
      </c>
      <c r="BG3579" t="s">
        <v>20925</v>
      </c>
      <c r="BH3579" t="s">
        <v>20926</v>
      </c>
      <c r="BI3579" t="s">
        <v>20927</v>
      </c>
      <c r="BJ3579">
        <v>0.87031999999999998</v>
      </c>
      <c r="BK3579">
        <v>0.42399999999999999</v>
      </c>
      <c r="BL3579" t="s">
        <v>635</v>
      </c>
      <c r="BM3579">
        <v>-1.3009999999999999</v>
      </c>
      <c r="BN3579">
        <v>-2.9319999999999999</v>
      </c>
    </row>
    <row r="3580" spans="10:66">
      <c r="J3580">
        <v>0</v>
      </c>
      <c r="K3580">
        <v>13</v>
      </c>
      <c r="L3580">
        <v>2</v>
      </c>
      <c r="M3580" t="s">
        <v>25021</v>
      </c>
      <c r="N3580">
        <v>3571</v>
      </c>
      <c r="O3580" t="s">
        <v>20943</v>
      </c>
      <c r="P3580" t="s">
        <v>57</v>
      </c>
      <c r="Q3580">
        <v>3536012</v>
      </c>
      <c r="R3580">
        <v>3537430</v>
      </c>
      <c r="S3580" t="s">
        <v>20944</v>
      </c>
      <c r="T3580">
        <v>473</v>
      </c>
      <c r="U3580" t="s">
        <v>59</v>
      </c>
      <c r="V3580">
        <v>49</v>
      </c>
      <c r="W3580" t="str">
        <f>HYPERLINK("Gene3571-zp_tree_all.dnd", "Gene3571-tree")</f>
        <v>Gene3571-tree</v>
      </c>
      <c r="X3580">
        <v>10</v>
      </c>
      <c r="Y3580">
        <v>12</v>
      </c>
      <c r="Z3580">
        <v>10</v>
      </c>
      <c r="AA3580">
        <v>12</v>
      </c>
      <c r="AB3580">
        <v>0.54544999999999999</v>
      </c>
      <c r="AC3580" t="s">
        <v>117</v>
      </c>
      <c r="AD3580" t="s">
        <v>109</v>
      </c>
      <c r="AE3580" t="s">
        <v>62</v>
      </c>
      <c r="AF3580" t="s">
        <v>62</v>
      </c>
      <c r="AG3580">
        <v>5</v>
      </c>
      <c r="AH3580">
        <v>15</v>
      </c>
      <c r="AI3580">
        <v>20</v>
      </c>
      <c r="AJ3580">
        <v>0.42857000000000001</v>
      </c>
      <c r="AK3580">
        <v>0</v>
      </c>
      <c r="AL3580">
        <v>0</v>
      </c>
      <c r="AM3580">
        <v>0</v>
      </c>
      <c r="AN3580">
        <v>2</v>
      </c>
      <c r="AO3580">
        <v>0</v>
      </c>
      <c r="AP3580">
        <v>7</v>
      </c>
      <c r="AQ3580">
        <v>1</v>
      </c>
      <c r="AR3580">
        <v>8</v>
      </c>
      <c r="AS3580">
        <v>12</v>
      </c>
      <c r="AT3580">
        <v>0.4</v>
      </c>
      <c r="AU3580">
        <v>16</v>
      </c>
      <c r="AV3580">
        <v>18</v>
      </c>
      <c r="AW3580">
        <v>90</v>
      </c>
      <c r="AX3580">
        <v>19</v>
      </c>
      <c r="AY3580">
        <v>134</v>
      </c>
      <c r="AZ3580">
        <v>17</v>
      </c>
      <c r="BA3580" t="s">
        <v>20945</v>
      </c>
      <c r="BB3580" t="s">
        <v>20946</v>
      </c>
      <c r="BC3580">
        <v>0.60399999999999998</v>
      </c>
      <c r="BD3580" t="s">
        <v>65</v>
      </c>
      <c r="BE3580">
        <v>224</v>
      </c>
      <c r="BF3580">
        <v>36</v>
      </c>
      <c r="BG3580" t="s">
        <v>20947</v>
      </c>
      <c r="BH3580" t="s">
        <v>20948</v>
      </c>
      <c r="BI3580" t="s">
        <v>20949</v>
      </c>
      <c r="BJ3580">
        <v>4.1750000000000002E-2</v>
      </c>
      <c r="BK3580">
        <v>1</v>
      </c>
      <c r="BL3580" t="s">
        <v>69</v>
      </c>
      <c r="BM3580">
        <v>-0.90500000000000003</v>
      </c>
      <c r="BN3580">
        <v>-0.61499999999999999</v>
      </c>
    </row>
    <row r="3581" spans="10:66">
      <c r="J3581">
        <v>0</v>
      </c>
      <c r="K3581">
        <v>22</v>
      </c>
      <c r="L3581">
        <v>5</v>
      </c>
      <c r="M3581" t="s">
        <v>25021</v>
      </c>
      <c r="N3581">
        <v>3572</v>
      </c>
      <c r="O3581" t="s">
        <v>20950</v>
      </c>
      <c r="P3581" t="s">
        <v>57</v>
      </c>
      <c r="Q3581">
        <v>3537507</v>
      </c>
      <c r="R3581">
        <v>3539054</v>
      </c>
      <c r="S3581" t="s">
        <v>20951</v>
      </c>
      <c r="T3581">
        <v>516</v>
      </c>
      <c r="U3581" t="s">
        <v>108</v>
      </c>
      <c r="V3581">
        <v>44</v>
      </c>
      <c r="W3581" t="str">
        <f>HYPERLINK("Gene3572-zp_tree_all.dnd", "Gene3572-tree")</f>
        <v>Gene3572-tree</v>
      </c>
      <c r="X3581">
        <v>2</v>
      </c>
      <c r="Y3581">
        <v>13</v>
      </c>
      <c r="Z3581">
        <v>2</v>
      </c>
      <c r="AA3581">
        <v>13</v>
      </c>
      <c r="AB3581">
        <v>0.86667000000000005</v>
      </c>
      <c r="AC3581" t="s">
        <v>81</v>
      </c>
      <c r="AD3581" t="s">
        <v>507</v>
      </c>
      <c r="AE3581" t="s">
        <v>62</v>
      </c>
      <c r="AF3581" t="s">
        <v>62</v>
      </c>
      <c r="AG3581">
        <v>12</v>
      </c>
      <c r="AH3581">
        <v>27</v>
      </c>
      <c r="AI3581">
        <v>19</v>
      </c>
      <c r="AJ3581">
        <v>0.58696000000000004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11</v>
      </c>
      <c r="AQ3581">
        <v>5</v>
      </c>
      <c r="AR3581">
        <v>16</v>
      </c>
      <c r="AS3581">
        <v>18</v>
      </c>
      <c r="AT3581">
        <v>0.47059000000000001</v>
      </c>
      <c r="AU3581">
        <v>13</v>
      </c>
      <c r="AV3581">
        <v>10</v>
      </c>
      <c r="AW3581">
        <v>56</v>
      </c>
      <c r="AX3581">
        <v>31</v>
      </c>
      <c r="AY3581">
        <v>41</v>
      </c>
      <c r="AZ3581">
        <v>16</v>
      </c>
      <c r="BA3581" t="s">
        <v>20952</v>
      </c>
      <c r="BB3581" t="s">
        <v>20953</v>
      </c>
      <c r="BC3581">
        <v>0.315</v>
      </c>
      <c r="BD3581" t="s">
        <v>65</v>
      </c>
      <c r="BE3581">
        <v>97</v>
      </c>
      <c r="BF3581">
        <v>47</v>
      </c>
      <c r="BG3581" t="s">
        <v>20954</v>
      </c>
      <c r="BH3581" t="s">
        <v>20955</v>
      </c>
      <c r="BI3581" t="s">
        <v>20956</v>
      </c>
      <c r="BJ3581">
        <v>0.12664</v>
      </c>
      <c r="BK3581">
        <v>1</v>
      </c>
      <c r="BL3581" t="s">
        <v>69</v>
      </c>
      <c r="BM3581">
        <v>-0.88800000000000001</v>
      </c>
      <c r="BN3581">
        <v>-2.1040000000000001</v>
      </c>
    </row>
    <row r="3582" spans="10:66">
      <c r="J3582">
        <v>0</v>
      </c>
      <c r="K3582">
        <v>2</v>
      </c>
      <c r="L3582">
        <v>0</v>
      </c>
      <c r="M3582" t="s">
        <v>25021</v>
      </c>
      <c r="N3582">
        <v>3573</v>
      </c>
      <c r="O3582" t="s">
        <v>20957</v>
      </c>
      <c r="P3582" t="s">
        <v>57</v>
      </c>
      <c r="Q3582">
        <v>3539165</v>
      </c>
      <c r="R3582">
        <v>3540724</v>
      </c>
      <c r="S3582" t="s">
        <v>20958</v>
      </c>
      <c r="T3582">
        <v>520</v>
      </c>
      <c r="U3582" t="s">
        <v>108</v>
      </c>
      <c r="V3582">
        <v>44</v>
      </c>
      <c r="W3582" t="str">
        <f>HYPERLINK("Gene3573-zp_tree_all.dnd", "Gene3573-tree")</f>
        <v>Gene3573-tree</v>
      </c>
      <c r="X3582">
        <v>10</v>
      </c>
      <c r="Y3582">
        <v>3</v>
      </c>
      <c r="Z3582">
        <v>10</v>
      </c>
      <c r="AA3582">
        <v>3</v>
      </c>
      <c r="AB3582">
        <v>0.23077</v>
      </c>
      <c r="AC3582" t="s">
        <v>117</v>
      </c>
      <c r="AD3582" t="s">
        <v>324</v>
      </c>
      <c r="AE3582" t="s">
        <v>62</v>
      </c>
      <c r="AF3582" t="s">
        <v>62</v>
      </c>
      <c r="AG3582">
        <v>1</v>
      </c>
      <c r="AH3582">
        <v>2</v>
      </c>
      <c r="AI3582">
        <v>3</v>
      </c>
      <c r="AJ3582">
        <v>0.4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4</v>
      </c>
      <c r="AT3582">
        <v>0</v>
      </c>
      <c r="AU3582">
        <v>13</v>
      </c>
      <c r="AV3582">
        <v>8</v>
      </c>
      <c r="AW3582">
        <v>52</v>
      </c>
      <c r="AX3582">
        <v>4</v>
      </c>
      <c r="AY3582">
        <v>16</v>
      </c>
      <c r="AZ3582">
        <v>1</v>
      </c>
      <c r="BA3582" t="s">
        <v>20959</v>
      </c>
      <c r="BB3582" t="s">
        <v>20960</v>
      </c>
      <c r="BC3582">
        <v>7.6999999999999999E-2</v>
      </c>
      <c r="BD3582" t="s">
        <v>65</v>
      </c>
      <c r="BE3582">
        <v>68</v>
      </c>
      <c r="BF3582">
        <v>5</v>
      </c>
      <c r="BG3582" t="s">
        <v>20961</v>
      </c>
      <c r="BH3582" t="s">
        <v>20962</v>
      </c>
      <c r="BI3582" t="s">
        <v>20963</v>
      </c>
      <c r="BJ3582">
        <v>2.3769999999999999E-2</v>
      </c>
      <c r="BK3582">
        <v>1</v>
      </c>
      <c r="BL3582" t="s">
        <v>69</v>
      </c>
      <c r="BM3582">
        <v>-0.89600000000000002</v>
      </c>
      <c r="BN3582">
        <v>-1.7829999999999999</v>
      </c>
    </row>
    <row r="3583" spans="10:66">
      <c r="J3583">
        <v>0</v>
      </c>
      <c r="K3583">
        <v>9</v>
      </c>
      <c r="L3583">
        <v>3</v>
      </c>
      <c r="M3583" t="s">
        <v>25021</v>
      </c>
      <c r="N3583">
        <v>3574</v>
      </c>
      <c r="O3583" t="s">
        <v>20964</v>
      </c>
      <c r="P3583" t="s">
        <v>57</v>
      </c>
      <c r="Q3583">
        <v>3540717</v>
      </c>
      <c r="R3583">
        <v>3541403</v>
      </c>
      <c r="S3583" t="s">
        <v>2647</v>
      </c>
      <c r="T3583">
        <v>229</v>
      </c>
      <c r="U3583" t="s">
        <v>108</v>
      </c>
      <c r="V3583">
        <v>44</v>
      </c>
      <c r="W3583" t="str">
        <f>HYPERLINK("Gene3574-zp_tree_all.dnd", "Gene3574-tree")</f>
        <v>Gene3574-tree</v>
      </c>
      <c r="X3583">
        <v>6</v>
      </c>
      <c r="Y3583">
        <v>8</v>
      </c>
      <c r="Z3583">
        <v>6</v>
      </c>
      <c r="AA3583">
        <v>8</v>
      </c>
      <c r="AB3583">
        <v>0.57142999999999999</v>
      </c>
      <c r="AC3583" t="s">
        <v>90</v>
      </c>
      <c r="AD3583" t="s">
        <v>136</v>
      </c>
      <c r="AE3583" t="s">
        <v>62</v>
      </c>
      <c r="AF3583" t="s">
        <v>62</v>
      </c>
      <c r="AG3583">
        <v>4</v>
      </c>
      <c r="AH3583">
        <v>12</v>
      </c>
      <c r="AI3583">
        <v>3</v>
      </c>
      <c r="AJ3583">
        <v>0.8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5</v>
      </c>
      <c r="AQ3583">
        <v>4</v>
      </c>
      <c r="AR3583">
        <v>9</v>
      </c>
      <c r="AS3583">
        <v>1</v>
      </c>
      <c r="AT3583">
        <v>0.9</v>
      </c>
      <c r="AU3583">
        <v>14</v>
      </c>
      <c r="AV3583">
        <v>9</v>
      </c>
      <c r="AW3583">
        <v>29</v>
      </c>
      <c r="AX3583">
        <v>10</v>
      </c>
      <c r="AY3583">
        <v>17</v>
      </c>
      <c r="AZ3583">
        <v>6</v>
      </c>
      <c r="BA3583" t="s">
        <v>20965</v>
      </c>
      <c r="BB3583" t="s">
        <v>20966</v>
      </c>
      <c r="BC3583">
        <v>3.7999999999999999E-2</v>
      </c>
      <c r="BD3583" t="s">
        <v>65</v>
      </c>
      <c r="BE3583">
        <v>46</v>
      </c>
      <c r="BF3583">
        <v>16</v>
      </c>
      <c r="BG3583" t="s">
        <v>20967</v>
      </c>
      <c r="BH3583" t="s">
        <v>20968</v>
      </c>
      <c r="BI3583" t="s">
        <v>20969</v>
      </c>
      <c r="BJ3583">
        <v>6.5250000000000002E-2</v>
      </c>
      <c r="BK3583">
        <v>1</v>
      </c>
      <c r="BL3583" t="s">
        <v>69</v>
      </c>
      <c r="BM3583">
        <v>0.34699999999999998</v>
      </c>
      <c r="BN3583">
        <v>0.32300000000000001</v>
      </c>
    </row>
    <row r="3584" spans="10:66">
      <c r="J3584">
        <v>0</v>
      </c>
      <c r="K3584">
        <v>0</v>
      </c>
      <c r="L3584">
        <v>0</v>
      </c>
      <c r="M3584" t="s">
        <v>25021</v>
      </c>
      <c r="N3584">
        <v>3575</v>
      </c>
      <c r="O3584" t="s">
        <v>20970</v>
      </c>
      <c r="P3584" t="s">
        <v>57</v>
      </c>
      <c r="Q3584">
        <v>3541488</v>
      </c>
      <c r="R3584">
        <v>3541820</v>
      </c>
      <c r="S3584" t="s">
        <v>20971</v>
      </c>
      <c r="T3584">
        <v>111</v>
      </c>
      <c r="U3584" t="s">
        <v>108</v>
      </c>
      <c r="V3584">
        <v>44</v>
      </c>
      <c r="W3584" t="str">
        <f>HYPERLINK("Gene3575-zp_tree_all.dnd", "Gene3575-tree")</f>
        <v>Gene3575-tree</v>
      </c>
      <c r="X3584">
        <v>5</v>
      </c>
      <c r="Y3584">
        <v>6</v>
      </c>
      <c r="Z3584">
        <v>5</v>
      </c>
      <c r="AA3584">
        <v>6</v>
      </c>
      <c r="AB3584">
        <v>0.54544999999999999</v>
      </c>
      <c r="AC3584" t="s">
        <v>199</v>
      </c>
      <c r="AD3584" t="s">
        <v>90</v>
      </c>
      <c r="AE3584" t="s">
        <v>62</v>
      </c>
      <c r="AF3584" t="s">
        <v>62</v>
      </c>
      <c r="AG3584">
        <v>0</v>
      </c>
      <c r="AH3584">
        <v>0</v>
      </c>
      <c r="AI3584">
        <v>6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6</v>
      </c>
      <c r="AT3584">
        <v>0</v>
      </c>
      <c r="AU3584">
        <v>8</v>
      </c>
      <c r="AV3584">
        <v>2</v>
      </c>
      <c r="AW3584">
        <v>9</v>
      </c>
      <c r="AX3584">
        <v>6</v>
      </c>
      <c r="AY3584">
        <v>2</v>
      </c>
      <c r="AZ3584">
        <v>0</v>
      </c>
      <c r="BA3584" t="s">
        <v>20972</v>
      </c>
      <c r="BB3584" t="s">
        <v>193</v>
      </c>
      <c r="BC3584">
        <v>1.252</v>
      </c>
      <c r="BD3584" t="s">
        <v>65</v>
      </c>
      <c r="BE3584">
        <v>11</v>
      </c>
      <c r="BF3584">
        <v>6</v>
      </c>
      <c r="BG3584" t="s">
        <v>20973</v>
      </c>
      <c r="BH3584" t="s">
        <v>20974</v>
      </c>
      <c r="BI3584" t="s">
        <v>20975</v>
      </c>
      <c r="BJ3584">
        <v>0.14715</v>
      </c>
      <c r="BK3584">
        <v>1</v>
      </c>
      <c r="BL3584" t="s">
        <v>69</v>
      </c>
      <c r="BM3584">
        <v>-1.224</v>
      </c>
      <c r="BN3584">
        <v>-0.94499999999999995</v>
      </c>
    </row>
    <row r="3585" spans="10:66">
      <c r="J3585">
        <v>0</v>
      </c>
      <c r="K3585">
        <v>0</v>
      </c>
      <c r="L3585">
        <v>0</v>
      </c>
      <c r="M3585" t="s">
        <v>25021</v>
      </c>
      <c r="N3585">
        <v>3576</v>
      </c>
      <c r="O3585" t="s">
        <v>20976</v>
      </c>
      <c r="P3585" t="s">
        <v>57</v>
      </c>
      <c r="Q3585">
        <v>3541823</v>
      </c>
      <c r="R3585">
        <v>3542140</v>
      </c>
      <c r="S3585" t="s">
        <v>20977</v>
      </c>
      <c r="T3585">
        <v>106</v>
      </c>
      <c r="U3585" t="s">
        <v>108</v>
      </c>
      <c r="V3585">
        <v>44</v>
      </c>
      <c r="W3585" t="str">
        <f>HYPERLINK("Gene3576-zp_tree_all.dnd", "Gene3576-tree")</f>
        <v>Gene3576-tree</v>
      </c>
      <c r="X3585">
        <v>9</v>
      </c>
      <c r="Y3585">
        <v>1</v>
      </c>
      <c r="Z3585">
        <v>9</v>
      </c>
      <c r="AA3585">
        <v>1</v>
      </c>
      <c r="AB3585">
        <v>0.1</v>
      </c>
      <c r="AC3585" t="s">
        <v>135</v>
      </c>
      <c r="AD3585" t="s">
        <v>175</v>
      </c>
      <c r="AE3585" t="s">
        <v>62</v>
      </c>
      <c r="AF3585" t="s">
        <v>62</v>
      </c>
      <c r="AG3585">
        <v>0</v>
      </c>
      <c r="AH3585">
        <v>0</v>
      </c>
      <c r="AI3585">
        <v>2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6</v>
      </c>
      <c r="AV3585">
        <v>4</v>
      </c>
      <c r="AW3585">
        <v>12</v>
      </c>
      <c r="AX3585">
        <v>1</v>
      </c>
      <c r="AY3585">
        <v>11</v>
      </c>
      <c r="AZ3585">
        <v>1</v>
      </c>
      <c r="BA3585" t="s">
        <v>20978</v>
      </c>
      <c r="BB3585" t="s">
        <v>20979</v>
      </c>
      <c r="BC3585">
        <v>1.7999999999999999E-2</v>
      </c>
      <c r="BD3585" t="s">
        <v>65</v>
      </c>
      <c r="BE3585">
        <v>23</v>
      </c>
      <c r="BF3585">
        <v>2</v>
      </c>
      <c r="BG3585" t="s">
        <v>9403</v>
      </c>
      <c r="BH3585" t="s">
        <v>20980</v>
      </c>
      <c r="BI3585" t="s">
        <v>20981</v>
      </c>
      <c r="BJ3585">
        <v>2.7089999999999999E-2</v>
      </c>
      <c r="BK3585">
        <v>1</v>
      </c>
      <c r="BL3585" t="s">
        <v>69</v>
      </c>
      <c r="BM3585">
        <v>0.13</v>
      </c>
      <c r="BN3585">
        <v>-0.27200000000000002</v>
      </c>
    </row>
    <row r="3586" spans="10:66">
      <c r="J3586">
        <v>0</v>
      </c>
      <c r="K3586">
        <v>0</v>
      </c>
      <c r="L3586">
        <v>0</v>
      </c>
      <c r="M3586" t="s">
        <v>25021</v>
      </c>
      <c r="N3586">
        <v>3579</v>
      </c>
      <c r="O3586" t="s">
        <v>20996</v>
      </c>
      <c r="P3586" t="s">
        <v>57</v>
      </c>
      <c r="Q3586">
        <v>3544642</v>
      </c>
      <c r="R3586">
        <v>3545601</v>
      </c>
      <c r="S3586" t="s">
        <v>20997</v>
      </c>
      <c r="T3586">
        <v>320</v>
      </c>
      <c r="U3586" t="s">
        <v>20990</v>
      </c>
      <c r="V3586">
        <v>28</v>
      </c>
      <c r="W3586" t="str">
        <f>HYPERLINK("Gene3579-zp_tree_all.dnd", "Gene3579-tree")</f>
        <v>Gene3579-tree</v>
      </c>
      <c r="X3586">
        <v>7</v>
      </c>
      <c r="Y3586">
        <v>1</v>
      </c>
      <c r="Z3586">
        <v>7</v>
      </c>
      <c r="AA3586">
        <v>1</v>
      </c>
      <c r="AB3586">
        <v>0.125</v>
      </c>
      <c r="AC3586" t="s">
        <v>152</v>
      </c>
      <c r="AD3586" t="s">
        <v>175</v>
      </c>
      <c r="AE3586" t="s">
        <v>62</v>
      </c>
      <c r="AF3586" t="s">
        <v>62</v>
      </c>
      <c r="AG3586">
        <v>0</v>
      </c>
      <c r="AH3586">
        <v>0</v>
      </c>
      <c r="AI3586">
        <v>2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</v>
      </c>
      <c r="AU3586">
        <v>6</v>
      </c>
      <c r="AV3586">
        <v>4</v>
      </c>
      <c r="AW3586">
        <v>16</v>
      </c>
      <c r="AX3586">
        <v>1</v>
      </c>
      <c r="AY3586">
        <v>19</v>
      </c>
      <c r="AZ3586">
        <v>1</v>
      </c>
      <c r="BA3586" t="s">
        <v>20998</v>
      </c>
      <c r="BB3586" t="s">
        <v>20999</v>
      </c>
      <c r="BC3586">
        <v>6.3E-2</v>
      </c>
      <c r="BD3586" t="s">
        <v>65</v>
      </c>
      <c r="BE3586">
        <v>35</v>
      </c>
      <c r="BF3586">
        <v>2</v>
      </c>
      <c r="BG3586" t="s">
        <v>21000</v>
      </c>
      <c r="BH3586" t="s">
        <v>21001</v>
      </c>
      <c r="BI3586" t="s">
        <v>21002</v>
      </c>
      <c r="BJ3586">
        <v>2.0729999999999998E-2</v>
      </c>
      <c r="BK3586">
        <v>1</v>
      </c>
      <c r="BL3586" t="s">
        <v>69</v>
      </c>
      <c r="BM3586">
        <v>0.39300000000000002</v>
      </c>
      <c r="BN3586">
        <v>1.6850000000000001</v>
      </c>
    </row>
    <row r="3587" spans="10:66">
      <c r="J3587">
        <v>0</v>
      </c>
      <c r="K3587">
        <v>0</v>
      </c>
      <c r="L3587">
        <v>0</v>
      </c>
      <c r="M3587" t="s">
        <v>25021</v>
      </c>
      <c r="N3587">
        <v>3580</v>
      </c>
      <c r="O3587" t="s">
        <v>21003</v>
      </c>
      <c r="P3587" t="s">
        <v>57</v>
      </c>
      <c r="Q3587">
        <v>3546234</v>
      </c>
      <c r="R3587">
        <v>3546824</v>
      </c>
      <c r="S3587" t="s">
        <v>21004</v>
      </c>
      <c r="T3587">
        <v>197</v>
      </c>
      <c r="U3587" t="s">
        <v>108</v>
      </c>
      <c r="V3587">
        <v>44</v>
      </c>
      <c r="W3587" t="str">
        <f>HYPERLINK("Gene3580-zp_tree_all.dnd", "Gene3580-tree")</f>
        <v>Gene3580-tree</v>
      </c>
      <c r="X3587">
        <v>12</v>
      </c>
      <c r="Y3587">
        <v>1</v>
      </c>
      <c r="Z3587">
        <v>12</v>
      </c>
      <c r="AA3587">
        <v>1</v>
      </c>
      <c r="AB3587">
        <v>7.6920000000000002E-2</v>
      </c>
      <c r="AC3587" t="s">
        <v>109</v>
      </c>
      <c r="AD3587" t="s">
        <v>175</v>
      </c>
      <c r="AE3587" t="s">
        <v>62</v>
      </c>
      <c r="AF3587" t="s">
        <v>62</v>
      </c>
      <c r="AG3587">
        <v>0</v>
      </c>
      <c r="AH3587">
        <v>0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</v>
      </c>
      <c r="AT3587">
        <v>0</v>
      </c>
      <c r="AU3587">
        <v>10</v>
      </c>
      <c r="AV3587">
        <v>7</v>
      </c>
      <c r="AW3587">
        <v>18</v>
      </c>
      <c r="AX3587">
        <v>1</v>
      </c>
      <c r="AY3587">
        <v>8</v>
      </c>
      <c r="AZ3587">
        <v>0</v>
      </c>
      <c r="BA3587" t="s">
        <v>21005</v>
      </c>
      <c r="BB3587" t="s">
        <v>193</v>
      </c>
      <c r="BC3587">
        <v>0.32600000000000001</v>
      </c>
      <c r="BD3587" t="s">
        <v>65</v>
      </c>
      <c r="BE3587">
        <v>26</v>
      </c>
      <c r="BF3587">
        <v>1</v>
      </c>
      <c r="BG3587" t="s">
        <v>21006</v>
      </c>
      <c r="BH3587" t="s">
        <v>21007</v>
      </c>
      <c r="BI3587" t="s">
        <v>14063</v>
      </c>
      <c r="BJ3587">
        <v>8.8299999999999993E-3</v>
      </c>
      <c r="BK3587">
        <v>1</v>
      </c>
      <c r="BL3587" t="s">
        <v>69</v>
      </c>
      <c r="BM3587">
        <v>-0.753</v>
      </c>
      <c r="BN3587">
        <v>-1.7789999999999999</v>
      </c>
    </row>
    <row r="3588" spans="10:66">
      <c r="J3588">
        <v>0</v>
      </c>
      <c r="K3588">
        <v>2</v>
      </c>
      <c r="L3588">
        <v>0</v>
      </c>
      <c r="M3588" t="s">
        <v>25021</v>
      </c>
      <c r="N3588">
        <v>3591</v>
      </c>
      <c r="O3588" t="s">
        <v>21078</v>
      </c>
      <c r="P3588" t="s">
        <v>57</v>
      </c>
      <c r="Q3588">
        <v>3559632</v>
      </c>
      <c r="R3588">
        <v>3559949</v>
      </c>
      <c r="S3588" t="s">
        <v>21079</v>
      </c>
      <c r="T3588">
        <v>106</v>
      </c>
      <c r="U3588" t="s">
        <v>21080</v>
      </c>
      <c r="V3588">
        <v>43</v>
      </c>
      <c r="W3588" t="str">
        <f>HYPERLINK("Gene3591-zp_tree_all.dnd", "Gene3591-tree")</f>
        <v>Gene3591-tree</v>
      </c>
      <c r="X3588">
        <v>28</v>
      </c>
      <c r="Y3588">
        <v>3</v>
      </c>
      <c r="Z3588">
        <v>9</v>
      </c>
      <c r="AA3588">
        <v>3</v>
      </c>
      <c r="AB3588">
        <v>0.25</v>
      </c>
      <c r="AC3588" t="s">
        <v>2825</v>
      </c>
      <c r="AD3588" t="s">
        <v>324</v>
      </c>
      <c r="AE3588" t="s">
        <v>62</v>
      </c>
      <c r="AF3588" t="s">
        <v>62</v>
      </c>
      <c r="AG3588">
        <v>1</v>
      </c>
      <c r="AH3588">
        <v>2</v>
      </c>
      <c r="AI3588">
        <v>5</v>
      </c>
      <c r="AJ3588">
        <v>0.28571000000000002</v>
      </c>
      <c r="AK3588">
        <v>0</v>
      </c>
      <c r="AL3588">
        <v>0</v>
      </c>
      <c r="AM3588">
        <v>0</v>
      </c>
      <c r="AN3588">
        <v>2</v>
      </c>
      <c r="AO3588">
        <v>0</v>
      </c>
      <c r="AP3588">
        <v>0</v>
      </c>
      <c r="AQ3588">
        <v>0</v>
      </c>
      <c r="AR3588">
        <v>0</v>
      </c>
      <c r="AS3588">
        <v>4</v>
      </c>
      <c r="AT3588">
        <v>0</v>
      </c>
      <c r="AU3588">
        <v>8</v>
      </c>
      <c r="AV3588">
        <v>6</v>
      </c>
      <c r="AW3588">
        <v>17</v>
      </c>
      <c r="AX3588">
        <v>4</v>
      </c>
      <c r="AY3588">
        <v>15</v>
      </c>
      <c r="AZ3588">
        <v>3</v>
      </c>
      <c r="BA3588" t="s">
        <v>21081</v>
      </c>
      <c r="BB3588" t="s">
        <v>21082</v>
      </c>
      <c r="BC3588">
        <v>0.113</v>
      </c>
      <c r="BD3588" t="s">
        <v>65</v>
      </c>
      <c r="BE3588">
        <v>32</v>
      </c>
      <c r="BF3588">
        <v>7</v>
      </c>
      <c r="BG3588" t="s">
        <v>21083</v>
      </c>
      <c r="BH3588" t="s">
        <v>21084</v>
      </c>
      <c r="BI3588" t="s">
        <v>21085</v>
      </c>
      <c r="BJ3588">
        <v>4.8129999999999999E-2</v>
      </c>
      <c r="BK3588">
        <v>1</v>
      </c>
      <c r="BL3588" t="s">
        <v>69</v>
      </c>
      <c r="BM3588">
        <v>-1.4890000000000001</v>
      </c>
      <c r="BN3588">
        <v>-0.218</v>
      </c>
    </row>
    <row r="3589" spans="10:66">
      <c r="J3589">
        <v>0</v>
      </c>
      <c r="K3589">
        <v>9</v>
      </c>
      <c r="L3589">
        <v>0</v>
      </c>
      <c r="M3589" t="s">
        <v>25021</v>
      </c>
      <c r="N3589">
        <v>3594</v>
      </c>
      <c r="O3589" t="s">
        <v>21099</v>
      </c>
      <c r="P3589" t="s">
        <v>57</v>
      </c>
      <c r="Q3589">
        <v>3562566</v>
      </c>
      <c r="R3589">
        <v>3563540</v>
      </c>
      <c r="S3589" t="s">
        <v>21100</v>
      </c>
      <c r="T3589">
        <v>325</v>
      </c>
      <c r="U3589" t="s">
        <v>108</v>
      </c>
      <c r="V3589">
        <v>44</v>
      </c>
      <c r="W3589" t="str">
        <f>HYPERLINK("Gene3594-zp_tree_all.dnd", "Gene3594-tree")</f>
        <v>Gene3594-tree</v>
      </c>
      <c r="X3589">
        <v>9</v>
      </c>
      <c r="Y3589">
        <v>6</v>
      </c>
      <c r="Z3589">
        <v>9</v>
      </c>
      <c r="AA3589">
        <v>6</v>
      </c>
      <c r="AB3589">
        <v>0.4</v>
      </c>
      <c r="AC3589" t="s">
        <v>135</v>
      </c>
      <c r="AD3589" t="s">
        <v>90</v>
      </c>
      <c r="AE3589" t="s">
        <v>62</v>
      </c>
      <c r="AF3589" t="s">
        <v>62</v>
      </c>
      <c r="AG3589">
        <v>4</v>
      </c>
      <c r="AH3589">
        <v>9</v>
      </c>
      <c r="AI3589">
        <v>12</v>
      </c>
      <c r="AJ3589">
        <v>0.42857000000000001</v>
      </c>
      <c r="AK3589">
        <v>0</v>
      </c>
      <c r="AL3589">
        <v>0</v>
      </c>
      <c r="AM3589">
        <v>0</v>
      </c>
      <c r="AN3589">
        <v>4</v>
      </c>
      <c r="AO3589">
        <v>0</v>
      </c>
      <c r="AP3589">
        <v>2</v>
      </c>
      <c r="AQ3589">
        <v>0</v>
      </c>
      <c r="AR3589">
        <v>2</v>
      </c>
      <c r="AS3589">
        <v>12</v>
      </c>
      <c r="AT3589">
        <v>0.14285999999999999</v>
      </c>
      <c r="AU3589">
        <v>10</v>
      </c>
      <c r="AV3589">
        <v>10</v>
      </c>
      <c r="AW3589">
        <v>19</v>
      </c>
      <c r="AX3589">
        <v>13</v>
      </c>
      <c r="AY3589">
        <v>37</v>
      </c>
      <c r="AZ3589">
        <v>8</v>
      </c>
      <c r="BA3589" t="s">
        <v>21101</v>
      </c>
      <c r="BB3589" t="s">
        <v>21102</v>
      </c>
      <c r="BC3589">
        <v>0.91700000000000004</v>
      </c>
      <c r="BD3589" t="s">
        <v>65</v>
      </c>
      <c r="BE3589">
        <v>56</v>
      </c>
      <c r="BF3589">
        <v>21</v>
      </c>
      <c r="BG3589" t="s">
        <v>21103</v>
      </c>
      <c r="BH3589" t="s">
        <v>21104</v>
      </c>
      <c r="BI3589" t="s">
        <v>21105</v>
      </c>
      <c r="BJ3589">
        <v>8.4720000000000004E-2</v>
      </c>
      <c r="BK3589">
        <v>1</v>
      </c>
      <c r="BL3589" t="s">
        <v>69</v>
      </c>
      <c r="BM3589">
        <v>0.46300000000000002</v>
      </c>
      <c r="BN3589">
        <v>0.29399999999999998</v>
      </c>
    </row>
    <row r="3590" spans="10:66">
      <c r="J3590">
        <v>0</v>
      </c>
      <c r="K3590">
        <v>7</v>
      </c>
      <c r="L3590">
        <v>0</v>
      </c>
      <c r="M3590" t="s">
        <v>25021</v>
      </c>
      <c r="N3590">
        <v>3599</v>
      </c>
      <c r="O3590" t="s">
        <v>21133</v>
      </c>
      <c r="P3590" t="s">
        <v>57</v>
      </c>
      <c r="Q3590">
        <v>3568282</v>
      </c>
      <c r="R3590">
        <v>3568488</v>
      </c>
      <c r="S3590" t="s">
        <v>1523</v>
      </c>
      <c r="T3590">
        <v>69</v>
      </c>
      <c r="U3590" t="s">
        <v>465</v>
      </c>
      <c r="V3590">
        <v>46</v>
      </c>
      <c r="W3590" t="str">
        <f>HYPERLINK("Gene3599-zp_tree_all.dnd", "Gene3599-tree")</f>
        <v>Gene3599-tree</v>
      </c>
      <c r="X3590">
        <v>2</v>
      </c>
      <c r="Y3590">
        <v>9</v>
      </c>
      <c r="Z3590">
        <v>2</v>
      </c>
      <c r="AA3590">
        <v>9</v>
      </c>
      <c r="AB3590">
        <v>0.81818000000000002</v>
      </c>
      <c r="AC3590" t="s">
        <v>81</v>
      </c>
      <c r="AD3590" t="s">
        <v>135</v>
      </c>
      <c r="AE3590" t="s">
        <v>62</v>
      </c>
      <c r="AF3590" t="s">
        <v>62</v>
      </c>
      <c r="AG3590">
        <v>1</v>
      </c>
      <c r="AH3590">
        <v>7</v>
      </c>
      <c r="AI3590">
        <v>6</v>
      </c>
      <c r="AJ3590">
        <v>0.53846000000000005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6</v>
      </c>
      <c r="AQ3590">
        <v>0</v>
      </c>
      <c r="AR3590">
        <v>6</v>
      </c>
      <c r="AS3590">
        <v>5</v>
      </c>
      <c r="AT3590">
        <v>0.54544999999999999</v>
      </c>
      <c r="AU3590">
        <v>8</v>
      </c>
      <c r="AV3590">
        <v>5</v>
      </c>
      <c r="AW3590">
        <v>4</v>
      </c>
      <c r="AX3590">
        <v>8</v>
      </c>
      <c r="AY3590">
        <v>4</v>
      </c>
      <c r="AZ3590">
        <v>6</v>
      </c>
      <c r="BA3590" t="s">
        <v>21134</v>
      </c>
      <c r="BB3590" t="s">
        <v>21135</v>
      </c>
      <c r="BC3590">
        <v>0.40400000000000003</v>
      </c>
      <c r="BD3590" t="s">
        <v>65</v>
      </c>
      <c r="BE3590">
        <v>8</v>
      </c>
      <c r="BF3590">
        <v>14</v>
      </c>
      <c r="BG3590" t="s">
        <v>21136</v>
      </c>
      <c r="BH3590" t="s">
        <v>21137</v>
      </c>
      <c r="BI3590" t="s">
        <v>21138</v>
      </c>
      <c r="BJ3590">
        <v>0.30613000000000001</v>
      </c>
      <c r="BK3590">
        <v>0.97</v>
      </c>
      <c r="BL3590" t="s">
        <v>69</v>
      </c>
      <c r="BM3590">
        <v>-0.21299999999999999</v>
      </c>
      <c r="BN3590">
        <v>-0.11899999999999999</v>
      </c>
    </row>
    <row r="3591" spans="10:66">
      <c r="J3591">
        <v>0</v>
      </c>
      <c r="K3591">
        <v>2</v>
      </c>
      <c r="L3591">
        <v>0</v>
      </c>
      <c r="M3591" t="s">
        <v>25021</v>
      </c>
      <c r="N3591">
        <v>3621</v>
      </c>
      <c r="O3591" t="s">
        <v>21265</v>
      </c>
      <c r="P3591" t="s">
        <v>57</v>
      </c>
      <c r="Q3591">
        <v>3589611</v>
      </c>
      <c r="R3591">
        <v>3590360</v>
      </c>
      <c r="S3591" t="s">
        <v>21266</v>
      </c>
      <c r="T3591">
        <v>250</v>
      </c>
      <c r="U3591" t="s">
        <v>108</v>
      </c>
      <c r="V3591">
        <v>44</v>
      </c>
      <c r="W3591" t="str">
        <f>HYPERLINK("Gene3621-zp_tree_all.dnd", "Gene3621-tree")</f>
        <v>Gene3621-tree</v>
      </c>
      <c r="X3591">
        <v>7</v>
      </c>
      <c r="Y3591">
        <v>4</v>
      </c>
      <c r="Z3591">
        <v>7</v>
      </c>
      <c r="AA3591">
        <v>4</v>
      </c>
      <c r="AB3591">
        <v>0.36364000000000002</v>
      </c>
      <c r="AC3591" t="s">
        <v>152</v>
      </c>
      <c r="AD3591" t="s">
        <v>61</v>
      </c>
      <c r="AE3591" t="s">
        <v>62</v>
      </c>
      <c r="AF3591" t="s">
        <v>62</v>
      </c>
      <c r="AG3591">
        <v>1</v>
      </c>
      <c r="AH3591">
        <v>2</v>
      </c>
      <c r="AI3591">
        <v>7</v>
      </c>
      <c r="AJ3591">
        <v>0.22222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</v>
      </c>
      <c r="AQ3591">
        <v>0</v>
      </c>
      <c r="AR3591">
        <v>2</v>
      </c>
      <c r="AS3591">
        <v>5</v>
      </c>
      <c r="AT3591">
        <v>0.28571000000000002</v>
      </c>
      <c r="AU3591">
        <v>8</v>
      </c>
      <c r="AV3591">
        <v>8</v>
      </c>
      <c r="AW3591">
        <v>16</v>
      </c>
      <c r="AX3591">
        <v>6</v>
      </c>
      <c r="AY3591">
        <v>12</v>
      </c>
      <c r="AZ3591">
        <v>3</v>
      </c>
      <c r="BA3591" t="s">
        <v>21267</v>
      </c>
      <c r="BB3591" t="s">
        <v>21268</v>
      </c>
      <c r="BC3591">
        <v>0.33600000000000002</v>
      </c>
      <c r="BD3591" t="s">
        <v>65</v>
      </c>
      <c r="BE3591">
        <v>28</v>
      </c>
      <c r="BF3591">
        <v>9</v>
      </c>
      <c r="BG3591" t="s">
        <v>21269</v>
      </c>
      <c r="BH3591" t="s">
        <v>21270</v>
      </c>
      <c r="BI3591" t="s">
        <v>21271</v>
      </c>
      <c r="BJ3591">
        <v>9.6589999999999995E-2</v>
      </c>
      <c r="BK3591">
        <v>1</v>
      </c>
      <c r="BL3591" t="s">
        <v>69</v>
      </c>
      <c r="BM3591">
        <v>-0.39500000000000002</v>
      </c>
      <c r="BN3591">
        <v>-0.42499999999999999</v>
      </c>
    </row>
    <row r="3592" spans="10:66">
      <c r="J3592">
        <v>0</v>
      </c>
      <c r="K3592">
        <v>6</v>
      </c>
      <c r="L3592">
        <v>0</v>
      </c>
      <c r="M3592" t="s">
        <v>25021</v>
      </c>
      <c r="N3592">
        <v>3622</v>
      </c>
      <c r="O3592" t="s">
        <v>21272</v>
      </c>
      <c r="P3592" t="s">
        <v>57</v>
      </c>
      <c r="Q3592">
        <v>3590603</v>
      </c>
      <c r="R3592">
        <v>3591265</v>
      </c>
      <c r="S3592" t="s">
        <v>21273</v>
      </c>
      <c r="T3592">
        <v>221</v>
      </c>
      <c r="U3592" t="s">
        <v>108</v>
      </c>
      <c r="V3592">
        <v>44</v>
      </c>
      <c r="W3592" t="str">
        <f>HYPERLINK("Gene3622-zp_tree_all.dnd", "Gene3622-tree")</f>
        <v>Gene3622-tree</v>
      </c>
      <c r="X3592">
        <v>9</v>
      </c>
      <c r="Y3592">
        <v>3</v>
      </c>
      <c r="Z3592">
        <v>9</v>
      </c>
      <c r="AA3592">
        <v>3</v>
      </c>
      <c r="AB3592">
        <v>0.25</v>
      </c>
      <c r="AC3592" t="s">
        <v>135</v>
      </c>
      <c r="AD3592" t="s">
        <v>324</v>
      </c>
      <c r="AE3592" t="s">
        <v>62</v>
      </c>
      <c r="AF3592" t="s">
        <v>62</v>
      </c>
      <c r="AG3592">
        <v>3</v>
      </c>
      <c r="AH3592">
        <v>6</v>
      </c>
      <c r="AI3592">
        <v>2</v>
      </c>
      <c r="AJ3592">
        <v>0.75</v>
      </c>
      <c r="AK3592">
        <v>0</v>
      </c>
      <c r="AL3592">
        <v>0</v>
      </c>
      <c r="AM3592">
        <v>0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4</v>
      </c>
      <c r="AT3592">
        <v>0</v>
      </c>
      <c r="AU3592">
        <v>8</v>
      </c>
      <c r="AV3592">
        <v>7</v>
      </c>
      <c r="AW3592">
        <v>20</v>
      </c>
      <c r="AX3592">
        <v>4</v>
      </c>
      <c r="AY3592">
        <v>19</v>
      </c>
      <c r="AZ3592">
        <v>4</v>
      </c>
      <c r="BA3592" t="s">
        <v>21274</v>
      </c>
      <c r="BB3592" t="s">
        <v>21275</v>
      </c>
      <c r="BC3592">
        <v>3.2000000000000001E-2</v>
      </c>
      <c r="BD3592" t="s">
        <v>65</v>
      </c>
      <c r="BE3592">
        <v>39</v>
      </c>
      <c r="BF3592">
        <v>8</v>
      </c>
      <c r="BG3592" t="s">
        <v>21276</v>
      </c>
      <c r="BH3592" t="s">
        <v>21277</v>
      </c>
      <c r="BI3592" t="s">
        <v>21278</v>
      </c>
      <c r="BJ3592">
        <v>5.3949999999999998E-2</v>
      </c>
      <c r="BK3592">
        <v>1</v>
      </c>
      <c r="BL3592" t="s">
        <v>69</v>
      </c>
      <c r="BM3592">
        <v>0.96399999999999997</v>
      </c>
      <c r="BN3592">
        <v>-1.2370000000000001</v>
      </c>
    </row>
    <row r="3593" spans="10:66">
      <c r="J3593">
        <v>3</v>
      </c>
      <c r="K3593">
        <v>7</v>
      </c>
      <c r="L3593">
        <v>2</v>
      </c>
      <c r="M3593" t="s">
        <v>25021</v>
      </c>
      <c r="N3593">
        <v>3628</v>
      </c>
      <c r="O3593" t="s">
        <v>21312</v>
      </c>
      <c r="P3593" t="s">
        <v>57</v>
      </c>
      <c r="Q3593">
        <v>3595356</v>
      </c>
      <c r="R3593">
        <v>3596543</v>
      </c>
      <c r="S3593" t="s">
        <v>21313</v>
      </c>
      <c r="T3593">
        <v>396</v>
      </c>
      <c r="U3593" t="s">
        <v>108</v>
      </c>
      <c r="V3593">
        <v>44</v>
      </c>
      <c r="W3593" t="str">
        <f>HYPERLINK("Gene3628-zp_tree_all.dnd", "Gene3628-tree")</f>
        <v>Gene3628-tree</v>
      </c>
      <c r="X3593">
        <v>8</v>
      </c>
      <c r="Y3593">
        <v>7</v>
      </c>
      <c r="Z3593">
        <v>8</v>
      </c>
      <c r="AA3593">
        <v>7</v>
      </c>
      <c r="AB3593">
        <v>0.46666999999999997</v>
      </c>
      <c r="AC3593" t="s">
        <v>136</v>
      </c>
      <c r="AD3593" t="s">
        <v>152</v>
      </c>
      <c r="AE3593" t="s">
        <v>62</v>
      </c>
      <c r="AF3593" t="s">
        <v>62</v>
      </c>
      <c r="AG3593">
        <v>5</v>
      </c>
      <c r="AH3593">
        <v>12</v>
      </c>
      <c r="AI3593">
        <v>14</v>
      </c>
      <c r="AJ3593">
        <v>0.46154000000000001</v>
      </c>
      <c r="AK3593">
        <v>2</v>
      </c>
      <c r="AL3593">
        <v>1</v>
      </c>
      <c r="AM3593">
        <v>3</v>
      </c>
      <c r="AN3593">
        <v>3</v>
      </c>
      <c r="AO3593">
        <v>0.5</v>
      </c>
      <c r="AP3593">
        <v>0</v>
      </c>
      <c r="AQ3593">
        <v>0</v>
      </c>
      <c r="AR3593">
        <v>0</v>
      </c>
      <c r="AS3593">
        <v>11</v>
      </c>
      <c r="AT3593">
        <v>0</v>
      </c>
      <c r="AU3593">
        <v>11</v>
      </c>
      <c r="AV3593">
        <v>12</v>
      </c>
      <c r="AW3593">
        <v>47</v>
      </c>
      <c r="AX3593">
        <v>11</v>
      </c>
      <c r="AY3593">
        <v>33</v>
      </c>
      <c r="AZ3593">
        <v>15</v>
      </c>
      <c r="BA3593" t="s">
        <v>21314</v>
      </c>
      <c r="BB3593" t="s">
        <v>21315</v>
      </c>
      <c r="BC3593">
        <v>0.79400000000000004</v>
      </c>
      <c r="BD3593" t="s">
        <v>65</v>
      </c>
      <c r="BE3593">
        <v>80</v>
      </c>
      <c r="BF3593">
        <v>26</v>
      </c>
      <c r="BG3593" t="s">
        <v>21316</v>
      </c>
      <c r="BH3593" t="s">
        <v>21317</v>
      </c>
      <c r="BI3593" t="s">
        <v>21318</v>
      </c>
      <c r="BJ3593">
        <v>0.11135</v>
      </c>
      <c r="BK3593">
        <v>1</v>
      </c>
      <c r="BL3593" t="s">
        <v>69</v>
      </c>
      <c r="BM3593">
        <v>-0.53900000000000003</v>
      </c>
      <c r="BN3593">
        <v>-0.35299999999999998</v>
      </c>
    </row>
    <row r="3594" spans="10:66">
      <c r="J3594">
        <v>0</v>
      </c>
      <c r="K3594">
        <v>11</v>
      </c>
      <c r="L3594">
        <v>0</v>
      </c>
      <c r="M3594" t="s">
        <v>25021</v>
      </c>
      <c r="N3594">
        <v>3629</v>
      </c>
      <c r="O3594" t="s">
        <v>21319</v>
      </c>
      <c r="P3594" t="s">
        <v>57</v>
      </c>
      <c r="Q3594">
        <v>3596543</v>
      </c>
      <c r="R3594">
        <v>3597268</v>
      </c>
      <c r="S3594" t="s">
        <v>21320</v>
      </c>
      <c r="T3594">
        <v>242</v>
      </c>
      <c r="U3594" t="s">
        <v>108</v>
      </c>
      <c r="V3594">
        <v>44</v>
      </c>
      <c r="W3594" t="str">
        <f>HYPERLINK("Gene3629-zp_tree_all.dnd", "Gene3629-tree")</f>
        <v>Gene3629-tree</v>
      </c>
      <c r="X3594">
        <v>6</v>
      </c>
      <c r="Y3594">
        <v>7</v>
      </c>
      <c r="Z3594">
        <v>6</v>
      </c>
      <c r="AA3594">
        <v>7</v>
      </c>
      <c r="AB3594">
        <v>0.53846000000000005</v>
      </c>
      <c r="AC3594" t="s">
        <v>90</v>
      </c>
      <c r="AD3594" t="s">
        <v>152</v>
      </c>
      <c r="AE3594" t="s">
        <v>62</v>
      </c>
      <c r="AF3594" t="s">
        <v>62</v>
      </c>
      <c r="AG3594">
        <v>5</v>
      </c>
      <c r="AH3594">
        <v>11</v>
      </c>
      <c r="AI3594">
        <v>11</v>
      </c>
      <c r="AJ3594">
        <v>0.5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4</v>
      </c>
      <c r="AQ3594">
        <v>2</v>
      </c>
      <c r="AR3594">
        <v>6</v>
      </c>
      <c r="AS3594">
        <v>9</v>
      </c>
      <c r="AT3594">
        <v>0.4</v>
      </c>
      <c r="AU3594">
        <v>12</v>
      </c>
      <c r="AV3594">
        <v>10</v>
      </c>
      <c r="AW3594">
        <v>29</v>
      </c>
      <c r="AX3594">
        <v>15</v>
      </c>
      <c r="AY3594">
        <v>19</v>
      </c>
      <c r="AZ3594">
        <v>7</v>
      </c>
      <c r="BA3594" t="s">
        <v>21321</v>
      </c>
      <c r="BB3594" t="s">
        <v>21322</v>
      </c>
      <c r="BC3594">
        <v>0.42399999999999999</v>
      </c>
      <c r="BD3594" t="s">
        <v>65</v>
      </c>
      <c r="BE3594">
        <v>48</v>
      </c>
      <c r="BF3594">
        <v>22</v>
      </c>
      <c r="BG3594" t="s">
        <v>21323</v>
      </c>
      <c r="BH3594" t="s">
        <v>21324</v>
      </c>
      <c r="BI3594" t="s">
        <v>21325</v>
      </c>
      <c r="BJ3594">
        <v>0.12531999999999999</v>
      </c>
      <c r="BK3594">
        <v>1</v>
      </c>
      <c r="BL3594" t="s">
        <v>69</v>
      </c>
      <c r="BM3594">
        <v>-0.09</v>
      </c>
      <c r="BN3594">
        <v>-8.3000000000000004E-2</v>
      </c>
    </row>
    <row r="3595" spans="10:66">
      <c r="J3595">
        <v>0</v>
      </c>
      <c r="K3595">
        <v>0</v>
      </c>
      <c r="L3595">
        <v>2</v>
      </c>
      <c r="M3595" t="s">
        <v>25021</v>
      </c>
      <c r="N3595">
        <v>3630</v>
      </c>
      <c r="O3595" t="s">
        <v>21326</v>
      </c>
      <c r="P3595" t="s">
        <v>57</v>
      </c>
      <c r="Q3595">
        <v>3597289</v>
      </c>
      <c r="R3595">
        <v>3598017</v>
      </c>
      <c r="S3595" t="s">
        <v>1703</v>
      </c>
      <c r="T3595">
        <v>243</v>
      </c>
      <c r="U3595" t="s">
        <v>108</v>
      </c>
      <c r="V3595">
        <v>44</v>
      </c>
      <c r="W3595" t="str">
        <f>HYPERLINK("Gene3630-zp_tree_all.dnd", "Gene3630-tree")</f>
        <v>Gene3630-tree</v>
      </c>
      <c r="X3595">
        <v>9</v>
      </c>
      <c r="Y3595">
        <v>3</v>
      </c>
      <c r="Z3595">
        <v>9</v>
      </c>
      <c r="AA3595">
        <v>3</v>
      </c>
      <c r="AB3595">
        <v>0.25</v>
      </c>
      <c r="AC3595" t="s">
        <v>135</v>
      </c>
      <c r="AD3595" t="s">
        <v>324</v>
      </c>
      <c r="AE3595" t="s">
        <v>62</v>
      </c>
      <c r="AF3595" t="s">
        <v>62</v>
      </c>
      <c r="AG3595">
        <v>1</v>
      </c>
      <c r="AH3595">
        <v>2</v>
      </c>
      <c r="AI3595">
        <v>4</v>
      </c>
      <c r="AJ3595">
        <v>0.33333000000000002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0</v>
      </c>
      <c r="AQ3595">
        <v>0</v>
      </c>
      <c r="AR3595">
        <v>0</v>
      </c>
      <c r="AS3595">
        <v>4</v>
      </c>
      <c r="AT3595">
        <v>0</v>
      </c>
      <c r="AU3595">
        <v>11</v>
      </c>
      <c r="AV3595">
        <v>8</v>
      </c>
      <c r="AW3595">
        <v>20</v>
      </c>
      <c r="AX3595">
        <v>4</v>
      </c>
      <c r="AY3595">
        <v>14</v>
      </c>
      <c r="AZ3595">
        <v>2</v>
      </c>
      <c r="BA3595" t="s">
        <v>21327</v>
      </c>
      <c r="BB3595" t="s">
        <v>21328</v>
      </c>
      <c r="BC3595">
        <v>0.214</v>
      </c>
      <c r="BD3595" t="s">
        <v>65</v>
      </c>
      <c r="BE3595">
        <v>34</v>
      </c>
      <c r="BF3595">
        <v>6</v>
      </c>
      <c r="BG3595" t="s">
        <v>21329</v>
      </c>
      <c r="BH3595" t="s">
        <v>21330</v>
      </c>
      <c r="BI3595" t="s">
        <v>21331</v>
      </c>
      <c r="BJ3595">
        <v>6.1600000000000002E-2</v>
      </c>
      <c r="BK3595">
        <v>1</v>
      </c>
      <c r="BL3595" t="s">
        <v>69</v>
      </c>
      <c r="BM3595">
        <v>6.7000000000000004E-2</v>
      </c>
      <c r="BN3595">
        <v>-0.54300000000000004</v>
      </c>
    </row>
    <row r="3596" spans="10:66">
      <c r="J3596">
        <v>0</v>
      </c>
      <c r="K3596">
        <v>0</v>
      </c>
      <c r="L3596">
        <v>0</v>
      </c>
      <c r="M3596" t="s">
        <v>25021</v>
      </c>
      <c r="N3596">
        <v>3635</v>
      </c>
      <c r="O3596" t="s">
        <v>21346</v>
      </c>
      <c r="P3596" t="s">
        <v>57</v>
      </c>
      <c r="Q3596">
        <v>3604993</v>
      </c>
      <c r="R3596">
        <v>3605499</v>
      </c>
      <c r="S3596" t="s">
        <v>21347</v>
      </c>
      <c r="T3596">
        <v>169</v>
      </c>
      <c r="U3596" t="s">
        <v>21340</v>
      </c>
      <c r="V3596">
        <v>26</v>
      </c>
      <c r="W3596" t="str">
        <f>HYPERLINK("Gene3635-zp_tree_all.dnd", "Gene3635-tree")</f>
        <v>Gene3635-tree</v>
      </c>
      <c r="X3596">
        <v>23</v>
      </c>
      <c r="Y3596">
        <v>1</v>
      </c>
      <c r="Z3596">
        <v>4</v>
      </c>
      <c r="AA3596">
        <v>1</v>
      </c>
      <c r="AB3596">
        <v>0.2</v>
      </c>
      <c r="AC3596" t="s">
        <v>690</v>
      </c>
      <c r="AD3596" t="s">
        <v>175</v>
      </c>
      <c r="AE3596" t="s">
        <v>62</v>
      </c>
      <c r="AF3596" t="s">
        <v>62</v>
      </c>
      <c r="AG3596">
        <v>0</v>
      </c>
      <c r="AH3596">
        <v>0</v>
      </c>
      <c r="AI3596">
        <v>3</v>
      </c>
      <c r="AJ3596">
        <v>0</v>
      </c>
      <c r="AK3596">
        <v>0</v>
      </c>
      <c r="AL3596">
        <v>0</v>
      </c>
      <c r="AM3596">
        <v>0</v>
      </c>
      <c r="AN3596">
        <v>2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3</v>
      </c>
      <c r="AV3596">
        <v>1</v>
      </c>
      <c r="AW3596">
        <v>5</v>
      </c>
      <c r="AX3596">
        <v>1</v>
      </c>
      <c r="AY3596">
        <v>10</v>
      </c>
      <c r="AZ3596">
        <v>3</v>
      </c>
      <c r="BA3596" t="s">
        <v>21348</v>
      </c>
      <c r="BB3596" t="s">
        <v>21349</v>
      </c>
      <c r="BC3596">
        <v>0.249</v>
      </c>
      <c r="BD3596" t="s">
        <v>65</v>
      </c>
      <c r="BE3596">
        <v>15</v>
      </c>
      <c r="BF3596">
        <v>4</v>
      </c>
      <c r="BG3596" t="s">
        <v>21350</v>
      </c>
      <c r="BH3596" t="s">
        <v>21351</v>
      </c>
      <c r="BI3596" t="s">
        <v>21352</v>
      </c>
      <c r="BJ3596">
        <v>6.769E-2</v>
      </c>
      <c r="BK3596">
        <v>1</v>
      </c>
      <c r="BL3596" t="s">
        <v>69</v>
      </c>
      <c r="BM3596">
        <v>-0.29599999999999999</v>
      </c>
      <c r="BN3596">
        <v>1.5840000000000001</v>
      </c>
    </row>
    <row r="3597" spans="10:66">
      <c r="J3597">
        <v>0</v>
      </c>
      <c r="K3597">
        <v>0</v>
      </c>
      <c r="L3597">
        <v>0</v>
      </c>
      <c r="M3597" t="s">
        <v>25021</v>
      </c>
      <c r="N3597">
        <v>3636</v>
      </c>
      <c r="O3597" t="s">
        <v>21353</v>
      </c>
      <c r="P3597" t="s">
        <v>57</v>
      </c>
      <c r="Q3597">
        <v>3605523</v>
      </c>
      <c r="R3597">
        <v>3606731</v>
      </c>
      <c r="S3597" t="s">
        <v>21354</v>
      </c>
      <c r="T3597">
        <v>403</v>
      </c>
      <c r="U3597" t="s">
        <v>21340</v>
      </c>
      <c r="V3597">
        <v>26</v>
      </c>
      <c r="W3597" t="str">
        <f>HYPERLINK("Gene3636-zp_tree_all.dnd", "Gene3636-tree")</f>
        <v>Gene3636-tree</v>
      </c>
      <c r="X3597">
        <v>22</v>
      </c>
      <c r="Y3597">
        <v>2</v>
      </c>
      <c r="Z3597">
        <v>3</v>
      </c>
      <c r="AA3597">
        <v>2</v>
      </c>
      <c r="AB3597">
        <v>0.4</v>
      </c>
      <c r="AC3597" t="s">
        <v>1005</v>
      </c>
      <c r="AD3597" t="s">
        <v>81</v>
      </c>
      <c r="AE3597" t="s">
        <v>62</v>
      </c>
      <c r="AF3597" t="s">
        <v>62</v>
      </c>
      <c r="AG3597">
        <v>0</v>
      </c>
      <c r="AH3597">
        <v>0</v>
      </c>
      <c r="AI3597">
        <v>3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0</v>
      </c>
      <c r="AP3597">
        <v>0</v>
      </c>
      <c r="AQ3597">
        <v>0</v>
      </c>
      <c r="AR3597">
        <v>0</v>
      </c>
      <c r="AS3597">
        <v>2</v>
      </c>
      <c r="AT3597">
        <v>0</v>
      </c>
      <c r="AU3597">
        <v>3</v>
      </c>
      <c r="AV3597">
        <v>2</v>
      </c>
      <c r="AW3597">
        <v>2</v>
      </c>
      <c r="AX3597">
        <v>2</v>
      </c>
      <c r="AY3597">
        <v>5</v>
      </c>
      <c r="AZ3597">
        <v>1</v>
      </c>
      <c r="BA3597" t="s">
        <v>21355</v>
      </c>
      <c r="BB3597" t="s">
        <v>21356</v>
      </c>
      <c r="BC3597">
        <v>1.3440000000000001</v>
      </c>
      <c r="BD3597" t="s">
        <v>65</v>
      </c>
      <c r="BE3597">
        <v>7</v>
      </c>
      <c r="BF3597">
        <v>3</v>
      </c>
      <c r="BG3597" t="s">
        <v>21357</v>
      </c>
      <c r="BH3597" t="s">
        <v>21358</v>
      </c>
      <c r="BI3597" t="s">
        <v>21359</v>
      </c>
      <c r="BJ3597">
        <v>0.13492999999999999</v>
      </c>
      <c r="BK3597">
        <v>0.96699999999999997</v>
      </c>
      <c r="BL3597" t="s">
        <v>69</v>
      </c>
      <c r="BM3597">
        <v>-0.58099999999999996</v>
      </c>
      <c r="BN3597">
        <v>0.81200000000000006</v>
      </c>
    </row>
    <row r="3598" spans="10:66">
      <c r="J3598">
        <v>0</v>
      </c>
      <c r="K3598">
        <v>0</v>
      </c>
      <c r="L3598">
        <v>0</v>
      </c>
      <c r="M3598" t="s">
        <v>25021</v>
      </c>
      <c r="N3598">
        <v>3641</v>
      </c>
      <c r="O3598" t="s">
        <v>21376</v>
      </c>
      <c r="P3598" t="s">
        <v>57</v>
      </c>
      <c r="Q3598">
        <v>3608991</v>
      </c>
      <c r="R3598">
        <v>3609218</v>
      </c>
      <c r="S3598" t="s">
        <v>116</v>
      </c>
      <c r="T3598">
        <v>76</v>
      </c>
      <c r="U3598" t="s">
        <v>289</v>
      </c>
      <c r="V3598">
        <v>46</v>
      </c>
      <c r="W3598" t="str">
        <f>HYPERLINK("Gene3641-zp_tree_all.dnd", "Gene3641-tree")</f>
        <v>Gene3641-tree</v>
      </c>
      <c r="X3598">
        <v>3</v>
      </c>
      <c r="Y3598">
        <v>25</v>
      </c>
      <c r="Z3598">
        <v>3</v>
      </c>
      <c r="AA3598">
        <v>2</v>
      </c>
      <c r="AB3598">
        <v>0.4</v>
      </c>
      <c r="AC3598" t="s">
        <v>324</v>
      </c>
      <c r="AD3598" t="s">
        <v>11486</v>
      </c>
      <c r="AE3598">
        <v>8.18</v>
      </c>
      <c r="AF3598" t="s">
        <v>65</v>
      </c>
      <c r="AG3598">
        <v>0</v>
      </c>
      <c r="AH3598">
        <v>0</v>
      </c>
      <c r="AI3598">
        <v>3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3</v>
      </c>
      <c r="AT3598">
        <v>0</v>
      </c>
      <c r="AU3598">
        <v>2</v>
      </c>
      <c r="AV3598">
        <v>2</v>
      </c>
      <c r="AW3598">
        <v>0</v>
      </c>
      <c r="AX3598">
        <v>3</v>
      </c>
      <c r="AY3598">
        <v>8</v>
      </c>
      <c r="AZ3598">
        <v>0</v>
      </c>
      <c r="BA3598" t="s">
        <v>193</v>
      </c>
      <c r="BB3598" t="s">
        <v>193</v>
      </c>
      <c r="BC3598">
        <v>0</v>
      </c>
      <c r="BD3598" t="s">
        <v>65</v>
      </c>
      <c r="BE3598">
        <v>8</v>
      </c>
      <c r="BF3598">
        <v>3</v>
      </c>
      <c r="BG3598" t="s">
        <v>21377</v>
      </c>
      <c r="BH3598" t="s">
        <v>21378</v>
      </c>
      <c r="BI3598" t="s">
        <v>21379</v>
      </c>
      <c r="BJ3598">
        <v>5.5489999999999998E-2</v>
      </c>
      <c r="BK3598">
        <v>0.99</v>
      </c>
      <c r="BL3598" t="s">
        <v>69</v>
      </c>
      <c r="BM3598">
        <v>-0.40300000000000002</v>
      </c>
      <c r="BN3598">
        <v>0.877</v>
      </c>
    </row>
    <row r="3599" spans="10:66">
      <c r="J3599">
        <v>0</v>
      </c>
      <c r="K3599">
        <v>17</v>
      </c>
      <c r="L3599">
        <v>2</v>
      </c>
      <c r="M3599" t="s">
        <v>25021</v>
      </c>
      <c r="N3599">
        <v>3646</v>
      </c>
      <c r="O3599" t="s">
        <v>21398</v>
      </c>
      <c r="P3599" t="s">
        <v>57</v>
      </c>
      <c r="Q3599">
        <v>3615793</v>
      </c>
      <c r="R3599">
        <v>3618285</v>
      </c>
      <c r="S3599" t="s">
        <v>1717</v>
      </c>
      <c r="T3599">
        <v>831</v>
      </c>
      <c r="U3599" t="s">
        <v>21399</v>
      </c>
      <c r="V3599">
        <v>43</v>
      </c>
      <c r="W3599" t="str">
        <f>HYPERLINK("Gene3646-zp_tree_all.dnd", "Gene3646-tree")</f>
        <v>Gene3646-tree</v>
      </c>
      <c r="X3599">
        <v>5</v>
      </c>
      <c r="Y3599">
        <v>9</v>
      </c>
      <c r="Z3599">
        <v>5</v>
      </c>
      <c r="AA3599">
        <v>9</v>
      </c>
      <c r="AB3599">
        <v>0.64285999999999999</v>
      </c>
      <c r="AC3599" t="s">
        <v>199</v>
      </c>
      <c r="AD3599" t="s">
        <v>135</v>
      </c>
      <c r="AE3599" t="s">
        <v>62</v>
      </c>
      <c r="AF3599" t="s">
        <v>62</v>
      </c>
      <c r="AG3599">
        <v>9</v>
      </c>
      <c r="AH3599">
        <v>19</v>
      </c>
      <c r="AI3599">
        <v>18</v>
      </c>
      <c r="AJ3599">
        <v>0.51351000000000002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5</v>
      </c>
      <c r="AQ3599">
        <v>2</v>
      </c>
      <c r="AR3599">
        <v>7</v>
      </c>
      <c r="AS3599">
        <v>17</v>
      </c>
      <c r="AT3599">
        <v>0.29166999999999998</v>
      </c>
      <c r="AU3599">
        <v>13</v>
      </c>
      <c r="AV3599">
        <v>10</v>
      </c>
      <c r="AW3599">
        <v>74</v>
      </c>
      <c r="AX3599">
        <v>24</v>
      </c>
      <c r="AY3599">
        <v>36</v>
      </c>
      <c r="AZ3599">
        <v>13</v>
      </c>
      <c r="BA3599" t="s">
        <v>21400</v>
      </c>
      <c r="BB3599" t="s">
        <v>21401</v>
      </c>
      <c r="BC3599">
        <v>0.16</v>
      </c>
      <c r="BD3599" t="s">
        <v>65</v>
      </c>
      <c r="BE3599">
        <v>110</v>
      </c>
      <c r="BF3599">
        <v>37</v>
      </c>
      <c r="BG3599" t="s">
        <v>21402</v>
      </c>
      <c r="BH3599" t="s">
        <v>21403</v>
      </c>
      <c r="BI3599" t="s">
        <v>21404</v>
      </c>
      <c r="BJ3599">
        <v>9.7570000000000004E-2</v>
      </c>
      <c r="BK3599">
        <v>1</v>
      </c>
      <c r="BL3599" t="s">
        <v>69</v>
      </c>
      <c r="BM3599">
        <v>-1.0640000000000001</v>
      </c>
      <c r="BN3599">
        <v>-2.456</v>
      </c>
    </row>
    <row r="3600" spans="10:66">
      <c r="J3600">
        <v>0</v>
      </c>
      <c r="K3600">
        <v>0</v>
      </c>
      <c r="L3600">
        <v>0</v>
      </c>
      <c r="M3600" t="s">
        <v>25021</v>
      </c>
      <c r="N3600">
        <v>3647</v>
      </c>
      <c r="O3600" t="s">
        <v>21405</v>
      </c>
      <c r="P3600" t="s">
        <v>57</v>
      </c>
      <c r="Q3600">
        <v>3618364</v>
      </c>
      <c r="R3600">
        <v>3618930</v>
      </c>
      <c r="S3600" t="s">
        <v>2647</v>
      </c>
      <c r="T3600">
        <v>189</v>
      </c>
      <c r="U3600" t="s">
        <v>160</v>
      </c>
      <c r="V3600">
        <v>45</v>
      </c>
      <c r="W3600" t="str">
        <f>HYPERLINK("Gene3647-zp_tree_all.dnd", "Gene3647-tree")</f>
        <v>Gene3647-tree</v>
      </c>
      <c r="X3600">
        <v>6</v>
      </c>
      <c r="Y3600">
        <v>8</v>
      </c>
      <c r="Z3600">
        <v>6</v>
      </c>
      <c r="AA3600">
        <v>8</v>
      </c>
      <c r="AB3600">
        <v>0.57142999999999999</v>
      </c>
      <c r="AC3600" t="s">
        <v>90</v>
      </c>
      <c r="AD3600" t="s">
        <v>136</v>
      </c>
      <c r="AE3600" t="s">
        <v>62</v>
      </c>
      <c r="AF3600" t="s">
        <v>62</v>
      </c>
      <c r="AG3600">
        <v>0</v>
      </c>
      <c r="AH3600">
        <v>0</v>
      </c>
      <c r="AI3600">
        <v>16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14</v>
      </c>
      <c r="AT3600">
        <v>0</v>
      </c>
      <c r="AU3600">
        <v>11</v>
      </c>
      <c r="AV3600">
        <v>6</v>
      </c>
      <c r="AW3600">
        <v>26</v>
      </c>
      <c r="AX3600">
        <v>14</v>
      </c>
      <c r="AY3600">
        <v>4</v>
      </c>
      <c r="AZ3600">
        <v>2</v>
      </c>
      <c r="BA3600" t="s">
        <v>21406</v>
      </c>
      <c r="BB3600" t="s">
        <v>21407</v>
      </c>
      <c r="BC3600">
        <v>0</v>
      </c>
      <c r="BD3600" t="s">
        <v>65</v>
      </c>
      <c r="BE3600">
        <v>30</v>
      </c>
      <c r="BF3600">
        <v>16</v>
      </c>
      <c r="BG3600" t="s">
        <v>21408</v>
      </c>
      <c r="BH3600" t="s">
        <v>21409</v>
      </c>
      <c r="BI3600" t="s">
        <v>21410</v>
      </c>
      <c r="BJ3600">
        <v>0.12644</v>
      </c>
      <c r="BK3600">
        <v>1</v>
      </c>
      <c r="BL3600" t="s">
        <v>69</v>
      </c>
      <c r="BM3600">
        <v>-1.93</v>
      </c>
      <c r="BN3600">
        <v>-4.4359999999999999</v>
      </c>
    </row>
    <row r="3601" spans="10:66">
      <c r="J3601">
        <v>0</v>
      </c>
      <c r="K3601">
        <v>10</v>
      </c>
      <c r="L3601">
        <v>2</v>
      </c>
      <c r="M3601" t="s">
        <v>25021</v>
      </c>
      <c r="N3601">
        <v>3648</v>
      </c>
      <c r="O3601" t="s">
        <v>21411</v>
      </c>
      <c r="P3601" t="s">
        <v>57</v>
      </c>
      <c r="Q3601">
        <v>3618964</v>
      </c>
      <c r="R3601">
        <v>3620295</v>
      </c>
      <c r="S3601" t="s">
        <v>2641</v>
      </c>
      <c r="T3601">
        <v>444</v>
      </c>
      <c r="U3601" t="s">
        <v>108</v>
      </c>
      <c r="V3601">
        <v>44</v>
      </c>
      <c r="W3601" t="str">
        <f>HYPERLINK("Gene3648-zp_tree_all.dnd", "Gene3648-tree")</f>
        <v>Gene3648-tree</v>
      </c>
      <c r="X3601">
        <v>9</v>
      </c>
      <c r="Y3601">
        <v>5</v>
      </c>
      <c r="Z3601">
        <v>9</v>
      </c>
      <c r="AA3601">
        <v>5</v>
      </c>
      <c r="AB3601">
        <v>0.35714000000000001</v>
      </c>
      <c r="AC3601" t="s">
        <v>135</v>
      </c>
      <c r="AD3601" t="s">
        <v>199</v>
      </c>
      <c r="AE3601" t="s">
        <v>62</v>
      </c>
      <c r="AF3601" t="s">
        <v>62</v>
      </c>
      <c r="AG3601">
        <v>6</v>
      </c>
      <c r="AH3601">
        <v>12</v>
      </c>
      <c r="AI3601">
        <v>6</v>
      </c>
      <c r="AJ3601">
        <v>0.66666999999999998</v>
      </c>
      <c r="AK3601">
        <v>0</v>
      </c>
      <c r="AL3601">
        <v>0</v>
      </c>
      <c r="AM3601">
        <v>0</v>
      </c>
      <c r="AN3601">
        <v>6</v>
      </c>
      <c r="AO3601">
        <v>0</v>
      </c>
      <c r="AP3601">
        <v>4</v>
      </c>
      <c r="AQ3601">
        <v>2</v>
      </c>
      <c r="AR3601">
        <v>6</v>
      </c>
      <c r="AS3601">
        <v>5</v>
      </c>
      <c r="AT3601">
        <v>0.54544999999999999</v>
      </c>
      <c r="AU3601">
        <v>12</v>
      </c>
      <c r="AV3601">
        <v>9</v>
      </c>
      <c r="AW3601">
        <v>43</v>
      </c>
      <c r="AX3601">
        <v>11</v>
      </c>
      <c r="AY3601">
        <v>20</v>
      </c>
      <c r="AZ3601">
        <v>7</v>
      </c>
      <c r="BA3601" t="s">
        <v>21412</v>
      </c>
      <c r="BB3601" t="s">
        <v>21413</v>
      </c>
      <c r="BC3601">
        <v>0.245</v>
      </c>
      <c r="BD3601" t="s">
        <v>65</v>
      </c>
      <c r="BE3601">
        <v>63</v>
      </c>
      <c r="BF3601">
        <v>18</v>
      </c>
      <c r="BG3601" t="s">
        <v>21414</v>
      </c>
      <c r="BH3601" t="s">
        <v>21415</v>
      </c>
      <c r="BI3601" t="s">
        <v>21416</v>
      </c>
      <c r="BJ3601">
        <v>9.9269999999999997E-2</v>
      </c>
      <c r="BK3601">
        <v>1</v>
      </c>
      <c r="BL3601" t="s">
        <v>69</v>
      </c>
      <c r="BM3601">
        <v>-0.98799999999999999</v>
      </c>
      <c r="BN3601">
        <v>-2.4340000000000002</v>
      </c>
    </row>
    <row r="3602" spans="10:66">
      <c r="J3602">
        <v>0</v>
      </c>
      <c r="K3602">
        <v>0</v>
      </c>
      <c r="L3602">
        <v>0</v>
      </c>
      <c r="M3602" t="s">
        <v>25021</v>
      </c>
      <c r="N3602">
        <v>3679</v>
      </c>
      <c r="O3602" t="s">
        <v>21590</v>
      </c>
      <c r="P3602" t="s">
        <v>57</v>
      </c>
      <c r="Q3602">
        <v>3646753</v>
      </c>
      <c r="R3602">
        <v>3647403</v>
      </c>
      <c r="S3602" t="s">
        <v>21591</v>
      </c>
      <c r="T3602">
        <v>217</v>
      </c>
      <c r="U3602" t="s">
        <v>21592</v>
      </c>
      <c r="V3602">
        <v>37</v>
      </c>
      <c r="W3602" t="str">
        <f>HYPERLINK("Gene3679-zp_tree_all.dnd", "Gene3679-tree")</f>
        <v>Gene3679-tree</v>
      </c>
      <c r="X3602">
        <v>8</v>
      </c>
      <c r="Y3602">
        <v>3</v>
      </c>
      <c r="Z3602">
        <v>8</v>
      </c>
      <c r="AA3602">
        <v>3</v>
      </c>
      <c r="AB3602">
        <v>0.27272999999999997</v>
      </c>
      <c r="AC3602" t="s">
        <v>136</v>
      </c>
      <c r="AD3602" t="s">
        <v>324</v>
      </c>
      <c r="AE3602" t="s">
        <v>62</v>
      </c>
      <c r="AF3602" t="s">
        <v>62</v>
      </c>
      <c r="AG3602">
        <v>0</v>
      </c>
      <c r="AH3602">
        <v>0</v>
      </c>
      <c r="AI3602">
        <v>7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7</v>
      </c>
      <c r="AT3602">
        <v>0</v>
      </c>
      <c r="AU3602">
        <v>9</v>
      </c>
      <c r="AV3602">
        <v>5</v>
      </c>
      <c r="AW3602">
        <v>36</v>
      </c>
      <c r="AX3602">
        <v>7</v>
      </c>
      <c r="AY3602">
        <v>8</v>
      </c>
      <c r="AZ3602">
        <v>0</v>
      </c>
      <c r="BA3602" t="s">
        <v>21593</v>
      </c>
      <c r="BB3602" t="s">
        <v>193</v>
      </c>
      <c r="BC3602">
        <v>0.45800000000000002</v>
      </c>
      <c r="BD3602" t="s">
        <v>65</v>
      </c>
      <c r="BE3602">
        <v>44</v>
      </c>
      <c r="BF3602">
        <v>7</v>
      </c>
      <c r="BG3602" t="s">
        <v>21594</v>
      </c>
      <c r="BH3602" t="s">
        <v>21595</v>
      </c>
      <c r="BI3602" t="s">
        <v>21596</v>
      </c>
      <c r="BJ3602">
        <v>3.6209999999999999E-2</v>
      </c>
      <c r="BK3602">
        <v>1</v>
      </c>
      <c r="BL3602" t="s">
        <v>69</v>
      </c>
      <c r="BM3602">
        <v>-1.843</v>
      </c>
      <c r="BN3602">
        <v>-3.5249999999999999</v>
      </c>
    </row>
    <row r="3603" spans="10:66">
      <c r="J3603">
        <v>0</v>
      </c>
      <c r="K3603">
        <v>10</v>
      </c>
      <c r="L3603">
        <v>3</v>
      </c>
      <c r="M3603" t="s">
        <v>25021</v>
      </c>
      <c r="N3603">
        <v>3680</v>
      </c>
      <c r="O3603" t="s">
        <v>21597</v>
      </c>
      <c r="P3603" t="s">
        <v>57</v>
      </c>
      <c r="Q3603">
        <v>3647406</v>
      </c>
      <c r="R3603">
        <v>3648578</v>
      </c>
      <c r="S3603" t="s">
        <v>21598</v>
      </c>
      <c r="T3603">
        <v>391</v>
      </c>
      <c r="U3603" t="s">
        <v>12101</v>
      </c>
      <c r="V3603">
        <v>35</v>
      </c>
      <c r="W3603" t="str">
        <f>HYPERLINK("Gene3680-zp_tree_all.dnd", "Gene3680-tree")</f>
        <v>Gene3680-tree</v>
      </c>
      <c r="X3603">
        <v>5</v>
      </c>
      <c r="Y3603">
        <v>6</v>
      </c>
      <c r="Z3603">
        <v>5</v>
      </c>
      <c r="AA3603">
        <v>6</v>
      </c>
      <c r="AB3603">
        <v>0.54544999999999999</v>
      </c>
      <c r="AC3603" t="s">
        <v>199</v>
      </c>
      <c r="AD3603" t="s">
        <v>90</v>
      </c>
      <c r="AE3603" t="s">
        <v>62</v>
      </c>
      <c r="AF3603" t="s">
        <v>62</v>
      </c>
      <c r="AG3603">
        <v>5</v>
      </c>
      <c r="AH3603">
        <v>13</v>
      </c>
      <c r="AI3603">
        <v>9</v>
      </c>
      <c r="AJ3603">
        <v>0.59091000000000005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4</v>
      </c>
      <c r="AQ3603">
        <v>0</v>
      </c>
      <c r="AR3603">
        <v>4</v>
      </c>
      <c r="AS3603">
        <v>7</v>
      </c>
      <c r="AT3603">
        <v>0.36364000000000002</v>
      </c>
      <c r="AU3603">
        <v>11</v>
      </c>
      <c r="AV3603">
        <v>7</v>
      </c>
      <c r="AW3603">
        <v>43</v>
      </c>
      <c r="AX3603">
        <v>11</v>
      </c>
      <c r="AY3603">
        <v>18</v>
      </c>
      <c r="AZ3603">
        <v>13</v>
      </c>
      <c r="BA3603" t="s">
        <v>21599</v>
      </c>
      <c r="BB3603" t="s">
        <v>21600</v>
      </c>
      <c r="BC3603">
        <v>0.34100000000000003</v>
      </c>
      <c r="BD3603" t="s">
        <v>65</v>
      </c>
      <c r="BE3603">
        <v>61</v>
      </c>
      <c r="BF3603">
        <v>24</v>
      </c>
      <c r="BG3603" t="s">
        <v>21601</v>
      </c>
      <c r="BH3603" t="s">
        <v>21602</v>
      </c>
      <c r="BI3603" t="s">
        <v>21603</v>
      </c>
      <c r="BJ3603">
        <v>0.11247</v>
      </c>
      <c r="BK3603">
        <v>1</v>
      </c>
      <c r="BL3603" t="s">
        <v>69</v>
      </c>
      <c r="BM3603">
        <v>-0.19900000000000001</v>
      </c>
      <c r="BN3603">
        <v>-1.8009999999999999</v>
      </c>
    </row>
    <row r="3604" spans="10:66">
      <c r="J3604">
        <v>0</v>
      </c>
      <c r="K3604">
        <v>0</v>
      </c>
      <c r="L3604">
        <v>0</v>
      </c>
      <c r="M3604" t="s">
        <v>25021</v>
      </c>
      <c r="N3604">
        <v>3694</v>
      </c>
      <c r="O3604" t="s">
        <v>21668</v>
      </c>
      <c r="P3604" t="s">
        <v>57</v>
      </c>
      <c r="Q3604">
        <v>3663281</v>
      </c>
      <c r="R3604">
        <v>3664198</v>
      </c>
      <c r="S3604" t="s">
        <v>21669</v>
      </c>
      <c r="T3604">
        <v>306</v>
      </c>
      <c r="U3604" t="s">
        <v>12343</v>
      </c>
      <c r="V3604">
        <v>25</v>
      </c>
      <c r="W3604" t="str">
        <f>HYPERLINK("Gene3694-zp_tree_all.dnd", "Gene3694-tree")</f>
        <v>Gene3694-tree</v>
      </c>
      <c r="X3604">
        <v>5</v>
      </c>
      <c r="Y3604">
        <v>1</v>
      </c>
      <c r="Z3604">
        <v>5</v>
      </c>
      <c r="AA3604">
        <v>1</v>
      </c>
      <c r="AB3604">
        <v>0.16667000000000001</v>
      </c>
      <c r="AC3604" t="s">
        <v>199</v>
      </c>
      <c r="AD3604" t="s">
        <v>175</v>
      </c>
      <c r="AE3604" t="s">
        <v>62</v>
      </c>
      <c r="AF3604" t="s">
        <v>62</v>
      </c>
      <c r="AG3604">
        <v>0</v>
      </c>
      <c r="AH3604">
        <v>0</v>
      </c>
      <c r="AI3604">
        <v>2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5</v>
      </c>
      <c r="AV3604">
        <v>3</v>
      </c>
      <c r="AW3604">
        <v>15</v>
      </c>
      <c r="AX3604">
        <v>1</v>
      </c>
      <c r="AY3604">
        <v>3</v>
      </c>
      <c r="AZ3604">
        <v>1</v>
      </c>
      <c r="BA3604" t="s">
        <v>21670</v>
      </c>
      <c r="BB3604" t="s">
        <v>21671</v>
      </c>
      <c r="BC3604">
        <v>0.504</v>
      </c>
      <c r="BD3604" t="s">
        <v>65</v>
      </c>
      <c r="BE3604">
        <v>18</v>
      </c>
      <c r="BF3604">
        <v>2</v>
      </c>
      <c r="BG3604" t="s">
        <v>21672</v>
      </c>
      <c r="BH3604" t="s">
        <v>21673</v>
      </c>
      <c r="BI3604" t="s">
        <v>21674</v>
      </c>
      <c r="BJ3604">
        <v>3.6819999999999999E-2</v>
      </c>
      <c r="BK3604">
        <v>1</v>
      </c>
      <c r="BL3604" t="s">
        <v>69</v>
      </c>
      <c r="BM3604">
        <v>-1.976</v>
      </c>
      <c r="BN3604">
        <v>-2.36</v>
      </c>
    </row>
    <row r="3605" spans="10:66">
      <c r="J3605">
        <v>0</v>
      </c>
      <c r="K3605">
        <v>4</v>
      </c>
      <c r="L3605">
        <v>0</v>
      </c>
      <c r="M3605" t="s">
        <v>25021</v>
      </c>
      <c r="N3605">
        <v>3696</v>
      </c>
      <c r="O3605" t="s">
        <v>21682</v>
      </c>
      <c r="P3605" t="s">
        <v>57</v>
      </c>
      <c r="Q3605">
        <v>3665629</v>
      </c>
      <c r="R3605">
        <v>3666504</v>
      </c>
      <c r="S3605" t="s">
        <v>21683</v>
      </c>
      <c r="T3605">
        <v>292</v>
      </c>
      <c r="U3605" t="s">
        <v>5958</v>
      </c>
      <c r="V3605">
        <v>35</v>
      </c>
      <c r="W3605" t="str">
        <f>HYPERLINK("Gene3696-zp_tree_all.dnd", "Gene3696-tree")</f>
        <v>Gene3696-tree</v>
      </c>
      <c r="X3605">
        <v>8</v>
      </c>
      <c r="Y3605">
        <v>4</v>
      </c>
      <c r="Z3605">
        <v>8</v>
      </c>
      <c r="AA3605">
        <v>4</v>
      </c>
      <c r="AB3605">
        <v>0.33333000000000002</v>
      </c>
      <c r="AC3605" t="s">
        <v>136</v>
      </c>
      <c r="AD3605" t="s">
        <v>61</v>
      </c>
      <c r="AE3605" t="s">
        <v>62</v>
      </c>
      <c r="AF3605" t="s">
        <v>62</v>
      </c>
      <c r="AG3605">
        <v>1</v>
      </c>
      <c r="AH3605">
        <v>4</v>
      </c>
      <c r="AI3605">
        <v>2</v>
      </c>
      <c r="AJ3605">
        <v>0.66666999999999998</v>
      </c>
      <c r="AK3605">
        <v>0</v>
      </c>
      <c r="AL3605">
        <v>0</v>
      </c>
      <c r="AM3605">
        <v>0</v>
      </c>
      <c r="AN3605">
        <v>1</v>
      </c>
      <c r="AO3605">
        <v>0</v>
      </c>
      <c r="AP3605">
        <v>2</v>
      </c>
      <c r="AQ3605">
        <v>0</v>
      </c>
      <c r="AR3605">
        <v>2</v>
      </c>
      <c r="AS3605">
        <v>2</v>
      </c>
      <c r="AT3605">
        <v>0.5</v>
      </c>
      <c r="AU3605">
        <v>10</v>
      </c>
      <c r="AV3605">
        <v>5</v>
      </c>
      <c r="AW3605">
        <v>24</v>
      </c>
      <c r="AX3605">
        <v>5</v>
      </c>
      <c r="AY3605">
        <v>23</v>
      </c>
      <c r="AZ3605">
        <v>5</v>
      </c>
      <c r="BA3605" t="s">
        <v>21684</v>
      </c>
      <c r="BB3605" t="s">
        <v>21685</v>
      </c>
      <c r="BC3605">
        <v>3.5999999999999997E-2</v>
      </c>
      <c r="BD3605" t="s">
        <v>65</v>
      </c>
      <c r="BE3605">
        <v>47</v>
      </c>
      <c r="BF3605">
        <v>10</v>
      </c>
      <c r="BG3605" t="s">
        <v>21686</v>
      </c>
      <c r="BH3605" t="s">
        <v>21687</v>
      </c>
      <c r="BI3605" t="s">
        <v>21688</v>
      </c>
      <c r="BJ3605">
        <v>6.0220000000000003E-2</v>
      </c>
      <c r="BK3605">
        <v>1</v>
      </c>
      <c r="BL3605" t="s">
        <v>69</v>
      </c>
      <c r="BM3605">
        <v>-4.5999999999999999E-2</v>
      </c>
      <c r="BN3605">
        <v>-0.94699999999999995</v>
      </c>
    </row>
    <row r="3606" spans="10:66">
      <c r="J3606">
        <v>0</v>
      </c>
      <c r="K3606">
        <v>0</v>
      </c>
      <c r="L3606">
        <v>0</v>
      </c>
      <c r="M3606" t="s">
        <v>25021</v>
      </c>
      <c r="N3606">
        <v>3708</v>
      </c>
      <c r="O3606" t="s">
        <v>21715</v>
      </c>
      <c r="P3606" t="s">
        <v>57</v>
      </c>
      <c r="Q3606">
        <v>3682173</v>
      </c>
      <c r="R3606">
        <v>3683315</v>
      </c>
      <c r="S3606" t="s">
        <v>21716</v>
      </c>
      <c r="T3606">
        <v>381</v>
      </c>
      <c r="U3606" t="s">
        <v>12343</v>
      </c>
      <c r="V3606">
        <v>25</v>
      </c>
      <c r="W3606" t="str">
        <f>HYPERLINK("Gene3708-zp_tree_all.dnd", "Gene3708-tree")</f>
        <v>Gene3708-tree</v>
      </c>
      <c r="X3606">
        <v>21</v>
      </c>
      <c r="Y3606">
        <v>4</v>
      </c>
      <c r="Z3606">
        <v>2</v>
      </c>
      <c r="AA3606">
        <v>4</v>
      </c>
      <c r="AB3606">
        <v>0.66666999999999998</v>
      </c>
      <c r="AC3606" t="s">
        <v>21717</v>
      </c>
      <c r="AD3606" t="s">
        <v>61</v>
      </c>
      <c r="AE3606" t="s">
        <v>62</v>
      </c>
      <c r="AF3606" t="s">
        <v>62</v>
      </c>
      <c r="AG3606">
        <v>0</v>
      </c>
      <c r="AH3606">
        <v>0</v>
      </c>
      <c r="AI3606">
        <v>4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4</v>
      </c>
      <c r="AT3606">
        <v>0</v>
      </c>
      <c r="AU3606">
        <v>4</v>
      </c>
      <c r="AV3606">
        <v>1</v>
      </c>
      <c r="AW3606">
        <v>3</v>
      </c>
      <c r="AX3606">
        <v>4</v>
      </c>
      <c r="AY3606">
        <v>2</v>
      </c>
      <c r="AZ3606">
        <v>0</v>
      </c>
      <c r="BA3606" t="s">
        <v>21718</v>
      </c>
      <c r="BB3606" t="s">
        <v>193</v>
      </c>
      <c r="BC3606">
        <v>0.66700000000000004</v>
      </c>
      <c r="BD3606" t="s">
        <v>65</v>
      </c>
      <c r="BE3606">
        <v>5</v>
      </c>
      <c r="BF3606">
        <v>4</v>
      </c>
      <c r="BG3606" t="s">
        <v>21719</v>
      </c>
      <c r="BH3606" t="s">
        <v>21720</v>
      </c>
      <c r="BI3606" t="s">
        <v>21721</v>
      </c>
      <c r="BJ3606">
        <v>0.17630000000000001</v>
      </c>
      <c r="BK3606">
        <v>0.96799999999999997</v>
      </c>
      <c r="BL3606" t="s">
        <v>69</v>
      </c>
      <c r="BM3606">
        <v>-2.0649999999999999</v>
      </c>
      <c r="BN3606">
        <v>-2.496</v>
      </c>
    </row>
    <row r="3607" spans="10:66">
      <c r="J3607">
        <v>0</v>
      </c>
      <c r="K3607">
        <v>0</v>
      </c>
      <c r="L3607">
        <v>0</v>
      </c>
      <c r="M3607" t="s">
        <v>25021</v>
      </c>
      <c r="N3607">
        <v>3709</v>
      </c>
      <c r="O3607" t="s">
        <v>21722</v>
      </c>
      <c r="P3607" t="s">
        <v>57</v>
      </c>
      <c r="Q3607">
        <v>3683438</v>
      </c>
      <c r="R3607">
        <v>3684763</v>
      </c>
      <c r="S3607" t="s">
        <v>21723</v>
      </c>
      <c r="T3607">
        <v>442</v>
      </c>
      <c r="U3607" t="s">
        <v>21724</v>
      </c>
      <c r="V3607">
        <v>24</v>
      </c>
      <c r="W3607" t="str">
        <f>HYPERLINK("Gene3709-zp_tree_all.dnd", "Gene3709-tree")</f>
        <v>Gene3709-tree</v>
      </c>
      <c r="X3607">
        <v>2</v>
      </c>
      <c r="Y3607">
        <v>3</v>
      </c>
      <c r="Z3607">
        <v>2</v>
      </c>
      <c r="AA3607">
        <v>3</v>
      </c>
      <c r="AB3607">
        <v>0.6</v>
      </c>
      <c r="AC3607" t="s">
        <v>81</v>
      </c>
      <c r="AD3607" t="s">
        <v>324</v>
      </c>
      <c r="AE3607" t="s">
        <v>62</v>
      </c>
      <c r="AF3607" t="s">
        <v>62</v>
      </c>
      <c r="AG3607">
        <v>0</v>
      </c>
      <c r="AH3607">
        <v>0</v>
      </c>
      <c r="AI3607">
        <v>5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5</v>
      </c>
      <c r="AT3607">
        <v>0</v>
      </c>
      <c r="AU3607">
        <v>2</v>
      </c>
      <c r="AV3607">
        <v>2</v>
      </c>
      <c r="AW3607">
        <v>9</v>
      </c>
      <c r="AX3607">
        <v>4</v>
      </c>
      <c r="AY3607">
        <v>1</v>
      </c>
      <c r="AZ3607">
        <v>1</v>
      </c>
      <c r="BA3607" t="s">
        <v>21725</v>
      </c>
      <c r="BB3607" t="s">
        <v>21726</v>
      </c>
      <c r="BC3607">
        <v>0.39300000000000002</v>
      </c>
      <c r="BD3607" t="s">
        <v>65</v>
      </c>
      <c r="BE3607">
        <v>10</v>
      </c>
      <c r="BF3607">
        <v>5</v>
      </c>
      <c r="BG3607" t="s">
        <v>21727</v>
      </c>
      <c r="BH3607" t="s">
        <v>21728</v>
      </c>
      <c r="BI3607" t="s">
        <v>21729</v>
      </c>
      <c r="BJ3607">
        <v>0.14907999999999999</v>
      </c>
      <c r="BK3607">
        <v>1</v>
      </c>
      <c r="BL3607" t="s">
        <v>69</v>
      </c>
      <c r="BM3607">
        <v>-2.1349999999999998</v>
      </c>
      <c r="BN3607">
        <v>-2.7349999999999999</v>
      </c>
    </row>
    <row r="3608" spans="10:66">
      <c r="J3608">
        <v>0</v>
      </c>
      <c r="K3608">
        <v>2</v>
      </c>
      <c r="L3608">
        <v>2</v>
      </c>
      <c r="M3608" t="s">
        <v>25021</v>
      </c>
      <c r="N3608">
        <v>3712</v>
      </c>
      <c r="O3608" t="s">
        <v>21744</v>
      </c>
      <c r="P3608" t="s">
        <v>57</v>
      </c>
      <c r="Q3608">
        <v>3688812</v>
      </c>
      <c r="R3608">
        <v>3690260</v>
      </c>
      <c r="S3608" t="s">
        <v>21745</v>
      </c>
      <c r="T3608">
        <v>483</v>
      </c>
      <c r="U3608" t="s">
        <v>21746</v>
      </c>
      <c r="V3608">
        <v>33</v>
      </c>
      <c r="W3608" t="str">
        <f>HYPERLINK("Gene3712-zp_tree_all.dnd", "Gene3712-tree")</f>
        <v>Gene3712-tree</v>
      </c>
      <c r="X3608">
        <v>24</v>
      </c>
      <c r="Y3608">
        <v>5</v>
      </c>
      <c r="Z3608">
        <v>5</v>
      </c>
      <c r="AA3608">
        <v>5</v>
      </c>
      <c r="AB3608">
        <v>0.5</v>
      </c>
      <c r="AC3608" t="s">
        <v>2668</v>
      </c>
      <c r="AD3608" t="s">
        <v>199</v>
      </c>
      <c r="AE3608" t="s">
        <v>62</v>
      </c>
      <c r="AF3608" t="s">
        <v>62</v>
      </c>
      <c r="AG3608">
        <v>2</v>
      </c>
      <c r="AH3608">
        <v>4</v>
      </c>
      <c r="AI3608">
        <v>15</v>
      </c>
      <c r="AJ3608">
        <v>0.21052999999999999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9</v>
      </c>
      <c r="AT3608">
        <v>0</v>
      </c>
      <c r="AU3608">
        <v>9</v>
      </c>
      <c r="AV3608">
        <v>7</v>
      </c>
      <c r="AW3608">
        <v>30</v>
      </c>
      <c r="AX3608">
        <v>9</v>
      </c>
      <c r="AY3608">
        <v>44</v>
      </c>
      <c r="AZ3608">
        <v>13</v>
      </c>
      <c r="BA3608" t="s">
        <v>21747</v>
      </c>
      <c r="BB3608" t="s">
        <v>21748</v>
      </c>
      <c r="BC3608">
        <v>2.5999999999999999E-2</v>
      </c>
      <c r="BD3608" t="s">
        <v>65</v>
      </c>
      <c r="BE3608">
        <v>74</v>
      </c>
      <c r="BF3608">
        <v>22</v>
      </c>
      <c r="BG3608" t="s">
        <v>21749</v>
      </c>
      <c r="BH3608" t="s">
        <v>21750</v>
      </c>
      <c r="BI3608" t="s">
        <v>21751</v>
      </c>
      <c r="BJ3608">
        <v>0.10468</v>
      </c>
      <c r="BK3608">
        <v>1</v>
      </c>
      <c r="BL3608" t="s">
        <v>69</v>
      </c>
      <c r="BM3608">
        <v>-5.3999999999999999E-2</v>
      </c>
      <c r="BN3608">
        <v>0.35399999999999998</v>
      </c>
    </row>
    <row r="3609" spans="10:66">
      <c r="J3609">
        <v>0</v>
      </c>
      <c r="K3609">
        <v>4</v>
      </c>
      <c r="L3609">
        <v>0</v>
      </c>
      <c r="M3609" t="s">
        <v>25021</v>
      </c>
      <c r="N3609">
        <v>3713</v>
      </c>
      <c r="O3609" t="s">
        <v>21752</v>
      </c>
      <c r="P3609" t="s">
        <v>57</v>
      </c>
      <c r="Q3609">
        <v>3690269</v>
      </c>
      <c r="R3609">
        <v>3691372</v>
      </c>
      <c r="S3609" t="s">
        <v>21745</v>
      </c>
      <c r="T3609">
        <v>368</v>
      </c>
      <c r="U3609" t="s">
        <v>3492</v>
      </c>
      <c r="V3609">
        <v>31</v>
      </c>
      <c r="W3609" t="str">
        <f>HYPERLINK("Gene3713-zp_tree_all.dnd", "Gene3713-tree")</f>
        <v>Gene3713-tree</v>
      </c>
      <c r="X3609">
        <v>26</v>
      </c>
      <c r="Y3609">
        <v>3</v>
      </c>
      <c r="Z3609">
        <v>6</v>
      </c>
      <c r="AA3609">
        <v>3</v>
      </c>
      <c r="AB3609">
        <v>0.33333000000000002</v>
      </c>
      <c r="AC3609" t="s">
        <v>1030</v>
      </c>
      <c r="AD3609" t="s">
        <v>324</v>
      </c>
      <c r="AE3609" t="s">
        <v>62</v>
      </c>
      <c r="AF3609" t="s">
        <v>62</v>
      </c>
      <c r="AG3609">
        <v>2</v>
      </c>
      <c r="AH3609">
        <v>4</v>
      </c>
      <c r="AI3609">
        <v>17</v>
      </c>
      <c r="AJ3609">
        <v>0.19048000000000001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5</v>
      </c>
      <c r="AT3609">
        <v>0</v>
      </c>
      <c r="AU3609">
        <v>7</v>
      </c>
      <c r="AV3609">
        <v>5</v>
      </c>
      <c r="AW3609">
        <v>16</v>
      </c>
      <c r="AX3609">
        <v>5</v>
      </c>
      <c r="AY3609">
        <v>37</v>
      </c>
      <c r="AZ3609">
        <v>16</v>
      </c>
      <c r="BA3609" t="s">
        <v>21753</v>
      </c>
      <c r="BB3609" t="s">
        <v>21754</v>
      </c>
      <c r="BC3609">
        <v>9.8000000000000004E-2</v>
      </c>
      <c r="BD3609" t="s">
        <v>65</v>
      </c>
      <c r="BE3609">
        <v>53</v>
      </c>
      <c r="BF3609">
        <v>21</v>
      </c>
      <c r="BG3609" t="s">
        <v>21755</v>
      </c>
      <c r="BH3609" t="s">
        <v>21756</v>
      </c>
      <c r="BI3609" t="s">
        <v>21757</v>
      </c>
      <c r="BJ3609">
        <v>0.11297</v>
      </c>
      <c r="BK3609">
        <v>1</v>
      </c>
      <c r="BL3609" t="s">
        <v>69</v>
      </c>
      <c r="BM3609">
        <v>1.4E-2</v>
      </c>
      <c r="BN3609">
        <v>1.0999999999999999E-2</v>
      </c>
    </row>
    <row r="3610" spans="10:66">
      <c r="J3610">
        <v>0</v>
      </c>
      <c r="K3610">
        <v>15</v>
      </c>
      <c r="L3610">
        <v>2</v>
      </c>
      <c r="M3610" t="s">
        <v>25021</v>
      </c>
      <c r="N3610">
        <v>3714</v>
      </c>
      <c r="O3610" t="s">
        <v>21758</v>
      </c>
      <c r="P3610" t="s">
        <v>57</v>
      </c>
      <c r="Q3610">
        <v>3691372</v>
      </c>
      <c r="R3610">
        <v>3692493</v>
      </c>
      <c r="S3610" t="s">
        <v>21759</v>
      </c>
      <c r="T3610">
        <v>374</v>
      </c>
      <c r="U3610" t="s">
        <v>3492</v>
      </c>
      <c r="V3610">
        <v>31</v>
      </c>
      <c r="W3610" t="str">
        <f>HYPERLINK("Gene3714-zp_tree_all.dnd", "Gene3714-tree")</f>
        <v>Gene3714-tree</v>
      </c>
      <c r="X3610">
        <v>1</v>
      </c>
      <c r="Y3610">
        <v>26</v>
      </c>
      <c r="Z3610">
        <v>1</v>
      </c>
      <c r="AA3610">
        <v>7</v>
      </c>
      <c r="AB3610">
        <v>0.875</v>
      </c>
      <c r="AC3610" t="s">
        <v>175</v>
      </c>
      <c r="AD3610" t="s">
        <v>191</v>
      </c>
      <c r="AE3610">
        <v>3.3069999999999999</v>
      </c>
      <c r="AF3610" t="s">
        <v>267</v>
      </c>
      <c r="AG3610">
        <v>8</v>
      </c>
      <c r="AH3610">
        <v>17</v>
      </c>
      <c r="AI3610">
        <v>19</v>
      </c>
      <c r="AJ3610">
        <v>0.47221999999999997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8</v>
      </c>
      <c r="AQ3610">
        <v>2</v>
      </c>
      <c r="AR3610">
        <v>10</v>
      </c>
      <c r="AS3610">
        <v>10</v>
      </c>
      <c r="AT3610">
        <v>0.5</v>
      </c>
      <c r="AU3610">
        <v>7</v>
      </c>
      <c r="AV3610">
        <v>5</v>
      </c>
      <c r="AW3610">
        <v>32</v>
      </c>
      <c r="AX3610">
        <v>20</v>
      </c>
      <c r="AY3610">
        <v>26</v>
      </c>
      <c r="AZ3610">
        <v>16</v>
      </c>
      <c r="BA3610" t="s">
        <v>21760</v>
      </c>
      <c r="BB3610" t="s">
        <v>21761</v>
      </c>
      <c r="BC3610">
        <v>1.9E-2</v>
      </c>
      <c r="BD3610" t="s">
        <v>65</v>
      </c>
      <c r="BE3610">
        <v>58</v>
      </c>
      <c r="BF3610">
        <v>36</v>
      </c>
      <c r="BG3610" t="s">
        <v>21762</v>
      </c>
      <c r="BH3610" t="s">
        <v>21763</v>
      </c>
      <c r="BI3610" t="s">
        <v>21764</v>
      </c>
      <c r="BJ3610">
        <v>0.18303</v>
      </c>
      <c r="BK3610">
        <v>1</v>
      </c>
      <c r="BL3610" t="s">
        <v>69</v>
      </c>
      <c r="BM3610">
        <v>0.26900000000000002</v>
      </c>
      <c r="BN3610">
        <v>0.36099999999999999</v>
      </c>
    </row>
    <row r="3611" spans="10:66">
      <c r="J3611">
        <v>0</v>
      </c>
      <c r="K3611">
        <v>4</v>
      </c>
      <c r="L3611">
        <v>0</v>
      </c>
      <c r="M3611" t="s">
        <v>25021</v>
      </c>
      <c r="N3611">
        <v>3716</v>
      </c>
      <c r="O3611" t="s">
        <v>21772</v>
      </c>
      <c r="P3611" t="s">
        <v>57</v>
      </c>
      <c r="Q3611">
        <v>3694239</v>
      </c>
      <c r="R3611">
        <v>3695204</v>
      </c>
      <c r="S3611" t="s">
        <v>21773</v>
      </c>
      <c r="T3611">
        <v>322</v>
      </c>
      <c r="U3611" t="s">
        <v>21774</v>
      </c>
      <c r="V3611">
        <v>31</v>
      </c>
      <c r="W3611" t="str">
        <f>HYPERLINK("Gene3716-zp_tree_all.dnd", "Gene3716-tree")</f>
        <v>Gene3716-tree</v>
      </c>
      <c r="X3611">
        <v>4</v>
      </c>
      <c r="Y3611">
        <v>6</v>
      </c>
      <c r="Z3611">
        <v>4</v>
      </c>
      <c r="AA3611">
        <v>6</v>
      </c>
      <c r="AB3611">
        <v>0.6</v>
      </c>
      <c r="AC3611" t="s">
        <v>61</v>
      </c>
      <c r="AD3611" t="s">
        <v>90</v>
      </c>
      <c r="AE3611" t="s">
        <v>62</v>
      </c>
      <c r="AF3611" t="s">
        <v>62</v>
      </c>
      <c r="AG3611">
        <v>1</v>
      </c>
      <c r="AH3611">
        <v>4</v>
      </c>
      <c r="AI3611">
        <v>6</v>
      </c>
      <c r="AJ3611">
        <v>0.4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3</v>
      </c>
      <c r="AQ3611">
        <v>0</v>
      </c>
      <c r="AR3611">
        <v>3</v>
      </c>
      <c r="AS3611">
        <v>2</v>
      </c>
      <c r="AT3611">
        <v>0.6</v>
      </c>
      <c r="AU3611">
        <v>8</v>
      </c>
      <c r="AV3611">
        <v>7</v>
      </c>
      <c r="AW3611">
        <v>12</v>
      </c>
      <c r="AX3611">
        <v>5</v>
      </c>
      <c r="AY3611">
        <v>21</v>
      </c>
      <c r="AZ3611">
        <v>5</v>
      </c>
      <c r="BA3611" t="s">
        <v>21775</v>
      </c>
      <c r="BB3611" t="s">
        <v>21776</v>
      </c>
      <c r="BC3611">
        <v>0.45500000000000002</v>
      </c>
      <c r="BD3611" t="s">
        <v>65</v>
      </c>
      <c r="BE3611">
        <v>33</v>
      </c>
      <c r="BF3611">
        <v>10</v>
      </c>
      <c r="BG3611" t="s">
        <v>21777</v>
      </c>
      <c r="BH3611" t="s">
        <v>21778</v>
      </c>
      <c r="BI3611" t="s">
        <v>21779</v>
      </c>
      <c r="BJ3611">
        <v>7.1040000000000006E-2</v>
      </c>
      <c r="BK3611">
        <v>1</v>
      </c>
      <c r="BL3611" t="s">
        <v>69</v>
      </c>
      <c r="BM3611">
        <v>-1.0109999999999999</v>
      </c>
      <c r="BN3611">
        <v>-0.57599999999999996</v>
      </c>
    </row>
    <row r="3612" spans="10:66">
      <c r="J3612">
        <v>0</v>
      </c>
      <c r="K3612">
        <v>6</v>
      </c>
      <c r="L3612">
        <v>4</v>
      </c>
      <c r="M3612" t="s">
        <v>25021</v>
      </c>
      <c r="N3612">
        <v>3717</v>
      </c>
      <c r="O3612" t="s">
        <v>21780</v>
      </c>
      <c r="P3612" t="s">
        <v>57</v>
      </c>
      <c r="Q3612">
        <v>3695363</v>
      </c>
      <c r="R3612">
        <v>3696220</v>
      </c>
      <c r="S3612" t="s">
        <v>21781</v>
      </c>
      <c r="T3612">
        <v>286</v>
      </c>
      <c r="U3612" t="s">
        <v>465</v>
      </c>
      <c r="V3612">
        <v>46</v>
      </c>
      <c r="W3612" t="str">
        <f>HYPERLINK("Gene3717-zp_tree_all.dnd", "Gene3717-tree")</f>
        <v>Gene3717-tree</v>
      </c>
      <c r="X3612">
        <v>7</v>
      </c>
      <c r="Y3612">
        <v>7</v>
      </c>
      <c r="Z3612">
        <v>7</v>
      </c>
      <c r="AA3612">
        <v>7</v>
      </c>
      <c r="AB3612">
        <v>0.5</v>
      </c>
      <c r="AC3612" t="s">
        <v>152</v>
      </c>
      <c r="AD3612" t="s">
        <v>152</v>
      </c>
      <c r="AE3612" t="s">
        <v>62</v>
      </c>
      <c r="AF3612" t="s">
        <v>62</v>
      </c>
      <c r="AG3612">
        <v>4</v>
      </c>
      <c r="AH3612">
        <v>10</v>
      </c>
      <c r="AI3612">
        <v>13</v>
      </c>
      <c r="AJ3612">
        <v>0.43478</v>
      </c>
      <c r="AK3612">
        <v>0</v>
      </c>
      <c r="AL3612">
        <v>0</v>
      </c>
      <c r="AM3612">
        <v>0</v>
      </c>
      <c r="AN3612">
        <v>1</v>
      </c>
      <c r="AO3612">
        <v>0</v>
      </c>
      <c r="AP3612">
        <v>2</v>
      </c>
      <c r="AQ3612">
        <v>0</v>
      </c>
      <c r="AR3612">
        <v>2</v>
      </c>
      <c r="AS3612">
        <v>10</v>
      </c>
      <c r="AT3612">
        <v>0.16667000000000001</v>
      </c>
      <c r="AU3612">
        <v>7</v>
      </c>
      <c r="AV3612">
        <v>11</v>
      </c>
      <c r="AW3612">
        <v>27</v>
      </c>
      <c r="AX3612">
        <v>8</v>
      </c>
      <c r="AY3612">
        <v>51</v>
      </c>
      <c r="AZ3612">
        <v>16</v>
      </c>
      <c r="BA3612" t="s">
        <v>21782</v>
      </c>
      <c r="BB3612" t="s">
        <v>21783</v>
      </c>
      <c r="BC3612">
        <v>2.1000000000000001E-2</v>
      </c>
      <c r="BD3612" t="s">
        <v>65</v>
      </c>
      <c r="BE3612">
        <v>78</v>
      </c>
      <c r="BF3612">
        <v>24</v>
      </c>
      <c r="BG3612" t="s">
        <v>21784</v>
      </c>
      <c r="BH3612" t="s">
        <v>21785</v>
      </c>
      <c r="BI3612" t="s">
        <v>21786</v>
      </c>
      <c r="BJ3612">
        <v>9.3090000000000006E-2</v>
      </c>
      <c r="BK3612">
        <v>1</v>
      </c>
      <c r="BL3612" t="s">
        <v>69</v>
      </c>
      <c r="BM3612">
        <v>-0.60299999999999998</v>
      </c>
      <c r="BN3612">
        <v>0.65300000000000002</v>
      </c>
    </row>
    <row r="3613" spans="10:66">
      <c r="J3613">
        <v>0</v>
      </c>
      <c r="K3613">
        <v>4</v>
      </c>
      <c r="L3613">
        <v>0</v>
      </c>
      <c r="M3613" t="s">
        <v>25021</v>
      </c>
      <c r="N3613">
        <v>3723</v>
      </c>
      <c r="O3613" t="s">
        <v>21818</v>
      </c>
      <c r="P3613" t="s">
        <v>57</v>
      </c>
      <c r="Q3613">
        <v>3701411</v>
      </c>
      <c r="R3613">
        <v>3702388</v>
      </c>
      <c r="S3613" t="s">
        <v>21819</v>
      </c>
      <c r="T3613">
        <v>326</v>
      </c>
      <c r="U3613" t="s">
        <v>108</v>
      </c>
      <c r="V3613">
        <v>44</v>
      </c>
      <c r="W3613" t="str">
        <f>HYPERLINK("Gene3723-zp_tree_all.dnd", "Gene3723-tree")</f>
        <v>Gene3723-tree</v>
      </c>
      <c r="X3613">
        <v>6</v>
      </c>
      <c r="Y3613">
        <v>21</v>
      </c>
      <c r="Z3613">
        <v>6</v>
      </c>
      <c r="AA3613">
        <v>9</v>
      </c>
      <c r="AB3613">
        <v>0.6</v>
      </c>
      <c r="AC3613" t="s">
        <v>90</v>
      </c>
      <c r="AD3613" t="s">
        <v>21820</v>
      </c>
      <c r="AE3613">
        <v>1.9379999999999999</v>
      </c>
      <c r="AF3613" t="s">
        <v>65</v>
      </c>
      <c r="AG3613">
        <v>1</v>
      </c>
      <c r="AH3613">
        <v>4</v>
      </c>
      <c r="AI3613">
        <v>12</v>
      </c>
      <c r="AJ3613">
        <v>0.25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3</v>
      </c>
      <c r="AQ3613">
        <v>0</v>
      </c>
      <c r="AR3613">
        <v>3</v>
      </c>
      <c r="AS3613">
        <v>8</v>
      </c>
      <c r="AT3613">
        <v>0.27272999999999997</v>
      </c>
      <c r="AU3613">
        <v>10</v>
      </c>
      <c r="AV3613">
        <v>11</v>
      </c>
      <c r="AW3613">
        <v>25</v>
      </c>
      <c r="AX3613">
        <v>8</v>
      </c>
      <c r="AY3613">
        <v>30</v>
      </c>
      <c r="AZ3613">
        <v>9</v>
      </c>
      <c r="BA3613" t="s">
        <v>21821</v>
      </c>
      <c r="BB3613" t="s">
        <v>21822</v>
      </c>
      <c r="BC3613">
        <v>7.1999999999999995E-2</v>
      </c>
      <c r="BD3613" t="s">
        <v>65</v>
      </c>
      <c r="BE3613">
        <v>55</v>
      </c>
      <c r="BF3613">
        <v>17</v>
      </c>
      <c r="BG3613" t="s">
        <v>21823</v>
      </c>
      <c r="BH3613" t="s">
        <v>21824</v>
      </c>
      <c r="BI3613" t="s">
        <v>21825</v>
      </c>
      <c r="BJ3613">
        <v>0.10117</v>
      </c>
      <c r="BK3613">
        <v>1</v>
      </c>
      <c r="BL3613" t="s">
        <v>69</v>
      </c>
      <c r="BM3613">
        <v>4.0000000000000001E-3</v>
      </c>
      <c r="BN3613">
        <v>-0.50800000000000001</v>
      </c>
    </row>
    <row r="3614" spans="10:66">
      <c r="J3614">
        <v>0</v>
      </c>
      <c r="K3614">
        <v>6</v>
      </c>
      <c r="L3614">
        <v>0</v>
      </c>
      <c r="M3614" t="s">
        <v>25021</v>
      </c>
      <c r="N3614">
        <v>3724</v>
      </c>
      <c r="O3614" t="s">
        <v>21826</v>
      </c>
      <c r="P3614" t="s">
        <v>57</v>
      </c>
      <c r="Q3614">
        <v>3702393</v>
      </c>
      <c r="R3614">
        <v>3703271</v>
      </c>
      <c r="S3614" t="s">
        <v>21827</v>
      </c>
      <c r="T3614">
        <v>293</v>
      </c>
      <c r="U3614" t="s">
        <v>108</v>
      </c>
      <c r="V3614">
        <v>44</v>
      </c>
      <c r="W3614" t="str">
        <f>HYPERLINK("Gene3724-zp_tree_all.dnd", "Gene3724-tree")</f>
        <v>Gene3724-tree</v>
      </c>
      <c r="X3614">
        <v>4</v>
      </c>
      <c r="Y3614">
        <v>9</v>
      </c>
      <c r="Z3614">
        <v>4</v>
      </c>
      <c r="AA3614">
        <v>9</v>
      </c>
      <c r="AB3614">
        <v>0.69230999999999998</v>
      </c>
      <c r="AC3614" t="s">
        <v>61</v>
      </c>
      <c r="AD3614" t="s">
        <v>135</v>
      </c>
      <c r="AE3614" t="s">
        <v>62</v>
      </c>
      <c r="AF3614" t="s">
        <v>62</v>
      </c>
      <c r="AG3614">
        <v>2</v>
      </c>
      <c r="AH3614">
        <v>6</v>
      </c>
      <c r="AI3614">
        <v>13</v>
      </c>
      <c r="AJ3614">
        <v>0.31579000000000002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5</v>
      </c>
      <c r="AQ3614">
        <v>0</v>
      </c>
      <c r="AR3614">
        <v>5</v>
      </c>
      <c r="AS3614">
        <v>11</v>
      </c>
      <c r="AT3614">
        <v>0.3125</v>
      </c>
      <c r="AU3614">
        <v>11</v>
      </c>
      <c r="AV3614">
        <v>8</v>
      </c>
      <c r="AW3614">
        <v>33</v>
      </c>
      <c r="AX3614">
        <v>15</v>
      </c>
      <c r="AY3614">
        <v>25</v>
      </c>
      <c r="AZ3614">
        <v>4</v>
      </c>
      <c r="BA3614" t="s">
        <v>21828</v>
      </c>
      <c r="BB3614" t="s">
        <v>21829</v>
      </c>
      <c r="BC3614">
        <v>0.97199999999999998</v>
      </c>
      <c r="BD3614" t="s">
        <v>65</v>
      </c>
      <c r="BE3614">
        <v>58</v>
      </c>
      <c r="BF3614">
        <v>19</v>
      </c>
      <c r="BG3614" t="s">
        <v>21830</v>
      </c>
      <c r="BH3614" t="s">
        <v>21831</v>
      </c>
      <c r="BI3614" t="s">
        <v>10498</v>
      </c>
      <c r="BJ3614">
        <v>8.8859999999999995E-2</v>
      </c>
      <c r="BK3614">
        <v>1</v>
      </c>
      <c r="BL3614" t="s">
        <v>69</v>
      </c>
      <c r="BM3614">
        <v>0.11</v>
      </c>
      <c r="BN3614">
        <v>-0.64200000000000002</v>
      </c>
    </row>
    <row r="3615" spans="10:66">
      <c r="J3615">
        <v>0</v>
      </c>
      <c r="K3615">
        <v>9</v>
      </c>
      <c r="L3615">
        <v>0</v>
      </c>
      <c r="M3615" t="s">
        <v>25021</v>
      </c>
      <c r="N3615">
        <v>3725</v>
      </c>
      <c r="O3615" t="s">
        <v>21832</v>
      </c>
      <c r="P3615" t="s">
        <v>57</v>
      </c>
      <c r="Q3615">
        <v>3703271</v>
      </c>
      <c r="R3615">
        <v>3703663</v>
      </c>
      <c r="S3615" t="s">
        <v>21833</v>
      </c>
      <c r="T3615">
        <v>131</v>
      </c>
      <c r="U3615" t="s">
        <v>108</v>
      </c>
      <c r="V3615">
        <v>44</v>
      </c>
      <c r="W3615" t="str">
        <f>HYPERLINK("Gene3725-zp_tree_all.dnd", "Gene3725-tree")</f>
        <v>Gene3725-tree</v>
      </c>
      <c r="X3615">
        <v>3</v>
      </c>
      <c r="Y3615">
        <v>7</v>
      </c>
      <c r="Z3615">
        <v>3</v>
      </c>
      <c r="AA3615">
        <v>7</v>
      </c>
      <c r="AB3615">
        <v>0.7</v>
      </c>
      <c r="AC3615" t="s">
        <v>324</v>
      </c>
      <c r="AD3615" t="s">
        <v>152</v>
      </c>
      <c r="AE3615" t="s">
        <v>62</v>
      </c>
      <c r="AF3615" t="s">
        <v>62</v>
      </c>
      <c r="AG3615">
        <v>3</v>
      </c>
      <c r="AH3615">
        <v>9</v>
      </c>
      <c r="AI3615">
        <v>8</v>
      </c>
      <c r="AJ3615">
        <v>0.52941000000000005</v>
      </c>
      <c r="AK3615">
        <v>0</v>
      </c>
      <c r="AL3615">
        <v>0</v>
      </c>
      <c r="AM3615">
        <v>0</v>
      </c>
      <c r="AN3615">
        <v>1</v>
      </c>
      <c r="AO3615">
        <v>0</v>
      </c>
      <c r="AP3615">
        <v>7</v>
      </c>
      <c r="AQ3615">
        <v>0</v>
      </c>
      <c r="AR3615">
        <v>7</v>
      </c>
      <c r="AS3615">
        <v>8</v>
      </c>
      <c r="AT3615">
        <v>0.46666999999999997</v>
      </c>
      <c r="AU3615">
        <v>8</v>
      </c>
      <c r="AV3615">
        <v>5</v>
      </c>
      <c r="AW3615">
        <v>12</v>
      </c>
      <c r="AX3615">
        <v>11</v>
      </c>
      <c r="AY3615">
        <v>9</v>
      </c>
      <c r="AZ3615">
        <v>6</v>
      </c>
      <c r="BA3615" t="s">
        <v>21834</v>
      </c>
      <c r="BB3615" t="s">
        <v>21835</v>
      </c>
      <c r="BC3615">
        <v>0.38500000000000001</v>
      </c>
      <c r="BD3615" t="s">
        <v>65</v>
      </c>
      <c r="BE3615">
        <v>21</v>
      </c>
      <c r="BF3615">
        <v>17</v>
      </c>
      <c r="BG3615" t="s">
        <v>21836</v>
      </c>
      <c r="BH3615" t="s">
        <v>21837</v>
      </c>
      <c r="BI3615" t="s">
        <v>21838</v>
      </c>
      <c r="BJ3615">
        <v>0.18232000000000001</v>
      </c>
      <c r="BK3615">
        <v>1</v>
      </c>
      <c r="BL3615" t="s">
        <v>69</v>
      </c>
      <c r="BM3615">
        <v>0.18099999999999999</v>
      </c>
      <c r="BN3615">
        <v>0.70099999999999996</v>
      </c>
    </row>
    <row r="3616" spans="10:66">
      <c r="J3616">
        <v>0</v>
      </c>
      <c r="K3616">
        <v>2</v>
      </c>
      <c r="L3616">
        <v>3</v>
      </c>
      <c r="M3616" t="s">
        <v>25021</v>
      </c>
      <c r="N3616">
        <v>3726</v>
      </c>
      <c r="O3616" t="s">
        <v>21839</v>
      </c>
      <c r="P3616" t="s">
        <v>57</v>
      </c>
      <c r="Q3616">
        <v>3703682</v>
      </c>
      <c r="R3616">
        <v>3705160</v>
      </c>
      <c r="S3616" t="s">
        <v>21840</v>
      </c>
      <c r="T3616">
        <v>493</v>
      </c>
      <c r="U3616" t="s">
        <v>108</v>
      </c>
      <c r="V3616">
        <v>44</v>
      </c>
      <c r="W3616" t="str">
        <f>HYPERLINK("Gene3726-zp_tree_all.dnd", "Gene3726-tree")</f>
        <v>Gene3726-tree</v>
      </c>
      <c r="X3616">
        <v>7</v>
      </c>
      <c r="Y3616">
        <v>27</v>
      </c>
      <c r="Z3616">
        <v>7</v>
      </c>
      <c r="AA3616">
        <v>8</v>
      </c>
      <c r="AB3616">
        <v>0.53332999999999997</v>
      </c>
      <c r="AC3616" t="s">
        <v>152</v>
      </c>
      <c r="AD3616" t="s">
        <v>282</v>
      </c>
      <c r="AE3616">
        <v>3.5</v>
      </c>
      <c r="AF3616" t="s">
        <v>65</v>
      </c>
      <c r="AG3616">
        <v>2</v>
      </c>
      <c r="AH3616">
        <v>5</v>
      </c>
      <c r="AI3616">
        <v>9</v>
      </c>
      <c r="AJ3616">
        <v>0.35714000000000001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2</v>
      </c>
      <c r="AR3616">
        <v>2</v>
      </c>
      <c r="AS3616">
        <v>7</v>
      </c>
      <c r="AT3616">
        <v>0.22222</v>
      </c>
      <c r="AU3616">
        <v>12</v>
      </c>
      <c r="AV3616">
        <v>12</v>
      </c>
      <c r="AW3616">
        <v>67</v>
      </c>
      <c r="AX3616">
        <v>6</v>
      </c>
      <c r="AY3616">
        <v>62</v>
      </c>
      <c r="AZ3616">
        <v>8</v>
      </c>
      <c r="BA3616" t="s">
        <v>21841</v>
      </c>
      <c r="BB3616" t="s">
        <v>21842</v>
      </c>
      <c r="BC3616">
        <v>0.28699999999999998</v>
      </c>
      <c r="BD3616" t="s">
        <v>65</v>
      </c>
      <c r="BE3616">
        <v>129</v>
      </c>
      <c r="BF3616">
        <v>14</v>
      </c>
      <c r="BG3616" t="s">
        <v>21843</v>
      </c>
      <c r="BH3616" t="s">
        <v>21844</v>
      </c>
      <c r="BI3616" t="s">
        <v>21845</v>
      </c>
      <c r="BJ3616">
        <v>3.7969999999999997E-2</v>
      </c>
      <c r="BK3616">
        <v>1</v>
      </c>
      <c r="BL3616" t="s">
        <v>69</v>
      </c>
      <c r="BM3616">
        <v>3.6999999999999998E-2</v>
      </c>
      <c r="BN3616">
        <v>-0.24399999999999999</v>
      </c>
    </row>
    <row r="3617" spans="10:66">
      <c r="J3617">
        <v>0</v>
      </c>
      <c r="K3617">
        <v>8</v>
      </c>
      <c r="L3617">
        <v>0</v>
      </c>
      <c r="M3617" t="s">
        <v>25021</v>
      </c>
      <c r="N3617">
        <v>3727</v>
      </c>
      <c r="O3617" t="s">
        <v>21846</v>
      </c>
      <c r="P3617" t="s">
        <v>57</v>
      </c>
      <c r="Q3617">
        <v>3705165</v>
      </c>
      <c r="R3617">
        <v>3706130</v>
      </c>
      <c r="S3617" t="s">
        <v>21847</v>
      </c>
      <c r="T3617">
        <v>322</v>
      </c>
      <c r="U3617" t="s">
        <v>6390</v>
      </c>
      <c r="V3617">
        <v>45</v>
      </c>
      <c r="W3617" t="str">
        <f>HYPERLINK("Gene3727-zp_tree_all.dnd", "Gene3727-tree")</f>
        <v>Gene3727-tree</v>
      </c>
      <c r="X3617">
        <v>27</v>
      </c>
      <c r="Y3617">
        <v>8</v>
      </c>
      <c r="Z3617">
        <v>8</v>
      </c>
      <c r="AA3617">
        <v>8</v>
      </c>
      <c r="AB3617">
        <v>0.5</v>
      </c>
      <c r="AC3617" t="s">
        <v>282</v>
      </c>
      <c r="AD3617" t="s">
        <v>136</v>
      </c>
      <c r="AE3617" t="s">
        <v>62</v>
      </c>
      <c r="AF3617" t="s">
        <v>62</v>
      </c>
      <c r="AG3617">
        <v>3</v>
      </c>
      <c r="AH3617">
        <v>8</v>
      </c>
      <c r="AI3617">
        <v>9</v>
      </c>
      <c r="AJ3617">
        <v>0.47059000000000001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4</v>
      </c>
      <c r="AQ3617">
        <v>0</v>
      </c>
      <c r="AR3617">
        <v>4</v>
      </c>
      <c r="AS3617">
        <v>10</v>
      </c>
      <c r="AT3617">
        <v>0.28571000000000002</v>
      </c>
      <c r="AU3617">
        <v>13</v>
      </c>
      <c r="AV3617">
        <v>12</v>
      </c>
      <c r="AW3617">
        <v>69</v>
      </c>
      <c r="AX3617">
        <v>14</v>
      </c>
      <c r="AY3617">
        <v>36</v>
      </c>
      <c r="AZ3617">
        <v>3</v>
      </c>
      <c r="BA3617" t="s">
        <v>21848</v>
      </c>
      <c r="BB3617" t="s">
        <v>21849</v>
      </c>
      <c r="BC3617">
        <v>0.436</v>
      </c>
      <c r="BD3617" t="s">
        <v>65</v>
      </c>
      <c r="BE3617">
        <v>105</v>
      </c>
      <c r="BF3617">
        <v>17</v>
      </c>
      <c r="BG3617" t="s">
        <v>21850</v>
      </c>
      <c r="BH3617" t="s">
        <v>21851</v>
      </c>
      <c r="BI3617" t="s">
        <v>21852</v>
      </c>
      <c r="BJ3617">
        <v>3.9149999999999997E-2</v>
      </c>
      <c r="BK3617">
        <v>1</v>
      </c>
      <c r="BL3617" t="s">
        <v>69</v>
      </c>
      <c r="BM3617">
        <v>-1.1020000000000001</v>
      </c>
      <c r="BN3617">
        <v>-2.8540000000000001</v>
      </c>
    </row>
    <row r="3618" spans="10:66">
      <c r="J3618">
        <v>0</v>
      </c>
      <c r="K3618">
        <v>6</v>
      </c>
      <c r="L3618">
        <v>2</v>
      </c>
      <c r="M3618" t="s">
        <v>25021</v>
      </c>
      <c r="N3618">
        <v>3728</v>
      </c>
      <c r="O3618" t="s">
        <v>21853</v>
      </c>
      <c r="P3618" t="s">
        <v>57</v>
      </c>
      <c r="Q3618">
        <v>3706145</v>
      </c>
      <c r="R3618">
        <v>3707059</v>
      </c>
      <c r="S3618" t="s">
        <v>21854</v>
      </c>
      <c r="T3618">
        <v>305</v>
      </c>
      <c r="U3618" t="s">
        <v>108</v>
      </c>
      <c r="V3618">
        <v>44</v>
      </c>
      <c r="W3618" t="str">
        <f>HYPERLINK("Gene3728-zp_tree_all.dnd", "Gene3728-tree")</f>
        <v>Gene3728-tree</v>
      </c>
      <c r="X3618">
        <v>9</v>
      </c>
      <c r="Y3618">
        <v>6</v>
      </c>
      <c r="Z3618">
        <v>9</v>
      </c>
      <c r="AA3618">
        <v>6</v>
      </c>
      <c r="AB3618">
        <v>0.4</v>
      </c>
      <c r="AC3618" t="s">
        <v>135</v>
      </c>
      <c r="AD3618" t="s">
        <v>90</v>
      </c>
      <c r="AE3618" t="s">
        <v>62</v>
      </c>
      <c r="AF3618" t="s">
        <v>62</v>
      </c>
      <c r="AG3618">
        <v>3</v>
      </c>
      <c r="AH3618">
        <v>8</v>
      </c>
      <c r="AI3618">
        <v>7</v>
      </c>
      <c r="AJ3618">
        <v>0.53332999999999997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4</v>
      </c>
      <c r="AQ3618">
        <v>0</v>
      </c>
      <c r="AR3618">
        <v>4</v>
      </c>
      <c r="AS3618">
        <v>5</v>
      </c>
      <c r="AT3618">
        <v>0.44444</v>
      </c>
      <c r="AU3618">
        <v>13</v>
      </c>
      <c r="AV3618">
        <v>11</v>
      </c>
      <c r="AW3618">
        <v>43</v>
      </c>
      <c r="AX3618">
        <v>9</v>
      </c>
      <c r="AY3618">
        <v>21</v>
      </c>
      <c r="AZ3618">
        <v>6</v>
      </c>
      <c r="BA3618" t="s">
        <v>21855</v>
      </c>
      <c r="BB3618" t="s">
        <v>21856</v>
      </c>
      <c r="BC3618">
        <v>0.39</v>
      </c>
      <c r="BD3618" t="s">
        <v>65</v>
      </c>
      <c r="BE3618">
        <v>64</v>
      </c>
      <c r="BF3618">
        <v>15</v>
      </c>
      <c r="BG3618" t="s">
        <v>21857</v>
      </c>
      <c r="BH3618" t="s">
        <v>21858</v>
      </c>
      <c r="BI3618" t="s">
        <v>21859</v>
      </c>
      <c r="BJ3618">
        <v>7.7939999999999995E-2</v>
      </c>
      <c r="BK3618">
        <v>1</v>
      </c>
      <c r="BL3618" t="s">
        <v>69</v>
      </c>
      <c r="BM3618">
        <v>-0.627</v>
      </c>
      <c r="BN3618">
        <v>-1.496</v>
      </c>
    </row>
    <row r="3619" spans="10:66">
      <c r="J3619">
        <v>0</v>
      </c>
      <c r="K3619">
        <v>12</v>
      </c>
      <c r="L3619">
        <v>1</v>
      </c>
      <c r="M3619" t="s">
        <v>25021</v>
      </c>
      <c r="N3619">
        <v>3729</v>
      </c>
      <c r="O3619" t="s">
        <v>21860</v>
      </c>
      <c r="P3619" t="s">
        <v>57</v>
      </c>
      <c r="Q3619">
        <v>3707144</v>
      </c>
      <c r="R3619">
        <v>3707677</v>
      </c>
      <c r="S3619" t="s">
        <v>21861</v>
      </c>
      <c r="T3619">
        <v>178</v>
      </c>
      <c r="U3619" t="s">
        <v>1124</v>
      </c>
      <c r="V3619">
        <v>43</v>
      </c>
      <c r="W3619" t="str">
        <f>HYPERLINK("Gene3729-zp_tree_all.dnd", "Gene3729-tree")</f>
        <v>Gene3729-tree</v>
      </c>
      <c r="X3619">
        <v>4</v>
      </c>
      <c r="Y3619">
        <v>9</v>
      </c>
      <c r="Z3619">
        <v>4</v>
      </c>
      <c r="AA3619">
        <v>9</v>
      </c>
      <c r="AB3619">
        <v>0.69230999999999998</v>
      </c>
      <c r="AC3619" t="s">
        <v>61</v>
      </c>
      <c r="AD3619" t="s">
        <v>135</v>
      </c>
      <c r="AE3619" t="s">
        <v>62</v>
      </c>
      <c r="AF3619" t="s">
        <v>62</v>
      </c>
      <c r="AG3619">
        <v>5</v>
      </c>
      <c r="AH3619">
        <v>13</v>
      </c>
      <c r="AI3619">
        <v>12</v>
      </c>
      <c r="AJ3619">
        <v>0.52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8</v>
      </c>
      <c r="AQ3619">
        <v>0</v>
      </c>
      <c r="AR3619">
        <v>8</v>
      </c>
      <c r="AS3619">
        <v>12</v>
      </c>
      <c r="AT3619">
        <v>0.4</v>
      </c>
      <c r="AU3619">
        <v>12</v>
      </c>
      <c r="AV3619">
        <v>9</v>
      </c>
      <c r="AW3619">
        <v>32</v>
      </c>
      <c r="AX3619">
        <v>18</v>
      </c>
      <c r="AY3619">
        <v>21</v>
      </c>
      <c r="AZ3619">
        <v>7</v>
      </c>
      <c r="BA3619" t="s">
        <v>21862</v>
      </c>
      <c r="BB3619" t="s">
        <v>21863</v>
      </c>
      <c r="BC3619">
        <v>0.746</v>
      </c>
      <c r="BD3619" t="s">
        <v>65</v>
      </c>
      <c r="BE3619">
        <v>53</v>
      </c>
      <c r="BF3619">
        <v>25</v>
      </c>
      <c r="BG3619" t="s">
        <v>21864</v>
      </c>
      <c r="BH3619" t="s">
        <v>21865</v>
      </c>
      <c r="BI3619" t="s">
        <v>21866</v>
      </c>
      <c r="BJ3619">
        <v>0.12601999999999999</v>
      </c>
      <c r="BK3619">
        <v>1</v>
      </c>
      <c r="BL3619" t="s">
        <v>69</v>
      </c>
      <c r="BM3619">
        <v>-0.22600000000000001</v>
      </c>
      <c r="BN3619">
        <v>-1.754</v>
      </c>
    </row>
    <row r="3620" spans="10:66">
      <c r="J3620">
        <v>0</v>
      </c>
      <c r="K3620">
        <v>0</v>
      </c>
      <c r="L3620">
        <v>0</v>
      </c>
      <c r="M3620" t="s">
        <v>25021</v>
      </c>
      <c r="N3620">
        <v>3730</v>
      </c>
      <c r="O3620" t="s">
        <v>21867</v>
      </c>
      <c r="P3620" t="s">
        <v>57</v>
      </c>
      <c r="Q3620">
        <v>3707836</v>
      </c>
      <c r="R3620">
        <v>3708129</v>
      </c>
      <c r="S3620" t="s">
        <v>116</v>
      </c>
      <c r="T3620">
        <v>98</v>
      </c>
      <c r="U3620" t="s">
        <v>108</v>
      </c>
      <c r="V3620">
        <v>44</v>
      </c>
      <c r="W3620" t="str">
        <f>HYPERLINK("Gene3730-zp_tree_all.dnd", "Gene3730-tree")</f>
        <v>Gene3730-tree</v>
      </c>
      <c r="X3620">
        <v>4</v>
      </c>
      <c r="Y3620">
        <v>2</v>
      </c>
      <c r="Z3620">
        <v>4</v>
      </c>
      <c r="AA3620">
        <v>2</v>
      </c>
      <c r="AB3620">
        <v>0.33333000000000002</v>
      </c>
      <c r="AC3620" t="s">
        <v>61</v>
      </c>
      <c r="AD3620" t="s">
        <v>81</v>
      </c>
      <c r="AE3620" t="s">
        <v>62</v>
      </c>
      <c r="AF3620" t="s">
        <v>62</v>
      </c>
      <c r="AG3620">
        <v>0</v>
      </c>
      <c r="AH3620">
        <v>0</v>
      </c>
      <c r="AI3620">
        <v>4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3</v>
      </c>
      <c r="AT3620">
        <v>0</v>
      </c>
      <c r="AU3620">
        <v>4</v>
      </c>
      <c r="AV3620">
        <v>2</v>
      </c>
      <c r="AW3620">
        <v>8</v>
      </c>
      <c r="AX3620">
        <v>3</v>
      </c>
      <c r="AY3620">
        <v>2</v>
      </c>
      <c r="AZ3620">
        <v>1</v>
      </c>
      <c r="BA3620" t="s">
        <v>21868</v>
      </c>
      <c r="BB3620" t="s">
        <v>21869</v>
      </c>
      <c r="BC3620">
        <v>0.23400000000000001</v>
      </c>
      <c r="BD3620" t="s">
        <v>65</v>
      </c>
      <c r="BE3620">
        <v>10</v>
      </c>
      <c r="BF3620">
        <v>4</v>
      </c>
      <c r="BG3620" t="s">
        <v>21870</v>
      </c>
      <c r="BH3620" t="s">
        <v>21871</v>
      </c>
      <c r="BI3620" t="s">
        <v>21872</v>
      </c>
      <c r="BJ3620">
        <v>0.12358</v>
      </c>
      <c r="BK3620">
        <v>1</v>
      </c>
      <c r="BL3620" t="s">
        <v>69</v>
      </c>
      <c r="BM3620">
        <v>-0.72</v>
      </c>
      <c r="BN3620">
        <v>-2.4380000000000002</v>
      </c>
    </row>
    <row r="3621" spans="10:66">
      <c r="J3621">
        <v>0</v>
      </c>
      <c r="K3621">
        <v>0</v>
      </c>
      <c r="L3621">
        <v>0</v>
      </c>
      <c r="M3621" t="s">
        <v>25021</v>
      </c>
      <c r="N3621">
        <v>3734</v>
      </c>
      <c r="O3621" t="s">
        <v>21894</v>
      </c>
      <c r="P3621" t="s">
        <v>57</v>
      </c>
      <c r="Q3621">
        <v>3711498</v>
      </c>
      <c r="R3621">
        <v>3712403</v>
      </c>
      <c r="S3621" t="s">
        <v>21895</v>
      </c>
      <c r="T3621">
        <v>302</v>
      </c>
      <c r="U3621" t="s">
        <v>108</v>
      </c>
      <c r="V3621">
        <v>44</v>
      </c>
      <c r="W3621" t="str">
        <f>HYPERLINK("Gene3734-zp_tree_all.dnd", "Gene3734-tree")</f>
        <v>Gene3734-tree</v>
      </c>
      <c r="X3621">
        <v>6</v>
      </c>
      <c r="Y3621">
        <v>2</v>
      </c>
      <c r="Z3621">
        <v>6</v>
      </c>
      <c r="AA3621">
        <v>2</v>
      </c>
      <c r="AB3621">
        <v>0.25</v>
      </c>
      <c r="AC3621" t="s">
        <v>90</v>
      </c>
      <c r="AD3621" t="s">
        <v>81</v>
      </c>
      <c r="AE3621" t="s">
        <v>62</v>
      </c>
      <c r="AF3621" t="s">
        <v>62</v>
      </c>
      <c r="AG3621">
        <v>0</v>
      </c>
      <c r="AH3621">
        <v>0</v>
      </c>
      <c r="AI3621">
        <v>2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2</v>
      </c>
      <c r="AT3621">
        <v>0</v>
      </c>
      <c r="AU3621">
        <v>6</v>
      </c>
      <c r="AV3621">
        <v>3</v>
      </c>
      <c r="AW3621">
        <v>16</v>
      </c>
      <c r="AX3621">
        <v>2</v>
      </c>
      <c r="AY3621">
        <v>5</v>
      </c>
      <c r="AZ3621">
        <v>0</v>
      </c>
      <c r="BA3621" t="s">
        <v>21896</v>
      </c>
      <c r="BB3621" t="s">
        <v>193</v>
      </c>
      <c r="BC3621">
        <v>0.86299999999999999</v>
      </c>
      <c r="BD3621" t="s">
        <v>65</v>
      </c>
      <c r="BE3621">
        <v>21</v>
      </c>
      <c r="BF3621">
        <v>2</v>
      </c>
      <c r="BG3621" t="s">
        <v>21897</v>
      </c>
      <c r="BH3621" t="s">
        <v>21898</v>
      </c>
      <c r="BI3621" t="s">
        <v>15244</v>
      </c>
      <c r="BJ3621">
        <v>2.563E-2</v>
      </c>
      <c r="BK3621">
        <v>1</v>
      </c>
      <c r="BL3621" t="s">
        <v>69</v>
      </c>
      <c r="BM3621">
        <v>-0.94299999999999995</v>
      </c>
      <c r="BN3621">
        <v>-0.56699999999999995</v>
      </c>
    </row>
    <row r="3622" spans="10:66">
      <c r="J3622">
        <v>0</v>
      </c>
      <c r="K3622">
        <v>13</v>
      </c>
      <c r="L3622">
        <v>0</v>
      </c>
      <c r="M3622" t="s">
        <v>25021</v>
      </c>
      <c r="N3622">
        <v>3735</v>
      </c>
      <c r="O3622" t="s">
        <v>21899</v>
      </c>
      <c r="P3622" t="s">
        <v>57</v>
      </c>
      <c r="Q3622">
        <v>3712617</v>
      </c>
      <c r="R3622">
        <v>3713942</v>
      </c>
      <c r="S3622" t="s">
        <v>21900</v>
      </c>
      <c r="T3622">
        <v>442</v>
      </c>
      <c r="U3622" t="s">
        <v>108</v>
      </c>
      <c r="V3622">
        <v>44</v>
      </c>
      <c r="W3622" t="str">
        <f>HYPERLINK("Gene3735-zp_tree_all.dnd", "Gene3735-tree")</f>
        <v>Gene3735-tree</v>
      </c>
      <c r="X3622">
        <v>8</v>
      </c>
      <c r="Y3622">
        <v>6</v>
      </c>
      <c r="Z3622">
        <v>8</v>
      </c>
      <c r="AA3622">
        <v>6</v>
      </c>
      <c r="AB3622">
        <v>0.42857000000000001</v>
      </c>
      <c r="AC3622" t="s">
        <v>136</v>
      </c>
      <c r="AD3622" t="s">
        <v>90</v>
      </c>
      <c r="AE3622" t="s">
        <v>62</v>
      </c>
      <c r="AF3622" t="s">
        <v>62</v>
      </c>
      <c r="AG3622">
        <v>4</v>
      </c>
      <c r="AH3622">
        <v>13</v>
      </c>
      <c r="AI3622">
        <v>12</v>
      </c>
      <c r="AJ3622">
        <v>0.52</v>
      </c>
      <c r="AK3622">
        <v>0</v>
      </c>
      <c r="AL3622">
        <v>0</v>
      </c>
      <c r="AM3622">
        <v>0</v>
      </c>
      <c r="AN3622">
        <v>2</v>
      </c>
      <c r="AO3622">
        <v>0</v>
      </c>
      <c r="AP3622">
        <v>4</v>
      </c>
      <c r="AQ3622">
        <v>0</v>
      </c>
      <c r="AR3622">
        <v>4</v>
      </c>
      <c r="AS3622">
        <v>11</v>
      </c>
      <c r="AT3622">
        <v>0.26667000000000002</v>
      </c>
      <c r="AU3622">
        <v>12</v>
      </c>
      <c r="AV3622">
        <v>9</v>
      </c>
      <c r="AW3622">
        <v>30</v>
      </c>
      <c r="AX3622">
        <v>15</v>
      </c>
      <c r="AY3622">
        <v>9</v>
      </c>
      <c r="AZ3622">
        <v>10</v>
      </c>
      <c r="BA3622" t="s">
        <v>21901</v>
      </c>
      <c r="BB3622" t="s">
        <v>21902</v>
      </c>
      <c r="BC3622">
        <v>0.754</v>
      </c>
      <c r="BD3622" t="s">
        <v>65</v>
      </c>
      <c r="BE3622">
        <v>39</v>
      </c>
      <c r="BF3622">
        <v>25</v>
      </c>
      <c r="BG3622" t="s">
        <v>21903</v>
      </c>
      <c r="BH3622" t="s">
        <v>21904</v>
      </c>
      <c r="BI3622" t="s">
        <v>21905</v>
      </c>
      <c r="BJ3622">
        <v>0.15506</v>
      </c>
      <c r="BK3622">
        <v>1</v>
      </c>
      <c r="BL3622" t="s">
        <v>69</v>
      </c>
      <c r="BM3622">
        <v>-1.1439999999999999</v>
      </c>
      <c r="BN3622">
        <v>-1.135</v>
      </c>
    </row>
    <row r="3623" spans="10:66">
      <c r="J3623">
        <v>0</v>
      </c>
      <c r="K3623">
        <v>0</v>
      </c>
      <c r="L3623">
        <v>0</v>
      </c>
      <c r="M3623" t="s">
        <v>25021</v>
      </c>
      <c r="N3623">
        <v>3739</v>
      </c>
      <c r="O3623" t="s">
        <v>21926</v>
      </c>
      <c r="P3623" t="s">
        <v>57</v>
      </c>
      <c r="Q3623">
        <v>3717238</v>
      </c>
      <c r="R3623">
        <v>3717822</v>
      </c>
      <c r="S3623" t="s">
        <v>21927</v>
      </c>
      <c r="T3623">
        <v>195</v>
      </c>
      <c r="U3623" t="s">
        <v>21928</v>
      </c>
      <c r="V3623">
        <v>32</v>
      </c>
      <c r="W3623" t="str">
        <f>HYPERLINK("Gene3739-zp_tree_all.dnd", "Gene3739-tree")</f>
        <v>Gene3739-tree</v>
      </c>
      <c r="X3623">
        <v>7</v>
      </c>
      <c r="Y3623">
        <v>2</v>
      </c>
      <c r="Z3623">
        <v>7</v>
      </c>
      <c r="AA3623">
        <v>2</v>
      </c>
      <c r="AB3623">
        <v>0.22222</v>
      </c>
      <c r="AC3623" t="s">
        <v>152</v>
      </c>
      <c r="AD3623" t="s">
        <v>81</v>
      </c>
      <c r="AE3623" t="s">
        <v>62</v>
      </c>
      <c r="AF3623" t="s">
        <v>62</v>
      </c>
      <c r="AG3623">
        <v>0</v>
      </c>
      <c r="AH3623">
        <v>0</v>
      </c>
      <c r="AI3623">
        <v>7</v>
      </c>
      <c r="AJ3623">
        <v>0</v>
      </c>
      <c r="AK3623">
        <v>0</v>
      </c>
      <c r="AL3623">
        <v>0</v>
      </c>
      <c r="AM3623">
        <v>0</v>
      </c>
      <c r="AN3623">
        <v>3</v>
      </c>
      <c r="AO3623">
        <v>0</v>
      </c>
      <c r="AP3623">
        <v>0</v>
      </c>
      <c r="AQ3623">
        <v>0</v>
      </c>
      <c r="AR3623">
        <v>0</v>
      </c>
      <c r="AS3623">
        <v>2</v>
      </c>
      <c r="AT3623">
        <v>0</v>
      </c>
      <c r="AU3623">
        <v>6</v>
      </c>
      <c r="AV3623">
        <v>4</v>
      </c>
      <c r="AW3623">
        <v>8</v>
      </c>
      <c r="AX3623">
        <v>2</v>
      </c>
      <c r="AY3623">
        <v>6</v>
      </c>
      <c r="AZ3623">
        <v>5</v>
      </c>
      <c r="BA3623" t="s">
        <v>21929</v>
      </c>
      <c r="BB3623" t="s">
        <v>21930</v>
      </c>
      <c r="BC3623">
        <v>0.8</v>
      </c>
      <c r="BD3623" t="s">
        <v>65</v>
      </c>
      <c r="BE3623">
        <v>14</v>
      </c>
      <c r="BF3623">
        <v>7</v>
      </c>
      <c r="BG3623" t="s">
        <v>21931</v>
      </c>
      <c r="BH3623" t="s">
        <v>21932</v>
      </c>
      <c r="BI3623" t="s">
        <v>21933</v>
      </c>
      <c r="BJ3623">
        <v>0.15781999999999999</v>
      </c>
      <c r="BK3623">
        <v>1</v>
      </c>
      <c r="BL3623" t="s">
        <v>69</v>
      </c>
      <c r="BM3623">
        <v>-0.67100000000000004</v>
      </c>
      <c r="BN3623">
        <v>-0.70899999999999996</v>
      </c>
    </row>
    <row r="3624" spans="10:66">
      <c r="J3624">
        <v>0</v>
      </c>
      <c r="K3624">
        <v>5</v>
      </c>
      <c r="L3624">
        <v>2</v>
      </c>
      <c r="M3624" t="s">
        <v>25021</v>
      </c>
      <c r="N3624">
        <v>3740</v>
      </c>
      <c r="O3624" t="s">
        <v>21934</v>
      </c>
      <c r="P3624" t="s">
        <v>57</v>
      </c>
      <c r="Q3624">
        <v>3717326</v>
      </c>
      <c r="R3624">
        <v>3717802</v>
      </c>
      <c r="S3624" t="s">
        <v>21935</v>
      </c>
      <c r="T3624">
        <v>159</v>
      </c>
      <c r="U3624" t="s">
        <v>21936</v>
      </c>
      <c r="V3624">
        <v>33</v>
      </c>
      <c r="W3624" t="str">
        <f>HYPERLINK("Gene3740-zp_tree_all.dnd", "Gene3740-tree")</f>
        <v>Gene3740-tree</v>
      </c>
      <c r="X3624">
        <v>2</v>
      </c>
      <c r="Y3624">
        <v>8</v>
      </c>
      <c r="Z3624">
        <v>2</v>
      </c>
      <c r="AA3624">
        <v>8</v>
      </c>
      <c r="AB3624">
        <v>0.8</v>
      </c>
      <c r="AC3624" t="s">
        <v>81</v>
      </c>
      <c r="AD3624" t="s">
        <v>136</v>
      </c>
      <c r="AE3624" t="s">
        <v>62</v>
      </c>
      <c r="AF3624" t="s">
        <v>62</v>
      </c>
      <c r="AG3624">
        <v>3</v>
      </c>
      <c r="AH3624">
        <v>7</v>
      </c>
      <c r="AI3624">
        <v>22</v>
      </c>
      <c r="AJ3624">
        <v>0.24138000000000001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2</v>
      </c>
      <c r="AQ3624">
        <v>2</v>
      </c>
      <c r="AR3624">
        <v>4</v>
      </c>
      <c r="AS3624">
        <v>18</v>
      </c>
      <c r="AT3624">
        <v>0.18182000000000001</v>
      </c>
      <c r="AU3624">
        <v>6</v>
      </c>
      <c r="AV3624">
        <v>5</v>
      </c>
      <c r="AW3624">
        <v>4</v>
      </c>
      <c r="AX3624">
        <v>20</v>
      </c>
      <c r="AY3624">
        <v>2</v>
      </c>
      <c r="AZ3624">
        <v>9</v>
      </c>
      <c r="BA3624" t="s">
        <v>21937</v>
      </c>
      <c r="BB3624" t="s">
        <v>21938</v>
      </c>
      <c r="BC3624">
        <v>4.2999999999999997E-2</v>
      </c>
      <c r="BD3624" t="s">
        <v>65</v>
      </c>
      <c r="BE3624">
        <v>6</v>
      </c>
      <c r="BF3624">
        <v>29</v>
      </c>
      <c r="BG3624" t="s">
        <v>21939</v>
      </c>
      <c r="BH3624" t="s">
        <v>21940</v>
      </c>
      <c r="BI3624" t="s">
        <v>21941</v>
      </c>
      <c r="BJ3624">
        <v>1.65974</v>
      </c>
      <c r="BK3624">
        <v>0.02</v>
      </c>
      <c r="BL3624" t="s">
        <v>15934</v>
      </c>
      <c r="BM3624">
        <v>-1.583</v>
      </c>
      <c r="BN3624">
        <v>-2.5760000000000001</v>
      </c>
    </row>
    <row r="3625" spans="10:66">
      <c r="J3625">
        <v>0</v>
      </c>
      <c r="K3625">
        <v>0</v>
      </c>
      <c r="L3625">
        <v>0</v>
      </c>
      <c r="M3625" t="s">
        <v>25021</v>
      </c>
      <c r="N3625">
        <v>3741</v>
      </c>
      <c r="O3625" t="s">
        <v>21942</v>
      </c>
      <c r="P3625" t="s">
        <v>57</v>
      </c>
      <c r="Q3625">
        <v>3718794</v>
      </c>
      <c r="R3625">
        <v>3719126</v>
      </c>
      <c r="S3625" t="s">
        <v>116</v>
      </c>
      <c r="T3625">
        <v>111</v>
      </c>
      <c r="U3625" t="s">
        <v>108</v>
      </c>
      <c r="V3625">
        <v>44</v>
      </c>
      <c r="W3625" t="str">
        <f>HYPERLINK("Gene3741-zp_tree_all.dnd", "Gene3741-tree")</f>
        <v>Gene3741-tree</v>
      </c>
      <c r="X3625">
        <v>4</v>
      </c>
      <c r="Y3625">
        <v>6</v>
      </c>
      <c r="Z3625">
        <v>4</v>
      </c>
      <c r="AA3625">
        <v>6</v>
      </c>
      <c r="AB3625">
        <v>0.6</v>
      </c>
      <c r="AC3625" t="s">
        <v>61</v>
      </c>
      <c r="AD3625" t="s">
        <v>90</v>
      </c>
      <c r="AE3625" t="s">
        <v>62</v>
      </c>
      <c r="AF3625" t="s">
        <v>62</v>
      </c>
      <c r="AG3625">
        <v>0</v>
      </c>
      <c r="AH3625">
        <v>0</v>
      </c>
      <c r="AI3625">
        <v>10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7</v>
      </c>
      <c r="AT3625">
        <v>0</v>
      </c>
      <c r="AU3625">
        <v>10</v>
      </c>
      <c r="AV3625">
        <v>2</v>
      </c>
      <c r="AW3625">
        <v>8</v>
      </c>
      <c r="AX3625">
        <v>7</v>
      </c>
      <c r="AY3625">
        <v>0</v>
      </c>
      <c r="AZ3625">
        <v>4</v>
      </c>
      <c r="BA3625" t="s">
        <v>21943</v>
      </c>
      <c r="BB3625" t="s">
        <v>193</v>
      </c>
      <c r="BC3625">
        <v>2.25</v>
      </c>
      <c r="BD3625" t="s">
        <v>267</v>
      </c>
      <c r="BE3625">
        <v>8</v>
      </c>
      <c r="BF3625">
        <v>11</v>
      </c>
      <c r="BG3625" t="s">
        <v>21944</v>
      </c>
      <c r="BH3625" t="s">
        <v>21945</v>
      </c>
      <c r="BI3625" t="s">
        <v>21946</v>
      </c>
      <c r="BJ3625">
        <v>0.52620999999999996</v>
      </c>
      <c r="BK3625">
        <v>0.77300000000000002</v>
      </c>
      <c r="BL3625" t="s">
        <v>635</v>
      </c>
      <c r="BM3625">
        <v>-0.751</v>
      </c>
      <c r="BN3625">
        <v>-1.0680000000000001</v>
      </c>
    </row>
    <row r="3626" spans="10:66">
      <c r="J3626">
        <v>0</v>
      </c>
      <c r="K3626">
        <v>0</v>
      </c>
      <c r="L3626">
        <v>0</v>
      </c>
      <c r="M3626" t="s">
        <v>25021</v>
      </c>
      <c r="N3626">
        <v>3743</v>
      </c>
      <c r="O3626" t="s">
        <v>21954</v>
      </c>
      <c r="P3626" t="s">
        <v>57</v>
      </c>
      <c r="Q3626">
        <v>3720925</v>
      </c>
      <c r="R3626">
        <v>3721398</v>
      </c>
      <c r="S3626" t="s">
        <v>21955</v>
      </c>
      <c r="T3626">
        <v>158</v>
      </c>
      <c r="U3626" t="s">
        <v>108</v>
      </c>
      <c r="V3626">
        <v>44</v>
      </c>
      <c r="W3626" t="str">
        <f>HYPERLINK("Gene3743-zp_tree_all.dnd", "Gene3743-tree")</f>
        <v>Gene3743-tree</v>
      </c>
      <c r="X3626">
        <v>7</v>
      </c>
      <c r="Y3626">
        <v>2</v>
      </c>
      <c r="Z3626">
        <v>7</v>
      </c>
      <c r="AA3626">
        <v>2</v>
      </c>
      <c r="AB3626">
        <v>0.22222</v>
      </c>
      <c r="AC3626" t="s">
        <v>152</v>
      </c>
      <c r="AD3626" t="s">
        <v>81</v>
      </c>
      <c r="AE3626" t="s">
        <v>62</v>
      </c>
      <c r="AF3626" t="s">
        <v>62</v>
      </c>
      <c r="AG3626">
        <v>0</v>
      </c>
      <c r="AH3626">
        <v>0</v>
      </c>
      <c r="AI3626">
        <v>2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2</v>
      </c>
      <c r="AT3626">
        <v>0</v>
      </c>
      <c r="AU3626">
        <v>6</v>
      </c>
      <c r="AV3626">
        <v>3</v>
      </c>
      <c r="AW3626">
        <v>9</v>
      </c>
      <c r="AX3626">
        <v>2</v>
      </c>
      <c r="AY3626">
        <v>3</v>
      </c>
      <c r="AZ3626">
        <v>0</v>
      </c>
      <c r="BA3626" t="s">
        <v>21956</v>
      </c>
      <c r="BB3626" t="s">
        <v>193</v>
      </c>
      <c r="BC3626">
        <v>0.77</v>
      </c>
      <c r="BD3626" t="s">
        <v>65</v>
      </c>
      <c r="BE3626">
        <v>12</v>
      </c>
      <c r="BF3626">
        <v>2</v>
      </c>
      <c r="BG3626" t="s">
        <v>21957</v>
      </c>
      <c r="BH3626" t="s">
        <v>21958</v>
      </c>
      <c r="BI3626" t="s">
        <v>21959</v>
      </c>
      <c r="BJ3626">
        <v>4.0219999999999999E-2</v>
      </c>
      <c r="BK3626">
        <v>1</v>
      </c>
      <c r="BL3626" t="s">
        <v>69</v>
      </c>
      <c r="BM3626">
        <v>-0.14199999999999999</v>
      </c>
      <c r="BN3626">
        <v>-2.1850000000000001</v>
      </c>
    </row>
    <row r="3627" spans="10:66">
      <c r="J3627">
        <v>0</v>
      </c>
      <c r="K3627">
        <v>4</v>
      </c>
      <c r="L3627">
        <v>2</v>
      </c>
      <c r="M3627" t="s">
        <v>25021</v>
      </c>
      <c r="N3627">
        <v>3744</v>
      </c>
      <c r="O3627" t="s">
        <v>21960</v>
      </c>
      <c r="P3627" t="s">
        <v>57</v>
      </c>
      <c r="Q3627">
        <v>3721415</v>
      </c>
      <c r="R3627">
        <v>3722005</v>
      </c>
      <c r="S3627" t="s">
        <v>21961</v>
      </c>
      <c r="T3627">
        <v>197</v>
      </c>
      <c r="U3627" t="s">
        <v>108</v>
      </c>
      <c r="V3627">
        <v>44</v>
      </c>
      <c r="W3627" t="str">
        <f>HYPERLINK("Gene3744-zp_tree_all.dnd", "Gene3744-tree")</f>
        <v>Gene3744-tree</v>
      </c>
      <c r="X3627">
        <v>5</v>
      </c>
      <c r="Y3627">
        <v>8</v>
      </c>
      <c r="Z3627">
        <v>5</v>
      </c>
      <c r="AA3627">
        <v>8</v>
      </c>
      <c r="AB3627">
        <v>0.61538000000000004</v>
      </c>
      <c r="AC3627" t="s">
        <v>199</v>
      </c>
      <c r="AD3627" t="s">
        <v>136</v>
      </c>
      <c r="AE3627" t="s">
        <v>62</v>
      </c>
      <c r="AF3627" t="s">
        <v>62</v>
      </c>
      <c r="AG3627">
        <v>3</v>
      </c>
      <c r="AH3627">
        <v>6</v>
      </c>
      <c r="AI3627">
        <v>6</v>
      </c>
      <c r="AJ3627">
        <v>0.5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2</v>
      </c>
      <c r="AQ3627">
        <v>2</v>
      </c>
      <c r="AR3627">
        <v>4</v>
      </c>
      <c r="AS3627">
        <v>6</v>
      </c>
      <c r="AT3627">
        <v>0.4</v>
      </c>
      <c r="AU3627">
        <v>10</v>
      </c>
      <c r="AV3627">
        <v>8</v>
      </c>
      <c r="AW3627">
        <v>23</v>
      </c>
      <c r="AX3627">
        <v>9</v>
      </c>
      <c r="AY3627">
        <v>10</v>
      </c>
      <c r="AZ3627">
        <v>3</v>
      </c>
      <c r="BA3627" t="s">
        <v>21962</v>
      </c>
      <c r="BB3627" t="s">
        <v>21963</v>
      </c>
      <c r="BC3627">
        <v>0.28100000000000003</v>
      </c>
      <c r="BD3627" t="s">
        <v>65</v>
      </c>
      <c r="BE3627">
        <v>33</v>
      </c>
      <c r="BF3627">
        <v>12</v>
      </c>
      <c r="BG3627" t="s">
        <v>21964</v>
      </c>
      <c r="BH3627" t="s">
        <v>21965</v>
      </c>
      <c r="BI3627" t="s">
        <v>21966</v>
      </c>
      <c r="BJ3627">
        <v>0.10532</v>
      </c>
      <c r="BK3627">
        <v>1</v>
      </c>
      <c r="BL3627" t="s">
        <v>69</v>
      </c>
      <c r="BM3627">
        <v>-0.39800000000000002</v>
      </c>
      <c r="BN3627">
        <v>-0.92200000000000004</v>
      </c>
    </row>
    <row r="3628" spans="10:66">
      <c r="J3628">
        <v>0</v>
      </c>
      <c r="K3628">
        <v>3</v>
      </c>
      <c r="L3628">
        <v>1</v>
      </c>
      <c r="M3628" t="s">
        <v>25021</v>
      </c>
      <c r="N3628">
        <v>3745</v>
      </c>
      <c r="O3628" t="s">
        <v>21967</v>
      </c>
      <c r="P3628" t="s">
        <v>57</v>
      </c>
      <c r="Q3628">
        <v>3722005</v>
      </c>
      <c r="R3628">
        <v>3722538</v>
      </c>
      <c r="S3628" t="s">
        <v>21968</v>
      </c>
      <c r="T3628">
        <v>178</v>
      </c>
      <c r="U3628" t="s">
        <v>2748</v>
      </c>
      <c r="V3628">
        <v>42</v>
      </c>
      <c r="W3628" t="str">
        <f>HYPERLINK("Gene3745-zp_tree_all.dnd", "Gene3745-tree")</f>
        <v>Gene3745-tree</v>
      </c>
      <c r="X3628">
        <v>7</v>
      </c>
      <c r="Y3628">
        <v>5</v>
      </c>
      <c r="Z3628">
        <v>7</v>
      </c>
      <c r="AA3628">
        <v>5</v>
      </c>
      <c r="AB3628">
        <v>0.41666999999999998</v>
      </c>
      <c r="AC3628" t="s">
        <v>152</v>
      </c>
      <c r="AD3628" t="s">
        <v>199</v>
      </c>
      <c r="AE3628" t="s">
        <v>62</v>
      </c>
      <c r="AF3628" t="s">
        <v>62</v>
      </c>
      <c r="AG3628">
        <v>1</v>
      </c>
      <c r="AH3628">
        <v>4</v>
      </c>
      <c r="AI3628">
        <v>7</v>
      </c>
      <c r="AJ3628">
        <v>0.36364000000000002</v>
      </c>
      <c r="AK3628">
        <v>0</v>
      </c>
      <c r="AL3628">
        <v>0</v>
      </c>
      <c r="AM3628">
        <v>0</v>
      </c>
      <c r="AN3628">
        <v>2</v>
      </c>
      <c r="AO3628">
        <v>0</v>
      </c>
      <c r="AP3628">
        <v>2</v>
      </c>
      <c r="AQ3628">
        <v>0</v>
      </c>
      <c r="AR3628">
        <v>2</v>
      </c>
      <c r="AS3628">
        <v>6</v>
      </c>
      <c r="AT3628">
        <v>0.25</v>
      </c>
      <c r="AU3628">
        <v>8</v>
      </c>
      <c r="AV3628">
        <v>7</v>
      </c>
      <c r="AW3628">
        <v>17</v>
      </c>
      <c r="AX3628">
        <v>8</v>
      </c>
      <c r="AY3628">
        <v>8</v>
      </c>
      <c r="AZ3628">
        <v>3</v>
      </c>
      <c r="BA3628" t="s">
        <v>21969</v>
      </c>
      <c r="BB3628" t="s">
        <v>21970</v>
      </c>
      <c r="BC3628">
        <v>9.7000000000000003E-2</v>
      </c>
      <c r="BD3628" t="s">
        <v>65</v>
      </c>
      <c r="BE3628">
        <v>25</v>
      </c>
      <c r="BF3628">
        <v>11</v>
      </c>
      <c r="BG3628" t="s">
        <v>21971</v>
      </c>
      <c r="BH3628" t="s">
        <v>21972</v>
      </c>
      <c r="BI3628" t="s">
        <v>21973</v>
      </c>
      <c r="BJ3628">
        <v>0.12712000000000001</v>
      </c>
      <c r="BK3628">
        <v>1</v>
      </c>
      <c r="BL3628" t="s">
        <v>69</v>
      </c>
      <c r="BM3628">
        <v>-1.2629999999999999</v>
      </c>
      <c r="BN3628">
        <v>-2.8439999999999999</v>
      </c>
    </row>
    <row r="3629" spans="10:66">
      <c r="J3629">
        <v>0</v>
      </c>
      <c r="K3629">
        <v>5</v>
      </c>
      <c r="L3629">
        <v>0</v>
      </c>
      <c r="M3629" t="s">
        <v>25021</v>
      </c>
      <c r="N3629">
        <v>3748</v>
      </c>
      <c r="O3629" t="s">
        <v>21983</v>
      </c>
      <c r="P3629" t="s">
        <v>57</v>
      </c>
      <c r="Q3629">
        <v>3723454</v>
      </c>
      <c r="R3629">
        <v>3724332</v>
      </c>
      <c r="S3629" t="s">
        <v>2170</v>
      </c>
      <c r="T3629">
        <v>293</v>
      </c>
      <c r="U3629" t="s">
        <v>21984</v>
      </c>
      <c r="V3629">
        <v>39</v>
      </c>
      <c r="W3629" t="str">
        <f>HYPERLINK("Gene3748-zp_tree_all.dnd", "Gene3748-tree")</f>
        <v>Gene3748-tree</v>
      </c>
      <c r="X3629">
        <v>5</v>
      </c>
      <c r="Y3629">
        <v>7</v>
      </c>
      <c r="Z3629">
        <v>5</v>
      </c>
      <c r="AA3629">
        <v>7</v>
      </c>
      <c r="AB3629">
        <v>0.58333000000000002</v>
      </c>
      <c r="AC3629" t="s">
        <v>199</v>
      </c>
      <c r="AD3629" t="s">
        <v>152</v>
      </c>
      <c r="AE3629" t="s">
        <v>62</v>
      </c>
      <c r="AF3629" t="s">
        <v>62</v>
      </c>
      <c r="AG3629">
        <v>2</v>
      </c>
      <c r="AH3629">
        <v>5</v>
      </c>
      <c r="AI3629">
        <v>17</v>
      </c>
      <c r="AJ3629">
        <v>0.22727</v>
      </c>
      <c r="AK3629">
        <v>0</v>
      </c>
      <c r="AL3629">
        <v>0</v>
      </c>
      <c r="AM3629">
        <v>0</v>
      </c>
      <c r="AN3629">
        <v>2</v>
      </c>
      <c r="AO3629">
        <v>0</v>
      </c>
      <c r="AP3629">
        <v>2</v>
      </c>
      <c r="AQ3629">
        <v>0</v>
      </c>
      <c r="AR3629">
        <v>2</v>
      </c>
      <c r="AS3629">
        <v>8</v>
      </c>
      <c r="AT3629">
        <v>0.2</v>
      </c>
      <c r="AU3629">
        <v>8</v>
      </c>
      <c r="AV3629">
        <v>7</v>
      </c>
      <c r="AW3629">
        <v>16</v>
      </c>
      <c r="AX3629">
        <v>10</v>
      </c>
      <c r="AY3629">
        <v>24</v>
      </c>
      <c r="AZ3629">
        <v>13</v>
      </c>
      <c r="BA3629" t="s">
        <v>21985</v>
      </c>
      <c r="BB3629" t="s">
        <v>21986</v>
      </c>
      <c r="BC3629">
        <v>6.8000000000000005E-2</v>
      </c>
      <c r="BD3629" t="s">
        <v>65</v>
      </c>
      <c r="BE3629">
        <v>40</v>
      </c>
      <c r="BF3629">
        <v>23</v>
      </c>
      <c r="BG3629" t="s">
        <v>21987</v>
      </c>
      <c r="BH3629" t="s">
        <v>21988</v>
      </c>
      <c r="BI3629" t="s">
        <v>21989</v>
      </c>
      <c r="BJ3629">
        <v>0.14718999999999999</v>
      </c>
      <c r="BK3629">
        <v>1</v>
      </c>
      <c r="BL3629" t="s">
        <v>69</v>
      </c>
      <c r="BM3629">
        <v>-1.397</v>
      </c>
      <c r="BN3629">
        <v>-0.66900000000000004</v>
      </c>
    </row>
    <row r="3630" spans="10:66">
      <c r="J3630">
        <v>2</v>
      </c>
      <c r="K3630">
        <v>5</v>
      </c>
      <c r="L3630">
        <v>6</v>
      </c>
      <c r="M3630" t="s">
        <v>25021</v>
      </c>
      <c r="N3630">
        <v>3760</v>
      </c>
      <c r="O3630" t="s">
        <v>22030</v>
      </c>
      <c r="P3630" t="s">
        <v>57</v>
      </c>
      <c r="Q3630">
        <v>3733852</v>
      </c>
      <c r="R3630">
        <v>3735459</v>
      </c>
      <c r="S3630" t="s">
        <v>22031</v>
      </c>
      <c r="T3630">
        <v>536</v>
      </c>
      <c r="U3630" t="s">
        <v>289</v>
      </c>
      <c r="V3630">
        <v>46</v>
      </c>
      <c r="W3630" t="str">
        <f>HYPERLINK("Gene3760-zp_tree_all.dnd", "Gene3760-tree")</f>
        <v>Gene3760-tree</v>
      </c>
      <c r="X3630">
        <v>6</v>
      </c>
      <c r="Y3630">
        <v>14</v>
      </c>
      <c r="Z3630">
        <v>6</v>
      </c>
      <c r="AA3630">
        <v>14</v>
      </c>
      <c r="AB3630">
        <v>0.7</v>
      </c>
      <c r="AC3630" t="s">
        <v>90</v>
      </c>
      <c r="AD3630" t="s">
        <v>543</v>
      </c>
      <c r="AE3630">
        <v>191313048.917</v>
      </c>
      <c r="AF3630" t="s">
        <v>267</v>
      </c>
      <c r="AG3630">
        <v>6</v>
      </c>
      <c r="AH3630">
        <v>13</v>
      </c>
      <c r="AI3630">
        <v>28</v>
      </c>
      <c r="AJ3630">
        <v>0.31707000000000002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4</v>
      </c>
      <c r="AR3630">
        <v>4</v>
      </c>
      <c r="AS3630">
        <v>16</v>
      </c>
      <c r="AT3630">
        <v>0.2</v>
      </c>
      <c r="AU3630">
        <v>19</v>
      </c>
      <c r="AV3630">
        <v>14</v>
      </c>
      <c r="AW3630">
        <v>59</v>
      </c>
      <c r="AX3630">
        <v>21</v>
      </c>
      <c r="AY3630">
        <v>75</v>
      </c>
      <c r="AZ3630">
        <v>21</v>
      </c>
      <c r="BA3630" t="s">
        <v>22032</v>
      </c>
      <c r="BB3630" t="s">
        <v>22033</v>
      </c>
      <c r="BC3630">
        <v>0.192</v>
      </c>
      <c r="BD3630" t="s">
        <v>65</v>
      </c>
      <c r="BE3630">
        <v>134</v>
      </c>
      <c r="BF3630">
        <v>42</v>
      </c>
      <c r="BG3630" t="s">
        <v>22034</v>
      </c>
      <c r="BH3630" t="s">
        <v>22035</v>
      </c>
      <c r="BI3630" t="s">
        <v>22036</v>
      </c>
      <c r="BJ3630">
        <v>8.8419999999999999E-2</v>
      </c>
      <c r="BK3630">
        <v>1</v>
      </c>
      <c r="BL3630" t="s">
        <v>69</v>
      </c>
      <c r="BM3630">
        <v>-1.367</v>
      </c>
      <c r="BN3630">
        <v>-0.873</v>
      </c>
    </row>
    <row r="3631" spans="10:66">
      <c r="J3631">
        <v>0</v>
      </c>
      <c r="K3631">
        <v>16</v>
      </c>
      <c r="L3631">
        <v>0</v>
      </c>
      <c r="M3631" t="s">
        <v>25021</v>
      </c>
      <c r="N3631">
        <v>3761</v>
      </c>
      <c r="O3631" t="s">
        <v>22037</v>
      </c>
      <c r="P3631" t="s">
        <v>57</v>
      </c>
      <c r="Q3631">
        <v>3735449</v>
      </c>
      <c r="R3631">
        <v>3738214</v>
      </c>
      <c r="S3631" t="s">
        <v>22038</v>
      </c>
      <c r="T3631">
        <v>922</v>
      </c>
      <c r="U3631" t="s">
        <v>108</v>
      </c>
      <c r="V3631">
        <v>44</v>
      </c>
      <c r="W3631" t="str">
        <f>HYPERLINK("Gene3761-zp_tree_all.dnd", "Gene3761-tree")</f>
        <v>Gene3761-tree</v>
      </c>
      <c r="X3631">
        <v>8</v>
      </c>
      <c r="Y3631">
        <v>9</v>
      </c>
      <c r="Z3631">
        <v>8</v>
      </c>
      <c r="AA3631">
        <v>9</v>
      </c>
      <c r="AB3631">
        <v>0.52941000000000005</v>
      </c>
      <c r="AC3631" t="s">
        <v>136</v>
      </c>
      <c r="AD3631" t="s">
        <v>135</v>
      </c>
      <c r="AE3631" t="s">
        <v>62</v>
      </c>
      <c r="AF3631" t="s">
        <v>62</v>
      </c>
      <c r="AG3631">
        <v>6</v>
      </c>
      <c r="AH3631">
        <v>16</v>
      </c>
      <c r="AI3631">
        <v>11</v>
      </c>
      <c r="AJ3631">
        <v>0.59258999999999995</v>
      </c>
      <c r="AK3631">
        <v>0</v>
      </c>
      <c r="AL3631">
        <v>0</v>
      </c>
      <c r="AM3631">
        <v>0</v>
      </c>
      <c r="AN3631">
        <v>4</v>
      </c>
      <c r="AO3631">
        <v>0</v>
      </c>
      <c r="AP3631">
        <v>4</v>
      </c>
      <c r="AQ3631">
        <v>0</v>
      </c>
      <c r="AR3631">
        <v>4</v>
      </c>
      <c r="AS3631">
        <v>10</v>
      </c>
      <c r="AT3631">
        <v>0.28571000000000002</v>
      </c>
      <c r="AU3631">
        <v>16</v>
      </c>
      <c r="AV3631">
        <v>13</v>
      </c>
      <c r="AW3631">
        <v>104</v>
      </c>
      <c r="AX3631">
        <v>14</v>
      </c>
      <c r="AY3631">
        <v>83</v>
      </c>
      <c r="AZ3631">
        <v>13</v>
      </c>
      <c r="BA3631" t="s">
        <v>22039</v>
      </c>
      <c r="BB3631" t="s">
        <v>22040</v>
      </c>
      <c r="BC3631">
        <v>0.24099999999999999</v>
      </c>
      <c r="BD3631" t="s">
        <v>65</v>
      </c>
      <c r="BE3631">
        <v>187</v>
      </c>
      <c r="BF3631">
        <v>27</v>
      </c>
      <c r="BG3631" t="s">
        <v>22041</v>
      </c>
      <c r="BH3631" t="s">
        <v>22042</v>
      </c>
      <c r="BI3631" t="s">
        <v>22043</v>
      </c>
      <c r="BJ3631">
        <v>4.6370000000000001E-2</v>
      </c>
      <c r="BK3631">
        <v>1</v>
      </c>
      <c r="BL3631" t="s">
        <v>69</v>
      </c>
      <c r="BM3631">
        <v>-0.21199999999999999</v>
      </c>
      <c r="BN3631">
        <v>-0.56000000000000005</v>
      </c>
    </row>
    <row r="3632" spans="10:66">
      <c r="J3632">
        <v>0</v>
      </c>
      <c r="K3632">
        <v>2</v>
      </c>
      <c r="L3632">
        <v>2</v>
      </c>
      <c r="M3632" t="s">
        <v>25021</v>
      </c>
      <c r="N3632">
        <v>3766</v>
      </c>
      <c r="O3632" t="s">
        <v>22071</v>
      </c>
      <c r="P3632" t="s">
        <v>57</v>
      </c>
      <c r="Q3632">
        <v>3741182</v>
      </c>
      <c r="R3632">
        <v>3741589</v>
      </c>
      <c r="S3632" t="s">
        <v>116</v>
      </c>
      <c r="T3632">
        <v>136</v>
      </c>
      <c r="U3632" t="s">
        <v>59</v>
      </c>
      <c r="V3632">
        <v>49</v>
      </c>
      <c r="W3632" t="str">
        <f>HYPERLINK("Gene3766-zp_tree_all.dnd", "Gene3766-tree")</f>
        <v>Gene3766-tree</v>
      </c>
      <c r="X3632">
        <v>13</v>
      </c>
      <c r="Y3632">
        <v>3</v>
      </c>
      <c r="Z3632">
        <v>13</v>
      </c>
      <c r="AA3632">
        <v>3</v>
      </c>
      <c r="AB3632">
        <v>0.1875</v>
      </c>
      <c r="AC3632" t="s">
        <v>507</v>
      </c>
      <c r="AD3632" t="s">
        <v>324</v>
      </c>
      <c r="AE3632" t="s">
        <v>62</v>
      </c>
      <c r="AF3632" t="s">
        <v>62</v>
      </c>
      <c r="AG3632">
        <v>2</v>
      </c>
      <c r="AH3632">
        <v>4</v>
      </c>
      <c r="AI3632">
        <v>10</v>
      </c>
      <c r="AJ3632">
        <v>0.28571000000000002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6</v>
      </c>
      <c r="AT3632">
        <v>0</v>
      </c>
      <c r="AU3632">
        <v>10</v>
      </c>
      <c r="AV3632">
        <v>8</v>
      </c>
      <c r="AW3632">
        <v>18</v>
      </c>
      <c r="AX3632">
        <v>6</v>
      </c>
      <c r="AY3632">
        <v>17</v>
      </c>
      <c r="AZ3632">
        <v>9</v>
      </c>
      <c r="BA3632" t="s">
        <v>22072</v>
      </c>
      <c r="BB3632" t="s">
        <v>22073</v>
      </c>
      <c r="BC3632">
        <v>0.25700000000000001</v>
      </c>
      <c r="BD3632" t="s">
        <v>65</v>
      </c>
      <c r="BE3632">
        <v>35</v>
      </c>
      <c r="BF3632">
        <v>15</v>
      </c>
      <c r="BG3632" t="s">
        <v>22074</v>
      </c>
      <c r="BH3632" t="s">
        <v>22075</v>
      </c>
      <c r="BI3632" t="s">
        <v>22076</v>
      </c>
      <c r="BJ3632">
        <v>0.11489000000000001</v>
      </c>
      <c r="BK3632">
        <v>1</v>
      </c>
      <c r="BL3632" t="s">
        <v>69</v>
      </c>
      <c r="BM3632">
        <v>-1.1919999999999999</v>
      </c>
      <c r="BN3632">
        <v>7.9000000000000001E-2</v>
      </c>
    </row>
    <row r="3633" spans="10:66">
      <c r="J3633">
        <v>0</v>
      </c>
      <c r="K3633">
        <v>15</v>
      </c>
      <c r="L3633">
        <v>0</v>
      </c>
      <c r="M3633" t="s">
        <v>25021</v>
      </c>
      <c r="N3633">
        <v>3768</v>
      </c>
      <c r="O3633" t="s">
        <v>22084</v>
      </c>
      <c r="P3633" t="s">
        <v>57</v>
      </c>
      <c r="Q3633">
        <v>3742384</v>
      </c>
      <c r="R3633">
        <v>3743217</v>
      </c>
      <c r="S3633" t="s">
        <v>22085</v>
      </c>
      <c r="T3633">
        <v>278</v>
      </c>
      <c r="U3633" t="s">
        <v>108</v>
      </c>
      <c r="V3633">
        <v>44</v>
      </c>
      <c r="W3633" t="str">
        <f>HYPERLINK("Gene3768-zp_tree_all.dnd", "Gene3768-tree")</f>
        <v>Gene3768-tree</v>
      </c>
      <c r="X3633">
        <v>1</v>
      </c>
      <c r="Y3633">
        <v>11</v>
      </c>
      <c r="Z3633">
        <v>1</v>
      </c>
      <c r="AA3633">
        <v>11</v>
      </c>
      <c r="AB3633">
        <v>0.91666999999999998</v>
      </c>
      <c r="AC3633" t="s">
        <v>175</v>
      </c>
      <c r="AD3633" t="s">
        <v>73</v>
      </c>
      <c r="AE3633">
        <v>1144612630.289</v>
      </c>
      <c r="AF3633" t="s">
        <v>267</v>
      </c>
      <c r="AG3633">
        <v>7</v>
      </c>
      <c r="AH3633">
        <v>15</v>
      </c>
      <c r="AI3633">
        <v>17</v>
      </c>
      <c r="AJ3633">
        <v>0.46875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2</v>
      </c>
      <c r="AQ3633">
        <v>0</v>
      </c>
      <c r="AR3633">
        <v>2</v>
      </c>
      <c r="AS3633">
        <v>15</v>
      </c>
      <c r="AT3633">
        <v>0.11765</v>
      </c>
      <c r="AU3633">
        <v>12</v>
      </c>
      <c r="AV3633">
        <v>8</v>
      </c>
      <c r="AW3633">
        <v>28</v>
      </c>
      <c r="AX3633">
        <v>17</v>
      </c>
      <c r="AY3633">
        <v>18</v>
      </c>
      <c r="AZ3633">
        <v>16</v>
      </c>
      <c r="BA3633" t="s">
        <v>22086</v>
      </c>
      <c r="BB3633" t="s">
        <v>22087</v>
      </c>
      <c r="BC3633">
        <v>0.50700000000000001</v>
      </c>
      <c r="BD3633" t="s">
        <v>65</v>
      </c>
      <c r="BE3633">
        <v>46</v>
      </c>
      <c r="BF3633">
        <v>33</v>
      </c>
      <c r="BG3633" t="s">
        <v>22088</v>
      </c>
      <c r="BH3633" t="s">
        <v>22089</v>
      </c>
      <c r="BI3633" t="s">
        <v>22090</v>
      </c>
      <c r="BJ3633">
        <v>0.23235</v>
      </c>
      <c r="BK3633">
        <v>1</v>
      </c>
      <c r="BL3633" t="s">
        <v>69</v>
      </c>
      <c r="BM3633">
        <v>0.151</v>
      </c>
      <c r="BN3633">
        <v>-0.52700000000000002</v>
      </c>
    </row>
    <row r="3634" spans="10:66">
      <c r="J3634">
        <v>0</v>
      </c>
      <c r="K3634">
        <v>6</v>
      </c>
      <c r="L3634">
        <v>2</v>
      </c>
      <c r="M3634" t="s">
        <v>25021</v>
      </c>
      <c r="N3634">
        <v>3771</v>
      </c>
      <c r="O3634" t="s">
        <v>22095</v>
      </c>
      <c r="P3634" t="s">
        <v>57</v>
      </c>
      <c r="Q3634">
        <v>3744349</v>
      </c>
      <c r="R3634">
        <v>3745410</v>
      </c>
      <c r="S3634" t="s">
        <v>1932</v>
      </c>
      <c r="T3634">
        <v>354</v>
      </c>
      <c r="U3634" t="s">
        <v>108</v>
      </c>
      <c r="V3634">
        <v>44</v>
      </c>
      <c r="W3634" t="str">
        <f>HYPERLINK("Gene3771-zp_tree_all.dnd", "Gene3771-tree")</f>
        <v>Gene3771-tree</v>
      </c>
      <c r="X3634">
        <v>7</v>
      </c>
      <c r="Y3634">
        <v>7</v>
      </c>
      <c r="Z3634">
        <v>7</v>
      </c>
      <c r="AA3634">
        <v>7</v>
      </c>
      <c r="AB3634">
        <v>0.5</v>
      </c>
      <c r="AC3634" t="s">
        <v>152</v>
      </c>
      <c r="AD3634" t="s">
        <v>152</v>
      </c>
      <c r="AE3634" t="s">
        <v>62</v>
      </c>
      <c r="AF3634" t="s">
        <v>62</v>
      </c>
      <c r="AG3634">
        <v>3</v>
      </c>
      <c r="AH3634">
        <v>8</v>
      </c>
      <c r="AI3634">
        <v>5</v>
      </c>
      <c r="AJ3634">
        <v>0.61538000000000004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2</v>
      </c>
      <c r="AQ3634">
        <v>2</v>
      </c>
      <c r="AR3634">
        <v>4</v>
      </c>
      <c r="AS3634">
        <v>5</v>
      </c>
      <c r="AT3634">
        <v>0.44444</v>
      </c>
      <c r="AU3634">
        <v>11</v>
      </c>
      <c r="AV3634">
        <v>10</v>
      </c>
      <c r="AW3634">
        <v>15</v>
      </c>
      <c r="AX3634">
        <v>8</v>
      </c>
      <c r="AY3634">
        <v>15</v>
      </c>
      <c r="AZ3634">
        <v>5</v>
      </c>
      <c r="BA3634" t="s">
        <v>22096</v>
      </c>
      <c r="BB3634" t="s">
        <v>22097</v>
      </c>
      <c r="BC3634">
        <v>0.59399999999999997</v>
      </c>
      <c r="BD3634" t="s">
        <v>65</v>
      </c>
      <c r="BE3634">
        <v>30</v>
      </c>
      <c r="BF3634">
        <v>13</v>
      </c>
      <c r="BG3634" t="s">
        <v>22098</v>
      </c>
      <c r="BH3634" t="s">
        <v>22099</v>
      </c>
      <c r="BI3634" t="s">
        <v>6313</v>
      </c>
      <c r="BJ3634">
        <v>9.3719999999999998E-2</v>
      </c>
      <c r="BK3634">
        <v>1</v>
      </c>
      <c r="BL3634" t="s">
        <v>69</v>
      </c>
      <c r="BM3634">
        <v>-2.5999999999999999E-2</v>
      </c>
      <c r="BN3634">
        <v>-1.363</v>
      </c>
    </row>
    <row r="3635" spans="10:66">
      <c r="J3635">
        <v>0</v>
      </c>
      <c r="K3635">
        <v>0</v>
      </c>
      <c r="L3635">
        <v>0</v>
      </c>
      <c r="M3635" t="s">
        <v>25021</v>
      </c>
      <c r="N3635">
        <v>3777</v>
      </c>
      <c r="O3635" t="s">
        <v>22133</v>
      </c>
      <c r="P3635" t="s">
        <v>57</v>
      </c>
      <c r="Q3635">
        <v>3749052</v>
      </c>
      <c r="R3635">
        <v>3749462</v>
      </c>
      <c r="S3635" t="s">
        <v>3745</v>
      </c>
      <c r="T3635">
        <v>137</v>
      </c>
      <c r="U3635" t="s">
        <v>59</v>
      </c>
      <c r="V3635">
        <v>49</v>
      </c>
      <c r="W3635" t="str">
        <f>HYPERLINK("Gene3777-zp_tree_all.dnd", "Gene3777-tree")</f>
        <v>Gene3777-tree</v>
      </c>
      <c r="X3635">
        <v>12</v>
      </c>
      <c r="Y3635">
        <v>2</v>
      </c>
      <c r="Z3635">
        <v>12</v>
      </c>
      <c r="AA3635">
        <v>2</v>
      </c>
      <c r="AB3635">
        <v>0.14285999999999999</v>
      </c>
      <c r="AC3635" t="s">
        <v>109</v>
      </c>
      <c r="AD3635" t="s">
        <v>81</v>
      </c>
      <c r="AE3635" t="s">
        <v>62</v>
      </c>
      <c r="AF3635" t="s">
        <v>62</v>
      </c>
      <c r="AG3635">
        <v>0</v>
      </c>
      <c r="AH3635">
        <v>0</v>
      </c>
      <c r="AI3635">
        <v>4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3</v>
      </c>
      <c r="AT3635">
        <v>0</v>
      </c>
      <c r="AU3635">
        <v>9</v>
      </c>
      <c r="AV3635">
        <v>6</v>
      </c>
      <c r="AW3635">
        <v>17</v>
      </c>
      <c r="AX3635">
        <v>3</v>
      </c>
      <c r="AY3635">
        <v>11</v>
      </c>
      <c r="AZ3635">
        <v>1</v>
      </c>
      <c r="BA3635" t="s">
        <v>22134</v>
      </c>
      <c r="BB3635" t="s">
        <v>22135</v>
      </c>
      <c r="BC3635">
        <v>0.252</v>
      </c>
      <c r="BD3635" t="s">
        <v>65</v>
      </c>
      <c r="BE3635">
        <v>28</v>
      </c>
      <c r="BF3635">
        <v>4</v>
      </c>
      <c r="BG3635" t="s">
        <v>22136</v>
      </c>
      <c r="BH3635" t="s">
        <v>22137</v>
      </c>
      <c r="BI3635" t="s">
        <v>22138</v>
      </c>
      <c r="BJ3635">
        <v>3.5779999999999999E-2</v>
      </c>
      <c r="BK3635">
        <v>1</v>
      </c>
      <c r="BL3635" t="s">
        <v>69</v>
      </c>
      <c r="BM3635">
        <v>-1.218</v>
      </c>
      <c r="BN3635">
        <v>-1.107</v>
      </c>
    </row>
    <row r="3636" spans="10:66">
      <c r="J3636">
        <v>0</v>
      </c>
      <c r="K3636">
        <v>0</v>
      </c>
      <c r="L3636">
        <v>0</v>
      </c>
      <c r="M3636" t="s">
        <v>25021</v>
      </c>
      <c r="N3636">
        <v>3778</v>
      </c>
      <c r="O3636" t="s">
        <v>22139</v>
      </c>
      <c r="P3636" t="s">
        <v>57</v>
      </c>
      <c r="Q3636">
        <v>3749487</v>
      </c>
      <c r="R3636">
        <v>3750674</v>
      </c>
      <c r="S3636" t="s">
        <v>2641</v>
      </c>
      <c r="T3636">
        <v>396</v>
      </c>
      <c r="U3636" t="s">
        <v>108</v>
      </c>
      <c r="V3636">
        <v>44</v>
      </c>
      <c r="W3636" t="str">
        <f>HYPERLINK("Gene3778-zp_tree_all.dnd", "Gene3778-tree")</f>
        <v>Gene3778-tree</v>
      </c>
      <c r="X3636">
        <v>11</v>
      </c>
      <c r="Y3636">
        <v>3</v>
      </c>
      <c r="Z3636">
        <v>11</v>
      </c>
      <c r="AA3636">
        <v>3</v>
      </c>
      <c r="AB3636">
        <v>0.21429000000000001</v>
      </c>
      <c r="AC3636" t="s">
        <v>73</v>
      </c>
      <c r="AD3636" t="s">
        <v>324</v>
      </c>
      <c r="AE3636" t="s">
        <v>62</v>
      </c>
      <c r="AF3636" t="s">
        <v>62</v>
      </c>
      <c r="AG3636">
        <v>0</v>
      </c>
      <c r="AH3636">
        <v>0</v>
      </c>
      <c r="AI3636">
        <v>4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3</v>
      </c>
      <c r="AT3636">
        <v>0</v>
      </c>
      <c r="AU3636">
        <v>11</v>
      </c>
      <c r="AV3636">
        <v>10</v>
      </c>
      <c r="AW3636">
        <v>29</v>
      </c>
      <c r="AX3636">
        <v>3</v>
      </c>
      <c r="AY3636">
        <v>20</v>
      </c>
      <c r="AZ3636">
        <v>1</v>
      </c>
      <c r="BA3636" t="s">
        <v>22140</v>
      </c>
      <c r="BB3636" t="s">
        <v>22141</v>
      </c>
      <c r="BC3636">
        <v>0.3</v>
      </c>
      <c r="BD3636" t="s">
        <v>65</v>
      </c>
      <c r="BE3636">
        <v>49</v>
      </c>
      <c r="BF3636">
        <v>4</v>
      </c>
      <c r="BG3636" t="s">
        <v>22142</v>
      </c>
      <c r="BH3636" t="s">
        <v>22143</v>
      </c>
      <c r="BI3636" t="s">
        <v>5157</v>
      </c>
      <c r="BJ3636">
        <v>2.3380000000000001E-2</v>
      </c>
      <c r="BK3636">
        <v>1</v>
      </c>
      <c r="BL3636" t="s">
        <v>69</v>
      </c>
      <c r="BM3636">
        <v>-0.49299999999999999</v>
      </c>
      <c r="BN3636">
        <v>-0.99399999999999999</v>
      </c>
    </row>
    <row r="3637" spans="10:66">
      <c r="J3637">
        <v>0</v>
      </c>
      <c r="K3637">
        <v>2</v>
      </c>
      <c r="L3637">
        <v>1</v>
      </c>
      <c r="M3637" t="s">
        <v>25021</v>
      </c>
      <c r="N3637">
        <v>3785</v>
      </c>
      <c r="O3637" t="s">
        <v>22176</v>
      </c>
      <c r="P3637" t="s">
        <v>57</v>
      </c>
      <c r="Q3637">
        <v>3756790</v>
      </c>
      <c r="R3637">
        <v>3758001</v>
      </c>
      <c r="S3637" t="s">
        <v>22177</v>
      </c>
      <c r="T3637">
        <v>404</v>
      </c>
      <c r="U3637" t="s">
        <v>108</v>
      </c>
      <c r="V3637">
        <v>44</v>
      </c>
      <c r="W3637" t="str">
        <f>HYPERLINK("Gene3785-zp_tree_all.dnd", "Gene3785-tree")</f>
        <v>Gene3785-tree</v>
      </c>
      <c r="X3637">
        <v>10</v>
      </c>
      <c r="Y3637">
        <v>5</v>
      </c>
      <c r="Z3637">
        <v>10</v>
      </c>
      <c r="AA3637">
        <v>5</v>
      </c>
      <c r="AB3637">
        <v>0.33333000000000002</v>
      </c>
      <c r="AC3637" t="s">
        <v>117</v>
      </c>
      <c r="AD3637" t="s">
        <v>199</v>
      </c>
      <c r="AE3637" t="s">
        <v>62</v>
      </c>
      <c r="AF3637" t="s">
        <v>62</v>
      </c>
      <c r="AG3637">
        <v>1</v>
      </c>
      <c r="AH3637">
        <v>3</v>
      </c>
      <c r="AI3637">
        <v>5</v>
      </c>
      <c r="AJ3637">
        <v>0.375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2</v>
      </c>
      <c r="AR3637">
        <v>2</v>
      </c>
      <c r="AS3637">
        <v>5</v>
      </c>
      <c r="AT3637">
        <v>0.28571000000000002</v>
      </c>
      <c r="AU3637">
        <v>12</v>
      </c>
      <c r="AV3637">
        <v>10</v>
      </c>
      <c r="AW3637">
        <v>27</v>
      </c>
      <c r="AX3637">
        <v>7</v>
      </c>
      <c r="AY3637">
        <v>28</v>
      </c>
      <c r="AZ3637">
        <v>1</v>
      </c>
      <c r="BA3637" t="s">
        <v>22178</v>
      </c>
      <c r="BB3637" t="s">
        <v>22179</v>
      </c>
      <c r="BC3637">
        <v>1.1659999999999999</v>
      </c>
      <c r="BD3637" t="s">
        <v>65</v>
      </c>
      <c r="BE3637">
        <v>55</v>
      </c>
      <c r="BF3637">
        <v>8</v>
      </c>
      <c r="BG3637" t="s">
        <v>22180</v>
      </c>
      <c r="BH3637" t="s">
        <v>22181</v>
      </c>
      <c r="BI3637" t="s">
        <v>8212</v>
      </c>
      <c r="BJ3637">
        <v>4.1430000000000002E-2</v>
      </c>
      <c r="BK3637">
        <v>1</v>
      </c>
      <c r="BL3637" t="s">
        <v>69</v>
      </c>
      <c r="BM3637">
        <v>0.38</v>
      </c>
      <c r="BN3637">
        <v>-0.222</v>
      </c>
    </row>
    <row r="3638" spans="10:66">
      <c r="J3638">
        <v>0</v>
      </c>
      <c r="K3638">
        <v>0</v>
      </c>
      <c r="L3638">
        <v>0</v>
      </c>
      <c r="M3638" t="s">
        <v>25021</v>
      </c>
      <c r="N3638">
        <v>3786</v>
      </c>
      <c r="O3638" t="s">
        <v>22182</v>
      </c>
      <c r="P3638" t="s">
        <v>57</v>
      </c>
      <c r="Q3638">
        <v>3758016</v>
      </c>
      <c r="R3638">
        <v>3758363</v>
      </c>
      <c r="S3638" t="s">
        <v>22183</v>
      </c>
      <c r="T3638">
        <v>116</v>
      </c>
      <c r="U3638" t="s">
        <v>1607</v>
      </c>
      <c r="V3638">
        <v>47</v>
      </c>
      <c r="W3638" t="str">
        <f>HYPERLINK("Gene3786-zp_tree_all.dnd", "Gene3786-tree")</f>
        <v>Gene3786-tree</v>
      </c>
      <c r="X3638">
        <v>9</v>
      </c>
      <c r="Y3638">
        <v>1</v>
      </c>
      <c r="Z3638">
        <v>9</v>
      </c>
      <c r="AA3638">
        <v>1</v>
      </c>
      <c r="AB3638">
        <v>0.1</v>
      </c>
      <c r="AC3638" t="s">
        <v>135</v>
      </c>
      <c r="AD3638" t="s">
        <v>175</v>
      </c>
      <c r="AE3638" t="s">
        <v>62</v>
      </c>
      <c r="AF3638" t="s">
        <v>62</v>
      </c>
      <c r="AG3638">
        <v>0</v>
      </c>
      <c r="AH3638">
        <v>0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8</v>
      </c>
      <c r="AV3638">
        <v>4</v>
      </c>
      <c r="AW3638">
        <v>15</v>
      </c>
      <c r="AX3638">
        <v>1</v>
      </c>
      <c r="AY3638">
        <v>18</v>
      </c>
      <c r="AZ3638">
        <v>0</v>
      </c>
      <c r="BA3638" t="s">
        <v>22184</v>
      </c>
      <c r="BB3638" t="s">
        <v>193</v>
      </c>
      <c r="BC3638">
        <v>0.34599999999999997</v>
      </c>
      <c r="BD3638" t="s">
        <v>65</v>
      </c>
      <c r="BE3638">
        <v>33</v>
      </c>
      <c r="BF3638">
        <v>1</v>
      </c>
      <c r="BG3638" t="s">
        <v>22185</v>
      </c>
      <c r="BH3638" t="s">
        <v>22186</v>
      </c>
      <c r="BI3638" t="s">
        <v>22187</v>
      </c>
      <c r="BJ3638">
        <v>6.0899999999999999E-3</v>
      </c>
      <c r="BK3638">
        <v>1</v>
      </c>
      <c r="BL3638" t="s">
        <v>69</v>
      </c>
      <c r="BM3638">
        <v>-1.286</v>
      </c>
      <c r="BN3638">
        <v>-1.587</v>
      </c>
    </row>
    <row r="3639" spans="10:66">
      <c r="J3639">
        <v>0</v>
      </c>
      <c r="K3639">
        <v>0</v>
      </c>
      <c r="L3639">
        <v>0</v>
      </c>
      <c r="M3639" t="s">
        <v>25021</v>
      </c>
      <c r="N3639">
        <v>3787</v>
      </c>
      <c r="O3639" t="s">
        <v>22188</v>
      </c>
      <c r="P3639" t="s">
        <v>57</v>
      </c>
      <c r="Q3639">
        <v>3758547</v>
      </c>
      <c r="R3639">
        <v>3759125</v>
      </c>
      <c r="S3639" t="s">
        <v>22189</v>
      </c>
      <c r="T3639">
        <v>193</v>
      </c>
      <c r="U3639" t="s">
        <v>108</v>
      </c>
      <c r="V3639">
        <v>44</v>
      </c>
      <c r="W3639" t="str">
        <f>HYPERLINK("Gene3787-zp_tree_all.dnd", "Gene3787-tree")</f>
        <v>Gene3787-tree</v>
      </c>
      <c r="X3639">
        <v>8</v>
      </c>
      <c r="Y3639">
        <v>5</v>
      </c>
      <c r="Z3639">
        <v>8</v>
      </c>
      <c r="AA3639">
        <v>5</v>
      </c>
      <c r="AB3639">
        <v>0.38462000000000002</v>
      </c>
      <c r="AC3639" t="s">
        <v>136</v>
      </c>
      <c r="AD3639" t="s">
        <v>199</v>
      </c>
      <c r="AE3639" t="s">
        <v>62</v>
      </c>
      <c r="AF3639" t="s">
        <v>62</v>
      </c>
      <c r="AG3639">
        <v>0</v>
      </c>
      <c r="AH3639">
        <v>0</v>
      </c>
      <c r="AI3639">
        <v>9</v>
      </c>
      <c r="AJ3639">
        <v>0</v>
      </c>
      <c r="AK3639">
        <v>0</v>
      </c>
      <c r="AL3639">
        <v>0</v>
      </c>
      <c r="AM3639">
        <v>0</v>
      </c>
      <c r="AN3639">
        <v>2</v>
      </c>
      <c r="AO3639">
        <v>0</v>
      </c>
      <c r="AP3639">
        <v>0</v>
      </c>
      <c r="AQ3639">
        <v>0</v>
      </c>
      <c r="AR3639">
        <v>0</v>
      </c>
      <c r="AS3639">
        <v>6</v>
      </c>
      <c r="AT3639">
        <v>0</v>
      </c>
      <c r="AU3639">
        <v>8</v>
      </c>
      <c r="AV3639">
        <v>7</v>
      </c>
      <c r="AW3639">
        <v>12</v>
      </c>
      <c r="AX3639">
        <v>5</v>
      </c>
      <c r="AY3639">
        <v>5</v>
      </c>
      <c r="AZ3639">
        <v>4</v>
      </c>
      <c r="BA3639" t="s">
        <v>22190</v>
      </c>
      <c r="BB3639" t="s">
        <v>22191</v>
      </c>
      <c r="BC3639">
        <v>0.79</v>
      </c>
      <c r="BD3639" t="s">
        <v>65</v>
      </c>
      <c r="BE3639">
        <v>17</v>
      </c>
      <c r="BF3639">
        <v>9</v>
      </c>
      <c r="BG3639" t="s">
        <v>22192</v>
      </c>
      <c r="BH3639" t="s">
        <v>22193</v>
      </c>
      <c r="BI3639" t="s">
        <v>22194</v>
      </c>
      <c r="BJ3639">
        <v>0.18004000000000001</v>
      </c>
      <c r="BK3639">
        <v>1</v>
      </c>
      <c r="BL3639" t="s">
        <v>69</v>
      </c>
      <c r="BM3639">
        <v>-0.96399999999999997</v>
      </c>
      <c r="BN3639">
        <v>-0.50600000000000001</v>
      </c>
    </row>
    <row r="3640" spans="10:66">
      <c r="J3640">
        <v>0</v>
      </c>
      <c r="K3640">
        <v>7</v>
      </c>
      <c r="L3640">
        <v>0</v>
      </c>
      <c r="M3640" t="s">
        <v>25021</v>
      </c>
      <c r="N3640">
        <v>3790</v>
      </c>
      <c r="O3640" t="s">
        <v>22202</v>
      </c>
      <c r="P3640" t="s">
        <v>57</v>
      </c>
      <c r="Q3640">
        <v>3760694</v>
      </c>
      <c r="R3640">
        <v>3761182</v>
      </c>
      <c r="S3640" t="s">
        <v>22203</v>
      </c>
      <c r="T3640">
        <v>163</v>
      </c>
      <c r="U3640" t="s">
        <v>108</v>
      </c>
      <c r="V3640">
        <v>44</v>
      </c>
      <c r="W3640" t="str">
        <f>HYPERLINK("Gene3790-zp_tree_all.dnd", "Gene3790-tree")</f>
        <v>Gene3790-tree</v>
      </c>
      <c r="X3640">
        <v>10</v>
      </c>
      <c r="Y3640">
        <v>2</v>
      </c>
      <c r="Z3640">
        <v>10</v>
      </c>
      <c r="AA3640">
        <v>2</v>
      </c>
      <c r="AB3640">
        <v>0.16667000000000001</v>
      </c>
      <c r="AC3640" t="s">
        <v>117</v>
      </c>
      <c r="AD3640" t="s">
        <v>81</v>
      </c>
      <c r="AE3640" t="s">
        <v>62</v>
      </c>
      <c r="AF3640" t="s">
        <v>62</v>
      </c>
      <c r="AG3640">
        <v>3</v>
      </c>
      <c r="AH3640">
        <v>7</v>
      </c>
      <c r="AI3640">
        <v>2</v>
      </c>
      <c r="AJ3640">
        <v>0.77778000000000003</v>
      </c>
      <c r="AK3640">
        <v>2</v>
      </c>
      <c r="AL3640">
        <v>0</v>
      </c>
      <c r="AM3640">
        <v>2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2</v>
      </c>
      <c r="AT3640">
        <v>0</v>
      </c>
      <c r="AU3640">
        <v>9</v>
      </c>
      <c r="AV3640">
        <v>6</v>
      </c>
      <c r="AW3640">
        <v>19</v>
      </c>
      <c r="AX3640">
        <v>2</v>
      </c>
      <c r="AY3640">
        <v>14</v>
      </c>
      <c r="AZ3640">
        <v>7</v>
      </c>
      <c r="BA3640" t="s">
        <v>22204</v>
      </c>
      <c r="BB3640" t="s">
        <v>22205</v>
      </c>
      <c r="BC3640">
        <v>2.266</v>
      </c>
      <c r="BD3640" t="s">
        <v>65</v>
      </c>
      <c r="BE3640">
        <v>33</v>
      </c>
      <c r="BF3640">
        <v>9</v>
      </c>
      <c r="BG3640" t="s">
        <v>22206</v>
      </c>
      <c r="BH3640" t="s">
        <v>22207</v>
      </c>
      <c r="BI3640" t="s">
        <v>22208</v>
      </c>
      <c r="BJ3640">
        <v>9.1249999999999998E-2</v>
      </c>
      <c r="BK3640">
        <v>1</v>
      </c>
      <c r="BL3640" t="s">
        <v>69</v>
      </c>
      <c r="BM3640">
        <v>0.20799999999999999</v>
      </c>
      <c r="BN3640">
        <v>-0.57399999999999995</v>
      </c>
    </row>
    <row r="3641" spans="10:66">
      <c r="J3641">
        <v>0</v>
      </c>
      <c r="K3641">
        <v>18</v>
      </c>
      <c r="L3641">
        <v>0</v>
      </c>
      <c r="M3641" t="s">
        <v>25021</v>
      </c>
      <c r="N3641">
        <v>3791</v>
      </c>
      <c r="O3641" t="s">
        <v>22209</v>
      </c>
      <c r="P3641" t="s">
        <v>57</v>
      </c>
      <c r="Q3641">
        <v>3761182</v>
      </c>
      <c r="R3641">
        <v>3761697</v>
      </c>
      <c r="S3641" t="s">
        <v>3095</v>
      </c>
      <c r="T3641">
        <v>172</v>
      </c>
      <c r="U3641" t="s">
        <v>22210</v>
      </c>
      <c r="V3641">
        <v>39</v>
      </c>
      <c r="W3641" t="str">
        <f>HYPERLINK("Gene3791-zp_tree_all.dnd", "Gene3791-tree")</f>
        <v>Gene3791-tree</v>
      </c>
      <c r="X3641">
        <v>1</v>
      </c>
      <c r="Y3641">
        <v>9</v>
      </c>
      <c r="Z3641">
        <v>1</v>
      </c>
      <c r="AA3641">
        <v>9</v>
      </c>
      <c r="AB3641">
        <v>0.9</v>
      </c>
      <c r="AC3641" t="s">
        <v>175</v>
      </c>
      <c r="AD3641" t="s">
        <v>135</v>
      </c>
      <c r="AE3641" t="s">
        <v>62</v>
      </c>
      <c r="AF3641" t="s">
        <v>62</v>
      </c>
      <c r="AG3641">
        <v>6</v>
      </c>
      <c r="AH3641">
        <v>18</v>
      </c>
      <c r="AI3641">
        <v>7</v>
      </c>
      <c r="AJ3641">
        <v>0.72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13</v>
      </c>
      <c r="AQ3641">
        <v>0</v>
      </c>
      <c r="AR3641">
        <v>13</v>
      </c>
      <c r="AS3641">
        <v>5</v>
      </c>
      <c r="AT3641">
        <v>0.72221999999999997</v>
      </c>
      <c r="AU3641">
        <v>9</v>
      </c>
      <c r="AV3641">
        <v>6</v>
      </c>
      <c r="AW3641">
        <v>20</v>
      </c>
      <c r="AX3641">
        <v>19</v>
      </c>
      <c r="AY3641">
        <v>8</v>
      </c>
      <c r="AZ3641">
        <v>7</v>
      </c>
      <c r="BA3641" t="s">
        <v>22211</v>
      </c>
      <c r="BB3641" t="s">
        <v>22212</v>
      </c>
      <c r="BC3641">
        <v>4.1000000000000002E-2</v>
      </c>
      <c r="BD3641" t="s">
        <v>65</v>
      </c>
      <c r="BE3641">
        <v>28</v>
      </c>
      <c r="BF3641">
        <v>26</v>
      </c>
      <c r="BG3641" t="s">
        <v>22213</v>
      </c>
      <c r="BH3641" t="s">
        <v>22214</v>
      </c>
      <c r="BI3641" t="s">
        <v>22215</v>
      </c>
      <c r="BJ3641">
        <v>0.21972</v>
      </c>
      <c r="BK3641">
        <v>1</v>
      </c>
      <c r="BL3641" t="s">
        <v>69</v>
      </c>
      <c r="BM3641">
        <v>-0.75</v>
      </c>
      <c r="BN3641">
        <v>-1.667</v>
      </c>
    </row>
    <row r="3642" spans="10:66">
      <c r="J3642">
        <v>0</v>
      </c>
      <c r="K3642">
        <v>4</v>
      </c>
      <c r="L3642">
        <v>2</v>
      </c>
      <c r="M3642" t="s">
        <v>25021</v>
      </c>
      <c r="N3642">
        <v>3792</v>
      </c>
      <c r="O3642" t="s">
        <v>22216</v>
      </c>
      <c r="P3642" t="s">
        <v>57</v>
      </c>
      <c r="Q3642">
        <v>3761859</v>
      </c>
      <c r="R3642">
        <v>3761987</v>
      </c>
      <c r="S3642" t="s">
        <v>22217</v>
      </c>
      <c r="T3642">
        <v>43</v>
      </c>
      <c r="U3642" t="s">
        <v>22218</v>
      </c>
      <c r="V3642">
        <v>29</v>
      </c>
      <c r="W3642" t="str">
        <f>HYPERLINK("Gene3792-zp_tree_all.dnd", "Gene3792-tree")</f>
        <v>Gene3792-tree</v>
      </c>
      <c r="X3642">
        <v>0</v>
      </c>
      <c r="Y3642">
        <v>26</v>
      </c>
      <c r="Z3642">
        <v>0</v>
      </c>
      <c r="AA3642">
        <v>6</v>
      </c>
      <c r="AB3642">
        <v>1</v>
      </c>
      <c r="AC3642" t="s">
        <v>62</v>
      </c>
      <c r="AD3642" t="s">
        <v>1030</v>
      </c>
      <c r="AE3642">
        <v>5.548</v>
      </c>
      <c r="AF3642" t="s">
        <v>65</v>
      </c>
      <c r="AG3642">
        <v>2</v>
      </c>
      <c r="AH3642">
        <v>6</v>
      </c>
      <c r="AI3642">
        <v>6</v>
      </c>
      <c r="AJ3642">
        <v>0.5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4</v>
      </c>
      <c r="AQ3642">
        <v>0</v>
      </c>
      <c r="AR3642">
        <v>4</v>
      </c>
      <c r="AS3642">
        <v>7</v>
      </c>
      <c r="AT3642">
        <v>0.36364000000000002</v>
      </c>
      <c r="AU3642">
        <v>6</v>
      </c>
      <c r="AV3642">
        <v>1</v>
      </c>
      <c r="AW3642">
        <v>0</v>
      </c>
      <c r="AX3642">
        <v>12</v>
      </c>
      <c r="AY3642">
        <v>0</v>
      </c>
      <c r="AZ3642">
        <v>1</v>
      </c>
      <c r="BA3642" t="s">
        <v>193</v>
      </c>
      <c r="BB3642" t="s">
        <v>193</v>
      </c>
      <c r="BC3642">
        <v>0</v>
      </c>
      <c r="BD3642" t="s">
        <v>65</v>
      </c>
      <c r="BE3642">
        <v>0</v>
      </c>
      <c r="BF3642">
        <v>13</v>
      </c>
      <c r="BG3642" t="s">
        <v>22219</v>
      </c>
      <c r="BH3642" t="s">
        <v>193</v>
      </c>
      <c r="BI3642" t="s">
        <v>22220</v>
      </c>
      <c r="BJ3642" t="s">
        <v>1346</v>
      </c>
      <c r="BK3642">
        <v>1</v>
      </c>
      <c r="BL3642" t="s">
        <v>69</v>
      </c>
      <c r="BM3642">
        <v>-0.96899999999999997</v>
      </c>
      <c r="BN3642">
        <v>-0.72599999999999998</v>
      </c>
    </row>
    <row r="3643" spans="10:66">
      <c r="J3643">
        <v>0</v>
      </c>
      <c r="K3643">
        <v>0</v>
      </c>
      <c r="L3643">
        <v>0</v>
      </c>
      <c r="M3643" t="s">
        <v>25021</v>
      </c>
      <c r="N3643">
        <v>3793</v>
      </c>
      <c r="O3643" t="s">
        <v>22221</v>
      </c>
      <c r="P3643" t="s">
        <v>57</v>
      </c>
      <c r="Q3643">
        <v>3762664</v>
      </c>
      <c r="R3643">
        <v>3764109</v>
      </c>
      <c r="S3643" t="s">
        <v>22222</v>
      </c>
      <c r="T3643">
        <v>482</v>
      </c>
      <c r="U3643" t="s">
        <v>108</v>
      </c>
      <c r="V3643">
        <v>44</v>
      </c>
      <c r="W3643" t="str">
        <f>HYPERLINK("Gene3793-zp_tree_all.dnd", "Gene3793-tree")</f>
        <v>Gene3793-tree</v>
      </c>
      <c r="X3643">
        <v>11</v>
      </c>
      <c r="Y3643">
        <v>4</v>
      </c>
      <c r="Z3643">
        <v>11</v>
      </c>
      <c r="AA3643">
        <v>4</v>
      </c>
      <c r="AB3643">
        <v>0.26667000000000002</v>
      </c>
      <c r="AC3643" t="s">
        <v>73</v>
      </c>
      <c r="AD3643" t="s">
        <v>61</v>
      </c>
      <c r="AE3643" t="s">
        <v>62</v>
      </c>
      <c r="AF3643" t="s">
        <v>62</v>
      </c>
      <c r="AG3643">
        <v>0</v>
      </c>
      <c r="AH3643">
        <v>0</v>
      </c>
      <c r="AI3643">
        <v>5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4</v>
      </c>
      <c r="AT3643">
        <v>0</v>
      </c>
      <c r="AU3643">
        <v>12</v>
      </c>
      <c r="AV3643">
        <v>10</v>
      </c>
      <c r="AW3643">
        <v>43</v>
      </c>
      <c r="AX3643">
        <v>4</v>
      </c>
      <c r="AY3643">
        <v>21</v>
      </c>
      <c r="AZ3643">
        <v>1</v>
      </c>
      <c r="BA3643" t="s">
        <v>22223</v>
      </c>
      <c r="BB3643" t="s">
        <v>22224</v>
      </c>
      <c r="BC3643">
        <v>0.23699999999999999</v>
      </c>
      <c r="BD3643" t="s">
        <v>65</v>
      </c>
      <c r="BE3643">
        <v>64</v>
      </c>
      <c r="BF3643">
        <v>5</v>
      </c>
      <c r="BG3643" t="s">
        <v>22225</v>
      </c>
      <c r="BH3643" t="s">
        <v>22226</v>
      </c>
      <c r="BI3643" t="s">
        <v>22227</v>
      </c>
      <c r="BJ3643">
        <v>2.1129999999999999E-2</v>
      </c>
      <c r="BK3643">
        <v>1</v>
      </c>
      <c r="BL3643" t="s">
        <v>69</v>
      </c>
      <c r="BM3643">
        <v>-1.17</v>
      </c>
      <c r="BN3643">
        <v>-1.4890000000000001</v>
      </c>
    </row>
    <row r="3644" spans="10:66">
      <c r="J3644">
        <v>0</v>
      </c>
      <c r="K3644">
        <v>0</v>
      </c>
      <c r="L3644">
        <v>0</v>
      </c>
      <c r="M3644" t="s">
        <v>25021</v>
      </c>
      <c r="N3644">
        <v>3795</v>
      </c>
      <c r="O3644" t="s">
        <v>22235</v>
      </c>
      <c r="P3644" t="s">
        <v>57</v>
      </c>
      <c r="Q3644">
        <v>3765051</v>
      </c>
      <c r="R3644">
        <v>3765431</v>
      </c>
      <c r="S3644" t="s">
        <v>3095</v>
      </c>
      <c r="T3644">
        <v>127</v>
      </c>
      <c r="U3644" t="s">
        <v>749</v>
      </c>
      <c r="V3644">
        <v>47</v>
      </c>
      <c r="W3644" t="str">
        <f>HYPERLINK("Gene3795-zp_tree_all.dnd", "Gene3795-tree")</f>
        <v>Gene3795-tree</v>
      </c>
      <c r="X3644">
        <v>7</v>
      </c>
      <c r="Y3644">
        <v>1</v>
      </c>
      <c r="Z3644">
        <v>7</v>
      </c>
      <c r="AA3644">
        <v>1</v>
      </c>
      <c r="AB3644">
        <v>0.125</v>
      </c>
      <c r="AC3644" t="s">
        <v>152</v>
      </c>
      <c r="AD3644" t="s">
        <v>175</v>
      </c>
      <c r="AE3644" t="s">
        <v>62</v>
      </c>
      <c r="AF3644" t="s">
        <v>62</v>
      </c>
      <c r="AG3644">
        <v>0</v>
      </c>
      <c r="AH3644">
        <v>0</v>
      </c>
      <c r="AI3644">
        <v>4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2</v>
      </c>
      <c r="AT3644">
        <v>0</v>
      </c>
      <c r="AU3644">
        <v>6</v>
      </c>
      <c r="AV3644">
        <v>3</v>
      </c>
      <c r="AW3644">
        <v>11</v>
      </c>
      <c r="AX3644">
        <v>2</v>
      </c>
      <c r="AY3644">
        <v>16</v>
      </c>
      <c r="AZ3644">
        <v>2</v>
      </c>
      <c r="BA3644" t="s">
        <v>22236</v>
      </c>
      <c r="BB3644" t="s">
        <v>22237</v>
      </c>
      <c r="BC3644">
        <v>0.13500000000000001</v>
      </c>
      <c r="BD3644" t="s">
        <v>65</v>
      </c>
      <c r="BE3644">
        <v>27</v>
      </c>
      <c r="BF3644">
        <v>4</v>
      </c>
      <c r="BG3644" t="s">
        <v>22238</v>
      </c>
      <c r="BH3644" t="s">
        <v>22239</v>
      </c>
      <c r="BI3644" t="s">
        <v>22240</v>
      </c>
      <c r="BJ3644">
        <v>4.3090000000000003E-2</v>
      </c>
      <c r="BK3644">
        <v>1</v>
      </c>
      <c r="BL3644" t="s">
        <v>69</v>
      </c>
      <c r="BM3644">
        <v>-1.8140000000000001</v>
      </c>
      <c r="BN3644">
        <v>-1.157</v>
      </c>
    </row>
    <row r="3645" spans="10:66">
      <c r="J3645">
        <v>0</v>
      </c>
      <c r="K3645">
        <v>2</v>
      </c>
      <c r="L3645">
        <v>0</v>
      </c>
      <c r="M3645" t="s">
        <v>25021</v>
      </c>
      <c r="N3645">
        <v>3814</v>
      </c>
      <c r="O3645" t="s">
        <v>22350</v>
      </c>
      <c r="P3645" t="s">
        <v>57</v>
      </c>
      <c r="Q3645">
        <v>3780562</v>
      </c>
      <c r="R3645">
        <v>3781032</v>
      </c>
      <c r="S3645" t="s">
        <v>116</v>
      </c>
      <c r="T3645">
        <v>157</v>
      </c>
      <c r="U3645" t="s">
        <v>108</v>
      </c>
      <c r="V3645">
        <v>44</v>
      </c>
      <c r="W3645" t="str">
        <f>HYPERLINK("Gene3814-zp_tree_all.dnd", "Gene3814-tree")</f>
        <v>Gene3814-tree</v>
      </c>
      <c r="X3645">
        <v>6</v>
      </c>
      <c r="Y3645">
        <v>8</v>
      </c>
      <c r="Z3645">
        <v>6</v>
      </c>
      <c r="AA3645">
        <v>8</v>
      </c>
      <c r="AB3645">
        <v>0.57142999999999999</v>
      </c>
      <c r="AC3645" t="s">
        <v>90</v>
      </c>
      <c r="AD3645" t="s">
        <v>136</v>
      </c>
      <c r="AE3645" t="s">
        <v>62</v>
      </c>
      <c r="AF3645" t="s">
        <v>62</v>
      </c>
      <c r="AG3645">
        <v>1</v>
      </c>
      <c r="AH3645">
        <v>2</v>
      </c>
      <c r="AI3645">
        <v>9</v>
      </c>
      <c r="AJ3645">
        <v>0.18182000000000001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0</v>
      </c>
      <c r="AQ3645">
        <v>2</v>
      </c>
      <c r="AR3645">
        <v>2</v>
      </c>
      <c r="AS3645">
        <v>8</v>
      </c>
      <c r="AT3645">
        <v>0.2</v>
      </c>
      <c r="AU3645">
        <v>9</v>
      </c>
      <c r="AV3645">
        <v>6</v>
      </c>
      <c r="AW3645">
        <v>2</v>
      </c>
      <c r="AX3645">
        <v>10</v>
      </c>
      <c r="AY3645">
        <v>9</v>
      </c>
      <c r="AZ3645">
        <v>1</v>
      </c>
      <c r="BA3645" t="s">
        <v>22351</v>
      </c>
      <c r="BB3645" t="s">
        <v>22352</v>
      </c>
      <c r="BC3645">
        <v>0.78</v>
      </c>
      <c r="BD3645" t="s">
        <v>65</v>
      </c>
      <c r="BE3645">
        <v>11</v>
      </c>
      <c r="BF3645">
        <v>11</v>
      </c>
      <c r="BG3645" t="s">
        <v>22353</v>
      </c>
      <c r="BH3645" t="s">
        <v>22354</v>
      </c>
      <c r="BI3645" t="s">
        <v>22355</v>
      </c>
      <c r="BJ3645">
        <v>0.14394999999999999</v>
      </c>
      <c r="BK3645">
        <v>1</v>
      </c>
      <c r="BL3645" t="s">
        <v>69</v>
      </c>
      <c r="BM3645">
        <v>0.66800000000000004</v>
      </c>
      <c r="BN3645">
        <v>0.09</v>
      </c>
    </row>
    <row r="3646" spans="10:66">
      <c r="J3646">
        <v>0</v>
      </c>
      <c r="K3646">
        <v>2</v>
      </c>
      <c r="L3646">
        <v>1</v>
      </c>
      <c r="M3646" t="s">
        <v>25021</v>
      </c>
      <c r="N3646">
        <v>3833</v>
      </c>
      <c r="O3646" t="s">
        <v>22471</v>
      </c>
      <c r="P3646" t="s">
        <v>57</v>
      </c>
      <c r="Q3646">
        <v>3795491</v>
      </c>
      <c r="R3646">
        <v>3795850</v>
      </c>
      <c r="S3646" t="s">
        <v>3095</v>
      </c>
      <c r="T3646">
        <v>120</v>
      </c>
      <c r="U3646" t="s">
        <v>5762</v>
      </c>
      <c r="V3646">
        <v>43</v>
      </c>
      <c r="W3646" t="str">
        <f>HYPERLINK("Gene3833-zp_tree_all.dnd", "Gene3833-tree")</f>
        <v>Gene3833-tree</v>
      </c>
      <c r="X3646">
        <v>6</v>
      </c>
      <c r="Y3646">
        <v>6</v>
      </c>
      <c r="Z3646">
        <v>6</v>
      </c>
      <c r="AA3646">
        <v>6</v>
      </c>
      <c r="AB3646">
        <v>0.5</v>
      </c>
      <c r="AC3646" t="s">
        <v>90</v>
      </c>
      <c r="AD3646" t="s">
        <v>90</v>
      </c>
      <c r="AE3646" t="s">
        <v>62</v>
      </c>
      <c r="AF3646" t="s">
        <v>62</v>
      </c>
      <c r="AG3646">
        <v>1</v>
      </c>
      <c r="AH3646">
        <v>3</v>
      </c>
      <c r="AI3646">
        <v>3</v>
      </c>
      <c r="AJ3646">
        <v>0.5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2</v>
      </c>
      <c r="AQ3646">
        <v>1</v>
      </c>
      <c r="AR3646">
        <v>3</v>
      </c>
      <c r="AS3646">
        <v>3</v>
      </c>
      <c r="AT3646">
        <v>0.5</v>
      </c>
      <c r="AU3646">
        <v>6</v>
      </c>
      <c r="AV3646">
        <v>5</v>
      </c>
      <c r="AW3646">
        <v>3</v>
      </c>
      <c r="AX3646">
        <v>5</v>
      </c>
      <c r="AY3646">
        <v>5</v>
      </c>
      <c r="AZ3646">
        <v>1</v>
      </c>
      <c r="BA3646" t="s">
        <v>22472</v>
      </c>
      <c r="BB3646" t="s">
        <v>22473</v>
      </c>
      <c r="BC3646">
        <v>0.41099999999999998</v>
      </c>
      <c r="BD3646" t="s">
        <v>65</v>
      </c>
      <c r="BE3646">
        <v>8</v>
      </c>
      <c r="BF3646">
        <v>6</v>
      </c>
      <c r="BG3646" t="s">
        <v>22474</v>
      </c>
      <c r="BH3646" t="s">
        <v>22475</v>
      </c>
      <c r="BI3646" t="s">
        <v>22476</v>
      </c>
      <c r="BJ3646">
        <v>0.13736999999999999</v>
      </c>
      <c r="BK3646">
        <v>0.96899999999999997</v>
      </c>
      <c r="BL3646" t="s">
        <v>69</v>
      </c>
      <c r="BM3646">
        <v>0.78200000000000003</v>
      </c>
      <c r="BN3646">
        <v>0.52800000000000002</v>
      </c>
    </row>
    <row r="3647" spans="10:66">
      <c r="J3647">
        <v>0</v>
      </c>
      <c r="K3647">
        <v>0</v>
      </c>
      <c r="L3647">
        <v>2</v>
      </c>
      <c r="M3647" t="s">
        <v>25021</v>
      </c>
      <c r="N3647">
        <v>3837</v>
      </c>
      <c r="O3647" t="s">
        <v>22498</v>
      </c>
      <c r="P3647" t="s">
        <v>57</v>
      </c>
      <c r="Q3647">
        <v>3798281</v>
      </c>
      <c r="R3647">
        <v>3798664</v>
      </c>
      <c r="S3647" t="s">
        <v>1340</v>
      </c>
      <c r="T3647">
        <v>128</v>
      </c>
      <c r="U3647" t="s">
        <v>22465</v>
      </c>
      <c r="V3647">
        <v>43</v>
      </c>
      <c r="W3647" t="str">
        <f>HYPERLINK("Gene3837-zp_tree_all.dnd", "Gene3837-tree")</f>
        <v>Gene3837-tree</v>
      </c>
      <c r="X3647">
        <v>24</v>
      </c>
      <c r="Y3647">
        <v>5</v>
      </c>
      <c r="Z3647">
        <v>5</v>
      </c>
      <c r="AA3647">
        <v>5</v>
      </c>
      <c r="AB3647">
        <v>0.5</v>
      </c>
      <c r="AC3647" t="s">
        <v>2668</v>
      </c>
      <c r="AD3647" t="s">
        <v>199</v>
      </c>
      <c r="AE3647" t="s">
        <v>62</v>
      </c>
      <c r="AF3647" t="s">
        <v>62</v>
      </c>
      <c r="AG3647">
        <v>1</v>
      </c>
      <c r="AH3647">
        <v>2</v>
      </c>
      <c r="AI3647">
        <v>5</v>
      </c>
      <c r="AJ3647">
        <v>0.28571000000000002</v>
      </c>
      <c r="AK3647">
        <v>0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0</v>
      </c>
      <c r="AR3647">
        <v>0</v>
      </c>
      <c r="AS3647">
        <v>6</v>
      </c>
      <c r="AT3647">
        <v>0</v>
      </c>
      <c r="AU3647">
        <v>7</v>
      </c>
      <c r="AV3647">
        <v>4</v>
      </c>
      <c r="AW3647">
        <v>7</v>
      </c>
      <c r="AX3647">
        <v>5</v>
      </c>
      <c r="AY3647">
        <v>7</v>
      </c>
      <c r="AZ3647">
        <v>2</v>
      </c>
      <c r="BA3647" t="s">
        <v>22499</v>
      </c>
      <c r="BB3647" t="s">
        <v>22500</v>
      </c>
      <c r="BC3647">
        <v>0.82799999999999996</v>
      </c>
      <c r="BD3647" t="s">
        <v>65</v>
      </c>
      <c r="BE3647">
        <v>14</v>
      </c>
      <c r="BF3647">
        <v>7</v>
      </c>
      <c r="BG3647" t="s">
        <v>22501</v>
      </c>
      <c r="BH3647" t="s">
        <v>22502</v>
      </c>
      <c r="BI3647" t="s">
        <v>22503</v>
      </c>
      <c r="BJ3647">
        <v>0.15382999999999999</v>
      </c>
      <c r="BK3647">
        <v>1</v>
      </c>
      <c r="BL3647" t="s">
        <v>69</v>
      </c>
      <c r="BM3647">
        <v>-1.1459999999999999</v>
      </c>
      <c r="BN3647">
        <v>-1.0509999999999999</v>
      </c>
    </row>
    <row r="3648" spans="10:66">
      <c r="J3648">
        <v>0</v>
      </c>
      <c r="K3648">
        <v>0</v>
      </c>
      <c r="L3648">
        <v>0</v>
      </c>
      <c r="M3648" t="s">
        <v>25021</v>
      </c>
      <c r="N3648">
        <v>3838</v>
      </c>
      <c r="O3648" t="s">
        <v>22504</v>
      </c>
      <c r="P3648" t="s">
        <v>57</v>
      </c>
      <c r="Q3648">
        <v>3798789</v>
      </c>
      <c r="R3648">
        <v>3799340</v>
      </c>
      <c r="S3648" t="s">
        <v>22505</v>
      </c>
      <c r="T3648">
        <v>184</v>
      </c>
      <c r="U3648" t="s">
        <v>108</v>
      </c>
      <c r="V3648">
        <v>44</v>
      </c>
      <c r="W3648" t="str">
        <f>HYPERLINK("Gene3838-zp_tree_all.dnd", "Gene3838-tree")</f>
        <v>Gene3838-tree</v>
      </c>
      <c r="X3648">
        <v>6</v>
      </c>
      <c r="Y3648">
        <v>5</v>
      </c>
      <c r="Z3648">
        <v>6</v>
      </c>
      <c r="AA3648">
        <v>5</v>
      </c>
      <c r="AB3648">
        <v>0.45455000000000001</v>
      </c>
      <c r="AC3648" t="s">
        <v>90</v>
      </c>
      <c r="AD3648" t="s">
        <v>199</v>
      </c>
      <c r="AE3648" t="s">
        <v>62</v>
      </c>
      <c r="AF3648" t="s">
        <v>62</v>
      </c>
      <c r="AG3648">
        <v>0</v>
      </c>
      <c r="AH3648">
        <v>0</v>
      </c>
      <c r="AI3648">
        <v>11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6</v>
      </c>
      <c r="AT3648">
        <v>0</v>
      </c>
      <c r="AU3648">
        <v>11</v>
      </c>
      <c r="AV3648">
        <v>4</v>
      </c>
      <c r="AW3648">
        <v>20</v>
      </c>
      <c r="AX3648">
        <v>6</v>
      </c>
      <c r="AY3648">
        <v>1</v>
      </c>
      <c r="AZ3648">
        <v>5</v>
      </c>
      <c r="BA3648" t="s">
        <v>22506</v>
      </c>
      <c r="BB3648" t="s">
        <v>22507</v>
      </c>
      <c r="BC3648">
        <v>0.5</v>
      </c>
      <c r="BD3648" t="s">
        <v>65</v>
      </c>
      <c r="BE3648">
        <v>21</v>
      </c>
      <c r="BF3648">
        <v>11</v>
      </c>
      <c r="BG3648" t="s">
        <v>22508</v>
      </c>
      <c r="BH3648" t="s">
        <v>22509</v>
      </c>
      <c r="BI3648" t="s">
        <v>22510</v>
      </c>
      <c r="BJ3648">
        <v>0.26989999999999997</v>
      </c>
      <c r="BK3648">
        <v>0.99</v>
      </c>
      <c r="BL3648" t="s">
        <v>69</v>
      </c>
      <c r="BM3648">
        <v>-0.78200000000000003</v>
      </c>
      <c r="BN3648">
        <v>-1.6950000000000001</v>
      </c>
    </row>
    <row r="3649" spans="10:66">
      <c r="J3649">
        <v>0</v>
      </c>
      <c r="K3649">
        <v>4</v>
      </c>
      <c r="L3649">
        <v>0</v>
      </c>
      <c r="M3649" t="s">
        <v>25021</v>
      </c>
      <c r="N3649">
        <v>3850</v>
      </c>
      <c r="O3649" t="s">
        <v>22564</v>
      </c>
      <c r="P3649" t="s">
        <v>57</v>
      </c>
      <c r="Q3649">
        <v>3810090</v>
      </c>
      <c r="R3649">
        <v>3810608</v>
      </c>
      <c r="S3649" t="s">
        <v>116</v>
      </c>
      <c r="T3649">
        <v>173</v>
      </c>
      <c r="U3649" t="s">
        <v>749</v>
      </c>
      <c r="V3649">
        <v>47</v>
      </c>
      <c r="W3649" t="str">
        <f>HYPERLINK("Gene3850-zp_tree_all.dnd", "Gene3850-tree")</f>
        <v>Gene3850-tree</v>
      </c>
      <c r="X3649">
        <v>8</v>
      </c>
      <c r="Y3649">
        <v>9</v>
      </c>
      <c r="Z3649">
        <v>8</v>
      </c>
      <c r="AA3649">
        <v>9</v>
      </c>
      <c r="AB3649">
        <v>0.52941000000000005</v>
      </c>
      <c r="AC3649" t="s">
        <v>136</v>
      </c>
      <c r="AD3649" t="s">
        <v>135</v>
      </c>
      <c r="AE3649" t="s">
        <v>62</v>
      </c>
      <c r="AF3649" t="s">
        <v>62</v>
      </c>
      <c r="AG3649">
        <v>2</v>
      </c>
      <c r="AH3649">
        <v>4</v>
      </c>
      <c r="AI3649">
        <v>12</v>
      </c>
      <c r="AJ3649">
        <v>0.25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2</v>
      </c>
      <c r="AQ3649">
        <v>0</v>
      </c>
      <c r="AR3649">
        <v>2</v>
      </c>
      <c r="AS3649">
        <v>10</v>
      </c>
      <c r="AT3649">
        <v>0.16667000000000001</v>
      </c>
      <c r="AU3649">
        <v>16</v>
      </c>
      <c r="AV3649">
        <v>7</v>
      </c>
      <c r="AW3649">
        <v>23</v>
      </c>
      <c r="AX3649">
        <v>13</v>
      </c>
      <c r="AY3649">
        <v>21</v>
      </c>
      <c r="AZ3649">
        <v>4</v>
      </c>
      <c r="BA3649" t="s">
        <v>22565</v>
      </c>
      <c r="BB3649" t="s">
        <v>22566</v>
      </c>
      <c r="BC3649">
        <v>0.90200000000000002</v>
      </c>
      <c r="BD3649" t="s">
        <v>65</v>
      </c>
      <c r="BE3649">
        <v>44</v>
      </c>
      <c r="BF3649">
        <v>17</v>
      </c>
      <c r="BG3649" t="s">
        <v>22567</v>
      </c>
      <c r="BH3649" t="s">
        <v>22568</v>
      </c>
      <c r="BI3649" t="s">
        <v>22569</v>
      </c>
      <c r="BJ3649">
        <v>9.5100000000000004E-2</v>
      </c>
      <c r="BK3649">
        <v>1</v>
      </c>
      <c r="BL3649" t="s">
        <v>69</v>
      </c>
      <c r="BM3649">
        <v>-1.464</v>
      </c>
      <c r="BN3649">
        <v>-1.3859999999999999</v>
      </c>
    </row>
    <row r="3650" spans="10:66">
      <c r="J3650">
        <v>0</v>
      </c>
      <c r="K3650">
        <v>9</v>
      </c>
      <c r="L3650">
        <v>5</v>
      </c>
      <c r="M3650" t="s">
        <v>25021</v>
      </c>
      <c r="N3650">
        <v>3855</v>
      </c>
      <c r="O3650" t="s">
        <v>22599</v>
      </c>
      <c r="P3650" t="s">
        <v>57</v>
      </c>
      <c r="Q3650">
        <v>3816654</v>
      </c>
      <c r="R3650">
        <v>3817847</v>
      </c>
      <c r="S3650" t="s">
        <v>22600</v>
      </c>
      <c r="T3650">
        <v>398</v>
      </c>
      <c r="U3650" t="s">
        <v>108</v>
      </c>
      <c r="V3650">
        <v>44</v>
      </c>
      <c r="W3650" t="str">
        <f>HYPERLINK("Gene3855-zp_tree_all.dnd", "Gene3855-tree")</f>
        <v>Gene3855-tree</v>
      </c>
      <c r="X3650">
        <v>24</v>
      </c>
      <c r="Y3650">
        <v>9</v>
      </c>
      <c r="Z3650">
        <v>6</v>
      </c>
      <c r="AA3650">
        <v>9</v>
      </c>
      <c r="AB3650">
        <v>0.6</v>
      </c>
      <c r="AC3650" t="s">
        <v>2675</v>
      </c>
      <c r="AD3650" t="s">
        <v>135</v>
      </c>
      <c r="AE3650" t="s">
        <v>62</v>
      </c>
      <c r="AF3650" t="s">
        <v>62</v>
      </c>
      <c r="AG3650">
        <v>6</v>
      </c>
      <c r="AH3650">
        <v>14</v>
      </c>
      <c r="AI3650">
        <v>20</v>
      </c>
      <c r="AJ3650">
        <v>0.41176000000000001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2</v>
      </c>
      <c r="AR3650">
        <v>2</v>
      </c>
      <c r="AS3650">
        <v>24</v>
      </c>
      <c r="AT3650">
        <v>7.6920000000000002E-2</v>
      </c>
      <c r="AU3650">
        <v>12</v>
      </c>
      <c r="AV3650">
        <v>11</v>
      </c>
      <c r="AW3650">
        <v>63</v>
      </c>
      <c r="AX3650">
        <v>28</v>
      </c>
      <c r="AY3650">
        <v>25</v>
      </c>
      <c r="AZ3650">
        <v>9</v>
      </c>
      <c r="BA3650" t="s">
        <v>22601</v>
      </c>
      <c r="BB3650" t="s">
        <v>22602</v>
      </c>
      <c r="BC3650">
        <v>0.105</v>
      </c>
      <c r="BD3650" t="s">
        <v>65</v>
      </c>
      <c r="BE3650">
        <v>88</v>
      </c>
      <c r="BF3650">
        <v>37</v>
      </c>
      <c r="BG3650" t="s">
        <v>22603</v>
      </c>
      <c r="BH3650" t="s">
        <v>22604</v>
      </c>
      <c r="BI3650" t="s">
        <v>22605</v>
      </c>
      <c r="BJ3650">
        <v>0.11495</v>
      </c>
      <c r="BK3650">
        <v>1</v>
      </c>
      <c r="BL3650" t="s">
        <v>69</v>
      </c>
      <c r="BM3650">
        <v>-1.046</v>
      </c>
      <c r="BN3650">
        <v>6.0999999999999999E-2</v>
      </c>
    </row>
    <row r="3651" spans="10:66">
      <c r="J3651">
        <v>0</v>
      </c>
      <c r="K3651">
        <v>13</v>
      </c>
      <c r="L3651">
        <v>2</v>
      </c>
      <c r="M3651" t="s">
        <v>25021</v>
      </c>
      <c r="N3651">
        <v>3856</v>
      </c>
      <c r="O3651" t="s">
        <v>22606</v>
      </c>
      <c r="P3651" t="s">
        <v>57</v>
      </c>
      <c r="Q3651">
        <v>3817863</v>
      </c>
      <c r="R3651">
        <v>3818822</v>
      </c>
      <c r="S3651" t="s">
        <v>22607</v>
      </c>
      <c r="T3651">
        <v>320</v>
      </c>
      <c r="U3651" t="s">
        <v>108</v>
      </c>
      <c r="V3651">
        <v>44</v>
      </c>
      <c r="W3651" t="str">
        <f>HYPERLINK("Gene3856-zp_tree_all.dnd", "Gene3856-tree")</f>
        <v>Gene3856-tree</v>
      </c>
      <c r="X3651">
        <v>3</v>
      </c>
      <c r="Y3651">
        <v>10</v>
      </c>
      <c r="Z3651">
        <v>3</v>
      </c>
      <c r="AA3651">
        <v>10</v>
      </c>
      <c r="AB3651">
        <v>0.76922999999999997</v>
      </c>
      <c r="AC3651" t="s">
        <v>324</v>
      </c>
      <c r="AD3651" t="s">
        <v>117</v>
      </c>
      <c r="AE3651" t="s">
        <v>62</v>
      </c>
      <c r="AF3651" t="s">
        <v>62</v>
      </c>
      <c r="AG3651">
        <v>5</v>
      </c>
      <c r="AH3651">
        <v>15</v>
      </c>
      <c r="AI3651">
        <v>9</v>
      </c>
      <c r="AJ3651">
        <v>0.625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6</v>
      </c>
      <c r="AQ3651">
        <v>2</v>
      </c>
      <c r="AR3651">
        <v>8</v>
      </c>
      <c r="AS3651">
        <v>9</v>
      </c>
      <c r="AT3651">
        <v>0.47059000000000001</v>
      </c>
      <c r="AU3651">
        <v>12</v>
      </c>
      <c r="AV3651">
        <v>8</v>
      </c>
      <c r="AW3651">
        <v>21</v>
      </c>
      <c r="AX3651">
        <v>17</v>
      </c>
      <c r="AY3651">
        <v>13</v>
      </c>
      <c r="AZ3651">
        <v>7</v>
      </c>
      <c r="BA3651" t="s">
        <v>22608</v>
      </c>
      <c r="BB3651" t="s">
        <v>22609</v>
      </c>
      <c r="BC3651">
        <v>0.84899999999999998</v>
      </c>
      <c r="BD3651" t="s">
        <v>65</v>
      </c>
      <c r="BE3651">
        <v>34</v>
      </c>
      <c r="BF3651">
        <v>24</v>
      </c>
      <c r="BG3651" t="s">
        <v>22610</v>
      </c>
      <c r="BH3651" t="s">
        <v>22611</v>
      </c>
      <c r="BI3651" t="s">
        <v>22612</v>
      </c>
      <c r="BJ3651">
        <v>0.14248</v>
      </c>
      <c r="BK3651">
        <v>1</v>
      </c>
      <c r="BL3651" t="s">
        <v>69</v>
      </c>
      <c r="BM3651">
        <v>-0.63300000000000001</v>
      </c>
      <c r="BN3651">
        <v>-1.194</v>
      </c>
    </row>
    <row r="3652" spans="10:66">
      <c r="J3652">
        <v>0</v>
      </c>
      <c r="K3652">
        <v>0</v>
      </c>
      <c r="L3652">
        <v>2</v>
      </c>
      <c r="M3652" t="s">
        <v>25021</v>
      </c>
      <c r="N3652">
        <v>3857</v>
      </c>
      <c r="O3652" t="s">
        <v>22613</v>
      </c>
      <c r="P3652" t="s">
        <v>57</v>
      </c>
      <c r="Q3652">
        <v>3818906</v>
      </c>
      <c r="R3652">
        <v>3819175</v>
      </c>
      <c r="S3652" t="s">
        <v>116</v>
      </c>
      <c r="T3652">
        <v>90</v>
      </c>
      <c r="U3652" t="s">
        <v>289</v>
      </c>
      <c r="V3652">
        <v>46</v>
      </c>
      <c r="W3652" t="str">
        <f>HYPERLINK("Gene3857-zp_tree_all.dnd", "Gene3857-tree")</f>
        <v>Gene3857-tree</v>
      </c>
      <c r="X3652">
        <v>5</v>
      </c>
      <c r="Y3652">
        <v>3</v>
      </c>
      <c r="Z3652">
        <v>5</v>
      </c>
      <c r="AA3652">
        <v>3</v>
      </c>
      <c r="AB3652">
        <v>0.375</v>
      </c>
      <c r="AC3652" t="s">
        <v>199</v>
      </c>
      <c r="AD3652" t="s">
        <v>324</v>
      </c>
      <c r="AE3652" t="s">
        <v>62</v>
      </c>
      <c r="AF3652" t="s">
        <v>62</v>
      </c>
      <c r="AG3652">
        <v>1</v>
      </c>
      <c r="AH3652">
        <v>2</v>
      </c>
      <c r="AI3652">
        <v>3</v>
      </c>
      <c r="AJ3652">
        <v>0.4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2</v>
      </c>
      <c r="AR3652">
        <v>2</v>
      </c>
      <c r="AS3652">
        <v>3</v>
      </c>
      <c r="AT3652">
        <v>0.4</v>
      </c>
      <c r="AU3652">
        <v>3</v>
      </c>
      <c r="AV3652">
        <v>4</v>
      </c>
      <c r="AW3652">
        <v>10</v>
      </c>
      <c r="AX3652">
        <v>5</v>
      </c>
      <c r="AY3652">
        <v>4</v>
      </c>
      <c r="AZ3652">
        <v>0</v>
      </c>
      <c r="BA3652" t="s">
        <v>22614</v>
      </c>
      <c r="BB3652" t="s">
        <v>193</v>
      </c>
      <c r="BC3652">
        <v>0.745</v>
      </c>
      <c r="BD3652" t="s">
        <v>65</v>
      </c>
      <c r="BE3652">
        <v>14</v>
      </c>
      <c r="BF3652">
        <v>5</v>
      </c>
      <c r="BG3652" t="s">
        <v>22615</v>
      </c>
      <c r="BH3652" t="s">
        <v>22616</v>
      </c>
      <c r="BI3652" t="s">
        <v>22617</v>
      </c>
      <c r="BJ3652">
        <v>7.2910000000000003E-2</v>
      </c>
      <c r="BK3652">
        <v>0.99</v>
      </c>
      <c r="BL3652" t="s">
        <v>69</v>
      </c>
      <c r="BM3652">
        <v>-1.224</v>
      </c>
      <c r="BN3652">
        <v>1.165</v>
      </c>
    </row>
    <row r="3653" spans="10:66">
      <c r="J3653">
        <v>0</v>
      </c>
      <c r="K3653">
        <v>10</v>
      </c>
      <c r="L3653">
        <v>0</v>
      </c>
      <c r="M3653" t="s">
        <v>25021</v>
      </c>
      <c r="N3653">
        <v>3866</v>
      </c>
      <c r="O3653" t="s">
        <v>22673</v>
      </c>
      <c r="P3653" t="s">
        <v>57</v>
      </c>
      <c r="Q3653">
        <v>3830761</v>
      </c>
      <c r="R3653">
        <v>3831477</v>
      </c>
      <c r="S3653" t="s">
        <v>3095</v>
      </c>
      <c r="T3653">
        <v>239</v>
      </c>
      <c r="U3653" t="s">
        <v>1174</v>
      </c>
      <c r="V3653">
        <v>42</v>
      </c>
      <c r="W3653" t="str">
        <f>HYPERLINK("Gene3866-zp_tree_all.dnd", "Gene3866-tree")</f>
        <v>Gene3866-tree</v>
      </c>
      <c r="X3653">
        <v>6</v>
      </c>
      <c r="Y3653">
        <v>8</v>
      </c>
      <c r="Z3653">
        <v>6</v>
      </c>
      <c r="AA3653">
        <v>8</v>
      </c>
      <c r="AB3653">
        <v>0.57142999999999999</v>
      </c>
      <c r="AC3653" t="s">
        <v>90</v>
      </c>
      <c r="AD3653" t="s">
        <v>136</v>
      </c>
      <c r="AE3653" t="s">
        <v>62</v>
      </c>
      <c r="AF3653" t="s">
        <v>62</v>
      </c>
      <c r="AG3653">
        <v>4</v>
      </c>
      <c r="AH3653">
        <v>10</v>
      </c>
      <c r="AI3653">
        <v>7</v>
      </c>
      <c r="AJ3653">
        <v>0.58823999999999999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5</v>
      </c>
      <c r="AQ3653">
        <v>0</v>
      </c>
      <c r="AR3653">
        <v>5</v>
      </c>
      <c r="AS3653">
        <v>7</v>
      </c>
      <c r="AT3653">
        <v>0.41666999999999998</v>
      </c>
      <c r="AU3653">
        <v>11</v>
      </c>
      <c r="AV3653">
        <v>10</v>
      </c>
      <c r="AW3653">
        <v>14</v>
      </c>
      <c r="AX3653">
        <v>9</v>
      </c>
      <c r="AY3653">
        <v>18</v>
      </c>
      <c r="AZ3653">
        <v>8</v>
      </c>
      <c r="BA3653" t="s">
        <v>22674</v>
      </c>
      <c r="BB3653" t="s">
        <v>22675</v>
      </c>
      <c r="BC3653">
        <v>0.56899999999999995</v>
      </c>
      <c r="BD3653" t="s">
        <v>65</v>
      </c>
      <c r="BE3653">
        <v>32</v>
      </c>
      <c r="BF3653">
        <v>17</v>
      </c>
      <c r="BG3653" t="s">
        <v>22676</v>
      </c>
      <c r="BH3653" t="s">
        <v>22677</v>
      </c>
      <c r="BI3653" t="s">
        <v>22678</v>
      </c>
      <c r="BJ3653">
        <v>9.7939999999999999E-2</v>
      </c>
      <c r="BK3653">
        <v>1</v>
      </c>
      <c r="BL3653" t="s">
        <v>69</v>
      </c>
      <c r="BM3653">
        <v>-0.71399999999999997</v>
      </c>
      <c r="BN3653">
        <v>-1.1100000000000001</v>
      </c>
    </row>
    <row r="3654" spans="10:66">
      <c r="J3654">
        <v>0</v>
      </c>
      <c r="K3654">
        <v>0</v>
      </c>
      <c r="L3654">
        <v>0</v>
      </c>
      <c r="M3654" t="s">
        <v>25021</v>
      </c>
      <c r="N3654">
        <v>3871</v>
      </c>
      <c r="O3654" t="s">
        <v>22706</v>
      </c>
      <c r="P3654" t="s">
        <v>57</v>
      </c>
      <c r="Q3654">
        <v>3836058</v>
      </c>
      <c r="R3654">
        <v>3836186</v>
      </c>
      <c r="S3654" t="s">
        <v>22707</v>
      </c>
      <c r="T3654">
        <v>43</v>
      </c>
      <c r="U3654" t="s">
        <v>59</v>
      </c>
      <c r="V3654">
        <v>49</v>
      </c>
      <c r="W3654" t="str">
        <f>HYPERLINK("Gene3871-zp_tree_all.dnd", "Gene3871-tree")</f>
        <v>Gene3871-tree</v>
      </c>
      <c r="X3654">
        <v>4</v>
      </c>
      <c r="Y3654">
        <v>0</v>
      </c>
      <c r="Z3654">
        <v>4</v>
      </c>
      <c r="AA3654">
        <v>0</v>
      </c>
      <c r="AB3654">
        <v>0</v>
      </c>
      <c r="AC3654" t="s">
        <v>61</v>
      </c>
      <c r="AD3654" t="s">
        <v>62</v>
      </c>
      <c r="AE3654" t="s">
        <v>62</v>
      </c>
      <c r="AF3654" t="s">
        <v>62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</v>
      </c>
      <c r="AV3654">
        <v>1</v>
      </c>
      <c r="AW3654">
        <v>2</v>
      </c>
      <c r="AX3654">
        <v>0</v>
      </c>
      <c r="AY3654">
        <v>1</v>
      </c>
      <c r="AZ3654">
        <v>0</v>
      </c>
      <c r="BA3654" t="s">
        <v>193</v>
      </c>
      <c r="BB3654" t="s">
        <v>193</v>
      </c>
      <c r="BC3654">
        <v>0</v>
      </c>
      <c r="BD3654" t="s">
        <v>65</v>
      </c>
      <c r="BE3654">
        <v>3</v>
      </c>
      <c r="BF3654">
        <v>0</v>
      </c>
      <c r="BG3654" t="s">
        <v>22708</v>
      </c>
      <c r="BH3654" t="s">
        <v>22709</v>
      </c>
      <c r="BI3654" t="s">
        <v>193</v>
      </c>
      <c r="BJ3654">
        <v>0</v>
      </c>
      <c r="BK3654">
        <v>1</v>
      </c>
      <c r="BL3654" t="s">
        <v>69</v>
      </c>
      <c r="BM3654">
        <v>-1.341</v>
      </c>
      <c r="BN3654">
        <v>-0.40799999999999997</v>
      </c>
    </row>
    <row r="3655" spans="10:66">
      <c r="J3655">
        <v>0</v>
      </c>
      <c r="K3655">
        <v>5</v>
      </c>
      <c r="L3655">
        <v>2</v>
      </c>
      <c r="M3655" t="s">
        <v>25021</v>
      </c>
      <c r="N3655">
        <v>3873</v>
      </c>
      <c r="O3655" t="s">
        <v>22710</v>
      </c>
      <c r="P3655" t="s">
        <v>57</v>
      </c>
      <c r="Q3655">
        <v>3836323</v>
      </c>
      <c r="R3655">
        <v>3837666</v>
      </c>
      <c r="S3655" t="s">
        <v>22711</v>
      </c>
      <c r="T3655">
        <v>448</v>
      </c>
      <c r="U3655" t="s">
        <v>6390</v>
      </c>
      <c r="V3655">
        <v>45</v>
      </c>
      <c r="W3655" t="str">
        <f>HYPERLINK("Gene3873-zp_tree_all.dnd", "Gene3873-tree")</f>
        <v>Gene3873-tree</v>
      </c>
      <c r="X3655">
        <v>8</v>
      </c>
      <c r="Y3655">
        <v>8</v>
      </c>
      <c r="Z3655">
        <v>8</v>
      </c>
      <c r="AA3655">
        <v>8</v>
      </c>
      <c r="AB3655">
        <v>0.5</v>
      </c>
      <c r="AC3655" t="s">
        <v>136</v>
      </c>
      <c r="AD3655" t="s">
        <v>136</v>
      </c>
      <c r="AE3655" t="s">
        <v>62</v>
      </c>
      <c r="AF3655" t="s">
        <v>62</v>
      </c>
      <c r="AG3655">
        <v>3</v>
      </c>
      <c r="AH3655">
        <v>7</v>
      </c>
      <c r="AI3655">
        <v>11</v>
      </c>
      <c r="AJ3655">
        <v>0.38889000000000001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2</v>
      </c>
      <c r="AQ3655">
        <v>2</v>
      </c>
      <c r="AR3655">
        <v>4</v>
      </c>
      <c r="AS3655">
        <v>9</v>
      </c>
      <c r="AT3655">
        <v>0.30769000000000002</v>
      </c>
      <c r="AU3655">
        <v>15</v>
      </c>
      <c r="AV3655">
        <v>10</v>
      </c>
      <c r="AW3655">
        <v>101</v>
      </c>
      <c r="AX3655">
        <v>13</v>
      </c>
      <c r="AY3655">
        <v>22</v>
      </c>
      <c r="AZ3655">
        <v>5</v>
      </c>
      <c r="BA3655" t="s">
        <v>22712</v>
      </c>
      <c r="BB3655" t="s">
        <v>22713</v>
      </c>
      <c r="BC3655">
        <v>0.49099999999999999</v>
      </c>
      <c r="BD3655" t="s">
        <v>65</v>
      </c>
      <c r="BE3655">
        <v>123</v>
      </c>
      <c r="BF3655">
        <v>18</v>
      </c>
      <c r="BG3655" t="s">
        <v>22714</v>
      </c>
      <c r="BH3655" t="s">
        <v>22715</v>
      </c>
      <c r="BI3655" t="s">
        <v>22716</v>
      </c>
      <c r="BJ3655">
        <v>3.9019999999999999E-2</v>
      </c>
      <c r="BK3655">
        <v>1</v>
      </c>
      <c r="BL3655" t="s">
        <v>69</v>
      </c>
      <c r="BM3655">
        <v>-1.6140000000000001</v>
      </c>
      <c r="BN3655">
        <v>-3.8530000000000002</v>
      </c>
    </row>
    <row r="3656" spans="10:66">
      <c r="J3656">
        <v>0</v>
      </c>
      <c r="K3656">
        <v>0</v>
      </c>
      <c r="L3656">
        <v>0</v>
      </c>
      <c r="M3656" t="s">
        <v>25021</v>
      </c>
      <c r="N3656">
        <v>3874</v>
      </c>
      <c r="O3656" t="s">
        <v>22717</v>
      </c>
      <c r="P3656" t="s">
        <v>57</v>
      </c>
      <c r="Q3656">
        <v>3837682</v>
      </c>
      <c r="R3656">
        <v>3837840</v>
      </c>
      <c r="S3656" t="s">
        <v>22718</v>
      </c>
      <c r="T3656">
        <v>53</v>
      </c>
      <c r="U3656" t="s">
        <v>59</v>
      </c>
      <c r="V3656">
        <v>49</v>
      </c>
      <c r="W3656" t="str">
        <f>HYPERLINK("Gene3874-zp_tree_all.dnd", "Gene3874-tree")</f>
        <v>Gene3874-tree</v>
      </c>
      <c r="X3656">
        <v>6</v>
      </c>
      <c r="Y3656">
        <v>3</v>
      </c>
      <c r="Z3656">
        <v>6</v>
      </c>
      <c r="AA3656">
        <v>3</v>
      </c>
      <c r="AB3656">
        <v>0.33333000000000002</v>
      </c>
      <c r="AC3656" t="s">
        <v>90</v>
      </c>
      <c r="AD3656" t="s">
        <v>324</v>
      </c>
      <c r="AE3656" t="s">
        <v>62</v>
      </c>
      <c r="AF3656" t="s">
        <v>62</v>
      </c>
      <c r="AG3656">
        <v>0</v>
      </c>
      <c r="AH3656">
        <v>0</v>
      </c>
      <c r="AI3656">
        <v>3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2</v>
      </c>
      <c r="AT3656">
        <v>0</v>
      </c>
      <c r="AU3656">
        <v>5</v>
      </c>
      <c r="AV3656">
        <v>5</v>
      </c>
      <c r="AW3656">
        <v>4</v>
      </c>
      <c r="AX3656">
        <v>2</v>
      </c>
      <c r="AY3656">
        <v>5</v>
      </c>
      <c r="AZ3656">
        <v>1</v>
      </c>
      <c r="BA3656" t="s">
        <v>22719</v>
      </c>
      <c r="BB3656" t="s">
        <v>22720</v>
      </c>
      <c r="BC3656">
        <v>0.45100000000000001</v>
      </c>
      <c r="BD3656" t="s">
        <v>65</v>
      </c>
      <c r="BE3656">
        <v>9</v>
      </c>
      <c r="BF3656">
        <v>3</v>
      </c>
      <c r="BG3656" t="s">
        <v>22721</v>
      </c>
      <c r="BH3656" t="s">
        <v>22722</v>
      </c>
      <c r="BI3656" t="s">
        <v>22723</v>
      </c>
      <c r="BJ3656">
        <v>0.10337</v>
      </c>
      <c r="BK3656">
        <v>1</v>
      </c>
      <c r="BL3656" t="s">
        <v>69</v>
      </c>
      <c r="BM3656">
        <v>-1.492</v>
      </c>
      <c r="BN3656">
        <v>-1.0449999999999999</v>
      </c>
    </row>
    <row r="3657" spans="10:66">
      <c r="J3657">
        <v>0</v>
      </c>
      <c r="K3657">
        <v>0</v>
      </c>
      <c r="L3657">
        <v>0</v>
      </c>
      <c r="M3657" t="s">
        <v>25021</v>
      </c>
      <c r="N3657">
        <v>3875</v>
      </c>
      <c r="O3657" t="s">
        <v>22724</v>
      </c>
      <c r="P3657" t="s">
        <v>57</v>
      </c>
      <c r="Q3657">
        <v>3837840</v>
      </c>
      <c r="R3657">
        <v>3838556</v>
      </c>
      <c r="S3657" t="s">
        <v>22725</v>
      </c>
      <c r="T3657">
        <v>239</v>
      </c>
      <c r="U3657" t="s">
        <v>108</v>
      </c>
      <c r="V3657">
        <v>44</v>
      </c>
      <c r="W3657" t="str">
        <f>HYPERLINK("Gene3875-zp_tree_all.dnd", "Gene3875-tree")</f>
        <v>Gene3875-tree</v>
      </c>
      <c r="X3657">
        <v>24</v>
      </c>
      <c r="Y3657">
        <v>8</v>
      </c>
      <c r="Z3657">
        <v>6</v>
      </c>
      <c r="AA3657">
        <v>8</v>
      </c>
      <c r="AB3657">
        <v>0.57142999999999999</v>
      </c>
      <c r="AC3657" t="s">
        <v>2675</v>
      </c>
      <c r="AD3657" t="s">
        <v>136</v>
      </c>
      <c r="AE3657" t="s">
        <v>62</v>
      </c>
      <c r="AF3657" t="s">
        <v>62</v>
      </c>
      <c r="AG3657">
        <v>0</v>
      </c>
      <c r="AH3657">
        <v>0</v>
      </c>
      <c r="AI3657">
        <v>9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9</v>
      </c>
      <c r="AT3657">
        <v>0</v>
      </c>
      <c r="AU3657">
        <v>11</v>
      </c>
      <c r="AV3657">
        <v>8</v>
      </c>
      <c r="AW3657">
        <v>19</v>
      </c>
      <c r="AX3657">
        <v>7</v>
      </c>
      <c r="AY3657">
        <v>18</v>
      </c>
      <c r="AZ3657">
        <v>2</v>
      </c>
      <c r="BA3657" t="s">
        <v>22726</v>
      </c>
      <c r="BB3657" t="s">
        <v>22727</v>
      </c>
      <c r="BC3657">
        <v>1.1000000000000001</v>
      </c>
      <c r="BD3657" t="s">
        <v>65</v>
      </c>
      <c r="BE3657">
        <v>37</v>
      </c>
      <c r="BF3657">
        <v>9</v>
      </c>
      <c r="BG3657" t="s">
        <v>1519</v>
      </c>
      <c r="BH3657" t="s">
        <v>22728</v>
      </c>
      <c r="BI3657" t="s">
        <v>22729</v>
      </c>
      <c r="BJ3657">
        <v>6.0999999999999999E-2</v>
      </c>
      <c r="BK3657">
        <v>1</v>
      </c>
      <c r="BL3657" t="s">
        <v>69</v>
      </c>
      <c r="BM3657">
        <v>-0.29299999999999998</v>
      </c>
      <c r="BN3657">
        <v>-0.39700000000000002</v>
      </c>
    </row>
    <row r="3658" spans="10:66">
      <c r="J3658">
        <v>0</v>
      </c>
      <c r="K3658">
        <v>26</v>
      </c>
      <c r="L3658">
        <v>0</v>
      </c>
      <c r="M3658" t="s">
        <v>25021</v>
      </c>
      <c r="N3658">
        <v>3876</v>
      </c>
      <c r="O3658" t="s">
        <v>22730</v>
      </c>
      <c r="P3658" t="s">
        <v>57</v>
      </c>
      <c r="Q3658">
        <v>3838552</v>
      </c>
      <c r="R3658">
        <v>3839859</v>
      </c>
      <c r="S3658" t="s">
        <v>22731</v>
      </c>
      <c r="T3658">
        <v>436</v>
      </c>
      <c r="U3658" t="s">
        <v>108</v>
      </c>
      <c r="V3658">
        <v>44</v>
      </c>
      <c r="W3658" t="str">
        <f>HYPERLINK("Gene3876-zp_tree_all.dnd", "Gene3876-tree")</f>
        <v>Gene3876-tree</v>
      </c>
      <c r="X3658">
        <v>1</v>
      </c>
      <c r="Y3658">
        <v>33</v>
      </c>
      <c r="Z3658">
        <v>1</v>
      </c>
      <c r="AA3658">
        <v>13</v>
      </c>
      <c r="AB3658">
        <v>0.92857000000000001</v>
      </c>
      <c r="AC3658" t="s">
        <v>175</v>
      </c>
      <c r="AD3658" t="s">
        <v>2041</v>
      </c>
      <c r="AE3658">
        <v>5.7539999999999996</v>
      </c>
      <c r="AF3658" t="s">
        <v>267</v>
      </c>
      <c r="AG3658">
        <v>10</v>
      </c>
      <c r="AH3658">
        <v>26</v>
      </c>
      <c r="AI3658">
        <v>19</v>
      </c>
      <c r="AJ3658">
        <v>0.57777999999999996</v>
      </c>
      <c r="AK3658">
        <v>0</v>
      </c>
      <c r="AL3658">
        <v>0</v>
      </c>
      <c r="AM3658">
        <v>0</v>
      </c>
      <c r="AN3658">
        <v>4</v>
      </c>
      <c r="AO3658">
        <v>0</v>
      </c>
      <c r="AP3658">
        <v>13</v>
      </c>
      <c r="AQ3658">
        <v>0</v>
      </c>
      <c r="AR3658">
        <v>13</v>
      </c>
      <c r="AS3658">
        <v>17</v>
      </c>
      <c r="AT3658">
        <v>0.43332999999999999</v>
      </c>
      <c r="AU3658">
        <v>12</v>
      </c>
      <c r="AV3658">
        <v>10</v>
      </c>
      <c r="AW3658">
        <v>42</v>
      </c>
      <c r="AX3658">
        <v>24</v>
      </c>
      <c r="AY3658">
        <v>17</v>
      </c>
      <c r="AZ3658">
        <v>21</v>
      </c>
      <c r="BA3658" t="s">
        <v>22732</v>
      </c>
      <c r="BB3658" t="s">
        <v>22733</v>
      </c>
      <c r="BC3658">
        <v>1.3859999999999999</v>
      </c>
      <c r="BD3658" t="s">
        <v>65</v>
      </c>
      <c r="BE3658">
        <v>59</v>
      </c>
      <c r="BF3658">
        <v>45</v>
      </c>
      <c r="BG3658" t="s">
        <v>22734</v>
      </c>
      <c r="BH3658" t="s">
        <v>22735</v>
      </c>
      <c r="BI3658" t="s">
        <v>22736</v>
      </c>
      <c r="BJ3658">
        <v>0.22980999999999999</v>
      </c>
      <c r="BK3658">
        <v>1</v>
      </c>
      <c r="BL3658" t="s">
        <v>69</v>
      </c>
      <c r="BM3658">
        <v>-0.11</v>
      </c>
      <c r="BN3658">
        <v>-1.5740000000000001</v>
      </c>
    </row>
    <row r="3659" spans="10:66">
      <c r="J3659">
        <v>0</v>
      </c>
      <c r="K3659">
        <v>20</v>
      </c>
      <c r="L3659">
        <v>0</v>
      </c>
      <c r="M3659" t="s">
        <v>25021</v>
      </c>
      <c r="N3659">
        <v>3877</v>
      </c>
      <c r="O3659" t="s">
        <v>22737</v>
      </c>
      <c r="P3659" t="s">
        <v>57</v>
      </c>
      <c r="Q3659">
        <v>3839852</v>
      </c>
      <c r="R3659">
        <v>3841009</v>
      </c>
      <c r="S3659" t="s">
        <v>22738</v>
      </c>
      <c r="T3659">
        <v>386</v>
      </c>
      <c r="U3659" t="s">
        <v>108</v>
      </c>
      <c r="V3659">
        <v>44</v>
      </c>
      <c r="W3659" t="str">
        <f>HYPERLINK("Gene3877-zp_tree_all.dnd", "Gene3877-tree")</f>
        <v>Gene3877-tree</v>
      </c>
      <c r="X3659">
        <v>1</v>
      </c>
      <c r="Y3659">
        <v>33</v>
      </c>
      <c r="Z3659">
        <v>1</v>
      </c>
      <c r="AA3659">
        <v>13</v>
      </c>
      <c r="AB3659">
        <v>0.92857000000000001</v>
      </c>
      <c r="AC3659" t="s">
        <v>175</v>
      </c>
      <c r="AD3659" t="s">
        <v>2041</v>
      </c>
      <c r="AE3659">
        <v>5.7539999999999996</v>
      </c>
      <c r="AF3659" t="s">
        <v>267</v>
      </c>
      <c r="AG3659">
        <v>6</v>
      </c>
      <c r="AH3659">
        <v>20</v>
      </c>
      <c r="AI3659">
        <v>16</v>
      </c>
      <c r="AJ3659">
        <v>0.55556000000000005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10</v>
      </c>
      <c r="AQ3659">
        <v>0</v>
      </c>
      <c r="AR3659">
        <v>10</v>
      </c>
      <c r="AS3659">
        <v>16</v>
      </c>
      <c r="AT3659">
        <v>0.38462000000000002</v>
      </c>
      <c r="AU3659">
        <v>13</v>
      </c>
      <c r="AV3659">
        <v>10</v>
      </c>
      <c r="AW3659">
        <v>19</v>
      </c>
      <c r="AX3659">
        <v>22</v>
      </c>
      <c r="AY3659">
        <v>12</v>
      </c>
      <c r="AZ3659">
        <v>14</v>
      </c>
      <c r="BA3659" t="s">
        <v>22739</v>
      </c>
      <c r="BB3659" t="s">
        <v>22740</v>
      </c>
      <c r="BC3659">
        <v>8.0000000000000002E-3</v>
      </c>
      <c r="BD3659" t="s">
        <v>65</v>
      </c>
      <c r="BE3659">
        <v>31</v>
      </c>
      <c r="BF3659">
        <v>36</v>
      </c>
      <c r="BG3659" t="s">
        <v>22741</v>
      </c>
      <c r="BH3659" t="s">
        <v>22742</v>
      </c>
      <c r="BI3659" t="s">
        <v>22743</v>
      </c>
      <c r="BJ3659">
        <v>0.32346999999999998</v>
      </c>
      <c r="BK3659">
        <v>0.99</v>
      </c>
      <c r="BL3659" t="s">
        <v>69</v>
      </c>
      <c r="BM3659">
        <v>-0.47</v>
      </c>
      <c r="BN3659">
        <v>-0.73099999999999998</v>
      </c>
    </row>
    <row r="3660" spans="10:66">
      <c r="J3660">
        <v>0</v>
      </c>
      <c r="K3660">
        <v>11</v>
      </c>
      <c r="L3660">
        <v>1</v>
      </c>
      <c r="M3660" t="s">
        <v>25021</v>
      </c>
      <c r="N3660">
        <v>3878</v>
      </c>
      <c r="O3660" t="s">
        <v>22744</v>
      </c>
      <c r="P3660" t="s">
        <v>57</v>
      </c>
      <c r="Q3660">
        <v>3841017</v>
      </c>
      <c r="R3660">
        <v>3842294</v>
      </c>
      <c r="S3660" t="s">
        <v>22745</v>
      </c>
      <c r="T3660">
        <v>426</v>
      </c>
      <c r="U3660" t="s">
        <v>7661</v>
      </c>
      <c r="V3660">
        <v>43</v>
      </c>
      <c r="W3660" t="str">
        <f>HYPERLINK("Gene3878-zp_tree_all.dnd", "Gene3878-tree")</f>
        <v>Gene3878-tree</v>
      </c>
      <c r="X3660">
        <v>4</v>
      </c>
      <c r="Y3660">
        <v>12</v>
      </c>
      <c r="Z3660">
        <v>4</v>
      </c>
      <c r="AA3660">
        <v>12</v>
      </c>
      <c r="AB3660">
        <v>0.75</v>
      </c>
      <c r="AC3660" t="s">
        <v>61</v>
      </c>
      <c r="AD3660" t="s">
        <v>109</v>
      </c>
      <c r="AE3660" t="s">
        <v>62</v>
      </c>
      <c r="AF3660" t="s">
        <v>62</v>
      </c>
      <c r="AG3660">
        <v>5</v>
      </c>
      <c r="AH3660">
        <v>12</v>
      </c>
      <c r="AI3660">
        <v>24</v>
      </c>
      <c r="AJ3660">
        <v>0.33333000000000002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6</v>
      </c>
      <c r="AQ3660">
        <v>0</v>
      </c>
      <c r="AR3660">
        <v>6</v>
      </c>
      <c r="AS3660">
        <v>25</v>
      </c>
      <c r="AT3660">
        <v>0.19355</v>
      </c>
      <c r="AU3660">
        <v>12</v>
      </c>
      <c r="AV3660">
        <v>13</v>
      </c>
      <c r="AW3660">
        <v>20</v>
      </c>
      <c r="AX3660">
        <v>19</v>
      </c>
      <c r="AY3660">
        <v>26</v>
      </c>
      <c r="AZ3660">
        <v>18</v>
      </c>
      <c r="BA3660" t="s">
        <v>22746</v>
      </c>
      <c r="BB3660" t="s">
        <v>22747</v>
      </c>
      <c r="BC3660">
        <v>0.40699999999999997</v>
      </c>
      <c r="BD3660" t="s">
        <v>65</v>
      </c>
      <c r="BE3660">
        <v>46</v>
      </c>
      <c r="BF3660">
        <v>37</v>
      </c>
      <c r="BG3660" t="s">
        <v>22748</v>
      </c>
      <c r="BH3660" t="s">
        <v>22749</v>
      </c>
      <c r="BI3660" t="s">
        <v>22750</v>
      </c>
      <c r="BJ3660">
        <v>0.20077</v>
      </c>
      <c r="BK3660">
        <v>1</v>
      </c>
      <c r="BL3660" t="s">
        <v>69</v>
      </c>
      <c r="BM3660">
        <v>-0.93799999999999994</v>
      </c>
      <c r="BN3660">
        <v>-0.73199999999999998</v>
      </c>
    </row>
    <row r="3661" spans="10:66">
      <c r="J3661">
        <v>0</v>
      </c>
      <c r="K3661">
        <v>7</v>
      </c>
      <c r="L3661">
        <v>2</v>
      </c>
      <c r="M3661" t="s">
        <v>25021</v>
      </c>
      <c r="N3661">
        <v>3879</v>
      </c>
      <c r="O3661" t="s">
        <v>22751</v>
      </c>
      <c r="P3661" t="s">
        <v>57</v>
      </c>
      <c r="Q3661">
        <v>3842294</v>
      </c>
      <c r="R3661">
        <v>3842992</v>
      </c>
      <c r="S3661" t="s">
        <v>22752</v>
      </c>
      <c r="T3661">
        <v>233</v>
      </c>
      <c r="U3661" t="s">
        <v>108</v>
      </c>
      <c r="V3661">
        <v>44</v>
      </c>
      <c r="W3661" t="str">
        <f>HYPERLINK("Gene3879-zp_tree_all.dnd", "Gene3879-tree")</f>
        <v>Gene3879-tree</v>
      </c>
      <c r="X3661">
        <v>3</v>
      </c>
      <c r="Y3661">
        <v>10</v>
      </c>
      <c r="Z3661">
        <v>3</v>
      </c>
      <c r="AA3661">
        <v>10</v>
      </c>
      <c r="AB3661">
        <v>0.76922999999999997</v>
      </c>
      <c r="AC3661" t="s">
        <v>324</v>
      </c>
      <c r="AD3661" t="s">
        <v>117</v>
      </c>
      <c r="AE3661" t="s">
        <v>62</v>
      </c>
      <c r="AF3661" t="s">
        <v>62</v>
      </c>
      <c r="AG3661">
        <v>4</v>
      </c>
      <c r="AH3661">
        <v>9</v>
      </c>
      <c r="AI3661">
        <v>15</v>
      </c>
      <c r="AJ3661">
        <v>0.375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3</v>
      </c>
      <c r="AQ3661">
        <v>2</v>
      </c>
      <c r="AR3661">
        <v>5</v>
      </c>
      <c r="AS3661">
        <v>13</v>
      </c>
      <c r="AT3661">
        <v>0.27778000000000003</v>
      </c>
      <c r="AU3661">
        <v>12</v>
      </c>
      <c r="AV3661">
        <v>9</v>
      </c>
      <c r="AW3661">
        <v>24</v>
      </c>
      <c r="AX3661">
        <v>17</v>
      </c>
      <c r="AY3661">
        <v>10</v>
      </c>
      <c r="AZ3661">
        <v>7</v>
      </c>
      <c r="BA3661" t="s">
        <v>22753</v>
      </c>
      <c r="BB3661" t="s">
        <v>22754</v>
      </c>
      <c r="BC3661">
        <v>1.4999999999999999E-2</v>
      </c>
      <c r="BD3661" t="s">
        <v>65</v>
      </c>
      <c r="BE3661">
        <v>34</v>
      </c>
      <c r="BF3661">
        <v>24</v>
      </c>
      <c r="BG3661" t="s">
        <v>22755</v>
      </c>
      <c r="BH3661" t="s">
        <v>22756</v>
      </c>
      <c r="BI3661" t="s">
        <v>22757</v>
      </c>
      <c r="BJ3661">
        <v>0.21451999999999999</v>
      </c>
      <c r="BK3661">
        <v>1</v>
      </c>
      <c r="BL3661" t="s">
        <v>69</v>
      </c>
      <c r="BM3661">
        <v>-0.16400000000000001</v>
      </c>
      <c r="BN3661">
        <v>0.126</v>
      </c>
    </row>
    <row r="3662" spans="10:66">
      <c r="J3662">
        <v>0</v>
      </c>
      <c r="K3662">
        <v>5</v>
      </c>
      <c r="L3662">
        <v>0</v>
      </c>
      <c r="M3662" t="s">
        <v>25021</v>
      </c>
      <c r="N3662">
        <v>3882</v>
      </c>
      <c r="O3662" t="s">
        <v>22771</v>
      </c>
      <c r="P3662" t="s">
        <v>57</v>
      </c>
      <c r="Q3662">
        <v>3846001</v>
      </c>
      <c r="R3662">
        <v>3847143</v>
      </c>
      <c r="S3662" t="s">
        <v>22772</v>
      </c>
      <c r="T3662">
        <v>381</v>
      </c>
      <c r="U3662" t="s">
        <v>22773</v>
      </c>
      <c r="V3662">
        <v>44</v>
      </c>
      <c r="W3662" t="str">
        <f>HYPERLINK("Gene3882-zp_tree_all.dnd", "Gene3882-tree")</f>
        <v>Gene3882-tree</v>
      </c>
      <c r="X3662">
        <v>4</v>
      </c>
      <c r="Y3662">
        <v>30</v>
      </c>
      <c r="Z3662">
        <v>4</v>
      </c>
      <c r="AA3662">
        <v>11</v>
      </c>
      <c r="AB3662">
        <v>0.73333000000000004</v>
      </c>
      <c r="AC3662" t="s">
        <v>61</v>
      </c>
      <c r="AD3662" t="s">
        <v>89</v>
      </c>
      <c r="AE3662">
        <v>1.8859999999999999</v>
      </c>
      <c r="AF3662" t="s">
        <v>65</v>
      </c>
      <c r="AG3662">
        <v>2</v>
      </c>
      <c r="AH3662">
        <v>5</v>
      </c>
      <c r="AI3662">
        <v>21</v>
      </c>
      <c r="AJ3662">
        <v>0.19231000000000001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2</v>
      </c>
      <c r="AQ3662">
        <v>0</v>
      </c>
      <c r="AR3662">
        <v>2</v>
      </c>
      <c r="AS3662">
        <v>11</v>
      </c>
      <c r="AT3662">
        <v>0.15384999999999999</v>
      </c>
      <c r="AU3662">
        <v>13</v>
      </c>
      <c r="AV3662">
        <v>9</v>
      </c>
      <c r="AW3662">
        <v>16</v>
      </c>
      <c r="AX3662">
        <v>12</v>
      </c>
      <c r="AY3662">
        <v>45</v>
      </c>
      <c r="AZ3662">
        <v>14</v>
      </c>
      <c r="BA3662" t="s">
        <v>22774</v>
      </c>
      <c r="BB3662" t="s">
        <v>22775</v>
      </c>
      <c r="BC3662">
        <v>0.73499999999999999</v>
      </c>
      <c r="BD3662" t="s">
        <v>65</v>
      </c>
      <c r="BE3662">
        <v>61</v>
      </c>
      <c r="BF3662">
        <v>26</v>
      </c>
      <c r="BG3662" t="s">
        <v>22776</v>
      </c>
      <c r="BH3662" t="s">
        <v>22777</v>
      </c>
      <c r="BI3662" t="s">
        <v>21192</v>
      </c>
      <c r="BJ3662">
        <v>9.9070000000000005E-2</v>
      </c>
      <c r="BK3662">
        <v>1</v>
      </c>
      <c r="BL3662" t="s">
        <v>69</v>
      </c>
      <c r="BM3662">
        <v>-1.4239999999999999</v>
      </c>
      <c r="BN3662">
        <v>0.77700000000000002</v>
      </c>
    </row>
    <row r="3663" spans="10:66">
      <c r="J3663">
        <v>0</v>
      </c>
      <c r="K3663">
        <v>8</v>
      </c>
      <c r="L3663">
        <v>1</v>
      </c>
      <c r="M3663" t="s">
        <v>25021</v>
      </c>
      <c r="N3663">
        <v>3887</v>
      </c>
      <c r="O3663" t="s">
        <v>22790</v>
      </c>
      <c r="P3663" t="s">
        <v>57</v>
      </c>
      <c r="Q3663">
        <v>3849818</v>
      </c>
      <c r="R3663">
        <v>3851890</v>
      </c>
      <c r="S3663" t="s">
        <v>22791</v>
      </c>
      <c r="T3663">
        <v>691</v>
      </c>
      <c r="U3663" t="s">
        <v>108</v>
      </c>
      <c r="V3663">
        <v>44</v>
      </c>
      <c r="W3663" t="str">
        <f>HYPERLINK("Gene3887-zp_tree_all.dnd", "Gene3887-tree")</f>
        <v>Gene3887-tree</v>
      </c>
      <c r="X3663">
        <v>5</v>
      </c>
      <c r="Y3663">
        <v>30</v>
      </c>
      <c r="Z3663">
        <v>5</v>
      </c>
      <c r="AA3663">
        <v>11</v>
      </c>
      <c r="AB3663">
        <v>0.6875</v>
      </c>
      <c r="AC3663" t="s">
        <v>199</v>
      </c>
      <c r="AD3663" t="s">
        <v>89</v>
      </c>
      <c r="AE3663">
        <v>2.3439999999999999</v>
      </c>
      <c r="AF3663" t="s">
        <v>65</v>
      </c>
      <c r="AG3663">
        <v>3</v>
      </c>
      <c r="AH3663">
        <v>9</v>
      </c>
      <c r="AI3663">
        <v>17</v>
      </c>
      <c r="AJ3663">
        <v>0.34615000000000001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5</v>
      </c>
      <c r="AQ3663">
        <v>0</v>
      </c>
      <c r="AR3663">
        <v>5</v>
      </c>
      <c r="AS3663">
        <v>15</v>
      </c>
      <c r="AT3663">
        <v>0.25</v>
      </c>
      <c r="AU3663">
        <v>16</v>
      </c>
      <c r="AV3663">
        <v>12</v>
      </c>
      <c r="AW3663">
        <v>115</v>
      </c>
      <c r="AX3663">
        <v>20</v>
      </c>
      <c r="AY3663">
        <v>54</v>
      </c>
      <c r="AZ3663">
        <v>6</v>
      </c>
      <c r="BA3663" t="s">
        <v>22792</v>
      </c>
      <c r="BB3663" t="s">
        <v>22793</v>
      </c>
      <c r="BC3663">
        <v>0.67500000000000004</v>
      </c>
      <c r="BD3663" t="s">
        <v>65</v>
      </c>
      <c r="BE3663">
        <v>169</v>
      </c>
      <c r="BF3663">
        <v>26</v>
      </c>
      <c r="BG3663" t="s">
        <v>22794</v>
      </c>
      <c r="BH3663" t="s">
        <v>22795</v>
      </c>
      <c r="BI3663" t="s">
        <v>1868</v>
      </c>
      <c r="BJ3663">
        <v>4.267E-2</v>
      </c>
      <c r="BK3663">
        <v>1</v>
      </c>
      <c r="BL3663" t="s">
        <v>69</v>
      </c>
      <c r="BM3663">
        <v>-1.0229999999999999</v>
      </c>
      <c r="BN3663">
        <v>-1.2110000000000001</v>
      </c>
    </row>
    <row r="3664" spans="10:66">
      <c r="J3664">
        <v>0</v>
      </c>
      <c r="K3664">
        <v>0</v>
      </c>
      <c r="L3664">
        <v>0</v>
      </c>
      <c r="M3664" t="s">
        <v>25021</v>
      </c>
      <c r="N3664">
        <v>3890</v>
      </c>
      <c r="O3664" t="s">
        <v>22809</v>
      </c>
      <c r="P3664" t="s">
        <v>57</v>
      </c>
      <c r="Q3664">
        <v>3853486</v>
      </c>
      <c r="R3664">
        <v>3853671</v>
      </c>
      <c r="S3664" t="s">
        <v>22810</v>
      </c>
      <c r="T3664">
        <v>62</v>
      </c>
      <c r="U3664" t="s">
        <v>59</v>
      </c>
      <c r="V3664">
        <v>49</v>
      </c>
      <c r="W3664" t="str">
        <f>HYPERLINK("Gene3890-zp_tree_all.dnd", "Gene3890-tree")</f>
        <v>Gene3890-tree</v>
      </c>
      <c r="X3664">
        <v>4</v>
      </c>
      <c r="Y3664">
        <v>1</v>
      </c>
      <c r="Z3664">
        <v>4</v>
      </c>
      <c r="AA3664">
        <v>1</v>
      </c>
      <c r="AB3664">
        <v>0.2</v>
      </c>
      <c r="AC3664" t="s">
        <v>61</v>
      </c>
      <c r="AD3664" t="s">
        <v>175</v>
      </c>
      <c r="AE3664" t="s">
        <v>62</v>
      </c>
      <c r="AF3664" t="s">
        <v>62</v>
      </c>
      <c r="AG3664">
        <v>0</v>
      </c>
      <c r="AH3664">
        <v>0</v>
      </c>
      <c r="AI3664">
        <v>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2</v>
      </c>
      <c r="AT3664">
        <v>0</v>
      </c>
      <c r="AU3664">
        <v>3</v>
      </c>
      <c r="AV3664">
        <v>1</v>
      </c>
      <c r="AW3664">
        <v>3</v>
      </c>
      <c r="AX3664">
        <v>2</v>
      </c>
      <c r="AY3664">
        <v>2</v>
      </c>
      <c r="AZ3664">
        <v>0</v>
      </c>
      <c r="BA3664" t="s">
        <v>22811</v>
      </c>
      <c r="BB3664" t="s">
        <v>193</v>
      </c>
      <c r="BC3664">
        <v>0.64800000000000002</v>
      </c>
      <c r="BD3664" t="s">
        <v>65</v>
      </c>
      <c r="BE3664">
        <v>5</v>
      </c>
      <c r="BF3664">
        <v>2</v>
      </c>
      <c r="BG3664" t="s">
        <v>22812</v>
      </c>
      <c r="BH3664" t="s">
        <v>22813</v>
      </c>
      <c r="BI3664" t="s">
        <v>22814</v>
      </c>
      <c r="BJ3664">
        <v>9.8180000000000003E-2</v>
      </c>
      <c r="BK3664">
        <v>1</v>
      </c>
      <c r="BL3664" t="s">
        <v>69</v>
      </c>
      <c r="BM3664">
        <v>-1.4510000000000001</v>
      </c>
      <c r="BN3664">
        <v>-1.393</v>
      </c>
    </row>
    <row r="3665" spans="10:66">
      <c r="J3665">
        <v>0</v>
      </c>
      <c r="K3665">
        <v>8</v>
      </c>
      <c r="L3665">
        <v>0</v>
      </c>
      <c r="M3665" t="s">
        <v>25021</v>
      </c>
      <c r="N3665">
        <v>3898</v>
      </c>
      <c r="O3665" t="s">
        <v>22853</v>
      </c>
      <c r="P3665" t="s">
        <v>57</v>
      </c>
      <c r="Q3665">
        <v>3861437</v>
      </c>
      <c r="R3665">
        <v>3862210</v>
      </c>
      <c r="S3665" t="s">
        <v>22854</v>
      </c>
      <c r="T3665">
        <v>258</v>
      </c>
      <c r="U3665" t="s">
        <v>108</v>
      </c>
      <c r="V3665">
        <v>44</v>
      </c>
      <c r="W3665" t="str">
        <f>HYPERLINK("Gene3898-zp_tree_all.dnd", "Gene3898-tree")</f>
        <v>Gene3898-tree</v>
      </c>
      <c r="X3665">
        <v>5</v>
      </c>
      <c r="Y3665">
        <v>9</v>
      </c>
      <c r="Z3665">
        <v>5</v>
      </c>
      <c r="AA3665">
        <v>9</v>
      </c>
      <c r="AB3665">
        <v>0.64285999999999999</v>
      </c>
      <c r="AC3665" t="s">
        <v>199</v>
      </c>
      <c r="AD3665" t="s">
        <v>135</v>
      </c>
      <c r="AE3665" t="s">
        <v>62</v>
      </c>
      <c r="AF3665" t="s">
        <v>62</v>
      </c>
      <c r="AG3665">
        <v>2</v>
      </c>
      <c r="AH3665">
        <v>8</v>
      </c>
      <c r="AI3665">
        <v>8</v>
      </c>
      <c r="AJ3665">
        <v>0.5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4</v>
      </c>
      <c r="AQ3665">
        <v>2</v>
      </c>
      <c r="AR3665">
        <v>6</v>
      </c>
      <c r="AS3665">
        <v>7</v>
      </c>
      <c r="AT3665">
        <v>0.46154000000000001</v>
      </c>
      <c r="AU3665">
        <v>14</v>
      </c>
      <c r="AV3665">
        <v>5</v>
      </c>
      <c r="AW3665">
        <v>22</v>
      </c>
      <c r="AX3665">
        <v>13</v>
      </c>
      <c r="AY3665">
        <v>6</v>
      </c>
      <c r="AZ3665">
        <v>3</v>
      </c>
      <c r="BA3665" t="s">
        <v>22855</v>
      </c>
      <c r="BB3665" t="s">
        <v>22856</v>
      </c>
      <c r="BC3665">
        <v>0.185</v>
      </c>
      <c r="BD3665" t="s">
        <v>65</v>
      </c>
      <c r="BE3665">
        <v>28</v>
      </c>
      <c r="BF3665">
        <v>16</v>
      </c>
      <c r="BG3665" t="s">
        <v>22857</v>
      </c>
      <c r="BH3665" t="s">
        <v>22858</v>
      </c>
      <c r="BI3665" t="s">
        <v>22859</v>
      </c>
      <c r="BJ3665">
        <v>0.10227</v>
      </c>
      <c r="BK3665">
        <v>1</v>
      </c>
      <c r="BL3665" t="s">
        <v>69</v>
      </c>
      <c r="BM3665">
        <v>-1.3480000000000001</v>
      </c>
      <c r="BN3665">
        <v>-2.419</v>
      </c>
    </row>
    <row r="3666" spans="10:66">
      <c r="J3666">
        <v>0</v>
      </c>
      <c r="K3666">
        <v>4</v>
      </c>
      <c r="L3666">
        <v>0</v>
      </c>
      <c r="M3666" t="s">
        <v>25021</v>
      </c>
      <c r="N3666">
        <v>3903</v>
      </c>
      <c r="O3666" t="s">
        <v>22887</v>
      </c>
      <c r="P3666" t="s">
        <v>57</v>
      </c>
      <c r="Q3666">
        <v>3866596</v>
      </c>
      <c r="R3666">
        <v>3867357</v>
      </c>
      <c r="S3666" t="s">
        <v>22888</v>
      </c>
      <c r="T3666">
        <v>254</v>
      </c>
      <c r="U3666" t="s">
        <v>108</v>
      </c>
      <c r="V3666">
        <v>44</v>
      </c>
      <c r="W3666" t="str">
        <f>HYPERLINK("Gene3903-zp_tree_all.dnd", "Gene3903-tree")</f>
        <v>Gene3903-tree</v>
      </c>
      <c r="X3666">
        <v>10</v>
      </c>
      <c r="Y3666">
        <v>5</v>
      </c>
      <c r="Z3666">
        <v>10</v>
      </c>
      <c r="AA3666">
        <v>5</v>
      </c>
      <c r="AB3666">
        <v>0.33333000000000002</v>
      </c>
      <c r="AC3666" t="s">
        <v>117</v>
      </c>
      <c r="AD3666" t="s">
        <v>199</v>
      </c>
      <c r="AE3666" t="s">
        <v>62</v>
      </c>
      <c r="AF3666" t="s">
        <v>62</v>
      </c>
      <c r="AG3666">
        <v>1</v>
      </c>
      <c r="AH3666">
        <v>4</v>
      </c>
      <c r="AI3666">
        <v>3</v>
      </c>
      <c r="AJ3666">
        <v>0.57142999999999999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2</v>
      </c>
      <c r="AQ3666">
        <v>0</v>
      </c>
      <c r="AR3666">
        <v>2</v>
      </c>
      <c r="AS3666">
        <v>3</v>
      </c>
      <c r="AT3666">
        <v>0.4</v>
      </c>
      <c r="AU3666">
        <v>14</v>
      </c>
      <c r="AV3666">
        <v>12</v>
      </c>
      <c r="AW3666">
        <v>33</v>
      </c>
      <c r="AX3666">
        <v>5</v>
      </c>
      <c r="AY3666">
        <v>17</v>
      </c>
      <c r="AZ3666">
        <v>2</v>
      </c>
      <c r="BA3666" t="s">
        <v>22889</v>
      </c>
      <c r="BB3666" t="s">
        <v>22890</v>
      </c>
      <c r="BC3666">
        <v>0.16400000000000001</v>
      </c>
      <c r="BD3666" t="s">
        <v>65</v>
      </c>
      <c r="BE3666">
        <v>50</v>
      </c>
      <c r="BF3666">
        <v>7</v>
      </c>
      <c r="BG3666" t="s">
        <v>22891</v>
      </c>
      <c r="BH3666" t="s">
        <v>22892</v>
      </c>
      <c r="BI3666" t="s">
        <v>353</v>
      </c>
      <c r="BJ3666">
        <v>3.2320000000000002E-2</v>
      </c>
      <c r="BK3666">
        <v>1</v>
      </c>
      <c r="BL3666" t="s">
        <v>69</v>
      </c>
      <c r="BM3666">
        <v>-6.5000000000000002E-2</v>
      </c>
      <c r="BN3666">
        <v>-0.76500000000000001</v>
      </c>
    </row>
    <row r="3667" spans="10:66">
      <c r="J3667">
        <v>0</v>
      </c>
      <c r="K3667">
        <v>9</v>
      </c>
      <c r="L3667">
        <v>4</v>
      </c>
      <c r="M3667" t="s">
        <v>25021</v>
      </c>
      <c r="N3667">
        <v>3904</v>
      </c>
      <c r="O3667" t="s">
        <v>22893</v>
      </c>
      <c r="P3667" t="s">
        <v>57</v>
      </c>
      <c r="Q3667">
        <v>3867493</v>
      </c>
      <c r="R3667">
        <v>3868269</v>
      </c>
      <c r="S3667" t="s">
        <v>22894</v>
      </c>
      <c r="T3667">
        <v>259</v>
      </c>
      <c r="U3667" t="s">
        <v>289</v>
      </c>
      <c r="V3667">
        <v>46</v>
      </c>
      <c r="W3667" t="str">
        <f>HYPERLINK("Gene3904-zp_tree_all.dnd", "Gene3904-tree")</f>
        <v>Gene3904-tree</v>
      </c>
      <c r="X3667">
        <v>7</v>
      </c>
      <c r="Y3667">
        <v>10</v>
      </c>
      <c r="Z3667">
        <v>7</v>
      </c>
      <c r="AA3667">
        <v>10</v>
      </c>
      <c r="AB3667">
        <v>0.58823999999999999</v>
      </c>
      <c r="AC3667" t="s">
        <v>152</v>
      </c>
      <c r="AD3667" t="s">
        <v>117</v>
      </c>
      <c r="AE3667" t="s">
        <v>62</v>
      </c>
      <c r="AF3667" t="s">
        <v>62</v>
      </c>
      <c r="AG3667">
        <v>5</v>
      </c>
      <c r="AH3667">
        <v>13</v>
      </c>
      <c r="AI3667">
        <v>14</v>
      </c>
      <c r="AJ3667">
        <v>0.48148000000000002</v>
      </c>
      <c r="AK3667">
        <v>0</v>
      </c>
      <c r="AL3667">
        <v>0</v>
      </c>
      <c r="AM3667">
        <v>0</v>
      </c>
      <c r="AN3667">
        <v>1</v>
      </c>
      <c r="AO3667">
        <v>0</v>
      </c>
      <c r="AP3667">
        <v>4</v>
      </c>
      <c r="AQ3667">
        <v>2</v>
      </c>
      <c r="AR3667">
        <v>6</v>
      </c>
      <c r="AS3667">
        <v>9</v>
      </c>
      <c r="AT3667">
        <v>0.4</v>
      </c>
      <c r="AU3667">
        <v>15</v>
      </c>
      <c r="AV3667">
        <v>10</v>
      </c>
      <c r="AW3667">
        <v>40</v>
      </c>
      <c r="AX3667">
        <v>15</v>
      </c>
      <c r="AY3667">
        <v>29</v>
      </c>
      <c r="AZ3667">
        <v>12</v>
      </c>
      <c r="BA3667" t="s">
        <v>22895</v>
      </c>
      <c r="BB3667" t="s">
        <v>22896</v>
      </c>
      <c r="BC3667">
        <v>4.2000000000000003E-2</v>
      </c>
      <c r="BD3667" t="s">
        <v>65</v>
      </c>
      <c r="BE3667">
        <v>69</v>
      </c>
      <c r="BF3667">
        <v>27</v>
      </c>
      <c r="BG3667" t="s">
        <v>22897</v>
      </c>
      <c r="BH3667" t="s">
        <v>22898</v>
      </c>
      <c r="BI3667" t="s">
        <v>22899</v>
      </c>
      <c r="BJ3667">
        <v>0.11548</v>
      </c>
      <c r="BK3667">
        <v>1</v>
      </c>
      <c r="BL3667" t="s">
        <v>69</v>
      </c>
      <c r="BM3667">
        <v>-1.216</v>
      </c>
      <c r="BN3667">
        <v>-1.4830000000000001</v>
      </c>
    </row>
    <row r="3668" spans="10:66">
      <c r="J3668">
        <v>0</v>
      </c>
      <c r="K3668">
        <v>0</v>
      </c>
      <c r="L3668">
        <v>0</v>
      </c>
      <c r="M3668" t="s">
        <v>25021</v>
      </c>
      <c r="N3668">
        <v>3928</v>
      </c>
      <c r="O3668" t="s">
        <v>23051</v>
      </c>
      <c r="P3668" t="s">
        <v>57</v>
      </c>
      <c r="Q3668">
        <v>3893441</v>
      </c>
      <c r="R3668">
        <v>3893983</v>
      </c>
      <c r="S3668" t="s">
        <v>17007</v>
      </c>
      <c r="T3668">
        <v>181</v>
      </c>
      <c r="U3668" t="s">
        <v>1378</v>
      </c>
      <c r="V3668">
        <v>43</v>
      </c>
      <c r="W3668" t="str">
        <f>HYPERLINK("Gene3928-zp_tree_all.dnd", "Gene3928-tree")</f>
        <v>Gene3928-tree</v>
      </c>
      <c r="X3668">
        <v>7</v>
      </c>
      <c r="Y3668">
        <v>24</v>
      </c>
      <c r="Z3668">
        <v>7</v>
      </c>
      <c r="AA3668">
        <v>4</v>
      </c>
      <c r="AB3668">
        <v>0.36364000000000002</v>
      </c>
      <c r="AC3668" t="s">
        <v>152</v>
      </c>
      <c r="AD3668" t="s">
        <v>1495</v>
      </c>
      <c r="AE3668">
        <v>5.5810000000000004</v>
      </c>
      <c r="AF3668" t="s">
        <v>65</v>
      </c>
      <c r="AG3668">
        <v>0</v>
      </c>
      <c r="AH3668">
        <v>0</v>
      </c>
      <c r="AI3668">
        <v>6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5</v>
      </c>
      <c r="AT3668">
        <v>0</v>
      </c>
      <c r="AU3668">
        <v>7</v>
      </c>
      <c r="AV3668">
        <v>3</v>
      </c>
      <c r="AW3668">
        <v>8</v>
      </c>
      <c r="AX3668">
        <v>4</v>
      </c>
      <c r="AY3668">
        <v>1</v>
      </c>
      <c r="AZ3668">
        <v>2</v>
      </c>
      <c r="BA3668" t="s">
        <v>23052</v>
      </c>
      <c r="BB3668" t="s">
        <v>23053</v>
      </c>
      <c r="BC3668">
        <v>0.51500000000000001</v>
      </c>
      <c r="BD3668" t="s">
        <v>65</v>
      </c>
      <c r="BE3668">
        <v>9</v>
      </c>
      <c r="BF3668">
        <v>6</v>
      </c>
      <c r="BG3668" t="s">
        <v>23054</v>
      </c>
      <c r="BH3668" t="s">
        <v>23055</v>
      </c>
      <c r="BI3668" t="s">
        <v>23056</v>
      </c>
      <c r="BJ3668">
        <v>0.2296</v>
      </c>
      <c r="BK3668">
        <v>0.97</v>
      </c>
      <c r="BL3668" t="s">
        <v>69</v>
      </c>
      <c r="BM3668">
        <v>-1.4139999999999999</v>
      </c>
      <c r="BN3668">
        <v>-1.08</v>
      </c>
    </row>
    <row r="3669" spans="10:66">
      <c r="J3669">
        <v>0</v>
      </c>
      <c r="K3669">
        <v>38</v>
      </c>
      <c r="L3669">
        <v>1</v>
      </c>
      <c r="M3669" t="s">
        <v>25021</v>
      </c>
      <c r="N3669">
        <v>3932</v>
      </c>
      <c r="O3669" t="s">
        <v>23074</v>
      </c>
      <c r="P3669" t="s">
        <v>57</v>
      </c>
      <c r="Q3669">
        <v>3896290</v>
      </c>
      <c r="R3669">
        <v>3897657</v>
      </c>
      <c r="S3669" t="s">
        <v>23075</v>
      </c>
      <c r="T3669">
        <v>456</v>
      </c>
      <c r="U3669" t="s">
        <v>108</v>
      </c>
      <c r="V3669">
        <v>44</v>
      </c>
      <c r="W3669" t="str">
        <f>HYPERLINK("Gene3932-zp_tree_all.dnd", "Gene3932-tree")</f>
        <v>Gene3932-tree</v>
      </c>
      <c r="X3669">
        <v>2</v>
      </c>
      <c r="Y3669">
        <v>16</v>
      </c>
      <c r="Z3669">
        <v>2</v>
      </c>
      <c r="AA3669">
        <v>16</v>
      </c>
      <c r="AB3669">
        <v>0.88888999999999996</v>
      </c>
      <c r="AC3669" t="s">
        <v>81</v>
      </c>
      <c r="AD3669" t="s">
        <v>60</v>
      </c>
      <c r="AE3669" t="s">
        <v>62</v>
      </c>
      <c r="AF3669" t="s">
        <v>62</v>
      </c>
      <c r="AG3669">
        <v>14</v>
      </c>
      <c r="AH3669">
        <v>39</v>
      </c>
      <c r="AI3669">
        <v>28</v>
      </c>
      <c r="AJ3669">
        <v>0.58209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21</v>
      </c>
      <c r="AQ3669">
        <v>1</v>
      </c>
      <c r="AR3669">
        <v>22</v>
      </c>
      <c r="AS3669">
        <v>30</v>
      </c>
      <c r="AT3669">
        <v>0.42308000000000001</v>
      </c>
      <c r="AU3669">
        <v>16</v>
      </c>
      <c r="AV3669">
        <v>15</v>
      </c>
      <c r="AW3669">
        <v>75</v>
      </c>
      <c r="AX3669">
        <v>52</v>
      </c>
      <c r="AY3669">
        <v>65</v>
      </c>
      <c r="AZ3669">
        <v>18</v>
      </c>
      <c r="BA3669" t="s">
        <v>23076</v>
      </c>
      <c r="BB3669" t="s">
        <v>23077</v>
      </c>
      <c r="BC3669">
        <v>1.242</v>
      </c>
      <c r="BD3669" t="s">
        <v>65</v>
      </c>
      <c r="BE3669">
        <v>140</v>
      </c>
      <c r="BF3669">
        <v>70</v>
      </c>
      <c r="BG3669" t="s">
        <v>23078</v>
      </c>
      <c r="BH3669" t="s">
        <v>23079</v>
      </c>
      <c r="BI3669" t="s">
        <v>23080</v>
      </c>
      <c r="BJ3669">
        <v>0.13331000000000001</v>
      </c>
      <c r="BK3669">
        <v>1</v>
      </c>
      <c r="BL3669" t="s">
        <v>69</v>
      </c>
      <c r="BM3669">
        <v>-0.69299999999999995</v>
      </c>
      <c r="BN3669">
        <v>-1.302</v>
      </c>
    </row>
    <row r="3670" spans="10:66">
      <c r="J3670">
        <v>0</v>
      </c>
      <c r="K3670">
        <v>2</v>
      </c>
      <c r="L3670">
        <v>1</v>
      </c>
      <c r="M3670" t="s">
        <v>25021</v>
      </c>
      <c r="N3670">
        <v>3938</v>
      </c>
      <c r="O3670" t="s">
        <v>23113</v>
      </c>
      <c r="P3670" t="s">
        <v>57</v>
      </c>
      <c r="Q3670">
        <v>3900963</v>
      </c>
      <c r="R3670">
        <v>3901775</v>
      </c>
      <c r="S3670" t="s">
        <v>23114</v>
      </c>
      <c r="T3670">
        <v>271</v>
      </c>
      <c r="U3670" t="s">
        <v>572</v>
      </c>
      <c r="V3670">
        <v>48</v>
      </c>
      <c r="W3670" t="str">
        <f>HYPERLINK("Gene3938-zp_tree_all.dnd", "Gene3938-tree")</f>
        <v>Gene3938-tree</v>
      </c>
      <c r="X3670">
        <v>10</v>
      </c>
      <c r="Y3670">
        <v>7</v>
      </c>
      <c r="Z3670">
        <v>10</v>
      </c>
      <c r="AA3670">
        <v>7</v>
      </c>
      <c r="AB3670">
        <v>0.41176000000000001</v>
      </c>
      <c r="AC3670" t="s">
        <v>117</v>
      </c>
      <c r="AD3670" t="s">
        <v>152</v>
      </c>
      <c r="AE3670" t="s">
        <v>62</v>
      </c>
      <c r="AF3670" t="s">
        <v>62</v>
      </c>
      <c r="AG3670">
        <v>1</v>
      </c>
      <c r="AH3670">
        <v>3</v>
      </c>
      <c r="AI3670">
        <v>6</v>
      </c>
      <c r="AJ3670">
        <v>0.33333000000000002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4</v>
      </c>
      <c r="AQ3670">
        <v>0</v>
      </c>
      <c r="AR3670">
        <v>4</v>
      </c>
      <c r="AS3670">
        <v>3</v>
      </c>
      <c r="AT3670">
        <v>0.57142999999999999</v>
      </c>
      <c r="AU3670">
        <v>16</v>
      </c>
      <c r="AV3670">
        <v>10</v>
      </c>
      <c r="AW3670">
        <v>49</v>
      </c>
      <c r="AX3670">
        <v>7</v>
      </c>
      <c r="AY3670">
        <v>45</v>
      </c>
      <c r="AZ3670">
        <v>2</v>
      </c>
      <c r="BA3670" t="s">
        <v>23115</v>
      </c>
      <c r="BB3670" t="s">
        <v>23116</v>
      </c>
      <c r="BC3670">
        <v>0.68</v>
      </c>
      <c r="BD3670" t="s">
        <v>65</v>
      </c>
      <c r="BE3670">
        <v>94</v>
      </c>
      <c r="BF3670">
        <v>9</v>
      </c>
      <c r="BG3670" t="s">
        <v>23117</v>
      </c>
      <c r="BH3670" t="s">
        <v>23118</v>
      </c>
      <c r="BI3670" t="s">
        <v>23119</v>
      </c>
      <c r="BJ3670">
        <v>2.1440000000000001E-2</v>
      </c>
      <c r="BK3670">
        <v>1</v>
      </c>
      <c r="BL3670" t="s">
        <v>69</v>
      </c>
      <c r="BM3670">
        <v>-1.54</v>
      </c>
      <c r="BN3670">
        <v>-2.2360000000000002</v>
      </c>
    </row>
    <row r="3671" spans="10:66">
      <c r="J3671">
        <v>0</v>
      </c>
      <c r="K3671">
        <v>7</v>
      </c>
      <c r="L3671">
        <v>2</v>
      </c>
      <c r="M3671" t="s">
        <v>25021</v>
      </c>
      <c r="N3671">
        <v>3942</v>
      </c>
      <c r="O3671" t="s">
        <v>23141</v>
      </c>
      <c r="P3671" t="s">
        <v>57</v>
      </c>
      <c r="Q3671">
        <v>3905333</v>
      </c>
      <c r="R3671">
        <v>3906100</v>
      </c>
      <c r="S3671" t="s">
        <v>23142</v>
      </c>
      <c r="T3671">
        <v>256</v>
      </c>
      <c r="U3671" t="s">
        <v>23143</v>
      </c>
      <c r="V3671">
        <v>35</v>
      </c>
      <c r="W3671" t="str">
        <f>HYPERLINK("Gene3942-zp_tree_all.dnd", "Gene3942-tree")</f>
        <v>Gene3942-tree</v>
      </c>
      <c r="X3671">
        <v>21</v>
      </c>
      <c r="Y3671">
        <v>5</v>
      </c>
      <c r="Z3671">
        <v>8</v>
      </c>
      <c r="AA3671">
        <v>5</v>
      </c>
      <c r="AB3671">
        <v>0.38462000000000002</v>
      </c>
      <c r="AC3671" t="s">
        <v>23144</v>
      </c>
      <c r="AD3671" t="s">
        <v>199</v>
      </c>
      <c r="AE3671" t="s">
        <v>62</v>
      </c>
      <c r="AF3671" t="s">
        <v>62</v>
      </c>
      <c r="AG3671">
        <v>4</v>
      </c>
      <c r="AH3671">
        <v>9</v>
      </c>
      <c r="AI3671">
        <v>5</v>
      </c>
      <c r="AJ3671">
        <v>0.64285999999999999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9</v>
      </c>
      <c r="AT3671">
        <v>0</v>
      </c>
      <c r="AU3671">
        <v>9</v>
      </c>
      <c r="AV3671">
        <v>6</v>
      </c>
      <c r="AW3671">
        <v>31</v>
      </c>
      <c r="AX3671">
        <v>9</v>
      </c>
      <c r="AY3671">
        <v>5</v>
      </c>
      <c r="AZ3671">
        <v>5</v>
      </c>
      <c r="BA3671" t="s">
        <v>23145</v>
      </c>
      <c r="BB3671" t="s">
        <v>23146</v>
      </c>
      <c r="BC3671">
        <v>0.92700000000000005</v>
      </c>
      <c r="BD3671" t="s">
        <v>65</v>
      </c>
      <c r="BE3671">
        <v>36</v>
      </c>
      <c r="BF3671">
        <v>14</v>
      </c>
      <c r="BG3671" t="s">
        <v>23147</v>
      </c>
      <c r="BH3671" t="s">
        <v>23148</v>
      </c>
      <c r="BI3671" t="s">
        <v>23149</v>
      </c>
      <c r="BJ3671">
        <v>0.14116000000000001</v>
      </c>
      <c r="BK3671">
        <v>1</v>
      </c>
      <c r="BL3671" t="s">
        <v>69</v>
      </c>
      <c r="BM3671">
        <v>-1.08</v>
      </c>
      <c r="BN3671">
        <v>-2.6070000000000002</v>
      </c>
    </row>
    <row r="3672" spans="10:66">
      <c r="J3672">
        <v>0</v>
      </c>
      <c r="K3672">
        <v>20</v>
      </c>
      <c r="L3672">
        <v>3</v>
      </c>
      <c r="M3672" t="s">
        <v>25021</v>
      </c>
      <c r="N3672">
        <v>3945</v>
      </c>
      <c r="O3672" t="s">
        <v>23164</v>
      </c>
      <c r="P3672" t="s">
        <v>57</v>
      </c>
      <c r="Q3672">
        <v>3907844</v>
      </c>
      <c r="R3672">
        <v>3910261</v>
      </c>
      <c r="S3672" t="s">
        <v>23165</v>
      </c>
      <c r="T3672">
        <v>806</v>
      </c>
      <c r="U3672" t="s">
        <v>108</v>
      </c>
      <c r="V3672">
        <v>44</v>
      </c>
      <c r="W3672" t="str">
        <f>HYPERLINK("Gene3945-zp_tree_all.dnd", "Gene3945-tree")</f>
        <v>Gene3945-tree</v>
      </c>
      <c r="X3672">
        <v>23</v>
      </c>
      <c r="Y3672">
        <v>13</v>
      </c>
      <c r="Z3672">
        <v>5</v>
      </c>
      <c r="AA3672">
        <v>13</v>
      </c>
      <c r="AB3672">
        <v>0.72221999999999997</v>
      </c>
      <c r="AC3672" t="s">
        <v>1652</v>
      </c>
      <c r="AD3672" t="s">
        <v>507</v>
      </c>
      <c r="AE3672" t="s">
        <v>62</v>
      </c>
      <c r="AF3672" t="s">
        <v>62</v>
      </c>
      <c r="AG3672">
        <v>8</v>
      </c>
      <c r="AH3672">
        <v>23</v>
      </c>
      <c r="AI3672">
        <v>17</v>
      </c>
      <c r="AJ3672">
        <v>0.57499999999999996</v>
      </c>
      <c r="AK3672">
        <v>0</v>
      </c>
      <c r="AL3672">
        <v>0</v>
      </c>
      <c r="AM3672">
        <v>0</v>
      </c>
      <c r="AN3672">
        <v>3</v>
      </c>
      <c r="AO3672">
        <v>0</v>
      </c>
      <c r="AP3672">
        <v>5</v>
      </c>
      <c r="AQ3672">
        <v>6</v>
      </c>
      <c r="AR3672">
        <v>11</v>
      </c>
      <c r="AS3672">
        <v>15</v>
      </c>
      <c r="AT3672">
        <v>0.42308000000000001</v>
      </c>
      <c r="AU3672">
        <v>14</v>
      </c>
      <c r="AV3672">
        <v>15</v>
      </c>
      <c r="AW3672">
        <v>72</v>
      </c>
      <c r="AX3672">
        <v>24</v>
      </c>
      <c r="AY3672">
        <v>66</v>
      </c>
      <c r="AZ3672">
        <v>16</v>
      </c>
      <c r="BA3672" t="s">
        <v>23166</v>
      </c>
      <c r="BB3672" t="s">
        <v>23167</v>
      </c>
      <c r="BC3672">
        <v>0.77400000000000002</v>
      </c>
      <c r="BD3672" t="s">
        <v>65</v>
      </c>
      <c r="BE3672">
        <v>138</v>
      </c>
      <c r="BF3672">
        <v>40</v>
      </c>
      <c r="BG3672" t="s">
        <v>23168</v>
      </c>
      <c r="BH3672" t="s">
        <v>23169</v>
      </c>
      <c r="BI3672" t="s">
        <v>23170</v>
      </c>
      <c r="BJ3672">
        <v>9.0939999999999993E-2</v>
      </c>
      <c r="BK3672">
        <v>1</v>
      </c>
      <c r="BL3672" t="s">
        <v>69</v>
      </c>
      <c r="BM3672">
        <v>-0.18</v>
      </c>
      <c r="BN3672">
        <v>-0.80200000000000005</v>
      </c>
    </row>
    <row r="3673" spans="10:66">
      <c r="J3673">
        <v>0</v>
      </c>
      <c r="K3673">
        <v>0</v>
      </c>
      <c r="L3673">
        <v>0</v>
      </c>
      <c r="M3673" t="s">
        <v>25021</v>
      </c>
      <c r="N3673">
        <v>3949</v>
      </c>
      <c r="O3673" t="s">
        <v>23192</v>
      </c>
      <c r="P3673" t="s">
        <v>57</v>
      </c>
      <c r="Q3673">
        <v>3914009</v>
      </c>
      <c r="R3673">
        <v>3914269</v>
      </c>
      <c r="S3673" t="s">
        <v>23193</v>
      </c>
      <c r="T3673">
        <v>87</v>
      </c>
      <c r="U3673" t="s">
        <v>59</v>
      </c>
      <c r="V3673">
        <v>49</v>
      </c>
      <c r="W3673" t="str">
        <f>HYPERLINK("Gene3949-zp_tree_all.dnd", "Gene3949-tree")</f>
        <v>Gene3949-tree</v>
      </c>
      <c r="X3673">
        <v>13</v>
      </c>
      <c r="Y3673">
        <v>0</v>
      </c>
      <c r="Z3673">
        <v>13</v>
      </c>
      <c r="AA3673">
        <v>0</v>
      </c>
      <c r="AB3673">
        <v>0</v>
      </c>
      <c r="AC3673" t="s">
        <v>507</v>
      </c>
      <c r="AD3673" t="s">
        <v>62</v>
      </c>
      <c r="AE3673" t="s">
        <v>62</v>
      </c>
      <c r="AF3673" t="s">
        <v>62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8</v>
      </c>
      <c r="AV3673">
        <v>7</v>
      </c>
      <c r="AW3673">
        <v>14</v>
      </c>
      <c r="AX3673">
        <v>0</v>
      </c>
      <c r="AY3673">
        <v>10</v>
      </c>
      <c r="AZ3673">
        <v>0</v>
      </c>
      <c r="BA3673" t="s">
        <v>193</v>
      </c>
      <c r="BB3673" t="s">
        <v>193</v>
      </c>
      <c r="BC3673">
        <v>0</v>
      </c>
      <c r="BD3673" t="s">
        <v>65</v>
      </c>
      <c r="BE3673">
        <v>24</v>
      </c>
      <c r="BF3673">
        <v>0</v>
      </c>
      <c r="BG3673" t="s">
        <v>23194</v>
      </c>
      <c r="BH3673" t="s">
        <v>23195</v>
      </c>
      <c r="BI3673" t="s">
        <v>193</v>
      </c>
      <c r="BJ3673">
        <v>0</v>
      </c>
      <c r="BK3673">
        <v>1</v>
      </c>
      <c r="BL3673" t="s">
        <v>69</v>
      </c>
      <c r="BM3673">
        <v>-1.2150000000000001</v>
      </c>
      <c r="BN3673">
        <v>-2.3450000000000002</v>
      </c>
    </row>
    <row r="3674" spans="10:66">
      <c r="J3674">
        <v>0</v>
      </c>
      <c r="K3674">
        <v>0</v>
      </c>
      <c r="L3674">
        <v>0</v>
      </c>
      <c r="M3674" t="s">
        <v>25021</v>
      </c>
      <c r="N3674">
        <v>3954</v>
      </c>
      <c r="O3674" t="s">
        <v>23225</v>
      </c>
      <c r="P3674" t="s">
        <v>57</v>
      </c>
      <c r="Q3674">
        <v>3918777</v>
      </c>
      <c r="R3674">
        <v>3919019</v>
      </c>
      <c r="S3674" t="s">
        <v>116</v>
      </c>
      <c r="T3674">
        <v>81</v>
      </c>
      <c r="U3674" t="s">
        <v>289</v>
      </c>
      <c r="V3674">
        <v>46</v>
      </c>
      <c r="W3674" t="str">
        <f>HYPERLINK("Gene3954-zp_tree_all.dnd", "Gene3954-tree")</f>
        <v>Gene3954-tree</v>
      </c>
      <c r="X3674">
        <v>36</v>
      </c>
      <c r="Y3674">
        <v>2</v>
      </c>
      <c r="Z3674">
        <v>7</v>
      </c>
      <c r="AA3674">
        <v>2</v>
      </c>
      <c r="AB3674">
        <v>0.22222</v>
      </c>
      <c r="AC3674" t="s">
        <v>23226</v>
      </c>
      <c r="AD3674" t="s">
        <v>81</v>
      </c>
      <c r="AE3674" t="s">
        <v>62</v>
      </c>
      <c r="AF3674" t="s">
        <v>62</v>
      </c>
      <c r="AG3674">
        <v>0</v>
      </c>
      <c r="AH3674">
        <v>0</v>
      </c>
      <c r="AI3674">
        <v>4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4</v>
      </c>
      <c r="AT3674">
        <v>0</v>
      </c>
      <c r="AU3674">
        <v>6</v>
      </c>
      <c r="AV3674">
        <v>3</v>
      </c>
      <c r="AW3674">
        <v>15</v>
      </c>
      <c r="AX3674">
        <v>4</v>
      </c>
      <c r="AY3674">
        <v>3</v>
      </c>
      <c r="AZ3674">
        <v>0</v>
      </c>
      <c r="BA3674" t="s">
        <v>23227</v>
      </c>
      <c r="BB3674" t="s">
        <v>193</v>
      </c>
      <c r="BC3674">
        <v>0.63500000000000001</v>
      </c>
      <c r="BD3674" t="s">
        <v>65</v>
      </c>
      <c r="BE3674">
        <v>18</v>
      </c>
      <c r="BF3674">
        <v>4</v>
      </c>
      <c r="BG3674" t="s">
        <v>23228</v>
      </c>
      <c r="BH3674" t="s">
        <v>23229</v>
      </c>
      <c r="BI3674" t="s">
        <v>23230</v>
      </c>
      <c r="BJ3674">
        <v>6.7650000000000002E-2</v>
      </c>
      <c r="BK3674">
        <v>1</v>
      </c>
      <c r="BL3674" t="s">
        <v>69</v>
      </c>
      <c r="BM3674">
        <v>-1.913</v>
      </c>
      <c r="BN3674">
        <v>-0.38700000000000001</v>
      </c>
    </row>
    <row r="3675" spans="10:66">
      <c r="J3675">
        <v>0</v>
      </c>
      <c r="K3675">
        <v>0</v>
      </c>
      <c r="L3675">
        <v>0</v>
      </c>
      <c r="M3675" t="s">
        <v>25021</v>
      </c>
      <c r="N3675">
        <v>3959</v>
      </c>
      <c r="O3675" t="s">
        <v>23259</v>
      </c>
      <c r="P3675" t="s">
        <v>57</v>
      </c>
      <c r="Q3675">
        <v>3923319</v>
      </c>
      <c r="R3675">
        <v>3923474</v>
      </c>
      <c r="S3675" t="s">
        <v>23260</v>
      </c>
      <c r="T3675">
        <v>52</v>
      </c>
      <c r="U3675" t="s">
        <v>108</v>
      </c>
      <c r="V3675">
        <v>44</v>
      </c>
      <c r="W3675" t="str">
        <f>HYPERLINK("Gene3959-zp_tree_all.dnd", "Gene3959-tree")</f>
        <v>Gene3959-tree</v>
      </c>
      <c r="X3675">
        <v>24</v>
      </c>
      <c r="Y3675">
        <v>0</v>
      </c>
      <c r="Z3675">
        <v>4</v>
      </c>
      <c r="AA3675">
        <v>0</v>
      </c>
      <c r="AB3675">
        <v>0</v>
      </c>
      <c r="AC3675" t="s">
        <v>1495</v>
      </c>
      <c r="AD3675" t="s">
        <v>62</v>
      </c>
      <c r="AE3675" t="s">
        <v>62</v>
      </c>
      <c r="AF3675" t="s">
        <v>62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2</v>
      </c>
      <c r="AV3675">
        <v>1</v>
      </c>
      <c r="AW3675">
        <v>2</v>
      </c>
      <c r="AX3675">
        <v>0</v>
      </c>
      <c r="AY3675">
        <v>0</v>
      </c>
      <c r="AZ3675">
        <v>1</v>
      </c>
      <c r="BA3675" t="s">
        <v>193</v>
      </c>
      <c r="BB3675" t="s">
        <v>193</v>
      </c>
      <c r="BC3675">
        <v>0</v>
      </c>
      <c r="BD3675" t="s">
        <v>65</v>
      </c>
      <c r="BE3675">
        <v>2</v>
      </c>
      <c r="BF3675">
        <v>1</v>
      </c>
      <c r="BG3675" t="s">
        <v>9467</v>
      </c>
      <c r="BH3675" t="s">
        <v>23261</v>
      </c>
      <c r="BI3675" t="s">
        <v>23262</v>
      </c>
      <c r="BJ3675">
        <v>0.15043000000000001</v>
      </c>
      <c r="BK3675">
        <v>0.90700000000000003</v>
      </c>
      <c r="BL3675" t="s">
        <v>635</v>
      </c>
      <c r="BM3675">
        <v>-0.13800000000000001</v>
      </c>
      <c r="BN3675">
        <v>-0.378</v>
      </c>
    </row>
    <row r="3676" spans="10:66">
      <c r="J3676">
        <v>0</v>
      </c>
      <c r="K3676">
        <v>0</v>
      </c>
      <c r="L3676">
        <v>3</v>
      </c>
      <c r="M3676" t="s">
        <v>25021</v>
      </c>
      <c r="N3676">
        <v>3960</v>
      </c>
      <c r="O3676" t="s">
        <v>23263</v>
      </c>
      <c r="P3676" t="s">
        <v>57</v>
      </c>
      <c r="Q3676">
        <v>3923920</v>
      </c>
      <c r="R3676">
        <v>3924225</v>
      </c>
      <c r="S3676" t="s">
        <v>23264</v>
      </c>
      <c r="T3676">
        <v>102</v>
      </c>
      <c r="U3676" t="s">
        <v>265</v>
      </c>
      <c r="V3676">
        <v>43</v>
      </c>
      <c r="W3676" t="str">
        <f>HYPERLINK("Gene3960-zp_tree_all.dnd", "Gene3960-tree")</f>
        <v>Gene3960-tree</v>
      </c>
      <c r="X3676">
        <v>5</v>
      </c>
      <c r="Y3676">
        <v>4</v>
      </c>
      <c r="Z3676">
        <v>5</v>
      </c>
      <c r="AA3676">
        <v>4</v>
      </c>
      <c r="AB3676">
        <v>0.44444</v>
      </c>
      <c r="AC3676" t="s">
        <v>199</v>
      </c>
      <c r="AD3676" t="s">
        <v>61</v>
      </c>
      <c r="AE3676" t="s">
        <v>62</v>
      </c>
      <c r="AF3676" t="s">
        <v>62</v>
      </c>
      <c r="AG3676">
        <v>1</v>
      </c>
      <c r="AH3676">
        <v>3</v>
      </c>
      <c r="AI3676">
        <v>2</v>
      </c>
      <c r="AJ3676">
        <v>0.6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2</v>
      </c>
      <c r="AR3676">
        <v>2</v>
      </c>
      <c r="AS3676">
        <v>2</v>
      </c>
      <c r="AT3676">
        <v>0.5</v>
      </c>
      <c r="AU3676">
        <v>6</v>
      </c>
      <c r="AV3676">
        <v>3</v>
      </c>
      <c r="AW3676">
        <v>4</v>
      </c>
      <c r="AX3676">
        <v>3</v>
      </c>
      <c r="AY3676">
        <v>2</v>
      </c>
      <c r="AZ3676">
        <v>2</v>
      </c>
      <c r="BA3676" t="s">
        <v>23265</v>
      </c>
      <c r="BB3676" t="s">
        <v>23266</v>
      </c>
      <c r="BC3676">
        <v>0.28199999999999997</v>
      </c>
      <c r="BD3676" t="s">
        <v>65</v>
      </c>
      <c r="BE3676">
        <v>6</v>
      </c>
      <c r="BF3676">
        <v>5</v>
      </c>
      <c r="BG3676" t="s">
        <v>23267</v>
      </c>
      <c r="BH3676" t="s">
        <v>23268</v>
      </c>
      <c r="BI3676" t="s">
        <v>23269</v>
      </c>
      <c r="BJ3676">
        <v>0.26516000000000001</v>
      </c>
      <c r="BK3676">
        <v>0.95799999999999996</v>
      </c>
      <c r="BL3676" t="s">
        <v>69</v>
      </c>
      <c r="BM3676">
        <v>-3.4000000000000002E-2</v>
      </c>
      <c r="BN3676">
        <v>-1.327</v>
      </c>
    </row>
    <row r="3677" spans="10:66">
      <c r="J3677">
        <v>0</v>
      </c>
      <c r="K3677">
        <v>2</v>
      </c>
      <c r="L3677">
        <v>0</v>
      </c>
      <c r="M3677" t="s">
        <v>25021</v>
      </c>
      <c r="N3677">
        <v>3961</v>
      </c>
      <c r="O3677" t="s">
        <v>23270</v>
      </c>
      <c r="P3677" t="s">
        <v>57</v>
      </c>
      <c r="Q3677">
        <v>3924225</v>
      </c>
      <c r="R3677">
        <v>3925763</v>
      </c>
      <c r="S3677" t="s">
        <v>23271</v>
      </c>
      <c r="T3677">
        <v>513</v>
      </c>
      <c r="U3677" t="s">
        <v>108</v>
      </c>
      <c r="V3677">
        <v>44</v>
      </c>
      <c r="W3677" t="str">
        <f>HYPERLINK("Gene3961-zp_tree_all.dnd", "Gene3961-tree")</f>
        <v>Gene3961-tree</v>
      </c>
      <c r="X3677">
        <v>23</v>
      </c>
      <c r="Y3677">
        <v>9</v>
      </c>
      <c r="Z3677">
        <v>7</v>
      </c>
      <c r="AA3677">
        <v>9</v>
      </c>
      <c r="AB3677">
        <v>0.5625</v>
      </c>
      <c r="AC3677" t="s">
        <v>8350</v>
      </c>
      <c r="AD3677" t="s">
        <v>135</v>
      </c>
      <c r="AE3677" t="s">
        <v>62</v>
      </c>
      <c r="AF3677" t="s">
        <v>62</v>
      </c>
      <c r="AG3677">
        <v>1</v>
      </c>
      <c r="AH3677">
        <v>2</v>
      </c>
      <c r="AI3677">
        <v>11</v>
      </c>
      <c r="AJ3677">
        <v>0.15384999999999999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12</v>
      </c>
      <c r="AT3677">
        <v>0</v>
      </c>
      <c r="AU3677">
        <v>13</v>
      </c>
      <c r="AV3677">
        <v>12</v>
      </c>
      <c r="AW3677">
        <v>49</v>
      </c>
      <c r="AX3677">
        <v>13</v>
      </c>
      <c r="AY3677">
        <v>44</v>
      </c>
      <c r="AZ3677">
        <v>1</v>
      </c>
      <c r="BA3677" t="s">
        <v>23272</v>
      </c>
      <c r="BB3677" t="s">
        <v>23273</v>
      </c>
      <c r="BC3677">
        <v>1.212</v>
      </c>
      <c r="BD3677" t="s">
        <v>65</v>
      </c>
      <c r="BE3677">
        <v>93</v>
      </c>
      <c r="BF3677">
        <v>14</v>
      </c>
      <c r="BG3677" t="s">
        <v>23274</v>
      </c>
      <c r="BH3677" t="s">
        <v>23275</v>
      </c>
      <c r="BI3677" t="s">
        <v>23276</v>
      </c>
      <c r="BJ3677">
        <v>3.6720000000000003E-2</v>
      </c>
      <c r="BK3677">
        <v>1</v>
      </c>
      <c r="BL3677" t="s">
        <v>69</v>
      </c>
      <c r="BM3677">
        <v>-1.008</v>
      </c>
      <c r="BN3677">
        <v>-2.161</v>
      </c>
    </row>
    <row r="3678" spans="10:66">
      <c r="J3678">
        <v>0</v>
      </c>
      <c r="K3678">
        <v>0</v>
      </c>
      <c r="L3678">
        <v>0</v>
      </c>
      <c r="M3678" t="s">
        <v>25021</v>
      </c>
      <c r="N3678">
        <v>3969</v>
      </c>
      <c r="O3678" t="s">
        <v>23326</v>
      </c>
      <c r="P3678" t="s">
        <v>57</v>
      </c>
      <c r="Q3678">
        <v>3933209</v>
      </c>
      <c r="R3678">
        <v>3933592</v>
      </c>
      <c r="S3678" t="s">
        <v>23327</v>
      </c>
      <c r="T3678">
        <v>128</v>
      </c>
      <c r="U3678" t="s">
        <v>59</v>
      </c>
      <c r="V3678">
        <v>49</v>
      </c>
      <c r="W3678" t="str">
        <f>HYPERLINK("Gene3969-zp_tree_all.dnd", "Gene3969-tree")</f>
        <v>Gene3969-tree</v>
      </c>
      <c r="X3678">
        <v>28</v>
      </c>
      <c r="Y3678">
        <v>3</v>
      </c>
      <c r="Z3678">
        <v>10</v>
      </c>
      <c r="AA3678">
        <v>3</v>
      </c>
      <c r="AB3678">
        <v>0.23077</v>
      </c>
      <c r="AC3678" t="s">
        <v>7613</v>
      </c>
      <c r="AD3678" t="s">
        <v>324</v>
      </c>
      <c r="AE3678" t="s">
        <v>62</v>
      </c>
      <c r="AF3678" t="s">
        <v>62</v>
      </c>
      <c r="AG3678">
        <v>0</v>
      </c>
      <c r="AH3678">
        <v>0</v>
      </c>
      <c r="AI3678">
        <v>4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3</v>
      </c>
      <c r="AT3678">
        <v>0</v>
      </c>
      <c r="AU3678">
        <v>9</v>
      </c>
      <c r="AV3678">
        <v>7</v>
      </c>
      <c r="AW3678">
        <v>15</v>
      </c>
      <c r="AX3678">
        <v>2</v>
      </c>
      <c r="AY3678">
        <v>16</v>
      </c>
      <c r="AZ3678">
        <v>2</v>
      </c>
      <c r="BA3678" t="s">
        <v>23328</v>
      </c>
      <c r="BB3678" t="s">
        <v>23329</v>
      </c>
      <c r="BC3678">
        <v>4.2999999999999997E-2</v>
      </c>
      <c r="BD3678" t="s">
        <v>65</v>
      </c>
      <c r="BE3678">
        <v>31</v>
      </c>
      <c r="BF3678">
        <v>4</v>
      </c>
      <c r="BG3678" t="s">
        <v>23330</v>
      </c>
      <c r="BH3678" t="s">
        <v>23331</v>
      </c>
      <c r="BI3678" t="s">
        <v>23332</v>
      </c>
      <c r="BJ3678">
        <v>6.1789999999999998E-2</v>
      </c>
      <c r="BK3678">
        <v>1</v>
      </c>
      <c r="BL3678" t="s">
        <v>69</v>
      </c>
      <c r="BM3678">
        <v>-0.32800000000000001</v>
      </c>
      <c r="BN3678">
        <v>0.99399999999999999</v>
      </c>
    </row>
    <row r="3679" spans="10:66">
      <c r="J3679">
        <v>0</v>
      </c>
      <c r="K3679">
        <v>3</v>
      </c>
      <c r="L3679">
        <v>0</v>
      </c>
      <c r="M3679" t="s">
        <v>25021</v>
      </c>
      <c r="N3679">
        <v>3970</v>
      </c>
      <c r="O3679" t="s">
        <v>23333</v>
      </c>
      <c r="P3679" t="s">
        <v>57</v>
      </c>
      <c r="Q3679">
        <v>3933577</v>
      </c>
      <c r="R3679">
        <v>3934251</v>
      </c>
      <c r="S3679" t="s">
        <v>23334</v>
      </c>
      <c r="T3679">
        <v>225</v>
      </c>
      <c r="U3679" t="s">
        <v>59</v>
      </c>
      <c r="V3679">
        <v>49</v>
      </c>
      <c r="W3679" t="str">
        <f>HYPERLINK("Gene3970-zp_tree_all.dnd", "Gene3970-tree")</f>
        <v>Gene3970-tree</v>
      </c>
      <c r="X3679">
        <v>33</v>
      </c>
      <c r="Y3679">
        <v>5</v>
      </c>
      <c r="Z3679">
        <v>16</v>
      </c>
      <c r="AA3679">
        <v>5</v>
      </c>
      <c r="AB3679">
        <v>0.23810000000000001</v>
      </c>
      <c r="AC3679" t="s">
        <v>4634</v>
      </c>
      <c r="AD3679" t="s">
        <v>199</v>
      </c>
      <c r="AE3679" t="s">
        <v>62</v>
      </c>
      <c r="AF3679" t="s">
        <v>62</v>
      </c>
      <c r="AG3679">
        <v>1</v>
      </c>
      <c r="AH3679">
        <v>3</v>
      </c>
      <c r="AI3679">
        <v>4</v>
      </c>
      <c r="AJ3679">
        <v>0.42857000000000001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3</v>
      </c>
      <c r="AQ3679">
        <v>0</v>
      </c>
      <c r="AR3679">
        <v>3</v>
      </c>
      <c r="AS3679">
        <v>3</v>
      </c>
      <c r="AT3679">
        <v>0.5</v>
      </c>
      <c r="AU3679">
        <v>15</v>
      </c>
      <c r="AV3679">
        <v>14</v>
      </c>
      <c r="AW3679">
        <v>57</v>
      </c>
      <c r="AX3679">
        <v>5</v>
      </c>
      <c r="AY3679">
        <v>56</v>
      </c>
      <c r="AZ3679">
        <v>3</v>
      </c>
      <c r="BA3679" t="s">
        <v>23335</v>
      </c>
      <c r="BB3679" t="s">
        <v>23336</v>
      </c>
      <c r="BC3679">
        <v>0.32800000000000001</v>
      </c>
      <c r="BD3679" t="s">
        <v>65</v>
      </c>
      <c r="BE3679">
        <v>113</v>
      </c>
      <c r="BF3679">
        <v>8</v>
      </c>
      <c r="BG3679" t="s">
        <v>23337</v>
      </c>
      <c r="BH3679" t="s">
        <v>23338</v>
      </c>
      <c r="BI3679" t="s">
        <v>23339</v>
      </c>
      <c r="BJ3679">
        <v>2.332E-2</v>
      </c>
      <c r="BK3679">
        <v>1</v>
      </c>
      <c r="BL3679" t="s">
        <v>69</v>
      </c>
      <c r="BM3679">
        <v>-1.0069999999999999</v>
      </c>
      <c r="BN3679">
        <v>-2.4390000000000001</v>
      </c>
    </row>
    <row r="3680" spans="10:66">
      <c r="J3680">
        <v>0</v>
      </c>
      <c r="K3680">
        <v>2</v>
      </c>
      <c r="L3680">
        <v>0</v>
      </c>
      <c r="M3680" t="s">
        <v>25021</v>
      </c>
      <c r="N3680">
        <v>3972</v>
      </c>
      <c r="O3680" t="s">
        <v>23340</v>
      </c>
      <c r="P3680" t="s">
        <v>57</v>
      </c>
      <c r="Q3680">
        <v>3935591</v>
      </c>
      <c r="R3680">
        <v>3935785</v>
      </c>
      <c r="S3680" t="s">
        <v>116</v>
      </c>
      <c r="T3680">
        <v>65</v>
      </c>
      <c r="U3680" t="s">
        <v>108</v>
      </c>
      <c r="V3680">
        <v>44</v>
      </c>
      <c r="W3680" t="str">
        <f>HYPERLINK("Gene3972-zp_tree_all.dnd", "Gene3972-tree")</f>
        <v>Gene3972-tree</v>
      </c>
      <c r="X3680">
        <v>6</v>
      </c>
      <c r="Y3680">
        <v>4</v>
      </c>
      <c r="Z3680">
        <v>6</v>
      </c>
      <c r="AA3680">
        <v>4</v>
      </c>
      <c r="AB3680">
        <v>0.4</v>
      </c>
      <c r="AC3680" t="s">
        <v>90</v>
      </c>
      <c r="AD3680" t="s">
        <v>61</v>
      </c>
      <c r="AE3680" t="s">
        <v>62</v>
      </c>
      <c r="AF3680" t="s">
        <v>62</v>
      </c>
      <c r="AG3680">
        <v>1</v>
      </c>
      <c r="AH3680">
        <v>2</v>
      </c>
      <c r="AI3680">
        <v>4</v>
      </c>
      <c r="AJ3680">
        <v>0.33333000000000002</v>
      </c>
      <c r="AK3680">
        <v>0</v>
      </c>
      <c r="AL3680">
        <v>0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5</v>
      </c>
      <c r="AT3680">
        <v>0</v>
      </c>
      <c r="AU3680">
        <v>6</v>
      </c>
      <c r="AV3680">
        <v>4</v>
      </c>
      <c r="AW3680">
        <v>4</v>
      </c>
      <c r="AX3680">
        <v>5</v>
      </c>
      <c r="AY3680">
        <v>4</v>
      </c>
      <c r="AZ3680">
        <v>1</v>
      </c>
      <c r="BA3680" t="s">
        <v>23341</v>
      </c>
      <c r="BB3680" t="s">
        <v>23342</v>
      </c>
      <c r="BC3680">
        <v>1.3480000000000001</v>
      </c>
      <c r="BD3680" t="s">
        <v>65</v>
      </c>
      <c r="BE3680">
        <v>8</v>
      </c>
      <c r="BF3680">
        <v>6</v>
      </c>
      <c r="BG3680" t="s">
        <v>23343</v>
      </c>
      <c r="BH3680" t="s">
        <v>23344</v>
      </c>
      <c r="BI3680" t="s">
        <v>23345</v>
      </c>
      <c r="BJ3680">
        <v>0.14926</v>
      </c>
      <c r="BK3680">
        <v>1</v>
      </c>
      <c r="BL3680" t="s">
        <v>69</v>
      </c>
      <c r="BM3680">
        <v>0.69299999999999995</v>
      </c>
      <c r="BN3680">
        <v>2.9000000000000001E-2</v>
      </c>
    </row>
    <row r="3681" spans="10:66">
      <c r="J3681">
        <v>0</v>
      </c>
      <c r="K3681">
        <v>0</v>
      </c>
      <c r="L3681">
        <v>0</v>
      </c>
      <c r="M3681" t="s">
        <v>25021</v>
      </c>
      <c r="N3681">
        <v>3974</v>
      </c>
      <c r="O3681" t="s">
        <v>23353</v>
      </c>
      <c r="P3681" t="s">
        <v>57</v>
      </c>
      <c r="Q3681">
        <v>3937135</v>
      </c>
      <c r="R3681">
        <v>3937512</v>
      </c>
      <c r="S3681" t="s">
        <v>23354</v>
      </c>
      <c r="T3681">
        <v>126</v>
      </c>
      <c r="U3681" t="s">
        <v>11485</v>
      </c>
      <c r="V3681">
        <v>43</v>
      </c>
      <c r="W3681" t="str">
        <f>HYPERLINK("Gene3974-zp_tree_all.dnd", "Gene3974-tree")</f>
        <v>Gene3974-tree</v>
      </c>
      <c r="X3681">
        <v>7</v>
      </c>
      <c r="Y3681">
        <v>3</v>
      </c>
      <c r="Z3681">
        <v>7</v>
      </c>
      <c r="AA3681">
        <v>3</v>
      </c>
      <c r="AB3681">
        <v>0.3</v>
      </c>
      <c r="AC3681" t="s">
        <v>152</v>
      </c>
      <c r="AD3681" t="s">
        <v>324</v>
      </c>
      <c r="AE3681" t="s">
        <v>62</v>
      </c>
      <c r="AF3681" t="s">
        <v>62</v>
      </c>
      <c r="AG3681">
        <v>0</v>
      </c>
      <c r="AH3681">
        <v>0</v>
      </c>
      <c r="AI3681">
        <v>5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3</v>
      </c>
      <c r="AT3681">
        <v>0</v>
      </c>
      <c r="AU3681">
        <v>8</v>
      </c>
      <c r="AV3681">
        <v>4</v>
      </c>
      <c r="AW3681">
        <v>22</v>
      </c>
      <c r="AX3681">
        <v>3</v>
      </c>
      <c r="AY3681">
        <v>8</v>
      </c>
      <c r="AZ3681">
        <v>2</v>
      </c>
      <c r="BA3681" t="s">
        <v>23355</v>
      </c>
      <c r="BB3681" t="s">
        <v>23356</v>
      </c>
      <c r="BC3681">
        <v>0.48899999999999999</v>
      </c>
      <c r="BD3681" t="s">
        <v>65</v>
      </c>
      <c r="BE3681">
        <v>30</v>
      </c>
      <c r="BF3681">
        <v>5</v>
      </c>
      <c r="BG3681" t="s">
        <v>23357</v>
      </c>
      <c r="BH3681" t="s">
        <v>23358</v>
      </c>
      <c r="BI3681" t="s">
        <v>23359</v>
      </c>
      <c r="BJ3681">
        <v>5.7529999999999998E-2</v>
      </c>
      <c r="BK3681">
        <v>1</v>
      </c>
      <c r="BL3681" t="s">
        <v>69</v>
      </c>
      <c r="BM3681">
        <v>-0.57199999999999995</v>
      </c>
      <c r="BN3681">
        <v>-2.2509999999999999</v>
      </c>
    </row>
    <row r="3682" spans="10:66">
      <c r="J3682">
        <v>0</v>
      </c>
      <c r="K3682">
        <v>39</v>
      </c>
      <c r="L3682">
        <v>1</v>
      </c>
      <c r="M3682" t="s">
        <v>25021</v>
      </c>
      <c r="N3682">
        <v>3977</v>
      </c>
      <c r="O3682" t="s">
        <v>23375</v>
      </c>
      <c r="P3682" t="s">
        <v>57</v>
      </c>
      <c r="Q3682">
        <v>3939869</v>
      </c>
      <c r="R3682">
        <v>3941803</v>
      </c>
      <c r="S3682" t="s">
        <v>23165</v>
      </c>
      <c r="T3682">
        <v>645</v>
      </c>
      <c r="U3682" t="s">
        <v>15618</v>
      </c>
      <c r="V3682">
        <v>43</v>
      </c>
      <c r="W3682" t="str">
        <f>HYPERLINK("Gene3977-zp_tree_all.dnd", "Gene3977-tree")</f>
        <v>Gene3977-tree</v>
      </c>
      <c r="X3682">
        <v>2</v>
      </c>
      <c r="Y3682">
        <v>15</v>
      </c>
      <c r="Z3682">
        <v>2</v>
      </c>
      <c r="AA3682">
        <v>15</v>
      </c>
      <c r="AB3682">
        <v>0.88234999999999997</v>
      </c>
      <c r="AC3682" t="s">
        <v>81</v>
      </c>
      <c r="AD3682" t="s">
        <v>100</v>
      </c>
      <c r="AE3682" t="s">
        <v>62</v>
      </c>
      <c r="AF3682" t="s">
        <v>62</v>
      </c>
      <c r="AG3682">
        <v>14</v>
      </c>
      <c r="AH3682">
        <v>40</v>
      </c>
      <c r="AI3682">
        <v>36</v>
      </c>
      <c r="AJ3682">
        <v>0.52632000000000001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17</v>
      </c>
      <c r="AQ3682">
        <v>3</v>
      </c>
      <c r="AR3682">
        <v>20</v>
      </c>
      <c r="AS3682">
        <v>36</v>
      </c>
      <c r="AT3682">
        <v>0.35714000000000001</v>
      </c>
      <c r="AU3682">
        <v>15</v>
      </c>
      <c r="AV3682">
        <v>14</v>
      </c>
      <c r="AW3682">
        <v>61</v>
      </c>
      <c r="AX3682">
        <v>50</v>
      </c>
      <c r="AY3682">
        <v>51</v>
      </c>
      <c r="AZ3682">
        <v>27</v>
      </c>
      <c r="BA3682" t="s">
        <v>23376</v>
      </c>
      <c r="BB3682" t="s">
        <v>23377</v>
      </c>
      <c r="BC3682">
        <v>1.194</v>
      </c>
      <c r="BD3682" t="s">
        <v>65</v>
      </c>
      <c r="BE3682">
        <v>112</v>
      </c>
      <c r="BF3682">
        <v>77</v>
      </c>
      <c r="BG3682" t="s">
        <v>23378</v>
      </c>
      <c r="BH3682" t="s">
        <v>23379</v>
      </c>
      <c r="BI3682" t="s">
        <v>23380</v>
      </c>
      <c r="BJ3682">
        <v>0.19893</v>
      </c>
      <c r="BK3682">
        <v>1</v>
      </c>
      <c r="BL3682" t="s">
        <v>69</v>
      </c>
      <c r="BM3682">
        <v>-0.80600000000000005</v>
      </c>
      <c r="BN3682">
        <v>-1.8080000000000001</v>
      </c>
    </row>
    <row r="3683" spans="10:66">
      <c r="J3683">
        <v>0</v>
      </c>
      <c r="K3683">
        <v>14</v>
      </c>
      <c r="L3683">
        <v>0</v>
      </c>
      <c r="M3683" t="s">
        <v>25021</v>
      </c>
      <c r="N3683">
        <v>3978</v>
      </c>
      <c r="O3683" t="s">
        <v>23381</v>
      </c>
      <c r="P3683" t="s">
        <v>57</v>
      </c>
      <c r="Q3683">
        <v>3942234</v>
      </c>
      <c r="R3683">
        <v>3943610</v>
      </c>
      <c r="S3683" t="s">
        <v>23382</v>
      </c>
      <c r="T3683">
        <v>459</v>
      </c>
      <c r="U3683" t="s">
        <v>108</v>
      </c>
      <c r="V3683">
        <v>44</v>
      </c>
      <c r="W3683" t="str">
        <f>HYPERLINK("Gene3978-zp_tree_all.dnd", "Gene3978-tree")</f>
        <v>Gene3978-tree</v>
      </c>
      <c r="X3683">
        <v>5</v>
      </c>
      <c r="Y3683">
        <v>10</v>
      </c>
      <c r="Z3683">
        <v>5</v>
      </c>
      <c r="AA3683">
        <v>10</v>
      </c>
      <c r="AB3683">
        <v>0.66666999999999998</v>
      </c>
      <c r="AC3683" t="s">
        <v>199</v>
      </c>
      <c r="AD3683" t="s">
        <v>117</v>
      </c>
      <c r="AE3683" t="s">
        <v>62</v>
      </c>
      <c r="AF3683" t="s">
        <v>62</v>
      </c>
      <c r="AG3683">
        <v>5</v>
      </c>
      <c r="AH3683">
        <v>14</v>
      </c>
      <c r="AI3683">
        <v>13</v>
      </c>
      <c r="AJ3683">
        <v>0.51851999999999998</v>
      </c>
      <c r="AK3683">
        <v>2</v>
      </c>
      <c r="AL3683">
        <v>0</v>
      </c>
      <c r="AM3683">
        <v>2</v>
      </c>
      <c r="AN3683">
        <v>3</v>
      </c>
      <c r="AO3683">
        <v>0.4</v>
      </c>
      <c r="AP3683">
        <v>4</v>
      </c>
      <c r="AQ3683">
        <v>0</v>
      </c>
      <c r="AR3683">
        <v>4</v>
      </c>
      <c r="AS3683">
        <v>14</v>
      </c>
      <c r="AT3683">
        <v>0.22222</v>
      </c>
      <c r="AU3683">
        <v>11</v>
      </c>
      <c r="AV3683">
        <v>12</v>
      </c>
      <c r="AW3683">
        <v>50</v>
      </c>
      <c r="AX3683">
        <v>14</v>
      </c>
      <c r="AY3683">
        <v>43</v>
      </c>
      <c r="AZ3683">
        <v>13</v>
      </c>
      <c r="BA3683" t="s">
        <v>23383</v>
      </c>
      <c r="BB3683" t="s">
        <v>23384</v>
      </c>
      <c r="BC3683">
        <v>0.127</v>
      </c>
      <c r="BD3683" t="s">
        <v>65</v>
      </c>
      <c r="BE3683">
        <v>93</v>
      </c>
      <c r="BF3683">
        <v>27</v>
      </c>
      <c r="BG3683" t="s">
        <v>23385</v>
      </c>
      <c r="BH3683" t="s">
        <v>23386</v>
      </c>
      <c r="BI3683" t="s">
        <v>18472</v>
      </c>
      <c r="BJ3683">
        <v>6.9440000000000002E-2</v>
      </c>
      <c r="BK3683">
        <v>1</v>
      </c>
      <c r="BL3683" t="s">
        <v>69</v>
      </c>
      <c r="BM3683">
        <v>-0.192</v>
      </c>
      <c r="BN3683">
        <v>-0.76900000000000002</v>
      </c>
    </row>
    <row r="3684" spans="10:66">
      <c r="J3684">
        <v>0</v>
      </c>
      <c r="K3684">
        <v>9</v>
      </c>
      <c r="L3684">
        <v>0</v>
      </c>
      <c r="M3684" t="s">
        <v>25021</v>
      </c>
      <c r="N3684">
        <v>3979</v>
      </c>
      <c r="O3684" t="s">
        <v>23387</v>
      </c>
      <c r="P3684" t="s">
        <v>57</v>
      </c>
      <c r="Q3684">
        <v>3943667</v>
      </c>
      <c r="R3684">
        <v>3944506</v>
      </c>
      <c r="S3684" t="s">
        <v>23388</v>
      </c>
      <c r="T3684">
        <v>280</v>
      </c>
      <c r="U3684" t="s">
        <v>698</v>
      </c>
      <c r="V3684">
        <v>47</v>
      </c>
      <c r="W3684" t="str">
        <f>HYPERLINK("Gene3979-zp_tree_all.dnd", "Gene3979-tree")</f>
        <v>Gene3979-tree</v>
      </c>
      <c r="X3684">
        <v>12</v>
      </c>
      <c r="Y3684">
        <v>6</v>
      </c>
      <c r="Z3684">
        <v>12</v>
      </c>
      <c r="AA3684">
        <v>6</v>
      </c>
      <c r="AB3684">
        <v>0.33333000000000002</v>
      </c>
      <c r="AC3684" t="s">
        <v>109</v>
      </c>
      <c r="AD3684" t="s">
        <v>90</v>
      </c>
      <c r="AE3684" t="s">
        <v>62</v>
      </c>
      <c r="AF3684" t="s">
        <v>62</v>
      </c>
      <c r="AG3684">
        <v>2</v>
      </c>
      <c r="AH3684">
        <v>9</v>
      </c>
      <c r="AI3684">
        <v>10</v>
      </c>
      <c r="AJ3684">
        <v>0.47367999999999999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4</v>
      </c>
      <c r="AQ3684">
        <v>0</v>
      </c>
      <c r="AR3684">
        <v>4</v>
      </c>
      <c r="AS3684">
        <v>3</v>
      </c>
      <c r="AT3684">
        <v>0.57142999999999999</v>
      </c>
      <c r="AU3684">
        <v>15</v>
      </c>
      <c r="AV3684">
        <v>9</v>
      </c>
      <c r="AW3684">
        <v>28</v>
      </c>
      <c r="AX3684">
        <v>7</v>
      </c>
      <c r="AY3684">
        <v>44</v>
      </c>
      <c r="AZ3684">
        <v>12</v>
      </c>
      <c r="BA3684" t="s">
        <v>23389</v>
      </c>
      <c r="BB3684" t="s">
        <v>23390</v>
      </c>
      <c r="BC3684">
        <v>1.7000000000000001E-2</v>
      </c>
      <c r="BD3684" t="s">
        <v>65</v>
      </c>
      <c r="BE3684">
        <v>72</v>
      </c>
      <c r="BF3684">
        <v>19</v>
      </c>
      <c r="BG3684" t="s">
        <v>23391</v>
      </c>
      <c r="BH3684" t="s">
        <v>23392</v>
      </c>
      <c r="BI3684" t="s">
        <v>23393</v>
      </c>
      <c r="BJ3684">
        <v>5.604E-2</v>
      </c>
      <c r="BK3684">
        <v>1</v>
      </c>
      <c r="BL3684" t="s">
        <v>69</v>
      </c>
      <c r="BM3684">
        <v>-1.2929999999999999</v>
      </c>
      <c r="BN3684">
        <v>0.44700000000000001</v>
      </c>
    </row>
    <row r="3685" spans="10:66">
      <c r="J3685">
        <v>0</v>
      </c>
      <c r="K3685">
        <v>0</v>
      </c>
      <c r="L3685">
        <v>0</v>
      </c>
      <c r="M3685" t="s">
        <v>25021</v>
      </c>
      <c r="N3685">
        <v>3982</v>
      </c>
      <c r="O3685" t="s">
        <v>23407</v>
      </c>
      <c r="P3685" t="s">
        <v>57</v>
      </c>
      <c r="Q3685">
        <v>3946394</v>
      </c>
      <c r="R3685">
        <v>3946906</v>
      </c>
      <c r="S3685" t="s">
        <v>23408</v>
      </c>
      <c r="T3685">
        <v>171</v>
      </c>
      <c r="U3685" t="s">
        <v>108</v>
      </c>
      <c r="V3685">
        <v>44</v>
      </c>
      <c r="W3685" t="str">
        <f>HYPERLINK("Gene3982-zp_tree_all.dnd", "Gene3982-tree")</f>
        <v>Gene3982-tree</v>
      </c>
      <c r="X3685">
        <v>8</v>
      </c>
      <c r="Y3685">
        <v>22</v>
      </c>
      <c r="Z3685">
        <v>8</v>
      </c>
      <c r="AA3685">
        <v>5</v>
      </c>
      <c r="AB3685">
        <v>0.38462000000000002</v>
      </c>
      <c r="AC3685" t="s">
        <v>136</v>
      </c>
      <c r="AD3685" t="s">
        <v>1682</v>
      </c>
      <c r="AE3685">
        <v>4.3490000000000002</v>
      </c>
      <c r="AF3685" t="s">
        <v>65</v>
      </c>
      <c r="AG3685">
        <v>0</v>
      </c>
      <c r="AH3685">
        <v>0</v>
      </c>
      <c r="AI3685">
        <v>6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5</v>
      </c>
      <c r="AT3685">
        <v>0</v>
      </c>
      <c r="AU3685">
        <v>9</v>
      </c>
      <c r="AV3685">
        <v>5</v>
      </c>
      <c r="AW3685">
        <v>13</v>
      </c>
      <c r="AX3685">
        <v>5</v>
      </c>
      <c r="AY3685">
        <v>4</v>
      </c>
      <c r="AZ3685">
        <v>1</v>
      </c>
      <c r="BA3685" t="s">
        <v>23409</v>
      </c>
      <c r="BB3685" t="s">
        <v>23410</v>
      </c>
      <c r="BC3685">
        <v>0.25800000000000001</v>
      </c>
      <c r="BD3685" t="s">
        <v>65</v>
      </c>
      <c r="BE3685">
        <v>17</v>
      </c>
      <c r="BF3685">
        <v>6</v>
      </c>
      <c r="BG3685" t="s">
        <v>23411</v>
      </c>
      <c r="BH3685" t="s">
        <v>23412</v>
      </c>
      <c r="BI3685" t="s">
        <v>23413</v>
      </c>
      <c r="BJ3685">
        <v>0.13274</v>
      </c>
      <c r="BK3685">
        <v>1</v>
      </c>
      <c r="BL3685" t="s">
        <v>69</v>
      </c>
      <c r="BM3685">
        <v>-1.002</v>
      </c>
      <c r="BN3685">
        <v>-2.0739999999999998</v>
      </c>
    </row>
    <row r="3686" spans="10:66">
      <c r="J3686">
        <v>0</v>
      </c>
      <c r="K3686">
        <v>9</v>
      </c>
      <c r="L3686">
        <v>3</v>
      </c>
      <c r="M3686" t="s">
        <v>25021</v>
      </c>
      <c r="N3686">
        <v>3983</v>
      </c>
      <c r="O3686" t="s">
        <v>23414</v>
      </c>
      <c r="P3686" t="s">
        <v>57</v>
      </c>
      <c r="Q3686">
        <v>3947158</v>
      </c>
      <c r="R3686">
        <v>3948396</v>
      </c>
      <c r="S3686" t="s">
        <v>17878</v>
      </c>
      <c r="T3686">
        <v>413</v>
      </c>
      <c r="U3686" t="s">
        <v>108</v>
      </c>
      <c r="V3686">
        <v>44</v>
      </c>
      <c r="W3686" t="str">
        <f>HYPERLINK("Gene3983-zp_tree_all.dnd", "Gene3983-tree")</f>
        <v>Gene3983-tree</v>
      </c>
      <c r="X3686">
        <v>2</v>
      </c>
      <c r="Y3686">
        <v>13</v>
      </c>
      <c r="Z3686">
        <v>2</v>
      </c>
      <c r="AA3686">
        <v>13</v>
      </c>
      <c r="AB3686">
        <v>0.86667000000000005</v>
      </c>
      <c r="AC3686" t="s">
        <v>81</v>
      </c>
      <c r="AD3686" t="s">
        <v>507</v>
      </c>
      <c r="AE3686" t="s">
        <v>62</v>
      </c>
      <c r="AF3686" t="s">
        <v>62</v>
      </c>
      <c r="AG3686">
        <v>5</v>
      </c>
      <c r="AH3686">
        <v>12</v>
      </c>
      <c r="AI3686">
        <v>27</v>
      </c>
      <c r="AJ3686">
        <v>0.30769000000000002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9</v>
      </c>
      <c r="AQ3686">
        <v>1</v>
      </c>
      <c r="AR3686">
        <v>10</v>
      </c>
      <c r="AS3686">
        <v>22</v>
      </c>
      <c r="AT3686">
        <v>0.3125</v>
      </c>
      <c r="AU3686">
        <v>14</v>
      </c>
      <c r="AV3686">
        <v>10</v>
      </c>
      <c r="AW3686">
        <v>58</v>
      </c>
      <c r="AX3686">
        <v>30</v>
      </c>
      <c r="AY3686">
        <v>28</v>
      </c>
      <c r="AZ3686">
        <v>10</v>
      </c>
      <c r="BA3686" t="s">
        <v>23415</v>
      </c>
      <c r="BB3686" t="s">
        <v>23416</v>
      </c>
      <c r="BC3686">
        <v>0.17899999999999999</v>
      </c>
      <c r="BD3686" t="s">
        <v>65</v>
      </c>
      <c r="BE3686">
        <v>86</v>
      </c>
      <c r="BF3686">
        <v>40</v>
      </c>
      <c r="BG3686" t="s">
        <v>23417</v>
      </c>
      <c r="BH3686" t="s">
        <v>23418</v>
      </c>
      <c r="BI3686" t="s">
        <v>23419</v>
      </c>
      <c r="BJ3686">
        <v>0.12761</v>
      </c>
      <c r="BK3686">
        <v>1</v>
      </c>
      <c r="BL3686" t="s">
        <v>69</v>
      </c>
      <c r="BM3686">
        <v>-1.087</v>
      </c>
      <c r="BN3686">
        <v>-1.819</v>
      </c>
    </row>
    <row r="3687" spans="10:66">
      <c r="J3687">
        <v>0</v>
      </c>
      <c r="K3687">
        <v>15</v>
      </c>
      <c r="L3687">
        <v>4</v>
      </c>
      <c r="M3687" t="s">
        <v>25021</v>
      </c>
      <c r="N3687">
        <v>3984</v>
      </c>
      <c r="O3687" t="s">
        <v>23420</v>
      </c>
      <c r="P3687" t="s">
        <v>57</v>
      </c>
      <c r="Q3687">
        <v>3948555</v>
      </c>
      <c r="R3687">
        <v>3949919</v>
      </c>
      <c r="S3687" t="s">
        <v>23421</v>
      </c>
      <c r="T3687">
        <v>455</v>
      </c>
      <c r="U3687" t="s">
        <v>108</v>
      </c>
      <c r="V3687">
        <v>44</v>
      </c>
      <c r="W3687" t="str">
        <f>HYPERLINK("Gene3984-zp_tree_all.dnd", "Gene3984-tree")</f>
        <v>Gene3984-tree</v>
      </c>
      <c r="X3687">
        <v>22</v>
      </c>
      <c r="Y3687">
        <v>11</v>
      </c>
      <c r="Z3687">
        <v>5</v>
      </c>
      <c r="AA3687">
        <v>11</v>
      </c>
      <c r="AB3687">
        <v>0.6875</v>
      </c>
      <c r="AC3687" t="s">
        <v>1682</v>
      </c>
      <c r="AD3687" t="s">
        <v>73</v>
      </c>
      <c r="AE3687">
        <v>4.617</v>
      </c>
      <c r="AF3687" t="s">
        <v>267</v>
      </c>
      <c r="AG3687">
        <v>6</v>
      </c>
      <c r="AH3687">
        <v>19</v>
      </c>
      <c r="AI3687">
        <v>24</v>
      </c>
      <c r="AJ3687">
        <v>0.44185999999999998</v>
      </c>
      <c r="AK3687">
        <v>0</v>
      </c>
      <c r="AL3687">
        <v>0</v>
      </c>
      <c r="AM3687">
        <v>0</v>
      </c>
      <c r="AN3687">
        <v>9</v>
      </c>
      <c r="AO3687">
        <v>0</v>
      </c>
      <c r="AP3687">
        <v>6</v>
      </c>
      <c r="AQ3687">
        <v>3</v>
      </c>
      <c r="AR3687">
        <v>9</v>
      </c>
      <c r="AS3687">
        <v>17</v>
      </c>
      <c r="AT3687">
        <v>0.34615000000000001</v>
      </c>
      <c r="AU3687">
        <v>14</v>
      </c>
      <c r="AV3687">
        <v>12</v>
      </c>
      <c r="AW3687">
        <v>55</v>
      </c>
      <c r="AX3687">
        <v>27</v>
      </c>
      <c r="AY3687">
        <v>39</v>
      </c>
      <c r="AZ3687">
        <v>17</v>
      </c>
      <c r="BA3687" t="s">
        <v>23422</v>
      </c>
      <c r="BB3687" t="s">
        <v>23423</v>
      </c>
      <c r="BC3687">
        <v>0.114</v>
      </c>
      <c r="BD3687" t="s">
        <v>65</v>
      </c>
      <c r="BE3687">
        <v>94</v>
      </c>
      <c r="BF3687">
        <v>44</v>
      </c>
      <c r="BG3687" t="s">
        <v>23424</v>
      </c>
      <c r="BH3687" t="s">
        <v>23425</v>
      </c>
      <c r="BI3687" t="s">
        <v>23426</v>
      </c>
      <c r="BJ3687">
        <v>0.12307</v>
      </c>
      <c r="BK3687">
        <v>1</v>
      </c>
      <c r="BL3687" t="s">
        <v>69</v>
      </c>
      <c r="BM3687">
        <v>-0.45900000000000002</v>
      </c>
      <c r="BN3687">
        <v>-1.5309999999999999</v>
      </c>
    </row>
    <row r="3688" spans="10:66">
      <c r="J3688">
        <v>0</v>
      </c>
      <c r="K3688">
        <v>13</v>
      </c>
      <c r="L3688">
        <v>4</v>
      </c>
      <c r="M3688" t="s">
        <v>25021</v>
      </c>
      <c r="N3688">
        <v>3988</v>
      </c>
      <c r="O3688" t="s">
        <v>23445</v>
      </c>
      <c r="P3688" t="s">
        <v>57</v>
      </c>
      <c r="Q3688">
        <v>3952275</v>
      </c>
      <c r="R3688">
        <v>3953783</v>
      </c>
      <c r="S3688" t="s">
        <v>23446</v>
      </c>
      <c r="T3688">
        <v>503</v>
      </c>
      <c r="U3688" t="s">
        <v>108</v>
      </c>
      <c r="V3688">
        <v>44</v>
      </c>
      <c r="W3688" t="str">
        <f>HYPERLINK("Gene3988-zp_tree_all.dnd", "Gene3988-tree")</f>
        <v>Gene3988-tree</v>
      </c>
      <c r="X3688">
        <v>5</v>
      </c>
      <c r="Y3688">
        <v>9</v>
      </c>
      <c r="Z3688">
        <v>5</v>
      </c>
      <c r="AA3688">
        <v>9</v>
      </c>
      <c r="AB3688">
        <v>0.64285999999999999</v>
      </c>
      <c r="AC3688" t="s">
        <v>199</v>
      </c>
      <c r="AD3688" t="s">
        <v>135</v>
      </c>
      <c r="AE3688" t="s">
        <v>62</v>
      </c>
      <c r="AF3688" t="s">
        <v>62</v>
      </c>
      <c r="AG3688">
        <v>8</v>
      </c>
      <c r="AH3688">
        <v>17</v>
      </c>
      <c r="AI3688">
        <v>7</v>
      </c>
      <c r="AJ3688">
        <v>0.70833000000000002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6</v>
      </c>
      <c r="AQ3688">
        <v>2</v>
      </c>
      <c r="AR3688">
        <v>8</v>
      </c>
      <c r="AS3688">
        <v>9</v>
      </c>
      <c r="AT3688">
        <v>0.47059000000000001</v>
      </c>
      <c r="AU3688">
        <v>14</v>
      </c>
      <c r="AV3688">
        <v>9</v>
      </c>
      <c r="AW3688">
        <v>43</v>
      </c>
      <c r="AX3688">
        <v>17</v>
      </c>
      <c r="AY3688">
        <v>27</v>
      </c>
      <c r="AZ3688">
        <v>7</v>
      </c>
      <c r="BA3688" t="s">
        <v>23447</v>
      </c>
      <c r="BB3688" t="s">
        <v>23448</v>
      </c>
      <c r="BC3688">
        <v>0.61</v>
      </c>
      <c r="BD3688" t="s">
        <v>65</v>
      </c>
      <c r="BE3688">
        <v>70</v>
      </c>
      <c r="BF3688">
        <v>24</v>
      </c>
      <c r="BG3688" t="s">
        <v>23449</v>
      </c>
      <c r="BH3688" t="s">
        <v>23450</v>
      </c>
      <c r="BI3688" t="s">
        <v>23451</v>
      </c>
      <c r="BJ3688">
        <v>9.8760000000000001E-2</v>
      </c>
      <c r="BK3688">
        <v>1</v>
      </c>
      <c r="BL3688" t="s">
        <v>69</v>
      </c>
      <c r="BM3688">
        <v>-0.71599999999999997</v>
      </c>
      <c r="BN3688">
        <v>-1.633</v>
      </c>
    </row>
    <row r="3689" spans="10:66">
      <c r="J3689">
        <v>0</v>
      </c>
      <c r="K3689">
        <v>6</v>
      </c>
      <c r="L3689">
        <v>4</v>
      </c>
      <c r="M3689" t="s">
        <v>25021</v>
      </c>
      <c r="N3689">
        <v>3989</v>
      </c>
      <c r="O3689" t="s">
        <v>23452</v>
      </c>
      <c r="P3689" t="s">
        <v>57</v>
      </c>
      <c r="Q3689">
        <v>3953783</v>
      </c>
      <c r="R3689">
        <v>3954967</v>
      </c>
      <c r="S3689" t="s">
        <v>23453</v>
      </c>
      <c r="T3689">
        <v>395</v>
      </c>
      <c r="U3689" t="s">
        <v>59</v>
      </c>
      <c r="V3689">
        <v>49</v>
      </c>
      <c r="W3689" t="str">
        <f>HYPERLINK("Gene3989-zp_tree_all.dnd", "Gene3989-tree")</f>
        <v>Gene3989-tree</v>
      </c>
      <c r="X3689">
        <v>11</v>
      </c>
      <c r="Y3689">
        <v>7</v>
      </c>
      <c r="Z3689">
        <v>11</v>
      </c>
      <c r="AA3689">
        <v>7</v>
      </c>
      <c r="AB3689">
        <v>0.38889000000000001</v>
      </c>
      <c r="AC3689" t="s">
        <v>73</v>
      </c>
      <c r="AD3689" t="s">
        <v>152</v>
      </c>
      <c r="AE3689" t="s">
        <v>62</v>
      </c>
      <c r="AF3689" t="s">
        <v>62</v>
      </c>
      <c r="AG3689">
        <v>5</v>
      </c>
      <c r="AH3689">
        <v>10</v>
      </c>
      <c r="AI3689">
        <v>5</v>
      </c>
      <c r="AJ3689">
        <v>0.66666999999999998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7</v>
      </c>
      <c r="AT3689">
        <v>0</v>
      </c>
      <c r="AU3689">
        <v>16</v>
      </c>
      <c r="AV3689">
        <v>15</v>
      </c>
      <c r="AW3689">
        <v>44</v>
      </c>
      <c r="AX3689">
        <v>7</v>
      </c>
      <c r="AY3689">
        <v>75</v>
      </c>
      <c r="AZ3689">
        <v>9</v>
      </c>
      <c r="BA3689" t="s">
        <v>23454</v>
      </c>
      <c r="BB3689" t="s">
        <v>23455</v>
      </c>
      <c r="BC3689">
        <v>0.214</v>
      </c>
      <c r="BD3689" t="s">
        <v>65</v>
      </c>
      <c r="BE3689">
        <v>119</v>
      </c>
      <c r="BF3689">
        <v>16</v>
      </c>
      <c r="BG3689" t="s">
        <v>23456</v>
      </c>
      <c r="BH3689" t="s">
        <v>23457</v>
      </c>
      <c r="BI3689" t="s">
        <v>23458</v>
      </c>
      <c r="BJ3689">
        <v>2.316E-2</v>
      </c>
      <c r="BK3689">
        <v>1</v>
      </c>
      <c r="BL3689" t="s">
        <v>69</v>
      </c>
      <c r="BM3689">
        <v>-1.343</v>
      </c>
      <c r="BN3689">
        <v>-0.83699999999999997</v>
      </c>
    </row>
    <row r="3690" spans="10:66">
      <c r="J3690">
        <v>0</v>
      </c>
      <c r="K3690">
        <v>0</v>
      </c>
      <c r="L3690">
        <v>0</v>
      </c>
      <c r="M3690" t="s">
        <v>25021</v>
      </c>
      <c r="N3690">
        <v>3990</v>
      </c>
      <c r="O3690" t="s">
        <v>23459</v>
      </c>
      <c r="P3690" t="s">
        <v>57</v>
      </c>
      <c r="Q3690">
        <v>3954987</v>
      </c>
      <c r="R3690">
        <v>3955220</v>
      </c>
      <c r="S3690" t="s">
        <v>23460</v>
      </c>
      <c r="T3690">
        <v>78</v>
      </c>
      <c r="U3690" t="s">
        <v>59</v>
      </c>
      <c r="V3690">
        <v>49</v>
      </c>
      <c r="W3690" t="str">
        <f>HYPERLINK("Gene3990-zp_tree_all.dnd", "Gene3990-tree")</f>
        <v>Gene3990-tree</v>
      </c>
      <c r="X3690">
        <v>6</v>
      </c>
      <c r="Y3690">
        <v>1</v>
      </c>
      <c r="Z3690">
        <v>6</v>
      </c>
      <c r="AA3690">
        <v>1</v>
      </c>
      <c r="AB3690">
        <v>0.14285999999999999</v>
      </c>
      <c r="AC3690" t="s">
        <v>90</v>
      </c>
      <c r="AD3690" t="s">
        <v>175</v>
      </c>
      <c r="AE3690" t="s">
        <v>62</v>
      </c>
      <c r="AF3690" t="s">
        <v>62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0</v>
      </c>
      <c r="AU3690">
        <v>5</v>
      </c>
      <c r="AV3690">
        <v>3</v>
      </c>
      <c r="AW3690">
        <v>5</v>
      </c>
      <c r="AX3690">
        <v>1</v>
      </c>
      <c r="AY3690">
        <v>5</v>
      </c>
      <c r="AZ3690">
        <v>0</v>
      </c>
      <c r="BA3690" t="s">
        <v>23461</v>
      </c>
      <c r="BB3690" t="s">
        <v>193</v>
      </c>
      <c r="BC3690">
        <v>0.50700000000000001</v>
      </c>
      <c r="BD3690" t="s">
        <v>65</v>
      </c>
      <c r="BE3690">
        <v>10</v>
      </c>
      <c r="BF3690">
        <v>1</v>
      </c>
      <c r="BG3690" t="s">
        <v>23462</v>
      </c>
      <c r="BH3690" t="s">
        <v>23463</v>
      </c>
      <c r="BI3690" t="s">
        <v>10387</v>
      </c>
      <c r="BJ3690">
        <v>1.9470000000000001E-2</v>
      </c>
      <c r="BK3690">
        <v>1</v>
      </c>
      <c r="BL3690" t="s">
        <v>69</v>
      </c>
      <c r="BM3690">
        <v>-1.5189999999999999</v>
      </c>
      <c r="BN3690">
        <v>-0.61699999999999999</v>
      </c>
    </row>
    <row r="3691" spans="10:66">
      <c r="J3691">
        <v>0</v>
      </c>
      <c r="K3691">
        <v>0</v>
      </c>
      <c r="L3691">
        <v>0</v>
      </c>
      <c r="M3691" t="s">
        <v>25021</v>
      </c>
      <c r="N3691">
        <v>3991</v>
      </c>
      <c r="O3691" t="s">
        <v>23464</v>
      </c>
      <c r="P3691" t="s">
        <v>57</v>
      </c>
      <c r="Q3691">
        <v>3955223</v>
      </c>
      <c r="R3691">
        <v>3956398</v>
      </c>
      <c r="S3691" t="s">
        <v>23465</v>
      </c>
      <c r="T3691">
        <v>392</v>
      </c>
      <c r="U3691" t="s">
        <v>108</v>
      </c>
      <c r="V3691">
        <v>44</v>
      </c>
      <c r="W3691" t="str">
        <f>HYPERLINK("Gene3991-zp_tree_all.dnd", "Gene3991-tree")</f>
        <v>Gene3991-tree</v>
      </c>
      <c r="X3691">
        <v>11</v>
      </c>
      <c r="Y3691">
        <v>2</v>
      </c>
      <c r="Z3691">
        <v>11</v>
      </c>
      <c r="AA3691">
        <v>2</v>
      </c>
      <c r="AB3691">
        <v>0.15384999999999999</v>
      </c>
      <c r="AC3691" t="s">
        <v>73</v>
      </c>
      <c r="AD3691" t="s">
        <v>81</v>
      </c>
      <c r="AE3691" t="s">
        <v>62</v>
      </c>
      <c r="AF3691" t="s">
        <v>62</v>
      </c>
      <c r="AG3691">
        <v>0</v>
      </c>
      <c r="AH3691">
        <v>0</v>
      </c>
      <c r="AI3691">
        <v>2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2</v>
      </c>
      <c r="AT3691">
        <v>0</v>
      </c>
      <c r="AU3691">
        <v>9</v>
      </c>
      <c r="AV3691">
        <v>9</v>
      </c>
      <c r="AW3691">
        <v>21</v>
      </c>
      <c r="AX3691">
        <v>2</v>
      </c>
      <c r="AY3691">
        <v>16</v>
      </c>
      <c r="AZ3691">
        <v>0</v>
      </c>
      <c r="BA3691" t="s">
        <v>23466</v>
      </c>
      <c r="BB3691" t="s">
        <v>193</v>
      </c>
      <c r="BC3691">
        <v>0.60399999999999998</v>
      </c>
      <c r="BD3691" t="s">
        <v>65</v>
      </c>
      <c r="BE3691">
        <v>37</v>
      </c>
      <c r="BF3691">
        <v>2</v>
      </c>
      <c r="BG3691" t="s">
        <v>23467</v>
      </c>
      <c r="BH3691" t="s">
        <v>23468</v>
      </c>
      <c r="BI3691" t="s">
        <v>23469</v>
      </c>
      <c r="BJ3691">
        <v>1.1990000000000001E-2</v>
      </c>
      <c r="BK3691">
        <v>1</v>
      </c>
      <c r="BL3691" t="s">
        <v>69</v>
      </c>
      <c r="BM3691">
        <v>-0.97499999999999998</v>
      </c>
      <c r="BN3691">
        <v>-1.7769999999999999</v>
      </c>
    </row>
    <row r="3692" spans="10:66">
      <c r="J3692">
        <v>0</v>
      </c>
      <c r="K3692">
        <v>7</v>
      </c>
      <c r="L3692">
        <v>0</v>
      </c>
      <c r="M3692" t="s">
        <v>25021</v>
      </c>
      <c r="N3692">
        <v>3992</v>
      </c>
      <c r="O3692" t="s">
        <v>23470</v>
      </c>
      <c r="P3692" t="s">
        <v>57</v>
      </c>
      <c r="Q3692">
        <v>3956492</v>
      </c>
      <c r="R3692">
        <v>3957247</v>
      </c>
      <c r="S3692" t="s">
        <v>1940</v>
      </c>
      <c r="T3692">
        <v>252</v>
      </c>
      <c r="U3692" t="s">
        <v>465</v>
      </c>
      <c r="V3692">
        <v>46</v>
      </c>
      <c r="W3692" t="str">
        <f>HYPERLINK("Gene3992-zp_tree_all.dnd", "Gene3992-tree")</f>
        <v>Gene3992-tree</v>
      </c>
      <c r="X3692">
        <v>9</v>
      </c>
      <c r="Y3692">
        <v>7</v>
      </c>
      <c r="Z3692">
        <v>9</v>
      </c>
      <c r="AA3692">
        <v>7</v>
      </c>
      <c r="AB3692">
        <v>0.4375</v>
      </c>
      <c r="AC3692" t="s">
        <v>135</v>
      </c>
      <c r="AD3692" t="s">
        <v>152</v>
      </c>
      <c r="AE3692" t="s">
        <v>62</v>
      </c>
      <c r="AF3692" t="s">
        <v>62</v>
      </c>
      <c r="AG3692">
        <v>2</v>
      </c>
      <c r="AH3692">
        <v>7</v>
      </c>
      <c r="AI3692">
        <v>13</v>
      </c>
      <c r="AJ3692">
        <v>0.35</v>
      </c>
      <c r="AK3692">
        <v>0</v>
      </c>
      <c r="AL3692">
        <v>0</v>
      </c>
      <c r="AM3692">
        <v>0</v>
      </c>
      <c r="AN3692">
        <v>8</v>
      </c>
      <c r="AO3692">
        <v>0</v>
      </c>
      <c r="AP3692">
        <v>2</v>
      </c>
      <c r="AQ3692">
        <v>0</v>
      </c>
      <c r="AR3692">
        <v>2</v>
      </c>
      <c r="AS3692">
        <v>6</v>
      </c>
      <c r="AT3692">
        <v>0.25</v>
      </c>
      <c r="AU3692">
        <v>10</v>
      </c>
      <c r="AV3692">
        <v>11</v>
      </c>
      <c r="AW3692">
        <v>14</v>
      </c>
      <c r="AX3692">
        <v>6</v>
      </c>
      <c r="AY3692">
        <v>43</v>
      </c>
      <c r="AZ3692">
        <v>15</v>
      </c>
      <c r="BA3692" t="s">
        <v>23471</v>
      </c>
      <c r="BB3692" t="s">
        <v>23472</v>
      </c>
      <c r="BC3692">
        <v>0.17399999999999999</v>
      </c>
      <c r="BD3692" t="s">
        <v>65</v>
      </c>
      <c r="BE3692">
        <v>57</v>
      </c>
      <c r="BF3692">
        <v>21</v>
      </c>
      <c r="BG3692" t="s">
        <v>23473</v>
      </c>
      <c r="BH3692" t="s">
        <v>23474</v>
      </c>
      <c r="BI3692" t="s">
        <v>23475</v>
      </c>
      <c r="BJ3692">
        <v>9.7420000000000007E-2</v>
      </c>
      <c r="BK3692">
        <v>1</v>
      </c>
      <c r="BL3692" t="s">
        <v>69</v>
      </c>
      <c r="BM3692">
        <v>-0.93200000000000005</v>
      </c>
      <c r="BN3692">
        <v>0.68400000000000005</v>
      </c>
    </row>
    <row r="3693" spans="10:66">
      <c r="J3693">
        <v>0</v>
      </c>
      <c r="K3693">
        <v>2</v>
      </c>
      <c r="L3693">
        <v>2</v>
      </c>
      <c r="M3693" t="s">
        <v>25021</v>
      </c>
      <c r="N3693">
        <v>3993</v>
      </c>
      <c r="O3693" t="s">
        <v>23476</v>
      </c>
      <c r="P3693" t="s">
        <v>57</v>
      </c>
      <c r="Q3693">
        <v>3957391</v>
      </c>
      <c r="R3693">
        <v>3958479</v>
      </c>
      <c r="S3693" t="s">
        <v>23477</v>
      </c>
      <c r="T3693">
        <v>363</v>
      </c>
      <c r="U3693" t="s">
        <v>698</v>
      </c>
      <c r="V3693">
        <v>47</v>
      </c>
      <c r="W3693" t="str">
        <f>HYPERLINK("Gene3993-zp_tree_all.dnd", "Gene3993-tree")</f>
        <v>Gene3993-tree</v>
      </c>
      <c r="X3693">
        <v>11</v>
      </c>
      <c r="Y3693">
        <v>6</v>
      </c>
      <c r="Z3693">
        <v>11</v>
      </c>
      <c r="AA3693">
        <v>6</v>
      </c>
      <c r="AB3693">
        <v>0.35293999999999998</v>
      </c>
      <c r="AC3693" t="s">
        <v>73</v>
      </c>
      <c r="AD3693" t="s">
        <v>90</v>
      </c>
      <c r="AE3693" t="s">
        <v>62</v>
      </c>
      <c r="AF3693" t="s">
        <v>62</v>
      </c>
      <c r="AG3693">
        <v>2</v>
      </c>
      <c r="AH3693">
        <v>4</v>
      </c>
      <c r="AI3693">
        <v>8</v>
      </c>
      <c r="AJ3693">
        <v>0.33333000000000002</v>
      </c>
      <c r="AK3693">
        <v>0</v>
      </c>
      <c r="AL3693">
        <v>0</v>
      </c>
      <c r="AM3693">
        <v>0</v>
      </c>
      <c r="AN3693">
        <v>1</v>
      </c>
      <c r="AO3693">
        <v>0</v>
      </c>
      <c r="AP3693">
        <v>0</v>
      </c>
      <c r="AQ3693">
        <v>2</v>
      </c>
      <c r="AR3693">
        <v>2</v>
      </c>
      <c r="AS3693">
        <v>6</v>
      </c>
      <c r="AT3693">
        <v>0.25</v>
      </c>
      <c r="AU3693">
        <v>14</v>
      </c>
      <c r="AV3693">
        <v>11</v>
      </c>
      <c r="AW3693">
        <v>44</v>
      </c>
      <c r="AX3693">
        <v>8</v>
      </c>
      <c r="AY3693">
        <v>66</v>
      </c>
      <c r="AZ3693">
        <v>4</v>
      </c>
      <c r="BA3693" t="s">
        <v>23478</v>
      </c>
      <c r="BB3693" t="s">
        <v>23479</v>
      </c>
      <c r="BC3693">
        <v>0.72599999999999998</v>
      </c>
      <c r="BD3693" t="s">
        <v>65</v>
      </c>
      <c r="BE3693">
        <v>110</v>
      </c>
      <c r="BF3693">
        <v>12</v>
      </c>
      <c r="BG3693" t="s">
        <v>23480</v>
      </c>
      <c r="BH3693" t="s">
        <v>23481</v>
      </c>
      <c r="BI3693" t="s">
        <v>23482</v>
      </c>
      <c r="BJ3693">
        <v>2.656E-2</v>
      </c>
      <c r="BK3693">
        <v>1</v>
      </c>
      <c r="BL3693" t="s">
        <v>69</v>
      </c>
      <c r="BM3693">
        <v>-0.41899999999999998</v>
      </c>
      <c r="BN3693">
        <v>0.32300000000000001</v>
      </c>
    </row>
    <row r="3694" spans="10:66">
      <c r="J3694">
        <v>0</v>
      </c>
      <c r="K3694">
        <v>3</v>
      </c>
      <c r="L3694">
        <v>0</v>
      </c>
      <c r="M3694" t="s">
        <v>25021</v>
      </c>
      <c r="N3694">
        <v>4001</v>
      </c>
      <c r="O3694" t="s">
        <v>23529</v>
      </c>
      <c r="P3694" t="s">
        <v>57</v>
      </c>
      <c r="Q3694">
        <v>3964997</v>
      </c>
      <c r="R3694">
        <v>3966637</v>
      </c>
      <c r="S3694" t="s">
        <v>23530</v>
      </c>
      <c r="T3694">
        <v>547</v>
      </c>
      <c r="U3694" t="s">
        <v>108</v>
      </c>
      <c r="V3694">
        <v>44</v>
      </c>
      <c r="W3694" t="str">
        <f>HYPERLINK("Gene4001-zp_tree_all.dnd", "Gene4001-tree")</f>
        <v>Gene4001-tree</v>
      </c>
      <c r="X3694">
        <v>9</v>
      </c>
      <c r="Y3694">
        <v>5</v>
      </c>
      <c r="Z3694">
        <v>9</v>
      </c>
      <c r="AA3694">
        <v>5</v>
      </c>
      <c r="AB3694">
        <v>0.35714000000000001</v>
      </c>
      <c r="AC3694" t="s">
        <v>135</v>
      </c>
      <c r="AD3694" t="s">
        <v>199</v>
      </c>
      <c r="AE3694" t="s">
        <v>62</v>
      </c>
      <c r="AF3694" t="s">
        <v>62</v>
      </c>
      <c r="AG3694">
        <v>1</v>
      </c>
      <c r="AH3694">
        <v>3</v>
      </c>
      <c r="AI3694">
        <v>7</v>
      </c>
      <c r="AJ3694">
        <v>0.3</v>
      </c>
      <c r="AK3694">
        <v>0</v>
      </c>
      <c r="AL3694">
        <v>0</v>
      </c>
      <c r="AM3694">
        <v>0</v>
      </c>
      <c r="AN3694">
        <v>1</v>
      </c>
      <c r="AO3694">
        <v>0</v>
      </c>
      <c r="AP3694">
        <v>0</v>
      </c>
      <c r="AQ3694">
        <v>0</v>
      </c>
      <c r="AR3694">
        <v>0</v>
      </c>
      <c r="AS3694">
        <v>7</v>
      </c>
      <c r="AT3694">
        <v>0</v>
      </c>
      <c r="AU3694">
        <v>13</v>
      </c>
      <c r="AV3694">
        <v>11</v>
      </c>
      <c r="AW3694">
        <v>53</v>
      </c>
      <c r="AX3694">
        <v>7</v>
      </c>
      <c r="AY3694">
        <v>50</v>
      </c>
      <c r="AZ3694">
        <v>3</v>
      </c>
      <c r="BA3694" t="s">
        <v>23531</v>
      </c>
      <c r="BB3694" t="s">
        <v>23532</v>
      </c>
      <c r="BC3694">
        <v>0.58599999999999997</v>
      </c>
      <c r="BD3694" t="s">
        <v>65</v>
      </c>
      <c r="BE3694">
        <v>103</v>
      </c>
      <c r="BF3694">
        <v>10</v>
      </c>
      <c r="BG3694" t="s">
        <v>23533</v>
      </c>
      <c r="BH3694" t="s">
        <v>23534</v>
      </c>
      <c r="BI3694" t="s">
        <v>23535</v>
      </c>
      <c r="BJ3694">
        <v>2.3939999999999999E-2</v>
      </c>
      <c r="BK3694">
        <v>1</v>
      </c>
      <c r="BL3694" t="s">
        <v>69</v>
      </c>
      <c r="BM3694">
        <v>-0.12</v>
      </c>
      <c r="BN3694">
        <v>-0.83599999999999997</v>
      </c>
    </row>
    <row r="3695" spans="10:66">
      <c r="J3695">
        <v>0</v>
      </c>
      <c r="K3695">
        <v>12</v>
      </c>
      <c r="L3695">
        <v>1</v>
      </c>
      <c r="M3695" t="s">
        <v>25021</v>
      </c>
      <c r="N3695">
        <v>4002</v>
      </c>
      <c r="O3695" t="s">
        <v>23536</v>
      </c>
      <c r="P3695" t="s">
        <v>57</v>
      </c>
      <c r="Q3695">
        <v>3966745</v>
      </c>
      <c r="R3695">
        <v>3967944</v>
      </c>
      <c r="S3695" t="s">
        <v>2569</v>
      </c>
      <c r="T3695">
        <v>400</v>
      </c>
      <c r="U3695" t="s">
        <v>23537</v>
      </c>
      <c r="V3695">
        <v>40</v>
      </c>
      <c r="W3695" t="str">
        <f>HYPERLINK("Gene4002-zp_tree_all.dnd", "Gene4002-tree")</f>
        <v>Gene4002-tree</v>
      </c>
      <c r="X3695">
        <v>1</v>
      </c>
      <c r="Y3695">
        <v>11</v>
      </c>
      <c r="Z3695">
        <v>1</v>
      </c>
      <c r="AA3695">
        <v>11</v>
      </c>
      <c r="AB3695">
        <v>0.91666999999999998</v>
      </c>
      <c r="AC3695" t="s">
        <v>175</v>
      </c>
      <c r="AD3695" t="s">
        <v>73</v>
      </c>
      <c r="AE3695">
        <v>1144612630.289</v>
      </c>
      <c r="AF3695" t="s">
        <v>267</v>
      </c>
      <c r="AG3695">
        <v>5</v>
      </c>
      <c r="AH3695">
        <v>13</v>
      </c>
      <c r="AI3695">
        <v>23</v>
      </c>
      <c r="AJ3695">
        <v>0.36110999999999999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5</v>
      </c>
      <c r="AQ3695">
        <v>1</v>
      </c>
      <c r="AR3695">
        <v>6</v>
      </c>
      <c r="AS3695">
        <v>20</v>
      </c>
      <c r="AT3695">
        <v>0.23077</v>
      </c>
      <c r="AU3695">
        <v>10</v>
      </c>
      <c r="AV3695">
        <v>8</v>
      </c>
      <c r="AW3695">
        <v>45</v>
      </c>
      <c r="AX3695">
        <v>20</v>
      </c>
      <c r="AY3695">
        <v>26</v>
      </c>
      <c r="AZ3695">
        <v>16</v>
      </c>
      <c r="BA3695" t="s">
        <v>23538</v>
      </c>
      <c r="BB3695" t="s">
        <v>23539</v>
      </c>
      <c r="BC3695">
        <v>0.625</v>
      </c>
      <c r="BD3695" t="s">
        <v>65</v>
      </c>
      <c r="BE3695">
        <v>71</v>
      </c>
      <c r="BF3695">
        <v>36</v>
      </c>
      <c r="BG3695" t="s">
        <v>23540</v>
      </c>
      <c r="BH3695" t="s">
        <v>23541</v>
      </c>
      <c r="BI3695" t="s">
        <v>23542</v>
      </c>
      <c r="BJ3695">
        <v>0.18004000000000001</v>
      </c>
      <c r="BK3695">
        <v>1</v>
      </c>
      <c r="BL3695" t="s">
        <v>69</v>
      </c>
      <c r="BM3695">
        <v>-0.92900000000000005</v>
      </c>
      <c r="BN3695">
        <v>-2.08</v>
      </c>
    </row>
    <row r="3696" spans="10:66">
      <c r="J3696">
        <v>0</v>
      </c>
      <c r="K3696">
        <v>4</v>
      </c>
      <c r="L3696">
        <v>0</v>
      </c>
      <c r="M3696" t="s">
        <v>25021</v>
      </c>
      <c r="N3696">
        <v>4009</v>
      </c>
      <c r="O3696" t="s">
        <v>23582</v>
      </c>
      <c r="P3696" t="s">
        <v>57</v>
      </c>
      <c r="Q3696">
        <v>3971060</v>
      </c>
      <c r="R3696">
        <v>3972430</v>
      </c>
      <c r="S3696" t="s">
        <v>23583</v>
      </c>
      <c r="T3696">
        <v>457</v>
      </c>
      <c r="U3696" t="s">
        <v>289</v>
      </c>
      <c r="V3696">
        <v>46</v>
      </c>
      <c r="W3696" t="str">
        <f>HYPERLINK("Gene4009-zp_tree_all.dnd", "Gene4009-tree")</f>
        <v>Gene4009-tree</v>
      </c>
      <c r="X3696">
        <v>6</v>
      </c>
      <c r="Y3696">
        <v>8</v>
      </c>
      <c r="Z3696">
        <v>6</v>
      </c>
      <c r="AA3696">
        <v>8</v>
      </c>
      <c r="AB3696">
        <v>0.57142999999999999</v>
      </c>
      <c r="AC3696" t="s">
        <v>90</v>
      </c>
      <c r="AD3696" t="s">
        <v>136</v>
      </c>
      <c r="AE3696" t="s">
        <v>62</v>
      </c>
      <c r="AF3696" t="s">
        <v>62</v>
      </c>
      <c r="AG3696">
        <v>2</v>
      </c>
      <c r="AH3696">
        <v>4</v>
      </c>
      <c r="AI3696">
        <v>9</v>
      </c>
      <c r="AJ3696">
        <v>0.30769000000000002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4</v>
      </c>
      <c r="AQ3696">
        <v>0</v>
      </c>
      <c r="AR3696">
        <v>4</v>
      </c>
      <c r="AS3696">
        <v>5</v>
      </c>
      <c r="AT3696">
        <v>0.44444</v>
      </c>
      <c r="AU3696">
        <v>12</v>
      </c>
      <c r="AV3696">
        <v>9</v>
      </c>
      <c r="AW3696">
        <v>34</v>
      </c>
      <c r="AX3696">
        <v>7</v>
      </c>
      <c r="AY3696">
        <v>57</v>
      </c>
      <c r="AZ3696">
        <v>8</v>
      </c>
      <c r="BA3696" t="s">
        <v>23584</v>
      </c>
      <c r="BB3696" t="s">
        <v>23585</v>
      </c>
      <c r="BC3696">
        <v>0.22900000000000001</v>
      </c>
      <c r="BD3696" t="s">
        <v>65</v>
      </c>
      <c r="BE3696">
        <v>91</v>
      </c>
      <c r="BF3696">
        <v>15</v>
      </c>
      <c r="BG3696" t="s">
        <v>23586</v>
      </c>
      <c r="BH3696" t="s">
        <v>23587</v>
      </c>
      <c r="BI3696" t="s">
        <v>23588</v>
      </c>
      <c r="BJ3696">
        <v>4.4900000000000002E-2</v>
      </c>
      <c r="BK3696">
        <v>1</v>
      </c>
      <c r="BL3696" t="s">
        <v>69</v>
      </c>
      <c r="BM3696">
        <v>-1.337</v>
      </c>
      <c r="BN3696">
        <v>-0.48599999999999999</v>
      </c>
    </row>
    <row r="3697" spans="10:66">
      <c r="J3697">
        <v>0</v>
      </c>
      <c r="K3697">
        <v>3</v>
      </c>
      <c r="L3697">
        <v>0</v>
      </c>
      <c r="M3697" t="s">
        <v>25021</v>
      </c>
      <c r="N3697">
        <v>4015</v>
      </c>
      <c r="O3697" t="s">
        <v>23623</v>
      </c>
      <c r="P3697" t="s">
        <v>57</v>
      </c>
      <c r="Q3697">
        <v>3979753</v>
      </c>
      <c r="R3697">
        <v>3981102</v>
      </c>
      <c r="S3697" t="s">
        <v>23624</v>
      </c>
      <c r="T3697">
        <v>450</v>
      </c>
      <c r="U3697" t="s">
        <v>108</v>
      </c>
      <c r="V3697">
        <v>44</v>
      </c>
      <c r="W3697" t="str">
        <f>HYPERLINK("Gene4015-zp_tree_all.dnd", "Gene4015-tree")</f>
        <v>Gene4015-tree</v>
      </c>
      <c r="X3697">
        <v>12</v>
      </c>
      <c r="Y3697">
        <v>5</v>
      </c>
      <c r="Z3697">
        <v>12</v>
      </c>
      <c r="AA3697">
        <v>5</v>
      </c>
      <c r="AB3697">
        <v>0.29411999999999999</v>
      </c>
      <c r="AC3697" t="s">
        <v>109</v>
      </c>
      <c r="AD3697" t="s">
        <v>199</v>
      </c>
      <c r="AE3697" t="s">
        <v>62</v>
      </c>
      <c r="AF3697" t="s">
        <v>62</v>
      </c>
      <c r="AG3697">
        <v>1</v>
      </c>
      <c r="AH3697">
        <v>3</v>
      </c>
      <c r="AI3697">
        <v>9</v>
      </c>
      <c r="AJ3697">
        <v>0.25</v>
      </c>
      <c r="AK3697">
        <v>0</v>
      </c>
      <c r="AL3697">
        <v>0</v>
      </c>
      <c r="AM3697">
        <v>0</v>
      </c>
      <c r="AN3697">
        <v>2</v>
      </c>
      <c r="AO3697">
        <v>0</v>
      </c>
      <c r="AP3697">
        <v>0</v>
      </c>
      <c r="AQ3697">
        <v>0</v>
      </c>
      <c r="AR3697">
        <v>0</v>
      </c>
      <c r="AS3697">
        <v>8</v>
      </c>
      <c r="AT3697">
        <v>0</v>
      </c>
      <c r="AU3697">
        <v>14</v>
      </c>
      <c r="AV3697">
        <v>13</v>
      </c>
      <c r="AW3697">
        <v>62</v>
      </c>
      <c r="AX3697">
        <v>8</v>
      </c>
      <c r="AY3697">
        <v>57</v>
      </c>
      <c r="AZ3697">
        <v>4</v>
      </c>
      <c r="BA3697" t="s">
        <v>23625</v>
      </c>
      <c r="BB3697" t="s">
        <v>23626</v>
      </c>
      <c r="BC3697">
        <v>0.437</v>
      </c>
      <c r="BD3697" t="s">
        <v>65</v>
      </c>
      <c r="BE3697">
        <v>119</v>
      </c>
      <c r="BF3697">
        <v>12</v>
      </c>
      <c r="BG3697" t="s">
        <v>23627</v>
      </c>
      <c r="BH3697" t="s">
        <v>23628</v>
      </c>
      <c r="BI3697" t="s">
        <v>23629</v>
      </c>
      <c r="BJ3697">
        <v>2.8240000000000001E-2</v>
      </c>
      <c r="BK3697">
        <v>1</v>
      </c>
      <c r="BL3697" t="s">
        <v>69</v>
      </c>
      <c r="BM3697">
        <v>-0.55700000000000005</v>
      </c>
      <c r="BN3697">
        <v>-1.224</v>
      </c>
    </row>
    <row r="3698" spans="10:66">
      <c r="J3698">
        <v>0</v>
      </c>
      <c r="K3698">
        <v>36</v>
      </c>
      <c r="L3698">
        <v>6</v>
      </c>
      <c r="M3698" t="s">
        <v>25021</v>
      </c>
      <c r="N3698">
        <v>4016</v>
      </c>
      <c r="O3698" t="s">
        <v>23630</v>
      </c>
      <c r="P3698" t="s">
        <v>57</v>
      </c>
      <c r="Q3698">
        <v>3981227</v>
      </c>
      <c r="R3698">
        <v>3982912</v>
      </c>
      <c r="S3698" t="s">
        <v>3986</v>
      </c>
      <c r="T3698">
        <v>562</v>
      </c>
      <c r="U3698" t="s">
        <v>108</v>
      </c>
      <c r="V3698">
        <v>44</v>
      </c>
      <c r="W3698" t="str">
        <f>HYPERLINK("Gene4016-zp_tree_all.dnd", "Gene4016-tree")</f>
        <v>Gene4016-tree</v>
      </c>
      <c r="X3698">
        <v>0</v>
      </c>
      <c r="Y3698">
        <v>17</v>
      </c>
      <c r="Z3698">
        <v>0</v>
      </c>
      <c r="AA3698">
        <v>17</v>
      </c>
      <c r="AB3698">
        <v>1</v>
      </c>
      <c r="AC3698" t="s">
        <v>62</v>
      </c>
      <c r="AD3698" t="s">
        <v>266</v>
      </c>
      <c r="AE3698">
        <v>69600344.844999999</v>
      </c>
      <c r="AF3698" t="s">
        <v>65</v>
      </c>
      <c r="AG3698">
        <v>18</v>
      </c>
      <c r="AH3698">
        <v>42</v>
      </c>
      <c r="AI3698">
        <v>24</v>
      </c>
      <c r="AJ3698">
        <v>0.63636000000000004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6</v>
      </c>
      <c r="AQ3698">
        <v>0</v>
      </c>
      <c r="AR3698">
        <v>6</v>
      </c>
      <c r="AS3698">
        <v>28</v>
      </c>
      <c r="AT3698">
        <v>0.17646999999999999</v>
      </c>
      <c r="AU3698">
        <v>15</v>
      </c>
      <c r="AV3698">
        <v>13</v>
      </c>
      <c r="AW3698">
        <v>67</v>
      </c>
      <c r="AX3698">
        <v>33</v>
      </c>
      <c r="AY3698">
        <v>82</v>
      </c>
      <c r="AZ3698">
        <v>33</v>
      </c>
      <c r="BA3698" t="s">
        <v>23631</v>
      </c>
      <c r="BB3698" t="s">
        <v>23632</v>
      </c>
      <c r="BC3698">
        <v>0.47299999999999998</v>
      </c>
      <c r="BD3698" t="s">
        <v>65</v>
      </c>
      <c r="BE3698">
        <v>149</v>
      </c>
      <c r="BF3698">
        <v>66</v>
      </c>
      <c r="BG3698" t="s">
        <v>23633</v>
      </c>
      <c r="BH3698" t="s">
        <v>23634</v>
      </c>
      <c r="BI3698" t="s">
        <v>23635</v>
      </c>
      <c r="BJ3698">
        <v>0.13616</v>
      </c>
      <c r="BK3698">
        <v>1</v>
      </c>
      <c r="BL3698" t="s">
        <v>69</v>
      </c>
      <c r="BM3698">
        <v>0.441</v>
      </c>
      <c r="BN3698">
        <v>-0.23699999999999999</v>
      </c>
    </row>
    <row r="3699" spans="10:66">
      <c r="J3699">
        <v>0</v>
      </c>
      <c r="K3699">
        <v>0</v>
      </c>
      <c r="L3699">
        <v>0</v>
      </c>
      <c r="M3699" t="s">
        <v>25021</v>
      </c>
      <c r="N3699">
        <v>4017</v>
      </c>
      <c r="O3699" t="s">
        <v>23636</v>
      </c>
      <c r="P3699" t="s">
        <v>57</v>
      </c>
      <c r="Q3699">
        <v>3982973</v>
      </c>
      <c r="R3699">
        <v>3983170</v>
      </c>
      <c r="S3699" t="s">
        <v>19127</v>
      </c>
      <c r="T3699">
        <v>66</v>
      </c>
      <c r="U3699" t="s">
        <v>23637</v>
      </c>
      <c r="V3699">
        <v>31</v>
      </c>
      <c r="W3699" t="str">
        <f>HYPERLINK("Gene4017-zp_tree_all.dnd", "Gene4017-tree")</f>
        <v>Gene4017-tree</v>
      </c>
      <c r="X3699">
        <v>1</v>
      </c>
      <c r="Y3699">
        <v>4</v>
      </c>
      <c r="Z3699">
        <v>1</v>
      </c>
      <c r="AA3699">
        <v>4</v>
      </c>
      <c r="AB3699">
        <v>0.8</v>
      </c>
      <c r="AC3699" t="s">
        <v>175</v>
      </c>
      <c r="AD3699" t="s">
        <v>61</v>
      </c>
      <c r="AE3699" t="s">
        <v>62</v>
      </c>
      <c r="AF3699" t="s">
        <v>62</v>
      </c>
      <c r="AG3699">
        <v>0</v>
      </c>
      <c r="AH3699">
        <v>0</v>
      </c>
      <c r="AI3699">
        <v>6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6</v>
      </c>
      <c r="AT3699">
        <v>0</v>
      </c>
      <c r="AU3699">
        <v>4</v>
      </c>
      <c r="AV3699">
        <v>2</v>
      </c>
      <c r="AW3699">
        <v>3</v>
      </c>
      <c r="AX3699">
        <v>4</v>
      </c>
      <c r="AY3699">
        <v>3</v>
      </c>
      <c r="AZ3699">
        <v>2</v>
      </c>
      <c r="BA3699" t="s">
        <v>23638</v>
      </c>
      <c r="BB3699" t="s">
        <v>23639</v>
      </c>
      <c r="BC3699">
        <v>0.88100000000000001</v>
      </c>
      <c r="BD3699" t="s">
        <v>65</v>
      </c>
      <c r="BE3699">
        <v>6</v>
      </c>
      <c r="BF3699">
        <v>6</v>
      </c>
      <c r="BG3699" t="s">
        <v>23640</v>
      </c>
      <c r="BH3699" t="s">
        <v>23641</v>
      </c>
      <c r="BI3699" t="s">
        <v>23642</v>
      </c>
      <c r="BJ3699">
        <v>0.26084000000000002</v>
      </c>
      <c r="BK3699">
        <v>0.94799999999999995</v>
      </c>
      <c r="BL3699" t="s">
        <v>635</v>
      </c>
      <c r="BM3699">
        <v>0.81</v>
      </c>
      <c r="BN3699">
        <v>-0.42399999999999999</v>
      </c>
    </row>
    <row r="3700" spans="10:66">
      <c r="J3700">
        <v>0</v>
      </c>
      <c r="K3700">
        <v>21</v>
      </c>
      <c r="L3700">
        <v>4</v>
      </c>
      <c r="M3700" t="s">
        <v>25021</v>
      </c>
      <c r="N3700">
        <v>4021</v>
      </c>
      <c r="O3700" t="s">
        <v>23662</v>
      </c>
      <c r="P3700" t="s">
        <v>57</v>
      </c>
      <c r="Q3700">
        <v>3986428</v>
      </c>
      <c r="R3700">
        <v>3987882</v>
      </c>
      <c r="S3700" t="s">
        <v>23075</v>
      </c>
      <c r="T3700">
        <v>485</v>
      </c>
      <c r="U3700" t="s">
        <v>108</v>
      </c>
      <c r="V3700">
        <v>44</v>
      </c>
      <c r="W3700" t="str">
        <f>HYPERLINK("Gene4021-zp_tree_all.dnd", "Gene4021-tree")</f>
        <v>Gene4021-tree</v>
      </c>
      <c r="X3700">
        <v>0</v>
      </c>
      <c r="Y3700">
        <v>33</v>
      </c>
      <c r="Z3700">
        <v>0</v>
      </c>
      <c r="AA3700">
        <v>14</v>
      </c>
      <c r="AB3700">
        <v>1</v>
      </c>
      <c r="AC3700" t="s">
        <v>62</v>
      </c>
      <c r="AD3700" t="s">
        <v>126</v>
      </c>
      <c r="AE3700">
        <v>3.8719999999999999</v>
      </c>
      <c r="AF3700" t="s">
        <v>65</v>
      </c>
      <c r="AG3700">
        <v>10</v>
      </c>
      <c r="AH3700">
        <v>25</v>
      </c>
      <c r="AI3700">
        <v>31</v>
      </c>
      <c r="AJ3700">
        <v>0.44642999999999999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13</v>
      </c>
      <c r="AQ3700">
        <v>5</v>
      </c>
      <c r="AR3700">
        <v>18</v>
      </c>
      <c r="AS3700">
        <v>31</v>
      </c>
      <c r="AT3700">
        <v>0.36735000000000001</v>
      </c>
      <c r="AU3700">
        <v>12</v>
      </c>
      <c r="AV3700">
        <v>11</v>
      </c>
      <c r="AW3700">
        <v>61</v>
      </c>
      <c r="AX3700">
        <v>38</v>
      </c>
      <c r="AY3700">
        <v>69</v>
      </c>
      <c r="AZ3700">
        <v>19</v>
      </c>
      <c r="BA3700" t="s">
        <v>23663</v>
      </c>
      <c r="BB3700" t="s">
        <v>23664</v>
      </c>
      <c r="BC3700">
        <v>1.2030000000000001</v>
      </c>
      <c r="BD3700" t="s">
        <v>65</v>
      </c>
      <c r="BE3700">
        <v>130</v>
      </c>
      <c r="BF3700">
        <v>57</v>
      </c>
      <c r="BG3700" t="s">
        <v>23665</v>
      </c>
      <c r="BH3700" t="s">
        <v>23666</v>
      </c>
      <c r="BI3700" t="s">
        <v>23667</v>
      </c>
      <c r="BJ3700">
        <v>0.11637</v>
      </c>
      <c r="BK3700">
        <v>1</v>
      </c>
      <c r="BL3700" t="s">
        <v>69</v>
      </c>
      <c r="BM3700">
        <v>-0.74399999999999999</v>
      </c>
      <c r="BN3700">
        <v>-1.33</v>
      </c>
    </row>
    <row r="3701" spans="10:66">
      <c r="J3701">
        <v>0</v>
      </c>
      <c r="K3701">
        <v>2</v>
      </c>
      <c r="L3701">
        <v>0</v>
      </c>
      <c r="M3701" t="s">
        <v>25021</v>
      </c>
      <c r="N3701">
        <v>4023</v>
      </c>
      <c r="O3701" t="s">
        <v>23674</v>
      </c>
      <c r="P3701" t="s">
        <v>57</v>
      </c>
      <c r="Q3701">
        <v>3989331</v>
      </c>
      <c r="R3701">
        <v>3989870</v>
      </c>
      <c r="S3701" t="s">
        <v>116</v>
      </c>
      <c r="T3701">
        <v>180</v>
      </c>
      <c r="U3701" t="s">
        <v>23675</v>
      </c>
      <c r="V3701">
        <v>30</v>
      </c>
      <c r="W3701" t="str">
        <f>HYPERLINK("Gene4023-zp_tree_all.dnd", "Gene4023-tree")</f>
        <v>Gene4023-tree</v>
      </c>
      <c r="X3701">
        <v>7</v>
      </c>
      <c r="Y3701">
        <v>2</v>
      </c>
      <c r="Z3701">
        <v>7</v>
      </c>
      <c r="AA3701">
        <v>2</v>
      </c>
      <c r="AB3701">
        <v>0.22222</v>
      </c>
      <c r="AC3701" t="s">
        <v>152</v>
      </c>
      <c r="AD3701" t="s">
        <v>81</v>
      </c>
      <c r="AE3701" t="s">
        <v>62</v>
      </c>
      <c r="AF3701" t="s">
        <v>62</v>
      </c>
      <c r="AG3701">
        <v>1</v>
      </c>
      <c r="AH3701">
        <v>2</v>
      </c>
      <c r="AI3701">
        <v>6</v>
      </c>
      <c r="AJ3701">
        <v>0.25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5</v>
      </c>
      <c r="AT3701">
        <v>0</v>
      </c>
      <c r="AU3701">
        <v>9</v>
      </c>
      <c r="AV3701">
        <v>6</v>
      </c>
      <c r="AW3701">
        <v>33</v>
      </c>
      <c r="AX3701">
        <v>6</v>
      </c>
      <c r="AY3701">
        <v>14</v>
      </c>
      <c r="AZ3701">
        <v>3</v>
      </c>
      <c r="BA3701" t="s">
        <v>23676</v>
      </c>
      <c r="BB3701" t="s">
        <v>23677</v>
      </c>
      <c r="BC3701">
        <v>8.6999999999999994E-2</v>
      </c>
      <c r="BD3701" t="s">
        <v>65</v>
      </c>
      <c r="BE3701">
        <v>47</v>
      </c>
      <c r="BF3701">
        <v>9</v>
      </c>
      <c r="BG3701" t="s">
        <v>23678</v>
      </c>
      <c r="BH3701" t="s">
        <v>23679</v>
      </c>
      <c r="BI3701" t="s">
        <v>23680</v>
      </c>
      <c r="BJ3701">
        <v>5.527E-2</v>
      </c>
      <c r="BK3701">
        <v>1</v>
      </c>
      <c r="BL3701" t="s">
        <v>69</v>
      </c>
      <c r="BM3701">
        <v>-1.2849999999999999</v>
      </c>
      <c r="BN3701">
        <v>-2.1360000000000001</v>
      </c>
    </row>
    <row r="3702" spans="10:66">
      <c r="J3702">
        <v>0</v>
      </c>
      <c r="K3702">
        <v>6</v>
      </c>
      <c r="L3702">
        <v>0</v>
      </c>
      <c r="M3702" t="s">
        <v>25021</v>
      </c>
      <c r="N3702">
        <v>4026</v>
      </c>
      <c r="O3702" t="s">
        <v>23694</v>
      </c>
      <c r="P3702" t="s">
        <v>57</v>
      </c>
      <c r="Q3702">
        <v>3991718</v>
      </c>
      <c r="R3702">
        <v>3992590</v>
      </c>
      <c r="S3702" t="s">
        <v>2170</v>
      </c>
      <c r="T3702">
        <v>291</v>
      </c>
      <c r="U3702" t="s">
        <v>23689</v>
      </c>
      <c r="V3702">
        <v>27</v>
      </c>
      <c r="W3702" t="str">
        <f>HYPERLINK("Gene4026-zp_tree_all.dnd", "Gene4026-tree")</f>
        <v>Gene4026-tree</v>
      </c>
      <c r="X3702">
        <v>1</v>
      </c>
      <c r="Y3702">
        <v>5</v>
      </c>
      <c r="Z3702">
        <v>1</v>
      </c>
      <c r="AA3702">
        <v>5</v>
      </c>
      <c r="AB3702">
        <v>0.83333000000000002</v>
      </c>
      <c r="AC3702" t="s">
        <v>175</v>
      </c>
      <c r="AD3702" t="s">
        <v>199</v>
      </c>
      <c r="AE3702" t="s">
        <v>62</v>
      </c>
      <c r="AF3702" t="s">
        <v>62</v>
      </c>
      <c r="AG3702">
        <v>3</v>
      </c>
      <c r="AH3702">
        <v>6</v>
      </c>
      <c r="AI3702">
        <v>12</v>
      </c>
      <c r="AJ3702">
        <v>0.33333000000000002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2</v>
      </c>
      <c r="AQ3702">
        <v>0</v>
      </c>
      <c r="AR3702">
        <v>2</v>
      </c>
      <c r="AS3702">
        <v>9</v>
      </c>
      <c r="AT3702">
        <v>0.18182000000000001</v>
      </c>
      <c r="AU3702">
        <v>6</v>
      </c>
      <c r="AV3702">
        <v>3</v>
      </c>
      <c r="AW3702">
        <v>13</v>
      </c>
      <c r="AX3702">
        <v>11</v>
      </c>
      <c r="AY3702">
        <v>6</v>
      </c>
      <c r="AZ3702">
        <v>7</v>
      </c>
      <c r="BA3702" t="s">
        <v>23695</v>
      </c>
      <c r="BB3702" t="s">
        <v>23696</v>
      </c>
      <c r="BC3702">
        <v>0.28399999999999997</v>
      </c>
      <c r="BD3702" t="s">
        <v>65</v>
      </c>
      <c r="BE3702">
        <v>19</v>
      </c>
      <c r="BF3702">
        <v>18</v>
      </c>
      <c r="BG3702" t="s">
        <v>23697</v>
      </c>
      <c r="BH3702" t="s">
        <v>23698</v>
      </c>
      <c r="BI3702" t="s">
        <v>23699</v>
      </c>
      <c r="BJ3702">
        <v>0.28223999999999999</v>
      </c>
      <c r="BK3702">
        <v>0.98</v>
      </c>
      <c r="BL3702" t="s">
        <v>69</v>
      </c>
      <c r="BM3702">
        <v>-0.70499999999999996</v>
      </c>
      <c r="BN3702">
        <v>-0.54400000000000004</v>
      </c>
    </row>
    <row r="3703" spans="10:66">
      <c r="J3703">
        <v>0</v>
      </c>
      <c r="K3703">
        <v>2</v>
      </c>
      <c r="L3703">
        <v>0</v>
      </c>
      <c r="M3703" t="s">
        <v>25021</v>
      </c>
      <c r="N3703">
        <v>4027</v>
      </c>
      <c r="O3703" t="s">
        <v>23700</v>
      </c>
      <c r="P3703" t="s">
        <v>57</v>
      </c>
      <c r="Q3703">
        <v>3992671</v>
      </c>
      <c r="R3703">
        <v>3993141</v>
      </c>
      <c r="S3703" t="s">
        <v>2075</v>
      </c>
      <c r="T3703">
        <v>157</v>
      </c>
      <c r="U3703" t="s">
        <v>23701</v>
      </c>
      <c r="V3703">
        <v>41</v>
      </c>
      <c r="W3703" t="str">
        <f>HYPERLINK("Gene4027-zp_tree_all.dnd", "Gene4027-tree")</f>
        <v>Gene4027-tree</v>
      </c>
      <c r="X3703">
        <v>4</v>
      </c>
      <c r="Y3703">
        <v>7</v>
      </c>
      <c r="Z3703">
        <v>4</v>
      </c>
      <c r="AA3703">
        <v>7</v>
      </c>
      <c r="AB3703">
        <v>0.63636000000000004</v>
      </c>
      <c r="AC3703" t="s">
        <v>61</v>
      </c>
      <c r="AD3703" t="s">
        <v>152</v>
      </c>
      <c r="AE3703" t="s">
        <v>62</v>
      </c>
      <c r="AF3703" t="s">
        <v>62</v>
      </c>
      <c r="AG3703">
        <v>1</v>
      </c>
      <c r="AH3703">
        <v>2</v>
      </c>
      <c r="AI3703">
        <v>9</v>
      </c>
      <c r="AJ3703">
        <v>0.18182000000000001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2</v>
      </c>
      <c r="AQ3703">
        <v>0</v>
      </c>
      <c r="AR3703">
        <v>2</v>
      </c>
      <c r="AS3703">
        <v>7</v>
      </c>
      <c r="AT3703">
        <v>0.22222</v>
      </c>
      <c r="AU3703">
        <v>10</v>
      </c>
      <c r="AV3703">
        <v>6</v>
      </c>
      <c r="AW3703">
        <v>27</v>
      </c>
      <c r="AX3703">
        <v>9</v>
      </c>
      <c r="AY3703">
        <v>15</v>
      </c>
      <c r="AZ3703">
        <v>2</v>
      </c>
      <c r="BA3703" t="s">
        <v>23702</v>
      </c>
      <c r="BB3703" t="s">
        <v>23703</v>
      </c>
      <c r="BC3703">
        <v>0.58599999999999997</v>
      </c>
      <c r="BD3703" t="s">
        <v>65</v>
      </c>
      <c r="BE3703">
        <v>42</v>
      </c>
      <c r="BF3703">
        <v>11</v>
      </c>
      <c r="BG3703" t="s">
        <v>23704</v>
      </c>
      <c r="BH3703" t="s">
        <v>23705</v>
      </c>
      <c r="BI3703" t="s">
        <v>23706</v>
      </c>
      <c r="BJ3703">
        <v>7.6520000000000005E-2</v>
      </c>
      <c r="BK3703">
        <v>1</v>
      </c>
      <c r="BL3703" t="s">
        <v>69</v>
      </c>
      <c r="BM3703">
        <v>0.45500000000000002</v>
      </c>
      <c r="BN3703">
        <v>-0.183</v>
      </c>
    </row>
    <row r="3704" spans="10:66">
      <c r="J3704">
        <v>0</v>
      </c>
      <c r="K3704">
        <v>19</v>
      </c>
      <c r="L3704">
        <v>0</v>
      </c>
      <c r="M3704" t="s">
        <v>25021</v>
      </c>
      <c r="N3704">
        <v>4028</v>
      </c>
      <c r="O3704" t="s">
        <v>23707</v>
      </c>
      <c r="P3704" t="s">
        <v>57</v>
      </c>
      <c r="Q3704">
        <v>3993162</v>
      </c>
      <c r="R3704">
        <v>3994379</v>
      </c>
      <c r="S3704" t="s">
        <v>23708</v>
      </c>
      <c r="T3704">
        <v>406</v>
      </c>
      <c r="U3704" t="s">
        <v>23709</v>
      </c>
      <c r="V3704">
        <v>31</v>
      </c>
      <c r="W3704" t="str">
        <f>HYPERLINK("Gene4028-zp_tree_all.dnd", "Gene4028-tree")</f>
        <v>Gene4028-tree</v>
      </c>
      <c r="X3704">
        <v>0</v>
      </c>
      <c r="Y3704">
        <v>10</v>
      </c>
      <c r="Z3704">
        <v>0</v>
      </c>
      <c r="AA3704">
        <v>10</v>
      </c>
      <c r="AB3704">
        <v>1</v>
      </c>
      <c r="AC3704" t="s">
        <v>62</v>
      </c>
      <c r="AD3704" t="s">
        <v>117</v>
      </c>
      <c r="AE3704" t="s">
        <v>62</v>
      </c>
      <c r="AF3704" t="s">
        <v>62</v>
      </c>
      <c r="AG3704">
        <v>8</v>
      </c>
      <c r="AH3704">
        <v>19</v>
      </c>
      <c r="AI3704">
        <v>19</v>
      </c>
      <c r="AJ3704">
        <v>0.5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15</v>
      </c>
      <c r="AQ3704">
        <v>1</v>
      </c>
      <c r="AR3704">
        <v>16</v>
      </c>
      <c r="AS3704">
        <v>15</v>
      </c>
      <c r="AT3704">
        <v>0.51612999999999998</v>
      </c>
      <c r="AU3704">
        <v>7</v>
      </c>
      <c r="AV3704">
        <v>7</v>
      </c>
      <c r="AW3704">
        <v>30</v>
      </c>
      <c r="AX3704">
        <v>29</v>
      </c>
      <c r="AY3704">
        <v>27</v>
      </c>
      <c r="AZ3704">
        <v>11</v>
      </c>
      <c r="BA3704" t="s">
        <v>23710</v>
      </c>
      <c r="BB3704" t="s">
        <v>23711</v>
      </c>
      <c r="BC3704">
        <v>2.4460000000000002</v>
      </c>
      <c r="BD3704" t="s">
        <v>267</v>
      </c>
      <c r="BE3704">
        <v>57</v>
      </c>
      <c r="BF3704">
        <v>40</v>
      </c>
      <c r="BG3704" t="s">
        <v>23712</v>
      </c>
      <c r="BH3704" t="s">
        <v>23713</v>
      </c>
      <c r="BI3704" t="s">
        <v>23714</v>
      </c>
      <c r="BJ3704">
        <v>0.19111</v>
      </c>
      <c r="BK3704">
        <v>1</v>
      </c>
      <c r="BL3704" t="s">
        <v>69</v>
      </c>
      <c r="BM3704">
        <v>-1.155</v>
      </c>
      <c r="BN3704">
        <v>-0.32200000000000001</v>
      </c>
    </row>
    <row r="3705" spans="10:66">
      <c r="J3705">
        <v>0</v>
      </c>
      <c r="K3705">
        <v>16</v>
      </c>
      <c r="L3705">
        <v>1</v>
      </c>
      <c r="M3705" t="s">
        <v>25021</v>
      </c>
      <c r="N3705">
        <v>4029</v>
      </c>
      <c r="O3705" t="s">
        <v>23715</v>
      </c>
      <c r="P3705" t="s">
        <v>57</v>
      </c>
      <c r="Q3705">
        <v>3994369</v>
      </c>
      <c r="R3705">
        <v>3995022</v>
      </c>
      <c r="S3705" t="s">
        <v>23716</v>
      </c>
      <c r="T3705">
        <v>218</v>
      </c>
      <c r="U3705" t="s">
        <v>108</v>
      </c>
      <c r="V3705">
        <v>44</v>
      </c>
      <c r="W3705" t="str">
        <f>HYPERLINK("Gene4029-zp_tree_all.dnd", "Gene4029-tree")</f>
        <v>Gene4029-tree</v>
      </c>
      <c r="X3705">
        <v>4</v>
      </c>
      <c r="Y3705">
        <v>11</v>
      </c>
      <c r="Z3705">
        <v>4</v>
      </c>
      <c r="AA3705">
        <v>11</v>
      </c>
      <c r="AB3705">
        <v>0.73333000000000004</v>
      </c>
      <c r="AC3705" t="s">
        <v>61</v>
      </c>
      <c r="AD3705" t="s">
        <v>73</v>
      </c>
      <c r="AE3705">
        <v>200307210.301</v>
      </c>
      <c r="AF3705" t="s">
        <v>267</v>
      </c>
      <c r="AG3705">
        <v>5</v>
      </c>
      <c r="AH3705">
        <v>17</v>
      </c>
      <c r="AI3705">
        <v>6</v>
      </c>
      <c r="AJ3705">
        <v>0.73912999999999995</v>
      </c>
      <c r="AK3705">
        <v>0</v>
      </c>
      <c r="AL3705">
        <v>0</v>
      </c>
      <c r="AM3705">
        <v>0</v>
      </c>
      <c r="AN3705">
        <v>1</v>
      </c>
      <c r="AO3705">
        <v>0</v>
      </c>
      <c r="AP3705">
        <v>11</v>
      </c>
      <c r="AQ3705">
        <v>0</v>
      </c>
      <c r="AR3705">
        <v>11</v>
      </c>
      <c r="AS3705">
        <v>6</v>
      </c>
      <c r="AT3705">
        <v>0.64705999999999997</v>
      </c>
      <c r="AU3705">
        <v>12</v>
      </c>
      <c r="AV3705">
        <v>11</v>
      </c>
      <c r="AW3705">
        <v>32</v>
      </c>
      <c r="AX3705">
        <v>18</v>
      </c>
      <c r="AY3705">
        <v>17</v>
      </c>
      <c r="AZ3705">
        <v>7</v>
      </c>
      <c r="BA3705" t="s">
        <v>23717</v>
      </c>
      <c r="BB3705" t="s">
        <v>23718</v>
      </c>
      <c r="BC3705">
        <v>0.39800000000000002</v>
      </c>
      <c r="BD3705" t="s">
        <v>65</v>
      </c>
      <c r="BE3705">
        <v>49</v>
      </c>
      <c r="BF3705">
        <v>25</v>
      </c>
      <c r="BG3705" t="s">
        <v>23719</v>
      </c>
      <c r="BH3705" t="s">
        <v>23720</v>
      </c>
      <c r="BI3705" t="s">
        <v>23721</v>
      </c>
      <c r="BJ3705">
        <v>0.12664</v>
      </c>
      <c r="BK3705">
        <v>1</v>
      </c>
      <c r="BL3705" t="s">
        <v>69</v>
      </c>
      <c r="BM3705">
        <v>-5.8999999999999997E-2</v>
      </c>
      <c r="BN3705">
        <v>-1.3180000000000001</v>
      </c>
    </row>
    <row r="3706" spans="10:66">
      <c r="J3706">
        <v>0</v>
      </c>
      <c r="K3706">
        <v>7</v>
      </c>
      <c r="L3706">
        <v>0</v>
      </c>
      <c r="M3706" t="s">
        <v>25021</v>
      </c>
      <c r="N3706">
        <v>4030</v>
      </c>
      <c r="O3706" t="s">
        <v>23722</v>
      </c>
      <c r="P3706" t="s">
        <v>57</v>
      </c>
      <c r="Q3706">
        <v>3995075</v>
      </c>
      <c r="R3706">
        <v>3996304</v>
      </c>
      <c r="S3706" t="s">
        <v>23723</v>
      </c>
      <c r="T3706">
        <v>410</v>
      </c>
      <c r="U3706" t="s">
        <v>108</v>
      </c>
      <c r="V3706">
        <v>44</v>
      </c>
      <c r="W3706" t="str">
        <f>HYPERLINK("Gene4030-zp_tree_all.dnd", "Gene4030-tree")</f>
        <v>Gene4030-tree</v>
      </c>
      <c r="X3706">
        <v>6</v>
      </c>
      <c r="Y3706">
        <v>9</v>
      </c>
      <c r="Z3706">
        <v>6</v>
      </c>
      <c r="AA3706">
        <v>9</v>
      </c>
      <c r="AB3706">
        <v>0.6</v>
      </c>
      <c r="AC3706" t="s">
        <v>90</v>
      </c>
      <c r="AD3706" t="s">
        <v>135</v>
      </c>
      <c r="AE3706" t="s">
        <v>62</v>
      </c>
      <c r="AF3706" t="s">
        <v>62</v>
      </c>
      <c r="AG3706">
        <v>2</v>
      </c>
      <c r="AH3706">
        <v>7</v>
      </c>
      <c r="AI3706">
        <v>11</v>
      </c>
      <c r="AJ3706">
        <v>0.38889000000000001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6</v>
      </c>
      <c r="AQ3706">
        <v>0</v>
      </c>
      <c r="AR3706">
        <v>6</v>
      </c>
      <c r="AS3706">
        <v>11</v>
      </c>
      <c r="AT3706">
        <v>0.35293999999999998</v>
      </c>
      <c r="AU3706">
        <v>13</v>
      </c>
      <c r="AV3706">
        <v>12</v>
      </c>
      <c r="AW3706">
        <v>62</v>
      </c>
      <c r="AX3706">
        <v>17</v>
      </c>
      <c r="AY3706">
        <v>28</v>
      </c>
      <c r="AZ3706">
        <v>1</v>
      </c>
      <c r="BA3706" t="s">
        <v>23724</v>
      </c>
      <c r="BB3706" t="s">
        <v>23725</v>
      </c>
      <c r="BC3706">
        <v>1.5980000000000001</v>
      </c>
      <c r="BD3706" t="s">
        <v>65</v>
      </c>
      <c r="BE3706">
        <v>90</v>
      </c>
      <c r="BF3706">
        <v>18</v>
      </c>
      <c r="BG3706" t="s">
        <v>23726</v>
      </c>
      <c r="BH3706" t="s">
        <v>23727</v>
      </c>
      <c r="BI3706" t="s">
        <v>23728</v>
      </c>
      <c r="BJ3706">
        <v>4.4200000000000003E-2</v>
      </c>
      <c r="BK3706">
        <v>1</v>
      </c>
      <c r="BL3706" t="s">
        <v>69</v>
      </c>
      <c r="BM3706">
        <v>-0.95799999999999996</v>
      </c>
      <c r="BN3706">
        <v>-2.0579999999999998</v>
      </c>
    </row>
    <row r="3707" spans="10:66">
      <c r="J3707">
        <v>0</v>
      </c>
      <c r="K3707">
        <v>3</v>
      </c>
      <c r="L3707">
        <v>0</v>
      </c>
      <c r="M3707" t="s">
        <v>25021</v>
      </c>
      <c r="N3707">
        <v>4031</v>
      </c>
      <c r="O3707" t="s">
        <v>23729</v>
      </c>
      <c r="P3707" t="s">
        <v>57</v>
      </c>
      <c r="Q3707">
        <v>3996829</v>
      </c>
      <c r="R3707">
        <v>3997089</v>
      </c>
      <c r="S3707" t="s">
        <v>116</v>
      </c>
      <c r="T3707">
        <v>87</v>
      </c>
      <c r="U3707" t="s">
        <v>289</v>
      </c>
      <c r="V3707">
        <v>46</v>
      </c>
      <c r="W3707" t="str">
        <f>HYPERLINK("Gene4031-zp_tree_all.dnd", "Gene4031-tree")</f>
        <v>Gene4031-tree</v>
      </c>
      <c r="X3707">
        <v>5</v>
      </c>
      <c r="Y3707">
        <v>4</v>
      </c>
      <c r="Z3707">
        <v>5</v>
      </c>
      <c r="AA3707">
        <v>4</v>
      </c>
      <c r="AB3707">
        <v>0.44444</v>
      </c>
      <c r="AC3707" t="s">
        <v>199</v>
      </c>
      <c r="AD3707" t="s">
        <v>61</v>
      </c>
      <c r="AE3707" t="s">
        <v>62</v>
      </c>
      <c r="AF3707" t="s">
        <v>62</v>
      </c>
      <c r="AG3707">
        <v>1</v>
      </c>
      <c r="AH3707">
        <v>3</v>
      </c>
      <c r="AI3707">
        <v>6</v>
      </c>
      <c r="AJ3707">
        <v>0.33333000000000002</v>
      </c>
      <c r="AK3707">
        <v>0</v>
      </c>
      <c r="AL3707">
        <v>0</v>
      </c>
      <c r="AM3707">
        <v>0</v>
      </c>
      <c r="AN3707">
        <v>3</v>
      </c>
      <c r="AO3707">
        <v>0</v>
      </c>
      <c r="AP3707">
        <v>2</v>
      </c>
      <c r="AQ3707">
        <v>0</v>
      </c>
      <c r="AR3707">
        <v>2</v>
      </c>
      <c r="AS3707">
        <v>3</v>
      </c>
      <c r="AT3707">
        <v>0.4</v>
      </c>
      <c r="AU3707">
        <v>6</v>
      </c>
      <c r="AV3707">
        <v>3</v>
      </c>
      <c r="AW3707">
        <v>3</v>
      </c>
      <c r="AX3707">
        <v>5</v>
      </c>
      <c r="AY3707">
        <v>6</v>
      </c>
      <c r="AZ3707">
        <v>4</v>
      </c>
      <c r="BA3707" t="s">
        <v>23730</v>
      </c>
      <c r="BB3707" t="s">
        <v>23731</v>
      </c>
      <c r="BC3707">
        <v>0.746</v>
      </c>
      <c r="BD3707" t="s">
        <v>65</v>
      </c>
      <c r="BE3707">
        <v>9</v>
      </c>
      <c r="BF3707">
        <v>9</v>
      </c>
      <c r="BG3707" t="s">
        <v>23732</v>
      </c>
      <c r="BH3707" t="s">
        <v>23733</v>
      </c>
      <c r="BI3707" t="s">
        <v>23734</v>
      </c>
      <c r="BJ3707">
        <v>0.21498999999999999</v>
      </c>
      <c r="BK3707">
        <v>0.99</v>
      </c>
      <c r="BL3707" t="s">
        <v>69</v>
      </c>
      <c r="BM3707">
        <v>-1.7130000000000001</v>
      </c>
      <c r="BN3707">
        <v>-0.11899999999999999</v>
      </c>
    </row>
    <row r="3708" spans="10:66">
      <c r="J3708">
        <v>0</v>
      </c>
      <c r="K3708">
        <v>0</v>
      </c>
      <c r="L3708">
        <v>0</v>
      </c>
      <c r="M3708" t="s">
        <v>25021</v>
      </c>
      <c r="N3708">
        <v>4032</v>
      </c>
      <c r="O3708" t="s">
        <v>23735</v>
      </c>
      <c r="P3708" t="s">
        <v>57</v>
      </c>
      <c r="Q3708">
        <v>3997221</v>
      </c>
      <c r="R3708">
        <v>3997706</v>
      </c>
      <c r="S3708" t="s">
        <v>116</v>
      </c>
      <c r="T3708">
        <v>162</v>
      </c>
      <c r="U3708" t="s">
        <v>108</v>
      </c>
      <c r="V3708">
        <v>44</v>
      </c>
      <c r="W3708" t="str">
        <f>HYPERLINK("Gene4032-zp_tree_all.dnd", "Gene4032-tree")</f>
        <v>Gene4032-tree</v>
      </c>
      <c r="X3708">
        <v>5</v>
      </c>
      <c r="Y3708">
        <v>6</v>
      </c>
      <c r="Z3708">
        <v>5</v>
      </c>
      <c r="AA3708">
        <v>6</v>
      </c>
      <c r="AB3708">
        <v>0.54544999999999999</v>
      </c>
      <c r="AC3708" t="s">
        <v>199</v>
      </c>
      <c r="AD3708" t="s">
        <v>90</v>
      </c>
      <c r="AE3708" t="s">
        <v>62</v>
      </c>
      <c r="AF3708" t="s">
        <v>62</v>
      </c>
      <c r="AG3708">
        <v>0</v>
      </c>
      <c r="AH3708">
        <v>0</v>
      </c>
      <c r="AI3708">
        <v>11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0</v>
      </c>
      <c r="AP3708">
        <v>0</v>
      </c>
      <c r="AQ3708">
        <v>0</v>
      </c>
      <c r="AR3708">
        <v>0</v>
      </c>
      <c r="AS3708">
        <v>9</v>
      </c>
      <c r="AT3708">
        <v>0</v>
      </c>
      <c r="AU3708">
        <v>8</v>
      </c>
      <c r="AV3708">
        <v>5</v>
      </c>
      <c r="AW3708">
        <v>12</v>
      </c>
      <c r="AX3708">
        <v>9</v>
      </c>
      <c r="AY3708">
        <v>3</v>
      </c>
      <c r="AZ3708">
        <v>2</v>
      </c>
      <c r="BA3708" t="s">
        <v>23736</v>
      </c>
      <c r="BB3708" t="s">
        <v>23737</v>
      </c>
      <c r="BC3708">
        <v>0.104</v>
      </c>
      <c r="BD3708" t="s">
        <v>65</v>
      </c>
      <c r="BE3708">
        <v>15</v>
      </c>
      <c r="BF3708">
        <v>11</v>
      </c>
      <c r="BG3708" t="s">
        <v>23738</v>
      </c>
      <c r="BH3708" t="s">
        <v>23739</v>
      </c>
      <c r="BI3708" t="s">
        <v>23740</v>
      </c>
      <c r="BJ3708">
        <v>0.19314000000000001</v>
      </c>
      <c r="BK3708">
        <v>1</v>
      </c>
      <c r="BL3708" t="s">
        <v>69</v>
      </c>
      <c r="BM3708">
        <v>-0.27300000000000002</v>
      </c>
      <c r="BN3708">
        <v>-1.2609999999999999</v>
      </c>
    </row>
    <row r="3709" spans="10:66">
      <c r="J3709">
        <v>0</v>
      </c>
      <c r="K3709">
        <v>7</v>
      </c>
      <c r="L3709">
        <v>2</v>
      </c>
      <c r="M3709" t="s">
        <v>25021</v>
      </c>
      <c r="N3709">
        <v>4033</v>
      </c>
      <c r="O3709" t="s">
        <v>23741</v>
      </c>
      <c r="P3709" t="s">
        <v>57</v>
      </c>
      <c r="Q3709">
        <v>3997964</v>
      </c>
      <c r="R3709">
        <v>3999094</v>
      </c>
      <c r="S3709" t="s">
        <v>23742</v>
      </c>
      <c r="T3709">
        <v>377</v>
      </c>
      <c r="U3709" t="s">
        <v>265</v>
      </c>
      <c r="V3709">
        <v>43</v>
      </c>
      <c r="W3709" t="str">
        <f>HYPERLINK("Gene4033-zp_tree_all.dnd", "Gene4033-tree")</f>
        <v>Gene4033-tree</v>
      </c>
      <c r="X3709">
        <v>6</v>
      </c>
      <c r="Y3709">
        <v>9</v>
      </c>
      <c r="Z3709">
        <v>6</v>
      </c>
      <c r="AA3709">
        <v>9</v>
      </c>
      <c r="AB3709">
        <v>0.6</v>
      </c>
      <c r="AC3709" t="s">
        <v>90</v>
      </c>
      <c r="AD3709" t="s">
        <v>135</v>
      </c>
      <c r="AE3709" t="s">
        <v>62</v>
      </c>
      <c r="AF3709" t="s">
        <v>62</v>
      </c>
      <c r="AG3709">
        <v>4</v>
      </c>
      <c r="AH3709">
        <v>9</v>
      </c>
      <c r="AI3709">
        <v>19</v>
      </c>
      <c r="AJ3709">
        <v>0.32142999999999999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7</v>
      </c>
      <c r="AQ3709">
        <v>2</v>
      </c>
      <c r="AR3709">
        <v>9</v>
      </c>
      <c r="AS3709">
        <v>15</v>
      </c>
      <c r="AT3709">
        <v>0.375</v>
      </c>
      <c r="AU3709">
        <v>12</v>
      </c>
      <c r="AV3709">
        <v>11</v>
      </c>
      <c r="AW3709">
        <v>49</v>
      </c>
      <c r="AX3709">
        <v>21</v>
      </c>
      <c r="AY3709">
        <v>26</v>
      </c>
      <c r="AZ3709">
        <v>8</v>
      </c>
      <c r="BA3709" t="s">
        <v>23743</v>
      </c>
      <c r="BB3709" t="s">
        <v>23744</v>
      </c>
      <c r="BC3709">
        <v>0.29199999999999998</v>
      </c>
      <c r="BD3709" t="s">
        <v>65</v>
      </c>
      <c r="BE3709">
        <v>75</v>
      </c>
      <c r="BF3709">
        <v>29</v>
      </c>
      <c r="BG3709" t="s">
        <v>23745</v>
      </c>
      <c r="BH3709" t="s">
        <v>23746</v>
      </c>
      <c r="BI3709" t="s">
        <v>23747</v>
      </c>
      <c r="BJ3709">
        <v>0.10644000000000001</v>
      </c>
      <c r="BK3709">
        <v>1</v>
      </c>
      <c r="BL3709" t="s">
        <v>69</v>
      </c>
      <c r="BM3709">
        <v>-1.109</v>
      </c>
      <c r="BN3709">
        <v>-1.661</v>
      </c>
    </row>
    <row r="3710" spans="10:66">
      <c r="J3710">
        <v>0</v>
      </c>
      <c r="K3710">
        <v>15</v>
      </c>
      <c r="L3710">
        <v>0</v>
      </c>
      <c r="M3710" t="s">
        <v>25021</v>
      </c>
      <c r="N3710">
        <v>4034</v>
      </c>
      <c r="O3710" t="s">
        <v>23748</v>
      </c>
      <c r="P3710" t="s">
        <v>57</v>
      </c>
      <c r="Q3710">
        <v>3999350</v>
      </c>
      <c r="R3710">
        <v>4000483</v>
      </c>
      <c r="S3710" t="s">
        <v>23749</v>
      </c>
      <c r="T3710">
        <v>378</v>
      </c>
      <c r="U3710" t="s">
        <v>59</v>
      </c>
      <c r="V3710">
        <v>49</v>
      </c>
      <c r="W3710" t="str">
        <f>HYPERLINK("Gene4034-zp_tree_all.dnd", "Gene4034-tree")</f>
        <v>Gene4034-tree</v>
      </c>
      <c r="X3710">
        <v>5</v>
      </c>
      <c r="Y3710">
        <v>14</v>
      </c>
      <c r="Z3710">
        <v>5</v>
      </c>
      <c r="AA3710">
        <v>14</v>
      </c>
      <c r="AB3710">
        <v>0.73684000000000005</v>
      </c>
      <c r="AC3710" t="s">
        <v>199</v>
      </c>
      <c r="AD3710" t="s">
        <v>543</v>
      </c>
      <c r="AE3710">
        <v>258272616.03799999</v>
      </c>
      <c r="AF3710" t="s">
        <v>267</v>
      </c>
      <c r="AG3710">
        <v>6</v>
      </c>
      <c r="AH3710">
        <v>15</v>
      </c>
      <c r="AI3710">
        <v>19</v>
      </c>
      <c r="AJ3710">
        <v>0.44118000000000002</v>
      </c>
      <c r="AK3710">
        <v>0</v>
      </c>
      <c r="AL3710">
        <v>0</v>
      </c>
      <c r="AM3710">
        <v>0</v>
      </c>
      <c r="AN3710">
        <v>1</v>
      </c>
      <c r="AO3710">
        <v>0</v>
      </c>
      <c r="AP3710">
        <v>6</v>
      </c>
      <c r="AQ3710">
        <v>0</v>
      </c>
      <c r="AR3710">
        <v>6</v>
      </c>
      <c r="AS3710">
        <v>18</v>
      </c>
      <c r="AT3710">
        <v>0.25</v>
      </c>
      <c r="AU3710">
        <v>14</v>
      </c>
      <c r="AV3710">
        <v>16</v>
      </c>
      <c r="AW3710">
        <v>67</v>
      </c>
      <c r="AX3710">
        <v>21</v>
      </c>
      <c r="AY3710">
        <v>117</v>
      </c>
      <c r="AZ3710">
        <v>13</v>
      </c>
      <c r="BA3710" t="s">
        <v>23750</v>
      </c>
      <c r="BB3710" t="s">
        <v>23751</v>
      </c>
      <c r="BC3710">
        <v>2.2290000000000001</v>
      </c>
      <c r="BD3710" t="s">
        <v>267</v>
      </c>
      <c r="BE3710">
        <v>184</v>
      </c>
      <c r="BF3710">
        <v>34</v>
      </c>
      <c r="BG3710" t="s">
        <v>23752</v>
      </c>
      <c r="BH3710" t="s">
        <v>23753</v>
      </c>
      <c r="BI3710" t="s">
        <v>23754</v>
      </c>
      <c r="BJ3710">
        <v>4.0419999999999998E-2</v>
      </c>
      <c r="BK3710">
        <v>1</v>
      </c>
      <c r="BL3710" t="s">
        <v>69</v>
      </c>
      <c r="BM3710">
        <v>-0.52100000000000002</v>
      </c>
      <c r="BN3710">
        <v>-0.19800000000000001</v>
      </c>
    </row>
    <row r="3711" spans="10:66">
      <c r="J3711">
        <v>0</v>
      </c>
      <c r="K3711">
        <v>5</v>
      </c>
      <c r="L3711">
        <v>0</v>
      </c>
      <c r="M3711" t="s">
        <v>25021</v>
      </c>
      <c r="N3711">
        <v>4040</v>
      </c>
      <c r="O3711" t="s">
        <v>23789</v>
      </c>
      <c r="P3711" t="s">
        <v>57</v>
      </c>
      <c r="Q3711">
        <v>4005752</v>
      </c>
      <c r="R3711">
        <v>4006942</v>
      </c>
      <c r="S3711" t="s">
        <v>23790</v>
      </c>
      <c r="T3711">
        <v>397</v>
      </c>
      <c r="U3711" t="s">
        <v>125</v>
      </c>
      <c r="V3711">
        <v>48</v>
      </c>
      <c r="W3711" t="str">
        <f>HYPERLINK("Gene4040-zp_tree_all.dnd", "Gene4040-tree")</f>
        <v>Gene4040-tree</v>
      </c>
      <c r="X3711">
        <v>14</v>
      </c>
      <c r="Y3711">
        <v>6</v>
      </c>
      <c r="Z3711">
        <v>14</v>
      </c>
      <c r="AA3711">
        <v>6</v>
      </c>
      <c r="AB3711">
        <v>0.3</v>
      </c>
      <c r="AC3711" t="s">
        <v>543</v>
      </c>
      <c r="AD3711" t="s">
        <v>90</v>
      </c>
      <c r="AE3711" t="s">
        <v>62</v>
      </c>
      <c r="AF3711" t="s">
        <v>62</v>
      </c>
      <c r="AG3711">
        <v>2</v>
      </c>
      <c r="AH3711">
        <v>5</v>
      </c>
      <c r="AI3711">
        <v>9</v>
      </c>
      <c r="AJ3711">
        <v>0.35714000000000001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7</v>
      </c>
      <c r="AT3711">
        <v>0</v>
      </c>
      <c r="AU3711">
        <v>17</v>
      </c>
      <c r="AV3711">
        <v>17</v>
      </c>
      <c r="AW3711">
        <v>56</v>
      </c>
      <c r="AX3711">
        <v>6</v>
      </c>
      <c r="AY3711">
        <v>85</v>
      </c>
      <c r="AZ3711">
        <v>9</v>
      </c>
      <c r="BA3711" t="s">
        <v>23791</v>
      </c>
      <c r="BB3711" t="s">
        <v>23792</v>
      </c>
      <c r="BC3711">
        <v>2.9000000000000001E-2</v>
      </c>
      <c r="BD3711" t="s">
        <v>65</v>
      </c>
      <c r="BE3711">
        <v>141</v>
      </c>
      <c r="BF3711">
        <v>15</v>
      </c>
      <c r="BG3711" t="s">
        <v>23793</v>
      </c>
      <c r="BH3711" t="s">
        <v>23794</v>
      </c>
      <c r="BI3711" t="s">
        <v>23795</v>
      </c>
      <c r="BJ3711">
        <v>3.2059999999999998E-2</v>
      </c>
      <c r="BK3711">
        <v>1</v>
      </c>
      <c r="BL3711" t="s">
        <v>69</v>
      </c>
      <c r="BM3711">
        <v>-1.012</v>
      </c>
      <c r="BN3711">
        <v>-0.48699999999999999</v>
      </c>
    </row>
    <row r="3712" spans="10:66">
      <c r="J3712">
        <v>0</v>
      </c>
      <c r="K3712">
        <v>0</v>
      </c>
      <c r="L3712">
        <v>0</v>
      </c>
      <c r="M3712" t="s">
        <v>25021</v>
      </c>
      <c r="N3712">
        <v>4045</v>
      </c>
      <c r="O3712" t="s">
        <v>23809</v>
      </c>
      <c r="P3712" t="s">
        <v>57</v>
      </c>
      <c r="Q3712">
        <v>4010404</v>
      </c>
      <c r="R3712">
        <v>4011681</v>
      </c>
      <c r="S3712" t="s">
        <v>23810</v>
      </c>
      <c r="T3712">
        <v>426</v>
      </c>
      <c r="U3712" t="s">
        <v>108</v>
      </c>
      <c r="V3712">
        <v>44</v>
      </c>
      <c r="W3712" t="str">
        <f>HYPERLINK("Gene4045-zp_tree_all.dnd", "Gene4045-tree")</f>
        <v>Gene4045-tree</v>
      </c>
      <c r="X3712">
        <v>10</v>
      </c>
      <c r="Y3712">
        <v>5</v>
      </c>
      <c r="Z3712">
        <v>10</v>
      </c>
      <c r="AA3712">
        <v>5</v>
      </c>
      <c r="AB3712">
        <v>0.33333000000000002</v>
      </c>
      <c r="AC3712" t="s">
        <v>117</v>
      </c>
      <c r="AD3712" t="s">
        <v>199</v>
      </c>
      <c r="AE3712" t="s">
        <v>62</v>
      </c>
      <c r="AF3712" t="s">
        <v>62</v>
      </c>
      <c r="AG3712">
        <v>0</v>
      </c>
      <c r="AH3712">
        <v>0</v>
      </c>
      <c r="AI3712">
        <v>7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7</v>
      </c>
      <c r="AT3712">
        <v>0</v>
      </c>
      <c r="AU3712">
        <v>13</v>
      </c>
      <c r="AV3712">
        <v>11</v>
      </c>
      <c r="AW3712">
        <v>65</v>
      </c>
      <c r="AX3712">
        <v>7</v>
      </c>
      <c r="AY3712">
        <v>36</v>
      </c>
      <c r="AZ3712">
        <v>0</v>
      </c>
      <c r="BA3712" t="s">
        <v>23811</v>
      </c>
      <c r="BB3712" t="s">
        <v>193</v>
      </c>
      <c r="BC3712">
        <v>1.2190000000000001</v>
      </c>
      <c r="BD3712" t="s">
        <v>65</v>
      </c>
      <c r="BE3712">
        <v>101</v>
      </c>
      <c r="BF3712">
        <v>7</v>
      </c>
      <c r="BG3712" t="s">
        <v>23812</v>
      </c>
      <c r="BH3712" t="s">
        <v>23813</v>
      </c>
      <c r="BI3712" t="s">
        <v>16167</v>
      </c>
      <c r="BJ3712">
        <v>1.9300000000000001E-2</v>
      </c>
      <c r="BK3712">
        <v>1</v>
      </c>
      <c r="BL3712" t="s">
        <v>69</v>
      </c>
      <c r="BM3712">
        <v>-0.501</v>
      </c>
      <c r="BN3712">
        <v>-1.4530000000000001</v>
      </c>
    </row>
    <row r="3713" spans="10:66">
      <c r="J3713">
        <v>0</v>
      </c>
      <c r="K3713">
        <v>22</v>
      </c>
      <c r="L3713">
        <v>0</v>
      </c>
      <c r="M3713" t="s">
        <v>25021</v>
      </c>
      <c r="N3713">
        <v>4049</v>
      </c>
      <c r="O3713" t="s">
        <v>23833</v>
      </c>
      <c r="P3713" t="s">
        <v>57</v>
      </c>
      <c r="Q3713">
        <v>4014682</v>
      </c>
      <c r="R3713">
        <v>4015965</v>
      </c>
      <c r="S3713" t="s">
        <v>2641</v>
      </c>
      <c r="T3713">
        <v>428</v>
      </c>
      <c r="U3713" t="s">
        <v>108</v>
      </c>
      <c r="V3713">
        <v>44</v>
      </c>
      <c r="W3713" t="str">
        <f>HYPERLINK("Gene4049-zp_tree_all.dnd", "Gene4049-tree")</f>
        <v>Gene4049-tree</v>
      </c>
      <c r="X3713">
        <v>3</v>
      </c>
      <c r="Y3713">
        <v>13</v>
      </c>
      <c r="Z3713">
        <v>3</v>
      </c>
      <c r="AA3713">
        <v>13</v>
      </c>
      <c r="AB3713">
        <v>0.8125</v>
      </c>
      <c r="AC3713" t="s">
        <v>324</v>
      </c>
      <c r="AD3713" t="s">
        <v>507</v>
      </c>
      <c r="AE3713" t="s">
        <v>62</v>
      </c>
      <c r="AF3713" t="s">
        <v>62</v>
      </c>
      <c r="AG3713">
        <v>8</v>
      </c>
      <c r="AH3713">
        <v>22</v>
      </c>
      <c r="AI3713">
        <v>14</v>
      </c>
      <c r="AJ3713">
        <v>0.61111000000000004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16</v>
      </c>
      <c r="AQ3713">
        <v>0</v>
      </c>
      <c r="AR3713">
        <v>16</v>
      </c>
      <c r="AS3713">
        <v>11</v>
      </c>
      <c r="AT3713">
        <v>0.59258999999999995</v>
      </c>
      <c r="AU3713">
        <v>16</v>
      </c>
      <c r="AV3713">
        <v>13</v>
      </c>
      <c r="AW3713">
        <v>104</v>
      </c>
      <c r="AX3713">
        <v>27</v>
      </c>
      <c r="AY3713">
        <v>44</v>
      </c>
      <c r="AZ3713">
        <v>9</v>
      </c>
      <c r="BA3713" t="s">
        <v>23834</v>
      </c>
      <c r="BB3713" t="s">
        <v>23835</v>
      </c>
      <c r="BC3713">
        <v>0.442</v>
      </c>
      <c r="BD3713" t="s">
        <v>65</v>
      </c>
      <c r="BE3713">
        <v>148</v>
      </c>
      <c r="BF3713">
        <v>36</v>
      </c>
      <c r="BG3713" t="s">
        <v>23836</v>
      </c>
      <c r="BH3713" t="s">
        <v>23837</v>
      </c>
      <c r="BI3713" t="s">
        <v>23838</v>
      </c>
      <c r="BJ3713">
        <v>7.51E-2</v>
      </c>
      <c r="BK3713">
        <v>1</v>
      </c>
      <c r="BL3713" t="s">
        <v>69</v>
      </c>
      <c r="BM3713">
        <v>0.14499999999999999</v>
      </c>
      <c r="BN3713">
        <v>-0.22</v>
      </c>
    </row>
    <row r="3714" spans="10:66">
      <c r="J3714">
        <v>0</v>
      </c>
      <c r="K3714">
        <v>0</v>
      </c>
      <c r="L3714">
        <v>0</v>
      </c>
      <c r="M3714" t="s">
        <v>25021</v>
      </c>
      <c r="N3714">
        <v>4075</v>
      </c>
      <c r="O3714" t="s">
        <v>23981</v>
      </c>
      <c r="P3714" t="s">
        <v>57</v>
      </c>
      <c r="Q3714">
        <v>4041492</v>
      </c>
      <c r="R3714">
        <v>4041935</v>
      </c>
      <c r="S3714" t="s">
        <v>23388</v>
      </c>
      <c r="T3714">
        <v>148</v>
      </c>
      <c r="U3714" t="s">
        <v>23982</v>
      </c>
      <c r="V3714">
        <v>40</v>
      </c>
      <c r="W3714" t="str">
        <f>HYPERLINK("Gene4075-zp_tree_all.dnd", "Gene4075-tree")</f>
        <v>Gene4075-tree</v>
      </c>
      <c r="X3714">
        <v>33</v>
      </c>
      <c r="Y3714">
        <v>1</v>
      </c>
      <c r="Z3714">
        <v>16</v>
      </c>
      <c r="AA3714">
        <v>1</v>
      </c>
      <c r="AB3714">
        <v>5.8819999999999997E-2</v>
      </c>
      <c r="AC3714" t="s">
        <v>4634</v>
      </c>
      <c r="AD3714" t="s">
        <v>175</v>
      </c>
      <c r="AE3714" t="s">
        <v>62</v>
      </c>
      <c r="AF3714" t="s">
        <v>62</v>
      </c>
      <c r="AG3714">
        <v>0</v>
      </c>
      <c r="AH3714">
        <v>0</v>
      </c>
      <c r="AI3714">
        <v>3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</v>
      </c>
      <c r="AT3714">
        <v>0</v>
      </c>
      <c r="AU3714">
        <v>15</v>
      </c>
      <c r="AV3714">
        <v>10</v>
      </c>
      <c r="AW3714">
        <v>24</v>
      </c>
      <c r="AX3714">
        <v>2</v>
      </c>
      <c r="AY3714">
        <v>35</v>
      </c>
      <c r="AZ3714">
        <v>1</v>
      </c>
      <c r="BA3714" t="s">
        <v>23983</v>
      </c>
      <c r="BB3714" t="s">
        <v>23984</v>
      </c>
      <c r="BC3714">
        <v>0.17499999999999999</v>
      </c>
      <c r="BD3714" t="s">
        <v>65</v>
      </c>
      <c r="BE3714">
        <v>59</v>
      </c>
      <c r="BF3714">
        <v>3</v>
      </c>
      <c r="BG3714" t="s">
        <v>23985</v>
      </c>
      <c r="BH3714" t="s">
        <v>23986</v>
      </c>
      <c r="BI3714" t="s">
        <v>12526</v>
      </c>
      <c r="BJ3714">
        <v>1.1650000000000001E-2</v>
      </c>
      <c r="BK3714">
        <v>1</v>
      </c>
      <c r="BL3714" t="s">
        <v>69</v>
      </c>
      <c r="BM3714">
        <v>-0.71899999999999997</v>
      </c>
      <c r="BN3714">
        <v>0.35699999999999998</v>
      </c>
    </row>
    <row r="3715" spans="10:66">
      <c r="J3715">
        <v>0</v>
      </c>
      <c r="K3715">
        <v>7</v>
      </c>
      <c r="L3715">
        <v>0</v>
      </c>
      <c r="M3715" t="s">
        <v>25021</v>
      </c>
      <c r="N3715">
        <v>4076</v>
      </c>
      <c r="O3715" t="s">
        <v>23987</v>
      </c>
      <c r="P3715" t="s">
        <v>57</v>
      </c>
      <c r="Q3715">
        <v>4042051</v>
      </c>
      <c r="R3715">
        <v>4043574</v>
      </c>
      <c r="S3715" t="s">
        <v>23988</v>
      </c>
      <c r="T3715">
        <v>508</v>
      </c>
      <c r="U3715" t="s">
        <v>2078</v>
      </c>
      <c r="V3715">
        <v>36</v>
      </c>
      <c r="W3715" t="str">
        <f>HYPERLINK("Gene4076-zp_tree_all.dnd", "Gene4076-tree")</f>
        <v>Gene4076-tree</v>
      </c>
      <c r="X3715">
        <v>6</v>
      </c>
      <c r="Y3715">
        <v>7</v>
      </c>
      <c r="Z3715">
        <v>6</v>
      </c>
      <c r="AA3715">
        <v>7</v>
      </c>
      <c r="AB3715">
        <v>0.53846000000000005</v>
      </c>
      <c r="AC3715" t="s">
        <v>90</v>
      </c>
      <c r="AD3715" t="s">
        <v>152</v>
      </c>
      <c r="AE3715" t="s">
        <v>62</v>
      </c>
      <c r="AF3715" t="s">
        <v>62</v>
      </c>
      <c r="AG3715">
        <v>3</v>
      </c>
      <c r="AH3715">
        <v>7</v>
      </c>
      <c r="AI3715">
        <v>12</v>
      </c>
      <c r="AJ3715">
        <v>0.36842000000000003</v>
      </c>
      <c r="AK3715">
        <v>0</v>
      </c>
      <c r="AL3715">
        <v>0</v>
      </c>
      <c r="AM3715">
        <v>0</v>
      </c>
      <c r="AN3715">
        <v>1</v>
      </c>
      <c r="AO3715">
        <v>0</v>
      </c>
      <c r="AP3715">
        <v>2</v>
      </c>
      <c r="AQ3715">
        <v>0</v>
      </c>
      <c r="AR3715">
        <v>2</v>
      </c>
      <c r="AS3715">
        <v>14</v>
      </c>
      <c r="AT3715">
        <v>0.125</v>
      </c>
      <c r="AU3715">
        <v>12</v>
      </c>
      <c r="AV3715">
        <v>10</v>
      </c>
      <c r="AW3715">
        <v>116</v>
      </c>
      <c r="AX3715">
        <v>16</v>
      </c>
      <c r="AY3715">
        <v>44</v>
      </c>
      <c r="AZ3715">
        <v>3</v>
      </c>
      <c r="BA3715" t="s">
        <v>23989</v>
      </c>
      <c r="BB3715" t="s">
        <v>23990</v>
      </c>
      <c r="BC3715">
        <v>0.80900000000000005</v>
      </c>
      <c r="BD3715" t="s">
        <v>65</v>
      </c>
      <c r="BE3715">
        <v>160</v>
      </c>
      <c r="BF3715">
        <v>19</v>
      </c>
      <c r="BG3715" t="s">
        <v>23991</v>
      </c>
      <c r="BH3715" t="s">
        <v>23992</v>
      </c>
      <c r="BI3715" t="s">
        <v>23993</v>
      </c>
      <c r="BJ3715">
        <v>3.49E-2</v>
      </c>
      <c r="BK3715">
        <v>1</v>
      </c>
      <c r="BL3715" t="s">
        <v>69</v>
      </c>
      <c r="BM3715">
        <v>-1.1659999999999999</v>
      </c>
      <c r="BN3715">
        <v>-2.4590000000000001</v>
      </c>
    </row>
    <row r="3716" spans="10:66">
      <c r="J3716">
        <v>0</v>
      </c>
      <c r="K3716">
        <v>6</v>
      </c>
      <c r="L3716">
        <v>1</v>
      </c>
      <c r="M3716" t="s">
        <v>25021</v>
      </c>
      <c r="N3716">
        <v>4077</v>
      </c>
      <c r="O3716" t="s">
        <v>23994</v>
      </c>
      <c r="P3716" t="s">
        <v>57</v>
      </c>
      <c r="Q3716">
        <v>4043574</v>
      </c>
      <c r="R3716">
        <v>4045229</v>
      </c>
      <c r="S3716" t="s">
        <v>23995</v>
      </c>
      <c r="T3716">
        <v>552</v>
      </c>
      <c r="U3716" t="s">
        <v>23996</v>
      </c>
      <c r="V3716">
        <v>38</v>
      </c>
      <c r="W3716" t="str">
        <f>HYPERLINK("Gene4077-zp_tree_all.dnd", "Gene4077-tree")</f>
        <v>Gene4077-tree</v>
      </c>
      <c r="X3716">
        <v>8</v>
      </c>
      <c r="Y3716">
        <v>8</v>
      </c>
      <c r="Z3716">
        <v>8</v>
      </c>
      <c r="AA3716">
        <v>8</v>
      </c>
      <c r="AB3716">
        <v>0.5</v>
      </c>
      <c r="AC3716" t="s">
        <v>136</v>
      </c>
      <c r="AD3716" t="s">
        <v>136</v>
      </c>
      <c r="AE3716" t="s">
        <v>62</v>
      </c>
      <c r="AF3716" t="s">
        <v>62</v>
      </c>
      <c r="AG3716">
        <v>3</v>
      </c>
      <c r="AH3716">
        <v>7</v>
      </c>
      <c r="AI3716">
        <v>14</v>
      </c>
      <c r="AJ3716">
        <v>0.33333000000000002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13</v>
      </c>
      <c r="AT3716">
        <v>0</v>
      </c>
      <c r="AU3716">
        <v>15</v>
      </c>
      <c r="AV3716">
        <v>13</v>
      </c>
      <c r="AW3716">
        <v>63</v>
      </c>
      <c r="AX3716">
        <v>14</v>
      </c>
      <c r="AY3716">
        <v>107</v>
      </c>
      <c r="AZ3716">
        <v>8</v>
      </c>
      <c r="BA3716" t="s">
        <v>23997</v>
      </c>
      <c r="BB3716" t="s">
        <v>23998</v>
      </c>
      <c r="BC3716">
        <v>0.92100000000000004</v>
      </c>
      <c r="BD3716" t="s">
        <v>65</v>
      </c>
      <c r="BE3716">
        <v>170</v>
      </c>
      <c r="BF3716">
        <v>22</v>
      </c>
      <c r="BG3716" t="s">
        <v>23999</v>
      </c>
      <c r="BH3716" t="s">
        <v>24000</v>
      </c>
      <c r="BI3716" t="s">
        <v>24001</v>
      </c>
      <c r="BJ3716">
        <v>3.2629999999999999E-2</v>
      </c>
      <c r="BK3716">
        <v>1</v>
      </c>
      <c r="BL3716" t="s">
        <v>69</v>
      </c>
      <c r="BM3716">
        <v>-1.298</v>
      </c>
      <c r="BN3716">
        <v>-3.1E-2</v>
      </c>
    </row>
    <row r="3717" spans="10:66">
      <c r="J3717">
        <v>0</v>
      </c>
      <c r="K3717">
        <v>12</v>
      </c>
      <c r="L3717">
        <v>5</v>
      </c>
      <c r="M3717" t="s">
        <v>25021</v>
      </c>
      <c r="N3717">
        <v>4078</v>
      </c>
      <c r="O3717" t="s">
        <v>24002</v>
      </c>
      <c r="P3717" t="s">
        <v>57</v>
      </c>
      <c r="Q3717">
        <v>4045245</v>
      </c>
      <c r="R3717">
        <v>4046507</v>
      </c>
      <c r="S3717" t="s">
        <v>24003</v>
      </c>
      <c r="T3717">
        <v>421</v>
      </c>
      <c r="U3717" t="s">
        <v>2289</v>
      </c>
      <c r="V3717">
        <v>37</v>
      </c>
      <c r="W3717" t="str">
        <f>HYPERLINK("Gene4078-zp_tree_all.dnd", "Gene4078-tree")</f>
        <v>Gene4078-tree</v>
      </c>
      <c r="X3717">
        <v>2</v>
      </c>
      <c r="Y3717">
        <v>13</v>
      </c>
      <c r="Z3717">
        <v>2</v>
      </c>
      <c r="AA3717">
        <v>13</v>
      </c>
      <c r="AB3717">
        <v>0.86667000000000005</v>
      </c>
      <c r="AC3717" t="s">
        <v>81</v>
      </c>
      <c r="AD3717" t="s">
        <v>507</v>
      </c>
      <c r="AE3717" t="s">
        <v>62</v>
      </c>
      <c r="AF3717" t="s">
        <v>62</v>
      </c>
      <c r="AG3717">
        <v>7</v>
      </c>
      <c r="AH3717">
        <v>17</v>
      </c>
      <c r="AI3717">
        <v>19</v>
      </c>
      <c r="AJ3717">
        <v>0.47221999999999997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6</v>
      </c>
      <c r="AQ3717">
        <v>2</v>
      </c>
      <c r="AR3717">
        <v>8</v>
      </c>
      <c r="AS3717">
        <v>21</v>
      </c>
      <c r="AT3717">
        <v>0.27585999999999999</v>
      </c>
      <c r="AU3717">
        <v>14</v>
      </c>
      <c r="AV3717">
        <v>10</v>
      </c>
      <c r="AW3717">
        <v>40</v>
      </c>
      <c r="AX3717">
        <v>27</v>
      </c>
      <c r="AY3717">
        <v>31</v>
      </c>
      <c r="AZ3717">
        <v>10</v>
      </c>
      <c r="BA3717" t="s">
        <v>24004</v>
      </c>
      <c r="BB3717" t="s">
        <v>24005</v>
      </c>
      <c r="BC3717">
        <v>0.81599999999999995</v>
      </c>
      <c r="BD3717" t="s">
        <v>65</v>
      </c>
      <c r="BE3717">
        <v>71</v>
      </c>
      <c r="BF3717">
        <v>37</v>
      </c>
      <c r="BG3717" t="s">
        <v>24006</v>
      </c>
      <c r="BH3717" t="s">
        <v>24007</v>
      </c>
      <c r="BI3717" t="s">
        <v>24008</v>
      </c>
      <c r="BJ3717">
        <v>0.14033999999999999</v>
      </c>
      <c r="BK3717">
        <v>1</v>
      </c>
      <c r="BL3717" t="s">
        <v>69</v>
      </c>
      <c r="BM3717">
        <v>-0.74</v>
      </c>
      <c r="BN3717">
        <v>-1.2629999999999999</v>
      </c>
    </row>
    <row r="3718" spans="10:66">
      <c r="J3718">
        <v>0</v>
      </c>
      <c r="K3718">
        <v>16</v>
      </c>
      <c r="L3718">
        <v>2</v>
      </c>
      <c r="M3718" t="s">
        <v>25021</v>
      </c>
      <c r="N3718">
        <v>4079</v>
      </c>
      <c r="O3718" t="s">
        <v>24009</v>
      </c>
      <c r="P3718" t="s">
        <v>57</v>
      </c>
      <c r="Q3718">
        <v>4046503</v>
      </c>
      <c r="R3718">
        <v>4047459</v>
      </c>
      <c r="S3718" t="s">
        <v>24010</v>
      </c>
      <c r="T3718">
        <v>319</v>
      </c>
      <c r="U3718" t="s">
        <v>2289</v>
      </c>
      <c r="V3718">
        <v>37</v>
      </c>
      <c r="W3718" t="str">
        <f>HYPERLINK("Gene4079-zp_tree_all.dnd", "Gene4079-tree")</f>
        <v>Gene4079-tree</v>
      </c>
      <c r="X3718">
        <v>10</v>
      </c>
      <c r="Y3718">
        <v>5</v>
      </c>
      <c r="Z3718">
        <v>10</v>
      </c>
      <c r="AA3718">
        <v>5</v>
      </c>
      <c r="AB3718">
        <v>0.33333000000000002</v>
      </c>
      <c r="AC3718" t="s">
        <v>117</v>
      </c>
      <c r="AD3718" t="s">
        <v>199</v>
      </c>
      <c r="AE3718" t="s">
        <v>62</v>
      </c>
      <c r="AF3718" t="s">
        <v>62</v>
      </c>
      <c r="AG3718">
        <v>8</v>
      </c>
      <c r="AH3718">
        <v>18</v>
      </c>
      <c r="AI3718">
        <v>7</v>
      </c>
      <c r="AJ3718">
        <v>0.72</v>
      </c>
      <c r="AK3718">
        <v>0</v>
      </c>
      <c r="AL3718">
        <v>0</v>
      </c>
      <c r="AM3718">
        <v>0</v>
      </c>
      <c r="AN3718">
        <v>3</v>
      </c>
      <c r="AO3718">
        <v>0</v>
      </c>
      <c r="AP3718">
        <v>2</v>
      </c>
      <c r="AQ3718">
        <v>0</v>
      </c>
      <c r="AR3718">
        <v>2</v>
      </c>
      <c r="AS3718">
        <v>8</v>
      </c>
      <c r="AT3718">
        <v>0.2</v>
      </c>
      <c r="AU3718">
        <v>13</v>
      </c>
      <c r="AV3718">
        <v>9</v>
      </c>
      <c r="AW3718">
        <v>27</v>
      </c>
      <c r="AX3718">
        <v>11</v>
      </c>
      <c r="AY3718">
        <v>27</v>
      </c>
      <c r="AZ3718">
        <v>15</v>
      </c>
      <c r="BA3718" t="s">
        <v>24011</v>
      </c>
      <c r="BB3718" t="s">
        <v>24012</v>
      </c>
      <c r="BC3718">
        <v>0.27200000000000002</v>
      </c>
      <c r="BD3718" t="s">
        <v>65</v>
      </c>
      <c r="BE3718">
        <v>54</v>
      </c>
      <c r="BF3718">
        <v>26</v>
      </c>
      <c r="BG3718" t="s">
        <v>24013</v>
      </c>
      <c r="BH3718" t="s">
        <v>24014</v>
      </c>
      <c r="BI3718" t="s">
        <v>24015</v>
      </c>
      <c r="BJ3718">
        <v>0.15225</v>
      </c>
      <c r="BK3718">
        <v>1</v>
      </c>
      <c r="BL3718" t="s">
        <v>69</v>
      </c>
      <c r="BM3718">
        <v>-0.153</v>
      </c>
      <c r="BN3718">
        <v>-0.14599999999999999</v>
      </c>
    </row>
    <row r="3719" spans="10:66">
      <c r="J3719">
        <v>0</v>
      </c>
      <c r="K3719">
        <v>6</v>
      </c>
      <c r="L3719">
        <v>0</v>
      </c>
      <c r="M3719" t="s">
        <v>25021</v>
      </c>
      <c r="N3719">
        <v>4080</v>
      </c>
      <c r="O3719" t="s">
        <v>24016</v>
      </c>
      <c r="P3719" t="s">
        <v>57</v>
      </c>
      <c r="Q3719">
        <v>4047538</v>
      </c>
      <c r="R3719">
        <v>4048962</v>
      </c>
      <c r="S3719" t="s">
        <v>24017</v>
      </c>
      <c r="T3719">
        <v>475</v>
      </c>
      <c r="U3719" t="s">
        <v>2289</v>
      </c>
      <c r="V3719">
        <v>37</v>
      </c>
      <c r="W3719" t="str">
        <f>HYPERLINK("Gene4080-zp_tree_all.dnd", "Gene4080-tree")</f>
        <v>Gene4080-tree</v>
      </c>
      <c r="X3719">
        <v>7</v>
      </c>
      <c r="Y3719">
        <v>8</v>
      </c>
      <c r="Z3719">
        <v>7</v>
      </c>
      <c r="AA3719">
        <v>8</v>
      </c>
      <c r="AB3719">
        <v>0.53332999999999997</v>
      </c>
      <c r="AC3719" t="s">
        <v>152</v>
      </c>
      <c r="AD3719" t="s">
        <v>136</v>
      </c>
      <c r="AE3719" t="s">
        <v>62</v>
      </c>
      <c r="AF3719" t="s">
        <v>62</v>
      </c>
      <c r="AG3719">
        <v>2</v>
      </c>
      <c r="AH3719">
        <v>6</v>
      </c>
      <c r="AI3719">
        <v>8</v>
      </c>
      <c r="AJ3719">
        <v>0.42857000000000001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2</v>
      </c>
      <c r="AQ3719">
        <v>0</v>
      </c>
      <c r="AR3719">
        <v>2</v>
      </c>
      <c r="AS3719">
        <v>7</v>
      </c>
      <c r="AT3719">
        <v>0.22222</v>
      </c>
      <c r="AU3719">
        <v>14</v>
      </c>
      <c r="AV3719">
        <v>11</v>
      </c>
      <c r="AW3719">
        <v>82</v>
      </c>
      <c r="AX3719">
        <v>9</v>
      </c>
      <c r="AY3719">
        <v>35</v>
      </c>
      <c r="AZ3719">
        <v>5</v>
      </c>
      <c r="BA3719" t="s">
        <v>24018</v>
      </c>
      <c r="BB3719" t="s">
        <v>24019</v>
      </c>
      <c r="BC3719">
        <v>0.29299999999999998</v>
      </c>
      <c r="BD3719" t="s">
        <v>65</v>
      </c>
      <c r="BE3719">
        <v>117</v>
      </c>
      <c r="BF3719">
        <v>14</v>
      </c>
      <c r="BG3719" t="s">
        <v>24020</v>
      </c>
      <c r="BH3719" t="s">
        <v>24021</v>
      </c>
      <c r="BI3719" t="s">
        <v>10368</v>
      </c>
      <c r="BJ3719">
        <v>3.4709999999999998E-2</v>
      </c>
      <c r="BK3719">
        <v>1</v>
      </c>
      <c r="BL3719" t="s">
        <v>69</v>
      </c>
      <c r="BM3719">
        <v>-0.64700000000000002</v>
      </c>
      <c r="BN3719">
        <v>-1.7150000000000001</v>
      </c>
    </row>
    <row r="3720" spans="10:66">
      <c r="J3720">
        <v>0</v>
      </c>
      <c r="K3720">
        <v>2</v>
      </c>
      <c r="L3720">
        <v>0</v>
      </c>
      <c r="M3720" t="s">
        <v>25021</v>
      </c>
      <c r="N3720">
        <v>4099</v>
      </c>
      <c r="O3720" t="s">
        <v>24137</v>
      </c>
      <c r="P3720" t="s">
        <v>57</v>
      </c>
      <c r="Q3720">
        <v>4065597</v>
      </c>
      <c r="R3720">
        <v>4065959</v>
      </c>
      <c r="S3720" t="s">
        <v>17007</v>
      </c>
      <c r="T3720">
        <v>121</v>
      </c>
      <c r="U3720" t="s">
        <v>749</v>
      </c>
      <c r="V3720">
        <v>47</v>
      </c>
      <c r="W3720" t="str">
        <f>HYPERLINK("Gene4099-zp_tree_all.dnd", "Gene4099-tree")</f>
        <v>Gene4099-tree</v>
      </c>
      <c r="X3720">
        <v>10</v>
      </c>
      <c r="Y3720">
        <v>3</v>
      </c>
      <c r="Z3720">
        <v>10</v>
      </c>
      <c r="AA3720">
        <v>3</v>
      </c>
      <c r="AB3720">
        <v>0.23077</v>
      </c>
      <c r="AC3720" t="s">
        <v>117</v>
      </c>
      <c r="AD3720" t="s">
        <v>324</v>
      </c>
      <c r="AE3720" t="s">
        <v>62</v>
      </c>
      <c r="AF3720" t="s">
        <v>62</v>
      </c>
      <c r="AG3720">
        <v>1</v>
      </c>
      <c r="AH3720">
        <v>2</v>
      </c>
      <c r="AI3720">
        <v>5</v>
      </c>
      <c r="AJ3720">
        <v>0.28571000000000002</v>
      </c>
      <c r="AK3720">
        <v>0</v>
      </c>
      <c r="AL3720">
        <v>0</v>
      </c>
      <c r="AM3720">
        <v>0</v>
      </c>
      <c r="AN3720">
        <v>2</v>
      </c>
      <c r="AO3720">
        <v>0</v>
      </c>
      <c r="AP3720">
        <v>0</v>
      </c>
      <c r="AQ3720">
        <v>0</v>
      </c>
      <c r="AR3720">
        <v>0</v>
      </c>
      <c r="AS3720">
        <v>5</v>
      </c>
      <c r="AT3720">
        <v>0</v>
      </c>
      <c r="AU3720">
        <v>9</v>
      </c>
      <c r="AV3720">
        <v>8</v>
      </c>
      <c r="AW3720">
        <v>26</v>
      </c>
      <c r="AX3720">
        <v>5</v>
      </c>
      <c r="AY3720">
        <v>17</v>
      </c>
      <c r="AZ3720">
        <v>2</v>
      </c>
      <c r="BA3720" t="s">
        <v>24138</v>
      </c>
      <c r="BB3720" t="s">
        <v>24139</v>
      </c>
      <c r="BC3720">
        <v>0.19700000000000001</v>
      </c>
      <c r="BD3720" t="s">
        <v>65</v>
      </c>
      <c r="BE3720">
        <v>43</v>
      </c>
      <c r="BF3720">
        <v>7</v>
      </c>
      <c r="BG3720" t="s">
        <v>24140</v>
      </c>
      <c r="BH3720" t="s">
        <v>24141</v>
      </c>
      <c r="BI3720" t="s">
        <v>24142</v>
      </c>
      <c r="BJ3720">
        <v>4.7140000000000001E-2</v>
      </c>
      <c r="BK3720">
        <v>1</v>
      </c>
      <c r="BL3720" t="s">
        <v>69</v>
      </c>
      <c r="BM3720">
        <v>-1.4630000000000001</v>
      </c>
      <c r="BN3720">
        <v>-2.8380000000000001</v>
      </c>
    </row>
    <row r="3721" spans="10:66">
      <c r="J3721">
        <v>0</v>
      </c>
      <c r="K3721">
        <v>2</v>
      </c>
      <c r="L3721">
        <v>0</v>
      </c>
      <c r="M3721" t="s">
        <v>25021</v>
      </c>
      <c r="N3721">
        <v>4100</v>
      </c>
      <c r="O3721" t="s">
        <v>24143</v>
      </c>
      <c r="P3721" t="s">
        <v>57</v>
      </c>
      <c r="Q3721">
        <v>4066210</v>
      </c>
      <c r="R3721">
        <v>4066560</v>
      </c>
      <c r="S3721" t="s">
        <v>116</v>
      </c>
      <c r="T3721">
        <v>117</v>
      </c>
      <c r="U3721" t="s">
        <v>59</v>
      </c>
      <c r="V3721">
        <v>49</v>
      </c>
      <c r="W3721" t="str">
        <f>HYPERLINK("Gene4100-zp_tree_all.dnd", "Gene4100-tree")</f>
        <v>Gene4100-tree</v>
      </c>
      <c r="X3721">
        <v>5</v>
      </c>
      <c r="Y3721">
        <v>35</v>
      </c>
      <c r="Z3721">
        <v>5</v>
      </c>
      <c r="AA3721">
        <v>9</v>
      </c>
      <c r="AB3721">
        <v>0.64285999999999999</v>
      </c>
      <c r="AC3721" t="s">
        <v>199</v>
      </c>
      <c r="AD3721" t="s">
        <v>7918</v>
      </c>
      <c r="AE3721">
        <v>3.8090000000000002</v>
      </c>
      <c r="AF3721" t="s">
        <v>65</v>
      </c>
      <c r="AG3721">
        <v>1</v>
      </c>
      <c r="AH3721">
        <v>2</v>
      </c>
      <c r="AI3721">
        <v>9</v>
      </c>
      <c r="AJ3721">
        <v>0.18182000000000001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10</v>
      </c>
      <c r="AT3721">
        <v>0</v>
      </c>
      <c r="AU3721">
        <v>12</v>
      </c>
      <c r="AV3721">
        <v>7</v>
      </c>
      <c r="AW3721">
        <v>19</v>
      </c>
      <c r="AX3721">
        <v>10</v>
      </c>
      <c r="AY3721">
        <v>16</v>
      </c>
      <c r="AZ3721">
        <v>1</v>
      </c>
      <c r="BA3721" t="s">
        <v>24144</v>
      </c>
      <c r="BB3721" t="s">
        <v>24145</v>
      </c>
      <c r="BC3721">
        <v>2.456</v>
      </c>
      <c r="BD3721" t="s">
        <v>267</v>
      </c>
      <c r="BE3721">
        <v>35</v>
      </c>
      <c r="BF3721">
        <v>11</v>
      </c>
      <c r="BG3721" t="s">
        <v>24146</v>
      </c>
      <c r="BH3721" t="s">
        <v>24147</v>
      </c>
      <c r="BI3721" t="s">
        <v>24148</v>
      </c>
      <c r="BJ3721">
        <v>3.8969999999999998E-2</v>
      </c>
      <c r="BK3721">
        <v>1</v>
      </c>
      <c r="BL3721" t="s">
        <v>69</v>
      </c>
      <c r="BM3721">
        <v>-1.2929999999999999</v>
      </c>
      <c r="BN3721">
        <v>-1.43</v>
      </c>
    </row>
    <row r="3722" spans="10:66">
      <c r="J3722">
        <v>0</v>
      </c>
      <c r="K3722">
        <v>6</v>
      </c>
      <c r="L3722">
        <v>0</v>
      </c>
      <c r="M3722" t="s">
        <v>25021</v>
      </c>
      <c r="N3722">
        <v>4102</v>
      </c>
      <c r="O3722" t="s">
        <v>24155</v>
      </c>
      <c r="P3722" t="s">
        <v>57</v>
      </c>
      <c r="Q3722">
        <v>4067183</v>
      </c>
      <c r="R3722">
        <v>4068145</v>
      </c>
      <c r="S3722" t="s">
        <v>24156</v>
      </c>
      <c r="T3722">
        <v>321</v>
      </c>
      <c r="U3722" t="s">
        <v>465</v>
      </c>
      <c r="V3722">
        <v>46</v>
      </c>
      <c r="W3722" t="str">
        <f>HYPERLINK("Gene4102-zp_tree_all.dnd", "Gene4102-tree")</f>
        <v>Gene4102-tree</v>
      </c>
      <c r="X3722">
        <v>7</v>
      </c>
      <c r="Y3722">
        <v>9</v>
      </c>
      <c r="Z3722">
        <v>7</v>
      </c>
      <c r="AA3722">
        <v>9</v>
      </c>
      <c r="AB3722">
        <v>0.5625</v>
      </c>
      <c r="AC3722" t="s">
        <v>152</v>
      </c>
      <c r="AD3722" t="s">
        <v>135</v>
      </c>
      <c r="AE3722" t="s">
        <v>62</v>
      </c>
      <c r="AF3722" t="s">
        <v>62</v>
      </c>
      <c r="AG3722">
        <v>3</v>
      </c>
      <c r="AH3722">
        <v>6</v>
      </c>
      <c r="AI3722">
        <v>16</v>
      </c>
      <c r="AJ3722">
        <v>0.27272999999999997</v>
      </c>
      <c r="AK3722">
        <v>0</v>
      </c>
      <c r="AL3722">
        <v>0</v>
      </c>
      <c r="AM3722">
        <v>0</v>
      </c>
      <c r="AN3722">
        <v>1</v>
      </c>
      <c r="AO3722">
        <v>0</v>
      </c>
      <c r="AP3722">
        <v>4</v>
      </c>
      <c r="AQ3722">
        <v>0</v>
      </c>
      <c r="AR3722">
        <v>4</v>
      </c>
      <c r="AS3722">
        <v>11</v>
      </c>
      <c r="AT3722">
        <v>0.26667000000000002</v>
      </c>
      <c r="AU3722">
        <v>13</v>
      </c>
      <c r="AV3722">
        <v>10</v>
      </c>
      <c r="AW3722">
        <v>32</v>
      </c>
      <c r="AX3722">
        <v>14</v>
      </c>
      <c r="AY3722">
        <v>27</v>
      </c>
      <c r="AZ3722">
        <v>8</v>
      </c>
      <c r="BA3722" t="s">
        <v>24157</v>
      </c>
      <c r="BB3722" t="s">
        <v>24158</v>
      </c>
      <c r="BC3722">
        <v>0.23400000000000001</v>
      </c>
      <c r="BD3722" t="s">
        <v>65</v>
      </c>
      <c r="BE3722">
        <v>59</v>
      </c>
      <c r="BF3722">
        <v>22</v>
      </c>
      <c r="BG3722" t="s">
        <v>24159</v>
      </c>
      <c r="BH3722" t="s">
        <v>24160</v>
      </c>
      <c r="BI3722" t="s">
        <v>24161</v>
      </c>
      <c r="BJ3722">
        <v>8.2460000000000006E-2</v>
      </c>
      <c r="BK3722">
        <v>1</v>
      </c>
      <c r="BL3722" t="s">
        <v>69</v>
      </c>
      <c r="BM3722">
        <v>-1.734</v>
      </c>
      <c r="BN3722">
        <v>-1.6719999999999999</v>
      </c>
    </row>
    <row r="3723" spans="10:66">
      <c r="J3723">
        <v>0</v>
      </c>
      <c r="K3723">
        <v>0</v>
      </c>
      <c r="L3723">
        <v>0</v>
      </c>
      <c r="M3723" t="s">
        <v>25021</v>
      </c>
      <c r="N3723">
        <v>4118</v>
      </c>
      <c r="O3723" t="s">
        <v>24268</v>
      </c>
      <c r="P3723" t="s">
        <v>57</v>
      </c>
      <c r="Q3723">
        <v>4084799</v>
      </c>
      <c r="R3723">
        <v>4085551</v>
      </c>
      <c r="S3723" t="s">
        <v>24269</v>
      </c>
      <c r="T3723">
        <v>251</v>
      </c>
      <c r="U3723" t="s">
        <v>125</v>
      </c>
      <c r="V3723">
        <v>48</v>
      </c>
      <c r="W3723" t="str">
        <f>HYPERLINK("Gene4118-zp_tree_all.dnd", "Gene4118-tree")</f>
        <v>Gene4118-tree</v>
      </c>
      <c r="X3723">
        <v>17</v>
      </c>
      <c r="Y3723">
        <v>3</v>
      </c>
      <c r="Z3723">
        <v>17</v>
      </c>
      <c r="AA3723">
        <v>3</v>
      </c>
      <c r="AB3723">
        <v>0.15</v>
      </c>
      <c r="AC3723" t="s">
        <v>266</v>
      </c>
      <c r="AD3723" t="s">
        <v>324</v>
      </c>
      <c r="AE3723" t="s">
        <v>62</v>
      </c>
      <c r="AF3723" t="s">
        <v>62</v>
      </c>
      <c r="AG3723">
        <v>0</v>
      </c>
      <c r="AH3723">
        <v>0</v>
      </c>
      <c r="AI3723">
        <v>8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5</v>
      </c>
      <c r="AT3723">
        <v>0</v>
      </c>
      <c r="AU3723">
        <v>14</v>
      </c>
      <c r="AV3723">
        <v>13</v>
      </c>
      <c r="AW3723">
        <v>21</v>
      </c>
      <c r="AX3723">
        <v>5</v>
      </c>
      <c r="AY3723">
        <v>49</v>
      </c>
      <c r="AZ3723">
        <v>3</v>
      </c>
      <c r="BA3723" t="s">
        <v>24270</v>
      </c>
      <c r="BB3723" t="s">
        <v>24271</v>
      </c>
      <c r="BC3723">
        <v>0.50600000000000001</v>
      </c>
      <c r="BD3723" t="s">
        <v>65</v>
      </c>
      <c r="BE3723">
        <v>70</v>
      </c>
      <c r="BF3723">
        <v>8</v>
      </c>
      <c r="BG3723" t="s">
        <v>24272</v>
      </c>
      <c r="BH3723" t="s">
        <v>24273</v>
      </c>
      <c r="BI3723" t="s">
        <v>24274</v>
      </c>
      <c r="BJ3723">
        <v>2.4809999999999999E-2</v>
      </c>
      <c r="BK3723">
        <v>1</v>
      </c>
      <c r="BL3723" t="s">
        <v>69</v>
      </c>
      <c r="BM3723">
        <v>-1.478</v>
      </c>
      <c r="BN3723">
        <v>-6.2E-2</v>
      </c>
    </row>
    <row r="3724" spans="10:66">
      <c r="J3724">
        <v>0</v>
      </c>
      <c r="K3724">
        <v>0</v>
      </c>
      <c r="L3724">
        <v>0</v>
      </c>
      <c r="M3724" t="s">
        <v>25021</v>
      </c>
      <c r="N3724">
        <v>4119</v>
      </c>
      <c r="O3724" t="s">
        <v>24275</v>
      </c>
      <c r="P3724" t="s">
        <v>57</v>
      </c>
      <c r="Q3724">
        <v>4085608</v>
      </c>
      <c r="R3724">
        <v>4086537</v>
      </c>
      <c r="S3724" t="s">
        <v>16023</v>
      </c>
      <c r="T3724">
        <v>310</v>
      </c>
      <c r="U3724" t="s">
        <v>465</v>
      </c>
      <c r="V3724">
        <v>46</v>
      </c>
      <c r="W3724" t="str">
        <f>HYPERLINK("Gene4119-zp_tree_all.dnd", "Gene4119-tree")</f>
        <v>Gene4119-tree</v>
      </c>
      <c r="X3724">
        <v>10</v>
      </c>
      <c r="Y3724">
        <v>7</v>
      </c>
      <c r="Z3724">
        <v>10</v>
      </c>
      <c r="AA3724">
        <v>7</v>
      </c>
      <c r="AB3724">
        <v>0.41176000000000001</v>
      </c>
      <c r="AC3724" t="s">
        <v>117</v>
      </c>
      <c r="AD3724" t="s">
        <v>152</v>
      </c>
      <c r="AE3724" t="s">
        <v>62</v>
      </c>
      <c r="AF3724" t="s">
        <v>62</v>
      </c>
      <c r="AG3724">
        <v>0</v>
      </c>
      <c r="AH3724">
        <v>0</v>
      </c>
      <c r="AI3724">
        <v>11</v>
      </c>
      <c r="AJ3724">
        <v>0</v>
      </c>
      <c r="AK3724">
        <v>0</v>
      </c>
      <c r="AL3724">
        <v>0</v>
      </c>
      <c r="AM3724">
        <v>0</v>
      </c>
      <c r="AN3724">
        <v>2</v>
      </c>
      <c r="AO3724">
        <v>0</v>
      </c>
      <c r="AP3724">
        <v>0</v>
      </c>
      <c r="AQ3724">
        <v>0</v>
      </c>
      <c r="AR3724">
        <v>0</v>
      </c>
      <c r="AS3724">
        <v>9</v>
      </c>
      <c r="AT3724">
        <v>0</v>
      </c>
      <c r="AU3724">
        <v>13</v>
      </c>
      <c r="AV3724">
        <v>10</v>
      </c>
      <c r="AW3724">
        <v>38</v>
      </c>
      <c r="AX3724">
        <v>7</v>
      </c>
      <c r="AY3724">
        <v>52</v>
      </c>
      <c r="AZ3724">
        <v>4</v>
      </c>
      <c r="BA3724" t="s">
        <v>24276</v>
      </c>
      <c r="BB3724" t="s">
        <v>24277</v>
      </c>
      <c r="BC3724">
        <v>0.66800000000000004</v>
      </c>
      <c r="BD3724" t="s">
        <v>65</v>
      </c>
      <c r="BE3724">
        <v>90</v>
      </c>
      <c r="BF3724">
        <v>11</v>
      </c>
      <c r="BG3724" t="s">
        <v>24278</v>
      </c>
      <c r="BH3724" t="s">
        <v>24279</v>
      </c>
      <c r="BI3724" t="s">
        <v>24280</v>
      </c>
      <c r="BJ3724">
        <v>2.904E-2</v>
      </c>
      <c r="BK3724">
        <v>1</v>
      </c>
      <c r="BL3724" t="s">
        <v>69</v>
      </c>
      <c r="BM3724">
        <v>-0.90800000000000003</v>
      </c>
      <c r="BN3724">
        <v>-0.80100000000000005</v>
      </c>
    </row>
    <row r="3725" spans="10:66">
      <c r="J3725">
        <v>0</v>
      </c>
      <c r="K3725">
        <v>7</v>
      </c>
      <c r="L3725">
        <v>1</v>
      </c>
      <c r="M3725" t="s">
        <v>25021</v>
      </c>
      <c r="N3725">
        <v>4120</v>
      </c>
      <c r="O3725" t="s">
        <v>24281</v>
      </c>
      <c r="P3725" t="s">
        <v>57</v>
      </c>
      <c r="Q3725">
        <v>4086802</v>
      </c>
      <c r="R3725">
        <v>4087449</v>
      </c>
      <c r="S3725" t="s">
        <v>116</v>
      </c>
      <c r="T3725">
        <v>216</v>
      </c>
      <c r="U3725" t="s">
        <v>2289</v>
      </c>
      <c r="V3725">
        <v>37</v>
      </c>
      <c r="W3725" t="str">
        <f>HYPERLINK("Gene4120-zp_tree_all.dnd", "Gene4120-tree")</f>
        <v>Gene4120-tree</v>
      </c>
      <c r="X3725">
        <v>6</v>
      </c>
      <c r="Y3725">
        <v>8</v>
      </c>
      <c r="Z3725">
        <v>6</v>
      </c>
      <c r="AA3725">
        <v>8</v>
      </c>
      <c r="AB3725">
        <v>0.57142999999999999</v>
      </c>
      <c r="AC3725" t="s">
        <v>90</v>
      </c>
      <c r="AD3725" t="s">
        <v>136</v>
      </c>
      <c r="AE3725" t="s">
        <v>62</v>
      </c>
      <c r="AF3725" t="s">
        <v>62</v>
      </c>
      <c r="AG3725">
        <v>3</v>
      </c>
      <c r="AH3725">
        <v>8</v>
      </c>
      <c r="AI3725">
        <v>8</v>
      </c>
      <c r="AJ3725">
        <v>0.5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6</v>
      </c>
      <c r="AQ3725">
        <v>1</v>
      </c>
      <c r="AR3725">
        <v>7</v>
      </c>
      <c r="AS3725">
        <v>5</v>
      </c>
      <c r="AT3725">
        <v>0.58333000000000002</v>
      </c>
      <c r="AU3725">
        <v>12</v>
      </c>
      <c r="AV3725">
        <v>10</v>
      </c>
      <c r="AW3725">
        <v>37</v>
      </c>
      <c r="AX3725">
        <v>11</v>
      </c>
      <c r="AY3725">
        <v>25</v>
      </c>
      <c r="AZ3725">
        <v>5</v>
      </c>
      <c r="BA3725" t="s">
        <v>24282</v>
      </c>
      <c r="BB3725" t="s">
        <v>24283</v>
      </c>
      <c r="BC3725">
        <v>0.34300000000000003</v>
      </c>
      <c r="BD3725" t="s">
        <v>65</v>
      </c>
      <c r="BE3725">
        <v>62</v>
      </c>
      <c r="BF3725">
        <v>16</v>
      </c>
      <c r="BG3725" t="s">
        <v>24284</v>
      </c>
      <c r="BH3725" t="s">
        <v>24285</v>
      </c>
      <c r="BI3725" t="s">
        <v>24286</v>
      </c>
      <c r="BJ3725">
        <v>8.3000000000000004E-2</v>
      </c>
      <c r="BK3725">
        <v>1</v>
      </c>
      <c r="BL3725" t="s">
        <v>69</v>
      </c>
      <c r="BM3725">
        <v>-1.208</v>
      </c>
      <c r="BN3725">
        <v>-1.169</v>
      </c>
    </row>
    <row r="3726" spans="10:66">
      <c r="J3726">
        <v>0</v>
      </c>
      <c r="K3726">
        <v>2</v>
      </c>
      <c r="L3726">
        <v>2</v>
      </c>
      <c r="M3726" t="s">
        <v>25021</v>
      </c>
      <c r="N3726">
        <v>4121</v>
      </c>
      <c r="O3726" t="s">
        <v>24287</v>
      </c>
      <c r="P3726" t="s">
        <v>57</v>
      </c>
      <c r="Q3726">
        <v>4087456</v>
      </c>
      <c r="R3726">
        <v>4087761</v>
      </c>
      <c r="S3726" t="s">
        <v>116</v>
      </c>
      <c r="T3726">
        <v>102</v>
      </c>
      <c r="U3726" t="s">
        <v>2289</v>
      </c>
      <c r="V3726">
        <v>37</v>
      </c>
      <c r="W3726" t="str">
        <f>HYPERLINK("Gene4121-zp_tree_all.dnd", "Gene4121-tree")</f>
        <v>Gene4121-tree</v>
      </c>
      <c r="X3726">
        <v>4</v>
      </c>
      <c r="Y3726">
        <v>5</v>
      </c>
      <c r="Z3726">
        <v>4</v>
      </c>
      <c r="AA3726">
        <v>5</v>
      </c>
      <c r="AB3726">
        <v>0.55556000000000005</v>
      </c>
      <c r="AC3726" t="s">
        <v>61</v>
      </c>
      <c r="AD3726" t="s">
        <v>199</v>
      </c>
      <c r="AE3726" t="s">
        <v>62</v>
      </c>
      <c r="AF3726" t="s">
        <v>62</v>
      </c>
      <c r="AG3726">
        <v>2</v>
      </c>
      <c r="AH3726">
        <v>4</v>
      </c>
      <c r="AI3726">
        <v>6</v>
      </c>
      <c r="AJ3726">
        <v>0.4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2</v>
      </c>
      <c r="AQ3726">
        <v>2</v>
      </c>
      <c r="AR3726">
        <v>4</v>
      </c>
      <c r="AS3726">
        <v>6</v>
      </c>
      <c r="AT3726">
        <v>0.4</v>
      </c>
      <c r="AU3726">
        <v>6</v>
      </c>
      <c r="AV3726">
        <v>3</v>
      </c>
      <c r="AW3726">
        <v>7</v>
      </c>
      <c r="AX3726">
        <v>10</v>
      </c>
      <c r="AY3726">
        <v>5</v>
      </c>
      <c r="AZ3726">
        <v>0</v>
      </c>
      <c r="BA3726" t="s">
        <v>24288</v>
      </c>
      <c r="BB3726" t="s">
        <v>193</v>
      </c>
      <c r="BC3726">
        <v>1.0720000000000001</v>
      </c>
      <c r="BD3726" t="s">
        <v>65</v>
      </c>
      <c r="BE3726">
        <v>12</v>
      </c>
      <c r="BF3726">
        <v>10</v>
      </c>
      <c r="BG3726" t="s">
        <v>24289</v>
      </c>
      <c r="BH3726" t="s">
        <v>24290</v>
      </c>
      <c r="BI3726" t="s">
        <v>24291</v>
      </c>
      <c r="BJ3726">
        <v>0.13730999999999999</v>
      </c>
      <c r="BK3726">
        <v>1</v>
      </c>
      <c r="BL3726" t="s">
        <v>69</v>
      </c>
      <c r="BM3726">
        <v>-0.999</v>
      </c>
      <c r="BN3726">
        <v>-2.9119999999999999</v>
      </c>
    </row>
    <row r="3727" spans="10:66">
      <c r="J3727">
        <v>0</v>
      </c>
      <c r="K3727">
        <v>5</v>
      </c>
      <c r="L3727">
        <v>0</v>
      </c>
      <c r="M3727" t="s">
        <v>25021</v>
      </c>
      <c r="N3727">
        <v>4122</v>
      </c>
      <c r="O3727" t="s">
        <v>24292</v>
      </c>
      <c r="P3727" t="s">
        <v>57</v>
      </c>
      <c r="Q3727">
        <v>4088002</v>
      </c>
      <c r="R3727">
        <v>4089384</v>
      </c>
      <c r="S3727" t="s">
        <v>22512</v>
      </c>
      <c r="T3727">
        <v>461</v>
      </c>
      <c r="U3727" t="s">
        <v>108</v>
      </c>
      <c r="V3727">
        <v>44</v>
      </c>
      <c r="W3727" t="str">
        <f>HYPERLINK("Gene4122-zp_tree_all.dnd", "Gene4122-tree")</f>
        <v>Gene4122-tree</v>
      </c>
      <c r="X3727">
        <v>6</v>
      </c>
      <c r="Y3727">
        <v>8</v>
      </c>
      <c r="Z3727">
        <v>6</v>
      </c>
      <c r="AA3727">
        <v>8</v>
      </c>
      <c r="AB3727">
        <v>0.57142999999999999</v>
      </c>
      <c r="AC3727" t="s">
        <v>90</v>
      </c>
      <c r="AD3727" t="s">
        <v>136</v>
      </c>
      <c r="AE3727" t="s">
        <v>62</v>
      </c>
      <c r="AF3727" t="s">
        <v>62</v>
      </c>
      <c r="AG3727">
        <v>2</v>
      </c>
      <c r="AH3727">
        <v>5</v>
      </c>
      <c r="AI3727">
        <v>10</v>
      </c>
      <c r="AJ3727">
        <v>0.33333000000000002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4</v>
      </c>
      <c r="AQ3727">
        <v>0</v>
      </c>
      <c r="AR3727">
        <v>4</v>
      </c>
      <c r="AS3727">
        <v>8</v>
      </c>
      <c r="AT3727">
        <v>0.33333000000000002</v>
      </c>
      <c r="AU3727">
        <v>12</v>
      </c>
      <c r="AV3727">
        <v>10</v>
      </c>
      <c r="AW3727">
        <v>66</v>
      </c>
      <c r="AX3727">
        <v>12</v>
      </c>
      <c r="AY3727">
        <v>76</v>
      </c>
      <c r="AZ3727">
        <v>4</v>
      </c>
      <c r="BA3727" t="s">
        <v>24293</v>
      </c>
      <c r="BB3727" t="s">
        <v>24294</v>
      </c>
      <c r="BC3727">
        <v>1.2430000000000001</v>
      </c>
      <c r="BD3727" t="s">
        <v>65</v>
      </c>
      <c r="BE3727">
        <v>142</v>
      </c>
      <c r="BF3727">
        <v>16</v>
      </c>
      <c r="BG3727" t="s">
        <v>24295</v>
      </c>
      <c r="BH3727" t="s">
        <v>24296</v>
      </c>
      <c r="BI3727" t="s">
        <v>24297</v>
      </c>
      <c r="BJ3727">
        <v>2.9080000000000002E-2</v>
      </c>
      <c r="BK3727">
        <v>1</v>
      </c>
      <c r="BL3727" t="s">
        <v>69</v>
      </c>
      <c r="BM3727">
        <v>-0.27800000000000002</v>
      </c>
      <c r="BN3727">
        <v>-0.503</v>
      </c>
    </row>
    <row r="3728" spans="10:66">
      <c r="J3728">
        <v>0</v>
      </c>
      <c r="K3728">
        <v>4</v>
      </c>
      <c r="L3728">
        <v>0</v>
      </c>
      <c r="M3728" t="s">
        <v>25021</v>
      </c>
      <c r="N3728">
        <v>4125</v>
      </c>
      <c r="O3728" t="s">
        <v>24311</v>
      </c>
      <c r="P3728" t="s">
        <v>57</v>
      </c>
      <c r="Q3728">
        <v>4091845</v>
      </c>
      <c r="R3728">
        <v>4092663</v>
      </c>
      <c r="S3728" t="s">
        <v>1940</v>
      </c>
      <c r="T3728">
        <v>273</v>
      </c>
      <c r="U3728" t="s">
        <v>2078</v>
      </c>
      <c r="V3728">
        <v>36</v>
      </c>
      <c r="W3728" t="str">
        <f>HYPERLINK("Gene4125-zp_tree_all.dnd", "Gene4125-tree")</f>
        <v>Gene4125-tree</v>
      </c>
      <c r="X3728">
        <v>6</v>
      </c>
      <c r="Y3728">
        <v>6</v>
      </c>
      <c r="Z3728">
        <v>6</v>
      </c>
      <c r="AA3728">
        <v>6</v>
      </c>
      <c r="AB3728">
        <v>0.5</v>
      </c>
      <c r="AC3728" t="s">
        <v>90</v>
      </c>
      <c r="AD3728" t="s">
        <v>90</v>
      </c>
      <c r="AE3728" t="s">
        <v>62</v>
      </c>
      <c r="AF3728" t="s">
        <v>62</v>
      </c>
      <c r="AG3728">
        <v>2</v>
      </c>
      <c r="AH3728">
        <v>4</v>
      </c>
      <c r="AI3728">
        <v>8</v>
      </c>
      <c r="AJ3728">
        <v>0.33333000000000002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7</v>
      </c>
      <c r="AT3728">
        <v>0</v>
      </c>
      <c r="AU3728">
        <v>11</v>
      </c>
      <c r="AV3728">
        <v>8</v>
      </c>
      <c r="AW3728">
        <v>49</v>
      </c>
      <c r="AX3728">
        <v>5</v>
      </c>
      <c r="AY3728">
        <v>48</v>
      </c>
      <c r="AZ3728">
        <v>7</v>
      </c>
      <c r="BA3728" t="s">
        <v>24312</v>
      </c>
      <c r="BB3728" t="s">
        <v>24313</v>
      </c>
      <c r="BC3728">
        <v>0.40300000000000002</v>
      </c>
      <c r="BD3728" t="s">
        <v>65</v>
      </c>
      <c r="BE3728">
        <v>97</v>
      </c>
      <c r="BF3728">
        <v>12</v>
      </c>
      <c r="BG3728" t="s">
        <v>24314</v>
      </c>
      <c r="BH3728" t="s">
        <v>24315</v>
      </c>
      <c r="BI3728" t="s">
        <v>24316</v>
      </c>
      <c r="BJ3728">
        <v>4.1619999999999997E-2</v>
      </c>
      <c r="BK3728">
        <v>1</v>
      </c>
      <c r="BL3728" t="s">
        <v>69</v>
      </c>
      <c r="BM3728">
        <v>0.53200000000000003</v>
      </c>
      <c r="BN3728">
        <v>0.41899999999999998</v>
      </c>
    </row>
    <row r="3729" spans="10:66">
      <c r="J3729">
        <v>0</v>
      </c>
      <c r="K3729">
        <v>8</v>
      </c>
      <c r="L3729">
        <v>5</v>
      </c>
      <c r="M3729" t="s">
        <v>25021</v>
      </c>
      <c r="N3729">
        <v>4127</v>
      </c>
      <c r="O3729" t="s">
        <v>24324</v>
      </c>
      <c r="P3729" t="s">
        <v>57</v>
      </c>
      <c r="Q3729">
        <v>4093980</v>
      </c>
      <c r="R3729">
        <v>4095314</v>
      </c>
      <c r="S3729" t="s">
        <v>23075</v>
      </c>
      <c r="T3729">
        <v>445</v>
      </c>
      <c r="U3729" t="s">
        <v>1907</v>
      </c>
      <c r="V3729">
        <v>38</v>
      </c>
      <c r="W3729" t="str">
        <f>HYPERLINK("Gene4127-zp_tree_all.dnd", "Gene4127-tree")</f>
        <v>Gene4127-tree</v>
      </c>
      <c r="X3729">
        <v>2</v>
      </c>
      <c r="Y3729">
        <v>11</v>
      </c>
      <c r="Z3729">
        <v>2</v>
      </c>
      <c r="AA3729">
        <v>11</v>
      </c>
      <c r="AB3729">
        <v>0.84614999999999996</v>
      </c>
      <c r="AC3729" t="s">
        <v>81</v>
      </c>
      <c r="AD3729" t="s">
        <v>73</v>
      </c>
      <c r="AE3729">
        <v>515075683.63</v>
      </c>
      <c r="AF3729" t="s">
        <v>267</v>
      </c>
      <c r="AG3729">
        <v>4</v>
      </c>
      <c r="AH3729">
        <v>13</v>
      </c>
      <c r="AI3729">
        <v>14</v>
      </c>
      <c r="AJ3729">
        <v>0.48148000000000002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2</v>
      </c>
      <c r="AQ3729">
        <v>8</v>
      </c>
      <c r="AR3729">
        <v>10</v>
      </c>
      <c r="AS3729">
        <v>10</v>
      </c>
      <c r="AT3729">
        <v>0.5</v>
      </c>
      <c r="AU3729">
        <v>13</v>
      </c>
      <c r="AV3729">
        <v>8</v>
      </c>
      <c r="AW3729">
        <v>73</v>
      </c>
      <c r="AX3729">
        <v>21</v>
      </c>
      <c r="AY3729">
        <v>30</v>
      </c>
      <c r="AZ3729">
        <v>7</v>
      </c>
      <c r="BA3729" t="s">
        <v>24325</v>
      </c>
      <c r="BB3729" t="s">
        <v>24326</v>
      </c>
      <c r="BC3729">
        <v>0.20300000000000001</v>
      </c>
      <c r="BD3729" t="s">
        <v>65</v>
      </c>
      <c r="BE3729">
        <v>103</v>
      </c>
      <c r="BF3729">
        <v>28</v>
      </c>
      <c r="BG3729" t="s">
        <v>24327</v>
      </c>
      <c r="BH3729" t="s">
        <v>24328</v>
      </c>
      <c r="BI3729" t="s">
        <v>24329</v>
      </c>
      <c r="BJ3729">
        <v>7.0510000000000003E-2</v>
      </c>
      <c r="BK3729">
        <v>1</v>
      </c>
      <c r="BL3729" t="s">
        <v>69</v>
      </c>
      <c r="BM3729">
        <v>-1.123</v>
      </c>
      <c r="BN3729">
        <v>-2.2589999999999999</v>
      </c>
    </row>
    <row r="3730" spans="10:66">
      <c r="J3730">
        <v>2</v>
      </c>
      <c r="K3730">
        <v>0</v>
      </c>
      <c r="L3730">
        <v>2</v>
      </c>
      <c r="M3730" t="s">
        <v>25021</v>
      </c>
      <c r="N3730">
        <v>4137</v>
      </c>
      <c r="O3730" t="s">
        <v>24343</v>
      </c>
      <c r="P3730" t="s">
        <v>57</v>
      </c>
      <c r="Q3730">
        <v>4104444</v>
      </c>
      <c r="R3730">
        <v>4104896</v>
      </c>
      <c r="S3730" t="s">
        <v>1856</v>
      </c>
      <c r="T3730">
        <v>151</v>
      </c>
      <c r="U3730" t="s">
        <v>1933</v>
      </c>
      <c r="V3730">
        <v>39</v>
      </c>
      <c r="W3730" t="str">
        <f>HYPERLINK("Gene4137-zp_tree_all.dnd", "Gene4137-tree")</f>
        <v>Gene4137-tree</v>
      </c>
      <c r="X3730">
        <v>7</v>
      </c>
      <c r="Y3730">
        <v>4</v>
      </c>
      <c r="Z3730">
        <v>7</v>
      </c>
      <c r="AA3730">
        <v>4</v>
      </c>
      <c r="AB3730">
        <v>0.36364000000000002</v>
      </c>
      <c r="AC3730" t="s">
        <v>152</v>
      </c>
      <c r="AD3730" t="s">
        <v>61</v>
      </c>
      <c r="AE3730" t="s">
        <v>62</v>
      </c>
      <c r="AF3730" t="s">
        <v>62</v>
      </c>
      <c r="AG3730">
        <v>1</v>
      </c>
      <c r="AH3730">
        <v>4</v>
      </c>
      <c r="AI3730">
        <v>6</v>
      </c>
      <c r="AJ3730">
        <v>0.4</v>
      </c>
      <c r="AK3730">
        <v>0</v>
      </c>
      <c r="AL3730">
        <v>0</v>
      </c>
      <c r="AM3730">
        <v>0</v>
      </c>
      <c r="AN3730">
        <v>1</v>
      </c>
      <c r="AO3730">
        <v>0</v>
      </c>
      <c r="AP3730">
        <v>0</v>
      </c>
      <c r="AQ3730">
        <v>3</v>
      </c>
      <c r="AR3730">
        <v>3</v>
      </c>
      <c r="AS3730">
        <v>4</v>
      </c>
      <c r="AT3730">
        <v>0.42857000000000001</v>
      </c>
      <c r="AU3730">
        <v>7</v>
      </c>
      <c r="AV3730">
        <v>6</v>
      </c>
      <c r="AW3730">
        <v>11</v>
      </c>
      <c r="AX3730">
        <v>7</v>
      </c>
      <c r="AY3730">
        <v>9</v>
      </c>
      <c r="AZ3730">
        <v>3</v>
      </c>
      <c r="BA3730" t="s">
        <v>24344</v>
      </c>
      <c r="BB3730" t="s">
        <v>24345</v>
      </c>
      <c r="BC3730">
        <v>0.60299999999999998</v>
      </c>
      <c r="BD3730" t="s">
        <v>65</v>
      </c>
      <c r="BE3730">
        <v>20</v>
      </c>
      <c r="BF3730">
        <v>10</v>
      </c>
      <c r="BG3730" t="s">
        <v>24346</v>
      </c>
      <c r="BH3730" t="s">
        <v>24347</v>
      </c>
      <c r="BI3730" t="s">
        <v>24348</v>
      </c>
      <c r="BJ3730">
        <v>0.13075000000000001</v>
      </c>
      <c r="BK3730">
        <v>1</v>
      </c>
      <c r="BL3730" t="s">
        <v>69</v>
      </c>
      <c r="BM3730">
        <v>-0.06</v>
      </c>
      <c r="BN3730">
        <v>-0.52500000000000002</v>
      </c>
    </row>
    <row r="3731" spans="10:66">
      <c r="J3731">
        <v>0</v>
      </c>
      <c r="K3731">
        <v>19</v>
      </c>
      <c r="L3731">
        <v>3</v>
      </c>
      <c r="M3731" t="s">
        <v>25021</v>
      </c>
      <c r="N3731">
        <v>4141</v>
      </c>
      <c r="O3731" t="s">
        <v>24369</v>
      </c>
      <c r="P3731" t="s">
        <v>57</v>
      </c>
      <c r="Q3731">
        <v>4108058</v>
      </c>
      <c r="R3731">
        <v>4109125</v>
      </c>
      <c r="S3731" t="s">
        <v>1940</v>
      </c>
      <c r="T3731">
        <v>356</v>
      </c>
      <c r="U3731" t="s">
        <v>108</v>
      </c>
      <c r="V3731">
        <v>44</v>
      </c>
      <c r="W3731" t="str">
        <f>HYPERLINK("Gene4141-zp_tree_all.dnd", "Gene4141-tree")</f>
        <v>Gene4141-tree</v>
      </c>
      <c r="X3731">
        <v>4</v>
      </c>
      <c r="Y3731">
        <v>10</v>
      </c>
      <c r="Z3731">
        <v>4</v>
      </c>
      <c r="AA3731">
        <v>10</v>
      </c>
      <c r="AB3731">
        <v>0.71428999999999998</v>
      </c>
      <c r="AC3731" t="s">
        <v>61</v>
      </c>
      <c r="AD3731" t="s">
        <v>117</v>
      </c>
      <c r="AE3731" t="s">
        <v>62</v>
      </c>
      <c r="AF3731" t="s">
        <v>62</v>
      </c>
      <c r="AG3731">
        <v>8</v>
      </c>
      <c r="AH3731">
        <v>22</v>
      </c>
      <c r="AI3731">
        <v>11</v>
      </c>
      <c r="AJ3731">
        <v>0.66666999999999998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4</v>
      </c>
      <c r="AQ3731">
        <v>6</v>
      </c>
      <c r="AR3731">
        <v>10</v>
      </c>
      <c r="AS3731">
        <v>13</v>
      </c>
      <c r="AT3731">
        <v>0.43478</v>
      </c>
      <c r="AU3731">
        <v>12</v>
      </c>
      <c r="AV3731">
        <v>11</v>
      </c>
      <c r="AW3731">
        <v>52</v>
      </c>
      <c r="AX3731">
        <v>18</v>
      </c>
      <c r="AY3731">
        <v>42</v>
      </c>
      <c r="AZ3731">
        <v>16</v>
      </c>
      <c r="BA3731" t="s">
        <v>24370</v>
      </c>
      <c r="BB3731" t="s">
        <v>24371</v>
      </c>
      <c r="BC3731">
        <v>0.20399999999999999</v>
      </c>
      <c r="BD3731" t="s">
        <v>65</v>
      </c>
      <c r="BE3731">
        <v>94</v>
      </c>
      <c r="BF3731">
        <v>34</v>
      </c>
      <c r="BG3731" t="s">
        <v>24372</v>
      </c>
      <c r="BH3731" t="s">
        <v>24373</v>
      </c>
      <c r="BI3731" t="s">
        <v>24374</v>
      </c>
      <c r="BJ3731">
        <v>9.3780000000000002E-2</v>
      </c>
      <c r="BK3731">
        <v>1</v>
      </c>
      <c r="BL3731" t="s">
        <v>69</v>
      </c>
      <c r="BM3731">
        <v>-8.5000000000000006E-2</v>
      </c>
      <c r="BN3731">
        <v>-0.99</v>
      </c>
    </row>
    <row r="3732" spans="10:66">
      <c r="J3732">
        <v>0</v>
      </c>
      <c r="K3732">
        <v>0</v>
      </c>
      <c r="L3732">
        <v>0</v>
      </c>
      <c r="M3732" t="s">
        <v>25021</v>
      </c>
      <c r="N3732">
        <v>4143</v>
      </c>
      <c r="O3732" t="s">
        <v>24381</v>
      </c>
      <c r="P3732" t="s">
        <v>57</v>
      </c>
      <c r="Q3732">
        <v>4109843</v>
      </c>
      <c r="R3732">
        <v>4110244</v>
      </c>
      <c r="S3732" t="s">
        <v>24382</v>
      </c>
      <c r="T3732">
        <v>134</v>
      </c>
      <c r="U3732" t="s">
        <v>265</v>
      </c>
      <c r="V3732">
        <v>43</v>
      </c>
      <c r="W3732" t="str">
        <f>HYPERLINK("Gene4143-zp_tree_all.dnd", "Gene4143-tree")</f>
        <v>Gene4143-tree</v>
      </c>
      <c r="X3732">
        <v>23</v>
      </c>
      <c r="Y3732">
        <v>4</v>
      </c>
      <c r="Z3732">
        <v>5</v>
      </c>
      <c r="AA3732">
        <v>4</v>
      </c>
      <c r="AB3732">
        <v>0.44444</v>
      </c>
      <c r="AC3732" t="s">
        <v>1652</v>
      </c>
      <c r="AD3732" t="s">
        <v>61</v>
      </c>
      <c r="AE3732" t="s">
        <v>62</v>
      </c>
      <c r="AF3732" t="s">
        <v>62</v>
      </c>
      <c r="AG3732">
        <v>0</v>
      </c>
      <c r="AH3732">
        <v>0</v>
      </c>
      <c r="AI3732">
        <v>7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6</v>
      </c>
      <c r="AT3732">
        <v>0</v>
      </c>
      <c r="AU3732">
        <v>6</v>
      </c>
      <c r="AV3732">
        <v>4</v>
      </c>
      <c r="AW3732">
        <v>10</v>
      </c>
      <c r="AX3732">
        <v>6</v>
      </c>
      <c r="AY3732">
        <v>3</v>
      </c>
      <c r="AZ3732">
        <v>1</v>
      </c>
      <c r="BA3732" t="s">
        <v>24383</v>
      </c>
      <c r="BB3732" t="s">
        <v>24384</v>
      </c>
      <c r="BC3732">
        <v>0.39300000000000002</v>
      </c>
      <c r="BD3732" t="s">
        <v>65</v>
      </c>
      <c r="BE3732">
        <v>13</v>
      </c>
      <c r="BF3732">
        <v>7</v>
      </c>
      <c r="BG3732" t="s">
        <v>24385</v>
      </c>
      <c r="BH3732" t="s">
        <v>24386</v>
      </c>
      <c r="BI3732" t="s">
        <v>24387</v>
      </c>
      <c r="BJ3732">
        <v>0.15603</v>
      </c>
      <c r="BK3732">
        <v>1</v>
      </c>
      <c r="BL3732" t="s">
        <v>69</v>
      </c>
      <c r="BM3732">
        <v>-0.97499999999999998</v>
      </c>
      <c r="BN3732">
        <v>-1.0509999999999999</v>
      </c>
    </row>
    <row r="3733" spans="10:66">
      <c r="J3733">
        <v>0</v>
      </c>
      <c r="K3733">
        <v>4</v>
      </c>
      <c r="L3733">
        <v>0</v>
      </c>
      <c r="M3733" t="s">
        <v>25021</v>
      </c>
      <c r="N3733">
        <v>4144</v>
      </c>
      <c r="O3733" t="s">
        <v>24388</v>
      </c>
      <c r="P3733" t="s">
        <v>57</v>
      </c>
      <c r="Q3733">
        <v>4110217</v>
      </c>
      <c r="R3733">
        <v>4110906</v>
      </c>
      <c r="S3733" t="s">
        <v>24389</v>
      </c>
      <c r="T3733">
        <v>230</v>
      </c>
      <c r="U3733" t="s">
        <v>108</v>
      </c>
      <c r="V3733">
        <v>44</v>
      </c>
      <c r="W3733" t="str">
        <f>HYPERLINK("Gene4144-zp_tree_all.dnd", "Gene4144-tree")</f>
        <v>Gene4144-tree</v>
      </c>
      <c r="X3733">
        <v>29</v>
      </c>
      <c r="Y3733">
        <v>2</v>
      </c>
      <c r="Z3733">
        <v>11</v>
      </c>
      <c r="AA3733">
        <v>2</v>
      </c>
      <c r="AB3733">
        <v>0.15384999999999999</v>
      </c>
      <c r="AC3733" t="s">
        <v>2086</v>
      </c>
      <c r="AD3733" t="s">
        <v>81</v>
      </c>
      <c r="AE3733" t="s">
        <v>62</v>
      </c>
      <c r="AF3733" t="s">
        <v>62</v>
      </c>
      <c r="AG3733">
        <v>1</v>
      </c>
      <c r="AH3733">
        <v>4</v>
      </c>
      <c r="AI3733">
        <v>3</v>
      </c>
      <c r="AJ3733">
        <v>0.57142999999999999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4</v>
      </c>
      <c r="AT3733">
        <v>0</v>
      </c>
      <c r="AU3733">
        <v>11</v>
      </c>
      <c r="AV3733">
        <v>10</v>
      </c>
      <c r="AW3733">
        <v>37</v>
      </c>
      <c r="AX3733">
        <v>4</v>
      </c>
      <c r="AY3733">
        <v>25</v>
      </c>
      <c r="AZ3733">
        <v>3</v>
      </c>
      <c r="BA3733" t="s">
        <v>24390</v>
      </c>
      <c r="BB3733" t="s">
        <v>24391</v>
      </c>
      <c r="BC3733">
        <v>5.6000000000000001E-2</v>
      </c>
      <c r="BD3733" t="s">
        <v>65</v>
      </c>
      <c r="BE3733">
        <v>62</v>
      </c>
      <c r="BF3733">
        <v>7</v>
      </c>
      <c r="BG3733" t="s">
        <v>24392</v>
      </c>
      <c r="BH3733" t="s">
        <v>24393</v>
      </c>
      <c r="BI3733" t="s">
        <v>24394</v>
      </c>
      <c r="BJ3733">
        <v>2.742E-2</v>
      </c>
      <c r="BK3733">
        <v>1</v>
      </c>
      <c r="BL3733" t="s">
        <v>69</v>
      </c>
      <c r="BM3733">
        <v>0.60499999999999998</v>
      </c>
      <c r="BN3733">
        <v>-0.11799999999999999</v>
      </c>
    </row>
    <row r="3734" spans="10:66">
      <c r="J3734">
        <v>0</v>
      </c>
      <c r="K3734">
        <v>3</v>
      </c>
      <c r="L3734">
        <v>0</v>
      </c>
      <c r="M3734" t="s">
        <v>25021</v>
      </c>
      <c r="N3734">
        <v>4147</v>
      </c>
      <c r="O3734" t="s">
        <v>24409</v>
      </c>
      <c r="P3734" t="s">
        <v>57</v>
      </c>
      <c r="Q3734">
        <v>4113417</v>
      </c>
      <c r="R3734">
        <v>4114145</v>
      </c>
      <c r="S3734" t="s">
        <v>24410</v>
      </c>
      <c r="T3734">
        <v>243</v>
      </c>
      <c r="U3734" t="s">
        <v>108</v>
      </c>
      <c r="V3734">
        <v>44</v>
      </c>
      <c r="W3734" t="str">
        <f>HYPERLINK("Gene4147-zp_tree_all.dnd", "Gene4147-tree")</f>
        <v>Gene4147-tree</v>
      </c>
      <c r="X3734">
        <v>6</v>
      </c>
      <c r="Y3734">
        <v>8</v>
      </c>
      <c r="Z3734">
        <v>6</v>
      </c>
      <c r="AA3734">
        <v>8</v>
      </c>
      <c r="AB3734">
        <v>0.57142999999999999</v>
      </c>
      <c r="AC3734" t="s">
        <v>90</v>
      </c>
      <c r="AD3734" t="s">
        <v>136</v>
      </c>
      <c r="AE3734" t="s">
        <v>62</v>
      </c>
      <c r="AF3734" t="s">
        <v>62</v>
      </c>
      <c r="AG3734">
        <v>1</v>
      </c>
      <c r="AH3734">
        <v>3</v>
      </c>
      <c r="AI3734">
        <v>5</v>
      </c>
      <c r="AJ3734">
        <v>0.375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3</v>
      </c>
      <c r="AQ3734">
        <v>0</v>
      </c>
      <c r="AR3734">
        <v>3</v>
      </c>
      <c r="AS3734">
        <v>5</v>
      </c>
      <c r="AT3734">
        <v>0.375</v>
      </c>
      <c r="AU3734">
        <v>9</v>
      </c>
      <c r="AV3734">
        <v>7</v>
      </c>
      <c r="AW3734">
        <v>11</v>
      </c>
      <c r="AX3734">
        <v>8</v>
      </c>
      <c r="AY3734">
        <v>9</v>
      </c>
      <c r="AZ3734">
        <v>0</v>
      </c>
      <c r="BA3734" t="s">
        <v>24411</v>
      </c>
      <c r="BB3734" t="s">
        <v>193</v>
      </c>
      <c r="BC3734">
        <v>3.5609999999999999</v>
      </c>
      <c r="BD3734" t="s">
        <v>267</v>
      </c>
      <c r="BE3734">
        <v>20</v>
      </c>
      <c r="BF3734">
        <v>8</v>
      </c>
      <c r="BG3734" t="s">
        <v>24412</v>
      </c>
      <c r="BH3734" t="s">
        <v>24413</v>
      </c>
      <c r="BI3734" t="s">
        <v>24414</v>
      </c>
      <c r="BJ3734">
        <v>8.6110000000000006E-2</v>
      </c>
      <c r="BK3734">
        <v>1</v>
      </c>
      <c r="BL3734" t="s">
        <v>69</v>
      </c>
      <c r="BM3734">
        <v>-0.53300000000000003</v>
      </c>
      <c r="BN3734">
        <v>-0.93700000000000006</v>
      </c>
    </row>
    <row r="3735" spans="10:66">
      <c r="J3735">
        <v>0</v>
      </c>
      <c r="K3735">
        <v>22</v>
      </c>
      <c r="L3735">
        <v>2</v>
      </c>
      <c r="M3735" t="s">
        <v>25021</v>
      </c>
      <c r="N3735">
        <v>4148</v>
      </c>
      <c r="O3735" t="s">
        <v>24415</v>
      </c>
      <c r="P3735" t="s">
        <v>57</v>
      </c>
      <c r="Q3735">
        <v>4114141</v>
      </c>
      <c r="R3735">
        <v>4115679</v>
      </c>
      <c r="S3735" t="s">
        <v>24416</v>
      </c>
      <c r="T3735">
        <v>513</v>
      </c>
      <c r="U3735" t="s">
        <v>108</v>
      </c>
      <c r="V3735">
        <v>44</v>
      </c>
      <c r="W3735" t="str">
        <f>HYPERLINK("Gene4148-zp_tree_all.dnd", "Gene4148-tree")</f>
        <v>Gene4148-tree</v>
      </c>
      <c r="X3735">
        <v>8</v>
      </c>
      <c r="Y3735">
        <v>9</v>
      </c>
      <c r="Z3735">
        <v>8</v>
      </c>
      <c r="AA3735">
        <v>9</v>
      </c>
      <c r="AB3735">
        <v>0.52941000000000005</v>
      </c>
      <c r="AC3735" t="s">
        <v>136</v>
      </c>
      <c r="AD3735" t="s">
        <v>135</v>
      </c>
      <c r="AE3735" t="s">
        <v>62</v>
      </c>
      <c r="AF3735" t="s">
        <v>62</v>
      </c>
      <c r="AG3735">
        <v>8</v>
      </c>
      <c r="AH3735">
        <v>24</v>
      </c>
      <c r="AI3735">
        <v>4</v>
      </c>
      <c r="AJ3735">
        <v>0.85714000000000001</v>
      </c>
      <c r="AK3735">
        <v>0</v>
      </c>
      <c r="AL3735">
        <v>0</v>
      </c>
      <c r="AM3735">
        <v>0</v>
      </c>
      <c r="AN3735">
        <v>1</v>
      </c>
      <c r="AO3735">
        <v>0</v>
      </c>
      <c r="AP3735">
        <v>12</v>
      </c>
      <c r="AQ3735">
        <v>1</v>
      </c>
      <c r="AR3735">
        <v>13</v>
      </c>
      <c r="AS3735">
        <v>5</v>
      </c>
      <c r="AT3735">
        <v>0.72221999999999997</v>
      </c>
      <c r="AU3735">
        <v>15</v>
      </c>
      <c r="AV3735">
        <v>12</v>
      </c>
      <c r="AW3735">
        <v>62</v>
      </c>
      <c r="AX3735">
        <v>17</v>
      </c>
      <c r="AY3735">
        <v>46</v>
      </c>
      <c r="AZ3735">
        <v>11</v>
      </c>
      <c r="BA3735" t="s">
        <v>24417</v>
      </c>
      <c r="BB3735" t="s">
        <v>24418</v>
      </c>
      <c r="BC3735">
        <v>0.22900000000000001</v>
      </c>
      <c r="BD3735" t="s">
        <v>65</v>
      </c>
      <c r="BE3735">
        <v>108</v>
      </c>
      <c r="BF3735">
        <v>28</v>
      </c>
      <c r="BG3735" t="s">
        <v>24419</v>
      </c>
      <c r="BH3735" t="s">
        <v>24420</v>
      </c>
      <c r="BI3735" t="s">
        <v>24421</v>
      </c>
      <c r="BJ3735">
        <v>7.3550000000000004E-2</v>
      </c>
      <c r="BK3735">
        <v>1</v>
      </c>
      <c r="BL3735" t="s">
        <v>69</v>
      </c>
      <c r="BM3735">
        <v>-0.40400000000000003</v>
      </c>
      <c r="BN3735">
        <v>-0.99</v>
      </c>
    </row>
    <row r="3736" spans="10:66">
      <c r="J3736">
        <v>0</v>
      </c>
      <c r="K3736">
        <v>3</v>
      </c>
      <c r="L3736">
        <v>0</v>
      </c>
      <c r="M3736" t="s">
        <v>25021</v>
      </c>
      <c r="N3736">
        <v>4149</v>
      </c>
      <c r="O3736" t="s">
        <v>24422</v>
      </c>
      <c r="P3736" t="s">
        <v>57</v>
      </c>
      <c r="Q3736">
        <v>4115711</v>
      </c>
      <c r="R3736">
        <v>4117054</v>
      </c>
      <c r="S3736" t="s">
        <v>24423</v>
      </c>
      <c r="T3736">
        <v>448</v>
      </c>
      <c r="U3736" t="s">
        <v>4013</v>
      </c>
      <c r="V3736">
        <v>43</v>
      </c>
      <c r="W3736" t="str">
        <f>HYPERLINK("Gene4149-zp_tree_all.dnd", "Gene4149-tree")</f>
        <v>Gene4149-tree</v>
      </c>
      <c r="X3736">
        <v>28</v>
      </c>
      <c r="Y3736">
        <v>6</v>
      </c>
      <c r="Z3736">
        <v>12</v>
      </c>
      <c r="AA3736">
        <v>6</v>
      </c>
      <c r="AB3736">
        <v>0.33333000000000002</v>
      </c>
      <c r="AC3736" t="s">
        <v>24424</v>
      </c>
      <c r="AD3736" t="s">
        <v>90</v>
      </c>
      <c r="AE3736" t="s">
        <v>62</v>
      </c>
      <c r="AF3736" t="s">
        <v>62</v>
      </c>
      <c r="AG3736">
        <v>1</v>
      </c>
      <c r="AH3736">
        <v>3</v>
      </c>
      <c r="AI3736">
        <v>4</v>
      </c>
      <c r="AJ3736">
        <v>0.42857000000000001</v>
      </c>
      <c r="AK3736">
        <v>0</v>
      </c>
      <c r="AL3736">
        <v>0</v>
      </c>
      <c r="AM3736">
        <v>0</v>
      </c>
      <c r="AN3736">
        <v>1</v>
      </c>
      <c r="AO3736">
        <v>0</v>
      </c>
      <c r="AP3736">
        <v>2</v>
      </c>
      <c r="AQ3736">
        <v>0</v>
      </c>
      <c r="AR3736">
        <v>2</v>
      </c>
      <c r="AS3736">
        <v>4</v>
      </c>
      <c r="AT3736">
        <v>0.33333000000000002</v>
      </c>
      <c r="AU3736">
        <v>14</v>
      </c>
      <c r="AV3736">
        <v>12</v>
      </c>
      <c r="AW3736">
        <v>54</v>
      </c>
      <c r="AX3736">
        <v>6</v>
      </c>
      <c r="AY3736">
        <v>32</v>
      </c>
      <c r="AZ3736">
        <v>1</v>
      </c>
      <c r="BA3736" t="s">
        <v>24425</v>
      </c>
      <c r="BB3736" t="s">
        <v>24426</v>
      </c>
      <c r="BC3736">
        <v>0.69699999999999995</v>
      </c>
      <c r="BD3736" t="s">
        <v>65</v>
      </c>
      <c r="BE3736">
        <v>86</v>
      </c>
      <c r="BF3736">
        <v>7</v>
      </c>
      <c r="BG3736" t="s">
        <v>24427</v>
      </c>
      <c r="BH3736" t="s">
        <v>24428</v>
      </c>
      <c r="BI3736" t="s">
        <v>24429</v>
      </c>
      <c r="BJ3736">
        <v>2.2249999999999999E-2</v>
      </c>
      <c r="BK3736">
        <v>1</v>
      </c>
      <c r="BL3736" t="s">
        <v>69</v>
      </c>
      <c r="BM3736">
        <v>-0.79500000000000004</v>
      </c>
      <c r="BN3736">
        <v>-1.292</v>
      </c>
    </row>
    <row r="3737" spans="10:66">
      <c r="J3737">
        <v>0</v>
      </c>
      <c r="K3737">
        <v>11</v>
      </c>
      <c r="L3737">
        <v>0</v>
      </c>
      <c r="M3737" t="s">
        <v>25021</v>
      </c>
      <c r="N3737">
        <v>4150</v>
      </c>
      <c r="O3737" t="s">
        <v>24430</v>
      </c>
      <c r="P3737" t="s">
        <v>57</v>
      </c>
      <c r="Q3737">
        <v>4117080</v>
      </c>
      <c r="R3737">
        <v>4118483</v>
      </c>
      <c r="S3737" t="s">
        <v>24431</v>
      </c>
      <c r="T3737">
        <v>468</v>
      </c>
      <c r="U3737" t="s">
        <v>160</v>
      </c>
      <c r="V3737">
        <v>45</v>
      </c>
      <c r="W3737" t="str">
        <f>HYPERLINK("Gene4150-zp_tree_all.dnd", "Gene4150-tree")</f>
        <v>Gene4150-tree</v>
      </c>
      <c r="X3737">
        <v>28</v>
      </c>
      <c r="Y3737">
        <v>9</v>
      </c>
      <c r="Z3737">
        <v>11</v>
      </c>
      <c r="AA3737">
        <v>9</v>
      </c>
      <c r="AB3737">
        <v>0.45</v>
      </c>
      <c r="AC3737" t="s">
        <v>4050</v>
      </c>
      <c r="AD3737" t="s">
        <v>135</v>
      </c>
      <c r="AE3737" t="s">
        <v>62</v>
      </c>
      <c r="AF3737" t="s">
        <v>62</v>
      </c>
      <c r="AG3737">
        <v>4</v>
      </c>
      <c r="AH3737">
        <v>11</v>
      </c>
      <c r="AI3737">
        <v>20</v>
      </c>
      <c r="AJ3737">
        <v>0.35483999999999999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2</v>
      </c>
      <c r="AQ3737">
        <v>0</v>
      </c>
      <c r="AR3737">
        <v>2</v>
      </c>
      <c r="AS3737">
        <v>18</v>
      </c>
      <c r="AT3737">
        <v>0.1</v>
      </c>
      <c r="AU3737">
        <v>18</v>
      </c>
      <c r="AV3737">
        <v>14</v>
      </c>
      <c r="AW3737">
        <v>113</v>
      </c>
      <c r="AX3737">
        <v>20</v>
      </c>
      <c r="AY3737">
        <v>32</v>
      </c>
      <c r="AZ3737">
        <v>11</v>
      </c>
      <c r="BA3737" t="s">
        <v>24432</v>
      </c>
      <c r="BB3737" t="s">
        <v>24433</v>
      </c>
      <c r="BC3737">
        <v>0.621</v>
      </c>
      <c r="BD3737" t="s">
        <v>65</v>
      </c>
      <c r="BE3737">
        <v>145</v>
      </c>
      <c r="BF3737">
        <v>31</v>
      </c>
      <c r="BG3737" t="s">
        <v>24434</v>
      </c>
      <c r="BH3737" t="s">
        <v>24435</v>
      </c>
      <c r="BI3737" t="s">
        <v>8835</v>
      </c>
      <c r="BJ3737">
        <v>6.9430000000000006E-2</v>
      </c>
      <c r="BK3737">
        <v>1</v>
      </c>
      <c r="BL3737" t="s">
        <v>69</v>
      </c>
      <c r="BM3737">
        <v>-1.038</v>
      </c>
      <c r="BN3737">
        <v>-2.6139999999999999</v>
      </c>
    </row>
    <row r="3738" spans="10:66">
      <c r="J3738">
        <v>0</v>
      </c>
      <c r="K3738">
        <v>0</v>
      </c>
      <c r="L3738">
        <v>2</v>
      </c>
      <c r="M3738" t="s">
        <v>25021</v>
      </c>
      <c r="N3738">
        <v>4151</v>
      </c>
      <c r="O3738" t="s">
        <v>24436</v>
      </c>
      <c r="P3738" t="s">
        <v>57</v>
      </c>
      <c r="Q3738">
        <v>4118950</v>
      </c>
      <c r="R3738">
        <v>4119510</v>
      </c>
      <c r="S3738" t="s">
        <v>24437</v>
      </c>
      <c r="T3738">
        <v>187</v>
      </c>
      <c r="U3738" t="s">
        <v>515</v>
      </c>
      <c r="V3738">
        <v>51</v>
      </c>
      <c r="W3738" t="str">
        <f>HYPERLINK("Gene4151-zp_tree_all.dnd", "Gene4151-tree")</f>
        <v>Gene4151-tree</v>
      </c>
      <c r="X3738">
        <v>19</v>
      </c>
      <c r="Y3738">
        <v>2</v>
      </c>
      <c r="Z3738">
        <v>19</v>
      </c>
      <c r="AA3738">
        <v>2</v>
      </c>
      <c r="AB3738">
        <v>9.5240000000000005E-2</v>
      </c>
      <c r="AC3738" t="s">
        <v>587</v>
      </c>
      <c r="AD3738" t="s">
        <v>81</v>
      </c>
      <c r="AE3738" t="s">
        <v>62</v>
      </c>
      <c r="AF3738" t="s">
        <v>62</v>
      </c>
      <c r="AG3738">
        <v>1</v>
      </c>
      <c r="AH3738">
        <v>2</v>
      </c>
      <c r="AI3738">
        <v>7</v>
      </c>
      <c r="AJ3738">
        <v>0.22222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2</v>
      </c>
      <c r="AT3738">
        <v>0</v>
      </c>
      <c r="AU3738">
        <v>15</v>
      </c>
      <c r="AV3738">
        <v>12</v>
      </c>
      <c r="AW3738">
        <v>29</v>
      </c>
      <c r="AX3738">
        <v>2</v>
      </c>
      <c r="AY3738">
        <v>36</v>
      </c>
      <c r="AZ3738">
        <v>9</v>
      </c>
      <c r="BA3738" t="s">
        <v>24438</v>
      </c>
      <c r="BB3738" t="s">
        <v>24439</v>
      </c>
      <c r="BC3738">
        <v>0.41499999999999998</v>
      </c>
      <c r="BD3738" t="s">
        <v>65</v>
      </c>
      <c r="BE3738">
        <v>65</v>
      </c>
      <c r="BF3738">
        <v>11</v>
      </c>
      <c r="BG3738" t="s">
        <v>24440</v>
      </c>
      <c r="BH3738" t="s">
        <v>24441</v>
      </c>
      <c r="BI3738" t="s">
        <v>24442</v>
      </c>
      <c r="BJ3738">
        <v>7.2859999999999994E-2</v>
      </c>
      <c r="BK3738">
        <v>1</v>
      </c>
      <c r="BL3738" t="s">
        <v>69</v>
      </c>
      <c r="BM3738">
        <v>-1.2569999999999999</v>
      </c>
      <c r="BN3738">
        <v>-0.48</v>
      </c>
    </row>
    <row r="3739" spans="10:66">
      <c r="J3739">
        <v>0</v>
      </c>
      <c r="K3739">
        <v>14</v>
      </c>
      <c r="L3739">
        <v>0</v>
      </c>
      <c r="M3739" t="s">
        <v>25021</v>
      </c>
      <c r="N3739">
        <v>4152</v>
      </c>
      <c r="O3739" t="s">
        <v>24443</v>
      </c>
      <c r="P3739" t="s">
        <v>57</v>
      </c>
      <c r="Q3739">
        <v>4119527</v>
      </c>
      <c r="R3739">
        <v>4121053</v>
      </c>
      <c r="S3739" t="s">
        <v>24444</v>
      </c>
      <c r="T3739">
        <v>509</v>
      </c>
      <c r="U3739" t="s">
        <v>394</v>
      </c>
      <c r="V3739">
        <v>48</v>
      </c>
      <c r="W3739" t="str">
        <f>HYPERLINK("Gene4152-zp_tree_all.dnd", "Gene4152-tree")</f>
        <v>Gene4152-tree</v>
      </c>
      <c r="X3739">
        <v>13</v>
      </c>
      <c r="Y3739">
        <v>9</v>
      </c>
      <c r="Z3739">
        <v>13</v>
      </c>
      <c r="AA3739">
        <v>9</v>
      </c>
      <c r="AB3739">
        <v>0.40909000000000001</v>
      </c>
      <c r="AC3739" t="s">
        <v>507</v>
      </c>
      <c r="AD3739" t="s">
        <v>135</v>
      </c>
      <c r="AE3739" t="s">
        <v>62</v>
      </c>
      <c r="AF3739" t="s">
        <v>62</v>
      </c>
      <c r="AG3739">
        <v>6</v>
      </c>
      <c r="AH3739">
        <v>14</v>
      </c>
      <c r="AI3739">
        <v>14</v>
      </c>
      <c r="AJ3739">
        <v>0.5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2</v>
      </c>
      <c r="AQ3739">
        <v>0</v>
      </c>
      <c r="AR3739">
        <v>2</v>
      </c>
      <c r="AS3739">
        <v>17</v>
      </c>
      <c r="AT3739">
        <v>0.10526000000000001</v>
      </c>
      <c r="AU3739">
        <v>20</v>
      </c>
      <c r="AV3739">
        <v>19</v>
      </c>
      <c r="AW3739">
        <v>150</v>
      </c>
      <c r="AX3739">
        <v>20</v>
      </c>
      <c r="AY3739">
        <v>131</v>
      </c>
      <c r="AZ3739">
        <v>9</v>
      </c>
      <c r="BA3739" t="s">
        <v>24445</v>
      </c>
      <c r="BB3739" t="s">
        <v>24446</v>
      </c>
      <c r="BC3739">
        <v>0.75600000000000001</v>
      </c>
      <c r="BD3739" t="s">
        <v>65</v>
      </c>
      <c r="BE3739">
        <v>281</v>
      </c>
      <c r="BF3739">
        <v>29</v>
      </c>
      <c r="BG3739" t="s">
        <v>24447</v>
      </c>
      <c r="BH3739" t="s">
        <v>24448</v>
      </c>
      <c r="BI3739" t="s">
        <v>24449</v>
      </c>
      <c r="BJ3739">
        <v>2.8340000000000001E-2</v>
      </c>
      <c r="BK3739">
        <v>1</v>
      </c>
      <c r="BL3739" t="s">
        <v>69</v>
      </c>
      <c r="BM3739">
        <v>-1.0349999999999999</v>
      </c>
      <c r="BN3739">
        <v>-1.796</v>
      </c>
    </row>
    <row r="3740" spans="10:66">
      <c r="J3740">
        <v>0</v>
      </c>
      <c r="K3740">
        <v>15</v>
      </c>
      <c r="L3740">
        <v>3</v>
      </c>
      <c r="M3740" t="s">
        <v>25021</v>
      </c>
      <c r="N3740">
        <v>4155</v>
      </c>
      <c r="O3740" t="s">
        <v>24465</v>
      </c>
      <c r="P3740" t="s">
        <v>57</v>
      </c>
      <c r="Q3740">
        <v>4123193</v>
      </c>
      <c r="R3740">
        <v>4123900</v>
      </c>
      <c r="S3740" t="s">
        <v>3784</v>
      </c>
      <c r="T3740">
        <v>236</v>
      </c>
      <c r="U3740" t="s">
        <v>11485</v>
      </c>
      <c r="V3740">
        <v>43</v>
      </c>
      <c r="W3740" t="str">
        <f>HYPERLINK("Gene4155-zp_tree_all.dnd", "Gene4155-tree")</f>
        <v>Gene4155-tree</v>
      </c>
      <c r="X3740">
        <v>3</v>
      </c>
      <c r="Y3740">
        <v>12</v>
      </c>
      <c r="Z3740">
        <v>3</v>
      </c>
      <c r="AA3740">
        <v>12</v>
      </c>
      <c r="AB3740">
        <v>0.8</v>
      </c>
      <c r="AC3740" t="s">
        <v>324</v>
      </c>
      <c r="AD3740" t="s">
        <v>109</v>
      </c>
      <c r="AE3740" t="s">
        <v>62</v>
      </c>
      <c r="AF3740" t="s">
        <v>62</v>
      </c>
      <c r="AG3740">
        <v>6</v>
      </c>
      <c r="AH3740">
        <v>18</v>
      </c>
      <c r="AI3740">
        <v>9</v>
      </c>
      <c r="AJ3740">
        <v>0.66666999999999998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7</v>
      </c>
      <c r="AQ3740">
        <v>3</v>
      </c>
      <c r="AR3740">
        <v>10</v>
      </c>
      <c r="AS3740">
        <v>9</v>
      </c>
      <c r="AT3740">
        <v>0.52632000000000001</v>
      </c>
      <c r="AU3740">
        <v>13</v>
      </c>
      <c r="AV3740">
        <v>11</v>
      </c>
      <c r="AW3740">
        <v>52</v>
      </c>
      <c r="AX3740">
        <v>18</v>
      </c>
      <c r="AY3740">
        <v>19</v>
      </c>
      <c r="AZ3740">
        <v>9</v>
      </c>
      <c r="BA3740" t="s">
        <v>24466</v>
      </c>
      <c r="BB3740" t="s">
        <v>24467</v>
      </c>
      <c r="BC3740">
        <v>0.371</v>
      </c>
      <c r="BD3740" t="s">
        <v>65</v>
      </c>
      <c r="BE3740">
        <v>71</v>
      </c>
      <c r="BF3740">
        <v>27</v>
      </c>
      <c r="BG3740" t="s">
        <v>24468</v>
      </c>
      <c r="BH3740" t="s">
        <v>24469</v>
      </c>
      <c r="BI3740" t="s">
        <v>8006</v>
      </c>
      <c r="BJ3740">
        <v>0.1108</v>
      </c>
      <c r="BK3740">
        <v>1</v>
      </c>
      <c r="BL3740" t="s">
        <v>69</v>
      </c>
      <c r="BM3740">
        <v>-0.51800000000000002</v>
      </c>
      <c r="BN3740">
        <v>-1.581</v>
      </c>
    </row>
    <row r="3741" spans="10:66">
      <c r="J3741">
        <v>0</v>
      </c>
      <c r="K3741">
        <v>0</v>
      </c>
      <c r="L3741">
        <v>0</v>
      </c>
      <c r="M3741" t="s">
        <v>25021</v>
      </c>
      <c r="N3741">
        <v>4156</v>
      </c>
      <c r="O3741" t="s">
        <v>24470</v>
      </c>
      <c r="P3741" t="s">
        <v>57</v>
      </c>
      <c r="Q3741">
        <v>4123931</v>
      </c>
      <c r="R3741">
        <v>4124086</v>
      </c>
      <c r="S3741" t="s">
        <v>2302</v>
      </c>
      <c r="T3741">
        <v>52</v>
      </c>
      <c r="U3741" t="s">
        <v>24471</v>
      </c>
      <c r="V3741">
        <v>35</v>
      </c>
      <c r="W3741" t="str">
        <f>HYPERLINK("Gene4156-zp_tree_all.dnd", "Gene4156-tree")</f>
        <v>Gene4156-tree</v>
      </c>
      <c r="X3741">
        <v>4</v>
      </c>
      <c r="Y3741">
        <v>6</v>
      </c>
      <c r="Z3741">
        <v>4</v>
      </c>
      <c r="AA3741">
        <v>6</v>
      </c>
      <c r="AB3741">
        <v>0.6</v>
      </c>
      <c r="AC3741" t="s">
        <v>61</v>
      </c>
      <c r="AD3741" t="s">
        <v>90</v>
      </c>
      <c r="AE3741" t="s">
        <v>62</v>
      </c>
      <c r="AF3741" t="s">
        <v>62</v>
      </c>
      <c r="AG3741">
        <v>0</v>
      </c>
      <c r="AH3741">
        <v>0</v>
      </c>
      <c r="AI3741">
        <v>10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9</v>
      </c>
      <c r="AT3741">
        <v>0</v>
      </c>
      <c r="AU3741">
        <v>7</v>
      </c>
      <c r="AV3741">
        <v>4</v>
      </c>
      <c r="AW3741">
        <v>8</v>
      </c>
      <c r="AX3741">
        <v>8</v>
      </c>
      <c r="AY3741">
        <v>6</v>
      </c>
      <c r="AZ3741">
        <v>2</v>
      </c>
      <c r="BA3741" t="s">
        <v>24472</v>
      </c>
      <c r="BB3741" t="s">
        <v>24473</v>
      </c>
      <c r="BC3741">
        <v>0.93700000000000006</v>
      </c>
      <c r="BD3741" t="s">
        <v>65</v>
      </c>
      <c r="BE3741">
        <v>14</v>
      </c>
      <c r="BF3741">
        <v>10</v>
      </c>
      <c r="BG3741" t="s">
        <v>24474</v>
      </c>
      <c r="BH3741" t="s">
        <v>24475</v>
      </c>
      <c r="BI3741" t="s">
        <v>24476</v>
      </c>
      <c r="BJ3741">
        <v>0.16336000000000001</v>
      </c>
      <c r="BK3741">
        <v>1</v>
      </c>
      <c r="BL3741" t="s">
        <v>69</v>
      </c>
      <c r="BM3741">
        <v>-0.96499999999999997</v>
      </c>
      <c r="BN3741">
        <v>-1.1160000000000001</v>
      </c>
    </row>
    <row r="3742" spans="10:66">
      <c r="J3742">
        <v>7</v>
      </c>
      <c r="K3742">
        <v>30</v>
      </c>
      <c r="L3742">
        <v>2</v>
      </c>
      <c r="M3742" t="s">
        <v>25021</v>
      </c>
      <c r="N3742">
        <v>4162</v>
      </c>
      <c r="O3742" t="s">
        <v>24511</v>
      </c>
      <c r="P3742" t="s">
        <v>57</v>
      </c>
      <c r="Q3742">
        <v>4128119</v>
      </c>
      <c r="R3742">
        <v>4130041</v>
      </c>
      <c r="S3742" t="s">
        <v>24512</v>
      </c>
      <c r="T3742">
        <v>641</v>
      </c>
      <c r="U3742" t="s">
        <v>59</v>
      </c>
      <c r="V3742">
        <v>49</v>
      </c>
      <c r="W3742" t="str">
        <f>HYPERLINK("Gene4162-zp_tree_all.dnd", "Gene4162-tree")</f>
        <v>Gene4162-tree</v>
      </c>
      <c r="X3742">
        <v>3</v>
      </c>
      <c r="Y3742">
        <v>21</v>
      </c>
      <c r="Z3742">
        <v>3</v>
      </c>
      <c r="AA3742">
        <v>21</v>
      </c>
      <c r="AB3742">
        <v>0.875</v>
      </c>
      <c r="AC3742" t="s">
        <v>324</v>
      </c>
      <c r="AD3742" t="s">
        <v>557</v>
      </c>
      <c r="AE3742">
        <v>405836262.65600002</v>
      </c>
      <c r="AF3742" t="s">
        <v>267</v>
      </c>
      <c r="AG3742">
        <v>10</v>
      </c>
      <c r="AH3742">
        <v>39</v>
      </c>
      <c r="AI3742">
        <v>21</v>
      </c>
      <c r="AJ3742">
        <v>0.65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17</v>
      </c>
      <c r="AQ3742">
        <v>5</v>
      </c>
      <c r="AR3742">
        <v>22</v>
      </c>
      <c r="AS3742">
        <v>25</v>
      </c>
      <c r="AT3742">
        <v>0.46809000000000001</v>
      </c>
      <c r="AU3742">
        <v>22</v>
      </c>
      <c r="AV3742">
        <v>21</v>
      </c>
      <c r="AW3742">
        <v>491</v>
      </c>
      <c r="AX3742">
        <v>44</v>
      </c>
      <c r="AY3742">
        <v>259</v>
      </c>
      <c r="AZ3742">
        <v>18</v>
      </c>
      <c r="BA3742" t="s">
        <v>24513</v>
      </c>
      <c r="BB3742" t="s">
        <v>24514</v>
      </c>
      <c r="BC3742">
        <v>0.38200000000000001</v>
      </c>
      <c r="BD3742" t="s">
        <v>65</v>
      </c>
      <c r="BE3742">
        <v>750</v>
      </c>
      <c r="BF3742">
        <v>62</v>
      </c>
      <c r="BG3742" t="s">
        <v>24515</v>
      </c>
      <c r="BH3742" t="s">
        <v>24516</v>
      </c>
      <c r="BI3742" t="s">
        <v>24517</v>
      </c>
      <c r="BJ3742">
        <v>2.205E-2</v>
      </c>
      <c r="BK3742">
        <v>1</v>
      </c>
      <c r="BL3742" t="s">
        <v>69</v>
      </c>
      <c r="BM3742">
        <v>-0.58499999999999996</v>
      </c>
      <c r="BN3742">
        <v>-1.2729999999999999</v>
      </c>
    </row>
    <row r="3743" spans="10:66">
      <c r="J3743">
        <v>0</v>
      </c>
      <c r="K3743">
        <v>0</v>
      </c>
      <c r="L3743">
        <v>0</v>
      </c>
      <c r="M3743" t="s">
        <v>25021</v>
      </c>
      <c r="N3743">
        <v>4168</v>
      </c>
      <c r="O3743" t="s">
        <v>24531</v>
      </c>
      <c r="P3743" t="s">
        <v>57</v>
      </c>
      <c r="Q3743">
        <v>4135351</v>
      </c>
      <c r="R3743">
        <v>4135761</v>
      </c>
      <c r="S3743" t="s">
        <v>1523</v>
      </c>
      <c r="T3743">
        <v>137</v>
      </c>
      <c r="U3743" t="s">
        <v>24532</v>
      </c>
      <c r="V3743">
        <v>34</v>
      </c>
      <c r="W3743" t="str">
        <f>HYPERLINK("Gene4168-zp_tree_all.dnd", "Gene4168-tree")</f>
        <v>Gene4168-tree</v>
      </c>
      <c r="X3743">
        <v>2</v>
      </c>
      <c r="Y3743">
        <v>5</v>
      </c>
      <c r="Z3743">
        <v>2</v>
      </c>
      <c r="AA3743">
        <v>5</v>
      </c>
      <c r="AB3743">
        <v>0.71428999999999998</v>
      </c>
      <c r="AC3743" t="s">
        <v>81</v>
      </c>
      <c r="AD3743" t="s">
        <v>199</v>
      </c>
      <c r="AE3743" t="s">
        <v>62</v>
      </c>
      <c r="AF3743" t="s">
        <v>62</v>
      </c>
      <c r="AG3743">
        <v>0</v>
      </c>
      <c r="AH3743">
        <v>0</v>
      </c>
      <c r="AI3743">
        <v>14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7</v>
      </c>
      <c r="AT3743">
        <v>0</v>
      </c>
      <c r="AU3743">
        <v>6</v>
      </c>
      <c r="AV3743">
        <v>4</v>
      </c>
      <c r="AW3743">
        <v>5</v>
      </c>
      <c r="AX3743">
        <v>7</v>
      </c>
      <c r="AY3743">
        <v>9</v>
      </c>
      <c r="AZ3743">
        <v>7</v>
      </c>
      <c r="BA3743" t="s">
        <v>24533</v>
      </c>
      <c r="BB3743" t="s">
        <v>24534</v>
      </c>
      <c r="BC3743">
        <v>0.78200000000000003</v>
      </c>
      <c r="BD3743" t="s">
        <v>65</v>
      </c>
      <c r="BE3743">
        <v>14</v>
      </c>
      <c r="BF3743">
        <v>14</v>
      </c>
      <c r="BG3743" t="s">
        <v>24535</v>
      </c>
      <c r="BH3743" t="s">
        <v>24536</v>
      </c>
      <c r="BI3743" t="s">
        <v>24537</v>
      </c>
      <c r="BJ3743">
        <v>0.23784</v>
      </c>
      <c r="BK3743">
        <v>0.99</v>
      </c>
      <c r="BL3743" t="s">
        <v>69</v>
      </c>
      <c r="BM3743">
        <v>0.82899999999999996</v>
      </c>
      <c r="BN3743">
        <v>0.50600000000000001</v>
      </c>
    </row>
    <row r="3744" spans="10:66">
      <c r="J3744">
        <v>0</v>
      </c>
      <c r="K3744">
        <v>13</v>
      </c>
      <c r="L3744">
        <v>1</v>
      </c>
      <c r="M3744" t="s">
        <v>25021</v>
      </c>
      <c r="N3744">
        <v>4175</v>
      </c>
      <c r="O3744" t="s">
        <v>24578</v>
      </c>
      <c r="P3744" t="s">
        <v>57</v>
      </c>
      <c r="Q3744">
        <v>4140260</v>
      </c>
      <c r="R3744">
        <v>4141354</v>
      </c>
      <c r="S3744" t="s">
        <v>1932</v>
      </c>
      <c r="T3744">
        <v>365</v>
      </c>
      <c r="U3744" t="s">
        <v>108</v>
      </c>
      <c r="V3744">
        <v>44</v>
      </c>
      <c r="W3744" t="str">
        <f>HYPERLINK("Gene4175-zp_tree_all.dnd", "Gene4175-tree")</f>
        <v>Gene4175-tree</v>
      </c>
      <c r="X3744">
        <v>8</v>
      </c>
      <c r="Y3744">
        <v>24</v>
      </c>
      <c r="Z3744">
        <v>8</v>
      </c>
      <c r="AA3744">
        <v>7</v>
      </c>
      <c r="AB3744">
        <v>0.46666999999999997</v>
      </c>
      <c r="AC3744" t="s">
        <v>136</v>
      </c>
      <c r="AD3744" t="s">
        <v>638</v>
      </c>
      <c r="AE3744">
        <v>3.577</v>
      </c>
      <c r="AF3744" t="s">
        <v>65</v>
      </c>
      <c r="AG3744">
        <v>5</v>
      </c>
      <c r="AH3744">
        <v>14</v>
      </c>
      <c r="AI3744">
        <v>8</v>
      </c>
      <c r="AJ3744">
        <v>0.63636000000000004</v>
      </c>
      <c r="AK3744">
        <v>0</v>
      </c>
      <c r="AL3744">
        <v>0</v>
      </c>
      <c r="AM3744">
        <v>0</v>
      </c>
      <c r="AN3744">
        <v>3</v>
      </c>
      <c r="AO3744">
        <v>0</v>
      </c>
      <c r="AP3744">
        <v>4</v>
      </c>
      <c r="AQ3744">
        <v>3</v>
      </c>
      <c r="AR3744">
        <v>7</v>
      </c>
      <c r="AS3744">
        <v>8</v>
      </c>
      <c r="AT3744">
        <v>0.46666999999999997</v>
      </c>
      <c r="AU3744">
        <v>13</v>
      </c>
      <c r="AV3744">
        <v>12</v>
      </c>
      <c r="AW3744">
        <v>58</v>
      </c>
      <c r="AX3744">
        <v>16</v>
      </c>
      <c r="AY3744">
        <v>25</v>
      </c>
      <c r="AZ3744">
        <v>7</v>
      </c>
      <c r="BA3744" t="s">
        <v>24579</v>
      </c>
      <c r="BB3744" t="s">
        <v>24580</v>
      </c>
      <c r="BC3744">
        <v>2.1999999999999999E-2</v>
      </c>
      <c r="BD3744" t="s">
        <v>65</v>
      </c>
      <c r="BE3744">
        <v>83</v>
      </c>
      <c r="BF3744">
        <v>23</v>
      </c>
      <c r="BG3744" t="s">
        <v>24581</v>
      </c>
      <c r="BH3744" t="s">
        <v>24582</v>
      </c>
      <c r="BI3744" t="s">
        <v>24583</v>
      </c>
      <c r="BJ3744">
        <v>7.0550000000000002E-2</v>
      </c>
      <c r="BK3744">
        <v>1</v>
      </c>
      <c r="BL3744" t="s">
        <v>69</v>
      </c>
      <c r="BM3744">
        <v>-0.17399999999999999</v>
      </c>
      <c r="BN3744">
        <v>-0.158</v>
      </c>
    </row>
    <row r="3745" spans="10:66">
      <c r="J3745">
        <v>0</v>
      </c>
      <c r="K3745">
        <v>0</v>
      </c>
      <c r="L3745">
        <v>0</v>
      </c>
      <c r="M3745" t="s">
        <v>25021</v>
      </c>
      <c r="N3745">
        <v>4176</v>
      </c>
      <c r="O3745" t="s">
        <v>24584</v>
      </c>
      <c r="P3745" t="s">
        <v>57</v>
      </c>
      <c r="Q3745">
        <v>4141358</v>
      </c>
      <c r="R3745">
        <v>4141471</v>
      </c>
      <c r="S3745" t="s">
        <v>24585</v>
      </c>
      <c r="T3745">
        <v>38</v>
      </c>
      <c r="U3745" t="s">
        <v>108</v>
      </c>
      <c r="V3745">
        <v>44</v>
      </c>
      <c r="W3745" t="str">
        <f>HYPERLINK("Gene4176-zp_tree_all.dnd", "Gene4176-tree")</f>
        <v>Gene4176-tree</v>
      </c>
      <c r="X3745">
        <v>6</v>
      </c>
      <c r="Y3745">
        <v>1</v>
      </c>
      <c r="Z3745">
        <v>6</v>
      </c>
      <c r="AA3745">
        <v>1</v>
      </c>
      <c r="AB3745">
        <v>0.14285999999999999</v>
      </c>
      <c r="AC3745" t="s">
        <v>90</v>
      </c>
      <c r="AD3745" t="s">
        <v>175</v>
      </c>
      <c r="AE3745" t="s">
        <v>62</v>
      </c>
      <c r="AF3745" t="s">
        <v>62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0</v>
      </c>
      <c r="AU3745">
        <v>6</v>
      </c>
      <c r="AV3745">
        <v>2</v>
      </c>
      <c r="AW3745">
        <v>7</v>
      </c>
      <c r="AX3745">
        <v>1</v>
      </c>
      <c r="AY3745">
        <v>2</v>
      </c>
      <c r="AZ3745">
        <v>0</v>
      </c>
      <c r="BA3745" t="s">
        <v>24586</v>
      </c>
      <c r="BB3745" t="s">
        <v>193</v>
      </c>
      <c r="BC3745">
        <v>0.47899999999999998</v>
      </c>
      <c r="BD3745" t="s">
        <v>65</v>
      </c>
      <c r="BE3745">
        <v>9</v>
      </c>
      <c r="BF3745">
        <v>1</v>
      </c>
      <c r="BG3745" t="s">
        <v>24587</v>
      </c>
      <c r="BH3745" t="s">
        <v>24588</v>
      </c>
      <c r="BI3745" t="s">
        <v>24589</v>
      </c>
      <c r="BJ3745">
        <v>3.15E-2</v>
      </c>
      <c r="BK3745">
        <v>1</v>
      </c>
      <c r="BL3745" t="s">
        <v>69</v>
      </c>
      <c r="BM3745">
        <v>-0.30599999999999999</v>
      </c>
      <c r="BN3745">
        <v>-1.333</v>
      </c>
    </row>
    <row r="3746" spans="10:66">
      <c r="J3746">
        <v>0</v>
      </c>
      <c r="K3746">
        <v>7</v>
      </c>
      <c r="L3746">
        <v>2</v>
      </c>
      <c r="M3746" t="s">
        <v>25021</v>
      </c>
      <c r="N3746">
        <v>4180</v>
      </c>
      <c r="O3746" t="s">
        <v>24610</v>
      </c>
      <c r="P3746" t="s">
        <v>57</v>
      </c>
      <c r="Q3746">
        <v>4145747</v>
      </c>
      <c r="R3746">
        <v>4147129</v>
      </c>
      <c r="S3746" t="s">
        <v>24611</v>
      </c>
      <c r="T3746">
        <v>461</v>
      </c>
      <c r="U3746" t="s">
        <v>108</v>
      </c>
      <c r="V3746">
        <v>44</v>
      </c>
      <c r="W3746" t="str">
        <f>HYPERLINK("Gene4180-zp_tree_all.dnd", "Gene4180-tree")</f>
        <v>Gene4180-tree</v>
      </c>
      <c r="X3746">
        <v>8</v>
      </c>
      <c r="Y3746">
        <v>7</v>
      </c>
      <c r="Z3746">
        <v>8</v>
      </c>
      <c r="AA3746">
        <v>7</v>
      </c>
      <c r="AB3746">
        <v>0.46666999999999997</v>
      </c>
      <c r="AC3746" t="s">
        <v>136</v>
      </c>
      <c r="AD3746" t="s">
        <v>152</v>
      </c>
      <c r="AE3746" t="s">
        <v>62</v>
      </c>
      <c r="AF3746" t="s">
        <v>62</v>
      </c>
      <c r="AG3746">
        <v>4</v>
      </c>
      <c r="AH3746">
        <v>9</v>
      </c>
      <c r="AI3746">
        <v>10</v>
      </c>
      <c r="AJ3746">
        <v>0.47367999999999999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4</v>
      </c>
      <c r="AQ3746">
        <v>4</v>
      </c>
      <c r="AR3746">
        <v>8</v>
      </c>
      <c r="AS3746">
        <v>9</v>
      </c>
      <c r="AT3746">
        <v>0.47059000000000001</v>
      </c>
      <c r="AU3746">
        <v>15</v>
      </c>
      <c r="AV3746">
        <v>10</v>
      </c>
      <c r="AW3746">
        <v>125</v>
      </c>
      <c r="AX3746">
        <v>18</v>
      </c>
      <c r="AY3746">
        <v>37</v>
      </c>
      <c r="AZ3746">
        <v>2</v>
      </c>
      <c r="BA3746" t="s">
        <v>24612</v>
      </c>
      <c r="BB3746" t="s">
        <v>24613</v>
      </c>
      <c r="BC3746">
        <v>0.60599999999999998</v>
      </c>
      <c r="BD3746" t="s">
        <v>65</v>
      </c>
      <c r="BE3746">
        <v>162</v>
      </c>
      <c r="BF3746">
        <v>20</v>
      </c>
      <c r="BG3746" t="s">
        <v>24614</v>
      </c>
      <c r="BH3746" t="s">
        <v>24615</v>
      </c>
      <c r="BI3746" t="s">
        <v>24616</v>
      </c>
      <c r="BJ3746">
        <v>3.1130000000000001E-2</v>
      </c>
      <c r="BK3746">
        <v>1</v>
      </c>
      <c r="BL3746" t="s">
        <v>69</v>
      </c>
      <c r="BM3746">
        <v>-1.385</v>
      </c>
      <c r="BN3746">
        <v>-2.532</v>
      </c>
    </row>
    <row r="3747" spans="10:66">
      <c r="J3747">
        <v>0</v>
      </c>
      <c r="K3747">
        <v>0</v>
      </c>
      <c r="L3747">
        <v>0</v>
      </c>
      <c r="M3747" t="s">
        <v>25021</v>
      </c>
      <c r="N3747">
        <v>4191</v>
      </c>
      <c r="O3747" t="s">
        <v>24678</v>
      </c>
      <c r="P3747" t="s">
        <v>57</v>
      </c>
      <c r="Q3747">
        <v>4159005</v>
      </c>
      <c r="R3747">
        <v>4159202</v>
      </c>
      <c r="S3747" t="s">
        <v>288</v>
      </c>
      <c r="T3747">
        <v>66</v>
      </c>
      <c r="U3747" t="s">
        <v>108</v>
      </c>
      <c r="V3747">
        <v>44</v>
      </c>
      <c r="W3747" t="str">
        <f>HYPERLINK("Gene4191-zp_tree_all.dnd", "Gene4191-tree")</f>
        <v>Gene4191-tree</v>
      </c>
      <c r="X3747">
        <v>4</v>
      </c>
      <c r="Y3747">
        <v>1</v>
      </c>
      <c r="Z3747">
        <v>4</v>
      </c>
      <c r="AA3747">
        <v>1</v>
      </c>
      <c r="AB3747">
        <v>0.2</v>
      </c>
      <c r="AC3747" t="s">
        <v>61</v>
      </c>
      <c r="AD3747" t="s">
        <v>175</v>
      </c>
      <c r="AE3747" t="s">
        <v>62</v>
      </c>
      <c r="AF3747" t="s">
        <v>62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0</v>
      </c>
      <c r="AU3747">
        <v>4</v>
      </c>
      <c r="AV3747">
        <v>1</v>
      </c>
      <c r="AW3747">
        <v>4</v>
      </c>
      <c r="AX3747">
        <v>1</v>
      </c>
      <c r="AY3747">
        <v>1</v>
      </c>
      <c r="AZ3747">
        <v>0</v>
      </c>
      <c r="BA3747" t="s">
        <v>24679</v>
      </c>
      <c r="BB3747" t="s">
        <v>193</v>
      </c>
      <c r="BC3747">
        <v>0.56999999999999995</v>
      </c>
      <c r="BD3747" t="s">
        <v>65</v>
      </c>
      <c r="BE3747">
        <v>5</v>
      </c>
      <c r="BF3747">
        <v>1</v>
      </c>
      <c r="BG3747" t="s">
        <v>24680</v>
      </c>
      <c r="BH3747" t="s">
        <v>24681</v>
      </c>
      <c r="BI3747" t="s">
        <v>24682</v>
      </c>
      <c r="BJ3747">
        <v>6.5549999999999997E-2</v>
      </c>
      <c r="BK3747">
        <v>0.95399999999999996</v>
      </c>
      <c r="BL3747" t="s">
        <v>69</v>
      </c>
      <c r="BM3747">
        <v>0.105</v>
      </c>
      <c r="BN3747">
        <v>-6.4000000000000001E-2</v>
      </c>
    </row>
    <row r="3748" spans="10:66">
      <c r="J3748">
        <v>0</v>
      </c>
      <c r="K3748">
        <v>0</v>
      </c>
      <c r="L3748">
        <v>0</v>
      </c>
      <c r="M3748" t="s">
        <v>25021</v>
      </c>
      <c r="N3748">
        <v>4193</v>
      </c>
      <c r="O3748" t="s">
        <v>24689</v>
      </c>
      <c r="P3748" t="s">
        <v>57</v>
      </c>
      <c r="Q3748">
        <v>4159577</v>
      </c>
      <c r="R3748">
        <v>4159714</v>
      </c>
      <c r="S3748" t="s">
        <v>288</v>
      </c>
      <c r="T3748">
        <v>46</v>
      </c>
      <c r="U3748" t="s">
        <v>125</v>
      </c>
      <c r="V3748">
        <v>48</v>
      </c>
      <c r="W3748" t="str">
        <f>HYPERLINK("Gene4193-zp_tree_all.dnd", "Gene4193-tree")</f>
        <v>Gene4193-tree</v>
      </c>
      <c r="X3748">
        <v>22</v>
      </c>
      <c r="Y3748">
        <v>1</v>
      </c>
      <c r="Z3748">
        <v>4</v>
      </c>
      <c r="AA3748">
        <v>1</v>
      </c>
      <c r="AB3748">
        <v>0.2</v>
      </c>
      <c r="AC3748" t="s">
        <v>2634</v>
      </c>
      <c r="AD3748" t="s">
        <v>175</v>
      </c>
      <c r="AE3748" t="s">
        <v>62</v>
      </c>
      <c r="AF3748" t="s">
        <v>62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3</v>
      </c>
      <c r="AV3748">
        <v>2</v>
      </c>
      <c r="AW3748">
        <v>5</v>
      </c>
      <c r="AX3748">
        <v>1</v>
      </c>
      <c r="AY3748">
        <v>2</v>
      </c>
      <c r="AZ3748">
        <v>0</v>
      </c>
      <c r="BA3748" t="s">
        <v>24690</v>
      </c>
      <c r="BB3748" t="s">
        <v>193</v>
      </c>
      <c r="BC3748">
        <v>0.73699999999999999</v>
      </c>
      <c r="BD3748" t="s">
        <v>65</v>
      </c>
      <c r="BE3748">
        <v>7</v>
      </c>
      <c r="BF3748">
        <v>1</v>
      </c>
      <c r="BG3748" t="s">
        <v>24691</v>
      </c>
      <c r="BH3748" t="s">
        <v>24692</v>
      </c>
      <c r="BI3748" t="s">
        <v>24693</v>
      </c>
      <c r="BJ3748">
        <v>3.0669999999999999E-2</v>
      </c>
      <c r="BK3748">
        <v>1</v>
      </c>
      <c r="BL3748" t="s">
        <v>69</v>
      </c>
      <c r="BM3748">
        <v>-1.081</v>
      </c>
      <c r="BN3748">
        <v>0.59499999999999997</v>
      </c>
    </row>
    <row r="3749" spans="10:66">
      <c r="J3749">
        <v>0</v>
      </c>
      <c r="K3749">
        <v>0</v>
      </c>
      <c r="L3749">
        <v>2</v>
      </c>
      <c r="M3749" t="s">
        <v>25021</v>
      </c>
      <c r="N3749">
        <v>4194</v>
      </c>
      <c r="O3749" t="s">
        <v>24694</v>
      </c>
      <c r="P3749" t="s">
        <v>57</v>
      </c>
      <c r="Q3749">
        <v>4159790</v>
      </c>
      <c r="R3749">
        <v>4160995</v>
      </c>
      <c r="S3749" t="s">
        <v>24695</v>
      </c>
      <c r="T3749">
        <v>402</v>
      </c>
      <c r="U3749" t="s">
        <v>108</v>
      </c>
      <c r="V3749">
        <v>44</v>
      </c>
      <c r="W3749" t="str">
        <f>HYPERLINK("Gene4194-zp_tree_all.dnd", "Gene4194-tree")</f>
        <v>Gene4194-tree</v>
      </c>
      <c r="X3749">
        <v>25</v>
      </c>
      <c r="Y3749">
        <v>9</v>
      </c>
      <c r="Z3749">
        <v>7</v>
      </c>
      <c r="AA3749">
        <v>9</v>
      </c>
      <c r="AB3749">
        <v>0.5625</v>
      </c>
      <c r="AC3749" t="s">
        <v>2683</v>
      </c>
      <c r="AD3749" t="s">
        <v>135</v>
      </c>
      <c r="AE3749" t="s">
        <v>62</v>
      </c>
      <c r="AF3749" t="s">
        <v>62</v>
      </c>
      <c r="AG3749">
        <v>1</v>
      </c>
      <c r="AH3749">
        <v>2</v>
      </c>
      <c r="AI3749">
        <v>15</v>
      </c>
      <c r="AJ3749">
        <v>0.11765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14</v>
      </c>
      <c r="AT3749">
        <v>0</v>
      </c>
      <c r="AU3749">
        <v>13</v>
      </c>
      <c r="AV3749">
        <v>12</v>
      </c>
      <c r="AW3749">
        <v>43</v>
      </c>
      <c r="AX3749">
        <v>12</v>
      </c>
      <c r="AY3749">
        <v>37</v>
      </c>
      <c r="AZ3749">
        <v>5</v>
      </c>
      <c r="BA3749" t="s">
        <v>24696</v>
      </c>
      <c r="BB3749" t="s">
        <v>24697</v>
      </c>
      <c r="BC3749">
        <v>0.58499999999999996</v>
      </c>
      <c r="BD3749" t="s">
        <v>65</v>
      </c>
      <c r="BE3749">
        <v>80</v>
      </c>
      <c r="BF3749">
        <v>17</v>
      </c>
      <c r="BG3749" t="s">
        <v>24698</v>
      </c>
      <c r="BH3749" t="s">
        <v>24699</v>
      </c>
      <c r="BI3749" t="s">
        <v>24700</v>
      </c>
      <c r="BJ3749">
        <v>7.1559999999999999E-2</v>
      </c>
      <c r="BK3749">
        <v>1</v>
      </c>
      <c r="BL3749" t="s">
        <v>69</v>
      </c>
      <c r="BM3749">
        <v>-0.13800000000000001</v>
      </c>
      <c r="BN3749">
        <v>-0.42599999999999999</v>
      </c>
    </row>
    <row r="3750" spans="10:66">
      <c r="J3750">
        <v>0</v>
      </c>
      <c r="K3750">
        <v>51</v>
      </c>
      <c r="L3750">
        <v>7</v>
      </c>
      <c r="M3750" t="s">
        <v>25021</v>
      </c>
      <c r="N3750">
        <v>4195</v>
      </c>
      <c r="O3750" t="s">
        <v>24701</v>
      </c>
      <c r="P3750" t="s">
        <v>57</v>
      </c>
      <c r="Q3750">
        <v>4161103</v>
      </c>
      <c r="R3750">
        <v>4163157</v>
      </c>
      <c r="S3750" t="s">
        <v>24702</v>
      </c>
      <c r="T3750">
        <v>685</v>
      </c>
      <c r="U3750" t="s">
        <v>108</v>
      </c>
      <c r="V3750">
        <v>44</v>
      </c>
      <c r="W3750" t="str">
        <f>HYPERLINK("Gene4195-zp_tree_all.dnd", "Gene4195-tree")</f>
        <v>Gene4195-tree</v>
      </c>
      <c r="X3750">
        <v>2</v>
      </c>
      <c r="Y3750">
        <v>14</v>
      </c>
      <c r="Z3750">
        <v>2</v>
      </c>
      <c r="AA3750">
        <v>14</v>
      </c>
      <c r="AB3750">
        <v>0.875</v>
      </c>
      <c r="AC3750" t="s">
        <v>81</v>
      </c>
      <c r="AD3750" t="s">
        <v>543</v>
      </c>
      <c r="AE3750">
        <v>860908720.12699997</v>
      </c>
      <c r="AF3750" t="s">
        <v>267</v>
      </c>
      <c r="AG3750">
        <v>24</v>
      </c>
      <c r="AH3750">
        <v>58</v>
      </c>
      <c r="AI3750">
        <v>53</v>
      </c>
      <c r="AJ3750">
        <v>0.52251999999999998</v>
      </c>
      <c r="AK3750">
        <v>0</v>
      </c>
      <c r="AL3750">
        <v>0</v>
      </c>
      <c r="AM3750">
        <v>0</v>
      </c>
      <c r="AN3750">
        <v>6</v>
      </c>
      <c r="AO3750">
        <v>0</v>
      </c>
      <c r="AP3750">
        <v>13</v>
      </c>
      <c r="AQ3750">
        <v>6</v>
      </c>
      <c r="AR3750">
        <v>19</v>
      </c>
      <c r="AS3750">
        <v>49</v>
      </c>
      <c r="AT3750">
        <v>0.27940999999999999</v>
      </c>
      <c r="AU3750">
        <v>15</v>
      </c>
      <c r="AV3750">
        <v>13</v>
      </c>
      <c r="AW3750">
        <v>106</v>
      </c>
      <c r="AX3750">
        <v>69</v>
      </c>
      <c r="AY3750">
        <v>71</v>
      </c>
      <c r="AZ3750">
        <v>43</v>
      </c>
      <c r="BA3750" t="s">
        <v>24703</v>
      </c>
      <c r="BB3750" t="s">
        <v>24704</v>
      </c>
      <c r="BC3750">
        <v>0.31</v>
      </c>
      <c r="BD3750" t="s">
        <v>65</v>
      </c>
      <c r="BE3750">
        <v>177</v>
      </c>
      <c r="BF3750">
        <v>112</v>
      </c>
      <c r="BG3750" t="s">
        <v>24705</v>
      </c>
      <c r="BH3750" t="s">
        <v>24706</v>
      </c>
      <c r="BI3750" t="s">
        <v>24707</v>
      </c>
      <c r="BJ3750">
        <v>0.21972</v>
      </c>
      <c r="BK3750">
        <v>1</v>
      </c>
      <c r="BL3750" t="s">
        <v>69</v>
      </c>
      <c r="BM3750">
        <v>-0.49199999999999999</v>
      </c>
      <c r="BN3750">
        <v>-0.56999999999999995</v>
      </c>
    </row>
    <row r="3751" spans="10:66">
      <c r="J3751">
        <v>0</v>
      </c>
      <c r="K3751">
        <v>0</v>
      </c>
      <c r="L3751">
        <v>0</v>
      </c>
      <c r="M3751" t="s">
        <v>25021</v>
      </c>
      <c r="N3751">
        <v>4200</v>
      </c>
      <c r="O3751" t="s">
        <v>24735</v>
      </c>
      <c r="P3751" t="s">
        <v>57</v>
      </c>
      <c r="Q3751">
        <v>4167110</v>
      </c>
      <c r="R3751">
        <v>4167589</v>
      </c>
      <c r="S3751" t="s">
        <v>3688</v>
      </c>
      <c r="T3751">
        <v>160</v>
      </c>
      <c r="U3751" t="s">
        <v>108</v>
      </c>
      <c r="V3751">
        <v>44</v>
      </c>
      <c r="W3751" t="str">
        <f>HYPERLINK("Gene4200-zp_tree_all.dnd", "Gene4200-tree")</f>
        <v>Gene4200-tree</v>
      </c>
      <c r="X3751">
        <v>6</v>
      </c>
      <c r="Y3751">
        <v>4</v>
      </c>
      <c r="Z3751">
        <v>6</v>
      </c>
      <c r="AA3751">
        <v>4</v>
      </c>
      <c r="AB3751">
        <v>0.4</v>
      </c>
      <c r="AC3751" t="s">
        <v>90</v>
      </c>
      <c r="AD3751" t="s">
        <v>61</v>
      </c>
      <c r="AE3751" t="s">
        <v>62</v>
      </c>
      <c r="AF3751" t="s">
        <v>62</v>
      </c>
      <c r="AG3751">
        <v>0</v>
      </c>
      <c r="AH3751">
        <v>0</v>
      </c>
      <c r="AI3751">
        <v>7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0</v>
      </c>
      <c r="AP3751">
        <v>0</v>
      </c>
      <c r="AQ3751">
        <v>0</v>
      </c>
      <c r="AR3751">
        <v>0</v>
      </c>
      <c r="AS3751">
        <v>6</v>
      </c>
      <c r="AT3751">
        <v>0</v>
      </c>
      <c r="AU3751">
        <v>7</v>
      </c>
      <c r="AV3751">
        <v>3</v>
      </c>
      <c r="AW3751">
        <v>4</v>
      </c>
      <c r="AX3751">
        <v>6</v>
      </c>
      <c r="AY3751">
        <v>3</v>
      </c>
      <c r="AZ3751">
        <v>1</v>
      </c>
      <c r="BA3751" t="s">
        <v>24736</v>
      </c>
      <c r="BB3751" t="s">
        <v>24737</v>
      </c>
      <c r="BC3751">
        <v>1.127</v>
      </c>
      <c r="BD3751" t="s">
        <v>65</v>
      </c>
      <c r="BE3751">
        <v>7</v>
      </c>
      <c r="BF3751">
        <v>7</v>
      </c>
      <c r="BG3751" t="s">
        <v>24738</v>
      </c>
      <c r="BH3751" t="s">
        <v>24739</v>
      </c>
      <c r="BI3751" t="s">
        <v>24740</v>
      </c>
      <c r="BJ3751">
        <v>0.23934</v>
      </c>
      <c r="BK3751">
        <v>0.92</v>
      </c>
      <c r="BL3751" t="s">
        <v>635</v>
      </c>
      <c r="BM3751">
        <v>-0.67700000000000005</v>
      </c>
      <c r="BN3751">
        <v>-0.95799999999999996</v>
      </c>
    </row>
    <row r="3752" spans="10:66">
      <c r="J3752">
        <v>0</v>
      </c>
      <c r="K3752">
        <v>4</v>
      </c>
      <c r="L3752">
        <v>0</v>
      </c>
      <c r="M3752" t="s">
        <v>25021</v>
      </c>
      <c r="N3752">
        <v>4202</v>
      </c>
      <c r="O3752" t="s">
        <v>24748</v>
      </c>
      <c r="P3752" t="s">
        <v>57</v>
      </c>
      <c r="Q3752">
        <v>4168204</v>
      </c>
      <c r="R3752">
        <v>4169130</v>
      </c>
      <c r="S3752" t="s">
        <v>24749</v>
      </c>
      <c r="T3752">
        <v>309</v>
      </c>
      <c r="U3752" t="s">
        <v>99</v>
      </c>
      <c r="V3752">
        <v>47</v>
      </c>
      <c r="W3752" t="str">
        <f>HYPERLINK("Gene4202-zp_tree_all.dnd", "Gene4202-tree")</f>
        <v>Gene4202-tree</v>
      </c>
      <c r="X3752">
        <v>12</v>
      </c>
      <c r="Y3752">
        <v>7</v>
      </c>
      <c r="Z3752">
        <v>12</v>
      </c>
      <c r="AA3752">
        <v>7</v>
      </c>
      <c r="AB3752">
        <v>0.36842000000000003</v>
      </c>
      <c r="AC3752" t="s">
        <v>109</v>
      </c>
      <c r="AD3752" t="s">
        <v>152</v>
      </c>
      <c r="AE3752" t="s">
        <v>62</v>
      </c>
      <c r="AF3752" t="s">
        <v>62</v>
      </c>
      <c r="AG3752">
        <v>2</v>
      </c>
      <c r="AH3752">
        <v>4</v>
      </c>
      <c r="AI3752">
        <v>6</v>
      </c>
      <c r="AJ3752">
        <v>0.4</v>
      </c>
      <c r="AK3752">
        <v>0</v>
      </c>
      <c r="AL3752">
        <v>0</v>
      </c>
      <c r="AM3752">
        <v>0</v>
      </c>
      <c r="AN3752">
        <v>1</v>
      </c>
      <c r="AO3752">
        <v>0</v>
      </c>
      <c r="AP3752">
        <v>0</v>
      </c>
      <c r="AQ3752">
        <v>0</v>
      </c>
      <c r="AR3752">
        <v>0</v>
      </c>
      <c r="AS3752">
        <v>8</v>
      </c>
      <c r="AT3752">
        <v>0</v>
      </c>
      <c r="AU3752">
        <v>13</v>
      </c>
      <c r="AV3752">
        <v>13</v>
      </c>
      <c r="AW3752">
        <v>39</v>
      </c>
      <c r="AX3752">
        <v>4</v>
      </c>
      <c r="AY3752">
        <v>60</v>
      </c>
      <c r="AZ3752">
        <v>7</v>
      </c>
      <c r="BA3752" t="s">
        <v>24750</v>
      </c>
      <c r="BB3752" t="s">
        <v>24751</v>
      </c>
      <c r="BC3752">
        <v>6.4000000000000001E-2</v>
      </c>
      <c r="BD3752" t="s">
        <v>65</v>
      </c>
      <c r="BE3752">
        <v>99</v>
      </c>
      <c r="BF3752">
        <v>11</v>
      </c>
      <c r="BG3752" t="s">
        <v>24752</v>
      </c>
      <c r="BH3752" t="s">
        <v>24753</v>
      </c>
      <c r="BI3752" t="s">
        <v>24754</v>
      </c>
      <c r="BJ3752">
        <v>2.9090000000000001E-2</v>
      </c>
      <c r="BK3752">
        <v>1</v>
      </c>
      <c r="BL3752" t="s">
        <v>69</v>
      </c>
      <c r="BM3752">
        <v>-1.1850000000000001</v>
      </c>
      <c r="BN3752">
        <v>0.14299999999999999</v>
      </c>
    </row>
    <row r="3753" spans="10:66">
      <c r="J3753">
        <v>0</v>
      </c>
      <c r="K3753">
        <v>0</v>
      </c>
      <c r="L3753">
        <v>0</v>
      </c>
      <c r="M3753" t="s">
        <v>25021</v>
      </c>
      <c r="N3753">
        <v>4204</v>
      </c>
      <c r="O3753" t="s">
        <v>24762</v>
      </c>
      <c r="P3753" t="s">
        <v>57</v>
      </c>
      <c r="Q3753">
        <v>4170045</v>
      </c>
      <c r="R3753">
        <v>4171349</v>
      </c>
      <c r="S3753" t="s">
        <v>1123</v>
      </c>
      <c r="T3753">
        <v>435</v>
      </c>
      <c r="U3753" t="s">
        <v>108</v>
      </c>
      <c r="V3753">
        <v>44</v>
      </c>
      <c r="W3753" t="str">
        <f>HYPERLINK("Gene4204-zp_tree_all.dnd", "Gene4204-tree")</f>
        <v>Gene4204-tree</v>
      </c>
      <c r="X3753">
        <v>12</v>
      </c>
      <c r="Y3753">
        <v>2</v>
      </c>
      <c r="Z3753">
        <v>12</v>
      </c>
      <c r="AA3753">
        <v>2</v>
      </c>
      <c r="AB3753">
        <v>0.14285999999999999</v>
      </c>
      <c r="AC3753" t="s">
        <v>109</v>
      </c>
      <c r="AD3753" t="s">
        <v>81</v>
      </c>
      <c r="AE3753" t="s">
        <v>62</v>
      </c>
      <c r="AF3753" t="s">
        <v>62</v>
      </c>
      <c r="AG3753">
        <v>0</v>
      </c>
      <c r="AH3753">
        <v>0</v>
      </c>
      <c r="AI3753">
        <v>5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5</v>
      </c>
      <c r="AT3753">
        <v>0</v>
      </c>
      <c r="AU3753">
        <v>11</v>
      </c>
      <c r="AV3753">
        <v>10</v>
      </c>
      <c r="AW3753">
        <v>60</v>
      </c>
      <c r="AX3753">
        <v>5</v>
      </c>
      <c r="AY3753">
        <v>20</v>
      </c>
      <c r="AZ3753">
        <v>0</v>
      </c>
      <c r="BA3753" t="s">
        <v>24763</v>
      </c>
      <c r="BB3753" t="s">
        <v>193</v>
      </c>
      <c r="BC3753">
        <v>0.443</v>
      </c>
      <c r="BD3753" t="s">
        <v>65</v>
      </c>
      <c r="BE3753">
        <v>80</v>
      </c>
      <c r="BF3753">
        <v>5</v>
      </c>
      <c r="BG3753" t="s">
        <v>24764</v>
      </c>
      <c r="BH3753" t="s">
        <v>24765</v>
      </c>
      <c r="BI3753" t="s">
        <v>24766</v>
      </c>
      <c r="BJ3753">
        <v>1.584E-2</v>
      </c>
      <c r="BK3753">
        <v>1</v>
      </c>
      <c r="BL3753" t="s">
        <v>69</v>
      </c>
      <c r="BM3753">
        <v>-1.528</v>
      </c>
      <c r="BN3753">
        <v>-3.4279999999999999</v>
      </c>
    </row>
    <row r="3754" spans="10:66">
      <c r="J3754">
        <v>0</v>
      </c>
      <c r="K3754">
        <v>15</v>
      </c>
      <c r="L3754">
        <v>1</v>
      </c>
      <c r="M3754" t="s">
        <v>25021</v>
      </c>
      <c r="N3754">
        <v>4216</v>
      </c>
      <c r="O3754" t="s">
        <v>24780</v>
      </c>
      <c r="P3754" t="s">
        <v>57</v>
      </c>
      <c r="Q3754">
        <v>4178291</v>
      </c>
      <c r="R3754">
        <v>4179127</v>
      </c>
      <c r="S3754" t="s">
        <v>288</v>
      </c>
      <c r="T3754">
        <v>279</v>
      </c>
      <c r="U3754" t="s">
        <v>5904</v>
      </c>
      <c r="V3754">
        <v>42</v>
      </c>
      <c r="W3754" t="str">
        <f>HYPERLINK("Gene4216-zp_tree_all.dnd", "Gene4216-tree")</f>
        <v>Gene4216-tree</v>
      </c>
      <c r="X3754">
        <v>5</v>
      </c>
      <c r="Y3754">
        <v>8</v>
      </c>
      <c r="Z3754">
        <v>5</v>
      </c>
      <c r="AA3754">
        <v>8</v>
      </c>
      <c r="AB3754">
        <v>0.61538000000000004</v>
      </c>
      <c r="AC3754" t="s">
        <v>199</v>
      </c>
      <c r="AD3754" t="s">
        <v>136</v>
      </c>
      <c r="AE3754" t="s">
        <v>62</v>
      </c>
      <c r="AF3754" t="s">
        <v>62</v>
      </c>
      <c r="AG3754">
        <v>6</v>
      </c>
      <c r="AH3754">
        <v>16</v>
      </c>
      <c r="AI3754">
        <v>17</v>
      </c>
      <c r="AJ3754">
        <v>0.48485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7</v>
      </c>
      <c r="AQ3754">
        <v>0</v>
      </c>
      <c r="AR3754">
        <v>7</v>
      </c>
      <c r="AS3754">
        <v>15</v>
      </c>
      <c r="AT3754">
        <v>0.31818000000000002</v>
      </c>
      <c r="AU3754">
        <v>11</v>
      </c>
      <c r="AV3754">
        <v>8</v>
      </c>
      <c r="AW3754">
        <v>23</v>
      </c>
      <c r="AX3754">
        <v>22</v>
      </c>
      <c r="AY3754">
        <v>14</v>
      </c>
      <c r="AZ3754">
        <v>11</v>
      </c>
      <c r="BA3754" t="s">
        <v>24781</v>
      </c>
      <c r="BB3754" t="s">
        <v>24782</v>
      </c>
      <c r="BC3754">
        <v>0.224</v>
      </c>
      <c r="BD3754" t="s">
        <v>65</v>
      </c>
      <c r="BE3754">
        <v>37</v>
      </c>
      <c r="BF3754">
        <v>33</v>
      </c>
      <c r="BG3754" t="s">
        <v>24783</v>
      </c>
      <c r="BH3754" t="s">
        <v>24784</v>
      </c>
      <c r="BI3754" t="s">
        <v>24785</v>
      </c>
      <c r="BJ3754">
        <v>0.20946000000000001</v>
      </c>
      <c r="BK3754">
        <v>1</v>
      </c>
      <c r="BL3754" t="s">
        <v>69</v>
      </c>
      <c r="BM3754">
        <v>-0.38500000000000001</v>
      </c>
      <c r="BN3754">
        <v>-9.6000000000000002E-2</v>
      </c>
    </row>
    <row r="3755" spans="10:66">
      <c r="J3755">
        <v>0</v>
      </c>
      <c r="K3755">
        <v>8</v>
      </c>
      <c r="L3755">
        <v>0</v>
      </c>
      <c r="M3755" t="s">
        <v>25021</v>
      </c>
      <c r="N3755">
        <v>4218</v>
      </c>
      <c r="O3755" t="s">
        <v>24792</v>
      </c>
      <c r="P3755" t="s">
        <v>57</v>
      </c>
      <c r="Q3755">
        <v>4180564</v>
      </c>
      <c r="R3755">
        <v>4181439</v>
      </c>
      <c r="S3755" t="s">
        <v>2170</v>
      </c>
      <c r="T3755">
        <v>292</v>
      </c>
      <c r="U3755" t="s">
        <v>2078</v>
      </c>
      <c r="V3755">
        <v>36</v>
      </c>
      <c r="W3755" t="str">
        <f>HYPERLINK("Gene4218-zp_tree_all.dnd", "Gene4218-tree")</f>
        <v>Gene4218-tree</v>
      </c>
      <c r="X3755">
        <v>5</v>
      </c>
      <c r="Y3755">
        <v>6</v>
      </c>
      <c r="Z3755">
        <v>5</v>
      </c>
      <c r="AA3755">
        <v>6</v>
      </c>
      <c r="AB3755">
        <v>0.54544999999999999</v>
      </c>
      <c r="AC3755" t="s">
        <v>199</v>
      </c>
      <c r="AD3755" t="s">
        <v>90</v>
      </c>
      <c r="AE3755" t="s">
        <v>62</v>
      </c>
      <c r="AF3755" t="s">
        <v>62</v>
      </c>
      <c r="AG3755">
        <v>3</v>
      </c>
      <c r="AH3755">
        <v>8</v>
      </c>
      <c r="AI3755">
        <v>7</v>
      </c>
      <c r="AJ3755">
        <v>0.53332999999999997</v>
      </c>
      <c r="AK3755">
        <v>0</v>
      </c>
      <c r="AL3755">
        <v>0</v>
      </c>
      <c r="AM3755">
        <v>0</v>
      </c>
      <c r="AN3755">
        <v>1</v>
      </c>
      <c r="AO3755">
        <v>0</v>
      </c>
      <c r="AP3755">
        <v>4</v>
      </c>
      <c r="AQ3755">
        <v>0</v>
      </c>
      <c r="AR3755">
        <v>4</v>
      </c>
      <c r="AS3755">
        <v>7</v>
      </c>
      <c r="AT3755">
        <v>0.36364000000000002</v>
      </c>
      <c r="AU3755">
        <v>9</v>
      </c>
      <c r="AV3755">
        <v>8</v>
      </c>
      <c r="AW3755">
        <v>18</v>
      </c>
      <c r="AX3755">
        <v>11</v>
      </c>
      <c r="AY3755">
        <v>28</v>
      </c>
      <c r="AZ3755">
        <v>4</v>
      </c>
      <c r="BA3755" t="s">
        <v>24793</v>
      </c>
      <c r="BB3755" t="s">
        <v>24794</v>
      </c>
      <c r="BC3755">
        <v>1.153</v>
      </c>
      <c r="BD3755" t="s">
        <v>65</v>
      </c>
      <c r="BE3755">
        <v>46</v>
      </c>
      <c r="BF3755">
        <v>15</v>
      </c>
      <c r="BG3755" t="s">
        <v>24795</v>
      </c>
      <c r="BH3755" t="s">
        <v>24796</v>
      </c>
      <c r="BI3755" t="s">
        <v>24797</v>
      </c>
      <c r="BJ3755">
        <v>6.5269999999999995E-2</v>
      </c>
      <c r="BK3755">
        <v>1</v>
      </c>
      <c r="BL3755" t="s">
        <v>69</v>
      </c>
      <c r="BM3755">
        <v>2.3E-2</v>
      </c>
      <c r="BN3755">
        <v>2.7E-2</v>
      </c>
    </row>
    <row r="3756" spans="10:66">
      <c r="J3756">
        <v>0</v>
      </c>
      <c r="K3756">
        <v>4</v>
      </c>
      <c r="L3756">
        <v>0</v>
      </c>
      <c r="M3756" t="s">
        <v>25021</v>
      </c>
      <c r="N3756">
        <v>4219</v>
      </c>
      <c r="O3756" t="s">
        <v>24798</v>
      </c>
      <c r="P3756" t="s">
        <v>57</v>
      </c>
      <c r="Q3756">
        <v>4181456</v>
      </c>
      <c r="R3756">
        <v>4181896</v>
      </c>
      <c r="S3756" t="s">
        <v>3537</v>
      </c>
      <c r="T3756">
        <v>147</v>
      </c>
      <c r="U3756" t="s">
        <v>2078</v>
      </c>
      <c r="V3756">
        <v>36</v>
      </c>
      <c r="W3756" t="str">
        <f>HYPERLINK("Gene4219-zp_tree_all.dnd", "Gene4219-tree")</f>
        <v>Gene4219-tree</v>
      </c>
      <c r="X3756">
        <v>3</v>
      </c>
      <c r="Y3756">
        <v>7</v>
      </c>
      <c r="Z3756">
        <v>3</v>
      </c>
      <c r="AA3756">
        <v>7</v>
      </c>
      <c r="AB3756">
        <v>0.7</v>
      </c>
      <c r="AC3756" t="s">
        <v>324</v>
      </c>
      <c r="AD3756" t="s">
        <v>152</v>
      </c>
      <c r="AE3756" t="s">
        <v>62</v>
      </c>
      <c r="AF3756" t="s">
        <v>62</v>
      </c>
      <c r="AG3756">
        <v>2</v>
      </c>
      <c r="AH3756">
        <v>4</v>
      </c>
      <c r="AI3756">
        <v>9</v>
      </c>
      <c r="AJ3756">
        <v>0.30769000000000002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8</v>
      </c>
      <c r="AT3756">
        <v>0</v>
      </c>
      <c r="AU3756">
        <v>9</v>
      </c>
      <c r="AV3756">
        <v>6</v>
      </c>
      <c r="AW3756">
        <v>9</v>
      </c>
      <c r="AX3756">
        <v>7</v>
      </c>
      <c r="AY3756">
        <v>6</v>
      </c>
      <c r="AZ3756">
        <v>6</v>
      </c>
      <c r="BA3756" t="s">
        <v>24799</v>
      </c>
      <c r="BB3756" t="s">
        <v>24800</v>
      </c>
      <c r="BC3756">
        <v>0.13400000000000001</v>
      </c>
      <c r="BD3756" t="s">
        <v>65</v>
      </c>
      <c r="BE3756">
        <v>15</v>
      </c>
      <c r="BF3756">
        <v>13</v>
      </c>
      <c r="BG3756" t="s">
        <v>24801</v>
      </c>
      <c r="BH3756" t="s">
        <v>24802</v>
      </c>
      <c r="BI3756" t="s">
        <v>24803</v>
      </c>
      <c r="BJ3756">
        <v>0.24049000000000001</v>
      </c>
      <c r="BK3756">
        <v>0.99</v>
      </c>
      <c r="BL3756" t="s">
        <v>69</v>
      </c>
      <c r="BM3756">
        <v>-0.35</v>
      </c>
      <c r="BN3756">
        <v>-0.58599999999999997</v>
      </c>
    </row>
    <row r="3757" spans="10:66">
      <c r="J3757">
        <v>0</v>
      </c>
      <c r="K3757">
        <v>9</v>
      </c>
      <c r="L3757">
        <v>1</v>
      </c>
      <c r="M3757" t="s">
        <v>25021</v>
      </c>
      <c r="N3757">
        <v>4220</v>
      </c>
      <c r="O3757" t="s">
        <v>24804</v>
      </c>
      <c r="P3757" t="s">
        <v>57</v>
      </c>
      <c r="Q3757">
        <v>4181982</v>
      </c>
      <c r="R3757">
        <v>4182458</v>
      </c>
      <c r="S3757" t="s">
        <v>6103</v>
      </c>
      <c r="T3757">
        <v>159</v>
      </c>
      <c r="U3757" t="s">
        <v>2078</v>
      </c>
      <c r="V3757">
        <v>36</v>
      </c>
      <c r="W3757" t="str">
        <f>HYPERLINK("Gene4220-zp_tree_all.dnd", "Gene4220-tree")</f>
        <v>Gene4220-tree</v>
      </c>
      <c r="X3757">
        <v>0</v>
      </c>
      <c r="Y3757">
        <v>10</v>
      </c>
      <c r="Z3757">
        <v>0</v>
      </c>
      <c r="AA3757">
        <v>10</v>
      </c>
      <c r="AB3757">
        <v>1</v>
      </c>
      <c r="AC3757" t="s">
        <v>62</v>
      </c>
      <c r="AD3757" t="s">
        <v>117</v>
      </c>
      <c r="AE3757" t="s">
        <v>62</v>
      </c>
      <c r="AF3757" t="s">
        <v>62</v>
      </c>
      <c r="AG3757">
        <v>3</v>
      </c>
      <c r="AH3757">
        <v>10</v>
      </c>
      <c r="AI3757">
        <v>14</v>
      </c>
      <c r="AJ3757">
        <v>0.41666999999999998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7</v>
      </c>
      <c r="AQ3757">
        <v>1</v>
      </c>
      <c r="AR3757">
        <v>8</v>
      </c>
      <c r="AS3757">
        <v>11</v>
      </c>
      <c r="AT3757">
        <v>0.42104999999999998</v>
      </c>
      <c r="AU3757">
        <v>9</v>
      </c>
      <c r="AV3757">
        <v>4</v>
      </c>
      <c r="AW3757">
        <v>7</v>
      </c>
      <c r="AX3757">
        <v>19</v>
      </c>
      <c r="AY3757">
        <v>7</v>
      </c>
      <c r="AZ3757">
        <v>5</v>
      </c>
      <c r="BA3757" t="s">
        <v>24805</v>
      </c>
      <c r="BB3757" t="s">
        <v>24806</v>
      </c>
      <c r="BC3757">
        <v>0.95499999999999996</v>
      </c>
      <c r="BD3757" t="s">
        <v>65</v>
      </c>
      <c r="BE3757">
        <v>14</v>
      </c>
      <c r="BF3757">
        <v>24</v>
      </c>
      <c r="BG3757" t="s">
        <v>24807</v>
      </c>
      <c r="BH3757" t="s">
        <v>24808</v>
      </c>
      <c r="BI3757" t="s">
        <v>24809</v>
      </c>
      <c r="BJ3757">
        <v>0.38096999999999998</v>
      </c>
      <c r="BK3757">
        <v>0.95</v>
      </c>
      <c r="BL3757" t="s">
        <v>635</v>
      </c>
      <c r="BM3757">
        <v>1.139</v>
      </c>
      <c r="BN3757">
        <v>0.85199999999999998</v>
      </c>
    </row>
    <row r="3758" spans="10:66">
      <c r="J3758">
        <v>0</v>
      </c>
      <c r="K3758">
        <v>9</v>
      </c>
      <c r="L3758">
        <v>1</v>
      </c>
      <c r="M3758" t="s">
        <v>25021</v>
      </c>
      <c r="N3758">
        <v>4224</v>
      </c>
      <c r="O3758" t="s">
        <v>24819</v>
      </c>
      <c r="P3758" t="s">
        <v>57</v>
      </c>
      <c r="Q3758">
        <v>4184460</v>
      </c>
      <c r="R3758">
        <v>4185062</v>
      </c>
      <c r="S3758" t="s">
        <v>3095</v>
      </c>
      <c r="T3758">
        <v>201</v>
      </c>
      <c r="U3758" t="s">
        <v>1933</v>
      </c>
      <c r="V3758">
        <v>39</v>
      </c>
      <c r="W3758" t="str">
        <f>HYPERLINK("Gene4224-zp_tree_all.dnd", "Gene4224-tree")</f>
        <v>Gene4224-tree</v>
      </c>
      <c r="X3758">
        <v>4</v>
      </c>
      <c r="Y3758">
        <v>6</v>
      </c>
      <c r="Z3758">
        <v>4</v>
      </c>
      <c r="AA3758">
        <v>6</v>
      </c>
      <c r="AB3758">
        <v>0.6</v>
      </c>
      <c r="AC3758" t="s">
        <v>61</v>
      </c>
      <c r="AD3758" t="s">
        <v>90</v>
      </c>
      <c r="AE3758" t="s">
        <v>62</v>
      </c>
      <c r="AF3758" t="s">
        <v>62</v>
      </c>
      <c r="AG3758">
        <v>4</v>
      </c>
      <c r="AH3758">
        <v>10</v>
      </c>
      <c r="AI3758">
        <v>17</v>
      </c>
      <c r="AJ3758">
        <v>0.37036999999999998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14</v>
      </c>
      <c r="AT3758">
        <v>0</v>
      </c>
      <c r="AU3758">
        <v>10</v>
      </c>
      <c r="AV3758">
        <v>6</v>
      </c>
      <c r="AW3758">
        <v>31</v>
      </c>
      <c r="AX3758">
        <v>14</v>
      </c>
      <c r="AY3758">
        <v>11</v>
      </c>
      <c r="AZ3758">
        <v>13</v>
      </c>
      <c r="BA3758" t="s">
        <v>24820</v>
      </c>
      <c r="BB3758" t="s">
        <v>24821</v>
      </c>
      <c r="BC3758">
        <v>1.288</v>
      </c>
      <c r="BD3758" t="s">
        <v>65</v>
      </c>
      <c r="BE3758">
        <v>42</v>
      </c>
      <c r="BF3758">
        <v>27</v>
      </c>
      <c r="BG3758" t="s">
        <v>24822</v>
      </c>
      <c r="BH3758" t="s">
        <v>24823</v>
      </c>
      <c r="BI3758" t="s">
        <v>24824</v>
      </c>
      <c r="BJ3758">
        <v>0.20760999999999999</v>
      </c>
      <c r="BK3758">
        <v>1</v>
      </c>
      <c r="BL3758" t="s">
        <v>69</v>
      </c>
      <c r="BM3758">
        <v>0.56799999999999995</v>
      </c>
      <c r="BN3758">
        <v>0.34100000000000003</v>
      </c>
    </row>
    <row r="3759" spans="10:66">
      <c r="J3759">
        <v>0</v>
      </c>
      <c r="K3759">
        <v>2</v>
      </c>
      <c r="L3759">
        <v>4</v>
      </c>
      <c r="M3759" t="s">
        <v>25021</v>
      </c>
      <c r="N3759">
        <v>4226</v>
      </c>
      <c r="O3759" t="s">
        <v>24825</v>
      </c>
      <c r="P3759" t="s">
        <v>57</v>
      </c>
      <c r="Q3759">
        <v>4186092</v>
      </c>
      <c r="R3759">
        <v>4186445</v>
      </c>
      <c r="S3759" t="s">
        <v>288</v>
      </c>
      <c r="T3759">
        <v>118</v>
      </c>
      <c r="U3759" t="s">
        <v>1139</v>
      </c>
      <c r="V3759">
        <v>42</v>
      </c>
      <c r="W3759" t="str">
        <f>HYPERLINK("Gene4226-zp_tree_all.dnd", "Gene4226-tree")</f>
        <v>Gene4226-tree</v>
      </c>
      <c r="X3759">
        <v>0</v>
      </c>
      <c r="Y3759">
        <v>8</v>
      </c>
      <c r="Z3759">
        <v>0</v>
      </c>
      <c r="AA3759">
        <v>8</v>
      </c>
      <c r="AB3759">
        <v>1</v>
      </c>
      <c r="AC3759" t="s">
        <v>62</v>
      </c>
      <c r="AD3759" t="s">
        <v>136</v>
      </c>
      <c r="AE3759" t="s">
        <v>62</v>
      </c>
      <c r="AF3759" t="s">
        <v>62</v>
      </c>
      <c r="AG3759">
        <v>3</v>
      </c>
      <c r="AH3759">
        <v>6</v>
      </c>
      <c r="AI3759">
        <v>7</v>
      </c>
      <c r="AJ3759">
        <v>0.46154000000000001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2</v>
      </c>
      <c r="AQ3759">
        <v>4</v>
      </c>
      <c r="AR3759">
        <v>6</v>
      </c>
      <c r="AS3759">
        <v>7</v>
      </c>
      <c r="AT3759">
        <v>0.46154000000000001</v>
      </c>
      <c r="AU3759">
        <v>5</v>
      </c>
      <c r="AV3759">
        <v>3</v>
      </c>
      <c r="AW3759">
        <v>1</v>
      </c>
      <c r="AX3759">
        <v>6</v>
      </c>
      <c r="AY3759">
        <v>9</v>
      </c>
      <c r="AZ3759">
        <v>7</v>
      </c>
      <c r="BA3759" t="s">
        <v>24826</v>
      </c>
      <c r="BB3759" t="s">
        <v>24827</v>
      </c>
      <c r="BC3759">
        <v>0.47599999999999998</v>
      </c>
      <c r="BD3759" t="s">
        <v>65</v>
      </c>
      <c r="BE3759">
        <v>10</v>
      </c>
      <c r="BF3759">
        <v>13</v>
      </c>
      <c r="BG3759" t="s">
        <v>24828</v>
      </c>
      <c r="BH3759" t="s">
        <v>24829</v>
      </c>
      <c r="BI3759" t="s">
        <v>24830</v>
      </c>
      <c r="BJ3759">
        <v>0.26654</v>
      </c>
      <c r="BK3759">
        <v>0.98</v>
      </c>
      <c r="BL3759" t="s">
        <v>69</v>
      </c>
      <c r="BM3759">
        <v>0.24399999999999999</v>
      </c>
      <c r="BN3759">
        <v>1.2849999999999999</v>
      </c>
    </row>
    <row r="3760" spans="10:66">
      <c r="J3760">
        <v>0</v>
      </c>
      <c r="K3760">
        <v>7</v>
      </c>
      <c r="L3760">
        <v>3</v>
      </c>
      <c r="M3760" t="s">
        <v>25021</v>
      </c>
      <c r="N3760">
        <v>4227</v>
      </c>
      <c r="O3760" t="s">
        <v>24831</v>
      </c>
      <c r="P3760" t="s">
        <v>57</v>
      </c>
      <c r="Q3760">
        <v>4186608</v>
      </c>
      <c r="R3760">
        <v>4187171</v>
      </c>
      <c r="S3760" t="s">
        <v>1940</v>
      </c>
      <c r="T3760">
        <v>188</v>
      </c>
      <c r="U3760" t="s">
        <v>1139</v>
      </c>
      <c r="V3760">
        <v>42</v>
      </c>
      <c r="W3760" t="str">
        <f>HYPERLINK("Gene4227-zp_tree_all.dnd", "Gene4227-tree")</f>
        <v>Gene4227-tree</v>
      </c>
      <c r="X3760">
        <v>3</v>
      </c>
      <c r="Y3760">
        <v>25</v>
      </c>
      <c r="Z3760">
        <v>3</v>
      </c>
      <c r="AA3760">
        <v>8</v>
      </c>
      <c r="AB3760">
        <v>0.72726999999999997</v>
      </c>
      <c r="AC3760" t="s">
        <v>324</v>
      </c>
      <c r="AD3760" t="s">
        <v>1667</v>
      </c>
      <c r="AE3760">
        <v>1.607</v>
      </c>
      <c r="AF3760" t="s">
        <v>65</v>
      </c>
      <c r="AG3760">
        <v>4</v>
      </c>
      <c r="AH3760">
        <v>10</v>
      </c>
      <c r="AI3760">
        <v>16</v>
      </c>
      <c r="AJ3760">
        <v>0.38462000000000002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2</v>
      </c>
      <c r="AQ3760">
        <v>2</v>
      </c>
      <c r="AR3760">
        <v>4</v>
      </c>
      <c r="AS3760">
        <v>12</v>
      </c>
      <c r="AT3760">
        <v>0.25</v>
      </c>
      <c r="AU3760">
        <v>10</v>
      </c>
      <c r="AV3760">
        <v>6</v>
      </c>
      <c r="AW3760">
        <v>13</v>
      </c>
      <c r="AX3760">
        <v>15</v>
      </c>
      <c r="AY3760">
        <v>13</v>
      </c>
      <c r="AZ3760">
        <v>11</v>
      </c>
      <c r="BA3760" t="s">
        <v>24832</v>
      </c>
      <c r="BB3760" t="s">
        <v>24833</v>
      </c>
      <c r="BC3760">
        <v>0.23899999999999999</v>
      </c>
      <c r="BD3760" t="s">
        <v>65</v>
      </c>
      <c r="BE3760">
        <v>26</v>
      </c>
      <c r="BF3760">
        <v>26</v>
      </c>
      <c r="BG3760" t="s">
        <v>24834</v>
      </c>
      <c r="BH3760" t="s">
        <v>24835</v>
      </c>
      <c r="BI3760" t="s">
        <v>24836</v>
      </c>
      <c r="BJ3760">
        <v>0.22423000000000001</v>
      </c>
      <c r="BK3760">
        <v>1</v>
      </c>
      <c r="BL3760" t="s">
        <v>69</v>
      </c>
      <c r="BM3760">
        <v>-0.14199999999999999</v>
      </c>
      <c r="BN3760">
        <v>0.44800000000000001</v>
      </c>
    </row>
    <row r="3761" spans="10:66">
      <c r="J3761">
        <v>0</v>
      </c>
      <c r="K3761">
        <v>0</v>
      </c>
      <c r="L3761">
        <v>0</v>
      </c>
      <c r="M3761" t="s">
        <v>25021</v>
      </c>
      <c r="N3761">
        <v>4231</v>
      </c>
      <c r="O3761" t="s">
        <v>24845</v>
      </c>
      <c r="P3761" t="s">
        <v>57</v>
      </c>
      <c r="Q3761">
        <v>4189796</v>
      </c>
      <c r="R3761">
        <v>4190209</v>
      </c>
      <c r="S3761" t="s">
        <v>24846</v>
      </c>
      <c r="T3761">
        <v>138</v>
      </c>
      <c r="U3761" t="s">
        <v>24847</v>
      </c>
      <c r="V3761">
        <v>23</v>
      </c>
      <c r="W3761" t="str">
        <f>HYPERLINK("Gene4231-zp_tree_all.dnd", "Gene4231-tree")</f>
        <v>Gene4231-tree</v>
      </c>
      <c r="X3761">
        <v>19</v>
      </c>
      <c r="Y3761">
        <v>2</v>
      </c>
      <c r="Z3761">
        <v>2</v>
      </c>
      <c r="AA3761">
        <v>2</v>
      </c>
      <c r="AB3761">
        <v>0.5</v>
      </c>
      <c r="AC3761" t="s">
        <v>3952</v>
      </c>
      <c r="AD3761" t="s">
        <v>81</v>
      </c>
      <c r="AE3761" t="s">
        <v>62</v>
      </c>
      <c r="AF3761" t="s">
        <v>62</v>
      </c>
      <c r="AG3761">
        <v>0</v>
      </c>
      <c r="AH3761">
        <v>0</v>
      </c>
      <c r="AI3761">
        <v>2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2</v>
      </c>
      <c r="AT3761">
        <v>0</v>
      </c>
      <c r="AU3761">
        <v>2</v>
      </c>
      <c r="AV3761">
        <v>1</v>
      </c>
      <c r="AW3761">
        <v>3</v>
      </c>
      <c r="AX3761">
        <v>2</v>
      </c>
      <c r="AY3761">
        <v>1</v>
      </c>
      <c r="AZ3761">
        <v>0</v>
      </c>
      <c r="BA3761" t="s">
        <v>24848</v>
      </c>
      <c r="BB3761" t="s">
        <v>193</v>
      </c>
      <c r="BC3761">
        <v>1.4139999999999999</v>
      </c>
      <c r="BD3761" t="s">
        <v>65</v>
      </c>
      <c r="BE3761">
        <v>4</v>
      </c>
      <c r="BF3761">
        <v>2</v>
      </c>
      <c r="BG3761" t="s">
        <v>24849</v>
      </c>
      <c r="BH3761" t="s">
        <v>24850</v>
      </c>
      <c r="BI3761" t="s">
        <v>24851</v>
      </c>
      <c r="BJ3761">
        <v>0.12003</v>
      </c>
      <c r="BK3761">
        <v>0.96199999999999997</v>
      </c>
      <c r="BL3761" t="s">
        <v>69</v>
      </c>
      <c r="BM3761">
        <v>-1.647</v>
      </c>
      <c r="BN3761">
        <v>-1.673</v>
      </c>
    </row>
    <row r="3762" spans="10:66">
      <c r="J3762">
        <v>0</v>
      </c>
      <c r="K3762">
        <v>0</v>
      </c>
      <c r="L3762">
        <v>2</v>
      </c>
      <c r="M3762" t="s">
        <v>25021</v>
      </c>
      <c r="N3762">
        <v>4232</v>
      </c>
      <c r="O3762" t="s">
        <v>24852</v>
      </c>
      <c r="P3762" t="s">
        <v>57</v>
      </c>
      <c r="Q3762">
        <v>4190209</v>
      </c>
      <c r="R3762">
        <v>4191123</v>
      </c>
      <c r="S3762" t="s">
        <v>2641</v>
      </c>
      <c r="T3762">
        <v>305</v>
      </c>
      <c r="U3762" t="s">
        <v>24853</v>
      </c>
      <c r="V3762">
        <v>24</v>
      </c>
      <c r="W3762" t="str">
        <f>HYPERLINK("Gene4232-zp_tree_all.dnd", "Gene4232-tree")</f>
        <v>Gene4232-tree</v>
      </c>
      <c r="X3762">
        <v>1</v>
      </c>
      <c r="Y3762">
        <v>4</v>
      </c>
      <c r="Z3762">
        <v>1</v>
      </c>
      <c r="AA3762">
        <v>4</v>
      </c>
      <c r="AB3762">
        <v>0.8</v>
      </c>
      <c r="AC3762" t="s">
        <v>175</v>
      </c>
      <c r="AD3762" t="s">
        <v>61</v>
      </c>
      <c r="AE3762" t="s">
        <v>62</v>
      </c>
      <c r="AF3762" t="s">
        <v>62</v>
      </c>
      <c r="AG3762">
        <v>1</v>
      </c>
      <c r="AH3762">
        <v>2</v>
      </c>
      <c r="AI3762">
        <v>15</v>
      </c>
      <c r="AJ3762">
        <v>0.11765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16</v>
      </c>
      <c r="AT3762">
        <v>0</v>
      </c>
      <c r="AU3762">
        <v>5</v>
      </c>
      <c r="AV3762">
        <v>2</v>
      </c>
      <c r="AW3762">
        <v>28</v>
      </c>
      <c r="AX3762">
        <v>16</v>
      </c>
      <c r="AY3762">
        <v>7</v>
      </c>
      <c r="AZ3762">
        <v>1</v>
      </c>
      <c r="BA3762" t="s">
        <v>24854</v>
      </c>
      <c r="BB3762" t="s">
        <v>24855</v>
      </c>
      <c r="BC3762">
        <v>0.47099999999999997</v>
      </c>
      <c r="BD3762" t="s">
        <v>65</v>
      </c>
      <c r="BE3762">
        <v>35</v>
      </c>
      <c r="BF3762">
        <v>17</v>
      </c>
      <c r="BG3762" t="s">
        <v>24856</v>
      </c>
      <c r="BH3762" t="s">
        <v>24857</v>
      </c>
      <c r="BI3762" t="s">
        <v>24858</v>
      </c>
      <c r="BJ3762">
        <v>0.13417999999999999</v>
      </c>
      <c r="BK3762">
        <v>1</v>
      </c>
      <c r="BL3762" t="s">
        <v>69</v>
      </c>
      <c r="BM3762">
        <v>-2.1829999999999998</v>
      </c>
      <c r="BN3762">
        <v>-2.8239999999999998</v>
      </c>
    </row>
    <row r="3763" spans="10:66">
      <c r="J3763">
        <v>0</v>
      </c>
      <c r="K3763">
        <v>35</v>
      </c>
      <c r="L3763">
        <v>3</v>
      </c>
      <c r="M3763" t="s">
        <v>25021</v>
      </c>
      <c r="N3763">
        <v>4233</v>
      </c>
      <c r="O3763" t="s">
        <v>24859</v>
      </c>
      <c r="P3763" t="s">
        <v>57</v>
      </c>
      <c r="Q3763">
        <v>4191198</v>
      </c>
      <c r="R3763">
        <v>4193264</v>
      </c>
      <c r="S3763" t="s">
        <v>288</v>
      </c>
      <c r="T3763">
        <v>689</v>
      </c>
      <c r="U3763" t="s">
        <v>2513</v>
      </c>
      <c r="V3763">
        <v>43</v>
      </c>
      <c r="W3763" t="str">
        <f>HYPERLINK("Gene4233-zp_tree_all.dnd", "Gene4233-tree")</f>
        <v>Gene4233-tree</v>
      </c>
      <c r="X3763">
        <v>0</v>
      </c>
      <c r="Y3763">
        <v>16</v>
      </c>
      <c r="Z3763">
        <v>0</v>
      </c>
      <c r="AA3763">
        <v>16</v>
      </c>
      <c r="AB3763">
        <v>1</v>
      </c>
      <c r="AC3763" t="s">
        <v>62</v>
      </c>
      <c r="AD3763" t="s">
        <v>60</v>
      </c>
      <c r="AE3763" t="s">
        <v>62</v>
      </c>
      <c r="AF3763" t="s">
        <v>62</v>
      </c>
      <c r="AG3763">
        <v>13</v>
      </c>
      <c r="AH3763">
        <v>38</v>
      </c>
      <c r="AI3763">
        <v>43</v>
      </c>
      <c r="AJ3763">
        <v>0.46914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10</v>
      </c>
      <c r="AQ3763">
        <v>3</v>
      </c>
      <c r="AR3763">
        <v>13</v>
      </c>
      <c r="AS3763">
        <v>42</v>
      </c>
      <c r="AT3763">
        <v>0.23635999999999999</v>
      </c>
      <c r="AU3763">
        <v>13</v>
      </c>
      <c r="AV3763">
        <v>13</v>
      </c>
      <c r="AW3763">
        <v>155</v>
      </c>
      <c r="AX3763">
        <v>48</v>
      </c>
      <c r="AY3763">
        <v>142</v>
      </c>
      <c r="AZ3763">
        <v>47</v>
      </c>
      <c r="BA3763" t="s">
        <v>24860</v>
      </c>
      <c r="BB3763" t="s">
        <v>24861</v>
      </c>
      <c r="BC3763">
        <v>0.13900000000000001</v>
      </c>
      <c r="BD3763" t="s">
        <v>65</v>
      </c>
      <c r="BE3763">
        <v>297</v>
      </c>
      <c r="BF3763">
        <v>95</v>
      </c>
      <c r="BG3763" t="s">
        <v>24862</v>
      </c>
      <c r="BH3763" t="s">
        <v>24863</v>
      </c>
      <c r="BI3763" t="s">
        <v>24864</v>
      </c>
      <c r="BJ3763">
        <v>9.3560000000000004E-2</v>
      </c>
      <c r="BK3763">
        <v>1</v>
      </c>
      <c r="BL3763" t="s">
        <v>69</v>
      </c>
      <c r="BM3763">
        <v>0.50900000000000001</v>
      </c>
      <c r="BN3763">
        <v>-8.7999999999999995E-2</v>
      </c>
    </row>
    <row r="3764" spans="10:66">
      <c r="J3764">
        <v>0</v>
      </c>
      <c r="K3764">
        <v>4</v>
      </c>
      <c r="L3764">
        <v>0</v>
      </c>
      <c r="M3764" t="s">
        <v>25021</v>
      </c>
      <c r="N3764">
        <v>4235</v>
      </c>
      <c r="O3764" t="s">
        <v>24872</v>
      </c>
      <c r="P3764" t="s">
        <v>57</v>
      </c>
      <c r="Q3764">
        <v>4194389</v>
      </c>
      <c r="R3764">
        <v>4195741</v>
      </c>
      <c r="S3764" t="s">
        <v>2569</v>
      </c>
      <c r="T3764">
        <v>451</v>
      </c>
      <c r="U3764" t="s">
        <v>108</v>
      </c>
      <c r="V3764">
        <v>44</v>
      </c>
      <c r="W3764" t="str">
        <f>HYPERLINK("Gene4235-zp_tree_all.dnd", "Gene4235-tree")</f>
        <v>Gene4235-tree</v>
      </c>
      <c r="X3764">
        <v>23</v>
      </c>
      <c r="Y3764">
        <v>8</v>
      </c>
      <c r="Z3764">
        <v>8</v>
      </c>
      <c r="AA3764">
        <v>8</v>
      </c>
      <c r="AB3764">
        <v>0.5</v>
      </c>
      <c r="AC3764" t="s">
        <v>24873</v>
      </c>
      <c r="AD3764" t="s">
        <v>136</v>
      </c>
      <c r="AE3764" t="s">
        <v>62</v>
      </c>
      <c r="AF3764" t="s">
        <v>62</v>
      </c>
      <c r="AG3764">
        <v>1</v>
      </c>
      <c r="AH3764">
        <v>4</v>
      </c>
      <c r="AI3764">
        <v>22</v>
      </c>
      <c r="AJ3764">
        <v>0.15384999999999999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2</v>
      </c>
      <c r="AR3764">
        <v>2</v>
      </c>
      <c r="AS3764">
        <v>18</v>
      </c>
      <c r="AT3764">
        <v>0.1</v>
      </c>
      <c r="AU3764">
        <v>15</v>
      </c>
      <c r="AV3764">
        <v>13</v>
      </c>
      <c r="AW3764">
        <v>90</v>
      </c>
      <c r="AX3764">
        <v>21</v>
      </c>
      <c r="AY3764">
        <v>35</v>
      </c>
      <c r="AZ3764">
        <v>6</v>
      </c>
      <c r="BA3764" t="s">
        <v>24874</v>
      </c>
      <c r="BB3764" t="s">
        <v>24875</v>
      </c>
      <c r="BC3764">
        <v>0.17100000000000001</v>
      </c>
      <c r="BD3764" t="s">
        <v>65</v>
      </c>
      <c r="BE3764">
        <v>125</v>
      </c>
      <c r="BF3764">
        <v>27</v>
      </c>
      <c r="BG3764" t="s">
        <v>24876</v>
      </c>
      <c r="BH3764" t="s">
        <v>24877</v>
      </c>
      <c r="BI3764" t="s">
        <v>24878</v>
      </c>
      <c r="BJ3764">
        <v>6.6949999999999996E-2</v>
      </c>
      <c r="BK3764">
        <v>1</v>
      </c>
      <c r="BL3764" t="s">
        <v>69</v>
      </c>
      <c r="BM3764">
        <v>-0.64500000000000002</v>
      </c>
      <c r="BN3764">
        <v>-0.68799999999999994</v>
      </c>
    </row>
    <row r="3765" spans="10:66">
      <c r="J3765">
        <v>0</v>
      </c>
      <c r="K3765">
        <v>0</v>
      </c>
      <c r="L3765">
        <v>0</v>
      </c>
      <c r="M3765" t="s">
        <v>25021</v>
      </c>
      <c r="N3765">
        <v>4247</v>
      </c>
      <c r="O3765" t="s">
        <v>24944</v>
      </c>
      <c r="P3765" t="s">
        <v>57</v>
      </c>
      <c r="Q3765">
        <v>4204900</v>
      </c>
      <c r="R3765">
        <v>4205514</v>
      </c>
      <c r="S3765" t="s">
        <v>24945</v>
      </c>
      <c r="T3765">
        <v>205</v>
      </c>
      <c r="U3765" t="s">
        <v>108</v>
      </c>
      <c r="V3765">
        <v>44</v>
      </c>
      <c r="W3765" t="str">
        <f>HYPERLINK("Gene4247-zp_tree_all.dnd", "Gene4247-tree")</f>
        <v>Gene4247-tree</v>
      </c>
      <c r="X3765">
        <v>12</v>
      </c>
      <c r="Y3765">
        <v>2</v>
      </c>
      <c r="Z3765">
        <v>12</v>
      </c>
      <c r="AA3765">
        <v>2</v>
      </c>
      <c r="AB3765">
        <v>0.14285999999999999</v>
      </c>
      <c r="AC3765" t="s">
        <v>109</v>
      </c>
      <c r="AD3765" t="s">
        <v>81</v>
      </c>
      <c r="AE3765" t="s">
        <v>62</v>
      </c>
      <c r="AF3765" t="s">
        <v>62</v>
      </c>
      <c r="AG3765">
        <v>0</v>
      </c>
      <c r="AH3765">
        <v>0</v>
      </c>
      <c r="AI3765">
        <v>3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2</v>
      </c>
      <c r="AT3765">
        <v>0</v>
      </c>
      <c r="AU3765">
        <v>11</v>
      </c>
      <c r="AV3765">
        <v>7</v>
      </c>
      <c r="AW3765">
        <v>27</v>
      </c>
      <c r="AX3765">
        <v>2</v>
      </c>
      <c r="AY3765">
        <v>19</v>
      </c>
      <c r="AZ3765">
        <v>1</v>
      </c>
      <c r="BA3765" t="s">
        <v>24946</v>
      </c>
      <c r="BB3765" t="s">
        <v>24947</v>
      </c>
      <c r="BC3765">
        <v>0.123</v>
      </c>
      <c r="BD3765" t="s">
        <v>65</v>
      </c>
      <c r="BE3765">
        <v>46</v>
      </c>
      <c r="BF3765">
        <v>3</v>
      </c>
      <c r="BG3765" t="s">
        <v>24948</v>
      </c>
      <c r="BH3765" t="s">
        <v>24949</v>
      </c>
      <c r="BI3765" t="s">
        <v>24950</v>
      </c>
      <c r="BJ3765">
        <v>2.333E-2</v>
      </c>
      <c r="BK3765">
        <v>1</v>
      </c>
      <c r="BL3765" t="s">
        <v>69</v>
      </c>
      <c r="BM3765">
        <v>-0.32800000000000001</v>
      </c>
      <c r="BN3765">
        <v>-0.92100000000000004</v>
      </c>
    </row>
    <row r="3766" spans="10:66">
      <c r="J3766">
        <v>0</v>
      </c>
      <c r="K3766">
        <v>5</v>
      </c>
      <c r="L3766">
        <v>0</v>
      </c>
      <c r="M3766" t="s">
        <v>25021</v>
      </c>
      <c r="N3766">
        <v>4250</v>
      </c>
      <c r="O3766" t="s">
        <v>24962</v>
      </c>
      <c r="P3766" t="s">
        <v>57</v>
      </c>
      <c r="Q3766">
        <v>4207406</v>
      </c>
      <c r="R3766">
        <v>4207843</v>
      </c>
      <c r="S3766" t="s">
        <v>24963</v>
      </c>
      <c r="T3766">
        <v>146</v>
      </c>
      <c r="U3766" t="s">
        <v>108</v>
      </c>
      <c r="V3766">
        <v>44</v>
      </c>
      <c r="W3766" t="str">
        <f>HYPERLINK("Gene4250-zp_tree_all.dnd", "Gene4250-tree")</f>
        <v>Gene4250-tree</v>
      </c>
      <c r="X3766">
        <v>6</v>
      </c>
      <c r="Y3766">
        <v>7</v>
      </c>
      <c r="Z3766">
        <v>6</v>
      </c>
      <c r="AA3766">
        <v>7</v>
      </c>
      <c r="AB3766">
        <v>0.53846000000000005</v>
      </c>
      <c r="AC3766" t="s">
        <v>90</v>
      </c>
      <c r="AD3766" t="s">
        <v>152</v>
      </c>
      <c r="AE3766" t="s">
        <v>62</v>
      </c>
      <c r="AF3766" t="s">
        <v>62</v>
      </c>
      <c r="AG3766">
        <v>2</v>
      </c>
      <c r="AH3766">
        <v>5</v>
      </c>
      <c r="AI3766">
        <v>8</v>
      </c>
      <c r="AJ3766">
        <v>0.38462000000000002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2</v>
      </c>
      <c r="AQ3766">
        <v>0</v>
      </c>
      <c r="AR3766">
        <v>2</v>
      </c>
      <c r="AS3766">
        <v>9</v>
      </c>
      <c r="AT3766">
        <v>0.18182000000000001</v>
      </c>
      <c r="AU3766">
        <v>11</v>
      </c>
      <c r="AV3766">
        <v>7</v>
      </c>
      <c r="AW3766">
        <v>13</v>
      </c>
      <c r="AX3766">
        <v>11</v>
      </c>
      <c r="AY3766">
        <v>13</v>
      </c>
      <c r="AZ3766">
        <v>2</v>
      </c>
      <c r="BA3766" t="s">
        <v>24964</v>
      </c>
      <c r="BB3766" t="s">
        <v>24965</v>
      </c>
      <c r="BC3766">
        <v>0.96299999999999997</v>
      </c>
      <c r="BD3766" t="s">
        <v>65</v>
      </c>
      <c r="BE3766">
        <v>26</v>
      </c>
      <c r="BF3766">
        <v>13</v>
      </c>
      <c r="BG3766" t="s">
        <v>24966</v>
      </c>
      <c r="BH3766" t="s">
        <v>24967</v>
      </c>
      <c r="BI3766" t="s">
        <v>24968</v>
      </c>
      <c r="BJ3766">
        <v>0.10289</v>
      </c>
      <c r="BK3766">
        <v>1</v>
      </c>
      <c r="BL3766" t="s">
        <v>69</v>
      </c>
      <c r="BM3766">
        <v>-0.92</v>
      </c>
      <c r="BN3766">
        <v>-1.1000000000000001</v>
      </c>
    </row>
  </sheetData>
  <sortState xmlns:xlrd2="http://schemas.microsoft.com/office/spreadsheetml/2017/richdata2" ref="L3:BN3766">
    <sortCondition ref="M3:M376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2749"/>
  <sheetViews>
    <sheetView tabSelected="1" topLeftCell="U1" zoomScale="120" zoomScaleNormal="120" workbookViewId="0">
      <selection activeCell="E13" sqref="E13"/>
    </sheetView>
  </sheetViews>
  <sheetFormatPr baseColWidth="10" defaultColWidth="8.83203125" defaultRowHeight="15"/>
  <cols>
    <col min="1" max="1" width="9.83203125" bestFit="1" customWidth="1"/>
    <col min="3" max="3" width="10.83203125" bestFit="1" customWidth="1"/>
    <col min="4" max="4" width="10" bestFit="1" customWidth="1"/>
    <col min="6" max="6" width="13.33203125" customWidth="1"/>
    <col min="10" max="10" width="23" customWidth="1"/>
    <col min="11" max="11" width="15.6640625" bestFit="1" customWidth="1"/>
    <col min="12" max="12" width="27.5" customWidth="1"/>
    <col min="13" max="13" width="7.5" bestFit="1" customWidth="1"/>
    <col min="14" max="14" width="19.83203125" customWidth="1"/>
    <col min="15" max="15" width="10.1640625" bestFit="1" customWidth="1"/>
    <col min="16" max="16" width="10.33203125" bestFit="1" customWidth="1"/>
    <col min="17" max="17" width="9.5" bestFit="1" customWidth="1"/>
    <col min="18" max="18" width="9.6640625" bestFit="1" customWidth="1"/>
    <col min="19" max="19" width="10.1640625" bestFit="1" customWidth="1"/>
    <col min="20" max="21" width="15.5" bestFit="1" customWidth="1"/>
    <col min="22" max="22" width="12.1640625" bestFit="1" customWidth="1"/>
    <col min="23" max="23" width="21.83203125" bestFit="1" customWidth="1"/>
    <col min="24" max="24" width="28" bestFit="1" customWidth="1"/>
    <col min="25" max="25" width="12.5" customWidth="1"/>
    <col min="26" max="26" width="10.83203125" bestFit="1" customWidth="1"/>
    <col min="27" max="27" width="11.1640625" customWidth="1"/>
    <col min="28" max="28" width="8.33203125" bestFit="1" customWidth="1"/>
    <col min="29" max="29" width="10.33203125" customWidth="1"/>
    <col min="30" max="30" width="11.5" customWidth="1"/>
    <col min="31" max="31" width="10.1640625" bestFit="1" customWidth="1"/>
    <col min="32" max="32" width="9.1640625" bestFit="1" customWidth="1"/>
    <col min="33" max="33" width="8.5" bestFit="1" customWidth="1"/>
    <col min="34" max="34" width="9.5" bestFit="1" customWidth="1"/>
    <col min="35" max="35" width="7.1640625" bestFit="1" customWidth="1"/>
    <col min="36" max="36" width="10.33203125" bestFit="1" customWidth="1"/>
    <col min="37" max="37" width="9.33203125" bestFit="1" customWidth="1"/>
    <col min="39" max="39" width="6.1640625" bestFit="1" customWidth="1"/>
    <col min="40" max="40" width="7.33203125" bestFit="1" customWidth="1"/>
    <col min="41" max="41" width="10.33203125" bestFit="1" customWidth="1"/>
    <col min="42" max="42" width="8.5" bestFit="1" customWidth="1"/>
    <col min="43" max="43" width="11.5" bestFit="1" customWidth="1"/>
    <col min="44" max="45" width="15.5" bestFit="1" customWidth="1"/>
    <col min="46" max="46" width="12.83203125" bestFit="1" customWidth="1"/>
    <col min="47" max="47" width="22" bestFit="1" customWidth="1"/>
    <col min="49" max="49" width="7.6640625" bestFit="1" customWidth="1"/>
    <col min="50" max="50" width="15.5" bestFit="1" customWidth="1"/>
    <col min="51" max="51" width="8.1640625" bestFit="1" customWidth="1"/>
    <col min="52" max="52" width="8.6640625" bestFit="1" customWidth="1"/>
    <col min="53" max="53" width="8.1640625" bestFit="1" customWidth="1"/>
    <col min="54" max="54" width="8.6640625" bestFit="1" customWidth="1"/>
    <col min="55" max="55" width="8.1640625" bestFit="1" customWidth="1"/>
    <col min="56" max="56" width="10" bestFit="1" customWidth="1"/>
    <col min="57" max="57" width="18" bestFit="1" customWidth="1"/>
    <col min="58" max="58" width="7.6640625" bestFit="1" customWidth="1"/>
    <col min="59" max="59" width="8.6640625" bestFit="1" customWidth="1"/>
  </cols>
  <sheetData>
    <row r="1" spans="1:59">
      <c r="A1">
        <f>SUM(A3:A2749)</f>
        <v>172</v>
      </c>
      <c r="B1">
        <f>SUM(B3:B2749)</f>
        <v>14126</v>
      </c>
      <c r="C1">
        <f>SUM(C3:C2749)</f>
        <v>2439</v>
      </c>
      <c r="F1" t="s">
        <v>0</v>
      </c>
      <c r="N1" t="s">
        <v>1</v>
      </c>
      <c r="X1" t="s">
        <v>2</v>
      </c>
      <c r="Y1">
        <f>COUNTIF(Y932:Y2749,"&gt;0")</f>
        <v>1392</v>
      </c>
      <c r="AL1" t="s">
        <v>3</v>
      </c>
      <c r="AV1" t="s">
        <v>4</v>
      </c>
    </row>
    <row r="2" spans="1:59">
      <c r="A2" t="s">
        <v>25025</v>
      </c>
      <c r="B2" t="s">
        <v>25026</v>
      </c>
      <c r="C2" t="s">
        <v>25027</v>
      </c>
      <c r="D2" t="s">
        <v>25018</v>
      </c>
      <c r="E2" t="s">
        <v>5</v>
      </c>
      <c r="F2" t="s">
        <v>6</v>
      </c>
      <c r="G2" t="s">
        <v>7</v>
      </c>
      <c r="H2" t="s">
        <v>25019</v>
      </c>
      <c r="I2" t="s">
        <v>25020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BA2" t="s">
        <v>50</v>
      </c>
      <c r="BC2" t="s">
        <v>51</v>
      </c>
      <c r="BD2" t="s">
        <v>52</v>
      </c>
      <c r="BE2" t="s">
        <v>53</v>
      </c>
      <c r="BF2" t="s">
        <v>54</v>
      </c>
      <c r="BG2" t="s">
        <v>55</v>
      </c>
    </row>
    <row r="3" spans="1:59">
      <c r="A3">
        <v>0</v>
      </c>
      <c r="B3">
        <v>0</v>
      </c>
      <c r="C3">
        <v>0</v>
      </c>
      <c r="D3" t="s">
        <v>25022</v>
      </c>
      <c r="E3">
        <v>2296</v>
      </c>
      <c r="F3" t="s">
        <v>13300</v>
      </c>
      <c r="G3" t="s">
        <v>62</v>
      </c>
      <c r="H3">
        <v>2316289</v>
      </c>
      <c r="I3">
        <v>2316375</v>
      </c>
      <c r="J3" t="s">
        <v>3129</v>
      </c>
      <c r="K3">
        <v>29</v>
      </c>
      <c r="L3" t="s">
        <v>59</v>
      </c>
      <c r="M3">
        <v>49</v>
      </c>
      <c r="N3" t="str">
        <f>HYPERLINK("Gene2296-zp_tree_all.dnd", "Gene2296-tree")</f>
        <v>Gene2296-tree</v>
      </c>
      <c r="O3">
        <v>4</v>
      </c>
      <c r="P3">
        <v>1</v>
      </c>
      <c r="Q3">
        <v>4</v>
      </c>
      <c r="R3">
        <v>1</v>
      </c>
      <c r="S3">
        <v>0.2</v>
      </c>
      <c r="T3" t="s">
        <v>61</v>
      </c>
      <c r="U3" t="s">
        <v>175</v>
      </c>
      <c r="V3" t="s">
        <v>62</v>
      </c>
      <c r="W3" t="s">
        <v>62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3</v>
      </c>
      <c r="AM3">
        <v>1</v>
      </c>
      <c r="AN3">
        <v>2</v>
      </c>
      <c r="AO3">
        <v>1</v>
      </c>
      <c r="AP3">
        <v>1</v>
      </c>
      <c r="AQ3">
        <v>0</v>
      </c>
      <c r="AR3" t="s">
        <v>13301</v>
      </c>
      <c r="AS3" t="s">
        <v>193</v>
      </c>
      <c r="AT3">
        <v>0.69299999999999995</v>
      </c>
      <c r="AU3" t="s">
        <v>65</v>
      </c>
      <c r="AV3">
        <v>3</v>
      </c>
      <c r="AW3">
        <v>1</v>
      </c>
      <c r="AX3" t="s">
        <v>13302</v>
      </c>
      <c r="AY3">
        <v>7.1239999999999998E-2</v>
      </c>
      <c r="AZ3">
        <v>-1.3440000000000001E-2</v>
      </c>
      <c r="BA3">
        <v>6.1199999999999996E-3</v>
      </c>
      <c r="BB3">
        <v>-2.1199999999999999E-3</v>
      </c>
      <c r="BC3">
        <v>8.5849999999999996E-2</v>
      </c>
      <c r="BD3">
        <v>0.98399999999999999</v>
      </c>
      <c r="BE3" t="s">
        <v>69</v>
      </c>
      <c r="BF3">
        <v>-1.1990000000000001</v>
      </c>
      <c r="BG3">
        <v>-9.2999999999999999E-2</v>
      </c>
    </row>
    <row r="4" spans="1:59">
      <c r="A4">
        <v>0</v>
      </c>
      <c r="B4">
        <v>2</v>
      </c>
      <c r="C4">
        <v>0</v>
      </c>
      <c r="D4" t="s">
        <v>25022</v>
      </c>
      <c r="E4">
        <v>2805</v>
      </c>
      <c r="F4" t="s">
        <v>16086</v>
      </c>
      <c r="G4" t="s">
        <v>62</v>
      </c>
      <c r="H4">
        <v>2751926</v>
      </c>
      <c r="I4">
        <v>2752024</v>
      </c>
      <c r="J4" t="s">
        <v>16087</v>
      </c>
      <c r="K4">
        <v>33</v>
      </c>
      <c r="L4" t="s">
        <v>16088</v>
      </c>
      <c r="M4">
        <v>40</v>
      </c>
      <c r="N4" t="str">
        <f>HYPERLINK("Gene2805-zp_tree_all.dnd", "Gene2805-tree")</f>
        <v>Gene2805-tree</v>
      </c>
      <c r="O4">
        <v>1</v>
      </c>
      <c r="P4">
        <v>5</v>
      </c>
      <c r="Q4">
        <v>1</v>
      </c>
      <c r="R4">
        <v>5</v>
      </c>
      <c r="S4">
        <v>0.83333000000000002</v>
      </c>
      <c r="T4" t="s">
        <v>175</v>
      </c>
      <c r="U4" t="s">
        <v>199</v>
      </c>
      <c r="V4" t="s">
        <v>62</v>
      </c>
      <c r="W4" t="s">
        <v>62</v>
      </c>
      <c r="X4">
        <v>1</v>
      </c>
      <c r="Y4">
        <v>2</v>
      </c>
      <c r="Z4">
        <v>5</v>
      </c>
      <c r="AA4">
        <v>0.28571000000000002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5</v>
      </c>
      <c r="AK4">
        <v>0</v>
      </c>
      <c r="AL4">
        <v>4</v>
      </c>
      <c r="AM4">
        <v>2</v>
      </c>
      <c r="AN4">
        <v>1</v>
      </c>
      <c r="AO4">
        <v>4</v>
      </c>
      <c r="AP4">
        <v>2</v>
      </c>
      <c r="AQ4">
        <v>3</v>
      </c>
      <c r="AR4" t="s">
        <v>16089</v>
      </c>
      <c r="AS4" t="s">
        <v>16090</v>
      </c>
      <c r="AT4">
        <v>0.35599999999999998</v>
      </c>
      <c r="AU4" t="s">
        <v>65</v>
      </c>
      <c r="AV4">
        <v>3</v>
      </c>
      <c r="AW4">
        <v>7</v>
      </c>
      <c r="AX4" t="s">
        <v>16091</v>
      </c>
      <c r="AY4">
        <v>6.7070000000000005E-2</v>
      </c>
      <c r="AZ4">
        <v>-1.129E-2</v>
      </c>
      <c r="BA4">
        <v>3.5950000000000003E-2</v>
      </c>
      <c r="BB4">
        <v>-3.81E-3</v>
      </c>
      <c r="BC4">
        <v>0.53595999999999999</v>
      </c>
      <c r="BD4">
        <v>0.68799999999999994</v>
      </c>
      <c r="BE4" t="s">
        <v>635</v>
      </c>
      <c r="BF4">
        <v>-0.17199999999999999</v>
      </c>
      <c r="BG4">
        <v>0.107</v>
      </c>
    </row>
    <row r="5" spans="1:59">
      <c r="A5">
        <v>0</v>
      </c>
      <c r="B5">
        <v>0</v>
      </c>
      <c r="C5">
        <v>0</v>
      </c>
      <c r="D5" t="s">
        <v>25022</v>
      </c>
      <c r="E5">
        <v>997</v>
      </c>
      <c r="F5" t="s">
        <v>6254</v>
      </c>
      <c r="G5" t="s">
        <v>57</v>
      </c>
      <c r="H5">
        <v>1038653</v>
      </c>
      <c r="I5">
        <v>1038757</v>
      </c>
      <c r="J5" t="s">
        <v>288</v>
      </c>
      <c r="K5">
        <v>35</v>
      </c>
      <c r="L5" t="s">
        <v>59</v>
      </c>
      <c r="M5">
        <v>49</v>
      </c>
      <c r="N5" t="str">
        <f>HYPERLINK("Gene997-zp_tree_all.dnd", "Gene997-tree")</f>
        <v>Gene997-tree</v>
      </c>
      <c r="O5">
        <v>3</v>
      </c>
      <c r="P5">
        <v>2</v>
      </c>
      <c r="Q5">
        <v>3</v>
      </c>
      <c r="R5">
        <v>2</v>
      </c>
      <c r="S5">
        <v>0.4</v>
      </c>
      <c r="T5" t="s">
        <v>324</v>
      </c>
      <c r="U5" t="s">
        <v>81</v>
      </c>
      <c r="V5" t="s">
        <v>62</v>
      </c>
      <c r="W5" t="s">
        <v>62</v>
      </c>
      <c r="X5">
        <v>0</v>
      </c>
      <c r="Y5">
        <v>0</v>
      </c>
      <c r="Z5">
        <v>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</v>
      </c>
      <c r="AK5">
        <v>0</v>
      </c>
      <c r="AL5">
        <v>3</v>
      </c>
      <c r="AM5">
        <v>1</v>
      </c>
      <c r="AN5">
        <v>2</v>
      </c>
      <c r="AO5">
        <v>1</v>
      </c>
      <c r="AP5">
        <v>0</v>
      </c>
      <c r="AQ5">
        <v>1</v>
      </c>
      <c r="AR5" t="s">
        <v>6255</v>
      </c>
      <c r="AS5" t="s">
        <v>193</v>
      </c>
      <c r="AT5">
        <v>0.69299999999999995</v>
      </c>
      <c r="AU5" t="s">
        <v>65</v>
      </c>
      <c r="AV5">
        <v>2</v>
      </c>
      <c r="AW5">
        <v>2</v>
      </c>
      <c r="AX5" t="s">
        <v>6256</v>
      </c>
      <c r="AY5">
        <v>3.9570000000000001E-2</v>
      </c>
      <c r="AZ5">
        <v>-8.6599999999999993E-3</v>
      </c>
      <c r="BA5">
        <v>1.2070000000000001E-2</v>
      </c>
      <c r="BB5">
        <v>-2.97E-3</v>
      </c>
      <c r="BC5">
        <v>0.30497000000000002</v>
      </c>
      <c r="BD5">
        <v>0.68799999999999994</v>
      </c>
      <c r="BE5" t="s">
        <v>635</v>
      </c>
      <c r="BF5">
        <v>-1.3109999999999999</v>
      </c>
      <c r="BG5">
        <v>-1.1919999999999999</v>
      </c>
    </row>
    <row r="6" spans="1:59">
      <c r="A6">
        <v>0</v>
      </c>
      <c r="B6">
        <v>0</v>
      </c>
      <c r="C6">
        <v>0</v>
      </c>
      <c r="D6" t="s">
        <v>25022</v>
      </c>
      <c r="E6">
        <v>3776</v>
      </c>
      <c r="F6" t="s">
        <v>22126</v>
      </c>
      <c r="G6" t="s">
        <v>62</v>
      </c>
      <c r="H6">
        <v>3748720</v>
      </c>
      <c r="I6">
        <v>3748827</v>
      </c>
      <c r="J6" t="s">
        <v>22127</v>
      </c>
      <c r="K6">
        <v>36</v>
      </c>
      <c r="L6" t="s">
        <v>59</v>
      </c>
      <c r="M6">
        <v>49</v>
      </c>
      <c r="N6" t="str">
        <f>HYPERLINK("Gene3776-zp_tree_all.dnd", "Gene3776-tree")</f>
        <v>Gene3776-tree</v>
      </c>
      <c r="O6">
        <v>45</v>
      </c>
      <c r="P6">
        <v>2</v>
      </c>
      <c r="Q6">
        <v>2</v>
      </c>
      <c r="R6">
        <v>2</v>
      </c>
      <c r="S6">
        <v>0.5</v>
      </c>
      <c r="T6" t="s">
        <v>22128</v>
      </c>
      <c r="U6" t="s">
        <v>81</v>
      </c>
      <c r="V6" t="s">
        <v>62</v>
      </c>
      <c r="W6" t="s">
        <v>62</v>
      </c>
      <c r="X6">
        <v>0</v>
      </c>
      <c r="Y6">
        <v>0</v>
      </c>
      <c r="Z6">
        <v>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</v>
      </c>
      <c r="AK6">
        <v>0</v>
      </c>
      <c r="AL6">
        <v>3</v>
      </c>
      <c r="AM6">
        <v>0</v>
      </c>
      <c r="AN6">
        <v>1</v>
      </c>
      <c r="AO6">
        <v>2</v>
      </c>
      <c r="AP6">
        <v>0</v>
      </c>
      <c r="AQ6">
        <v>0</v>
      </c>
      <c r="AR6" t="s">
        <v>22129</v>
      </c>
      <c r="AS6" t="s">
        <v>193</v>
      </c>
      <c r="AT6">
        <v>0.69299999999999995</v>
      </c>
      <c r="AU6" t="s">
        <v>65</v>
      </c>
      <c r="AV6">
        <v>1</v>
      </c>
      <c r="AW6">
        <v>2</v>
      </c>
      <c r="AX6" t="s">
        <v>22130</v>
      </c>
      <c r="AY6">
        <v>2.3E-2</v>
      </c>
      <c r="AZ6">
        <v>-9.3900000000000008E-3</v>
      </c>
      <c r="BA6">
        <v>1.1809999999999999E-2</v>
      </c>
      <c r="BB6">
        <v>-2.8E-3</v>
      </c>
      <c r="BC6">
        <v>0.51348000000000005</v>
      </c>
      <c r="BD6">
        <v>0.48199999999999998</v>
      </c>
      <c r="BE6" t="s">
        <v>635</v>
      </c>
      <c r="BF6">
        <v>-1.0049999999999999</v>
      </c>
      <c r="BG6">
        <v>0.89400000000000002</v>
      </c>
    </row>
    <row r="7" spans="1:59">
      <c r="A7">
        <v>0</v>
      </c>
      <c r="B7">
        <v>0</v>
      </c>
      <c r="C7">
        <v>2</v>
      </c>
      <c r="D7" t="s">
        <v>25022</v>
      </c>
      <c r="E7">
        <v>3102</v>
      </c>
      <c r="F7" t="s">
        <v>17990</v>
      </c>
      <c r="G7" t="s">
        <v>62</v>
      </c>
      <c r="H7">
        <v>3054553</v>
      </c>
      <c r="I7">
        <v>3054666</v>
      </c>
      <c r="J7" t="s">
        <v>17991</v>
      </c>
      <c r="K7">
        <v>38</v>
      </c>
      <c r="L7" t="s">
        <v>59</v>
      </c>
      <c r="M7">
        <v>49</v>
      </c>
      <c r="N7" t="str">
        <f>HYPERLINK("Gene3102-zp_tree_all.dnd", "Gene3102-tree")</f>
        <v>Gene3102-tree</v>
      </c>
      <c r="O7">
        <v>41</v>
      </c>
      <c r="P7">
        <v>5</v>
      </c>
      <c r="Q7">
        <v>2</v>
      </c>
      <c r="R7">
        <v>5</v>
      </c>
      <c r="S7">
        <v>0.71428999999999998</v>
      </c>
      <c r="T7" t="s">
        <v>17992</v>
      </c>
      <c r="U7" t="s">
        <v>199</v>
      </c>
      <c r="V7" t="s">
        <v>62</v>
      </c>
      <c r="W7" t="s">
        <v>62</v>
      </c>
      <c r="X7">
        <v>1</v>
      </c>
      <c r="Y7">
        <v>2</v>
      </c>
      <c r="Z7">
        <v>4</v>
      </c>
      <c r="AA7">
        <v>0.33333000000000002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</v>
      </c>
      <c r="AI7">
        <v>2</v>
      </c>
      <c r="AJ7">
        <v>3</v>
      </c>
      <c r="AK7">
        <v>0.4</v>
      </c>
      <c r="AL7">
        <v>4</v>
      </c>
      <c r="AM7">
        <v>3</v>
      </c>
      <c r="AN7">
        <v>1</v>
      </c>
      <c r="AO7">
        <v>3</v>
      </c>
      <c r="AP7">
        <v>0</v>
      </c>
      <c r="AQ7">
        <v>3</v>
      </c>
      <c r="AR7" t="s">
        <v>17993</v>
      </c>
      <c r="AS7" t="s">
        <v>193</v>
      </c>
      <c r="AT7">
        <v>0.6</v>
      </c>
      <c r="AU7" t="s">
        <v>65</v>
      </c>
      <c r="AV7">
        <v>1</v>
      </c>
      <c r="AW7">
        <v>6</v>
      </c>
      <c r="AX7" t="s">
        <v>17994</v>
      </c>
      <c r="AY7">
        <v>2.104E-2</v>
      </c>
      <c r="AZ7">
        <v>-4.7000000000000002E-3</v>
      </c>
      <c r="BA7">
        <v>2.564E-2</v>
      </c>
      <c r="BB7">
        <v>-2.7399999999999998E-3</v>
      </c>
      <c r="BC7">
        <v>1.21875</v>
      </c>
      <c r="BD7">
        <v>0.377</v>
      </c>
      <c r="BE7" t="s">
        <v>635</v>
      </c>
      <c r="BF7">
        <v>-1.534</v>
      </c>
      <c r="BG7">
        <v>-0.308</v>
      </c>
    </row>
    <row r="8" spans="1:59">
      <c r="A8">
        <v>0</v>
      </c>
      <c r="B8">
        <v>0</v>
      </c>
      <c r="C8">
        <v>0</v>
      </c>
      <c r="D8" t="s">
        <v>25022</v>
      </c>
      <c r="E8">
        <v>1522</v>
      </c>
      <c r="F8" t="s">
        <v>9512</v>
      </c>
      <c r="G8" t="s">
        <v>57</v>
      </c>
      <c r="H8">
        <v>1534120</v>
      </c>
      <c r="I8">
        <v>1534236</v>
      </c>
      <c r="J8" t="s">
        <v>9513</v>
      </c>
      <c r="K8">
        <v>39</v>
      </c>
      <c r="L8" t="s">
        <v>59</v>
      </c>
      <c r="M8">
        <v>49</v>
      </c>
      <c r="N8" t="str">
        <f>HYPERLINK("Gene1522-zp_tree_all.dnd", "Gene1522-tree")</f>
        <v>Gene1522-tree</v>
      </c>
      <c r="O8">
        <v>3</v>
      </c>
      <c r="P8">
        <v>2</v>
      </c>
      <c r="Q8">
        <v>3</v>
      </c>
      <c r="R8">
        <v>2</v>
      </c>
      <c r="S8">
        <v>0.4</v>
      </c>
      <c r="T8" t="s">
        <v>324</v>
      </c>
      <c r="U8" t="s">
        <v>81</v>
      </c>
      <c r="V8" t="s">
        <v>62</v>
      </c>
      <c r="W8" t="s">
        <v>62</v>
      </c>
      <c r="X8">
        <v>0</v>
      </c>
      <c r="Y8">
        <v>0</v>
      </c>
      <c r="Z8">
        <v>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</v>
      </c>
      <c r="AK8">
        <v>0</v>
      </c>
      <c r="AL8">
        <v>3</v>
      </c>
      <c r="AM8">
        <v>1</v>
      </c>
      <c r="AN8">
        <v>4</v>
      </c>
      <c r="AO8">
        <v>2</v>
      </c>
      <c r="AP8">
        <v>2</v>
      </c>
      <c r="AQ8">
        <v>0</v>
      </c>
      <c r="AR8" t="s">
        <v>9514</v>
      </c>
      <c r="AS8" t="s">
        <v>193</v>
      </c>
      <c r="AT8">
        <v>1.732</v>
      </c>
      <c r="AU8" t="s">
        <v>65</v>
      </c>
      <c r="AV8">
        <v>6</v>
      </c>
      <c r="AW8">
        <v>2</v>
      </c>
      <c r="AX8" t="s">
        <v>9515</v>
      </c>
      <c r="AY8">
        <v>0.12454999999999999</v>
      </c>
      <c r="AZ8">
        <v>-2.0400000000000001E-2</v>
      </c>
      <c r="BA8">
        <v>8.6E-3</v>
      </c>
      <c r="BB8">
        <v>-2.0500000000000002E-3</v>
      </c>
      <c r="BC8">
        <v>6.9040000000000004E-2</v>
      </c>
      <c r="BD8">
        <v>1</v>
      </c>
      <c r="BE8" t="s">
        <v>69</v>
      </c>
      <c r="BF8">
        <v>-8.1000000000000003E-2</v>
      </c>
      <c r="BG8">
        <v>-0.308</v>
      </c>
    </row>
    <row r="9" spans="1:59">
      <c r="A9">
        <v>0</v>
      </c>
      <c r="B9">
        <v>0</v>
      </c>
      <c r="C9">
        <v>2</v>
      </c>
      <c r="D9" t="s">
        <v>25022</v>
      </c>
      <c r="E9">
        <v>2894</v>
      </c>
      <c r="F9" t="s">
        <v>16659</v>
      </c>
      <c r="G9" t="s">
        <v>62</v>
      </c>
      <c r="H9">
        <v>2840806</v>
      </c>
      <c r="I9">
        <v>2840925</v>
      </c>
      <c r="J9" t="s">
        <v>2302</v>
      </c>
      <c r="K9">
        <v>40</v>
      </c>
      <c r="L9" t="s">
        <v>409</v>
      </c>
      <c r="M9">
        <v>45</v>
      </c>
      <c r="N9" t="str">
        <f>HYPERLINK("Gene2894-zp_tree_all.dnd", "Gene2894-tree")</f>
        <v>Gene2894-tree</v>
      </c>
      <c r="O9">
        <v>4</v>
      </c>
      <c r="P9">
        <v>3</v>
      </c>
      <c r="Q9">
        <v>4</v>
      </c>
      <c r="R9">
        <v>3</v>
      </c>
      <c r="S9">
        <v>0.42857000000000001</v>
      </c>
      <c r="T9" t="s">
        <v>61</v>
      </c>
      <c r="U9" t="s">
        <v>324</v>
      </c>
      <c r="V9" t="s">
        <v>62</v>
      </c>
      <c r="W9" t="s">
        <v>62</v>
      </c>
      <c r="X9">
        <v>1</v>
      </c>
      <c r="Y9">
        <v>2</v>
      </c>
      <c r="Z9">
        <v>3</v>
      </c>
      <c r="AA9">
        <v>0.4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</v>
      </c>
      <c r="AI9">
        <v>2</v>
      </c>
      <c r="AJ9">
        <v>3</v>
      </c>
      <c r="AK9">
        <v>0.4</v>
      </c>
      <c r="AL9">
        <v>5</v>
      </c>
      <c r="AM9">
        <v>1</v>
      </c>
      <c r="AN9">
        <v>6</v>
      </c>
      <c r="AO9">
        <v>5</v>
      </c>
      <c r="AP9">
        <v>1</v>
      </c>
      <c r="AQ9">
        <v>0</v>
      </c>
      <c r="AR9" t="s">
        <v>16660</v>
      </c>
      <c r="AS9" t="s">
        <v>193</v>
      </c>
      <c r="AT9">
        <v>1.387</v>
      </c>
      <c r="AU9" t="s">
        <v>65</v>
      </c>
      <c r="AV9">
        <v>7</v>
      </c>
      <c r="AW9">
        <v>5</v>
      </c>
      <c r="AX9" t="s">
        <v>16661</v>
      </c>
      <c r="AY9">
        <v>8.3470000000000003E-2</v>
      </c>
      <c r="AZ9">
        <v>-1.0699999999999999E-2</v>
      </c>
      <c r="BA9">
        <v>1.533E-2</v>
      </c>
      <c r="BB9">
        <v>-3.0599999999999998E-3</v>
      </c>
      <c r="BC9">
        <v>0.1837</v>
      </c>
      <c r="BD9">
        <v>0.96899999999999997</v>
      </c>
      <c r="BE9" t="s">
        <v>69</v>
      </c>
      <c r="BF9">
        <v>-1.9390000000000001</v>
      </c>
      <c r="BG9">
        <v>-3.5990000000000002</v>
      </c>
    </row>
    <row r="10" spans="1:59">
      <c r="A10">
        <v>0</v>
      </c>
      <c r="B10">
        <v>0</v>
      </c>
      <c r="C10">
        <v>0</v>
      </c>
      <c r="D10" t="s">
        <v>25022</v>
      </c>
      <c r="E10">
        <v>382</v>
      </c>
      <c r="F10" t="s">
        <v>2596</v>
      </c>
      <c r="G10" t="s">
        <v>57</v>
      </c>
      <c r="H10">
        <v>429963</v>
      </c>
      <c r="I10">
        <v>430082</v>
      </c>
      <c r="J10" t="s">
        <v>2597</v>
      </c>
      <c r="K10">
        <v>40</v>
      </c>
      <c r="L10" t="s">
        <v>2598</v>
      </c>
      <c r="M10">
        <v>48</v>
      </c>
      <c r="N10" t="str">
        <f>HYPERLINK("Gene382-zp_tree_all.dnd", "Gene382-tree")</f>
        <v>Gene382-tree</v>
      </c>
      <c r="O10">
        <v>3</v>
      </c>
      <c r="P10">
        <v>1</v>
      </c>
      <c r="Q10">
        <v>3</v>
      </c>
      <c r="R10">
        <v>1</v>
      </c>
      <c r="S10">
        <v>0.25</v>
      </c>
      <c r="T10" t="s">
        <v>324</v>
      </c>
      <c r="U10" t="s">
        <v>175</v>
      </c>
      <c r="V10" t="s">
        <v>62</v>
      </c>
      <c r="W10" t="s">
        <v>62</v>
      </c>
      <c r="X10">
        <v>0</v>
      </c>
      <c r="Y10">
        <v>0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2</v>
      </c>
      <c r="AM10">
        <v>1</v>
      </c>
      <c r="AN10">
        <v>3</v>
      </c>
      <c r="AO10">
        <v>2</v>
      </c>
      <c r="AP10">
        <v>1</v>
      </c>
      <c r="AQ10">
        <v>0</v>
      </c>
      <c r="AR10" t="s">
        <v>2599</v>
      </c>
      <c r="AS10" t="s">
        <v>193</v>
      </c>
      <c r="AT10">
        <v>1.264</v>
      </c>
      <c r="AU10" t="s">
        <v>65</v>
      </c>
      <c r="AV10">
        <v>4</v>
      </c>
      <c r="AW10">
        <v>2</v>
      </c>
      <c r="AX10" t="s">
        <v>2600</v>
      </c>
      <c r="AY10">
        <v>8.2900000000000001E-2</v>
      </c>
      <c r="AZ10">
        <v>-1.763E-2</v>
      </c>
      <c r="BA10">
        <v>1.103E-2</v>
      </c>
      <c r="BB10">
        <v>-4.4999999999999997E-3</v>
      </c>
      <c r="BC10">
        <v>0.13305</v>
      </c>
      <c r="BD10">
        <v>0.96</v>
      </c>
      <c r="BE10" t="s">
        <v>69</v>
      </c>
      <c r="BF10">
        <v>-1.3580000000000001</v>
      </c>
      <c r="BG10">
        <v>1.1779999999999999</v>
      </c>
    </row>
    <row r="11" spans="1:59">
      <c r="A11">
        <v>0</v>
      </c>
      <c r="B11">
        <v>0</v>
      </c>
      <c r="C11">
        <v>0</v>
      </c>
      <c r="D11" t="s">
        <v>25022</v>
      </c>
      <c r="E11">
        <v>3754</v>
      </c>
      <c r="F11" t="s">
        <v>21997</v>
      </c>
      <c r="G11" t="s">
        <v>62</v>
      </c>
      <c r="H11">
        <v>3728339</v>
      </c>
      <c r="I11">
        <v>3728461</v>
      </c>
      <c r="J11" t="s">
        <v>21998</v>
      </c>
      <c r="K11">
        <v>41</v>
      </c>
      <c r="L11" t="s">
        <v>21999</v>
      </c>
      <c r="M11">
        <v>25</v>
      </c>
      <c r="N11" t="str">
        <f>HYPERLINK("Gene3754-zp_tree_all.dnd", "Gene3754-tree")</f>
        <v>Gene3754-tree</v>
      </c>
      <c r="O11">
        <v>2</v>
      </c>
      <c r="P11">
        <v>3</v>
      </c>
      <c r="Q11">
        <v>2</v>
      </c>
      <c r="R11">
        <v>3</v>
      </c>
      <c r="S11">
        <v>0.6</v>
      </c>
      <c r="T11" t="s">
        <v>81</v>
      </c>
      <c r="U11" t="s">
        <v>324</v>
      </c>
      <c r="V11" t="s">
        <v>62</v>
      </c>
      <c r="W11" t="s">
        <v>62</v>
      </c>
      <c r="X11">
        <v>0</v>
      </c>
      <c r="Y11">
        <v>0</v>
      </c>
      <c r="Z11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3</v>
      </c>
      <c r="AM11">
        <v>1</v>
      </c>
      <c r="AN11">
        <v>1</v>
      </c>
      <c r="AO11">
        <v>3</v>
      </c>
      <c r="AP11">
        <v>0</v>
      </c>
      <c r="AQ11">
        <v>1</v>
      </c>
      <c r="AR11" t="s">
        <v>22000</v>
      </c>
      <c r="AS11" t="s">
        <v>193</v>
      </c>
      <c r="AT11">
        <v>0.64900000000000002</v>
      </c>
      <c r="AU11" t="s">
        <v>65</v>
      </c>
      <c r="AV11">
        <v>1</v>
      </c>
      <c r="AW11">
        <v>4</v>
      </c>
      <c r="AX11" t="s">
        <v>22001</v>
      </c>
      <c r="AY11">
        <v>1.6310000000000002E-2</v>
      </c>
      <c r="AZ11">
        <v>-5.6499999999999996E-3</v>
      </c>
      <c r="BA11">
        <v>1.934E-2</v>
      </c>
      <c r="BB11">
        <v>-4.0099999999999997E-3</v>
      </c>
      <c r="BC11">
        <v>1.1858</v>
      </c>
      <c r="BD11">
        <v>0.33900000000000002</v>
      </c>
      <c r="BE11" t="s">
        <v>635</v>
      </c>
      <c r="BF11">
        <v>-0.80200000000000005</v>
      </c>
      <c r="BG11">
        <v>-0.52300000000000002</v>
      </c>
    </row>
    <row r="12" spans="1:59">
      <c r="A12">
        <v>0</v>
      </c>
      <c r="B12">
        <v>0</v>
      </c>
      <c r="C12">
        <v>2</v>
      </c>
      <c r="D12" t="s">
        <v>25022</v>
      </c>
      <c r="E12">
        <v>1407</v>
      </c>
      <c r="F12" t="s">
        <v>8807</v>
      </c>
      <c r="G12" t="s">
        <v>57</v>
      </c>
      <c r="H12">
        <v>1422013</v>
      </c>
      <c r="I12">
        <v>1422135</v>
      </c>
      <c r="J12" t="s">
        <v>8808</v>
      </c>
      <c r="K12">
        <v>41</v>
      </c>
      <c r="L12" t="s">
        <v>289</v>
      </c>
      <c r="M12">
        <v>46</v>
      </c>
      <c r="N12" t="str">
        <f>HYPERLINK("Gene1407-zp_tree_all.dnd", "Gene1407-tree")</f>
        <v>Gene1407-tree</v>
      </c>
      <c r="O12">
        <v>43</v>
      </c>
      <c r="P12">
        <v>3</v>
      </c>
      <c r="Q12">
        <v>3</v>
      </c>
      <c r="R12">
        <v>3</v>
      </c>
      <c r="S12">
        <v>0.5</v>
      </c>
      <c r="T12" t="s">
        <v>8809</v>
      </c>
      <c r="U12" t="s">
        <v>324</v>
      </c>
      <c r="V12" t="s">
        <v>62</v>
      </c>
      <c r="W12" t="s">
        <v>62</v>
      </c>
      <c r="X12">
        <v>1</v>
      </c>
      <c r="Y12">
        <v>2</v>
      </c>
      <c r="Z12">
        <v>4</v>
      </c>
      <c r="AA12">
        <v>0.33333000000000002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</v>
      </c>
      <c r="AI12">
        <v>2</v>
      </c>
      <c r="AJ12">
        <v>4</v>
      </c>
      <c r="AK12">
        <v>0.33333000000000002</v>
      </c>
      <c r="AL12">
        <v>4</v>
      </c>
      <c r="AM12">
        <v>1</v>
      </c>
      <c r="AN12">
        <v>2</v>
      </c>
      <c r="AO12">
        <v>2</v>
      </c>
      <c r="AP12">
        <v>2</v>
      </c>
      <c r="AQ12">
        <v>4</v>
      </c>
      <c r="AR12" t="s">
        <v>8810</v>
      </c>
      <c r="AS12" t="s">
        <v>8811</v>
      </c>
      <c r="AT12">
        <v>0.98499999999999999</v>
      </c>
      <c r="AU12" t="s">
        <v>65</v>
      </c>
      <c r="AV12">
        <v>4</v>
      </c>
      <c r="AW12">
        <v>6</v>
      </c>
      <c r="AX12" t="s">
        <v>8812</v>
      </c>
      <c r="AY12">
        <v>7.4029999999999999E-2</v>
      </c>
      <c r="AZ12">
        <v>-1.017E-2</v>
      </c>
      <c r="BA12">
        <v>2.657E-2</v>
      </c>
      <c r="BB12">
        <v>-5.1599999999999997E-3</v>
      </c>
      <c r="BC12">
        <v>0.35893999999999998</v>
      </c>
      <c r="BD12">
        <v>0.93500000000000005</v>
      </c>
      <c r="BE12" t="s">
        <v>635</v>
      </c>
      <c r="BF12">
        <v>-1.9530000000000001</v>
      </c>
      <c r="BG12">
        <v>-1.8819999999999999</v>
      </c>
    </row>
    <row r="13" spans="1:59">
      <c r="A13">
        <v>0</v>
      </c>
      <c r="B13">
        <v>0</v>
      </c>
      <c r="C13">
        <v>0</v>
      </c>
      <c r="D13" t="s">
        <v>25022</v>
      </c>
      <c r="E13">
        <v>1868</v>
      </c>
      <c r="F13" t="s">
        <v>11698</v>
      </c>
      <c r="G13" t="s">
        <v>57</v>
      </c>
      <c r="H13">
        <v>1930074</v>
      </c>
      <c r="I13">
        <v>1930196</v>
      </c>
      <c r="J13" t="s">
        <v>288</v>
      </c>
      <c r="K13">
        <v>41</v>
      </c>
      <c r="L13" t="s">
        <v>59</v>
      </c>
      <c r="M13">
        <v>49</v>
      </c>
      <c r="N13" t="str">
        <f>HYPERLINK("Gene1868-zp_tree_all.dnd", "Gene1868-tree")</f>
        <v>Gene1868-tree</v>
      </c>
      <c r="O13">
        <v>5</v>
      </c>
      <c r="P13">
        <v>0</v>
      </c>
      <c r="Q13">
        <v>5</v>
      </c>
      <c r="R13">
        <v>0</v>
      </c>
      <c r="S13">
        <v>0</v>
      </c>
      <c r="T13" t="s">
        <v>199</v>
      </c>
      <c r="U13" t="s">
        <v>62</v>
      </c>
      <c r="V13" t="s">
        <v>62</v>
      </c>
      <c r="W13" t="s">
        <v>62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</v>
      </c>
      <c r="AM13">
        <v>1</v>
      </c>
      <c r="AN13">
        <v>3</v>
      </c>
      <c r="AO13">
        <v>0</v>
      </c>
      <c r="AP13">
        <v>1</v>
      </c>
      <c r="AQ13">
        <v>0</v>
      </c>
      <c r="AR13" t="s">
        <v>193</v>
      </c>
      <c r="AS13" t="s">
        <v>193</v>
      </c>
      <c r="AT13">
        <v>0</v>
      </c>
      <c r="AU13" t="s">
        <v>65</v>
      </c>
      <c r="AV13">
        <v>4</v>
      </c>
      <c r="AW13">
        <v>0</v>
      </c>
      <c r="AX13" t="s">
        <v>11699</v>
      </c>
      <c r="AY13">
        <v>8.9069999999999996E-2</v>
      </c>
      <c r="AZ13">
        <v>-1.242E-2</v>
      </c>
      <c r="BA13">
        <v>0</v>
      </c>
      <c r="BB13">
        <v>0</v>
      </c>
      <c r="BC13">
        <v>0</v>
      </c>
      <c r="BD13">
        <v>1</v>
      </c>
      <c r="BE13" t="s">
        <v>69</v>
      </c>
      <c r="BF13">
        <v>-1.298</v>
      </c>
      <c r="BG13">
        <v>-1.1919999999999999</v>
      </c>
    </row>
    <row r="14" spans="1:59">
      <c r="A14">
        <v>0</v>
      </c>
      <c r="B14">
        <v>0</v>
      </c>
      <c r="C14">
        <v>0</v>
      </c>
      <c r="D14" t="s">
        <v>25022</v>
      </c>
      <c r="E14">
        <v>4182</v>
      </c>
      <c r="F14" t="s">
        <v>24617</v>
      </c>
      <c r="G14" t="s">
        <v>62</v>
      </c>
      <c r="H14">
        <v>4147422</v>
      </c>
      <c r="I14">
        <v>4147547</v>
      </c>
      <c r="J14" t="s">
        <v>24618</v>
      </c>
      <c r="K14">
        <v>42</v>
      </c>
      <c r="L14" t="s">
        <v>24619</v>
      </c>
      <c r="M14">
        <v>24</v>
      </c>
      <c r="N14" t="str">
        <f>HYPERLINK("Gene4182-zp_tree_all.dnd", "Gene4182-tree")</f>
        <v>Gene4182-tree</v>
      </c>
      <c r="O14">
        <v>2</v>
      </c>
      <c r="P14">
        <v>2</v>
      </c>
      <c r="Q14">
        <v>2</v>
      </c>
      <c r="R14">
        <v>2</v>
      </c>
      <c r="S14">
        <v>0.5</v>
      </c>
      <c r="T14" t="s">
        <v>81</v>
      </c>
      <c r="U14" t="s">
        <v>81</v>
      </c>
      <c r="V14" t="s">
        <v>62</v>
      </c>
      <c r="W14" t="s">
        <v>62</v>
      </c>
      <c r="X14">
        <v>0</v>
      </c>
      <c r="Y14">
        <v>0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3</v>
      </c>
      <c r="AM14">
        <v>0</v>
      </c>
      <c r="AN14">
        <v>1</v>
      </c>
      <c r="AO14">
        <v>2</v>
      </c>
      <c r="AP14">
        <v>0</v>
      </c>
      <c r="AQ14">
        <v>0</v>
      </c>
      <c r="AR14" t="s">
        <v>24620</v>
      </c>
      <c r="AS14" t="s">
        <v>193</v>
      </c>
      <c r="AT14">
        <v>0.69299999999999995</v>
      </c>
      <c r="AU14" t="s">
        <v>65</v>
      </c>
      <c r="AV14">
        <v>1</v>
      </c>
      <c r="AW14">
        <v>2</v>
      </c>
      <c r="AX14" t="s">
        <v>24621</v>
      </c>
      <c r="AY14">
        <v>2.034E-2</v>
      </c>
      <c r="AZ14">
        <v>-5.8700000000000002E-3</v>
      </c>
      <c r="BA14">
        <v>1.1010000000000001E-2</v>
      </c>
      <c r="BB14">
        <v>-2.6099999999999999E-3</v>
      </c>
      <c r="BC14">
        <v>0.54100999999999999</v>
      </c>
      <c r="BD14">
        <v>0.36199999999999999</v>
      </c>
      <c r="BE14" t="s">
        <v>635</v>
      </c>
      <c r="BF14">
        <v>-0.122</v>
      </c>
      <c r="BG14">
        <v>-0.189</v>
      </c>
    </row>
    <row r="15" spans="1:59">
      <c r="A15">
        <v>0</v>
      </c>
      <c r="B15">
        <v>0</v>
      </c>
      <c r="C15">
        <v>0</v>
      </c>
      <c r="D15" t="s">
        <v>25022</v>
      </c>
      <c r="E15">
        <v>2315</v>
      </c>
      <c r="F15" t="s">
        <v>13420</v>
      </c>
      <c r="G15" t="s">
        <v>62</v>
      </c>
      <c r="H15">
        <v>2333098</v>
      </c>
      <c r="I15">
        <v>2333223</v>
      </c>
      <c r="J15" t="s">
        <v>13421</v>
      </c>
      <c r="K15">
        <v>42</v>
      </c>
      <c r="L15" t="s">
        <v>59</v>
      </c>
      <c r="M15">
        <v>49</v>
      </c>
      <c r="N15" t="str">
        <f>HYPERLINK("Gene2315-zp_tree_all.dnd", "Gene2315-tree")</f>
        <v>Gene2315-tree</v>
      </c>
      <c r="O15">
        <v>3</v>
      </c>
      <c r="P15">
        <v>1</v>
      </c>
      <c r="Q15">
        <v>3</v>
      </c>
      <c r="R15">
        <v>1</v>
      </c>
      <c r="S15">
        <v>0.25</v>
      </c>
      <c r="T15" t="s">
        <v>324</v>
      </c>
      <c r="U15" t="s">
        <v>175</v>
      </c>
      <c r="V15" t="s">
        <v>62</v>
      </c>
      <c r="W15" t="s">
        <v>62</v>
      </c>
      <c r="X15">
        <v>0</v>
      </c>
      <c r="Y15">
        <v>0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3</v>
      </c>
      <c r="AM15">
        <v>0</v>
      </c>
      <c r="AN15">
        <v>5</v>
      </c>
      <c r="AO15">
        <v>2</v>
      </c>
      <c r="AP15">
        <v>0</v>
      </c>
      <c r="AQ15">
        <v>0</v>
      </c>
      <c r="AR15" t="s">
        <v>13422</v>
      </c>
      <c r="AS15" t="s">
        <v>193</v>
      </c>
      <c r="AT15">
        <v>0.83099999999999996</v>
      </c>
      <c r="AU15" t="s">
        <v>65</v>
      </c>
      <c r="AV15">
        <v>5</v>
      </c>
      <c r="AW15">
        <v>2</v>
      </c>
      <c r="AX15" t="s">
        <v>13423</v>
      </c>
      <c r="AY15">
        <v>0.10093000000000001</v>
      </c>
      <c r="AZ15">
        <v>-1.6729999999999998E-2</v>
      </c>
      <c r="BA15">
        <v>1.021E-2</v>
      </c>
      <c r="BB15">
        <v>-4.1700000000000001E-3</v>
      </c>
      <c r="BC15">
        <v>0.10119</v>
      </c>
      <c r="BD15">
        <v>0.98799999999999999</v>
      </c>
      <c r="BE15" t="s">
        <v>69</v>
      </c>
      <c r="BF15">
        <v>-1.0760000000000001</v>
      </c>
      <c r="BG15">
        <v>-0.308</v>
      </c>
    </row>
    <row r="16" spans="1:59">
      <c r="A16">
        <v>0</v>
      </c>
      <c r="B16">
        <v>0</v>
      </c>
      <c r="C16">
        <v>2</v>
      </c>
      <c r="D16" t="s">
        <v>25022</v>
      </c>
      <c r="E16">
        <v>4053</v>
      </c>
      <c r="F16" t="s">
        <v>23853</v>
      </c>
      <c r="G16" t="s">
        <v>62</v>
      </c>
      <c r="H16">
        <v>4019008</v>
      </c>
      <c r="I16">
        <v>4019136</v>
      </c>
      <c r="J16" t="s">
        <v>116</v>
      </c>
      <c r="K16">
        <v>43</v>
      </c>
      <c r="L16" t="s">
        <v>2157</v>
      </c>
      <c r="M16">
        <v>47</v>
      </c>
      <c r="N16" t="str">
        <f>HYPERLINK("Gene4053-zp_tree_all.dnd", "Gene4053-tree")</f>
        <v>Gene4053-tree</v>
      </c>
      <c r="O16">
        <v>3</v>
      </c>
      <c r="P16">
        <v>10</v>
      </c>
      <c r="Q16">
        <v>3</v>
      </c>
      <c r="R16">
        <v>10</v>
      </c>
      <c r="S16">
        <v>0.76922999999999997</v>
      </c>
      <c r="T16" t="s">
        <v>324</v>
      </c>
      <c r="U16" t="s">
        <v>117</v>
      </c>
      <c r="V16" t="s">
        <v>62</v>
      </c>
      <c r="W16" t="s">
        <v>62</v>
      </c>
      <c r="X16">
        <v>1</v>
      </c>
      <c r="Y16">
        <v>2</v>
      </c>
      <c r="Z16">
        <v>11</v>
      </c>
      <c r="AA16">
        <v>0.15384999999999999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2</v>
      </c>
      <c r="AI16">
        <v>2</v>
      </c>
      <c r="AJ16">
        <v>10</v>
      </c>
      <c r="AK16">
        <v>0.16667000000000001</v>
      </c>
      <c r="AL16">
        <v>10</v>
      </c>
      <c r="AM16">
        <v>4</v>
      </c>
      <c r="AN16">
        <v>5</v>
      </c>
      <c r="AO16">
        <v>10</v>
      </c>
      <c r="AP16">
        <v>2</v>
      </c>
      <c r="AQ16">
        <v>3</v>
      </c>
      <c r="AR16" t="s">
        <v>23854</v>
      </c>
      <c r="AS16" t="s">
        <v>23855</v>
      </c>
      <c r="AT16">
        <v>0.378</v>
      </c>
      <c r="AU16" t="s">
        <v>65</v>
      </c>
      <c r="AV16">
        <v>7</v>
      </c>
      <c r="AW16">
        <v>13</v>
      </c>
      <c r="AX16" t="s">
        <v>23856</v>
      </c>
      <c r="AY16">
        <v>6.1580000000000003E-2</v>
      </c>
      <c r="AZ16">
        <v>-5.0499999999999998E-3</v>
      </c>
      <c r="BA16">
        <v>2.6380000000000001E-2</v>
      </c>
      <c r="BB16">
        <v>-1.2899999999999999E-3</v>
      </c>
      <c r="BC16">
        <v>0.42842999999999998</v>
      </c>
      <c r="BD16">
        <v>0.95</v>
      </c>
      <c r="BE16" t="s">
        <v>635</v>
      </c>
      <c r="BF16">
        <v>-1.1279999999999999</v>
      </c>
      <c r="BG16">
        <v>-2.677</v>
      </c>
    </row>
    <row r="17" spans="1:59">
      <c r="A17">
        <v>0</v>
      </c>
      <c r="B17">
        <v>0</v>
      </c>
      <c r="C17">
        <v>0</v>
      </c>
      <c r="D17" t="s">
        <v>25022</v>
      </c>
      <c r="E17">
        <v>2859</v>
      </c>
      <c r="F17" t="s">
        <v>16431</v>
      </c>
      <c r="G17" t="s">
        <v>62</v>
      </c>
      <c r="H17">
        <v>2805351</v>
      </c>
      <c r="I17">
        <v>2805479</v>
      </c>
      <c r="J17" t="s">
        <v>116</v>
      </c>
      <c r="K17">
        <v>43</v>
      </c>
      <c r="L17" t="s">
        <v>59</v>
      </c>
      <c r="M17">
        <v>49</v>
      </c>
      <c r="N17" t="str">
        <f>HYPERLINK("Gene2859-zp_tree_all.dnd", "Gene2859-tree")</f>
        <v>Gene2859-tree</v>
      </c>
      <c r="O17">
        <v>5</v>
      </c>
      <c r="P17">
        <v>1</v>
      </c>
      <c r="Q17">
        <v>5</v>
      </c>
      <c r="R17">
        <v>1</v>
      </c>
      <c r="S17">
        <v>0.16667000000000001</v>
      </c>
      <c r="T17" t="s">
        <v>199</v>
      </c>
      <c r="U17" t="s">
        <v>175</v>
      </c>
      <c r="V17" t="s">
        <v>62</v>
      </c>
      <c r="W17" t="s">
        <v>62</v>
      </c>
      <c r="X17">
        <v>0</v>
      </c>
      <c r="Y17">
        <v>0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2</v>
      </c>
      <c r="AM17">
        <v>3</v>
      </c>
      <c r="AN17">
        <v>2</v>
      </c>
      <c r="AO17">
        <v>0</v>
      </c>
      <c r="AP17">
        <v>4</v>
      </c>
      <c r="AQ17">
        <v>2</v>
      </c>
      <c r="AR17" t="s">
        <v>193</v>
      </c>
      <c r="AS17" t="s">
        <v>16432</v>
      </c>
      <c r="AT17">
        <v>1.732</v>
      </c>
      <c r="AU17" t="s">
        <v>65</v>
      </c>
      <c r="AV17">
        <v>6</v>
      </c>
      <c r="AW17">
        <v>2</v>
      </c>
      <c r="AX17" t="s">
        <v>16433</v>
      </c>
      <c r="AY17">
        <v>0.11649</v>
      </c>
      <c r="AZ17">
        <v>-1.9179999999999999E-2</v>
      </c>
      <c r="BA17">
        <v>1.1350000000000001E-2</v>
      </c>
      <c r="BB17">
        <v>-1.6299999999999999E-3</v>
      </c>
      <c r="BC17">
        <v>9.7430000000000003E-2</v>
      </c>
      <c r="BD17">
        <v>1</v>
      </c>
      <c r="BE17" t="s">
        <v>69</v>
      </c>
      <c r="BF17">
        <v>-1.161</v>
      </c>
      <c r="BG17">
        <v>0.59099999999999997</v>
      </c>
    </row>
    <row r="18" spans="1:59">
      <c r="A18">
        <v>0</v>
      </c>
      <c r="B18">
        <v>2</v>
      </c>
      <c r="C18">
        <v>0</v>
      </c>
      <c r="D18" t="s">
        <v>25022</v>
      </c>
      <c r="E18">
        <v>3987</v>
      </c>
      <c r="F18" t="s">
        <v>23438</v>
      </c>
      <c r="G18" t="s">
        <v>62</v>
      </c>
      <c r="H18">
        <v>3951827</v>
      </c>
      <c r="I18">
        <v>3951958</v>
      </c>
      <c r="J18" t="s">
        <v>23439</v>
      </c>
      <c r="K18">
        <v>44</v>
      </c>
      <c r="L18" t="s">
        <v>108</v>
      </c>
      <c r="M18">
        <v>44</v>
      </c>
      <c r="N18" t="str">
        <f>HYPERLINK("Gene3987-zp_tree_all.dnd", "Gene3987-tree")</f>
        <v>Gene3987-tree</v>
      </c>
      <c r="O18">
        <v>0</v>
      </c>
      <c r="P18">
        <v>37</v>
      </c>
      <c r="Q18">
        <v>0</v>
      </c>
      <c r="R18">
        <v>7</v>
      </c>
      <c r="S18">
        <v>1</v>
      </c>
      <c r="T18" t="s">
        <v>62</v>
      </c>
      <c r="U18" t="s">
        <v>23440</v>
      </c>
      <c r="V18">
        <v>7.1879999999999997</v>
      </c>
      <c r="W18" t="s">
        <v>65</v>
      </c>
      <c r="X18">
        <v>1</v>
      </c>
      <c r="Y18">
        <v>2</v>
      </c>
      <c r="Z18">
        <v>7</v>
      </c>
      <c r="AA18">
        <v>0.22222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</v>
      </c>
      <c r="AH18">
        <v>0</v>
      </c>
      <c r="AI18">
        <v>2</v>
      </c>
      <c r="AJ18">
        <v>5</v>
      </c>
      <c r="AK18">
        <v>0.28571000000000002</v>
      </c>
      <c r="AL18">
        <v>5</v>
      </c>
      <c r="AM18">
        <v>2</v>
      </c>
      <c r="AN18">
        <v>2</v>
      </c>
      <c r="AO18">
        <v>6</v>
      </c>
      <c r="AP18">
        <v>0</v>
      </c>
      <c r="AQ18">
        <v>3</v>
      </c>
      <c r="AR18" t="s">
        <v>23441</v>
      </c>
      <c r="AS18" t="s">
        <v>193</v>
      </c>
      <c r="AT18">
        <v>0.54400000000000004</v>
      </c>
      <c r="AU18" t="s">
        <v>65</v>
      </c>
      <c r="AV18">
        <v>2</v>
      </c>
      <c r="AW18">
        <v>9</v>
      </c>
      <c r="AX18" t="s">
        <v>23442</v>
      </c>
      <c r="AY18">
        <v>2.4570000000000002E-2</v>
      </c>
      <c r="AZ18">
        <v>-8.4799999999999997E-3</v>
      </c>
      <c r="BA18">
        <v>2.903E-2</v>
      </c>
      <c r="BB18">
        <v>-2.64E-3</v>
      </c>
      <c r="BC18">
        <v>1.1816899999999999</v>
      </c>
      <c r="BD18">
        <v>0.51800000000000002</v>
      </c>
      <c r="BE18" t="s">
        <v>635</v>
      </c>
      <c r="BF18">
        <v>-0.80900000000000005</v>
      </c>
      <c r="BG18">
        <v>0.21</v>
      </c>
    </row>
    <row r="19" spans="1:59">
      <c r="A19">
        <v>0</v>
      </c>
      <c r="B19">
        <v>0</v>
      </c>
      <c r="C19">
        <v>0</v>
      </c>
      <c r="D19" t="s">
        <v>25022</v>
      </c>
      <c r="E19">
        <v>4258</v>
      </c>
      <c r="F19" t="s">
        <v>25014</v>
      </c>
      <c r="G19" t="s">
        <v>62</v>
      </c>
      <c r="H19">
        <v>4215258</v>
      </c>
      <c r="I19">
        <v>4215389</v>
      </c>
      <c r="J19" t="s">
        <v>25015</v>
      </c>
      <c r="K19">
        <v>44</v>
      </c>
      <c r="L19" t="s">
        <v>515</v>
      </c>
      <c r="M19">
        <v>51</v>
      </c>
      <c r="N19" t="str">
        <f>HYPERLINK("Gene4258-zp_tree_all.dnd", "Gene4258-tree")</f>
        <v>Gene4258-tree</v>
      </c>
      <c r="O19">
        <v>4</v>
      </c>
      <c r="P19">
        <v>0</v>
      </c>
      <c r="Q19">
        <v>4</v>
      </c>
      <c r="R19">
        <v>0</v>
      </c>
      <c r="S19">
        <v>0</v>
      </c>
      <c r="T19" t="s">
        <v>61</v>
      </c>
      <c r="U19" t="s">
        <v>62</v>
      </c>
      <c r="V19" t="s">
        <v>62</v>
      </c>
      <c r="W19" t="s">
        <v>62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</v>
      </c>
      <c r="AM19">
        <v>0</v>
      </c>
      <c r="AN19">
        <v>3</v>
      </c>
      <c r="AO19">
        <v>0</v>
      </c>
      <c r="AP19">
        <v>0</v>
      </c>
      <c r="AQ19">
        <v>0</v>
      </c>
      <c r="AR19" t="s">
        <v>193</v>
      </c>
      <c r="AS19" t="s">
        <v>193</v>
      </c>
      <c r="AT19">
        <v>0</v>
      </c>
      <c r="AU19" t="s">
        <v>65</v>
      </c>
      <c r="AV19">
        <v>3</v>
      </c>
      <c r="AW19">
        <v>0</v>
      </c>
      <c r="AX19" t="s">
        <v>25016</v>
      </c>
      <c r="AY19">
        <v>5.1959999999999999E-2</v>
      </c>
      <c r="AZ19">
        <v>-7.2899999999999996E-3</v>
      </c>
      <c r="BA19">
        <v>0</v>
      </c>
      <c r="BB19">
        <v>0</v>
      </c>
      <c r="BC19">
        <v>0</v>
      </c>
      <c r="BD19">
        <v>1</v>
      </c>
      <c r="BE19" t="s">
        <v>69</v>
      </c>
      <c r="BF19">
        <v>-0.72599999999999998</v>
      </c>
      <c r="BG19">
        <v>0.89</v>
      </c>
    </row>
    <row r="20" spans="1:59">
      <c r="A20">
        <v>0</v>
      </c>
      <c r="B20">
        <v>2</v>
      </c>
      <c r="C20">
        <v>2</v>
      </c>
      <c r="D20" t="s">
        <v>25022</v>
      </c>
      <c r="E20">
        <v>807</v>
      </c>
      <c r="F20" t="s">
        <v>5020</v>
      </c>
      <c r="G20" t="s">
        <v>57</v>
      </c>
      <c r="H20">
        <v>844097</v>
      </c>
      <c r="I20">
        <v>844231</v>
      </c>
      <c r="J20" t="s">
        <v>2302</v>
      </c>
      <c r="K20">
        <v>45</v>
      </c>
      <c r="L20" t="s">
        <v>1392</v>
      </c>
      <c r="M20">
        <v>43</v>
      </c>
      <c r="N20" t="str">
        <f>HYPERLINK("Gene807-zp_tree_all.dnd", "Gene807-tree")</f>
        <v>Gene807-tree</v>
      </c>
      <c r="O20">
        <v>2</v>
      </c>
      <c r="P20">
        <v>8</v>
      </c>
      <c r="Q20">
        <v>2</v>
      </c>
      <c r="R20">
        <v>8</v>
      </c>
      <c r="S20">
        <v>0.8</v>
      </c>
      <c r="T20" t="s">
        <v>81</v>
      </c>
      <c r="U20" t="s">
        <v>136</v>
      </c>
      <c r="V20" t="s">
        <v>62</v>
      </c>
      <c r="W20" t="s">
        <v>62</v>
      </c>
      <c r="X20">
        <v>2</v>
      </c>
      <c r="Y20">
        <v>4</v>
      </c>
      <c r="Z20">
        <v>5</v>
      </c>
      <c r="AA20">
        <v>0.44444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</v>
      </c>
      <c r="AH20">
        <v>2</v>
      </c>
      <c r="AI20">
        <v>4</v>
      </c>
      <c r="AJ20">
        <v>5</v>
      </c>
      <c r="AK20">
        <v>0.44444</v>
      </c>
      <c r="AL20">
        <v>5</v>
      </c>
      <c r="AM20">
        <v>4</v>
      </c>
      <c r="AN20">
        <v>1</v>
      </c>
      <c r="AO20">
        <v>6</v>
      </c>
      <c r="AP20">
        <v>2</v>
      </c>
      <c r="AQ20">
        <v>3</v>
      </c>
      <c r="AR20" t="s">
        <v>5021</v>
      </c>
      <c r="AS20" t="s">
        <v>5022</v>
      </c>
      <c r="AT20">
        <v>0.40600000000000003</v>
      </c>
      <c r="AU20" t="s">
        <v>65</v>
      </c>
      <c r="AV20">
        <v>3</v>
      </c>
      <c r="AW20">
        <v>9</v>
      </c>
      <c r="AX20" t="s">
        <v>5023</v>
      </c>
      <c r="AY20">
        <v>2.0459999999999999E-2</v>
      </c>
      <c r="AZ20">
        <v>-3.0100000000000001E-3</v>
      </c>
      <c r="BA20">
        <v>2.0889999999999999E-2</v>
      </c>
      <c r="BB20">
        <v>-1.4300000000000001E-3</v>
      </c>
      <c r="BC20">
        <v>1.0208999999999999</v>
      </c>
      <c r="BD20">
        <v>0.35299999999999998</v>
      </c>
      <c r="BE20" t="s">
        <v>635</v>
      </c>
      <c r="BF20">
        <v>-0.46400000000000002</v>
      </c>
      <c r="BG20">
        <v>-1.829</v>
      </c>
    </row>
    <row r="21" spans="1:59">
      <c r="A21">
        <v>0</v>
      </c>
      <c r="B21">
        <v>0</v>
      </c>
      <c r="C21">
        <v>0</v>
      </c>
      <c r="D21" t="s">
        <v>25022</v>
      </c>
      <c r="E21">
        <v>3162</v>
      </c>
      <c r="F21" t="s">
        <v>18381</v>
      </c>
      <c r="G21" t="s">
        <v>62</v>
      </c>
      <c r="H21">
        <v>3119276</v>
      </c>
      <c r="I21">
        <v>3119410</v>
      </c>
      <c r="J21" t="s">
        <v>116</v>
      </c>
      <c r="K21">
        <v>45</v>
      </c>
      <c r="L21" t="s">
        <v>59</v>
      </c>
      <c r="M21">
        <v>49</v>
      </c>
      <c r="N21" t="str">
        <f>HYPERLINK("Gene3162-zp_tree_all.dnd", "Gene3162-tree")</f>
        <v>Gene3162-tree</v>
      </c>
      <c r="O21">
        <v>4</v>
      </c>
      <c r="P21">
        <v>4</v>
      </c>
      <c r="Q21">
        <v>4</v>
      </c>
      <c r="R21">
        <v>4</v>
      </c>
      <c r="S21">
        <v>0.5</v>
      </c>
      <c r="T21" t="s">
        <v>61</v>
      </c>
      <c r="U21" t="s">
        <v>61</v>
      </c>
      <c r="V21" t="s">
        <v>62</v>
      </c>
      <c r="W21" t="s">
        <v>62</v>
      </c>
      <c r="X21">
        <v>0</v>
      </c>
      <c r="Y21">
        <v>0</v>
      </c>
      <c r="Z21">
        <v>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6</v>
      </c>
      <c r="AK21">
        <v>0</v>
      </c>
      <c r="AL21">
        <v>7</v>
      </c>
      <c r="AM21">
        <v>2</v>
      </c>
      <c r="AN21">
        <v>5</v>
      </c>
      <c r="AO21">
        <v>6</v>
      </c>
      <c r="AP21">
        <v>2</v>
      </c>
      <c r="AQ21">
        <v>2</v>
      </c>
      <c r="AR21" t="s">
        <v>18382</v>
      </c>
      <c r="AS21" t="s">
        <v>18383</v>
      </c>
      <c r="AT21">
        <v>0.33400000000000002</v>
      </c>
      <c r="AU21" t="s">
        <v>65</v>
      </c>
      <c r="AV21">
        <v>7</v>
      </c>
      <c r="AW21">
        <v>8</v>
      </c>
      <c r="AX21" t="s">
        <v>18384</v>
      </c>
      <c r="AY21">
        <v>7.9750000000000001E-2</v>
      </c>
      <c r="AZ21">
        <v>-8.5900000000000004E-3</v>
      </c>
      <c r="BA21">
        <v>2.3939999999999999E-2</v>
      </c>
      <c r="BB21">
        <v>-2.5500000000000002E-3</v>
      </c>
      <c r="BC21">
        <v>0.30014000000000002</v>
      </c>
      <c r="BD21">
        <v>0.96899999999999997</v>
      </c>
      <c r="BE21" t="s">
        <v>69</v>
      </c>
      <c r="BF21">
        <v>-1.6639999999999999</v>
      </c>
      <c r="BG21">
        <v>-0.86299999999999999</v>
      </c>
    </row>
    <row r="22" spans="1:59">
      <c r="A22">
        <v>0</v>
      </c>
      <c r="B22">
        <v>0</v>
      </c>
      <c r="C22">
        <v>0</v>
      </c>
      <c r="D22" t="s">
        <v>25022</v>
      </c>
      <c r="E22">
        <v>3392</v>
      </c>
      <c r="F22" t="s">
        <v>19840</v>
      </c>
      <c r="G22" t="s">
        <v>62</v>
      </c>
      <c r="H22">
        <v>3360977</v>
      </c>
      <c r="I22">
        <v>3361111</v>
      </c>
      <c r="J22" t="s">
        <v>19841</v>
      </c>
      <c r="K22">
        <v>45</v>
      </c>
      <c r="L22" t="s">
        <v>749</v>
      </c>
      <c r="M22">
        <v>47</v>
      </c>
      <c r="N22" t="str">
        <f>HYPERLINK("Gene3392-zp_tree_all.dnd", "Gene3392-tree")</f>
        <v>Gene3392-tree</v>
      </c>
      <c r="O22">
        <v>29</v>
      </c>
      <c r="P22">
        <v>3</v>
      </c>
      <c r="Q22">
        <v>6</v>
      </c>
      <c r="R22">
        <v>3</v>
      </c>
      <c r="S22">
        <v>0.33333000000000002</v>
      </c>
      <c r="T22" t="s">
        <v>3696</v>
      </c>
      <c r="U22" t="s">
        <v>324</v>
      </c>
      <c r="V22" t="s">
        <v>62</v>
      </c>
      <c r="W22" t="s">
        <v>62</v>
      </c>
      <c r="X22">
        <v>0</v>
      </c>
      <c r="Y22">
        <v>0</v>
      </c>
      <c r="Z22">
        <v>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</v>
      </c>
      <c r="AK22">
        <v>0</v>
      </c>
      <c r="AL22">
        <v>7</v>
      </c>
      <c r="AM22">
        <v>3</v>
      </c>
      <c r="AN22">
        <v>9</v>
      </c>
      <c r="AO22">
        <v>3</v>
      </c>
      <c r="AP22">
        <v>4</v>
      </c>
      <c r="AQ22">
        <v>0</v>
      </c>
      <c r="AR22" t="s">
        <v>19842</v>
      </c>
      <c r="AS22" t="s">
        <v>193</v>
      </c>
      <c r="AT22">
        <v>1.6160000000000001</v>
      </c>
      <c r="AU22" t="s">
        <v>65</v>
      </c>
      <c r="AV22">
        <v>13</v>
      </c>
      <c r="AW22">
        <v>3</v>
      </c>
      <c r="AX22" t="s">
        <v>19843</v>
      </c>
      <c r="AY22">
        <v>0.11333</v>
      </c>
      <c r="AZ22">
        <v>-9.3200000000000002E-3</v>
      </c>
      <c r="BA22">
        <v>6.4400000000000004E-3</v>
      </c>
      <c r="BB22">
        <v>-1.01E-3</v>
      </c>
      <c r="BC22">
        <v>5.6820000000000002E-2</v>
      </c>
      <c r="BD22">
        <v>1</v>
      </c>
      <c r="BE22" t="s">
        <v>69</v>
      </c>
      <c r="BF22">
        <v>-1.2909999999999999</v>
      </c>
      <c r="BG22">
        <v>-1.5029999999999999</v>
      </c>
    </row>
    <row r="23" spans="1:59">
      <c r="A23">
        <v>0</v>
      </c>
      <c r="B23">
        <v>0</v>
      </c>
      <c r="C23">
        <v>0</v>
      </c>
      <c r="D23" t="s">
        <v>25022</v>
      </c>
      <c r="E23">
        <v>1380</v>
      </c>
      <c r="F23" t="s">
        <v>8638</v>
      </c>
      <c r="G23" t="s">
        <v>57</v>
      </c>
      <c r="H23">
        <v>1395371</v>
      </c>
      <c r="I23">
        <v>1395505</v>
      </c>
      <c r="J23" t="s">
        <v>288</v>
      </c>
      <c r="K23">
        <v>45</v>
      </c>
      <c r="L23" t="s">
        <v>59</v>
      </c>
      <c r="M23">
        <v>49</v>
      </c>
      <c r="N23" t="str">
        <f>HYPERLINK("Gene1380-zp_tree_all.dnd", "Gene1380-tree")</f>
        <v>Gene1380-tree</v>
      </c>
      <c r="O23">
        <v>38</v>
      </c>
      <c r="P23">
        <v>0</v>
      </c>
      <c r="Q23">
        <v>6</v>
      </c>
      <c r="R23">
        <v>0</v>
      </c>
      <c r="S23">
        <v>0</v>
      </c>
      <c r="T23" t="s">
        <v>8639</v>
      </c>
      <c r="U23" t="s">
        <v>62</v>
      </c>
      <c r="V23" t="s">
        <v>62</v>
      </c>
      <c r="W23" t="s">
        <v>62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</v>
      </c>
      <c r="AM23">
        <v>2</v>
      </c>
      <c r="AN23">
        <v>4</v>
      </c>
      <c r="AO23">
        <v>0</v>
      </c>
      <c r="AP23">
        <v>4</v>
      </c>
      <c r="AQ23">
        <v>0</v>
      </c>
      <c r="AR23" t="s">
        <v>193</v>
      </c>
      <c r="AS23" t="s">
        <v>193</v>
      </c>
      <c r="AT23">
        <v>0</v>
      </c>
      <c r="AU23" t="s">
        <v>65</v>
      </c>
      <c r="AV23">
        <v>8</v>
      </c>
      <c r="AW23">
        <v>0</v>
      </c>
      <c r="AX23" t="s">
        <v>8640</v>
      </c>
      <c r="AY23">
        <v>0.14995</v>
      </c>
      <c r="AZ23">
        <v>-2.189E-2</v>
      </c>
      <c r="BA23">
        <v>0</v>
      </c>
      <c r="BB23">
        <v>0</v>
      </c>
      <c r="BC23">
        <v>0</v>
      </c>
      <c r="BD23">
        <v>1</v>
      </c>
      <c r="BE23" t="s">
        <v>69</v>
      </c>
      <c r="BF23">
        <v>-0.70399999999999996</v>
      </c>
      <c r="BG23">
        <v>0.59099999999999997</v>
      </c>
    </row>
    <row r="24" spans="1:59">
      <c r="A24">
        <v>0</v>
      </c>
      <c r="B24">
        <v>0</v>
      </c>
      <c r="C24">
        <v>0</v>
      </c>
      <c r="D24" t="s">
        <v>25022</v>
      </c>
      <c r="E24">
        <v>3809</v>
      </c>
      <c r="F24" t="s">
        <v>22320</v>
      </c>
      <c r="G24" t="s">
        <v>62</v>
      </c>
      <c r="H24">
        <v>3775385</v>
      </c>
      <c r="I24">
        <v>3775522</v>
      </c>
      <c r="J24" t="s">
        <v>22321</v>
      </c>
      <c r="K24">
        <v>46</v>
      </c>
      <c r="L24" t="s">
        <v>265</v>
      </c>
      <c r="M24">
        <v>43</v>
      </c>
      <c r="N24" t="str">
        <f>HYPERLINK("Gene3809-zp_tree_all.dnd", "Gene3809-tree")</f>
        <v>Gene3809-tree</v>
      </c>
      <c r="O24">
        <v>0</v>
      </c>
      <c r="P24">
        <v>6</v>
      </c>
      <c r="Q24">
        <v>0</v>
      </c>
      <c r="R24">
        <v>6</v>
      </c>
      <c r="S24">
        <v>1</v>
      </c>
      <c r="T24" t="s">
        <v>62</v>
      </c>
      <c r="U24" t="s">
        <v>90</v>
      </c>
      <c r="V24" t="s">
        <v>62</v>
      </c>
      <c r="W24" t="s">
        <v>62</v>
      </c>
      <c r="X24">
        <v>0</v>
      </c>
      <c r="Y24">
        <v>0</v>
      </c>
      <c r="Z24">
        <v>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5</v>
      </c>
      <c r="AK24">
        <v>0</v>
      </c>
      <c r="AL24">
        <v>4</v>
      </c>
      <c r="AM24">
        <v>1</v>
      </c>
      <c r="AN24">
        <v>0</v>
      </c>
      <c r="AO24">
        <v>4</v>
      </c>
      <c r="AP24">
        <v>0</v>
      </c>
      <c r="AQ24">
        <v>1</v>
      </c>
      <c r="AR24" t="s">
        <v>193</v>
      </c>
      <c r="AS24" t="s">
        <v>193</v>
      </c>
      <c r="AT24">
        <v>0</v>
      </c>
      <c r="AU24" t="s">
        <v>65</v>
      </c>
      <c r="AV24">
        <v>0</v>
      </c>
      <c r="AW24">
        <v>5</v>
      </c>
      <c r="AX24" t="s">
        <v>22322</v>
      </c>
      <c r="AY24">
        <v>0</v>
      </c>
      <c r="AZ24">
        <v>0</v>
      </c>
      <c r="BA24">
        <v>1.7100000000000001E-2</v>
      </c>
      <c r="BB24">
        <v>-1.72E-3</v>
      </c>
      <c r="BC24" t="s">
        <v>1346</v>
      </c>
      <c r="BD24">
        <v>1</v>
      </c>
      <c r="BE24" t="s">
        <v>69</v>
      </c>
      <c r="BF24">
        <v>-0.114</v>
      </c>
      <c r="BG24">
        <v>-0.76700000000000002</v>
      </c>
    </row>
    <row r="25" spans="1:59">
      <c r="A25">
        <v>0</v>
      </c>
      <c r="B25">
        <v>2</v>
      </c>
      <c r="C25">
        <v>0</v>
      </c>
      <c r="D25" t="s">
        <v>25022</v>
      </c>
      <c r="E25">
        <v>180</v>
      </c>
      <c r="F25" t="s">
        <v>1263</v>
      </c>
      <c r="G25" t="s">
        <v>57</v>
      </c>
      <c r="H25">
        <v>202126</v>
      </c>
      <c r="I25">
        <v>202263</v>
      </c>
      <c r="J25" t="s">
        <v>1264</v>
      </c>
      <c r="K25">
        <v>46</v>
      </c>
      <c r="L25" t="s">
        <v>1265</v>
      </c>
      <c r="M25">
        <v>28</v>
      </c>
      <c r="N25" t="str">
        <f>HYPERLINK("Gene180-zp_tree_all.dnd", "Gene180-tree")</f>
        <v>Gene180-tree</v>
      </c>
      <c r="O25">
        <v>1</v>
      </c>
      <c r="P25">
        <v>4</v>
      </c>
      <c r="Q25">
        <v>1</v>
      </c>
      <c r="R25">
        <v>4</v>
      </c>
      <c r="S25">
        <v>0.8</v>
      </c>
      <c r="T25" t="s">
        <v>175</v>
      </c>
      <c r="U25" t="s">
        <v>61</v>
      </c>
      <c r="V25" t="s">
        <v>62</v>
      </c>
      <c r="W25" t="s">
        <v>62</v>
      </c>
      <c r="X25">
        <v>1</v>
      </c>
      <c r="Y25">
        <v>2</v>
      </c>
      <c r="Z25">
        <v>5</v>
      </c>
      <c r="AA25">
        <v>0.28571000000000002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</v>
      </c>
      <c r="AH25">
        <v>0</v>
      </c>
      <c r="AI25">
        <v>2</v>
      </c>
      <c r="AJ25">
        <v>4</v>
      </c>
      <c r="AK25">
        <v>0.33333000000000002</v>
      </c>
      <c r="AL25">
        <v>4</v>
      </c>
      <c r="AM25">
        <v>2</v>
      </c>
      <c r="AN25">
        <v>1</v>
      </c>
      <c r="AO25">
        <v>6</v>
      </c>
      <c r="AP25">
        <v>1</v>
      </c>
      <c r="AQ25">
        <v>1</v>
      </c>
      <c r="AR25" t="s">
        <v>1266</v>
      </c>
      <c r="AS25" t="s">
        <v>1267</v>
      </c>
      <c r="AT25">
        <v>0.495</v>
      </c>
      <c r="AU25" t="s">
        <v>65</v>
      </c>
      <c r="AV25">
        <v>2</v>
      </c>
      <c r="AW25">
        <v>7</v>
      </c>
      <c r="AX25" t="s">
        <v>1268</v>
      </c>
      <c r="AY25">
        <v>3.458E-2</v>
      </c>
      <c r="AZ25">
        <v>-7.0200000000000002E-3</v>
      </c>
      <c r="BA25">
        <v>2.6519999999999998E-2</v>
      </c>
      <c r="BB25">
        <v>-5.0200000000000002E-3</v>
      </c>
      <c r="BC25">
        <v>0.76690999999999998</v>
      </c>
      <c r="BD25">
        <v>0.435</v>
      </c>
      <c r="BE25" t="s">
        <v>635</v>
      </c>
      <c r="BF25">
        <v>-0.159</v>
      </c>
      <c r="BG25">
        <v>-0.54</v>
      </c>
    </row>
    <row r="26" spans="1:59">
      <c r="A26">
        <v>0</v>
      </c>
      <c r="B26">
        <v>0</v>
      </c>
      <c r="C26">
        <v>0</v>
      </c>
      <c r="D26" t="s">
        <v>25022</v>
      </c>
      <c r="E26">
        <v>352</v>
      </c>
      <c r="F26" t="s">
        <v>2403</v>
      </c>
      <c r="G26" t="s">
        <v>57</v>
      </c>
      <c r="H26">
        <v>390880</v>
      </c>
      <c r="I26">
        <v>391017</v>
      </c>
      <c r="J26" t="s">
        <v>2404</v>
      </c>
      <c r="K26">
        <v>46</v>
      </c>
      <c r="L26" t="s">
        <v>59</v>
      </c>
      <c r="M26">
        <v>49</v>
      </c>
      <c r="N26" t="str">
        <f>HYPERLINK("Gene352-zp_tree_all.dnd", "Gene352-tree")</f>
        <v>Gene352-tree</v>
      </c>
      <c r="O26">
        <v>3</v>
      </c>
      <c r="P26">
        <v>5</v>
      </c>
      <c r="Q26">
        <v>3</v>
      </c>
      <c r="R26">
        <v>5</v>
      </c>
      <c r="S26">
        <v>0.625</v>
      </c>
      <c r="T26" t="s">
        <v>324</v>
      </c>
      <c r="U26" t="s">
        <v>199</v>
      </c>
      <c r="V26" t="s">
        <v>62</v>
      </c>
      <c r="W26" t="s">
        <v>62</v>
      </c>
      <c r="X26">
        <v>0</v>
      </c>
      <c r="Y26">
        <v>0</v>
      </c>
      <c r="Z26">
        <v>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0</v>
      </c>
      <c r="AL26">
        <v>6</v>
      </c>
      <c r="AM26">
        <v>2</v>
      </c>
      <c r="AN26">
        <v>2</v>
      </c>
      <c r="AO26">
        <v>5</v>
      </c>
      <c r="AP26">
        <v>2</v>
      </c>
      <c r="AQ26">
        <v>0</v>
      </c>
      <c r="AR26" t="s">
        <v>2405</v>
      </c>
      <c r="AS26" t="s">
        <v>193</v>
      </c>
      <c r="AT26">
        <v>1.113</v>
      </c>
      <c r="AU26" t="s">
        <v>65</v>
      </c>
      <c r="AV26">
        <v>4</v>
      </c>
      <c r="AW26">
        <v>5</v>
      </c>
      <c r="AX26" t="s">
        <v>2406</v>
      </c>
      <c r="AY26">
        <v>4.6460000000000001E-2</v>
      </c>
      <c r="AZ26">
        <v>-5.5399999999999998E-3</v>
      </c>
      <c r="BA26">
        <v>1.183E-2</v>
      </c>
      <c r="BB26">
        <v>-1.14E-3</v>
      </c>
      <c r="BC26">
        <v>0.25464999999999999</v>
      </c>
      <c r="BD26">
        <v>0.83</v>
      </c>
      <c r="BE26" t="s">
        <v>635</v>
      </c>
      <c r="BF26">
        <v>-1.0409999999999999</v>
      </c>
      <c r="BG26">
        <v>-0.83</v>
      </c>
    </row>
    <row r="27" spans="1:59">
      <c r="A27">
        <v>0</v>
      </c>
      <c r="B27">
        <v>0</v>
      </c>
      <c r="C27">
        <v>0</v>
      </c>
      <c r="D27" t="s">
        <v>25022</v>
      </c>
      <c r="E27">
        <v>3461</v>
      </c>
      <c r="F27" t="s">
        <v>20267</v>
      </c>
      <c r="G27" t="s">
        <v>62</v>
      </c>
      <c r="H27">
        <v>3421468</v>
      </c>
      <c r="I27">
        <v>3421605</v>
      </c>
      <c r="J27" t="s">
        <v>389</v>
      </c>
      <c r="K27">
        <v>46</v>
      </c>
      <c r="L27" t="s">
        <v>59</v>
      </c>
      <c r="M27">
        <v>49</v>
      </c>
      <c r="N27" t="str">
        <f>HYPERLINK("Gene3461-zp_tree_all.dnd", "Gene3461-tree")</f>
        <v>Gene3461-tree</v>
      </c>
      <c r="O27">
        <v>4</v>
      </c>
      <c r="P27">
        <v>0</v>
      </c>
      <c r="Q27">
        <v>4</v>
      </c>
      <c r="R27">
        <v>0</v>
      </c>
      <c r="S27">
        <v>0</v>
      </c>
      <c r="T27" t="s">
        <v>61</v>
      </c>
      <c r="U27" t="s">
        <v>62</v>
      </c>
      <c r="V27" t="s">
        <v>62</v>
      </c>
      <c r="W27" t="s">
        <v>62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1</v>
      </c>
      <c r="AN27">
        <v>4</v>
      </c>
      <c r="AO27">
        <v>0</v>
      </c>
      <c r="AP27">
        <v>0</v>
      </c>
      <c r="AQ27">
        <v>1</v>
      </c>
      <c r="AR27" t="s">
        <v>193</v>
      </c>
      <c r="AS27" t="s">
        <v>193</v>
      </c>
      <c r="AT27">
        <v>0</v>
      </c>
      <c r="AU27" t="s">
        <v>65</v>
      </c>
      <c r="AV27">
        <v>4</v>
      </c>
      <c r="AW27">
        <v>1</v>
      </c>
      <c r="AX27" t="s">
        <v>20268</v>
      </c>
      <c r="AY27">
        <v>7.8159999999999993E-2</v>
      </c>
      <c r="AZ27">
        <v>-2.317E-2</v>
      </c>
      <c r="BA27">
        <v>6.0800000000000003E-3</v>
      </c>
      <c r="BB27">
        <v>-1.4300000000000001E-3</v>
      </c>
      <c r="BC27">
        <v>7.7780000000000002E-2</v>
      </c>
      <c r="BD27">
        <v>1</v>
      </c>
      <c r="BE27" t="s">
        <v>69</v>
      </c>
      <c r="BF27">
        <v>-0.79500000000000004</v>
      </c>
      <c r="BG27">
        <v>0.13900000000000001</v>
      </c>
    </row>
    <row r="28" spans="1:59">
      <c r="A28">
        <v>0</v>
      </c>
      <c r="B28">
        <v>0</v>
      </c>
      <c r="C28">
        <v>0</v>
      </c>
      <c r="D28" t="s">
        <v>25022</v>
      </c>
      <c r="E28">
        <v>3330</v>
      </c>
      <c r="F28" t="s">
        <v>19447</v>
      </c>
      <c r="G28" t="s">
        <v>62</v>
      </c>
      <c r="H28">
        <v>3302626</v>
      </c>
      <c r="I28">
        <v>3302763</v>
      </c>
      <c r="J28" t="s">
        <v>19448</v>
      </c>
      <c r="K28">
        <v>46</v>
      </c>
      <c r="L28" t="s">
        <v>108</v>
      </c>
      <c r="M28">
        <v>44</v>
      </c>
      <c r="N28" t="str">
        <f>HYPERLINK("Gene3330-zp_tree_all.dnd", "Gene3330-tree")</f>
        <v>Gene3330-tree</v>
      </c>
      <c r="O28">
        <v>5</v>
      </c>
      <c r="P28">
        <v>1</v>
      </c>
      <c r="Q28">
        <v>5</v>
      </c>
      <c r="R28">
        <v>1</v>
      </c>
      <c r="S28">
        <v>0.16667000000000001</v>
      </c>
      <c r="T28" t="s">
        <v>199</v>
      </c>
      <c r="U28" t="s">
        <v>175</v>
      </c>
      <c r="V28" t="s">
        <v>62</v>
      </c>
      <c r="W28" t="s">
        <v>62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5</v>
      </c>
      <c r="AM28">
        <v>0</v>
      </c>
      <c r="AN28">
        <v>7</v>
      </c>
      <c r="AO28">
        <v>1</v>
      </c>
      <c r="AP28">
        <v>0</v>
      </c>
      <c r="AQ28">
        <v>0</v>
      </c>
      <c r="AR28" t="s">
        <v>19449</v>
      </c>
      <c r="AS28" t="s">
        <v>193</v>
      </c>
      <c r="AT28">
        <v>0.49099999999999999</v>
      </c>
      <c r="AU28" t="s">
        <v>65</v>
      </c>
      <c r="AV28">
        <v>7</v>
      </c>
      <c r="AW28">
        <v>1</v>
      </c>
      <c r="AX28" t="s">
        <v>19450</v>
      </c>
      <c r="AY28">
        <v>8.2820000000000005E-2</v>
      </c>
      <c r="AZ28">
        <v>-1.294E-2</v>
      </c>
      <c r="BA28">
        <v>3.1199999999999999E-3</v>
      </c>
      <c r="BB28">
        <v>-1.1199999999999999E-3</v>
      </c>
      <c r="BC28">
        <v>3.7609999999999998E-2</v>
      </c>
      <c r="BD28">
        <v>1</v>
      </c>
      <c r="BE28" t="s">
        <v>69</v>
      </c>
      <c r="BF28">
        <v>-1.8680000000000001</v>
      </c>
      <c r="BG28">
        <v>-2.165</v>
      </c>
    </row>
    <row r="29" spans="1:59">
      <c r="A29">
        <v>0</v>
      </c>
      <c r="B29">
        <v>0</v>
      </c>
      <c r="C29">
        <v>0</v>
      </c>
      <c r="D29" t="s">
        <v>25022</v>
      </c>
      <c r="E29">
        <v>3291</v>
      </c>
      <c r="F29" t="s">
        <v>19203</v>
      </c>
      <c r="G29" t="s">
        <v>62</v>
      </c>
      <c r="H29">
        <v>3257095</v>
      </c>
      <c r="I29">
        <v>3257232</v>
      </c>
      <c r="J29" t="s">
        <v>19204</v>
      </c>
      <c r="K29">
        <v>46</v>
      </c>
      <c r="L29" t="s">
        <v>59</v>
      </c>
      <c r="M29">
        <v>49</v>
      </c>
      <c r="N29" t="str">
        <f>HYPERLINK("Gene3291-zp_tree_all.dnd", "Gene3291-tree")</f>
        <v>Gene3291-tree</v>
      </c>
      <c r="O29">
        <v>4</v>
      </c>
      <c r="P29">
        <v>0</v>
      </c>
      <c r="Q29">
        <v>4</v>
      </c>
      <c r="R29">
        <v>0</v>
      </c>
      <c r="S29">
        <v>0</v>
      </c>
      <c r="T29" t="s">
        <v>61</v>
      </c>
      <c r="U29" t="s">
        <v>62</v>
      </c>
      <c r="V29" t="s">
        <v>62</v>
      </c>
      <c r="W29" t="s">
        <v>62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</v>
      </c>
      <c r="AM29">
        <v>1</v>
      </c>
      <c r="AN29">
        <v>2</v>
      </c>
      <c r="AO29">
        <v>0</v>
      </c>
      <c r="AP29">
        <v>1</v>
      </c>
      <c r="AQ29">
        <v>0</v>
      </c>
      <c r="AR29" t="s">
        <v>193</v>
      </c>
      <c r="AS29" t="s">
        <v>193</v>
      </c>
      <c r="AT29">
        <v>0</v>
      </c>
      <c r="AU29" t="s">
        <v>65</v>
      </c>
      <c r="AV29">
        <v>3</v>
      </c>
      <c r="AW29">
        <v>0</v>
      </c>
      <c r="AX29" t="s">
        <v>19205</v>
      </c>
      <c r="AY29">
        <v>6.6769999999999996E-2</v>
      </c>
      <c r="AZ29">
        <v>-1.2800000000000001E-2</v>
      </c>
      <c r="BA29">
        <v>0</v>
      </c>
      <c r="BB29">
        <v>0</v>
      </c>
      <c r="BC29">
        <v>0</v>
      </c>
      <c r="BD29">
        <v>1</v>
      </c>
      <c r="BE29" t="s">
        <v>69</v>
      </c>
      <c r="BF29">
        <v>-0.78</v>
      </c>
      <c r="BG29">
        <v>0.89400000000000002</v>
      </c>
    </row>
    <row r="30" spans="1:59">
      <c r="A30">
        <v>0</v>
      </c>
      <c r="B30">
        <v>0</v>
      </c>
      <c r="C30">
        <v>0</v>
      </c>
      <c r="D30" t="s">
        <v>25022</v>
      </c>
      <c r="E30">
        <v>3759</v>
      </c>
      <c r="F30" t="s">
        <v>22025</v>
      </c>
      <c r="G30" t="s">
        <v>62</v>
      </c>
      <c r="H30">
        <v>3733508</v>
      </c>
      <c r="I30">
        <v>3733648</v>
      </c>
      <c r="J30" t="s">
        <v>116</v>
      </c>
      <c r="K30">
        <v>47</v>
      </c>
      <c r="L30" t="s">
        <v>59</v>
      </c>
      <c r="M30">
        <v>49</v>
      </c>
      <c r="N30" t="str">
        <f>HYPERLINK("Gene3759-zp_tree_all.dnd", "Gene3759-tree")</f>
        <v>Gene3759-tree</v>
      </c>
      <c r="O30">
        <v>2</v>
      </c>
      <c r="P30">
        <v>2</v>
      </c>
      <c r="Q30">
        <v>2</v>
      </c>
      <c r="R30">
        <v>2</v>
      </c>
      <c r="S30">
        <v>0.5</v>
      </c>
      <c r="T30" t="s">
        <v>81</v>
      </c>
      <c r="U30" t="s">
        <v>81</v>
      </c>
      <c r="V30" t="s">
        <v>62</v>
      </c>
      <c r="W30" t="s">
        <v>62</v>
      </c>
      <c r="X30">
        <v>0</v>
      </c>
      <c r="Y30">
        <v>0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</v>
      </c>
      <c r="AK30">
        <v>0</v>
      </c>
      <c r="AL30">
        <v>3</v>
      </c>
      <c r="AM30">
        <v>1</v>
      </c>
      <c r="AN30">
        <v>2</v>
      </c>
      <c r="AO30">
        <v>1</v>
      </c>
      <c r="AP30">
        <v>0</v>
      </c>
      <c r="AQ30">
        <v>1</v>
      </c>
      <c r="AR30" t="s">
        <v>22026</v>
      </c>
      <c r="AS30" t="s">
        <v>193</v>
      </c>
      <c r="AT30">
        <v>0.69299999999999995</v>
      </c>
      <c r="AU30" t="s">
        <v>65</v>
      </c>
      <c r="AV30">
        <v>2</v>
      </c>
      <c r="AW30">
        <v>2</v>
      </c>
      <c r="AX30" t="s">
        <v>22027</v>
      </c>
      <c r="AY30">
        <v>3.9849999999999997E-2</v>
      </c>
      <c r="AZ30">
        <v>-6.8900000000000003E-3</v>
      </c>
      <c r="BA30">
        <v>1.0240000000000001E-2</v>
      </c>
      <c r="BB30">
        <v>-2.47E-3</v>
      </c>
      <c r="BC30">
        <v>0.25694</v>
      </c>
      <c r="BD30">
        <v>0.75900000000000001</v>
      </c>
      <c r="BE30" t="s">
        <v>635</v>
      </c>
      <c r="BF30">
        <v>-0.91400000000000003</v>
      </c>
      <c r="BG30">
        <v>1.006</v>
      </c>
    </row>
    <row r="31" spans="1:59">
      <c r="A31">
        <v>0</v>
      </c>
      <c r="B31">
        <v>3</v>
      </c>
      <c r="C31">
        <v>1</v>
      </c>
      <c r="D31" t="s">
        <v>25022</v>
      </c>
      <c r="E31">
        <v>3327</v>
      </c>
      <c r="F31" t="s">
        <v>19428</v>
      </c>
      <c r="G31" t="s">
        <v>62</v>
      </c>
      <c r="H31">
        <v>3299721</v>
      </c>
      <c r="I31">
        <v>3299861</v>
      </c>
      <c r="J31" t="s">
        <v>116</v>
      </c>
      <c r="K31">
        <v>47</v>
      </c>
      <c r="L31" t="s">
        <v>59</v>
      </c>
      <c r="M31">
        <v>49</v>
      </c>
      <c r="N31" t="str">
        <f>HYPERLINK("Gene3327-zp_tree_all.dnd", "Gene3327-tree")</f>
        <v>Gene3327-tree</v>
      </c>
      <c r="O31">
        <v>5</v>
      </c>
      <c r="P31">
        <v>4</v>
      </c>
      <c r="Q31">
        <v>5</v>
      </c>
      <c r="R31">
        <v>4</v>
      </c>
      <c r="S31">
        <v>0.44444</v>
      </c>
      <c r="T31" t="s">
        <v>199</v>
      </c>
      <c r="U31" t="s">
        <v>61</v>
      </c>
      <c r="V31" t="s">
        <v>62</v>
      </c>
      <c r="W31" t="s">
        <v>62</v>
      </c>
      <c r="X31">
        <v>1</v>
      </c>
      <c r="Y31">
        <v>4</v>
      </c>
      <c r="Z31">
        <v>3</v>
      </c>
      <c r="AA31">
        <v>0.57142999999999999</v>
      </c>
      <c r="AB31">
        <v>2</v>
      </c>
      <c r="AC31">
        <v>0</v>
      </c>
      <c r="AD31">
        <v>2</v>
      </c>
      <c r="AE31">
        <v>1</v>
      </c>
      <c r="AF31">
        <v>0.66666999999999998</v>
      </c>
      <c r="AG31">
        <v>0</v>
      </c>
      <c r="AH31">
        <v>2</v>
      </c>
      <c r="AI31">
        <v>2</v>
      </c>
      <c r="AJ31">
        <v>2</v>
      </c>
      <c r="AK31">
        <v>0.5</v>
      </c>
      <c r="AL31">
        <v>7</v>
      </c>
      <c r="AM31">
        <v>3</v>
      </c>
      <c r="AN31">
        <v>6</v>
      </c>
      <c r="AO31">
        <v>4</v>
      </c>
      <c r="AP31">
        <v>5</v>
      </c>
      <c r="AQ31">
        <v>3</v>
      </c>
      <c r="AR31" t="s">
        <v>19429</v>
      </c>
      <c r="AS31" t="s">
        <v>19430</v>
      </c>
      <c r="AT31">
        <v>0.157</v>
      </c>
      <c r="AU31" t="s">
        <v>65</v>
      </c>
      <c r="AV31">
        <v>11</v>
      </c>
      <c r="AW31">
        <v>7</v>
      </c>
      <c r="AX31" t="s">
        <v>19431</v>
      </c>
      <c r="AY31">
        <v>0.11808</v>
      </c>
      <c r="AZ31">
        <v>-1.201E-2</v>
      </c>
      <c r="BA31">
        <v>1.174E-2</v>
      </c>
      <c r="BB31">
        <v>-1.01E-3</v>
      </c>
      <c r="BC31">
        <v>9.9400000000000002E-2</v>
      </c>
      <c r="BD31">
        <v>1</v>
      </c>
      <c r="BE31" t="s">
        <v>69</v>
      </c>
      <c r="BF31">
        <v>-1.2430000000000001</v>
      </c>
      <c r="BG31">
        <v>-0.52</v>
      </c>
    </row>
    <row r="32" spans="1:59">
      <c r="A32">
        <v>0</v>
      </c>
      <c r="B32">
        <v>0</v>
      </c>
      <c r="C32">
        <v>0</v>
      </c>
      <c r="D32" t="s">
        <v>25022</v>
      </c>
      <c r="E32">
        <v>2768</v>
      </c>
      <c r="F32" t="s">
        <v>15885</v>
      </c>
      <c r="G32" t="s">
        <v>62</v>
      </c>
      <c r="H32">
        <v>2720529</v>
      </c>
      <c r="I32">
        <v>2720669</v>
      </c>
      <c r="J32" t="s">
        <v>116</v>
      </c>
      <c r="K32">
        <v>47</v>
      </c>
      <c r="L32" t="s">
        <v>108</v>
      </c>
      <c r="M32">
        <v>44</v>
      </c>
      <c r="N32" t="str">
        <f>HYPERLINK("Gene2768-zp_tree_all.dnd", "Gene2768-tree")</f>
        <v>Gene2768-tree</v>
      </c>
      <c r="O32">
        <v>3</v>
      </c>
      <c r="P32">
        <v>2</v>
      </c>
      <c r="Q32">
        <v>3</v>
      </c>
      <c r="R32">
        <v>2</v>
      </c>
      <c r="S32">
        <v>0.4</v>
      </c>
      <c r="T32" t="s">
        <v>324</v>
      </c>
      <c r="U32" t="s">
        <v>81</v>
      </c>
      <c r="V32" t="s">
        <v>62</v>
      </c>
      <c r="W32" t="s">
        <v>62</v>
      </c>
      <c r="X32">
        <v>0</v>
      </c>
      <c r="Y32">
        <v>0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</v>
      </c>
      <c r="AK32">
        <v>0</v>
      </c>
      <c r="AL32">
        <v>4</v>
      </c>
      <c r="AM32">
        <v>1</v>
      </c>
      <c r="AN32">
        <v>6</v>
      </c>
      <c r="AO32">
        <v>2</v>
      </c>
      <c r="AP32">
        <v>1</v>
      </c>
      <c r="AQ32">
        <v>0</v>
      </c>
      <c r="AR32" t="s">
        <v>15886</v>
      </c>
      <c r="AS32" t="s">
        <v>193</v>
      </c>
      <c r="AT32">
        <v>1.788</v>
      </c>
      <c r="AU32" t="s">
        <v>65</v>
      </c>
      <c r="AV32">
        <v>7</v>
      </c>
      <c r="AW32">
        <v>2</v>
      </c>
      <c r="AX32" t="s">
        <v>15887</v>
      </c>
      <c r="AY32">
        <v>0.11394</v>
      </c>
      <c r="AZ32">
        <v>-1.24E-2</v>
      </c>
      <c r="BA32">
        <v>7.11E-3</v>
      </c>
      <c r="BB32">
        <v>-1.6900000000000001E-3</v>
      </c>
      <c r="BC32">
        <v>6.241E-2</v>
      </c>
      <c r="BD32">
        <v>1</v>
      </c>
      <c r="BE32" t="s">
        <v>69</v>
      </c>
      <c r="BF32">
        <v>0.21099999999999999</v>
      </c>
      <c r="BG32">
        <v>-1.4710000000000001</v>
      </c>
    </row>
    <row r="33" spans="1:59">
      <c r="A33">
        <v>0</v>
      </c>
      <c r="B33">
        <v>0</v>
      </c>
      <c r="C33">
        <v>0</v>
      </c>
      <c r="D33" t="s">
        <v>25022</v>
      </c>
      <c r="E33">
        <v>1338</v>
      </c>
      <c r="F33" t="s">
        <v>8372</v>
      </c>
      <c r="G33" t="s">
        <v>57</v>
      </c>
      <c r="H33">
        <v>1354131</v>
      </c>
      <c r="I33">
        <v>1354274</v>
      </c>
      <c r="J33" t="s">
        <v>8373</v>
      </c>
      <c r="K33">
        <v>48</v>
      </c>
      <c r="L33" t="s">
        <v>8374</v>
      </c>
      <c r="M33">
        <v>24</v>
      </c>
      <c r="N33" t="str">
        <f>HYPERLINK("Gene1338-zp_tree_all.dnd", "Gene1338-tree")</f>
        <v>Gene1338-tree</v>
      </c>
      <c r="O33">
        <v>4</v>
      </c>
      <c r="P33">
        <v>1</v>
      </c>
      <c r="Q33">
        <v>4</v>
      </c>
      <c r="R33">
        <v>1</v>
      </c>
      <c r="S33">
        <v>0.2</v>
      </c>
      <c r="T33" t="s">
        <v>61</v>
      </c>
      <c r="U33" t="s">
        <v>175</v>
      </c>
      <c r="V33" t="s">
        <v>62</v>
      </c>
      <c r="W33" t="s">
        <v>62</v>
      </c>
      <c r="X33">
        <v>0</v>
      </c>
      <c r="Y33">
        <v>0</v>
      </c>
      <c r="Z33">
        <v>5</v>
      </c>
      <c r="AA33">
        <v>0</v>
      </c>
      <c r="AB33">
        <v>0</v>
      </c>
      <c r="AC33">
        <v>0</v>
      </c>
      <c r="AD33">
        <v>0</v>
      </c>
      <c r="AE33">
        <v>4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3</v>
      </c>
      <c r="AM33">
        <v>2</v>
      </c>
      <c r="AN33">
        <v>2</v>
      </c>
      <c r="AO33">
        <v>1</v>
      </c>
      <c r="AP33">
        <v>2</v>
      </c>
      <c r="AQ33">
        <v>4</v>
      </c>
      <c r="AR33" t="s">
        <v>8375</v>
      </c>
      <c r="AS33" t="s">
        <v>8376</v>
      </c>
      <c r="AT33">
        <v>0.95399999999999996</v>
      </c>
      <c r="AU33" t="s">
        <v>65</v>
      </c>
      <c r="AV33">
        <v>4</v>
      </c>
      <c r="AW33">
        <v>5</v>
      </c>
      <c r="AX33" t="s">
        <v>8377</v>
      </c>
      <c r="AY33">
        <v>7.3870000000000005E-2</v>
      </c>
      <c r="AZ33">
        <v>-1.231E-2</v>
      </c>
      <c r="BA33">
        <v>2.5590000000000002E-2</v>
      </c>
      <c r="BB33">
        <v>-5.0099999999999997E-3</v>
      </c>
      <c r="BC33">
        <v>0.34644000000000003</v>
      </c>
      <c r="BD33">
        <v>0.77700000000000002</v>
      </c>
      <c r="BE33" t="s">
        <v>635</v>
      </c>
      <c r="BF33">
        <v>-1.0649999999999999</v>
      </c>
      <c r="BG33">
        <v>0.28100000000000003</v>
      </c>
    </row>
    <row r="34" spans="1:59">
      <c r="A34">
        <v>0</v>
      </c>
      <c r="B34">
        <v>0</v>
      </c>
      <c r="C34">
        <v>0</v>
      </c>
      <c r="D34" t="s">
        <v>25022</v>
      </c>
      <c r="E34">
        <v>1869</v>
      </c>
      <c r="F34" t="s">
        <v>11701</v>
      </c>
      <c r="G34" t="s">
        <v>57</v>
      </c>
      <c r="H34">
        <v>1930264</v>
      </c>
      <c r="I34">
        <v>1930407</v>
      </c>
      <c r="J34" t="s">
        <v>389</v>
      </c>
      <c r="K34">
        <v>48</v>
      </c>
      <c r="L34" t="s">
        <v>59</v>
      </c>
      <c r="M34">
        <v>49</v>
      </c>
      <c r="N34" t="str">
        <f>HYPERLINK("Gene1869-zp_tree_all.dnd", "Gene1869-tree")</f>
        <v>Gene1869-tree</v>
      </c>
      <c r="O34">
        <v>8</v>
      </c>
      <c r="P34">
        <v>0</v>
      </c>
      <c r="Q34">
        <v>8</v>
      </c>
      <c r="R34">
        <v>0</v>
      </c>
      <c r="S34">
        <v>0</v>
      </c>
      <c r="T34" t="s">
        <v>136</v>
      </c>
      <c r="U34" t="s">
        <v>62</v>
      </c>
      <c r="V34" t="s">
        <v>62</v>
      </c>
      <c r="W34" t="s">
        <v>62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5</v>
      </c>
      <c r="AM34">
        <v>4</v>
      </c>
      <c r="AN34">
        <v>9</v>
      </c>
      <c r="AO34">
        <v>0</v>
      </c>
      <c r="AP34">
        <v>3</v>
      </c>
      <c r="AQ34">
        <v>1</v>
      </c>
      <c r="AR34" t="s">
        <v>193</v>
      </c>
      <c r="AS34" t="s">
        <v>11702</v>
      </c>
      <c r="AT34">
        <v>0.6</v>
      </c>
      <c r="AU34" t="s">
        <v>65</v>
      </c>
      <c r="AV34">
        <v>12</v>
      </c>
      <c r="AW34">
        <v>1</v>
      </c>
      <c r="AX34" t="s">
        <v>11703</v>
      </c>
      <c r="AY34">
        <v>0.12858</v>
      </c>
      <c r="AZ34">
        <v>-1.1509999999999999E-2</v>
      </c>
      <c r="BA34">
        <v>4.6800000000000001E-3</v>
      </c>
      <c r="BB34">
        <v>-6.3000000000000003E-4</v>
      </c>
      <c r="BC34">
        <v>3.6409999999999998E-2</v>
      </c>
      <c r="BD34">
        <v>1</v>
      </c>
      <c r="BE34" t="s">
        <v>69</v>
      </c>
      <c r="BF34">
        <v>-1.04</v>
      </c>
      <c r="BG34">
        <v>-1.0449999999999999</v>
      </c>
    </row>
    <row r="35" spans="1:59">
      <c r="A35">
        <v>0</v>
      </c>
      <c r="B35">
        <v>0</v>
      </c>
      <c r="C35">
        <v>0</v>
      </c>
      <c r="D35" t="s">
        <v>25022</v>
      </c>
      <c r="E35">
        <v>2293</v>
      </c>
      <c r="F35" t="s">
        <v>13283</v>
      </c>
      <c r="G35" t="s">
        <v>62</v>
      </c>
      <c r="H35">
        <v>2311989</v>
      </c>
      <c r="I35">
        <v>2312132</v>
      </c>
      <c r="J35" t="s">
        <v>2302</v>
      </c>
      <c r="K35">
        <v>48</v>
      </c>
      <c r="L35" t="s">
        <v>59</v>
      </c>
      <c r="M35">
        <v>49</v>
      </c>
      <c r="N35" t="str">
        <f>HYPERLINK("Gene2293-zp_tree_all.dnd", "Gene2293-tree")</f>
        <v>Gene2293-tree</v>
      </c>
      <c r="O35">
        <v>24</v>
      </c>
      <c r="P35">
        <v>0</v>
      </c>
      <c r="Q35">
        <v>5</v>
      </c>
      <c r="R35">
        <v>0</v>
      </c>
      <c r="S35">
        <v>0</v>
      </c>
      <c r="T35" t="s">
        <v>2668</v>
      </c>
      <c r="U35" t="s">
        <v>62</v>
      </c>
      <c r="V35" t="s">
        <v>62</v>
      </c>
      <c r="W35" t="s">
        <v>62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2</v>
      </c>
      <c r="AN35">
        <v>3</v>
      </c>
      <c r="AO35">
        <v>0</v>
      </c>
      <c r="AP35">
        <v>2</v>
      </c>
      <c r="AQ35">
        <v>0</v>
      </c>
      <c r="AR35" t="s">
        <v>193</v>
      </c>
      <c r="AS35" t="s">
        <v>193</v>
      </c>
      <c r="AT35">
        <v>0</v>
      </c>
      <c r="AU35" t="s">
        <v>65</v>
      </c>
      <c r="AV35">
        <v>5</v>
      </c>
      <c r="AW35">
        <v>0</v>
      </c>
      <c r="AX35" t="s">
        <v>13284</v>
      </c>
      <c r="AY35">
        <v>8.9840000000000003E-2</v>
      </c>
      <c r="AZ35">
        <v>-1.619E-2</v>
      </c>
      <c r="BA35">
        <v>0</v>
      </c>
      <c r="BB35">
        <v>0</v>
      </c>
      <c r="BC35">
        <v>0</v>
      </c>
      <c r="BD35">
        <v>1</v>
      </c>
      <c r="BE35" t="s">
        <v>69</v>
      </c>
      <c r="BF35">
        <v>-0.52500000000000002</v>
      </c>
      <c r="BG35">
        <v>-0.82099999999999995</v>
      </c>
    </row>
    <row r="36" spans="1:59">
      <c r="A36">
        <v>0</v>
      </c>
      <c r="B36">
        <v>0</v>
      </c>
      <c r="C36">
        <v>0</v>
      </c>
      <c r="D36" t="s">
        <v>25022</v>
      </c>
      <c r="E36">
        <v>2660</v>
      </c>
      <c r="F36" t="s">
        <v>15596</v>
      </c>
      <c r="G36" t="s">
        <v>62</v>
      </c>
      <c r="H36">
        <v>2637182</v>
      </c>
      <c r="I36">
        <v>2637328</v>
      </c>
      <c r="J36" t="s">
        <v>15597</v>
      </c>
      <c r="K36">
        <v>49</v>
      </c>
      <c r="L36" t="s">
        <v>59</v>
      </c>
      <c r="M36">
        <v>49</v>
      </c>
      <c r="N36" t="str">
        <f>HYPERLINK("Gene2660-zp_tree_all.dnd", "Gene2660-tree")</f>
        <v>Gene2660-tree</v>
      </c>
      <c r="O36">
        <v>2</v>
      </c>
      <c r="P36">
        <v>3</v>
      </c>
      <c r="Q36">
        <v>2</v>
      </c>
      <c r="R36">
        <v>3</v>
      </c>
      <c r="S36">
        <v>0.6</v>
      </c>
      <c r="T36" t="s">
        <v>81</v>
      </c>
      <c r="U36" t="s">
        <v>324</v>
      </c>
      <c r="V36" t="s">
        <v>62</v>
      </c>
      <c r="W36" t="s">
        <v>62</v>
      </c>
      <c r="X36">
        <v>0</v>
      </c>
      <c r="Y36">
        <v>0</v>
      </c>
      <c r="Z36">
        <v>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</v>
      </c>
      <c r="AK36">
        <v>0</v>
      </c>
      <c r="AL36">
        <v>4</v>
      </c>
      <c r="AM36">
        <v>0</v>
      </c>
      <c r="AN36">
        <v>2</v>
      </c>
      <c r="AO36">
        <v>3</v>
      </c>
      <c r="AP36">
        <v>0</v>
      </c>
      <c r="AQ36">
        <v>0</v>
      </c>
      <c r="AR36" t="s">
        <v>15598</v>
      </c>
      <c r="AS36" t="s">
        <v>193</v>
      </c>
      <c r="AT36">
        <v>1.5</v>
      </c>
      <c r="AU36" t="s">
        <v>65</v>
      </c>
      <c r="AV36">
        <v>2</v>
      </c>
      <c r="AW36">
        <v>3</v>
      </c>
      <c r="AX36" t="s">
        <v>15599</v>
      </c>
      <c r="AY36">
        <v>2.2290000000000001E-2</v>
      </c>
      <c r="AZ36">
        <v>-5.3299999999999997E-3</v>
      </c>
      <c r="BA36">
        <v>1.1039999999999999E-2</v>
      </c>
      <c r="BB36">
        <v>-1.7600000000000001E-3</v>
      </c>
      <c r="BC36">
        <v>0.49543999999999999</v>
      </c>
      <c r="BD36">
        <v>0.72199999999999998</v>
      </c>
      <c r="BE36" t="s">
        <v>635</v>
      </c>
      <c r="BF36">
        <v>-1.736</v>
      </c>
      <c r="BG36">
        <v>-0.82099999999999995</v>
      </c>
    </row>
    <row r="37" spans="1:59">
      <c r="A37">
        <v>0</v>
      </c>
      <c r="B37">
        <v>0</v>
      </c>
      <c r="C37">
        <v>0</v>
      </c>
      <c r="D37" t="s">
        <v>25022</v>
      </c>
      <c r="E37">
        <v>4199</v>
      </c>
      <c r="F37" t="s">
        <v>24729</v>
      </c>
      <c r="G37" t="s">
        <v>62</v>
      </c>
      <c r="H37">
        <v>4166818</v>
      </c>
      <c r="I37">
        <v>4166964</v>
      </c>
      <c r="J37" t="s">
        <v>2302</v>
      </c>
      <c r="K37">
        <v>49</v>
      </c>
      <c r="L37" t="s">
        <v>59</v>
      </c>
      <c r="M37">
        <v>49</v>
      </c>
      <c r="N37" t="str">
        <f>HYPERLINK("Gene4199-zp_tree_all.dnd", "Gene4199-tree")</f>
        <v>Gene4199-tree</v>
      </c>
      <c r="O37">
        <v>6</v>
      </c>
      <c r="P37">
        <v>1</v>
      </c>
      <c r="Q37">
        <v>6</v>
      </c>
      <c r="R37">
        <v>1</v>
      </c>
      <c r="S37">
        <v>0.14285999999999999</v>
      </c>
      <c r="T37" t="s">
        <v>90</v>
      </c>
      <c r="U37" t="s">
        <v>175</v>
      </c>
      <c r="V37" t="s">
        <v>62</v>
      </c>
      <c r="W37" t="s">
        <v>62</v>
      </c>
      <c r="X37">
        <v>0</v>
      </c>
      <c r="Y37">
        <v>0</v>
      </c>
      <c r="Z37">
        <v>3</v>
      </c>
      <c r="AA37">
        <v>0</v>
      </c>
      <c r="AB37">
        <v>0</v>
      </c>
      <c r="AC37">
        <v>0</v>
      </c>
      <c r="AD37">
        <v>0</v>
      </c>
      <c r="AE37">
        <v>2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4</v>
      </c>
      <c r="AM37">
        <v>2</v>
      </c>
      <c r="AN37">
        <v>4</v>
      </c>
      <c r="AO37">
        <v>1</v>
      </c>
      <c r="AP37">
        <v>1</v>
      </c>
      <c r="AQ37">
        <v>2</v>
      </c>
      <c r="AR37" t="s">
        <v>24730</v>
      </c>
      <c r="AS37" t="s">
        <v>24731</v>
      </c>
      <c r="AT37">
        <v>1.196</v>
      </c>
      <c r="AU37" t="s">
        <v>65</v>
      </c>
      <c r="AV37">
        <v>5</v>
      </c>
      <c r="AW37">
        <v>3</v>
      </c>
      <c r="AX37" t="s">
        <v>24732</v>
      </c>
      <c r="AY37">
        <v>6.157E-2</v>
      </c>
      <c r="AZ37">
        <v>-6.7600000000000004E-3</v>
      </c>
      <c r="BA37">
        <v>1.129E-2</v>
      </c>
      <c r="BB37">
        <v>-1.4599999999999999E-3</v>
      </c>
      <c r="BC37">
        <v>0.18340000000000001</v>
      </c>
      <c r="BD37">
        <v>0.97599999999999998</v>
      </c>
      <c r="BE37" t="s">
        <v>69</v>
      </c>
      <c r="BF37">
        <v>-1.7809999999999999</v>
      </c>
      <c r="BG37">
        <v>-1.5409999999999999</v>
      </c>
    </row>
    <row r="38" spans="1:59">
      <c r="A38">
        <v>0</v>
      </c>
      <c r="B38">
        <v>0</v>
      </c>
      <c r="C38">
        <v>0</v>
      </c>
      <c r="D38" t="s">
        <v>25022</v>
      </c>
      <c r="E38">
        <v>4161</v>
      </c>
      <c r="F38" t="s">
        <v>24505</v>
      </c>
      <c r="G38" t="s">
        <v>62</v>
      </c>
      <c r="H38">
        <v>4127501</v>
      </c>
      <c r="I38">
        <v>4127647</v>
      </c>
      <c r="J38" t="s">
        <v>24506</v>
      </c>
      <c r="K38">
        <v>49</v>
      </c>
      <c r="L38" t="s">
        <v>24494</v>
      </c>
      <c r="M38">
        <v>22</v>
      </c>
      <c r="N38" t="str">
        <f>HYPERLINK("Gene4161-zp_tree_all.dnd", "Gene4161-tree")</f>
        <v>Gene4161-tree</v>
      </c>
      <c r="O38">
        <v>3</v>
      </c>
      <c r="P38">
        <v>1</v>
      </c>
      <c r="Q38">
        <v>3</v>
      </c>
      <c r="R38">
        <v>1</v>
      </c>
      <c r="S38">
        <v>0.25</v>
      </c>
      <c r="T38" t="s">
        <v>324</v>
      </c>
      <c r="U38" t="s">
        <v>175</v>
      </c>
      <c r="V38" t="s">
        <v>62</v>
      </c>
      <c r="W38" t="s">
        <v>62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3</v>
      </c>
      <c r="AM38">
        <v>0</v>
      </c>
      <c r="AN38">
        <v>2</v>
      </c>
      <c r="AO38">
        <v>1</v>
      </c>
      <c r="AP38">
        <v>0</v>
      </c>
      <c r="AQ38">
        <v>0</v>
      </c>
      <c r="AR38" t="s">
        <v>24507</v>
      </c>
      <c r="AS38" t="s">
        <v>193</v>
      </c>
      <c r="AT38">
        <v>0.69299999999999995</v>
      </c>
      <c r="AU38" t="s">
        <v>65</v>
      </c>
      <c r="AV38">
        <v>2</v>
      </c>
      <c r="AW38">
        <v>1</v>
      </c>
      <c r="AX38" t="s">
        <v>24508</v>
      </c>
      <c r="AY38">
        <v>3.7019999999999997E-2</v>
      </c>
      <c r="AZ38">
        <v>-6.3800000000000003E-3</v>
      </c>
      <c r="BA38">
        <v>4.2199999999999998E-3</v>
      </c>
      <c r="BB38">
        <v>-1.72E-3</v>
      </c>
      <c r="BC38">
        <v>0.11405999999999999</v>
      </c>
      <c r="BD38">
        <v>1</v>
      </c>
      <c r="BE38" t="s">
        <v>69</v>
      </c>
      <c r="BF38">
        <v>-1.0349999999999999</v>
      </c>
      <c r="BG38">
        <v>-1.3089999999999999</v>
      </c>
    </row>
    <row r="39" spans="1:59">
      <c r="A39">
        <v>0</v>
      </c>
      <c r="B39">
        <v>0</v>
      </c>
      <c r="C39">
        <v>0</v>
      </c>
      <c r="D39" t="s">
        <v>25022</v>
      </c>
      <c r="E39">
        <v>99</v>
      </c>
      <c r="F39" t="s">
        <v>775</v>
      </c>
      <c r="G39" t="s">
        <v>57</v>
      </c>
      <c r="H39">
        <v>117349</v>
      </c>
      <c r="I39">
        <v>117495</v>
      </c>
      <c r="J39" t="s">
        <v>776</v>
      </c>
      <c r="K39">
        <v>49</v>
      </c>
      <c r="L39" t="s">
        <v>59</v>
      </c>
      <c r="M39">
        <v>49</v>
      </c>
      <c r="N39" t="str">
        <f>HYPERLINK("Gene99-zp_tree_all.dnd", "Gene99-tree")</f>
        <v>Gene99-tree</v>
      </c>
      <c r="O39">
        <v>5</v>
      </c>
      <c r="P39">
        <v>0</v>
      </c>
      <c r="Q39">
        <v>5</v>
      </c>
      <c r="R39">
        <v>0</v>
      </c>
      <c r="S39">
        <v>0</v>
      </c>
      <c r="T39" t="s">
        <v>199</v>
      </c>
      <c r="U39" t="s">
        <v>62</v>
      </c>
      <c r="V39" t="s">
        <v>62</v>
      </c>
      <c r="W39" t="s">
        <v>62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</v>
      </c>
      <c r="AM39">
        <v>1</v>
      </c>
      <c r="AN39">
        <v>3</v>
      </c>
      <c r="AO39">
        <v>0</v>
      </c>
      <c r="AP39">
        <v>1</v>
      </c>
      <c r="AQ39">
        <v>0</v>
      </c>
      <c r="AR39" t="s">
        <v>193</v>
      </c>
      <c r="AS39" t="s">
        <v>193</v>
      </c>
      <c r="AT39">
        <v>0</v>
      </c>
      <c r="AU39" t="s">
        <v>65</v>
      </c>
      <c r="AV39">
        <v>4</v>
      </c>
      <c r="AW39">
        <v>0</v>
      </c>
      <c r="AX39" t="s">
        <v>777</v>
      </c>
      <c r="AY39">
        <v>5.9029999999999999E-2</v>
      </c>
      <c r="AZ39">
        <v>-8.0700000000000008E-3</v>
      </c>
      <c r="BA39">
        <v>0</v>
      </c>
      <c r="BB39">
        <v>0</v>
      </c>
      <c r="BC39">
        <v>0</v>
      </c>
      <c r="BD39">
        <v>1</v>
      </c>
      <c r="BE39" t="s">
        <v>69</v>
      </c>
      <c r="BF39">
        <v>-1.4930000000000001</v>
      </c>
      <c r="BG39">
        <v>-2.29</v>
      </c>
    </row>
    <row r="40" spans="1:59">
      <c r="A40">
        <v>0</v>
      </c>
      <c r="B40">
        <v>0</v>
      </c>
      <c r="C40">
        <v>0</v>
      </c>
      <c r="D40" t="s">
        <v>25022</v>
      </c>
      <c r="E40">
        <v>1940</v>
      </c>
      <c r="F40" t="s">
        <v>12161</v>
      </c>
      <c r="G40" t="s">
        <v>62</v>
      </c>
      <c r="H40">
        <v>2039418</v>
      </c>
      <c r="I40">
        <v>2039570</v>
      </c>
      <c r="J40" t="s">
        <v>12162</v>
      </c>
      <c r="K40">
        <v>51</v>
      </c>
      <c r="L40" t="s">
        <v>12163</v>
      </c>
      <c r="M40">
        <v>29</v>
      </c>
      <c r="N40" t="str">
        <f>HYPERLINK("Gene1940-zp_tree_all.dnd", "Gene1940-tree")</f>
        <v>Gene1940-tree</v>
      </c>
      <c r="O40">
        <v>0</v>
      </c>
      <c r="P40">
        <v>25</v>
      </c>
      <c r="Q40">
        <v>0</v>
      </c>
      <c r="R40">
        <v>5</v>
      </c>
      <c r="S40">
        <v>1</v>
      </c>
      <c r="T40" t="s">
        <v>62</v>
      </c>
      <c r="U40" t="s">
        <v>4839</v>
      </c>
      <c r="V40">
        <v>6.069</v>
      </c>
      <c r="W40" t="s">
        <v>65</v>
      </c>
      <c r="X40">
        <v>0</v>
      </c>
      <c r="Y40">
        <v>0</v>
      </c>
      <c r="Z40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</v>
      </c>
      <c r="AK40">
        <v>0</v>
      </c>
      <c r="AL40">
        <v>2</v>
      </c>
      <c r="AM40">
        <v>2</v>
      </c>
      <c r="AN40">
        <v>0</v>
      </c>
      <c r="AO40">
        <v>2</v>
      </c>
      <c r="AP40">
        <v>0</v>
      </c>
      <c r="AQ40">
        <v>2</v>
      </c>
      <c r="AR40" t="s">
        <v>193</v>
      </c>
      <c r="AS40" t="s">
        <v>193</v>
      </c>
      <c r="AT40">
        <v>0</v>
      </c>
      <c r="AU40" t="s">
        <v>65</v>
      </c>
      <c r="AV40">
        <v>0</v>
      </c>
      <c r="AW40">
        <v>4</v>
      </c>
      <c r="AX40" t="s">
        <v>12164</v>
      </c>
      <c r="AY40">
        <v>0</v>
      </c>
      <c r="AZ40">
        <v>0</v>
      </c>
      <c r="BA40">
        <v>1.669E-2</v>
      </c>
      <c r="BB40">
        <v>-2.6700000000000001E-3</v>
      </c>
      <c r="BC40" t="s">
        <v>1346</v>
      </c>
      <c r="BD40">
        <v>1</v>
      </c>
      <c r="BE40" t="s">
        <v>69</v>
      </c>
      <c r="BF40">
        <v>1.0429999999999999</v>
      </c>
      <c r="BG40">
        <v>1.0620000000000001</v>
      </c>
    </row>
    <row r="41" spans="1:59">
      <c r="A41">
        <v>0</v>
      </c>
      <c r="B41">
        <v>0</v>
      </c>
      <c r="C41">
        <v>0</v>
      </c>
      <c r="D41" t="s">
        <v>25022</v>
      </c>
      <c r="E41">
        <v>939</v>
      </c>
      <c r="F41" t="s">
        <v>5883</v>
      </c>
      <c r="G41" t="s">
        <v>57</v>
      </c>
      <c r="H41">
        <v>980313</v>
      </c>
      <c r="I41">
        <v>980465</v>
      </c>
      <c r="J41" t="s">
        <v>2302</v>
      </c>
      <c r="K41">
        <v>51</v>
      </c>
      <c r="L41" t="s">
        <v>1392</v>
      </c>
      <c r="M41">
        <v>43</v>
      </c>
      <c r="N41" t="str">
        <f>HYPERLINK("Gene939-zp_tree_all.dnd", "Gene939-tree")</f>
        <v>Gene939-tree</v>
      </c>
      <c r="O41">
        <v>26</v>
      </c>
      <c r="P41">
        <v>3</v>
      </c>
      <c r="Q41">
        <v>2</v>
      </c>
      <c r="R41">
        <v>3</v>
      </c>
      <c r="S41">
        <v>0.6</v>
      </c>
      <c r="T41" t="s">
        <v>5884</v>
      </c>
      <c r="U41" t="s">
        <v>324</v>
      </c>
      <c r="V41" t="s">
        <v>62</v>
      </c>
      <c r="W41" t="s">
        <v>62</v>
      </c>
      <c r="X41">
        <v>0</v>
      </c>
      <c r="Y41">
        <v>0</v>
      </c>
      <c r="Z41">
        <v>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</v>
      </c>
      <c r="AK41">
        <v>0</v>
      </c>
      <c r="AL41">
        <v>3</v>
      </c>
      <c r="AM41">
        <v>1</v>
      </c>
      <c r="AN41">
        <v>1</v>
      </c>
      <c r="AO41">
        <v>5</v>
      </c>
      <c r="AP41">
        <v>0</v>
      </c>
      <c r="AQ41">
        <v>1</v>
      </c>
      <c r="AR41" t="s">
        <v>5885</v>
      </c>
      <c r="AS41" t="s">
        <v>193</v>
      </c>
      <c r="AT41">
        <v>0.67600000000000005</v>
      </c>
      <c r="AU41" t="s">
        <v>65</v>
      </c>
      <c r="AV41">
        <v>1</v>
      </c>
      <c r="AW41">
        <v>6</v>
      </c>
      <c r="AX41" t="s">
        <v>5886</v>
      </c>
      <c r="AY41">
        <v>1.124E-2</v>
      </c>
      <c r="AZ41">
        <v>-4.1999999999999997E-3</v>
      </c>
      <c r="BA41">
        <v>2.2759999999999999E-2</v>
      </c>
      <c r="BB41">
        <v>-4.7299999999999998E-3</v>
      </c>
      <c r="BC41">
        <v>2.0253000000000001</v>
      </c>
      <c r="BD41">
        <v>0.13500000000000001</v>
      </c>
      <c r="BE41" t="s">
        <v>635</v>
      </c>
      <c r="BF41">
        <v>-1.081</v>
      </c>
      <c r="BG41">
        <v>-2.5259999999999998</v>
      </c>
    </row>
    <row r="42" spans="1:59">
      <c r="A42">
        <v>0</v>
      </c>
      <c r="B42">
        <v>0</v>
      </c>
      <c r="C42">
        <v>0</v>
      </c>
      <c r="D42" t="s">
        <v>25022</v>
      </c>
      <c r="E42">
        <v>3893</v>
      </c>
      <c r="F42" t="s">
        <v>22825</v>
      </c>
      <c r="G42" t="s">
        <v>62</v>
      </c>
      <c r="H42">
        <v>3856785</v>
      </c>
      <c r="I42">
        <v>3856937</v>
      </c>
      <c r="J42" t="s">
        <v>22826</v>
      </c>
      <c r="K42">
        <v>51</v>
      </c>
      <c r="L42" t="s">
        <v>22827</v>
      </c>
      <c r="M42">
        <v>42</v>
      </c>
      <c r="N42" t="str">
        <f>HYPERLINK("Gene3893-zp_tree_all.dnd", "Gene3893-tree")</f>
        <v>Gene3893-tree</v>
      </c>
      <c r="O42">
        <v>2</v>
      </c>
      <c r="P42">
        <v>3</v>
      </c>
      <c r="Q42">
        <v>2</v>
      </c>
      <c r="R42">
        <v>3</v>
      </c>
      <c r="S42">
        <v>0.6</v>
      </c>
      <c r="T42" t="s">
        <v>81</v>
      </c>
      <c r="U42" t="s">
        <v>324</v>
      </c>
      <c r="V42" t="s">
        <v>62</v>
      </c>
      <c r="W42" t="s">
        <v>62</v>
      </c>
      <c r="X42">
        <v>0</v>
      </c>
      <c r="Y42">
        <v>0</v>
      </c>
      <c r="Z42">
        <v>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</v>
      </c>
      <c r="AK42">
        <v>0</v>
      </c>
      <c r="AL42">
        <v>2</v>
      </c>
      <c r="AM42">
        <v>2</v>
      </c>
      <c r="AN42">
        <v>1</v>
      </c>
      <c r="AO42">
        <v>1</v>
      </c>
      <c r="AP42">
        <v>0</v>
      </c>
      <c r="AQ42">
        <v>2</v>
      </c>
      <c r="AR42" t="s">
        <v>22828</v>
      </c>
      <c r="AS42" t="s">
        <v>193</v>
      </c>
      <c r="AT42">
        <v>0.70699999999999996</v>
      </c>
      <c r="AU42" t="s">
        <v>65</v>
      </c>
      <c r="AV42">
        <v>1</v>
      </c>
      <c r="AW42">
        <v>3</v>
      </c>
      <c r="AX42" t="s">
        <v>12164</v>
      </c>
      <c r="AY42">
        <v>1.158E-2</v>
      </c>
      <c r="AZ42">
        <v>-4.0099999999999997E-3</v>
      </c>
      <c r="BA42">
        <v>1.375E-2</v>
      </c>
      <c r="BB42">
        <v>-2.5100000000000001E-3</v>
      </c>
      <c r="BC42">
        <v>1.1868300000000001</v>
      </c>
      <c r="BD42">
        <v>8.7999999999999995E-2</v>
      </c>
      <c r="BE42" t="s">
        <v>635</v>
      </c>
      <c r="BF42">
        <v>0.76</v>
      </c>
      <c r="BG42">
        <v>-5.0999999999999997E-2</v>
      </c>
    </row>
    <row r="43" spans="1:59">
      <c r="A43">
        <v>0</v>
      </c>
      <c r="B43">
        <v>0</v>
      </c>
      <c r="C43">
        <v>0</v>
      </c>
      <c r="D43" t="s">
        <v>25022</v>
      </c>
      <c r="E43">
        <v>2059</v>
      </c>
      <c r="F43" t="s">
        <v>12823</v>
      </c>
      <c r="G43" t="s">
        <v>62</v>
      </c>
      <c r="H43">
        <v>2145674</v>
      </c>
      <c r="I43">
        <v>2145826</v>
      </c>
      <c r="J43" t="s">
        <v>12824</v>
      </c>
      <c r="K43">
        <v>51</v>
      </c>
      <c r="L43" t="s">
        <v>108</v>
      </c>
      <c r="M43">
        <v>44</v>
      </c>
      <c r="N43" t="str">
        <f>HYPERLINK("Gene2059-zp_tree_all.dnd", "Gene2059-tree")</f>
        <v>Gene2059-tree</v>
      </c>
      <c r="O43">
        <v>22</v>
      </c>
      <c r="P43">
        <v>3</v>
      </c>
      <c r="Q43">
        <v>2</v>
      </c>
      <c r="R43">
        <v>3</v>
      </c>
      <c r="S43">
        <v>0.6</v>
      </c>
      <c r="T43" t="s">
        <v>2847</v>
      </c>
      <c r="U43" t="s">
        <v>324</v>
      </c>
      <c r="V43" t="s">
        <v>62</v>
      </c>
      <c r="W43" t="s">
        <v>62</v>
      </c>
      <c r="X43">
        <v>0</v>
      </c>
      <c r="Y43">
        <v>0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0</v>
      </c>
      <c r="AL43">
        <v>3</v>
      </c>
      <c r="AM43">
        <v>1</v>
      </c>
      <c r="AN43">
        <v>1</v>
      </c>
      <c r="AO43">
        <v>2</v>
      </c>
      <c r="AP43">
        <v>0</v>
      </c>
      <c r="AQ43">
        <v>1</v>
      </c>
      <c r="AR43" t="s">
        <v>12825</v>
      </c>
      <c r="AS43" t="s">
        <v>193</v>
      </c>
      <c r="AT43">
        <v>0.69299999999999995</v>
      </c>
      <c r="AU43" t="s">
        <v>65</v>
      </c>
      <c r="AV43">
        <v>1</v>
      </c>
      <c r="AW43">
        <v>3</v>
      </c>
      <c r="AX43" t="s">
        <v>12826</v>
      </c>
      <c r="AY43">
        <v>1.255E-2</v>
      </c>
      <c r="AZ43">
        <v>-4.8599999999999997E-3</v>
      </c>
      <c r="BA43">
        <v>1.1730000000000001E-2</v>
      </c>
      <c r="BB43">
        <v>-1.32E-3</v>
      </c>
      <c r="BC43">
        <v>0.93461000000000005</v>
      </c>
      <c r="BD43">
        <v>0.19</v>
      </c>
      <c r="BE43" t="s">
        <v>635</v>
      </c>
      <c r="BF43">
        <v>0.68200000000000005</v>
      </c>
      <c r="BG43">
        <v>-6.4000000000000001E-2</v>
      </c>
    </row>
    <row r="44" spans="1:59">
      <c r="A44">
        <v>0</v>
      </c>
      <c r="B44">
        <v>2</v>
      </c>
      <c r="C44">
        <v>1</v>
      </c>
      <c r="D44" t="s">
        <v>25022</v>
      </c>
      <c r="E44">
        <v>778</v>
      </c>
      <c r="F44" t="s">
        <v>4837</v>
      </c>
      <c r="G44" t="s">
        <v>57</v>
      </c>
      <c r="H44">
        <v>814109</v>
      </c>
      <c r="I44">
        <v>814261</v>
      </c>
      <c r="J44" t="s">
        <v>2302</v>
      </c>
      <c r="K44">
        <v>51</v>
      </c>
      <c r="L44" t="s">
        <v>4838</v>
      </c>
      <c r="M44">
        <v>32</v>
      </c>
      <c r="N44" t="str">
        <f>HYPERLINK("Gene778-zp_tree_all.dnd", "Gene778-tree")</f>
        <v>Gene778-tree</v>
      </c>
      <c r="O44">
        <v>0</v>
      </c>
      <c r="P44">
        <v>25</v>
      </c>
      <c r="Q44">
        <v>0</v>
      </c>
      <c r="R44">
        <v>5</v>
      </c>
      <c r="S44">
        <v>1</v>
      </c>
      <c r="T44" t="s">
        <v>62</v>
      </c>
      <c r="U44" t="s">
        <v>4839</v>
      </c>
      <c r="V44">
        <v>6.069</v>
      </c>
      <c r="W44" t="s">
        <v>65</v>
      </c>
      <c r="X44">
        <v>1</v>
      </c>
      <c r="Y44">
        <v>3</v>
      </c>
      <c r="Z44">
        <v>4</v>
      </c>
      <c r="AA44">
        <v>0.42857000000000001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</v>
      </c>
      <c r="AH44">
        <v>1</v>
      </c>
      <c r="AI44">
        <v>3</v>
      </c>
      <c r="AJ44">
        <v>4</v>
      </c>
      <c r="AK44">
        <v>0.42857000000000001</v>
      </c>
      <c r="AL44">
        <v>4</v>
      </c>
      <c r="AM44">
        <v>1</v>
      </c>
      <c r="AN44">
        <v>4</v>
      </c>
      <c r="AO44">
        <v>6</v>
      </c>
      <c r="AP44">
        <v>0</v>
      </c>
      <c r="AQ44">
        <v>1</v>
      </c>
      <c r="AR44" t="s">
        <v>4840</v>
      </c>
      <c r="AS44" t="s">
        <v>193</v>
      </c>
      <c r="AT44">
        <v>1.0649999999999999</v>
      </c>
      <c r="AU44" t="s">
        <v>65</v>
      </c>
      <c r="AV44">
        <v>4</v>
      </c>
      <c r="AW44">
        <v>7</v>
      </c>
      <c r="AX44" t="s">
        <v>4841</v>
      </c>
      <c r="AY44">
        <v>5.8650000000000001E-2</v>
      </c>
      <c r="AZ44">
        <v>-1.6879999999999999E-2</v>
      </c>
      <c r="BA44">
        <v>2.3640000000000001E-2</v>
      </c>
      <c r="BB44">
        <v>-3.5899999999999999E-3</v>
      </c>
      <c r="BC44">
        <v>0.40315000000000001</v>
      </c>
      <c r="BD44">
        <v>0.91600000000000004</v>
      </c>
      <c r="BE44" t="s">
        <v>635</v>
      </c>
      <c r="BF44">
        <v>-0.151</v>
      </c>
      <c r="BG44">
        <v>-0.78800000000000003</v>
      </c>
    </row>
    <row r="45" spans="1:59">
      <c r="A45">
        <v>0</v>
      </c>
      <c r="B45">
        <v>0</v>
      </c>
      <c r="C45">
        <v>0</v>
      </c>
      <c r="D45" t="s">
        <v>25022</v>
      </c>
      <c r="E45">
        <v>1402</v>
      </c>
      <c r="F45" t="s">
        <v>8777</v>
      </c>
      <c r="G45" t="s">
        <v>57</v>
      </c>
      <c r="H45">
        <v>1417561</v>
      </c>
      <c r="I45">
        <v>1417713</v>
      </c>
      <c r="J45" t="s">
        <v>116</v>
      </c>
      <c r="K45">
        <v>51</v>
      </c>
      <c r="L45" t="s">
        <v>108</v>
      </c>
      <c r="M45">
        <v>44</v>
      </c>
      <c r="N45" t="str">
        <f>HYPERLINK("Gene1402-zp_tree_all.dnd", "Gene1402-tree")</f>
        <v>Gene1402-tree</v>
      </c>
      <c r="O45">
        <v>3</v>
      </c>
      <c r="P45">
        <v>1</v>
      </c>
      <c r="Q45">
        <v>3</v>
      </c>
      <c r="R45">
        <v>1</v>
      </c>
      <c r="S45">
        <v>0.25</v>
      </c>
      <c r="T45" t="s">
        <v>324</v>
      </c>
      <c r="U45" t="s">
        <v>175</v>
      </c>
      <c r="V45" t="s">
        <v>62</v>
      </c>
      <c r="W45" t="s">
        <v>62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3</v>
      </c>
      <c r="AM45">
        <v>0</v>
      </c>
      <c r="AN45">
        <v>2</v>
      </c>
      <c r="AO45">
        <v>1</v>
      </c>
      <c r="AP45">
        <v>0</v>
      </c>
      <c r="AQ45">
        <v>0</v>
      </c>
      <c r="AR45" t="s">
        <v>8778</v>
      </c>
      <c r="AS45" t="s">
        <v>193</v>
      </c>
      <c r="AT45">
        <v>0.69299999999999995</v>
      </c>
      <c r="AU45" t="s">
        <v>65</v>
      </c>
      <c r="AV45">
        <v>2</v>
      </c>
      <c r="AW45">
        <v>1</v>
      </c>
      <c r="AX45" t="s">
        <v>8779</v>
      </c>
      <c r="AY45">
        <v>3.4369999999999998E-2</v>
      </c>
      <c r="AZ45">
        <v>-5.9100000000000003E-3</v>
      </c>
      <c r="BA45">
        <v>4.0899999999999999E-3</v>
      </c>
      <c r="BB45">
        <v>-1.67E-3</v>
      </c>
      <c r="BC45">
        <v>0.11892999999999999</v>
      </c>
      <c r="BD45">
        <v>0.94099999999999995</v>
      </c>
      <c r="BE45" t="s">
        <v>635</v>
      </c>
      <c r="BF45">
        <v>-1.4410000000000001</v>
      </c>
      <c r="BG45">
        <v>-0.378</v>
      </c>
    </row>
    <row r="46" spans="1:59">
      <c r="A46">
        <v>0</v>
      </c>
      <c r="B46">
        <v>0</v>
      </c>
      <c r="C46">
        <v>0</v>
      </c>
      <c r="D46" t="s">
        <v>25022</v>
      </c>
      <c r="E46">
        <v>1383</v>
      </c>
      <c r="F46" t="s">
        <v>8655</v>
      </c>
      <c r="G46" t="s">
        <v>57</v>
      </c>
      <c r="H46">
        <v>1397938</v>
      </c>
      <c r="I46">
        <v>1398090</v>
      </c>
      <c r="J46" t="s">
        <v>116</v>
      </c>
      <c r="K46">
        <v>51</v>
      </c>
      <c r="L46" t="s">
        <v>59</v>
      </c>
      <c r="M46">
        <v>49</v>
      </c>
      <c r="N46" t="str">
        <f>HYPERLINK("Gene1383-zp_tree_all.dnd", "Gene1383-tree")</f>
        <v>Gene1383-tree</v>
      </c>
      <c r="O46">
        <v>8</v>
      </c>
      <c r="P46">
        <v>1</v>
      </c>
      <c r="Q46">
        <v>8</v>
      </c>
      <c r="R46">
        <v>1</v>
      </c>
      <c r="S46">
        <v>0.11111</v>
      </c>
      <c r="T46" t="s">
        <v>136</v>
      </c>
      <c r="U46" t="s">
        <v>175</v>
      </c>
      <c r="V46" t="s">
        <v>62</v>
      </c>
      <c r="W46" t="s">
        <v>62</v>
      </c>
      <c r="X46">
        <v>0</v>
      </c>
      <c r="Y46">
        <v>0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5</v>
      </c>
      <c r="AM46">
        <v>4</v>
      </c>
      <c r="AN46">
        <v>5</v>
      </c>
      <c r="AO46">
        <v>1</v>
      </c>
      <c r="AP46">
        <v>5</v>
      </c>
      <c r="AQ46">
        <v>2</v>
      </c>
      <c r="AR46" t="s">
        <v>8656</v>
      </c>
      <c r="AS46" t="s">
        <v>8657</v>
      </c>
      <c r="AT46">
        <v>0.251</v>
      </c>
      <c r="AU46" t="s">
        <v>65</v>
      </c>
      <c r="AV46">
        <v>10</v>
      </c>
      <c r="AW46">
        <v>3</v>
      </c>
      <c r="AX46" t="s">
        <v>8658</v>
      </c>
      <c r="AY46">
        <v>0.10144</v>
      </c>
      <c r="AZ46">
        <v>-8.6199999999999992E-3</v>
      </c>
      <c r="BA46">
        <v>1.1169999999999999E-2</v>
      </c>
      <c r="BB46">
        <v>-1.2600000000000001E-3</v>
      </c>
      <c r="BC46">
        <v>0.11008999999999999</v>
      </c>
      <c r="BD46">
        <v>1</v>
      </c>
      <c r="BE46" t="s">
        <v>69</v>
      </c>
      <c r="BF46">
        <v>-1.1020000000000001</v>
      </c>
      <c r="BG46">
        <v>-0.67400000000000004</v>
      </c>
    </row>
    <row r="47" spans="1:59">
      <c r="A47">
        <v>0</v>
      </c>
      <c r="B47">
        <v>0</v>
      </c>
      <c r="C47">
        <v>0</v>
      </c>
      <c r="D47" t="s">
        <v>25022</v>
      </c>
      <c r="E47">
        <v>2831</v>
      </c>
      <c r="F47" t="s">
        <v>16255</v>
      </c>
      <c r="G47" t="s">
        <v>62</v>
      </c>
      <c r="H47">
        <v>2778611</v>
      </c>
      <c r="I47">
        <v>2778766</v>
      </c>
      <c r="J47" t="s">
        <v>16256</v>
      </c>
      <c r="K47">
        <v>52</v>
      </c>
      <c r="L47" t="s">
        <v>59</v>
      </c>
      <c r="M47">
        <v>49</v>
      </c>
      <c r="N47" t="str">
        <f>HYPERLINK("Gene2831-zp_tree_all.dnd", "Gene2831-tree")</f>
        <v>Gene2831-tree</v>
      </c>
      <c r="O47">
        <v>7</v>
      </c>
      <c r="P47">
        <v>1</v>
      </c>
      <c r="Q47">
        <v>7</v>
      </c>
      <c r="R47">
        <v>1</v>
      </c>
      <c r="S47">
        <v>0.125</v>
      </c>
      <c r="T47" t="s">
        <v>152</v>
      </c>
      <c r="U47" t="s">
        <v>175</v>
      </c>
      <c r="V47" t="s">
        <v>62</v>
      </c>
      <c r="W47" t="s">
        <v>62</v>
      </c>
      <c r="X47">
        <v>0</v>
      </c>
      <c r="Y47">
        <v>0</v>
      </c>
      <c r="Z47">
        <v>4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5</v>
      </c>
      <c r="AM47">
        <v>3</v>
      </c>
      <c r="AN47">
        <v>4</v>
      </c>
      <c r="AO47">
        <v>1</v>
      </c>
      <c r="AP47">
        <v>3</v>
      </c>
      <c r="AQ47">
        <v>3</v>
      </c>
      <c r="AR47" t="s">
        <v>16257</v>
      </c>
      <c r="AS47" t="s">
        <v>16258</v>
      </c>
      <c r="AT47">
        <v>0.81799999999999995</v>
      </c>
      <c r="AU47" t="s">
        <v>65</v>
      </c>
      <c r="AV47">
        <v>7</v>
      </c>
      <c r="AW47">
        <v>4</v>
      </c>
      <c r="AX47" t="s">
        <v>16259</v>
      </c>
      <c r="AY47">
        <v>7.3980000000000004E-2</v>
      </c>
      <c r="AZ47">
        <v>-8.1600000000000006E-3</v>
      </c>
      <c r="BA47">
        <v>1.5640000000000001E-2</v>
      </c>
      <c r="BB47">
        <v>-1.99E-3</v>
      </c>
      <c r="BC47">
        <v>0.21143000000000001</v>
      </c>
      <c r="BD47">
        <v>1</v>
      </c>
      <c r="BE47" t="s">
        <v>69</v>
      </c>
      <c r="BF47">
        <v>-0.62</v>
      </c>
      <c r="BG47">
        <v>0.69599999999999995</v>
      </c>
    </row>
    <row r="48" spans="1:59">
      <c r="A48">
        <v>0</v>
      </c>
      <c r="B48">
        <v>0</v>
      </c>
      <c r="C48">
        <v>0</v>
      </c>
      <c r="D48" t="s">
        <v>25022</v>
      </c>
      <c r="E48">
        <v>3999</v>
      </c>
      <c r="F48" t="s">
        <v>23517</v>
      </c>
      <c r="G48" t="s">
        <v>62</v>
      </c>
      <c r="H48">
        <v>3964094</v>
      </c>
      <c r="I48">
        <v>3964249</v>
      </c>
      <c r="J48" t="s">
        <v>116</v>
      </c>
      <c r="K48">
        <v>52</v>
      </c>
      <c r="L48" t="s">
        <v>59</v>
      </c>
      <c r="M48">
        <v>49</v>
      </c>
      <c r="N48" t="str">
        <f>HYPERLINK("Gene3999-zp_tree_all.dnd", "Gene3999-tree")</f>
        <v>Gene3999-tree</v>
      </c>
      <c r="O48">
        <v>33</v>
      </c>
      <c r="P48">
        <v>2</v>
      </c>
      <c r="Q48">
        <v>7</v>
      </c>
      <c r="R48">
        <v>2</v>
      </c>
      <c r="S48">
        <v>0.22222</v>
      </c>
      <c r="T48" t="s">
        <v>5770</v>
      </c>
      <c r="U48" t="s">
        <v>81</v>
      </c>
      <c r="V48" t="s">
        <v>62</v>
      </c>
      <c r="W48" t="s">
        <v>62</v>
      </c>
      <c r="X48">
        <v>0</v>
      </c>
      <c r="Y48">
        <v>0</v>
      </c>
      <c r="Z48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</v>
      </c>
      <c r="AK48">
        <v>0</v>
      </c>
      <c r="AL48">
        <v>6</v>
      </c>
      <c r="AM48">
        <v>5</v>
      </c>
      <c r="AN48">
        <v>5</v>
      </c>
      <c r="AO48">
        <v>3</v>
      </c>
      <c r="AP48">
        <v>6</v>
      </c>
      <c r="AQ48">
        <v>1</v>
      </c>
      <c r="AR48" t="s">
        <v>23518</v>
      </c>
      <c r="AS48" t="s">
        <v>23519</v>
      </c>
      <c r="AT48">
        <v>0.54</v>
      </c>
      <c r="AU48" t="s">
        <v>65</v>
      </c>
      <c r="AV48">
        <v>11</v>
      </c>
      <c r="AW48">
        <v>4</v>
      </c>
      <c r="AX48" t="s">
        <v>23520</v>
      </c>
      <c r="AY48">
        <v>0.13803000000000001</v>
      </c>
      <c r="AZ48">
        <v>-1.1270000000000001E-2</v>
      </c>
      <c r="BA48">
        <v>9.2300000000000004E-3</v>
      </c>
      <c r="BB48">
        <v>-1.5399999999999999E-3</v>
      </c>
      <c r="BC48">
        <v>6.6890000000000005E-2</v>
      </c>
      <c r="BD48">
        <v>1</v>
      </c>
      <c r="BE48" t="s">
        <v>69</v>
      </c>
      <c r="BF48">
        <v>-0.96799999999999997</v>
      </c>
      <c r="BG48">
        <v>-0.86299999999999999</v>
      </c>
    </row>
    <row r="49" spans="1:59">
      <c r="A49">
        <v>0</v>
      </c>
      <c r="B49">
        <v>0</v>
      </c>
      <c r="C49">
        <v>0</v>
      </c>
      <c r="D49" t="s">
        <v>25022</v>
      </c>
      <c r="E49">
        <v>253</v>
      </c>
      <c r="F49" t="s">
        <v>1723</v>
      </c>
      <c r="G49" t="s">
        <v>57</v>
      </c>
      <c r="H49">
        <v>277160</v>
      </c>
      <c r="I49">
        <v>277318</v>
      </c>
      <c r="J49" t="s">
        <v>1724</v>
      </c>
      <c r="K49">
        <v>53</v>
      </c>
      <c r="L49" t="s">
        <v>108</v>
      </c>
      <c r="M49">
        <v>44</v>
      </c>
      <c r="N49" t="str">
        <f>HYPERLINK("Gene253-zp_tree_all.dnd", "Gene253-tree")</f>
        <v>Gene253-tree</v>
      </c>
      <c r="O49">
        <v>23</v>
      </c>
      <c r="P49">
        <v>2</v>
      </c>
      <c r="Q49">
        <v>3</v>
      </c>
      <c r="R49">
        <v>2</v>
      </c>
      <c r="S49">
        <v>0.4</v>
      </c>
      <c r="T49" t="s">
        <v>1725</v>
      </c>
      <c r="U49" t="s">
        <v>81</v>
      </c>
      <c r="V49" t="s">
        <v>62</v>
      </c>
      <c r="W49" t="s">
        <v>62</v>
      </c>
      <c r="X49">
        <v>0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3</v>
      </c>
      <c r="AM49">
        <v>1</v>
      </c>
      <c r="AN49">
        <v>1</v>
      </c>
      <c r="AO49">
        <v>2</v>
      </c>
      <c r="AP49">
        <v>1</v>
      </c>
      <c r="AQ49">
        <v>0</v>
      </c>
      <c r="AR49" t="s">
        <v>1726</v>
      </c>
      <c r="AS49" t="s">
        <v>193</v>
      </c>
      <c r="AT49">
        <v>0.69299999999999995</v>
      </c>
      <c r="AU49" t="s">
        <v>65</v>
      </c>
      <c r="AV49">
        <v>2</v>
      </c>
      <c r="AW49">
        <v>2</v>
      </c>
      <c r="AX49" t="s">
        <v>1727</v>
      </c>
      <c r="AY49">
        <v>2.81E-2</v>
      </c>
      <c r="AZ49">
        <v>-4.9399999999999999E-3</v>
      </c>
      <c r="BA49">
        <v>6.5799999999999999E-3</v>
      </c>
      <c r="BB49">
        <v>-1.56E-3</v>
      </c>
      <c r="BC49">
        <v>0.23407</v>
      </c>
      <c r="BD49">
        <v>0.90200000000000002</v>
      </c>
      <c r="BE49" t="s">
        <v>635</v>
      </c>
      <c r="BF49">
        <v>0.03</v>
      </c>
      <c r="BG49">
        <v>-6.4000000000000001E-2</v>
      </c>
    </row>
    <row r="50" spans="1:59">
      <c r="A50">
        <v>0</v>
      </c>
      <c r="B50">
        <v>2</v>
      </c>
      <c r="C50">
        <v>0</v>
      </c>
      <c r="D50" t="s">
        <v>25022</v>
      </c>
      <c r="E50">
        <v>3807</v>
      </c>
      <c r="F50" t="s">
        <v>22308</v>
      </c>
      <c r="G50" t="s">
        <v>62</v>
      </c>
      <c r="H50">
        <v>3774403</v>
      </c>
      <c r="I50">
        <v>3774561</v>
      </c>
      <c r="J50" t="s">
        <v>116</v>
      </c>
      <c r="K50">
        <v>53</v>
      </c>
      <c r="L50" t="s">
        <v>108</v>
      </c>
      <c r="M50">
        <v>44</v>
      </c>
      <c r="N50" t="str">
        <f>HYPERLINK("Gene3807-zp_tree_all.dnd", "Gene3807-tree")</f>
        <v>Gene3807-tree</v>
      </c>
      <c r="O50">
        <v>26</v>
      </c>
      <c r="P50">
        <v>2</v>
      </c>
      <c r="Q50">
        <v>7</v>
      </c>
      <c r="R50">
        <v>2</v>
      </c>
      <c r="S50">
        <v>0.22222</v>
      </c>
      <c r="T50" t="s">
        <v>191</v>
      </c>
      <c r="U50" t="s">
        <v>81</v>
      </c>
      <c r="V50" t="s">
        <v>62</v>
      </c>
      <c r="W50" t="s">
        <v>62</v>
      </c>
      <c r="X50">
        <v>1</v>
      </c>
      <c r="Y50">
        <v>2</v>
      </c>
      <c r="Z50">
        <v>2</v>
      </c>
      <c r="AA50">
        <v>0.5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3</v>
      </c>
      <c r="AK50">
        <v>0</v>
      </c>
      <c r="AL50">
        <v>6</v>
      </c>
      <c r="AM50">
        <v>2</v>
      </c>
      <c r="AN50">
        <v>4</v>
      </c>
      <c r="AO50">
        <v>3</v>
      </c>
      <c r="AP50">
        <v>1</v>
      </c>
      <c r="AQ50">
        <v>1</v>
      </c>
      <c r="AR50" t="s">
        <v>22309</v>
      </c>
      <c r="AS50" t="s">
        <v>22310</v>
      </c>
      <c r="AT50">
        <v>0.14899999999999999</v>
      </c>
      <c r="AU50" t="s">
        <v>65</v>
      </c>
      <c r="AV50">
        <v>5</v>
      </c>
      <c r="AW50">
        <v>4</v>
      </c>
      <c r="AX50" t="s">
        <v>22311</v>
      </c>
      <c r="AY50">
        <v>3.7240000000000002E-2</v>
      </c>
      <c r="AZ50">
        <v>-3.3300000000000001E-3</v>
      </c>
      <c r="BA50">
        <v>8.2100000000000003E-3</v>
      </c>
      <c r="BB50">
        <v>-1.1299999999999999E-3</v>
      </c>
      <c r="BC50">
        <v>0.22061</v>
      </c>
      <c r="BD50">
        <v>0.88400000000000001</v>
      </c>
      <c r="BE50" t="s">
        <v>635</v>
      </c>
      <c r="BF50">
        <v>-0.66900000000000004</v>
      </c>
      <c r="BG50">
        <v>-1.0269999999999999</v>
      </c>
    </row>
    <row r="51" spans="1:59">
      <c r="A51">
        <v>0</v>
      </c>
      <c r="B51">
        <v>0</v>
      </c>
      <c r="C51">
        <v>0</v>
      </c>
      <c r="D51" t="s">
        <v>25022</v>
      </c>
      <c r="E51">
        <v>1004</v>
      </c>
      <c r="F51" t="s">
        <v>6301</v>
      </c>
      <c r="G51" t="s">
        <v>57</v>
      </c>
      <c r="H51">
        <v>1045037</v>
      </c>
      <c r="I51">
        <v>1045195</v>
      </c>
      <c r="J51" t="s">
        <v>6302</v>
      </c>
      <c r="K51">
        <v>53</v>
      </c>
      <c r="L51" t="s">
        <v>108</v>
      </c>
      <c r="M51">
        <v>44</v>
      </c>
      <c r="N51" t="str">
        <f>HYPERLINK("Gene1004-zp_tree_all.dnd", "Gene1004-tree")</f>
        <v>Gene1004-tree</v>
      </c>
      <c r="O51">
        <v>3</v>
      </c>
      <c r="P51">
        <v>1</v>
      </c>
      <c r="Q51">
        <v>3</v>
      </c>
      <c r="R51">
        <v>1</v>
      </c>
      <c r="S51">
        <v>0.25</v>
      </c>
      <c r="T51" t="s">
        <v>324</v>
      </c>
      <c r="U51" t="s">
        <v>175</v>
      </c>
      <c r="V51" t="s">
        <v>62</v>
      </c>
      <c r="W51" t="s">
        <v>62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3</v>
      </c>
      <c r="AM51">
        <v>0</v>
      </c>
      <c r="AN51">
        <v>2</v>
      </c>
      <c r="AO51">
        <v>1</v>
      </c>
      <c r="AP51">
        <v>0</v>
      </c>
      <c r="AQ51">
        <v>0</v>
      </c>
      <c r="AR51" t="s">
        <v>6303</v>
      </c>
      <c r="AS51" t="s">
        <v>193</v>
      </c>
      <c r="AT51">
        <v>0.69299999999999995</v>
      </c>
      <c r="AU51" t="s">
        <v>65</v>
      </c>
      <c r="AV51">
        <v>2</v>
      </c>
      <c r="AW51">
        <v>1</v>
      </c>
      <c r="AX51" t="s">
        <v>6304</v>
      </c>
      <c r="AY51">
        <v>3.0370000000000001E-2</v>
      </c>
      <c r="AZ51">
        <v>-7.26E-3</v>
      </c>
      <c r="BA51">
        <v>4.1200000000000004E-3</v>
      </c>
      <c r="BB51">
        <v>-1.5299999999999999E-3</v>
      </c>
      <c r="BC51">
        <v>0.13552</v>
      </c>
      <c r="BD51">
        <v>0.96799999999999997</v>
      </c>
      <c r="BE51" t="s">
        <v>69</v>
      </c>
      <c r="BF51">
        <v>-1.3260000000000001</v>
      </c>
      <c r="BG51">
        <v>-1.66</v>
      </c>
    </row>
    <row r="52" spans="1:59">
      <c r="A52">
        <v>0</v>
      </c>
      <c r="B52">
        <v>0</v>
      </c>
      <c r="C52">
        <v>0</v>
      </c>
      <c r="D52" t="s">
        <v>25022</v>
      </c>
      <c r="E52">
        <v>1833</v>
      </c>
      <c r="F52" t="s">
        <v>11483</v>
      </c>
      <c r="G52" t="s">
        <v>57</v>
      </c>
      <c r="H52">
        <v>1901781</v>
      </c>
      <c r="I52">
        <v>1901942</v>
      </c>
      <c r="J52" t="s">
        <v>11484</v>
      </c>
      <c r="K52">
        <v>54</v>
      </c>
      <c r="L52" t="s">
        <v>11485</v>
      </c>
      <c r="M52">
        <v>43</v>
      </c>
      <c r="N52" t="str">
        <f>HYPERLINK("Gene1833-zp_tree_all.dnd", "Gene1833-tree")</f>
        <v>Gene1833-tree</v>
      </c>
      <c r="O52">
        <v>25</v>
      </c>
      <c r="P52">
        <v>3</v>
      </c>
      <c r="Q52">
        <v>2</v>
      </c>
      <c r="R52">
        <v>3</v>
      </c>
      <c r="S52">
        <v>0.6</v>
      </c>
      <c r="T52" t="s">
        <v>11486</v>
      </c>
      <c r="U52" t="s">
        <v>324</v>
      </c>
      <c r="V52" t="s">
        <v>62</v>
      </c>
      <c r="W52" t="s">
        <v>62</v>
      </c>
      <c r="X52">
        <v>0</v>
      </c>
      <c r="Y52">
        <v>0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</v>
      </c>
      <c r="AK52">
        <v>0</v>
      </c>
      <c r="AL52">
        <v>4</v>
      </c>
      <c r="AM52">
        <v>0</v>
      </c>
      <c r="AN52">
        <v>1</v>
      </c>
      <c r="AO52">
        <v>4</v>
      </c>
      <c r="AP52">
        <v>0</v>
      </c>
      <c r="AQ52">
        <v>0</v>
      </c>
      <c r="AR52" t="s">
        <v>11487</v>
      </c>
      <c r="AS52" t="s">
        <v>193</v>
      </c>
      <c r="AT52">
        <v>0.57099999999999995</v>
      </c>
      <c r="AU52" t="s">
        <v>65</v>
      </c>
      <c r="AV52">
        <v>1</v>
      </c>
      <c r="AW52">
        <v>4</v>
      </c>
      <c r="AX52" t="s">
        <v>11488</v>
      </c>
      <c r="AY52">
        <v>1.38E-2</v>
      </c>
      <c r="AZ52">
        <v>-5.1599999999999997E-3</v>
      </c>
      <c r="BA52">
        <v>1.251E-2</v>
      </c>
      <c r="BB52">
        <v>-2.2799999999999999E-3</v>
      </c>
      <c r="BC52">
        <v>0.90673999999999999</v>
      </c>
      <c r="BD52">
        <v>0.36199999999999999</v>
      </c>
      <c r="BE52" t="s">
        <v>635</v>
      </c>
      <c r="BF52">
        <v>-0.65100000000000002</v>
      </c>
      <c r="BG52">
        <v>-1.7050000000000001</v>
      </c>
    </row>
    <row r="53" spans="1:59">
      <c r="A53">
        <v>0</v>
      </c>
      <c r="B53">
        <v>0</v>
      </c>
      <c r="C53">
        <v>0</v>
      </c>
      <c r="D53" t="s">
        <v>25022</v>
      </c>
      <c r="E53">
        <v>4074</v>
      </c>
      <c r="F53" t="s">
        <v>23975</v>
      </c>
      <c r="G53" t="s">
        <v>62</v>
      </c>
      <c r="H53">
        <v>4041012</v>
      </c>
      <c r="I53">
        <v>4041173</v>
      </c>
      <c r="J53" t="s">
        <v>116</v>
      </c>
      <c r="K53">
        <v>54</v>
      </c>
      <c r="L53" t="s">
        <v>23976</v>
      </c>
      <c r="M53">
        <v>23</v>
      </c>
      <c r="N53" t="str">
        <f>HYPERLINK("Gene4074-zp_tree_all.dnd", "Gene4074-tree")</f>
        <v>Gene4074-tree</v>
      </c>
      <c r="O53">
        <v>1</v>
      </c>
      <c r="P53">
        <v>3</v>
      </c>
      <c r="Q53">
        <v>1</v>
      </c>
      <c r="R53">
        <v>3</v>
      </c>
      <c r="S53">
        <v>0.75</v>
      </c>
      <c r="T53" t="s">
        <v>175</v>
      </c>
      <c r="U53" t="s">
        <v>324</v>
      </c>
      <c r="V53" t="s">
        <v>62</v>
      </c>
      <c r="W53" t="s">
        <v>62</v>
      </c>
      <c r="X53">
        <v>0</v>
      </c>
      <c r="Y53">
        <v>0</v>
      </c>
      <c r="Z53">
        <v>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</v>
      </c>
      <c r="AK53">
        <v>0</v>
      </c>
      <c r="AL53">
        <v>4</v>
      </c>
      <c r="AM53">
        <v>1</v>
      </c>
      <c r="AN53">
        <v>2</v>
      </c>
      <c r="AO53">
        <v>3</v>
      </c>
      <c r="AP53">
        <v>0</v>
      </c>
      <c r="AQ53">
        <v>2</v>
      </c>
      <c r="AR53" t="s">
        <v>23977</v>
      </c>
      <c r="AS53" t="s">
        <v>193</v>
      </c>
      <c r="AT53">
        <v>1.5</v>
      </c>
      <c r="AU53" t="s">
        <v>65</v>
      </c>
      <c r="AV53">
        <v>2</v>
      </c>
      <c r="AW53">
        <v>5</v>
      </c>
      <c r="AX53" t="s">
        <v>23978</v>
      </c>
      <c r="AY53">
        <v>3.1820000000000001E-2</v>
      </c>
      <c r="AZ53">
        <v>-7.6099999999999996E-3</v>
      </c>
      <c r="BA53">
        <v>2.3609999999999999E-2</v>
      </c>
      <c r="BB53">
        <v>-3.6700000000000001E-3</v>
      </c>
      <c r="BC53">
        <v>0.74217999999999995</v>
      </c>
      <c r="BD53">
        <v>0.48199999999999998</v>
      </c>
      <c r="BE53" t="s">
        <v>635</v>
      </c>
      <c r="BF53">
        <v>-0.93400000000000005</v>
      </c>
      <c r="BG53">
        <v>-1.0999999999999999E-2</v>
      </c>
    </row>
    <row r="54" spans="1:59">
      <c r="A54">
        <v>0</v>
      </c>
      <c r="B54">
        <v>0</v>
      </c>
      <c r="C54">
        <v>4</v>
      </c>
      <c r="D54" t="s">
        <v>25022</v>
      </c>
      <c r="E54">
        <v>1327</v>
      </c>
      <c r="F54" t="s">
        <v>8307</v>
      </c>
      <c r="G54" t="s">
        <v>57</v>
      </c>
      <c r="H54">
        <v>1345631</v>
      </c>
      <c r="I54">
        <v>1345792</v>
      </c>
      <c r="J54" t="s">
        <v>8099</v>
      </c>
      <c r="K54">
        <v>54</v>
      </c>
      <c r="L54" t="s">
        <v>8308</v>
      </c>
      <c r="M54">
        <v>43</v>
      </c>
      <c r="N54" t="str">
        <f>HYPERLINK("Gene1327-zp_tree_all.dnd", "Gene1327-tree")</f>
        <v>Gene1327-tree</v>
      </c>
      <c r="O54">
        <v>5</v>
      </c>
      <c r="P54">
        <v>5</v>
      </c>
      <c r="Q54">
        <v>5</v>
      </c>
      <c r="R54">
        <v>5</v>
      </c>
      <c r="S54">
        <v>0.5</v>
      </c>
      <c r="T54" t="s">
        <v>199</v>
      </c>
      <c r="U54" t="s">
        <v>199</v>
      </c>
      <c r="V54" t="s">
        <v>62</v>
      </c>
      <c r="W54" t="s">
        <v>62</v>
      </c>
      <c r="X54">
        <v>2</v>
      </c>
      <c r="Y54">
        <v>4</v>
      </c>
      <c r="Z54">
        <v>4</v>
      </c>
      <c r="AA54">
        <v>0.5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2</v>
      </c>
      <c r="AI54">
        <v>2</v>
      </c>
      <c r="AJ54">
        <v>4</v>
      </c>
      <c r="AK54">
        <v>0.33333000000000002</v>
      </c>
      <c r="AL54">
        <v>5</v>
      </c>
      <c r="AM54">
        <v>5</v>
      </c>
      <c r="AN54">
        <v>6</v>
      </c>
      <c r="AO54">
        <v>5</v>
      </c>
      <c r="AP54">
        <v>6</v>
      </c>
      <c r="AQ54">
        <v>3</v>
      </c>
      <c r="AR54" t="s">
        <v>8309</v>
      </c>
      <c r="AS54" t="s">
        <v>8310</v>
      </c>
      <c r="AT54">
        <v>0.38500000000000001</v>
      </c>
      <c r="AU54" t="s">
        <v>65</v>
      </c>
      <c r="AV54">
        <v>12</v>
      </c>
      <c r="AW54">
        <v>8</v>
      </c>
      <c r="AX54" t="s">
        <v>8311</v>
      </c>
      <c r="AY54">
        <v>0.10775999999999999</v>
      </c>
      <c r="AZ54">
        <v>-9.4199999999999996E-3</v>
      </c>
      <c r="BA54">
        <v>1.7139999999999999E-2</v>
      </c>
      <c r="BB54">
        <v>-1.56E-3</v>
      </c>
      <c r="BC54">
        <v>0.15905</v>
      </c>
      <c r="BD54">
        <v>0.99</v>
      </c>
      <c r="BE54" t="s">
        <v>69</v>
      </c>
      <c r="BF54">
        <v>0.55000000000000004</v>
      </c>
      <c r="BG54">
        <v>-2.1880000000000002</v>
      </c>
    </row>
    <row r="55" spans="1:59">
      <c r="A55">
        <v>0</v>
      </c>
      <c r="B55">
        <v>0</v>
      </c>
      <c r="C55">
        <v>0</v>
      </c>
      <c r="D55" t="s">
        <v>25022</v>
      </c>
      <c r="E55">
        <v>1819</v>
      </c>
      <c r="F55" t="s">
        <v>11398</v>
      </c>
      <c r="G55" t="s">
        <v>57</v>
      </c>
      <c r="H55">
        <v>1885753</v>
      </c>
      <c r="I55">
        <v>1885914</v>
      </c>
      <c r="J55" t="s">
        <v>11371</v>
      </c>
      <c r="K55">
        <v>54</v>
      </c>
      <c r="L55" t="s">
        <v>5387</v>
      </c>
      <c r="M55">
        <v>38</v>
      </c>
      <c r="N55" t="str">
        <f>HYPERLINK("Gene1819-zp_tree_all.dnd", "Gene1819-tree")</f>
        <v>Gene1819-tree</v>
      </c>
      <c r="O55">
        <v>0</v>
      </c>
      <c r="P55">
        <v>25</v>
      </c>
      <c r="Q55">
        <v>0</v>
      </c>
      <c r="R55">
        <v>5</v>
      </c>
      <c r="S55">
        <v>1</v>
      </c>
      <c r="T55" t="s">
        <v>62</v>
      </c>
      <c r="U55" t="s">
        <v>4839</v>
      </c>
      <c r="V55">
        <v>6.069</v>
      </c>
      <c r="W55" t="s">
        <v>65</v>
      </c>
      <c r="X55">
        <v>0</v>
      </c>
      <c r="Y55">
        <v>0</v>
      </c>
      <c r="Z55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</v>
      </c>
      <c r="AK55">
        <v>0</v>
      </c>
      <c r="AL55">
        <v>4</v>
      </c>
      <c r="AM55">
        <v>0</v>
      </c>
      <c r="AN55">
        <v>8</v>
      </c>
      <c r="AO55">
        <v>4</v>
      </c>
      <c r="AP55">
        <v>0</v>
      </c>
      <c r="AQ55">
        <v>0</v>
      </c>
      <c r="AR55" t="s">
        <v>11399</v>
      </c>
      <c r="AS55" t="s">
        <v>193</v>
      </c>
      <c r="AT55">
        <v>1.264</v>
      </c>
      <c r="AU55" t="s">
        <v>65</v>
      </c>
      <c r="AV55">
        <v>8</v>
      </c>
      <c r="AW55">
        <v>4</v>
      </c>
      <c r="AX55" t="s">
        <v>11400</v>
      </c>
      <c r="AY55">
        <v>0.12837000000000001</v>
      </c>
      <c r="AZ55">
        <v>-3.7850000000000002E-2</v>
      </c>
      <c r="BA55">
        <v>1.243E-2</v>
      </c>
      <c r="BB55">
        <v>-1.2099999999999999E-3</v>
      </c>
      <c r="BC55">
        <v>9.6799999999999997E-2</v>
      </c>
      <c r="BD55">
        <v>1</v>
      </c>
      <c r="BE55" t="s">
        <v>69</v>
      </c>
      <c r="BF55">
        <v>-0.39500000000000002</v>
      </c>
      <c r="BG55">
        <v>-0.53600000000000003</v>
      </c>
    </row>
    <row r="56" spans="1:59">
      <c r="A56">
        <v>0</v>
      </c>
      <c r="B56">
        <v>0</v>
      </c>
      <c r="C56">
        <v>0</v>
      </c>
      <c r="D56" t="s">
        <v>25022</v>
      </c>
      <c r="E56">
        <v>3426</v>
      </c>
      <c r="F56" t="s">
        <v>20048</v>
      </c>
      <c r="G56" t="s">
        <v>62</v>
      </c>
      <c r="H56">
        <v>3387784</v>
      </c>
      <c r="I56">
        <v>3387945</v>
      </c>
      <c r="J56" t="s">
        <v>20049</v>
      </c>
      <c r="K56">
        <v>54</v>
      </c>
      <c r="L56" t="s">
        <v>59</v>
      </c>
      <c r="M56">
        <v>49</v>
      </c>
      <c r="N56" t="str">
        <f>HYPERLINK("Gene3426-zp_tree_all.dnd", "Gene3426-tree")</f>
        <v>Gene3426-tree</v>
      </c>
      <c r="O56">
        <v>41</v>
      </c>
      <c r="P56">
        <v>0</v>
      </c>
      <c r="Q56">
        <v>5</v>
      </c>
      <c r="R56">
        <v>0</v>
      </c>
      <c r="S56">
        <v>0</v>
      </c>
      <c r="T56" t="s">
        <v>12753</v>
      </c>
      <c r="U56" t="s">
        <v>62</v>
      </c>
      <c r="V56" t="s">
        <v>62</v>
      </c>
      <c r="W56" t="s">
        <v>62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4</v>
      </c>
      <c r="AM56">
        <v>0</v>
      </c>
      <c r="AN56">
        <v>5</v>
      </c>
      <c r="AO56">
        <v>0</v>
      </c>
      <c r="AP56">
        <v>0</v>
      </c>
      <c r="AQ56">
        <v>0</v>
      </c>
      <c r="AR56" t="s">
        <v>193</v>
      </c>
      <c r="AS56" t="s">
        <v>193</v>
      </c>
      <c r="AT56">
        <v>0</v>
      </c>
      <c r="AU56" t="s">
        <v>65</v>
      </c>
      <c r="AV56">
        <v>5</v>
      </c>
      <c r="AW56">
        <v>0</v>
      </c>
      <c r="AX56" t="s">
        <v>20050</v>
      </c>
      <c r="AY56">
        <v>6.6449999999999995E-2</v>
      </c>
      <c r="AZ56">
        <v>-8.4499999999999992E-3</v>
      </c>
      <c r="BA56">
        <v>0</v>
      </c>
      <c r="BB56">
        <v>0</v>
      </c>
      <c r="BC56">
        <v>0</v>
      </c>
      <c r="BD56">
        <v>1</v>
      </c>
      <c r="BE56" t="s">
        <v>69</v>
      </c>
      <c r="BF56">
        <v>-1.282</v>
      </c>
      <c r="BG56">
        <v>0.13900000000000001</v>
      </c>
    </row>
    <row r="57" spans="1:59">
      <c r="A57">
        <v>0</v>
      </c>
      <c r="B57">
        <v>0</v>
      </c>
      <c r="C57">
        <v>0</v>
      </c>
      <c r="D57" t="s">
        <v>25022</v>
      </c>
      <c r="E57">
        <v>2816</v>
      </c>
      <c r="F57" t="s">
        <v>16155</v>
      </c>
      <c r="G57" t="s">
        <v>62</v>
      </c>
      <c r="H57">
        <v>2759988</v>
      </c>
      <c r="I57">
        <v>2760152</v>
      </c>
      <c r="J57" t="s">
        <v>16156</v>
      </c>
      <c r="K57">
        <v>55</v>
      </c>
      <c r="L57" t="s">
        <v>108</v>
      </c>
      <c r="M57">
        <v>44</v>
      </c>
      <c r="N57" t="str">
        <f>HYPERLINK("Gene2816-zp_tree_all.dnd", "Gene2816-tree")</f>
        <v>Gene2816-tree</v>
      </c>
      <c r="O57">
        <v>2</v>
      </c>
      <c r="P57">
        <v>7</v>
      </c>
      <c r="Q57">
        <v>2</v>
      </c>
      <c r="R57">
        <v>7</v>
      </c>
      <c r="S57">
        <v>0.77778000000000003</v>
      </c>
      <c r="T57" t="s">
        <v>81</v>
      </c>
      <c r="U57" t="s">
        <v>152</v>
      </c>
      <c r="V57" t="s">
        <v>62</v>
      </c>
      <c r="W57" t="s">
        <v>62</v>
      </c>
      <c r="X57">
        <v>0</v>
      </c>
      <c r="Y57">
        <v>0</v>
      </c>
      <c r="Z57">
        <v>7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6</v>
      </c>
      <c r="AK57">
        <v>0</v>
      </c>
      <c r="AL57">
        <v>4</v>
      </c>
      <c r="AM57">
        <v>4</v>
      </c>
      <c r="AN57">
        <v>2</v>
      </c>
      <c r="AO57">
        <v>3</v>
      </c>
      <c r="AP57">
        <v>1</v>
      </c>
      <c r="AQ57">
        <v>4</v>
      </c>
      <c r="AR57" t="s">
        <v>16157</v>
      </c>
      <c r="AS57" t="s">
        <v>16158</v>
      </c>
      <c r="AT57">
        <v>0.41099999999999998</v>
      </c>
      <c r="AU57" t="s">
        <v>65</v>
      </c>
      <c r="AV57">
        <v>3</v>
      </c>
      <c r="AW57">
        <v>7</v>
      </c>
      <c r="AX57" t="s">
        <v>16159</v>
      </c>
      <c r="AY57">
        <v>2.7949999999999999E-2</v>
      </c>
      <c r="AZ57">
        <v>-3.0300000000000001E-3</v>
      </c>
      <c r="BA57">
        <v>1.968E-2</v>
      </c>
      <c r="BB57">
        <v>-1.8400000000000001E-3</v>
      </c>
      <c r="BC57">
        <v>0.70387999999999995</v>
      </c>
      <c r="BD57">
        <v>0.65900000000000003</v>
      </c>
      <c r="BE57" t="s">
        <v>635</v>
      </c>
      <c r="BF57">
        <v>0.54800000000000004</v>
      </c>
      <c r="BG57">
        <v>0.21</v>
      </c>
    </row>
    <row r="58" spans="1:59">
      <c r="A58">
        <v>0</v>
      </c>
      <c r="B58">
        <v>0</v>
      </c>
      <c r="C58">
        <v>0</v>
      </c>
      <c r="D58" t="s">
        <v>25022</v>
      </c>
      <c r="E58">
        <v>3289</v>
      </c>
      <c r="F58" t="s">
        <v>19196</v>
      </c>
      <c r="G58" t="s">
        <v>62</v>
      </c>
      <c r="H58">
        <v>3255856</v>
      </c>
      <c r="I58">
        <v>3256020</v>
      </c>
      <c r="J58" t="s">
        <v>19197</v>
      </c>
      <c r="K58">
        <v>55</v>
      </c>
      <c r="L58" t="s">
        <v>19198</v>
      </c>
      <c r="M58">
        <v>21</v>
      </c>
      <c r="N58" t="str">
        <f>HYPERLINK("Gene3289-zp_tree_all.dnd", "Gene3289-tree")</f>
        <v>Gene3289-tree</v>
      </c>
      <c r="O58">
        <v>2</v>
      </c>
      <c r="P58">
        <v>2</v>
      </c>
      <c r="Q58">
        <v>2</v>
      </c>
      <c r="R58">
        <v>2</v>
      </c>
      <c r="S58">
        <v>0.5</v>
      </c>
      <c r="T58" t="s">
        <v>81</v>
      </c>
      <c r="U58" t="s">
        <v>81</v>
      </c>
      <c r="V58" t="s">
        <v>62</v>
      </c>
      <c r="W58" t="s">
        <v>62</v>
      </c>
      <c r="X58">
        <v>0</v>
      </c>
      <c r="Y58">
        <v>0</v>
      </c>
      <c r="Z58">
        <v>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6</v>
      </c>
      <c r="AK58">
        <v>0</v>
      </c>
      <c r="AL58">
        <v>3</v>
      </c>
      <c r="AM58">
        <v>0</v>
      </c>
      <c r="AN58">
        <v>4</v>
      </c>
      <c r="AO58">
        <v>7</v>
      </c>
      <c r="AP58">
        <v>0</v>
      </c>
      <c r="AQ58">
        <v>0</v>
      </c>
      <c r="AR58" t="s">
        <v>19199</v>
      </c>
      <c r="AS58" t="s">
        <v>193</v>
      </c>
      <c r="AT58">
        <v>1.226</v>
      </c>
      <c r="AU58" t="s">
        <v>65</v>
      </c>
      <c r="AV58">
        <v>4</v>
      </c>
      <c r="AW58">
        <v>7</v>
      </c>
      <c r="AX58" t="s">
        <v>19200</v>
      </c>
      <c r="AY58">
        <v>5.6860000000000001E-2</v>
      </c>
      <c r="AZ58">
        <v>-9.0200000000000002E-3</v>
      </c>
      <c r="BA58">
        <v>3.1050000000000001E-2</v>
      </c>
      <c r="BB58">
        <v>-1.077E-2</v>
      </c>
      <c r="BC58">
        <v>0.54612000000000005</v>
      </c>
      <c r="BD58">
        <v>0.84399999999999997</v>
      </c>
      <c r="BE58" t="s">
        <v>635</v>
      </c>
      <c r="BF58">
        <v>-2.302</v>
      </c>
      <c r="BG58">
        <v>-3.4870000000000001</v>
      </c>
    </row>
    <row r="59" spans="1:59">
      <c r="A59">
        <v>0</v>
      </c>
      <c r="B59">
        <v>2</v>
      </c>
      <c r="C59">
        <v>0</v>
      </c>
      <c r="D59" t="s">
        <v>25022</v>
      </c>
      <c r="E59">
        <v>3719</v>
      </c>
      <c r="F59" t="s">
        <v>21794</v>
      </c>
      <c r="G59" t="s">
        <v>62</v>
      </c>
      <c r="H59">
        <v>3697642</v>
      </c>
      <c r="I59">
        <v>3697806</v>
      </c>
      <c r="J59" t="s">
        <v>21795</v>
      </c>
      <c r="K59">
        <v>55</v>
      </c>
      <c r="L59" t="s">
        <v>125</v>
      </c>
      <c r="M59">
        <v>48</v>
      </c>
      <c r="N59" t="str">
        <f>HYPERLINK("Gene3719-zp_tree_all.dnd", "Gene3719-tree")</f>
        <v>Gene3719-tree</v>
      </c>
      <c r="O59">
        <v>6</v>
      </c>
      <c r="P59">
        <v>4</v>
      </c>
      <c r="Q59">
        <v>6</v>
      </c>
      <c r="R59">
        <v>4</v>
      </c>
      <c r="S59">
        <v>0.4</v>
      </c>
      <c r="T59" t="s">
        <v>90</v>
      </c>
      <c r="U59" t="s">
        <v>61</v>
      </c>
      <c r="V59" t="s">
        <v>62</v>
      </c>
      <c r="W59" t="s">
        <v>62</v>
      </c>
      <c r="X59">
        <v>1</v>
      </c>
      <c r="Y59">
        <v>2</v>
      </c>
      <c r="Z59">
        <v>6</v>
      </c>
      <c r="AA59">
        <v>0.25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</v>
      </c>
      <c r="AH59">
        <v>0</v>
      </c>
      <c r="AI59">
        <v>2</v>
      </c>
      <c r="AJ59">
        <v>4</v>
      </c>
      <c r="AK59">
        <v>0.33333000000000002</v>
      </c>
      <c r="AL59">
        <v>8</v>
      </c>
      <c r="AM59">
        <v>3</v>
      </c>
      <c r="AN59">
        <v>12</v>
      </c>
      <c r="AO59">
        <v>6</v>
      </c>
      <c r="AP59">
        <v>3</v>
      </c>
      <c r="AQ59">
        <v>2</v>
      </c>
      <c r="AR59" t="s">
        <v>21796</v>
      </c>
      <c r="AS59" t="s">
        <v>21797</v>
      </c>
      <c r="AT59">
        <v>0.16400000000000001</v>
      </c>
      <c r="AU59" t="s">
        <v>65</v>
      </c>
      <c r="AV59">
        <v>15</v>
      </c>
      <c r="AW59">
        <v>8</v>
      </c>
      <c r="AX59" t="s">
        <v>21798</v>
      </c>
      <c r="AY59">
        <v>0.12504999999999999</v>
      </c>
      <c r="AZ59">
        <v>-1.051E-2</v>
      </c>
      <c r="BA59">
        <v>1.555E-2</v>
      </c>
      <c r="BB59">
        <v>-1.9599999999999999E-3</v>
      </c>
      <c r="BC59">
        <v>0.12435</v>
      </c>
      <c r="BD59">
        <v>1</v>
      </c>
      <c r="BE59" t="s">
        <v>69</v>
      </c>
      <c r="BF59">
        <v>-1.341</v>
      </c>
      <c r="BG59">
        <v>-1.5289999999999999</v>
      </c>
    </row>
    <row r="60" spans="1:59">
      <c r="A60">
        <v>0</v>
      </c>
      <c r="B60">
        <v>0</v>
      </c>
      <c r="C60">
        <v>0</v>
      </c>
      <c r="D60" t="s">
        <v>25022</v>
      </c>
      <c r="E60">
        <v>1299</v>
      </c>
      <c r="F60" t="s">
        <v>8154</v>
      </c>
      <c r="G60" t="s">
        <v>57</v>
      </c>
      <c r="H60">
        <v>1323550</v>
      </c>
      <c r="I60">
        <v>1323714</v>
      </c>
      <c r="J60" t="s">
        <v>8099</v>
      </c>
      <c r="K60">
        <v>55</v>
      </c>
      <c r="L60" t="s">
        <v>1305</v>
      </c>
      <c r="M60">
        <v>43</v>
      </c>
      <c r="N60" t="str">
        <f>HYPERLINK("Gene1299-zp_tree_all.dnd", "Gene1299-tree")</f>
        <v>Gene1299-tree</v>
      </c>
      <c r="O60">
        <v>7</v>
      </c>
      <c r="P60">
        <v>1</v>
      </c>
      <c r="Q60">
        <v>7</v>
      </c>
      <c r="R60">
        <v>1</v>
      </c>
      <c r="S60">
        <v>0.125</v>
      </c>
      <c r="T60" t="s">
        <v>152</v>
      </c>
      <c r="U60" t="s">
        <v>175</v>
      </c>
      <c r="V60" t="s">
        <v>62</v>
      </c>
      <c r="W60" t="s">
        <v>62</v>
      </c>
      <c r="X60">
        <v>0</v>
      </c>
      <c r="Y60">
        <v>0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5</v>
      </c>
      <c r="AM60">
        <v>3</v>
      </c>
      <c r="AN60">
        <v>4</v>
      </c>
      <c r="AO60">
        <v>1</v>
      </c>
      <c r="AP60">
        <v>2</v>
      </c>
      <c r="AQ60">
        <v>1</v>
      </c>
      <c r="AR60" t="s">
        <v>8155</v>
      </c>
      <c r="AS60" t="s">
        <v>8156</v>
      </c>
      <c r="AT60">
        <v>0.28899999999999998</v>
      </c>
      <c r="AU60" t="s">
        <v>65</v>
      </c>
      <c r="AV60">
        <v>6</v>
      </c>
      <c r="AW60">
        <v>2</v>
      </c>
      <c r="AX60" t="s">
        <v>8157</v>
      </c>
      <c r="AY60">
        <v>4.3909999999999998E-2</v>
      </c>
      <c r="AZ60">
        <v>-4.79E-3</v>
      </c>
      <c r="BA60">
        <v>5.3800000000000002E-3</v>
      </c>
      <c r="BB60">
        <v>-8.9999999999999998E-4</v>
      </c>
      <c r="BC60">
        <v>0.12250999999999999</v>
      </c>
      <c r="BD60">
        <v>0.97699999999999998</v>
      </c>
      <c r="BE60" t="s">
        <v>69</v>
      </c>
      <c r="BF60">
        <v>0.56999999999999995</v>
      </c>
      <c r="BG60">
        <v>0.35099999999999998</v>
      </c>
    </row>
    <row r="61" spans="1:59">
      <c r="A61">
        <v>0</v>
      </c>
      <c r="B61">
        <v>4</v>
      </c>
      <c r="C61">
        <v>0</v>
      </c>
      <c r="D61" t="s">
        <v>25022</v>
      </c>
      <c r="E61">
        <v>756</v>
      </c>
      <c r="F61" t="s">
        <v>4692</v>
      </c>
      <c r="G61" t="s">
        <v>57</v>
      </c>
      <c r="H61">
        <v>787715</v>
      </c>
      <c r="I61">
        <v>787879</v>
      </c>
      <c r="J61" t="s">
        <v>288</v>
      </c>
      <c r="K61">
        <v>55</v>
      </c>
      <c r="L61" t="s">
        <v>4693</v>
      </c>
      <c r="M61">
        <v>47</v>
      </c>
      <c r="N61" t="str">
        <f>HYPERLINK("Gene756-zp_tree_all.dnd", "Gene756-tree")</f>
        <v>Gene756-tree</v>
      </c>
      <c r="O61">
        <v>9</v>
      </c>
      <c r="P61">
        <v>4</v>
      </c>
      <c r="Q61">
        <v>9</v>
      </c>
      <c r="R61">
        <v>4</v>
      </c>
      <c r="S61">
        <v>0.30769000000000002</v>
      </c>
      <c r="T61" t="s">
        <v>135</v>
      </c>
      <c r="U61" t="s">
        <v>61</v>
      </c>
      <c r="V61" t="s">
        <v>62</v>
      </c>
      <c r="W61" t="s">
        <v>62</v>
      </c>
      <c r="X61">
        <v>2</v>
      </c>
      <c r="Y61">
        <v>4</v>
      </c>
      <c r="Z61">
        <v>2</v>
      </c>
      <c r="AA61">
        <v>0.66666999999999998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2</v>
      </c>
      <c r="AH61">
        <v>0</v>
      </c>
      <c r="AI61">
        <v>2</v>
      </c>
      <c r="AJ61">
        <v>2</v>
      </c>
      <c r="AK61">
        <v>0.5</v>
      </c>
      <c r="AL61">
        <v>8</v>
      </c>
      <c r="AM61">
        <v>7</v>
      </c>
      <c r="AN61">
        <v>10</v>
      </c>
      <c r="AO61">
        <v>3</v>
      </c>
      <c r="AP61">
        <v>7</v>
      </c>
      <c r="AQ61">
        <v>3</v>
      </c>
      <c r="AR61" t="s">
        <v>4694</v>
      </c>
      <c r="AS61" t="s">
        <v>4695</v>
      </c>
      <c r="AT61">
        <v>0.38200000000000001</v>
      </c>
      <c r="AU61" t="s">
        <v>65</v>
      </c>
      <c r="AV61">
        <v>17</v>
      </c>
      <c r="AW61">
        <v>6</v>
      </c>
      <c r="AX61" t="s">
        <v>4696</v>
      </c>
      <c r="AY61">
        <v>9.5799999999999996E-2</v>
      </c>
      <c r="AZ61">
        <v>-4.8900000000000002E-3</v>
      </c>
      <c r="BA61">
        <v>1.009E-2</v>
      </c>
      <c r="BB61">
        <v>-8.8999999999999995E-4</v>
      </c>
      <c r="BC61">
        <v>0.10528</v>
      </c>
      <c r="BD61">
        <v>1</v>
      </c>
      <c r="BE61" t="s">
        <v>69</v>
      </c>
      <c r="BF61">
        <v>-1.042</v>
      </c>
      <c r="BG61">
        <v>-1.262</v>
      </c>
    </row>
    <row r="62" spans="1:59">
      <c r="A62">
        <v>0</v>
      </c>
      <c r="B62">
        <v>0</v>
      </c>
      <c r="C62">
        <v>0</v>
      </c>
      <c r="D62" t="s">
        <v>25022</v>
      </c>
      <c r="E62">
        <v>673</v>
      </c>
      <c r="F62" t="s">
        <v>4196</v>
      </c>
      <c r="G62" t="s">
        <v>57</v>
      </c>
      <c r="H62">
        <v>697157</v>
      </c>
      <c r="I62">
        <v>697321</v>
      </c>
      <c r="J62" t="s">
        <v>2302</v>
      </c>
      <c r="K62">
        <v>55</v>
      </c>
      <c r="L62" t="s">
        <v>4197</v>
      </c>
      <c r="M62">
        <v>44</v>
      </c>
      <c r="N62" t="str">
        <f>HYPERLINK("Gene673-zp_tree_all.dnd", "Gene673-tree")</f>
        <v>Gene673-tree</v>
      </c>
      <c r="O62">
        <v>9</v>
      </c>
      <c r="P62">
        <v>2</v>
      </c>
      <c r="Q62">
        <v>9</v>
      </c>
      <c r="R62">
        <v>2</v>
      </c>
      <c r="S62">
        <v>0.18182000000000001</v>
      </c>
      <c r="T62" t="s">
        <v>135</v>
      </c>
      <c r="U62" t="s">
        <v>81</v>
      </c>
      <c r="V62" t="s">
        <v>62</v>
      </c>
      <c r="W62" t="s">
        <v>62</v>
      </c>
      <c r="X62">
        <v>0</v>
      </c>
      <c r="Y62">
        <v>0</v>
      </c>
      <c r="Z62">
        <v>3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2</v>
      </c>
      <c r="AK62">
        <v>0</v>
      </c>
      <c r="AL62">
        <v>6</v>
      </c>
      <c r="AM62">
        <v>4</v>
      </c>
      <c r="AN62">
        <v>11</v>
      </c>
      <c r="AO62">
        <v>2</v>
      </c>
      <c r="AP62">
        <v>3</v>
      </c>
      <c r="AQ62">
        <v>1</v>
      </c>
      <c r="AR62" t="s">
        <v>4198</v>
      </c>
      <c r="AS62" t="s">
        <v>4199</v>
      </c>
      <c r="AT62">
        <v>0.27100000000000002</v>
      </c>
      <c r="AU62" t="s">
        <v>65</v>
      </c>
      <c r="AV62">
        <v>14</v>
      </c>
      <c r="AW62">
        <v>3</v>
      </c>
      <c r="AX62" t="s">
        <v>4200</v>
      </c>
      <c r="AY62">
        <v>9.2969999999999997E-2</v>
      </c>
      <c r="AZ62">
        <v>-1.076E-2</v>
      </c>
      <c r="BA62">
        <v>5.45E-3</v>
      </c>
      <c r="BB62">
        <v>-6.7000000000000002E-4</v>
      </c>
      <c r="BC62">
        <v>5.867E-2</v>
      </c>
      <c r="BD62">
        <v>1</v>
      </c>
      <c r="BE62" t="s">
        <v>69</v>
      </c>
      <c r="BF62">
        <v>-0.97</v>
      </c>
      <c r="BG62">
        <v>-2.9319999999999999</v>
      </c>
    </row>
    <row r="63" spans="1:59">
      <c r="A63">
        <v>0</v>
      </c>
      <c r="B63">
        <v>0</v>
      </c>
      <c r="C63">
        <v>0</v>
      </c>
      <c r="D63" t="s">
        <v>25022</v>
      </c>
      <c r="E63">
        <v>2988</v>
      </c>
      <c r="F63" t="s">
        <v>17246</v>
      </c>
      <c r="G63" t="s">
        <v>62</v>
      </c>
      <c r="H63">
        <v>2936272</v>
      </c>
      <c r="I63">
        <v>2936439</v>
      </c>
      <c r="J63" t="s">
        <v>17247</v>
      </c>
      <c r="K63">
        <v>56</v>
      </c>
      <c r="L63" t="s">
        <v>17248</v>
      </c>
      <c r="M63">
        <v>36</v>
      </c>
      <c r="N63" t="str">
        <f>HYPERLINK("Gene2988-zp_tree_all.dnd", "Gene2988-tree")</f>
        <v>Gene2988-tree</v>
      </c>
      <c r="O63">
        <v>0</v>
      </c>
      <c r="P63">
        <v>5</v>
      </c>
      <c r="Q63">
        <v>0</v>
      </c>
      <c r="R63">
        <v>5</v>
      </c>
      <c r="S63">
        <v>1</v>
      </c>
      <c r="T63" t="s">
        <v>62</v>
      </c>
      <c r="U63" t="s">
        <v>199</v>
      </c>
      <c r="V63" t="s">
        <v>62</v>
      </c>
      <c r="W63" t="s">
        <v>62</v>
      </c>
      <c r="X63">
        <v>0</v>
      </c>
      <c r="Y63">
        <v>0</v>
      </c>
      <c r="Z63">
        <v>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</v>
      </c>
      <c r="AK63">
        <v>0</v>
      </c>
      <c r="AL63">
        <v>3</v>
      </c>
      <c r="AM63">
        <v>1</v>
      </c>
      <c r="AN63">
        <v>0</v>
      </c>
      <c r="AO63">
        <v>4</v>
      </c>
      <c r="AP63">
        <v>1</v>
      </c>
      <c r="AQ63">
        <v>2</v>
      </c>
      <c r="AR63" t="s">
        <v>193</v>
      </c>
      <c r="AS63" t="s">
        <v>17249</v>
      </c>
      <c r="AT63">
        <v>0</v>
      </c>
      <c r="AU63" t="s">
        <v>65</v>
      </c>
      <c r="AV63">
        <v>1</v>
      </c>
      <c r="AW63">
        <v>6</v>
      </c>
      <c r="AX63" t="s">
        <v>17250</v>
      </c>
      <c r="AY63">
        <v>1.5740000000000001E-2</v>
      </c>
      <c r="AZ63">
        <v>-3.7499999999999999E-3</v>
      </c>
      <c r="BA63">
        <v>2.3740000000000001E-2</v>
      </c>
      <c r="BB63">
        <v>-3.3899999999999998E-3</v>
      </c>
      <c r="BC63">
        <v>1.5086999999999999</v>
      </c>
      <c r="BD63">
        <v>0.24099999999999999</v>
      </c>
      <c r="BE63" t="s">
        <v>635</v>
      </c>
      <c r="BF63">
        <v>0.23</v>
      </c>
      <c r="BG63">
        <v>0.65300000000000002</v>
      </c>
    </row>
    <row r="64" spans="1:59">
      <c r="A64">
        <v>0</v>
      </c>
      <c r="B64">
        <v>3</v>
      </c>
      <c r="C64">
        <v>0</v>
      </c>
      <c r="D64" t="s">
        <v>25022</v>
      </c>
      <c r="E64">
        <v>4170</v>
      </c>
      <c r="F64" t="s">
        <v>24544</v>
      </c>
      <c r="G64" t="s">
        <v>62</v>
      </c>
      <c r="H64">
        <v>4137090</v>
      </c>
      <c r="I64">
        <v>4137257</v>
      </c>
      <c r="J64" t="s">
        <v>2302</v>
      </c>
      <c r="K64">
        <v>56</v>
      </c>
      <c r="L64" t="s">
        <v>24545</v>
      </c>
      <c r="M64">
        <v>42</v>
      </c>
      <c r="N64" t="str">
        <f>HYPERLINK("Gene4170-zp_tree_all.dnd", "Gene4170-tree")</f>
        <v>Gene4170-tree</v>
      </c>
      <c r="O64">
        <v>6</v>
      </c>
      <c r="P64">
        <v>5</v>
      </c>
      <c r="Q64">
        <v>6</v>
      </c>
      <c r="R64">
        <v>5</v>
      </c>
      <c r="S64">
        <v>0.45455000000000001</v>
      </c>
      <c r="T64" t="s">
        <v>90</v>
      </c>
      <c r="U64" t="s">
        <v>199</v>
      </c>
      <c r="V64" t="s">
        <v>62</v>
      </c>
      <c r="W64" t="s">
        <v>62</v>
      </c>
      <c r="X64">
        <v>1</v>
      </c>
      <c r="Y64">
        <v>3</v>
      </c>
      <c r="Z64">
        <v>6</v>
      </c>
      <c r="AA64">
        <v>0.33333000000000002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2</v>
      </c>
      <c r="AH64">
        <v>0</v>
      </c>
      <c r="AI64">
        <v>2</v>
      </c>
      <c r="AJ64">
        <v>4</v>
      </c>
      <c r="AK64">
        <v>0.33333000000000002</v>
      </c>
      <c r="AL64">
        <v>7</v>
      </c>
      <c r="AM64">
        <v>6</v>
      </c>
      <c r="AN64">
        <v>4</v>
      </c>
      <c r="AO64">
        <v>6</v>
      </c>
      <c r="AP64">
        <v>6</v>
      </c>
      <c r="AQ64">
        <v>3</v>
      </c>
      <c r="AR64" t="s">
        <v>24546</v>
      </c>
      <c r="AS64" t="s">
        <v>24547</v>
      </c>
      <c r="AT64">
        <v>1.236</v>
      </c>
      <c r="AU64" t="s">
        <v>65</v>
      </c>
      <c r="AV64">
        <v>10</v>
      </c>
      <c r="AW64">
        <v>9</v>
      </c>
      <c r="AX64" t="s">
        <v>24548</v>
      </c>
      <c r="AY64">
        <v>7.8039999999999998E-2</v>
      </c>
      <c r="AZ64">
        <v>-5.3E-3</v>
      </c>
      <c r="BA64">
        <v>1.813E-2</v>
      </c>
      <c r="BB64">
        <v>-1.39E-3</v>
      </c>
      <c r="BC64">
        <v>0.23227</v>
      </c>
      <c r="BD64">
        <v>0.99</v>
      </c>
      <c r="BE64" t="s">
        <v>69</v>
      </c>
      <c r="BF64">
        <v>-0.28899999999999998</v>
      </c>
      <c r="BG64">
        <v>-0.91300000000000003</v>
      </c>
    </row>
    <row r="65" spans="1:59">
      <c r="A65">
        <v>0</v>
      </c>
      <c r="B65">
        <v>4</v>
      </c>
      <c r="C65">
        <v>0</v>
      </c>
      <c r="D65" t="s">
        <v>25022</v>
      </c>
      <c r="E65">
        <v>4167</v>
      </c>
      <c r="F65" t="s">
        <v>24525</v>
      </c>
      <c r="G65" t="s">
        <v>62</v>
      </c>
      <c r="H65">
        <v>4134999</v>
      </c>
      <c r="I65">
        <v>4135166</v>
      </c>
      <c r="J65" t="s">
        <v>288</v>
      </c>
      <c r="K65">
        <v>56</v>
      </c>
      <c r="L65" t="s">
        <v>59</v>
      </c>
      <c r="M65">
        <v>49</v>
      </c>
      <c r="N65" t="str">
        <f>HYPERLINK("Gene4167-zp_tree_all.dnd", "Gene4167-tree")</f>
        <v>Gene4167-tree</v>
      </c>
      <c r="O65">
        <v>31</v>
      </c>
      <c r="P65">
        <v>4</v>
      </c>
      <c r="Q65">
        <v>7</v>
      </c>
      <c r="R65">
        <v>4</v>
      </c>
      <c r="S65">
        <v>0.36364000000000002</v>
      </c>
      <c r="T65" t="s">
        <v>6799</v>
      </c>
      <c r="U65" t="s">
        <v>61</v>
      </c>
      <c r="V65" t="s">
        <v>62</v>
      </c>
      <c r="W65" t="s">
        <v>62</v>
      </c>
      <c r="X65">
        <v>2</v>
      </c>
      <c r="Y65">
        <v>4</v>
      </c>
      <c r="Z65">
        <v>1</v>
      </c>
      <c r="AA65">
        <v>0.8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2</v>
      </c>
      <c r="AH65">
        <v>0</v>
      </c>
      <c r="AI65">
        <v>2</v>
      </c>
      <c r="AJ65">
        <v>2</v>
      </c>
      <c r="AK65">
        <v>0.5</v>
      </c>
      <c r="AL65">
        <v>7</v>
      </c>
      <c r="AM65">
        <v>4</v>
      </c>
      <c r="AN65">
        <v>6</v>
      </c>
      <c r="AO65">
        <v>4</v>
      </c>
      <c r="AP65">
        <v>4</v>
      </c>
      <c r="AQ65">
        <v>1</v>
      </c>
      <c r="AR65" t="s">
        <v>24526</v>
      </c>
      <c r="AS65" t="s">
        <v>24527</v>
      </c>
      <c r="AT65">
        <v>0.67600000000000005</v>
      </c>
      <c r="AU65" t="s">
        <v>65</v>
      </c>
      <c r="AV65">
        <v>10</v>
      </c>
      <c r="AW65">
        <v>5</v>
      </c>
      <c r="AX65" t="s">
        <v>24528</v>
      </c>
      <c r="AY65">
        <v>7.6819999999999999E-2</v>
      </c>
      <c r="AZ65">
        <v>-5.3E-3</v>
      </c>
      <c r="BA65">
        <v>7.77E-3</v>
      </c>
      <c r="BB65">
        <v>-8.0000000000000004E-4</v>
      </c>
      <c r="BC65">
        <v>0.1011</v>
      </c>
      <c r="BD65">
        <v>1</v>
      </c>
      <c r="BE65" t="s">
        <v>69</v>
      </c>
      <c r="BF65">
        <v>-0.91100000000000003</v>
      </c>
      <c r="BG65">
        <v>-0.67400000000000004</v>
      </c>
    </row>
    <row r="66" spans="1:59">
      <c r="A66">
        <v>0</v>
      </c>
      <c r="B66">
        <v>0</v>
      </c>
      <c r="C66">
        <v>0</v>
      </c>
      <c r="D66" t="s">
        <v>25022</v>
      </c>
      <c r="E66">
        <v>2871</v>
      </c>
      <c r="F66" t="s">
        <v>16506</v>
      </c>
      <c r="G66" t="s">
        <v>62</v>
      </c>
      <c r="H66">
        <v>2818194</v>
      </c>
      <c r="I66">
        <v>2818361</v>
      </c>
      <c r="J66" t="s">
        <v>116</v>
      </c>
      <c r="K66">
        <v>56</v>
      </c>
      <c r="L66" t="s">
        <v>59</v>
      </c>
      <c r="M66">
        <v>49</v>
      </c>
      <c r="N66" t="str">
        <f>HYPERLINK("Gene2871-zp_tree_all.dnd", "Gene2871-tree")</f>
        <v>Gene2871-tree</v>
      </c>
      <c r="O66">
        <v>7</v>
      </c>
      <c r="P66">
        <v>2</v>
      </c>
      <c r="Q66">
        <v>7</v>
      </c>
      <c r="R66">
        <v>2</v>
      </c>
      <c r="S66">
        <v>0.22222</v>
      </c>
      <c r="T66" t="s">
        <v>152</v>
      </c>
      <c r="U66" t="s">
        <v>81</v>
      </c>
      <c r="V66" t="s">
        <v>62</v>
      </c>
      <c r="W66" t="s">
        <v>62</v>
      </c>
      <c r="X66">
        <v>0</v>
      </c>
      <c r="Y66">
        <v>0</v>
      </c>
      <c r="Z66">
        <v>4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0</v>
      </c>
      <c r="AL66">
        <v>5</v>
      </c>
      <c r="AM66">
        <v>4</v>
      </c>
      <c r="AN66">
        <v>7</v>
      </c>
      <c r="AO66">
        <v>2</v>
      </c>
      <c r="AP66">
        <v>8</v>
      </c>
      <c r="AQ66">
        <v>2</v>
      </c>
      <c r="AR66" t="s">
        <v>16507</v>
      </c>
      <c r="AS66" t="s">
        <v>16508</v>
      </c>
      <c r="AT66">
        <v>0.123</v>
      </c>
      <c r="AU66" t="s">
        <v>65</v>
      </c>
      <c r="AV66">
        <v>15</v>
      </c>
      <c r="AW66">
        <v>4</v>
      </c>
      <c r="AX66" t="s">
        <v>16509</v>
      </c>
      <c r="AY66">
        <v>0.15118999999999999</v>
      </c>
      <c r="AZ66">
        <v>-1.299E-2</v>
      </c>
      <c r="BA66">
        <v>1.154E-2</v>
      </c>
      <c r="BB66">
        <v>-1.23E-3</v>
      </c>
      <c r="BC66">
        <v>7.6340000000000005E-2</v>
      </c>
      <c r="BD66">
        <v>1</v>
      </c>
      <c r="BE66" t="s">
        <v>69</v>
      </c>
      <c r="BF66">
        <v>-1.8879999999999999</v>
      </c>
      <c r="BG66">
        <v>-1.946</v>
      </c>
    </row>
    <row r="67" spans="1:59">
      <c r="A67">
        <v>0</v>
      </c>
      <c r="B67">
        <v>0</v>
      </c>
      <c r="C67">
        <v>0</v>
      </c>
      <c r="D67" t="s">
        <v>25022</v>
      </c>
      <c r="E67">
        <v>2333</v>
      </c>
      <c r="F67" t="s">
        <v>13533</v>
      </c>
      <c r="G67" t="s">
        <v>62</v>
      </c>
      <c r="H67">
        <v>2349361</v>
      </c>
      <c r="I67">
        <v>2349528</v>
      </c>
      <c r="J67" t="s">
        <v>116</v>
      </c>
      <c r="K67">
        <v>56</v>
      </c>
      <c r="L67" t="s">
        <v>214</v>
      </c>
      <c r="M67">
        <v>48</v>
      </c>
      <c r="N67" t="str">
        <f>HYPERLINK("Gene2333-zp_tree_all.dnd", "Gene2333-tree")</f>
        <v>Gene2333-tree</v>
      </c>
      <c r="O67">
        <v>8</v>
      </c>
      <c r="P67">
        <v>1</v>
      </c>
      <c r="Q67">
        <v>8</v>
      </c>
      <c r="R67">
        <v>1</v>
      </c>
      <c r="S67">
        <v>0.11111</v>
      </c>
      <c r="T67" t="s">
        <v>136</v>
      </c>
      <c r="U67" t="s">
        <v>175</v>
      </c>
      <c r="V67" t="s">
        <v>62</v>
      </c>
      <c r="W67" t="s">
        <v>62</v>
      </c>
      <c r="X67">
        <v>0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6</v>
      </c>
      <c r="AM67">
        <v>2</v>
      </c>
      <c r="AN67">
        <v>7</v>
      </c>
      <c r="AO67">
        <v>1</v>
      </c>
      <c r="AP67">
        <v>5</v>
      </c>
      <c r="AQ67">
        <v>1</v>
      </c>
      <c r="AR67" t="s">
        <v>13534</v>
      </c>
      <c r="AS67" t="s">
        <v>13535</v>
      </c>
      <c r="AT67">
        <v>0.107</v>
      </c>
      <c r="AU67" t="s">
        <v>65</v>
      </c>
      <c r="AV67">
        <v>12</v>
      </c>
      <c r="AW67">
        <v>2</v>
      </c>
      <c r="AX67" t="s">
        <v>13536</v>
      </c>
      <c r="AY67">
        <v>0.12901000000000001</v>
      </c>
      <c r="AZ67">
        <v>-1.464E-2</v>
      </c>
      <c r="BA67">
        <v>4.7000000000000002E-3</v>
      </c>
      <c r="BB67">
        <v>-7.2000000000000005E-4</v>
      </c>
      <c r="BC67">
        <v>3.644E-2</v>
      </c>
      <c r="BD67">
        <v>1</v>
      </c>
      <c r="BE67" t="s">
        <v>69</v>
      </c>
      <c r="BF67">
        <v>-1.3620000000000001</v>
      </c>
      <c r="BG67">
        <v>-1.732</v>
      </c>
    </row>
    <row r="68" spans="1:59">
      <c r="A68">
        <v>0</v>
      </c>
      <c r="B68">
        <v>3</v>
      </c>
      <c r="C68">
        <v>0</v>
      </c>
      <c r="D68" t="s">
        <v>25022</v>
      </c>
      <c r="E68">
        <v>720</v>
      </c>
      <c r="F68" t="s">
        <v>4460</v>
      </c>
      <c r="G68" t="s">
        <v>57</v>
      </c>
      <c r="H68">
        <v>752079</v>
      </c>
      <c r="I68">
        <v>752249</v>
      </c>
      <c r="J68" t="s">
        <v>4461</v>
      </c>
      <c r="K68">
        <v>57</v>
      </c>
      <c r="L68" t="s">
        <v>4462</v>
      </c>
      <c r="M68">
        <v>41</v>
      </c>
      <c r="N68" t="str">
        <f>HYPERLINK("Gene720-zp_tree_all.dnd", "Gene720-tree")</f>
        <v>Gene720-tree</v>
      </c>
      <c r="O68">
        <v>2</v>
      </c>
      <c r="P68">
        <v>9</v>
      </c>
      <c r="Q68">
        <v>2</v>
      </c>
      <c r="R68">
        <v>9</v>
      </c>
      <c r="S68">
        <v>0.81818000000000002</v>
      </c>
      <c r="T68" t="s">
        <v>81</v>
      </c>
      <c r="U68" t="s">
        <v>135</v>
      </c>
      <c r="V68" t="s">
        <v>62</v>
      </c>
      <c r="W68" t="s">
        <v>62</v>
      </c>
      <c r="X68">
        <v>1</v>
      </c>
      <c r="Y68">
        <v>3</v>
      </c>
      <c r="Z68">
        <v>9</v>
      </c>
      <c r="AA68">
        <v>0.25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</v>
      </c>
      <c r="AH68">
        <v>0</v>
      </c>
      <c r="AI68">
        <v>2</v>
      </c>
      <c r="AJ68">
        <v>8</v>
      </c>
      <c r="AK68">
        <v>0.2</v>
      </c>
      <c r="AL68">
        <v>10</v>
      </c>
      <c r="AM68">
        <v>6</v>
      </c>
      <c r="AN68">
        <v>4</v>
      </c>
      <c r="AO68">
        <v>10</v>
      </c>
      <c r="AP68">
        <v>4</v>
      </c>
      <c r="AQ68">
        <v>3</v>
      </c>
      <c r="AR68" t="s">
        <v>4463</v>
      </c>
      <c r="AS68" t="s">
        <v>4464</v>
      </c>
      <c r="AT68">
        <v>0.69299999999999995</v>
      </c>
      <c r="AU68" t="s">
        <v>65</v>
      </c>
      <c r="AV68">
        <v>8</v>
      </c>
      <c r="AW68">
        <v>13</v>
      </c>
      <c r="AX68" t="s">
        <v>4465</v>
      </c>
      <c r="AY68">
        <v>5.4190000000000002E-2</v>
      </c>
      <c r="AZ68">
        <v>-4.0899999999999999E-3</v>
      </c>
      <c r="BA68">
        <v>2.41E-2</v>
      </c>
      <c r="BB68">
        <v>-1.5299999999999999E-3</v>
      </c>
      <c r="BC68">
        <v>0.44468000000000002</v>
      </c>
      <c r="BD68">
        <v>0.84699999999999998</v>
      </c>
      <c r="BE68" t="s">
        <v>635</v>
      </c>
      <c r="BF68">
        <v>-0.42599999999999999</v>
      </c>
      <c r="BG68">
        <v>-1.1559999999999999</v>
      </c>
    </row>
    <row r="69" spans="1:59">
      <c r="A69">
        <v>0</v>
      </c>
      <c r="B69">
        <v>0</v>
      </c>
      <c r="C69">
        <v>0</v>
      </c>
      <c r="D69" t="s">
        <v>25022</v>
      </c>
      <c r="E69">
        <v>1234</v>
      </c>
      <c r="F69" t="s">
        <v>7747</v>
      </c>
      <c r="G69" t="s">
        <v>57</v>
      </c>
      <c r="H69">
        <v>1265677</v>
      </c>
      <c r="I69">
        <v>1265847</v>
      </c>
      <c r="J69" t="s">
        <v>2302</v>
      </c>
      <c r="K69">
        <v>57</v>
      </c>
      <c r="L69" t="s">
        <v>7748</v>
      </c>
      <c r="M69">
        <v>25</v>
      </c>
      <c r="N69" t="str">
        <f>HYPERLINK("Gene1234-zp_tree_all.dnd", "Gene1234-tree")</f>
        <v>Gene1234-tree</v>
      </c>
      <c r="O69">
        <v>3</v>
      </c>
      <c r="P69">
        <v>20</v>
      </c>
      <c r="Q69">
        <v>3</v>
      </c>
      <c r="R69">
        <v>2</v>
      </c>
      <c r="S69">
        <v>0.4</v>
      </c>
      <c r="T69" t="s">
        <v>324</v>
      </c>
      <c r="U69" t="s">
        <v>4872</v>
      </c>
      <c r="V69">
        <v>6.5170000000000003</v>
      </c>
      <c r="W69" t="s">
        <v>65</v>
      </c>
      <c r="X69">
        <v>0</v>
      </c>
      <c r="Y69">
        <v>0</v>
      </c>
      <c r="Z69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</v>
      </c>
      <c r="AK69">
        <v>0</v>
      </c>
      <c r="AL69">
        <v>4</v>
      </c>
      <c r="AM69">
        <v>0</v>
      </c>
      <c r="AN69">
        <v>5</v>
      </c>
      <c r="AO69">
        <v>4</v>
      </c>
      <c r="AP69">
        <v>0</v>
      </c>
      <c r="AQ69">
        <v>0</v>
      </c>
      <c r="AR69" t="s">
        <v>7749</v>
      </c>
      <c r="AS69" t="s">
        <v>193</v>
      </c>
      <c r="AT69">
        <v>1.024</v>
      </c>
      <c r="AU69" t="s">
        <v>65</v>
      </c>
      <c r="AV69">
        <v>5</v>
      </c>
      <c r="AW69">
        <v>4</v>
      </c>
      <c r="AX69" t="s">
        <v>7750</v>
      </c>
      <c r="AY69">
        <v>6.157E-2</v>
      </c>
      <c r="AZ69">
        <v>-1.099E-2</v>
      </c>
      <c r="BA69">
        <v>1.272E-2</v>
      </c>
      <c r="BB69">
        <v>-3.6099999999999999E-3</v>
      </c>
      <c r="BC69">
        <v>0.20658000000000001</v>
      </c>
      <c r="BD69">
        <v>0.90200000000000002</v>
      </c>
      <c r="BE69" t="s">
        <v>635</v>
      </c>
      <c r="BF69">
        <v>-0.626</v>
      </c>
      <c r="BG69">
        <v>-0.63300000000000001</v>
      </c>
    </row>
    <row r="70" spans="1:59">
      <c r="A70">
        <v>0</v>
      </c>
      <c r="B70">
        <v>0</v>
      </c>
      <c r="C70">
        <v>0</v>
      </c>
      <c r="D70" t="s">
        <v>25022</v>
      </c>
      <c r="E70">
        <v>2590</v>
      </c>
      <c r="F70" t="s">
        <v>15163</v>
      </c>
      <c r="G70" t="s">
        <v>62</v>
      </c>
      <c r="H70">
        <v>2573523</v>
      </c>
      <c r="I70">
        <v>2573693</v>
      </c>
      <c r="J70" t="s">
        <v>116</v>
      </c>
      <c r="K70">
        <v>57</v>
      </c>
      <c r="L70" t="s">
        <v>108</v>
      </c>
      <c r="M70">
        <v>44</v>
      </c>
      <c r="N70" t="str">
        <f>HYPERLINK("Gene2590-zp_tree_all.dnd", "Gene2590-tree")</f>
        <v>Gene2590-tree</v>
      </c>
      <c r="O70">
        <v>4</v>
      </c>
      <c r="P70">
        <v>1</v>
      </c>
      <c r="Q70">
        <v>4</v>
      </c>
      <c r="R70">
        <v>1</v>
      </c>
      <c r="S70">
        <v>0.2</v>
      </c>
      <c r="T70" t="s">
        <v>61</v>
      </c>
      <c r="U70" t="s">
        <v>175</v>
      </c>
      <c r="V70" t="s">
        <v>62</v>
      </c>
      <c r="W70" t="s">
        <v>62</v>
      </c>
      <c r="X70">
        <v>0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0</v>
      </c>
      <c r="AL70">
        <v>4</v>
      </c>
      <c r="AM70">
        <v>1</v>
      </c>
      <c r="AN70">
        <v>3</v>
      </c>
      <c r="AO70">
        <v>2</v>
      </c>
      <c r="AP70">
        <v>1</v>
      </c>
      <c r="AQ70">
        <v>0</v>
      </c>
      <c r="AR70" t="s">
        <v>15164</v>
      </c>
      <c r="AS70" t="s">
        <v>193</v>
      </c>
      <c r="AT70">
        <v>0.6</v>
      </c>
      <c r="AU70" t="s">
        <v>65</v>
      </c>
      <c r="AV70">
        <v>4</v>
      </c>
      <c r="AW70">
        <v>2</v>
      </c>
      <c r="AX70" t="s">
        <v>15165</v>
      </c>
      <c r="AY70">
        <v>5.015E-2</v>
      </c>
      <c r="AZ70">
        <v>-7.8200000000000006E-3</v>
      </c>
      <c r="BA70">
        <v>6.0499999999999998E-3</v>
      </c>
      <c r="BB70">
        <v>-2.2599999999999999E-3</v>
      </c>
      <c r="BC70">
        <v>0.12060999999999999</v>
      </c>
      <c r="BD70">
        <v>0.98599999999999999</v>
      </c>
      <c r="BE70" t="s">
        <v>69</v>
      </c>
      <c r="BF70">
        <v>-1.855</v>
      </c>
      <c r="BG70">
        <v>-2.173</v>
      </c>
    </row>
    <row r="71" spans="1:59">
      <c r="A71">
        <v>0</v>
      </c>
      <c r="B71">
        <v>0</v>
      </c>
      <c r="C71">
        <v>0</v>
      </c>
      <c r="D71" t="s">
        <v>25022</v>
      </c>
      <c r="E71">
        <v>617</v>
      </c>
      <c r="F71" t="s">
        <v>3971</v>
      </c>
      <c r="G71" t="s">
        <v>57</v>
      </c>
      <c r="H71">
        <v>647760</v>
      </c>
      <c r="I71">
        <v>647930</v>
      </c>
      <c r="J71" t="s">
        <v>1803</v>
      </c>
      <c r="K71">
        <v>57</v>
      </c>
      <c r="L71" t="s">
        <v>59</v>
      </c>
      <c r="M71">
        <v>49</v>
      </c>
      <c r="N71" t="str">
        <f>HYPERLINK("Gene617-zp_tree_all.dnd", "Gene617-tree")</f>
        <v>Gene617-tree</v>
      </c>
      <c r="O71">
        <v>13</v>
      </c>
      <c r="P71">
        <v>0</v>
      </c>
      <c r="Q71">
        <v>13</v>
      </c>
      <c r="R71">
        <v>0</v>
      </c>
      <c r="S71">
        <v>0</v>
      </c>
      <c r="T71" t="s">
        <v>507</v>
      </c>
      <c r="U71" t="s">
        <v>62</v>
      </c>
      <c r="V71" t="s">
        <v>62</v>
      </c>
      <c r="W71" t="s">
        <v>62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8</v>
      </c>
      <c r="AM71">
        <v>6</v>
      </c>
      <c r="AN71">
        <v>10</v>
      </c>
      <c r="AO71">
        <v>0</v>
      </c>
      <c r="AP71">
        <v>11</v>
      </c>
      <c r="AQ71">
        <v>1</v>
      </c>
      <c r="AR71" t="s">
        <v>193</v>
      </c>
      <c r="AS71" t="s">
        <v>3972</v>
      </c>
      <c r="AT71">
        <v>0.42299999999999999</v>
      </c>
      <c r="AU71" t="s">
        <v>65</v>
      </c>
      <c r="AV71">
        <v>21</v>
      </c>
      <c r="AW71">
        <v>1</v>
      </c>
      <c r="AX71" t="s">
        <v>3973</v>
      </c>
      <c r="AY71">
        <v>0.11811000000000001</v>
      </c>
      <c r="AZ71">
        <v>-7.2700000000000004E-3</v>
      </c>
      <c r="BA71">
        <v>3.5200000000000001E-3</v>
      </c>
      <c r="BB71">
        <v>-4.2000000000000002E-4</v>
      </c>
      <c r="BC71">
        <v>2.9770000000000001E-2</v>
      </c>
      <c r="BD71">
        <v>1</v>
      </c>
      <c r="BE71" t="s">
        <v>69</v>
      </c>
      <c r="BF71">
        <v>-1.1120000000000001</v>
      </c>
      <c r="BG71">
        <v>-2.327</v>
      </c>
    </row>
    <row r="72" spans="1:59">
      <c r="A72">
        <v>0</v>
      </c>
      <c r="B72">
        <v>2</v>
      </c>
      <c r="C72">
        <v>0</v>
      </c>
      <c r="D72" t="s">
        <v>25022</v>
      </c>
      <c r="E72">
        <v>2763</v>
      </c>
      <c r="F72" t="s">
        <v>15851</v>
      </c>
      <c r="G72" t="s">
        <v>62</v>
      </c>
      <c r="H72">
        <v>2715513</v>
      </c>
      <c r="I72">
        <v>2715686</v>
      </c>
      <c r="J72" t="s">
        <v>15852</v>
      </c>
      <c r="K72">
        <v>58</v>
      </c>
      <c r="L72" t="s">
        <v>15826</v>
      </c>
      <c r="M72">
        <v>30</v>
      </c>
      <c r="N72" t="str">
        <f>HYPERLINK("Gene2763-zp_tree_all.dnd", "Gene2763-tree")</f>
        <v>Gene2763-tree</v>
      </c>
      <c r="O72">
        <v>3</v>
      </c>
      <c r="P72">
        <v>5</v>
      </c>
      <c r="Q72">
        <v>3</v>
      </c>
      <c r="R72">
        <v>5</v>
      </c>
      <c r="S72">
        <v>0.625</v>
      </c>
      <c r="T72" t="s">
        <v>324</v>
      </c>
      <c r="U72" t="s">
        <v>199</v>
      </c>
      <c r="V72" t="s">
        <v>62</v>
      </c>
      <c r="W72" t="s">
        <v>62</v>
      </c>
      <c r="X72">
        <v>1</v>
      </c>
      <c r="Y72">
        <v>2</v>
      </c>
      <c r="Z72">
        <v>4</v>
      </c>
      <c r="AA72">
        <v>0.33333000000000002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2</v>
      </c>
      <c r="AH72">
        <v>0</v>
      </c>
      <c r="AI72">
        <v>2</v>
      </c>
      <c r="AJ72">
        <v>2</v>
      </c>
      <c r="AK72">
        <v>0.5</v>
      </c>
      <c r="AL72">
        <v>6</v>
      </c>
      <c r="AM72">
        <v>2</v>
      </c>
      <c r="AN72">
        <v>2</v>
      </c>
      <c r="AO72">
        <v>4</v>
      </c>
      <c r="AP72">
        <v>0</v>
      </c>
      <c r="AQ72">
        <v>2</v>
      </c>
      <c r="AR72" t="s">
        <v>15853</v>
      </c>
      <c r="AS72" t="s">
        <v>193</v>
      </c>
      <c r="AT72">
        <v>0.98</v>
      </c>
      <c r="AU72" t="s">
        <v>65</v>
      </c>
      <c r="AV72">
        <v>2</v>
      </c>
      <c r="AW72">
        <v>6</v>
      </c>
      <c r="AX72" t="s">
        <v>15854</v>
      </c>
      <c r="AY72">
        <v>1.512E-2</v>
      </c>
      <c r="AZ72">
        <v>-3.2499999999999999E-3</v>
      </c>
      <c r="BA72">
        <v>1.396E-2</v>
      </c>
      <c r="BB72">
        <v>-1.2600000000000001E-3</v>
      </c>
      <c r="BC72">
        <v>0.92300000000000004</v>
      </c>
      <c r="BD72">
        <v>0.5</v>
      </c>
      <c r="BE72" t="s">
        <v>635</v>
      </c>
      <c r="BF72">
        <v>-1.161</v>
      </c>
      <c r="BG72">
        <v>-1.2110000000000001</v>
      </c>
    </row>
    <row r="73" spans="1:59">
      <c r="A73">
        <v>0</v>
      </c>
      <c r="B73">
        <v>0</v>
      </c>
      <c r="C73">
        <v>0</v>
      </c>
      <c r="D73" t="s">
        <v>25022</v>
      </c>
      <c r="E73">
        <v>2186</v>
      </c>
      <c r="F73" t="s">
        <v>12950</v>
      </c>
      <c r="G73" t="s">
        <v>62</v>
      </c>
      <c r="H73">
        <v>2219787</v>
      </c>
      <c r="I73">
        <v>2219960</v>
      </c>
      <c r="J73" t="s">
        <v>12951</v>
      </c>
      <c r="K73">
        <v>58</v>
      </c>
      <c r="L73" t="s">
        <v>12873</v>
      </c>
      <c r="M73">
        <v>18</v>
      </c>
      <c r="N73" t="str">
        <f>HYPERLINK("Gene2186-zp_tree_all.dnd", "Gene2186-tree")</f>
        <v>Gene2186-tree</v>
      </c>
      <c r="O73">
        <v>2</v>
      </c>
      <c r="P73">
        <v>15</v>
      </c>
      <c r="Q73">
        <v>2</v>
      </c>
      <c r="R73">
        <v>2</v>
      </c>
      <c r="S73">
        <v>0.5</v>
      </c>
      <c r="T73" t="s">
        <v>81</v>
      </c>
      <c r="U73" t="s">
        <v>12915</v>
      </c>
      <c r="V73">
        <v>3.3639999999999999</v>
      </c>
      <c r="W73" t="s">
        <v>65</v>
      </c>
      <c r="X73">
        <v>0</v>
      </c>
      <c r="Y73">
        <v>0</v>
      </c>
      <c r="Z73">
        <v>4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3</v>
      </c>
      <c r="AK73">
        <v>0</v>
      </c>
      <c r="AL73">
        <v>3</v>
      </c>
      <c r="AM73">
        <v>1</v>
      </c>
      <c r="AN73">
        <v>2</v>
      </c>
      <c r="AO73">
        <v>3</v>
      </c>
      <c r="AP73">
        <v>0</v>
      </c>
      <c r="AQ73">
        <v>1</v>
      </c>
      <c r="AR73" t="s">
        <v>12952</v>
      </c>
      <c r="AS73" t="s">
        <v>193</v>
      </c>
      <c r="AT73">
        <v>0.64900000000000002</v>
      </c>
      <c r="AU73" t="s">
        <v>65</v>
      </c>
      <c r="AV73">
        <v>2</v>
      </c>
      <c r="AW73">
        <v>4</v>
      </c>
      <c r="AX73" t="s">
        <v>12953</v>
      </c>
      <c r="AY73">
        <v>2.4500000000000001E-2</v>
      </c>
      <c r="AZ73">
        <v>-0.01</v>
      </c>
      <c r="BA73">
        <v>1.6660000000000001E-2</v>
      </c>
      <c r="BB73">
        <v>-1.89E-3</v>
      </c>
      <c r="BC73">
        <v>0.68015999999999999</v>
      </c>
      <c r="BD73">
        <v>0.442</v>
      </c>
      <c r="BE73" t="s">
        <v>635</v>
      </c>
      <c r="BF73">
        <v>-0.72699999999999998</v>
      </c>
      <c r="BG73">
        <v>-0.78600000000000003</v>
      </c>
    </row>
    <row r="74" spans="1:59">
      <c r="A74">
        <v>0</v>
      </c>
      <c r="B74">
        <v>2</v>
      </c>
      <c r="C74">
        <v>0</v>
      </c>
      <c r="D74" t="s">
        <v>25022</v>
      </c>
      <c r="E74">
        <v>262</v>
      </c>
      <c r="F74" t="s">
        <v>1788</v>
      </c>
      <c r="G74" t="s">
        <v>57</v>
      </c>
      <c r="H74">
        <v>283816</v>
      </c>
      <c r="I74">
        <v>283989</v>
      </c>
      <c r="J74" t="s">
        <v>116</v>
      </c>
      <c r="K74">
        <v>58</v>
      </c>
      <c r="L74" t="s">
        <v>108</v>
      </c>
      <c r="M74">
        <v>44</v>
      </c>
      <c r="N74" t="str">
        <f>HYPERLINK("Gene262-zp_tree_all.dnd", "Gene262-tree")</f>
        <v>Gene262-tree</v>
      </c>
      <c r="O74">
        <v>4</v>
      </c>
      <c r="P74">
        <v>4</v>
      </c>
      <c r="Q74">
        <v>4</v>
      </c>
      <c r="R74">
        <v>4</v>
      </c>
      <c r="S74">
        <v>0.5</v>
      </c>
      <c r="T74" t="s">
        <v>61</v>
      </c>
      <c r="U74" t="s">
        <v>61</v>
      </c>
      <c r="V74" t="s">
        <v>62</v>
      </c>
      <c r="W74" t="s">
        <v>62</v>
      </c>
      <c r="X74">
        <v>1</v>
      </c>
      <c r="Y74">
        <v>2</v>
      </c>
      <c r="Z74">
        <v>3</v>
      </c>
      <c r="AA74">
        <v>0.4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4</v>
      </c>
      <c r="AK74">
        <v>0</v>
      </c>
      <c r="AL74">
        <v>4</v>
      </c>
      <c r="AM74">
        <v>3</v>
      </c>
      <c r="AN74">
        <v>2</v>
      </c>
      <c r="AO74">
        <v>3</v>
      </c>
      <c r="AP74">
        <v>1</v>
      </c>
      <c r="AQ74">
        <v>2</v>
      </c>
      <c r="AR74" t="s">
        <v>1789</v>
      </c>
      <c r="AS74" t="s">
        <v>1790</v>
      </c>
      <c r="AT74">
        <v>0.16400000000000001</v>
      </c>
      <c r="AU74" t="s">
        <v>65</v>
      </c>
      <c r="AV74">
        <v>3</v>
      </c>
      <c r="AW74">
        <v>5</v>
      </c>
      <c r="AX74" t="s">
        <v>1791</v>
      </c>
      <c r="AY74">
        <v>2.785E-2</v>
      </c>
      <c r="AZ74">
        <v>-4.0099999999999997E-3</v>
      </c>
      <c r="BA74">
        <v>1.1690000000000001E-2</v>
      </c>
      <c r="BB74">
        <v>-1.16E-3</v>
      </c>
      <c r="BC74">
        <v>0.41997000000000001</v>
      </c>
      <c r="BD74">
        <v>0.61</v>
      </c>
      <c r="BE74" t="s">
        <v>635</v>
      </c>
      <c r="BF74">
        <v>-0.09</v>
      </c>
      <c r="BG74">
        <v>-0.26800000000000002</v>
      </c>
    </row>
    <row r="75" spans="1:59">
      <c r="A75">
        <v>0</v>
      </c>
      <c r="B75">
        <v>0</v>
      </c>
      <c r="C75">
        <v>0</v>
      </c>
      <c r="D75" t="s">
        <v>25022</v>
      </c>
      <c r="E75">
        <v>2386</v>
      </c>
      <c r="F75" t="s">
        <v>13884</v>
      </c>
      <c r="G75" t="s">
        <v>62</v>
      </c>
      <c r="H75">
        <v>2396801</v>
      </c>
      <c r="I75">
        <v>2396974</v>
      </c>
      <c r="J75" t="s">
        <v>288</v>
      </c>
      <c r="K75">
        <v>58</v>
      </c>
      <c r="L75" t="s">
        <v>698</v>
      </c>
      <c r="M75">
        <v>47</v>
      </c>
      <c r="N75" t="str">
        <f>HYPERLINK("Gene2386-zp_tree_all.dnd", "Gene2386-tree")</f>
        <v>Gene2386-tree</v>
      </c>
      <c r="O75">
        <v>5</v>
      </c>
      <c r="P75">
        <v>3</v>
      </c>
      <c r="Q75">
        <v>5</v>
      </c>
      <c r="R75">
        <v>3</v>
      </c>
      <c r="S75">
        <v>0.375</v>
      </c>
      <c r="T75" t="s">
        <v>199</v>
      </c>
      <c r="U75" t="s">
        <v>324</v>
      </c>
      <c r="V75" t="s">
        <v>62</v>
      </c>
      <c r="W75" t="s">
        <v>62</v>
      </c>
      <c r="X75">
        <v>0</v>
      </c>
      <c r="Y75">
        <v>0</v>
      </c>
      <c r="Z75">
        <v>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6</v>
      </c>
      <c r="AK75">
        <v>0</v>
      </c>
      <c r="AL75">
        <v>6</v>
      </c>
      <c r="AM75">
        <v>2</v>
      </c>
      <c r="AN75">
        <v>5</v>
      </c>
      <c r="AO75">
        <v>6</v>
      </c>
      <c r="AP75">
        <v>5</v>
      </c>
      <c r="AQ75">
        <v>1</v>
      </c>
      <c r="AR75" t="s">
        <v>13885</v>
      </c>
      <c r="AS75" t="s">
        <v>13886</v>
      </c>
      <c r="AT75">
        <v>0.753</v>
      </c>
      <c r="AU75" t="s">
        <v>65</v>
      </c>
      <c r="AV75">
        <v>10</v>
      </c>
      <c r="AW75">
        <v>7</v>
      </c>
      <c r="AX75" t="s">
        <v>13887</v>
      </c>
      <c r="AY75">
        <v>0.1168</v>
      </c>
      <c r="AZ75">
        <v>-1.485E-2</v>
      </c>
      <c r="BA75">
        <v>1.533E-2</v>
      </c>
      <c r="BB75">
        <v>-2.47E-3</v>
      </c>
      <c r="BC75">
        <v>0.13123000000000001</v>
      </c>
      <c r="BD75">
        <v>1</v>
      </c>
      <c r="BE75" t="s">
        <v>69</v>
      </c>
      <c r="BF75">
        <v>-1.2669999999999999</v>
      </c>
      <c r="BG75">
        <v>-0.55900000000000005</v>
      </c>
    </row>
    <row r="76" spans="1:59">
      <c r="A76">
        <v>0</v>
      </c>
      <c r="B76">
        <v>0</v>
      </c>
      <c r="C76">
        <v>0</v>
      </c>
      <c r="D76" t="s">
        <v>25022</v>
      </c>
      <c r="E76">
        <v>2048</v>
      </c>
      <c r="F76" t="s">
        <v>12752</v>
      </c>
      <c r="G76" t="s">
        <v>62</v>
      </c>
      <c r="H76">
        <v>2137605</v>
      </c>
      <c r="I76">
        <v>2137778</v>
      </c>
      <c r="J76" t="s">
        <v>288</v>
      </c>
      <c r="K76">
        <v>58</v>
      </c>
      <c r="L76" t="s">
        <v>59</v>
      </c>
      <c r="M76">
        <v>49</v>
      </c>
      <c r="N76" t="str">
        <f>HYPERLINK("Gene2048-zp_tree_all.dnd", "Gene2048-tree")</f>
        <v>Gene2048-tree</v>
      </c>
      <c r="O76">
        <v>41</v>
      </c>
      <c r="P76">
        <v>3</v>
      </c>
      <c r="Q76">
        <v>5</v>
      </c>
      <c r="R76">
        <v>3</v>
      </c>
      <c r="S76">
        <v>0.375</v>
      </c>
      <c r="T76" t="s">
        <v>12753</v>
      </c>
      <c r="U76" t="s">
        <v>324</v>
      </c>
      <c r="V76" t="s">
        <v>62</v>
      </c>
      <c r="W76" t="s">
        <v>62</v>
      </c>
      <c r="X76">
        <v>0</v>
      </c>
      <c r="Y76">
        <v>0</v>
      </c>
      <c r="Z76">
        <v>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</v>
      </c>
      <c r="AK76">
        <v>0</v>
      </c>
      <c r="AL76">
        <v>5</v>
      </c>
      <c r="AM76">
        <v>2</v>
      </c>
      <c r="AN76">
        <v>2</v>
      </c>
      <c r="AO76">
        <v>3</v>
      </c>
      <c r="AP76">
        <v>2</v>
      </c>
      <c r="AQ76">
        <v>0</v>
      </c>
      <c r="AR76" t="s">
        <v>12754</v>
      </c>
      <c r="AS76" t="s">
        <v>193</v>
      </c>
      <c r="AT76">
        <v>1.032</v>
      </c>
      <c r="AU76" t="s">
        <v>65</v>
      </c>
      <c r="AV76">
        <v>4</v>
      </c>
      <c r="AW76">
        <v>3</v>
      </c>
      <c r="AX76" t="s">
        <v>12755</v>
      </c>
      <c r="AY76">
        <v>4.2299999999999997E-2</v>
      </c>
      <c r="AZ76">
        <v>-4.9199999999999999E-3</v>
      </c>
      <c r="BA76">
        <v>5.4799999999999996E-3</v>
      </c>
      <c r="BB76">
        <v>-8.8000000000000003E-4</v>
      </c>
      <c r="BC76">
        <v>0.12964000000000001</v>
      </c>
      <c r="BD76">
        <v>0.97799999999999998</v>
      </c>
      <c r="BE76" t="s">
        <v>69</v>
      </c>
      <c r="BF76">
        <v>-1.4910000000000001</v>
      </c>
      <c r="BG76">
        <v>-1.0840000000000001</v>
      </c>
    </row>
    <row r="77" spans="1:59">
      <c r="A77">
        <v>0</v>
      </c>
      <c r="B77">
        <v>0</v>
      </c>
      <c r="C77">
        <v>0</v>
      </c>
      <c r="D77" t="s">
        <v>25022</v>
      </c>
      <c r="E77">
        <v>1403</v>
      </c>
      <c r="F77" t="s">
        <v>8782</v>
      </c>
      <c r="G77" t="s">
        <v>57</v>
      </c>
      <c r="H77">
        <v>1417719</v>
      </c>
      <c r="I77">
        <v>1417892</v>
      </c>
      <c r="J77" t="s">
        <v>116</v>
      </c>
      <c r="K77">
        <v>58</v>
      </c>
      <c r="L77" t="s">
        <v>108</v>
      </c>
      <c r="M77">
        <v>44</v>
      </c>
      <c r="N77" t="str">
        <f>HYPERLINK("Gene1403-zp_tree_all.dnd", "Gene1403-tree")</f>
        <v>Gene1403-tree</v>
      </c>
      <c r="O77">
        <v>5</v>
      </c>
      <c r="P77">
        <v>1</v>
      </c>
      <c r="Q77">
        <v>5</v>
      </c>
      <c r="R77">
        <v>1</v>
      </c>
      <c r="S77">
        <v>0.16667000000000001</v>
      </c>
      <c r="T77" t="s">
        <v>199</v>
      </c>
      <c r="U77" t="s">
        <v>175</v>
      </c>
      <c r="V77" t="s">
        <v>62</v>
      </c>
      <c r="W77" t="s">
        <v>62</v>
      </c>
      <c r="X77">
        <v>0</v>
      </c>
      <c r="Y77">
        <v>0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</v>
      </c>
      <c r="AK77">
        <v>0</v>
      </c>
      <c r="AL77">
        <v>5</v>
      </c>
      <c r="AM77">
        <v>1</v>
      </c>
      <c r="AN77">
        <v>5</v>
      </c>
      <c r="AO77">
        <v>2</v>
      </c>
      <c r="AP77">
        <v>1</v>
      </c>
      <c r="AQ77">
        <v>0</v>
      </c>
      <c r="AR77" t="s">
        <v>8783</v>
      </c>
      <c r="AS77" t="s">
        <v>193</v>
      </c>
      <c r="AT77">
        <v>0.50700000000000001</v>
      </c>
      <c r="AU77" t="s">
        <v>65</v>
      </c>
      <c r="AV77">
        <v>6</v>
      </c>
      <c r="AW77">
        <v>2</v>
      </c>
      <c r="AX77" t="s">
        <v>8784</v>
      </c>
      <c r="AY77">
        <v>7.918E-2</v>
      </c>
      <c r="AZ77">
        <v>-8.8599999999999998E-3</v>
      </c>
      <c r="BA77">
        <v>5.0800000000000003E-3</v>
      </c>
      <c r="BB77">
        <v>-1.8600000000000001E-3</v>
      </c>
      <c r="BC77">
        <v>6.4219999999999999E-2</v>
      </c>
      <c r="BD77">
        <v>1</v>
      </c>
      <c r="BE77" t="s">
        <v>69</v>
      </c>
      <c r="BF77">
        <v>-0.14399999999999999</v>
      </c>
      <c r="BG77">
        <v>-2.165</v>
      </c>
    </row>
    <row r="78" spans="1:59">
      <c r="A78">
        <v>0</v>
      </c>
      <c r="B78">
        <v>0</v>
      </c>
      <c r="C78">
        <v>0</v>
      </c>
      <c r="D78" t="s">
        <v>25022</v>
      </c>
      <c r="E78">
        <v>2220</v>
      </c>
      <c r="F78" t="s">
        <v>13035</v>
      </c>
      <c r="G78" t="s">
        <v>62</v>
      </c>
      <c r="H78">
        <v>2247370</v>
      </c>
      <c r="I78">
        <v>2247543</v>
      </c>
      <c r="J78" t="s">
        <v>13026</v>
      </c>
      <c r="K78">
        <v>58</v>
      </c>
      <c r="L78" t="s">
        <v>3368</v>
      </c>
      <c r="M78">
        <v>36</v>
      </c>
      <c r="N78" t="str">
        <f>HYPERLINK("Gene2220-zp_tree_all.dnd", "Gene2220-tree")</f>
        <v>Gene2220-tree</v>
      </c>
      <c r="O78">
        <v>18</v>
      </c>
      <c r="P78">
        <v>0</v>
      </c>
      <c r="Q78">
        <v>4</v>
      </c>
      <c r="R78">
        <v>0</v>
      </c>
      <c r="S78">
        <v>0</v>
      </c>
      <c r="T78" t="s">
        <v>13012</v>
      </c>
      <c r="U78" t="s">
        <v>62</v>
      </c>
      <c r="V78" t="s">
        <v>62</v>
      </c>
      <c r="W78" t="s">
        <v>62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</v>
      </c>
      <c r="AM78">
        <v>1</v>
      </c>
      <c r="AN78">
        <v>2</v>
      </c>
      <c r="AO78">
        <v>0</v>
      </c>
      <c r="AP78">
        <v>1</v>
      </c>
      <c r="AQ78">
        <v>0</v>
      </c>
      <c r="AR78" t="s">
        <v>193</v>
      </c>
      <c r="AS78" t="s">
        <v>193</v>
      </c>
      <c r="AT78">
        <v>0</v>
      </c>
      <c r="AU78" t="s">
        <v>65</v>
      </c>
      <c r="AV78">
        <v>3</v>
      </c>
      <c r="AW78">
        <v>0</v>
      </c>
      <c r="AX78" t="s">
        <v>3370</v>
      </c>
      <c r="AY78">
        <v>4.351E-2</v>
      </c>
      <c r="AZ78">
        <v>-8.2000000000000007E-3</v>
      </c>
      <c r="BA78">
        <v>0</v>
      </c>
      <c r="BB78">
        <v>0</v>
      </c>
      <c r="BC78">
        <v>0</v>
      </c>
      <c r="BD78">
        <v>1</v>
      </c>
      <c r="BE78" t="s">
        <v>69</v>
      </c>
      <c r="BF78">
        <v>1.0920000000000001</v>
      </c>
      <c r="BG78">
        <v>-0.31900000000000001</v>
      </c>
    </row>
    <row r="79" spans="1:59">
      <c r="A79">
        <v>0</v>
      </c>
      <c r="B79">
        <v>0</v>
      </c>
      <c r="C79">
        <v>0</v>
      </c>
      <c r="D79" t="s">
        <v>25022</v>
      </c>
      <c r="E79">
        <v>520</v>
      </c>
      <c r="F79" t="s">
        <v>3366</v>
      </c>
      <c r="G79" t="s">
        <v>57</v>
      </c>
      <c r="H79">
        <v>556562</v>
      </c>
      <c r="I79">
        <v>556735</v>
      </c>
      <c r="J79" t="s">
        <v>3367</v>
      </c>
      <c r="K79">
        <v>58</v>
      </c>
      <c r="L79" t="s">
        <v>3368</v>
      </c>
      <c r="M79">
        <v>36</v>
      </c>
      <c r="N79" t="str">
        <f>HYPERLINK("Gene520-zp_tree_all.dnd", "Gene520-tree")</f>
        <v>Gene520-tree</v>
      </c>
      <c r="O79">
        <v>34</v>
      </c>
      <c r="P79">
        <v>0</v>
      </c>
      <c r="Q79">
        <v>4</v>
      </c>
      <c r="R79">
        <v>0</v>
      </c>
      <c r="S79">
        <v>0</v>
      </c>
      <c r="T79" t="s">
        <v>3369</v>
      </c>
      <c r="U79" t="s">
        <v>62</v>
      </c>
      <c r="V79" t="s">
        <v>62</v>
      </c>
      <c r="W79" t="s">
        <v>62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</v>
      </c>
      <c r="AM79">
        <v>1</v>
      </c>
      <c r="AN79">
        <v>2</v>
      </c>
      <c r="AO79">
        <v>0</v>
      </c>
      <c r="AP79">
        <v>1</v>
      </c>
      <c r="AQ79">
        <v>0</v>
      </c>
      <c r="AR79" t="s">
        <v>193</v>
      </c>
      <c r="AS79" t="s">
        <v>193</v>
      </c>
      <c r="AT79">
        <v>0</v>
      </c>
      <c r="AU79" t="s">
        <v>65</v>
      </c>
      <c r="AV79">
        <v>3</v>
      </c>
      <c r="AW79">
        <v>0</v>
      </c>
      <c r="AX79" t="s">
        <v>3370</v>
      </c>
      <c r="AY79">
        <v>4.351E-2</v>
      </c>
      <c r="AZ79">
        <v>-8.2000000000000007E-3</v>
      </c>
      <c r="BA79">
        <v>0</v>
      </c>
      <c r="BB79">
        <v>0</v>
      </c>
      <c r="BC79">
        <v>0</v>
      </c>
      <c r="BD79">
        <v>1</v>
      </c>
      <c r="BE79" t="s">
        <v>69</v>
      </c>
      <c r="BF79">
        <v>-0.97199999999999998</v>
      </c>
      <c r="BG79">
        <v>-0.31900000000000001</v>
      </c>
    </row>
    <row r="80" spans="1:59">
      <c r="A80">
        <v>0</v>
      </c>
      <c r="B80">
        <v>2</v>
      </c>
      <c r="C80">
        <v>0</v>
      </c>
      <c r="D80" t="s">
        <v>25022</v>
      </c>
      <c r="E80">
        <v>100</v>
      </c>
      <c r="F80" t="s">
        <v>779</v>
      </c>
      <c r="G80" t="s">
        <v>57</v>
      </c>
      <c r="H80">
        <v>117532</v>
      </c>
      <c r="I80">
        <v>117708</v>
      </c>
      <c r="J80" t="s">
        <v>780</v>
      </c>
      <c r="K80">
        <v>59</v>
      </c>
      <c r="L80" t="s">
        <v>59</v>
      </c>
      <c r="M80">
        <v>49</v>
      </c>
      <c r="N80" t="str">
        <f>HYPERLINK("Gene100-zp_tree_all.dnd", "Gene100-tree")</f>
        <v>Gene100-tree</v>
      </c>
      <c r="O80">
        <v>0</v>
      </c>
      <c r="P80">
        <v>6</v>
      </c>
      <c r="Q80">
        <v>0</v>
      </c>
      <c r="R80">
        <v>6</v>
      </c>
      <c r="S80">
        <v>1</v>
      </c>
      <c r="T80" t="s">
        <v>62</v>
      </c>
      <c r="U80" t="s">
        <v>90</v>
      </c>
      <c r="V80" t="s">
        <v>62</v>
      </c>
      <c r="W80" t="s">
        <v>62</v>
      </c>
      <c r="X80">
        <v>1</v>
      </c>
      <c r="Y80">
        <v>2</v>
      </c>
      <c r="Z80">
        <v>3</v>
      </c>
      <c r="AA80">
        <v>0.4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2</v>
      </c>
      <c r="AJ80">
        <v>3</v>
      </c>
      <c r="AK80">
        <v>0.4</v>
      </c>
      <c r="AL80">
        <v>3</v>
      </c>
      <c r="AM80">
        <v>2</v>
      </c>
      <c r="AN80">
        <v>0</v>
      </c>
      <c r="AO80">
        <v>3</v>
      </c>
      <c r="AP80">
        <v>1</v>
      </c>
      <c r="AQ80">
        <v>2</v>
      </c>
      <c r="AR80" t="s">
        <v>193</v>
      </c>
      <c r="AS80" t="s">
        <v>781</v>
      </c>
      <c r="AT80">
        <v>1.4139999999999999</v>
      </c>
      <c r="AU80" t="s">
        <v>65</v>
      </c>
      <c r="AV80">
        <v>1</v>
      </c>
      <c r="AW80">
        <v>5</v>
      </c>
      <c r="AX80" t="s">
        <v>782</v>
      </c>
      <c r="AY80">
        <v>1.4290000000000001E-2</v>
      </c>
      <c r="AZ80">
        <v>-3.32E-3</v>
      </c>
      <c r="BA80">
        <v>1.358E-2</v>
      </c>
      <c r="BB80">
        <v>-1.6800000000000001E-3</v>
      </c>
      <c r="BC80">
        <v>0.95043</v>
      </c>
      <c r="BD80">
        <v>0.26</v>
      </c>
      <c r="BE80" t="s">
        <v>635</v>
      </c>
      <c r="BF80">
        <v>-0.94599999999999995</v>
      </c>
      <c r="BG80">
        <v>0.13900000000000001</v>
      </c>
    </row>
    <row r="81" spans="1:59">
      <c r="A81">
        <v>0</v>
      </c>
      <c r="B81">
        <v>0</v>
      </c>
      <c r="C81">
        <v>0</v>
      </c>
      <c r="D81" t="s">
        <v>25022</v>
      </c>
      <c r="E81">
        <v>2568</v>
      </c>
      <c r="F81" t="s">
        <v>15021</v>
      </c>
      <c r="G81" t="s">
        <v>62</v>
      </c>
      <c r="H81">
        <v>2555890</v>
      </c>
      <c r="I81">
        <v>2556066</v>
      </c>
      <c r="J81" t="s">
        <v>15022</v>
      </c>
      <c r="K81">
        <v>59</v>
      </c>
      <c r="L81" t="s">
        <v>265</v>
      </c>
      <c r="M81">
        <v>43</v>
      </c>
      <c r="N81" t="str">
        <f>HYPERLINK("Gene2568-zp_tree_all.dnd", "Gene2568-tree")</f>
        <v>Gene2568-tree</v>
      </c>
      <c r="O81">
        <v>3</v>
      </c>
      <c r="P81">
        <v>29</v>
      </c>
      <c r="Q81">
        <v>3</v>
      </c>
      <c r="R81">
        <v>3</v>
      </c>
      <c r="S81">
        <v>0.5</v>
      </c>
      <c r="T81" t="s">
        <v>324</v>
      </c>
      <c r="U81" t="s">
        <v>10668</v>
      </c>
      <c r="V81">
        <v>6.351</v>
      </c>
      <c r="W81" t="s">
        <v>65</v>
      </c>
      <c r="X81">
        <v>0</v>
      </c>
      <c r="Y81">
        <v>0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</v>
      </c>
      <c r="AK81">
        <v>0</v>
      </c>
      <c r="AL81">
        <v>2</v>
      </c>
      <c r="AM81">
        <v>3</v>
      </c>
      <c r="AN81">
        <v>1</v>
      </c>
      <c r="AO81">
        <v>2</v>
      </c>
      <c r="AP81">
        <v>3</v>
      </c>
      <c r="AQ81">
        <v>1</v>
      </c>
      <c r="AR81" t="s">
        <v>15023</v>
      </c>
      <c r="AS81" t="s">
        <v>15024</v>
      </c>
      <c r="AT81">
        <v>1.1120000000000001</v>
      </c>
      <c r="AU81" t="s">
        <v>65</v>
      </c>
      <c r="AV81">
        <v>4</v>
      </c>
      <c r="AW81">
        <v>3</v>
      </c>
      <c r="AX81" t="s">
        <v>15025</v>
      </c>
      <c r="AY81">
        <v>5.475E-2</v>
      </c>
      <c r="AZ81">
        <v>-8.3800000000000003E-3</v>
      </c>
      <c r="BA81">
        <v>8.7399999999999995E-3</v>
      </c>
      <c r="BB81">
        <v>-1.57E-3</v>
      </c>
      <c r="BC81">
        <v>0.15956000000000001</v>
      </c>
      <c r="BD81">
        <v>0.97599999999999998</v>
      </c>
      <c r="BE81" t="s">
        <v>69</v>
      </c>
      <c r="BF81">
        <v>-0.55100000000000005</v>
      </c>
      <c r="BG81">
        <v>0.496</v>
      </c>
    </row>
    <row r="82" spans="1:59">
      <c r="A82">
        <v>0</v>
      </c>
      <c r="B82">
        <v>2</v>
      </c>
      <c r="C82">
        <v>0</v>
      </c>
      <c r="D82" t="s">
        <v>25022</v>
      </c>
      <c r="E82">
        <v>845</v>
      </c>
      <c r="F82" t="s">
        <v>5276</v>
      </c>
      <c r="G82" t="s">
        <v>57</v>
      </c>
      <c r="H82">
        <v>885629</v>
      </c>
      <c r="I82">
        <v>885805</v>
      </c>
      <c r="J82" t="s">
        <v>389</v>
      </c>
      <c r="K82">
        <v>59</v>
      </c>
      <c r="L82" t="s">
        <v>5277</v>
      </c>
      <c r="M82">
        <v>40</v>
      </c>
      <c r="N82" t="str">
        <f>HYPERLINK("Gene845-zp_tree_all.dnd", "Gene845-tree")</f>
        <v>Gene845-tree</v>
      </c>
      <c r="O82">
        <v>5</v>
      </c>
      <c r="P82">
        <v>4</v>
      </c>
      <c r="Q82">
        <v>5</v>
      </c>
      <c r="R82">
        <v>4</v>
      </c>
      <c r="S82">
        <v>0.44444</v>
      </c>
      <c r="T82" t="s">
        <v>199</v>
      </c>
      <c r="U82" t="s">
        <v>61</v>
      </c>
      <c r="V82" t="s">
        <v>62</v>
      </c>
      <c r="W82" t="s">
        <v>62</v>
      </c>
      <c r="X82">
        <v>1</v>
      </c>
      <c r="Y82">
        <v>2</v>
      </c>
      <c r="Z82">
        <v>4</v>
      </c>
      <c r="AA82">
        <v>0.33333000000000002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5</v>
      </c>
      <c r="AK82">
        <v>0</v>
      </c>
      <c r="AL82">
        <v>5</v>
      </c>
      <c r="AM82">
        <v>4</v>
      </c>
      <c r="AN82">
        <v>7</v>
      </c>
      <c r="AO82">
        <v>3</v>
      </c>
      <c r="AP82">
        <v>6</v>
      </c>
      <c r="AQ82">
        <v>3</v>
      </c>
      <c r="AR82" t="s">
        <v>5278</v>
      </c>
      <c r="AS82" t="s">
        <v>5279</v>
      </c>
      <c r="AT82">
        <v>0.16200000000000001</v>
      </c>
      <c r="AU82" t="s">
        <v>65</v>
      </c>
      <c r="AV82">
        <v>13</v>
      </c>
      <c r="AW82">
        <v>6</v>
      </c>
      <c r="AX82" t="s">
        <v>5280</v>
      </c>
      <c r="AY82">
        <v>0.12128</v>
      </c>
      <c r="AZ82">
        <v>-1.0460000000000001E-2</v>
      </c>
      <c r="BA82">
        <v>1.2800000000000001E-2</v>
      </c>
      <c r="BB82">
        <v>-1.31E-3</v>
      </c>
      <c r="BC82">
        <v>0.10551000000000001</v>
      </c>
      <c r="BD82">
        <v>1</v>
      </c>
      <c r="BE82" t="s">
        <v>69</v>
      </c>
      <c r="BF82">
        <v>0.46200000000000002</v>
      </c>
      <c r="BG82">
        <v>0.17100000000000001</v>
      </c>
    </row>
    <row r="83" spans="1:59">
      <c r="A83">
        <v>0</v>
      </c>
      <c r="B83">
        <v>2</v>
      </c>
      <c r="C83">
        <v>1</v>
      </c>
      <c r="D83" t="s">
        <v>25022</v>
      </c>
      <c r="E83">
        <v>1296</v>
      </c>
      <c r="F83" t="s">
        <v>8135</v>
      </c>
      <c r="G83" t="s">
        <v>57</v>
      </c>
      <c r="H83">
        <v>1321848</v>
      </c>
      <c r="I83">
        <v>1322024</v>
      </c>
      <c r="J83" t="s">
        <v>8099</v>
      </c>
      <c r="K83">
        <v>59</v>
      </c>
      <c r="L83" t="s">
        <v>1305</v>
      </c>
      <c r="M83">
        <v>43</v>
      </c>
      <c r="N83" t="str">
        <f>HYPERLINK("Gene1296-zp_tree_all.dnd", "Gene1296-tree")</f>
        <v>Gene1296-tree</v>
      </c>
      <c r="O83">
        <v>5</v>
      </c>
      <c r="P83">
        <v>3</v>
      </c>
      <c r="Q83">
        <v>5</v>
      </c>
      <c r="R83">
        <v>3</v>
      </c>
      <c r="S83">
        <v>0.375</v>
      </c>
      <c r="T83" t="s">
        <v>199</v>
      </c>
      <c r="U83" t="s">
        <v>324</v>
      </c>
      <c r="V83" t="s">
        <v>62</v>
      </c>
      <c r="W83" t="s">
        <v>62</v>
      </c>
      <c r="X83">
        <v>1</v>
      </c>
      <c r="Y83">
        <v>3</v>
      </c>
      <c r="Z83">
        <v>2</v>
      </c>
      <c r="AA83">
        <v>0.6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2</v>
      </c>
      <c r="AI83">
        <v>2</v>
      </c>
      <c r="AJ83">
        <v>1</v>
      </c>
      <c r="AK83">
        <v>0.66666999999999998</v>
      </c>
      <c r="AL83">
        <v>5</v>
      </c>
      <c r="AM83">
        <v>3</v>
      </c>
      <c r="AN83">
        <v>8</v>
      </c>
      <c r="AO83">
        <v>3</v>
      </c>
      <c r="AP83">
        <v>5</v>
      </c>
      <c r="AQ83">
        <v>2</v>
      </c>
      <c r="AR83" t="s">
        <v>8136</v>
      </c>
      <c r="AS83" t="s">
        <v>8137</v>
      </c>
      <c r="AT83">
        <v>7.9000000000000001E-2</v>
      </c>
      <c r="AU83" t="s">
        <v>65</v>
      </c>
      <c r="AV83">
        <v>13</v>
      </c>
      <c r="AW83">
        <v>5</v>
      </c>
      <c r="AX83" t="s">
        <v>8138</v>
      </c>
      <c r="AY83">
        <v>0.12651000000000001</v>
      </c>
      <c r="AZ83">
        <v>-1.6410000000000001E-2</v>
      </c>
      <c r="BA83">
        <v>9.8499999999999994E-3</v>
      </c>
      <c r="BB83">
        <v>-1.1199999999999999E-3</v>
      </c>
      <c r="BC83">
        <v>7.782E-2</v>
      </c>
      <c r="BD83">
        <v>1</v>
      </c>
      <c r="BE83" t="s">
        <v>69</v>
      </c>
      <c r="BF83">
        <v>0.125</v>
      </c>
      <c r="BG83">
        <v>-0.09</v>
      </c>
    </row>
    <row r="84" spans="1:59">
      <c r="A84">
        <v>0</v>
      </c>
      <c r="B84">
        <v>0</v>
      </c>
      <c r="C84">
        <v>0</v>
      </c>
      <c r="D84" t="s">
        <v>25022</v>
      </c>
      <c r="E84">
        <v>134</v>
      </c>
      <c r="F84" t="s">
        <v>971</v>
      </c>
      <c r="G84" t="s">
        <v>57</v>
      </c>
      <c r="H84">
        <v>143875</v>
      </c>
      <c r="I84">
        <v>144051</v>
      </c>
      <c r="J84" t="s">
        <v>972</v>
      </c>
      <c r="K84">
        <v>59</v>
      </c>
      <c r="L84" t="s">
        <v>515</v>
      </c>
      <c r="M84">
        <v>51</v>
      </c>
      <c r="N84" t="str">
        <f>HYPERLINK("Gene134-zp_tree_all.dnd", "Gene134-tree")</f>
        <v>Gene134-tree</v>
      </c>
      <c r="O84">
        <v>7</v>
      </c>
      <c r="P84">
        <v>1</v>
      </c>
      <c r="Q84">
        <v>7</v>
      </c>
      <c r="R84">
        <v>1</v>
      </c>
      <c r="S84">
        <v>0.125</v>
      </c>
      <c r="T84" t="s">
        <v>152</v>
      </c>
      <c r="U84" t="s">
        <v>175</v>
      </c>
      <c r="V84" t="s">
        <v>62</v>
      </c>
      <c r="W84" t="s">
        <v>62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6</v>
      </c>
      <c r="AM84">
        <v>2</v>
      </c>
      <c r="AN84">
        <v>12</v>
      </c>
      <c r="AO84">
        <v>1</v>
      </c>
      <c r="AP84">
        <v>2</v>
      </c>
      <c r="AQ84">
        <v>0</v>
      </c>
      <c r="AR84" t="s">
        <v>973</v>
      </c>
      <c r="AS84" t="s">
        <v>193</v>
      </c>
      <c r="AT84">
        <v>0.40300000000000002</v>
      </c>
      <c r="AU84" t="s">
        <v>65</v>
      </c>
      <c r="AV84">
        <v>14</v>
      </c>
      <c r="AW84">
        <v>1</v>
      </c>
      <c r="AX84" t="s">
        <v>974</v>
      </c>
      <c r="AY84">
        <v>0.10567</v>
      </c>
      <c r="AZ84">
        <v>-1.4030000000000001E-2</v>
      </c>
      <c r="BA84">
        <v>1.8400000000000001E-3</v>
      </c>
      <c r="BB84">
        <v>-5.8E-4</v>
      </c>
      <c r="BC84">
        <v>1.7409999999999998E-2</v>
      </c>
      <c r="BD84">
        <v>1</v>
      </c>
      <c r="BE84" t="s">
        <v>69</v>
      </c>
      <c r="BF84">
        <v>-1.752</v>
      </c>
      <c r="BG84">
        <v>-2.7E-2</v>
      </c>
    </row>
    <row r="85" spans="1:59">
      <c r="A85">
        <v>0</v>
      </c>
      <c r="B85">
        <v>0</v>
      </c>
      <c r="C85">
        <v>0</v>
      </c>
      <c r="D85" t="s">
        <v>25022</v>
      </c>
      <c r="E85">
        <v>1162</v>
      </c>
      <c r="F85" t="s">
        <v>7320</v>
      </c>
      <c r="G85" t="s">
        <v>57</v>
      </c>
      <c r="H85">
        <v>1204506</v>
      </c>
      <c r="I85">
        <v>1204682</v>
      </c>
      <c r="J85" t="s">
        <v>288</v>
      </c>
      <c r="K85">
        <v>59</v>
      </c>
      <c r="L85" t="s">
        <v>108</v>
      </c>
      <c r="M85">
        <v>44</v>
      </c>
      <c r="N85" t="str">
        <f>HYPERLINK("Gene1162-zp_tree_all.dnd", "Gene1162-tree")</f>
        <v>Gene1162-tree</v>
      </c>
      <c r="O85">
        <v>36</v>
      </c>
      <c r="P85">
        <v>0</v>
      </c>
      <c r="Q85">
        <v>6</v>
      </c>
      <c r="R85">
        <v>0</v>
      </c>
      <c r="S85">
        <v>0</v>
      </c>
      <c r="T85" t="s">
        <v>7321</v>
      </c>
      <c r="U85" t="s">
        <v>62</v>
      </c>
      <c r="V85" t="s">
        <v>62</v>
      </c>
      <c r="W85" t="s">
        <v>62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4</v>
      </c>
      <c r="AM85">
        <v>1</v>
      </c>
      <c r="AN85">
        <v>4</v>
      </c>
      <c r="AO85">
        <v>0</v>
      </c>
      <c r="AP85">
        <v>1</v>
      </c>
      <c r="AQ85">
        <v>0</v>
      </c>
      <c r="AR85" t="s">
        <v>193</v>
      </c>
      <c r="AS85" t="s">
        <v>193</v>
      </c>
      <c r="AT85">
        <v>0</v>
      </c>
      <c r="AU85" t="s">
        <v>65</v>
      </c>
      <c r="AV85">
        <v>5</v>
      </c>
      <c r="AW85">
        <v>0</v>
      </c>
      <c r="AX85" t="s">
        <v>7322</v>
      </c>
      <c r="AY85">
        <v>5.1130000000000002E-2</v>
      </c>
      <c r="AZ85">
        <v>-5.4299999999999999E-3</v>
      </c>
      <c r="BA85">
        <v>0</v>
      </c>
      <c r="BB85">
        <v>0</v>
      </c>
      <c r="BC85">
        <v>0</v>
      </c>
      <c r="BD85">
        <v>1</v>
      </c>
      <c r="BE85" t="s">
        <v>69</v>
      </c>
      <c r="BF85">
        <v>-0.91700000000000004</v>
      </c>
      <c r="BG85">
        <v>-1.7190000000000001</v>
      </c>
    </row>
    <row r="86" spans="1:59">
      <c r="A86">
        <v>0</v>
      </c>
      <c r="B86">
        <v>0</v>
      </c>
      <c r="C86">
        <v>0</v>
      </c>
      <c r="D86" t="s">
        <v>25022</v>
      </c>
      <c r="E86">
        <v>2287</v>
      </c>
      <c r="F86" t="s">
        <v>13242</v>
      </c>
      <c r="G86" t="s">
        <v>62</v>
      </c>
      <c r="H86">
        <v>2308795</v>
      </c>
      <c r="I86">
        <v>2308974</v>
      </c>
      <c r="J86" t="s">
        <v>116</v>
      </c>
      <c r="K86">
        <v>60</v>
      </c>
      <c r="L86" t="s">
        <v>698</v>
      </c>
      <c r="M86">
        <v>47</v>
      </c>
      <c r="N86" t="str">
        <f>HYPERLINK("Gene2287-zp_tree_all.dnd", "Gene2287-tree")</f>
        <v>Gene2287-tree</v>
      </c>
      <c r="O86">
        <v>4</v>
      </c>
      <c r="P86">
        <v>3</v>
      </c>
      <c r="Q86">
        <v>4</v>
      </c>
      <c r="R86">
        <v>3</v>
      </c>
      <c r="S86">
        <v>0.42857000000000001</v>
      </c>
      <c r="T86" t="s">
        <v>61</v>
      </c>
      <c r="U86" t="s">
        <v>324</v>
      </c>
      <c r="V86" t="s">
        <v>62</v>
      </c>
      <c r="W86" t="s">
        <v>62</v>
      </c>
      <c r="X86">
        <v>0</v>
      </c>
      <c r="Y86">
        <v>0</v>
      </c>
      <c r="Z86">
        <v>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3</v>
      </c>
      <c r="AK86">
        <v>0</v>
      </c>
      <c r="AL86">
        <v>5</v>
      </c>
      <c r="AM86">
        <v>1</v>
      </c>
      <c r="AN86">
        <v>5</v>
      </c>
      <c r="AO86">
        <v>2</v>
      </c>
      <c r="AP86">
        <v>2</v>
      </c>
      <c r="AQ86">
        <v>2</v>
      </c>
      <c r="AR86" t="s">
        <v>13243</v>
      </c>
      <c r="AS86" t="s">
        <v>13244</v>
      </c>
      <c r="AT86">
        <v>1.734</v>
      </c>
      <c r="AU86" t="s">
        <v>65</v>
      </c>
      <c r="AV86">
        <v>7</v>
      </c>
      <c r="AW86">
        <v>4</v>
      </c>
      <c r="AX86" t="s">
        <v>13245</v>
      </c>
      <c r="AY86">
        <v>7.5300000000000006E-2</v>
      </c>
      <c r="AZ86">
        <v>-9.0100000000000006E-3</v>
      </c>
      <c r="BA86">
        <v>1.0999999999999999E-2</v>
      </c>
      <c r="BB86">
        <v>-1.99E-3</v>
      </c>
      <c r="BC86">
        <v>0.14604</v>
      </c>
      <c r="BD86">
        <v>0.95899999999999996</v>
      </c>
      <c r="BE86" t="s">
        <v>69</v>
      </c>
      <c r="BF86">
        <v>-1.256</v>
      </c>
      <c r="BG86">
        <v>-1.39</v>
      </c>
    </row>
    <row r="87" spans="1:59">
      <c r="A87">
        <v>0</v>
      </c>
      <c r="B87">
        <v>0</v>
      </c>
      <c r="C87">
        <v>0</v>
      </c>
      <c r="D87" t="s">
        <v>25022</v>
      </c>
      <c r="E87">
        <v>1384</v>
      </c>
      <c r="F87" t="s">
        <v>8661</v>
      </c>
      <c r="G87" t="s">
        <v>57</v>
      </c>
      <c r="H87">
        <v>1398181</v>
      </c>
      <c r="I87">
        <v>1398360</v>
      </c>
      <c r="J87" t="s">
        <v>116</v>
      </c>
      <c r="K87">
        <v>60</v>
      </c>
      <c r="L87" t="s">
        <v>108</v>
      </c>
      <c r="M87">
        <v>44</v>
      </c>
      <c r="N87" t="str">
        <f>HYPERLINK("Gene1384-zp_tree_all.dnd", "Gene1384-tree")</f>
        <v>Gene1384-tree</v>
      </c>
      <c r="O87">
        <v>8</v>
      </c>
      <c r="P87">
        <v>1</v>
      </c>
      <c r="Q87">
        <v>8</v>
      </c>
      <c r="R87">
        <v>1</v>
      </c>
      <c r="S87">
        <v>0.11111</v>
      </c>
      <c r="T87" t="s">
        <v>136</v>
      </c>
      <c r="U87" t="s">
        <v>175</v>
      </c>
      <c r="V87" t="s">
        <v>62</v>
      </c>
      <c r="W87" t="s">
        <v>62</v>
      </c>
      <c r="X87">
        <v>0</v>
      </c>
      <c r="Y87">
        <v>0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6</v>
      </c>
      <c r="AM87">
        <v>2</v>
      </c>
      <c r="AN87">
        <v>7</v>
      </c>
      <c r="AO87">
        <v>1</v>
      </c>
      <c r="AP87">
        <v>1</v>
      </c>
      <c r="AQ87">
        <v>1</v>
      </c>
      <c r="AR87" t="s">
        <v>8662</v>
      </c>
      <c r="AS87" t="s">
        <v>8663</v>
      </c>
      <c r="AT87">
        <v>0.59199999999999997</v>
      </c>
      <c r="AU87" t="s">
        <v>65</v>
      </c>
      <c r="AV87">
        <v>8</v>
      </c>
      <c r="AW87">
        <v>2</v>
      </c>
      <c r="AX87" t="s">
        <v>8664</v>
      </c>
      <c r="AY87">
        <v>5.5960000000000003E-2</v>
      </c>
      <c r="AZ87">
        <v>-6.8599999999999998E-3</v>
      </c>
      <c r="BA87">
        <v>4.3200000000000001E-3</v>
      </c>
      <c r="BB87">
        <v>-5.1999999999999995E-4</v>
      </c>
      <c r="BC87">
        <v>7.7229999999999993E-2</v>
      </c>
      <c r="BD87">
        <v>1</v>
      </c>
      <c r="BE87" t="s">
        <v>69</v>
      </c>
      <c r="BF87">
        <v>-1.2190000000000001</v>
      </c>
      <c r="BG87">
        <v>-1.847</v>
      </c>
    </row>
    <row r="88" spans="1:59">
      <c r="A88">
        <v>0</v>
      </c>
      <c r="B88">
        <v>0</v>
      </c>
      <c r="C88">
        <v>0</v>
      </c>
      <c r="D88" t="s">
        <v>25022</v>
      </c>
      <c r="E88">
        <v>3124</v>
      </c>
      <c r="F88" t="s">
        <v>18127</v>
      </c>
      <c r="G88" t="s">
        <v>62</v>
      </c>
      <c r="H88">
        <v>3078396</v>
      </c>
      <c r="I88">
        <v>3078575</v>
      </c>
      <c r="J88" t="s">
        <v>17774</v>
      </c>
      <c r="K88">
        <v>60</v>
      </c>
      <c r="L88" t="s">
        <v>749</v>
      </c>
      <c r="M88">
        <v>47</v>
      </c>
      <c r="N88" t="str">
        <f>HYPERLINK("Gene3124-zp_tree_all.dnd", "Gene3124-tree")</f>
        <v>Gene3124-tree</v>
      </c>
      <c r="O88">
        <v>11</v>
      </c>
      <c r="P88">
        <v>1</v>
      </c>
      <c r="Q88">
        <v>11</v>
      </c>
      <c r="R88">
        <v>1</v>
      </c>
      <c r="S88">
        <v>8.3330000000000001E-2</v>
      </c>
      <c r="T88" t="s">
        <v>73</v>
      </c>
      <c r="U88" t="s">
        <v>175</v>
      </c>
      <c r="V88" t="s">
        <v>62</v>
      </c>
      <c r="W88" t="s">
        <v>62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9</v>
      </c>
      <c r="AM88">
        <v>4</v>
      </c>
      <c r="AN88">
        <v>14</v>
      </c>
      <c r="AO88">
        <v>1</v>
      </c>
      <c r="AP88">
        <v>4</v>
      </c>
      <c r="AQ88">
        <v>0</v>
      </c>
      <c r="AR88" t="s">
        <v>18128</v>
      </c>
      <c r="AS88" t="s">
        <v>193</v>
      </c>
      <c r="AT88">
        <v>0.32400000000000001</v>
      </c>
      <c r="AU88" t="s">
        <v>65</v>
      </c>
      <c r="AV88">
        <v>18</v>
      </c>
      <c r="AW88">
        <v>1</v>
      </c>
      <c r="AX88" t="s">
        <v>18129</v>
      </c>
      <c r="AY88">
        <v>9.9909999999999999E-2</v>
      </c>
      <c r="AZ88">
        <v>-8.0700000000000008E-3</v>
      </c>
      <c r="BA88">
        <v>1.1900000000000001E-3</v>
      </c>
      <c r="BB88">
        <v>-3.2000000000000003E-4</v>
      </c>
      <c r="BC88">
        <v>1.191E-2</v>
      </c>
      <c r="BD88">
        <v>1</v>
      </c>
      <c r="BE88" t="s">
        <v>69</v>
      </c>
      <c r="BF88">
        <v>-1.32</v>
      </c>
      <c r="BG88">
        <v>-3.32</v>
      </c>
    </row>
    <row r="89" spans="1:59">
      <c r="A89">
        <v>0</v>
      </c>
      <c r="B89">
        <v>0</v>
      </c>
      <c r="C89">
        <v>0</v>
      </c>
      <c r="D89" t="s">
        <v>25022</v>
      </c>
      <c r="E89">
        <v>2285</v>
      </c>
      <c r="F89" t="s">
        <v>13232</v>
      </c>
      <c r="G89" t="s">
        <v>62</v>
      </c>
      <c r="H89">
        <v>2308160</v>
      </c>
      <c r="I89">
        <v>2308339</v>
      </c>
      <c r="J89" t="s">
        <v>13233</v>
      </c>
      <c r="K89">
        <v>60</v>
      </c>
      <c r="L89" t="s">
        <v>108</v>
      </c>
      <c r="M89">
        <v>44</v>
      </c>
      <c r="N89" t="str">
        <f>HYPERLINK("Gene2285-zp_tree_all.dnd", "Gene2285-tree")</f>
        <v>Gene2285-tree</v>
      </c>
      <c r="O89">
        <v>5</v>
      </c>
      <c r="P89">
        <v>0</v>
      </c>
      <c r="Q89">
        <v>5</v>
      </c>
      <c r="R89">
        <v>0</v>
      </c>
      <c r="S89">
        <v>0</v>
      </c>
      <c r="T89" t="s">
        <v>199</v>
      </c>
      <c r="U89" t="s">
        <v>62</v>
      </c>
      <c r="V89" t="s">
        <v>62</v>
      </c>
      <c r="W89" t="s">
        <v>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</v>
      </c>
      <c r="AM89">
        <v>2</v>
      </c>
      <c r="AN89">
        <v>2</v>
      </c>
      <c r="AO89">
        <v>0</v>
      </c>
      <c r="AP89">
        <v>2</v>
      </c>
      <c r="AQ89">
        <v>0</v>
      </c>
      <c r="AR89" t="s">
        <v>193</v>
      </c>
      <c r="AS89" t="s">
        <v>193</v>
      </c>
      <c r="AT89">
        <v>0</v>
      </c>
      <c r="AU89" t="s">
        <v>65</v>
      </c>
      <c r="AV89">
        <v>4</v>
      </c>
      <c r="AW89">
        <v>0</v>
      </c>
      <c r="AX89" t="s">
        <v>13234</v>
      </c>
      <c r="AY89">
        <v>6.6049999999999998E-2</v>
      </c>
      <c r="AZ89">
        <v>-1.095E-2</v>
      </c>
      <c r="BA89">
        <v>0</v>
      </c>
      <c r="BB89">
        <v>0</v>
      </c>
      <c r="BC89">
        <v>0</v>
      </c>
      <c r="BD89">
        <v>1</v>
      </c>
      <c r="BE89" t="s">
        <v>69</v>
      </c>
      <c r="BF89">
        <v>1.012</v>
      </c>
      <c r="BG89">
        <v>-6.4000000000000001E-2</v>
      </c>
    </row>
    <row r="90" spans="1:59">
      <c r="A90">
        <v>0</v>
      </c>
      <c r="B90">
        <v>0</v>
      </c>
      <c r="C90">
        <v>0</v>
      </c>
      <c r="D90" t="s">
        <v>25022</v>
      </c>
      <c r="E90">
        <v>545</v>
      </c>
      <c r="F90" t="s">
        <v>3515</v>
      </c>
      <c r="G90" t="s">
        <v>57</v>
      </c>
      <c r="H90">
        <v>579047</v>
      </c>
      <c r="I90">
        <v>579229</v>
      </c>
      <c r="J90" t="s">
        <v>2302</v>
      </c>
      <c r="K90">
        <v>61</v>
      </c>
      <c r="L90" t="s">
        <v>3516</v>
      </c>
      <c r="M90">
        <v>29</v>
      </c>
      <c r="N90" t="str">
        <f>HYPERLINK("Gene545-zp_tree_all.dnd", "Gene545-tree")</f>
        <v>Gene545-tree</v>
      </c>
      <c r="O90">
        <v>2</v>
      </c>
      <c r="P90">
        <v>2</v>
      </c>
      <c r="Q90">
        <v>2</v>
      </c>
      <c r="R90">
        <v>2</v>
      </c>
      <c r="S90">
        <v>0.5</v>
      </c>
      <c r="T90" t="s">
        <v>81</v>
      </c>
      <c r="U90" t="s">
        <v>81</v>
      </c>
      <c r="V90" t="s">
        <v>62</v>
      </c>
      <c r="W90" t="s">
        <v>62</v>
      </c>
      <c r="X90">
        <v>0</v>
      </c>
      <c r="Y90">
        <v>0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2</v>
      </c>
      <c r="AM90">
        <v>1</v>
      </c>
      <c r="AN90">
        <v>1</v>
      </c>
      <c r="AO90">
        <v>1</v>
      </c>
      <c r="AP90">
        <v>0</v>
      </c>
      <c r="AQ90">
        <v>1</v>
      </c>
      <c r="AR90" t="s">
        <v>3517</v>
      </c>
      <c r="AS90" t="s">
        <v>193</v>
      </c>
      <c r="AT90">
        <v>0.70699999999999996</v>
      </c>
      <c r="AU90" t="s">
        <v>65</v>
      </c>
      <c r="AV90">
        <v>1</v>
      </c>
      <c r="AW90">
        <v>2</v>
      </c>
      <c r="AX90" t="s">
        <v>3518</v>
      </c>
      <c r="AY90">
        <v>1.282E-2</v>
      </c>
      <c r="AZ90">
        <v>-5.2300000000000003E-3</v>
      </c>
      <c r="BA90">
        <v>8.3800000000000003E-3</v>
      </c>
      <c r="BB90">
        <v>-1.4599999999999999E-3</v>
      </c>
      <c r="BC90">
        <v>0.65329000000000004</v>
      </c>
      <c r="BD90">
        <v>0.28100000000000003</v>
      </c>
      <c r="BE90" t="s">
        <v>635</v>
      </c>
      <c r="BF90">
        <v>0.88800000000000001</v>
      </c>
      <c r="BG90">
        <v>0.95399999999999996</v>
      </c>
    </row>
    <row r="91" spans="1:59">
      <c r="A91">
        <v>0</v>
      </c>
      <c r="B91">
        <v>0</v>
      </c>
      <c r="C91">
        <v>0</v>
      </c>
      <c r="D91" t="s">
        <v>25022</v>
      </c>
      <c r="E91">
        <v>3429</v>
      </c>
      <c r="F91" t="s">
        <v>20065</v>
      </c>
      <c r="G91" t="s">
        <v>62</v>
      </c>
      <c r="H91">
        <v>3390482</v>
      </c>
      <c r="I91">
        <v>3390664</v>
      </c>
      <c r="J91" t="s">
        <v>116</v>
      </c>
      <c r="K91">
        <v>61</v>
      </c>
      <c r="L91" t="s">
        <v>59</v>
      </c>
      <c r="M91">
        <v>49</v>
      </c>
      <c r="N91" t="str">
        <f>HYPERLINK("Gene3429-zp_tree_all.dnd", "Gene3429-tree")</f>
        <v>Gene3429-tree</v>
      </c>
      <c r="O91">
        <v>5</v>
      </c>
      <c r="P91">
        <v>4</v>
      </c>
      <c r="Q91">
        <v>5</v>
      </c>
      <c r="R91">
        <v>4</v>
      </c>
      <c r="S91">
        <v>0.44444</v>
      </c>
      <c r="T91" t="s">
        <v>199</v>
      </c>
      <c r="U91" t="s">
        <v>61</v>
      </c>
      <c r="V91" t="s">
        <v>62</v>
      </c>
      <c r="W91" t="s">
        <v>62</v>
      </c>
      <c r="X91">
        <v>0</v>
      </c>
      <c r="Y91">
        <v>0</v>
      </c>
      <c r="Z91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</v>
      </c>
      <c r="AK91">
        <v>0</v>
      </c>
      <c r="AL91">
        <v>6</v>
      </c>
      <c r="AM91">
        <v>5</v>
      </c>
      <c r="AN91">
        <v>4</v>
      </c>
      <c r="AO91">
        <v>4</v>
      </c>
      <c r="AP91">
        <v>8</v>
      </c>
      <c r="AQ91">
        <v>0</v>
      </c>
      <c r="AR91" t="s">
        <v>20066</v>
      </c>
      <c r="AS91" t="s">
        <v>193</v>
      </c>
      <c r="AT91">
        <v>2.4489999999999998</v>
      </c>
      <c r="AU91" t="s">
        <v>267</v>
      </c>
      <c r="AV91">
        <v>12</v>
      </c>
      <c r="AW91">
        <v>4</v>
      </c>
      <c r="AX91" t="s">
        <v>20067</v>
      </c>
      <c r="AY91">
        <v>0.11942999999999999</v>
      </c>
      <c r="AZ91">
        <v>-1.278E-2</v>
      </c>
      <c r="BA91">
        <v>6.3400000000000001E-3</v>
      </c>
      <c r="BB91">
        <v>-7.7999999999999999E-4</v>
      </c>
      <c r="BC91">
        <v>5.305E-2</v>
      </c>
      <c r="BD91">
        <v>1</v>
      </c>
      <c r="BE91" t="s">
        <v>69</v>
      </c>
      <c r="BF91">
        <v>-5.6000000000000001E-2</v>
      </c>
      <c r="BG91">
        <v>9.9000000000000005E-2</v>
      </c>
    </row>
    <row r="92" spans="1:59">
      <c r="A92">
        <v>0</v>
      </c>
      <c r="B92">
        <v>0</v>
      </c>
      <c r="C92">
        <v>0</v>
      </c>
      <c r="D92" t="s">
        <v>25022</v>
      </c>
      <c r="E92">
        <v>830</v>
      </c>
      <c r="F92" t="s">
        <v>5172</v>
      </c>
      <c r="G92" t="s">
        <v>57</v>
      </c>
      <c r="H92">
        <v>869273</v>
      </c>
      <c r="I92">
        <v>869455</v>
      </c>
      <c r="J92" t="s">
        <v>288</v>
      </c>
      <c r="K92">
        <v>61</v>
      </c>
      <c r="L92" t="s">
        <v>59</v>
      </c>
      <c r="M92">
        <v>49</v>
      </c>
      <c r="N92" t="str">
        <f>HYPERLINK("Gene830-zp_tree_all.dnd", "Gene830-tree")</f>
        <v>Gene830-tree</v>
      </c>
      <c r="O92">
        <v>10</v>
      </c>
      <c r="P92">
        <v>0</v>
      </c>
      <c r="Q92">
        <v>10</v>
      </c>
      <c r="R92">
        <v>0</v>
      </c>
      <c r="S92">
        <v>0</v>
      </c>
      <c r="T92" t="s">
        <v>117</v>
      </c>
      <c r="U92" t="s">
        <v>62</v>
      </c>
      <c r="V92" t="s">
        <v>62</v>
      </c>
      <c r="W92" t="s">
        <v>62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6</v>
      </c>
      <c r="AM92">
        <v>4</v>
      </c>
      <c r="AN92">
        <v>8</v>
      </c>
      <c r="AO92">
        <v>0</v>
      </c>
      <c r="AP92">
        <v>12</v>
      </c>
      <c r="AQ92">
        <v>1</v>
      </c>
      <c r="AR92" t="s">
        <v>193</v>
      </c>
      <c r="AS92" t="s">
        <v>5173</v>
      </c>
      <c r="AT92">
        <v>0.57999999999999996</v>
      </c>
      <c r="AU92" t="s">
        <v>65</v>
      </c>
      <c r="AV92">
        <v>20</v>
      </c>
      <c r="AW92">
        <v>1</v>
      </c>
      <c r="AX92" t="s">
        <v>5174</v>
      </c>
      <c r="AY92">
        <v>0.19206999999999999</v>
      </c>
      <c r="AZ92">
        <v>-1.6760000000000001E-2</v>
      </c>
      <c r="BA92">
        <v>2.3800000000000002E-3</v>
      </c>
      <c r="BB92">
        <v>-4.8000000000000001E-4</v>
      </c>
      <c r="BC92">
        <v>1.2409999999999999E-2</v>
      </c>
      <c r="BD92">
        <v>1</v>
      </c>
      <c r="BE92" t="s">
        <v>69</v>
      </c>
      <c r="BF92">
        <v>-1.1879999999999999</v>
      </c>
      <c r="BG92">
        <v>1.161</v>
      </c>
    </row>
    <row r="93" spans="1:59">
      <c r="A93">
        <v>0</v>
      </c>
      <c r="B93">
        <v>0</v>
      </c>
      <c r="C93">
        <v>0</v>
      </c>
      <c r="D93" t="s">
        <v>25022</v>
      </c>
      <c r="E93">
        <v>45</v>
      </c>
      <c r="F93" t="s">
        <v>388</v>
      </c>
      <c r="G93" t="s">
        <v>57</v>
      </c>
      <c r="H93">
        <v>53183</v>
      </c>
      <c r="I93">
        <v>53365</v>
      </c>
      <c r="J93" t="s">
        <v>389</v>
      </c>
      <c r="K93">
        <v>61</v>
      </c>
      <c r="L93" t="s">
        <v>59</v>
      </c>
      <c r="M93">
        <v>49</v>
      </c>
      <c r="N93" t="str">
        <f>HYPERLINK("Gene45-zp_tree_all.dnd", "Gene45-tree")</f>
        <v>Gene45-tree</v>
      </c>
      <c r="O93">
        <v>11</v>
      </c>
      <c r="P93">
        <v>0</v>
      </c>
      <c r="Q93">
        <v>11</v>
      </c>
      <c r="R93">
        <v>0</v>
      </c>
      <c r="S93">
        <v>0</v>
      </c>
      <c r="T93" t="s">
        <v>73</v>
      </c>
      <c r="U93" t="s">
        <v>62</v>
      </c>
      <c r="V93" t="s">
        <v>62</v>
      </c>
      <c r="W93" t="s">
        <v>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6</v>
      </c>
      <c r="AM93">
        <v>6</v>
      </c>
      <c r="AN93">
        <v>10</v>
      </c>
      <c r="AO93">
        <v>0</v>
      </c>
      <c r="AP93">
        <v>7</v>
      </c>
      <c r="AQ93">
        <v>0</v>
      </c>
      <c r="AR93" t="s">
        <v>193</v>
      </c>
      <c r="AS93" t="s">
        <v>193</v>
      </c>
      <c r="AT93">
        <v>0</v>
      </c>
      <c r="AU93" t="s">
        <v>65</v>
      </c>
      <c r="AV93">
        <v>17</v>
      </c>
      <c r="AW93">
        <v>0</v>
      </c>
      <c r="AX93" t="s">
        <v>390</v>
      </c>
      <c r="AY93">
        <v>0.11995</v>
      </c>
      <c r="AZ93">
        <v>-7.1500000000000001E-3</v>
      </c>
      <c r="BA93">
        <v>0</v>
      </c>
      <c r="BB93">
        <v>0</v>
      </c>
      <c r="BC93">
        <v>0</v>
      </c>
      <c r="BD93">
        <v>1</v>
      </c>
      <c r="BE93" t="s">
        <v>69</v>
      </c>
      <c r="BF93">
        <v>0.53100000000000003</v>
      </c>
      <c r="BG93">
        <v>-1.2E-2</v>
      </c>
    </row>
    <row r="94" spans="1:59">
      <c r="A94">
        <v>0</v>
      </c>
      <c r="B94">
        <v>0</v>
      </c>
      <c r="C94">
        <v>0</v>
      </c>
      <c r="D94" t="s">
        <v>25022</v>
      </c>
      <c r="E94">
        <v>1840</v>
      </c>
      <c r="F94" t="s">
        <v>11525</v>
      </c>
      <c r="G94" t="s">
        <v>57</v>
      </c>
      <c r="H94">
        <v>1907013</v>
      </c>
      <c r="I94">
        <v>1907198</v>
      </c>
      <c r="J94" t="s">
        <v>11526</v>
      </c>
      <c r="K94">
        <v>62</v>
      </c>
      <c r="L94" t="s">
        <v>108</v>
      </c>
      <c r="M94">
        <v>44</v>
      </c>
      <c r="N94" t="str">
        <f>HYPERLINK("Gene1840-zp_tree_all.dnd", "Gene1840-tree")</f>
        <v>Gene1840-tree</v>
      </c>
      <c r="O94">
        <v>5</v>
      </c>
      <c r="P94">
        <v>3</v>
      </c>
      <c r="Q94">
        <v>5</v>
      </c>
      <c r="R94">
        <v>3</v>
      </c>
      <c r="S94">
        <v>0.375</v>
      </c>
      <c r="T94" t="s">
        <v>199</v>
      </c>
      <c r="U94" t="s">
        <v>324</v>
      </c>
      <c r="V94" t="s">
        <v>62</v>
      </c>
      <c r="W94" t="s">
        <v>62</v>
      </c>
      <c r="X94">
        <v>0</v>
      </c>
      <c r="Y94">
        <v>0</v>
      </c>
      <c r="Z94">
        <v>6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4</v>
      </c>
      <c r="AK94">
        <v>0</v>
      </c>
      <c r="AL94">
        <v>6</v>
      </c>
      <c r="AM94">
        <v>3</v>
      </c>
      <c r="AN94">
        <v>3</v>
      </c>
      <c r="AO94">
        <v>4</v>
      </c>
      <c r="AP94">
        <v>1</v>
      </c>
      <c r="AQ94">
        <v>2</v>
      </c>
      <c r="AR94" t="s">
        <v>11527</v>
      </c>
      <c r="AS94" t="s">
        <v>11528</v>
      </c>
      <c r="AT94">
        <v>0.21099999999999999</v>
      </c>
      <c r="AU94" t="s">
        <v>65</v>
      </c>
      <c r="AV94">
        <v>4</v>
      </c>
      <c r="AW94">
        <v>6</v>
      </c>
      <c r="AX94" t="s">
        <v>11529</v>
      </c>
      <c r="AY94">
        <v>3.1329999999999997E-2</v>
      </c>
      <c r="AZ94">
        <v>-3.15E-3</v>
      </c>
      <c r="BA94">
        <v>1.374E-2</v>
      </c>
      <c r="BB94">
        <v>-1.4E-3</v>
      </c>
      <c r="BC94">
        <v>0.43847000000000003</v>
      </c>
      <c r="BD94">
        <v>0.80200000000000005</v>
      </c>
      <c r="BE94" t="s">
        <v>635</v>
      </c>
      <c r="BF94">
        <v>-0.626</v>
      </c>
      <c r="BG94">
        <v>-0.38600000000000001</v>
      </c>
    </row>
    <row r="95" spans="1:59">
      <c r="A95">
        <v>0</v>
      </c>
      <c r="B95">
        <v>0</v>
      </c>
      <c r="C95">
        <v>0</v>
      </c>
      <c r="D95" t="s">
        <v>25022</v>
      </c>
      <c r="E95">
        <v>3802</v>
      </c>
      <c r="F95" t="s">
        <v>22274</v>
      </c>
      <c r="G95" t="s">
        <v>62</v>
      </c>
      <c r="H95">
        <v>3770107</v>
      </c>
      <c r="I95">
        <v>3770292</v>
      </c>
      <c r="J95" t="s">
        <v>22275</v>
      </c>
      <c r="K95">
        <v>62</v>
      </c>
      <c r="L95" t="s">
        <v>108</v>
      </c>
      <c r="M95">
        <v>44</v>
      </c>
      <c r="N95" t="str">
        <f>HYPERLINK("Gene3802-zp_tree_all.dnd", "Gene3802-tree")</f>
        <v>Gene3802-tree</v>
      </c>
      <c r="O95">
        <v>33</v>
      </c>
      <c r="P95">
        <v>1</v>
      </c>
      <c r="Q95">
        <v>8</v>
      </c>
      <c r="R95">
        <v>1</v>
      </c>
      <c r="S95">
        <v>0.11111</v>
      </c>
      <c r="T95" t="s">
        <v>22276</v>
      </c>
      <c r="U95" t="s">
        <v>175</v>
      </c>
      <c r="V95" t="s">
        <v>62</v>
      </c>
      <c r="W95" t="s">
        <v>62</v>
      </c>
      <c r="X95">
        <v>0</v>
      </c>
      <c r="Y95">
        <v>0</v>
      </c>
      <c r="Z95">
        <v>3</v>
      </c>
      <c r="AA95">
        <v>0</v>
      </c>
      <c r="AB95">
        <v>0</v>
      </c>
      <c r="AC95">
        <v>0</v>
      </c>
      <c r="AD95">
        <v>0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5</v>
      </c>
      <c r="AM95">
        <v>3</v>
      </c>
      <c r="AN95">
        <v>4</v>
      </c>
      <c r="AO95">
        <v>1</v>
      </c>
      <c r="AP95">
        <v>1</v>
      </c>
      <c r="AQ95">
        <v>2</v>
      </c>
      <c r="AR95" t="s">
        <v>22277</v>
      </c>
      <c r="AS95" t="s">
        <v>22278</v>
      </c>
      <c r="AT95">
        <v>0.59799999999999998</v>
      </c>
      <c r="AU95" t="s">
        <v>65</v>
      </c>
      <c r="AV95">
        <v>5</v>
      </c>
      <c r="AW95">
        <v>3</v>
      </c>
      <c r="AX95" t="s">
        <v>22279</v>
      </c>
      <c r="AY95">
        <v>3.8019999999999998E-2</v>
      </c>
      <c r="AZ95">
        <v>-4.4299999999999999E-3</v>
      </c>
      <c r="BA95">
        <v>6.6600000000000001E-3</v>
      </c>
      <c r="BB95">
        <v>-7.2000000000000005E-4</v>
      </c>
      <c r="BC95">
        <v>0.17513000000000001</v>
      </c>
      <c r="BD95">
        <v>0.94399999999999995</v>
      </c>
      <c r="BE95" t="s">
        <v>635</v>
      </c>
      <c r="BF95">
        <v>-1.234</v>
      </c>
      <c r="BG95">
        <v>-1.786</v>
      </c>
    </row>
    <row r="96" spans="1:59">
      <c r="A96">
        <v>0</v>
      </c>
      <c r="B96">
        <v>0</v>
      </c>
      <c r="C96">
        <v>0</v>
      </c>
      <c r="D96" t="s">
        <v>25022</v>
      </c>
      <c r="E96">
        <v>4005</v>
      </c>
      <c r="F96" t="s">
        <v>23557</v>
      </c>
      <c r="G96" t="s">
        <v>62</v>
      </c>
      <c r="H96">
        <v>3969614</v>
      </c>
      <c r="I96">
        <v>3969799</v>
      </c>
      <c r="J96" t="s">
        <v>23558</v>
      </c>
      <c r="K96">
        <v>62</v>
      </c>
      <c r="L96" t="s">
        <v>409</v>
      </c>
      <c r="M96">
        <v>45</v>
      </c>
      <c r="N96" t="str">
        <f>HYPERLINK("Gene4005-zp_tree_all.dnd", "Gene4005-tree")</f>
        <v>Gene4005-tree</v>
      </c>
      <c r="O96">
        <v>5</v>
      </c>
      <c r="P96">
        <v>3</v>
      </c>
      <c r="Q96">
        <v>5</v>
      </c>
      <c r="R96">
        <v>3</v>
      </c>
      <c r="S96">
        <v>0.375</v>
      </c>
      <c r="T96" t="s">
        <v>199</v>
      </c>
      <c r="U96" t="s">
        <v>324</v>
      </c>
      <c r="V96" t="s">
        <v>62</v>
      </c>
      <c r="W96" t="s">
        <v>62</v>
      </c>
      <c r="X96">
        <v>0</v>
      </c>
      <c r="Y96">
        <v>0</v>
      </c>
      <c r="Z96">
        <v>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</v>
      </c>
      <c r="AK96">
        <v>0</v>
      </c>
      <c r="AL96">
        <v>7</v>
      </c>
      <c r="AM96">
        <v>2</v>
      </c>
      <c r="AN96">
        <v>11</v>
      </c>
      <c r="AO96">
        <v>3</v>
      </c>
      <c r="AP96">
        <v>3</v>
      </c>
      <c r="AQ96">
        <v>0</v>
      </c>
      <c r="AR96" t="s">
        <v>23559</v>
      </c>
      <c r="AS96" t="s">
        <v>193</v>
      </c>
      <c r="AT96">
        <v>1.29</v>
      </c>
      <c r="AU96" t="s">
        <v>65</v>
      </c>
      <c r="AV96">
        <v>14</v>
      </c>
      <c r="AW96">
        <v>3</v>
      </c>
      <c r="AX96" t="s">
        <v>23560</v>
      </c>
      <c r="AY96">
        <v>0.11519</v>
      </c>
      <c r="AZ96">
        <v>-1.242E-2</v>
      </c>
      <c r="BA96">
        <v>5.1599999999999997E-3</v>
      </c>
      <c r="BB96">
        <v>-8.3000000000000001E-4</v>
      </c>
      <c r="BC96">
        <v>4.4769999999999997E-2</v>
      </c>
      <c r="BD96">
        <v>1</v>
      </c>
      <c r="BE96" t="s">
        <v>69</v>
      </c>
      <c r="BF96">
        <v>-0.54</v>
      </c>
      <c r="BG96">
        <v>-1.5589999999999999</v>
      </c>
    </row>
    <row r="97" spans="1:59">
      <c r="A97">
        <v>0</v>
      </c>
      <c r="B97">
        <v>0</v>
      </c>
      <c r="C97">
        <v>0</v>
      </c>
      <c r="D97" t="s">
        <v>25022</v>
      </c>
      <c r="E97">
        <v>1526</v>
      </c>
      <c r="F97" t="s">
        <v>9537</v>
      </c>
      <c r="G97" t="s">
        <v>57</v>
      </c>
      <c r="H97">
        <v>1537113</v>
      </c>
      <c r="I97">
        <v>1537298</v>
      </c>
      <c r="J97" t="s">
        <v>9538</v>
      </c>
      <c r="K97">
        <v>62</v>
      </c>
      <c r="L97" t="s">
        <v>59</v>
      </c>
      <c r="M97">
        <v>49</v>
      </c>
      <c r="N97" t="str">
        <f>HYPERLINK("Gene1526-zp_tree_all.dnd", "Gene1526-tree")</f>
        <v>Gene1526-tree</v>
      </c>
      <c r="O97">
        <v>4</v>
      </c>
      <c r="P97">
        <v>2</v>
      </c>
      <c r="Q97">
        <v>4</v>
      </c>
      <c r="R97">
        <v>2</v>
      </c>
      <c r="S97">
        <v>0.33333000000000002</v>
      </c>
      <c r="T97" t="s">
        <v>61</v>
      </c>
      <c r="U97" t="s">
        <v>81</v>
      </c>
      <c r="V97" t="s">
        <v>62</v>
      </c>
      <c r="W97" t="s">
        <v>62</v>
      </c>
      <c r="X97">
        <v>0</v>
      </c>
      <c r="Y97">
        <v>0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0</v>
      </c>
      <c r="AL97">
        <v>4</v>
      </c>
      <c r="AM97">
        <v>1</v>
      </c>
      <c r="AN97">
        <v>3</v>
      </c>
      <c r="AO97">
        <v>2</v>
      </c>
      <c r="AP97">
        <v>4</v>
      </c>
      <c r="AQ97">
        <v>0</v>
      </c>
      <c r="AR97" t="s">
        <v>9539</v>
      </c>
      <c r="AS97" t="s">
        <v>193</v>
      </c>
      <c r="AT97">
        <v>0.89500000000000002</v>
      </c>
      <c r="AU97" t="s">
        <v>65</v>
      </c>
      <c r="AV97">
        <v>7</v>
      </c>
      <c r="AW97">
        <v>2</v>
      </c>
      <c r="AX97" t="s">
        <v>9540</v>
      </c>
      <c r="AY97">
        <v>0.10451000000000001</v>
      </c>
      <c r="AZ97">
        <v>-1.6580000000000001E-2</v>
      </c>
      <c r="BA97">
        <v>4.4799999999999996E-3</v>
      </c>
      <c r="BB97">
        <v>-1.0399999999999999E-3</v>
      </c>
      <c r="BC97">
        <v>4.2869999999999998E-2</v>
      </c>
      <c r="BD97">
        <v>1</v>
      </c>
      <c r="BE97" t="s">
        <v>69</v>
      </c>
      <c r="BF97">
        <v>-1.2689999999999999</v>
      </c>
      <c r="BG97">
        <v>0.04</v>
      </c>
    </row>
    <row r="98" spans="1:59">
      <c r="A98">
        <v>0</v>
      </c>
      <c r="B98">
        <v>0</v>
      </c>
      <c r="C98">
        <v>0</v>
      </c>
      <c r="D98" t="s">
        <v>25022</v>
      </c>
      <c r="E98">
        <v>2309</v>
      </c>
      <c r="F98" t="s">
        <v>13388</v>
      </c>
      <c r="G98" t="s">
        <v>62</v>
      </c>
      <c r="H98">
        <v>2329518</v>
      </c>
      <c r="I98">
        <v>2329706</v>
      </c>
      <c r="J98" t="s">
        <v>2302</v>
      </c>
      <c r="K98">
        <v>63</v>
      </c>
      <c r="L98" t="s">
        <v>289</v>
      </c>
      <c r="M98">
        <v>46</v>
      </c>
      <c r="N98" t="str">
        <f>HYPERLINK("Gene2309-zp_tree_all.dnd", "Gene2309-tree")</f>
        <v>Gene2309-tree</v>
      </c>
      <c r="O98">
        <v>39</v>
      </c>
      <c r="P98">
        <v>3</v>
      </c>
      <c r="Q98">
        <v>2</v>
      </c>
      <c r="R98">
        <v>3</v>
      </c>
      <c r="S98">
        <v>0.6</v>
      </c>
      <c r="T98" t="s">
        <v>13389</v>
      </c>
      <c r="U98" t="s">
        <v>324</v>
      </c>
      <c r="V98" t="s">
        <v>62</v>
      </c>
      <c r="W98" t="s">
        <v>62</v>
      </c>
      <c r="X98">
        <v>0</v>
      </c>
      <c r="Y98">
        <v>0</v>
      </c>
      <c r="Z98">
        <v>7</v>
      </c>
      <c r="AA98">
        <v>0</v>
      </c>
      <c r="AB98">
        <v>0</v>
      </c>
      <c r="AC98">
        <v>0</v>
      </c>
      <c r="AD98">
        <v>0</v>
      </c>
      <c r="AE98">
        <v>3</v>
      </c>
      <c r="AF98">
        <v>0</v>
      </c>
      <c r="AG98">
        <v>0</v>
      </c>
      <c r="AH98">
        <v>0</v>
      </c>
      <c r="AI98">
        <v>0</v>
      </c>
      <c r="AJ98">
        <v>4</v>
      </c>
      <c r="AK98">
        <v>0</v>
      </c>
      <c r="AL98">
        <v>3</v>
      </c>
      <c r="AM98">
        <v>1</v>
      </c>
      <c r="AN98">
        <v>5</v>
      </c>
      <c r="AO98">
        <v>4</v>
      </c>
      <c r="AP98">
        <v>0</v>
      </c>
      <c r="AQ98">
        <v>3</v>
      </c>
      <c r="AR98" t="s">
        <v>13390</v>
      </c>
      <c r="AS98" t="s">
        <v>193</v>
      </c>
      <c r="AT98">
        <v>1.42</v>
      </c>
      <c r="AU98" t="s">
        <v>65</v>
      </c>
      <c r="AV98">
        <v>5</v>
      </c>
      <c r="AW98">
        <v>7</v>
      </c>
      <c r="AX98" t="s">
        <v>13391</v>
      </c>
      <c r="AY98">
        <v>5.04E-2</v>
      </c>
      <c r="AZ98">
        <v>-1.0959999999999999E-2</v>
      </c>
      <c r="BA98">
        <v>2.4070000000000001E-2</v>
      </c>
      <c r="BB98">
        <v>-4.4400000000000004E-3</v>
      </c>
      <c r="BC98">
        <v>0.47748000000000002</v>
      </c>
      <c r="BD98">
        <v>0.78900000000000003</v>
      </c>
      <c r="BE98" t="s">
        <v>635</v>
      </c>
      <c r="BF98">
        <v>-1.706</v>
      </c>
      <c r="BG98">
        <v>1.4770000000000001</v>
      </c>
    </row>
    <row r="99" spans="1:59">
      <c r="A99">
        <v>0</v>
      </c>
      <c r="B99">
        <v>6</v>
      </c>
      <c r="C99">
        <v>0</v>
      </c>
      <c r="D99" t="s">
        <v>25022</v>
      </c>
      <c r="E99">
        <v>1036</v>
      </c>
      <c r="F99" t="s">
        <v>6498</v>
      </c>
      <c r="G99" t="s">
        <v>57</v>
      </c>
      <c r="H99">
        <v>1074381</v>
      </c>
      <c r="I99">
        <v>1074569</v>
      </c>
      <c r="J99" t="s">
        <v>6499</v>
      </c>
      <c r="K99">
        <v>63</v>
      </c>
      <c r="L99" t="s">
        <v>59</v>
      </c>
      <c r="M99">
        <v>49</v>
      </c>
      <c r="N99" t="str">
        <f>HYPERLINK("Gene1036-zp_tree_all.dnd", "Gene1036-tree")</f>
        <v>Gene1036-tree</v>
      </c>
      <c r="O99">
        <v>7</v>
      </c>
      <c r="P99">
        <v>6</v>
      </c>
      <c r="Q99">
        <v>7</v>
      </c>
      <c r="R99">
        <v>6</v>
      </c>
      <c r="S99">
        <v>0.46154000000000001</v>
      </c>
      <c r="T99" t="s">
        <v>152</v>
      </c>
      <c r="U99" t="s">
        <v>90</v>
      </c>
      <c r="V99" t="s">
        <v>62</v>
      </c>
      <c r="W99" t="s">
        <v>62</v>
      </c>
      <c r="X99">
        <v>2</v>
      </c>
      <c r="Y99">
        <v>6</v>
      </c>
      <c r="Z99">
        <v>2</v>
      </c>
      <c r="AA99">
        <v>0.75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6</v>
      </c>
      <c r="AH99">
        <v>0</v>
      </c>
      <c r="AI99">
        <v>6</v>
      </c>
      <c r="AJ99">
        <v>0</v>
      </c>
      <c r="AK99">
        <v>1</v>
      </c>
      <c r="AL99">
        <v>8</v>
      </c>
      <c r="AM99">
        <v>6</v>
      </c>
      <c r="AN99">
        <v>7</v>
      </c>
      <c r="AO99">
        <v>4</v>
      </c>
      <c r="AP99">
        <v>7</v>
      </c>
      <c r="AQ99">
        <v>4</v>
      </c>
      <c r="AR99" t="s">
        <v>6500</v>
      </c>
      <c r="AS99" t="s">
        <v>6501</v>
      </c>
      <c r="AT99">
        <v>3.0000000000000001E-3</v>
      </c>
      <c r="AU99" t="s">
        <v>65</v>
      </c>
      <c r="AV99">
        <v>14</v>
      </c>
      <c r="AW99">
        <v>8</v>
      </c>
      <c r="AX99" t="s">
        <v>6502</v>
      </c>
      <c r="AY99">
        <v>7.4620000000000006E-2</v>
      </c>
      <c r="AZ99">
        <v>-4.15E-3</v>
      </c>
      <c r="BA99">
        <v>1.2699999999999999E-2</v>
      </c>
      <c r="BB99">
        <v>-9.3000000000000005E-4</v>
      </c>
      <c r="BC99">
        <v>0.17021</v>
      </c>
      <c r="BD99">
        <v>0.99</v>
      </c>
      <c r="BE99" t="s">
        <v>69</v>
      </c>
      <c r="BF99">
        <v>-0.18099999999999999</v>
      </c>
      <c r="BG99">
        <v>0.72499999999999998</v>
      </c>
    </row>
    <row r="100" spans="1:59">
      <c r="A100">
        <v>0</v>
      </c>
      <c r="B100">
        <v>0</v>
      </c>
      <c r="C100">
        <v>0</v>
      </c>
      <c r="D100" t="s">
        <v>25022</v>
      </c>
      <c r="E100">
        <v>207</v>
      </c>
      <c r="F100" t="s">
        <v>1412</v>
      </c>
      <c r="G100" t="s">
        <v>57</v>
      </c>
      <c r="H100">
        <v>228331</v>
      </c>
      <c r="I100">
        <v>228519</v>
      </c>
      <c r="J100" t="s">
        <v>116</v>
      </c>
      <c r="K100">
        <v>63</v>
      </c>
      <c r="L100" t="s">
        <v>59</v>
      </c>
      <c r="M100">
        <v>49</v>
      </c>
      <c r="N100" t="str">
        <f>HYPERLINK("Gene207-zp_tree_all.dnd", "Gene207-tree")</f>
        <v>Gene207-tree</v>
      </c>
      <c r="O100">
        <v>6</v>
      </c>
      <c r="P100">
        <v>3</v>
      </c>
      <c r="Q100">
        <v>6</v>
      </c>
      <c r="R100">
        <v>3</v>
      </c>
      <c r="S100">
        <v>0.33333000000000002</v>
      </c>
      <c r="T100" t="s">
        <v>90</v>
      </c>
      <c r="U100" t="s">
        <v>324</v>
      </c>
      <c r="V100" t="s">
        <v>62</v>
      </c>
      <c r="W100" t="s">
        <v>62</v>
      </c>
      <c r="X100">
        <v>0</v>
      </c>
      <c r="Y100">
        <v>0</v>
      </c>
      <c r="Z100">
        <v>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3</v>
      </c>
      <c r="AK100">
        <v>0</v>
      </c>
      <c r="AL100">
        <v>6</v>
      </c>
      <c r="AM100">
        <v>5</v>
      </c>
      <c r="AN100">
        <v>10</v>
      </c>
      <c r="AO100">
        <v>3</v>
      </c>
      <c r="AP100">
        <v>5</v>
      </c>
      <c r="AQ100">
        <v>2</v>
      </c>
      <c r="AR100" t="s">
        <v>1413</v>
      </c>
      <c r="AS100" t="s">
        <v>1414</v>
      </c>
      <c r="AT100">
        <v>0.27200000000000002</v>
      </c>
      <c r="AU100" t="s">
        <v>65</v>
      </c>
      <c r="AV100">
        <v>15</v>
      </c>
      <c r="AW100">
        <v>5</v>
      </c>
      <c r="AX100" t="s">
        <v>1415</v>
      </c>
      <c r="AY100">
        <v>0.12573999999999999</v>
      </c>
      <c r="AZ100">
        <v>-1.1440000000000001E-2</v>
      </c>
      <c r="BA100">
        <v>1.1480000000000001E-2</v>
      </c>
      <c r="BB100">
        <v>-1.2199999999999999E-3</v>
      </c>
      <c r="BC100">
        <v>9.128E-2</v>
      </c>
      <c r="BD100">
        <v>1</v>
      </c>
      <c r="BE100" t="s">
        <v>69</v>
      </c>
      <c r="BF100">
        <v>-1.58</v>
      </c>
      <c r="BG100">
        <v>-1.0189999999999999</v>
      </c>
    </row>
    <row r="101" spans="1:59">
      <c r="A101">
        <v>0</v>
      </c>
      <c r="B101">
        <v>0</v>
      </c>
      <c r="C101">
        <v>0</v>
      </c>
      <c r="D101" t="s">
        <v>25022</v>
      </c>
      <c r="E101">
        <v>1167</v>
      </c>
      <c r="F101" t="s">
        <v>7350</v>
      </c>
      <c r="G101" t="s">
        <v>57</v>
      </c>
      <c r="H101">
        <v>1207597</v>
      </c>
      <c r="I101">
        <v>1207785</v>
      </c>
      <c r="J101" t="s">
        <v>7351</v>
      </c>
      <c r="K101">
        <v>63</v>
      </c>
      <c r="L101" t="s">
        <v>59</v>
      </c>
      <c r="M101">
        <v>49</v>
      </c>
      <c r="N101" t="str">
        <f>HYPERLINK("Gene1167-zp_tree_all.dnd", "Gene1167-tree")</f>
        <v>Gene1167-tree</v>
      </c>
      <c r="O101">
        <v>8</v>
      </c>
      <c r="P101">
        <v>1</v>
      </c>
      <c r="Q101">
        <v>8</v>
      </c>
      <c r="R101">
        <v>1</v>
      </c>
      <c r="S101">
        <v>0.11111</v>
      </c>
      <c r="T101" t="s">
        <v>136</v>
      </c>
      <c r="U101" t="s">
        <v>175</v>
      </c>
      <c r="V101" t="s">
        <v>62</v>
      </c>
      <c r="W101" t="s">
        <v>62</v>
      </c>
      <c r="X101">
        <v>0</v>
      </c>
      <c r="Y101">
        <v>0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0</v>
      </c>
      <c r="AL101">
        <v>5</v>
      </c>
      <c r="AM101">
        <v>4</v>
      </c>
      <c r="AN101">
        <v>5</v>
      </c>
      <c r="AO101">
        <v>2</v>
      </c>
      <c r="AP101">
        <v>10</v>
      </c>
      <c r="AQ101">
        <v>0</v>
      </c>
      <c r="AR101" t="s">
        <v>7352</v>
      </c>
      <c r="AS101" t="s">
        <v>193</v>
      </c>
      <c r="AT101">
        <v>0.50700000000000001</v>
      </c>
      <c r="AU101" t="s">
        <v>65</v>
      </c>
      <c r="AV101">
        <v>15</v>
      </c>
      <c r="AW101">
        <v>2</v>
      </c>
      <c r="AX101" t="s">
        <v>7353</v>
      </c>
      <c r="AY101">
        <v>0.16717000000000001</v>
      </c>
      <c r="AZ101">
        <v>-1.7270000000000001E-2</v>
      </c>
      <c r="BA101">
        <v>2.99E-3</v>
      </c>
      <c r="BB101">
        <v>-9.1E-4</v>
      </c>
      <c r="BC101">
        <v>1.7899999999999999E-2</v>
      </c>
      <c r="BD101">
        <v>1</v>
      </c>
      <c r="BE101" t="s">
        <v>69</v>
      </c>
      <c r="BF101">
        <v>-1.145</v>
      </c>
      <c r="BG101">
        <v>-0.25900000000000001</v>
      </c>
    </row>
    <row r="102" spans="1:59">
      <c r="A102">
        <v>0</v>
      </c>
      <c r="B102">
        <v>0</v>
      </c>
      <c r="C102">
        <v>0</v>
      </c>
      <c r="D102" t="s">
        <v>25022</v>
      </c>
      <c r="E102">
        <v>2860</v>
      </c>
      <c r="F102" t="s">
        <v>16436</v>
      </c>
      <c r="G102" t="s">
        <v>62</v>
      </c>
      <c r="H102">
        <v>2805504</v>
      </c>
      <c r="I102">
        <v>2805692</v>
      </c>
      <c r="J102" t="s">
        <v>116</v>
      </c>
      <c r="K102">
        <v>63</v>
      </c>
      <c r="L102" t="s">
        <v>59</v>
      </c>
      <c r="M102">
        <v>49</v>
      </c>
      <c r="N102" t="str">
        <f>HYPERLINK("Gene2860-zp_tree_all.dnd", "Gene2860-tree")</f>
        <v>Gene2860-tree</v>
      </c>
      <c r="O102">
        <v>42</v>
      </c>
      <c r="P102">
        <v>1</v>
      </c>
      <c r="Q102">
        <v>6</v>
      </c>
      <c r="R102">
        <v>1</v>
      </c>
      <c r="S102">
        <v>0.14285999999999999</v>
      </c>
      <c r="T102" t="s">
        <v>5604</v>
      </c>
      <c r="U102" t="s">
        <v>175</v>
      </c>
      <c r="V102" t="s">
        <v>62</v>
      </c>
      <c r="W102" t="s">
        <v>62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5</v>
      </c>
      <c r="AM102">
        <v>3</v>
      </c>
      <c r="AN102">
        <v>4</v>
      </c>
      <c r="AO102">
        <v>1</v>
      </c>
      <c r="AP102">
        <v>6</v>
      </c>
      <c r="AQ102">
        <v>0</v>
      </c>
      <c r="AR102" t="s">
        <v>16437</v>
      </c>
      <c r="AS102" t="s">
        <v>193</v>
      </c>
      <c r="AT102">
        <v>0.52600000000000002</v>
      </c>
      <c r="AU102" t="s">
        <v>65</v>
      </c>
      <c r="AV102">
        <v>10</v>
      </c>
      <c r="AW102">
        <v>1</v>
      </c>
      <c r="AX102" t="s">
        <v>16438</v>
      </c>
      <c r="AY102">
        <v>0.12911</v>
      </c>
      <c r="AZ102">
        <v>-1.5299999999999999E-2</v>
      </c>
      <c r="BA102">
        <v>1.89E-3</v>
      </c>
      <c r="BB102">
        <v>-6.0999999999999997E-4</v>
      </c>
      <c r="BC102">
        <v>1.4619999999999999E-2</v>
      </c>
      <c r="BD102">
        <v>1</v>
      </c>
      <c r="BE102" t="s">
        <v>69</v>
      </c>
      <c r="BF102">
        <v>-1.556</v>
      </c>
      <c r="BG102">
        <v>-0.27500000000000002</v>
      </c>
    </row>
    <row r="103" spans="1:59">
      <c r="A103">
        <v>0</v>
      </c>
      <c r="B103">
        <v>0</v>
      </c>
      <c r="C103">
        <v>0</v>
      </c>
      <c r="D103" t="s">
        <v>25022</v>
      </c>
      <c r="E103">
        <v>2759</v>
      </c>
      <c r="F103" t="s">
        <v>15840</v>
      </c>
      <c r="G103" t="s">
        <v>62</v>
      </c>
      <c r="H103">
        <v>2713952</v>
      </c>
      <c r="I103">
        <v>2714140</v>
      </c>
      <c r="J103" t="s">
        <v>15841</v>
      </c>
      <c r="K103">
        <v>63</v>
      </c>
      <c r="L103" t="s">
        <v>15842</v>
      </c>
      <c r="M103">
        <v>32</v>
      </c>
      <c r="N103" t="str">
        <f>HYPERLINK("Gene2759-zp_tree_all.dnd", "Gene2759-tree")</f>
        <v>Gene2759-tree</v>
      </c>
      <c r="O103">
        <v>30</v>
      </c>
      <c r="P103">
        <v>0</v>
      </c>
      <c r="Q103">
        <v>4</v>
      </c>
      <c r="R103">
        <v>0</v>
      </c>
      <c r="S103">
        <v>0</v>
      </c>
      <c r="T103" t="s">
        <v>3663</v>
      </c>
      <c r="U103" t="s">
        <v>62</v>
      </c>
      <c r="V103" t="s">
        <v>62</v>
      </c>
      <c r="W103" t="s">
        <v>62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</v>
      </c>
      <c r="AM103">
        <v>0</v>
      </c>
      <c r="AN103">
        <v>9</v>
      </c>
      <c r="AO103">
        <v>0</v>
      </c>
      <c r="AP103">
        <v>0</v>
      </c>
      <c r="AQ103">
        <v>0</v>
      </c>
      <c r="AR103" t="s">
        <v>193</v>
      </c>
      <c r="AS103" t="s">
        <v>193</v>
      </c>
      <c r="AT103">
        <v>0</v>
      </c>
      <c r="AU103" t="s">
        <v>65</v>
      </c>
      <c r="AV103">
        <v>9</v>
      </c>
      <c r="AW103">
        <v>0</v>
      </c>
      <c r="AX103" t="s">
        <v>15843</v>
      </c>
      <c r="AY103">
        <v>0.13098000000000001</v>
      </c>
      <c r="AZ103">
        <v>-3.9649999999999998E-2</v>
      </c>
      <c r="BA103">
        <v>0</v>
      </c>
      <c r="BB103">
        <v>0</v>
      </c>
      <c r="BC103">
        <v>0</v>
      </c>
      <c r="BD103">
        <v>1</v>
      </c>
      <c r="BE103" t="s">
        <v>69</v>
      </c>
      <c r="BF103">
        <v>-1.651</v>
      </c>
      <c r="BG103">
        <v>0.77400000000000002</v>
      </c>
    </row>
    <row r="104" spans="1:59">
      <c r="A104">
        <v>0</v>
      </c>
      <c r="B104">
        <v>0</v>
      </c>
      <c r="C104">
        <v>2</v>
      </c>
      <c r="D104" t="s">
        <v>25022</v>
      </c>
      <c r="E104">
        <v>2379</v>
      </c>
      <c r="F104" t="s">
        <v>13840</v>
      </c>
      <c r="G104" t="s">
        <v>62</v>
      </c>
      <c r="H104">
        <v>2391673</v>
      </c>
      <c r="I104">
        <v>2391864</v>
      </c>
      <c r="J104" t="s">
        <v>116</v>
      </c>
      <c r="K104">
        <v>64</v>
      </c>
      <c r="L104" t="s">
        <v>265</v>
      </c>
      <c r="M104">
        <v>43</v>
      </c>
      <c r="N104" t="str">
        <f>HYPERLINK("Gene2379-zp_tree_all.dnd", "Gene2379-tree")</f>
        <v>Gene2379-tree</v>
      </c>
      <c r="O104">
        <v>6</v>
      </c>
      <c r="P104">
        <v>4</v>
      </c>
      <c r="Q104">
        <v>6</v>
      </c>
      <c r="R104">
        <v>4</v>
      </c>
      <c r="S104">
        <v>0.4</v>
      </c>
      <c r="T104" t="s">
        <v>90</v>
      </c>
      <c r="U104" t="s">
        <v>61</v>
      </c>
      <c r="V104" t="s">
        <v>62</v>
      </c>
      <c r="W104" t="s">
        <v>62</v>
      </c>
      <c r="X104">
        <v>1</v>
      </c>
      <c r="Y104">
        <v>2</v>
      </c>
      <c r="Z104">
        <v>3</v>
      </c>
      <c r="AA104">
        <v>0.4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4</v>
      </c>
      <c r="AK104">
        <v>0</v>
      </c>
      <c r="AL104">
        <v>6</v>
      </c>
      <c r="AM104">
        <v>3</v>
      </c>
      <c r="AN104">
        <v>4</v>
      </c>
      <c r="AO104">
        <v>4</v>
      </c>
      <c r="AP104">
        <v>2</v>
      </c>
      <c r="AQ104">
        <v>1</v>
      </c>
      <c r="AR104" t="s">
        <v>13841</v>
      </c>
      <c r="AS104" t="s">
        <v>13842</v>
      </c>
      <c r="AT104">
        <v>0.60299999999999998</v>
      </c>
      <c r="AU104" t="s">
        <v>65</v>
      </c>
      <c r="AV104">
        <v>6</v>
      </c>
      <c r="AW104">
        <v>5</v>
      </c>
      <c r="AX104" t="s">
        <v>13843</v>
      </c>
      <c r="AY104">
        <v>3.6380000000000003E-2</v>
      </c>
      <c r="AZ104">
        <v>-2.98E-3</v>
      </c>
      <c r="BA104">
        <v>8.9700000000000005E-3</v>
      </c>
      <c r="BB104">
        <v>-8.0000000000000004E-4</v>
      </c>
      <c r="BC104">
        <v>0.24671999999999999</v>
      </c>
      <c r="BD104">
        <v>0.95699999999999996</v>
      </c>
      <c r="BE104" t="s">
        <v>69</v>
      </c>
      <c r="BF104">
        <v>-0.55100000000000005</v>
      </c>
      <c r="BG104">
        <v>-0.96799999999999997</v>
      </c>
    </row>
    <row r="105" spans="1:59">
      <c r="A105">
        <v>0</v>
      </c>
      <c r="B105">
        <v>0</v>
      </c>
      <c r="C105">
        <v>0</v>
      </c>
      <c r="D105" t="s">
        <v>25022</v>
      </c>
      <c r="E105">
        <v>24</v>
      </c>
      <c r="F105" t="s">
        <v>240</v>
      </c>
      <c r="G105" t="s">
        <v>57</v>
      </c>
      <c r="H105">
        <v>35531</v>
      </c>
      <c r="I105">
        <v>35722</v>
      </c>
      <c r="J105" t="s">
        <v>241</v>
      </c>
      <c r="K105">
        <v>64</v>
      </c>
      <c r="L105" t="s">
        <v>59</v>
      </c>
      <c r="M105">
        <v>49</v>
      </c>
      <c r="N105" t="str">
        <f>HYPERLINK("Gene24-zp_tree_all.dnd", "Gene24-tree")</f>
        <v>Gene24-tree</v>
      </c>
      <c r="O105">
        <v>4</v>
      </c>
      <c r="P105">
        <v>5</v>
      </c>
      <c r="Q105">
        <v>4</v>
      </c>
      <c r="R105">
        <v>5</v>
      </c>
      <c r="S105">
        <v>0.55556000000000005</v>
      </c>
      <c r="T105" t="s">
        <v>61</v>
      </c>
      <c r="U105" t="s">
        <v>199</v>
      </c>
      <c r="V105" t="s">
        <v>62</v>
      </c>
      <c r="W105" t="s">
        <v>62</v>
      </c>
      <c r="X105">
        <v>0</v>
      </c>
      <c r="Y105">
        <v>0</v>
      </c>
      <c r="Z105">
        <v>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5</v>
      </c>
      <c r="AK105">
        <v>0</v>
      </c>
      <c r="AL105">
        <v>7</v>
      </c>
      <c r="AM105">
        <v>4</v>
      </c>
      <c r="AN105">
        <v>7</v>
      </c>
      <c r="AO105">
        <v>4</v>
      </c>
      <c r="AP105">
        <v>5</v>
      </c>
      <c r="AQ105">
        <v>3</v>
      </c>
      <c r="AR105" t="s">
        <v>242</v>
      </c>
      <c r="AS105" t="s">
        <v>243</v>
      </c>
      <c r="AT105">
        <v>3.2000000000000001E-2</v>
      </c>
      <c r="AU105" t="s">
        <v>65</v>
      </c>
      <c r="AV105">
        <v>12</v>
      </c>
      <c r="AW105">
        <v>7</v>
      </c>
      <c r="AX105" t="s">
        <v>244</v>
      </c>
      <c r="AY105">
        <v>0.11189</v>
      </c>
      <c r="AZ105">
        <v>-1.1979999999999999E-2</v>
      </c>
      <c r="BA105">
        <v>1.6840000000000001E-2</v>
      </c>
      <c r="BB105">
        <v>-1.39E-3</v>
      </c>
      <c r="BC105">
        <v>0.15048</v>
      </c>
      <c r="BD105">
        <v>0.99</v>
      </c>
      <c r="BE105" t="s">
        <v>69</v>
      </c>
      <c r="BF105">
        <v>-1.881</v>
      </c>
      <c r="BG105">
        <v>-1.78</v>
      </c>
    </row>
    <row r="106" spans="1:59">
      <c r="A106">
        <v>0</v>
      </c>
      <c r="B106">
        <v>0</v>
      </c>
      <c r="C106">
        <v>2</v>
      </c>
      <c r="D106" t="s">
        <v>25022</v>
      </c>
      <c r="E106">
        <v>2263</v>
      </c>
      <c r="F106" t="s">
        <v>13084</v>
      </c>
      <c r="G106" t="s">
        <v>62</v>
      </c>
      <c r="H106">
        <v>2290081</v>
      </c>
      <c r="I106">
        <v>2290272</v>
      </c>
      <c r="J106" t="s">
        <v>288</v>
      </c>
      <c r="K106">
        <v>64</v>
      </c>
      <c r="L106" t="s">
        <v>13085</v>
      </c>
      <c r="M106">
        <v>46</v>
      </c>
      <c r="N106" t="str">
        <f>HYPERLINK("Gene2263-zp_tree_all.dnd", "Gene2263-tree")</f>
        <v>Gene2263-tree</v>
      </c>
      <c r="O106">
        <v>9</v>
      </c>
      <c r="P106">
        <v>3</v>
      </c>
      <c r="Q106">
        <v>9</v>
      </c>
      <c r="R106">
        <v>3</v>
      </c>
      <c r="S106">
        <v>0.25</v>
      </c>
      <c r="T106" t="s">
        <v>135</v>
      </c>
      <c r="U106" t="s">
        <v>324</v>
      </c>
      <c r="V106" t="s">
        <v>62</v>
      </c>
      <c r="W106" t="s">
        <v>62</v>
      </c>
      <c r="X106">
        <v>1</v>
      </c>
      <c r="Y106">
        <v>2</v>
      </c>
      <c r="Z106">
        <v>4</v>
      </c>
      <c r="AA106">
        <v>0.33333000000000002</v>
      </c>
      <c r="AB106">
        <v>0</v>
      </c>
      <c r="AC106">
        <v>0</v>
      </c>
      <c r="AD106">
        <v>0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4</v>
      </c>
      <c r="AK106">
        <v>0</v>
      </c>
      <c r="AL106">
        <v>8</v>
      </c>
      <c r="AM106">
        <v>5</v>
      </c>
      <c r="AN106">
        <v>11</v>
      </c>
      <c r="AO106">
        <v>4</v>
      </c>
      <c r="AP106">
        <v>8</v>
      </c>
      <c r="AQ106">
        <v>2</v>
      </c>
      <c r="AR106" t="s">
        <v>13086</v>
      </c>
      <c r="AS106" t="s">
        <v>13087</v>
      </c>
      <c r="AT106">
        <v>0.32700000000000001</v>
      </c>
      <c r="AU106" t="s">
        <v>65</v>
      </c>
      <c r="AV106">
        <v>19</v>
      </c>
      <c r="AW106">
        <v>6</v>
      </c>
      <c r="AX106" t="s">
        <v>13088</v>
      </c>
      <c r="AY106">
        <v>9.8680000000000004E-2</v>
      </c>
      <c r="AZ106">
        <v>-1.061E-2</v>
      </c>
      <c r="BA106">
        <v>8.7799999999999996E-3</v>
      </c>
      <c r="BB106">
        <v>-7.3999999999999999E-4</v>
      </c>
      <c r="BC106">
        <v>8.8999999999999996E-2</v>
      </c>
      <c r="BD106">
        <v>1</v>
      </c>
      <c r="BE106" t="s">
        <v>69</v>
      </c>
      <c r="BF106">
        <v>-1.522</v>
      </c>
      <c r="BG106">
        <v>-1.929</v>
      </c>
    </row>
    <row r="107" spans="1:59">
      <c r="A107">
        <v>0</v>
      </c>
      <c r="B107">
        <v>0</v>
      </c>
      <c r="C107">
        <v>0</v>
      </c>
      <c r="D107" t="s">
        <v>25022</v>
      </c>
      <c r="E107">
        <v>1436</v>
      </c>
      <c r="F107" t="s">
        <v>8990</v>
      </c>
      <c r="G107" t="s">
        <v>57</v>
      </c>
      <c r="H107">
        <v>1448013</v>
      </c>
      <c r="I107">
        <v>1448204</v>
      </c>
      <c r="J107" t="s">
        <v>8978</v>
      </c>
      <c r="K107">
        <v>64</v>
      </c>
      <c r="L107" t="s">
        <v>698</v>
      </c>
      <c r="M107">
        <v>47</v>
      </c>
      <c r="N107" t="str">
        <f>HYPERLINK("Gene1436-zp_tree_all.dnd", "Gene1436-tree")</f>
        <v>Gene1436-tree</v>
      </c>
      <c r="O107">
        <v>32</v>
      </c>
      <c r="P107">
        <v>2</v>
      </c>
      <c r="Q107">
        <v>6</v>
      </c>
      <c r="R107">
        <v>2</v>
      </c>
      <c r="S107">
        <v>0.25</v>
      </c>
      <c r="T107" t="s">
        <v>371</v>
      </c>
      <c r="U107" t="s">
        <v>81</v>
      </c>
      <c r="V107" t="s">
        <v>62</v>
      </c>
      <c r="W107" t="s">
        <v>62</v>
      </c>
      <c r="X107">
        <v>0</v>
      </c>
      <c r="Y107">
        <v>0</v>
      </c>
      <c r="Z107">
        <v>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</v>
      </c>
      <c r="AK107">
        <v>0</v>
      </c>
      <c r="AL107">
        <v>5</v>
      </c>
      <c r="AM107">
        <v>2</v>
      </c>
      <c r="AN107">
        <v>4</v>
      </c>
      <c r="AO107">
        <v>3</v>
      </c>
      <c r="AP107">
        <v>8</v>
      </c>
      <c r="AQ107">
        <v>0</v>
      </c>
      <c r="AR107" t="s">
        <v>8991</v>
      </c>
      <c r="AS107" t="s">
        <v>193</v>
      </c>
      <c r="AT107">
        <v>0.83799999999999997</v>
      </c>
      <c r="AU107" t="s">
        <v>65</v>
      </c>
      <c r="AV107">
        <v>12</v>
      </c>
      <c r="AW107">
        <v>3</v>
      </c>
      <c r="AX107" t="s">
        <v>8992</v>
      </c>
      <c r="AY107">
        <v>0.12406</v>
      </c>
      <c r="AZ107">
        <v>-1.917E-2</v>
      </c>
      <c r="BA107">
        <v>4.9800000000000001E-3</v>
      </c>
      <c r="BB107">
        <v>-1E-3</v>
      </c>
      <c r="BC107">
        <v>4.0129999999999999E-2</v>
      </c>
      <c r="BD107">
        <v>1</v>
      </c>
      <c r="BE107" t="s">
        <v>69</v>
      </c>
      <c r="BF107">
        <v>-1.083</v>
      </c>
      <c r="BG107">
        <v>0.58899999999999997</v>
      </c>
    </row>
    <row r="108" spans="1:59">
      <c r="A108">
        <v>0</v>
      </c>
      <c r="B108">
        <v>0</v>
      </c>
      <c r="C108">
        <v>0</v>
      </c>
      <c r="D108" t="s">
        <v>25022</v>
      </c>
      <c r="E108">
        <v>341</v>
      </c>
      <c r="F108" t="s">
        <v>2323</v>
      </c>
      <c r="G108" t="s">
        <v>57</v>
      </c>
      <c r="H108">
        <v>369020</v>
      </c>
      <c r="I108">
        <v>369214</v>
      </c>
      <c r="J108" t="s">
        <v>2324</v>
      </c>
      <c r="K108">
        <v>65</v>
      </c>
      <c r="L108" t="s">
        <v>2325</v>
      </c>
      <c r="M108">
        <v>29</v>
      </c>
      <c r="N108" t="str">
        <f>HYPERLINK("Gene341-zp_tree_all.dnd", "Gene341-tree")</f>
        <v>Gene341-tree</v>
      </c>
      <c r="O108">
        <v>0</v>
      </c>
      <c r="P108">
        <v>25</v>
      </c>
      <c r="Q108">
        <v>0</v>
      </c>
      <c r="R108">
        <v>4</v>
      </c>
      <c r="S108">
        <v>1</v>
      </c>
      <c r="T108" t="s">
        <v>62</v>
      </c>
      <c r="U108" t="s">
        <v>2326</v>
      </c>
      <c r="V108">
        <v>7.1360000000000001</v>
      </c>
      <c r="W108" t="s">
        <v>65</v>
      </c>
      <c r="X108">
        <v>0</v>
      </c>
      <c r="Y108">
        <v>0</v>
      </c>
      <c r="Z108">
        <v>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</v>
      </c>
      <c r="AK108">
        <v>0</v>
      </c>
      <c r="AL108">
        <v>3</v>
      </c>
      <c r="AM108">
        <v>0</v>
      </c>
      <c r="AN108">
        <v>3</v>
      </c>
      <c r="AO108">
        <v>10</v>
      </c>
      <c r="AP108">
        <v>0</v>
      </c>
      <c r="AQ108">
        <v>0</v>
      </c>
      <c r="AR108" t="s">
        <v>2327</v>
      </c>
      <c r="AS108" t="s">
        <v>193</v>
      </c>
      <c r="AT108">
        <v>1.7230000000000001</v>
      </c>
      <c r="AU108" t="s">
        <v>65</v>
      </c>
      <c r="AV108">
        <v>3</v>
      </c>
      <c r="AW108">
        <v>10</v>
      </c>
      <c r="AX108" t="s">
        <v>2328</v>
      </c>
      <c r="AY108">
        <v>4.0469999999999999E-2</v>
      </c>
      <c r="AZ108">
        <v>-1.072E-2</v>
      </c>
      <c r="BA108">
        <v>3.3669999999999999E-2</v>
      </c>
      <c r="BB108">
        <v>-7.0299999999999998E-3</v>
      </c>
      <c r="BC108">
        <v>0.83191999999999999</v>
      </c>
      <c r="BD108">
        <v>0.45400000000000001</v>
      </c>
      <c r="BE108" t="s">
        <v>635</v>
      </c>
      <c r="BF108">
        <v>-1.97</v>
      </c>
      <c r="BG108">
        <v>-3.302</v>
      </c>
    </row>
    <row r="109" spans="1:59">
      <c r="A109">
        <v>0</v>
      </c>
      <c r="B109">
        <v>0</v>
      </c>
      <c r="C109">
        <v>0</v>
      </c>
      <c r="D109" t="s">
        <v>25022</v>
      </c>
      <c r="E109">
        <v>915</v>
      </c>
      <c r="F109" t="s">
        <v>5719</v>
      </c>
      <c r="G109" t="s">
        <v>57</v>
      </c>
      <c r="H109">
        <v>959311</v>
      </c>
      <c r="I109">
        <v>959505</v>
      </c>
      <c r="J109" t="s">
        <v>5720</v>
      </c>
      <c r="K109">
        <v>65</v>
      </c>
      <c r="L109" t="s">
        <v>265</v>
      </c>
      <c r="M109">
        <v>43</v>
      </c>
      <c r="N109" t="str">
        <f>HYPERLINK("Gene915-zp_tree_all.dnd", "Gene915-tree")</f>
        <v>Gene915-tree</v>
      </c>
      <c r="O109">
        <v>4</v>
      </c>
      <c r="P109">
        <v>4</v>
      </c>
      <c r="Q109">
        <v>4</v>
      </c>
      <c r="R109">
        <v>4</v>
      </c>
      <c r="S109">
        <v>0.5</v>
      </c>
      <c r="T109" t="s">
        <v>61</v>
      </c>
      <c r="U109" t="s">
        <v>61</v>
      </c>
      <c r="V109" t="s">
        <v>62</v>
      </c>
      <c r="W109" t="s">
        <v>62</v>
      </c>
      <c r="X109">
        <v>0</v>
      </c>
      <c r="Y109">
        <v>0</v>
      </c>
      <c r="Z109">
        <v>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5</v>
      </c>
      <c r="AK109">
        <v>0</v>
      </c>
      <c r="AL109">
        <v>6</v>
      </c>
      <c r="AM109">
        <v>2</v>
      </c>
      <c r="AN109">
        <v>5</v>
      </c>
      <c r="AO109">
        <v>5</v>
      </c>
      <c r="AP109">
        <v>1</v>
      </c>
      <c r="AQ109">
        <v>1</v>
      </c>
      <c r="AR109" t="s">
        <v>5721</v>
      </c>
      <c r="AS109" t="s">
        <v>5722</v>
      </c>
      <c r="AT109">
        <v>4.0000000000000001E-3</v>
      </c>
      <c r="AU109" t="s">
        <v>65</v>
      </c>
      <c r="AV109">
        <v>6</v>
      </c>
      <c r="AW109">
        <v>6</v>
      </c>
      <c r="AX109" t="s">
        <v>5723</v>
      </c>
      <c r="AY109">
        <v>4.4540000000000003E-2</v>
      </c>
      <c r="AZ109">
        <v>-4.3800000000000002E-3</v>
      </c>
      <c r="BA109">
        <v>1.2E-2</v>
      </c>
      <c r="BB109">
        <v>-1.34E-3</v>
      </c>
      <c r="BC109">
        <v>0.26944000000000001</v>
      </c>
      <c r="BD109">
        <v>0.94299999999999995</v>
      </c>
      <c r="BE109" t="s">
        <v>635</v>
      </c>
      <c r="BF109">
        <v>-0.438</v>
      </c>
      <c r="BG109">
        <v>-0.77300000000000002</v>
      </c>
    </row>
    <row r="110" spans="1:59">
      <c r="A110">
        <v>0</v>
      </c>
      <c r="B110">
        <v>0</v>
      </c>
      <c r="C110">
        <v>0</v>
      </c>
      <c r="D110" t="s">
        <v>25022</v>
      </c>
      <c r="E110">
        <v>2114</v>
      </c>
      <c r="F110" t="s">
        <v>12907</v>
      </c>
      <c r="G110" t="s">
        <v>62</v>
      </c>
      <c r="H110">
        <v>2174355</v>
      </c>
      <c r="I110">
        <v>2174549</v>
      </c>
      <c r="J110" t="s">
        <v>12880</v>
      </c>
      <c r="K110">
        <v>65</v>
      </c>
      <c r="L110" t="s">
        <v>12901</v>
      </c>
      <c r="M110">
        <v>17</v>
      </c>
      <c r="N110" t="str">
        <f>HYPERLINK("Gene2114-zp_tree_all.dnd", "Gene2114-tree")</f>
        <v>Gene2114-tree</v>
      </c>
      <c r="O110">
        <v>3</v>
      </c>
      <c r="P110">
        <v>14</v>
      </c>
      <c r="Q110">
        <v>3</v>
      </c>
      <c r="R110">
        <v>2</v>
      </c>
      <c r="S110">
        <v>0.4</v>
      </c>
      <c r="T110" t="s">
        <v>324</v>
      </c>
      <c r="U110" t="s">
        <v>12908</v>
      </c>
      <c r="V110">
        <v>4.5259999999999998</v>
      </c>
      <c r="W110" t="s">
        <v>65</v>
      </c>
      <c r="X110">
        <v>0</v>
      </c>
      <c r="Y110">
        <v>0</v>
      </c>
      <c r="Z110">
        <v>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0</v>
      </c>
      <c r="AL110">
        <v>3</v>
      </c>
      <c r="AM110">
        <v>2</v>
      </c>
      <c r="AN110">
        <v>1</v>
      </c>
      <c r="AO110">
        <v>2</v>
      </c>
      <c r="AP110">
        <v>3</v>
      </c>
      <c r="AQ110">
        <v>1</v>
      </c>
      <c r="AR110" t="s">
        <v>12909</v>
      </c>
      <c r="AS110" t="s">
        <v>12910</v>
      </c>
      <c r="AT110">
        <v>0.57599999999999996</v>
      </c>
      <c r="AU110" t="s">
        <v>65</v>
      </c>
      <c r="AV110">
        <v>4</v>
      </c>
      <c r="AW110">
        <v>3</v>
      </c>
      <c r="AX110" t="s">
        <v>12911</v>
      </c>
      <c r="AY110">
        <v>5.8180000000000003E-2</v>
      </c>
      <c r="AZ110">
        <v>-8.9999999999999993E-3</v>
      </c>
      <c r="BA110">
        <v>9.2700000000000005E-3</v>
      </c>
      <c r="BB110">
        <v>-1.39E-3</v>
      </c>
      <c r="BC110">
        <v>0.15928999999999999</v>
      </c>
      <c r="BD110">
        <v>0.96699999999999997</v>
      </c>
      <c r="BE110" t="s">
        <v>69</v>
      </c>
      <c r="BF110">
        <v>-0.65800000000000003</v>
      </c>
      <c r="BG110">
        <v>0.11899999999999999</v>
      </c>
    </row>
    <row r="111" spans="1:59">
      <c r="A111">
        <v>0</v>
      </c>
      <c r="B111">
        <v>0</v>
      </c>
      <c r="C111">
        <v>0</v>
      </c>
      <c r="D111" t="s">
        <v>25022</v>
      </c>
      <c r="E111">
        <v>675</v>
      </c>
      <c r="F111" t="s">
        <v>4209</v>
      </c>
      <c r="G111" t="s">
        <v>57</v>
      </c>
      <c r="H111">
        <v>698092</v>
      </c>
      <c r="I111">
        <v>698286</v>
      </c>
      <c r="J111" t="s">
        <v>288</v>
      </c>
      <c r="K111">
        <v>65</v>
      </c>
      <c r="L111" t="s">
        <v>4088</v>
      </c>
      <c r="M111">
        <v>48</v>
      </c>
      <c r="N111" t="str">
        <f>HYPERLINK("Gene675-zp_tree_all.dnd", "Gene675-tree")</f>
        <v>Gene675-tree</v>
      </c>
      <c r="O111">
        <v>42</v>
      </c>
      <c r="P111">
        <v>1</v>
      </c>
      <c r="Q111">
        <v>8</v>
      </c>
      <c r="R111">
        <v>1</v>
      </c>
      <c r="S111">
        <v>0.11111</v>
      </c>
      <c r="T111" t="s">
        <v>4210</v>
      </c>
      <c r="U111" t="s">
        <v>175</v>
      </c>
      <c r="V111" t="s">
        <v>62</v>
      </c>
      <c r="W111" t="s">
        <v>62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8</v>
      </c>
      <c r="AM111">
        <v>3</v>
      </c>
      <c r="AN111">
        <v>8</v>
      </c>
      <c r="AO111">
        <v>1</v>
      </c>
      <c r="AP111">
        <v>5</v>
      </c>
      <c r="AQ111">
        <v>0</v>
      </c>
      <c r="AR111" t="s">
        <v>4211</v>
      </c>
      <c r="AS111" t="s">
        <v>193</v>
      </c>
      <c r="AT111">
        <v>0.39</v>
      </c>
      <c r="AU111" t="s">
        <v>65</v>
      </c>
      <c r="AV111">
        <v>13</v>
      </c>
      <c r="AW111">
        <v>1</v>
      </c>
      <c r="AX111" t="s">
        <v>4212</v>
      </c>
      <c r="AY111">
        <v>9.9279999999999993E-2</v>
      </c>
      <c r="AZ111">
        <v>-7.4099999999999999E-3</v>
      </c>
      <c r="BA111">
        <v>1.42E-3</v>
      </c>
      <c r="BB111">
        <v>-3.8999999999999999E-4</v>
      </c>
      <c r="BC111">
        <v>1.4330000000000001E-2</v>
      </c>
      <c r="BD111">
        <v>1</v>
      </c>
      <c r="BE111" t="s">
        <v>69</v>
      </c>
      <c r="BF111">
        <v>-1.9239999999999999</v>
      </c>
      <c r="BG111">
        <v>-1.732</v>
      </c>
    </row>
    <row r="112" spans="1:59">
      <c r="A112">
        <v>0</v>
      </c>
      <c r="B112">
        <v>0</v>
      </c>
      <c r="C112">
        <v>0</v>
      </c>
      <c r="D112" t="s">
        <v>25022</v>
      </c>
      <c r="E112">
        <v>1469</v>
      </c>
      <c r="F112" t="s">
        <v>9182</v>
      </c>
      <c r="G112" t="s">
        <v>57</v>
      </c>
      <c r="H112">
        <v>1485118</v>
      </c>
      <c r="I112">
        <v>1485312</v>
      </c>
      <c r="J112" t="s">
        <v>9183</v>
      </c>
      <c r="K112">
        <v>65</v>
      </c>
      <c r="L112" t="s">
        <v>59</v>
      </c>
      <c r="M112">
        <v>49</v>
      </c>
      <c r="N112" t="str">
        <f>HYPERLINK("Gene1469-zp_tree_all.dnd", "Gene1469-tree")</f>
        <v>Gene1469-tree</v>
      </c>
      <c r="O112">
        <v>4</v>
      </c>
      <c r="P112">
        <v>0</v>
      </c>
      <c r="Q112">
        <v>4</v>
      </c>
      <c r="R112">
        <v>0</v>
      </c>
      <c r="S112">
        <v>0</v>
      </c>
      <c r="T112" t="s">
        <v>61</v>
      </c>
      <c r="U112" t="s">
        <v>62</v>
      </c>
      <c r="V112" t="s">
        <v>62</v>
      </c>
      <c r="W112" t="s">
        <v>62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2</v>
      </c>
      <c r="AM112">
        <v>1</v>
      </c>
      <c r="AN112">
        <v>3</v>
      </c>
      <c r="AO112">
        <v>0</v>
      </c>
      <c r="AP112">
        <v>1</v>
      </c>
      <c r="AQ112">
        <v>0</v>
      </c>
      <c r="AR112" t="s">
        <v>193</v>
      </c>
      <c r="AS112" t="s">
        <v>193</v>
      </c>
      <c r="AT112">
        <v>0</v>
      </c>
      <c r="AU112" t="s">
        <v>65</v>
      </c>
      <c r="AV112">
        <v>4</v>
      </c>
      <c r="AW112">
        <v>0</v>
      </c>
      <c r="AX112" t="s">
        <v>9184</v>
      </c>
      <c r="AY112">
        <v>5.1900000000000002E-2</v>
      </c>
      <c r="AZ112">
        <v>-1.081E-2</v>
      </c>
      <c r="BA112">
        <v>0</v>
      </c>
      <c r="BB112">
        <v>0</v>
      </c>
      <c r="BC112">
        <v>0</v>
      </c>
      <c r="BD112">
        <v>1</v>
      </c>
      <c r="BE112" t="s">
        <v>69</v>
      </c>
      <c r="BF112">
        <v>-1.1950000000000001</v>
      </c>
      <c r="BG112">
        <v>1.006</v>
      </c>
    </row>
    <row r="113" spans="1:59">
      <c r="A113">
        <v>0</v>
      </c>
      <c r="B113">
        <v>0</v>
      </c>
      <c r="C113">
        <v>0</v>
      </c>
      <c r="D113" t="s">
        <v>25022</v>
      </c>
      <c r="E113">
        <v>1206</v>
      </c>
      <c r="F113" t="s">
        <v>7591</v>
      </c>
      <c r="G113" t="s">
        <v>57</v>
      </c>
      <c r="H113">
        <v>1244844</v>
      </c>
      <c r="I113">
        <v>1245041</v>
      </c>
      <c r="J113" t="s">
        <v>7592</v>
      </c>
      <c r="K113">
        <v>66</v>
      </c>
      <c r="L113" t="s">
        <v>108</v>
      </c>
      <c r="M113">
        <v>44</v>
      </c>
      <c r="N113" t="str">
        <f>HYPERLINK("Gene1206-zp_tree_all.dnd", "Gene1206-tree")</f>
        <v>Gene1206-tree</v>
      </c>
      <c r="O113">
        <v>5</v>
      </c>
      <c r="P113">
        <v>3</v>
      </c>
      <c r="Q113">
        <v>5</v>
      </c>
      <c r="R113">
        <v>3</v>
      </c>
      <c r="S113">
        <v>0.375</v>
      </c>
      <c r="T113" t="s">
        <v>199</v>
      </c>
      <c r="U113" t="s">
        <v>324</v>
      </c>
      <c r="V113" t="s">
        <v>62</v>
      </c>
      <c r="W113" t="s">
        <v>62</v>
      </c>
      <c r="X113">
        <v>0</v>
      </c>
      <c r="Y113">
        <v>0</v>
      </c>
      <c r="Z113">
        <v>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</v>
      </c>
      <c r="AK113">
        <v>0</v>
      </c>
      <c r="AL113">
        <v>4</v>
      </c>
      <c r="AM113">
        <v>3</v>
      </c>
      <c r="AN113">
        <v>3</v>
      </c>
      <c r="AO113">
        <v>2</v>
      </c>
      <c r="AP113">
        <v>2</v>
      </c>
      <c r="AQ113">
        <v>1</v>
      </c>
      <c r="AR113" t="s">
        <v>7593</v>
      </c>
      <c r="AS113" t="s">
        <v>7594</v>
      </c>
      <c r="AT113">
        <v>0.19700000000000001</v>
      </c>
      <c r="AU113" t="s">
        <v>65</v>
      </c>
      <c r="AV113">
        <v>5</v>
      </c>
      <c r="AW113">
        <v>3</v>
      </c>
      <c r="AX113" t="s">
        <v>7595</v>
      </c>
      <c r="AY113">
        <v>3.755E-2</v>
      </c>
      <c r="AZ113">
        <v>-4.5300000000000002E-3</v>
      </c>
      <c r="BA113">
        <v>6.0499999999999998E-3</v>
      </c>
      <c r="BB113">
        <v>-1.0399999999999999E-3</v>
      </c>
      <c r="BC113">
        <v>0.16106000000000001</v>
      </c>
      <c r="BD113">
        <v>0.98699999999999999</v>
      </c>
      <c r="BE113" t="s">
        <v>69</v>
      </c>
      <c r="BF113">
        <v>0.44500000000000001</v>
      </c>
      <c r="BG113">
        <v>-0.26800000000000002</v>
      </c>
    </row>
    <row r="114" spans="1:59">
      <c r="A114">
        <v>0</v>
      </c>
      <c r="B114">
        <v>2</v>
      </c>
      <c r="C114">
        <v>0</v>
      </c>
      <c r="D114" t="s">
        <v>25022</v>
      </c>
      <c r="E114">
        <v>524</v>
      </c>
      <c r="F114" t="s">
        <v>3379</v>
      </c>
      <c r="G114" t="s">
        <v>57</v>
      </c>
      <c r="H114">
        <v>559264</v>
      </c>
      <c r="I114">
        <v>559461</v>
      </c>
      <c r="J114" t="s">
        <v>3380</v>
      </c>
      <c r="K114">
        <v>66</v>
      </c>
      <c r="L114" t="s">
        <v>515</v>
      </c>
      <c r="M114">
        <v>51</v>
      </c>
      <c r="N114" t="str">
        <f>HYPERLINK("Gene524-zp_tree_all.dnd", "Gene524-tree")</f>
        <v>Gene524-tree</v>
      </c>
      <c r="O114">
        <v>7</v>
      </c>
      <c r="P114">
        <v>2</v>
      </c>
      <c r="Q114">
        <v>7</v>
      </c>
      <c r="R114">
        <v>2</v>
      </c>
      <c r="S114">
        <v>0.22222</v>
      </c>
      <c r="T114" t="s">
        <v>152</v>
      </c>
      <c r="U114" t="s">
        <v>81</v>
      </c>
      <c r="V114" t="s">
        <v>62</v>
      </c>
      <c r="W114" t="s">
        <v>62</v>
      </c>
      <c r="X114">
        <v>1</v>
      </c>
      <c r="Y114">
        <v>2</v>
      </c>
      <c r="Z114">
        <v>2</v>
      </c>
      <c r="AA114">
        <v>0.5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0</v>
      </c>
      <c r="AH114">
        <v>0</v>
      </c>
      <c r="AI114">
        <v>0</v>
      </c>
      <c r="AJ114">
        <v>2</v>
      </c>
      <c r="AK114">
        <v>0</v>
      </c>
      <c r="AL114">
        <v>5</v>
      </c>
      <c r="AM114">
        <v>4</v>
      </c>
      <c r="AN114">
        <v>6</v>
      </c>
      <c r="AO114">
        <v>2</v>
      </c>
      <c r="AP114">
        <v>7</v>
      </c>
      <c r="AQ114">
        <v>2</v>
      </c>
      <c r="AR114" t="s">
        <v>3381</v>
      </c>
      <c r="AS114" t="s">
        <v>3382</v>
      </c>
      <c r="AT114">
        <v>0.17699999999999999</v>
      </c>
      <c r="AU114" t="s">
        <v>65</v>
      </c>
      <c r="AV114">
        <v>13</v>
      </c>
      <c r="AW114">
        <v>4</v>
      </c>
      <c r="AX114" t="s">
        <v>3383</v>
      </c>
      <c r="AY114">
        <v>9.8650000000000002E-2</v>
      </c>
      <c r="AZ114">
        <v>-7.3800000000000003E-3</v>
      </c>
      <c r="BA114">
        <v>7.92E-3</v>
      </c>
      <c r="BB114">
        <v>-9.3000000000000005E-4</v>
      </c>
      <c r="BC114">
        <v>8.0329999999999999E-2</v>
      </c>
      <c r="BD114">
        <v>1</v>
      </c>
      <c r="BE114" t="s">
        <v>69</v>
      </c>
      <c r="BF114">
        <v>-1.2290000000000001</v>
      </c>
      <c r="BG114">
        <v>-1.238</v>
      </c>
    </row>
    <row r="115" spans="1:59">
      <c r="A115">
        <v>0</v>
      </c>
      <c r="B115">
        <v>0</v>
      </c>
      <c r="C115">
        <v>0</v>
      </c>
      <c r="D115" t="s">
        <v>25022</v>
      </c>
      <c r="E115">
        <v>2887</v>
      </c>
      <c r="F115" t="s">
        <v>16613</v>
      </c>
      <c r="G115" t="s">
        <v>62</v>
      </c>
      <c r="H115">
        <v>2834960</v>
      </c>
      <c r="I115">
        <v>2835157</v>
      </c>
      <c r="J115" t="s">
        <v>3674</v>
      </c>
      <c r="K115">
        <v>66</v>
      </c>
      <c r="L115" t="s">
        <v>59</v>
      </c>
      <c r="M115">
        <v>49</v>
      </c>
      <c r="N115" t="str">
        <f>HYPERLINK("Gene2887-zp_tree_all.dnd", "Gene2887-tree")</f>
        <v>Gene2887-tree</v>
      </c>
      <c r="O115">
        <v>35</v>
      </c>
      <c r="P115">
        <v>2</v>
      </c>
      <c r="Q115">
        <v>11</v>
      </c>
      <c r="R115">
        <v>2</v>
      </c>
      <c r="S115">
        <v>0.15384999999999999</v>
      </c>
      <c r="T115" t="s">
        <v>16614</v>
      </c>
      <c r="U115" t="s">
        <v>81</v>
      </c>
      <c r="V115" t="s">
        <v>62</v>
      </c>
      <c r="W115" t="s">
        <v>62</v>
      </c>
      <c r="X115">
        <v>0</v>
      </c>
      <c r="Y115">
        <v>0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7</v>
      </c>
      <c r="AM115">
        <v>7</v>
      </c>
      <c r="AN115">
        <v>5</v>
      </c>
      <c r="AO115">
        <v>2</v>
      </c>
      <c r="AP115">
        <v>14</v>
      </c>
      <c r="AQ115">
        <v>0</v>
      </c>
      <c r="AR115" t="s">
        <v>16615</v>
      </c>
      <c r="AS115" t="s">
        <v>193</v>
      </c>
      <c r="AT115">
        <v>0.91200000000000003</v>
      </c>
      <c r="AU115" t="s">
        <v>65</v>
      </c>
      <c r="AV115">
        <v>19</v>
      </c>
      <c r="AW115">
        <v>2</v>
      </c>
      <c r="AX115" t="s">
        <v>16616</v>
      </c>
      <c r="AY115">
        <v>0.13568</v>
      </c>
      <c r="AZ115">
        <v>-9.3500000000000007E-3</v>
      </c>
      <c r="BA115">
        <v>2.0100000000000001E-3</v>
      </c>
      <c r="BB115">
        <v>-3.5E-4</v>
      </c>
      <c r="BC115">
        <v>1.4829999999999999E-2</v>
      </c>
      <c r="BD115">
        <v>1</v>
      </c>
      <c r="BE115" t="s">
        <v>69</v>
      </c>
      <c r="BF115">
        <v>-1.1779999999999999</v>
      </c>
      <c r="BG115">
        <v>-0.878</v>
      </c>
    </row>
    <row r="116" spans="1:59">
      <c r="A116">
        <v>0</v>
      </c>
      <c r="B116">
        <v>0</v>
      </c>
      <c r="C116">
        <v>0</v>
      </c>
      <c r="D116" t="s">
        <v>25022</v>
      </c>
      <c r="E116">
        <v>3003</v>
      </c>
      <c r="F116" t="s">
        <v>17344</v>
      </c>
      <c r="G116" t="s">
        <v>62</v>
      </c>
      <c r="H116">
        <v>2952618</v>
      </c>
      <c r="I116">
        <v>2952815</v>
      </c>
      <c r="J116" t="s">
        <v>17345</v>
      </c>
      <c r="K116">
        <v>66</v>
      </c>
      <c r="L116" t="s">
        <v>59</v>
      </c>
      <c r="M116">
        <v>49</v>
      </c>
      <c r="N116" t="str">
        <f>HYPERLINK("Gene3003-zp_tree_all.dnd", "Gene3003-tree")</f>
        <v>Gene3003-tree</v>
      </c>
      <c r="O116">
        <v>46</v>
      </c>
      <c r="P116">
        <v>0</v>
      </c>
      <c r="Q116">
        <v>5</v>
      </c>
      <c r="R116">
        <v>0</v>
      </c>
      <c r="S116">
        <v>0</v>
      </c>
      <c r="T116" t="s">
        <v>17346</v>
      </c>
      <c r="U116" t="s">
        <v>62</v>
      </c>
      <c r="V116" t="s">
        <v>62</v>
      </c>
      <c r="W116" t="s">
        <v>62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</v>
      </c>
      <c r="AM116">
        <v>2</v>
      </c>
      <c r="AN116">
        <v>3</v>
      </c>
      <c r="AO116">
        <v>0</v>
      </c>
      <c r="AP116">
        <v>2</v>
      </c>
      <c r="AQ116">
        <v>0</v>
      </c>
      <c r="AR116" t="s">
        <v>193</v>
      </c>
      <c r="AS116" t="s">
        <v>193</v>
      </c>
      <c r="AT116">
        <v>0</v>
      </c>
      <c r="AU116" t="s">
        <v>65</v>
      </c>
      <c r="AV116">
        <v>5</v>
      </c>
      <c r="AW116">
        <v>0</v>
      </c>
      <c r="AX116" t="s">
        <v>17347</v>
      </c>
      <c r="AY116">
        <v>6.0690000000000001E-2</v>
      </c>
      <c r="AZ116">
        <v>-1.0699999999999999E-2</v>
      </c>
      <c r="BA116">
        <v>0</v>
      </c>
      <c r="BB116">
        <v>0</v>
      </c>
      <c r="BC116">
        <v>0</v>
      </c>
      <c r="BD116">
        <v>1</v>
      </c>
      <c r="BE116" t="s">
        <v>69</v>
      </c>
      <c r="BF116">
        <v>-1.3260000000000001</v>
      </c>
      <c r="BG116">
        <v>1.099</v>
      </c>
    </row>
    <row r="117" spans="1:59">
      <c r="A117">
        <v>0</v>
      </c>
      <c r="B117">
        <v>0</v>
      </c>
      <c r="C117">
        <v>0</v>
      </c>
      <c r="D117" t="s">
        <v>25022</v>
      </c>
      <c r="E117">
        <v>3066</v>
      </c>
      <c r="F117" t="s">
        <v>17754</v>
      </c>
      <c r="G117" t="s">
        <v>62</v>
      </c>
      <c r="H117">
        <v>3016474</v>
      </c>
      <c r="I117">
        <v>3016674</v>
      </c>
      <c r="J117" t="s">
        <v>17755</v>
      </c>
      <c r="K117">
        <v>67</v>
      </c>
      <c r="L117" t="s">
        <v>1196</v>
      </c>
      <c r="M117">
        <v>39</v>
      </c>
      <c r="N117" t="str">
        <f>HYPERLINK("Gene3066-zp_tree_all.dnd", "Gene3066-tree")</f>
        <v>Gene3066-tree</v>
      </c>
      <c r="O117">
        <v>2</v>
      </c>
      <c r="P117">
        <v>4</v>
      </c>
      <c r="Q117">
        <v>2</v>
      </c>
      <c r="R117">
        <v>4</v>
      </c>
      <c r="S117">
        <v>0.66666999999999998</v>
      </c>
      <c r="T117" t="s">
        <v>81</v>
      </c>
      <c r="U117" t="s">
        <v>61</v>
      </c>
      <c r="V117" t="s">
        <v>62</v>
      </c>
      <c r="W117" t="s">
        <v>62</v>
      </c>
      <c r="X117">
        <v>0</v>
      </c>
      <c r="Y117">
        <v>0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4</v>
      </c>
      <c r="AK117">
        <v>0</v>
      </c>
      <c r="AL117">
        <v>4</v>
      </c>
      <c r="AM117">
        <v>1</v>
      </c>
      <c r="AN117">
        <v>1</v>
      </c>
      <c r="AO117">
        <v>3</v>
      </c>
      <c r="AP117">
        <v>0</v>
      </c>
      <c r="AQ117">
        <v>1</v>
      </c>
      <c r="AR117" t="s">
        <v>17756</v>
      </c>
      <c r="AS117" t="s">
        <v>193</v>
      </c>
      <c r="AT117">
        <v>0.6</v>
      </c>
      <c r="AU117" t="s">
        <v>65</v>
      </c>
      <c r="AV117">
        <v>1</v>
      </c>
      <c r="AW117">
        <v>4</v>
      </c>
      <c r="AX117" t="s">
        <v>17757</v>
      </c>
      <c r="AY117">
        <v>5.5999999999999999E-3</v>
      </c>
      <c r="AZ117">
        <v>-2.7699999999999999E-3</v>
      </c>
      <c r="BA117">
        <v>1.013E-2</v>
      </c>
      <c r="BB117">
        <v>-1.3799999999999999E-3</v>
      </c>
      <c r="BC117">
        <v>1.8099000000000001</v>
      </c>
      <c r="BD117">
        <v>9.6000000000000002E-2</v>
      </c>
      <c r="BE117" t="s">
        <v>635</v>
      </c>
      <c r="BF117">
        <v>1.071</v>
      </c>
      <c r="BG117">
        <v>-0.72499999999999998</v>
      </c>
    </row>
    <row r="118" spans="1:59">
      <c r="A118">
        <v>0</v>
      </c>
      <c r="B118">
        <v>0</v>
      </c>
      <c r="C118">
        <v>2</v>
      </c>
      <c r="D118" t="s">
        <v>25022</v>
      </c>
      <c r="E118">
        <v>2430</v>
      </c>
      <c r="F118" t="s">
        <v>14149</v>
      </c>
      <c r="G118" t="s">
        <v>62</v>
      </c>
      <c r="H118">
        <v>2434146</v>
      </c>
      <c r="I118">
        <v>2434346</v>
      </c>
      <c r="J118" t="s">
        <v>2302</v>
      </c>
      <c r="K118">
        <v>67</v>
      </c>
      <c r="L118" t="s">
        <v>14150</v>
      </c>
      <c r="M118">
        <v>24</v>
      </c>
      <c r="N118" t="str">
        <f>HYPERLINK("Gene2430-zp_tree_all.dnd", "Gene2430-tree")</f>
        <v>Gene2430-tree</v>
      </c>
      <c r="O118">
        <v>2</v>
      </c>
      <c r="P118">
        <v>3</v>
      </c>
      <c r="Q118">
        <v>2</v>
      </c>
      <c r="R118">
        <v>3</v>
      </c>
      <c r="S118">
        <v>0.6</v>
      </c>
      <c r="T118" t="s">
        <v>81</v>
      </c>
      <c r="U118" t="s">
        <v>324</v>
      </c>
      <c r="V118" t="s">
        <v>62</v>
      </c>
      <c r="W118" t="s">
        <v>62</v>
      </c>
      <c r="X118">
        <v>1</v>
      </c>
      <c r="Y118">
        <v>2</v>
      </c>
      <c r="Z118">
        <v>4</v>
      </c>
      <c r="AA118">
        <v>0.33333000000000002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</v>
      </c>
      <c r="AI118">
        <v>2</v>
      </c>
      <c r="AJ118">
        <v>4</v>
      </c>
      <c r="AK118">
        <v>0.33333000000000002</v>
      </c>
      <c r="AL118">
        <v>3</v>
      </c>
      <c r="AM118">
        <v>1</v>
      </c>
      <c r="AN118">
        <v>4</v>
      </c>
      <c r="AO118">
        <v>2</v>
      </c>
      <c r="AP118">
        <v>2</v>
      </c>
      <c r="AQ118">
        <v>4</v>
      </c>
      <c r="AR118" t="s">
        <v>14151</v>
      </c>
      <c r="AS118" t="s">
        <v>14152</v>
      </c>
      <c r="AT118">
        <v>8.3140000000000001</v>
      </c>
      <c r="AU118" t="s">
        <v>65</v>
      </c>
      <c r="AV118">
        <v>6</v>
      </c>
      <c r="AW118">
        <v>6</v>
      </c>
      <c r="AX118" t="s">
        <v>14153</v>
      </c>
      <c r="AY118">
        <v>6.1949999999999998E-2</v>
      </c>
      <c r="AZ118">
        <v>-1.018E-2</v>
      </c>
      <c r="BA118">
        <v>2.0750000000000001E-2</v>
      </c>
      <c r="BB118">
        <v>-4.1700000000000001E-3</v>
      </c>
      <c r="BC118">
        <v>0.33498</v>
      </c>
      <c r="BD118">
        <v>0.99</v>
      </c>
      <c r="BE118" t="s">
        <v>69</v>
      </c>
      <c r="BF118">
        <v>-0.32900000000000001</v>
      </c>
      <c r="BG118">
        <v>3.4000000000000002E-2</v>
      </c>
    </row>
    <row r="119" spans="1:59">
      <c r="A119">
        <v>0</v>
      </c>
      <c r="B119">
        <v>0</v>
      </c>
      <c r="C119">
        <v>0</v>
      </c>
      <c r="D119" t="s">
        <v>25022</v>
      </c>
      <c r="E119">
        <v>4192</v>
      </c>
      <c r="F119" t="s">
        <v>24683</v>
      </c>
      <c r="G119" t="s">
        <v>62</v>
      </c>
      <c r="H119">
        <v>4159256</v>
      </c>
      <c r="I119">
        <v>4159456</v>
      </c>
      <c r="J119" t="s">
        <v>116</v>
      </c>
      <c r="K119">
        <v>67</v>
      </c>
      <c r="L119" t="s">
        <v>108</v>
      </c>
      <c r="M119">
        <v>44</v>
      </c>
      <c r="N119" t="str">
        <f>HYPERLINK("Gene4192-zp_tree_all.dnd", "Gene4192-tree")</f>
        <v>Gene4192-tree</v>
      </c>
      <c r="O119">
        <v>5</v>
      </c>
      <c r="P119">
        <v>3</v>
      </c>
      <c r="Q119">
        <v>5</v>
      </c>
      <c r="R119">
        <v>3</v>
      </c>
      <c r="S119">
        <v>0.375</v>
      </c>
      <c r="T119" t="s">
        <v>199</v>
      </c>
      <c r="U119" t="s">
        <v>324</v>
      </c>
      <c r="V119" t="s">
        <v>62</v>
      </c>
      <c r="W119" t="s">
        <v>62</v>
      </c>
      <c r="X119">
        <v>0</v>
      </c>
      <c r="Y119">
        <v>0</v>
      </c>
      <c r="Z119">
        <v>4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3</v>
      </c>
      <c r="AK119">
        <v>0</v>
      </c>
      <c r="AL119">
        <v>5</v>
      </c>
      <c r="AM119">
        <v>2</v>
      </c>
      <c r="AN119">
        <v>2</v>
      </c>
      <c r="AO119">
        <v>3</v>
      </c>
      <c r="AP119">
        <v>2</v>
      </c>
      <c r="AQ119">
        <v>1</v>
      </c>
      <c r="AR119" t="s">
        <v>24684</v>
      </c>
      <c r="AS119" t="s">
        <v>24685</v>
      </c>
      <c r="AT119">
        <v>0.626</v>
      </c>
      <c r="AU119" t="s">
        <v>65</v>
      </c>
      <c r="AV119">
        <v>4</v>
      </c>
      <c r="AW119">
        <v>4</v>
      </c>
      <c r="AX119" t="s">
        <v>24686</v>
      </c>
      <c r="AY119">
        <v>3.628E-2</v>
      </c>
      <c r="AZ119">
        <v>-6.4400000000000004E-3</v>
      </c>
      <c r="BA119">
        <v>8.0000000000000002E-3</v>
      </c>
      <c r="BB119">
        <v>-8.8999999999999995E-4</v>
      </c>
      <c r="BC119">
        <v>0.22051999999999999</v>
      </c>
      <c r="BD119">
        <v>0.9</v>
      </c>
      <c r="BE119" t="s">
        <v>635</v>
      </c>
      <c r="BF119">
        <v>-5.8999999999999997E-2</v>
      </c>
      <c r="BG119">
        <v>-8.2000000000000003E-2</v>
      </c>
    </row>
    <row r="120" spans="1:59">
      <c r="A120">
        <v>0</v>
      </c>
      <c r="B120">
        <v>0</v>
      </c>
      <c r="C120">
        <v>0</v>
      </c>
      <c r="D120" t="s">
        <v>25022</v>
      </c>
      <c r="E120">
        <v>910</v>
      </c>
      <c r="F120" t="s">
        <v>5683</v>
      </c>
      <c r="G120" t="s">
        <v>57</v>
      </c>
      <c r="H120">
        <v>954291</v>
      </c>
      <c r="I120">
        <v>954491</v>
      </c>
      <c r="J120" t="s">
        <v>116</v>
      </c>
      <c r="K120">
        <v>67</v>
      </c>
      <c r="L120" t="s">
        <v>465</v>
      </c>
      <c r="M120">
        <v>46</v>
      </c>
      <c r="N120" t="str">
        <f>HYPERLINK("Gene910-zp_tree_all.dnd", "Gene910-tree")</f>
        <v>Gene910-tree</v>
      </c>
      <c r="O120">
        <v>30</v>
      </c>
      <c r="P120">
        <v>4</v>
      </c>
      <c r="Q120">
        <v>7</v>
      </c>
      <c r="R120">
        <v>4</v>
      </c>
      <c r="S120">
        <v>0.36364000000000002</v>
      </c>
      <c r="T120" t="s">
        <v>5684</v>
      </c>
      <c r="U120" t="s">
        <v>61</v>
      </c>
      <c r="V120" t="s">
        <v>62</v>
      </c>
      <c r="W120" t="s">
        <v>62</v>
      </c>
      <c r="X120">
        <v>0</v>
      </c>
      <c r="Y120">
        <v>0</v>
      </c>
      <c r="Z120">
        <v>7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6</v>
      </c>
      <c r="AK120">
        <v>0</v>
      </c>
      <c r="AL120">
        <v>7</v>
      </c>
      <c r="AM120">
        <v>3</v>
      </c>
      <c r="AN120">
        <v>5</v>
      </c>
      <c r="AO120">
        <v>3</v>
      </c>
      <c r="AP120">
        <v>3</v>
      </c>
      <c r="AQ120">
        <v>4</v>
      </c>
      <c r="AR120" t="s">
        <v>5685</v>
      </c>
      <c r="AS120" t="s">
        <v>5686</v>
      </c>
      <c r="AT120">
        <v>0.57899999999999996</v>
      </c>
      <c r="AU120" t="s">
        <v>65</v>
      </c>
      <c r="AV120">
        <v>8</v>
      </c>
      <c r="AW120">
        <v>7</v>
      </c>
      <c r="AX120" t="s">
        <v>5687</v>
      </c>
      <c r="AY120">
        <v>5.5300000000000002E-2</v>
      </c>
      <c r="AZ120">
        <v>-3.98E-3</v>
      </c>
      <c r="BA120">
        <v>1.208E-2</v>
      </c>
      <c r="BB120">
        <v>-1.41E-3</v>
      </c>
      <c r="BC120">
        <v>0.21845000000000001</v>
      </c>
      <c r="BD120">
        <v>0.98</v>
      </c>
      <c r="BE120" t="s">
        <v>69</v>
      </c>
      <c r="BF120">
        <v>-1.2190000000000001</v>
      </c>
      <c r="BG120">
        <v>-0.35199999999999998</v>
      </c>
    </row>
    <row r="121" spans="1:59">
      <c r="A121">
        <v>0</v>
      </c>
      <c r="B121">
        <v>2</v>
      </c>
      <c r="C121">
        <v>0</v>
      </c>
      <c r="D121" t="s">
        <v>25022</v>
      </c>
      <c r="E121">
        <v>2376</v>
      </c>
      <c r="F121" t="s">
        <v>13820</v>
      </c>
      <c r="G121" t="s">
        <v>62</v>
      </c>
      <c r="H121">
        <v>2388613</v>
      </c>
      <c r="I121">
        <v>2388813</v>
      </c>
      <c r="J121" t="s">
        <v>116</v>
      </c>
      <c r="K121">
        <v>67</v>
      </c>
      <c r="L121" t="s">
        <v>698</v>
      </c>
      <c r="M121">
        <v>47</v>
      </c>
      <c r="N121" t="str">
        <f>HYPERLINK("Gene2376-zp_tree_all.dnd", "Gene2376-tree")</f>
        <v>Gene2376-tree</v>
      </c>
      <c r="O121">
        <v>8</v>
      </c>
      <c r="P121">
        <v>3</v>
      </c>
      <c r="Q121">
        <v>8</v>
      </c>
      <c r="R121">
        <v>3</v>
      </c>
      <c r="S121">
        <v>0.27272999999999997</v>
      </c>
      <c r="T121" t="s">
        <v>136</v>
      </c>
      <c r="U121" t="s">
        <v>324</v>
      </c>
      <c r="V121" t="s">
        <v>62</v>
      </c>
      <c r="W121" t="s">
        <v>62</v>
      </c>
      <c r="X121">
        <v>1</v>
      </c>
      <c r="Y121">
        <v>2</v>
      </c>
      <c r="Z121">
        <v>4</v>
      </c>
      <c r="AA121">
        <v>0.33333000000000002</v>
      </c>
      <c r="AB121">
        <v>0</v>
      </c>
      <c r="AC121">
        <v>0</v>
      </c>
      <c r="AD121">
        <v>0</v>
      </c>
      <c r="AE121">
        <v>3</v>
      </c>
      <c r="AF121">
        <v>0</v>
      </c>
      <c r="AG121">
        <v>2</v>
      </c>
      <c r="AH121">
        <v>0</v>
      </c>
      <c r="AI121">
        <v>2</v>
      </c>
      <c r="AJ121">
        <v>1</v>
      </c>
      <c r="AK121">
        <v>0.66666999999999998</v>
      </c>
      <c r="AL121">
        <v>8</v>
      </c>
      <c r="AM121">
        <v>4</v>
      </c>
      <c r="AN121">
        <v>8</v>
      </c>
      <c r="AO121">
        <v>3</v>
      </c>
      <c r="AP121">
        <v>7</v>
      </c>
      <c r="AQ121">
        <v>3</v>
      </c>
      <c r="AR121" t="s">
        <v>13821</v>
      </c>
      <c r="AS121" t="s">
        <v>13822</v>
      </c>
      <c r="AT121">
        <v>6.3E-2</v>
      </c>
      <c r="AU121" t="s">
        <v>65</v>
      </c>
      <c r="AV121">
        <v>15</v>
      </c>
      <c r="AW121">
        <v>6</v>
      </c>
      <c r="AX121" t="s">
        <v>13823</v>
      </c>
      <c r="AY121">
        <v>0.10273</v>
      </c>
      <c r="AZ121">
        <v>-8.3800000000000003E-3</v>
      </c>
      <c r="BA121">
        <v>1.1820000000000001E-2</v>
      </c>
      <c r="BB121">
        <v>-1.25E-3</v>
      </c>
      <c r="BC121">
        <v>0.11508</v>
      </c>
      <c r="BD121">
        <v>1</v>
      </c>
      <c r="BE121" t="s">
        <v>69</v>
      </c>
      <c r="BF121">
        <v>-1.3480000000000001</v>
      </c>
      <c r="BG121">
        <v>-1.117</v>
      </c>
    </row>
    <row r="122" spans="1:59">
      <c r="A122">
        <v>0</v>
      </c>
      <c r="B122">
        <v>0</v>
      </c>
      <c r="C122">
        <v>0</v>
      </c>
      <c r="D122" t="s">
        <v>25022</v>
      </c>
      <c r="E122">
        <v>1630</v>
      </c>
      <c r="F122" t="s">
        <v>10212</v>
      </c>
      <c r="G122" t="s">
        <v>57</v>
      </c>
      <c r="H122">
        <v>1642567</v>
      </c>
      <c r="I122">
        <v>1642767</v>
      </c>
      <c r="J122" t="s">
        <v>10213</v>
      </c>
      <c r="K122">
        <v>67</v>
      </c>
      <c r="L122" t="s">
        <v>59</v>
      </c>
      <c r="M122">
        <v>49</v>
      </c>
      <c r="N122" t="str">
        <f>HYPERLINK("Gene1630-zp_tree_all.dnd", "Gene1630-tree")</f>
        <v>Gene1630-tree</v>
      </c>
      <c r="O122">
        <v>7</v>
      </c>
      <c r="P122">
        <v>0</v>
      </c>
      <c r="Q122">
        <v>7</v>
      </c>
      <c r="R122">
        <v>0</v>
      </c>
      <c r="S122">
        <v>0</v>
      </c>
      <c r="T122" t="s">
        <v>152</v>
      </c>
      <c r="U122" t="s">
        <v>62</v>
      </c>
      <c r="V122" t="s">
        <v>62</v>
      </c>
      <c r="W122" t="s">
        <v>62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5</v>
      </c>
      <c r="AM122">
        <v>3</v>
      </c>
      <c r="AN122">
        <v>6</v>
      </c>
      <c r="AO122">
        <v>0</v>
      </c>
      <c r="AP122">
        <v>8</v>
      </c>
      <c r="AQ122">
        <v>0</v>
      </c>
      <c r="AR122" t="s">
        <v>193</v>
      </c>
      <c r="AS122" t="s">
        <v>193</v>
      </c>
      <c r="AT122">
        <v>0</v>
      </c>
      <c r="AU122" t="s">
        <v>65</v>
      </c>
      <c r="AV122">
        <v>14</v>
      </c>
      <c r="AW122">
        <v>0</v>
      </c>
      <c r="AX122" t="s">
        <v>10214</v>
      </c>
      <c r="AY122">
        <v>0.12032</v>
      </c>
      <c r="AZ122">
        <v>-1.342E-2</v>
      </c>
      <c r="BA122">
        <v>0</v>
      </c>
      <c r="BB122">
        <v>0</v>
      </c>
      <c r="BC122">
        <v>0</v>
      </c>
      <c r="BD122">
        <v>1</v>
      </c>
      <c r="BE122" t="s">
        <v>69</v>
      </c>
      <c r="BF122">
        <v>0.28799999999999998</v>
      </c>
      <c r="BG122">
        <v>-1.2729999999999999</v>
      </c>
    </row>
    <row r="123" spans="1:59">
      <c r="A123">
        <v>0</v>
      </c>
      <c r="B123">
        <v>0</v>
      </c>
      <c r="C123">
        <v>0</v>
      </c>
      <c r="D123" t="s">
        <v>25022</v>
      </c>
      <c r="E123">
        <v>4006</v>
      </c>
      <c r="F123" t="s">
        <v>23563</v>
      </c>
      <c r="G123" t="s">
        <v>62</v>
      </c>
      <c r="H123">
        <v>3969799</v>
      </c>
      <c r="I123">
        <v>3970002</v>
      </c>
      <c r="J123" t="s">
        <v>23564</v>
      </c>
      <c r="K123">
        <v>68</v>
      </c>
      <c r="L123" t="s">
        <v>108</v>
      </c>
      <c r="M123">
        <v>44</v>
      </c>
      <c r="N123" t="str">
        <f>HYPERLINK("Gene4006-zp_tree_all.dnd", "Gene4006-tree")</f>
        <v>Gene4006-tree</v>
      </c>
      <c r="O123">
        <v>0</v>
      </c>
      <c r="P123">
        <v>27</v>
      </c>
      <c r="Q123">
        <v>0</v>
      </c>
      <c r="R123">
        <v>5</v>
      </c>
      <c r="S123">
        <v>1</v>
      </c>
      <c r="T123" t="s">
        <v>62</v>
      </c>
      <c r="U123" t="s">
        <v>2783</v>
      </c>
      <c r="V123">
        <v>6.5620000000000003</v>
      </c>
      <c r="W123" t="s">
        <v>65</v>
      </c>
      <c r="X123">
        <v>0</v>
      </c>
      <c r="Y123">
        <v>0</v>
      </c>
      <c r="Z123">
        <v>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7</v>
      </c>
      <c r="AK123">
        <v>0</v>
      </c>
      <c r="AL123">
        <v>4</v>
      </c>
      <c r="AM123">
        <v>1</v>
      </c>
      <c r="AN123">
        <v>9</v>
      </c>
      <c r="AO123">
        <v>8</v>
      </c>
      <c r="AP123">
        <v>0</v>
      </c>
      <c r="AQ123">
        <v>1</v>
      </c>
      <c r="AR123" t="s">
        <v>23565</v>
      </c>
      <c r="AS123" t="s">
        <v>193</v>
      </c>
      <c r="AT123">
        <v>1.9530000000000001</v>
      </c>
      <c r="AU123" t="s">
        <v>65</v>
      </c>
      <c r="AV123">
        <v>9</v>
      </c>
      <c r="AW123">
        <v>9</v>
      </c>
      <c r="AX123" t="s">
        <v>23566</v>
      </c>
      <c r="AY123">
        <v>8.5319999999999993E-2</v>
      </c>
      <c r="AZ123">
        <v>-1.7520000000000001E-2</v>
      </c>
      <c r="BA123">
        <v>2.4459999999999999E-2</v>
      </c>
      <c r="BB123">
        <v>-3.3E-3</v>
      </c>
      <c r="BC123">
        <v>0.28672999999999998</v>
      </c>
      <c r="BD123">
        <v>0.99</v>
      </c>
      <c r="BE123" t="s">
        <v>69</v>
      </c>
      <c r="BF123">
        <v>7.5999999999999998E-2</v>
      </c>
      <c r="BG123">
        <v>-0.29599999999999999</v>
      </c>
    </row>
    <row r="124" spans="1:59">
      <c r="A124">
        <v>0</v>
      </c>
      <c r="B124">
        <v>0</v>
      </c>
      <c r="C124">
        <v>0</v>
      </c>
      <c r="D124" t="s">
        <v>25022</v>
      </c>
      <c r="E124">
        <v>2427</v>
      </c>
      <c r="F124" t="s">
        <v>14143</v>
      </c>
      <c r="G124" t="s">
        <v>62</v>
      </c>
      <c r="H124">
        <v>2433319</v>
      </c>
      <c r="I124">
        <v>2433522</v>
      </c>
      <c r="J124" t="s">
        <v>288</v>
      </c>
      <c r="K124">
        <v>68</v>
      </c>
      <c r="L124" t="s">
        <v>108</v>
      </c>
      <c r="M124">
        <v>44</v>
      </c>
      <c r="N124" t="str">
        <f>HYPERLINK("Gene2427-zp_tree_all.dnd", "Gene2427-tree")</f>
        <v>Gene2427-tree</v>
      </c>
      <c r="O124">
        <v>7</v>
      </c>
      <c r="P124">
        <v>4</v>
      </c>
      <c r="Q124">
        <v>7</v>
      </c>
      <c r="R124">
        <v>4</v>
      </c>
      <c r="S124">
        <v>0.36364000000000002</v>
      </c>
      <c r="T124" t="s">
        <v>152</v>
      </c>
      <c r="U124" t="s">
        <v>61</v>
      </c>
      <c r="V124" t="s">
        <v>62</v>
      </c>
      <c r="W124" t="s">
        <v>62</v>
      </c>
      <c r="X124">
        <v>0</v>
      </c>
      <c r="Y124">
        <v>0</v>
      </c>
      <c r="Z124">
        <v>5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4</v>
      </c>
      <c r="AK124">
        <v>0</v>
      </c>
      <c r="AL124">
        <v>7</v>
      </c>
      <c r="AM124">
        <v>3</v>
      </c>
      <c r="AN124">
        <v>5</v>
      </c>
      <c r="AO124">
        <v>4</v>
      </c>
      <c r="AP124">
        <v>2</v>
      </c>
      <c r="AQ124">
        <v>1</v>
      </c>
      <c r="AR124" t="s">
        <v>14144</v>
      </c>
      <c r="AS124" t="s">
        <v>14145</v>
      </c>
      <c r="AT124">
        <v>0.33200000000000002</v>
      </c>
      <c r="AU124" t="s">
        <v>65</v>
      </c>
      <c r="AV124">
        <v>7</v>
      </c>
      <c r="AW124">
        <v>5</v>
      </c>
      <c r="AX124" t="s">
        <v>14146</v>
      </c>
      <c r="AY124">
        <v>4.018E-2</v>
      </c>
      <c r="AZ124">
        <v>-2.97E-3</v>
      </c>
      <c r="BA124">
        <v>7.3699999999999998E-3</v>
      </c>
      <c r="BB124">
        <v>-6.8999999999999997E-4</v>
      </c>
      <c r="BC124">
        <v>0.18345</v>
      </c>
      <c r="BD124">
        <v>0.94399999999999995</v>
      </c>
      <c r="BE124" t="s">
        <v>635</v>
      </c>
      <c r="BF124">
        <v>0.252</v>
      </c>
      <c r="BG124">
        <v>-0.38600000000000001</v>
      </c>
    </row>
    <row r="125" spans="1:59">
      <c r="A125">
        <v>0</v>
      </c>
      <c r="B125">
        <v>2</v>
      </c>
      <c r="C125">
        <v>0</v>
      </c>
      <c r="D125" t="s">
        <v>25022</v>
      </c>
      <c r="E125">
        <v>1219</v>
      </c>
      <c r="F125" t="s">
        <v>7660</v>
      </c>
      <c r="G125" t="s">
        <v>57</v>
      </c>
      <c r="H125">
        <v>1252815</v>
      </c>
      <c r="I125">
        <v>1253018</v>
      </c>
      <c r="J125" t="s">
        <v>288</v>
      </c>
      <c r="K125">
        <v>68</v>
      </c>
      <c r="L125" t="s">
        <v>7661</v>
      </c>
      <c r="M125">
        <v>43</v>
      </c>
      <c r="N125" t="str">
        <f>HYPERLINK("Gene1219-zp_tree_all.dnd", "Gene1219-tree")</f>
        <v>Gene1219-tree</v>
      </c>
      <c r="O125">
        <v>8</v>
      </c>
      <c r="P125">
        <v>1</v>
      </c>
      <c r="Q125">
        <v>8</v>
      </c>
      <c r="R125">
        <v>1</v>
      </c>
      <c r="S125">
        <v>0.11111</v>
      </c>
      <c r="T125" t="s">
        <v>136</v>
      </c>
      <c r="U125" t="s">
        <v>175</v>
      </c>
      <c r="V125" t="s">
        <v>62</v>
      </c>
      <c r="W125" t="s">
        <v>62</v>
      </c>
      <c r="X125">
        <v>1</v>
      </c>
      <c r="Y125">
        <v>2</v>
      </c>
      <c r="Z125">
        <v>2</v>
      </c>
      <c r="AA125">
        <v>0.5</v>
      </c>
      <c r="AB125">
        <v>0</v>
      </c>
      <c r="AC125">
        <v>0</v>
      </c>
      <c r="AD125">
        <v>0</v>
      </c>
      <c r="AE125">
        <v>2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6</v>
      </c>
      <c r="AM125">
        <v>3</v>
      </c>
      <c r="AN125">
        <v>8</v>
      </c>
      <c r="AO125">
        <v>1</v>
      </c>
      <c r="AP125">
        <v>0</v>
      </c>
      <c r="AQ125">
        <v>3</v>
      </c>
      <c r="AR125" t="s">
        <v>7662</v>
      </c>
      <c r="AS125" t="s">
        <v>193</v>
      </c>
      <c r="AT125">
        <v>0.47699999999999998</v>
      </c>
      <c r="AU125" t="s">
        <v>65</v>
      </c>
      <c r="AV125">
        <v>8</v>
      </c>
      <c r="AW125">
        <v>4</v>
      </c>
      <c r="AX125" t="s">
        <v>7663</v>
      </c>
      <c r="AY125">
        <v>4.9500000000000002E-2</v>
      </c>
      <c r="AZ125">
        <v>-4.7299999999999998E-3</v>
      </c>
      <c r="BA125">
        <v>8.8500000000000002E-3</v>
      </c>
      <c r="BB125">
        <v>-1.01E-3</v>
      </c>
      <c r="BC125">
        <v>0.17874999999999999</v>
      </c>
      <c r="BD125">
        <v>0.92600000000000005</v>
      </c>
      <c r="BE125" t="s">
        <v>635</v>
      </c>
      <c r="BF125">
        <v>0.438</v>
      </c>
      <c r="BG125">
        <v>0.80900000000000005</v>
      </c>
    </row>
    <row r="126" spans="1:59">
      <c r="A126">
        <v>0</v>
      </c>
      <c r="B126">
        <v>2</v>
      </c>
      <c r="C126">
        <v>2</v>
      </c>
      <c r="D126" t="s">
        <v>25022</v>
      </c>
      <c r="E126">
        <v>1301</v>
      </c>
      <c r="F126" t="s">
        <v>8166</v>
      </c>
      <c r="G126" t="s">
        <v>57</v>
      </c>
      <c r="H126">
        <v>1324149</v>
      </c>
      <c r="I126">
        <v>1324352</v>
      </c>
      <c r="J126" t="s">
        <v>8167</v>
      </c>
      <c r="K126">
        <v>68</v>
      </c>
      <c r="L126" t="s">
        <v>1305</v>
      </c>
      <c r="M126">
        <v>43</v>
      </c>
      <c r="N126" t="str">
        <f>HYPERLINK("Gene1301-zp_tree_all.dnd", "Gene1301-tree")</f>
        <v>Gene1301-tree</v>
      </c>
      <c r="O126">
        <v>8</v>
      </c>
      <c r="P126">
        <v>3</v>
      </c>
      <c r="Q126">
        <v>8</v>
      </c>
      <c r="R126">
        <v>3</v>
      </c>
      <c r="S126">
        <v>0.27272999999999997</v>
      </c>
      <c r="T126" t="s">
        <v>136</v>
      </c>
      <c r="U126" t="s">
        <v>324</v>
      </c>
      <c r="V126" t="s">
        <v>62</v>
      </c>
      <c r="W126" t="s">
        <v>62</v>
      </c>
      <c r="X126">
        <v>2</v>
      </c>
      <c r="Y126">
        <v>4</v>
      </c>
      <c r="Z126">
        <v>3</v>
      </c>
      <c r="AA126">
        <v>0.57142999999999999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</v>
      </c>
      <c r="AK126">
        <v>0</v>
      </c>
      <c r="AL126">
        <v>9</v>
      </c>
      <c r="AM126">
        <v>6</v>
      </c>
      <c r="AN126">
        <v>13</v>
      </c>
      <c r="AO126">
        <v>5</v>
      </c>
      <c r="AP126">
        <v>6</v>
      </c>
      <c r="AQ126">
        <v>2</v>
      </c>
      <c r="AR126" t="s">
        <v>8168</v>
      </c>
      <c r="AS126" t="s">
        <v>8169</v>
      </c>
      <c r="AT126">
        <v>0.06</v>
      </c>
      <c r="AU126" t="s">
        <v>65</v>
      </c>
      <c r="AV126">
        <v>19</v>
      </c>
      <c r="AW126">
        <v>7</v>
      </c>
      <c r="AX126" t="s">
        <v>8170</v>
      </c>
      <c r="AY126">
        <v>9.7280000000000005E-2</v>
      </c>
      <c r="AZ126">
        <v>-5.4900000000000001E-3</v>
      </c>
      <c r="BA126">
        <v>1.18E-2</v>
      </c>
      <c r="BB126">
        <v>-1.07E-3</v>
      </c>
      <c r="BC126">
        <v>0.12128</v>
      </c>
      <c r="BD126">
        <v>1</v>
      </c>
      <c r="BE126" t="s">
        <v>69</v>
      </c>
      <c r="BF126">
        <v>0.501</v>
      </c>
      <c r="BG126">
        <v>9.9000000000000005E-2</v>
      </c>
    </row>
    <row r="127" spans="1:59">
      <c r="A127">
        <v>0</v>
      </c>
      <c r="B127">
        <v>0</v>
      </c>
      <c r="C127">
        <v>0</v>
      </c>
      <c r="D127" t="s">
        <v>25022</v>
      </c>
      <c r="E127">
        <v>4245</v>
      </c>
      <c r="F127" t="s">
        <v>24934</v>
      </c>
      <c r="G127" t="s">
        <v>62</v>
      </c>
      <c r="H127">
        <v>4203127</v>
      </c>
      <c r="I127">
        <v>4203330</v>
      </c>
      <c r="J127" t="s">
        <v>16377</v>
      </c>
      <c r="K127">
        <v>68</v>
      </c>
      <c r="L127" t="s">
        <v>96</v>
      </c>
      <c r="M127">
        <v>48</v>
      </c>
      <c r="N127" t="str">
        <f>HYPERLINK("Gene4245-zp_tree_all.dnd", "Gene4245-tree")</f>
        <v>Gene4245-tree</v>
      </c>
      <c r="O127">
        <v>5</v>
      </c>
      <c r="P127">
        <v>0</v>
      </c>
      <c r="Q127">
        <v>5</v>
      </c>
      <c r="R127">
        <v>0</v>
      </c>
      <c r="S127">
        <v>0</v>
      </c>
      <c r="T127" t="s">
        <v>199</v>
      </c>
      <c r="U127" t="s">
        <v>62</v>
      </c>
      <c r="V127" t="s">
        <v>62</v>
      </c>
      <c r="W127" t="s">
        <v>62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</v>
      </c>
      <c r="AM127">
        <v>1</v>
      </c>
      <c r="AN127">
        <v>4</v>
      </c>
      <c r="AO127">
        <v>0</v>
      </c>
      <c r="AP127">
        <v>1</v>
      </c>
      <c r="AQ127">
        <v>1</v>
      </c>
      <c r="AR127" t="s">
        <v>193</v>
      </c>
      <c r="AS127" t="s">
        <v>24935</v>
      </c>
      <c r="AT127">
        <v>0</v>
      </c>
      <c r="AU127" t="s">
        <v>65</v>
      </c>
      <c r="AV127">
        <v>5</v>
      </c>
      <c r="AW127">
        <v>1</v>
      </c>
      <c r="AX127" t="s">
        <v>24936</v>
      </c>
      <c r="AY127">
        <v>5.3920000000000003E-2</v>
      </c>
      <c r="AZ127">
        <v>-8.8599999999999998E-3</v>
      </c>
      <c r="BA127">
        <v>3.7100000000000002E-3</v>
      </c>
      <c r="BB127">
        <v>-8.8000000000000003E-4</v>
      </c>
      <c r="BC127">
        <v>6.8879999999999997E-2</v>
      </c>
      <c r="BD127">
        <v>1</v>
      </c>
      <c r="BE127" t="s">
        <v>69</v>
      </c>
      <c r="BF127">
        <v>-0.92700000000000005</v>
      </c>
      <c r="BG127">
        <v>-0.81200000000000006</v>
      </c>
    </row>
    <row r="128" spans="1:59">
      <c r="A128">
        <v>0</v>
      </c>
      <c r="B128">
        <v>0</v>
      </c>
      <c r="C128">
        <v>0</v>
      </c>
      <c r="D128" t="s">
        <v>25022</v>
      </c>
      <c r="E128">
        <v>2543</v>
      </c>
      <c r="F128" t="s">
        <v>14861</v>
      </c>
      <c r="G128" t="s">
        <v>62</v>
      </c>
      <c r="H128">
        <v>2535955</v>
      </c>
      <c r="I128">
        <v>2536158</v>
      </c>
      <c r="J128" t="s">
        <v>14844</v>
      </c>
      <c r="K128">
        <v>68</v>
      </c>
      <c r="L128" t="s">
        <v>59</v>
      </c>
      <c r="M128">
        <v>49</v>
      </c>
      <c r="N128" t="str">
        <f>HYPERLINK("Gene2543-zp_tree_all.dnd", "Gene2543-tree")</f>
        <v>Gene2543-tree</v>
      </c>
      <c r="O128">
        <v>7</v>
      </c>
      <c r="P128">
        <v>0</v>
      </c>
      <c r="Q128">
        <v>7</v>
      </c>
      <c r="R128">
        <v>0</v>
      </c>
      <c r="S128">
        <v>0</v>
      </c>
      <c r="T128" t="s">
        <v>152</v>
      </c>
      <c r="U128" t="s">
        <v>62</v>
      </c>
      <c r="V128" t="s">
        <v>62</v>
      </c>
      <c r="W128" t="s">
        <v>62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</v>
      </c>
      <c r="AM128">
        <v>3</v>
      </c>
      <c r="AN128">
        <v>6</v>
      </c>
      <c r="AO128">
        <v>0</v>
      </c>
      <c r="AP128">
        <v>7</v>
      </c>
      <c r="AQ128">
        <v>0</v>
      </c>
      <c r="AR128" t="s">
        <v>193</v>
      </c>
      <c r="AS128" t="s">
        <v>193</v>
      </c>
      <c r="AT128">
        <v>0</v>
      </c>
      <c r="AU128" t="s">
        <v>65</v>
      </c>
      <c r="AV128">
        <v>13</v>
      </c>
      <c r="AW128">
        <v>0</v>
      </c>
      <c r="AX128" t="s">
        <v>14862</v>
      </c>
      <c r="AY128">
        <v>0.12274</v>
      </c>
      <c r="AZ128">
        <v>-1.5310000000000001E-2</v>
      </c>
      <c r="BA128">
        <v>0</v>
      </c>
      <c r="BB128">
        <v>0</v>
      </c>
      <c r="BC128">
        <v>0</v>
      </c>
      <c r="BD128">
        <v>1</v>
      </c>
      <c r="BE128" t="s">
        <v>69</v>
      </c>
      <c r="BF128">
        <v>-0.54700000000000004</v>
      </c>
      <c r="BG128">
        <v>1.44</v>
      </c>
    </row>
    <row r="129" spans="1:59">
      <c r="A129">
        <v>0</v>
      </c>
      <c r="B129">
        <v>0</v>
      </c>
      <c r="C129">
        <v>0</v>
      </c>
      <c r="D129" t="s">
        <v>25022</v>
      </c>
      <c r="E129">
        <v>3075</v>
      </c>
      <c r="F129" t="s">
        <v>17813</v>
      </c>
      <c r="G129" t="s">
        <v>62</v>
      </c>
      <c r="H129">
        <v>3025448</v>
      </c>
      <c r="I129">
        <v>3025654</v>
      </c>
      <c r="J129" t="s">
        <v>17814</v>
      </c>
      <c r="K129">
        <v>69</v>
      </c>
      <c r="L129" t="s">
        <v>59</v>
      </c>
      <c r="M129">
        <v>49</v>
      </c>
      <c r="N129" t="str">
        <f>HYPERLINK("Gene3075-zp_tree_all.dnd", "Gene3075-tree")</f>
        <v>Gene3075-tree</v>
      </c>
      <c r="O129">
        <v>44</v>
      </c>
      <c r="P129">
        <v>2</v>
      </c>
      <c r="Q129">
        <v>2</v>
      </c>
      <c r="R129">
        <v>2</v>
      </c>
      <c r="S129">
        <v>0.5</v>
      </c>
      <c r="T129" t="s">
        <v>17815</v>
      </c>
      <c r="U129" t="s">
        <v>81</v>
      </c>
      <c r="V129" t="s">
        <v>62</v>
      </c>
      <c r="W129" t="s">
        <v>62</v>
      </c>
      <c r="X129">
        <v>0</v>
      </c>
      <c r="Y129">
        <v>0</v>
      </c>
      <c r="Z129">
        <v>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</v>
      </c>
      <c r="AK129">
        <v>0</v>
      </c>
      <c r="AL129">
        <v>3</v>
      </c>
      <c r="AM129">
        <v>0</v>
      </c>
      <c r="AN129">
        <v>7</v>
      </c>
      <c r="AO129">
        <v>5</v>
      </c>
      <c r="AP129">
        <v>0</v>
      </c>
      <c r="AQ129">
        <v>0</v>
      </c>
      <c r="AR129" t="s">
        <v>17816</v>
      </c>
      <c r="AS129" t="s">
        <v>193</v>
      </c>
      <c r="AT129">
        <v>0.73599999999999999</v>
      </c>
      <c r="AU129" t="s">
        <v>65</v>
      </c>
      <c r="AV129">
        <v>7</v>
      </c>
      <c r="AW129">
        <v>5</v>
      </c>
      <c r="AX129" t="s">
        <v>17817</v>
      </c>
      <c r="AY129">
        <v>8.0420000000000005E-2</v>
      </c>
      <c r="AZ129">
        <v>-2.741E-2</v>
      </c>
      <c r="BA129">
        <v>1.5949999999999999E-2</v>
      </c>
      <c r="BB129">
        <v>-4.9500000000000004E-3</v>
      </c>
      <c r="BC129">
        <v>0.1983</v>
      </c>
      <c r="BD129">
        <v>0.96899999999999997</v>
      </c>
      <c r="BE129" t="s">
        <v>69</v>
      </c>
      <c r="BF129">
        <v>-1.91</v>
      </c>
      <c r="BG129">
        <v>1.4770000000000001</v>
      </c>
    </row>
    <row r="130" spans="1:59">
      <c r="A130">
        <v>0</v>
      </c>
      <c r="B130">
        <v>2</v>
      </c>
      <c r="C130">
        <v>2</v>
      </c>
      <c r="D130" t="s">
        <v>25022</v>
      </c>
      <c r="E130">
        <v>3313</v>
      </c>
      <c r="F130" t="s">
        <v>19332</v>
      </c>
      <c r="G130" t="s">
        <v>62</v>
      </c>
      <c r="H130">
        <v>3280297</v>
      </c>
      <c r="I130">
        <v>3280503</v>
      </c>
      <c r="J130" t="s">
        <v>19333</v>
      </c>
      <c r="K130">
        <v>69</v>
      </c>
      <c r="L130" t="s">
        <v>19334</v>
      </c>
      <c r="M130">
        <v>48</v>
      </c>
      <c r="N130" t="str">
        <f>HYPERLINK("Gene3313-zp_tree_all.dnd", "Gene3313-tree")</f>
        <v>Gene3313-tree</v>
      </c>
      <c r="O130">
        <v>7</v>
      </c>
      <c r="P130">
        <v>7</v>
      </c>
      <c r="Q130">
        <v>7</v>
      </c>
      <c r="R130">
        <v>7</v>
      </c>
      <c r="S130">
        <v>0.5</v>
      </c>
      <c r="T130" t="s">
        <v>152</v>
      </c>
      <c r="U130" t="s">
        <v>152</v>
      </c>
      <c r="V130" t="s">
        <v>62</v>
      </c>
      <c r="W130" t="s">
        <v>62</v>
      </c>
      <c r="X130">
        <v>2</v>
      </c>
      <c r="Y130">
        <v>4</v>
      </c>
      <c r="Z130">
        <v>6</v>
      </c>
      <c r="AA130">
        <v>0.4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7</v>
      </c>
      <c r="AK130">
        <v>0</v>
      </c>
      <c r="AL130">
        <v>10</v>
      </c>
      <c r="AM130">
        <v>6</v>
      </c>
      <c r="AN130">
        <v>7</v>
      </c>
      <c r="AO130">
        <v>7</v>
      </c>
      <c r="AP130">
        <v>7</v>
      </c>
      <c r="AQ130">
        <v>3</v>
      </c>
      <c r="AR130" t="s">
        <v>19335</v>
      </c>
      <c r="AS130" t="s">
        <v>19336</v>
      </c>
      <c r="AT130">
        <v>0.81299999999999994</v>
      </c>
      <c r="AU130" t="s">
        <v>65</v>
      </c>
      <c r="AV130">
        <v>14</v>
      </c>
      <c r="AW130">
        <v>10</v>
      </c>
      <c r="AX130" t="s">
        <v>19337</v>
      </c>
      <c r="AY130">
        <v>8.566E-2</v>
      </c>
      <c r="AZ130">
        <v>-5.77E-3</v>
      </c>
      <c r="BA130">
        <v>1.3140000000000001E-2</v>
      </c>
      <c r="BB130">
        <v>-7.5000000000000002E-4</v>
      </c>
      <c r="BC130">
        <v>0.15337000000000001</v>
      </c>
      <c r="BD130">
        <v>1</v>
      </c>
      <c r="BE130" t="s">
        <v>69</v>
      </c>
      <c r="BF130">
        <v>-1.0940000000000001</v>
      </c>
      <c r="BG130">
        <v>-0.996</v>
      </c>
    </row>
    <row r="131" spans="1:59">
      <c r="A131">
        <v>0</v>
      </c>
      <c r="B131">
        <v>2</v>
      </c>
      <c r="C131">
        <v>0</v>
      </c>
      <c r="D131" t="s">
        <v>25022</v>
      </c>
      <c r="E131">
        <v>80</v>
      </c>
      <c r="F131" t="s">
        <v>636</v>
      </c>
      <c r="G131" t="s">
        <v>57</v>
      </c>
      <c r="H131">
        <v>87401</v>
      </c>
      <c r="I131">
        <v>87607</v>
      </c>
      <c r="J131" t="s">
        <v>637</v>
      </c>
      <c r="K131">
        <v>69</v>
      </c>
      <c r="L131" t="s">
        <v>515</v>
      </c>
      <c r="M131">
        <v>51</v>
      </c>
      <c r="N131" t="str">
        <f>HYPERLINK("Gene80-zp_tree_all.dnd", "Gene80-tree")</f>
        <v>Gene80-tree</v>
      </c>
      <c r="O131">
        <v>24</v>
      </c>
      <c r="P131">
        <v>2</v>
      </c>
      <c r="Q131">
        <v>7</v>
      </c>
      <c r="R131">
        <v>2</v>
      </c>
      <c r="S131">
        <v>0.22222</v>
      </c>
      <c r="T131" t="s">
        <v>638</v>
      </c>
      <c r="U131" t="s">
        <v>81</v>
      </c>
      <c r="V131" t="s">
        <v>62</v>
      </c>
      <c r="W131" t="s">
        <v>62</v>
      </c>
      <c r="X131">
        <v>1</v>
      </c>
      <c r="Y131">
        <v>2</v>
      </c>
      <c r="Z131">
        <v>3</v>
      </c>
      <c r="AA131">
        <v>0.4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0</v>
      </c>
      <c r="AL131">
        <v>6</v>
      </c>
      <c r="AM131">
        <v>4</v>
      </c>
      <c r="AN131">
        <v>7</v>
      </c>
      <c r="AO131">
        <v>1</v>
      </c>
      <c r="AP131">
        <v>9</v>
      </c>
      <c r="AQ131">
        <v>4</v>
      </c>
      <c r="AR131" t="s">
        <v>639</v>
      </c>
      <c r="AS131" t="s">
        <v>640</v>
      </c>
      <c r="AT131">
        <v>0.76400000000000001</v>
      </c>
      <c r="AU131" t="s">
        <v>65</v>
      </c>
      <c r="AV131">
        <v>16</v>
      </c>
      <c r="AW131">
        <v>5</v>
      </c>
      <c r="AX131" t="s">
        <v>641</v>
      </c>
      <c r="AY131">
        <v>0.11917</v>
      </c>
      <c r="AZ131">
        <v>-1.102E-2</v>
      </c>
      <c r="BA131">
        <v>1.064E-2</v>
      </c>
      <c r="BB131">
        <v>-1.1199999999999999E-3</v>
      </c>
      <c r="BC131">
        <v>8.9270000000000002E-2</v>
      </c>
      <c r="BD131">
        <v>1</v>
      </c>
      <c r="BE131" t="s">
        <v>69</v>
      </c>
      <c r="BF131">
        <v>-1.571</v>
      </c>
      <c r="BG131">
        <v>-0.371</v>
      </c>
    </row>
    <row r="132" spans="1:59">
      <c r="A132">
        <v>0</v>
      </c>
      <c r="B132">
        <v>0</v>
      </c>
      <c r="C132">
        <v>0</v>
      </c>
      <c r="D132" t="s">
        <v>25022</v>
      </c>
      <c r="E132">
        <v>3478</v>
      </c>
      <c r="F132" t="s">
        <v>20375</v>
      </c>
      <c r="G132" t="s">
        <v>62</v>
      </c>
      <c r="H132">
        <v>3443616</v>
      </c>
      <c r="I132">
        <v>3443822</v>
      </c>
      <c r="J132" t="s">
        <v>20376</v>
      </c>
      <c r="K132">
        <v>69</v>
      </c>
      <c r="L132" t="s">
        <v>749</v>
      </c>
      <c r="M132">
        <v>47</v>
      </c>
      <c r="N132" t="str">
        <f>HYPERLINK("Gene3478-zp_tree_all.dnd", "Gene3478-tree")</f>
        <v>Gene3478-tree</v>
      </c>
      <c r="O132">
        <v>8</v>
      </c>
      <c r="P132">
        <v>2</v>
      </c>
      <c r="Q132">
        <v>8</v>
      </c>
      <c r="R132">
        <v>2</v>
      </c>
      <c r="S132">
        <v>0.2</v>
      </c>
      <c r="T132" t="s">
        <v>136</v>
      </c>
      <c r="U132" t="s">
        <v>81</v>
      </c>
      <c r="V132" t="s">
        <v>62</v>
      </c>
      <c r="W132" t="s">
        <v>62</v>
      </c>
      <c r="X132">
        <v>0</v>
      </c>
      <c r="Y132">
        <v>0</v>
      </c>
      <c r="Z132">
        <v>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3</v>
      </c>
      <c r="AK132">
        <v>0</v>
      </c>
      <c r="AL132">
        <v>5</v>
      </c>
      <c r="AM132">
        <v>5</v>
      </c>
      <c r="AN132">
        <v>8</v>
      </c>
      <c r="AO132">
        <v>3</v>
      </c>
      <c r="AP132">
        <v>10</v>
      </c>
      <c r="AQ132">
        <v>0</v>
      </c>
      <c r="AR132" t="s">
        <v>20377</v>
      </c>
      <c r="AS132" t="s">
        <v>193</v>
      </c>
      <c r="AT132">
        <v>0.94799999999999995</v>
      </c>
      <c r="AU132" t="s">
        <v>65</v>
      </c>
      <c r="AV132">
        <v>18</v>
      </c>
      <c r="AW132">
        <v>3</v>
      </c>
      <c r="AX132" t="s">
        <v>20378</v>
      </c>
      <c r="AY132">
        <v>0.13503999999999999</v>
      </c>
      <c r="AZ132">
        <v>-1.324E-2</v>
      </c>
      <c r="BA132">
        <v>3.8500000000000001E-3</v>
      </c>
      <c r="BB132">
        <v>-8.1999999999999998E-4</v>
      </c>
      <c r="BC132">
        <v>2.852E-2</v>
      </c>
      <c r="BD132">
        <v>1</v>
      </c>
      <c r="BE132" t="s">
        <v>69</v>
      </c>
      <c r="BF132">
        <v>-1.7310000000000001</v>
      </c>
      <c r="BG132">
        <v>-1.6739999999999999</v>
      </c>
    </row>
    <row r="133" spans="1:59">
      <c r="A133">
        <v>0</v>
      </c>
      <c r="B133">
        <v>0</v>
      </c>
      <c r="C133">
        <v>0</v>
      </c>
      <c r="D133" t="s">
        <v>25022</v>
      </c>
      <c r="E133">
        <v>1742</v>
      </c>
      <c r="F133" t="s">
        <v>10927</v>
      </c>
      <c r="G133" t="s">
        <v>57</v>
      </c>
      <c r="H133">
        <v>1751935</v>
      </c>
      <c r="I133">
        <v>1752144</v>
      </c>
      <c r="J133" t="s">
        <v>10928</v>
      </c>
      <c r="K133">
        <v>70</v>
      </c>
      <c r="L133" t="s">
        <v>108</v>
      </c>
      <c r="M133">
        <v>44</v>
      </c>
      <c r="N133" t="str">
        <f>HYPERLINK("Gene1742-zp_tree_all.dnd", "Gene1742-tree")</f>
        <v>Gene1742-tree</v>
      </c>
      <c r="O133">
        <v>23</v>
      </c>
      <c r="P133">
        <v>1</v>
      </c>
      <c r="Q133">
        <v>4</v>
      </c>
      <c r="R133">
        <v>1</v>
      </c>
      <c r="S133">
        <v>0.2</v>
      </c>
      <c r="T133" t="s">
        <v>690</v>
      </c>
      <c r="U133" t="s">
        <v>175</v>
      </c>
      <c r="V133" t="s">
        <v>62</v>
      </c>
      <c r="W133" t="s">
        <v>62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4</v>
      </c>
      <c r="AM133">
        <v>0</v>
      </c>
      <c r="AN133">
        <v>5</v>
      </c>
      <c r="AO133">
        <v>1</v>
      </c>
      <c r="AP133">
        <v>0</v>
      </c>
      <c r="AQ133">
        <v>0</v>
      </c>
      <c r="AR133" t="s">
        <v>10929</v>
      </c>
      <c r="AS133" t="s">
        <v>193</v>
      </c>
      <c r="AT133">
        <v>0.52800000000000002</v>
      </c>
      <c r="AU133" t="s">
        <v>65</v>
      </c>
      <c r="AV133">
        <v>5</v>
      </c>
      <c r="AW133">
        <v>1</v>
      </c>
      <c r="AX133" t="s">
        <v>10930</v>
      </c>
      <c r="AY133">
        <v>4.8129999999999999E-2</v>
      </c>
      <c r="AZ133">
        <v>-1.0449999999999999E-2</v>
      </c>
      <c r="BA133">
        <v>2.4099999999999998E-3</v>
      </c>
      <c r="BB133">
        <v>-9.3000000000000005E-4</v>
      </c>
      <c r="BC133">
        <v>5.0119999999999998E-2</v>
      </c>
      <c r="BD133">
        <v>1</v>
      </c>
      <c r="BE133" t="s">
        <v>69</v>
      </c>
      <c r="BF133">
        <v>-0.499</v>
      </c>
      <c r="BG133">
        <v>-1.333</v>
      </c>
    </row>
    <row r="134" spans="1:59">
      <c r="A134">
        <v>0</v>
      </c>
      <c r="B134">
        <v>0</v>
      </c>
      <c r="C134">
        <v>0</v>
      </c>
      <c r="D134" t="s">
        <v>25022</v>
      </c>
      <c r="E134">
        <v>1028</v>
      </c>
      <c r="F134" t="s">
        <v>6458</v>
      </c>
      <c r="G134" t="s">
        <v>57</v>
      </c>
      <c r="H134">
        <v>1070111</v>
      </c>
      <c r="I134">
        <v>1070320</v>
      </c>
      <c r="J134" t="s">
        <v>6459</v>
      </c>
      <c r="K134">
        <v>70</v>
      </c>
      <c r="L134" t="s">
        <v>108</v>
      </c>
      <c r="M134">
        <v>44</v>
      </c>
      <c r="N134" t="str">
        <f>HYPERLINK("Gene1028-zp_tree_all.dnd", "Gene1028-tree")</f>
        <v>Gene1028-tree</v>
      </c>
      <c r="O134">
        <v>7</v>
      </c>
      <c r="P134">
        <v>2</v>
      </c>
      <c r="Q134">
        <v>7</v>
      </c>
      <c r="R134">
        <v>2</v>
      </c>
      <c r="S134">
        <v>0.22222</v>
      </c>
      <c r="T134" t="s">
        <v>152</v>
      </c>
      <c r="U134" t="s">
        <v>81</v>
      </c>
      <c r="V134" t="s">
        <v>62</v>
      </c>
      <c r="W134" t="s">
        <v>62</v>
      </c>
      <c r="X134">
        <v>0</v>
      </c>
      <c r="Y134">
        <v>0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</v>
      </c>
      <c r="AK134">
        <v>0</v>
      </c>
      <c r="AL134">
        <v>5</v>
      </c>
      <c r="AM134">
        <v>3</v>
      </c>
      <c r="AN134">
        <v>5</v>
      </c>
      <c r="AO134">
        <v>2</v>
      </c>
      <c r="AP134">
        <v>3</v>
      </c>
      <c r="AQ134">
        <v>0</v>
      </c>
      <c r="AR134" t="s">
        <v>6460</v>
      </c>
      <c r="AS134" t="s">
        <v>193</v>
      </c>
      <c r="AT134">
        <v>1.1719999999999999</v>
      </c>
      <c r="AU134" t="s">
        <v>65</v>
      </c>
      <c r="AV134">
        <v>8</v>
      </c>
      <c r="AW134">
        <v>2</v>
      </c>
      <c r="AX134" t="s">
        <v>6461</v>
      </c>
      <c r="AY134">
        <v>5.57E-2</v>
      </c>
      <c r="AZ134">
        <v>-4.2300000000000003E-3</v>
      </c>
      <c r="BA134">
        <v>2.64E-3</v>
      </c>
      <c r="BB134">
        <v>-4.6000000000000001E-4</v>
      </c>
      <c r="BC134">
        <v>4.734E-2</v>
      </c>
      <c r="BD134">
        <v>0.97799999999999998</v>
      </c>
      <c r="BE134" t="s">
        <v>69</v>
      </c>
      <c r="BF134">
        <v>-0.98099999999999998</v>
      </c>
      <c r="BG134">
        <v>-2.165</v>
      </c>
    </row>
    <row r="135" spans="1:59">
      <c r="A135">
        <v>0</v>
      </c>
      <c r="B135">
        <v>0</v>
      </c>
      <c r="C135">
        <v>0</v>
      </c>
      <c r="D135" t="s">
        <v>25022</v>
      </c>
      <c r="E135">
        <v>264</v>
      </c>
      <c r="F135" t="s">
        <v>1802</v>
      </c>
      <c r="G135" t="s">
        <v>57</v>
      </c>
      <c r="H135">
        <v>285775</v>
      </c>
      <c r="I135">
        <v>285984</v>
      </c>
      <c r="J135" t="s">
        <v>1803</v>
      </c>
      <c r="K135">
        <v>70</v>
      </c>
      <c r="L135" t="s">
        <v>59</v>
      </c>
      <c r="M135">
        <v>49</v>
      </c>
      <c r="N135" t="str">
        <f>HYPERLINK("Gene264-zp_tree_all.dnd", "Gene264-tree")</f>
        <v>Gene264-tree</v>
      </c>
      <c r="O135">
        <v>13</v>
      </c>
      <c r="P135">
        <v>0</v>
      </c>
      <c r="Q135">
        <v>13</v>
      </c>
      <c r="R135">
        <v>0</v>
      </c>
      <c r="S135">
        <v>0</v>
      </c>
      <c r="T135" t="s">
        <v>507</v>
      </c>
      <c r="U135" t="s">
        <v>62</v>
      </c>
      <c r="V135" t="s">
        <v>62</v>
      </c>
      <c r="W135" t="s">
        <v>62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9</v>
      </c>
      <c r="AM135">
        <v>4</v>
      </c>
      <c r="AN135">
        <v>13</v>
      </c>
      <c r="AO135">
        <v>0</v>
      </c>
      <c r="AP135">
        <v>5</v>
      </c>
      <c r="AQ135">
        <v>0</v>
      </c>
      <c r="AR135" t="s">
        <v>193</v>
      </c>
      <c r="AS135" t="s">
        <v>193</v>
      </c>
      <c r="AT135">
        <v>0</v>
      </c>
      <c r="AU135" t="s">
        <v>65</v>
      </c>
      <c r="AV135">
        <v>18</v>
      </c>
      <c r="AW135">
        <v>0</v>
      </c>
      <c r="AX135" t="s">
        <v>1804</v>
      </c>
      <c r="AY135">
        <v>8.0860000000000001E-2</v>
      </c>
      <c r="AZ135">
        <v>-5.7400000000000003E-3</v>
      </c>
      <c r="BA135">
        <v>1.6000000000000001E-4</v>
      </c>
      <c r="BB135">
        <v>-1.1E-4</v>
      </c>
      <c r="BC135">
        <v>2.0200000000000001E-3</v>
      </c>
      <c r="BD135">
        <v>1</v>
      </c>
      <c r="BE135" t="s">
        <v>69</v>
      </c>
      <c r="BF135">
        <v>-1.008</v>
      </c>
      <c r="BG135">
        <v>-0.14699999999999999</v>
      </c>
    </row>
    <row r="136" spans="1:59">
      <c r="A136">
        <v>0</v>
      </c>
      <c r="B136">
        <v>0</v>
      </c>
      <c r="C136">
        <v>0</v>
      </c>
      <c r="D136" t="s">
        <v>25022</v>
      </c>
      <c r="E136">
        <v>3821</v>
      </c>
      <c r="F136" t="s">
        <v>22396</v>
      </c>
      <c r="G136" t="s">
        <v>62</v>
      </c>
      <c r="H136">
        <v>3786623</v>
      </c>
      <c r="I136">
        <v>3786832</v>
      </c>
      <c r="J136" t="s">
        <v>22397</v>
      </c>
      <c r="K136">
        <v>70</v>
      </c>
      <c r="L136" t="s">
        <v>59</v>
      </c>
      <c r="M136">
        <v>49</v>
      </c>
      <c r="N136" t="str">
        <f>HYPERLINK("Gene3821-zp_tree_all.dnd", "Gene3821-tree")</f>
        <v>Gene3821-tree</v>
      </c>
      <c r="O136">
        <v>4</v>
      </c>
      <c r="P136">
        <v>0</v>
      </c>
      <c r="Q136">
        <v>4</v>
      </c>
      <c r="R136">
        <v>0</v>
      </c>
      <c r="S136">
        <v>0</v>
      </c>
      <c r="T136" t="s">
        <v>61</v>
      </c>
      <c r="U136" t="s">
        <v>62</v>
      </c>
      <c r="V136" t="s">
        <v>62</v>
      </c>
      <c r="W136" t="s">
        <v>62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</v>
      </c>
      <c r="AM136">
        <v>1</v>
      </c>
      <c r="AN136">
        <v>2</v>
      </c>
      <c r="AO136">
        <v>0</v>
      </c>
      <c r="AP136">
        <v>1</v>
      </c>
      <c r="AQ136">
        <v>0</v>
      </c>
      <c r="AR136" t="s">
        <v>193</v>
      </c>
      <c r="AS136" t="s">
        <v>193</v>
      </c>
      <c r="AT136">
        <v>0</v>
      </c>
      <c r="AU136" t="s">
        <v>65</v>
      </c>
      <c r="AV136">
        <v>3</v>
      </c>
      <c r="AW136">
        <v>0</v>
      </c>
      <c r="AX136" t="s">
        <v>22398</v>
      </c>
      <c r="AY136">
        <v>3.1809999999999998E-2</v>
      </c>
      <c r="AZ136">
        <v>-5.94E-3</v>
      </c>
      <c r="BA136">
        <v>0</v>
      </c>
      <c r="BB136">
        <v>0</v>
      </c>
      <c r="BC136">
        <v>0</v>
      </c>
      <c r="BD136">
        <v>1</v>
      </c>
      <c r="BE136" t="s">
        <v>69</v>
      </c>
      <c r="BF136">
        <v>-1.1259999999999999</v>
      </c>
      <c r="BG136">
        <v>-0.40799999999999997</v>
      </c>
    </row>
    <row r="137" spans="1:59">
      <c r="A137">
        <v>0</v>
      </c>
      <c r="B137">
        <v>4</v>
      </c>
      <c r="C137">
        <v>0</v>
      </c>
      <c r="D137" t="s">
        <v>25022</v>
      </c>
      <c r="E137">
        <v>3278</v>
      </c>
      <c r="F137" t="s">
        <v>19126</v>
      </c>
      <c r="G137" t="s">
        <v>62</v>
      </c>
      <c r="H137">
        <v>3246155</v>
      </c>
      <c r="I137">
        <v>3246367</v>
      </c>
      <c r="J137" t="s">
        <v>19127</v>
      </c>
      <c r="K137">
        <v>71</v>
      </c>
      <c r="L137" t="s">
        <v>108</v>
      </c>
      <c r="M137">
        <v>44</v>
      </c>
      <c r="N137" t="str">
        <f>HYPERLINK("Gene3278-zp_tree_all.dnd", "Gene3278-tree")</f>
        <v>Gene3278-tree</v>
      </c>
      <c r="O137">
        <v>1</v>
      </c>
      <c r="P137">
        <v>7</v>
      </c>
      <c r="Q137">
        <v>1</v>
      </c>
      <c r="R137">
        <v>7</v>
      </c>
      <c r="S137">
        <v>0.875</v>
      </c>
      <c r="T137" t="s">
        <v>175</v>
      </c>
      <c r="U137" t="s">
        <v>152</v>
      </c>
      <c r="V137" t="s">
        <v>62</v>
      </c>
      <c r="W137" t="s">
        <v>62</v>
      </c>
      <c r="X137">
        <v>2</v>
      </c>
      <c r="Y137">
        <v>4</v>
      </c>
      <c r="Z137">
        <v>6</v>
      </c>
      <c r="AA137">
        <v>0.4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4</v>
      </c>
      <c r="AH137">
        <v>0</v>
      </c>
      <c r="AI137">
        <v>4</v>
      </c>
      <c r="AJ137">
        <v>6</v>
      </c>
      <c r="AK137">
        <v>0.4</v>
      </c>
      <c r="AL137">
        <v>5</v>
      </c>
      <c r="AM137">
        <v>3</v>
      </c>
      <c r="AN137">
        <v>1</v>
      </c>
      <c r="AO137">
        <v>7</v>
      </c>
      <c r="AP137">
        <v>0</v>
      </c>
      <c r="AQ137">
        <v>3</v>
      </c>
      <c r="AR137" t="s">
        <v>19128</v>
      </c>
      <c r="AS137" t="s">
        <v>193</v>
      </c>
      <c r="AT137">
        <v>0.49299999999999999</v>
      </c>
      <c r="AU137" t="s">
        <v>65</v>
      </c>
      <c r="AV137">
        <v>1</v>
      </c>
      <c r="AW137">
        <v>10</v>
      </c>
      <c r="AX137" t="s">
        <v>19129</v>
      </c>
      <c r="AY137">
        <v>5.3E-3</v>
      </c>
      <c r="AZ137">
        <v>-1.5E-3</v>
      </c>
      <c r="BA137">
        <v>1.7319999999999999E-2</v>
      </c>
      <c r="BB137">
        <v>-1.47E-3</v>
      </c>
      <c r="BC137">
        <v>3.2712500000000002</v>
      </c>
      <c r="BD137">
        <v>6.2E-2</v>
      </c>
      <c r="BE137" t="s">
        <v>635</v>
      </c>
      <c r="BF137">
        <v>4.8000000000000001E-2</v>
      </c>
      <c r="BG137">
        <v>-0.56599999999999995</v>
      </c>
    </row>
    <row r="138" spans="1:59">
      <c r="A138">
        <v>0</v>
      </c>
      <c r="B138">
        <v>4</v>
      </c>
      <c r="C138">
        <v>0</v>
      </c>
      <c r="D138" t="s">
        <v>25022</v>
      </c>
      <c r="E138">
        <v>2453</v>
      </c>
      <c r="F138" t="s">
        <v>14285</v>
      </c>
      <c r="G138" t="s">
        <v>62</v>
      </c>
      <c r="H138">
        <v>2451151</v>
      </c>
      <c r="I138">
        <v>2451363</v>
      </c>
      <c r="J138" t="s">
        <v>116</v>
      </c>
      <c r="K138">
        <v>71</v>
      </c>
      <c r="L138" t="s">
        <v>1392</v>
      </c>
      <c r="M138">
        <v>43</v>
      </c>
      <c r="N138" t="str">
        <f>HYPERLINK("Gene2453-zp_tree_all.dnd", "Gene2453-tree")</f>
        <v>Gene2453-tree</v>
      </c>
      <c r="O138">
        <v>2</v>
      </c>
      <c r="P138">
        <v>26</v>
      </c>
      <c r="Q138">
        <v>2</v>
      </c>
      <c r="R138">
        <v>8</v>
      </c>
      <c r="S138">
        <v>0.8</v>
      </c>
      <c r="T138" t="s">
        <v>81</v>
      </c>
      <c r="U138" t="s">
        <v>1616</v>
      </c>
      <c r="V138">
        <v>0.36799999999999999</v>
      </c>
      <c r="W138" t="s">
        <v>65</v>
      </c>
      <c r="X138">
        <v>2</v>
      </c>
      <c r="Y138">
        <v>4</v>
      </c>
      <c r="Z138">
        <v>6</v>
      </c>
      <c r="AA138">
        <v>0.4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  <c r="AH138">
        <v>0</v>
      </c>
      <c r="AI138">
        <v>2</v>
      </c>
      <c r="AJ138">
        <v>7</v>
      </c>
      <c r="AK138">
        <v>0.22222</v>
      </c>
      <c r="AL138">
        <v>7</v>
      </c>
      <c r="AM138">
        <v>3</v>
      </c>
      <c r="AN138">
        <v>2</v>
      </c>
      <c r="AO138">
        <v>8</v>
      </c>
      <c r="AP138">
        <v>1</v>
      </c>
      <c r="AQ138">
        <v>2</v>
      </c>
      <c r="AR138" t="s">
        <v>14286</v>
      </c>
      <c r="AS138" t="s">
        <v>14287</v>
      </c>
      <c r="AT138">
        <v>0.39</v>
      </c>
      <c r="AU138" t="s">
        <v>65</v>
      </c>
      <c r="AV138">
        <v>3</v>
      </c>
      <c r="AW138">
        <v>10</v>
      </c>
      <c r="AX138" t="s">
        <v>14288</v>
      </c>
      <c r="AY138">
        <v>2.0729999999999998E-2</v>
      </c>
      <c r="AZ138">
        <v>-2.7599999999999999E-3</v>
      </c>
      <c r="BA138">
        <v>1.289E-2</v>
      </c>
      <c r="BB138">
        <v>-8.0000000000000004E-4</v>
      </c>
      <c r="BC138">
        <v>0.622</v>
      </c>
      <c r="BD138">
        <v>0.54700000000000004</v>
      </c>
      <c r="BE138" t="s">
        <v>635</v>
      </c>
      <c r="BF138">
        <v>-5.3999999999999999E-2</v>
      </c>
      <c r="BG138">
        <v>0.33400000000000002</v>
      </c>
    </row>
    <row r="139" spans="1:59">
      <c r="A139">
        <v>2</v>
      </c>
      <c r="B139">
        <v>5</v>
      </c>
      <c r="C139">
        <v>0</v>
      </c>
      <c r="D139" t="s">
        <v>25022</v>
      </c>
      <c r="E139">
        <v>1220</v>
      </c>
      <c r="F139" t="s">
        <v>7666</v>
      </c>
      <c r="G139" t="s">
        <v>57</v>
      </c>
      <c r="H139">
        <v>1252858</v>
      </c>
      <c r="I139">
        <v>1253070</v>
      </c>
      <c r="J139" t="s">
        <v>7667</v>
      </c>
      <c r="K139">
        <v>71</v>
      </c>
      <c r="L139" t="s">
        <v>7661</v>
      </c>
      <c r="M139">
        <v>43</v>
      </c>
      <c r="N139" t="str">
        <f>HYPERLINK("Gene1220-zp_tree_all.dnd", "Gene1220-tree")</f>
        <v>Gene1220-tree</v>
      </c>
      <c r="O139">
        <v>4</v>
      </c>
      <c r="P139">
        <v>7</v>
      </c>
      <c r="Q139">
        <v>4</v>
      </c>
      <c r="R139">
        <v>7</v>
      </c>
      <c r="S139">
        <v>0.63636000000000004</v>
      </c>
      <c r="T139" t="s">
        <v>61</v>
      </c>
      <c r="U139" t="s">
        <v>152</v>
      </c>
      <c r="V139" t="s">
        <v>62</v>
      </c>
      <c r="W139" t="s">
        <v>62</v>
      </c>
      <c r="X139">
        <v>3</v>
      </c>
      <c r="Y139">
        <v>7</v>
      </c>
      <c r="Z139">
        <v>5</v>
      </c>
      <c r="AA139">
        <v>0.58333000000000002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6</v>
      </c>
      <c r="AH139">
        <v>0</v>
      </c>
      <c r="AI139">
        <v>6</v>
      </c>
      <c r="AJ139">
        <v>5</v>
      </c>
      <c r="AK139">
        <v>0.54544999999999999</v>
      </c>
      <c r="AL139">
        <v>5</v>
      </c>
      <c r="AM139">
        <v>5</v>
      </c>
      <c r="AN139">
        <v>3</v>
      </c>
      <c r="AO139">
        <v>8</v>
      </c>
      <c r="AP139">
        <v>3</v>
      </c>
      <c r="AQ139">
        <v>4</v>
      </c>
      <c r="AR139" t="s">
        <v>7668</v>
      </c>
      <c r="AS139" t="s">
        <v>7669</v>
      </c>
      <c r="AT139">
        <v>0.45900000000000002</v>
      </c>
      <c r="AU139" t="s">
        <v>65</v>
      </c>
      <c r="AV139">
        <v>6</v>
      </c>
      <c r="AW139">
        <v>12</v>
      </c>
      <c r="AX139" t="s">
        <v>7670</v>
      </c>
      <c r="AY139">
        <v>4.0349999999999997E-2</v>
      </c>
      <c r="AZ139">
        <v>-3.7200000000000002E-3</v>
      </c>
      <c r="BA139">
        <v>1.6299999999999999E-2</v>
      </c>
      <c r="BB139">
        <v>-1.1900000000000001E-3</v>
      </c>
      <c r="BC139">
        <v>0.40394999999999998</v>
      </c>
      <c r="BD139">
        <v>0.85599999999999998</v>
      </c>
      <c r="BE139" t="s">
        <v>635</v>
      </c>
      <c r="BF139">
        <v>0.315</v>
      </c>
      <c r="BG139">
        <v>0.95599999999999996</v>
      </c>
    </row>
    <row r="140" spans="1:59">
      <c r="A140">
        <v>0</v>
      </c>
      <c r="B140">
        <v>3</v>
      </c>
      <c r="C140">
        <v>0</v>
      </c>
      <c r="D140" t="s">
        <v>25022</v>
      </c>
      <c r="E140">
        <v>1691</v>
      </c>
      <c r="F140" t="s">
        <v>10601</v>
      </c>
      <c r="G140" t="s">
        <v>57</v>
      </c>
      <c r="H140">
        <v>1701016</v>
      </c>
      <c r="I140">
        <v>1701228</v>
      </c>
      <c r="J140" t="s">
        <v>10602</v>
      </c>
      <c r="K140">
        <v>71</v>
      </c>
      <c r="L140" t="s">
        <v>59</v>
      </c>
      <c r="M140">
        <v>49</v>
      </c>
      <c r="N140" t="str">
        <f>HYPERLINK("Gene1691-zp_tree_all.dnd", "Gene1691-tree")</f>
        <v>Gene1691-tree</v>
      </c>
      <c r="O140">
        <v>1</v>
      </c>
      <c r="P140">
        <v>5</v>
      </c>
      <c r="Q140">
        <v>1</v>
      </c>
      <c r="R140">
        <v>5</v>
      </c>
      <c r="S140">
        <v>0.83333000000000002</v>
      </c>
      <c r="T140" t="s">
        <v>175</v>
      </c>
      <c r="U140" t="s">
        <v>199</v>
      </c>
      <c r="V140" t="s">
        <v>62</v>
      </c>
      <c r="W140" t="s">
        <v>62</v>
      </c>
      <c r="X140">
        <v>1</v>
      </c>
      <c r="Y140">
        <v>3</v>
      </c>
      <c r="Z140">
        <v>2</v>
      </c>
      <c r="AA140">
        <v>0.6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</v>
      </c>
      <c r="AH140">
        <v>0</v>
      </c>
      <c r="AI140">
        <v>3</v>
      </c>
      <c r="AJ140">
        <v>2</v>
      </c>
      <c r="AK140">
        <v>0.6</v>
      </c>
      <c r="AL140">
        <v>4</v>
      </c>
      <c r="AM140">
        <v>2</v>
      </c>
      <c r="AN140">
        <v>2</v>
      </c>
      <c r="AO140">
        <v>4</v>
      </c>
      <c r="AP140">
        <v>4</v>
      </c>
      <c r="AQ140">
        <v>1</v>
      </c>
      <c r="AR140" t="s">
        <v>10603</v>
      </c>
      <c r="AS140" t="s">
        <v>10604</v>
      </c>
      <c r="AT140">
        <v>0.58199999999999996</v>
      </c>
      <c r="AU140" t="s">
        <v>65</v>
      </c>
      <c r="AV140">
        <v>6</v>
      </c>
      <c r="AW140">
        <v>5</v>
      </c>
      <c r="AX140" t="s">
        <v>10605</v>
      </c>
      <c r="AY140">
        <v>6.4509999999999998E-2</v>
      </c>
      <c r="AZ140">
        <v>-8.6899999999999998E-3</v>
      </c>
      <c r="BA140">
        <v>8.8599999999999998E-3</v>
      </c>
      <c r="BB140">
        <v>-1.6000000000000001E-3</v>
      </c>
      <c r="BC140">
        <v>0.13730000000000001</v>
      </c>
      <c r="BD140">
        <v>1</v>
      </c>
      <c r="BE140" t="s">
        <v>69</v>
      </c>
      <c r="BF140">
        <v>-0.184</v>
      </c>
      <c r="BG140">
        <v>-0.61699999999999999</v>
      </c>
    </row>
    <row r="141" spans="1:59">
      <c r="A141">
        <v>0</v>
      </c>
      <c r="B141">
        <v>0</v>
      </c>
      <c r="C141">
        <v>2</v>
      </c>
      <c r="D141" t="s">
        <v>25022</v>
      </c>
      <c r="E141">
        <v>3</v>
      </c>
      <c r="F141" t="s">
        <v>79</v>
      </c>
      <c r="G141" t="s">
        <v>57</v>
      </c>
      <c r="H141">
        <v>3206</v>
      </c>
      <c r="I141">
        <v>3418</v>
      </c>
      <c r="J141" t="s">
        <v>80</v>
      </c>
      <c r="K141">
        <v>71</v>
      </c>
      <c r="L141" t="s">
        <v>59</v>
      </c>
      <c r="M141">
        <v>49</v>
      </c>
      <c r="N141" t="str">
        <f>HYPERLINK("Gene3-zp_tree_all.dnd", "Gene3-tree")</f>
        <v>Gene3-tree</v>
      </c>
      <c r="O141">
        <v>4</v>
      </c>
      <c r="P141">
        <v>2</v>
      </c>
      <c r="Q141">
        <v>4</v>
      </c>
      <c r="R141">
        <v>2</v>
      </c>
      <c r="S141">
        <v>0.33333000000000002</v>
      </c>
      <c r="T141" t="s">
        <v>61</v>
      </c>
      <c r="U141" t="s">
        <v>81</v>
      </c>
      <c r="V141" t="s">
        <v>62</v>
      </c>
      <c r="W141" t="s">
        <v>62</v>
      </c>
      <c r="X141">
        <v>1</v>
      </c>
      <c r="Y141">
        <v>2</v>
      </c>
      <c r="Z141">
        <v>1</v>
      </c>
      <c r="AA141">
        <v>0.66666999999999998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2</v>
      </c>
      <c r="AK141">
        <v>0</v>
      </c>
      <c r="AL141">
        <v>4</v>
      </c>
      <c r="AM141">
        <v>3</v>
      </c>
      <c r="AN141">
        <v>3</v>
      </c>
      <c r="AO141">
        <v>2</v>
      </c>
      <c r="AP141">
        <v>7</v>
      </c>
      <c r="AQ141">
        <v>1</v>
      </c>
      <c r="AR141" t="s">
        <v>82</v>
      </c>
      <c r="AS141" t="s">
        <v>83</v>
      </c>
      <c r="AT141">
        <v>1.0760000000000001</v>
      </c>
      <c r="AU141" t="s">
        <v>65</v>
      </c>
      <c r="AV141">
        <v>10</v>
      </c>
      <c r="AW141">
        <v>3</v>
      </c>
      <c r="AX141" t="s">
        <v>84</v>
      </c>
      <c r="AY141">
        <v>9.9030000000000007E-2</v>
      </c>
      <c r="AZ141">
        <v>-1.375E-2</v>
      </c>
      <c r="BA141">
        <v>6.8999999999999999E-3</v>
      </c>
      <c r="BB141">
        <v>-9.7000000000000005E-4</v>
      </c>
      <c r="BC141">
        <v>6.9709999999999994E-2</v>
      </c>
      <c r="BD141">
        <v>1</v>
      </c>
      <c r="BE141" t="s">
        <v>69</v>
      </c>
      <c r="BF141">
        <v>-1.204</v>
      </c>
      <c r="BG141">
        <v>0.86799999999999999</v>
      </c>
    </row>
    <row r="142" spans="1:59">
      <c r="A142">
        <v>0</v>
      </c>
      <c r="B142">
        <v>0</v>
      </c>
      <c r="C142">
        <v>0</v>
      </c>
      <c r="D142" t="s">
        <v>25022</v>
      </c>
      <c r="E142">
        <v>2588</v>
      </c>
      <c r="F142" t="s">
        <v>15150</v>
      </c>
      <c r="G142" t="s">
        <v>62</v>
      </c>
      <c r="H142">
        <v>2571585</v>
      </c>
      <c r="I142">
        <v>2571797</v>
      </c>
      <c r="J142" t="s">
        <v>15151</v>
      </c>
      <c r="K142">
        <v>71</v>
      </c>
      <c r="L142" t="s">
        <v>108</v>
      </c>
      <c r="M142">
        <v>44</v>
      </c>
      <c r="N142" t="str">
        <f>HYPERLINK("Gene2588-zp_tree_all.dnd", "Gene2588-tree")</f>
        <v>Gene2588-tree</v>
      </c>
      <c r="O142">
        <v>4</v>
      </c>
      <c r="P142">
        <v>1</v>
      </c>
      <c r="Q142">
        <v>4</v>
      </c>
      <c r="R142">
        <v>1</v>
      </c>
      <c r="S142">
        <v>0.2</v>
      </c>
      <c r="T142" t="s">
        <v>61</v>
      </c>
      <c r="U142" t="s">
        <v>175</v>
      </c>
      <c r="V142" t="s">
        <v>62</v>
      </c>
      <c r="W142" t="s">
        <v>62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3</v>
      </c>
      <c r="AM142">
        <v>1</v>
      </c>
      <c r="AN142">
        <v>3</v>
      </c>
      <c r="AO142">
        <v>1</v>
      </c>
      <c r="AP142">
        <v>1</v>
      </c>
      <c r="AQ142">
        <v>0</v>
      </c>
      <c r="AR142" t="s">
        <v>15152</v>
      </c>
      <c r="AS142" t="s">
        <v>193</v>
      </c>
      <c r="AT142">
        <v>0.86599999999999999</v>
      </c>
      <c r="AU142" t="s">
        <v>65</v>
      </c>
      <c r="AV142">
        <v>4</v>
      </c>
      <c r="AW142">
        <v>1</v>
      </c>
      <c r="AX142" t="s">
        <v>15153</v>
      </c>
      <c r="AY142">
        <v>4.5109999999999997E-2</v>
      </c>
      <c r="AZ142">
        <v>-6.11E-3</v>
      </c>
      <c r="BA142">
        <v>2.3400000000000001E-3</v>
      </c>
      <c r="BB142">
        <v>-9.1E-4</v>
      </c>
      <c r="BC142">
        <v>5.185E-2</v>
      </c>
      <c r="BD142">
        <v>1</v>
      </c>
      <c r="BE142" t="s">
        <v>69</v>
      </c>
      <c r="BF142">
        <v>-1.3180000000000001</v>
      </c>
      <c r="BG142">
        <v>-2.661</v>
      </c>
    </row>
    <row r="143" spans="1:59">
      <c r="A143">
        <v>0</v>
      </c>
      <c r="B143">
        <v>0</v>
      </c>
      <c r="C143">
        <v>0</v>
      </c>
      <c r="D143" t="s">
        <v>25022</v>
      </c>
      <c r="E143">
        <v>2113</v>
      </c>
      <c r="F143" t="s">
        <v>12902</v>
      </c>
      <c r="G143" t="s">
        <v>62</v>
      </c>
      <c r="H143">
        <v>2174107</v>
      </c>
      <c r="I143">
        <v>2174319</v>
      </c>
      <c r="J143" t="s">
        <v>12880</v>
      </c>
      <c r="K143">
        <v>71</v>
      </c>
      <c r="L143" t="s">
        <v>12901</v>
      </c>
      <c r="M143">
        <v>17</v>
      </c>
      <c r="N143" t="str">
        <f>HYPERLINK("Gene2113-zp_tree_all.dnd", "Gene2113-tree")</f>
        <v>Gene2113-tree</v>
      </c>
      <c r="O143">
        <v>3</v>
      </c>
      <c r="P143">
        <v>14</v>
      </c>
      <c r="Q143">
        <v>3</v>
      </c>
      <c r="R143">
        <v>1</v>
      </c>
      <c r="S143">
        <v>0.25</v>
      </c>
      <c r="T143" t="s">
        <v>324</v>
      </c>
      <c r="U143" t="s">
        <v>175</v>
      </c>
      <c r="V143" t="s">
        <v>62</v>
      </c>
      <c r="W143" t="s">
        <v>62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3</v>
      </c>
      <c r="AM143">
        <v>1</v>
      </c>
      <c r="AN143">
        <v>4</v>
      </c>
      <c r="AO143">
        <v>1</v>
      </c>
      <c r="AP143">
        <v>2</v>
      </c>
      <c r="AQ143">
        <v>0</v>
      </c>
      <c r="AR143" t="s">
        <v>12903</v>
      </c>
      <c r="AS143" t="s">
        <v>193</v>
      </c>
      <c r="AT143">
        <v>0.81299999999999994</v>
      </c>
      <c r="AU143" t="s">
        <v>65</v>
      </c>
      <c r="AV143">
        <v>6</v>
      </c>
      <c r="AW143">
        <v>1</v>
      </c>
      <c r="AX143" t="s">
        <v>12904</v>
      </c>
      <c r="AY143">
        <v>6.8860000000000005E-2</v>
      </c>
      <c r="AZ143">
        <v>-1.082E-2</v>
      </c>
      <c r="BA143">
        <v>3.0999999999999999E-3</v>
      </c>
      <c r="BB143">
        <v>-1.2700000000000001E-3</v>
      </c>
      <c r="BC143">
        <v>4.5010000000000001E-2</v>
      </c>
      <c r="BD143">
        <v>1</v>
      </c>
      <c r="BE143" t="s">
        <v>69</v>
      </c>
      <c r="BF143">
        <v>-0.78</v>
      </c>
      <c r="BG143">
        <v>0.11899999999999999</v>
      </c>
    </row>
    <row r="144" spans="1:59">
      <c r="A144">
        <v>0</v>
      </c>
      <c r="B144">
        <v>2</v>
      </c>
      <c r="C144">
        <v>0</v>
      </c>
      <c r="D144" t="s">
        <v>25022</v>
      </c>
      <c r="E144">
        <v>1312</v>
      </c>
      <c r="F144" t="s">
        <v>8238</v>
      </c>
      <c r="G144" t="s">
        <v>57</v>
      </c>
      <c r="H144">
        <v>1332187</v>
      </c>
      <c r="I144">
        <v>1332402</v>
      </c>
      <c r="J144" t="s">
        <v>8099</v>
      </c>
      <c r="K144">
        <v>72</v>
      </c>
      <c r="L144" t="s">
        <v>8239</v>
      </c>
      <c r="M144">
        <v>46</v>
      </c>
      <c r="N144" t="str">
        <f>HYPERLINK("Gene1312-zp_tree_all.dnd", "Gene1312-tree")</f>
        <v>Gene1312-tree</v>
      </c>
      <c r="O144">
        <v>3</v>
      </c>
      <c r="P144">
        <v>4</v>
      </c>
      <c r="Q144">
        <v>3</v>
      </c>
      <c r="R144">
        <v>4</v>
      </c>
      <c r="S144">
        <v>0.57142999999999999</v>
      </c>
      <c r="T144" t="s">
        <v>324</v>
      </c>
      <c r="U144" t="s">
        <v>61</v>
      </c>
      <c r="V144" t="s">
        <v>62</v>
      </c>
      <c r="W144" t="s">
        <v>62</v>
      </c>
      <c r="X144">
        <v>1</v>
      </c>
      <c r="Y144">
        <v>2</v>
      </c>
      <c r="Z144">
        <v>4</v>
      </c>
      <c r="AA144">
        <v>0.33333000000000002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0</v>
      </c>
      <c r="AI144">
        <v>2</v>
      </c>
      <c r="AJ144">
        <v>3</v>
      </c>
      <c r="AK144">
        <v>0.4</v>
      </c>
      <c r="AL144">
        <v>4</v>
      </c>
      <c r="AM144">
        <v>3</v>
      </c>
      <c r="AN144">
        <v>4</v>
      </c>
      <c r="AO144">
        <v>3</v>
      </c>
      <c r="AP144">
        <v>4</v>
      </c>
      <c r="AQ144">
        <v>3</v>
      </c>
      <c r="AR144" t="s">
        <v>8240</v>
      </c>
      <c r="AS144" t="s">
        <v>8241</v>
      </c>
      <c r="AT144">
        <v>1.7999999999999999E-2</v>
      </c>
      <c r="AU144" t="s">
        <v>65</v>
      </c>
      <c r="AV144">
        <v>8</v>
      </c>
      <c r="AW144">
        <v>6</v>
      </c>
      <c r="AX144" t="s">
        <v>8242</v>
      </c>
      <c r="AY144">
        <v>8.2489999999999994E-2</v>
      </c>
      <c r="AZ144">
        <v>-1.103E-2</v>
      </c>
      <c r="BA144">
        <v>1.281E-2</v>
      </c>
      <c r="BB144">
        <v>-1.3600000000000001E-3</v>
      </c>
      <c r="BC144">
        <v>0.15534999999999999</v>
      </c>
      <c r="BD144">
        <v>1</v>
      </c>
      <c r="BE144" t="s">
        <v>69</v>
      </c>
      <c r="BF144">
        <v>-1.8129999999999999</v>
      </c>
      <c r="BG144">
        <v>-0.82499999999999996</v>
      </c>
    </row>
    <row r="145" spans="1:59">
      <c r="A145">
        <v>0</v>
      </c>
      <c r="B145">
        <v>0</v>
      </c>
      <c r="C145">
        <v>0</v>
      </c>
      <c r="D145" t="s">
        <v>25022</v>
      </c>
      <c r="E145">
        <v>1857</v>
      </c>
      <c r="F145" t="s">
        <v>11631</v>
      </c>
      <c r="G145" t="s">
        <v>57</v>
      </c>
      <c r="H145">
        <v>1922549</v>
      </c>
      <c r="I145">
        <v>1922764</v>
      </c>
      <c r="J145" t="s">
        <v>1217</v>
      </c>
      <c r="K145">
        <v>72</v>
      </c>
      <c r="L145" t="s">
        <v>515</v>
      </c>
      <c r="M145">
        <v>51</v>
      </c>
      <c r="N145" t="str">
        <f>HYPERLINK("Gene1857-zp_tree_all.dnd", "Gene1857-tree")</f>
        <v>Gene1857-tree</v>
      </c>
      <c r="O145">
        <v>47</v>
      </c>
      <c r="P145">
        <v>0</v>
      </c>
      <c r="Q145">
        <v>7</v>
      </c>
      <c r="R145">
        <v>0</v>
      </c>
      <c r="S145">
        <v>0</v>
      </c>
      <c r="T145" t="s">
        <v>11632</v>
      </c>
      <c r="U145" t="s">
        <v>62</v>
      </c>
      <c r="V145" t="s">
        <v>62</v>
      </c>
      <c r="W145" t="s">
        <v>62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4</v>
      </c>
      <c r="AM145">
        <v>2</v>
      </c>
      <c r="AN145">
        <v>4</v>
      </c>
      <c r="AO145">
        <v>0</v>
      </c>
      <c r="AP145">
        <v>5</v>
      </c>
      <c r="AQ145">
        <v>1</v>
      </c>
      <c r="AR145" t="s">
        <v>193</v>
      </c>
      <c r="AS145" t="s">
        <v>11633</v>
      </c>
      <c r="AT145">
        <v>1.0249999999999999</v>
      </c>
      <c r="AU145" t="s">
        <v>65</v>
      </c>
      <c r="AV145">
        <v>9</v>
      </c>
      <c r="AW145">
        <v>1</v>
      </c>
      <c r="AX145" t="s">
        <v>11634</v>
      </c>
      <c r="AY145">
        <v>8.4860000000000005E-2</v>
      </c>
      <c r="AZ145">
        <v>-1.04E-2</v>
      </c>
      <c r="BA145">
        <v>3.8300000000000001E-3</v>
      </c>
      <c r="BB145">
        <v>-9.6000000000000002E-4</v>
      </c>
      <c r="BC145">
        <v>4.5170000000000002E-2</v>
      </c>
      <c r="BD145">
        <v>1</v>
      </c>
      <c r="BE145" t="s">
        <v>69</v>
      </c>
      <c r="BF145">
        <v>-1.6319999999999999</v>
      </c>
      <c r="BG145">
        <v>2.7E-2</v>
      </c>
    </row>
    <row r="146" spans="1:59">
      <c r="A146">
        <v>0</v>
      </c>
      <c r="B146">
        <v>4</v>
      </c>
      <c r="C146">
        <v>0</v>
      </c>
      <c r="D146" t="s">
        <v>25022</v>
      </c>
      <c r="E146">
        <v>3746</v>
      </c>
      <c r="F146" t="s">
        <v>21974</v>
      </c>
      <c r="G146" t="s">
        <v>62</v>
      </c>
      <c r="H146">
        <v>3722571</v>
      </c>
      <c r="I146">
        <v>3722789</v>
      </c>
      <c r="J146" t="s">
        <v>116</v>
      </c>
      <c r="K146">
        <v>73</v>
      </c>
      <c r="L146" t="s">
        <v>2548</v>
      </c>
      <c r="M146">
        <v>37</v>
      </c>
      <c r="N146" t="str">
        <f>HYPERLINK("Gene3746-zp_tree_all.dnd", "Gene3746-tree")</f>
        <v>Gene3746-tree</v>
      </c>
      <c r="O146">
        <v>0</v>
      </c>
      <c r="P146">
        <v>7</v>
      </c>
      <c r="Q146">
        <v>0</v>
      </c>
      <c r="R146">
        <v>7</v>
      </c>
      <c r="S146">
        <v>1</v>
      </c>
      <c r="T146" t="s">
        <v>62</v>
      </c>
      <c r="U146" t="s">
        <v>152</v>
      </c>
      <c r="V146" t="s">
        <v>62</v>
      </c>
      <c r="W146" t="s">
        <v>62</v>
      </c>
      <c r="X146">
        <v>2</v>
      </c>
      <c r="Y146">
        <v>4</v>
      </c>
      <c r="Z146">
        <v>9</v>
      </c>
      <c r="AA146">
        <v>0.30769000000000002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</v>
      </c>
      <c r="AH146">
        <v>0</v>
      </c>
      <c r="AI146">
        <v>2</v>
      </c>
      <c r="AJ146">
        <v>8</v>
      </c>
      <c r="AK146">
        <v>0.2</v>
      </c>
      <c r="AL146">
        <v>4</v>
      </c>
      <c r="AM146">
        <v>3</v>
      </c>
      <c r="AN146">
        <v>0</v>
      </c>
      <c r="AO146">
        <v>7</v>
      </c>
      <c r="AP146">
        <v>0</v>
      </c>
      <c r="AQ146">
        <v>6</v>
      </c>
      <c r="AR146" t="s">
        <v>193</v>
      </c>
      <c r="AS146" t="s">
        <v>193</v>
      </c>
      <c r="AT146">
        <v>0</v>
      </c>
      <c r="AU146" t="s">
        <v>65</v>
      </c>
      <c r="AV146">
        <v>0</v>
      </c>
      <c r="AW146">
        <v>13</v>
      </c>
      <c r="AX146" t="s">
        <v>21975</v>
      </c>
      <c r="AY146">
        <v>0</v>
      </c>
      <c r="AZ146">
        <v>0</v>
      </c>
      <c r="BA146">
        <v>2.896E-2</v>
      </c>
      <c r="BB146">
        <v>-2.6199999999999999E-3</v>
      </c>
      <c r="BC146" t="s">
        <v>1346</v>
      </c>
      <c r="BD146">
        <v>1</v>
      </c>
      <c r="BE146" t="s">
        <v>69</v>
      </c>
      <c r="BF146">
        <v>1.4379999999999999</v>
      </c>
      <c r="BG146">
        <v>1.4410000000000001</v>
      </c>
    </row>
    <row r="147" spans="1:59">
      <c r="A147">
        <v>0</v>
      </c>
      <c r="B147">
        <v>0</v>
      </c>
      <c r="C147">
        <v>0</v>
      </c>
      <c r="D147" t="s">
        <v>25022</v>
      </c>
      <c r="E147">
        <v>3298</v>
      </c>
      <c r="F147" t="s">
        <v>19249</v>
      </c>
      <c r="G147" t="s">
        <v>62</v>
      </c>
      <c r="H147">
        <v>3262333</v>
      </c>
      <c r="I147">
        <v>3262551</v>
      </c>
      <c r="J147" t="s">
        <v>5053</v>
      </c>
      <c r="K147">
        <v>73</v>
      </c>
      <c r="L147" t="s">
        <v>108</v>
      </c>
      <c r="M147">
        <v>44</v>
      </c>
      <c r="N147" t="str">
        <f>HYPERLINK("Gene3298-zp_tree_all.dnd", "Gene3298-tree")</f>
        <v>Gene3298-tree</v>
      </c>
      <c r="O147">
        <v>5</v>
      </c>
      <c r="P147">
        <v>2</v>
      </c>
      <c r="Q147">
        <v>5</v>
      </c>
      <c r="R147">
        <v>2</v>
      </c>
      <c r="S147">
        <v>0.28571000000000002</v>
      </c>
      <c r="T147" t="s">
        <v>199</v>
      </c>
      <c r="U147" t="s">
        <v>81</v>
      </c>
      <c r="V147" t="s">
        <v>62</v>
      </c>
      <c r="W147" t="s">
        <v>62</v>
      </c>
      <c r="X147">
        <v>0</v>
      </c>
      <c r="Y147">
        <v>0</v>
      </c>
      <c r="Z147">
        <v>4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3</v>
      </c>
      <c r="AK147">
        <v>0</v>
      </c>
      <c r="AL147">
        <v>5</v>
      </c>
      <c r="AM147">
        <v>1</v>
      </c>
      <c r="AN147">
        <v>4</v>
      </c>
      <c r="AO147">
        <v>3</v>
      </c>
      <c r="AP147">
        <v>0</v>
      </c>
      <c r="AQ147">
        <v>1</v>
      </c>
      <c r="AR147" t="s">
        <v>19250</v>
      </c>
      <c r="AS147" t="s">
        <v>193</v>
      </c>
      <c r="AT147">
        <v>0.83899999999999997</v>
      </c>
      <c r="AU147" t="s">
        <v>65</v>
      </c>
      <c r="AV147">
        <v>4</v>
      </c>
      <c r="AW147">
        <v>4</v>
      </c>
      <c r="AX147" t="s">
        <v>19251</v>
      </c>
      <c r="AY147">
        <v>2.2749999999999999E-2</v>
      </c>
      <c r="AZ147">
        <v>-4.13E-3</v>
      </c>
      <c r="BA147">
        <v>8.6099999999999996E-3</v>
      </c>
      <c r="BB147">
        <v>-1.33E-3</v>
      </c>
      <c r="BC147">
        <v>0.37822</v>
      </c>
      <c r="BD147">
        <v>0.77500000000000002</v>
      </c>
      <c r="BE147" t="s">
        <v>635</v>
      </c>
      <c r="BF147">
        <v>-3.0000000000000001E-3</v>
      </c>
      <c r="BG147">
        <v>-0.77600000000000002</v>
      </c>
    </row>
    <row r="148" spans="1:59">
      <c r="A148">
        <v>0</v>
      </c>
      <c r="B148">
        <v>0</v>
      </c>
      <c r="C148">
        <v>0</v>
      </c>
      <c r="D148" t="s">
        <v>25022</v>
      </c>
      <c r="E148">
        <v>1797</v>
      </c>
      <c r="F148" t="s">
        <v>11256</v>
      </c>
      <c r="G148" t="s">
        <v>57</v>
      </c>
      <c r="H148">
        <v>1867373</v>
      </c>
      <c r="I148">
        <v>1867591</v>
      </c>
      <c r="J148" t="s">
        <v>11257</v>
      </c>
      <c r="K148">
        <v>73</v>
      </c>
      <c r="L148" t="s">
        <v>59</v>
      </c>
      <c r="M148">
        <v>49</v>
      </c>
      <c r="N148" t="str">
        <f>HYPERLINK("Gene1797-zp_tree_all.dnd", "Gene1797-tree")</f>
        <v>Gene1797-tree</v>
      </c>
      <c r="O148">
        <v>5</v>
      </c>
      <c r="P148">
        <v>0</v>
      </c>
      <c r="Q148">
        <v>5</v>
      </c>
      <c r="R148">
        <v>0</v>
      </c>
      <c r="S148">
        <v>0</v>
      </c>
      <c r="T148" t="s">
        <v>199</v>
      </c>
      <c r="U148" t="s">
        <v>62</v>
      </c>
      <c r="V148" t="s">
        <v>62</v>
      </c>
      <c r="W148" t="s">
        <v>62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>
        <v>2</v>
      </c>
      <c r="AN148">
        <v>3</v>
      </c>
      <c r="AO148">
        <v>0</v>
      </c>
      <c r="AP148">
        <v>3</v>
      </c>
      <c r="AQ148">
        <v>0</v>
      </c>
      <c r="AR148" t="s">
        <v>193</v>
      </c>
      <c r="AS148" t="s">
        <v>193</v>
      </c>
      <c r="AT148">
        <v>0</v>
      </c>
      <c r="AU148" t="s">
        <v>65</v>
      </c>
      <c r="AV148">
        <v>6</v>
      </c>
      <c r="AW148">
        <v>0</v>
      </c>
      <c r="AX148" t="s">
        <v>11258</v>
      </c>
      <c r="AY148">
        <v>6.9339999999999999E-2</v>
      </c>
      <c r="AZ148">
        <v>-1.2319999999999999E-2</v>
      </c>
      <c r="BA148">
        <v>0</v>
      </c>
      <c r="BB148">
        <v>0</v>
      </c>
      <c r="BC148">
        <v>0</v>
      </c>
      <c r="BD148">
        <v>1</v>
      </c>
      <c r="BE148" t="s">
        <v>69</v>
      </c>
      <c r="BF148">
        <v>-1.048</v>
      </c>
      <c r="BG148">
        <v>0.32</v>
      </c>
    </row>
    <row r="149" spans="1:59">
      <c r="A149">
        <v>0</v>
      </c>
      <c r="B149">
        <v>0</v>
      </c>
      <c r="C149">
        <v>0</v>
      </c>
      <c r="D149" t="s">
        <v>25022</v>
      </c>
      <c r="E149">
        <v>139</v>
      </c>
      <c r="F149" t="s">
        <v>1003</v>
      </c>
      <c r="G149" t="s">
        <v>57</v>
      </c>
      <c r="H149">
        <v>147312</v>
      </c>
      <c r="I149">
        <v>147533</v>
      </c>
      <c r="J149" t="s">
        <v>1004</v>
      </c>
      <c r="K149">
        <v>74</v>
      </c>
      <c r="L149" t="s">
        <v>108</v>
      </c>
      <c r="M149">
        <v>44</v>
      </c>
      <c r="N149" t="str">
        <f>HYPERLINK("Gene139-zp_tree_all.dnd", "Gene139-tree")</f>
        <v>Gene139-tree</v>
      </c>
      <c r="O149">
        <v>22</v>
      </c>
      <c r="P149">
        <v>1</v>
      </c>
      <c r="Q149">
        <v>3</v>
      </c>
      <c r="R149">
        <v>1</v>
      </c>
      <c r="S149">
        <v>0.25</v>
      </c>
      <c r="T149" t="s">
        <v>1005</v>
      </c>
      <c r="U149" t="s">
        <v>175</v>
      </c>
      <c r="V149" t="s">
        <v>62</v>
      </c>
      <c r="W149" t="s">
        <v>62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3</v>
      </c>
      <c r="AM149">
        <v>0</v>
      </c>
      <c r="AN149">
        <v>2</v>
      </c>
      <c r="AO149">
        <v>1</v>
      </c>
      <c r="AP149">
        <v>0</v>
      </c>
      <c r="AQ149">
        <v>0</v>
      </c>
      <c r="AR149" t="s">
        <v>1006</v>
      </c>
      <c r="AS149" t="s">
        <v>193</v>
      </c>
      <c r="AT149">
        <v>0.69299999999999995</v>
      </c>
      <c r="AU149" t="s">
        <v>65</v>
      </c>
      <c r="AV149">
        <v>2</v>
      </c>
      <c r="AW149">
        <v>1</v>
      </c>
      <c r="AX149" t="s">
        <v>1007</v>
      </c>
      <c r="AY149">
        <v>2.026E-2</v>
      </c>
      <c r="AZ149">
        <v>-4.8199999999999996E-3</v>
      </c>
      <c r="BA149">
        <v>2.9199999999999999E-3</v>
      </c>
      <c r="BB149">
        <v>-1.09E-3</v>
      </c>
      <c r="BC149">
        <v>0.14424000000000001</v>
      </c>
      <c r="BD149">
        <v>1</v>
      </c>
      <c r="BE149" t="s">
        <v>69</v>
      </c>
      <c r="BF149">
        <v>1.014</v>
      </c>
      <c r="BG149">
        <v>0.90500000000000003</v>
      </c>
    </row>
    <row r="150" spans="1:59">
      <c r="A150">
        <v>0</v>
      </c>
      <c r="B150">
        <v>0</v>
      </c>
      <c r="C150">
        <v>0</v>
      </c>
      <c r="D150" t="s">
        <v>25022</v>
      </c>
      <c r="E150">
        <v>2463</v>
      </c>
      <c r="F150" t="s">
        <v>14349</v>
      </c>
      <c r="G150" t="s">
        <v>62</v>
      </c>
      <c r="H150">
        <v>2460281</v>
      </c>
      <c r="I150">
        <v>2460502</v>
      </c>
      <c r="J150" t="s">
        <v>116</v>
      </c>
      <c r="K150">
        <v>74</v>
      </c>
      <c r="L150" t="s">
        <v>160</v>
      </c>
      <c r="M150">
        <v>45</v>
      </c>
      <c r="N150" t="str">
        <f>HYPERLINK("Gene2463-zp_tree_all.dnd", "Gene2463-tree")</f>
        <v>Gene2463-tree</v>
      </c>
      <c r="O150">
        <v>4</v>
      </c>
      <c r="P150">
        <v>5</v>
      </c>
      <c r="Q150">
        <v>4</v>
      </c>
      <c r="R150">
        <v>5</v>
      </c>
      <c r="S150">
        <v>0.55556000000000005</v>
      </c>
      <c r="T150" t="s">
        <v>61</v>
      </c>
      <c r="U150" t="s">
        <v>199</v>
      </c>
      <c r="V150" t="s">
        <v>62</v>
      </c>
      <c r="W150" t="s">
        <v>62</v>
      </c>
      <c r="X150">
        <v>0</v>
      </c>
      <c r="Y150">
        <v>0</v>
      </c>
      <c r="Z150">
        <v>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4</v>
      </c>
      <c r="AK150">
        <v>0</v>
      </c>
      <c r="AL150">
        <v>5</v>
      </c>
      <c r="AM150">
        <v>4</v>
      </c>
      <c r="AN150">
        <v>9</v>
      </c>
      <c r="AO150">
        <v>3</v>
      </c>
      <c r="AP150">
        <v>2</v>
      </c>
      <c r="AQ150">
        <v>3</v>
      </c>
      <c r="AR150" t="s">
        <v>14350</v>
      </c>
      <c r="AS150" t="s">
        <v>14351</v>
      </c>
      <c r="AT150">
        <v>0.70299999999999996</v>
      </c>
      <c r="AU150" t="s">
        <v>65</v>
      </c>
      <c r="AV150">
        <v>11</v>
      </c>
      <c r="AW150">
        <v>6</v>
      </c>
      <c r="AX150" t="s">
        <v>14352</v>
      </c>
      <c r="AY150">
        <v>7.8969999999999999E-2</v>
      </c>
      <c r="AZ150">
        <v>-1.1299999999999999E-2</v>
      </c>
      <c r="BA150">
        <v>1.013E-2</v>
      </c>
      <c r="BB150">
        <v>-1.1800000000000001E-3</v>
      </c>
      <c r="BC150">
        <v>0.12828000000000001</v>
      </c>
      <c r="BD150">
        <v>0.99</v>
      </c>
      <c r="BE150" t="s">
        <v>69</v>
      </c>
      <c r="BF150">
        <v>-0.44800000000000001</v>
      </c>
      <c r="BG150">
        <v>-2.2370000000000001</v>
      </c>
    </row>
    <row r="151" spans="1:59">
      <c r="A151">
        <v>0</v>
      </c>
      <c r="B151">
        <v>6</v>
      </c>
      <c r="C151">
        <v>0</v>
      </c>
      <c r="D151" t="s">
        <v>25022</v>
      </c>
      <c r="E151">
        <v>3665</v>
      </c>
      <c r="F151" t="s">
        <v>21499</v>
      </c>
      <c r="G151" t="s">
        <v>62</v>
      </c>
      <c r="H151">
        <v>3636049</v>
      </c>
      <c r="I151">
        <v>3636270</v>
      </c>
      <c r="J151" t="s">
        <v>21500</v>
      </c>
      <c r="K151">
        <v>74</v>
      </c>
      <c r="L151" t="s">
        <v>59</v>
      </c>
      <c r="M151">
        <v>49</v>
      </c>
      <c r="N151" t="str">
        <f>HYPERLINK("Gene3665-zp_tree_all.dnd", "Gene3665-tree")</f>
        <v>Gene3665-tree</v>
      </c>
      <c r="O151">
        <v>30</v>
      </c>
      <c r="P151">
        <v>7</v>
      </c>
      <c r="Q151">
        <v>7</v>
      </c>
      <c r="R151">
        <v>7</v>
      </c>
      <c r="S151">
        <v>0.5</v>
      </c>
      <c r="T151" t="s">
        <v>5684</v>
      </c>
      <c r="U151" t="s">
        <v>152</v>
      </c>
      <c r="V151" t="s">
        <v>62</v>
      </c>
      <c r="W151" t="s">
        <v>62</v>
      </c>
      <c r="X151">
        <v>3</v>
      </c>
      <c r="Y151">
        <v>6</v>
      </c>
      <c r="Z151">
        <v>3</v>
      </c>
      <c r="AA151">
        <v>0.66666999999999998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2</v>
      </c>
      <c r="AH151">
        <v>0</v>
      </c>
      <c r="AI151">
        <v>2</v>
      </c>
      <c r="AJ151">
        <v>5</v>
      </c>
      <c r="AK151">
        <v>0.28571000000000002</v>
      </c>
      <c r="AL151">
        <v>8</v>
      </c>
      <c r="AM151">
        <v>8</v>
      </c>
      <c r="AN151">
        <v>11</v>
      </c>
      <c r="AO151">
        <v>5</v>
      </c>
      <c r="AP151">
        <v>16</v>
      </c>
      <c r="AQ151">
        <v>4</v>
      </c>
      <c r="AR151" t="s">
        <v>21501</v>
      </c>
      <c r="AS151" t="s">
        <v>21502</v>
      </c>
      <c r="AT151">
        <v>0.629</v>
      </c>
      <c r="AU151" t="s">
        <v>65</v>
      </c>
      <c r="AV151">
        <v>27</v>
      </c>
      <c r="AW151">
        <v>9</v>
      </c>
      <c r="AX151" t="s">
        <v>21503</v>
      </c>
      <c r="AY151">
        <v>0.14166000000000001</v>
      </c>
      <c r="AZ151">
        <v>-7.8200000000000006E-3</v>
      </c>
      <c r="BA151">
        <v>9.5899999999999996E-3</v>
      </c>
      <c r="BB151">
        <v>-6.4000000000000005E-4</v>
      </c>
      <c r="BC151">
        <v>6.7680000000000004E-2</v>
      </c>
      <c r="BD151">
        <v>1</v>
      </c>
      <c r="BE151" t="s">
        <v>69</v>
      </c>
      <c r="BF151">
        <v>-0.91900000000000004</v>
      </c>
      <c r="BG151">
        <v>-1.107</v>
      </c>
    </row>
    <row r="152" spans="1:59">
      <c r="A152">
        <v>0</v>
      </c>
      <c r="B152">
        <v>0</v>
      </c>
      <c r="C152">
        <v>0</v>
      </c>
      <c r="D152" t="s">
        <v>25022</v>
      </c>
      <c r="E152">
        <v>2051</v>
      </c>
      <c r="F152" t="s">
        <v>12771</v>
      </c>
      <c r="G152" t="s">
        <v>62</v>
      </c>
      <c r="H152">
        <v>2138871</v>
      </c>
      <c r="I152">
        <v>2139092</v>
      </c>
      <c r="J152" t="s">
        <v>116</v>
      </c>
      <c r="K152">
        <v>74</v>
      </c>
      <c r="L152" t="s">
        <v>289</v>
      </c>
      <c r="M152">
        <v>46</v>
      </c>
      <c r="N152" t="str">
        <f>HYPERLINK("Gene2051-zp_tree_all.dnd", "Gene2051-tree")</f>
        <v>Gene2051-tree</v>
      </c>
      <c r="O152">
        <v>5</v>
      </c>
      <c r="P152">
        <v>1</v>
      </c>
      <c r="Q152">
        <v>5</v>
      </c>
      <c r="R152">
        <v>1</v>
      </c>
      <c r="S152">
        <v>0.16667000000000001</v>
      </c>
      <c r="T152" t="s">
        <v>199</v>
      </c>
      <c r="U152" t="s">
        <v>175</v>
      </c>
      <c r="V152" t="s">
        <v>62</v>
      </c>
      <c r="W152" t="s">
        <v>62</v>
      </c>
      <c r="X152">
        <v>0</v>
      </c>
      <c r="Y152">
        <v>0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4</v>
      </c>
      <c r="AM152">
        <v>2</v>
      </c>
      <c r="AN152">
        <v>4</v>
      </c>
      <c r="AO152">
        <v>1</v>
      </c>
      <c r="AP152">
        <v>6</v>
      </c>
      <c r="AQ152">
        <v>1</v>
      </c>
      <c r="AR152" t="s">
        <v>12772</v>
      </c>
      <c r="AS152" t="s">
        <v>12773</v>
      </c>
      <c r="AT152">
        <v>0.19400000000000001</v>
      </c>
      <c r="AU152" t="s">
        <v>65</v>
      </c>
      <c r="AV152">
        <v>10</v>
      </c>
      <c r="AW152">
        <v>2</v>
      </c>
      <c r="AX152" t="s">
        <v>12774</v>
      </c>
      <c r="AY152">
        <v>9.0469999999999995E-2</v>
      </c>
      <c r="AZ152">
        <v>-1.4749999999999999E-2</v>
      </c>
      <c r="BA152">
        <v>4.3200000000000001E-3</v>
      </c>
      <c r="BB152">
        <v>-7.2999999999999996E-4</v>
      </c>
      <c r="BC152">
        <v>4.7809999999999998E-2</v>
      </c>
      <c r="BD152">
        <v>1</v>
      </c>
      <c r="BE152" t="s">
        <v>69</v>
      </c>
      <c r="BF152">
        <v>-1.6339999999999999</v>
      </c>
      <c r="BG152">
        <v>0.79800000000000004</v>
      </c>
    </row>
    <row r="153" spans="1:59">
      <c r="A153">
        <v>0</v>
      </c>
      <c r="B153">
        <v>0</v>
      </c>
      <c r="C153">
        <v>2</v>
      </c>
      <c r="D153" t="s">
        <v>25022</v>
      </c>
      <c r="E153">
        <v>22</v>
      </c>
      <c r="F153" t="s">
        <v>225</v>
      </c>
      <c r="G153" t="s">
        <v>57</v>
      </c>
      <c r="H153">
        <v>29481</v>
      </c>
      <c r="I153">
        <v>29702</v>
      </c>
      <c r="J153" t="s">
        <v>116</v>
      </c>
      <c r="K153">
        <v>74</v>
      </c>
      <c r="L153" t="s">
        <v>59</v>
      </c>
      <c r="M153">
        <v>49</v>
      </c>
      <c r="N153" t="str">
        <f>HYPERLINK("Gene22-zp_tree_all.dnd", "Gene22-tree")</f>
        <v>Gene22-tree</v>
      </c>
      <c r="O153">
        <v>37</v>
      </c>
      <c r="P153">
        <v>1</v>
      </c>
      <c r="Q153">
        <v>9</v>
      </c>
      <c r="R153">
        <v>1</v>
      </c>
      <c r="S153">
        <v>0.1</v>
      </c>
      <c r="T153" t="s">
        <v>226</v>
      </c>
      <c r="U153" t="s">
        <v>175</v>
      </c>
      <c r="V153" t="s">
        <v>62</v>
      </c>
      <c r="W153" t="s">
        <v>62</v>
      </c>
      <c r="X153">
        <v>1</v>
      </c>
      <c r="Y153">
        <v>2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6</v>
      </c>
      <c r="AM153">
        <v>5</v>
      </c>
      <c r="AN153">
        <v>9</v>
      </c>
      <c r="AO153">
        <v>1</v>
      </c>
      <c r="AP153">
        <v>11</v>
      </c>
      <c r="AQ153">
        <v>1</v>
      </c>
      <c r="AR153" t="s">
        <v>227</v>
      </c>
      <c r="AS153" t="s">
        <v>228</v>
      </c>
      <c r="AT153">
        <v>7.0999999999999994E-2</v>
      </c>
      <c r="AU153" t="s">
        <v>65</v>
      </c>
      <c r="AV153">
        <v>20</v>
      </c>
      <c r="AW153">
        <v>2</v>
      </c>
      <c r="AX153" t="s">
        <v>229</v>
      </c>
      <c r="AY153">
        <v>0.15762000000000001</v>
      </c>
      <c r="AZ153">
        <v>-1.251E-2</v>
      </c>
      <c r="BA153">
        <v>3.7499999999999999E-3</v>
      </c>
      <c r="BB153">
        <v>-6.0999999999999997E-4</v>
      </c>
      <c r="BC153">
        <v>2.3769999999999999E-2</v>
      </c>
      <c r="BD153">
        <v>1</v>
      </c>
      <c r="BE153" t="s">
        <v>69</v>
      </c>
      <c r="BF153">
        <v>-1.7729999999999999</v>
      </c>
      <c r="BG153">
        <v>-0.89100000000000001</v>
      </c>
    </row>
    <row r="154" spans="1:59">
      <c r="A154">
        <v>0</v>
      </c>
      <c r="B154">
        <v>0</v>
      </c>
      <c r="C154">
        <v>0</v>
      </c>
      <c r="D154" t="s">
        <v>25022</v>
      </c>
      <c r="E154">
        <v>3897</v>
      </c>
      <c r="F154" t="s">
        <v>22850</v>
      </c>
      <c r="G154" t="s">
        <v>62</v>
      </c>
      <c r="H154">
        <v>3861001</v>
      </c>
      <c r="I154">
        <v>3861222</v>
      </c>
      <c r="J154" t="s">
        <v>116</v>
      </c>
      <c r="K154">
        <v>74</v>
      </c>
      <c r="L154" t="s">
        <v>59</v>
      </c>
      <c r="M154">
        <v>49</v>
      </c>
      <c r="N154" t="str">
        <f>HYPERLINK("Gene3897-zp_tree_all.dnd", "Gene3897-tree")</f>
        <v>Gene3897-tree</v>
      </c>
      <c r="O154">
        <v>7</v>
      </c>
      <c r="P154">
        <v>0</v>
      </c>
      <c r="Q154">
        <v>7</v>
      </c>
      <c r="R154">
        <v>0</v>
      </c>
      <c r="S154">
        <v>0</v>
      </c>
      <c r="T154" t="s">
        <v>152</v>
      </c>
      <c r="U154" t="s">
        <v>62</v>
      </c>
      <c r="V154" t="s">
        <v>62</v>
      </c>
      <c r="W154" t="s">
        <v>62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</v>
      </c>
      <c r="AM154">
        <v>4</v>
      </c>
      <c r="AN154">
        <v>4</v>
      </c>
      <c r="AO154">
        <v>0</v>
      </c>
      <c r="AP154">
        <v>4</v>
      </c>
      <c r="AQ154">
        <v>0</v>
      </c>
      <c r="AR154" t="s">
        <v>193</v>
      </c>
      <c r="AS154" t="s">
        <v>193</v>
      </c>
      <c r="AT154">
        <v>0</v>
      </c>
      <c r="AU154" t="s">
        <v>65</v>
      </c>
      <c r="AV154">
        <v>8</v>
      </c>
      <c r="AW154">
        <v>0</v>
      </c>
      <c r="AX154" t="s">
        <v>22851</v>
      </c>
      <c r="AY154">
        <v>6.8220000000000003E-2</v>
      </c>
      <c r="AZ154">
        <v>-7.0200000000000002E-3</v>
      </c>
      <c r="BA154">
        <v>0</v>
      </c>
      <c r="BB154">
        <v>0</v>
      </c>
      <c r="BC154">
        <v>0</v>
      </c>
      <c r="BD154">
        <v>1</v>
      </c>
      <c r="BE154" t="s">
        <v>69</v>
      </c>
      <c r="BF154">
        <v>-1.7809999999999999</v>
      </c>
      <c r="BG154">
        <v>-1.5409999999999999</v>
      </c>
    </row>
    <row r="155" spans="1:59">
      <c r="A155">
        <v>0</v>
      </c>
      <c r="B155">
        <v>0</v>
      </c>
      <c r="C155">
        <v>0</v>
      </c>
      <c r="D155" t="s">
        <v>25022</v>
      </c>
      <c r="E155">
        <v>4094</v>
      </c>
      <c r="F155" t="s">
        <v>24105</v>
      </c>
      <c r="G155" t="s">
        <v>62</v>
      </c>
      <c r="H155">
        <v>4062332</v>
      </c>
      <c r="I155">
        <v>4062556</v>
      </c>
      <c r="J155" t="s">
        <v>2302</v>
      </c>
      <c r="K155">
        <v>75</v>
      </c>
      <c r="L155" t="s">
        <v>11352</v>
      </c>
      <c r="M155">
        <v>24</v>
      </c>
      <c r="N155" t="str">
        <f>HYPERLINK("Gene4094-zp_tree_all.dnd", "Gene4094-tree")</f>
        <v>Gene4094-tree</v>
      </c>
      <c r="O155">
        <v>0</v>
      </c>
      <c r="P155">
        <v>4</v>
      </c>
      <c r="Q155">
        <v>0</v>
      </c>
      <c r="R155">
        <v>4</v>
      </c>
      <c r="S155">
        <v>1</v>
      </c>
      <c r="T155" t="s">
        <v>62</v>
      </c>
      <c r="U155" t="s">
        <v>61</v>
      </c>
      <c r="V155" t="s">
        <v>62</v>
      </c>
      <c r="W155" t="s">
        <v>62</v>
      </c>
      <c r="X155">
        <v>0</v>
      </c>
      <c r="Y155">
        <v>0</v>
      </c>
      <c r="Z155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4</v>
      </c>
      <c r="AK155">
        <v>0</v>
      </c>
      <c r="AL155">
        <v>2</v>
      </c>
      <c r="AM155">
        <v>1</v>
      </c>
      <c r="AN155">
        <v>1</v>
      </c>
      <c r="AO155">
        <v>2</v>
      </c>
      <c r="AP155">
        <v>0</v>
      </c>
      <c r="AQ155">
        <v>2</v>
      </c>
      <c r="AR155" t="s">
        <v>24106</v>
      </c>
      <c r="AS155" t="s">
        <v>193</v>
      </c>
      <c r="AT155">
        <v>1.4139999999999999</v>
      </c>
      <c r="AU155" t="s">
        <v>65</v>
      </c>
      <c r="AV155">
        <v>1</v>
      </c>
      <c r="AW155">
        <v>4</v>
      </c>
      <c r="AX155" t="s">
        <v>24107</v>
      </c>
      <c r="AY155">
        <v>1.027E-2</v>
      </c>
      <c r="AZ155">
        <v>-3.8300000000000001E-3</v>
      </c>
      <c r="BA155">
        <v>1.355E-2</v>
      </c>
      <c r="BB155">
        <v>-2.64E-3</v>
      </c>
      <c r="BC155">
        <v>1.3184</v>
      </c>
      <c r="BD155">
        <v>0.123</v>
      </c>
      <c r="BE155" t="s">
        <v>635</v>
      </c>
      <c r="BF155">
        <v>-0.31</v>
      </c>
      <c r="BG155">
        <v>1.1659999999999999</v>
      </c>
    </row>
    <row r="156" spans="1:59">
      <c r="A156">
        <v>0</v>
      </c>
      <c r="B156">
        <v>2</v>
      </c>
      <c r="C156">
        <v>3</v>
      </c>
      <c r="D156" t="s">
        <v>25022</v>
      </c>
      <c r="E156">
        <v>1431</v>
      </c>
      <c r="F156" t="s">
        <v>8969</v>
      </c>
      <c r="G156" t="s">
        <v>57</v>
      </c>
      <c r="H156">
        <v>1445314</v>
      </c>
      <c r="I156">
        <v>1445538</v>
      </c>
      <c r="J156" t="s">
        <v>8970</v>
      </c>
      <c r="K156">
        <v>75</v>
      </c>
      <c r="L156" t="s">
        <v>8971</v>
      </c>
      <c r="M156">
        <v>38</v>
      </c>
      <c r="N156" t="str">
        <f>HYPERLINK("Gene1431-zp_tree_all.dnd", "Gene1431-tree")</f>
        <v>Gene1431-tree</v>
      </c>
      <c r="O156">
        <v>3</v>
      </c>
      <c r="P156">
        <v>27</v>
      </c>
      <c r="Q156">
        <v>3</v>
      </c>
      <c r="R156">
        <v>8</v>
      </c>
      <c r="S156">
        <v>0.72726999999999997</v>
      </c>
      <c r="T156" t="s">
        <v>324</v>
      </c>
      <c r="U156" t="s">
        <v>282</v>
      </c>
      <c r="V156">
        <v>1.895</v>
      </c>
      <c r="W156" t="s">
        <v>65</v>
      </c>
      <c r="X156">
        <v>2</v>
      </c>
      <c r="Y156">
        <v>5</v>
      </c>
      <c r="Z156">
        <v>11</v>
      </c>
      <c r="AA156">
        <v>0.3125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4</v>
      </c>
      <c r="AI156">
        <v>4</v>
      </c>
      <c r="AJ156">
        <v>9</v>
      </c>
      <c r="AK156">
        <v>0.30769000000000002</v>
      </c>
      <c r="AL156">
        <v>10</v>
      </c>
      <c r="AM156">
        <v>5</v>
      </c>
      <c r="AN156">
        <v>10</v>
      </c>
      <c r="AO156">
        <v>13</v>
      </c>
      <c r="AP156">
        <v>7</v>
      </c>
      <c r="AQ156">
        <v>3</v>
      </c>
      <c r="AR156" t="s">
        <v>8972</v>
      </c>
      <c r="AS156" t="s">
        <v>8973</v>
      </c>
      <c r="AT156">
        <v>0.68899999999999995</v>
      </c>
      <c r="AU156" t="s">
        <v>65</v>
      </c>
      <c r="AV156">
        <v>17</v>
      </c>
      <c r="AW156">
        <v>16</v>
      </c>
      <c r="AX156" t="s">
        <v>8974</v>
      </c>
      <c r="AY156">
        <v>8.4309999999999996E-2</v>
      </c>
      <c r="AZ156">
        <v>-7.1300000000000001E-3</v>
      </c>
      <c r="BA156">
        <v>2.1139999999999999E-2</v>
      </c>
      <c r="BB156">
        <v>-1.8E-3</v>
      </c>
      <c r="BC156">
        <v>0.25075999999999998</v>
      </c>
      <c r="BD156">
        <v>1</v>
      </c>
      <c r="BE156" t="s">
        <v>69</v>
      </c>
      <c r="BF156">
        <v>-1.482</v>
      </c>
      <c r="BG156">
        <v>-3.02</v>
      </c>
    </row>
    <row r="157" spans="1:59">
      <c r="A157">
        <v>0</v>
      </c>
      <c r="B157">
        <v>0</v>
      </c>
      <c r="C157">
        <v>0</v>
      </c>
      <c r="D157" t="s">
        <v>25022</v>
      </c>
      <c r="E157">
        <v>2450</v>
      </c>
      <c r="F157" t="s">
        <v>14268</v>
      </c>
      <c r="G157" t="s">
        <v>62</v>
      </c>
      <c r="H157">
        <v>2449492</v>
      </c>
      <c r="I157">
        <v>2449716</v>
      </c>
      <c r="J157" t="s">
        <v>116</v>
      </c>
      <c r="K157">
        <v>75</v>
      </c>
      <c r="L157" t="s">
        <v>59</v>
      </c>
      <c r="M157">
        <v>49</v>
      </c>
      <c r="N157" t="str">
        <f>HYPERLINK("Gene2450-zp_tree_all.dnd", "Gene2450-tree")</f>
        <v>Gene2450-tree</v>
      </c>
      <c r="O157">
        <v>2</v>
      </c>
      <c r="P157">
        <v>4</v>
      </c>
      <c r="Q157">
        <v>2</v>
      </c>
      <c r="R157">
        <v>4</v>
      </c>
      <c r="S157">
        <v>0.66666999999999998</v>
      </c>
      <c r="T157" t="s">
        <v>81</v>
      </c>
      <c r="U157" t="s">
        <v>61</v>
      </c>
      <c r="V157" t="s">
        <v>62</v>
      </c>
      <c r="W157" t="s">
        <v>62</v>
      </c>
      <c r="X157">
        <v>0</v>
      </c>
      <c r="Y157">
        <v>0</v>
      </c>
      <c r="Z157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4</v>
      </c>
      <c r="AK157">
        <v>0</v>
      </c>
      <c r="AL157">
        <v>4</v>
      </c>
      <c r="AM157">
        <v>2</v>
      </c>
      <c r="AN157">
        <v>2</v>
      </c>
      <c r="AO157">
        <v>2</v>
      </c>
      <c r="AP157">
        <v>5</v>
      </c>
      <c r="AQ157">
        <v>2</v>
      </c>
      <c r="AR157" t="s">
        <v>14269</v>
      </c>
      <c r="AS157" t="s">
        <v>14270</v>
      </c>
      <c r="AT157">
        <v>0.60899999999999999</v>
      </c>
      <c r="AU157" t="s">
        <v>65</v>
      </c>
      <c r="AV157">
        <v>7</v>
      </c>
      <c r="AW157">
        <v>4</v>
      </c>
      <c r="AX157" t="s">
        <v>14271</v>
      </c>
      <c r="AY157">
        <v>7.553E-2</v>
      </c>
      <c r="AZ157">
        <v>-1.026E-2</v>
      </c>
      <c r="BA157">
        <v>0.01</v>
      </c>
      <c r="BB157">
        <v>-1.2800000000000001E-3</v>
      </c>
      <c r="BC157">
        <v>0.13235</v>
      </c>
      <c r="BD157">
        <v>0.97899999999999998</v>
      </c>
      <c r="BE157" t="s">
        <v>69</v>
      </c>
      <c r="BF157">
        <v>-1.347</v>
      </c>
      <c r="BG157">
        <v>-0.27500000000000002</v>
      </c>
    </row>
    <row r="158" spans="1:59">
      <c r="A158">
        <v>0</v>
      </c>
      <c r="B158">
        <v>0</v>
      </c>
      <c r="C158">
        <v>2</v>
      </c>
      <c r="D158" t="s">
        <v>25022</v>
      </c>
      <c r="E158">
        <v>368</v>
      </c>
      <c r="F158" t="s">
        <v>2496</v>
      </c>
      <c r="G158" t="s">
        <v>57</v>
      </c>
      <c r="H158">
        <v>414595</v>
      </c>
      <c r="I158">
        <v>414819</v>
      </c>
      <c r="J158" t="s">
        <v>2497</v>
      </c>
      <c r="K158">
        <v>75</v>
      </c>
      <c r="L158" t="s">
        <v>2498</v>
      </c>
      <c r="M158">
        <v>44</v>
      </c>
      <c r="N158" t="str">
        <f>HYPERLINK("Gene368-zp_tree_all.dnd", "Gene368-tree")</f>
        <v>Gene368-tree</v>
      </c>
      <c r="O158">
        <v>6</v>
      </c>
      <c r="P158">
        <v>2</v>
      </c>
      <c r="Q158">
        <v>6</v>
      </c>
      <c r="R158">
        <v>2</v>
      </c>
      <c r="S158">
        <v>0.25</v>
      </c>
      <c r="T158" t="s">
        <v>90</v>
      </c>
      <c r="U158" t="s">
        <v>81</v>
      </c>
      <c r="V158" t="s">
        <v>62</v>
      </c>
      <c r="W158" t="s">
        <v>62</v>
      </c>
      <c r="X158">
        <v>1</v>
      </c>
      <c r="Y158">
        <v>2</v>
      </c>
      <c r="Z158">
        <v>1</v>
      </c>
      <c r="AA158">
        <v>0.66666999999999998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2</v>
      </c>
      <c r="AK158">
        <v>0</v>
      </c>
      <c r="AL158">
        <v>5</v>
      </c>
      <c r="AM158">
        <v>2</v>
      </c>
      <c r="AN158">
        <v>13</v>
      </c>
      <c r="AO158">
        <v>2</v>
      </c>
      <c r="AP158">
        <v>1</v>
      </c>
      <c r="AQ158">
        <v>1</v>
      </c>
      <c r="AR158" t="s">
        <v>2499</v>
      </c>
      <c r="AS158" t="s">
        <v>2500</v>
      </c>
      <c r="AT158">
        <v>0.60199999999999998</v>
      </c>
      <c r="AU158" t="s">
        <v>65</v>
      </c>
      <c r="AV158">
        <v>14</v>
      </c>
      <c r="AW158">
        <v>3</v>
      </c>
      <c r="AX158" t="s">
        <v>2501</v>
      </c>
      <c r="AY158">
        <v>8.7209999999999996E-2</v>
      </c>
      <c r="AZ158">
        <v>-1.728E-2</v>
      </c>
      <c r="BA158">
        <v>5.9199999999999999E-3</v>
      </c>
      <c r="BB158">
        <v>-8.4000000000000003E-4</v>
      </c>
      <c r="BC158">
        <v>6.7909999999999998E-2</v>
      </c>
      <c r="BD158">
        <v>1</v>
      </c>
      <c r="BE158" t="s">
        <v>69</v>
      </c>
      <c r="BF158">
        <v>-1.7210000000000001</v>
      </c>
      <c r="BG158">
        <v>-3.3149999999999999</v>
      </c>
    </row>
    <row r="159" spans="1:59">
      <c r="A159">
        <v>0</v>
      </c>
      <c r="B159">
        <v>0</v>
      </c>
      <c r="C159">
        <v>0</v>
      </c>
      <c r="D159" t="s">
        <v>25022</v>
      </c>
      <c r="E159">
        <v>2314</v>
      </c>
      <c r="F159" t="s">
        <v>13414</v>
      </c>
      <c r="G159" t="s">
        <v>62</v>
      </c>
      <c r="H159">
        <v>2332787</v>
      </c>
      <c r="I159">
        <v>2333011</v>
      </c>
      <c r="J159" t="s">
        <v>13415</v>
      </c>
      <c r="K159">
        <v>75</v>
      </c>
      <c r="L159" t="s">
        <v>59</v>
      </c>
      <c r="M159">
        <v>49</v>
      </c>
      <c r="N159" t="str">
        <f>HYPERLINK("Gene2314-zp_tree_all.dnd", "Gene2314-tree")</f>
        <v>Gene2314-tree</v>
      </c>
      <c r="O159">
        <v>37</v>
      </c>
      <c r="P159">
        <v>3</v>
      </c>
      <c r="Q159">
        <v>1</v>
      </c>
      <c r="R159">
        <v>3</v>
      </c>
      <c r="S159">
        <v>0.75</v>
      </c>
      <c r="T159" t="s">
        <v>175</v>
      </c>
      <c r="U159" t="s">
        <v>324</v>
      </c>
      <c r="V159" t="s">
        <v>62</v>
      </c>
      <c r="W159" t="s">
        <v>62</v>
      </c>
      <c r="X159">
        <v>0</v>
      </c>
      <c r="Y159">
        <v>0</v>
      </c>
      <c r="Z159">
        <v>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3</v>
      </c>
      <c r="AK159">
        <v>0</v>
      </c>
      <c r="AL159">
        <v>3</v>
      </c>
      <c r="AM159">
        <v>1</v>
      </c>
      <c r="AN159">
        <v>9</v>
      </c>
      <c r="AO159">
        <v>3</v>
      </c>
      <c r="AP159">
        <v>1</v>
      </c>
      <c r="AQ159">
        <v>0</v>
      </c>
      <c r="AR159" t="s">
        <v>13416</v>
      </c>
      <c r="AS159" t="s">
        <v>193</v>
      </c>
      <c r="AT159">
        <v>1.1850000000000001</v>
      </c>
      <c r="AU159" t="s">
        <v>65</v>
      </c>
      <c r="AV159">
        <v>10</v>
      </c>
      <c r="AW159">
        <v>3</v>
      </c>
      <c r="AX159" t="s">
        <v>13417</v>
      </c>
      <c r="AY159">
        <v>0.13778000000000001</v>
      </c>
      <c r="AZ159">
        <v>-4.3740000000000001E-2</v>
      </c>
      <c r="BA159">
        <v>8.4399999999999996E-3</v>
      </c>
      <c r="BB159">
        <v>-1.15E-3</v>
      </c>
      <c r="BC159">
        <v>6.1289999999999997E-2</v>
      </c>
      <c r="BD159">
        <v>1</v>
      </c>
      <c r="BE159" t="s">
        <v>69</v>
      </c>
      <c r="BF159">
        <v>-1.3029999999999999</v>
      </c>
      <c r="BG159">
        <v>1.5109999999999999</v>
      </c>
    </row>
    <row r="160" spans="1:59">
      <c r="A160">
        <v>0</v>
      </c>
      <c r="B160">
        <v>0</v>
      </c>
      <c r="C160">
        <v>0</v>
      </c>
      <c r="D160" t="s">
        <v>25022</v>
      </c>
      <c r="E160">
        <v>2371</v>
      </c>
      <c r="F160" t="s">
        <v>13789</v>
      </c>
      <c r="G160" t="s">
        <v>62</v>
      </c>
      <c r="H160">
        <v>2384537</v>
      </c>
      <c r="I160">
        <v>2384761</v>
      </c>
      <c r="J160" t="s">
        <v>13790</v>
      </c>
      <c r="K160">
        <v>75</v>
      </c>
      <c r="L160" t="s">
        <v>59</v>
      </c>
      <c r="M160">
        <v>49</v>
      </c>
      <c r="N160" t="str">
        <f>HYPERLINK("Gene2371-zp_tree_all.dnd", "Gene2371-tree")</f>
        <v>Gene2371-tree</v>
      </c>
      <c r="O160">
        <v>45</v>
      </c>
      <c r="P160">
        <v>1</v>
      </c>
      <c r="Q160">
        <v>9</v>
      </c>
      <c r="R160">
        <v>1</v>
      </c>
      <c r="S160">
        <v>0.1</v>
      </c>
      <c r="T160" t="s">
        <v>13791</v>
      </c>
      <c r="U160" t="s">
        <v>175</v>
      </c>
      <c r="V160" t="s">
        <v>62</v>
      </c>
      <c r="W160" t="s">
        <v>62</v>
      </c>
      <c r="X160">
        <v>0</v>
      </c>
      <c r="Y160">
        <v>0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7</v>
      </c>
      <c r="AM160">
        <v>3</v>
      </c>
      <c r="AN160">
        <v>10</v>
      </c>
      <c r="AO160">
        <v>1</v>
      </c>
      <c r="AP160">
        <v>6</v>
      </c>
      <c r="AQ160">
        <v>1</v>
      </c>
      <c r="AR160" t="s">
        <v>13792</v>
      </c>
      <c r="AS160" t="s">
        <v>13793</v>
      </c>
      <c r="AT160">
        <v>0.19</v>
      </c>
      <c r="AU160" t="s">
        <v>65</v>
      </c>
      <c r="AV160">
        <v>16</v>
      </c>
      <c r="AW160">
        <v>2</v>
      </c>
      <c r="AX160" t="s">
        <v>13794</v>
      </c>
      <c r="AY160">
        <v>0.10958</v>
      </c>
      <c r="AZ160">
        <v>-8.26E-3</v>
      </c>
      <c r="BA160">
        <v>4.2900000000000004E-3</v>
      </c>
      <c r="BB160">
        <v>-4.4999999999999999E-4</v>
      </c>
      <c r="BC160">
        <v>3.918E-2</v>
      </c>
      <c r="BD160">
        <v>1</v>
      </c>
      <c r="BE160" t="s">
        <v>69</v>
      </c>
      <c r="BF160">
        <v>-1.71</v>
      </c>
      <c r="BG160">
        <v>-1.7110000000000001</v>
      </c>
    </row>
    <row r="161" spans="1:59">
      <c r="A161">
        <v>0</v>
      </c>
      <c r="B161">
        <v>2</v>
      </c>
      <c r="C161">
        <v>0</v>
      </c>
      <c r="D161" t="s">
        <v>25022</v>
      </c>
      <c r="E161">
        <v>4154</v>
      </c>
      <c r="F161" t="s">
        <v>24457</v>
      </c>
      <c r="G161" t="s">
        <v>62</v>
      </c>
      <c r="H161">
        <v>4122622</v>
      </c>
      <c r="I161">
        <v>4122849</v>
      </c>
      <c r="J161" t="s">
        <v>24458</v>
      </c>
      <c r="K161">
        <v>76</v>
      </c>
      <c r="L161" t="s">
        <v>24459</v>
      </c>
      <c r="M161">
        <v>30</v>
      </c>
      <c r="N161" t="str">
        <f>HYPERLINK("Gene4154-zp_tree_all.dnd", "Gene4154-tree")</f>
        <v>Gene4154-tree</v>
      </c>
      <c r="O161">
        <v>1</v>
      </c>
      <c r="P161">
        <v>6</v>
      </c>
      <c r="Q161">
        <v>1</v>
      </c>
      <c r="R161">
        <v>6</v>
      </c>
      <c r="S161">
        <v>0.85714000000000001</v>
      </c>
      <c r="T161" t="s">
        <v>175</v>
      </c>
      <c r="U161" t="s">
        <v>90</v>
      </c>
      <c r="V161" t="s">
        <v>62</v>
      </c>
      <c r="W161" t="s">
        <v>62</v>
      </c>
      <c r="X161">
        <v>1</v>
      </c>
      <c r="Y161">
        <v>2</v>
      </c>
      <c r="Z161">
        <v>7</v>
      </c>
      <c r="AA161">
        <v>0.22222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6</v>
      </c>
      <c r="AK161">
        <v>0</v>
      </c>
      <c r="AL161">
        <v>4</v>
      </c>
      <c r="AM161">
        <v>3</v>
      </c>
      <c r="AN161">
        <v>3</v>
      </c>
      <c r="AO161">
        <v>5</v>
      </c>
      <c r="AP161">
        <v>3</v>
      </c>
      <c r="AQ161">
        <v>4</v>
      </c>
      <c r="AR161" t="s">
        <v>24460</v>
      </c>
      <c r="AS161" t="s">
        <v>24461</v>
      </c>
      <c r="AT161">
        <v>0.19900000000000001</v>
      </c>
      <c r="AU161" t="s">
        <v>65</v>
      </c>
      <c r="AV161">
        <v>6</v>
      </c>
      <c r="AW161">
        <v>9</v>
      </c>
      <c r="AX161" t="s">
        <v>24462</v>
      </c>
      <c r="AY161">
        <v>4.2049999999999997E-2</v>
      </c>
      <c r="AZ161">
        <v>-5.94E-3</v>
      </c>
      <c r="BA161">
        <v>1.9179999999999999E-2</v>
      </c>
      <c r="BB161">
        <v>-2.0899999999999998E-3</v>
      </c>
      <c r="BC161">
        <v>0.45599000000000001</v>
      </c>
      <c r="BD161">
        <v>0.89800000000000002</v>
      </c>
      <c r="BE161" t="s">
        <v>635</v>
      </c>
      <c r="BF161">
        <v>-0.54900000000000004</v>
      </c>
      <c r="BG161">
        <v>-1.589</v>
      </c>
    </row>
    <row r="162" spans="1:59">
      <c r="A162">
        <v>0</v>
      </c>
      <c r="B162">
        <v>0</v>
      </c>
      <c r="C162">
        <v>2</v>
      </c>
      <c r="D162" t="s">
        <v>25022</v>
      </c>
      <c r="E162">
        <v>54</v>
      </c>
      <c r="F162" t="s">
        <v>449</v>
      </c>
      <c r="G162" t="s">
        <v>57</v>
      </c>
      <c r="H162">
        <v>60130</v>
      </c>
      <c r="I162">
        <v>60357</v>
      </c>
      <c r="J162" t="s">
        <v>450</v>
      </c>
      <c r="K162">
        <v>76</v>
      </c>
      <c r="L162" t="s">
        <v>59</v>
      </c>
      <c r="M162">
        <v>49</v>
      </c>
      <c r="N162" t="str">
        <f>HYPERLINK("Gene54-zp_tree_all.dnd", "Gene54-tree")</f>
        <v>Gene54-tree</v>
      </c>
      <c r="O162">
        <v>5</v>
      </c>
      <c r="P162">
        <v>3</v>
      </c>
      <c r="Q162">
        <v>5</v>
      </c>
      <c r="R162">
        <v>3</v>
      </c>
      <c r="S162">
        <v>0.375</v>
      </c>
      <c r="T162" t="s">
        <v>199</v>
      </c>
      <c r="U162" t="s">
        <v>324</v>
      </c>
      <c r="V162" t="s">
        <v>62</v>
      </c>
      <c r="W162" t="s">
        <v>62</v>
      </c>
      <c r="X162">
        <v>1</v>
      </c>
      <c r="Y162">
        <v>2</v>
      </c>
      <c r="Z162">
        <v>4</v>
      </c>
      <c r="AA162">
        <v>0.33333000000000002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3</v>
      </c>
      <c r="AK162">
        <v>0</v>
      </c>
      <c r="AL162">
        <v>6</v>
      </c>
      <c r="AM162">
        <v>4</v>
      </c>
      <c r="AN162">
        <v>6</v>
      </c>
      <c r="AO162">
        <v>3</v>
      </c>
      <c r="AP162">
        <v>6</v>
      </c>
      <c r="AQ162">
        <v>3</v>
      </c>
      <c r="AR162" t="s">
        <v>451</v>
      </c>
      <c r="AS162" t="s">
        <v>452</v>
      </c>
      <c r="AT162">
        <v>5.0000000000000001E-3</v>
      </c>
      <c r="AU162" t="s">
        <v>65</v>
      </c>
      <c r="AV162">
        <v>12</v>
      </c>
      <c r="AW162">
        <v>6</v>
      </c>
      <c r="AX162" t="s">
        <v>453</v>
      </c>
      <c r="AY162">
        <v>0.10209</v>
      </c>
      <c r="AZ162">
        <v>-1.155E-2</v>
      </c>
      <c r="BA162">
        <v>1.136E-2</v>
      </c>
      <c r="BB162">
        <v>-1.0399999999999999E-3</v>
      </c>
      <c r="BC162">
        <v>0.11128</v>
      </c>
      <c r="BD162">
        <v>1</v>
      </c>
      <c r="BE162" t="s">
        <v>69</v>
      </c>
      <c r="BF162">
        <v>-1.3149999999999999</v>
      </c>
      <c r="BG162">
        <v>-0.58299999999999996</v>
      </c>
    </row>
    <row r="163" spans="1:59">
      <c r="A163">
        <v>0</v>
      </c>
      <c r="B163">
        <v>0</v>
      </c>
      <c r="C163">
        <v>0</v>
      </c>
      <c r="D163" t="s">
        <v>25022</v>
      </c>
      <c r="E163">
        <v>1799</v>
      </c>
      <c r="F163" t="s">
        <v>11267</v>
      </c>
      <c r="G163" t="s">
        <v>57</v>
      </c>
      <c r="H163">
        <v>1868144</v>
      </c>
      <c r="I163">
        <v>1868371</v>
      </c>
      <c r="J163" t="s">
        <v>288</v>
      </c>
      <c r="K163">
        <v>76</v>
      </c>
      <c r="L163" t="s">
        <v>11268</v>
      </c>
      <c r="M163">
        <v>48</v>
      </c>
      <c r="N163" t="str">
        <f>HYPERLINK("Gene1799-zp_tree_all.dnd", "Gene1799-tree")</f>
        <v>Gene1799-tree</v>
      </c>
      <c r="O163">
        <v>6</v>
      </c>
      <c r="P163">
        <v>0</v>
      </c>
      <c r="Q163">
        <v>6</v>
      </c>
      <c r="R163">
        <v>0</v>
      </c>
      <c r="S163">
        <v>0</v>
      </c>
      <c r="T163" t="s">
        <v>90</v>
      </c>
      <c r="U163" t="s">
        <v>62</v>
      </c>
      <c r="V163" t="s">
        <v>62</v>
      </c>
      <c r="W163" t="s">
        <v>62</v>
      </c>
      <c r="X163">
        <v>0</v>
      </c>
      <c r="Y163">
        <v>0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</v>
      </c>
      <c r="AM163">
        <v>2</v>
      </c>
      <c r="AN163">
        <v>4</v>
      </c>
      <c r="AO163">
        <v>0</v>
      </c>
      <c r="AP163">
        <v>2</v>
      </c>
      <c r="AQ163">
        <v>2</v>
      </c>
      <c r="AR163" t="s">
        <v>193</v>
      </c>
      <c r="AS163" t="s">
        <v>11269</v>
      </c>
      <c r="AT163">
        <v>1.4139999999999999</v>
      </c>
      <c r="AU163" t="s">
        <v>65</v>
      </c>
      <c r="AV163">
        <v>6</v>
      </c>
      <c r="AW163">
        <v>2</v>
      </c>
      <c r="AX163" t="s">
        <v>11270</v>
      </c>
      <c r="AY163">
        <v>5.7320000000000003E-2</v>
      </c>
      <c r="AZ163">
        <v>-8.3000000000000001E-3</v>
      </c>
      <c r="BA163">
        <v>5.9300000000000004E-3</v>
      </c>
      <c r="BB163">
        <v>-8.8999999999999995E-4</v>
      </c>
      <c r="BC163">
        <v>0.10339</v>
      </c>
      <c r="BD163">
        <v>1</v>
      </c>
      <c r="BE163" t="s">
        <v>69</v>
      </c>
      <c r="BF163">
        <v>-1.3120000000000001</v>
      </c>
      <c r="BG163">
        <v>-1.2609999999999999</v>
      </c>
    </row>
    <row r="164" spans="1:59">
      <c r="A164">
        <v>0</v>
      </c>
      <c r="B164">
        <v>0</v>
      </c>
      <c r="C164">
        <v>0</v>
      </c>
      <c r="D164" t="s">
        <v>25022</v>
      </c>
      <c r="E164">
        <v>3813</v>
      </c>
      <c r="F164" t="s">
        <v>22344</v>
      </c>
      <c r="G164" t="s">
        <v>62</v>
      </c>
      <c r="H164">
        <v>3780165</v>
      </c>
      <c r="I164">
        <v>3780392</v>
      </c>
      <c r="J164" t="s">
        <v>116</v>
      </c>
      <c r="K164">
        <v>76</v>
      </c>
      <c r="L164" t="s">
        <v>289</v>
      </c>
      <c r="M164">
        <v>46</v>
      </c>
      <c r="N164" t="str">
        <f>HYPERLINK("Gene3813-zp_tree_all.dnd", "Gene3813-tree")</f>
        <v>Gene3813-tree</v>
      </c>
      <c r="O164">
        <v>7</v>
      </c>
      <c r="P164">
        <v>4</v>
      </c>
      <c r="Q164">
        <v>7</v>
      </c>
      <c r="R164">
        <v>4</v>
      </c>
      <c r="S164">
        <v>0.36364000000000002</v>
      </c>
      <c r="T164" t="s">
        <v>152</v>
      </c>
      <c r="U164" t="s">
        <v>61</v>
      </c>
      <c r="V164" t="s">
        <v>62</v>
      </c>
      <c r="W164" t="s">
        <v>62</v>
      </c>
      <c r="X164">
        <v>0</v>
      </c>
      <c r="Y164">
        <v>0</v>
      </c>
      <c r="Z164">
        <v>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</v>
      </c>
      <c r="AK164">
        <v>0</v>
      </c>
      <c r="AL164">
        <v>7</v>
      </c>
      <c r="AM164">
        <v>4</v>
      </c>
      <c r="AN164">
        <v>5</v>
      </c>
      <c r="AO164">
        <v>4</v>
      </c>
      <c r="AP164">
        <v>9</v>
      </c>
      <c r="AQ164">
        <v>1</v>
      </c>
      <c r="AR164" t="s">
        <v>22345</v>
      </c>
      <c r="AS164" t="s">
        <v>22346</v>
      </c>
      <c r="AT164">
        <v>1.069</v>
      </c>
      <c r="AU164" t="s">
        <v>65</v>
      </c>
      <c r="AV164">
        <v>14</v>
      </c>
      <c r="AW164">
        <v>5</v>
      </c>
      <c r="AX164" t="s">
        <v>22347</v>
      </c>
      <c r="AY164">
        <v>8.4290000000000004E-2</v>
      </c>
      <c r="AZ164">
        <v>-8.7299999999999999E-3</v>
      </c>
      <c r="BA164">
        <v>6.1500000000000001E-3</v>
      </c>
      <c r="BB164">
        <v>-8.9999999999999998E-4</v>
      </c>
      <c r="BC164">
        <v>7.2989999999999999E-2</v>
      </c>
      <c r="BD164">
        <v>1</v>
      </c>
      <c r="BE164" t="s">
        <v>69</v>
      </c>
      <c r="BF164">
        <v>-0.90500000000000003</v>
      </c>
      <c r="BG164">
        <v>-0.42799999999999999</v>
      </c>
    </row>
    <row r="165" spans="1:59">
      <c r="A165">
        <v>0</v>
      </c>
      <c r="B165">
        <v>0</v>
      </c>
      <c r="C165">
        <v>2</v>
      </c>
      <c r="D165" t="s">
        <v>25022</v>
      </c>
      <c r="E165">
        <v>2836</v>
      </c>
      <c r="F165" t="s">
        <v>16286</v>
      </c>
      <c r="G165" t="s">
        <v>62</v>
      </c>
      <c r="H165">
        <v>2784691</v>
      </c>
      <c r="I165">
        <v>2784918</v>
      </c>
      <c r="J165" t="s">
        <v>116</v>
      </c>
      <c r="K165">
        <v>76</v>
      </c>
      <c r="L165" t="s">
        <v>289</v>
      </c>
      <c r="M165">
        <v>46</v>
      </c>
      <c r="N165" t="str">
        <f>HYPERLINK("Gene2836-zp_tree_all.dnd", "Gene2836-tree")</f>
        <v>Gene2836-tree</v>
      </c>
      <c r="O165">
        <v>12</v>
      </c>
      <c r="P165">
        <v>3</v>
      </c>
      <c r="Q165">
        <v>12</v>
      </c>
      <c r="R165">
        <v>3</v>
      </c>
      <c r="S165">
        <v>0.2</v>
      </c>
      <c r="T165" t="s">
        <v>109</v>
      </c>
      <c r="U165" t="s">
        <v>324</v>
      </c>
      <c r="V165" t="s">
        <v>62</v>
      </c>
      <c r="W165" t="s">
        <v>62</v>
      </c>
      <c r="X165">
        <v>1</v>
      </c>
      <c r="Y165">
        <v>2</v>
      </c>
      <c r="Z165">
        <v>2</v>
      </c>
      <c r="AA165">
        <v>0.5</v>
      </c>
      <c r="AB165">
        <v>0</v>
      </c>
      <c r="AC165">
        <v>0</v>
      </c>
      <c r="AD165">
        <v>0</v>
      </c>
      <c r="AE165">
        <v>2</v>
      </c>
      <c r="AF165">
        <v>0</v>
      </c>
      <c r="AG165">
        <v>0</v>
      </c>
      <c r="AH165">
        <v>0</v>
      </c>
      <c r="AI165">
        <v>0</v>
      </c>
      <c r="AJ165">
        <v>3</v>
      </c>
      <c r="AK165">
        <v>0</v>
      </c>
      <c r="AL165">
        <v>10</v>
      </c>
      <c r="AM165">
        <v>5</v>
      </c>
      <c r="AN165">
        <v>9</v>
      </c>
      <c r="AO165">
        <v>3</v>
      </c>
      <c r="AP165">
        <v>10</v>
      </c>
      <c r="AQ165">
        <v>2</v>
      </c>
      <c r="AR165" t="s">
        <v>16287</v>
      </c>
      <c r="AS165" t="s">
        <v>16288</v>
      </c>
      <c r="AT165">
        <v>0.41799999999999998</v>
      </c>
      <c r="AU165" t="s">
        <v>65</v>
      </c>
      <c r="AV165">
        <v>19</v>
      </c>
      <c r="AW165">
        <v>5</v>
      </c>
      <c r="AX165" t="s">
        <v>16289</v>
      </c>
      <c r="AY165">
        <v>8.8200000000000001E-2</v>
      </c>
      <c r="AZ165">
        <v>-6.0499999999999998E-3</v>
      </c>
      <c r="BA165">
        <v>5.0400000000000002E-3</v>
      </c>
      <c r="BB165">
        <v>-3.6999999999999999E-4</v>
      </c>
      <c r="BC165">
        <v>5.7169999999999999E-2</v>
      </c>
      <c r="BD165">
        <v>1</v>
      </c>
      <c r="BE165" t="s">
        <v>69</v>
      </c>
      <c r="BF165">
        <v>-1.3660000000000001</v>
      </c>
      <c r="BG165">
        <v>-0.04</v>
      </c>
    </row>
    <row r="166" spans="1:59">
      <c r="A166">
        <v>0</v>
      </c>
      <c r="B166">
        <v>0</v>
      </c>
      <c r="C166">
        <v>0</v>
      </c>
      <c r="D166" t="s">
        <v>25022</v>
      </c>
      <c r="E166">
        <v>3645</v>
      </c>
      <c r="F166" t="s">
        <v>21393</v>
      </c>
      <c r="G166" t="s">
        <v>62</v>
      </c>
      <c r="H166">
        <v>3615119</v>
      </c>
      <c r="I166">
        <v>3615346</v>
      </c>
      <c r="J166" t="s">
        <v>3674</v>
      </c>
      <c r="K166">
        <v>76</v>
      </c>
      <c r="L166" t="s">
        <v>59</v>
      </c>
      <c r="M166">
        <v>49</v>
      </c>
      <c r="N166" t="str">
        <f>HYPERLINK("Gene3645-zp_tree_all.dnd", "Gene3645-tree")</f>
        <v>Gene3645-tree</v>
      </c>
      <c r="O166">
        <v>8</v>
      </c>
      <c r="P166">
        <v>2</v>
      </c>
      <c r="Q166">
        <v>8</v>
      </c>
      <c r="R166">
        <v>2</v>
      </c>
      <c r="S166">
        <v>0.2</v>
      </c>
      <c r="T166" t="s">
        <v>136</v>
      </c>
      <c r="U166" t="s">
        <v>81</v>
      </c>
      <c r="V166" t="s">
        <v>62</v>
      </c>
      <c r="W166" t="s">
        <v>62</v>
      </c>
      <c r="X166">
        <v>0</v>
      </c>
      <c r="Y166">
        <v>0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</v>
      </c>
      <c r="AK166">
        <v>0</v>
      </c>
      <c r="AL166">
        <v>7</v>
      </c>
      <c r="AM166">
        <v>4</v>
      </c>
      <c r="AN166">
        <v>8</v>
      </c>
      <c r="AO166">
        <v>2</v>
      </c>
      <c r="AP166">
        <v>8</v>
      </c>
      <c r="AQ166">
        <v>0</v>
      </c>
      <c r="AR166" t="s">
        <v>21394</v>
      </c>
      <c r="AS166" t="s">
        <v>193</v>
      </c>
      <c r="AT166">
        <v>0.93899999999999995</v>
      </c>
      <c r="AU166" t="s">
        <v>65</v>
      </c>
      <c r="AV166">
        <v>16</v>
      </c>
      <c r="AW166">
        <v>2</v>
      </c>
      <c r="AX166" t="s">
        <v>21395</v>
      </c>
      <c r="AY166">
        <v>8.6279999999999996E-2</v>
      </c>
      <c r="AZ166">
        <v>-7.0899999999999999E-3</v>
      </c>
      <c r="BA166">
        <v>2.8800000000000002E-3</v>
      </c>
      <c r="BB166">
        <v>-5.1000000000000004E-4</v>
      </c>
      <c r="BC166">
        <v>3.3419999999999998E-2</v>
      </c>
      <c r="BD166">
        <v>1</v>
      </c>
      <c r="BE166" t="s">
        <v>69</v>
      </c>
      <c r="BF166">
        <v>-1.4379999999999999</v>
      </c>
      <c r="BG166">
        <v>-1.173</v>
      </c>
    </row>
    <row r="167" spans="1:59">
      <c r="A167">
        <v>0</v>
      </c>
      <c r="B167">
        <v>0</v>
      </c>
      <c r="C167">
        <v>0</v>
      </c>
      <c r="D167" t="s">
        <v>25022</v>
      </c>
      <c r="E167">
        <v>3490</v>
      </c>
      <c r="F167" t="s">
        <v>20449</v>
      </c>
      <c r="G167" t="s">
        <v>62</v>
      </c>
      <c r="H167">
        <v>3455096</v>
      </c>
      <c r="I167">
        <v>3455323</v>
      </c>
      <c r="J167" t="s">
        <v>780</v>
      </c>
      <c r="K167">
        <v>76</v>
      </c>
      <c r="L167" t="s">
        <v>59</v>
      </c>
      <c r="M167">
        <v>49</v>
      </c>
      <c r="N167" t="str">
        <f>HYPERLINK("Gene3490-zp_tree_all.dnd", "Gene3490-tree")</f>
        <v>Gene3490-tree</v>
      </c>
      <c r="O167">
        <v>11</v>
      </c>
      <c r="P167">
        <v>0</v>
      </c>
      <c r="Q167">
        <v>11</v>
      </c>
      <c r="R167">
        <v>0</v>
      </c>
      <c r="S167">
        <v>0</v>
      </c>
      <c r="T167" t="s">
        <v>73</v>
      </c>
      <c r="U167" t="s">
        <v>62</v>
      </c>
      <c r="V167" t="s">
        <v>62</v>
      </c>
      <c r="W167" t="s">
        <v>62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7</v>
      </c>
      <c r="AM167">
        <v>3</v>
      </c>
      <c r="AN167">
        <v>9</v>
      </c>
      <c r="AO167">
        <v>0</v>
      </c>
      <c r="AP167">
        <v>5</v>
      </c>
      <c r="AQ167">
        <v>0</v>
      </c>
      <c r="AR167" t="s">
        <v>193</v>
      </c>
      <c r="AS167" t="s">
        <v>193</v>
      </c>
      <c r="AT167">
        <v>0</v>
      </c>
      <c r="AU167" t="s">
        <v>65</v>
      </c>
      <c r="AV167">
        <v>14</v>
      </c>
      <c r="AW167">
        <v>0</v>
      </c>
      <c r="AX167" t="s">
        <v>20450</v>
      </c>
      <c r="AY167">
        <v>7.2050000000000003E-2</v>
      </c>
      <c r="AZ167">
        <v>-5.1599999999999997E-3</v>
      </c>
      <c r="BA167">
        <v>0</v>
      </c>
      <c r="BB167">
        <v>0</v>
      </c>
      <c r="BC167">
        <v>0</v>
      </c>
      <c r="BD167">
        <v>1</v>
      </c>
      <c r="BE167" t="s">
        <v>69</v>
      </c>
      <c r="BF167">
        <v>-1.0289999999999999</v>
      </c>
      <c r="BG167">
        <v>-0.67400000000000004</v>
      </c>
    </row>
    <row r="168" spans="1:59">
      <c r="A168">
        <v>0</v>
      </c>
      <c r="B168">
        <v>0</v>
      </c>
      <c r="C168">
        <v>0</v>
      </c>
      <c r="D168" t="s">
        <v>25022</v>
      </c>
      <c r="E168">
        <v>1488</v>
      </c>
      <c r="F168" t="s">
        <v>9303</v>
      </c>
      <c r="G168" t="s">
        <v>57</v>
      </c>
      <c r="H168">
        <v>1499432</v>
      </c>
      <c r="I168">
        <v>1499662</v>
      </c>
      <c r="J168" t="s">
        <v>9304</v>
      </c>
      <c r="K168">
        <v>77</v>
      </c>
      <c r="L168" t="s">
        <v>108</v>
      </c>
      <c r="M168">
        <v>44</v>
      </c>
      <c r="N168" t="str">
        <f>HYPERLINK("Gene1488-zp_tree_all.dnd", "Gene1488-tree")</f>
        <v>Gene1488-tree</v>
      </c>
      <c r="O168">
        <v>25</v>
      </c>
      <c r="P168">
        <v>0</v>
      </c>
      <c r="Q168">
        <v>5</v>
      </c>
      <c r="R168">
        <v>0</v>
      </c>
      <c r="S168">
        <v>0</v>
      </c>
      <c r="T168" t="s">
        <v>4839</v>
      </c>
      <c r="U168" t="s">
        <v>62</v>
      </c>
      <c r="V168" t="s">
        <v>62</v>
      </c>
      <c r="W168" t="s">
        <v>62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</v>
      </c>
      <c r="AM168">
        <v>2</v>
      </c>
      <c r="AN168">
        <v>3</v>
      </c>
      <c r="AO168">
        <v>0</v>
      </c>
      <c r="AP168">
        <v>3</v>
      </c>
      <c r="AQ168">
        <v>1</v>
      </c>
      <c r="AR168" t="s">
        <v>193</v>
      </c>
      <c r="AS168" t="s">
        <v>9305</v>
      </c>
      <c r="AT168">
        <v>1.268</v>
      </c>
      <c r="AU168" t="s">
        <v>65</v>
      </c>
      <c r="AV168">
        <v>6</v>
      </c>
      <c r="AW168">
        <v>1</v>
      </c>
      <c r="AX168" t="s">
        <v>9306</v>
      </c>
      <c r="AY168">
        <v>4.9779999999999998E-2</v>
      </c>
      <c r="AZ168">
        <v>-6.3299999999999997E-3</v>
      </c>
      <c r="BA168">
        <v>3.4099999999999998E-3</v>
      </c>
      <c r="BB168">
        <v>-8.0999999999999996E-4</v>
      </c>
      <c r="BC168">
        <v>6.8459999999999993E-2</v>
      </c>
      <c r="BD168">
        <v>0.98799999999999999</v>
      </c>
      <c r="BE168" t="s">
        <v>69</v>
      </c>
      <c r="BF168">
        <v>0.87</v>
      </c>
      <c r="BG168">
        <v>1.1850000000000001</v>
      </c>
    </row>
    <row r="169" spans="1:59">
      <c r="A169">
        <v>0</v>
      </c>
      <c r="B169">
        <v>0</v>
      </c>
      <c r="C169">
        <v>0</v>
      </c>
      <c r="D169" t="s">
        <v>25022</v>
      </c>
      <c r="E169">
        <v>3492</v>
      </c>
      <c r="F169" t="s">
        <v>20458</v>
      </c>
      <c r="G169" t="s">
        <v>62</v>
      </c>
      <c r="H169">
        <v>3456285</v>
      </c>
      <c r="I169">
        <v>3456515</v>
      </c>
      <c r="J169" t="s">
        <v>20459</v>
      </c>
      <c r="K169">
        <v>77</v>
      </c>
      <c r="L169" t="s">
        <v>59</v>
      </c>
      <c r="M169">
        <v>49</v>
      </c>
      <c r="N169" t="str">
        <f>HYPERLINK("Gene3492-zp_tree_all.dnd", "Gene3492-tree")</f>
        <v>Gene3492-tree</v>
      </c>
      <c r="O169">
        <v>30</v>
      </c>
      <c r="P169">
        <v>0</v>
      </c>
      <c r="Q169">
        <v>11</v>
      </c>
      <c r="R169">
        <v>0</v>
      </c>
      <c r="S169">
        <v>0</v>
      </c>
      <c r="T169" t="s">
        <v>89</v>
      </c>
      <c r="U169" t="s">
        <v>62</v>
      </c>
      <c r="V169" t="s">
        <v>62</v>
      </c>
      <c r="W169" t="s">
        <v>62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6</v>
      </c>
      <c r="AM169">
        <v>4</v>
      </c>
      <c r="AN169">
        <v>8</v>
      </c>
      <c r="AO169">
        <v>0</v>
      </c>
      <c r="AP169">
        <v>4</v>
      </c>
      <c r="AQ169">
        <v>1</v>
      </c>
      <c r="AR169" t="s">
        <v>193</v>
      </c>
      <c r="AS169" t="s">
        <v>20460</v>
      </c>
      <c r="AT169">
        <v>0.56999999999999995</v>
      </c>
      <c r="AU169" t="s">
        <v>65</v>
      </c>
      <c r="AV169">
        <v>12</v>
      </c>
      <c r="AW169">
        <v>1</v>
      </c>
      <c r="AX169" t="s">
        <v>20461</v>
      </c>
      <c r="AY169">
        <v>5.5440000000000003E-2</v>
      </c>
      <c r="AZ169">
        <v>-4.3400000000000001E-3</v>
      </c>
      <c r="BA169">
        <v>3.0799999999999998E-3</v>
      </c>
      <c r="BB169">
        <v>-3.3E-4</v>
      </c>
      <c r="BC169">
        <v>5.5500000000000001E-2</v>
      </c>
      <c r="BD169">
        <v>1</v>
      </c>
      <c r="BE169" t="s">
        <v>69</v>
      </c>
      <c r="BF169">
        <v>-2.5000000000000001E-2</v>
      </c>
      <c r="BG169">
        <v>-1.419</v>
      </c>
    </row>
    <row r="170" spans="1:59">
      <c r="A170">
        <v>0</v>
      </c>
      <c r="B170">
        <v>0</v>
      </c>
      <c r="C170">
        <v>0</v>
      </c>
      <c r="D170" t="s">
        <v>25022</v>
      </c>
      <c r="E170">
        <v>1854</v>
      </c>
      <c r="F170" t="s">
        <v>11612</v>
      </c>
      <c r="G170" t="s">
        <v>57</v>
      </c>
      <c r="H170">
        <v>1919459</v>
      </c>
      <c r="I170">
        <v>1919689</v>
      </c>
      <c r="J170" t="s">
        <v>116</v>
      </c>
      <c r="K170">
        <v>77</v>
      </c>
      <c r="L170" t="s">
        <v>749</v>
      </c>
      <c r="M170">
        <v>47</v>
      </c>
      <c r="N170" t="str">
        <f>HYPERLINK("Gene1854-zp_tree_all.dnd", "Gene1854-tree")</f>
        <v>Gene1854-tree</v>
      </c>
      <c r="O170">
        <v>8</v>
      </c>
      <c r="P170">
        <v>2</v>
      </c>
      <c r="Q170">
        <v>8</v>
      </c>
      <c r="R170">
        <v>2</v>
      </c>
      <c r="S170">
        <v>0.2</v>
      </c>
      <c r="T170" t="s">
        <v>136</v>
      </c>
      <c r="U170" t="s">
        <v>81</v>
      </c>
      <c r="V170" t="s">
        <v>62</v>
      </c>
      <c r="W170" t="s">
        <v>62</v>
      </c>
      <c r="X170">
        <v>0</v>
      </c>
      <c r="Y170">
        <v>0</v>
      </c>
      <c r="Z170">
        <v>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</v>
      </c>
      <c r="AK170">
        <v>0</v>
      </c>
      <c r="AL170">
        <v>6</v>
      </c>
      <c r="AM170">
        <v>4</v>
      </c>
      <c r="AN170">
        <v>8</v>
      </c>
      <c r="AO170">
        <v>5</v>
      </c>
      <c r="AP170">
        <v>11</v>
      </c>
      <c r="AQ170">
        <v>0</v>
      </c>
      <c r="AR170" t="s">
        <v>11613</v>
      </c>
      <c r="AS170" t="s">
        <v>193</v>
      </c>
      <c r="AT170">
        <v>0.92800000000000005</v>
      </c>
      <c r="AU170" t="s">
        <v>65</v>
      </c>
      <c r="AV170">
        <v>19</v>
      </c>
      <c r="AW170">
        <v>5</v>
      </c>
      <c r="AX170" t="s">
        <v>11614</v>
      </c>
      <c r="AY170">
        <v>0.14077999999999999</v>
      </c>
      <c r="AZ170">
        <v>-1.549E-2</v>
      </c>
      <c r="BA170">
        <v>5.5100000000000001E-3</v>
      </c>
      <c r="BB170">
        <v>-1.1199999999999999E-3</v>
      </c>
      <c r="BC170">
        <v>3.9170000000000003E-2</v>
      </c>
      <c r="BD170">
        <v>1</v>
      </c>
      <c r="BE170" t="s">
        <v>69</v>
      </c>
      <c r="BF170">
        <v>-1.5529999999999999</v>
      </c>
      <c r="BG170">
        <v>-1.0980000000000001</v>
      </c>
    </row>
    <row r="171" spans="1:59">
      <c r="A171">
        <v>0</v>
      </c>
      <c r="B171">
        <v>0</v>
      </c>
      <c r="C171">
        <v>0</v>
      </c>
      <c r="D171" t="s">
        <v>25022</v>
      </c>
      <c r="E171">
        <v>1653</v>
      </c>
      <c r="F171" t="s">
        <v>10351</v>
      </c>
      <c r="G171" t="s">
        <v>57</v>
      </c>
      <c r="H171">
        <v>1665337</v>
      </c>
      <c r="I171">
        <v>1665567</v>
      </c>
      <c r="J171" t="s">
        <v>10352</v>
      </c>
      <c r="K171">
        <v>77</v>
      </c>
      <c r="L171" t="s">
        <v>515</v>
      </c>
      <c r="M171">
        <v>51</v>
      </c>
      <c r="N171" t="str">
        <f>HYPERLINK("Gene1653-zp_tree_all.dnd", "Gene1653-tree")</f>
        <v>Gene1653-tree</v>
      </c>
      <c r="O171">
        <v>6</v>
      </c>
      <c r="P171">
        <v>0</v>
      </c>
      <c r="Q171">
        <v>6</v>
      </c>
      <c r="R171">
        <v>0</v>
      </c>
      <c r="S171">
        <v>0</v>
      </c>
      <c r="T171" t="s">
        <v>90</v>
      </c>
      <c r="U171" t="s">
        <v>62</v>
      </c>
      <c r="V171" t="s">
        <v>62</v>
      </c>
      <c r="W171" t="s">
        <v>62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4</v>
      </c>
      <c r="AM171">
        <v>1</v>
      </c>
      <c r="AN171">
        <v>5</v>
      </c>
      <c r="AO171">
        <v>0</v>
      </c>
      <c r="AP171">
        <v>1</v>
      </c>
      <c r="AQ171">
        <v>0</v>
      </c>
      <c r="AR171" t="s">
        <v>193</v>
      </c>
      <c r="AS171" t="s">
        <v>193</v>
      </c>
      <c r="AT171">
        <v>0</v>
      </c>
      <c r="AU171" t="s">
        <v>65</v>
      </c>
      <c r="AV171">
        <v>6</v>
      </c>
      <c r="AW171">
        <v>0</v>
      </c>
      <c r="AX171" t="s">
        <v>10353</v>
      </c>
      <c r="AY171">
        <v>4.487E-2</v>
      </c>
      <c r="AZ171">
        <v>-5.7299999999999999E-3</v>
      </c>
      <c r="BA171">
        <v>0</v>
      </c>
      <c r="BB171">
        <v>0</v>
      </c>
      <c r="BC171">
        <v>0</v>
      </c>
      <c r="BD171">
        <v>1</v>
      </c>
      <c r="BE171" t="s">
        <v>69</v>
      </c>
      <c r="BF171">
        <v>-1.214</v>
      </c>
      <c r="BG171">
        <v>0.129</v>
      </c>
    </row>
    <row r="172" spans="1:59">
      <c r="A172">
        <v>0</v>
      </c>
      <c r="B172">
        <v>0</v>
      </c>
      <c r="C172">
        <v>0</v>
      </c>
      <c r="D172" t="s">
        <v>25022</v>
      </c>
      <c r="E172">
        <v>2031</v>
      </c>
      <c r="F172" t="s">
        <v>12641</v>
      </c>
      <c r="G172" t="s">
        <v>62</v>
      </c>
      <c r="H172">
        <v>2124532</v>
      </c>
      <c r="I172">
        <v>2124765</v>
      </c>
      <c r="J172" t="s">
        <v>288</v>
      </c>
      <c r="K172">
        <v>78</v>
      </c>
      <c r="L172" t="s">
        <v>108</v>
      </c>
      <c r="M172">
        <v>44</v>
      </c>
      <c r="N172" t="str">
        <f>HYPERLINK("Gene2031-zp_tree_all.dnd", "Gene2031-tree")</f>
        <v>Gene2031-tree</v>
      </c>
      <c r="O172">
        <v>29</v>
      </c>
      <c r="P172">
        <v>4</v>
      </c>
      <c r="Q172">
        <v>6</v>
      </c>
      <c r="R172">
        <v>4</v>
      </c>
      <c r="S172">
        <v>0.4</v>
      </c>
      <c r="T172" t="s">
        <v>3696</v>
      </c>
      <c r="U172" t="s">
        <v>61</v>
      </c>
      <c r="V172" t="s">
        <v>62</v>
      </c>
      <c r="W172" t="s">
        <v>62</v>
      </c>
      <c r="X172">
        <v>0</v>
      </c>
      <c r="Y172">
        <v>0</v>
      </c>
      <c r="Z172">
        <v>7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5</v>
      </c>
      <c r="AK172">
        <v>0</v>
      </c>
      <c r="AL172">
        <v>7</v>
      </c>
      <c r="AM172">
        <v>3</v>
      </c>
      <c r="AN172">
        <v>8</v>
      </c>
      <c r="AO172">
        <v>5</v>
      </c>
      <c r="AP172">
        <v>1</v>
      </c>
      <c r="AQ172">
        <v>3</v>
      </c>
      <c r="AR172" t="s">
        <v>12642</v>
      </c>
      <c r="AS172" t="s">
        <v>12643</v>
      </c>
      <c r="AT172">
        <v>0.51300000000000001</v>
      </c>
      <c r="AU172" t="s">
        <v>65</v>
      </c>
      <c r="AV172">
        <v>9</v>
      </c>
      <c r="AW172">
        <v>8</v>
      </c>
      <c r="AX172" t="s">
        <v>12644</v>
      </c>
      <c r="AY172">
        <v>2.7990000000000001E-2</v>
      </c>
      <c r="AZ172">
        <v>-3.0899999999999999E-3</v>
      </c>
      <c r="BA172">
        <v>1.4E-2</v>
      </c>
      <c r="BB172">
        <v>-9.2000000000000003E-4</v>
      </c>
      <c r="BC172">
        <v>0.50039999999999996</v>
      </c>
      <c r="BD172">
        <v>0.80800000000000005</v>
      </c>
      <c r="BE172" t="s">
        <v>635</v>
      </c>
      <c r="BF172">
        <v>-0.97199999999999998</v>
      </c>
      <c r="BG172">
        <v>-1.3680000000000001</v>
      </c>
    </row>
    <row r="173" spans="1:59">
      <c r="A173">
        <v>0</v>
      </c>
      <c r="B173">
        <v>0</v>
      </c>
      <c r="C173">
        <v>4</v>
      </c>
      <c r="D173" t="s">
        <v>25022</v>
      </c>
      <c r="E173">
        <v>3061</v>
      </c>
      <c r="F173" t="s">
        <v>17722</v>
      </c>
      <c r="G173" t="s">
        <v>62</v>
      </c>
      <c r="H173">
        <v>3011558</v>
      </c>
      <c r="I173">
        <v>3011791</v>
      </c>
      <c r="J173" t="s">
        <v>116</v>
      </c>
      <c r="K173">
        <v>78</v>
      </c>
      <c r="L173" t="s">
        <v>17723</v>
      </c>
      <c r="M173">
        <v>48</v>
      </c>
      <c r="N173" t="str">
        <f>HYPERLINK("Gene3061-zp_tree_all.dnd", "Gene3061-tree")</f>
        <v>Gene3061-tree</v>
      </c>
      <c r="O173">
        <v>4</v>
      </c>
      <c r="P173">
        <v>6</v>
      </c>
      <c r="Q173">
        <v>4</v>
      </c>
      <c r="R173">
        <v>6</v>
      </c>
      <c r="S173">
        <v>0.6</v>
      </c>
      <c r="T173" t="s">
        <v>61</v>
      </c>
      <c r="U173" t="s">
        <v>90</v>
      </c>
      <c r="V173" t="s">
        <v>62</v>
      </c>
      <c r="W173" t="s">
        <v>62</v>
      </c>
      <c r="X173">
        <v>2</v>
      </c>
      <c r="Y173">
        <v>4</v>
      </c>
      <c r="Z173">
        <v>8</v>
      </c>
      <c r="AA173">
        <v>0.33333000000000002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7</v>
      </c>
      <c r="AK173">
        <v>0</v>
      </c>
      <c r="AL173">
        <v>6</v>
      </c>
      <c r="AM173">
        <v>5</v>
      </c>
      <c r="AN173">
        <v>2</v>
      </c>
      <c r="AO173">
        <v>6</v>
      </c>
      <c r="AP173">
        <v>4</v>
      </c>
      <c r="AQ173">
        <v>6</v>
      </c>
      <c r="AR173" t="s">
        <v>17724</v>
      </c>
      <c r="AS173" t="s">
        <v>17725</v>
      </c>
      <c r="AT173">
        <v>0.44700000000000001</v>
      </c>
      <c r="AU173" t="s">
        <v>65</v>
      </c>
      <c r="AV173">
        <v>6</v>
      </c>
      <c r="AW173">
        <v>12</v>
      </c>
      <c r="AX173" t="s">
        <v>17726</v>
      </c>
      <c r="AY173">
        <v>4.7210000000000002E-2</v>
      </c>
      <c r="AZ173">
        <v>-5.0600000000000003E-3</v>
      </c>
      <c r="BA173">
        <v>2.1319999999999999E-2</v>
      </c>
      <c r="BB173">
        <v>-1.9499999999999999E-3</v>
      </c>
      <c r="BC173">
        <v>0.45156000000000002</v>
      </c>
      <c r="BD173">
        <v>0.81799999999999995</v>
      </c>
      <c r="BE173" t="s">
        <v>635</v>
      </c>
      <c r="BF173">
        <v>-1.579</v>
      </c>
      <c r="BG173">
        <v>-1.2789999999999999</v>
      </c>
    </row>
    <row r="174" spans="1:59">
      <c r="A174">
        <v>0</v>
      </c>
      <c r="B174">
        <v>0</v>
      </c>
      <c r="C174">
        <v>0</v>
      </c>
      <c r="D174" t="s">
        <v>25022</v>
      </c>
      <c r="E174">
        <v>3400</v>
      </c>
      <c r="F174" t="s">
        <v>19890</v>
      </c>
      <c r="G174" t="s">
        <v>62</v>
      </c>
      <c r="H174">
        <v>3365834</v>
      </c>
      <c r="I174">
        <v>3366067</v>
      </c>
      <c r="J174" t="s">
        <v>116</v>
      </c>
      <c r="K174">
        <v>78</v>
      </c>
      <c r="L174" t="s">
        <v>698</v>
      </c>
      <c r="M174">
        <v>47</v>
      </c>
      <c r="N174" t="str">
        <f>HYPERLINK("Gene3400-zp_tree_all.dnd", "Gene3400-tree")</f>
        <v>Gene3400-tree</v>
      </c>
      <c r="O174">
        <v>3</v>
      </c>
      <c r="P174">
        <v>2</v>
      </c>
      <c r="Q174">
        <v>3</v>
      </c>
      <c r="R174">
        <v>2</v>
      </c>
      <c r="S174">
        <v>0.4</v>
      </c>
      <c r="T174" t="s">
        <v>324</v>
      </c>
      <c r="U174" t="s">
        <v>81</v>
      </c>
      <c r="V174" t="s">
        <v>62</v>
      </c>
      <c r="W174" t="s">
        <v>62</v>
      </c>
      <c r="X174">
        <v>0</v>
      </c>
      <c r="Y174">
        <v>0</v>
      </c>
      <c r="Z174">
        <v>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</v>
      </c>
      <c r="AK174">
        <v>0</v>
      </c>
      <c r="AL174">
        <v>4</v>
      </c>
      <c r="AM174">
        <v>0</v>
      </c>
      <c r="AN174">
        <v>8</v>
      </c>
      <c r="AO174">
        <v>6</v>
      </c>
      <c r="AP174">
        <v>0</v>
      </c>
      <c r="AQ174">
        <v>0</v>
      </c>
      <c r="AR174" t="s">
        <v>19891</v>
      </c>
      <c r="AS174" t="s">
        <v>193</v>
      </c>
      <c r="AT174">
        <v>0.73899999999999999</v>
      </c>
      <c r="AU174" t="s">
        <v>65</v>
      </c>
      <c r="AV174">
        <v>8</v>
      </c>
      <c r="AW174">
        <v>6</v>
      </c>
      <c r="AX174" t="s">
        <v>19892</v>
      </c>
      <c r="AY174">
        <v>7.077E-2</v>
      </c>
      <c r="AZ174">
        <v>-1.5169999999999999E-2</v>
      </c>
      <c r="BA174">
        <v>1.3050000000000001E-2</v>
      </c>
      <c r="BB174">
        <v>-4.1000000000000003E-3</v>
      </c>
      <c r="BC174">
        <v>0.18437999999999999</v>
      </c>
      <c r="BD174">
        <v>0.98</v>
      </c>
      <c r="BE174" t="s">
        <v>69</v>
      </c>
      <c r="BF174">
        <v>-1.0940000000000001</v>
      </c>
      <c r="BG174">
        <v>0.50600000000000001</v>
      </c>
    </row>
    <row r="175" spans="1:59">
      <c r="A175">
        <v>0</v>
      </c>
      <c r="B175">
        <v>0</v>
      </c>
      <c r="C175">
        <v>0</v>
      </c>
      <c r="D175" t="s">
        <v>25022</v>
      </c>
      <c r="E175">
        <v>3301</v>
      </c>
      <c r="F175" t="s">
        <v>19265</v>
      </c>
      <c r="G175" t="s">
        <v>62</v>
      </c>
      <c r="H175">
        <v>3264268</v>
      </c>
      <c r="I175">
        <v>3264501</v>
      </c>
      <c r="J175" t="s">
        <v>116</v>
      </c>
      <c r="K175">
        <v>78</v>
      </c>
      <c r="L175" t="s">
        <v>59</v>
      </c>
      <c r="M175">
        <v>49</v>
      </c>
      <c r="N175" t="str">
        <f>HYPERLINK("Gene3301-zp_tree_all.dnd", "Gene3301-tree")</f>
        <v>Gene3301-tree</v>
      </c>
      <c r="O175">
        <v>6</v>
      </c>
      <c r="P175">
        <v>3</v>
      </c>
      <c r="Q175">
        <v>6</v>
      </c>
      <c r="R175">
        <v>3</v>
      </c>
      <c r="S175">
        <v>0.33333000000000002</v>
      </c>
      <c r="T175" t="s">
        <v>90</v>
      </c>
      <c r="U175" t="s">
        <v>324</v>
      </c>
      <c r="V175" t="s">
        <v>62</v>
      </c>
      <c r="W175" t="s">
        <v>62</v>
      </c>
      <c r="X175">
        <v>0</v>
      </c>
      <c r="Y175">
        <v>0</v>
      </c>
      <c r="Z175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</v>
      </c>
      <c r="AK175">
        <v>0</v>
      </c>
      <c r="AL175">
        <v>5</v>
      </c>
      <c r="AM175">
        <v>4</v>
      </c>
      <c r="AN175">
        <v>7</v>
      </c>
      <c r="AO175">
        <v>4</v>
      </c>
      <c r="AP175">
        <v>5</v>
      </c>
      <c r="AQ175">
        <v>0</v>
      </c>
      <c r="AR175" t="s">
        <v>19266</v>
      </c>
      <c r="AS175" t="s">
        <v>193</v>
      </c>
      <c r="AT175">
        <v>1.8540000000000001</v>
      </c>
      <c r="AU175" t="s">
        <v>65</v>
      </c>
      <c r="AV175">
        <v>12</v>
      </c>
      <c r="AW175">
        <v>4</v>
      </c>
      <c r="AX175" t="s">
        <v>19267</v>
      </c>
      <c r="AY175">
        <v>7.1980000000000002E-2</v>
      </c>
      <c r="AZ175">
        <v>-6.8500000000000002E-3</v>
      </c>
      <c r="BA175">
        <v>5.1500000000000001E-3</v>
      </c>
      <c r="BB175">
        <v>-8.8000000000000003E-4</v>
      </c>
      <c r="BC175">
        <v>7.1559999999999999E-2</v>
      </c>
      <c r="BD175">
        <v>1</v>
      </c>
      <c r="BE175" t="s">
        <v>69</v>
      </c>
      <c r="BF175">
        <v>-1.7829999999999999</v>
      </c>
      <c r="BG175">
        <v>0.65600000000000003</v>
      </c>
    </row>
    <row r="176" spans="1:59">
      <c r="A176">
        <v>0</v>
      </c>
      <c r="B176">
        <v>0</v>
      </c>
      <c r="C176">
        <v>0</v>
      </c>
      <c r="D176" t="s">
        <v>25022</v>
      </c>
      <c r="E176">
        <v>3337</v>
      </c>
      <c r="F176" t="s">
        <v>19493</v>
      </c>
      <c r="G176" t="s">
        <v>62</v>
      </c>
      <c r="H176">
        <v>3308371</v>
      </c>
      <c r="I176">
        <v>3308604</v>
      </c>
      <c r="J176" t="s">
        <v>116</v>
      </c>
      <c r="K176">
        <v>78</v>
      </c>
      <c r="L176" t="s">
        <v>59</v>
      </c>
      <c r="M176">
        <v>49</v>
      </c>
      <c r="N176" t="str">
        <f>HYPERLINK("Gene3337-zp_tree_all.dnd", "Gene3337-tree")</f>
        <v>Gene3337-tree</v>
      </c>
      <c r="O176">
        <v>26</v>
      </c>
      <c r="P176">
        <v>1</v>
      </c>
      <c r="Q176">
        <v>7</v>
      </c>
      <c r="R176">
        <v>1</v>
      </c>
      <c r="S176">
        <v>0.125</v>
      </c>
      <c r="T176" t="s">
        <v>191</v>
      </c>
      <c r="U176" t="s">
        <v>175</v>
      </c>
      <c r="V176" t="s">
        <v>62</v>
      </c>
      <c r="W176" t="s">
        <v>62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6</v>
      </c>
      <c r="AM176">
        <v>3</v>
      </c>
      <c r="AN176">
        <v>7</v>
      </c>
      <c r="AO176">
        <v>1</v>
      </c>
      <c r="AP176">
        <v>9</v>
      </c>
      <c r="AQ176">
        <v>0</v>
      </c>
      <c r="AR176" t="s">
        <v>19494</v>
      </c>
      <c r="AS176" t="s">
        <v>193</v>
      </c>
      <c r="AT176">
        <v>0.45800000000000002</v>
      </c>
      <c r="AU176" t="s">
        <v>65</v>
      </c>
      <c r="AV176">
        <v>16</v>
      </c>
      <c r="AW176">
        <v>1</v>
      </c>
      <c r="AX176" t="s">
        <v>19495</v>
      </c>
      <c r="AY176">
        <v>0.14452000000000001</v>
      </c>
      <c r="AZ176">
        <v>-1.503E-2</v>
      </c>
      <c r="BA176">
        <v>1.3699999999999999E-3</v>
      </c>
      <c r="BB176">
        <v>-4.4000000000000002E-4</v>
      </c>
      <c r="BC176">
        <v>9.4500000000000001E-3</v>
      </c>
      <c r="BD176">
        <v>1</v>
      </c>
      <c r="BE176" t="s">
        <v>69</v>
      </c>
      <c r="BF176">
        <v>-1.278</v>
      </c>
      <c r="BG176">
        <v>-0.46100000000000002</v>
      </c>
    </row>
    <row r="177" spans="1:59">
      <c r="A177">
        <v>0</v>
      </c>
      <c r="B177">
        <v>0</v>
      </c>
      <c r="C177">
        <v>2</v>
      </c>
      <c r="D177" t="s">
        <v>25022</v>
      </c>
      <c r="E177">
        <v>3308</v>
      </c>
      <c r="F177" t="s">
        <v>19302</v>
      </c>
      <c r="G177" t="s">
        <v>62</v>
      </c>
      <c r="H177">
        <v>3275835</v>
      </c>
      <c r="I177">
        <v>3276071</v>
      </c>
      <c r="J177" t="s">
        <v>19303</v>
      </c>
      <c r="K177">
        <v>79</v>
      </c>
      <c r="L177" t="s">
        <v>59</v>
      </c>
      <c r="M177">
        <v>49</v>
      </c>
      <c r="N177" t="str">
        <f>HYPERLINK("Gene3308-zp_tree_all.dnd", "Gene3308-tree")</f>
        <v>Gene3308-tree</v>
      </c>
      <c r="O177">
        <v>5</v>
      </c>
      <c r="P177">
        <v>1</v>
      </c>
      <c r="Q177">
        <v>5</v>
      </c>
      <c r="R177">
        <v>1</v>
      </c>
      <c r="S177">
        <v>0.16667000000000001</v>
      </c>
      <c r="T177" t="s">
        <v>199</v>
      </c>
      <c r="U177" t="s">
        <v>175</v>
      </c>
      <c r="V177" t="s">
        <v>62</v>
      </c>
      <c r="W177" t="s">
        <v>62</v>
      </c>
      <c r="X177">
        <v>1</v>
      </c>
      <c r="Y177">
        <v>2</v>
      </c>
      <c r="Z177">
        <v>2</v>
      </c>
      <c r="AA177">
        <v>0.5</v>
      </c>
      <c r="AB177">
        <v>0</v>
      </c>
      <c r="AC177">
        <v>0</v>
      </c>
      <c r="AD177">
        <v>0</v>
      </c>
      <c r="AE177">
        <v>3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3</v>
      </c>
      <c r="AM177">
        <v>2</v>
      </c>
      <c r="AN177">
        <v>6</v>
      </c>
      <c r="AO177">
        <v>1</v>
      </c>
      <c r="AP177">
        <v>3</v>
      </c>
      <c r="AQ177">
        <v>3</v>
      </c>
      <c r="AR177" t="s">
        <v>19304</v>
      </c>
      <c r="AS177" t="s">
        <v>19305</v>
      </c>
      <c r="AT177">
        <v>1.026</v>
      </c>
      <c r="AU177" t="s">
        <v>65</v>
      </c>
      <c r="AV177">
        <v>9</v>
      </c>
      <c r="AW177">
        <v>4</v>
      </c>
      <c r="AX177" t="s">
        <v>19306</v>
      </c>
      <c r="AY177">
        <v>7.7920000000000003E-2</v>
      </c>
      <c r="AZ177">
        <v>-1.035E-2</v>
      </c>
      <c r="BA177">
        <v>1.1610000000000001E-2</v>
      </c>
      <c r="BB177">
        <v>-1.7099999999999999E-3</v>
      </c>
      <c r="BC177">
        <v>0.14903</v>
      </c>
      <c r="BD177">
        <v>1</v>
      </c>
      <c r="BE177" t="s">
        <v>69</v>
      </c>
      <c r="BF177">
        <v>-1.127</v>
      </c>
      <c r="BG177">
        <v>-1.2E-2</v>
      </c>
    </row>
    <row r="178" spans="1:59">
      <c r="A178">
        <v>0</v>
      </c>
      <c r="B178">
        <v>4</v>
      </c>
      <c r="C178">
        <v>0</v>
      </c>
      <c r="D178" t="s">
        <v>25022</v>
      </c>
      <c r="E178">
        <v>3448</v>
      </c>
      <c r="F178" t="s">
        <v>20190</v>
      </c>
      <c r="G178" t="s">
        <v>62</v>
      </c>
      <c r="H178">
        <v>3409222</v>
      </c>
      <c r="I178">
        <v>3409458</v>
      </c>
      <c r="J178" t="s">
        <v>20191</v>
      </c>
      <c r="K178">
        <v>79</v>
      </c>
      <c r="L178" t="s">
        <v>108</v>
      </c>
      <c r="M178">
        <v>44</v>
      </c>
      <c r="N178" t="str">
        <f>HYPERLINK("Gene3448-zp_tree_all.dnd", "Gene3448-tree")</f>
        <v>Gene3448-tree</v>
      </c>
      <c r="O178">
        <v>30</v>
      </c>
      <c r="P178">
        <v>7</v>
      </c>
      <c r="Q178">
        <v>4</v>
      </c>
      <c r="R178">
        <v>7</v>
      </c>
      <c r="S178">
        <v>0.63636000000000004</v>
      </c>
      <c r="T178" t="s">
        <v>3663</v>
      </c>
      <c r="U178" t="s">
        <v>152</v>
      </c>
      <c r="V178" t="s">
        <v>62</v>
      </c>
      <c r="W178" t="s">
        <v>62</v>
      </c>
      <c r="X178">
        <v>1</v>
      </c>
      <c r="Y178">
        <v>4</v>
      </c>
      <c r="Z178">
        <v>5</v>
      </c>
      <c r="AA178">
        <v>0.44444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</v>
      </c>
      <c r="AH178">
        <v>0</v>
      </c>
      <c r="AI178">
        <v>4</v>
      </c>
      <c r="AJ178">
        <v>5</v>
      </c>
      <c r="AK178">
        <v>0.44444</v>
      </c>
      <c r="AL178">
        <v>7</v>
      </c>
      <c r="AM178">
        <v>6</v>
      </c>
      <c r="AN178">
        <v>4</v>
      </c>
      <c r="AO178">
        <v>7</v>
      </c>
      <c r="AP178">
        <v>5</v>
      </c>
      <c r="AQ178">
        <v>2</v>
      </c>
      <c r="AR178" t="s">
        <v>20192</v>
      </c>
      <c r="AS178" t="s">
        <v>20193</v>
      </c>
      <c r="AT178">
        <v>0.876</v>
      </c>
      <c r="AU178" t="s">
        <v>65</v>
      </c>
      <c r="AV178">
        <v>9</v>
      </c>
      <c r="AW178">
        <v>9</v>
      </c>
      <c r="AX178" t="s">
        <v>20194</v>
      </c>
      <c r="AY178">
        <v>6.4710000000000004E-2</v>
      </c>
      <c r="AZ178">
        <v>-4.7699999999999999E-3</v>
      </c>
      <c r="BA178">
        <v>7.7299999999999999E-3</v>
      </c>
      <c r="BB178">
        <v>-5.9999999999999995E-4</v>
      </c>
      <c r="BC178">
        <v>0.11942999999999999</v>
      </c>
      <c r="BD178">
        <v>1</v>
      </c>
      <c r="BE178" t="s">
        <v>69</v>
      </c>
      <c r="BF178">
        <v>-0.55700000000000005</v>
      </c>
      <c r="BG178">
        <v>-0.61599999999999999</v>
      </c>
    </row>
    <row r="179" spans="1:59">
      <c r="A179">
        <v>0</v>
      </c>
      <c r="B179">
        <v>0</v>
      </c>
      <c r="C179">
        <v>0</v>
      </c>
      <c r="D179" t="s">
        <v>25022</v>
      </c>
      <c r="E179">
        <v>1958</v>
      </c>
      <c r="F179" t="s">
        <v>12266</v>
      </c>
      <c r="G179" t="s">
        <v>62</v>
      </c>
      <c r="H179">
        <v>2055871</v>
      </c>
      <c r="I179">
        <v>2056107</v>
      </c>
      <c r="J179" t="s">
        <v>12267</v>
      </c>
      <c r="K179">
        <v>79</v>
      </c>
      <c r="L179" t="s">
        <v>12268</v>
      </c>
      <c r="M179">
        <v>33</v>
      </c>
      <c r="N179" t="str">
        <f>HYPERLINK("Gene1958-zp_tree_all.dnd", "Gene1958-tree")</f>
        <v>Gene1958-tree</v>
      </c>
      <c r="O179">
        <v>3</v>
      </c>
      <c r="P179">
        <v>2</v>
      </c>
      <c r="Q179">
        <v>3</v>
      </c>
      <c r="R179">
        <v>2</v>
      </c>
      <c r="S179">
        <v>0.4</v>
      </c>
      <c r="T179" t="s">
        <v>324</v>
      </c>
      <c r="U179" t="s">
        <v>81</v>
      </c>
      <c r="V179" t="s">
        <v>62</v>
      </c>
      <c r="W179" t="s">
        <v>62</v>
      </c>
      <c r="X179">
        <v>0</v>
      </c>
      <c r="Y179">
        <v>0</v>
      </c>
      <c r="Z179">
        <v>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</v>
      </c>
      <c r="AK179">
        <v>0</v>
      </c>
      <c r="AL179">
        <v>3</v>
      </c>
      <c r="AM179">
        <v>1</v>
      </c>
      <c r="AN179">
        <v>7</v>
      </c>
      <c r="AO179">
        <v>3</v>
      </c>
      <c r="AP179">
        <v>1</v>
      </c>
      <c r="AQ179">
        <v>0</v>
      </c>
      <c r="AR179" t="s">
        <v>12269</v>
      </c>
      <c r="AS179" t="s">
        <v>193</v>
      </c>
      <c r="AT179">
        <v>1.18</v>
      </c>
      <c r="AU179" t="s">
        <v>65</v>
      </c>
      <c r="AV179">
        <v>8</v>
      </c>
      <c r="AW179">
        <v>3</v>
      </c>
      <c r="AX179" t="s">
        <v>12270</v>
      </c>
      <c r="AY179">
        <v>7.5160000000000005E-2</v>
      </c>
      <c r="AZ179">
        <v>-1.7579999999999998E-2</v>
      </c>
      <c r="BA179">
        <v>6.6299999999999996E-3</v>
      </c>
      <c r="BB179">
        <v>-1.72E-3</v>
      </c>
      <c r="BC179">
        <v>8.8279999999999997E-2</v>
      </c>
      <c r="BD179">
        <v>1</v>
      </c>
      <c r="BE179" t="s">
        <v>69</v>
      </c>
      <c r="BF179">
        <v>-0.89700000000000002</v>
      </c>
      <c r="BG179">
        <v>-1.1359999999999999</v>
      </c>
    </row>
    <row r="180" spans="1:59">
      <c r="A180">
        <v>0</v>
      </c>
      <c r="B180">
        <v>0</v>
      </c>
      <c r="C180">
        <v>0</v>
      </c>
      <c r="D180" t="s">
        <v>25022</v>
      </c>
      <c r="E180">
        <v>1558</v>
      </c>
      <c r="F180" t="s">
        <v>9741</v>
      </c>
      <c r="G180" t="s">
        <v>57</v>
      </c>
      <c r="H180">
        <v>1568065</v>
      </c>
      <c r="I180">
        <v>1568301</v>
      </c>
      <c r="J180" t="s">
        <v>288</v>
      </c>
      <c r="K180">
        <v>79</v>
      </c>
      <c r="L180" t="s">
        <v>59</v>
      </c>
      <c r="M180">
        <v>49</v>
      </c>
      <c r="N180" t="str">
        <f>HYPERLINK("Gene1558-zp_tree_all.dnd", "Gene1558-tree")</f>
        <v>Gene1558-tree</v>
      </c>
      <c r="O180">
        <v>5</v>
      </c>
      <c r="P180">
        <v>3</v>
      </c>
      <c r="Q180">
        <v>5</v>
      </c>
      <c r="R180">
        <v>3</v>
      </c>
      <c r="S180">
        <v>0.375</v>
      </c>
      <c r="T180" t="s">
        <v>199</v>
      </c>
      <c r="U180" t="s">
        <v>324</v>
      </c>
      <c r="V180" t="s">
        <v>62</v>
      </c>
      <c r="W180" t="s">
        <v>62</v>
      </c>
      <c r="X180">
        <v>0</v>
      </c>
      <c r="Y180">
        <v>0</v>
      </c>
      <c r="Z180">
        <v>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</v>
      </c>
      <c r="AK180">
        <v>0</v>
      </c>
      <c r="AL180">
        <v>4</v>
      </c>
      <c r="AM180">
        <v>4</v>
      </c>
      <c r="AN180">
        <v>4</v>
      </c>
      <c r="AO180">
        <v>3</v>
      </c>
      <c r="AP180">
        <v>9</v>
      </c>
      <c r="AQ180">
        <v>3</v>
      </c>
      <c r="AR180" t="s">
        <v>9742</v>
      </c>
      <c r="AS180" t="s">
        <v>9743</v>
      </c>
      <c r="AT180">
        <v>0.58399999999999996</v>
      </c>
      <c r="AU180" t="s">
        <v>65</v>
      </c>
      <c r="AV180">
        <v>13</v>
      </c>
      <c r="AW180">
        <v>6</v>
      </c>
      <c r="AX180" t="s">
        <v>9744</v>
      </c>
      <c r="AY180">
        <v>0.13002</v>
      </c>
      <c r="AZ180">
        <v>-1.4930000000000001E-2</v>
      </c>
      <c r="BA180">
        <v>1.141E-2</v>
      </c>
      <c r="BB180">
        <v>-1.2700000000000001E-3</v>
      </c>
      <c r="BC180">
        <v>8.7770000000000001E-2</v>
      </c>
      <c r="BD180">
        <v>1</v>
      </c>
      <c r="BE180" t="s">
        <v>69</v>
      </c>
      <c r="BF180">
        <v>-1.05</v>
      </c>
      <c r="BG180">
        <v>-1.0189999999999999</v>
      </c>
    </row>
    <row r="181" spans="1:59">
      <c r="A181">
        <v>0</v>
      </c>
      <c r="B181">
        <v>0</v>
      </c>
      <c r="C181">
        <v>0</v>
      </c>
      <c r="D181" t="s">
        <v>25022</v>
      </c>
      <c r="E181">
        <v>2465</v>
      </c>
      <c r="F181" t="s">
        <v>14361</v>
      </c>
      <c r="G181" t="s">
        <v>62</v>
      </c>
      <c r="H181">
        <v>2461624</v>
      </c>
      <c r="I181">
        <v>2461860</v>
      </c>
      <c r="J181" t="s">
        <v>116</v>
      </c>
      <c r="K181">
        <v>79</v>
      </c>
      <c r="L181" t="s">
        <v>59</v>
      </c>
      <c r="M181">
        <v>49</v>
      </c>
      <c r="N181" t="str">
        <f>HYPERLINK("Gene2465-zp_tree_all.dnd", "Gene2465-tree")</f>
        <v>Gene2465-tree</v>
      </c>
      <c r="O181">
        <v>7</v>
      </c>
      <c r="P181">
        <v>1</v>
      </c>
      <c r="Q181">
        <v>7</v>
      </c>
      <c r="R181">
        <v>1</v>
      </c>
      <c r="S181">
        <v>0.125</v>
      </c>
      <c r="T181" t="s">
        <v>152</v>
      </c>
      <c r="U181" t="s">
        <v>175</v>
      </c>
      <c r="V181" t="s">
        <v>62</v>
      </c>
      <c r="W181" t="s">
        <v>62</v>
      </c>
      <c r="X181">
        <v>0</v>
      </c>
      <c r="Y181">
        <v>0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5</v>
      </c>
      <c r="AM181">
        <v>3</v>
      </c>
      <c r="AN181">
        <v>10</v>
      </c>
      <c r="AO181">
        <v>1</v>
      </c>
      <c r="AP181">
        <v>8</v>
      </c>
      <c r="AQ181">
        <v>1</v>
      </c>
      <c r="AR181" t="s">
        <v>14362</v>
      </c>
      <c r="AS181" t="s">
        <v>14363</v>
      </c>
      <c r="AT181">
        <v>7.4999999999999997E-2</v>
      </c>
      <c r="AU181" t="s">
        <v>65</v>
      </c>
      <c r="AV181">
        <v>18</v>
      </c>
      <c r="AW181">
        <v>2</v>
      </c>
      <c r="AX181" t="s">
        <v>14364</v>
      </c>
      <c r="AY181">
        <v>0.14344999999999999</v>
      </c>
      <c r="AZ181">
        <v>-1.7080000000000001E-2</v>
      </c>
      <c r="BA181">
        <v>3.65E-3</v>
      </c>
      <c r="BB181">
        <v>-6.0999999999999997E-4</v>
      </c>
      <c r="BC181">
        <v>2.5409999999999999E-2</v>
      </c>
      <c r="BD181">
        <v>1</v>
      </c>
      <c r="BE181" t="s">
        <v>69</v>
      </c>
      <c r="BF181">
        <v>-0.76100000000000001</v>
      </c>
      <c r="BG181">
        <v>0.72499999999999998</v>
      </c>
    </row>
    <row r="182" spans="1:59">
      <c r="A182">
        <v>0</v>
      </c>
      <c r="B182">
        <v>0</v>
      </c>
      <c r="C182">
        <v>0</v>
      </c>
      <c r="D182" t="s">
        <v>25022</v>
      </c>
      <c r="E182">
        <v>1447</v>
      </c>
      <c r="F182" t="s">
        <v>9064</v>
      </c>
      <c r="G182" t="s">
        <v>57</v>
      </c>
      <c r="H182">
        <v>1461453</v>
      </c>
      <c r="I182">
        <v>1461689</v>
      </c>
      <c r="J182" t="s">
        <v>9065</v>
      </c>
      <c r="K182">
        <v>79</v>
      </c>
      <c r="L182" t="s">
        <v>72</v>
      </c>
      <c r="M182">
        <v>45</v>
      </c>
      <c r="N182" t="str">
        <f>HYPERLINK("Gene1447-zp_tree_all.dnd", "Gene1447-tree")</f>
        <v>Gene1447-tree</v>
      </c>
      <c r="O182">
        <v>10</v>
      </c>
      <c r="P182">
        <v>1</v>
      </c>
      <c r="Q182">
        <v>10</v>
      </c>
      <c r="R182">
        <v>1</v>
      </c>
      <c r="S182">
        <v>9.0910000000000005E-2</v>
      </c>
      <c r="T182" t="s">
        <v>117</v>
      </c>
      <c r="U182" t="s">
        <v>175</v>
      </c>
      <c r="V182" t="s">
        <v>62</v>
      </c>
      <c r="W182" t="s">
        <v>62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6</v>
      </c>
      <c r="AM182">
        <v>4</v>
      </c>
      <c r="AN182">
        <v>15</v>
      </c>
      <c r="AO182">
        <v>1</v>
      </c>
      <c r="AP182">
        <v>6</v>
      </c>
      <c r="AQ182">
        <v>0</v>
      </c>
      <c r="AR182" t="s">
        <v>9066</v>
      </c>
      <c r="AS182" t="s">
        <v>193</v>
      </c>
      <c r="AT182">
        <v>0.35</v>
      </c>
      <c r="AU182" t="s">
        <v>65</v>
      </c>
      <c r="AV182">
        <v>21</v>
      </c>
      <c r="AW182">
        <v>1</v>
      </c>
      <c r="AX182" t="s">
        <v>9067</v>
      </c>
      <c r="AY182">
        <v>9.8650000000000002E-2</v>
      </c>
      <c r="AZ182">
        <v>-1.106E-2</v>
      </c>
      <c r="BA182">
        <v>9.8999999999999999E-4</v>
      </c>
      <c r="BB182">
        <v>-2.7999999999999998E-4</v>
      </c>
      <c r="BC182">
        <v>1.0059999999999999E-2</v>
      </c>
      <c r="BD182">
        <v>1</v>
      </c>
      <c r="BE182" t="s">
        <v>69</v>
      </c>
      <c r="BF182">
        <v>-1.073</v>
      </c>
      <c r="BG182">
        <v>-3.806</v>
      </c>
    </row>
    <row r="183" spans="1:59">
      <c r="A183">
        <v>0</v>
      </c>
      <c r="B183">
        <v>0</v>
      </c>
      <c r="C183">
        <v>0</v>
      </c>
      <c r="D183" t="s">
        <v>25022</v>
      </c>
      <c r="E183">
        <v>4240</v>
      </c>
      <c r="F183" t="s">
        <v>24906</v>
      </c>
      <c r="G183" t="s">
        <v>62</v>
      </c>
      <c r="H183">
        <v>4198606</v>
      </c>
      <c r="I183">
        <v>4198842</v>
      </c>
      <c r="J183" t="s">
        <v>24907</v>
      </c>
      <c r="K183">
        <v>79</v>
      </c>
      <c r="L183" t="s">
        <v>59</v>
      </c>
      <c r="M183">
        <v>49</v>
      </c>
      <c r="N183" t="str">
        <f>HYPERLINK("Gene4240-zp_tree_all.dnd", "Gene4240-tree")</f>
        <v>Gene4240-tree</v>
      </c>
      <c r="O183">
        <v>8</v>
      </c>
      <c r="P183">
        <v>0</v>
      </c>
      <c r="Q183">
        <v>8</v>
      </c>
      <c r="R183">
        <v>0</v>
      </c>
      <c r="S183">
        <v>0</v>
      </c>
      <c r="T183" t="s">
        <v>136</v>
      </c>
      <c r="U183" t="s">
        <v>62</v>
      </c>
      <c r="V183" t="s">
        <v>62</v>
      </c>
      <c r="W183" t="s">
        <v>62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7</v>
      </c>
      <c r="AM183">
        <v>1</v>
      </c>
      <c r="AN183">
        <v>7</v>
      </c>
      <c r="AO183">
        <v>0</v>
      </c>
      <c r="AP183">
        <v>2</v>
      </c>
      <c r="AQ183">
        <v>0</v>
      </c>
      <c r="AR183" t="s">
        <v>193</v>
      </c>
      <c r="AS183" t="s">
        <v>193</v>
      </c>
      <c r="AT183">
        <v>0</v>
      </c>
      <c r="AU183" t="s">
        <v>65</v>
      </c>
      <c r="AV183">
        <v>9</v>
      </c>
      <c r="AW183">
        <v>0</v>
      </c>
      <c r="AX183" t="s">
        <v>24908</v>
      </c>
      <c r="AY183">
        <v>4.9660000000000003E-2</v>
      </c>
      <c r="AZ183">
        <v>-3.6600000000000001E-3</v>
      </c>
      <c r="BA183">
        <v>0</v>
      </c>
      <c r="BB183">
        <v>0</v>
      </c>
      <c r="BC183">
        <v>0</v>
      </c>
      <c r="BD183">
        <v>1</v>
      </c>
      <c r="BE183" t="s">
        <v>69</v>
      </c>
      <c r="BF183">
        <v>-1.675</v>
      </c>
      <c r="BG183">
        <v>-1.5409999999999999</v>
      </c>
    </row>
    <row r="184" spans="1:59">
      <c r="A184">
        <v>0</v>
      </c>
      <c r="B184">
        <v>0</v>
      </c>
      <c r="C184">
        <v>0</v>
      </c>
      <c r="D184" t="s">
        <v>25022</v>
      </c>
      <c r="E184">
        <v>1467</v>
      </c>
      <c r="F184" t="s">
        <v>9172</v>
      </c>
      <c r="G184" t="s">
        <v>57</v>
      </c>
      <c r="H184">
        <v>1484117</v>
      </c>
      <c r="I184">
        <v>1484353</v>
      </c>
      <c r="J184" t="s">
        <v>9173</v>
      </c>
      <c r="K184">
        <v>79</v>
      </c>
      <c r="L184" t="s">
        <v>59</v>
      </c>
      <c r="M184">
        <v>49</v>
      </c>
      <c r="N184" t="str">
        <f>HYPERLINK("Gene1467-zp_tree_all.dnd", "Gene1467-tree")</f>
        <v>Gene1467-tree</v>
      </c>
      <c r="O184">
        <v>9</v>
      </c>
      <c r="P184">
        <v>0</v>
      </c>
      <c r="Q184">
        <v>9</v>
      </c>
      <c r="R184">
        <v>0</v>
      </c>
      <c r="S184">
        <v>0</v>
      </c>
      <c r="T184" t="s">
        <v>135</v>
      </c>
      <c r="U184" t="s">
        <v>62</v>
      </c>
      <c r="V184" t="s">
        <v>62</v>
      </c>
      <c r="W184" t="s">
        <v>62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7</v>
      </c>
      <c r="AM184">
        <v>2</v>
      </c>
      <c r="AN184">
        <v>7</v>
      </c>
      <c r="AO184">
        <v>0</v>
      </c>
      <c r="AP184">
        <v>2</v>
      </c>
      <c r="AQ184">
        <v>0</v>
      </c>
      <c r="AR184" t="s">
        <v>193</v>
      </c>
      <c r="AS184" t="s">
        <v>193</v>
      </c>
      <c r="AT184">
        <v>0</v>
      </c>
      <c r="AU184" t="s">
        <v>65</v>
      </c>
      <c r="AV184">
        <v>9</v>
      </c>
      <c r="AW184">
        <v>0</v>
      </c>
      <c r="AX184" t="s">
        <v>9174</v>
      </c>
      <c r="AY184">
        <v>5.5280000000000003E-2</v>
      </c>
      <c r="AZ184">
        <v>-3.8700000000000002E-3</v>
      </c>
      <c r="BA184">
        <v>0</v>
      </c>
      <c r="BB184">
        <v>0</v>
      </c>
      <c r="BC184">
        <v>0</v>
      </c>
      <c r="BD184">
        <v>1</v>
      </c>
      <c r="BE184" t="s">
        <v>69</v>
      </c>
      <c r="BF184">
        <v>-0.27500000000000002</v>
      </c>
      <c r="BG184">
        <v>-0.12</v>
      </c>
    </row>
    <row r="185" spans="1:59">
      <c r="A185">
        <v>0</v>
      </c>
      <c r="B185">
        <v>0</v>
      </c>
      <c r="C185">
        <v>0</v>
      </c>
      <c r="D185" t="s">
        <v>25022</v>
      </c>
      <c r="E185">
        <v>2987</v>
      </c>
      <c r="F185" t="s">
        <v>17241</v>
      </c>
      <c r="G185" t="s">
        <v>62</v>
      </c>
      <c r="H185">
        <v>2935970</v>
      </c>
      <c r="I185">
        <v>2936209</v>
      </c>
      <c r="J185" t="s">
        <v>116</v>
      </c>
      <c r="K185">
        <v>80</v>
      </c>
      <c r="L185" t="s">
        <v>108</v>
      </c>
      <c r="M185">
        <v>44</v>
      </c>
      <c r="N185" t="str">
        <f>HYPERLINK("Gene2987-zp_tree_all.dnd", "Gene2987-tree")</f>
        <v>Gene2987-tree</v>
      </c>
      <c r="O185">
        <v>25</v>
      </c>
      <c r="P185">
        <v>2</v>
      </c>
      <c r="Q185">
        <v>6</v>
      </c>
      <c r="R185">
        <v>2</v>
      </c>
      <c r="S185">
        <v>0.25</v>
      </c>
      <c r="T185" t="s">
        <v>965</v>
      </c>
      <c r="U185" t="s">
        <v>81</v>
      </c>
      <c r="V185" t="s">
        <v>62</v>
      </c>
      <c r="W185" t="s">
        <v>62</v>
      </c>
      <c r="X185">
        <v>0</v>
      </c>
      <c r="Y185">
        <v>0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0</v>
      </c>
      <c r="AL185">
        <v>5</v>
      </c>
      <c r="AM185">
        <v>2</v>
      </c>
      <c r="AN185">
        <v>3</v>
      </c>
      <c r="AO185">
        <v>2</v>
      </c>
      <c r="AP185">
        <v>2</v>
      </c>
      <c r="AQ185">
        <v>0</v>
      </c>
      <c r="AR185" t="s">
        <v>17242</v>
      </c>
      <c r="AS185" t="s">
        <v>193</v>
      </c>
      <c r="AT185">
        <v>1.032</v>
      </c>
      <c r="AU185" t="s">
        <v>65</v>
      </c>
      <c r="AV185">
        <v>5</v>
      </c>
      <c r="AW185">
        <v>2</v>
      </c>
      <c r="AX185" t="s">
        <v>17243</v>
      </c>
      <c r="AY185">
        <v>2.5409999999999999E-2</v>
      </c>
      <c r="AZ185">
        <v>-2.7499999999999998E-3</v>
      </c>
      <c r="BA185">
        <v>2.7499999999999998E-3</v>
      </c>
      <c r="BB185">
        <v>-4.4999999999999999E-4</v>
      </c>
      <c r="BC185">
        <v>0.10836</v>
      </c>
      <c r="BD185">
        <v>0.98699999999999999</v>
      </c>
      <c r="BE185" t="s">
        <v>69</v>
      </c>
      <c r="BF185">
        <v>-0.66900000000000004</v>
      </c>
      <c r="BG185">
        <v>-0.49399999999999999</v>
      </c>
    </row>
    <row r="186" spans="1:59">
      <c r="A186">
        <v>0</v>
      </c>
      <c r="B186">
        <v>2</v>
      </c>
      <c r="C186">
        <v>0</v>
      </c>
      <c r="D186" t="s">
        <v>25022</v>
      </c>
      <c r="E186">
        <v>3173</v>
      </c>
      <c r="F186" t="s">
        <v>18450</v>
      </c>
      <c r="G186" t="s">
        <v>62</v>
      </c>
      <c r="H186">
        <v>3131155</v>
      </c>
      <c r="I186">
        <v>3131394</v>
      </c>
      <c r="J186" t="s">
        <v>116</v>
      </c>
      <c r="K186">
        <v>80</v>
      </c>
      <c r="L186" t="s">
        <v>18451</v>
      </c>
      <c r="M186">
        <v>48</v>
      </c>
      <c r="N186" t="str">
        <f>HYPERLINK("Gene3173-zp_tree_all.dnd", "Gene3173-tree")</f>
        <v>Gene3173-tree</v>
      </c>
      <c r="O186">
        <v>32</v>
      </c>
      <c r="P186">
        <v>3</v>
      </c>
      <c r="Q186">
        <v>9</v>
      </c>
      <c r="R186">
        <v>3</v>
      </c>
      <c r="S186">
        <v>0.25</v>
      </c>
      <c r="T186" t="s">
        <v>18452</v>
      </c>
      <c r="U186" t="s">
        <v>324</v>
      </c>
      <c r="V186" t="s">
        <v>62</v>
      </c>
      <c r="W186" t="s">
        <v>62</v>
      </c>
      <c r="X186">
        <v>1</v>
      </c>
      <c r="Y186">
        <v>2</v>
      </c>
      <c r="Z186">
        <v>3</v>
      </c>
      <c r="AA186">
        <v>0.4</v>
      </c>
      <c r="AB186">
        <v>0</v>
      </c>
      <c r="AC186">
        <v>0</v>
      </c>
      <c r="AD186">
        <v>0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3</v>
      </c>
      <c r="AK186">
        <v>0</v>
      </c>
      <c r="AL186">
        <v>8</v>
      </c>
      <c r="AM186">
        <v>6</v>
      </c>
      <c r="AN186">
        <v>13</v>
      </c>
      <c r="AO186">
        <v>3</v>
      </c>
      <c r="AP186">
        <v>10</v>
      </c>
      <c r="AQ186">
        <v>2</v>
      </c>
      <c r="AR186" t="s">
        <v>18453</v>
      </c>
      <c r="AS186" t="s">
        <v>18454</v>
      </c>
      <c r="AT186">
        <v>8.5999999999999993E-2</v>
      </c>
      <c r="AU186" t="s">
        <v>65</v>
      </c>
      <c r="AV186">
        <v>23</v>
      </c>
      <c r="AW186">
        <v>5</v>
      </c>
      <c r="AX186" t="s">
        <v>18455</v>
      </c>
      <c r="AY186">
        <v>0.12494</v>
      </c>
      <c r="AZ186">
        <v>-1.2319999999999999E-2</v>
      </c>
      <c r="BA186">
        <v>6.9800000000000001E-3</v>
      </c>
      <c r="BB186">
        <v>-5.2999999999999998E-4</v>
      </c>
      <c r="BC186">
        <v>5.5890000000000002E-2</v>
      </c>
      <c r="BD186">
        <v>1</v>
      </c>
      <c r="BE186" t="s">
        <v>69</v>
      </c>
      <c r="BF186">
        <v>-1.4350000000000001</v>
      </c>
      <c r="BG186">
        <v>-7.5999999999999998E-2</v>
      </c>
    </row>
    <row r="187" spans="1:59">
      <c r="A187">
        <v>0</v>
      </c>
      <c r="B187">
        <v>0</v>
      </c>
      <c r="C187">
        <v>3</v>
      </c>
      <c r="D187" t="s">
        <v>25022</v>
      </c>
      <c r="E187">
        <v>1661</v>
      </c>
      <c r="F187" t="s">
        <v>10400</v>
      </c>
      <c r="G187" t="s">
        <v>57</v>
      </c>
      <c r="H187">
        <v>1673892</v>
      </c>
      <c r="I187">
        <v>1674134</v>
      </c>
      <c r="J187" t="s">
        <v>10401</v>
      </c>
      <c r="K187">
        <v>81</v>
      </c>
      <c r="L187" t="s">
        <v>59</v>
      </c>
      <c r="M187">
        <v>49</v>
      </c>
      <c r="N187" t="str">
        <f>HYPERLINK("Gene1661-zp_tree_all.dnd", "Gene1661-tree")</f>
        <v>Gene1661-tree</v>
      </c>
      <c r="O187">
        <v>2</v>
      </c>
      <c r="P187">
        <v>23</v>
      </c>
      <c r="Q187">
        <v>2</v>
      </c>
      <c r="R187">
        <v>4</v>
      </c>
      <c r="S187">
        <v>0.66666999999999998</v>
      </c>
      <c r="T187" t="s">
        <v>81</v>
      </c>
      <c r="U187" t="s">
        <v>690</v>
      </c>
      <c r="V187">
        <v>2.2570000000000001</v>
      </c>
      <c r="W187" t="s">
        <v>65</v>
      </c>
      <c r="X187">
        <v>1</v>
      </c>
      <c r="Y187">
        <v>3</v>
      </c>
      <c r="Z187">
        <v>2</v>
      </c>
      <c r="AA187">
        <v>0.6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3</v>
      </c>
      <c r="AK187">
        <v>0</v>
      </c>
      <c r="AL187">
        <v>4</v>
      </c>
      <c r="AM187">
        <v>2</v>
      </c>
      <c r="AN187">
        <v>1</v>
      </c>
      <c r="AO187">
        <v>3</v>
      </c>
      <c r="AP187">
        <v>1</v>
      </c>
      <c r="AQ187">
        <v>2</v>
      </c>
      <c r="AR187" t="s">
        <v>10402</v>
      </c>
      <c r="AS187" t="s">
        <v>10403</v>
      </c>
      <c r="AT187">
        <v>0.192</v>
      </c>
      <c r="AU187" t="s">
        <v>65</v>
      </c>
      <c r="AV187">
        <v>2</v>
      </c>
      <c r="AW187">
        <v>5</v>
      </c>
      <c r="AX187" t="s">
        <v>10404</v>
      </c>
      <c r="AY187">
        <v>2.0789999999999999E-2</v>
      </c>
      <c r="AZ187">
        <v>-3.8300000000000001E-3</v>
      </c>
      <c r="BA187">
        <v>1.0410000000000001E-2</v>
      </c>
      <c r="BB187">
        <v>-1.1900000000000001E-3</v>
      </c>
      <c r="BC187">
        <v>0.50058999999999998</v>
      </c>
      <c r="BD187">
        <v>0.64400000000000002</v>
      </c>
      <c r="BE187" t="s">
        <v>635</v>
      </c>
      <c r="BF187">
        <v>-0.71699999999999997</v>
      </c>
      <c r="BG187">
        <v>-0.308</v>
      </c>
    </row>
    <row r="188" spans="1:59">
      <c r="A188">
        <v>0</v>
      </c>
      <c r="B188">
        <v>0</v>
      </c>
      <c r="C188">
        <v>0</v>
      </c>
      <c r="D188" t="s">
        <v>25022</v>
      </c>
      <c r="E188">
        <v>2322</v>
      </c>
      <c r="F188" t="s">
        <v>13463</v>
      </c>
      <c r="G188" t="s">
        <v>62</v>
      </c>
      <c r="H188">
        <v>2339229</v>
      </c>
      <c r="I188">
        <v>2339471</v>
      </c>
      <c r="J188" t="s">
        <v>12093</v>
      </c>
      <c r="K188">
        <v>81</v>
      </c>
      <c r="L188" t="s">
        <v>108</v>
      </c>
      <c r="M188">
        <v>44</v>
      </c>
      <c r="N188" t="str">
        <f>HYPERLINK("Gene2322-zp_tree_all.dnd", "Gene2322-tree")</f>
        <v>Gene2322-tree</v>
      </c>
      <c r="O188">
        <v>7</v>
      </c>
      <c r="P188">
        <v>2</v>
      </c>
      <c r="Q188">
        <v>7</v>
      </c>
      <c r="R188">
        <v>2</v>
      </c>
      <c r="S188">
        <v>0.22222</v>
      </c>
      <c r="T188" t="s">
        <v>152</v>
      </c>
      <c r="U188" t="s">
        <v>81</v>
      </c>
      <c r="V188" t="s">
        <v>62</v>
      </c>
      <c r="W188" t="s">
        <v>62</v>
      </c>
      <c r="X188">
        <v>0</v>
      </c>
      <c r="Y188">
        <v>0</v>
      </c>
      <c r="Z188">
        <v>3</v>
      </c>
      <c r="AA188">
        <v>0</v>
      </c>
      <c r="AB188">
        <v>0</v>
      </c>
      <c r="AC188">
        <v>0</v>
      </c>
      <c r="AD188">
        <v>0</v>
      </c>
      <c r="AE188">
        <v>2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5</v>
      </c>
      <c r="AM188">
        <v>3</v>
      </c>
      <c r="AN188">
        <v>6</v>
      </c>
      <c r="AO188">
        <v>1</v>
      </c>
      <c r="AP188">
        <v>3</v>
      </c>
      <c r="AQ188">
        <v>2</v>
      </c>
      <c r="AR188" t="s">
        <v>13464</v>
      </c>
      <c r="AS188" t="s">
        <v>13465</v>
      </c>
      <c r="AT188">
        <v>0.89700000000000002</v>
      </c>
      <c r="AU188" t="s">
        <v>65</v>
      </c>
      <c r="AV188">
        <v>9</v>
      </c>
      <c r="AW188">
        <v>3</v>
      </c>
      <c r="AX188" t="s">
        <v>13466</v>
      </c>
      <c r="AY188">
        <v>4.6719999999999998E-2</v>
      </c>
      <c r="AZ188">
        <v>-3.3500000000000001E-3</v>
      </c>
      <c r="BA188">
        <v>5.3E-3</v>
      </c>
      <c r="BB188">
        <v>-7.3999999999999999E-4</v>
      </c>
      <c r="BC188">
        <v>0.11336</v>
      </c>
      <c r="BD188">
        <v>1</v>
      </c>
      <c r="BE188" t="s">
        <v>69</v>
      </c>
      <c r="BF188">
        <v>0.20599999999999999</v>
      </c>
      <c r="BG188">
        <v>0.21</v>
      </c>
    </row>
    <row r="189" spans="1:59">
      <c r="A189">
        <v>0</v>
      </c>
      <c r="B189">
        <v>0</v>
      </c>
      <c r="C189">
        <v>0</v>
      </c>
      <c r="D189" t="s">
        <v>25022</v>
      </c>
      <c r="E189">
        <v>1477</v>
      </c>
      <c r="F189" t="s">
        <v>9231</v>
      </c>
      <c r="G189" t="s">
        <v>57</v>
      </c>
      <c r="H189">
        <v>1490939</v>
      </c>
      <c r="I189">
        <v>1491181</v>
      </c>
      <c r="J189" t="s">
        <v>288</v>
      </c>
      <c r="K189">
        <v>81</v>
      </c>
      <c r="L189" t="s">
        <v>59</v>
      </c>
      <c r="M189">
        <v>49</v>
      </c>
      <c r="N189" t="str">
        <f>HYPERLINK("Gene1477-zp_tree_all.dnd", "Gene1477-tree")</f>
        <v>Gene1477-tree</v>
      </c>
      <c r="O189">
        <v>31</v>
      </c>
      <c r="P189">
        <v>0</v>
      </c>
      <c r="Q189">
        <v>12</v>
      </c>
      <c r="R189">
        <v>0</v>
      </c>
      <c r="S189">
        <v>0</v>
      </c>
      <c r="T189" t="s">
        <v>5000</v>
      </c>
      <c r="U189" t="s">
        <v>62</v>
      </c>
      <c r="V189" t="s">
        <v>62</v>
      </c>
      <c r="W189" t="s">
        <v>62</v>
      </c>
      <c r="X189">
        <v>0</v>
      </c>
      <c r="Y189">
        <v>0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9</v>
      </c>
      <c r="AM189">
        <v>5</v>
      </c>
      <c r="AN189">
        <v>9</v>
      </c>
      <c r="AO189">
        <v>0</v>
      </c>
      <c r="AP189">
        <v>8</v>
      </c>
      <c r="AQ189">
        <v>2</v>
      </c>
      <c r="AR189" t="s">
        <v>193</v>
      </c>
      <c r="AS189" t="s">
        <v>9232</v>
      </c>
      <c r="AT189">
        <v>0.81299999999999994</v>
      </c>
      <c r="AU189" t="s">
        <v>65</v>
      </c>
      <c r="AV189">
        <v>17</v>
      </c>
      <c r="AW189">
        <v>2</v>
      </c>
      <c r="AX189" t="s">
        <v>9233</v>
      </c>
      <c r="AY189">
        <v>9.0090000000000003E-2</v>
      </c>
      <c r="AZ189">
        <v>-6.3699999999999998E-3</v>
      </c>
      <c r="BA189">
        <v>4.1599999999999996E-3</v>
      </c>
      <c r="BB189">
        <v>-5.1999999999999995E-4</v>
      </c>
      <c r="BC189">
        <v>4.6179999999999999E-2</v>
      </c>
      <c r="BD189">
        <v>1</v>
      </c>
      <c r="BE189" t="s">
        <v>69</v>
      </c>
      <c r="BF189">
        <v>-7.8E-2</v>
      </c>
      <c r="BG189">
        <v>0.65600000000000003</v>
      </c>
    </row>
    <row r="190" spans="1:59">
      <c r="A190">
        <v>0</v>
      </c>
      <c r="B190">
        <v>0</v>
      </c>
      <c r="C190">
        <v>0</v>
      </c>
      <c r="D190" t="s">
        <v>25022</v>
      </c>
      <c r="E190">
        <v>420</v>
      </c>
      <c r="F190" t="s">
        <v>2853</v>
      </c>
      <c r="G190" t="s">
        <v>57</v>
      </c>
      <c r="H190">
        <v>463245</v>
      </c>
      <c r="I190">
        <v>463487</v>
      </c>
      <c r="J190" t="s">
        <v>116</v>
      </c>
      <c r="K190">
        <v>81</v>
      </c>
      <c r="L190" t="s">
        <v>125</v>
      </c>
      <c r="M190">
        <v>48</v>
      </c>
      <c r="N190" t="str">
        <f>HYPERLINK("Gene420-zp_tree_all.dnd", "Gene420-tree")</f>
        <v>Gene420-tree</v>
      </c>
      <c r="O190">
        <v>31</v>
      </c>
      <c r="P190">
        <v>1</v>
      </c>
      <c r="Q190">
        <v>10</v>
      </c>
      <c r="R190">
        <v>1</v>
      </c>
      <c r="S190">
        <v>9.0910000000000005E-2</v>
      </c>
      <c r="T190" t="s">
        <v>2854</v>
      </c>
      <c r="U190" t="s">
        <v>175</v>
      </c>
      <c r="V190" t="s">
        <v>62</v>
      </c>
      <c r="W190" t="s">
        <v>62</v>
      </c>
      <c r="X190">
        <v>0</v>
      </c>
      <c r="Y190">
        <v>0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0</v>
      </c>
      <c r="AL190">
        <v>7</v>
      </c>
      <c r="AM190">
        <v>4</v>
      </c>
      <c r="AN190">
        <v>8</v>
      </c>
      <c r="AO190">
        <v>2</v>
      </c>
      <c r="AP190">
        <v>10</v>
      </c>
      <c r="AQ190">
        <v>0</v>
      </c>
      <c r="AR190" t="s">
        <v>2855</v>
      </c>
      <c r="AS190" t="s">
        <v>193</v>
      </c>
      <c r="AT190">
        <v>0.434</v>
      </c>
      <c r="AU190" t="s">
        <v>65</v>
      </c>
      <c r="AV190">
        <v>18</v>
      </c>
      <c r="AW190">
        <v>2</v>
      </c>
      <c r="AX190" t="s">
        <v>2856</v>
      </c>
      <c r="AY190">
        <v>0.10539</v>
      </c>
      <c r="AZ190">
        <v>-9.4599999999999997E-3</v>
      </c>
      <c r="BA190">
        <v>1.9599999999999999E-3</v>
      </c>
      <c r="BB190">
        <v>-5.5999999999999995E-4</v>
      </c>
      <c r="BC190">
        <v>1.8620000000000001E-2</v>
      </c>
      <c r="BD190">
        <v>1</v>
      </c>
      <c r="BE190" t="s">
        <v>69</v>
      </c>
      <c r="BF190">
        <v>-0.61899999999999999</v>
      </c>
      <c r="BG190">
        <v>0.84899999999999998</v>
      </c>
    </row>
    <row r="191" spans="1:59">
      <c r="A191">
        <v>0</v>
      </c>
      <c r="B191">
        <v>0</v>
      </c>
      <c r="C191">
        <v>0</v>
      </c>
      <c r="D191" t="s">
        <v>25022</v>
      </c>
      <c r="E191">
        <v>1597</v>
      </c>
      <c r="F191" t="s">
        <v>9992</v>
      </c>
      <c r="G191" t="s">
        <v>57</v>
      </c>
      <c r="H191">
        <v>1608919</v>
      </c>
      <c r="I191">
        <v>1609161</v>
      </c>
      <c r="J191" t="s">
        <v>9993</v>
      </c>
      <c r="K191">
        <v>81</v>
      </c>
      <c r="L191" t="s">
        <v>572</v>
      </c>
      <c r="M191">
        <v>48</v>
      </c>
      <c r="N191" t="str">
        <f>HYPERLINK("Gene1597-zp_tree_all.dnd", "Gene1597-tree")</f>
        <v>Gene1597-tree</v>
      </c>
      <c r="O191">
        <v>10</v>
      </c>
      <c r="P191">
        <v>0</v>
      </c>
      <c r="Q191">
        <v>10</v>
      </c>
      <c r="R191">
        <v>0</v>
      </c>
      <c r="S191">
        <v>0</v>
      </c>
      <c r="T191" t="s">
        <v>117</v>
      </c>
      <c r="U191" t="s">
        <v>62</v>
      </c>
      <c r="V191" t="s">
        <v>62</v>
      </c>
      <c r="W191" t="s">
        <v>62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9</v>
      </c>
      <c r="AM191">
        <v>4</v>
      </c>
      <c r="AN191">
        <v>16</v>
      </c>
      <c r="AO191">
        <v>0</v>
      </c>
      <c r="AP191">
        <v>7</v>
      </c>
      <c r="AQ191">
        <v>1</v>
      </c>
      <c r="AR191" t="s">
        <v>193</v>
      </c>
      <c r="AS191" t="s">
        <v>9994</v>
      </c>
      <c r="AT191">
        <v>0.53500000000000003</v>
      </c>
      <c r="AU191" t="s">
        <v>65</v>
      </c>
      <c r="AV191">
        <v>23</v>
      </c>
      <c r="AW191">
        <v>1</v>
      </c>
      <c r="AX191" t="s">
        <v>9995</v>
      </c>
      <c r="AY191">
        <v>0.13399</v>
      </c>
      <c r="AZ191">
        <v>-1.3480000000000001E-2</v>
      </c>
      <c r="BA191">
        <v>1.91E-3</v>
      </c>
      <c r="BB191">
        <v>-3.1E-4</v>
      </c>
      <c r="BC191">
        <v>1.423E-2</v>
      </c>
      <c r="BD191">
        <v>1</v>
      </c>
      <c r="BE191" t="s">
        <v>69</v>
      </c>
      <c r="BF191">
        <v>-1.337</v>
      </c>
      <c r="BG191">
        <v>-1.9730000000000001</v>
      </c>
    </row>
    <row r="192" spans="1:59">
      <c r="A192">
        <v>0</v>
      </c>
      <c r="B192">
        <v>0</v>
      </c>
      <c r="C192">
        <v>0</v>
      </c>
      <c r="D192" t="s">
        <v>25022</v>
      </c>
      <c r="E192">
        <v>214</v>
      </c>
      <c r="F192" t="s">
        <v>1460</v>
      </c>
      <c r="G192" t="s">
        <v>57</v>
      </c>
      <c r="H192">
        <v>235625</v>
      </c>
      <c r="I192">
        <v>235870</v>
      </c>
      <c r="J192" t="s">
        <v>116</v>
      </c>
      <c r="K192">
        <v>82</v>
      </c>
      <c r="L192" t="s">
        <v>1392</v>
      </c>
      <c r="M192">
        <v>43</v>
      </c>
      <c r="N192" t="str">
        <f>HYPERLINK("Gene214-zp_tree_all.dnd", "Gene214-tree")</f>
        <v>Gene214-tree</v>
      </c>
      <c r="O192">
        <v>4</v>
      </c>
      <c r="P192">
        <v>3</v>
      </c>
      <c r="Q192">
        <v>4</v>
      </c>
      <c r="R192">
        <v>3</v>
      </c>
      <c r="S192">
        <v>0.42857000000000001</v>
      </c>
      <c r="T192" t="s">
        <v>61</v>
      </c>
      <c r="U192" t="s">
        <v>324</v>
      </c>
      <c r="V192" t="s">
        <v>62</v>
      </c>
      <c r="W192" t="s">
        <v>62</v>
      </c>
      <c r="X192">
        <v>0</v>
      </c>
      <c r="Y192">
        <v>0</v>
      </c>
      <c r="Z192">
        <v>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3</v>
      </c>
      <c r="AK192">
        <v>0</v>
      </c>
      <c r="AL192">
        <v>5</v>
      </c>
      <c r="AM192">
        <v>1</v>
      </c>
      <c r="AN192">
        <v>2</v>
      </c>
      <c r="AO192">
        <v>3</v>
      </c>
      <c r="AP192">
        <v>1</v>
      </c>
      <c r="AQ192">
        <v>0</v>
      </c>
      <c r="AR192" t="s">
        <v>1461</v>
      </c>
      <c r="AS192" t="s">
        <v>193</v>
      </c>
      <c r="AT192">
        <v>1.032</v>
      </c>
      <c r="AU192" t="s">
        <v>65</v>
      </c>
      <c r="AV192">
        <v>3</v>
      </c>
      <c r="AW192">
        <v>3</v>
      </c>
      <c r="AX192" t="s">
        <v>1462</v>
      </c>
      <c r="AY192">
        <v>1.8249999999999999E-2</v>
      </c>
      <c r="AZ192">
        <v>-3.2299999999999998E-3</v>
      </c>
      <c r="BA192">
        <v>4.6699999999999997E-3</v>
      </c>
      <c r="BB192">
        <v>-7.2999999999999996E-4</v>
      </c>
      <c r="BC192">
        <v>0.25591000000000003</v>
      </c>
      <c r="BD192">
        <v>0.91700000000000004</v>
      </c>
      <c r="BE192" t="s">
        <v>635</v>
      </c>
      <c r="BF192">
        <v>-1.171</v>
      </c>
      <c r="BG192">
        <v>-1.32</v>
      </c>
    </row>
    <row r="193" spans="1:59">
      <c r="A193">
        <v>0</v>
      </c>
      <c r="B193">
        <v>0</v>
      </c>
      <c r="C193">
        <v>3</v>
      </c>
      <c r="D193" t="s">
        <v>25022</v>
      </c>
      <c r="E193">
        <v>3297</v>
      </c>
      <c r="F193" t="s">
        <v>19242</v>
      </c>
      <c r="G193" t="s">
        <v>62</v>
      </c>
      <c r="H193">
        <v>3262012</v>
      </c>
      <c r="I193">
        <v>3262257</v>
      </c>
      <c r="J193" t="s">
        <v>288</v>
      </c>
      <c r="K193">
        <v>82</v>
      </c>
      <c r="L193" t="s">
        <v>7691</v>
      </c>
      <c r="M193">
        <v>46</v>
      </c>
      <c r="N193" t="str">
        <f>HYPERLINK("Gene3297-zp_tree_all.dnd", "Gene3297-tree")</f>
        <v>Gene3297-tree</v>
      </c>
      <c r="O193">
        <v>37</v>
      </c>
      <c r="P193">
        <v>7</v>
      </c>
      <c r="Q193">
        <v>2</v>
      </c>
      <c r="R193">
        <v>7</v>
      </c>
      <c r="S193">
        <v>0.77778000000000003</v>
      </c>
      <c r="T193" t="s">
        <v>19243</v>
      </c>
      <c r="U193" t="s">
        <v>152</v>
      </c>
      <c r="V193" t="s">
        <v>62</v>
      </c>
      <c r="W193" t="s">
        <v>62</v>
      </c>
      <c r="X193">
        <v>1</v>
      </c>
      <c r="Y193">
        <v>3</v>
      </c>
      <c r="Z193">
        <v>8</v>
      </c>
      <c r="AA193">
        <v>0.27272999999999997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8</v>
      </c>
      <c r="AK193">
        <v>0</v>
      </c>
      <c r="AL193">
        <v>7</v>
      </c>
      <c r="AM193">
        <v>3</v>
      </c>
      <c r="AN193">
        <v>4</v>
      </c>
      <c r="AO193">
        <v>8</v>
      </c>
      <c r="AP193">
        <v>6</v>
      </c>
      <c r="AQ193">
        <v>4</v>
      </c>
      <c r="AR193" t="s">
        <v>19244</v>
      </c>
      <c r="AS193" t="s">
        <v>19245</v>
      </c>
      <c r="AT193">
        <v>0.81399999999999995</v>
      </c>
      <c r="AU193" t="s">
        <v>65</v>
      </c>
      <c r="AV193">
        <v>10</v>
      </c>
      <c r="AW193">
        <v>12</v>
      </c>
      <c r="AX193" t="s">
        <v>19246</v>
      </c>
      <c r="AY193">
        <v>6.8239999999999995E-2</v>
      </c>
      <c r="AZ193">
        <v>-1.158E-2</v>
      </c>
      <c r="BA193">
        <v>1.651E-2</v>
      </c>
      <c r="BB193">
        <v>-1.5399999999999999E-3</v>
      </c>
      <c r="BC193">
        <v>0.24203</v>
      </c>
      <c r="BD193">
        <v>1</v>
      </c>
      <c r="BE193" t="s">
        <v>69</v>
      </c>
      <c r="BF193">
        <v>-2.1909999999999998</v>
      </c>
      <c r="BG193">
        <v>-2.1230000000000002</v>
      </c>
    </row>
    <row r="194" spans="1:59">
      <c r="A194">
        <v>0</v>
      </c>
      <c r="B194">
        <v>2</v>
      </c>
      <c r="C194">
        <v>0</v>
      </c>
      <c r="D194" t="s">
        <v>25022</v>
      </c>
      <c r="E194">
        <v>4171</v>
      </c>
      <c r="F194" t="s">
        <v>24551</v>
      </c>
      <c r="G194" t="s">
        <v>62</v>
      </c>
      <c r="H194">
        <v>4137365</v>
      </c>
      <c r="I194">
        <v>4137610</v>
      </c>
      <c r="J194" t="s">
        <v>4672</v>
      </c>
      <c r="K194">
        <v>82</v>
      </c>
      <c r="L194" t="s">
        <v>24552</v>
      </c>
      <c r="M194">
        <v>33</v>
      </c>
      <c r="N194" t="str">
        <f>HYPERLINK("Gene4171-zp_tree_all.dnd", "Gene4171-tree")</f>
        <v>Gene4171-tree</v>
      </c>
      <c r="O194">
        <v>4</v>
      </c>
      <c r="P194">
        <v>4</v>
      </c>
      <c r="Q194">
        <v>4</v>
      </c>
      <c r="R194">
        <v>4</v>
      </c>
      <c r="S194">
        <v>0.5</v>
      </c>
      <c r="T194" t="s">
        <v>61</v>
      </c>
      <c r="U194" t="s">
        <v>61</v>
      </c>
      <c r="V194" t="s">
        <v>62</v>
      </c>
      <c r="W194" t="s">
        <v>62</v>
      </c>
      <c r="X194">
        <v>1</v>
      </c>
      <c r="Y194">
        <v>2</v>
      </c>
      <c r="Z194">
        <v>8</v>
      </c>
      <c r="AA194">
        <v>0.2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</v>
      </c>
      <c r="AK194">
        <v>0</v>
      </c>
      <c r="AL194">
        <v>7</v>
      </c>
      <c r="AM194">
        <v>5</v>
      </c>
      <c r="AN194">
        <v>13</v>
      </c>
      <c r="AO194">
        <v>6</v>
      </c>
      <c r="AP194">
        <v>3</v>
      </c>
      <c r="AQ194">
        <v>4</v>
      </c>
      <c r="AR194" t="s">
        <v>24553</v>
      </c>
      <c r="AS194" t="s">
        <v>24554</v>
      </c>
      <c r="AT194">
        <v>1.1439999999999999</v>
      </c>
      <c r="AU194" t="s">
        <v>65</v>
      </c>
      <c r="AV194">
        <v>16</v>
      </c>
      <c r="AW194">
        <v>10</v>
      </c>
      <c r="AX194" t="s">
        <v>24555</v>
      </c>
      <c r="AY194">
        <v>7.6289999999999997E-2</v>
      </c>
      <c r="AZ194">
        <v>-7.0699999999999999E-3</v>
      </c>
      <c r="BA194">
        <v>1.8319999999999999E-2</v>
      </c>
      <c r="BB194">
        <v>-1.89E-3</v>
      </c>
      <c r="BC194">
        <v>0.24009</v>
      </c>
      <c r="BD194">
        <v>0.99</v>
      </c>
      <c r="BE194" t="s">
        <v>69</v>
      </c>
      <c r="BF194">
        <v>0.80800000000000005</v>
      </c>
      <c r="BG194">
        <v>-0.29599999999999999</v>
      </c>
    </row>
    <row r="195" spans="1:59">
      <c r="A195">
        <v>0</v>
      </c>
      <c r="B195">
        <v>0</v>
      </c>
      <c r="C195">
        <v>0</v>
      </c>
      <c r="D195" t="s">
        <v>25022</v>
      </c>
      <c r="E195">
        <v>1774</v>
      </c>
      <c r="F195" t="s">
        <v>11112</v>
      </c>
      <c r="G195" t="s">
        <v>57</v>
      </c>
      <c r="H195">
        <v>1788469</v>
      </c>
      <c r="I195">
        <v>1788714</v>
      </c>
      <c r="J195" t="s">
        <v>11113</v>
      </c>
      <c r="K195">
        <v>82</v>
      </c>
      <c r="L195" t="s">
        <v>8085</v>
      </c>
      <c r="M195">
        <v>35</v>
      </c>
      <c r="N195" t="str">
        <f>HYPERLINK("Gene1774-zp_tree_all.dnd", "Gene1774-tree")</f>
        <v>Gene1774-tree</v>
      </c>
      <c r="O195">
        <v>4</v>
      </c>
      <c r="P195">
        <v>3</v>
      </c>
      <c r="Q195">
        <v>4</v>
      </c>
      <c r="R195">
        <v>3</v>
      </c>
      <c r="S195">
        <v>0.42857000000000001</v>
      </c>
      <c r="T195" t="s">
        <v>61</v>
      </c>
      <c r="U195" t="s">
        <v>324</v>
      </c>
      <c r="V195" t="s">
        <v>62</v>
      </c>
      <c r="W195" t="s">
        <v>62</v>
      </c>
      <c r="X195">
        <v>0</v>
      </c>
      <c r="Y195">
        <v>0</v>
      </c>
      <c r="Z195">
        <v>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5</v>
      </c>
      <c r="AK195">
        <v>0</v>
      </c>
      <c r="AL195">
        <v>4</v>
      </c>
      <c r="AM195">
        <v>3</v>
      </c>
      <c r="AN195">
        <v>5</v>
      </c>
      <c r="AO195">
        <v>5</v>
      </c>
      <c r="AP195">
        <v>3</v>
      </c>
      <c r="AQ195">
        <v>0</v>
      </c>
      <c r="AR195" t="s">
        <v>11114</v>
      </c>
      <c r="AS195" t="s">
        <v>193</v>
      </c>
      <c r="AT195">
        <v>1.639</v>
      </c>
      <c r="AU195" t="s">
        <v>65</v>
      </c>
      <c r="AV195">
        <v>8</v>
      </c>
      <c r="AW195">
        <v>5</v>
      </c>
      <c r="AX195" t="s">
        <v>11115</v>
      </c>
      <c r="AY195">
        <v>5.2130000000000003E-2</v>
      </c>
      <c r="AZ195">
        <v>-6.1399999999999996E-3</v>
      </c>
      <c r="BA195">
        <v>7.5599999999999999E-3</v>
      </c>
      <c r="BB195">
        <v>-1.32E-3</v>
      </c>
      <c r="BC195">
        <v>0.14495</v>
      </c>
      <c r="BD195">
        <v>0.98</v>
      </c>
      <c r="BE195" t="s">
        <v>69</v>
      </c>
      <c r="BF195">
        <v>-0.98799999999999999</v>
      </c>
      <c r="BG195">
        <v>-1.4730000000000001</v>
      </c>
    </row>
    <row r="196" spans="1:59">
      <c r="A196">
        <v>0</v>
      </c>
      <c r="B196">
        <v>0</v>
      </c>
      <c r="C196">
        <v>2</v>
      </c>
      <c r="D196" t="s">
        <v>25022</v>
      </c>
      <c r="E196">
        <v>3939</v>
      </c>
      <c r="F196" t="s">
        <v>23120</v>
      </c>
      <c r="G196" t="s">
        <v>62</v>
      </c>
      <c r="H196">
        <v>3901871</v>
      </c>
      <c r="I196">
        <v>3902116</v>
      </c>
      <c r="J196" t="s">
        <v>116</v>
      </c>
      <c r="K196">
        <v>82</v>
      </c>
      <c r="L196" t="s">
        <v>289</v>
      </c>
      <c r="M196">
        <v>46</v>
      </c>
      <c r="N196" t="str">
        <f>HYPERLINK("Gene3939-zp_tree_all.dnd", "Gene3939-tree")</f>
        <v>Gene3939-tree</v>
      </c>
      <c r="O196">
        <v>32</v>
      </c>
      <c r="P196">
        <v>0</v>
      </c>
      <c r="Q196">
        <v>7</v>
      </c>
      <c r="R196">
        <v>0</v>
      </c>
      <c r="S196">
        <v>0</v>
      </c>
      <c r="T196" t="s">
        <v>5517</v>
      </c>
      <c r="U196" t="s">
        <v>62</v>
      </c>
      <c r="V196" t="s">
        <v>62</v>
      </c>
      <c r="W196" t="s">
        <v>62</v>
      </c>
      <c r="X196">
        <v>1</v>
      </c>
      <c r="Y196">
        <v>2</v>
      </c>
      <c r="Z196">
        <v>2</v>
      </c>
      <c r="AA196">
        <v>0.5</v>
      </c>
      <c r="AB196">
        <v>0</v>
      </c>
      <c r="AC196">
        <v>0</v>
      </c>
      <c r="AD196">
        <v>0</v>
      </c>
      <c r="AE196">
        <v>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4</v>
      </c>
      <c r="AM196">
        <v>3</v>
      </c>
      <c r="AN196">
        <v>4</v>
      </c>
      <c r="AO196">
        <v>0</v>
      </c>
      <c r="AP196">
        <v>6</v>
      </c>
      <c r="AQ196">
        <v>4</v>
      </c>
      <c r="AR196" t="s">
        <v>193</v>
      </c>
      <c r="AS196" t="s">
        <v>23121</v>
      </c>
      <c r="AT196">
        <v>0.83399999999999996</v>
      </c>
      <c r="AU196" t="s">
        <v>65</v>
      </c>
      <c r="AV196">
        <v>10</v>
      </c>
      <c r="AW196">
        <v>4</v>
      </c>
      <c r="AX196" t="s">
        <v>23122</v>
      </c>
      <c r="AY196">
        <v>8.5330000000000003E-2</v>
      </c>
      <c r="AZ196">
        <v>-1.2370000000000001E-2</v>
      </c>
      <c r="BA196">
        <v>8.43E-3</v>
      </c>
      <c r="BB196">
        <v>-1.5E-3</v>
      </c>
      <c r="BC196">
        <v>9.8739999999999994E-2</v>
      </c>
      <c r="BD196">
        <v>1</v>
      </c>
      <c r="BE196" t="s">
        <v>69</v>
      </c>
      <c r="BF196">
        <v>-1.323</v>
      </c>
      <c r="BG196">
        <v>1.2E-2</v>
      </c>
    </row>
    <row r="197" spans="1:59">
      <c r="A197">
        <v>0</v>
      </c>
      <c r="B197">
        <v>0</v>
      </c>
      <c r="C197">
        <v>0</v>
      </c>
      <c r="D197" t="s">
        <v>25022</v>
      </c>
      <c r="E197">
        <v>502</v>
      </c>
      <c r="F197" t="s">
        <v>3310</v>
      </c>
      <c r="G197" t="s">
        <v>57</v>
      </c>
      <c r="H197">
        <v>538061</v>
      </c>
      <c r="I197">
        <v>538306</v>
      </c>
      <c r="J197" t="s">
        <v>3311</v>
      </c>
      <c r="K197">
        <v>82</v>
      </c>
      <c r="L197" t="s">
        <v>3312</v>
      </c>
      <c r="M197">
        <v>20</v>
      </c>
      <c r="N197" t="str">
        <f>HYPERLINK("Gene502-zp_tree_all.dnd", "Gene502-tree")</f>
        <v>Gene502-tree</v>
      </c>
      <c r="O197">
        <v>1</v>
      </c>
      <c r="P197">
        <v>3</v>
      </c>
      <c r="Q197">
        <v>1</v>
      </c>
      <c r="R197">
        <v>3</v>
      </c>
      <c r="S197">
        <v>0.75</v>
      </c>
      <c r="T197" t="s">
        <v>175</v>
      </c>
      <c r="U197" t="s">
        <v>324</v>
      </c>
      <c r="V197" t="s">
        <v>62</v>
      </c>
      <c r="W197" t="s">
        <v>62</v>
      </c>
      <c r="X197">
        <v>0</v>
      </c>
      <c r="Y197">
        <v>0</v>
      </c>
      <c r="Z197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3</v>
      </c>
      <c r="AM197">
        <v>1</v>
      </c>
      <c r="AN197">
        <v>13</v>
      </c>
      <c r="AO197">
        <v>3</v>
      </c>
      <c r="AP197">
        <v>0</v>
      </c>
      <c r="AQ197">
        <v>1</v>
      </c>
      <c r="AR197" t="s">
        <v>3313</v>
      </c>
      <c r="AS197" t="s">
        <v>193</v>
      </c>
      <c r="AT197">
        <v>2.2719999999999998</v>
      </c>
      <c r="AU197" t="s">
        <v>267</v>
      </c>
      <c r="AV197">
        <v>13</v>
      </c>
      <c r="AW197">
        <v>4</v>
      </c>
      <c r="AX197" t="s">
        <v>3314</v>
      </c>
      <c r="AY197">
        <v>0.13486999999999999</v>
      </c>
      <c r="AZ197">
        <v>-2.282E-2</v>
      </c>
      <c r="BA197">
        <v>1.137E-2</v>
      </c>
      <c r="BB197">
        <v>-2.3E-3</v>
      </c>
      <c r="BC197">
        <v>8.4320000000000006E-2</v>
      </c>
      <c r="BD197">
        <v>1</v>
      </c>
      <c r="BE197" t="s">
        <v>69</v>
      </c>
      <c r="BF197">
        <v>-7.0000000000000007E-2</v>
      </c>
      <c r="BG197">
        <v>0.154</v>
      </c>
    </row>
    <row r="198" spans="1:59">
      <c r="A198">
        <v>0</v>
      </c>
      <c r="B198">
        <v>0</v>
      </c>
      <c r="C198">
        <v>0</v>
      </c>
      <c r="D198" t="s">
        <v>25022</v>
      </c>
      <c r="E198">
        <v>109</v>
      </c>
      <c r="F198" t="s">
        <v>836</v>
      </c>
      <c r="G198" t="s">
        <v>57</v>
      </c>
      <c r="H198">
        <v>129340</v>
      </c>
      <c r="I198">
        <v>129585</v>
      </c>
      <c r="J198" t="s">
        <v>837</v>
      </c>
      <c r="K198">
        <v>82</v>
      </c>
      <c r="L198" t="s">
        <v>59</v>
      </c>
      <c r="M198">
        <v>49</v>
      </c>
      <c r="N198" t="str">
        <f>HYPERLINK("Gene109-zp_tree_all.dnd", "Gene109-tree")</f>
        <v>Gene109-tree</v>
      </c>
      <c r="O198">
        <v>7</v>
      </c>
      <c r="P198">
        <v>1</v>
      </c>
      <c r="Q198">
        <v>7</v>
      </c>
      <c r="R198">
        <v>1</v>
      </c>
      <c r="S198">
        <v>0.125</v>
      </c>
      <c r="T198" t="s">
        <v>152</v>
      </c>
      <c r="U198" t="s">
        <v>175</v>
      </c>
      <c r="V198" t="s">
        <v>62</v>
      </c>
      <c r="W198" t="s">
        <v>62</v>
      </c>
      <c r="X198">
        <v>0</v>
      </c>
      <c r="Y198">
        <v>0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4</v>
      </c>
      <c r="AM198">
        <v>4</v>
      </c>
      <c r="AN198">
        <v>3</v>
      </c>
      <c r="AO198">
        <v>1</v>
      </c>
      <c r="AP198">
        <v>4</v>
      </c>
      <c r="AQ198">
        <v>1</v>
      </c>
      <c r="AR198" t="s">
        <v>838</v>
      </c>
      <c r="AS198" t="s">
        <v>839</v>
      </c>
      <c r="AT198">
        <v>0.124</v>
      </c>
      <c r="AU198" t="s">
        <v>65</v>
      </c>
      <c r="AV198">
        <v>7</v>
      </c>
      <c r="AW198">
        <v>2</v>
      </c>
      <c r="AX198" t="s">
        <v>840</v>
      </c>
      <c r="AY198">
        <v>4.376E-2</v>
      </c>
      <c r="AZ198">
        <v>-4.0699999999999998E-3</v>
      </c>
      <c r="BA198">
        <v>3.6800000000000001E-3</v>
      </c>
      <c r="BB198">
        <v>-5.9999999999999995E-4</v>
      </c>
      <c r="BC198">
        <v>8.4159999999999999E-2</v>
      </c>
      <c r="BD198">
        <v>1</v>
      </c>
      <c r="BE198" t="s">
        <v>69</v>
      </c>
      <c r="BF198">
        <v>-1.498</v>
      </c>
      <c r="BG198">
        <v>-0.83</v>
      </c>
    </row>
    <row r="199" spans="1:59">
      <c r="A199">
        <v>0</v>
      </c>
      <c r="B199">
        <v>0</v>
      </c>
      <c r="C199">
        <v>0</v>
      </c>
      <c r="D199" t="s">
        <v>25022</v>
      </c>
      <c r="E199">
        <v>726</v>
      </c>
      <c r="F199" t="s">
        <v>4495</v>
      </c>
      <c r="G199" t="s">
        <v>57</v>
      </c>
      <c r="H199">
        <v>755907</v>
      </c>
      <c r="I199">
        <v>756152</v>
      </c>
      <c r="J199" t="s">
        <v>4496</v>
      </c>
      <c r="K199">
        <v>82</v>
      </c>
      <c r="L199" t="s">
        <v>59</v>
      </c>
      <c r="M199">
        <v>49</v>
      </c>
      <c r="N199" t="str">
        <f>HYPERLINK("Gene726-zp_tree_all.dnd", "Gene726-tree")</f>
        <v>Gene726-tree</v>
      </c>
      <c r="O199">
        <v>7</v>
      </c>
      <c r="P199">
        <v>2</v>
      </c>
      <c r="Q199">
        <v>7</v>
      </c>
      <c r="R199">
        <v>2</v>
      </c>
      <c r="S199">
        <v>0.22222</v>
      </c>
      <c r="T199" t="s">
        <v>152</v>
      </c>
      <c r="U199" t="s">
        <v>81</v>
      </c>
      <c r="V199" t="s">
        <v>62</v>
      </c>
      <c r="W199" t="s">
        <v>62</v>
      </c>
      <c r="X199">
        <v>0</v>
      </c>
      <c r="Y199">
        <v>0</v>
      </c>
      <c r="Z199">
        <v>4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3</v>
      </c>
      <c r="AK199">
        <v>0</v>
      </c>
      <c r="AL199">
        <v>7</v>
      </c>
      <c r="AM199">
        <v>3</v>
      </c>
      <c r="AN199">
        <v>5</v>
      </c>
      <c r="AO199">
        <v>3</v>
      </c>
      <c r="AP199">
        <v>7</v>
      </c>
      <c r="AQ199">
        <v>1</v>
      </c>
      <c r="AR199" t="s">
        <v>4497</v>
      </c>
      <c r="AS199" t="s">
        <v>4498</v>
      </c>
      <c r="AT199">
        <v>0.59599999999999997</v>
      </c>
      <c r="AU199" t="s">
        <v>65</v>
      </c>
      <c r="AV199">
        <v>12</v>
      </c>
      <c r="AW199">
        <v>4</v>
      </c>
      <c r="AX199" t="s">
        <v>4499</v>
      </c>
      <c r="AY199">
        <v>8.4309999999999996E-2</v>
      </c>
      <c r="AZ199">
        <v>-1.048E-2</v>
      </c>
      <c r="BA199">
        <v>6.1399999999999996E-3</v>
      </c>
      <c r="BB199">
        <v>-9.6000000000000002E-4</v>
      </c>
      <c r="BC199">
        <v>7.288E-2</v>
      </c>
      <c r="BD199">
        <v>1</v>
      </c>
      <c r="BE199" t="s">
        <v>69</v>
      </c>
      <c r="BF199">
        <v>-1.6619999999999999</v>
      </c>
      <c r="BG199">
        <v>-0.25900000000000001</v>
      </c>
    </row>
    <row r="200" spans="1:59">
      <c r="A200">
        <v>0</v>
      </c>
      <c r="B200">
        <v>0</v>
      </c>
      <c r="C200">
        <v>2</v>
      </c>
      <c r="D200" t="s">
        <v>25022</v>
      </c>
      <c r="E200">
        <v>206</v>
      </c>
      <c r="F200" t="s">
        <v>1404</v>
      </c>
      <c r="G200" t="s">
        <v>57</v>
      </c>
      <c r="H200">
        <v>228066</v>
      </c>
      <c r="I200">
        <v>228311</v>
      </c>
      <c r="J200" t="s">
        <v>1405</v>
      </c>
      <c r="K200">
        <v>82</v>
      </c>
      <c r="L200" t="s">
        <v>59</v>
      </c>
      <c r="M200">
        <v>49</v>
      </c>
      <c r="N200" t="str">
        <f>HYPERLINK("Gene206-zp_tree_all.dnd", "Gene206-tree")</f>
        <v>Gene206-tree</v>
      </c>
      <c r="O200">
        <v>29</v>
      </c>
      <c r="P200">
        <v>6</v>
      </c>
      <c r="Q200">
        <v>7</v>
      </c>
      <c r="R200">
        <v>6</v>
      </c>
      <c r="S200">
        <v>0.46154000000000001</v>
      </c>
      <c r="T200" t="s">
        <v>1406</v>
      </c>
      <c r="U200" t="s">
        <v>90</v>
      </c>
      <c r="V200" t="s">
        <v>62</v>
      </c>
      <c r="W200" t="s">
        <v>62</v>
      </c>
      <c r="X200">
        <v>1</v>
      </c>
      <c r="Y200">
        <v>2</v>
      </c>
      <c r="Z200">
        <v>6</v>
      </c>
      <c r="AA200">
        <v>0.25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6</v>
      </c>
      <c r="AK200">
        <v>0</v>
      </c>
      <c r="AL200">
        <v>11</v>
      </c>
      <c r="AM200">
        <v>5</v>
      </c>
      <c r="AN200">
        <v>8</v>
      </c>
      <c r="AO200">
        <v>6</v>
      </c>
      <c r="AP200">
        <v>11</v>
      </c>
      <c r="AQ200">
        <v>2</v>
      </c>
      <c r="AR200" t="s">
        <v>1407</v>
      </c>
      <c r="AS200" t="s">
        <v>1408</v>
      </c>
      <c r="AT200">
        <v>1.86</v>
      </c>
      <c r="AU200" t="s">
        <v>65</v>
      </c>
      <c r="AV200">
        <v>19</v>
      </c>
      <c r="AW200">
        <v>8</v>
      </c>
      <c r="AX200" t="s">
        <v>1409</v>
      </c>
      <c r="AY200">
        <v>0.12681999999999999</v>
      </c>
      <c r="AZ200">
        <v>-9.9000000000000008E-3</v>
      </c>
      <c r="BA200">
        <v>8.7600000000000004E-3</v>
      </c>
      <c r="BB200">
        <v>-4.8999999999999998E-4</v>
      </c>
      <c r="BC200">
        <v>6.905E-2</v>
      </c>
      <c r="BD200">
        <v>1</v>
      </c>
      <c r="BE200" t="s">
        <v>69</v>
      </c>
      <c r="BF200">
        <v>-1.655</v>
      </c>
      <c r="BG200">
        <v>-1.0109999999999999</v>
      </c>
    </row>
    <row r="201" spans="1:59">
      <c r="A201">
        <v>0</v>
      </c>
      <c r="B201">
        <v>2</v>
      </c>
      <c r="C201">
        <v>0</v>
      </c>
      <c r="D201" t="s">
        <v>25022</v>
      </c>
      <c r="E201">
        <v>3186</v>
      </c>
      <c r="F201" t="s">
        <v>18538</v>
      </c>
      <c r="G201" t="s">
        <v>62</v>
      </c>
      <c r="H201">
        <v>3138981</v>
      </c>
      <c r="I201">
        <v>3139226</v>
      </c>
      <c r="J201" t="s">
        <v>18539</v>
      </c>
      <c r="K201">
        <v>82</v>
      </c>
      <c r="L201" t="s">
        <v>59</v>
      </c>
      <c r="M201">
        <v>49</v>
      </c>
      <c r="N201" t="str">
        <f>HYPERLINK("Gene3186-zp_tree_all.dnd", "Gene3186-tree")</f>
        <v>Gene3186-tree</v>
      </c>
      <c r="O201">
        <v>29</v>
      </c>
      <c r="P201">
        <v>1</v>
      </c>
      <c r="Q201">
        <v>12</v>
      </c>
      <c r="R201">
        <v>1</v>
      </c>
      <c r="S201">
        <v>7.6920000000000002E-2</v>
      </c>
      <c r="T201" t="s">
        <v>1455</v>
      </c>
      <c r="U201" t="s">
        <v>175</v>
      </c>
      <c r="V201" t="s">
        <v>62</v>
      </c>
      <c r="W201" t="s">
        <v>62</v>
      </c>
      <c r="X201">
        <v>1</v>
      </c>
      <c r="Y201">
        <v>2</v>
      </c>
      <c r="Z201">
        <v>1</v>
      </c>
      <c r="AA201">
        <v>0.66666999999999998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8</v>
      </c>
      <c r="AM201">
        <v>8</v>
      </c>
      <c r="AN201">
        <v>11</v>
      </c>
      <c r="AO201">
        <v>1</v>
      </c>
      <c r="AP201">
        <v>13</v>
      </c>
      <c r="AQ201">
        <v>2</v>
      </c>
      <c r="AR201" t="s">
        <v>18540</v>
      </c>
      <c r="AS201" t="s">
        <v>18541</v>
      </c>
      <c r="AT201">
        <v>0.182</v>
      </c>
      <c r="AU201" t="s">
        <v>65</v>
      </c>
      <c r="AV201">
        <v>24</v>
      </c>
      <c r="AW201">
        <v>3</v>
      </c>
      <c r="AX201" t="s">
        <v>18542</v>
      </c>
      <c r="AY201">
        <v>0.14696000000000001</v>
      </c>
      <c r="AZ201">
        <v>-9.8300000000000002E-3</v>
      </c>
      <c r="BA201">
        <v>2.6099999999999999E-3</v>
      </c>
      <c r="BB201">
        <v>-2.9E-4</v>
      </c>
      <c r="BC201">
        <v>1.7739999999999999E-2</v>
      </c>
      <c r="BD201">
        <v>1</v>
      </c>
      <c r="BE201" t="s">
        <v>69</v>
      </c>
      <c r="BF201">
        <v>-0.249</v>
      </c>
      <c r="BG201">
        <v>-0.77600000000000002</v>
      </c>
    </row>
    <row r="202" spans="1:59">
      <c r="A202">
        <v>0</v>
      </c>
      <c r="B202">
        <v>0</v>
      </c>
      <c r="C202">
        <v>3</v>
      </c>
      <c r="D202" t="s">
        <v>25022</v>
      </c>
      <c r="E202">
        <v>1812</v>
      </c>
      <c r="F202" t="s">
        <v>11357</v>
      </c>
      <c r="G202" t="s">
        <v>57</v>
      </c>
      <c r="H202">
        <v>1881098</v>
      </c>
      <c r="I202">
        <v>1881346</v>
      </c>
      <c r="J202" t="s">
        <v>11351</v>
      </c>
      <c r="K202">
        <v>83</v>
      </c>
      <c r="L202" t="s">
        <v>11358</v>
      </c>
      <c r="M202">
        <v>37</v>
      </c>
      <c r="N202" t="str">
        <f>HYPERLINK("Gene1812-zp_tree_all.dnd", "Gene1812-tree")</f>
        <v>Gene1812-tree</v>
      </c>
      <c r="O202">
        <v>2</v>
      </c>
      <c r="P202">
        <v>5</v>
      </c>
      <c r="Q202">
        <v>2</v>
      </c>
      <c r="R202">
        <v>5</v>
      </c>
      <c r="S202">
        <v>0.71428999999999998</v>
      </c>
      <c r="T202" t="s">
        <v>81</v>
      </c>
      <c r="U202" t="s">
        <v>199</v>
      </c>
      <c r="V202" t="s">
        <v>62</v>
      </c>
      <c r="W202" t="s">
        <v>62</v>
      </c>
      <c r="X202">
        <v>1</v>
      </c>
      <c r="Y202">
        <v>3</v>
      </c>
      <c r="Z202">
        <v>8</v>
      </c>
      <c r="AA202">
        <v>0.27272999999999997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6</v>
      </c>
      <c r="AK202">
        <v>0</v>
      </c>
      <c r="AL202">
        <v>5</v>
      </c>
      <c r="AM202">
        <v>3</v>
      </c>
      <c r="AN202">
        <v>5</v>
      </c>
      <c r="AO202">
        <v>3</v>
      </c>
      <c r="AP202">
        <v>6</v>
      </c>
      <c r="AQ202">
        <v>8</v>
      </c>
      <c r="AR202" t="s">
        <v>11359</v>
      </c>
      <c r="AS202" t="s">
        <v>11360</v>
      </c>
      <c r="AT202">
        <v>0.748</v>
      </c>
      <c r="AU202" t="s">
        <v>65</v>
      </c>
      <c r="AV202">
        <v>11</v>
      </c>
      <c r="AW202">
        <v>11</v>
      </c>
      <c r="AX202" t="s">
        <v>11361</v>
      </c>
      <c r="AY202">
        <v>8.5250000000000006E-2</v>
      </c>
      <c r="AZ202">
        <v>-1.349E-2</v>
      </c>
      <c r="BA202">
        <v>2.349E-2</v>
      </c>
      <c r="BB202">
        <v>-2.1900000000000001E-3</v>
      </c>
      <c r="BC202">
        <v>0.27550000000000002</v>
      </c>
      <c r="BD202">
        <v>0.95</v>
      </c>
      <c r="BE202" t="s">
        <v>635</v>
      </c>
      <c r="BF202">
        <v>-0.98799999999999999</v>
      </c>
      <c r="BG202">
        <v>-0.26800000000000002</v>
      </c>
    </row>
    <row r="203" spans="1:59">
      <c r="A203">
        <v>0</v>
      </c>
      <c r="B203">
        <v>2</v>
      </c>
      <c r="C203">
        <v>1</v>
      </c>
      <c r="D203" t="s">
        <v>25022</v>
      </c>
      <c r="E203">
        <v>2267</v>
      </c>
      <c r="F203" t="s">
        <v>13110</v>
      </c>
      <c r="G203" t="s">
        <v>62</v>
      </c>
      <c r="H203">
        <v>2292435</v>
      </c>
      <c r="I203">
        <v>2292683</v>
      </c>
      <c r="J203" t="s">
        <v>288</v>
      </c>
      <c r="K203">
        <v>83</v>
      </c>
      <c r="L203" t="s">
        <v>59</v>
      </c>
      <c r="M203">
        <v>49</v>
      </c>
      <c r="N203" t="str">
        <f>HYPERLINK("Gene2267-zp_tree_all.dnd", "Gene2267-tree")</f>
        <v>Gene2267-tree</v>
      </c>
      <c r="O203">
        <v>4</v>
      </c>
      <c r="P203">
        <v>4</v>
      </c>
      <c r="Q203">
        <v>4</v>
      </c>
      <c r="R203">
        <v>4</v>
      </c>
      <c r="S203">
        <v>0.5</v>
      </c>
      <c r="T203" t="s">
        <v>61</v>
      </c>
      <c r="U203" t="s">
        <v>61</v>
      </c>
      <c r="V203" t="s">
        <v>62</v>
      </c>
      <c r="W203" t="s">
        <v>62</v>
      </c>
      <c r="X203">
        <v>1</v>
      </c>
      <c r="Y203">
        <v>3</v>
      </c>
      <c r="Z203">
        <v>2</v>
      </c>
      <c r="AA203">
        <v>0.6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2</v>
      </c>
      <c r="AH203">
        <v>0</v>
      </c>
      <c r="AI203">
        <v>2</v>
      </c>
      <c r="AJ203">
        <v>2</v>
      </c>
      <c r="AK203">
        <v>0.5</v>
      </c>
      <c r="AL203">
        <v>6</v>
      </c>
      <c r="AM203">
        <v>2</v>
      </c>
      <c r="AN203">
        <v>3</v>
      </c>
      <c r="AO203">
        <v>4</v>
      </c>
      <c r="AP203">
        <v>2</v>
      </c>
      <c r="AQ203">
        <v>1</v>
      </c>
      <c r="AR203" t="s">
        <v>13111</v>
      </c>
      <c r="AS203" t="s">
        <v>13112</v>
      </c>
      <c r="AT203">
        <v>0.52100000000000002</v>
      </c>
      <c r="AU203" t="s">
        <v>65</v>
      </c>
      <c r="AV203">
        <v>5</v>
      </c>
      <c r="AW203">
        <v>5</v>
      </c>
      <c r="AX203" t="s">
        <v>13113</v>
      </c>
      <c r="AY203">
        <v>3.6569999999999998E-2</v>
      </c>
      <c r="AZ203">
        <v>-5.9100000000000003E-3</v>
      </c>
      <c r="BA203">
        <v>6.8199999999999997E-3</v>
      </c>
      <c r="BB203">
        <v>-5.9000000000000003E-4</v>
      </c>
      <c r="BC203">
        <v>0.1865</v>
      </c>
      <c r="BD203">
        <v>0.98899999999999999</v>
      </c>
      <c r="BE203" t="s">
        <v>69</v>
      </c>
      <c r="BF203">
        <v>-0.50900000000000001</v>
      </c>
      <c r="BG203">
        <v>0.04</v>
      </c>
    </row>
    <row r="204" spans="1:59">
      <c r="A204">
        <v>0</v>
      </c>
      <c r="B204">
        <v>0</v>
      </c>
      <c r="C204">
        <v>0</v>
      </c>
      <c r="D204" t="s">
        <v>25022</v>
      </c>
      <c r="E204">
        <v>4124</v>
      </c>
      <c r="F204" t="s">
        <v>24305</v>
      </c>
      <c r="G204" t="s">
        <v>62</v>
      </c>
      <c r="H204">
        <v>4091480</v>
      </c>
      <c r="I204">
        <v>4091728</v>
      </c>
      <c r="J204" t="s">
        <v>116</v>
      </c>
      <c r="K204">
        <v>83</v>
      </c>
      <c r="L204" t="s">
        <v>108</v>
      </c>
      <c r="M204">
        <v>44</v>
      </c>
      <c r="N204" t="str">
        <f>HYPERLINK("Gene4124-zp_tree_all.dnd", "Gene4124-tree")</f>
        <v>Gene4124-tree</v>
      </c>
      <c r="O204">
        <v>28</v>
      </c>
      <c r="P204">
        <v>2</v>
      </c>
      <c r="Q204">
        <v>9</v>
      </c>
      <c r="R204">
        <v>2</v>
      </c>
      <c r="S204">
        <v>0.18182000000000001</v>
      </c>
      <c r="T204" t="s">
        <v>2825</v>
      </c>
      <c r="U204" t="s">
        <v>81</v>
      </c>
      <c r="V204" t="s">
        <v>62</v>
      </c>
      <c r="W204" t="s">
        <v>62</v>
      </c>
      <c r="X204">
        <v>0</v>
      </c>
      <c r="Y204">
        <v>0</v>
      </c>
      <c r="Z204">
        <v>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3</v>
      </c>
      <c r="AK204">
        <v>0</v>
      </c>
      <c r="AL204">
        <v>7</v>
      </c>
      <c r="AM204">
        <v>5</v>
      </c>
      <c r="AN204">
        <v>10</v>
      </c>
      <c r="AO204">
        <v>3</v>
      </c>
      <c r="AP204">
        <v>5</v>
      </c>
      <c r="AQ204">
        <v>2</v>
      </c>
      <c r="AR204" t="s">
        <v>24306</v>
      </c>
      <c r="AS204" t="s">
        <v>24307</v>
      </c>
      <c r="AT204">
        <v>0.17499999999999999</v>
      </c>
      <c r="AU204" t="s">
        <v>65</v>
      </c>
      <c r="AV204">
        <v>15</v>
      </c>
      <c r="AW204">
        <v>5</v>
      </c>
      <c r="AX204" t="s">
        <v>24308</v>
      </c>
      <c r="AY204">
        <v>6.5970000000000001E-2</v>
      </c>
      <c r="AZ204">
        <v>-6.5799999999999999E-3</v>
      </c>
      <c r="BA204">
        <v>7.9100000000000004E-3</v>
      </c>
      <c r="BB204">
        <v>-9.6000000000000002E-4</v>
      </c>
      <c r="BC204">
        <v>0.11992</v>
      </c>
      <c r="BD204">
        <v>1</v>
      </c>
      <c r="BE204" t="s">
        <v>69</v>
      </c>
      <c r="BF204">
        <v>0.80100000000000005</v>
      </c>
      <c r="BG204">
        <v>-0.40400000000000003</v>
      </c>
    </row>
    <row r="205" spans="1:59">
      <c r="A205">
        <v>0</v>
      </c>
      <c r="B205">
        <v>0</v>
      </c>
      <c r="C205">
        <v>0</v>
      </c>
      <c r="D205" t="s">
        <v>25022</v>
      </c>
      <c r="E205">
        <v>2175</v>
      </c>
      <c r="F205" t="s">
        <v>12937</v>
      </c>
      <c r="G205" t="s">
        <v>62</v>
      </c>
      <c r="H205">
        <v>2212248</v>
      </c>
      <c r="I205">
        <v>2212496</v>
      </c>
      <c r="J205" t="s">
        <v>12938</v>
      </c>
      <c r="K205">
        <v>83</v>
      </c>
      <c r="L205" t="s">
        <v>12939</v>
      </c>
      <c r="M205">
        <v>18</v>
      </c>
      <c r="N205" t="str">
        <f>HYPERLINK("Gene2175-zp_tree_all.dnd", "Gene2175-tree")</f>
        <v>Gene2175-tree</v>
      </c>
      <c r="O205">
        <v>14</v>
      </c>
      <c r="P205">
        <v>3</v>
      </c>
      <c r="Q205">
        <v>1</v>
      </c>
      <c r="R205">
        <v>3</v>
      </c>
      <c r="S205">
        <v>0.75</v>
      </c>
      <c r="T205" t="s">
        <v>175</v>
      </c>
      <c r="U205" t="s">
        <v>324</v>
      </c>
      <c r="V205" t="s">
        <v>62</v>
      </c>
      <c r="W205" t="s">
        <v>62</v>
      </c>
      <c r="X205">
        <v>0</v>
      </c>
      <c r="Y205">
        <v>0</v>
      </c>
      <c r="Z205">
        <v>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5</v>
      </c>
      <c r="AK205">
        <v>0</v>
      </c>
      <c r="AL205">
        <v>4</v>
      </c>
      <c r="AM205">
        <v>1</v>
      </c>
      <c r="AN205">
        <v>9</v>
      </c>
      <c r="AO205">
        <v>5</v>
      </c>
      <c r="AP205">
        <v>3</v>
      </c>
      <c r="AQ205">
        <v>0</v>
      </c>
      <c r="AR205" t="s">
        <v>12940</v>
      </c>
      <c r="AS205" t="s">
        <v>193</v>
      </c>
      <c r="AT205">
        <v>3.4340000000000002</v>
      </c>
      <c r="AU205" t="s">
        <v>267</v>
      </c>
      <c r="AV205">
        <v>12</v>
      </c>
      <c r="AW205">
        <v>5</v>
      </c>
      <c r="AX205" t="s">
        <v>12941</v>
      </c>
      <c r="AY205">
        <v>0.14022000000000001</v>
      </c>
      <c r="AZ205">
        <v>-1.593E-2</v>
      </c>
      <c r="BA205">
        <v>1.316E-2</v>
      </c>
      <c r="BB205">
        <v>-2.0699999999999998E-3</v>
      </c>
      <c r="BC205">
        <v>9.3880000000000005E-2</v>
      </c>
      <c r="BD205">
        <v>1</v>
      </c>
      <c r="BE205" t="s">
        <v>69</v>
      </c>
      <c r="BF205">
        <v>-1.6479999999999999</v>
      </c>
      <c r="BG205">
        <v>-1.5289999999999999</v>
      </c>
    </row>
    <row r="206" spans="1:59">
      <c r="A206">
        <v>0</v>
      </c>
      <c r="B206">
        <v>0</v>
      </c>
      <c r="C206">
        <v>0</v>
      </c>
      <c r="D206" t="s">
        <v>25022</v>
      </c>
      <c r="E206">
        <v>1870</v>
      </c>
      <c r="F206" t="s">
        <v>11706</v>
      </c>
      <c r="G206" t="s">
        <v>57</v>
      </c>
      <c r="H206">
        <v>1930447</v>
      </c>
      <c r="I206">
        <v>1930695</v>
      </c>
      <c r="J206" t="s">
        <v>11707</v>
      </c>
      <c r="K206">
        <v>83</v>
      </c>
      <c r="L206" t="s">
        <v>108</v>
      </c>
      <c r="M206">
        <v>44</v>
      </c>
      <c r="N206" t="str">
        <f>HYPERLINK("Gene1870-zp_tree_all.dnd", "Gene1870-tree")</f>
        <v>Gene1870-tree</v>
      </c>
      <c r="O206">
        <v>5</v>
      </c>
      <c r="P206">
        <v>3</v>
      </c>
      <c r="Q206">
        <v>5</v>
      </c>
      <c r="R206">
        <v>3</v>
      </c>
      <c r="S206">
        <v>0.375</v>
      </c>
      <c r="T206" t="s">
        <v>199</v>
      </c>
      <c r="U206" t="s">
        <v>324</v>
      </c>
      <c r="V206" t="s">
        <v>62</v>
      </c>
      <c r="W206" t="s">
        <v>62</v>
      </c>
      <c r="X206">
        <v>0</v>
      </c>
      <c r="Y206">
        <v>0</v>
      </c>
      <c r="Z206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4</v>
      </c>
      <c r="AK206">
        <v>0</v>
      </c>
      <c r="AL206">
        <v>4</v>
      </c>
      <c r="AM206">
        <v>3</v>
      </c>
      <c r="AN206">
        <v>14</v>
      </c>
      <c r="AO206">
        <v>4</v>
      </c>
      <c r="AP206">
        <v>3</v>
      </c>
      <c r="AQ206">
        <v>0</v>
      </c>
      <c r="AR206" t="s">
        <v>11708</v>
      </c>
      <c r="AS206" t="s">
        <v>193</v>
      </c>
      <c r="AT206">
        <v>1.4510000000000001</v>
      </c>
      <c r="AU206" t="s">
        <v>65</v>
      </c>
      <c r="AV206">
        <v>17</v>
      </c>
      <c r="AW206">
        <v>4</v>
      </c>
      <c r="AX206" t="s">
        <v>11709</v>
      </c>
      <c r="AY206">
        <v>0.11274000000000001</v>
      </c>
      <c r="AZ206">
        <v>-1.8100000000000002E-2</v>
      </c>
      <c r="BA206">
        <v>4.9899999999999996E-3</v>
      </c>
      <c r="BB206">
        <v>-8.7000000000000001E-4</v>
      </c>
      <c r="BC206">
        <v>4.4260000000000001E-2</v>
      </c>
      <c r="BD206">
        <v>1</v>
      </c>
      <c r="BE206" t="s">
        <v>69</v>
      </c>
      <c r="BF206">
        <v>-2.206</v>
      </c>
      <c r="BG206">
        <v>-4.6390000000000002</v>
      </c>
    </row>
    <row r="207" spans="1:59">
      <c r="A207">
        <v>0</v>
      </c>
      <c r="B207">
        <v>0</v>
      </c>
      <c r="C207">
        <v>0</v>
      </c>
      <c r="D207" t="s">
        <v>25022</v>
      </c>
      <c r="E207">
        <v>3244</v>
      </c>
      <c r="F207" t="s">
        <v>18914</v>
      </c>
      <c r="G207" t="s">
        <v>62</v>
      </c>
      <c r="H207">
        <v>3213345</v>
      </c>
      <c r="I207">
        <v>3213596</v>
      </c>
      <c r="J207" t="s">
        <v>116</v>
      </c>
      <c r="K207">
        <v>84</v>
      </c>
      <c r="L207" t="s">
        <v>108</v>
      </c>
      <c r="M207">
        <v>44</v>
      </c>
      <c r="N207" t="str">
        <f>HYPERLINK("Gene3244-zp_tree_all.dnd", "Gene3244-tree")</f>
        <v>Gene3244-tree</v>
      </c>
      <c r="O207">
        <v>7</v>
      </c>
      <c r="P207">
        <v>4</v>
      </c>
      <c r="Q207">
        <v>7</v>
      </c>
      <c r="R207">
        <v>4</v>
      </c>
      <c r="S207">
        <v>0.36364000000000002</v>
      </c>
      <c r="T207" t="s">
        <v>152</v>
      </c>
      <c r="U207" t="s">
        <v>61</v>
      </c>
      <c r="V207" t="s">
        <v>62</v>
      </c>
      <c r="W207" t="s">
        <v>62</v>
      </c>
      <c r="X207">
        <v>0</v>
      </c>
      <c r="Y207">
        <v>0</v>
      </c>
      <c r="Z207">
        <v>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4</v>
      </c>
      <c r="AK207">
        <v>0</v>
      </c>
      <c r="AL207">
        <v>9</v>
      </c>
      <c r="AM207">
        <v>3</v>
      </c>
      <c r="AN207">
        <v>7</v>
      </c>
      <c r="AO207">
        <v>4</v>
      </c>
      <c r="AP207">
        <v>1</v>
      </c>
      <c r="AQ207">
        <v>2</v>
      </c>
      <c r="AR207" t="s">
        <v>18915</v>
      </c>
      <c r="AS207" t="s">
        <v>18916</v>
      </c>
      <c r="AT207">
        <v>0.49199999999999999</v>
      </c>
      <c r="AU207" t="s">
        <v>65</v>
      </c>
      <c r="AV207">
        <v>8</v>
      </c>
      <c r="AW207">
        <v>6</v>
      </c>
      <c r="AX207" t="s">
        <v>18917</v>
      </c>
      <c r="AY207">
        <v>3.159E-2</v>
      </c>
      <c r="AZ207">
        <v>-2.16E-3</v>
      </c>
      <c r="BA207">
        <v>8.8299999999999993E-3</v>
      </c>
      <c r="BB207">
        <v>-7.6000000000000004E-4</v>
      </c>
      <c r="BC207">
        <v>0.27955999999999998</v>
      </c>
      <c r="BD207">
        <v>0.91</v>
      </c>
      <c r="BE207" t="s">
        <v>635</v>
      </c>
      <c r="BF207">
        <v>-0.99399999999999999</v>
      </c>
      <c r="BG207">
        <v>-1.097</v>
      </c>
    </row>
    <row r="208" spans="1:59">
      <c r="A208">
        <v>0</v>
      </c>
      <c r="B208">
        <v>0</v>
      </c>
      <c r="C208">
        <v>0</v>
      </c>
      <c r="D208" t="s">
        <v>25022</v>
      </c>
      <c r="E208">
        <v>899</v>
      </c>
      <c r="F208" t="s">
        <v>5614</v>
      </c>
      <c r="G208" t="s">
        <v>57</v>
      </c>
      <c r="H208">
        <v>937900</v>
      </c>
      <c r="I208">
        <v>938151</v>
      </c>
      <c r="J208" t="s">
        <v>5615</v>
      </c>
      <c r="K208">
        <v>84</v>
      </c>
      <c r="L208" t="s">
        <v>108</v>
      </c>
      <c r="M208">
        <v>44</v>
      </c>
      <c r="N208" t="str">
        <f>HYPERLINK("Gene899-zp_tree_all.dnd", "Gene899-tree")</f>
        <v>Gene899-tree</v>
      </c>
      <c r="O208">
        <v>3</v>
      </c>
      <c r="P208">
        <v>37</v>
      </c>
      <c r="Q208">
        <v>3</v>
      </c>
      <c r="R208">
        <v>1</v>
      </c>
      <c r="S208">
        <v>0.25</v>
      </c>
      <c r="T208" t="s">
        <v>324</v>
      </c>
      <c r="U208" t="s">
        <v>175</v>
      </c>
      <c r="V208" t="s">
        <v>62</v>
      </c>
      <c r="W208" t="s">
        <v>62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2</v>
      </c>
      <c r="AM208">
        <v>1</v>
      </c>
      <c r="AN208">
        <v>1</v>
      </c>
      <c r="AO208">
        <v>1</v>
      </c>
      <c r="AP208">
        <v>1</v>
      </c>
      <c r="AQ208">
        <v>0</v>
      </c>
      <c r="AR208" t="s">
        <v>5616</v>
      </c>
      <c r="AS208" t="s">
        <v>193</v>
      </c>
      <c r="AT208">
        <v>0.70699999999999996</v>
      </c>
      <c r="AU208" t="s">
        <v>65</v>
      </c>
      <c r="AV208">
        <v>2</v>
      </c>
      <c r="AW208">
        <v>1</v>
      </c>
      <c r="AX208" t="s">
        <v>5617</v>
      </c>
      <c r="AY208">
        <v>2.521E-2</v>
      </c>
      <c r="AZ208">
        <v>-4.4400000000000004E-3</v>
      </c>
      <c r="BA208">
        <v>2.4499999999999999E-3</v>
      </c>
      <c r="BB208">
        <v>-1E-3</v>
      </c>
      <c r="BC208">
        <v>9.7220000000000001E-2</v>
      </c>
      <c r="BD208">
        <v>0.96199999999999997</v>
      </c>
      <c r="BE208" t="s">
        <v>69</v>
      </c>
      <c r="BF208">
        <v>-0.87</v>
      </c>
      <c r="BG208">
        <v>-0.378</v>
      </c>
    </row>
    <row r="209" spans="1:59">
      <c r="A209">
        <v>0</v>
      </c>
      <c r="B209">
        <v>0</v>
      </c>
      <c r="C209">
        <v>0</v>
      </c>
      <c r="D209" t="s">
        <v>25022</v>
      </c>
      <c r="E209">
        <v>1221</v>
      </c>
      <c r="F209" t="s">
        <v>7673</v>
      </c>
      <c r="G209" t="s">
        <v>57</v>
      </c>
      <c r="H209">
        <v>1253385</v>
      </c>
      <c r="I209">
        <v>1253636</v>
      </c>
      <c r="J209" t="s">
        <v>7674</v>
      </c>
      <c r="K209">
        <v>84</v>
      </c>
      <c r="L209" t="s">
        <v>108</v>
      </c>
      <c r="M209">
        <v>44</v>
      </c>
      <c r="N209" t="str">
        <f>HYPERLINK("Gene1221-zp_tree_all.dnd", "Gene1221-tree")</f>
        <v>Gene1221-tree</v>
      </c>
      <c r="O209">
        <v>5</v>
      </c>
      <c r="P209">
        <v>0</v>
      </c>
      <c r="Q209">
        <v>5</v>
      </c>
      <c r="R209">
        <v>0</v>
      </c>
      <c r="S209">
        <v>0</v>
      </c>
      <c r="T209" t="s">
        <v>199</v>
      </c>
      <c r="U209" t="s">
        <v>62</v>
      </c>
      <c r="V209" t="s">
        <v>62</v>
      </c>
      <c r="W209" t="s">
        <v>62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4</v>
      </c>
      <c r="AM209">
        <v>1</v>
      </c>
      <c r="AN209">
        <v>6</v>
      </c>
      <c r="AO209">
        <v>0</v>
      </c>
      <c r="AP209">
        <v>0</v>
      </c>
      <c r="AQ209">
        <v>1</v>
      </c>
      <c r="AR209" t="s">
        <v>193</v>
      </c>
      <c r="AS209" t="s">
        <v>193</v>
      </c>
      <c r="AT209">
        <v>0</v>
      </c>
      <c r="AU209" t="s">
        <v>65</v>
      </c>
      <c r="AV209">
        <v>6</v>
      </c>
      <c r="AW209">
        <v>1</v>
      </c>
      <c r="AX209" t="s">
        <v>7675</v>
      </c>
      <c r="AY209">
        <v>3.2140000000000002E-2</v>
      </c>
      <c r="AZ209">
        <v>-6.3600000000000002E-3</v>
      </c>
      <c r="BA209">
        <v>3.0000000000000001E-3</v>
      </c>
      <c r="BB209">
        <v>-5.6999999999999998E-4</v>
      </c>
      <c r="BC209">
        <v>9.3210000000000001E-2</v>
      </c>
      <c r="BD209">
        <v>0.98499999999999999</v>
      </c>
      <c r="BE209" t="s">
        <v>69</v>
      </c>
      <c r="BF209">
        <v>0.878</v>
      </c>
      <c r="BG209">
        <v>1.0169999999999999</v>
      </c>
    </row>
    <row r="210" spans="1:59">
      <c r="A210">
        <v>0</v>
      </c>
      <c r="B210">
        <v>0</v>
      </c>
      <c r="C210">
        <v>0</v>
      </c>
      <c r="D210" t="s">
        <v>25022</v>
      </c>
      <c r="E210">
        <v>1223</v>
      </c>
      <c r="F210" t="s">
        <v>7685</v>
      </c>
      <c r="G210" t="s">
        <v>57</v>
      </c>
      <c r="H210">
        <v>1256109</v>
      </c>
      <c r="I210">
        <v>1256360</v>
      </c>
      <c r="J210" t="s">
        <v>2302</v>
      </c>
      <c r="K210">
        <v>84</v>
      </c>
      <c r="L210" t="s">
        <v>3274</v>
      </c>
      <c r="M210">
        <v>46</v>
      </c>
      <c r="N210" t="str">
        <f>HYPERLINK("Gene1223-zp_tree_all.dnd", "Gene1223-tree")</f>
        <v>Gene1223-tree</v>
      </c>
      <c r="O210">
        <v>10</v>
      </c>
      <c r="P210">
        <v>0</v>
      </c>
      <c r="Q210">
        <v>10</v>
      </c>
      <c r="R210">
        <v>0</v>
      </c>
      <c r="S210">
        <v>0</v>
      </c>
      <c r="T210" t="s">
        <v>117</v>
      </c>
      <c r="U210" t="s">
        <v>62</v>
      </c>
      <c r="V210" t="s">
        <v>62</v>
      </c>
      <c r="W210" t="s">
        <v>62</v>
      </c>
      <c r="X210">
        <v>0</v>
      </c>
      <c r="Y210">
        <v>0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6</v>
      </c>
      <c r="AM210">
        <v>4</v>
      </c>
      <c r="AN210">
        <v>7</v>
      </c>
      <c r="AO210">
        <v>0</v>
      </c>
      <c r="AP210">
        <v>9</v>
      </c>
      <c r="AQ210">
        <v>3</v>
      </c>
      <c r="AR210" t="s">
        <v>193</v>
      </c>
      <c r="AS210" t="s">
        <v>7686</v>
      </c>
      <c r="AT210">
        <v>0.501</v>
      </c>
      <c r="AU210" t="s">
        <v>65</v>
      </c>
      <c r="AV210">
        <v>16</v>
      </c>
      <c r="AW210">
        <v>3</v>
      </c>
      <c r="AX210" t="s">
        <v>7687</v>
      </c>
      <c r="AY210">
        <v>8.9190000000000005E-2</v>
      </c>
      <c r="AZ210">
        <v>-9.92E-3</v>
      </c>
      <c r="BA210">
        <v>5.7000000000000002E-3</v>
      </c>
      <c r="BB210">
        <v>-1.15E-3</v>
      </c>
      <c r="BC210">
        <v>6.3950000000000007E-2</v>
      </c>
      <c r="BD210">
        <v>1</v>
      </c>
      <c r="BE210" t="s">
        <v>69</v>
      </c>
      <c r="BF210">
        <v>-1.1240000000000001</v>
      </c>
      <c r="BG210">
        <v>0.309</v>
      </c>
    </row>
    <row r="211" spans="1:59">
      <c r="A211">
        <v>0</v>
      </c>
      <c r="B211">
        <v>0</v>
      </c>
      <c r="C211">
        <v>0</v>
      </c>
      <c r="D211" t="s">
        <v>25022</v>
      </c>
      <c r="E211">
        <v>680</v>
      </c>
      <c r="F211" t="s">
        <v>4245</v>
      </c>
      <c r="G211" t="s">
        <v>57</v>
      </c>
      <c r="H211">
        <v>702319</v>
      </c>
      <c r="I211">
        <v>702570</v>
      </c>
      <c r="J211" t="s">
        <v>4246</v>
      </c>
      <c r="K211">
        <v>84</v>
      </c>
      <c r="L211" t="s">
        <v>4088</v>
      </c>
      <c r="M211">
        <v>48</v>
      </c>
      <c r="N211" t="str">
        <f>HYPERLINK("Gene680-zp_tree_all.dnd", "Gene680-tree")</f>
        <v>Gene680-tree</v>
      </c>
      <c r="O211">
        <v>11</v>
      </c>
      <c r="P211">
        <v>2</v>
      </c>
      <c r="Q211">
        <v>11</v>
      </c>
      <c r="R211">
        <v>2</v>
      </c>
      <c r="S211">
        <v>0.15384999999999999</v>
      </c>
      <c r="T211" t="s">
        <v>73</v>
      </c>
      <c r="U211" t="s">
        <v>81</v>
      </c>
      <c r="V211" t="s">
        <v>62</v>
      </c>
      <c r="W211" t="s">
        <v>62</v>
      </c>
      <c r="X211">
        <v>0</v>
      </c>
      <c r="Y211">
        <v>0</v>
      </c>
      <c r="Z211">
        <v>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</v>
      </c>
      <c r="AK211">
        <v>0</v>
      </c>
      <c r="AL211">
        <v>8</v>
      </c>
      <c r="AM211">
        <v>6</v>
      </c>
      <c r="AN211">
        <v>12</v>
      </c>
      <c r="AO211">
        <v>2</v>
      </c>
      <c r="AP211">
        <v>11</v>
      </c>
      <c r="AQ211">
        <v>1</v>
      </c>
      <c r="AR211" t="s">
        <v>4247</v>
      </c>
      <c r="AS211" t="s">
        <v>4248</v>
      </c>
      <c r="AT211">
        <v>0.27700000000000002</v>
      </c>
      <c r="AU211" t="s">
        <v>65</v>
      </c>
      <c r="AV211">
        <v>23</v>
      </c>
      <c r="AW211">
        <v>3</v>
      </c>
      <c r="AX211" t="s">
        <v>4249</v>
      </c>
      <c r="AY211">
        <v>0.10108</v>
      </c>
      <c r="AZ211">
        <v>-6.5300000000000002E-3</v>
      </c>
      <c r="BA211">
        <v>3.0000000000000001E-3</v>
      </c>
      <c r="BB211">
        <v>-3.5E-4</v>
      </c>
      <c r="BC211">
        <v>2.9690000000000001E-2</v>
      </c>
      <c r="BD211">
        <v>1</v>
      </c>
      <c r="BE211" t="s">
        <v>69</v>
      </c>
      <c r="BF211">
        <v>-1.046</v>
      </c>
      <c r="BG211">
        <v>-0.76300000000000001</v>
      </c>
    </row>
    <row r="212" spans="1:59">
      <c r="A212">
        <v>0</v>
      </c>
      <c r="B212">
        <v>0</v>
      </c>
      <c r="C212">
        <v>0</v>
      </c>
      <c r="D212" t="s">
        <v>25022</v>
      </c>
      <c r="E212">
        <v>2531</v>
      </c>
      <c r="F212" t="s">
        <v>14782</v>
      </c>
      <c r="G212" t="s">
        <v>62</v>
      </c>
      <c r="H212">
        <v>2526672</v>
      </c>
      <c r="I212">
        <v>2526923</v>
      </c>
      <c r="J212" t="s">
        <v>14783</v>
      </c>
      <c r="K212">
        <v>84</v>
      </c>
      <c r="L212" t="s">
        <v>59</v>
      </c>
      <c r="M212">
        <v>49</v>
      </c>
      <c r="N212" t="str">
        <f>HYPERLINK("Gene2531-zp_tree_all.dnd", "Gene2531-tree")</f>
        <v>Gene2531-tree</v>
      </c>
      <c r="O212">
        <v>7</v>
      </c>
      <c r="P212">
        <v>3</v>
      </c>
      <c r="Q212">
        <v>7</v>
      </c>
      <c r="R212">
        <v>3</v>
      </c>
      <c r="S212">
        <v>0.3</v>
      </c>
      <c r="T212" t="s">
        <v>152</v>
      </c>
      <c r="U212" t="s">
        <v>324</v>
      </c>
      <c r="V212" t="s">
        <v>62</v>
      </c>
      <c r="W212" t="s">
        <v>62</v>
      </c>
      <c r="X212">
        <v>0</v>
      </c>
      <c r="Y212">
        <v>0</v>
      </c>
      <c r="Z212">
        <v>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</v>
      </c>
      <c r="AK212">
        <v>0</v>
      </c>
      <c r="AL212">
        <v>7</v>
      </c>
      <c r="AM212">
        <v>4</v>
      </c>
      <c r="AN212">
        <v>11</v>
      </c>
      <c r="AO212">
        <v>4</v>
      </c>
      <c r="AP212">
        <v>11</v>
      </c>
      <c r="AQ212">
        <v>0</v>
      </c>
      <c r="AR212" t="s">
        <v>14784</v>
      </c>
      <c r="AS212" t="s">
        <v>193</v>
      </c>
      <c r="AT212">
        <v>1.0820000000000001</v>
      </c>
      <c r="AU212" t="s">
        <v>65</v>
      </c>
      <c r="AV212">
        <v>22</v>
      </c>
      <c r="AW212">
        <v>4</v>
      </c>
      <c r="AX212" t="s">
        <v>14785</v>
      </c>
      <c r="AY212">
        <v>0.17781</v>
      </c>
      <c r="AZ212">
        <v>-1.553E-2</v>
      </c>
      <c r="BA212">
        <v>3.9100000000000003E-3</v>
      </c>
      <c r="BB212">
        <v>-6.0999999999999997E-4</v>
      </c>
      <c r="BC212">
        <v>2.197E-2</v>
      </c>
      <c r="BD212">
        <v>1</v>
      </c>
      <c r="BE212" t="s">
        <v>69</v>
      </c>
      <c r="BF212">
        <v>-1.581</v>
      </c>
      <c r="BG212">
        <v>-1.6950000000000001</v>
      </c>
    </row>
    <row r="213" spans="1:59">
      <c r="A213">
        <v>0</v>
      </c>
      <c r="B213">
        <v>0</v>
      </c>
      <c r="C213">
        <v>0</v>
      </c>
      <c r="D213" t="s">
        <v>25022</v>
      </c>
      <c r="E213">
        <v>2294</v>
      </c>
      <c r="F213" t="s">
        <v>13286</v>
      </c>
      <c r="G213" t="s">
        <v>62</v>
      </c>
      <c r="H213">
        <v>2312210</v>
      </c>
      <c r="I213">
        <v>2312464</v>
      </c>
      <c r="J213" t="s">
        <v>13287</v>
      </c>
      <c r="K213">
        <v>85</v>
      </c>
      <c r="L213" t="s">
        <v>108</v>
      </c>
      <c r="M213">
        <v>44</v>
      </c>
      <c r="N213" t="str">
        <f>HYPERLINK("Gene2294-zp_tree_all.dnd", "Gene2294-tree")</f>
        <v>Gene2294-tree</v>
      </c>
      <c r="O213">
        <v>2</v>
      </c>
      <c r="P213">
        <v>6</v>
      </c>
      <c r="Q213">
        <v>2</v>
      </c>
      <c r="R213">
        <v>6</v>
      </c>
      <c r="S213">
        <v>0.75</v>
      </c>
      <c r="T213" t="s">
        <v>81</v>
      </c>
      <c r="U213" t="s">
        <v>90</v>
      </c>
      <c r="V213" t="s">
        <v>62</v>
      </c>
      <c r="W213" t="s">
        <v>62</v>
      </c>
      <c r="X213">
        <v>0</v>
      </c>
      <c r="Y213">
        <v>0</v>
      </c>
      <c r="Z213">
        <v>8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6</v>
      </c>
      <c r="AK213">
        <v>0</v>
      </c>
      <c r="AL213">
        <v>5</v>
      </c>
      <c r="AM213">
        <v>4</v>
      </c>
      <c r="AN213">
        <v>4</v>
      </c>
      <c r="AO213">
        <v>5</v>
      </c>
      <c r="AP213">
        <v>2</v>
      </c>
      <c r="AQ213">
        <v>3</v>
      </c>
      <c r="AR213" t="s">
        <v>13288</v>
      </c>
      <c r="AS213" t="s">
        <v>13289</v>
      </c>
      <c r="AT213">
        <v>0.159</v>
      </c>
      <c r="AU213" t="s">
        <v>65</v>
      </c>
      <c r="AV213">
        <v>6</v>
      </c>
      <c r="AW213">
        <v>8</v>
      </c>
      <c r="AX213" t="s">
        <v>13290</v>
      </c>
      <c r="AY213">
        <v>3.1469999999999998E-2</v>
      </c>
      <c r="AZ213">
        <v>-5.3899999999999998E-3</v>
      </c>
      <c r="BA213">
        <v>1.269E-2</v>
      </c>
      <c r="BB213">
        <v>-1.1199999999999999E-3</v>
      </c>
      <c r="BC213">
        <v>0.40309</v>
      </c>
      <c r="BD213">
        <v>0.89400000000000002</v>
      </c>
      <c r="BE213" t="s">
        <v>635</v>
      </c>
      <c r="BF213">
        <v>-1.5489999999999999</v>
      </c>
      <c r="BG213">
        <v>-1.9450000000000001</v>
      </c>
    </row>
    <row r="214" spans="1:59">
      <c r="A214">
        <v>0</v>
      </c>
      <c r="B214">
        <v>0</v>
      </c>
      <c r="C214">
        <v>0</v>
      </c>
      <c r="D214" t="s">
        <v>25022</v>
      </c>
      <c r="E214">
        <v>2978</v>
      </c>
      <c r="F214" t="s">
        <v>17180</v>
      </c>
      <c r="G214" t="s">
        <v>62</v>
      </c>
      <c r="H214">
        <v>2925643</v>
      </c>
      <c r="I214">
        <v>2925897</v>
      </c>
      <c r="J214" t="s">
        <v>17181</v>
      </c>
      <c r="K214">
        <v>85</v>
      </c>
      <c r="L214" t="s">
        <v>59</v>
      </c>
      <c r="M214">
        <v>49</v>
      </c>
      <c r="N214" t="str">
        <f>HYPERLINK("Gene2978-zp_tree_all.dnd", "Gene2978-tree")</f>
        <v>Gene2978-tree</v>
      </c>
      <c r="O214">
        <v>4</v>
      </c>
      <c r="P214">
        <v>1</v>
      </c>
      <c r="Q214">
        <v>4</v>
      </c>
      <c r="R214">
        <v>1</v>
      </c>
      <c r="S214">
        <v>0.2</v>
      </c>
      <c r="T214" t="s">
        <v>61</v>
      </c>
      <c r="U214" t="s">
        <v>175</v>
      </c>
      <c r="V214" t="s">
        <v>62</v>
      </c>
      <c r="W214" t="s">
        <v>62</v>
      </c>
      <c r="X214">
        <v>0</v>
      </c>
      <c r="Y214">
        <v>0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4</v>
      </c>
      <c r="AM214">
        <v>1</v>
      </c>
      <c r="AN214">
        <v>3</v>
      </c>
      <c r="AO214">
        <v>1</v>
      </c>
      <c r="AP214">
        <v>1</v>
      </c>
      <c r="AQ214">
        <v>1</v>
      </c>
      <c r="AR214" t="s">
        <v>17182</v>
      </c>
      <c r="AS214" t="s">
        <v>17183</v>
      </c>
      <c r="AT214">
        <v>1.2</v>
      </c>
      <c r="AU214" t="s">
        <v>65</v>
      </c>
      <c r="AV214">
        <v>4</v>
      </c>
      <c r="AW214">
        <v>2</v>
      </c>
      <c r="AX214" t="s">
        <v>17184</v>
      </c>
      <c r="AY214">
        <v>3.1989999999999998E-2</v>
      </c>
      <c r="AZ214">
        <v>-4.7499999999999999E-3</v>
      </c>
      <c r="BA214">
        <v>5.0200000000000002E-3</v>
      </c>
      <c r="BB214">
        <v>-1.23E-3</v>
      </c>
      <c r="BC214">
        <v>0.15676999999999999</v>
      </c>
      <c r="BD214">
        <v>0.96099999999999997</v>
      </c>
      <c r="BE214" t="s">
        <v>69</v>
      </c>
      <c r="BF214">
        <v>-0.71599999999999997</v>
      </c>
      <c r="BG214">
        <v>-0.82099999999999995</v>
      </c>
    </row>
    <row r="215" spans="1:59">
      <c r="A215">
        <v>0</v>
      </c>
      <c r="B215">
        <v>0</v>
      </c>
      <c r="C215">
        <v>0</v>
      </c>
      <c r="D215" t="s">
        <v>25022</v>
      </c>
      <c r="E215">
        <v>1749</v>
      </c>
      <c r="F215" t="s">
        <v>10968</v>
      </c>
      <c r="G215" t="s">
        <v>57</v>
      </c>
      <c r="H215">
        <v>1760464</v>
      </c>
      <c r="I215">
        <v>1760718</v>
      </c>
      <c r="J215" t="s">
        <v>1340</v>
      </c>
      <c r="K215">
        <v>85</v>
      </c>
      <c r="L215" t="s">
        <v>59</v>
      </c>
      <c r="M215">
        <v>49</v>
      </c>
      <c r="N215" t="str">
        <f>HYPERLINK("Gene1749-zp_tree_all.dnd", "Gene1749-tree")</f>
        <v>Gene1749-tree</v>
      </c>
      <c r="O215">
        <v>6</v>
      </c>
      <c r="P215">
        <v>0</v>
      </c>
      <c r="Q215">
        <v>6</v>
      </c>
      <c r="R215">
        <v>0</v>
      </c>
      <c r="S215">
        <v>0</v>
      </c>
      <c r="T215" t="s">
        <v>90</v>
      </c>
      <c r="U215" t="s">
        <v>62</v>
      </c>
      <c r="V215" t="s">
        <v>62</v>
      </c>
      <c r="W215" t="s">
        <v>62</v>
      </c>
      <c r="X215">
        <v>0</v>
      </c>
      <c r="Y215">
        <v>0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</v>
      </c>
      <c r="AM215">
        <v>3</v>
      </c>
      <c r="AN215">
        <v>4</v>
      </c>
      <c r="AO215">
        <v>0</v>
      </c>
      <c r="AP215">
        <v>3</v>
      </c>
      <c r="AQ215">
        <v>2</v>
      </c>
      <c r="AR215" t="s">
        <v>193</v>
      </c>
      <c r="AS215" t="s">
        <v>10969</v>
      </c>
      <c r="AT215">
        <v>3.464</v>
      </c>
      <c r="AU215" t="s">
        <v>65</v>
      </c>
      <c r="AV215">
        <v>7</v>
      </c>
      <c r="AW215">
        <v>2</v>
      </c>
      <c r="AX215" t="s">
        <v>10970</v>
      </c>
      <c r="AY215">
        <v>5.6079999999999998E-2</v>
      </c>
      <c r="AZ215">
        <v>-6.0600000000000003E-3</v>
      </c>
      <c r="BA215">
        <v>5.2199999999999998E-3</v>
      </c>
      <c r="BB215">
        <v>-7.9000000000000001E-4</v>
      </c>
      <c r="BC215">
        <v>9.3090000000000006E-2</v>
      </c>
      <c r="BD215">
        <v>0.98799999999999999</v>
      </c>
      <c r="BE215" t="s">
        <v>69</v>
      </c>
      <c r="BF215">
        <v>-1.1739999999999999</v>
      </c>
      <c r="BG215">
        <v>0.59099999999999997</v>
      </c>
    </row>
    <row r="216" spans="1:59">
      <c r="A216">
        <v>0</v>
      </c>
      <c r="B216">
        <v>0</v>
      </c>
      <c r="C216">
        <v>0</v>
      </c>
      <c r="D216" t="s">
        <v>25022</v>
      </c>
      <c r="E216">
        <v>1734</v>
      </c>
      <c r="F216" t="s">
        <v>10877</v>
      </c>
      <c r="G216" t="s">
        <v>57</v>
      </c>
      <c r="H216">
        <v>1743924</v>
      </c>
      <c r="I216">
        <v>1744178</v>
      </c>
      <c r="J216" t="s">
        <v>10878</v>
      </c>
      <c r="K216">
        <v>85</v>
      </c>
      <c r="L216" t="s">
        <v>108</v>
      </c>
      <c r="M216">
        <v>44</v>
      </c>
      <c r="N216" t="str">
        <f>HYPERLINK("Gene1734-zp_tree_all.dnd", "Gene1734-tree")</f>
        <v>Gene1734-tree</v>
      </c>
      <c r="O216">
        <v>25</v>
      </c>
      <c r="P216">
        <v>1</v>
      </c>
      <c r="Q216">
        <v>6</v>
      </c>
      <c r="R216">
        <v>1</v>
      </c>
      <c r="S216">
        <v>0.14285999999999999</v>
      </c>
      <c r="T216" t="s">
        <v>965</v>
      </c>
      <c r="U216" t="s">
        <v>175</v>
      </c>
      <c r="V216" t="s">
        <v>62</v>
      </c>
      <c r="W216" t="s">
        <v>62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5</v>
      </c>
      <c r="AM216">
        <v>2</v>
      </c>
      <c r="AN216">
        <v>5</v>
      </c>
      <c r="AO216">
        <v>1</v>
      </c>
      <c r="AP216">
        <v>2</v>
      </c>
      <c r="AQ216">
        <v>0</v>
      </c>
      <c r="AR216" t="s">
        <v>10879</v>
      </c>
      <c r="AS216" t="s">
        <v>193</v>
      </c>
      <c r="AT216">
        <v>0.50700000000000001</v>
      </c>
      <c r="AU216" t="s">
        <v>65</v>
      </c>
      <c r="AV216">
        <v>7</v>
      </c>
      <c r="AW216">
        <v>1</v>
      </c>
      <c r="AX216" t="s">
        <v>10880</v>
      </c>
      <c r="AY216">
        <v>4.7759999999999997E-2</v>
      </c>
      <c r="AZ216">
        <v>-5.6100000000000004E-3</v>
      </c>
      <c r="BA216">
        <v>1.4300000000000001E-3</v>
      </c>
      <c r="BB216">
        <v>-4.4000000000000002E-4</v>
      </c>
      <c r="BC216">
        <v>2.9860000000000001E-2</v>
      </c>
      <c r="BD216">
        <v>1</v>
      </c>
      <c r="BE216" t="s">
        <v>69</v>
      </c>
      <c r="BF216">
        <v>-1.4690000000000001</v>
      </c>
      <c r="BG216">
        <v>-2.859</v>
      </c>
    </row>
    <row r="217" spans="1:59">
      <c r="A217">
        <v>0</v>
      </c>
      <c r="B217">
        <v>0</v>
      </c>
      <c r="C217">
        <v>0</v>
      </c>
      <c r="D217" t="s">
        <v>25022</v>
      </c>
      <c r="E217">
        <v>1416</v>
      </c>
      <c r="F217" t="s">
        <v>8867</v>
      </c>
      <c r="G217" t="s">
        <v>57</v>
      </c>
      <c r="H217">
        <v>1430684</v>
      </c>
      <c r="I217">
        <v>1430938</v>
      </c>
      <c r="J217" t="s">
        <v>8868</v>
      </c>
      <c r="K217">
        <v>85</v>
      </c>
      <c r="L217" t="s">
        <v>59</v>
      </c>
      <c r="M217">
        <v>49</v>
      </c>
      <c r="N217" t="str">
        <f>HYPERLINK("Gene1416-zp_tree_all.dnd", "Gene1416-tree")</f>
        <v>Gene1416-tree</v>
      </c>
      <c r="O217">
        <v>29</v>
      </c>
      <c r="P217">
        <v>1</v>
      </c>
      <c r="Q217">
        <v>6</v>
      </c>
      <c r="R217">
        <v>1</v>
      </c>
      <c r="S217">
        <v>0.14285999999999999</v>
      </c>
      <c r="T217" t="s">
        <v>3696</v>
      </c>
      <c r="U217" t="s">
        <v>175</v>
      </c>
      <c r="V217" t="s">
        <v>62</v>
      </c>
      <c r="W217" t="s">
        <v>62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4</v>
      </c>
      <c r="AM217">
        <v>3</v>
      </c>
      <c r="AN217">
        <v>3</v>
      </c>
      <c r="AO217">
        <v>1</v>
      </c>
      <c r="AP217">
        <v>4</v>
      </c>
      <c r="AQ217">
        <v>0</v>
      </c>
      <c r="AR217" t="s">
        <v>8869</v>
      </c>
      <c r="AS217" t="s">
        <v>193</v>
      </c>
      <c r="AT217">
        <v>0.6</v>
      </c>
      <c r="AU217" t="s">
        <v>65</v>
      </c>
      <c r="AV217">
        <v>7</v>
      </c>
      <c r="AW217">
        <v>1</v>
      </c>
      <c r="AX217" t="s">
        <v>8870</v>
      </c>
      <c r="AY217">
        <v>6.0830000000000002E-2</v>
      </c>
      <c r="AZ217">
        <v>-6.4099999999999999E-3</v>
      </c>
      <c r="BA217">
        <v>1.41E-3</v>
      </c>
      <c r="BB217">
        <v>-4.6000000000000001E-4</v>
      </c>
      <c r="BC217">
        <v>2.3099999999999999E-2</v>
      </c>
      <c r="BD217">
        <v>1</v>
      </c>
      <c r="BE217" t="s">
        <v>69</v>
      </c>
      <c r="BF217">
        <v>-0.90100000000000002</v>
      </c>
      <c r="BG217">
        <v>-0.83</v>
      </c>
    </row>
    <row r="218" spans="1:59">
      <c r="A218">
        <v>0</v>
      </c>
      <c r="B218">
        <v>0</v>
      </c>
      <c r="C218">
        <v>0</v>
      </c>
      <c r="D218" t="s">
        <v>25022</v>
      </c>
      <c r="E218">
        <v>3601</v>
      </c>
      <c r="F218" t="s">
        <v>21146</v>
      </c>
      <c r="G218" t="s">
        <v>62</v>
      </c>
      <c r="H218">
        <v>3569295</v>
      </c>
      <c r="I218">
        <v>3569549</v>
      </c>
      <c r="J218" t="s">
        <v>21147</v>
      </c>
      <c r="K218">
        <v>85</v>
      </c>
      <c r="L218" t="s">
        <v>59</v>
      </c>
      <c r="M218">
        <v>49</v>
      </c>
      <c r="N218" t="str">
        <f>HYPERLINK("Gene3601-zp_tree_all.dnd", "Gene3601-tree")</f>
        <v>Gene3601-tree</v>
      </c>
      <c r="O218">
        <v>9</v>
      </c>
      <c r="P218">
        <v>1</v>
      </c>
      <c r="Q218">
        <v>9</v>
      </c>
      <c r="R218">
        <v>1</v>
      </c>
      <c r="S218">
        <v>0.1</v>
      </c>
      <c r="T218" t="s">
        <v>135</v>
      </c>
      <c r="U218" t="s">
        <v>175</v>
      </c>
      <c r="V218" t="s">
        <v>62</v>
      </c>
      <c r="W218" t="s">
        <v>62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9</v>
      </c>
      <c r="AM218">
        <v>4</v>
      </c>
      <c r="AN218">
        <v>14</v>
      </c>
      <c r="AO218">
        <v>1</v>
      </c>
      <c r="AP218">
        <v>12</v>
      </c>
      <c r="AQ218">
        <v>0</v>
      </c>
      <c r="AR218" t="s">
        <v>21148</v>
      </c>
      <c r="AS218" t="s">
        <v>193</v>
      </c>
      <c r="AT218">
        <v>0.34899999999999998</v>
      </c>
      <c r="AU218" t="s">
        <v>65</v>
      </c>
      <c r="AV218">
        <v>26</v>
      </c>
      <c r="AW218">
        <v>1</v>
      </c>
      <c r="AX218" t="s">
        <v>21149</v>
      </c>
      <c r="AY218">
        <v>0.14499999999999999</v>
      </c>
      <c r="AZ218">
        <v>-1.272E-2</v>
      </c>
      <c r="BA218">
        <v>1.0200000000000001E-3</v>
      </c>
      <c r="BB218">
        <v>-2.9999999999999997E-4</v>
      </c>
      <c r="BC218">
        <v>7.0299999999999998E-3</v>
      </c>
      <c r="BD218">
        <v>1</v>
      </c>
      <c r="BE218" t="s">
        <v>69</v>
      </c>
      <c r="BF218">
        <v>-1.621</v>
      </c>
      <c r="BG218">
        <v>-0.79900000000000004</v>
      </c>
    </row>
    <row r="219" spans="1:59">
      <c r="A219">
        <v>0</v>
      </c>
      <c r="B219">
        <v>4</v>
      </c>
      <c r="C219">
        <v>0</v>
      </c>
      <c r="D219" t="s">
        <v>25022</v>
      </c>
      <c r="E219">
        <v>3262</v>
      </c>
      <c r="F219" t="s">
        <v>19019</v>
      </c>
      <c r="G219" t="s">
        <v>62</v>
      </c>
      <c r="H219">
        <v>3228434</v>
      </c>
      <c r="I219">
        <v>3228691</v>
      </c>
      <c r="J219" t="s">
        <v>116</v>
      </c>
      <c r="K219">
        <v>86</v>
      </c>
      <c r="L219" t="s">
        <v>465</v>
      </c>
      <c r="M219">
        <v>46</v>
      </c>
      <c r="N219" t="str">
        <f>HYPERLINK("Gene3262-zp_tree_all.dnd", "Gene3262-tree")</f>
        <v>Gene3262-tree</v>
      </c>
      <c r="O219">
        <v>3</v>
      </c>
      <c r="P219">
        <v>26</v>
      </c>
      <c r="Q219">
        <v>3</v>
      </c>
      <c r="R219">
        <v>7</v>
      </c>
      <c r="S219">
        <v>0.7</v>
      </c>
      <c r="T219" t="s">
        <v>324</v>
      </c>
      <c r="U219" t="s">
        <v>191</v>
      </c>
      <c r="V219">
        <v>2.2130000000000001</v>
      </c>
      <c r="W219" t="s">
        <v>65</v>
      </c>
      <c r="X219">
        <v>2</v>
      </c>
      <c r="Y219">
        <v>4</v>
      </c>
      <c r="Z219">
        <v>6</v>
      </c>
      <c r="AA219">
        <v>0.4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</v>
      </c>
      <c r="AH219">
        <v>0</v>
      </c>
      <c r="AI219">
        <v>4</v>
      </c>
      <c r="AJ219">
        <v>6</v>
      </c>
      <c r="AK219">
        <v>0.4</v>
      </c>
      <c r="AL219">
        <v>6</v>
      </c>
      <c r="AM219">
        <v>4</v>
      </c>
      <c r="AN219">
        <v>9</v>
      </c>
      <c r="AO219">
        <v>7</v>
      </c>
      <c r="AP219">
        <v>3</v>
      </c>
      <c r="AQ219">
        <v>3</v>
      </c>
      <c r="AR219" t="s">
        <v>19020</v>
      </c>
      <c r="AS219" t="s">
        <v>19021</v>
      </c>
      <c r="AT219">
        <v>0.255</v>
      </c>
      <c r="AU219" t="s">
        <v>65</v>
      </c>
      <c r="AV219">
        <v>12</v>
      </c>
      <c r="AW219">
        <v>10</v>
      </c>
      <c r="AX219" t="s">
        <v>19022</v>
      </c>
      <c r="AY219">
        <v>4.7410000000000001E-2</v>
      </c>
      <c r="AZ219">
        <v>-6.0800000000000003E-3</v>
      </c>
      <c r="BA219">
        <v>1.238E-2</v>
      </c>
      <c r="BB219">
        <v>-1.1299999999999999E-3</v>
      </c>
      <c r="BC219">
        <v>0.26124000000000003</v>
      </c>
      <c r="BD219">
        <v>1</v>
      </c>
      <c r="BE219" t="s">
        <v>69</v>
      </c>
      <c r="BF219">
        <v>-0.432</v>
      </c>
      <c r="BG219">
        <v>0.79900000000000004</v>
      </c>
    </row>
    <row r="220" spans="1:59">
      <c r="A220">
        <v>0</v>
      </c>
      <c r="B220">
        <v>0</v>
      </c>
      <c r="C220">
        <v>0</v>
      </c>
      <c r="D220" t="s">
        <v>25022</v>
      </c>
      <c r="E220">
        <v>3752</v>
      </c>
      <c r="F220" t="s">
        <v>21990</v>
      </c>
      <c r="G220" t="s">
        <v>62</v>
      </c>
      <c r="H220">
        <v>3727430</v>
      </c>
      <c r="I220">
        <v>3727687</v>
      </c>
      <c r="J220" t="s">
        <v>116</v>
      </c>
      <c r="K220">
        <v>86</v>
      </c>
      <c r="L220" t="s">
        <v>21991</v>
      </c>
      <c r="M220">
        <v>39</v>
      </c>
      <c r="N220" t="str">
        <f>HYPERLINK("Gene3752-zp_tree_all.dnd", "Gene3752-tree")</f>
        <v>Gene3752-tree</v>
      </c>
      <c r="O220">
        <v>25</v>
      </c>
      <c r="P220">
        <v>3</v>
      </c>
      <c r="Q220">
        <v>7</v>
      </c>
      <c r="R220">
        <v>3</v>
      </c>
      <c r="S220">
        <v>0.3</v>
      </c>
      <c r="T220" t="s">
        <v>2683</v>
      </c>
      <c r="U220" t="s">
        <v>324</v>
      </c>
      <c r="V220" t="s">
        <v>62</v>
      </c>
      <c r="W220" t="s">
        <v>62</v>
      </c>
      <c r="X220">
        <v>0</v>
      </c>
      <c r="Y220">
        <v>0</v>
      </c>
      <c r="Z220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3</v>
      </c>
      <c r="AK220">
        <v>0</v>
      </c>
      <c r="AL220">
        <v>8</v>
      </c>
      <c r="AM220">
        <v>6</v>
      </c>
      <c r="AN220">
        <v>16</v>
      </c>
      <c r="AO220">
        <v>3</v>
      </c>
      <c r="AP220">
        <v>18</v>
      </c>
      <c r="AQ220">
        <v>2</v>
      </c>
      <c r="AR220" t="s">
        <v>21992</v>
      </c>
      <c r="AS220" t="s">
        <v>21993</v>
      </c>
      <c r="AT220">
        <v>0.28899999999999998</v>
      </c>
      <c r="AU220" t="s">
        <v>65</v>
      </c>
      <c r="AV220">
        <v>34</v>
      </c>
      <c r="AW220">
        <v>5</v>
      </c>
      <c r="AX220" t="s">
        <v>21994</v>
      </c>
      <c r="AY220">
        <v>0.18285999999999999</v>
      </c>
      <c r="AZ220">
        <v>-1.2460000000000001E-2</v>
      </c>
      <c r="BA220">
        <v>8.2900000000000005E-3</v>
      </c>
      <c r="BB220">
        <v>-8.9999999999999998E-4</v>
      </c>
      <c r="BC220">
        <v>4.5359999999999998E-2</v>
      </c>
      <c r="BD220">
        <v>1</v>
      </c>
      <c r="BE220" t="s">
        <v>69</v>
      </c>
      <c r="BF220">
        <v>-0.53400000000000003</v>
      </c>
      <c r="BG220">
        <v>-1.399</v>
      </c>
    </row>
    <row r="221" spans="1:59">
      <c r="A221">
        <v>0</v>
      </c>
      <c r="B221">
        <v>0</v>
      </c>
      <c r="C221">
        <v>0</v>
      </c>
      <c r="D221" t="s">
        <v>25022</v>
      </c>
      <c r="E221">
        <v>59</v>
      </c>
      <c r="F221" t="s">
        <v>483</v>
      </c>
      <c r="G221" t="s">
        <v>57</v>
      </c>
      <c r="H221">
        <v>67877</v>
      </c>
      <c r="I221">
        <v>68134</v>
      </c>
      <c r="J221" t="s">
        <v>484</v>
      </c>
      <c r="K221">
        <v>86</v>
      </c>
      <c r="L221" t="s">
        <v>72</v>
      </c>
      <c r="M221">
        <v>45</v>
      </c>
      <c r="N221" t="str">
        <f>HYPERLINK("Gene59-zp_tree_all.dnd", "Gene59-tree")</f>
        <v>Gene59-tree</v>
      </c>
      <c r="O221">
        <v>31</v>
      </c>
      <c r="P221">
        <v>1</v>
      </c>
      <c r="Q221">
        <v>5</v>
      </c>
      <c r="R221">
        <v>1</v>
      </c>
      <c r="S221">
        <v>0.16667000000000001</v>
      </c>
      <c r="T221" t="s">
        <v>485</v>
      </c>
      <c r="U221" t="s">
        <v>175</v>
      </c>
      <c r="V221" t="s">
        <v>62</v>
      </c>
      <c r="W221" t="s">
        <v>62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4</v>
      </c>
      <c r="AM221">
        <v>1</v>
      </c>
      <c r="AN221">
        <v>14</v>
      </c>
      <c r="AO221">
        <v>1</v>
      </c>
      <c r="AP221">
        <v>1</v>
      </c>
      <c r="AQ221">
        <v>0</v>
      </c>
      <c r="AR221" t="s">
        <v>486</v>
      </c>
      <c r="AS221" t="s">
        <v>193</v>
      </c>
      <c r="AT221">
        <v>0.42699999999999999</v>
      </c>
      <c r="AU221" t="s">
        <v>65</v>
      </c>
      <c r="AV221">
        <v>15</v>
      </c>
      <c r="AW221">
        <v>1</v>
      </c>
      <c r="AX221" t="s">
        <v>487</v>
      </c>
      <c r="AY221">
        <v>9.9169999999999994E-2</v>
      </c>
      <c r="AZ221">
        <v>-2.5149999999999999E-2</v>
      </c>
      <c r="BA221">
        <v>1.6800000000000001E-3</v>
      </c>
      <c r="BB221">
        <v>-5.9999999999999995E-4</v>
      </c>
      <c r="BC221">
        <v>1.6920000000000001E-2</v>
      </c>
      <c r="BD221">
        <v>1</v>
      </c>
      <c r="BE221" t="s">
        <v>69</v>
      </c>
      <c r="BF221">
        <v>-1.7430000000000001</v>
      </c>
      <c r="BG221">
        <v>-3.3450000000000002</v>
      </c>
    </row>
    <row r="222" spans="1:59">
      <c r="A222">
        <v>0</v>
      </c>
      <c r="B222">
        <v>0</v>
      </c>
      <c r="C222">
        <v>0</v>
      </c>
      <c r="D222" t="s">
        <v>25022</v>
      </c>
      <c r="E222">
        <v>44</v>
      </c>
      <c r="F222" t="s">
        <v>384</v>
      </c>
      <c r="G222" t="s">
        <v>57</v>
      </c>
      <c r="H222">
        <v>52763</v>
      </c>
      <c r="I222">
        <v>53020</v>
      </c>
      <c r="J222" t="s">
        <v>288</v>
      </c>
      <c r="K222">
        <v>86</v>
      </c>
      <c r="L222" t="s">
        <v>59</v>
      </c>
      <c r="M222">
        <v>49</v>
      </c>
      <c r="N222" t="str">
        <f>HYPERLINK("Gene44-zp_tree_all.dnd", "Gene44-tree")</f>
        <v>Gene44-tree</v>
      </c>
      <c r="O222">
        <v>48</v>
      </c>
      <c r="P222">
        <v>0</v>
      </c>
      <c r="Q222">
        <v>5</v>
      </c>
      <c r="R222">
        <v>0</v>
      </c>
      <c r="S222">
        <v>0</v>
      </c>
      <c r="T222" t="s">
        <v>385</v>
      </c>
      <c r="U222" t="s">
        <v>62</v>
      </c>
      <c r="V222" t="s">
        <v>62</v>
      </c>
      <c r="W222" t="s">
        <v>62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</v>
      </c>
      <c r="AM222">
        <v>1</v>
      </c>
      <c r="AN222">
        <v>4</v>
      </c>
      <c r="AO222">
        <v>0</v>
      </c>
      <c r="AP222">
        <v>1</v>
      </c>
      <c r="AQ222">
        <v>0</v>
      </c>
      <c r="AR222" t="s">
        <v>193</v>
      </c>
      <c r="AS222" t="s">
        <v>193</v>
      </c>
      <c r="AT222">
        <v>0</v>
      </c>
      <c r="AU222" t="s">
        <v>65</v>
      </c>
      <c r="AV222">
        <v>5</v>
      </c>
      <c r="AW222">
        <v>0</v>
      </c>
      <c r="AX222" t="s">
        <v>386</v>
      </c>
      <c r="AY222">
        <v>3.6740000000000002E-2</v>
      </c>
      <c r="AZ222">
        <v>-5.2900000000000004E-3</v>
      </c>
      <c r="BA222">
        <v>0</v>
      </c>
      <c r="BB222">
        <v>0</v>
      </c>
      <c r="BC222">
        <v>0</v>
      </c>
      <c r="BD222">
        <v>1</v>
      </c>
      <c r="BE222" t="s">
        <v>69</v>
      </c>
      <c r="BF222">
        <v>-1.821</v>
      </c>
      <c r="BG222">
        <v>-1.78</v>
      </c>
    </row>
    <row r="223" spans="1:59">
      <c r="A223">
        <v>0</v>
      </c>
      <c r="B223">
        <v>0</v>
      </c>
      <c r="C223">
        <v>0</v>
      </c>
      <c r="D223" t="s">
        <v>25022</v>
      </c>
      <c r="E223">
        <v>1759</v>
      </c>
      <c r="F223" t="s">
        <v>11016</v>
      </c>
      <c r="G223" t="s">
        <v>57</v>
      </c>
      <c r="H223">
        <v>1769935</v>
      </c>
      <c r="I223">
        <v>1770192</v>
      </c>
      <c r="J223" t="s">
        <v>11017</v>
      </c>
      <c r="K223">
        <v>86</v>
      </c>
      <c r="L223" t="s">
        <v>59</v>
      </c>
      <c r="M223">
        <v>49</v>
      </c>
      <c r="N223" t="str">
        <f>HYPERLINK("Gene1759-zp_tree_all.dnd", "Gene1759-tree")</f>
        <v>Gene1759-tree</v>
      </c>
      <c r="O223">
        <v>6</v>
      </c>
      <c r="P223">
        <v>0</v>
      </c>
      <c r="Q223">
        <v>6</v>
      </c>
      <c r="R223">
        <v>0</v>
      </c>
      <c r="S223">
        <v>0</v>
      </c>
      <c r="T223" t="s">
        <v>90</v>
      </c>
      <c r="U223" t="s">
        <v>62</v>
      </c>
      <c r="V223" t="s">
        <v>62</v>
      </c>
      <c r="W223" t="s">
        <v>62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4</v>
      </c>
      <c r="AM223">
        <v>3</v>
      </c>
      <c r="AN223">
        <v>5</v>
      </c>
      <c r="AO223">
        <v>0</v>
      </c>
      <c r="AP223">
        <v>12</v>
      </c>
      <c r="AQ223">
        <v>0</v>
      </c>
      <c r="AR223" t="s">
        <v>193</v>
      </c>
      <c r="AS223" t="s">
        <v>193</v>
      </c>
      <c r="AT223">
        <v>0</v>
      </c>
      <c r="AU223" t="s">
        <v>65</v>
      </c>
      <c r="AV223">
        <v>17</v>
      </c>
      <c r="AW223">
        <v>0</v>
      </c>
      <c r="AX223" t="s">
        <v>11018</v>
      </c>
      <c r="AY223">
        <v>0.13614999999999999</v>
      </c>
      <c r="AZ223">
        <v>-1.592E-2</v>
      </c>
      <c r="BA223">
        <v>0</v>
      </c>
      <c r="BB223">
        <v>0</v>
      </c>
      <c r="BC223">
        <v>0</v>
      </c>
      <c r="BD223">
        <v>1</v>
      </c>
      <c r="BE223" t="s">
        <v>69</v>
      </c>
      <c r="BF223">
        <v>-1.044</v>
      </c>
      <c r="BG223">
        <v>1.113</v>
      </c>
    </row>
    <row r="224" spans="1:59">
      <c r="A224">
        <v>0</v>
      </c>
      <c r="B224">
        <v>0</v>
      </c>
      <c r="C224">
        <v>0</v>
      </c>
      <c r="D224" t="s">
        <v>25022</v>
      </c>
      <c r="E224">
        <v>201</v>
      </c>
      <c r="F224" t="s">
        <v>1370</v>
      </c>
      <c r="G224" t="s">
        <v>57</v>
      </c>
      <c r="H224">
        <v>222971</v>
      </c>
      <c r="I224">
        <v>223231</v>
      </c>
      <c r="J224" t="s">
        <v>116</v>
      </c>
      <c r="K224">
        <v>87</v>
      </c>
      <c r="L224" t="s">
        <v>1371</v>
      </c>
      <c r="M224">
        <v>39</v>
      </c>
      <c r="N224" t="str">
        <f>HYPERLINK("Gene201-zp_tree_all.dnd", "Gene201-tree")</f>
        <v>Gene201-tree</v>
      </c>
      <c r="O224">
        <v>2</v>
      </c>
      <c r="P224">
        <v>4</v>
      </c>
      <c r="Q224">
        <v>2</v>
      </c>
      <c r="R224">
        <v>4</v>
      </c>
      <c r="S224">
        <v>0.66666999999999998</v>
      </c>
      <c r="T224" t="s">
        <v>81</v>
      </c>
      <c r="U224" t="s">
        <v>61</v>
      </c>
      <c r="V224" t="s">
        <v>62</v>
      </c>
      <c r="W224" t="s">
        <v>62</v>
      </c>
      <c r="X224">
        <v>0</v>
      </c>
      <c r="Y224">
        <v>0</v>
      </c>
      <c r="Z224">
        <v>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8</v>
      </c>
      <c r="AK224">
        <v>0</v>
      </c>
      <c r="AL224">
        <v>4</v>
      </c>
      <c r="AM224">
        <v>1</v>
      </c>
      <c r="AN224">
        <v>2</v>
      </c>
      <c r="AO224">
        <v>7</v>
      </c>
      <c r="AP224">
        <v>0</v>
      </c>
      <c r="AQ224">
        <v>1</v>
      </c>
      <c r="AR224" t="s">
        <v>1372</v>
      </c>
      <c r="AS224" t="s">
        <v>193</v>
      </c>
      <c r="AT224">
        <v>1.1619999999999999</v>
      </c>
      <c r="AU224" t="s">
        <v>65</v>
      </c>
      <c r="AV224">
        <v>2</v>
      </c>
      <c r="AW224">
        <v>8</v>
      </c>
      <c r="AX224" t="s">
        <v>1373</v>
      </c>
      <c r="AY224">
        <v>1.099E-2</v>
      </c>
      <c r="AZ224">
        <v>-2.5500000000000002E-3</v>
      </c>
      <c r="BA224">
        <v>1.719E-2</v>
      </c>
      <c r="BB224">
        <v>-2.96E-3</v>
      </c>
      <c r="BC224">
        <v>1.56338</v>
      </c>
      <c r="BD224">
        <v>8.3000000000000004E-2</v>
      </c>
      <c r="BE224" t="s">
        <v>635</v>
      </c>
      <c r="BF224">
        <v>-0.91300000000000003</v>
      </c>
      <c r="BG224">
        <v>0.76800000000000002</v>
      </c>
    </row>
    <row r="225" spans="1:59">
      <c r="A225">
        <v>0</v>
      </c>
      <c r="B225">
        <v>0</v>
      </c>
      <c r="C225">
        <v>0</v>
      </c>
      <c r="D225" t="s">
        <v>25022</v>
      </c>
      <c r="E225">
        <v>3249</v>
      </c>
      <c r="F225" t="s">
        <v>18939</v>
      </c>
      <c r="G225" t="s">
        <v>62</v>
      </c>
      <c r="H225">
        <v>3218218</v>
      </c>
      <c r="I225">
        <v>3218478</v>
      </c>
      <c r="J225" t="s">
        <v>116</v>
      </c>
      <c r="K225">
        <v>87</v>
      </c>
      <c r="L225" t="s">
        <v>265</v>
      </c>
      <c r="M225">
        <v>43</v>
      </c>
      <c r="N225" t="str">
        <f>HYPERLINK("Gene3249-zp_tree_all.dnd", "Gene3249-tree")</f>
        <v>Gene3249-tree</v>
      </c>
      <c r="O225">
        <v>6</v>
      </c>
      <c r="P225">
        <v>3</v>
      </c>
      <c r="Q225">
        <v>6</v>
      </c>
      <c r="R225">
        <v>3</v>
      </c>
      <c r="S225">
        <v>0.33333000000000002</v>
      </c>
      <c r="T225" t="s">
        <v>90</v>
      </c>
      <c r="U225" t="s">
        <v>324</v>
      </c>
      <c r="V225" t="s">
        <v>62</v>
      </c>
      <c r="W225" t="s">
        <v>62</v>
      </c>
      <c r="X225">
        <v>0</v>
      </c>
      <c r="Y225">
        <v>0</v>
      </c>
      <c r="Z225">
        <v>7</v>
      </c>
      <c r="AA225">
        <v>0</v>
      </c>
      <c r="AB225">
        <v>0</v>
      </c>
      <c r="AC225">
        <v>0</v>
      </c>
      <c r="AD225">
        <v>0</v>
      </c>
      <c r="AE225">
        <v>3</v>
      </c>
      <c r="AF225">
        <v>0</v>
      </c>
      <c r="AG225">
        <v>0</v>
      </c>
      <c r="AH225">
        <v>0</v>
      </c>
      <c r="AI225">
        <v>0</v>
      </c>
      <c r="AJ225">
        <v>4</v>
      </c>
      <c r="AK225">
        <v>0</v>
      </c>
      <c r="AL225">
        <v>5</v>
      </c>
      <c r="AM225">
        <v>3</v>
      </c>
      <c r="AN225">
        <v>8</v>
      </c>
      <c r="AO225">
        <v>4</v>
      </c>
      <c r="AP225">
        <v>3</v>
      </c>
      <c r="AQ225">
        <v>3</v>
      </c>
      <c r="AR225" t="s">
        <v>18940</v>
      </c>
      <c r="AS225" t="s">
        <v>18941</v>
      </c>
      <c r="AT225">
        <v>0.31900000000000001</v>
      </c>
      <c r="AU225" t="s">
        <v>65</v>
      </c>
      <c r="AV225">
        <v>11</v>
      </c>
      <c r="AW225">
        <v>7</v>
      </c>
      <c r="AX225" t="s">
        <v>18942</v>
      </c>
      <c r="AY225">
        <v>4.9500000000000002E-2</v>
      </c>
      <c r="AZ225">
        <v>-6.0899999999999999E-3</v>
      </c>
      <c r="BA225">
        <v>1.034E-2</v>
      </c>
      <c r="BB225">
        <v>-1.25E-3</v>
      </c>
      <c r="BC225">
        <v>0.20898</v>
      </c>
      <c r="BD225">
        <v>1</v>
      </c>
      <c r="BE225" t="s">
        <v>69</v>
      </c>
      <c r="BF225">
        <v>-0.57799999999999996</v>
      </c>
      <c r="BG225">
        <v>-2.395</v>
      </c>
    </row>
    <row r="226" spans="1:59">
      <c r="A226">
        <v>0</v>
      </c>
      <c r="B226">
        <v>0</v>
      </c>
      <c r="C226">
        <v>0</v>
      </c>
      <c r="D226" t="s">
        <v>25022</v>
      </c>
      <c r="E226">
        <v>1330</v>
      </c>
      <c r="F226" t="s">
        <v>8328</v>
      </c>
      <c r="G226" t="s">
        <v>57</v>
      </c>
      <c r="H226">
        <v>1347013</v>
      </c>
      <c r="I226">
        <v>1347273</v>
      </c>
      <c r="J226" t="s">
        <v>8329</v>
      </c>
      <c r="K226">
        <v>87</v>
      </c>
      <c r="L226" t="s">
        <v>1305</v>
      </c>
      <c r="M226">
        <v>43</v>
      </c>
      <c r="N226" t="str">
        <f>HYPERLINK("Gene1330-zp_tree_all.dnd", "Gene1330-tree")</f>
        <v>Gene1330-tree</v>
      </c>
      <c r="O226">
        <v>27</v>
      </c>
      <c r="P226">
        <v>4</v>
      </c>
      <c r="Q226">
        <v>6</v>
      </c>
      <c r="R226">
        <v>4</v>
      </c>
      <c r="S226">
        <v>0.4</v>
      </c>
      <c r="T226" t="s">
        <v>1055</v>
      </c>
      <c r="U226" t="s">
        <v>61</v>
      </c>
      <c r="V226" t="s">
        <v>62</v>
      </c>
      <c r="W226" t="s">
        <v>62</v>
      </c>
      <c r="X226">
        <v>0</v>
      </c>
      <c r="Y226">
        <v>0</v>
      </c>
      <c r="Z226">
        <v>7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6</v>
      </c>
      <c r="AK226">
        <v>0</v>
      </c>
      <c r="AL226">
        <v>7</v>
      </c>
      <c r="AM226">
        <v>3</v>
      </c>
      <c r="AN226">
        <v>7</v>
      </c>
      <c r="AO226">
        <v>7</v>
      </c>
      <c r="AP226">
        <v>3</v>
      </c>
      <c r="AQ226">
        <v>1</v>
      </c>
      <c r="AR226" t="s">
        <v>8330</v>
      </c>
      <c r="AS226" t="s">
        <v>8331</v>
      </c>
      <c r="AT226">
        <v>0.55200000000000005</v>
      </c>
      <c r="AU226" t="s">
        <v>65</v>
      </c>
      <c r="AV226">
        <v>10</v>
      </c>
      <c r="AW226">
        <v>8</v>
      </c>
      <c r="AX226" t="s">
        <v>8332</v>
      </c>
      <c r="AY226">
        <v>4.6739999999999997E-2</v>
      </c>
      <c r="AZ226">
        <v>-4.62E-3</v>
      </c>
      <c r="BA226">
        <v>9.6799999999999994E-3</v>
      </c>
      <c r="BB226">
        <v>-1.2099999999999999E-3</v>
      </c>
      <c r="BC226">
        <v>0.20713999999999999</v>
      </c>
      <c r="BD226">
        <v>1</v>
      </c>
      <c r="BE226" t="s">
        <v>69</v>
      </c>
      <c r="BF226">
        <v>-1.4079999999999999</v>
      </c>
      <c r="BG226">
        <v>-2.7959999999999998</v>
      </c>
    </row>
    <row r="227" spans="1:59">
      <c r="A227">
        <v>0</v>
      </c>
      <c r="B227">
        <v>0</v>
      </c>
      <c r="C227">
        <v>0</v>
      </c>
      <c r="D227" t="s">
        <v>25022</v>
      </c>
      <c r="E227">
        <v>23</v>
      </c>
      <c r="F227" t="s">
        <v>232</v>
      </c>
      <c r="G227" t="s">
        <v>57</v>
      </c>
      <c r="H227">
        <v>29772</v>
      </c>
      <c r="I227">
        <v>30032</v>
      </c>
      <c r="J227" t="s">
        <v>233</v>
      </c>
      <c r="K227">
        <v>87</v>
      </c>
      <c r="L227" t="s">
        <v>160</v>
      </c>
      <c r="M227">
        <v>45</v>
      </c>
      <c r="N227" t="str">
        <f>HYPERLINK("Gene23-zp_tree_all.dnd", "Gene23-tree")</f>
        <v>Gene23-tree</v>
      </c>
      <c r="O227">
        <v>29</v>
      </c>
      <c r="P227">
        <v>4</v>
      </c>
      <c r="Q227">
        <v>9</v>
      </c>
      <c r="R227">
        <v>4</v>
      </c>
      <c r="S227">
        <v>0.30769000000000002</v>
      </c>
      <c r="T227" t="s">
        <v>234</v>
      </c>
      <c r="U227" t="s">
        <v>61</v>
      </c>
      <c r="V227" t="s">
        <v>62</v>
      </c>
      <c r="W227" t="s">
        <v>62</v>
      </c>
      <c r="X227">
        <v>0</v>
      </c>
      <c r="Y227">
        <v>0</v>
      </c>
      <c r="Z227">
        <v>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4</v>
      </c>
      <c r="AK227">
        <v>0</v>
      </c>
      <c r="AL227">
        <v>8</v>
      </c>
      <c r="AM227">
        <v>6</v>
      </c>
      <c r="AN227">
        <v>16</v>
      </c>
      <c r="AO227">
        <v>4</v>
      </c>
      <c r="AP227">
        <v>9</v>
      </c>
      <c r="AQ227">
        <v>1</v>
      </c>
      <c r="AR227" t="s">
        <v>235</v>
      </c>
      <c r="AS227" t="s">
        <v>236</v>
      </c>
      <c r="AT227">
        <v>0.36</v>
      </c>
      <c r="AU227" t="s">
        <v>65</v>
      </c>
      <c r="AV227">
        <v>25</v>
      </c>
      <c r="AW227">
        <v>5</v>
      </c>
      <c r="AX227" t="s">
        <v>237</v>
      </c>
      <c r="AY227">
        <v>7.714E-2</v>
      </c>
      <c r="AZ227">
        <v>-8.7100000000000007E-3</v>
      </c>
      <c r="BA227">
        <v>5.8900000000000003E-3</v>
      </c>
      <c r="BB227">
        <v>-5.1000000000000004E-4</v>
      </c>
      <c r="BC227">
        <v>7.639E-2</v>
      </c>
      <c r="BD227">
        <v>1</v>
      </c>
      <c r="BE227" t="s">
        <v>69</v>
      </c>
      <c r="BF227">
        <v>-1.1859999999999999</v>
      </c>
      <c r="BG227">
        <v>-3.218</v>
      </c>
    </row>
    <row r="228" spans="1:59">
      <c r="A228">
        <v>0</v>
      </c>
      <c r="B228">
        <v>0</v>
      </c>
      <c r="C228">
        <v>0</v>
      </c>
      <c r="D228" t="s">
        <v>25022</v>
      </c>
      <c r="E228">
        <v>1882</v>
      </c>
      <c r="F228" t="s">
        <v>11772</v>
      </c>
      <c r="G228" t="s">
        <v>57</v>
      </c>
      <c r="H228">
        <v>1942192</v>
      </c>
      <c r="I228">
        <v>1942452</v>
      </c>
      <c r="J228" t="s">
        <v>288</v>
      </c>
      <c r="K228">
        <v>87</v>
      </c>
      <c r="L228" t="s">
        <v>108</v>
      </c>
      <c r="M228">
        <v>44</v>
      </c>
      <c r="N228" t="str">
        <f>HYPERLINK("Gene1882-zp_tree_all.dnd", "Gene1882-tree")</f>
        <v>Gene1882-tree</v>
      </c>
      <c r="O228">
        <v>7</v>
      </c>
      <c r="P228">
        <v>4</v>
      </c>
      <c r="Q228">
        <v>7</v>
      </c>
      <c r="R228">
        <v>4</v>
      </c>
      <c r="S228">
        <v>0.36364000000000002</v>
      </c>
      <c r="T228" t="s">
        <v>152</v>
      </c>
      <c r="U228" t="s">
        <v>61</v>
      </c>
      <c r="V228" t="s">
        <v>62</v>
      </c>
      <c r="W228" t="s">
        <v>62</v>
      </c>
      <c r="X228">
        <v>0</v>
      </c>
      <c r="Y228">
        <v>0</v>
      </c>
      <c r="Z228">
        <v>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6</v>
      </c>
      <c r="AK228">
        <v>0</v>
      </c>
      <c r="AL228">
        <v>9</v>
      </c>
      <c r="AM228">
        <v>6</v>
      </c>
      <c r="AN228">
        <v>16</v>
      </c>
      <c r="AO228">
        <v>6</v>
      </c>
      <c r="AP228">
        <v>7</v>
      </c>
      <c r="AQ228">
        <v>1</v>
      </c>
      <c r="AR228" t="s">
        <v>11773</v>
      </c>
      <c r="AS228" t="s">
        <v>11774</v>
      </c>
      <c r="AT228">
        <v>0.57299999999999995</v>
      </c>
      <c r="AU228" t="s">
        <v>65</v>
      </c>
      <c r="AV228">
        <v>23</v>
      </c>
      <c r="AW228">
        <v>7</v>
      </c>
      <c r="AX228" t="s">
        <v>11775</v>
      </c>
      <c r="AY228">
        <v>9.6030000000000004E-2</v>
      </c>
      <c r="AZ228">
        <v>-5.6699999999999997E-3</v>
      </c>
      <c r="BA228">
        <v>6.9499999999999996E-3</v>
      </c>
      <c r="BB228">
        <v>-8.8999999999999995E-4</v>
      </c>
      <c r="BC228">
        <v>7.2359999999999994E-2</v>
      </c>
      <c r="BD228">
        <v>1</v>
      </c>
      <c r="BE228" t="s">
        <v>69</v>
      </c>
      <c r="BF228">
        <v>-0.78100000000000003</v>
      </c>
      <c r="BG228">
        <v>-0.82399999999999995</v>
      </c>
    </row>
    <row r="229" spans="1:59">
      <c r="A229">
        <v>0</v>
      </c>
      <c r="B229">
        <v>0</v>
      </c>
      <c r="C229">
        <v>0</v>
      </c>
      <c r="D229" t="s">
        <v>25022</v>
      </c>
      <c r="E229">
        <v>125</v>
      </c>
      <c r="F229" t="s">
        <v>926</v>
      </c>
      <c r="G229" t="s">
        <v>57</v>
      </c>
      <c r="H229">
        <v>140147</v>
      </c>
      <c r="I229">
        <v>140407</v>
      </c>
      <c r="J229" t="s">
        <v>927</v>
      </c>
      <c r="K229">
        <v>87</v>
      </c>
      <c r="L229" t="s">
        <v>59</v>
      </c>
      <c r="M229">
        <v>49</v>
      </c>
      <c r="N229" t="str">
        <f>HYPERLINK("Gene125-zp_tree_all.dnd", "Gene125-tree")</f>
        <v>Gene125-tree</v>
      </c>
      <c r="O229">
        <v>5</v>
      </c>
      <c r="P229">
        <v>2</v>
      </c>
      <c r="Q229">
        <v>5</v>
      </c>
      <c r="R229">
        <v>2</v>
      </c>
      <c r="S229">
        <v>0.28571000000000002</v>
      </c>
      <c r="T229" t="s">
        <v>199</v>
      </c>
      <c r="U229" t="s">
        <v>81</v>
      </c>
      <c r="V229" t="s">
        <v>62</v>
      </c>
      <c r="W229" t="s">
        <v>62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</v>
      </c>
      <c r="AK229">
        <v>0</v>
      </c>
      <c r="AL229">
        <v>4</v>
      </c>
      <c r="AM229">
        <v>3</v>
      </c>
      <c r="AN229">
        <v>2</v>
      </c>
      <c r="AO229">
        <v>2</v>
      </c>
      <c r="AP229">
        <v>7</v>
      </c>
      <c r="AQ229">
        <v>0</v>
      </c>
      <c r="AR229" t="s">
        <v>928</v>
      </c>
      <c r="AS229" t="s">
        <v>193</v>
      </c>
      <c r="AT229">
        <v>1</v>
      </c>
      <c r="AU229" t="s">
        <v>65</v>
      </c>
      <c r="AV229">
        <v>9</v>
      </c>
      <c r="AW229">
        <v>2</v>
      </c>
      <c r="AX229" t="s">
        <v>929</v>
      </c>
      <c r="AY229">
        <v>7.6689999999999994E-2</v>
      </c>
      <c r="AZ229">
        <v>-9.9399999999999992E-3</v>
      </c>
      <c r="BA229">
        <v>2.8300000000000001E-3</v>
      </c>
      <c r="BB229">
        <v>-6.3000000000000003E-4</v>
      </c>
      <c r="BC229">
        <v>3.696E-2</v>
      </c>
      <c r="BD229">
        <v>1</v>
      </c>
      <c r="BE229" t="s">
        <v>69</v>
      </c>
      <c r="BF229">
        <v>-1.2929999999999999</v>
      </c>
      <c r="BG229">
        <v>-0.27500000000000002</v>
      </c>
    </row>
    <row r="230" spans="1:59">
      <c r="A230">
        <v>0</v>
      </c>
      <c r="B230">
        <v>0</v>
      </c>
      <c r="C230">
        <v>0</v>
      </c>
      <c r="D230" t="s">
        <v>25022</v>
      </c>
      <c r="E230">
        <v>727</v>
      </c>
      <c r="F230" t="s">
        <v>4502</v>
      </c>
      <c r="G230" t="s">
        <v>57</v>
      </c>
      <c r="H230">
        <v>756139</v>
      </c>
      <c r="I230">
        <v>756399</v>
      </c>
      <c r="J230" t="s">
        <v>4496</v>
      </c>
      <c r="K230">
        <v>87</v>
      </c>
      <c r="L230" t="s">
        <v>409</v>
      </c>
      <c r="M230">
        <v>45</v>
      </c>
      <c r="N230" t="str">
        <f>HYPERLINK("Gene727-zp_tree_all.dnd", "Gene727-tree")</f>
        <v>Gene727-tree</v>
      </c>
      <c r="O230">
        <v>9</v>
      </c>
      <c r="P230">
        <v>1</v>
      </c>
      <c r="Q230">
        <v>9</v>
      </c>
      <c r="R230">
        <v>1</v>
      </c>
      <c r="S230">
        <v>0.1</v>
      </c>
      <c r="T230" t="s">
        <v>135</v>
      </c>
      <c r="U230" t="s">
        <v>175</v>
      </c>
      <c r="V230" t="s">
        <v>62</v>
      </c>
      <c r="W230" t="s">
        <v>62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7</v>
      </c>
      <c r="AM230">
        <v>2</v>
      </c>
      <c r="AN230">
        <v>10</v>
      </c>
      <c r="AO230">
        <v>1</v>
      </c>
      <c r="AP230">
        <v>3</v>
      </c>
      <c r="AQ230">
        <v>0</v>
      </c>
      <c r="AR230" t="s">
        <v>4503</v>
      </c>
      <c r="AS230" t="s">
        <v>193</v>
      </c>
      <c r="AT230">
        <v>0.42199999999999999</v>
      </c>
      <c r="AU230" t="s">
        <v>65</v>
      </c>
      <c r="AV230">
        <v>13</v>
      </c>
      <c r="AW230">
        <v>1</v>
      </c>
      <c r="AX230" t="s">
        <v>4504</v>
      </c>
      <c r="AY230">
        <v>4.8070000000000002E-2</v>
      </c>
      <c r="AZ230">
        <v>-3.2100000000000002E-3</v>
      </c>
      <c r="BA230">
        <v>9.7999999999999997E-4</v>
      </c>
      <c r="BB230">
        <v>-2.9E-4</v>
      </c>
      <c r="BC230">
        <v>2.043E-2</v>
      </c>
      <c r="BD230">
        <v>1</v>
      </c>
      <c r="BE230" t="s">
        <v>69</v>
      </c>
      <c r="BF230">
        <v>-0.45600000000000002</v>
      </c>
      <c r="BG230">
        <v>0.20300000000000001</v>
      </c>
    </row>
    <row r="231" spans="1:59">
      <c r="A231">
        <v>0</v>
      </c>
      <c r="B231">
        <v>0</v>
      </c>
      <c r="C231">
        <v>0</v>
      </c>
      <c r="D231" t="s">
        <v>25022</v>
      </c>
      <c r="E231">
        <v>3227</v>
      </c>
      <c r="F231" t="s">
        <v>18804</v>
      </c>
      <c r="G231" t="s">
        <v>62</v>
      </c>
      <c r="H231">
        <v>3190465</v>
      </c>
      <c r="I231">
        <v>3190725</v>
      </c>
      <c r="J231" t="s">
        <v>116</v>
      </c>
      <c r="K231">
        <v>87</v>
      </c>
      <c r="L231" t="s">
        <v>698</v>
      </c>
      <c r="M231">
        <v>47</v>
      </c>
      <c r="N231" t="str">
        <f>HYPERLINK("Gene3227-zp_tree_all.dnd", "Gene3227-tree")</f>
        <v>Gene3227-tree</v>
      </c>
      <c r="O231">
        <v>10</v>
      </c>
      <c r="P231">
        <v>1</v>
      </c>
      <c r="Q231">
        <v>10</v>
      </c>
      <c r="R231">
        <v>1</v>
      </c>
      <c r="S231">
        <v>9.0910000000000005E-2</v>
      </c>
      <c r="T231" t="s">
        <v>117</v>
      </c>
      <c r="U231" t="s">
        <v>175</v>
      </c>
      <c r="V231" t="s">
        <v>62</v>
      </c>
      <c r="W231" t="s">
        <v>62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6</v>
      </c>
      <c r="AM231">
        <v>6</v>
      </c>
      <c r="AN231">
        <v>8</v>
      </c>
      <c r="AO231">
        <v>1</v>
      </c>
      <c r="AP231">
        <v>11</v>
      </c>
      <c r="AQ231">
        <v>0</v>
      </c>
      <c r="AR231" t="s">
        <v>18805</v>
      </c>
      <c r="AS231" t="s">
        <v>193</v>
      </c>
      <c r="AT231">
        <v>0.46100000000000002</v>
      </c>
      <c r="AU231" t="s">
        <v>65</v>
      </c>
      <c r="AV231">
        <v>19</v>
      </c>
      <c r="AW231">
        <v>1</v>
      </c>
      <c r="AX231" t="s">
        <v>18806</v>
      </c>
      <c r="AY231">
        <v>9.3759999999999996E-2</v>
      </c>
      <c r="AZ231">
        <v>-9.3600000000000003E-3</v>
      </c>
      <c r="BA231">
        <v>9.2000000000000003E-4</v>
      </c>
      <c r="BB231">
        <v>-2.5000000000000001E-4</v>
      </c>
      <c r="BC231">
        <v>9.7699999999999992E-3</v>
      </c>
      <c r="BD231">
        <v>1</v>
      </c>
      <c r="BE231" t="s">
        <v>69</v>
      </c>
      <c r="BF231">
        <v>-2.1999999999999999E-2</v>
      </c>
      <c r="BG231">
        <v>0.30199999999999999</v>
      </c>
    </row>
    <row r="232" spans="1:59">
      <c r="A232">
        <v>0</v>
      </c>
      <c r="B232">
        <v>2</v>
      </c>
      <c r="C232">
        <v>0</v>
      </c>
      <c r="D232" t="s">
        <v>25022</v>
      </c>
      <c r="E232">
        <v>1771</v>
      </c>
      <c r="F232" t="s">
        <v>11092</v>
      </c>
      <c r="G232" t="s">
        <v>57</v>
      </c>
      <c r="H232">
        <v>1783500</v>
      </c>
      <c r="I232">
        <v>1783763</v>
      </c>
      <c r="J232" t="s">
        <v>11093</v>
      </c>
      <c r="K232">
        <v>88</v>
      </c>
      <c r="L232" t="s">
        <v>8085</v>
      </c>
      <c r="M232">
        <v>35</v>
      </c>
      <c r="N232" t="str">
        <f>HYPERLINK("Gene1771-zp_tree_all.dnd", "Gene1771-tree")</f>
        <v>Gene1771-tree</v>
      </c>
      <c r="O232">
        <v>3</v>
      </c>
      <c r="P232">
        <v>6</v>
      </c>
      <c r="Q232">
        <v>3</v>
      </c>
      <c r="R232">
        <v>6</v>
      </c>
      <c r="S232">
        <v>0.66666999999999998</v>
      </c>
      <c r="T232" t="s">
        <v>324</v>
      </c>
      <c r="U232" t="s">
        <v>90</v>
      </c>
      <c r="V232" t="s">
        <v>62</v>
      </c>
      <c r="W232" t="s">
        <v>62</v>
      </c>
      <c r="X232">
        <v>1</v>
      </c>
      <c r="Y232">
        <v>2</v>
      </c>
      <c r="Z232">
        <v>7</v>
      </c>
      <c r="AA232">
        <v>0.22222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</v>
      </c>
      <c r="AK232">
        <v>0</v>
      </c>
      <c r="AL232">
        <v>8</v>
      </c>
      <c r="AM232">
        <v>3</v>
      </c>
      <c r="AN232">
        <v>6</v>
      </c>
      <c r="AO232">
        <v>6</v>
      </c>
      <c r="AP232">
        <v>0</v>
      </c>
      <c r="AQ232">
        <v>3</v>
      </c>
      <c r="AR232" t="s">
        <v>11094</v>
      </c>
      <c r="AS232" t="s">
        <v>193</v>
      </c>
      <c r="AT232">
        <v>1.4079999999999999</v>
      </c>
      <c r="AU232" t="s">
        <v>65</v>
      </c>
      <c r="AV232">
        <v>6</v>
      </c>
      <c r="AW232">
        <v>9</v>
      </c>
      <c r="AX232" t="s">
        <v>11095</v>
      </c>
      <c r="AY232">
        <v>2.2159999999999999E-2</v>
      </c>
      <c r="AZ232">
        <v>-3.0200000000000001E-3</v>
      </c>
      <c r="BA232">
        <v>1.295E-2</v>
      </c>
      <c r="BB232">
        <v>-9.8999999999999999E-4</v>
      </c>
      <c r="BC232">
        <v>0.58467000000000002</v>
      </c>
      <c r="BD232">
        <v>0.66700000000000004</v>
      </c>
      <c r="BE232" t="s">
        <v>635</v>
      </c>
      <c r="BF232">
        <v>-0.91900000000000004</v>
      </c>
      <c r="BG232">
        <v>-1.966</v>
      </c>
    </row>
    <row r="233" spans="1:59">
      <c r="A233">
        <v>0</v>
      </c>
      <c r="B233">
        <v>0</v>
      </c>
      <c r="C233">
        <v>0</v>
      </c>
      <c r="D233" t="s">
        <v>25022</v>
      </c>
      <c r="E233">
        <v>836</v>
      </c>
      <c r="F233" t="s">
        <v>5212</v>
      </c>
      <c r="G233" t="s">
        <v>57</v>
      </c>
      <c r="H233">
        <v>875428</v>
      </c>
      <c r="I233">
        <v>875691</v>
      </c>
      <c r="J233" t="s">
        <v>288</v>
      </c>
      <c r="K233">
        <v>88</v>
      </c>
      <c r="L233" t="s">
        <v>5213</v>
      </c>
      <c r="M233">
        <v>44</v>
      </c>
      <c r="N233" t="str">
        <f>HYPERLINK("Gene836-zp_tree_all.dnd", "Gene836-tree")</f>
        <v>Gene836-tree</v>
      </c>
      <c r="O233">
        <v>27</v>
      </c>
      <c r="P233">
        <v>7</v>
      </c>
      <c r="Q233">
        <v>2</v>
      </c>
      <c r="R233">
        <v>7</v>
      </c>
      <c r="S233">
        <v>0.77778000000000003</v>
      </c>
      <c r="T233" t="s">
        <v>5214</v>
      </c>
      <c r="U233" t="s">
        <v>152</v>
      </c>
      <c r="V233" t="s">
        <v>62</v>
      </c>
      <c r="W233" t="s">
        <v>62</v>
      </c>
      <c r="X233">
        <v>0</v>
      </c>
      <c r="Y233">
        <v>0</v>
      </c>
      <c r="Z233">
        <v>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9</v>
      </c>
      <c r="AK233">
        <v>0</v>
      </c>
      <c r="AL233">
        <v>8</v>
      </c>
      <c r="AM233">
        <v>1</v>
      </c>
      <c r="AN233">
        <v>5</v>
      </c>
      <c r="AO233">
        <v>9</v>
      </c>
      <c r="AP233">
        <v>1</v>
      </c>
      <c r="AQ233">
        <v>0</v>
      </c>
      <c r="AR233" t="s">
        <v>5215</v>
      </c>
      <c r="AS233" t="s">
        <v>193</v>
      </c>
      <c r="AT233">
        <v>1.302</v>
      </c>
      <c r="AU233" t="s">
        <v>65</v>
      </c>
      <c r="AV233">
        <v>6</v>
      </c>
      <c r="AW233">
        <v>9</v>
      </c>
      <c r="AX233" t="s">
        <v>5216</v>
      </c>
      <c r="AY233">
        <v>2.869E-2</v>
      </c>
      <c r="AZ233">
        <v>-4.2100000000000002E-3</v>
      </c>
      <c r="BA233">
        <v>1.0189999999999999E-2</v>
      </c>
      <c r="BB233">
        <v>-7.5000000000000002E-4</v>
      </c>
      <c r="BC233">
        <v>0.35509000000000002</v>
      </c>
      <c r="BD233">
        <v>0.96</v>
      </c>
      <c r="BE233" t="s">
        <v>69</v>
      </c>
      <c r="BF233">
        <v>-2.0089999999999999</v>
      </c>
      <c r="BG233">
        <v>-3.3149999999999999</v>
      </c>
    </row>
    <row r="234" spans="1:59">
      <c r="A234">
        <v>0</v>
      </c>
      <c r="B234">
        <v>0</v>
      </c>
      <c r="C234">
        <v>0</v>
      </c>
      <c r="D234" t="s">
        <v>25022</v>
      </c>
      <c r="E234">
        <v>3671</v>
      </c>
      <c r="F234" t="s">
        <v>21538</v>
      </c>
      <c r="G234" t="s">
        <v>62</v>
      </c>
      <c r="H234">
        <v>3640288</v>
      </c>
      <c r="I234">
        <v>3640551</v>
      </c>
      <c r="J234" t="s">
        <v>21539</v>
      </c>
      <c r="K234">
        <v>88</v>
      </c>
      <c r="L234" t="s">
        <v>59</v>
      </c>
      <c r="M234">
        <v>49</v>
      </c>
      <c r="N234" t="str">
        <f>HYPERLINK("Gene3671-zp_tree_all.dnd", "Gene3671-tree")</f>
        <v>Gene3671-tree</v>
      </c>
      <c r="O234">
        <v>6</v>
      </c>
      <c r="P234">
        <v>4</v>
      </c>
      <c r="Q234">
        <v>6</v>
      </c>
      <c r="R234">
        <v>4</v>
      </c>
      <c r="S234">
        <v>0.4</v>
      </c>
      <c r="T234" t="s">
        <v>90</v>
      </c>
      <c r="U234" t="s">
        <v>61</v>
      </c>
      <c r="V234" t="s">
        <v>62</v>
      </c>
      <c r="W234" t="s">
        <v>62</v>
      </c>
      <c r="X234">
        <v>0</v>
      </c>
      <c r="Y234">
        <v>0</v>
      </c>
      <c r="Z234">
        <v>10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4</v>
      </c>
      <c r="AK234">
        <v>0</v>
      </c>
      <c r="AL234">
        <v>7</v>
      </c>
      <c r="AM234">
        <v>5</v>
      </c>
      <c r="AN234">
        <v>4</v>
      </c>
      <c r="AO234">
        <v>3</v>
      </c>
      <c r="AP234">
        <v>6</v>
      </c>
      <c r="AQ234">
        <v>7</v>
      </c>
      <c r="AR234" t="s">
        <v>21540</v>
      </c>
      <c r="AS234" t="s">
        <v>21541</v>
      </c>
      <c r="AT234">
        <v>0.49199999999999999</v>
      </c>
      <c r="AU234" t="s">
        <v>65</v>
      </c>
      <c r="AV234">
        <v>10</v>
      </c>
      <c r="AW234">
        <v>10</v>
      </c>
      <c r="AX234" t="s">
        <v>21542</v>
      </c>
      <c r="AY234">
        <v>6.5360000000000001E-2</v>
      </c>
      <c r="AZ234">
        <v>-5.6600000000000001E-3</v>
      </c>
      <c r="BA234">
        <v>1.6830000000000001E-2</v>
      </c>
      <c r="BB234">
        <v>-1.33E-3</v>
      </c>
      <c r="BC234">
        <v>0.25746000000000002</v>
      </c>
      <c r="BD234">
        <v>0.98</v>
      </c>
      <c r="BE234" t="s">
        <v>69</v>
      </c>
      <c r="BF234">
        <v>-0.47499999999999998</v>
      </c>
      <c r="BG234">
        <v>0.13400000000000001</v>
      </c>
    </row>
    <row r="235" spans="1:59">
      <c r="A235">
        <v>0</v>
      </c>
      <c r="B235">
        <v>4</v>
      </c>
      <c r="C235">
        <v>0</v>
      </c>
      <c r="D235" t="s">
        <v>25022</v>
      </c>
      <c r="E235">
        <v>1320</v>
      </c>
      <c r="F235" t="s">
        <v>8274</v>
      </c>
      <c r="G235" t="s">
        <v>57</v>
      </c>
      <c r="H235">
        <v>1340609</v>
      </c>
      <c r="I235">
        <v>1340872</v>
      </c>
      <c r="J235" t="s">
        <v>8099</v>
      </c>
      <c r="K235">
        <v>88</v>
      </c>
      <c r="L235" t="s">
        <v>8275</v>
      </c>
      <c r="M235">
        <v>44</v>
      </c>
      <c r="N235" t="str">
        <f>HYPERLINK("Gene1320-zp_tree_all.dnd", "Gene1320-tree")</f>
        <v>Gene1320-tree</v>
      </c>
      <c r="O235">
        <v>6</v>
      </c>
      <c r="P235">
        <v>3</v>
      </c>
      <c r="Q235">
        <v>6</v>
      </c>
      <c r="R235">
        <v>3</v>
      </c>
      <c r="S235">
        <v>0.33333000000000002</v>
      </c>
      <c r="T235" t="s">
        <v>90</v>
      </c>
      <c r="U235" t="s">
        <v>324</v>
      </c>
      <c r="V235" t="s">
        <v>62</v>
      </c>
      <c r="W235" t="s">
        <v>62</v>
      </c>
      <c r="X235">
        <v>2</v>
      </c>
      <c r="Y235">
        <v>4</v>
      </c>
      <c r="Z235">
        <v>3</v>
      </c>
      <c r="AA235">
        <v>0.57142999999999999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2</v>
      </c>
      <c r="AH235">
        <v>0</v>
      </c>
      <c r="AI235">
        <v>2</v>
      </c>
      <c r="AJ235">
        <v>2</v>
      </c>
      <c r="AK235">
        <v>0.5</v>
      </c>
      <c r="AL235">
        <v>8</v>
      </c>
      <c r="AM235">
        <v>3</v>
      </c>
      <c r="AN235">
        <v>13</v>
      </c>
      <c r="AO235">
        <v>4</v>
      </c>
      <c r="AP235">
        <v>3</v>
      </c>
      <c r="AQ235">
        <v>3</v>
      </c>
      <c r="AR235" t="s">
        <v>8276</v>
      </c>
      <c r="AS235" t="s">
        <v>8277</v>
      </c>
      <c r="AT235">
        <v>1.2669999999999999</v>
      </c>
      <c r="AU235" t="s">
        <v>65</v>
      </c>
      <c r="AV235">
        <v>16</v>
      </c>
      <c r="AW235">
        <v>7</v>
      </c>
      <c r="AX235" t="s">
        <v>8278</v>
      </c>
      <c r="AY235">
        <v>5.6669999999999998E-2</v>
      </c>
      <c r="AZ235">
        <v>-7.1900000000000002E-3</v>
      </c>
      <c r="BA235">
        <v>9.7099999999999999E-3</v>
      </c>
      <c r="BB235">
        <v>-8.8000000000000003E-4</v>
      </c>
      <c r="BC235">
        <v>0.17132</v>
      </c>
      <c r="BD235">
        <v>1</v>
      </c>
      <c r="BE235" t="s">
        <v>69</v>
      </c>
      <c r="BF235">
        <v>-1.2350000000000001</v>
      </c>
      <c r="BG235">
        <v>-1.2110000000000001</v>
      </c>
    </row>
    <row r="236" spans="1:59">
      <c r="A236">
        <v>0</v>
      </c>
      <c r="B236">
        <v>0</v>
      </c>
      <c r="C236">
        <v>0</v>
      </c>
      <c r="D236" t="s">
        <v>25022</v>
      </c>
      <c r="E236">
        <v>2884</v>
      </c>
      <c r="F236" t="s">
        <v>16592</v>
      </c>
      <c r="G236" t="s">
        <v>62</v>
      </c>
      <c r="H236">
        <v>2832427</v>
      </c>
      <c r="I236">
        <v>2832690</v>
      </c>
      <c r="J236" t="s">
        <v>16593</v>
      </c>
      <c r="K236">
        <v>88</v>
      </c>
      <c r="L236" t="s">
        <v>59</v>
      </c>
      <c r="M236">
        <v>49</v>
      </c>
      <c r="N236" t="str">
        <f>HYPERLINK("Gene2884-zp_tree_all.dnd", "Gene2884-tree")</f>
        <v>Gene2884-tree</v>
      </c>
      <c r="O236">
        <v>6</v>
      </c>
      <c r="P236">
        <v>1</v>
      </c>
      <c r="Q236">
        <v>6</v>
      </c>
      <c r="R236">
        <v>1</v>
      </c>
      <c r="S236">
        <v>0.14285999999999999</v>
      </c>
      <c r="T236" t="s">
        <v>90</v>
      </c>
      <c r="U236" t="s">
        <v>175</v>
      </c>
      <c r="V236" t="s">
        <v>62</v>
      </c>
      <c r="W236" t="s">
        <v>62</v>
      </c>
      <c r="X236">
        <v>0</v>
      </c>
      <c r="Y236">
        <v>0</v>
      </c>
      <c r="Z236">
        <v>3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4</v>
      </c>
      <c r="AM236">
        <v>3</v>
      </c>
      <c r="AN236">
        <v>3</v>
      </c>
      <c r="AO236">
        <v>1</v>
      </c>
      <c r="AP236">
        <v>4</v>
      </c>
      <c r="AQ236">
        <v>2</v>
      </c>
      <c r="AR236" t="s">
        <v>16594</v>
      </c>
      <c r="AS236" t="s">
        <v>16595</v>
      </c>
      <c r="AT236">
        <v>0.23300000000000001</v>
      </c>
      <c r="AU236" t="s">
        <v>65</v>
      </c>
      <c r="AV236">
        <v>7</v>
      </c>
      <c r="AW236">
        <v>3</v>
      </c>
      <c r="AX236" t="s">
        <v>16596</v>
      </c>
      <c r="AY236">
        <v>4.2630000000000001E-2</v>
      </c>
      <c r="AZ236">
        <v>-6.7000000000000002E-3</v>
      </c>
      <c r="BA236">
        <v>6.6699999999999997E-3</v>
      </c>
      <c r="BB236">
        <v>-8.5999999999999998E-4</v>
      </c>
      <c r="BC236">
        <v>0.15654999999999999</v>
      </c>
      <c r="BD236">
        <v>0.98899999999999999</v>
      </c>
      <c r="BE236" t="s">
        <v>69</v>
      </c>
      <c r="BF236">
        <v>-1.022</v>
      </c>
      <c r="BG236">
        <v>0.04</v>
      </c>
    </row>
    <row r="237" spans="1:59">
      <c r="A237">
        <v>0</v>
      </c>
      <c r="B237">
        <v>4</v>
      </c>
      <c r="C237">
        <v>2</v>
      </c>
      <c r="D237" t="s">
        <v>25022</v>
      </c>
      <c r="E237">
        <v>1524</v>
      </c>
      <c r="F237" t="s">
        <v>9525</v>
      </c>
      <c r="G237" t="s">
        <v>57</v>
      </c>
      <c r="H237">
        <v>1535936</v>
      </c>
      <c r="I237">
        <v>1536199</v>
      </c>
      <c r="J237" t="s">
        <v>116</v>
      </c>
      <c r="K237">
        <v>88</v>
      </c>
      <c r="L237" t="s">
        <v>2803</v>
      </c>
      <c r="M237">
        <v>45</v>
      </c>
      <c r="N237" t="str">
        <f>HYPERLINK("Gene1524-zp_tree_all.dnd", "Gene1524-tree")</f>
        <v>Gene1524-tree</v>
      </c>
      <c r="O237">
        <v>27</v>
      </c>
      <c r="P237">
        <v>5</v>
      </c>
      <c r="Q237">
        <v>4</v>
      </c>
      <c r="R237">
        <v>5</v>
      </c>
      <c r="S237">
        <v>0.55556000000000005</v>
      </c>
      <c r="T237" t="s">
        <v>3027</v>
      </c>
      <c r="U237" t="s">
        <v>199</v>
      </c>
      <c r="V237" t="s">
        <v>62</v>
      </c>
      <c r="W237" t="s">
        <v>62</v>
      </c>
      <c r="X237">
        <v>3</v>
      </c>
      <c r="Y237">
        <v>6</v>
      </c>
      <c r="Z237">
        <v>1</v>
      </c>
      <c r="AA237">
        <v>0.85714000000000001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</v>
      </c>
      <c r="AH237">
        <v>0</v>
      </c>
      <c r="AI237">
        <v>4</v>
      </c>
      <c r="AJ237">
        <v>2</v>
      </c>
      <c r="AK237">
        <v>0.66666999999999998</v>
      </c>
      <c r="AL237">
        <v>6</v>
      </c>
      <c r="AM237">
        <v>3</v>
      </c>
      <c r="AN237">
        <v>12</v>
      </c>
      <c r="AO237">
        <v>7</v>
      </c>
      <c r="AP237">
        <v>2</v>
      </c>
      <c r="AQ237">
        <v>1</v>
      </c>
      <c r="AR237" t="s">
        <v>9526</v>
      </c>
      <c r="AS237" t="s">
        <v>9527</v>
      </c>
      <c r="AT237">
        <v>2.5999999999999999E-2</v>
      </c>
      <c r="AU237" t="s">
        <v>65</v>
      </c>
      <c r="AV237">
        <v>14</v>
      </c>
      <c r="AW237">
        <v>8</v>
      </c>
      <c r="AX237" t="s">
        <v>9528</v>
      </c>
      <c r="AY237">
        <v>7.1059999999999998E-2</v>
      </c>
      <c r="AZ237">
        <v>-1.401E-2</v>
      </c>
      <c r="BA237">
        <v>8.8800000000000007E-3</v>
      </c>
      <c r="BB237">
        <v>-1.0200000000000001E-3</v>
      </c>
      <c r="BC237">
        <v>0.12501000000000001</v>
      </c>
      <c r="BD237">
        <v>1</v>
      </c>
      <c r="BE237" t="s">
        <v>69</v>
      </c>
      <c r="BF237">
        <v>-1.665</v>
      </c>
      <c r="BG237">
        <v>-2.9809999999999999</v>
      </c>
    </row>
    <row r="238" spans="1:59">
      <c r="A238">
        <v>0</v>
      </c>
      <c r="B238">
        <v>0</v>
      </c>
      <c r="C238">
        <v>2</v>
      </c>
      <c r="D238" t="s">
        <v>25022</v>
      </c>
      <c r="E238">
        <v>1445</v>
      </c>
      <c r="F238" t="s">
        <v>9049</v>
      </c>
      <c r="G238" t="s">
        <v>57</v>
      </c>
      <c r="H238">
        <v>1459384</v>
      </c>
      <c r="I238">
        <v>1459647</v>
      </c>
      <c r="J238" t="s">
        <v>9050</v>
      </c>
      <c r="K238">
        <v>88</v>
      </c>
      <c r="L238" t="s">
        <v>96</v>
      </c>
      <c r="M238">
        <v>48</v>
      </c>
      <c r="N238" t="str">
        <f>HYPERLINK("Gene1445-zp_tree_all.dnd", "Gene1445-tree")</f>
        <v>Gene1445-tree</v>
      </c>
      <c r="O238">
        <v>40</v>
      </c>
      <c r="P238">
        <v>1</v>
      </c>
      <c r="Q238">
        <v>7</v>
      </c>
      <c r="R238">
        <v>1</v>
      </c>
      <c r="S238">
        <v>0.125</v>
      </c>
      <c r="T238" t="s">
        <v>9051</v>
      </c>
      <c r="U238" t="s">
        <v>175</v>
      </c>
      <c r="V238" t="s">
        <v>62</v>
      </c>
      <c r="W238" t="s">
        <v>62</v>
      </c>
      <c r="X238">
        <v>1</v>
      </c>
      <c r="Y238">
        <v>2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6</v>
      </c>
      <c r="AM238">
        <v>2</v>
      </c>
      <c r="AN238">
        <v>7</v>
      </c>
      <c r="AO238">
        <v>1</v>
      </c>
      <c r="AP238">
        <v>8</v>
      </c>
      <c r="AQ238">
        <v>1</v>
      </c>
      <c r="AR238" t="s">
        <v>9052</v>
      </c>
      <c r="AS238" t="s">
        <v>9053</v>
      </c>
      <c r="AT238">
        <v>7.2999999999999995E-2</v>
      </c>
      <c r="AU238" t="s">
        <v>65</v>
      </c>
      <c r="AV238">
        <v>15</v>
      </c>
      <c r="AW238">
        <v>2</v>
      </c>
      <c r="AX238" t="s">
        <v>9054</v>
      </c>
      <c r="AY238">
        <v>0.10722</v>
      </c>
      <c r="AZ238">
        <v>-1.1520000000000001E-2</v>
      </c>
      <c r="BA238">
        <v>3.3700000000000002E-3</v>
      </c>
      <c r="BB238">
        <v>-4.2000000000000002E-4</v>
      </c>
      <c r="BC238">
        <v>3.1390000000000001E-2</v>
      </c>
      <c r="BD238">
        <v>1</v>
      </c>
      <c r="BE238" t="s">
        <v>69</v>
      </c>
      <c r="BF238">
        <v>-1.3169999999999999</v>
      </c>
      <c r="BG238">
        <v>-1.4379999999999999</v>
      </c>
    </row>
    <row r="239" spans="1:59">
      <c r="A239">
        <v>0</v>
      </c>
      <c r="B239">
        <v>0</v>
      </c>
      <c r="C239">
        <v>0</v>
      </c>
      <c r="D239" t="s">
        <v>25022</v>
      </c>
      <c r="E239">
        <v>2852</v>
      </c>
      <c r="F239" t="s">
        <v>16389</v>
      </c>
      <c r="G239" t="s">
        <v>62</v>
      </c>
      <c r="H239">
        <v>2797826</v>
      </c>
      <c r="I239">
        <v>2798089</v>
      </c>
      <c r="J239" t="s">
        <v>116</v>
      </c>
      <c r="K239">
        <v>88</v>
      </c>
      <c r="L239" t="s">
        <v>59</v>
      </c>
      <c r="M239">
        <v>49</v>
      </c>
      <c r="N239" t="str">
        <f>HYPERLINK("Gene2852-zp_tree_all.dnd", "Gene2852-tree")</f>
        <v>Gene2852-tree</v>
      </c>
      <c r="O239">
        <v>6</v>
      </c>
      <c r="P239">
        <v>0</v>
      </c>
      <c r="Q239">
        <v>6</v>
      </c>
      <c r="R239">
        <v>0</v>
      </c>
      <c r="S239">
        <v>0</v>
      </c>
      <c r="T239" t="s">
        <v>90</v>
      </c>
      <c r="U239" t="s">
        <v>62</v>
      </c>
      <c r="V239" t="s">
        <v>62</v>
      </c>
      <c r="W239" t="s">
        <v>62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</v>
      </c>
      <c r="AM239">
        <v>3</v>
      </c>
      <c r="AN239">
        <v>3</v>
      </c>
      <c r="AO239">
        <v>0</v>
      </c>
      <c r="AP239">
        <v>3</v>
      </c>
      <c r="AQ239">
        <v>0</v>
      </c>
      <c r="AR239" t="s">
        <v>193</v>
      </c>
      <c r="AS239" t="s">
        <v>193</v>
      </c>
      <c r="AT239">
        <v>0</v>
      </c>
      <c r="AU239" t="s">
        <v>65</v>
      </c>
      <c r="AV239">
        <v>6</v>
      </c>
      <c r="AW239">
        <v>0</v>
      </c>
      <c r="AX239" t="s">
        <v>16390</v>
      </c>
      <c r="AY239">
        <v>3.7499999999999999E-2</v>
      </c>
      <c r="AZ239">
        <v>-4.7699999999999999E-3</v>
      </c>
      <c r="BA239">
        <v>0</v>
      </c>
      <c r="BB239">
        <v>0</v>
      </c>
      <c r="BC239">
        <v>0</v>
      </c>
      <c r="BD239">
        <v>1</v>
      </c>
      <c r="BE239" t="s">
        <v>69</v>
      </c>
      <c r="BF239">
        <v>-0.52200000000000002</v>
      </c>
      <c r="BG239">
        <v>0.13900000000000001</v>
      </c>
    </row>
    <row r="240" spans="1:59">
      <c r="A240">
        <v>0</v>
      </c>
      <c r="B240">
        <v>2</v>
      </c>
      <c r="C240">
        <v>0</v>
      </c>
      <c r="D240" t="s">
        <v>25022</v>
      </c>
      <c r="E240">
        <v>1079</v>
      </c>
      <c r="F240" t="s">
        <v>6779</v>
      </c>
      <c r="G240" t="s">
        <v>57</v>
      </c>
      <c r="H240">
        <v>1118850</v>
      </c>
      <c r="I240">
        <v>1119116</v>
      </c>
      <c r="J240" t="s">
        <v>288</v>
      </c>
      <c r="K240">
        <v>89</v>
      </c>
      <c r="L240" t="s">
        <v>629</v>
      </c>
      <c r="M240">
        <v>43</v>
      </c>
      <c r="N240" t="str">
        <f>HYPERLINK("Gene1079-zp_tree_all.dnd", "Gene1079-tree")</f>
        <v>Gene1079-tree</v>
      </c>
      <c r="O240">
        <v>24</v>
      </c>
      <c r="P240">
        <v>6</v>
      </c>
      <c r="Q240">
        <v>4</v>
      </c>
      <c r="R240">
        <v>6</v>
      </c>
      <c r="S240">
        <v>0.6</v>
      </c>
      <c r="T240" t="s">
        <v>1495</v>
      </c>
      <c r="U240" t="s">
        <v>90</v>
      </c>
      <c r="V240" t="s">
        <v>62</v>
      </c>
      <c r="W240" t="s">
        <v>62</v>
      </c>
      <c r="X240">
        <v>1</v>
      </c>
      <c r="Y240">
        <v>2</v>
      </c>
      <c r="Z240">
        <v>8</v>
      </c>
      <c r="AA240">
        <v>0.2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</v>
      </c>
      <c r="AK240">
        <v>0</v>
      </c>
      <c r="AL240">
        <v>7</v>
      </c>
      <c r="AM240">
        <v>5</v>
      </c>
      <c r="AN240">
        <v>7</v>
      </c>
      <c r="AO240">
        <v>7</v>
      </c>
      <c r="AP240">
        <v>8</v>
      </c>
      <c r="AQ240">
        <v>4</v>
      </c>
      <c r="AR240" t="s">
        <v>6780</v>
      </c>
      <c r="AS240" t="s">
        <v>6781</v>
      </c>
      <c r="AT240">
        <v>0.746</v>
      </c>
      <c r="AU240" t="s">
        <v>65</v>
      </c>
      <c r="AV240">
        <v>15</v>
      </c>
      <c r="AW240">
        <v>11</v>
      </c>
      <c r="AX240" t="s">
        <v>6782</v>
      </c>
      <c r="AY240">
        <v>7.7920000000000003E-2</v>
      </c>
      <c r="AZ240">
        <v>-5.7400000000000003E-3</v>
      </c>
      <c r="BA240">
        <v>1.5010000000000001E-2</v>
      </c>
      <c r="BB240">
        <v>-9.7000000000000005E-4</v>
      </c>
      <c r="BC240">
        <v>0.19259999999999999</v>
      </c>
      <c r="BD240">
        <v>1</v>
      </c>
      <c r="BE240" t="s">
        <v>69</v>
      </c>
      <c r="BF240">
        <v>0.59799999999999998</v>
      </c>
      <c r="BG240">
        <v>-0.91400000000000003</v>
      </c>
    </row>
    <row r="241" spans="1:59">
      <c r="A241">
        <v>0</v>
      </c>
      <c r="B241">
        <v>2</v>
      </c>
      <c r="C241">
        <v>2</v>
      </c>
      <c r="D241" t="s">
        <v>25022</v>
      </c>
      <c r="E241">
        <v>4071</v>
      </c>
      <c r="F241" t="s">
        <v>23957</v>
      </c>
      <c r="G241" t="s">
        <v>62</v>
      </c>
      <c r="H241">
        <v>4038516</v>
      </c>
      <c r="I241">
        <v>4038782</v>
      </c>
      <c r="J241" t="s">
        <v>116</v>
      </c>
      <c r="K241">
        <v>89</v>
      </c>
      <c r="L241" t="s">
        <v>409</v>
      </c>
      <c r="M241">
        <v>45</v>
      </c>
      <c r="N241" t="str">
        <f>HYPERLINK("Gene4071-zp_tree_all.dnd", "Gene4071-tree")</f>
        <v>Gene4071-tree</v>
      </c>
      <c r="O241">
        <v>3</v>
      </c>
      <c r="P241">
        <v>24</v>
      </c>
      <c r="Q241">
        <v>3</v>
      </c>
      <c r="R241">
        <v>7</v>
      </c>
      <c r="S241">
        <v>0.7</v>
      </c>
      <c r="T241" t="s">
        <v>324</v>
      </c>
      <c r="U241" t="s">
        <v>638</v>
      </c>
      <c r="V241">
        <v>1.913</v>
      </c>
      <c r="W241" t="s">
        <v>65</v>
      </c>
      <c r="X241">
        <v>2</v>
      </c>
      <c r="Y241">
        <v>4</v>
      </c>
      <c r="Z241">
        <v>6</v>
      </c>
      <c r="AA241">
        <v>0.4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</v>
      </c>
      <c r="AH241">
        <v>2</v>
      </c>
      <c r="AI241">
        <v>4</v>
      </c>
      <c r="AJ241">
        <v>6</v>
      </c>
      <c r="AK241">
        <v>0.4</v>
      </c>
      <c r="AL241">
        <v>8</v>
      </c>
      <c r="AM241">
        <v>3</v>
      </c>
      <c r="AN241">
        <v>10</v>
      </c>
      <c r="AO241">
        <v>10</v>
      </c>
      <c r="AP241">
        <v>6</v>
      </c>
      <c r="AQ241">
        <v>0</v>
      </c>
      <c r="AR241" t="s">
        <v>23958</v>
      </c>
      <c r="AS241" t="s">
        <v>193</v>
      </c>
      <c r="AT241">
        <v>1.2909999999999999</v>
      </c>
      <c r="AU241" t="s">
        <v>65</v>
      </c>
      <c r="AV241">
        <v>16</v>
      </c>
      <c r="AW241">
        <v>10</v>
      </c>
      <c r="AX241" t="s">
        <v>23959</v>
      </c>
      <c r="AY241">
        <v>7.5340000000000004E-2</v>
      </c>
      <c r="AZ241">
        <v>-8.3599999999999994E-3</v>
      </c>
      <c r="BA241">
        <v>9.4800000000000006E-3</v>
      </c>
      <c r="BB241">
        <v>-8.4000000000000003E-4</v>
      </c>
      <c r="BC241">
        <v>0.12581000000000001</v>
      </c>
      <c r="BD241">
        <v>1</v>
      </c>
      <c r="BE241" t="s">
        <v>69</v>
      </c>
      <c r="BF241">
        <v>-0.497</v>
      </c>
      <c r="BG241">
        <v>-0.375</v>
      </c>
    </row>
    <row r="242" spans="1:59">
      <c r="A242">
        <v>0</v>
      </c>
      <c r="B242">
        <v>0</v>
      </c>
      <c r="C242">
        <v>0</v>
      </c>
      <c r="D242" t="s">
        <v>25022</v>
      </c>
      <c r="E242">
        <v>1329</v>
      </c>
      <c r="F242" t="s">
        <v>8321</v>
      </c>
      <c r="G242" t="s">
        <v>57</v>
      </c>
      <c r="H242">
        <v>1346731</v>
      </c>
      <c r="I242">
        <v>1346997</v>
      </c>
      <c r="J242" t="s">
        <v>8322</v>
      </c>
      <c r="K242">
        <v>89</v>
      </c>
      <c r="L242" t="s">
        <v>1305</v>
      </c>
      <c r="M242">
        <v>43</v>
      </c>
      <c r="N242" t="str">
        <f>HYPERLINK("Gene1329-zp_tree_all.dnd", "Gene1329-tree")</f>
        <v>Gene1329-tree</v>
      </c>
      <c r="O242">
        <v>9</v>
      </c>
      <c r="P242">
        <v>2</v>
      </c>
      <c r="Q242">
        <v>9</v>
      </c>
      <c r="R242">
        <v>2</v>
      </c>
      <c r="S242">
        <v>0.18182000000000001</v>
      </c>
      <c r="T242" t="s">
        <v>135</v>
      </c>
      <c r="U242" t="s">
        <v>81</v>
      </c>
      <c r="V242" t="s">
        <v>62</v>
      </c>
      <c r="W242" t="s">
        <v>62</v>
      </c>
      <c r="X242">
        <v>0</v>
      </c>
      <c r="Y242">
        <v>0</v>
      </c>
      <c r="Z242">
        <v>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</v>
      </c>
      <c r="AK242">
        <v>0</v>
      </c>
      <c r="AL242">
        <v>8</v>
      </c>
      <c r="AM242">
        <v>6</v>
      </c>
      <c r="AN242">
        <v>10</v>
      </c>
      <c r="AO242">
        <v>1</v>
      </c>
      <c r="AP242">
        <v>5</v>
      </c>
      <c r="AQ242">
        <v>3</v>
      </c>
      <c r="AR242" t="s">
        <v>8323</v>
      </c>
      <c r="AS242" t="s">
        <v>8324</v>
      </c>
      <c r="AT242">
        <v>0.74399999999999999</v>
      </c>
      <c r="AU242" t="s">
        <v>65</v>
      </c>
      <c r="AV242">
        <v>15</v>
      </c>
      <c r="AW242">
        <v>4</v>
      </c>
      <c r="AX242" t="s">
        <v>8325</v>
      </c>
      <c r="AY242">
        <v>6.9940000000000002E-2</v>
      </c>
      <c r="AZ242">
        <v>-4.5999999999999999E-3</v>
      </c>
      <c r="BA242">
        <v>6.4799999999999996E-3</v>
      </c>
      <c r="BB242">
        <v>-8.0999999999999996E-4</v>
      </c>
      <c r="BC242">
        <v>9.2700000000000005E-2</v>
      </c>
      <c r="BD242">
        <v>1</v>
      </c>
      <c r="BE242" t="s">
        <v>69</v>
      </c>
      <c r="BF242">
        <v>4.3999999999999997E-2</v>
      </c>
      <c r="BG242">
        <v>0.33</v>
      </c>
    </row>
    <row r="243" spans="1:59">
      <c r="A243">
        <v>0</v>
      </c>
      <c r="B243">
        <v>2</v>
      </c>
      <c r="C243">
        <v>0</v>
      </c>
      <c r="D243" t="s">
        <v>25022</v>
      </c>
      <c r="E243">
        <v>922</v>
      </c>
      <c r="F243" t="s">
        <v>5768</v>
      </c>
      <c r="G243" t="s">
        <v>57</v>
      </c>
      <c r="H243">
        <v>965909</v>
      </c>
      <c r="I243">
        <v>966175</v>
      </c>
      <c r="J243" t="s">
        <v>5769</v>
      </c>
      <c r="K243">
        <v>89</v>
      </c>
      <c r="L243" t="s">
        <v>698</v>
      </c>
      <c r="M243">
        <v>47</v>
      </c>
      <c r="N243" t="str">
        <f>HYPERLINK("Gene922-zp_tree_all.dnd", "Gene922-tree")</f>
        <v>Gene922-tree</v>
      </c>
      <c r="O243">
        <v>33</v>
      </c>
      <c r="P243">
        <v>4</v>
      </c>
      <c r="Q243">
        <v>7</v>
      </c>
      <c r="R243">
        <v>4</v>
      </c>
      <c r="S243">
        <v>0.36364000000000002</v>
      </c>
      <c r="T243" t="s">
        <v>5770</v>
      </c>
      <c r="U243" t="s">
        <v>61</v>
      </c>
      <c r="V243" t="s">
        <v>62</v>
      </c>
      <c r="W243" t="s">
        <v>62</v>
      </c>
      <c r="X243">
        <v>1</v>
      </c>
      <c r="Y243">
        <v>2</v>
      </c>
      <c r="Z243">
        <v>6</v>
      </c>
      <c r="AA243">
        <v>0.25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5</v>
      </c>
      <c r="AK243">
        <v>0</v>
      </c>
      <c r="AL243">
        <v>8</v>
      </c>
      <c r="AM243">
        <v>5</v>
      </c>
      <c r="AN243">
        <v>10</v>
      </c>
      <c r="AO243">
        <v>5</v>
      </c>
      <c r="AP243">
        <v>9</v>
      </c>
      <c r="AQ243">
        <v>3</v>
      </c>
      <c r="AR243" t="s">
        <v>5771</v>
      </c>
      <c r="AS243" t="s">
        <v>5772</v>
      </c>
      <c r="AT243">
        <v>0.45500000000000002</v>
      </c>
      <c r="AU243" t="s">
        <v>65</v>
      </c>
      <c r="AV243">
        <v>19</v>
      </c>
      <c r="AW243">
        <v>8</v>
      </c>
      <c r="AX243" t="s">
        <v>5773</v>
      </c>
      <c r="AY243">
        <v>0.10731</v>
      </c>
      <c r="AZ243">
        <v>-9.2599999999999991E-3</v>
      </c>
      <c r="BA243">
        <v>9.8099999999999993E-3</v>
      </c>
      <c r="BB243">
        <v>-7.6999999999999996E-4</v>
      </c>
      <c r="BC243">
        <v>9.1410000000000005E-2</v>
      </c>
      <c r="BD243">
        <v>1</v>
      </c>
      <c r="BE243" t="s">
        <v>69</v>
      </c>
      <c r="BF243">
        <v>-1.3580000000000001</v>
      </c>
      <c r="BG243">
        <v>-1.2829999999999999</v>
      </c>
    </row>
    <row r="244" spans="1:59">
      <c r="A244">
        <v>0</v>
      </c>
      <c r="B244">
        <v>0</v>
      </c>
      <c r="C244">
        <v>0</v>
      </c>
      <c r="D244" t="s">
        <v>25022</v>
      </c>
      <c r="E244">
        <v>889</v>
      </c>
      <c r="F244" t="s">
        <v>5551</v>
      </c>
      <c r="G244" t="s">
        <v>57</v>
      </c>
      <c r="H244">
        <v>928389</v>
      </c>
      <c r="I244">
        <v>928655</v>
      </c>
      <c r="J244" t="s">
        <v>288</v>
      </c>
      <c r="K244">
        <v>89</v>
      </c>
      <c r="L244" t="s">
        <v>108</v>
      </c>
      <c r="M244">
        <v>44</v>
      </c>
      <c r="N244" t="str">
        <f>HYPERLINK("Gene889-zp_tree_all.dnd", "Gene889-tree")</f>
        <v>Gene889-tree</v>
      </c>
      <c r="O244">
        <v>25</v>
      </c>
      <c r="P244">
        <v>0</v>
      </c>
      <c r="Q244">
        <v>6</v>
      </c>
      <c r="R244">
        <v>0</v>
      </c>
      <c r="S244">
        <v>0</v>
      </c>
      <c r="T244" t="s">
        <v>965</v>
      </c>
      <c r="U244" t="s">
        <v>62</v>
      </c>
      <c r="V244" t="s">
        <v>62</v>
      </c>
      <c r="W244" t="s">
        <v>62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5</v>
      </c>
      <c r="AM244">
        <v>1</v>
      </c>
      <c r="AN244">
        <v>5</v>
      </c>
      <c r="AO244">
        <v>0</v>
      </c>
      <c r="AP244">
        <v>0</v>
      </c>
      <c r="AQ244">
        <v>1</v>
      </c>
      <c r="AR244" t="s">
        <v>193</v>
      </c>
      <c r="AS244" t="s">
        <v>193</v>
      </c>
      <c r="AT244">
        <v>0</v>
      </c>
      <c r="AU244" t="s">
        <v>65</v>
      </c>
      <c r="AV244">
        <v>5</v>
      </c>
      <c r="AW244">
        <v>1</v>
      </c>
      <c r="AX244" t="s">
        <v>5552</v>
      </c>
      <c r="AY244">
        <v>2.947E-2</v>
      </c>
      <c r="AZ244">
        <v>-3.0999999999999999E-3</v>
      </c>
      <c r="BA244">
        <v>2.5400000000000002E-3</v>
      </c>
      <c r="BB244">
        <v>-6.0999999999999997E-4</v>
      </c>
      <c r="BC244">
        <v>8.6120000000000002E-2</v>
      </c>
      <c r="BD244">
        <v>0.97599999999999998</v>
      </c>
      <c r="BE244" t="s">
        <v>69</v>
      </c>
      <c r="BF244">
        <v>-0.53700000000000003</v>
      </c>
      <c r="BG244">
        <v>0.16600000000000001</v>
      </c>
    </row>
    <row r="245" spans="1:59">
      <c r="A245">
        <v>0</v>
      </c>
      <c r="B245">
        <v>0</v>
      </c>
      <c r="C245">
        <v>0</v>
      </c>
      <c r="D245" t="s">
        <v>25022</v>
      </c>
      <c r="E245">
        <v>3001</v>
      </c>
      <c r="F245" t="s">
        <v>17332</v>
      </c>
      <c r="G245" t="s">
        <v>62</v>
      </c>
      <c r="H245">
        <v>2951901</v>
      </c>
      <c r="I245">
        <v>2952167</v>
      </c>
      <c r="J245" t="s">
        <v>3752</v>
      </c>
      <c r="K245">
        <v>89</v>
      </c>
      <c r="L245" t="s">
        <v>108</v>
      </c>
      <c r="M245">
        <v>44</v>
      </c>
      <c r="N245" t="str">
        <f>HYPERLINK("Gene3001-zp_tree_all.dnd", "Gene3001-tree")</f>
        <v>Gene3001-tree</v>
      </c>
      <c r="O245">
        <v>6</v>
      </c>
      <c r="P245">
        <v>3</v>
      </c>
      <c r="Q245">
        <v>6</v>
      </c>
      <c r="R245">
        <v>3</v>
      </c>
      <c r="S245">
        <v>0.33333000000000002</v>
      </c>
      <c r="T245" t="s">
        <v>90</v>
      </c>
      <c r="U245" t="s">
        <v>324</v>
      </c>
      <c r="V245" t="s">
        <v>62</v>
      </c>
      <c r="W245" t="s">
        <v>62</v>
      </c>
      <c r="X245">
        <v>0</v>
      </c>
      <c r="Y245">
        <v>0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3</v>
      </c>
      <c r="AK245">
        <v>0</v>
      </c>
      <c r="AL245">
        <v>5</v>
      </c>
      <c r="AM245">
        <v>5</v>
      </c>
      <c r="AN245">
        <v>4</v>
      </c>
      <c r="AO245">
        <v>3</v>
      </c>
      <c r="AP245">
        <v>5</v>
      </c>
      <c r="AQ245">
        <v>0</v>
      </c>
      <c r="AR245" t="s">
        <v>17333</v>
      </c>
      <c r="AS245" t="s">
        <v>193</v>
      </c>
      <c r="AT245">
        <v>2.4390000000000001</v>
      </c>
      <c r="AU245" t="s">
        <v>267</v>
      </c>
      <c r="AV245">
        <v>9</v>
      </c>
      <c r="AW245">
        <v>3</v>
      </c>
      <c r="AX245" t="s">
        <v>17334</v>
      </c>
      <c r="AY245">
        <v>4.9959999999999997E-2</v>
      </c>
      <c r="AZ245">
        <v>-3.62E-3</v>
      </c>
      <c r="BA245">
        <v>3.2499999999999999E-3</v>
      </c>
      <c r="BB245">
        <v>-4.2000000000000002E-4</v>
      </c>
      <c r="BC245">
        <v>6.5140000000000003E-2</v>
      </c>
      <c r="BD245">
        <v>1</v>
      </c>
      <c r="BE245" t="s">
        <v>69</v>
      </c>
      <c r="BF245">
        <v>0.34699999999999998</v>
      </c>
      <c r="BG245">
        <v>-0.23</v>
      </c>
    </row>
    <row r="246" spans="1:59">
      <c r="A246">
        <v>0</v>
      </c>
      <c r="B246">
        <v>0</v>
      </c>
      <c r="C246">
        <v>0</v>
      </c>
      <c r="D246" t="s">
        <v>25022</v>
      </c>
      <c r="E246">
        <v>1698</v>
      </c>
      <c r="F246" t="s">
        <v>10645</v>
      </c>
      <c r="G246" t="s">
        <v>57</v>
      </c>
      <c r="H246">
        <v>1705543</v>
      </c>
      <c r="I246">
        <v>1705809</v>
      </c>
      <c r="J246" t="s">
        <v>10639</v>
      </c>
      <c r="K246">
        <v>89</v>
      </c>
      <c r="L246" t="s">
        <v>749</v>
      </c>
      <c r="M246">
        <v>47</v>
      </c>
      <c r="N246" t="str">
        <f>HYPERLINK("Gene1698-zp_tree_all.dnd", "Gene1698-tree")</f>
        <v>Gene1698-tree</v>
      </c>
      <c r="O246">
        <v>5</v>
      </c>
      <c r="P246">
        <v>1</v>
      </c>
      <c r="Q246">
        <v>5</v>
      </c>
      <c r="R246">
        <v>1</v>
      </c>
      <c r="S246">
        <v>0.16667000000000001</v>
      </c>
      <c r="T246" t="s">
        <v>199</v>
      </c>
      <c r="U246" t="s">
        <v>175</v>
      </c>
      <c r="V246" t="s">
        <v>62</v>
      </c>
      <c r="W246" t="s">
        <v>62</v>
      </c>
      <c r="X246">
        <v>0</v>
      </c>
      <c r="Y246">
        <v>0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4</v>
      </c>
      <c r="AM246">
        <v>2</v>
      </c>
      <c r="AN246">
        <v>5</v>
      </c>
      <c r="AO246">
        <v>1</v>
      </c>
      <c r="AP246">
        <v>11</v>
      </c>
      <c r="AQ246">
        <v>1</v>
      </c>
      <c r="AR246" t="s">
        <v>10646</v>
      </c>
      <c r="AS246" t="s">
        <v>10647</v>
      </c>
      <c r="AT246">
        <v>0.29299999999999998</v>
      </c>
      <c r="AU246" t="s">
        <v>65</v>
      </c>
      <c r="AV246">
        <v>16</v>
      </c>
      <c r="AW246">
        <v>2</v>
      </c>
      <c r="AX246" t="s">
        <v>10648</v>
      </c>
      <c r="AY246">
        <v>0.12692999999999999</v>
      </c>
      <c r="AZ246">
        <v>-1.8610000000000002E-2</v>
      </c>
      <c r="BA246">
        <v>6.3499999999999997E-3</v>
      </c>
      <c r="BB246">
        <v>-1.2199999999999999E-3</v>
      </c>
      <c r="BC246">
        <v>5.0049999999999997E-2</v>
      </c>
      <c r="BD246">
        <v>1</v>
      </c>
      <c r="BE246" t="s">
        <v>69</v>
      </c>
      <c r="BF246">
        <v>-2.0179999999999998</v>
      </c>
      <c r="BG246">
        <v>-0.72299999999999998</v>
      </c>
    </row>
    <row r="247" spans="1:59">
      <c r="A247">
        <v>0</v>
      </c>
      <c r="B247">
        <v>2</v>
      </c>
      <c r="C247">
        <v>0</v>
      </c>
      <c r="D247" t="s">
        <v>25022</v>
      </c>
      <c r="E247">
        <v>1730</v>
      </c>
      <c r="F247" t="s">
        <v>10849</v>
      </c>
      <c r="G247" t="s">
        <v>57</v>
      </c>
      <c r="H247">
        <v>1738941</v>
      </c>
      <c r="I247">
        <v>1739207</v>
      </c>
      <c r="J247" t="s">
        <v>10850</v>
      </c>
      <c r="K247">
        <v>89</v>
      </c>
      <c r="L247" t="s">
        <v>515</v>
      </c>
      <c r="M247">
        <v>51</v>
      </c>
      <c r="N247" t="str">
        <f>HYPERLINK("Gene1730-zp_tree_all.dnd", "Gene1730-tree")</f>
        <v>Gene1730-tree</v>
      </c>
      <c r="O247">
        <v>4</v>
      </c>
      <c r="P247">
        <v>2</v>
      </c>
      <c r="Q247">
        <v>4</v>
      </c>
      <c r="R247">
        <v>2</v>
      </c>
      <c r="S247">
        <v>0.33333000000000002</v>
      </c>
      <c r="T247" t="s">
        <v>61</v>
      </c>
      <c r="U247" t="s">
        <v>81</v>
      </c>
      <c r="V247" t="s">
        <v>62</v>
      </c>
      <c r="W247" t="s">
        <v>62</v>
      </c>
      <c r="X247">
        <v>1</v>
      </c>
      <c r="Y247">
        <v>2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</v>
      </c>
      <c r="AH247">
        <v>0</v>
      </c>
      <c r="AI247">
        <v>2</v>
      </c>
      <c r="AJ247">
        <v>0</v>
      </c>
      <c r="AK247">
        <v>1</v>
      </c>
      <c r="AL247">
        <v>5</v>
      </c>
      <c r="AM247">
        <v>3</v>
      </c>
      <c r="AN247">
        <v>7</v>
      </c>
      <c r="AO247">
        <v>2</v>
      </c>
      <c r="AP247">
        <v>3</v>
      </c>
      <c r="AQ247">
        <v>0</v>
      </c>
      <c r="AR247" t="s">
        <v>10851</v>
      </c>
      <c r="AS247" t="s">
        <v>193</v>
      </c>
      <c r="AT247">
        <v>0.67600000000000005</v>
      </c>
      <c r="AU247" t="s">
        <v>65</v>
      </c>
      <c r="AV247">
        <v>10</v>
      </c>
      <c r="AW247">
        <v>2</v>
      </c>
      <c r="AX247" t="s">
        <v>10852</v>
      </c>
      <c r="AY247">
        <v>6.8269999999999997E-2</v>
      </c>
      <c r="AZ247">
        <v>-1.116E-2</v>
      </c>
      <c r="BA247">
        <v>2.5999999999999999E-3</v>
      </c>
      <c r="BB247">
        <v>-6.3000000000000003E-4</v>
      </c>
      <c r="BC247">
        <v>3.8109999999999998E-2</v>
      </c>
      <c r="BD247">
        <v>1</v>
      </c>
      <c r="BE247" t="s">
        <v>69</v>
      </c>
      <c r="BF247">
        <v>-1.617</v>
      </c>
      <c r="BG247">
        <v>0.86199999999999999</v>
      </c>
    </row>
    <row r="248" spans="1:59">
      <c r="A248">
        <v>0</v>
      </c>
      <c r="B248">
        <v>0</v>
      </c>
      <c r="C248">
        <v>0</v>
      </c>
      <c r="D248" t="s">
        <v>25022</v>
      </c>
      <c r="E248">
        <v>1628</v>
      </c>
      <c r="F248" t="s">
        <v>10201</v>
      </c>
      <c r="G248" t="s">
        <v>57</v>
      </c>
      <c r="H248">
        <v>1641672</v>
      </c>
      <c r="I248">
        <v>1641938</v>
      </c>
      <c r="J248" t="s">
        <v>10202</v>
      </c>
      <c r="K248">
        <v>89</v>
      </c>
      <c r="L248" t="s">
        <v>515</v>
      </c>
      <c r="M248">
        <v>51</v>
      </c>
      <c r="N248" t="str">
        <f>HYPERLINK("Gene1628-zp_tree_all.dnd", "Gene1628-tree")</f>
        <v>Gene1628-tree</v>
      </c>
      <c r="O248">
        <v>4</v>
      </c>
      <c r="P248">
        <v>0</v>
      </c>
      <c r="Q248">
        <v>4</v>
      </c>
      <c r="R248">
        <v>0</v>
      </c>
      <c r="S248">
        <v>0</v>
      </c>
      <c r="T248" t="s">
        <v>61</v>
      </c>
      <c r="U248" t="s">
        <v>62</v>
      </c>
      <c r="V248" t="s">
        <v>62</v>
      </c>
      <c r="W248" t="s">
        <v>62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3</v>
      </c>
      <c r="AM248">
        <v>1</v>
      </c>
      <c r="AN248">
        <v>8</v>
      </c>
      <c r="AO248">
        <v>0</v>
      </c>
      <c r="AP248">
        <v>2</v>
      </c>
      <c r="AQ248">
        <v>0</v>
      </c>
      <c r="AR248" t="s">
        <v>193</v>
      </c>
      <c r="AS248" t="s">
        <v>193</v>
      </c>
      <c r="AT248">
        <v>0</v>
      </c>
      <c r="AU248" t="s">
        <v>65</v>
      </c>
      <c r="AV248">
        <v>10</v>
      </c>
      <c r="AW248">
        <v>0</v>
      </c>
      <c r="AX248" t="s">
        <v>10203</v>
      </c>
      <c r="AY248">
        <v>8.8669999999999999E-2</v>
      </c>
      <c r="AZ248">
        <v>-1.4590000000000001E-2</v>
      </c>
      <c r="BA248">
        <v>0</v>
      </c>
      <c r="BB248">
        <v>0</v>
      </c>
      <c r="BC248">
        <v>0</v>
      </c>
      <c r="BD248">
        <v>1</v>
      </c>
      <c r="BE248" t="s">
        <v>69</v>
      </c>
      <c r="BF248">
        <v>-1.4330000000000001</v>
      </c>
      <c r="BG248">
        <v>1.351</v>
      </c>
    </row>
    <row r="249" spans="1:59">
      <c r="A249">
        <v>0</v>
      </c>
      <c r="B249">
        <v>0</v>
      </c>
      <c r="C249">
        <v>0</v>
      </c>
      <c r="D249" t="s">
        <v>25022</v>
      </c>
      <c r="E249">
        <v>1324</v>
      </c>
      <c r="F249" t="s">
        <v>8300</v>
      </c>
      <c r="G249" t="s">
        <v>57</v>
      </c>
      <c r="H249">
        <v>1342955</v>
      </c>
      <c r="I249">
        <v>1343224</v>
      </c>
      <c r="J249" t="s">
        <v>8099</v>
      </c>
      <c r="K249">
        <v>90</v>
      </c>
      <c r="L249" t="s">
        <v>8301</v>
      </c>
      <c r="M249">
        <v>44</v>
      </c>
      <c r="N249" t="str">
        <f>HYPERLINK("Gene1324-zp_tree_all.dnd", "Gene1324-tree")</f>
        <v>Gene1324-tree</v>
      </c>
      <c r="O249">
        <v>7</v>
      </c>
      <c r="P249">
        <v>5</v>
      </c>
      <c r="Q249">
        <v>7</v>
      </c>
      <c r="R249">
        <v>5</v>
      </c>
      <c r="S249">
        <v>0.41666999999999998</v>
      </c>
      <c r="T249" t="s">
        <v>152</v>
      </c>
      <c r="U249" t="s">
        <v>199</v>
      </c>
      <c r="V249" t="s">
        <v>62</v>
      </c>
      <c r="W249" t="s">
        <v>62</v>
      </c>
      <c r="X249">
        <v>0</v>
      </c>
      <c r="Y249">
        <v>0</v>
      </c>
      <c r="Z249">
        <v>9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5</v>
      </c>
      <c r="AK249">
        <v>0</v>
      </c>
      <c r="AL249">
        <v>10</v>
      </c>
      <c r="AM249">
        <v>6</v>
      </c>
      <c r="AN249">
        <v>18</v>
      </c>
      <c r="AO249">
        <v>5</v>
      </c>
      <c r="AP249">
        <v>5</v>
      </c>
      <c r="AQ249">
        <v>5</v>
      </c>
      <c r="AR249" t="s">
        <v>8302</v>
      </c>
      <c r="AS249" t="s">
        <v>8303</v>
      </c>
      <c r="AT249">
        <v>1.2270000000000001</v>
      </c>
      <c r="AU249" t="s">
        <v>65</v>
      </c>
      <c r="AV249">
        <v>23</v>
      </c>
      <c r="AW249">
        <v>10</v>
      </c>
      <c r="AX249" t="s">
        <v>8304</v>
      </c>
      <c r="AY249">
        <v>8.1559999999999994E-2</v>
      </c>
      <c r="AZ249">
        <v>-4.47E-3</v>
      </c>
      <c r="BA249">
        <v>1.298E-2</v>
      </c>
      <c r="BB249">
        <v>-9.6000000000000002E-4</v>
      </c>
      <c r="BC249">
        <v>0.15920000000000001</v>
      </c>
      <c r="BD249">
        <v>1</v>
      </c>
      <c r="BE249" t="s">
        <v>69</v>
      </c>
      <c r="BF249">
        <v>-0.83299999999999996</v>
      </c>
      <c r="BG249">
        <v>-1.4670000000000001</v>
      </c>
    </row>
    <row r="250" spans="1:59">
      <c r="A250">
        <v>0</v>
      </c>
      <c r="B250">
        <v>0</v>
      </c>
      <c r="C250">
        <v>0</v>
      </c>
      <c r="D250" t="s">
        <v>25022</v>
      </c>
      <c r="E250">
        <v>1798</v>
      </c>
      <c r="F250" t="s">
        <v>11260</v>
      </c>
      <c r="G250" t="s">
        <v>57</v>
      </c>
      <c r="H250">
        <v>1867790</v>
      </c>
      <c r="I250">
        <v>1868059</v>
      </c>
      <c r="J250" t="s">
        <v>116</v>
      </c>
      <c r="K250">
        <v>90</v>
      </c>
      <c r="L250" t="s">
        <v>1557</v>
      </c>
      <c r="M250">
        <v>40</v>
      </c>
      <c r="N250" t="str">
        <f>HYPERLINK("Gene1798-zp_tree_all.dnd", "Gene1798-tree")</f>
        <v>Gene1798-tree</v>
      </c>
      <c r="O250">
        <v>5</v>
      </c>
      <c r="P250">
        <v>20</v>
      </c>
      <c r="Q250">
        <v>5</v>
      </c>
      <c r="R250">
        <v>3</v>
      </c>
      <c r="S250">
        <v>0.375</v>
      </c>
      <c r="T250" t="s">
        <v>199</v>
      </c>
      <c r="U250" t="s">
        <v>11261</v>
      </c>
      <c r="V250">
        <v>5.3929999999999998</v>
      </c>
      <c r="W250" t="s">
        <v>65</v>
      </c>
      <c r="X250">
        <v>0</v>
      </c>
      <c r="Y250">
        <v>0</v>
      </c>
      <c r="Z250">
        <v>4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3</v>
      </c>
      <c r="AK250">
        <v>0</v>
      </c>
      <c r="AL250">
        <v>6</v>
      </c>
      <c r="AM250">
        <v>2</v>
      </c>
      <c r="AN250">
        <v>9</v>
      </c>
      <c r="AO250">
        <v>3</v>
      </c>
      <c r="AP250">
        <v>1</v>
      </c>
      <c r="AQ250">
        <v>1</v>
      </c>
      <c r="AR250" t="s">
        <v>11262</v>
      </c>
      <c r="AS250" t="s">
        <v>11263</v>
      </c>
      <c r="AT250">
        <v>0.46400000000000002</v>
      </c>
      <c r="AU250" t="s">
        <v>65</v>
      </c>
      <c r="AV250">
        <v>10</v>
      </c>
      <c r="AW250">
        <v>4</v>
      </c>
      <c r="AX250" t="s">
        <v>11264</v>
      </c>
      <c r="AY250">
        <v>5.0500000000000003E-2</v>
      </c>
      <c r="AZ250">
        <v>-8.77E-3</v>
      </c>
      <c r="BA250">
        <v>5.6100000000000004E-3</v>
      </c>
      <c r="BB250">
        <v>-7.6000000000000004E-4</v>
      </c>
      <c r="BC250">
        <v>0.11105</v>
      </c>
      <c r="BD250">
        <v>0.99</v>
      </c>
      <c r="BE250" t="s">
        <v>69</v>
      </c>
      <c r="BF250">
        <v>-1.542</v>
      </c>
      <c r="BG250">
        <v>-3.0110000000000001</v>
      </c>
    </row>
    <row r="251" spans="1:59">
      <c r="A251">
        <v>0</v>
      </c>
      <c r="B251">
        <v>0</v>
      </c>
      <c r="C251">
        <v>0</v>
      </c>
      <c r="D251" t="s">
        <v>25022</v>
      </c>
      <c r="E251">
        <v>1560</v>
      </c>
      <c r="F251" t="s">
        <v>9753</v>
      </c>
      <c r="G251" t="s">
        <v>57</v>
      </c>
      <c r="H251">
        <v>1568924</v>
      </c>
      <c r="I251">
        <v>1569193</v>
      </c>
      <c r="J251" t="s">
        <v>288</v>
      </c>
      <c r="K251">
        <v>90</v>
      </c>
      <c r="L251" t="s">
        <v>698</v>
      </c>
      <c r="M251">
        <v>47</v>
      </c>
      <c r="N251" t="str">
        <f>HYPERLINK("Gene1560-zp_tree_all.dnd", "Gene1560-tree")</f>
        <v>Gene1560-tree</v>
      </c>
      <c r="O251">
        <v>5</v>
      </c>
      <c r="P251">
        <v>3</v>
      </c>
      <c r="Q251">
        <v>5</v>
      </c>
      <c r="R251">
        <v>3</v>
      </c>
      <c r="S251">
        <v>0.375</v>
      </c>
      <c r="T251" t="s">
        <v>199</v>
      </c>
      <c r="U251" t="s">
        <v>324</v>
      </c>
      <c r="V251" t="s">
        <v>62</v>
      </c>
      <c r="W251" t="s">
        <v>62</v>
      </c>
      <c r="X251">
        <v>0</v>
      </c>
      <c r="Y251">
        <v>0</v>
      </c>
      <c r="Z251">
        <v>4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3</v>
      </c>
      <c r="AK251">
        <v>0</v>
      </c>
      <c r="AL251">
        <v>6</v>
      </c>
      <c r="AM251">
        <v>2</v>
      </c>
      <c r="AN251">
        <v>13</v>
      </c>
      <c r="AO251">
        <v>3</v>
      </c>
      <c r="AP251">
        <v>1</v>
      </c>
      <c r="AQ251">
        <v>1</v>
      </c>
      <c r="AR251" t="s">
        <v>9754</v>
      </c>
      <c r="AS251" t="s">
        <v>9755</v>
      </c>
      <c r="AT251">
        <v>0.54500000000000004</v>
      </c>
      <c r="AU251" t="s">
        <v>65</v>
      </c>
      <c r="AV251">
        <v>14</v>
      </c>
      <c r="AW251">
        <v>4</v>
      </c>
      <c r="AX251" t="s">
        <v>9756</v>
      </c>
      <c r="AY251">
        <v>6.7599999999999993E-2</v>
      </c>
      <c r="AZ251">
        <v>-1.469E-2</v>
      </c>
      <c r="BA251">
        <v>6.0899999999999999E-3</v>
      </c>
      <c r="BB251">
        <v>-6.3000000000000003E-4</v>
      </c>
      <c r="BC251">
        <v>9.0139999999999998E-2</v>
      </c>
      <c r="BD251">
        <v>1</v>
      </c>
      <c r="BE251" t="s">
        <v>69</v>
      </c>
      <c r="BF251">
        <v>-1.6080000000000001</v>
      </c>
      <c r="BG251">
        <v>-0.439</v>
      </c>
    </row>
    <row r="252" spans="1:59">
      <c r="A252">
        <v>0</v>
      </c>
      <c r="B252">
        <v>0</v>
      </c>
      <c r="C252">
        <v>0</v>
      </c>
      <c r="D252" t="s">
        <v>25022</v>
      </c>
      <c r="E252">
        <v>3163</v>
      </c>
      <c r="F252" t="s">
        <v>18387</v>
      </c>
      <c r="G252" t="s">
        <v>62</v>
      </c>
      <c r="H252">
        <v>3119568</v>
      </c>
      <c r="I252">
        <v>3119837</v>
      </c>
      <c r="J252" t="s">
        <v>116</v>
      </c>
      <c r="K252">
        <v>90</v>
      </c>
      <c r="L252" t="s">
        <v>125</v>
      </c>
      <c r="M252">
        <v>48</v>
      </c>
      <c r="N252" t="str">
        <f>HYPERLINK("Gene3163-zp_tree_all.dnd", "Gene3163-tree")</f>
        <v>Gene3163-tree</v>
      </c>
      <c r="O252">
        <v>9</v>
      </c>
      <c r="P252">
        <v>2</v>
      </c>
      <c r="Q252">
        <v>9</v>
      </c>
      <c r="R252">
        <v>2</v>
      </c>
      <c r="S252">
        <v>0.18182000000000001</v>
      </c>
      <c r="T252" t="s">
        <v>135</v>
      </c>
      <c r="U252" t="s">
        <v>81</v>
      </c>
      <c r="V252" t="s">
        <v>62</v>
      </c>
      <c r="W252" t="s">
        <v>62</v>
      </c>
      <c r="X252">
        <v>0</v>
      </c>
      <c r="Y252">
        <v>0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</v>
      </c>
      <c r="AK252">
        <v>0</v>
      </c>
      <c r="AL252">
        <v>7</v>
      </c>
      <c r="AM252">
        <v>5</v>
      </c>
      <c r="AN252">
        <v>8</v>
      </c>
      <c r="AO252">
        <v>1</v>
      </c>
      <c r="AP252">
        <v>14</v>
      </c>
      <c r="AQ252">
        <v>3</v>
      </c>
      <c r="AR252" t="s">
        <v>18388</v>
      </c>
      <c r="AS252" t="s">
        <v>18389</v>
      </c>
      <c r="AT252">
        <v>0.247</v>
      </c>
      <c r="AU252" t="s">
        <v>65</v>
      </c>
      <c r="AV252">
        <v>22</v>
      </c>
      <c r="AW252">
        <v>4</v>
      </c>
      <c r="AX252" t="s">
        <v>18390</v>
      </c>
      <c r="AY252">
        <v>0.12443</v>
      </c>
      <c r="AZ252">
        <v>-9.5700000000000004E-3</v>
      </c>
      <c r="BA252">
        <v>7.2399999999999999E-3</v>
      </c>
      <c r="BB252">
        <v>-9.1E-4</v>
      </c>
      <c r="BC252">
        <v>5.815E-2</v>
      </c>
      <c r="BD252">
        <v>1</v>
      </c>
      <c r="BE252" t="s">
        <v>69</v>
      </c>
      <c r="BF252">
        <v>-0.78900000000000003</v>
      </c>
      <c r="BG252">
        <v>0.22</v>
      </c>
    </row>
    <row r="253" spans="1:59">
      <c r="A253">
        <v>0</v>
      </c>
      <c r="B253">
        <v>0</v>
      </c>
      <c r="C253">
        <v>0</v>
      </c>
      <c r="D253" t="s">
        <v>25022</v>
      </c>
      <c r="E253">
        <v>1601</v>
      </c>
      <c r="F253" t="s">
        <v>10019</v>
      </c>
      <c r="G253" t="s">
        <v>57</v>
      </c>
      <c r="H253">
        <v>1611321</v>
      </c>
      <c r="I253">
        <v>1611590</v>
      </c>
      <c r="J253" t="s">
        <v>10020</v>
      </c>
      <c r="K253">
        <v>90</v>
      </c>
      <c r="L253" t="s">
        <v>59</v>
      </c>
      <c r="M253">
        <v>49</v>
      </c>
      <c r="N253" t="str">
        <f>HYPERLINK("Gene1601-zp_tree_all.dnd", "Gene1601-tree")</f>
        <v>Gene1601-tree</v>
      </c>
      <c r="O253">
        <v>12</v>
      </c>
      <c r="P253">
        <v>1</v>
      </c>
      <c r="Q253">
        <v>12</v>
      </c>
      <c r="R253">
        <v>1</v>
      </c>
      <c r="S253">
        <v>7.6920000000000002E-2</v>
      </c>
      <c r="T253" t="s">
        <v>109</v>
      </c>
      <c r="U253" t="s">
        <v>175</v>
      </c>
      <c r="V253" t="s">
        <v>62</v>
      </c>
      <c r="W253" t="s">
        <v>62</v>
      </c>
      <c r="X253">
        <v>0</v>
      </c>
      <c r="Y253">
        <v>0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9</v>
      </c>
      <c r="AM253">
        <v>6</v>
      </c>
      <c r="AN253">
        <v>18</v>
      </c>
      <c r="AO253">
        <v>1</v>
      </c>
      <c r="AP253">
        <v>10</v>
      </c>
      <c r="AQ253">
        <v>1</v>
      </c>
      <c r="AR253" t="s">
        <v>10021</v>
      </c>
      <c r="AS253" t="s">
        <v>10022</v>
      </c>
      <c r="AT253">
        <v>0.14199999999999999</v>
      </c>
      <c r="AU253" t="s">
        <v>65</v>
      </c>
      <c r="AV253">
        <v>28</v>
      </c>
      <c r="AW253">
        <v>2</v>
      </c>
      <c r="AX253" t="s">
        <v>10023</v>
      </c>
      <c r="AY253">
        <v>9.5210000000000003E-2</v>
      </c>
      <c r="AZ253">
        <v>-6.94E-3</v>
      </c>
      <c r="BA253">
        <v>3.0400000000000002E-3</v>
      </c>
      <c r="BB253">
        <v>-2.9999999999999997E-4</v>
      </c>
      <c r="BC253">
        <v>3.1969999999999998E-2</v>
      </c>
      <c r="BD253">
        <v>1</v>
      </c>
      <c r="BE253" t="s">
        <v>69</v>
      </c>
      <c r="BF253">
        <v>-1.2490000000000001</v>
      </c>
      <c r="BG253">
        <v>-1.353</v>
      </c>
    </row>
    <row r="254" spans="1:59">
      <c r="A254">
        <v>0</v>
      </c>
      <c r="B254">
        <v>0</v>
      </c>
      <c r="C254">
        <v>0</v>
      </c>
      <c r="D254" t="s">
        <v>25022</v>
      </c>
      <c r="E254">
        <v>1660</v>
      </c>
      <c r="F254" t="s">
        <v>10396</v>
      </c>
      <c r="G254" t="s">
        <v>57</v>
      </c>
      <c r="H254">
        <v>1673620</v>
      </c>
      <c r="I254">
        <v>1673889</v>
      </c>
      <c r="J254" t="s">
        <v>10397</v>
      </c>
      <c r="K254">
        <v>90</v>
      </c>
      <c r="L254" t="s">
        <v>59</v>
      </c>
      <c r="M254">
        <v>49</v>
      </c>
      <c r="N254" t="str">
        <f>HYPERLINK("Gene1660-zp_tree_all.dnd", "Gene1660-tree")</f>
        <v>Gene1660-tree</v>
      </c>
      <c r="O254">
        <v>6</v>
      </c>
      <c r="P254">
        <v>0</v>
      </c>
      <c r="Q254">
        <v>6</v>
      </c>
      <c r="R254">
        <v>0</v>
      </c>
      <c r="S254">
        <v>0</v>
      </c>
      <c r="T254" t="s">
        <v>90</v>
      </c>
      <c r="U254" t="s">
        <v>62</v>
      </c>
      <c r="V254" t="s">
        <v>62</v>
      </c>
      <c r="W254" t="s">
        <v>62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3</v>
      </c>
      <c r="AM254">
        <v>2</v>
      </c>
      <c r="AN254">
        <v>3</v>
      </c>
      <c r="AO254">
        <v>0</v>
      </c>
      <c r="AP254">
        <v>2</v>
      </c>
      <c r="AQ254">
        <v>0</v>
      </c>
      <c r="AR254" t="s">
        <v>193</v>
      </c>
      <c r="AS254" t="s">
        <v>193</v>
      </c>
      <c r="AT254">
        <v>0</v>
      </c>
      <c r="AU254" t="s">
        <v>65</v>
      </c>
      <c r="AV254">
        <v>5</v>
      </c>
      <c r="AW254">
        <v>0</v>
      </c>
      <c r="AX254" t="s">
        <v>10398</v>
      </c>
      <c r="AY254">
        <v>3.542E-2</v>
      </c>
      <c r="AZ254">
        <v>-4.4999999999999997E-3</v>
      </c>
      <c r="BA254">
        <v>0</v>
      </c>
      <c r="BB254">
        <v>0</v>
      </c>
      <c r="BC254">
        <v>0</v>
      </c>
      <c r="BD254">
        <v>1</v>
      </c>
      <c r="BE254" t="s">
        <v>69</v>
      </c>
      <c r="BF254">
        <v>-1.5069999999999999</v>
      </c>
      <c r="BG254">
        <v>-1.78</v>
      </c>
    </row>
    <row r="255" spans="1:59">
      <c r="A255">
        <v>0</v>
      </c>
      <c r="B255">
        <v>2</v>
      </c>
      <c r="C255">
        <v>0</v>
      </c>
      <c r="D255" t="s">
        <v>25022</v>
      </c>
      <c r="E255">
        <v>238</v>
      </c>
      <c r="F255" t="s">
        <v>1614</v>
      </c>
      <c r="G255" t="s">
        <v>57</v>
      </c>
      <c r="H255">
        <v>258532</v>
      </c>
      <c r="I255">
        <v>258804</v>
      </c>
      <c r="J255" t="s">
        <v>1615</v>
      </c>
      <c r="K255">
        <v>91</v>
      </c>
      <c r="L255" t="s">
        <v>1392</v>
      </c>
      <c r="M255">
        <v>43</v>
      </c>
      <c r="N255" t="str">
        <f>HYPERLINK("Gene238-zp_tree_all.dnd", "Gene238-tree")</f>
        <v>Gene238-tree</v>
      </c>
      <c r="O255">
        <v>0</v>
      </c>
      <c r="P255">
        <v>26</v>
      </c>
      <c r="Q255">
        <v>0</v>
      </c>
      <c r="R255">
        <v>8</v>
      </c>
      <c r="S255">
        <v>1</v>
      </c>
      <c r="T255" t="s">
        <v>62</v>
      </c>
      <c r="U255" t="s">
        <v>1616</v>
      </c>
      <c r="V255">
        <v>4.5199999999999996</v>
      </c>
      <c r="W255" t="s">
        <v>65</v>
      </c>
      <c r="X255">
        <v>1</v>
      </c>
      <c r="Y255">
        <v>2</v>
      </c>
      <c r="Z255">
        <v>10</v>
      </c>
      <c r="AA255">
        <v>0.16667000000000001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</v>
      </c>
      <c r="AH255">
        <v>0</v>
      </c>
      <c r="AI255">
        <v>2</v>
      </c>
      <c r="AJ255">
        <v>10</v>
      </c>
      <c r="AK255">
        <v>0.16667000000000001</v>
      </c>
      <c r="AL255">
        <v>5</v>
      </c>
      <c r="AM255">
        <v>2</v>
      </c>
      <c r="AN255">
        <v>6</v>
      </c>
      <c r="AO255">
        <v>10</v>
      </c>
      <c r="AP255">
        <v>1</v>
      </c>
      <c r="AQ255">
        <v>2</v>
      </c>
      <c r="AR255" t="s">
        <v>1617</v>
      </c>
      <c r="AS255" t="s">
        <v>1618</v>
      </c>
      <c r="AT255">
        <v>0.123</v>
      </c>
      <c r="AU255" t="s">
        <v>65</v>
      </c>
      <c r="AV255">
        <v>7</v>
      </c>
      <c r="AW255">
        <v>12</v>
      </c>
      <c r="AX255" t="s">
        <v>1619</v>
      </c>
      <c r="AY255">
        <v>3.1359999999999999E-2</v>
      </c>
      <c r="AZ255">
        <v>-7.9900000000000006E-3</v>
      </c>
      <c r="BA255">
        <v>1.6979999999999999E-2</v>
      </c>
      <c r="BB255">
        <v>-1.67E-3</v>
      </c>
      <c r="BC255">
        <v>0.54144999999999999</v>
      </c>
      <c r="BD255">
        <v>0.77</v>
      </c>
      <c r="BE255" t="s">
        <v>635</v>
      </c>
      <c r="BF255">
        <v>-0.56599999999999995</v>
      </c>
      <c r="BG255">
        <v>0.86599999999999999</v>
      </c>
    </row>
    <row r="256" spans="1:59">
      <c r="A256">
        <v>0</v>
      </c>
      <c r="B256">
        <v>0</v>
      </c>
      <c r="C256">
        <v>0</v>
      </c>
      <c r="D256" t="s">
        <v>25022</v>
      </c>
      <c r="E256">
        <v>2780</v>
      </c>
      <c r="F256" t="s">
        <v>15962</v>
      </c>
      <c r="G256" t="s">
        <v>62</v>
      </c>
      <c r="H256">
        <v>2730563</v>
      </c>
      <c r="I256">
        <v>2730835</v>
      </c>
      <c r="J256" t="s">
        <v>15963</v>
      </c>
      <c r="K256">
        <v>91</v>
      </c>
      <c r="L256" t="s">
        <v>15964</v>
      </c>
      <c r="M256">
        <v>28</v>
      </c>
      <c r="N256" t="str">
        <f>HYPERLINK("Gene2780-zp_tree_all.dnd", "Gene2780-tree")</f>
        <v>Gene2780-tree</v>
      </c>
      <c r="O256">
        <v>0</v>
      </c>
      <c r="P256">
        <v>23</v>
      </c>
      <c r="Q256">
        <v>0</v>
      </c>
      <c r="R256">
        <v>4</v>
      </c>
      <c r="S256">
        <v>1</v>
      </c>
      <c r="T256" t="s">
        <v>62</v>
      </c>
      <c r="U256" t="s">
        <v>690</v>
      </c>
      <c r="V256">
        <v>6.5659999999999998</v>
      </c>
      <c r="W256" t="s">
        <v>65</v>
      </c>
      <c r="X256">
        <v>0</v>
      </c>
      <c r="Y256">
        <v>0</v>
      </c>
      <c r="Z256">
        <v>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9</v>
      </c>
      <c r="AK256">
        <v>0</v>
      </c>
      <c r="AL256">
        <v>4</v>
      </c>
      <c r="AM256">
        <v>0</v>
      </c>
      <c r="AN256">
        <v>5</v>
      </c>
      <c r="AO256">
        <v>9</v>
      </c>
      <c r="AP256">
        <v>0</v>
      </c>
      <c r="AQ256">
        <v>0</v>
      </c>
      <c r="AR256" t="s">
        <v>15965</v>
      </c>
      <c r="AS256" t="s">
        <v>193</v>
      </c>
      <c r="AT256">
        <v>2.5630000000000002</v>
      </c>
      <c r="AU256" t="s">
        <v>267</v>
      </c>
      <c r="AV256">
        <v>5</v>
      </c>
      <c r="AW256">
        <v>9</v>
      </c>
      <c r="AX256" t="s">
        <v>15966</v>
      </c>
      <c r="AY256">
        <v>4.913E-2</v>
      </c>
      <c r="AZ256">
        <v>-7.9000000000000008E-3</v>
      </c>
      <c r="BA256">
        <v>2.1049999999999999E-2</v>
      </c>
      <c r="BB256">
        <v>-2.8999999999999998E-3</v>
      </c>
      <c r="BC256">
        <v>0.42842000000000002</v>
      </c>
      <c r="BD256">
        <v>0.85699999999999998</v>
      </c>
      <c r="BE256" t="s">
        <v>635</v>
      </c>
      <c r="BF256">
        <v>0.65</v>
      </c>
      <c r="BG256">
        <v>1.111</v>
      </c>
    </row>
    <row r="257" spans="1:59">
      <c r="A257">
        <v>0</v>
      </c>
      <c r="B257">
        <v>2</v>
      </c>
      <c r="C257">
        <v>0</v>
      </c>
      <c r="D257" t="s">
        <v>25022</v>
      </c>
      <c r="E257">
        <v>1818</v>
      </c>
      <c r="F257" t="s">
        <v>11392</v>
      </c>
      <c r="G257" t="s">
        <v>57</v>
      </c>
      <c r="H257">
        <v>1885365</v>
      </c>
      <c r="I257">
        <v>1885637</v>
      </c>
      <c r="J257" t="s">
        <v>11371</v>
      </c>
      <c r="K257">
        <v>91</v>
      </c>
      <c r="L257" t="s">
        <v>9365</v>
      </c>
      <c r="M257">
        <v>39</v>
      </c>
      <c r="N257" t="str">
        <f>HYPERLINK("Gene1818-zp_tree_all.dnd", "Gene1818-tree")</f>
        <v>Gene1818-tree</v>
      </c>
      <c r="O257">
        <v>0</v>
      </c>
      <c r="P257">
        <v>8</v>
      </c>
      <c r="Q257">
        <v>0</v>
      </c>
      <c r="R257">
        <v>8</v>
      </c>
      <c r="S257">
        <v>1</v>
      </c>
      <c r="T257" t="s">
        <v>62</v>
      </c>
      <c r="U257" t="s">
        <v>136</v>
      </c>
      <c r="V257" t="s">
        <v>62</v>
      </c>
      <c r="W257" t="s">
        <v>62</v>
      </c>
      <c r="X257">
        <v>1</v>
      </c>
      <c r="Y257">
        <v>2</v>
      </c>
      <c r="Z257">
        <v>15</v>
      </c>
      <c r="AA257">
        <v>0.11765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0</v>
      </c>
      <c r="AI257">
        <v>2</v>
      </c>
      <c r="AJ257">
        <v>12</v>
      </c>
      <c r="AK257">
        <v>0.14285999999999999</v>
      </c>
      <c r="AL257">
        <v>8</v>
      </c>
      <c r="AM257">
        <v>4</v>
      </c>
      <c r="AN257">
        <v>8</v>
      </c>
      <c r="AO257">
        <v>14</v>
      </c>
      <c r="AP257">
        <v>6</v>
      </c>
      <c r="AQ257">
        <v>3</v>
      </c>
      <c r="AR257" t="s">
        <v>11393</v>
      </c>
      <c r="AS257" t="s">
        <v>11394</v>
      </c>
      <c r="AT257">
        <v>2.222</v>
      </c>
      <c r="AU257" t="s">
        <v>267</v>
      </c>
      <c r="AV257">
        <v>14</v>
      </c>
      <c r="AW257">
        <v>17</v>
      </c>
      <c r="AX257" t="s">
        <v>11395</v>
      </c>
      <c r="AY257">
        <v>6.6739999999999994E-2</v>
      </c>
      <c r="AZ257">
        <v>-5.0400000000000002E-3</v>
      </c>
      <c r="BA257">
        <v>2.445E-2</v>
      </c>
      <c r="BB257">
        <v>-1.3799999999999999E-3</v>
      </c>
      <c r="BC257">
        <v>0.36625999999999997</v>
      </c>
      <c r="BD257">
        <v>0.97</v>
      </c>
      <c r="BE257" t="s">
        <v>69</v>
      </c>
      <c r="BF257">
        <v>-0.48699999999999999</v>
      </c>
      <c r="BG257">
        <v>-1.456</v>
      </c>
    </row>
    <row r="258" spans="1:59">
      <c r="A258">
        <v>0</v>
      </c>
      <c r="B258">
        <v>0</v>
      </c>
      <c r="C258">
        <v>0</v>
      </c>
      <c r="D258" t="s">
        <v>25022</v>
      </c>
      <c r="E258">
        <v>1723</v>
      </c>
      <c r="F258" t="s">
        <v>10809</v>
      </c>
      <c r="G258" t="s">
        <v>57</v>
      </c>
      <c r="H258">
        <v>1733410</v>
      </c>
      <c r="I258">
        <v>1733682</v>
      </c>
      <c r="J258" t="s">
        <v>10810</v>
      </c>
      <c r="K258">
        <v>91</v>
      </c>
      <c r="L258" t="s">
        <v>59</v>
      </c>
      <c r="M258">
        <v>49</v>
      </c>
      <c r="N258" t="str">
        <f>HYPERLINK("Gene1723-zp_tree_all.dnd", "Gene1723-tree")</f>
        <v>Gene1723-tree</v>
      </c>
      <c r="O258">
        <v>9</v>
      </c>
      <c r="P258">
        <v>0</v>
      </c>
      <c r="Q258">
        <v>9</v>
      </c>
      <c r="R258">
        <v>0</v>
      </c>
      <c r="S258">
        <v>0</v>
      </c>
      <c r="T258" t="s">
        <v>135</v>
      </c>
      <c r="U258" t="s">
        <v>62</v>
      </c>
      <c r="V258" t="s">
        <v>62</v>
      </c>
      <c r="W258" t="s">
        <v>62</v>
      </c>
      <c r="X258">
        <v>0</v>
      </c>
      <c r="Y258">
        <v>0</v>
      </c>
      <c r="Z258">
        <v>3</v>
      </c>
      <c r="AA258">
        <v>0</v>
      </c>
      <c r="AB258">
        <v>0</v>
      </c>
      <c r="AC258">
        <v>0</v>
      </c>
      <c r="AD258">
        <v>0</v>
      </c>
      <c r="AE258">
        <v>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5</v>
      </c>
      <c r="AM258">
        <v>4</v>
      </c>
      <c r="AN258">
        <v>6</v>
      </c>
      <c r="AO258">
        <v>0</v>
      </c>
      <c r="AP258">
        <v>5</v>
      </c>
      <c r="AQ258">
        <v>3</v>
      </c>
      <c r="AR258" t="s">
        <v>193</v>
      </c>
      <c r="AS258" t="s">
        <v>10811</v>
      </c>
      <c r="AT258">
        <v>1.2</v>
      </c>
      <c r="AU258" t="s">
        <v>65</v>
      </c>
      <c r="AV258">
        <v>11</v>
      </c>
      <c r="AW258">
        <v>3</v>
      </c>
      <c r="AX258" t="s">
        <v>10812</v>
      </c>
      <c r="AY258">
        <v>6.6439999999999999E-2</v>
      </c>
      <c r="AZ258">
        <v>-6.0899999999999999E-3</v>
      </c>
      <c r="BA258">
        <v>7.3099999999999997E-3</v>
      </c>
      <c r="BB258">
        <v>-9.3000000000000005E-4</v>
      </c>
      <c r="BC258">
        <v>0.10996</v>
      </c>
      <c r="BD258">
        <v>1</v>
      </c>
      <c r="BE258" t="s">
        <v>69</v>
      </c>
      <c r="BF258">
        <v>-1.466</v>
      </c>
      <c r="BG258">
        <v>-1.2E-2</v>
      </c>
    </row>
    <row r="259" spans="1:59">
      <c r="A259">
        <v>0</v>
      </c>
      <c r="B259">
        <v>0</v>
      </c>
      <c r="C259">
        <v>0</v>
      </c>
      <c r="D259" t="s">
        <v>25022</v>
      </c>
      <c r="E259">
        <v>3349</v>
      </c>
      <c r="F259" t="s">
        <v>19571</v>
      </c>
      <c r="G259" t="s">
        <v>62</v>
      </c>
      <c r="H259">
        <v>3319289</v>
      </c>
      <c r="I259">
        <v>3319561</v>
      </c>
      <c r="J259" t="s">
        <v>116</v>
      </c>
      <c r="K259">
        <v>91</v>
      </c>
      <c r="L259" t="s">
        <v>59</v>
      </c>
      <c r="M259">
        <v>49</v>
      </c>
      <c r="N259" t="str">
        <f>HYPERLINK("Gene3349-zp_tree_all.dnd", "Gene3349-tree")</f>
        <v>Gene3349-tree</v>
      </c>
      <c r="O259">
        <v>9</v>
      </c>
      <c r="P259">
        <v>1</v>
      </c>
      <c r="Q259">
        <v>9</v>
      </c>
      <c r="R259">
        <v>1</v>
      </c>
      <c r="S259">
        <v>0.1</v>
      </c>
      <c r="T259" t="s">
        <v>135</v>
      </c>
      <c r="U259" t="s">
        <v>175</v>
      </c>
      <c r="V259" t="s">
        <v>62</v>
      </c>
      <c r="W259" t="s">
        <v>62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6</v>
      </c>
      <c r="AM259">
        <v>4</v>
      </c>
      <c r="AN259">
        <v>8</v>
      </c>
      <c r="AO259">
        <v>1</v>
      </c>
      <c r="AP259">
        <v>8</v>
      </c>
      <c r="AQ259">
        <v>0</v>
      </c>
      <c r="AR259" t="s">
        <v>19572</v>
      </c>
      <c r="AS259" t="s">
        <v>193</v>
      </c>
      <c r="AT259">
        <v>0.45900000000000002</v>
      </c>
      <c r="AU259" t="s">
        <v>65</v>
      </c>
      <c r="AV259">
        <v>16</v>
      </c>
      <c r="AW259">
        <v>1</v>
      </c>
      <c r="AX259" t="s">
        <v>19573</v>
      </c>
      <c r="AY259">
        <v>8.5470000000000004E-2</v>
      </c>
      <c r="AZ259">
        <v>-6.6100000000000004E-3</v>
      </c>
      <c r="BA259">
        <v>2.96E-3</v>
      </c>
      <c r="BB259">
        <v>-4.6000000000000001E-4</v>
      </c>
      <c r="BC259">
        <v>3.4639999999999997E-2</v>
      </c>
      <c r="BD259">
        <v>1</v>
      </c>
      <c r="BE259" t="s">
        <v>69</v>
      </c>
      <c r="BF259">
        <v>-1.3149999999999999</v>
      </c>
      <c r="BG259">
        <v>9.9000000000000005E-2</v>
      </c>
    </row>
    <row r="260" spans="1:59">
      <c r="A260">
        <v>0</v>
      </c>
      <c r="B260">
        <v>2</v>
      </c>
      <c r="C260">
        <v>2</v>
      </c>
      <c r="D260" t="s">
        <v>25022</v>
      </c>
      <c r="E260">
        <v>230</v>
      </c>
      <c r="F260" t="s">
        <v>1556</v>
      </c>
      <c r="G260" t="s">
        <v>57</v>
      </c>
      <c r="H260">
        <v>249595</v>
      </c>
      <c r="I260">
        <v>249870</v>
      </c>
      <c r="J260" t="s">
        <v>116</v>
      </c>
      <c r="K260">
        <v>92</v>
      </c>
      <c r="L260" t="s">
        <v>1557</v>
      </c>
      <c r="M260">
        <v>40</v>
      </c>
      <c r="N260" t="str">
        <f>HYPERLINK("Gene230-zp_tree_all.dnd", "Gene230-tree")</f>
        <v>Gene230-tree</v>
      </c>
      <c r="O260">
        <v>1</v>
      </c>
      <c r="P260">
        <v>10</v>
      </c>
      <c r="Q260">
        <v>1</v>
      </c>
      <c r="R260">
        <v>10</v>
      </c>
      <c r="S260">
        <v>0.90908999999999995</v>
      </c>
      <c r="T260" t="s">
        <v>175</v>
      </c>
      <c r="U260" t="s">
        <v>117</v>
      </c>
      <c r="V260" t="s">
        <v>62</v>
      </c>
      <c r="W260" t="s">
        <v>62</v>
      </c>
      <c r="X260">
        <v>2</v>
      </c>
      <c r="Y260">
        <v>4</v>
      </c>
      <c r="Z260">
        <v>8</v>
      </c>
      <c r="AA260">
        <v>0.33333000000000002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</v>
      </c>
      <c r="AH260">
        <v>2</v>
      </c>
      <c r="AI260">
        <v>4</v>
      </c>
      <c r="AJ260">
        <v>6</v>
      </c>
      <c r="AK260">
        <v>0.4</v>
      </c>
      <c r="AL260">
        <v>7</v>
      </c>
      <c r="AM260">
        <v>5</v>
      </c>
      <c r="AN260">
        <v>10</v>
      </c>
      <c r="AO260">
        <v>7</v>
      </c>
      <c r="AP260">
        <v>2</v>
      </c>
      <c r="AQ260">
        <v>5</v>
      </c>
      <c r="AR260" t="s">
        <v>1558</v>
      </c>
      <c r="AS260" t="s">
        <v>1559</v>
      </c>
      <c r="AT260">
        <v>1.0589999999999999</v>
      </c>
      <c r="AU260" t="s">
        <v>65</v>
      </c>
      <c r="AV260">
        <v>12</v>
      </c>
      <c r="AW260">
        <v>12</v>
      </c>
      <c r="AX260" t="s">
        <v>1560</v>
      </c>
      <c r="AY260">
        <v>4.6629999999999998E-2</v>
      </c>
      <c r="AZ260">
        <v>-4.9399999999999999E-3</v>
      </c>
      <c r="BA260">
        <v>1.4250000000000001E-2</v>
      </c>
      <c r="BB260">
        <v>-9.7000000000000005E-4</v>
      </c>
      <c r="BC260">
        <v>0.30567</v>
      </c>
      <c r="BD260">
        <v>0.95</v>
      </c>
      <c r="BE260" t="s">
        <v>635</v>
      </c>
      <c r="BF260">
        <v>-0.79400000000000004</v>
      </c>
      <c r="BG260">
        <v>-1.637</v>
      </c>
    </row>
    <row r="261" spans="1:59">
      <c r="A261">
        <v>0</v>
      </c>
      <c r="B261">
        <v>0</v>
      </c>
      <c r="C261">
        <v>0</v>
      </c>
      <c r="D261" t="s">
        <v>25022</v>
      </c>
      <c r="E261">
        <v>2028</v>
      </c>
      <c r="F261" t="s">
        <v>12621</v>
      </c>
      <c r="G261" t="s">
        <v>62</v>
      </c>
      <c r="H261">
        <v>2122675</v>
      </c>
      <c r="I261">
        <v>2122950</v>
      </c>
      <c r="J261" t="s">
        <v>116</v>
      </c>
      <c r="K261">
        <v>92</v>
      </c>
      <c r="L261" t="s">
        <v>572</v>
      </c>
      <c r="M261">
        <v>48</v>
      </c>
      <c r="N261" t="str">
        <f>HYPERLINK("Gene2028-zp_tree_all.dnd", "Gene2028-tree")</f>
        <v>Gene2028-tree</v>
      </c>
      <c r="O261">
        <v>5</v>
      </c>
      <c r="P261">
        <v>4</v>
      </c>
      <c r="Q261">
        <v>5</v>
      </c>
      <c r="R261">
        <v>4</v>
      </c>
      <c r="S261">
        <v>0.44444</v>
      </c>
      <c r="T261" t="s">
        <v>199</v>
      </c>
      <c r="U261" t="s">
        <v>61</v>
      </c>
      <c r="V261" t="s">
        <v>62</v>
      </c>
      <c r="W261" t="s">
        <v>62</v>
      </c>
      <c r="X261">
        <v>0</v>
      </c>
      <c r="Y261">
        <v>0</v>
      </c>
      <c r="Z261">
        <v>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4</v>
      </c>
      <c r="AK261">
        <v>0</v>
      </c>
      <c r="AL261">
        <v>7</v>
      </c>
      <c r="AM261">
        <v>3</v>
      </c>
      <c r="AN261">
        <v>8</v>
      </c>
      <c r="AO261">
        <v>3</v>
      </c>
      <c r="AP261">
        <v>6</v>
      </c>
      <c r="AQ261">
        <v>5</v>
      </c>
      <c r="AR261" t="s">
        <v>12622</v>
      </c>
      <c r="AS261" t="s">
        <v>12623</v>
      </c>
      <c r="AT261">
        <v>0.57599999999999996</v>
      </c>
      <c r="AU261" t="s">
        <v>65</v>
      </c>
      <c r="AV261">
        <v>14</v>
      </c>
      <c r="AW261">
        <v>8</v>
      </c>
      <c r="AX261" t="s">
        <v>12624</v>
      </c>
      <c r="AY261">
        <v>6.9500000000000006E-2</v>
      </c>
      <c r="AZ261">
        <v>-8.6199999999999992E-3</v>
      </c>
      <c r="BA261">
        <v>1.393E-2</v>
      </c>
      <c r="BB261">
        <v>-1.5100000000000001E-3</v>
      </c>
      <c r="BC261">
        <v>0.20036999999999999</v>
      </c>
      <c r="BD261">
        <v>1</v>
      </c>
      <c r="BE261" t="s">
        <v>69</v>
      </c>
      <c r="BF261">
        <v>-1.5029999999999999</v>
      </c>
      <c r="BG261">
        <v>0.22</v>
      </c>
    </row>
    <row r="262" spans="1:59">
      <c r="A262">
        <v>0</v>
      </c>
      <c r="B262">
        <v>0</v>
      </c>
      <c r="C262">
        <v>2</v>
      </c>
      <c r="D262" t="s">
        <v>25022</v>
      </c>
      <c r="E262">
        <v>3386</v>
      </c>
      <c r="F262" t="s">
        <v>19802</v>
      </c>
      <c r="G262" t="s">
        <v>62</v>
      </c>
      <c r="H262">
        <v>3355048</v>
      </c>
      <c r="I262">
        <v>3355323</v>
      </c>
      <c r="J262" t="s">
        <v>637</v>
      </c>
      <c r="K262">
        <v>92</v>
      </c>
      <c r="L262" t="s">
        <v>19803</v>
      </c>
      <c r="M262">
        <v>41</v>
      </c>
      <c r="N262" t="str">
        <f>HYPERLINK("Gene3386-zp_tree_all.dnd", "Gene3386-tree")</f>
        <v>Gene3386-tree</v>
      </c>
      <c r="O262">
        <v>24</v>
      </c>
      <c r="P262">
        <v>1</v>
      </c>
      <c r="Q262">
        <v>4</v>
      </c>
      <c r="R262">
        <v>1</v>
      </c>
      <c r="S262">
        <v>0.2</v>
      </c>
      <c r="T262" t="s">
        <v>1495</v>
      </c>
      <c r="U262" t="s">
        <v>175</v>
      </c>
      <c r="V262" t="s">
        <v>62</v>
      </c>
      <c r="W262" t="s">
        <v>62</v>
      </c>
      <c r="X262">
        <v>1</v>
      </c>
      <c r="Y262">
        <v>2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3</v>
      </c>
      <c r="AM262">
        <v>1</v>
      </c>
      <c r="AN262">
        <v>4</v>
      </c>
      <c r="AO262">
        <v>1</v>
      </c>
      <c r="AP262">
        <v>0</v>
      </c>
      <c r="AQ262">
        <v>1</v>
      </c>
      <c r="AR262" t="s">
        <v>19804</v>
      </c>
      <c r="AS262" t="s">
        <v>193</v>
      </c>
      <c r="AT262">
        <v>0.6</v>
      </c>
      <c r="AU262" t="s">
        <v>65</v>
      </c>
      <c r="AV262">
        <v>4</v>
      </c>
      <c r="AW262">
        <v>2</v>
      </c>
      <c r="AX262" t="s">
        <v>19805</v>
      </c>
      <c r="AY262">
        <v>2.521E-2</v>
      </c>
      <c r="AZ262">
        <v>-7.1799999999999998E-3</v>
      </c>
      <c r="BA262">
        <v>4.8399999999999997E-3</v>
      </c>
      <c r="BB262">
        <v>-8.4000000000000003E-4</v>
      </c>
      <c r="BC262">
        <v>0.19189999999999999</v>
      </c>
      <c r="BD262">
        <v>0.95499999999999996</v>
      </c>
      <c r="BE262" t="s">
        <v>69</v>
      </c>
      <c r="BF262">
        <v>-0.184</v>
      </c>
      <c r="BG262">
        <v>0.36199999999999999</v>
      </c>
    </row>
    <row r="263" spans="1:59">
      <c r="A263">
        <v>0</v>
      </c>
      <c r="B263">
        <v>0</v>
      </c>
      <c r="C263">
        <v>0</v>
      </c>
      <c r="D263" t="s">
        <v>25022</v>
      </c>
      <c r="E263">
        <v>2052</v>
      </c>
      <c r="F263" t="s">
        <v>12777</v>
      </c>
      <c r="G263" t="s">
        <v>62</v>
      </c>
      <c r="H263">
        <v>2139182</v>
      </c>
      <c r="I263">
        <v>2139457</v>
      </c>
      <c r="J263" t="s">
        <v>116</v>
      </c>
      <c r="K263">
        <v>92</v>
      </c>
      <c r="L263" t="s">
        <v>108</v>
      </c>
      <c r="M263">
        <v>44</v>
      </c>
      <c r="N263" t="str">
        <f>HYPERLINK("Gene2052-zp_tree_all.dnd", "Gene2052-tree")</f>
        <v>Gene2052-tree</v>
      </c>
      <c r="O263">
        <v>4</v>
      </c>
      <c r="P263">
        <v>5</v>
      </c>
      <c r="Q263">
        <v>4</v>
      </c>
      <c r="R263">
        <v>5</v>
      </c>
      <c r="S263">
        <v>0.55556000000000005</v>
      </c>
      <c r="T263" t="s">
        <v>61</v>
      </c>
      <c r="U263" t="s">
        <v>199</v>
      </c>
      <c r="V263" t="s">
        <v>62</v>
      </c>
      <c r="W263" t="s">
        <v>62</v>
      </c>
      <c r="X263">
        <v>0</v>
      </c>
      <c r="Y263">
        <v>0</v>
      </c>
      <c r="Z263">
        <v>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6</v>
      </c>
      <c r="AK263">
        <v>0</v>
      </c>
      <c r="AL263">
        <v>8</v>
      </c>
      <c r="AM263">
        <v>1</v>
      </c>
      <c r="AN263">
        <v>15</v>
      </c>
      <c r="AO263">
        <v>6</v>
      </c>
      <c r="AP263">
        <v>1</v>
      </c>
      <c r="AQ263">
        <v>0</v>
      </c>
      <c r="AR263" t="s">
        <v>12778</v>
      </c>
      <c r="AS263" t="s">
        <v>193</v>
      </c>
      <c r="AT263">
        <v>2.145</v>
      </c>
      <c r="AU263" t="s">
        <v>267</v>
      </c>
      <c r="AV263">
        <v>16</v>
      </c>
      <c r="AW263">
        <v>6</v>
      </c>
      <c r="AX263" t="s">
        <v>12779</v>
      </c>
      <c r="AY263">
        <v>6.5530000000000005E-2</v>
      </c>
      <c r="AZ263">
        <v>-6.0099999999999997E-3</v>
      </c>
      <c r="BA263">
        <v>6.0800000000000003E-3</v>
      </c>
      <c r="BB263">
        <v>-6.6E-4</v>
      </c>
      <c r="BC263">
        <v>9.2789999999999997E-2</v>
      </c>
      <c r="BD263">
        <v>1</v>
      </c>
      <c r="BE263" t="s">
        <v>69</v>
      </c>
      <c r="BF263">
        <v>-1.4690000000000001</v>
      </c>
      <c r="BG263">
        <v>-2.758</v>
      </c>
    </row>
    <row r="264" spans="1:59">
      <c r="A264">
        <v>0</v>
      </c>
      <c r="B264">
        <v>0</v>
      </c>
      <c r="C264">
        <v>0</v>
      </c>
      <c r="D264" t="s">
        <v>25022</v>
      </c>
      <c r="E264">
        <v>2373</v>
      </c>
      <c r="F264" t="s">
        <v>13802</v>
      </c>
      <c r="G264" t="s">
        <v>62</v>
      </c>
      <c r="H264">
        <v>2385546</v>
      </c>
      <c r="I264">
        <v>2385821</v>
      </c>
      <c r="J264" t="s">
        <v>13803</v>
      </c>
      <c r="K264">
        <v>92</v>
      </c>
      <c r="L264" t="s">
        <v>59</v>
      </c>
      <c r="M264">
        <v>49</v>
      </c>
      <c r="N264" t="str">
        <f>HYPERLINK("Gene2373-zp_tree_all.dnd", "Gene2373-tree")</f>
        <v>Gene2373-tree</v>
      </c>
      <c r="O264">
        <v>7</v>
      </c>
      <c r="P264">
        <v>0</v>
      </c>
      <c r="Q264">
        <v>7</v>
      </c>
      <c r="R264">
        <v>0</v>
      </c>
      <c r="S264">
        <v>0</v>
      </c>
      <c r="T264" t="s">
        <v>152</v>
      </c>
      <c r="U264" t="s">
        <v>62</v>
      </c>
      <c r="V264" t="s">
        <v>62</v>
      </c>
      <c r="W264" t="s">
        <v>62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4</v>
      </c>
      <c r="AM264">
        <v>2</v>
      </c>
      <c r="AN264">
        <v>4</v>
      </c>
      <c r="AO264">
        <v>0</v>
      </c>
      <c r="AP264">
        <v>2</v>
      </c>
      <c r="AQ264">
        <v>0</v>
      </c>
      <c r="AR264" t="s">
        <v>193</v>
      </c>
      <c r="AS264" t="s">
        <v>193</v>
      </c>
      <c r="AT264">
        <v>0</v>
      </c>
      <c r="AU264" t="s">
        <v>65</v>
      </c>
      <c r="AV264">
        <v>6</v>
      </c>
      <c r="AW264">
        <v>0</v>
      </c>
      <c r="AX264" t="s">
        <v>13804</v>
      </c>
      <c r="AY264">
        <v>3.4340000000000002E-2</v>
      </c>
      <c r="AZ264">
        <v>-3.1700000000000001E-3</v>
      </c>
      <c r="BA264">
        <v>0</v>
      </c>
      <c r="BB264">
        <v>0</v>
      </c>
      <c r="BC264">
        <v>0</v>
      </c>
      <c r="BD264">
        <v>1</v>
      </c>
      <c r="BE264" t="s">
        <v>69</v>
      </c>
      <c r="BF264">
        <v>-0.79600000000000004</v>
      </c>
      <c r="BG264">
        <v>-1.393</v>
      </c>
    </row>
    <row r="265" spans="1:59">
      <c r="A265">
        <v>0</v>
      </c>
      <c r="B265">
        <v>0</v>
      </c>
      <c r="C265">
        <v>0</v>
      </c>
      <c r="D265" t="s">
        <v>25022</v>
      </c>
      <c r="E265">
        <v>120</v>
      </c>
      <c r="F265" t="s">
        <v>904</v>
      </c>
      <c r="G265" t="s">
        <v>57</v>
      </c>
      <c r="H265">
        <v>138202</v>
      </c>
      <c r="I265">
        <v>138477</v>
      </c>
      <c r="J265" t="s">
        <v>905</v>
      </c>
      <c r="K265">
        <v>92</v>
      </c>
      <c r="L265" t="s">
        <v>59</v>
      </c>
      <c r="M265">
        <v>49</v>
      </c>
      <c r="N265" t="str">
        <f>HYPERLINK("Gene120-zp_tree_all.dnd", "Gene120-tree")</f>
        <v>Gene120-tree</v>
      </c>
      <c r="O265">
        <v>5</v>
      </c>
      <c r="P265">
        <v>0</v>
      </c>
      <c r="Q265">
        <v>5</v>
      </c>
      <c r="R265">
        <v>0</v>
      </c>
      <c r="S265">
        <v>0</v>
      </c>
      <c r="T265" t="s">
        <v>199</v>
      </c>
      <c r="U265" t="s">
        <v>62</v>
      </c>
      <c r="V265" t="s">
        <v>62</v>
      </c>
      <c r="W265" t="s">
        <v>62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3</v>
      </c>
      <c r="AM265">
        <v>1</v>
      </c>
      <c r="AN265">
        <v>3</v>
      </c>
      <c r="AO265">
        <v>0</v>
      </c>
      <c r="AP265">
        <v>2</v>
      </c>
      <c r="AQ265">
        <v>0</v>
      </c>
      <c r="AR265" t="s">
        <v>193</v>
      </c>
      <c r="AS265" t="s">
        <v>193</v>
      </c>
      <c r="AT265">
        <v>0</v>
      </c>
      <c r="AU265" t="s">
        <v>65</v>
      </c>
      <c r="AV265">
        <v>5</v>
      </c>
      <c r="AW265">
        <v>0</v>
      </c>
      <c r="AX265" t="s">
        <v>906</v>
      </c>
      <c r="AY265">
        <v>4.1360000000000001E-2</v>
      </c>
      <c r="AZ265">
        <v>-6.2100000000000002E-3</v>
      </c>
      <c r="BA265">
        <v>0</v>
      </c>
      <c r="BB265">
        <v>0</v>
      </c>
      <c r="BC265">
        <v>0</v>
      </c>
      <c r="BD265">
        <v>1</v>
      </c>
      <c r="BE265" t="s">
        <v>69</v>
      </c>
      <c r="BF265">
        <v>-0.56599999999999995</v>
      </c>
      <c r="BG265">
        <v>1.099</v>
      </c>
    </row>
    <row r="266" spans="1:59">
      <c r="A266">
        <v>0</v>
      </c>
      <c r="B266">
        <v>0</v>
      </c>
      <c r="C266">
        <v>0</v>
      </c>
      <c r="D266" t="s">
        <v>25022</v>
      </c>
      <c r="E266">
        <v>3050</v>
      </c>
      <c r="F266" t="s">
        <v>17649</v>
      </c>
      <c r="G266" t="s">
        <v>62</v>
      </c>
      <c r="H266">
        <v>3003052</v>
      </c>
      <c r="I266">
        <v>3003330</v>
      </c>
      <c r="J266" t="s">
        <v>17650</v>
      </c>
      <c r="K266">
        <v>93</v>
      </c>
      <c r="L266" t="s">
        <v>5713</v>
      </c>
      <c r="M266">
        <v>29</v>
      </c>
      <c r="N266" t="str">
        <f>HYPERLINK("Gene3050-zp_tree_all.dnd", "Gene3050-tree")</f>
        <v>Gene3050-tree</v>
      </c>
      <c r="O266">
        <v>0</v>
      </c>
      <c r="P266">
        <v>4</v>
      </c>
      <c r="Q266">
        <v>0</v>
      </c>
      <c r="R266">
        <v>4</v>
      </c>
      <c r="S266">
        <v>1</v>
      </c>
      <c r="T266" t="s">
        <v>62</v>
      </c>
      <c r="U266" t="s">
        <v>61</v>
      </c>
      <c r="V266" t="s">
        <v>62</v>
      </c>
      <c r="W266" t="s">
        <v>62</v>
      </c>
      <c r="X266">
        <v>0</v>
      </c>
      <c r="Y266">
        <v>0</v>
      </c>
      <c r="Z266">
        <v>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5</v>
      </c>
      <c r="AK266">
        <v>0</v>
      </c>
      <c r="AL266">
        <v>4</v>
      </c>
      <c r="AM266">
        <v>0</v>
      </c>
      <c r="AN266">
        <v>7</v>
      </c>
      <c r="AO266">
        <v>5</v>
      </c>
      <c r="AP266">
        <v>0</v>
      </c>
      <c r="AQ266">
        <v>0</v>
      </c>
      <c r="AR266" t="s">
        <v>17651</v>
      </c>
      <c r="AS266" t="s">
        <v>193</v>
      </c>
      <c r="AT266">
        <v>1.716</v>
      </c>
      <c r="AU266" t="s">
        <v>65</v>
      </c>
      <c r="AV266">
        <v>7</v>
      </c>
      <c r="AW266">
        <v>5</v>
      </c>
      <c r="AX266" t="s">
        <v>17652</v>
      </c>
      <c r="AY266">
        <v>6.3049999999999995E-2</v>
      </c>
      <c r="AZ266">
        <v>-1.5610000000000001E-2</v>
      </c>
      <c r="BA266">
        <v>1.1599999999999999E-2</v>
      </c>
      <c r="BB266">
        <v>-9.5E-4</v>
      </c>
      <c r="BC266">
        <v>0.184</v>
      </c>
      <c r="BD266">
        <v>1</v>
      </c>
      <c r="BE266" t="s">
        <v>69</v>
      </c>
      <c r="BF266">
        <v>-1.861</v>
      </c>
      <c r="BG266">
        <v>-1.3160000000000001</v>
      </c>
    </row>
    <row r="267" spans="1:59">
      <c r="A267">
        <v>0</v>
      </c>
      <c r="B267">
        <v>0</v>
      </c>
      <c r="C267">
        <v>2</v>
      </c>
      <c r="D267" t="s">
        <v>25022</v>
      </c>
      <c r="E267">
        <v>2850</v>
      </c>
      <c r="F267" t="s">
        <v>16376</v>
      </c>
      <c r="G267" t="s">
        <v>62</v>
      </c>
      <c r="H267">
        <v>2797103</v>
      </c>
      <c r="I267">
        <v>2797381</v>
      </c>
      <c r="J267" t="s">
        <v>16377</v>
      </c>
      <c r="K267">
        <v>93</v>
      </c>
      <c r="L267" t="s">
        <v>59</v>
      </c>
      <c r="M267">
        <v>49</v>
      </c>
      <c r="N267" t="str">
        <f>HYPERLINK("Gene2850-zp_tree_all.dnd", "Gene2850-tree")</f>
        <v>Gene2850-tree</v>
      </c>
      <c r="O267">
        <v>10</v>
      </c>
      <c r="P267">
        <v>2</v>
      </c>
      <c r="Q267">
        <v>10</v>
      </c>
      <c r="R267">
        <v>2</v>
      </c>
      <c r="S267">
        <v>0.16667000000000001</v>
      </c>
      <c r="T267" t="s">
        <v>117</v>
      </c>
      <c r="U267" t="s">
        <v>81</v>
      </c>
      <c r="V267" t="s">
        <v>62</v>
      </c>
      <c r="W267" t="s">
        <v>62</v>
      </c>
      <c r="X267">
        <v>1</v>
      </c>
      <c r="Y267">
        <v>2</v>
      </c>
      <c r="Z267">
        <v>3</v>
      </c>
      <c r="AA267">
        <v>0.4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</v>
      </c>
      <c r="AK267">
        <v>0</v>
      </c>
      <c r="AL267">
        <v>8</v>
      </c>
      <c r="AM267">
        <v>6</v>
      </c>
      <c r="AN267">
        <v>9</v>
      </c>
      <c r="AO267">
        <v>2</v>
      </c>
      <c r="AP267">
        <v>11</v>
      </c>
      <c r="AQ267">
        <v>3</v>
      </c>
      <c r="AR267" t="s">
        <v>16378</v>
      </c>
      <c r="AS267" t="s">
        <v>16379</v>
      </c>
      <c r="AT267">
        <v>0.10199999999999999</v>
      </c>
      <c r="AU267" t="s">
        <v>65</v>
      </c>
      <c r="AV267">
        <v>20</v>
      </c>
      <c r="AW267">
        <v>5</v>
      </c>
      <c r="AX267" t="s">
        <v>16380</v>
      </c>
      <c r="AY267">
        <v>9.8860000000000003E-2</v>
      </c>
      <c r="AZ267">
        <v>-5.96E-3</v>
      </c>
      <c r="BA267">
        <v>6.3800000000000003E-3</v>
      </c>
      <c r="BB267">
        <v>-5.9999999999999995E-4</v>
      </c>
      <c r="BC267">
        <v>6.4530000000000004E-2</v>
      </c>
      <c r="BD267">
        <v>1</v>
      </c>
      <c r="BE267" t="s">
        <v>69</v>
      </c>
      <c r="BF267">
        <v>-0.78900000000000003</v>
      </c>
      <c r="BG267">
        <v>-1.014</v>
      </c>
    </row>
    <row r="268" spans="1:59">
      <c r="A268">
        <v>0</v>
      </c>
      <c r="B268">
        <v>0</v>
      </c>
      <c r="C268">
        <v>0</v>
      </c>
      <c r="D268" t="s">
        <v>25022</v>
      </c>
      <c r="E268">
        <v>1544</v>
      </c>
      <c r="F268" t="s">
        <v>9649</v>
      </c>
      <c r="G268" t="s">
        <v>57</v>
      </c>
      <c r="H268">
        <v>1552412</v>
      </c>
      <c r="I268">
        <v>1552690</v>
      </c>
      <c r="J268" t="s">
        <v>288</v>
      </c>
      <c r="K268">
        <v>93</v>
      </c>
      <c r="L268" t="s">
        <v>59</v>
      </c>
      <c r="M268">
        <v>49</v>
      </c>
      <c r="N268" t="str">
        <f>HYPERLINK("Gene1544-zp_tree_all.dnd", "Gene1544-tree")</f>
        <v>Gene1544-tree</v>
      </c>
      <c r="O268">
        <v>33</v>
      </c>
      <c r="P268">
        <v>0</v>
      </c>
      <c r="Q268">
        <v>6</v>
      </c>
      <c r="R268">
        <v>0</v>
      </c>
      <c r="S268">
        <v>0</v>
      </c>
      <c r="T268" t="s">
        <v>9650</v>
      </c>
      <c r="U268" t="s">
        <v>62</v>
      </c>
      <c r="V268" t="s">
        <v>62</v>
      </c>
      <c r="W268" t="s">
        <v>62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3</v>
      </c>
      <c r="AM268">
        <v>3</v>
      </c>
      <c r="AN268">
        <v>4</v>
      </c>
      <c r="AO268">
        <v>0</v>
      </c>
      <c r="AP268">
        <v>3</v>
      </c>
      <c r="AQ268">
        <v>1</v>
      </c>
      <c r="AR268" t="s">
        <v>193</v>
      </c>
      <c r="AS268" t="s">
        <v>9651</v>
      </c>
      <c r="AT268">
        <v>0.64800000000000002</v>
      </c>
      <c r="AU268" t="s">
        <v>65</v>
      </c>
      <c r="AV268">
        <v>7</v>
      </c>
      <c r="AW268">
        <v>1</v>
      </c>
      <c r="AX268" t="s">
        <v>9652</v>
      </c>
      <c r="AY268">
        <v>4.3450000000000003E-2</v>
      </c>
      <c r="AZ268">
        <v>-4.9199999999999999E-3</v>
      </c>
      <c r="BA268">
        <v>2.4499999999999999E-3</v>
      </c>
      <c r="BB268">
        <v>-4.4000000000000002E-4</v>
      </c>
      <c r="BC268">
        <v>5.6300000000000003E-2</v>
      </c>
      <c r="BD268">
        <v>1</v>
      </c>
      <c r="BE268" t="s">
        <v>69</v>
      </c>
      <c r="BF268">
        <v>0.308</v>
      </c>
      <c r="BG268">
        <v>1.1759999999999999</v>
      </c>
    </row>
    <row r="269" spans="1:59">
      <c r="A269">
        <v>0</v>
      </c>
      <c r="B269">
        <v>0</v>
      </c>
      <c r="C269">
        <v>0</v>
      </c>
      <c r="D269" t="s">
        <v>25022</v>
      </c>
      <c r="E269">
        <v>2546</v>
      </c>
      <c r="F269" t="s">
        <v>14877</v>
      </c>
      <c r="G269" t="s">
        <v>62</v>
      </c>
      <c r="H269">
        <v>2537692</v>
      </c>
      <c r="I269">
        <v>2537970</v>
      </c>
      <c r="J269" t="s">
        <v>116</v>
      </c>
      <c r="K269">
        <v>93</v>
      </c>
      <c r="L269" t="s">
        <v>265</v>
      </c>
      <c r="M269">
        <v>43</v>
      </c>
      <c r="N269" t="str">
        <f>HYPERLINK("Gene2546-zp_tree_all.dnd", "Gene2546-tree")</f>
        <v>Gene2546-tree</v>
      </c>
      <c r="O269">
        <v>6</v>
      </c>
      <c r="P269">
        <v>1</v>
      </c>
      <c r="Q269">
        <v>6</v>
      </c>
      <c r="R269">
        <v>1</v>
      </c>
      <c r="S269">
        <v>0.14285999999999999</v>
      </c>
      <c r="T269" t="s">
        <v>90</v>
      </c>
      <c r="U269" t="s">
        <v>175</v>
      </c>
      <c r="V269" t="s">
        <v>62</v>
      </c>
      <c r="W269" t="s">
        <v>62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4</v>
      </c>
      <c r="AM269">
        <v>2</v>
      </c>
      <c r="AN269">
        <v>3</v>
      </c>
      <c r="AO269">
        <v>1</v>
      </c>
      <c r="AP269">
        <v>2</v>
      </c>
      <c r="AQ269">
        <v>0</v>
      </c>
      <c r="AR269" t="s">
        <v>14878</v>
      </c>
      <c r="AS269" t="s">
        <v>193</v>
      </c>
      <c r="AT269">
        <v>0.6</v>
      </c>
      <c r="AU269" t="s">
        <v>65</v>
      </c>
      <c r="AV269">
        <v>5</v>
      </c>
      <c r="AW269">
        <v>1</v>
      </c>
      <c r="AX269" t="s">
        <v>14879</v>
      </c>
      <c r="AY269">
        <v>2.7470000000000001E-2</v>
      </c>
      <c r="AZ269">
        <v>-3.0999999999999999E-3</v>
      </c>
      <c r="BA269">
        <v>1.3799999999999999E-3</v>
      </c>
      <c r="BB269">
        <v>-4.2999999999999999E-4</v>
      </c>
      <c r="BC269">
        <v>5.015E-2</v>
      </c>
      <c r="BD269">
        <v>0.98699999999999999</v>
      </c>
      <c r="BE269" t="s">
        <v>69</v>
      </c>
      <c r="BF269">
        <v>-0.39100000000000001</v>
      </c>
      <c r="BG269">
        <v>-1.32</v>
      </c>
    </row>
    <row r="270" spans="1:59">
      <c r="A270">
        <v>0</v>
      </c>
      <c r="B270">
        <v>0</v>
      </c>
      <c r="C270">
        <v>0</v>
      </c>
      <c r="D270" t="s">
        <v>25022</v>
      </c>
      <c r="E270">
        <v>1669</v>
      </c>
      <c r="F270" t="s">
        <v>10452</v>
      </c>
      <c r="G270" t="s">
        <v>57</v>
      </c>
      <c r="H270">
        <v>1679977</v>
      </c>
      <c r="I270">
        <v>1680255</v>
      </c>
      <c r="J270" t="s">
        <v>10453</v>
      </c>
      <c r="K270">
        <v>93</v>
      </c>
      <c r="L270" t="s">
        <v>108</v>
      </c>
      <c r="M270">
        <v>44</v>
      </c>
      <c r="N270" t="str">
        <f>HYPERLINK("Gene1669-zp_tree_all.dnd", "Gene1669-tree")</f>
        <v>Gene1669-tree</v>
      </c>
      <c r="O270">
        <v>7</v>
      </c>
      <c r="P270">
        <v>2</v>
      </c>
      <c r="Q270">
        <v>7</v>
      </c>
      <c r="R270">
        <v>2</v>
      </c>
      <c r="S270">
        <v>0.22222</v>
      </c>
      <c r="T270" t="s">
        <v>152</v>
      </c>
      <c r="U270" t="s">
        <v>81</v>
      </c>
      <c r="V270" t="s">
        <v>62</v>
      </c>
      <c r="W270" t="s">
        <v>62</v>
      </c>
      <c r="X270">
        <v>0</v>
      </c>
      <c r="Y270">
        <v>0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</v>
      </c>
      <c r="AK270">
        <v>0</v>
      </c>
      <c r="AL270">
        <v>7</v>
      </c>
      <c r="AM270">
        <v>1</v>
      </c>
      <c r="AN270">
        <v>9</v>
      </c>
      <c r="AO270">
        <v>2</v>
      </c>
      <c r="AP270">
        <v>1</v>
      </c>
      <c r="AQ270">
        <v>0</v>
      </c>
      <c r="AR270" t="s">
        <v>10454</v>
      </c>
      <c r="AS270" t="s">
        <v>193</v>
      </c>
      <c r="AT270">
        <v>0.94099999999999995</v>
      </c>
      <c r="AU270" t="s">
        <v>65</v>
      </c>
      <c r="AV270">
        <v>10</v>
      </c>
      <c r="AW270">
        <v>2</v>
      </c>
      <c r="AX270" t="s">
        <v>10455</v>
      </c>
      <c r="AY270">
        <v>4.2160000000000003E-2</v>
      </c>
      <c r="AZ270">
        <v>-3.3800000000000002E-3</v>
      </c>
      <c r="BA270">
        <v>2.0400000000000001E-3</v>
      </c>
      <c r="BB270">
        <v>-4.2000000000000002E-4</v>
      </c>
      <c r="BC270">
        <v>4.8300000000000003E-2</v>
      </c>
      <c r="BD270">
        <v>1</v>
      </c>
      <c r="BE270" t="s">
        <v>69</v>
      </c>
      <c r="BF270">
        <v>-1.083</v>
      </c>
      <c r="BG270">
        <v>-0.78600000000000003</v>
      </c>
    </row>
    <row r="271" spans="1:59">
      <c r="A271">
        <v>0</v>
      </c>
      <c r="B271">
        <v>0</v>
      </c>
      <c r="C271">
        <v>0</v>
      </c>
      <c r="D271" t="s">
        <v>25022</v>
      </c>
      <c r="E271">
        <v>2639</v>
      </c>
      <c r="F271" t="s">
        <v>15462</v>
      </c>
      <c r="G271" t="s">
        <v>62</v>
      </c>
      <c r="H271">
        <v>2616670</v>
      </c>
      <c r="I271">
        <v>2616948</v>
      </c>
      <c r="J271" t="s">
        <v>15463</v>
      </c>
      <c r="K271">
        <v>93</v>
      </c>
      <c r="L271" t="s">
        <v>59</v>
      </c>
      <c r="M271">
        <v>49</v>
      </c>
      <c r="N271" t="str">
        <f>HYPERLINK("Gene2639-zp_tree_all.dnd", "Gene2639-tree")</f>
        <v>Gene2639-tree</v>
      </c>
      <c r="O271">
        <v>7</v>
      </c>
      <c r="P271">
        <v>1</v>
      </c>
      <c r="Q271">
        <v>7</v>
      </c>
      <c r="R271">
        <v>1</v>
      </c>
      <c r="S271">
        <v>0.125</v>
      </c>
      <c r="T271" t="s">
        <v>152</v>
      </c>
      <c r="U271" t="s">
        <v>175</v>
      </c>
      <c r="V271" t="s">
        <v>62</v>
      </c>
      <c r="W271" t="s">
        <v>62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5</v>
      </c>
      <c r="AM271">
        <v>4</v>
      </c>
      <c r="AN271">
        <v>9</v>
      </c>
      <c r="AO271">
        <v>1</v>
      </c>
      <c r="AP271">
        <v>7</v>
      </c>
      <c r="AQ271">
        <v>0</v>
      </c>
      <c r="AR271" t="s">
        <v>15464</v>
      </c>
      <c r="AS271" t="s">
        <v>193</v>
      </c>
      <c r="AT271">
        <v>0.53500000000000003</v>
      </c>
      <c r="AU271" t="s">
        <v>65</v>
      </c>
      <c r="AV271">
        <v>16</v>
      </c>
      <c r="AW271">
        <v>1</v>
      </c>
      <c r="AX271" t="s">
        <v>15465</v>
      </c>
      <c r="AY271">
        <v>9.8739999999999994E-2</v>
      </c>
      <c r="AZ271">
        <v>-8.9499999999999996E-3</v>
      </c>
      <c r="BA271">
        <v>1.48E-3</v>
      </c>
      <c r="BB271">
        <v>-4.0000000000000002E-4</v>
      </c>
      <c r="BC271">
        <v>1.504E-2</v>
      </c>
      <c r="BD271">
        <v>1</v>
      </c>
      <c r="BE271" t="s">
        <v>69</v>
      </c>
      <c r="BF271">
        <v>-1.0680000000000001</v>
      </c>
      <c r="BG271">
        <v>-0.71599999999999997</v>
      </c>
    </row>
    <row r="272" spans="1:59">
      <c r="A272">
        <v>0</v>
      </c>
      <c r="B272">
        <v>0</v>
      </c>
      <c r="C272">
        <v>0</v>
      </c>
      <c r="D272" t="s">
        <v>25022</v>
      </c>
      <c r="E272">
        <v>3775</v>
      </c>
      <c r="F272" t="s">
        <v>22122</v>
      </c>
      <c r="G272" t="s">
        <v>62</v>
      </c>
      <c r="H272">
        <v>3748424</v>
      </c>
      <c r="I272">
        <v>3748702</v>
      </c>
      <c r="J272" t="s">
        <v>22123</v>
      </c>
      <c r="K272">
        <v>93</v>
      </c>
      <c r="L272" t="s">
        <v>59</v>
      </c>
      <c r="M272">
        <v>49</v>
      </c>
      <c r="N272" t="str">
        <f>HYPERLINK("Gene3775-zp_tree_all.dnd", "Gene3775-tree")</f>
        <v>Gene3775-tree</v>
      </c>
      <c r="O272">
        <v>4</v>
      </c>
      <c r="P272">
        <v>0</v>
      </c>
      <c r="Q272">
        <v>4</v>
      </c>
      <c r="R272">
        <v>0</v>
      </c>
      <c r="S272">
        <v>0</v>
      </c>
      <c r="T272" t="s">
        <v>61</v>
      </c>
      <c r="U272" t="s">
        <v>62</v>
      </c>
      <c r="V272" t="s">
        <v>62</v>
      </c>
      <c r="W272" t="s">
        <v>62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</v>
      </c>
      <c r="AM272">
        <v>0</v>
      </c>
      <c r="AN272">
        <v>6</v>
      </c>
      <c r="AO272">
        <v>0</v>
      </c>
      <c r="AP272">
        <v>0</v>
      </c>
      <c r="AQ272">
        <v>0</v>
      </c>
      <c r="AR272" t="s">
        <v>193</v>
      </c>
      <c r="AS272" t="s">
        <v>193</v>
      </c>
      <c r="AT272">
        <v>0</v>
      </c>
      <c r="AU272" t="s">
        <v>65</v>
      </c>
      <c r="AV272">
        <v>6</v>
      </c>
      <c r="AW272">
        <v>0</v>
      </c>
      <c r="AX272" t="s">
        <v>22124</v>
      </c>
      <c r="AY272">
        <v>5.1060000000000001E-2</v>
      </c>
      <c r="AZ272">
        <v>-9.2300000000000004E-3</v>
      </c>
      <c r="BA272">
        <v>0</v>
      </c>
      <c r="BB272">
        <v>0</v>
      </c>
      <c r="BC272">
        <v>0</v>
      </c>
      <c r="BD272">
        <v>1</v>
      </c>
      <c r="BE272" t="s">
        <v>69</v>
      </c>
      <c r="BF272">
        <v>-1.5349999999999999</v>
      </c>
      <c r="BG272">
        <v>-2.2490000000000001</v>
      </c>
    </row>
    <row r="273" spans="1:59">
      <c r="A273">
        <v>0</v>
      </c>
      <c r="B273">
        <v>0</v>
      </c>
      <c r="C273">
        <v>0</v>
      </c>
      <c r="D273" t="s">
        <v>25022</v>
      </c>
      <c r="E273">
        <v>621</v>
      </c>
      <c r="F273" t="s">
        <v>3991</v>
      </c>
      <c r="G273" t="s">
        <v>57</v>
      </c>
      <c r="H273">
        <v>649903</v>
      </c>
      <c r="I273">
        <v>650184</v>
      </c>
      <c r="J273" t="s">
        <v>3992</v>
      </c>
      <c r="K273">
        <v>94</v>
      </c>
      <c r="L273" t="s">
        <v>515</v>
      </c>
      <c r="M273">
        <v>51</v>
      </c>
      <c r="N273" t="str">
        <f>HYPERLINK("Gene621-zp_tree_all.dnd", "Gene621-tree")</f>
        <v>Gene621-tree</v>
      </c>
      <c r="O273">
        <v>41</v>
      </c>
      <c r="P273">
        <v>0</v>
      </c>
      <c r="Q273">
        <v>6</v>
      </c>
      <c r="R273">
        <v>0</v>
      </c>
      <c r="S273">
        <v>0</v>
      </c>
      <c r="T273" t="s">
        <v>3993</v>
      </c>
      <c r="U273" t="s">
        <v>62</v>
      </c>
      <c r="V273" t="s">
        <v>62</v>
      </c>
      <c r="W273" t="s">
        <v>62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4</v>
      </c>
      <c r="AM273">
        <v>1</v>
      </c>
      <c r="AN273">
        <v>4</v>
      </c>
      <c r="AO273">
        <v>0</v>
      </c>
      <c r="AP273">
        <v>8</v>
      </c>
      <c r="AQ273">
        <v>0</v>
      </c>
      <c r="AR273" t="s">
        <v>193</v>
      </c>
      <c r="AS273" t="s">
        <v>193</v>
      </c>
      <c r="AT273">
        <v>0</v>
      </c>
      <c r="AU273" t="s">
        <v>65</v>
      </c>
      <c r="AV273">
        <v>12</v>
      </c>
      <c r="AW273">
        <v>0</v>
      </c>
      <c r="AX273" t="s">
        <v>3994</v>
      </c>
      <c r="AY273">
        <v>9.0550000000000005E-2</v>
      </c>
      <c r="AZ273">
        <v>-1.6889999999999999E-2</v>
      </c>
      <c r="BA273">
        <v>0</v>
      </c>
      <c r="BB273">
        <v>0</v>
      </c>
      <c r="BC273">
        <v>0</v>
      </c>
      <c r="BD273">
        <v>1</v>
      </c>
      <c r="BE273" t="s">
        <v>69</v>
      </c>
      <c r="BF273">
        <v>-1.72</v>
      </c>
      <c r="BG273">
        <v>0.39100000000000001</v>
      </c>
    </row>
    <row r="274" spans="1:59">
      <c r="A274">
        <v>0</v>
      </c>
      <c r="B274">
        <v>2</v>
      </c>
      <c r="C274">
        <v>0</v>
      </c>
      <c r="D274" t="s">
        <v>25022</v>
      </c>
      <c r="E274">
        <v>4242</v>
      </c>
      <c r="F274" t="s">
        <v>24915</v>
      </c>
      <c r="G274" t="s">
        <v>62</v>
      </c>
      <c r="H274">
        <v>4199448</v>
      </c>
      <c r="I274">
        <v>4199732</v>
      </c>
      <c r="J274" t="s">
        <v>24916</v>
      </c>
      <c r="K274">
        <v>95</v>
      </c>
      <c r="L274" t="s">
        <v>59</v>
      </c>
      <c r="M274">
        <v>49</v>
      </c>
      <c r="N274" t="str">
        <f>HYPERLINK("Gene4242-zp_tree_all.dnd", "Gene4242-tree")</f>
        <v>Gene4242-tree</v>
      </c>
      <c r="O274">
        <v>1</v>
      </c>
      <c r="P274">
        <v>5</v>
      </c>
      <c r="Q274">
        <v>1</v>
      </c>
      <c r="R274">
        <v>5</v>
      </c>
      <c r="S274">
        <v>0.83333000000000002</v>
      </c>
      <c r="T274" t="s">
        <v>175</v>
      </c>
      <c r="U274" t="s">
        <v>199</v>
      </c>
      <c r="V274" t="s">
        <v>62</v>
      </c>
      <c r="W274" t="s">
        <v>62</v>
      </c>
      <c r="X274">
        <v>1</v>
      </c>
      <c r="Y274">
        <v>2</v>
      </c>
      <c r="Z274">
        <v>4</v>
      </c>
      <c r="AA274">
        <v>0.33333000000000002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</v>
      </c>
      <c r="AH274">
        <v>0</v>
      </c>
      <c r="AI274">
        <v>2</v>
      </c>
      <c r="AJ274">
        <v>3</v>
      </c>
      <c r="AK274">
        <v>0.4</v>
      </c>
      <c r="AL274">
        <v>5</v>
      </c>
      <c r="AM274">
        <v>2</v>
      </c>
      <c r="AN274">
        <v>2</v>
      </c>
      <c r="AO274">
        <v>4</v>
      </c>
      <c r="AP274">
        <v>0</v>
      </c>
      <c r="AQ274">
        <v>2</v>
      </c>
      <c r="AR274" t="s">
        <v>24917</v>
      </c>
      <c r="AS274" t="s">
        <v>193</v>
      </c>
      <c r="AT274">
        <v>1.278</v>
      </c>
      <c r="AU274" t="s">
        <v>65</v>
      </c>
      <c r="AV274">
        <v>2</v>
      </c>
      <c r="AW274">
        <v>6</v>
      </c>
      <c r="AX274" t="s">
        <v>24918</v>
      </c>
      <c r="AY274">
        <v>1.0919999999999999E-2</v>
      </c>
      <c r="AZ274">
        <v>-2.5300000000000001E-3</v>
      </c>
      <c r="BA274">
        <v>1.0540000000000001E-2</v>
      </c>
      <c r="BB274">
        <v>-1.0200000000000001E-3</v>
      </c>
      <c r="BC274">
        <v>0.96480999999999995</v>
      </c>
      <c r="BD274">
        <v>0.36099999999999999</v>
      </c>
      <c r="BE274" t="s">
        <v>635</v>
      </c>
      <c r="BF274">
        <v>-1.405</v>
      </c>
      <c r="BG274">
        <v>-1.859</v>
      </c>
    </row>
    <row r="275" spans="1:59">
      <c r="A275">
        <v>0</v>
      </c>
      <c r="B275">
        <v>0</v>
      </c>
      <c r="C275">
        <v>0</v>
      </c>
      <c r="D275" t="s">
        <v>25022</v>
      </c>
      <c r="E275">
        <v>3834</v>
      </c>
      <c r="F275" t="s">
        <v>22477</v>
      </c>
      <c r="G275" t="s">
        <v>62</v>
      </c>
      <c r="H275">
        <v>3795873</v>
      </c>
      <c r="I275">
        <v>3796157</v>
      </c>
      <c r="J275" t="s">
        <v>116</v>
      </c>
      <c r="K275">
        <v>95</v>
      </c>
      <c r="L275" t="s">
        <v>289</v>
      </c>
      <c r="M275">
        <v>46</v>
      </c>
      <c r="N275" t="str">
        <f>HYPERLINK("Gene3834-zp_tree_all.dnd", "Gene3834-tree")</f>
        <v>Gene3834-tree</v>
      </c>
      <c r="O275">
        <v>2</v>
      </c>
      <c r="P275">
        <v>8</v>
      </c>
      <c r="Q275">
        <v>2</v>
      </c>
      <c r="R275">
        <v>8</v>
      </c>
      <c r="S275">
        <v>0.8</v>
      </c>
      <c r="T275" t="s">
        <v>81</v>
      </c>
      <c r="U275" t="s">
        <v>136</v>
      </c>
      <c r="V275" t="s">
        <v>62</v>
      </c>
      <c r="W275" t="s">
        <v>62</v>
      </c>
      <c r="X275">
        <v>0</v>
      </c>
      <c r="Y275">
        <v>0</v>
      </c>
      <c r="Z275">
        <v>10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10</v>
      </c>
      <c r="AK275">
        <v>0</v>
      </c>
      <c r="AL275">
        <v>8</v>
      </c>
      <c r="AM275">
        <v>1</v>
      </c>
      <c r="AN275">
        <v>4</v>
      </c>
      <c r="AO275">
        <v>7</v>
      </c>
      <c r="AP275">
        <v>8</v>
      </c>
      <c r="AQ275">
        <v>3</v>
      </c>
      <c r="AR275" t="s">
        <v>22478</v>
      </c>
      <c r="AS275" t="s">
        <v>22479</v>
      </c>
      <c r="AT275">
        <v>1.978</v>
      </c>
      <c r="AU275" t="s">
        <v>267</v>
      </c>
      <c r="AV275">
        <v>12</v>
      </c>
      <c r="AW275">
        <v>10</v>
      </c>
      <c r="AX275" t="s">
        <v>22480</v>
      </c>
      <c r="AY275">
        <v>5.5590000000000001E-2</v>
      </c>
      <c r="AZ275">
        <v>-9.11E-3</v>
      </c>
      <c r="BA275">
        <v>1.1990000000000001E-2</v>
      </c>
      <c r="BB275">
        <v>-1.06E-3</v>
      </c>
      <c r="BC275">
        <v>0.21565999999999999</v>
      </c>
      <c r="BD275">
        <v>1</v>
      </c>
      <c r="BE275" t="s">
        <v>69</v>
      </c>
      <c r="BF275">
        <v>-1.7589999999999999</v>
      </c>
      <c r="BG275">
        <v>3.9E-2</v>
      </c>
    </row>
    <row r="276" spans="1:59">
      <c r="A276">
        <v>0</v>
      </c>
      <c r="B276">
        <v>0</v>
      </c>
      <c r="C276">
        <v>0</v>
      </c>
      <c r="D276" t="s">
        <v>25022</v>
      </c>
      <c r="E276">
        <v>3416</v>
      </c>
      <c r="F276" t="s">
        <v>19993</v>
      </c>
      <c r="G276" t="s">
        <v>62</v>
      </c>
      <c r="H276">
        <v>3378803</v>
      </c>
      <c r="I276">
        <v>3379087</v>
      </c>
      <c r="J276" t="s">
        <v>116</v>
      </c>
      <c r="K276">
        <v>95</v>
      </c>
      <c r="L276" t="s">
        <v>19994</v>
      </c>
      <c r="M276">
        <v>39</v>
      </c>
      <c r="N276" t="str">
        <f>HYPERLINK("Gene3416-zp_tree_all.dnd", "Gene3416-tree")</f>
        <v>Gene3416-tree</v>
      </c>
      <c r="O276">
        <v>7</v>
      </c>
      <c r="P276">
        <v>6</v>
      </c>
      <c r="Q276">
        <v>7</v>
      </c>
      <c r="R276">
        <v>6</v>
      </c>
      <c r="S276">
        <v>0.46154000000000001</v>
      </c>
      <c r="T276" t="s">
        <v>152</v>
      </c>
      <c r="U276" t="s">
        <v>90</v>
      </c>
      <c r="V276" t="s">
        <v>62</v>
      </c>
      <c r="W276" t="s">
        <v>62</v>
      </c>
      <c r="X276">
        <v>0</v>
      </c>
      <c r="Y276">
        <v>0</v>
      </c>
      <c r="Z276">
        <v>10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7</v>
      </c>
      <c r="AK276">
        <v>0</v>
      </c>
      <c r="AL276">
        <v>10</v>
      </c>
      <c r="AM276">
        <v>7</v>
      </c>
      <c r="AN276">
        <v>7</v>
      </c>
      <c r="AO276">
        <v>7</v>
      </c>
      <c r="AP276">
        <v>12</v>
      </c>
      <c r="AQ276">
        <v>3</v>
      </c>
      <c r="AR276" t="s">
        <v>19995</v>
      </c>
      <c r="AS276" t="s">
        <v>19996</v>
      </c>
      <c r="AT276">
        <v>0.95299999999999996</v>
      </c>
      <c r="AU276" t="s">
        <v>65</v>
      </c>
      <c r="AV276">
        <v>19</v>
      </c>
      <c r="AW276">
        <v>10</v>
      </c>
      <c r="AX276" t="s">
        <v>19997</v>
      </c>
      <c r="AY276">
        <v>8.9639999999999997E-2</v>
      </c>
      <c r="AZ276">
        <v>-4.5799999999999999E-3</v>
      </c>
      <c r="BA276">
        <v>1.014E-2</v>
      </c>
      <c r="BB276">
        <v>-6.9999999999999999E-4</v>
      </c>
      <c r="BC276">
        <v>0.11314</v>
      </c>
      <c r="BD276">
        <v>1</v>
      </c>
      <c r="BE276" t="s">
        <v>69</v>
      </c>
      <c r="BF276">
        <v>-1.2929999999999999</v>
      </c>
      <c r="BG276">
        <v>-1.976</v>
      </c>
    </row>
    <row r="277" spans="1:59">
      <c r="A277">
        <v>0</v>
      </c>
      <c r="B277">
        <v>0</v>
      </c>
      <c r="C277">
        <v>0</v>
      </c>
      <c r="D277" t="s">
        <v>25022</v>
      </c>
      <c r="E277">
        <v>118</v>
      </c>
      <c r="F277" t="s">
        <v>891</v>
      </c>
      <c r="G277" t="s">
        <v>57</v>
      </c>
      <c r="H277">
        <v>136992</v>
      </c>
      <c r="I277">
        <v>137276</v>
      </c>
      <c r="J277" t="s">
        <v>892</v>
      </c>
      <c r="K277">
        <v>95</v>
      </c>
      <c r="L277" t="s">
        <v>515</v>
      </c>
      <c r="M277">
        <v>51</v>
      </c>
      <c r="N277" t="str">
        <f>HYPERLINK("Gene118-zp_tree_all.dnd", "Gene118-tree")</f>
        <v>Gene118-tree</v>
      </c>
      <c r="O277">
        <v>10</v>
      </c>
      <c r="P277">
        <v>0</v>
      </c>
      <c r="Q277">
        <v>10</v>
      </c>
      <c r="R277">
        <v>0</v>
      </c>
      <c r="S277">
        <v>0</v>
      </c>
      <c r="T277" t="s">
        <v>117</v>
      </c>
      <c r="U277" t="s">
        <v>62</v>
      </c>
      <c r="V277" t="s">
        <v>62</v>
      </c>
      <c r="W277" t="s">
        <v>62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5</v>
      </c>
      <c r="AM277">
        <v>4</v>
      </c>
      <c r="AN277">
        <v>7</v>
      </c>
      <c r="AO277">
        <v>0</v>
      </c>
      <c r="AP277">
        <v>11</v>
      </c>
      <c r="AQ277">
        <v>1</v>
      </c>
      <c r="AR277" t="s">
        <v>193</v>
      </c>
      <c r="AS277" t="s">
        <v>893</v>
      </c>
      <c r="AT277">
        <v>0.46</v>
      </c>
      <c r="AU277" t="s">
        <v>65</v>
      </c>
      <c r="AV277">
        <v>18</v>
      </c>
      <c r="AW277">
        <v>1</v>
      </c>
      <c r="AX277" t="s">
        <v>894</v>
      </c>
      <c r="AY277">
        <v>8.6849999999999997E-2</v>
      </c>
      <c r="AZ277">
        <v>-8.3499999999999998E-3</v>
      </c>
      <c r="BA277">
        <v>2.1099999999999999E-3</v>
      </c>
      <c r="BB277">
        <v>-2.5999999999999998E-4</v>
      </c>
      <c r="BC277">
        <v>2.427E-2</v>
      </c>
      <c r="BD277">
        <v>1</v>
      </c>
      <c r="BE277" t="s">
        <v>69</v>
      </c>
      <c r="BF277">
        <v>-0.66600000000000004</v>
      </c>
      <c r="BG277">
        <v>1.0569999999999999</v>
      </c>
    </row>
    <row r="278" spans="1:59">
      <c r="A278">
        <v>0</v>
      </c>
      <c r="B278">
        <v>2</v>
      </c>
      <c r="C278">
        <v>3</v>
      </c>
      <c r="D278" t="s">
        <v>25022</v>
      </c>
      <c r="E278">
        <v>1810</v>
      </c>
      <c r="F278" t="s">
        <v>11343</v>
      </c>
      <c r="G278" t="s">
        <v>57</v>
      </c>
      <c r="H278">
        <v>1880087</v>
      </c>
      <c r="I278">
        <v>1880374</v>
      </c>
      <c r="J278" t="s">
        <v>11344</v>
      </c>
      <c r="K278">
        <v>96</v>
      </c>
      <c r="L278" t="s">
        <v>1392</v>
      </c>
      <c r="M278">
        <v>43</v>
      </c>
      <c r="N278" t="str">
        <f>HYPERLINK("Gene1810-zp_tree_all.dnd", "Gene1810-tree")</f>
        <v>Gene1810-tree</v>
      </c>
      <c r="O278">
        <v>3</v>
      </c>
      <c r="P278">
        <v>7</v>
      </c>
      <c r="Q278">
        <v>3</v>
      </c>
      <c r="R278">
        <v>7</v>
      </c>
      <c r="S278">
        <v>0.7</v>
      </c>
      <c r="T278" t="s">
        <v>324</v>
      </c>
      <c r="U278" t="s">
        <v>152</v>
      </c>
      <c r="V278" t="s">
        <v>62</v>
      </c>
      <c r="W278" t="s">
        <v>62</v>
      </c>
      <c r="X278">
        <v>2</v>
      </c>
      <c r="Y278">
        <v>5</v>
      </c>
      <c r="Z278">
        <v>10</v>
      </c>
      <c r="AA278">
        <v>0.33333000000000002</v>
      </c>
      <c r="AB278">
        <v>0</v>
      </c>
      <c r="AC278">
        <v>0</v>
      </c>
      <c r="AD278">
        <v>0</v>
      </c>
      <c r="AE278">
        <v>2</v>
      </c>
      <c r="AF278">
        <v>0</v>
      </c>
      <c r="AG278">
        <v>0</v>
      </c>
      <c r="AH278">
        <v>0</v>
      </c>
      <c r="AI278">
        <v>0</v>
      </c>
      <c r="AJ278">
        <v>11</v>
      </c>
      <c r="AK278">
        <v>0</v>
      </c>
      <c r="AL278">
        <v>8</v>
      </c>
      <c r="AM278">
        <v>3</v>
      </c>
      <c r="AN278">
        <v>8</v>
      </c>
      <c r="AO278">
        <v>12</v>
      </c>
      <c r="AP278">
        <v>2</v>
      </c>
      <c r="AQ278">
        <v>4</v>
      </c>
      <c r="AR278" t="s">
        <v>11345</v>
      </c>
      <c r="AS278" t="s">
        <v>11346</v>
      </c>
      <c r="AT278">
        <v>0.33600000000000002</v>
      </c>
      <c r="AU278" t="s">
        <v>65</v>
      </c>
      <c r="AV278">
        <v>10</v>
      </c>
      <c r="AW278">
        <v>16</v>
      </c>
      <c r="AX278" t="s">
        <v>11347</v>
      </c>
      <c r="AY278">
        <v>3.5779999999999999E-2</v>
      </c>
      <c r="AZ278">
        <v>-3.0799999999999998E-3</v>
      </c>
      <c r="BA278">
        <v>1.925E-2</v>
      </c>
      <c r="BB278">
        <v>-1.7799999999999999E-3</v>
      </c>
      <c r="BC278">
        <v>0.53815999999999997</v>
      </c>
      <c r="BD278">
        <v>0.82</v>
      </c>
      <c r="BE278" t="s">
        <v>635</v>
      </c>
      <c r="BF278">
        <v>-1.1020000000000001</v>
      </c>
      <c r="BG278">
        <v>-3.2050000000000001</v>
      </c>
    </row>
    <row r="279" spans="1:59">
      <c r="A279">
        <v>0</v>
      </c>
      <c r="B279">
        <v>2</v>
      </c>
      <c r="C279">
        <v>2</v>
      </c>
      <c r="D279" t="s">
        <v>25022</v>
      </c>
      <c r="E279">
        <v>1434</v>
      </c>
      <c r="F279" t="s">
        <v>8977</v>
      </c>
      <c r="G279" t="s">
        <v>57</v>
      </c>
      <c r="H279">
        <v>1447251</v>
      </c>
      <c r="I279">
        <v>1447538</v>
      </c>
      <c r="J279" t="s">
        <v>8978</v>
      </c>
      <c r="K279">
        <v>96</v>
      </c>
      <c r="L279" t="s">
        <v>1124</v>
      </c>
      <c r="M279">
        <v>43</v>
      </c>
      <c r="N279" t="str">
        <f>HYPERLINK("Gene1434-zp_tree_all.dnd", "Gene1434-tree")</f>
        <v>Gene1434-tree</v>
      </c>
      <c r="O279">
        <v>4</v>
      </c>
      <c r="P279">
        <v>8</v>
      </c>
      <c r="Q279">
        <v>4</v>
      </c>
      <c r="R279">
        <v>8</v>
      </c>
      <c r="S279">
        <v>0.66666999999999998</v>
      </c>
      <c r="T279" t="s">
        <v>61</v>
      </c>
      <c r="U279" t="s">
        <v>136</v>
      </c>
      <c r="V279" t="s">
        <v>62</v>
      </c>
      <c r="W279" t="s">
        <v>62</v>
      </c>
      <c r="X279">
        <v>2</v>
      </c>
      <c r="Y279">
        <v>4</v>
      </c>
      <c r="Z279">
        <v>7</v>
      </c>
      <c r="AA279">
        <v>0.36364000000000002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2</v>
      </c>
      <c r="AI279">
        <v>2</v>
      </c>
      <c r="AJ279">
        <v>7</v>
      </c>
      <c r="AK279">
        <v>0.22222</v>
      </c>
      <c r="AL279">
        <v>8</v>
      </c>
      <c r="AM279">
        <v>5</v>
      </c>
      <c r="AN279">
        <v>6</v>
      </c>
      <c r="AO279">
        <v>8</v>
      </c>
      <c r="AP279">
        <v>2</v>
      </c>
      <c r="AQ279">
        <v>3</v>
      </c>
      <c r="AR279" t="s">
        <v>8979</v>
      </c>
      <c r="AS279" t="s">
        <v>8980</v>
      </c>
      <c r="AT279">
        <v>0.105</v>
      </c>
      <c r="AU279" t="s">
        <v>65</v>
      </c>
      <c r="AV279">
        <v>8</v>
      </c>
      <c r="AW279">
        <v>11</v>
      </c>
      <c r="AX279" t="s">
        <v>8981</v>
      </c>
      <c r="AY279">
        <v>2.827E-2</v>
      </c>
      <c r="AZ279">
        <v>-2.7399999999999998E-3</v>
      </c>
      <c r="BA279">
        <v>1.027E-2</v>
      </c>
      <c r="BB279">
        <v>-5.9999999999999995E-4</v>
      </c>
      <c r="BC279">
        <v>0.36314000000000002</v>
      </c>
      <c r="BD279">
        <v>0.92900000000000005</v>
      </c>
      <c r="BE279" t="s">
        <v>635</v>
      </c>
      <c r="BF279">
        <v>-1.23</v>
      </c>
      <c r="BG279">
        <v>-1.4339999999999999</v>
      </c>
    </row>
    <row r="280" spans="1:59">
      <c r="A280">
        <v>0</v>
      </c>
      <c r="B280">
        <v>2</v>
      </c>
      <c r="C280">
        <v>0</v>
      </c>
      <c r="D280" t="s">
        <v>25022</v>
      </c>
      <c r="E280">
        <v>186</v>
      </c>
      <c r="F280" t="s">
        <v>1311</v>
      </c>
      <c r="G280" t="s">
        <v>57</v>
      </c>
      <c r="H280">
        <v>210224</v>
      </c>
      <c r="I280">
        <v>210511</v>
      </c>
      <c r="J280" t="s">
        <v>1312</v>
      </c>
      <c r="K280">
        <v>96</v>
      </c>
      <c r="L280" t="s">
        <v>1305</v>
      </c>
      <c r="M280">
        <v>43</v>
      </c>
      <c r="N280" t="str">
        <f>HYPERLINK("Gene186-zp_tree_all.dnd", "Gene186-tree")</f>
        <v>Gene186-tree</v>
      </c>
      <c r="O280">
        <v>5</v>
      </c>
      <c r="P280">
        <v>4</v>
      </c>
      <c r="Q280">
        <v>5</v>
      </c>
      <c r="R280">
        <v>4</v>
      </c>
      <c r="S280">
        <v>0.44444</v>
      </c>
      <c r="T280" t="s">
        <v>199</v>
      </c>
      <c r="U280" t="s">
        <v>61</v>
      </c>
      <c r="V280" t="s">
        <v>62</v>
      </c>
      <c r="W280" t="s">
        <v>62</v>
      </c>
      <c r="X280">
        <v>1</v>
      </c>
      <c r="Y280">
        <v>2</v>
      </c>
      <c r="Z280">
        <v>3</v>
      </c>
      <c r="AA280">
        <v>0.4</v>
      </c>
      <c r="AB280">
        <v>0</v>
      </c>
      <c r="AC280">
        <v>0</v>
      </c>
      <c r="AD280">
        <v>0</v>
      </c>
      <c r="AE280">
        <v>2</v>
      </c>
      <c r="AF280">
        <v>0</v>
      </c>
      <c r="AG280">
        <v>0</v>
      </c>
      <c r="AH280">
        <v>0</v>
      </c>
      <c r="AI280">
        <v>0</v>
      </c>
      <c r="AJ280">
        <v>3</v>
      </c>
      <c r="AK280">
        <v>0</v>
      </c>
      <c r="AL280">
        <v>5</v>
      </c>
      <c r="AM280">
        <v>4</v>
      </c>
      <c r="AN280">
        <v>2</v>
      </c>
      <c r="AO280">
        <v>3</v>
      </c>
      <c r="AP280">
        <v>2</v>
      </c>
      <c r="AQ280">
        <v>2</v>
      </c>
      <c r="AR280" t="s">
        <v>1313</v>
      </c>
      <c r="AS280" t="s">
        <v>1314</v>
      </c>
      <c r="AT280">
        <v>0.28299999999999997</v>
      </c>
      <c r="AU280" t="s">
        <v>65</v>
      </c>
      <c r="AV280">
        <v>4</v>
      </c>
      <c r="AW280">
        <v>5</v>
      </c>
      <c r="AX280" t="s">
        <v>1315</v>
      </c>
      <c r="AY280">
        <v>2.3869999999999999E-2</v>
      </c>
      <c r="AZ280">
        <v>-3.4099999999999998E-3</v>
      </c>
      <c r="BA280">
        <v>5.8100000000000001E-3</v>
      </c>
      <c r="BB280">
        <v>-5.9999999999999995E-4</v>
      </c>
      <c r="BC280">
        <v>0.24351999999999999</v>
      </c>
      <c r="BD280">
        <v>0.95199999999999996</v>
      </c>
      <c r="BE280" t="s">
        <v>69</v>
      </c>
      <c r="BF280">
        <v>-0.504</v>
      </c>
      <c r="BG280">
        <v>-7.3999999999999996E-2</v>
      </c>
    </row>
    <row r="281" spans="1:59">
      <c r="A281">
        <v>0</v>
      </c>
      <c r="B281">
        <v>2</v>
      </c>
      <c r="C281">
        <v>2</v>
      </c>
      <c r="D281" t="s">
        <v>25022</v>
      </c>
      <c r="E281">
        <v>4043</v>
      </c>
      <c r="F281" t="s">
        <v>23796</v>
      </c>
      <c r="G281" t="s">
        <v>62</v>
      </c>
      <c r="H281">
        <v>4007806</v>
      </c>
      <c r="I281">
        <v>4008093</v>
      </c>
      <c r="J281" t="s">
        <v>116</v>
      </c>
      <c r="K281">
        <v>96</v>
      </c>
      <c r="L281" t="s">
        <v>108</v>
      </c>
      <c r="M281">
        <v>44</v>
      </c>
      <c r="N281" t="str">
        <f>HYPERLINK("Gene4043-zp_tree_all.dnd", "Gene4043-tree")</f>
        <v>Gene4043-tree</v>
      </c>
      <c r="O281">
        <v>8</v>
      </c>
      <c r="P281">
        <v>6</v>
      </c>
      <c r="Q281">
        <v>8</v>
      </c>
      <c r="R281">
        <v>6</v>
      </c>
      <c r="S281">
        <v>0.42857000000000001</v>
      </c>
      <c r="T281" t="s">
        <v>136</v>
      </c>
      <c r="U281" t="s">
        <v>90</v>
      </c>
      <c r="V281" t="s">
        <v>62</v>
      </c>
      <c r="W281" t="s">
        <v>62</v>
      </c>
      <c r="X281">
        <v>2</v>
      </c>
      <c r="Y281">
        <v>4</v>
      </c>
      <c r="Z281">
        <v>7</v>
      </c>
      <c r="AA281">
        <v>0.36364000000000002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</v>
      </c>
      <c r="AI281">
        <v>2</v>
      </c>
      <c r="AJ281">
        <v>7</v>
      </c>
      <c r="AK281">
        <v>0.22222</v>
      </c>
      <c r="AL281">
        <v>12</v>
      </c>
      <c r="AM281">
        <v>3</v>
      </c>
      <c r="AN281">
        <v>16</v>
      </c>
      <c r="AO281">
        <v>9</v>
      </c>
      <c r="AP281">
        <v>3</v>
      </c>
      <c r="AQ281">
        <v>2</v>
      </c>
      <c r="AR281" t="s">
        <v>23797</v>
      </c>
      <c r="AS281" t="s">
        <v>23798</v>
      </c>
      <c r="AT281">
        <v>0.13600000000000001</v>
      </c>
      <c r="AU281" t="s">
        <v>65</v>
      </c>
      <c r="AV281">
        <v>19</v>
      </c>
      <c r="AW281">
        <v>11</v>
      </c>
      <c r="AX281" t="s">
        <v>23799</v>
      </c>
      <c r="AY281">
        <v>5.525E-2</v>
      </c>
      <c r="AZ281">
        <v>-2.9399999999999999E-3</v>
      </c>
      <c r="BA281">
        <v>7.7499999999999999E-3</v>
      </c>
      <c r="BB281">
        <v>-5.9999999999999995E-4</v>
      </c>
      <c r="BC281">
        <v>0.14027000000000001</v>
      </c>
      <c r="BD281">
        <v>1</v>
      </c>
      <c r="BE281" t="s">
        <v>69</v>
      </c>
      <c r="BF281">
        <v>-0.79600000000000004</v>
      </c>
      <c r="BG281">
        <v>-0.82399999999999995</v>
      </c>
    </row>
    <row r="282" spans="1:59">
      <c r="A282">
        <v>0</v>
      </c>
      <c r="B282">
        <v>0</v>
      </c>
      <c r="C282">
        <v>0</v>
      </c>
      <c r="D282" t="s">
        <v>25022</v>
      </c>
      <c r="E282">
        <v>2669</v>
      </c>
      <c r="F282" t="s">
        <v>15657</v>
      </c>
      <c r="G282" t="s">
        <v>62</v>
      </c>
      <c r="H282">
        <v>2644349</v>
      </c>
      <c r="I282">
        <v>2644636</v>
      </c>
      <c r="J282" t="s">
        <v>15658</v>
      </c>
      <c r="K282">
        <v>96</v>
      </c>
      <c r="L282" t="s">
        <v>59</v>
      </c>
      <c r="M282">
        <v>49</v>
      </c>
      <c r="N282" t="str">
        <f>HYPERLINK("Gene2669-zp_tree_all.dnd", "Gene2669-tree")</f>
        <v>Gene2669-tree</v>
      </c>
      <c r="O282">
        <v>8</v>
      </c>
      <c r="P282">
        <v>3</v>
      </c>
      <c r="Q282">
        <v>8</v>
      </c>
      <c r="R282">
        <v>3</v>
      </c>
      <c r="S282">
        <v>0.27272999999999997</v>
      </c>
      <c r="T282" t="s">
        <v>136</v>
      </c>
      <c r="U282" t="s">
        <v>324</v>
      </c>
      <c r="V282" t="s">
        <v>62</v>
      </c>
      <c r="W282" t="s">
        <v>62</v>
      </c>
      <c r="X282">
        <v>0</v>
      </c>
      <c r="Y282">
        <v>0</v>
      </c>
      <c r="Z282">
        <v>3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</v>
      </c>
      <c r="AK282">
        <v>0</v>
      </c>
      <c r="AL282">
        <v>7</v>
      </c>
      <c r="AM282">
        <v>6</v>
      </c>
      <c r="AN282">
        <v>5</v>
      </c>
      <c r="AO282">
        <v>3</v>
      </c>
      <c r="AP282">
        <v>14</v>
      </c>
      <c r="AQ282">
        <v>0</v>
      </c>
      <c r="AR282" t="s">
        <v>15659</v>
      </c>
      <c r="AS282" t="s">
        <v>193</v>
      </c>
      <c r="AT282">
        <v>1.526</v>
      </c>
      <c r="AU282" t="s">
        <v>65</v>
      </c>
      <c r="AV282">
        <v>19</v>
      </c>
      <c r="AW282">
        <v>3</v>
      </c>
      <c r="AX282" t="s">
        <v>15660</v>
      </c>
      <c r="AY282">
        <v>9.7650000000000001E-2</v>
      </c>
      <c r="AZ282">
        <v>-7.1599999999999997E-3</v>
      </c>
      <c r="BA282">
        <v>2.4199999999999998E-3</v>
      </c>
      <c r="BB282">
        <v>-3.6000000000000002E-4</v>
      </c>
      <c r="BC282">
        <v>2.4750000000000001E-2</v>
      </c>
      <c r="BD282">
        <v>1</v>
      </c>
      <c r="BE282" t="s">
        <v>69</v>
      </c>
      <c r="BF282">
        <v>-1.722</v>
      </c>
      <c r="BG282">
        <v>-1.1479999999999999</v>
      </c>
    </row>
    <row r="283" spans="1:59">
      <c r="A283">
        <v>0</v>
      </c>
      <c r="B283">
        <v>0</v>
      </c>
      <c r="C283">
        <v>0</v>
      </c>
      <c r="D283" t="s">
        <v>25022</v>
      </c>
      <c r="E283">
        <v>702</v>
      </c>
      <c r="F283" t="s">
        <v>4395</v>
      </c>
      <c r="G283" t="s">
        <v>57</v>
      </c>
      <c r="H283">
        <v>728732</v>
      </c>
      <c r="I283">
        <v>729019</v>
      </c>
      <c r="J283" t="s">
        <v>4396</v>
      </c>
      <c r="K283">
        <v>96</v>
      </c>
      <c r="L283" t="s">
        <v>59</v>
      </c>
      <c r="M283">
        <v>49</v>
      </c>
      <c r="N283" t="str">
        <f>HYPERLINK("Gene702-zp_tree_all.dnd", "Gene702-tree")</f>
        <v>Gene702-tree</v>
      </c>
      <c r="O283">
        <v>8</v>
      </c>
      <c r="P283">
        <v>1</v>
      </c>
      <c r="Q283">
        <v>8</v>
      </c>
      <c r="R283">
        <v>1</v>
      </c>
      <c r="S283">
        <v>0.11111</v>
      </c>
      <c r="T283" t="s">
        <v>136</v>
      </c>
      <c r="U283" t="s">
        <v>175</v>
      </c>
      <c r="V283" t="s">
        <v>62</v>
      </c>
      <c r="W283" t="s">
        <v>62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6</v>
      </c>
      <c r="AM283">
        <v>3</v>
      </c>
      <c r="AN283">
        <v>7</v>
      </c>
      <c r="AO283">
        <v>1</v>
      </c>
      <c r="AP283">
        <v>7</v>
      </c>
      <c r="AQ283">
        <v>0</v>
      </c>
      <c r="AR283" t="s">
        <v>4397</v>
      </c>
      <c r="AS283" t="s">
        <v>193</v>
      </c>
      <c r="AT283">
        <v>0.48</v>
      </c>
      <c r="AU283" t="s">
        <v>65</v>
      </c>
      <c r="AV283">
        <v>14</v>
      </c>
      <c r="AW283">
        <v>1</v>
      </c>
      <c r="AX283" t="s">
        <v>4398</v>
      </c>
      <c r="AY283">
        <v>8.2699999999999996E-2</v>
      </c>
      <c r="AZ283">
        <v>-7.1599999999999997E-3</v>
      </c>
      <c r="BA283">
        <v>9.8999999999999999E-4</v>
      </c>
      <c r="BB283">
        <v>-2.7E-4</v>
      </c>
      <c r="BC283">
        <v>1.192E-2</v>
      </c>
      <c r="BD283">
        <v>1</v>
      </c>
      <c r="BE283" t="s">
        <v>69</v>
      </c>
      <c r="BF283">
        <v>-1.363</v>
      </c>
      <c r="BG283">
        <v>0.19900000000000001</v>
      </c>
    </row>
    <row r="284" spans="1:59">
      <c r="A284">
        <v>0</v>
      </c>
      <c r="B284">
        <v>0</v>
      </c>
      <c r="C284">
        <v>0</v>
      </c>
      <c r="D284" t="s">
        <v>25022</v>
      </c>
      <c r="E284">
        <v>2522</v>
      </c>
      <c r="F284" t="s">
        <v>14723</v>
      </c>
      <c r="G284" t="s">
        <v>62</v>
      </c>
      <c r="H284">
        <v>2515617</v>
      </c>
      <c r="I284">
        <v>2515907</v>
      </c>
      <c r="J284" t="s">
        <v>1523</v>
      </c>
      <c r="K284">
        <v>97</v>
      </c>
      <c r="L284" t="s">
        <v>409</v>
      </c>
      <c r="M284">
        <v>45</v>
      </c>
      <c r="N284" t="str">
        <f>HYPERLINK("Gene2522-zp_tree_all.dnd", "Gene2522-tree")</f>
        <v>Gene2522-tree</v>
      </c>
      <c r="O284">
        <v>24</v>
      </c>
      <c r="P284">
        <v>5</v>
      </c>
      <c r="Q284">
        <v>3</v>
      </c>
      <c r="R284">
        <v>5</v>
      </c>
      <c r="S284">
        <v>0.625</v>
      </c>
      <c r="T284" t="s">
        <v>14683</v>
      </c>
      <c r="U284" t="s">
        <v>199</v>
      </c>
      <c r="V284" t="s">
        <v>62</v>
      </c>
      <c r="W284" t="s">
        <v>62</v>
      </c>
      <c r="X284">
        <v>0</v>
      </c>
      <c r="Y284">
        <v>0</v>
      </c>
      <c r="Z284">
        <v>11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11</v>
      </c>
      <c r="AK284">
        <v>0</v>
      </c>
      <c r="AL284">
        <v>7</v>
      </c>
      <c r="AM284">
        <v>0</v>
      </c>
      <c r="AN284">
        <v>11</v>
      </c>
      <c r="AO284">
        <v>11</v>
      </c>
      <c r="AP284">
        <v>0</v>
      </c>
      <c r="AQ284">
        <v>0</v>
      </c>
      <c r="AR284" t="s">
        <v>14724</v>
      </c>
      <c r="AS284" t="s">
        <v>193</v>
      </c>
      <c r="AT284">
        <v>0.69899999999999995</v>
      </c>
      <c r="AU284" t="s">
        <v>65</v>
      </c>
      <c r="AV284">
        <v>11</v>
      </c>
      <c r="AW284">
        <v>11</v>
      </c>
      <c r="AX284" t="s">
        <v>14725</v>
      </c>
      <c r="AY284">
        <v>4.2209999999999998E-2</v>
      </c>
      <c r="AZ284">
        <v>-8.5900000000000004E-3</v>
      </c>
      <c r="BA284">
        <v>1.2529999999999999E-2</v>
      </c>
      <c r="BB284">
        <v>-2.1199999999999999E-3</v>
      </c>
      <c r="BC284">
        <v>0.29687999999999998</v>
      </c>
      <c r="BD284">
        <v>1</v>
      </c>
      <c r="BE284" t="s">
        <v>69</v>
      </c>
      <c r="BF284">
        <v>-2.0880000000000001</v>
      </c>
      <c r="BG284">
        <v>-4.5110000000000001</v>
      </c>
    </row>
    <row r="285" spans="1:59">
      <c r="A285">
        <v>0</v>
      </c>
      <c r="B285">
        <v>5</v>
      </c>
      <c r="C285">
        <v>0</v>
      </c>
      <c r="D285" t="s">
        <v>25022</v>
      </c>
      <c r="E285">
        <v>1534</v>
      </c>
      <c r="F285" t="s">
        <v>9583</v>
      </c>
      <c r="G285" t="s">
        <v>57</v>
      </c>
      <c r="H285">
        <v>1544603</v>
      </c>
      <c r="I285">
        <v>1544893</v>
      </c>
      <c r="J285" t="s">
        <v>9584</v>
      </c>
      <c r="K285">
        <v>97</v>
      </c>
      <c r="L285" t="s">
        <v>9585</v>
      </c>
      <c r="M285">
        <v>42</v>
      </c>
      <c r="N285" t="str">
        <f>HYPERLINK("Gene1534-zp_tree_all.dnd", "Gene1534-tree")</f>
        <v>Gene1534-tree</v>
      </c>
      <c r="O285">
        <v>4</v>
      </c>
      <c r="P285">
        <v>7</v>
      </c>
      <c r="Q285">
        <v>4</v>
      </c>
      <c r="R285">
        <v>7</v>
      </c>
      <c r="S285">
        <v>0.63636000000000004</v>
      </c>
      <c r="T285" t="s">
        <v>61</v>
      </c>
      <c r="U285" t="s">
        <v>152</v>
      </c>
      <c r="V285" t="s">
        <v>62</v>
      </c>
      <c r="W285" t="s">
        <v>62</v>
      </c>
      <c r="X285">
        <v>2</v>
      </c>
      <c r="Y285">
        <v>5</v>
      </c>
      <c r="Z285">
        <v>4</v>
      </c>
      <c r="AA285">
        <v>0.55556000000000005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</v>
      </c>
      <c r="AH285">
        <v>0</v>
      </c>
      <c r="AI285">
        <v>3</v>
      </c>
      <c r="AJ285">
        <v>4</v>
      </c>
      <c r="AK285">
        <v>0.42857000000000001</v>
      </c>
      <c r="AL285">
        <v>8</v>
      </c>
      <c r="AM285">
        <v>4</v>
      </c>
      <c r="AN285">
        <v>6</v>
      </c>
      <c r="AO285">
        <v>7</v>
      </c>
      <c r="AP285">
        <v>2</v>
      </c>
      <c r="AQ285">
        <v>2</v>
      </c>
      <c r="AR285" t="s">
        <v>9586</v>
      </c>
      <c r="AS285" t="s">
        <v>9587</v>
      </c>
      <c r="AT285">
        <v>0.14499999999999999</v>
      </c>
      <c r="AU285" t="s">
        <v>65</v>
      </c>
      <c r="AV285">
        <v>8</v>
      </c>
      <c r="AW285">
        <v>9</v>
      </c>
      <c r="AX285" t="s">
        <v>9588</v>
      </c>
      <c r="AY285">
        <v>3.0280000000000001E-2</v>
      </c>
      <c r="AZ285">
        <v>-2.4299999999999999E-3</v>
      </c>
      <c r="BA285">
        <v>7.9799999999999992E-3</v>
      </c>
      <c r="BB285">
        <v>-4.8999999999999998E-4</v>
      </c>
      <c r="BC285">
        <v>0.26357000000000003</v>
      </c>
      <c r="BD285">
        <v>1</v>
      </c>
      <c r="BE285" t="s">
        <v>69</v>
      </c>
      <c r="BF285">
        <v>-1.2190000000000001</v>
      </c>
      <c r="BG285">
        <v>-0.441</v>
      </c>
    </row>
    <row r="286" spans="1:59">
      <c r="A286">
        <v>0</v>
      </c>
      <c r="B286">
        <v>0</v>
      </c>
      <c r="C286">
        <v>0</v>
      </c>
      <c r="D286" t="s">
        <v>25022</v>
      </c>
      <c r="E286">
        <v>49</v>
      </c>
      <c r="F286" t="s">
        <v>414</v>
      </c>
      <c r="G286" t="s">
        <v>57</v>
      </c>
      <c r="H286">
        <v>55866</v>
      </c>
      <c r="I286">
        <v>56156</v>
      </c>
      <c r="J286" t="s">
        <v>415</v>
      </c>
      <c r="K286">
        <v>97</v>
      </c>
      <c r="L286" t="s">
        <v>59</v>
      </c>
      <c r="M286">
        <v>49</v>
      </c>
      <c r="N286" t="str">
        <f>HYPERLINK("Gene49-zp_tree_all.dnd", "Gene49-tree")</f>
        <v>Gene49-tree</v>
      </c>
      <c r="O286">
        <v>4</v>
      </c>
      <c r="P286">
        <v>13</v>
      </c>
      <c r="Q286">
        <v>4</v>
      </c>
      <c r="R286">
        <v>2</v>
      </c>
      <c r="S286">
        <v>0.33333000000000002</v>
      </c>
      <c r="T286" t="s">
        <v>61</v>
      </c>
      <c r="U286" t="s">
        <v>416</v>
      </c>
      <c r="V286">
        <v>4.8609999999999998</v>
      </c>
      <c r="W286" t="s">
        <v>65</v>
      </c>
      <c r="X286">
        <v>0</v>
      </c>
      <c r="Y286">
        <v>0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3</v>
      </c>
      <c r="AM286">
        <v>2</v>
      </c>
      <c r="AN286">
        <v>2</v>
      </c>
      <c r="AO286">
        <v>1</v>
      </c>
      <c r="AP286">
        <v>2</v>
      </c>
      <c r="AQ286">
        <v>1</v>
      </c>
      <c r="AR286" t="s">
        <v>417</v>
      </c>
      <c r="AS286" t="s">
        <v>418</v>
      </c>
      <c r="AT286">
        <v>5.0000000000000001E-3</v>
      </c>
      <c r="AU286" t="s">
        <v>65</v>
      </c>
      <c r="AV286">
        <v>4</v>
      </c>
      <c r="AW286">
        <v>2</v>
      </c>
      <c r="AX286" t="s">
        <v>419</v>
      </c>
      <c r="AY286">
        <v>2.6040000000000001E-2</v>
      </c>
      <c r="AZ286">
        <v>-4.8399999999999997E-3</v>
      </c>
      <c r="BA286">
        <v>3.9100000000000003E-3</v>
      </c>
      <c r="BB286">
        <v>-6.8999999999999997E-4</v>
      </c>
      <c r="BC286">
        <v>0.1502</v>
      </c>
      <c r="BD286">
        <v>0.95299999999999996</v>
      </c>
      <c r="BE286" t="s">
        <v>69</v>
      </c>
      <c r="BF286">
        <v>-1.048</v>
      </c>
      <c r="BG286">
        <v>-0.53600000000000003</v>
      </c>
    </row>
    <row r="287" spans="1:59">
      <c r="A287">
        <v>0</v>
      </c>
      <c r="B287">
        <v>0</v>
      </c>
      <c r="C287">
        <v>0</v>
      </c>
      <c r="D287" t="s">
        <v>25022</v>
      </c>
      <c r="E287">
        <v>1144</v>
      </c>
      <c r="F287" t="s">
        <v>7195</v>
      </c>
      <c r="G287" t="s">
        <v>57</v>
      </c>
      <c r="H287">
        <v>1185608</v>
      </c>
      <c r="I287">
        <v>1185898</v>
      </c>
      <c r="J287" t="s">
        <v>116</v>
      </c>
      <c r="K287">
        <v>97</v>
      </c>
      <c r="L287" t="s">
        <v>7189</v>
      </c>
      <c r="M287">
        <v>38</v>
      </c>
      <c r="N287" t="str">
        <f>HYPERLINK("Gene1144-zp_tree_all.dnd", "Gene1144-tree")</f>
        <v>Gene1144-tree</v>
      </c>
      <c r="O287">
        <v>26</v>
      </c>
      <c r="P287">
        <v>1</v>
      </c>
      <c r="Q287">
        <v>7</v>
      </c>
      <c r="R287">
        <v>1</v>
      </c>
      <c r="S287">
        <v>0.125</v>
      </c>
      <c r="T287" t="s">
        <v>191</v>
      </c>
      <c r="U287" t="s">
        <v>175</v>
      </c>
      <c r="V287" t="s">
        <v>62</v>
      </c>
      <c r="W287" t="s">
        <v>62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5</v>
      </c>
      <c r="AM287">
        <v>2</v>
      </c>
      <c r="AN287">
        <v>4</v>
      </c>
      <c r="AO287">
        <v>1</v>
      </c>
      <c r="AP287">
        <v>2</v>
      </c>
      <c r="AQ287">
        <v>0</v>
      </c>
      <c r="AR287" t="s">
        <v>7196</v>
      </c>
      <c r="AS287" t="s">
        <v>193</v>
      </c>
      <c r="AT287">
        <v>0.52600000000000002</v>
      </c>
      <c r="AU287" t="s">
        <v>65</v>
      </c>
      <c r="AV287">
        <v>6</v>
      </c>
      <c r="AW287">
        <v>1</v>
      </c>
      <c r="AX287" t="s">
        <v>7197</v>
      </c>
      <c r="AY287">
        <v>3.1179999999999999E-2</v>
      </c>
      <c r="AZ287">
        <v>-2.8900000000000002E-3</v>
      </c>
      <c r="BA287">
        <v>1.1299999999999999E-3</v>
      </c>
      <c r="BB287">
        <v>-3.2000000000000003E-4</v>
      </c>
      <c r="BC287">
        <v>3.6089999999999997E-2</v>
      </c>
      <c r="BD287">
        <v>1</v>
      </c>
      <c r="BE287" t="s">
        <v>69</v>
      </c>
      <c r="BF287">
        <v>-0.28299999999999997</v>
      </c>
      <c r="BG287">
        <v>-0.94799999999999995</v>
      </c>
    </row>
    <row r="288" spans="1:59">
      <c r="A288">
        <v>0</v>
      </c>
      <c r="B288">
        <v>0</v>
      </c>
      <c r="C288">
        <v>0</v>
      </c>
      <c r="D288" t="s">
        <v>25022</v>
      </c>
      <c r="E288">
        <v>3309</v>
      </c>
      <c r="F288" t="s">
        <v>19309</v>
      </c>
      <c r="G288" t="s">
        <v>62</v>
      </c>
      <c r="H288">
        <v>3276144</v>
      </c>
      <c r="I288">
        <v>3276434</v>
      </c>
      <c r="J288" t="s">
        <v>19310</v>
      </c>
      <c r="K288">
        <v>97</v>
      </c>
      <c r="L288" t="s">
        <v>59</v>
      </c>
      <c r="M288">
        <v>49</v>
      </c>
      <c r="N288" t="str">
        <f>HYPERLINK("Gene3309-zp_tree_all.dnd", "Gene3309-tree")</f>
        <v>Gene3309-tree</v>
      </c>
      <c r="O288">
        <v>45</v>
      </c>
      <c r="P288">
        <v>0</v>
      </c>
      <c r="Q288">
        <v>6</v>
      </c>
      <c r="R288">
        <v>0</v>
      </c>
      <c r="S288">
        <v>0</v>
      </c>
      <c r="T288" t="s">
        <v>3220</v>
      </c>
      <c r="U288" t="s">
        <v>62</v>
      </c>
      <c r="V288" t="s">
        <v>62</v>
      </c>
      <c r="W288" t="s">
        <v>62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</v>
      </c>
      <c r="AM288">
        <v>1</v>
      </c>
      <c r="AN288">
        <v>5</v>
      </c>
      <c r="AO288">
        <v>0</v>
      </c>
      <c r="AP288">
        <v>2</v>
      </c>
      <c r="AQ288">
        <v>0</v>
      </c>
      <c r="AR288" t="s">
        <v>193</v>
      </c>
      <c r="AS288" t="s">
        <v>193</v>
      </c>
      <c r="AT288">
        <v>0</v>
      </c>
      <c r="AU288" t="s">
        <v>65</v>
      </c>
      <c r="AV288">
        <v>7</v>
      </c>
      <c r="AW288">
        <v>0</v>
      </c>
      <c r="AX288" t="s">
        <v>19311</v>
      </c>
      <c r="AY288">
        <v>5.0310000000000001E-2</v>
      </c>
      <c r="AZ288">
        <v>-6.1000000000000004E-3</v>
      </c>
      <c r="BA288">
        <v>0</v>
      </c>
      <c r="BB288">
        <v>0</v>
      </c>
      <c r="BC288">
        <v>0</v>
      </c>
      <c r="BD288">
        <v>1</v>
      </c>
      <c r="BE288" t="s">
        <v>69</v>
      </c>
      <c r="BF288">
        <v>-1.6579999999999999</v>
      </c>
      <c r="BG288">
        <v>-1.0840000000000001</v>
      </c>
    </row>
    <row r="289" spans="1:59">
      <c r="A289">
        <v>0</v>
      </c>
      <c r="B289">
        <v>2</v>
      </c>
      <c r="C289">
        <v>7</v>
      </c>
      <c r="D289" t="s">
        <v>25022</v>
      </c>
      <c r="E289">
        <v>4055</v>
      </c>
      <c r="F289" t="s">
        <v>23866</v>
      </c>
      <c r="G289" t="s">
        <v>62</v>
      </c>
      <c r="H289">
        <v>4019628</v>
      </c>
      <c r="I289">
        <v>4019921</v>
      </c>
      <c r="J289" t="s">
        <v>116</v>
      </c>
      <c r="K289">
        <v>98</v>
      </c>
      <c r="L289" t="s">
        <v>23867</v>
      </c>
      <c r="M289">
        <v>32</v>
      </c>
      <c r="N289" t="str">
        <f>HYPERLINK("Gene4055-zp_tree_all.dnd", "Gene4055-tree")</f>
        <v>Gene4055-tree</v>
      </c>
      <c r="O289">
        <v>1</v>
      </c>
      <c r="P289">
        <v>5</v>
      </c>
      <c r="Q289">
        <v>1</v>
      </c>
      <c r="R289">
        <v>5</v>
      </c>
      <c r="S289">
        <v>0.83333000000000002</v>
      </c>
      <c r="T289" t="s">
        <v>175</v>
      </c>
      <c r="U289" t="s">
        <v>199</v>
      </c>
      <c r="V289" t="s">
        <v>62</v>
      </c>
      <c r="W289" t="s">
        <v>62</v>
      </c>
      <c r="X289">
        <v>4</v>
      </c>
      <c r="Y289">
        <v>9</v>
      </c>
      <c r="Z289">
        <v>11</v>
      </c>
      <c r="AA289">
        <v>0.45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6</v>
      </c>
      <c r="AI289">
        <v>6</v>
      </c>
      <c r="AJ289">
        <v>9</v>
      </c>
      <c r="AK289">
        <v>0.4</v>
      </c>
      <c r="AL289">
        <v>5</v>
      </c>
      <c r="AM289">
        <v>3</v>
      </c>
      <c r="AN289">
        <v>6</v>
      </c>
      <c r="AO289">
        <v>11</v>
      </c>
      <c r="AP289">
        <v>6</v>
      </c>
      <c r="AQ289">
        <v>10</v>
      </c>
      <c r="AR289" t="s">
        <v>23868</v>
      </c>
      <c r="AS289" t="s">
        <v>23869</v>
      </c>
      <c r="AT289">
        <v>0.155</v>
      </c>
      <c r="AU289" t="s">
        <v>65</v>
      </c>
      <c r="AV289">
        <v>12</v>
      </c>
      <c r="AW289">
        <v>21</v>
      </c>
      <c r="AX289" t="s">
        <v>23870</v>
      </c>
      <c r="AY289">
        <v>7.4490000000000001E-2</v>
      </c>
      <c r="AZ289">
        <v>-9.5999999999999992E-3</v>
      </c>
      <c r="BA289">
        <v>4.0090000000000001E-2</v>
      </c>
      <c r="BB289">
        <v>-3.8800000000000002E-3</v>
      </c>
      <c r="BC289">
        <v>0.53822999999999999</v>
      </c>
      <c r="BD289">
        <v>0.92</v>
      </c>
      <c r="BE289" t="s">
        <v>635</v>
      </c>
      <c r="BF289">
        <v>-0.33400000000000002</v>
      </c>
      <c r="BG289">
        <v>-1.3340000000000001</v>
      </c>
    </row>
    <row r="290" spans="1:59">
      <c r="A290">
        <v>0</v>
      </c>
      <c r="B290">
        <v>0</v>
      </c>
      <c r="C290">
        <v>0</v>
      </c>
      <c r="D290" t="s">
        <v>25022</v>
      </c>
      <c r="E290">
        <v>3674</v>
      </c>
      <c r="F290" t="s">
        <v>21559</v>
      </c>
      <c r="G290" t="s">
        <v>62</v>
      </c>
      <c r="H290">
        <v>3641814</v>
      </c>
      <c r="I290">
        <v>3642107</v>
      </c>
      <c r="J290" t="s">
        <v>21560</v>
      </c>
      <c r="K290">
        <v>98</v>
      </c>
      <c r="L290" t="s">
        <v>108</v>
      </c>
      <c r="M290">
        <v>44</v>
      </c>
      <c r="N290" t="str">
        <f>HYPERLINK("Gene3674-zp_tree_all.dnd", "Gene3674-tree")</f>
        <v>Gene3674-tree</v>
      </c>
      <c r="O290">
        <v>6</v>
      </c>
      <c r="P290">
        <v>0</v>
      </c>
      <c r="Q290">
        <v>6</v>
      </c>
      <c r="R290">
        <v>0</v>
      </c>
      <c r="S290">
        <v>0</v>
      </c>
      <c r="T290" t="s">
        <v>90</v>
      </c>
      <c r="U290" t="s">
        <v>62</v>
      </c>
      <c r="V290" t="s">
        <v>62</v>
      </c>
      <c r="W290" t="s">
        <v>62</v>
      </c>
      <c r="X290">
        <v>0</v>
      </c>
      <c r="Y290">
        <v>0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2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3</v>
      </c>
      <c r="AM290">
        <v>2</v>
      </c>
      <c r="AN290">
        <v>3</v>
      </c>
      <c r="AO290">
        <v>0</v>
      </c>
      <c r="AP290">
        <v>2</v>
      </c>
      <c r="AQ290">
        <v>2</v>
      </c>
      <c r="AR290" t="s">
        <v>193</v>
      </c>
      <c r="AS290" t="s">
        <v>21561</v>
      </c>
      <c r="AT290">
        <v>0</v>
      </c>
      <c r="AU290" t="s">
        <v>65</v>
      </c>
      <c r="AV290">
        <v>5</v>
      </c>
      <c r="AW290">
        <v>2</v>
      </c>
      <c r="AX290" t="s">
        <v>21562</v>
      </c>
      <c r="AY290">
        <v>1.507E-2</v>
      </c>
      <c r="AZ290">
        <v>-2.4099999999999998E-3</v>
      </c>
      <c r="BA290">
        <v>4.6299999999999996E-3</v>
      </c>
      <c r="BB290">
        <v>-6.9999999999999999E-4</v>
      </c>
      <c r="BC290">
        <v>0.30736000000000002</v>
      </c>
      <c r="BD290">
        <v>0.75700000000000001</v>
      </c>
      <c r="BE290" t="s">
        <v>635</v>
      </c>
      <c r="BF290">
        <v>-9.6000000000000002E-2</v>
      </c>
      <c r="BG290">
        <v>-1.145</v>
      </c>
    </row>
    <row r="291" spans="1:59">
      <c r="A291">
        <v>0</v>
      </c>
      <c r="B291">
        <v>2</v>
      </c>
      <c r="C291">
        <v>2</v>
      </c>
      <c r="D291" t="s">
        <v>25022</v>
      </c>
      <c r="E291">
        <v>2880</v>
      </c>
      <c r="F291" t="s">
        <v>16567</v>
      </c>
      <c r="G291" t="s">
        <v>62</v>
      </c>
      <c r="H291">
        <v>2829155</v>
      </c>
      <c r="I291">
        <v>2829448</v>
      </c>
      <c r="J291" t="s">
        <v>16568</v>
      </c>
      <c r="K291">
        <v>98</v>
      </c>
      <c r="L291" t="s">
        <v>59</v>
      </c>
      <c r="M291">
        <v>49</v>
      </c>
      <c r="N291" t="str">
        <f>HYPERLINK("Gene2880-zp_tree_all.dnd", "Gene2880-tree")</f>
        <v>Gene2880-tree</v>
      </c>
      <c r="O291">
        <v>5</v>
      </c>
      <c r="P291">
        <v>4</v>
      </c>
      <c r="Q291">
        <v>5</v>
      </c>
      <c r="R291">
        <v>4</v>
      </c>
      <c r="S291">
        <v>0.44444</v>
      </c>
      <c r="T291" t="s">
        <v>199</v>
      </c>
      <c r="U291" t="s">
        <v>61</v>
      </c>
      <c r="V291" t="s">
        <v>62</v>
      </c>
      <c r="W291" t="s">
        <v>62</v>
      </c>
      <c r="X291">
        <v>2</v>
      </c>
      <c r="Y291">
        <v>4</v>
      </c>
      <c r="Z291">
        <v>3</v>
      </c>
      <c r="AA291">
        <v>0.57142999999999999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</v>
      </c>
      <c r="AH291">
        <v>0</v>
      </c>
      <c r="AI291">
        <v>2</v>
      </c>
      <c r="AJ291">
        <v>2</v>
      </c>
      <c r="AK291">
        <v>0.5</v>
      </c>
      <c r="AL291">
        <v>6</v>
      </c>
      <c r="AM291">
        <v>4</v>
      </c>
      <c r="AN291">
        <v>5</v>
      </c>
      <c r="AO291">
        <v>3</v>
      </c>
      <c r="AP291">
        <v>8</v>
      </c>
      <c r="AQ291">
        <v>4</v>
      </c>
      <c r="AR291" t="s">
        <v>16569</v>
      </c>
      <c r="AS291" t="s">
        <v>16570</v>
      </c>
      <c r="AT291">
        <v>0.123</v>
      </c>
      <c r="AU291" t="s">
        <v>65</v>
      </c>
      <c r="AV291">
        <v>13</v>
      </c>
      <c r="AW291">
        <v>7</v>
      </c>
      <c r="AX291" t="s">
        <v>16571</v>
      </c>
      <c r="AY291">
        <v>7.714E-2</v>
      </c>
      <c r="AZ291">
        <v>-7.5199999999999998E-3</v>
      </c>
      <c r="BA291">
        <v>1.176E-2</v>
      </c>
      <c r="BB291">
        <v>-1.2999999999999999E-3</v>
      </c>
      <c r="BC291">
        <v>0.15245</v>
      </c>
      <c r="BD291">
        <v>0.99</v>
      </c>
      <c r="BE291" t="s">
        <v>69</v>
      </c>
      <c r="BF291">
        <v>-1.19</v>
      </c>
      <c r="BG291">
        <v>-0.35099999999999998</v>
      </c>
    </row>
    <row r="292" spans="1:59">
      <c r="A292">
        <v>0</v>
      </c>
      <c r="B292">
        <v>2</v>
      </c>
      <c r="C292">
        <v>0</v>
      </c>
      <c r="D292" t="s">
        <v>25022</v>
      </c>
      <c r="E292">
        <v>2573</v>
      </c>
      <c r="F292" t="s">
        <v>15054</v>
      </c>
      <c r="G292" t="s">
        <v>62</v>
      </c>
      <c r="H292">
        <v>2557676</v>
      </c>
      <c r="I292">
        <v>2557969</v>
      </c>
      <c r="J292" t="s">
        <v>15055</v>
      </c>
      <c r="K292">
        <v>98</v>
      </c>
      <c r="L292" t="s">
        <v>108</v>
      </c>
      <c r="M292">
        <v>44</v>
      </c>
      <c r="N292" t="str">
        <f>HYPERLINK("Gene2573-zp_tree_all.dnd", "Gene2573-tree")</f>
        <v>Gene2573-tree</v>
      </c>
      <c r="O292">
        <v>35</v>
      </c>
      <c r="P292">
        <v>4</v>
      </c>
      <c r="Q292">
        <v>6</v>
      </c>
      <c r="R292">
        <v>4</v>
      </c>
      <c r="S292">
        <v>0.4</v>
      </c>
      <c r="T292" t="s">
        <v>13270</v>
      </c>
      <c r="U292" t="s">
        <v>61</v>
      </c>
      <c r="V292" t="s">
        <v>62</v>
      </c>
      <c r="W292" t="s">
        <v>62</v>
      </c>
      <c r="X292">
        <v>1</v>
      </c>
      <c r="Y292">
        <v>2</v>
      </c>
      <c r="Z292">
        <v>3</v>
      </c>
      <c r="AA292">
        <v>0.4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4</v>
      </c>
      <c r="AK292">
        <v>0</v>
      </c>
      <c r="AL292">
        <v>7</v>
      </c>
      <c r="AM292">
        <v>3</v>
      </c>
      <c r="AN292">
        <v>10</v>
      </c>
      <c r="AO292">
        <v>4</v>
      </c>
      <c r="AP292">
        <v>2</v>
      </c>
      <c r="AQ292">
        <v>1</v>
      </c>
      <c r="AR292" t="s">
        <v>15056</v>
      </c>
      <c r="AS292" t="s">
        <v>15057</v>
      </c>
      <c r="AT292">
        <v>0.14099999999999999</v>
      </c>
      <c r="AU292" t="s">
        <v>65</v>
      </c>
      <c r="AV292">
        <v>12</v>
      </c>
      <c r="AW292">
        <v>5</v>
      </c>
      <c r="AX292" t="s">
        <v>15058</v>
      </c>
      <c r="AY292">
        <v>4.7629999999999999E-2</v>
      </c>
      <c r="AZ292">
        <v>-5.4299999999999999E-3</v>
      </c>
      <c r="BA292">
        <v>4.62E-3</v>
      </c>
      <c r="BB292">
        <v>-4.0000000000000002E-4</v>
      </c>
      <c r="BC292">
        <v>9.7049999999999997E-2</v>
      </c>
      <c r="BD292">
        <v>1</v>
      </c>
      <c r="BE292" t="s">
        <v>69</v>
      </c>
      <c r="BF292">
        <v>-1.482</v>
      </c>
      <c r="BG292">
        <v>-1.79</v>
      </c>
    </row>
    <row r="293" spans="1:59">
      <c r="A293">
        <v>0</v>
      </c>
      <c r="B293">
        <v>0</v>
      </c>
      <c r="C293">
        <v>0</v>
      </c>
      <c r="D293" t="s">
        <v>25022</v>
      </c>
      <c r="E293">
        <v>2312</v>
      </c>
      <c r="F293" t="s">
        <v>13403</v>
      </c>
      <c r="G293" t="s">
        <v>62</v>
      </c>
      <c r="H293">
        <v>2331782</v>
      </c>
      <c r="I293">
        <v>2332075</v>
      </c>
      <c r="J293" t="s">
        <v>13404</v>
      </c>
      <c r="K293">
        <v>98</v>
      </c>
      <c r="L293" t="s">
        <v>59</v>
      </c>
      <c r="M293">
        <v>49</v>
      </c>
      <c r="N293" t="str">
        <f>HYPERLINK("Gene2312-zp_tree_all.dnd", "Gene2312-tree")</f>
        <v>Gene2312-tree</v>
      </c>
      <c r="O293">
        <v>42</v>
      </c>
      <c r="P293">
        <v>0</v>
      </c>
      <c r="Q293">
        <v>10</v>
      </c>
      <c r="R293">
        <v>0</v>
      </c>
      <c r="S293">
        <v>0</v>
      </c>
      <c r="T293" t="s">
        <v>13405</v>
      </c>
      <c r="U293" t="s">
        <v>62</v>
      </c>
      <c r="V293" t="s">
        <v>62</v>
      </c>
      <c r="W293" t="s">
        <v>62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</v>
      </c>
      <c r="AM293">
        <v>5</v>
      </c>
      <c r="AN293">
        <v>5</v>
      </c>
      <c r="AO293">
        <v>0</v>
      </c>
      <c r="AP293">
        <v>8</v>
      </c>
      <c r="AQ293">
        <v>0</v>
      </c>
      <c r="AR293" t="s">
        <v>193</v>
      </c>
      <c r="AS293" t="s">
        <v>193</v>
      </c>
      <c r="AT293">
        <v>0</v>
      </c>
      <c r="AU293" t="s">
        <v>65</v>
      </c>
      <c r="AV293">
        <v>13</v>
      </c>
      <c r="AW293">
        <v>0</v>
      </c>
      <c r="AX293" t="s">
        <v>13406</v>
      </c>
      <c r="AY293">
        <v>7.5480000000000005E-2</v>
      </c>
      <c r="AZ293">
        <v>-5.5399999999999998E-3</v>
      </c>
      <c r="BA293">
        <v>0</v>
      </c>
      <c r="BB293">
        <v>0</v>
      </c>
      <c r="BC293">
        <v>0</v>
      </c>
      <c r="BD293">
        <v>1</v>
      </c>
      <c r="BE293" t="s">
        <v>69</v>
      </c>
      <c r="BF293">
        <v>-1.151</v>
      </c>
      <c r="BG293">
        <v>-0.67400000000000004</v>
      </c>
    </row>
    <row r="294" spans="1:59">
      <c r="A294">
        <v>0</v>
      </c>
      <c r="B294">
        <v>0</v>
      </c>
      <c r="C294">
        <v>2</v>
      </c>
      <c r="D294" t="s">
        <v>25022</v>
      </c>
      <c r="E294">
        <v>35</v>
      </c>
      <c r="F294" t="s">
        <v>322</v>
      </c>
      <c r="G294" t="s">
        <v>57</v>
      </c>
      <c r="H294">
        <v>43647</v>
      </c>
      <c r="I294">
        <v>43943</v>
      </c>
      <c r="J294" t="s">
        <v>323</v>
      </c>
      <c r="K294">
        <v>99</v>
      </c>
      <c r="L294" t="s">
        <v>108</v>
      </c>
      <c r="M294">
        <v>44</v>
      </c>
      <c r="N294" t="str">
        <f>HYPERLINK("Gene35-zp_tree_all.dnd", "Gene35-tree")</f>
        <v>Gene35-tree</v>
      </c>
      <c r="O294">
        <v>9</v>
      </c>
      <c r="P294">
        <v>3</v>
      </c>
      <c r="Q294">
        <v>9</v>
      </c>
      <c r="R294">
        <v>3</v>
      </c>
      <c r="S294">
        <v>0.25</v>
      </c>
      <c r="T294" t="s">
        <v>135</v>
      </c>
      <c r="U294" t="s">
        <v>324</v>
      </c>
      <c r="V294" t="s">
        <v>62</v>
      </c>
      <c r="W294" t="s">
        <v>62</v>
      </c>
      <c r="X294">
        <v>1</v>
      </c>
      <c r="Y294">
        <v>2</v>
      </c>
      <c r="Z294">
        <v>3</v>
      </c>
      <c r="AA294">
        <v>0.4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4</v>
      </c>
      <c r="AK294">
        <v>0</v>
      </c>
      <c r="AL294">
        <v>9</v>
      </c>
      <c r="AM294">
        <v>5</v>
      </c>
      <c r="AN294">
        <v>9</v>
      </c>
      <c r="AO294">
        <v>4</v>
      </c>
      <c r="AP294">
        <v>5</v>
      </c>
      <c r="AQ294">
        <v>1</v>
      </c>
      <c r="AR294" t="s">
        <v>325</v>
      </c>
      <c r="AS294" t="s">
        <v>326</v>
      </c>
      <c r="AT294">
        <v>0.42599999999999999</v>
      </c>
      <c r="AU294" t="s">
        <v>65</v>
      </c>
      <c r="AV294">
        <v>14</v>
      </c>
      <c r="AW294">
        <v>5</v>
      </c>
      <c r="AX294" t="s">
        <v>327</v>
      </c>
      <c r="AY294">
        <v>5.0290000000000001E-2</v>
      </c>
      <c r="AZ294">
        <v>-2.3800000000000002E-3</v>
      </c>
      <c r="BA294">
        <v>4.62E-3</v>
      </c>
      <c r="BB294">
        <v>-5.1999999999999995E-4</v>
      </c>
      <c r="BC294">
        <v>9.1899999999999996E-2</v>
      </c>
      <c r="BD294">
        <v>1</v>
      </c>
      <c r="BE294" t="s">
        <v>69</v>
      </c>
      <c r="BF294">
        <v>-1.04</v>
      </c>
      <c r="BG294">
        <v>-0.94499999999999995</v>
      </c>
    </row>
    <row r="295" spans="1:59">
      <c r="A295">
        <v>0</v>
      </c>
      <c r="B295">
        <v>4</v>
      </c>
      <c r="C295">
        <v>0</v>
      </c>
      <c r="D295" t="s">
        <v>25022</v>
      </c>
      <c r="E295">
        <v>1872</v>
      </c>
      <c r="F295" t="s">
        <v>11719</v>
      </c>
      <c r="G295" t="s">
        <v>57</v>
      </c>
      <c r="H295">
        <v>1931215</v>
      </c>
      <c r="I295">
        <v>1931511</v>
      </c>
      <c r="J295" t="s">
        <v>288</v>
      </c>
      <c r="K295">
        <v>99</v>
      </c>
      <c r="L295" t="s">
        <v>108</v>
      </c>
      <c r="M295">
        <v>44</v>
      </c>
      <c r="N295" t="str">
        <f>HYPERLINK("Gene1872-zp_tree_all.dnd", "Gene1872-tree")</f>
        <v>Gene1872-tree</v>
      </c>
      <c r="O295">
        <v>26</v>
      </c>
      <c r="P295">
        <v>5</v>
      </c>
      <c r="Q295">
        <v>4</v>
      </c>
      <c r="R295">
        <v>5</v>
      </c>
      <c r="S295">
        <v>0.55556000000000005</v>
      </c>
      <c r="T295" t="s">
        <v>2333</v>
      </c>
      <c r="U295" t="s">
        <v>199</v>
      </c>
      <c r="V295" t="s">
        <v>62</v>
      </c>
      <c r="W295" t="s">
        <v>62</v>
      </c>
      <c r="X295">
        <v>2</v>
      </c>
      <c r="Y295">
        <v>4</v>
      </c>
      <c r="Z295">
        <v>3</v>
      </c>
      <c r="AA295">
        <v>0.57142999999999999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2</v>
      </c>
      <c r="AH295">
        <v>0</v>
      </c>
      <c r="AI295">
        <v>2</v>
      </c>
      <c r="AJ295">
        <v>3</v>
      </c>
      <c r="AK295">
        <v>0.4</v>
      </c>
      <c r="AL295">
        <v>8</v>
      </c>
      <c r="AM295">
        <v>4</v>
      </c>
      <c r="AN295">
        <v>14</v>
      </c>
      <c r="AO295">
        <v>5</v>
      </c>
      <c r="AP295">
        <v>6</v>
      </c>
      <c r="AQ295">
        <v>2</v>
      </c>
      <c r="AR295" t="s">
        <v>11720</v>
      </c>
      <c r="AS295" t="s">
        <v>11721</v>
      </c>
      <c r="AT295">
        <v>7.1999999999999995E-2</v>
      </c>
      <c r="AU295" t="s">
        <v>65</v>
      </c>
      <c r="AV295">
        <v>20</v>
      </c>
      <c r="AW295">
        <v>7</v>
      </c>
      <c r="AX295" t="s">
        <v>11722</v>
      </c>
      <c r="AY295">
        <v>9.0209999999999999E-2</v>
      </c>
      <c r="AZ295">
        <v>-6.2199999999999998E-3</v>
      </c>
      <c r="BA295">
        <v>8.1200000000000005E-3</v>
      </c>
      <c r="BB295">
        <v>-6.3000000000000003E-4</v>
      </c>
      <c r="BC295">
        <v>8.9959999999999998E-2</v>
      </c>
      <c r="BD295">
        <v>1</v>
      </c>
      <c r="BE295" t="s">
        <v>69</v>
      </c>
      <c r="BF295">
        <v>-0.06</v>
      </c>
      <c r="BG295">
        <v>-0.36299999999999999</v>
      </c>
    </row>
    <row r="296" spans="1:59">
      <c r="A296">
        <v>0</v>
      </c>
      <c r="B296">
        <v>4</v>
      </c>
      <c r="C296">
        <v>3</v>
      </c>
      <c r="D296" t="s">
        <v>25022</v>
      </c>
      <c r="E296">
        <v>730</v>
      </c>
      <c r="F296" t="s">
        <v>4520</v>
      </c>
      <c r="G296" t="s">
        <v>57</v>
      </c>
      <c r="H296">
        <v>757676</v>
      </c>
      <c r="I296">
        <v>757975</v>
      </c>
      <c r="J296" t="s">
        <v>3752</v>
      </c>
      <c r="K296">
        <v>100</v>
      </c>
      <c r="L296" t="s">
        <v>4521</v>
      </c>
      <c r="M296">
        <v>32</v>
      </c>
      <c r="N296" t="str">
        <f>HYPERLINK("Gene730-zp_tree_all.dnd", "Gene730-tree")</f>
        <v>Gene730-tree</v>
      </c>
      <c r="O296">
        <v>1</v>
      </c>
      <c r="P296">
        <v>8</v>
      </c>
      <c r="Q296">
        <v>1</v>
      </c>
      <c r="R296">
        <v>8</v>
      </c>
      <c r="S296">
        <v>0.88888999999999996</v>
      </c>
      <c r="T296" t="s">
        <v>175</v>
      </c>
      <c r="U296" t="s">
        <v>136</v>
      </c>
      <c r="V296" t="s">
        <v>62</v>
      </c>
      <c r="W296" t="s">
        <v>62</v>
      </c>
      <c r="X296">
        <v>3</v>
      </c>
      <c r="Y296">
        <v>7</v>
      </c>
      <c r="Z296">
        <v>8</v>
      </c>
      <c r="AA296">
        <v>0.46666999999999997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</v>
      </c>
      <c r="AH296">
        <v>1</v>
      </c>
      <c r="AI296">
        <v>3</v>
      </c>
      <c r="AJ296">
        <v>10</v>
      </c>
      <c r="AK296">
        <v>0.23077</v>
      </c>
      <c r="AL296">
        <v>7</v>
      </c>
      <c r="AM296">
        <v>4</v>
      </c>
      <c r="AN296">
        <v>3</v>
      </c>
      <c r="AO296">
        <v>12</v>
      </c>
      <c r="AP296">
        <v>2</v>
      </c>
      <c r="AQ296">
        <v>8</v>
      </c>
      <c r="AR296" t="s">
        <v>4522</v>
      </c>
      <c r="AS296" t="s">
        <v>4523</v>
      </c>
      <c r="AT296">
        <v>2E-3</v>
      </c>
      <c r="AU296" t="s">
        <v>65</v>
      </c>
      <c r="AV296">
        <v>5</v>
      </c>
      <c r="AW296">
        <v>20</v>
      </c>
      <c r="AX296" t="s">
        <v>4524</v>
      </c>
      <c r="AY296">
        <v>2.188E-2</v>
      </c>
      <c r="AZ296">
        <v>-1.97E-3</v>
      </c>
      <c r="BA296">
        <v>2.8719999999999999E-2</v>
      </c>
      <c r="BB296">
        <v>-2.4599999999999999E-3</v>
      </c>
      <c r="BC296">
        <v>1.3128</v>
      </c>
      <c r="BD296">
        <v>0.22</v>
      </c>
      <c r="BE296" t="s">
        <v>635</v>
      </c>
      <c r="BF296">
        <v>1.226</v>
      </c>
      <c r="BG296">
        <v>0.28999999999999998</v>
      </c>
    </row>
    <row r="297" spans="1:59">
      <c r="A297">
        <v>0</v>
      </c>
      <c r="B297">
        <v>3</v>
      </c>
      <c r="C297">
        <v>0</v>
      </c>
      <c r="D297" t="s">
        <v>25022</v>
      </c>
      <c r="E297">
        <v>1101</v>
      </c>
      <c r="F297" t="s">
        <v>6929</v>
      </c>
      <c r="G297" t="s">
        <v>57</v>
      </c>
      <c r="H297">
        <v>1148155</v>
      </c>
      <c r="I297">
        <v>1148454</v>
      </c>
      <c r="J297" t="s">
        <v>6930</v>
      </c>
      <c r="K297">
        <v>100</v>
      </c>
      <c r="L297" t="s">
        <v>108</v>
      </c>
      <c r="M297">
        <v>44</v>
      </c>
      <c r="N297" t="str">
        <f>HYPERLINK("Gene1101-zp_tree_all.dnd", "Gene1101-tree")</f>
        <v>Gene1101-tree</v>
      </c>
      <c r="O297">
        <v>4</v>
      </c>
      <c r="P297">
        <v>8</v>
      </c>
      <c r="Q297">
        <v>4</v>
      </c>
      <c r="R297">
        <v>8</v>
      </c>
      <c r="S297">
        <v>0.66666999999999998</v>
      </c>
      <c r="T297" t="s">
        <v>61</v>
      </c>
      <c r="U297" t="s">
        <v>136</v>
      </c>
      <c r="V297" t="s">
        <v>62</v>
      </c>
      <c r="W297" t="s">
        <v>62</v>
      </c>
      <c r="X297">
        <v>1</v>
      </c>
      <c r="Y297">
        <v>3</v>
      </c>
      <c r="Z297">
        <v>8</v>
      </c>
      <c r="AA297">
        <v>0.27272999999999997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</v>
      </c>
      <c r="AH297">
        <v>0</v>
      </c>
      <c r="AI297">
        <v>2</v>
      </c>
      <c r="AJ297">
        <v>7</v>
      </c>
      <c r="AK297">
        <v>0.22222</v>
      </c>
      <c r="AL297">
        <v>9</v>
      </c>
      <c r="AM297">
        <v>6</v>
      </c>
      <c r="AN297">
        <v>9</v>
      </c>
      <c r="AO297">
        <v>9</v>
      </c>
      <c r="AP297">
        <v>5</v>
      </c>
      <c r="AQ297">
        <v>3</v>
      </c>
      <c r="AR297" t="s">
        <v>6931</v>
      </c>
      <c r="AS297" t="s">
        <v>6932</v>
      </c>
      <c r="AT297">
        <v>0.54100000000000004</v>
      </c>
      <c r="AU297" t="s">
        <v>65</v>
      </c>
      <c r="AV297">
        <v>14</v>
      </c>
      <c r="AW297">
        <v>12</v>
      </c>
      <c r="AX297" t="s">
        <v>6933</v>
      </c>
      <c r="AY297">
        <v>4.3619999999999999E-2</v>
      </c>
      <c r="AZ297">
        <v>-2.8700000000000002E-3</v>
      </c>
      <c r="BA297">
        <v>9.2599999999999991E-3</v>
      </c>
      <c r="BB297">
        <v>-6.0999999999999997E-4</v>
      </c>
      <c r="BC297">
        <v>0.21232000000000001</v>
      </c>
      <c r="BD297">
        <v>1</v>
      </c>
      <c r="BE297" t="s">
        <v>69</v>
      </c>
      <c r="BF297">
        <v>-0.33300000000000002</v>
      </c>
      <c r="BG297">
        <v>-2.0470000000000002</v>
      </c>
    </row>
    <row r="298" spans="1:59">
      <c r="A298">
        <v>0</v>
      </c>
      <c r="B298">
        <v>0</v>
      </c>
      <c r="C298">
        <v>0</v>
      </c>
      <c r="D298" t="s">
        <v>25022</v>
      </c>
      <c r="E298">
        <v>60</v>
      </c>
      <c r="F298" t="s">
        <v>490</v>
      </c>
      <c r="G298" t="s">
        <v>57</v>
      </c>
      <c r="H298">
        <v>68216</v>
      </c>
      <c r="I298">
        <v>68515</v>
      </c>
      <c r="J298" t="s">
        <v>491</v>
      </c>
      <c r="K298">
        <v>100</v>
      </c>
      <c r="L298" t="s">
        <v>59</v>
      </c>
      <c r="M298">
        <v>49</v>
      </c>
      <c r="N298" t="str">
        <f>HYPERLINK("Gene60-zp_tree_all.dnd", "Gene60-tree")</f>
        <v>Gene60-tree</v>
      </c>
      <c r="O298">
        <v>48</v>
      </c>
      <c r="P298">
        <v>1</v>
      </c>
      <c r="Q298">
        <v>9</v>
      </c>
      <c r="R298">
        <v>1</v>
      </c>
      <c r="S298">
        <v>0.1</v>
      </c>
      <c r="T298" t="s">
        <v>492</v>
      </c>
      <c r="U298" t="s">
        <v>175</v>
      </c>
      <c r="V298" t="s">
        <v>62</v>
      </c>
      <c r="W298" t="s">
        <v>62</v>
      </c>
      <c r="X298">
        <v>0</v>
      </c>
      <c r="Y298">
        <v>0</v>
      </c>
      <c r="Z298">
        <v>4</v>
      </c>
      <c r="AA298">
        <v>0</v>
      </c>
      <c r="AB298">
        <v>0</v>
      </c>
      <c r="AC298">
        <v>0</v>
      </c>
      <c r="AD298">
        <v>0</v>
      </c>
      <c r="AE298">
        <v>2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7</v>
      </c>
      <c r="AM298">
        <v>4</v>
      </c>
      <c r="AN298">
        <v>11</v>
      </c>
      <c r="AO298">
        <v>1</v>
      </c>
      <c r="AP298">
        <v>12</v>
      </c>
      <c r="AQ298">
        <v>3</v>
      </c>
      <c r="AR298" t="s">
        <v>493</v>
      </c>
      <c r="AS298" t="s">
        <v>494</v>
      </c>
      <c r="AT298">
        <v>0.61699999999999999</v>
      </c>
      <c r="AU298" t="s">
        <v>65</v>
      </c>
      <c r="AV298">
        <v>23</v>
      </c>
      <c r="AW298">
        <v>4</v>
      </c>
      <c r="AX298" t="s">
        <v>495</v>
      </c>
      <c r="AY298">
        <v>0.12903999999999999</v>
      </c>
      <c r="AZ298">
        <v>-1.077E-2</v>
      </c>
      <c r="BA298">
        <v>7.2100000000000003E-3</v>
      </c>
      <c r="BB298">
        <v>-6.9999999999999999E-4</v>
      </c>
      <c r="BC298">
        <v>5.5870000000000003E-2</v>
      </c>
      <c r="BD298">
        <v>1</v>
      </c>
      <c r="BE298" t="s">
        <v>69</v>
      </c>
      <c r="BF298">
        <v>-1.9590000000000001</v>
      </c>
      <c r="BG298">
        <v>-1.6279999999999999</v>
      </c>
    </row>
    <row r="299" spans="1:59">
      <c r="A299">
        <v>0</v>
      </c>
      <c r="B299">
        <v>0</v>
      </c>
      <c r="C299">
        <v>0</v>
      </c>
      <c r="D299" t="s">
        <v>25022</v>
      </c>
      <c r="E299">
        <v>3944</v>
      </c>
      <c r="F299" t="s">
        <v>23158</v>
      </c>
      <c r="G299" t="s">
        <v>62</v>
      </c>
      <c r="H299">
        <v>3907015</v>
      </c>
      <c r="I299">
        <v>3907314</v>
      </c>
      <c r="J299" t="s">
        <v>116</v>
      </c>
      <c r="K299">
        <v>100</v>
      </c>
      <c r="L299" t="s">
        <v>59</v>
      </c>
      <c r="M299">
        <v>49</v>
      </c>
      <c r="N299" t="str">
        <f>HYPERLINK("Gene3944-zp_tree_all.dnd", "Gene3944-tree")</f>
        <v>Gene3944-tree</v>
      </c>
      <c r="O299">
        <v>10</v>
      </c>
      <c r="P299">
        <v>3</v>
      </c>
      <c r="Q299">
        <v>10</v>
      </c>
      <c r="R299">
        <v>3</v>
      </c>
      <c r="S299">
        <v>0.23077</v>
      </c>
      <c r="T299" t="s">
        <v>117</v>
      </c>
      <c r="U299" t="s">
        <v>324</v>
      </c>
      <c r="V299" t="s">
        <v>62</v>
      </c>
      <c r="W299" t="s">
        <v>62</v>
      </c>
      <c r="X299">
        <v>0</v>
      </c>
      <c r="Y299">
        <v>0</v>
      </c>
      <c r="Z299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4</v>
      </c>
      <c r="AK299">
        <v>0</v>
      </c>
      <c r="AL299">
        <v>8</v>
      </c>
      <c r="AM299">
        <v>7</v>
      </c>
      <c r="AN299">
        <v>9</v>
      </c>
      <c r="AO299">
        <v>3</v>
      </c>
      <c r="AP299">
        <v>11</v>
      </c>
      <c r="AQ299">
        <v>1</v>
      </c>
      <c r="AR299" t="s">
        <v>23159</v>
      </c>
      <c r="AS299" t="s">
        <v>23160</v>
      </c>
      <c r="AT299">
        <v>0.45400000000000001</v>
      </c>
      <c r="AU299" t="s">
        <v>65</v>
      </c>
      <c r="AV299">
        <v>20</v>
      </c>
      <c r="AW299">
        <v>4</v>
      </c>
      <c r="AX299" t="s">
        <v>23161</v>
      </c>
      <c r="AY299">
        <v>8.6249999999999993E-2</v>
      </c>
      <c r="AZ299">
        <v>-6.0899999999999999E-3</v>
      </c>
      <c r="BA299">
        <v>3.2299999999999998E-3</v>
      </c>
      <c r="BB299">
        <v>-5.0000000000000001E-4</v>
      </c>
      <c r="BC299">
        <v>3.7490000000000002E-2</v>
      </c>
      <c r="BD299">
        <v>1</v>
      </c>
      <c r="BE299" t="s">
        <v>69</v>
      </c>
      <c r="BF299">
        <v>-0.751</v>
      </c>
      <c r="BG299">
        <v>-1.012</v>
      </c>
    </row>
    <row r="300" spans="1:59">
      <c r="A300">
        <v>0</v>
      </c>
      <c r="B300">
        <v>0</v>
      </c>
      <c r="C300">
        <v>0</v>
      </c>
      <c r="D300" t="s">
        <v>25022</v>
      </c>
      <c r="E300">
        <v>1724</v>
      </c>
      <c r="F300" t="s">
        <v>10815</v>
      </c>
      <c r="G300" t="s">
        <v>57</v>
      </c>
      <c r="H300">
        <v>1733687</v>
      </c>
      <c r="I300">
        <v>1733986</v>
      </c>
      <c r="J300" t="s">
        <v>10816</v>
      </c>
      <c r="K300">
        <v>100</v>
      </c>
      <c r="L300" t="s">
        <v>59</v>
      </c>
      <c r="M300">
        <v>49</v>
      </c>
      <c r="N300" t="str">
        <f>HYPERLINK("Gene1724-zp_tree_all.dnd", "Gene1724-tree")</f>
        <v>Gene1724-tree</v>
      </c>
      <c r="O300">
        <v>6</v>
      </c>
      <c r="P300">
        <v>1</v>
      </c>
      <c r="Q300">
        <v>6</v>
      </c>
      <c r="R300">
        <v>1</v>
      </c>
      <c r="S300">
        <v>0.14285999999999999</v>
      </c>
      <c r="T300" t="s">
        <v>90</v>
      </c>
      <c r="U300" t="s">
        <v>175</v>
      </c>
      <c r="V300" t="s">
        <v>62</v>
      </c>
      <c r="W300" t="s">
        <v>62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4</v>
      </c>
      <c r="AM300">
        <v>3</v>
      </c>
      <c r="AN300">
        <v>6</v>
      </c>
      <c r="AO300">
        <v>1</v>
      </c>
      <c r="AP300">
        <v>3</v>
      </c>
      <c r="AQ300">
        <v>0</v>
      </c>
      <c r="AR300" t="s">
        <v>10817</v>
      </c>
      <c r="AS300" t="s">
        <v>193</v>
      </c>
      <c r="AT300">
        <v>0.59799999999999998</v>
      </c>
      <c r="AU300" t="s">
        <v>65</v>
      </c>
      <c r="AV300">
        <v>9</v>
      </c>
      <c r="AW300">
        <v>1</v>
      </c>
      <c r="AX300" t="s">
        <v>10818</v>
      </c>
      <c r="AY300">
        <v>4.419E-2</v>
      </c>
      <c r="AZ300">
        <v>-4.7800000000000004E-3</v>
      </c>
      <c r="BA300">
        <v>1.2700000000000001E-3</v>
      </c>
      <c r="BB300">
        <v>-4.2999999999999999E-4</v>
      </c>
      <c r="BC300">
        <v>2.8670000000000001E-2</v>
      </c>
      <c r="BD300">
        <v>1</v>
      </c>
      <c r="BE300" t="s">
        <v>69</v>
      </c>
      <c r="BF300">
        <v>-1.621</v>
      </c>
      <c r="BG300">
        <v>-0.61699999999999999</v>
      </c>
    </row>
    <row r="301" spans="1:59">
      <c r="A301">
        <v>0</v>
      </c>
      <c r="B301">
        <v>2</v>
      </c>
      <c r="C301">
        <v>0</v>
      </c>
      <c r="D301" t="s">
        <v>25022</v>
      </c>
      <c r="E301">
        <v>188</v>
      </c>
      <c r="F301" t="s">
        <v>1325</v>
      </c>
      <c r="G301" t="s">
        <v>57</v>
      </c>
      <c r="H301">
        <v>211429</v>
      </c>
      <c r="I301">
        <v>211728</v>
      </c>
      <c r="J301" t="s">
        <v>1326</v>
      </c>
      <c r="K301">
        <v>100</v>
      </c>
      <c r="L301" t="s">
        <v>1327</v>
      </c>
      <c r="M301">
        <v>39</v>
      </c>
      <c r="N301" t="str">
        <f>HYPERLINK("Gene188-zp_tree_all.dnd", "Gene188-tree")</f>
        <v>Gene188-tree</v>
      </c>
      <c r="O301">
        <v>9</v>
      </c>
      <c r="P301">
        <v>3</v>
      </c>
      <c r="Q301">
        <v>9</v>
      </c>
      <c r="R301">
        <v>3</v>
      </c>
      <c r="S301">
        <v>0.25</v>
      </c>
      <c r="T301" t="s">
        <v>135</v>
      </c>
      <c r="U301" t="s">
        <v>324</v>
      </c>
      <c r="V301" t="s">
        <v>62</v>
      </c>
      <c r="W301" t="s">
        <v>62</v>
      </c>
      <c r="X301">
        <v>1</v>
      </c>
      <c r="Y301">
        <v>2</v>
      </c>
      <c r="Z301">
        <v>1</v>
      </c>
      <c r="AA301">
        <v>0.66666999999999998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</v>
      </c>
      <c r="AH301">
        <v>0</v>
      </c>
      <c r="AI301">
        <v>2</v>
      </c>
      <c r="AJ301">
        <v>1</v>
      </c>
      <c r="AK301">
        <v>0.66666999999999998</v>
      </c>
      <c r="AL301">
        <v>7</v>
      </c>
      <c r="AM301">
        <v>7</v>
      </c>
      <c r="AN301">
        <v>9</v>
      </c>
      <c r="AO301">
        <v>3</v>
      </c>
      <c r="AP301">
        <v>17</v>
      </c>
      <c r="AQ301">
        <v>0</v>
      </c>
      <c r="AR301" t="s">
        <v>1328</v>
      </c>
      <c r="AS301" t="s">
        <v>193</v>
      </c>
      <c r="AT301">
        <v>1.2110000000000001</v>
      </c>
      <c r="AU301" t="s">
        <v>65</v>
      </c>
      <c r="AV301">
        <v>26</v>
      </c>
      <c r="AW301">
        <v>3</v>
      </c>
      <c r="AX301" t="s">
        <v>1329</v>
      </c>
      <c r="AY301">
        <v>0.11194999999999999</v>
      </c>
      <c r="AZ301">
        <v>-6.3099999999999996E-3</v>
      </c>
      <c r="BA301">
        <v>2.2100000000000002E-3</v>
      </c>
      <c r="BB301">
        <v>-3.4000000000000002E-4</v>
      </c>
      <c r="BC301">
        <v>1.9779999999999999E-2</v>
      </c>
      <c r="BD301">
        <v>1</v>
      </c>
      <c r="BE301" t="s">
        <v>69</v>
      </c>
      <c r="BF301">
        <v>-0.10100000000000001</v>
      </c>
      <c r="BG301">
        <v>-0.49399999999999999</v>
      </c>
    </row>
    <row r="302" spans="1:59">
      <c r="A302">
        <v>0</v>
      </c>
      <c r="B302">
        <v>3</v>
      </c>
      <c r="C302">
        <v>0</v>
      </c>
      <c r="D302" t="s">
        <v>25022</v>
      </c>
      <c r="E302">
        <v>2062</v>
      </c>
      <c r="F302" t="s">
        <v>12843</v>
      </c>
      <c r="G302" t="s">
        <v>62</v>
      </c>
      <c r="H302">
        <v>2148169</v>
      </c>
      <c r="I302">
        <v>2148471</v>
      </c>
      <c r="J302" t="s">
        <v>12830</v>
      </c>
      <c r="K302">
        <v>101</v>
      </c>
      <c r="L302" t="s">
        <v>7422</v>
      </c>
      <c r="M302">
        <v>42</v>
      </c>
      <c r="N302" t="str">
        <f>HYPERLINK("Gene2062-zp_tree_all.dnd", "Gene2062-tree")</f>
        <v>Gene2062-tree</v>
      </c>
      <c r="O302">
        <v>6</v>
      </c>
      <c r="P302">
        <v>4</v>
      </c>
      <c r="Q302">
        <v>6</v>
      </c>
      <c r="R302">
        <v>4</v>
      </c>
      <c r="S302">
        <v>0.4</v>
      </c>
      <c r="T302" t="s">
        <v>90</v>
      </c>
      <c r="U302" t="s">
        <v>61</v>
      </c>
      <c r="V302" t="s">
        <v>62</v>
      </c>
      <c r="W302" t="s">
        <v>62</v>
      </c>
      <c r="X302">
        <v>1</v>
      </c>
      <c r="Y302">
        <v>3</v>
      </c>
      <c r="Z302">
        <v>2</v>
      </c>
      <c r="AA302">
        <v>0.6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3</v>
      </c>
      <c r="AH302">
        <v>0</v>
      </c>
      <c r="AI302">
        <v>3</v>
      </c>
      <c r="AJ302">
        <v>1</v>
      </c>
      <c r="AK302">
        <v>0.75</v>
      </c>
      <c r="AL302">
        <v>6</v>
      </c>
      <c r="AM302">
        <v>3</v>
      </c>
      <c r="AN302">
        <v>4</v>
      </c>
      <c r="AO302">
        <v>3</v>
      </c>
      <c r="AP302">
        <v>1</v>
      </c>
      <c r="AQ302">
        <v>2</v>
      </c>
      <c r="AR302" t="s">
        <v>12844</v>
      </c>
      <c r="AS302" t="s">
        <v>12845</v>
      </c>
      <c r="AT302">
        <v>0.42199999999999999</v>
      </c>
      <c r="AU302" t="s">
        <v>65</v>
      </c>
      <c r="AV302">
        <v>5</v>
      </c>
      <c r="AW302">
        <v>5</v>
      </c>
      <c r="AX302" t="s">
        <v>5300</v>
      </c>
      <c r="AY302">
        <v>1.538E-2</v>
      </c>
      <c r="AZ302">
        <v>-1.9599999999999999E-3</v>
      </c>
      <c r="BA302">
        <v>5.6499999999999996E-3</v>
      </c>
      <c r="BB302">
        <v>-5.5000000000000003E-4</v>
      </c>
      <c r="BC302">
        <v>0.36713000000000001</v>
      </c>
      <c r="BD302">
        <v>0.91900000000000004</v>
      </c>
      <c r="BE302" t="s">
        <v>635</v>
      </c>
      <c r="BF302">
        <v>-4.2000000000000003E-2</v>
      </c>
      <c r="BG302">
        <v>-0.251</v>
      </c>
    </row>
    <row r="303" spans="1:59">
      <c r="A303">
        <v>0</v>
      </c>
      <c r="B303">
        <v>0</v>
      </c>
      <c r="C303">
        <v>0</v>
      </c>
      <c r="D303" t="s">
        <v>25022</v>
      </c>
      <c r="E303">
        <v>1937</v>
      </c>
      <c r="F303" t="s">
        <v>12141</v>
      </c>
      <c r="G303" t="s">
        <v>62</v>
      </c>
      <c r="H303">
        <v>2037066</v>
      </c>
      <c r="I303">
        <v>2037368</v>
      </c>
      <c r="J303" t="s">
        <v>12142</v>
      </c>
      <c r="K303">
        <v>101</v>
      </c>
      <c r="L303" t="s">
        <v>12143</v>
      </c>
      <c r="M303">
        <v>32</v>
      </c>
      <c r="N303" t="str">
        <f>HYPERLINK("Gene1937-zp_tree_all.dnd", "Gene1937-tree")</f>
        <v>Gene1937-tree</v>
      </c>
      <c r="O303">
        <v>3</v>
      </c>
      <c r="P303">
        <v>5</v>
      </c>
      <c r="Q303">
        <v>3</v>
      </c>
      <c r="R303">
        <v>5</v>
      </c>
      <c r="S303">
        <v>0.625</v>
      </c>
      <c r="T303" t="s">
        <v>324</v>
      </c>
      <c r="U303" t="s">
        <v>199</v>
      </c>
      <c r="V303" t="s">
        <v>62</v>
      </c>
      <c r="W303" t="s">
        <v>62</v>
      </c>
      <c r="X303">
        <v>0</v>
      </c>
      <c r="Y303">
        <v>0</v>
      </c>
      <c r="Z303">
        <v>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6</v>
      </c>
      <c r="AK303">
        <v>0</v>
      </c>
      <c r="AL303">
        <v>6</v>
      </c>
      <c r="AM303">
        <v>3</v>
      </c>
      <c r="AN303">
        <v>5</v>
      </c>
      <c r="AO303">
        <v>6</v>
      </c>
      <c r="AP303">
        <v>4</v>
      </c>
      <c r="AQ303">
        <v>0</v>
      </c>
      <c r="AR303" t="s">
        <v>12144</v>
      </c>
      <c r="AS303" t="s">
        <v>193</v>
      </c>
      <c r="AT303">
        <v>1.226</v>
      </c>
      <c r="AU303" t="s">
        <v>65</v>
      </c>
      <c r="AV303">
        <v>9</v>
      </c>
      <c r="AW303">
        <v>6</v>
      </c>
      <c r="AX303" t="s">
        <v>12145</v>
      </c>
      <c r="AY303">
        <v>4.3150000000000001E-2</v>
      </c>
      <c r="AZ303">
        <v>-3.8899999999999998E-3</v>
      </c>
      <c r="BA303">
        <v>6.5700000000000003E-3</v>
      </c>
      <c r="BB303">
        <v>-7.2000000000000005E-4</v>
      </c>
      <c r="BC303">
        <v>0.15223</v>
      </c>
      <c r="BD303">
        <v>1</v>
      </c>
      <c r="BE303" t="s">
        <v>69</v>
      </c>
      <c r="BF303">
        <v>-1.85</v>
      </c>
      <c r="BG303">
        <v>-2.298</v>
      </c>
    </row>
    <row r="304" spans="1:59">
      <c r="A304">
        <v>0</v>
      </c>
      <c r="B304">
        <v>6</v>
      </c>
      <c r="C304">
        <v>0</v>
      </c>
      <c r="D304" t="s">
        <v>25022</v>
      </c>
      <c r="E304">
        <v>3354</v>
      </c>
      <c r="F304" t="s">
        <v>19596</v>
      </c>
      <c r="G304" t="s">
        <v>62</v>
      </c>
      <c r="H304">
        <v>3323303</v>
      </c>
      <c r="I304">
        <v>3323605</v>
      </c>
      <c r="J304" t="s">
        <v>116</v>
      </c>
      <c r="K304">
        <v>101</v>
      </c>
      <c r="L304" t="s">
        <v>108</v>
      </c>
      <c r="M304">
        <v>44</v>
      </c>
      <c r="N304" t="str">
        <f>HYPERLINK("Gene3354-zp_tree_all.dnd", "Gene3354-tree")</f>
        <v>Gene3354-tree</v>
      </c>
      <c r="O304">
        <v>9</v>
      </c>
      <c r="P304">
        <v>4</v>
      </c>
      <c r="Q304">
        <v>9</v>
      </c>
      <c r="R304">
        <v>4</v>
      </c>
      <c r="S304">
        <v>0.30769000000000002</v>
      </c>
      <c r="T304" t="s">
        <v>135</v>
      </c>
      <c r="U304" t="s">
        <v>61</v>
      </c>
      <c r="V304" t="s">
        <v>62</v>
      </c>
      <c r="W304" t="s">
        <v>62</v>
      </c>
      <c r="X304">
        <v>2</v>
      </c>
      <c r="Y304">
        <v>6</v>
      </c>
      <c r="Z304">
        <v>3</v>
      </c>
      <c r="AA304">
        <v>0.66666999999999998</v>
      </c>
      <c r="AB304">
        <v>0</v>
      </c>
      <c r="AC304">
        <v>0</v>
      </c>
      <c r="AD304">
        <v>0</v>
      </c>
      <c r="AE304">
        <v>2</v>
      </c>
      <c r="AF304">
        <v>0</v>
      </c>
      <c r="AG304">
        <v>0</v>
      </c>
      <c r="AH304">
        <v>0</v>
      </c>
      <c r="AI304">
        <v>0</v>
      </c>
      <c r="AJ304">
        <v>4</v>
      </c>
      <c r="AK304">
        <v>0</v>
      </c>
      <c r="AL304">
        <v>8</v>
      </c>
      <c r="AM304">
        <v>10</v>
      </c>
      <c r="AN304">
        <v>10</v>
      </c>
      <c r="AO304">
        <v>3</v>
      </c>
      <c r="AP304">
        <v>19</v>
      </c>
      <c r="AQ304">
        <v>6</v>
      </c>
      <c r="AR304" t="s">
        <v>19597</v>
      </c>
      <c r="AS304" t="s">
        <v>19598</v>
      </c>
      <c r="AT304">
        <v>5.1999999999999998E-2</v>
      </c>
      <c r="AU304" t="s">
        <v>65</v>
      </c>
      <c r="AV304">
        <v>29</v>
      </c>
      <c r="AW304">
        <v>9</v>
      </c>
      <c r="AX304" t="s">
        <v>19599</v>
      </c>
      <c r="AY304">
        <v>0.1026</v>
      </c>
      <c r="AZ304">
        <v>-4.8799999999999998E-3</v>
      </c>
      <c r="BA304">
        <v>6.62E-3</v>
      </c>
      <c r="BB304">
        <v>-4.4999999999999999E-4</v>
      </c>
      <c r="BC304">
        <v>6.4519999999999994E-2</v>
      </c>
      <c r="BD304">
        <v>1</v>
      </c>
      <c r="BE304" t="s">
        <v>69</v>
      </c>
      <c r="BF304">
        <v>1.069</v>
      </c>
      <c r="BG304">
        <v>1.403</v>
      </c>
    </row>
    <row r="305" spans="1:59">
      <c r="A305">
        <v>0</v>
      </c>
      <c r="B305">
        <v>0</v>
      </c>
      <c r="C305">
        <v>0</v>
      </c>
      <c r="D305" t="s">
        <v>25022</v>
      </c>
      <c r="E305">
        <v>3479</v>
      </c>
      <c r="F305" t="s">
        <v>20381</v>
      </c>
      <c r="G305" t="s">
        <v>62</v>
      </c>
      <c r="H305">
        <v>3443899</v>
      </c>
      <c r="I305">
        <v>3444201</v>
      </c>
      <c r="J305" t="s">
        <v>20382</v>
      </c>
      <c r="K305">
        <v>101</v>
      </c>
      <c r="L305" t="s">
        <v>749</v>
      </c>
      <c r="M305">
        <v>47</v>
      </c>
      <c r="N305" t="str">
        <f>HYPERLINK("Gene3479-zp_tree_all.dnd", "Gene3479-tree")</f>
        <v>Gene3479-tree</v>
      </c>
      <c r="O305">
        <v>11</v>
      </c>
      <c r="P305">
        <v>3</v>
      </c>
      <c r="Q305">
        <v>11</v>
      </c>
      <c r="R305">
        <v>3</v>
      </c>
      <c r="S305">
        <v>0.21429000000000001</v>
      </c>
      <c r="T305" t="s">
        <v>73</v>
      </c>
      <c r="U305" t="s">
        <v>324</v>
      </c>
      <c r="V305" t="s">
        <v>62</v>
      </c>
      <c r="W305" t="s">
        <v>62</v>
      </c>
      <c r="X305">
        <v>0</v>
      </c>
      <c r="Y305">
        <v>0</v>
      </c>
      <c r="Z305">
        <v>6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4</v>
      </c>
      <c r="AK305">
        <v>0</v>
      </c>
      <c r="AL305">
        <v>7</v>
      </c>
      <c r="AM305">
        <v>8</v>
      </c>
      <c r="AN305">
        <v>12</v>
      </c>
      <c r="AO305">
        <v>4</v>
      </c>
      <c r="AP305">
        <v>20</v>
      </c>
      <c r="AQ305">
        <v>2</v>
      </c>
      <c r="AR305" t="s">
        <v>20383</v>
      </c>
      <c r="AS305" t="s">
        <v>20384</v>
      </c>
      <c r="AT305">
        <v>0.72299999999999998</v>
      </c>
      <c r="AU305" t="s">
        <v>65</v>
      </c>
      <c r="AV305">
        <v>32</v>
      </c>
      <c r="AW305">
        <v>6</v>
      </c>
      <c r="AX305" t="s">
        <v>20385</v>
      </c>
      <c r="AY305">
        <v>0.15110000000000001</v>
      </c>
      <c r="AZ305">
        <v>-1.1050000000000001E-2</v>
      </c>
      <c r="BA305">
        <v>4.96E-3</v>
      </c>
      <c r="BB305">
        <v>-4.8999999999999998E-4</v>
      </c>
      <c r="BC305">
        <v>3.2840000000000001E-2</v>
      </c>
      <c r="BD305">
        <v>1</v>
      </c>
      <c r="BE305" t="s">
        <v>69</v>
      </c>
      <c r="BF305">
        <v>-1.2</v>
      </c>
      <c r="BG305">
        <v>-0.97699999999999998</v>
      </c>
    </row>
    <row r="306" spans="1:59">
      <c r="A306">
        <v>0</v>
      </c>
      <c r="B306">
        <v>0</v>
      </c>
      <c r="C306">
        <v>0</v>
      </c>
      <c r="D306" t="s">
        <v>25022</v>
      </c>
      <c r="E306">
        <v>2912</v>
      </c>
      <c r="F306" t="s">
        <v>16765</v>
      </c>
      <c r="G306" t="s">
        <v>62</v>
      </c>
      <c r="H306">
        <v>2855521</v>
      </c>
      <c r="I306">
        <v>2855826</v>
      </c>
      <c r="J306" t="s">
        <v>16766</v>
      </c>
      <c r="K306">
        <v>102</v>
      </c>
      <c r="L306" t="s">
        <v>59</v>
      </c>
      <c r="M306">
        <v>49</v>
      </c>
      <c r="N306" t="str">
        <f>HYPERLINK("Gene2912-zp_tree_all.dnd", "Gene2912-tree")</f>
        <v>Gene2912-tree</v>
      </c>
      <c r="O306">
        <v>4</v>
      </c>
      <c r="P306">
        <v>3</v>
      </c>
      <c r="Q306">
        <v>4</v>
      </c>
      <c r="R306">
        <v>3</v>
      </c>
      <c r="S306">
        <v>0.42857000000000001</v>
      </c>
      <c r="T306" t="s">
        <v>61</v>
      </c>
      <c r="U306" t="s">
        <v>324</v>
      </c>
      <c r="V306" t="s">
        <v>62</v>
      </c>
      <c r="W306" t="s">
        <v>62</v>
      </c>
      <c r="X306">
        <v>0</v>
      </c>
      <c r="Y306">
        <v>0</v>
      </c>
      <c r="Z306">
        <v>3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4</v>
      </c>
      <c r="AM306">
        <v>2</v>
      </c>
      <c r="AN306">
        <v>5</v>
      </c>
      <c r="AO306">
        <v>3</v>
      </c>
      <c r="AP306">
        <v>2</v>
      </c>
      <c r="AQ306">
        <v>0</v>
      </c>
      <c r="AR306" t="s">
        <v>16767</v>
      </c>
      <c r="AS306" t="s">
        <v>193</v>
      </c>
      <c r="AT306">
        <v>0.96299999999999997</v>
      </c>
      <c r="AU306" t="s">
        <v>65</v>
      </c>
      <c r="AV306">
        <v>7</v>
      </c>
      <c r="AW306">
        <v>3</v>
      </c>
      <c r="AX306" t="s">
        <v>16768</v>
      </c>
      <c r="AY306">
        <v>3.4979999999999997E-2</v>
      </c>
      <c r="AZ306">
        <v>-5.7600000000000004E-3</v>
      </c>
      <c r="BA306">
        <v>3.65E-3</v>
      </c>
      <c r="BB306">
        <v>-5.9999999999999995E-4</v>
      </c>
      <c r="BC306">
        <v>0.10446999999999999</v>
      </c>
      <c r="BD306">
        <v>0.98899999999999999</v>
      </c>
      <c r="BE306" t="s">
        <v>69</v>
      </c>
      <c r="BF306">
        <v>-2.2480000000000002</v>
      </c>
      <c r="BG306">
        <v>-3.4889999999999999</v>
      </c>
    </row>
    <row r="307" spans="1:59">
      <c r="A307">
        <v>0</v>
      </c>
      <c r="B307">
        <v>2</v>
      </c>
      <c r="C307">
        <v>2</v>
      </c>
      <c r="D307" t="s">
        <v>25022</v>
      </c>
      <c r="E307">
        <v>3767</v>
      </c>
      <c r="F307" t="s">
        <v>22077</v>
      </c>
      <c r="G307" t="s">
        <v>62</v>
      </c>
      <c r="H307">
        <v>3741735</v>
      </c>
      <c r="I307">
        <v>3742040</v>
      </c>
      <c r="J307" t="s">
        <v>22078</v>
      </c>
      <c r="K307">
        <v>102</v>
      </c>
      <c r="L307" t="s">
        <v>108</v>
      </c>
      <c r="M307">
        <v>44</v>
      </c>
      <c r="N307" t="str">
        <f>HYPERLINK("Gene3767-zp_tree_all.dnd", "Gene3767-tree")</f>
        <v>Gene3767-tree</v>
      </c>
      <c r="O307">
        <v>7</v>
      </c>
      <c r="P307">
        <v>4</v>
      </c>
      <c r="Q307">
        <v>7</v>
      </c>
      <c r="R307">
        <v>4</v>
      </c>
      <c r="S307">
        <v>0.36364000000000002</v>
      </c>
      <c r="T307" t="s">
        <v>152</v>
      </c>
      <c r="U307" t="s">
        <v>61</v>
      </c>
      <c r="V307" t="s">
        <v>62</v>
      </c>
      <c r="W307" t="s">
        <v>62</v>
      </c>
      <c r="X307">
        <v>2</v>
      </c>
      <c r="Y307">
        <v>4</v>
      </c>
      <c r="Z307">
        <v>3</v>
      </c>
      <c r="AA307">
        <v>0.57142999999999999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2</v>
      </c>
      <c r="AI307">
        <v>2</v>
      </c>
      <c r="AJ307">
        <v>3</v>
      </c>
      <c r="AK307">
        <v>0.4</v>
      </c>
      <c r="AL307">
        <v>9</v>
      </c>
      <c r="AM307">
        <v>6</v>
      </c>
      <c r="AN307">
        <v>16</v>
      </c>
      <c r="AO307">
        <v>5</v>
      </c>
      <c r="AP307">
        <v>8</v>
      </c>
      <c r="AQ307">
        <v>2</v>
      </c>
      <c r="AR307" t="s">
        <v>22079</v>
      </c>
      <c r="AS307" t="s">
        <v>22080</v>
      </c>
      <c r="AT307">
        <v>0.19700000000000001</v>
      </c>
      <c r="AU307" t="s">
        <v>65</v>
      </c>
      <c r="AV307">
        <v>24</v>
      </c>
      <c r="AW307">
        <v>7</v>
      </c>
      <c r="AX307" t="s">
        <v>22081</v>
      </c>
      <c r="AY307">
        <v>7.8179999999999999E-2</v>
      </c>
      <c r="AZ307">
        <v>-3.7699999999999999E-3</v>
      </c>
      <c r="BA307">
        <v>6.1999999999999998E-3</v>
      </c>
      <c r="BB307">
        <v>-5.1000000000000004E-4</v>
      </c>
      <c r="BC307">
        <v>7.9269999999999993E-2</v>
      </c>
      <c r="BD307">
        <v>1</v>
      </c>
      <c r="BE307" t="s">
        <v>69</v>
      </c>
      <c r="BF307">
        <v>0.152</v>
      </c>
      <c r="BG307">
        <v>0.19800000000000001</v>
      </c>
    </row>
    <row r="308" spans="1:59">
      <c r="A308">
        <v>0</v>
      </c>
      <c r="B308">
        <v>0</v>
      </c>
      <c r="C308">
        <v>0</v>
      </c>
      <c r="D308" t="s">
        <v>25022</v>
      </c>
      <c r="E308">
        <v>1152</v>
      </c>
      <c r="F308" t="s">
        <v>7247</v>
      </c>
      <c r="G308" t="s">
        <v>57</v>
      </c>
      <c r="H308">
        <v>1192254</v>
      </c>
      <c r="I308">
        <v>1192559</v>
      </c>
      <c r="J308" t="s">
        <v>7248</v>
      </c>
      <c r="K308">
        <v>102</v>
      </c>
      <c r="L308" t="s">
        <v>108</v>
      </c>
      <c r="M308">
        <v>44</v>
      </c>
      <c r="N308" t="str">
        <f>HYPERLINK("Gene1152-zp_tree_all.dnd", "Gene1152-tree")</f>
        <v>Gene1152-tree</v>
      </c>
      <c r="O308">
        <v>31</v>
      </c>
      <c r="P308">
        <v>1</v>
      </c>
      <c r="Q308">
        <v>8</v>
      </c>
      <c r="R308">
        <v>1</v>
      </c>
      <c r="S308">
        <v>0.11111</v>
      </c>
      <c r="T308" t="s">
        <v>7249</v>
      </c>
      <c r="U308" t="s">
        <v>175</v>
      </c>
      <c r="V308" t="s">
        <v>62</v>
      </c>
      <c r="W308" t="s">
        <v>62</v>
      </c>
      <c r="X308">
        <v>0</v>
      </c>
      <c r="Y308">
        <v>0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7</v>
      </c>
      <c r="AM308">
        <v>3</v>
      </c>
      <c r="AN308">
        <v>6</v>
      </c>
      <c r="AO308">
        <v>1</v>
      </c>
      <c r="AP308">
        <v>11</v>
      </c>
      <c r="AQ308">
        <v>1</v>
      </c>
      <c r="AR308" t="s">
        <v>7250</v>
      </c>
      <c r="AS308" t="s">
        <v>7251</v>
      </c>
      <c r="AT308">
        <v>0.19600000000000001</v>
      </c>
      <c r="AU308" t="s">
        <v>65</v>
      </c>
      <c r="AV308">
        <v>17</v>
      </c>
      <c r="AW308">
        <v>2</v>
      </c>
      <c r="AX308" t="s">
        <v>7252</v>
      </c>
      <c r="AY308">
        <v>0.10269</v>
      </c>
      <c r="AZ308">
        <v>-1.243E-2</v>
      </c>
      <c r="BA308">
        <v>3.0599999999999998E-3</v>
      </c>
      <c r="BB308">
        <v>-5.1999999999999995E-4</v>
      </c>
      <c r="BC308">
        <v>2.9780000000000001E-2</v>
      </c>
      <c r="BD308">
        <v>1</v>
      </c>
      <c r="BE308" t="s">
        <v>69</v>
      </c>
      <c r="BF308">
        <v>1.7350000000000001</v>
      </c>
      <c r="BG308">
        <v>-0.68200000000000005</v>
      </c>
    </row>
    <row r="309" spans="1:59">
      <c r="A309">
        <v>0</v>
      </c>
      <c r="B309">
        <v>0</v>
      </c>
      <c r="C309">
        <v>0</v>
      </c>
      <c r="D309" t="s">
        <v>25022</v>
      </c>
      <c r="E309">
        <v>3997</v>
      </c>
      <c r="F309" t="s">
        <v>23503</v>
      </c>
      <c r="G309" t="s">
        <v>62</v>
      </c>
      <c r="H309">
        <v>3961569</v>
      </c>
      <c r="I309">
        <v>3961874</v>
      </c>
      <c r="J309" t="s">
        <v>23504</v>
      </c>
      <c r="K309">
        <v>102</v>
      </c>
      <c r="L309" t="s">
        <v>59</v>
      </c>
      <c r="M309">
        <v>49</v>
      </c>
      <c r="N309" t="str">
        <f>HYPERLINK("Gene3997-zp_tree_all.dnd", "Gene3997-tree")</f>
        <v>Gene3997-tree</v>
      </c>
      <c r="O309">
        <v>30</v>
      </c>
      <c r="P309">
        <v>0</v>
      </c>
      <c r="Q309">
        <v>12</v>
      </c>
      <c r="R309">
        <v>0</v>
      </c>
      <c r="S309">
        <v>0</v>
      </c>
      <c r="T309" t="s">
        <v>23505</v>
      </c>
      <c r="U309" t="s">
        <v>62</v>
      </c>
      <c r="V309" t="s">
        <v>62</v>
      </c>
      <c r="W309" t="s">
        <v>62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8</v>
      </c>
      <c r="AM309">
        <v>6</v>
      </c>
      <c r="AN309">
        <v>13</v>
      </c>
      <c r="AO309">
        <v>0</v>
      </c>
      <c r="AP309">
        <v>22</v>
      </c>
      <c r="AQ309">
        <v>1</v>
      </c>
      <c r="AR309" t="s">
        <v>193</v>
      </c>
      <c r="AS309" t="s">
        <v>23506</v>
      </c>
      <c r="AT309">
        <v>0.45800000000000002</v>
      </c>
      <c r="AU309" t="s">
        <v>65</v>
      </c>
      <c r="AV309">
        <v>35</v>
      </c>
      <c r="AW309">
        <v>1</v>
      </c>
      <c r="AX309" t="s">
        <v>23507</v>
      </c>
      <c r="AY309">
        <v>0.12973000000000001</v>
      </c>
      <c r="AZ309">
        <v>-9.2899999999999996E-3</v>
      </c>
      <c r="BA309">
        <v>1.2999999999999999E-3</v>
      </c>
      <c r="BB309">
        <v>-2.4000000000000001E-4</v>
      </c>
      <c r="BC309">
        <v>1.0059999999999999E-2</v>
      </c>
      <c r="BD309">
        <v>1</v>
      </c>
      <c r="BE309" t="s">
        <v>69</v>
      </c>
      <c r="BF309">
        <v>-1.1719999999999999</v>
      </c>
      <c r="BG309">
        <v>-0.61199999999999999</v>
      </c>
    </row>
    <row r="310" spans="1:59">
      <c r="A310">
        <v>0</v>
      </c>
      <c r="B310">
        <v>0</v>
      </c>
      <c r="C310">
        <v>0</v>
      </c>
      <c r="D310" t="s">
        <v>25022</v>
      </c>
      <c r="E310">
        <v>115</v>
      </c>
      <c r="F310" t="s">
        <v>874</v>
      </c>
      <c r="G310" t="s">
        <v>57</v>
      </c>
      <c r="H310">
        <v>135364</v>
      </c>
      <c r="I310">
        <v>135669</v>
      </c>
      <c r="J310" t="s">
        <v>875</v>
      </c>
      <c r="K310">
        <v>102</v>
      </c>
      <c r="L310" t="s">
        <v>515</v>
      </c>
      <c r="M310">
        <v>51</v>
      </c>
      <c r="N310" t="str">
        <f>HYPERLINK("Gene115-zp_tree_all.dnd", "Gene115-tree")</f>
        <v>Gene115-tree</v>
      </c>
      <c r="O310">
        <v>7</v>
      </c>
      <c r="P310">
        <v>0</v>
      </c>
      <c r="Q310">
        <v>7</v>
      </c>
      <c r="R310">
        <v>0</v>
      </c>
      <c r="S310">
        <v>0</v>
      </c>
      <c r="T310" t="s">
        <v>152</v>
      </c>
      <c r="U310" t="s">
        <v>62</v>
      </c>
      <c r="V310" t="s">
        <v>62</v>
      </c>
      <c r="W310" t="s">
        <v>62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5</v>
      </c>
      <c r="AM310">
        <v>3</v>
      </c>
      <c r="AN310">
        <v>6</v>
      </c>
      <c r="AO310">
        <v>0</v>
      </c>
      <c r="AP310">
        <v>7</v>
      </c>
      <c r="AQ310">
        <v>0</v>
      </c>
      <c r="AR310" t="s">
        <v>193</v>
      </c>
      <c r="AS310" t="s">
        <v>193</v>
      </c>
      <c r="AT310">
        <v>0</v>
      </c>
      <c r="AU310" t="s">
        <v>65</v>
      </c>
      <c r="AV310">
        <v>13</v>
      </c>
      <c r="AW310">
        <v>0</v>
      </c>
      <c r="AX310" t="s">
        <v>876</v>
      </c>
      <c r="AY310">
        <v>7.1809999999999999E-2</v>
      </c>
      <c r="AZ310">
        <v>-7.43E-3</v>
      </c>
      <c r="BA310">
        <v>0</v>
      </c>
      <c r="BB310">
        <v>0</v>
      </c>
      <c r="BC310">
        <v>0</v>
      </c>
      <c r="BD310">
        <v>1</v>
      </c>
      <c r="BE310" t="s">
        <v>69</v>
      </c>
      <c r="BF310">
        <v>-1.181</v>
      </c>
      <c r="BG310">
        <v>0.28499999999999998</v>
      </c>
    </row>
    <row r="311" spans="1:59">
      <c r="A311">
        <v>0</v>
      </c>
      <c r="B311">
        <v>0</v>
      </c>
      <c r="C311">
        <v>0</v>
      </c>
      <c r="D311" t="s">
        <v>25022</v>
      </c>
      <c r="E311">
        <v>3146</v>
      </c>
      <c r="F311" t="s">
        <v>18273</v>
      </c>
      <c r="G311" t="s">
        <v>62</v>
      </c>
      <c r="H311">
        <v>3102204</v>
      </c>
      <c r="I311">
        <v>3102512</v>
      </c>
      <c r="J311" t="s">
        <v>14942</v>
      </c>
      <c r="K311">
        <v>103</v>
      </c>
      <c r="L311" t="s">
        <v>125</v>
      </c>
      <c r="M311">
        <v>48</v>
      </c>
      <c r="N311" t="str">
        <f>HYPERLINK("Gene3146-zp_tree_all.dnd", "Gene3146-tree")</f>
        <v>Gene3146-tree</v>
      </c>
      <c r="O311">
        <v>36</v>
      </c>
      <c r="P311">
        <v>4</v>
      </c>
      <c r="Q311">
        <v>6</v>
      </c>
      <c r="R311">
        <v>4</v>
      </c>
      <c r="S311">
        <v>0.4</v>
      </c>
      <c r="T311" t="s">
        <v>7321</v>
      </c>
      <c r="U311" t="s">
        <v>61</v>
      </c>
      <c r="V311" t="s">
        <v>62</v>
      </c>
      <c r="W311" t="s">
        <v>62</v>
      </c>
      <c r="X311">
        <v>0</v>
      </c>
      <c r="Y311">
        <v>0</v>
      </c>
      <c r="Z311">
        <v>7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5</v>
      </c>
      <c r="AK311">
        <v>0</v>
      </c>
      <c r="AL311">
        <v>7</v>
      </c>
      <c r="AM311">
        <v>4</v>
      </c>
      <c r="AN311">
        <v>8</v>
      </c>
      <c r="AO311">
        <v>5</v>
      </c>
      <c r="AP311">
        <v>9</v>
      </c>
      <c r="AQ311">
        <v>2</v>
      </c>
      <c r="AR311" t="s">
        <v>18274</v>
      </c>
      <c r="AS311" t="s">
        <v>18275</v>
      </c>
      <c r="AT311">
        <v>0.48699999999999999</v>
      </c>
      <c r="AU311" t="s">
        <v>65</v>
      </c>
      <c r="AV311">
        <v>17</v>
      </c>
      <c r="AW311">
        <v>7</v>
      </c>
      <c r="AX311" t="s">
        <v>18276</v>
      </c>
      <c r="AY311">
        <v>0.1016</v>
      </c>
      <c r="AZ311">
        <v>-1.175E-2</v>
      </c>
      <c r="BA311">
        <v>7.8399999999999997E-3</v>
      </c>
      <c r="BB311">
        <v>-8.4999999999999995E-4</v>
      </c>
      <c r="BC311">
        <v>7.7200000000000005E-2</v>
      </c>
      <c r="BD311">
        <v>1</v>
      </c>
      <c r="BE311" t="s">
        <v>69</v>
      </c>
      <c r="BF311">
        <v>-1.722</v>
      </c>
      <c r="BG311">
        <v>0.48199999999999998</v>
      </c>
    </row>
    <row r="312" spans="1:59">
      <c r="A312">
        <v>0</v>
      </c>
      <c r="B312">
        <v>0</v>
      </c>
      <c r="C312">
        <v>0</v>
      </c>
      <c r="D312" t="s">
        <v>25022</v>
      </c>
      <c r="E312">
        <v>599</v>
      </c>
      <c r="F312" t="s">
        <v>3857</v>
      </c>
      <c r="G312" t="s">
        <v>57</v>
      </c>
      <c r="H312">
        <v>626622</v>
      </c>
      <c r="I312">
        <v>626930</v>
      </c>
      <c r="J312" t="s">
        <v>3858</v>
      </c>
      <c r="K312">
        <v>103</v>
      </c>
      <c r="L312" t="s">
        <v>3859</v>
      </c>
      <c r="M312">
        <v>42</v>
      </c>
      <c r="N312" t="str">
        <f>HYPERLINK("Gene599-zp_tree_all.dnd", "Gene599-tree")</f>
        <v>Gene599-tree</v>
      </c>
      <c r="O312">
        <v>9</v>
      </c>
      <c r="P312">
        <v>2</v>
      </c>
      <c r="Q312">
        <v>9</v>
      </c>
      <c r="R312">
        <v>2</v>
      </c>
      <c r="S312">
        <v>0.18182000000000001</v>
      </c>
      <c r="T312" t="s">
        <v>135</v>
      </c>
      <c r="U312" t="s">
        <v>81</v>
      </c>
      <c r="V312" t="s">
        <v>62</v>
      </c>
      <c r="W312" t="s">
        <v>62</v>
      </c>
      <c r="X312">
        <v>0</v>
      </c>
      <c r="Y312">
        <v>0</v>
      </c>
      <c r="Z312">
        <v>4</v>
      </c>
      <c r="AA312">
        <v>0</v>
      </c>
      <c r="AB312">
        <v>0</v>
      </c>
      <c r="AC312">
        <v>0</v>
      </c>
      <c r="AD312">
        <v>0</v>
      </c>
      <c r="AE312">
        <v>2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0</v>
      </c>
      <c r="AL312">
        <v>5</v>
      </c>
      <c r="AM312">
        <v>6</v>
      </c>
      <c r="AN312">
        <v>9</v>
      </c>
      <c r="AO312">
        <v>2</v>
      </c>
      <c r="AP312">
        <v>7</v>
      </c>
      <c r="AQ312">
        <v>2</v>
      </c>
      <c r="AR312" t="s">
        <v>3860</v>
      </c>
      <c r="AS312" t="s">
        <v>3861</v>
      </c>
      <c r="AT312">
        <v>0.193</v>
      </c>
      <c r="AU312" t="s">
        <v>65</v>
      </c>
      <c r="AV312">
        <v>16</v>
      </c>
      <c r="AW312">
        <v>4</v>
      </c>
      <c r="AX312" t="s">
        <v>3862</v>
      </c>
      <c r="AY312">
        <v>6.4579999999999999E-2</v>
      </c>
      <c r="AZ312">
        <v>-4.8199999999999996E-3</v>
      </c>
      <c r="BA312">
        <v>4.9300000000000004E-3</v>
      </c>
      <c r="BB312">
        <v>-4.2999999999999999E-4</v>
      </c>
      <c r="BC312">
        <v>7.6300000000000007E-2</v>
      </c>
      <c r="BD312">
        <v>1</v>
      </c>
      <c r="BE312" t="s">
        <v>69</v>
      </c>
      <c r="BF312">
        <v>0.06</v>
      </c>
      <c r="BG312">
        <v>-1.5720000000000001</v>
      </c>
    </row>
    <row r="313" spans="1:59">
      <c r="A313">
        <v>0</v>
      </c>
      <c r="B313">
        <v>0</v>
      </c>
      <c r="C313">
        <v>0</v>
      </c>
      <c r="D313" t="s">
        <v>25022</v>
      </c>
      <c r="E313">
        <v>127</v>
      </c>
      <c r="F313" t="s">
        <v>932</v>
      </c>
      <c r="G313" t="s">
        <v>57</v>
      </c>
      <c r="H313">
        <v>140857</v>
      </c>
      <c r="I313">
        <v>141165</v>
      </c>
      <c r="J313" t="s">
        <v>933</v>
      </c>
      <c r="K313">
        <v>103</v>
      </c>
      <c r="L313" t="s">
        <v>515</v>
      </c>
      <c r="M313">
        <v>51</v>
      </c>
      <c r="N313" t="str">
        <f>HYPERLINK("Gene127-zp_tree_all.dnd", "Gene127-tree")</f>
        <v>Gene127-tree</v>
      </c>
      <c r="O313">
        <v>6</v>
      </c>
      <c r="P313">
        <v>0</v>
      </c>
      <c r="Q313">
        <v>6</v>
      </c>
      <c r="R313">
        <v>0</v>
      </c>
      <c r="S313">
        <v>0</v>
      </c>
      <c r="T313" t="s">
        <v>90</v>
      </c>
      <c r="U313" t="s">
        <v>62</v>
      </c>
      <c r="V313" t="s">
        <v>62</v>
      </c>
      <c r="W313" t="s">
        <v>62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3</v>
      </c>
      <c r="AM313">
        <v>2</v>
      </c>
      <c r="AN313">
        <v>3</v>
      </c>
      <c r="AO313">
        <v>0</v>
      </c>
      <c r="AP313">
        <v>15</v>
      </c>
      <c r="AQ313">
        <v>0</v>
      </c>
      <c r="AR313" t="s">
        <v>193</v>
      </c>
      <c r="AS313" t="s">
        <v>193</v>
      </c>
      <c r="AT313">
        <v>0</v>
      </c>
      <c r="AU313" t="s">
        <v>65</v>
      </c>
      <c r="AV313">
        <v>18</v>
      </c>
      <c r="AW313">
        <v>0</v>
      </c>
      <c r="AX313" t="s">
        <v>934</v>
      </c>
      <c r="AY313">
        <v>0.13482</v>
      </c>
      <c r="AZ313">
        <v>-2.2720000000000001E-2</v>
      </c>
      <c r="BA313">
        <v>0</v>
      </c>
      <c r="BB313">
        <v>0</v>
      </c>
      <c r="BC313">
        <v>0</v>
      </c>
      <c r="BD313">
        <v>1</v>
      </c>
      <c r="BE313" t="s">
        <v>69</v>
      </c>
      <c r="BF313">
        <v>-1.5509999999999999</v>
      </c>
      <c r="BG313">
        <v>1.1100000000000001</v>
      </c>
    </row>
    <row r="314" spans="1:59">
      <c r="A314">
        <v>0</v>
      </c>
      <c r="B314">
        <v>0</v>
      </c>
      <c r="C314">
        <v>0</v>
      </c>
      <c r="D314" t="s">
        <v>25022</v>
      </c>
      <c r="E314">
        <v>3235</v>
      </c>
      <c r="F314" t="s">
        <v>18855</v>
      </c>
      <c r="G314" t="s">
        <v>62</v>
      </c>
      <c r="H314">
        <v>3199236</v>
      </c>
      <c r="I314">
        <v>3199547</v>
      </c>
      <c r="J314" t="s">
        <v>18856</v>
      </c>
      <c r="K314">
        <v>104</v>
      </c>
      <c r="L314" t="s">
        <v>108</v>
      </c>
      <c r="M314">
        <v>44</v>
      </c>
      <c r="N314" t="str">
        <f>HYPERLINK("Gene3235-zp_tree_all.dnd", "Gene3235-tree")</f>
        <v>Gene3235-tree</v>
      </c>
      <c r="O314">
        <v>4</v>
      </c>
      <c r="P314">
        <v>4</v>
      </c>
      <c r="Q314">
        <v>4</v>
      </c>
      <c r="R314">
        <v>4</v>
      </c>
      <c r="S314">
        <v>0.5</v>
      </c>
      <c r="T314" t="s">
        <v>61</v>
      </c>
      <c r="U314" t="s">
        <v>61</v>
      </c>
      <c r="V314" t="s">
        <v>62</v>
      </c>
      <c r="W314" t="s">
        <v>62</v>
      </c>
      <c r="X314">
        <v>0</v>
      </c>
      <c r="Y314">
        <v>0</v>
      </c>
      <c r="Z314">
        <v>6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4</v>
      </c>
      <c r="AK314">
        <v>0</v>
      </c>
      <c r="AL314">
        <v>5</v>
      </c>
      <c r="AM314">
        <v>3</v>
      </c>
      <c r="AN314">
        <v>6</v>
      </c>
      <c r="AO314">
        <v>3</v>
      </c>
      <c r="AP314">
        <v>1</v>
      </c>
      <c r="AQ314">
        <v>3</v>
      </c>
      <c r="AR314" t="s">
        <v>18857</v>
      </c>
      <c r="AS314" t="s">
        <v>18858</v>
      </c>
      <c r="AT314">
        <v>0.72099999999999997</v>
      </c>
      <c r="AU314" t="s">
        <v>65</v>
      </c>
      <c r="AV314">
        <v>7</v>
      </c>
      <c r="AW314">
        <v>6</v>
      </c>
      <c r="AX314" t="s">
        <v>18859</v>
      </c>
      <c r="AY314">
        <v>3.2919999999999998E-2</v>
      </c>
      <c r="AZ314">
        <v>-4.81E-3</v>
      </c>
      <c r="BA314">
        <v>8.5500000000000003E-3</v>
      </c>
      <c r="BB314">
        <v>-8.0000000000000004E-4</v>
      </c>
      <c r="BC314">
        <v>0.25971</v>
      </c>
      <c r="BD314">
        <v>0.98899999999999999</v>
      </c>
      <c r="BE314" t="s">
        <v>69</v>
      </c>
      <c r="BF314">
        <v>-0.45500000000000002</v>
      </c>
      <c r="BG314">
        <v>-1.139</v>
      </c>
    </row>
    <row r="315" spans="1:59">
      <c r="A315">
        <v>0</v>
      </c>
      <c r="B315">
        <v>2</v>
      </c>
      <c r="C315">
        <v>0</v>
      </c>
      <c r="D315" t="s">
        <v>25022</v>
      </c>
      <c r="E315">
        <v>886</v>
      </c>
      <c r="F315" t="s">
        <v>5534</v>
      </c>
      <c r="G315" t="s">
        <v>57</v>
      </c>
      <c r="H315">
        <v>926429</v>
      </c>
      <c r="I315">
        <v>926740</v>
      </c>
      <c r="J315" t="s">
        <v>288</v>
      </c>
      <c r="K315">
        <v>104</v>
      </c>
      <c r="L315" t="s">
        <v>108</v>
      </c>
      <c r="M315">
        <v>44</v>
      </c>
      <c r="N315" t="str">
        <f>HYPERLINK("Gene886-zp_tree_all.dnd", "Gene886-tree")</f>
        <v>Gene886-tree</v>
      </c>
      <c r="O315">
        <v>5</v>
      </c>
      <c r="P315">
        <v>3</v>
      </c>
      <c r="Q315">
        <v>5</v>
      </c>
      <c r="R315">
        <v>3</v>
      </c>
      <c r="S315">
        <v>0.375</v>
      </c>
      <c r="T315" t="s">
        <v>199</v>
      </c>
      <c r="U315" t="s">
        <v>324</v>
      </c>
      <c r="V315" t="s">
        <v>62</v>
      </c>
      <c r="W315" t="s">
        <v>62</v>
      </c>
      <c r="X315">
        <v>1</v>
      </c>
      <c r="Y315">
        <v>2</v>
      </c>
      <c r="Z315">
        <v>4</v>
      </c>
      <c r="AA315">
        <v>0.33333000000000002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5</v>
      </c>
      <c r="AK315">
        <v>0</v>
      </c>
      <c r="AL315">
        <v>7</v>
      </c>
      <c r="AM315">
        <v>3</v>
      </c>
      <c r="AN315">
        <v>11</v>
      </c>
      <c r="AO315">
        <v>5</v>
      </c>
      <c r="AP315">
        <v>3</v>
      </c>
      <c r="AQ315">
        <v>1</v>
      </c>
      <c r="AR315" t="s">
        <v>5535</v>
      </c>
      <c r="AS315" t="s">
        <v>5536</v>
      </c>
      <c r="AT315">
        <v>0.20200000000000001</v>
      </c>
      <c r="AU315" t="s">
        <v>65</v>
      </c>
      <c r="AV315">
        <v>14</v>
      </c>
      <c r="AW315">
        <v>6</v>
      </c>
      <c r="AX315" t="s">
        <v>5537</v>
      </c>
      <c r="AY315">
        <v>6.0600000000000001E-2</v>
      </c>
      <c r="AZ315">
        <v>-5.1200000000000004E-3</v>
      </c>
      <c r="BA315">
        <v>6.77E-3</v>
      </c>
      <c r="BB315">
        <v>-8.5999999999999998E-4</v>
      </c>
      <c r="BC315">
        <v>0.11167000000000001</v>
      </c>
      <c r="BD315">
        <v>1</v>
      </c>
      <c r="BE315" t="s">
        <v>69</v>
      </c>
      <c r="BF315">
        <v>-0.59599999999999997</v>
      </c>
      <c r="BG315">
        <v>-0.56699999999999995</v>
      </c>
    </row>
    <row r="316" spans="1:59">
      <c r="A316">
        <v>0</v>
      </c>
      <c r="B316">
        <v>0</v>
      </c>
      <c r="C316">
        <v>0</v>
      </c>
      <c r="D316" t="s">
        <v>25022</v>
      </c>
      <c r="E316">
        <v>2583</v>
      </c>
      <c r="F316" t="s">
        <v>15121</v>
      </c>
      <c r="G316" t="s">
        <v>62</v>
      </c>
      <c r="H316">
        <v>2565923</v>
      </c>
      <c r="I316">
        <v>2566234</v>
      </c>
      <c r="J316" t="s">
        <v>116</v>
      </c>
      <c r="K316">
        <v>104</v>
      </c>
      <c r="L316" t="s">
        <v>108</v>
      </c>
      <c r="M316">
        <v>44</v>
      </c>
      <c r="N316" t="str">
        <f>HYPERLINK("Gene2583-zp_tree_all.dnd", "Gene2583-tree")</f>
        <v>Gene2583-tree</v>
      </c>
      <c r="O316">
        <v>22</v>
      </c>
      <c r="P316">
        <v>3</v>
      </c>
      <c r="Q316">
        <v>5</v>
      </c>
      <c r="R316">
        <v>3</v>
      </c>
      <c r="S316">
        <v>0.375</v>
      </c>
      <c r="T316" t="s">
        <v>1682</v>
      </c>
      <c r="U316" t="s">
        <v>324</v>
      </c>
      <c r="V316" t="s">
        <v>62</v>
      </c>
      <c r="W316" t="s">
        <v>62</v>
      </c>
      <c r="X316">
        <v>0</v>
      </c>
      <c r="Y316">
        <v>0</v>
      </c>
      <c r="Z316">
        <v>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3</v>
      </c>
      <c r="AK316">
        <v>0</v>
      </c>
      <c r="AL316">
        <v>7</v>
      </c>
      <c r="AM316">
        <v>1</v>
      </c>
      <c r="AN316">
        <v>7</v>
      </c>
      <c r="AO316">
        <v>3</v>
      </c>
      <c r="AP316">
        <v>1</v>
      </c>
      <c r="AQ316">
        <v>0</v>
      </c>
      <c r="AR316" t="s">
        <v>15122</v>
      </c>
      <c r="AS316" t="s">
        <v>193</v>
      </c>
      <c r="AT316">
        <v>1.385</v>
      </c>
      <c r="AU316" t="s">
        <v>65</v>
      </c>
      <c r="AV316">
        <v>8</v>
      </c>
      <c r="AW316">
        <v>3</v>
      </c>
      <c r="AX316" t="s">
        <v>15123</v>
      </c>
      <c r="AY316">
        <v>3.39E-2</v>
      </c>
      <c r="AZ316">
        <v>-3.32E-3</v>
      </c>
      <c r="BA316">
        <v>3.14E-3</v>
      </c>
      <c r="BB316">
        <v>-5.0000000000000001E-4</v>
      </c>
      <c r="BC316">
        <v>9.2660000000000006E-2</v>
      </c>
      <c r="BD316">
        <v>1</v>
      </c>
      <c r="BE316" t="s">
        <v>69</v>
      </c>
      <c r="BF316">
        <v>-1.762</v>
      </c>
      <c r="BG316">
        <v>-3.57</v>
      </c>
    </row>
    <row r="317" spans="1:59">
      <c r="A317">
        <v>0</v>
      </c>
      <c r="B317">
        <v>0</v>
      </c>
      <c r="C317">
        <v>0</v>
      </c>
      <c r="D317" t="s">
        <v>25022</v>
      </c>
      <c r="E317">
        <v>2046</v>
      </c>
      <c r="F317" t="s">
        <v>12738</v>
      </c>
      <c r="G317" t="s">
        <v>62</v>
      </c>
      <c r="H317">
        <v>2136541</v>
      </c>
      <c r="I317">
        <v>2136852</v>
      </c>
      <c r="J317" t="s">
        <v>12739</v>
      </c>
      <c r="K317">
        <v>104</v>
      </c>
      <c r="L317" t="s">
        <v>749</v>
      </c>
      <c r="M317">
        <v>47</v>
      </c>
      <c r="N317" t="str">
        <f>HYPERLINK("Gene2046-zp_tree_all.dnd", "Gene2046-tree")</f>
        <v>Gene2046-tree</v>
      </c>
      <c r="O317">
        <v>11</v>
      </c>
      <c r="P317">
        <v>1</v>
      </c>
      <c r="Q317">
        <v>11</v>
      </c>
      <c r="R317">
        <v>1</v>
      </c>
      <c r="S317">
        <v>8.3330000000000001E-2</v>
      </c>
      <c r="T317" t="s">
        <v>73</v>
      </c>
      <c r="U317" t="s">
        <v>175</v>
      </c>
      <c r="V317" t="s">
        <v>62</v>
      </c>
      <c r="W317" t="s">
        <v>62</v>
      </c>
      <c r="X317">
        <v>0</v>
      </c>
      <c r="Y317">
        <v>0</v>
      </c>
      <c r="Z317">
        <v>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</v>
      </c>
      <c r="AK317">
        <v>0</v>
      </c>
      <c r="AL317">
        <v>8</v>
      </c>
      <c r="AM317">
        <v>5</v>
      </c>
      <c r="AN317">
        <v>11</v>
      </c>
      <c r="AO317">
        <v>2</v>
      </c>
      <c r="AP317">
        <v>11</v>
      </c>
      <c r="AQ317">
        <v>1</v>
      </c>
      <c r="AR317" t="s">
        <v>12740</v>
      </c>
      <c r="AS317" t="s">
        <v>12741</v>
      </c>
      <c r="AT317">
        <v>0.16600000000000001</v>
      </c>
      <c r="AU317" t="s">
        <v>65</v>
      </c>
      <c r="AV317">
        <v>22</v>
      </c>
      <c r="AW317">
        <v>3</v>
      </c>
      <c r="AX317" t="s">
        <v>12742</v>
      </c>
      <c r="AY317">
        <v>8.8969999999999994E-2</v>
      </c>
      <c r="AZ317">
        <v>-7.7799999999999996E-3</v>
      </c>
      <c r="BA317">
        <v>3.1099999999999999E-3</v>
      </c>
      <c r="BB317">
        <v>-5.2999999999999998E-4</v>
      </c>
      <c r="BC317">
        <v>3.5000000000000003E-2</v>
      </c>
      <c r="BD317">
        <v>1</v>
      </c>
      <c r="BE317" t="s">
        <v>69</v>
      </c>
      <c r="BF317">
        <v>-1.774</v>
      </c>
      <c r="BG317">
        <v>-1.3979999999999999</v>
      </c>
    </row>
    <row r="318" spans="1:59">
      <c r="A318">
        <v>0</v>
      </c>
      <c r="B318">
        <v>0</v>
      </c>
      <c r="C318">
        <v>0</v>
      </c>
      <c r="D318" t="s">
        <v>25022</v>
      </c>
      <c r="E318">
        <v>394</v>
      </c>
      <c r="F318" t="s">
        <v>2667</v>
      </c>
      <c r="G318" t="s">
        <v>57</v>
      </c>
      <c r="H318">
        <v>439709</v>
      </c>
      <c r="I318">
        <v>440020</v>
      </c>
      <c r="J318" t="s">
        <v>2033</v>
      </c>
      <c r="K318">
        <v>104</v>
      </c>
      <c r="L318" t="s">
        <v>72</v>
      </c>
      <c r="M318">
        <v>45</v>
      </c>
      <c r="N318" t="str">
        <f>HYPERLINK("Gene394-zp_tree_all.dnd", "Gene394-tree")</f>
        <v>Gene394-tree</v>
      </c>
      <c r="O318">
        <v>24</v>
      </c>
      <c r="P318">
        <v>1</v>
      </c>
      <c r="Q318">
        <v>5</v>
      </c>
      <c r="R318">
        <v>1</v>
      </c>
      <c r="S318">
        <v>0.16667000000000001</v>
      </c>
      <c r="T318" t="s">
        <v>2668</v>
      </c>
      <c r="U318" t="s">
        <v>175</v>
      </c>
      <c r="V318" t="s">
        <v>62</v>
      </c>
      <c r="W318" t="s">
        <v>62</v>
      </c>
      <c r="X318">
        <v>0</v>
      </c>
      <c r="Y318">
        <v>0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</v>
      </c>
      <c r="AK318">
        <v>0</v>
      </c>
      <c r="AL318">
        <v>5</v>
      </c>
      <c r="AM318">
        <v>0</v>
      </c>
      <c r="AN318">
        <v>16</v>
      </c>
      <c r="AO318">
        <v>2</v>
      </c>
      <c r="AP318">
        <v>0</v>
      </c>
      <c r="AQ318">
        <v>0</v>
      </c>
      <c r="AR318" t="s">
        <v>2669</v>
      </c>
      <c r="AS318" t="s">
        <v>193</v>
      </c>
      <c r="AT318">
        <v>0.371</v>
      </c>
      <c r="AU318" t="s">
        <v>65</v>
      </c>
      <c r="AV318">
        <v>16</v>
      </c>
      <c r="AW318">
        <v>2</v>
      </c>
      <c r="AX318" t="s">
        <v>2670</v>
      </c>
      <c r="AY318">
        <v>8.165E-2</v>
      </c>
      <c r="AZ318">
        <v>-2.1729999999999999E-2</v>
      </c>
      <c r="BA318">
        <v>2.8E-3</v>
      </c>
      <c r="BB318">
        <v>-1.0200000000000001E-3</v>
      </c>
      <c r="BC318">
        <v>3.4329999999999999E-2</v>
      </c>
      <c r="BD318">
        <v>1</v>
      </c>
      <c r="BE318" t="s">
        <v>69</v>
      </c>
      <c r="BF318">
        <v>-1.8340000000000001</v>
      </c>
      <c r="BG318">
        <v>-4.1950000000000003</v>
      </c>
    </row>
    <row r="319" spans="1:59">
      <c r="A319">
        <v>0</v>
      </c>
      <c r="B319">
        <v>0</v>
      </c>
      <c r="C319">
        <v>0</v>
      </c>
      <c r="D319" t="s">
        <v>25022</v>
      </c>
      <c r="E319">
        <v>693</v>
      </c>
      <c r="F319" t="s">
        <v>4333</v>
      </c>
      <c r="G319" t="s">
        <v>57</v>
      </c>
      <c r="H319">
        <v>716431</v>
      </c>
      <c r="I319">
        <v>716742</v>
      </c>
      <c r="J319" t="s">
        <v>4334</v>
      </c>
      <c r="K319">
        <v>104</v>
      </c>
      <c r="L319" t="s">
        <v>59</v>
      </c>
      <c r="M319">
        <v>49</v>
      </c>
      <c r="N319" t="str">
        <f>HYPERLINK("Gene693-zp_tree_all.dnd", "Gene693-tree")</f>
        <v>Gene693-tree</v>
      </c>
      <c r="O319">
        <v>16</v>
      </c>
      <c r="P319">
        <v>1</v>
      </c>
      <c r="Q319">
        <v>16</v>
      </c>
      <c r="R319">
        <v>1</v>
      </c>
      <c r="S319">
        <v>5.8819999999999997E-2</v>
      </c>
      <c r="T319" t="s">
        <v>60</v>
      </c>
      <c r="U319" t="s">
        <v>175</v>
      </c>
      <c r="V319" t="s">
        <v>62</v>
      </c>
      <c r="W319" t="s">
        <v>62</v>
      </c>
      <c r="X319">
        <v>0</v>
      </c>
      <c r="Y319">
        <v>0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10</v>
      </c>
      <c r="AM319">
        <v>9</v>
      </c>
      <c r="AN319">
        <v>13</v>
      </c>
      <c r="AO319">
        <v>1</v>
      </c>
      <c r="AP319">
        <v>15</v>
      </c>
      <c r="AQ319">
        <v>1</v>
      </c>
      <c r="AR319" t="s">
        <v>4335</v>
      </c>
      <c r="AS319" t="s">
        <v>4336</v>
      </c>
      <c r="AT319">
        <v>3.5999999999999997E-2</v>
      </c>
      <c r="AU319" t="s">
        <v>65</v>
      </c>
      <c r="AV319">
        <v>28</v>
      </c>
      <c r="AW319">
        <v>2</v>
      </c>
      <c r="AX319" t="s">
        <v>4337</v>
      </c>
      <c r="AY319">
        <v>7.9390000000000002E-2</v>
      </c>
      <c r="AZ319">
        <v>-4.5500000000000002E-3</v>
      </c>
      <c r="BA319">
        <v>1.41E-3</v>
      </c>
      <c r="BB319">
        <v>-1.8000000000000001E-4</v>
      </c>
      <c r="BC319">
        <v>1.7739999999999999E-2</v>
      </c>
      <c r="BD319">
        <v>1</v>
      </c>
      <c r="BE319" t="s">
        <v>69</v>
      </c>
      <c r="BF319">
        <v>-0.58199999999999996</v>
      </c>
      <c r="BG319">
        <v>-0.52300000000000002</v>
      </c>
    </row>
    <row r="320" spans="1:59">
      <c r="A320">
        <v>0</v>
      </c>
      <c r="B320">
        <v>0</v>
      </c>
      <c r="C320">
        <v>0</v>
      </c>
      <c r="D320" t="s">
        <v>25022</v>
      </c>
      <c r="E320">
        <v>2966</v>
      </c>
      <c r="F320" t="s">
        <v>17111</v>
      </c>
      <c r="G320" t="s">
        <v>62</v>
      </c>
      <c r="H320">
        <v>2913027</v>
      </c>
      <c r="I320">
        <v>2913338</v>
      </c>
      <c r="J320" t="s">
        <v>17112</v>
      </c>
      <c r="K320">
        <v>104</v>
      </c>
      <c r="L320" t="s">
        <v>125</v>
      </c>
      <c r="M320">
        <v>48</v>
      </c>
      <c r="N320" t="str">
        <f>HYPERLINK("Gene2966-zp_tree_all.dnd", "Gene2966-tree")</f>
        <v>Gene2966-tree</v>
      </c>
      <c r="O320">
        <v>7</v>
      </c>
      <c r="P320">
        <v>0</v>
      </c>
      <c r="Q320">
        <v>7</v>
      </c>
      <c r="R320">
        <v>0</v>
      </c>
      <c r="S320">
        <v>0</v>
      </c>
      <c r="T320" t="s">
        <v>152</v>
      </c>
      <c r="U320" t="s">
        <v>62</v>
      </c>
      <c r="V320" t="s">
        <v>62</v>
      </c>
      <c r="W320" t="s">
        <v>62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4</v>
      </c>
      <c r="AM320">
        <v>3</v>
      </c>
      <c r="AN320">
        <v>10</v>
      </c>
      <c r="AO320">
        <v>0</v>
      </c>
      <c r="AP320">
        <v>10</v>
      </c>
      <c r="AQ320">
        <v>0</v>
      </c>
      <c r="AR320" t="s">
        <v>193</v>
      </c>
      <c r="AS320" t="s">
        <v>193</v>
      </c>
      <c r="AT320">
        <v>0</v>
      </c>
      <c r="AU320" t="s">
        <v>65</v>
      </c>
      <c r="AV320">
        <v>20</v>
      </c>
      <c r="AW320">
        <v>0</v>
      </c>
      <c r="AX320" t="s">
        <v>17113</v>
      </c>
      <c r="AY320">
        <v>0.12526999999999999</v>
      </c>
      <c r="AZ320">
        <v>-1.585E-2</v>
      </c>
      <c r="BA320">
        <v>0</v>
      </c>
      <c r="BB320">
        <v>0</v>
      </c>
      <c r="BC320">
        <v>0</v>
      </c>
      <c r="BD320">
        <v>1</v>
      </c>
      <c r="BE320" t="s">
        <v>69</v>
      </c>
      <c r="BF320">
        <v>-1.6319999999999999</v>
      </c>
      <c r="BG320">
        <v>5.6000000000000001E-2</v>
      </c>
    </row>
    <row r="321" spans="1:59">
      <c r="A321">
        <v>0</v>
      </c>
      <c r="B321">
        <v>2</v>
      </c>
      <c r="C321">
        <v>0</v>
      </c>
      <c r="D321" t="s">
        <v>25022</v>
      </c>
      <c r="E321">
        <v>2775</v>
      </c>
      <c r="F321" t="s">
        <v>15928</v>
      </c>
      <c r="G321" t="s">
        <v>62</v>
      </c>
      <c r="H321">
        <v>2726888</v>
      </c>
      <c r="I321">
        <v>2727202</v>
      </c>
      <c r="J321" t="s">
        <v>2302</v>
      </c>
      <c r="K321">
        <v>105</v>
      </c>
      <c r="L321" t="s">
        <v>15929</v>
      </c>
      <c r="M321">
        <v>26</v>
      </c>
      <c r="N321" t="str">
        <f>HYPERLINK("Gene2775-zp_tree_all.dnd", "Gene2775-tree")</f>
        <v>Gene2775-tree</v>
      </c>
      <c r="O321">
        <v>1</v>
      </c>
      <c r="P321">
        <v>22</v>
      </c>
      <c r="Q321">
        <v>1</v>
      </c>
      <c r="R321">
        <v>4</v>
      </c>
      <c r="S321">
        <v>0.8</v>
      </c>
      <c r="T321" t="s">
        <v>175</v>
      </c>
      <c r="U321" t="s">
        <v>2634</v>
      </c>
      <c r="V321">
        <v>2.0710000000000002</v>
      </c>
      <c r="W321" t="s">
        <v>267</v>
      </c>
      <c r="X321">
        <v>1</v>
      </c>
      <c r="Y321">
        <v>2</v>
      </c>
      <c r="Z321">
        <v>6</v>
      </c>
      <c r="AA321">
        <v>0.25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</v>
      </c>
      <c r="AH321">
        <v>0</v>
      </c>
      <c r="AI321">
        <v>2</v>
      </c>
      <c r="AJ321">
        <v>4</v>
      </c>
      <c r="AK321">
        <v>0.33333000000000002</v>
      </c>
      <c r="AL321">
        <v>4</v>
      </c>
      <c r="AM321">
        <v>2</v>
      </c>
      <c r="AN321">
        <v>1</v>
      </c>
      <c r="AO321">
        <v>3</v>
      </c>
      <c r="AP321">
        <v>0</v>
      </c>
      <c r="AQ321">
        <v>5</v>
      </c>
      <c r="AR321" t="s">
        <v>15930</v>
      </c>
      <c r="AS321" t="s">
        <v>193</v>
      </c>
      <c r="AT321">
        <v>0.6</v>
      </c>
      <c r="AU321" t="s">
        <v>65</v>
      </c>
      <c r="AV321">
        <v>1</v>
      </c>
      <c r="AW321">
        <v>8</v>
      </c>
      <c r="AX321" t="s">
        <v>15931</v>
      </c>
      <c r="AY321">
        <v>5.7499999999999999E-3</v>
      </c>
      <c r="AZ321">
        <v>-2.15E-3</v>
      </c>
      <c r="BA321">
        <v>1.6160000000000001E-2</v>
      </c>
      <c r="BB321">
        <v>-2.3400000000000001E-3</v>
      </c>
      <c r="BC321">
        <v>2.80932</v>
      </c>
      <c r="BD321">
        <v>4.3999999999999997E-2</v>
      </c>
      <c r="BE321" t="s">
        <v>15934</v>
      </c>
      <c r="BF321">
        <v>-0.45400000000000001</v>
      </c>
      <c r="BG321">
        <v>0.11</v>
      </c>
    </row>
    <row r="322" spans="1:59">
      <c r="A322">
        <v>0</v>
      </c>
      <c r="B322">
        <v>0</v>
      </c>
      <c r="C322">
        <v>0</v>
      </c>
      <c r="D322" t="s">
        <v>25022</v>
      </c>
      <c r="E322">
        <v>2166</v>
      </c>
      <c r="F322" t="s">
        <v>12926</v>
      </c>
      <c r="G322" t="s">
        <v>62</v>
      </c>
      <c r="H322">
        <v>2208011</v>
      </c>
      <c r="I322">
        <v>2208325</v>
      </c>
      <c r="J322" t="s">
        <v>12870</v>
      </c>
      <c r="K322">
        <v>105</v>
      </c>
      <c r="L322" t="s">
        <v>12901</v>
      </c>
      <c r="M322">
        <v>17</v>
      </c>
      <c r="N322" t="str">
        <f>HYPERLINK("Gene2166-zp_tree_all.dnd", "Gene2166-tree")</f>
        <v>Gene2166-tree</v>
      </c>
      <c r="O322">
        <v>14</v>
      </c>
      <c r="P322">
        <v>3</v>
      </c>
      <c r="Q322">
        <v>1</v>
      </c>
      <c r="R322">
        <v>3</v>
      </c>
      <c r="S322">
        <v>0.75</v>
      </c>
      <c r="T322" t="s">
        <v>175</v>
      </c>
      <c r="U322" t="s">
        <v>324</v>
      </c>
      <c r="V322" t="s">
        <v>62</v>
      </c>
      <c r="W322" t="s">
        <v>62</v>
      </c>
      <c r="X322">
        <v>0</v>
      </c>
      <c r="Y322">
        <v>0</v>
      </c>
      <c r="Z322">
        <v>3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3</v>
      </c>
      <c r="AM322">
        <v>1</v>
      </c>
      <c r="AN322">
        <v>1</v>
      </c>
      <c r="AO322">
        <v>2</v>
      </c>
      <c r="AP322">
        <v>0</v>
      </c>
      <c r="AQ322">
        <v>1</v>
      </c>
      <c r="AR322" t="s">
        <v>12927</v>
      </c>
      <c r="AS322" t="s">
        <v>193</v>
      </c>
      <c r="AT322">
        <v>0.69299999999999995</v>
      </c>
      <c r="AU322" t="s">
        <v>65</v>
      </c>
      <c r="AV322">
        <v>1</v>
      </c>
      <c r="AW322">
        <v>3</v>
      </c>
      <c r="AX322" t="s">
        <v>12928</v>
      </c>
      <c r="AY322">
        <v>7.7200000000000003E-3</v>
      </c>
      <c r="AZ322">
        <v>-3.15E-3</v>
      </c>
      <c r="BA322">
        <v>6.7099999999999998E-3</v>
      </c>
      <c r="BB322">
        <v>-1.23E-3</v>
      </c>
      <c r="BC322">
        <v>0.86939999999999995</v>
      </c>
      <c r="BD322">
        <v>0.40799999999999997</v>
      </c>
      <c r="BE322" t="s">
        <v>635</v>
      </c>
      <c r="BF322">
        <v>-1.0820000000000001</v>
      </c>
      <c r="BG322">
        <v>-0.66900000000000004</v>
      </c>
    </row>
    <row r="323" spans="1:59">
      <c r="A323">
        <v>0</v>
      </c>
      <c r="B323">
        <v>5</v>
      </c>
      <c r="C323">
        <v>0</v>
      </c>
      <c r="D323" t="s">
        <v>25022</v>
      </c>
      <c r="E323">
        <v>1239</v>
      </c>
      <c r="F323" t="s">
        <v>7760</v>
      </c>
      <c r="G323" t="s">
        <v>57</v>
      </c>
      <c r="H323">
        <v>1268275</v>
      </c>
      <c r="I323">
        <v>1268589</v>
      </c>
      <c r="J323" t="s">
        <v>7740</v>
      </c>
      <c r="K323">
        <v>105</v>
      </c>
      <c r="L323" t="s">
        <v>7761</v>
      </c>
      <c r="M323">
        <v>42</v>
      </c>
      <c r="N323" t="str">
        <f>HYPERLINK("Gene1239-zp_tree_all.dnd", "Gene1239-tree")</f>
        <v>Gene1239-tree</v>
      </c>
      <c r="O323">
        <v>3</v>
      </c>
      <c r="P323">
        <v>7</v>
      </c>
      <c r="Q323">
        <v>3</v>
      </c>
      <c r="R323">
        <v>7</v>
      </c>
      <c r="S323">
        <v>0.7</v>
      </c>
      <c r="T323" t="s">
        <v>324</v>
      </c>
      <c r="U323" t="s">
        <v>152</v>
      </c>
      <c r="V323" t="s">
        <v>62</v>
      </c>
      <c r="W323" t="s">
        <v>62</v>
      </c>
      <c r="X323">
        <v>2</v>
      </c>
      <c r="Y323">
        <v>5</v>
      </c>
      <c r="Z323">
        <v>5</v>
      </c>
      <c r="AA323">
        <v>0.5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4</v>
      </c>
      <c r="AH323">
        <v>0</v>
      </c>
      <c r="AI323">
        <v>4</v>
      </c>
      <c r="AJ323">
        <v>5</v>
      </c>
      <c r="AK323">
        <v>0.44444</v>
      </c>
      <c r="AL323">
        <v>7</v>
      </c>
      <c r="AM323">
        <v>3</v>
      </c>
      <c r="AN323">
        <v>4</v>
      </c>
      <c r="AO323">
        <v>6</v>
      </c>
      <c r="AP323">
        <v>2</v>
      </c>
      <c r="AQ323">
        <v>4</v>
      </c>
      <c r="AR323" t="s">
        <v>7762</v>
      </c>
      <c r="AS323" t="s">
        <v>7763</v>
      </c>
      <c r="AT323">
        <v>0.22800000000000001</v>
      </c>
      <c r="AU323" t="s">
        <v>65</v>
      </c>
      <c r="AV323">
        <v>6</v>
      </c>
      <c r="AW323">
        <v>10</v>
      </c>
      <c r="AX323" t="s">
        <v>7764</v>
      </c>
      <c r="AY323">
        <v>2.8340000000000001E-2</v>
      </c>
      <c r="AZ323">
        <v>-3.3700000000000002E-3</v>
      </c>
      <c r="BA323">
        <v>9.2200000000000008E-3</v>
      </c>
      <c r="BB323">
        <v>-6.8999999999999997E-4</v>
      </c>
      <c r="BC323">
        <v>0.32517000000000001</v>
      </c>
      <c r="BD323">
        <v>0.88700000000000001</v>
      </c>
      <c r="BE323" t="s">
        <v>635</v>
      </c>
      <c r="BF323">
        <v>2E-3</v>
      </c>
      <c r="BG323">
        <v>-0.441</v>
      </c>
    </row>
    <row r="324" spans="1:59">
      <c r="A324">
        <v>0</v>
      </c>
      <c r="B324">
        <v>5</v>
      </c>
      <c r="C324">
        <v>0</v>
      </c>
      <c r="D324" t="s">
        <v>25022</v>
      </c>
      <c r="E324">
        <v>3931</v>
      </c>
      <c r="F324" t="s">
        <v>23068</v>
      </c>
      <c r="G324" t="s">
        <v>62</v>
      </c>
      <c r="H324">
        <v>3895808</v>
      </c>
      <c r="I324">
        <v>3896122</v>
      </c>
      <c r="J324" t="s">
        <v>116</v>
      </c>
      <c r="K324">
        <v>105</v>
      </c>
      <c r="L324" t="s">
        <v>108</v>
      </c>
      <c r="M324">
        <v>44</v>
      </c>
      <c r="N324" t="str">
        <f>HYPERLINK("Gene3931-zp_tree_all.dnd", "Gene3931-tree")</f>
        <v>Gene3931-tree</v>
      </c>
      <c r="O324">
        <v>9</v>
      </c>
      <c r="P324">
        <v>6</v>
      </c>
      <c r="Q324">
        <v>9</v>
      </c>
      <c r="R324">
        <v>6</v>
      </c>
      <c r="S324">
        <v>0.4</v>
      </c>
      <c r="T324" t="s">
        <v>135</v>
      </c>
      <c r="U324" t="s">
        <v>90</v>
      </c>
      <c r="V324" t="s">
        <v>62</v>
      </c>
      <c r="W324" t="s">
        <v>62</v>
      </c>
      <c r="X324">
        <v>2</v>
      </c>
      <c r="Y324">
        <v>5</v>
      </c>
      <c r="Z324">
        <v>9</v>
      </c>
      <c r="AA324">
        <v>0.35714000000000001</v>
      </c>
      <c r="AB324">
        <v>2</v>
      </c>
      <c r="AC324">
        <v>0</v>
      </c>
      <c r="AD324">
        <v>2</v>
      </c>
      <c r="AE324">
        <v>2</v>
      </c>
      <c r="AF324">
        <v>0.5</v>
      </c>
      <c r="AG324">
        <v>2</v>
      </c>
      <c r="AH324">
        <v>0</v>
      </c>
      <c r="AI324">
        <v>2</v>
      </c>
      <c r="AJ324">
        <v>6</v>
      </c>
      <c r="AK324">
        <v>0.25</v>
      </c>
      <c r="AL324">
        <v>9</v>
      </c>
      <c r="AM324">
        <v>9</v>
      </c>
      <c r="AN324">
        <v>11</v>
      </c>
      <c r="AO324">
        <v>8</v>
      </c>
      <c r="AP324">
        <v>8</v>
      </c>
      <c r="AQ324">
        <v>6</v>
      </c>
      <c r="AR324" t="s">
        <v>23069</v>
      </c>
      <c r="AS324" t="s">
        <v>23070</v>
      </c>
      <c r="AT324">
        <v>2.8000000000000001E-2</v>
      </c>
      <c r="AU324" t="s">
        <v>65</v>
      </c>
      <c r="AV324">
        <v>19</v>
      </c>
      <c r="AW324">
        <v>14</v>
      </c>
      <c r="AX324" t="s">
        <v>23071</v>
      </c>
      <c r="AY324">
        <v>6.2759999999999996E-2</v>
      </c>
      <c r="AZ324">
        <v>-4.2399999999999998E-3</v>
      </c>
      <c r="BA324">
        <v>1.0290000000000001E-2</v>
      </c>
      <c r="BB324">
        <v>-4.8000000000000001E-4</v>
      </c>
      <c r="BC324">
        <v>0.16388</v>
      </c>
      <c r="BD324">
        <v>1</v>
      </c>
      <c r="BE324" t="s">
        <v>69</v>
      </c>
      <c r="BF324">
        <v>-0.185</v>
      </c>
      <c r="BG324">
        <v>-0.72399999999999998</v>
      </c>
    </row>
    <row r="325" spans="1:59">
      <c r="A325">
        <v>0</v>
      </c>
      <c r="B325">
        <v>0</v>
      </c>
      <c r="C325">
        <v>0</v>
      </c>
      <c r="D325" t="s">
        <v>25022</v>
      </c>
      <c r="E325">
        <v>1360</v>
      </c>
      <c r="F325" t="s">
        <v>8513</v>
      </c>
      <c r="G325" t="s">
        <v>57</v>
      </c>
      <c r="H325">
        <v>1376855</v>
      </c>
      <c r="I325">
        <v>1377169</v>
      </c>
      <c r="J325" t="s">
        <v>8507</v>
      </c>
      <c r="K325">
        <v>105</v>
      </c>
      <c r="L325" t="s">
        <v>108</v>
      </c>
      <c r="M325">
        <v>44</v>
      </c>
      <c r="N325" t="str">
        <f>HYPERLINK("Gene1360-zp_tree_all.dnd", "Gene1360-tree")</f>
        <v>Gene1360-tree</v>
      </c>
      <c r="O325">
        <v>8</v>
      </c>
      <c r="P325">
        <v>18</v>
      </c>
      <c r="Q325">
        <v>8</v>
      </c>
      <c r="R325">
        <v>1</v>
      </c>
      <c r="S325">
        <v>0.11111</v>
      </c>
      <c r="T325" t="s">
        <v>136</v>
      </c>
      <c r="U325" t="s">
        <v>175</v>
      </c>
      <c r="V325" t="s">
        <v>62</v>
      </c>
      <c r="W325" t="s">
        <v>62</v>
      </c>
      <c r="X325">
        <v>0</v>
      </c>
      <c r="Y325">
        <v>0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8</v>
      </c>
      <c r="AM325">
        <v>2</v>
      </c>
      <c r="AN325">
        <v>12</v>
      </c>
      <c r="AO325">
        <v>1</v>
      </c>
      <c r="AP325">
        <v>2</v>
      </c>
      <c r="AQ325">
        <v>1</v>
      </c>
      <c r="AR325" t="s">
        <v>8514</v>
      </c>
      <c r="AS325" t="s">
        <v>8515</v>
      </c>
      <c r="AT325">
        <v>1.002</v>
      </c>
      <c r="AU325" t="s">
        <v>65</v>
      </c>
      <c r="AV325">
        <v>14</v>
      </c>
      <c r="AW325">
        <v>2</v>
      </c>
      <c r="AX325" t="s">
        <v>8516</v>
      </c>
      <c r="AY325">
        <v>4.7789999999999999E-2</v>
      </c>
      <c r="AZ325">
        <v>-4.3200000000000001E-3</v>
      </c>
      <c r="BA325">
        <v>3.2499999999999999E-3</v>
      </c>
      <c r="BB325">
        <v>-4.2999999999999999E-4</v>
      </c>
      <c r="BC325">
        <v>6.8080000000000002E-2</v>
      </c>
      <c r="BD325">
        <v>1</v>
      </c>
      <c r="BE325" t="s">
        <v>69</v>
      </c>
      <c r="BF325">
        <v>-0.32500000000000001</v>
      </c>
      <c r="BG325">
        <v>-0.79700000000000004</v>
      </c>
    </row>
    <row r="326" spans="1:59">
      <c r="A326">
        <v>0</v>
      </c>
      <c r="B326">
        <v>2</v>
      </c>
      <c r="C326">
        <v>0</v>
      </c>
      <c r="D326" t="s">
        <v>25022</v>
      </c>
      <c r="E326">
        <v>1538</v>
      </c>
      <c r="F326" t="s">
        <v>9611</v>
      </c>
      <c r="G326" t="s">
        <v>57</v>
      </c>
      <c r="H326">
        <v>1548016</v>
      </c>
      <c r="I326">
        <v>1548330</v>
      </c>
      <c r="J326" t="s">
        <v>9612</v>
      </c>
      <c r="K326">
        <v>105</v>
      </c>
      <c r="L326" t="s">
        <v>59</v>
      </c>
      <c r="M326">
        <v>49</v>
      </c>
      <c r="N326" t="str">
        <f>HYPERLINK("Gene1538-zp_tree_all.dnd", "Gene1538-tree")</f>
        <v>Gene1538-tree</v>
      </c>
      <c r="O326">
        <v>33</v>
      </c>
      <c r="P326">
        <v>4</v>
      </c>
      <c r="Q326">
        <v>7</v>
      </c>
      <c r="R326">
        <v>4</v>
      </c>
      <c r="S326">
        <v>0.36364000000000002</v>
      </c>
      <c r="T326" t="s">
        <v>5770</v>
      </c>
      <c r="U326" t="s">
        <v>61</v>
      </c>
      <c r="V326" t="s">
        <v>62</v>
      </c>
      <c r="W326" t="s">
        <v>62</v>
      </c>
      <c r="X326">
        <v>1</v>
      </c>
      <c r="Y326">
        <v>2</v>
      </c>
      <c r="Z326">
        <v>3</v>
      </c>
      <c r="AA326">
        <v>0.4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4</v>
      </c>
      <c r="AK326">
        <v>0</v>
      </c>
      <c r="AL326">
        <v>6</v>
      </c>
      <c r="AM326">
        <v>5</v>
      </c>
      <c r="AN326">
        <v>9</v>
      </c>
      <c r="AO326">
        <v>4</v>
      </c>
      <c r="AP326">
        <v>11</v>
      </c>
      <c r="AQ326">
        <v>1</v>
      </c>
      <c r="AR326" t="s">
        <v>9613</v>
      </c>
      <c r="AS326" t="s">
        <v>9614</v>
      </c>
      <c r="AT326">
        <v>1.3740000000000001</v>
      </c>
      <c r="AU326" t="s">
        <v>65</v>
      </c>
      <c r="AV326">
        <v>20</v>
      </c>
      <c r="AW326">
        <v>5</v>
      </c>
      <c r="AX326" t="s">
        <v>9615</v>
      </c>
      <c r="AY326">
        <v>8.3390000000000006E-2</v>
      </c>
      <c r="AZ326">
        <v>-8.4799999999999997E-3</v>
      </c>
      <c r="BA326">
        <v>4.3200000000000001E-3</v>
      </c>
      <c r="BB326">
        <v>-4.0000000000000002E-4</v>
      </c>
      <c r="BC326">
        <v>5.185E-2</v>
      </c>
      <c r="BD326">
        <v>1</v>
      </c>
      <c r="BE326" t="s">
        <v>69</v>
      </c>
      <c r="BF326">
        <v>-0.99</v>
      </c>
      <c r="BG326">
        <v>0.28599999999999998</v>
      </c>
    </row>
    <row r="327" spans="1:59">
      <c r="A327">
        <v>0</v>
      </c>
      <c r="B327">
        <v>2</v>
      </c>
      <c r="C327">
        <v>0</v>
      </c>
      <c r="D327" t="s">
        <v>25022</v>
      </c>
      <c r="E327">
        <v>3800</v>
      </c>
      <c r="F327" t="s">
        <v>22267</v>
      </c>
      <c r="G327" t="s">
        <v>62</v>
      </c>
      <c r="H327">
        <v>3768794</v>
      </c>
      <c r="I327">
        <v>3769108</v>
      </c>
      <c r="J327" t="s">
        <v>22268</v>
      </c>
      <c r="K327">
        <v>105</v>
      </c>
      <c r="L327" t="s">
        <v>125</v>
      </c>
      <c r="M327">
        <v>48</v>
      </c>
      <c r="N327" t="str">
        <f>HYPERLINK("Gene3800-zp_tree_all.dnd", "Gene3800-tree")</f>
        <v>Gene3800-tree</v>
      </c>
      <c r="O327">
        <v>11</v>
      </c>
      <c r="P327">
        <v>4</v>
      </c>
      <c r="Q327">
        <v>11</v>
      </c>
      <c r="R327">
        <v>4</v>
      </c>
      <c r="S327">
        <v>0.26667000000000002</v>
      </c>
      <c r="T327" t="s">
        <v>73</v>
      </c>
      <c r="U327" t="s">
        <v>61</v>
      </c>
      <c r="V327" t="s">
        <v>62</v>
      </c>
      <c r="W327" t="s">
        <v>62</v>
      </c>
      <c r="X327">
        <v>1</v>
      </c>
      <c r="Y327">
        <v>2</v>
      </c>
      <c r="Z327">
        <v>3</v>
      </c>
      <c r="AA327">
        <v>0.4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</v>
      </c>
      <c r="AH327">
        <v>0</v>
      </c>
      <c r="AI327">
        <v>2</v>
      </c>
      <c r="AJ327">
        <v>2</v>
      </c>
      <c r="AK327">
        <v>0.5</v>
      </c>
      <c r="AL327">
        <v>12</v>
      </c>
      <c r="AM327">
        <v>7</v>
      </c>
      <c r="AN327">
        <v>18</v>
      </c>
      <c r="AO327">
        <v>4</v>
      </c>
      <c r="AP327">
        <v>20</v>
      </c>
      <c r="AQ327">
        <v>1</v>
      </c>
      <c r="AR327" t="s">
        <v>22269</v>
      </c>
      <c r="AS327" t="s">
        <v>22270</v>
      </c>
      <c r="AT327">
        <v>0.89100000000000001</v>
      </c>
      <c r="AU327" t="s">
        <v>65</v>
      </c>
      <c r="AV327">
        <v>38</v>
      </c>
      <c r="AW327">
        <v>5</v>
      </c>
      <c r="AX327" t="s">
        <v>22271</v>
      </c>
      <c r="AY327">
        <v>0.11724</v>
      </c>
      <c r="AZ327">
        <v>-8.0499999999999999E-3</v>
      </c>
      <c r="BA327">
        <v>3.4199999999999999E-3</v>
      </c>
      <c r="BB327">
        <v>-2.7E-4</v>
      </c>
      <c r="BC327">
        <v>2.9190000000000001E-2</v>
      </c>
      <c r="BD327">
        <v>1</v>
      </c>
      <c r="BE327" t="s">
        <v>69</v>
      </c>
      <c r="BF327">
        <v>-0.68</v>
      </c>
      <c r="BG327">
        <v>0.29099999999999998</v>
      </c>
    </row>
    <row r="328" spans="1:59">
      <c r="A328">
        <v>0</v>
      </c>
      <c r="B328">
        <v>0</v>
      </c>
      <c r="C328">
        <v>0</v>
      </c>
      <c r="D328" t="s">
        <v>25022</v>
      </c>
      <c r="E328">
        <v>1852</v>
      </c>
      <c r="F328" t="s">
        <v>11599</v>
      </c>
      <c r="G328" t="s">
        <v>57</v>
      </c>
      <c r="H328">
        <v>1918406</v>
      </c>
      <c r="I328">
        <v>1918720</v>
      </c>
      <c r="J328" t="s">
        <v>11600</v>
      </c>
      <c r="K328">
        <v>105</v>
      </c>
      <c r="L328" t="s">
        <v>108</v>
      </c>
      <c r="M328">
        <v>44</v>
      </c>
      <c r="N328" t="str">
        <f>HYPERLINK("Gene1852-zp_tree_all.dnd", "Gene1852-tree")</f>
        <v>Gene1852-tree</v>
      </c>
      <c r="O328">
        <v>8</v>
      </c>
      <c r="P328">
        <v>1</v>
      </c>
      <c r="Q328">
        <v>8</v>
      </c>
      <c r="R328">
        <v>1</v>
      </c>
      <c r="S328">
        <v>0.11111</v>
      </c>
      <c r="T328" t="s">
        <v>136</v>
      </c>
      <c r="U328" t="s">
        <v>175</v>
      </c>
      <c r="V328" t="s">
        <v>62</v>
      </c>
      <c r="W328" t="s">
        <v>62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4</v>
      </c>
      <c r="AM328">
        <v>4</v>
      </c>
      <c r="AN328">
        <v>3</v>
      </c>
      <c r="AO328">
        <v>1</v>
      </c>
      <c r="AP328">
        <v>6</v>
      </c>
      <c r="AQ328">
        <v>0</v>
      </c>
      <c r="AR328" t="s">
        <v>11601</v>
      </c>
      <c r="AS328" t="s">
        <v>193</v>
      </c>
      <c r="AT328">
        <v>0.6</v>
      </c>
      <c r="AU328" t="s">
        <v>65</v>
      </c>
      <c r="AV328">
        <v>9</v>
      </c>
      <c r="AW328">
        <v>1</v>
      </c>
      <c r="AX328" t="s">
        <v>11602</v>
      </c>
      <c r="AY328">
        <v>5.5410000000000001E-2</v>
      </c>
      <c r="AZ328">
        <v>-5.4999999999999997E-3</v>
      </c>
      <c r="BA328">
        <v>8.9999999999999998E-4</v>
      </c>
      <c r="BB328">
        <v>-2.7999999999999998E-4</v>
      </c>
      <c r="BC328">
        <v>1.6299999999999999E-2</v>
      </c>
      <c r="BD328">
        <v>1</v>
      </c>
      <c r="BE328" t="s">
        <v>69</v>
      </c>
      <c r="BF328">
        <v>1.6879999999999999</v>
      </c>
      <c r="BG328">
        <v>0.71599999999999997</v>
      </c>
    </row>
    <row r="329" spans="1:59">
      <c r="A329">
        <v>0</v>
      </c>
      <c r="B329">
        <v>4</v>
      </c>
      <c r="C329">
        <v>0</v>
      </c>
      <c r="D329" t="s">
        <v>25022</v>
      </c>
      <c r="E329">
        <v>3326</v>
      </c>
      <c r="F329" t="s">
        <v>19422</v>
      </c>
      <c r="G329" t="s">
        <v>62</v>
      </c>
      <c r="H329">
        <v>3299347</v>
      </c>
      <c r="I329">
        <v>3299664</v>
      </c>
      <c r="J329" t="s">
        <v>116</v>
      </c>
      <c r="K329">
        <v>106</v>
      </c>
      <c r="L329" t="s">
        <v>59</v>
      </c>
      <c r="M329">
        <v>49</v>
      </c>
      <c r="N329" t="str">
        <f>HYPERLINK("Gene3326-zp_tree_all.dnd", "Gene3326-tree")</f>
        <v>Gene3326-tree</v>
      </c>
      <c r="O329">
        <v>13</v>
      </c>
      <c r="P329">
        <v>4</v>
      </c>
      <c r="Q329">
        <v>13</v>
      </c>
      <c r="R329">
        <v>4</v>
      </c>
      <c r="S329">
        <v>0.23529</v>
      </c>
      <c r="T329" t="s">
        <v>507</v>
      </c>
      <c r="U329" t="s">
        <v>61</v>
      </c>
      <c r="V329" t="s">
        <v>62</v>
      </c>
      <c r="W329" t="s">
        <v>62</v>
      </c>
      <c r="X329">
        <v>2</v>
      </c>
      <c r="Y329">
        <v>4</v>
      </c>
      <c r="Z329">
        <v>9</v>
      </c>
      <c r="AA329">
        <v>0.30769000000000002</v>
      </c>
      <c r="AB329">
        <v>0</v>
      </c>
      <c r="AC329">
        <v>0</v>
      </c>
      <c r="AD329">
        <v>0</v>
      </c>
      <c r="AE329">
        <v>4</v>
      </c>
      <c r="AF329">
        <v>0</v>
      </c>
      <c r="AG329">
        <v>0</v>
      </c>
      <c r="AH329">
        <v>0</v>
      </c>
      <c r="AI329">
        <v>0</v>
      </c>
      <c r="AJ329">
        <v>5</v>
      </c>
      <c r="AK329">
        <v>0</v>
      </c>
      <c r="AL329">
        <v>11</v>
      </c>
      <c r="AM329">
        <v>8</v>
      </c>
      <c r="AN329">
        <v>19</v>
      </c>
      <c r="AO329">
        <v>6</v>
      </c>
      <c r="AP329">
        <v>8</v>
      </c>
      <c r="AQ329">
        <v>8</v>
      </c>
      <c r="AR329" t="s">
        <v>19423</v>
      </c>
      <c r="AS329" t="s">
        <v>19424</v>
      </c>
      <c r="AT329">
        <v>1.147</v>
      </c>
      <c r="AU329" t="s">
        <v>65</v>
      </c>
      <c r="AV329">
        <v>27</v>
      </c>
      <c r="AW329">
        <v>14</v>
      </c>
      <c r="AX329" t="s">
        <v>19425</v>
      </c>
      <c r="AY329">
        <v>6.1429999999999998E-2</v>
      </c>
      <c r="AZ329">
        <v>-3.0500000000000002E-3</v>
      </c>
      <c r="BA329">
        <v>1.355E-2</v>
      </c>
      <c r="BB329">
        <v>-8.0000000000000004E-4</v>
      </c>
      <c r="BC329">
        <v>0.22056999999999999</v>
      </c>
      <c r="BD329">
        <v>1</v>
      </c>
      <c r="BE329" t="s">
        <v>69</v>
      </c>
      <c r="BF329">
        <v>-1.294</v>
      </c>
      <c r="BG329">
        <v>-1.401</v>
      </c>
    </row>
    <row r="330" spans="1:59">
      <c r="A330">
        <v>0</v>
      </c>
      <c r="B330">
        <v>2</v>
      </c>
      <c r="C330">
        <v>2</v>
      </c>
      <c r="D330" t="s">
        <v>25022</v>
      </c>
      <c r="E330">
        <v>3398</v>
      </c>
      <c r="F330" t="s">
        <v>19877</v>
      </c>
      <c r="G330" t="s">
        <v>62</v>
      </c>
      <c r="H330">
        <v>3365072</v>
      </c>
      <c r="I330">
        <v>3365389</v>
      </c>
      <c r="J330" t="s">
        <v>17984</v>
      </c>
      <c r="K330">
        <v>106</v>
      </c>
      <c r="L330" t="s">
        <v>214</v>
      </c>
      <c r="M330">
        <v>48</v>
      </c>
      <c r="N330" t="str">
        <f>HYPERLINK("Gene3398-zp_tree_all.dnd", "Gene3398-tree")</f>
        <v>Gene3398-tree</v>
      </c>
      <c r="O330">
        <v>6</v>
      </c>
      <c r="P330">
        <v>4</v>
      </c>
      <c r="Q330">
        <v>6</v>
      </c>
      <c r="R330">
        <v>4</v>
      </c>
      <c r="S330">
        <v>0.4</v>
      </c>
      <c r="T330" t="s">
        <v>90</v>
      </c>
      <c r="U330" t="s">
        <v>61</v>
      </c>
      <c r="V330" t="s">
        <v>62</v>
      </c>
      <c r="W330" t="s">
        <v>62</v>
      </c>
      <c r="X330">
        <v>2</v>
      </c>
      <c r="Y330">
        <v>4</v>
      </c>
      <c r="Z330">
        <v>6</v>
      </c>
      <c r="AA330">
        <v>0.4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6</v>
      </c>
      <c r="AK330">
        <v>0</v>
      </c>
      <c r="AL330">
        <v>8</v>
      </c>
      <c r="AM330">
        <v>4</v>
      </c>
      <c r="AN330">
        <v>13</v>
      </c>
      <c r="AO330">
        <v>6</v>
      </c>
      <c r="AP330">
        <v>12</v>
      </c>
      <c r="AQ330">
        <v>4</v>
      </c>
      <c r="AR330" t="s">
        <v>19878</v>
      </c>
      <c r="AS330" t="s">
        <v>19879</v>
      </c>
      <c r="AT330">
        <v>0.32900000000000001</v>
      </c>
      <c r="AU330" t="s">
        <v>65</v>
      </c>
      <c r="AV330">
        <v>25</v>
      </c>
      <c r="AW330">
        <v>10</v>
      </c>
      <c r="AX330" t="s">
        <v>19880</v>
      </c>
      <c r="AY330">
        <v>0.11082</v>
      </c>
      <c r="AZ330">
        <v>-1.039E-2</v>
      </c>
      <c r="BA330">
        <v>1.214E-2</v>
      </c>
      <c r="BB330">
        <v>-1.0300000000000001E-3</v>
      </c>
      <c r="BC330">
        <v>0.10959000000000001</v>
      </c>
      <c r="BD330">
        <v>1</v>
      </c>
      <c r="BE330" t="s">
        <v>69</v>
      </c>
      <c r="BF330">
        <v>-1.508</v>
      </c>
      <c r="BG330">
        <v>-2.391</v>
      </c>
    </row>
    <row r="331" spans="1:59">
      <c r="A331">
        <v>0</v>
      </c>
      <c r="B331">
        <v>2</v>
      </c>
      <c r="C331">
        <v>2</v>
      </c>
      <c r="D331" t="s">
        <v>25022</v>
      </c>
      <c r="E331">
        <v>4007</v>
      </c>
      <c r="F331" t="s">
        <v>23569</v>
      </c>
      <c r="G331" t="s">
        <v>62</v>
      </c>
      <c r="H331">
        <v>3970002</v>
      </c>
      <c r="I331">
        <v>3970319</v>
      </c>
      <c r="J331" t="s">
        <v>23570</v>
      </c>
      <c r="K331">
        <v>106</v>
      </c>
      <c r="L331" t="s">
        <v>1196</v>
      </c>
      <c r="M331">
        <v>39</v>
      </c>
      <c r="N331" t="str">
        <f>HYPERLINK("Gene4007-zp_tree_all.dnd", "Gene4007-tree")</f>
        <v>Gene4007-tree</v>
      </c>
      <c r="O331">
        <v>1</v>
      </c>
      <c r="P331">
        <v>3</v>
      </c>
      <c r="Q331">
        <v>1</v>
      </c>
      <c r="R331">
        <v>3</v>
      </c>
      <c r="S331">
        <v>0.75</v>
      </c>
      <c r="T331" t="s">
        <v>175</v>
      </c>
      <c r="U331" t="s">
        <v>324</v>
      </c>
      <c r="V331" t="s">
        <v>62</v>
      </c>
      <c r="W331" t="s">
        <v>62</v>
      </c>
      <c r="X331">
        <v>2</v>
      </c>
      <c r="Y331">
        <v>4</v>
      </c>
      <c r="Z331">
        <v>1</v>
      </c>
      <c r="AA331">
        <v>0.8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</v>
      </c>
      <c r="AH331">
        <v>0</v>
      </c>
      <c r="AI331">
        <v>2</v>
      </c>
      <c r="AJ331">
        <v>2</v>
      </c>
      <c r="AK331">
        <v>0.5</v>
      </c>
      <c r="AL331">
        <v>4</v>
      </c>
      <c r="AM331">
        <v>1</v>
      </c>
      <c r="AN331">
        <v>14</v>
      </c>
      <c r="AO331">
        <v>4</v>
      </c>
      <c r="AP331">
        <v>0</v>
      </c>
      <c r="AQ331">
        <v>1</v>
      </c>
      <c r="AR331" t="s">
        <v>23571</v>
      </c>
      <c r="AS331" t="s">
        <v>193</v>
      </c>
      <c r="AT331">
        <v>2.1760000000000002</v>
      </c>
      <c r="AU331" t="s">
        <v>267</v>
      </c>
      <c r="AV331">
        <v>14</v>
      </c>
      <c r="AW331">
        <v>5</v>
      </c>
      <c r="AX331" t="s">
        <v>23572</v>
      </c>
      <c r="AY331">
        <v>0.10718</v>
      </c>
      <c r="AZ331">
        <v>-2.0539999999999999E-2</v>
      </c>
      <c r="BA331">
        <v>9.7400000000000004E-3</v>
      </c>
      <c r="BB331">
        <v>-1.2800000000000001E-3</v>
      </c>
      <c r="BC331">
        <v>9.0889999999999999E-2</v>
      </c>
      <c r="BD331">
        <v>1</v>
      </c>
      <c r="BE331" t="s">
        <v>69</v>
      </c>
      <c r="BF331">
        <v>-1.53</v>
      </c>
      <c r="BG331">
        <v>-2.6720000000000002</v>
      </c>
    </row>
    <row r="332" spans="1:59">
      <c r="A332">
        <v>0</v>
      </c>
      <c r="B332">
        <v>0</v>
      </c>
      <c r="C332">
        <v>0</v>
      </c>
      <c r="D332" t="s">
        <v>25022</v>
      </c>
      <c r="E332">
        <v>1681</v>
      </c>
      <c r="F332" t="s">
        <v>10531</v>
      </c>
      <c r="G332" t="s">
        <v>57</v>
      </c>
      <c r="H332">
        <v>1692130</v>
      </c>
      <c r="I332">
        <v>1692447</v>
      </c>
      <c r="J332" t="s">
        <v>10532</v>
      </c>
      <c r="K332">
        <v>106</v>
      </c>
      <c r="L332" t="s">
        <v>59</v>
      </c>
      <c r="M332">
        <v>49</v>
      </c>
      <c r="N332" t="str">
        <f>HYPERLINK("Gene1681-zp_tree_all.dnd", "Gene1681-tree")</f>
        <v>Gene1681-tree</v>
      </c>
      <c r="O332">
        <v>4</v>
      </c>
      <c r="P332">
        <v>2</v>
      </c>
      <c r="Q332">
        <v>4</v>
      </c>
      <c r="R332">
        <v>2</v>
      </c>
      <c r="S332">
        <v>0.33333000000000002</v>
      </c>
      <c r="T332" t="s">
        <v>61</v>
      </c>
      <c r="U332" t="s">
        <v>81</v>
      </c>
      <c r="V332" t="s">
        <v>62</v>
      </c>
      <c r="W332" t="s">
        <v>62</v>
      </c>
      <c r="X332">
        <v>0</v>
      </c>
      <c r="Y332">
        <v>0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0</v>
      </c>
      <c r="AL332">
        <v>4</v>
      </c>
      <c r="AM332">
        <v>2</v>
      </c>
      <c r="AN332">
        <v>4</v>
      </c>
      <c r="AO332">
        <v>2</v>
      </c>
      <c r="AP332">
        <v>2</v>
      </c>
      <c r="AQ332">
        <v>0</v>
      </c>
      <c r="AR332" t="s">
        <v>10533</v>
      </c>
      <c r="AS332" t="s">
        <v>193</v>
      </c>
      <c r="AT332">
        <v>0.79500000000000004</v>
      </c>
      <c r="AU332" t="s">
        <v>65</v>
      </c>
      <c r="AV332">
        <v>6</v>
      </c>
      <c r="AW332">
        <v>2</v>
      </c>
      <c r="AX332" t="s">
        <v>10534</v>
      </c>
      <c r="AY332">
        <v>3.6249999999999998E-2</v>
      </c>
      <c r="AZ332">
        <v>-6.6400000000000001E-3</v>
      </c>
      <c r="BA332">
        <v>2.66E-3</v>
      </c>
      <c r="BB332">
        <v>-5.9000000000000003E-4</v>
      </c>
      <c r="BC332">
        <v>7.3419999999999999E-2</v>
      </c>
      <c r="BD332">
        <v>0.98899999999999999</v>
      </c>
      <c r="BE332" t="s">
        <v>69</v>
      </c>
      <c r="BF332">
        <v>-1.1439999999999999</v>
      </c>
      <c r="BG332">
        <v>-0.308</v>
      </c>
    </row>
    <row r="333" spans="1:59">
      <c r="A333">
        <v>0</v>
      </c>
      <c r="B333">
        <v>0</v>
      </c>
      <c r="C333">
        <v>0</v>
      </c>
      <c r="D333" t="s">
        <v>25022</v>
      </c>
      <c r="E333">
        <v>823</v>
      </c>
      <c r="F333" t="s">
        <v>5128</v>
      </c>
      <c r="G333" t="s">
        <v>57</v>
      </c>
      <c r="H333">
        <v>862492</v>
      </c>
      <c r="I333">
        <v>862809</v>
      </c>
      <c r="J333" t="s">
        <v>288</v>
      </c>
      <c r="K333">
        <v>106</v>
      </c>
      <c r="L333" t="s">
        <v>108</v>
      </c>
      <c r="M333">
        <v>44</v>
      </c>
      <c r="N333" t="str">
        <f>HYPERLINK("Gene823-zp_tree_all.dnd", "Gene823-tree")</f>
        <v>Gene823-tree</v>
      </c>
      <c r="O333">
        <v>6</v>
      </c>
      <c r="P333">
        <v>3</v>
      </c>
      <c r="Q333">
        <v>6</v>
      </c>
      <c r="R333">
        <v>3</v>
      </c>
      <c r="S333">
        <v>0.33333000000000002</v>
      </c>
      <c r="T333" t="s">
        <v>90</v>
      </c>
      <c r="U333" t="s">
        <v>324</v>
      </c>
      <c r="V333" t="s">
        <v>62</v>
      </c>
      <c r="W333" t="s">
        <v>62</v>
      </c>
      <c r="X333">
        <v>0</v>
      </c>
      <c r="Y333">
        <v>0</v>
      </c>
      <c r="Z333">
        <v>3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</v>
      </c>
      <c r="AK333">
        <v>0</v>
      </c>
      <c r="AL333">
        <v>6</v>
      </c>
      <c r="AM333">
        <v>4</v>
      </c>
      <c r="AN333">
        <v>10</v>
      </c>
      <c r="AO333">
        <v>3</v>
      </c>
      <c r="AP333">
        <v>9</v>
      </c>
      <c r="AQ333">
        <v>0</v>
      </c>
      <c r="AR333" t="s">
        <v>5129</v>
      </c>
      <c r="AS333" t="s">
        <v>193</v>
      </c>
      <c r="AT333">
        <v>2.2639999999999998</v>
      </c>
      <c r="AU333" t="s">
        <v>267</v>
      </c>
      <c r="AV333">
        <v>19</v>
      </c>
      <c r="AW333">
        <v>3</v>
      </c>
      <c r="AX333" t="s">
        <v>5130</v>
      </c>
      <c r="AY333">
        <v>9.2189999999999994E-2</v>
      </c>
      <c r="AZ333">
        <v>-8.2100000000000003E-3</v>
      </c>
      <c r="BA333">
        <v>2.7299999999999998E-3</v>
      </c>
      <c r="BB333">
        <v>-4.2000000000000002E-4</v>
      </c>
      <c r="BC333">
        <v>2.9579999999999999E-2</v>
      </c>
      <c r="BD333">
        <v>1</v>
      </c>
      <c r="BE333" t="s">
        <v>69</v>
      </c>
      <c r="BF333">
        <v>0.13100000000000001</v>
      </c>
      <c r="BG333">
        <v>-0.46100000000000002</v>
      </c>
    </row>
    <row r="334" spans="1:59">
      <c r="A334">
        <v>0</v>
      </c>
      <c r="B334">
        <v>0</v>
      </c>
      <c r="C334">
        <v>0</v>
      </c>
      <c r="D334" t="s">
        <v>25022</v>
      </c>
      <c r="E334">
        <v>971</v>
      </c>
      <c r="F334" t="s">
        <v>6082</v>
      </c>
      <c r="G334" t="s">
        <v>57</v>
      </c>
      <c r="H334">
        <v>1011427</v>
      </c>
      <c r="I334">
        <v>1011747</v>
      </c>
      <c r="J334" t="s">
        <v>2332</v>
      </c>
      <c r="K334">
        <v>107</v>
      </c>
      <c r="L334" t="s">
        <v>108</v>
      </c>
      <c r="M334">
        <v>44</v>
      </c>
      <c r="N334" t="str">
        <f>HYPERLINK("Gene971-zp_tree_all.dnd", "Gene971-tree")</f>
        <v>Gene971-tree</v>
      </c>
      <c r="O334">
        <v>29</v>
      </c>
      <c r="P334">
        <v>2</v>
      </c>
      <c r="Q334">
        <v>8</v>
      </c>
      <c r="R334">
        <v>2</v>
      </c>
      <c r="S334">
        <v>0.2</v>
      </c>
      <c r="T334" t="s">
        <v>4745</v>
      </c>
      <c r="U334" t="s">
        <v>81</v>
      </c>
      <c r="V334" t="s">
        <v>62</v>
      </c>
      <c r="W334" t="s">
        <v>62</v>
      </c>
      <c r="X334">
        <v>0</v>
      </c>
      <c r="Y334">
        <v>0</v>
      </c>
      <c r="Z334">
        <v>3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2</v>
      </c>
      <c r="AK334">
        <v>0</v>
      </c>
      <c r="AL334">
        <v>6</v>
      </c>
      <c r="AM334">
        <v>4</v>
      </c>
      <c r="AN334">
        <v>9</v>
      </c>
      <c r="AO334">
        <v>2</v>
      </c>
      <c r="AP334">
        <v>3</v>
      </c>
      <c r="AQ334">
        <v>1</v>
      </c>
      <c r="AR334" t="s">
        <v>6083</v>
      </c>
      <c r="AS334" t="s">
        <v>6084</v>
      </c>
      <c r="AT334">
        <v>0.19</v>
      </c>
      <c r="AU334" t="s">
        <v>65</v>
      </c>
      <c r="AV334">
        <v>12</v>
      </c>
      <c r="AW334">
        <v>3</v>
      </c>
      <c r="AX334" t="s">
        <v>6085</v>
      </c>
      <c r="AY334">
        <v>4.5650000000000003E-2</v>
      </c>
      <c r="AZ334">
        <v>-3.6099999999999999E-3</v>
      </c>
      <c r="BA334">
        <v>3.7499999999999999E-3</v>
      </c>
      <c r="BB334">
        <v>-4.0000000000000002E-4</v>
      </c>
      <c r="BC334">
        <v>8.2040000000000002E-2</v>
      </c>
      <c r="BD334">
        <v>1</v>
      </c>
      <c r="BE334" t="s">
        <v>69</v>
      </c>
      <c r="BF334">
        <v>0.158</v>
      </c>
      <c r="BG334">
        <v>-1.9450000000000001</v>
      </c>
    </row>
    <row r="335" spans="1:59">
      <c r="A335">
        <v>0</v>
      </c>
      <c r="B335">
        <v>0</v>
      </c>
      <c r="C335">
        <v>0</v>
      </c>
      <c r="D335" t="s">
        <v>25022</v>
      </c>
      <c r="E335">
        <v>3101</v>
      </c>
      <c r="F335" t="s">
        <v>17983</v>
      </c>
      <c r="G335" t="s">
        <v>62</v>
      </c>
      <c r="H335">
        <v>3054191</v>
      </c>
      <c r="I335">
        <v>3054511</v>
      </c>
      <c r="J335" t="s">
        <v>17984</v>
      </c>
      <c r="K335">
        <v>107</v>
      </c>
      <c r="L335" t="s">
        <v>214</v>
      </c>
      <c r="M335">
        <v>48</v>
      </c>
      <c r="N335" t="str">
        <f>HYPERLINK("Gene3101-zp_tree_all.dnd", "Gene3101-tree")</f>
        <v>Gene3101-tree</v>
      </c>
      <c r="O335">
        <v>6</v>
      </c>
      <c r="P335">
        <v>4</v>
      </c>
      <c r="Q335">
        <v>6</v>
      </c>
      <c r="R335">
        <v>4</v>
      </c>
      <c r="S335">
        <v>0.4</v>
      </c>
      <c r="T335" t="s">
        <v>90</v>
      </c>
      <c r="U335" t="s">
        <v>61</v>
      </c>
      <c r="V335" t="s">
        <v>62</v>
      </c>
      <c r="W335" t="s">
        <v>62</v>
      </c>
      <c r="X335">
        <v>0</v>
      </c>
      <c r="Y335">
        <v>0</v>
      </c>
      <c r="Z335">
        <v>5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4</v>
      </c>
      <c r="AK335">
        <v>0</v>
      </c>
      <c r="AL335">
        <v>9</v>
      </c>
      <c r="AM335">
        <v>3</v>
      </c>
      <c r="AN335">
        <v>11</v>
      </c>
      <c r="AO335">
        <v>4</v>
      </c>
      <c r="AP335">
        <v>13</v>
      </c>
      <c r="AQ335">
        <v>1</v>
      </c>
      <c r="AR335" t="s">
        <v>17985</v>
      </c>
      <c r="AS335" t="s">
        <v>17986</v>
      </c>
      <c r="AT335">
        <v>1.1759999999999999</v>
      </c>
      <c r="AU335" t="s">
        <v>65</v>
      </c>
      <c r="AV335">
        <v>24</v>
      </c>
      <c r="AW335">
        <v>5</v>
      </c>
      <c r="AX335" t="s">
        <v>17987</v>
      </c>
      <c r="AY335">
        <v>0.14193</v>
      </c>
      <c r="AZ335">
        <v>-1.5259999999999999E-2</v>
      </c>
      <c r="BA335">
        <v>5.2300000000000003E-3</v>
      </c>
      <c r="BB335">
        <v>-4.6000000000000001E-4</v>
      </c>
      <c r="BC335">
        <v>3.687E-2</v>
      </c>
      <c r="BD335">
        <v>1</v>
      </c>
      <c r="BE335" t="s">
        <v>69</v>
      </c>
      <c r="BF335">
        <v>-1.347</v>
      </c>
      <c r="BG335">
        <v>-1.4890000000000001</v>
      </c>
    </row>
    <row r="336" spans="1:59">
      <c r="A336">
        <v>0</v>
      </c>
      <c r="B336">
        <v>0</v>
      </c>
      <c r="C336">
        <v>0</v>
      </c>
      <c r="D336" t="s">
        <v>25022</v>
      </c>
      <c r="E336">
        <v>2877</v>
      </c>
      <c r="F336" t="s">
        <v>16548</v>
      </c>
      <c r="G336" t="s">
        <v>62</v>
      </c>
      <c r="H336">
        <v>2825849</v>
      </c>
      <c r="I336">
        <v>2826169</v>
      </c>
      <c r="J336" t="s">
        <v>116</v>
      </c>
      <c r="K336">
        <v>107</v>
      </c>
      <c r="L336" t="s">
        <v>108</v>
      </c>
      <c r="M336">
        <v>44</v>
      </c>
      <c r="N336" t="str">
        <f>HYPERLINK("Gene2877-zp_tree_all.dnd", "Gene2877-tree")</f>
        <v>Gene2877-tree</v>
      </c>
      <c r="O336">
        <v>28</v>
      </c>
      <c r="P336">
        <v>1</v>
      </c>
      <c r="Q336">
        <v>6</v>
      </c>
      <c r="R336">
        <v>1</v>
      </c>
      <c r="S336">
        <v>0.14285999999999999</v>
      </c>
      <c r="T336" t="s">
        <v>5497</v>
      </c>
      <c r="U336" t="s">
        <v>175</v>
      </c>
      <c r="V336" t="s">
        <v>62</v>
      </c>
      <c r="W336" t="s">
        <v>62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6</v>
      </c>
      <c r="AM336">
        <v>1</v>
      </c>
      <c r="AN336">
        <v>8</v>
      </c>
      <c r="AO336">
        <v>1</v>
      </c>
      <c r="AP336">
        <v>1</v>
      </c>
      <c r="AQ336">
        <v>0</v>
      </c>
      <c r="AR336" t="s">
        <v>16549</v>
      </c>
      <c r="AS336" t="s">
        <v>193</v>
      </c>
      <c r="AT336">
        <v>0.41499999999999998</v>
      </c>
      <c r="AU336" t="s">
        <v>65</v>
      </c>
      <c r="AV336">
        <v>9</v>
      </c>
      <c r="AW336">
        <v>1</v>
      </c>
      <c r="AX336" t="s">
        <v>16550</v>
      </c>
      <c r="AY336">
        <v>4.0289999999999999E-2</v>
      </c>
      <c r="AZ336">
        <v>-5.1399999999999996E-3</v>
      </c>
      <c r="BA336">
        <v>1.15E-3</v>
      </c>
      <c r="BB336">
        <v>-3.8999999999999999E-4</v>
      </c>
      <c r="BC336">
        <v>2.845E-2</v>
      </c>
      <c r="BD336">
        <v>1</v>
      </c>
      <c r="BE336" t="s">
        <v>69</v>
      </c>
      <c r="BF336">
        <v>-1.3939999999999999</v>
      </c>
      <c r="BG336">
        <v>-2.7679999999999998</v>
      </c>
    </row>
    <row r="337" spans="1:59">
      <c r="A337">
        <v>0</v>
      </c>
      <c r="B337">
        <v>0</v>
      </c>
      <c r="C337">
        <v>0</v>
      </c>
      <c r="D337" t="s">
        <v>25022</v>
      </c>
      <c r="E337">
        <v>2466</v>
      </c>
      <c r="F337" t="s">
        <v>14367</v>
      </c>
      <c r="G337" t="s">
        <v>62</v>
      </c>
      <c r="H337">
        <v>2461876</v>
      </c>
      <c r="I337">
        <v>2462196</v>
      </c>
      <c r="J337" t="s">
        <v>116</v>
      </c>
      <c r="K337">
        <v>107</v>
      </c>
      <c r="L337" t="s">
        <v>59</v>
      </c>
      <c r="M337">
        <v>49</v>
      </c>
      <c r="N337" t="str">
        <f>HYPERLINK("Gene2466-zp_tree_all.dnd", "Gene2466-tree")</f>
        <v>Gene2466-tree</v>
      </c>
      <c r="O337">
        <v>12</v>
      </c>
      <c r="P337">
        <v>1</v>
      </c>
      <c r="Q337">
        <v>12</v>
      </c>
      <c r="R337">
        <v>1</v>
      </c>
      <c r="S337">
        <v>7.6920000000000002E-2</v>
      </c>
      <c r="T337" t="s">
        <v>109</v>
      </c>
      <c r="U337" t="s">
        <v>175</v>
      </c>
      <c r="V337" t="s">
        <v>62</v>
      </c>
      <c r="W337" t="s">
        <v>62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9</v>
      </c>
      <c r="AM337">
        <v>5</v>
      </c>
      <c r="AN337">
        <v>11</v>
      </c>
      <c r="AO337">
        <v>1</v>
      </c>
      <c r="AP337">
        <v>13</v>
      </c>
      <c r="AQ337">
        <v>0</v>
      </c>
      <c r="AR337" t="s">
        <v>14368</v>
      </c>
      <c r="AS337" t="s">
        <v>193</v>
      </c>
      <c r="AT337">
        <v>0.36899999999999999</v>
      </c>
      <c r="AU337" t="s">
        <v>65</v>
      </c>
      <c r="AV337">
        <v>24</v>
      </c>
      <c r="AW337">
        <v>1</v>
      </c>
      <c r="AX337" t="s">
        <v>14369</v>
      </c>
      <c r="AY337">
        <v>9.6250000000000002E-2</v>
      </c>
      <c r="AZ337">
        <v>-6.6E-3</v>
      </c>
      <c r="BA337">
        <v>6.2E-4</v>
      </c>
      <c r="BB337">
        <v>-1.6000000000000001E-4</v>
      </c>
      <c r="BC337">
        <v>6.4000000000000003E-3</v>
      </c>
      <c r="BD337">
        <v>1</v>
      </c>
      <c r="BE337" t="s">
        <v>69</v>
      </c>
      <c r="BF337">
        <v>-1.3140000000000001</v>
      </c>
      <c r="BG337">
        <v>-0.155</v>
      </c>
    </row>
    <row r="338" spans="1:59">
      <c r="A338">
        <v>0</v>
      </c>
      <c r="B338">
        <v>0</v>
      </c>
      <c r="C338">
        <v>0</v>
      </c>
      <c r="D338" t="s">
        <v>25022</v>
      </c>
      <c r="E338">
        <v>1991</v>
      </c>
      <c r="F338" t="s">
        <v>12400</v>
      </c>
      <c r="G338" t="s">
        <v>62</v>
      </c>
      <c r="H338">
        <v>2084789</v>
      </c>
      <c r="I338">
        <v>2085109</v>
      </c>
      <c r="J338" t="s">
        <v>12401</v>
      </c>
      <c r="K338">
        <v>107</v>
      </c>
      <c r="L338" t="s">
        <v>108</v>
      </c>
      <c r="M338">
        <v>44</v>
      </c>
      <c r="N338" t="str">
        <f>HYPERLINK("Gene1991-zp_tree_all.dnd", "Gene1991-tree")</f>
        <v>Gene1991-tree</v>
      </c>
      <c r="O338">
        <v>11</v>
      </c>
      <c r="P338">
        <v>0</v>
      </c>
      <c r="Q338">
        <v>11</v>
      </c>
      <c r="R338">
        <v>0</v>
      </c>
      <c r="S338">
        <v>0</v>
      </c>
      <c r="T338" t="s">
        <v>73</v>
      </c>
      <c r="U338" t="s">
        <v>62</v>
      </c>
      <c r="V338" t="s">
        <v>62</v>
      </c>
      <c r="W338" t="s">
        <v>62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5</v>
      </c>
      <c r="AM338">
        <v>7</v>
      </c>
      <c r="AN338">
        <v>10</v>
      </c>
      <c r="AO338">
        <v>0</v>
      </c>
      <c r="AP338">
        <v>11</v>
      </c>
      <c r="AQ338">
        <v>0</v>
      </c>
      <c r="AR338" t="s">
        <v>193</v>
      </c>
      <c r="AS338" t="s">
        <v>193</v>
      </c>
      <c r="AT338">
        <v>0</v>
      </c>
      <c r="AU338" t="s">
        <v>65</v>
      </c>
      <c r="AV338">
        <v>21</v>
      </c>
      <c r="AW338">
        <v>0</v>
      </c>
      <c r="AX338" t="s">
        <v>12402</v>
      </c>
      <c r="AY338">
        <v>8.1220000000000001E-2</v>
      </c>
      <c r="AZ338">
        <v>-4.8599999999999997E-3</v>
      </c>
      <c r="BA338">
        <v>0</v>
      </c>
      <c r="BB338">
        <v>0</v>
      </c>
      <c r="BC338">
        <v>0</v>
      </c>
      <c r="BD338">
        <v>1</v>
      </c>
      <c r="BE338" t="s">
        <v>69</v>
      </c>
      <c r="BF338">
        <v>1.006</v>
      </c>
      <c r="BG338">
        <v>-0.1</v>
      </c>
    </row>
    <row r="339" spans="1:59">
      <c r="A339">
        <v>0</v>
      </c>
      <c r="B339">
        <v>0</v>
      </c>
      <c r="C339">
        <v>0</v>
      </c>
      <c r="D339" t="s">
        <v>25022</v>
      </c>
      <c r="E339">
        <v>20</v>
      </c>
      <c r="F339" t="s">
        <v>212</v>
      </c>
      <c r="G339" t="s">
        <v>57</v>
      </c>
      <c r="H339">
        <v>28529</v>
      </c>
      <c r="I339">
        <v>28849</v>
      </c>
      <c r="J339" t="s">
        <v>213</v>
      </c>
      <c r="K339">
        <v>107</v>
      </c>
      <c r="L339" t="s">
        <v>214</v>
      </c>
      <c r="M339">
        <v>48</v>
      </c>
      <c r="N339" t="str">
        <f>HYPERLINK("Gene20-zp_tree_all.dnd", "Gene20-tree")</f>
        <v>Gene20-tree</v>
      </c>
      <c r="O339">
        <v>48</v>
      </c>
      <c r="P339">
        <v>0</v>
      </c>
      <c r="Q339">
        <v>8</v>
      </c>
      <c r="R339">
        <v>0</v>
      </c>
      <c r="S339">
        <v>0</v>
      </c>
      <c r="T339" t="s">
        <v>215</v>
      </c>
      <c r="U339" t="s">
        <v>62</v>
      </c>
      <c r="V339" t="s">
        <v>62</v>
      </c>
      <c r="W339" t="s">
        <v>62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4</v>
      </c>
      <c r="AM339">
        <v>4</v>
      </c>
      <c r="AN339">
        <v>4</v>
      </c>
      <c r="AO339">
        <v>0</v>
      </c>
      <c r="AP339">
        <v>10</v>
      </c>
      <c r="AQ339">
        <v>0</v>
      </c>
      <c r="AR339" t="s">
        <v>193</v>
      </c>
      <c r="AS339" t="s">
        <v>193</v>
      </c>
      <c r="AT339">
        <v>0</v>
      </c>
      <c r="AU339" t="s">
        <v>65</v>
      </c>
      <c r="AV339">
        <v>14</v>
      </c>
      <c r="AW339">
        <v>0</v>
      </c>
      <c r="AX339" t="s">
        <v>216</v>
      </c>
      <c r="AY339">
        <v>0.1065</v>
      </c>
      <c r="AZ339">
        <v>-1.2540000000000001E-2</v>
      </c>
      <c r="BA339">
        <v>0</v>
      </c>
      <c r="BB339">
        <v>0</v>
      </c>
      <c r="BC339">
        <v>0</v>
      </c>
      <c r="BD339">
        <v>1</v>
      </c>
      <c r="BE339" t="s">
        <v>69</v>
      </c>
      <c r="BF339">
        <v>-1.514</v>
      </c>
      <c r="BG339">
        <v>-1.014</v>
      </c>
    </row>
    <row r="340" spans="1:59">
      <c r="A340">
        <v>0</v>
      </c>
      <c r="B340">
        <v>4</v>
      </c>
      <c r="C340">
        <v>0</v>
      </c>
      <c r="D340" t="s">
        <v>25022</v>
      </c>
      <c r="E340">
        <v>3094</v>
      </c>
      <c r="F340" t="s">
        <v>17936</v>
      </c>
      <c r="G340" t="s">
        <v>62</v>
      </c>
      <c r="H340">
        <v>3046760</v>
      </c>
      <c r="I340">
        <v>3047083</v>
      </c>
      <c r="J340" t="s">
        <v>17937</v>
      </c>
      <c r="K340">
        <v>108</v>
      </c>
      <c r="L340" t="s">
        <v>108</v>
      </c>
      <c r="M340">
        <v>44</v>
      </c>
      <c r="N340" t="str">
        <f>HYPERLINK("Gene3094-zp_tree_all.dnd", "Gene3094-tree")</f>
        <v>Gene3094-tree</v>
      </c>
      <c r="O340">
        <v>25</v>
      </c>
      <c r="P340">
        <v>4</v>
      </c>
      <c r="Q340">
        <v>5</v>
      </c>
      <c r="R340">
        <v>4</v>
      </c>
      <c r="S340">
        <v>0.44444</v>
      </c>
      <c r="T340" t="s">
        <v>4839</v>
      </c>
      <c r="U340" t="s">
        <v>61</v>
      </c>
      <c r="V340" t="s">
        <v>62</v>
      </c>
      <c r="W340" t="s">
        <v>62</v>
      </c>
      <c r="X340">
        <v>2</v>
      </c>
      <c r="Y340">
        <v>4</v>
      </c>
      <c r="Z340">
        <v>4</v>
      </c>
      <c r="AA340">
        <v>0.5</v>
      </c>
      <c r="AB340">
        <v>0</v>
      </c>
      <c r="AC340">
        <v>0</v>
      </c>
      <c r="AD340">
        <v>0</v>
      </c>
      <c r="AE340">
        <v>2</v>
      </c>
      <c r="AF340">
        <v>0</v>
      </c>
      <c r="AG340">
        <v>0</v>
      </c>
      <c r="AH340">
        <v>0</v>
      </c>
      <c r="AI340">
        <v>0</v>
      </c>
      <c r="AJ340">
        <v>5</v>
      </c>
      <c r="AK340">
        <v>0</v>
      </c>
      <c r="AL340">
        <v>6</v>
      </c>
      <c r="AM340">
        <v>4</v>
      </c>
      <c r="AN340">
        <v>4</v>
      </c>
      <c r="AO340">
        <v>5</v>
      </c>
      <c r="AP340">
        <v>1</v>
      </c>
      <c r="AQ340">
        <v>3</v>
      </c>
      <c r="AR340" t="s">
        <v>17938</v>
      </c>
      <c r="AS340" t="s">
        <v>17939</v>
      </c>
      <c r="AT340">
        <v>0.34100000000000003</v>
      </c>
      <c r="AU340" t="s">
        <v>65</v>
      </c>
      <c r="AV340">
        <v>5</v>
      </c>
      <c r="AW340">
        <v>8</v>
      </c>
      <c r="AX340" t="s">
        <v>17940</v>
      </c>
      <c r="AY340">
        <v>1.9810000000000001E-2</v>
      </c>
      <c r="AZ340">
        <v>-2.0699999999999998E-3</v>
      </c>
      <c r="BA340">
        <v>8.2799999999999992E-3</v>
      </c>
      <c r="BB340">
        <v>-8.0000000000000004E-4</v>
      </c>
      <c r="BC340">
        <v>0.41785</v>
      </c>
      <c r="BD340">
        <v>0.73199999999999998</v>
      </c>
      <c r="BE340" t="s">
        <v>635</v>
      </c>
      <c r="BF340">
        <v>-0.499</v>
      </c>
      <c r="BG340">
        <v>-1.577</v>
      </c>
    </row>
    <row r="341" spans="1:59">
      <c r="A341">
        <v>0</v>
      </c>
      <c r="B341">
        <v>2</v>
      </c>
      <c r="C341">
        <v>4</v>
      </c>
      <c r="D341" t="s">
        <v>25022</v>
      </c>
      <c r="E341">
        <v>3339</v>
      </c>
      <c r="F341" t="s">
        <v>19505</v>
      </c>
      <c r="G341" t="s">
        <v>62</v>
      </c>
      <c r="H341">
        <v>3309963</v>
      </c>
      <c r="I341">
        <v>3310286</v>
      </c>
      <c r="J341" t="s">
        <v>19506</v>
      </c>
      <c r="K341">
        <v>108</v>
      </c>
      <c r="L341" t="s">
        <v>572</v>
      </c>
      <c r="M341">
        <v>48</v>
      </c>
      <c r="N341" t="str">
        <f>HYPERLINK("Gene3339-zp_tree_all.dnd", "Gene3339-tree")</f>
        <v>Gene3339-tree</v>
      </c>
      <c r="O341">
        <v>8</v>
      </c>
      <c r="P341">
        <v>7</v>
      </c>
      <c r="Q341">
        <v>8</v>
      </c>
      <c r="R341">
        <v>7</v>
      </c>
      <c r="S341">
        <v>0.46666999999999997</v>
      </c>
      <c r="T341" t="s">
        <v>136</v>
      </c>
      <c r="U341" t="s">
        <v>152</v>
      </c>
      <c r="V341" t="s">
        <v>62</v>
      </c>
      <c r="W341" t="s">
        <v>62</v>
      </c>
      <c r="X341">
        <v>3</v>
      </c>
      <c r="Y341">
        <v>6</v>
      </c>
      <c r="Z341">
        <v>9</v>
      </c>
      <c r="AA341">
        <v>0.4</v>
      </c>
      <c r="AB341">
        <v>0</v>
      </c>
      <c r="AC341">
        <v>0</v>
      </c>
      <c r="AD341">
        <v>0</v>
      </c>
      <c r="AE341">
        <v>3</v>
      </c>
      <c r="AF341">
        <v>0</v>
      </c>
      <c r="AG341">
        <v>0</v>
      </c>
      <c r="AH341">
        <v>0</v>
      </c>
      <c r="AI341">
        <v>0</v>
      </c>
      <c r="AJ341">
        <v>9</v>
      </c>
      <c r="AK341">
        <v>0</v>
      </c>
      <c r="AL341">
        <v>11</v>
      </c>
      <c r="AM341">
        <v>9</v>
      </c>
      <c r="AN341">
        <v>18</v>
      </c>
      <c r="AO341">
        <v>10</v>
      </c>
      <c r="AP341">
        <v>15</v>
      </c>
      <c r="AQ341">
        <v>6</v>
      </c>
      <c r="AR341" t="s">
        <v>19507</v>
      </c>
      <c r="AS341" t="s">
        <v>19508</v>
      </c>
      <c r="AT341">
        <v>0.44500000000000001</v>
      </c>
      <c r="AU341" t="s">
        <v>65</v>
      </c>
      <c r="AV341">
        <v>33</v>
      </c>
      <c r="AW341">
        <v>16</v>
      </c>
      <c r="AX341" t="s">
        <v>19509</v>
      </c>
      <c r="AY341">
        <v>0.10736999999999999</v>
      </c>
      <c r="AZ341">
        <v>-6.0800000000000003E-3</v>
      </c>
      <c r="BA341">
        <v>1.205E-2</v>
      </c>
      <c r="BB341">
        <v>-6.6E-4</v>
      </c>
      <c r="BC341">
        <v>0.11226</v>
      </c>
      <c r="BD341">
        <v>1</v>
      </c>
      <c r="BE341" t="s">
        <v>69</v>
      </c>
      <c r="BF341">
        <v>-1.236</v>
      </c>
      <c r="BG341">
        <v>-2.238</v>
      </c>
    </row>
    <row r="342" spans="1:59">
      <c r="A342">
        <v>0</v>
      </c>
      <c r="B342">
        <v>0</v>
      </c>
      <c r="C342">
        <v>0</v>
      </c>
      <c r="D342" t="s">
        <v>25022</v>
      </c>
      <c r="E342">
        <v>3640</v>
      </c>
      <c r="F342" t="s">
        <v>21371</v>
      </c>
      <c r="G342" t="s">
        <v>62</v>
      </c>
      <c r="H342">
        <v>3608450</v>
      </c>
      <c r="I342">
        <v>3608773</v>
      </c>
      <c r="J342" t="s">
        <v>116</v>
      </c>
      <c r="K342">
        <v>108</v>
      </c>
      <c r="L342" t="s">
        <v>108</v>
      </c>
      <c r="M342">
        <v>44</v>
      </c>
      <c r="N342" t="str">
        <f>HYPERLINK("Gene3640-zp_tree_all.dnd", "Gene3640-tree")</f>
        <v>Gene3640-tree</v>
      </c>
      <c r="O342">
        <v>8</v>
      </c>
      <c r="P342">
        <v>1</v>
      </c>
      <c r="Q342">
        <v>8</v>
      </c>
      <c r="R342">
        <v>1</v>
      </c>
      <c r="S342">
        <v>0.11111</v>
      </c>
      <c r="T342" t="s">
        <v>136</v>
      </c>
      <c r="U342" t="s">
        <v>175</v>
      </c>
      <c r="V342" t="s">
        <v>62</v>
      </c>
      <c r="W342" t="s">
        <v>62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5</v>
      </c>
      <c r="AM342">
        <v>3</v>
      </c>
      <c r="AN342">
        <v>9</v>
      </c>
      <c r="AO342">
        <v>1</v>
      </c>
      <c r="AP342">
        <v>5</v>
      </c>
      <c r="AQ342">
        <v>0</v>
      </c>
      <c r="AR342" t="s">
        <v>21372</v>
      </c>
      <c r="AS342" t="s">
        <v>193</v>
      </c>
      <c r="AT342">
        <v>0.49099999999999999</v>
      </c>
      <c r="AU342" t="s">
        <v>65</v>
      </c>
      <c r="AV342">
        <v>14</v>
      </c>
      <c r="AW342">
        <v>1</v>
      </c>
      <c r="AX342" t="s">
        <v>21373</v>
      </c>
      <c r="AY342">
        <v>4.6120000000000001E-2</v>
      </c>
      <c r="AZ342">
        <v>-3.8400000000000001E-3</v>
      </c>
      <c r="BA342">
        <v>9.2000000000000003E-4</v>
      </c>
      <c r="BB342">
        <v>-2.7E-4</v>
      </c>
      <c r="BC342">
        <v>1.9910000000000001E-2</v>
      </c>
      <c r="BD342">
        <v>1</v>
      </c>
      <c r="BE342" t="s">
        <v>69</v>
      </c>
      <c r="BF342">
        <v>-0.30399999999999999</v>
      </c>
      <c r="BG342">
        <v>-0.78600000000000003</v>
      </c>
    </row>
    <row r="343" spans="1:59">
      <c r="A343">
        <v>0</v>
      </c>
      <c r="B343">
        <v>4</v>
      </c>
      <c r="C343">
        <v>4</v>
      </c>
      <c r="D343" t="s">
        <v>25022</v>
      </c>
      <c r="E343">
        <v>3414</v>
      </c>
      <c r="F343" t="s">
        <v>19979</v>
      </c>
      <c r="G343" t="s">
        <v>62</v>
      </c>
      <c r="H343">
        <v>3377433</v>
      </c>
      <c r="I343">
        <v>3377759</v>
      </c>
      <c r="J343" t="s">
        <v>19980</v>
      </c>
      <c r="K343">
        <v>109</v>
      </c>
      <c r="L343" t="s">
        <v>1392</v>
      </c>
      <c r="M343">
        <v>43</v>
      </c>
      <c r="N343" t="str">
        <f>HYPERLINK("Gene3414-zp_tree_all.dnd", "Gene3414-tree")</f>
        <v>Gene3414-tree</v>
      </c>
      <c r="O343">
        <v>6</v>
      </c>
      <c r="P343">
        <v>5</v>
      </c>
      <c r="Q343">
        <v>6</v>
      </c>
      <c r="R343">
        <v>5</v>
      </c>
      <c r="S343">
        <v>0.45455000000000001</v>
      </c>
      <c r="T343" t="s">
        <v>90</v>
      </c>
      <c r="U343" t="s">
        <v>199</v>
      </c>
      <c r="V343" t="s">
        <v>62</v>
      </c>
      <c r="W343" t="s">
        <v>62</v>
      </c>
      <c r="X343">
        <v>4</v>
      </c>
      <c r="Y343">
        <v>8</v>
      </c>
      <c r="Z343">
        <v>10</v>
      </c>
      <c r="AA343">
        <v>0.44444</v>
      </c>
      <c r="AB343">
        <v>0</v>
      </c>
      <c r="AC343">
        <v>0</v>
      </c>
      <c r="AD343">
        <v>0</v>
      </c>
      <c r="AE343">
        <v>7</v>
      </c>
      <c r="AF343">
        <v>0</v>
      </c>
      <c r="AG343">
        <v>0</v>
      </c>
      <c r="AH343">
        <v>0</v>
      </c>
      <c r="AI343">
        <v>0</v>
      </c>
      <c r="AJ343">
        <v>7</v>
      </c>
      <c r="AK343">
        <v>0</v>
      </c>
      <c r="AL343">
        <v>8</v>
      </c>
      <c r="AM343">
        <v>5</v>
      </c>
      <c r="AN343">
        <v>5</v>
      </c>
      <c r="AO343">
        <v>7</v>
      </c>
      <c r="AP343">
        <v>2</v>
      </c>
      <c r="AQ343">
        <v>11</v>
      </c>
      <c r="AR343" t="s">
        <v>19981</v>
      </c>
      <c r="AS343" t="s">
        <v>19982</v>
      </c>
      <c r="AT343">
        <v>0.314</v>
      </c>
      <c r="AU343" t="s">
        <v>65</v>
      </c>
      <c r="AV343">
        <v>7</v>
      </c>
      <c r="AW343">
        <v>18</v>
      </c>
      <c r="AX343" t="s">
        <v>19983</v>
      </c>
      <c r="AY343">
        <v>2.1479999999999999E-2</v>
      </c>
      <c r="AZ343">
        <v>-2.2799999999999999E-3</v>
      </c>
      <c r="BA343">
        <v>2.0639999999999999E-2</v>
      </c>
      <c r="BB343">
        <v>-1.9400000000000001E-3</v>
      </c>
      <c r="BC343">
        <v>0.96067000000000002</v>
      </c>
      <c r="BD343">
        <v>0.35399999999999998</v>
      </c>
      <c r="BE343" t="s">
        <v>635</v>
      </c>
      <c r="BF343">
        <v>0.25800000000000001</v>
      </c>
      <c r="BG343">
        <v>0.72199999999999998</v>
      </c>
    </row>
    <row r="344" spans="1:59">
      <c r="A344">
        <v>0</v>
      </c>
      <c r="B344">
        <v>2</v>
      </c>
      <c r="C344">
        <v>2</v>
      </c>
      <c r="D344" t="s">
        <v>25022</v>
      </c>
      <c r="E344">
        <v>4058</v>
      </c>
      <c r="F344" t="s">
        <v>23886</v>
      </c>
      <c r="G344" t="s">
        <v>62</v>
      </c>
      <c r="H344">
        <v>4020980</v>
      </c>
      <c r="I344">
        <v>4021306</v>
      </c>
      <c r="J344" t="s">
        <v>116</v>
      </c>
      <c r="K344">
        <v>109</v>
      </c>
      <c r="L344" t="s">
        <v>23887</v>
      </c>
      <c r="M344">
        <v>32</v>
      </c>
      <c r="N344" t="str">
        <f>HYPERLINK("Gene4058-zp_tree_all.dnd", "Gene4058-tree")</f>
        <v>Gene4058-tree</v>
      </c>
      <c r="O344">
        <v>2</v>
      </c>
      <c r="P344">
        <v>3</v>
      </c>
      <c r="Q344">
        <v>2</v>
      </c>
      <c r="R344">
        <v>3</v>
      </c>
      <c r="S344">
        <v>0.6</v>
      </c>
      <c r="T344" t="s">
        <v>81</v>
      </c>
      <c r="U344" t="s">
        <v>324</v>
      </c>
      <c r="V344" t="s">
        <v>62</v>
      </c>
      <c r="W344" t="s">
        <v>62</v>
      </c>
      <c r="X344">
        <v>2</v>
      </c>
      <c r="Y344">
        <v>4</v>
      </c>
      <c r="Z344">
        <v>14</v>
      </c>
      <c r="AA344">
        <v>0.22222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12</v>
      </c>
      <c r="AK344">
        <v>0</v>
      </c>
      <c r="AL344">
        <v>4</v>
      </c>
      <c r="AM344">
        <v>2</v>
      </c>
      <c r="AN344">
        <v>7</v>
      </c>
      <c r="AO344">
        <v>12</v>
      </c>
      <c r="AP344">
        <v>1</v>
      </c>
      <c r="AQ344">
        <v>7</v>
      </c>
      <c r="AR344" t="s">
        <v>23888</v>
      </c>
      <c r="AS344" t="s">
        <v>23889</v>
      </c>
      <c r="AT344">
        <v>1.0309999999999999</v>
      </c>
      <c r="AU344" t="s">
        <v>65</v>
      </c>
      <c r="AV344">
        <v>8</v>
      </c>
      <c r="AW344">
        <v>19</v>
      </c>
      <c r="AX344" t="s">
        <v>23890</v>
      </c>
      <c r="AY344">
        <v>5.0709999999999998E-2</v>
      </c>
      <c r="AZ344">
        <v>-7.1999999999999998E-3</v>
      </c>
      <c r="BA344">
        <v>3.6159999999999998E-2</v>
      </c>
      <c r="BB344">
        <v>-5.4200000000000003E-3</v>
      </c>
      <c r="BC344">
        <v>0.71311999999999998</v>
      </c>
      <c r="BD344">
        <v>0.63</v>
      </c>
      <c r="BE344" t="s">
        <v>635</v>
      </c>
      <c r="BF344">
        <v>-0.77500000000000002</v>
      </c>
      <c r="BG344">
        <v>-8.5999999999999993E-2</v>
      </c>
    </row>
    <row r="345" spans="1:59">
      <c r="A345">
        <v>0</v>
      </c>
      <c r="B345">
        <v>4</v>
      </c>
      <c r="C345">
        <v>2</v>
      </c>
      <c r="D345" t="s">
        <v>25022</v>
      </c>
      <c r="E345">
        <v>3663</v>
      </c>
      <c r="F345" t="s">
        <v>21491</v>
      </c>
      <c r="G345" t="s">
        <v>62</v>
      </c>
      <c r="H345">
        <v>3634428</v>
      </c>
      <c r="I345">
        <v>3634754</v>
      </c>
      <c r="J345" t="s">
        <v>21492</v>
      </c>
      <c r="K345">
        <v>109</v>
      </c>
      <c r="L345" t="s">
        <v>21493</v>
      </c>
      <c r="M345">
        <v>43</v>
      </c>
      <c r="N345" t="str">
        <f>HYPERLINK("Gene3663-zp_tree_all.dnd", "Gene3663-tree")</f>
        <v>Gene3663-tree</v>
      </c>
      <c r="O345">
        <v>25</v>
      </c>
      <c r="P345">
        <v>6</v>
      </c>
      <c r="Q345">
        <v>3</v>
      </c>
      <c r="R345">
        <v>6</v>
      </c>
      <c r="S345">
        <v>0.66666999999999998</v>
      </c>
      <c r="T345" t="s">
        <v>3530</v>
      </c>
      <c r="U345" t="s">
        <v>90</v>
      </c>
      <c r="V345" t="s">
        <v>62</v>
      </c>
      <c r="W345" t="s">
        <v>62</v>
      </c>
      <c r="X345">
        <v>3</v>
      </c>
      <c r="Y345">
        <v>6</v>
      </c>
      <c r="Z345">
        <v>8</v>
      </c>
      <c r="AA345">
        <v>0.42857000000000001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</v>
      </c>
      <c r="AH345">
        <v>2</v>
      </c>
      <c r="AI345">
        <v>4</v>
      </c>
      <c r="AJ345">
        <v>6</v>
      </c>
      <c r="AK345">
        <v>0.4</v>
      </c>
      <c r="AL345">
        <v>8</v>
      </c>
      <c r="AM345">
        <v>3</v>
      </c>
      <c r="AN345">
        <v>12</v>
      </c>
      <c r="AO345">
        <v>10</v>
      </c>
      <c r="AP345">
        <v>8</v>
      </c>
      <c r="AQ345">
        <v>4</v>
      </c>
      <c r="AR345" t="s">
        <v>21494</v>
      </c>
      <c r="AS345" t="s">
        <v>21495</v>
      </c>
      <c r="AT345">
        <v>0.57199999999999995</v>
      </c>
      <c r="AU345" t="s">
        <v>65</v>
      </c>
      <c r="AV345">
        <v>20</v>
      </c>
      <c r="AW345">
        <v>14</v>
      </c>
      <c r="AX345" t="s">
        <v>21496</v>
      </c>
      <c r="AY345">
        <v>8.788E-2</v>
      </c>
      <c r="AZ345">
        <v>-9.2700000000000005E-3</v>
      </c>
      <c r="BA345">
        <v>1.5509999999999999E-2</v>
      </c>
      <c r="BB345">
        <v>-1.8400000000000001E-3</v>
      </c>
      <c r="BC345">
        <v>0.17648</v>
      </c>
      <c r="BD345">
        <v>1</v>
      </c>
      <c r="BE345" t="s">
        <v>69</v>
      </c>
      <c r="BF345">
        <v>-1.853</v>
      </c>
      <c r="BG345">
        <v>-2.528</v>
      </c>
    </row>
    <row r="346" spans="1:59">
      <c r="A346">
        <v>0</v>
      </c>
      <c r="B346">
        <v>2</v>
      </c>
      <c r="C346">
        <v>0</v>
      </c>
      <c r="D346" t="s">
        <v>25022</v>
      </c>
      <c r="E346">
        <v>480</v>
      </c>
      <c r="F346" t="s">
        <v>3249</v>
      </c>
      <c r="G346" t="s">
        <v>57</v>
      </c>
      <c r="H346">
        <v>522088</v>
      </c>
      <c r="I346">
        <v>522414</v>
      </c>
      <c r="J346" t="s">
        <v>3250</v>
      </c>
      <c r="K346">
        <v>109</v>
      </c>
      <c r="L346" t="s">
        <v>465</v>
      </c>
      <c r="M346">
        <v>46</v>
      </c>
      <c r="N346" t="str">
        <f>HYPERLINK("Gene480-zp_tree_all.dnd", "Gene480-tree")</f>
        <v>Gene480-tree</v>
      </c>
      <c r="O346">
        <v>38</v>
      </c>
      <c r="P346">
        <v>1</v>
      </c>
      <c r="Q346">
        <v>10</v>
      </c>
      <c r="R346">
        <v>1</v>
      </c>
      <c r="S346">
        <v>9.0910000000000005E-2</v>
      </c>
      <c r="T346" t="s">
        <v>3251</v>
      </c>
      <c r="U346" t="s">
        <v>175</v>
      </c>
      <c r="V346" t="s">
        <v>62</v>
      </c>
      <c r="W346" t="s">
        <v>62</v>
      </c>
      <c r="X346">
        <v>1</v>
      </c>
      <c r="Y346">
        <v>2</v>
      </c>
      <c r="Z346">
        <v>3</v>
      </c>
      <c r="AA346">
        <v>0.4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9</v>
      </c>
      <c r="AM346">
        <v>5</v>
      </c>
      <c r="AN346">
        <v>12</v>
      </c>
      <c r="AO346">
        <v>1</v>
      </c>
      <c r="AP346">
        <v>12</v>
      </c>
      <c r="AQ346">
        <v>5</v>
      </c>
      <c r="AR346" t="s">
        <v>3252</v>
      </c>
      <c r="AS346" t="s">
        <v>3253</v>
      </c>
      <c r="AT346">
        <v>0.75</v>
      </c>
      <c r="AU346" t="s">
        <v>65</v>
      </c>
      <c r="AV346">
        <v>24</v>
      </c>
      <c r="AW346">
        <v>6</v>
      </c>
      <c r="AX346" t="s">
        <v>3254</v>
      </c>
      <c r="AY346">
        <v>9.2549999999999993E-2</v>
      </c>
      <c r="AZ346">
        <v>-9.4699999999999993E-3</v>
      </c>
      <c r="BA346">
        <v>7.7099999999999998E-3</v>
      </c>
      <c r="BB346">
        <v>-7.3999999999999999E-4</v>
      </c>
      <c r="BC346">
        <v>8.3269999999999997E-2</v>
      </c>
      <c r="BD346">
        <v>1</v>
      </c>
      <c r="BE346" t="s">
        <v>69</v>
      </c>
      <c r="BF346">
        <v>-1.4910000000000001</v>
      </c>
      <c r="BG346">
        <v>-0.755</v>
      </c>
    </row>
    <row r="347" spans="1:59">
      <c r="A347">
        <v>0</v>
      </c>
      <c r="B347">
        <v>0</v>
      </c>
      <c r="C347">
        <v>0</v>
      </c>
      <c r="D347" t="s">
        <v>25022</v>
      </c>
      <c r="E347">
        <v>29</v>
      </c>
      <c r="F347" t="s">
        <v>280</v>
      </c>
      <c r="G347" t="s">
        <v>57</v>
      </c>
      <c r="H347">
        <v>39871</v>
      </c>
      <c r="I347">
        <v>40197</v>
      </c>
      <c r="J347" t="s">
        <v>281</v>
      </c>
      <c r="K347">
        <v>109</v>
      </c>
      <c r="L347" t="s">
        <v>59</v>
      </c>
      <c r="M347">
        <v>49</v>
      </c>
      <c r="N347" t="str">
        <f>HYPERLINK("Gene29-zp_tree_all.dnd", "Gene29-tree")</f>
        <v>Gene29-tree</v>
      </c>
      <c r="O347">
        <v>27</v>
      </c>
      <c r="P347">
        <v>0</v>
      </c>
      <c r="Q347">
        <v>8</v>
      </c>
      <c r="R347">
        <v>0</v>
      </c>
      <c r="S347">
        <v>0</v>
      </c>
      <c r="T347" t="s">
        <v>282</v>
      </c>
      <c r="U347" t="s">
        <v>62</v>
      </c>
      <c r="V347" t="s">
        <v>62</v>
      </c>
      <c r="W347" t="s">
        <v>62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6</v>
      </c>
      <c r="AM347">
        <v>3</v>
      </c>
      <c r="AN347">
        <v>9</v>
      </c>
      <c r="AO347">
        <v>0</v>
      </c>
      <c r="AP347">
        <v>11</v>
      </c>
      <c r="AQ347">
        <v>1</v>
      </c>
      <c r="AR347" t="s">
        <v>193</v>
      </c>
      <c r="AS347" t="s">
        <v>283</v>
      </c>
      <c r="AT347">
        <v>0.745</v>
      </c>
      <c r="AU347" t="s">
        <v>65</v>
      </c>
      <c r="AV347">
        <v>20</v>
      </c>
      <c r="AW347">
        <v>1</v>
      </c>
      <c r="AX347" t="s">
        <v>284</v>
      </c>
      <c r="AY347">
        <v>0.10434</v>
      </c>
      <c r="AZ347">
        <v>-1.197E-2</v>
      </c>
      <c r="BA347">
        <v>2.1299999999999999E-3</v>
      </c>
      <c r="BB347">
        <v>-3.5E-4</v>
      </c>
      <c r="BC347">
        <v>2.0410000000000001E-2</v>
      </c>
      <c r="BD347">
        <v>1</v>
      </c>
      <c r="BE347" t="s">
        <v>69</v>
      </c>
      <c r="BF347">
        <v>-0.65700000000000003</v>
      </c>
      <c r="BG347">
        <v>0.44700000000000001</v>
      </c>
    </row>
    <row r="348" spans="1:59">
      <c r="A348">
        <v>0</v>
      </c>
      <c r="B348">
        <v>0</v>
      </c>
      <c r="C348">
        <v>0</v>
      </c>
      <c r="D348" t="s">
        <v>25022</v>
      </c>
      <c r="E348">
        <v>2004</v>
      </c>
      <c r="F348" t="s">
        <v>12481</v>
      </c>
      <c r="G348" t="s">
        <v>62</v>
      </c>
      <c r="H348">
        <v>2097695</v>
      </c>
      <c r="I348">
        <v>2098024</v>
      </c>
      <c r="J348" t="s">
        <v>116</v>
      </c>
      <c r="K348">
        <v>110</v>
      </c>
      <c r="L348" t="s">
        <v>108</v>
      </c>
      <c r="M348">
        <v>44</v>
      </c>
      <c r="N348" t="str">
        <f>HYPERLINK("Gene2004-zp_tree_all.dnd", "Gene2004-tree")</f>
        <v>Gene2004-tree</v>
      </c>
      <c r="O348">
        <v>2</v>
      </c>
      <c r="P348">
        <v>4</v>
      </c>
      <c r="Q348">
        <v>2</v>
      </c>
      <c r="R348">
        <v>4</v>
      </c>
      <c r="S348">
        <v>0.66666999999999998</v>
      </c>
      <c r="T348" t="s">
        <v>81</v>
      </c>
      <c r="U348" t="s">
        <v>61</v>
      </c>
      <c r="V348" t="s">
        <v>62</v>
      </c>
      <c r="W348" t="s">
        <v>62</v>
      </c>
      <c r="X348">
        <v>0</v>
      </c>
      <c r="Y348">
        <v>0</v>
      </c>
      <c r="Z348">
        <v>6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5</v>
      </c>
      <c r="AK348">
        <v>0</v>
      </c>
      <c r="AL348">
        <v>4</v>
      </c>
      <c r="AM348">
        <v>1</v>
      </c>
      <c r="AN348">
        <v>4</v>
      </c>
      <c r="AO348">
        <v>5</v>
      </c>
      <c r="AP348">
        <v>1</v>
      </c>
      <c r="AQ348">
        <v>1</v>
      </c>
      <c r="AR348" t="s">
        <v>12482</v>
      </c>
      <c r="AS348" t="s">
        <v>12483</v>
      </c>
      <c r="AT348">
        <v>0.19400000000000001</v>
      </c>
      <c r="AU348" t="s">
        <v>65</v>
      </c>
      <c r="AV348">
        <v>5</v>
      </c>
      <c r="AW348">
        <v>6</v>
      </c>
      <c r="AX348" t="s">
        <v>12484</v>
      </c>
      <c r="AY348">
        <v>2.7220000000000001E-2</v>
      </c>
      <c r="AZ348">
        <v>-5.5599999999999998E-3</v>
      </c>
      <c r="BA348">
        <v>8.7399999999999995E-3</v>
      </c>
      <c r="BB348">
        <v>-1.08E-3</v>
      </c>
      <c r="BC348">
        <v>0.32124999999999998</v>
      </c>
      <c r="BD348">
        <v>0.95899999999999996</v>
      </c>
      <c r="BE348" t="s">
        <v>69</v>
      </c>
      <c r="BF348">
        <v>-1.165</v>
      </c>
      <c r="BG348">
        <v>-3.0129999999999999</v>
      </c>
    </row>
    <row r="349" spans="1:59">
      <c r="A349">
        <v>0</v>
      </c>
      <c r="B349">
        <v>0</v>
      </c>
      <c r="C349">
        <v>0</v>
      </c>
      <c r="D349" t="s">
        <v>25022</v>
      </c>
      <c r="E349">
        <v>891</v>
      </c>
      <c r="F349" t="s">
        <v>5561</v>
      </c>
      <c r="G349" t="s">
        <v>57</v>
      </c>
      <c r="H349">
        <v>929406</v>
      </c>
      <c r="I349">
        <v>929735</v>
      </c>
      <c r="J349" t="s">
        <v>5562</v>
      </c>
      <c r="K349">
        <v>110</v>
      </c>
      <c r="L349" t="s">
        <v>108</v>
      </c>
      <c r="M349">
        <v>44</v>
      </c>
      <c r="N349" t="str">
        <f>HYPERLINK("Gene891-zp_tree_all.dnd", "Gene891-tree")</f>
        <v>Gene891-tree</v>
      </c>
      <c r="O349">
        <v>4</v>
      </c>
      <c r="P349">
        <v>5</v>
      </c>
      <c r="Q349">
        <v>4</v>
      </c>
      <c r="R349">
        <v>5</v>
      </c>
      <c r="S349">
        <v>0.55556000000000005</v>
      </c>
      <c r="T349" t="s">
        <v>61</v>
      </c>
      <c r="U349" t="s">
        <v>199</v>
      </c>
      <c r="V349" t="s">
        <v>62</v>
      </c>
      <c r="W349" t="s">
        <v>62</v>
      </c>
      <c r="X349">
        <v>0</v>
      </c>
      <c r="Y349">
        <v>0</v>
      </c>
      <c r="Z349">
        <v>9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8</v>
      </c>
      <c r="AK349">
        <v>0</v>
      </c>
      <c r="AL349">
        <v>7</v>
      </c>
      <c r="AM349">
        <v>4</v>
      </c>
      <c r="AN349">
        <v>6</v>
      </c>
      <c r="AO349">
        <v>9</v>
      </c>
      <c r="AP349">
        <v>3</v>
      </c>
      <c r="AQ349">
        <v>1</v>
      </c>
      <c r="AR349" t="s">
        <v>5563</v>
      </c>
      <c r="AS349" t="s">
        <v>5564</v>
      </c>
      <c r="AT349">
        <v>1.4470000000000001</v>
      </c>
      <c r="AU349" t="s">
        <v>65</v>
      </c>
      <c r="AV349">
        <v>9</v>
      </c>
      <c r="AW349">
        <v>10</v>
      </c>
      <c r="AX349" t="s">
        <v>5565</v>
      </c>
      <c r="AY349">
        <v>3.1150000000000001E-2</v>
      </c>
      <c r="AZ349">
        <v>-2.3600000000000001E-3</v>
      </c>
      <c r="BA349">
        <v>9.6900000000000007E-3</v>
      </c>
      <c r="BB349">
        <v>-1.0399999999999999E-3</v>
      </c>
      <c r="BC349">
        <v>0.31091999999999997</v>
      </c>
      <c r="BD349">
        <v>0.99</v>
      </c>
      <c r="BE349" t="s">
        <v>69</v>
      </c>
      <c r="BF349">
        <v>-1.109</v>
      </c>
      <c r="BG349">
        <v>-1.0680000000000001</v>
      </c>
    </row>
    <row r="350" spans="1:59">
      <c r="A350">
        <v>0</v>
      </c>
      <c r="B350">
        <v>2</v>
      </c>
      <c r="C350">
        <v>0</v>
      </c>
      <c r="D350" t="s">
        <v>25022</v>
      </c>
      <c r="E350">
        <v>342</v>
      </c>
      <c r="F350" t="s">
        <v>2331</v>
      </c>
      <c r="G350" t="s">
        <v>57</v>
      </c>
      <c r="H350">
        <v>369773</v>
      </c>
      <c r="I350">
        <v>370102</v>
      </c>
      <c r="J350" t="s">
        <v>2332</v>
      </c>
      <c r="K350">
        <v>110</v>
      </c>
      <c r="L350" t="s">
        <v>108</v>
      </c>
      <c r="M350">
        <v>44</v>
      </c>
      <c r="N350" t="str">
        <f>HYPERLINK("Gene342-zp_tree_all.dnd", "Gene342-tree")</f>
        <v>Gene342-tree</v>
      </c>
      <c r="O350">
        <v>3</v>
      </c>
      <c r="P350">
        <v>26</v>
      </c>
      <c r="Q350">
        <v>3</v>
      </c>
      <c r="R350">
        <v>4</v>
      </c>
      <c r="S350">
        <v>0.57142999999999999</v>
      </c>
      <c r="T350" t="s">
        <v>324</v>
      </c>
      <c r="U350" t="s">
        <v>2333</v>
      </c>
      <c r="V350">
        <v>4.2779999999999996</v>
      </c>
      <c r="W350" t="s">
        <v>65</v>
      </c>
      <c r="X350">
        <v>1</v>
      </c>
      <c r="Y350">
        <v>2</v>
      </c>
      <c r="Z350">
        <v>6</v>
      </c>
      <c r="AA350">
        <v>0.25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5</v>
      </c>
      <c r="AK350">
        <v>0</v>
      </c>
      <c r="AL350">
        <v>5</v>
      </c>
      <c r="AM350">
        <v>3</v>
      </c>
      <c r="AN350">
        <v>5</v>
      </c>
      <c r="AO350">
        <v>5</v>
      </c>
      <c r="AP350">
        <v>3</v>
      </c>
      <c r="AQ350">
        <v>3</v>
      </c>
      <c r="AR350" t="s">
        <v>2334</v>
      </c>
      <c r="AS350" t="s">
        <v>2335</v>
      </c>
      <c r="AT350">
        <v>1.9E-2</v>
      </c>
      <c r="AU350" t="s">
        <v>65</v>
      </c>
      <c r="AV350">
        <v>8</v>
      </c>
      <c r="AW350">
        <v>8</v>
      </c>
      <c r="AX350" t="s">
        <v>2336</v>
      </c>
      <c r="AY350">
        <v>4.0579999999999998E-2</v>
      </c>
      <c r="AZ350">
        <v>-5.6800000000000002E-3</v>
      </c>
      <c r="BA350">
        <v>1.0279999999999999E-2</v>
      </c>
      <c r="BB350">
        <v>-1.39E-3</v>
      </c>
      <c r="BC350">
        <v>0.25341000000000002</v>
      </c>
      <c r="BD350">
        <v>0.94899999999999995</v>
      </c>
      <c r="BE350" t="s">
        <v>635</v>
      </c>
      <c r="BF350">
        <v>0.57399999999999995</v>
      </c>
      <c r="BG350">
        <v>0.13700000000000001</v>
      </c>
    </row>
    <row r="351" spans="1:59">
      <c r="A351">
        <v>0</v>
      </c>
      <c r="B351">
        <v>0</v>
      </c>
      <c r="C351">
        <v>0</v>
      </c>
      <c r="D351" t="s">
        <v>25022</v>
      </c>
      <c r="E351">
        <v>600</v>
      </c>
      <c r="F351" t="s">
        <v>3865</v>
      </c>
      <c r="G351" t="s">
        <v>57</v>
      </c>
      <c r="H351">
        <v>626933</v>
      </c>
      <c r="I351">
        <v>627262</v>
      </c>
      <c r="J351" t="s">
        <v>3866</v>
      </c>
      <c r="K351">
        <v>110</v>
      </c>
      <c r="L351" t="s">
        <v>3867</v>
      </c>
      <c r="M351">
        <v>28</v>
      </c>
      <c r="N351" t="str">
        <f>HYPERLINK("Gene600-zp_tree_all.dnd", "Gene600-tree")</f>
        <v>Gene600-tree</v>
      </c>
      <c r="O351">
        <v>5</v>
      </c>
      <c r="P351">
        <v>4</v>
      </c>
      <c r="Q351">
        <v>5</v>
      </c>
      <c r="R351">
        <v>4</v>
      </c>
      <c r="S351">
        <v>0.44444</v>
      </c>
      <c r="T351" t="s">
        <v>199</v>
      </c>
      <c r="U351" t="s">
        <v>61</v>
      </c>
      <c r="V351" t="s">
        <v>62</v>
      </c>
      <c r="W351" t="s">
        <v>62</v>
      </c>
      <c r="X351">
        <v>0</v>
      </c>
      <c r="Y351">
        <v>0</v>
      </c>
      <c r="Z351">
        <v>7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5</v>
      </c>
      <c r="AK351">
        <v>0</v>
      </c>
      <c r="AL351">
        <v>6</v>
      </c>
      <c r="AM351">
        <v>4</v>
      </c>
      <c r="AN351">
        <v>10</v>
      </c>
      <c r="AO351">
        <v>7</v>
      </c>
      <c r="AP351">
        <v>4</v>
      </c>
      <c r="AQ351">
        <v>2</v>
      </c>
      <c r="AR351" t="s">
        <v>3868</v>
      </c>
      <c r="AS351" t="s">
        <v>3869</v>
      </c>
      <c r="AT351">
        <v>0.16700000000000001</v>
      </c>
      <c r="AU351" t="s">
        <v>65</v>
      </c>
      <c r="AV351">
        <v>14</v>
      </c>
      <c r="AW351">
        <v>9</v>
      </c>
      <c r="AX351" t="s">
        <v>3870</v>
      </c>
      <c r="AY351">
        <v>6.5030000000000004E-2</v>
      </c>
      <c r="AZ351">
        <v>-9.2999999999999992E-3</v>
      </c>
      <c r="BA351">
        <v>9.9000000000000008E-3</v>
      </c>
      <c r="BB351">
        <v>-1.1900000000000001E-3</v>
      </c>
      <c r="BC351">
        <v>0.1522</v>
      </c>
      <c r="BD351">
        <v>1</v>
      </c>
      <c r="BE351" t="s">
        <v>69</v>
      </c>
      <c r="BF351">
        <v>-1.3879999999999999</v>
      </c>
      <c r="BG351">
        <v>-2.5640000000000001</v>
      </c>
    </row>
    <row r="352" spans="1:59">
      <c r="A352">
        <v>2</v>
      </c>
      <c r="B352">
        <v>6</v>
      </c>
      <c r="C352">
        <v>0</v>
      </c>
      <c r="D352" t="s">
        <v>25022</v>
      </c>
      <c r="E352">
        <v>1983</v>
      </c>
      <c r="F352" t="s">
        <v>12349</v>
      </c>
      <c r="G352" t="s">
        <v>62</v>
      </c>
      <c r="H352">
        <v>2079217</v>
      </c>
      <c r="I352">
        <v>2079546</v>
      </c>
      <c r="J352" t="s">
        <v>12350</v>
      </c>
      <c r="K352">
        <v>110</v>
      </c>
      <c r="L352" t="s">
        <v>108</v>
      </c>
      <c r="M352">
        <v>44</v>
      </c>
      <c r="N352" t="str">
        <f>HYPERLINK("Gene1983-zp_tree_all.dnd", "Gene1983-tree")</f>
        <v>Gene1983-tree</v>
      </c>
      <c r="O352">
        <v>5</v>
      </c>
      <c r="P352">
        <v>8</v>
      </c>
      <c r="Q352">
        <v>5</v>
      </c>
      <c r="R352">
        <v>8</v>
      </c>
      <c r="S352">
        <v>0.61538000000000004</v>
      </c>
      <c r="T352" t="s">
        <v>199</v>
      </c>
      <c r="U352" t="s">
        <v>136</v>
      </c>
      <c r="V352" t="s">
        <v>62</v>
      </c>
      <c r="W352" t="s">
        <v>62</v>
      </c>
      <c r="X352">
        <v>3</v>
      </c>
      <c r="Y352">
        <v>8</v>
      </c>
      <c r="Z352">
        <v>7</v>
      </c>
      <c r="AA352">
        <v>0.53332999999999997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</v>
      </c>
      <c r="AH352">
        <v>0</v>
      </c>
      <c r="AI352">
        <v>2</v>
      </c>
      <c r="AJ352">
        <v>7</v>
      </c>
      <c r="AK352">
        <v>0.22222</v>
      </c>
      <c r="AL352">
        <v>11</v>
      </c>
      <c r="AM352">
        <v>8</v>
      </c>
      <c r="AN352">
        <v>21</v>
      </c>
      <c r="AO352">
        <v>9</v>
      </c>
      <c r="AP352">
        <v>13</v>
      </c>
      <c r="AQ352">
        <v>6</v>
      </c>
      <c r="AR352" t="s">
        <v>12351</v>
      </c>
      <c r="AS352" t="s">
        <v>12352</v>
      </c>
      <c r="AT352">
        <v>0.10199999999999999</v>
      </c>
      <c r="AU352" t="s">
        <v>65</v>
      </c>
      <c r="AV352">
        <v>34</v>
      </c>
      <c r="AW352">
        <v>15</v>
      </c>
      <c r="AX352" t="s">
        <v>12353</v>
      </c>
      <c r="AY352">
        <v>8.924E-2</v>
      </c>
      <c r="AZ352">
        <v>-5.9199999999999999E-3</v>
      </c>
      <c r="BA352">
        <v>1.2670000000000001E-2</v>
      </c>
      <c r="BB352">
        <v>-7.6999999999999996E-4</v>
      </c>
      <c r="BC352">
        <v>0.14194000000000001</v>
      </c>
      <c r="BD352">
        <v>1</v>
      </c>
      <c r="BE352" t="s">
        <v>69</v>
      </c>
      <c r="BF352">
        <v>-1.1539999999999999</v>
      </c>
      <c r="BG352">
        <v>-0.99399999999999999</v>
      </c>
    </row>
    <row r="353" spans="1:59">
      <c r="A353">
        <v>0</v>
      </c>
      <c r="B353">
        <v>0</v>
      </c>
      <c r="C353">
        <v>0</v>
      </c>
      <c r="D353" t="s">
        <v>25022</v>
      </c>
      <c r="E353">
        <v>2777</v>
      </c>
      <c r="F353" t="s">
        <v>15942</v>
      </c>
      <c r="G353" t="s">
        <v>62</v>
      </c>
      <c r="H353">
        <v>2728650</v>
      </c>
      <c r="I353">
        <v>2728979</v>
      </c>
      <c r="J353" t="s">
        <v>15943</v>
      </c>
      <c r="K353">
        <v>110</v>
      </c>
      <c r="L353" t="s">
        <v>1392</v>
      </c>
      <c r="M353">
        <v>43</v>
      </c>
      <c r="N353" t="str">
        <f>HYPERLINK("Gene2777-zp_tree_all.dnd", "Gene2777-tree")</f>
        <v>Gene2777-tree</v>
      </c>
      <c r="O353">
        <v>7</v>
      </c>
      <c r="P353">
        <v>4</v>
      </c>
      <c r="Q353">
        <v>7</v>
      </c>
      <c r="R353">
        <v>4</v>
      </c>
      <c r="S353">
        <v>0.36364000000000002</v>
      </c>
      <c r="T353" t="s">
        <v>152</v>
      </c>
      <c r="U353" t="s">
        <v>61</v>
      </c>
      <c r="V353" t="s">
        <v>62</v>
      </c>
      <c r="W353" t="s">
        <v>62</v>
      </c>
      <c r="X353">
        <v>0</v>
      </c>
      <c r="Y353">
        <v>0</v>
      </c>
      <c r="Z353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4</v>
      </c>
      <c r="AK353">
        <v>0</v>
      </c>
      <c r="AL353">
        <v>6</v>
      </c>
      <c r="AM353">
        <v>5</v>
      </c>
      <c r="AN353">
        <v>8</v>
      </c>
      <c r="AO353">
        <v>3</v>
      </c>
      <c r="AP353">
        <v>8</v>
      </c>
      <c r="AQ353">
        <v>1</v>
      </c>
      <c r="AR353" t="s">
        <v>15944</v>
      </c>
      <c r="AS353" t="s">
        <v>15945</v>
      </c>
      <c r="AT353">
        <v>0.754</v>
      </c>
      <c r="AU353" t="s">
        <v>65</v>
      </c>
      <c r="AV353">
        <v>16</v>
      </c>
      <c r="AW353">
        <v>4</v>
      </c>
      <c r="AX353" t="s">
        <v>15946</v>
      </c>
      <c r="AY353">
        <v>5.5399999999999998E-2</v>
      </c>
      <c r="AZ353">
        <v>-4.1599999999999996E-3</v>
      </c>
      <c r="BA353">
        <v>3.5699999999999998E-3</v>
      </c>
      <c r="BB353">
        <v>-4.6000000000000001E-4</v>
      </c>
      <c r="BC353">
        <v>6.4390000000000003E-2</v>
      </c>
      <c r="BD353">
        <v>1</v>
      </c>
      <c r="BE353" t="s">
        <v>69</v>
      </c>
      <c r="BF353">
        <v>0.59899999999999998</v>
      </c>
      <c r="BG353">
        <v>-0.28399999999999997</v>
      </c>
    </row>
    <row r="354" spans="1:59">
      <c r="A354">
        <v>0</v>
      </c>
      <c r="B354">
        <v>0</v>
      </c>
      <c r="C354">
        <v>0</v>
      </c>
      <c r="D354" t="s">
        <v>25022</v>
      </c>
      <c r="E354">
        <v>3995</v>
      </c>
      <c r="F354" t="s">
        <v>23490</v>
      </c>
      <c r="G354" t="s">
        <v>62</v>
      </c>
      <c r="H354">
        <v>3959844</v>
      </c>
      <c r="I354">
        <v>3960173</v>
      </c>
      <c r="J354" t="s">
        <v>23491</v>
      </c>
      <c r="K354">
        <v>110</v>
      </c>
      <c r="L354" t="s">
        <v>465</v>
      </c>
      <c r="M354">
        <v>46</v>
      </c>
      <c r="N354" t="str">
        <f>HYPERLINK("Gene3995-zp_tree_all.dnd", "Gene3995-tree")</f>
        <v>Gene3995-tree</v>
      </c>
      <c r="O354">
        <v>11</v>
      </c>
      <c r="P354">
        <v>1</v>
      </c>
      <c r="Q354">
        <v>11</v>
      </c>
      <c r="R354">
        <v>1</v>
      </c>
      <c r="S354">
        <v>8.3330000000000001E-2</v>
      </c>
      <c r="T354" t="s">
        <v>73</v>
      </c>
      <c r="U354" t="s">
        <v>175</v>
      </c>
      <c r="V354" t="s">
        <v>62</v>
      </c>
      <c r="W354" t="s">
        <v>62</v>
      </c>
      <c r="X354">
        <v>0</v>
      </c>
      <c r="Y354">
        <v>0</v>
      </c>
      <c r="Z354">
        <v>5</v>
      </c>
      <c r="AA354">
        <v>0</v>
      </c>
      <c r="AB354">
        <v>0</v>
      </c>
      <c r="AC354">
        <v>0</v>
      </c>
      <c r="AD354">
        <v>0</v>
      </c>
      <c r="AE354">
        <v>4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8</v>
      </c>
      <c r="AM354">
        <v>5</v>
      </c>
      <c r="AN354">
        <v>11</v>
      </c>
      <c r="AO354">
        <v>1</v>
      </c>
      <c r="AP354">
        <v>17</v>
      </c>
      <c r="AQ354">
        <v>4</v>
      </c>
      <c r="AR354" t="s">
        <v>23492</v>
      </c>
      <c r="AS354" t="s">
        <v>23493</v>
      </c>
      <c r="AT354">
        <v>0.36399999999999999</v>
      </c>
      <c r="AU354" t="s">
        <v>65</v>
      </c>
      <c r="AV354">
        <v>28</v>
      </c>
      <c r="AW354">
        <v>5</v>
      </c>
      <c r="AX354" t="s">
        <v>23494</v>
      </c>
      <c r="AY354">
        <v>0.10222000000000001</v>
      </c>
      <c r="AZ354">
        <v>-1.2880000000000001E-2</v>
      </c>
      <c r="BA354">
        <v>5.6899999999999997E-3</v>
      </c>
      <c r="BB354">
        <v>-4.4999999999999999E-4</v>
      </c>
      <c r="BC354">
        <v>5.5629999999999999E-2</v>
      </c>
      <c r="BD354">
        <v>1</v>
      </c>
      <c r="BE354" t="s">
        <v>69</v>
      </c>
      <c r="BF354">
        <v>-1.861</v>
      </c>
      <c r="BG354">
        <v>0.30599999999999999</v>
      </c>
    </row>
    <row r="355" spans="1:59">
      <c r="A355">
        <v>0</v>
      </c>
      <c r="B355">
        <v>0</v>
      </c>
      <c r="C355">
        <v>0</v>
      </c>
      <c r="D355" t="s">
        <v>25022</v>
      </c>
      <c r="E355">
        <v>1658</v>
      </c>
      <c r="F355" t="s">
        <v>10382</v>
      </c>
      <c r="G355" t="s">
        <v>57</v>
      </c>
      <c r="H355">
        <v>1671828</v>
      </c>
      <c r="I355">
        <v>1672157</v>
      </c>
      <c r="J355" t="s">
        <v>10383</v>
      </c>
      <c r="K355">
        <v>110</v>
      </c>
      <c r="L355" t="s">
        <v>59</v>
      </c>
      <c r="M355">
        <v>49</v>
      </c>
      <c r="N355" t="str">
        <f>HYPERLINK("Gene1658-zp_tree_all.dnd", "Gene1658-tree")</f>
        <v>Gene1658-tree</v>
      </c>
      <c r="O355">
        <v>4</v>
      </c>
      <c r="P355">
        <v>1</v>
      </c>
      <c r="Q355">
        <v>4</v>
      </c>
      <c r="R355">
        <v>1</v>
      </c>
      <c r="S355">
        <v>0.2</v>
      </c>
      <c r="T355" t="s">
        <v>61</v>
      </c>
      <c r="U355" t="s">
        <v>175</v>
      </c>
      <c r="V355" t="s">
        <v>62</v>
      </c>
      <c r="W355" t="s">
        <v>62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4</v>
      </c>
      <c r="AM355">
        <v>1</v>
      </c>
      <c r="AN355">
        <v>4</v>
      </c>
      <c r="AO355">
        <v>1</v>
      </c>
      <c r="AP355">
        <v>1</v>
      </c>
      <c r="AQ355">
        <v>0</v>
      </c>
      <c r="AR355" t="s">
        <v>10384</v>
      </c>
      <c r="AS355" t="s">
        <v>193</v>
      </c>
      <c r="AT355">
        <v>0.66700000000000004</v>
      </c>
      <c r="AU355" t="s">
        <v>65</v>
      </c>
      <c r="AV355">
        <v>5</v>
      </c>
      <c r="AW355">
        <v>1</v>
      </c>
      <c r="AX355" t="s">
        <v>10385</v>
      </c>
      <c r="AY355">
        <v>3.2000000000000001E-2</v>
      </c>
      <c r="AZ355">
        <v>-2.81E-3</v>
      </c>
      <c r="BA355">
        <v>1.5399999999999999E-3</v>
      </c>
      <c r="BB355">
        <v>-5.2999999999999998E-4</v>
      </c>
      <c r="BC355">
        <v>4.8259999999999997E-2</v>
      </c>
      <c r="BD355">
        <v>1</v>
      </c>
      <c r="BE355" t="s">
        <v>69</v>
      </c>
      <c r="BF355">
        <v>-0.95099999999999996</v>
      </c>
      <c r="BG355">
        <v>-0.53600000000000003</v>
      </c>
    </row>
    <row r="356" spans="1:59">
      <c r="A356">
        <v>0</v>
      </c>
      <c r="B356">
        <v>0</v>
      </c>
      <c r="C356">
        <v>0</v>
      </c>
      <c r="D356" t="s">
        <v>25022</v>
      </c>
      <c r="E356">
        <v>1552</v>
      </c>
      <c r="F356" t="s">
        <v>9703</v>
      </c>
      <c r="G356" t="s">
        <v>57</v>
      </c>
      <c r="H356">
        <v>1564063</v>
      </c>
      <c r="I356">
        <v>1564392</v>
      </c>
      <c r="J356" t="s">
        <v>9704</v>
      </c>
      <c r="K356">
        <v>110</v>
      </c>
      <c r="L356" t="s">
        <v>108</v>
      </c>
      <c r="M356">
        <v>44</v>
      </c>
      <c r="N356" t="str">
        <f>HYPERLINK("Gene1552-zp_tree_all.dnd", "Gene1552-tree")</f>
        <v>Gene1552-tree</v>
      </c>
      <c r="O356">
        <v>7</v>
      </c>
      <c r="P356">
        <v>2</v>
      </c>
      <c r="Q356">
        <v>7</v>
      </c>
      <c r="R356">
        <v>2</v>
      </c>
      <c r="S356">
        <v>0.22222</v>
      </c>
      <c r="T356" t="s">
        <v>152</v>
      </c>
      <c r="U356" t="s">
        <v>81</v>
      </c>
      <c r="V356" t="s">
        <v>62</v>
      </c>
      <c r="W356" t="s">
        <v>62</v>
      </c>
      <c r="X356">
        <v>0</v>
      </c>
      <c r="Y356">
        <v>0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</v>
      </c>
      <c r="AK356">
        <v>0</v>
      </c>
      <c r="AL356">
        <v>6</v>
      </c>
      <c r="AM356">
        <v>2</v>
      </c>
      <c r="AN356">
        <v>9</v>
      </c>
      <c r="AO356">
        <v>2</v>
      </c>
      <c r="AP356">
        <v>3</v>
      </c>
      <c r="AQ356">
        <v>0</v>
      </c>
      <c r="AR356" t="s">
        <v>9705</v>
      </c>
      <c r="AS356" t="s">
        <v>193</v>
      </c>
      <c r="AT356">
        <v>0.95399999999999996</v>
      </c>
      <c r="AU356" t="s">
        <v>65</v>
      </c>
      <c r="AV356">
        <v>12</v>
      </c>
      <c r="AW356">
        <v>2</v>
      </c>
      <c r="AX356" t="s">
        <v>9706</v>
      </c>
      <c r="AY356">
        <v>3.6729999999999999E-2</v>
      </c>
      <c r="AZ356">
        <v>-3.2100000000000002E-3</v>
      </c>
      <c r="BA356">
        <v>1.74E-3</v>
      </c>
      <c r="BB356">
        <v>-3.6000000000000002E-4</v>
      </c>
      <c r="BC356">
        <v>4.7289999999999999E-2</v>
      </c>
      <c r="BD356">
        <v>1</v>
      </c>
      <c r="BE356" t="s">
        <v>69</v>
      </c>
      <c r="BF356">
        <v>-1.0580000000000001</v>
      </c>
      <c r="BG356">
        <v>-2.4569999999999999</v>
      </c>
    </row>
    <row r="357" spans="1:59">
      <c r="A357">
        <v>0</v>
      </c>
      <c r="B357">
        <v>0</v>
      </c>
      <c r="C357">
        <v>0</v>
      </c>
      <c r="D357" t="s">
        <v>25022</v>
      </c>
      <c r="E357">
        <v>546</v>
      </c>
      <c r="F357" t="s">
        <v>3521</v>
      </c>
      <c r="G357" t="s">
        <v>57</v>
      </c>
      <c r="H357">
        <v>579541</v>
      </c>
      <c r="I357">
        <v>579873</v>
      </c>
      <c r="J357" t="s">
        <v>3522</v>
      </c>
      <c r="K357">
        <v>111</v>
      </c>
      <c r="L357" t="s">
        <v>1392</v>
      </c>
      <c r="M357">
        <v>43</v>
      </c>
      <c r="N357" t="str">
        <f>HYPERLINK("Gene546-zp_tree_all.dnd", "Gene546-tree")</f>
        <v>Gene546-tree</v>
      </c>
      <c r="O357">
        <v>6</v>
      </c>
      <c r="P357">
        <v>3</v>
      </c>
      <c r="Q357">
        <v>6</v>
      </c>
      <c r="R357">
        <v>3</v>
      </c>
      <c r="S357">
        <v>0.33333000000000002</v>
      </c>
      <c r="T357" t="s">
        <v>90</v>
      </c>
      <c r="U357" t="s">
        <v>324</v>
      </c>
      <c r="V357" t="s">
        <v>62</v>
      </c>
      <c r="W357" t="s">
        <v>62</v>
      </c>
      <c r="X357">
        <v>0</v>
      </c>
      <c r="Y357">
        <v>0</v>
      </c>
      <c r="Z357">
        <v>4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3</v>
      </c>
      <c r="AK357">
        <v>0</v>
      </c>
      <c r="AL357">
        <v>6</v>
      </c>
      <c r="AM357">
        <v>3</v>
      </c>
      <c r="AN357">
        <v>7</v>
      </c>
      <c r="AO357">
        <v>3</v>
      </c>
      <c r="AP357">
        <v>3</v>
      </c>
      <c r="AQ357">
        <v>1</v>
      </c>
      <c r="AR357" t="s">
        <v>3523</v>
      </c>
      <c r="AS357" t="s">
        <v>3524</v>
      </c>
      <c r="AT357">
        <v>0.14599999999999999</v>
      </c>
      <c r="AU357" t="s">
        <v>65</v>
      </c>
      <c r="AV357">
        <v>10</v>
      </c>
      <c r="AW357">
        <v>4</v>
      </c>
      <c r="AX357" t="s">
        <v>3525</v>
      </c>
      <c r="AY357">
        <v>4.1700000000000001E-2</v>
      </c>
      <c r="AZ357">
        <v>-4.47E-3</v>
      </c>
      <c r="BA357">
        <v>3.9100000000000003E-3</v>
      </c>
      <c r="BB357">
        <v>-4.0000000000000002E-4</v>
      </c>
      <c r="BC357">
        <v>9.3869999999999995E-2</v>
      </c>
      <c r="BD357">
        <v>1</v>
      </c>
      <c r="BE357" t="s">
        <v>69</v>
      </c>
      <c r="BF357">
        <v>0.33200000000000002</v>
      </c>
      <c r="BG357">
        <v>-0.60299999999999998</v>
      </c>
    </row>
    <row r="358" spans="1:59">
      <c r="A358">
        <v>0</v>
      </c>
      <c r="B358">
        <v>0</v>
      </c>
      <c r="C358">
        <v>0</v>
      </c>
      <c r="D358" t="s">
        <v>25022</v>
      </c>
      <c r="E358">
        <v>459</v>
      </c>
      <c r="F358" t="s">
        <v>3114</v>
      </c>
      <c r="G358" t="s">
        <v>57</v>
      </c>
      <c r="H358">
        <v>504689</v>
      </c>
      <c r="I358">
        <v>505021</v>
      </c>
      <c r="J358" t="s">
        <v>3115</v>
      </c>
      <c r="K358">
        <v>111</v>
      </c>
      <c r="L358" t="s">
        <v>59</v>
      </c>
      <c r="M358">
        <v>49</v>
      </c>
      <c r="N358" t="str">
        <f>HYPERLINK("Gene459-zp_tree_all.dnd", "Gene459-tree")</f>
        <v>Gene459-tree</v>
      </c>
      <c r="O358">
        <v>7</v>
      </c>
      <c r="P358">
        <v>2</v>
      </c>
      <c r="Q358">
        <v>7</v>
      </c>
      <c r="R358">
        <v>2</v>
      </c>
      <c r="S358">
        <v>0.22222</v>
      </c>
      <c r="T358" t="s">
        <v>152</v>
      </c>
      <c r="U358" t="s">
        <v>81</v>
      </c>
      <c r="V358" t="s">
        <v>62</v>
      </c>
      <c r="W358" t="s">
        <v>62</v>
      </c>
      <c r="X358">
        <v>0</v>
      </c>
      <c r="Y358">
        <v>0</v>
      </c>
      <c r="Z358">
        <v>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</v>
      </c>
      <c r="AK358">
        <v>0</v>
      </c>
      <c r="AL358">
        <v>6</v>
      </c>
      <c r="AM358">
        <v>6</v>
      </c>
      <c r="AN358">
        <v>9</v>
      </c>
      <c r="AO358">
        <v>2</v>
      </c>
      <c r="AP358">
        <v>15</v>
      </c>
      <c r="AQ358">
        <v>2</v>
      </c>
      <c r="AR358" t="s">
        <v>3116</v>
      </c>
      <c r="AS358" t="s">
        <v>3117</v>
      </c>
      <c r="AT358">
        <v>0.35299999999999998</v>
      </c>
      <c r="AU358" t="s">
        <v>65</v>
      </c>
      <c r="AV358">
        <v>24</v>
      </c>
      <c r="AW358">
        <v>4</v>
      </c>
      <c r="AX358" t="s">
        <v>3118</v>
      </c>
      <c r="AY358">
        <v>0.11371000000000001</v>
      </c>
      <c r="AZ358">
        <v>-9.7099999999999999E-3</v>
      </c>
      <c r="BA358">
        <v>5.5300000000000002E-3</v>
      </c>
      <c r="BB358">
        <v>-6.3000000000000003E-4</v>
      </c>
      <c r="BC358">
        <v>4.863E-2</v>
      </c>
      <c r="BD358">
        <v>1</v>
      </c>
      <c r="BE358" t="s">
        <v>69</v>
      </c>
      <c r="BF358">
        <v>-1.4259999999999999</v>
      </c>
      <c r="BG358">
        <v>-1.117</v>
      </c>
    </row>
    <row r="359" spans="1:59">
      <c r="A359">
        <v>0</v>
      </c>
      <c r="B359">
        <v>0</v>
      </c>
      <c r="C359">
        <v>0</v>
      </c>
      <c r="D359" t="s">
        <v>25022</v>
      </c>
      <c r="E359">
        <v>2344</v>
      </c>
      <c r="F359" t="s">
        <v>13608</v>
      </c>
      <c r="G359" t="s">
        <v>62</v>
      </c>
      <c r="H359">
        <v>2360158</v>
      </c>
      <c r="I359">
        <v>2360490</v>
      </c>
      <c r="J359" t="s">
        <v>13609</v>
      </c>
      <c r="K359">
        <v>111</v>
      </c>
      <c r="L359" t="s">
        <v>59</v>
      </c>
      <c r="M359">
        <v>49</v>
      </c>
      <c r="N359" t="str">
        <f>HYPERLINK("Gene2344-zp_tree_all.dnd", "Gene2344-tree")</f>
        <v>Gene2344-tree</v>
      </c>
      <c r="O359">
        <v>14</v>
      </c>
      <c r="P359">
        <v>2</v>
      </c>
      <c r="Q359">
        <v>14</v>
      </c>
      <c r="R359">
        <v>2</v>
      </c>
      <c r="S359">
        <v>0.125</v>
      </c>
      <c r="T359" t="s">
        <v>543</v>
      </c>
      <c r="U359" t="s">
        <v>81</v>
      </c>
      <c r="V359" t="s">
        <v>62</v>
      </c>
      <c r="W359" t="s">
        <v>62</v>
      </c>
      <c r="X359">
        <v>0</v>
      </c>
      <c r="Y359">
        <v>0</v>
      </c>
      <c r="Z359">
        <v>4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2</v>
      </c>
      <c r="AK359">
        <v>0</v>
      </c>
      <c r="AL359">
        <v>10</v>
      </c>
      <c r="AM359">
        <v>8</v>
      </c>
      <c r="AN359">
        <v>14</v>
      </c>
      <c r="AO359">
        <v>2</v>
      </c>
      <c r="AP359">
        <v>15</v>
      </c>
      <c r="AQ359">
        <v>3</v>
      </c>
      <c r="AR359" t="s">
        <v>13610</v>
      </c>
      <c r="AS359" t="s">
        <v>13611</v>
      </c>
      <c r="AT359">
        <v>0.21</v>
      </c>
      <c r="AU359" t="s">
        <v>65</v>
      </c>
      <c r="AV359">
        <v>29</v>
      </c>
      <c r="AW359">
        <v>5</v>
      </c>
      <c r="AX359" t="s">
        <v>13612</v>
      </c>
      <c r="AY359">
        <v>9.3630000000000005E-2</v>
      </c>
      <c r="AZ359">
        <v>-6.1999999999999998E-3</v>
      </c>
      <c r="BA359">
        <v>3.5899999999999999E-3</v>
      </c>
      <c r="BB359">
        <v>-2.3000000000000001E-4</v>
      </c>
      <c r="BC359">
        <v>3.8309999999999997E-2</v>
      </c>
      <c r="BD359">
        <v>1</v>
      </c>
      <c r="BE359" t="s">
        <v>69</v>
      </c>
      <c r="BF359">
        <v>-4.2999999999999997E-2</v>
      </c>
      <c r="BG359">
        <v>0.34300000000000003</v>
      </c>
    </row>
    <row r="360" spans="1:59">
      <c r="A360">
        <v>0</v>
      </c>
      <c r="B360">
        <v>2</v>
      </c>
      <c r="C360">
        <v>0</v>
      </c>
      <c r="D360" t="s">
        <v>25022</v>
      </c>
      <c r="E360">
        <v>3148</v>
      </c>
      <c r="F360" t="s">
        <v>18286</v>
      </c>
      <c r="G360" t="s">
        <v>62</v>
      </c>
      <c r="H360">
        <v>3105473</v>
      </c>
      <c r="I360">
        <v>3105805</v>
      </c>
      <c r="J360" t="s">
        <v>18287</v>
      </c>
      <c r="K360">
        <v>111</v>
      </c>
      <c r="L360" t="s">
        <v>59</v>
      </c>
      <c r="M360">
        <v>49</v>
      </c>
      <c r="N360" t="str">
        <f>HYPERLINK("Gene3148-zp_tree_all.dnd", "Gene3148-tree")</f>
        <v>Gene3148-tree</v>
      </c>
      <c r="O360">
        <v>45</v>
      </c>
      <c r="P360">
        <v>0</v>
      </c>
      <c r="Q360">
        <v>8</v>
      </c>
      <c r="R360">
        <v>0</v>
      </c>
      <c r="S360">
        <v>0</v>
      </c>
      <c r="T360" t="s">
        <v>18288</v>
      </c>
      <c r="U360" t="s">
        <v>62</v>
      </c>
      <c r="V360" t="s">
        <v>62</v>
      </c>
      <c r="W360" t="s">
        <v>62</v>
      </c>
      <c r="X360">
        <v>1</v>
      </c>
      <c r="Y360">
        <v>2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6</v>
      </c>
      <c r="AM360">
        <v>4</v>
      </c>
      <c r="AN360">
        <v>7</v>
      </c>
      <c r="AO360">
        <v>0</v>
      </c>
      <c r="AP360">
        <v>4</v>
      </c>
      <c r="AQ360">
        <v>2</v>
      </c>
      <c r="AR360" t="s">
        <v>193</v>
      </c>
      <c r="AS360" t="s">
        <v>18289</v>
      </c>
      <c r="AT360">
        <v>2</v>
      </c>
      <c r="AU360" t="s">
        <v>65</v>
      </c>
      <c r="AV360">
        <v>11</v>
      </c>
      <c r="AW360">
        <v>2</v>
      </c>
      <c r="AX360" t="s">
        <v>18290</v>
      </c>
      <c r="AY360">
        <v>5.0750000000000003E-2</v>
      </c>
      <c r="AZ360">
        <v>-4.4799999999999996E-3</v>
      </c>
      <c r="BA360">
        <v>1.6800000000000001E-3</v>
      </c>
      <c r="BB360">
        <v>-3.6999999999999999E-4</v>
      </c>
      <c r="BC360">
        <v>3.3169999999999998E-2</v>
      </c>
      <c r="BD360">
        <v>1</v>
      </c>
      <c r="BE360" t="s">
        <v>69</v>
      </c>
      <c r="BF360">
        <v>-0.76100000000000001</v>
      </c>
      <c r="BG360">
        <v>-0.27500000000000002</v>
      </c>
    </row>
    <row r="361" spans="1:59">
      <c r="A361">
        <v>0</v>
      </c>
      <c r="B361">
        <v>9</v>
      </c>
      <c r="C361">
        <v>0</v>
      </c>
      <c r="D361" t="s">
        <v>25022</v>
      </c>
      <c r="E361">
        <v>568</v>
      </c>
      <c r="F361" t="s">
        <v>3655</v>
      </c>
      <c r="G361" t="s">
        <v>57</v>
      </c>
      <c r="H361">
        <v>598729</v>
      </c>
      <c r="I361">
        <v>599064</v>
      </c>
      <c r="J361" t="s">
        <v>3149</v>
      </c>
      <c r="K361">
        <v>112</v>
      </c>
      <c r="L361" t="s">
        <v>108</v>
      </c>
      <c r="M361">
        <v>44</v>
      </c>
      <c r="N361" t="str">
        <f>HYPERLINK("Gene568-zp_tree_all.dnd", "Gene568-tree")</f>
        <v>Gene568-tree</v>
      </c>
      <c r="O361">
        <v>4</v>
      </c>
      <c r="P361">
        <v>8</v>
      </c>
      <c r="Q361">
        <v>4</v>
      </c>
      <c r="R361">
        <v>8</v>
      </c>
      <c r="S361">
        <v>0.66666999999999998</v>
      </c>
      <c r="T361" t="s">
        <v>61</v>
      </c>
      <c r="U361" t="s">
        <v>136</v>
      </c>
      <c r="V361" t="s">
        <v>62</v>
      </c>
      <c r="W361" t="s">
        <v>62</v>
      </c>
      <c r="X361">
        <v>4</v>
      </c>
      <c r="Y361">
        <v>9</v>
      </c>
      <c r="Z361">
        <v>8</v>
      </c>
      <c r="AA361">
        <v>0.52941000000000005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6</v>
      </c>
      <c r="AH361">
        <v>0</v>
      </c>
      <c r="AI361">
        <v>6</v>
      </c>
      <c r="AJ361">
        <v>7</v>
      </c>
      <c r="AK361">
        <v>0.46154000000000001</v>
      </c>
      <c r="AL361">
        <v>9</v>
      </c>
      <c r="AM361">
        <v>7</v>
      </c>
      <c r="AN361">
        <v>7</v>
      </c>
      <c r="AO361">
        <v>10</v>
      </c>
      <c r="AP361">
        <v>3</v>
      </c>
      <c r="AQ361">
        <v>7</v>
      </c>
      <c r="AR361" t="s">
        <v>3656</v>
      </c>
      <c r="AS361" t="s">
        <v>3657</v>
      </c>
      <c r="AT361">
        <v>0.499</v>
      </c>
      <c r="AU361" t="s">
        <v>65</v>
      </c>
      <c r="AV361">
        <v>10</v>
      </c>
      <c r="AW361">
        <v>17</v>
      </c>
      <c r="AX361" t="s">
        <v>3658</v>
      </c>
      <c r="AY361">
        <v>2.8299999999999999E-2</v>
      </c>
      <c r="AZ361">
        <v>-2.2599999999999999E-3</v>
      </c>
      <c r="BA361">
        <v>1.414E-2</v>
      </c>
      <c r="BB361">
        <v>-8.1999999999999998E-4</v>
      </c>
      <c r="BC361">
        <v>0.49952000000000002</v>
      </c>
      <c r="BD361">
        <v>0.82799999999999996</v>
      </c>
      <c r="BE361" t="s">
        <v>635</v>
      </c>
      <c r="BF361">
        <v>0.248</v>
      </c>
      <c r="BG361">
        <v>0.17399999999999999</v>
      </c>
    </row>
    <row r="362" spans="1:59">
      <c r="A362">
        <v>0</v>
      </c>
      <c r="B362">
        <v>2</v>
      </c>
      <c r="C362">
        <v>4</v>
      </c>
      <c r="D362" t="s">
        <v>25022</v>
      </c>
      <c r="E362">
        <v>3655</v>
      </c>
      <c r="F362" t="s">
        <v>21444</v>
      </c>
      <c r="G362" t="s">
        <v>62</v>
      </c>
      <c r="H362">
        <v>3625744</v>
      </c>
      <c r="I362">
        <v>3626079</v>
      </c>
      <c r="J362" t="s">
        <v>21445</v>
      </c>
      <c r="K362">
        <v>112</v>
      </c>
      <c r="L362" t="s">
        <v>21446</v>
      </c>
      <c r="M362">
        <v>43</v>
      </c>
      <c r="N362" t="str">
        <f>HYPERLINK("Gene3655-zp_tree_all.dnd", "Gene3655-tree")</f>
        <v>Gene3655-tree</v>
      </c>
      <c r="O362">
        <v>1</v>
      </c>
      <c r="P362">
        <v>7</v>
      </c>
      <c r="Q362">
        <v>1</v>
      </c>
      <c r="R362">
        <v>7</v>
      </c>
      <c r="S362">
        <v>0.875</v>
      </c>
      <c r="T362" t="s">
        <v>175</v>
      </c>
      <c r="U362" t="s">
        <v>152</v>
      </c>
      <c r="V362" t="s">
        <v>62</v>
      </c>
      <c r="W362" t="s">
        <v>62</v>
      </c>
      <c r="X362">
        <v>3</v>
      </c>
      <c r="Y362">
        <v>6</v>
      </c>
      <c r="Z362">
        <v>8</v>
      </c>
      <c r="AA362">
        <v>0.42857000000000001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2</v>
      </c>
      <c r="AH362">
        <v>2</v>
      </c>
      <c r="AI362">
        <v>4</v>
      </c>
      <c r="AJ362">
        <v>8</v>
      </c>
      <c r="AK362">
        <v>0.33333000000000002</v>
      </c>
      <c r="AL362">
        <v>5</v>
      </c>
      <c r="AM362">
        <v>4</v>
      </c>
      <c r="AN362">
        <v>11</v>
      </c>
      <c r="AO362">
        <v>11</v>
      </c>
      <c r="AP362">
        <v>2</v>
      </c>
      <c r="AQ362">
        <v>3</v>
      </c>
      <c r="AR362" t="s">
        <v>21447</v>
      </c>
      <c r="AS362" t="s">
        <v>21448</v>
      </c>
      <c r="AT362">
        <v>0.32400000000000001</v>
      </c>
      <c r="AU362" t="s">
        <v>65</v>
      </c>
      <c r="AV362">
        <v>13</v>
      </c>
      <c r="AW362">
        <v>14</v>
      </c>
      <c r="AX362" t="s">
        <v>21449</v>
      </c>
      <c r="AY362">
        <v>4.6289999999999998E-2</v>
      </c>
      <c r="AZ362">
        <v>-1.0149999999999999E-2</v>
      </c>
      <c r="BA362">
        <v>1.521E-2</v>
      </c>
      <c r="BB362">
        <v>-2.0400000000000001E-3</v>
      </c>
      <c r="BC362">
        <v>0.32851999999999998</v>
      </c>
      <c r="BD362">
        <v>0.97</v>
      </c>
      <c r="BE362" t="s">
        <v>69</v>
      </c>
      <c r="BF362">
        <v>-1.74</v>
      </c>
      <c r="BG362">
        <v>-4.5140000000000002</v>
      </c>
    </row>
    <row r="363" spans="1:59">
      <c r="A363">
        <v>0</v>
      </c>
      <c r="B363">
        <v>2</v>
      </c>
      <c r="C363">
        <v>0</v>
      </c>
      <c r="D363" t="s">
        <v>25022</v>
      </c>
      <c r="E363">
        <v>2655</v>
      </c>
      <c r="F363" t="s">
        <v>15563</v>
      </c>
      <c r="G363" t="s">
        <v>62</v>
      </c>
      <c r="H363">
        <v>2632885</v>
      </c>
      <c r="I363">
        <v>2633220</v>
      </c>
      <c r="J363" t="s">
        <v>116</v>
      </c>
      <c r="K363">
        <v>112</v>
      </c>
      <c r="L363" t="s">
        <v>108</v>
      </c>
      <c r="M363">
        <v>44</v>
      </c>
      <c r="N363" t="str">
        <f>HYPERLINK("Gene2655-zp_tree_all.dnd", "Gene2655-tree")</f>
        <v>Gene2655-tree</v>
      </c>
      <c r="O363">
        <v>3</v>
      </c>
      <c r="P363">
        <v>5</v>
      </c>
      <c r="Q363">
        <v>3</v>
      </c>
      <c r="R363">
        <v>5</v>
      </c>
      <c r="S363">
        <v>0.625</v>
      </c>
      <c r="T363" t="s">
        <v>324</v>
      </c>
      <c r="U363" t="s">
        <v>199</v>
      </c>
      <c r="V363" t="s">
        <v>62</v>
      </c>
      <c r="W363" t="s">
        <v>62</v>
      </c>
      <c r="X363">
        <v>1</v>
      </c>
      <c r="Y363">
        <v>2</v>
      </c>
      <c r="Z363">
        <v>6</v>
      </c>
      <c r="AA363">
        <v>0.25</v>
      </c>
      <c r="AB363">
        <v>0</v>
      </c>
      <c r="AC363">
        <v>0</v>
      </c>
      <c r="AD363">
        <v>0</v>
      </c>
      <c r="AE363">
        <v>3</v>
      </c>
      <c r="AF363">
        <v>0</v>
      </c>
      <c r="AG363">
        <v>0</v>
      </c>
      <c r="AH363">
        <v>0</v>
      </c>
      <c r="AI363">
        <v>0</v>
      </c>
      <c r="AJ363">
        <v>5</v>
      </c>
      <c r="AK363">
        <v>0</v>
      </c>
      <c r="AL363">
        <v>4</v>
      </c>
      <c r="AM363">
        <v>4</v>
      </c>
      <c r="AN363">
        <v>6</v>
      </c>
      <c r="AO363">
        <v>4</v>
      </c>
      <c r="AP363">
        <v>2</v>
      </c>
      <c r="AQ363">
        <v>4</v>
      </c>
      <c r="AR363" t="s">
        <v>15564</v>
      </c>
      <c r="AS363" t="s">
        <v>15565</v>
      </c>
      <c r="AT363">
        <v>0.499</v>
      </c>
      <c r="AU363" t="s">
        <v>65</v>
      </c>
      <c r="AV363">
        <v>8</v>
      </c>
      <c r="AW363">
        <v>8</v>
      </c>
      <c r="AX363" t="s">
        <v>15566</v>
      </c>
      <c r="AY363">
        <v>3.286E-2</v>
      </c>
      <c r="AZ363">
        <v>-6.6299999999999996E-3</v>
      </c>
      <c r="BA363">
        <v>9.8600000000000007E-3</v>
      </c>
      <c r="BB363">
        <v>-9.7999999999999997E-4</v>
      </c>
      <c r="BC363">
        <v>0.30003000000000002</v>
      </c>
      <c r="BD363">
        <v>0.94899999999999995</v>
      </c>
      <c r="BE363" t="s">
        <v>635</v>
      </c>
      <c r="BF363">
        <v>0.79100000000000004</v>
      </c>
      <c r="BG363">
        <v>1.538</v>
      </c>
    </row>
    <row r="364" spans="1:59">
      <c r="A364">
        <v>0</v>
      </c>
      <c r="B364">
        <v>0</v>
      </c>
      <c r="C364">
        <v>0</v>
      </c>
      <c r="D364" t="s">
        <v>25022</v>
      </c>
      <c r="E364">
        <v>1359</v>
      </c>
      <c r="F364" t="s">
        <v>8506</v>
      </c>
      <c r="G364" t="s">
        <v>57</v>
      </c>
      <c r="H364">
        <v>1376517</v>
      </c>
      <c r="I364">
        <v>1376852</v>
      </c>
      <c r="J364" t="s">
        <v>8507</v>
      </c>
      <c r="K364">
        <v>112</v>
      </c>
      <c r="L364" t="s">
        <v>108</v>
      </c>
      <c r="M364">
        <v>44</v>
      </c>
      <c r="N364" t="str">
        <f>HYPERLINK("Gene1359-zp_tree_all.dnd", "Gene1359-tree")</f>
        <v>Gene1359-tree</v>
      </c>
      <c r="O364">
        <v>31</v>
      </c>
      <c r="P364">
        <v>3</v>
      </c>
      <c r="Q364">
        <v>8</v>
      </c>
      <c r="R364">
        <v>3</v>
      </c>
      <c r="S364">
        <v>0.27272999999999997</v>
      </c>
      <c r="T364" t="s">
        <v>7249</v>
      </c>
      <c r="U364" t="s">
        <v>324</v>
      </c>
      <c r="V364" t="s">
        <v>62</v>
      </c>
      <c r="W364" t="s">
        <v>62</v>
      </c>
      <c r="X364">
        <v>0</v>
      </c>
      <c r="Y364">
        <v>0</v>
      </c>
      <c r="Z364">
        <v>6</v>
      </c>
      <c r="AA364">
        <v>0</v>
      </c>
      <c r="AB364">
        <v>0</v>
      </c>
      <c r="AC364">
        <v>0</v>
      </c>
      <c r="AD364">
        <v>0</v>
      </c>
      <c r="AE364">
        <v>2</v>
      </c>
      <c r="AF364">
        <v>0</v>
      </c>
      <c r="AG364">
        <v>0</v>
      </c>
      <c r="AH364">
        <v>0</v>
      </c>
      <c r="AI364">
        <v>0</v>
      </c>
      <c r="AJ364">
        <v>4</v>
      </c>
      <c r="AK364">
        <v>0</v>
      </c>
      <c r="AL364">
        <v>7</v>
      </c>
      <c r="AM364">
        <v>5</v>
      </c>
      <c r="AN364">
        <v>5</v>
      </c>
      <c r="AO364">
        <v>4</v>
      </c>
      <c r="AP364">
        <v>9</v>
      </c>
      <c r="AQ364">
        <v>2</v>
      </c>
      <c r="AR364" t="s">
        <v>8508</v>
      </c>
      <c r="AS364" t="s">
        <v>8509</v>
      </c>
      <c r="AT364">
        <v>0.69899999999999995</v>
      </c>
      <c r="AU364" t="s">
        <v>65</v>
      </c>
      <c r="AV364">
        <v>14</v>
      </c>
      <c r="AW364">
        <v>6</v>
      </c>
      <c r="AX364" t="s">
        <v>8510</v>
      </c>
      <c r="AY364">
        <v>5.1459999999999999E-2</v>
      </c>
      <c r="AZ364">
        <v>-4.9500000000000004E-3</v>
      </c>
      <c r="BA364">
        <v>6.3800000000000003E-3</v>
      </c>
      <c r="BB364">
        <v>-5.6999999999999998E-4</v>
      </c>
      <c r="BC364">
        <v>0.12398000000000001</v>
      </c>
      <c r="BD364">
        <v>1</v>
      </c>
      <c r="BE364" t="s">
        <v>69</v>
      </c>
      <c r="BF364">
        <v>-0.41799999999999998</v>
      </c>
      <c r="BG364">
        <v>-0.68200000000000005</v>
      </c>
    </row>
    <row r="365" spans="1:59">
      <c r="A365">
        <v>0</v>
      </c>
      <c r="B365">
        <v>6</v>
      </c>
      <c r="C365">
        <v>2</v>
      </c>
      <c r="D365" t="s">
        <v>25022</v>
      </c>
      <c r="E365">
        <v>2470</v>
      </c>
      <c r="F365" t="s">
        <v>14392</v>
      </c>
      <c r="G365" t="s">
        <v>62</v>
      </c>
      <c r="H365">
        <v>2464230</v>
      </c>
      <c r="I365">
        <v>2464565</v>
      </c>
      <c r="J365" t="s">
        <v>116</v>
      </c>
      <c r="K365">
        <v>112</v>
      </c>
      <c r="L365" t="s">
        <v>160</v>
      </c>
      <c r="M365">
        <v>45</v>
      </c>
      <c r="N365" t="str">
        <f>HYPERLINK("Gene2470-zp_tree_all.dnd", "Gene2470-tree")</f>
        <v>Gene2470-tree</v>
      </c>
      <c r="O365">
        <v>5</v>
      </c>
      <c r="P365">
        <v>7</v>
      </c>
      <c r="Q365">
        <v>5</v>
      </c>
      <c r="R365">
        <v>7</v>
      </c>
      <c r="S365">
        <v>0.58333000000000002</v>
      </c>
      <c r="T365" t="s">
        <v>199</v>
      </c>
      <c r="U365" t="s">
        <v>152</v>
      </c>
      <c r="V365" t="s">
        <v>62</v>
      </c>
      <c r="W365" t="s">
        <v>62</v>
      </c>
      <c r="X365">
        <v>4</v>
      </c>
      <c r="Y365">
        <v>8</v>
      </c>
      <c r="Z365">
        <v>7</v>
      </c>
      <c r="AA365">
        <v>0.53332999999999997</v>
      </c>
      <c r="AB365">
        <v>0</v>
      </c>
      <c r="AC365">
        <v>0</v>
      </c>
      <c r="AD365">
        <v>0</v>
      </c>
      <c r="AE365">
        <v>2</v>
      </c>
      <c r="AF365">
        <v>0</v>
      </c>
      <c r="AG365">
        <v>4</v>
      </c>
      <c r="AH365">
        <v>2</v>
      </c>
      <c r="AI365">
        <v>6</v>
      </c>
      <c r="AJ365">
        <v>6</v>
      </c>
      <c r="AK365">
        <v>0.5</v>
      </c>
      <c r="AL365">
        <v>10</v>
      </c>
      <c r="AM365">
        <v>9</v>
      </c>
      <c r="AN365">
        <v>17</v>
      </c>
      <c r="AO365">
        <v>11</v>
      </c>
      <c r="AP365">
        <v>12</v>
      </c>
      <c r="AQ365">
        <v>4</v>
      </c>
      <c r="AR365" t="s">
        <v>14393</v>
      </c>
      <c r="AS365" t="s">
        <v>14394</v>
      </c>
      <c r="AT365">
        <v>0.308</v>
      </c>
      <c r="AU365" t="s">
        <v>65</v>
      </c>
      <c r="AV365">
        <v>29</v>
      </c>
      <c r="AW365">
        <v>15</v>
      </c>
      <c r="AX365" t="s">
        <v>14395</v>
      </c>
      <c r="AY365">
        <v>0.10287</v>
      </c>
      <c r="AZ365">
        <v>-8.2299999999999995E-3</v>
      </c>
      <c r="BA365">
        <v>1.044E-2</v>
      </c>
      <c r="BB365">
        <v>-6.0999999999999997E-4</v>
      </c>
      <c r="BC365">
        <v>0.10149</v>
      </c>
      <c r="BD365">
        <v>1</v>
      </c>
      <c r="BE365" t="s">
        <v>69</v>
      </c>
      <c r="BF365">
        <v>-0.96399999999999997</v>
      </c>
      <c r="BG365">
        <v>-1.349</v>
      </c>
    </row>
    <row r="366" spans="1:59">
      <c r="A366">
        <v>0</v>
      </c>
      <c r="B366">
        <v>0</v>
      </c>
      <c r="C366">
        <v>0</v>
      </c>
      <c r="D366" t="s">
        <v>25022</v>
      </c>
      <c r="E366">
        <v>2911</v>
      </c>
      <c r="F366" t="s">
        <v>16758</v>
      </c>
      <c r="G366" t="s">
        <v>62</v>
      </c>
      <c r="H366">
        <v>2855180</v>
      </c>
      <c r="I366">
        <v>2855515</v>
      </c>
      <c r="J366" t="s">
        <v>16759</v>
      </c>
      <c r="K366">
        <v>112</v>
      </c>
      <c r="L366" t="s">
        <v>125</v>
      </c>
      <c r="M366">
        <v>48</v>
      </c>
      <c r="N366" t="str">
        <f>HYPERLINK("Gene2911-zp_tree_all.dnd", "Gene2911-tree")</f>
        <v>Gene2911-tree</v>
      </c>
      <c r="O366">
        <v>7</v>
      </c>
      <c r="P366">
        <v>5</v>
      </c>
      <c r="Q366">
        <v>7</v>
      </c>
      <c r="R366">
        <v>5</v>
      </c>
      <c r="S366">
        <v>0.41666999999999998</v>
      </c>
      <c r="T366" t="s">
        <v>152</v>
      </c>
      <c r="U366" t="s">
        <v>199</v>
      </c>
      <c r="V366" t="s">
        <v>62</v>
      </c>
      <c r="W366" t="s">
        <v>62</v>
      </c>
      <c r="X366">
        <v>0</v>
      </c>
      <c r="Y366">
        <v>0</v>
      </c>
      <c r="Z366">
        <v>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5</v>
      </c>
      <c r="AK366">
        <v>0</v>
      </c>
      <c r="AL366">
        <v>7</v>
      </c>
      <c r="AM366">
        <v>6</v>
      </c>
      <c r="AN366">
        <v>5</v>
      </c>
      <c r="AO366">
        <v>4</v>
      </c>
      <c r="AP366">
        <v>12</v>
      </c>
      <c r="AQ366">
        <v>3</v>
      </c>
      <c r="AR366" t="s">
        <v>16760</v>
      </c>
      <c r="AS366" t="s">
        <v>16761</v>
      </c>
      <c r="AT366">
        <v>0.96</v>
      </c>
      <c r="AU366" t="s">
        <v>65</v>
      </c>
      <c r="AV366">
        <v>17</v>
      </c>
      <c r="AW366">
        <v>7</v>
      </c>
      <c r="AX366" t="s">
        <v>16762</v>
      </c>
      <c r="AY366">
        <v>6.7750000000000005E-2</v>
      </c>
      <c r="AZ366">
        <v>-4.4000000000000003E-3</v>
      </c>
      <c r="BA366">
        <v>6.1799999999999997E-3</v>
      </c>
      <c r="BB366">
        <v>-5.1000000000000004E-4</v>
      </c>
      <c r="BC366">
        <v>9.1160000000000005E-2</v>
      </c>
      <c r="BD366">
        <v>1</v>
      </c>
      <c r="BE366" t="s">
        <v>69</v>
      </c>
      <c r="BF366">
        <v>-1.3360000000000001</v>
      </c>
      <c r="BG366">
        <v>-0.23200000000000001</v>
      </c>
    </row>
    <row r="367" spans="1:59">
      <c r="A367">
        <v>0</v>
      </c>
      <c r="B367">
        <v>0</v>
      </c>
      <c r="C367">
        <v>0</v>
      </c>
      <c r="D367" t="s">
        <v>25022</v>
      </c>
      <c r="E367">
        <v>3937</v>
      </c>
      <c r="F367" t="s">
        <v>23107</v>
      </c>
      <c r="G367" t="s">
        <v>62</v>
      </c>
      <c r="H367">
        <v>3900484</v>
      </c>
      <c r="I367">
        <v>3900819</v>
      </c>
      <c r="J367" t="s">
        <v>23108</v>
      </c>
      <c r="K367">
        <v>112</v>
      </c>
      <c r="L367" t="s">
        <v>23102</v>
      </c>
      <c r="M367">
        <v>27</v>
      </c>
      <c r="N367" t="str">
        <f>HYPERLINK("Gene3937-zp_tree_all.dnd", "Gene3937-tree")</f>
        <v>Gene3937-tree</v>
      </c>
      <c r="O367">
        <v>25</v>
      </c>
      <c r="P367">
        <v>1</v>
      </c>
      <c r="Q367">
        <v>3</v>
      </c>
      <c r="R367">
        <v>1</v>
      </c>
      <c r="S367">
        <v>0.25</v>
      </c>
      <c r="T367" t="s">
        <v>3530</v>
      </c>
      <c r="U367" t="s">
        <v>175</v>
      </c>
      <c r="V367" t="s">
        <v>62</v>
      </c>
      <c r="W367" t="s">
        <v>62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2</v>
      </c>
      <c r="AM367">
        <v>1</v>
      </c>
      <c r="AN367">
        <v>1</v>
      </c>
      <c r="AO367">
        <v>1</v>
      </c>
      <c r="AP367">
        <v>3</v>
      </c>
      <c r="AQ367">
        <v>0</v>
      </c>
      <c r="AR367" t="s">
        <v>23109</v>
      </c>
      <c r="AS367" t="s">
        <v>193</v>
      </c>
      <c r="AT367">
        <v>0.70699999999999996</v>
      </c>
      <c r="AU367" t="s">
        <v>65</v>
      </c>
      <c r="AV367">
        <v>4</v>
      </c>
      <c r="AW367">
        <v>1</v>
      </c>
      <c r="AX367" t="s">
        <v>23110</v>
      </c>
      <c r="AY367">
        <v>3.4540000000000001E-2</v>
      </c>
      <c r="AZ367">
        <v>-6.28E-3</v>
      </c>
      <c r="BA367">
        <v>1.92E-3</v>
      </c>
      <c r="BB367">
        <v>-7.7999999999999999E-4</v>
      </c>
      <c r="BC367">
        <v>5.5530000000000003E-2</v>
      </c>
      <c r="BD367">
        <v>1</v>
      </c>
      <c r="BE367" t="s">
        <v>69</v>
      </c>
      <c r="BF367">
        <v>-1.006</v>
      </c>
      <c r="BG367">
        <v>0.29699999999999999</v>
      </c>
    </row>
    <row r="368" spans="1:59">
      <c r="A368">
        <v>0</v>
      </c>
      <c r="B368">
        <v>0</v>
      </c>
      <c r="C368">
        <v>0</v>
      </c>
      <c r="D368" t="s">
        <v>25022</v>
      </c>
      <c r="E368">
        <v>2034</v>
      </c>
      <c r="F368" t="s">
        <v>12661</v>
      </c>
      <c r="G368" t="s">
        <v>62</v>
      </c>
      <c r="H368">
        <v>2127348</v>
      </c>
      <c r="I368">
        <v>2127683</v>
      </c>
      <c r="J368" t="s">
        <v>12662</v>
      </c>
      <c r="K368">
        <v>112</v>
      </c>
      <c r="L368" t="s">
        <v>465</v>
      </c>
      <c r="M368">
        <v>46</v>
      </c>
      <c r="N368" t="str">
        <f>HYPERLINK("Gene2034-zp_tree_all.dnd", "Gene2034-tree")</f>
        <v>Gene2034-tree</v>
      </c>
      <c r="O368">
        <v>8</v>
      </c>
      <c r="P368">
        <v>2</v>
      </c>
      <c r="Q368">
        <v>8</v>
      </c>
      <c r="R368">
        <v>2</v>
      </c>
      <c r="S368">
        <v>0.2</v>
      </c>
      <c r="T368" t="s">
        <v>136</v>
      </c>
      <c r="U368" t="s">
        <v>81</v>
      </c>
      <c r="V368" t="s">
        <v>62</v>
      </c>
      <c r="W368" t="s">
        <v>62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</v>
      </c>
      <c r="AK368">
        <v>0</v>
      </c>
      <c r="AL368">
        <v>6</v>
      </c>
      <c r="AM368">
        <v>3</v>
      </c>
      <c r="AN368">
        <v>17</v>
      </c>
      <c r="AO368">
        <v>3</v>
      </c>
      <c r="AP368">
        <v>4</v>
      </c>
      <c r="AQ368">
        <v>0</v>
      </c>
      <c r="AR368" t="s">
        <v>12663</v>
      </c>
      <c r="AS368" t="s">
        <v>193</v>
      </c>
      <c r="AT368">
        <v>0.52700000000000002</v>
      </c>
      <c r="AU368" t="s">
        <v>65</v>
      </c>
      <c r="AV368">
        <v>21</v>
      </c>
      <c r="AW368">
        <v>3</v>
      </c>
      <c r="AX368" t="s">
        <v>12664</v>
      </c>
      <c r="AY368">
        <v>7.0459999999999995E-2</v>
      </c>
      <c r="AZ368">
        <v>-1.0800000000000001E-2</v>
      </c>
      <c r="BA368">
        <v>2.2899999999999999E-3</v>
      </c>
      <c r="BB368">
        <v>-4.8999999999999998E-4</v>
      </c>
      <c r="BC368">
        <v>3.2559999999999999E-2</v>
      </c>
      <c r="BD368">
        <v>1</v>
      </c>
      <c r="BE368" t="s">
        <v>69</v>
      </c>
      <c r="BF368">
        <v>-1.4139999999999999</v>
      </c>
      <c r="BG368">
        <v>1.3480000000000001</v>
      </c>
    </row>
    <row r="369" spans="1:59">
      <c r="A369">
        <v>0</v>
      </c>
      <c r="B369">
        <v>0</v>
      </c>
      <c r="C369">
        <v>0</v>
      </c>
      <c r="D369" t="s">
        <v>25022</v>
      </c>
      <c r="E369">
        <v>449</v>
      </c>
      <c r="F369" t="s">
        <v>3047</v>
      </c>
      <c r="G369" t="s">
        <v>57</v>
      </c>
      <c r="H369">
        <v>495009</v>
      </c>
      <c r="I369">
        <v>495347</v>
      </c>
      <c r="J369" t="s">
        <v>3048</v>
      </c>
      <c r="K369">
        <v>113</v>
      </c>
      <c r="L369" t="s">
        <v>108</v>
      </c>
      <c r="M369">
        <v>44</v>
      </c>
      <c r="N369" t="str">
        <f>HYPERLINK("Gene449-zp_tree_all.dnd", "Gene449-tree")</f>
        <v>Gene449-tree</v>
      </c>
      <c r="O369">
        <v>6</v>
      </c>
      <c r="P369">
        <v>5</v>
      </c>
      <c r="Q369">
        <v>6</v>
      </c>
      <c r="R369">
        <v>5</v>
      </c>
      <c r="S369">
        <v>0.45455000000000001</v>
      </c>
      <c r="T369" t="s">
        <v>90</v>
      </c>
      <c r="U369" t="s">
        <v>199</v>
      </c>
      <c r="V369" t="s">
        <v>62</v>
      </c>
      <c r="W369" t="s">
        <v>62</v>
      </c>
      <c r="X369">
        <v>0</v>
      </c>
      <c r="Y369">
        <v>0</v>
      </c>
      <c r="Z369">
        <v>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6</v>
      </c>
      <c r="AK369">
        <v>0</v>
      </c>
      <c r="AL369">
        <v>8</v>
      </c>
      <c r="AM369">
        <v>5</v>
      </c>
      <c r="AN369">
        <v>5</v>
      </c>
      <c r="AO369">
        <v>6</v>
      </c>
      <c r="AP369">
        <v>7</v>
      </c>
      <c r="AQ369">
        <v>2</v>
      </c>
      <c r="AR369" t="s">
        <v>3049</v>
      </c>
      <c r="AS369" t="s">
        <v>3050</v>
      </c>
      <c r="AT369">
        <v>0.96599999999999997</v>
      </c>
      <c r="AU369" t="s">
        <v>65</v>
      </c>
      <c r="AV369">
        <v>12</v>
      </c>
      <c r="AW369">
        <v>8</v>
      </c>
      <c r="AX369" t="s">
        <v>3051</v>
      </c>
      <c r="AY369">
        <v>4.41E-2</v>
      </c>
      <c r="AZ369">
        <v>-4.7299999999999998E-3</v>
      </c>
      <c r="BA369">
        <v>7.3499999999999998E-3</v>
      </c>
      <c r="BB369">
        <v>-5.6999999999999998E-4</v>
      </c>
      <c r="BC369">
        <v>0.16661999999999999</v>
      </c>
      <c r="BD369">
        <v>1</v>
      </c>
      <c r="BE369" t="s">
        <v>69</v>
      </c>
      <c r="BF369">
        <v>-0.65200000000000002</v>
      </c>
      <c r="BG369">
        <v>-0.40400000000000003</v>
      </c>
    </row>
    <row r="370" spans="1:59">
      <c r="A370">
        <v>0</v>
      </c>
      <c r="B370">
        <v>4</v>
      </c>
      <c r="C370">
        <v>2</v>
      </c>
      <c r="D370" t="s">
        <v>25022</v>
      </c>
      <c r="E370">
        <v>3660</v>
      </c>
      <c r="F370" t="s">
        <v>21476</v>
      </c>
      <c r="G370" t="s">
        <v>62</v>
      </c>
      <c r="H370">
        <v>3632153</v>
      </c>
      <c r="I370">
        <v>3632491</v>
      </c>
      <c r="J370" t="s">
        <v>21477</v>
      </c>
      <c r="K370">
        <v>113</v>
      </c>
      <c r="L370" t="s">
        <v>108</v>
      </c>
      <c r="M370">
        <v>44</v>
      </c>
      <c r="N370" t="str">
        <f>HYPERLINK("Gene3660-zp_tree_all.dnd", "Gene3660-tree")</f>
        <v>Gene3660-tree</v>
      </c>
      <c r="O370">
        <v>3</v>
      </c>
      <c r="P370">
        <v>4</v>
      </c>
      <c r="Q370">
        <v>3</v>
      </c>
      <c r="R370">
        <v>4</v>
      </c>
      <c r="S370">
        <v>0.57142999999999999</v>
      </c>
      <c r="T370" t="s">
        <v>324</v>
      </c>
      <c r="U370" t="s">
        <v>61</v>
      </c>
      <c r="V370" t="s">
        <v>62</v>
      </c>
      <c r="W370" t="s">
        <v>62</v>
      </c>
      <c r="X370">
        <v>3</v>
      </c>
      <c r="Y370">
        <v>6</v>
      </c>
      <c r="Z370">
        <v>4</v>
      </c>
      <c r="AA370">
        <v>0.6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</v>
      </c>
      <c r="AH370">
        <v>2</v>
      </c>
      <c r="AI370">
        <v>4</v>
      </c>
      <c r="AJ370">
        <v>4</v>
      </c>
      <c r="AK370">
        <v>0.5</v>
      </c>
      <c r="AL370">
        <v>6</v>
      </c>
      <c r="AM370">
        <v>4</v>
      </c>
      <c r="AN370">
        <v>8</v>
      </c>
      <c r="AO370">
        <v>8</v>
      </c>
      <c r="AP370">
        <v>11</v>
      </c>
      <c r="AQ370">
        <v>2</v>
      </c>
      <c r="AR370" t="s">
        <v>21478</v>
      </c>
      <c r="AS370" t="s">
        <v>21479</v>
      </c>
      <c r="AT370">
        <v>1.254</v>
      </c>
      <c r="AU370" t="s">
        <v>65</v>
      </c>
      <c r="AV370">
        <v>19</v>
      </c>
      <c r="AW370">
        <v>10</v>
      </c>
      <c r="AX370" t="s">
        <v>21480</v>
      </c>
      <c r="AY370">
        <v>9.5030000000000003E-2</v>
      </c>
      <c r="AZ370">
        <v>-9.1000000000000004E-3</v>
      </c>
      <c r="BA370">
        <v>1.077E-2</v>
      </c>
      <c r="BB370">
        <v>-1.41E-3</v>
      </c>
      <c r="BC370">
        <v>0.11339</v>
      </c>
      <c r="BD370">
        <v>1</v>
      </c>
      <c r="BE370" t="s">
        <v>69</v>
      </c>
      <c r="BF370">
        <v>1.143</v>
      </c>
      <c r="BG370">
        <v>-0.36299999999999999</v>
      </c>
    </row>
    <row r="371" spans="1:59">
      <c r="A371">
        <v>0</v>
      </c>
      <c r="B371">
        <v>0</v>
      </c>
      <c r="C371">
        <v>0</v>
      </c>
      <c r="D371" t="s">
        <v>25022</v>
      </c>
      <c r="E371">
        <v>1033</v>
      </c>
      <c r="F371" t="s">
        <v>6478</v>
      </c>
      <c r="G371" t="s">
        <v>57</v>
      </c>
      <c r="H371">
        <v>1072768</v>
      </c>
      <c r="I371">
        <v>1073106</v>
      </c>
      <c r="J371" t="s">
        <v>116</v>
      </c>
      <c r="K371">
        <v>113</v>
      </c>
      <c r="L371" t="s">
        <v>59</v>
      </c>
      <c r="M371">
        <v>49</v>
      </c>
      <c r="N371" t="str">
        <f>HYPERLINK("Gene1033-zp_tree_all.dnd", "Gene1033-tree")</f>
        <v>Gene1033-tree</v>
      </c>
      <c r="O371">
        <v>8</v>
      </c>
      <c r="P371">
        <v>2</v>
      </c>
      <c r="Q371">
        <v>8</v>
      </c>
      <c r="R371">
        <v>2</v>
      </c>
      <c r="S371">
        <v>0.2</v>
      </c>
      <c r="T371" t="s">
        <v>136</v>
      </c>
      <c r="U371" t="s">
        <v>81</v>
      </c>
      <c r="V371" t="s">
        <v>62</v>
      </c>
      <c r="W371" t="s">
        <v>62</v>
      </c>
      <c r="X371">
        <v>0</v>
      </c>
      <c r="Y371">
        <v>0</v>
      </c>
      <c r="Z371">
        <v>6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2</v>
      </c>
      <c r="AK371">
        <v>0</v>
      </c>
      <c r="AL371">
        <v>7</v>
      </c>
      <c r="AM371">
        <v>6</v>
      </c>
      <c r="AN371">
        <v>8</v>
      </c>
      <c r="AO371">
        <v>2</v>
      </c>
      <c r="AP371">
        <v>13</v>
      </c>
      <c r="AQ371">
        <v>4</v>
      </c>
      <c r="AR371" t="s">
        <v>6479</v>
      </c>
      <c r="AS371" t="s">
        <v>6480</v>
      </c>
      <c r="AT371">
        <v>0.14299999999999999</v>
      </c>
      <c r="AU371" t="s">
        <v>65</v>
      </c>
      <c r="AV371">
        <v>21</v>
      </c>
      <c r="AW371">
        <v>6</v>
      </c>
      <c r="AX371" t="s">
        <v>6481</v>
      </c>
      <c r="AY371">
        <v>0.10326</v>
      </c>
      <c r="AZ371">
        <v>-8.0999999999999996E-3</v>
      </c>
      <c r="BA371">
        <v>8.4499999999999992E-3</v>
      </c>
      <c r="BB371">
        <v>-8.5999999999999998E-4</v>
      </c>
      <c r="BC371">
        <v>8.1799999999999998E-2</v>
      </c>
      <c r="BD371">
        <v>1</v>
      </c>
      <c r="BE371" t="s">
        <v>69</v>
      </c>
      <c r="BF371">
        <v>-1.2230000000000001</v>
      </c>
      <c r="BG371">
        <v>-0.23699999999999999</v>
      </c>
    </row>
    <row r="372" spans="1:59">
      <c r="A372">
        <v>0</v>
      </c>
      <c r="B372">
        <v>0</v>
      </c>
      <c r="C372">
        <v>0</v>
      </c>
      <c r="D372" t="s">
        <v>25022</v>
      </c>
      <c r="E372">
        <v>121</v>
      </c>
      <c r="F372" t="s">
        <v>908</v>
      </c>
      <c r="G372" t="s">
        <v>57</v>
      </c>
      <c r="H372">
        <v>138497</v>
      </c>
      <c r="I372">
        <v>138835</v>
      </c>
      <c r="J372" t="s">
        <v>909</v>
      </c>
      <c r="K372">
        <v>113</v>
      </c>
      <c r="L372" t="s">
        <v>59</v>
      </c>
      <c r="M372">
        <v>49</v>
      </c>
      <c r="N372" t="str">
        <f>HYPERLINK("Gene121-zp_tree_all.dnd", "Gene121-tree")</f>
        <v>Gene121-tree</v>
      </c>
      <c r="O372">
        <v>42</v>
      </c>
      <c r="P372">
        <v>1</v>
      </c>
      <c r="Q372">
        <v>3</v>
      </c>
      <c r="R372">
        <v>1</v>
      </c>
      <c r="S372">
        <v>0.25</v>
      </c>
      <c r="T372" t="s">
        <v>910</v>
      </c>
      <c r="U372" t="s">
        <v>175</v>
      </c>
      <c r="V372" t="s">
        <v>62</v>
      </c>
      <c r="W372" t="s">
        <v>62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3</v>
      </c>
      <c r="AM372">
        <v>0</v>
      </c>
      <c r="AN372">
        <v>4</v>
      </c>
      <c r="AO372">
        <v>1</v>
      </c>
      <c r="AP372">
        <v>0</v>
      </c>
      <c r="AQ372">
        <v>0</v>
      </c>
      <c r="AR372" t="s">
        <v>911</v>
      </c>
      <c r="AS372" t="s">
        <v>193</v>
      </c>
      <c r="AT372">
        <v>0.6</v>
      </c>
      <c r="AU372" t="s">
        <v>65</v>
      </c>
      <c r="AV372">
        <v>4</v>
      </c>
      <c r="AW372">
        <v>1</v>
      </c>
      <c r="AX372" t="s">
        <v>912</v>
      </c>
      <c r="AY372">
        <v>2.5159999999999998E-2</v>
      </c>
      <c r="AZ372">
        <v>-7.3299999999999997E-3</v>
      </c>
      <c r="BA372">
        <v>1.9499999999999999E-3</v>
      </c>
      <c r="BB372">
        <v>-7.2999999999999996E-4</v>
      </c>
      <c r="BC372">
        <v>7.7359999999999998E-2</v>
      </c>
      <c r="BD372">
        <v>0.97399999999999998</v>
      </c>
      <c r="BE372" t="s">
        <v>69</v>
      </c>
      <c r="BF372">
        <v>-1.5369999999999999</v>
      </c>
      <c r="BG372">
        <v>-2.74</v>
      </c>
    </row>
    <row r="373" spans="1:59">
      <c r="A373">
        <v>0</v>
      </c>
      <c r="B373">
        <v>0</v>
      </c>
      <c r="C373">
        <v>2</v>
      </c>
      <c r="D373" t="s">
        <v>25022</v>
      </c>
      <c r="E373">
        <v>3764</v>
      </c>
      <c r="F373" t="s">
        <v>22057</v>
      </c>
      <c r="G373" t="s">
        <v>62</v>
      </c>
      <c r="H373">
        <v>3740209</v>
      </c>
      <c r="I373">
        <v>3740547</v>
      </c>
      <c r="J373" t="s">
        <v>22058</v>
      </c>
      <c r="K373">
        <v>113</v>
      </c>
      <c r="L373" t="s">
        <v>59</v>
      </c>
      <c r="M373">
        <v>49</v>
      </c>
      <c r="N373" t="str">
        <f>HYPERLINK("Gene3764-zp_tree_all.dnd", "Gene3764-tree")</f>
        <v>Gene3764-tree</v>
      </c>
      <c r="O373">
        <v>8</v>
      </c>
      <c r="P373">
        <v>5</v>
      </c>
      <c r="Q373">
        <v>8</v>
      </c>
      <c r="R373">
        <v>5</v>
      </c>
      <c r="S373">
        <v>0.38462000000000002</v>
      </c>
      <c r="T373" t="s">
        <v>136</v>
      </c>
      <c r="U373" t="s">
        <v>199</v>
      </c>
      <c r="V373" t="s">
        <v>62</v>
      </c>
      <c r="W373" t="s">
        <v>62</v>
      </c>
      <c r="X373">
        <v>1</v>
      </c>
      <c r="Y373">
        <v>2</v>
      </c>
      <c r="Z373">
        <v>5</v>
      </c>
      <c r="AA373">
        <v>0.28571000000000002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4</v>
      </c>
      <c r="AK373">
        <v>0</v>
      </c>
      <c r="AL373">
        <v>10</v>
      </c>
      <c r="AM373">
        <v>7</v>
      </c>
      <c r="AN373">
        <v>14</v>
      </c>
      <c r="AO373">
        <v>4</v>
      </c>
      <c r="AP373">
        <v>17</v>
      </c>
      <c r="AQ373">
        <v>3</v>
      </c>
      <c r="AR373" t="s">
        <v>22059</v>
      </c>
      <c r="AS373" t="s">
        <v>22060</v>
      </c>
      <c r="AT373">
        <v>0.51600000000000001</v>
      </c>
      <c r="AU373" t="s">
        <v>65</v>
      </c>
      <c r="AV373">
        <v>31</v>
      </c>
      <c r="AW373">
        <v>7</v>
      </c>
      <c r="AX373" t="s">
        <v>22061</v>
      </c>
      <c r="AY373">
        <v>0.11837</v>
      </c>
      <c r="AZ373">
        <v>-8.9099999999999995E-3</v>
      </c>
      <c r="BA373">
        <v>7.2100000000000003E-3</v>
      </c>
      <c r="BB373">
        <v>-5.1000000000000004E-4</v>
      </c>
      <c r="BC373">
        <v>6.0909999999999999E-2</v>
      </c>
      <c r="BD373">
        <v>1</v>
      </c>
      <c r="BE373" t="s">
        <v>69</v>
      </c>
      <c r="BF373">
        <v>-1.63</v>
      </c>
      <c r="BG373">
        <v>-1.3160000000000001</v>
      </c>
    </row>
    <row r="374" spans="1:59">
      <c r="A374">
        <v>0</v>
      </c>
      <c r="B374">
        <v>0</v>
      </c>
      <c r="C374">
        <v>0</v>
      </c>
      <c r="D374" t="s">
        <v>25022</v>
      </c>
      <c r="E374">
        <v>2468</v>
      </c>
      <c r="F374" t="s">
        <v>14378</v>
      </c>
      <c r="G374" t="s">
        <v>62</v>
      </c>
      <c r="H374">
        <v>2463220</v>
      </c>
      <c r="I374">
        <v>2463561</v>
      </c>
      <c r="J374" t="s">
        <v>14379</v>
      </c>
      <c r="K374">
        <v>114</v>
      </c>
      <c r="L374" t="s">
        <v>14380</v>
      </c>
      <c r="M374">
        <v>41</v>
      </c>
      <c r="N374" t="str">
        <f>HYPERLINK("Gene2468-zp_tree_all.dnd", "Gene2468-tree")</f>
        <v>Gene2468-tree</v>
      </c>
      <c r="O374">
        <v>5</v>
      </c>
      <c r="P374">
        <v>4</v>
      </c>
      <c r="Q374">
        <v>5</v>
      </c>
      <c r="R374">
        <v>4</v>
      </c>
      <c r="S374">
        <v>0.44444</v>
      </c>
      <c r="T374" t="s">
        <v>199</v>
      </c>
      <c r="U374" t="s">
        <v>61</v>
      </c>
      <c r="V374" t="s">
        <v>62</v>
      </c>
      <c r="W374" t="s">
        <v>62</v>
      </c>
      <c r="X374">
        <v>0</v>
      </c>
      <c r="Y374">
        <v>0</v>
      </c>
      <c r="Z374">
        <v>8</v>
      </c>
      <c r="AA374">
        <v>0</v>
      </c>
      <c r="AB374">
        <v>0</v>
      </c>
      <c r="AC374">
        <v>0</v>
      </c>
      <c r="AD374">
        <v>0</v>
      </c>
      <c r="AE374">
        <v>3</v>
      </c>
      <c r="AF374">
        <v>0</v>
      </c>
      <c r="AG374">
        <v>0</v>
      </c>
      <c r="AH374">
        <v>0</v>
      </c>
      <c r="AI374">
        <v>0</v>
      </c>
      <c r="AJ374">
        <v>4</v>
      </c>
      <c r="AK374">
        <v>0</v>
      </c>
      <c r="AL374">
        <v>5</v>
      </c>
      <c r="AM374">
        <v>5</v>
      </c>
      <c r="AN374">
        <v>3</v>
      </c>
      <c r="AO374">
        <v>4</v>
      </c>
      <c r="AP374">
        <v>2</v>
      </c>
      <c r="AQ374">
        <v>4</v>
      </c>
      <c r="AR374" t="s">
        <v>14381</v>
      </c>
      <c r="AS374" t="s">
        <v>14382</v>
      </c>
      <c r="AT374">
        <v>0.30499999999999999</v>
      </c>
      <c r="AU374" t="s">
        <v>65</v>
      </c>
      <c r="AV374">
        <v>5</v>
      </c>
      <c r="AW374">
        <v>8</v>
      </c>
      <c r="AX374" t="s">
        <v>14383</v>
      </c>
      <c r="AY374">
        <v>1.504E-2</v>
      </c>
      <c r="AZ374">
        <v>-1.91E-3</v>
      </c>
      <c r="BA374">
        <v>1.0619999999999999E-2</v>
      </c>
      <c r="BB374">
        <v>-7.6999999999999996E-4</v>
      </c>
      <c r="BC374">
        <v>0.70604</v>
      </c>
      <c r="BD374">
        <v>0.59299999999999997</v>
      </c>
      <c r="BE374" t="s">
        <v>635</v>
      </c>
      <c r="BF374">
        <v>0.55600000000000005</v>
      </c>
      <c r="BG374">
        <v>0.34699999999999998</v>
      </c>
    </row>
    <row r="375" spans="1:59">
      <c r="A375">
        <v>0</v>
      </c>
      <c r="B375">
        <v>0</v>
      </c>
      <c r="C375">
        <v>0</v>
      </c>
      <c r="D375" t="s">
        <v>25022</v>
      </c>
      <c r="E375">
        <v>1811</v>
      </c>
      <c r="F375" t="s">
        <v>11350</v>
      </c>
      <c r="G375" t="s">
        <v>57</v>
      </c>
      <c r="H375">
        <v>1880623</v>
      </c>
      <c r="I375">
        <v>1880964</v>
      </c>
      <c r="J375" t="s">
        <v>11351</v>
      </c>
      <c r="K375">
        <v>114</v>
      </c>
      <c r="L375" t="s">
        <v>11352</v>
      </c>
      <c r="M375">
        <v>24</v>
      </c>
      <c r="N375" t="str">
        <f>HYPERLINK("Gene1811-zp_tree_all.dnd", "Gene1811-tree")</f>
        <v>Gene1811-tree</v>
      </c>
      <c r="O375">
        <v>0</v>
      </c>
      <c r="P375">
        <v>24</v>
      </c>
      <c r="Q375">
        <v>0</v>
      </c>
      <c r="R375">
        <v>4</v>
      </c>
      <c r="S375">
        <v>1</v>
      </c>
      <c r="T375" t="s">
        <v>62</v>
      </c>
      <c r="U375" t="s">
        <v>1495</v>
      </c>
      <c r="V375">
        <v>6.851</v>
      </c>
      <c r="W375" t="s">
        <v>65</v>
      </c>
      <c r="X375">
        <v>0</v>
      </c>
      <c r="Y375">
        <v>0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3</v>
      </c>
      <c r="AK375">
        <v>0</v>
      </c>
      <c r="AL375">
        <v>2</v>
      </c>
      <c r="AM375">
        <v>1</v>
      </c>
      <c r="AN375">
        <v>2</v>
      </c>
      <c r="AO375">
        <v>2</v>
      </c>
      <c r="AP375">
        <v>0</v>
      </c>
      <c r="AQ375">
        <v>1</v>
      </c>
      <c r="AR375" t="s">
        <v>11353</v>
      </c>
      <c r="AS375" t="s">
        <v>193</v>
      </c>
      <c r="AT375">
        <v>1.4139999999999999</v>
      </c>
      <c r="AU375" t="s">
        <v>65</v>
      </c>
      <c r="AV375">
        <v>2</v>
      </c>
      <c r="AW375">
        <v>3</v>
      </c>
      <c r="AX375" t="s">
        <v>11354</v>
      </c>
      <c r="AY375">
        <v>1.4800000000000001E-2</v>
      </c>
      <c r="AZ375">
        <v>-6.0400000000000002E-3</v>
      </c>
      <c r="BA375">
        <v>6.13E-3</v>
      </c>
      <c r="BB375">
        <v>-1.1199999999999999E-3</v>
      </c>
      <c r="BC375">
        <v>0.41444999999999999</v>
      </c>
      <c r="BD375">
        <v>0.72899999999999998</v>
      </c>
      <c r="BE375" t="s">
        <v>635</v>
      </c>
      <c r="BF375">
        <v>-0.89</v>
      </c>
      <c r="BG375">
        <v>0.33200000000000002</v>
      </c>
    </row>
    <row r="376" spans="1:59">
      <c r="A376">
        <v>0</v>
      </c>
      <c r="B376">
        <v>4</v>
      </c>
      <c r="C376">
        <v>1</v>
      </c>
      <c r="D376" t="s">
        <v>25022</v>
      </c>
      <c r="E376">
        <v>577</v>
      </c>
      <c r="F376" t="s">
        <v>3711</v>
      </c>
      <c r="G376" t="s">
        <v>57</v>
      </c>
      <c r="H376">
        <v>603596</v>
      </c>
      <c r="I376">
        <v>603937</v>
      </c>
      <c r="J376" t="s">
        <v>288</v>
      </c>
      <c r="K376">
        <v>114</v>
      </c>
      <c r="L376" t="s">
        <v>108</v>
      </c>
      <c r="M376">
        <v>44</v>
      </c>
      <c r="N376" t="str">
        <f>HYPERLINK("Gene577-zp_tree_all.dnd", "Gene577-tree")</f>
        <v>Gene577-tree</v>
      </c>
      <c r="O376">
        <v>4</v>
      </c>
      <c r="P376">
        <v>8</v>
      </c>
      <c r="Q376">
        <v>4</v>
      </c>
      <c r="R376">
        <v>8</v>
      </c>
      <c r="S376">
        <v>0.66666999999999998</v>
      </c>
      <c r="T376" t="s">
        <v>61</v>
      </c>
      <c r="U376" t="s">
        <v>136</v>
      </c>
      <c r="V376" t="s">
        <v>62</v>
      </c>
      <c r="W376" t="s">
        <v>62</v>
      </c>
      <c r="X376">
        <v>2</v>
      </c>
      <c r="Y376">
        <v>5</v>
      </c>
      <c r="Z376">
        <v>13</v>
      </c>
      <c r="AA376">
        <v>0.27778000000000003</v>
      </c>
      <c r="AB376">
        <v>0</v>
      </c>
      <c r="AC376">
        <v>0</v>
      </c>
      <c r="AD376">
        <v>0</v>
      </c>
      <c r="AE376">
        <v>3</v>
      </c>
      <c r="AF376">
        <v>0</v>
      </c>
      <c r="AG376">
        <v>0</v>
      </c>
      <c r="AH376">
        <v>2</v>
      </c>
      <c r="AI376">
        <v>2</v>
      </c>
      <c r="AJ376">
        <v>10</v>
      </c>
      <c r="AK376">
        <v>0.16667000000000001</v>
      </c>
      <c r="AL376">
        <v>8</v>
      </c>
      <c r="AM376">
        <v>7</v>
      </c>
      <c r="AN376">
        <v>4</v>
      </c>
      <c r="AO376">
        <v>11</v>
      </c>
      <c r="AP376">
        <v>10</v>
      </c>
      <c r="AQ376">
        <v>7</v>
      </c>
      <c r="AR376" t="s">
        <v>3712</v>
      </c>
      <c r="AS376" t="s">
        <v>3713</v>
      </c>
      <c r="AT376">
        <v>1.0780000000000001</v>
      </c>
      <c r="AU376" t="s">
        <v>65</v>
      </c>
      <c r="AV376">
        <v>14</v>
      </c>
      <c r="AW376">
        <v>18</v>
      </c>
      <c r="AX376" t="s">
        <v>3714</v>
      </c>
      <c r="AY376">
        <v>5.049E-2</v>
      </c>
      <c r="AZ376">
        <v>-3.0999999999999999E-3</v>
      </c>
      <c r="BA376">
        <v>1.4630000000000001E-2</v>
      </c>
      <c r="BB376">
        <v>-8.0000000000000004E-4</v>
      </c>
      <c r="BC376">
        <v>0.28970000000000001</v>
      </c>
      <c r="BD376">
        <v>0.99</v>
      </c>
      <c r="BE376" t="s">
        <v>69</v>
      </c>
      <c r="BF376">
        <v>-0.113</v>
      </c>
      <c r="BG376">
        <v>3.3000000000000002E-2</v>
      </c>
    </row>
    <row r="377" spans="1:59">
      <c r="A377">
        <v>0</v>
      </c>
      <c r="B377">
        <v>0</v>
      </c>
      <c r="C377">
        <v>4</v>
      </c>
      <c r="D377" t="s">
        <v>25022</v>
      </c>
      <c r="E377">
        <v>900</v>
      </c>
      <c r="F377" t="s">
        <v>5620</v>
      </c>
      <c r="G377" t="s">
        <v>57</v>
      </c>
      <c r="H377">
        <v>938243</v>
      </c>
      <c r="I377">
        <v>938584</v>
      </c>
      <c r="J377" t="s">
        <v>288</v>
      </c>
      <c r="K377">
        <v>114</v>
      </c>
      <c r="L377" t="s">
        <v>125</v>
      </c>
      <c r="M377">
        <v>48</v>
      </c>
      <c r="N377" t="str">
        <f>HYPERLINK("Gene900-zp_tree_all.dnd", "Gene900-tree")</f>
        <v>Gene900-tree</v>
      </c>
      <c r="O377">
        <v>7</v>
      </c>
      <c r="P377">
        <v>2</v>
      </c>
      <c r="Q377">
        <v>7</v>
      </c>
      <c r="R377">
        <v>2</v>
      </c>
      <c r="S377">
        <v>0.22222</v>
      </c>
      <c r="T377" t="s">
        <v>152</v>
      </c>
      <c r="U377" t="s">
        <v>81</v>
      </c>
      <c r="V377" t="s">
        <v>62</v>
      </c>
      <c r="W377" t="s">
        <v>62</v>
      </c>
      <c r="X377">
        <v>2</v>
      </c>
      <c r="Y377">
        <v>4</v>
      </c>
      <c r="Z377">
        <v>5</v>
      </c>
      <c r="AA377">
        <v>0.44444</v>
      </c>
      <c r="AB377">
        <v>0</v>
      </c>
      <c r="AC377">
        <v>0</v>
      </c>
      <c r="AD377">
        <v>0</v>
      </c>
      <c r="AE377">
        <v>3</v>
      </c>
      <c r="AF377">
        <v>0</v>
      </c>
      <c r="AG377">
        <v>0</v>
      </c>
      <c r="AH377">
        <v>0</v>
      </c>
      <c r="AI377">
        <v>0</v>
      </c>
      <c r="AJ377">
        <v>3</v>
      </c>
      <c r="AK377">
        <v>0</v>
      </c>
      <c r="AL377">
        <v>5</v>
      </c>
      <c r="AM377">
        <v>5</v>
      </c>
      <c r="AN377">
        <v>7</v>
      </c>
      <c r="AO377">
        <v>3</v>
      </c>
      <c r="AP377">
        <v>10</v>
      </c>
      <c r="AQ377">
        <v>6</v>
      </c>
      <c r="AR377" t="s">
        <v>5621</v>
      </c>
      <c r="AS377" t="s">
        <v>5622</v>
      </c>
      <c r="AT377">
        <v>0.191</v>
      </c>
      <c r="AU377" t="s">
        <v>65</v>
      </c>
      <c r="AV377">
        <v>17</v>
      </c>
      <c r="AW377">
        <v>9</v>
      </c>
      <c r="AX377" t="s">
        <v>5623</v>
      </c>
      <c r="AY377">
        <v>9.6240000000000006E-2</v>
      </c>
      <c r="AZ377">
        <v>-1.1169999999999999E-2</v>
      </c>
      <c r="BA377">
        <v>1.175E-2</v>
      </c>
      <c r="BB377">
        <v>-1.3500000000000001E-3</v>
      </c>
      <c r="BC377">
        <v>0.12209</v>
      </c>
      <c r="BD377">
        <v>1</v>
      </c>
      <c r="BE377" t="s">
        <v>69</v>
      </c>
      <c r="BF377">
        <v>-1.0069999999999999</v>
      </c>
      <c r="BG377">
        <v>0.7</v>
      </c>
    </row>
    <row r="378" spans="1:59">
      <c r="A378">
        <v>0</v>
      </c>
      <c r="B378">
        <v>2</v>
      </c>
      <c r="C378">
        <v>3</v>
      </c>
      <c r="D378" t="s">
        <v>25022</v>
      </c>
      <c r="E378">
        <v>2424</v>
      </c>
      <c r="F378" t="s">
        <v>14124</v>
      </c>
      <c r="G378" t="s">
        <v>62</v>
      </c>
      <c r="H378">
        <v>2431740</v>
      </c>
      <c r="I378">
        <v>2432081</v>
      </c>
      <c r="J378" t="s">
        <v>116</v>
      </c>
      <c r="K378">
        <v>114</v>
      </c>
      <c r="L378" t="s">
        <v>59</v>
      </c>
      <c r="M378">
        <v>49</v>
      </c>
      <c r="N378" t="str">
        <f>HYPERLINK("Gene2424-zp_tree_all.dnd", "Gene2424-tree")</f>
        <v>Gene2424-tree</v>
      </c>
      <c r="O378">
        <v>12</v>
      </c>
      <c r="P378">
        <v>23</v>
      </c>
      <c r="Q378">
        <v>12</v>
      </c>
      <c r="R378">
        <v>3</v>
      </c>
      <c r="S378">
        <v>0.2</v>
      </c>
      <c r="T378" t="s">
        <v>109</v>
      </c>
      <c r="U378" t="s">
        <v>1725</v>
      </c>
      <c r="V378">
        <v>7.38</v>
      </c>
      <c r="W378" t="s">
        <v>65</v>
      </c>
      <c r="X378">
        <v>2</v>
      </c>
      <c r="Y378">
        <v>5</v>
      </c>
      <c r="Z378">
        <v>3</v>
      </c>
      <c r="AA378">
        <v>0.625</v>
      </c>
      <c r="AB378">
        <v>0</v>
      </c>
      <c r="AC378">
        <v>0</v>
      </c>
      <c r="AD378">
        <v>0</v>
      </c>
      <c r="AE378">
        <v>2</v>
      </c>
      <c r="AF378">
        <v>0</v>
      </c>
      <c r="AG378">
        <v>2</v>
      </c>
      <c r="AH378">
        <v>0</v>
      </c>
      <c r="AI378">
        <v>2</v>
      </c>
      <c r="AJ378">
        <v>1</v>
      </c>
      <c r="AK378">
        <v>0.66666999999999998</v>
      </c>
      <c r="AL378">
        <v>12</v>
      </c>
      <c r="AM378">
        <v>6</v>
      </c>
      <c r="AN378">
        <v>9</v>
      </c>
      <c r="AO378">
        <v>3</v>
      </c>
      <c r="AP378">
        <v>11</v>
      </c>
      <c r="AQ378">
        <v>5</v>
      </c>
      <c r="AR378" t="s">
        <v>14125</v>
      </c>
      <c r="AS378" t="s">
        <v>14126</v>
      </c>
      <c r="AT378">
        <v>0.25600000000000001</v>
      </c>
      <c r="AU378" t="s">
        <v>65</v>
      </c>
      <c r="AV378">
        <v>20</v>
      </c>
      <c r="AW378">
        <v>8</v>
      </c>
      <c r="AX378" t="s">
        <v>14127</v>
      </c>
      <c r="AY378">
        <v>6.9199999999999998E-2</v>
      </c>
      <c r="AZ378">
        <v>-4.7000000000000002E-3</v>
      </c>
      <c r="BA378">
        <v>7.7299999999999999E-3</v>
      </c>
      <c r="BB378">
        <v>-5.5000000000000003E-4</v>
      </c>
      <c r="BC378">
        <v>0.11165</v>
      </c>
      <c r="BD378">
        <v>1</v>
      </c>
      <c r="BE378" t="s">
        <v>69</v>
      </c>
      <c r="BF378">
        <v>-1.1759999999999999</v>
      </c>
      <c r="BG378">
        <v>-0.79900000000000004</v>
      </c>
    </row>
    <row r="379" spans="1:59">
      <c r="A379">
        <v>0</v>
      </c>
      <c r="B379">
        <v>0</v>
      </c>
      <c r="C379">
        <v>0</v>
      </c>
      <c r="D379" t="s">
        <v>25022</v>
      </c>
      <c r="E379">
        <v>3397</v>
      </c>
      <c r="F379" t="s">
        <v>19871</v>
      </c>
      <c r="G379" t="s">
        <v>62</v>
      </c>
      <c r="H379">
        <v>3364621</v>
      </c>
      <c r="I379">
        <v>3364962</v>
      </c>
      <c r="J379" t="s">
        <v>116</v>
      </c>
      <c r="K379">
        <v>114</v>
      </c>
      <c r="L379" t="s">
        <v>125</v>
      </c>
      <c r="M379">
        <v>48</v>
      </c>
      <c r="N379" t="str">
        <f>HYPERLINK("Gene3397-zp_tree_all.dnd", "Gene3397-tree")</f>
        <v>Gene3397-tree</v>
      </c>
      <c r="O379">
        <v>8</v>
      </c>
      <c r="P379">
        <v>5</v>
      </c>
      <c r="Q379">
        <v>8</v>
      </c>
      <c r="R379">
        <v>5</v>
      </c>
      <c r="S379">
        <v>0.38462000000000002</v>
      </c>
      <c r="T379" t="s">
        <v>136</v>
      </c>
      <c r="U379" t="s">
        <v>199</v>
      </c>
      <c r="V379" t="s">
        <v>62</v>
      </c>
      <c r="W379" t="s">
        <v>62</v>
      </c>
      <c r="X379">
        <v>0</v>
      </c>
      <c r="Y379">
        <v>0</v>
      </c>
      <c r="Z379">
        <v>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6</v>
      </c>
      <c r="AK379">
        <v>0</v>
      </c>
      <c r="AL379">
        <v>10</v>
      </c>
      <c r="AM379">
        <v>6</v>
      </c>
      <c r="AN379">
        <v>14</v>
      </c>
      <c r="AO379">
        <v>4</v>
      </c>
      <c r="AP379">
        <v>16</v>
      </c>
      <c r="AQ379">
        <v>5</v>
      </c>
      <c r="AR379" t="s">
        <v>19872</v>
      </c>
      <c r="AS379" t="s">
        <v>19873</v>
      </c>
      <c r="AT379">
        <v>6.9000000000000006E-2</v>
      </c>
      <c r="AU379" t="s">
        <v>65</v>
      </c>
      <c r="AV379">
        <v>30</v>
      </c>
      <c r="AW379">
        <v>9</v>
      </c>
      <c r="AX379" t="s">
        <v>19874</v>
      </c>
      <c r="AY379">
        <v>8.7040000000000006E-2</v>
      </c>
      <c r="AZ379">
        <v>-8.1700000000000002E-3</v>
      </c>
      <c r="BA379">
        <v>8.4700000000000001E-3</v>
      </c>
      <c r="BB379">
        <v>-8.5999999999999998E-4</v>
      </c>
      <c r="BC379">
        <v>9.7350000000000006E-2</v>
      </c>
      <c r="BD379">
        <v>1</v>
      </c>
      <c r="BE379" t="s">
        <v>69</v>
      </c>
      <c r="BF379">
        <v>-1.1779999999999999</v>
      </c>
      <c r="BG379">
        <v>0.76700000000000002</v>
      </c>
    </row>
    <row r="380" spans="1:59">
      <c r="A380">
        <v>0</v>
      </c>
      <c r="B380">
        <v>0</v>
      </c>
      <c r="C380">
        <v>0</v>
      </c>
      <c r="D380" t="s">
        <v>25022</v>
      </c>
      <c r="E380">
        <v>2009</v>
      </c>
      <c r="F380" t="s">
        <v>12502</v>
      </c>
      <c r="G380" t="s">
        <v>62</v>
      </c>
      <c r="H380">
        <v>2099449</v>
      </c>
      <c r="I380">
        <v>2099790</v>
      </c>
      <c r="J380" t="s">
        <v>12503</v>
      </c>
      <c r="K380">
        <v>114</v>
      </c>
      <c r="L380" t="s">
        <v>59</v>
      </c>
      <c r="M380">
        <v>49</v>
      </c>
      <c r="N380" t="str">
        <f>HYPERLINK("Gene2009-zp_tree_all.dnd", "Gene2009-tree")</f>
        <v>Gene2009-tree</v>
      </c>
      <c r="O380">
        <v>12</v>
      </c>
      <c r="P380">
        <v>0</v>
      </c>
      <c r="Q380">
        <v>12</v>
      </c>
      <c r="R380">
        <v>0</v>
      </c>
      <c r="S380">
        <v>0</v>
      </c>
      <c r="T380" t="s">
        <v>109</v>
      </c>
      <c r="U380" t="s">
        <v>62</v>
      </c>
      <c r="V380" t="s">
        <v>62</v>
      </c>
      <c r="W380" t="s">
        <v>62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7</v>
      </c>
      <c r="AM380">
        <v>5</v>
      </c>
      <c r="AN380">
        <v>15</v>
      </c>
      <c r="AO380">
        <v>0</v>
      </c>
      <c r="AP380">
        <v>12</v>
      </c>
      <c r="AQ380">
        <v>0</v>
      </c>
      <c r="AR380" t="s">
        <v>193</v>
      </c>
      <c r="AS380" t="s">
        <v>193</v>
      </c>
      <c r="AT380">
        <v>0</v>
      </c>
      <c r="AU380" t="s">
        <v>65</v>
      </c>
      <c r="AV380">
        <v>27</v>
      </c>
      <c r="AW380">
        <v>0</v>
      </c>
      <c r="AX380" t="s">
        <v>12504</v>
      </c>
      <c r="AY380">
        <v>0.10835</v>
      </c>
      <c r="AZ380">
        <v>-9.8499999999999994E-3</v>
      </c>
      <c r="BA380">
        <v>0</v>
      </c>
      <c r="BB380">
        <v>0</v>
      </c>
      <c r="BC380">
        <v>0</v>
      </c>
      <c r="BD380">
        <v>1</v>
      </c>
      <c r="BE380" t="s">
        <v>69</v>
      </c>
      <c r="BF380">
        <v>-0.81899999999999995</v>
      </c>
      <c r="BG380">
        <v>1.0369999999999999</v>
      </c>
    </row>
    <row r="381" spans="1:59">
      <c r="A381">
        <v>0</v>
      </c>
      <c r="B381">
        <v>4</v>
      </c>
      <c r="C381">
        <v>2</v>
      </c>
      <c r="D381" t="s">
        <v>25022</v>
      </c>
      <c r="E381">
        <v>3358</v>
      </c>
      <c r="F381" t="s">
        <v>19619</v>
      </c>
      <c r="G381" t="s">
        <v>62</v>
      </c>
      <c r="H381">
        <v>3326806</v>
      </c>
      <c r="I381">
        <v>3327150</v>
      </c>
      <c r="J381" t="s">
        <v>116</v>
      </c>
      <c r="K381">
        <v>115</v>
      </c>
      <c r="L381" t="s">
        <v>629</v>
      </c>
      <c r="M381">
        <v>43</v>
      </c>
      <c r="N381" t="str">
        <f>HYPERLINK("Gene3358-zp_tree_all.dnd", "Gene3358-tree")</f>
        <v>Gene3358-tree</v>
      </c>
      <c r="O381">
        <v>5</v>
      </c>
      <c r="P381">
        <v>26</v>
      </c>
      <c r="Q381">
        <v>5</v>
      </c>
      <c r="R381">
        <v>7</v>
      </c>
      <c r="S381">
        <v>0.58333000000000002</v>
      </c>
      <c r="T381" t="s">
        <v>199</v>
      </c>
      <c r="U381" t="s">
        <v>191</v>
      </c>
      <c r="V381">
        <v>3.3170000000000002</v>
      </c>
      <c r="W381" t="s">
        <v>65</v>
      </c>
      <c r="X381">
        <v>3</v>
      </c>
      <c r="Y381">
        <v>6</v>
      </c>
      <c r="Z381">
        <v>11</v>
      </c>
      <c r="AA381">
        <v>0.35293999999999998</v>
      </c>
      <c r="AB381">
        <v>0</v>
      </c>
      <c r="AC381">
        <v>0</v>
      </c>
      <c r="AD381">
        <v>0</v>
      </c>
      <c r="AE381">
        <v>3</v>
      </c>
      <c r="AF381">
        <v>0</v>
      </c>
      <c r="AG381">
        <v>2</v>
      </c>
      <c r="AH381">
        <v>0</v>
      </c>
      <c r="AI381">
        <v>2</v>
      </c>
      <c r="AJ381">
        <v>9</v>
      </c>
      <c r="AK381">
        <v>0.18182000000000001</v>
      </c>
      <c r="AL381">
        <v>9</v>
      </c>
      <c r="AM381">
        <v>5</v>
      </c>
      <c r="AN381">
        <v>8</v>
      </c>
      <c r="AO381">
        <v>12</v>
      </c>
      <c r="AP381">
        <v>4</v>
      </c>
      <c r="AQ381">
        <v>7</v>
      </c>
      <c r="AR381" t="s">
        <v>19620</v>
      </c>
      <c r="AS381" t="s">
        <v>19621</v>
      </c>
      <c r="AT381">
        <v>0.25800000000000001</v>
      </c>
      <c r="AU381" t="s">
        <v>65</v>
      </c>
      <c r="AV381">
        <v>12</v>
      </c>
      <c r="AW381">
        <v>19</v>
      </c>
      <c r="AX381" t="s">
        <v>19622</v>
      </c>
      <c r="AY381">
        <v>3.7400000000000003E-2</v>
      </c>
      <c r="AZ381">
        <v>-2.7200000000000002E-3</v>
      </c>
      <c r="BA381">
        <v>1.5640000000000001E-2</v>
      </c>
      <c r="BB381">
        <v>-1.24E-3</v>
      </c>
      <c r="BC381">
        <v>0.41820000000000002</v>
      </c>
      <c r="BD381">
        <v>0.89</v>
      </c>
      <c r="BE381" t="s">
        <v>635</v>
      </c>
      <c r="BF381">
        <v>0.80700000000000005</v>
      </c>
      <c r="BG381">
        <v>0.61499999999999999</v>
      </c>
    </row>
    <row r="382" spans="1:59">
      <c r="A382">
        <v>0</v>
      </c>
      <c r="B382">
        <v>8</v>
      </c>
      <c r="C382">
        <v>0</v>
      </c>
      <c r="D382" t="s">
        <v>25022</v>
      </c>
      <c r="E382">
        <v>2571</v>
      </c>
      <c r="F382" t="s">
        <v>15041</v>
      </c>
      <c r="G382" t="s">
        <v>62</v>
      </c>
      <c r="H382">
        <v>2556924</v>
      </c>
      <c r="I382">
        <v>2557268</v>
      </c>
      <c r="J382" t="s">
        <v>15029</v>
      </c>
      <c r="K382">
        <v>115</v>
      </c>
      <c r="L382" t="s">
        <v>108</v>
      </c>
      <c r="M382">
        <v>44</v>
      </c>
      <c r="N382" t="str">
        <f>HYPERLINK("Gene2571-zp_tree_all.dnd", "Gene2571-tree")</f>
        <v>Gene2571-tree</v>
      </c>
      <c r="O382">
        <v>5</v>
      </c>
      <c r="P382">
        <v>8</v>
      </c>
      <c r="Q382">
        <v>5</v>
      </c>
      <c r="R382">
        <v>8</v>
      </c>
      <c r="S382">
        <v>0.61538000000000004</v>
      </c>
      <c r="T382" t="s">
        <v>199</v>
      </c>
      <c r="U382" t="s">
        <v>136</v>
      </c>
      <c r="V382" t="s">
        <v>62</v>
      </c>
      <c r="W382" t="s">
        <v>62</v>
      </c>
      <c r="X382">
        <v>4</v>
      </c>
      <c r="Y382">
        <v>8</v>
      </c>
      <c r="Z382">
        <v>10</v>
      </c>
      <c r="AA382">
        <v>0.44444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11</v>
      </c>
      <c r="AK382">
        <v>0</v>
      </c>
      <c r="AL382">
        <v>9</v>
      </c>
      <c r="AM382">
        <v>10</v>
      </c>
      <c r="AN382">
        <v>5</v>
      </c>
      <c r="AO382">
        <v>10</v>
      </c>
      <c r="AP382">
        <v>7</v>
      </c>
      <c r="AQ382">
        <v>8</v>
      </c>
      <c r="AR382" t="s">
        <v>15042</v>
      </c>
      <c r="AS382" t="s">
        <v>15043</v>
      </c>
      <c r="AT382">
        <v>0.33600000000000002</v>
      </c>
      <c r="AU382" t="s">
        <v>65</v>
      </c>
      <c r="AV382">
        <v>12</v>
      </c>
      <c r="AW382">
        <v>18</v>
      </c>
      <c r="AX382" t="s">
        <v>15044</v>
      </c>
      <c r="AY382">
        <v>4.895E-2</v>
      </c>
      <c r="AZ382">
        <v>-2.8300000000000001E-3</v>
      </c>
      <c r="BA382">
        <v>1.5219999999999999E-2</v>
      </c>
      <c r="BB382">
        <v>-7.3999999999999999E-4</v>
      </c>
      <c r="BC382">
        <v>0.31087999999999999</v>
      </c>
      <c r="BD382">
        <v>0.99</v>
      </c>
      <c r="BE382" t="s">
        <v>69</v>
      </c>
      <c r="BF382">
        <v>-5.0999999999999997E-2</v>
      </c>
      <c r="BG382">
        <v>-0.92800000000000005</v>
      </c>
    </row>
    <row r="383" spans="1:59">
      <c r="A383">
        <v>0</v>
      </c>
      <c r="B383">
        <v>5</v>
      </c>
      <c r="C383">
        <v>0</v>
      </c>
      <c r="D383" t="s">
        <v>25022</v>
      </c>
      <c r="E383">
        <v>4103</v>
      </c>
      <c r="F383" t="s">
        <v>24162</v>
      </c>
      <c r="G383" t="s">
        <v>62</v>
      </c>
      <c r="H383">
        <v>4068192</v>
      </c>
      <c r="I383">
        <v>4068536</v>
      </c>
      <c r="J383" t="s">
        <v>116</v>
      </c>
      <c r="K383">
        <v>115</v>
      </c>
      <c r="L383" t="s">
        <v>24163</v>
      </c>
      <c r="M383">
        <v>49</v>
      </c>
      <c r="N383" t="str">
        <f>HYPERLINK("Gene4103-zp_tree_all.dnd", "Gene4103-tree")</f>
        <v>Gene4103-tree</v>
      </c>
      <c r="O383">
        <v>7</v>
      </c>
      <c r="P383">
        <v>8</v>
      </c>
      <c r="Q383">
        <v>7</v>
      </c>
      <c r="R383">
        <v>8</v>
      </c>
      <c r="S383">
        <v>0.53332999999999997</v>
      </c>
      <c r="T383" t="s">
        <v>152</v>
      </c>
      <c r="U383" t="s">
        <v>136</v>
      </c>
      <c r="V383" t="s">
        <v>62</v>
      </c>
      <c r="W383" t="s">
        <v>62</v>
      </c>
      <c r="X383">
        <v>2</v>
      </c>
      <c r="Y383">
        <v>5</v>
      </c>
      <c r="Z383">
        <v>11</v>
      </c>
      <c r="AA383">
        <v>0.3125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</v>
      </c>
      <c r="AH383">
        <v>0</v>
      </c>
      <c r="AI383">
        <v>2</v>
      </c>
      <c r="AJ383">
        <v>10</v>
      </c>
      <c r="AK383">
        <v>0.16667000000000001</v>
      </c>
      <c r="AL383">
        <v>11</v>
      </c>
      <c r="AM383">
        <v>8</v>
      </c>
      <c r="AN383">
        <v>16</v>
      </c>
      <c r="AO383">
        <v>11</v>
      </c>
      <c r="AP383">
        <v>11</v>
      </c>
      <c r="AQ383">
        <v>5</v>
      </c>
      <c r="AR383" t="s">
        <v>24164</v>
      </c>
      <c r="AS383" t="s">
        <v>24165</v>
      </c>
      <c r="AT383">
        <v>0.20599999999999999</v>
      </c>
      <c r="AU383" t="s">
        <v>65</v>
      </c>
      <c r="AV383">
        <v>27</v>
      </c>
      <c r="AW383">
        <v>16</v>
      </c>
      <c r="AX383" t="s">
        <v>24166</v>
      </c>
      <c r="AY383">
        <v>7.238E-2</v>
      </c>
      <c r="AZ383">
        <v>-4.45E-3</v>
      </c>
      <c r="BA383">
        <v>1.018E-2</v>
      </c>
      <c r="BB383">
        <v>-7.2000000000000005E-4</v>
      </c>
      <c r="BC383">
        <v>0.14066000000000001</v>
      </c>
      <c r="BD383">
        <v>1</v>
      </c>
      <c r="BE383" t="s">
        <v>69</v>
      </c>
      <c r="BF383">
        <v>-1.915</v>
      </c>
      <c r="BG383">
        <v>-3.448</v>
      </c>
    </row>
    <row r="384" spans="1:59">
      <c r="A384">
        <v>0</v>
      </c>
      <c r="B384">
        <v>0</v>
      </c>
      <c r="C384">
        <v>0</v>
      </c>
      <c r="D384" t="s">
        <v>25022</v>
      </c>
      <c r="E384">
        <v>1142</v>
      </c>
      <c r="F384" t="s">
        <v>7182</v>
      </c>
      <c r="G384" t="s">
        <v>57</v>
      </c>
      <c r="H384">
        <v>1184657</v>
      </c>
      <c r="I384">
        <v>1185001</v>
      </c>
      <c r="J384" t="s">
        <v>637</v>
      </c>
      <c r="K384">
        <v>115</v>
      </c>
      <c r="L384" t="s">
        <v>7163</v>
      </c>
      <c r="M384">
        <v>40</v>
      </c>
      <c r="N384" t="str">
        <f>HYPERLINK("Gene1142-zp_tree_all.dnd", "Gene1142-tree")</f>
        <v>Gene1142-tree</v>
      </c>
      <c r="O384">
        <v>8</v>
      </c>
      <c r="P384">
        <v>3</v>
      </c>
      <c r="Q384">
        <v>8</v>
      </c>
      <c r="R384">
        <v>3</v>
      </c>
      <c r="S384">
        <v>0.27272999999999997</v>
      </c>
      <c r="T384" t="s">
        <v>136</v>
      </c>
      <c r="U384" t="s">
        <v>324</v>
      </c>
      <c r="V384" t="s">
        <v>62</v>
      </c>
      <c r="W384" t="s">
        <v>62</v>
      </c>
      <c r="X384">
        <v>0</v>
      </c>
      <c r="Y384">
        <v>0</v>
      </c>
      <c r="Z384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3</v>
      </c>
      <c r="AK384">
        <v>0</v>
      </c>
      <c r="AL384">
        <v>6</v>
      </c>
      <c r="AM384">
        <v>6</v>
      </c>
      <c r="AN384">
        <v>9</v>
      </c>
      <c r="AO384">
        <v>3</v>
      </c>
      <c r="AP384">
        <v>13</v>
      </c>
      <c r="AQ384">
        <v>1</v>
      </c>
      <c r="AR384" t="s">
        <v>7183</v>
      </c>
      <c r="AS384" t="s">
        <v>7184</v>
      </c>
      <c r="AT384">
        <v>0.81399999999999995</v>
      </c>
      <c r="AU384" t="s">
        <v>65</v>
      </c>
      <c r="AV384">
        <v>22</v>
      </c>
      <c r="AW384">
        <v>4</v>
      </c>
      <c r="AX384" t="s">
        <v>7185</v>
      </c>
      <c r="AY384">
        <v>7.4450000000000002E-2</v>
      </c>
      <c r="AZ384">
        <v>-7.2199999999999999E-3</v>
      </c>
      <c r="BA384">
        <v>3.98E-3</v>
      </c>
      <c r="BB384">
        <v>-4.4000000000000002E-4</v>
      </c>
      <c r="BC384">
        <v>5.3400000000000003E-2</v>
      </c>
      <c r="BD384">
        <v>1</v>
      </c>
      <c r="BE384" t="s">
        <v>69</v>
      </c>
      <c r="BF384">
        <v>-0.91300000000000003</v>
      </c>
      <c r="BG384">
        <v>2.1000000000000001E-2</v>
      </c>
    </row>
    <row r="385" spans="1:59">
      <c r="A385">
        <v>0</v>
      </c>
      <c r="B385">
        <v>0</v>
      </c>
      <c r="C385">
        <v>0</v>
      </c>
      <c r="D385" t="s">
        <v>25022</v>
      </c>
      <c r="E385">
        <v>1665</v>
      </c>
      <c r="F385" t="s">
        <v>10426</v>
      </c>
      <c r="G385" t="s">
        <v>57</v>
      </c>
      <c r="H385">
        <v>1676042</v>
      </c>
      <c r="I385">
        <v>1676386</v>
      </c>
      <c r="J385" t="s">
        <v>10427</v>
      </c>
      <c r="K385">
        <v>115</v>
      </c>
      <c r="L385" t="s">
        <v>515</v>
      </c>
      <c r="M385">
        <v>51</v>
      </c>
      <c r="N385" t="str">
        <f>HYPERLINK("Gene1665-zp_tree_all.dnd", "Gene1665-tree")</f>
        <v>Gene1665-tree</v>
      </c>
      <c r="O385">
        <v>8</v>
      </c>
      <c r="P385">
        <v>0</v>
      </c>
      <c r="Q385">
        <v>8</v>
      </c>
      <c r="R385">
        <v>0</v>
      </c>
      <c r="S385">
        <v>0</v>
      </c>
      <c r="T385" t="s">
        <v>136</v>
      </c>
      <c r="U385" t="s">
        <v>62</v>
      </c>
      <c r="V385" t="s">
        <v>62</v>
      </c>
      <c r="W385" t="s">
        <v>62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3</v>
      </c>
      <c r="AM385">
        <v>4</v>
      </c>
      <c r="AN385">
        <v>3</v>
      </c>
      <c r="AO385">
        <v>0</v>
      </c>
      <c r="AP385">
        <v>12</v>
      </c>
      <c r="AQ385">
        <v>1</v>
      </c>
      <c r="AR385" t="s">
        <v>193</v>
      </c>
      <c r="AS385" t="s">
        <v>10428</v>
      </c>
      <c r="AT385">
        <v>0.5</v>
      </c>
      <c r="AU385" t="s">
        <v>65</v>
      </c>
      <c r="AV385">
        <v>15</v>
      </c>
      <c r="AW385">
        <v>1</v>
      </c>
      <c r="AX385" t="s">
        <v>10429</v>
      </c>
      <c r="AY385">
        <v>7.1679999999999994E-2</v>
      </c>
      <c r="AZ385">
        <v>-1.052E-2</v>
      </c>
      <c r="BA385">
        <v>1.67E-3</v>
      </c>
      <c r="BB385">
        <v>-3.6000000000000002E-4</v>
      </c>
      <c r="BC385">
        <v>2.3230000000000001E-2</v>
      </c>
      <c r="BD385">
        <v>1</v>
      </c>
      <c r="BE385" t="s">
        <v>69</v>
      </c>
      <c r="BF385">
        <v>-1.4630000000000001</v>
      </c>
      <c r="BG385">
        <v>0.64800000000000002</v>
      </c>
    </row>
    <row r="386" spans="1:59">
      <c r="A386">
        <v>0</v>
      </c>
      <c r="B386">
        <v>0</v>
      </c>
      <c r="C386">
        <v>0</v>
      </c>
      <c r="D386" t="s">
        <v>25022</v>
      </c>
      <c r="E386">
        <v>790</v>
      </c>
      <c r="F386" t="s">
        <v>4910</v>
      </c>
      <c r="G386" t="s">
        <v>57</v>
      </c>
      <c r="H386">
        <v>827455</v>
      </c>
      <c r="I386">
        <v>827799</v>
      </c>
      <c r="J386" t="s">
        <v>4911</v>
      </c>
      <c r="K386">
        <v>115</v>
      </c>
      <c r="L386" t="s">
        <v>1933</v>
      </c>
      <c r="M386">
        <v>39</v>
      </c>
      <c r="N386" t="str">
        <f>HYPERLINK("Gene790-zp_tree_all.dnd", "Gene790-tree")</f>
        <v>Gene790-tree</v>
      </c>
      <c r="O386">
        <v>28</v>
      </c>
      <c r="P386">
        <v>1</v>
      </c>
      <c r="Q386">
        <v>8</v>
      </c>
      <c r="R386">
        <v>1</v>
      </c>
      <c r="S386">
        <v>0.11111</v>
      </c>
      <c r="T386" t="s">
        <v>3778</v>
      </c>
      <c r="U386" t="s">
        <v>175</v>
      </c>
      <c r="V386" t="s">
        <v>62</v>
      </c>
      <c r="W386" t="s">
        <v>62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6</v>
      </c>
      <c r="AM386">
        <v>4</v>
      </c>
      <c r="AN386">
        <v>8</v>
      </c>
      <c r="AO386">
        <v>1</v>
      </c>
      <c r="AP386">
        <v>4</v>
      </c>
      <c r="AQ386">
        <v>0</v>
      </c>
      <c r="AR386" t="s">
        <v>4912</v>
      </c>
      <c r="AS386" t="s">
        <v>193</v>
      </c>
      <c r="AT386">
        <v>0.47799999999999998</v>
      </c>
      <c r="AU386" t="s">
        <v>65</v>
      </c>
      <c r="AV386">
        <v>12</v>
      </c>
      <c r="AW386">
        <v>1</v>
      </c>
      <c r="AX386" t="s">
        <v>4913</v>
      </c>
      <c r="AY386">
        <v>5.3800000000000001E-2</v>
      </c>
      <c r="AZ386">
        <v>-4.1799999999999997E-3</v>
      </c>
      <c r="BA386">
        <v>8.0999999999999996E-4</v>
      </c>
      <c r="BB386">
        <v>-2.4000000000000001E-4</v>
      </c>
      <c r="BC386">
        <v>1.506E-2</v>
      </c>
      <c r="BD386">
        <v>1</v>
      </c>
      <c r="BE386" t="s">
        <v>69</v>
      </c>
      <c r="BF386">
        <v>0.60199999999999998</v>
      </c>
      <c r="BG386">
        <v>0.55100000000000005</v>
      </c>
    </row>
    <row r="387" spans="1:59">
      <c r="A387">
        <v>0</v>
      </c>
      <c r="B387">
        <v>10</v>
      </c>
      <c r="C387">
        <v>1</v>
      </c>
      <c r="D387" t="s">
        <v>25022</v>
      </c>
      <c r="E387">
        <v>1300</v>
      </c>
      <c r="F387" t="s">
        <v>8160</v>
      </c>
      <c r="G387" t="s">
        <v>57</v>
      </c>
      <c r="H387">
        <v>1323802</v>
      </c>
      <c r="I387">
        <v>1324149</v>
      </c>
      <c r="J387" t="s">
        <v>8099</v>
      </c>
      <c r="K387">
        <v>116</v>
      </c>
      <c r="L387" t="s">
        <v>1305</v>
      </c>
      <c r="M387">
        <v>43</v>
      </c>
      <c r="N387" t="str">
        <f>HYPERLINK("Gene1300-zp_tree_all.dnd", "Gene1300-tree")</f>
        <v>Gene1300-tree</v>
      </c>
      <c r="O387">
        <v>5</v>
      </c>
      <c r="P387">
        <v>7</v>
      </c>
      <c r="Q387">
        <v>5</v>
      </c>
      <c r="R387">
        <v>7</v>
      </c>
      <c r="S387">
        <v>0.58333000000000002</v>
      </c>
      <c r="T387" t="s">
        <v>199</v>
      </c>
      <c r="U387" t="s">
        <v>152</v>
      </c>
      <c r="V387" t="s">
        <v>62</v>
      </c>
      <c r="W387" t="s">
        <v>62</v>
      </c>
      <c r="X387">
        <v>5</v>
      </c>
      <c r="Y387">
        <v>11</v>
      </c>
      <c r="Z387">
        <v>2</v>
      </c>
      <c r="AA387">
        <v>0.84614999999999996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4</v>
      </c>
      <c r="AH387">
        <v>1</v>
      </c>
      <c r="AI387">
        <v>5</v>
      </c>
      <c r="AJ387">
        <v>5</v>
      </c>
      <c r="AK387">
        <v>0.5</v>
      </c>
      <c r="AL387">
        <v>10</v>
      </c>
      <c r="AM387">
        <v>7</v>
      </c>
      <c r="AN387">
        <v>18</v>
      </c>
      <c r="AO387">
        <v>10</v>
      </c>
      <c r="AP387">
        <v>10</v>
      </c>
      <c r="AQ387">
        <v>3</v>
      </c>
      <c r="AR387" t="s">
        <v>8161</v>
      </c>
      <c r="AS387" t="s">
        <v>8162</v>
      </c>
      <c r="AT387">
        <v>0.51300000000000001</v>
      </c>
      <c r="AU387" t="s">
        <v>65</v>
      </c>
      <c r="AV387">
        <v>28</v>
      </c>
      <c r="AW387">
        <v>13</v>
      </c>
      <c r="AX387" t="s">
        <v>8163</v>
      </c>
      <c r="AY387">
        <v>7.6270000000000004E-2</v>
      </c>
      <c r="AZ387">
        <v>-4.13E-3</v>
      </c>
      <c r="BA387">
        <v>9.7999999999999997E-3</v>
      </c>
      <c r="BB387">
        <v>-6.9999999999999999E-4</v>
      </c>
      <c r="BC387">
        <v>0.1285</v>
      </c>
      <c r="BD387">
        <v>1</v>
      </c>
      <c r="BE387" t="s">
        <v>69</v>
      </c>
      <c r="BF387">
        <v>0.57399999999999995</v>
      </c>
      <c r="BG387">
        <v>0.66200000000000003</v>
      </c>
    </row>
    <row r="388" spans="1:59">
      <c r="A388">
        <v>0</v>
      </c>
      <c r="B388">
        <v>0</v>
      </c>
      <c r="C388">
        <v>0</v>
      </c>
      <c r="D388" t="s">
        <v>25022</v>
      </c>
      <c r="E388">
        <v>2027</v>
      </c>
      <c r="F388" t="s">
        <v>12615</v>
      </c>
      <c r="G388" t="s">
        <v>62</v>
      </c>
      <c r="H388">
        <v>2122328</v>
      </c>
      <c r="I388">
        <v>2122675</v>
      </c>
      <c r="J388" t="s">
        <v>12616</v>
      </c>
      <c r="K388">
        <v>116</v>
      </c>
      <c r="L388" t="s">
        <v>409</v>
      </c>
      <c r="M388">
        <v>45</v>
      </c>
      <c r="N388" t="str">
        <f>HYPERLINK("Gene2027-zp_tree_all.dnd", "Gene2027-tree")</f>
        <v>Gene2027-tree</v>
      </c>
      <c r="O388">
        <v>9</v>
      </c>
      <c r="P388">
        <v>3</v>
      </c>
      <c r="Q388">
        <v>9</v>
      </c>
      <c r="R388">
        <v>3</v>
      </c>
      <c r="S388">
        <v>0.25</v>
      </c>
      <c r="T388" t="s">
        <v>135</v>
      </c>
      <c r="U388" t="s">
        <v>324</v>
      </c>
      <c r="V388" t="s">
        <v>62</v>
      </c>
      <c r="W388" t="s">
        <v>62</v>
      </c>
      <c r="X388">
        <v>0</v>
      </c>
      <c r="Y388">
        <v>0</v>
      </c>
      <c r="Z388">
        <v>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5</v>
      </c>
      <c r="AK388">
        <v>0</v>
      </c>
      <c r="AL388">
        <v>8</v>
      </c>
      <c r="AM388">
        <v>5</v>
      </c>
      <c r="AN388">
        <v>20</v>
      </c>
      <c r="AO388">
        <v>5</v>
      </c>
      <c r="AP388">
        <v>7</v>
      </c>
      <c r="AQ388">
        <v>0</v>
      </c>
      <c r="AR388" t="s">
        <v>12617</v>
      </c>
      <c r="AS388" t="s">
        <v>193</v>
      </c>
      <c r="AT388">
        <v>0.67500000000000004</v>
      </c>
      <c r="AU388" t="s">
        <v>65</v>
      </c>
      <c r="AV388">
        <v>27</v>
      </c>
      <c r="AW388">
        <v>5</v>
      </c>
      <c r="AX388" t="s">
        <v>12618</v>
      </c>
      <c r="AY388">
        <v>6.7430000000000004E-2</v>
      </c>
      <c r="AZ388">
        <v>-7.5599999999999999E-3</v>
      </c>
      <c r="BA388">
        <v>3.16E-3</v>
      </c>
      <c r="BB388">
        <v>-4.8000000000000001E-4</v>
      </c>
      <c r="BC388">
        <v>4.6920000000000003E-2</v>
      </c>
      <c r="BD388">
        <v>1</v>
      </c>
      <c r="BE388" t="s">
        <v>69</v>
      </c>
      <c r="BF388">
        <v>-1.4350000000000001</v>
      </c>
      <c r="BG388">
        <v>-3.343</v>
      </c>
    </row>
    <row r="389" spans="1:59">
      <c r="A389">
        <v>0</v>
      </c>
      <c r="B389">
        <v>0</v>
      </c>
      <c r="C389">
        <v>2</v>
      </c>
      <c r="D389" t="s">
        <v>25022</v>
      </c>
      <c r="E389">
        <v>4257</v>
      </c>
      <c r="F389" t="s">
        <v>25008</v>
      </c>
      <c r="G389" t="s">
        <v>62</v>
      </c>
      <c r="H389">
        <v>4214756</v>
      </c>
      <c r="I389">
        <v>4215103</v>
      </c>
      <c r="J389" t="s">
        <v>25009</v>
      </c>
      <c r="K389">
        <v>116</v>
      </c>
      <c r="L389" t="s">
        <v>59</v>
      </c>
      <c r="M389">
        <v>49</v>
      </c>
      <c r="N389" t="str">
        <f>HYPERLINK("Gene4257-zp_tree_all.dnd", "Gene4257-tree")</f>
        <v>Gene4257-tree</v>
      </c>
      <c r="O389">
        <v>36</v>
      </c>
      <c r="P389">
        <v>4</v>
      </c>
      <c r="Q389">
        <v>6</v>
      </c>
      <c r="R389">
        <v>4</v>
      </c>
      <c r="S389">
        <v>0.4</v>
      </c>
      <c r="T389" t="s">
        <v>7321</v>
      </c>
      <c r="U389" t="s">
        <v>61</v>
      </c>
      <c r="V389" t="s">
        <v>62</v>
      </c>
      <c r="W389" t="s">
        <v>62</v>
      </c>
      <c r="X389">
        <v>1</v>
      </c>
      <c r="Y389">
        <v>2</v>
      </c>
      <c r="Z389">
        <v>3</v>
      </c>
      <c r="AA389">
        <v>0.4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4</v>
      </c>
      <c r="AK389">
        <v>0</v>
      </c>
      <c r="AL389">
        <v>8</v>
      </c>
      <c r="AM389">
        <v>3</v>
      </c>
      <c r="AN389">
        <v>8</v>
      </c>
      <c r="AO389">
        <v>4</v>
      </c>
      <c r="AP389">
        <v>14</v>
      </c>
      <c r="AQ389">
        <v>1</v>
      </c>
      <c r="AR389" t="s">
        <v>25010</v>
      </c>
      <c r="AS389" t="s">
        <v>25011</v>
      </c>
      <c r="AT389">
        <v>1.802</v>
      </c>
      <c r="AU389" t="s">
        <v>65</v>
      </c>
      <c r="AV389">
        <v>22</v>
      </c>
      <c r="AW389">
        <v>5</v>
      </c>
      <c r="AX389" t="s">
        <v>25012</v>
      </c>
      <c r="AY389">
        <v>0.11607000000000001</v>
      </c>
      <c r="AZ389">
        <v>-1.137E-2</v>
      </c>
      <c r="BA389">
        <v>4.2599999999999999E-3</v>
      </c>
      <c r="BB389">
        <v>-3.5E-4</v>
      </c>
      <c r="BC389">
        <v>3.6729999999999999E-2</v>
      </c>
      <c r="BD389">
        <v>1</v>
      </c>
      <c r="BE389" t="s">
        <v>69</v>
      </c>
      <c r="BF389">
        <v>-1.502</v>
      </c>
      <c r="BG389">
        <v>-0.61199999999999999</v>
      </c>
    </row>
    <row r="390" spans="1:59">
      <c r="A390">
        <v>0</v>
      </c>
      <c r="B390">
        <v>0</v>
      </c>
      <c r="C390">
        <v>0</v>
      </c>
      <c r="D390" t="s">
        <v>25022</v>
      </c>
      <c r="E390">
        <v>2438</v>
      </c>
      <c r="F390" t="s">
        <v>14192</v>
      </c>
      <c r="G390" t="s">
        <v>62</v>
      </c>
      <c r="H390">
        <v>2440426</v>
      </c>
      <c r="I390">
        <v>2440773</v>
      </c>
      <c r="J390" t="s">
        <v>14193</v>
      </c>
      <c r="K390">
        <v>116</v>
      </c>
      <c r="L390" t="s">
        <v>108</v>
      </c>
      <c r="M390">
        <v>44</v>
      </c>
      <c r="N390" t="str">
        <f>HYPERLINK("Gene2438-zp_tree_all.dnd", "Gene2438-tree")</f>
        <v>Gene2438-tree</v>
      </c>
      <c r="O390">
        <v>5</v>
      </c>
      <c r="P390">
        <v>0</v>
      </c>
      <c r="Q390">
        <v>5</v>
      </c>
      <c r="R390">
        <v>0</v>
      </c>
      <c r="S390">
        <v>0</v>
      </c>
      <c r="T390" t="s">
        <v>199</v>
      </c>
      <c r="U390" t="s">
        <v>62</v>
      </c>
      <c r="V390" t="s">
        <v>62</v>
      </c>
      <c r="W390" t="s">
        <v>62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4</v>
      </c>
      <c r="AM390">
        <v>2</v>
      </c>
      <c r="AN390">
        <v>6</v>
      </c>
      <c r="AO390">
        <v>0</v>
      </c>
      <c r="AP390">
        <v>2</v>
      </c>
      <c r="AQ390">
        <v>0</v>
      </c>
      <c r="AR390" t="s">
        <v>193</v>
      </c>
      <c r="AS390" t="s">
        <v>193</v>
      </c>
      <c r="AT390">
        <v>0</v>
      </c>
      <c r="AU390" t="s">
        <v>65</v>
      </c>
      <c r="AV390">
        <v>8</v>
      </c>
      <c r="AW390">
        <v>0</v>
      </c>
      <c r="AX390" t="s">
        <v>14194</v>
      </c>
      <c r="AY390">
        <v>4.446E-2</v>
      </c>
      <c r="AZ390">
        <v>-4.7699999999999999E-3</v>
      </c>
      <c r="BA390">
        <v>0</v>
      </c>
      <c r="BB390">
        <v>0</v>
      </c>
      <c r="BC390">
        <v>0</v>
      </c>
      <c r="BD390">
        <v>1</v>
      </c>
      <c r="BE390" t="s">
        <v>69</v>
      </c>
      <c r="BF390">
        <v>-0.78400000000000003</v>
      </c>
      <c r="BG390">
        <v>-1.4710000000000001</v>
      </c>
    </row>
    <row r="391" spans="1:59">
      <c r="A391">
        <v>0</v>
      </c>
      <c r="B391">
        <v>0</v>
      </c>
      <c r="C391">
        <v>0</v>
      </c>
      <c r="D391" t="s">
        <v>25022</v>
      </c>
      <c r="E391">
        <v>475</v>
      </c>
      <c r="F391" t="s">
        <v>3218</v>
      </c>
      <c r="G391" t="s">
        <v>57</v>
      </c>
      <c r="H391">
        <v>518943</v>
      </c>
      <c r="I391">
        <v>519290</v>
      </c>
      <c r="J391" t="s">
        <v>3219</v>
      </c>
      <c r="K391">
        <v>116</v>
      </c>
      <c r="L391" t="s">
        <v>515</v>
      </c>
      <c r="M391">
        <v>51</v>
      </c>
      <c r="N391" t="str">
        <f>HYPERLINK("Gene475-zp_tree_all.dnd", "Gene475-tree")</f>
        <v>Gene475-tree</v>
      </c>
      <c r="O391">
        <v>45</v>
      </c>
      <c r="P391">
        <v>0</v>
      </c>
      <c r="Q391">
        <v>6</v>
      </c>
      <c r="R391">
        <v>0</v>
      </c>
      <c r="S391">
        <v>0</v>
      </c>
      <c r="T391" t="s">
        <v>3220</v>
      </c>
      <c r="U391" t="s">
        <v>62</v>
      </c>
      <c r="V391" t="s">
        <v>62</v>
      </c>
      <c r="W391" t="s">
        <v>62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3</v>
      </c>
      <c r="AM391">
        <v>2</v>
      </c>
      <c r="AN391">
        <v>4</v>
      </c>
      <c r="AO391">
        <v>0</v>
      </c>
      <c r="AP391">
        <v>14</v>
      </c>
      <c r="AQ391">
        <v>0</v>
      </c>
      <c r="AR391" t="s">
        <v>193</v>
      </c>
      <c r="AS391" t="s">
        <v>193</v>
      </c>
      <c r="AT391">
        <v>0</v>
      </c>
      <c r="AU391" t="s">
        <v>65</v>
      </c>
      <c r="AV391">
        <v>18</v>
      </c>
      <c r="AW391">
        <v>0</v>
      </c>
      <c r="AX391" t="s">
        <v>3221</v>
      </c>
      <c r="AY391">
        <v>0.12820999999999999</v>
      </c>
      <c r="AZ391">
        <v>-2.6460000000000001E-2</v>
      </c>
      <c r="BA391">
        <v>0</v>
      </c>
      <c r="BB391">
        <v>0</v>
      </c>
      <c r="BC391">
        <v>0</v>
      </c>
      <c r="BD391">
        <v>1</v>
      </c>
      <c r="BE391" t="s">
        <v>69</v>
      </c>
      <c r="BF391">
        <v>-1.9830000000000001</v>
      </c>
      <c r="BG391">
        <v>0.436</v>
      </c>
    </row>
    <row r="392" spans="1:59">
      <c r="A392">
        <v>0</v>
      </c>
      <c r="B392">
        <v>4</v>
      </c>
      <c r="C392">
        <v>1</v>
      </c>
      <c r="D392" t="s">
        <v>25022</v>
      </c>
      <c r="E392">
        <v>1817</v>
      </c>
      <c r="F392" t="s">
        <v>11385</v>
      </c>
      <c r="G392" t="s">
        <v>57</v>
      </c>
      <c r="H392">
        <v>1884968</v>
      </c>
      <c r="I392">
        <v>1885318</v>
      </c>
      <c r="J392" t="s">
        <v>11371</v>
      </c>
      <c r="K392">
        <v>117</v>
      </c>
      <c r="L392" t="s">
        <v>11386</v>
      </c>
      <c r="M392">
        <v>28</v>
      </c>
      <c r="N392" t="str">
        <f>HYPERLINK("Gene1817-zp_tree_all.dnd", "Gene1817-tree")</f>
        <v>Gene1817-tree</v>
      </c>
      <c r="O392">
        <v>0</v>
      </c>
      <c r="P392">
        <v>5</v>
      </c>
      <c r="Q392">
        <v>0</v>
      </c>
      <c r="R392">
        <v>5</v>
      </c>
      <c r="S392">
        <v>1</v>
      </c>
      <c r="T392" t="s">
        <v>62</v>
      </c>
      <c r="U392" t="s">
        <v>199</v>
      </c>
      <c r="V392" t="s">
        <v>62</v>
      </c>
      <c r="W392" t="s">
        <v>62</v>
      </c>
      <c r="X392">
        <v>2</v>
      </c>
      <c r="Y392">
        <v>5</v>
      </c>
      <c r="Z392">
        <v>9</v>
      </c>
      <c r="AA392">
        <v>0.35714000000000001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</v>
      </c>
      <c r="AH392">
        <v>1</v>
      </c>
      <c r="AI392">
        <v>5</v>
      </c>
      <c r="AJ392">
        <v>7</v>
      </c>
      <c r="AK392">
        <v>0.41666999999999998</v>
      </c>
      <c r="AL392">
        <v>4</v>
      </c>
      <c r="AM392">
        <v>1</v>
      </c>
      <c r="AN392">
        <v>5</v>
      </c>
      <c r="AO392">
        <v>12</v>
      </c>
      <c r="AP392">
        <v>2</v>
      </c>
      <c r="AQ392">
        <v>2</v>
      </c>
      <c r="AR392" t="s">
        <v>11387</v>
      </c>
      <c r="AS392" t="s">
        <v>11388</v>
      </c>
      <c r="AT392">
        <v>0.55500000000000005</v>
      </c>
      <c r="AU392" t="s">
        <v>65</v>
      </c>
      <c r="AV392">
        <v>7</v>
      </c>
      <c r="AW392">
        <v>14</v>
      </c>
      <c r="AX392" t="s">
        <v>11389</v>
      </c>
      <c r="AY392">
        <v>5.185E-2</v>
      </c>
      <c r="AZ392">
        <v>-9.4299999999999991E-3</v>
      </c>
      <c r="BA392">
        <v>2.0459999999999999E-2</v>
      </c>
      <c r="BB392">
        <v>-2.7200000000000002E-3</v>
      </c>
      <c r="BC392">
        <v>0.39456999999999998</v>
      </c>
      <c r="BD392">
        <v>0.91</v>
      </c>
      <c r="BE392" t="s">
        <v>635</v>
      </c>
      <c r="BF392">
        <v>-0.16700000000000001</v>
      </c>
      <c r="BG392">
        <v>-0.73099999999999998</v>
      </c>
    </row>
    <row r="393" spans="1:59">
      <c r="A393">
        <v>0</v>
      </c>
      <c r="B393">
        <v>0</v>
      </c>
      <c r="C393">
        <v>0</v>
      </c>
      <c r="D393" t="s">
        <v>25022</v>
      </c>
      <c r="E393">
        <v>1576</v>
      </c>
      <c r="F393" t="s">
        <v>9851</v>
      </c>
      <c r="G393" t="s">
        <v>57</v>
      </c>
      <c r="H393">
        <v>1581597</v>
      </c>
      <c r="I393">
        <v>1581947</v>
      </c>
      <c r="J393" t="s">
        <v>9852</v>
      </c>
      <c r="K393">
        <v>117</v>
      </c>
      <c r="L393" t="s">
        <v>59</v>
      </c>
      <c r="M393">
        <v>49</v>
      </c>
      <c r="N393" t="str">
        <f>HYPERLINK("Gene1576-zp_tree_all.dnd", "Gene1576-tree")</f>
        <v>Gene1576-tree</v>
      </c>
      <c r="O393">
        <v>4</v>
      </c>
      <c r="P393">
        <v>1</v>
      </c>
      <c r="Q393">
        <v>4</v>
      </c>
      <c r="R393">
        <v>1</v>
      </c>
      <c r="S393">
        <v>0.2</v>
      </c>
      <c r="T393" t="s">
        <v>61</v>
      </c>
      <c r="U393" t="s">
        <v>175</v>
      </c>
      <c r="V393" t="s">
        <v>62</v>
      </c>
      <c r="W393" t="s">
        <v>62</v>
      </c>
      <c r="X393">
        <v>0</v>
      </c>
      <c r="Y393">
        <v>0</v>
      </c>
      <c r="Z393">
        <v>3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5</v>
      </c>
      <c r="AM393">
        <v>2</v>
      </c>
      <c r="AN393">
        <v>5</v>
      </c>
      <c r="AO393">
        <v>1</v>
      </c>
      <c r="AP393">
        <v>6</v>
      </c>
      <c r="AQ393">
        <v>2</v>
      </c>
      <c r="AR393" t="s">
        <v>9853</v>
      </c>
      <c r="AS393" t="s">
        <v>9854</v>
      </c>
      <c r="AT393">
        <v>0.27200000000000002</v>
      </c>
      <c r="AU393" t="s">
        <v>65</v>
      </c>
      <c r="AV393">
        <v>11</v>
      </c>
      <c r="AW393">
        <v>3</v>
      </c>
      <c r="AX393" t="s">
        <v>9855</v>
      </c>
      <c r="AY393">
        <v>7.3300000000000004E-2</v>
      </c>
      <c r="AZ393">
        <v>-9.0600000000000003E-3</v>
      </c>
      <c r="BA393">
        <v>5.8300000000000001E-3</v>
      </c>
      <c r="BB393">
        <v>-1.3799999999999999E-3</v>
      </c>
      <c r="BC393">
        <v>7.9560000000000006E-2</v>
      </c>
      <c r="BD393">
        <v>1</v>
      </c>
      <c r="BE393" t="s">
        <v>69</v>
      </c>
      <c r="BF393">
        <v>-1.8280000000000001</v>
      </c>
      <c r="BG393">
        <v>-0.52</v>
      </c>
    </row>
    <row r="394" spans="1:59">
      <c r="A394">
        <v>0</v>
      </c>
      <c r="B394">
        <v>0</v>
      </c>
      <c r="C394">
        <v>0</v>
      </c>
      <c r="D394" t="s">
        <v>25022</v>
      </c>
      <c r="E394">
        <v>403</v>
      </c>
      <c r="F394" t="s">
        <v>2731</v>
      </c>
      <c r="G394" t="s">
        <v>57</v>
      </c>
      <c r="H394">
        <v>449198</v>
      </c>
      <c r="I394">
        <v>449548</v>
      </c>
      <c r="J394" t="s">
        <v>2732</v>
      </c>
      <c r="K394">
        <v>117</v>
      </c>
      <c r="L394" t="s">
        <v>1196</v>
      </c>
      <c r="M394">
        <v>39</v>
      </c>
      <c r="N394" t="str">
        <f>HYPERLINK("Gene403-zp_tree_all.dnd", "Gene403-tree")</f>
        <v>Gene403-tree</v>
      </c>
      <c r="O394">
        <v>35</v>
      </c>
      <c r="P394">
        <v>2</v>
      </c>
      <c r="Q394">
        <v>7</v>
      </c>
      <c r="R394">
        <v>2</v>
      </c>
      <c r="S394">
        <v>0.22222</v>
      </c>
      <c r="T394" t="s">
        <v>2733</v>
      </c>
      <c r="U394" t="s">
        <v>81</v>
      </c>
      <c r="V394" t="s">
        <v>62</v>
      </c>
      <c r="W394" t="s">
        <v>62</v>
      </c>
      <c r="X394">
        <v>0</v>
      </c>
      <c r="Y394">
        <v>0</v>
      </c>
      <c r="Z394">
        <v>3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2</v>
      </c>
      <c r="AK394">
        <v>0</v>
      </c>
      <c r="AL394">
        <v>5</v>
      </c>
      <c r="AM394">
        <v>5</v>
      </c>
      <c r="AN394">
        <v>8</v>
      </c>
      <c r="AO394">
        <v>1</v>
      </c>
      <c r="AP394">
        <v>16</v>
      </c>
      <c r="AQ394">
        <v>2</v>
      </c>
      <c r="AR394" t="s">
        <v>2734</v>
      </c>
      <c r="AS394" t="s">
        <v>2735</v>
      </c>
      <c r="AT394">
        <v>1.0999999999999999E-2</v>
      </c>
      <c r="AU394" t="s">
        <v>65</v>
      </c>
      <c r="AV394">
        <v>24</v>
      </c>
      <c r="AW394">
        <v>3</v>
      </c>
      <c r="AX394" t="s">
        <v>2736</v>
      </c>
      <c r="AY394">
        <v>0.10843999999999999</v>
      </c>
      <c r="AZ394">
        <v>-9.1999999999999998E-3</v>
      </c>
      <c r="BA394">
        <v>5.0800000000000003E-3</v>
      </c>
      <c r="BB394">
        <v>-6.2E-4</v>
      </c>
      <c r="BC394">
        <v>4.6809999999999997E-2</v>
      </c>
      <c r="BD394">
        <v>1</v>
      </c>
      <c r="BE394" t="s">
        <v>69</v>
      </c>
      <c r="BF394">
        <v>-0.64100000000000001</v>
      </c>
      <c r="BG394">
        <v>0.108</v>
      </c>
    </row>
    <row r="395" spans="1:59">
      <c r="A395">
        <v>0</v>
      </c>
      <c r="B395">
        <v>0</v>
      </c>
      <c r="C395">
        <v>0</v>
      </c>
      <c r="D395" t="s">
        <v>25022</v>
      </c>
      <c r="E395">
        <v>1727</v>
      </c>
      <c r="F395" t="s">
        <v>10828</v>
      </c>
      <c r="G395" t="s">
        <v>57</v>
      </c>
      <c r="H395">
        <v>1736451</v>
      </c>
      <c r="I395">
        <v>1736801</v>
      </c>
      <c r="J395" t="s">
        <v>10829</v>
      </c>
      <c r="K395">
        <v>117</v>
      </c>
      <c r="L395" t="s">
        <v>59</v>
      </c>
      <c r="M395">
        <v>49</v>
      </c>
      <c r="N395" t="str">
        <f>HYPERLINK("Gene1727-zp_tree_all.dnd", "Gene1727-tree")</f>
        <v>Gene1727-tree</v>
      </c>
      <c r="O395">
        <v>7</v>
      </c>
      <c r="P395">
        <v>2</v>
      </c>
      <c r="Q395">
        <v>7</v>
      </c>
      <c r="R395">
        <v>2</v>
      </c>
      <c r="S395">
        <v>0.22222</v>
      </c>
      <c r="T395" t="s">
        <v>152</v>
      </c>
      <c r="U395" t="s">
        <v>81</v>
      </c>
      <c r="V395" t="s">
        <v>62</v>
      </c>
      <c r="W395" t="s">
        <v>62</v>
      </c>
      <c r="X395">
        <v>0</v>
      </c>
      <c r="Y395">
        <v>0</v>
      </c>
      <c r="Z395">
        <v>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</v>
      </c>
      <c r="AK395">
        <v>0</v>
      </c>
      <c r="AL395">
        <v>5</v>
      </c>
      <c r="AM395">
        <v>5</v>
      </c>
      <c r="AN395">
        <v>11</v>
      </c>
      <c r="AO395">
        <v>2</v>
      </c>
      <c r="AP395">
        <v>8</v>
      </c>
      <c r="AQ395">
        <v>1</v>
      </c>
      <c r="AR395" t="s">
        <v>10830</v>
      </c>
      <c r="AS395" t="s">
        <v>10831</v>
      </c>
      <c r="AT395">
        <v>0.191</v>
      </c>
      <c r="AU395" t="s">
        <v>65</v>
      </c>
      <c r="AV395">
        <v>19</v>
      </c>
      <c r="AW395">
        <v>3</v>
      </c>
      <c r="AX395" t="s">
        <v>10832</v>
      </c>
      <c r="AY395">
        <v>8.0390000000000003E-2</v>
      </c>
      <c r="AZ395">
        <v>-6.7299999999999999E-3</v>
      </c>
      <c r="BA395">
        <v>3.7000000000000002E-3</v>
      </c>
      <c r="BB395">
        <v>-4.8000000000000001E-4</v>
      </c>
      <c r="BC395">
        <v>4.6039999999999998E-2</v>
      </c>
      <c r="BD395">
        <v>1</v>
      </c>
      <c r="BE395" t="s">
        <v>69</v>
      </c>
      <c r="BF395">
        <v>-1.74</v>
      </c>
      <c r="BG395">
        <v>-1.012</v>
      </c>
    </row>
    <row r="396" spans="1:59">
      <c r="A396">
        <v>0</v>
      </c>
      <c r="B396">
        <v>0</v>
      </c>
      <c r="C396">
        <v>0</v>
      </c>
      <c r="D396" t="s">
        <v>25022</v>
      </c>
      <c r="E396">
        <v>1014</v>
      </c>
      <c r="F396" t="s">
        <v>6371</v>
      </c>
      <c r="G396" t="s">
        <v>57</v>
      </c>
      <c r="H396">
        <v>1054746</v>
      </c>
      <c r="I396">
        <v>1055096</v>
      </c>
      <c r="J396" t="s">
        <v>288</v>
      </c>
      <c r="K396">
        <v>117</v>
      </c>
      <c r="L396" t="s">
        <v>59</v>
      </c>
      <c r="M396">
        <v>49</v>
      </c>
      <c r="N396" t="str">
        <f>HYPERLINK("Gene1014-zp_tree_all.dnd", "Gene1014-tree")</f>
        <v>Gene1014-tree</v>
      </c>
      <c r="O396">
        <v>29</v>
      </c>
      <c r="P396">
        <v>3</v>
      </c>
      <c r="Q396">
        <v>10</v>
      </c>
      <c r="R396">
        <v>3</v>
      </c>
      <c r="S396">
        <v>0.23077</v>
      </c>
      <c r="T396" t="s">
        <v>2184</v>
      </c>
      <c r="U396" t="s">
        <v>324</v>
      </c>
      <c r="V396" t="s">
        <v>62</v>
      </c>
      <c r="W396" t="s">
        <v>62</v>
      </c>
      <c r="X396">
        <v>0</v>
      </c>
      <c r="Y396">
        <v>0</v>
      </c>
      <c r="Z396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4</v>
      </c>
      <c r="AK396">
        <v>0</v>
      </c>
      <c r="AL396">
        <v>10</v>
      </c>
      <c r="AM396">
        <v>5</v>
      </c>
      <c r="AN396">
        <v>8</v>
      </c>
      <c r="AO396">
        <v>2</v>
      </c>
      <c r="AP396">
        <v>15</v>
      </c>
      <c r="AQ396">
        <v>2</v>
      </c>
      <c r="AR396" t="s">
        <v>6372</v>
      </c>
      <c r="AS396" t="s">
        <v>6373</v>
      </c>
      <c r="AT396">
        <v>0.28599999999999998</v>
      </c>
      <c r="AU396" t="s">
        <v>65</v>
      </c>
      <c r="AV396">
        <v>23</v>
      </c>
      <c r="AW396">
        <v>4</v>
      </c>
      <c r="AX396" t="s">
        <v>6374</v>
      </c>
      <c r="AY396">
        <v>0.10496</v>
      </c>
      <c r="AZ396">
        <v>-7.5100000000000002E-3</v>
      </c>
      <c r="BA396">
        <v>3.2200000000000002E-3</v>
      </c>
      <c r="BB396">
        <v>-4.8999999999999998E-4</v>
      </c>
      <c r="BC396">
        <v>3.0669999999999999E-2</v>
      </c>
      <c r="BD396">
        <v>1</v>
      </c>
      <c r="BE396" t="s">
        <v>69</v>
      </c>
      <c r="BF396">
        <v>-1.323</v>
      </c>
      <c r="BG396">
        <v>0.158</v>
      </c>
    </row>
    <row r="397" spans="1:59">
      <c r="A397">
        <v>0</v>
      </c>
      <c r="B397">
        <v>0</v>
      </c>
      <c r="C397">
        <v>0</v>
      </c>
      <c r="D397" t="s">
        <v>25022</v>
      </c>
      <c r="E397">
        <v>2445</v>
      </c>
      <c r="F397" t="s">
        <v>14234</v>
      </c>
      <c r="G397" t="s">
        <v>62</v>
      </c>
      <c r="H397">
        <v>2444648</v>
      </c>
      <c r="I397">
        <v>2444998</v>
      </c>
      <c r="J397" t="s">
        <v>14235</v>
      </c>
      <c r="K397">
        <v>117</v>
      </c>
      <c r="L397" t="s">
        <v>59</v>
      </c>
      <c r="M397">
        <v>49</v>
      </c>
      <c r="N397" t="str">
        <f>HYPERLINK("Gene2445-zp_tree_all.dnd", "Gene2445-tree")</f>
        <v>Gene2445-tree</v>
      </c>
      <c r="O397">
        <v>36</v>
      </c>
      <c r="P397">
        <v>1</v>
      </c>
      <c r="Q397">
        <v>15</v>
      </c>
      <c r="R397">
        <v>1</v>
      </c>
      <c r="S397">
        <v>6.25E-2</v>
      </c>
      <c r="T397" t="s">
        <v>14236</v>
      </c>
      <c r="U397" t="s">
        <v>175</v>
      </c>
      <c r="V397" t="s">
        <v>62</v>
      </c>
      <c r="W397" t="s">
        <v>62</v>
      </c>
      <c r="X397">
        <v>0</v>
      </c>
      <c r="Y397">
        <v>0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11</v>
      </c>
      <c r="AM397">
        <v>7</v>
      </c>
      <c r="AN397">
        <v>15</v>
      </c>
      <c r="AO397">
        <v>1</v>
      </c>
      <c r="AP397">
        <v>15</v>
      </c>
      <c r="AQ397">
        <v>1</v>
      </c>
      <c r="AR397" t="s">
        <v>14237</v>
      </c>
      <c r="AS397" t="s">
        <v>14238</v>
      </c>
      <c r="AT397">
        <v>5.0000000000000001E-3</v>
      </c>
      <c r="AU397" t="s">
        <v>65</v>
      </c>
      <c r="AV397">
        <v>30</v>
      </c>
      <c r="AW397">
        <v>2</v>
      </c>
      <c r="AX397" t="s">
        <v>14239</v>
      </c>
      <c r="AY397">
        <v>9.6549999999999997E-2</v>
      </c>
      <c r="AZ397">
        <v>-5.9899999999999997E-3</v>
      </c>
      <c r="BA397">
        <v>2.4399999999999999E-3</v>
      </c>
      <c r="BB397">
        <v>-1.9000000000000001E-4</v>
      </c>
      <c r="BC397">
        <v>2.5260000000000001E-2</v>
      </c>
      <c r="BD397">
        <v>1</v>
      </c>
      <c r="BE397" t="s">
        <v>69</v>
      </c>
      <c r="BF397">
        <v>-0.98099999999999998</v>
      </c>
      <c r="BG397">
        <v>-1.573</v>
      </c>
    </row>
    <row r="398" spans="1:59">
      <c r="A398">
        <v>0</v>
      </c>
      <c r="B398">
        <v>4</v>
      </c>
      <c r="C398">
        <v>2</v>
      </c>
      <c r="D398" t="s">
        <v>25022</v>
      </c>
      <c r="E398">
        <v>1960</v>
      </c>
      <c r="F398" t="s">
        <v>12281</v>
      </c>
      <c r="G398" t="s">
        <v>62</v>
      </c>
      <c r="H398">
        <v>2056653</v>
      </c>
      <c r="I398">
        <v>2057006</v>
      </c>
      <c r="J398" t="s">
        <v>12282</v>
      </c>
      <c r="K398">
        <v>118</v>
      </c>
      <c r="L398" t="s">
        <v>12283</v>
      </c>
      <c r="M398">
        <v>27</v>
      </c>
      <c r="N398" t="str">
        <f>HYPERLINK("Gene1960-zp_tree_all.dnd", "Gene1960-tree")</f>
        <v>Gene1960-tree</v>
      </c>
      <c r="O398">
        <v>2</v>
      </c>
      <c r="P398">
        <v>4</v>
      </c>
      <c r="Q398">
        <v>2</v>
      </c>
      <c r="R398">
        <v>4</v>
      </c>
      <c r="S398">
        <v>0.66666999999999998</v>
      </c>
      <c r="T398" t="s">
        <v>81</v>
      </c>
      <c r="U398" t="s">
        <v>61</v>
      </c>
      <c r="V398" t="s">
        <v>62</v>
      </c>
      <c r="W398" t="s">
        <v>62</v>
      </c>
      <c r="X398">
        <v>3</v>
      </c>
      <c r="Y398">
        <v>6</v>
      </c>
      <c r="Z398">
        <v>14</v>
      </c>
      <c r="AA398">
        <v>0.3</v>
      </c>
      <c r="AB398">
        <v>0</v>
      </c>
      <c r="AC398">
        <v>0</v>
      </c>
      <c r="AD398">
        <v>0</v>
      </c>
      <c r="AE398">
        <v>3</v>
      </c>
      <c r="AF398">
        <v>0</v>
      </c>
      <c r="AG398">
        <v>2</v>
      </c>
      <c r="AH398">
        <v>0</v>
      </c>
      <c r="AI398">
        <v>2</v>
      </c>
      <c r="AJ398">
        <v>10</v>
      </c>
      <c r="AK398">
        <v>0.16667000000000001</v>
      </c>
      <c r="AL398">
        <v>4</v>
      </c>
      <c r="AM398">
        <v>3</v>
      </c>
      <c r="AN398">
        <v>5</v>
      </c>
      <c r="AO398">
        <v>13</v>
      </c>
      <c r="AP398">
        <v>4</v>
      </c>
      <c r="AQ398">
        <v>8</v>
      </c>
      <c r="AR398" t="s">
        <v>12284</v>
      </c>
      <c r="AS398" t="s">
        <v>12285</v>
      </c>
      <c r="AT398">
        <v>0.23499999999999999</v>
      </c>
      <c r="AU398" t="s">
        <v>65</v>
      </c>
      <c r="AV398">
        <v>9</v>
      </c>
      <c r="AW398">
        <v>21</v>
      </c>
      <c r="AX398" t="s">
        <v>12286</v>
      </c>
      <c r="AY398">
        <v>4.7940000000000003E-2</v>
      </c>
      <c r="AZ398">
        <v>-7.0800000000000004E-3</v>
      </c>
      <c r="BA398">
        <v>3.295E-2</v>
      </c>
      <c r="BB398">
        <v>-4.3800000000000002E-3</v>
      </c>
      <c r="BC398">
        <v>0.68723000000000001</v>
      </c>
      <c r="BD398">
        <v>0.5</v>
      </c>
      <c r="BE398" t="s">
        <v>635</v>
      </c>
      <c r="BF398">
        <v>-1.3049999999999999</v>
      </c>
      <c r="BG398">
        <v>0.72</v>
      </c>
    </row>
    <row r="399" spans="1:59">
      <c r="A399">
        <v>0</v>
      </c>
      <c r="B399">
        <v>0</v>
      </c>
      <c r="C399">
        <v>2</v>
      </c>
      <c r="D399" t="s">
        <v>25022</v>
      </c>
      <c r="E399">
        <v>1309</v>
      </c>
      <c r="F399" t="s">
        <v>8219</v>
      </c>
      <c r="G399" t="s">
        <v>57</v>
      </c>
      <c r="H399">
        <v>1330892</v>
      </c>
      <c r="I399">
        <v>1331245</v>
      </c>
      <c r="J399" t="s">
        <v>8099</v>
      </c>
      <c r="K399">
        <v>118</v>
      </c>
      <c r="L399" t="s">
        <v>8220</v>
      </c>
      <c r="M399">
        <v>42</v>
      </c>
      <c r="N399" t="str">
        <f>HYPERLINK("Gene1309-zp_tree_all.dnd", "Gene1309-tree")</f>
        <v>Gene1309-tree</v>
      </c>
      <c r="O399">
        <v>5</v>
      </c>
      <c r="P399">
        <v>4</v>
      </c>
      <c r="Q399">
        <v>5</v>
      </c>
      <c r="R399">
        <v>4</v>
      </c>
      <c r="S399">
        <v>0.44444</v>
      </c>
      <c r="T399" t="s">
        <v>199</v>
      </c>
      <c r="U399" t="s">
        <v>61</v>
      </c>
      <c r="V399" t="s">
        <v>62</v>
      </c>
      <c r="W399" t="s">
        <v>62</v>
      </c>
      <c r="X399">
        <v>1</v>
      </c>
      <c r="Y399">
        <v>2</v>
      </c>
      <c r="Z399">
        <v>6</v>
      </c>
      <c r="AA399">
        <v>0.25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6</v>
      </c>
      <c r="AK399">
        <v>0</v>
      </c>
      <c r="AL399">
        <v>6</v>
      </c>
      <c r="AM399">
        <v>5</v>
      </c>
      <c r="AN399">
        <v>13</v>
      </c>
      <c r="AO399">
        <v>4</v>
      </c>
      <c r="AP399">
        <v>3</v>
      </c>
      <c r="AQ399">
        <v>4</v>
      </c>
      <c r="AR399" t="s">
        <v>8221</v>
      </c>
      <c r="AS399" t="s">
        <v>8222</v>
      </c>
      <c r="AT399">
        <v>1.5549999999999999</v>
      </c>
      <c r="AU399" t="s">
        <v>65</v>
      </c>
      <c r="AV399">
        <v>16</v>
      </c>
      <c r="AW399">
        <v>8</v>
      </c>
      <c r="AX399" t="s">
        <v>8223</v>
      </c>
      <c r="AY399">
        <v>4.3650000000000001E-2</v>
      </c>
      <c r="AZ399">
        <v>-3.4199999999999999E-3</v>
      </c>
      <c r="BA399">
        <v>1.0189999999999999E-2</v>
      </c>
      <c r="BB399">
        <v>-1.0300000000000001E-3</v>
      </c>
      <c r="BC399">
        <v>0.23343</v>
      </c>
      <c r="BD399">
        <v>1</v>
      </c>
      <c r="BE399" t="s">
        <v>69</v>
      </c>
      <c r="BF399">
        <v>-0.77800000000000002</v>
      </c>
      <c r="BG399">
        <v>-2.3679999999999999</v>
      </c>
    </row>
    <row r="400" spans="1:59">
      <c r="A400">
        <v>0</v>
      </c>
      <c r="B400">
        <v>4</v>
      </c>
      <c r="C400">
        <v>2</v>
      </c>
      <c r="D400" t="s">
        <v>25022</v>
      </c>
      <c r="E400">
        <v>1111</v>
      </c>
      <c r="F400" t="s">
        <v>6985</v>
      </c>
      <c r="G400" t="s">
        <v>57</v>
      </c>
      <c r="H400">
        <v>1153265</v>
      </c>
      <c r="I400">
        <v>1153618</v>
      </c>
      <c r="J400" t="s">
        <v>6103</v>
      </c>
      <c r="K400">
        <v>118</v>
      </c>
      <c r="L400" t="s">
        <v>394</v>
      </c>
      <c r="M400">
        <v>48</v>
      </c>
      <c r="N400" t="str">
        <f>HYPERLINK("Gene1111-zp_tree_all.dnd", "Gene1111-tree")</f>
        <v>Gene1111-tree</v>
      </c>
      <c r="O400">
        <v>6</v>
      </c>
      <c r="P400">
        <v>5</v>
      </c>
      <c r="Q400">
        <v>6</v>
      </c>
      <c r="R400">
        <v>5</v>
      </c>
      <c r="S400">
        <v>0.45455000000000001</v>
      </c>
      <c r="T400" t="s">
        <v>90</v>
      </c>
      <c r="U400" t="s">
        <v>199</v>
      </c>
      <c r="V400" t="s">
        <v>62</v>
      </c>
      <c r="W400" t="s">
        <v>62</v>
      </c>
      <c r="X400">
        <v>3</v>
      </c>
      <c r="Y400">
        <v>6</v>
      </c>
      <c r="Z400">
        <v>5</v>
      </c>
      <c r="AA400">
        <v>0.54544999999999999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</v>
      </c>
      <c r="AH400">
        <v>0</v>
      </c>
      <c r="AI400">
        <v>2</v>
      </c>
      <c r="AJ400">
        <v>6</v>
      </c>
      <c r="AK400">
        <v>0.25</v>
      </c>
      <c r="AL400">
        <v>9</v>
      </c>
      <c r="AM400">
        <v>4</v>
      </c>
      <c r="AN400">
        <v>16</v>
      </c>
      <c r="AO400">
        <v>9</v>
      </c>
      <c r="AP400">
        <v>6</v>
      </c>
      <c r="AQ400">
        <v>3</v>
      </c>
      <c r="AR400" t="s">
        <v>6986</v>
      </c>
      <c r="AS400" t="s">
        <v>6987</v>
      </c>
      <c r="AT400">
        <v>8.2000000000000003E-2</v>
      </c>
      <c r="AU400" t="s">
        <v>65</v>
      </c>
      <c r="AV400">
        <v>22</v>
      </c>
      <c r="AW400">
        <v>12</v>
      </c>
      <c r="AX400" t="s">
        <v>6988</v>
      </c>
      <c r="AY400">
        <v>6.5879999999999994E-2</v>
      </c>
      <c r="AZ400">
        <v>-6.5100000000000002E-3</v>
      </c>
      <c r="BA400">
        <v>1.0290000000000001E-2</v>
      </c>
      <c r="BB400">
        <v>-1.1900000000000001E-3</v>
      </c>
      <c r="BC400">
        <v>0.15620000000000001</v>
      </c>
      <c r="BD400">
        <v>1</v>
      </c>
      <c r="BE400" t="s">
        <v>69</v>
      </c>
      <c r="BF400">
        <v>-1.8380000000000001</v>
      </c>
      <c r="BG400">
        <v>-2.4020000000000001</v>
      </c>
    </row>
    <row r="401" spans="1:59">
      <c r="A401">
        <v>0</v>
      </c>
      <c r="B401">
        <v>2</v>
      </c>
      <c r="C401">
        <v>0</v>
      </c>
      <c r="D401" t="s">
        <v>25022</v>
      </c>
      <c r="E401">
        <v>1217</v>
      </c>
      <c r="F401" t="s">
        <v>7653</v>
      </c>
      <c r="G401" t="s">
        <v>57</v>
      </c>
      <c r="H401">
        <v>1252177</v>
      </c>
      <c r="I401">
        <v>1252530</v>
      </c>
      <c r="J401" t="s">
        <v>7654</v>
      </c>
      <c r="K401">
        <v>118</v>
      </c>
      <c r="L401" t="s">
        <v>108</v>
      </c>
      <c r="M401">
        <v>44</v>
      </c>
      <c r="N401" t="str">
        <f>HYPERLINK("Gene1217-zp_tree_all.dnd", "Gene1217-tree")</f>
        <v>Gene1217-tree</v>
      </c>
      <c r="O401">
        <v>7</v>
      </c>
      <c r="P401">
        <v>3</v>
      </c>
      <c r="Q401">
        <v>7</v>
      </c>
      <c r="R401">
        <v>3</v>
      </c>
      <c r="S401">
        <v>0.3</v>
      </c>
      <c r="T401" t="s">
        <v>152</v>
      </c>
      <c r="U401" t="s">
        <v>324</v>
      </c>
      <c r="V401" t="s">
        <v>62</v>
      </c>
      <c r="W401" t="s">
        <v>62</v>
      </c>
      <c r="X401">
        <v>1</v>
      </c>
      <c r="Y401">
        <v>2</v>
      </c>
      <c r="Z401">
        <v>6</v>
      </c>
      <c r="AA401">
        <v>0.25</v>
      </c>
      <c r="AB401">
        <v>0</v>
      </c>
      <c r="AC401">
        <v>0</v>
      </c>
      <c r="AD401">
        <v>0</v>
      </c>
      <c r="AE401">
        <v>2</v>
      </c>
      <c r="AF401">
        <v>0</v>
      </c>
      <c r="AG401">
        <v>0</v>
      </c>
      <c r="AH401">
        <v>0</v>
      </c>
      <c r="AI401">
        <v>0</v>
      </c>
      <c r="AJ401">
        <v>5</v>
      </c>
      <c r="AK401">
        <v>0</v>
      </c>
      <c r="AL401">
        <v>7</v>
      </c>
      <c r="AM401">
        <v>5</v>
      </c>
      <c r="AN401">
        <v>16</v>
      </c>
      <c r="AO401">
        <v>5</v>
      </c>
      <c r="AP401">
        <v>5</v>
      </c>
      <c r="AQ401">
        <v>3</v>
      </c>
      <c r="AR401" t="s">
        <v>7655</v>
      </c>
      <c r="AS401" t="s">
        <v>7656</v>
      </c>
      <c r="AT401">
        <v>0.56799999999999995</v>
      </c>
      <c r="AU401" t="s">
        <v>65</v>
      </c>
      <c r="AV401">
        <v>21</v>
      </c>
      <c r="AW401">
        <v>8</v>
      </c>
      <c r="AX401" t="s">
        <v>7657</v>
      </c>
      <c r="AY401">
        <v>5.8779999999999999E-2</v>
      </c>
      <c r="AZ401">
        <v>-4.0299999999999997E-3</v>
      </c>
      <c r="BA401">
        <v>7.7200000000000003E-3</v>
      </c>
      <c r="BB401">
        <v>-1E-3</v>
      </c>
      <c r="BC401">
        <v>0.13133</v>
      </c>
      <c r="BD401">
        <v>1</v>
      </c>
      <c r="BE401" t="s">
        <v>69</v>
      </c>
      <c r="BF401">
        <v>-0.90200000000000002</v>
      </c>
      <c r="BG401">
        <v>-1.339</v>
      </c>
    </row>
    <row r="402" spans="1:59">
      <c r="A402">
        <v>0</v>
      </c>
      <c r="B402">
        <v>0</v>
      </c>
      <c r="C402">
        <v>0</v>
      </c>
      <c r="D402" t="s">
        <v>25022</v>
      </c>
      <c r="E402">
        <v>2241</v>
      </c>
      <c r="F402" t="s">
        <v>13036</v>
      </c>
      <c r="G402" t="s">
        <v>62</v>
      </c>
      <c r="H402">
        <v>2272537</v>
      </c>
      <c r="I402">
        <v>2272890</v>
      </c>
      <c r="J402" t="s">
        <v>12900</v>
      </c>
      <c r="K402">
        <v>118</v>
      </c>
      <c r="L402" t="s">
        <v>13037</v>
      </c>
      <c r="M402">
        <v>17</v>
      </c>
      <c r="N402" t="str">
        <f>HYPERLINK("Gene2241-zp_tree_all.dnd", "Gene2241-tree")</f>
        <v>Gene2241-tree</v>
      </c>
      <c r="O402">
        <v>1</v>
      </c>
      <c r="P402">
        <v>16</v>
      </c>
      <c r="Q402">
        <v>1</v>
      </c>
      <c r="R402">
        <v>3</v>
      </c>
      <c r="S402">
        <v>0.75</v>
      </c>
      <c r="T402" t="s">
        <v>175</v>
      </c>
      <c r="U402" t="s">
        <v>12874</v>
      </c>
      <c r="V402">
        <v>1.6859999999999999</v>
      </c>
      <c r="W402" t="s">
        <v>65</v>
      </c>
      <c r="X402">
        <v>0</v>
      </c>
      <c r="Y402">
        <v>0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3</v>
      </c>
      <c r="AK402">
        <v>0</v>
      </c>
      <c r="AL402">
        <v>3</v>
      </c>
      <c r="AM402">
        <v>1</v>
      </c>
      <c r="AN402">
        <v>3</v>
      </c>
      <c r="AO402">
        <v>3</v>
      </c>
      <c r="AP402">
        <v>5</v>
      </c>
      <c r="AQ402">
        <v>0</v>
      </c>
      <c r="AR402" t="s">
        <v>13038</v>
      </c>
      <c r="AS402" t="s">
        <v>193</v>
      </c>
      <c r="AT402">
        <v>2.5819999999999999</v>
      </c>
      <c r="AU402" t="s">
        <v>267</v>
      </c>
      <c r="AV402">
        <v>8</v>
      </c>
      <c r="AW402">
        <v>3</v>
      </c>
      <c r="AX402" t="s">
        <v>13039</v>
      </c>
      <c r="AY402">
        <v>7.1319999999999995E-2</v>
      </c>
      <c r="AZ402">
        <v>-1.5720000000000001E-2</v>
      </c>
      <c r="BA402">
        <v>5.4000000000000003E-3</v>
      </c>
      <c r="BB402">
        <v>-7.3999999999999999E-4</v>
      </c>
      <c r="BC402">
        <v>7.5689999999999993E-2</v>
      </c>
      <c r="BD402">
        <v>0.98899999999999999</v>
      </c>
      <c r="BE402" t="s">
        <v>69</v>
      </c>
      <c r="BF402">
        <v>-1.0009999999999999</v>
      </c>
      <c r="BG402">
        <v>0.29899999999999999</v>
      </c>
    </row>
    <row r="403" spans="1:59">
      <c r="A403">
        <v>0</v>
      </c>
      <c r="B403">
        <v>2</v>
      </c>
      <c r="C403">
        <v>0</v>
      </c>
      <c r="D403" t="s">
        <v>25022</v>
      </c>
      <c r="E403">
        <v>2666</v>
      </c>
      <c r="F403" t="s">
        <v>15637</v>
      </c>
      <c r="G403" t="s">
        <v>62</v>
      </c>
      <c r="H403">
        <v>2642844</v>
      </c>
      <c r="I403">
        <v>2643197</v>
      </c>
      <c r="J403" t="s">
        <v>15638</v>
      </c>
      <c r="K403">
        <v>118</v>
      </c>
      <c r="L403" t="s">
        <v>11803</v>
      </c>
      <c r="M403">
        <v>47</v>
      </c>
      <c r="N403" t="str">
        <f>HYPERLINK("Gene2666-zp_tree_all.dnd", "Gene2666-tree")</f>
        <v>Gene2666-tree</v>
      </c>
      <c r="O403">
        <v>11</v>
      </c>
      <c r="P403">
        <v>3</v>
      </c>
      <c r="Q403">
        <v>11</v>
      </c>
      <c r="R403">
        <v>3</v>
      </c>
      <c r="S403">
        <v>0.21429000000000001</v>
      </c>
      <c r="T403" t="s">
        <v>73</v>
      </c>
      <c r="U403" t="s">
        <v>324</v>
      </c>
      <c r="V403" t="s">
        <v>62</v>
      </c>
      <c r="W403" t="s">
        <v>62</v>
      </c>
      <c r="X403">
        <v>1</v>
      </c>
      <c r="Y403">
        <v>2</v>
      </c>
      <c r="Z403">
        <v>4</v>
      </c>
      <c r="AA403">
        <v>0.33333000000000002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</v>
      </c>
      <c r="AH403">
        <v>0</v>
      </c>
      <c r="AI403">
        <v>2</v>
      </c>
      <c r="AJ403">
        <v>2</v>
      </c>
      <c r="AK403">
        <v>0.5</v>
      </c>
      <c r="AL403">
        <v>13</v>
      </c>
      <c r="AM403">
        <v>8</v>
      </c>
      <c r="AN403">
        <v>17</v>
      </c>
      <c r="AO403">
        <v>4</v>
      </c>
      <c r="AP403">
        <v>19</v>
      </c>
      <c r="AQ403">
        <v>2</v>
      </c>
      <c r="AR403" t="s">
        <v>15639</v>
      </c>
      <c r="AS403" t="s">
        <v>15640</v>
      </c>
      <c r="AT403">
        <v>0.34100000000000003</v>
      </c>
      <c r="AU403" t="s">
        <v>65</v>
      </c>
      <c r="AV403">
        <v>36</v>
      </c>
      <c r="AW403">
        <v>6</v>
      </c>
      <c r="AX403" t="s">
        <v>15641</v>
      </c>
      <c r="AY403">
        <v>0.11461</v>
      </c>
      <c r="AZ403">
        <v>-6.8700000000000002E-3</v>
      </c>
      <c r="BA403">
        <v>4.5900000000000003E-3</v>
      </c>
      <c r="BB403">
        <v>-4.0999999999999999E-4</v>
      </c>
      <c r="BC403">
        <v>4.0009999999999997E-2</v>
      </c>
      <c r="BD403">
        <v>1</v>
      </c>
      <c r="BE403" t="s">
        <v>69</v>
      </c>
      <c r="BF403">
        <v>-0.38</v>
      </c>
      <c r="BG403">
        <v>-7.9000000000000001E-2</v>
      </c>
    </row>
    <row r="404" spans="1:59">
      <c r="A404">
        <v>0</v>
      </c>
      <c r="B404">
        <v>0</v>
      </c>
      <c r="C404">
        <v>0</v>
      </c>
      <c r="D404" t="s">
        <v>25022</v>
      </c>
      <c r="E404">
        <v>2803</v>
      </c>
      <c r="F404" t="s">
        <v>16073</v>
      </c>
      <c r="G404" t="s">
        <v>62</v>
      </c>
      <c r="H404">
        <v>2750886</v>
      </c>
      <c r="I404">
        <v>2751239</v>
      </c>
      <c r="J404" t="s">
        <v>116</v>
      </c>
      <c r="K404">
        <v>118</v>
      </c>
      <c r="L404" t="s">
        <v>16074</v>
      </c>
      <c r="M404">
        <v>45</v>
      </c>
      <c r="N404" t="str">
        <f>HYPERLINK("Gene2803-zp_tree_all.dnd", "Gene2803-tree")</f>
        <v>Gene2803-tree</v>
      </c>
      <c r="O404">
        <v>11</v>
      </c>
      <c r="P404">
        <v>2</v>
      </c>
      <c r="Q404">
        <v>11</v>
      </c>
      <c r="R404">
        <v>2</v>
      </c>
      <c r="S404">
        <v>0.15384999999999999</v>
      </c>
      <c r="T404" t="s">
        <v>73</v>
      </c>
      <c r="U404" t="s">
        <v>81</v>
      </c>
      <c r="V404" t="s">
        <v>62</v>
      </c>
      <c r="W404" t="s">
        <v>62</v>
      </c>
      <c r="X404">
        <v>0</v>
      </c>
      <c r="Y404">
        <v>0</v>
      </c>
      <c r="Z404">
        <v>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</v>
      </c>
      <c r="AK404">
        <v>0</v>
      </c>
      <c r="AL404">
        <v>9</v>
      </c>
      <c r="AM404">
        <v>7</v>
      </c>
      <c r="AN404">
        <v>16</v>
      </c>
      <c r="AO404">
        <v>2</v>
      </c>
      <c r="AP404">
        <v>16</v>
      </c>
      <c r="AQ404">
        <v>1</v>
      </c>
      <c r="AR404" t="s">
        <v>16075</v>
      </c>
      <c r="AS404" t="s">
        <v>16076</v>
      </c>
      <c r="AT404">
        <v>0.27700000000000002</v>
      </c>
      <c r="AU404" t="s">
        <v>65</v>
      </c>
      <c r="AV404">
        <v>32</v>
      </c>
      <c r="AW404">
        <v>3</v>
      </c>
      <c r="AX404" t="s">
        <v>16077</v>
      </c>
      <c r="AY404">
        <v>8.3360000000000004E-2</v>
      </c>
      <c r="AZ404">
        <v>-6.1599999999999997E-3</v>
      </c>
      <c r="BA404">
        <v>2.9299999999999999E-3</v>
      </c>
      <c r="BB404">
        <v>-3.1E-4</v>
      </c>
      <c r="BC404">
        <v>3.5200000000000002E-2</v>
      </c>
      <c r="BD404">
        <v>1</v>
      </c>
      <c r="BE404" t="s">
        <v>69</v>
      </c>
      <c r="BF404">
        <v>-1.125</v>
      </c>
      <c r="BG404">
        <v>-0.55700000000000005</v>
      </c>
    </row>
    <row r="405" spans="1:59">
      <c r="A405">
        <v>0</v>
      </c>
      <c r="B405">
        <v>0</v>
      </c>
      <c r="C405">
        <v>0</v>
      </c>
      <c r="D405" t="s">
        <v>25022</v>
      </c>
      <c r="E405">
        <v>3402</v>
      </c>
      <c r="F405" t="s">
        <v>19901</v>
      </c>
      <c r="G405" t="s">
        <v>62</v>
      </c>
      <c r="H405">
        <v>3366576</v>
      </c>
      <c r="I405">
        <v>3366929</v>
      </c>
      <c r="J405" t="s">
        <v>19902</v>
      </c>
      <c r="K405">
        <v>118</v>
      </c>
      <c r="L405" t="s">
        <v>59</v>
      </c>
      <c r="M405">
        <v>49</v>
      </c>
      <c r="N405" t="str">
        <f>HYPERLINK("Gene3402-zp_tree_all.dnd", "Gene3402-tree")</f>
        <v>Gene3402-tree</v>
      </c>
      <c r="O405">
        <v>11</v>
      </c>
      <c r="P405">
        <v>2</v>
      </c>
      <c r="Q405">
        <v>11</v>
      </c>
      <c r="R405">
        <v>2</v>
      </c>
      <c r="S405">
        <v>0.15384999999999999</v>
      </c>
      <c r="T405" t="s">
        <v>73</v>
      </c>
      <c r="U405" t="s">
        <v>81</v>
      </c>
      <c r="V405" t="s">
        <v>62</v>
      </c>
      <c r="W405" t="s">
        <v>62</v>
      </c>
      <c r="X405">
        <v>0</v>
      </c>
      <c r="Y405">
        <v>0</v>
      </c>
      <c r="Z405">
        <v>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9</v>
      </c>
      <c r="AM405">
        <v>5</v>
      </c>
      <c r="AN405">
        <v>13</v>
      </c>
      <c r="AO405">
        <v>3</v>
      </c>
      <c r="AP405">
        <v>15</v>
      </c>
      <c r="AQ405">
        <v>0</v>
      </c>
      <c r="AR405" t="s">
        <v>19903</v>
      </c>
      <c r="AS405" t="s">
        <v>193</v>
      </c>
      <c r="AT405">
        <v>0.67400000000000004</v>
      </c>
      <c r="AU405" t="s">
        <v>65</v>
      </c>
      <c r="AV405">
        <v>28</v>
      </c>
      <c r="AW405">
        <v>3</v>
      </c>
      <c r="AX405" t="s">
        <v>19904</v>
      </c>
      <c r="AY405">
        <v>0.12792999999999999</v>
      </c>
      <c r="AZ405">
        <v>-1.0880000000000001E-2</v>
      </c>
      <c r="BA405">
        <v>1.65E-3</v>
      </c>
      <c r="BB405">
        <v>-3.1E-4</v>
      </c>
      <c r="BC405">
        <v>1.286E-2</v>
      </c>
      <c r="BD405">
        <v>1</v>
      </c>
      <c r="BE405" t="s">
        <v>69</v>
      </c>
      <c r="BF405">
        <v>-0.623</v>
      </c>
      <c r="BG405">
        <v>-0.44700000000000001</v>
      </c>
    </row>
    <row r="406" spans="1:59">
      <c r="A406">
        <v>0</v>
      </c>
      <c r="B406">
        <v>4</v>
      </c>
      <c r="C406">
        <v>1</v>
      </c>
      <c r="D406" t="s">
        <v>25022</v>
      </c>
      <c r="E406">
        <v>450</v>
      </c>
      <c r="F406" t="s">
        <v>3054</v>
      </c>
      <c r="G406" t="s">
        <v>57</v>
      </c>
      <c r="H406">
        <v>495344</v>
      </c>
      <c r="I406">
        <v>495700</v>
      </c>
      <c r="J406" t="s">
        <v>116</v>
      </c>
      <c r="K406">
        <v>119</v>
      </c>
      <c r="L406" t="s">
        <v>108</v>
      </c>
      <c r="M406">
        <v>44</v>
      </c>
      <c r="N406" t="str">
        <f>HYPERLINK("Gene450-zp_tree_all.dnd", "Gene450-tree")</f>
        <v>Gene450-tree</v>
      </c>
      <c r="O406">
        <v>3</v>
      </c>
      <c r="P406">
        <v>9</v>
      </c>
      <c r="Q406">
        <v>3</v>
      </c>
      <c r="R406">
        <v>9</v>
      </c>
      <c r="S406">
        <v>0.75</v>
      </c>
      <c r="T406" t="s">
        <v>324</v>
      </c>
      <c r="U406" t="s">
        <v>135</v>
      </c>
      <c r="V406" t="s">
        <v>62</v>
      </c>
      <c r="W406" t="s">
        <v>62</v>
      </c>
      <c r="X406">
        <v>2</v>
      </c>
      <c r="Y406">
        <v>5</v>
      </c>
      <c r="Z406">
        <v>10</v>
      </c>
      <c r="AA406">
        <v>0.33333000000000002</v>
      </c>
      <c r="AB406">
        <v>0</v>
      </c>
      <c r="AC406">
        <v>0</v>
      </c>
      <c r="AD406">
        <v>0</v>
      </c>
      <c r="AE406">
        <v>3</v>
      </c>
      <c r="AF406">
        <v>0</v>
      </c>
      <c r="AG406">
        <v>2</v>
      </c>
      <c r="AH406">
        <v>0</v>
      </c>
      <c r="AI406">
        <v>2</v>
      </c>
      <c r="AJ406">
        <v>9</v>
      </c>
      <c r="AK406">
        <v>0.18182000000000001</v>
      </c>
      <c r="AL406">
        <v>9</v>
      </c>
      <c r="AM406">
        <v>4</v>
      </c>
      <c r="AN406">
        <v>9</v>
      </c>
      <c r="AO406">
        <v>10</v>
      </c>
      <c r="AP406">
        <v>8</v>
      </c>
      <c r="AQ406">
        <v>5</v>
      </c>
      <c r="AR406" t="s">
        <v>3055</v>
      </c>
      <c r="AS406" t="s">
        <v>3056</v>
      </c>
      <c r="AT406">
        <v>0.52300000000000002</v>
      </c>
      <c r="AU406" t="s">
        <v>65</v>
      </c>
      <c r="AV406">
        <v>17</v>
      </c>
      <c r="AW406">
        <v>15</v>
      </c>
      <c r="AX406" t="s">
        <v>3057</v>
      </c>
      <c r="AY406">
        <v>5.7119999999999997E-2</v>
      </c>
      <c r="AZ406">
        <v>-6.0600000000000003E-3</v>
      </c>
      <c r="BA406">
        <v>1.1809999999999999E-2</v>
      </c>
      <c r="BB406">
        <v>-5.4000000000000001E-4</v>
      </c>
      <c r="BC406">
        <v>0.20671999999999999</v>
      </c>
      <c r="BD406">
        <v>1</v>
      </c>
      <c r="BE406" t="s">
        <v>69</v>
      </c>
      <c r="BF406">
        <v>-0.34399999999999997</v>
      </c>
      <c r="BG406">
        <v>3.3000000000000002E-2</v>
      </c>
    </row>
    <row r="407" spans="1:59">
      <c r="A407">
        <v>0</v>
      </c>
      <c r="B407">
        <v>4</v>
      </c>
      <c r="C407">
        <v>0</v>
      </c>
      <c r="D407" t="s">
        <v>25022</v>
      </c>
      <c r="E407">
        <v>3484</v>
      </c>
      <c r="F407" t="s">
        <v>20414</v>
      </c>
      <c r="G407" t="s">
        <v>62</v>
      </c>
      <c r="H407">
        <v>3448696</v>
      </c>
      <c r="I407">
        <v>3449052</v>
      </c>
      <c r="J407" t="s">
        <v>20415</v>
      </c>
      <c r="K407">
        <v>119</v>
      </c>
      <c r="L407" t="s">
        <v>108</v>
      </c>
      <c r="M407">
        <v>44</v>
      </c>
      <c r="N407" t="str">
        <f>HYPERLINK("Gene3484-zp_tree_all.dnd", "Gene3484-tree")</f>
        <v>Gene3484-tree</v>
      </c>
      <c r="O407">
        <v>6</v>
      </c>
      <c r="P407">
        <v>6</v>
      </c>
      <c r="Q407">
        <v>6</v>
      </c>
      <c r="R407">
        <v>6</v>
      </c>
      <c r="S407">
        <v>0.5</v>
      </c>
      <c r="T407" t="s">
        <v>90</v>
      </c>
      <c r="U407" t="s">
        <v>90</v>
      </c>
      <c r="V407" t="s">
        <v>62</v>
      </c>
      <c r="W407" t="s">
        <v>62</v>
      </c>
      <c r="X407">
        <v>2</v>
      </c>
      <c r="Y407">
        <v>4</v>
      </c>
      <c r="Z407">
        <v>6</v>
      </c>
      <c r="AA407">
        <v>0.4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4</v>
      </c>
      <c r="AH407">
        <v>0</v>
      </c>
      <c r="AI407">
        <v>4</v>
      </c>
      <c r="AJ407">
        <v>5</v>
      </c>
      <c r="AK407">
        <v>0.44444</v>
      </c>
      <c r="AL407">
        <v>10</v>
      </c>
      <c r="AM407">
        <v>6</v>
      </c>
      <c r="AN407">
        <v>12</v>
      </c>
      <c r="AO407">
        <v>10</v>
      </c>
      <c r="AP407">
        <v>7</v>
      </c>
      <c r="AQ407">
        <v>1</v>
      </c>
      <c r="AR407" t="s">
        <v>20416</v>
      </c>
      <c r="AS407" t="s">
        <v>20417</v>
      </c>
      <c r="AT407">
        <v>0.93500000000000005</v>
      </c>
      <c r="AU407" t="s">
        <v>65</v>
      </c>
      <c r="AV407">
        <v>19</v>
      </c>
      <c r="AW407">
        <v>11</v>
      </c>
      <c r="AX407" t="s">
        <v>20418</v>
      </c>
      <c r="AY407">
        <v>4.7039999999999998E-2</v>
      </c>
      <c r="AZ407">
        <v>-3.29E-3</v>
      </c>
      <c r="BA407">
        <v>7.5900000000000004E-3</v>
      </c>
      <c r="BB407">
        <v>-7.9000000000000001E-4</v>
      </c>
      <c r="BC407">
        <v>0.16139999999999999</v>
      </c>
      <c r="BD407">
        <v>1</v>
      </c>
      <c r="BE407" t="s">
        <v>69</v>
      </c>
      <c r="BF407">
        <v>0.54100000000000004</v>
      </c>
      <c r="BG407">
        <v>0.71699999999999997</v>
      </c>
    </row>
    <row r="408" spans="1:59">
      <c r="A408">
        <v>0</v>
      </c>
      <c r="B408">
        <v>3</v>
      </c>
      <c r="C408">
        <v>2</v>
      </c>
      <c r="D408" t="s">
        <v>25022</v>
      </c>
      <c r="E408">
        <v>2804</v>
      </c>
      <c r="F408" t="s">
        <v>16080</v>
      </c>
      <c r="G408" t="s">
        <v>62</v>
      </c>
      <c r="H408">
        <v>2751295</v>
      </c>
      <c r="I408">
        <v>2751651</v>
      </c>
      <c r="J408" t="s">
        <v>116</v>
      </c>
      <c r="K408">
        <v>119</v>
      </c>
      <c r="L408" t="s">
        <v>16074</v>
      </c>
      <c r="M408">
        <v>45</v>
      </c>
      <c r="N408" t="str">
        <f>HYPERLINK("Gene2804-zp_tree_all.dnd", "Gene2804-tree")</f>
        <v>Gene2804-tree</v>
      </c>
      <c r="O408">
        <v>8</v>
      </c>
      <c r="P408">
        <v>5</v>
      </c>
      <c r="Q408">
        <v>8</v>
      </c>
      <c r="R408">
        <v>5</v>
      </c>
      <c r="S408">
        <v>0.38462000000000002</v>
      </c>
      <c r="T408" t="s">
        <v>136</v>
      </c>
      <c r="U408" t="s">
        <v>199</v>
      </c>
      <c r="V408" t="s">
        <v>62</v>
      </c>
      <c r="W408" t="s">
        <v>62</v>
      </c>
      <c r="X408">
        <v>2</v>
      </c>
      <c r="Y408">
        <v>5</v>
      </c>
      <c r="Z408">
        <v>4</v>
      </c>
      <c r="AA408">
        <v>0.55556000000000005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</v>
      </c>
      <c r="AH408">
        <v>2</v>
      </c>
      <c r="AI408">
        <v>4</v>
      </c>
      <c r="AJ408">
        <v>4</v>
      </c>
      <c r="AK408">
        <v>0.5</v>
      </c>
      <c r="AL408">
        <v>9</v>
      </c>
      <c r="AM408">
        <v>7</v>
      </c>
      <c r="AN408">
        <v>9</v>
      </c>
      <c r="AO408">
        <v>4</v>
      </c>
      <c r="AP408">
        <v>14</v>
      </c>
      <c r="AQ408">
        <v>5</v>
      </c>
      <c r="AR408" t="s">
        <v>16081</v>
      </c>
      <c r="AS408" t="s">
        <v>16082</v>
      </c>
      <c r="AT408">
        <v>0.125</v>
      </c>
      <c r="AU408" t="s">
        <v>65</v>
      </c>
      <c r="AV408">
        <v>23</v>
      </c>
      <c r="AW408">
        <v>9</v>
      </c>
      <c r="AX408" t="s">
        <v>16083</v>
      </c>
      <c r="AY408">
        <v>6.3460000000000003E-2</v>
      </c>
      <c r="AZ408">
        <v>-5.13E-3</v>
      </c>
      <c r="BA408">
        <v>7.0699999999999999E-3</v>
      </c>
      <c r="BB408">
        <v>-7.9000000000000001E-4</v>
      </c>
      <c r="BC408">
        <v>0.11144</v>
      </c>
      <c r="BD408">
        <v>1</v>
      </c>
      <c r="BE408" t="s">
        <v>69</v>
      </c>
      <c r="BF408">
        <v>-1.1639999999999999</v>
      </c>
      <c r="BG408">
        <v>-0.26700000000000002</v>
      </c>
    </row>
    <row r="409" spans="1:59">
      <c r="A409">
        <v>0</v>
      </c>
      <c r="B409">
        <v>4</v>
      </c>
      <c r="C409">
        <v>0</v>
      </c>
      <c r="D409" t="s">
        <v>25022</v>
      </c>
      <c r="E409">
        <v>1148</v>
      </c>
      <c r="F409" t="s">
        <v>7219</v>
      </c>
      <c r="G409" t="s">
        <v>57</v>
      </c>
      <c r="H409">
        <v>1189646</v>
      </c>
      <c r="I409">
        <v>1190002</v>
      </c>
      <c r="J409" t="s">
        <v>7220</v>
      </c>
      <c r="K409">
        <v>119</v>
      </c>
      <c r="L409" t="s">
        <v>289</v>
      </c>
      <c r="M409">
        <v>46</v>
      </c>
      <c r="N409" t="str">
        <f>HYPERLINK("Gene1148-zp_tree_all.dnd", "Gene1148-tree")</f>
        <v>Gene1148-tree</v>
      </c>
      <c r="O409">
        <v>8</v>
      </c>
      <c r="P409">
        <v>24</v>
      </c>
      <c r="Q409">
        <v>8</v>
      </c>
      <c r="R409">
        <v>4</v>
      </c>
      <c r="S409">
        <v>0.33333000000000002</v>
      </c>
      <c r="T409" t="s">
        <v>136</v>
      </c>
      <c r="U409" t="s">
        <v>1495</v>
      </c>
      <c r="V409">
        <v>5.74</v>
      </c>
      <c r="W409" t="s">
        <v>65</v>
      </c>
      <c r="X409">
        <v>2</v>
      </c>
      <c r="Y409">
        <v>4</v>
      </c>
      <c r="Z409">
        <v>5</v>
      </c>
      <c r="AA409">
        <v>0.44444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4</v>
      </c>
      <c r="AH409">
        <v>0</v>
      </c>
      <c r="AI409">
        <v>4</v>
      </c>
      <c r="AJ409">
        <v>4</v>
      </c>
      <c r="AK409">
        <v>0.5</v>
      </c>
      <c r="AL409">
        <v>8</v>
      </c>
      <c r="AM409">
        <v>4</v>
      </c>
      <c r="AN409">
        <v>24</v>
      </c>
      <c r="AO409">
        <v>7</v>
      </c>
      <c r="AP409">
        <v>3</v>
      </c>
      <c r="AQ409">
        <v>2</v>
      </c>
      <c r="AR409" t="s">
        <v>7221</v>
      </c>
      <c r="AS409" t="s">
        <v>7222</v>
      </c>
      <c r="AT409">
        <v>0.71399999999999997</v>
      </c>
      <c r="AU409" t="s">
        <v>65</v>
      </c>
      <c r="AV409">
        <v>27</v>
      </c>
      <c r="AW409">
        <v>9</v>
      </c>
      <c r="AX409" t="s">
        <v>7223</v>
      </c>
      <c r="AY409">
        <v>7.2020000000000001E-2</v>
      </c>
      <c r="AZ409">
        <v>-6.8500000000000002E-3</v>
      </c>
      <c r="BA409">
        <v>5.96E-3</v>
      </c>
      <c r="BB409">
        <v>-6.6E-4</v>
      </c>
      <c r="BC409">
        <v>8.269E-2</v>
      </c>
      <c r="BD409">
        <v>1</v>
      </c>
      <c r="BE409" t="s">
        <v>69</v>
      </c>
      <c r="BF409">
        <v>-1.56</v>
      </c>
      <c r="BG409">
        <v>-1.339</v>
      </c>
    </row>
    <row r="410" spans="1:59">
      <c r="A410">
        <v>0</v>
      </c>
      <c r="B410">
        <v>4</v>
      </c>
      <c r="C410">
        <v>0</v>
      </c>
      <c r="D410" t="s">
        <v>25022</v>
      </c>
      <c r="E410">
        <v>3610</v>
      </c>
      <c r="F410" t="s">
        <v>21206</v>
      </c>
      <c r="G410" t="s">
        <v>62</v>
      </c>
      <c r="H410">
        <v>3579682</v>
      </c>
      <c r="I410">
        <v>3580038</v>
      </c>
      <c r="J410" t="s">
        <v>116</v>
      </c>
      <c r="K410">
        <v>119</v>
      </c>
      <c r="L410" t="s">
        <v>108</v>
      </c>
      <c r="M410">
        <v>44</v>
      </c>
      <c r="N410" t="str">
        <f>HYPERLINK("Gene3610-zp_tree_all.dnd", "Gene3610-tree")</f>
        <v>Gene3610-tree</v>
      </c>
      <c r="O410">
        <v>4</v>
      </c>
      <c r="P410">
        <v>30</v>
      </c>
      <c r="Q410">
        <v>4</v>
      </c>
      <c r="R410">
        <v>8</v>
      </c>
      <c r="S410">
        <v>0.66666999999999998</v>
      </c>
      <c r="T410" t="s">
        <v>61</v>
      </c>
      <c r="U410" t="s">
        <v>9781</v>
      </c>
      <c r="V410">
        <v>3.0510000000000002</v>
      </c>
      <c r="W410" t="s">
        <v>65</v>
      </c>
      <c r="X410">
        <v>2</v>
      </c>
      <c r="Y410">
        <v>4</v>
      </c>
      <c r="Z410">
        <v>6</v>
      </c>
      <c r="AA410">
        <v>0.4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</v>
      </c>
      <c r="AH410">
        <v>0</v>
      </c>
      <c r="AI410">
        <v>4</v>
      </c>
      <c r="AJ410">
        <v>5</v>
      </c>
      <c r="AK410">
        <v>0.44444</v>
      </c>
      <c r="AL410">
        <v>10</v>
      </c>
      <c r="AM410">
        <v>7</v>
      </c>
      <c r="AN410">
        <v>17</v>
      </c>
      <c r="AO410">
        <v>9</v>
      </c>
      <c r="AP410">
        <v>16</v>
      </c>
      <c r="AQ410">
        <v>1</v>
      </c>
      <c r="AR410" t="s">
        <v>21207</v>
      </c>
      <c r="AS410" t="s">
        <v>21208</v>
      </c>
      <c r="AT410">
        <v>2.3740000000000001</v>
      </c>
      <c r="AU410" t="s">
        <v>267</v>
      </c>
      <c r="AV410">
        <v>33</v>
      </c>
      <c r="AW410">
        <v>10</v>
      </c>
      <c r="AX410" t="s">
        <v>21209</v>
      </c>
      <c r="AY410">
        <v>9.1609999999999997E-2</v>
      </c>
      <c r="AZ410">
        <v>-4.79E-3</v>
      </c>
      <c r="BA410">
        <v>7.3699999999999998E-3</v>
      </c>
      <c r="BB410">
        <v>-4.2999999999999999E-4</v>
      </c>
      <c r="BC410">
        <v>8.0490000000000006E-2</v>
      </c>
      <c r="BD410">
        <v>1</v>
      </c>
      <c r="BE410" t="s">
        <v>69</v>
      </c>
      <c r="BF410">
        <v>-1.125</v>
      </c>
      <c r="BG410">
        <v>-1.627</v>
      </c>
    </row>
    <row r="411" spans="1:59">
      <c r="A411">
        <v>0</v>
      </c>
      <c r="B411">
        <v>0</v>
      </c>
      <c r="C411">
        <v>0</v>
      </c>
      <c r="D411" t="s">
        <v>25022</v>
      </c>
      <c r="E411">
        <v>3002</v>
      </c>
      <c r="F411" t="s">
        <v>17337</v>
      </c>
      <c r="G411" t="s">
        <v>62</v>
      </c>
      <c r="H411">
        <v>2952227</v>
      </c>
      <c r="I411">
        <v>2952583</v>
      </c>
      <c r="J411" t="s">
        <v>17338</v>
      </c>
      <c r="K411">
        <v>119</v>
      </c>
      <c r="L411" t="s">
        <v>17339</v>
      </c>
      <c r="M411">
        <v>50</v>
      </c>
      <c r="N411" t="str">
        <f>HYPERLINK("Gene3002-zp_tree_all.dnd", "Gene3002-tree")</f>
        <v>Gene3002-tree</v>
      </c>
      <c r="O411">
        <v>7</v>
      </c>
      <c r="P411">
        <v>2</v>
      </c>
      <c r="Q411">
        <v>7</v>
      </c>
      <c r="R411">
        <v>2</v>
      </c>
      <c r="S411">
        <v>0.22222</v>
      </c>
      <c r="T411" t="s">
        <v>152</v>
      </c>
      <c r="U411" t="s">
        <v>81</v>
      </c>
      <c r="V411" t="s">
        <v>62</v>
      </c>
      <c r="W411" t="s">
        <v>62</v>
      </c>
      <c r="X411">
        <v>0</v>
      </c>
      <c r="Y411">
        <v>0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</v>
      </c>
      <c r="AK411">
        <v>0</v>
      </c>
      <c r="AL411">
        <v>6</v>
      </c>
      <c r="AM411">
        <v>3</v>
      </c>
      <c r="AN411">
        <v>17</v>
      </c>
      <c r="AO411">
        <v>2</v>
      </c>
      <c r="AP411">
        <v>3</v>
      </c>
      <c r="AQ411">
        <v>0</v>
      </c>
      <c r="AR411" t="s">
        <v>17340</v>
      </c>
      <c r="AS411" t="s">
        <v>193</v>
      </c>
      <c r="AT411">
        <v>0.64200000000000002</v>
      </c>
      <c r="AU411" t="s">
        <v>65</v>
      </c>
      <c r="AV411">
        <v>20</v>
      </c>
      <c r="AW411">
        <v>2</v>
      </c>
      <c r="AX411" t="s">
        <v>17341</v>
      </c>
      <c r="AY411">
        <v>6.9769999999999999E-2</v>
      </c>
      <c r="AZ411">
        <v>-1.099E-2</v>
      </c>
      <c r="BA411">
        <v>1.6199999999999999E-3</v>
      </c>
      <c r="BB411">
        <v>-3.3E-4</v>
      </c>
      <c r="BC411">
        <v>2.3259999999999999E-2</v>
      </c>
      <c r="BD411">
        <v>1</v>
      </c>
      <c r="BE411" t="s">
        <v>69</v>
      </c>
      <c r="BF411">
        <v>-2.2240000000000002</v>
      </c>
      <c r="BG411">
        <v>-3.4329999999999998</v>
      </c>
    </row>
    <row r="412" spans="1:59">
      <c r="A412">
        <v>0</v>
      </c>
      <c r="B412">
        <v>0</v>
      </c>
      <c r="C412">
        <v>0</v>
      </c>
      <c r="D412" t="s">
        <v>25022</v>
      </c>
      <c r="E412">
        <v>33</v>
      </c>
      <c r="F412" t="s">
        <v>309</v>
      </c>
      <c r="G412" t="s">
        <v>57</v>
      </c>
      <c r="H412">
        <v>42499</v>
      </c>
      <c r="I412">
        <v>42855</v>
      </c>
      <c r="J412" t="s">
        <v>310</v>
      </c>
      <c r="K412">
        <v>119</v>
      </c>
      <c r="L412" t="s">
        <v>59</v>
      </c>
      <c r="M412">
        <v>49</v>
      </c>
      <c r="N412" t="str">
        <f>HYPERLINK("Gene33-zp_tree_all.dnd", "Gene33-tree")</f>
        <v>Gene33-tree</v>
      </c>
      <c r="O412">
        <v>12</v>
      </c>
      <c r="P412">
        <v>1</v>
      </c>
      <c r="Q412">
        <v>12</v>
      </c>
      <c r="R412">
        <v>1</v>
      </c>
      <c r="S412">
        <v>7.6920000000000002E-2</v>
      </c>
      <c r="T412" t="s">
        <v>109</v>
      </c>
      <c r="U412" t="s">
        <v>175</v>
      </c>
      <c r="V412" t="s">
        <v>62</v>
      </c>
      <c r="W412" t="s">
        <v>62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6</v>
      </c>
      <c r="AM412">
        <v>6</v>
      </c>
      <c r="AN412">
        <v>7</v>
      </c>
      <c r="AO412">
        <v>1</v>
      </c>
      <c r="AP412">
        <v>7</v>
      </c>
      <c r="AQ412">
        <v>0</v>
      </c>
      <c r="AR412" t="s">
        <v>311</v>
      </c>
      <c r="AS412" t="s">
        <v>193</v>
      </c>
      <c r="AT412">
        <v>0.45800000000000002</v>
      </c>
      <c r="AU412" t="s">
        <v>65</v>
      </c>
      <c r="AV412">
        <v>14</v>
      </c>
      <c r="AW412">
        <v>1</v>
      </c>
      <c r="AX412" t="s">
        <v>312</v>
      </c>
      <c r="AY412">
        <v>4.3909999999999998E-2</v>
      </c>
      <c r="AZ412">
        <v>-2.1700000000000001E-3</v>
      </c>
      <c r="BA412">
        <v>5.4000000000000001E-4</v>
      </c>
      <c r="BB412">
        <v>-1.2999999999999999E-4</v>
      </c>
      <c r="BC412">
        <v>1.2290000000000001E-2</v>
      </c>
      <c r="BD412">
        <v>1</v>
      </c>
      <c r="BE412" t="s">
        <v>69</v>
      </c>
      <c r="BF412">
        <v>-0.80900000000000005</v>
      </c>
      <c r="BG412">
        <v>-0.13600000000000001</v>
      </c>
    </row>
    <row r="413" spans="1:59">
      <c r="A413">
        <v>0</v>
      </c>
      <c r="B413">
        <v>0</v>
      </c>
      <c r="C413">
        <v>0</v>
      </c>
      <c r="D413" t="s">
        <v>25022</v>
      </c>
      <c r="E413">
        <v>3637</v>
      </c>
      <c r="F413" t="s">
        <v>21360</v>
      </c>
      <c r="G413" t="s">
        <v>62</v>
      </c>
      <c r="H413">
        <v>3606765</v>
      </c>
      <c r="I413">
        <v>3607121</v>
      </c>
      <c r="J413" t="s">
        <v>21361</v>
      </c>
      <c r="K413">
        <v>119</v>
      </c>
      <c r="L413" t="s">
        <v>7661</v>
      </c>
      <c r="M413">
        <v>43</v>
      </c>
      <c r="N413" t="str">
        <f>HYPERLINK("Gene3637-zp_tree_all.dnd", "Gene3637-tree")</f>
        <v>Gene3637-tree</v>
      </c>
      <c r="O413">
        <v>8</v>
      </c>
      <c r="P413">
        <v>0</v>
      </c>
      <c r="Q413">
        <v>8</v>
      </c>
      <c r="R413">
        <v>0</v>
      </c>
      <c r="S413">
        <v>0</v>
      </c>
      <c r="T413" t="s">
        <v>136</v>
      </c>
      <c r="U413" t="s">
        <v>62</v>
      </c>
      <c r="V413" t="s">
        <v>62</v>
      </c>
      <c r="W413" t="s">
        <v>62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6</v>
      </c>
      <c r="AM413">
        <v>3</v>
      </c>
      <c r="AN413">
        <v>7</v>
      </c>
      <c r="AO413">
        <v>0</v>
      </c>
      <c r="AP413">
        <v>6</v>
      </c>
      <c r="AQ413">
        <v>0</v>
      </c>
      <c r="AR413" t="s">
        <v>193</v>
      </c>
      <c r="AS413" t="s">
        <v>193</v>
      </c>
      <c r="AT413">
        <v>0</v>
      </c>
      <c r="AU413" t="s">
        <v>65</v>
      </c>
      <c r="AV413">
        <v>13</v>
      </c>
      <c r="AW413">
        <v>0</v>
      </c>
      <c r="AX413" t="s">
        <v>21362</v>
      </c>
      <c r="AY413">
        <v>4.5879999999999997E-2</v>
      </c>
      <c r="AZ413">
        <v>-4.5599999999999998E-3</v>
      </c>
      <c r="BA413">
        <v>0</v>
      </c>
      <c r="BB413">
        <v>0</v>
      </c>
      <c r="BC413">
        <v>0</v>
      </c>
      <c r="BD413">
        <v>1</v>
      </c>
      <c r="BE413" t="s">
        <v>69</v>
      </c>
      <c r="BF413">
        <v>-0.92</v>
      </c>
      <c r="BG413">
        <v>0.217</v>
      </c>
    </row>
    <row r="414" spans="1:59">
      <c r="A414">
        <v>0</v>
      </c>
      <c r="B414">
        <v>5</v>
      </c>
      <c r="C414">
        <v>0</v>
      </c>
      <c r="D414" t="s">
        <v>25022</v>
      </c>
      <c r="E414">
        <v>1953</v>
      </c>
      <c r="F414" t="s">
        <v>12235</v>
      </c>
      <c r="G414" t="s">
        <v>62</v>
      </c>
      <c r="H414">
        <v>2049953</v>
      </c>
      <c r="I414">
        <v>2050312</v>
      </c>
      <c r="J414" t="s">
        <v>2302</v>
      </c>
      <c r="K414">
        <v>120</v>
      </c>
      <c r="L414" t="s">
        <v>12236</v>
      </c>
      <c r="M414">
        <v>34</v>
      </c>
      <c r="N414" t="str">
        <f>HYPERLINK("Gene1953-zp_tree_all.dnd", "Gene1953-tree")</f>
        <v>Gene1953-tree</v>
      </c>
      <c r="O414">
        <v>2</v>
      </c>
      <c r="P414">
        <v>7</v>
      </c>
      <c r="Q414">
        <v>2</v>
      </c>
      <c r="R414">
        <v>7</v>
      </c>
      <c r="S414">
        <v>0.77778000000000003</v>
      </c>
      <c r="T414" t="s">
        <v>81</v>
      </c>
      <c r="U414" t="s">
        <v>152</v>
      </c>
      <c r="V414" t="s">
        <v>62</v>
      </c>
      <c r="W414" t="s">
        <v>62</v>
      </c>
      <c r="X414">
        <v>2</v>
      </c>
      <c r="Y414">
        <v>5</v>
      </c>
      <c r="Z414">
        <v>14</v>
      </c>
      <c r="AA414">
        <v>0.26316000000000001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</v>
      </c>
      <c r="AH414">
        <v>0</v>
      </c>
      <c r="AI414">
        <v>2</v>
      </c>
      <c r="AJ414">
        <v>9</v>
      </c>
      <c r="AK414">
        <v>0.18182000000000001</v>
      </c>
      <c r="AL414">
        <v>7</v>
      </c>
      <c r="AM414">
        <v>6</v>
      </c>
      <c r="AN414">
        <v>5</v>
      </c>
      <c r="AO414">
        <v>11</v>
      </c>
      <c r="AP414">
        <v>1</v>
      </c>
      <c r="AQ414">
        <v>10</v>
      </c>
      <c r="AR414" t="s">
        <v>12237</v>
      </c>
      <c r="AS414" t="s">
        <v>12238</v>
      </c>
      <c r="AT414">
        <v>0.34899999999999998</v>
      </c>
      <c r="AU414" t="s">
        <v>65</v>
      </c>
      <c r="AV414">
        <v>6</v>
      </c>
      <c r="AW414">
        <v>21</v>
      </c>
      <c r="AX414" t="s">
        <v>12239</v>
      </c>
      <c r="AY414">
        <v>2.0930000000000001E-2</v>
      </c>
      <c r="AZ414">
        <v>-2.4399999999999999E-3</v>
      </c>
      <c r="BA414">
        <v>2.332E-2</v>
      </c>
      <c r="BB414">
        <v>-2.0500000000000002E-3</v>
      </c>
      <c r="BC414">
        <v>1.1141799999999999</v>
      </c>
      <c r="BD414">
        <v>0.45500000000000002</v>
      </c>
      <c r="BE414" t="s">
        <v>635</v>
      </c>
      <c r="BF414">
        <v>-1.016</v>
      </c>
      <c r="BG414">
        <v>-1.5449999999999999</v>
      </c>
    </row>
    <row r="415" spans="1:59">
      <c r="A415">
        <v>0</v>
      </c>
      <c r="B415">
        <v>0</v>
      </c>
      <c r="C415">
        <v>0</v>
      </c>
      <c r="D415" t="s">
        <v>25022</v>
      </c>
      <c r="E415">
        <v>132</v>
      </c>
      <c r="F415" t="s">
        <v>956</v>
      </c>
      <c r="G415" t="s">
        <v>57</v>
      </c>
      <c r="H415">
        <v>142974</v>
      </c>
      <c r="I415">
        <v>143333</v>
      </c>
      <c r="J415" t="s">
        <v>957</v>
      </c>
      <c r="K415">
        <v>120</v>
      </c>
      <c r="L415" t="s">
        <v>59</v>
      </c>
      <c r="M415">
        <v>49</v>
      </c>
      <c r="N415" t="str">
        <f>HYPERLINK("Gene132-zp_tree_all.dnd", "Gene132-tree")</f>
        <v>Gene132-tree</v>
      </c>
      <c r="O415">
        <v>3</v>
      </c>
      <c r="P415">
        <v>3</v>
      </c>
      <c r="Q415">
        <v>3</v>
      </c>
      <c r="R415">
        <v>3</v>
      </c>
      <c r="S415">
        <v>0.5</v>
      </c>
      <c r="T415" t="s">
        <v>324</v>
      </c>
      <c r="U415" t="s">
        <v>324</v>
      </c>
      <c r="V415" t="s">
        <v>62</v>
      </c>
      <c r="W415" t="s">
        <v>62</v>
      </c>
      <c r="X415">
        <v>0</v>
      </c>
      <c r="Y415">
        <v>0</v>
      </c>
      <c r="Z415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3</v>
      </c>
      <c r="AK415">
        <v>0</v>
      </c>
      <c r="AL415">
        <v>5</v>
      </c>
      <c r="AM415">
        <v>2</v>
      </c>
      <c r="AN415">
        <v>2</v>
      </c>
      <c r="AO415">
        <v>3</v>
      </c>
      <c r="AP415">
        <v>2</v>
      </c>
      <c r="AQ415">
        <v>1</v>
      </c>
      <c r="AR415" t="s">
        <v>958</v>
      </c>
      <c r="AS415" t="s">
        <v>959</v>
      </c>
      <c r="AT415">
        <v>0.66900000000000004</v>
      </c>
      <c r="AU415" t="s">
        <v>65</v>
      </c>
      <c r="AV415">
        <v>4</v>
      </c>
      <c r="AW415">
        <v>4</v>
      </c>
      <c r="AX415" t="s">
        <v>960</v>
      </c>
      <c r="AY415">
        <v>1.9640000000000001E-2</v>
      </c>
      <c r="AZ415">
        <v>-2.15E-3</v>
      </c>
      <c r="BA415">
        <v>5.7000000000000002E-3</v>
      </c>
      <c r="BB415">
        <v>-9.2000000000000003E-4</v>
      </c>
      <c r="BC415">
        <v>0.29044999999999999</v>
      </c>
      <c r="BD415">
        <v>0.87</v>
      </c>
      <c r="BE415" t="s">
        <v>635</v>
      </c>
      <c r="BF415">
        <v>-1.7789999999999999</v>
      </c>
      <c r="BG415">
        <v>-0.83</v>
      </c>
    </row>
    <row r="416" spans="1:59">
      <c r="A416">
        <v>0</v>
      </c>
      <c r="B416">
        <v>0</v>
      </c>
      <c r="C416">
        <v>0</v>
      </c>
      <c r="D416" t="s">
        <v>25022</v>
      </c>
      <c r="E416">
        <v>349</v>
      </c>
      <c r="F416" t="s">
        <v>2381</v>
      </c>
      <c r="G416" t="s">
        <v>57</v>
      </c>
      <c r="H416">
        <v>376032</v>
      </c>
      <c r="I416">
        <v>376391</v>
      </c>
      <c r="J416" t="s">
        <v>2382</v>
      </c>
      <c r="K416">
        <v>120</v>
      </c>
      <c r="L416" t="s">
        <v>698</v>
      </c>
      <c r="M416">
        <v>47</v>
      </c>
      <c r="N416" t="str">
        <f>HYPERLINK("Gene349-zp_tree_all.dnd", "Gene349-tree")</f>
        <v>Gene349-tree</v>
      </c>
      <c r="O416">
        <v>10</v>
      </c>
      <c r="P416">
        <v>3</v>
      </c>
      <c r="Q416">
        <v>10</v>
      </c>
      <c r="R416">
        <v>3</v>
      </c>
      <c r="S416">
        <v>0.23077</v>
      </c>
      <c r="T416" t="s">
        <v>117</v>
      </c>
      <c r="U416" t="s">
        <v>324</v>
      </c>
      <c r="V416" t="s">
        <v>62</v>
      </c>
      <c r="W416" t="s">
        <v>62</v>
      </c>
      <c r="X416">
        <v>0</v>
      </c>
      <c r="Y416">
        <v>0</v>
      </c>
      <c r="Z416">
        <v>8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4</v>
      </c>
      <c r="AK416">
        <v>0</v>
      </c>
      <c r="AL416">
        <v>8</v>
      </c>
      <c r="AM416">
        <v>7</v>
      </c>
      <c r="AN416">
        <v>13</v>
      </c>
      <c r="AO416">
        <v>3</v>
      </c>
      <c r="AP416">
        <v>16</v>
      </c>
      <c r="AQ416">
        <v>5</v>
      </c>
      <c r="AR416" t="s">
        <v>2383</v>
      </c>
      <c r="AS416" t="s">
        <v>2384</v>
      </c>
      <c r="AT416">
        <v>0.17699999999999999</v>
      </c>
      <c r="AU416" t="s">
        <v>65</v>
      </c>
      <c r="AV416">
        <v>29</v>
      </c>
      <c r="AW416">
        <v>8</v>
      </c>
      <c r="AX416" t="s">
        <v>2385</v>
      </c>
      <c r="AY416">
        <v>9.5920000000000005E-2</v>
      </c>
      <c r="AZ416">
        <v>-7.4400000000000004E-3</v>
      </c>
      <c r="BA416">
        <v>7.6800000000000002E-3</v>
      </c>
      <c r="BB416">
        <v>-8.4999999999999995E-4</v>
      </c>
      <c r="BC416">
        <v>8.0070000000000002E-2</v>
      </c>
      <c r="BD416">
        <v>1</v>
      </c>
      <c r="BE416" t="s">
        <v>69</v>
      </c>
      <c r="BF416">
        <v>-1.619</v>
      </c>
      <c r="BG416">
        <v>-1.4870000000000001</v>
      </c>
    </row>
    <row r="417" spans="1:59">
      <c r="A417">
        <v>0</v>
      </c>
      <c r="B417">
        <v>2</v>
      </c>
      <c r="C417">
        <v>0</v>
      </c>
      <c r="D417" t="s">
        <v>25022</v>
      </c>
      <c r="E417">
        <v>1860</v>
      </c>
      <c r="F417" t="s">
        <v>11652</v>
      </c>
      <c r="G417" t="s">
        <v>57</v>
      </c>
      <c r="H417">
        <v>1924030</v>
      </c>
      <c r="I417">
        <v>1924389</v>
      </c>
      <c r="J417" t="s">
        <v>11653</v>
      </c>
      <c r="K417">
        <v>120</v>
      </c>
      <c r="L417" t="s">
        <v>409</v>
      </c>
      <c r="M417">
        <v>45</v>
      </c>
      <c r="N417" t="str">
        <f>HYPERLINK("Gene1860-zp_tree_all.dnd", "Gene1860-tree")</f>
        <v>Gene1860-tree</v>
      </c>
      <c r="O417">
        <v>4</v>
      </c>
      <c r="P417">
        <v>5</v>
      </c>
      <c r="Q417">
        <v>4</v>
      </c>
      <c r="R417">
        <v>5</v>
      </c>
      <c r="S417">
        <v>0.55556000000000005</v>
      </c>
      <c r="T417" t="s">
        <v>61</v>
      </c>
      <c r="U417" t="s">
        <v>199</v>
      </c>
      <c r="V417" t="s">
        <v>62</v>
      </c>
      <c r="W417" t="s">
        <v>62</v>
      </c>
      <c r="X417">
        <v>1</v>
      </c>
      <c r="Y417">
        <v>2</v>
      </c>
      <c r="Z417">
        <v>4</v>
      </c>
      <c r="AA417">
        <v>0.33333000000000002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</v>
      </c>
      <c r="AH417">
        <v>0</v>
      </c>
      <c r="AI417">
        <v>2</v>
      </c>
      <c r="AJ417">
        <v>4</v>
      </c>
      <c r="AK417">
        <v>0.33333000000000002</v>
      </c>
      <c r="AL417">
        <v>7</v>
      </c>
      <c r="AM417">
        <v>2</v>
      </c>
      <c r="AN417">
        <v>21</v>
      </c>
      <c r="AO417">
        <v>6</v>
      </c>
      <c r="AP417">
        <v>2</v>
      </c>
      <c r="AQ417">
        <v>0</v>
      </c>
      <c r="AR417" t="s">
        <v>11654</v>
      </c>
      <c r="AS417" t="s">
        <v>193</v>
      </c>
      <c r="AT417">
        <v>0.85799999999999998</v>
      </c>
      <c r="AU417" t="s">
        <v>65</v>
      </c>
      <c r="AV417">
        <v>23</v>
      </c>
      <c r="AW417">
        <v>6</v>
      </c>
      <c r="AX417" t="s">
        <v>11655</v>
      </c>
      <c r="AY417">
        <v>7.6079999999999995E-2</v>
      </c>
      <c r="AZ417">
        <v>-1.3559999999999999E-2</v>
      </c>
      <c r="BA417">
        <v>4.6299999999999996E-3</v>
      </c>
      <c r="BB417">
        <v>-5.5000000000000003E-4</v>
      </c>
      <c r="BC417">
        <v>6.0879999999999997E-2</v>
      </c>
      <c r="BD417">
        <v>1</v>
      </c>
      <c r="BE417" t="s">
        <v>69</v>
      </c>
      <c r="BF417">
        <v>-1.9410000000000001</v>
      </c>
      <c r="BG417">
        <v>-4.0410000000000004</v>
      </c>
    </row>
    <row r="418" spans="1:59">
      <c r="A418">
        <v>0</v>
      </c>
      <c r="B418">
        <v>0</v>
      </c>
      <c r="C418">
        <v>0</v>
      </c>
      <c r="D418" t="s">
        <v>25022</v>
      </c>
      <c r="E418">
        <v>3334</v>
      </c>
      <c r="F418" t="s">
        <v>19472</v>
      </c>
      <c r="G418" t="s">
        <v>62</v>
      </c>
      <c r="H418">
        <v>3305602</v>
      </c>
      <c r="I418">
        <v>3305961</v>
      </c>
      <c r="J418" t="s">
        <v>19473</v>
      </c>
      <c r="K418">
        <v>120</v>
      </c>
      <c r="L418" t="s">
        <v>11324</v>
      </c>
      <c r="M418">
        <v>46</v>
      </c>
      <c r="N418" t="str">
        <f>HYPERLINK("Gene3334-zp_tree_all.dnd", "Gene3334-tree")</f>
        <v>Gene3334-tree</v>
      </c>
      <c r="O418">
        <v>7</v>
      </c>
      <c r="P418">
        <v>2</v>
      </c>
      <c r="Q418">
        <v>7</v>
      </c>
      <c r="R418">
        <v>2</v>
      </c>
      <c r="S418">
        <v>0.22222</v>
      </c>
      <c r="T418" t="s">
        <v>152</v>
      </c>
      <c r="U418" t="s">
        <v>81</v>
      </c>
      <c r="V418" t="s">
        <v>62</v>
      </c>
      <c r="W418" t="s">
        <v>62</v>
      </c>
      <c r="X418">
        <v>0</v>
      </c>
      <c r="Y418">
        <v>0</v>
      </c>
      <c r="Z418">
        <v>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</v>
      </c>
      <c r="AK418">
        <v>0</v>
      </c>
      <c r="AL418">
        <v>8</v>
      </c>
      <c r="AM418">
        <v>2</v>
      </c>
      <c r="AN418">
        <v>20</v>
      </c>
      <c r="AO418">
        <v>4</v>
      </c>
      <c r="AP418">
        <v>7</v>
      </c>
      <c r="AQ418">
        <v>2</v>
      </c>
      <c r="AR418" t="s">
        <v>19474</v>
      </c>
      <c r="AS418" t="s">
        <v>19475</v>
      </c>
      <c r="AT418">
        <v>0.20200000000000001</v>
      </c>
      <c r="AU418" t="s">
        <v>65</v>
      </c>
      <c r="AV418">
        <v>27</v>
      </c>
      <c r="AW418">
        <v>6</v>
      </c>
      <c r="AX418" t="s">
        <v>19476</v>
      </c>
      <c r="AY418">
        <v>0.10574</v>
      </c>
      <c r="AZ418">
        <v>-1.5730000000000001E-2</v>
      </c>
      <c r="BA418">
        <v>5.96E-3</v>
      </c>
      <c r="BB418">
        <v>-1.17E-3</v>
      </c>
      <c r="BC418">
        <v>5.6329999999999998E-2</v>
      </c>
      <c r="BD418">
        <v>1</v>
      </c>
      <c r="BE418" t="s">
        <v>69</v>
      </c>
      <c r="BF418">
        <v>-2.4169999999999998</v>
      </c>
      <c r="BG418">
        <v>-3.3420000000000001</v>
      </c>
    </row>
    <row r="419" spans="1:59">
      <c r="A419">
        <v>0</v>
      </c>
      <c r="B419">
        <v>0</v>
      </c>
      <c r="C419">
        <v>0</v>
      </c>
      <c r="D419" t="s">
        <v>25022</v>
      </c>
      <c r="E419">
        <v>1644</v>
      </c>
      <c r="F419" t="s">
        <v>10293</v>
      </c>
      <c r="G419" t="s">
        <v>57</v>
      </c>
      <c r="H419">
        <v>1656064</v>
      </c>
      <c r="I419">
        <v>1656423</v>
      </c>
      <c r="J419" t="s">
        <v>10294</v>
      </c>
      <c r="K419">
        <v>120</v>
      </c>
      <c r="L419" t="s">
        <v>59</v>
      </c>
      <c r="M419">
        <v>49</v>
      </c>
      <c r="N419" t="str">
        <f>HYPERLINK("Gene1644-zp_tree_all.dnd", "Gene1644-tree")</f>
        <v>Gene1644-tree</v>
      </c>
      <c r="O419">
        <v>9</v>
      </c>
      <c r="P419">
        <v>0</v>
      </c>
      <c r="Q419">
        <v>9</v>
      </c>
      <c r="R419">
        <v>0</v>
      </c>
      <c r="S419">
        <v>0</v>
      </c>
      <c r="T419" t="s">
        <v>135</v>
      </c>
      <c r="U419" t="s">
        <v>62</v>
      </c>
      <c r="V419" t="s">
        <v>62</v>
      </c>
      <c r="W419" t="s">
        <v>62</v>
      </c>
      <c r="X419">
        <v>0</v>
      </c>
      <c r="Y419">
        <v>0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6</v>
      </c>
      <c r="AM419">
        <v>4</v>
      </c>
      <c r="AN419">
        <v>9</v>
      </c>
      <c r="AO419">
        <v>0</v>
      </c>
      <c r="AP419">
        <v>10</v>
      </c>
      <c r="AQ419">
        <v>2</v>
      </c>
      <c r="AR419" t="s">
        <v>193</v>
      </c>
      <c r="AS419" t="s">
        <v>10295</v>
      </c>
      <c r="AT419">
        <v>1.6579999999999999</v>
      </c>
      <c r="AU419" t="s">
        <v>65</v>
      </c>
      <c r="AV419">
        <v>19</v>
      </c>
      <c r="AW419">
        <v>2</v>
      </c>
      <c r="AX419" t="s">
        <v>10296</v>
      </c>
      <c r="AY419">
        <v>7.8049999999999994E-2</v>
      </c>
      <c r="AZ419">
        <v>-6.6100000000000004E-3</v>
      </c>
      <c r="BA419">
        <v>3.4499999999999999E-3</v>
      </c>
      <c r="BB419">
        <v>-4.6999999999999999E-4</v>
      </c>
      <c r="BC419">
        <v>4.4179999999999997E-2</v>
      </c>
      <c r="BD419">
        <v>1</v>
      </c>
      <c r="BE419" t="s">
        <v>69</v>
      </c>
      <c r="BF419">
        <v>-1.218</v>
      </c>
      <c r="BG419">
        <v>0.51700000000000002</v>
      </c>
    </row>
    <row r="420" spans="1:59">
      <c r="A420">
        <v>0</v>
      </c>
      <c r="B420">
        <v>0</v>
      </c>
      <c r="C420">
        <v>2</v>
      </c>
      <c r="D420" t="s">
        <v>25022</v>
      </c>
      <c r="E420">
        <v>78</v>
      </c>
      <c r="F420" t="s">
        <v>621</v>
      </c>
      <c r="G420" t="s">
        <v>57</v>
      </c>
      <c r="H420">
        <v>86587</v>
      </c>
      <c r="I420">
        <v>86946</v>
      </c>
      <c r="J420" t="s">
        <v>622</v>
      </c>
      <c r="K420">
        <v>120</v>
      </c>
      <c r="L420" t="s">
        <v>108</v>
      </c>
      <c r="M420">
        <v>44</v>
      </c>
      <c r="N420" t="str">
        <f>HYPERLINK("Gene78-zp_tree_all.dnd", "Gene78-tree")</f>
        <v>Gene78-tree</v>
      </c>
      <c r="O420">
        <v>9</v>
      </c>
      <c r="P420">
        <v>2</v>
      </c>
      <c r="Q420">
        <v>9</v>
      </c>
      <c r="R420">
        <v>2</v>
      </c>
      <c r="S420">
        <v>0.18182000000000001</v>
      </c>
      <c r="T420" t="s">
        <v>135</v>
      </c>
      <c r="U420" t="s">
        <v>81</v>
      </c>
      <c r="V420" t="s">
        <v>62</v>
      </c>
      <c r="W420" t="s">
        <v>62</v>
      </c>
      <c r="X420">
        <v>1</v>
      </c>
      <c r="Y420">
        <v>2</v>
      </c>
      <c r="Z420">
        <v>2</v>
      </c>
      <c r="AA420">
        <v>0.5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</v>
      </c>
      <c r="AI420">
        <v>2</v>
      </c>
      <c r="AJ420">
        <v>2</v>
      </c>
      <c r="AK420">
        <v>0.5</v>
      </c>
      <c r="AL420">
        <v>8</v>
      </c>
      <c r="AM420">
        <v>5</v>
      </c>
      <c r="AN420">
        <v>15</v>
      </c>
      <c r="AO420">
        <v>4</v>
      </c>
      <c r="AP420">
        <v>6</v>
      </c>
      <c r="AQ420">
        <v>0</v>
      </c>
      <c r="AR420" t="s">
        <v>623</v>
      </c>
      <c r="AS420" t="s">
        <v>193</v>
      </c>
      <c r="AT420">
        <v>0.89</v>
      </c>
      <c r="AU420" t="s">
        <v>65</v>
      </c>
      <c r="AV420">
        <v>21</v>
      </c>
      <c r="AW420">
        <v>4</v>
      </c>
      <c r="AX420" t="s">
        <v>624</v>
      </c>
      <c r="AY420">
        <v>5.9560000000000002E-2</v>
      </c>
      <c r="AZ420">
        <v>-2.9199999999999999E-3</v>
      </c>
      <c r="BA420">
        <v>2.6199999999999999E-3</v>
      </c>
      <c r="BB420">
        <v>-5.0000000000000001E-4</v>
      </c>
      <c r="BC420">
        <v>4.3999999999999997E-2</v>
      </c>
      <c r="BD420">
        <v>1</v>
      </c>
      <c r="BE420" t="s">
        <v>69</v>
      </c>
      <c r="BF420">
        <v>-3.1E-2</v>
      </c>
      <c r="BG420">
        <v>0.32200000000000001</v>
      </c>
    </row>
    <row r="421" spans="1:59">
      <c r="A421">
        <v>0</v>
      </c>
      <c r="B421">
        <v>0</v>
      </c>
      <c r="C421">
        <v>0</v>
      </c>
      <c r="D421" t="s">
        <v>25022</v>
      </c>
      <c r="E421">
        <v>2621</v>
      </c>
      <c r="F421" t="s">
        <v>15354</v>
      </c>
      <c r="G421" t="s">
        <v>62</v>
      </c>
      <c r="H421">
        <v>2599526</v>
      </c>
      <c r="I421">
        <v>2599885</v>
      </c>
      <c r="J421" t="s">
        <v>15355</v>
      </c>
      <c r="K421">
        <v>120</v>
      </c>
      <c r="L421" t="s">
        <v>3143</v>
      </c>
      <c r="M421">
        <v>41</v>
      </c>
      <c r="N421" t="str">
        <f>HYPERLINK("Gene2621-zp_tree_all.dnd", "Gene2621-tree")</f>
        <v>Gene2621-tree</v>
      </c>
      <c r="O421">
        <v>7</v>
      </c>
      <c r="P421">
        <v>1</v>
      </c>
      <c r="Q421">
        <v>7</v>
      </c>
      <c r="R421">
        <v>1</v>
      </c>
      <c r="S421">
        <v>0.125</v>
      </c>
      <c r="T421" t="s">
        <v>152</v>
      </c>
      <c r="U421" t="s">
        <v>175</v>
      </c>
      <c r="V421" t="s">
        <v>62</v>
      </c>
      <c r="W421" t="s">
        <v>62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5</v>
      </c>
      <c r="AM421">
        <v>3</v>
      </c>
      <c r="AN421">
        <v>7</v>
      </c>
      <c r="AO421">
        <v>1</v>
      </c>
      <c r="AP421">
        <v>3</v>
      </c>
      <c r="AQ421">
        <v>0</v>
      </c>
      <c r="AR421" t="s">
        <v>15356</v>
      </c>
      <c r="AS421" t="s">
        <v>193</v>
      </c>
      <c r="AT421">
        <v>0.51500000000000001</v>
      </c>
      <c r="AU421" t="s">
        <v>65</v>
      </c>
      <c r="AV421">
        <v>10</v>
      </c>
      <c r="AW421">
        <v>1</v>
      </c>
      <c r="AX421" t="s">
        <v>15357</v>
      </c>
      <c r="AY421">
        <v>4.1829999999999999E-2</v>
      </c>
      <c r="AZ421">
        <v>-3.79E-3</v>
      </c>
      <c r="BA421">
        <v>8.9999999999999998E-4</v>
      </c>
      <c r="BB421">
        <v>-2.7999999999999998E-4</v>
      </c>
      <c r="BC421">
        <v>2.1590000000000002E-2</v>
      </c>
      <c r="BD421">
        <v>1</v>
      </c>
      <c r="BE421" t="s">
        <v>69</v>
      </c>
      <c r="BF421">
        <v>-0.64200000000000002</v>
      </c>
      <c r="BG421">
        <v>-0.19900000000000001</v>
      </c>
    </row>
    <row r="422" spans="1:59">
      <c r="A422">
        <v>0</v>
      </c>
      <c r="B422">
        <v>0</v>
      </c>
      <c r="C422">
        <v>0</v>
      </c>
      <c r="D422" t="s">
        <v>25022</v>
      </c>
      <c r="E422">
        <v>145</v>
      </c>
      <c r="F422" t="s">
        <v>1028</v>
      </c>
      <c r="G422" t="s">
        <v>57</v>
      </c>
      <c r="H422">
        <v>149953</v>
      </c>
      <c r="I422">
        <v>150312</v>
      </c>
      <c r="J422" t="s">
        <v>1029</v>
      </c>
      <c r="K422">
        <v>120</v>
      </c>
      <c r="L422" t="s">
        <v>59</v>
      </c>
      <c r="M422">
        <v>49</v>
      </c>
      <c r="N422" t="str">
        <f>HYPERLINK("Gene145-zp_tree_all.dnd", "Gene145-tree")</f>
        <v>Gene145-tree</v>
      </c>
      <c r="O422">
        <v>26</v>
      </c>
      <c r="P422">
        <v>0</v>
      </c>
      <c r="Q422">
        <v>6</v>
      </c>
      <c r="R422">
        <v>0</v>
      </c>
      <c r="S422">
        <v>0</v>
      </c>
      <c r="T422" t="s">
        <v>1030</v>
      </c>
      <c r="U422" t="s">
        <v>62</v>
      </c>
      <c r="V422" t="s">
        <v>62</v>
      </c>
      <c r="W422" t="s">
        <v>62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3</v>
      </c>
      <c r="AM422">
        <v>2</v>
      </c>
      <c r="AN422">
        <v>3</v>
      </c>
      <c r="AO422">
        <v>0</v>
      </c>
      <c r="AP422">
        <v>2</v>
      </c>
      <c r="AQ422">
        <v>0</v>
      </c>
      <c r="AR422" t="s">
        <v>193</v>
      </c>
      <c r="AS422" t="s">
        <v>193</v>
      </c>
      <c r="AT422">
        <v>0</v>
      </c>
      <c r="AU422" t="s">
        <v>65</v>
      </c>
      <c r="AV422">
        <v>5</v>
      </c>
      <c r="AW422">
        <v>0</v>
      </c>
      <c r="AX422" t="s">
        <v>1031</v>
      </c>
      <c r="AY422">
        <v>2.4510000000000001E-2</v>
      </c>
      <c r="AZ422">
        <v>-2.8900000000000002E-3</v>
      </c>
      <c r="BA422">
        <v>0</v>
      </c>
      <c r="BB422">
        <v>0</v>
      </c>
      <c r="BC422">
        <v>0</v>
      </c>
      <c r="BD422">
        <v>1</v>
      </c>
      <c r="BE422" t="s">
        <v>69</v>
      </c>
      <c r="BF422">
        <v>0.68500000000000005</v>
      </c>
      <c r="BG422">
        <v>0.13900000000000001</v>
      </c>
    </row>
    <row r="423" spans="1:59">
      <c r="A423">
        <v>0</v>
      </c>
      <c r="B423">
        <v>0</v>
      </c>
      <c r="C423">
        <v>0</v>
      </c>
      <c r="D423" t="s">
        <v>25022</v>
      </c>
      <c r="E423">
        <v>1695</v>
      </c>
      <c r="F423" t="s">
        <v>10627</v>
      </c>
      <c r="G423" t="s">
        <v>57</v>
      </c>
      <c r="H423">
        <v>1703834</v>
      </c>
      <c r="I423">
        <v>1704193</v>
      </c>
      <c r="J423" t="s">
        <v>10628</v>
      </c>
      <c r="K423">
        <v>120</v>
      </c>
      <c r="L423" t="s">
        <v>108</v>
      </c>
      <c r="M423">
        <v>44</v>
      </c>
      <c r="N423" t="str">
        <f>HYPERLINK("Gene1695-zp_tree_all.dnd", "Gene1695-tree")</f>
        <v>Gene1695-tree</v>
      </c>
      <c r="O423">
        <v>10</v>
      </c>
      <c r="P423">
        <v>0</v>
      </c>
      <c r="Q423">
        <v>10</v>
      </c>
      <c r="R423">
        <v>0</v>
      </c>
      <c r="S423">
        <v>0</v>
      </c>
      <c r="T423" t="s">
        <v>117</v>
      </c>
      <c r="U423" t="s">
        <v>62</v>
      </c>
      <c r="V423" t="s">
        <v>62</v>
      </c>
      <c r="W423" t="s">
        <v>62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5</v>
      </c>
      <c r="AM423">
        <v>4</v>
      </c>
      <c r="AN423">
        <v>8</v>
      </c>
      <c r="AO423">
        <v>0</v>
      </c>
      <c r="AP423">
        <v>4</v>
      </c>
      <c r="AQ423">
        <v>0</v>
      </c>
      <c r="AR423" t="s">
        <v>193</v>
      </c>
      <c r="AS423" t="s">
        <v>193</v>
      </c>
      <c r="AT423">
        <v>0</v>
      </c>
      <c r="AU423" t="s">
        <v>65</v>
      </c>
      <c r="AV423">
        <v>12</v>
      </c>
      <c r="AW423">
        <v>0</v>
      </c>
      <c r="AX423" t="s">
        <v>10629</v>
      </c>
      <c r="AY423">
        <v>4.3839999999999997E-2</v>
      </c>
      <c r="AZ423">
        <v>-2.8900000000000002E-3</v>
      </c>
      <c r="BA423">
        <v>0</v>
      </c>
      <c r="BB423">
        <v>0</v>
      </c>
      <c r="BC423">
        <v>0</v>
      </c>
      <c r="BD423">
        <v>1</v>
      </c>
      <c r="BE423" t="s">
        <v>69</v>
      </c>
      <c r="BF423">
        <v>-0.96799999999999997</v>
      </c>
      <c r="BG423">
        <v>-0.98099999999999998</v>
      </c>
    </row>
    <row r="424" spans="1:59">
      <c r="A424">
        <v>0</v>
      </c>
      <c r="B424">
        <v>2</v>
      </c>
      <c r="C424">
        <v>0</v>
      </c>
      <c r="D424" t="s">
        <v>25022</v>
      </c>
      <c r="E424">
        <v>1847</v>
      </c>
      <c r="F424" t="s">
        <v>11572</v>
      </c>
      <c r="G424" t="s">
        <v>57</v>
      </c>
      <c r="H424">
        <v>1914630</v>
      </c>
      <c r="I424">
        <v>1914992</v>
      </c>
      <c r="J424" t="s">
        <v>11573</v>
      </c>
      <c r="K424">
        <v>121</v>
      </c>
      <c r="L424" t="s">
        <v>5958</v>
      </c>
      <c r="M424">
        <v>35</v>
      </c>
      <c r="N424" t="str">
        <f>HYPERLINK("Gene1847-zp_tree_all.dnd", "Gene1847-tree")</f>
        <v>Gene1847-tree</v>
      </c>
      <c r="O424">
        <v>2</v>
      </c>
      <c r="P424">
        <v>4</v>
      </c>
      <c r="Q424">
        <v>2</v>
      </c>
      <c r="R424">
        <v>4</v>
      </c>
      <c r="S424">
        <v>0.66666999999999998</v>
      </c>
      <c r="T424" t="s">
        <v>81</v>
      </c>
      <c r="U424" t="s">
        <v>61</v>
      </c>
      <c r="V424" t="s">
        <v>62</v>
      </c>
      <c r="W424" t="s">
        <v>62</v>
      </c>
      <c r="X424">
        <v>1</v>
      </c>
      <c r="Y424">
        <v>2</v>
      </c>
      <c r="Z424">
        <v>8</v>
      </c>
      <c r="AA424">
        <v>0.2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</v>
      </c>
      <c r="AH424">
        <v>0</v>
      </c>
      <c r="AI424">
        <v>2</v>
      </c>
      <c r="AJ424">
        <v>8</v>
      </c>
      <c r="AK424">
        <v>0.2</v>
      </c>
      <c r="AL424">
        <v>4</v>
      </c>
      <c r="AM424">
        <v>2</v>
      </c>
      <c r="AN424">
        <v>6</v>
      </c>
      <c r="AO424">
        <v>11</v>
      </c>
      <c r="AP424">
        <v>3</v>
      </c>
      <c r="AQ424">
        <v>0</v>
      </c>
      <c r="AR424" t="s">
        <v>11574</v>
      </c>
      <c r="AS424" t="s">
        <v>193</v>
      </c>
      <c r="AT424">
        <v>1.38</v>
      </c>
      <c r="AU424" t="s">
        <v>65</v>
      </c>
      <c r="AV424">
        <v>9</v>
      </c>
      <c r="AW424">
        <v>11</v>
      </c>
      <c r="AX424" t="s">
        <v>11575</v>
      </c>
      <c r="AY424">
        <v>5.1799999999999999E-2</v>
      </c>
      <c r="AZ424">
        <v>-7.8300000000000002E-3</v>
      </c>
      <c r="BA424">
        <v>1.2840000000000001E-2</v>
      </c>
      <c r="BB424">
        <v>-2.0899999999999998E-3</v>
      </c>
      <c r="BC424">
        <v>0.24781</v>
      </c>
      <c r="BD424">
        <v>1</v>
      </c>
      <c r="BE424" t="s">
        <v>69</v>
      </c>
      <c r="BF424">
        <v>-1.002</v>
      </c>
      <c r="BG424">
        <v>-1.8029999999999999</v>
      </c>
    </row>
    <row r="425" spans="1:59">
      <c r="A425">
        <v>0</v>
      </c>
      <c r="B425">
        <v>2</v>
      </c>
      <c r="C425">
        <v>0</v>
      </c>
      <c r="D425" t="s">
        <v>25022</v>
      </c>
      <c r="E425">
        <v>1871</v>
      </c>
      <c r="F425" t="s">
        <v>11712</v>
      </c>
      <c r="G425" t="s">
        <v>57</v>
      </c>
      <c r="H425">
        <v>1930834</v>
      </c>
      <c r="I425">
        <v>1931196</v>
      </c>
      <c r="J425" t="s">
        <v>11713</v>
      </c>
      <c r="K425">
        <v>121</v>
      </c>
      <c r="L425" t="s">
        <v>1392</v>
      </c>
      <c r="M425">
        <v>43</v>
      </c>
      <c r="N425" t="str">
        <f>HYPERLINK("Gene1871-zp_tree_all.dnd", "Gene1871-tree")</f>
        <v>Gene1871-tree</v>
      </c>
      <c r="O425">
        <v>30</v>
      </c>
      <c r="P425">
        <v>2</v>
      </c>
      <c r="Q425">
        <v>9</v>
      </c>
      <c r="R425">
        <v>2</v>
      </c>
      <c r="S425">
        <v>0.18182000000000001</v>
      </c>
      <c r="T425" t="s">
        <v>2142</v>
      </c>
      <c r="U425" t="s">
        <v>81</v>
      </c>
      <c r="V425" t="s">
        <v>62</v>
      </c>
      <c r="W425" t="s">
        <v>62</v>
      </c>
      <c r="X425">
        <v>1</v>
      </c>
      <c r="Y425">
        <v>2</v>
      </c>
      <c r="Z425">
        <v>4</v>
      </c>
      <c r="AA425">
        <v>0.33333000000000002</v>
      </c>
      <c r="AB425">
        <v>2</v>
      </c>
      <c r="AC425">
        <v>0</v>
      </c>
      <c r="AD425">
        <v>2</v>
      </c>
      <c r="AE425">
        <v>2</v>
      </c>
      <c r="AF425">
        <v>0.5</v>
      </c>
      <c r="AG425">
        <v>0</v>
      </c>
      <c r="AH425">
        <v>0</v>
      </c>
      <c r="AI425">
        <v>0</v>
      </c>
      <c r="AJ425">
        <v>2</v>
      </c>
      <c r="AK425">
        <v>0</v>
      </c>
      <c r="AL425">
        <v>5</v>
      </c>
      <c r="AM425">
        <v>5</v>
      </c>
      <c r="AN425">
        <v>6</v>
      </c>
      <c r="AO425">
        <v>1</v>
      </c>
      <c r="AP425">
        <v>5</v>
      </c>
      <c r="AQ425">
        <v>5</v>
      </c>
      <c r="AR425" t="s">
        <v>11714</v>
      </c>
      <c r="AS425" t="s">
        <v>11715</v>
      </c>
      <c r="AT425">
        <v>1.343</v>
      </c>
      <c r="AU425" t="s">
        <v>65</v>
      </c>
      <c r="AV425">
        <v>11</v>
      </c>
      <c r="AW425">
        <v>6</v>
      </c>
      <c r="AX425" t="s">
        <v>11716</v>
      </c>
      <c r="AY425">
        <v>3.7650000000000003E-2</v>
      </c>
      <c r="AZ425">
        <v>-2.6700000000000001E-3</v>
      </c>
      <c r="BA425">
        <v>6.94E-3</v>
      </c>
      <c r="BB425">
        <v>-5.0000000000000001E-4</v>
      </c>
      <c r="BC425">
        <v>0.18442</v>
      </c>
      <c r="BD425">
        <v>1</v>
      </c>
      <c r="BE425" t="s">
        <v>69</v>
      </c>
      <c r="BF425">
        <v>0.56200000000000006</v>
      </c>
      <c r="BG425">
        <v>0.24199999999999999</v>
      </c>
    </row>
    <row r="426" spans="1:59">
      <c r="A426">
        <v>0</v>
      </c>
      <c r="B426">
        <v>0</v>
      </c>
      <c r="C426">
        <v>0</v>
      </c>
      <c r="D426" t="s">
        <v>25022</v>
      </c>
      <c r="E426">
        <v>941</v>
      </c>
      <c r="F426" t="s">
        <v>5896</v>
      </c>
      <c r="G426" t="s">
        <v>57</v>
      </c>
      <c r="H426">
        <v>981237</v>
      </c>
      <c r="I426">
        <v>981599</v>
      </c>
      <c r="J426" t="s">
        <v>3784</v>
      </c>
      <c r="K426">
        <v>121</v>
      </c>
      <c r="L426" t="s">
        <v>5762</v>
      </c>
      <c r="M426">
        <v>43</v>
      </c>
      <c r="N426" t="str">
        <f>HYPERLINK("Gene941-zp_tree_all.dnd", "Gene941-tree")</f>
        <v>Gene941-tree</v>
      </c>
      <c r="O426">
        <v>27</v>
      </c>
      <c r="P426">
        <v>3</v>
      </c>
      <c r="Q426">
        <v>6</v>
      </c>
      <c r="R426">
        <v>3</v>
      </c>
      <c r="S426">
        <v>0.33333000000000002</v>
      </c>
      <c r="T426" t="s">
        <v>1055</v>
      </c>
      <c r="U426" t="s">
        <v>324</v>
      </c>
      <c r="V426" t="s">
        <v>62</v>
      </c>
      <c r="W426" t="s">
        <v>62</v>
      </c>
      <c r="X426">
        <v>0</v>
      </c>
      <c r="Y426">
        <v>0</v>
      </c>
      <c r="Z426">
        <v>4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3</v>
      </c>
      <c r="AK426">
        <v>0</v>
      </c>
      <c r="AL426">
        <v>7</v>
      </c>
      <c r="AM426">
        <v>2</v>
      </c>
      <c r="AN426">
        <v>9</v>
      </c>
      <c r="AO426">
        <v>3</v>
      </c>
      <c r="AP426">
        <v>1</v>
      </c>
      <c r="AQ426">
        <v>1</v>
      </c>
      <c r="AR426" t="s">
        <v>5897</v>
      </c>
      <c r="AS426" t="s">
        <v>5898</v>
      </c>
      <c r="AT426">
        <v>0.46700000000000003</v>
      </c>
      <c r="AU426" t="s">
        <v>65</v>
      </c>
      <c r="AV426">
        <v>10</v>
      </c>
      <c r="AW426">
        <v>4</v>
      </c>
      <c r="AX426" t="s">
        <v>5899</v>
      </c>
      <c r="AY426">
        <v>2.8740000000000002E-2</v>
      </c>
      <c r="AZ426">
        <v>-3.0799999999999998E-3</v>
      </c>
      <c r="BA426">
        <v>4.3600000000000002E-3</v>
      </c>
      <c r="BB426">
        <v>-4.2999999999999999E-4</v>
      </c>
      <c r="BC426">
        <v>0.15160999999999999</v>
      </c>
      <c r="BD426">
        <v>1</v>
      </c>
      <c r="BE426" t="s">
        <v>69</v>
      </c>
      <c r="BF426">
        <v>-0.11700000000000001</v>
      </c>
      <c r="BG426">
        <v>-0.94299999999999995</v>
      </c>
    </row>
    <row r="427" spans="1:59">
      <c r="A427">
        <v>0</v>
      </c>
      <c r="B427">
        <v>3</v>
      </c>
      <c r="C427">
        <v>0</v>
      </c>
      <c r="D427" t="s">
        <v>25022</v>
      </c>
      <c r="E427">
        <v>4072</v>
      </c>
      <c r="F427" t="s">
        <v>23962</v>
      </c>
      <c r="G427" t="s">
        <v>62</v>
      </c>
      <c r="H427">
        <v>4038797</v>
      </c>
      <c r="I427">
        <v>4039159</v>
      </c>
      <c r="J427" t="s">
        <v>116</v>
      </c>
      <c r="K427">
        <v>121</v>
      </c>
      <c r="L427" t="s">
        <v>749</v>
      </c>
      <c r="M427">
        <v>47</v>
      </c>
      <c r="N427" t="str">
        <f>HYPERLINK("Gene4072-zp_tree_all.dnd", "Gene4072-tree")</f>
        <v>Gene4072-tree</v>
      </c>
      <c r="O427">
        <v>9</v>
      </c>
      <c r="P427">
        <v>7</v>
      </c>
      <c r="Q427">
        <v>9</v>
      </c>
      <c r="R427">
        <v>7</v>
      </c>
      <c r="S427">
        <v>0.4375</v>
      </c>
      <c r="T427" t="s">
        <v>135</v>
      </c>
      <c r="U427" t="s">
        <v>152</v>
      </c>
      <c r="V427" t="s">
        <v>62</v>
      </c>
      <c r="W427" t="s">
        <v>62</v>
      </c>
      <c r="X427">
        <v>1</v>
      </c>
      <c r="Y427">
        <v>3</v>
      </c>
      <c r="Z427">
        <v>15</v>
      </c>
      <c r="AA427">
        <v>0.16667000000000001</v>
      </c>
      <c r="AB427">
        <v>0</v>
      </c>
      <c r="AC427">
        <v>0</v>
      </c>
      <c r="AD427">
        <v>0</v>
      </c>
      <c r="AE427">
        <v>2</v>
      </c>
      <c r="AF427">
        <v>0</v>
      </c>
      <c r="AG427">
        <v>0</v>
      </c>
      <c r="AH427">
        <v>0</v>
      </c>
      <c r="AI427">
        <v>0</v>
      </c>
      <c r="AJ427">
        <v>11</v>
      </c>
      <c r="AK427">
        <v>0</v>
      </c>
      <c r="AL427">
        <v>11</v>
      </c>
      <c r="AM427">
        <v>9</v>
      </c>
      <c r="AN427">
        <v>21</v>
      </c>
      <c r="AO427">
        <v>9</v>
      </c>
      <c r="AP427">
        <v>22</v>
      </c>
      <c r="AQ427">
        <v>9</v>
      </c>
      <c r="AR427" t="s">
        <v>23963</v>
      </c>
      <c r="AS427" t="s">
        <v>23964</v>
      </c>
      <c r="AT427">
        <v>3.5999999999999997E-2</v>
      </c>
      <c r="AU427" t="s">
        <v>65</v>
      </c>
      <c r="AV427">
        <v>43</v>
      </c>
      <c r="AW427">
        <v>18</v>
      </c>
      <c r="AX427" t="s">
        <v>23965</v>
      </c>
      <c r="AY427">
        <v>0.12784000000000001</v>
      </c>
      <c r="AZ427">
        <v>-6.8399999999999997E-3</v>
      </c>
      <c r="BA427">
        <v>1.244E-2</v>
      </c>
      <c r="BB427">
        <v>-6.8999999999999997E-4</v>
      </c>
      <c r="BC427">
        <v>9.7280000000000005E-2</v>
      </c>
      <c r="BD427">
        <v>1</v>
      </c>
      <c r="BE427" t="s">
        <v>69</v>
      </c>
      <c r="BF427">
        <v>-1.2989999999999999</v>
      </c>
      <c r="BG427">
        <v>-1.7050000000000001</v>
      </c>
    </row>
    <row r="428" spans="1:59">
      <c r="A428">
        <v>0</v>
      </c>
      <c r="B428">
        <v>0</v>
      </c>
      <c r="C428">
        <v>0</v>
      </c>
      <c r="D428" t="s">
        <v>25022</v>
      </c>
      <c r="E428">
        <v>471</v>
      </c>
      <c r="F428" t="s">
        <v>3199</v>
      </c>
      <c r="G428" t="s">
        <v>57</v>
      </c>
      <c r="H428">
        <v>515710</v>
      </c>
      <c r="I428">
        <v>516072</v>
      </c>
      <c r="J428" t="s">
        <v>3200</v>
      </c>
      <c r="K428">
        <v>121</v>
      </c>
      <c r="L428" t="s">
        <v>3143</v>
      </c>
      <c r="M428">
        <v>41</v>
      </c>
      <c r="N428" t="str">
        <f>HYPERLINK("Gene471-zp_tree_all.dnd", "Gene471-tree")</f>
        <v>Gene471-tree</v>
      </c>
      <c r="O428">
        <v>25</v>
      </c>
      <c r="P428">
        <v>3</v>
      </c>
      <c r="Q428">
        <v>8</v>
      </c>
      <c r="R428">
        <v>3</v>
      </c>
      <c r="S428">
        <v>0.27272999999999997</v>
      </c>
      <c r="T428" t="s">
        <v>1667</v>
      </c>
      <c r="U428" t="s">
        <v>324</v>
      </c>
      <c r="V428" t="s">
        <v>62</v>
      </c>
      <c r="W428" t="s">
        <v>62</v>
      </c>
      <c r="X428">
        <v>0</v>
      </c>
      <c r="Y428">
        <v>0</v>
      </c>
      <c r="Z428">
        <v>6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4</v>
      </c>
      <c r="AK428">
        <v>0</v>
      </c>
      <c r="AL428">
        <v>10</v>
      </c>
      <c r="AM428">
        <v>6</v>
      </c>
      <c r="AN428">
        <v>16</v>
      </c>
      <c r="AO428">
        <v>4</v>
      </c>
      <c r="AP428">
        <v>7</v>
      </c>
      <c r="AQ428">
        <v>2</v>
      </c>
      <c r="AR428" t="s">
        <v>3201</v>
      </c>
      <c r="AS428" t="s">
        <v>3202</v>
      </c>
      <c r="AT428">
        <v>9.9000000000000005E-2</v>
      </c>
      <c r="AU428" t="s">
        <v>65</v>
      </c>
      <c r="AV428">
        <v>23</v>
      </c>
      <c r="AW428">
        <v>6</v>
      </c>
      <c r="AX428" t="s">
        <v>3203</v>
      </c>
      <c r="AY428">
        <v>5.8029999999999998E-2</v>
      </c>
      <c r="AZ428">
        <v>-2.63E-3</v>
      </c>
      <c r="BA428">
        <v>5.3400000000000001E-3</v>
      </c>
      <c r="BB428">
        <v>-5.1000000000000004E-4</v>
      </c>
      <c r="BC428">
        <v>9.2050000000000007E-2</v>
      </c>
      <c r="BD428">
        <v>1</v>
      </c>
      <c r="BE428" t="s">
        <v>69</v>
      </c>
      <c r="BF428">
        <v>-0.217</v>
      </c>
      <c r="BG428">
        <v>8.6999999999999994E-2</v>
      </c>
    </row>
    <row r="429" spans="1:59">
      <c r="A429">
        <v>0</v>
      </c>
      <c r="B429">
        <v>0</v>
      </c>
      <c r="C429">
        <v>2</v>
      </c>
      <c r="D429" t="s">
        <v>25022</v>
      </c>
      <c r="E429">
        <v>1588</v>
      </c>
      <c r="F429" t="s">
        <v>9933</v>
      </c>
      <c r="G429" t="s">
        <v>57</v>
      </c>
      <c r="H429">
        <v>1595935</v>
      </c>
      <c r="I429">
        <v>1596297</v>
      </c>
      <c r="J429" t="s">
        <v>9934</v>
      </c>
      <c r="K429">
        <v>121</v>
      </c>
      <c r="L429" t="s">
        <v>59</v>
      </c>
      <c r="M429">
        <v>49</v>
      </c>
      <c r="N429" t="str">
        <f>HYPERLINK("Gene1588-zp_tree_all.dnd", "Gene1588-tree")</f>
        <v>Gene1588-tree</v>
      </c>
      <c r="O429">
        <v>46</v>
      </c>
      <c r="P429">
        <v>3</v>
      </c>
      <c r="Q429">
        <v>6</v>
      </c>
      <c r="R429">
        <v>3</v>
      </c>
      <c r="S429">
        <v>0.33333000000000002</v>
      </c>
      <c r="T429" t="s">
        <v>9935</v>
      </c>
      <c r="U429" t="s">
        <v>324</v>
      </c>
      <c r="V429" t="s">
        <v>62</v>
      </c>
      <c r="W429" t="s">
        <v>62</v>
      </c>
      <c r="X429">
        <v>1</v>
      </c>
      <c r="Y429">
        <v>2</v>
      </c>
      <c r="Z429">
        <v>3</v>
      </c>
      <c r="AA429">
        <v>0.4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4</v>
      </c>
      <c r="AK429">
        <v>0</v>
      </c>
      <c r="AL429">
        <v>7</v>
      </c>
      <c r="AM429">
        <v>4</v>
      </c>
      <c r="AN429">
        <v>10</v>
      </c>
      <c r="AO429">
        <v>4</v>
      </c>
      <c r="AP429">
        <v>10</v>
      </c>
      <c r="AQ429">
        <v>1</v>
      </c>
      <c r="AR429" t="s">
        <v>9936</v>
      </c>
      <c r="AS429" t="s">
        <v>9937</v>
      </c>
      <c r="AT429">
        <v>0.877</v>
      </c>
      <c r="AU429" t="s">
        <v>65</v>
      </c>
      <c r="AV429">
        <v>20</v>
      </c>
      <c r="AW429">
        <v>5</v>
      </c>
      <c r="AX429" t="s">
        <v>9938</v>
      </c>
      <c r="AY429">
        <v>8.0490000000000006E-2</v>
      </c>
      <c r="AZ429">
        <v>-6.2399999999999999E-3</v>
      </c>
      <c r="BA429">
        <v>4.7299999999999998E-3</v>
      </c>
      <c r="BB429">
        <v>-5.5999999999999995E-4</v>
      </c>
      <c r="BC429">
        <v>5.8790000000000002E-2</v>
      </c>
      <c r="BD429">
        <v>1</v>
      </c>
      <c r="BE429" t="s">
        <v>69</v>
      </c>
      <c r="BF429">
        <v>-2.133</v>
      </c>
      <c r="BG429">
        <v>-2.2200000000000002</v>
      </c>
    </row>
    <row r="430" spans="1:59">
      <c r="A430">
        <v>0</v>
      </c>
      <c r="B430">
        <v>0</v>
      </c>
      <c r="C430">
        <v>0</v>
      </c>
      <c r="D430" t="s">
        <v>25022</v>
      </c>
      <c r="E430">
        <v>142</v>
      </c>
      <c r="F430" t="s">
        <v>1010</v>
      </c>
      <c r="G430" t="s">
        <v>57</v>
      </c>
      <c r="H430">
        <v>147973</v>
      </c>
      <c r="I430">
        <v>148335</v>
      </c>
      <c r="J430" t="s">
        <v>1011</v>
      </c>
      <c r="K430">
        <v>121</v>
      </c>
      <c r="L430" t="s">
        <v>515</v>
      </c>
      <c r="M430">
        <v>51</v>
      </c>
      <c r="N430" t="str">
        <f>HYPERLINK("Gene142-zp_tree_all.dnd", "Gene142-tree")</f>
        <v>Gene142-tree</v>
      </c>
      <c r="O430">
        <v>8</v>
      </c>
      <c r="P430">
        <v>0</v>
      </c>
      <c r="Q430">
        <v>8</v>
      </c>
      <c r="R430">
        <v>0</v>
      </c>
      <c r="S430">
        <v>0</v>
      </c>
      <c r="T430" t="s">
        <v>136</v>
      </c>
      <c r="U430" t="s">
        <v>62</v>
      </c>
      <c r="V430" t="s">
        <v>62</v>
      </c>
      <c r="W430" t="s">
        <v>62</v>
      </c>
      <c r="X430">
        <v>0</v>
      </c>
      <c r="Y430">
        <v>0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4</v>
      </c>
      <c r="AM430">
        <v>4</v>
      </c>
      <c r="AN430">
        <v>8</v>
      </c>
      <c r="AO430">
        <v>0</v>
      </c>
      <c r="AP430">
        <v>13</v>
      </c>
      <c r="AQ430">
        <v>2</v>
      </c>
      <c r="AR430" t="s">
        <v>193</v>
      </c>
      <c r="AS430" t="s">
        <v>1012</v>
      </c>
      <c r="AT430">
        <v>0.52400000000000002</v>
      </c>
      <c r="AU430" t="s">
        <v>65</v>
      </c>
      <c r="AV430">
        <v>21</v>
      </c>
      <c r="AW430">
        <v>2</v>
      </c>
      <c r="AX430" t="s">
        <v>1013</v>
      </c>
      <c r="AY430">
        <v>0.10059</v>
      </c>
      <c r="AZ430">
        <v>-1.259E-2</v>
      </c>
      <c r="BA430">
        <v>3.96E-3</v>
      </c>
      <c r="BB430">
        <v>-6.4999999999999997E-4</v>
      </c>
      <c r="BC430">
        <v>3.934E-2</v>
      </c>
      <c r="BD430">
        <v>1</v>
      </c>
      <c r="BE430" t="s">
        <v>69</v>
      </c>
      <c r="BF430">
        <v>-1.625</v>
      </c>
      <c r="BG430">
        <v>0.68700000000000006</v>
      </c>
    </row>
    <row r="431" spans="1:59">
      <c r="A431">
        <v>0</v>
      </c>
      <c r="B431">
        <v>0</v>
      </c>
      <c r="C431">
        <v>0</v>
      </c>
      <c r="D431" t="s">
        <v>25022</v>
      </c>
      <c r="E431">
        <v>477</v>
      </c>
      <c r="F431" t="s">
        <v>3229</v>
      </c>
      <c r="G431" t="s">
        <v>57</v>
      </c>
      <c r="H431">
        <v>520237</v>
      </c>
      <c r="I431">
        <v>520599</v>
      </c>
      <c r="J431" t="s">
        <v>3230</v>
      </c>
      <c r="K431">
        <v>121</v>
      </c>
      <c r="L431" t="s">
        <v>108</v>
      </c>
      <c r="M431">
        <v>44</v>
      </c>
      <c r="N431" t="str">
        <f>HYPERLINK("Gene477-zp_tree_all.dnd", "Gene477-tree")</f>
        <v>Gene477-tree</v>
      </c>
      <c r="O431">
        <v>10</v>
      </c>
      <c r="P431">
        <v>2</v>
      </c>
      <c r="Q431">
        <v>10</v>
      </c>
      <c r="R431">
        <v>2</v>
      </c>
      <c r="S431">
        <v>0.16667000000000001</v>
      </c>
      <c r="T431" t="s">
        <v>117</v>
      </c>
      <c r="U431" t="s">
        <v>81</v>
      </c>
      <c r="V431" t="s">
        <v>62</v>
      </c>
      <c r="W431" t="s">
        <v>62</v>
      </c>
      <c r="X431">
        <v>0</v>
      </c>
      <c r="Y431">
        <v>0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0</v>
      </c>
      <c r="AL431">
        <v>8</v>
      </c>
      <c r="AM431">
        <v>7</v>
      </c>
      <c r="AN431">
        <v>9</v>
      </c>
      <c r="AO431">
        <v>2</v>
      </c>
      <c r="AP431">
        <v>9</v>
      </c>
      <c r="AQ431">
        <v>0</v>
      </c>
      <c r="AR431" t="s">
        <v>3231</v>
      </c>
      <c r="AS431" t="s">
        <v>193</v>
      </c>
      <c r="AT431">
        <v>0.76600000000000001</v>
      </c>
      <c r="AU431" t="s">
        <v>65</v>
      </c>
      <c r="AV431">
        <v>18</v>
      </c>
      <c r="AW431">
        <v>2</v>
      </c>
      <c r="AX431" t="s">
        <v>3232</v>
      </c>
      <c r="AY431">
        <v>5.8790000000000002E-2</v>
      </c>
      <c r="AZ431">
        <v>-3.0799999999999998E-3</v>
      </c>
      <c r="BA431">
        <v>1.1999999999999999E-3</v>
      </c>
      <c r="BB431">
        <v>-2.2000000000000001E-4</v>
      </c>
      <c r="BC431">
        <v>2.043E-2</v>
      </c>
      <c r="BD431">
        <v>1</v>
      </c>
      <c r="BE431" t="s">
        <v>69</v>
      </c>
      <c r="BF431">
        <v>-0.108</v>
      </c>
      <c r="BG431">
        <v>-0.65300000000000002</v>
      </c>
    </row>
    <row r="432" spans="1:59">
      <c r="A432">
        <v>0</v>
      </c>
      <c r="B432">
        <v>0</v>
      </c>
      <c r="C432">
        <v>0</v>
      </c>
      <c r="D432" t="s">
        <v>25022</v>
      </c>
      <c r="E432">
        <v>4060</v>
      </c>
      <c r="F432" t="s">
        <v>23900</v>
      </c>
      <c r="G432" t="s">
        <v>62</v>
      </c>
      <c r="H432">
        <v>4021899</v>
      </c>
      <c r="I432">
        <v>4022264</v>
      </c>
      <c r="J432" t="s">
        <v>16377</v>
      </c>
      <c r="K432">
        <v>122</v>
      </c>
      <c r="L432" t="s">
        <v>23901</v>
      </c>
      <c r="M432">
        <v>25</v>
      </c>
      <c r="N432" t="str">
        <f>HYPERLINK("Gene4060-zp_tree_all.dnd", "Gene4060-tree")</f>
        <v>Gene4060-tree</v>
      </c>
      <c r="O432">
        <v>2</v>
      </c>
      <c r="P432">
        <v>2</v>
      </c>
      <c r="Q432">
        <v>2</v>
      </c>
      <c r="R432">
        <v>2</v>
      </c>
      <c r="S432">
        <v>0.5</v>
      </c>
      <c r="T432" t="s">
        <v>81</v>
      </c>
      <c r="U432" t="s">
        <v>81</v>
      </c>
      <c r="V432" t="s">
        <v>62</v>
      </c>
      <c r="W432" t="s">
        <v>62</v>
      </c>
      <c r="X432">
        <v>0</v>
      </c>
      <c r="Y432">
        <v>0</v>
      </c>
      <c r="Z432">
        <v>10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6</v>
      </c>
      <c r="AK432">
        <v>0</v>
      </c>
      <c r="AL432">
        <v>3</v>
      </c>
      <c r="AM432">
        <v>1</v>
      </c>
      <c r="AN432">
        <v>10</v>
      </c>
      <c r="AO432">
        <v>7</v>
      </c>
      <c r="AP432">
        <v>2</v>
      </c>
      <c r="AQ432">
        <v>4</v>
      </c>
      <c r="AR432" t="s">
        <v>23902</v>
      </c>
      <c r="AS432" t="s">
        <v>23903</v>
      </c>
      <c r="AT432">
        <v>3.5960000000000001</v>
      </c>
      <c r="AU432" t="s">
        <v>65</v>
      </c>
      <c r="AV432">
        <v>12</v>
      </c>
      <c r="AW432">
        <v>11</v>
      </c>
      <c r="AX432" t="s">
        <v>23904</v>
      </c>
      <c r="AY432">
        <v>8.6800000000000002E-2</v>
      </c>
      <c r="AZ432">
        <v>-1.6119999999999999E-2</v>
      </c>
      <c r="BA432">
        <v>2.2270000000000002E-2</v>
      </c>
      <c r="BB432">
        <v>-4.1200000000000004E-3</v>
      </c>
      <c r="BC432">
        <v>0.25663000000000002</v>
      </c>
      <c r="BD432">
        <v>0.99</v>
      </c>
      <c r="BE432" t="s">
        <v>69</v>
      </c>
      <c r="BF432">
        <v>-1.7370000000000001</v>
      </c>
      <c r="BG432">
        <v>-0.84199999999999997</v>
      </c>
    </row>
    <row r="433" spans="1:59">
      <c r="A433">
        <v>0</v>
      </c>
      <c r="B433">
        <v>6</v>
      </c>
      <c r="C433">
        <v>3</v>
      </c>
      <c r="D433" t="s">
        <v>25022</v>
      </c>
      <c r="E433">
        <v>1197</v>
      </c>
      <c r="F433" t="s">
        <v>7530</v>
      </c>
      <c r="G433" t="s">
        <v>57</v>
      </c>
      <c r="H433">
        <v>1236609</v>
      </c>
      <c r="I433">
        <v>1236974</v>
      </c>
      <c r="J433" t="s">
        <v>116</v>
      </c>
      <c r="K433">
        <v>122</v>
      </c>
      <c r="L433" t="s">
        <v>59</v>
      </c>
      <c r="M433">
        <v>49</v>
      </c>
      <c r="N433" t="str">
        <f>HYPERLINK("Gene1197-zp_tree_all.dnd", "Gene1197-tree")</f>
        <v>Gene1197-tree</v>
      </c>
      <c r="O433">
        <v>5</v>
      </c>
      <c r="P433">
        <v>12</v>
      </c>
      <c r="Q433">
        <v>5</v>
      </c>
      <c r="R433">
        <v>12</v>
      </c>
      <c r="S433">
        <v>0.70587999999999995</v>
      </c>
      <c r="T433" t="s">
        <v>199</v>
      </c>
      <c r="U433" t="s">
        <v>109</v>
      </c>
      <c r="V433" t="s">
        <v>62</v>
      </c>
      <c r="W433" t="s">
        <v>62</v>
      </c>
      <c r="X433">
        <v>4</v>
      </c>
      <c r="Y433">
        <v>9</v>
      </c>
      <c r="Z433">
        <v>10</v>
      </c>
      <c r="AA433">
        <v>0.47367999999999999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4</v>
      </c>
      <c r="AH433">
        <v>1</v>
      </c>
      <c r="AI433">
        <v>5</v>
      </c>
      <c r="AJ433">
        <v>8</v>
      </c>
      <c r="AK433">
        <v>0.38462000000000002</v>
      </c>
      <c r="AL433">
        <v>13</v>
      </c>
      <c r="AM433">
        <v>8</v>
      </c>
      <c r="AN433">
        <v>10</v>
      </c>
      <c r="AO433">
        <v>11</v>
      </c>
      <c r="AP433">
        <v>14</v>
      </c>
      <c r="AQ433">
        <v>8</v>
      </c>
      <c r="AR433" t="s">
        <v>7531</v>
      </c>
      <c r="AS433" t="s">
        <v>7532</v>
      </c>
      <c r="AT433">
        <v>0.65800000000000003</v>
      </c>
      <c r="AU433" t="s">
        <v>65</v>
      </c>
      <c r="AV433">
        <v>24</v>
      </c>
      <c r="AW433">
        <v>19</v>
      </c>
      <c r="AX433" t="s">
        <v>7533</v>
      </c>
      <c r="AY433">
        <v>7.5270000000000004E-2</v>
      </c>
      <c r="AZ433">
        <v>-6.1900000000000002E-3</v>
      </c>
      <c r="BA433">
        <v>1.21E-2</v>
      </c>
      <c r="BB433">
        <v>-5.5000000000000003E-4</v>
      </c>
      <c r="BC433">
        <v>0.16081999999999999</v>
      </c>
      <c r="BD433">
        <v>1</v>
      </c>
      <c r="BE433" t="s">
        <v>69</v>
      </c>
      <c r="BF433">
        <v>-1.5169999999999999</v>
      </c>
      <c r="BG433">
        <v>-0.442</v>
      </c>
    </row>
    <row r="434" spans="1:59">
      <c r="A434">
        <v>0</v>
      </c>
      <c r="B434">
        <v>2</v>
      </c>
      <c r="C434">
        <v>0</v>
      </c>
      <c r="D434" t="s">
        <v>25022</v>
      </c>
      <c r="E434">
        <v>2833</v>
      </c>
      <c r="F434" t="s">
        <v>16268</v>
      </c>
      <c r="G434" t="s">
        <v>62</v>
      </c>
      <c r="H434">
        <v>2780528</v>
      </c>
      <c r="I434">
        <v>2780893</v>
      </c>
      <c r="J434" t="s">
        <v>116</v>
      </c>
      <c r="K434">
        <v>122</v>
      </c>
      <c r="L434" t="s">
        <v>108</v>
      </c>
      <c r="M434">
        <v>44</v>
      </c>
      <c r="N434" t="str">
        <f>HYPERLINK("Gene2833-zp_tree_all.dnd", "Gene2833-tree")</f>
        <v>Gene2833-tree</v>
      </c>
      <c r="O434">
        <v>11</v>
      </c>
      <c r="P434">
        <v>1</v>
      </c>
      <c r="Q434">
        <v>11</v>
      </c>
      <c r="R434">
        <v>1</v>
      </c>
      <c r="S434">
        <v>8.3330000000000001E-2</v>
      </c>
      <c r="T434" t="s">
        <v>73</v>
      </c>
      <c r="U434" t="s">
        <v>175</v>
      </c>
      <c r="V434" t="s">
        <v>62</v>
      </c>
      <c r="W434" t="s">
        <v>62</v>
      </c>
      <c r="X434">
        <v>1</v>
      </c>
      <c r="Y434">
        <v>2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8</v>
      </c>
      <c r="AM434">
        <v>4</v>
      </c>
      <c r="AN434">
        <v>13</v>
      </c>
      <c r="AO434">
        <v>1</v>
      </c>
      <c r="AP434">
        <v>8</v>
      </c>
      <c r="AQ434">
        <v>1</v>
      </c>
      <c r="AR434" t="s">
        <v>16269</v>
      </c>
      <c r="AS434" t="s">
        <v>16270</v>
      </c>
      <c r="AT434">
        <v>0.14899999999999999</v>
      </c>
      <c r="AU434" t="s">
        <v>65</v>
      </c>
      <c r="AV434">
        <v>21</v>
      </c>
      <c r="AW434">
        <v>2</v>
      </c>
      <c r="AX434" t="s">
        <v>16271</v>
      </c>
      <c r="AY434">
        <v>5.3629999999999997E-2</v>
      </c>
      <c r="AZ434">
        <v>-3.9899999999999996E-3</v>
      </c>
      <c r="BA434">
        <v>1.4300000000000001E-3</v>
      </c>
      <c r="BB434">
        <v>-2.1000000000000001E-4</v>
      </c>
      <c r="BC434">
        <v>2.6599999999999999E-2</v>
      </c>
      <c r="BD434">
        <v>1</v>
      </c>
      <c r="BE434" t="s">
        <v>69</v>
      </c>
      <c r="BF434">
        <v>0.66500000000000004</v>
      </c>
      <c r="BG434">
        <v>0.32300000000000001</v>
      </c>
    </row>
    <row r="435" spans="1:59">
      <c r="A435">
        <v>0</v>
      </c>
      <c r="B435">
        <v>4</v>
      </c>
      <c r="C435">
        <v>2</v>
      </c>
      <c r="D435" t="s">
        <v>25022</v>
      </c>
      <c r="E435">
        <v>3253</v>
      </c>
      <c r="F435" t="s">
        <v>18964</v>
      </c>
      <c r="G435" t="s">
        <v>62</v>
      </c>
      <c r="H435">
        <v>3220304</v>
      </c>
      <c r="I435">
        <v>3220672</v>
      </c>
      <c r="J435" t="s">
        <v>2569</v>
      </c>
      <c r="K435">
        <v>123</v>
      </c>
      <c r="L435" t="s">
        <v>108</v>
      </c>
      <c r="M435">
        <v>44</v>
      </c>
      <c r="N435" t="str">
        <f>HYPERLINK("Gene3253-zp_tree_all.dnd", "Gene3253-tree")</f>
        <v>Gene3253-tree</v>
      </c>
      <c r="O435">
        <v>5</v>
      </c>
      <c r="P435">
        <v>7</v>
      </c>
      <c r="Q435">
        <v>5</v>
      </c>
      <c r="R435">
        <v>7</v>
      </c>
      <c r="S435">
        <v>0.58333000000000002</v>
      </c>
      <c r="T435" t="s">
        <v>199</v>
      </c>
      <c r="U435" t="s">
        <v>152</v>
      </c>
      <c r="V435" t="s">
        <v>62</v>
      </c>
      <c r="W435" t="s">
        <v>62</v>
      </c>
      <c r="X435">
        <v>3</v>
      </c>
      <c r="Y435">
        <v>6</v>
      </c>
      <c r="Z435">
        <v>9</v>
      </c>
      <c r="AA435">
        <v>0.4</v>
      </c>
      <c r="AB435">
        <v>0</v>
      </c>
      <c r="AC435">
        <v>0</v>
      </c>
      <c r="AD435">
        <v>0</v>
      </c>
      <c r="AE435">
        <v>2</v>
      </c>
      <c r="AF435">
        <v>0</v>
      </c>
      <c r="AG435">
        <v>2</v>
      </c>
      <c r="AH435">
        <v>2</v>
      </c>
      <c r="AI435">
        <v>4</v>
      </c>
      <c r="AJ435">
        <v>8</v>
      </c>
      <c r="AK435">
        <v>0.33333000000000002</v>
      </c>
      <c r="AL435">
        <v>8</v>
      </c>
      <c r="AM435">
        <v>6</v>
      </c>
      <c r="AN435">
        <v>6</v>
      </c>
      <c r="AO435">
        <v>12</v>
      </c>
      <c r="AP435">
        <v>4</v>
      </c>
      <c r="AQ435">
        <v>3</v>
      </c>
      <c r="AR435" t="s">
        <v>18965</v>
      </c>
      <c r="AS435" t="s">
        <v>18966</v>
      </c>
      <c r="AT435">
        <v>0.78600000000000003</v>
      </c>
      <c r="AU435" t="s">
        <v>65</v>
      </c>
      <c r="AV435">
        <v>10</v>
      </c>
      <c r="AW435">
        <v>15</v>
      </c>
      <c r="AX435" t="s">
        <v>18967</v>
      </c>
      <c r="AY435">
        <v>2.1659999999999999E-2</v>
      </c>
      <c r="AZ435">
        <v>-2.0200000000000001E-3</v>
      </c>
      <c r="BA435">
        <v>1.1440000000000001E-2</v>
      </c>
      <c r="BB435">
        <v>-7.7999999999999999E-4</v>
      </c>
      <c r="BC435">
        <v>0.52815999999999996</v>
      </c>
      <c r="BD435">
        <v>0.88900000000000001</v>
      </c>
      <c r="BE435" t="s">
        <v>635</v>
      </c>
      <c r="BF435">
        <v>-0.626</v>
      </c>
      <c r="BG435">
        <v>-0.36299999999999999</v>
      </c>
    </row>
    <row r="436" spans="1:59">
      <c r="A436">
        <v>0</v>
      </c>
      <c r="B436">
        <v>8</v>
      </c>
      <c r="C436">
        <v>0</v>
      </c>
      <c r="D436" t="s">
        <v>25022</v>
      </c>
      <c r="E436">
        <v>2786</v>
      </c>
      <c r="F436" t="s">
        <v>15977</v>
      </c>
      <c r="G436" t="s">
        <v>62</v>
      </c>
      <c r="H436">
        <v>2733775</v>
      </c>
      <c r="I436">
        <v>2734143</v>
      </c>
      <c r="J436" t="s">
        <v>3095</v>
      </c>
      <c r="K436">
        <v>123</v>
      </c>
      <c r="L436" t="s">
        <v>5762</v>
      </c>
      <c r="M436">
        <v>43</v>
      </c>
      <c r="N436" t="str">
        <f>HYPERLINK("Gene2786-zp_tree_all.dnd", "Gene2786-tree")</f>
        <v>Gene2786-tree</v>
      </c>
      <c r="O436">
        <v>2</v>
      </c>
      <c r="P436">
        <v>10</v>
      </c>
      <c r="Q436">
        <v>2</v>
      </c>
      <c r="R436">
        <v>10</v>
      </c>
      <c r="S436">
        <v>0.83333000000000002</v>
      </c>
      <c r="T436" t="s">
        <v>81</v>
      </c>
      <c r="U436" t="s">
        <v>117</v>
      </c>
      <c r="V436" t="s">
        <v>62</v>
      </c>
      <c r="W436" t="s">
        <v>62</v>
      </c>
      <c r="X436">
        <v>4</v>
      </c>
      <c r="Y436">
        <v>8</v>
      </c>
      <c r="Z436">
        <v>11</v>
      </c>
      <c r="AA436">
        <v>0.42104999999999998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6</v>
      </c>
      <c r="AH436">
        <v>0</v>
      </c>
      <c r="AI436">
        <v>6</v>
      </c>
      <c r="AJ436">
        <v>9</v>
      </c>
      <c r="AK436">
        <v>0.4</v>
      </c>
      <c r="AL436">
        <v>9</v>
      </c>
      <c r="AM436">
        <v>6</v>
      </c>
      <c r="AN436">
        <v>8</v>
      </c>
      <c r="AO436">
        <v>11</v>
      </c>
      <c r="AP436">
        <v>5</v>
      </c>
      <c r="AQ436">
        <v>8</v>
      </c>
      <c r="AR436" t="s">
        <v>15978</v>
      </c>
      <c r="AS436" t="s">
        <v>15979</v>
      </c>
      <c r="AT436">
        <v>0.13900000000000001</v>
      </c>
      <c r="AU436" t="s">
        <v>65</v>
      </c>
      <c r="AV436">
        <v>13</v>
      </c>
      <c r="AW436">
        <v>19</v>
      </c>
      <c r="AX436" t="s">
        <v>15980</v>
      </c>
      <c r="AY436">
        <v>3.1949999999999999E-2</v>
      </c>
      <c r="AZ436">
        <v>-2.49E-3</v>
      </c>
      <c r="BA436">
        <v>1.5779999999999999E-2</v>
      </c>
      <c r="BB436">
        <v>-8.0000000000000004E-4</v>
      </c>
      <c r="BC436">
        <v>0.49375000000000002</v>
      </c>
      <c r="BD436">
        <v>0.93</v>
      </c>
      <c r="BE436" t="s">
        <v>635</v>
      </c>
      <c r="BF436">
        <v>0.24</v>
      </c>
      <c r="BG436">
        <v>-0.80800000000000005</v>
      </c>
    </row>
    <row r="437" spans="1:59">
      <c r="A437">
        <v>0</v>
      </c>
      <c r="B437">
        <v>2</v>
      </c>
      <c r="C437">
        <v>0</v>
      </c>
      <c r="D437" t="s">
        <v>25022</v>
      </c>
      <c r="E437">
        <v>2321</v>
      </c>
      <c r="F437" t="s">
        <v>13457</v>
      </c>
      <c r="G437" t="s">
        <v>62</v>
      </c>
      <c r="H437">
        <v>2338812</v>
      </c>
      <c r="I437">
        <v>2339180</v>
      </c>
      <c r="J437" t="s">
        <v>116</v>
      </c>
      <c r="K437">
        <v>123</v>
      </c>
      <c r="L437" t="s">
        <v>108</v>
      </c>
      <c r="M437">
        <v>44</v>
      </c>
      <c r="N437" t="str">
        <f>HYPERLINK("Gene2321-zp_tree_all.dnd", "Gene2321-tree")</f>
        <v>Gene2321-tree</v>
      </c>
      <c r="O437">
        <v>7</v>
      </c>
      <c r="P437">
        <v>3</v>
      </c>
      <c r="Q437">
        <v>7</v>
      </c>
      <c r="R437">
        <v>3</v>
      </c>
      <c r="S437">
        <v>0.3</v>
      </c>
      <c r="T437" t="s">
        <v>152</v>
      </c>
      <c r="U437" t="s">
        <v>324</v>
      </c>
      <c r="V437" t="s">
        <v>62</v>
      </c>
      <c r="W437" t="s">
        <v>62</v>
      </c>
      <c r="X437">
        <v>1</v>
      </c>
      <c r="Y437">
        <v>2</v>
      </c>
      <c r="Z437">
        <v>6</v>
      </c>
      <c r="AA437">
        <v>0.25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5</v>
      </c>
      <c r="AK437">
        <v>0</v>
      </c>
      <c r="AL437">
        <v>6</v>
      </c>
      <c r="AM437">
        <v>5</v>
      </c>
      <c r="AN437">
        <v>9</v>
      </c>
      <c r="AO437">
        <v>6</v>
      </c>
      <c r="AP437">
        <v>7</v>
      </c>
      <c r="AQ437">
        <v>3</v>
      </c>
      <c r="AR437" t="s">
        <v>13458</v>
      </c>
      <c r="AS437" t="s">
        <v>13459</v>
      </c>
      <c r="AT437">
        <v>0.33100000000000002</v>
      </c>
      <c r="AU437" t="s">
        <v>65</v>
      </c>
      <c r="AV437">
        <v>16</v>
      </c>
      <c r="AW437">
        <v>9</v>
      </c>
      <c r="AX437" t="s">
        <v>13460</v>
      </c>
      <c r="AY437">
        <v>5.892E-2</v>
      </c>
      <c r="AZ437">
        <v>-4.0699999999999998E-3</v>
      </c>
      <c r="BA437">
        <v>7.9699999999999997E-3</v>
      </c>
      <c r="BB437">
        <v>-9.1E-4</v>
      </c>
      <c r="BC437">
        <v>0.1353</v>
      </c>
      <c r="BD437">
        <v>1</v>
      </c>
      <c r="BE437" t="s">
        <v>69</v>
      </c>
      <c r="BF437">
        <v>-0.57599999999999996</v>
      </c>
      <c r="BG437">
        <v>0.91400000000000003</v>
      </c>
    </row>
    <row r="438" spans="1:59">
      <c r="A438">
        <v>0</v>
      </c>
      <c r="B438">
        <v>2</v>
      </c>
      <c r="C438">
        <v>0</v>
      </c>
      <c r="D438" t="s">
        <v>25022</v>
      </c>
      <c r="E438">
        <v>2634</v>
      </c>
      <c r="F438" t="s">
        <v>15428</v>
      </c>
      <c r="G438" t="s">
        <v>62</v>
      </c>
      <c r="H438">
        <v>2611459</v>
      </c>
      <c r="I438">
        <v>2611827</v>
      </c>
      <c r="J438" t="s">
        <v>15429</v>
      </c>
      <c r="K438">
        <v>123</v>
      </c>
      <c r="L438" t="s">
        <v>1392</v>
      </c>
      <c r="M438">
        <v>43</v>
      </c>
      <c r="N438" t="str">
        <f>HYPERLINK("Gene2634-zp_tree_all.dnd", "Gene2634-tree")</f>
        <v>Gene2634-tree</v>
      </c>
      <c r="O438">
        <v>10</v>
      </c>
      <c r="P438">
        <v>2</v>
      </c>
      <c r="Q438">
        <v>10</v>
      </c>
      <c r="R438">
        <v>2</v>
      </c>
      <c r="S438">
        <v>0.16667000000000001</v>
      </c>
      <c r="T438" t="s">
        <v>117</v>
      </c>
      <c r="U438" t="s">
        <v>81</v>
      </c>
      <c r="V438" t="s">
        <v>62</v>
      </c>
      <c r="W438" t="s">
        <v>62</v>
      </c>
      <c r="X438">
        <v>1</v>
      </c>
      <c r="Y438">
        <v>2</v>
      </c>
      <c r="Z438">
        <v>3</v>
      </c>
      <c r="AA438">
        <v>0.4</v>
      </c>
      <c r="AB438">
        <v>0</v>
      </c>
      <c r="AC438">
        <v>0</v>
      </c>
      <c r="AD438">
        <v>0</v>
      </c>
      <c r="AE438">
        <v>2</v>
      </c>
      <c r="AF438">
        <v>0</v>
      </c>
      <c r="AG438">
        <v>0</v>
      </c>
      <c r="AH438">
        <v>0</v>
      </c>
      <c r="AI438">
        <v>0</v>
      </c>
      <c r="AJ438">
        <v>2</v>
      </c>
      <c r="AK438">
        <v>0</v>
      </c>
      <c r="AL438">
        <v>8</v>
      </c>
      <c r="AM438">
        <v>5</v>
      </c>
      <c r="AN438">
        <v>9</v>
      </c>
      <c r="AO438">
        <v>2</v>
      </c>
      <c r="AP438">
        <v>4</v>
      </c>
      <c r="AQ438">
        <v>3</v>
      </c>
      <c r="AR438" t="s">
        <v>15430</v>
      </c>
      <c r="AS438" t="s">
        <v>15431</v>
      </c>
      <c r="AT438">
        <v>0.73199999999999998</v>
      </c>
      <c r="AU438" t="s">
        <v>65</v>
      </c>
      <c r="AV438">
        <v>13</v>
      </c>
      <c r="AW438">
        <v>5</v>
      </c>
      <c r="AX438" t="s">
        <v>15432</v>
      </c>
      <c r="AY438">
        <v>3.2750000000000001E-2</v>
      </c>
      <c r="AZ438">
        <v>-1.9400000000000001E-3</v>
      </c>
      <c r="BA438">
        <v>3.9199999999999999E-3</v>
      </c>
      <c r="BB438">
        <v>-4.0000000000000002E-4</v>
      </c>
      <c r="BC438">
        <v>0.11969</v>
      </c>
      <c r="BD438">
        <v>1</v>
      </c>
      <c r="BE438" t="s">
        <v>69</v>
      </c>
      <c r="BF438">
        <v>0.1</v>
      </c>
      <c r="BG438">
        <v>-1.08</v>
      </c>
    </row>
    <row r="439" spans="1:59">
      <c r="A439">
        <v>0</v>
      </c>
      <c r="B439">
        <v>3</v>
      </c>
      <c r="C439">
        <v>1</v>
      </c>
      <c r="D439" t="s">
        <v>25022</v>
      </c>
      <c r="E439">
        <v>593</v>
      </c>
      <c r="F439" t="s">
        <v>3818</v>
      </c>
      <c r="G439" t="s">
        <v>57</v>
      </c>
      <c r="H439">
        <v>621847</v>
      </c>
      <c r="I439">
        <v>622215</v>
      </c>
      <c r="J439" t="s">
        <v>3819</v>
      </c>
      <c r="K439">
        <v>123</v>
      </c>
      <c r="L439" t="s">
        <v>3820</v>
      </c>
      <c r="M439">
        <v>42</v>
      </c>
      <c r="N439" t="str">
        <f>HYPERLINK("Gene593-zp_tree_all.dnd", "Gene593-tree")</f>
        <v>Gene593-tree</v>
      </c>
      <c r="O439">
        <v>7</v>
      </c>
      <c r="P439">
        <v>25</v>
      </c>
      <c r="Q439">
        <v>7</v>
      </c>
      <c r="R439">
        <v>6</v>
      </c>
      <c r="S439">
        <v>0.46154000000000001</v>
      </c>
      <c r="T439" t="s">
        <v>152</v>
      </c>
      <c r="U439" t="s">
        <v>965</v>
      </c>
      <c r="V439">
        <v>4.1539999999999999</v>
      </c>
      <c r="W439" t="s">
        <v>65</v>
      </c>
      <c r="X439">
        <v>1</v>
      </c>
      <c r="Y439">
        <v>4</v>
      </c>
      <c r="Z439">
        <v>8</v>
      </c>
      <c r="AA439">
        <v>0.33333000000000002</v>
      </c>
      <c r="AB439">
        <v>2</v>
      </c>
      <c r="AC439">
        <v>0</v>
      </c>
      <c r="AD439">
        <v>2</v>
      </c>
      <c r="AE439">
        <v>1</v>
      </c>
      <c r="AF439">
        <v>0.66666999999999998</v>
      </c>
      <c r="AG439">
        <v>0</v>
      </c>
      <c r="AH439">
        <v>2</v>
      </c>
      <c r="AI439">
        <v>2</v>
      </c>
      <c r="AJ439">
        <v>6</v>
      </c>
      <c r="AK439">
        <v>0.25</v>
      </c>
      <c r="AL439">
        <v>10</v>
      </c>
      <c r="AM439">
        <v>8</v>
      </c>
      <c r="AN439">
        <v>13</v>
      </c>
      <c r="AO439">
        <v>8</v>
      </c>
      <c r="AP439">
        <v>17</v>
      </c>
      <c r="AQ439">
        <v>4</v>
      </c>
      <c r="AR439" t="s">
        <v>3821</v>
      </c>
      <c r="AS439" t="s">
        <v>3822</v>
      </c>
      <c r="AT439">
        <v>0.89300000000000002</v>
      </c>
      <c r="AU439" t="s">
        <v>65</v>
      </c>
      <c r="AV439">
        <v>30</v>
      </c>
      <c r="AW439">
        <v>12</v>
      </c>
      <c r="AX439" t="s">
        <v>3823</v>
      </c>
      <c r="AY439">
        <v>7.8020000000000006E-2</v>
      </c>
      <c r="AZ439">
        <v>-3.29E-3</v>
      </c>
      <c r="BA439">
        <v>8.5400000000000007E-3</v>
      </c>
      <c r="BB439">
        <v>-5.0000000000000001E-4</v>
      </c>
      <c r="BC439">
        <v>0.10947999999999999</v>
      </c>
      <c r="BD439">
        <v>1</v>
      </c>
      <c r="BE439" t="s">
        <v>69</v>
      </c>
      <c r="BF439">
        <v>0.50600000000000001</v>
      </c>
      <c r="BG439">
        <v>0.33700000000000002</v>
      </c>
    </row>
    <row r="440" spans="1:59">
      <c r="A440">
        <v>0</v>
      </c>
      <c r="B440">
        <v>0</v>
      </c>
      <c r="C440">
        <v>3</v>
      </c>
      <c r="D440" t="s">
        <v>25022</v>
      </c>
      <c r="E440">
        <v>448</v>
      </c>
      <c r="F440" t="s">
        <v>3039</v>
      </c>
      <c r="G440" t="s">
        <v>57</v>
      </c>
      <c r="H440">
        <v>494506</v>
      </c>
      <c r="I440">
        <v>494874</v>
      </c>
      <c r="J440" t="s">
        <v>3040</v>
      </c>
      <c r="K440">
        <v>123</v>
      </c>
      <c r="L440" t="s">
        <v>3041</v>
      </c>
      <c r="M440">
        <v>48</v>
      </c>
      <c r="N440" t="str">
        <f>HYPERLINK("Gene448-zp_tree_all.dnd", "Gene448-tree")</f>
        <v>Gene448-tree</v>
      </c>
      <c r="O440">
        <v>14</v>
      </c>
      <c r="P440">
        <v>2</v>
      </c>
      <c r="Q440">
        <v>14</v>
      </c>
      <c r="R440">
        <v>2</v>
      </c>
      <c r="S440">
        <v>0.125</v>
      </c>
      <c r="T440" t="s">
        <v>543</v>
      </c>
      <c r="U440" t="s">
        <v>81</v>
      </c>
      <c r="V440" t="s">
        <v>62</v>
      </c>
      <c r="W440" t="s">
        <v>62</v>
      </c>
      <c r="X440">
        <v>1</v>
      </c>
      <c r="Y440">
        <v>3</v>
      </c>
      <c r="Z440">
        <v>7</v>
      </c>
      <c r="AA440">
        <v>0.3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3</v>
      </c>
      <c r="AK440">
        <v>0</v>
      </c>
      <c r="AL440">
        <v>12</v>
      </c>
      <c r="AM440">
        <v>11</v>
      </c>
      <c r="AN440">
        <v>20</v>
      </c>
      <c r="AO440">
        <v>3</v>
      </c>
      <c r="AP440">
        <v>27</v>
      </c>
      <c r="AQ440">
        <v>7</v>
      </c>
      <c r="AR440" t="s">
        <v>3042</v>
      </c>
      <c r="AS440" t="s">
        <v>3043</v>
      </c>
      <c r="AT440">
        <v>0.36799999999999999</v>
      </c>
      <c r="AU440" t="s">
        <v>65</v>
      </c>
      <c r="AV440">
        <v>47</v>
      </c>
      <c r="AW440">
        <v>10</v>
      </c>
      <c r="AX440" t="s">
        <v>3044</v>
      </c>
      <c r="AY440">
        <v>0.14302999999999999</v>
      </c>
      <c r="AZ440">
        <v>-5.8599999999999998E-3</v>
      </c>
      <c r="BA440">
        <v>9.8099999999999993E-3</v>
      </c>
      <c r="BB440">
        <v>-5.5000000000000003E-4</v>
      </c>
      <c r="BC440">
        <v>6.8570000000000006E-2</v>
      </c>
      <c r="BD440">
        <v>1</v>
      </c>
      <c r="BE440" t="s">
        <v>69</v>
      </c>
      <c r="BF440">
        <v>-0.745</v>
      </c>
      <c r="BG440">
        <v>-0.77200000000000002</v>
      </c>
    </row>
    <row r="441" spans="1:59">
      <c r="A441">
        <v>0</v>
      </c>
      <c r="B441">
        <v>2</v>
      </c>
      <c r="C441">
        <v>0</v>
      </c>
      <c r="D441" t="s">
        <v>25022</v>
      </c>
      <c r="E441">
        <v>657</v>
      </c>
      <c r="F441" t="s">
        <v>4086</v>
      </c>
      <c r="G441" t="s">
        <v>57</v>
      </c>
      <c r="H441">
        <v>679390</v>
      </c>
      <c r="I441">
        <v>679758</v>
      </c>
      <c r="J441" t="s">
        <v>4087</v>
      </c>
      <c r="K441">
        <v>123</v>
      </c>
      <c r="L441" t="s">
        <v>4088</v>
      </c>
      <c r="M441">
        <v>48</v>
      </c>
      <c r="N441" t="str">
        <f>HYPERLINK("Gene657-zp_tree_all.dnd", "Gene657-tree")</f>
        <v>Gene657-tree</v>
      </c>
      <c r="O441">
        <v>11</v>
      </c>
      <c r="P441">
        <v>1</v>
      </c>
      <c r="Q441">
        <v>11</v>
      </c>
      <c r="R441">
        <v>1</v>
      </c>
      <c r="S441">
        <v>8.3330000000000001E-2</v>
      </c>
      <c r="T441" t="s">
        <v>73</v>
      </c>
      <c r="U441" t="s">
        <v>175</v>
      </c>
      <c r="V441" t="s">
        <v>62</v>
      </c>
      <c r="W441" t="s">
        <v>62</v>
      </c>
      <c r="X441">
        <v>1</v>
      </c>
      <c r="Y441">
        <v>2</v>
      </c>
      <c r="Z441">
        <v>1</v>
      </c>
      <c r="AA441">
        <v>0.66666999999999998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9</v>
      </c>
      <c r="AM441">
        <v>6</v>
      </c>
      <c r="AN441">
        <v>12</v>
      </c>
      <c r="AO441">
        <v>1</v>
      </c>
      <c r="AP441">
        <v>13</v>
      </c>
      <c r="AQ441">
        <v>2</v>
      </c>
      <c r="AR441" t="s">
        <v>4089</v>
      </c>
      <c r="AS441" t="s">
        <v>4090</v>
      </c>
      <c r="AT441">
        <v>0.22500000000000001</v>
      </c>
      <c r="AU441" t="s">
        <v>65</v>
      </c>
      <c r="AV441">
        <v>25</v>
      </c>
      <c r="AW441">
        <v>3</v>
      </c>
      <c r="AX441" t="s">
        <v>4091</v>
      </c>
      <c r="AY441">
        <v>8.7069999999999995E-2</v>
      </c>
      <c r="AZ441">
        <v>-6.9199999999999999E-3</v>
      </c>
      <c r="BA441">
        <v>2.7899999999999999E-3</v>
      </c>
      <c r="BB441">
        <v>-2.9999999999999997E-4</v>
      </c>
      <c r="BC441">
        <v>3.1989999999999998E-2</v>
      </c>
      <c r="BD441">
        <v>1</v>
      </c>
      <c r="BE441" t="s">
        <v>69</v>
      </c>
      <c r="BF441">
        <v>-1.232</v>
      </c>
      <c r="BG441">
        <v>-1.869</v>
      </c>
    </row>
    <row r="442" spans="1:59">
      <c r="A442">
        <v>0</v>
      </c>
      <c r="B442">
        <v>0</v>
      </c>
      <c r="C442">
        <v>0</v>
      </c>
      <c r="D442" t="s">
        <v>25022</v>
      </c>
      <c r="E442">
        <v>3929</v>
      </c>
      <c r="F442" t="s">
        <v>23057</v>
      </c>
      <c r="G442" t="s">
        <v>62</v>
      </c>
      <c r="H442">
        <v>3894033</v>
      </c>
      <c r="I442">
        <v>3894401</v>
      </c>
      <c r="J442" t="s">
        <v>4672</v>
      </c>
      <c r="K442">
        <v>123</v>
      </c>
      <c r="L442" t="s">
        <v>108</v>
      </c>
      <c r="M442">
        <v>44</v>
      </c>
      <c r="N442" t="str">
        <f>HYPERLINK("Gene3929-zp_tree_all.dnd", "Gene3929-tree")</f>
        <v>Gene3929-tree</v>
      </c>
      <c r="O442">
        <v>10</v>
      </c>
      <c r="P442">
        <v>0</v>
      </c>
      <c r="Q442">
        <v>10</v>
      </c>
      <c r="R442">
        <v>0</v>
      </c>
      <c r="S442">
        <v>0</v>
      </c>
      <c r="T442" t="s">
        <v>117</v>
      </c>
      <c r="U442" t="s">
        <v>62</v>
      </c>
      <c r="V442" t="s">
        <v>62</v>
      </c>
      <c r="W442" t="s">
        <v>62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7</v>
      </c>
      <c r="AM442">
        <v>4</v>
      </c>
      <c r="AN442">
        <v>11</v>
      </c>
      <c r="AO442">
        <v>0</v>
      </c>
      <c r="AP442">
        <v>4</v>
      </c>
      <c r="AQ442">
        <v>0</v>
      </c>
      <c r="AR442" t="s">
        <v>193</v>
      </c>
      <c r="AS442" t="s">
        <v>193</v>
      </c>
      <c r="AT442">
        <v>0</v>
      </c>
      <c r="AU442" t="s">
        <v>65</v>
      </c>
      <c r="AV442">
        <v>15</v>
      </c>
      <c r="AW442">
        <v>0</v>
      </c>
      <c r="AX442" t="s">
        <v>23058</v>
      </c>
      <c r="AY442">
        <v>3.8449999999999998E-2</v>
      </c>
      <c r="AZ442">
        <v>-2.4199999999999998E-3</v>
      </c>
      <c r="BA442">
        <v>9.7999999999999997E-4</v>
      </c>
      <c r="BB442">
        <v>-2.4000000000000001E-4</v>
      </c>
      <c r="BC442">
        <v>2.5510000000000001E-2</v>
      </c>
      <c r="BD442">
        <v>1</v>
      </c>
      <c r="BE442" t="s">
        <v>69</v>
      </c>
      <c r="BF442">
        <v>-1.2150000000000001</v>
      </c>
      <c r="BG442">
        <v>-1.097</v>
      </c>
    </row>
    <row r="443" spans="1:59">
      <c r="A443">
        <v>0</v>
      </c>
      <c r="B443">
        <v>0</v>
      </c>
      <c r="C443">
        <v>0</v>
      </c>
      <c r="D443" t="s">
        <v>25022</v>
      </c>
      <c r="E443">
        <v>105</v>
      </c>
      <c r="F443" t="s">
        <v>811</v>
      </c>
      <c r="G443" t="s">
        <v>57</v>
      </c>
      <c r="H443">
        <v>120607</v>
      </c>
      <c r="I443">
        <v>120975</v>
      </c>
      <c r="J443" t="s">
        <v>812</v>
      </c>
      <c r="K443">
        <v>123</v>
      </c>
      <c r="L443" t="s">
        <v>515</v>
      </c>
      <c r="M443">
        <v>51</v>
      </c>
      <c r="N443" t="str">
        <f>HYPERLINK("Gene105-zp_tree_all.dnd", "Gene105-tree")</f>
        <v>Gene105-tree</v>
      </c>
      <c r="O443">
        <v>10</v>
      </c>
      <c r="P443">
        <v>0</v>
      </c>
      <c r="Q443">
        <v>10</v>
      </c>
      <c r="R443">
        <v>0</v>
      </c>
      <c r="S443">
        <v>0</v>
      </c>
      <c r="T443" t="s">
        <v>117</v>
      </c>
      <c r="U443" t="s">
        <v>62</v>
      </c>
      <c r="V443" t="s">
        <v>62</v>
      </c>
      <c r="W443" t="s">
        <v>62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5</v>
      </c>
      <c r="AM443">
        <v>4</v>
      </c>
      <c r="AN443">
        <v>5</v>
      </c>
      <c r="AO443">
        <v>0</v>
      </c>
      <c r="AP443">
        <v>8</v>
      </c>
      <c r="AQ443">
        <v>0</v>
      </c>
      <c r="AR443" t="s">
        <v>193</v>
      </c>
      <c r="AS443" t="s">
        <v>193</v>
      </c>
      <c r="AT443">
        <v>0</v>
      </c>
      <c r="AU443" t="s">
        <v>65</v>
      </c>
      <c r="AV443">
        <v>13</v>
      </c>
      <c r="AW443">
        <v>0</v>
      </c>
      <c r="AX443" t="s">
        <v>813</v>
      </c>
      <c r="AY443">
        <v>4.7539999999999999E-2</v>
      </c>
      <c r="AZ443">
        <v>-4.3600000000000002E-3</v>
      </c>
      <c r="BA443">
        <v>0</v>
      </c>
      <c r="BB443">
        <v>0</v>
      </c>
      <c r="BC443">
        <v>0</v>
      </c>
      <c r="BD443">
        <v>1</v>
      </c>
      <c r="BE443" t="s">
        <v>69</v>
      </c>
      <c r="BF443">
        <v>-0.47799999999999998</v>
      </c>
      <c r="BG443">
        <v>0.86199999999999999</v>
      </c>
    </row>
    <row r="444" spans="1:59">
      <c r="A444">
        <v>0</v>
      </c>
      <c r="B444">
        <v>4</v>
      </c>
      <c r="C444">
        <v>5</v>
      </c>
      <c r="D444" t="s">
        <v>25022</v>
      </c>
      <c r="E444">
        <v>2569</v>
      </c>
      <c r="F444" t="s">
        <v>15028</v>
      </c>
      <c r="G444" t="s">
        <v>62</v>
      </c>
      <c r="H444">
        <v>2556140</v>
      </c>
      <c r="I444">
        <v>2556511</v>
      </c>
      <c r="J444" t="s">
        <v>15029</v>
      </c>
      <c r="K444">
        <v>124</v>
      </c>
      <c r="L444" t="s">
        <v>108</v>
      </c>
      <c r="M444">
        <v>44</v>
      </c>
      <c r="N444" t="str">
        <f>HYPERLINK("Gene2569-zp_tree_all.dnd", "Gene2569-tree")</f>
        <v>Gene2569-tree</v>
      </c>
      <c r="O444">
        <v>3</v>
      </c>
      <c r="P444">
        <v>9</v>
      </c>
      <c r="Q444">
        <v>3</v>
      </c>
      <c r="R444">
        <v>9</v>
      </c>
      <c r="S444">
        <v>0.75</v>
      </c>
      <c r="T444" t="s">
        <v>324</v>
      </c>
      <c r="U444" t="s">
        <v>135</v>
      </c>
      <c r="V444" t="s">
        <v>62</v>
      </c>
      <c r="W444" t="s">
        <v>62</v>
      </c>
      <c r="X444">
        <v>4</v>
      </c>
      <c r="Y444">
        <v>9</v>
      </c>
      <c r="Z444">
        <v>9</v>
      </c>
      <c r="AA444">
        <v>0.5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</v>
      </c>
      <c r="AH444">
        <v>5</v>
      </c>
      <c r="AI444">
        <v>7</v>
      </c>
      <c r="AJ444">
        <v>8</v>
      </c>
      <c r="AK444">
        <v>0.46666999999999997</v>
      </c>
      <c r="AL444">
        <v>10</v>
      </c>
      <c r="AM444">
        <v>8</v>
      </c>
      <c r="AN444">
        <v>12</v>
      </c>
      <c r="AO444">
        <v>15</v>
      </c>
      <c r="AP444">
        <v>7</v>
      </c>
      <c r="AQ444">
        <v>4</v>
      </c>
      <c r="AR444" t="s">
        <v>15030</v>
      </c>
      <c r="AS444" t="s">
        <v>15031</v>
      </c>
      <c r="AT444">
        <v>0.66100000000000003</v>
      </c>
      <c r="AU444" t="s">
        <v>65</v>
      </c>
      <c r="AV444">
        <v>19</v>
      </c>
      <c r="AW444">
        <v>19</v>
      </c>
      <c r="AX444" t="s">
        <v>15032</v>
      </c>
      <c r="AY444">
        <v>5.2429999999999997E-2</v>
      </c>
      <c r="AZ444">
        <v>-2.8999999999999998E-3</v>
      </c>
      <c r="BA444">
        <v>1.294E-2</v>
      </c>
      <c r="BB444">
        <v>-9.7999999999999997E-4</v>
      </c>
      <c r="BC444">
        <v>0.24684</v>
      </c>
      <c r="BD444">
        <v>0.99</v>
      </c>
      <c r="BE444" t="s">
        <v>69</v>
      </c>
      <c r="BF444">
        <v>-0.80900000000000005</v>
      </c>
      <c r="BG444">
        <v>0.128</v>
      </c>
    </row>
    <row r="445" spans="1:59">
      <c r="A445">
        <v>0</v>
      </c>
      <c r="B445">
        <v>2</v>
      </c>
      <c r="C445">
        <v>2</v>
      </c>
      <c r="D445" t="s">
        <v>25022</v>
      </c>
      <c r="E445">
        <v>938</v>
      </c>
      <c r="F445" t="s">
        <v>5876</v>
      </c>
      <c r="G445" t="s">
        <v>57</v>
      </c>
      <c r="H445">
        <v>979939</v>
      </c>
      <c r="I445">
        <v>980310</v>
      </c>
      <c r="J445" t="s">
        <v>5877</v>
      </c>
      <c r="K445">
        <v>124</v>
      </c>
      <c r="L445" t="s">
        <v>698</v>
      </c>
      <c r="M445">
        <v>47</v>
      </c>
      <c r="N445" t="str">
        <f>HYPERLINK("Gene938-zp_tree_all.dnd", "Gene938-tree")</f>
        <v>Gene938-tree</v>
      </c>
      <c r="O445">
        <v>3</v>
      </c>
      <c r="P445">
        <v>8</v>
      </c>
      <c r="Q445">
        <v>3</v>
      </c>
      <c r="R445">
        <v>8</v>
      </c>
      <c r="S445">
        <v>0.72726999999999997</v>
      </c>
      <c r="T445" t="s">
        <v>324</v>
      </c>
      <c r="U445" t="s">
        <v>136</v>
      </c>
      <c r="V445" t="s">
        <v>62</v>
      </c>
      <c r="W445" t="s">
        <v>62</v>
      </c>
      <c r="X445">
        <v>2</v>
      </c>
      <c r="Y445">
        <v>4</v>
      </c>
      <c r="Z445">
        <v>11</v>
      </c>
      <c r="AA445">
        <v>0.26667000000000002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</v>
      </c>
      <c r="AH445">
        <v>0</v>
      </c>
      <c r="AI445">
        <v>2</v>
      </c>
      <c r="AJ445">
        <v>8</v>
      </c>
      <c r="AK445">
        <v>0.2</v>
      </c>
      <c r="AL445">
        <v>9</v>
      </c>
      <c r="AM445">
        <v>4</v>
      </c>
      <c r="AN445">
        <v>11</v>
      </c>
      <c r="AO445">
        <v>10</v>
      </c>
      <c r="AP445">
        <v>12</v>
      </c>
      <c r="AQ445">
        <v>5</v>
      </c>
      <c r="AR445" t="s">
        <v>5878</v>
      </c>
      <c r="AS445" t="s">
        <v>5879</v>
      </c>
      <c r="AT445">
        <v>0.755</v>
      </c>
      <c r="AU445" t="s">
        <v>65</v>
      </c>
      <c r="AV445">
        <v>23</v>
      </c>
      <c r="AW445">
        <v>15</v>
      </c>
      <c r="AX445" t="s">
        <v>5880</v>
      </c>
      <c r="AY445">
        <v>8.6510000000000004E-2</v>
      </c>
      <c r="AZ445">
        <v>-8.0800000000000004E-3</v>
      </c>
      <c r="BA445">
        <v>1.333E-2</v>
      </c>
      <c r="BB445">
        <v>-1.23E-3</v>
      </c>
      <c r="BC445">
        <v>0.15409999999999999</v>
      </c>
      <c r="BD445">
        <v>1</v>
      </c>
      <c r="BE445" t="s">
        <v>69</v>
      </c>
      <c r="BF445">
        <v>-2.0550000000000002</v>
      </c>
      <c r="BG445">
        <v>-1.9510000000000001</v>
      </c>
    </row>
    <row r="446" spans="1:59">
      <c r="A446">
        <v>0</v>
      </c>
      <c r="B446">
        <v>0</v>
      </c>
      <c r="C446">
        <v>0</v>
      </c>
      <c r="D446" t="s">
        <v>25022</v>
      </c>
      <c r="E446">
        <v>3799</v>
      </c>
      <c r="F446" t="s">
        <v>22260</v>
      </c>
      <c r="G446" t="s">
        <v>62</v>
      </c>
      <c r="H446">
        <v>3768423</v>
      </c>
      <c r="I446">
        <v>3768794</v>
      </c>
      <c r="J446" t="s">
        <v>22261</v>
      </c>
      <c r="K446">
        <v>124</v>
      </c>
      <c r="L446" t="s">
        <v>108</v>
      </c>
      <c r="M446">
        <v>44</v>
      </c>
      <c r="N446" t="str">
        <f>HYPERLINK("Gene3799-zp_tree_all.dnd", "Gene3799-tree")</f>
        <v>Gene3799-tree</v>
      </c>
      <c r="O446">
        <v>9</v>
      </c>
      <c r="P446">
        <v>5</v>
      </c>
      <c r="Q446">
        <v>9</v>
      </c>
      <c r="R446">
        <v>5</v>
      </c>
      <c r="S446">
        <v>0.35714000000000001</v>
      </c>
      <c r="T446" t="s">
        <v>135</v>
      </c>
      <c r="U446" t="s">
        <v>199</v>
      </c>
      <c r="V446" t="s">
        <v>62</v>
      </c>
      <c r="W446" t="s">
        <v>62</v>
      </c>
      <c r="X446">
        <v>0</v>
      </c>
      <c r="Y446">
        <v>0</v>
      </c>
      <c r="Z446">
        <v>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</v>
      </c>
      <c r="AK446">
        <v>0</v>
      </c>
      <c r="AL446">
        <v>9</v>
      </c>
      <c r="AM446">
        <v>6</v>
      </c>
      <c r="AN446">
        <v>12</v>
      </c>
      <c r="AO446">
        <v>5</v>
      </c>
      <c r="AP446">
        <v>5</v>
      </c>
      <c r="AQ446">
        <v>2</v>
      </c>
      <c r="AR446" t="s">
        <v>22262</v>
      </c>
      <c r="AS446" t="s">
        <v>22263</v>
      </c>
      <c r="AT446">
        <v>2.1000000000000001E-2</v>
      </c>
      <c r="AU446" t="s">
        <v>65</v>
      </c>
      <c r="AV446">
        <v>17</v>
      </c>
      <c r="AW446">
        <v>7</v>
      </c>
      <c r="AX446" t="s">
        <v>22264</v>
      </c>
      <c r="AY446">
        <v>3.6069999999999998E-2</v>
      </c>
      <c r="AZ446">
        <v>-2.47E-3</v>
      </c>
      <c r="BA446">
        <v>5.0099999999999997E-3</v>
      </c>
      <c r="BB446">
        <v>-2.9E-4</v>
      </c>
      <c r="BC446">
        <v>0.13893</v>
      </c>
      <c r="BD446">
        <v>1</v>
      </c>
      <c r="BE446" t="s">
        <v>69</v>
      </c>
      <c r="BF446">
        <v>-1.5840000000000001</v>
      </c>
      <c r="BG446">
        <v>-2.4159999999999999</v>
      </c>
    </row>
    <row r="447" spans="1:59">
      <c r="A447">
        <v>0</v>
      </c>
      <c r="B447">
        <v>2</v>
      </c>
      <c r="C447">
        <v>0</v>
      </c>
      <c r="D447" t="s">
        <v>25022</v>
      </c>
      <c r="E447">
        <v>1605</v>
      </c>
      <c r="F447" t="s">
        <v>10045</v>
      </c>
      <c r="G447" t="s">
        <v>57</v>
      </c>
      <c r="H447">
        <v>1616267</v>
      </c>
      <c r="I447">
        <v>1616638</v>
      </c>
      <c r="J447" t="s">
        <v>10046</v>
      </c>
      <c r="K447">
        <v>124</v>
      </c>
      <c r="L447" t="s">
        <v>289</v>
      </c>
      <c r="M447">
        <v>46</v>
      </c>
      <c r="N447" t="str">
        <f>HYPERLINK("Gene1605-zp_tree_all.dnd", "Gene1605-tree")</f>
        <v>Gene1605-tree</v>
      </c>
      <c r="O447">
        <v>9</v>
      </c>
      <c r="P447">
        <v>2</v>
      </c>
      <c r="Q447">
        <v>9</v>
      </c>
      <c r="R447">
        <v>2</v>
      </c>
      <c r="S447">
        <v>0.18182000000000001</v>
      </c>
      <c r="T447" t="s">
        <v>135</v>
      </c>
      <c r="U447" t="s">
        <v>81</v>
      </c>
      <c r="V447" t="s">
        <v>62</v>
      </c>
      <c r="W447" t="s">
        <v>62</v>
      </c>
      <c r="X447">
        <v>1</v>
      </c>
      <c r="Y447">
        <v>2</v>
      </c>
      <c r="Z447">
        <v>4</v>
      </c>
      <c r="AA447">
        <v>0.33333000000000002</v>
      </c>
      <c r="AB447">
        <v>0</v>
      </c>
      <c r="AC447">
        <v>0</v>
      </c>
      <c r="AD447">
        <v>0</v>
      </c>
      <c r="AE447">
        <v>2</v>
      </c>
      <c r="AF447">
        <v>0</v>
      </c>
      <c r="AG447">
        <v>0</v>
      </c>
      <c r="AH447">
        <v>0</v>
      </c>
      <c r="AI447">
        <v>0</v>
      </c>
      <c r="AJ447">
        <v>2</v>
      </c>
      <c r="AK447">
        <v>0</v>
      </c>
      <c r="AL447">
        <v>8</v>
      </c>
      <c r="AM447">
        <v>5</v>
      </c>
      <c r="AN447">
        <v>17</v>
      </c>
      <c r="AO447">
        <v>2</v>
      </c>
      <c r="AP447">
        <v>14</v>
      </c>
      <c r="AQ447">
        <v>4</v>
      </c>
      <c r="AR447" t="s">
        <v>10047</v>
      </c>
      <c r="AS447" t="s">
        <v>10048</v>
      </c>
      <c r="AT447">
        <v>0.58199999999999996</v>
      </c>
      <c r="AU447" t="s">
        <v>65</v>
      </c>
      <c r="AV447">
        <v>31</v>
      </c>
      <c r="AW447">
        <v>6</v>
      </c>
      <c r="AX447" t="s">
        <v>10049</v>
      </c>
      <c r="AY447">
        <v>8.4809999999999997E-2</v>
      </c>
      <c r="AZ447">
        <v>-7.5199999999999998E-3</v>
      </c>
      <c r="BA447">
        <v>6.11E-3</v>
      </c>
      <c r="BB447">
        <v>-4.8000000000000001E-4</v>
      </c>
      <c r="BC447">
        <v>7.2029999999999997E-2</v>
      </c>
      <c r="BD447">
        <v>1</v>
      </c>
      <c r="BE447" t="s">
        <v>69</v>
      </c>
      <c r="BF447">
        <v>-0.126</v>
      </c>
      <c r="BG447">
        <v>0.80600000000000005</v>
      </c>
    </row>
    <row r="448" spans="1:59">
      <c r="A448">
        <v>0</v>
      </c>
      <c r="B448">
        <v>0</v>
      </c>
      <c r="C448">
        <v>0</v>
      </c>
      <c r="D448" t="s">
        <v>25022</v>
      </c>
      <c r="E448">
        <v>3950</v>
      </c>
      <c r="F448" t="s">
        <v>23196</v>
      </c>
      <c r="G448" t="s">
        <v>62</v>
      </c>
      <c r="H448">
        <v>3914318</v>
      </c>
      <c r="I448">
        <v>3914689</v>
      </c>
      <c r="J448" t="s">
        <v>23197</v>
      </c>
      <c r="K448">
        <v>124</v>
      </c>
      <c r="L448" t="s">
        <v>698</v>
      </c>
      <c r="M448">
        <v>47</v>
      </c>
      <c r="N448" t="str">
        <f>HYPERLINK("Gene3950-zp_tree_all.dnd", "Gene3950-tree")</f>
        <v>Gene3950-tree</v>
      </c>
      <c r="O448">
        <v>40</v>
      </c>
      <c r="P448">
        <v>1</v>
      </c>
      <c r="Q448">
        <v>11</v>
      </c>
      <c r="R448">
        <v>1</v>
      </c>
      <c r="S448">
        <v>8.3330000000000001E-2</v>
      </c>
      <c r="T448" t="s">
        <v>23198</v>
      </c>
      <c r="U448" t="s">
        <v>175</v>
      </c>
      <c r="V448" t="s">
        <v>62</v>
      </c>
      <c r="W448" t="s">
        <v>62</v>
      </c>
      <c r="X448">
        <v>0</v>
      </c>
      <c r="Y448">
        <v>0</v>
      </c>
      <c r="Z448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</v>
      </c>
      <c r="AK448">
        <v>0</v>
      </c>
      <c r="AL448">
        <v>9</v>
      </c>
      <c r="AM448">
        <v>6</v>
      </c>
      <c r="AN448">
        <v>18</v>
      </c>
      <c r="AO448">
        <v>2</v>
      </c>
      <c r="AP448">
        <v>14</v>
      </c>
      <c r="AQ448">
        <v>4</v>
      </c>
      <c r="AR448" t="s">
        <v>23199</v>
      </c>
      <c r="AS448" t="s">
        <v>23200</v>
      </c>
      <c r="AT448">
        <v>0.41399999999999998</v>
      </c>
      <c r="AU448" t="s">
        <v>65</v>
      </c>
      <c r="AV448">
        <v>32</v>
      </c>
      <c r="AW448">
        <v>6</v>
      </c>
      <c r="AX448" t="s">
        <v>23201</v>
      </c>
      <c r="AY448">
        <v>0.11012</v>
      </c>
      <c r="AZ448">
        <v>-6.9300000000000004E-3</v>
      </c>
      <c r="BA448">
        <v>7.8499999999999993E-3</v>
      </c>
      <c r="BB448">
        <v>-6.9999999999999999E-4</v>
      </c>
      <c r="BC448">
        <v>7.1290000000000006E-2</v>
      </c>
      <c r="BD448">
        <v>1</v>
      </c>
      <c r="BE448" t="s">
        <v>69</v>
      </c>
      <c r="BF448">
        <v>-1.2689999999999999</v>
      </c>
      <c r="BG448">
        <v>-0.504</v>
      </c>
    </row>
    <row r="449" spans="1:59">
      <c r="A449">
        <v>0</v>
      </c>
      <c r="B449">
        <v>2</v>
      </c>
      <c r="C449">
        <v>0</v>
      </c>
      <c r="D449" t="s">
        <v>25022</v>
      </c>
      <c r="E449">
        <v>3381</v>
      </c>
      <c r="F449" t="s">
        <v>19770</v>
      </c>
      <c r="G449" t="s">
        <v>62</v>
      </c>
      <c r="H449">
        <v>3352315</v>
      </c>
      <c r="I449">
        <v>3352686</v>
      </c>
      <c r="J449" t="s">
        <v>19771</v>
      </c>
      <c r="K449">
        <v>124</v>
      </c>
      <c r="L449" t="s">
        <v>160</v>
      </c>
      <c r="M449">
        <v>45</v>
      </c>
      <c r="N449" t="str">
        <f>HYPERLINK("Gene3381-zp_tree_all.dnd", "Gene3381-tree")</f>
        <v>Gene3381-tree</v>
      </c>
      <c r="O449">
        <v>7</v>
      </c>
      <c r="P449">
        <v>5</v>
      </c>
      <c r="Q449">
        <v>7</v>
      </c>
      <c r="R449">
        <v>5</v>
      </c>
      <c r="S449">
        <v>0.41666999999999998</v>
      </c>
      <c r="T449" t="s">
        <v>152</v>
      </c>
      <c r="U449" t="s">
        <v>199</v>
      </c>
      <c r="V449" t="s">
        <v>62</v>
      </c>
      <c r="W449" t="s">
        <v>62</v>
      </c>
      <c r="X449">
        <v>1</v>
      </c>
      <c r="Y449">
        <v>2</v>
      </c>
      <c r="Z449">
        <v>8</v>
      </c>
      <c r="AA449">
        <v>0.2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6</v>
      </c>
      <c r="AK449">
        <v>0</v>
      </c>
      <c r="AL449">
        <v>8</v>
      </c>
      <c r="AM449">
        <v>7</v>
      </c>
      <c r="AN449">
        <v>20</v>
      </c>
      <c r="AO449">
        <v>6</v>
      </c>
      <c r="AP449">
        <v>16</v>
      </c>
      <c r="AQ449">
        <v>4</v>
      </c>
      <c r="AR449" t="s">
        <v>19772</v>
      </c>
      <c r="AS449" t="s">
        <v>19773</v>
      </c>
      <c r="AT449">
        <v>0.115</v>
      </c>
      <c r="AU449" t="s">
        <v>65</v>
      </c>
      <c r="AV449">
        <v>36</v>
      </c>
      <c r="AW449">
        <v>10</v>
      </c>
      <c r="AX449" t="s">
        <v>19774</v>
      </c>
      <c r="AY449">
        <v>0.11867999999999999</v>
      </c>
      <c r="AZ449">
        <v>-9.2700000000000005E-3</v>
      </c>
      <c r="BA449">
        <v>7.3099999999999997E-3</v>
      </c>
      <c r="BB449">
        <v>-8.0999999999999996E-4</v>
      </c>
      <c r="BC449">
        <v>6.1620000000000001E-2</v>
      </c>
      <c r="BD449">
        <v>1</v>
      </c>
      <c r="BE449" t="s">
        <v>69</v>
      </c>
      <c r="BF449">
        <v>-1.5289999999999999</v>
      </c>
      <c r="BG449">
        <v>-1.8049999999999999</v>
      </c>
    </row>
    <row r="450" spans="1:59">
      <c r="A450">
        <v>0</v>
      </c>
      <c r="B450">
        <v>0</v>
      </c>
      <c r="C450">
        <v>0</v>
      </c>
      <c r="D450" t="s">
        <v>25022</v>
      </c>
      <c r="E450">
        <v>187</v>
      </c>
      <c r="F450" t="s">
        <v>1318</v>
      </c>
      <c r="G450" t="s">
        <v>57</v>
      </c>
      <c r="H450">
        <v>210572</v>
      </c>
      <c r="I450">
        <v>210943</v>
      </c>
      <c r="J450" t="s">
        <v>1319</v>
      </c>
      <c r="K450">
        <v>124</v>
      </c>
      <c r="L450" t="s">
        <v>1320</v>
      </c>
      <c r="M450">
        <v>44</v>
      </c>
      <c r="N450" t="str">
        <f>HYPERLINK("Gene187-zp_tree_all.dnd", "Gene187-tree")</f>
        <v>Gene187-tree</v>
      </c>
      <c r="O450">
        <v>9</v>
      </c>
      <c r="P450">
        <v>2</v>
      </c>
      <c r="Q450">
        <v>9</v>
      </c>
      <c r="R450">
        <v>2</v>
      </c>
      <c r="S450">
        <v>0.18182000000000001</v>
      </c>
      <c r="T450" t="s">
        <v>135</v>
      </c>
      <c r="U450" t="s">
        <v>81</v>
      </c>
      <c r="V450" t="s">
        <v>62</v>
      </c>
      <c r="W450" t="s">
        <v>62</v>
      </c>
      <c r="X450">
        <v>0</v>
      </c>
      <c r="Y450">
        <v>0</v>
      </c>
      <c r="Z450">
        <v>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5</v>
      </c>
      <c r="AK450">
        <v>0</v>
      </c>
      <c r="AL450">
        <v>10</v>
      </c>
      <c r="AM450">
        <v>5</v>
      </c>
      <c r="AN450">
        <v>22</v>
      </c>
      <c r="AO450">
        <v>5</v>
      </c>
      <c r="AP450">
        <v>6</v>
      </c>
      <c r="AQ450">
        <v>0</v>
      </c>
      <c r="AR450" t="s">
        <v>1321</v>
      </c>
      <c r="AS450" t="s">
        <v>193</v>
      </c>
      <c r="AT450">
        <v>0.40400000000000003</v>
      </c>
      <c r="AU450" t="s">
        <v>65</v>
      </c>
      <c r="AV450">
        <v>28</v>
      </c>
      <c r="AW450">
        <v>5</v>
      </c>
      <c r="AX450" t="s">
        <v>1322</v>
      </c>
      <c r="AY450">
        <v>7.9630000000000006E-2</v>
      </c>
      <c r="AZ450">
        <v>-8.1200000000000005E-3</v>
      </c>
      <c r="BA450">
        <v>3.8800000000000002E-3</v>
      </c>
      <c r="BB450">
        <v>-7.7999999999999999E-4</v>
      </c>
      <c r="BC450">
        <v>4.8770000000000001E-2</v>
      </c>
      <c r="BD450">
        <v>1</v>
      </c>
      <c r="BE450" t="s">
        <v>69</v>
      </c>
      <c r="BF450">
        <v>-1.2589999999999999</v>
      </c>
      <c r="BG450">
        <v>-2.0089999999999999</v>
      </c>
    </row>
    <row r="451" spans="1:59">
      <c r="A451">
        <v>0</v>
      </c>
      <c r="B451">
        <v>0</v>
      </c>
      <c r="C451">
        <v>0</v>
      </c>
      <c r="D451" t="s">
        <v>25022</v>
      </c>
      <c r="E451">
        <v>2419</v>
      </c>
      <c r="F451" t="s">
        <v>14095</v>
      </c>
      <c r="G451" t="s">
        <v>62</v>
      </c>
      <c r="H451">
        <v>2427408</v>
      </c>
      <c r="I451">
        <v>2427779</v>
      </c>
      <c r="J451" t="s">
        <v>14096</v>
      </c>
      <c r="K451">
        <v>124</v>
      </c>
      <c r="L451" t="s">
        <v>59</v>
      </c>
      <c r="M451">
        <v>49</v>
      </c>
      <c r="N451" t="str">
        <f>HYPERLINK("Gene2419-zp_tree_all.dnd", "Gene2419-tree")</f>
        <v>Gene2419-tree</v>
      </c>
      <c r="O451">
        <v>6</v>
      </c>
      <c r="P451">
        <v>0</v>
      </c>
      <c r="Q451">
        <v>6</v>
      </c>
      <c r="R451">
        <v>0</v>
      </c>
      <c r="S451">
        <v>0</v>
      </c>
      <c r="T451" t="s">
        <v>90</v>
      </c>
      <c r="U451" t="s">
        <v>62</v>
      </c>
      <c r="V451" t="s">
        <v>62</v>
      </c>
      <c r="W451" t="s">
        <v>62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4</v>
      </c>
      <c r="AM451">
        <v>2</v>
      </c>
      <c r="AN451">
        <v>7</v>
      </c>
      <c r="AO451">
        <v>0</v>
      </c>
      <c r="AP451">
        <v>5</v>
      </c>
      <c r="AQ451">
        <v>0</v>
      </c>
      <c r="AR451" t="s">
        <v>193</v>
      </c>
      <c r="AS451" t="s">
        <v>193</v>
      </c>
      <c r="AT451">
        <v>0</v>
      </c>
      <c r="AU451" t="s">
        <v>65</v>
      </c>
      <c r="AV451">
        <v>12</v>
      </c>
      <c r="AW451">
        <v>0</v>
      </c>
      <c r="AX451" t="s">
        <v>14097</v>
      </c>
      <c r="AY451">
        <v>7.2389999999999996E-2</v>
      </c>
      <c r="AZ451">
        <v>-6.6800000000000002E-3</v>
      </c>
      <c r="BA451">
        <v>0</v>
      </c>
      <c r="BB451">
        <v>0</v>
      </c>
      <c r="BC451">
        <v>0</v>
      </c>
      <c r="BD451">
        <v>1</v>
      </c>
      <c r="BE451" t="s">
        <v>69</v>
      </c>
      <c r="BF451">
        <v>-1.728</v>
      </c>
      <c r="BG451">
        <v>-0.67400000000000004</v>
      </c>
    </row>
    <row r="452" spans="1:59">
      <c r="A452">
        <v>0</v>
      </c>
      <c r="B452">
        <v>0</v>
      </c>
      <c r="C452">
        <v>0</v>
      </c>
      <c r="D452" t="s">
        <v>25022</v>
      </c>
      <c r="E452">
        <v>3849</v>
      </c>
      <c r="F452" t="s">
        <v>22560</v>
      </c>
      <c r="G452" t="s">
        <v>62</v>
      </c>
      <c r="H452">
        <v>3809553</v>
      </c>
      <c r="I452">
        <v>3809924</v>
      </c>
      <c r="J452" t="s">
        <v>22561</v>
      </c>
      <c r="K452">
        <v>124</v>
      </c>
      <c r="L452" t="s">
        <v>125</v>
      </c>
      <c r="M452">
        <v>48</v>
      </c>
      <c r="N452" t="str">
        <f>HYPERLINK("Gene3849-zp_tree_all.dnd", "Gene3849-tree")</f>
        <v>Gene3849-tree</v>
      </c>
      <c r="O452">
        <v>29</v>
      </c>
      <c r="P452">
        <v>0</v>
      </c>
      <c r="Q452">
        <v>12</v>
      </c>
      <c r="R452">
        <v>0</v>
      </c>
      <c r="S452">
        <v>0</v>
      </c>
      <c r="T452" t="s">
        <v>1455</v>
      </c>
      <c r="U452" t="s">
        <v>62</v>
      </c>
      <c r="V452" t="s">
        <v>62</v>
      </c>
      <c r="W452" t="s">
        <v>62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7</v>
      </c>
      <c r="AM452">
        <v>5</v>
      </c>
      <c r="AN452">
        <v>9</v>
      </c>
      <c r="AO452">
        <v>0</v>
      </c>
      <c r="AP452">
        <v>19</v>
      </c>
      <c r="AQ452">
        <v>0</v>
      </c>
      <c r="AR452" t="s">
        <v>193</v>
      </c>
      <c r="AS452" t="s">
        <v>193</v>
      </c>
      <c r="AT452">
        <v>0</v>
      </c>
      <c r="AU452" t="s">
        <v>65</v>
      </c>
      <c r="AV452">
        <v>28</v>
      </c>
      <c r="AW452">
        <v>0</v>
      </c>
      <c r="AX452" t="s">
        <v>22562</v>
      </c>
      <c r="AY452">
        <v>0.13730999999999999</v>
      </c>
      <c r="AZ452">
        <v>-1.3480000000000001E-2</v>
      </c>
      <c r="BA452">
        <v>0</v>
      </c>
      <c r="BB452">
        <v>0</v>
      </c>
      <c r="BC452">
        <v>0</v>
      </c>
      <c r="BD452">
        <v>1</v>
      </c>
      <c r="BE452" t="s">
        <v>69</v>
      </c>
      <c r="BF452">
        <v>-0.94199999999999995</v>
      </c>
      <c r="BG452">
        <v>0.16600000000000001</v>
      </c>
    </row>
    <row r="453" spans="1:59">
      <c r="A453">
        <v>0</v>
      </c>
      <c r="B453">
        <v>0</v>
      </c>
      <c r="C453">
        <v>0</v>
      </c>
      <c r="D453" t="s">
        <v>25022</v>
      </c>
      <c r="E453">
        <v>2319</v>
      </c>
      <c r="F453" t="s">
        <v>13445</v>
      </c>
      <c r="G453" t="s">
        <v>62</v>
      </c>
      <c r="H453">
        <v>2338020</v>
      </c>
      <c r="I453">
        <v>2338394</v>
      </c>
      <c r="J453" t="s">
        <v>13446</v>
      </c>
      <c r="K453">
        <v>125</v>
      </c>
      <c r="L453" t="s">
        <v>108</v>
      </c>
      <c r="M453">
        <v>44</v>
      </c>
      <c r="N453" t="str">
        <f>HYPERLINK("Gene2319-zp_tree_all.dnd", "Gene2319-tree")</f>
        <v>Gene2319-tree</v>
      </c>
      <c r="O453">
        <v>4</v>
      </c>
      <c r="P453">
        <v>2</v>
      </c>
      <c r="Q453">
        <v>4</v>
      </c>
      <c r="R453">
        <v>2</v>
      </c>
      <c r="S453">
        <v>0.33333000000000002</v>
      </c>
      <c r="T453" t="s">
        <v>61</v>
      </c>
      <c r="U453" t="s">
        <v>81</v>
      </c>
      <c r="V453" t="s">
        <v>62</v>
      </c>
      <c r="W453" t="s">
        <v>62</v>
      </c>
      <c r="X453">
        <v>0</v>
      </c>
      <c r="Y453">
        <v>0</v>
      </c>
      <c r="Z453">
        <v>3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2</v>
      </c>
      <c r="AK453">
        <v>0</v>
      </c>
      <c r="AL453">
        <v>3</v>
      </c>
      <c r="AM453">
        <v>2</v>
      </c>
      <c r="AN453">
        <v>3</v>
      </c>
      <c r="AO453">
        <v>1</v>
      </c>
      <c r="AP453">
        <v>1</v>
      </c>
      <c r="AQ453">
        <v>2</v>
      </c>
      <c r="AR453" t="s">
        <v>13447</v>
      </c>
      <c r="AS453" t="s">
        <v>13448</v>
      </c>
      <c r="AT453">
        <v>1.1100000000000001</v>
      </c>
      <c r="AU453" t="s">
        <v>65</v>
      </c>
      <c r="AV453">
        <v>4</v>
      </c>
      <c r="AW453">
        <v>3</v>
      </c>
      <c r="AX453" t="s">
        <v>13449</v>
      </c>
      <c r="AY453">
        <v>2.0129999999999999E-2</v>
      </c>
      <c r="AZ453">
        <v>-2.99E-3</v>
      </c>
      <c r="BA453">
        <v>4.7299999999999998E-3</v>
      </c>
      <c r="BB453">
        <v>-7.6999999999999996E-4</v>
      </c>
      <c r="BC453">
        <v>0.23491000000000001</v>
      </c>
      <c r="BD453">
        <v>0.89200000000000002</v>
      </c>
      <c r="BE453" t="s">
        <v>635</v>
      </c>
      <c r="BF453">
        <v>0.57199999999999995</v>
      </c>
      <c r="BG453">
        <v>1.25</v>
      </c>
    </row>
    <row r="454" spans="1:59">
      <c r="A454">
        <v>0</v>
      </c>
      <c r="B454">
        <v>0</v>
      </c>
      <c r="C454">
        <v>0</v>
      </c>
      <c r="D454" t="s">
        <v>25022</v>
      </c>
      <c r="E454">
        <v>3659</v>
      </c>
      <c r="F454" t="s">
        <v>21471</v>
      </c>
      <c r="G454" t="s">
        <v>62</v>
      </c>
      <c r="H454">
        <v>3631766</v>
      </c>
      <c r="I454">
        <v>3632140</v>
      </c>
      <c r="J454" t="s">
        <v>116</v>
      </c>
      <c r="K454">
        <v>125</v>
      </c>
      <c r="L454" t="s">
        <v>108</v>
      </c>
      <c r="M454">
        <v>44</v>
      </c>
      <c r="N454" t="str">
        <f>HYPERLINK("Gene3659-zp_tree_all.dnd", "Gene3659-tree")</f>
        <v>Gene3659-tree</v>
      </c>
      <c r="O454">
        <v>30</v>
      </c>
      <c r="P454">
        <v>2</v>
      </c>
      <c r="Q454">
        <v>5</v>
      </c>
      <c r="R454">
        <v>2</v>
      </c>
      <c r="S454">
        <v>0.28571000000000002</v>
      </c>
      <c r="T454" t="s">
        <v>1768</v>
      </c>
      <c r="U454" t="s">
        <v>81</v>
      </c>
      <c r="V454" t="s">
        <v>62</v>
      </c>
      <c r="W454" t="s">
        <v>62</v>
      </c>
      <c r="X454">
        <v>0</v>
      </c>
      <c r="Y454">
        <v>0</v>
      </c>
      <c r="Z454">
        <v>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</v>
      </c>
      <c r="AK454">
        <v>0</v>
      </c>
      <c r="AL454">
        <v>5</v>
      </c>
      <c r="AM454">
        <v>1</v>
      </c>
      <c r="AN454">
        <v>4</v>
      </c>
      <c r="AO454">
        <v>3</v>
      </c>
      <c r="AP454">
        <v>1</v>
      </c>
      <c r="AQ454">
        <v>0</v>
      </c>
      <c r="AR454" t="s">
        <v>21472</v>
      </c>
      <c r="AS454" t="s">
        <v>193</v>
      </c>
      <c r="AT454">
        <v>0.84099999999999997</v>
      </c>
      <c r="AU454" t="s">
        <v>65</v>
      </c>
      <c r="AV454">
        <v>5</v>
      </c>
      <c r="AW454">
        <v>3</v>
      </c>
      <c r="AX454" t="s">
        <v>21473</v>
      </c>
      <c r="AY454">
        <v>2.2460000000000001E-2</v>
      </c>
      <c r="AZ454">
        <v>-2.14E-3</v>
      </c>
      <c r="BA454">
        <v>2.8999999999999998E-3</v>
      </c>
      <c r="BB454">
        <v>-6.8999999999999997E-4</v>
      </c>
      <c r="BC454">
        <v>0.12898000000000001</v>
      </c>
      <c r="BD454">
        <v>0.97799999999999998</v>
      </c>
      <c r="BE454" t="s">
        <v>69</v>
      </c>
      <c r="BF454">
        <v>-0.749</v>
      </c>
      <c r="BG454">
        <v>-2.165</v>
      </c>
    </row>
    <row r="455" spans="1:59">
      <c r="A455">
        <v>0</v>
      </c>
      <c r="B455">
        <v>4</v>
      </c>
      <c r="C455">
        <v>0</v>
      </c>
      <c r="D455" t="s">
        <v>25022</v>
      </c>
      <c r="E455">
        <v>4201</v>
      </c>
      <c r="F455" t="s">
        <v>24741</v>
      </c>
      <c r="G455" t="s">
        <v>62</v>
      </c>
      <c r="H455">
        <v>4167625</v>
      </c>
      <c r="I455">
        <v>4167999</v>
      </c>
      <c r="J455" t="s">
        <v>24742</v>
      </c>
      <c r="K455">
        <v>125</v>
      </c>
      <c r="L455" t="s">
        <v>108</v>
      </c>
      <c r="M455">
        <v>44</v>
      </c>
      <c r="N455" t="str">
        <f>HYPERLINK("Gene4201-zp_tree_all.dnd", "Gene4201-tree")</f>
        <v>Gene4201-tree</v>
      </c>
      <c r="O455">
        <v>4</v>
      </c>
      <c r="P455">
        <v>4</v>
      </c>
      <c r="Q455">
        <v>4</v>
      </c>
      <c r="R455">
        <v>4</v>
      </c>
      <c r="S455">
        <v>0.5</v>
      </c>
      <c r="T455" t="s">
        <v>61</v>
      </c>
      <c r="U455" t="s">
        <v>61</v>
      </c>
      <c r="V455" t="s">
        <v>62</v>
      </c>
      <c r="W455" t="s">
        <v>62</v>
      </c>
      <c r="X455">
        <v>2</v>
      </c>
      <c r="Y455">
        <v>4</v>
      </c>
      <c r="Z455">
        <v>1</v>
      </c>
      <c r="AA455">
        <v>0.8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</v>
      </c>
      <c r="AH455">
        <v>0</v>
      </c>
      <c r="AI455">
        <v>4</v>
      </c>
      <c r="AJ455">
        <v>1</v>
      </c>
      <c r="AK455">
        <v>0.8</v>
      </c>
      <c r="AL455">
        <v>5</v>
      </c>
      <c r="AM455">
        <v>3</v>
      </c>
      <c r="AN455">
        <v>13</v>
      </c>
      <c r="AO455">
        <v>2</v>
      </c>
      <c r="AP455">
        <v>5</v>
      </c>
      <c r="AQ455">
        <v>3</v>
      </c>
      <c r="AR455" t="s">
        <v>24743</v>
      </c>
      <c r="AS455" t="s">
        <v>24744</v>
      </c>
      <c r="AT455">
        <v>1.234</v>
      </c>
      <c r="AU455" t="s">
        <v>65</v>
      </c>
      <c r="AV455">
        <v>18</v>
      </c>
      <c r="AW455">
        <v>5</v>
      </c>
      <c r="AX455" t="s">
        <v>24745</v>
      </c>
      <c r="AY455">
        <v>6.4310000000000006E-2</v>
      </c>
      <c r="AZ455">
        <v>-5.2100000000000002E-3</v>
      </c>
      <c r="BA455">
        <v>5.1500000000000001E-3</v>
      </c>
      <c r="BB455">
        <v>-6.6E-4</v>
      </c>
      <c r="BC455">
        <v>8.0100000000000005E-2</v>
      </c>
      <c r="BD455">
        <v>1</v>
      </c>
      <c r="BE455" t="s">
        <v>69</v>
      </c>
      <c r="BF455">
        <v>1.5329999999999999</v>
      </c>
      <c r="BG455">
        <v>0.40300000000000002</v>
      </c>
    </row>
    <row r="456" spans="1:59">
      <c r="A456">
        <v>0</v>
      </c>
      <c r="B456">
        <v>0</v>
      </c>
      <c r="C456">
        <v>0</v>
      </c>
      <c r="D456" t="s">
        <v>25022</v>
      </c>
      <c r="E456">
        <v>3393</v>
      </c>
      <c r="F456" t="s">
        <v>19846</v>
      </c>
      <c r="G456" t="s">
        <v>62</v>
      </c>
      <c r="H456">
        <v>3361308</v>
      </c>
      <c r="I456">
        <v>3361682</v>
      </c>
      <c r="J456" t="s">
        <v>116</v>
      </c>
      <c r="K456">
        <v>125</v>
      </c>
      <c r="L456" t="s">
        <v>108</v>
      </c>
      <c r="M456">
        <v>44</v>
      </c>
      <c r="N456" t="str">
        <f>HYPERLINK("Gene3393-zp_tree_all.dnd", "Gene3393-tree")</f>
        <v>Gene3393-tree</v>
      </c>
      <c r="O456">
        <v>13</v>
      </c>
      <c r="P456">
        <v>1</v>
      </c>
      <c r="Q456">
        <v>13</v>
      </c>
      <c r="R456">
        <v>1</v>
      </c>
      <c r="S456">
        <v>7.1429999999999993E-2</v>
      </c>
      <c r="T456" t="s">
        <v>507</v>
      </c>
      <c r="U456" t="s">
        <v>175</v>
      </c>
      <c r="V456" t="s">
        <v>62</v>
      </c>
      <c r="W456" t="s">
        <v>62</v>
      </c>
      <c r="X456">
        <v>0</v>
      </c>
      <c r="Y456">
        <v>0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10</v>
      </c>
      <c r="AM456">
        <v>4</v>
      </c>
      <c r="AN456">
        <v>14</v>
      </c>
      <c r="AO456">
        <v>2</v>
      </c>
      <c r="AP456">
        <v>7</v>
      </c>
      <c r="AQ456">
        <v>1</v>
      </c>
      <c r="AR456" t="s">
        <v>19847</v>
      </c>
      <c r="AS456" t="s">
        <v>19848</v>
      </c>
      <c r="AT456">
        <v>1E-3</v>
      </c>
      <c r="AU456" t="s">
        <v>65</v>
      </c>
      <c r="AV456">
        <v>21</v>
      </c>
      <c r="AW456">
        <v>3</v>
      </c>
      <c r="AX456" t="s">
        <v>19849</v>
      </c>
      <c r="AY456">
        <v>4.4900000000000002E-2</v>
      </c>
      <c r="AZ456">
        <v>-2.5899999999999999E-3</v>
      </c>
      <c r="BA456">
        <v>1.8799999999999999E-3</v>
      </c>
      <c r="BB456">
        <v>-2.5000000000000001E-4</v>
      </c>
      <c r="BC456">
        <v>4.1829999999999999E-2</v>
      </c>
      <c r="BD456">
        <v>1</v>
      </c>
      <c r="BE456" t="s">
        <v>69</v>
      </c>
      <c r="BF456">
        <v>-0.84499999999999997</v>
      </c>
      <c r="BG456">
        <v>-1.6140000000000001</v>
      </c>
    </row>
    <row r="457" spans="1:59">
      <c r="A457">
        <v>0</v>
      </c>
      <c r="B457">
        <v>0</v>
      </c>
      <c r="C457">
        <v>0</v>
      </c>
      <c r="D457" t="s">
        <v>25022</v>
      </c>
      <c r="E457">
        <v>62</v>
      </c>
      <c r="F457" t="s">
        <v>505</v>
      </c>
      <c r="G457" t="s">
        <v>57</v>
      </c>
      <c r="H457">
        <v>69168</v>
      </c>
      <c r="I457">
        <v>69542</v>
      </c>
      <c r="J457" t="s">
        <v>506</v>
      </c>
      <c r="K457">
        <v>125</v>
      </c>
      <c r="L457" t="s">
        <v>59</v>
      </c>
      <c r="M457">
        <v>49</v>
      </c>
      <c r="N457" t="str">
        <f>HYPERLINK("Gene62-zp_tree_all.dnd", "Gene62-tree")</f>
        <v>Gene62-tree</v>
      </c>
      <c r="O457">
        <v>13</v>
      </c>
      <c r="P457">
        <v>2</v>
      </c>
      <c r="Q457">
        <v>13</v>
      </c>
      <c r="R457">
        <v>2</v>
      </c>
      <c r="S457">
        <v>0.13333</v>
      </c>
      <c r="T457" t="s">
        <v>507</v>
      </c>
      <c r="U457" t="s">
        <v>81</v>
      </c>
      <c r="V457" t="s">
        <v>62</v>
      </c>
      <c r="W457" t="s">
        <v>62</v>
      </c>
      <c r="X457">
        <v>0</v>
      </c>
      <c r="Y457">
        <v>0</v>
      </c>
      <c r="Z457">
        <v>3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2</v>
      </c>
      <c r="AK457">
        <v>0</v>
      </c>
      <c r="AL457">
        <v>11</v>
      </c>
      <c r="AM457">
        <v>6</v>
      </c>
      <c r="AN457">
        <v>14</v>
      </c>
      <c r="AO457">
        <v>2</v>
      </c>
      <c r="AP457">
        <v>15</v>
      </c>
      <c r="AQ457">
        <v>1</v>
      </c>
      <c r="AR457" t="s">
        <v>508</v>
      </c>
      <c r="AS457" t="s">
        <v>509</v>
      </c>
      <c r="AT457">
        <v>0.3</v>
      </c>
      <c r="AU457" t="s">
        <v>65</v>
      </c>
      <c r="AV457">
        <v>29</v>
      </c>
      <c r="AW457">
        <v>3</v>
      </c>
      <c r="AX457" t="s">
        <v>510</v>
      </c>
      <c r="AY457">
        <v>7.3499999999999996E-2</v>
      </c>
      <c r="AZ457">
        <v>-4.4400000000000004E-3</v>
      </c>
      <c r="BA457">
        <v>2.3400000000000001E-3</v>
      </c>
      <c r="BB457">
        <v>-2.4000000000000001E-4</v>
      </c>
      <c r="BC457">
        <v>3.1789999999999999E-2</v>
      </c>
      <c r="BD457">
        <v>1</v>
      </c>
      <c r="BE457" t="s">
        <v>69</v>
      </c>
      <c r="BF457">
        <v>-1.4810000000000001</v>
      </c>
      <c r="BG457">
        <v>-0.161</v>
      </c>
    </row>
    <row r="458" spans="1:59">
      <c r="A458">
        <v>0</v>
      </c>
      <c r="B458">
        <v>0</v>
      </c>
      <c r="C458">
        <v>0</v>
      </c>
      <c r="D458" t="s">
        <v>25022</v>
      </c>
      <c r="E458">
        <v>48</v>
      </c>
      <c r="F458" t="s">
        <v>407</v>
      </c>
      <c r="G458" t="s">
        <v>57</v>
      </c>
      <c r="H458">
        <v>55295</v>
      </c>
      <c r="I458">
        <v>55669</v>
      </c>
      <c r="J458" t="s">
        <v>408</v>
      </c>
      <c r="K458">
        <v>125</v>
      </c>
      <c r="L458" t="s">
        <v>409</v>
      </c>
      <c r="M458">
        <v>45</v>
      </c>
      <c r="N458" t="str">
        <f>HYPERLINK("Gene48-zp_tree_all.dnd", "Gene48-tree")</f>
        <v>Gene48-tree</v>
      </c>
      <c r="O458">
        <v>10</v>
      </c>
      <c r="P458">
        <v>3</v>
      </c>
      <c r="Q458">
        <v>10</v>
      </c>
      <c r="R458">
        <v>3</v>
      </c>
      <c r="S458">
        <v>0.23077</v>
      </c>
      <c r="T458" t="s">
        <v>117</v>
      </c>
      <c r="U458" t="s">
        <v>324</v>
      </c>
      <c r="V458" t="s">
        <v>62</v>
      </c>
      <c r="W458" t="s">
        <v>62</v>
      </c>
      <c r="X458">
        <v>0</v>
      </c>
      <c r="Y458">
        <v>0</v>
      </c>
      <c r="Z458">
        <v>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3</v>
      </c>
      <c r="AK458">
        <v>0</v>
      </c>
      <c r="AL458">
        <v>11</v>
      </c>
      <c r="AM458">
        <v>3</v>
      </c>
      <c r="AN458">
        <v>30</v>
      </c>
      <c r="AO458">
        <v>3</v>
      </c>
      <c r="AP458">
        <v>4</v>
      </c>
      <c r="AQ458">
        <v>0</v>
      </c>
      <c r="AR458" t="s">
        <v>410</v>
      </c>
      <c r="AS458" t="s">
        <v>193</v>
      </c>
      <c r="AT458">
        <v>0.64400000000000002</v>
      </c>
      <c r="AU458" t="s">
        <v>65</v>
      </c>
      <c r="AV458">
        <v>34</v>
      </c>
      <c r="AW458">
        <v>3</v>
      </c>
      <c r="AX458" t="s">
        <v>411</v>
      </c>
      <c r="AY458">
        <v>7.9380000000000006E-2</v>
      </c>
      <c r="AZ458">
        <v>-8.5400000000000007E-3</v>
      </c>
      <c r="BA458">
        <v>1.6000000000000001E-3</v>
      </c>
      <c r="BB458">
        <v>-2.2000000000000001E-4</v>
      </c>
      <c r="BC458">
        <v>2.018E-2</v>
      </c>
      <c r="BD458">
        <v>1</v>
      </c>
      <c r="BE458" t="s">
        <v>69</v>
      </c>
      <c r="BF458">
        <v>-1.7789999999999999</v>
      </c>
      <c r="BG458">
        <v>-4.2649999999999997</v>
      </c>
    </row>
    <row r="459" spans="1:59">
      <c r="A459">
        <v>0</v>
      </c>
      <c r="B459">
        <v>7</v>
      </c>
      <c r="C459">
        <v>1</v>
      </c>
      <c r="D459" t="s">
        <v>25022</v>
      </c>
      <c r="E459">
        <v>4237</v>
      </c>
      <c r="F459" t="s">
        <v>24886</v>
      </c>
      <c r="G459" t="s">
        <v>62</v>
      </c>
      <c r="H459">
        <v>4196353</v>
      </c>
      <c r="I459">
        <v>4196730</v>
      </c>
      <c r="J459" t="s">
        <v>11323</v>
      </c>
      <c r="K459">
        <v>126</v>
      </c>
      <c r="L459" t="s">
        <v>1933</v>
      </c>
      <c r="M459">
        <v>39</v>
      </c>
      <c r="N459" t="str">
        <f>HYPERLINK("Gene4237-zp_tree_all.dnd", "Gene4237-tree")</f>
        <v>Gene4237-tree</v>
      </c>
      <c r="O459">
        <v>7</v>
      </c>
      <c r="P459">
        <v>6</v>
      </c>
      <c r="Q459">
        <v>7</v>
      </c>
      <c r="R459">
        <v>6</v>
      </c>
      <c r="S459">
        <v>0.46154000000000001</v>
      </c>
      <c r="T459" t="s">
        <v>152</v>
      </c>
      <c r="U459" t="s">
        <v>90</v>
      </c>
      <c r="V459" t="s">
        <v>62</v>
      </c>
      <c r="W459" t="s">
        <v>62</v>
      </c>
      <c r="X459">
        <v>3</v>
      </c>
      <c r="Y459">
        <v>8</v>
      </c>
      <c r="Z459">
        <v>8</v>
      </c>
      <c r="AA459">
        <v>0.5</v>
      </c>
      <c r="AB459">
        <v>0</v>
      </c>
      <c r="AC459">
        <v>0</v>
      </c>
      <c r="AD459">
        <v>0</v>
      </c>
      <c r="AE459">
        <v>4</v>
      </c>
      <c r="AF459">
        <v>0</v>
      </c>
      <c r="AG459">
        <v>2</v>
      </c>
      <c r="AH459">
        <v>2</v>
      </c>
      <c r="AI459">
        <v>4</v>
      </c>
      <c r="AJ459">
        <v>6</v>
      </c>
      <c r="AK459">
        <v>0.4</v>
      </c>
      <c r="AL459">
        <v>8</v>
      </c>
      <c r="AM459">
        <v>7</v>
      </c>
      <c r="AN459">
        <v>21</v>
      </c>
      <c r="AO459">
        <v>9</v>
      </c>
      <c r="AP459">
        <v>8</v>
      </c>
      <c r="AQ459">
        <v>7</v>
      </c>
      <c r="AR459" t="s">
        <v>24887</v>
      </c>
      <c r="AS459" t="s">
        <v>24888</v>
      </c>
      <c r="AT459">
        <v>0.76600000000000001</v>
      </c>
      <c r="AU459" t="s">
        <v>65</v>
      </c>
      <c r="AV459">
        <v>29</v>
      </c>
      <c r="AW459">
        <v>16</v>
      </c>
      <c r="AX459" t="s">
        <v>24889</v>
      </c>
      <c r="AY459">
        <v>6.3759999999999997E-2</v>
      </c>
      <c r="AZ459">
        <v>-5.7099999999999998E-3</v>
      </c>
      <c r="BA459">
        <v>1.099E-2</v>
      </c>
      <c r="BB459">
        <v>-5.9000000000000003E-4</v>
      </c>
      <c r="BC459">
        <v>0.17244000000000001</v>
      </c>
      <c r="BD459">
        <v>1</v>
      </c>
      <c r="BE459" t="s">
        <v>69</v>
      </c>
      <c r="BF459">
        <v>-1.625</v>
      </c>
      <c r="BG459">
        <v>-2.2559999999999998</v>
      </c>
    </row>
    <row r="460" spans="1:59">
      <c r="A460">
        <v>0</v>
      </c>
      <c r="B460">
        <v>6</v>
      </c>
      <c r="C460">
        <v>0</v>
      </c>
      <c r="D460" t="s">
        <v>25022</v>
      </c>
      <c r="E460">
        <v>3286</v>
      </c>
      <c r="F460" t="s">
        <v>19178</v>
      </c>
      <c r="G460" t="s">
        <v>62</v>
      </c>
      <c r="H460">
        <v>3252408</v>
      </c>
      <c r="I460">
        <v>3252785</v>
      </c>
      <c r="J460" t="s">
        <v>19179</v>
      </c>
      <c r="K460">
        <v>126</v>
      </c>
      <c r="L460" t="s">
        <v>108</v>
      </c>
      <c r="M460">
        <v>44</v>
      </c>
      <c r="N460" t="str">
        <f>HYPERLINK("Gene3286-zp_tree_all.dnd", "Gene3286-tree")</f>
        <v>Gene3286-tree</v>
      </c>
      <c r="O460">
        <v>10</v>
      </c>
      <c r="P460">
        <v>5</v>
      </c>
      <c r="Q460">
        <v>10</v>
      </c>
      <c r="R460">
        <v>5</v>
      </c>
      <c r="S460">
        <v>0.33333000000000002</v>
      </c>
      <c r="T460" t="s">
        <v>117</v>
      </c>
      <c r="U460" t="s">
        <v>199</v>
      </c>
      <c r="V460" t="s">
        <v>62</v>
      </c>
      <c r="W460" t="s">
        <v>62</v>
      </c>
      <c r="X460">
        <v>2</v>
      </c>
      <c r="Y460">
        <v>6</v>
      </c>
      <c r="Z460">
        <v>7</v>
      </c>
      <c r="AA460">
        <v>0.46154000000000001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2</v>
      </c>
      <c r="AH460">
        <v>0</v>
      </c>
      <c r="AI460">
        <v>2</v>
      </c>
      <c r="AJ460">
        <v>7</v>
      </c>
      <c r="AK460">
        <v>0.22222</v>
      </c>
      <c r="AL460">
        <v>9</v>
      </c>
      <c r="AM460">
        <v>8</v>
      </c>
      <c r="AN460">
        <v>19</v>
      </c>
      <c r="AO460">
        <v>9</v>
      </c>
      <c r="AP460">
        <v>16</v>
      </c>
      <c r="AQ460">
        <v>4</v>
      </c>
      <c r="AR460" t="s">
        <v>19180</v>
      </c>
      <c r="AS460" t="s">
        <v>19181</v>
      </c>
      <c r="AT460">
        <v>0.58099999999999996</v>
      </c>
      <c r="AU460" t="s">
        <v>65</v>
      </c>
      <c r="AV460">
        <v>35</v>
      </c>
      <c r="AW460">
        <v>13</v>
      </c>
      <c r="AX460" t="s">
        <v>19182</v>
      </c>
      <c r="AY460">
        <v>8.473E-2</v>
      </c>
      <c r="AZ460">
        <v>-4.6899999999999997E-3</v>
      </c>
      <c r="BA460">
        <v>7.28E-3</v>
      </c>
      <c r="BB460">
        <v>-4.6999999999999999E-4</v>
      </c>
      <c r="BC460">
        <v>8.5889999999999994E-2</v>
      </c>
      <c r="BD460">
        <v>1</v>
      </c>
      <c r="BE460" t="s">
        <v>69</v>
      </c>
      <c r="BF460">
        <v>0.33800000000000002</v>
      </c>
      <c r="BG460">
        <v>-0.11700000000000001</v>
      </c>
    </row>
    <row r="461" spans="1:59">
      <c r="A461">
        <v>0</v>
      </c>
      <c r="B461">
        <v>5</v>
      </c>
      <c r="C461">
        <v>1</v>
      </c>
      <c r="D461" t="s">
        <v>25022</v>
      </c>
      <c r="E461">
        <v>3438</v>
      </c>
      <c r="F461" t="s">
        <v>20125</v>
      </c>
      <c r="G461" t="s">
        <v>62</v>
      </c>
      <c r="H461">
        <v>3398553</v>
      </c>
      <c r="I461">
        <v>3398930</v>
      </c>
      <c r="J461" t="s">
        <v>20126</v>
      </c>
      <c r="K461">
        <v>126</v>
      </c>
      <c r="L461" t="s">
        <v>125</v>
      </c>
      <c r="M461">
        <v>48</v>
      </c>
      <c r="N461" t="str">
        <f>HYPERLINK("Gene3438-zp_tree_all.dnd", "Gene3438-tree")</f>
        <v>Gene3438-tree</v>
      </c>
      <c r="O461">
        <v>30</v>
      </c>
      <c r="P461">
        <v>6</v>
      </c>
      <c r="Q461">
        <v>7</v>
      </c>
      <c r="R461">
        <v>6</v>
      </c>
      <c r="S461">
        <v>0.46154000000000001</v>
      </c>
      <c r="T461" t="s">
        <v>5684</v>
      </c>
      <c r="U461" t="s">
        <v>90</v>
      </c>
      <c r="V461" t="s">
        <v>62</v>
      </c>
      <c r="W461" t="s">
        <v>62</v>
      </c>
      <c r="X461">
        <v>2</v>
      </c>
      <c r="Y461">
        <v>6</v>
      </c>
      <c r="Z461">
        <v>7</v>
      </c>
      <c r="AA461">
        <v>0.46154000000000001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2</v>
      </c>
      <c r="AH461">
        <v>2</v>
      </c>
      <c r="AI461">
        <v>4</v>
      </c>
      <c r="AJ461">
        <v>4</v>
      </c>
      <c r="AK461">
        <v>0.5</v>
      </c>
      <c r="AL461">
        <v>11</v>
      </c>
      <c r="AM461">
        <v>9</v>
      </c>
      <c r="AN461">
        <v>17</v>
      </c>
      <c r="AO461">
        <v>8</v>
      </c>
      <c r="AP461">
        <v>22</v>
      </c>
      <c r="AQ461">
        <v>5</v>
      </c>
      <c r="AR461" t="s">
        <v>20127</v>
      </c>
      <c r="AS461" t="s">
        <v>20128</v>
      </c>
      <c r="AT461">
        <v>0.70799999999999996</v>
      </c>
      <c r="AU461" t="s">
        <v>65</v>
      </c>
      <c r="AV461">
        <v>39</v>
      </c>
      <c r="AW461">
        <v>13</v>
      </c>
      <c r="AX461" t="s">
        <v>20129</v>
      </c>
      <c r="AY461">
        <v>0.11858</v>
      </c>
      <c r="AZ461">
        <v>-8.7399999999999995E-3</v>
      </c>
      <c r="BA461">
        <v>9.1299999999999992E-3</v>
      </c>
      <c r="BB461">
        <v>-5.0000000000000001E-4</v>
      </c>
      <c r="BC461">
        <v>7.7009999999999995E-2</v>
      </c>
      <c r="BD461">
        <v>1</v>
      </c>
      <c r="BE461" t="s">
        <v>69</v>
      </c>
      <c r="BF461">
        <v>-0.96899999999999997</v>
      </c>
      <c r="BG461">
        <v>0.55700000000000005</v>
      </c>
    </row>
    <row r="462" spans="1:59">
      <c r="A462">
        <v>0</v>
      </c>
      <c r="B462">
        <v>0</v>
      </c>
      <c r="C462">
        <v>2</v>
      </c>
      <c r="D462" t="s">
        <v>25022</v>
      </c>
      <c r="E462">
        <v>2579</v>
      </c>
      <c r="F462" t="s">
        <v>15095</v>
      </c>
      <c r="G462" t="s">
        <v>62</v>
      </c>
      <c r="H462">
        <v>2564029</v>
      </c>
      <c r="I462">
        <v>2564406</v>
      </c>
      <c r="J462" t="s">
        <v>15096</v>
      </c>
      <c r="K462">
        <v>126</v>
      </c>
      <c r="L462" t="s">
        <v>394</v>
      </c>
      <c r="M462">
        <v>48</v>
      </c>
      <c r="N462" t="str">
        <f>HYPERLINK("Gene2579-zp_tree_all.dnd", "Gene2579-tree")</f>
        <v>Gene2579-tree</v>
      </c>
      <c r="O462">
        <v>8</v>
      </c>
      <c r="P462">
        <v>3</v>
      </c>
      <c r="Q462">
        <v>8</v>
      </c>
      <c r="R462">
        <v>3</v>
      </c>
      <c r="S462">
        <v>0.27272999999999997</v>
      </c>
      <c r="T462" t="s">
        <v>136</v>
      </c>
      <c r="U462" t="s">
        <v>324</v>
      </c>
      <c r="V462" t="s">
        <v>62</v>
      </c>
      <c r="W462" t="s">
        <v>62</v>
      </c>
      <c r="X462">
        <v>1</v>
      </c>
      <c r="Y462">
        <v>2</v>
      </c>
      <c r="Z462">
        <v>5</v>
      </c>
      <c r="AA462">
        <v>0.28571000000000002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0</v>
      </c>
      <c r="AH462">
        <v>0</v>
      </c>
      <c r="AI462">
        <v>0</v>
      </c>
      <c r="AJ462">
        <v>3</v>
      </c>
      <c r="AK462">
        <v>0</v>
      </c>
      <c r="AL462">
        <v>7</v>
      </c>
      <c r="AM462">
        <v>6</v>
      </c>
      <c r="AN462">
        <v>12</v>
      </c>
      <c r="AO462">
        <v>3</v>
      </c>
      <c r="AP462">
        <v>15</v>
      </c>
      <c r="AQ462">
        <v>4</v>
      </c>
      <c r="AR462" t="s">
        <v>15097</v>
      </c>
      <c r="AS462" t="s">
        <v>15098</v>
      </c>
      <c r="AT462">
        <v>3.4000000000000002E-2</v>
      </c>
      <c r="AU462" t="s">
        <v>65</v>
      </c>
      <c r="AV462">
        <v>27</v>
      </c>
      <c r="AW462">
        <v>7</v>
      </c>
      <c r="AX462" t="s">
        <v>15099</v>
      </c>
      <c r="AY462">
        <v>0.12125</v>
      </c>
      <c r="AZ462">
        <v>-1.1730000000000001E-2</v>
      </c>
      <c r="BA462">
        <v>8.9099999999999995E-3</v>
      </c>
      <c r="BB462">
        <v>-7.9000000000000001E-4</v>
      </c>
      <c r="BC462">
        <v>7.3450000000000001E-2</v>
      </c>
      <c r="BD462">
        <v>1</v>
      </c>
      <c r="BE462" t="s">
        <v>69</v>
      </c>
      <c r="BF462">
        <v>-1.752</v>
      </c>
      <c r="BG462">
        <v>-1.5629999999999999</v>
      </c>
    </row>
    <row r="463" spans="1:59">
      <c r="A463">
        <v>0</v>
      </c>
      <c r="B463">
        <v>0</v>
      </c>
      <c r="C463">
        <v>0</v>
      </c>
      <c r="D463" t="s">
        <v>25022</v>
      </c>
      <c r="E463">
        <v>3019</v>
      </c>
      <c r="F463" t="s">
        <v>17445</v>
      </c>
      <c r="G463" t="s">
        <v>62</v>
      </c>
      <c r="H463">
        <v>2968263</v>
      </c>
      <c r="I463">
        <v>2968640</v>
      </c>
      <c r="J463" t="s">
        <v>17446</v>
      </c>
      <c r="K463">
        <v>126</v>
      </c>
      <c r="L463" t="s">
        <v>1607</v>
      </c>
      <c r="M463">
        <v>47</v>
      </c>
      <c r="N463" t="str">
        <f>HYPERLINK("Gene3019-zp_tree_all.dnd", "Gene3019-tree")</f>
        <v>Gene3019-tree</v>
      </c>
      <c r="O463">
        <v>11</v>
      </c>
      <c r="P463">
        <v>4</v>
      </c>
      <c r="Q463">
        <v>11</v>
      </c>
      <c r="R463">
        <v>4</v>
      </c>
      <c r="S463">
        <v>0.26667000000000002</v>
      </c>
      <c r="T463" t="s">
        <v>73</v>
      </c>
      <c r="U463" t="s">
        <v>61</v>
      </c>
      <c r="V463" t="s">
        <v>62</v>
      </c>
      <c r="W463" t="s">
        <v>62</v>
      </c>
      <c r="X463">
        <v>0</v>
      </c>
      <c r="Y463">
        <v>0</v>
      </c>
      <c r="Z463">
        <v>6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5</v>
      </c>
      <c r="AK463">
        <v>0</v>
      </c>
      <c r="AL463">
        <v>10</v>
      </c>
      <c r="AM463">
        <v>10</v>
      </c>
      <c r="AN463">
        <v>15</v>
      </c>
      <c r="AO463">
        <v>5</v>
      </c>
      <c r="AP463">
        <v>25</v>
      </c>
      <c r="AQ463">
        <v>1</v>
      </c>
      <c r="AR463" t="s">
        <v>17447</v>
      </c>
      <c r="AS463" t="s">
        <v>17448</v>
      </c>
      <c r="AT463">
        <v>1.1060000000000001</v>
      </c>
      <c r="AU463" t="s">
        <v>65</v>
      </c>
      <c r="AV463">
        <v>40</v>
      </c>
      <c r="AW463">
        <v>6</v>
      </c>
      <c r="AX463" t="s">
        <v>17449</v>
      </c>
      <c r="AY463">
        <v>0.13089999999999999</v>
      </c>
      <c r="AZ463">
        <v>-1.0540000000000001E-2</v>
      </c>
      <c r="BA463">
        <v>3.4299999999999999E-3</v>
      </c>
      <c r="BB463">
        <v>-3.1E-4</v>
      </c>
      <c r="BC463">
        <v>2.623E-2</v>
      </c>
      <c r="BD463">
        <v>1</v>
      </c>
      <c r="BE463" t="s">
        <v>69</v>
      </c>
      <c r="BF463">
        <v>-1.2929999999999999</v>
      </c>
      <c r="BG463">
        <v>-0.69</v>
      </c>
    </row>
    <row r="464" spans="1:59">
      <c r="A464">
        <v>0</v>
      </c>
      <c r="B464">
        <v>0</v>
      </c>
      <c r="C464">
        <v>0</v>
      </c>
      <c r="D464" t="s">
        <v>25022</v>
      </c>
      <c r="E464">
        <v>3017</v>
      </c>
      <c r="F464" t="s">
        <v>17435</v>
      </c>
      <c r="G464" t="s">
        <v>62</v>
      </c>
      <c r="H464">
        <v>2966416</v>
      </c>
      <c r="I464">
        <v>2966793</v>
      </c>
      <c r="J464" t="s">
        <v>17436</v>
      </c>
      <c r="K464">
        <v>126</v>
      </c>
      <c r="L464" t="s">
        <v>59</v>
      </c>
      <c r="M464">
        <v>49</v>
      </c>
      <c r="N464" t="str">
        <f>HYPERLINK("Gene3017-zp_tree_all.dnd", "Gene3017-tree")</f>
        <v>Gene3017-tree</v>
      </c>
      <c r="O464">
        <v>7</v>
      </c>
      <c r="P464">
        <v>0</v>
      </c>
      <c r="Q464">
        <v>7</v>
      </c>
      <c r="R464">
        <v>0</v>
      </c>
      <c r="S464">
        <v>0</v>
      </c>
      <c r="T464" t="s">
        <v>152</v>
      </c>
      <c r="U464" t="s">
        <v>62</v>
      </c>
      <c r="V464" t="s">
        <v>62</v>
      </c>
      <c r="W464" t="s">
        <v>62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3</v>
      </c>
      <c r="AM464">
        <v>4</v>
      </c>
      <c r="AN464">
        <v>3</v>
      </c>
      <c r="AO464">
        <v>0</v>
      </c>
      <c r="AP464">
        <v>4</v>
      </c>
      <c r="AQ464">
        <v>0</v>
      </c>
      <c r="AR464" t="s">
        <v>193</v>
      </c>
      <c r="AS464" t="s">
        <v>193</v>
      </c>
      <c r="AT464">
        <v>0</v>
      </c>
      <c r="AU464" t="s">
        <v>65</v>
      </c>
      <c r="AV464">
        <v>7</v>
      </c>
      <c r="AW464">
        <v>0</v>
      </c>
      <c r="AX464" t="s">
        <v>17437</v>
      </c>
      <c r="AY464">
        <v>3.6240000000000001E-2</v>
      </c>
      <c r="AZ464">
        <v>-4.0099999999999997E-3</v>
      </c>
      <c r="BA464">
        <v>0</v>
      </c>
      <c r="BB464">
        <v>0</v>
      </c>
      <c r="BC464">
        <v>0</v>
      </c>
      <c r="BD464">
        <v>1</v>
      </c>
      <c r="BE464" t="s">
        <v>69</v>
      </c>
      <c r="BF464">
        <v>-1.18</v>
      </c>
      <c r="BG464">
        <v>-0.308</v>
      </c>
    </row>
    <row r="465" spans="1:59">
      <c r="A465">
        <v>0</v>
      </c>
      <c r="B465">
        <v>9</v>
      </c>
      <c r="C465">
        <v>0</v>
      </c>
      <c r="D465" t="s">
        <v>25022</v>
      </c>
      <c r="E465">
        <v>2570</v>
      </c>
      <c r="F465" t="s">
        <v>15035</v>
      </c>
      <c r="G465" t="s">
        <v>62</v>
      </c>
      <c r="H465">
        <v>2556515</v>
      </c>
      <c r="I465">
        <v>2556895</v>
      </c>
      <c r="J465" t="s">
        <v>15029</v>
      </c>
      <c r="K465">
        <v>127</v>
      </c>
      <c r="L465" t="s">
        <v>108</v>
      </c>
      <c r="M465">
        <v>44</v>
      </c>
      <c r="N465" t="str">
        <f>HYPERLINK("Gene2570-zp_tree_all.dnd", "Gene2570-tree")</f>
        <v>Gene2570-tree</v>
      </c>
      <c r="O465">
        <v>6</v>
      </c>
      <c r="P465">
        <v>7</v>
      </c>
      <c r="Q465">
        <v>6</v>
      </c>
      <c r="R465">
        <v>7</v>
      </c>
      <c r="S465">
        <v>0.53846000000000005</v>
      </c>
      <c r="T465" t="s">
        <v>90</v>
      </c>
      <c r="U465" t="s">
        <v>152</v>
      </c>
      <c r="V465" t="s">
        <v>62</v>
      </c>
      <c r="W465" t="s">
        <v>62</v>
      </c>
      <c r="X465">
        <v>3</v>
      </c>
      <c r="Y465">
        <v>9</v>
      </c>
      <c r="Z465">
        <v>8</v>
      </c>
      <c r="AA465">
        <v>0.52941000000000005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5</v>
      </c>
      <c r="AH465">
        <v>0</v>
      </c>
      <c r="AI465">
        <v>5</v>
      </c>
      <c r="AJ465">
        <v>6</v>
      </c>
      <c r="AK465">
        <v>0.45455000000000001</v>
      </c>
      <c r="AL465">
        <v>10</v>
      </c>
      <c r="AM465">
        <v>6</v>
      </c>
      <c r="AN465">
        <v>14</v>
      </c>
      <c r="AO465">
        <v>11</v>
      </c>
      <c r="AP465">
        <v>5</v>
      </c>
      <c r="AQ465">
        <v>6</v>
      </c>
      <c r="AR465" t="s">
        <v>15036</v>
      </c>
      <c r="AS465" t="s">
        <v>15037</v>
      </c>
      <c r="AT465">
        <v>0.27600000000000002</v>
      </c>
      <c r="AU465" t="s">
        <v>65</v>
      </c>
      <c r="AV465">
        <v>19</v>
      </c>
      <c r="AW465">
        <v>17</v>
      </c>
      <c r="AX465" t="s">
        <v>15038</v>
      </c>
      <c r="AY465">
        <v>5.491E-2</v>
      </c>
      <c r="AZ465">
        <v>-3.16E-3</v>
      </c>
      <c r="BA465">
        <v>9.5399999999999999E-3</v>
      </c>
      <c r="BB465">
        <v>-5.1000000000000004E-4</v>
      </c>
      <c r="BC465">
        <v>0.17380999999999999</v>
      </c>
      <c r="BD465">
        <v>0.99</v>
      </c>
      <c r="BE465" t="s">
        <v>69</v>
      </c>
      <c r="BF465">
        <v>-0.41299999999999998</v>
      </c>
      <c r="BG465">
        <v>-0.65400000000000003</v>
      </c>
    </row>
    <row r="466" spans="1:59">
      <c r="A466">
        <v>0</v>
      </c>
      <c r="B466">
        <v>12</v>
      </c>
      <c r="C466">
        <v>4</v>
      </c>
      <c r="D466" t="s">
        <v>25022</v>
      </c>
      <c r="E466">
        <v>3385</v>
      </c>
      <c r="F466" t="s">
        <v>19794</v>
      </c>
      <c r="G466" t="s">
        <v>62</v>
      </c>
      <c r="H466">
        <v>3354554</v>
      </c>
      <c r="I466">
        <v>3354934</v>
      </c>
      <c r="J466" t="s">
        <v>19795</v>
      </c>
      <c r="K466">
        <v>127</v>
      </c>
      <c r="L466" t="s">
        <v>19796</v>
      </c>
      <c r="M466">
        <v>46</v>
      </c>
      <c r="N466" t="str">
        <f>HYPERLINK("Gene3385-zp_tree_all.dnd", "Gene3385-tree")</f>
        <v>Gene3385-tree</v>
      </c>
      <c r="O466">
        <v>4</v>
      </c>
      <c r="P466">
        <v>10</v>
      </c>
      <c r="Q466">
        <v>4</v>
      </c>
      <c r="R466">
        <v>10</v>
      </c>
      <c r="S466">
        <v>0.71428999999999998</v>
      </c>
      <c r="T466" t="s">
        <v>61</v>
      </c>
      <c r="U466" t="s">
        <v>117</v>
      </c>
      <c r="V466" t="s">
        <v>62</v>
      </c>
      <c r="W466" t="s">
        <v>62</v>
      </c>
      <c r="X466">
        <v>6</v>
      </c>
      <c r="Y466">
        <v>16</v>
      </c>
      <c r="Z466">
        <v>10</v>
      </c>
      <c r="AA466">
        <v>0.61538000000000004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6</v>
      </c>
      <c r="AH466">
        <v>1</v>
      </c>
      <c r="AI466">
        <v>7</v>
      </c>
      <c r="AJ466">
        <v>6</v>
      </c>
      <c r="AK466">
        <v>0.53846000000000005</v>
      </c>
      <c r="AL466">
        <v>11</v>
      </c>
      <c r="AM466">
        <v>6</v>
      </c>
      <c r="AN466">
        <v>16</v>
      </c>
      <c r="AO466">
        <v>10</v>
      </c>
      <c r="AP466">
        <v>16</v>
      </c>
      <c r="AQ466">
        <v>16</v>
      </c>
      <c r="AR466" t="s">
        <v>19797</v>
      </c>
      <c r="AS466" t="s">
        <v>19798</v>
      </c>
      <c r="AT466">
        <v>0.85899999999999999</v>
      </c>
      <c r="AU466" t="s">
        <v>65</v>
      </c>
      <c r="AV466">
        <v>32</v>
      </c>
      <c r="AW466">
        <v>26</v>
      </c>
      <c r="AX466" t="s">
        <v>19799</v>
      </c>
      <c r="AY466">
        <v>0.10369</v>
      </c>
      <c r="AZ466">
        <v>-5.7000000000000002E-3</v>
      </c>
      <c r="BA466">
        <v>1.6969999999999999E-2</v>
      </c>
      <c r="BB466">
        <v>-1.08E-3</v>
      </c>
      <c r="BC466">
        <v>0.16366</v>
      </c>
      <c r="BD466">
        <v>1</v>
      </c>
      <c r="BE466" t="s">
        <v>69</v>
      </c>
      <c r="BF466">
        <v>0.38200000000000001</v>
      </c>
      <c r="BG466">
        <v>1.105</v>
      </c>
    </row>
    <row r="467" spans="1:59">
      <c r="A467">
        <v>0</v>
      </c>
      <c r="B467">
        <v>0</v>
      </c>
      <c r="C467">
        <v>0</v>
      </c>
      <c r="D467" t="s">
        <v>25022</v>
      </c>
      <c r="E467">
        <v>1308</v>
      </c>
      <c r="F467" t="s">
        <v>8213</v>
      </c>
      <c r="G467" t="s">
        <v>57</v>
      </c>
      <c r="H467">
        <v>1330512</v>
      </c>
      <c r="I467">
        <v>1330892</v>
      </c>
      <c r="J467" t="s">
        <v>8099</v>
      </c>
      <c r="K467">
        <v>127</v>
      </c>
      <c r="L467" t="s">
        <v>1305</v>
      </c>
      <c r="M467">
        <v>43</v>
      </c>
      <c r="N467" t="str">
        <f>HYPERLINK("Gene1308-zp_tree_all.dnd", "Gene1308-tree")</f>
        <v>Gene1308-tree</v>
      </c>
      <c r="O467">
        <v>2</v>
      </c>
      <c r="P467">
        <v>8</v>
      </c>
      <c r="Q467">
        <v>2</v>
      </c>
      <c r="R467">
        <v>8</v>
      </c>
      <c r="S467">
        <v>0.8</v>
      </c>
      <c r="T467" t="s">
        <v>81</v>
      </c>
      <c r="U467" t="s">
        <v>136</v>
      </c>
      <c r="V467" t="s">
        <v>62</v>
      </c>
      <c r="W467" t="s">
        <v>62</v>
      </c>
      <c r="X467">
        <v>0</v>
      </c>
      <c r="Y467">
        <v>0</v>
      </c>
      <c r="Z467">
        <v>12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12</v>
      </c>
      <c r="AK467">
        <v>0</v>
      </c>
      <c r="AL467">
        <v>8</v>
      </c>
      <c r="AM467">
        <v>2</v>
      </c>
      <c r="AN467">
        <v>16</v>
      </c>
      <c r="AO467">
        <v>10</v>
      </c>
      <c r="AP467">
        <v>6</v>
      </c>
      <c r="AQ467">
        <v>2</v>
      </c>
      <c r="AR467" t="s">
        <v>8214</v>
      </c>
      <c r="AS467" t="s">
        <v>8215</v>
      </c>
      <c r="AT467">
        <v>0.69499999999999995</v>
      </c>
      <c r="AU467" t="s">
        <v>65</v>
      </c>
      <c r="AV467">
        <v>22</v>
      </c>
      <c r="AW467">
        <v>12</v>
      </c>
      <c r="AX467" t="s">
        <v>8216</v>
      </c>
      <c r="AY467">
        <v>6.6089999999999996E-2</v>
      </c>
      <c r="AZ467">
        <v>-5.11E-3</v>
      </c>
      <c r="BA467">
        <v>1.03E-2</v>
      </c>
      <c r="BB467">
        <v>-7.6000000000000004E-4</v>
      </c>
      <c r="BC467">
        <v>0.15586</v>
      </c>
      <c r="BD467">
        <v>1</v>
      </c>
      <c r="BE467" t="s">
        <v>69</v>
      </c>
      <c r="BF467">
        <v>-0.43</v>
      </c>
      <c r="BG467">
        <v>-2.6219999999999999</v>
      </c>
    </row>
    <row r="468" spans="1:59">
      <c r="A468">
        <v>0</v>
      </c>
      <c r="B468">
        <v>4</v>
      </c>
      <c r="C468">
        <v>0</v>
      </c>
      <c r="D468" t="s">
        <v>25022</v>
      </c>
      <c r="E468">
        <v>3412</v>
      </c>
      <c r="F468" t="s">
        <v>19966</v>
      </c>
      <c r="G468" t="s">
        <v>62</v>
      </c>
      <c r="H468">
        <v>3376620</v>
      </c>
      <c r="I468">
        <v>3377000</v>
      </c>
      <c r="J468" t="s">
        <v>19967</v>
      </c>
      <c r="K468">
        <v>127</v>
      </c>
      <c r="L468" t="s">
        <v>108</v>
      </c>
      <c r="M468">
        <v>44</v>
      </c>
      <c r="N468" t="str">
        <f>HYPERLINK("Gene3412-zp_tree_all.dnd", "Gene3412-tree")</f>
        <v>Gene3412-tree</v>
      </c>
      <c r="O468">
        <v>7</v>
      </c>
      <c r="P468">
        <v>4</v>
      </c>
      <c r="Q468">
        <v>7</v>
      </c>
      <c r="R468">
        <v>4</v>
      </c>
      <c r="S468">
        <v>0.36364000000000002</v>
      </c>
      <c r="T468" t="s">
        <v>152</v>
      </c>
      <c r="U468" t="s">
        <v>61</v>
      </c>
      <c r="V468" t="s">
        <v>62</v>
      </c>
      <c r="W468" t="s">
        <v>62</v>
      </c>
      <c r="X468">
        <v>2</v>
      </c>
      <c r="Y468">
        <v>4</v>
      </c>
      <c r="Z468">
        <v>3</v>
      </c>
      <c r="AA468">
        <v>0.57142999999999999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2</v>
      </c>
      <c r="AH468">
        <v>0</v>
      </c>
      <c r="AI468">
        <v>2</v>
      </c>
      <c r="AJ468">
        <v>2</v>
      </c>
      <c r="AK468">
        <v>0.5</v>
      </c>
      <c r="AL468">
        <v>7</v>
      </c>
      <c r="AM468">
        <v>6</v>
      </c>
      <c r="AN468">
        <v>16</v>
      </c>
      <c r="AO468">
        <v>4</v>
      </c>
      <c r="AP468">
        <v>3</v>
      </c>
      <c r="AQ468">
        <v>3</v>
      </c>
      <c r="AR468" t="s">
        <v>19968</v>
      </c>
      <c r="AS468" t="s">
        <v>19969</v>
      </c>
      <c r="AT468">
        <v>0.91</v>
      </c>
      <c r="AU468" t="s">
        <v>65</v>
      </c>
      <c r="AV468">
        <v>19</v>
      </c>
      <c r="AW468">
        <v>7</v>
      </c>
      <c r="AX468" t="s">
        <v>19970</v>
      </c>
      <c r="AY468">
        <v>4.895E-2</v>
      </c>
      <c r="AZ468">
        <v>-4.2900000000000004E-3</v>
      </c>
      <c r="BA468">
        <v>5.64E-3</v>
      </c>
      <c r="BB468">
        <v>-4.2000000000000002E-4</v>
      </c>
      <c r="BC468">
        <v>0.11526</v>
      </c>
      <c r="BD468">
        <v>1</v>
      </c>
      <c r="BE468" t="s">
        <v>69</v>
      </c>
      <c r="BF468">
        <v>7.2999999999999995E-2</v>
      </c>
      <c r="BG468">
        <v>-1.0680000000000001</v>
      </c>
    </row>
    <row r="469" spans="1:59">
      <c r="A469">
        <v>0</v>
      </c>
      <c r="B469">
        <v>0</v>
      </c>
      <c r="C469">
        <v>0</v>
      </c>
      <c r="D469" t="s">
        <v>25022</v>
      </c>
      <c r="E469">
        <v>3765</v>
      </c>
      <c r="F469" t="s">
        <v>22064</v>
      </c>
      <c r="G469" t="s">
        <v>62</v>
      </c>
      <c r="H469">
        <v>3740627</v>
      </c>
      <c r="I469">
        <v>3741007</v>
      </c>
      <c r="J469" t="s">
        <v>22065</v>
      </c>
      <c r="K469">
        <v>127</v>
      </c>
      <c r="L469" t="s">
        <v>108</v>
      </c>
      <c r="M469">
        <v>44</v>
      </c>
      <c r="N469" t="str">
        <f>HYPERLINK("Gene3765-zp_tree_all.dnd", "Gene3765-tree")</f>
        <v>Gene3765-tree</v>
      </c>
      <c r="O469">
        <v>5</v>
      </c>
      <c r="P469">
        <v>2</v>
      </c>
      <c r="Q469">
        <v>5</v>
      </c>
      <c r="R469">
        <v>2</v>
      </c>
      <c r="S469">
        <v>0.28571000000000002</v>
      </c>
      <c r="T469" t="s">
        <v>199</v>
      </c>
      <c r="U469" t="s">
        <v>81</v>
      </c>
      <c r="V469" t="s">
        <v>62</v>
      </c>
      <c r="W469" t="s">
        <v>62</v>
      </c>
      <c r="X469">
        <v>0</v>
      </c>
      <c r="Y469">
        <v>0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2</v>
      </c>
      <c r="AK469">
        <v>0</v>
      </c>
      <c r="AL469">
        <v>5</v>
      </c>
      <c r="AM469">
        <v>1</v>
      </c>
      <c r="AN469">
        <v>6</v>
      </c>
      <c r="AO469">
        <v>2</v>
      </c>
      <c r="AP469">
        <v>1</v>
      </c>
      <c r="AQ469">
        <v>1</v>
      </c>
      <c r="AR469" t="s">
        <v>22066</v>
      </c>
      <c r="AS469" t="s">
        <v>22067</v>
      </c>
      <c r="AT469">
        <v>1.5189999999999999</v>
      </c>
      <c r="AU469" t="s">
        <v>65</v>
      </c>
      <c r="AV469">
        <v>7</v>
      </c>
      <c r="AW469">
        <v>3</v>
      </c>
      <c r="AX469" t="s">
        <v>22068</v>
      </c>
      <c r="AY469">
        <v>3.2250000000000001E-2</v>
      </c>
      <c r="AZ469">
        <v>-5.77E-3</v>
      </c>
      <c r="BA469">
        <v>3.4199999999999999E-3</v>
      </c>
      <c r="BB469">
        <v>-4.6999999999999999E-4</v>
      </c>
      <c r="BC469">
        <v>0.10593</v>
      </c>
      <c r="BD469">
        <v>1</v>
      </c>
      <c r="BE469" t="s">
        <v>69</v>
      </c>
      <c r="BF469">
        <v>-0.6</v>
      </c>
      <c r="BG469">
        <v>-2.1720000000000002</v>
      </c>
    </row>
    <row r="470" spans="1:59">
      <c r="A470">
        <v>0</v>
      </c>
      <c r="B470">
        <v>0</v>
      </c>
      <c r="C470">
        <v>0</v>
      </c>
      <c r="D470" t="s">
        <v>25022</v>
      </c>
      <c r="E470">
        <v>3957</v>
      </c>
      <c r="F470" t="s">
        <v>23245</v>
      </c>
      <c r="G470" t="s">
        <v>62</v>
      </c>
      <c r="H470">
        <v>3921894</v>
      </c>
      <c r="I470">
        <v>3922274</v>
      </c>
      <c r="J470" t="s">
        <v>23246</v>
      </c>
      <c r="K470">
        <v>127</v>
      </c>
      <c r="L470" t="s">
        <v>289</v>
      </c>
      <c r="M470">
        <v>46</v>
      </c>
      <c r="N470" t="str">
        <f>HYPERLINK("Gene3957-zp_tree_all.dnd", "Gene3957-tree")</f>
        <v>Gene3957-tree</v>
      </c>
      <c r="O470">
        <v>39</v>
      </c>
      <c r="P470">
        <v>2</v>
      </c>
      <c r="Q470">
        <v>9</v>
      </c>
      <c r="R470">
        <v>2</v>
      </c>
      <c r="S470">
        <v>0.18182000000000001</v>
      </c>
      <c r="T470" t="s">
        <v>6345</v>
      </c>
      <c r="U470" t="s">
        <v>81</v>
      </c>
      <c r="V470" t="s">
        <v>62</v>
      </c>
      <c r="W470" t="s">
        <v>62</v>
      </c>
      <c r="X470">
        <v>0</v>
      </c>
      <c r="Y470">
        <v>0</v>
      </c>
      <c r="Z470">
        <v>5</v>
      </c>
      <c r="AA470">
        <v>0</v>
      </c>
      <c r="AB470">
        <v>0</v>
      </c>
      <c r="AC470">
        <v>0</v>
      </c>
      <c r="AD470">
        <v>0</v>
      </c>
      <c r="AE470">
        <v>2</v>
      </c>
      <c r="AF470">
        <v>0</v>
      </c>
      <c r="AG470">
        <v>0</v>
      </c>
      <c r="AH470">
        <v>0</v>
      </c>
      <c r="AI470">
        <v>0</v>
      </c>
      <c r="AJ470">
        <v>2</v>
      </c>
      <c r="AK470">
        <v>0</v>
      </c>
      <c r="AL470">
        <v>9</v>
      </c>
      <c r="AM470">
        <v>3</v>
      </c>
      <c r="AN470">
        <v>8</v>
      </c>
      <c r="AO470">
        <v>2</v>
      </c>
      <c r="AP470">
        <v>8</v>
      </c>
      <c r="AQ470">
        <v>3</v>
      </c>
      <c r="AR470" t="s">
        <v>23247</v>
      </c>
      <c r="AS470" t="s">
        <v>23248</v>
      </c>
      <c r="AT470">
        <v>0.20699999999999999</v>
      </c>
      <c r="AU470" t="s">
        <v>65</v>
      </c>
      <c r="AV470">
        <v>16</v>
      </c>
      <c r="AW470">
        <v>5</v>
      </c>
      <c r="AX470" t="s">
        <v>23249</v>
      </c>
      <c r="AY470">
        <v>5.0160000000000003E-2</v>
      </c>
      <c r="AZ470">
        <v>-5.3499999999999997E-3</v>
      </c>
      <c r="BA470">
        <v>5.2300000000000003E-3</v>
      </c>
      <c r="BB470">
        <v>-5.8E-4</v>
      </c>
      <c r="BC470">
        <v>0.10424</v>
      </c>
      <c r="BD470">
        <v>1</v>
      </c>
      <c r="BE470" t="s">
        <v>69</v>
      </c>
      <c r="BF470">
        <v>-1.78</v>
      </c>
      <c r="BG470">
        <v>-0.48599999999999999</v>
      </c>
    </row>
    <row r="471" spans="1:59">
      <c r="A471">
        <v>0</v>
      </c>
      <c r="B471">
        <v>2</v>
      </c>
      <c r="C471">
        <v>2</v>
      </c>
      <c r="D471" t="s">
        <v>25022</v>
      </c>
      <c r="E471">
        <v>3823</v>
      </c>
      <c r="F471" t="s">
        <v>22407</v>
      </c>
      <c r="G471" t="s">
        <v>62</v>
      </c>
      <c r="H471">
        <v>3787623</v>
      </c>
      <c r="I471">
        <v>3788003</v>
      </c>
      <c r="J471" t="s">
        <v>22408</v>
      </c>
      <c r="K471">
        <v>127</v>
      </c>
      <c r="L471" t="s">
        <v>59</v>
      </c>
      <c r="M471">
        <v>49</v>
      </c>
      <c r="N471" t="str">
        <f>HYPERLINK("Gene3823-zp_tree_all.dnd", "Gene3823-tree")</f>
        <v>Gene3823-tree</v>
      </c>
      <c r="O471">
        <v>23</v>
      </c>
      <c r="P471">
        <v>4</v>
      </c>
      <c r="Q471">
        <v>6</v>
      </c>
      <c r="R471">
        <v>4</v>
      </c>
      <c r="S471">
        <v>0.4</v>
      </c>
      <c r="T471" t="s">
        <v>3589</v>
      </c>
      <c r="U471" t="s">
        <v>61</v>
      </c>
      <c r="V471" t="s">
        <v>62</v>
      </c>
      <c r="W471" t="s">
        <v>62</v>
      </c>
      <c r="X471">
        <v>2</v>
      </c>
      <c r="Y471">
        <v>4</v>
      </c>
      <c r="Z471">
        <v>2</v>
      </c>
      <c r="AA471">
        <v>0.66666999999999998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</v>
      </c>
      <c r="AI471">
        <v>2</v>
      </c>
      <c r="AJ471">
        <v>2</v>
      </c>
      <c r="AK471">
        <v>0.5</v>
      </c>
      <c r="AL471">
        <v>7</v>
      </c>
      <c r="AM471">
        <v>4</v>
      </c>
      <c r="AN471">
        <v>7</v>
      </c>
      <c r="AO471">
        <v>4</v>
      </c>
      <c r="AP471">
        <v>9</v>
      </c>
      <c r="AQ471">
        <v>2</v>
      </c>
      <c r="AR471" t="s">
        <v>22409</v>
      </c>
      <c r="AS471" t="s">
        <v>22410</v>
      </c>
      <c r="AT471">
        <v>0.63300000000000001</v>
      </c>
      <c r="AU471" t="s">
        <v>65</v>
      </c>
      <c r="AV471">
        <v>16</v>
      </c>
      <c r="AW471">
        <v>6</v>
      </c>
      <c r="AX471" t="s">
        <v>22411</v>
      </c>
      <c r="AY471">
        <v>6.6979999999999998E-2</v>
      </c>
      <c r="AZ471">
        <v>-6.5399999999999998E-3</v>
      </c>
      <c r="BA471">
        <v>5.4400000000000004E-3</v>
      </c>
      <c r="BB471">
        <v>-4.8999999999999998E-4</v>
      </c>
      <c r="BC471">
        <v>8.1269999999999995E-2</v>
      </c>
      <c r="BD471">
        <v>1</v>
      </c>
      <c r="BE471" t="s">
        <v>69</v>
      </c>
      <c r="BF471">
        <v>-0.56399999999999995</v>
      </c>
      <c r="BG471">
        <v>4.8000000000000001E-2</v>
      </c>
    </row>
    <row r="472" spans="1:59">
      <c r="A472">
        <v>0</v>
      </c>
      <c r="B472">
        <v>0</v>
      </c>
      <c r="C472">
        <v>0</v>
      </c>
      <c r="D472" t="s">
        <v>25022</v>
      </c>
      <c r="E472">
        <v>3033</v>
      </c>
      <c r="F472" t="s">
        <v>17538</v>
      </c>
      <c r="G472" t="s">
        <v>62</v>
      </c>
      <c r="H472">
        <v>2984315</v>
      </c>
      <c r="I472">
        <v>2984695</v>
      </c>
      <c r="J472" t="s">
        <v>3095</v>
      </c>
      <c r="K472">
        <v>127</v>
      </c>
      <c r="L472" t="s">
        <v>108</v>
      </c>
      <c r="M472">
        <v>44</v>
      </c>
      <c r="N472" t="str">
        <f>HYPERLINK("Gene3033-zp_tree_all.dnd", "Gene3033-tree")</f>
        <v>Gene3033-tree</v>
      </c>
      <c r="O472">
        <v>6</v>
      </c>
      <c r="P472">
        <v>5</v>
      </c>
      <c r="Q472">
        <v>6</v>
      </c>
      <c r="R472">
        <v>5</v>
      </c>
      <c r="S472">
        <v>0.45455000000000001</v>
      </c>
      <c r="T472" t="s">
        <v>90</v>
      </c>
      <c r="U472" t="s">
        <v>199</v>
      </c>
      <c r="V472" t="s">
        <v>62</v>
      </c>
      <c r="W472" t="s">
        <v>62</v>
      </c>
      <c r="X472">
        <v>0</v>
      </c>
      <c r="Y472">
        <v>0</v>
      </c>
      <c r="Z472">
        <v>6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5</v>
      </c>
      <c r="AK472">
        <v>0</v>
      </c>
      <c r="AL472">
        <v>9</v>
      </c>
      <c r="AM472">
        <v>6</v>
      </c>
      <c r="AN472">
        <v>7</v>
      </c>
      <c r="AO472">
        <v>5</v>
      </c>
      <c r="AP472">
        <v>12</v>
      </c>
      <c r="AQ472">
        <v>1</v>
      </c>
      <c r="AR472" t="s">
        <v>17539</v>
      </c>
      <c r="AS472" t="s">
        <v>17540</v>
      </c>
      <c r="AT472">
        <v>1.6080000000000001</v>
      </c>
      <c r="AU472" t="s">
        <v>65</v>
      </c>
      <c r="AV472">
        <v>19</v>
      </c>
      <c r="AW472">
        <v>6</v>
      </c>
      <c r="AX472" t="s">
        <v>17541</v>
      </c>
      <c r="AY472">
        <v>5.534E-2</v>
      </c>
      <c r="AZ472">
        <v>-3.46E-3</v>
      </c>
      <c r="BA472">
        <v>4.28E-3</v>
      </c>
      <c r="BB472">
        <v>-3.1E-4</v>
      </c>
      <c r="BC472">
        <v>7.7429999999999999E-2</v>
      </c>
      <c r="BD472">
        <v>1</v>
      </c>
      <c r="BE472" t="s">
        <v>69</v>
      </c>
      <c r="BF472">
        <v>0.36199999999999999</v>
      </c>
      <c r="BG472">
        <v>-0.46100000000000002</v>
      </c>
    </row>
    <row r="473" spans="1:59">
      <c r="A473">
        <v>0</v>
      </c>
      <c r="B473">
        <v>0</v>
      </c>
      <c r="C473">
        <v>0</v>
      </c>
      <c r="D473" t="s">
        <v>25022</v>
      </c>
      <c r="E473">
        <v>2363</v>
      </c>
      <c r="F473" t="s">
        <v>13731</v>
      </c>
      <c r="G473" t="s">
        <v>62</v>
      </c>
      <c r="H473">
        <v>2377635</v>
      </c>
      <c r="I473">
        <v>2378015</v>
      </c>
      <c r="J473" t="s">
        <v>13732</v>
      </c>
      <c r="K473">
        <v>127</v>
      </c>
      <c r="L473" t="s">
        <v>13717</v>
      </c>
      <c r="M473">
        <v>40</v>
      </c>
      <c r="N473" t="str">
        <f>HYPERLINK("Gene2363-zp_tree_all.dnd", "Gene2363-tree")</f>
        <v>Gene2363-tree</v>
      </c>
      <c r="O473">
        <v>6</v>
      </c>
      <c r="P473">
        <v>12</v>
      </c>
      <c r="Q473">
        <v>6</v>
      </c>
      <c r="R473">
        <v>4</v>
      </c>
      <c r="S473">
        <v>0.4</v>
      </c>
      <c r="T473" t="s">
        <v>90</v>
      </c>
      <c r="U473" t="s">
        <v>13733</v>
      </c>
      <c r="V473">
        <v>2.5</v>
      </c>
      <c r="W473" t="s">
        <v>65</v>
      </c>
      <c r="X473">
        <v>0</v>
      </c>
      <c r="Y473">
        <v>0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4</v>
      </c>
      <c r="AK473">
        <v>0</v>
      </c>
      <c r="AL473">
        <v>9</v>
      </c>
      <c r="AM473">
        <v>2</v>
      </c>
      <c r="AN473">
        <v>11</v>
      </c>
      <c r="AO473">
        <v>4</v>
      </c>
      <c r="AP473">
        <v>4</v>
      </c>
      <c r="AQ473">
        <v>0</v>
      </c>
      <c r="AR473" t="s">
        <v>13734</v>
      </c>
      <c r="AS473" t="s">
        <v>193</v>
      </c>
      <c r="AT473">
        <v>1.0900000000000001</v>
      </c>
      <c r="AU473" t="s">
        <v>65</v>
      </c>
      <c r="AV473">
        <v>15</v>
      </c>
      <c r="AW473">
        <v>4</v>
      </c>
      <c r="AX473" t="s">
        <v>13735</v>
      </c>
      <c r="AY473">
        <v>4.0719999999999999E-2</v>
      </c>
      <c r="AZ473">
        <v>-3.7799999999999999E-3</v>
      </c>
      <c r="BA473">
        <v>2.4599999999999999E-3</v>
      </c>
      <c r="BB473">
        <v>-2.9E-4</v>
      </c>
      <c r="BC473">
        <v>6.0429999999999998E-2</v>
      </c>
      <c r="BD473">
        <v>1</v>
      </c>
      <c r="BE473" t="s">
        <v>69</v>
      </c>
      <c r="BF473">
        <v>-0.42599999999999999</v>
      </c>
      <c r="BG473">
        <v>-1.1930000000000001</v>
      </c>
    </row>
    <row r="474" spans="1:59">
      <c r="A474">
        <v>0</v>
      </c>
      <c r="B474">
        <v>0</v>
      </c>
      <c r="C474">
        <v>0</v>
      </c>
      <c r="D474" t="s">
        <v>25022</v>
      </c>
      <c r="E474">
        <v>3401</v>
      </c>
      <c r="F474" t="s">
        <v>19895</v>
      </c>
      <c r="G474" t="s">
        <v>62</v>
      </c>
      <c r="H474">
        <v>3366126</v>
      </c>
      <c r="I474">
        <v>3366506</v>
      </c>
      <c r="J474" t="s">
        <v>19896</v>
      </c>
      <c r="K474">
        <v>127</v>
      </c>
      <c r="L474" t="s">
        <v>59</v>
      </c>
      <c r="M474">
        <v>49</v>
      </c>
      <c r="N474" t="str">
        <f>HYPERLINK("Gene3401-zp_tree_all.dnd", "Gene3401-tree")</f>
        <v>Gene3401-tree</v>
      </c>
      <c r="O474">
        <v>8</v>
      </c>
      <c r="P474">
        <v>1</v>
      </c>
      <c r="Q474">
        <v>8</v>
      </c>
      <c r="R474">
        <v>1</v>
      </c>
      <c r="S474">
        <v>0.11111</v>
      </c>
      <c r="T474" t="s">
        <v>136</v>
      </c>
      <c r="U474" t="s">
        <v>175</v>
      </c>
      <c r="V474" t="s">
        <v>62</v>
      </c>
      <c r="W474" t="s">
        <v>62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7</v>
      </c>
      <c r="AM474">
        <v>3</v>
      </c>
      <c r="AN474">
        <v>14</v>
      </c>
      <c r="AO474">
        <v>1</v>
      </c>
      <c r="AP474">
        <v>8</v>
      </c>
      <c r="AQ474">
        <v>0</v>
      </c>
      <c r="AR474" t="s">
        <v>19897</v>
      </c>
      <c r="AS474" t="s">
        <v>193</v>
      </c>
      <c r="AT474">
        <v>0.42</v>
      </c>
      <c r="AU474" t="s">
        <v>65</v>
      </c>
      <c r="AV474">
        <v>22</v>
      </c>
      <c r="AW474">
        <v>1</v>
      </c>
      <c r="AX474" t="s">
        <v>19898</v>
      </c>
      <c r="AY474">
        <v>8.3099999999999993E-2</v>
      </c>
      <c r="AZ474">
        <v>-8.43E-3</v>
      </c>
      <c r="BA474">
        <v>7.5000000000000002E-4</v>
      </c>
      <c r="BB474">
        <v>-2.2000000000000001E-4</v>
      </c>
      <c r="BC474">
        <v>9.0100000000000006E-3</v>
      </c>
      <c r="BD474">
        <v>1</v>
      </c>
      <c r="BE474" t="s">
        <v>69</v>
      </c>
      <c r="BF474">
        <v>-1.8120000000000001</v>
      </c>
      <c r="BG474">
        <v>-0.67</v>
      </c>
    </row>
    <row r="475" spans="1:59">
      <c r="A475">
        <v>0</v>
      </c>
      <c r="B475">
        <v>0</v>
      </c>
      <c r="C475">
        <v>0</v>
      </c>
      <c r="D475" t="s">
        <v>25022</v>
      </c>
      <c r="E475">
        <v>2335</v>
      </c>
      <c r="F475" t="s">
        <v>13546</v>
      </c>
      <c r="G475" t="s">
        <v>62</v>
      </c>
      <c r="H475">
        <v>2352595</v>
      </c>
      <c r="I475">
        <v>2352975</v>
      </c>
      <c r="J475" t="s">
        <v>13547</v>
      </c>
      <c r="K475">
        <v>127</v>
      </c>
      <c r="L475" t="s">
        <v>572</v>
      </c>
      <c r="M475">
        <v>48</v>
      </c>
      <c r="N475" t="str">
        <f>HYPERLINK("Gene2335-zp_tree_all.dnd", "Gene2335-tree")</f>
        <v>Gene2335-tree</v>
      </c>
      <c r="O475">
        <v>12</v>
      </c>
      <c r="P475">
        <v>1</v>
      </c>
      <c r="Q475">
        <v>12</v>
      </c>
      <c r="R475">
        <v>1</v>
      </c>
      <c r="S475">
        <v>7.6920000000000002E-2</v>
      </c>
      <c r="T475" t="s">
        <v>109</v>
      </c>
      <c r="U475" t="s">
        <v>175</v>
      </c>
      <c r="V475" t="s">
        <v>62</v>
      </c>
      <c r="W475" t="s">
        <v>62</v>
      </c>
      <c r="X475">
        <v>0</v>
      </c>
      <c r="Y475">
        <v>0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</v>
      </c>
      <c r="AK475">
        <v>0</v>
      </c>
      <c r="AL475">
        <v>6</v>
      </c>
      <c r="AM475">
        <v>8</v>
      </c>
      <c r="AN475">
        <v>20</v>
      </c>
      <c r="AO475">
        <v>2</v>
      </c>
      <c r="AP475">
        <v>19</v>
      </c>
      <c r="AQ475">
        <v>0</v>
      </c>
      <c r="AR475" t="s">
        <v>13548</v>
      </c>
      <c r="AS475" t="s">
        <v>193</v>
      </c>
      <c r="AT475">
        <v>0.438</v>
      </c>
      <c r="AU475" t="s">
        <v>65</v>
      </c>
      <c r="AV475">
        <v>39</v>
      </c>
      <c r="AW475">
        <v>2</v>
      </c>
      <c r="AX475" t="s">
        <v>13549</v>
      </c>
      <c r="AY475">
        <v>0.12587000000000001</v>
      </c>
      <c r="AZ475">
        <v>-1.035E-2</v>
      </c>
      <c r="BA475">
        <v>1.0499999999999999E-3</v>
      </c>
      <c r="BB475">
        <v>-2.7999999999999998E-4</v>
      </c>
      <c r="BC475">
        <v>8.3199999999999993E-3</v>
      </c>
      <c r="BD475">
        <v>1</v>
      </c>
      <c r="BE475" t="s">
        <v>69</v>
      </c>
      <c r="BF475">
        <v>-1.5780000000000001</v>
      </c>
      <c r="BG475">
        <v>-1.8069999999999999</v>
      </c>
    </row>
    <row r="476" spans="1:59">
      <c r="A476">
        <v>0</v>
      </c>
      <c r="B476">
        <v>2</v>
      </c>
      <c r="C476">
        <v>0</v>
      </c>
      <c r="D476" t="s">
        <v>25022</v>
      </c>
      <c r="E476">
        <v>2475</v>
      </c>
      <c r="F476" t="s">
        <v>14424</v>
      </c>
      <c r="G476" t="s">
        <v>62</v>
      </c>
      <c r="H476">
        <v>2468162</v>
      </c>
      <c r="I476">
        <v>2468545</v>
      </c>
      <c r="J476" t="s">
        <v>14425</v>
      </c>
      <c r="K476">
        <v>128</v>
      </c>
      <c r="L476" t="s">
        <v>108</v>
      </c>
      <c r="M476">
        <v>44</v>
      </c>
      <c r="N476" t="str">
        <f>HYPERLINK("Gene2475-zp_tree_all.dnd", "Gene2475-tree")</f>
        <v>Gene2475-tree</v>
      </c>
      <c r="O476">
        <v>5</v>
      </c>
      <c r="P476">
        <v>6</v>
      </c>
      <c r="Q476">
        <v>5</v>
      </c>
      <c r="R476">
        <v>6</v>
      </c>
      <c r="S476">
        <v>0.54544999999999999</v>
      </c>
      <c r="T476" t="s">
        <v>199</v>
      </c>
      <c r="U476" t="s">
        <v>90</v>
      </c>
      <c r="V476" t="s">
        <v>62</v>
      </c>
      <c r="W476" t="s">
        <v>62</v>
      </c>
      <c r="X476">
        <v>1</v>
      </c>
      <c r="Y476">
        <v>2</v>
      </c>
      <c r="Z476">
        <v>7</v>
      </c>
      <c r="AA476">
        <v>0.22222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6</v>
      </c>
      <c r="AK476">
        <v>0</v>
      </c>
      <c r="AL476">
        <v>10</v>
      </c>
      <c r="AM476">
        <v>6</v>
      </c>
      <c r="AN476">
        <v>11</v>
      </c>
      <c r="AO476">
        <v>7</v>
      </c>
      <c r="AP476">
        <v>5</v>
      </c>
      <c r="AQ476">
        <v>3</v>
      </c>
      <c r="AR476" t="s">
        <v>14426</v>
      </c>
      <c r="AS476" t="s">
        <v>14427</v>
      </c>
      <c r="AT476">
        <v>4.1000000000000002E-2</v>
      </c>
      <c r="AU476" t="s">
        <v>65</v>
      </c>
      <c r="AV476">
        <v>16</v>
      </c>
      <c r="AW476">
        <v>10</v>
      </c>
      <c r="AX476" t="s">
        <v>14428</v>
      </c>
      <c r="AY476">
        <v>4.249E-2</v>
      </c>
      <c r="AZ476">
        <v>-2.5999999999999999E-3</v>
      </c>
      <c r="BA476">
        <v>8.3300000000000006E-3</v>
      </c>
      <c r="BB476">
        <v>-5.8E-4</v>
      </c>
      <c r="BC476">
        <v>0.19600000000000001</v>
      </c>
      <c r="BD476">
        <v>1</v>
      </c>
      <c r="BE476" t="s">
        <v>69</v>
      </c>
      <c r="BF476">
        <v>-7.6999999999999999E-2</v>
      </c>
      <c r="BG476">
        <v>-1.3069999999999999</v>
      </c>
    </row>
    <row r="477" spans="1:59">
      <c r="A477">
        <v>0</v>
      </c>
      <c r="B477">
        <v>0</v>
      </c>
      <c r="C477">
        <v>2</v>
      </c>
      <c r="D477" t="s">
        <v>25022</v>
      </c>
      <c r="E477">
        <v>1662</v>
      </c>
      <c r="F477" t="s">
        <v>10407</v>
      </c>
      <c r="G477" t="s">
        <v>57</v>
      </c>
      <c r="H477">
        <v>1674259</v>
      </c>
      <c r="I477">
        <v>1674642</v>
      </c>
      <c r="J477" t="s">
        <v>288</v>
      </c>
      <c r="K477">
        <v>128</v>
      </c>
      <c r="L477" t="s">
        <v>59</v>
      </c>
      <c r="M477">
        <v>49</v>
      </c>
      <c r="N477" t="str">
        <f>HYPERLINK("Gene1662-zp_tree_all.dnd", "Gene1662-tree")</f>
        <v>Gene1662-tree</v>
      </c>
      <c r="O477">
        <v>14</v>
      </c>
      <c r="P477">
        <v>4</v>
      </c>
      <c r="Q477">
        <v>14</v>
      </c>
      <c r="R477">
        <v>4</v>
      </c>
      <c r="S477">
        <v>0.22222</v>
      </c>
      <c r="T477" t="s">
        <v>543</v>
      </c>
      <c r="U477" t="s">
        <v>61</v>
      </c>
      <c r="V477" t="s">
        <v>62</v>
      </c>
      <c r="W477" t="s">
        <v>62</v>
      </c>
      <c r="X477">
        <v>1</v>
      </c>
      <c r="Y477">
        <v>2</v>
      </c>
      <c r="Z477">
        <v>8</v>
      </c>
      <c r="AA477">
        <v>0.2</v>
      </c>
      <c r="AB477">
        <v>0</v>
      </c>
      <c r="AC477">
        <v>0</v>
      </c>
      <c r="AD477">
        <v>0</v>
      </c>
      <c r="AE477">
        <v>2</v>
      </c>
      <c r="AF477">
        <v>0</v>
      </c>
      <c r="AG477">
        <v>0</v>
      </c>
      <c r="AH477">
        <v>2</v>
      </c>
      <c r="AI477">
        <v>2</v>
      </c>
      <c r="AJ477">
        <v>4</v>
      </c>
      <c r="AK477">
        <v>0.33333000000000002</v>
      </c>
      <c r="AL477">
        <v>13</v>
      </c>
      <c r="AM477">
        <v>7</v>
      </c>
      <c r="AN477">
        <v>20</v>
      </c>
      <c r="AO477">
        <v>6</v>
      </c>
      <c r="AP477">
        <v>10</v>
      </c>
      <c r="AQ477">
        <v>4</v>
      </c>
      <c r="AR477" t="s">
        <v>10408</v>
      </c>
      <c r="AS477" t="s">
        <v>10409</v>
      </c>
      <c r="AT477">
        <v>0.22900000000000001</v>
      </c>
      <c r="AU477" t="s">
        <v>65</v>
      </c>
      <c r="AV477">
        <v>30</v>
      </c>
      <c r="AW477">
        <v>10</v>
      </c>
      <c r="AX477" t="s">
        <v>10410</v>
      </c>
      <c r="AY477">
        <v>6.8640000000000007E-2</v>
      </c>
      <c r="AZ477">
        <v>-3.63E-3</v>
      </c>
      <c r="BA477">
        <v>5.9100000000000003E-3</v>
      </c>
      <c r="BB477">
        <v>-3.8000000000000002E-4</v>
      </c>
      <c r="BC477">
        <v>8.6080000000000004E-2</v>
      </c>
      <c r="BD477">
        <v>1</v>
      </c>
      <c r="BE477" t="s">
        <v>69</v>
      </c>
      <c r="BF477">
        <v>-0.86799999999999999</v>
      </c>
      <c r="BG477">
        <v>-1.1930000000000001</v>
      </c>
    </row>
    <row r="478" spans="1:59">
      <c r="A478">
        <v>0</v>
      </c>
      <c r="B478">
        <v>0</v>
      </c>
      <c r="C478">
        <v>0</v>
      </c>
      <c r="D478" t="s">
        <v>25022</v>
      </c>
      <c r="E478">
        <v>63</v>
      </c>
      <c r="F478" t="s">
        <v>513</v>
      </c>
      <c r="G478" t="s">
        <v>57</v>
      </c>
      <c r="H478">
        <v>69626</v>
      </c>
      <c r="I478">
        <v>70009</v>
      </c>
      <c r="J478" t="s">
        <v>514</v>
      </c>
      <c r="K478">
        <v>128</v>
      </c>
      <c r="L478" t="s">
        <v>515</v>
      </c>
      <c r="M478">
        <v>51</v>
      </c>
      <c r="N478" t="str">
        <f>HYPERLINK("Gene63-zp_tree_all.dnd", "Gene63-tree")</f>
        <v>Gene63-tree</v>
      </c>
      <c r="O478">
        <v>4</v>
      </c>
      <c r="P478">
        <v>1</v>
      </c>
      <c r="Q478">
        <v>4</v>
      </c>
      <c r="R478">
        <v>1</v>
      </c>
      <c r="S478">
        <v>0.2</v>
      </c>
      <c r="T478" t="s">
        <v>61</v>
      </c>
      <c r="U478" t="s">
        <v>175</v>
      </c>
      <c r="V478" t="s">
        <v>62</v>
      </c>
      <c r="W478" t="s">
        <v>62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2</v>
      </c>
      <c r="AM478">
        <v>2</v>
      </c>
      <c r="AN478">
        <v>17</v>
      </c>
      <c r="AO478">
        <v>2</v>
      </c>
      <c r="AP478">
        <v>2</v>
      </c>
      <c r="AQ478">
        <v>0</v>
      </c>
      <c r="AR478" t="s">
        <v>516</v>
      </c>
      <c r="AS478" t="s">
        <v>193</v>
      </c>
      <c r="AT478">
        <v>0.97099999999999997</v>
      </c>
      <c r="AU478" t="s">
        <v>65</v>
      </c>
      <c r="AV478">
        <v>19</v>
      </c>
      <c r="AW478">
        <v>2</v>
      </c>
      <c r="AX478" t="s">
        <v>517</v>
      </c>
      <c r="AY478">
        <v>0.1041</v>
      </c>
      <c r="AZ478">
        <v>-2.8029999999999999E-2</v>
      </c>
      <c r="BA478">
        <v>2.6700000000000001E-3</v>
      </c>
      <c r="BB478">
        <v>-1.0300000000000001E-3</v>
      </c>
      <c r="BC478">
        <v>2.5649999999999999E-2</v>
      </c>
      <c r="BD478">
        <v>1</v>
      </c>
      <c r="BE478" t="s">
        <v>69</v>
      </c>
      <c r="BF478">
        <v>-1.609</v>
      </c>
      <c r="BG478">
        <v>1.6679999999999999</v>
      </c>
    </row>
    <row r="479" spans="1:59">
      <c r="A479">
        <v>0</v>
      </c>
      <c r="B479">
        <v>9</v>
      </c>
      <c r="C479">
        <v>2</v>
      </c>
      <c r="D479" t="s">
        <v>25022</v>
      </c>
      <c r="E479">
        <v>4215</v>
      </c>
      <c r="F479" t="s">
        <v>24774</v>
      </c>
      <c r="G479" t="s">
        <v>62</v>
      </c>
      <c r="H479">
        <v>4177759</v>
      </c>
      <c r="I479">
        <v>4178145</v>
      </c>
      <c r="J479" t="s">
        <v>288</v>
      </c>
      <c r="K479">
        <v>129</v>
      </c>
      <c r="L479" t="s">
        <v>108</v>
      </c>
      <c r="M479">
        <v>44</v>
      </c>
      <c r="N479" t="str">
        <f>HYPERLINK("Gene4215-zp_tree_all.dnd", "Gene4215-tree")</f>
        <v>Gene4215-tree</v>
      </c>
      <c r="O479">
        <v>22</v>
      </c>
      <c r="P479">
        <v>7</v>
      </c>
      <c r="Q479">
        <v>5</v>
      </c>
      <c r="R479">
        <v>7</v>
      </c>
      <c r="S479">
        <v>0.58333000000000002</v>
      </c>
      <c r="T479" t="s">
        <v>1682</v>
      </c>
      <c r="U479" t="s">
        <v>152</v>
      </c>
      <c r="V479" t="s">
        <v>62</v>
      </c>
      <c r="W479" t="s">
        <v>62</v>
      </c>
      <c r="X479">
        <v>4</v>
      </c>
      <c r="Y479">
        <v>11</v>
      </c>
      <c r="Z479">
        <v>7</v>
      </c>
      <c r="AA479">
        <v>0.61111000000000004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6</v>
      </c>
      <c r="AH479">
        <v>2</v>
      </c>
      <c r="AI479">
        <v>8</v>
      </c>
      <c r="AJ479">
        <v>5</v>
      </c>
      <c r="AK479">
        <v>0.61538000000000004</v>
      </c>
      <c r="AL479">
        <v>10</v>
      </c>
      <c r="AM479">
        <v>7</v>
      </c>
      <c r="AN479">
        <v>19</v>
      </c>
      <c r="AO479">
        <v>11</v>
      </c>
      <c r="AP479">
        <v>7</v>
      </c>
      <c r="AQ479">
        <v>7</v>
      </c>
      <c r="AR479" t="s">
        <v>24775</v>
      </c>
      <c r="AS479" t="s">
        <v>24776</v>
      </c>
      <c r="AT479">
        <v>1.014</v>
      </c>
      <c r="AU479" t="s">
        <v>65</v>
      </c>
      <c r="AV479">
        <v>26</v>
      </c>
      <c r="AW479">
        <v>18</v>
      </c>
      <c r="AX479" t="s">
        <v>24777</v>
      </c>
      <c r="AY479">
        <v>6.7390000000000005E-2</v>
      </c>
      <c r="AZ479">
        <v>-3.2699999999999999E-3</v>
      </c>
      <c r="BA479">
        <v>1.0290000000000001E-2</v>
      </c>
      <c r="BB479">
        <v>-4.8999999999999998E-4</v>
      </c>
      <c r="BC479">
        <v>0.1527</v>
      </c>
      <c r="BD479">
        <v>1</v>
      </c>
      <c r="BE479" t="s">
        <v>69</v>
      </c>
      <c r="BF479">
        <v>-0.16500000000000001</v>
      </c>
      <c r="BG479">
        <v>-0.29199999999999998</v>
      </c>
    </row>
    <row r="480" spans="1:59">
      <c r="A480">
        <v>0</v>
      </c>
      <c r="B480">
        <v>2</v>
      </c>
      <c r="C480">
        <v>3</v>
      </c>
      <c r="D480" t="s">
        <v>25022</v>
      </c>
      <c r="E480">
        <v>1679</v>
      </c>
      <c r="F480" t="s">
        <v>10518</v>
      </c>
      <c r="G480" t="s">
        <v>57</v>
      </c>
      <c r="H480">
        <v>1691278</v>
      </c>
      <c r="I480">
        <v>1691664</v>
      </c>
      <c r="J480" t="s">
        <v>10519</v>
      </c>
      <c r="K480">
        <v>129</v>
      </c>
      <c r="L480" t="s">
        <v>59</v>
      </c>
      <c r="M480">
        <v>49</v>
      </c>
      <c r="N480" t="str">
        <f>HYPERLINK("Gene1679-zp_tree_all.dnd", "Gene1679-tree")</f>
        <v>Gene1679-tree</v>
      </c>
      <c r="O480">
        <v>5</v>
      </c>
      <c r="P480">
        <v>6</v>
      </c>
      <c r="Q480">
        <v>5</v>
      </c>
      <c r="R480">
        <v>6</v>
      </c>
      <c r="S480">
        <v>0.54544999999999999</v>
      </c>
      <c r="T480" t="s">
        <v>199</v>
      </c>
      <c r="U480" t="s">
        <v>90</v>
      </c>
      <c r="V480" t="s">
        <v>62</v>
      </c>
      <c r="W480" t="s">
        <v>62</v>
      </c>
      <c r="X480">
        <v>2</v>
      </c>
      <c r="Y480">
        <v>5</v>
      </c>
      <c r="Z480">
        <v>8</v>
      </c>
      <c r="AA480">
        <v>0.38462000000000002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2</v>
      </c>
      <c r="AI480">
        <v>2</v>
      </c>
      <c r="AJ480">
        <v>4</v>
      </c>
      <c r="AK480">
        <v>0.33333000000000002</v>
      </c>
      <c r="AL480">
        <v>8</v>
      </c>
      <c r="AM480">
        <v>5</v>
      </c>
      <c r="AN480">
        <v>10</v>
      </c>
      <c r="AO480">
        <v>6</v>
      </c>
      <c r="AP480">
        <v>14</v>
      </c>
      <c r="AQ480">
        <v>7</v>
      </c>
      <c r="AR480" t="s">
        <v>10520</v>
      </c>
      <c r="AS480" t="s">
        <v>10521</v>
      </c>
      <c r="AT480">
        <v>0.255</v>
      </c>
      <c r="AU480" t="s">
        <v>65</v>
      </c>
      <c r="AV480">
        <v>24</v>
      </c>
      <c r="AW480">
        <v>13</v>
      </c>
      <c r="AX480" t="s">
        <v>10522</v>
      </c>
      <c r="AY480">
        <v>9.3259999999999996E-2</v>
      </c>
      <c r="AZ480">
        <v>-7.1999999999999998E-3</v>
      </c>
      <c r="BA480">
        <v>1.2579999999999999E-2</v>
      </c>
      <c r="BB480">
        <v>-1.0300000000000001E-3</v>
      </c>
      <c r="BC480">
        <v>0.13486999999999999</v>
      </c>
      <c r="BD480">
        <v>1</v>
      </c>
      <c r="BE480" t="s">
        <v>69</v>
      </c>
      <c r="BF480">
        <v>-1.6060000000000001</v>
      </c>
      <c r="BG480">
        <v>-0.109</v>
      </c>
    </row>
    <row r="481" spans="1:59">
      <c r="A481">
        <v>0</v>
      </c>
      <c r="B481">
        <v>2</v>
      </c>
      <c r="C481">
        <v>2</v>
      </c>
      <c r="D481" t="s">
        <v>25022</v>
      </c>
      <c r="E481">
        <v>3413</v>
      </c>
      <c r="F481" t="s">
        <v>19973</v>
      </c>
      <c r="G481" t="s">
        <v>62</v>
      </c>
      <c r="H481">
        <v>3377022</v>
      </c>
      <c r="I481">
        <v>3377408</v>
      </c>
      <c r="J481" t="s">
        <v>17716</v>
      </c>
      <c r="K481">
        <v>129</v>
      </c>
      <c r="L481" t="s">
        <v>5228</v>
      </c>
      <c r="M481">
        <v>43</v>
      </c>
      <c r="N481" t="str">
        <f>HYPERLINK("Gene3413-zp_tree_all.dnd", "Gene3413-tree")</f>
        <v>Gene3413-tree</v>
      </c>
      <c r="O481">
        <v>7</v>
      </c>
      <c r="P481">
        <v>4</v>
      </c>
      <c r="Q481">
        <v>7</v>
      </c>
      <c r="R481">
        <v>4</v>
      </c>
      <c r="S481">
        <v>0.36364000000000002</v>
      </c>
      <c r="T481" t="s">
        <v>152</v>
      </c>
      <c r="U481" t="s">
        <v>61</v>
      </c>
      <c r="V481" t="s">
        <v>62</v>
      </c>
      <c r="W481" t="s">
        <v>62</v>
      </c>
      <c r="X481">
        <v>2</v>
      </c>
      <c r="Y481">
        <v>4</v>
      </c>
      <c r="Z481">
        <v>7</v>
      </c>
      <c r="AA481">
        <v>0.36364000000000002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2</v>
      </c>
      <c r="AI481">
        <v>2</v>
      </c>
      <c r="AJ481">
        <v>7</v>
      </c>
      <c r="AK481">
        <v>0.22222</v>
      </c>
      <c r="AL481">
        <v>8</v>
      </c>
      <c r="AM481">
        <v>6</v>
      </c>
      <c r="AN481">
        <v>18</v>
      </c>
      <c r="AO481">
        <v>9</v>
      </c>
      <c r="AP481">
        <v>10</v>
      </c>
      <c r="AQ481">
        <v>2</v>
      </c>
      <c r="AR481" t="s">
        <v>19974</v>
      </c>
      <c r="AS481" t="s">
        <v>19975</v>
      </c>
      <c r="AT481">
        <v>0.82299999999999995</v>
      </c>
      <c r="AU481" t="s">
        <v>65</v>
      </c>
      <c r="AV481">
        <v>28</v>
      </c>
      <c r="AW481">
        <v>11</v>
      </c>
      <c r="AX481" t="s">
        <v>19976</v>
      </c>
      <c r="AY481">
        <v>6.9430000000000006E-2</v>
      </c>
      <c r="AZ481">
        <v>-5.1500000000000001E-3</v>
      </c>
      <c r="BA481">
        <v>7.92E-3</v>
      </c>
      <c r="BB481">
        <v>-7.1000000000000002E-4</v>
      </c>
      <c r="BC481">
        <v>0.11402</v>
      </c>
      <c r="BD481">
        <v>1</v>
      </c>
      <c r="BE481" t="s">
        <v>69</v>
      </c>
      <c r="BF481">
        <v>0.63</v>
      </c>
      <c r="BG481">
        <v>-0.63800000000000001</v>
      </c>
    </row>
    <row r="482" spans="1:59">
      <c r="A482">
        <v>0</v>
      </c>
      <c r="B482">
        <v>0</v>
      </c>
      <c r="C482">
        <v>0</v>
      </c>
      <c r="D482" t="s">
        <v>25022</v>
      </c>
      <c r="E482">
        <v>2773</v>
      </c>
      <c r="F482" t="s">
        <v>15915</v>
      </c>
      <c r="G482" t="s">
        <v>62</v>
      </c>
      <c r="H482">
        <v>2725117</v>
      </c>
      <c r="I482">
        <v>2725503</v>
      </c>
      <c r="J482" t="s">
        <v>12655</v>
      </c>
      <c r="K482">
        <v>129</v>
      </c>
      <c r="L482" t="s">
        <v>15916</v>
      </c>
      <c r="M482">
        <v>33</v>
      </c>
      <c r="N482" t="str">
        <f>HYPERLINK("Gene2773-zp_tree_all.dnd", "Gene2773-tree")</f>
        <v>Gene2773-tree</v>
      </c>
      <c r="O482">
        <v>0</v>
      </c>
      <c r="P482">
        <v>5</v>
      </c>
      <c r="Q482">
        <v>0</v>
      </c>
      <c r="R482">
        <v>5</v>
      </c>
      <c r="S482">
        <v>1</v>
      </c>
      <c r="T482" t="s">
        <v>62</v>
      </c>
      <c r="U482" t="s">
        <v>199</v>
      </c>
      <c r="V482" t="s">
        <v>62</v>
      </c>
      <c r="W482" t="s">
        <v>62</v>
      </c>
      <c r="X482">
        <v>0</v>
      </c>
      <c r="Y482">
        <v>0</v>
      </c>
      <c r="Z482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4</v>
      </c>
      <c r="AK482">
        <v>0</v>
      </c>
      <c r="AL482">
        <v>3</v>
      </c>
      <c r="AM482">
        <v>1</v>
      </c>
      <c r="AN482">
        <v>11</v>
      </c>
      <c r="AO482">
        <v>3</v>
      </c>
      <c r="AP482">
        <v>0</v>
      </c>
      <c r="AQ482">
        <v>1</v>
      </c>
      <c r="AR482" t="s">
        <v>15917</v>
      </c>
      <c r="AS482" t="s">
        <v>193</v>
      </c>
      <c r="AT482">
        <v>2.0779999999999998</v>
      </c>
      <c r="AU482" t="s">
        <v>267</v>
      </c>
      <c r="AV482">
        <v>11</v>
      </c>
      <c r="AW482">
        <v>4</v>
      </c>
      <c r="AX482" t="s">
        <v>15918</v>
      </c>
      <c r="AY482">
        <v>5.3269999999999998E-2</v>
      </c>
      <c r="AZ482">
        <v>-1.43E-2</v>
      </c>
      <c r="BA482">
        <v>6.0499999999999998E-3</v>
      </c>
      <c r="BB482">
        <v>-8.0000000000000004E-4</v>
      </c>
      <c r="BC482">
        <v>0.11351</v>
      </c>
      <c r="BD482">
        <v>1</v>
      </c>
      <c r="BE482" t="s">
        <v>69</v>
      </c>
      <c r="BF482">
        <v>-1.544</v>
      </c>
      <c r="BG482">
        <v>-1.905</v>
      </c>
    </row>
    <row r="483" spans="1:59">
      <c r="A483">
        <v>0</v>
      </c>
      <c r="B483">
        <v>0</v>
      </c>
      <c r="C483">
        <v>0</v>
      </c>
      <c r="D483" t="s">
        <v>25022</v>
      </c>
      <c r="E483">
        <v>2610</v>
      </c>
      <c r="F483" t="s">
        <v>15277</v>
      </c>
      <c r="G483" t="s">
        <v>62</v>
      </c>
      <c r="H483">
        <v>2590285</v>
      </c>
      <c r="I483">
        <v>2590671</v>
      </c>
      <c r="J483" t="s">
        <v>15278</v>
      </c>
      <c r="K483">
        <v>129</v>
      </c>
      <c r="L483" t="s">
        <v>108</v>
      </c>
      <c r="M483">
        <v>44</v>
      </c>
      <c r="N483" t="str">
        <f>HYPERLINK("Gene2610-zp_tree_all.dnd", "Gene2610-tree")</f>
        <v>Gene2610-tree</v>
      </c>
      <c r="O483">
        <v>9</v>
      </c>
      <c r="P483">
        <v>2</v>
      </c>
      <c r="Q483">
        <v>9</v>
      </c>
      <c r="R483">
        <v>2</v>
      </c>
      <c r="S483">
        <v>0.18182000000000001</v>
      </c>
      <c r="T483" t="s">
        <v>135</v>
      </c>
      <c r="U483" t="s">
        <v>81</v>
      </c>
      <c r="V483" t="s">
        <v>62</v>
      </c>
      <c r="W483" t="s">
        <v>62</v>
      </c>
      <c r="X483">
        <v>0</v>
      </c>
      <c r="Y483">
        <v>0</v>
      </c>
      <c r="Z483">
        <v>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0</v>
      </c>
      <c r="AL483">
        <v>7</v>
      </c>
      <c r="AM483">
        <v>5</v>
      </c>
      <c r="AN483">
        <v>8</v>
      </c>
      <c r="AO483">
        <v>2</v>
      </c>
      <c r="AP483">
        <v>6</v>
      </c>
      <c r="AQ483">
        <v>1</v>
      </c>
      <c r="AR483" t="s">
        <v>15279</v>
      </c>
      <c r="AS483" t="s">
        <v>15280</v>
      </c>
      <c r="AT483">
        <v>0.185</v>
      </c>
      <c r="AU483" t="s">
        <v>65</v>
      </c>
      <c r="AV483">
        <v>14</v>
      </c>
      <c r="AW483">
        <v>3</v>
      </c>
      <c r="AX483" t="s">
        <v>15281</v>
      </c>
      <c r="AY483">
        <v>3.2399999999999998E-2</v>
      </c>
      <c r="AZ483">
        <v>-2.2699999999999999E-3</v>
      </c>
      <c r="BA483">
        <v>2.7299999999999998E-3</v>
      </c>
      <c r="BB483">
        <v>-2.9999999999999997E-4</v>
      </c>
      <c r="BC483">
        <v>8.4360000000000004E-2</v>
      </c>
      <c r="BD483">
        <v>1</v>
      </c>
      <c r="BE483" t="s">
        <v>69</v>
      </c>
      <c r="BF483">
        <v>-0.20399999999999999</v>
      </c>
      <c r="BG483">
        <v>-0.33</v>
      </c>
    </row>
    <row r="484" spans="1:59">
      <c r="A484">
        <v>0</v>
      </c>
      <c r="B484">
        <v>0</v>
      </c>
      <c r="C484">
        <v>0</v>
      </c>
      <c r="D484" t="s">
        <v>25022</v>
      </c>
      <c r="E484">
        <v>567</v>
      </c>
      <c r="F484" t="s">
        <v>3649</v>
      </c>
      <c r="G484" t="s">
        <v>57</v>
      </c>
      <c r="H484">
        <v>598154</v>
      </c>
      <c r="I484">
        <v>598540</v>
      </c>
      <c r="J484" t="s">
        <v>3650</v>
      </c>
      <c r="K484">
        <v>129</v>
      </c>
      <c r="L484" t="s">
        <v>1174</v>
      </c>
      <c r="M484">
        <v>42</v>
      </c>
      <c r="N484" t="str">
        <f>HYPERLINK("Gene567-zp_tree_all.dnd", "Gene567-tree")</f>
        <v>Gene567-tree</v>
      </c>
      <c r="O484">
        <v>8</v>
      </c>
      <c r="P484">
        <v>2</v>
      </c>
      <c r="Q484">
        <v>8</v>
      </c>
      <c r="R484">
        <v>2</v>
      </c>
      <c r="S484">
        <v>0.2</v>
      </c>
      <c r="T484" t="s">
        <v>136</v>
      </c>
      <c r="U484" t="s">
        <v>81</v>
      </c>
      <c r="V484" t="s">
        <v>62</v>
      </c>
      <c r="W484" t="s">
        <v>62</v>
      </c>
      <c r="X484">
        <v>0</v>
      </c>
      <c r="Y484">
        <v>0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</v>
      </c>
      <c r="AK484">
        <v>0</v>
      </c>
      <c r="AL484">
        <v>6</v>
      </c>
      <c r="AM484">
        <v>4</v>
      </c>
      <c r="AN484">
        <v>5</v>
      </c>
      <c r="AO484">
        <v>2</v>
      </c>
      <c r="AP484">
        <v>5</v>
      </c>
      <c r="AQ484">
        <v>0</v>
      </c>
      <c r="AR484" t="s">
        <v>3651</v>
      </c>
      <c r="AS484" t="s">
        <v>193</v>
      </c>
      <c r="AT484">
        <v>1.113</v>
      </c>
      <c r="AU484" t="s">
        <v>65</v>
      </c>
      <c r="AV484">
        <v>10</v>
      </c>
      <c r="AW484">
        <v>2</v>
      </c>
      <c r="AX484" t="s">
        <v>3652</v>
      </c>
      <c r="AY484">
        <v>3.4840000000000003E-2</v>
      </c>
      <c r="AZ484">
        <v>-2.8800000000000002E-3</v>
      </c>
      <c r="BA484">
        <v>1.39E-3</v>
      </c>
      <c r="BB484">
        <v>-2.7999999999999998E-4</v>
      </c>
      <c r="BC484">
        <v>4.0009999999999997E-2</v>
      </c>
      <c r="BD484">
        <v>1</v>
      </c>
      <c r="BE484" t="s">
        <v>69</v>
      </c>
      <c r="BF484">
        <v>-0.35499999999999998</v>
      </c>
      <c r="BG484">
        <v>-7.3999999999999996E-2</v>
      </c>
    </row>
    <row r="485" spans="1:59">
      <c r="A485">
        <v>0</v>
      </c>
      <c r="B485">
        <v>0</v>
      </c>
      <c r="C485">
        <v>0</v>
      </c>
      <c r="D485" t="s">
        <v>25022</v>
      </c>
      <c r="E485">
        <v>410</v>
      </c>
      <c r="F485" t="s">
        <v>2781</v>
      </c>
      <c r="G485" t="s">
        <v>57</v>
      </c>
      <c r="H485">
        <v>455346</v>
      </c>
      <c r="I485">
        <v>455735</v>
      </c>
      <c r="J485" t="s">
        <v>2782</v>
      </c>
      <c r="K485">
        <v>130</v>
      </c>
      <c r="L485" t="s">
        <v>108</v>
      </c>
      <c r="M485">
        <v>44</v>
      </c>
      <c r="N485" t="str">
        <f>HYPERLINK("Gene410-zp_tree_all.dnd", "Gene410-tree")</f>
        <v>Gene410-tree</v>
      </c>
      <c r="O485">
        <v>27</v>
      </c>
      <c r="P485">
        <v>5</v>
      </c>
      <c r="Q485">
        <v>5</v>
      </c>
      <c r="R485">
        <v>5</v>
      </c>
      <c r="S485">
        <v>0.5</v>
      </c>
      <c r="T485" t="s">
        <v>2783</v>
      </c>
      <c r="U485" t="s">
        <v>199</v>
      </c>
      <c r="V485" t="s">
        <v>62</v>
      </c>
      <c r="W485" t="s">
        <v>62</v>
      </c>
      <c r="X485">
        <v>0</v>
      </c>
      <c r="Y485">
        <v>0</v>
      </c>
      <c r="Z485">
        <v>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8</v>
      </c>
      <c r="AK485">
        <v>0</v>
      </c>
      <c r="AL485">
        <v>7</v>
      </c>
      <c r="AM485">
        <v>3</v>
      </c>
      <c r="AN485">
        <v>6</v>
      </c>
      <c r="AO485">
        <v>8</v>
      </c>
      <c r="AP485">
        <v>3</v>
      </c>
      <c r="AQ485">
        <v>1</v>
      </c>
      <c r="AR485" t="s">
        <v>2784</v>
      </c>
      <c r="AS485" t="s">
        <v>2785</v>
      </c>
      <c r="AT485">
        <v>1.333</v>
      </c>
      <c r="AU485" t="s">
        <v>65</v>
      </c>
      <c r="AV485">
        <v>9</v>
      </c>
      <c r="AW485">
        <v>9</v>
      </c>
      <c r="AX485" t="s">
        <v>2786</v>
      </c>
      <c r="AY485">
        <v>2.4320000000000001E-2</v>
      </c>
      <c r="AZ485">
        <v>-1.7899999999999999E-3</v>
      </c>
      <c r="BA485">
        <v>6.6600000000000001E-3</v>
      </c>
      <c r="BB485">
        <v>-6.6E-4</v>
      </c>
      <c r="BC485">
        <v>0.27376</v>
      </c>
      <c r="BD485">
        <v>0.99</v>
      </c>
      <c r="BE485" t="s">
        <v>69</v>
      </c>
      <c r="BF485">
        <v>-1.181</v>
      </c>
      <c r="BG485">
        <v>-0.80700000000000005</v>
      </c>
    </row>
    <row r="486" spans="1:59">
      <c r="A486">
        <v>0</v>
      </c>
      <c r="B486">
        <v>8</v>
      </c>
      <c r="C486">
        <v>4</v>
      </c>
      <c r="D486" t="s">
        <v>25022</v>
      </c>
      <c r="E486">
        <v>3161</v>
      </c>
      <c r="F486" t="s">
        <v>18374</v>
      </c>
      <c r="G486" t="s">
        <v>62</v>
      </c>
      <c r="H486">
        <v>3118850</v>
      </c>
      <c r="I486">
        <v>3119239</v>
      </c>
      <c r="J486" t="s">
        <v>18375</v>
      </c>
      <c r="K486">
        <v>130</v>
      </c>
      <c r="L486" t="s">
        <v>59</v>
      </c>
      <c r="M486">
        <v>49</v>
      </c>
      <c r="N486" t="str">
        <f>HYPERLINK("Gene3161-zp_tree_all.dnd", "Gene3161-tree")</f>
        <v>Gene3161-tree</v>
      </c>
      <c r="O486">
        <v>32</v>
      </c>
      <c r="P486">
        <v>7</v>
      </c>
      <c r="Q486">
        <v>6</v>
      </c>
      <c r="R486">
        <v>7</v>
      </c>
      <c r="S486">
        <v>0.53846000000000005</v>
      </c>
      <c r="T486" t="s">
        <v>371</v>
      </c>
      <c r="U486" t="s">
        <v>152</v>
      </c>
      <c r="V486" t="s">
        <v>62</v>
      </c>
      <c r="W486" t="s">
        <v>62</v>
      </c>
      <c r="X486">
        <v>3</v>
      </c>
      <c r="Y486">
        <v>12</v>
      </c>
      <c r="Z486">
        <v>3</v>
      </c>
      <c r="AA486">
        <v>0.8</v>
      </c>
      <c r="AB486">
        <v>0</v>
      </c>
      <c r="AC486">
        <v>0</v>
      </c>
      <c r="AD486">
        <v>0</v>
      </c>
      <c r="AE486">
        <v>3</v>
      </c>
      <c r="AF486">
        <v>0</v>
      </c>
      <c r="AG486">
        <v>6</v>
      </c>
      <c r="AH486">
        <v>1</v>
      </c>
      <c r="AI486">
        <v>7</v>
      </c>
      <c r="AJ486">
        <v>4</v>
      </c>
      <c r="AK486">
        <v>0.63636000000000004</v>
      </c>
      <c r="AL486">
        <v>10</v>
      </c>
      <c r="AM486">
        <v>6</v>
      </c>
      <c r="AN486">
        <v>12</v>
      </c>
      <c r="AO486">
        <v>10</v>
      </c>
      <c r="AP486">
        <v>9</v>
      </c>
      <c r="AQ486">
        <v>5</v>
      </c>
      <c r="AR486" t="s">
        <v>18376</v>
      </c>
      <c r="AS486" t="s">
        <v>18377</v>
      </c>
      <c r="AT486">
        <v>0.41599999999999998</v>
      </c>
      <c r="AU486" t="s">
        <v>65</v>
      </c>
      <c r="AV486">
        <v>21</v>
      </c>
      <c r="AW486">
        <v>15</v>
      </c>
      <c r="AX486" t="s">
        <v>18378</v>
      </c>
      <c r="AY486">
        <v>6.021E-2</v>
      </c>
      <c r="AZ486">
        <v>-3.6099999999999999E-3</v>
      </c>
      <c r="BA486">
        <v>8.8100000000000001E-3</v>
      </c>
      <c r="BB486">
        <v>-6.4999999999999997E-4</v>
      </c>
      <c r="BC486">
        <v>0.14637</v>
      </c>
      <c r="BD486">
        <v>1</v>
      </c>
      <c r="BE486" t="s">
        <v>69</v>
      </c>
      <c r="BF486">
        <v>-1.3839999999999999</v>
      </c>
      <c r="BG486">
        <v>-2.2450000000000001</v>
      </c>
    </row>
    <row r="487" spans="1:59">
      <c r="A487">
        <v>0</v>
      </c>
      <c r="B487">
        <v>0</v>
      </c>
      <c r="C487">
        <v>4</v>
      </c>
      <c r="D487" t="s">
        <v>25022</v>
      </c>
      <c r="E487">
        <v>1800</v>
      </c>
      <c r="F487" t="s">
        <v>11273</v>
      </c>
      <c r="G487" t="s">
        <v>57</v>
      </c>
      <c r="H487">
        <v>1868617</v>
      </c>
      <c r="I487">
        <v>1869006</v>
      </c>
      <c r="J487" t="s">
        <v>11274</v>
      </c>
      <c r="K487">
        <v>130</v>
      </c>
      <c r="L487" t="s">
        <v>515</v>
      </c>
      <c r="M487">
        <v>51</v>
      </c>
      <c r="N487" t="str">
        <f>HYPERLINK("Gene1800-zp_tree_all.dnd", "Gene1800-tree")</f>
        <v>Gene1800-tree</v>
      </c>
      <c r="O487">
        <v>30</v>
      </c>
      <c r="P487">
        <v>0</v>
      </c>
      <c r="Q487">
        <v>13</v>
      </c>
      <c r="R487">
        <v>0</v>
      </c>
      <c r="S487">
        <v>0</v>
      </c>
      <c r="T487" t="s">
        <v>2704</v>
      </c>
      <c r="U487" t="s">
        <v>62</v>
      </c>
      <c r="V487" t="s">
        <v>62</v>
      </c>
      <c r="W487" t="s">
        <v>62</v>
      </c>
      <c r="X487">
        <v>2</v>
      </c>
      <c r="Y487">
        <v>4</v>
      </c>
      <c r="Z487">
        <v>3</v>
      </c>
      <c r="AA487">
        <v>0.57142999999999999</v>
      </c>
      <c r="AB487">
        <v>0</v>
      </c>
      <c r="AC487">
        <v>2</v>
      </c>
      <c r="AD487">
        <v>2</v>
      </c>
      <c r="AE487">
        <v>4</v>
      </c>
      <c r="AF487">
        <v>0.33333000000000002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8</v>
      </c>
      <c r="AM487">
        <v>6</v>
      </c>
      <c r="AN487">
        <v>11</v>
      </c>
      <c r="AO487">
        <v>0</v>
      </c>
      <c r="AP487">
        <v>14</v>
      </c>
      <c r="AQ487">
        <v>7</v>
      </c>
      <c r="AR487" t="s">
        <v>193</v>
      </c>
      <c r="AS487" t="s">
        <v>11275</v>
      </c>
      <c r="AT487">
        <v>1.9390000000000001</v>
      </c>
      <c r="AU487" t="s">
        <v>65</v>
      </c>
      <c r="AV487">
        <v>25</v>
      </c>
      <c r="AW487">
        <v>7</v>
      </c>
      <c r="AX487" t="s">
        <v>11276</v>
      </c>
      <c r="AY487">
        <v>6.651E-2</v>
      </c>
      <c r="AZ487">
        <v>-3.6900000000000001E-3</v>
      </c>
      <c r="BA487">
        <v>7.4099999999999999E-3</v>
      </c>
      <c r="BB487">
        <v>-5.5000000000000003E-4</v>
      </c>
      <c r="BC487">
        <v>0.11144999999999999</v>
      </c>
      <c r="BD487">
        <v>1</v>
      </c>
      <c r="BE487" t="s">
        <v>69</v>
      </c>
      <c r="BF487">
        <v>-1.2709999999999999</v>
      </c>
      <c r="BG487">
        <v>7.1999999999999995E-2</v>
      </c>
    </row>
    <row r="488" spans="1:59">
      <c r="A488">
        <v>0</v>
      </c>
      <c r="B488">
        <v>0</v>
      </c>
      <c r="C488">
        <v>0</v>
      </c>
      <c r="D488" t="s">
        <v>25022</v>
      </c>
      <c r="E488">
        <v>3258</v>
      </c>
      <c r="F488" t="s">
        <v>18995</v>
      </c>
      <c r="G488" t="s">
        <v>62</v>
      </c>
      <c r="H488">
        <v>3225181</v>
      </c>
      <c r="I488">
        <v>3225570</v>
      </c>
      <c r="J488" t="s">
        <v>18996</v>
      </c>
      <c r="K488">
        <v>130</v>
      </c>
      <c r="L488" t="s">
        <v>59</v>
      </c>
      <c r="M488">
        <v>49</v>
      </c>
      <c r="N488" t="str">
        <f>HYPERLINK("Gene3258-zp_tree_all.dnd", "Gene3258-tree")</f>
        <v>Gene3258-tree</v>
      </c>
      <c r="O488">
        <v>7</v>
      </c>
      <c r="P488">
        <v>1</v>
      </c>
      <c r="Q488">
        <v>7</v>
      </c>
      <c r="R488">
        <v>1</v>
      </c>
      <c r="S488">
        <v>0.125</v>
      </c>
      <c r="T488" t="s">
        <v>152</v>
      </c>
      <c r="U488" t="s">
        <v>175</v>
      </c>
      <c r="V488" t="s">
        <v>62</v>
      </c>
      <c r="W488" t="s">
        <v>62</v>
      </c>
      <c r="X488">
        <v>0</v>
      </c>
      <c r="Y488">
        <v>0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4</v>
      </c>
      <c r="AM488">
        <v>4</v>
      </c>
      <c r="AN488">
        <v>4</v>
      </c>
      <c r="AO488">
        <v>1</v>
      </c>
      <c r="AP488">
        <v>3</v>
      </c>
      <c r="AQ488">
        <v>1</v>
      </c>
      <c r="AR488" t="s">
        <v>18997</v>
      </c>
      <c r="AS488" t="s">
        <v>18998</v>
      </c>
      <c r="AT488">
        <v>0.124</v>
      </c>
      <c r="AU488" t="s">
        <v>65</v>
      </c>
      <c r="AV488">
        <v>7</v>
      </c>
      <c r="AW488">
        <v>2</v>
      </c>
      <c r="AX488" t="s">
        <v>18999</v>
      </c>
      <c r="AY488">
        <v>3.0470000000000001E-2</v>
      </c>
      <c r="AZ488">
        <v>-2.8700000000000002E-3</v>
      </c>
      <c r="BA488">
        <v>2.5899999999999999E-3</v>
      </c>
      <c r="BB488">
        <v>-3.5E-4</v>
      </c>
      <c r="BC488">
        <v>8.4870000000000001E-2</v>
      </c>
      <c r="BD488">
        <v>0.98899999999999999</v>
      </c>
      <c r="BE488" t="s">
        <v>69</v>
      </c>
      <c r="BF488">
        <v>-1.3109999999999999</v>
      </c>
      <c r="BG488">
        <v>-1.93</v>
      </c>
    </row>
    <row r="489" spans="1:59">
      <c r="A489">
        <v>0</v>
      </c>
      <c r="B489">
        <v>0</v>
      </c>
      <c r="C489">
        <v>0</v>
      </c>
      <c r="D489" t="s">
        <v>25022</v>
      </c>
      <c r="E489">
        <v>151</v>
      </c>
      <c r="F489" t="s">
        <v>1067</v>
      </c>
      <c r="G489" t="s">
        <v>57</v>
      </c>
      <c r="H489">
        <v>154300</v>
      </c>
      <c r="I489">
        <v>154689</v>
      </c>
      <c r="J489" t="s">
        <v>1068</v>
      </c>
      <c r="K489">
        <v>130</v>
      </c>
      <c r="L489" t="s">
        <v>515</v>
      </c>
      <c r="M489">
        <v>51</v>
      </c>
      <c r="N489" t="str">
        <f>HYPERLINK("Gene151-zp_tree_all.dnd", "Gene151-tree")</f>
        <v>Gene151-tree</v>
      </c>
      <c r="O489">
        <v>9</v>
      </c>
      <c r="P489">
        <v>2</v>
      </c>
      <c r="Q489">
        <v>9</v>
      </c>
      <c r="R489">
        <v>2</v>
      </c>
      <c r="S489">
        <v>0.18182000000000001</v>
      </c>
      <c r="T489" t="s">
        <v>135</v>
      </c>
      <c r="U489" t="s">
        <v>81</v>
      </c>
      <c r="V489" t="s">
        <v>62</v>
      </c>
      <c r="W489" t="s">
        <v>62</v>
      </c>
      <c r="X489">
        <v>0</v>
      </c>
      <c r="Y489">
        <v>0</v>
      </c>
      <c r="Z489">
        <v>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</v>
      </c>
      <c r="AK489">
        <v>0</v>
      </c>
      <c r="AL489">
        <v>7</v>
      </c>
      <c r="AM489">
        <v>4</v>
      </c>
      <c r="AN489">
        <v>10</v>
      </c>
      <c r="AO489">
        <v>1</v>
      </c>
      <c r="AP489">
        <v>8</v>
      </c>
      <c r="AQ489">
        <v>2</v>
      </c>
      <c r="AR489" t="s">
        <v>1069</v>
      </c>
      <c r="AS489" t="s">
        <v>1070</v>
      </c>
      <c r="AT489">
        <v>0.497</v>
      </c>
      <c r="AU489" t="s">
        <v>65</v>
      </c>
      <c r="AV489">
        <v>18</v>
      </c>
      <c r="AW489">
        <v>3</v>
      </c>
      <c r="AX489" t="s">
        <v>1071</v>
      </c>
      <c r="AY489">
        <v>5.45E-2</v>
      </c>
      <c r="AZ489">
        <v>-5.6299999999999996E-3</v>
      </c>
      <c r="BA489">
        <v>3.3E-3</v>
      </c>
      <c r="BB489">
        <v>-4.2000000000000002E-4</v>
      </c>
      <c r="BC489">
        <v>6.0499999999999998E-2</v>
      </c>
      <c r="BD489">
        <v>1</v>
      </c>
      <c r="BE489" t="s">
        <v>69</v>
      </c>
      <c r="BF489">
        <v>-1.0309999999999999</v>
      </c>
      <c r="BG489">
        <v>0.19900000000000001</v>
      </c>
    </row>
    <row r="490" spans="1:59">
      <c r="A490">
        <v>0</v>
      </c>
      <c r="B490">
        <v>0</v>
      </c>
      <c r="C490">
        <v>0</v>
      </c>
      <c r="D490" t="s">
        <v>25022</v>
      </c>
      <c r="E490">
        <v>808</v>
      </c>
      <c r="F490" t="s">
        <v>5026</v>
      </c>
      <c r="G490" t="s">
        <v>57</v>
      </c>
      <c r="H490">
        <v>844253</v>
      </c>
      <c r="I490">
        <v>844642</v>
      </c>
      <c r="J490" t="s">
        <v>288</v>
      </c>
      <c r="K490">
        <v>130</v>
      </c>
      <c r="L490" t="s">
        <v>1305</v>
      </c>
      <c r="M490">
        <v>43</v>
      </c>
      <c r="N490" t="str">
        <f>HYPERLINK("Gene808-zp_tree_all.dnd", "Gene808-tree")</f>
        <v>Gene808-tree</v>
      </c>
      <c r="O490">
        <v>37</v>
      </c>
      <c r="P490">
        <v>2</v>
      </c>
      <c r="Q490">
        <v>6</v>
      </c>
      <c r="R490">
        <v>2</v>
      </c>
      <c r="S490">
        <v>0.25</v>
      </c>
      <c r="T490" t="s">
        <v>5027</v>
      </c>
      <c r="U490" t="s">
        <v>81</v>
      </c>
      <c r="V490" t="s">
        <v>62</v>
      </c>
      <c r="W490" t="s">
        <v>62</v>
      </c>
      <c r="X490">
        <v>0</v>
      </c>
      <c r="Y490">
        <v>0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</v>
      </c>
      <c r="AK490">
        <v>0</v>
      </c>
      <c r="AL490">
        <v>6</v>
      </c>
      <c r="AM490">
        <v>2</v>
      </c>
      <c r="AN490">
        <v>13</v>
      </c>
      <c r="AO490">
        <v>2</v>
      </c>
      <c r="AP490">
        <v>3</v>
      </c>
      <c r="AQ490">
        <v>0</v>
      </c>
      <c r="AR490" t="s">
        <v>5028</v>
      </c>
      <c r="AS490" t="s">
        <v>193</v>
      </c>
      <c r="AT490">
        <v>0.68</v>
      </c>
      <c r="AU490" t="s">
        <v>65</v>
      </c>
      <c r="AV490">
        <v>16</v>
      </c>
      <c r="AW490">
        <v>2</v>
      </c>
      <c r="AX490" t="s">
        <v>5029</v>
      </c>
      <c r="AY490">
        <v>5.738E-2</v>
      </c>
      <c r="AZ490">
        <v>-7.7299999999999999E-3</v>
      </c>
      <c r="BA490">
        <v>1.6299999999999999E-3</v>
      </c>
      <c r="BB490">
        <v>-3.4000000000000002E-4</v>
      </c>
      <c r="BC490">
        <v>2.8389999999999999E-2</v>
      </c>
      <c r="BD490">
        <v>1</v>
      </c>
      <c r="BE490" t="s">
        <v>69</v>
      </c>
      <c r="BF490">
        <v>-2.2069999999999999</v>
      </c>
      <c r="BG490">
        <v>-2.7959999999999998</v>
      </c>
    </row>
    <row r="491" spans="1:59">
      <c r="A491">
        <v>0</v>
      </c>
      <c r="B491">
        <v>7</v>
      </c>
      <c r="C491">
        <v>5</v>
      </c>
      <c r="D491" t="s">
        <v>25022</v>
      </c>
      <c r="E491">
        <v>956</v>
      </c>
      <c r="F491" t="s">
        <v>5999</v>
      </c>
      <c r="G491" t="s">
        <v>57</v>
      </c>
      <c r="H491">
        <v>996643</v>
      </c>
      <c r="I491">
        <v>997035</v>
      </c>
      <c r="J491" t="s">
        <v>116</v>
      </c>
      <c r="K491">
        <v>131</v>
      </c>
      <c r="L491" t="s">
        <v>59</v>
      </c>
      <c r="M491">
        <v>49</v>
      </c>
      <c r="N491" t="str">
        <f>HYPERLINK("Gene956-zp_tree_all.dnd", "Gene956-tree")</f>
        <v>Gene956-tree</v>
      </c>
      <c r="O491">
        <v>3</v>
      </c>
      <c r="P491">
        <v>10</v>
      </c>
      <c r="Q491">
        <v>3</v>
      </c>
      <c r="R491">
        <v>10</v>
      </c>
      <c r="S491">
        <v>0.76922999999999997</v>
      </c>
      <c r="T491" t="s">
        <v>324</v>
      </c>
      <c r="U491" t="s">
        <v>117</v>
      </c>
      <c r="V491" t="s">
        <v>62</v>
      </c>
      <c r="W491" t="s">
        <v>62</v>
      </c>
      <c r="X491">
        <v>1</v>
      </c>
      <c r="Y491">
        <v>2</v>
      </c>
      <c r="Z491">
        <v>13</v>
      </c>
      <c r="AA491">
        <v>0.13333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18</v>
      </c>
      <c r="AK491">
        <v>0</v>
      </c>
      <c r="AL491">
        <v>12</v>
      </c>
      <c r="AM491">
        <v>4</v>
      </c>
      <c r="AN491">
        <v>12</v>
      </c>
      <c r="AO491">
        <v>18</v>
      </c>
      <c r="AP491">
        <v>8</v>
      </c>
      <c r="AQ491">
        <v>7</v>
      </c>
      <c r="AR491" t="s">
        <v>6000</v>
      </c>
      <c r="AS491" t="s">
        <v>6001</v>
      </c>
      <c r="AT491">
        <v>0.74399999999999999</v>
      </c>
      <c r="AU491" t="s">
        <v>65</v>
      </c>
      <c r="AV491">
        <v>20</v>
      </c>
      <c r="AW491">
        <v>25</v>
      </c>
      <c r="AX491" t="s">
        <v>6002</v>
      </c>
      <c r="AY491">
        <v>6.2710000000000002E-2</v>
      </c>
      <c r="AZ491">
        <v>-5.9500000000000004E-3</v>
      </c>
      <c r="BA491">
        <v>1.397E-2</v>
      </c>
      <c r="BB491">
        <v>-1.01E-3</v>
      </c>
      <c r="BC491">
        <v>0.22278000000000001</v>
      </c>
      <c r="BD491">
        <v>1</v>
      </c>
      <c r="BE491" t="s">
        <v>69</v>
      </c>
      <c r="BF491">
        <v>-2.1150000000000002</v>
      </c>
      <c r="BG491">
        <v>-2.915</v>
      </c>
    </row>
    <row r="492" spans="1:59">
      <c r="A492">
        <v>0</v>
      </c>
      <c r="B492">
        <v>0</v>
      </c>
      <c r="C492">
        <v>0</v>
      </c>
      <c r="D492" t="s">
        <v>25022</v>
      </c>
      <c r="E492">
        <v>143</v>
      </c>
      <c r="F492" t="s">
        <v>1016</v>
      </c>
      <c r="G492" t="s">
        <v>57</v>
      </c>
      <c r="H492">
        <v>148359</v>
      </c>
      <c r="I492">
        <v>148751</v>
      </c>
      <c r="J492" t="s">
        <v>1017</v>
      </c>
      <c r="K492">
        <v>131</v>
      </c>
      <c r="L492" t="s">
        <v>59</v>
      </c>
      <c r="M492">
        <v>49</v>
      </c>
      <c r="N492" t="str">
        <f>HYPERLINK("Gene143-zp_tree_all.dnd", "Gene143-tree")</f>
        <v>Gene143-tree</v>
      </c>
      <c r="O492">
        <v>6</v>
      </c>
      <c r="P492">
        <v>1</v>
      </c>
      <c r="Q492">
        <v>6</v>
      </c>
      <c r="R492">
        <v>1</v>
      </c>
      <c r="S492">
        <v>0.14285999999999999</v>
      </c>
      <c r="T492" t="s">
        <v>90</v>
      </c>
      <c r="U492" t="s">
        <v>175</v>
      </c>
      <c r="V492" t="s">
        <v>62</v>
      </c>
      <c r="W492" t="s">
        <v>62</v>
      </c>
      <c r="X492">
        <v>0</v>
      </c>
      <c r="Y492">
        <v>0</v>
      </c>
      <c r="Z492">
        <v>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6</v>
      </c>
      <c r="AM492">
        <v>1</v>
      </c>
      <c r="AN492">
        <v>12</v>
      </c>
      <c r="AO492">
        <v>1</v>
      </c>
      <c r="AP492">
        <v>2</v>
      </c>
      <c r="AQ492">
        <v>2</v>
      </c>
      <c r="AR492" t="s">
        <v>1018</v>
      </c>
      <c r="AS492" t="s">
        <v>1019</v>
      </c>
      <c r="AT492">
        <v>4.8010000000000002</v>
      </c>
      <c r="AU492" t="s">
        <v>65</v>
      </c>
      <c r="AV492">
        <v>14</v>
      </c>
      <c r="AW492">
        <v>3</v>
      </c>
      <c r="AX492" t="s">
        <v>1020</v>
      </c>
      <c r="AY492">
        <v>4.0469999999999999E-2</v>
      </c>
      <c r="AZ492">
        <v>-4.3800000000000002E-3</v>
      </c>
      <c r="BA492">
        <v>4.28E-3</v>
      </c>
      <c r="BB492">
        <v>-7.3999999999999999E-4</v>
      </c>
      <c r="BC492">
        <v>0.1057</v>
      </c>
      <c r="BD492">
        <v>1</v>
      </c>
      <c r="BE492" t="s">
        <v>69</v>
      </c>
      <c r="BF492">
        <v>-1.7849999999999999</v>
      </c>
      <c r="BG492">
        <v>0.496</v>
      </c>
    </row>
    <row r="493" spans="1:59">
      <c r="A493">
        <v>0</v>
      </c>
      <c r="B493">
        <v>0</v>
      </c>
      <c r="C493">
        <v>2</v>
      </c>
      <c r="D493" t="s">
        <v>25022</v>
      </c>
      <c r="E493">
        <v>2534</v>
      </c>
      <c r="F493" t="s">
        <v>14802</v>
      </c>
      <c r="G493" t="s">
        <v>62</v>
      </c>
      <c r="H493">
        <v>2529270</v>
      </c>
      <c r="I493">
        <v>2529662</v>
      </c>
      <c r="J493" t="s">
        <v>14803</v>
      </c>
      <c r="K493">
        <v>131</v>
      </c>
      <c r="L493" t="s">
        <v>59</v>
      </c>
      <c r="M493">
        <v>49</v>
      </c>
      <c r="N493" t="str">
        <f>HYPERLINK("Gene2534-zp_tree_all.dnd", "Gene2534-tree")</f>
        <v>Gene2534-tree</v>
      </c>
      <c r="O493">
        <v>7</v>
      </c>
      <c r="P493">
        <v>2</v>
      </c>
      <c r="Q493">
        <v>7</v>
      </c>
      <c r="R493">
        <v>2</v>
      </c>
      <c r="S493">
        <v>0.22222</v>
      </c>
      <c r="T493" t="s">
        <v>152</v>
      </c>
      <c r="U493" t="s">
        <v>81</v>
      </c>
      <c r="V493" t="s">
        <v>62</v>
      </c>
      <c r="W493" t="s">
        <v>62</v>
      </c>
      <c r="X493">
        <v>1</v>
      </c>
      <c r="Y493">
        <v>2</v>
      </c>
      <c r="Z493">
        <v>2</v>
      </c>
      <c r="AA493">
        <v>0.5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2</v>
      </c>
      <c r="AK493">
        <v>0</v>
      </c>
      <c r="AL493">
        <v>7</v>
      </c>
      <c r="AM493">
        <v>5</v>
      </c>
      <c r="AN493">
        <v>10</v>
      </c>
      <c r="AO493">
        <v>2</v>
      </c>
      <c r="AP493">
        <v>12</v>
      </c>
      <c r="AQ493">
        <v>2</v>
      </c>
      <c r="AR493" t="s">
        <v>14804</v>
      </c>
      <c r="AS493" t="s">
        <v>14805</v>
      </c>
      <c r="AT493">
        <v>0.123</v>
      </c>
      <c r="AU493" t="s">
        <v>65</v>
      </c>
      <c r="AV493">
        <v>22</v>
      </c>
      <c r="AW493">
        <v>4</v>
      </c>
      <c r="AX493" t="s">
        <v>14806</v>
      </c>
      <c r="AY493">
        <v>9.3259999999999996E-2</v>
      </c>
      <c r="AZ493">
        <v>-7.5700000000000003E-3</v>
      </c>
      <c r="BA493">
        <v>4.5300000000000002E-3</v>
      </c>
      <c r="BB493">
        <v>-4.4999999999999999E-4</v>
      </c>
      <c r="BC493">
        <v>4.8520000000000001E-2</v>
      </c>
      <c r="BD493">
        <v>1</v>
      </c>
      <c r="BE493" t="s">
        <v>69</v>
      </c>
      <c r="BF493">
        <v>-1.833</v>
      </c>
      <c r="BG493">
        <v>-0.57199999999999995</v>
      </c>
    </row>
    <row r="494" spans="1:59">
      <c r="A494">
        <v>0</v>
      </c>
      <c r="B494">
        <v>3</v>
      </c>
      <c r="C494">
        <v>0</v>
      </c>
      <c r="D494" t="s">
        <v>25022</v>
      </c>
      <c r="E494">
        <v>1187</v>
      </c>
      <c r="F494" t="s">
        <v>7470</v>
      </c>
      <c r="G494" t="s">
        <v>57</v>
      </c>
      <c r="H494">
        <v>1227697</v>
      </c>
      <c r="I494">
        <v>1228089</v>
      </c>
      <c r="J494" t="s">
        <v>7471</v>
      </c>
      <c r="K494">
        <v>131</v>
      </c>
      <c r="L494" t="s">
        <v>59</v>
      </c>
      <c r="M494">
        <v>49</v>
      </c>
      <c r="N494" t="str">
        <f>HYPERLINK("Gene1187-zp_tree_all.dnd", "Gene1187-tree")</f>
        <v>Gene1187-tree</v>
      </c>
      <c r="O494">
        <v>11</v>
      </c>
      <c r="P494">
        <v>2</v>
      </c>
      <c r="Q494">
        <v>11</v>
      </c>
      <c r="R494">
        <v>2</v>
      </c>
      <c r="S494">
        <v>0.15384999999999999</v>
      </c>
      <c r="T494" t="s">
        <v>73</v>
      </c>
      <c r="U494" t="s">
        <v>81</v>
      </c>
      <c r="V494" t="s">
        <v>62</v>
      </c>
      <c r="W494" t="s">
        <v>62</v>
      </c>
      <c r="X494">
        <v>1</v>
      </c>
      <c r="Y494">
        <v>3</v>
      </c>
      <c r="Z494">
        <v>2</v>
      </c>
      <c r="AA494">
        <v>0.6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0</v>
      </c>
      <c r="AL494">
        <v>9</v>
      </c>
      <c r="AM494">
        <v>5</v>
      </c>
      <c r="AN494">
        <v>17</v>
      </c>
      <c r="AO494">
        <v>1</v>
      </c>
      <c r="AP494">
        <v>12</v>
      </c>
      <c r="AQ494">
        <v>4</v>
      </c>
      <c r="AR494" t="s">
        <v>7472</v>
      </c>
      <c r="AS494" t="s">
        <v>7473</v>
      </c>
      <c r="AT494">
        <v>1.476</v>
      </c>
      <c r="AU494" t="s">
        <v>65</v>
      </c>
      <c r="AV494">
        <v>29</v>
      </c>
      <c r="AW494">
        <v>5</v>
      </c>
      <c r="AX494" t="s">
        <v>7474</v>
      </c>
      <c r="AY494">
        <v>8.4940000000000002E-2</v>
      </c>
      <c r="AZ494">
        <v>-5.0899999999999999E-3</v>
      </c>
      <c r="BA494">
        <v>3.1199999999999999E-3</v>
      </c>
      <c r="BB494">
        <v>-2.9E-4</v>
      </c>
      <c r="BC494">
        <v>3.669E-2</v>
      </c>
      <c r="BD494">
        <v>1</v>
      </c>
      <c r="BE494" t="s">
        <v>69</v>
      </c>
      <c r="BF494">
        <v>-1.044</v>
      </c>
      <c r="BG494">
        <v>-1.292</v>
      </c>
    </row>
    <row r="495" spans="1:59">
      <c r="A495">
        <v>0</v>
      </c>
      <c r="B495">
        <v>2</v>
      </c>
      <c r="C495">
        <v>0</v>
      </c>
      <c r="D495" t="s">
        <v>25022</v>
      </c>
      <c r="E495">
        <v>225</v>
      </c>
      <c r="F495" t="s">
        <v>1522</v>
      </c>
      <c r="G495" t="s">
        <v>57</v>
      </c>
      <c r="H495">
        <v>246094</v>
      </c>
      <c r="I495">
        <v>246489</v>
      </c>
      <c r="J495" t="s">
        <v>1523</v>
      </c>
      <c r="K495">
        <v>132</v>
      </c>
      <c r="L495" t="s">
        <v>108</v>
      </c>
      <c r="M495">
        <v>44</v>
      </c>
      <c r="N495" t="str">
        <f>HYPERLINK("Gene225-zp_tree_all.dnd", "Gene225-tree")</f>
        <v>Gene225-tree</v>
      </c>
      <c r="O495">
        <v>7</v>
      </c>
      <c r="P495">
        <v>5</v>
      </c>
      <c r="Q495">
        <v>7</v>
      </c>
      <c r="R495">
        <v>5</v>
      </c>
      <c r="S495">
        <v>0.41666999999999998</v>
      </c>
      <c r="T495" t="s">
        <v>152</v>
      </c>
      <c r="U495" t="s">
        <v>199</v>
      </c>
      <c r="V495" t="s">
        <v>62</v>
      </c>
      <c r="W495" t="s">
        <v>62</v>
      </c>
      <c r="X495">
        <v>1</v>
      </c>
      <c r="Y495">
        <v>2</v>
      </c>
      <c r="Z495">
        <v>6</v>
      </c>
      <c r="AA495">
        <v>0.25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6</v>
      </c>
      <c r="AK495">
        <v>0</v>
      </c>
      <c r="AL495">
        <v>7</v>
      </c>
      <c r="AM495">
        <v>5</v>
      </c>
      <c r="AN495">
        <v>5</v>
      </c>
      <c r="AO495">
        <v>5</v>
      </c>
      <c r="AP495">
        <v>6</v>
      </c>
      <c r="AQ495">
        <v>3</v>
      </c>
      <c r="AR495" t="s">
        <v>1524</v>
      </c>
      <c r="AS495" t="s">
        <v>1525</v>
      </c>
      <c r="AT495">
        <v>0.80700000000000005</v>
      </c>
      <c r="AU495" t="s">
        <v>65</v>
      </c>
      <c r="AV495">
        <v>11</v>
      </c>
      <c r="AW495">
        <v>8</v>
      </c>
      <c r="AX495" t="s">
        <v>1526</v>
      </c>
      <c r="AY495">
        <v>2.921E-2</v>
      </c>
      <c r="AZ495">
        <v>-1.8699999999999999E-3</v>
      </c>
      <c r="BA495">
        <v>6.3099999999999996E-3</v>
      </c>
      <c r="BB495">
        <v>-4.8000000000000001E-4</v>
      </c>
      <c r="BC495">
        <v>0.21611</v>
      </c>
      <c r="BD495">
        <v>0.97</v>
      </c>
      <c r="BE495" t="s">
        <v>69</v>
      </c>
      <c r="BF495">
        <v>-0.59</v>
      </c>
      <c r="BG495">
        <v>-0.19600000000000001</v>
      </c>
    </row>
    <row r="496" spans="1:59">
      <c r="A496">
        <v>0</v>
      </c>
      <c r="B496">
        <v>0</v>
      </c>
      <c r="C496">
        <v>0</v>
      </c>
      <c r="D496" t="s">
        <v>25022</v>
      </c>
      <c r="E496">
        <v>3296</v>
      </c>
      <c r="F496" t="s">
        <v>19236</v>
      </c>
      <c r="G496" t="s">
        <v>62</v>
      </c>
      <c r="H496">
        <v>3261542</v>
      </c>
      <c r="I496">
        <v>3261937</v>
      </c>
      <c r="J496" t="s">
        <v>116</v>
      </c>
      <c r="K496">
        <v>132</v>
      </c>
      <c r="L496" t="s">
        <v>108</v>
      </c>
      <c r="M496">
        <v>44</v>
      </c>
      <c r="N496" t="str">
        <f>HYPERLINK("Gene3296-zp_tree_all.dnd", "Gene3296-tree")</f>
        <v>Gene3296-tree</v>
      </c>
      <c r="O496">
        <v>5</v>
      </c>
      <c r="P496">
        <v>5</v>
      </c>
      <c r="Q496">
        <v>5</v>
      </c>
      <c r="R496">
        <v>5</v>
      </c>
      <c r="S496">
        <v>0.5</v>
      </c>
      <c r="T496" t="s">
        <v>199</v>
      </c>
      <c r="U496" t="s">
        <v>199</v>
      </c>
      <c r="V496" t="s">
        <v>62</v>
      </c>
      <c r="W496" t="s">
        <v>62</v>
      </c>
      <c r="X496">
        <v>0</v>
      </c>
      <c r="Y496">
        <v>0</v>
      </c>
      <c r="Z496">
        <v>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6</v>
      </c>
      <c r="AK496">
        <v>0</v>
      </c>
      <c r="AL496">
        <v>9</v>
      </c>
      <c r="AM496">
        <v>4</v>
      </c>
      <c r="AN496">
        <v>17</v>
      </c>
      <c r="AO496">
        <v>6</v>
      </c>
      <c r="AP496">
        <v>5</v>
      </c>
      <c r="AQ496">
        <v>3</v>
      </c>
      <c r="AR496" t="s">
        <v>19237</v>
      </c>
      <c r="AS496" t="s">
        <v>19238</v>
      </c>
      <c r="AT496">
        <v>0.88400000000000001</v>
      </c>
      <c r="AU496" t="s">
        <v>65</v>
      </c>
      <c r="AV496">
        <v>22</v>
      </c>
      <c r="AW496">
        <v>9</v>
      </c>
      <c r="AX496" t="s">
        <v>19239</v>
      </c>
      <c r="AY496">
        <v>5.3900000000000003E-2</v>
      </c>
      <c r="AZ496">
        <v>-3.4099999999999998E-3</v>
      </c>
      <c r="BA496">
        <v>8.4899999999999993E-3</v>
      </c>
      <c r="BB496">
        <v>-6.8000000000000005E-4</v>
      </c>
      <c r="BC496">
        <v>0.15756000000000001</v>
      </c>
      <c r="BD496">
        <v>1</v>
      </c>
      <c r="BE496" t="s">
        <v>69</v>
      </c>
      <c r="BF496">
        <v>1.2130000000000001</v>
      </c>
      <c r="BG496">
        <v>0.50600000000000001</v>
      </c>
    </row>
    <row r="497" spans="1:59">
      <c r="A497">
        <v>0</v>
      </c>
      <c r="B497">
        <v>2</v>
      </c>
      <c r="C497">
        <v>0</v>
      </c>
      <c r="D497" t="s">
        <v>25022</v>
      </c>
      <c r="E497">
        <v>1557</v>
      </c>
      <c r="F497" t="s">
        <v>9734</v>
      </c>
      <c r="G497" t="s">
        <v>57</v>
      </c>
      <c r="H497">
        <v>1567651</v>
      </c>
      <c r="I497">
        <v>1568046</v>
      </c>
      <c r="J497" t="s">
        <v>9735</v>
      </c>
      <c r="K497">
        <v>132</v>
      </c>
      <c r="L497" t="s">
        <v>59</v>
      </c>
      <c r="M497">
        <v>49</v>
      </c>
      <c r="N497" t="str">
        <f>HYPERLINK("Gene1557-zp_tree_all.dnd", "Gene1557-tree")</f>
        <v>Gene1557-tree</v>
      </c>
      <c r="O497">
        <v>9</v>
      </c>
      <c r="P497">
        <v>7</v>
      </c>
      <c r="Q497">
        <v>9</v>
      </c>
      <c r="R497">
        <v>7</v>
      </c>
      <c r="S497">
        <v>0.4375</v>
      </c>
      <c r="T497" t="s">
        <v>135</v>
      </c>
      <c r="U497" t="s">
        <v>152</v>
      </c>
      <c r="V497" t="s">
        <v>62</v>
      </c>
      <c r="W497" t="s">
        <v>62</v>
      </c>
      <c r="X497">
        <v>1</v>
      </c>
      <c r="Y497">
        <v>2</v>
      </c>
      <c r="Z497">
        <v>13</v>
      </c>
      <c r="AA497">
        <v>0.13333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8</v>
      </c>
      <c r="AK497">
        <v>0</v>
      </c>
      <c r="AL497">
        <v>12</v>
      </c>
      <c r="AM497">
        <v>7</v>
      </c>
      <c r="AN497">
        <v>14</v>
      </c>
      <c r="AO497">
        <v>7</v>
      </c>
      <c r="AP497">
        <v>15</v>
      </c>
      <c r="AQ497">
        <v>9</v>
      </c>
      <c r="AR497" t="s">
        <v>9736</v>
      </c>
      <c r="AS497" t="s">
        <v>9737</v>
      </c>
      <c r="AT497">
        <v>0.20699999999999999</v>
      </c>
      <c r="AU497" t="s">
        <v>65</v>
      </c>
      <c r="AV497">
        <v>29</v>
      </c>
      <c r="AW497">
        <v>16</v>
      </c>
      <c r="AX497" t="s">
        <v>9738</v>
      </c>
      <c r="AY497">
        <v>7.8219999999999998E-2</v>
      </c>
      <c r="AZ497">
        <v>-5.0499999999999998E-3</v>
      </c>
      <c r="BA497">
        <v>1.081E-2</v>
      </c>
      <c r="BB497">
        <v>-8.3000000000000001E-4</v>
      </c>
      <c r="BC497">
        <v>0.13816000000000001</v>
      </c>
      <c r="BD497">
        <v>1</v>
      </c>
      <c r="BE497" t="s">
        <v>69</v>
      </c>
      <c r="BF497">
        <v>-1.534</v>
      </c>
      <c r="BG497">
        <v>-0.34100000000000003</v>
      </c>
    </row>
    <row r="498" spans="1:59">
      <c r="A498">
        <v>0</v>
      </c>
      <c r="B498">
        <v>2</v>
      </c>
      <c r="C498">
        <v>0</v>
      </c>
      <c r="D498" t="s">
        <v>25022</v>
      </c>
      <c r="E498">
        <v>3815</v>
      </c>
      <c r="F498" t="s">
        <v>22356</v>
      </c>
      <c r="G498" t="s">
        <v>62</v>
      </c>
      <c r="H498">
        <v>3781072</v>
      </c>
      <c r="I498">
        <v>3781467</v>
      </c>
      <c r="J498" t="s">
        <v>22357</v>
      </c>
      <c r="K498">
        <v>132</v>
      </c>
      <c r="L498" t="s">
        <v>59</v>
      </c>
      <c r="M498">
        <v>49</v>
      </c>
      <c r="N498" t="str">
        <f>HYPERLINK("Gene3815-zp_tree_all.dnd", "Gene3815-tree")</f>
        <v>Gene3815-tree</v>
      </c>
      <c r="O498">
        <v>10</v>
      </c>
      <c r="P498">
        <v>2</v>
      </c>
      <c r="Q498">
        <v>10</v>
      </c>
      <c r="R498">
        <v>2</v>
      </c>
      <c r="S498">
        <v>0.16667000000000001</v>
      </c>
      <c r="T498" t="s">
        <v>117</v>
      </c>
      <c r="U498" t="s">
        <v>81</v>
      </c>
      <c r="V498" t="s">
        <v>62</v>
      </c>
      <c r="W498" t="s">
        <v>62</v>
      </c>
      <c r="X498">
        <v>1</v>
      </c>
      <c r="Y498">
        <v>2</v>
      </c>
      <c r="Z498">
        <v>3</v>
      </c>
      <c r="AA498">
        <v>0.4</v>
      </c>
      <c r="AB498">
        <v>0</v>
      </c>
      <c r="AC498">
        <v>0</v>
      </c>
      <c r="AD498">
        <v>0</v>
      </c>
      <c r="AE498">
        <v>3</v>
      </c>
      <c r="AF498">
        <v>0</v>
      </c>
      <c r="AG498">
        <v>2</v>
      </c>
      <c r="AH498">
        <v>0</v>
      </c>
      <c r="AI498">
        <v>2</v>
      </c>
      <c r="AJ498">
        <v>0</v>
      </c>
      <c r="AK498">
        <v>1</v>
      </c>
      <c r="AL498">
        <v>5</v>
      </c>
      <c r="AM498">
        <v>7</v>
      </c>
      <c r="AN498">
        <v>3</v>
      </c>
      <c r="AO498">
        <v>2</v>
      </c>
      <c r="AP498">
        <v>11</v>
      </c>
      <c r="AQ498">
        <v>3</v>
      </c>
      <c r="AR498" t="s">
        <v>22358</v>
      </c>
      <c r="AS498" t="s">
        <v>22359</v>
      </c>
      <c r="AT498">
        <v>0.53400000000000003</v>
      </c>
      <c r="AU498" t="s">
        <v>65</v>
      </c>
      <c r="AV498">
        <v>14</v>
      </c>
      <c r="AW498">
        <v>5</v>
      </c>
      <c r="AX498" t="s">
        <v>22360</v>
      </c>
      <c r="AY498">
        <v>5.3260000000000002E-2</v>
      </c>
      <c r="AZ498">
        <v>-4.8799999999999998E-3</v>
      </c>
      <c r="BA498">
        <v>5.64E-3</v>
      </c>
      <c r="BB498">
        <v>-4.2999999999999999E-4</v>
      </c>
      <c r="BC498">
        <v>0.10587000000000001</v>
      </c>
      <c r="BD498">
        <v>1</v>
      </c>
      <c r="BE498" t="s">
        <v>69</v>
      </c>
      <c r="BF498">
        <v>3.2000000000000001E-2</v>
      </c>
      <c r="BG498">
        <v>1.2050000000000001</v>
      </c>
    </row>
    <row r="499" spans="1:59">
      <c r="A499">
        <v>0</v>
      </c>
      <c r="B499">
        <v>0</v>
      </c>
      <c r="C499">
        <v>0</v>
      </c>
      <c r="D499" t="s">
        <v>25022</v>
      </c>
      <c r="E499">
        <v>4101</v>
      </c>
      <c r="F499" t="s">
        <v>24149</v>
      </c>
      <c r="G499" t="s">
        <v>62</v>
      </c>
      <c r="H499">
        <v>4066610</v>
      </c>
      <c r="I499">
        <v>4067005</v>
      </c>
      <c r="J499" t="s">
        <v>1856</v>
      </c>
      <c r="K499">
        <v>132</v>
      </c>
      <c r="L499" t="s">
        <v>698</v>
      </c>
      <c r="M499">
        <v>47</v>
      </c>
      <c r="N499" t="str">
        <f>HYPERLINK("Gene4101-zp_tree_all.dnd", "Gene4101-tree")</f>
        <v>Gene4101-tree</v>
      </c>
      <c r="O499">
        <v>9</v>
      </c>
      <c r="P499">
        <v>5</v>
      </c>
      <c r="Q499">
        <v>9</v>
      </c>
      <c r="R499">
        <v>5</v>
      </c>
      <c r="S499">
        <v>0.35714000000000001</v>
      </c>
      <c r="T499" t="s">
        <v>135</v>
      </c>
      <c r="U499" t="s">
        <v>199</v>
      </c>
      <c r="V499" t="s">
        <v>62</v>
      </c>
      <c r="W499" t="s">
        <v>62</v>
      </c>
      <c r="X499">
        <v>0</v>
      </c>
      <c r="Y499">
        <v>0</v>
      </c>
      <c r="Z499">
        <v>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7</v>
      </c>
      <c r="AK499">
        <v>0</v>
      </c>
      <c r="AL499">
        <v>9</v>
      </c>
      <c r="AM499">
        <v>8</v>
      </c>
      <c r="AN499">
        <v>14</v>
      </c>
      <c r="AO499">
        <v>7</v>
      </c>
      <c r="AP499">
        <v>8</v>
      </c>
      <c r="AQ499">
        <v>1</v>
      </c>
      <c r="AR499" t="s">
        <v>24150</v>
      </c>
      <c r="AS499" t="s">
        <v>24151</v>
      </c>
      <c r="AT499">
        <v>0.53900000000000003</v>
      </c>
      <c r="AU499" t="s">
        <v>65</v>
      </c>
      <c r="AV499">
        <v>22</v>
      </c>
      <c r="AW499">
        <v>8</v>
      </c>
      <c r="AX499" t="s">
        <v>24152</v>
      </c>
      <c r="AY499">
        <v>5.5210000000000002E-2</v>
      </c>
      <c r="AZ499">
        <v>-5.3E-3</v>
      </c>
      <c r="BA499">
        <v>4.64E-3</v>
      </c>
      <c r="BB499">
        <v>-4.0999999999999999E-4</v>
      </c>
      <c r="BC499">
        <v>8.4019999999999997E-2</v>
      </c>
      <c r="BD499">
        <v>1</v>
      </c>
      <c r="BE499" t="s">
        <v>69</v>
      </c>
      <c r="BF499">
        <v>-1.7170000000000001</v>
      </c>
      <c r="BG499">
        <v>-2.0870000000000002</v>
      </c>
    </row>
    <row r="500" spans="1:59">
      <c r="A500">
        <v>0</v>
      </c>
      <c r="B500">
        <v>0</v>
      </c>
      <c r="C500">
        <v>0</v>
      </c>
      <c r="D500" t="s">
        <v>25022</v>
      </c>
      <c r="E500">
        <v>2873</v>
      </c>
      <c r="F500" t="s">
        <v>16519</v>
      </c>
      <c r="G500" t="s">
        <v>62</v>
      </c>
      <c r="H500">
        <v>2820080</v>
      </c>
      <c r="I500">
        <v>2820475</v>
      </c>
      <c r="J500" t="s">
        <v>16520</v>
      </c>
      <c r="K500">
        <v>132</v>
      </c>
      <c r="L500" t="s">
        <v>59</v>
      </c>
      <c r="M500">
        <v>49</v>
      </c>
      <c r="N500" t="str">
        <f>HYPERLINK("Gene2873-zp_tree_all.dnd", "Gene2873-tree")</f>
        <v>Gene2873-tree</v>
      </c>
      <c r="O500">
        <v>14</v>
      </c>
      <c r="P500">
        <v>3</v>
      </c>
      <c r="Q500">
        <v>14</v>
      </c>
      <c r="R500">
        <v>3</v>
      </c>
      <c r="S500">
        <v>0.17646999999999999</v>
      </c>
      <c r="T500" t="s">
        <v>543</v>
      </c>
      <c r="U500" t="s">
        <v>324</v>
      </c>
      <c r="V500" t="s">
        <v>62</v>
      </c>
      <c r="W500" t="s">
        <v>62</v>
      </c>
      <c r="X500">
        <v>0</v>
      </c>
      <c r="Y500">
        <v>0</v>
      </c>
      <c r="Z500">
        <v>10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6</v>
      </c>
      <c r="AK500">
        <v>0</v>
      </c>
      <c r="AL500">
        <v>11</v>
      </c>
      <c r="AM500">
        <v>10</v>
      </c>
      <c r="AN500">
        <v>24</v>
      </c>
      <c r="AO500">
        <v>5</v>
      </c>
      <c r="AP500">
        <v>25</v>
      </c>
      <c r="AQ500">
        <v>5</v>
      </c>
      <c r="AR500" t="s">
        <v>16521</v>
      </c>
      <c r="AS500" t="s">
        <v>16522</v>
      </c>
      <c r="AT500">
        <v>1.7999999999999999E-2</v>
      </c>
      <c r="AU500" t="s">
        <v>65</v>
      </c>
      <c r="AV500">
        <v>49</v>
      </c>
      <c r="AW500">
        <v>10</v>
      </c>
      <c r="AX500" t="s">
        <v>16523</v>
      </c>
      <c r="AY500">
        <v>0.10775999999999999</v>
      </c>
      <c r="AZ500">
        <v>-5.7299999999999999E-3</v>
      </c>
      <c r="BA500">
        <v>8.09E-3</v>
      </c>
      <c r="BB500">
        <v>-6.4000000000000005E-4</v>
      </c>
      <c r="BC500">
        <v>7.5109999999999996E-2</v>
      </c>
      <c r="BD500">
        <v>1</v>
      </c>
      <c r="BE500" t="s">
        <v>69</v>
      </c>
      <c r="BF500">
        <v>-1.347</v>
      </c>
      <c r="BG500">
        <v>-1.333</v>
      </c>
    </row>
    <row r="501" spans="1:59">
      <c r="A501">
        <v>0</v>
      </c>
      <c r="B501">
        <v>0</v>
      </c>
      <c r="C501">
        <v>2</v>
      </c>
      <c r="D501" t="s">
        <v>25022</v>
      </c>
      <c r="E501">
        <v>3245</v>
      </c>
      <c r="F501" t="s">
        <v>18920</v>
      </c>
      <c r="G501" t="s">
        <v>62</v>
      </c>
      <c r="H501">
        <v>3213857</v>
      </c>
      <c r="I501">
        <v>3214252</v>
      </c>
      <c r="J501" t="s">
        <v>116</v>
      </c>
      <c r="K501">
        <v>132</v>
      </c>
      <c r="L501" t="s">
        <v>1174</v>
      </c>
      <c r="M501">
        <v>42</v>
      </c>
      <c r="N501" t="str">
        <f>HYPERLINK("Gene3245-zp_tree_all.dnd", "Gene3245-tree")</f>
        <v>Gene3245-tree</v>
      </c>
      <c r="O501">
        <v>9</v>
      </c>
      <c r="P501">
        <v>6</v>
      </c>
      <c r="Q501">
        <v>9</v>
      </c>
      <c r="R501">
        <v>6</v>
      </c>
      <c r="S501">
        <v>0.4</v>
      </c>
      <c r="T501" t="s">
        <v>135</v>
      </c>
      <c r="U501" t="s">
        <v>90</v>
      </c>
      <c r="V501" t="s">
        <v>62</v>
      </c>
      <c r="W501" t="s">
        <v>62</v>
      </c>
      <c r="X501">
        <v>1</v>
      </c>
      <c r="Y501">
        <v>2</v>
      </c>
      <c r="Z501">
        <v>4</v>
      </c>
      <c r="AA501">
        <v>0.33333000000000002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</v>
      </c>
      <c r="AI501">
        <v>2</v>
      </c>
      <c r="AJ501">
        <v>4</v>
      </c>
      <c r="AK501">
        <v>0.33333000000000002</v>
      </c>
      <c r="AL501">
        <v>10</v>
      </c>
      <c r="AM501">
        <v>6</v>
      </c>
      <c r="AN501">
        <v>10</v>
      </c>
      <c r="AO501">
        <v>5</v>
      </c>
      <c r="AP501">
        <v>12</v>
      </c>
      <c r="AQ501">
        <v>1</v>
      </c>
      <c r="AR501" t="s">
        <v>18921</v>
      </c>
      <c r="AS501" t="s">
        <v>18922</v>
      </c>
      <c r="AT501">
        <v>1.341</v>
      </c>
      <c r="AU501" t="s">
        <v>65</v>
      </c>
      <c r="AV501">
        <v>22</v>
      </c>
      <c r="AW501">
        <v>6</v>
      </c>
      <c r="AX501" t="s">
        <v>18923</v>
      </c>
      <c r="AY501">
        <v>5.1090000000000003E-2</v>
      </c>
      <c r="AZ501">
        <v>-2.5100000000000001E-3</v>
      </c>
      <c r="BA501">
        <v>2.98E-3</v>
      </c>
      <c r="BB501">
        <v>-2.5999999999999998E-4</v>
      </c>
      <c r="BC501">
        <v>5.833E-2</v>
      </c>
      <c r="BD501">
        <v>1</v>
      </c>
      <c r="BE501" t="s">
        <v>69</v>
      </c>
      <c r="BF501">
        <v>-0.52</v>
      </c>
      <c r="BG501">
        <v>-1.135</v>
      </c>
    </row>
    <row r="502" spans="1:59">
      <c r="A502">
        <v>0</v>
      </c>
      <c r="B502">
        <v>0</v>
      </c>
      <c r="C502">
        <v>0</v>
      </c>
      <c r="D502" t="s">
        <v>25022</v>
      </c>
      <c r="E502">
        <v>130</v>
      </c>
      <c r="F502" t="s">
        <v>942</v>
      </c>
      <c r="G502" t="s">
        <v>57</v>
      </c>
      <c r="H502">
        <v>141974</v>
      </c>
      <c r="I502">
        <v>142369</v>
      </c>
      <c r="J502" t="s">
        <v>943</v>
      </c>
      <c r="K502">
        <v>132</v>
      </c>
      <c r="L502" t="s">
        <v>515</v>
      </c>
      <c r="M502">
        <v>51</v>
      </c>
      <c r="N502" t="str">
        <f>HYPERLINK("Gene130-zp_tree_all.dnd", "Gene130-tree")</f>
        <v>Gene130-tree</v>
      </c>
      <c r="O502">
        <v>8</v>
      </c>
      <c r="P502">
        <v>2</v>
      </c>
      <c r="Q502">
        <v>8</v>
      </c>
      <c r="R502">
        <v>2</v>
      </c>
      <c r="S502">
        <v>0.2</v>
      </c>
      <c r="T502" t="s">
        <v>136</v>
      </c>
      <c r="U502" t="s">
        <v>81</v>
      </c>
      <c r="V502" t="s">
        <v>62</v>
      </c>
      <c r="W502" t="s">
        <v>62</v>
      </c>
      <c r="X502">
        <v>0</v>
      </c>
      <c r="Y502">
        <v>0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6</v>
      </c>
      <c r="AM502">
        <v>3</v>
      </c>
      <c r="AN502">
        <v>9</v>
      </c>
      <c r="AO502">
        <v>2</v>
      </c>
      <c r="AP502">
        <v>3</v>
      </c>
      <c r="AQ502">
        <v>0</v>
      </c>
      <c r="AR502" t="s">
        <v>944</v>
      </c>
      <c r="AS502" t="s">
        <v>193</v>
      </c>
      <c r="AT502">
        <v>0.95</v>
      </c>
      <c r="AU502" t="s">
        <v>65</v>
      </c>
      <c r="AV502">
        <v>12</v>
      </c>
      <c r="AW502">
        <v>2</v>
      </c>
      <c r="AX502" t="s">
        <v>945</v>
      </c>
      <c r="AY502">
        <v>3.1269999999999999E-2</v>
      </c>
      <c r="AZ502">
        <v>-3.31E-3</v>
      </c>
      <c r="BA502">
        <v>1.32E-3</v>
      </c>
      <c r="BB502">
        <v>-2.5999999999999998E-4</v>
      </c>
      <c r="BC502">
        <v>4.224E-2</v>
      </c>
      <c r="BD502">
        <v>1</v>
      </c>
      <c r="BE502" t="s">
        <v>69</v>
      </c>
      <c r="BF502">
        <v>-0.72499999999999998</v>
      </c>
      <c r="BG502">
        <v>0.28499999999999998</v>
      </c>
    </row>
    <row r="503" spans="1:59">
      <c r="A503">
        <v>0</v>
      </c>
      <c r="B503">
        <v>7</v>
      </c>
      <c r="C503">
        <v>0</v>
      </c>
      <c r="D503" t="s">
        <v>25022</v>
      </c>
      <c r="E503">
        <v>3483</v>
      </c>
      <c r="F503" t="s">
        <v>20408</v>
      </c>
      <c r="G503" t="s">
        <v>62</v>
      </c>
      <c r="H503">
        <v>3448298</v>
      </c>
      <c r="I503">
        <v>3448696</v>
      </c>
      <c r="J503" t="s">
        <v>3095</v>
      </c>
      <c r="K503">
        <v>133</v>
      </c>
      <c r="L503" t="s">
        <v>108</v>
      </c>
      <c r="M503">
        <v>44</v>
      </c>
      <c r="N503" t="str">
        <f>HYPERLINK("Gene3483-zp_tree_all.dnd", "Gene3483-tree")</f>
        <v>Gene3483-tree</v>
      </c>
      <c r="O503">
        <v>8</v>
      </c>
      <c r="P503">
        <v>8</v>
      </c>
      <c r="Q503">
        <v>8</v>
      </c>
      <c r="R503">
        <v>8</v>
      </c>
      <c r="S503">
        <v>0.5</v>
      </c>
      <c r="T503" t="s">
        <v>136</v>
      </c>
      <c r="U503" t="s">
        <v>136</v>
      </c>
      <c r="V503" t="s">
        <v>62</v>
      </c>
      <c r="W503" t="s">
        <v>62</v>
      </c>
      <c r="X503">
        <v>3</v>
      </c>
      <c r="Y503">
        <v>7</v>
      </c>
      <c r="Z503">
        <v>5</v>
      </c>
      <c r="AA503">
        <v>0.58333000000000002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5</v>
      </c>
      <c r="AH503">
        <v>0</v>
      </c>
      <c r="AI503">
        <v>5</v>
      </c>
      <c r="AJ503">
        <v>6</v>
      </c>
      <c r="AK503">
        <v>0.45455000000000001</v>
      </c>
      <c r="AL503">
        <v>10</v>
      </c>
      <c r="AM503">
        <v>8</v>
      </c>
      <c r="AN503">
        <v>14</v>
      </c>
      <c r="AO503">
        <v>12</v>
      </c>
      <c r="AP503">
        <v>7</v>
      </c>
      <c r="AQ503">
        <v>1</v>
      </c>
      <c r="AR503" t="s">
        <v>20409</v>
      </c>
      <c r="AS503" t="s">
        <v>20410</v>
      </c>
      <c r="AT503">
        <v>1.474</v>
      </c>
      <c r="AU503" t="s">
        <v>65</v>
      </c>
      <c r="AV503">
        <v>21</v>
      </c>
      <c r="AW503">
        <v>13</v>
      </c>
      <c r="AX503" t="s">
        <v>20411</v>
      </c>
      <c r="AY503">
        <v>4.326E-2</v>
      </c>
      <c r="AZ503">
        <v>-1.9E-3</v>
      </c>
      <c r="BA503">
        <v>5.9800000000000001E-3</v>
      </c>
      <c r="BB503">
        <v>-4.0000000000000002E-4</v>
      </c>
      <c r="BC503">
        <v>0.13825999999999999</v>
      </c>
      <c r="BD503">
        <v>1</v>
      </c>
      <c r="BE503" t="s">
        <v>69</v>
      </c>
      <c r="BF503">
        <v>-1.1339999999999999</v>
      </c>
      <c r="BG503">
        <v>-1.954</v>
      </c>
    </row>
    <row r="504" spans="1:59">
      <c r="A504">
        <v>0</v>
      </c>
      <c r="B504">
        <v>7</v>
      </c>
      <c r="C504">
        <v>1</v>
      </c>
      <c r="D504" t="s">
        <v>25022</v>
      </c>
      <c r="E504">
        <v>3661</v>
      </c>
      <c r="F504" t="s">
        <v>21483</v>
      </c>
      <c r="G504" t="s">
        <v>62</v>
      </c>
      <c r="H504">
        <v>3632491</v>
      </c>
      <c r="I504">
        <v>3632889</v>
      </c>
      <c r="J504" t="s">
        <v>21484</v>
      </c>
      <c r="K504">
        <v>133</v>
      </c>
      <c r="L504" t="s">
        <v>21485</v>
      </c>
      <c r="M504">
        <v>47</v>
      </c>
      <c r="N504" t="str">
        <f>HYPERLINK("Gene3661-zp_tree_all.dnd", "Gene3661-tree")</f>
        <v>Gene3661-tree</v>
      </c>
      <c r="O504">
        <v>6</v>
      </c>
      <c r="P504">
        <v>9</v>
      </c>
      <c r="Q504">
        <v>6</v>
      </c>
      <c r="R504">
        <v>9</v>
      </c>
      <c r="S504">
        <v>0.6</v>
      </c>
      <c r="T504" t="s">
        <v>90</v>
      </c>
      <c r="U504" t="s">
        <v>135</v>
      </c>
      <c r="V504" t="s">
        <v>62</v>
      </c>
      <c r="W504" t="s">
        <v>62</v>
      </c>
      <c r="X504">
        <v>3</v>
      </c>
      <c r="Y504">
        <v>8</v>
      </c>
      <c r="Z504">
        <v>8</v>
      </c>
      <c r="AA504">
        <v>0.5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2</v>
      </c>
      <c r="AI504">
        <v>2</v>
      </c>
      <c r="AJ504">
        <v>9</v>
      </c>
      <c r="AK504">
        <v>0.18182000000000001</v>
      </c>
      <c r="AL504">
        <v>13</v>
      </c>
      <c r="AM504">
        <v>9</v>
      </c>
      <c r="AN504">
        <v>26</v>
      </c>
      <c r="AO504">
        <v>11</v>
      </c>
      <c r="AP504">
        <v>26</v>
      </c>
      <c r="AQ504">
        <v>5</v>
      </c>
      <c r="AR504" t="s">
        <v>21486</v>
      </c>
      <c r="AS504" t="s">
        <v>21487</v>
      </c>
      <c r="AT504">
        <v>0.83599999999999997</v>
      </c>
      <c r="AU504" t="s">
        <v>65</v>
      </c>
      <c r="AV504">
        <v>52</v>
      </c>
      <c r="AW504">
        <v>16</v>
      </c>
      <c r="AX504" t="s">
        <v>21488</v>
      </c>
      <c r="AY504">
        <v>0.11873</v>
      </c>
      <c r="AZ504">
        <v>-5.5199999999999997E-3</v>
      </c>
      <c r="BA504">
        <v>7.7000000000000002E-3</v>
      </c>
      <c r="BB504">
        <v>-3.8999999999999999E-4</v>
      </c>
      <c r="BC504">
        <v>6.4810000000000006E-2</v>
      </c>
      <c r="BD504">
        <v>1</v>
      </c>
      <c r="BE504" t="s">
        <v>69</v>
      </c>
      <c r="BF504">
        <v>-1.0249999999999999</v>
      </c>
      <c r="BG504">
        <v>-2.3290000000000002</v>
      </c>
    </row>
    <row r="505" spans="1:59">
      <c r="A505">
        <v>0</v>
      </c>
      <c r="B505">
        <v>2</v>
      </c>
      <c r="C505">
        <v>3</v>
      </c>
      <c r="D505" t="s">
        <v>25022</v>
      </c>
      <c r="E505">
        <v>478</v>
      </c>
      <c r="F505" t="s">
        <v>3235</v>
      </c>
      <c r="G505" t="s">
        <v>57</v>
      </c>
      <c r="H505">
        <v>520606</v>
      </c>
      <c r="I505">
        <v>521004</v>
      </c>
      <c r="J505" t="s">
        <v>3236</v>
      </c>
      <c r="K505">
        <v>133</v>
      </c>
      <c r="L505" t="s">
        <v>363</v>
      </c>
      <c r="M505">
        <v>46</v>
      </c>
      <c r="N505" t="str">
        <f>HYPERLINK("Gene478-zp_tree_all.dnd", "Gene478-tree")</f>
        <v>Gene478-tree</v>
      </c>
      <c r="O505">
        <v>10</v>
      </c>
      <c r="P505">
        <v>2</v>
      </c>
      <c r="Q505">
        <v>10</v>
      </c>
      <c r="R505">
        <v>2</v>
      </c>
      <c r="S505">
        <v>0.16667000000000001</v>
      </c>
      <c r="T505" t="s">
        <v>117</v>
      </c>
      <c r="U505" t="s">
        <v>81</v>
      </c>
      <c r="V505" t="s">
        <v>62</v>
      </c>
      <c r="W505" t="s">
        <v>62</v>
      </c>
      <c r="X505">
        <v>2</v>
      </c>
      <c r="Y505">
        <v>5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2</v>
      </c>
      <c r="AF505">
        <v>0</v>
      </c>
      <c r="AG505">
        <v>0</v>
      </c>
      <c r="AH505">
        <v>2</v>
      </c>
      <c r="AI505">
        <v>2</v>
      </c>
      <c r="AJ505">
        <v>0</v>
      </c>
      <c r="AK505">
        <v>1</v>
      </c>
      <c r="AL505">
        <v>9</v>
      </c>
      <c r="AM505">
        <v>6</v>
      </c>
      <c r="AN505">
        <v>13</v>
      </c>
      <c r="AO505">
        <v>3</v>
      </c>
      <c r="AP505">
        <v>18</v>
      </c>
      <c r="AQ505">
        <v>3</v>
      </c>
      <c r="AR505" t="s">
        <v>3237</v>
      </c>
      <c r="AS505" t="s">
        <v>3238</v>
      </c>
      <c r="AT505">
        <v>0.17100000000000001</v>
      </c>
      <c r="AU505" t="s">
        <v>65</v>
      </c>
      <c r="AV505">
        <v>31</v>
      </c>
      <c r="AW505">
        <v>6</v>
      </c>
      <c r="AX505" t="s">
        <v>3239</v>
      </c>
      <c r="AY505">
        <v>9.0910000000000005E-2</v>
      </c>
      <c r="AZ505">
        <v>-1.1440000000000001E-2</v>
      </c>
      <c r="BA505">
        <v>3.9199999999999999E-3</v>
      </c>
      <c r="BB505">
        <v>-3.8000000000000002E-4</v>
      </c>
      <c r="BC505">
        <v>4.3099999999999999E-2</v>
      </c>
      <c r="BD505">
        <v>1</v>
      </c>
      <c r="BE505" t="s">
        <v>69</v>
      </c>
      <c r="BF505">
        <v>-1.8029999999999999</v>
      </c>
      <c r="BG505">
        <v>-1.046</v>
      </c>
    </row>
    <row r="506" spans="1:59">
      <c r="A506">
        <v>0</v>
      </c>
      <c r="B506">
        <v>0</v>
      </c>
      <c r="C506">
        <v>2</v>
      </c>
      <c r="D506" t="s">
        <v>25022</v>
      </c>
      <c r="E506">
        <v>3797</v>
      </c>
      <c r="F506" t="s">
        <v>22247</v>
      </c>
      <c r="G506" t="s">
        <v>62</v>
      </c>
      <c r="H506">
        <v>3766181</v>
      </c>
      <c r="I506">
        <v>3766579</v>
      </c>
      <c r="J506" t="s">
        <v>637</v>
      </c>
      <c r="K506">
        <v>133</v>
      </c>
      <c r="L506" t="s">
        <v>11803</v>
      </c>
      <c r="M506">
        <v>47</v>
      </c>
      <c r="N506" t="str">
        <f>HYPERLINK("Gene3797-zp_tree_all.dnd", "Gene3797-tree")</f>
        <v>Gene3797-tree</v>
      </c>
      <c r="O506">
        <v>7</v>
      </c>
      <c r="P506">
        <v>5</v>
      </c>
      <c r="Q506">
        <v>7</v>
      </c>
      <c r="R506">
        <v>5</v>
      </c>
      <c r="S506">
        <v>0.41666999999999998</v>
      </c>
      <c r="T506" t="s">
        <v>152</v>
      </c>
      <c r="U506" t="s">
        <v>199</v>
      </c>
      <c r="V506" t="s">
        <v>62</v>
      </c>
      <c r="W506" t="s">
        <v>62</v>
      </c>
      <c r="X506">
        <v>1</v>
      </c>
      <c r="Y506">
        <v>2</v>
      </c>
      <c r="Z506">
        <v>5</v>
      </c>
      <c r="AA506">
        <v>0.28571000000000002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2</v>
      </c>
      <c r="AI506">
        <v>2</v>
      </c>
      <c r="AJ506">
        <v>4</v>
      </c>
      <c r="AK506">
        <v>0.33333000000000002</v>
      </c>
      <c r="AL506">
        <v>10</v>
      </c>
      <c r="AM506">
        <v>8</v>
      </c>
      <c r="AN506">
        <v>17</v>
      </c>
      <c r="AO506">
        <v>6</v>
      </c>
      <c r="AP506">
        <v>22</v>
      </c>
      <c r="AQ506">
        <v>1</v>
      </c>
      <c r="AR506" t="s">
        <v>22248</v>
      </c>
      <c r="AS506" t="s">
        <v>22249</v>
      </c>
      <c r="AT506">
        <v>0.74</v>
      </c>
      <c r="AU506" t="s">
        <v>65</v>
      </c>
      <c r="AV506">
        <v>39</v>
      </c>
      <c r="AW506">
        <v>7</v>
      </c>
      <c r="AX506" t="s">
        <v>22250</v>
      </c>
      <c r="AY506">
        <v>0.1169</v>
      </c>
      <c r="AZ506">
        <v>-9.7099999999999999E-3</v>
      </c>
      <c r="BA506">
        <v>4.5700000000000003E-3</v>
      </c>
      <c r="BB506">
        <v>-4.4999999999999999E-4</v>
      </c>
      <c r="BC506">
        <v>3.9070000000000001E-2</v>
      </c>
      <c r="BD506">
        <v>1</v>
      </c>
      <c r="BE506" t="s">
        <v>69</v>
      </c>
      <c r="BF506">
        <v>-1.77</v>
      </c>
      <c r="BG506">
        <v>-1.726</v>
      </c>
    </row>
    <row r="507" spans="1:59">
      <c r="A507">
        <v>0</v>
      </c>
      <c r="B507">
        <v>0</v>
      </c>
      <c r="C507">
        <v>0</v>
      </c>
      <c r="D507" t="s">
        <v>25022</v>
      </c>
      <c r="E507">
        <v>2542</v>
      </c>
      <c r="F507" t="s">
        <v>14856</v>
      </c>
      <c r="G507" t="s">
        <v>62</v>
      </c>
      <c r="H507">
        <v>2535547</v>
      </c>
      <c r="I507">
        <v>2535945</v>
      </c>
      <c r="J507" t="s">
        <v>14844</v>
      </c>
      <c r="K507">
        <v>133</v>
      </c>
      <c r="L507" t="s">
        <v>59</v>
      </c>
      <c r="M507">
        <v>49</v>
      </c>
      <c r="N507" t="str">
        <f>HYPERLINK("Gene2542-zp_tree_all.dnd", "Gene2542-tree")</f>
        <v>Gene2542-tree</v>
      </c>
      <c r="O507">
        <v>12</v>
      </c>
      <c r="P507">
        <v>1</v>
      </c>
      <c r="Q507">
        <v>12</v>
      </c>
      <c r="R507">
        <v>1</v>
      </c>
      <c r="S507">
        <v>7.6920000000000002E-2</v>
      </c>
      <c r="T507" t="s">
        <v>109</v>
      </c>
      <c r="U507" t="s">
        <v>175</v>
      </c>
      <c r="V507" t="s">
        <v>62</v>
      </c>
      <c r="W507" t="s">
        <v>62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10</v>
      </c>
      <c r="AM507">
        <v>6</v>
      </c>
      <c r="AN507">
        <v>19</v>
      </c>
      <c r="AO507">
        <v>1</v>
      </c>
      <c r="AP507">
        <v>20</v>
      </c>
      <c r="AQ507">
        <v>0</v>
      </c>
      <c r="AR507" t="s">
        <v>14857</v>
      </c>
      <c r="AS507" t="s">
        <v>193</v>
      </c>
      <c r="AT507">
        <v>0.33100000000000002</v>
      </c>
      <c r="AU507" t="s">
        <v>65</v>
      </c>
      <c r="AV507">
        <v>39</v>
      </c>
      <c r="AW507">
        <v>1</v>
      </c>
      <c r="AX507" t="s">
        <v>14858</v>
      </c>
      <c r="AY507">
        <v>0.10696</v>
      </c>
      <c r="AZ507">
        <v>-7.6699999999999997E-3</v>
      </c>
      <c r="BA507">
        <v>5.5000000000000003E-4</v>
      </c>
      <c r="BB507">
        <v>-1.3999999999999999E-4</v>
      </c>
      <c r="BC507">
        <v>5.1399999999999996E-3</v>
      </c>
      <c r="BD507">
        <v>1</v>
      </c>
      <c r="BE507" t="s">
        <v>69</v>
      </c>
      <c r="BF507">
        <v>-1.4950000000000001</v>
      </c>
      <c r="BG507">
        <v>-0.752</v>
      </c>
    </row>
    <row r="508" spans="1:59">
      <c r="A508">
        <v>0</v>
      </c>
      <c r="B508">
        <v>0</v>
      </c>
      <c r="C508">
        <v>0</v>
      </c>
      <c r="D508" t="s">
        <v>25022</v>
      </c>
      <c r="E508">
        <v>1928</v>
      </c>
      <c r="F508" t="s">
        <v>12084</v>
      </c>
      <c r="G508" t="s">
        <v>62</v>
      </c>
      <c r="H508">
        <v>2028178</v>
      </c>
      <c r="I508">
        <v>2028579</v>
      </c>
      <c r="J508" t="s">
        <v>12085</v>
      </c>
      <c r="K508">
        <v>134</v>
      </c>
      <c r="L508" t="s">
        <v>12086</v>
      </c>
      <c r="M508">
        <v>35</v>
      </c>
      <c r="N508" t="str">
        <f>HYPERLINK("Gene1928-zp_tree_all.dnd", "Gene1928-tree")</f>
        <v>Gene1928-tree</v>
      </c>
      <c r="O508">
        <v>7</v>
      </c>
      <c r="P508">
        <v>2</v>
      </c>
      <c r="Q508">
        <v>7</v>
      </c>
      <c r="R508">
        <v>2</v>
      </c>
      <c r="S508">
        <v>0.22222</v>
      </c>
      <c r="T508" t="s">
        <v>152</v>
      </c>
      <c r="U508" t="s">
        <v>81</v>
      </c>
      <c r="V508" t="s">
        <v>62</v>
      </c>
      <c r="W508" t="s">
        <v>62</v>
      </c>
      <c r="X508">
        <v>0</v>
      </c>
      <c r="Y508">
        <v>0</v>
      </c>
      <c r="Z508">
        <v>9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8</v>
      </c>
      <c r="AK508">
        <v>0</v>
      </c>
      <c r="AL508">
        <v>4</v>
      </c>
      <c r="AM508">
        <v>4</v>
      </c>
      <c r="AN508">
        <v>13</v>
      </c>
      <c r="AO508">
        <v>6</v>
      </c>
      <c r="AP508">
        <v>4</v>
      </c>
      <c r="AQ508">
        <v>3</v>
      </c>
      <c r="AR508" t="s">
        <v>12087</v>
      </c>
      <c r="AS508" t="s">
        <v>12088</v>
      </c>
      <c r="AT508">
        <v>0.27800000000000002</v>
      </c>
      <c r="AU508" t="s">
        <v>65</v>
      </c>
      <c r="AV508">
        <v>17</v>
      </c>
      <c r="AW508">
        <v>9</v>
      </c>
      <c r="AX508" t="s">
        <v>12089</v>
      </c>
      <c r="AY508">
        <v>4.7399999999999998E-2</v>
      </c>
      <c r="AZ508">
        <v>-6.0499999999999998E-3</v>
      </c>
      <c r="BA508">
        <v>8.6800000000000002E-3</v>
      </c>
      <c r="BB508">
        <v>-1.7899999999999999E-3</v>
      </c>
      <c r="BC508">
        <v>0.18315999999999999</v>
      </c>
      <c r="BD508">
        <v>1</v>
      </c>
      <c r="BE508" t="s">
        <v>69</v>
      </c>
      <c r="BF508">
        <v>-0.86099999999999999</v>
      </c>
      <c r="BG508">
        <v>-0.56699999999999995</v>
      </c>
    </row>
    <row r="509" spans="1:59">
      <c r="A509">
        <v>0</v>
      </c>
      <c r="B509">
        <v>0</v>
      </c>
      <c r="C509">
        <v>2</v>
      </c>
      <c r="D509" t="s">
        <v>25022</v>
      </c>
      <c r="E509">
        <v>857</v>
      </c>
      <c r="F509" t="s">
        <v>5356</v>
      </c>
      <c r="G509" t="s">
        <v>57</v>
      </c>
      <c r="H509">
        <v>897588</v>
      </c>
      <c r="I509">
        <v>897989</v>
      </c>
      <c r="J509" t="s">
        <v>5357</v>
      </c>
      <c r="K509">
        <v>134</v>
      </c>
      <c r="L509" t="s">
        <v>108</v>
      </c>
      <c r="M509">
        <v>44</v>
      </c>
      <c r="N509" t="str">
        <f>HYPERLINK("Gene857-zp_tree_all.dnd", "Gene857-tree")</f>
        <v>Gene857-tree</v>
      </c>
      <c r="O509">
        <v>27</v>
      </c>
      <c r="P509">
        <v>3</v>
      </c>
      <c r="Q509">
        <v>6</v>
      </c>
      <c r="R509">
        <v>3</v>
      </c>
      <c r="S509">
        <v>0.33333000000000002</v>
      </c>
      <c r="T509" t="s">
        <v>1055</v>
      </c>
      <c r="U509" t="s">
        <v>324</v>
      </c>
      <c r="V509" t="s">
        <v>62</v>
      </c>
      <c r="W509" t="s">
        <v>62</v>
      </c>
      <c r="X509">
        <v>1</v>
      </c>
      <c r="Y509">
        <v>2</v>
      </c>
      <c r="Z509">
        <v>2</v>
      </c>
      <c r="AA509">
        <v>0.5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2</v>
      </c>
      <c r="AK509">
        <v>0</v>
      </c>
      <c r="AL509">
        <v>6</v>
      </c>
      <c r="AM509">
        <v>4</v>
      </c>
      <c r="AN509">
        <v>13</v>
      </c>
      <c r="AO509">
        <v>2</v>
      </c>
      <c r="AP509">
        <v>3</v>
      </c>
      <c r="AQ509">
        <v>2</v>
      </c>
      <c r="AR509" t="s">
        <v>5358</v>
      </c>
      <c r="AS509" t="s">
        <v>5359</v>
      </c>
      <c r="AT509">
        <v>1.0449999999999999</v>
      </c>
      <c r="AU509" t="s">
        <v>65</v>
      </c>
      <c r="AV509">
        <v>16</v>
      </c>
      <c r="AW509">
        <v>4</v>
      </c>
      <c r="AX509" t="s">
        <v>5360</v>
      </c>
      <c r="AY509">
        <v>4.2799999999999998E-2</v>
      </c>
      <c r="AZ509">
        <v>-5.77E-3</v>
      </c>
      <c r="BA509">
        <v>4.6100000000000004E-3</v>
      </c>
      <c r="BB509">
        <v>-5.4000000000000001E-4</v>
      </c>
      <c r="BC509">
        <v>0.10768</v>
      </c>
      <c r="BD509">
        <v>1</v>
      </c>
      <c r="BE509" t="s">
        <v>69</v>
      </c>
      <c r="BF509">
        <v>-1.0509999999999999</v>
      </c>
      <c r="BG509">
        <v>-1.677</v>
      </c>
    </row>
    <row r="510" spans="1:59">
      <c r="A510">
        <v>0</v>
      </c>
      <c r="B510">
        <v>0</v>
      </c>
      <c r="C510">
        <v>4</v>
      </c>
      <c r="D510" t="s">
        <v>25022</v>
      </c>
      <c r="E510">
        <v>3252</v>
      </c>
      <c r="F510" t="s">
        <v>18959</v>
      </c>
      <c r="G510" t="s">
        <v>62</v>
      </c>
      <c r="H510">
        <v>3219840</v>
      </c>
      <c r="I510">
        <v>3220241</v>
      </c>
      <c r="J510" t="s">
        <v>116</v>
      </c>
      <c r="K510">
        <v>134</v>
      </c>
      <c r="L510" t="s">
        <v>289</v>
      </c>
      <c r="M510">
        <v>46</v>
      </c>
      <c r="N510" t="str">
        <f>HYPERLINK("Gene3252-zp_tree_all.dnd", "Gene3252-tree")</f>
        <v>Gene3252-tree</v>
      </c>
      <c r="O510">
        <v>4</v>
      </c>
      <c r="P510">
        <v>6</v>
      </c>
      <c r="Q510">
        <v>4</v>
      </c>
      <c r="R510">
        <v>6</v>
      </c>
      <c r="S510">
        <v>0.6</v>
      </c>
      <c r="T510" t="s">
        <v>61</v>
      </c>
      <c r="U510" t="s">
        <v>90</v>
      </c>
      <c r="V510" t="s">
        <v>62</v>
      </c>
      <c r="W510" t="s">
        <v>62</v>
      </c>
      <c r="X510">
        <v>2</v>
      </c>
      <c r="Y510">
        <v>4</v>
      </c>
      <c r="Z510">
        <v>9</v>
      </c>
      <c r="AA510">
        <v>0.30769000000000002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4</v>
      </c>
      <c r="AI510">
        <v>4</v>
      </c>
      <c r="AJ510">
        <v>9</v>
      </c>
      <c r="AK510">
        <v>0.30769000000000002</v>
      </c>
      <c r="AL510">
        <v>8</v>
      </c>
      <c r="AM510">
        <v>2</v>
      </c>
      <c r="AN510">
        <v>31</v>
      </c>
      <c r="AO510">
        <v>13</v>
      </c>
      <c r="AP510">
        <v>2</v>
      </c>
      <c r="AQ510">
        <v>0</v>
      </c>
      <c r="AR510" t="s">
        <v>18960</v>
      </c>
      <c r="AS510" t="s">
        <v>193</v>
      </c>
      <c r="AT510">
        <v>1.0549999999999999</v>
      </c>
      <c r="AU510" t="s">
        <v>65</v>
      </c>
      <c r="AV510">
        <v>33</v>
      </c>
      <c r="AW510">
        <v>13</v>
      </c>
      <c r="AX510" t="s">
        <v>18961</v>
      </c>
      <c r="AY510">
        <v>8.3220000000000002E-2</v>
      </c>
      <c r="AZ510">
        <v>-1.056E-2</v>
      </c>
      <c r="BA510">
        <v>8.5299999999999994E-3</v>
      </c>
      <c r="BB510">
        <v>-1.17E-3</v>
      </c>
      <c r="BC510">
        <v>0.10256</v>
      </c>
      <c r="BD510">
        <v>1</v>
      </c>
      <c r="BE510" t="s">
        <v>69</v>
      </c>
      <c r="BF510">
        <v>-1.9850000000000001</v>
      </c>
      <c r="BG510">
        <v>0.307</v>
      </c>
    </row>
    <row r="511" spans="1:59">
      <c r="A511">
        <v>0</v>
      </c>
      <c r="B511">
        <v>6</v>
      </c>
      <c r="C511">
        <v>1</v>
      </c>
      <c r="D511" t="s">
        <v>25022</v>
      </c>
      <c r="E511">
        <v>3179</v>
      </c>
      <c r="F511" t="s">
        <v>18493</v>
      </c>
      <c r="G511" t="s">
        <v>62</v>
      </c>
      <c r="H511">
        <v>3135671</v>
      </c>
      <c r="I511">
        <v>3136072</v>
      </c>
      <c r="J511" t="s">
        <v>18494</v>
      </c>
      <c r="K511">
        <v>134</v>
      </c>
      <c r="L511" t="s">
        <v>59</v>
      </c>
      <c r="M511">
        <v>49</v>
      </c>
      <c r="N511" t="str">
        <f>HYPERLINK("Gene3179-zp_tree_all.dnd", "Gene3179-tree")</f>
        <v>Gene3179-tree</v>
      </c>
      <c r="O511">
        <v>9</v>
      </c>
      <c r="P511">
        <v>4</v>
      </c>
      <c r="Q511">
        <v>9</v>
      </c>
      <c r="R511">
        <v>4</v>
      </c>
      <c r="S511">
        <v>0.30769000000000002</v>
      </c>
      <c r="T511" t="s">
        <v>135</v>
      </c>
      <c r="U511" t="s">
        <v>61</v>
      </c>
      <c r="V511" t="s">
        <v>62</v>
      </c>
      <c r="W511" t="s">
        <v>62</v>
      </c>
      <c r="X511">
        <v>3</v>
      </c>
      <c r="Y511">
        <v>7</v>
      </c>
      <c r="Z511">
        <v>4</v>
      </c>
      <c r="AA511">
        <v>0.63636000000000004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0</v>
      </c>
      <c r="AH511">
        <v>0</v>
      </c>
      <c r="AI511">
        <v>0</v>
      </c>
      <c r="AJ511">
        <v>3</v>
      </c>
      <c r="AK511">
        <v>0</v>
      </c>
      <c r="AL511">
        <v>9</v>
      </c>
      <c r="AM511">
        <v>6</v>
      </c>
      <c r="AN511">
        <v>10</v>
      </c>
      <c r="AO511">
        <v>3</v>
      </c>
      <c r="AP511">
        <v>20</v>
      </c>
      <c r="AQ511">
        <v>8</v>
      </c>
      <c r="AR511" t="s">
        <v>18495</v>
      </c>
      <c r="AS511" t="s">
        <v>18496</v>
      </c>
      <c r="AT511">
        <v>0.25700000000000001</v>
      </c>
      <c r="AU511" t="s">
        <v>65</v>
      </c>
      <c r="AV511">
        <v>30</v>
      </c>
      <c r="AW511">
        <v>11</v>
      </c>
      <c r="AX511" t="s">
        <v>18497</v>
      </c>
      <c r="AY511">
        <v>0.1071</v>
      </c>
      <c r="AZ511">
        <v>-9.11E-3</v>
      </c>
      <c r="BA511">
        <v>9.3100000000000006E-3</v>
      </c>
      <c r="BB511">
        <v>-5.6999999999999998E-4</v>
      </c>
      <c r="BC511">
        <v>8.6959999999999996E-2</v>
      </c>
      <c r="BD511">
        <v>1</v>
      </c>
      <c r="BE511" t="s">
        <v>69</v>
      </c>
      <c r="BF511">
        <v>-0.77400000000000002</v>
      </c>
      <c r="BG511">
        <v>1.387</v>
      </c>
    </row>
    <row r="512" spans="1:59">
      <c r="A512">
        <v>0</v>
      </c>
      <c r="B512">
        <v>0</v>
      </c>
      <c r="C512">
        <v>0</v>
      </c>
      <c r="D512" t="s">
        <v>25022</v>
      </c>
      <c r="E512">
        <v>2974</v>
      </c>
      <c r="F512" t="s">
        <v>17156</v>
      </c>
      <c r="G512" t="s">
        <v>62</v>
      </c>
      <c r="H512">
        <v>2920520</v>
      </c>
      <c r="I512">
        <v>2920921</v>
      </c>
      <c r="J512" t="s">
        <v>3095</v>
      </c>
      <c r="K512">
        <v>134</v>
      </c>
      <c r="L512" t="s">
        <v>59</v>
      </c>
      <c r="M512">
        <v>49</v>
      </c>
      <c r="N512" t="str">
        <f>HYPERLINK("Gene2974-zp_tree_all.dnd", "Gene2974-tree")</f>
        <v>Gene2974-tree</v>
      </c>
      <c r="O512">
        <v>12</v>
      </c>
      <c r="P512">
        <v>1</v>
      </c>
      <c r="Q512">
        <v>12</v>
      </c>
      <c r="R512">
        <v>1</v>
      </c>
      <c r="S512">
        <v>7.6920000000000002E-2</v>
      </c>
      <c r="T512" t="s">
        <v>109</v>
      </c>
      <c r="U512" t="s">
        <v>175</v>
      </c>
      <c r="V512" t="s">
        <v>62</v>
      </c>
      <c r="W512" t="s">
        <v>62</v>
      </c>
      <c r="X512">
        <v>0</v>
      </c>
      <c r="Y512">
        <v>0</v>
      </c>
      <c r="Z512">
        <v>3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8</v>
      </c>
      <c r="AM512">
        <v>7</v>
      </c>
      <c r="AN512">
        <v>13</v>
      </c>
      <c r="AO512">
        <v>1</v>
      </c>
      <c r="AP512">
        <v>14</v>
      </c>
      <c r="AQ512">
        <v>2</v>
      </c>
      <c r="AR512" t="s">
        <v>17157</v>
      </c>
      <c r="AS512" t="s">
        <v>17158</v>
      </c>
      <c r="AT512">
        <v>0.16800000000000001</v>
      </c>
      <c r="AU512" t="s">
        <v>65</v>
      </c>
      <c r="AV512">
        <v>27</v>
      </c>
      <c r="AW512">
        <v>3</v>
      </c>
      <c r="AX512" t="s">
        <v>17159</v>
      </c>
      <c r="AY512">
        <v>7.7859999999999999E-2</v>
      </c>
      <c r="AZ512">
        <v>-5.0099999999999997E-3</v>
      </c>
      <c r="BA512">
        <v>3.0000000000000001E-3</v>
      </c>
      <c r="BB512">
        <v>-3.6000000000000002E-4</v>
      </c>
      <c r="BC512">
        <v>3.8469999999999997E-2</v>
      </c>
      <c r="BD512">
        <v>1</v>
      </c>
      <c r="BE512" t="s">
        <v>69</v>
      </c>
      <c r="BF512">
        <v>-1.538</v>
      </c>
      <c r="BG512">
        <v>-1.6279999999999999</v>
      </c>
    </row>
    <row r="513" spans="1:59">
      <c r="A513">
        <v>0</v>
      </c>
      <c r="B513">
        <v>0</v>
      </c>
      <c r="C513">
        <v>4</v>
      </c>
      <c r="D513" t="s">
        <v>25022</v>
      </c>
      <c r="E513">
        <v>1056</v>
      </c>
      <c r="F513" t="s">
        <v>6627</v>
      </c>
      <c r="G513" t="s">
        <v>57</v>
      </c>
      <c r="H513">
        <v>1096116</v>
      </c>
      <c r="I513">
        <v>1096520</v>
      </c>
      <c r="J513" t="s">
        <v>6628</v>
      </c>
      <c r="K513">
        <v>135</v>
      </c>
      <c r="L513" t="s">
        <v>108</v>
      </c>
      <c r="M513">
        <v>44</v>
      </c>
      <c r="N513" t="str">
        <f>HYPERLINK("Gene1056-zp_tree_all.dnd", "Gene1056-tree")</f>
        <v>Gene1056-tree</v>
      </c>
      <c r="O513">
        <v>6</v>
      </c>
      <c r="P513">
        <v>7</v>
      </c>
      <c r="Q513">
        <v>6</v>
      </c>
      <c r="R513">
        <v>7</v>
      </c>
      <c r="S513">
        <v>0.53846000000000005</v>
      </c>
      <c r="T513" t="s">
        <v>90</v>
      </c>
      <c r="U513" t="s">
        <v>152</v>
      </c>
      <c r="V513" t="s">
        <v>62</v>
      </c>
      <c r="W513" t="s">
        <v>62</v>
      </c>
      <c r="X513">
        <v>2</v>
      </c>
      <c r="Y513">
        <v>4</v>
      </c>
      <c r="Z513">
        <v>8</v>
      </c>
      <c r="AA513">
        <v>0.33333000000000002</v>
      </c>
      <c r="AB513">
        <v>0</v>
      </c>
      <c r="AC513">
        <v>0</v>
      </c>
      <c r="AD513">
        <v>0</v>
      </c>
      <c r="AE513">
        <v>2</v>
      </c>
      <c r="AF513">
        <v>0</v>
      </c>
      <c r="AG513">
        <v>0</v>
      </c>
      <c r="AH513">
        <v>4</v>
      </c>
      <c r="AI513">
        <v>4</v>
      </c>
      <c r="AJ513">
        <v>5</v>
      </c>
      <c r="AK513">
        <v>0.44444</v>
      </c>
      <c r="AL513">
        <v>9</v>
      </c>
      <c r="AM513">
        <v>7</v>
      </c>
      <c r="AN513">
        <v>5</v>
      </c>
      <c r="AO513">
        <v>9</v>
      </c>
      <c r="AP513">
        <v>10</v>
      </c>
      <c r="AQ513">
        <v>4</v>
      </c>
      <c r="AR513" t="s">
        <v>6629</v>
      </c>
      <c r="AS513" t="s">
        <v>6630</v>
      </c>
      <c r="AT513">
        <v>1.0549999999999999</v>
      </c>
      <c r="AU513" t="s">
        <v>65</v>
      </c>
      <c r="AV513">
        <v>15</v>
      </c>
      <c r="AW513">
        <v>13</v>
      </c>
      <c r="AX513" t="s">
        <v>6631</v>
      </c>
      <c r="AY513">
        <v>4.5220000000000003E-2</v>
      </c>
      <c r="AZ513">
        <v>-3.1700000000000001E-3</v>
      </c>
      <c r="BA513">
        <v>7.4900000000000001E-3</v>
      </c>
      <c r="BB513">
        <v>-5.1999999999999995E-4</v>
      </c>
      <c r="BC513">
        <v>0.16574</v>
      </c>
      <c r="BD513">
        <v>1</v>
      </c>
      <c r="BE513" t="s">
        <v>69</v>
      </c>
      <c r="BF513">
        <v>0.16800000000000001</v>
      </c>
      <c r="BG513">
        <v>-0.82399999999999995</v>
      </c>
    </row>
    <row r="514" spans="1:59">
      <c r="A514">
        <v>0</v>
      </c>
      <c r="B514">
        <v>0</v>
      </c>
      <c r="C514">
        <v>2</v>
      </c>
      <c r="D514" t="s">
        <v>25022</v>
      </c>
      <c r="E514">
        <v>1808</v>
      </c>
      <c r="F514" t="s">
        <v>11330</v>
      </c>
      <c r="G514" t="s">
        <v>57</v>
      </c>
      <c r="H514">
        <v>1877959</v>
      </c>
      <c r="I514">
        <v>1878363</v>
      </c>
      <c r="J514" t="s">
        <v>11331</v>
      </c>
      <c r="K514">
        <v>135</v>
      </c>
      <c r="L514" t="s">
        <v>59</v>
      </c>
      <c r="M514">
        <v>49</v>
      </c>
      <c r="N514" t="str">
        <f>HYPERLINK("Gene1808-zp_tree_all.dnd", "Gene1808-tree")</f>
        <v>Gene1808-tree</v>
      </c>
      <c r="O514">
        <v>9</v>
      </c>
      <c r="P514">
        <v>4</v>
      </c>
      <c r="Q514">
        <v>9</v>
      </c>
      <c r="R514">
        <v>4</v>
      </c>
      <c r="S514">
        <v>0.30769000000000002</v>
      </c>
      <c r="T514" t="s">
        <v>135</v>
      </c>
      <c r="U514" t="s">
        <v>61</v>
      </c>
      <c r="V514" t="s">
        <v>62</v>
      </c>
      <c r="W514" t="s">
        <v>62</v>
      </c>
      <c r="X514">
        <v>1</v>
      </c>
      <c r="Y514">
        <v>2</v>
      </c>
      <c r="Z514">
        <v>3</v>
      </c>
      <c r="AA514">
        <v>0.4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2</v>
      </c>
      <c r="AI514">
        <v>2</v>
      </c>
      <c r="AJ514">
        <v>2</v>
      </c>
      <c r="AK514">
        <v>0.5</v>
      </c>
      <c r="AL514">
        <v>10</v>
      </c>
      <c r="AM514">
        <v>6</v>
      </c>
      <c r="AN514">
        <v>9</v>
      </c>
      <c r="AO514">
        <v>4</v>
      </c>
      <c r="AP514">
        <v>15</v>
      </c>
      <c r="AQ514">
        <v>1</v>
      </c>
      <c r="AR514" t="s">
        <v>11332</v>
      </c>
      <c r="AS514" t="s">
        <v>11333</v>
      </c>
      <c r="AT514">
        <v>1.26</v>
      </c>
      <c r="AU514" t="s">
        <v>65</v>
      </c>
      <c r="AV514">
        <v>24</v>
      </c>
      <c r="AW514">
        <v>5</v>
      </c>
      <c r="AX514" t="s">
        <v>11334</v>
      </c>
      <c r="AY514">
        <v>7.7429999999999999E-2</v>
      </c>
      <c r="AZ514">
        <v>-6.2399999999999999E-3</v>
      </c>
      <c r="BA514">
        <v>3.3300000000000001E-3</v>
      </c>
      <c r="BB514">
        <v>-2.5999999999999998E-4</v>
      </c>
      <c r="BC514">
        <v>4.2950000000000002E-2</v>
      </c>
      <c r="BD514">
        <v>1</v>
      </c>
      <c r="BE514" t="s">
        <v>69</v>
      </c>
      <c r="BF514">
        <v>-1.32</v>
      </c>
      <c r="BG514">
        <v>-0.79900000000000004</v>
      </c>
    </row>
    <row r="515" spans="1:59">
      <c r="A515">
        <v>0</v>
      </c>
      <c r="B515">
        <v>0</v>
      </c>
      <c r="C515">
        <v>0</v>
      </c>
      <c r="D515" t="s">
        <v>25022</v>
      </c>
      <c r="E515">
        <v>1875</v>
      </c>
      <c r="F515" t="s">
        <v>11737</v>
      </c>
      <c r="G515" t="s">
        <v>57</v>
      </c>
      <c r="H515">
        <v>1932671</v>
      </c>
      <c r="I515">
        <v>1933075</v>
      </c>
      <c r="J515" t="s">
        <v>11738</v>
      </c>
      <c r="K515">
        <v>135</v>
      </c>
      <c r="L515" t="s">
        <v>108</v>
      </c>
      <c r="M515">
        <v>44</v>
      </c>
      <c r="N515" t="str">
        <f>HYPERLINK("Gene1875-zp_tree_all.dnd", "Gene1875-tree")</f>
        <v>Gene1875-tree</v>
      </c>
      <c r="O515">
        <v>6</v>
      </c>
      <c r="P515">
        <v>2</v>
      </c>
      <c r="Q515">
        <v>6</v>
      </c>
      <c r="R515">
        <v>2</v>
      </c>
      <c r="S515">
        <v>0.25</v>
      </c>
      <c r="T515" t="s">
        <v>90</v>
      </c>
      <c r="U515" t="s">
        <v>81</v>
      </c>
      <c r="V515" t="s">
        <v>62</v>
      </c>
      <c r="W515" t="s">
        <v>62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</v>
      </c>
      <c r="AK515">
        <v>0</v>
      </c>
      <c r="AL515">
        <v>5</v>
      </c>
      <c r="AM515">
        <v>4</v>
      </c>
      <c r="AN515">
        <v>8</v>
      </c>
      <c r="AO515">
        <v>2</v>
      </c>
      <c r="AP515">
        <v>6</v>
      </c>
      <c r="AQ515">
        <v>0</v>
      </c>
      <c r="AR515" t="s">
        <v>11739</v>
      </c>
      <c r="AS515" t="s">
        <v>193</v>
      </c>
      <c r="AT515">
        <v>1.2729999999999999</v>
      </c>
      <c r="AU515" t="s">
        <v>65</v>
      </c>
      <c r="AV515">
        <v>14</v>
      </c>
      <c r="AW515">
        <v>2</v>
      </c>
      <c r="AX515" t="s">
        <v>11740</v>
      </c>
      <c r="AY515">
        <v>4.086E-2</v>
      </c>
      <c r="AZ515">
        <v>-3.64E-3</v>
      </c>
      <c r="BA515">
        <v>1.6100000000000001E-3</v>
      </c>
      <c r="BB515">
        <v>-3.4000000000000002E-4</v>
      </c>
      <c r="BC515">
        <v>3.9320000000000001E-2</v>
      </c>
      <c r="BD515">
        <v>1</v>
      </c>
      <c r="BE515" t="s">
        <v>69</v>
      </c>
      <c r="BF515">
        <v>-0.496</v>
      </c>
      <c r="BG515">
        <v>-0.61599999999999999</v>
      </c>
    </row>
    <row r="516" spans="1:59">
      <c r="A516">
        <v>0</v>
      </c>
      <c r="B516">
        <v>0</v>
      </c>
      <c r="C516">
        <v>0</v>
      </c>
      <c r="D516" t="s">
        <v>25022</v>
      </c>
      <c r="E516">
        <v>2535</v>
      </c>
      <c r="F516" t="s">
        <v>14809</v>
      </c>
      <c r="G516" t="s">
        <v>62</v>
      </c>
      <c r="H516">
        <v>2529929</v>
      </c>
      <c r="I516">
        <v>2530333</v>
      </c>
      <c r="J516" t="s">
        <v>14810</v>
      </c>
      <c r="K516">
        <v>135</v>
      </c>
      <c r="L516" t="s">
        <v>59</v>
      </c>
      <c r="M516">
        <v>49</v>
      </c>
      <c r="N516" t="str">
        <f>HYPERLINK("Gene2535-zp_tree_all.dnd", "Gene2535-tree")</f>
        <v>Gene2535-tree</v>
      </c>
      <c r="O516">
        <v>31</v>
      </c>
      <c r="P516">
        <v>3</v>
      </c>
      <c r="Q516">
        <v>11</v>
      </c>
      <c r="R516">
        <v>3</v>
      </c>
      <c r="S516">
        <v>0.21429000000000001</v>
      </c>
      <c r="T516" t="s">
        <v>2860</v>
      </c>
      <c r="U516" t="s">
        <v>324</v>
      </c>
      <c r="V516" t="s">
        <v>62</v>
      </c>
      <c r="W516" t="s">
        <v>62</v>
      </c>
      <c r="X516">
        <v>0</v>
      </c>
      <c r="Y516">
        <v>0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3</v>
      </c>
      <c r="AK516">
        <v>0</v>
      </c>
      <c r="AL516">
        <v>10</v>
      </c>
      <c r="AM516">
        <v>7</v>
      </c>
      <c r="AN516">
        <v>9</v>
      </c>
      <c r="AO516">
        <v>3</v>
      </c>
      <c r="AP516">
        <v>23</v>
      </c>
      <c r="AQ516">
        <v>1</v>
      </c>
      <c r="AR516" t="s">
        <v>14811</v>
      </c>
      <c r="AS516" t="s">
        <v>14812</v>
      </c>
      <c r="AT516">
        <v>0.96399999999999997</v>
      </c>
      <c r="AU516" t="s">
        <v>65</v>
      </c>
      <c r="AV516">
        <v>32</v>
      </c>
      <c r="AW516">
        <v>4</v>
      </c>
      <c r="AX516" t="s">
        <v>14813</v>
      </c>
      <c r="AY516">
        <v>0.10671</v>
      </c>
      <c r="AZ516">
        <v>-8.2400000000000008E-3</v>
      </c>
      <c r="BA516">
        <v>2.9399999999999999E-3</v>
      </c>
      <c r="BB516">
        <v>-2.5000000000000001E-4</v>
      </c>
      <c r="BC516">
        <v>2.7519999999999999E-2</v>
      </c>
      <c r="BD516">
        <v>1</v>
      </c>
      <c r="BE516" t="s">
        <v>69</v>
      </c>
      <c r="BF516">
        <v>-1.0620000000000001</v>
      </c>
      <c r="BG516">
        <v>0.67900000000000005</v>
      </c>
    </row>
    <row r="517" spans="1:59">
      <c r="A517">
        <v>0</v>
      </c>
      <c r="B517">
        <v>0</v>
      </c>
      <c r="C517">
        <v>0</v>
      </c>
      <c r="D517" t="s">
        <v>25022</v>
      </c>
      <c r="E517">
        <v>515</v>
      </c>
      <c r="F517" t="s">
        <v>3339</v>
      </c>
      <c r="G517" t="s">
        <v>57</v>
      </c>
      <c r="H517">
        <v>551519</v>
      </c>
      <c r="I517">
        <v>551926</v>
      </c>
      <c r="J517" t="s">
        <v>2942</v>
      </c>
      <c r="K517">
        <v>136</v>
      </c>
      <c r="L517" t="s">
        <v>3340</v>
      </c>
      <c r="M517">
        <v>24</v>
      </c>
      <c r="N517" t="str">
        <f>HYPERLINK("Gene515-zp_tree_all.dnd", "Gene515-tree")</f>
        <v>Gene515-tree</v>
      </c>
      <c r="O517">
        <v>3</v>
      </c>
      <c r="P517">
        <v>2</v>
      </c>
      <c r="Q517">
        <v>3</v>
      </c>
      <c r="R517">
        <v>2</v>
      </c>
      <c r="S517">
        <v>0.4</v>
      </c>
      <c r="T517" t="s">
        <v>324</v>
      </c>
      <c r="U517" t="s">
        <v>81</v>
      </c>
      <c r="V517" t="s">
        <v>62</v>
      </c>
      <c r="W517" t="s">
        <v>62</v>
      </c>
      <c r="X517">
        <v>0</v>
      </c>
      <c r="Y517">
        <v>0</v>
      </c>
      <c r="Z517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</v>
      </c>
      <c r="AK517">
        <v>0</v>
      </c>
      <c r="AL517">
        <v>4</v>
      </c>
      <c r="AM517">
        <v>2</v>
      </c>
      <c r="AN517">
        <v>7</v>
      </c>
      <c r="AO517">
        <v>2</v>
      </c>
      <c r="AP517">
        <v>3</v>
      </c>
      <c r="AQ517">
        <v>2</v>
      </c>
      <c r="AR517" t="s">
        <v>3341</v>
      </c>
      <c r="AS517" t="s">
        <v>3342</v>
      </c>
      <c r="AT517">
        <v>1.6910000000000001</v>
      </c>
      <c r="AU517" t="s">
        <v>65</v>
      </c>
      <c r="AV517">
        <v>10</v>
      </c>
      <c r="AW517">
        <v>4</v>
      </c>
      <c r="AX517" t="s">
        <v>3343</v>
      </c>
      <c r="AY517">
        <v>4.8660000000000002E-2</v>
      </c>
      <c r="AZ517">
        <v>-7.0800000000000004E-3</v>
      </c>
      <c r="BA517">
        <v>6.2300000000000003E-3</v>
      </c>
      <c r="BB517">
        <v>-8.8000000000000003E-4</v>
      </c>
      <c r="BC517">
        <v>0.12806999999999999</v>
      </c>
      <c r="BD517">
        <v>0.98</v>
      </c>
      <c r="BE517" t="s">
        <v>69</v>
      </c>
      <c r="BF517">
        <v>-1.655</v>
      </c>
      <c r="BG517">
        <v>-1.1559999999999999</v>
      </c>
    </row>
    <row r="518" spans="1:59">
      <c r="A518">
        <v>0</v>
      </c>
      <c r="B518">
        <v>0</v>
      </c>
      <c r="C518">
        <v>0</v>
      </c>
      <c r="D518" t="s">
        <v>25022</v>
      </c>
      <c r="E518">
        <v>2633</v>
      </c>
      <c r="F518" t="s">
        <v>15421</v>
      </c>
      <c r="G518" t="s">
        <v>62</v>
      </c>
      <c r="H518">
        <v>2610930</v>
      </c>
      <c r="I518">
        <v>2611337</v>
      </c>
      <c r="J518" t="s">
        <v>15422</v>
      </c>
      <c r="K518">
        <v>136</v>
      </c>
      <c r="L518" t="s">
        <v>96</v>
      </c>
      <c r="M518">
        <v>48</v>
      </c>
      <c r="N518" t="str">
        <f>HYPERLINK("Gene2633-zp_tree_all.dnd", "Gene2633-tree")</f>
        <v>Gene2633-tree</v>
      </c>
      <c r="O518">
        <v>12</v>
      </c>
      <c r="P518">
        <v>2</v>
      </c>
      <c r="Q518">
        <v>12</v>
      </c>
      <c r="R518">
        <v>2</v>
      </c>
      <c r="S518">
        <v>0.14285999999999999</v>
      </c>
      <c r="T518" t="s">
        <v>109</v>
      </c>
      <c r="U518" t="s">
        <v>81</v>
      </c>
      <c r="V518" t="s">
        <v>62</v>
      </c>
      <c r="W518" t="s">
        <v>62</v>
      </c>
      <c r="X518">
        <v>0</v>
      </c>
      <c r="Y518">
        <v>0</v>
      </c>
      <c r="Z518">
        <v>5</v>
      </c>
      <c r="AA518">
        <v>0</v>
      </c>
      <c r="AB518">
        <v>0</v>
      </c>
      <c r="AC518">
        <v>0</v>
      </c>
      <c r="AD518">
        <v>0</v>
      </c>
      <c r="AE518">
        <v>3</v>
      </c>
      <c r="AF518">
        <v>0</v>
      </c>
      <c r="AG518">
        <v>0</v>
      </c>
      <c r="AH518">
        <v>0</v>
      </c>
      <c r="AI518">
        <v>0</v>
      </c>
      <c r="AJ518">
        <v>2</v>
      </c>
      <c r="AK518">
        <v>0</v>
      </c>
      <c r="AL518">
        <v>9</v>
      </c>
      <c r="AM518">
        <v>7</v>
      </c>
      <c r="AN518">
        <v>10</v>
      </c>
      <c r="AO518">
        <v>2</v>
      </c>
      <c r="AP518">
        <v>12</v>
      </c>
      <c r="AQ518">
        <v>3</v>
      </c>
      <c r="AR518" t="s">
        <v>15423</v>
      </c>
      <c r="AS518" t="s">
        <v>15424</v>
      </c>
      <c r="AT518">
        <v>0.129</v>
      </c>
      <c r="AU518" t="s">
        <v>65</v>
      </c>
      <c r="AV518">
        <v>22</v>
      </c>
      <c r="AW518">
        <v>5</v>
      </c>
      <c r="AX518" t="s">
        <v>15425</v>
      </c>
      <c r="AY518">
        <v>6.3039999999999999E-2</v>
      </c>
      <c r="AZ518">
        <v>-3.8899999999999998E-3</v>
      </c>
      <c r="BA518">
        <v>4.1999999999999997E-3</v>
      </c>
      <c r="BB518">
        <v>-3.5E-4</v>
      </c>
      <c r="BC518">
        <v>6.6689999999999999E-2</v>
      </c>
      <c r="BD518">
        <v>1</v>
      </c>
      <c r="BE518" t="s">
        <v>69</v>
      </c>
      <c r="BF518">
        <v>-0.28000000000000003</v>
      </c>
      <c r="BG518">
        <v>-0.65700000000000003</v>
      </c>
    </row>
    <row r="519" spans="1:59">
      <c r="A519">
        <v>0</v>
      </c>
      <c r="B519">
        <v>0</v>
      </c>
      <c r="C519">
        <v>0</v>
      </c>
      <c r="D519" t="s">
        <v>25022</v>
      </c>
      <c r="E519">
        <v>1366</v>
      </c>
      <c r="F519" t="s">
        <v>8552</v>
      </c>
      <c r="G519" t="s">
        <v>57</v>
      </c>
      <c r="H519">
        <v>1382020</v>
      </c>
      <c r="I519">
        <v>1382427</v>
      </c>
      <c r="J519" t="s">
        <v>8553</v>
      </c>
      <c r="K519">
        <v>136</v>
      </c>
      <c r="L519" t="s">
        <v>108</v>
      </c>
      <c r="M519">
        <v>44</v>
      </c>
      <c r="N519" t="str">
        <f>HYPERLINK("Gene1366-zp_tree_all.dnd", "Gene1366-tree")</f>
        <v>Gene1366-tree</v>
      </c>
      <c r="O519">
        <v>6</v>
      </c>
      <c r="P519">
        <v>2</v>
      </c>
      <c r="Q519">
        <v>6</v>
      </c>
      <c r="R519">
        <v>2</v>
      </c>
      <c r="S519">
        <v>0.25</v>
      </c>
      <c r="T519" t="s">
        <v>90</v>
      </c>
      <c r="U519" t="s">
        <v>81</v>
      </c>
      <c r="V519" t="s">
        <v>62</v>
      </c>
      <c r="W519" t="s">
        <v>62</v>
      </c>
      <c r="X519">
        <v>0</v>
      </c>
      <c r="Y519">
        <v>0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</v>
      </c>
      <c r="AK519">
        <v>0</v>
      </c>
      <c r="AL519">
        <v>7</v>
      </c>
      <c r="AM519">
        <v>0</v>
      </c>
      <c r="AN519">
        <v>11</v>
      </c>
      <c r="AO519">
        <v>2</v>
      </c>
      <c r="AP519">
        <v>0</v>
      </c>
      <c r="AQ519">
        <v>0</v>
      </c>
      <c r="AR519" t="s">
        <v>8554</v>
      </c>
      <c r="AS519" t="s">
        <v>193</v>
      </c>
      <c r="AT519">
        <v>0.97199999999999998</v>
      </c>
      <c r="AU519" t="s">
        <v>65</v>
      </c>
      <c r="AV519">
        <v>11</v>
      </c>
      <c r="AW519">
        <v>2</v>
      </c>
      <c r="AX519" t="s">
        <v>8555</v>
      </c>
      <c r="AY519">
        <v>3.039E-2</v>
      </c>
      <c r="AZ519">
        <v>-2.3900000000000002E-3</v>
      </c>
      <c r="BA519">
        <v>1.5900000000000001E-3</v>
      </c>
      <c r="BB519">
        <v>-3.3E-4</v>
      </c>
      <c r="BC519">
        <v>5.2310000000000002E-2</v>
      </c>
      <c r="BD519">
        <v>1</v>
      </c>
      <c r="BE519" t="s">
        <v>69</v>
      </c>
      <c r="BF519">
        <v>-0.67900000000000005</v>
      </c>
      <c r="BG519">
        <v>-0.46500000000000002</v>
      </c>
    </row>
    <row r="520" spans="1:59">
      <c r="A520">
        <v>0</v>
      </c>
      <c r="B520">
        <v>0</v>
      </c>
      <c r="C520">
        <v>0</v>
      </c>
      <c r="D520" t="s">
        <v>25022</v>
      </c>
      <c r="E520">
        <v>2679</v>
      </c>
      <c r="F520" t="s">
        <v>15715</v>
      </c>
      <c r="G520" t="s">
        <v>62</v>
      </c>
      <c r="H520">
        <v>2652390</v>
      </c>
      <c r="I520">
        <v>2652797</v>
      </c>
      <c r="J520" t="s">
        <v>15716</v>
      </c>
      <c r="K520">
        <v>136</v>
      </c>
      <c r="L520" t="s">
        <v>108</v>
      </c>
      <c r="M520">
        <v>44</v>
      </c>
      <c r="N520" t="str">
        <f>HYPERLINK("Gene2679-zp_tree_all.dnd", "Gene2679-tree")</f>
        <v>Gene2679-tree</v>
      </c>
      <c r="O520">
        <v>10</v>
      </c>
      <c r="P520">
        <v>3</v>
      </c>
      <c r="Q520">
        <v>10</v>
      </c>
      <c r="R520">
        <v>3</v>
      </c>
      <c r="S520">
        <v>0.23077</v>
      </c>
      <c r="T520" t="s">
        <v>117</v>
      </c>
      <c r="U520" t="s">
        <v>324</v>
      </c>
      <c r="V520" t="s">
        <v>62</v>
      </c>
      <c r="W520" t="s">
        <v>62</v>
      </c>
      <c r="X520">
        <v>0</v>
      </c>
      <c r="Y520">
        <v>0</v>
      </c>
      <c r="Z520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4</v>
      </c>
      <c r="AK520">
        <v>0</v>
      </c>
      <c r="AL520">
        <v>9</v>
      </c>
      <c r="AM520">
        <v>7</v>
      </c>
      <c r="AN520">
        <v>13</v>
      </c>
      <c r="AO520">
        <v>4</v>
      </c>
      <c r="AP520">
        <v>8</v>
      </c>
      <c r="AQ520">
        <v>0</v>
      </c>
      <c r="AR520" t="s">
        <v>15717</v>
      </c>
      <c r="AS520" t="s">
        <v>193</v>
      </c>
      <c r="AT520">
        <v>0.89</v>
      </c>
      <c r="AU520" t="s">
        <v>65</v>
      </c>
      <c r="AV520">
        <v>21</v>
      </c>
      <c r="AW520">
        <v>4</v>
      </c>
      <c r="AX520" t="s">
        <v>15718</v>
      </c>
      <c r="AY520">
        <v>5.0610000000000002E-2</v>
      </c>
      <c r="AZ520">
        <v>-2.5200000000000001E-3</v>
      </c>
      <c r="BA520">
        <v>1.98E-3</v>
      </c>
      <c r="BB520">
        <v>-2.9999999999999997E-4</v>
      </c>
      <c r="BC520">
        <v>3.918E-2</v>
      </c>
      <c r="BD520">
        <v>1</v>
      </c>
      <c r="BE520" t="s">
        <v>69</v>
      </c>
      <c r="BF520">
        <v>-1.1970000000000001</v>
      </c>
      <c r="BG520">
        <v>-1.591</v>
      </c>
    </row>
    <row r="521" spans="1:59">
      <c r="A521">
        <v>0</v>
      </c>
      <c r="B521">
        <v>0</v>
      </c>
      <c r="C521">
        <v>2</v>
      </c>
      <c r="D521" t="s">
        <v>25022</v>
      </c>
      <c r="E521">
        <v>2342</v>
      </c>
      <c r="F521" t="s">
        <v>13594</v>
      </c>
      <c r="G521" t="s">
        <v>62</v>
      </c>
      <c r="H521">
        <v>2358914</v>
      </c>
      <c r="I521">
        <v>2359324</v>
      </c>
      <c r="J521" t="s">
        <v>13595</v>
      </c>
      <c r="K521">
        <v>137</v>
      </c>
      <c r="L521" t="s">
        <v>59</v>
      </c>
      <c r="M521">
        <v>49</v>
      </c>
      <c r="N521" t="str">
        <f>HYPERLINK("Gene2342-zp_tree_all.dnd", "Gene2342-tree")</f>
        <v>Gene2342-tree</v>
      </c>
      <c r="O521">
        <v>12</v>
      </c>
      <c r="P521">
        <v>4</v>
      </c>
      <c r="Q521">
        <v>12</v>
      </c>
      <c r="R521">
        <v>4</v>
      </c>
      <c r="S521">
        <v>0.25</v>
      </c>
      <c r="T521" t="s">
        <v>109</v>
      </c>
      <c r="U521" t="s">
        <v>61</v>
      </c>
      <c r="V521" t="s">
        <v>62</v>
      </c>
      <c r="W521" t="s">
        <v>62</v>
      </c>
      <c r="X521">
        <v>1</v>
      </c>
      <c r="Y521">
        <v>2</v>
      </c>
      <c r="Z521">
        <v>7</v>
      </c>
      <c r="AA521">
        <v>0.22222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3</v>
      </c>
      <c r="AK521">
        <v>0</v>
      </c>
      <c r="AL521">
        <v>13</v>
      </c>
      <c r="AM521">
        <v>7</v>
      </c>
      <c r="AN521">
        <v>18</v>
      </c>
      <c r="AO521">
        <v>3</v>
      </c>
      <c r="AP521">
        <v>23</v>
      </c>
      <c r="AQ521">
        <v>6</v>
      </c>
      <c r="AR521" t="s">
        <v>13596</v>
      </c>
      <c r="AS521" t="s">
        <v>13597</v>
      </c>
      <c r="AT521">
        <v>0.312</v>
      </c>
      <c r="AU521" t="s">
        <v>65</v>
      </c>
      <c r="AV521">
        <v>41</v>
      </c>
      <c r="AW521">
        <v>9</v>
      </c>
      <c r="AX521" t="s">
        <v>13598</v>
      </c>
      <c r="AY521">
        <v>8.9179999999999995E-2</v>
      </c>
      <c r="AZ521">
        <v>-5.5300000000000002E-3</v>
      </c>
      <c r="BA521">
        <v>6.7999999999999996E-3</v>
      </c>
      <c r="BB521">
        <v>-5.6999999999999998E-4</v>
      </c>
      <c r="BC521">
        <v>7.6200000000000004E-2</v>
      </c>
      <c r="BD521">
        <v>1</v>
      </c>
      <c r="BE521" t="s">
        <v>69</v>
      </c>
      <c r="BF521">
        <v>-0.68700000000000006</v>
      </c>
      <c r="BG521">
        <v>-0.17599999999999999</v>
      </c>
    </row>
    <row r="522" spans="1:59">
      <c r="A522">
        <v>0</v>
      </c>
      <c r="B522">
        <v>0</v>
      </c>
      <c r="C522">
        <v>0</v>
      </c>
      <c r="D522" t="s">
        <v>25022</v>
      </c>
      <c r="E522">
        <v>1795</v>
      </c>
      <c r="F522" t="s">
        <v>11243</v>
      </c>
      <c r="G522" t="s">
        <v>57</v>
      </c>
      <c r="H522">
        <v>1865876</v>
      </c>
      <c r="I522">
        <v>1866286</v>
      </c>
      <c r="J522" t="s">
        <v>11244</v>
      </c>
      <c r="K522">
        <v>137</v>
      </c>
      <c r="L522" t="s">
        <v>108</v>
      </c>
      <c r="M522">
        <v>44</v>
      </c>
      <c r="N522" t="str">
        <f>HYPERLINK("Gene1795-zp_tree_all.dnd", "Gene1795-tree")</f>
        <v>Gene1795-tree</v>
      </c>
      <c r="O522">
        <v>9</v>
      </c>
      <c r="P522">
        <v>3</v>
      </c>
      <c r="Q522">
        <v>9</v>
      </c>
      <c r="R522">
        <v>3</v>
      </c>
      <c r="S522">
        <v>0.25</v>
      </c>
      <c r="T522" t="s">
        <v>135</v>
      </c>
      <c r="U522" t="s">
        <v>324</v>
      </c>
      <c r="V522" t="s">
        <v>62</v>
      </c>
      <c r="W522" t="s">
        <v>62</v>
      </c>
      <c r="X522">
        <v>0</v>
      </c>
      <c r="Y522">
        <v>0</v>
      </c>
      <c r="Z522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4</v>
      </c>
      <c r="AK522">
        <v>0</v>
      </c>
      <c r="AL522">
        <v>9</v>
      </c>
      <c r="AM522">
        <v>2</v>
      </c>
      <c r="AN522">
        <v>15</v>
      </c>
      <c r="AO522">
        <v>4</v>
      </c>
      <c r="AP522">
        <v>2</v>
      </c>
      <c r="AQ522">
        <v>0</v>
      </c>
      <c r="AR522" t="s">
        <v>11245</v>
      </c>
      <c r="AS522" t="s">
        <v>193</v>
      </c>
      <c r="AT522">
        <v>1.046</v>
      </c>
      <c r="AU522" t="s">
        <v>65</v>
      </c>
      <c r="AV522">
        <v>17</v>
      </c>
      <c r="AW522">
        <v>4</v>
      </c>
      <c r="AX522" t="s">
        <v>11246</v>
      </c>
      <c r="AY522">
        <v>3.5709999999999999E-2</v>
      </c>
      <c r="AZ522">
        <v>-2.3999999999999998E-3</v>
      </c>
      <c r="BA522">
        <v>2.15E-3</v>
      </c>
      <c r="BB522">
        <v>-3.3E-4</v>
      </c>
      <c r="BC522">
        <v>6.0109999999999997E-2</v>
      </c>
      <c r="BD522">
        <v>1</v>
      </c>
      <c r="BE522" t="s">
        <v>69</v>
      </c>
      <c r="BF522">
        <v>-0.81299999999999994</v>
      </c>
      <c r="BG522">
        <v>-2.2389999999999999</v>
      </c>
    </row>
    <row r="523" spans="1:59">
      <c r="A523">
        <v>0</v>
      </c>
      <c r="B523">
        <v>0</v>
      </c>
      <c r="C523">
        <v>2</v>
      </c>
      <c r="D523" t="s">
        <v>25022</v>
      </c>
      <c r="E523">
        <v>4059</v>
      </c>
      <c r="F523" t="s">
        <v>23893</v>
      </c>
      <c r="G523" t="s">
        <v>62</v>
      </c>
      <c r="H523">
        <v>4021432</v>
      </c>
      <c r="I523">
        <v>4021845</v>
      </c>
      <c r="J523" t="s">
        <v>288</v>
      </c>
      <c r="K523">
        <v>138</v>
      </c>
      <c r="L523" t="s">
        <v>23894</v>
      </c>
      <c r="M523">
        <v>28</v>
      </c>
      <c r="N523" t="str">
        <f>HYPERLINK("Gene4059-zp_tree_all.dnd", "Gene4059-tree")</f>
        <v>Gene4059-tree</v>
      </c>
      <c r="O523">
        <v>0</v>
      </c>
      <c r="P523">
        <v>5</v>
      </c>
      <c r="Q523">
        <v>0</v>
      </c>
      <c r="R523">
        <v>5</v>
      </c>
      <c r="S523">
        <v>1</v>
      </c>
      <c r="T523" t="s">
        <v>62</v>
      </c>
      <c r="U523" t="s">
        <v>199</v>
      </c>
      <c r="V523" t="s">
        <v>62</v>
      </c>
      <c r="W523" t="s">
        <v>62</v>
      </c>
      <c r="X523">
        <v>1</v>
      </c>
      <c r="Y523">
        <v>2</v>
      </c>
      <c r="Z523">
        <v>12</v>
      </c>
      <c r="AA523">
        <v>0.14285999999999999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8</v>
      </c>
      <c r="AK523">
        <v>0</v>
      </c>
      <c r="AL523">
        <v>4</v>
      </c>
      <c r="AM523">
        <v>2</v>
      </c>
      <c r="AN523">
        <v>8</v>
      </c>
      <c r="AO523">
        <v>9</v>
      </c>
      <c r="AP523">
        <v>6</v>
      </c>
      <c r="AQ523">
        <v>7</v>
      </c>
      <c r="AR523" t="s">
        <v>23895</v>
      </c>
      <c r="AS523" t="s">
        <v>23896</v>
      </c>
      <c r="AT523">
        <v>1.6E-2</v>
      </c>
      <c r="AU523" t="s">
        <v>65</v>
      </c>
      <c r="AV523">
        <v>14</v>
      </c>
      <c r="AW523">
        <v>16</v>
      </c>
      <c r="AX523" t="s">
        <v>23897</v>
      </c>
      <c r="AY523">
        <v>8.2949999999999996E-2</v>
      </c>
      <c r="AZ523">
        <v>-1.349E-2</v>
      </c>
      <c r="BA523">
        <v>2.409E-2</v>
      </c>
      <c r="BB523">
        <v>-3.3300000000000001E-3</v>
      </c>
      <c r="BC523">
        <v>0.29037000000000002</v>
      </c>
      <c r="BD523">
        <v>1</v>
      </c>
      <c r="BE523" t="s">
        <v>69</v>
      </c>
      <c r="BF523">
        <v>-1.6679999999999999</v>
      </c>
      <c r="BG523">
        <v>-1.1659999999999999</v>
      </c>
    </row>
    <row r="524" spans="1:59">
      <c r="A524">
        <v>0</v>
      </c>
      <c r="B524">
        <v>2</v>
      </c>
      <c r="C524">
        <v>0</v>
      </c>
      <c r="D524" t="s">
        <v>25022</v>
      </c>
      <c r="E524">
        <v>3474</v>
      </c>
      <c r="F524" t="s">
        <v>20349</v>
      </c>
      <c r="G524" t="s">
        <v>62</v>
      </c>
      <c r="H524">
        <v>3437647</v>
      </c>
      <c r="I524">
        <v>3438060</v>
      </c>
      <c r="J524" t="s">
        <v>9249</v>
      </c>
      <c r="K524">
        <v>138</v>
      </c>
      <c r="L524" t="s">
        <v>11803</v>
      </c>
      <c r="M524">
        <v>47</v>
      </c>
      <c r="N524" t="str">
        <f>HYPERLINK("Gene3474-zp_tree_all.dnd", "Gene3474-tree")</f>
        <v>Gene3474-tree</v>
      </c>
      <c r="O524">
        <v>13</v>
      </c>
      <c r="P524">
        <v>3</v>
      </c>
      <c r="Q524">
        <v>13</v>
      </c>
      <c r="R524">
        <v>3</v>
      </c>
      <c r="S524">
        <v>0.1875</v>
      </c>
      <c r="T524" t="s">
        <v>507</v>
      </c>
      <c r="U524" t="s">
        <v>324</v>
      </c>
      <c r="V524" t="s">
        <v>62</v>
      </c>
      <c r="W524" t="s">
        <v>62</v>
      </c>
      <c r="X524">
        <v>1</v>
      </c>
      <c r="Y524">
        <v>2</v>
      </c>
      <c r="Z524">
        <v>7</v>
      </c>
      <c r="AA524">
        <v>0.22222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</v>
      </c>
      <c r="AK524">
        <v>0</v>
      </c>
      <c r="AL524">
        <v>12</v>
      </c>
      <c r="AM524">
        <v>10</v>
      </c>
      <c r="AN524">
        <v>27</v>
      </c>
      <c r="AO524">
        <v>4</v>
      </c>
      <c r="AP524">
        <v>24</v>
      </c>
      <c r="AQ524">
        <v>5</v>
      </c>
      <c r="AR524" t="s">
        <v>20350</v>
      </c>
      <c r="AS524" t="s">
        <v>20351</v>
      </c>
      <c r="AT524">
        <v>0.19800000000000001</v>
      </c>
      <c r="AU524" t="s">
        <v>65</v>
      </c>
      <c r="AV524">
        <v>51</v>
      </c>
      <c r="AW524">
        <v>9</v>
      </c>
      <c r="AX524" t="s">
        <v>20352</v>
      </c>
      <c r="AY524">
        <v>0.10277</v>
      </c>
      <c r="AZ524">
        <v>-6.4099999999999999E-3</v>
      </c>
      <c r="BA524">
        <v>6.9800000000000001E-3</v>
      </c>
      <c r="BB524">
        <v>-5.1000000000000004E-4</v>
      </c>
      <c r="BC524">
        <v>6.794E-2</v>
      </c>
      <c r="BD524">
        <v>1</v>
      </c>
      <c r="BE524" t="s">
        <v>69</v>
      </c>
      <c r="BF524">
        <v>-1.425</v>
      </c>
      <c r="BG524">
        <v>-1.831</v>
      </c>
    </row>
    <row r="525" spans="1:59">
      <c r="A525">
        <v>0</v>
      </c>
      <c r="B525">
        <v>0</v>
      </c>
      <c r="C525">
        <v>0</v>
      </c>
      <c r="D525" t="s">
        <v>25022</v>
      </c>
      <c r="E525">
        <v>2851</v>
      </c>
      <c r="F525" t="s">
        <v>16383</v>
      </c>
      <c r="G525" t="s">
        <v>62</v>
      </c>
      <c r="H525">
        <v>2797402</v>
      </c>
      <c r="I525">
        <v>2797815</v>
      </c>
      <c r="J525" t="s">
        <v>16384</v>
      </c>
      <c r="K525">
        <v>138</v>
      </c>
      <c r="L525" t="s">
        <v>59</v>
      </c>
      <c r="M525">
        <v>49</v>
      </c>
      <c r="N525" t="str">
        <f>HYPERLINK("Gene2851-zp_tree_all.dnd", "Gene2851-tree")</f>
        <v>Gene2851-tree</v>
      </c>
      <c r="O525">
        <v>8</v>
      </c>
      <c r="P525">
        <v>0</v>
      </c>
      <c r="Q525">
        <v>8</v>
      </c>
      <c r="R525">
        <v>0</v>
      </c>
      <c r="S525">
        <v>0</v>
      </c>
      <c r="T525" t="s">
        <v>136</v>
      </c>
      <c r="U525" t="s">
        <v>62</v>
      </c>
      <c r="V525" t="s">
        <v>62</v>
      </c>
      <c r="W525" t="s">
        <v>62</v>
      </c>
      <c r="X525">
        <v>0</v>
      </c>
      <c r="Y525">
        <v>0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6</v>
      </c>
      <c r="AM525">
        <v>4</v>
      </c>
      <c r="AN525">
        <v>12</v>
      </c>
      <c r="AO525">
        <v>0</v>
      </c>
      <c r="AP525">
        <v>9</v>
      </c>
      <c r="AQ525">
        <v>2</v>
      </c>
      <c r="AR525" t="s">
        <v>193</v>
      </c>
      <c r="AS525" t="s">
        <v>16385</v>
      </c>
      <c r="AT525">
        <v>1.2889999999999999</v>
      </c>
      <c r="AU525" t="s">
        <v>65</v>
      </c>
      <c r="AV525">
        <v>21</v>
      </c>
      <c r="AW525">
        <v>2</v>
      </c>
      <c r="AX525" t="s">
        <v>16386</v>
      </c>
      <c r="AY525">
        <v>7.9140000000000002E-2</v>
      </c>
      <c r="AZ525">
        <v>-6.2100000000000002E-3</v>
      </c>
      <c r="BA525">
        <v>2.6900000000000001E-3</v>
      </c>
      <c r="BB525">
        <v>-3.6999999999999999E-4</v>
      </c>
      <c r="BC525">
        <v>3.3989999999999999E-2</v>
      </c>
      <c r="BD525">
        <v>1</v>
      </c>
      <c r="BE525" t="s">
        <v>69</v>
      </c>
      <c r="BF525">
        <v>-1.169</v>
      </c>
      <c r="BG525">
        <v>0.94899999999999995</v>
      </c>
    </row>
    <row r="526" spans="1:59">
      <c r="A526">
        <v>0</v>
      </c>
      <c r="B526">
        <v>0</v>
      </c>
      <c r="C526">
        <v>0</v>
      </c>
      <c r="D526" t="s">
        <v>25022</v>
      </c>
      <c r="E526">
        <v>110</v>
      </c>
      <c r="F526" t="s">
        <v>843</v>
      </c>
      <c r="G526" t="s">
        <v>57</v>
      </c>
      <c r="H526">
        <v>129702</v>
      </c>
      <c r="I526">
        <v>130115</v>
      </c>
      <c r="J526" t="s">
        <v>844</v>
      </c>
      <c r="K526">
        <v>138</v>
      </c>
      <c r="L526" t="s">
        <v>515</v>
      </c>
      <c r="M526">
        <v>51</v>
      </c>
      <c r="N526" t="str">
        <f>HYPERLINK("Gene110-zp_tree_all.dnd", "Gene110-tree")</f>
        <v>Gene110-tree</v>
      </c>
      <c r="O526">
        <v>7</v>
      </c>
      <c r="P526">
        <v>1</v>
      </c>
      <c r="Q526">
        <v>7</v>
      </c>
      <c r="R526">
        <v>1</v>
      </c>
      <c r="S526">
        <v>0.125</v>
      </c>
      <c r="T526" t="s">
        <v>152</v>
      </c>
      <c r="U526" t="s">
        <v>175</v>
      </c>
      <c r="V526" t="s">
        <v>62</v>
      </c>
      <c r="W526" t="s">
        <v>62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6</v>
      </c>
      <c r="AM526">
        <v>2</v>
      </c>
      <c r="AN526">
        <v>19</v>
      </c>
      <c r="AO526">
        <v>1</v>
      </c>
      <c r="AP526">
        <v>3</v>
      </c>
      <c r="AQ526">
        <v>0</v>
      </c>
      <c r="AR526" t="s">
        <v>845</v>
      </c>
      <c r="AS526" t="s">
        <v>193</v>
      </c>
      <c r="AT526">
        <v>0.308</v>
      </c>
      <c r="AU526" t="s">
        <v>65</v>
      </c>
      <c r="AV526">
        <v>22</v>
      </c>
      <c r="AW526">
        <v>1</v>
      </c>
      <c r="AX526" t="s">
        <v>846</v>
      </c>
      <c r="AY526">
        <v>6.6220000000000001E-2</v>
      </c>
      <c r="AZ526">
        <v>-1.295E-2</v>
      </c>
      <c r="BA526">
        <v>8.1999999999999998E-4</v>
      </c>
      <c r="BB526">
        <v>-2.4000000000000001E-4</v>
      </c>
      <c r="BC526">
        <v>1.2409999999999999E-2</v>
      </c>
      <c r="BD526">
        <v>1</v>
      </c>
      <c r="BE526" t="s">
        <v>69</v>
      </c>
      <c r="BF526">
        <v>-1.9630000000000001</v>
      </c>
      <c r="BG526">
        <v>1.18</v>
      </c>
    </row>
    <row r="527" spans="1:59">
      <c r="A527">
        <v>0</v>
      </c>
      <c r="B527">
        <v>0</v>
      </c>
      <c r="C527">
        <v>0</v>
      </c>
      <c r="D527" t="s">
        <v>25022</v>
      </c>
      <c r="E527">
        <v>2866</v>
      </c>
      <c r="F527" t="s">
        <v>16472</v>
      </c>
      <c r="G527" t="s">
        <v>62</v>
      </c>
      <c r="H527">
        <v>2811720</v>
      </c>
      <c r="I527">
        <v>2812133</v>
      </c>
      <c r="J527" t="s">
        <v>16473</v>
      </c>
      <c r="K527">
        <v>138</v>
      </c>
      <c r="L527" t="s">
        <v>59</v>
      </c>
      <c r="M527">
        <v>49</v>
      </c>
      <c r="N527" t="str">
        <f>HYPERLINK("Gene2866-zp_tree_all.dnd", "Gene2866-tree")</f>
        <v>Gene2866-tree</v>
      </c>
      <c r="O527">
        <v>10</v>
      </c>
      <c r="P527">
        <v>1</v>
      </c>
      <c r="Q527">
        <v>10</v>
      </c>
      <c r="R527">
        <v>1</v>
      </c>
      <c r="S527">
        <v>9.0910000000000005E-2</v>
      </c>
      <c r="T527" t="s">
        <v>117</v>
      </c>
      <c r="U527" t="s">
        <v>175</v>
      </c>
      <c r="V527" t="s">
        <v>62</v>
      </c>
      <c r="W527" t="s">
        <v>62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8</v>
      </c>
      <c r="AM527">
        <v>5</v>
      </c>
      <c r="AN527">
        <v>17</v>
      </c>
      <c r="AO527">
        <v>1</v>
      </c>
      <c r="AP527">
        <v>19</v>
      </c>
      <c r="AQ527">
        <v>0</v>
      </c>
      <c r="AR527" t="s">
        <v>16474</v>
      </c>
      <c r="AS527" t="s">
        <v>193</v>
      </c>
      <c r="AT527">
        <v>0.35099999999999998</v>
      </c>
      <c r="AU527" t="s">
        <v>65</v>
      </c>
      <c r="AV527">
        <v>36</v>
      </c>
      <c r="AW527">
        <v>1</v>
      </c>
      <c r="AX527" t="s">
        <v>16475</v>
      </c>
      <c r="AY527">
        <v>0.11491</v>
      </c>
      <c r="AZ527">
        <v>-1.076E-2</v>
      </c>
      <c r="BA527">
        <v>5.8E-4</v>
      </c>
      <c r="BB527">
        <v>-1.4999999999999999E-4</v>
      </c>
      <c r="BC527">
        <v>5.0499999999999998E-3</v>
      </c>
      <c r="BD527">
        <v>1</v>
      </c>
      <c r="BE527" t="s">
        <v>69</v>
      </c>
      <c r="BF527">
        <v>-1.5529999999999999</v>
      </c>
      <c r="BG527">
        <v>-2.0459999999999998</v>
      </c>
    </row>
    <row r="528" spans="1:59">
      <c r="A528">
        <v>0</v>
      </c>
      <c r="B528">
        <v>0</v>
      </c>
      <c r="C528">
        <v>0</v>
      </c>
      <c r="D528" t="s">
        <v>25022</v>
      </c>
      <c r="E528">
        <v>2640</v>
      </c>
      <c r="F528" t="s">
        <v>15468</v>
      </c>
      <c r="G528" t="s">
        <v>62</v>
      </c>
      <c r="H528">
        <v>2617008</v>
      </c>
      <c r="I528">
        <v>2617424</v>
      </c>
      <c r="J528" t="s">
        <v>116</v>
      </c>
      <c r="K528">
        <v>139</v>
      </c>
      <c r="L528" t="s">
        <v>108</v>
      </c>
      <c r="M528">
        <v>44</v>
      </c>
      <c r="N528" t="str">
        <f>HYPERLINK("Gene2640-zp_tree_all.dnd", "Gene2640-tree")</f>
        <v>Gene2640-tree</v>
      </c>
      <c r="O528">
        <v>24</v>
      </c>
      <c r="P528">
        <v>9</v>
      </c>
      <c r="Q528">
        <v>3</v>
      </c>
      <c r="R528">
        <v>9</v>
      </c>
      <c r="S528">
        <v>0.75</v>
      </c>
      <c r="T528" t="s">
        <v>14683</v>
      </c>
      <c r="U528" t="s">
        <v>135</v>
      </c>
      <c r="V528" t="s">
        <v>62</v>
      </c>
      <c r="W528" t="s">
        <v>62</v>
      </c>
      <c r="X528">
        <v>0</v>
      </c>
      <c r="Y528">
        <v>0</v>
      </c>
      <c r="Z528">
        <v>14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10</v>
      </c>
      <c r="AK528">
        <v>0</v>
      </c>
      <c r="AL528">
        <v>10</v>
      </c>
      <c r="AM528">
        <v>5</v>
      </c>
      <c r="AN528">
        <v>8</v>
      </c>
      <c r="AO528">
        <v>10</v>
      </c>
      <c r="AP528">
        <v>5</v>
      </c>
      <c r="AQ528">
        <v>4</v>
      </c>
      <c r="AR528" t="s">
        <v>15469</v>
      </c>
      <c r="AS528" t="s">
        <v>15470</v>
      </c>
      <c r="AT528">
        <v>0.37</v>
      </c>
      <c r="AU528" t="s">
        <v>65</v>
      </c>
      <c r="AV528">
        <v>13</v>
      </c>
      <c r="AW528">
        <v>14</v>
      </c>
      <c r="AX528" t="s">
        <v>15471</v>
      </c>
      <c r="AY528">
        <v>3.3660000000000002E-2</v>
      </c>
      <c r="AZ528">
        <v>-2.7799999999999999E-3</v>
      </c>
      <c r="BA528">
        <v>9.6799999999999994E-3</v>
      </c>
      <c r="BB528">
        <v>-5.5000000000000003E-4</v>
      </c>
      <c r="BC528">
        <v>0.28749000000000002</v>
      </c>
      <c r="BD528">
        <v>0.98</v>
      </c>
      <c r="BE528" t="s">
        <v>69</v>
      </c>
      <c r="BF528">
        <v>-1.022</v>
      </c>
      <c r="BG528">
        <v>-1.119</v>
      </c>
    </row>
    <row r="529" spans="1:59">
      <c r="A529">
        <v>0</v>
      </c>
      <c r="B529">
        <v>6</v>
      </c>
      <c r="C529">
        <v>1</v>
      </c>
      <c r="D529" t="s">
        <v>25022</v>
      </c>
      <c r="E529">
        <v>4189</v>
      </c>
      <c r="F529" t="s">
        <v>24665</v>
      </c>
      <c r="G529" t="s">
        <v>62</v>
      </c>
      <c r="H529">
        <v>4156934</v>
      </c>
      <c r="I529">
        <v>4157350</v>
      </c>
      <c r="J529" t="s">
        <v>288</v>
      </c>
      <c r="K529">
        <v>139</v>
      </c>
      <c r="L529" t="s">
        <v>108</v>
      </c>
      <c r="M529">
        <v>44</v>
      </c>
      <c r="N529" t="str">
        <f>HYPERLINK("Gene4189-zp_tree_all.dnd", "Gene4189-tree")</f>
        <v>Gene4189-tree</v>
      </c>
      <c r="O529">
        <v>1</v>
      </c>
      <c r="P529">
        <v>11</v>
      </c>
      <c r="Q529">
        <v>1</v>
      </c>
      <c r="R529">
        <v>11</v>
      </c>
      <c r="S529">
        <v>0.91666999999999998</v>
      </c>
      <c r="T529" t="s">
        <v>175</v>
      </c>
      <c r="U529" t="s">
        <v>73</v>
      </c>
      <c r="V529">
        <v>1144612630.289</v>
      </c>
      <c r="W529" t="s">
        <v>267</v>
      </c>
      <c r="X529">
        <v>3</v>
      </c>
      <c r="Y529">
        <v>7</v>
      </c>
      <c r="Z529">
        <v>11</v>
      </c>
      <c r="AA529">
        <v>0.38889000000000001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4</v>
      </c>
      <c r="AH529">
        <v>1</v>
      </c>
      <c r="AI529">
        <v>5</v>
      </c>
      <c r="AJ529">
        <v>10</v>
      </c>
      <c r="AK529">
        <v>0.33333000000000002</v>
      </c>
      <c r="AL529">
        <v>11</v>
      </c>
      <c r="AM529">
        <v>7</v>
      </c>
      <c r="AN529">
        <v>16</v>
      </c>
      <c r="AO529">
        <v>14</v>
      </c>
      <c r="AP529">
        <v>4</v>
      </c>
      <c r="AQ529">
        <v>4</v>
      </c>
      <c r="AR529" t="s">
        <v>24666</v>
      </c>
      <c r="AS529" t="s">
        <v>24667</v>
      </c>
      <c r="AT529">
        <v>0.21099999999999999</v>
      </c>
      <c r="AU529" t="s">
        <v>65</v>
      </c>
      <c r="AV529">
        <v>20</v>
      </c>
      <c r="AW529">
        <v>18</v>
      </c>
      <c r="AX529" t="s">
        <v>24668</v>
      </c>
      <c r="AY529">
        <v>4.1570000000000003E-2</v>
      </c>
      <c r="AZ529">
        <v>-3.0599999999999998E-3</v>
      </c>
      <c r="BA529">
        <v>1.1520000000000001E-2</v>
      </c>
      <c r="BB529">
        <v>-4.8000000000000001E-4</v>
      </c>
      <c r="BC529">
        <v>0.27722000000000002</v>
      </c>
      <c r="BD529">
        <v>1</v>
      </c>
      <c r="BE529" t="s">
        <v>69</v>
      </c>
      <c r="BF529">
        <v>-0.623</v>
      </c>
      <c r="BG529">
        <v>-1.92</v>
      </c>
    </row>
    <row r="530" spans="1:59">
      <c r="A530">
        <v>0</v>
      </c>
      <c r="B530">
        <v>0</v>
      </c>
      <c r="C530">
        <v>0</v>
      </c>
      <c r="D530" t="s">
        <v>25022</v>
      </c>
      <c r="E530">
        <v>3672</v>
      </c>
      <c r="F530" t="s">
        <v>21545</v>
      </c>
      <c r="G530" t="s">
        <v>62</v>
      </c>
      <c r="H530">
        <v>3640635</v>
      </c>
      <c r="I530">
        <v>3641051</v>
      </c>
      <c r="J530" t="s">
        <v>21546</v>
      </c>
      <c r="K530">
        <v>139</v>
      </c>
      <c r="L530" t="s">
        <v>108</v>
      </c>
      <c r="M530">
        <v>44</v>
      </c>
      <c r="N530" t="str">
        <f>HYPERLINK("Gene3672-zp_tree_all.dnd", "Gene3672-tree")</f>
        <v>Gene3672-tree</v>
      </c>
      <c r="O530">
        <v>26</v>
      </c>
      <c r="P530">
        <v>1</v>
      </c>
      <c r="Q530">
        <v>7</v>
      </c>
      <c r="R530">
        <v>1</v>
      </c>
      <c r="S530">
        <v>0.125</v>
      </c>
      <c r="T530" t="s">
        <v>191</v>
      </c>
      <c r="U530" t="s">
        <v>175</v>
      </c>
      <c r="V530" t="s">
        <v>62</v>
      </c>
      <c r="W530" t="s">
        <v>62</v>
      </c>
      <c r="X530">
        <v>0</v>
      </c>
      <c r="Y530">
        <v>0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5</v>
      </c>
      <c r="AM530">
        <v>2</v>
      </c>
      <c r="AN530">
        <v>5</v>
      </c>
      <c r="AO530">
        <v>1</v>
      </c>
      <c r="AP530">
        <v>1</v>
      </c>
      <c r="AQ530">
        <v>1</v>
      </c>
      <c r="AR530" t="s">
        <v>21547</v>
      </c>
      <c r="AS530" t="s">
        <v>21548</v>
      </c>
      <c r="AT530">
        <v>0.54600000000000004</v>
      </c>
      <c r="AU530" t="s">
        <v>65</v>
      </c>
      <c r="AV530">
        <v>6</v>
      </c>
      <c r="AW530">
        <v>2</v>
      </c>
      <c r="AX530" t="s">
        <v>21549</v>
      </c>
      <c r="AY530">
        <v>1.8890000000000001E-2</v>
      </c>
      <c r="AZ530">
        <v>-2.2100000000000002E-3</v>
      </c>
      <c r="BA530">
        <v>2.3600000000000001E-3</v>
      </c>
      <c r="BB530">
        <v>-4.0000000000000002E-4</v>
      </c>
      <c r="BC530">
        <v>0.12477000000000001</v>
      </c>
      <c r="BD530">
        <v>0.95199999999999996</v>
      </c>
      <c r="BE530" t="s">
        <v>69</v>
      </c>
      <c r="BF530">
        <v>0.47399999999999998</v>
      </c>
      <c r="BG530">
        <v>0.49099999999999999</v>
      </c>
    </row>
    <row r="531" spans="1:59">
      <c r="A531">
        <v>0</v>
      </c>
      <c r="B531">
        <v>2</v>
      </c>
      <c r="C531">
        <v>0</v>
      </c>
      <c r="D531" t="s">
        <v>25022</v>
      </c>
      <c r="E531">
        <v>3891</v>
      </c>
      <c r="F531" t="s">
        <v>22815</v>
      </c>
      <c r="G531" t="s">
        <v>62</v>
      </c>
      <c r="H531">
        <v>3853720</v>
      </c>
      <c r="I531">
        <v>3854136</v>
      </c>
      <c r="J531" t="s">
        <v>3745</v>
      </c>
      <c r="K531">
        <v>139</v>
      </c>
      <c r="L531" t="s">
        <v>108</v>
      </c>
      <c r="M531">
        <v>44</v>
      </c>
      <c r="N531" t="str">
        <f>HYPERLINK("Gene3891-zp_tree_all.dnd", "Gene3891-tree")</f>
        <v>Gene3891-tree</v>
      </c>
      <c r="O531">
        <v>10</v>
      </c>
      <c r="P531">
        <v>0</v>
      </c>
      <c r="Q531">
        <v>10</v>
      </c>
      <c r="R531">
        <v>0</v>
      </c>
      <c r="S531">
        <v>0</v>
      </c>
      <c r="T531" t="s">
        <v>117</v>
      </c>
      <c r="U531" t="s">
        <v>62</v>
      </c>
      <c r="V531" t="s">
        <v>62</v>
      </c>
      <c r="W531" t="s">
        <v>62</v>
      </c>
      <c r="X531">
        <v>1</v>
      </c>
      <c r="Y531">
        <v>2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7</v>
      </c>
      <c r="AM531">
        <v>5</v>
      </c>
      <c r="AN531">
        <v>10</v>
      </c>
      <c r="AO531">
        <v>0</v>
      </c>
      <c r="AP531">
        <v>4</v>
      </c>
      <c r="AQ531">
        <v>2</v>
      </c>
      <c r="AR531" t="s">
        <v>193</v>
      </c>
      <c r="AS531" t="s">
        <v>22816</v>
      </c>
      <c r="AT531">
        <v>1.278</v>
      </c>
      <c r="AU531" t="s">
        <v>65</v>
      </c>
      <c r="AV531">
        <v>14</v>
      </c>
      <c r="AW531">
        <v>2</v>
      </c>
      <c r="AX531" t="s">
        <v>22817</v>
      </c>
      <c r="AY531">
        <v>3.6499999999999998E-2</v>
      </c>
      <c r="AZ531">
        <v>-2.1099999999999999E-3</v>
      </c>
      <c r="BA531">
        <v>1.72E-3</v>
      </c>
      <c r="BB531">
        <v>-2.1000000000000001E-4</v>
      </c>
      <c r="BC531">
        <v>4.7109999999999999E-2</v>
      </c>
      <c r="BD531">
        <v>1</v>
      </c>
      <c r="BE531" t="s">
        <v>69</v>
      </c>
      <c r="BF531">
        <v>0.69799999999999995</v>
      </c>
      <c r="BG531">
        <v>-2.1720000000000002</v>
      </c>
    </row>
    <row r="532" spans="1:59">
      <c r="A532">
        <v>0</v>
      </c>
      <c r="B532">
        <v>2</v>
      </c>
      <c r="C532">
        <v>0</v>
      </c>
      <c r="D532" t="s">
        <v>25022</v>
      </c>
      <c r="E532">
        <v>957</v>
      </c>
      <c r="F532" t="s">
        <v>6005</v>
      </c>
      <c r="G532" t="s">
        <v>57</v>
      </c>
      <c r="H532">
        <v>997175</v>
      </c>
      <c r="I532">
        <v>997594</v>
      </c>
      <c r="J532" t="s">
        <v>6006</v>
      </c>
      <c r="K532">
        <v>140</v>
      </c>
      <c r="L532" t="s">
        <v>59</v>
      </c>
      <c r="M532">
        <v>49</v>
      </c>
      <c r="N532" t="str">
        <f>HYPERLINK("Gene957-zp_tree_all.dnd", "Gene957-tree")</f>
        <v>Gene957-tree</v>
      </c>
      <c r="O532">
        <v>6</v>
      </c>
      <c r="P532">
        <v>4</v>
      </c>
      <c r="Q532">
        <v>6</v>
      </c>
      <c r="R532">
        <v>4</v>
      </c>
      <c r="S532">
        <v>0.4</v>
      </c>
      <c r="T532" t="s">
        <v>90</v>
      </c>
      <c r="U532" t="s">
        <v>61</v>
      </c>
      <c r="V532" t="s">
        <v>62</v>
      </c>
      <c r="W532" t="s">
        <v>62</v>
      </c>
      <c r="X532">
        <v>1</v>
      </c>
      <c r="Y532">
        <v>2</v>
      </c>
      <c r="Z532">
        <v>9</v>
      </c>
      <c r="AA532">
        <v>0.18182000000000001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6</v>
      </c>
      <c r="AK532">
        <v>0</v>
      </c>
      <c r="AL532">
        <v>8</v>
      </c>
      <c r="AM532">
        <v>4</v>
      </c>
      <c r="AN532">
        <v>7</v>
      </c>
      <c r="AO532">
        <v>6</v>
      </c>
      <c r="AP532">
        <v>9</v>
      </c>
      <c r="AQ532">
        <v>6</v>
      </c>
      <c r="AR532" t="s">
        <v>6007</v>
      </c>
      <c r="AS532" t="s">
        <v>6008</v>
      </c>
      <c r="AT532">
        <v>0.189</v>
      </c>
      <c r="AU532" t="s">
        <v>65</v>
      </c>
      <c r="AV532">
        <v>16</v>
      </c>
      <c r="AW532">
        <v>12</v>
      </c>
      <c r="AX532" t="s">
        <v>6009</v>
      </c>
      <c r="AY532">
        <v>6.0040000000000003E-2</v>
      </c>
      <c r="AZ532">
        <v>-5.8300000000000001E-3</v>
      </c>
      <c r="BA532">
        <v>1.1950000000000001E-2</v>
      </c>
      <c r="BB532">
        <v>-1.16E-3</v>
      </c>
      <c r="BC532">
        <v>0.19905</v>
      </c>
      <c r="BD532">
        <v>1</v>
      </c>
      <c r="BE532" t="s">
        <v>69</v>
      </c>
      <c r="BF532">
        <v>-1.518</v>
      </c>
      <c r="BG532">
        <v>-0.23699999999999999</v>
      </c>
    </row>
    <row r="533" spans="1:59">
      <c r="A533">
        <v>0</v>
      </c>
      <c r="B533">
        <v>4</v>
      </c>
      <c r="C533">
        <v>0</v>
      </c>
      <c r="D533" t="s">
        <v>25022</v>
      </c>
      <c r="E533">
        <v>2495</v>
      </c>
      <c r="F533" t="s">
        <v>14545</v>
      </c>
      <c r="G533" t="s">
        <v>62</v>
      </c>
      <c r="H533">
        <v>2488332</v>
      </c>
      <c r="I533">
        <v>2488751</v>
      </c>
      <c r="J533" t="s">
        <v>14546</v>
      </c>
      <c r="K533">
        <v>140</v>
      </c>
      <c r="L533" t="s">
        <v>108</v>
      </c>
      <c r="M533">
        <v>44</v>
      </c>
      <c r="N533" t="str">
        <f>HYPERLINK("Gene2495-zp_tree_all.dnd", "Gene2495-tree")</f>
        <v>Gene2495-tree</v>
      </c>
      <c r="O533">
        <v>12</v>
      </c>
      <c r="P533">
        <v>2</v>
      </c>
      <c r="Q533">
        <v>12</v>
      </c>
      <c r="R533">
        <v>2</v>
      </c>
      <c r="S533">
        <v>0.14285999999999999</v>
      </c>
      <c r="T533" t="s">
        <v>109</v>
      </c>
      <c r="U533" t="s">
        <v>81</v>
      </c>
      <c r="V533" t="s">
        <v>62</v>
      </c>
      <c r="W533" t="s">
        <v>62</v>
      </c>
      <c r="X533">
        <v>2</v>
      </c>
      <c r="Y533">
        <v>4</v>
      </c>
      <c r="Z533">
        <v>6</v>
      </c>
      <c r="AA533">
        <v>0.4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3</v>
      </c>
      <c r="AK533">
        <v>0</v>
      </c>
      <c r="AL533">
        <v>10</v>
      </c>
      <c r="AM533">
        <v>10</v>
      </c>
      <c r="AN533">
        <v>11</v>
      </c>
      <c r="AO533">
        <v>1</v>
      </c>
      <c r="AP533">
        <v>10</v>
      </c>
      <c r="AQ533">
        <v>9</v>
      </c>
      <c r="AR533" t="s">
        <v>14547</v>
      </c>
      <c r="AS533" t="s">
        <v>14548</v>
      </c>
      <c r="AT533">
        <v>1.665</v>
      </c>
      <c r="AU533" t="s">
        <v>65</v>
      </c>
      <c r="AV533">
        <v>21</v>
      </c>
      <c r="AW533">
        <v>10</v>
      </c>
      <c r="AX533" t="s">
        <v>14549</v>
      </c>
      <c r="AY533">
        <v>5.2049999999999999E-2</v>
      </c>
      <c r="AZ533">
        <v>-2.4599999999999999E-3</v>
      </c>
      <c r="BA533">
        <v>9.6600000000000002E-3</v>
      </c>
      <c r="BB533">
        <v>-5.6999999999999998E-4</v>
      </c>
      <c r="BC533">
        <v>0.18551999999999999</v>
      </c>
      <c r="BD533">
        <v>1</v>
      </c>
      <c r="BE533" t="s">
        <v>69</v>
      </c>
      <c r="BF533">
        <v>0.39600000000000002</v>
      </c>
      <c r="BG533">
        <v>0.26200000000000001</v>
      </c>
    </row>
    <row r="534" spans="1:59">
      <c r="A534">
        <v>0</v>
      </c>
      <c r="B534">
        <v>0</v>
      </c>
      <c r="C534">
        <v>0</v>
      </c>
      <c r="D534" t="s">
        <v>25022</v>
      </c>
      <c r="E534">
        <v>2811</v>
      </c>
      <c r="F534" t="s">
        <v>16121</v>
      </c>
      <c r="G534" t="s">
        <v>62</v>
      </c>
      <c r="H534">
        <v>2755385</v>
      </c>
      <c r="I534">
        <v>2755804</v>
      </c>
      <c r="J534" t="s">
        <v>16122</v>
      </c>
      <c r="K534">
        <v>140</v>
      </c>
      <c r="L534" t="s">
        <v>108</v>
      </c>
      <c r="M534">
        <v>44</v>
      </c>
      <c r="N534" t="str">
        <f>HYPERLINK("Gene2811-zp_tree_all.dnd", "Gene2811-tree")</f>
        <v>Gene2811-tree</v>
      </c>
      <c r="O534">
        <v>6</v>
      </c>
      <c r="P534">
        <v>5</v>
      </c>
      <c r="Q534">
        <v>6</v>
      </c>
      <c r="R534">
        <v>5</v>
      </c>
      <c r="S534">
        <v>0.45455000000000001</v>
      </c>
      <c r="T534" t="s">
        <v>90</v>
      </c>
      <c r="U534" t="s">
        <v>199</v>
      </c>
      <c r="V534" t="s">
        <v>62</v>
      </c>
      <c r="W534" t="s">
        <v>62</v>
      </c>
      <c r="X534">
        <v>0</v>
      </c>
      <c r="Y534">
        <v>0</v>
      </c>
      <c r="Z534">
        <v>10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9</v>
      </c>
      <c r="AK534">
        <v>0</v>
      </c>
      <c r="AL534">
        <v>10</v>
      </c>
      <c r="AM534">
        <v>4</v>
      </c>
      <c r="AN534">
        <v>21</v>
      </c>
      <c r="AO534">
        <v>9</v>
      </c>
      <c r="AP534">
        <v>5</v>
      </c>
      <c r="AQ534">
        <v>1</v>
      </c>
      <c r="AR534" t="s">
        <v>16123</v>
      </c>
      <c r="AS534" t="s">
        <v>16124</v>
      </c>
      <c r="AT534">
        <v>0.29699999999999999</v>
      </c>
      <c r="AU534" t="s">
        <v>65</v>
      </c>
      <c r="AV534">
        <v>26</v>
      </c>
      <c r="AW534">
        <v>10</v>
      </c>
      <c r="AX534" t="s">
        <v>16125</v>
      </c>
      <c r="AY534">
        <v>6.2729999999999994E-2</v>
      </c>
      <c r="AZ534">
        <v>-7.1999999999999998E-3</v>
      </c>
      <c r="BA534">
        <v>6.7099999999999998E-3</v>
      </c>
      <c r="BB534">
        <v>-6.7000000000000002E-4</v>
      </c>
      <c r="BC534">
        <v>0.10696</v>
      </c>
      <c r="BD534">
        <v>1</v>
      </c>
      <c r="BE534" t="s">
        <v>69</v>
      </c>
      <c r="BF534">
        <v>-1.383</v>
      </c>
      <c r="BG534">
        <v>-2.6669999999999998</v>
      </c>
    </row>
    <row r="535" spans="1:59">
      <c r="A535">
        <v>0</v>
      </c>
      <c r="B535">
        <v>0</v>
      </c>
      <c r="C535">
        <v>0</v>
      </c>
      <c r="D535" t="s">
        <v>25022</v>
      </c>
      <c r="E535">
        <v>3788</v>
      </c>
      <c r="F535" t="s">
        <v>22195</v>
      </c>
      <c r="G535" t="s">
        <v>62</v>
      </c>
      <c r="H535">
        <v>3759172</v>
      </c>
      <c r="I535">
        <v>3759591</v>
      </c>
      <c r="J535" t="s">
        <v>3095</v>
      </c>
      <c r="K535">
        <v>140</v>
      </c>
      <c r="L535" t="s">
        <v>22196</v>
      </c>
      <c r="M535">
        <v>41</v>
      </c>
      <c r="N535" t="str">
        <f>HYPERLINK("Gene3788-zp_tree_all.dnd", "Gene3788-tree")</f>
        <v>Gene3788-tree</v>
      </c>
      <c r="O535">
        <v>4</v>
      </c>
      <c r="P535">
        <v>6</v>
      </c>
      <c r="Q535">
        <v>4</v>
      </c>
      <c r="R535">
        <v>6</v>
      </c>
      <c r="S535">
        <v>0.6</v>
      </c>
      <c r="T535" t="s">
        <v>61</v>
      </c>
      <c r="U535" t="s">
        <v>90</v>
      </c>
      <c r="V535" t="s">
        <v>62</v>
      </c>
      <c r="W535" t="s">
        <v>62</v>
      </c>
      <c r="X535">
        <v>0</v>
      </c>
      <c r="Y535">
        <v>0</v>
      </c>
      <c r="Z535">
        <v>17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16</v>
      </c>
      <c r="AK535">
        <v>0</v>
      </c>
      <c r="AL535">
        <v>9</v>
      </c>
      <c r="AM535">
        <v>5</v>
      </c>
      <c r="AN535">
        <v>29</v>
      </c>
      <c r="AO535">
        <v>16</v>
      </c>
      <c r="AP535">
        <v>11</v>
      </c>
      <c r="AQ535">
        <v>1</v>
      </c>
      <c r="AR535" t="s">
        <v>22197</v>
      </c>
      <c r="AS535" t="s">
        <v>22198</v>
      </c>
      <c r="AT535">
        <v>1.278</v>
      </c>
      <c r="AU535" t="s">
        <v>65</v>
      </c>
      <c r="AV535">
        <v>40</v>
      </c>
      <c r="AW535">
        <v>17</v>
      </c>
      <c r="AX535" t="s">
        <v>22199</v>
      </c>
      <c r="AY535">
        <v>0.10526000000000001</v>
      </c>
      <c r="AZ535">
        <v>-7.9900000000000006E-3</v>
      </c>
      <c r="BA535">
        <v>1.1209999999999999E-2</v>
      </c>
      <c r="BB535">
        <v>-1.1800000000000001E-3</v>
      </c>
      <c r="BC535">
        <v>0.10648000000000001</v>
      </c>
      <c r="BD535">
        <v>1</v>
      </c>
      <c r="BE535" t="s">
        <v>69</v>
      </c>
      <c r="BF535">
        <v>-1.1830000000000001</v>
      </c>
      <c r="BG535">
        <v>-1.31</v>
      </c>
    </row>
    <row r="536" spans="1:59">
      <c r="A536">
        <v>0</v>
      </c>
      <c r="B536">
        <v>0</v>
      </c>
      <c r="C536">
        <v>2</v>
      </c>
      <c r="D536" t="s">
        <v>25022</v>
      </c>
      <c r="E536">
        <v>776</v>
      </c>
      <c r="F536" t="s">
        <v>4823</v>
      </c>
      <c r="G536" t="s">
        <v>57</v>
      </c>
      <c r="H536">
        <v>812140</v>
      </c>
      <c r="I536">
        <v>812559</v>
      </c>
      <c r="J536" t="s">
        <v>4824</v>
      </c>
      <c r="K536">
        <v>140</v>
      </c>
      <c r="L536" t="s">
        <v>59</v>
      </c>
      <c r="M536">
        <v>49</v>
      </c>
      <c r="N536" t="str">
        <f>HYPERLINK("Gene776-zp_tree_all.dnd", "Gene776-tree")</f>
        <v>Gene776-tree</v>
      </c>
      <c r="O536">
        <v>13</v>
      </c>
      <c r="P536">
        <v>1</v>
      </c>
      <c r="Q536">
        <v>13</v>
      </c>
      <c r="R536">
        <v>1</v>
      </c>
      <c r="S536">
        <v>7.1429999999999993E-2</v>
      </c>
      <c r="T536" t="s">
        <v>507</v>
      </c>
      <c r="U536" t="s">
        <v>175</v>
      </c>
      <c r="V536" t="s">
        <v>62</v>
      </c>
      <c r="W536" t="s">
        <v>62</v>
      </c>
      <c r="X536">
        <v>1</v>
      </c>
      <c r="Y536">
        <v>2</v>
      </c>
      <c r="Z536">
        <v>3</v>
      </c>
      <c r="AA536">
        <v>0.4</v>
      </c>
      <c r="AB536">
        <v>0</v>
      </c>
      <c r="AC536">
        <v>0</v>
      </c>
      <c r="AD536">
        <v>0</v>
      </c>
      <c r="AE536">
        <v>2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9</v>
      </c>
      <c r="AM536">
        <v>9</v>
      </c>
      <c r="AN536">
        <v>16</v>
      </c>
      <c r="AO536">
        <v>1</v>
      </c>
      <c r="AP536">
        <v>14</v>
      </c>
      <c r="AQ536">
        <v>6</v>
      </c>
      <c r="AR536" t="s">
        <v>4825</v>
      </c>
      <c r="AS536" t="s">
        <v>4826</v>
      </c>
      <c r="AT536">
        <v>1.026</v>
      </c>
      <c r="AU536" t="s">
        <v>65</v>
      </c>
      <c r="AV536">
        <v>30</v>
      </c>
      <c r="AW536">
        <v>7</v>
      </c>
      <c r="AX536" t="s">
        <v>4827</v>
      </c>
      <c r="AY536">
        <v>7.5439999999999993E-2</v>
      </c>
      <c r="AZ536">
        <v>-4.1000000000000003E-3</v>
      </c>
      <c r="BA536">
        <v>7.7099999999999998E-3</v>
      </c>
      <c r="BB536">
        <v>-4.8000000000000001E-4</v>
      </c>
      <c r="BC536">
        <v>0.10215</v>
      </c>
      <c r="BD536">
        <v>1</v>
      </c>
      <c r="BE536" t="s">
        <v>69</v>
      </c>
      <c r="BF536">
        <v>-0.60199999999999998</v>
      </c>
      <c r="BG536">
        <v>-0.44700000000000001</v>
      </c>
    </row>
    <row r="537" spans="1:59">
      <c r="A537">
        <v>0</v>
      </c>
      <c r="B537">
        <v>0</v>
      </c>
      <c r="C537">
        <v>0</v>
      </c>
      <c r="D537" t="s">
        <v>25022</v>
      </c>
      <c r="E537">
        <v>2695</v>
      </c>
      <c r="F537" t="s">
        <v>15753</v>
      </c>
      <c r="G537" t="s">
        <v>62</v>
      </c>
      <c r="H537">
        <v>2665439</v>
      </c>
      <c r="I537">
        <v>2665858</v>
      </c>
      <c r="J537" t="s">
        <v>15754</v>
      </c>
      <c r="K537">
        <v>140</v>
      </c>
      <c r="L537" t="s">
        <v>15755</v>
      </c>
      <c r="M537">
        <v>26</v>
      </c>
      <c r="N537" t="str">
        <f>HYPERLINK("Gene2695-zp_tree_all.dnd", "Gene2695-tree")</f>
        <v>Gene2695-tree</v>
      </c>
      <c r="O537">
        <v>19</v>
      </c>
      <c r="P537">
        <v>4</v>
      </c>
      <c r="Q537">
        <v>1</v>
      </c>
      <c r="R537">
        <v>4</v>
      </c>
      <c r="S537">
        <v>0.8</v>
      </c>
      <c r="T537" t="s">
        <v>175</v>
      </c>
      <c r="U537" t="s">
        <v>61</v>
      </c>
      <c r="V537" t="s">
        <v>62</v>
      </c>
      <c r="W537" t="s">
        <v>62</v>
      </c>
      <c r="X537">
        <v>0</v>
      </c>
      <c r="Y537">
        <v>0</v>
      </c>
      <c r="Z537">
        <v>12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11</v>
      </c>
      <c r="AK537">
        <v>0</v>
      </c>
      <c r="AL537">
        <v>5</v>
      </c>
      <c r="AM537">
        <v>2</v>
      </c>
      <c r="AN537">
        <v>25</v>
      </c>
      <c r="AO537">
        <v>11</v>
      </c>
      <c r="AP537">
        <v>10</v>
      </c>
      <c r="AQ537">
        <v>1</v>
      </c>
      <c r="AR537" t="s">
        <v>15756</v>
      </c>
      <c r="AS537" t="s">
        <v>15757</v>
      </c>
      <c r="AT537">
        <v>2.1779999999999999</v>
      </c>
      <c r="AU537" t="s">
        <v>267</v>
      </c>
      <c r="AV537">
        <v>35</v>
      </c>
      <c r="AW537">
        <v>12</v>
      </c>
      <c r="AX537" t="s">
        <v>15758</v>
      </c>
      <c r="AY537">
        <v>0.16364999999999999</v>
      </c>
      <c r="AZ537">
        <v>-1.217E-2</v>
      </c>
      <c r="BA537">
        <v>1.5610000000000001E-2</v>
      </c>
      <c r="BB537">
        <v>-1.99E-3</v>
      </c>
      <c r="BC537">
        <v>9.536E-2</v>
      </c>
      <c r="BD537">
        <v>1</v>
      </c>
      <c r="BE537" t="s">
        <v>69</v>
      </c>
      <c r="BF537">
        <v>-1.069</v>
      </c>
      <c r="BG537">
        <v>-1.389</v>
      </c>
    </row>
    <row r="538" spans="1:59">
      <c r="A538">
        <v>0</v>
      </c>
      <c r="B538">
        <v>2</v>
      </c>
      <c r="C538">
        <v>0</v>
      </c>
      <c r="D538" t="s">
        <v>25022</v>
      </c>
      <c r="E538">
        <v>1692</v>
      </c>
      <c r="F538" t="s">
        <v>10608</v>
      </c>
      <c r="G538" t="s">
        <v>57</v>
      </c>
      <c r="H538">
        <v>1701228</v>
      </c>
      <c r="I538">
        <v>1701647</v>
      </c>
      <c r="J538" t="s">
        <v>10609</v>
      </c>
      <c r="K538">
        <v>140</v>
      </c>
      <c r="L538" t="s">
        <v>289</v>
      </c>
      <c r="M538">
        <v>46</v>
      </c>
      <c r="N538" t="str">
        <f>HYPERLINK("Gene1692-zp_tree_all.dnd", "Gene1692-tree")</f>
        <v>Gene1692-tree</v>
      </c>
      <c r="O538">
        <v>5</v>
      </c>
      <c r="P538">
        <v>4</v>
      </c>
      <c r="Q538">
        <v>5</v>
      </c>
      <c r="R538">
        <v>4</v>
      </c>
      <c r="S538">
        <v>0.44444</v>
      </c>
      <c r="T538" t="s">
        <v>199</v>
      </c>
      <c r="U538" t="s">
        <v>61</v>
      </c>
      <c r="V538" t="s">
        <v>62</v>
      </c>
      <c r="W538" t="s">
        <v>62</v>
      </c>
      <c r="X538">
        <v>1</v>
      </c>
      <c r="Y538">
        <v>2</v>
      </c>
      <c r="Z538">
        <v>5</v>
      </c>
      <c r="AA538">
        <v>0.28571000000000002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</v>
      </c>
      <c r="AH538">
        <v>0</v>
      </c>
      <c r="AI538">
        <v>2</v>
      </c>
      <c r="AJ538">
        <v>5</v>
      </c>
      <c r="AK538">
        <v>0.28571000000000002</v>
      </c>
      <c r="AL538">
        <v>6</v>
      </c>
      <c r="AM538">
        <v>3</v>
      </c>
      <c r="AN538">
        <v>7</v>
      </c>
      <c r="AO538">
        <v>5</v>
      </c>
      <c r="AP538">
        <v>10</v>
      </c>
      <c r="AQ538">
        <v>2</v>
      </c>
      <c r="AR538" t="s">
        <v>10610</v>
      </c>
      <c r="AS538" t="s">
        <v>10611</v>
      </c>
      <c r="AT538">
        <v>0.77800000000000002</v>
      </c>
      <c r="AU538" t="s">
        <v>65</v>
      </c>
      <c r="AV538">
        <v>17</v>
      </c>
      <c r="AW538">
        <v>7</v>
      </c>
      <c r="AX538" t="s">
        <v>10612</v>
      </c>
      <c r="AY538">
        <v>6.1879999999999998E-2</v>
      </c>
      <c r="AZ538">
        <v>-9.0799999999999995E-3</v>
      </c>
      <c r="BA538">
        <v>5.62E-3</v>
      </c>
      <c r="BB538">
        <v>-9.2000000000000003E-4</v>
      </c>
      <c r="BC538">
        <v>9.0889999999999999E-2</v>
      </c>
      <c r="BD538">
        <v>1</v>
      </c>
      <c r="BE538" t="s">
        <v>69</v>
      </c>
      <c r="BF538">
        <v>-1.5</v>
      </c>
      <c r="BG538">
        <v>-0.04</v>
      </c>
    </row>
    <row r="539" spans="1:59">
      <c r="A539">
        <v>0</v>
      </c>
      <c r="B539">
        <v>3</v>
      </c>
      <c r="C539">
        <v>0</v>
      </c>
      <c r="D539" t="s">
        <v>25022</v>
      </c>
      <c r="E539">
        <v>3096</v>
      </c>
      <c r="F539" t="s">
        <v>17948</v>
      </c>
      <c r="G539" t="s">
        <v>62</v>
      </c>
      <c r="H539">
        <v>3047596</v>
      </c>
      <c r="I539">
        <v>3048015</v>
      </c>
      <c r="J539" t="s">
        <v>17949</v>
      </c>
      <c r="K539">
        <v>140</v>
      </c>
      <c r="L539" t="s">
        <v>749</v>
      </c>
      <c r="M539">
        <v>47</v>
      </c>
      <c r="N539" t="str">
        <f>HYPERLINK("Gene3096-zp_tree_all.dnd", "Gene3096-tree")</f>
        <v>Gene3096-tree</v>
      </c>
      <c r="O539">
        <v>9</v>
      </c>
      <c r="P539">
        <v>3</v>
      </c>
      <c r="Q539">
        <v>9</v>
      </c>
      <c r="R539">
        <v>3</v>
      </c>
      <c r="S539">
        <v>0.25</v>
      </c>
      <c r="T539" t="s">
        <v>135</v>
      </c>
      <c r="U539" t="s">
        <v>324</v>
      </c>
      <c r="V539" t="s">
        <v>62</v>
      </c>
      <c r="W539" t="s">
        <v>62</v>
      </c>
      <c r="X539">
        <v>1</v>
      </c>
      <c r="Y539">
        <v>3</v>
      </c>
      <c r="Z539">
        <v>3</v>
      </c>
      <c r="AA539">
        <v>0.5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2</v>
      </c>
      <c r="AH539">
        <v>0</v>
      </c>
      <c r="AI539">
        <v>2</v>
      </c>
      <c r="AJ539">
        <v>1</v>
      </c>
      <c r="AK539">
        <v>0.66666999999999998</v>
      </c>
      <c r="AL539">
        <v>8</v>
      </c>
      <c r="AM539">
        <v>6</v>
      </c>
      <c r="AN539">
        <v>10</v>
      </c>
      <c r="AO539">
        <v>3</v>
      </c>
      <c r="AP539">
        <v>20</v>
      </c>
      <c r="AQ539">
        <v>3</v>
      </c>
      <c r="AR539" t="s">
        <v>17950</v>
      </c>
      <c r="AS539" t="s">
        <v>17951</v>
      </c>
      <c r="AT539">
        <v>0.56699999999999995</v>
      </c>
      <c r="AU539" t="s">
        <v>65</v>
      </c>
      <c r="AV539">
        <v>30</v>
      </c>
      <c r="AW539">
        <v>6</v>
      </c>
      <c r="AX539" t="s">
        <v>17952</v>
      </c>
      <c r="AY539">
        <v>9.6579999999999999E-2</v>
      </c>
      <c r="AZ539">
        <v>-9.9399999999999992E-3</v>
      </c>
      <c r="BA539">
        <v>4.3299999999999996E-3</v>
      </c>
      <c r="BB539">
        <v>-5.2999999999999998E-4</v>
      </c>
      <c r="BC539">
        <v>4.4850000000000001E-2</v>
      </c>
      <c r="BD539">
        <v>1</v>
      </c>
      <c r="BE539" t="s">
        <v>69</v>
      </c>
      <c r="BF539">
        <v>-1.089</v>
      </c>
      <c r="BG539">
        <v>0.46100000000000002</v>
      </c>
    </row>
    <row r="540" spans="1:59">
      <c r="A540">
        <v>0</v>
      </c>
      <c r="B540">
        <v>0</v>
      </c>
      <c r="C540">
        <v>2</v>
      </c>
      <c r="D540" t="s">
        <v>25022</v>
      </c>
      <c r="E540">
        <v>430</v>
      </c>
      <c r="F540" t="s">
        <v>2920</v>
      </c>
      <c r="G540" t="s">
        <v>57</v>
      </c>
      <c r="H540">
        <v>473803</v>
      </c>
      <c r="I540">
        <v>474222</v>
      </c>
      <c r="J540" t="s">
        <v>2921</v>
      </c>
      <c r="K540">
        <v>140</v>
      </c>
      <c r="L540" t="s">
        <v>698</v>
      </c>
      <c r="M540">
        <v>47</v>
      </c>
      <c r="N540" t="str">
        <f>HYPERLINK("Gene430-zp_tree_all.dnd", "Gene430-tree")</f>
        <v>Gene430-tree</v>
      </c>
      <c r="O540">
        <v>9</v>
      </c>
      <c r="P540">
        <v>4</v>
      </c>
      <c r="Q540">
        <v>9</v>
      </c>
      <c r="R540">
        <v>4</v>
      </c>
      <c r="S540">
        <v>0.30769000000000002</v>
      </c>
      <c r="T540" t="s">
        <v>135</v>
      </c>
      <c r="U540" t="s">
        <v>61</v>
      </c>
      <c r="V540" t="s">
        <v>62</v>
      </c>
      <c r="W540" t="s">
        <v>62</v>
      </c>
      <c r="X540">
        <v>1</v>
      </c>
      <c r="Y540">
        <v>2</v>
      </c>
      <c r="Z540">
        <v>5</v>
      </c>
      <c r="AA540">
        <v>0.28571000000000002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6</v>
      </c>
      <c r="AK540">
        <v>0</v>
      </c>
      <c r="AL540">
        <v>10</v>
      </c>
      <c r="AM540">
        <v>5</v>
      </c>
      <c r="AN540">
        <v>16</v>
      </c>
      <c r="AO540">
        <v>6</v>
      </c>
      <c r="AP540">
        <v>14</v>
      </c>
      <c r="AQ540">
        <v>1</v>
      </c>
      <c r="AR540" t="s">
        <v>2922</v>
      </c>
      <c r="AS540" t="s">
        <v>2923</v>
      </c>
      <c r="AT540">
        <v>0.63500000000000001</v>
      </c>
      <c r="AU540" t="s">
        <v>65</v>
      </c>
      <c r="AV540">
        <v>30</v>
      </c>
      <c r="AW540">
        <v>7</v>
      </c>
      <c r="AX540" t="s">
        <v>2924</v>
      </c>
      <c r="AY540">
        <v>9.2369999999999994E-2</v>
      </c>
      <c r="AZ540">
        <v>-8.5599999999999999E-3</v>
      </c>
      <c r="BA540">
        <v>3.7399999999999998E-3</v>
      </c>
      <c r="BB540">
        <v>-4.2999999999999999E-4</v>
      </c>
      <c r="BC540">
        <v>4.0489999999999998E-2</v>
      </c>
      <c r="BD540">
        <v>1</v>
      </c>
      <c r="BE540" t="s">
        <v>69</v>
      </c>
      <c r="BF540">
        <v>-1.5309999999999999</v>
      </c>
      <c r="BG540">
        <v>-1.726</v>
      </c>
    </row>
    <row r="541" spans="1:59">
      <c r="A541">
        <v>0</v>
      </c>
      <c r="B541">
        <v>0</v>
      </c>
      <c r="C541">
        <v>0</v>
      </c>
      <c r="D541" t="s">
        <v>25022</v>
      </c>
      <c r="E541">
        <v>1689</v>
      </c>
      <c r="F541" t="s">
        <v>10587</v>
      </c>
      <c r="G541" t="s">
        <v>57</v>
      </c>
      <c r="H541">
        <v>1699738</v>
      </c>
      <c r="I541">
        <v>1700157</v>
      </c>
      <c r="J541" t="s">
        <v>10588</v>
      </c>
      <c r="K541">
        <v>140</v>
      </c>
      <c r="L541" t="s">
        <v>1392</v>
      </c>
      <c r="M541">
        <v>43</v>
      </c>
      <c r="N541" t="str">
        <f>HYPERLINK("Gene1689-zp_tree_all.dnd", "Gene1689-tree")</f>
        <v>Gene1689-tree</v>
      </c>
      <c r="O541">
        <v>4</v>
      </c>
      <c r="P541">
        <v>27</v>
      </c>
      <c r="Q541">
        <v>4</v>
      </c>
      <c r="R541">
        <v>1</v>
      </c>
      <c r="S541">
        <v>0.2</v>
      </c>
      <c r="T541" t="s">
        <v>61</v>
      </c>
      <c r="U541" t="s">
        <v>175</v>
      </c>
      <c r="V541" t="s">
        <v>62</v>
      </c>
      <c r="W541" t="s">
        <v>62</v>
      </c>
      <c r="X541">
        <v>0</v>
      </c>
      <c r="Y541">
        <v>0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3</v>
      </c>
      <c r="AM541">
        <v>1</v>
      </c>
      <c r="AN541">
        <v>2</v>
      </c>
      <c r="AO541">
        <v>1</v>
      </c>
      <c r="AP541">
        <v>9</v>
      </c>
      <c r="AQ541">
        <v>1</v>
      </c>
      <c r="AR541" t="s">
        <v>10589</v>
      </c>
      <c r="AS541" t="s">
        <v>10590</v>
      </c>
      <c r="AT541">
        <v>0.54900000000000004</v>
      </c>
      <c r="AU541" t="s">
        <v>65</v>
      </c>
      <c r="AV541">
        <v>11</v>
      </c>
      <c r="AW541">
        <v>2</v>
      </c>
      <c r="AX541" t="s">
        <v>10591</v>
      </c>
      <c r="AY541">
        <v>7.7399999999999997E-2</v>
      </c>
      <c r="AZ541">
        <v>-1.7909999999999999E-2</v>
      </c>
      <c r="BA541">
        <v>3.0100000000000001E-3</v>
      </c>
      <c r="BB541">
        <v>-5.1999999999999995E-4</v>
      </c>
      <c r="BC541">
        <v>3.8859999999999999E-2</v>
      </c>
      <c r="BD541">
        <v>1</v>
      </c>
      <c r="BE541" t="s">
        <v>69</v>
      </c>
      <c r="BF541">
        <v>-0.20799999999999999</v>
      </c>
      <c r="BG541">
        <v>1.018</v>
      </c>
    </row>
    <row r="542" spans="1:59">
      <c r="A542">
        <v>0</v>
      </c>
      <c r="B542">
        <v>2</v>
      </c>
      <c r="C542">
        <v>0</v>
      </c>
      <c r="D542" t="s">
        <v>25022</v>
      </c>
      <c r="E542">
        <v>1272</v>
      </c>
      <c r="F542" t="s">
        <v>7974</v>
      </c>
      <c r="G542" t="s">
        <v>57</v>
      </c>
      <c r="H542">
        <v>1298612</v>
      </c>
      <c r="I542">
        <v>1299031</v>
      </c>
      <c r="J542" t="s">
        <v>288</v>
      </c>
      <c r="K542">
        <v>140</v>
      </c>
      <c r="L542" t="s">
        <v>59</v>
      </c>
      <c r="M542">
        <v>49</v>
      </c>
      <c r="N542" t="str">
        <f>HYPERLINK("Gene1272-zp_tree_all.dnd", "Gene1272-tree")</f>
        <v>Gene1272-tree</v>
      </c>
      <c r="O542">
        <v>8</v>
      </c>
      <c r="P542">
        <v>2</v>
      </c>
      <c r="Q542">
        <v>8</v>
      </c>
      <c r="R542">
        <v>2</v>
      </c>
      <c r="S542">
        <v>0.2</v>
      </c>
      <c r="T542" t="s">
        <v>136</v>
      </c>
      <c r="U542" t="s">
        <v>81</v>
      </c>
      <c r="V542" t="s">
        <v>62</v>
      </c>
      <c r="W542" t="s">
        <v>62</v>
      </c>
      <c r="X542">
        <v>1</v>
      </c>
      <c r="Y542">
        <v>2</v>
      </c>
      <c r="Z542">
        <v>1</v>
      </c>
      <c r="AA542">
        <v>0.66666999999999998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2</v>
      </c>
      <c r="AK542">
        <v>0</v>
      </c>
      <c r="AL542">
        <v>6</v>
      </c>
      <c r="AM542">
        <v>6</v>
      </c>
      <c r="AN542">
        <v>8</v>
      </c>
      <c r="AO542">
        <v>2</v>
      </c>
      <c r="AP542">
        <v>21</v>
      </c>
      <c r="AQ542">
        <v>2</v>
      </c>
      <c r="AR542" t="s">
        <v>7975</v>
      </c>
      <c r="AS542" t="s">
        <v>7976</v>
      </c>
      <c r="AT542">
        <v>0.62</v>
      </c>
      <c r="AU542" t="s">
        <v>65</v>
      </c>
      <c r="AV542">
        <v>29</v>
      </c>
      <c r="AW542">
        <v>4</v>
      </c>
      <c r="AX542" t="s">
        <v>7977</v>
      </c>
      <c r="AY542">
        <v>0.11389000000000001</v>
      </c>
      <c r="AZ542">
        <v>-9.6100000000000005E-3</v>
      </c>
      <c r="BA542">
        <v>3.7000000000000002E-3</v>
      </c>
      <c r="BB542">
        <v>-3.6999999999999999E-4</v>
      </c>
      <c r="BC542">
        <v>3.2489999999999998E-2</v>
      </c>
      <c r="BD542">
        <v>1</v>
      </c>
      <c r="BE542" t="s">
        <v>69</v>
      </c>
      <c r="BF542">
        <v>-0.73099999999999998</v>
      </c>
      <c r="BG542">
        <v>0.53200000000000003</v>
      </c>
    </row>
    <row r="543" spans="1:59">
      <c r="A543">
        <v>0</v>
      </c>
      <c r="B543">
        <v>16</v>
      </c>
      <c r="C543">
        <v>3</v>
      </c>
      <c r="D543" t="s">
        <v>25022</v>
      </c>
      <c r="E543">
        <v>4136</v>
      </c>
      <c r="F543" t="s">
        <v>24337</v>
      </c>
      <c r="G543" t="s">
        <v>62</v>
      </c>
      <c r="H543">
        <v>4103765</v>
      </c>
      <c r="I543">
        <v>4104187</v>
      </c>
      <c r="J543" t="s">
        <v>1856</v>
      </c>
      <c r="K543">
        <v>141</v>
      </c>
      <c r="L543" t="s">
        <v>7189</v>
      </c>
      <c r="M543">
        <v>38</v>
      </c>
      <c r="N543" t="str">
        <f>HYPERLINK("Gene4136-zp_tree_all.dnd", "Gene4136-tree")</f>
        <v>Gene4136-tree</v>
      </c>
      <c r="O543">
        <v>4</v>
      </c>
      <c r="P543">
        <v>28</v>
      </c>
      <c r="Q543">
        <v>4</v>
      </c>
      <c r="R543">
        <v>9</v>
      </c>
      <c r="S543">
        <v>0.69230999999999998</v>
      </c>
      <c r="T543" t="s">
        <v>61</v>
      </c>
      <c r="U543" t="s">
        <v>2825</v>
      </c>
      <c r="V543">
        <v>2.3340000000000001</v>
      </c>
      <c r="W543" t="s">
        <v>65</v>
      </c>
      <c r="X543">
        <v>7</v>
      </c>
      <c r="Y543">
        <v>19</v>
      </c>
      <c r="Z543">
        <v>7</v>
      </c>
      <c r="AA543">
        <v>0.73077000000000003</v>
      </c>
      <c r="AB543">
        <v>0</v>
      </c>
      <c r="AC543">
        <v>0</v>
      </c>
      <c r="AD543">
        <v>0</v>
      </c>
      <c r="AE543">
        <v>4</v>
      </c>
      <c r="AF543">
        <v>0</v>
      </c>
      <c r="AG543">
        <v>6</v>
      </c>
      <c r="AH543">
        <v>0</v>
      </c>
      <c r="AI543">
        <v>6</v>
      </c>
      <c r="AJ543">
        <v>11</v>
      </c>
      <c r="AK543">
        <v>0.35293999999999998</v>
      </c>
      <c r="AL543">
        <v>10</v>
      </c>
      <c r="AM543">
        <v>8</v>
      </c>
      <c r="AN543">
        <v>19</v>
      </c>
      <c r="AO543">
        <v>15</v>
      </c>
      <c r="AP543">
        <v>9</v>
      </c>
      <c r="AQ543">
        <v>11</v>
      </c>
      <c r="AR543" t="s">
        <v>24338</v>
      </c>
      <c r="AS543" t="s">
        <v>24339</v>
      </c>
      <c r="AT543">
        <v>0.372</v>
      </c>
      <c r="AU543" t="s">
        <v>65</v>
      </c>
      <c r="AV543">
        <v>28</v>
      </c>
      <c r="AW543">
        <v>26</v>
      </c>
      <c r="AX543" t="s">
        <v>24340</v>
      </c>
      <c r="AY543">
        <v>5.4109999999999998E-2</v>
      </c>
      <c r="AZ543">
        <v>-2.9199999999999999E-3</v>
      </c>
      <c r="BA543">
        <v>1.49E-2</v>
      </c>
      <c r="BB543">
        <v>-7.6999999999999996E-4</v>
      </c>
      <c r="BC543">
        <v>0.27535999999999999</v>
      </c>
      <c r="BD543">
        <v>1</v>
      </c>
      <c r="BE543" t="s">
        <v>69</v>
      </c>
      <c r="BF543">
        <v>-0.59699999999999998</v>
      </c>
      <c r="BG543">
        <v>-0.80300000000000005</v>
      </c>
    </row>
    <row r="544" spans="1:59">
      <c r="A544">
        <v>0</v>
      </c>
      <c r="B544">
        <v>2</v>
      </c>
      <c r="C544">
        <v>0</v>
      </c>
      <c r="D544" t="s">
        <v>25022</v>
      </c>
      <c r="E544">
        <v>537</v>
      </c>
      <c r="F544" t="s">
        <v>3464</v>
      </c>
      <c r="G544" t="s">
        <v>57</v>
      </c>
      <c r="H544">
        <v>572974</v>
      </c>
      <c r="I544">
        <v>573396</v>
      </c>
      <c r="J544" t="s">
        <v>3465</v>
      </c>
      <c r="K544">
        <v>141</v>
      </c>
      <c r="L544" t="s">
        <v>108</v>
      </c>
      <c r="M544">
        <v>44</v>
      </c>
      <c r="N544" t="str">
        <f>HYPERLINK("Gene537-zp_tree_all.dnd", "Gene537-tree")</f>
        <v>Gene537-tree</v>
      </c>
      <c r="O544">
        <v>7</v>
      </c>
      <c r="P544">
        <v>3</v>
      </c>
      <c r="Q544">
        <v>7</v>
      </c>
      <c r="R544">
        <v>3</v>
      </c>
      <c r="S544">
        <v>0.3</v>
      </c>
      <c r="T544" t="s">
        <v>152</v>
      </c>
      <c r="U544" t="s">
        <v>324</v>
      </c>
      <c r="V544" t="s">
        <v>62</v>
      </c>
      <c r="W544" t="s">
        <v>62</v>
      </c>
      <c r="X544">
        <v>1</v>
      </c>
      <c r="Y544">
        <v>2</v>
      </c>
      <c r="Z544">
        <v>6</v>
      </c>
      <c r="AA544">
        <v>0.25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2</v>
      </c>
      <c r="AH544">
        <v>0</v>
      </c>
      <c r="AI544">
        <v>2</v>
      </c>
      <c r="AJ544">
        <v>3</v>
      </c>
      <c r="AK544">
        <v>0.4</v>
      </c>
      <c r="AL544">
        <v>7</v>
      </c>
      <c r="AM544">
        <v>4</v>
      </c>
      <c r="AN544">
        <v>16</v>
      </c>
      <c r="AO544">
        <v>6</v>
      </c>
      <c r="AP544">
        <v>5</v>
      </c>
      <c r="AQ544">
        <v>3</v>
      </c>
      <c r="AR544" t="s">
        <v>3466</v>
      </c>
      <c r="AS544" t="s">
        <v>3467</v>
      </c>
      <c r="AT544">
        <v>0.32200000000000001</v>
      </c>
      <c r="AU544" t="s">
        <v>65</v>
      </c>
      <c r="AV544">
        <v>21</v>
      </c>
      <c r="AW544">
        <v>9</v>
      </c>
      <c r="AX544" t="s">
        <v>3468</v>
      </c>
      <c r="AY544">
        <v>5.1959999999999999E-2</v>
      </c>
      <c r="AZ544">
        <v>-7.2300000000000003E-3</v>
      </c>
      <c r="BA544">
        <v>7.1000000000000004E-3</v>
      </c>
      <c r="BB544">
        <v>-7.3999999999999999E-4</v>
      </c>
      <c r="BC544">
        <v>0.13655</v>
      </c>
      <c r="BD544">
        <v>1</v>
      </c>
      <c r="BE544" t="s">
        <v>69</v>
      </c>
      <c r="BF544">
        <v>-1.345</v>
      </c>
      <c r="BG544">
        <v>-2.097</v>
      </c>
    </row>
    <row r="545" spans="1:59">
      <c r="A545">
        <v>0</v>
      </c>
      <c r="B545">
        <v>2</v>
      </c>
      <c r="C545">
        <v>0</v>
      </c>
      <c r="D545" t="s">
        <v>25022</v>
      </c>
      <c r="E545">
        <v>1321</v>
      </c>
      <c r="F545" t="s">
        <v>8281</v>
      </c>
      <c r="G545" t="s">
        <v>57</v>
      </c>
      <c r="H545">
        <v>1340932</v>
      </c>
      <c r="I545">
        <v>1341354</v>
      </c>
      <c r="J545" t="s">
        <v>8099</v>
      </c>
      <c r="K545">
        <v>141</v>
      </c>
      <c r="L545" t="s">
        <v>1305</v>
      </c>
      <c r="M545">
        <v>43</v>
      </c>
      <c r="N545" t="str">
        <f>HYPERLINK("Gene1321-zp_tree_all.dnd", "Gene1321-tree")</f>
        <v>Gene1321-tree</v>
      </c>
      <c r="O545">
        <v>3</v>
      </c>
      <c r="P545">
        <v>6</v>
      </c>
      <c r="Q545">
        <v>3</v>
      </c>
      <c r="R545">
        <v>6</v>
      </c>
      <c r="S545">
        <v>0.66666999999999998</v>
      </c>
      <c r="T545" t="s">
        <v>324</v>
      </c>
      <c r="U545" t="s">
        <v>90</v>
      </c>
      <c r="V545" t="s">
        <v>62</v>
      </c>
      <c r="W545" t="s">
        <v>62</v>
      </c>
      <c r="X545">
        <v>1</v>
      </c>
      <c r="Y545">
        <v>2</v>
      </c>
      <c r="Z545">
        <v>6</v>
      </c>
      <c r="AA545">
        <v>0.25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</v>
      </c>
      <c r="AH545">
        <v>0</v>
      </c>
      <c r="AI545">
        <v>2</v>
      </c>
      <c r="AJ545">
        <v>4</v>
      </c>
      <c r="AK545">
        <v>0.33333000000000002</v>
      </c>
      <c r="AL545">
        <v>6</v>
      </c>
      <c r="AM545">
        <v>6</v>
      </c>
      <c r="AN545">
        <v>12</v>
      </c>
      <c r="AO545">
        <v>4</v>
      </c>
      <c r="AP545">
        <v>11</v>
      </c>
      <c r="AQ545">
        <v>4</v>
      </c>
      <c r="AR545" t="s">
        <v>8282</v>
      </c>
      <c r="AS545" t="s">
        <v>8283</v>
      </c>
      <c r="AT545">
        <v>0.104</v>
      </c>
      <c r="AU545" t="s">
        <v>65</v>
      </c>
      <c r="AV545">
        <v>23</v>
      </c>
      <c r="AW545">
        <v>8</v>
      </c>
      <c r="AX545" t="s">
        <v>8284</v>
      </c>
      <c r="AY545">
        <v>7.0360000000000006E-2</v>
      </c>
      <c r="AZ545">
        <v>-6.7099999999999998E-3</v>
      </c>
      <c r="BA545">
        <v>7.6600000000000001E-3</v>
      </c>
      <c r="BB545">
        <v>-4.8999999999999998E-4</v>
      </c>
      <c r="BC545">
        <v>0.10892</v>
      </c>
      <c r="BD545">
        <v>1</v>
      </c>
      <c r="BE545" t="s">
        <v>69</v>
      </c>
      <c r="BF545">
        <v>-0.19400000000000001</v>
      </c>
      <c r="BG545">
        <v>0.20699999999999999</v>
      </c>
    </row>
    <row r="546" spans="1:59">
      <c r="A546">
        <v>0</v>
      </c>
      <c r="B546">
        <v>0</v>
      </c>
      <c r="C546">
        <v>0</v>
      </c>
      <c r="D546" t="s">
        <v>25022</v>
      </c>
      <c r="E546">
        <v>2441</v>
      </c>
      <c r="F546" t="s">
        <v>14209</v>
      </c>
      <c r="G546" t="s">
        <v>62</v>
      </c>
      <c r="H546">
        <v>2442272</v>
      </c>
      <c r="I546">
        <v>2442694</v>
      </c>
      <c r="J546" t="s">
        <v>14210</v>
      </c>
      <c r="K546">
        <v>141</v>
      </c>
      <c r="L546" t="s">
        <v>108</v>
      </c>
      <c r="M546">
        <v>44</v>
      </c>
      <c r="N546" t="str">
        <f>HYPERLINK("Gene2441-zp_tree_all.dnd", "Gene2441-tree")</f>
        <v>Gene2441-tree</v>
      </c>
      <c r="O546">
        <v>30</v>
      </c>
      <c r="P546">
        <v>1</v>
      </c>
      <c r="Q546">
        <v>10</v>
      </c>
      <c r="R546">
        <v>1</v>
      </c>
      <c r="S546">
        <v>9.0910000000000005E-2</v>
      </c>
      <c r="T546" t="s">
        <v>250</v>
      </c>
      <c r="U546" t="s">
        <v>175</v>
      </c>
      <c r="V546" t="s">
        <v>62</v>
      </c>
      <c r="W546" t="s">
        <v>62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8</v>
      </c>
      <c r="AM546">
        <v>4</v>
      </c>
      <c r="AN546">
        <v>13</v>
      </c>
      <c r="AO546">
        <v>1</v>
      </c>
      <c r="AP546">
        <v>6</v>
      </c>
      <c r="AQ546">
        <v>0</v>
      </c>
      <c r="AR546" t="s">
        <v>14211</v>
      </c>
      <c r="AS546" t="s">
        <v>193</v>
      </c>
      <c r="AT546">
        <v>0.373</v>
      </c>
      <c r="AU546" t="s">
        <v>65</v>
      </c>
      <c r="AV546">
        <v>19</v>
      </c>
      <c r="AW546">
        <v>1</v>
      </c>
      <c r="AX546" t="s">
        <v>14212</v>
      </c>
      <c r="AY546">
        <v>4.4359999999999997E-2</v>
      </c>
      <c r="AZ546">
        <v>-3.2499999999999999E-3</v>
      </c>
      <c r="BA546">
        <v>5.6999999999999998E-4</v>
      </c>
      <c r="BB546">
        <v>-1.6000000000000001E-4</v>
      </c>
      <c r="BC546">
        <v>1.294E-2</v>
      </c>
      <c r="BD546">
        <v>1</v>
      </c>
      <c r="BE546" t="s">
        <v>69</v>
      </c>
      <c r="BF546">
        <v>-0.69199999999999995</v>
      </c>
      <c r="BG546">
        <v>-2.6349999999999998</v>
      </c>
    </row>
    <row r="547" spans="1:59">
      <c r="A547">
        <v>0</v>
      </c>
      <c r="B547">
        <v>0</v>
      </c>
      <c r="C547">
        <v>0</v>
      </c>
      <c r="D547" t="s">
        <v>25022</v>
      </c>
      <c r="E547">
        <v>1364</v>
      </c>
      <c r="F547" t="s">
        <v>8540</v>
      </c>
      <c r="G547" t="s">
        <v>57</v>
      </c>
      <c r="H547">
        <v>1380978</v>
      </c>
      <c r="I547">
        <v>1381400</v>
      </c>
      <c r="J547" t="s">
        <v>8541</v>
      </c>
      <c r="K547">
        <v>141</v>
      </c>
      <c r="L547" t="s">
        <v>108</v>
      </c>
      <c r="M547">
        <v>44</v>
      </c>
      <c r="N547" t="str">
        <f>HYPERLINK("Gene1364-zp_tree_all.dnd", "Gene1364-tree")</f>
        <v>Gene1364-tree</v>
      </c>
      <c r="O547">
        <v>10</v>
      </c>
      <c r="P547">
        <v>1</v>
      </c>
      <c r="Q547">
        <v>10</v>
      </c>
      <c r="R547">
        <v>1</v>
      </c>
      <c r="S547">
        <v>9.0910000000000005E-2</v>
      </c>
      <c r="T547" t="s">
        <v>117</v>
      </c>
      <c r="U547" t="s">
        <v>175</v>
      </c>
      <c r="V547" t="s">
        <v>62</v>
      </c>
      <c r="W547" t="s">
        <v>62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7</v>
      </c>
      <c r="AM547">
        <v>6</v>
      </c>
      <c r="AN547">
        <v>15</v>
      </c>
      <c r="AO547">
        <v>1</v>
      </c>
      <c r="AP547">
        <v>7</v>
      </c>
      <c r="AQ547">
        <v>0</v>
      </c>
      <c r="AR547" t="s">
        <v>8542</v>
      </c>
      <c r="AS547" t="s">
        <v>193</v>
      </c>
      <c r="AT547">
        <v>0.4</v>
      </c>
      <c r="AU547" t="s">
        <v>65</v>
      </c>
      <c r="AV547">
        <v>22</v>
      </c>
      <c r="AW547">
        <v>1</v>
      </c>
      <c r="AX547" t="s">
        <v>8543</v>
      </c>
      <c r="AY547">
        <v>5.2389999999999999E-2</v>
      </c>
      <c r="AZ547">
        <v>-3.6099999999999999E-3</v>
      </c>
      <c r="BA547">
        <v>5.6999999999999998E-4</v>
      </c>
      <c r="BB547">
        <v>-1.6000000000000001E-4</v>
      </c>
      <c r="BC547">
        <v>1.095E-2</v>
      </c>
      <c r="BD547">
        <v>1</v>
      </c>
      <c r="BE547" t="s">
        <v>69</v>
      </c>
      <c r="BF547">
        <v>3.9E-2</v>
      </c>
      <c r="BG547">
        <v>-1.5269999999999999</v>
      </c>
    </row>
    <row r="548" spans="1:59">
      <c r="A548">
        <v>0</v>
      </c>
      <c r="B548">
        <v>0</v>
      </c>
      <c r="C548">
        <v>0</v>
      </c>
      <c r="D548" t="s">
        <v>25022</v>
      </c>
      <c r="E548">
        <v>3770</v>
      </c>
      <c r="F548" t="s">
        <v>22091</v>
      </c>
      <c r="G548" t="s">
        <v>62</v>
      </c>
      <c r="H548">
        <v>3743735</v>
      </c>
      <c r="I548">
        <v>3744157</v>
      </c>
      <c r="J548" t="s">
        <v>22092</v>
      </c>
      <c r="K548">
        <v>141</v>
      </c>
      <c r="L548" t="s">
        <v>465</v>
      </c>
      <c r="M548">
        <v>46</v>
      </c>
      <c r="N548" t="str">
        <f>HYPERLINK("Gene3770-zp_tree_all.dnd", "Gene3770-tree")</f>
        <v>Gene3770-tree</v>
      </c>
      <c r="O548">
        <v>9</v>
      </c>
      <c r="P548">
        <v>0</v>
      </c>
      <c r="Q548">
        <v>9</v>
      </c>
      <c r="R548">
        <v>0</v>
      </c>
      <c r="S548">
        <v>0</v>
      </c>
      <c r="T548" t="s">
        <v>135</v>
      </c>
      <c r="U548" t="s">
        <v>62</v>
      </c>
      <c r="V548" t="s">
        <v>62</v>
      </c>
      <c r="W548" t="s">
        <v>62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</v>
      </c>
      <c r="AM548">
        <v>2</v>
      </c>
      <c r="AN548">
        <v>8</v>
      </c>
      <c r="AO548">
        <v>0</v>
      </c>
      <c r="AP548">
        <v>21</v>
      </c>
      <c r="AQ548">
        <v>0</v>
      </c>
      <c r="AR548" t="s">
        <v>193</v>
      </c>
      <c r="AS548" t="s">
        <v>193</v>
      </c>
      <c r="AT548">
        <v>0</v>
      </c>
      <c r="AU548" t="s">
        <v>65</v>
      </c>
      <c r="AV548">
        <v>29</v>
      </c>
      <c r="AW548">
        <v>0</v>
      </c>
      <c r="AX548" t="s">
        <v>22093</v>
      </c>
      <c r="AY548">
        <v>0.11566</v>
      </c>
      <c r="AZ548">
        <v>-1.941E-2</v>
      </c>
      <c r="BA548">
        <v>0</v>
      </c>
      <c r="BB548">
        <v>0</v>
      </c>
      <c r="BC548">
        <v>0</v>
      </c>
      <c r="BD548">
        <v>1</v>
      </c>
      <c r="BE548" t="s">
        <v>69</v>
      </c>
      <c r="BF548">
        <v>-2.069</v>
      </c>
      <c r="BG548">
        <v>-0.48799999999999999</v>
      </c>
    </row>
    <row r="549" spans="1:59">
      <c r="A549">
        <v>0</v>
      </c>
      <c r="B549">
        <v>0</v>
      </c>
      <c r="C549">
        <v>0</v>
      </c>
      <c r="D549" t="s">
        <v>25022</v>
      </c>
      <c r="E549">
        <v>102</v>
      </c>
      <c r="F549" t="s">
        <v>791</v>
      </c>
      <c r="G549" t="s">
        <v>57</v>
      </c>
      <c r="H549">
        <v>118591</v>
      </c>
      <c r="I549">
        <v>119013</v>
      </c>
      <c r="J549" t="s">
        <v>792</v>
      </c>
      <c r="K549">
        <v>141</v>
      </c>
      <c r="L549" t="s">
        <v>515</v>
      </c>
      <c r="M549">
        <v>51</v>
      </c>
      <c r="N549" t="str">
        <f>HYPERLINK("Gene102-zp_tree_all.dnd", "Gene102-tree")</f>
        <v>Gene102-tree</v>
      </c>
      <c r="O549">
        <v>6</v>
      </c>
      <c r="P549">
        <v>0</v>
      </c>
      <c r="Q549">
        <v>6</v>
      </c>
      <c r="R549">
        <v>0</v>
      </c>
      <c r="S549">
        <v>0</v>
      </c>
      <c r="T549" t="s">
        <v>90</v>
      </c>
      <c r="U549" t="s">
        <v>62</v>
      </c>
      <c r="V549" t="s">
        <v>62</v>
      </c>
      <c r="W549" t="s">
        <v>62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5</v>
      </c>
      <c r="AM549">
        <v>2</v>
      </c>
      <c r="AN549">
        <v>13</v>
      </c>
      <c r="AO549">
        <v>0</v>
      </c>
      <c r="AP549">
        <v>2</v>
      </c>
      <c r="AQ549">
        <v>0</v>
      </c>
      <c r="AR549" t="s">
        <v>193</v>
      </c>
      <c r="AS549" t="s">
        <v>193</v>
      </c>
      <c r="AT549">
        <v>0</v>
      </c>
      <c r="AU549" t="s">
        <v>65</v>
      </c>
      <c r="AV549">
        <v>15</v>
      </c>
      <c r="AW549">
        <v>0</v>
      </c>
      <c r="AX549" t="s">
        <v>793</v>
      </c>
      <c r="AY549">
        <v>5.4579999999999997E-2</v>
      </c>
      <c r="AZ549">
        <v>-1.0619999999999999E-2</v>
      </c>
      <c r="BA549">
        <v>0</v>
      </c>
      <c r="BB549">
        <v>0</v>
      </c>
      <c r="BC549">
        <v>0</v>
      </c>
      <c r="BD549">
        <v>1</v>
      </c>
      <c r="BE549" t="s">
        <v>69</v>
      </c>
      <c r="BF549">
        <v>-1.718</v>
      </c>
      <c r="BG549">
        <v>1.0569999999999999</v>
      </c>
    </row>
    <row r="550" spans="1:59">
      <c r="A550">
        <v>0</v>
      </c>
      <c r="B550">
        <v>3</v>
      </c>
      <c r="C550">
        <v>0</v>
      </c>
      <c r="D550" t="s">
        <v>25022</v>
      </c>
      <c r="E550">
        <v>984</v>
      </c>
      <c r="F550" t="s">
        <v>6170</v>
      </c>
      <c r="G550" t="s">
        <v>57</v>
      </c>
      <c r="H550">
        <v>1027774</v>
      </c>
      <c r="I550">
        <v>1028199</v>
      </c>
      <c r="J550" t="s">
        <v>3537</v>
      </c>
      <c r="K550">
        <v>142</v>
      </c>
      <c r="L550" t="s">
        <v>108</v>
      </c>
      <c r="M550">
        <v>44</v>
      </c>
      <c r="N550" t="str">
        <f>HYPERLINK("Gene984-zp_tree_all.dnd", "Gene984-tree")</f>
        <v>Gene984-tree</v>
      </c>
      <c r="O550">
        <v>6</v>
      </c>
      <c r="P550">
        <v>6</v>
      </c>
      <c r="Q550">
        <v>6</v>
      </c>
      <c r="R550">
        <v>6</v>
      </c>
      <c r="S550">
        <v>0.5</v>
      </c>
      <c r="T550" t="s">
        <v>90</v>
      </c>
      <c r="U550" t="s">
        <v>90</v>
      </c>
      <c r="V550" t="s">
        <v>62</v>
      </c>
      <c r="W550" t="s">
        <v>62</v>
      </c>
      <c r="X550">
        <v>1</v>
      </c>
      <c r="Y550">
        <v>3</v>
      </c>
      <c r="Z550">
        <v>9</v>
      </c>
      <c r="AA550">
        <v>0.25</v>
      </c>
      <c r="AB550">
        <v>0</v>
      </c>
      <c r="AC550">
        <v>0</v>
      </c>
      <c r="AD550">
        <v>0</v>
      </c>
      <c r="AE550">
        <v>2</v>
      </c>
      <c r="AF550">
        <v>0</v>
      </c>
      <c r="AG550">
        <v>2</v>
      </c>
      <c r="AH550">
        <v>0</v>
      </c>
      <c r="AI550">
        <v>2</v>
      </c>
      <c r="AJ550">
        <v>8</v>
      </c>
      <c r="AK550">
        <v>0.2</v>
      </c>
      <c r="AL550">
        <v>8</v>
      </c>
      <c r="AM550">
        <v>3</v>
      </c>
      <c r="AN550">
        <v>9</v>
      </c>
      <c r="AO550">
        <v>10</v>
      </c>
      <c r="AP550">
        <v>2</v>
      </c>
      <c r="AQ550">
        <v>2</v>
      </c>
      <c r="AR550" t="s">
        <v>6171</v>
      </c>
      <c r="AS550" t="s">
        <v>6172</v>
      </c>
      <c r="AT550">
        <v>5.8999999999999997E-2</v>
      </c>
      <c r="AU550" t="s">
        <v>65</v>
      </c>
      <c r="AV550">
        <v>11</v>
      </c>
      <c r="AW550">
        <v>12</v>
      </c>
      <c r="AX550" t="s">
        <v>6173</v>
      </c>
      <c r="AY550">
        <v>2.5139999999999999E-2</v>
      </c>
      <c r="AZ550">
        <v>-2.2399999999999998E-3</v>
      </c>
      <c r="BA550">
        <v>6.6600000000000001E-3</v>
      </c>
      <c r="BB550">
        <v>-5.9999999999999995E-4</v>
      </c>
      <c r="BC550">
        <v>0.26494000000000001</v>
      </c>
      <c r="BD550">
        <v>1</v>
      </c>
      <c r="BE550" t="s">
        <v>69</v>
      </c>
      <c r="BF550">
        <v>-1.5089999999999999</v>
      </c>
      <c r="BG550">
        <v>-1.5269999999999999</v>
      </c>
    </row>
    <row r="551" spans="1:59">
      <c r="A551">
        <v>0</v>
      </c>
      <c r="B551">
        <v>5</v>
      </c>
      <c r="C551">
        <v>2</v>
      </c>
      <c r="D551" t="s">
        <v>25022</v>
      </c>
      <c r="E551">
        <v>1528</v>
      </c>
      <c r="F551" t="s">
        <v>9550</v>
      </c>
      <c r="G551" t="s">
        <v>57</v>
      </c>
      <c r="H551">
        <v>1538264</v>
      </c>
      <c r="I551">
        <v>1538689</v>
      </c>
      <c r="J551" t="s">
        <v>1217</v>
      </c>
      <c r="K551">
        <v>142</v>
      </c>
      <c r="L551" t="s">
        <v>108</v>
      </c>
      <c r="M551">
        <v>44</v>
      </c>
      <c r="N551" t="str">
        <f>HYPERLINK("Gene1528-zp_tree_all.dnd", "Gene1528-tree")</f>
        <v>Gene1528-tree</v>
      </c>
      <c r="O551">
        <v>4</v>
      </c>
      <c r="P551">
        <v>8</v>
      </c>
      <c r="Q551">
        <v>4</v>
      </c>
      <c r="R551">
        <v>8</v>
      </c>
      <c r="S551">
        <v>0.66666999999999998</v>
      </c>
      <c r="T551" t="s">
        <v>61</v>
      </c>
      <c r="U551" t="s">
        <v>136</v>
      </c>
      <c r="V551" t="s">
        <v>62</v>
      </c>
      <c r="W551" t="s">
        <v>62</v>
      </c>
      <c r="X551">
        <v>2</v>
      </c>
      <c r="Y551">
        <v>7</v>
      </c>
      <c r="Z551">
        <v>7</v>
      </c>
      <c r="AA551">
        <v>0.5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4</v>
      </c>
      <c r="AH551">
        <v>2</v>
      </c>
      <c r="AI551">
        <v>6</v>
      </c>
      <c r="AJ551">
        <v>6</v>
      </c>
      <c r="AK551">
        <v>0.5</v>
      </c>
      <c r="AL551">
        <v>8</v>
      </c>
      <c r="AM551">
        <v>6</v>
      </c>
      <c r="AN551">
        <v>4</v>
      </c>
      <c r="AO551">
        <v>10</v>
      </c>
      <c r="AP551">
        <v>7</v>
      </c>
      <c r="AQ551">
        <v>4</v>
      </c>
      <c r="AR551" t="s">
        <v>9551</v>
      </c>
      <c r="AS551" t="s">
        <v>9552</v>
      </c>
      <c r="AT551">
        <v>1.476</v>
      </c>
      <c r="AU551" t="s">
        <v>65</v>
      </c>
      <c r="AV551">
        <v>11</v>
      </c>
      <c r="AW551">
        <v>14</v>
      </c>
      <c r="AX551" t="s">
        <v>9553</v>
      </c>
      <c r="AY551">
        <v>4.7309999999999998E-2</v>
      </c>
      <c r="AZ551">
        <v>-3.7000000000000002E-3</v>
      </c>
      <c r="BA551">
        <v>8.9499999999999996E-3</v>
      </c>
      <c r="BB551">
        <v>-5.5999999999999995E-4</v>
      </c>
      <c r="BC551">
        <v>0.18912999999999999</v>
      </c>
      <c r="BD551">
        <v>1</v>
      </c>
      <c r="BE551" t="s">
        <v>69</v>
      </c>
      <c r="BF551">
        <v>0.17100000000000001</v>
      </c>
      <c r="BG551">
        <v>-0.70499999999999996</v>
      </c>
    </row>
    <row r="552" spans="1:59">
      <c r="A552">
        <v>0</v>
      </c>
      <c r="B552">
        <v>0</v>
      </c>
      <c r="C552">
        <v>0</v>
      </c>
      <c r="D552" t="s">
        <v>25022</v>
      </c>
      <c r="E552">
        <v>3870</v>
      </c>
      <c r="F552" t="s">
        <v>22700</v>
      </c>
      <c r="G552" t="s">
        <v>62</v>
      </c>
      <c r="H552">
        <v>3835320</v>
      </c>
      <c r="I552">
        <v>3835745</v>
      </c>
      <c r="J552" t="s">
        <v>10401</v>
      </c>
      <c r="K552">
        <v>142</v>
      </c>
      <c r="L552" t="s">
        <v>515</v>
      </c>
      <c r="M552">
        <v>51</v>
      </c>
      <c r="N552" t="str">
        <f>HYPERLINK("Gene3870-zp_tree_all.dnd", "Gene3870-tree")</f>
        <v>Gene3870-tree</v>
      </c>
      <c r="O552">
        <v>36</v>
      </c>
      <c r="P552">
        <v>4</v>
      </c>
      <c r="Q552">
        <v>5</v>
      </c>
      <c r="R552">
        <v>4</v>
      </c>
      <c r="S552">
        <v>0.44444</v>
      </c>
      <c r="T552" t="s">
        <v>11049</v>
      </c>
      <c r="U552" t="s">
        <v>61</v>
      </c>
      <c r="V552" t="s">
        <v>62</v>
      </c>
      <c r="W552" t="s">
        <v>62</v>
      </c>
      <c r="X552">
        <v>0</v>
      </c>
      <c r="Y552">
        <v>0</v>
      </c>
      <c r="Z552">
        <v>11</v>
      </c>
      <c r="AA552">
        <v>0</v>
      </c>
      <c r="AB552">
        <v>0</v>
      </c>
      <c r="AC552">
        <v>0</v>
      </c>
      <c r="AD552">
        <v>0</v>
      </c>
      <c r="AE552">
        <v>2</v>
      </c>
      <c r="AF552">
        <v>0</v>
      </c>
      <c r="AG552">
        <v>0</v>
      </c>
      <c r="AH552">
        <v>0</v>
      </c>
      <c r="AI552">
        <v>0</v>
      </c>
      <c r="AJ552">
        <v>9</v>
      </c>
      <c r="AK552">
        <v>0</v>
      </c>
      <c r="AL552">
        <v>7</v>
      </c>
      <c r="AM552">
        <v>2</v>
      </c>
      <c r="AN552">
        <v>15</v>
      </c>
      <c r="AO552">
        <v>11</v>
      </c>
      <c r="AP552">
        <v>5</v>
      </c>
      <c r="AQ552">
        <v>2</v>
      </c>
      <c r="AR552" t="s">
        <v>22701</v>
      </c>
      <c r="AS552" t="s">
        <v>22702</v>
      </c>
      <c r="AT552">
        <v>0.24099999999999999</v>
      </c>
      <c r="AU552" t="s">
        <v>65</v>
      </c>
      <c r="AV552">
        <v>20</v>
      </c>
      <c r="AW552">
        <v>13</v>
      </c>
      <c r="AX552" t="s">
        <v>22703</v>
      </c>
      <c r="AY552">
        <v>6.089E-2</v>
      </c>
      <c r="AZ552">
        <v>-6.7499999999999999E-3</v>
      </c>
      <c r="BA552">
        <v>1.095E-2</v>
      </c>
      <c r="BB552">
        <v>-1.7099999999999999E-3</v>
      </c>
      <c r="BC552">
        <v>0.17979000000000001</v>
      </c>
      <c r="BD552">
        <v>1</v>
      </c>
      <c r="BE552" t="s">
        <v>69</v>
      </c>
      <c r="BF552">
        <v>-1.8120000000000001</v>
      </c>
      <c r="BG552">
        <v>0.53300000000000003</v>
      </c>
    </row>
    <row r="553" spans="1:59">
      <c r="A553">
        <v>0</v>
      </c>
      <c r="B553">
        <v>2</v>
      </c>
      <c r="C553">
        <v>0</v>
      </c>
      <c r="D553" t="s">
        <v>25022</v>
      </c>
      <c r="E553">
        <v>260</v>
      </c>
      <c r="F553" t="s">
        <v>1773</v>
      </c>
      <c r="G553" t="s">
        <v>57</v>
      </c>
      <c r="H553">
        <v>282469</v>
      </c>
      <c r="I553">
        <v>282894</v>
      </c>
      <c r="J553" t="s">
        <v>1774</v>
      </c>
      <c r="K553">
        <v>142</v>
      </c>
      <c r="L553" t="s">
        <v>465</v>
      </c>
      <c r="M553">
        <v>46</v>
      </c>
      <c r="N553" t="str">
        <f>HYPERLINK("Gene260-zp_tree_all.dnd", "Gene260-tree")</f>
        <v>Gene260-tree</v>
      </c>
      <c r="O553">
        <v>6</v>
      </c>
      <c r="P553">
        <v>4</v>
      </c>
      <c r="Q553">
        <v>6</v>
      </c>
      <c r="R553">
        <v>4</v>
      </c>
      <c r="S553">
        <v>0.4</v>
      </c>
      <c r="T553" t="s">
        <v>90</v>
      </c>
      <c r="U553" t="s">
        <v>61</v>
      </c>
      <c r="V553" t="s">
        <v>62</v>
      </c>
      <c r="W553" t="s">
        <v>62</v>
      </c>
      <c r="X553">
        <v>1</v>
      </c>
      <c r="Y553">
        <v>2</v>
      </c>
      <c r="Z553">
        <v>6</v>
      </c>
      <c r="AA553">
        <v>0.25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5</v>
      </c>
      <c r="AK553">
        <v>0</v>
      </c>
      <c r="AL553">
        <v>8</v>
      </c>
      <c r="AM553">
        <v>6</v>
      </c>
      <c r="AN553">
        <v>22</v>
      </c>
      <c r="AO553">
        <v>5</v>
      </c>
      <c r="AP553">
        <v>17</v>
      </c>
      <c r="AQ553">
        <v>3</v>
      </c>
      <c r="AR553" t="s">
        <v>1775</v>
      </c>
      <c r="AS553" t="s">
        <v>1776</v>
      </c>
      <c r="AT553">
        <v>0.112</v>
      </c>
      <c r="AU553" t="s">
        <v>65</v>
      </c>
      <c r="AV553">
        <v>39</v>
      </c>
      <c r="AW553">
        <v>8</v>
      </c>
      <c r="AX553" t="s">
        <v>1777</v>
      </c>
      <c r="AY553">
        <v>0.11323</v>
      </c>
      <c r="AZ553">
        <v>-8.43E-3</v>
      </c>
      <c r="BA553">
        <v>6.0600000000000003E-3</v>
      </c>
      <c r="BB553">
        <v>-6.3000000000000003E-4</v>
      </c>
      <c r="BC553">
        <v>5.348E-2</v>
      </c>
      <c r="BD553">
        <v>1</v>
      </c>
      <c r="BE553" t="s">
        <v>69</v>
      </c>
      <c r="BF553">
        <v>-1.619</v>
      </c>
      <c r="BG553">
        <v>-0.36299999999999999</v>
      </c>
    </row>
    <row r="554" spans="1:59">
      <c r="A554">
        <v>0</v>
      </c>
      <c r="B554">
        <v>0</v>
      </c>
      <c r="C554">
        <v>0</v>
      </c>
      <c r="D554" t="s">
        <v>25022</v>
      </c>
      <c r="E554">
        <v>2554</v>
      </c>
      <c r="F554" t="s">
        <v>14928</v>
      </c>
      <c r="G554" t="s">
        <v>62</v>
      </c>
      <c r="H554">
        <v>2543443</v>
      </c>
      <c r="I554">
        <v>2543868</v>
      </c>
      <c r="J554" t="s">
        <v>14929</v>
      </c>
      <c r="K554">
        <v>142</v>
      </c>
      <c r="L554" t="s">
        <v>59</v>
      </c>
      <c r="M554">
        <v>49</v>
      </c>
      <c r="N554" t="str">
        <f>HYPERLINK("Gene2554-zp_tree_all.dnd", "Gene2554-tree")</f>
        <v>Gene2554-tree</v>
      </c>
      <c r="O554">
        <v>6</v>
      </c>
      <c r="P554">
        <v>2</v>
      </c>
      <c r="Q554">
        <v>6</v>
      </c>
      <c r="R554">
        <v>2</v>
      </c>
      <c r="S554">
        <v>0.25</v>
      </c>
      <c r="T554" t="s">
        <v>90</v>
      </c>
      <c r="U554" t="s">
        <v>81</v>
      </c>
      <c r="V554" t="s">
        <v>62</v>
      </c>
      <c r="W554" t="s">
        <v>62</v>
      </c>
      <c r="X554">
        <v>0</v>
      </c>
      <c r="Y554">
        <v>0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</v>
      </c>
      <c r="AK554">
        <v>0</v>
      </c>
      <c r="AL554">
        <v>6</v>
      </c>
      <c r="AM554">
        <v>3</v>
      </c>
      <c r="AN554">
        <v>9</v>
      </c>
      <c r="AO554">
        <v>2</v>
      </c>
      <c r="AP554">
        <v>6</v>
      </c>
      <c r="AQ554">
        <v>0</v>
      </c>
      <c r="AR554" t="s">
        <v>14930</v>
      </c>
      <c r="AS554" t="s">
        <v>193</v>
      </c>
      <c r="AT554">
        <v>1.08</v>
      </c>
      <c r="AU554" t="s">
        <v>65</v>
      </c>
      <c r="AV554">
        <v>15</v>
      </c>
      <c r="AW554">
        <v>2</v>
      </c>
      <c r="AX554" t="s">
        <v>14931</v>
      </c>
      <c r="AY554">
        <v>5.3530000000000001E-2</v>
      </c>
      <c r="AZ554">
        <v>-4.3600000000000002E-3</v>
      </c>
      <c r="BA554">
        <v>1.5E-3</v>
      </c>
      <c r="BB554">
        <v>-3.2000000000000003E-4</v>
      </c>
      <c r="BC554">
        <v>2.809E-2</v>
      </c>
      <c r="BD554">
        <v>1</v>
      </c>
      <c r="BE554" t="s">
        <v>69</v>
      </c>
      <c r="BF554">
        <v>-1.8819999999999999</v>
      </c>
      <c r="BG554">
        <v>-1.631</v>
      </c>
    </row>
    <row r="555" spans="1:59">
      <c r="A555">
        <v>0</v>
      </c>
      <c r="B555">
        <v>11</v>
      </c>
      <c r="C555">
        <v>3</v>
      </c>
      <c r="D555" t="s">
        <v>25022</v>
      </c>
      <c r="E555">
        <v>2572</v>
      </c>
      <c r="F555" t="s">
        <v>15047</v>
      </c>
      <c r="G555" t="s">
        <v>62</v>
      </c>
      <c r="H555">
        <v>2557255</v>
      </c>
      <c r="I555">
        <v>2557683</v>
      </c>
      <c r="J555" t="s">
        <v>15048</v>
      </c>
      <c r="K555">
        <v>143</v>
      </c>
      <c r="L555" t="s">
        <v>108</v>
      </c>
      <c r="M555">
        <v>44</v>
      </c>
      <c r="N555" t="str">
        <f>HYPERLINK("Gene2572-zp_tree_all.dnd", "Gene2572-tree")</f>
        <v>Gene2572-tree</v>
      </c>
      <c r="O555">
        <v>3</v>
      </c>
      <c r="P555">
        <v>7</v>
      </c>
      <c r="Q555">
        <v>3</v>
      </c>
      <c r="R555">
        <v>7</v>
      </c>
      <c r="S555">
        <v>0.7</v>
      </c>
      <c r="T555" t="s">
        <v>324</v>
      </c>
      <c r="U555" t="s">
        <v>152</v>
      </c>
      <c r="V555" t="s">
        <v>62</v>
      </c>
      <c r="W555" t="s">
        <v>62</v>
      </c>
      <c r="X555">
        <v>6</v>
      </c>
      <c r="Y555">
        <v>14</v>
      </c>
      <c r="Z555">
        <v>7</v>
      </c>
      <c r="AA555">
        <v>0.66666999999999998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8</v>
      </c>
      <c r="AH555">
        <v>0</v>
      </c>
      <c r="AI555">
        <v>8</v>
      </c>
      <c r="AJ555">
        <v>7</v>
      </c>
      <c r="AK555">
        <v>0.53332999999999997</v>
      </c>
      <c r="AL555">
        <v>8</v>
      </c>
      <c r="AM555">
        <v>6</v>
      </c>
      <c r="AN555">
        <v>10</v>
      </c>
      <c r="AO555">
        <v>14</v>
      </c>
      <c r="AP555">
        <v>5</v>
      </c>
      <c r="AQ555">
        <v>7</v>
      </c>
      <c r="AR555" t="s">
        <v>15049</v>
      </c>
      <c r="AS555" t="s">
        <v>15050</v>
      </c>
      <c r="AT555">
        <v>7.0000000000000001E-3</v>
      </c>
      <c r="AU555" t="s">
        <v>65</v>
      </c>
      <c r="AV555">
        <v>15</v>
      </c>
      <c r="AW555">
        <v>21</v>
      </c>
      <c r="AX555" t="s">
        <v>15051</v>
      </c>
      <c r="AY555">
        <v>3.678E-2</v>
      </c>
      <c r="AZ555">
        <v>-2.2799999999999999E-3</v>
      </c>
      <c r="BA555">
        <v>1.5789999999999998E-2</v>
      </c>
      <c r="BB555">
        <v>-9.7000000000000005E-4</v>
      </c>
      <c r="BC555">
        <v>0.42923</v>
      </c>
      <c r="BD555">
        <v>0.94</v>
      </c>
      <c r="BE555" t="s">
        <v>635</v>
      </c>
      <c r="BF555">
        <v>-0.76900000000000002</v>
      </c>
      <c r="BG555">
        <v>-1.298</v>
      </c>
    </row>
    <row r="556" spans="1:59">
      <c r="A556">
        <v>0</v>
      </c>
      <c r="B556">
        <v>7</v>
      </c>
      <c r="C556">
        <v>0</v>
      </c>
      <c r="D556" t="s">
        <v>25022</v>
      </c>
      <c r="E556">
        <v>3205</v>
      </c>
      <c r="F556" t="s">
        <v>18663</v>
      </c>
      <c r="G556" t="s">
        <v>62</v>
      </c>
      <c r="H556">
        <v>3159261</v>
      </c>
      <c r="I556">
        <v>3159689</v>
      </c>
      <c r="J556" t="s">
        <v>18664</v>
      </c>
      <c r="K556">
        <v>143</v>
      </c>
      <c r="L556" t="s">
        <v>3545</v>
      </c>
      <c r="M556">
        <v>36</v>
      </c>
      <c r="N556" t="str">
        <f>HYPERLINK("Gene3205-zp_tree_all.dnd", "Gene3205-tree")</f>
        <v>Gene3205-tree</v>
      </c>
      <c r="O556">
        <v>2</v>
      </c>
      <c r="P556">
        <v>6</v>
      </c>
      <c r="Q556">
        <v>2</v>
      </c>
      <c r="R556">
        <v>6</v>
      </c>
      <c r="S556">
        <v>0.75</v>
      </c>
      <c r="T556" t="s">
        <v>81</v>
      </c>
      <c r="U556" t="s">
        <v>90</v>
      </c>
      <c r="V556" t="s">
        <v>62</v>
      </c>
      <c r="W556" t="s">
        <v>62</v>
      </c>
      <c r="X556">
        <v>3</v>
      </c>
      <c r="Y556">
        <v>7</v>
      </c>
      <c r="Z556">
        <v>13</v>
      </c>
      <c r="AA556">
        <v>0.35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14</v>
      </c>
      <c r="AK556">
        <v>0</v>
      </c>
      <c r="AL556">
        <v>6</v>
      </c>
      <c r="AM556">
        <v>5</v>
      </c>
      <c r="AN556">
        <v>10</v>
      </c>
      <c r="AO556">
        <v>13</v>
      </c>
      <c r="AP556">
        <v>6</v>
      </c>
      <c r="AQ556">
        <v>7</v>
      </c>
      <c r="AR556" t="s">
        <v>18665</v>
      </c>
      <c r="AS556" t="s">
        <v>18666</v>
      </c>
      <c r="AT556">
        <v>0.111</v>
      </c>
      <c r="AU556" t="s">
        <v>65</v>
      </c>
      <c r="AV556">
        <v>16</v>
      </c>
      <c r="AW556">
        <v>20</v>
      </c>
      <c r="AX556" t="s">
        <v>18667</v>
      </c>
      <c r="AY556">
        <v>5.8639999999999998E-2</v>
      </c>
      <c r="AZ556">
        <v>-4.2399999999999998E-3</v>
      </c>
      <c r="BA556">
        <v>1.6740000000000001E-2</v>
      </c>
      <c r="BB556">
        <v>-1.57E-3</v>
      </c>
      <c r="BC556">
        <v>0.28544000000000003</v>
      </c>
      <c r="BD556">
        <v>0.97</v>
      </c>
      <c r="BE556" t="s">
        <v>69</v>
      </c>
      <c r="BF556">
        <v>-6.6000000000000003E-2</v>
      </c>
      <c r="BG556">
        <v>-0.26600000000000001</v>
      </c>
    </row>
    <row r="557" spans="1:59">
      <c r="A557">
        <v>0</v>
      </c>
      <c r="B557">
        <v>2</v>
      </c>
      <c r="C557">
        <v>0</v>
      </c>
      <c r="D557" t="s">
        <v>25022</v>
      </c>
      <c r="E557">
        <v>1950</v>
      </c>
      <c r="F557" t="s">
        <v>12214</v>
      </c>
      <c r="G557" t="s">
        <v>62</v>
      </c>
      <c r="H557">
        <v>2046983</v>
      </c>
      <c r="I557">
        <v>2047411</v>
      </c>
      <c r="J557" t="s">
        <v>12215</v>
      </c>
      <c r="K557">
        <v>143</v>
      </c>
      <c r="L557" t="s">
        <v>1907</v>
      </c>
      <c r="M557">
        <v>38</v>
      </c>
      <c r="N557" t="str">
        <f>HYPERLINK("Gene1950-zp_tree_all.dnd", "Gene1950-tree")</f>
        <v>Gene1950-tree</v>
      </c>
      <c r="O557">
        <v>1</v>
      </c>
      <c r="P557">
        <v>11</v>
      </c>
      <c r="Q557">
        <v>1</v>
      </c>
      <c r="R557">
        <v>11</v>
      </c>
      <c r="S557">
        <v>0.91666999999999998</v>
      </c>
      <c r="T557" t="s">
        <v>175</v>
      </c>
      <c r="U557" t="s">
        <v>73</v>
      </c>
      <c r="V557">
        <v>1144612630.289</v>
      </c>
      <c r="W557" t="s">
        <v>267</v>
      </c>
      <c r="X557">
        <v>1</v>
      </c>
      <c r="Y557">
        <v>2</v>
      </c>
      <c r="Z557">
        <v>13</v>
      </c>
      <c r="AA557">
        <v>0.13333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</v>
      </c>
      <c r="AH557">
        <v>0</v>
      </c>
      <c r="AI557">
        <v>2</v>
      </c>
      <c r="AJ557">
        <v>12</v>
      </c>
      <c r="AK557">
        <v>0.14285999999999999</v>
      </c>
      <c r="AL557">
        <v>9</v>
      </c>
      <c r="AM557">
        <v>7</v>
      </c>
      <c r="AN557">
        <v>9</v>
      </c>
      <c r="AO557">
        <v>12</v>
      </c>
      <c r="AP557">
        <v>4</v>
      </c>
      <c r="AQ557">
        <v>3</v>
      </c>
      <c r="AR557" t="s">
        <v>12216</v>
      </c>
      <c r="AS557" t="s">
        <v>12217</v>
      </c>
      <c r="AT557">
        <v>0.59499999999999997</v>
      </c>
      <c r="AU557" t="s">
        <v>65</v>
      </c>
      <c r="AV557">
        <v>13</v>
      </c>
      <c r="AW557">
        <v>15</v>
      </c>
      <c r="AX557" t="s">
        <v>11536</v>
      </c>
      <c r="AY557">
        <v>3.6339999999999997E-2</v>
      </c>
      <c r="AZ557">
        <v>-2.48E-3</v>
      </c>
      <c r="BA557">
        <v>8.94E-3</v>
      </c>
      <c r="BB557">
        <v>-4.2999999999999999E-4</v>
      </c>
      <c r="BC557">
        <v>0.24589</v>
      </c>
      <c r="BD557">
        <v>0.99</v>
      </c>
      <c r="BE557" t="s">
        <v>69</v>
      </c>
      <c r="BF557">
        <v>-1.2170000000000001</v>
      </c>
      <c r="BG557">
        <v>-1.946</v>
      </c>
    </row>
    <row r="558" spans="1:59">
      <c r="A558">
        <v>0</v>
      </c>
      <c r="B558">
        <v>0</v>
      </c>
      <c r="C558">
        <v>2</v>
      </c>
      <c r="D558" t="s">
        <v>25022</v>
      </c>
      <c r="E558">
        <v>1417</v>
      </c>
      <c r="F558" t="s">
        <v>8873</v>
      </c>
      <c r="G558" t="s">
        <v>57</v>
      </c>
      <c r="H558">
        <v>1431027</v>
      </c>
      <c r="I558">
        <v>1431455</v>
      </c>
      <c r="J558" t="s">
        <v>8874</v>
      </c>
      <c r="K558">
        <v>143</v>
      </c>
      <c r="L558" t="s">
        <v>108</v>
      </c>
      <c r="M558">
        <v>44</v>
      </c>
      <c r="N558" t="str">
        <f>HYPERLINK("Gene1417-zp_tree_all.dnd", "Gene1417-tree")</f>
        <v>Gene1417-tree</v>
      </c>
      <c r="O558">
        <v>27</v>
      </c>
      <c r="P558">
        <v>5</v>
      </c>
      <c r="Q558">
        <v>8</v>
      </c>
      <c r="R558">
        <v>5</v>
      </c>
      <c r="S558">
        <v>0.38462000000000002</v>
      </c>
      <c r="T558" t="s">
        <v>282</v>
      </c>
      <c r="U558" t="s">
        <v>199</v>
      </c>
      <c r="V558" t="s">
        <v>62</v>
      </c>
      <c r="W558" t="s">
        <v>62</v>
      </c>
      <c r="X558">
        <v>1</v>
      </c>
      <c r="Y558">
        <v>2</v>
      </c>
      <c r="Z558">
        <v>8</v>
      </c>
      <c r="AA558">
        <v>0.2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2</v>
      </c>
      <c r="AI558">
        <v>2</v>
      </c>
      <c r="AJ558">
        <v>6</v>
      </c>
      <c r="AK558">
        <v>0.25</v>
      </c>
      <c r="AL558">
        <v>9</v>
      </c>
      <c r="AM558">
        <v>5</v>
      </c>
      <c r="AN558">
        <v>11</v>
      </c>
      <c r="AO558">
        <v>5</v>
      </c>
      <c r="AP558">
        <v>4</v>
      </c>
      <c r="AQ558">
        <v>5</v>
      </c>
      <c r="AR558" t="s">
        <v>8875</v>
      </c>
      <c r="AS558" t="s">
        <v>8876</v>
      </c>
      <c r="AT558">
        <v>0.66800000000000004</v>
      </c>
      <c r="AU558" t="s">
        <v>65</v>
      </c>
      <c r="AV558">
        <v>15</v>
      </c>
      <c r="AW558">
        <v>10</v>
      </c>
      <c r="AX558" t="s">
        <v>8877</v>
      </c>
      <c r="AY558">
        <v>3.4729999999999997E-2</v>
      </c>
      <c r="AZ558">
        <v>-1.7099999999999999E-3</v>
      </c>
      <c r="BA558">
        <v>6.9199999999999999E-3</v>
      </c>
      <c r="BB558">
        <v>-5.5000000000000003E-4</v>
      </c>
      <c r="BC558">
        <v>0.19930999999999999</v>
      </c>
      <c r="BD558">
        <v>1</v>
      </c>
      <c r="BE558" t="s">
        <v>69</v>
      </c>
      <c r="BF558">
        <v>-1.29</v>
      </c>
      <c r="BG558">
        <v>-1.1419999999999999</v>
      </c>
    </row>
    <row r="559" spans="1:59">
      <c r="A559">
        <v>0</v>
      </c>
      <c r="B559">
        <v>3</v>
      </c>
      <c r="C559">
        <v>0</v>
      </c>
      <c r="D559" t="s">
        <v>25022</v>
      </c>
      <c r="E559">
        <v>95</v>
      </c>
      <c r="F559" t="s">
        <v>747</v>
      </c>
      <c r="G559" t="s">
        <v>57</v>
      </c>
      <c r="H559">
        <v>114854</v>
      </c>
      <c r="I559">
        <v>115282</v>
      </c>
      <c r="J559" t="s">
        <v>748</v>
      </c>
      <c r="K559">
        <v>143</v>
      </c>
      <c r="L559" t="s">
        <v>749</v>
      </c>
      <c r="M559">
        <v>47</v>
      </c>
      <c r="N559" t="str">
        <f>HYPERLINK("Gene95-zp_tree_all.dnd", "Gene95-tree")</f>
        <v>Gene95-tree</v>
      </c>
      <c r="O559">
        <v>9</v>
      </c>
      <c r="P559">
        <v>3</v>
      </c>
      <c r="Q559">
        <v>9</v>
      </c>
      <c r="R559">
        <v>3</v>
      </c>
      <c r="S559">
        <v>0.25</v>
      </c>
      <c r="T559" t="s">
        <v>135</v>
      </c>
      <c r="U559" t="s">
        <v>324</v>
      </c>
      <c r="V559" t="s">
        <v>62</v>
      </c>
      <c r="W559" t="s">
        <v>62</v>
      </c>
      <c r="X559">
        <v>1</v>
      </c>
      <c r="Y559">
        <v>3</v>
      </c>
      <c r="Z559">
        <v>6</v>
      </c>
      <c r="AA559">
        <v>0.33333000000000002</v>
      </c>
      <c r="AB559">
        <v>2</v>
      </c>
      <c r="AC559">
        <v>0</v>
      </c>
      <c r="AD559">
        <v>2</v>
      </c>
      <c r="AE559">
        <v>3</v>
      </c>
      <c r="AF559">
        <v>0.4</v>
      </c>
      <c r="AG559">
        <v>0</v>
      </c>
      <c r="AH559">
        <v>0</v>
      </c>
      <c r="AI559">
        <v>0</v>
      </c>
      <c r="AJ559">
        <v>4</v>
      </c>
      <c r="AK559">
        <v>0</v>
      </c>
      <c r="AL559">
        <v>7</v>
      </c>
      <c r="AM559">
        <v>5</v>
      </c>
      <c r="AN559">
        <v>11</v>
      </c>
      <c r="AO559">
        <v>4</v>
      </c>
      <c r="AP559">
        <v>12</v>
      </c>
      <c r="AQ559">
        <v>5</v>
      </c>
      <c r="AR559" t="s">
        <v>750</v>
      </c>
      <c r="AS559" t="s">
        <v>751</v>
      </c>
      <c r="AT559">
        <v>5.8000000000000003E-2</v>
      </c>
      <c r="AU559" t="s">
        <v>65</v>
      </c>
      <c r="AV559">
        <v>23</v>
      </c>
      <c r="AW559">
        <v>9</v>
      </c>
      <c r="AX559" t="s">
        <v>752</v>
      </c>
      <c r="AY559">
        <v>7.1050000000000002E-2</v>
      </c>
      <c r="AZ559">
        <v>-8.1499999999999993E-3</v>
      </c>
      <c r="BA559">
        <v>6.9100000000000003E-3</v>
      </c>
      <c r="BB559">
        <v>-6.4000000000000005E-4</v>
      </c>
      <c r="BC559">
        <v>9.7199999999999995E-2</v>
      </c>
      <c r="BD559">
        <v>1</v>
      </c>
      <c r="BE559" t="s">
        <v>69</v>
      </c>
      <c r="BF559">
        <v>-2.0489999999999999</v>
      </c>
      <c r="BG559">
        <v>-1.5880000000000001</v>
      </c>
    </row>
    <row r="560" spans="1:59">
      <c r="A560">
        <v>0</v>
      </c>
      <c r="B560">
        <v>2</v>
      </c>
      <c r="C560">
        <v>2</v>
      </c>
      <c r="D560" t="s">
        <v>25022</v>
      </c>
      <c r="E560">
        <v>4142</v>
      </c>
      <c r="F560" t="s">
        <v>24375</v>
      </c>
      <c r="G560" t="s">
        <v>62</v>
      </c>
      <c r="H560">
        <v>4109188</v>
      </c>
      <c r="I560">
        <v>4109616</v>
      </c>
      <c r="J560" t="s">
        <v>3745</v>
      </c>
      <c r="K560">
        <v>143</v>
      </c>
      <c r="L560" t="s">
        <v>698</v>
      </c>
      <c r="M560">
        <v>47</v>
      </c>
      <c r="N560" t="str">
        <f>HYPERLINK("Gene4142-zp_tree_all.dnd", "Gene4142-tree")</f>
        <v>Gene4142-tree</v>
      </c>
      <c r="O560">
        <v>13</v>
      </c>
      <c r="P560">
        <v>2</v>
      </c>
      <c r="Q560">
        <v>13</v>
      </c>
      <c r="R560">
        <v>2</v>
      </c>
      <c r="S560">
        <v>0.13333</v>
      </c>
      <c r="T560" t="s">
        <v>507</v>
      </c>
      <c r="U560" t="s">
        <v>81</v>
      </c>
      <c r="V560" t="s">
        <v>62</v>
      </c>
      <c r="W560" t="s">
        <v>62</v>
      </c>
      <c r="X560">
        <v>2</v>
      </c>
      <c r="Y560">
        <v>4</v>
      </c>
      <c r="Z560">
        <v>3</v>
      </c>
      <c r="AA560">
        <v>0.57142999999999999</v>
      </c>
      <c r="AB560">
        <v>0</v>
      </c>
      <c r="AC560">
        <v>0</v>
      </c>
      <c r="AD560">
        <v>0</v>
      </c>
      <c r="AE560">
        <v>2</v>
      </c>
      <c r="AF560">
        <v>0</v>
      </c>
      <c r="AG560">
        <v>0</v>
      </c>
      <c r="AH560">
        <v>0</v>
      </c>
      <c r="AI560">
        <v>0</v>
      </c>
      <c r="AJ560">
        <v>2</v>
      </c>
      <c r="AK560">
        <v>0</v>
      </c>
      <c r="AL560">
        <v>7</v>
      </c>
      <c r="AM560">
        <v>9</v>
      </c>
      <c r="AN560">
        <v>19</v>
      </c>
      <c r="AO560">
        <v>2</v>
      </c>
      <c r="AP560">
        <v>20</v>
      </c>
      <c r="AQ560">
        <v>5</v>
      </c>
      <c r="AR560" t="s">
        <v>24376</v>
      </c>
      <c r="AS560" t="s">
        <v>24377</v>
      </c>
      <c r="AT560">
        <v>0.372</v>
      </c>
      <c r="AU560" t="s">
        <v>65</v>
      </c>
      <c r="AV560">
        <v>39</v>
      </c>
      <c r="AW560">
        <v>7</v>
      </c>
      <c r="AX560" t="s">
        <v>24378</v>
      </c>
      <c r="AY560">
        <v>9.74E-2</v>
      </c>
      <c r="AZ560">
        <v>-7.5100000000000002E-3</v>
      </c>
      <c r="BA560">
        <v>5.0600000000000003E-3</v>
      </c>
      <c r="BB560">
        <v>-5.5999999999999995E-4</v>
      </c>
      <c r="BC560">
        <v>5.1929999999999997E-2</v>
      </c>
      <c r="BD560">
        <v>1</v>
      </c>
      <c r="BE560" t="s">
        <v>69</v>
      </c>
      <c r="BF560">
        <v>-1.4670000000000001</v>
      </c>
      <c r="BG560">
        <v>-0.90400000000000003</v>
      </c>
    </row>
    <row r="561" spans="1:59">
      <c r="A561">
        <v>0</v>
      </c>
      <c r="B561">
        <v>0</v>
      </c>
      <c r="C561">
        <v>0</v>
      </c>
      <c r="D561" t="s">
        <v>25022</v>
      </c>
      <c r="E561">
        <v>3666</v>
      </c>
      <c r="F561" t="s">
        <v>21505</v>
      </c>
      <c r="G561" t="s">
        <v>62</v>
      </c>
      <c r="H561">
        <v>3636267</v>
      </c>
      <c r="I561">
        <v>3636695</v>
      </c>
      <c r="J561" t="s">
        <v>21506</v>
      </c>
      <c r="K561">
        <v>143</v>
      </c>
      <c r="L561" t="s">
        <v>21507</v>
      </c>
      <c r="M561">
        <v>48</v>
      </c>
      <c r="N561" t="str">
        <f>HYPERLINK("Gene3666-zp_tree_all.dnd", "Gene3666-tree")</f>
        <v>Gene3666-tree</v>
      </c>
      <c r="O561">
        <v>9</v>
      </c>
      <c r="P561">
        <v>3</v>
      </c>
      <c r="Q561">
        <v>9</v>
      </c>
      <c r="R561">
        <v>3</v>
      </c>
      <c r="S561">
        <v>0.25</v>
      </c>
      <c r="T561" t="s">
        <v>135</v>
      </c>
      <c r="U561" t="s">
        <v>324</v>
      </c>
      <c r="V561" t="s">
        <v>62</v>
      </c>
      <c r="W561" t="s">
        <v>62</v>
      </c>
      <c r="X561">
        <v>0</v>
      </c>
      <c r="Y561">
        <v>0</v>
      </c>
      <c r="Z561">
        <v>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3</v>
      </c>
      <c r="AK561">
        <v>0</v>
      </c>
      <c r="AL561">
        <v>9</v>
      </c>
      <c r="AM561">
        <v>8</v>
      </c>
      <c r="AN561">
        <v>20</v>
      </c>
      <c r="AO561">
        <v>3</v>
      </c>
      <c r="AP561">
        <v>26</v>
      </c>
      <c r="AQ561">
        <v>3</v>
      </c>
      <c r="AR561" t="s">
        <v>21508</v>
      </c>
      <c r="AS561" t="s">
        <v>21509</v>
      </c>
      <c r="AT561">
        <v>0.112</v>
      </c>
      <c r="AU561" t="s">
        <v>65</v>
      </c>
      <c r="AV561">
        <v>46</v>
      </c>
      <c r="AW561">
        <v>6</v>
      </c>
      <c r="AX561" t="s">
        <v>21510</v>
      </c>
      <c r="AY561">
        <v>0.1421</v>
      </c>
      <c r="AZ561">
        <v>-8.3599999999999994E-3</v>
      </c>
      <c r="BA561">
        <v>6.2300000000000003E-3</v>
      </c>
      <c r="BB561">
        <v>-5.9999999999999995E-4</v>
      </c>
      <c r="BC561">
        <v>4.3860000000000003E-2</v>
      </c>
      <c r="BD561">
        <v>1</v>
      </c>
      <c r="BE561" t="s">
        <v>69</v>
      </c>
      <c r="BF561">
        <v>-0.82499999999999996</v>
      </c>
      <c r="BG561">
        <v>-0.32900000000000001</v>
      </c>
    </row>
    <row r="562" spans="1:59">
      <c r="A562">
        <v>0</v>
      </c>
      <c r="B562">
        <v>0</v>
      </c>
      <c r="C562">
        <v>2</v>
      </c>
      <c r="D562" t="s">
        <v>25022</v>
      </c>
      <c r="E562">
        <v>405</v>
      </c>
      <c r="F562" t="s">
        <v>2746</v>
      </c>
      <c r="G562" t="s">
        <v>57</v>
      </c>
      <c r="H562">
        <v>451185</v>
      </c>
      <c r="I562">
        <v>451613</v>
      </c>
      <c r="J562" t="s">
        <v>2747</v>
      </c>
      <c r="K562">
        <v>143</v>
      </c>
      <c r="L562" t="s">
        <v>2748</v>
      </c>
      <c r="M562">
        <v>42</v>
      </c>
      <c r="N562" t="str">
        <f>HYPERLINK("Gene405-zp_tree_all.dnd", "Gene405-tree")</f>
        <v>Gene405-tree</v>
      </c>
      <c r="O562">
        <v>8</v>
      </c>
      <c r="P562">
        <v>4</v>
      </c>
      <c r="Q562">
        <v>8</v>
      </c>
      <c r="R562">
        <v>4</v>
      </c>
      <c r="S562">
        <v>0.33333000000000002</v>
      </c>
      <c r="T562" t="s">
        <v>136</v>
      </c>
      <c r="U562" t="s">
        <v>61</v>
      </c>
      <c r="V562" t="s">
        <v>62</v>
      </c>
      <c r="W562" t="s">
        <v>62</v>
      </c>
      <c r="X562">
        <v>1</v>
      </c>
      <c r="Y562">
        <v>2</v>
      </c>
      <c r="Z562">
        <v>3</v>
      </c>
      <c r="AA562">
        <v>0.4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</v>
      </c>
      <c r="AI562">
        <v>2</v>
      </c>
      <c r="AJ562">
        <v>3</v>
      </c>
      <c r="AK562">
        <v>0.4</v>
      </c>
      <c r="AL562">
        <v>10</v>
      </c>
      <c r="AM562">
        <v>7</v>
      </c>
      <c r="AN562">
        <v>19</v>
      </c>
      <c r="AO562">
        <v>5</v>
      </c>
      <c r="AP562">
        <v>9</v>
      </c>
      <c r="AQ562">
        <v>0</v>
      </c>
      <c r="AR562" t="s">
        <v>2749</v>
      </c>
      <c r="AS562" t="s">
        <v>193</v>
      </c>
      <c r="AT562">
        <v>0.99299999999999999</v>
      </c>
      <c r="AU562" t="s">
        <v>65</v>
      </c>
      <c r="AV562">
        <v>28</v>
      </c>
      <c r="AW562">
        <v>5</v>
      </c>
      <c r="AX562" t="s">
        <v>2750</v>
      </c>
      <c r="AY562">
        <v>6.7419999999999994E-2</v>
      </c>
      <c r="AZ562">
        <v>-4.5599999999999998E-3</v>
      </c>
      <c r="BA562">
        <v>2.48E-3</v>
      </c>
      <c r="BB562">
        <v>-3.2000000000000003E-4</v>
      </c>
      <c r="BC562">
        <v>3.6839999999999998E-2</v>
      </c>
      <c r="BD562">
        <v>1</v>
      </c>
      <c r="BE562" t="s">
        <v>69</v>
      </c>
      <c r="BF562">
        <v>-0.63700000000000001</v>
      </c>
      <c r="BG562">
        <v>-0.59899999999999998</v>
      </c>
    </row>
    <row r="563" spans="1:59">
      <c r="A563">
        <v>0</v>
      </c>
      <c r="B563">
        <v>0</v>
      </c>
      <c r="C563">
        <v>0</v>
      </c>
      <c r="D563" t="s">
        <v>25022</v>
      </c>
      <c r="E563">
        <v>1763</v>
      </c>
      <c r="F563" t="s">
        <v>11041</v>
      </c>
      <c r="G563" t="s">
        <v>57</v>
      </c>
      <c r="H563">
        <v>1774374</v>
      </c>
      <c r="I563">
        <v>1774802</v>
      </c>
      <c r="J563" t="s">
        <v>11042</v>
      </c>
      <c r="K563">
        <v>143</v>
      </c>
      <c r="L563" t="s">
        <v>59</v>
      </c>
      <c r="M563">
        <v>49</v>
      </c>
      <c r="N563" t="str">
        <f>HYPERLINK("Gene1763-zp_tree_all.dnd", "Gene1763-tree")</f>
        <v>Gene1763-tree</v>
      </c>
      <c r="O563">
        <v>13</v>
      </c>
      <c r="P563">
        <v>0</v>
      </c>
      <c r="Q563">
        <v>13</v>
      </c>
      <c r="R563">
        <v>0</v>
      </c>
      <c r="S563">
        <v>0</v>
      </c>
      <c r="T563" t="s">
        <v>507</v>
      </c>
      <c r="U563" t="s">
        <v>62</v>
      </c>
      <c r="V563" t="s">
        <v>62</v>
      </c>
      <c r="W563" t="s">
        <v>62</v>
      </c>
      <c r="X563">
        <v>0</v>
      </c>
      <c r="Y563">
        <v>0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3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8</v>
      </c>
      <c r="AM563">
        <v>7</v>
      </c>
      <c r="AN563">
        <v>17</v>
      </c>
      <c r="AO563">
        <v>0</v>
      </c>
      <c r="AP563">
        <v>17</v>
      </c>
      <c r="AQ563">
        <v>3</v>
      </c>
      <c r="AR563" t="s">
        <v>193</v>
      </c>
      <c r="AS563" t="s">
        <v>11043</v>
      </c>
      <c r="AT563">
        <v>0.40699999999999997</v>
      </c>
      <c r="AU563" t="s">
        <v>65</v>
      </c>
      <c r="AV563">
        <v>34</v>
      </c>
      <c r="AW563">
        <v>3</v>
      </c>
      <c r="AX563" t="s">
        <v>11044</v>
      </c>
      <c r="AY563">
        <v>8.6910000000000001E-2</v>
      </c>
      <c r="AZ563">
        <v>-6.62E-3</v>
      </c>
      <c r="BA563">
        <v>2.5500000000000002E-3</v>
      </c>
      <c r="BB563">
        <v>-4.6000000000000001E-4</v>
      </c>
      <c r="BC563">
        <v>2.929E-2</v>
      </c>
      <c r="BD563">
        <v>1</v>
      </c>
      <c r="BE563" t="s">
        <v>69</v>
      </c>
      <c r="BF563">
        <v>-1.0920000000000001</v>
      </c>
      <c r="BG563">
        <v>0.34300000000000003</v>
      </c>
    </row>
    <row r="564" spans="1:59">
      <c r="A564">
        <v>0</v>
      </c>
      <c r="B564">
        <v>0</v>
      </c>
      <c r="C564">
        <v>0</v>
      </c>
      <c r="D564" t="s">
        <v>25022</v>
      </c>
      <c r="E564">
        <v>1574</v>
      </c>
      <c r="F564" t="s">
        <v>9838</v>
      </c>
      <c r="G564" t="s">
        <v>57</v>
      </c>
      <c r="H564">
        <v>1580121</v>
      </c>
      <c r="I564">
        <v>1580549</v>
      </c>
      <c r="J564" t="s">
        <v>9839</v>
      </c>
      <c r="K564">
        <v>143</v>
      </c>
      <c r="L564" t="s">
        <v>59</v>
      </c>
      <c r="M564">
        <v>49</v>
      </c>
      <c r="N564" t="str">
        <f>HYPERLINK("Gene1574-zp_tree_all.dnd", "Gene1574-tree")</f>
        <v>Gene1574-tree</v>
      </c>
      <c r="O564">
        <v>29</v>
      </c>
      <c r="P564">
        <v>1</v>
      </c>
      <c r="Q564">
        <v>10</v>
      </c>
      <c r="R564">
        <v>1</v>
      </c>
      <c r="S564">
        <v>9.0910000000000005E-2</v>
      </c>
      <c r="T564" t="s">
        <v>2184</v>
      </c>
      <c r="U564" t="s">
        <v>175</v>
      </c>
      <c r="V564" t="s">
        <v>62</v>
      </c>
      <c r="W564" t="s">
        <v>62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9</v>
      </c>
      <c r="AM564">
        <v>5</v>
      </c>
      <c r="AN564">
        <v>11</v>
      </c>
      <c r="AO564">
        <v>1</v>
      </c>
      <c r="AP564">
        <v>17</v>
      </c>
      <c r="AQ564">
        <v>0</v>
      </c>
      <c r="AR564" t="s">
        <v>9840</v>
      </c>
      <c r="AS564" t="s">
        <v>193</v>
      </c>
      <c r="AT564">
        <v>0.36299999999999999</v>
      </c>
      <c r="AU564" t="s">
        <v>65</v>
      </c>
      <c r="AV564">
        <v>28</v>
      </c>
      <c r="AW564">
        <v>1</v>
      </c>
      <c r="AX564" t="s">
        <v>9841</v>
      </c>
      <c r="AY564">
        <v>8.616E-2</v>
      </c>
      <c r="AZ564">
        <v>-6.1799999999999997E-3</v>
      </c>
      <c r="BA564">
        <v>5.4000000000000001E-4</v>
      </c>
      <c r="BB564">
        <v>-1.4999999999999999E-4</v>
      </c>
      <c r="BC564">
        <v>6.2599999999999999E-3</v>
      </c>
      <c r="BD564">
        <v>1</v>
      </c>
      <c r="BE564" t="s">
        <v>69</v>
      </c>
      <c r="BF564">
        <v>-1.3149999999999999</v>
      </c>
      <c r="BG564">
        <v>-1.2310000000000001</v>
      </c>
    </row>
    <row r="565" spans="1:59">
      <c r="A565">
        <v>0</v>
      </c>
      <c r="B565">
        <v>0</v>
      </c>
      <c r="C565">
        <v>0</v>
      </c>
      <c r="D565" t="s">
        <v>25022</v>
      </c>
      <c r="E565">
        <v>2433</v>
      </c>
      <c r="F565" t="s">
        <v>14160</v>
      </c>
      <c r="G565" t="s">
        <v>62</v>
      </c>
      <c r="H565">
        <v>2435363</v>
      </c>
      <c r="I565">
        <v>2435791</v>
      </c>
      <c r="J565" t="s">
        <v>14161</v>
      </c>
      <c r="K565">
        <v>143</v>
      </c>
      <c r="L565" t="s">
        <v>14162</v>
      </c>
      <c r="M565">
        <v>37</v>
      </c>
      <c r="N565" t="str">
        <f>HYPERLINK("Gene2433-zp_tree_all.dnd", "Gene2433-tree")</f>
        <v>Gene2433-tree</v>
      </c>
      <c r="O565">
        <v>11</v>
      </c>
      <c r="P565">
        <v>1</v>
      </c>
      <c r="Q565">
        <v>11</v>
      </c>
      <c r="R565">
        <v>1</v>
      </c>
      <c r="S565">
        <v>8.3330000000000001E-2</v>
      </c>
      <c r="T565" t="s">
        <v>73</v>
      </c>
      <c r="U565" t="s">
        <v>175</v>
      </c>
      <c r="V565" t="s">
        <v>62</v>
      </c>
      <c r="W565" t="s">
        <v>62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8</v>
      </c>
      <c r="AM565">
        <v>8</v>
      </c>
      <c r="AN565">
        <v>14</v>
      </c>
      <c r="AO565">
        <v>1</v>
      </c>
      <c r="AP565">
        <v>27</v>
      </c>
      <c r="AQ565">
        <v>0</v>
      </c>
      <c r="AR565" t="s">
        <v>14163</v>
      </c>
      <c r="AS565" t="s">
        <v>193</v>
      </c>
      <c r="AT565">
        <v>0.36599999999999999</v>
      </c>
      <c r="AU565" t="s">
        <v>65</v>
      </c>
      <c r="AV565">
        <v>41</v>
      </c>
      <c r="AW565">
        <v>1</v>
      </c>
      <c r="AX565" t="s">
        <v>14164</v>
      </c>
      <c r="AY565">
        <v>0.11007</v>
      </c>
      <c r="AZ565">
        <v>-1.048E-2</v>
      </c>
      <c r="BA565">
        <v>5.1000000000000004E-4</v>
      </c>
      <c r="BB565">
        <v>-1.2999999999999999E-4</v>
      </c>
      <c r="BC565">
        <v>4.5900000000000003E-3</v>
      </c>
      <c r="BD565">
        <v>1</v>
      </c>
      <c r="BE565" t="s">
        <v>69</v>
      </c>
      <c r="BF565">
        <v>-1.095</v>
      </c>
      <c r="BG565">
        <v>-0.48199999999999998</v>
      </c>
    </row>
    <row r="566" spans="1:59">
      <c r="A566">
        <v>0</v>
      </c>
      <c r="B566">
        <v>5</v>
      </c>
      <c r="C566">
        <v>1</v>
      </c>
      <c r="D566" t="s">
        <v>25022</v>
      </c>
      <c r="E566">
        <v>4098</v>
      </c>
      <c r="F566" t="s">
        <v>24130</v>
      </c>
      <c r="G566" t="s">
        <v>62</v>
      </c>
      <c r="H566">
        <v>4065077</v>
      </c>
      <c r="I566">
        <v>4065508</v>
      </c>
      <c r="J566" t="s">
        <v>24131</v>
      </c>
      <c r="K566">
        <v>144</v>
      </c>
      <c r="L566" t="s">
        <v>108</v>
      </c>
      <c r="M566">
        <v>44</v>
      </c>
      <c r="N566" t="str">
        <f>HYPERLINK("Gene4098-zp_tree_all.dnd", "Gene4098-tree")</f>
        <v>Gene4098-tree</v>
      </c>
      <c r="O566">
        <v>1</v>
      </c>
      <c r="P566">
        <v>11</v>
      </c>
      <c r="Q566">
        <v>1</v>
      </c>
      <c r="R566">
        <v>11</v>
      </c>
      <c r="S566">
        <v>0.91666999999999998</v>
      </c>
      <c r="T566" t="s">
        <v>175</v>
      </c>
      <c r="U566" t="s">
        <v>73</v>
      </c>
      <c r="V566">
        <v>1144612630.289</v>
      </c>
      <c r="W566" t="s">
        <v>267</v>
      </c>
      <c r="X566">
        <v>2</v>
      </c>
      <c r="Y566">
        <v>6</v>
      </c>
      <c r="Z566">
        <v>17</v>
      </c>
      <c r="AA566">
        <v>0.26086999999999999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5</v>
      </c>
      <c r="AH566">
        <v>1</v>
      </c>
      <c r="AI566">
        <v>6</v>
      </c>
      <c r="AJ566">
        <v>16</v>
      </c>
      <c r="AK566">
        <v>0.27272999999999997</v>
      </c>
      <c r="AL566">
        <v>6</v>
      </c>
      <c r="AM566">
        <v>7</v>
      </c>
      <c r="AN566">
        <v>3</v>
      </c>
      <c r="AO566">
        <v>11</v>
      </c>
      <c r="AP566">
        <v>8</v>
      </c>
      <c r="AQ566">
        <v>12</v>
      </c>
      <c r="AR566" t="s">
        <v>24132</v>
      </c>
      <c r="AS566" t="s">
        <v>24133</v>
      </c>
      <c r="AT566">
        <v>0.47099999999999997</v>
      </c>
      <c r="AU566" t="s">
        <v>65</v>
      </c>
      <c r="AV566">
        <v>11</v>
      </c>
      <c r="AW566">
        <v>23</v>
      </c>
      <c r="AX566" t="s">
        <v>24134</v>
      </c>
      <c r="AY566">
        <v>3.7690000000000001E-2</v>
      </c>
      <c r="AZ566">
        <v>-3.14E-3</v>
      </c>
      <c r="BA566">
        <v>1.6809999999999999E-2</v>
      </c>
      <c r="BB566">
        <v>-1.3500000000000001E-3</v>
      </c>
      <c r="BC566">
        <v>0.44607000000000002</v>
      </c>
      <c r="BD566">
        <v>0.9</v>
      </c>
      <c r="BE566" t="s">
        <v>635</v>
      </c>
      <c r="BF566">
        <v>-0.42499999999999999</v>
      </c>
      <c r="BG566">
        <v>-0.42499999999999999</v>
      </c>
    </row>
    <row r="567" spans="1:59">
      <c r="A567">
        <v>0</v>
      </c>
      <c r="B567">
        <v>0</v>
      </c>
      <c r="C567">
        <v>0</v>
      </c>
      <c r="D567" t="s">
        <v>25022</v>
      </c>
      <c r="E567">
        <v>1850</v>
      </c>
      <c r="F567" t="s">
        <v>11591</v>
      </c>
      <c r="G567" t="s">
        <v>57</v>
      </c>
      <c r="H567">
        <v>1916663</v>
      </c>
      <c r="I567">
        <v>1917094</v>
      </c>
      <c r="J567" t="s">
        <v>11592</v>
      </c>
      <c r="K567">
        <v>144</v>
      </c>
      <c r="L567" t="s">
        <v>11593</v>
      </c>
      <c r="M567">
        <v>33</v>
      </c>
      <c r="N567" t="str">
        <f>HYPERLINK("Gene1850-zp_tree_all.dnd", "Gene1850-tree")</f>
        <v>Gene1850-tree</v>
      </c>
      <c r="O567">
        <v>5</v>
      </c>
      <c r="P567">
        <v>3</v>
      </c>
      <c r="Q567">
        <v>5</v>
      </c>
      <c r="R567">
        <v>3</v>
      </c>
      <c r="S567">
        <v>0.375</v>
      </c>
      <c r="T567" t="s">
        <v>199</v>
      </c>
      <c r="U567" t="s">
        <v>324</v>
      </c>
      <c r="V567" t="s">
        <v>62</v>
      </c>
      <c r="W567" t="s">
        <v>62</v>
      </c>
      <c r="X567">
        <v>0</v>
      </c>
      <c r="Y567">
        <v>0</v>
      </c>
      <c r="Z567">
        <v>7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4</v>
      </c>
      <c r="AK567">
        <v>0</v>
      </c>
      <c r="AL567">
        <v>6</v>
      </c>
      <c r="AM567">
        <v>3</v>
      </c>
      <c r="AN567">
        <v>8</v>
      </c>
      <c r="AO567">
        <v>4</v>
      </c>
      <c r="AP567">
        <v>5</v>
      </c>
      <c r="AQ567">
        <v>3</v>
      </c>
      <c r="AR567" t="s">
        <v>11594</v>
      </c>
      <c r="AS567" t="s">
        <v>11595</v>
      </c>
      <c r="AT567">
        <v>0.25600000000000001</v>
      </c>
      <c r="AU567" t="s">
        <v>65</v>
      </c>
      <c r="AV567">
        <v>13</v>
      </c>
      <c r="AW567">
        <v>7</v>
      </c>
      <c r="AX567" t="s">
        <v>11596</v>
      </c>
      <c r="AY567">
        <v>4.3060000000000001E-2</v>
      </c>
      <c r="AZ567">
        <v>-4.0000000000000001E-3</v>
      </c>
      <c r="BA567">
        <v>7.0899999999999999E-3</v>
      </c>
      <c r="BB567">
        <v>-5.9000000000000003E-4</v>
      </c>
      <c r="BC567">
        <v>0.16474</v>
      </c>
      <c r="BD567">
        <v>1</v>
      </c>
      <c r="BE567" t="s">
        <v>69</v>
      </c>
      <c r="BF567">
        <v>-1.36</v>
      </c>
      <c r="BG567">
        <v>-1.556</v>
      </c>
    </row>
    <row r="568" spans="1:59">
      <c r="A568">
        <v>0</v>
      </c>
      <c r="B568">
        <v>2</v>
      </c>
      <c r="C568">
        <v>0</v>
      </c>
      <c r="D568" t="s">
        <v>25022</v>
      </c>
      <c r="E568">
        <v>3348</v>
      </c>
      <c r="F568" t="s">
        <v>19565</v>
      </c>
      <c r="G568" t="s">
        <v>62</v>
      </c>
      <c r="H568">
        <v>3318831</v>
      </c>
      <c r="I568">
        <v>3319262</v>
      </c>
      <c r="J568" t="s">
        <v>116</v>
      </c>
      <c r="K568">
        <v>144</v>
      </c>
      <c r="L568" t="s">
        <v>108</v>
      </c>
      <c r="M568">
        <v>44</v>
      </c>
      <c r="N568" t="str">
        <f>HYPERLINK("Gene3348-zp_tree_all.dnd", "Gene3348-tree")</f>
        <v>Gene3348-tree</v>
      </c>
      <c r="O568">
        <v>7</v>
      </c>
      <c r="P568">
        <v>5</v>
      </c>
      <c r="Q568">
        <v>7</v>
      </c>
      <c r="R568">
        <v>5</v>
      </c>
      <c r="S568">
        <v>0.41666999999999998</v>
      </c>
      <c r="T568" t="s">
        <v>152</v>
      </c>
      <c r="U568" t="s">
        <v>199</v>
      </c>
      <c r="V568" t="s">
        <v>62</v>
      </c>
      <c r="W568" t="s">
        <v>62</v>
      </c>
      <c r="X568">
        <v>1</v>
      </c>
      <c r="Y568">
        <v>2</v>
      </c>
      <c r="Z568">
        <v>7</v>
      </c>
      <c r="AA568">
        <v>0.22222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7</v>
      </c>
      <c r="AK568">
        <v>0</v>
      </c>
      <c r="AL568">
        <v>10</v>
      </c>
      <c r="AM568">
        <v>4</v>
      </c>
      <c r="AN568">
        <v>19</v>
      </c>
      <c r="AO568">
        <v>8</v>
      </c>
      <c r="AP568">
        <v>6</v>
      </c>
      <c r="AQ568">
        <v>2</v>
      </c>
      <c r="AR568" t="s">
        <v>19566</v>
      </c>
      <c r="AS568" t="s">
        <v>19567</v>
      </c>
      <c r="AT568">
        <v>0.24399999999999999</v>
      </c>
      <c r="AU568" t="s">
        <v>65</v>
      </c>
      <c r="AV568">
        <v>25</v>
      </c>
      <c r="AW568">
        <v>10</v>
      </c>
      <c r="AX568" t="s">
        <v>19568</v>
      </c>
      <c r="AY568">
        <v>4.7500000000000001E-2</v>
      </c>
      <c r="AZ568">
        <v>-2.0500000000000002E-3</v>
      </c>
      <c r="BA568">
        <v>6.28E-3</v>
      </c>
      <c r="BB568">
        <v>-5.6999999999999998E-4</v>
      </c>
      <c r="BC568">
        <v>0.13222</v>
      </c>
      <c r="BD568">
        <v>1</v>
      </c>
      <c r="BE568" t="s">
        <v>69</v>
      </c>
      <c r="BF568">
        <v>-1.133</v>
      </c>
      <c r="BG568">
        <v>-1.298</v>
      </c>
    </row>
    <row r="569" spans="1:59">
      <c r="A569">
        <v>0</v>
      </c>
      <c r="B569">
        <v>0</v>
      </c>
      <c r="C569">
        <v>0</v>
      </c>
      <c r="D569" t="s">
        <v>25022</v>
      </c>
      <c r="E569">
        <v>1813</v>
      </c>
      <c r="F569" t="s">
        <v>11364</v>
      </c>
      <c r="G569" t="s">
        <v>57</v>
      </c>
      <c r="H569">
        <v>1881536</v>
      </c>
      <c r="I569">
        <v>1881967</v>
      </c>
      <c r="J569" t="s">
        <v>11351</v>
      </c>
      <c r="K569">
        <v>144</v>
      </c>
      <c r="L569" t="s">
        <v>11365</v>
      </c>
      <c r="M569">
        <v>27</v>
      </c>
      <c r="N569" t="str">
        <f>HYPERLINK("Gene1813-zp_tree_all.dnd", "Gene1813-tree")</f>
        <v>Gene1813-tree</v>
      </c>
      <c r="O569">
        <v>0</v>
      </c>
      <c r="P569">
        <v>24</v>
      </c>
      <c r="Q569">
        <v>0</v>
      </c>
      <c r="R569">
        <v>4</v>
      </c>
      <c r="S569">
        <v>1</v>
      </c>
      <c r="T569" t="s">
        <v>62</v>
      </c>
      <c r="U569" t="s">
        <v>1495</v>
      </c>
      <c r="V569">
        <v>6.851</v>
      </c>
      <c r="W569" t="s">
        <v>65</v>
      </c>
      <c r="X569">
        <v>0</v>
      </c>
      <c r="Y569">
        <v>0</v>
      </c>
      <c r="Z569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</v>
      </c>
      <c r="AK569">
        <v>0</v>
      </c>
      <c r="AL569">
        <v>3</v>
      </c>
      <c r="AM569">
        <v>0</v>
      </c>
      <c r="AN569">
        <v>9</v>
      </c>
      <c r="AO569">
        <v>4</v>
      </c>
      <c r="AP569">
        <v>0</v>
      </c>
      <c r="AQ569">
        <v>0</v>
      </c>
      <c r="AR569" t="s">
        <v>11366</v>
      </c>
      <c r="AS569" t="s">
        <v>193</v>
      </c>
      <c r="AT569">
        <v>1.111</v>
      </c>
      <c r="AU569" t="s">
        <v>65</v>
      </c>
      <c r="AV569">
        <v>9</v>
      </c>
      <c r="AW569">
        <v>4</v>
      </c>
      <c r="AX569" t="s">
        <v>11367</v>
      </c>
      <c r="AY569">
        <v>5.423E-2</v>
      </c>
      <c r="AZ569">
        <v>-1.9179999999999999E-2</v>
      </c>
      <c r="BA569">
        <v>5.8999999999999999E-3</v>
      </c>
      <c r="BB569">
        <v>-9.8999999999999999E-4</v>
      </c>
      <c r="BC569">
        <v>0.10876</v>
      </c>
      <c r="BD569">
        <v>1</v>
      </c>
      <c r="BE569" t="s">
        <v>69</v>
      </c>
      <c r="BF569">
        <v>-2.1280000000000001</v>
      </c>
      <c r="BG569">
        <v>-3.621</v>
      </c>
    </row>
    <row r="570" spans="1:59">
      <c r="A570">
        <v>0</v>
      </c>
      <c r="B570">
        <v>0</v>
      </c>
      <c r="C570">
        <v>0</v>
      </c>
      <c r="D570" t="s">
        <v>25022</v>
      </c>
      <c r="E570">
        <v>1830</v>
      </c>
      <c r="F570" t="s">
        <v>11471</v>
      </c>
      <c r="G570" t="s">
        <v>57</v>
      </c>
      <c r="H570">
        <v>1900080</v>
      </c>
      <c r="I570">
        <v>1900511</v>
      </c>
      <c r="J570" t="s">
        <v>11472</v>
      </c>
      <c r="K570">
        <v>144</v>
      </c>
      <c r="L570" t="s">
        <v>108</v>
      </c>
      <c r="M570">
        <v>44</v>
      </c>
      <c r="N570" t="str">
        <f>HYPERLINK("Gene1830-zp_tree_all.dnd", "Gene1830-tree")</f>
        <v>Gene1830-tree</v>
      </c>
      <c r="O570">
        <v>27</v>
      </c>
      <c r="P570">
        <v>3</v>
      </c>
      <c r="Q570">
        <v>6</v>
      </c>
      <c r="R570">
        <v>3</v>
      </c>
      <c r="S570">
        <v>0.33333000000000002</v>
      </c>
      <c r="T570" t="s">
        <v>1055</v>
      </c>
      <c r="U570" t="s">
        <v>324</v>
      </c>
      <c r="V570" t="s">
        <v>62</v>
      </c>
      <c r="W570" t="s">
        <v>62</v>
      </c>
      <c r="X570">
        <v>0</v>
      </c>
      <c r="Y570">
        <v>0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3</v>
      </c>
      <c r="AK570">
        <v>0</v>
      </c>
      <c r="AL570">
        <v>6</v>
      </c>
      <c r="AM570">
        <v>2</v>
      </c>
      <c r="AN570">
        <v>12</v>
      </c>
      <c r="AO570">
        <v>3</v>
      </c>
      <c r="AP570">
        <v>4</v>
      </c>
      <c r="AQ570">
        <v>0</v>
      </c>
      <c r="AR570" t="s">
        <v>11473</v>
      </c>
      <c r="AS570" t="s">
        <v>193</v>
      </c>
      <c r="AT570">
        <v>1.024</v>
      </c>
      <c r="AU570" t="s">
        <v>65</v>
      </c>
      <c r="AV570">
        <v>16</v>
      </c>
      <c r="AW570">
        <v>3</v>
      </c>
      <c r="AX570" t="s">
        <v>11474</v>
      </c>
      <c r="AY570">
        <v>4.7710000000000002E-2</v>
      </c>
      <c r="AZ570">
        <v>-5.3499999999999997E-3</v>
      </c>
      <c r="BA570">
        <v>1.99E-3</v>
      </c>
      <c r="BB570">
        <v>-3.1E-4</v>
      </c>
      <c r="BC570">
        <v>4.165E-2</v>
      </c>
      <c r="BD570">
        <v>1</v>
      </c>
      <c r="BE570" t="s">
        <v>69</v>
      </c>
      <c r="BF570">
        <v>-1.3420000000000001</v>
      </c>
      <c r="BG570">
        <v>-1.6140000000000001</v>
      </c>
    </row>
    <row r="571" spans="1:59">
      <c r="A571">
        <v>0</v>
      </c>
      <c r="B571">
        <v>0</v>
      </c>
      <c r="C571">
        <v>0</v>
      </c>
      <c r="D571" t="s">
        <v>25022</v>
      </c>
      <c r="E571">
        <v>2277</v>
      </c>
      <c r="F571" t="s">
        <v>13176</v>
      </c>
      <c r="G571" t="s">
        <v>62</v>
      </c>
      <c r="H571">
        <v>2300224</v>
      </c>
      <c r="I571">
        <v>2300655</v>
      </c>
      <c r="J571" t="s">
        <v>13177</v>
      </c>
      <c r="K571">
        <v>144</v>
      </c>
      <c r="L571" t="s">
        <v>1607</v>
      </c>
      <c r="M571">
        <v>47</v>
      </c>
      <c r="N571" t="str">
        <f>HYPERLINK("Gene2277-zp_tree_all.dnd", "Gene2277-tree")</f>
        <v>Gene2277-tree</v>
      </c>
      <c r="O571">
        <v>32</v>
      </c>
      <c r="P571">
        <v>3</v>
      </c>
      <c r="Q571">
        <v>7</v>
      </c>
      <c r="R571">
        <v>3</v>
      </c>
      <c r="S571">
        <v>0.3</v>
      </c>
      <c r="T571" t="s">
        <v>5517</v>
      </c>
      <c r="U571" t="s">
        <v>324</v>
      </c>
      <c r="V571" t="s">
        <v>62</v>
      </c>
      <c r="W571" t="s">
        <v>62</v>
      </c>
      <c r="X571">
        <v>0</v>
      </c>
      <c r="Y571">
        <v>0</v>
      </c>
      <c r="Z571">
        <v>5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3</v>
      </c>
      <c r="AK571">
        <v>0</v>
      </c>
      <c r="AL571">
        <v>6</v>
      </c>
      <c r="AM571">
        <v>5</v>
      </c>
      <c r="AN571">
        <v>14</v>
      </c>
      <c r="AO571">
        <v>3</v>
      </c>
      <c r="AP571">
        <v>16</v>
      </c>
      <c r="AQ571">
        <v>2</v>
      </c>
      <c r="AR571" t="s">
        <v>13178</v>
      </c>
      <c r="AS571" t="s">
        <v>13179</v>
      </c>
      <c r="AT571">
        <v>0.32</v>
      </c>
      <c r="AU571" t="s">
        <v>65</v>
      </c>
      <c r="AV571">
        <v>30</v>
      </c>
      <c r="AW571">
        <v>5</v>
      </c>
      <c r="AX571" t="s">
        <v>13180</v>
      </c>
      <c r="AY571">
        <v>0.10314</v>
      </c>
      <c r="AZ571">
        <v>-1.167E-2</v>
      </c>
      <c r="BA571">
        <v>4.28E-3</v>
      </c>
      <c r="BB571">
        <v>-4.4999999999999999E-4</v>
      </c>
      <c r="BC571">
        <v>4.1540000000000001E-2</v>
      </c>
      <c r="BD571">
        <v>1</v>
      </c>
      <c r="BE571" t="s">
        <v>69</v>
      </c>
      <c r="BF571">
        <v>-1.5409999999999999</v>
      </c>
      <c r="BG571">
        <v>-1.1419999999999999</v>
      </c>
    </row>
    <row r="572" spans="1:59">
      <c r="A572">
        <v>0</v>
      </c>
      <c r="B572">
        <v>0</v>
      </c>
      <c r="C572">
        <v>0</v>
      </c>
      <c r="D572" t="s">
        <v>25022</v>
      </c>
      <c r="E572">
        <v>433</v>
      </c>
      <c r="F572" t="s">
        <v>2941</v>
      </c>
      <c r="G572" t="s">
        <v>57</v>
      </c>
      <c r="H572">
        <v>476059</v>
      </c>
      <c r="I572">
        <v>476490</v>
      </c>
      <c r="J572" t="s">
        <v>2942</v>
      </c>
      <c r="K572">
        <v>144</v>
      </c>
      <c r="L572" t="s">
        <v>2943</v>
      </c>
      <c r="M572">
        <v>45</v>
      </c>
      <c r="N572" t="str">
        <f>HYPERLINK("Gene433-zp_tree_all.dnd", "Gene433-tree")</f>
        <v>Gene433-tree</v>
      </c>
      <c r="O572">
        <v>14</v>
      </c>
      <c r="P572">
        <v>2</v>
      </c>
      <c r="Q572">
        <v>14</v>
      </c>
      <c r="R572">
        <v>2</v>
      </c>
      <c r="S572">
        <v>0.125</v>
      </c>
      <c r="T572" t="s">
        <v>543</v>
      </c>
      <c r="U572" t="s">
        <v>81</v>
      </c>
      <c r="V572" t="s">
        <v>62</v>
      </c>
      <c r="W572" t="s">
        <v>62</v>
      </c>
      <c r="X572">
        <v>0</v>
      </c>
      <c r="Y572">
        <v>0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3</v>
      </c>
      <c r="AK572">
        <v>0</v>
      </c>
      <c r="AL572">
        <v>12</v>
      </c>
      <c r="AM572">
        <v>10</v>
      </c>
      <c r="AN572">
        <v>20</v>
      </c>
      <c r="AO572">
        <v>3</v>
      </c>
      <c r="AP572">
        <v>28</v>
      </c>
      <c r="AQ572">
        <v>0</v>
      </c>
      <c r="AR572" t="s">
        <v>2944</v>
      </c>
      <c r="AS572" t="s">
        <v>193</v>
      </c>
      <c r="AT572">
        <v>0.59</v>
      </c>
      <c r="AU572" t="s">
        <v>65</v>
      </c>
      <c r="AV572">
        <v>48</v>
      </c>
      <c r="AW572">
        <v>3</v>
      </c>
      <c r="AX572" t="s">
        <v>2945</v>
      </c>
      <c r="AY572">
        <v>0.12520000000000001</v>
      </c>
      <c r="AZ572">
        <v>-8.8100000000000001E-3</v>
      </c>
      <c r="BA572">
        <v>1.14E-3</v>
      </c>
      <c r="BB572">
        <v>-2.0000000000000001E-4</v>
      </c>
      <c r="BC572">
        <v>9.1199999999999996E-3</v>
      </c>
      <c r="BD572">
        <v>1</v>
      </c>
      <c r="BE572" t="s">
        <v>69</v>
      </c>
      <c r="BF572">
        <v>-1.4610000000000001</v>
      </c>
      <c r="BG572">
        <v>-0.93899999999999995</v>
      </c>
    </row>
    <row r="573" spans="1:59">
      <c r="A573">
        <v>0</v>
      </c>
      <c r="B573">
        <v>0</v>
      </c>
      <c r="C573">
        <v>0</v>
      </c>
      <c r="D573" t="s">
        <v>25022</v>
      </c>
      <c r="E573">
        <v>123</v>
      </c>
      <c r="F573" t="s">
        <v>922</v>
      </c>
      <c r="G573" t="s">
        <v>57</v>
      </c>
      <c r="H573">
        <v>139500</v>
      </c>
      <c r="I573">
        <v>139931</v>
      </c>
      <c r="J573" t="s">
        <v>923</v>
      </c>
      <c r="K573">
        <v>144</v>
      </c>
      <c r="L573" t="s">
        <v>59</v>
      </c>
      <c r="M573">
        <v>49</v>
      </c>
      <c r="N573" t="str">
        <f>HYPERLINK("Gene123-zp_tree_all.dnd", "Gene123-tree")</f>
        <v>Gene123-tree</v>
      </c>
      <c r="O573">
        <v>7</v>
      </c>
      <c r="P573">
        <v>0</v>
      </c>
      <c r="Q573">
        <v>7</v>
      </c>
      <c r="R573">
        <v>0</v>
      </c>
      <c r="S573">
        <v>0</v>
      </c>
      <c r="T573" t="s">
        <v>152</v>
      </c>
      <c r="U573" t="s">
        <v>62</v>
      </c>
      <c r="V573" t="s">
        <v>62</v>
      </c>
      <c r="W573" t="s">
        <v>62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5</v>
      </c>
      <c r="AM573">
        <v>3</v>
      </c>
      <c r="AN573">
        <v>6</v>
      </c>
      <c r="AO573">
        <v>0</v>
      </c>
      <c r="AP573">
        <v>4</v>
      </c>
      <c r="AQ573">
        <v>0</v>
      </c>
      <c r="AR573" t="s">
        <v>193</v>
      </c>
      <c r="AS573" t="s">
        <v>193</v>
      </c>
      <c r="AT573">
        <v>0</v>
      </c>
      <c r="AU573" t="s">
        <v>65</v>
      </c>
      <c r="AV573">
        <v>10</v>
      </c>
      <c r="AW573">
        <v>0</v>
      </c>
      <c r="AX573" t="s">
        <v>924</v>
      </c>
      <c r="AY573">
        <v>3.6499999999999998E-2</v>
      </c>
      <c r="AZ573">
        <v>-3.6900000000000001E-3</v>
      </c>
      <c r="BA573">
        <v>0</v>
      </c>
      <c r="BB573">
        <v>0</v>
      </c>
      <c r="BC573">
        <v>0</v>
      </c>
      <c r="BD573">
        <v>1</v>
      </c>
      <c r="BE573" t="s">
        <v>69</v>
      </c>
      <c r="BF573">
        <v>-6.6000000000000003E-2</v>
      </c>
      <c r="BG573">
        <v>1.353</v>
      </c>
    </row>
    <row r="574" spans="1:59">
      <c r="A574">
        <v>0</v>
      </c>
      <c r="B574">
        <v>0</v>
      </c>
      <c r="C574">
        <v>0</v>
      </c>
      <c r="D574" t="s">
        <v>25022</v>
      </c>
      <c r="E574">
        <v>3182</v>
      </c>
      <c r="F574" t="s">
        <v>18513</v>
      </c>
      <c r="G574" t="s">
        <v>62</v>
      </c>
      <c r="H574">
        <v>3136941</v>
      </c>
      <c r="I574">
        <v>3137375</v>
      </c>
      <c r="J574" t="s">
        <v>1523</v>
      </c>
      <c r="K574">
        <v>145</v>
      </c>
      <c r="L574" t="s">
        <v>108</v>
      </c>
      <c r="M574">
        <v>44</v>
      </c>
      <c r="N574" t="str">
        <f>HYPERLINK("Gene3182-zp_tree_all.dnd", "Gene3182-tree")</f>
        <v>Gene3182-tree</v>
      </c>
      <c r="O574">
        <v>6</v>
      </c>
      <c r="P574">
        <v>5</v>
      </c>
      <c r="Q574">
        <v>6</v>
      </c>
      <c r="R574">
        <v>5</v>
      </c>
      <c r="S574">
        <v>0.45455000000000001</v>
      </c>
      <c r="T574" t="s">
        <v>90</v>
      </c>
      <c r="U574" t="s">
        <v>199</v>
      </c>
      <c r="V574" t="s">
        <v>62</v>
      </c>
      <c r="W574" t="s">
        <v>62</v>
      </c>
      <c r="X574">
        <v>0</v>
      </c>
      <c r="Y574">
        <v>0</v>
      </c>
      <c r="Z574">
        <v>7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6</v>
      </c>
      <c r="AK574">
        <v>0</v>
      </c>
      <c r="AL574">
        <v>8</v>
      </c>
      <c r="AM574">
        <v>4</v>
      </c>
      <c r="AN574">
        <v>9</v>
      </c>
      <c r="AO574">
        <v>6</v>
      </c>
      <c r="AP574">
        <v>3</v>
      </c>
      <c r="AQ574">
        <v>1</v>
      </c>
      <c r="AR574" t="s">
        <v>18514</v>
      </c>
      <c r="AS574" t="s">
        <v>18515</v>
      </c>
      <c r="AT574">
        <v>0.504</v>
      </c>
      <c r="AU574" t="s">
        <v>65</v>
      </c>
      <c r="AV574">
        <v>12</v>
      </c>
      <c r="AW574">
        <v>7</v>
      </c>
      <c r="AX574" t="s">
        <v>18516</v>
      </c>
      <c r="AY574">
        <v>2.6769999999999999E-2</v>
      </c>
      <c r="AZ574">
        <v>-1.7600000000000001E-3</v>
      </c>
      <c r="BA574">
        <v>4.8300000000000001E-3</v>
      </c>
      <c r="BB574">
        <v>-4.0999999999999999E-4</v>
      </c>
      <c r="BC574">
        <v>0.18029000000000001</v>
      </c>
      <c r="BD574">
        <v>1</v>
      </c>
      <c r="BE574" t="s">
        <v>69</v>
      </c>
      <c r="BF574">
        <v>0.16200000000000001</v>
      </c>
      <c r="BG574">
        <v>0.23400000000000001</v>
      </c>
    </row>
    <row r="575" spans="1:59">
      <c r="A575">
        <v>0</v>
      </c>
      <c r="B575">
        <v>0</v>
      </c>
      <c r="C575">
        <v>0</v>
      </c>
      <c r="D575" t="s">
        <v>25022</v>
      </c>
      <c r="E575">
        <v>3418</v>
      </c>
      <c r="F575" t="s">
        <v>20007</v>
      </c>
      <c r="G575" t="s">
        <v>62</v>
      </c>
      <c r="H575">
        <v>3380160</v>
      </c>
      <c r="I575">
        <v>3380594</v>
      </c>
      <c r="J575" t="s">
        <v>20008</v>
      </c>
      <c r="K575">
        <v>145</v>
      </c>
      <c r="L575" t="s">
        <v>108</v>
      </c>
      <c r="M575">
        <v>44</v>
      </c>
      <c r="N575" t="str">
        <f>HYPERLINK("Gene3418-zp_tree_all.dnd", "Gene3418-tree")</f>
        <v>Gene3418-tree</v>
      </c>
      <c r="O575">
        <v>6</v>
      </c>
      <c r="P575">
        <v>3</v>
      </c>
      <c r="Q575">
        <v>6</v>
      </c>
      <c r="R575">
        <v>3</v>
      </c>
      <c r="S575">
        <v>0.33333000000000002</v>
      </c>
      <c r="T575" t="s">
        <v>90</v>
      </c>
      <c r="U575" t="s">
        <v>324</v>
      </c>
      <c r="V575" t="s">
        <v>62</v>
      </c>
      <c r="W575" t="s">
        <v>62</v>
      </c>
      <c r="X575">
        <v>0</v>
      </c>
      <c r="Y575">
        <v>0</v>
      </c>
      <c r="Z575">
        <v>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3</v>
      </c>
      <c r="AK575">
        <v>0</v>
      </c>
      <c r="AL575">
        <v>7</v>
      </c>
      <c r="AM575">
        <v>2</v>
      </c>
      <c r="AN575">
        <v>11</v>
      </c>
      <c r="AO575">
        <v>3</v>
      </c>
      <c r="AP575">
        <v>3</v>
      </c>
      <c r="AQ575">
        <v>2</v>
      </c>
      <c r="AR575" t="s">
        <v>20009</v>
      </c>
      <c r="AS575" t="s">
        <v>20010</v>
      </c>
      <c r="AT575">
        <v>0.71199999999999997</v>
      </c>
      <c r="AU575" t="s">
        <v>65</v>
      </c>
      <c r="AV575">
        <v>14</v>
      </c>
      <c r="AW575">
        <v>5</v>
      </c>
      <c r="AX575" t="s">
        <v>20011</v>
      </c>
      <c r="AY575">
        <v>4.1099999999999998E-2</v>
      </c>
      <c r="AZ575">
        <v>-3.16E-3</v>
      </c>
      <c r="BA575">
        <v>4.9300000000000004E-3</v>
      </c>
      <c r="BB575">
        <v>-6.4999999999999997E-4</v>
      </c>
      <c r="BC575">
        <v>0.11991</v>
      </c>
      <c r="BD575">
        <v>1</v>
      </c>
      <c r="BE575" t="s">
        <v>69</v>
      </c>
      <c r="BF575">
        <v>0.58499999999999996</v>
      </c>
      <c r="BG575">
        <v>-0.29599999999999999</v>
      </c>
    </row>
    <row r="576" spans="1:59">
      <c r="A576">
        <v>0</v>
      </c>
      <c r="B576">
        <v>0</v>
      </c>
      <c r="C576">
        <v>0</v>
      </c>
      <c r="D576" t="s">
        <v>25022</v>
      </c>
      <c r="E576">
        <v>150</v>
      </c>
      <c r="F576" t="s">
        <v>1061</v>
      </c>
      <c r="G576" t="s">
        <v>57</v>
      </c>
      <c r="H576">
        <v>153842</v>
      </c>
      <c r="I576">
        <v>154276</v>
      </c>
      <c r="J576" t="s">
        <v>1062</v>
      </c>
      <c r="K576">
        <v>145</v>
      </c>
      <c r="L576" t="s">
        <v>515</v>
      </c>
      <c r="M576">
        <v>51</v>
      </c>
      <c r="N576" t="str">
        <f>HYPERLINK("Gene150-zp_tree_all.dnd", "Gene150-tree")</f>
        <v>Gene150-tree</v>
      </c>
      <c r="O576">
        <v>6</v>
      </c>
      <c r="P576">
        <v>0</v>
      </c>
      <c r="Q576">
        <v>6</v>
      </c>
      <c r="R576">
        <v>0</v>
      </c>
      <c r="S576">
        <v>0</v>
      </c>
      <c r="T576" t="s">
        <v>90</v>
      </c>
      <c r="U576" t="s">
        <v>62</v>
      </c>
      <c r="V576" t="s">
        <v>62</v>
      </c>
      <c r="W576" t="s">
        <v>62</v>
      </c>
      <c r="X576">
        <v>0</v>
      </c>
      <c r="Y576">
        <v>0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5</v>
      </c>
      <c r="AM576">
        <v>3</v>
      </c>
      <c r="AN576">
        <v>7</v>
      </c>
      <c r="AO576">
        <v>0</v>
      </c>
      <c r="AP576">
        <v>6</v>
      </c>
      <c r="AQ576">
        <v>2</v>
      </c>
      <c r="AR576" t="s">
        <v>193</v>
      </c>
      <c r="AS576" t="s">
        <v>1063</v>
      </c>
      <c r="AT576">
        <v>0.68899999999999995</v>
      </c>
      <c r="AU576" t="s">
        <v>65</v>
      </c>
      <c r="AV576">
        <v>13</v>
      </c>
      <c r="AW576">
        <v>2</v>
      </c>
      <c r="AX576" t="s">
        <v>1064</v>
      </c>
      <c r="AY576">
        <v>5.6989999999999999E-2</v>
      </c>
      <c r="AZ576">
        <v>-6.7299999999999999E-3</v>
      </c>
      <c r="BA576">
        <v>3.63E-3</v>
      </c>
      <c r="BB576">
        <v>-6.4000000000000005E-4</v>
      </c>
      <c r="BC576">
        <v>6.3649999999999998E-2</v>
      </c>
      <c r="BD576">
        <v>1</v>
      </c>
      <c r="BE576" t="s">
        <v>69</v>
      </c>
      <c r="BF576">
        <v>-2.0430000000000001</v>
      </c>
      <c r="BG576">
        <v>-1.202</v>
      </c>
    </row>
    <row r="577" spans="1:59">
      <c r="A577">
        <v>0</v>
      </c>
      <c r="B577">
        <v>0</v>
      </c>
      <c r="C577">
        <v>0</v>
      </c>
      <c r="D577" t="s">
        <v>25022</v>
      </c>
      <c r="E577">
        <v>2612</v>
      </c>
      <c r="F577" t="s">
        <v>15291</v>
      </c>
      <c r="G577" t="s">
        <v>62</v>
      </c>
      <c r="H577">
        <v>2591431</v>
      </c>
      <c r="I577">
        <v>2591865</v>
      </c>
      <c r="J577" t="s">
        <v>15292</v>
      </c>
      <c r="K577">
        <v>145</v>
      </c>
      <c r="L577" t="s">
        <v>108</v>
      </c>
      <c r="M577">
        <v>44</v>
      </c>
      <c r="N577" t="str">
        <f>HYPERLINK("Gene2612-zp_tree_all.dnd", "Gene2612-tree")</f>
        <v>Gene2612-tree</v>
      </c>
      <c r="O577">
        <v>9</v>
      </c>
      <c r="P577">
        <v>1</v>
      </c>
      <c r="Q577">
        <v>9</v>
      </c>
      <c r="R577">
        <v>1</v>
      </c>
      <c r="S577">
        <v>0.1</v>
      </c>
      <c r="T577" t="s">
        <v>135</v>
      </c>
      <c r="U577" t="s">
        <v>175</v>
      </c>
      <c r="V577" t="s">
        <v>62</v>
      </c>
      <c r="W577" t="s">
        <v>62</v>
      </c>
      <c r="X577">
        <v>0</v>
      </c>
      <c r="Y577">
        <v>0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6</v>
      </c>
      <c r="AM577">
        <v>5</v>
      </c>
      <c r="AN577">
        <v>9</v>
      </c>
      <c r="AO577">
        <v>1</v>
      </c>
      <c r="AP577">
        <v>7</v>
      </c>
      <c r="AQ577">
        <v>1</v>
      </c>
      <c r="AR577" t="s">
        <v>15293</v>
      </c>
      <c r="AS577" t="s">
        <v>15294</v>
      </c>
      <c r="AT577">
        <v>8.6999999999999994E-2</v>
      </c>
      <c r="AU577" t="s">
        <v>65</v>
      </c>
      <c r="AV577">
        <v>16</v>
      </c>
      <c r="AW577">
        <v>2</v>
      </c>
      <c r="AX577" t="s">
        <v>15295</v>
      </c>
      <c r="AY577">
        <v>4.308E-2</v>
      </c>
      <c r="AZ577">
        <v>-2.5799999999999998E-3</v>
      </c>
      <c r="BA577">
        <v>2.1700000000000001E-3</v>
      </c>
      <c r="BB577">
        <v>-2.2000000000000001E-4</v>
      </c>
      <c r="BC577">
        <v>5.0380000000000001E-2</v>
      </c>
      <c r="BD577">
        <v>1</v>
      </c>
      <c r="BE577" t="s">
        <v>69</v>
      </c>
      <c r="BF577">
        <v>-0.153</v>
      </c>
      <c r="BG577">
        <v>-1.452</v>
      </c>
    </row>
    <row r="578" spans="1:59">
      <c r="A578">
        <v>0</v>
      </c>
      <c r="B578">
        <v>0</v>
      </c>
      <c r="C578">
        <v>0</v>
      </c>
      <c r="D578" t="s">
        <v>25022</v>
      </c>
      <c r="E578">
        <v>3180</v>
      </c>
      <c r="F578" t="s">
        <v>18500</v>
      </c>
      <c r="G578" t="s">
        <v>62</v>
      </c>
      <c r="H578">
        <v>3136241</v>
      </c>
      <c r="I578">
        <v>3136675</v>
      </c>
      <c r="J578" t="s">
        <v>18501</v>
      </c>
      <c r="K578">
        <v>145</v>
      </c>
      <c r="L578" t="s">
        <v>698</v>
      </c>
      <c r="M578">
        <v>47</v>
      </c>
      <c r="N578" t="str">
        <f>HYPERLINK("Gene3180-zp_tree_all.dnd", "Gene3180-tree")</f>
        <v>Gene3180-tree</v>
      </c>
      <c r="O578">
        <v>11</v>
      </c>
      <c r="P578">
        <v>1</v>
      </c>
      <c r="Q578">
        <v>11</v>
      </c>
      <c r="R578">
        <v>1</v>
      </c>
      <c r="S578">
        <v>8.3330000000000001E-2</v>
      </c>
      <c r="T578" t="s">
        <v>73</v>
      </c>
      <c r="U578" t="s">
        <v>175</v>
      </c>
      <c r="V578" t="s">
        <v>62</v>
      </c>
      <c r="W578" t="s">
        <v>62</v>
      </c>
      <c r="X578">
        <v>0</v>
      </c>
      <c r="Y578">
        <v>0</v>
      </c>
      <c r="Z578">
        <v>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8</v>
      </c>
      <c r="AM578">
        <v>6</v>
      </c>
      <c r="AN578">
        <v>13</v>
      </c>
      <c r="AO578">
        <v>1</v>
      </c>
      <c r="AP578">
        <v>15</v>
      </c>
      <c r="AQ578">
        <v>2</v>
      </c>
      <c r="AR578" t="s">
        <v>18502</v>
      </c>
      <c r="AS578" t="s">
        <v>18503</v>
      </c>
      <c r="AT578">
        <v>0.124</v>
      </c>
      <c r="AU578" t="s">
        <v>65</v>
      </c>
      <c r="AV578">
        <v>28</v>
      </c>
      <c r="AW578">
        <v>3</v>
      </c>
      <c r="AX578" t="s">
        <v>18504</v>
      </c>
      <c r="AY578">
        <v>7.9390000000000002E-2</v>
      </c>
      <c r="AZ578">
        <v>-8.0999999999999996E-3</v>
      </c>
      <c r="BA578">
        <v>2.2899999999999999E-3</v>
      </c>
      <c r="BB578">
        <v>-3.5E-4</v>
      </c>
      <c r="BC578">
        <v>2.8850000000000001E-2</v>
      </c>
      <c r="BD578">
        <v>1</v>
      </c>
      <c r="BE578" t="s">
        <v>69</v>
      </c>
      <c r="BF578">
        <v>-1.109</v>
      </c>
      <c r="BG578">
        <v>-0.215</v>
      </c>
    </row>
    <row r="579" spans="1:59">
      <c r="A579">
        <v>0</v>
      </c>
      <c r="B579">
        <v>0</v>
      </c>
      <c r="C579">
        <v>0</v>
      </c>
      <c r="D579" t="s">
        <v>25022</v>
      </c>
      <c r="E579">
        <v>1419</v>
      </c>
      <c r="F579" t="s">
        <v>8887</v>
      </c>
      <c r="G579" t="s">
        <v>57</v>
      </c>
      <c r="H579">
        <v>1433199</v>
      </c>
      <c r="I579">
        <v>1433633</v>
      </c>
      <c r="J579" t="s">
        <v>8888</v>
      </c>
      <c r="K579">
        <v>145</v>
      </c>
      <c r="L579" t="s">
        <v>59</v>
      </c>
      <c r="M579">
        <v>49</v>
      </c>
      <c r="N579" t="str">
        <f>HYPERLINK("Gene1419-zp_tree_all.dnd", "Gene1419-tree")</f>
        <v>Gene1419-tree</v>
      </c>
      <c r="O579">
        <v>31</v>
      </c>
      <c r="P579">
        <v>3</v>
      </c>
      <c r="Q579">
        <v>8</v>
      </c>
      <c r="R579">
        <v>3</v>
      </c>
      <c r="S579">
        <v>0.27272999999999997</v>
      </c>
      <c r="T579" t="s">
        <v>7249</v>
      </c>
      <c r="U579" t="s">
        <v>324</v>
      </c>
      <c r="V579" t="s">
        <v>62</v>
      </c>
      <c r="W579" t="s">
        <v>62</v>
      </c>
      <c r="X579">
        <v>0</v>
      </c>
      <c r="Y579">
        <v>0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4</v>
      </c>
      <c r="AK579">
        <v>0</v>
      </c>
      <c r="AL579">
        <v>10</v>
      </c>
      <c r="AM579">
        <v>3</v>
      </c>
      <c r="AN579">
        <v>15</v>
      </c>
      <c r="AO579">
        <v>4</v>
      </c>
      <c r="AP579">
        <v>13</v>
      </c>
      <c r="AQ579">
        <v>0</v>
      </c>
      <c r="AR579" t="s">
        <v>8889</v>
      </c>
      <c r="AS579" t="s">
        <v>193</v>
      </c>
      <c r="AT579">
        <v>0.88</v>
      </c>
      <c r="AU579" t="s">
        <v>65</v>
      </c>
      <c r="AV579">
        <v>28</v>
      </c>
      <c r="AW579">
        <v>4</v>
      </c>
      <c r="AX579" t="s">
        <v>8890</v>
      </c>
      <c r="AY579">
        <v>7.825E-2</v>
      </c>
      <c r="AZ579">
        <v>-8.0599999999999995E-3</v>
      </c>
      <c r="BA579">
        <v>2.1900000000000001E-3</v>
      </c>
      <c r="BB579">
        <v>-3.4000000000000002E-4</v>
      </c>
      <c r="BC579">
        <v>2.7949999999999999E-2</v>
      </c>
      <c r="BD579">
        <v>1</v>
      </c>
      <c r="BE579" t="s">
        <v>69</v>
      </c>
      <c r="BF579">
        <v>-1.548</v>
      </c>
      <c r="BG579">
        <v>0.11600000000000001</v>
      </c>
    </row>
    <row r="580" spans="1:59">
      <c r="A580">
        <v>0</v>
      </c>
      <c r="B580">
        <v>0</v>
      </c>
      <c r="C580">
        <v>0</v>
      </c>
      <c r="D580" t="s">
        <v>25022</v>
      </c>
      <c r="E580">
        <v>2501</v>
      </c>
      <c r="F580" t="s">
        <v>14585</v>
      </c>
      <c r="G580" t="s">
        <v>62</v>
      </c>
      <c r="H580">
        <v>2493067</v>
      </c>
      <c r="I580">
        <v>2493501</v>
      </c>
      <c r="J580" t="s">
        <v>14586</v>
      </c>
      <c r="K580">
        <v>145</v>
      </c>
      <c r="L580" t="s">
        <v>6390</v>
      </c>
      <c r="M580">
        <v>45</v>
      </c>
      <c r="N580" t="str">
        <f>HYPERLINK("Gene2501-zp_tree_all.dnd", "Gene2501-tree")</f>
        <v>Gene2501-tree</v>
      </c>
      <c r="O580">
        <v>11</v>
      </c>
      <c r="P580">
        <v>2</v>
      </c>
      <c r="Q580">
        <v>11</v>
      </c>
      <c r="R580">
        <v>2</v>
      </c>
      <c r="S580">
        <v>0.15384999999999999</v>
      </c>
      <c r="T580" t="s">
        <v>73</v>
      </c>
      <c r="U580" t="s">
        <v>81</v>
      </c>
      <c r="V580" t="s">
        <v>62</v>
      </c>
      <c r="W580" t="s">
        <v>62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</v>
      </c>
      <c r="AK580">
        <v>0</v>
      </c>
      <c r="AL580">
        <v>9</v>
      </c>
      <c r="AM580">
        <v>6</v>
      </c>
      <c r="AN580">
        <v>23</v>
      </c>
      <c r="AO580">
        <v>2</v>
      </c>
      <c r="AP580">
        <v>13</v>
      </c>
      <c r="AQ580">
        <v>0</v>
      </c>
      <c r="AR580" t="s">
        <v>14587</v>
      </c>
      <c r="AS580" t="s">
        <v>193</v>
      </c>
      <c r="AT580">
        <v>0.47799999999999998</v>
      </c>
      <c r="AU580" t="s">
        <v>65</v>
      </c>
      <c r="AV580">
        <v>36</v>
      </c>
      <c r="AW580">
        <v>2</v>
      </c>
      <c r="AX580" t="s">
        <v>14588</v>
      </c>
      <c r="AY580">
        <v>7.8740000000000004E-2</v>
      </c>
      <c r="AZ580">
        <v>-7.8399999999999997E-3</v>
      </c>
      <c r="BA580">
        <v>9.2000000000000003E-4</v>
      </c>
      <c r="BB580">
        <v>-1.6000000000000001E-4</v>
      </c>
      <c r="BC580">
        <v>1.1650000000000001E-2</v>
      </c>
      <c r="BD580">
        <v>1</v>
      </c>
      <c r="BE580" t="s">
        <v>69</v>
      </c>
      <c r="BF580">
        <v>-0.35699999999999998</v>
      </c>
      <c r="BG580">
        <v>-2.7120000000000002</v>
      </c>
    </row>
    <row r="581" spans="1:59">
      <c r="A581">
        <v>0</v>
      </c>
      <c r="B581">
        <v>0</v>
      </c>
      <c r="C581">
        <v>0</v>
      </c>
      <c r="D581" t="s">
        <v>25022</v>
      </c>
      <c r="E581">
        <v>906</v>
      </c>
      <c r="F581" t="s">
        <v>5658</v>
      </c>
      <c r="G581" t="s">
        <v>57</v>
      </c>
      <c r="H581">
        <v>944487</v>
      </c>
      <c r="I581">
        <v>944921</v>
      </c>
      <c r="J581" t="s">
        <v>5659</v>
      </c>
      <c r="K581">
        <v>145</v>
      </c>
      <c r="L581" t="s">
        <v>59</v>
      </c>
      <c r="M581">
        <v>49</v>
      </c>
      <c r="N581" t="str">
        <f>HYPERLINK("Gene906-zp_tree_all.dnd", "Gene906-tree")</f>
        <v>Gene906-tree</v>
      </c>
      <c r="O581">
        <v>35</v>
      </c>
      <c r="P581">
        <v>1</v>
      </c>
      <c r="Q581">
        <v>13</v>
      </c>
      <c r="R581">
        <v>1</v>
      </c>
      <c r="S581">
        <v>7.1429999999999993E-2</v>
      </c>
      <c r="T581" t="s">
        <v>5660</v>
      </c>
      <c r="U581" t="s">
        <v>175</v>
      </c>
      <c r="V581" t="s">
        <v>62</v>
      </c>
      <c r="W581" t="s">
        <v>62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11</v>
      </c>
      <c r="AM581">
        <v>6</v>
      </c>
      <c r="AN581">
        <v>14</v>
      </c>
      <c r="AO581">
        <v>1</v>
      </c>
      <c r="AP581">
        <v>21</v>
      </c>
      <c r="AQ581">
        <v>0</v>
      </c>
      <c r="AR581" t="s">
        <v>5661</v>
      </c>
      <c r="AS581" t="s">
        <v>193</v>
      </c>
      <c r="AT581">
        <v>0.32</v>
      </c>
      <c r="AU581" t="s">
        <v>65</v>
      </c>
      <c r="AV581">
        <v>35</v>
      </c>
      <c r="AW581">
        <v>1</v>
      </c>
      <c r="AX581" t="s">
        <v>5662</v>
      </c>
      <c r="AY581">
        <v>0.10809000000000001</v>
      </c>
      <c r="AZ581">
        <v>-8.0300000000000007E-3</v>
      </c>
      <c r="BA581">
        <v>4.2999999999999999E-4</v>
      </c>
      <c r="BB581">
        <v>-1.1E-4</v>
      </c>
      <c r="BC581">
        <v>3.96E-3</v>
      </c>
      <c r="BD581">
        <v>1</v>
      </c>
      <c r="BE581" t="s">
        <v>69</v>
      </c>
      <c r="BF581">
        <v>-0.93700000000000006</v>
      </c>
      <c r="BG581">
        <v>0.17499999999999999</v>
      </c>
    </row>
    <row r="582" spans="1:59">
      <c r="A582">
        <v>0</v>
      </c>
      <c r="B582">
        <v>2</v>
      </c>
      <c r="C582">
        <v>0</v>
      </c>
      <c r="D582" t="s">
        <v>25022</v>
      </c>
      <c r="E582">
        <v>3399</v>
      </c>
      <c r="F582" t="s">
        <v>19883</v>
      </c>
      <c r="G582" t="s">
        <v>62</v>
      </c>
      <c r="H582">
        <v>3365394</v>
      </c>
      <c r="I582">
        <v>3365831</v>
      </c>
      <c r="J582" t="s">
        <v>19884</v>
      </c>
      <c r="K582">
        <v>146</v>
      </c>
      <c r="L582" t="s">
        <v>108</v>
      </c>
      <c r="M582">
        <v>44</v>
      </c>
      <c r="N582" t="str">
        <f>HYPERLINK("Gene3399-zp_tree_all.dnd", "Gene3399-tree")</f>
        <v>Gene3399-tree</v>
      </c>
      <c r="O582">
        <v>4</v>
      </c>
      <c r="P582">
        <v>5</v>
      </c>
      <c r="Q582">
        <v>4</v>
      </c>
      <c r="R582">
        <v>5</v>
      </c>
      <c r="S582">
        <v>0.55556000000000005</v>
      </c>
      <c r="T582" t="s">
        <v>61</v>
      </c>
      <c r="U582" t="s">
        <v>199</v>
      </c>
      <c r="V582" t="s">
        <v>62</v>
      </c>
      <c r="W582" t="s">
        <v>62</v>
      </c>
      <c r="X582">
        <v>1</v>
      </c>
      <c r="Y582">
        <v>2</v>
      </c>
      <c r="Z582">
        <v>7</v>
      </c>
      <c r="AA582">
        <v>0.22222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</v>
      </c>
      <c r="AH582">
        <v>0</v>
      </c>
      <c r="AI582">
        <v>2</v>
      </c>
      <c r="AJ582">
        <v>6</v>
      </c>
      <c r="AK582">
        <v>0.25</v>
      </c>
      <c r="AL582">
        <v>7</v>
      </c>
      <c r="AM582">
        <v>4</v>
      </c>
      <c r="AN582">
        <v>5</v>
      </c>
      <c r="AO582">
        <v>7</v>
      </c>
      <c r="AP582">
        <v>2</v>
      </c>
      <c r="AQ582">
        <v>2</v>
      </c>
      <c r="AR582" t="s">
        <v>19885</v>
      </c>
      <c r="AS582" t="s">
        <v>19886</v>
      </c>
      <c r="AT582">
        <v>0.33500000000000002</v>
      </c>
      <c r="AU582" t="s">
        <v>65</v>
      </c>
      <c r="AV582">
        <v>7</v>
      </c>
      <c r="AW582">
        <v>9</v>
      </c>
      <c r="AX582" t="s">
        <v>19887</v>
      </c>
      <c r="AY582">
        <v>2.1129999999999999E-2</v>
      </c>
      <c r="AZ582">
        <v>-1.83E-3</v>
      </c>
      <c r="BA582">
        <v>7.0400000000000003E-3</v>
      </c>
      <c r="BB582">
        <v>-6.9999999999999999E-4</v>
      </c>
      <c r="BC582">
        <v>0.33310000000000001</v>
      </c>
      <c r="BD582">
        <v>0.85599999999999998</v>
      </c>
      <c r="BE582" t="s">
        <v>635</v>
      </c>
      <c r="BF582">
        <v>0.95399999999999996</v>
      </c>
      <c r="BG582">
        <v>0.13700000000000001</v>
      </c>
    </row>
    <row r="583" spans="1:59">
      <c r="A583">
        <v>0</v>
      </c>
      <c r="B583">
        <v>4</v>
      </c>
      <c r="C583">
        <v>0</v>
      </c>
      <c r="D583" t="s">
        <v>25022</v>
      </c>
      <c r="E583">
        <v>2819</v>
      </c>
      <c r="F583" t="s">
        <v>16174</v>
      </c>
      <c r="G583" t="s">
        <v>62</v>
      </c>
      <c r="H583">
        <v>2762398</v>
      </c>
      <c r="I583">
        <v>2762835</v>
      </c>
      <c r="J583" t="s">
        <v>16175</v>
      </c>
      <c r="K583">
        <v>146</v>
      </c>
      <c r="L583" t="s">
        <v>698</v>
      </c>
      <c r="M583">
        <v>47</v>
      </c>
      <c r="N583" t="str">
        <f>HYPERLINK("Gene2819-zp_tree_all.dnd", "Gene2819-tree")</f>
        <v>Gene2819-tree</v>
      </c>
      <c r="O583">
        <v>23</v>
      </c>
      <c r="P583">
        <v>7</v>
      </c>
      <c r="Q583">
        <v>5</v>
      </c>
      <c r="R583">
        <v>7</v>
      </c>
      <c r="S583">
        <v>0.58333000000000002</v>
      </c>
      <c r="T583" t="s">
        <v>1652</v>
      </c>
      <c r="U583" t="s">
        <v>152</v>
      </c>
      <c r="V583" t="s">
        <v>62</v>
      </c>
      <c r="W583" t="s">
        <v>62</v>
      </c>
      <c r="X583">
        <v>2</v>
      </c>
      <c r="Y583">
        <v>4</v>
      </c>
      <c r="Z583">
        <v>14</v>
      </c>
      <c r="AA583">
        <v>0.22222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</v>
      </c>
      <c r="AH583">
        <v>0</v>
      </c>
      <c r="AI583">
        <v>2</v>
      </c>
      <c r="AJ583">
        <v>11</v>
      </c>
      <c r="AK583">
        <v>0.15384999999999999</v>
      </c>
      <c r="AL583">
        <v>8</v>
      </c>
      <c r="AM583">
        <v>5</v>
      </c>
      <c r="AN583">
        <v>7</v>
      </c>
      <c r="AO583">
        <v>14</v>
      </c>
      <c r="AP583">
        <v>15</v>
      </c>
      <c r="AQ583">
        <v>5</v>
      </c>
      <c r="AR583" t="s">
        <v>16176</v>
      </c>
      <c r="AS583" t="s">
        <v>16177</v>
      </c>
      <c r="AT583">
        <v>0.82199999999999995</v>
      </c>
      <c r="AU583" t="s">
        <v>65</v>
      </c>
      <c r="AV583">
        <v>22</v>
      </c>
      <c r="AW583">
        <v>19</v>
      </c>
      <c r="AX583" t="s">
        <v>16178</v>
      </c>
      <c r="AY583">
        <v>6.8140000000000006E-2</v>
      </c>
      <c r="AZ583">
        <v>-8.1300000000000001E-3</v>
      </c>
      <c r="BA583">
        <v>1.111E-2</v>
      </c>
      <c r="BB583">
        <v>-1.1000000000000001E-3</v>
      </c>
      <c r="BC583">
        <v>0.16298000000000001</v>
      </c>
      <c r="BD583">
        <v>1</v>
      </c>
      <c r="BE583" t="s">
        <v>69</v>
      </c>
      <c r="BF583">
        <v>-1.409</v>
      </c>
      <c r="BG583">
        <v>-0.90400000000000003</v>
      </c>
    </row>
    <row r="584" spans="1:59">
      <c r="A584">
        <v>0</v>
      </c>
      <c r="B584">
        <v>0</v>
      </c>
      <c r="C584">
        <v>0</v>
      </c>
      <c r="D584" t="s">
        <v>25022</v>
      </c>
      <c r="E584">
        <v>485</v>
      </c>
      <c r="F584" t="s">
        <v>3280</v>
      </c>
      <c r="G584" t="s">
        <v>57</v>
      </c>
      <c r="H584">
        <v>524782</v>
      </c>
      <c r="I584">
        <v>525219</v>
      </c>
      <c r="J584" t="s">
        <v>116</v>
      </c>
      <c r="K584">
        <v>146</v>
      </c>
      <c r="L584" t="s">
        <v>3281</v>
      </c>
      <c r="M584">
        <v>33</v>
      </c>
      <c r="N584" t="str">
        <f>HYPERLINK("Gene485-zp_tree_all.dnd", "Gene485-tree")</f>
        <v>Gene485-tree</v>
      </c>
      <c r="O584">
        <v>4</v>
      </c>
      <c r="P584">
        <v>2</v>
      </c>
      <c r="Q584">
        <v>4</v>
      </c>
      <c r="R584">
        <v>2</v>
      </c>
      <c r="S584">
        <v>0.33333000000000002</v>
      </c>
      <c r="T584" t="s">
        <v>61</v>
      </c>
      <c r="U584" t="s">
        <v>81</v>
      </c>
      <c r="V584" t="s">
        <v>62</v>
      </c>
      <c r="W584" t="s">
        <v>62</v>
      </c>
      <c r="X584">
        <v>0</v>
      </c>
      <c r="Y584">
        <v>0</v>
      </c>
      <c r="Z584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4</v>
      </c>
      <c r="AK584">
        <v>0</v>
      </c>
      <c r="AL584">
        <v>3</v>
      </c>
      <c r="AM584">
        <v>3</v>
      </c>
      <c r="AN584">
        <v>8</v>
      </c>
      <c r="AO584">
        <v>5</v>
      </c>
      <c r="AP584">
        <v>4</v>
      </c>
      <c r="AQ584">
        <v>0</v>
      </c>
      <c r="AR584" t="s">
        <v>3282</v>
      </c>
      <c r="AS584" t="s">
        <v>193</v>
      </c>
      <c r="AT584">
        <v>0.9</v>
      </c>
      <c r="AU584" t="s">
        <v>65</v>
      </c>
      <c r="AV584">
        <v>12</v>
      </c>
      <c r="AW584">
        <v>5</v>
      </c>
      <c r="AX584" t="s">
        <v>3283</v>
      </c>
      <c r="AY584">
        <v>4.8759999999999998E-2</v>
      </c>
      <c r="AZ584">
        <v>-8.5900000000000004E-3</v>
      </c>
      <c r="BA584">
        <v>4.9199999999999999E-3</v>
      </c>
      <c r="BB584">
        <v>-1.17E-3</v>
      </c>
      <c r="BC584">
        <v>0.10098</v>
      </c>
      <c r="BD584">
        <v>1</v>
      </c>
      <c r="BE584" t="s">
        <v>69</v>
      </c>
      <c r="BF584">
        <v>-1.3149999999999999</v>
      </c>
      <c r="BG584">
        <v>-2.2919999999999998</v>
      </c>
    </row>
    <row r="585" spans="1:59">
      <c r="A585">
        <v>0</v>
      </c>
      <c r="B585">
        <v>0</v>
      </c>
      <c r="C585">
        <v>0</v>
      </c>
      <c r="D585" t="s">
        <v>25022</v>
      </c>
      <c r="E585">
        <v>1311</v>
      </c>
      <c r="F585" t="s">
        <v>8232</v>
      </c>
      <c r="G585" t="s">
        <v>57</v>
      </c>
      <c r="H585">
        <v>1331743</v>
      </c>
      <c r="I585">
        <v>1332180</v>
      </c>
      <c r="J585" t="s">
        <v>8099</v>
      </c>
      <c r="K585">
        <v>146</v>
      </c>
      <c r="L585" t="s">
        <v>1305</v>
      </c>
      <c r="M585">
        <v>43</v>
      </c>
      <c r="N585" t="str">
        <f>HYPERLINK("Gene1311-zp_tree_all.dnd", "Gene1311-tree")</f>
        <v>Gene1311-tree</v>
      </c>
      <c r="O585">
        <v>25</v>
      </c>
      <c r="P585">
        <v>6</v>
      </c>
      <c r="Q585">
        <v>6</v>
      </c>
      <c r="R585">
        <v>6</v>
      </c>
      <c r="S585">
        <v>0.5</v>
      </c>
      <c r="T585" t="s">
        <v>965</v>
      </c>
      <c r="U585" t="s">
        <v>90</v>
      </c>
      <c r="V585" t="s">
        <v>62</v>
      </c>
      <c r="W585" t="s">
        <v>62</v>
      </c>
      <c r="X585">
        <v>0</v>
      </c>
      <c r="Y585">
        <v>0</v>
      </c>
      <c r="Z585">
        <v>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9</v>
      </c>
      <c r="AK585">
        <v>0</v>
      </c>
      <c r="AL585">
        <v>8</v>
      </c>
      <c r="AM585">
        <v>5</v>
      </c>
      <c r="AN585">
        <v>14</v>
      </c>
      <c r="AO585">
        <v>8</v>
      </c>
      <c r="AP585">
        <v>7</v>
      </c>
      <c r="AQ585">
        <v>1</v>
      </c>
      <c r="AR585" t="s">
        <v>8233</v>
      </c>
      <c r="AS585" t="s">
        <v>8234</v>
      </c>
      <c r="AT585">
        <v>1.038</v>
      </c>
      <c r="AU585" t="s">
        <v>65</v>
      </c>
      <c r="AV585">
        <v>21</v>
      </c>
      <c r="AW585">
        <v>9</v>
      </c>
      <c r="AX585" t="s">
        <v>8235</v>
      </c>
      <c r="AY585">
        <v>4.8750000000000002E-2</v>
      </c>
      <c r="AZ585">
        <v>-2.5799999999999998E-3</v>
      </c>
      <c r="BA585">
        <v>4.8599999999999997E-3</v>
      </c>
      <c r="BB585">
        <v>-5.1999999999999995E-4</v>
      </c>
      <c r="BC585">
        <v>9.9709999999999993E-2</v>
      </c>
      <c r="BD585">
        <v>1</v>
      </c>
      <c r="BE585" t="s">
        <v>69</v>
      </c>
      <c r="BF585">
        <v>-0.65800000000000003</v>
      </c>
      <c r="BG585">
        <v>-0.44600000000000001</v>
      </c>
    </row>
    <row r="586" spans="1:59">
      <c r="A586">
        <v>0</v>
      </c>
      <c r="B586">
        <v>0</v>
      </c>
      <c r="C586">
        <v>0</v>
      </c>
      <c r="D586" t="s">
        <v>25022</v>
      </c>
      <c r="E586">
        <v>135</v>
      </c>
      <c r="F586" t="s">
        <v>977</v>
      </c>
      <c r="G586" t="s">
        <v>57</v>
      </c>
      <c r="H586">
        <v>144085</v>
      </c>
      <c r="I586">
        <v>144522</v>
      </c>
      <c r="J586" t="s">
        <v>978</v>
      </c>
      <c r="K586">
        <v>146</v>
      </c>
      <c r="L586" t="s">
        <v>515</v>
      </c>
      <c r="M586">
        <v>51</v>
      </c>
      <c r="N586" t="str">
        <f>HYPERLINK("Gene135-zp_tree_all.dnd", "Gene135-tree")</f>
        <v>Gene135-tree</v>
      </c>
      <c r="O586">
        <v>7</v>
      </c>
      <c r="P586">
        <v>1</v>
      </c>
      <c r="Q586">
        <v>7</v>
      </c>
      <c r="R586">
        <v>1</v>
      </c>
      <c r="S586">
        <v>0.125</v>
      </c>
      <c r="T586" t="s">
        <v>152</v>
      </c>
      <c r="U586" t="s">
        <v>175</v>
      </c>
      <c r="V586" t="s">
        <v>62</v>
      </c>
      <c r="W586" t="s">
        <v>62</v>
      </c>
      <c r="X586">
        <v>0</v>
      </c>
      <c r="Y586">
        <v>0</v>
      </c>
      <c r="Z586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4</v>
      </c>
      <c r="AK586">
        <v>0</v>
      </c>
      <c r="AL586">
        <v>6</v>
      </c>
      <c r="AM586">
        <v>2</v>
      </c>
      <c r="AN586">
        <v>16</v>
      </c>
      <c r="AO586">
        <v>5</v>
      </c>
      <c r="AP586">
        <v>2</v>
      </c>
      <c r="AQ586">
        <v>0</v>
      </c>
      <c r="AR586" t="s">
        <v>979</v>
      </c>
      <c r="AS586" t="s">
        <v>193</v>
      </c>
      <c r="AT586">
        <v>0.37</v>
      </c>
      <c r="AU586" t="s">
        <v>65</v>
      </c>
      <c r="AV586">
        <v>18</v>
      </c>
      <c r="AW586">
        <v>5</v>
      </c>
      <c r="AX586" t="s">
        <v>980</v>
      </c>
      <c r="AY586">
        <v>4.8390000000000002E-2</v>
      </c>
      <c r="AZ586">
        <v>-8.2500000000000004E-3</v>
      </c>
      <c r="BA586">
        <v>3.82E-3</v>
      </c>
      <c r="BB586">
        <v>-1.25E-3</v>
      </c>
      <c r="BC586">
        <v>7.886E-2</v>
      </c>
      <c r="BD586">
        <v>1</v>
      </c>
      <c r="BE586" t="s">
        <v>69</v>
      </c>
      <c r="BF586">
        <v>-1.4610000000000001</v>
      </c>
      <c r="BG586">
        <v>1.7070000000000001</v>
      </c>
    </row>
    <row r="587" spans="1:59">
      <c r="A587">
        <v>0</v>
      </c>
      <c r="B587">
        <v>0</v>
      </c>
      <c r="C587">
        <v>0</v>
      </c>
      <c r="D587" t="s">
        <v>25022</v>
      </c>
      <c r="E587">
        <v>3007</v>
      </c>
      <c r="F587" t="s">
        <v>17367</v>
      </c>
      <c r="G587" t="s">
        <v>62</v>
      </c>
      <c r="H587">
        <v>2955212</v>
      </c>
      <c r="I587">
        <v>2955649</v>
      </c>
      <c r="J587" t="s">
        <v>17368</v>
      </c>
      <c r="K587">
        <v>146</v>
      </c>
      <c r="L587" t="s">
        <v>125</v>
      </c>
      <c r="M587">
        <v>48</v>
      </c>
      <c r="N587" t="str">
        <f>HYPERLINK("Gene3007-zp_tree_all.dnd", "Gene3007-tree")</f>
        <v>Gene3007-tree</v>
      </c>
      <c r="O587">
        <v>11</v>
      </c>
      <c r="P587">
        <v>1</v>
      </c>
      <c r="Q587">
        <v>11</v>
      </c>
      <c r="R587">
        <v>1</v>
      </c>
      <c r="S587">
        <v>8.3330000000000001E-2</v>
      </c>
      <c r="T587" t="s">
        <v>73</v>
      </c>
      <c r="U587" t="s">
        <v>175</v>
      </c>
      <c r="V587" t="s">
        <v>62</v>
      </c>
      <c r="W587" t="s">
        <v>62</v>
      </c>
      <c r="X587">
        <v>0</v>
      </c>
      <c r="Y587">
        <v>0</v>
      </c>
      <c r="Z587">
        <v>5</v>
      </c>
      <c r="AA587">
        <v>0</v>
      </c>
      <c r="AB587">
        <v>0</v>
      </c>
      <c r="AC587">
        <v>0</v>
      </c>
      <c r="AD587">
        <v>0</v>
      </c>
      <c r="AE587">
        <v>2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10</v>
      </c>
      <c r="AM587">
        <v>5</v>
      </c>
      <c r="AN587">
        <v>16</v>
      </c>
      <c r="AO587">
        <v>1</v>
      </c>
      <c r="AP587">
        <v>20</v>
      </c>
      <c r="AQ587">
        <v>4</v>
      </c>
      <c r="AR587" t="s">
        <v>17369</v>
      </c>
      <c r="AS587" t="s">
        <v>17370</v>
      </c>
      <c r="AT587">
        <v>0.66</v>
      </c>
      <c r="AU587" t="s">
        <v>65</v>
      </c>
      <c r="AV587">
        <v>36</v>
      </c>
      <c r="AW587">
        <v>5</v>
      </c>
      <c r="AX587" t="s">
        <v>17371</v>
      </c>
      <c r="AY587">
        <v>7.5480000000000005E-2</v>
      </c>
      <c r="AZ587">
        <v>-6.8999999999999999E-3</v>
      </c>
      <c r="BA587">
        <v>4.5100000000000001E-3</v>
      </c>
      <c r="BB587">
        <v>-3.5E-4</v>
      </c>
      <c r="BC587">
        <v>5.9740000000000001E-2</v>
      </c>
      <c r="BD587">
        <v>1</v>
      </c>
      <c r="BE587" t="s">
        <v>69</v>
      </c>
      <c r="BF587">
        <v>-1.212</v>
      </c>
      <c r="BG587">
        <v>0.29099999999999998</v>
      </c>
    </row>
    <row r="588" spans="1:59">
      <c r="A588">
        <v>0</v>
      </c>
      <c r="B588">
        <v>0</v>
      </c>
      <c r="C588">
        <v>0</v>
      </c>
      <c r="D588" t="s">
        <v>25022</v>
      </c>
      <c r="E588">
        <v>2444</v>
      </c>
      <c r="F588" t="s">
        <v>14228</v>
      </c>
      <c r="G588" t="s">
        <v>62</v>
      </c>
      <c r="H588">
        <v>2444211</v>
      </c>
      <c r="I588">
        <v>2444648</v>
      </c>
      <c r="J588" t="s">
        <v>14229</v>
      </c>
      <c r="K588">
        <v>146</v>
      </c>
      <c r="L588" t="s">
        <v>108</v>
      </c>
      <c r="M588">
        <v>44</v>
      </c>
      <c r="N588" t="str">
        <f>HYPERLINK("Gene2444-zp_tree_all.dnd", "Gene2444-tree")</f>
        <v>Gene2444-tree</v>
      </c>
      <c r="O588">
        <v>30</v>
      </c>
      <c r="P588">
        <v>0</v>
      </c>
      <c r="Q588">
        <v>8</v>
      </c>
      <c r="R588">
        <v>0</v>
      </c>
      <c r="S588">
        <v>0</v>
      </c>
      <c r="T588" t="s">
        <v>9781</v>
      </c>
      <c r="U588" t="s">
        <v>62</v>
      </c>
      <c r="V588" t="s">
        <v>62</v>
      </c>
      <c r="W588" t="s">
        <v>62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4</v>
      </c>
      <c r="AM588">
        <v>4</v>
      </c>
      <c r="AN588">
        <v>9</v>
      </c>
      <c r="AO588">
        <v>0</v>
      </c>
      <c r="AP588">
        <v>3</v>
      </c>
      <c r="AQ588">
        <v>1</v>
      </c>
      <c r="AR588" t="s">
        <v>193</v>
      </c>
      <c r="AS588" t="s">
        <v>14230</v>
      </c>
      <c r="AT588">
        <v>0.6</v>
      </c>
      <c r="AU588" t="s">
        <v>65</v>
      </c>
      <c r="AV588">
        <v>12</v>
      </c>
      <c r="AW588">
        <v>1</v>
      </c>
      <c r="AX588" t="s">
        <v>14231</v>
      </c>
      <c r="AY588">
        <v>3.6290000000000003E-2</v>
      </c>
      <c r="AZ588">
        <v>-3.5000000000000001E-3</v>
      </c>
      <c r="BA588">
        <v>1.58E-3</v>
      </c>
      <c r="BB588">
        <v>-2.1000000000000001E-4</v>
      </c>
      <c r="BC588">
        <v>4.342E-2</v>
      </c>
      <c r="BD588">
        <v>1</v>
      </c>
      <c r="BE588" t="s">
        <v>69</v>
      </c>
      <c r="BF588">
        <v>-0.69199999999999995</v>
      </c>
      <c r="BG588">
        <v>-1.343</v>
      </c>
    </row>
    <row r="589" spans="1:59">
      <c r="A589">
        <v>0</v>
      </c>
      <c r="B589">
        <v>2</v>
      </c>
      <c r="C589">
        <v>1</v>
      </c>
      <c r="D589" t="s">
        <v>25022</v>
      </c>
      <c r="E589">
        <v>2957</v>
      </c>
      <c r="F589" t="s">
        <v>17060</v>
      </c>
      <c r="G589" t="s">
        <v>62</v>
      </c>
      <c r="H589">
        <v>2904046</v>
      </c>
      <c r="I589">
        <v>2904483</v>
      </c>
      <c r="J589" t="s">
        <v>17061</v>
      </c>
      <c r="K589">
        <v>146</v>
      </c>
      <c r="L589" t="s">
        <v>59</v>
      </c>
      <c r="M589">
        <v>49</v>
      </c>
      <c r="N589" t="str">
        <f>HYPERLINK("Gene2957-zp_tree_all.dnd", "Gene2957-tree")</f>
        <v>Gene2957-tree</v>
      </c>
      <c r="O589">
        <v>12</v>
      </c>
      <c r="P589">
        <v>1</v>
      </c>
      <c r="Q589">
        <v>12</v>
      </c>
      <c r="R589">
        <v>1</v>
      </c>
      <c r="S589">
        <v>7.6920000000000002E-2</v>
      </c>
      <c r="T589" t="s">
        <v>109</v>
      </c>
      <c r="U589" t="s">
        <v>175</v>
      </c>
      <c r="V589" t="s">
        <v>62</v>
      </c>
      <c r="W589" t="s">
        <v>62</v>
      </c>
      <c r="X589">
        <v>1</v>
      </c>
      <c r="Y589">
        <v>3</v>
      </c>
      <c r="Z589">
        <v>1</v>
      </c>
      <c r="AA589">
        <v>0.75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9</v>
      </c>
      <c r="AM589">
        <v>6</v>
      </c>
      <c r="AN589">
        <v>12</v>
      </c>
      <c r="AO589">
        <v>1</v>
      </c>
      <c r="AP589">
        <v>15</v>
      </c>
      <c r="AQ589">
        <v>3</v>
      </c>
      <c r="AR589" t="s">
        <v>17062</v>
      </c>
      <c r="AS589" t="s">
        <v>17063</v>
      </c>
      <c r="AT589">
        <v>0.35299999999999998</v>
      </c>
      <c r="AU589" t="s">
        <v>65</v>
      </c>
      <c r="AV589">
        <v>27</v>
      </c>
      <c r="AW589">
        <v>4</v>
      </c>
      <c r="AX589" t="s">
        <v>17064</v>
      </c>
      <c r="AY589">
        <v>8.2919999999999994E-2</v>
      </c>
      <c r="AZ589">
        <v>-5.64E-3</v>
      </c>
      <c r="BA589">
        <v>3.0000000000000001E-3</v>
      </c>
      <c r="BB589">
        <v>-2.9E-4</v>
      </c>
      <c r="BC589">
        <v>3.6179999999999997E-2</v>
      </c>
      <c r="BD589">
        <v>1</v>
      </c>
      <c r="BE589" t="s">
        <v>69</v>
      </c>
      <c r="BF589">
        <v>-1.4079999999999999</v>
      </c>
      <c r="BG589">
        <v>-0.81699999999999995</v>
      </c>
    </row>
    <row r="590" spans="1:59">
      <c r="A590">
        <v>0</v>
      </c>
      <c r="B590">
        <v>2</v>
      </c>
      <c r="C590">
        <v>2</v>
      </c>
      <c r="D590" t="s">
        <v>25022</v>
      </c>
      <c r="E590">
        <v>30</v>
      </c>
      <c r="F590" t="s">
        <v>287</v>
      </c>
      <c r="G590" t="s">
        <v>57</v>
      </c>
      <c r="H590">
        <v>40213</v>
      </c>
      <c r="I590">
        <v>40650</v>
      </c>
      <c r="J590" t="s">
        <v>288</v>
      </c>
      <c r="K590">
        <v>146</v>
      </c>
      <c r="L590" t="s">
        <v>289</v>
      </c>
      <c r="M590">
        <v>46</v>
      </c>
      <c r="N590" t="str">
        <f>HYPERLINK("Gene30-zp_tree_all.dnd", "Gene30-tree")</f>
        <v>Gene30-tree</v>
      </c>
      <c r="O590">
        <v>12</v>
      </c>
      <c r="P590">
        <v>4</v>
      </c>
      <c r="Q590">
        <v>12</v>
      </c>
      <c r="R590">
        <v>4</v>
      </c>
      <c r="S590">
        <v>0.25</v>
      </c>
      <c r="T590" t="s">
        <v>109</v>
      </c>
      <c r="U590" t="s">
        <v>61</v>
      </c>
      <c r="V590" t="s">
        <v>62</v>
      </c>
      <c r="W590" t="s">
        <v>62</v>
      </c>
      <c r="X590">
        <v>2</v>
      </c>
      <c r="Y590">
        <v>4</v>
      </c>
      <c r="Z590">
        <v>2</v>
      </c>
      <c r="AA590">
        <v>0.66666999999999998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  <c r="AH590">
        <v>2</v>
      </c>
      <c r="AI590">
        <v>4</v>
      </c>
      <c r="AJ590">
        <v>2</v>
      </c>
      <c r="AK590">
        <v>0.66666999999999998</v>
      </c>
      <c r="AL590">
        <v>11</v>
      </c>
      <c r="AM590">
        <v>8</v>
      </c>
      <c r="AN590">
        <v>17</v>
      </c>
      <c r="AO590">
        <v>3</v>
      </c>
      <c r="AP590">
        <v>24</v>
      </c>
      <c r="AQ590">
        <v>3</v>
      </c>
      <c r="AR590" t="s">
        <v>290</v>
      </c>
      <c r="AS590" t="s">
        <v>291</v>
      </c>
      <c r="AT590">
        <v>0.13800000000000001</v>
      </c>
      <c r="AU590" t="s">
        <v>65</v>
      </c>
      <c r="AV590">
        <v>41</v>
      </c>
      <c r="AW590">
        <v>6</v>
      </c>
      <c r="AX590" t="s">
        <v>292</v>
      </c>
      <c r="AY590">
        <v>9.6430000000000002E-2</v>
      </c>
      <c r="AZ590">
        <v>-8.1099999999999992E-3</v>
      </c>
      <c r="BA590">
        <v>3.0200000000000001E-3</v>
      </c>
      <c r="BB590">
        <v>-3.8000000000000002E-4</v>
      </c>
      <c r="BC590">
        <v>3.1280000000000002E-2</v>
      </c>
      <c r="BD590">
        <v>1</v>
      </c>
      <c r="BE590" t="s">
        <v>69</v>
      </c>
      <c r="BF590">
        <v>-1.3759999999999999</v>
      </c>
      <c r="BG590">
        <v>-0.30399999999999999</v>
      </c>
    </row>
    <row r="591" spans="1:59">
      <c r="A591">
        <v>2</v>
      </c>
      <c r="B591">
        <v>9</v>
      </c>
      <c r="C591">
        <v>1</v>
      </c>
      <c r="D591" t="s">
        <v>25022</v>
      </c>
      <c r="E591">
        <v>724</v>
      </c>
      <c r="F591" t="s">
        <v>4482</v>
      </c>
      <c r="G591" t="s">
        <v>57</v>
      </c>
      <c r="H591">
        <v>754480</v>
      </c>
      <c r="I591">
        <v>754920</v>
      </c>
      <c r="J591" t="s">
        <v>288</v>
      </c>
      <c r="K591">
        <v>147</v>
      </c>
      <c r="L591" t="s">
        <v>1933</v>
      </c>
      <c r="M591">
        <v>39</v>
      </c>
      <c r="N591" t="str">
        <f>HYPERLINK("Gene724-zp_tree_all.dnd", "Gene724-tree")</f>
        <v>Gene724-tree</v>
      </c>
      <c r="O591">
        <v>5</v>
      </c>
      <c r="P591">
        <v>8</v>
      </c>
      <c r="Q591">
        <v>5</v>
      </c>
      <c r="R591">
        <v>8</v>
      </c>
      <c r="S591">
        <v>0.61538000000000004</v>
      </c>
      <c r="T591" t="s">
        <v>199</v>
      </c>
      <c r="U591" t="s">
        <v>136</v>
      </c>
      <c r="V591" t="s">
        <v>62</v>
      </c>
      <c r="W591" t="s">
        <v>62</v>
      </c>
      <c r="X591">
        <v>4</v>
      </c>
      <c r="Y591">
        <v>12</v>
      </c>
      <c r="Z591">
        <v>12</v>
      </c>
      <c r="AA591">
        <v>0.5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5</v>
      </c>
      <c r="AH591">
        <v>2</v>
      </c>
      <c r="AI591">
        <v>7</v>
      </c>
      <c r="AJ591">
        <v>8</v>
      </c>
      <c r="AK591">
        <v>0.46666999999999997</v>
      </c>
      <c r="AL591">
        <v>12</v>
      </c>
      <c r="AM591">
        <v>9</v>
      </c>
      <c r="AN591">
        <v>23</v>
      </c>
      <c r="AO591">
        <v>16</v>
      </c>
      <c r="AP591">
        <v>10</v>
      </c>
      <c r="AQ591">
        <v>9</v>
      </c>
      <c r="AR591" t="s">
        <v>4483</v>
      </c>
      <c r="AS591" t="s">
        <v>4484</v>
      </c>
      <c r="AT591">
        <v>0.63900000000000001</v>
      </c>
      <c r="AU591" t="s">
        <v>65</v>
      </c>
      <c r="AV591">
        <v>33</v>
      </c>
      <c r="AW591">
        <v>25</v>
      </c>
      <c r="AX591" t="s">
        <v>4485</v>
      </c>
      <c r="AY591">
        <v>6.4369999999999997E-2</v>
      </c>
      <c r="AZ591">
        <v>-2.64E-3</v>
      </c>
      <c r="BA591">
        <v>1.494E-2</v>
      </c>
      <c r="BB591">
        <v>-8.0000000000000004E-4</v>
      </c>
      <c r="BC591">
        <v>0.23207</v>
      </c>
      <c r="BD591">
        <v>1</v>
      </c>
      <c r="BE591" t="s">
        <v>69</v>
      </c>
      <c r="BF591">
        <v>-0.72399999999999998</v>
      </c>
      <c r="BG591">
        <v>-0.95399999999999996</v>
      </c>
    </row>
    <row r="592" spans="1:59">
      <c r="A592">
        <v>0</v>
      </c>
      <c r="B592">
        <v>0</v>
      </c>
      <c r="C592">
        <v>2</v>
      </c>
      <c r="D592" t="s">
        <v>25022</v>
      </c>
      <c r="E592">
        <v>2959</v>
      </c>
      <c r="F592" t="s">
        <v>17067</v>
      </c>
      <c r="G592" t="s">
        <v>62</v>
      </c>
      <c r="H592">
        <v>2905070</v>
      </c>
      <c r="I592">
        <v>2905510</v>
      </c>
      <c r="J592" t="s">
        <v>116</v>
      </c>
      <c r="K592">
        <v>147</v>
      </c>
      <c r="L592" t="s">
        <v>108</v>
      </c>
      <c r="M592">
        <v>44</v>
      </c>
      <c r="N592" t="str">
        <f>HYPERLINK("Gene2959-zp_tree_all.dnd", "Gene2959-tree")</f>
        <v>Gene2959-tree</v>
      </c>
      <c r="O592">
        <v>8</v>
      </c>
      <c r="P592">
        <v>6</v>
      </c>
      <c r="Q592">
        <v>8</v>
      </c>
      <c r="R592">
        <v>6</v>
      </c>
      <c r="S592">
        <v>0.42857000000000001</v>
      </c>
      <c r="T592" t="s">
        <v>136</v>
      </c>
      <c r="U592" t="s">
        <v>90</v>
      </c>
      <c r="V592" t="s">
        <v>62</v>
      </c>
      <c r="W592" t="s">
        <v>62</v>
      </c>
      <c r="X592">
        <v>1</v>
      </c>
      <c r="Y592">
        <v>2</v>
      </c>
      <c r="Z592">
        <v>11</v>
      </c>
      <c r="AA592">
        <v>0.15384999999999999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10</v>
      </c>
      <c r="AK592">
        <v>0</v>
      </c>
      <c r="AL592">
        <v>11</v>
      </c>
      <c r="AM592">
        <v>7</v>
      </c>
      <c r="AN592">
        <v>12</v>
      </c>
      <c r="AO592">
        <v>10</v>
      </c>
      <c r="AP592">
        <v>8</v>
      </c>
      <c r="AQ592">
        <v>3</v>
      </c>
      <c r="AR592" t="s">
        <v>17068</v>
      </c>
      <c r="AS592" t="s">
        <v>17069</v>
      </c>
      <c r="AT592">
        <v>0.69899999999999995</v>
      </c>
      <c r="AU592" t="s">
        <v>65</v>
      </c>
      <c r="AV592">
        <v>20</v>
      </c>
      <c r="AW592">
        <v>13</v>
      </c>
      <c r="AX592" t="s">
        <v>17070</v>
      </c>
      <c r="AY592">
        <v>4.1829999999999999E-2</v>
      </c>
      <c r="AZ592">
        <v>-1.9599999999999999E-3</v>
      </c>
      <c r="BA592">
        <v>6.4200000000000004E-3</v>
      </c>
      <c r="BB592">
        <v>-4.6999999999999999E-4</v>
      </c>
      <c r="BC592">
        <v>0.15340999999999999</v>
      </c>
      <c r="BD592">
        <v>1</v>
      </c>
      <c r="BE592" t="s">
        <v>69</v>
      </c>
      <c r="BF592">
        <v>-0.875</v>
      </c>
      <c r="BG592">
        <v>-1.196</v>
      </c>
    </row>
    <row r="593" spans="1:59">
      <c r="A593">
        <v>0</v>
      </c>
      <c r="B593">
        <v>0</v>
      </c>
      <c r="C593">
        <v>0</v>
      </c>
      <c r="D593" t="s">
        <v>25022</v>
      </c>
      <c r="E593">
        <v>486</v>
      </c>
      <c r="F593" t="s">
        <v>3286</v>
      </c>
      <c r="G593" t="s">
        <v>57</v>
      </c>
      <c r="H593">
        <v>525206</v>
      </c>
      <c r="I593">
        <v>525646</v>
      </c>
      <c r="J593" t="s">
        <v>637</v>
      </c>
      <c r="K593">
        <v>147</v>
      </c>
      <c r="L593" t="s">
        <v>3281</v>
      </c>
      <c r="M593">
        <v>33</v>
      </c>
      <c r="N593" t="str">
        <f>HYPERLINK("Gene486-zp_tree_all.dnd", "Gene486-tree")</f>
        <v>Gene486-tree</v>
      </c>
      <c r="O593">
        <v>2</v>
      </c>
      <c r="P593">
        <v>2</v>
      </c>
      <c r="Q593">
        <v>2</v>
      </c>
      <c r="R593">
        <v>2</v>
      </c>
      <c r="S593">
        <v>0.5</v>
      </c>
      <c r="T593" t="s">
        <v>81</v>
      </c>
      <c r="U593" t="s">
        <v>81</v>
      </c>
      <c r="V593" t="s">
        <v>62</v>
      </c>
      <c r="W593" t="s">
        <v>62</v>
      </c>
      <c r="X593">
        <v>0</v>
      </c>
      <c r="Y593">
        <v>0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</v>
      </c>
      <c r="AK593">
        <v>0</v>
      </c>
      <c r="AL593">
        <v>2</v>
      </c>
      <c r="AM593">
        <v>1</v>
      </c>
      <c r="AN593">
        <v>2</v>
      </c>
      <c r="AO593">
        <v>2</v>
      </c>
      <c r="AP593">
        <v>3</v>
      </c>
      <c r="AQ593">
        <v>0</v>
      </c>
      <c r="AR593" t="s">
        <v>3287</v>
      </c>
      <c r="AS593" t="s">
        <v>193</v>
      </c>
      <c r="AT593">
        <v>1.4139999999999999</v>
      </c>
      <c r="AU593" t="s">
        <v>65</v>
      </c>
      <c r="AV593">
        <v>5</v>
      </c>
      <c r="AW593">
        <v>2</v>
      </c>
      <c r="AX593" t="s">
        <v>3288</v>
      </c>
      <c r="AY593">
        <v>3.2980000000000002E-2</v>
      </c>
      <c r="AZ593">
        <v>-7.8499999999999993E-3</v>
      </c>
      <c r="BA593">
        <v>2.9099999999999998E-3</v>
      </c>
      <c r="BB593">
        <v>-6.8999999999999997E-4</v>
      </c>
      <c r="BC593">
        <v>8.8289999999999993E-2</v>
      </c>
      <c r="BD593">
        <v>0.98899999999999999</v>
      </c>
      <c r="BE593" t="s">
        <v>69</v>
      </c>
      <c r="BF593">
        <v>2.181</v>
      </c>
      <c r="BG593">
        <v>1.268</v>
      </c>
    </row>
    <row r="594" spans="1:59">
      <c r="A594">
        <v>0</v>
      </c>
      <c r="B594">
        <v>0</v>
      </c>
      <c r="C594">
        <v>2</v>
      </c>
      <c r="D594" t="s">
        <v>25022</v>
      </c>
      <c r="E594">
        <v>2395</v>
      </c>
      <c r="F594" t="s">
        <v>13945</v>
      </c>
      <c r="G594" t="s">
        <v>62</v>
      </c>
      <c r="H594">
        <v>2405117</v>
      </c>
      <c r="I594">
        <v>2405557</v>
      </c>
      <c r="J594" t="s">
        <v>116</v>
      </c>
      <c r="K594">
        <v>147</v>
      </c>
      <c r="L594" t="s">
        <v>108</v>
      </c>
      <c r="M594">
        <v>44</v>
      </c>
      <c r="N594" t="str">
        <f>HYPERLINK("Gene2395-zp_tree_all.dnd", "Gene2395-tree")</f>
        <v>Gene2395-tree</v>
      </c>
      <c r="O594">
        <v>29</v>
      </c>
      <c r="P594">
        <v>3</v>
      </c>
      <c r="Q594">
        <v>4</v>
      </c>
      <c r="R594">
        <v>3</v>
      </c>
      <c r="S594">
        <v>0.42857000000000001</v>
      </c>
      <c r="T594" t="s">
        <v>13946</v>
      </c>
      <c r="U594" t="s">
        <v>324</v>
      </c>
      <c r="V594" t="s">
        <v>62</v>
      </c>
      <c r="W594" t="s">
        <v>62</v>
      </c>
      <c r="X594">
        <v>1</v>
      </c>
      <c r="Y594">
        <v>2</v>
      </c>
      <c r="Z594">
        <v>1</v>
      </c>
      <c r="AA594">
        <v>0.66666999999999998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</v>
      </c>
      <c r="AI594">
        <v>2</v>
      </c>
      <c r="AJ594">
        <v>1</v>
      </c>
      <c r="AK594">
        <v>0.66666999999999998</v>
      </c>
      <c r="AL594">
        <v>5</v>
      </c>
      <c r="AM594">
        <v>2</v>
      </c>
      <c r="AN594">
        <v>5</v>
      </c>
      <c r="AO594">
        <v>3</v>
      </c>
      <c r="AP594">
        <v>2</v>
      </c>
      <c r="AQ594">
        <v>0</v>
      </c>
      <c r="AR594" t="s">
        <v>13947</v>
      </c>
      <c r="AS594" t="s">
        <v>193</v>
      </c>
      <c r="AT594">
        <v>1.1879999999999999</v>
      </c>
      <c r="AU594" t="s">
        <v>65</v>
      </c>
      <c r="AV594">
        <v>7</v>
      </c>
      <c r="AW594">
        <v>3</v>
      </c>
      <c r="AX594" t="s">
        <v>13948</v>
      </c>
      <c r="AY594">
        <v>2.9510000000000002E-2</v>
      </c>
      <c r="AZ594">
        <v>-3.98E-3</v>
      </c>
      <c r="BA594">
        <v>2.4199999999999998E-3</v>
      </c>
      <c r="BB594">
        <v>-3.8999999999999999E-4</v>
      </c>
      <c r="BC594">
        <v>8.2059999999999994E-2</v>
      </c>
      <c r="BD594">
        <v>0.99</v>
      </c>
      <c r="BE594" t="s">
        <v>69</v>
      </c>
      <c r="BF594">
        <v>-0.13800000000000001</v>
      </c>
      <c r="BG594">
        <v>-0.38600000000000001</v>
      </c>
    </row>
    <row r="595" spans="1:59">
      <c r="A595">
        <v>0</v>
      </c>
      <c r="B595">
        <v>0</v>
      </c>
      <c r="C595">
        <v>0</v>
      </c>
      <c r="D595" t="s">
        <v>25022</v>
      </c>
      <c r="E595">
        <v>3831</v>
      </c>
      <c r="F595" t="s">
        <v>22458</v>
      </c>
      <c r="G595" t="s">
        <v>62</v>
      </c>
      <c r="H595">
        <v>3794169</v>
      </c>
      <c r="I595">
        <v>3794609</v>
      </c>
      <c r="J595" t="s">
        <v>116</v>
      </c>
      <c r="K595">
        <v>147</v>
      </c>
      <c r="L595" t="s">
        <v>108</v>
      </c>
      <c r="M595">
        <v>44</v>
      </c>
      <c r="N595" t="str">
        <f>HYPERLINK("Gene3831-zp_tree_all.dnd", "Gene3831-tree")</f>
        <v>Gene3831-tree</v>
      </c>
      <c r="O595">
        <v>9</v>
      </c>
      <c r="P595">
        <v>3</v>
      </c>
      <c r="Q595">
        <v>9</v>
      </c>
      <c r="R595">
        <v>3</v>
      </c>
      <c r="S595">
        <v>0.25</v>
      </c>
      <c r="T595" t="s">
        <v>135</v>
      </c>
      <c r="U595" t="s">
        <v>324</v>
      </c>
      <c r="V595" t="s">
        <v>62</v>
      </c>
      <c r="W595" t="s">
        <v>62</v>
      </c>
      <c r="X595">
        <v>0</v>
      </c>
      <c r="Y595">
        <v>0</v>
      </c>
      <c r="Z595">
        <v>4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3</v>
      </c>
      <c r="AK595">
        <v>0</v>
      </c>
      <c r="AL595">
        <v>7</v>
      </c>
      <c r="AM595">
        <v>5</v>
      </c>
      <c r="AN595">
        <v>9</v>
      </c>
      <c r="AO595">
        <v>3</v>
      </c>
      <c r="AP595">
        <v>4</v>
      </c>
      <c r="AQ595">
        <v>1</v>
      </c>
      <c r="AR595" t="s">
        <v>22459</v>
      </c>
      <c r="AS595" t="s">
        <v>22460</v>
      </c>
      <c r="AT595">
        <v>0.14699999999999999</v>
      </c>
      <c r="AU595" t="s">
        <v>65</v>
      </c>
      <c r="AV595">
        <v>13</v>
      </c>
      <c r="AW595">
        <v>4</v>
      </c>
      <c r="AX595" t="s">
        <v>22461</v>
      </c>
      <c r="AY595">
        <v>2.962E-2</v>
      </c>
      <c r="AZ595">
        <v>-2.1099999999999999E-3</v>
      </c>
      <c r="BA595">
        <v>2.3400000000000001E-3</v>
      </c>
      <c r="BB595">
        <v>-2.4000000000000001E-4</v>
      </c>
      <c r="BC595">
        <v>7.8920000000000004E-2</v>
      </c>
      <c r="BD595">
        <v>1</v>
      </c>
      <c r="BE595" t="s">
        <v>69</v>
      </c>
      <c r="BF595">
        <v>-0.87</v>
      </c>
      <c r="BG595">
        <v>2.9000000000000001E-2</v>
      </c>
    </row>
    <row r="596" spans="1:59">
      <c r="A596">
        <v>0</v>
      </c>
      <c r="B596">
        <v>4</v>
      </c>
      <c r="C596">
        <v>1</v>
      </c>
      <c r="D596" t="s">
        <v>25022</v>
      </c>
      <c r="E596">
        <v>153</v>
      </c>
      <c r="F596" t="s">
        <v>1081</v>
      </c>
      <c r="G596" t="s">
        <v>57</v>
      </c>
      <c r="H596">
        <v>156109</v>
      </c>
      <c r="I596">
        <v>156549</v>
      </c>
      <c r="J596" t="s">
        <v>116</v>
      </c>
      <c r="K596">
        <v>147</v>
      </c>
      <c r="L596" t="s">
        <v>698</v>
      </c>
      <c r="M596">
        <v>47</v>
      </c>
      <c r="N596" t="str">
        <f>HYPERLINK("Gene153-zp_tree_all.dnd", "Gene153-tree")</f>
        <v>Gene153-tree</v>
      </c>
      <c r="O596">
        <v>9</v>
      </c>
      <c r="P596">
        <v>8</v>
      </c>
      <c r="Q596">
        <v>9</v>
      </c>
      <c r="R596">
        <v>8</v>
      </c>
      <c r="S596">
        <v>0.47059000000000001</v>
      </c>
      <c r="T596" t="s">
        <v>135</v>
      </c>
      <c r="U596" t="s">
        <v>136</v>
      </c>
      <c r="V596" t="s">
        <v>62</v>
      </c>
      <c r="W596" t="s">
        <v>62</v>
      </c>
      <c r="X596">
        <v>2</v>
      </c>
      <c r="Y596">
        <v>5</v>
      </c>
      <c r="Z596">
        <v>10</v>
      </c>
      <c r="AA596">
        <v>0.33333000000000002</v>
      </c>
      <c r="AB596">
        <v>0</v>
      </c>
      <c r="AC596">
        <v>0</v>
      </c>
      <c r="AD596">
        <v>0</v>
      </c>
      <c r="AE596">
        <v>2</v>
      </c>
      <c r="AF596">
        <v>0</v>
      </c>
      <c r="AG596">
        <v>4</v>
      </c>
      <c r="AH596">
        <v>0</v>
      </c>
      <c r="AI596">
        <v>4</v>
      </c>
      <c r="AJ596">
        <v>6</v>
      </c>
      <c r="AK596">
        <v>0.4</v>
      </c>
      <c r="AL596">
        <v>12</v>
      </c>
      <c r="AM596">
        <v>11</v>
      </c>
      <c r="AN596">
        <v>12</v>
      </c>
      <c r="AO596">
        <v>9</v>
      </c>
      <c r="AP596">
        <v>22</v>
      </c>
      <c r="AQ596">
        <v>6</v>
      </c>
      <c r="AR596" t="s">
        <v>1082</v>
      </c>
      <c r="AS596" t="s">
        <v>1083</v>
      </c>
      <c r="AT596">
        <v>0.92500000000000004</v>
      </c>
      <c r="AU596" t="s">
        <v>65</v>
      </c>
      <c r="AV596">
        <v>34</v>
      </c>
      <c r="AW596">
        <v>15</v>
      </c>
      <c r="AX596" t="s">
        <v>1084</v>
      </c>
      <c r="AY596">
        <v>9.4520000000000007E-2</v>
      </c>
      <c r="AZ596">
        <v>-4.3200000000000001E-3</v>
      </c>
      <c r="BA596">
        <v>7.2100000000000003E-3</v>
      </c>
      <c r="BB596">
        <v>-4.2999999999999999E-4</v>
      </c>
      <c r="BC596">
        <v>7.6289999999999997E-2</v>
      </c>
      <c r="BD596">
        <v>1</v>
      </c>
      <c r="BE596" t="s">
        <v>69</v>
      </c>
      <c r="BF596">
        <v>-0.29899999999999999</v>
      </c>
      <c r="BG596">
        <v>-0.26800000000000002</v>
      </c>
    </row>
    <row r="597" spans="1:59">
      <c r="A597">
        <v>0</v>
      </c>
      <c r="B597">
        <v>0</v>
      </c>
      <c r="C597">
        <v>0</v>
      </c>
      <c r="D597" t="s">
        <v>25022</v>
      </c>
      <c r="E597">
        <v>1686</v>
      </c>
      <c r="F597" t="s">
        <v>10565</v>
      </c>
      <c r="G597" t="s">
        <v>57</v>
      </c>
      <c r="H597">
        <v>1697196</v>
      </c>
      <c r="I597">
        <v>1697636</v>
      </c>
      <c r="J597" t="s">
        <v>10566</v>
      </c>
      <c r="K597">
        <v>147</v>
      </c>
      <c r="L597" t="s">
        <v>59</v>
      </c>
      <c r="M597">
        <v>49</v>
      </c>
      <c r="N597" t="str">
        <f>HYPERLINK("Gene1686-zp_tree_all.dnd", "Gene1686-tree")</f>
        <v>Gene1686-tree</v>
      </c>
      <c r="O597">
        <v>10</v>
      </c>
      <c r="P597">
        <v>2</v>
      </c>
      <c r="Q597">
        <v>10</v>
      </c>
      <c r="R597">
        <v>2</v>
      </c>
      <c r="S597">
        <v>0.16667000000000001</v>
      </c>
      <c r="T597" t="s">
        <v>117</v>
      </c>
      <c r="U597" t="s">
        <v>81</v>
      </c>
      <c r="V597" t="s">
        <v>62</v>
      </c>
      <c r="W597" t="s">
        <v>62</v>
      </c>
      <c r="X597">
        <v>0</v>
      </c>
      <c r="Y597">
        <v>0</v>
      </c>
      <c r="Z597">
        <v>6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3</v>
      </c>
      <c r="AK597">
        <v>0</v>
      </c>
      <c r="AL597">
        <v>6</v>
      </c>
      <c r="AM597">
        <v>7</v>
      </c>
      <c r="AN597">
        <v>13</v>
      </c>
      <c r="AO597">
        <v>3</v>
      </c>
      <c r="AP597">
        <v>27</v>
      </c>
      <c r="AQ597">
        <v>3</v>
      </c>
      <c r="AR597" t="s">
        <v>10567</v>
      </c>
      <c r="AS597" t="s">
        <v>10568</v>
      </c>
      <c r="AT597">
        <v>0.374</v>
      </c>
      <c r="AU597" t="s">
        <v>65</v>
      </c>
      <c r="AV597">
        <v>40</v>
      </c>
      <c r="AW597">
        <v>6</v>
      </c>
      <c r="AX597" t="s">
        <v>10569</v>
      </c>
      <c r="AY597">
        <v>0.19039</v>
      </c>
      <c r="AZ597">
        <v>-1.4160000000000001E-2</v>
      </c>
      <c r="BA597">
        <v>5.0899999999999999E-3</v>
      </c>
      <c r="BB597">
        <v>-4.6000000000000001E-4</v>
      </c>
      <c r="BC597">
        <v>2.673E-2</v>
      </c>
      <c r="BD597">
        <v>1</v>
      </c>
      <c r="BE597" t="s">
        <v>69</v>
      </c>
      <c r="BF597">
        <v>-1.4259999999999999</v>
      </c>
      <c r="BG597">
        <v>-0.502</v>
      </c>
    </row>
    <row r="598" spans="1:59">
      <c r="A598">
        <v>0</v>
      </c>
      <c r="B598">
        <v>0</v>
      </c>
      <c r="C598">
        <v>0</v>
      </c>
      <c r="D598" t="s">
        <v>25022</v>
      </c>
      <c r="E598">
        <v>1470</v>
      </c>
      <c r="F598" t="s">
        <v>9186</v>
      </c>
      <c r="G598" t="s">
        <v>57</v>
      </c>
      <c r="H598">
        <v>1485453</v>
      </c>
      <c r="I598">
        <v>1485893</v>
      </c>
      <c r="J598" t="s">
        <v>9187</v>
      </c>
      <c r="K598">
        <v>147</v>
      </c>
      <c r="L598" t="s">
        <v>108</v>
      </c>
      <c r="M598">
        <v>44</v>
      </c>
      <c r="N598" t="str">
        <f>HYPERLINK("Gene1470-zp_tree_all.dnd", "Gene1470-tree")</f>
        <v>Gene1470-tree</v>
      </c>
      <c r="O598">
        <v>7</v>
      </c>
      <c r="P598">
        <v>1</v>
      </c>
      <c r="Q598">
        <v>7</v>
      </c>
      <c r="R598">
        <v>1</v>
      </c>
      <c r="S598">
        <v>0.125</v>
      </c>
      <c r="T598" t="s">
        <v>152</v>
      </c>
      <c r="U598" t="s">
        <v>175</v>
      </c>
      <c r="V598" t="s">
        <v>62</v>
      </c>
      <c r="W598" t="s">
        <v>62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4</v>
      </c>
      <c r="AM598">
        <v>3</v>
      </c>
      <c r="AN598">
        <v>7</v>
      </c>
      <c r="AO598">
        <v>1</v>
      </c>
      <c r="AP598">
        <v>3</v>
      </c>
      <c r="AQ598">
        <v>0</v>
      </c>
      <c r="AR598" t="s">
        <v>9188</v>
      </c>
      <c r="AS598" t="s">
        <v>193</v>
      </c>
      <c r="AT598">
        <v>0.47299999999999998</v>
      </c>
      <c r="AU598" t="s">
        <v>65</v>
      </c>
      <c r="AV598">
        <v>10</v>
      </c>
      <c r="AW598">
        <v>1</v>
      </c>
      <c r="AX598" t="s">
        <v>9189</v>
      </c>
      <c r="AY598">
        <v>3.3750000000000002E-2</v>
      </c>
      <c r="AZ598">
        <v>-5.0400000000000002E-3</v>
      </c>
      <c r="BA598">
        <v>7.2000000000000005E-4</v>
      </c>
      <c r="BB598">
        <v>-2.0000000000000001E-4</v>
      </c>
      <c r="BC598">
        <v>2.1409999999999998E-2</v>
      </c>
      <c r="BD598">
        <v>1</v>
      </c>
      <c r="BE598" t="s">
        <v>69</v>
      </c>
      <c r="BF598">
        <v>-0.23499999999999999</v>
      </c>
      <c r="BG598">
        <v>-1.577</v>
      </c>
    </row>
    <row r="599" spans="1:59">
      <c r="A599">
        <v>0</v>
      </c>
      <c r="B599">
        <v>0</v>
      </c>
      <c r="C599">
        <v>0</v>
      </c>
      <c r="D599" t="s">
        <v>25022</v>
      </c>
      <c r="E599">
        <v>3388</v>
      </c>
      <c r="F599" t="s">
        <v>19815</v>
      </c>
      <c r="G599" t="s">
        <v>62</v>
      </c>
      <c r="H599">
        <v>3357014</v>
      </c>
      <c r="I599">
        <v>3357454</v>
      </c>
      <c r="J599" t="s">
        <v>19816</v>
      </c>
      <c r="K599">
        <v>147</v>
      </c>
      <c r="L599" t="s">
        <v>59</v>
      </c>
      <c r="M599">
        <v>49</v>
      </c>
      <c r="N599" t="str">
        <f>HYPERLINK("Gene3388-zp_tree_all.dnd", "Gene3388-tree")</f>
        <v>Gene3388-tree</v>
      </c>
      <c r="O599">
        <v>14</v>
      </c>
      <c r="P599">
        <v>3</v>
      </c>
      <c r="Q599">
        <v>14</v>
      </c>
      <c r="R599">
        <v>3</v>
      </c>
      <c r="S599">
        <v>0.17646999999999999</v>
      </c>
      <c r="T599" t="s">
        <v>543</v>
      </c>
      <c r="U599" t="s">
        <v>324</v>
      </c>
      <c r="V599" t="s">
        <v>62</v>
      </c>
      <c r="W599" t="s">
        <v>62</v>
      </c>
      <c r="X599">
        <v>0</v>
      </c>
      <c r="Y599">
        <v>0</v>
      </c>
      <c r="Z599">
        <v>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11</v>
      </c>
      <c r="AM599">
        <v>9</v>
      </c>
      <c r="AN599">
        <v>16</v>
      </c>
      <c r="AO599">
        <v>3</v>
      </c>
      <c r="AP599">
        <v>14</v>
      </c>
      <c r="AQ599">
        <v>0</v>
      </c>
      <c r="AR599" t="s">
        <v>19817</v>
      </c>
      <c r="AS599" t="s">
        <v>193</v>
      </c>
      <c r="AT599">
        <v>1.0880000000000001</v>
      </c>
      <c r="AU599" t="s">
        <v>65</v>
      </c>
      <c r="AV599">
        <v>30</v>
      </c>
      <c r="AW599">
        <v>3</v>
      </c>
      <c r="AX599" t="s">
        <v>19818</v>
      </c>
      <c r="AY599">
        <v>7.3529999999999998E-2</v>
      </c>
      <c r="AZ599">
        <v>-3.8400000000000001E-3</v>
      </c>
      <c r="BA599">
        <v>1.0200000000000001E-3</v>
      </c>
      <c r="BB599">
        <v>-1.2999999999999999E-4</v>
      </c>
      <c r="BC599">
        <v>1.384E-2</v>
      </c>
      <c r="BD599">
        <v>1</v>
      </c>
      <c r="BE599" t="s">
        <v>69</v>
      </c>
      <c r="BF599">
        <v>-0.90100000000000002</v>
      </c>
      <c r="BG599">
        <v>-1.01</v>
      </c>
    </row>
    <row r="600" spans="1:59">
      <c r="A600">
        <v>0</v>
      </c>
      <c r="B600">
        <v>0</v>
      </c>
      <c r="C600">
        <v>0</v>
      </c>
      <c r="D600" t="s">
        <v>25022</v>
      </c>
      <c r="E600">
        <v>1314</v>
      </c>
      <c r="F600" t="s">
        <v>8250</v>
      </c>
      <c r="G600" t="s">
        <v>57</v>
      </c>
      <c r="H600">
        <v>1333804</v>
      </c>
      <c r="I600">
        <v>1334244</v>
      </c>
      <c r="J600" t="s">
        <v>8099</v>
      </c>
      <c r="K600">
        <v>147</v>
      </c>
      <c r="L600" t="s">
        <v>8251</v>
      </c>
      <c r="M600">
        <v>42</v>
      </c>
      <c r="N600" t="str">
        <f>HYPERLINK("Gene1314-zp_tree_all.dnd", "Gene1314-tree")</f>
        <v>Gene1314-tree</v>
      </c>
      <c r="O600">
        <v>8</v>
      </c>
      <c r="P600">
        <v>1</v>
      </c>
      <c r="Q600">
        <v>8</v>
      </c>
      <c r="R600">
        <v>1</v>
      </c>
      <c r="S600">
        <v>0.11111</v>
      </c>
      <c r="T600" t="s">
        <v>136</v>
      </c>
      <c r="U600" t="s">
        <v>175</v>
      </c>
      <c r="V600" t="s">
        <v>62</v>
      </c>
      <c r="W600" t="s">
        <v>62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8</v>
      </c>
      <c r="AM600">
        <v>4</v>
      </c>
      <c r="AN600">
        <v>28</v>
      </c>
      <c r="AO600">
        <v>1</v>
      </c>
      <c r="AP600">
        <v>15</v>
      </c>
      <c r="AQ600">
        <v>0</v>
      </c>
      <c r="AR600" t="s">
        <v>8252</v>
      </c>
      <c r="AS600" t="s">
        <v>193</v>
      </c>
      <c r="AT600">
        <v>0.39100000000000001</v>
      </c>
      <c r="AU600" t="s">
        <v>65</v>
      </c>
      <c r="AV600">
        <v>43</v>
      </c>
      <c r="AW600">
        <v>1</v>
      </c>
      <c r="AX600" t="s">
        <v>8253</v>
      </c>
      <c r="AY600">
        <v>0.11217000000000001</v>
      </c>
      <c r="AZ600">
        <v>-7.0699999999999999E-3</v>
      </c>
      <c r="BA600">
        <v>6.4999999999999997E-4</v>
      </c>
      <c r="BB600">
        <v>-2.0000000000000001E-4</v>
      </c>
      <c r="BC600">
        <v>5.8100000000000001E-3</v>
      </c>
      <c r="BD600">
        <v>1</v>
      </c>
      <c r="BE600" t="s">
        <v>69</v>
      </c>
      <c r="BF600">
        <v>0.114</v>
      </c>
      <c r="BG600">
        <v>-0.80100000000000005</v>
      </c>
    </row>
    <row r="601" spans="1:59">
      <c r="A601">
        <v>0</v>
      </c>
      <c r="B601">
        <v>0</v>
      </c>
      <c r="C601">
        <v>0</v>
      </c>
      <c r="D601" t="s">
        <v>25022</v>
      </c>
      <c r="E601">
        <v>2907</v>
      </c>
      <c r="F601" t="s">
        <v>16739</v>
      </c>
      <c r="G601" t="s">
        <v>62</v>
      </c>
      <c r="H601">
        <v>2852160</v>
      </c>
      <c r="I601">
        <v>2852600</v>
      </c>
      <c r="J601" t="s">
        <v>16740</v>
      </c>
      <c r="K601">
        <v>147</v>
      </c>
      <c r="L601" t="s">
        <v>59</v>
      </c>
      <c r="M601">
        <v>49</v>
      </c>
      <c r="N601" t="str">
        <f>HYPERLINK("Gene2907-zp_tree_all.dnd", "Gene2907-tree")</f>
        <v>Gene2907-tree</v>
      </c>
      <c r="O601">
        <v>12</v>
      </c>
      <c r="P601">
        <v>0</v>
      </c>
      <c r="Q601">
        <v>12</v>
      </c>
      <c r="R601">
        <v>0</v>
      </c>
      <c r="S601">
        <v>0</v>
      </c>
      <c r="T601" t="s">
        <v>109</v>
      </c>
      <c r="U601" t="s">
        <v>62</v>
      </c>
      <c r="V601" t="s">
        <v>62</v>
      </c>
      <c r="W601" t="s">
        <v>62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9</v>
      </c>
      <c r="AM601">
        <v>6</v>
      </c>
      <c r="AN601">
        <v>22</v>
      </c>
      <c r="AO601">
        <v>0</v>
      </c>
      <c r="AP601">
        <v>22</v>
      </c>
      <c r="AQ601">
        <v>0</v>
      </c>
      <c r="AR601" t="s">
        <v>193</v>
      </c>
      <c r="AS601" t="s">
        <v>193</v>
      </c>
      <c r="AT601">
        <v>0</v>
      </c>
      <c r="AU601" t="s">
        <v>65</v>
      </c>
      <c r="AV601">
        <v>44</v>
      </c>
      <c r="AW601">
        <v>0</v>
      </c>
      <c r="AX601" t="s">
        <v>16741</v>
      </c>
      <c r="AY601">
        <v>0.13213</v>
      </c>
      <c r="AZ601">
        <v>-1.044E-2</v>
      </c>
      <c r="BA601">
        <v>0</v>
      </c>
      <c r="BB601">
        <v>0</v>
      </c>
      <c r="BC601">
        <v>0</v>
      </c>
      <c r="BD601">
        <v>1</v>
      </c>
      <c r="BE601" t="s">
        <v>69</v>
      </c>
      <c r="BF601">
        <v>-1.4850000000000001</v>
      </c>
      <c r="BG601">
        <v>-1.087</v>
      </c>
    </row>
    <row r="602" spans="1:59">
      <c r="A602">
        <v>0</v>
      </c>
      <c r="B602">
        <v>0</v>
      </c>
      <c r="C602">
        <v>0</v>
      </c>
      <c r="D602" t="s">
        <v>25022</v>
      </c>
      <c r="E602">
        <v>2351</v>
      </c>
      <c r="F602" t="s">
        <v>13650</v>
      </c>
      <c r="G602" t="s">
        <v>62</v>
      </c>
      <c r="H602">
        <v>2365238</v>
      </c>
      <c r="I602">
        <v>2365681</v>
      </c>
      <c r="J602" t="s">
        <v>116</v>
      </c>
      <c r="K602">
        <v>148</v>
      </c>
      <c r="L602" t="s">
        <v>13568</v>
      </c>
      <c r="M602">
        <v>40</v>
      </c>
      <c r="N602" t="str">
        <f>HYPERLINK("Gene2351-zp_tree_all.dnd", "Gene2351-tree")</f>
        <v>Gene2351-tree</v>
      </c>
      <c r="O602">
        <v>5</v>
      </c>
      <c r="P602">
        <v>4</v>
      </c>
      <c r="Q602">
        <v>5</v>
      </c>
      <c r="R602">
        <v>4</v>
      </c>
      <c r="S602">
        <v>0.44444</v>
      </c>
      <c r="T602" t="s">
        <v>199</v>
      </c>
      <c r="U602" t="s">
        <v>61</v>
      </c>
      <c r="V602" t="s">
        <v>62</v>
      </c>
      <c r="W602" t="s">
        <v>62</v>
      </c>
      <c r="X602">
        <v>0</v>
      </c>
      <c r="Y602">
        <v>0</v>
      </c>
      <c r="Z602">
        <v>7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6</v>
      </c>
      <c r="AK602">
        <v>0</v>
      </c>
      <c r="AL602">
        <v>7</v>
      </c>
      <c r="AM602">
        <v>3</v>
      </c>
      <c r="AN602">
        <v>3</v>
      </c>
      <c r="AO602">
        <v>6</v>
      </c>
      <c r="AP602">
        <v>2</v>
      </c>
      <c r="AQ602">
        <v>1</v>
      </c>
      <c r="AR602" t="s">
        <v>13651</v>
      </c>
      <c r="AS602" t="s">
        <v>13652</v>
      </c>
      <c r="AT602">
        <v>0.80400000000000005</v>
      </c>
      <c r="AU602" t="s">
        <v>65</v>
      </c>
      <c r="AV602">
        <v>5</v>
      </c>
      <c r="AW602">
        <v>7</v>
      </c>
      <c r="AX602" t="s">
        <v>13653</v>
      </c>
      <c r="AY602">
        <v>1.7229999999999999E-2</v>
      </c>
      <c r="AZ602">
        <v>-1.91E-3</v>
      </c>
      <c r="BA602">
        <v>5.0200000000000002E-3</v>
      </c>
      <c r="BB602">
        <v>-5.0000000000000001E-4</v>
      </c>
      <c r="BC602">
        <v>0.29164000000000001</v>
      </c>
      <c r="BD602">
        <v>0.95799999999999996</v>
      </c>
      <c r="BE602" t="s">
        <v>69</v>
      </c>
      <c r="BF602">
        <v>-0.77900000000000003</v>
      </c>
      <c r="BG602">
        <v>-1.8180000000000001</v>
      </c>
    </row>
    <row r="603" spans="1:59">
      <c r="A603">
        <v>0</v>
      </c>
      <c r="B603">
        <v>2</v>
      </c>
      <c r="C603">
        <v>6</v>
      </c>
      <c r="D603" t="s">
        <v>25022</v>
      </c>
      <c r="E603">
        <v>781</v>
      </c>
      <c r="F603" t="s">
        <v>4857</v>
      </c>
      <c r="G603" t="s">
        <v>57</v>
      </c>
      <c r="H603">
        <v>817311</v>
      </c>
      <c r="I603">
        <v>817754</v>
      </c>
      <c r="J603" t="s">
        <v>3537</v>
      </c>
      <c r="K603">
        <v>148</v>
      </c>
      <c r="L603" t="s">
        <v>4858</v>
      </c>
      <c r="M603">
        <v>34</v>
      </c>
      <c r="N603" t="str">
        <f>HYPERLINK("Gene781-zp_tree_all.dnd", "Gene781-tree")</f>
        <v>Gene781-tree</v>
      </c>
      <c r="O603">
        <v>2</v>
      </c>
      <c r="P603">
        <v>7</v>
      </c>
      <c r="Q603">
        <v>2</v>
      </c>
      <c r="R603">
        <v>7</v>
      </c>
      <c r="S603">
        <v>0.77778000000000003</v>
      </c>
      <c r="T603" t="s">
        <v>81</v>
      </c>
      <c r="U603" t="s">
        <v>152</v>
      </c>
      <c r="V603" t="s">
        <v>62</v>
      </c>
      <c r="W603" t="s">
        <v>62</v>
      </c>
      <c r="X603">
        <v>4</v>
      </c>
      <c r="Y603">
        <v>8</v>
      </c>
      <c r="Z603">
        <v>11</v>
      </c>
      <c r="AA603">
        <v>0.42104999999999998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4</v>
      </c>
      <c r="AI603">
        <v>4</v>
      </c>
      <c r="AJ603">
        <v>9</v>
      </c>
      <c r="AK603">
        <v>0.30769000000000002</v>
      </c>
      <c r="AL603">
        <v>7</v>
      </c>
      <c r="AM603">
        <v>5</v>
      </c>
      <c r="AN603">
        <v>12</v>
      </c>
      <c r="AO603">
        <v>8</v>
      </c>
      <c r="AP603">
        <v>12</v>
      </c>
      <c r="AQ603">
        <v>11</v>
      </c>
      <c r="AR603" t="s">
        <v>4859</v>
      </c>
      <c r="AS603" t="s">
        <v>4860</v>
      </c>
      <c r="AT603">
        <v>0.53400000000000003</v>
      </c>
      <c r="AU603" t="s">
        <v>65</v>
      </c>
      <c r="AV603">
        <v>24</v>
      </c>
      <c r="AW603">
        <v>19</v>
      </c>
      <c r="AX603" t="s">
        <v>4861</v>
      </c>
      <c r="AY603">
        <v>7.9369999999999996E-2</v>
      </c>
      <c r="AZ603">
        <v>-5.7400000000000003E-3</v>
      </c>
      <c r="BA603">
        <v>1.915E-2</v>
      </c>
      <c r="BB603">
        <v>-1.6000000000000001E-3</v>
      </c>
      <c r="BC603">
        <v>0.24127000000000001</v>
      </c>
      <c r="BD603">
        <v>1</v>
      </c>
      <c r="BE603" t="s">
        <v>69</v>
      </c>
      <c r="BF603">
        <v>-0.49099999999999999</v>
      </c>
      <c r="BG603">
        <v>-1.292</v>
      </c>
    </row>
    <row r="604" spans="1:59">
      <c r="A604">
        <v>0</v>
      </c>
      <c r="B604">
        <v>7</v>
      </c>
      <c r="C604">
        <v>0</v>
      </c>
      <c r="D604" t="s">
        <v>25022</v>
      </c>
      <c r="E604">
        <v>1885</v>
      </c>
      <c r="F604" t="s">
        <v>11794</v>
      </c>
      <c r="G604" t="s">
        <v>57</v>
      </c>
      <c r="H604">
        <v>1946249</v>
      </c>
      <c r="I604">
        <v>1946692</v>
      </c>
      <c r="J604" t="s">
        <v>11795</v>
      </c>
      <c r="K604">
        <v>148</v>
      </c>
      <c r="L604" t="s">
        <v>108</v>
      </c>
      <c r="M604">
        <v>44</v>
      </c>
      <c r="N604" t="str">
        <f>HYPERLINK("Gene1885-zp_tree_all.dnd", "Gene1885-tree")</f>
        <v>Gene1885-tree</v>
      </c>
      <c r="O604">
        <v>4</v>
      </c>
      <c r="P604">
        <v>9</v>
      </c>
      <c r="Q604">
        <v>4</v>
      </c>
      <c r="R604">
        <v>9</v>
      </c>
      <c r="S604">
        <v>0.69230999999999998</v>
      </c>
      <c r="T604" t="s">
        <v>61</v>
      </c>
      <c r="U604" t="s">
        <v>135</v>
      </c>
      <c r="V604" t="s">
        <v>62</v>
      </c>
      <c r="W604" t="s">
        <v>62</v>
      </c>
      <c r="X604">
        <v>3</v>
      </c>
      <c r="Y604">
        <v>7</v>
      </c>
      <c r="Z604">
        <v>12</v>
      </c>
      <c r="AA604">
        <v>0.36842000000000003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4</v>
      </c>
      <c r="AH604">
        <v>0</v>
      </c>
      <c r="AI604">
        <v>4</v>
      </c>
      <c r="AJ604">
        <v>12</v>
      </c>
      <c r="AK604">
        <v>0.25</v>
      </c>
      <c r="AL604">
        <v>9</v>
      </c>
      <c r="AM604">
        <v>9</v>
      </c>
      <c r="AN604">
        <v>16</v>
      </c>
      <c r="AO604">
        <v>16</v>
      </c>
      <c r="AP604">
        <v>7</v>
      </c>
      <c r="AQ604">
        <v>4</v>
      </c>
      <c r="AR604" t="s">
        <v>11796</v>
      </c>
      <c r="AS604" t="s">
        <v>11797</v>
      </c>
      <c r="AT604">
        <v>0.69199999999999995</v>
      </c>
      <c r="AU604" t="s">
        <v>65</v>
      </c>
      <c r="AV604">
        <v>23</v>
      </c>
      <c r="AW604">
        <v>20</v>
      </c>
      <c r="AX604" t="s">
        <v>11798</v>
      </c>
      <c r="AY604">
        <v>4.6539999999999998E-2</v>
      </c>
      <c r="AZ604">
        <v>-3.3800000000000002E-3</v>
      </c>
      <c r="BA604">
        <v>1.0120000000000001E-2</v>
      </c>
      <c r="BB604">
        <v>-5.9000000000000003E-4</v>
      </c>
      <c r="BC604">
        <v>0.21754000000000001</v>
      </c>
      <c r="BD604">
        <v>1</v>
      </c>
      <c r="BE604" t="s">
        <v>69</v>
      </c>
      <c r="BF604">
        <v>-1.36</v>
      </c>
      <c r="BG604">
        <v>-1.746</v>
      </c>
    </row>
    <row r="605" spans="1:59">
      <c r="A605">
        <v>0</v>
      </c>
      <c r="B605">
        <v>8</v>
      </c>
      <c r="C605">
        <v>0</v>
      </c>
      <c r="D605" t="s">
        <v>25022</v>
      </c>
      <c r="E605">
        <v>775</v>
      </c>
      <c r="F605" t="s">
        <v>4817</v>
      </c>
      <c r="G605" t="s">
        <v>57</v>
      </c>
      <c r="H605">
        <v>811569</v>
      </c>
      <c r="I605">
        <v>812012</v>
      </c>
      <c r="J605" t="s">
        <v>288</v>
      </c>
      <c r="K605">
        <v>148</v>
      </c>
      <c r="L605" t="s">
        <v>108</v>
      </c>
      <c r="M605">
        <v>44</v>
      </c>
      <c r="N605" t="str">
        <f>HYPERLINK("Gene775-zp_tree_all.dnd", "Gene775-tree")</f>
        <v>Gene775-tree</v>
      </c>
      <c r="O605">
        <v>28</v>
      </c>
      <c r="P605">
        <v>5</v>
      </c>
      <c r="Q605">
        <v>8</v>
      </c>
      <c r="R605">
        <v>5</v>
      </c>
      <c r="S605">
        <v>0.38462000000000002</v>
      </c>
      <c r="T605" t="s">
        <v>3778</v>
      </c>
      <c r="U605" t="s">
        <v>199</v>
      </c>
      <c r="V605" t="s">
        <v>62</v>
      </c>
      <c r="W605" t="s">
        <v>62</v>
      </c>
      <c r="X605">
        <v>4</v>
      </c>
      <c r="Y605">
        <v>8</v>
      </c>
      <c r="Z605">
        <v>8</v>
      </c>
      <c r="AA605">
        <v>0.5</v>
      </c>
      <c r="AB605">
        <v>0</v>
      </c>
      <c r="AC605">
        <v>0</v>
      </c>
      <c r="AD605">
        <v>0</v>
      </c>
      <c r="AE605">
        <v>4</v>
      </c>
      <c r="AF605">
        <v>0</v>
      </c>
      <c r="AG605">
        <v>0</v>
      </c>
      <c r="AH605">
        <v>0</v>
      </c>
      <c r="AI605">
        <v>0</v>
      </c>
      <c r="AJ605">
        <v>7</v>
      </c>
      <c r="AK605">
        <v>0</v>
      </c>
      <c r="AL605">
        <v>10</v>
      </c>
      <c r="AM605">
        <v>8</v>
      </c>
      <c r="AN605">
        <v>14</v>
      </c>
      <c r="AO605">
        <v>7</v>
      </c>
      <c r="AP605">
        <v>8</v>
      </c>
      <c r="AQ605">
        <v>9</v>
      </c>
      <c r="AR605" t="s">
        <v>4818</v>
      </c>
      <c r="AS605" t="s">
        <v>4819</v>
      </c>
      <c r="AT605">
        <v>0.76800000000000002</v>
      </c>
      <c r="AU605" t="s">
        <v>65</v>
      </c>
      <c r="AV605">
        <v>22</v>
      </c>
      <c r="AW605">
        <v>16</v>
      </c>
      <c r="AX605" t="s">
        <v>4820</v>
      </c>
      <c r="AY605">
        <v>4.9230000000000003E-2</v>
      </c>
      <c r="AZ605">
        <v>-3.8500000000000001E-3</v>
      </c>
      <c r="BA605">
        <v>1.069E-2</v>
      </c>
      <c r="BB605">
        <v>-5.5999999999999995E-4</v>
      </c>
      <c r="BC605">
        <v>0.21706</v>
      </c>
      <c r="BD605">
        <v>1</v>
      </c>
      <c r="BE605" t="s">
        <v>69</v>
      </c>
      <c r="BF605">
        <v>-1.024</v>
      </c>
      <c r="BG605">
        <v>-1.946</v>
      </c>
    </row>
    <row r="606" spans="1:59">
      <c r="A606">
        <v>0</v>
      </c>
      <c r="B606">
        <v>2</v>
      </c>
      <c r="C606">
        <v>0</v>
      </c>
      <c r="D606" t="s">
        <v>25022</v>
      </c>
      <c r="E606">
        <v>532</v>
      </c>
      <c r="F606" t="s">
        <v>3433</v>
      </c>
      <c r="G606" t="s">
        <v>57</v>
      </c>
      <c r="H606">
        <v>567662</v>
      </c>
      <c r="I606">
        <v>568105</v>
      </c>
      <c r="J606" t="s">
        <v>3095</v>
      </c>
      <c r="K606">
        <v>148</v>
      </c>
      <c r="L606" t="s">
        <v>1174</v>
      </c>
      <c r="M606">
        <v>42</v>
      </c>
      <c r="N606" t="str">
        <f>HYPERLINK("Gene532-zp_tree_all.dnd", "Gene532-tree")</f>
        <v>Gene532-tree</v>
      </c>
      <c r="O606">
        <v>7</v>
      </c>
      <c r="P606">
        <v>6</v>
      </c>
      <c r="Q606">
        <v>7</v>
      </c>
      <c r="R606">
        <v>6</v>
      </c>
      <c r="S606">
        <v>0.46154000000000001</v>
      </c>
      <c r="T606" t="s">
        <v>152</v>
      </c>
      <c r="U606" t="s">
        <v>90</v>
      </c>
      <c r="V606" t="s">
        <v>62</v>
      </c>
      <c r="W606" t="s">
        <v>62</v>
      </c>
      <c r="X606">
        <v>1</v>
      </c>
      <c r="Y606">
        <v>2</v>
      </c>
      <c r="Z606">
        <v>9</v>
      </c>
      <c r="AA606">
        <v>0.18182000000000001</v>
      </c>
      <c r="AB606">
        <v>0</v>
      </c>
      <c r="AC606">
        <v>0</v>
      </c>
      <c r="AD606">
        <v>0</v>
      </c>
      <c r="AE606">
        <v>4</v>
      </c>
      <c r="AF606">
        <v>0</v>
      </c>
      <c r="AG606">
        <v>0</v>
      </c>
      <c r="AH606">
        <v>0</v>
      </c>
      <c r="AI606">
        <v>0</v>
      </c>
      <c r="AJ606">
        <v>7</v>
      </c>
      <c r="AK606">
        <v>0</v>
      </c>
      <c r="AL606">
        <v>10</v>
      </c>
      <c r="AM606">
        <v>5</v>
      </c>
      <c r="AN606">
        <v>12</v>
      </c>
      <c r="AO606">
        <v>7</v>
      </c>
      <c r="AP606">
        <v>8</v>
      </c>
      <c r="AQ606">
        <v>4</v>
      </c>
      <c r="AR606" t="s">
        <v>3434</v>
      </c>
      <c r="AS606" t="s">
        <v>3435</v>
      </c>
      <c r="AT606">
        <v>0.159</v>
      </c>
      <c r="AU606" t="s">
        <v>65</v>
      </c>
      <c r="AV606">
        <v>20</v>
      </c>
      <c r="AW606">
        <v>11</v>
      </c>
      <c r="AX606" t="s">
        <v>3436</v>
      </c>
      <c r="AY606">
        <v>3.8719999999999997E-2</v>
      </c>
      <c r="AZ606">
        <v>-2.32E-3</v>
      </c>
      <c r="BA606">
        <v>7.8399999999999997E-3</v>
      </c>
      <c r="BB606">
        <v>-4.4000000000000002E-4</v>
      </c>
      <c r="BC606">
        <v>0.20241999999999999</v>
      </c>
      <c r="BD606">
        <v>1</v>
      </c>
      <c r="BE606" t="s">
        <v>69</v>
      </c>
      <c r="BF606">
        <v>-0.115</v>
      </c>
      <c r="BG606">
        <v>-1.417</v>
      </c>
    </row>
    <row r="607" spans="1:59">
      <c r="A607">
        <v>0</v>
      </c>
      <c r="B607">
        <v>4</v>
      </c>
      <c r="C607">
        <v>0</v>
      </c>
      <c r="D607" t="s">
        <v>25022</v>
      </c>
      <c r="E607">
        <v>4203</v>
      </c>
      <c r="F607" t="s">
        <v>24755</v>
      </c>
      <c r="G607" t="s">
        <v>62</v>
      </c>
      <c r="H607">
        <v>4169169</v>
      </c>
      <c r="I607">
        <v>4169612</v>
      </c>
      <c r="J607" t="s">
        <v>24756</v>
      </c>
      <c r="K607">
        <v>148</v>
      </c>
      <c r="L607" t="s">
        <v>108</v>
      </c>
      <c r="M607">
        <v>44</v>
      </c>
      <c r="N607" t="str">
        <f>HYPERLINK("Gene4203-zp_tree_all.dnd", "Gene4203-tree")</f>
        <v>Gene4203-tree</v>
      </c>
      <c r="O607">
        <v>8</v>
      </c>
      <c r="P607">
        <v>6</v>
      </c>
      <c r="Q607">
        <v>8</v>
      </c>
      <c r="R607">
        <v>6</v>
      </c>
      <c r="S607">
        <v>0.42857000000000001</v>
      </c>
      <c r="T607" t="s">
        <v>136</v>
      </c>
      <c r="U607" t="s">
        <v>90</v>
      </c>
      <c r="V607" t="s">
        <v>62</v>
      </c>
      <c r="W607" t="s">
        <v>62</v>
      </c>
      <c r="X607">
        <v>2</v>
      </c>
      <c r="Y607">
        <v>4</v>
      </c>
      <c r="Z607">
        <v>11</v>
      </c>
      <c r="AA607">
        <v>0.26667000000000002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10</v>
      </c>
      <c r="AK607">
        <v>0</v>
      </c>
      <c r="AL607">
        <v>11</v>
      </c>
      <c r="AM607">
        <v>7</v>
      </c>
      <c r="AN607">
        <v>27</v>
      </c>
      <c r="AO607">
        <v>8</v>
      </c>
      <c r="AP607">
        <v>5</v>
      </c>
      <c r="AQ607">
        <v>7</v>
      </c>
      <c r="AR607" t="s">
        <v>24757</v>
      </c>
      <c r="AS607" t="s">
        <v>24758</v>
      </c>
      <c r="AT607">
        <v>1.548</v>
      </c>
      <c r="AU607" t="s">
        <v>65</v>
      </c>
      <c r="AV607">
        <v>32</v>
      </c>
      <c r="AW607">
        <v>15</v>
      </c>
      <c r="AX607" t="s">
        <v>24759</v>
      </c>
      <c r="AY607">
        <v>5.6640000000000003E-2</v>
      </c>
      <c r="AZ607">
        <v>-4.3400000000000001E-3</v>
      </c>
      <c r="BA607">
        <v>9.8300000000000002E-3</v>
      </c>
      <c r="BB607">
        <v>-5.9999999999999995E-4</v>
      </c>
      <c r="BC607">
        <v>0.17352000000000001</v>
      </c>
      <c r="BD607">
        <v>1</v>
      </c>
      <c r="BE607" t="s">
        <v>69</v>
      </c>
      <c r="BF607">
        <v>-1.1319999999999999</v>
      </c>
      <c r="BG607">
        <v>-1.071</v>
      </c>
    </row>
    <row r="608" spans="1:59">
      <c r="A608">
        <v>0</v>
      </c>
      <c r="B608">
        <v>0</v>
      </c>
      <c r="C608">
        <v>0</v>
      </c>
      <c r="D608" t="s">
        <v>25022</v>
      </c>
      <c r="E608">
        <v>2549</v>
      </c>
      <c r="F608" t="s">
        <v>14896</v>
      </c>
      <c r="G608" t="s">
        <v>62</v>
      </c>
      <c r="H608">
        <v>2539758</v>
      </c>
      <c r="I608">
        <v>2540201</v>
      </c>
      <c r="J608" t="s">
        <v>14897</v>
      </c>
      <c r="K608">
        <v>148</v>
      </c>
      <c r="L608" t="s">
        <v>698</v>
      </c>
      <c r="M608">
        <v>47</v>
      </c>
      <c r="N608" t="str">
        <f>HYPERLINK("Gene2549-zp_tree_all.dnd", "Gene2549-tree")</f>
        <v>Gene2549-tree</v>
      </c>
      <c r="O608">
        <v>5</v>
      </c>
      <c r="P608">
        <v>6</v>
      </c>
      <c r="Q608">
        <v>5</v>
      </c>
      <c r="R608">
        <v>6</v>
      </c>
      <c r="S608">
        <v>0.54544999999999999</v>
      </c>
      <c r="T608" t="s">
        <v>199</v>
      </c>
      <c r="U608" t="s">
        <v>90</v>
      </c>
      <c r="V608" t="s">
        <v>62</v>
      </c>
      <c r="W608" t="s">
        <v>62</v>
      </c>
      <c r="X608">
        <v>0</v>
      </c>
      <c r="Y608">
        <v>0</v>
      </c>
      <c r="Z608">
        <v>8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6</v>
      </c>
      <c r="AK608">
        <v>0</v>
      </c>
      <c r="AL608">
        <v>8</v>
      </c>
      <c r="AM608">
        <v>5</v>
      </c>
      <c r="AN608">
        <v>15</v>
      </c>
      <c r="AO608">
        <v>6</v>
      </c>
      <c r="AP608">
        <v>19</v>
      </c>
      <c r="AQ608">
        <v>3</v>
      </c>
      <c r="AR608" t="s">
        <v>14898</v>
      </c>
      <c r="AS608" t="s">
        <v>14899</v>
      </c>
      <c r="AT608">
        <v>1.038</v>
      </c>
      <c r="AU608" t="s">
        <v>65</v>
      </c>
      <c r="AV608">
        <v>34</v>
      </c>
      <c r="AW608">
        <v>9</v>
      </c>
      <c r="AX608" t="s">
        <v>14900</v>
      </c>
      <c r="AY608">
        <v>8.5650000000000004E-2</v>
      </c>
      <c r="AZ608">
        <v>-9.8499999999999994E-3</v>
      </c>
      <c r="BA608">
        <v>7.45E-3</v>
      </c>
      <c r="BB608">
        <v>-5.9000000000000003E-4</v>
      </c>
      <c r="BC608">
        <v>8.6989999999999998E-2</v>
      </c>
      <c r="BD608">
        <v>1</v>
      </c>
      <c r="BE608" t="s">
        <v>69</v>
      </c>
      <c r="BF608">
        <v>-1.508</v>
      </c>
      <c r="BG608">
        <v>-0.60099999999999998</v>
      </c>
    </row>
    <row r="609" spans="1:59">
      <c r="A609">
        <v>0</v>
      </c>
      <c r="B609">
        <v>0</v>
      </c>
      <c r="C609">
        <v>0</v>
      </c>
      <c r="D609" t="s">
        <v>25022</v>
      </c>
      <c r="E609">
        <v>1856</v>
      </c>
      <c r="F609" t="s">
        <v>11624</v>
      </c>
      <c r="G609" t="s">
        <v>57</v>
      </c>
      <c r="H609">
        <v>1922017</v>
      </c>
      <c r="I609">
        <v>1922460</v>
      </c>
      <c r="J609" t="s">
        <v>11625</v>
      </c>
      <c r="K609">
        <v>148</v>
      </c>
      <c r="L609" t="s">
        <v>749</v>
      </c>
      <c r="M609">
        <v>47</v>
      </c>
      <c r="N609" t="str">
        <f>HYPERLINK("Gene1856-zp_tree_all.dnd", "Gene1856-tree")</f>
        <v>Gene1856-tree</v>
      </c>
      <c r="O609">
        <v>8</v>
      </c>
      <c r="P609">
        <v>4</v>
      </c>
      <c r="Q609">
        <v>8</v>
      </c>
      <c r="R609">
        <v>4</v>
      </c>
      <c r="S609">
        <v>0.33333000000000002</v>
      </c>
      <c r="T609" t="s">
        <v>136</v>
      </c>
      <c r="U609" t="s">
        <v>61</v>
      </c>
      <c r="V609" t="s">
        <v>62</v>
      </c>
      <c r="W609" t="s">
        <v>62</v>
      </c>
      <c r="X609">
        <v>0</v>
      </c>
      <c r="Y609">
        <v>0</v>
      </c>
      <c r="Z609">
        <v>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4</v>
      </c>
      <c r="AK609">
        <v>0</v>
      </c>
      <c r="AL609">
        <v>11</v>
      </c>
      <c r="AM609">
        <v>4</v>
      </c>
      <c r="AN609">
        <v>17</v>
      </c>
      <c r="AO609">
        <v>4</v>
      </c>
      <c r="AP609">
        <v>11</v>
      </c>
      <c r="AQ609">
        <v>5</v>
      </c>
      <c r="AR609" t="s">
        <v>11626</v>
      </c>
      <c r="AS609" t="s">
        <v>11627</v>
      </c>
      <c r="AT609">
        <v>0.3</v>
      </c>
      <c r="AU609" t="s">
        <v>65</v>
      </c>
      <c r="AV609">
        <v>28</v>
      </c>
      <c r="AW609">
        <v>9</v>
      </c>
      <c r="AX609" t="s">
        <v>11628</v>
      </c>
      <c r="AY609">
        <v>8.7379999999999999E-2</v>
      </c>
      <c r="AZ609">
        <v>-9.0299999999999998E-3</v>
      </c>
      <c r="BA609">
        <v>7.4200000000000004E-3</v>
      </c>
      <c r="BB609">
        <v>-8.8999999999999995E-4</v>
      </c>
      <c r="BC609">
        <v>8.4919999999999995E-2</v>
      </c>
      <c r="BD609">
        <v>1</v>
      </c>
      <c r="BE609" t="s">
        <v>69</v>
      </c>
      <c r="BF609">
        <v>-2.0329999999999999</v>
      </c>
      <c r="BG609">
        <v>-1.6850000000000001</v>
      </c>
    </row>
    <row r="610" spans="1:59">
      <c r="A610">
        <v>0</v>
      </c>
      <c r="B610">
        <v>3</v>
      </c>
      <c r="C610">
        <v>0</v>
      </c>
      <c r="D610" t="s">
        <v>25022</v>
      </c>
      <c r="E610">
        <v>1480</v>
      </c>
      <c r="F610" t="s">
        <v>9248</v>
      </c>
      <c r="G610" t="s">
        <v>57</v>
      </c>
      <c r="H610">
        <v>1492875</v>
      </c>
      <c r="I610">
        <v>1493318</v>
      </c>
      <c r="J610" t="s">
        <v>9249</v>
      </c>
      <c r="K610">
        <v>148</v>
      </c>
      <c r="L610" t="s">
        <v>108</v>
      </c>
      <c r="M610">
        <v>44</v>
      </c>
      <c r="N610" t="str">
        <f>HYPERLINK("Gene1480-zp_tree_all.dnd", "Gene1480-tree")</f>
        <v>Gene1480-tree</v>
      </c>
      <c r="O610">
        <v>7</v>
      </c>
      <c r="P610">
        <v>7</v>
      </c>
      <c r="Q610">
        <v>7</v>
      </c>
      <c r="R610">
        <v>7</v>
      </c>
      <c r="S610">
        <v>0.5</v>
      </c>
      <c r="T610" t="s">
        <v>152</v>
      </c>
      <c r="U610" t="s">
        <v>152</v>
      </c>
      <c r="V610" t="s">
        <v>62</v>
      </c>
      <c r="W610" t="s">
        <v>62</v>
      </c>
      <c r="X610">
        <v>1</v>
      </c>
      <c r="Y610">
        <v>3</v>
      </c>
      <c r="Z610">
        <v>7</v>
      </c>
      <c r="AA610">
        <v>0.3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2</v>
      </c>
      <c r="AH610">
        <v>0</v>
      </c>
      <c r="AI610">
        <v>2</v>
      </c>
      <c r="AJ610">
        <v>7</v>
      </c>
      <c r="AK610">
        <v>0.22222</v>
      </c>
      <c r="AL610">
        <v>10</v>
      </c>
      <c r="AM610">
        <v>7</v>
      </c>
      <c r="AN610">
        <v>11</v>
      </c>
      <c r="AO610">
        <v>9</v>
      </c>
      <c r="AP610">
        <v>12</v>
      </c>
      <c r="AQ610">
        <v>1</v>
      </c>
      <c r="AR610" t="s">
        <v>9250</v>
      </c>
      <c r="AS610" t="s">
        <v>9251</v>
      </c>
      <c r="AT610">
        <v>1.677</v>
      </c>
      <c r="AU610" t="s">
        <v>65</v>
      </c>
      <c r="AV610">
        <v>23</v>
      </c>
      <c r="AW610">
        <v>10</v>
      </c>
      <c r="AX610" t="s">
        <v>9252</v>
      </c>
      <c r="AY610">
        <v>5.4140000000000001E-2</v>
      </c>
      <c r="AZ610">
        <v>-2.0699999999999998E-3</v>
      </c>
      <c r="BA610">
        <v>4.3099999999999996E-3</v>
      </c>
      <c r="BB610">
        <v>-2.7999999999999998E-4</v>
      </c>
      <c r="BC610">
        <v>7.9570000000000002E-2</v>
      </c>
      <c r="BD610">
        <v>1</v>
      </c>
      <c r="BE610" t="s">
        <v>69</v>
      </c>
      <c r="BF610">
        <v>-0.42699999999999999</v>
      </c>
      <c r="BG610">
        <v>-0.93100000000000005</v>
      </c>
    </row>
    <row r="611" spans="1:59">
      <c r="A611">
        <v>0</v>
      </c>
      <c r="B611">
        <v>2</v>
      </c>
      <c r="C611">
        <v>0</v>
      </c>
      <c r="D611" t="s">
        <v>25022</v>
      </c>
      <c r="E611">
        <v>4065</v>
      </c>
      <c r="F611" t="s">
        <v>23927</v>
      </c>
      <c r="G611" t="s">
        <v>62</v>
      </c>
      <c r="H611">
        <v>4031800</v>
      </c>
      <c r="I611">
        <v>4032243</v>
      </c>
      <c r="J611" t="s">
        <v>23928</v>
      </c>
      <c r="K611">
        <v>148</v>
      </c>
      <c r="L611" t="s">
        <v>108</v>
      </c>
      <c r="M611">
        <v>44</v>
      </c>
      <c r="N611" t="str">
        <f>HYPERLINK("Gene4065-zp_tree_all.dnd", "Gene4065-tree")</f>
        <v>Gene4065-tree</v>
      </c>
      <c r="O611">
        <v>11</v>
      </c>
      <c r="P611">
        <v>3</v>
      </c>
      <c r="Q611">
        <v>11</v>
      </c>
      <c r="R611">
        <v>3</v>
      </c>
      <c r="S611">
        <v>0.21429000000000001</v>
      </c>
      <c r="T611" t="s">
        <v>73</v>
      </c>
      <c r="U611" t="s">
        <v>324</v>
      </c>
      <c r="V611" t="s">
        <v>62</v>
      </c>
      <c r="W611" t="s">
        <v>62</v>
      </c>
      <c r="X611">
        <v>1</v>
      </c>
      <c r="Y611">
        <v>2</v>
      </c>
      <c r="Z611">
        <v>7</v>
      </c>
      <c r="AA611">
        <v>0.22222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8</v>
      </c>
      <c r="AK611">
        <v>0</v>
      </c>
      <c r="AL611">
        <v>10</v>
      </c>
      <c r="AM611">
        <v>6</v>
      </c>
      <c r="AN611">
        <v>28</v>
      </c>
      <c r="AO611">
        <v>8</v>
      </c>
      <c r="AP611">
        <v>5</v>
      </c>
      <c r="AQ611">
        <v>1</v>
      </c>
      <c r="AR611" t="s">
        <v>23929</v>
      </c>
      <c r="AS611" t="s">
        <v>23930</v>
      </c>
      <c r="AT611">
        <v>0.13100000000000001</v>
      </c>
      <c r="AU611" t="s">
        <v>65</v>
      </c>
      <c r="AV611">
        <v>33</v>
      </c>
      <c r="AW611">
        <v>9</v>
      </c>
      <c r="AX611" t="s">
        <v>23931</v>
      </c>
      <c r="AY611">
        <v>5.7779999999999998E-2</v>
      </c>
      <c r="AZ611">
        <v>-4.5900000000000003E-3</v>
      </c>
      <c r="BA611">
        <v>4.0299999999999997E-3</v>
      </c>
      <c r="BB611">
        <v>-4.8999999999999998E-4</v>
      </c>
      <c r="BC611">
        <v>6.9699999999999998E-2</v>
      </c>
      <c r="BD611">
        <v>1</v>
      </c>
      <c r="BE611" t="s">
        <v>69</v>
      </c>
      <c r="BF611">
        <v>-1.8640000000000001</v>
      </c>
      <c r="BG611">
        <v>-2.3039999999999998</v>
      </c>
    </row>
    <row r="612" spans="1:59">
      <c r="A612">
        <v>0</v>
      </c>
      <c r="B612">
        <v>2</v>
      </c>
      <c r="C612">
        <v>0</v>
      </c>
      <c r="D612" t="s">
        <v>25022</v>
      </c>
      <c r="E612">
        <v>1555</v>
      </c>
      <c r="F612" t="s">
        <v>9722</v>
      </c>
      <c r="G612" t="s">
        <v>57</v>
      </c>
      <c r="H612">
        <v>1565849</v>
      </c>
      <c r="I612">
        <v>1566292</v>
      </c>
      <c r="J612" t="s">
        <v>1340</v>
      </c>
      <c r="K612">
        <v>148</v>
      </c>
      <c r="L612" t="s">
        <v>2803</v>
      </c>
      <c r="M612">
        <v>45</v>
      </c>
      <c r="N612" t="str">
        <f>HYPERLINK("Gene1555-zp_tree_all.dnd", "Gene1555-tree")</f>
        <v>Gene1555-tree</v>
      </c>
      <c r="O612">
        <v>7</v>
      </c>
      <c r="P612">
        <v>5</v>
      </c>
      <c r="Q612">
        <v>7</v>
      </c>
      <c r="R612">
        <v>5</v>
      </c>
      <c r="S612">
        <v>0.41666999999999998</v>
      </c>
      <c r="T612" t="s">
        <v>152</v>
      </c>
      <c r="U612" t="s">
        <v>199</v>
      </c>
      <c r="V612" t="s">
        <v>62</v>
      </c>
      <c r="W612" t="s">
        <v>62</v>
      </c>
      <c r="X612">
        <v>1</v>
      </c>
      <c r="Y612">
        <v>2</v>
      </c>
      <c r="Z612">
        <v>3</v>
      </c>
      <c r="AA612">
        <v>0.4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</v>
      </c>
      <c r="AH612">
        <v>0</v>
      </c>
      <c r="AI612">
        <v>2</v>
      </c>
      <c r="AJ612">
        <v>3</v>
      </c>
      <c r="AK612">
        <v>0.4</v>
      </c>
      <c r="AL612">
        <v>10</v>
      </c>
      <c r="AM612">
        <v>3</v>
      </c>
      <c r="AN612">
        <v>27</v>
      </c>
      <c r="AO612">
        <v>4</v>
      </c>
      <c r="AP612">
        <v>3</v>
      </c>
      <c r="AQ612">
        <v>1</v>
      </c>
      <c r="AR612" t="s">
        <v>9723</v>
      </c>
      <c r="AS612" t="s">
        <v>9724</v>
      </c>
      <c r="AT612">
        <v>0.438</v>
      </c>
      <c r="AU612" t="s">
        <v>65</v>
      </c>
      <c r="AV612">
        <v>30</v>
      </c>
      <c r="AW612">
        <v>5</v>
      </c>
      <c r="AX612" t="s">
        <v>9725</v>
      </c>
      <c r="AY612">
        <v>6.2969999999999998E-2</v>
      </c>
      <c r="AZ612">
        <v>-9.2800000000000001E-3</v>
      </c>
      <c r="BA612">
        <v>1.9400000000000001E-3</v>
      </c>
      <c r="BB612">
        <v>-2.3000000000000001E-4</v>
      </c>
      <c r="BC612">
        <v>3.0880000000000001E-2</v>
      </c>
      <c r="BD612">
        <v>1</v>
      </c>
      <c r="BE612" t="s">
        <v>69</v>
      </c>
      <c r="BF612">
        <v>-1.702</v>
      </c>
      <c r="BG612">
        <v>-4.125</v>
      </c>
    </row>
    <row r="613" spans="1:59">
      <c r="A613">
        <v>0</v>
      </c>
      <c r="B613">
        <v>0</v>
      </c>
      <c r="C613">
        <v>0</v>
      </c>
      <c r="D613" t="s">
        <v>25022</v>
      </c>
      <c r="E613">
        <v>2643</v>
      </c>
      <c r="F613" t="s">
        <v>15488</v>
      </c>
      <c r="G613" t="s">
        <v>62</v>
      </c>
      <c r="H613">
        <v>2619913</v>
      </c>
      <c r="I613">
        <v>2620356</v>
      </c>
      <c r="J613" t="s">
        <v>15489</v>
      </c>
      <c r="K613">
        <v>148</v>
      </c>
      <c r="L613" t="s">
        <v>59</v>
      </c>
      <c r="M613">
        <v>49</v>
      </c>
      <c r="N613" t="str">
        <f>HYPERLINK("Gene2643-zp_tree_all.dnd", "Gene2643-tree")</f>
        <v>Gene2643-tree</v>
      </c>
      <c r="O613">
        <v>5</v>
      </c>
      <c r="P613">
        <v>1</v>
      </c>
      <c r="Q613">
        <v>5</v>
      </c>
      <c r="R613">
        <v>1</v>
      </c>
      <c r="S613">
        <v>0.16667000000000001</v>
      </c>
      <c r="T613" t="s">
        <v>199</v>
      </c>
      <c r="U613" t="s">
        <v>175</v>
      </c>
      <c r="V613" t="s">
        <v>62</v>
      </c>
      <c r="W613" t="s">
        <v>62</v>
      </c>
      <c r="X613">
        <v>0</v>
      </c>
      <c r="Y613">
        <v>0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4</v>
      </c>
      <c r="AM613">
        <v>2</v>
      </c>
      <c r="AN613">
        <v>3</v>
      </c>
      <c r="AO613">
        <v>1</v>
      </c>
      <c r="AP613">
        <v>14</v>
      </c>
      <c r="AQ613">
        <v>1</v>
      </c>
      <c r="AR613" t="s">
        <v>15490</v>
      </c>
      <c r="AS613" t="s">
        <v>15491</v>
      </c>
      <c r="AT613">
        <v>0.47599999999999998</v>
      </c>
      <c r="AU613" t="s">
        <v>65</v>
      </c>
      <c r="AV613">
        <v>17</v>
      </c>
      <c r="AW613">
        <v>2</v>
      </c>
      <c r="AX613" t="s">
        <v>15492</v>
      </c>
      <c r="AY613">
        <v>9.4380000000000006E-2</v>
      </c>
      <c r="AZ613">
        <v>-1.7520000000000001E-2</v>
      </c>
      <c r="BA613">
        <v>2.49E-3</v>
      </c>
      <c r="BB613">
        <v>-4.2999999999999999E-4</v>
      </c>
      <c r="BC613">
        <v>2.6409999999999999E-2</v>
      </c>
      <c r="BD613">
        <v>1</v>
      </c>
      <c r="BE613" t="s">
        <v>69</v>
      </c>
      <c r="BF613">
        <v>-1.222</v>
      </c>
      <c r="BG613">
        <v>0.84599999999999997</v>
      </c>
    </row>
    <row r="614" spans="1:59">
      <c r="A614">
        <v>0</v>
      </c>
      <c r="B614">
        <v>0</v>
      </c>
      <c r="C614">
        <v>0</v>
      </c>
      <c r="D614" t="s">
        <v>25022</v>
      </c>
      <c r="E614">
        <v>1315</v>
      </c>
      <c r="F614" t="s">
        <v>8256</v>
      </c>
      <c r="G614" t="s">
        <v>57</v>
      </c>
      <c r="H614">
        <v>1334339</v>
      </c>
      <c r="I614">
        <v>1334782</v>
      </c>
      <c r="J614" t="s">
        <v>8099</v>
      </c>
      <c r="K614">
        <v>148</v>
      </c>
      <c r="L614" t="s">
        <v>8257</v>
      </c>
      <c r="M614">
        <v>28</v>
      </c>
      <c r="N614" t="str">
        <f>HYPERLINK("Gene1315-zp_tree_all.dnd", "Gene1315-tree")</f>
        <v>Gene1315-tree</v>
      </c>
      <c r="O614">
        <v>6</v>
      </c>
      <c r="P614">
        <v>0</v>
      </c>
      <c r="Q614">
        <v>6</v>
      </c>
      <c r="R614">
        <v>0</v>
      </c>
      <c r="S614">
        <v>0</v>
      </c>
      <c r="T614" t="s">
        <v>90</v>
      </c>
      <c r="U614" t="s">
        <v>62</v>
      </c>
      <c r="V614" t="s">
        <v>62</v>
      </c>
      <c r="W614" t="s">
        <v>62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4</v>
      </c>
      <c r="AM614">
        <v>1</v>
      </c>
      <c r="AN614">
        <v>21</v>
      </c>
      <c r="AO614">
        <v>0</v>
      </c>
      <c r="AP614">
        <v>1</v>
      </c>
      <c r="AQ614">
        <v>0</v>
      </c>
      <c r="AR614" t="s">
        <v>193</v>
      </c>
      <c r="AS614" t="s">
        <v>193</v>
      </c>
      <c r="AT614">
        <v>0</v>
      </c>
      <c r="AU614" t="s">
        <v>65</v>
      </c>
      <c r="AV614">
        <v>22</v>
      </c>
      <c r="AW614">
        <v>0</v>
      </c>
      <c r="AX614" t="s">
        <v>8258</v>
      </c>
      <c r="AY614">
        <v>8.7540000000000007E-2</v>
      </c>
      <c r="AZ614">
        <v>-2.2089999999999999E-2</v>
      </c>
      <c r="BA614">
        <v>0</v>
      </c>
      <c r="BB614">
        <v>0</v>
      </c>
      <c r="BC614">
        <v>0</v>
      </c>
      <c r="BD614">
        <v>1</v>
      </c>
      <c r="BE614" t="s">
        <v>69</v>
      </c>
      <c r="BF614">
        <v>-2.1349999999999998</v>
      </c>
      <c r="BG614">
        <v>-3.9119999999999999</v>
      </c>
    </row>
    <row r="615" spans="1:59">
      <c r="A615">
        <v>0</v>
      </c>
      <c r="B615">
        <v>2</v>
      </c>
      <c r="C615">
        <v>2</v>
      </c>
      <c r="D615" t="s">
        <v>25022</v>
      </c>
      <c r="E615">
        <v>441</v>
      </c>
      <c r="F615" t="s">
        <v>3001</v>
      </c>
      <c r="G615" t="s">
        <v>57</v>
      </c>
      <c r="H615">
        <v>488314</v>
      </c>
      <c r="I615">
        <v>488760</v>
      </c>
      <c r="J615" t="s">
        <v>3002</v>
      </c>
      <c r="K615">
        <v>149</v>
      </c>
      <c r="L615" t="s">
        <v>3003</v>
      </c>
      <c r="M615">
        <v>37</v>
      </c>
      <c r="N615" t="str">
        <f>HYPERLINK("Gene441-zp_tree_all.dnd", "Gene441-tree")</f>
        <v>Gene441-tree</v>
      </c>
      <c r="O615">
        <v>7</v>
      </c>
      <c r="P615">
        <v>6</v>
      </c>
      <c r="Q615">
        <v>7</v>
      </c>
      <c r="R615">
        <v>6</v>
      </c>
      <c r="S615">
        <v>0.46154000000000001</v>
      </c>
      <c r="T615" t="s">
        <v>152</v>
      </c>
      <c r="U615" t="s">
        <v>90</v>
      </c>
      <c r="V615" t="s">
        <v>62</v>
      </c>
      <c r="W615" t="s">
        <v>62</v>
      </c>
      <c r="X615">
        <v>2</v>
      </c>
      <c r="Y615">
        <v>4</v>
      </c>
      <c r="Z615">
        <v>15</v>
      </c>
      <c r="AA615">
        <v>0.21052999999999999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11</v>
      </c>
      <c r="AK615">
        <v>0</v>
      </c>
      <c r="AL615">
        <v>9</v>
      </c>
      <c r="AM615">
        <v>10</v>
      </c>
      <c r="AN615">
        <v>13</v>
      </c>
      <c r="AO615">
        <v>11</v>
      </c>
      <c r="AP615">
        <v>11</v>
      </c>
      <c r="AQ615">
        <v>8</v>
      </c>
      <c r="AR615" t="s">
        <v>3004</v>
      </c>
      <c r="AS615" t="s">
        <v>3005</v>
      </c>
      <c r="AT615">
        <v>0.19500000000000001</v>
      </c>
      <c r="AU615" t="s">
        <v>65</v>
      </c>
      <c r="AV615">
        <v>24</v>
      </c>
      <c r="AW615">
        <v>19</v>
      </c>
      <c r="AX615" t="s">
        <v>3006</v>
      </c>
      <c r="AY615">
        <v>5.0380000000000001E-2</v>
      </c>
      <c r="AZ615">
        <v>-2.6700000000000001E-3</v>
      </c>
      <c r="BA615">
        <v>1.4659999999999999E-2</v>
      </c>
      <c r="BB615">
        <v>-8.1999999999999998E-4</v>
      </c>
      <c r="BC615">
        <v>0.29098000000000002</v>
      </c>
      <c r="BD615">
        <v>1</v>
      </c>
      <c r="BE615" t="s">
        <v>69</v>
      </c>
      <c r="BF615">
        <v>-0.54500000000000004</v>
      </c>
      <c r="BG615">
        <v>-1.669</v>
      </c>
    </row>
    <row r="616" spans="1:59">
      <c r="A616">
        <v>0</v>
      </c>
      <c r="B616">
        <v>18</v>
      </c>
      <c r="C616">
        <v>6</v>
      </c>
      <c r="D616" t="s">
        <v>25022</v>
      </c>
      <c r="E616">
        <v>1066</v>
      </c>
      <c r="F616" t="s">
        <v>6694</v>
      </c>
      <c r="G616" t="s">
        <v>57</v>
      </c>
      <c r="H616">
        <v>1106003</v>
      </c>
      <c r="I616">
        <v>1106449</v>
      </c>
      <c r="J616" t="s">
        <v>3718</v>
      </c>
      <c r="K616">
        <v>149</v>
      </c>
      <c r="L616" t="s">
        <v>1557</v>
      </c>
      <c r="M616">
        <v>40</v>
      </c>
      <c r="N616" t="str">
        <f>HYPERLINK("Gene1066-zp_tree_all.dnd", "Gene1066-tree")</f>
        <v>Gene1066-tree</v>
      </c>
      <c r="O616">
        <v>5</v>
      </c>
      <c r="P616">
        <v>10</v>
      </c>
      <c r="Q616">
        <v>5</v>
      </c>
      <c r="R616">
        <v>10</v>
      </c>
      <c r="S616">
        <v>0.66666999999999998</v>
      </c>
      <c r="T616" t="s">
        <v>199</v>
      </c>
      <c r="U616" t="s">
        <v>117</v>
      </c>
      <c r="V616" t="s">
        <v>62</v>
      </c>
      <c r="W616" t="s">
        <v>62</v>
      </c>
      <c r="X616">
        <v>8</v>
      </c>
      <c r="Y616">
        <v>24</v>
      </c>
      <c r="Z616">
        <v>10</v>
      </c>
      <c r="AA616">
        <v>0.70587999999999995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11</v>
      </c>
      <c r="AH616">
        <v>5</v>
      </c>
      <c r="AI616">
        <v>16</v>
      </c>
      <c r="AJ616">
        <v>9</v>
      </c>
      <c r="AK616">
        <v>0.64</v>
      </c>
      <c r="AL616">
        <v>13</v>
      </c>
      <c r="AM616">
        <v>11</v>
      </c>
      <c r="AN616">
        <v>19</v>
      </c>
      <c r="AO616">
        <v>25</v>
      </c>
      <c r="AP616">
        <v>18</v>
      </c>
      <c r="AQ616">
        <v>12</v>
      </c>
      <c r="AR616" t="s">
        <v>6695</v>
      </c>
      <c r="AS616" t="s">
        <v>6696</v>
      </c>
      <c r="AT616">
        <v>1.18</v>
      </c>
      <c r="AU616" t="s">
        <v>65</v>
      </c>
      <c r="AV616">
        <v>37</v>
      </c>
      <c r="AW616">
        <v>37</v>
      </c>
      <c r="AX616" t="s">
        <v>6697</v>
      </c>
      <c r="AY616">
        <v>7.5980000000000006E-2</v>
      </c>
      <c r="AZ616">
        <v>-3.0699999999999998E-3</v>
      </c>
      <c r="BA616">
        <v>1.6990000000000002E-2</v>
      </c>
      <c r="BB616">
        <v>-7.5000000000000002E-4</v>
      </c>
      <c r="BC616">
        <v>0.22358</v>
      </c>
      <c r="BD616">
        <v>1</v>
      </c>
      <c r="BE616" t="s">
        <v>69</v>
      </c>
      <c r="BF616">
        <v>-0.48899999999999999</v>
      </c>
      <c r="BG616">
        <v>-1.5109999999999999</v>
      </c>
    </row>
    <row r="617" spans="1:59">
      <c r="A617">
        <v>0</v>
      </c>
      <c r="B617">
        <v>2</v>
      </c>
      <c r="C617">
        <v>0</v>
      </c>
      <c r="D617" t="s">
        <v>25022</v>
      </c>
      <c r="E617">
        <v>3827</v>
      </c>
      <c r="F617" t="s">
        <v>22431</v>
      </c>
      <c r="G617" t="s">
        <v>62</v>
      </c>
      <c r="H617">
        <v>3791202</v>
      </c>
      <c r="I617">
        <v>3791648</v>
      </c>
      <c r="J617" t="s">
        <v>22432</v>
      </c>
      <c r="K617">
        <v>149</v>
      </c>
      <c r="L617" t="s">
        <v>160</v>
      </c>
      <c r="M617">
        <v>45</v>
      </c>
      <c r="N617" t="str">
        <f>HYPERLINK("Gene3827-zp_tree_all.dnd", "Gene3827-tree")</f>
        <v>Gene3827-tree</v>
      </c>
      <c r="O617">
        <v>9</v>
      </c>
      <c r="P617">
        <v>3</v>
      </c>
      <c r="Q617">
        <v>9</v>
      </c>
      <c r="R617">
        <v>3</v>
      </c>
      <c r="S617">
        <v>0.25</v>
      </c>
      <c r="T617" t="s">
        <v>135</v>
      </c>
      <c r="U617" t="s">
        <v>324</v>
      </c>
      <c r="V617" t="s">
        <v>62</v>
      </c>
      <c r="W617" t="s">
        <v>62</v>
      </c>
      <c r="X617">
        <v>1</v>
      </c>
      <c r="Y617">
        <v>2</v>
      </c>
      <c r="Z617">
        <v>3</v>
      </c>
      <c r="AA617">
        <v>0.4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2</v>
      </c>
      <c r="AH617">
        <v>0</v>
      </c>
      <c r="AI617">
        <v>2</v>
      </c>
      <c r="AJ617">
        <v>2</v>
      </c>
      <c r="AK617">
        <v>0.5</v>
      </c>
      <c r="AL617">
        <v>8</v>
      </c>
      <c r="AM617">
        <v>4</v>
      </c>
      <c r="AN617">
        <v>26</v>
      </c>
      <c r="AO617">
        <v>4</v>
      </c>
      <c r="AP617">
        <v>3</v>
      </c>
      <c r="AQ617">
        <v>1</v>
      </c>
      <c r="AR617" t="s">
        <v>22433</v>
      </c>
      <c r="AS617" t="s">
        <v>22434</v>
      </c>
      <c r="AT617">
        <v>0.314</v>
      </c>
      <c r="AU617" t="s">
        <v>65</v>
      </c>
      <c r="AV617">
        <v>29</v>
      </c>
      <c r="AW617">
        <v>5</v>
      </c>
      <c r="AX617" t="s">
        <v>22435</v>
      </c>
      <c r="AY617">
        <v>5.8189999999999999E-2</v>
      </c>
      <c r="AZ617">
        <v>-9.4199999999999996E-3</v>
      </c>
      <c r="BA617">
        <v>2.7200000000000002E-3</v>
      </c>
      <c r="BB617">
        <v>-3.1E-4</v>
      </c>
      <c r="BC617">
        <v>4.6730000000000001E-2</v>
      </c>
      <c r="BD617">
        <v>1</v>
      </c>
      <c r="BE617" t="s">
        <v>69</v>
      </c>
      <c r="BF617">
        <v>-2.1230000000000002</v>
      </c>
      <c r="BG617">
        <v>-4.125</v>
      </c>
    </row>
    <row r="618" spans="1:59">
      <c r="A618">
        <v>0</v>
      </c>
      <c r="B618">
        <v>3</v>
      </c>
      <c r="C618">
        <v>2</v>
      </c>
      <c r="D618" t="s">
        <v>25022</v>
      </c>
      <c r="E618">
        <v>1425</v>
      </c>
      <c r="F618" t="s">
        <v>8926</v>
      </c>
      <c r="G618" t="s">
        <v>57</v>
      </c>
      <c r="H618">
        <v>1440100</v>
      </c>
      <c r="I618">
        <v>1440546</v>
      </c>
      <c r="J618" t="s">
        <v>8927</v>
      </c>
      <c r="K618">
        <v>149</v>
      </c>
      <c r="L618" t="s">
        <v>59</v>
      </c>
      <c r="M618">
        <v>49</v>
      </c>
      <c r="N618" t="str">
        <f>HYPERLINK("Gene1425-zp_tree_all.dnd", "Gene1425-tree")</f>
        <v>Gene1425-tree</v>
      </c>
      <c r="O618">
        <v>8</v>
      </c>
      <c r="P618">
        <v>6</v>
      </c>
      <c r="Q618">
        <v>8</v>
      </c>
      <c r="R618">
        <v>6</v>
      </c>
      <c r="S618">
        <v>0.42857000000000001</v>
      </c>
      <c r="T618" t="s">
        <v>136</v>
      </c>
      <c r="U618" t="s">
        <v>90</v>
      </c>
      <c r="V618" t="s">
        <v>62</v>
      </c>
      <c r="W618" t="s">
        <v>62</v>
      </c>
      <c r="X618">
        <v>2</v>
      </c>
      <c r="Y618">
        <v>5</v>
      </c>
      <c r="Z618">
        <v>5</v>
      </c>
      <c r="AA618">
        <v>0.5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</v>
      </c>
      <c r="AH618">
        <v>0</v>
      </c>
      <c r="AI618">
        <v>2</v>
      </c>
      <c r="AJ618">
        <v>5</v>
      </c>
      <c r="AK618">
        <v>0.28571000000000002</v>
      </c>
      <c r="AL618">
        <v>11</v>
      </c>
      <c r="AM618">
        <v>9</v>
      </c>
      <c r="AN618">
        <v>22</v>
      </c>
      <c r="AO618">
        <v>7</v>
      </c>
      <c r="AP618">
        <v>24</v>
      </c>
      <c r="AQ618">
        <v>3</v>
      </c>
      <c r="AR618" t="s">
        <v>8928</v>
      </c>
      <c r="AS618" t="s">
        <v>8929</v>
      </c>
      <c r="AT618">
        <v>0.80900000000000005</v>
      </c>
      <c r="AU618" t="s">
        <v>65</v>
      </c>
      <c r="AV618">
        <v>46</v>
      </c>
      <c r="AW618">
        <v>10</v>
      </c>
      <c r="AX618" t="s">
        <v>8930</v>
      </c>
      <c r="AY618">
        <v>0.1193</v>
      </c>
      <c r="AZ618">
        <v>-7.0600000000000003E-3</v>
      </c>
      <c r="BA618">
        <v>5.3099999999999996E-3</v>
      </c>
      <c r="BB618">
        <v>-4.2000000000000002E-4</v>
      </c>
      <c r="BC618">
        <v>4.4479999999999999E-2</v>
      </c>
      <c r="BD618">
        <v>1</v>
      </c>
      <c r="BE618" t="s">
        <v>69</v>
      </c>
      <c r="BF618">
        <v>-1.54</v>
      </c>
      <c r="BG618">
        <v>-1.012</v>
      </c>
    </row>
    <row r="619" spans="1:59">
      <c r="A619">
        <v>0</v>
      </c>
      <c r="B619">
        <v>2</v>
      </c>
      <c r="C619">
        <v>0</v>
      </c>
      <c r="D619" t="s">
        <v>25022</v>
      </c>
      <c r="E619">
        <v>2527</v>
      </c>
      <c r="F619" t="s">
        <v>14754</v>
      </c>
      <c r="G619" t="s">
        <v>62</v>
      </c>
      <c r="H619">
        <v>2522327</v>
      </c>
      <c r="I619">
        <v>2522773</v>
      </c>
      <c r="J619" t="s">
        <v>14755</v>
      </c>
      <c r="K619">
        <v>149</v>
      </c>
      <c r="L619" t="s">
        <v>11803</v>
      </c>
      <c r="M619">
        <v>47</v>
      </c>
      <c r="N619" t="str">
        <f>HYPERLINK("Gene2527-zp_tree_all.dnd", "Gene2527-tree")</f>
        <v>Gene2527-tree</v>
      </c>
      <c r="O619">
        <v>10</v>
      </c>
      <c r="P619">
        <v>3</v>
      </c>
      <c r="Q619">
        <v>10</v>
      </c>
      <c r="R619">
        <v>3</v>
      </c>
      <c r="S619">
        <v>0.23077</v>
      </c>
      <c r="T619" t="s">
        <v>117</v>
      </c>
      <c r="U619" t="s">
        <v>324</v>
      </c>
      <c r="V619" t="s">
        <v>62</v>
      </c>
      <c r="W619" t="s">
        <v>62</v>
      </c>
      <c r="X619">
        <v>1</v>
      </c>
      <c r="Y619">
        <v>2</v>
      </c>
      <c r="Z619">
        <v>4</v>
      </c>
      <c r="AA619">
        <v>0.33333000000000002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2</v>
      </c>
      <c r="AJ619">
        <v>1</v>
      </c>
      <c r="AK619">
        <v>0.66666999999999998</v>
      </c>
      <c r="AL619">
        <v>13</v>
      </c>
      <c r="AM619">
        <v>7</v>
      </c>
      <c r="AN619">
        <v>24</v>
      </c>
      <c r="AO619">
        <v>3</v>
      </c>
      <c r="AP619">
        <v>27</v>
      </c>
      <c r="AQ619">
        <v>3</v>
      </c>
      <c r="AR619" t="s">
        <v>14756</v>
      </c>
      <c r="AS619" t="s">
        <v>14757</v>
      </c>
      <c r="AT619">
        <v>8.2000000000000003E-2</v>
      </c>
      <c r="AU619" t="s">
        <v>65</v>
      </c>
      <c r="AV619">
        <v>51</v>
      </c>
      <c r="AW619">
        <v>6</v>
      </c>
      <c r="AX619" t="s">
        <v>14758</v>
      </c>
      <c r="AY619">
        <v>0.13397000000000001</v>
      </c>
      <c r="AZ619">
        <v>-9.3100000000000006E-3</v>
      </c>
      <c r="BA619">
        <v>5.1599999999999997E-3</v>
      </c>
      <c r="BB619">
        <v>-3.8999999999999999E-4</v>
      </c>
      <c r="BC619">
        <v>3.8539999999999998E-2</v>
      </c>
      <c r="BD619">
        <v>1</v>
      </c>
      <c r="BE619" t="s">
        <v>69</v>
      </c>
      <c r="BF619">
        <v>-1.012</v>
      </c>
      <c r="BG619">
        <v>-0.35899999999999999</v>
      </c>
    </row>
    <row r="620" spans="1:59">
      <c r="A620">
        <v>0</v>
      </c>
      <c r="B620">
        <v>0</v>
      </c>
      <c r="C620">
        <v>0</v>
      </c>
      <c r="D620" t="s">
        <v>25022</v>
      </c>
      <c r="E620">
        <v>4196</v>
      </c>
      <c r="F620" t="s">
        <v>24708</v>
      </c>
      <c r="G620" t="s">
        <v>62</v>
      </c>
      <c r="H620">
        <v>4163200</v>
      </c>
      <c r="I620">
        <v>4163646</v>
      </c>
      <c r="J620" t="s">
        <v>24709</v>
      </c>
      <c r="K620">
        <v>149</v>
      </c>
      <c r="L620" t="s">
        <v>125</v>
      </c>
      <c r="M620">
        <v>48</v>
      </c>
      <c r="N620" t="str">
        <f>HYPERLINK("Gene4196-zp_tree_all.dnd", "Gene4196-tree")</f>
        <v>Gene4196-tree</v>
      </c>
      <c r="O620">
        <v>13</v>
      </c>
      <c r="P620">
        <v>2</v>
      </c>
      <c r="Q620">
        <v>13</v>
      </c>
      <c r="R620">
        <v>2</v>
      </c>
      <c r="S620">
        <v>0.13333</v>
      </c>
      <c r="T620" t="s">
        <v>507</v>
      </c>
      <c r="U620" t="s">
        <v>81</v>
      </c>
      <c r="V620" t="s">
        <v>62</v>
      </c>
      <c r="W620" t="s">
        <v>62</v>
      </c>
      <c r="X620">
        <v>0</v>
      </c>
      <c r="Y620">
        <v>0</v>
      </c>
      <c r="Z620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10</v>
      </c>
      <c r="AM620">
        <v>7</v>
      </c>
      <c r="AN620">
        <v>13</v>
      </c>
      <c r="AO620">
        <v>2</v>
      </c>
      <c r="AP620">
        <v>28</v>
      </c>
      <c r="AQ620">
        <v>2</v>
      </c>
      <c r="AR620" t="s">
        <v>24710</v>
      </c>
      <c r="AS620" t="s">
        <v>24711</v>
      </c>
      <c r="AT620">
        <v>0.36399999999999999</v>
      </c>
      <c r="AU620" t="s">
        <v>65</v>
      </c>
      <c r="AV620">
        <v>41</v>
      </c>
      <c r="AW620">
        <v>4</v>
      </c>
      <c r="AX620" t="s">
        <v>24712</v>
      </c>
      <c r="AY620">
        <v>0.11444</v>
      </c>
      <c r="AZ620">
        <v>-8.5100000000000002E-3</v>
      </c>
      <c r="BA620">
        <v>2.7200000000000002E-3</v>
      </c>
      <c r="BB620">
        <v>-2.4000000000000001E-4</v>
      </c>
      <c r="BC620">
        <v>2.3810000000000001E-2</v>
      </c>
      <c r="BD620">
        <v>1</v>
      </c>
      <c r="BE620" t="s">
        <v>69</v>
      </c>
      <c r="BF620">
        <v>-1.238</v>
      </c>
      <c r="BG620">
        <v>-0.27200000000000002</v>
      </c>
    </row>
    <row r="621" spans="1:59">
      <c r="A621">
        <v>0</v>
      </c>
      <c r="B621">
        <v>0</v>
      </c>
      <c r="C621">
        <v>0</v>
      </c>
      <c r="D621" t="s">
        <v>25022</v>
      </c>
      <c r="E621">
        <v>2367</v>
      </c>
      <c r="F621" t="s">
        <v>13761</v>
      </c>
      <c r="G621" t="s">
        <v>62</v>
      </c>
      <c r="H621">
        <v>2381357</v>
      </c>
      <c r="I621">
        <v>2381803</v>
      </c>
      <c r="J621" t="s">
        <v>13762</v>
      </c>
      <c r="K621">
        <v>149</v>
      </c>
      <c r="L621" t="s">
        <v>59</v>
      </c>
      <c r="M621">
        <v>49</v>
      </c>
      <c r="N621" t="str">
        <f>HYPERLINK("Gene2367-zp_tree_all.dnd", "Gene2367-tree")</f>
        <v>Gene2367-tree</v>
      </c>
      <c r="O621">
        <v>14</v>
      </c>
      <c r="P621">
        <v>4</v>
      </c>
      <c r="Q621">
        <v>14</v>
      </c>
      <c r="R621">
        <v>4</v>
      </c>
      <c r="S621">
        <v>0.22222</v>
      </c>
      <c r="T621" t="s">
        <v>543</v>
      </c>
      <c r="U621" t="s">
        <v>61</v>
      </c>
      <c r="V621" t="s">
        <v>62</v>
      </c>
      <c r="W621" t="s">
        <v>62</v>
      </c>
      <c r="X621">
        <v>0</v>
      </c>
      <c r="Y621">
        <v>0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4</v>
      </c>
      <c r="AK621">
        <v>0</v>
      </c>
      <c r="AL621">
        <v>12</v>
      </c>
      <c r="AM621">
        <v>8</v>
      </c>
      <c r="AN621">
        <v>11</v>
      </c>
      <c r="AO621">
        <v>3</v>
      </c>
      <c r="AP621">
        <v>27</v>
      </c>
      <c r="AQ621">
        <v>1</v>
      </c>
      <c r="AR621" t="s">
        <v>13763</v>
      </c>
      <c r="AS621" t="s">
        <v>13764</v>
      </c>
      <c r="AT621">
        <v>0.80800000000000005</v>
      </c>
      <c r="AU621" t="s">
        <v>65</v>
      </c>
      <c r="AV621">
        <v>38</v>
      </c>
      <c r="AW621">
        <v>4</v>
      </c>
      <c r="AX621" t="s">
        <v>13765</v>
      </c>
      <c r="AY621">
        <v>0.10625999999999999</v>
      </c>
      <c r="AZ621">
        <v>-7.1000000000000004E-3</v>
      </c>
      <c r="BA621">
        <v>2.0500000000000002E-3</v>
      </c>
      <c r="BB621">
        <v>-2.4000000000000001E-4</v>
      </c>
      <c r="BC621">
        <v>1.9290000000000002E-2</v>
      </c>
      <c r="BD621">
        <v>1</v>
      </c>
      <c r="BE621" t="s">
        <v>69</v>
      </c>
      <c r="BF621">
        <v>-0.40600000000000003</v>
      </c>
      <c r="BG621">
        <v>0.628</v>
      </c>
    </row>
    <row r="622" spans="1:59">
      <c r="A622">
        <v>0</v>
      </c>
      <c r="B622">
        <v>0</v>
      </c>
      <c r="C622">
        <v>0</v>
      </c>
      <c r="D622" t="s">
        <v>25022</v>
      </c>
      <c r="E622">
        <v>1559</v>
      </c>
      <c r="F622" t="s">
        <v>9747</v>
      </c>
      <c r="G622" t="s">
        <v>57</v>
      </c>
      <c r="H622">
        <v>1568420</v>
      </c>
      <c r="I622">
        <v>1568866</v>
      </c>
      <c r="J622" t="s">
        <v>9748</v>
      </c>
      <c r="K622">
        <v>149</v>
      </c>
      <c r="L622" t="s">
        <v>59</v>
      </c>
      <c r="M622">
        <v>49</v>
      </c>
      <c r="N622" t="str">
        <f>HYPERLINK("Gene1559-zp_tree_all.dnd", "Gene1559-tree")</f>
        <v>Gene1559-tree</v>
      </c>
      <c r="O622">
        <v>9</v>
      </c>
      <c r="P622">
        <v>2</v>
      </c>
      <c r="Q622">
        <v>9</v>
      </c>
      <c r="R622">
        <v>2</v>
      </c>
      <c r="S622">
        <v>0.18182000000000001</v>
      </c>
      <c r="T622" t="s">
        <v>135</v>
      </c>
      <c r="U622" t="s">
        <v>81</v>
      </c>
      <c r="V622" t="s">
        <v>62</v>
      </c>
      <c r="W622" t="s">
        <v>62</v>
      </c>
      <c r="X622">
        <v>0</v>
      </c>
      <c r="Y622">
        <v>0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</v>
      </c>
      <c r="AK622">
        <v>0</v>
      </c>
      <c r="AL622">
        <v>7</v>
      </c>
      <c r="AM622">
        <v>7</v>
      </c>
      <c r="AN622">
        <v>10</v>
      </c>
      <c r="AO622">
        <v>2</v>
      </c>
      <c r="AP622">
        <v>17</v>
      </c>
      <c r="AQ622">
        <v>0</v>
      </c>
      <c r="AR622" t="s">
        <v>9749</v>
      </c>
      <c r="AS622" t="s">
        <v>193</v>
      </c>
      <c r="AT622">
        <v>0.91100000000000003</v>
      </c>
      <c r="AU622" t="s">
        <v>65</v>
      </c>
      <c r="AV622">
        <v>27</v>
      </c>
      <c r="AW622">
        <v>2</v>
      </c>
      <c r="AX622" t="s">
        <v>9750</v>
      </c>
      <c r="AY622">
        <v>8.9069999999999996E-2</v>
      </c>
      <c r="AZ622">
        <v>-7.2399999999999999E-3</v>
      </c>
      <c r="BA622">
        <v>1.0499999999999999E-3</v>
      </c>
      <c r="BB622">
        <v>-2.0000000000000001E-4</v>
      </c>
      <c r="BC622">
        <v>1.1780000000000001E-2</v>
      </c>
      <c r="BD622">
        <v>1</v>
      </c>
      <c r="BE622" t="s">
        <v>69</v>
      </c>
      <c r="BF622">
        <v>-1.2569999999999999</v>
      </c>
      <c r="BG622">
        <v>-0.70199999999999996</v>
      </c>
    </row>
    <row r="623" spans="1:59">
      <c r="A623">
        <v>0</v>
      </c>
      <c r="B623">
        <v>0</v>
      </c>
      <c r="C623">
        <v>0</v>
      </c>
      <c r="D623" t="s">
        <v>25022</v>
      </c>
      <c r="E623">
        <v>2451</v>
      </c>
      <c r="F623" t="s">
        <v>14274</v>
      </c>
      <c r="G623" t="s">
        <v>62</v>
      </c>
      <c r="H623">
        <v>2449844</v>
      </c>
      <c r="I623">
        <v>2450290</v>
      </c>
      <c r="J623" t="s">
        <v>14275</v>
      </c>
      <c r="K623">
        <v>149</v>
      </c>
      <c r="L623" t="s">
        <v>59</v>
      </c>
      <c r="M623">
        <v>49</v>
      </c>
      <c r="N623" t="str">
        <f>HYPERLINK("Gene2451-zp_tree_all.dnd", "Gene2451-tree")</f>
        <v>Gene2451-tree</v>
      </c>
      <c r="O623">
        <v>29</v>
      </c>
      <c r="P623">
        <v>2</v>
      </c>
      <c r="Q623">
        <v>11</v>
      </c>
      <c r="R623">
        <v>2</v>
      </c>
      <c r="S623">
        <v>0.15384999999999999</v>
      </c>
      <c r="T623" t="s">
        <v>2086</v>
      </c>
      <c r="U623" t="s">
        <v>81</v>
      </c>
      <c r="V623" t="s">
        <v>62</v>
      </c>
      <c r="W623" t="s">
        <v>62</v>
      </c>
      <c r="X623">
        <v>0</v>
      </c>
      <c r="Y623">
        <v>0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</v>
      </c>
      <c r="AK623">
        <v>0</v>
      </c>
      <c r="AL623">
        <v>7</v>
      </c>
      <c r="AM623">
        <v>5</v>
      </c>
      <c r="AN623">
        <v>6</v>
      </c>
      <c r="AO623">
        <v>2</v>
      </c>
      <c r="AP623">
        <v>17</v>
      </c>
      <c r="AQ623">
        <v>0</v>
      </c>
      <c r="AR623" t="s">
        <v>14276</v>
      </c>
      <c r="AS623" t="s">
        <v>193</v>
      </c>
      <c r="AT623">
        <v>0.86499999999999999</v>
      </c>
      <c r="AU623" t="s">
        <v>65</v>
      </c>
      <c r="AV623">
        <v>23</v>
      </c>
      <c r="AW623">
        <v>2</v>
      </c>
      <c r="AX623" t="s">
        <v>14277</v>
      </c>
      <c r="AY623">
        <v>8.0149999999999999E-2</v>
      </c>
      <c r="AZ623">
        <v>-7.5599999999999999E-3</v>
      </c>
      <c r="BA623">
        <v>8.8999999999999995E-4</v>
      </c>
      <c r="BB623">
        <v>-1.4999999999999999E-4</v>
      </c>
      <c r="BC623">
        <v>1.116E-2</v>
      </c>
      <c r="BD623">
        <v>1</v>
      </c>
      <c r="BE623" t="s">
        <v>69</v>
      </c>
      <c r="BF623">
        <v>-1.413</v>
      </c>
      <c r="BG623">
        <v>-0.70199999999999996</v>
      </c>
    </row>
    <row r="624" spans="1:59">
      <c r="A624">
        <v>0</v>
      </c>
      <c r="B624">
        <v>0</v>
      </c>
      <c r="C624">
        <v>0</v>
      </c>
      <c r="D624" t="s">
        <v>25022</v>
      </c>
      <c r="E624">
        <v>3721</v>
      </c>
      <c r="F624" t="s">
        <v>21807</v>
      </c>
      <c r="G624" t="s">
        <v>62</v>
      </c>
      <c r="H624">
        <v>3698985</v>
      </c>
      <c r="I624">
        <v>3699431</v>
      </c>
      <c r="J624" t="s">
        <v>21808</v>
      </c>
      <c r="K624">
        <v>149</v>
      </c>
      <c r="L624" t="s">
        <v>59</v>
      </c>
      <c r="M624">
        <v>49</v>
      </c>
      <c r="N624" t="str">
        <f>HYPERLINK("Gene3721-zp_tree_all.dnd", "Gene3721-tree")</f>
        <v>Gene3721-tree</v>
      </c>
      <c r="O624">
        <v>16</v>
      </c>
      <c r="P624">
        <v>1</v>
      </c>
      <c r="Q624">
        <v>16</v>
      </c>
      <c r="R624">
        <v>1</v>
      </c>
      <c r="S624">
        <v>5.8819999999999997E-2</v>
      </c>
      <c r="T624" t="s">
        <v>60</v>
      </c>
      <c r="U624" t="s">
        <v>175</v>
      </c>
      <c r="V624" t="s">
        <v>62</v>
      </c>
      <c r="W624" t="s">
        <v>62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13</v>
      </c>
      <c r="AM624">
        <v>10</v>
      </c>
      <c r="AN624">
        <v>20</v>
      </c>
      <c r="AO624">
        <v>1</v>
      </c>
      <c r="AP624">
        <v>20</v>
      </c>
      <c r="AQ624">
        <v>0</v>
      </c>
      <c r="AR624" t="s">
        <v>21809</v>
      </c>
      <c r="AS624" t="s">
        <v>193</v>
      </c>
      <c r="AT624">
        <v>0.29099999999999998</v>
      </c>
      <c r="AU624" t="s">
        <v>65</v>
      </c>
      <c r="AV624">
        <v>40</v>
      </c>
      <c r="AW624">
        <v>1</v>
      </c>
      <c r="AX624" t="s">
        <v>21810</v>
      </c>
      <c r="AY624">
        <v>7.6990000000000003E-2</v>
      </c>
      <c r="AZ624">
        <v>-4.1599999999999996E-3</v>
      </c>
      <c r="BA624">
        <v>3.5E-4</v>
      </c>
      <c r="BB624">
        <v>-8.0000000000000007E-5</v>
      </c>
      <c r="BC624">
        <v>4.5999999999999999E-3</v>
      </c>
      <c r="BD624">
        <v>1</v>
      </c>
      <c r="BE624" t="s">
        <v>69</v>
      </c>
      <c r="BF624">
        <v>-1.454</v>
      </c>
      <c r="BG624">
        <v>-1.234</v>
      </c>
    </row>
    <row r="625" spans="1:59">
      <c r="A625">
        <v>0</v>
      </c>
      <c r="B625">
        <v>2</v>
      </c>
      <c r="C625">
        <v>3</v>
      </c>
      <c r="D625" t="s">
        <v>25022</v>
      </c>
      <c r="E625">
        <v>3828</v>
      </c>
      <c r="F625" t="s">
        <v>22438</v>
      </c>
      <c r="G625" t="s">
        <v>62</v>
      </c>
      <c r="H625">
        <v>3791808</v>
      </c>
      <c r="I625">
        <v>3792257</v>
      </c>
      <c r="J625" t="s">
        <v>22439</v>
      </c>
      <c r="K625">
        <v>150</v>
      </c>
      <c r="L625" t="s">
        <v>6329</v>
      </c>
      <c r="M625">
        <v>47</v>
      </c>
      <c r="N625" t="str">
        <f>HYPERLINK("Gene3828-zp_tree_all.dnd", "Gene3828-tree")</f>
        <v>Gene3828-tree</v>
      </c>
      <c r="O625">
        <v>7</v>
      </c>
      <c r="P625">
        <v>7</v>
      </c>
      <c r="Q625">
        <v>7</v>
      </c>
      <c r="R625">
        <v>7</v>
      </c>
      <c r="S625">
        <v>0.5</v>
      </c>
      <c r="T625" t="s">
        <v>152</v>
      </c>
      <c r="U625" t="s">
        <v>152</v>
      </c>
      <c r="V625" t="s">
        <v>62</v>
      </c>
      <c r="W625" t="s">
        <v>62</v>
      </c>
      <c r="X625">
        <v>2</v>
      </c>
      <c r="Y625">
        <v>5</v>
      </c>
      <c r="Z625">
        <v>15</v>
      </c>
      <c r="AA625">
        <v>0.25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  <c r="AH625">
        <v>2</v>
      </c>
      <c r="AI625">
        <v>4</v>
      </c>
      <c r="AJ625">
        <v>12</v>
      </c>
      <c r="AK625">
        <v>0.25</v>
      </c>
      <c r="AL625">
        <v>9</v>
      </c>
      <c r="AM625">
        <v>10</v>
      </c>
      <c r="AN625">
        <v>9</v>
      </c>
      <c r="AO625">
        <v>12</v>
      </c>
      <c r="AP625">
        <v>16</v>
      </c>
      <c r="AQ625">
        <v>8</v>
      </c>
      <c r="AR625" t="s">
        <v>22440</v>
      </c>
      <c r="AS625" t="s">
        <v>22441</v>
      </c>
      <c r="AT625">
        <v>0.59099999999999997</v>
      </c>
      <c r="AU625" t="s">
        <v>65</v>
      </c>
      <c r="AV625">
        <v>25</v>
      </c>
      <c r="AW625">
        <v>20</v>
      </c>
      <c r="AX625" t="s">
        <v>22442</v>
      </c>
      <c r="AY625">
        <v>6.6540000000000002E-2</v>
      </c>
      <c r="AZ625">
        <v>-4.2599999999999999E-3</v>
      </c>
      <c r="BA625">
        <v>1.255E-2</v>
      </c>
      <c r="BB625">
        <v>-1.1999999999999999E-3</v>
      </c>
      <c r="BC625">
        <v>0.18858</v>
      </c>
      <c r="BD625">
        <v>1</v>
      </c>
      <c r="BE625" t="s">
        <v>69</v>
      </c>
      <c r="BF625">
        <v>-1.165</v>
      </c>
      <c r="BG625">
        <v>-1.169</v>
      </c>
    </row>
    <row r="626" spans="1:59">
      <c r="A626">
        <v>0</v>
      </c>
      <c r="B626">
        <v>9</v>
      </c>
      <c r="C626">
        <v>0</v>
      </c>
      <c r="D626" t="s">
        <v>25022</v>
      </c>
      <c r="E626">
        <v>4057</v>
      </c>
      <c r="F626" t="s">
        <v>23879</v>
      </c>
      <c r="G626" t="s">
        <v>62</v>
      </c>
      <c r="H626">
        <v>4020458</v>
      </c>
      <c r="I626">
        <v>4020907</v>
      </c>
      <c r="J626" t="s">
        <v>16377</v>
      </c>
      <c r="K626">
        <v>150</v>
      </c>
      <c r="L626" t="s">
        <v>23880</v>
      </c>
      <c r="M626">
        <v>37</v>
      </c>
      <c r="N626" t="str">
        <f>HYPERLINK("Gene4057-zp_tree_all.dnd", "Gene4057-tree")</f>
        <v>Gene4057-tree</v>
      </c>
      <c r="O626">
        <v>4</v>
      </c>
      <c r="P626">
        <v>5</v>
      </c>
      <c r="Q626">
        <v>4</v>
      </c>
      <c r="R626">
        <v>5</v>
      </c>
      <c r="S626">
        <v>0.55556000000000005</v>
      </c>
      <c r="T626" t="s">
        <v>61</v>
      </c>
      <c r="U626" t="s">
        <v>199</v>
      </c>
      <c r="V626" t="s">
        <v>62</v>
      </c>
      <c r="W626" t="s">
        <v>62</v>
      </c>
      <c r="X626">
        <v>4</v>
      </c>
      <c r="Y626">
        <v>9</v>
      </c>
      <c r="Z626">
        <v>11</v>
      </c>
      <c r="AA626">
        <v>0.45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</v>
      </c>
      <c r="AH626">
        <v>0</v>
      </c>
      <c r="AI626">
        <v>2</v>
      </c>
      <c r="AJ626">
        <v>6</v>
      </c>
      <c r="AK626">
        <v>0.25</v>
      </c>
      <c r="AL626">
        <v>9</v>
      </c>
      <c r="AM626">
        <v>6</v>
      </c>
      <c r="AN626">
        <v>13</v>
      </c>
      <c r="AO626">
        <v>8</v>
      </c>
      <c r="AP626">
        <v>17</v>
      </c>
      <c r="AQ626">
        <v>12</v>
      </c>
      <c r="AR626" t="s">
        <v>23881</v>
      </c>
      <c r="AS626" t="s">
        <v>23882</v>
      </c>
      <c r="AT626">
        <v>0.158</v>
      </c>
      <c r="AU626" t="s">
        <v>65</v>
      </c>
      <c r="AV626">
        <v>30</v>
      </c>
      <c r="AW626">
        <v>20</v>
      </c>
      <c r="AX626" t="s">
        <v>23883</v>
      </c>
      <c r="AY626">
        <v>9.2350000000000002E-2</v>
      </c>
      <c r="AZ626">
        <v>-5.8999999999999999E-3</v>
      </c>
      <c r="BA626">
        <v>1.736E-2</v>
      </c>
      <c r="BB626">
        <v>-1.2099999999999999E-3</v>
      </c>
      <c r="BC626">
        <v>0.18801000000000001</v>
      </c>
      <c r="BD626">
        <v>1</v>
      </c>
      <c r="BE626" t="s">
        <v>69</v>
      </c>
      <c r="BF626">
        <v>-0.64</v>
      </c>
      <c r="BG626">
        <v>-0.17799999999999999</v>
      </c>
    </row>
    <row r="627" spans="1:59">
      <c r="A627">
        <v>4</v>
      </c>
      <c r="B627">
        <v>6</v>
      </c>
      <c r="C627">
        <v>2</v>
      </c>
      <c r="D627" t="s">
        <v>25022</v>
      </c>
      <c r="E627">
        <v>838</v>
      </c>
      <c r="F627" t="s">
        <v>5227</v>
      </c>
      <c r="G627" t="s">
        <v>57</v>
      </c>
      <c r="H627">
        <v>877599</v>
      </c>
      <c r="I627">
        <v>878048</v>
      </c>
      <c r="J627" t="s">
        <v>288</v>
      </c>
      <c r="K627">
        <v>150</v>
      </c>
      <c r="L627" t="s">
        <v>5228</v>
      </c>
      <c r="M627">
        <v>43</v>
      </c>
      <c r="N627" t="str">
        <f>HYPERLINK("Gene838-zp_tree_all.dnd", "Gene838-tree")</f>
        <v>Gene838-tree</v>
      </c>
      <c r="O627">
        <v>4</v>
      </c>
      <c r="P627">
        <v>9</v>
      </c>
      <c r="Q627">
        <v>4</v>
      </c>
      <c r="R627">
        <v>9</v>
      </c>
      <c r="S627">
        <v>0.69230999999999998</v>
      </c>
      <c r="T627" t="s">
        <v>61</v>
      </c>
      <c r="U627" t="s">
        <v>135</v>
      </c>
      <c r="V627" t="s">
        <v>62</v>
      </c>
      <c r="W627" t="s">
        <v>62</v>
      </c>
      <c r="X627">
        <v>4</v>
      </c>
      <c r="Y627">
        <v>12</v>
      </c>
      <c r="Z627">
        <v>7</v>
      </c>
      <c r="AA627">
        <v>0.63158000000000003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7</v>
      </c>
      <c r="AH627">
        <v>2</v>
      </c>
      <c r="AI627">
        <v>9</v>
      </c>
      <c r="AJ627">
        <v>7</v>
      </c>
      <c r="AK627">
        <v>0.5625</v>
      </c>
      <c r="AL627">
        <v>8</v>
      </c>
      <c r="AM627">
        <v>8</v>
      </c>
      <c r="AN627">
        <v>13</v>
      </c>
      <c r="AO627">
        <v>15</v>
      </c>
      <c r="AP627">
        <v>16</v>
      </c>
      <c r="AQ627">
        <v>5</v>
      </c>
      <c r="AR627" t="s">
        <v>5229</v>
      </c>
      <c r="AS627" t="s">
        <v>5230</v>
      </c>
      <c r="AT627">
        <v>1.44</v>
      </c>
      <c r="AU627" t="s">
        <v>65</v>
      </c>
      <c r="AV627">
        <v>29</v>
      </c>
      <c r="AW627">
        <v>20</v>
      </c>
      <c r="AX627" t="s">
        <v>5231</v>
      </c>
      <c r="AY627">
        <v>6.8739999999999996E-2</v>
      </c>
      <c r="AZ627">
        <v>-3.5100000000000001E-3</v>
      </c>
      <c r="BA627">
        <v>8.9200000000000008E-3</v>
      </c>
      <c r="BB627">
        <v>-4.8999999999999998E-4</v>
      </c>
      <c r="BC627">
        <v>0.12983</v>
      </c>
      <c r="BD627">
        <v>1</v>
      </c>
      <c r="BE627" t="s">
        <v>69</v>
      </c>
      <c r="BF627">
        <v>0.19</v>
      </c>
      <c r="BG627">
        <v>-0.22900000000000001</v>
      </c>
    </row>
    <row r="628" spans="1:59">
      <c r="A628">
        <v>0</v>
      </c>
      <c r="B628">
        <v>0</v>
      </c>
      <c r="C628">
        <v>0</v>
      </c>
      <c r="D628" t="s">
        <v>25022</v>
      </c>
      <c r="E628">
        <v>1791</v>
      </c>
      <c r="F628" t="s">
        <v>11218</v>
      </c>
      <c r="G628" t="s">
        <v>57</v>
      </c>
      <c r="H628">
        <v>1864225</v>
      </c>
      <c r="I628">
        <v>1864674</v>
      </c>
      <c r="J628" t="s">
        <v>11219</v>
      </c>
      <c r="K628">
        <v>150</v>
      </c>
      <c r="L628" t="s">
        <v>108</v>
      </c>
      <c r="M628">
        <v>44</v>
      </c>
      <c r="N628" t="str">
        <f>HYPERLINK("Gene1791-zp_tree_all.dnd", "Gene1791-tree")</f>
        <v>Gene1791-tree</v>
      </c>
      <c r="O628">
        <v>8</v>
      </c>
      <c r="P628">
        <v>4</v>
      </c>
      <c r="Q628">
        <v>8</v>
      </c>
      <c r="R628">
        <v>4</v>
      </c>
      <c r="S628">
        <v>0.33333000000000002</v>
      </c>
      <c r="T628" t="s">
        <v>136</v>
      </c>
      <c r="U628" t="s">
        <v>61</v>
      </c>
      <c r="V628" t="s">
        <v>62</v>
      </c>
      <c r="W628" t="s">
        <v>62</v>
      </c>
      <c r="X628">
        <v>0</v>
      </c>
      <c r="Y628">
        <v>0</v>
      </c>
      <c r="Z628">
        <v>5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4</v>
      </c>
      <c r="AK628">
        <v>0</v>
      </c>
      <c r="AL628">
        <v>7</v>
      </c>
      <c r="AM628">
        <v>5</v>
      </c>
      <c r="AN628">
        <v>5</v>
      </c>
      <c r="AO628">
        <v>4</v>
      </c>
      <c r="AP628">
        <v>7</v>
      </c>
      <c r="AQ628">
        <v>1</v>
      </c>
      <c r="AR628" t="s">
        <v>11220</v>
      </c>
      <c r="AS628" t="s">
        <v>11221</v>
      </c>
      <c r="AT628">
        <v>1.131</v>
      </c>
      <c r="AU628" t="s">
        <v>65</v>
      </c>
      <c r="AV628">
        <v>12</v>
      </c>
      <c r="AW628">
        <v>5</v>
      </c>
      <c r="AX628" t="s">
        <v>11222</v>
      </c>
      <c r="AY628">
        <v>3.3910000000000003E-2</v>
      </c>
      <c r="AZ628">
        <v>-2.4599999999999999E-3</v>
      </c>
      <c r="BA628">
        <v>2.7899999999999999E-3</v>
      </c>
      <c r="BB628">
        <v>-2.4000000000000001E-4</v>
      </c>
      <c r="BC628">
        <v>8.2350000000000007E-2</v>
      </c>
      <c r="BD628">
        <v>1</v>
      </c>
      <c r="BE628" t="s">
        <v>69</v>
      </c>
      <c r="BF628">
        <v>0.47299999999999998</v>
      </c>
      <c r="BG628">
        <v>-0.1</v>
      </c>
    </row>
    <row r="629" spans="1:59">
      <c r="A629">
        <v>0</v>
      </c>
      <c r="B629">
        <v>0</v>
      </c>
      <c r="C629">
        <v>0</v>
      </c>
      <c r="D629" t="s">
        <v>25022</v>
      </c>
      <c r="E629">
        <v>1680</v>
      </c>
      <c r="F629" t="s">
        <v>10525</v>
      </c>
      <c r="G629" t="s">
        <v>57</v>
      </c>
      <c r="H629">
        <v>1691667</v>
      </c>
      <c r="I629">
        <v>1692116</v>
      </c>
      <c r="J629" t="s">
        <v>10519</v>
      </c>
      <c r="K629">
        <v>150</v>
      </c>
      <c r="L629" t="s">
        <v>572</v>
      </c>
      <c r="M629">
        <v>48</v>
      </c>
      <c r="N629" t="str">
        <f>HYPERLINK("Gene1680-zp_tree_all.dnd", "Gene1680-tree")</f>
        <v>Gene1680-tree</v>
      </c>
      <c r="O629">
        <v>8</v>
      </c>
      <c r="P629">
        <v>5</v>
      </c>
      <c r="Q629">
        <v>8</v>
      </c>
      <c r="R629">
        <v>5</v>
      </c>
      <c r="S629">
        <v>0.38462000000000002</v>
      </c>
      <c r="T629" t="s">
        <v>136</v>
      </c>
      <c r="U629" t="s">
        <v>199</v>
      </c>
      <c r="V629" t="s">
        <v>62</v>
      </c>
      <c r="W629" t="s">
        <v>62</v>
      </c>
      <c r="X629">
        <v>0</v>
      </c>
      <c r="Y629">
        <v>0</v>
      </c>
      <c r="Z629">
        <v>7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5</v>
      </c>
      <c r="AK629">
        <v>0</v>
      </c>
      <c r="AL629">
        <v>11</v>
      </c>
      <c r="AM629">
        <v>8</v>
      </c>
      <c r="AN629">
        <v>22</v>
      </c>
      <c r="AO629">
        <v>5</v>
      </c>
      <c r="AP629">
        <v>26</v>
      </c>
      <c r="AQ629">
        <v>2</v>
      </c>
      <c r="AR629" t="s">
        <v>10526</v>
      </c>
      <c r="AS629" t="s">
        <v>10527</v>
      </c>
      <c r="AT629">
        <v>0.88700000000000001</v>
      </c>
      <c r="AU629" t="s">
        <v>65</v>
      </c>
      <c r="AV629">
        <v>48</v>
      </c>
      <c r="AW629">
        <v>7</v>
      </c>
      <c r="AX629" t="s">
        <v>10528</v>
      </c>
      <c r="AY629">
        <v>0.13217999999999999</v>
      </c>
      <c r="AZ629">
        <v>-1.048E-2</v>
      </c>
      <c r="BA629">
        <v>4.13E-3</v>
      </c>
      <c r="BB629">
        <v>-2.9E-4</v>
      </c>
      <c r="BC629">
        <v>3.1220000000000001E-2</v>
      </c>
      <c r="BD629">
        <v>1</v>
      </c>
      <c r="BE629" t="s">
        <v>69</v>
      </c>
      <c r="BF629">
        <v>-1.373</v>
      </c>
      <c r="BG629">
        <v>-2.5529999999999999</v>
      </c>
    </row>
    <row r="630" spans="1:59">
      <c r="A630">
        <v>0</v>
      </c>
      <c r="B630">
        <v>0</v>
      </c>
      <c r="C630">
        <v>0</v>
      </c>
      <c r="D630" t="s">
        <v>25022</v>
      </c>
      <c r="E630">
        <v>2440</v>
      </c>
      <c r="F630" t="s">
        <v>14203</v>
      </c>
      <c r="G630" t="s">
        <v>62</v>
      </c>
      <c r="H630">
        <v>2441807</v>
      </c>
      <c r="I630">
        <v>2442256</v>
      </c>
      <c r="J630" t="s">
        <v>14204</v>
      </c>
      <c r="K630">
        <v>150</v>
      </c>
      <c r="L630" t="s">
        <v>108</v>
      </c>
      <c r="M630">
        <v>44</v>
      </c>
      <c r="N630" t="str">
        <f>HYPERLINK("Gene2440-zp_tree_all.dnd", "Gene2440-tree")</f>
        <v>Gene2440-tree</v>
      </c>
      <c r="O630">
        <v>12</v>
      </c>
      <c r="P630">
        <v>1</v>
      </c>
      <c r="Q630">
        <v>12</v>
      </c>
      <c r="R630">
        <v>1</v>
      </c>
      <c r="S630">
        <v>7.6920000000000002E-2</v>
      </c>
      <c r="T630" t="s">
        <v>109</v>
      </c>
      <c r="U630" t="s">
        <v>175</v>
      </c>
      <c r="V630" t="s">
        <v>62</v>
      </c>
      <c r="W630" t="s">
        <v>62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11</v>
      </c>
      <c r="AM630">
        <v>4</v>
      </c>
      <c r="AN630">
        <v>19</v>
      </c>
      <c r="AO630">
        <v>1</v>
      </c>
      <c r="AP630">
        <v>7</v>
      </c>
      <c r="AQ630">
        <v>0</v>
      </c>
      <c r="AR630" t="s">
        <v>14205</v>
      </c>
      <c r="AS630" t="s">
        <v>193</v>
      </c>
      <c r="AT630">
        <v>0.317</v>
      </c>
      <c r="AU630" t="s">
        <v>65</v>
      </c>
      <c r="AV630">
        <v>26</v>
      </c>
      <c r="AW630">
        <v>1</v>
      </c>
      <c r="AX630" t="s">
        <v>14206</v>
      </c>
      <c r="AY630">
        <v>4.4290000000000003E-2</v>
      </c>
      <c r="AZ630">
        <v>-2.1199999999999999E-3</v>
      </c>
      <c r="BA630">
        <v>4.4999999999999999E-4</v>
      </c>
      <c r="BB630">
        <v>-1.2E-4</v>
      </c>
      <c r="BC630">
        <v>1.021E-2</v>
      </c>
      <c r="BD630">
        <v>1</v>
      </c>
      <c r="BE630" t="s">
        <v>69</v>
      </c>
      <c r="BF630">
        <v>-1.038</v>
      </c>
      <c r="BG630">
        <v>-1.921</v>
      </c>
    </row>
    <row r="631" spans="1:59">
      <c r="A631">
        <v>0</v>
      </c>
      <c r="B631">
        <v>0</v>
      </c>
      <c r="C631">
        <v>0</v>
      </c>
      <c r="D631" t="s">
        <v>25022</v>
      </c>
      <c r="E631">
        <v>4222</v>
      </c>
      <c r="F631" t="s">
        <v>24815</v>
      </c>
      <c r="G631" t="s">
        <v>62</v>
      </c>
      <c r="H631">
        <v>4183448</v>
      </c>
      <c r="I631">
        <v>4183897</v>
      </c>
      <c r="J631" t="s">
        <v>24816</v>
      </c>
      <c r="K631">
        <v>150</v>
      </c>
      <c r="L631" t="s">
        <v>108</v>
      </c>
      <c r="M631">
        <v>44</v>
      </c>
      <c r="N631" t="str">
        <f>HYPERLINK("Gene4222-zp_tree_all.dnd", "Gene4222-tree")</f>
        <v>Gene4222-tree</v>
      </c>
      <c r="O631">
        <v>8</v>
      </c>
      <c r="P631">
        <v>0</v>
      </c>
      <c r="Q631">
        <v>8</v>
      </c>
      <c r="R631">
        <v>0</v>
      </c>
      <c r="S631">
        <v>0</v>
      </c>
      <c r="T631" t="s">
        <v>136</v>
      </c>
      <c r="U631" t="s">
        <v>62</v>
      </c>
      <c r="V631" t="s">
        <v>62</v>
      </c>
      <c r="W631" t="s">
        <v>62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5</v>
      </c>
      <c r="AM631">
        <v>3</v>
      </c>
      <c r="AN631">
        <v>15</v>
      </c>
      <c r="AO631">
        <v>0</v>
      </c>
      <c r="AP631">
        <v>4</v>
      </c>
      <c r="AQ631">
        <v>0</v>
      </c>
      <c r="AR631" t="s">
        <v>193</v>
      </c>
      <c r="AS631" t="s">
        <v>193</v>
      </c>
      <c r="AT631">
        <v>0</v>
      </c>
      <c r="AU631" t="s">
        <v>65</v>
      </c>
      <c r="AV631">
        <v>19</v>
      </c>
      <c r="AW631">
        <v>0</v>
      </c>
      <c r="AX631" t="s">
        <v>24817</v>
      </c>
      <c r="AY631">
        <v>6.0199999999999997E-2</v>
      </c>
      <c r="AZ631">
        <v>-9.2499999999999995E-3</v>
      </c>
      <c r="BA631">
        <v>0</v>
      </c>
      <c r="BB631">
        <v>0</v>
      </c>
      <c r="BC631">
        <v>0</v>
      </c>
      <c r="BD631">
        <v>1</v>
      </c>
      <c r="BE631" t="s">
        <v>69</v>
      </c>
      <c r="BF631">
        <v>-0.94799999999999995</v>
      </c>
      <c r="BG631">
        <v>-2.6120000000000001</v>
      </c>
    </row>
    <row r="632" spans="1:59">
      <c r="A632">
        <v>0</v>
      </c>
      <c r="B632">
        <v>10</v>
      </c>
      <c r="C632">
        <v>1</v>
      </c>
      <c r="D632" t="s">
        <v>25022</v>
      </c>
      <c r="E632">
        <v>1474</v>
      </c>
      <c r="F632" t="s">
        <v>9211</v>
      </c>
      <c r="G632" t="s">
        <v>57</v>
      </c>
      <c r="H632">
        <v>1488413</v>
      </c>
      <c r="I632">
        <v>1488865</v>
      </c>
      <c r="J632" t="s">
        <v>9212</v>
      </c>
      <c r="K632">
        <v>151</v>
      </c>
      <c r="L632" t="s">
        <v>265</v>
      </c>
      <c r="M632">
        <v>43</v>
      </c>
      <c r="N632" t="str">
        <f>HYPERLINK("Gene1474-zp_tree_all.dnd", "Gene1474-tree")</f>
        <v>Gene1474-tree</v>
      </c>
      <c r="O632">
        <v>4</v>
      </c>
      <c r="P632">
        <v>28</v>
      </c>
      <c r="Q632">
        <v>4</v>
      </c>
      <c r="R632">
        <v>9</v>
      </c>
      <c r="S632">
        <v>0.69230999999999998</v>
      </c>
      <c r="T632" t="s">
        <v>61</v>
      </c>
      <c r="U632" t="s">
        <v>2825</v>
      </c>
      <c r="V632">
        <v>2.3340000000000001</v>
      </c>
      <c r="W632" t="s">
        <v>65</v>
      </c>
      <c r="X632">
        <v>5</v>
      </c>
      <c r="Y632">
        <v>11</v>
      </c>
      <c r="Z632">
        <v>6</v>
      </c>
      <c r="AA632">
        <v>0.64705999999999997</v>
      </c>
      <c r="AB632">
        <v>0</v>
      </c>
      <c r="AC632">
        <v>0</v>
      </c>
      <c r="AD632">
        <v>0</v>
      </c>
      <c r="AE632">
        <v>2</v>
      </c>
      <c r="AF632">
        <v>0</v>
      </c>
      <c r="AG632">
        <v>2</v>
      </c>
      <c r="AH632">
        <v>0</v>
      </c>
      <c r="AI632">
        <v>2</v>
      </c>
      <c r="AJ632">
        <v>8</v>
      </c>
      <c r="AK632">
        <v>0.2</v>
      </c>
      <c r="AL632">
        <v>8</v>
      </c>
      <c r="AM632">
        <v>10</v>
      </c>
      <c r="AN632">
        <v>13</v>
      </c>
      <c r="AO632">
        <v>10</v>
      </c>
      <c r="AP632">
        <v>18</v>
      </c>
      <c r="AQ632">
        <v>9</v>
      </c>
      <c r="AR632" t="s">
        <v>9213</v>
      </c>
      <c r="AS632" t="s">
        <v>9214</v>
      </c>
      <c r="AT632">
        <v>1.1759999999999999</v>
      </c>
      <c r="AU632" t="s">
        <v>65</v>
      </c>
      <c r="AV632">
        <v>31</v>
      </c>
      <c r="AW632">
        <v>19</v>
      </c>
      <c r="AX632" t="s">
        <v>9215</v>
      </c>
      <c r="AY632">
        <v>7.4819999999999998E-2</v>
      </c>
      <c r="AZ632">
        <v>-4.0600000000000002E-3</v>
      </c>
      <c r="BA632">
        <v>1.1730000000000001E-2</v>
      </c>
      <c r="BB632">
        <v>-5.4000000000000001E-4</v>
      </c>
      <c r="BC632">
        <v>0.15673999999999999</v>
      </c>
      <c r="BD632">
        <v>1</v>
      </c>
      <c r="BE632" t="s">
        <v>69</v>
      </c>
      <c r="BF632">
        <v>0.89300000000000002</v>
      </c>
      <c r="BG632">
        <v>8.3000000000000004E-2</v>
      </c>
    </row>
    <row r="633" spans="1:59">
      <c r="A633">
        <v>0</v>
      </c>
      <c r="B633">
        <v>2</v>
      </c>
      <c r="C633">
        <v>0</v>
      </c>
      <c r="D633" t="s">
        <v>25022</v>
      </c>
      <c r="E633">
        <v>612</v>
      </c>
      <c r="F633" t="s">
        <v>3936</v>
      </c>
      <c r="G633" t="s">
        <v>57</v>
      </c>
      <c r="H633">
        <v>642810</v>
      </c>
      <c r="I633">
        <v>643262</v>
      </c>
      <c r="J633" t="s">
        <v>3937</v>
      </c>
      <c r="K633">
        <v>151</v>
      </c>
      <c r="L633" t="s">
        <v>572</v>
      </c>
      <c r="M633">
        <v>48</v>
      </c>
      <c r="N633" t="str">
        <f>HYPERLINK("Gene612-zp_tree_all.dnd", "Gene612-tree")</f>
        <v>Gene612-tree</v>
      </c>
      <c r="O633">
        <v>6</v>
      </c>
      <c r="P633">
        <v>7</v>
      </c>
      <c r="Q633">
        <v>6</v>
      </c>
      <c r="R633">
        <v>7</v>
      </c>
      <c r="S633">
        <v>0.53846000000000005</v>
      </c>
      <c r="T633" t="s">
        <v>90</v>
      </c>
      <c r="U633" t="s">
        <v>152</v>
      </c>
      <c r="V633" t="s">
        <v>62</v>
      </c>
      <c r="W633" t="s">
        <v>62</v>
      </c>
      <c r="X633">
        <v>1</v>
      </c>
      <c r="Y633">
        <v>2</v>
      </c>
      <c r="Z633">
        <v>15</v>
      </c>
      <c r="AA633">
        <v>0.11765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10</v>
      </c>
      <c r="AK633">
        <v>0</v>
      </c>
      <c r="AL633">
        <v>9</v>
      </c>
      <c r="AM633">
        <v>6</v>
      </c>
      <c r="AN633">
        <v>16</v>
      </c>
      <c r="AO633">
        <v>9</v>
      </c>
      <c r="AP633">
        <v>18</v>
      </c>
      <c r="AQ633">
        <v>8</v>
      </c>
      <c r="AR633" t="s">
        <v>3938</v>
      </c>
      <c r="AS633" t="s">
        <v>3939</v>
      </c>
      <c r="AT633">
        <v>0.34300000000000003</v>
      </c>
      <c r="AU633" t="s">
        <v>65</v>
      </c>
      <c r="AV633">
        <v>34</v>
      </c>
      <c r="AW633">
        <v>17</v>
      </c>
      <c r="AX633" t="s">
        <v>3940</v>
      </c>
      <c r="AY633">
        <v>9.1700000000000004E-2</v>
      </c>
      <c r="AZ633">
        <v>-7.6E-3</v>
      </c>
      <c r="BA633">
        <v>1.2330000000000001E-2</v>
      </c>
      <c r="BB633">
        <v>-8.9999999999999998E-4</v>
      </c>
      <c r="BC633">
        <v>0.13447999999999999</v>
      </c>
      <c r="BD633">
        <v>1</v>
      </c>
      <c r="BE633" t="s">
        <v>69</v>
      </c>
      <c r="BF633">
        <v>-1.536</v>
      </c>
      <c r="BG633">
        <v>-1.3839999999999999</v>
      </c>
    </row>
    <row r="634" spans="1:59">
      <c r="A634">
        <v>0</v>
      </c>
      <c r="B634">
        <v>0</v>
      </c>
      <c r="C634">
        <v>2</v>
      </c>
      <c r="D634" t="s">
        <v>25022</v>
      </c>
      <c r="E634">
        <v>1600</v>
      </c>
      <c r="F634" t="s">
        <v>10012</v>
      </c>
      <c r="G634" t="s">
        <v>57</v>
      </c>
      <c r="H634">
        <v>1610859</v>
      </c>
      <c r="I634">
        <v>1611311</v>
      </c>
      <c r="J634" t="s">
        <v>10013</v>
      </c>
      <c r="K634">
        <v>151</v>
      </c>
      <c r="L634" t="s">
        <v>59</v>
      </c>
      <c r="M634">
        <v>49</v>
      </c>
      <c r="N634" t="str">
        <f>HYPERLINK("Gene1600-zp_tree_all.dnd", "Gene1600-tree")</f>
        <v>Gene1600-tree</v>
      </c>
      <c r="O634">
        <v>14</v>
      </c>
      <c r="P634">
        <v>2</v>
      </c>
      <c r="Q634">
        <v>14</v>
      </c>
      <c r="R634">
        <v>2</v>
      </c>
      <c r="S634">
        <v>0.125</v>
      </c>
      <c r="T634" t="s">
        <v>543</v>
      </c>
      <c r="U634" t="s">
        <v>81</v>
      </c>
      <c r="V634" t="s">
        <v>62</v>
      </c>
      <c r="W634" t="s">
        <v>62</v>
      </c>
      <c r="X634">
        <v>1</v>
      </c>
      <c r="Y634">
        <v>2</v>
      </c>
      <c r="Z634">
        <v>8</v>
      </c>
      <c r="AA634">
        <v>0.2</v>
      </c>
      <c r="AB634">
        <v>0</v>
      </c>
      <c r="AC634">
        <v>0</v>
      </c>
      <c r="AD634">
        <v>0</v>
      </c>
      <c r="AE634">
        <v>3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0</v>
      </c>
      <c r="AL634">
        <v>10</v>
      </c>
      <c r="AM634">
        <v>9</v>
      </c>
      <c r="AN634">
        <v>11</v>
      </c>
      <c r="AO634">
        <v>2</v>
      </c>
      <c r="AP634">
        <v>20</v>
      </c>
      <c r="AQ634">
        <v>8</v>
      </c>
      <c r="AR634" t="s">
        <v>10014</v>
      </c>
      <c r="AS634" t="s">
        <v>10015</v>
      </c>
      <c r="AT634">
        <v>0.68899999999999995</v>
      </c>
      <c r="AU634" t="s">
        <v>65</v>
      </c>
      <c r="AV634">
        <v>31</v>
      </c>
      <c r="AW634">
        <v>10</v>
      </c>
      <c r="AX634" t="s">
        <v>10016</v>
      </c>
      <c r="AY634">
        <v>8.0119999999999997E-2</v>
      </c>
      <c r="AZ634">
        <v>-4.8300000000000001E-3</v>
      </c>
      <c r="BA634">
        <v>7.7999999999999996E-3</v>
      </c>
      <c r="BB634">
        <v>-4.6999999999999999E-4</v>
      </c>
      <c r="BC634">
        <v>9.7339999999999996E-2</v>
      </c>
      <c r="BD634">
        <v>1</v>
      </c>
      <c r="BE634" t="s">
        <v>69</v>
      </c>
      <c r="BF634">
        <v>-1.03</v>
      </c>
      <c r="BG634">
        <v>-5.1999999999999998E-2</v>
      </c>
    </row>
    <row r="635" spans="1:59">
      <c r="A635">
        <v>0</v>
      </c>
      <c r="B635">
        <v>4</v>
      </c>
      <c r="C635">
        <v>0</v>
      </c>
      <c r="D635" t="s">
        <v>25022</v>
      </c>
      <c r="E635">
        <v>3917</v>
      </c>
      <c r="F635" t="s">
        <v>22980</v>
      </c>
      <c r="G635" t="s">
        <v>62</v>
      </c>
      <c r="H635">
        <v>3882982</v>
      </c>
      <c r="I635">
        <v>3883434</v>
      </c>
      <c r="J635" t="s">
        <v>22981</v>
      </c>
      <c r="K635">
        <v>151</v>
      </c>
      <c r="L635" t="s">
        <v>108</v>
      </c>
      <c r="M635">
        <v>44</v>
      </c>
      <c r="N635" t="str">
        <f>HYPERLINK("Gene3917-zp_tree_all.dnd", "Gene3917-tree")</f>
        <v>Gene3917-tree</v>
      </c>
      <c r="O635">
        <v>6</v>
      </c>
      <c r="P635">
        <v>23</v>
      </c>
      <c r="Q635">
        <v>6</v>
      </c>
      <c r="R635">
        <v>5</v>
      </c>
      <c r="S635">
        <v>0.45455000000000001</v>
      </c>
      <c r="T635" t="s">
        <v>90</v>
      </c>
      <c r="U635" t="s">
        <v>1652</v>
      </c>
      <c r="V635">
        <v>4.2300000000000004</v>
      </c>
      <c r="W635" t="s">
        <v>65</v>
      </c>
      <c r="X635">
        <v>2</v>
      </c>
      <c r="Y635">
        <v>4</v>
      </c>
      <c r="Z635">
        <v>1</v>
      </c>
      <c r="AA635">
        <v>0.8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4</v>
      </c>
      <c r="AH635">
        <v>0</v>
      </c>
      <c r="AI635">
        <v>4</v>
      </c>
      <c r="AJ635">
        <v>1</v>
      </c>
      <c r="AK635">
        <v>0.8</v>
      </c>
      <c r="AL635">
        <v>9</v>
      </c>
      <c r="AM635">
        <v>3</v>
      </c>
      <c r="AN635">
        <v>8</v>
      </c>
      <c r="AO635">
        <v>5</v>
      </c>
      <c r="AP635">
        <v>4</v>
      </c>
      <c r="AQ635">
        <v>0</v>
      </c>
      <c r="AR635" t="s">
        <v>22982</v>
      </c>
      <c r="AS635" t="s">
        <v>193</v>
      </c>
      <c r="AT635">
        <v>2.012</v>
      </c>
      <c r="AU635" t="s">
        <v>267</v>
      </c>
      <c r="AV635">
        <v>12</v>
      </c>
      <c r="AW635">
        <v>5</v>
      </c>
      <c r="AX635" t="s">
        <v>22983</v>
      </c>
      <c r="AY635">
        <v>3.014E-2</v>
      </c>
      <c r="AZ635">
        <v>-2.31E-3</v>
      </c>
      <c r="BA635">
        <v>2.3800000000000002E-3</v>
      </c>
      <c r="BB635">
        <v>-2.5000000000000001E-4</v>
      </c>
      <c r="BC635">
        <v>7.8990000000000005E-2</v>
      </c>
      <c r="BD635">
        <v>1</v>
      </c>
      <c r="BE635" t="s">
        <v>69</v>
      </c>
      <c r="BF635">
        <v>-1.1919999999999999</v>
      </c>
      <c r="BG635">
        <v>-0.94499999999999995</v>
      </c>
    </row>
    <row r="636" spans="1:59">
      <c r="A636">
        <v>0</v>
      </c>
      <c r="B636">
        <v>2</v>
      </c>
      <c r="C636">
        <v>0</v>
      </c>
      <c r="D636" t="s">
        <v>25022</v>
      </c>
      <c r="E636">
        <v>3068</v>
      </c>
      <c r="F636" t="s">
        <v>17766</v>
      </c>
      <c r="G636" t="s">
        <v>62</v>
      </c>
      <c r="H636">
        <v>3018312</v>
      </c>
      <c r="I636">
        <v>3018764</v>
      </c>
      <c r="J636" t="s">
        <v>17767</v>
      </c>
      <c r="K636">
        <v>151</v>
      </c>
      <c r="L636" t="s">
        <v>749</v>
      </c>
      <c r="M636">
        <v>47</v>
      </c>
      <c r="N636" t="str">
        <f>HYPERLINK("Gene3068-zp_tree_all.dnd", "Gene3068-tree")</f>
        <v>Gene3068-tree</v>
      </c>
      <c r="O636">
        <v>9</v>
      </c>
      <c r="P636">
        <v>7</v>
      </c>
      <c r="Q636">
        <v>9</v>
      </c>
      <c r="R636">
        <v>7</v>
      </c>
      <c r="S636">
        <v>0.4375</v>
      </c>
      <c r="T636" t="s">
        <v>135</v>
      </c>
      <c r="U636" t="s">
        <v>152</v>
      </c>
      <c r="V636" t="s">
        <v>62</v>
      </c>
      <c r="W636" t="s">
        <v>62</v>
      </c>
      <c r="X636">
        <v>1</v>
      </c>
      <c r="Y636">
        <v>2</v>
      </c>
      <c r="Z636">
        <v>7</v>
      </c>
      <c r="AA636">
        <v>0.22222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7</v>
      </c>
      <c r="AK636">
        <v>0</v>
      </c>
      <c r="AL636">
        <v>15</v>
      </c>
      <c r="AM636">
        <v>4</v>
      </c>
      <c r="AN636">
        <v>22</v>
      </c>
      <c r="AO636">
        <v>7</v>
      </c>
      <c r="AP636">
        <v>15</v>
      </c>
      <c r="AQ636">
        <v>3</v>
      </c>
      <c r="AR636" t="s">
        <v>17768</v>
      </c>
      <c r="AS636" t="s">
        <v>17769</v>
      </c>
      <c r="AT636">
        <v>0.40500000000000003</v>
      </c>
      <c r="AU636" t="s">
        <v>65</v>
      </c>
      <c r="AV636">
        <v>37</v>
      </c>
      <c r="AW636">
        <v>10</v>
      </c>
      <c r="AX636" t="s">
        <v>17770</v>
      </c>
      <c r="AY636">
        <v>8.5779999999999995E-2</v>
      </c>
      <c r="AZ636">
        <v>-7.2899999999999996E-3</v>
      </c>
      <c r="BA636">
        <v>4.4299999999999999E-3</v>
      </c>
      <c r="BB636">
        <v>-2.9E-4</v>
      </c>
      <c r="BC636">
        <v>5.169E-2</v>
      </c>
      <c r="BD636">
        <v>1</v>
      </c>
      <c r="BE636" t="s">
        <v>69</v>
      </c>
      <c r="BF636">
        <v>-1.3129999999999999</v>
      </c>
      <c r="BG636">
        <v>-2.21</v>
      </c>
    </row>
    <row r="637" spans="1:59">
      <c r="A637">
        <v>0</v>
      </c>
      <c r="B637">
        <v>3</v>
      </c>
      <c r="C637">
        <v>0</v>
      </c>
      <c r="D637" t="s">
        <v>25022</v>
      </c>
      <c r="E637">
        <v>3304</v>
      </c>
      <c r="F637" t="s">
        <v>19282</v>
      </c>
      <c r="G637" t="s">
        <v>62</v>
      </c>
      <c r="H637">
        <v>3266203</v>
      </c>
      <c r="I637">
        <v>3266655</v>
      </c>
      <c r="J637" t="s">
        <v>19283</v>
      </c>
      <c r="K637">
        <v>151</v>
      </c>
      <c r="L637" t="s">
        <v>108</v>
      </c>
      <c r="M637">
        <v>44</v>
      </c>
      <c r="N637" t="str">
        <f>HYPERLINK("Gene3304-zp_tree_all.dnd", "Gene3304-tree")</f>
        <v>Gene3304-tree</v>
      </c>
      <c r="O637">
        <v>8</v>
      </c>
      <c r="P637">
        <v>5</v>
      </c>
      <c r="Q637">
        <v>8</v>
      </c>
      <c r="R637">
        <v>5</v>
      </c>
      <c r="S637">
        <v>0.38462000000000002</v>
      </c>
      <c r="T637" t="s">
        <v>136</v>
      </c>
      <c r="U637" t="s">
        <v>199</v>
      </c>
      <c r="V637" t="s">
        <v>62</v>
      </c>
      <c r="W637" t="s">
        <v>62</v>
      </c>
      <c r="X637">
        <v>1</v>
      </c>
      <c r="Y637">
        <v>3</v>
      </c>
      <c r="Z637">
        <v>2</v>
      </c>
      <c r="AA637">
        <v>0.6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3</v>
      </c>
      <c r="AH637">
        <v>0</v>
      </c>
      <c r="AI637">
        <v>3</v>
      </c>
      <c r="AJ637">
        <v>2</v>
      </c>
      <c r="AK637">
        <v>0.6</v>
      </c>
      <c r="AL637">
        <v>9</v>
      </c>
      <c r="AM637">
        <v>5</v>
      </c>
      <c r="AN637">
        <v>11</v>
      </c>
      <c r="AO637">
        <v>5</v>
      </c>
      <c r="AP637">
        <v>8</v>
      </c>
      <c r="AQ637">
        <v>0</v>
      </c>
      <c r="AR637" t="s">
        <v>19284</v>
      </c>
      <c r="AS637" t="s">
        <v>193</v>
      </c>
      <c r="AT637">
        <v>2.1920000000000002</v>
      </c>
      <c r="AU637" t="s">
        <v>267</v>
      </c>
      <c r="AV637">
        <v>19</v>
      </c>
      <c r="AW637">
        <v>5</v>
      </c>
      <c r="AX637" t="s">
        <v>19285</v>
      </c>
      <c r="AY637">
        <v>4.2020000000000002E-2</v>
      </c>
      <c r="AZ637">
        <v>-2.0500000000000002E-3</v>
      </c>
      <c r="BA637">
        <v>1.99E-3</v>
      </c>
      <c r="BB637">
        <v>-2.0000000000000001E-4</v>
      </c>
      <c r="BC637">
        <v>4.725E-2</v>
      </c>
      <c r="BD637">
        <v>1</v>
      </c>
      <c r="BE637" t="s">
        <v>69</v>
      </c>
      <c r="BF637">
        <v>-0.13100000000000001</v>
      </c>
      <c r="BG637">
        <v>-1.3680000000000001</v>
      </c>
    </row>
    <row r="638" spans="1:59">
      <c r="A638">
        <v>0</v>
      </c>
      <c r="B638">
        <v>0</v>
      </c>
      <c r="C638">
        <v>0</v>
      </c>
      <c r="D638" t="s">
        <v>25022</v>
      </c>
      <c r="E638">
        <v>3095</v>
      </c>
      <c r="F638" t="s">
        <v>17943</v>
      </c>
      <c r="G638" t="s">
        <v>62</v>
      </c>
      <c r="H638">
        <v>3047110</v>
      </c>
      <c r="I638">
        <v>3047562</v>
      </c>
      <c r="J638" t="s">
        <v>116</v>
      </c>
      <c r="K638">
        <v>151</v>
      </c>
      <c r="L638" t="s">
        <v>108</v>
      </c>
      <c r="M638">
        <v>44</v>
      </c>
      <c r="N638" t="str">
        <f>HYPERLINK("Gene3095-zp_tree_all.dnd", "Gene3095-tree")</f>
        <v>Gene3095-tree</v>
      </c>
      <c r="O638">
        <v>9</v>
      </c>
      <c r="P638">
        <v>3</v>
      </c>
      <c r="Q638">
        <v>9</v>
      </c>
      <c r="R638">
        <v>3</v>
      </c>
      <c r="S638">
        <v>0.25</v>
      </c>
      <c r="T638" t="s">
        <v>135</v>
      </c>
      <c r="U638" t="s">
        <v>324</v>
      </c>
      <c r="V638" t="s">
        <v>62</v>
      </c>
      <c r="W638" t="s">
        <v>62</v>
      </c>
      <c r="X638">
        <v>0</v>
      </c>
      <c r="Y638">
        <v>0</v>
      </c>
      <c r="Z638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4</v>
      </c>
      <c r="AK638">
        <v>0</v>
      </c>
      <c r="AL638">
        <v>9</v>
      </c>
      <c r="AM638">
        <v>7</v>
      </c>
      <c r="AN638">
        <v>14</v>
      </c>
      <c r="AO638">
        <v>4</v>
      </c>
      <c r="AP638">
        <v>10</v>
      </c>
      <c r="AQ638">
        <v>0</v>
      </c>
      <c r="AR638" t="s">
        <v>17944</v>
      </c>
      <c r="AS638" t="s">
        <v>193</v>
      </c>
      <c r="AT638">
        <v>1.165</v>
      </c>
      <c r="AU638" t="s">
        <v>65</v>
      </c>
      <c r="AV638">
        <v>24</v>
      </c>
      <c r="AW638">
        <v>4</v>
      </c>
      <c r="AX638" t="s">
        <v>17945</v>
      </c>
      <c r="AY638">
        <v>5.6739999999999999E-2</v>
      </c>
      <c r="AZ638">
        <v>-2.5799999999999998E-3</v>
      </c>
      <c r="BA638">
        <v>1.8699999999999999E-3</v>
      </c>
      <c r="BB638">
        <v>-2.9E-4</v>
      </c>
      <c r="BC638">
        <v>3.2960000000000003E-2</v>
      </c>
      <c r="BD638">
        <v>1</v>
      </c>
      <c r="BE638" t="s">
        <v>69</v>
      </c>
      <c r="BF638">
        <v>-0.45200000000000001</v>
      </c>
      <c r="BG638">
        <v>-1.2609999999999999</v>
      </c>
    </row>
    <row r="639" spans="1:59">
      <c r="A639">
        <v>0</v>
      </c>
      <c r="B639">
        <v>4</v>
      </c>
      <c r="C639">
        <v>0</v>
      </c>
      <c r="D639" t="s">
        <v>25022</v>
      </c>
      <c r="E639">
        <v>1978</v>
      </c>
      <c r="F639" t="s">
        <v>12311</v>
      </c>
      <c r="G639" t="s">
        <v>62</v>
      </c>
      <c r="H639">
        <v>2071289</v>
      </c>
      <c r="I639">
        <v>2071744</v>
      </c>
      <c r="J639" t="s">
        <v>12312</v>
      </c>
      <c r="K639">
        <v>152</v>
      </c>
      <c r="L639" t="s">
        <v>12313</v>
      </c>
      <c r="M639">
        <v>38</v>
      </c>
      <c r="N639" t="str">
        <f>HYPERLINK("Gene1978-zp_tree_all.dnd", "Gene1978-tree")</f>
        <v>Gene1978-tree</v>
      </c>
      <c r="O639">
        <v>2</v>
      </c>
      <c r="P639">
        <v>4</v>
      </c>
      <c r="Q639">
        <v>2</v>
      </c>
      <c r="R639">
        <v>4</v>
      </c>
      <c r="S639">
        <v>0.66666999999999998</v>
      </c>
      <c r="T639" t="s">
        <v>81</v>
      </c>
      <c r="U639" t="s">
        <v>61</v>
      </c>
      <c r="V639" t="s">
        <v>62</v>
      </c>
      <c r="W639" t="s">
        <v>62</v>
      </c>
      <c r="X639">
        <v>2</v>
      </c>
      <c r="Y639">
        <v>4</v>
      </c>
      <c r="Z639">
        <v>9</v>
      </c>
      <c r="AA639">
        <v>0.30769000000000002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</v>
      </c>
      <c r="AH639">
        <v>0</v>
      </c>
      <c r="AI639">
        <v>2</v>
      </c>
      <c r="AJ639">
        <v>10</v>
      </c>
      <c r="AK639">
        <v>0.16667000000000001</v>
      </c>
      <c r="AL639">
        <v>5</v>
      </c>
      <c r="AM639">
        <v>3</v>
      </c>
      <c r="AN639">
        <v>15</v>
      </c>
      <c r="AO639">
        <v>12</v>
      </c>
      <c r="AP639">
        <v>6</v>
      </c>
      <c r="AQ639">
        <v>1</v>
      </c>
      <c r="AR639" t="s">
        <v>12314</v>
      </c>
      <c r="AS639" t="s">
        <v>12315</v>
      </c>
      <c r="AT639">
        <v>1.2210000000000001</v>
      </c>
      <c r="AU639" t="s">
        <v>65</v>
      </c>
      <c r="AV639">
        <v>21</v>
      </c>
      <c r="AW639">
        <v>13</v>
      </c>
      <c r="AX639" t="s">
        <v>12316</v>
      </c>
      <c r="AY639">
        <v>9.1090000000000004E-2</v>
      </c>
      <c r="AZ639">
        <v>-1.2489999999999999E-2</v>
      </c>
      <c r="BA639">
        <v>1.1429999999999999E-2</v>
      </c>
      <c r="BB639">
        <v>-1.65E-3</v>
      </c>
      <c r="BC639">
        <v>0.12551000000000001</v>
      </c>
      <c r="BD639">
        <v>1</v>
      </c>
      <c r="BE639" t="s">
        <v>69</v>
      </c>
      <c r="BF639">
        <v>-0.754</v>
      </c>
      <c r="BG639">
        <v>-1.373</v>
      </c>
    </row>
    <row r="640" spans="1:59">
      <c r="A640">
        <v>0</v>
      </c>
      <c r="B640">
        <v>2</v>
      </c>
      <c r="C640">
        <v>0</v>
      </c>
      <c r="D640" t="s">
        <v>25022</v>
      </c>
      <c r="E640">
        <v>582</v>
      </c>
      <c r="F640" t="s">
        <v>3744</v>
      </c>
      <c r="G640" t="s">
        <v>57</v>
      </c>
      <c r="H640">
        <v>608933</v>
      </c>
      <c r="I640">
        <v>609388</v>
      </c>
      <c r="J640" t="s">
        <v>3745</v>
      </c>
      <c r="K640">
        <v>152</v>
      </c>
      <c r="L640" t="s">
        <v>108</v>
      </c>
      <c r="M640">
        <v>44</v>
      </c>
      <c r="N640" t="str">
        <f>HYPERLINK("Gene582-zp_tree_all.dnd", "Gene582-tree")</f>
        <v>Gene582-tree</v>
      </c>
      <c r="O640">
        <v>6</v>
      </c>
      <c r="P640">
        <v>6</v>
      </c>
      <c r="Q640">
        <v>6</v>
      </c>
      <c r="R640">
        <v>6</v>
      </c>
      <c r="S640">
        <v>0.5</v>
      </c>
      <c r="T640" t="s">
        <v>90</v>
      </c>
      <c r="U640" t="s">
        <v>90</v>
      </c>
      <c r="V640" t="s">
        <v>62</v>
      </c>
      <c r="W640" t="s">
        <v>62</v>
      </c>
      <c r="X640">
        <v>1</v>
      </c>
      <c r="Y640">
        <v>2</v>
      </c>
      <c r="Z640">
        <v>6</v>
      </c>
      <c r="AA640">
        <v>0.25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7</v>
      </c>
      <c r="AK640">
        <v>0</v>
      </c>
      <c r="AL640">
        <v>11</v>
      </c>
      <c r="AM640">
        <v>5</v>
      </c>
      <c r="AN640">
        <v>7</v>
      </c>
      <c r="AO640">
        <v>7</v>
      </c>
      <c r="AP640">
        <v>6</v>
      </c>
      <c r="AQ640">
        <v>1</v>
      </c>
      <c r="AR640" t="s">
        <v>3746</v>
      </c>
      <c r="AS640" t="s">
        <v>3747</v>
      </c>
      <c r="AT640">
        <v>1.464</v>
      </c>
      <c r="AU640" t="s">
        <v>65</v>
      </c>
      <c r="AV640">
        <v>13</v>
      </c>
      <c r="AW640">
        <v>8</v>
      </c>
      <c r="AX640" t="s">
        <v>3748</v>
      </c>
      <c r="AY640">
        <v>3.5319999999999997E-2</v>
      </c>
      <c r="AZ640">
        <v>-2.4299999999999999E-3</v>
      </c>
      <c r="BA640">
        <v>3.9399999999999999E-3</v>
      </c>
      <c r="BB640">
        <v>-2.9E-4</v>
      </c>
      <c r="BC640">
        <v>0.11148</v>
      </c>
      <c r="BD640">
        <v>1</v>
      </c>
      <c r="BE640" t="s">
        <v>69</v>
      </c>
      <c r="BF640">
        <v>-0.82199999999999995</v>
      </c>
      <c r="BG640">
        <v>-1.1719999999999999</v>
      </c>
    </row>
    <row r="641" spans="1:59">
      <c r="A641">
        <v>0</v>
      </c>
      <c r="B641">
        <v>0</v>
      </c>
      <c r="C641">
        <v>0</v>
      </c>
      <c r="D641" t="s">
        <v>25022</v>
      </c>
      <c r="E641">
        <v>3016</v>
      </c>
      <c r="F641" t="s">
        <v>17429</v>
      </c>
      <c r="G641" t="s">
        <v>62</v>
      </c>
      <c r="H641">
        <v>2965684</v>
      </c>
      <c r="I641">
        <v>2966139</v>
      </c>
      <c r="J641" t="s">
        <v>17430</v>
      </c>
      <c r="K641">
        <v>152</v>
      </c>
      <c r="L641" t="s">
        <v>59</v>
      </c>
      <c r="M641">
        <v>49</v>
      </c>
      <c r="N641" t="str">
        <f>HYPERLINK("Gene3016-zp_tree_all.dnd", "Gene3016-tree")</f>
        <v>Gene3016-tree</v>
      </c>
      <c r="O641">
        <v>15</v>
      </c>
      <c r="P641">
        <v>2</v>
      </c>
      <c r="Q641">
        <v>15</v>
      </c>
      <c r="R641">
        <v>2</v>
      </c>
      <c r="S641">
        <v>0.11765</v>
      </c>
      <c r="T641" t="s">
        <v>100</v>
      </c>
      <c r="U641" t="s">
        <v>81</v>
      </c>
      <c r="V641" t="s">
        <v>62</v>
      </c>
      <c r="W641" t="s">
        <v>62</v>
      </c>
      <c r="X641">
        <v>0</v>
      </c>
      <c r="Y641">
        <v>0</v>
      </c>
      <c r="Z641">
        <v>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3</v>
      </c>
      <c r="AK641">
        <v>0</v>
      </c>
      <c r="AL641">
        <v>11</v>
      </c>
      <c r="AM641">
        <v>10</v>
      </c>
      <c r="AN641">
        <v>17</v>
      </c>
      <c r="AO641">
        <v>3</v>
      </c>
      <c r="AP641">
        <v>26</v>
      </c>
      <c r="AQ641">
        <v>0</v>
      </c>
      <c r="AR641" t="s">
        <v>17431</v>
      </c>
      <c r="AS641" t="s">
        <v>193</v>
      </c>
      <c r="AT641">
        <v>0.54500000000000004</v>
      </c>
      <c r="AU641" t="s">
        <v>65</v>
      </c>
      <c r="AV641">
        <v>43</v>
      </c>
      <c r="AW641">
        <v>3</v>
      </c>
      <c r="AX641" t="s">
        <v>17432</v>
      </c>
      <c r="AY641">
        <v>0.11591</v>
      </c>
      <c r="AZ641">
        <v>-7.3400000000000002E-3</v>
      </c>
      <c r="BA641">
        <v>1E-3</v>
      </c>
      <c r="BB641">
        <v>-1.7000000000000001E-4</v>
      </c>
      <c r="BC641">
        <v>8.5800000000000008E-3</v>
      </c>
      <c r="BD641">
        <v>1</v>
      </c>
      <c r="BE641" t="s">
        <v>69</v>
      </c>
      <c r="BF641">
        <v>-1.4339999999999999</v>
      </c>
      <c r="BG641">
        <v>-1.083</v>
      </c>
    </row>
    <row r="642" spans="1:59">
      <c r="A642">
        <v>0</v>
      </c>
      <c r="B642">
        <v>4</v>
      </c>
      <c r="C642">
        <v>3</v>
      </c>
      <c r="D642" t="s">
        <v>25022</v>
      </c>
      <c r="E642">
        <v>4054</v>
      </c>
      <c r="F642" t="s">
        <v>23859</v>
      </c>
      <c r="G642" t="s">
        <v>62</v>
      </c>
      <c r="H642">
        <v>4019151</v>
      </c>
      <c r="I642">
        <v>4019609</v>
      </c>
      <c r="J642" t="s">
        <v>116</v>
      </c>
      <c r="K642">
        <v>153</v>
      </c>
      <c r="L642" t="s">
        <v>23860</v>
      </c>
      <c r="M642">
        <v>26</v>
      </c>
      <c r="N642" t="str">
        <f>HYPERLINK("Gene4054-zp_tree_all.dnd", "Gene4054-tree")</f>
        <v>Gene4054-tree</v>
      </c>
      <c r="O642">
        <v>1</v>
      </c>
      <c r="P642">
        <v>23</v>
      </c>
      <c r="Q642">
        <v>1</v>
      </c>
      <c r="R642">
        <v>4</v>
      </c>
      <c r="S642">
        <v>0.8</v>
      </c>
      <c r="T642" t="s">
        <v>175</v>
      </c>
      <c r="U642" t="s">
        <v>690</v>
      </c>
      <c r="V642">
        <v>2.0529999999999999</v>
      </c>
      <c r="W642" t="s">
        <v>267</v>
      </c>
      <c r="X642">
        <v>3</v>
      </c>
      <c r="Y642">
        <v>7</v>
      </c>
      <c r="Z642">
        <v>15</v>
      </c>
      <c r="AA642">
        <v>0.31818000000000002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4</v>
      </c>
      <c r="AH642">
        <v>2</v>
      </c>
      <c r="AI642">
        <v>6</v>
      </c>
      <c r="AJ642">
        <v>12</v>
      </c>
      <c r="AK642">
        <v>0.33333000000000002</v>
      </c>
      <c r="AL642">
        <v>5</v>
      </c>
      <c r="AM642">
        <v>2</v>
      </c>
      <c r="AN642">
        <v>9</v>
      </c>
      <c r="AO642">
        <v>18</v>
      </c>
      <c r="AP642">
        <v>2</v>
      </c>
      <c r="AQ642">
        <v>4</v>
      </c>
      <c r="AR642" t="s">
        <v>23861</v>
      </c>
      <c r="AS642" t="s">
        <v>23862</v>
      </c>
      <c r="AT642">
        <v>5.0000000000000001E-3</v>
      </c>
      <c r="AU642" t="s">
        <v>65</v>
      </c>
      <c r="AV642">
        <v>11</v>
      </c>
      <c r="AW642">
        <v>22</v>
      </c>
      <c r="AX642" t="s">
        <v>23863</v>
      </c>
      <c r="AY642">
        <v>5.0229999999999997E-2</v>
      </c>
      <c r="AZ642">
        <v>-1.004E-2</v>
      </c>
      <c r="BA642">
        <v>2.691E-2</v>
      </c>
      <c r="BB642">
        <v>-3.1199999999999999E-3</v>
      </c>
      <c r="BC642">
        <v>0.53580000000000005</v>
      </c>
      <c r="BD642">
        <v>0.89</v>
      </c>
      <c r="BE642" t="s">
        <v>635</v>
      </c>
      <c r="BF642">
        <v>-1.1319999999999999</v>
      </c>
      <c r="BG642">
        <v>-1.2130000000000001</v>
      </c>
    </row>
    <row r="643" spans="1:59">
      <c r="A643">
        <v>0</v>
      </c>
      <c r="B643">
        <v>0</v>
      </c>
      <c r="C643">
        <v>4</v>
      </c>
      <c r="D643" t="s">
        <v>25022</v>
      </c>
      <c r="E643">
        <v>1829</v>
      </c>
      <c r="F643" t="s">
        <v>11464</v>
      </c>
      <c r="G643" t="s">
        <v>57</v>
      </c>
      <c r="H643">
        <v>1899589</v>
      </c>
      <c r="I643">
        <v>1900047</v>
      </c>
      <c r="J643" t="s">
        <v>11465</v>
      </c>
      <c r="K643">
        <v>153</v>
      </c>
      <c r="L643" t="s">
        <v>1392</v>
      </c>
      <c r="M643">
        <v>43</v>
      </c>
      <c r="N643" t="str">
        <f>HYPERLINK("Gene1829-zp_tree_all.dnd", "Gene1829-tree")</f>
        <v>Gene1829-tree</v>
      </c>
      <c r="O643">
        <v>2</v>
      </c>
      <c r="P643">
        <v>11</v>
      </c>
      <c r="Q643">
        <v>2</v>
      </c>
      <c r="R643">
        <v>11</v>
      </c>
      <c r="S643">
        <v>0.84614999999999996</v>
      </c>
      <c r="T643" t="s">
        <v>81</v>
      </c>
      <c r="U643" t="s">
        <v>73</v>
      </c>
      <c r="V643">
        <v>515075683.63</v>
      </c>
      <c r="W643" t="s">
        <v>267</v>
      </c>
      <c r="X643">
        <v>2</v>
      </c>
      <c r="Y643">
        <v>4</v>
      </c>
      <c r="Z643">
        <v>13</v>
      </c>
      <c r="AA643">
        <v>0.23529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4</v>
      </c>
      <c r="AI643">
        <v>4</v>
      </c>
      <c r="AJ643">
        <v>10</v>
      </c>
      <c r="AK643">
        <v>0.28571000000000002</v>
      </c>
      <c r="AL643">
        <v>11</v>
      </c>
      <c r="AM643">
        <v>5</v>
      </c>
      <c r="AN643">
        <v>10</v>
      </c>
      <c r="AO643">
        <v>14</v>
      </c>
      <c r="AP643">
        <v>3</v>
      </c>
      <c r="AQ643">
        <v>4</v>
      </c>
      <c r="AR643" t="s">
        <v>11466</v>
      </c>
      <c r="AS643" t="s">
        <v>11467</v>
      </c>
      <c r="AT643">
        <v>6.2E-2</v>
      </c>
      <c r="AU643" t="s">
        <v>65</v>
      </c>
      <c r="AV643">
        <v>13</v>
      </c>
      <c r="AW643">
        <v>18</v>
      </c>
      <c r="AX643" t="s">
        <v>11468</v>
      </c>
      <c r="AY643">
        <v>2.547E-2</v>
      </c>
      <c r="AZ643">
        <v>-1.5499999999999999E-3</v>
      </c>
      <c r="BA643">
        <v>1.0489999999999999E-2</v>
      </c>
      <c r="BB643">
        <v>-6.6E-4</v>
      </c>
      <c r="BC643">
        <v>0.41169</v>
      </c>
      <c r="BD643">
        <v>0.93</v>
      </c>
      <c r="BE643" t="s">
        <v>635</v>
      </c>
      <c r="BF643">
        <v>-0.85899999999999999</v>
      </c>
      <c r="BG643">
        <v>-2.2589999999999999</v>
      </c>
    </row>
    <row r="644" spans="1:59">
      <c r="A644">
        <v>0</v>
      </c>
      <c r="B644">
        <v>0</v>
      </c>
      <c r="C644">
        <v>0</v>
      </c>
      <c r="D644" t="s">
        <v>25022</v>
      </c>
      <c r="E644">
        <v>1235</v>
      </c>
      <c r="F644" t="s">
        <v>7753</v>
      </c>
      <c r="G644" t="s">
        <v>57</v>
      </c>
      <c r="H644">
        <v>1265887</v>
      </c>
      <c r="I644">
        <v>1266345</v>
      </c>
      <c r="J644" t="s">
        <v>7754</v>
      </c>
      <c r="K644">
        <v>153</v>
      </c>
      <c r="L644" t="s">
        <v>7755</v>
      </c>
      <c r="M644">
        <v>25</v>
      </c>
      <c r="N644" t="str">
        <f>HYPERLINK("Gene1235-zp_tree_all.dnd", "Gene1235-tree")</f>
        <v>Gene1235-tree</v>
      </c>
      <c r="O644">
        <v>1</v>
      </c>
      <c r="P644">
        <v>23</v>
      </c>
      <c r="Q644">
        <v>1</v>
      </c>
      <c r="R644">
        <v>5</v>
      </c>
      <c r="S644">
        <v>0.83333000000000002</v>
      </c>
      <c r="T644" t="s">
        <v>175</v>
      </c>
      <c r="U644" t="s">
        <v>1652</v>
      </c>
      <c r="V644">
        <v>2.5059999999999998</v>
      </c>
      <c r="W644" t="s">
        <v>267</v>
      </c>
      <c r="X644">
        <v>0</v>
      </c>
      <c r="Y644">
        <v>0</v>
      </c>
      <c r="Z644">
        <v>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6</v>
      </c>
      <c r="AK644">
        <v>0</v>
      </c>
      <c r="AL644">
        <v>6</v>
      </c>
      <c r="AM644">
        <v>2</v>
      </c>
      <c r="AN644">
        <v>35</v>
      </c>
      <c r="AO644">
        <v>7</v>
      </c>
      <c r="AP644">
        <v>7</v>
      </c>
      <c r="AQ644">
        <v>0</v>
      </c>
      <c r="AR644" t="s">
        <v>7756</v>
      </c>
      <c r="AS644" t="s">
        <v>193</v>
      </c>
      <c r="AT644">
        <v>3.242</v>
      </c>
      <c r="AU644" t="s">
        <v>267</v>
      </c>
      <c r="AV644">
        <v>42</v>
      </c>
      <c r="AW644">
        <v>7</v>
      </c>
      <c r="AX644" t="s">
        <v>7757</v>
      </c>
      <c r="AY644">
        <v>0.16792000000000001</v>
      </c>
      <c r="AZ644">
        <v>-1.005E-2</v>
      </c>
      <c r="BA644">
        <v>6.7499999999999999E-3</v>
      </c>
      <c r="BB644">
        <v>-8.4999999999999995E-4</v>
      </c>
      <c r="BC644">
        <v>4.0219999999999999E-2</v>
      </c>
      <c r="BD644">
        <v>1</v>
      </c>
      <c r="BE644" t="s">
        <v>69</v>
      </c>
      <c r="BF644">
        <v>-1.0609999999999999</v>
      </c>
      <c r="BG644">
        <v>-1.496</v>
      </c>
    </row>
    <row r="645" spans="1:59">
      <c r="A645">
        <v>0</v>
      </c>
      <c r="B645">
        <v>11</v>
      </c>
      <c r="C645">
        <v>0</v>
      </c>
      <c r="D645" t="s">
        <v>25022</v>
      </c>
      <c r="E645">
        <v>3784</v>
      </c>
      <c r="F645" t="s">
        <v>22171</v>
      </c>
      <c r="G645" t="s">
        <v>62</v>
      </c>
      <c r="H645">
        <v>3756047</v>
      </c>
      <c r="I645">
        <v>3756508</v>
      </c>
      <c r="J645" t="s">
        <v>3095</v>
      </c>
      <c r="K645">
        <v>154</v>
      </c>
      <c r="L645" t="s">
        <v>108</v>
      </c>
      <c r="M645">
        <v>44</v>
      </c>
      <c r="N645" t="str">
        <f>HYPERLINK("Gene3784-zp_tree_all.dnd", "Gene3784-tree")</f>
        <v>Gene3784-tree</v>
      </c>
      <c r="O645">
        <v>0</v>
      </c>
      <c r="P645">
        <v>13</v>
      </c>
      <c r="Q645">
        <v>0</v>
      </c>
      <c r="R645">
        <v>13</v>
      </c>
      <c r="S645">
        <v>1</v>
      </c>
      <c r="T645" t="s">
        <v>62</v>
      </c>
      <c r="U645" t="s">
        <v>507</v>
      </c>
      <c r="V645" t="s">
        <v>62</v>
      </c>
      <c r="W645" t="s">
        <v>62</v>
      </c>
      <c r="X645">
        <v>3</v>
      </c>
      <c r="Y645">
        <v>11</v>
      </c>
      <c r="Z645">
        <v>14</v>
      </c>
      <c r="AA645">
        <v>0.44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7</v>
      </c>
      <c r="AH645">
        <v>1</v>
      </c>
      <c r="AI645">
        <v>8</v>
      </c>
      <c r="AJ645">
        <v>11</v>
      </c>
      <c r="AK645">
        <v>0.42104999999999998</v>
      </c>
      <c r="AL645">
        <v>11</v>
      </c>
      <c r="AM645">
        <v>7</v>
      </c>
      <c r="AN645">
        <v>10</v>
      </c>
      <c r="AO645">
        <v>18</v>
      </c>
      <c r="AP645">
        <v>8</v>
      </c>
      <c r="AQ645">
        <v>7</v>
      </c>
      <c r="AR645" t="s">
        <v>22172</v>
      </c>
      <c r="AS645" t="s">
        <v>22173</v>
      </c>
      <c r="AT645">
        <v>0.92</v>
      </c>
      <c r="AU645" t="s">
        <v>65</v>
      </c>
      <c r="AV645">
        <v>18</v>
      </c>
      <c r="AW645">
        <v>25</v>
      </c>
      <c r="AX645" t="s">
        <v>22174</v>
      </c>
      <c r="AY645">
        <v>3.0970000000000001E-2</v>
      </c>
      <c r="AZ645">
        <v>-1.73E-3</v>
      </c>
      <c r="BA645">
        <v>1.2500000000000001E-2</v>
      </c>
      <c r="BB645">
        <v>-5.9000000000000003E-4</v>
      </c>
      <c r="BC645">
        <v>0.40371000000000001</v>
      </c>
      <c r="BD645">
        <v>0.9</v>
      </c>
      <c r="BE645" t="s">
        <v>635</v>
      </c>
      <c r="BF645">
        <v>-0.92300000000000004</v>
      </c>
      <c r="BG645">
        <v>-1.196</v>
      </c>
    </row>
    <row r="646" spans="1:59">
      <c r="A646">
        <v>0</v>
      </c>
      <c r="B646">
        <v>12</v>
      </c>
      <c r="C646">
        <v>4</v>
      </c>
      <c r="D646" t="s">
        <v>25022</v>
      </c>
      <c r="E646">
        <v>369</v>
      </c>
      <c r="F646" t="s">
        <v>2504</v>
      </c>
      <c r="G646" t="s">
        <v>57</v>
      </c>
      <c r="H646">
        <v>414819</v>
      </c>
      <c r="I646">
        <v>415280</v>
      </c>
      <c r="J646" t="s">
        <v>2505</v>
      </c>
      <c r="K646">
        <v>154</v>
      </c>
      <c r="L646" t="s">
        <v>108</v>
      </c>
      <c r="M646">
        <v>44</v>
      </c>
      <c r="N646" t="str">
        <f>HYPERLINK("Gene369-zp_tree_all.dnd", "Gene369-tree")</f>
        <v>Gene369-tree</v>
      </c>
      <c r="O646">
        <v>4</v>
      </c>
      <c r="P646">
        <v>11</v>
      </c>
      <c r="Q646">
        <v>4</v>
      </c>
      <c r="R646">
        <v>11</v>
      </c>
      <c r="S646">
        <v>0.73333000000000004</v>
      </c>
      <c r="T646" t="s">
        <v>61</v>
      </c>
      <c r="U646" t="s">
        <v>73</v>
      </c>
      <c r="V646">
        <v>200307210.301</v>
      </c>
      <c r="W646" t="s">
        <v>267</v>
      </c>
      <c r="X646">
        <v>6</v>
      </c>
      <c r="Y646">
        <v>16</v>
      </c>
      <c r="Z646">
        <v>12</v>
      </c>
      <c r="AA646">
        <v>0.57142999999999999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7</v>
      </c>
      <c r="AH646">
        <v>2</v>
      </c>
      <c r="AI646">
        <v>9</v>
      </c>
      <c r="AJ646">
        <v>11</v>
      </c>
      <c r="AK646">
        <v>0.45</v>
      </c>
      <c r="AL646">
        <v>10</v>
      </c>
      <c r="AM646">
        <v>11</v>
      </c>
      <c r="AN646">
        <v>17</v>
      </c>
      <c r="AO646">
        <v>19</v>
      </c>
      <c r="AP646">
        <v>15</v>
      </c>
      <c r="AQ646">
        <v>9</v>
      </c>
      <c r="AR646" t="s">
        <v>2506</v>
      </c>
      <c r="AS646" t="s">
        <v>2507</v>
      </c>
      <c r="AT646">
        <v>1.0129999999999999</v>
      </c>
      <c r="AU646" t="s">
        <v>65</v>
      </c>
      <c r="AV646">
        <v>32</v>
      </c>
      <c r="AW646">
        <v>28</v>
      </c>
      <c r="AX646" t="s">
        <v>2508</v>
      </c>
      <c r="AY646">
        <v>5.2670000000000002E-2</v>
      </c>
      <c r="AZ646">
        <v>-2.32E-3</v>
      </c>
      <c r="BA646">
        <v>1.423E-2</v>
      </c>
      <c r="BB646">
        <v>-5.4000000000000001E-4</v>
      </c>
      <c r="BC646">
        <v>0.2702</v>
      </c>
      <c r="BD646">
        <v>1</v>
      </c>
      <c r="BE646" t="s">
        <v>69</v>
      </c>
      <c r="BF646">
        <v>-5.5E-2</v>
      </c>
      <c r="BG646">
        <v>-0.27800000000000002</v>
      </c>
    </row>
    <row r="647" spans="1:59">
      <c r="A647">
        <v>0</v>
      </c>
      <c r="B647">
        <v>0</v>
      </c>
      <c r="C647">
        <v>0</v>
      </c>
      <c r="D647" t="s">
        <v>25022</v>
      </c>
      <c r="E647">
        <v>3916</v>
      </c>
      <c r="F647" t="s">
        <v>22973</v>
      </c>
      <c r="G647" t="s">
        <v>62</v>
      </c>
      <c r="H647">
        <v>3882194</v>
      </c>
      <c r="I647">
        <v>3882655</v>
      </c>
      <c r="J647" t="s">
        <v>22974</v>
      </c>
      <c r="K647">
        <v>154</v>
      </c>
      <c r="L647" t="s">
        <v>108</v>
      </c>
      <c r="M647">
        <v>44</v>
      </c>
      <c r="N647" t="str">
        <f>HYPERLINK("Gene3916-zp_tree_all.dnd", "Gene3916-tree")</f>
        <v>Gene3916-tree</v>
      </c>
      <c r="O647">
        <v>5</v>
      </c>
      <c r="P647">
        <v>23</v>
      </c>
      <c r="Q647">
        <v>5</v>
      </c>
      <c r="R647">
        <v>6</v>
      </c>
      <c r="S647">
        <v>0.54544999999999999</v>
      </c>
      <c r="T647" t="s">
        <v>199</v>
      </c>
      <c r="U647" t="s">
        <v>3589</v>
      </c>
      <c r="V647">
        <v>3.319</v>
      </c>
      <c r="W647" t="s">
        <v>65</v>
      </c>
      <c r="X647">
        <v>0</v>
      </c>
      <c r="Y647">
        <v>0</v>
      </c>
      <c r="Z647">
        <v>9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9</v>
      </c>
      <c r="AK647">
        <v>0</v>
      </c>
      <c r="AL647">
        <v>7</v>
      </c>
      <c r="AM647">
        <v>5</v>
      </c>
      <c r="AN647">
        <v>6</v>
      </c>
      <c r="AO647">
        <v>7</v>
      </c>
      <c r="AP647">
        <v>10</v>
      </c>
      <c r="AQ647">
        <v>2</v>
      </c>
      <c r="AR647" t="s">
        <v>22975</v>
      </c>
      <c r="AS647" t="s">
        <v>22976</v>
      </c>
      <c r="AT647">
        <v>1.4530000000000001</v>
      </c>
      <c r="AU647" t="s">
        <v>65</v>
      </c>
      <c r="AV647">
        <v>16</v>
      </c>
      <c r="AW647">
        <v>9</v>
      </c>
      <c r="AX647" t="s">
        <v>22977</v>
      </c>
      <c r="AY647">
        <v>4.8710000000000003E-2</v>
      </c>
      <c r="AZ647">
        <v>-4.5100000000000001E-3</v>
      </c>
      <c r="BA647">
        <v>5.64E-3</v>
      </c>
      <c r="BB647">
        <v>-5.2999999999999998E-4</v>
      </c>
      <c r="BC647">
        <v>0.1158</v>
      </c>
      <c r="BD647">
        <v>1</v>
      </c>
      <c r="BE647" t="s">
        <v>69</v>
      </c>
      <c r="BF647">
        <v>-0.34200000000000003</v>
      </c>
      <c r="BG647">
        <v>0.13100000000000001</v>
      </c>
    </row>
    <row r="648" spans="1:59">
      <c r="A648">
        <v>0</v>
      </c>
      <c r="B648">
        <v>0</v>
      </c>
      <c r="C648">
        <v>2</v>
      </c>
      <c r="D648" t="s">
        <v>25022</v>
      </c>
      <c r="E648">
        <v>3031</v>
      </c>
      <c r="F648" t="s">
        <v>17525</v>
      </c>
      <c r="G648" t="s">
        <v>62</v>
      </c>
      <c r="H648">
        <v>2982606</v>
      </c>
      <c r="I648">
        <v>2983067</v>
      </c>
      <c r="J648" t="s">
        <v>6103</v>
      </c>
      <c r="K648">
        <v>154</v>
      </c>
      <c r="L648" t="s">
        <v>108</v>
      </c>
      <c r="M648">
        <v>44</v>
      </c>
      <c r="N648" t="str">
        <f>HYPERLINK("Gene3031-zp_tree_all.dnd", "Gene3031-tree")</f>
        <v>Gene3031-tree</v>
      </c>
      <c r="O648">
        <v>9</v>
      </c>
      <c r="P648">
        <v>2</v>
      </c>
      <c r="Q648">
        <v>9</v>
      </c>
      <c r="R648">
        <v>2</v>
      </c>
      <c r="S648">
        <v>0.18182000000000001</v>
      </c>
      <c r="T648" t="s">
        <v>135</v>
      </c>
      <c r="U648" t="s">
        <v>81</v>
      </c>
      <c r="V648" t="s">
        <v>62</v>
      </c>
      <c r="W648" t="s">
        <v>62</v>
      </c>
      <c r="X648">
        <v>1</v>
      </c>
      <c r="Y648">
        <v>2</v>
      </c>
      <c r="Z648">
        <v>2</v>
      </c>
      <c r="AA648">
        <v>0.5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2</v>
      </c>
      <c r="AK648">
        <v>0</v>
      </c>
      <c r="AL648">
        <v>8</v>
      </c>
      <c r="AM648">
        <v>6</v>
      </c>
      <c r="AN648">
        <v>13</v>
      </c>
      <c r="AO648">
        <v>2</v>
      </c>
      <c r="AP648">
        <v>6</v>
      </c>
      <c r="AQ648">
        <v>2</v>
      </c>
      <c r="AR648" t="s">
        <v>17526</v>
      </c>
      <c r="AS648" t="s">
        <v>17527</v>
      </c>
      <c r="AT648">
        <v>0.55100000000000005</v>
      </c>
      <c r="AU648" t="s">
        <v>65</v>
      </c>
      <c r="AV648">
        <v>19</v>
      </c>
      <c r="AW648">
        <v>4</v>
      </c>
      <c r="AX648" t="s">
        <v>17528</v>
      </c>
      <c r="AY648">
        <v>3.0960000000000001E-2</v>
      </c>
      <c r="AZ648">
        <v>-1.89E-3</v>
      </c>
      <c r="BA648">
        <v>3.5599999999999998E-3</v>
      </c>
      <c r="BB648">
        <v>-3.6999999999999999E-4</v>
      </c>
      <c r="BC648">
        <v>0.1149</v>
      </c>
      <c r="BD648">
        <v>1</v>
      </c>
      <c r="BE648" t="s">
        <v>69</v>
      </c>
      <c r="BF648">
        <v>-0.35399999999999998</v>
      </c>
      <c r="BG648">
        <v>-0.1</v>
      </c>
    </row>
    <row r="649" spans="1:59">
      <c r="A649">
        <v>0</v>
      </c>
      <c r="B649">
        <v>0</v>
      </c>
      <c r="C649">
        <v>0</v>
      </c>
      <c r="D649" t="s">
        <v>25022</v>
      </c>
      <c r="E649">
        <v>934</v>
      </c>
      <c r="F649" t="s">
        <v>5848</v>
      </c>
      <c r="G649" t="s">
        <v>57</v>
      </c>
      <c r="H649">
        <v>976569</v>
      </c>
      <c r="I649">
        <v>977030</v>
      </c>
      <c r="J649" t="s">
        <v>5849</v>
      </c>
      <c r="K649">
        <v>154</v>
      </c>
      <c r="L649" t="s">
        <v>289</v>
      </c>
      <c r="M649">
        <v>46</v>
      </c>
      <c r="N649" t="str">
        <f>HYPERLINK("Gene934-zp_tree_all.dnd", "Gene934-tree")</f>
        <v>Gene934-tree</v>
      </c>
      <c r="O649">
        <v>6</v>
      </c>
      <c r="P649">
        <v>2</v>
      </c>
      <c r="Q649">
        <v>6</v>
      </c>
      <c r="R649">
        <v>2</v>
      </c>
      <c r="S649">
        <v>0.25</v>
      </c>
      <c r="T649" t="s">
        <v>90</v>
      </c>
      <c r="U649" t="s">
        <v>81</v>
      </c>
      <c r="V649" t="s">
        <v>62</v>
      </c>
      <c r="W649" t="s">
        <v>62</v>
      </c>
      <c r="X649">
        <v>0</v>
      </c>
      <c r="Y649">
        <v>0</v>
      </c>
      <c r="Z649">
        <v>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</v>
      </c>
      <c r="AK649">
        <v>0</v>
      </c>
      <c r="AL649">
        <v>7</v>
      </c>
      <c r="AM649">
        <v>2</v>
      </c>
      <c r="AN649">
        <v>7</v>
      </c>
      <c r="AO649">
        <v>2</v>
      </c>
      <c r="AP649">
        <v>14</v>
      </c>
      <c r="AQ649">
        <v>3</v>
      </c>
      <c r="AR649" t="s">
        <v>5850</v>
      </c>
      <c r="AS649" t="s">
        <v>5851</v>
      </c>
      <c r="AT649">
        <v>0.221</v>
      </c>
      <c r="AU649" t="s">
        <v>65</v>
      </c>
      <c r="AV649">
        <v>21</v>
      </c>
      <c r="AW649">
        <v>5</v>
      </c>
      <c r="AX649" t="s">
        <v>5852</v>
      </c>
      <c r="AY649">
        <v>8.1110000000000002E-2</v>
      </c>
      <c r="AZ649">
        <v>-1.362E-2</v>
      </c>
      <c r="BA649">
        <v>5.0400000000000002E-3</v>
      </c>
      <c r="BB649">
        <v>-9.2000000000000003E-4</v>
      </c>
      <c r="BC649">
        <v>6.2149999999999997E-2</v>
      </c>
      <c r="BD649">
        <v>1</v>
      </c>
      <c r="BE649" t="s">
        <v>69</v>
      </c>
      <c r="BF649">
        <v>-1.78</v>
      </c>
      <c r="BG649">
        <v>-5.6000000000000001E-2</v>
      </c>
    </row>
    <row r="650" spans="1:59">
      <c r="A650">
        <v>0</v>
      </c>
      <c r="B650">
        <v>0</v>
      </c>
      <c r="C650">
        <v>0</v>
      </c>
      <c r="D650" t="s">
        <v>25022</v>
      </c>
      <c r="E650">
        <v>83</v>
      </c>
      <c r="F650" t="s">
        <v>659</v>
      </c>
      <c r="G650" t="s">
        <v>57</v>
      </c>
      <c r="H650">
        <v>101449</v>
      </c>
      <c r="I650">
        <v>101910</v>
      </c>
      <c r="J650" t="s">
        <v>660</v>
      </c>
      <c r="K650">
        <v>154</v>
      </c>
      <c r="L650" t="s">
        <v>59</v>
      </c>
      <c r="M650">
        <v>49</v>
      </c>
      <c r="N650" t="str">
        <f>HYPERLINK("Gene83-zp_tree_all.dnd", "Gene83-tree")</f>
        <v>Gene83-tree</v>
      </c>
      <c r="O650">
        <v>36</v>
      </c>
      <c r="P650">
        <v>2</v>
      </c>
      <c r="Q650">
        <v>12</v>
      </c>
      <c r="R650">
        <v>2</v>
      </c>
      <c r="S650">
        <v>0.14285999999999999</v>
      </c>
      <c r="T650" t="s">
        <v>661</v>
      </c>
      <c r="U650" t="s">
        <v>81</v>
      </c>
      <c r="V650" t="s">
        <v>62</v>
      </c>
      <c r="W650" t="s">
        <v>62</v>
      </c>
      <c r="X650">
        <v>0</v>
      </c>
      <c r="Y650">
        <v>0</v>
      </c>
      <c r="Z650">
        <v>4</v>
      </c>
      <c r="AA650">
        <v>0</v>
      </c>
      <c r="AB650">
        <v>0</v>
      </c>
      <c r="AC650">
        <v>0</v>
      </c>
      <c r="AD650">
        <v>0</v>
      </c>
      <c r="AE650">
        <v>2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0</v>
      </c>
      <c r="AL650">
        <v>9</v>
      </c>
      <c r="AM650">
        <v>6</v>
      </c>
      <c r="AN650">
        <v>11</v>
      </c>
      <c r="AO650">
        <v>2</v>
      </c>
      <c r="AP650">
        <v>9</v>
      </c>
      <c r="AQ650">
        <v>3</v>
      </c>
      <c r="AR650" t="s">
        <v>662</v>
      </c>
      <c r="AS650" t="s">
        <v>663</v>
      </c>
      <c r="AT650">
        <v>0.19</v>
      </c>
      <c r="AU650" t="s">
        <v>65</v>
      </c>
      <c r="AV650">
        <v>20</v>
      </c>
      <c r="AW650">
        <v>5</v>
      </c>
      <c r="AX650" t="s">
        <v>664</v>
      </c>
      <c r="AY650">
        <v>5.611E-2</v>
      </c>
      <c r="AZ650">
        <v>-3.0799999999999998E-3</v>
      </c>
      <c r="BA650">
        <v>2.96E-3</v>
      </c>
      <c r="BB650">
        <v>-3.8999999999999999E-4</v>
      </c>
      <c r="BC650">
        <v>5.2749999999999998E-2</v>
      </c>
      <c r="BD650">
        <v>1</v>
      </c>
      <c r="BE650" t="s">
        <v>69</v>
      </c>
      <c r="BF650">
        <v>-1.552</v>
      </c>
      <c r="BG650">
        <v>-1.7549999999999999</v>
      </c>
    </row>
    <row r="651" spans="1:59">
      <c r="A651">
        <v>0</v>
      </c>
      <c r="B651">
        <v>0</v>
      </c>
      <c r="C651">
        <v>0</v>
      </c>
      <c r="D651" t="s">
        <v>25022</v>
      </c>
      <c r="E651">
        <v>1606</v>
      </c>
      <c r="F651" t="s">
        <v>10052</v>
      </c>
      <c r="G651" t="s">
        <v>57</v>
      </c>
      <c r="H651">
        <v>1616744</v>
      </c>
      <c r="I651">
        <v>1617205</v>
      </c>
      <c r="J651" t="s">
        <v>10053</v>
      </c>
      <c r="K651">
        <v>154</v>
      </c>
      <c r="L651" t="s">
        <v>59</v>
      </c>
      <c r="M651">
        <v>49</v>
      </c>
      <c r="N651" t="str">
        <f>HYPERLINK("Gene1606-zp_tree_all.dnd", "Gene1606-tree")</f>
        <v>Gene1606-tree</v>
      </c>
      <c r="O651">
        <v>13</v>
      </c>
      <c r="P651">
        <v>3</v>
      </c>
      <c r="Q651">
        <v>13</v>
      </c>
      <c r="R651">
        <v>3</v>
      </c>
      <c r="S651">
        <v>0.1875</v>
      </c>
      <c r="T651" t="s">
        <v>507</v>
      </c>
      <c r="U651" t="s">
        <v>324</v>
      </c>
      <c r="V651" t="s">
        <v>62</v>
      </c>
      <c r="W651" t="s">
        <v>62</v>
      </c>
      <c r="X651">
        <v>0</v>
      </c>
      <c r="Y651">
        <v>0</v>
      </c>
      <c r="Z651">
        <v>5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3</v>
      </c>
      <c r="AK651">
        <v>0</v>
      </c>
      <c r="AL651">
        <v>7</v>
      </c>
      <c r="AM651">
        <v>9</v>
      </c>
      <c r="AN651">
        <v>7</v>
      </c>
      <c r="AO651">
        <v>3</v>
      </c>
      <c r="AP651">
        <v>25</v>
      </c>
      <c r="AQ651">
        <v>2</v>
      </c>
      <c r="AR651" t="s">
        <v>10054</v>
      </c>
      <c r="AS651" t="s">
        <v>10055</v>
      </c>
      <c r="AT651">
        <v>1.2050000000000001</v>
      </c>
      <c r="AU651" t="s">
        <v>65</v>
      </c>
      <c r="AV651">
        <v>32</v>
      </c>
      <c r="AW651">
        <v>5</v>
      </c>
      <c r="AX651" t="s">
        <v>10056</v>
      </c>
      <c r="AY651">
        <v>0.10093000000000001</v>
      </c>
      <c r="AZ651">
        <v>-7.4999999999999997E-3</v>
      </c>
      <c r="BA651">
        <v>3.0699999999999998E-3</v>
      </c>
      <c r="BB651">
        <v>-2.3000000000000001E-4</v>
      </c>
      <c r="BC651">
        <v>3.0439999999999998E-2</v>
      </c>
      <c r="BD651">
        <v>1</v>
      </c>
      <c r="BE651" t="s">
        <v>69</v>
      </c>
      <c r="BF651">
        <v>-0.93100000000000005</v>
      </c>
      <c r="BG651">
        <v>0.66800000000000004</v>
      </c>
    </row>
    <row r="652" spans="1:59">
      <c r="A652">
        <v>0</v>
      </c>
      <c r="B652">
        <v>0</v>
      </c>
      <c r="C652">
        <v>0</v>
      </c>
      <c r="D652" t="s">
        <v>25022</v>
      </c>
      <c r="E652">
        <v>309</v>
      </c>
      <c r="F652" t="s">
        <v>2107</v>
      </c>
      <c r="G652" t="s">
        <v>57</v>
      </c>
      <c r="H652">
        <v>334092</v>
      </c>
      <c r="I652">
        <v>334553</v>
      </c>
      <c r="J652" t="s">
        <v>637</v>
      </c>
      <c r="K652">
        <v>154</v>
      </c>
      <c r="L652" t="s">
        <v>2078</v>
      </c>
      <c r="M652">
        <v>36</v>
      </c>
      <c r="N652" t="str">
        <f>HYPERLINK("Gene309-zp_tree_all.dnd", "Gene309-tree")</f>
        <v>Gene309-tree</v>
      </c>
      <c r="O652">
        <v>27</v>
      </c>
      <c r="P652">
        <v>2</v>
      </c>
      <c r="Q652">
        <v>9</v>
      </c>
      <c r="R652">
        <v>2</v>
      </c>
      <c r="S652">
        <v>0.18182000000000001</v>
      </c>
      <c r="T652" t="s">
        <v>2108</v>
      </c>
      <c r="U652" t="s">
        <v>81</v>
      </c>
      <c r="V652" t="s">
        <v>62</v>
      </c>
      <c r="W652" t="s">
        <v>62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</v>
      </c>
      <c r="AK652">
        <v>0</v>
      </c>
      <c r="AL652">
        <v>10</v>
      </c>
      <c r="AM652">
        <v>5</v>
      </c>
      <c r="AN652">
        <v>17</v>
      </c>
      <c r="AO652">
        <v>2</v>
      </c>
      <c r="AP652">
        <v>6</v>
      </c>
      <c r="AQ652">
        <v>0</v>
      </c>
      <c r="AR652" t="s">
        <v>2109</v>
      </c>
      <c r="AS652" t="s">
        <v>193</v>
      </c>
      <c r="AT652">
        <v>0.73799999999999999</v>
      </c>
      <c r="AU652" t="s">
        <v>65</v>
      </c>
      <c r="AV652">
        <v>23</v>
      </c>
      <c r="AW652">
        <v>2</v>
      </c>
      <c r="AX652" t="s">
        <v>2110</v>
      </c>
      <c r="AY652">
        <v>4.7469999999999998E-2</v>
      </c>
      <c r="AZ652">
        <v>-2.64E-3</v>
      </c>
      <c r="BA652">
        <v>1.0399999999999999E-3</v>
      </c>
      <c r="BB652">
        <v>-2.0000000000000001E-4</v>
      </c>
      <c r="BC652">
        <v>2.188E-2</v>
      </c>
      <c r="BD652">
        <v>1</v>
      </c>
      <c r="BE652" t="s">
        <v>69</v>
      </c>
      <c r="BF652">
        <v>-0.79</v>
      </c>
      <c r="BG652">
        <v>-0.79300000000000004</v>
      </c>
    </row>
    <row r="653" spans="1:59">
      <c r="A653">
        <v>0</v>
      </c>
      <c r="B653">
        <v>0</v>
      </c>
      <c r="C653">
        <v>2</v>
      </c>
      <c r="D653" t="s">
        <v>25022</v>
      </c>
      <c r="E653">
        <v>1385</v>
      </c>
      <c r="F653" t="s">
        <v>8667</v>
      </c>
      <c r="G653" t="s">
        <v>57</v>
      </c>
      <c r="H653">
        <v>1398496</v>
      </c>
      <c r="I653">
        <v>1398957</v>
      </c>
      <c r="J653" t="s">
        <v>3745</v>
      </c>
      <c r="K653">
        <v>154</v>
      </c>
      <c r="L653" t="s">
        <v>59</v>
      </c>
      <c r="M653">
        <v>49</v>
      </c>
      <c r="N653" t="str">
        <f>HYPERLINK("Gene1385-zp_tree_all.dnd", "Gene1385-tree")</f>
        <v>Gene1385-tree</v>
      </c>
      <c r="O653">
        <v>15</v>
      </c>
      <c r="P653">
        <v>1</v>
      </c>
      <c r="Q653">
        <v>15</v>
      </c>
      <c r="R653">
        <v>1</v>
      </c>
      <c r="S653">
        <v>6.25E-2</v>
      </c>
      <c r="T653" t="s">
        <v>100</v>
      </c>
      <c r="U653" t="s">
        <v>175</v>
      </c>
      <c r="V653" t="s">
        <v>62</v>
      </c>
      <c r="W653" t="s">
        <v>62</v>
      </c>
      <c r="X653">
        <v>1</v>
      </c>
      <c r="Y653">
        <v>2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14</v>
      </c>
      <c r="AM653">
        <v>6</v>
      </c>
      <c r="AN653">
        <v>24</v>
      </c>
      <c r="AO653">
        <v>1</v>
      </c>
      <c r="AP653">
        <v>18</v>
      </c>
      <c r="AQ653">
        <v>1</v>
      </c>
      <c r="AR653" t="s">
        <v>8668</v>
      </c>
      <c r="AS653" t="s">
        <v>8669</v>
      </c>
      <c r="AT653">
        <v>5.7000000000000002E-2</v>
      </c>
      <c r="AU653" t="s">
        <v>65</v>
      </c>
      <c r="AV653">
        <v>42</v>
      </c>
      <c r="AW653">
        <v>2</v>
      </c>
      <c r="AX653" t="s">
        <v>8670</v>
      </c>
      <c r="AY653">
        <v>0.10162</v>
      </c>
      <c r="AZ653">
        <v>-6.8599999999999998E-3</v>
      </c>
      <c r="BA653">
        <v>1E-3</v>
      </c>
      <c r="BB653">
        <v>-1.2999999999999999E-4</v>
      </c>
      <c r="BC653">
        <v>9.8799999999999999E-3</v>
      </c>
      <c r="BD653">
        <v>1</v>
      </c>
      <c r="BE653" t="s">
        <v>69</v>
      </c>
      <c r="BF653">
        <v>-1.59</v>
      </c>
      <c r="BG653">
        <v>-1.9370000000000001</v>
      </c>
    </row>
    <row r="654" spans="1:59">
      <c r="A654">
        <v>0</v>
      </c>
      <c r="B654">
        <v>0</v>
      </c>
      <c r="C654">
        <v>0</v>
      </c>
      <c r="D654" t="s">
        <v>25022</v>
      </c>
      <c r="E654">
        <v>2420</v>
      </c>
      <c r="F654" t="s">
        <v>14099</v>
      </c>
      <c r="G654" t="s">
        <v>62</v>
      </c>
      <c r="H654">
        <v>2427895</v>
      </c>
      <c r="I654">
        <v>2428356</v>
      </c>
      <c r="J654" t="s">
        <v>14100</v>
      </c>
      <c r="K654">
        <v>154</v>
      </c>
      <c r="L654" t="s">
        <v>59</v>
      </c>
      <c r="M654">
        <v>49</v>
      </c>
      <c r="N654" t="str">
        <f>HYPERLINK("Gene2420-zp_tree_all.dnd", "Gene2420-tree")</f>
        <v>Gene2420-tree</v>
      </c>
      <c r="O654">
        <v>14</v>
      </c>
      <c r="P654">
        <v>0</v>
      </c>
      <c r="Q654">
        <v>14</v>
      </c>
      <c r="R654">
        <v>0</v>
      </c>
      <c r="S654">
        <v>0</v>
      </c>
      <c r="T654" t="s">
        <v>543</v>
      </c>
      <c r="U654" t="s">
        <v>62</v>
      </c>
      <c r="V654" t="s">
        <v>62</v>
      </c>
      <c r="W654" t="s">
        <v>62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7</v>
      </c>
      <c r="AM654">
        <v>9</v>
      </c>
      <c r="AN654">
        <v>15</v>
      </c>
      <c r="AO654">
        <v>0</v>
      </c>
      <c r="AP654">
        <v>30</v>
      </c>
      <c r="AQ654">
        <v>0</v>
      </c>
      <c r="AR654" t="s">
        <v>193</v>
      </c>
      <c r="AS654" t="s">
        <v>193</v>
      </c>
      <c r="AT654">
        <v>0</v>
      </c>
      <c r="AU654" t="s">
        <v>65</v>
      </c>
      <c r="AV654">
        <v>45</v>
      </c>
      <c r="AW654">
        <v>0</v>
      </c>
      <c r="AX654" t="s">
        <v>14101</v>
      </c>
      <c r="AY654">
        <v>0.12232999999999999</v>
      </c>
      <c r="AZ654">
        <v>-8.94E-3</v>
      </c>
      <c r="BA654">
        <v>0</v>
      </c>
      <c r="BB654">
        <v>0</v>
      </c>
      <c r="BC654">
        <v>0</v>
      </c>
      <c r="BD654">
        <v>1</v>
      </c>
      <c r="BE654" t="s">
        <v>69</v>
      </c>
      <c r="BF654">
        <v>-1.4359999999999999</v>
      </c>
      <c r="BG654">
        <v>-0.28399999999999997</v>
      </c>
    </row>
    <row r="655" spans="1:59">
      <c r="A655">
        <v>0</v>
      </c>
      <c r="B655">
        <v>0</v>
      </c>
      <c r="C655">
        <v>0</v>
      </c>
      <c r="D655" t="s">
        <v>25022</v>
      </c>
      <c r="E655">
        <v>2242</v>
      </c>
      <c r="F655" t="s">
        <v>13042</v>
      </c>
      <c r="G655" t="s">
        <v>62</v>
      </c>
      <c r="H655">
        <v>2272899</v>
      </c>
      <c r="I655">
        <v>2273363</v>
      </c>
      <c r="J655" t="s">
        <v>13043</v>
      </c>
      <c r="K655">
        <v>155</v>
      </c>
      <c r="L655" t="s">
        <v>13037</v>
      </c>
      <c r="M655">
        <v>17</v>
      </c>
      <c r="N655" t="str">
        <f>HYPERLINK("Gene2242-zp_tree_all.dnd", "Gene2242-tree")</f>
        <v>Gene2242-tree</v>
      </c>
      <c r="O655">
        <v>1</v>
      </c>
      <c r="P655">
        <v>16</v>
      </c>
      <c r="Q655">
        <v>1</v>
      </c>
      <c r="R655">
        <v>3</v>
      </c>
      <c r="S655">
        <v>0.75</v>
      </c>
      <c r="T655" t="s">
        <v>175</v>
      </c>
      <c r="U655" t="s">
        <v>12874</v>
      </c>
      <c r="V655">
        <v>1.6859999999999999</v>
      </c>
      <c r="W655" t="s">
        <v>65</v>
      </c>
      <c r="X655">
        <v>0</v>
      </c>
      <c r="Y655">
        <v>0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</v>
      </c>
      <c r="AK655">
        <v>0</v>
      </c>
      <c r="AL655">
        <v>4</v>
      </c>
      <c r="AM655">
        <v>0</v>
      </c>
      <c r="AN655">
        <v>7</v>
      </c>
      <c r="AO655">
        <v>3</v>
      </c>
      <c r="AP655">
        <v>0</v>
      </c>
      <c r="AQ655">
        <v>0</v>
      </c>
      <c r="AR655" t="s">
        <v>13044</v>
      </c>
      <c r="AS655" t="s">
        <v>193</v>
      </c>
      <c r="AT655">
        <v>3.5529999999999999</v>
      </c>
      <c r="AU655" t="s">
        <v>267</v>
      </c>
      <c r="AV655">
        <v>7</v>
      </c>
      <c r="AW655">
        <v>3</v>
      </c>
      <c r="AX655" t="s">
        <v>13045</v>
      </c>
      <c r="AY655">
        <v>3.3340000000000002E-2</v>
      </c>
      <c r="AZ655">
        <v>-3.8E-3</v>
      </c>
      <c r="BA655">
        <v>4.2399999999999998E-3</v>
      </c>
      <c r="BB655">
        <v>-5.8E-4</v>
      </c>
      <c r="BC655">
        <v>0.1273</v>
      </c>
      <c r="BD655">
        <v>1</v>
      </c>
      <c r="BE655" t="s">
        <v>69</v>
      </c>
      <c r="BF655">
        <v>-1.4950000000000001</v>
      </c>
      <c r="BG655">
        <v>-1.7350000000000001</v>
      </c>
    </row>
    <row r="656" spans="1:59">
      <c r="A656">
        <v>0</v>
      </c>
      <c r="B656">
        <v>0</v>
      </c>
      <c r="C656">
        <v>0</v>
      </c>
      <c r="D656" t="s">
        <v>25022</v>
      </c>
      <c r="E656">
        <v>4061</v>
      </c>
      <c r="F656" t="s">
        <v>23907</v>
      </c>
      <c r="G656" t="s">
        <v>62</v>
      </c>
      <c r="H656">
        <v>4022261</v>
      </c>
      <c r="I656">
        <v>4022728</v>
      </c>
      <c r="J656" t="s">
        <v>116</v>
      </c>
      <c r="K656">
        <v>156</v>
      </c>
      <c r="L656" t="s">
        <v>23908</v>
      </c>
      <c r="M656">
        <v>24</v>
      </c>
      <c r="N656" t="str">
        <f>HYPERLINK("Gene4061-zp_tree_all.dnd", "Gene4061-tree")</f>
        <v>Gene4061-tree</v>
      </c>
      <c r="O656">
        <v>2</v>
      </c>
      <c r="P656">
        <v>2</v>
      </c>
      <c r="Q656">
        <v>2</v>
      </c>
      <c r="R656">
        <v>2</v>
      </c>
      <c r="S656">
        <v>0.5</v>
      </c>
      <c r="T656" t="s">
        <v>81</v>
      </c>
      <c r="U656" t="s">
        <v>81</v>
      </c>
      <c r="V656" t="s">
        <v>62</v>
      </c>
      <c r="W656" t="s">
        <v>62</v>
      </c>
      <c r="X656">
        <v>0</v>
      </c>
      <c r="Y656">
        <v>0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</v>
      </c>
      <c r="AK656">
        <v>0</v>
      </c>
      <c r="AL656">
        <v>3</v>
      </c>
      <c r="AM656">
        <v>0</v>
      </c>
      <c r="AN656">
        <v>1</v>
      </c>
      <c r="AO656">
        <v>2</v>
      </c>
      <c r="AP656">
        <v>0</v>
      </c>
      <c r="AQ656">
        <v>0</v>
      </c>
      <c r="AR656" t="s">
        <v>23909</v>
      </c>
      <c r="AS656" t="s">
        <v>193</v>
      </c>
      <c r="AT656">
        <v>0.69299999999999995</v>
      </c>
      <c r="AU656" t="s">
        <v>65</v>
      </c>
      <c r="AV656">
        <v>1</v>
      </c>
      <c r="AW656">
        <v>2</v>
      </c>
      <c r="AX656" t="s">
        <v>23910</v>
      </c>
      <c r="AY656">
        <v>5.0499999999999998E-3</v>
      </c>
      <c r="AZ656">
        <v>-1.4599999999999999E-3</v>
      </c>
      <c r="BA656">
        <v>2.7200000000000002E-3</v>
      </c>
      <c r="BB656">
        <v>-6.4000000000000005E-4</v>
      </c>
      <c r="BC656">
        <v>0.53827000000000003</v>
      </c>
      <c r="BD656">
        <v>0.61199999999999999</v>
      </c>
      <c r="BE656" t="s">
        <v>635</v>
      </c>
      <c r="BF656">
        <v>-1.494</v>
      </c>
      <c r="BG656">
        <v>-1.357</v>
      </c>
    </row>
    <row r="657" spans="1:59">
      <c r="A657">
        <v>0</v>
      </c>
      <c r="B657">
        <v>10</v>
      </c>
      <c r="C657">
        <v>3</v>
      </c>
      <c r="D657" t="s">
        <v>25022</v>
      </c>
      <c r="E657">
        <v>2594</v>
      </c>
      <c r="F657" t="s">
        <v>15181</v>
      </c>
      <c r="G657" t="s">
        <v>62</v>
      </c>
      <c r="H657">
        <v>2575720</v>
      </c>
      <c r="I657">
        <v>2576187</v>
      </c>
      <c r="J657" t="s">
        <v>116</v>
      </c>
      <c r="K657">
        <v>156</v>
      </c>
      <c r="L657" t="s">
        <v>108</v>
      </c>
      <c r="M657">
        <v>44</v>
      </c>
      <c r="N657" t="str">
        <f>HYPERLINK("Gene2594-zp_tree_all.dnd", "Gene2594-tree")</f>
        <v>Gene2594-tree</v>
      </c>
      <c r="O657">
        <v>3</v>
      </c>
      <c r="P657">
        <v>9</v>
      </c>
      <c r="Q657">
        <v>3</v>
      </c>
      <c r="R657">
        <v>9</v>
      </c>
      <c r="S657">
        <v>0.75</v>
      </c>
      <c r="T657" t="s">
        <v>324</v>
      </c>
      <c r="U657" t="s">
        <v>135</v>
      </c>
      <c r="V657" t="s">
        <v>62</v>
      </c>
      <c r="W657" t="s">
        <v>62</v>
      </c>
      <c r="X657">
        <v>5</v>
      </c>
      <c r="Y657">
        <v>13</v>
      </c>
      <c r="Z657">
        <v>7</v>
      </c>
      <c r="AA657">
        <v>0.65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6</v>
      </c>
      <c r="AH657">
        <v>3</v>
      </c>
      <c r="AI657">
        <v>9</v>
      </c>
      <c r="AJ657">
        <v>6</v>
      </c>
      <c r="AK657">
        <v>0.6</v>
      </c>
      <c r="AL657">
        <v>8</v>
      </c>
      <c r="AM657">
        <v>7</v>
      </c>
      <c r="AN657">
        <v>7</v>
      </c>
      <c r="AO657">
        <v>10</v>
      </c>
      <c r="AP657">
        <v>10</v>
      </c>
      <c r="AQ657">
        <v>10</v>
      </c>
      <c r="AR657" t="s">
        <v>15182</v>
      </c>
      <c r="AS657" t="s">
        <v>15183</v>
      </c>
      <c r="AT657">
        <v>0.82</v>
      </c>
      <c r="AU657" t="s">
        <v>65</v>
      </c>
      <c r="AV657">
        <v>17</v>
      </c>
      <c r="AW657">
        <v>20</v>
      </c>
      <c r="AX657" t="s">
        <v>15184</v>
      </c>
      <c r="AY657">
        <v>4.4240000000000002E-2</v>
      </c>
      <c r="AZ657">
        <v>-2.4299999999999999E-3</v>
      </c>
      <c r="BA657">
        <v>1.1480000000000001E-2</v>
      </c>
      <c r="BB657">
        <v>-6.6E-4</v>
      </c>
      <c r="BC657">
        <v>0.25945000000000001</v>
      </c>
      <c r="BD657">
        <v>1</v>
      </c>
      <c r="BE657" t="s">
        <v>69</v>
      </c>
      <c r="BF657">
        <v>-0.14799999999999999</v>
      </c>
      <c r="BG657">
        <v>-0.83099999999999996</v>
      </c>
    </row>
    <row r="658" spans="1:59">
      <c r="A658">
        <v>0</v>
      </c>
      <c r="B658">
        <v>11</v>
      </c>
      <c r="C658">
        <v>6</v>
      </c>
      <c r="D658" t="s">
        <v>25022</v>
      </c>
      <c r="E658">
        <v>4174</v>
      </c>
      <c r="F658" t="s">
        <v>24572</v>
      </c>
      <c r="G658" t="s">
        <v>62</v>
      </c>
      <c r="H658">
        <v>4139682</v>
      </c>
      <c r="I658">
        <v>4140149</v>
      </c>
      <c r="J658" t="s">
        <v>3718</v>
      </c>
      <c r="K658">
        <v>156</v>
      </c>
      <c r="L658" t="s">
        <v>1174</v>
      </c>
      <c r="M658">
        <v>42</v>
      </c>
      <c r="N658" t="str">
        <f>HYPERLINK("Gene4174-zp_tree_all.dnd", "Gene4174-tree")</f>
        <v>Gene4174-tree</v>
      </c>
      <c r="O658">
        <v>4</v>
      </c>
      <c r="P658">
        <v>27</v>
      </c>
      <c r="Q658">
        <v>4</v>
      </c>
      <c r="R658">
        <v>10</v>
      </c>
      <c r="S658">
        <v>0.71428999999999998</v>
      </c>
      <c r="T658" t="s">
        <v>61</v>
      </c>
      <c r="U658" t="s">
        <v>2980</v>
      </c>
      <c r="V658">
        <v>1.81</v>
      </c>
      <c r="W658" t="s">
        <v>65</v>
      </c>
      <c r="X658">
        <v>7</v>
      </c>
      <c r="Y658">
        <v>17</v>
      </c>
      <c r="Z658">
        <v>10</v>
      </c>
      <c r="AA658">
        <v>0.62963000000000002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4</v>
      </c>
      <c r="AH658">
        <v>6</v>
      </c>
      <c r="AI658">
        <v>10</v>
      </c>
      <c r="AJ658">
        <v>11</v>
      </c>
      <c r="AK658">
        <v>0.47619</v>
      </c>
      <c r="AL658">
        <v>9</v>
      </c>
      <c r="AM658">
        <v>9</v>
      </c>
      <c r="AN658">
        <v>20</v>
      </c>
      <c r="AO658">
        <v>18</v>
      </c>
      <c r="AP658">
        <v>23</v>
      </c>
      <c r="AQ658">
        <v>9</v>
      </c>
      <c r="AR658" t="s">
        <v>24573</v>
      </c>
      <c r="AS658" t="s">
        <v>24574</v>
      </c>
      <c r="AT658">
        <v>1.919</v>
      </c>
      <c r="AU658" t="s">
        <v>65</v>
      </c>
      <c r="AV658">
        <v>43</v>
      </c>
      <c r="AW658">
        <v>27</v>
      </c>
      <c r="AX658" t="s">
        <v>24575</v>
      </c>
      <c r="AY658">
        <v>8.2839999999999997E-2</v>
      </c>
      <c r="AZ658">
        <v>-4.3899999999999998E-3</v>
      </c>
      <c r="BA658">
        <v>1.3860000000000001E-2</v>
      </c>
      <c r="BB658">
        <v>-6.0999999999999997E-4</v>
      </c>
      <c r="BC658">
        <v>0.16733000000000001</v>
      </c>
      <c r="BD658">
        <v>1</v>
      </c>
      <c r="BE658" t="s">
        <v>69</v>
      </c>
      <c r="BF658">
        <v>-0.438</v>
      </c>
      <c r="BG658">
        <v>-0.77200000000000002</v>
      </c>
    </row>
    <row r="659" spans="1:59">
      <c r="A659">
        <v>0</v>
      </c>
      <c r="B659">
        <v>4</v>
      </c>
      <c r="C659">
        <v>0</v>
      </c>
      <c r="D659" t="s">
        <v>25022</v>
      </c>
      <c r="E659">
        <v>1820</v>
      </c>
      <c r="F659" t="s">
        <v>11403</v>
      </c>
      <c r="G659" t="s">
        <v>57</v>
      </c>
      <c r="H659">
        <v>1886057</v>
      </c>
      <c r="I659">
        <v>1886524</v>
      </c>
      <c r="J659" t="s">
        <v>11371</v>
      </c>
      <c r="K659">
        <v>156</v>
      </c>
      <c r="L659" t="s">
        <v>11404</v>
      </c>
      <c r="M659">
        <v>35</v>
      </c>
      <c r="N659" t="str">
        <f>HYPERLINK("Gene1820-zp_tree_all.dnd", "Gene1820-tree")</f>
        <v>Gene1820-tree</v>
      </c>
      <c r="O659">
        <v>1</v>
      </c>
      <c r="P659">
        <v>6</v>
      </c>
      <c r="Q659">
        <v>1</v>
      </c>
      <c r="R659">
        <v>6</v>
      </c>
      <c r="S659">
        <v>0.85714000000000001</v>
      </c>
      <c r="T659" t="s">
        <v>175</v>
      </c>
      <c r="U659" t="s">
        <v>90</v>
      </c>
      <c r="V659" t="s">
        <v>62</v>
      </c>
      <c r="W659" t="s">
        <v>62</v>
      </c>
      <c r="X659">
        <v>2</v>
      </c>
      <c r="Y659">
        <v>4</v>
      </c>
      <c r="Z659">
        <v>8</v>
      </c>
      <c r="AA659">
        <v>0.33333000000000002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4</v>
      </c>
      <c r="AI659">
        <v>4</v>
      </c>
      <c r="AJ659">
        <v>7</v>
      </c>
      <c r="AK659">
        <v>0.36364000000000002</v>
      </c>
      <c r="AL659">
        <v>5</v>
      </c>
      <c r="AM659">
        <v>3</v>
      </c>
      <c r="AN659">
        <v>17</v>
      </c>
      <c r="AO659">
        <v>8</v>
      </c>
      <c r="AP659">
        <v>6</v>
      </c>
      <c r="AQ659">
        <v>4</v>
      </c>
      <c r="AR659" t="s">
        <v>11405</v>
      </c>
      <c r="AS659" t="s">
        <v>11406</v>
      </c>
      <c r="AT659">
        <v>0.39400000000000002</v>
      </c>
      <c r="AU659" t="s">
        <v>65</v>
      </c>
      <c r="AV659">
        <v>23</v>
      </c>
      <c r="AW659">
        <v>12</v>
      </c>
      <c r="AX659" t="s">
        <v>11407</v>
      </c>
      <c r="AY659">
        <v>8.2860000000000003E-2</v>
      </c>
      <c r="AZ659">
        <v>-1.3979999999999999E-2</v>
      </c>
      <c r="BA659">
        <v>1.061E-2</v>
      </c>
      <c r="BB659">
        <v>-9.3999999999999997E-4</v>
      </c>
      <c r="BC659">
        <v>0.12806000000000001</v>
      </c>
      <c r="BD659">
        <v>1</v>
      </c>
      <c r="BE659" t="s">
        <v>69</v>
      </c>
      <c r="BF659">
        <v>1.125</v>
      </c>
      <c r="BG659">
        <v>0.82199999999999995</v>
      </c>
    </row>
    <row r="660" spans="1:59">
      <c r="A660">
        <v>0</v>
      </c>
      <c r="B660">
        <v>6</v>
      </c>
      <c r="C660">
        <v>0</v>
      </c>
      <c r="D660" t="s">
        <v>25022</v>
      </c>
      <c r="E660">
        <v>3894</v>
      </c>
      <c r="F660" t="s">
        <v>22831</v>
      </c>
      <c r="G660" t="s">
        <v>62</v>
      </c>
      <c r="H660">
        <v>3858420</v>
      </c>
      <c r="I660">
        <v>3858887</v>
      </c>
      <c r="J660" t="s">
        <v>637</v>
      </c>
      <c r="K660">
        <v>156</v>
      </c>
      <c r="L660" t="s">
        <v>108</v>
      </c>
      <c r="M660">
        <v>44</v>
      </c>
      <c r="N660" t="str">
        <f>HYPERLINK("Gene3894-zp_tree_all.dnd", "Gene3894-tree")</f>
        <v>Gene3894-tree</v>
      </c>
      <c r="O660">
        <v>6</v>
      </c>
      <c r="P660">
        <v>6</v>
      </c>
      <c r="Q660">
        <v>6</v>
      </c>
      <c r="R660">
        <v>6</v>
      </c>
      <c r="S660">
        <v>0.5</v>
      </c>
      <c r="T660" t="s">
        <v>90</v>
      </c>
      <c r="U660" t="s">
        <v>90</v>
      </c>
      <c r="V660" t="s">
        <v>62</v>
      </c>
      <c r="W660" t="s">
        <v>62</v>
      </c>
      <c r="X660">
        <v>3</v>
      </c>
      <c r="Y660">
        <v>6</v>
      </c>
      <c r="Z660">
        <v>4</v>
      </c>
      <c r="AA660">
        <v>0.6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</v>
      </c>
      <c r="AH660">
        <v>0</v>
      </c>
      <c r="AI660">
        <v>2</v>
      </c>
      <c r="AJ660">
        <v>5</v>
      </c>
      <c r="AK660">
        <v>0.28571000000000002</v>
      </c>
      <c r="AL660">
        <v>9</v>
      </c>
      <c r="AM660">
        <v>9</v>
      </c>
      <c r="AN660">
        <v>26</v>
      </c>
      <c r="AO660">
        <v>5</v>
      </c>
      <c r="AP660">
        <v>13</v>
      </c>
      <c r="AQ660">
        <v>5</v>
      </c>
      <c r="AR660" t="s">
        <v>22832</v>
      </c>
      <c r="AS660" t="s">
        <v>22833</v>
      </c>
      <c r="AT660">
        <v>0.57299999999999995</v>
      </c>
      <c r="AU660" t="s">
        <v>65</v>
      </c>
      <c r="AV660">
        <v>39</v>
      </c>
      <c r="AW660">
        <v>10</v>
      </c>
      <c r="AX660" t="s">
        <v>22834</v>
      </c>
      <c r="AY660">
        <v>7.8020000000000006E-2</v>
      </c>
      <c r="AZ660">
        <v>-3.96E-3</v>
      </c>
      <c r="BA660">
        <v>7.0200000000000002E-3</v>
      </c>
      <c r="BB660">
        <v>-5.0000000000000001E-4</v>
      </c>
      <c r="BC660">
        <v>8.9940000000000006E-2</v>
      </c>
      <c r="BD660">
        <v>1</v>
      </c>
      <c r="BE660" t="s">
        <v>69</v>
      </c>
      <c r="BF660">
        <v>-0.51500000000000001</v>
      </c>
      <c r="BG660">
        <v>-0.35699999999999998</v>
      </c>
    </row>
    <row r="661" spans="1:59">
      <c r="A661">
        <v>0</v>
      </c>
      <c r="B661">
        <v>7</v>
      </c>
      <c r="C661">
        <v>0</v>
      </c>
      <c r="D661" t="s">
        <v>25022</v>
      </c>
      <c r="E661">
        <v>2469</v>
      </c>
      <c r="F661" t="s">
        <v>14386</v>
      </c>
      <c r="G661" t="s">
        <v>62</v>
      </c>
      <c r="H661">
        <v>2463574</v>
      </c>
      <c r="I661">
        <v>2464041</v>
      </c>
      <c r="J661" t="s">
        <v>3718</v>
      </c>
      <c r="K661">
        <v>156</v>
      </c>
      <c r="L661" t="s">
        <v>13085</v>
      </c>
      <c r="M661">
        <v>46</v>
      </c>
      <c r="N661" t="str">
        <f>HYPERLINK("Gene2469-zp_tree_all.dnd", "Gene2469-tree")</f>
        <v>Gene2469-tree</v>
      </c>
      <c r="O661">
        <v>5</v>
      </c>
      <c r="P661">
        <v>10</v>
      </c>
      <c r="Q661">
        <v>5</v>
      </c>
      <c r="R661">
        <v>10</v>
      </c>
      <c r="S661">
        <v>0.66666999999999998</v>
      </c>
      <c r="T661" t="s">
        <v>199</v>
      </c>
      <c r="U661" t="s">
        <v>117</v>
      </c>
      <c r="V661" t="s">
        <v>62</v>
      </c>
      <c r="W661" t="s">
        <v>62</v>
      </c>
      <c r="X661">
        <v>3</v>
      </c>
      <c r="Y661">
        <v>7</v>
      </c>
      <c r="Z661">
        <v>8</v>
      </c>
      <c r="AA661">
        <v>0.46666999999999997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6</v>
      </c>
      <c r="AH661">
        <v>0</v>
      </c>
      <c r="AI661">
        <v>6</v>
      </c>
      <c r="AJ661">
        <v>6</v>
      </c>
      <c r="AK661">
        <v>0.5</v>
      </c>
      <c r="AL661">
        <v>12</v>
      </c>
      <c r="AM661">
        <v>8</v>
      </c>
      <c r="AN661">
        <v>14</v>
      </c>
      <c r="AO661">
        <v>12</v>
      </c>
      <c r="AP661">
        <v>20</v>
      </c>
      <c r="AQ661">
        <v>3</v>
      </c>
      <c r="AR661" t="s">
        <v>14387</v>
      </c>
      <c r="AS661" t="s">
        <v>14388</v>
      </c>
      <c r="AT661">
        <v>0.98499999999999999</v>
      </c>
      <c r="AU661" t="s">
        <v>65</v>
      </c>
      <c r="AV661">
        <v>34</v>
      </c>
      <c r="AW661">
        <v>15</v>
      </c>
      <c r="AX661" t="s">
        <v>14389</v>
      </c>
      <c r="AY661">
        <v>7.485E-2</v>
      </c>
      <c r="AZ661">
        <v>-7.1500000000000001E-3</v>
      </c>
      <c r="BA661">
        <v>6.0800000000000003E-3</v>
      </c>
      <c r="BB661">
        <v>-3.3E-4</v>
      </c>
      <c r="BC661">
        <v>8.1170000000000006E-2</v>
      </c>
      <c r="BD661">
        <v>1</v>
      </c>
      <c r="BE661" t="s">
        <v>69</v>
      </c>
      <c r="BF661">
        <v>-0.83799999999999997</v>
      </c>
      <c r="BG661">
        <v>-1.861</v>
      </c>
    </row>
    <row r="662" spans="1:59">
      <c r="A662">
        <v>0</v>
      </c>
      <c r="B662">
        <v>0</v>
      </c>
      <c r="C662">
        <v>0</v>
      </c>
      <c r="D662" t="s">
        <v>25022</v>
      </c>
      <c r="E662">
        <v>1706</v>
      </c>
      <c r="F662" t="s">
        <v>10696</v>
      </c>
      <c r="G662" t="s">
        <v>57</v>
      </c>
      <c r="H662">
        <v>1714855</v>
      </c>
      <c r="I662">
        <v>1715322</v>
      </c>
      <c r="J662" t="s">
        <v>10697</v>
      </c>
      <c r="K662">
        <v>156</v>
      </c>
      <c r="L662" t="s">
        <v>59</v>
      </c>
      <c r="M662">
        <v>49</v>
      </c>
      <c r="N662" t="str">
        <f>HYPERLINK("Gene1706-zp_tree_all.dnd", "Gene1706-tree")</f>
        <v>Gene1706-tree</v>
      </c>
      <c r="O662">
        <v>11</v>
      </c>
      <c r="P662">
        <v>2</v>
      </c>
      <c r="Q662">
        <v>11</v>
      </c>
      <c r="R662">
        <v>2</v>
      </c>
      <c r="S662">
        <v>0.15384999999999999</v>
      </c>
      <c r="T662" t="s">
        <v>73</v>
      </c>
      <c r="U662" t="s">
        <v>81</v>
      </c>
      <c r="V662" t="s">
        <v>62</v>
      </c>
      <c r="W662" t="s">
        <v>62</v>
      </c>
      <c r="X662">
        <v>0</v>
      </c>
      <c r="Y662">
        <v>0</v>
      </c>
      <c r="Z662">
        <v>8</v>
      </c>
      <c r="AA662">
        <v>0</v>
      </c>
      <c r="AB662">
        <v>0</v>
      </c>
      <c r="AC662">
        <v>0</v>
      </c>
      <c r="AD662">
        <v>0</v>
      </c>
      <c r="AE662">
        <v>2</v>
      </c>
      <c r="AF662">
        <v>0</v>
      </c>
      <c r="AG662">
        <v>0</v>
      </c>
      <c r="AH662">
        <v>0</v>
      </c>
      <c r="AI662">
        <v>0</v>
      </c>
      <c r="AJ662">
        <v>2</v>
      </c>
      <c r="AK662">
        <v>0</v>
      </c>
      <c r="AL662">
        <v>10</v>
      </c>
      <c r="AM662">
        <v>5</v>
      </c>
      <c r="AN662">
        <v>13</v>
      </c>
      <c r="AO662">
        <v>2</v>
      </c>
      <c r="AP662">
        <v>21</v>
      </c>
      <c r="AQ662">
        <v>6</v>
      </c>
      <c r="AR662" t="s">
        <v>10698</v>
      </c>
      <c r="AS662" t="s">
        <v>10699</v>
      </c>
      <c r="AT662">
        <v>0.436</v>
      </c>
      <c r="AU662" t="s">
        <v>65</v>
      </c>
      <c r="AV662">
        <v>34</v>
      </c>
      <c r="AW662">
        <v>8</v>
      </c>
      <c r="AX662" t="s">
        <v>10700</v>
      </c>
      <c r="AY662">
        <v>0.10145999999999999</v>
      </c>
      <c r="AZ662">
        <v>-8.0400000000000003E-3</v>
      </c>
      <c r="BA662">
        <v>7.4099999999999999E-3</v>
      </c>
      <c r="BB662">
        <v>-6.4000000000000005E-4</v>
      </c>
      <c r="BC662">
        <v>7.3010000000000005E-2</v>
      </c>
      <c r="BD662">
        <v>1</v>
      </c>
      <c r="BE662" t="s">
        <v>69</v>
      </c>
      <c r="BF662">
        <v>-1.512</v>
      </c>
      <c r="BG662">
        <v>-0.56499999999999995</v>
      </c>
    </row>
    <row r="663" spans="1:59">
      <c r="A663">
        <v>0</v>
      </c>
      <c r="B663">
        <v>2</v>
      </c>
      <c r="C663">
        <v>0</v>
      </c>
      <c r="D663" t="s">
        <v>25022</v>
      </c>
      <c r="E663">
        <v>822</v>
      </c>
      <c r="F663" t="s">
        <v>5120</v>
      </c>
      <c r="G663" t="s">
        <v>57</v>
      </c>
      <c r="H663">
        <v>862004</v>
      </c>
      <c r="I663">
        <v>862471</v>
      </c>
      <c r="J663" t="s">
        <v>5121</v>
      </c>
      <c r="K663">
        <v>156</v>
      </c>
      <c r="L663" t="s">
        <v>5122</v>
      </c>
      <c r="M663">
        <v>32</v>
      </c>
      <c r="N663" t="str">
        <f>HYPERLINK("Gene822-zp_tree_all.dnd", "Gene822-tree")</f>
        <v>Gene822-tree</v>
      </c>
      <c r="O663">
        <v>7</v>
      </c>
      <c r="P663">
        <v>2</v>
      </c>
      <c r="Q663">
        <v>7</v>
      </c>
      <c r="R663">
        <v>2</v>
      </c>
      <c r="S663">
        <v>0.22222</v>
      </c>
      <c r="T663" t="s">
        <v>152</v>
      </c>
      <c r="U663" t="s">
        <v>81</v>
      </c>
      <c r="V663" t="s">
        <v>62</v>
      </c>
      <c r="W663" t="s">
        <v>62</v>
      </c>
      <c r="X663">
        <v>1</v>
      </c>
      <c r="Y663">
        <v>2</v>
      </c>
      <c r="Z663">
        <v>5</v>
      </c>
      <c r="AA663">
        <v>0.28571000000000002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3</v>
      </c>
      <c r="AK663">
        <v>0</v>
      </c>
      <c r="AL663">
        <v>6</v>
      </c>
      <c r="AM663">
        <v>6</v>
      </c>
      <c r="AN663">
        <v>7</v>
      </c>
      <c r="AO663">
        <v>3</v>
      </c>
      <c r="AP663">
        <v>22</v>
      </c>
      <c r="AQ663">
        <v>4</v>
      </c>
      <c r="AR663" t="s">
        <v>5123</v>
      </c>
      <c r="AS663" t="s">
        <v>5124</v>
      </c>
      <c r="AT663">
        <v>0.56899999999999995</v>
      </c>
      <c r="AU663" t="s">
        <v>65</v>
      </c>
      <c r="AV663">
        <v>29</v>
      </c>
      <c r="AW663">
        <v>7</v>
      </c>
      <c r="AX663" t="s">
        <v>5125</v>
      </c>
      <c r="AY663">
        <v>0.13741</v>
      </c>
      <c r="AZ663">
        <v>-1.4630000000000001E-2</v>
      </c>
      <c r="BA663">
        <v>7.0000000000000001E-3</v>
      </c>
      <c r="BB663">
        <v>-5.8E-4</v>
      </c>
      <c r="BC663">
        <v>5.092E-2</v>
      </c>
      <c r="BD663">
        <v>1</v>
      </c>
      <c r="BE663" t="s">
        <v>69</v>
      </c>
      <c r="BF663">
        <v>0.27500000000000002</v>
      </c>
      <c r="BG663">
        <v>0.30399999999999999</v>
      </c>
    </row>
    <row r="664" spans="1:59">
      <c r="A664">
        <v>0</v>
      </c>
      <c r="B664">
        <v>0</v>
      </c>
      <c r="C664">
        <v>0</v>
      </c>
      <c r="D664" t="s">
        <v>25022</v>
      </c>
      <c r="E664">
        <v>1721</v>
      </c>
      <c r="F664" t="s">
        <v>10796</v>
      </c>
      <c r="G664" t="s">
        <v>57</v>
      </c>
      <c r="H664">
        <v>1731776</v>
      </c>
      <c r="I664">
        <v>1732243</v>
      </c>
      <c r="J664" t="s">
        <v>10797</v>
      </c>
      <c r="K664">
        <v>156</v>
      </c>
      <c r="L664" t="s">
        <v>59</v>
      </c>
      <c r="M664">
        <v>49</v>
      </c>
      <c r="N664" t="str">
        <f>HYPERLINK("Gene1721-zp_tree_all.dnd", "Gene1721-tree")</f>
        <v>Gene1721-tree</v>
      </c>
      <c r="O664">
        <v>6</v>
      </c>
      <c r="P664">
        <v>2</v>
      </c>
      <c r="Q664">
        <v>6</v>
      </c>
      <c r="R664">
        <v>2</v>
      </c>
      <c r="S664">
        <v>0.25</v>
      </c>
      <c r="T664" t="s">
        <v>90</v>
      </c>
      <c r="U664" t="s">
        <v>81</v>
      </c>
      <c r="V664" t="s">
        <v>62</v>
      </c>
      <c r="W664" t="s">
        <v>62</v>
      </c>
      <c r="X664">
        <v>0</v>
      </c>
      <c r="Y664">
        <v>0</v>
      </c>
      <c r="Z664">
        <v>3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2</v>
      </c>
      <c r="AK664">
        <v>0</v>
      </c>
      <c r="AL664">
        <v>6</v>
      </c>
      <c r="AM664">
        <v>5</v>
      </c>
      <c r="AN664">
        <v>4</v>
      </c>
      <c r="AO664">
        <v>3</v>
      </c>
      <c r="AP664">
        <v>16</v>
      </c>
      <c r="AQ664">
        <v>1</v>
      </c>
      <c r="AR664" t="s">
        <v>10798</v>
      </c>
      <c r="AS664" t="s">
        <v>10799</v>
      </c>
      <c r="AT664">
        <v>0.78600000000000003</v>
      </c>
      <c r="AU664" t="s">
        <v>65</v>
      </c>
      <c r="AV664">
        <v>20</v>
      </c>
      <c r="AW664">
        <v>4</v>
      </c>
      <c r="AX664" t="s">
        <v>10800</v>
      </c>
      <c r="AY664">
        <v>8.6929999999999993E-2</v>
      </c>
      <c r="AZ664">
        <v>-7.9100000000000004E-3</v>
      </c>
      <c r="BA664">
        <v>3.7200000000000002E-3</v>
      </c>
      <c r="BB664">
        <v>-5.4000000000000001E-4</v>
      </c>
      <c r="BC664">
        <v>4.2750000000000003E-2</v>
      </c>
      <c r="BD664">
        <v>1</v>
      </c>
      <c r="BE664" t="s">
        <v>69</v>
      </c>
      <c r="BF664">
        <v>-1.6679999999999999</v>
      </c>
      <c r="BG664">
        <v>-0.32900000000000001</v>
      </c>
    </row>
    <row r="665" spans="1:59">
      <c r="A665">
        <v>0</v>
      </c>
      <c r="B665">
        <v>0</v>
      </c>
      <c r="C665">
        <v>0</v>
      </c>
      <c r="D665" t="s">
        <v>25022</v>
      </c>
      <c r="E665">
        <v>3487</v>
      </c>
      <c r="F665" t="s">
        <v>20433</v>
      </c>
      <c r="G665" t="s">
        <v>62</v>
      </c>
      <c r="H665">
        <v>3451251</v>
      </c>
      <c r="I665">
        <v>3451718</v>
      </c>
      <c r="J665" t="s">
        <v>20434</v>
      </c>
      <c r="K665">
        <v>156</v>
      </c>
      <c r="L665" t="s">
        <v>59</v>
      </c>
      <c r="M665">
        <v>49</v>
      </c>
      <c r="N665" t="str">
        <f>HYPERLINK("Gene3487-zp_tree_all.dnd", "Gene3487-tree")</f>
        <v>Gene3487-tree</v>
      </c>
      <c r="O665">
        <v>18</v>
      </c>
      <c r="P665">
        <v>0</v>
      </c>
      <c r="Q665">
        <v>18</v>
      </c>
      <c r="R665">
        <v>0</v>
      </c>
      <c r="S665">
        <v>0</v>
      </c>
      <c r="T665" t="s">
        <v>144</v>
      </c>
      <c r="U665" t="s">
        <v>62</v>
      </c>
      <c r="V665" t="s">
        <v>62</v>
      </c>
      <c r="W665" t="s">
        <v>62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11</v>
      </c>
      <c r="AM665">
        <v>10</v>
      </c>
      <c r="AN665">
        <v>28</v>
      </c>
      <c r="AO665">
        <v>0</v>
      </c>
      <c r="AP665">
        <v>17</v>
      </c>
      <c r="AQ665">
        <v>0</v>
      </c>
      <c r="AR665" t="s">
        <v>193</v>
      </c>
      <c r="AS665" t="s">
        <v>193</v>
      </c>
      <c r="AT665">
        <v>0</v>
      </c>
      <c r="AU665" t="s">
        <v>65</v>
      </c>
      <c r="AV665">
        <v>45</v>
      </c>
      <c r="AW665">
        <v>0</v>
      </c>
      <c r="AX665" t="s">
        <v>20435</v>
      </c>
      <c r="AY665">
        <v>7.6050000000000006E-2</v>
      </c>
      <c r="AZ665">
        <v>-4.0000000000000001E-3</v>
      </c>
      <c r="BA665">
        <v>0</v>
      </c>
      <c r="BB665">
        <v>0</v>
      </c>
      <c r="BC665">
        <v>0</v>
      </c>
      <c r="BD665">
        <v>1</v>
      </c>
      <c r="BE665" t="s">
        <v>69</v>
      </c>
      <c r="BF665">
        <v>-1.6180000000000001</v>
      </c>
      <c r="BG665">
        <v>-2.5739999999999998</v>
      </c>
    </row>
    <row r="666" spans="1:59">
      <c r="A666">
        <v>0</v>
      </c>
      <c r="B666">
        <v>0</v>
      </c>
      <c r="C666">
        <v>0</v>
      </c>
      <c r="D666" t="s">
        <v>25022</v>
      </c>
      <c r="E666">
        <v>111</v>
      </c>
      <c r="F666" t="s">
        <v>849</v>
      </c>
      <c r="G666" t="s">
        <v>57</v>
      </c>
      <c r="H666">
        <v>130160</v>
      </c>
      <c r="I666">
        <v>130627</v>
      </c>
      <c r="J666" t="s">
        <v>850</v>
      </c>
      <c r="K666">
        <v>156</v>
      </c>
      <c r="L666" t="s">
        <v>59</v>
      </c>
      <c r="M666">
        <v>49</v>
      </c>
      <c r="N666" t="str">
        <f>HYPERLINK("Gene111-zp_tree_all.dnd", "Gene111-tree")</f>
        <v>Gene111-tree</v>
      </c>
      <c r="O666">
        <v>11</v>
      </c>
      <c r="P666">
        <v>0</v>
      </c>
      <c r="Q666">
        <v>11</v>
      </c>
      <c r="R666">
        <v>0</v>
      </c>
      <c r="S666">
        <v>0</v>
      </c>
      <c r="T666" t="s">
        <v>73</v>
      </c>
      <c r="U666" t="s">
        <v>62</v>
      </c>
      <c r="V666" t="s">
        <v>62</v>
      </c>
      <c r="W666" t="s">
        <v>62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7</v>
      </c>
      <c r="AM666">
        <v>6</v>
      </c>
      <c r="AN666">
        <v>10</v>
      </c>
      <c r="AO666">
        <v>0</v>
      </c>
      <c r="AP666">
        <v>7</v>
      </c>
      <c r="AQ666">
        <v>0</v>
      </c>
      <c r="AR666" t="s">
        <v>193</v>
      </c>
      <c r="AS666" t="s">
        <v>193</v>
      </c>
      <c r="AT666">
        <v>0</v>
      </c>
      <c r="AU666" t="s">
        <v>65</v>
      </c>
      <c r="AV666">
        <v>17</v>
      </c>
      <c r="AW666">
        <v>0</v>
      </c>
      <c r="AX666" t="s">
        <v>851</v>
      </c>
      <c r="AY666">
        <v>4.6690000000000002E-2</v>
      </c>
      <c r="AZ666">
        <v>-2.9299999999999999E-3</v>
      </c>
      <c r="BA666">
        <v>0</v>
      </c>
      <c r="BB666">
        <v>0</v>
      </c>
      <c r="BC666">
        <v>0</v>
      </c>
      <c r="BD666">
        <v>1</v>
      </c>
      <c r="BE666" t="s">
        <v>69</v>
      </c>
      <c r="BF666">
        <v>-0.52300000000000002</v>
      </c>
      <c r="BG666">
        <v>-0.14699999999999999</v>
      </c>
    </row>
    <row r="667" spans="1:59">
      <c r="A667">
        <v>0</v>
      </c>
      <c r="B667">
        <v>15</v>
      </c>
      <c r="C667">
        <v>0</v>
      </c>
      <c r="D667" t="s">
        <v>25022</v>
      </c>
      <c r="E667">
        <v>578</v>
      </c>
      <c r="F667" t="s">
        <v>3717</v>
      </c>
      <c r="G667" t="s">
        <v>57</v>
      </c>
      <c r="H667">
        <v>604103</v>
      </c>
      <c r="I667">
        <v>604573</v>
      </c>
      <c r="J667" t="s">
        <v>3718</v>
      </c>
      <c r="K667">
        <v>157</v>
      </c>
      <c r="L667" t="s">
        <v>108</v>
      </c>
      <c r="M667">
        <v>44</v>
      </c>
      <c r="N667" t="str">
        <f>HYPERLINK("Gene578-zp_tree_all.dnd", "Gene578-tree")</f>
        <v>Gene578-tree</v>
      </c>
      <c r="O667">
        <v>3</v>
      </c>
      <c r="P667">
        <v>8</v>
      </c>
      <c r="Q667">
        <v>3</v>
      </c>
      <c r="R667">
        <v>8</v>
      </c>
      <c r="S667">
        <v>0.72726999999999997</v>
      </c>
      <c r="T667" t="s">
        <v>324</v>
      </c>
      <c r="U667" t="s">
        <v>136</v>
      </c>
      <c r="V667" t="s">
        <v>62</v>
      </c>
      <c r="W667" t="s">
        <v>62</v>
      </c>
      <c r="X667">
        <v>5</v>
      </c>
      <c r="Y667">
        <v>15</v>
      </c>
      <c r="Z667">
        <v>14</v>
      </c>
      <c r="AA667">
        <v>0.51724000000000003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7</v>
      </c>
      <c r="AH667">
        <v>2</v>
      </c>
      <c r="AI667">
        <v>9</v>
      </c>
      <c r="AJ667">
        <v>12</v>
      </c>
      <c r="AK667">
        <v>0.42857000000000001</v>
      </c>
      <c r="AL667">
        <v>11</v>
      </c>
      <c r="AM667">
        <v>7</v>
      </c>
      <c r="AN667">
        <v>24</v>
      </c>
      <c r="AO667">
        <v>21</v>
      </c>
      <c r="AP667">
        <v>10</v>
      </c>
      <c r="AQ667">
        <v>8</v>
      </c>
      <c r="AR667" t="s">
        <v>3719</v>
      </c>
      <c r="AS667" t="s">
        <v>3720</v>
      </c>
      <c r="AT667">
        <v>0.113</v>
      </c>
      <c r="AU667" t="s">
        <v>65</v>
      </c>
      <c r="AV667">
        <v>34</v>
      </c>
      <c r="AW667">
        <v>29</v>
      </c>
      <c r="AX667" t="s">
        <v>3721</v>
      </c>
      <c r="AY667">
        <v>7.4050000000000005E-2</v>
      </c>
      <c r="AZ667">
        <v>-5.0400000000000002E-3</v>
      </c>
      <c r="BA667">
        <v>1.405E-2</v>
      </c>
      <c r="BB667">
        <v>-8.4000000000000003E-4</v>
      </c>
      <c r="BC667">
        <v>0.18976999999999999</v>
      </c>
      <c r="BD667">
        <v>1</v>
      </c>
      <c r="BE667" t="s">
        <v>69</v>
      </c>
      <c r="BF667">
        <v>-1.2150000000000001</v>
      </c>
      <c r="BG667">
        <v>-2.7890000000000001</v>
      </c>
    </row>
    <row r="668" spans="1:59">
      <c r="A668">
        <v>0</v>
      </c>
      <c r="B668">
        <v>2</v>
      </c>
      <c r="C668">
        <v>0</v>
      </c>
      <c r="D668" t="s">
        <v>25022</v>
      </c>
      <c r="E668">
        <v>2779</v>
      </c>
      <c r="F668" t="s">
        <v>15955</v>
      </c>
      <c r="G668" t="s">
        <v>62</v>
      </c>
      <c r="H668">
        <v>2729756</v>
      </c>
      <c r="I668">
        <v>2730226</v>
      </c>
      <c r="J668" t="s">
        <v>15956</v>
      </c>
      <c r="K668">
        <v>157</v>
      </c>
      <c r="L668" t="s">
        <v>1392</v>
      </c>
      <c r="M668">
        <v>43</v>
      </c>
      <c r="N668" t="str">
        <f>HYPERLINK("Gene2779-zp_tree_all.dnd", "Gene2779-tree")</f>
        <v>Gene2779-tree</v>
      </c>
      <c r="O668">
        <v>12</v>
      </c>
      <c r="P668">
        <v>2</v>
      </c>
      <c r="Q668">
        <v>12</v>
      </c>
      <c r="R668">
        <v>2</v>
      </c>
      <c r="S668">
        <v>0.14285999999999999</v>
      </c>
      <c r="T668" t="s">
        <v>109</v>
      </c>
      <c r="U668" t="s">
        <v>81</v>
      </c>
      <c r="V668" t="s">
        <v>62</v>
      </c>
      <c r="W668" t="s">
        <v>62</v>
      </c>
      <c r="X668">
        <v>1</v>
      </c>
      <c r="Y668">
        <v>2</v>
      </c>
      <c r="Z668">
        <v>6</v>
      </c>
      <c r="AA668">
        <v>0.25</v>
      </c>
      <c r="AB668">
        <v>0</v>
      </c>
      <c r="AC668">
        <v>0</v>
      </c>
      <c r="AD668">
        <v>0</v>
      </c>
      <c r="AE668">
        <v>4</v>
      </c>
      <c r="AF668">
        <v>0</v>
      </c>
      <c r="AG668">
        <v>0</v>
      </c>
      <c r="AH668">
        <v>0</v>
      </c>
      <c r="AI668">
        <v>0</v>
      </c>
      <c r="AJ668">
        <v>4</v>
      </c>
      <c r="AK668">
        <v>0</v>
      </c>
      <c r="AL668">
        <v>8</v>
      </c>
      <c r="AM668">
        <v>6</v>
      </c>
      <c r="AN668">
        <v>11</v>
      </c>
      <c r="AO668">
        <v>4</v>
      </c>
      <c r="AP668">
        <v>6</v>
      </c>
      <c r="AQ668">
        <v>4</v>
      </c>
      <c r="AR668" t="s">
        <v>15957</v>
      </c>
      <c r="AS668" t="s">
        <v>15958</v>
      </c>
      <c r="AT668">
        <v>0.35299999999999998</v>
      </c>
      <c r="AU668" t="s">
        <v>65</v>
      </c>
      <c r="AV668">
        <v>17</v>
      </c>
      <c r="AW668">
        <v>8</v>
      </c>
      <c r="AX668" t="s">
        <v>15959</v>
      </c>
      <c r="AY668">
        <v>3.2840000000000001E-2</v>
      </c>
      <c r="AZ668">
        <v>-2.2899999999999999E-3</v>
      </c>
      <c r="BA668">
        <v>4.5100000000000001E-3</v>
      </c>
      <c r="BB668">
        <v>-4.0999999999999999E-4</v>
      </c>
      <c r="BC668">
        <v>0.13735</v>
      </c>
      <c r="BD668">
        <v>1</v>
      </c>
      <c r="BE668" t="s">
        <v>69</v>
      </c>
      <c r="BF668">
        <v>-0.36299999999999999</v>
      </c>
      <c r="BG668">
        <v>1.3180000000000001</v>
      </c>
    </row>
    <row r="669" spans="1:59">
      <c r="A669">
        <v>0</v>
      </c>
      <c r="B669">
        <v>0</v>
      </c>
      <c r="C669">
        <v>0</v>
      </c>
      <c r="D669" t="s">
        <v>25022</v>
      </c>
      <c r="E669">
        <v>1487</v>
      </c>
      <c r="F669" t="s">
        <v>9297</v>
      </c>
      <c r="G669" t="s">
        <v>57</v>
      </c>
      <c r="H669">
        <v>1498966</v>
      </c>
      <c r="I669">
        <v>1499436</v>
      </c>
      <c r="J669" t="s">
        <v>9298</v>
      </c>
      <c r="K669">
        <v>157</v>
      </c>
      <c r="L669" t="s">
        <v>160</v>
      </c>
      <c r="M669">
        <v>45</v>
      </c>
      <c r="N669" t="str">
        <f>HYPERLINK("Gene1487-zp_tree_all.dnd", "Gene1487-tree")</f>
        <v>Gene1487-tree</v>
      </c>
      <c r="O669">
        <v>8</v>
      </c>
      <c r="P669">
        <v>5</v>
      </c>
      <c r="Q669">
        <v>8</v>
      </c>
      <c r="R669">
        <v>5</v>
      </c>
      <c r="S669">
        <v>0.38462000000000002</v>
      </c>
      <c r="T669" t="s">
        <v>136</v>
      </c>
      <c r="U669" t="s">
        <v>199</v>
      </c>
      <c r="V669" t="s">
        <v>62</v>
      </c>
      <c r="W669" t="s">
        <v>62</v>
      </c>
      <c r="X669">
        <v>0</v>
      </c>
      <c r="Y669">
        <v>0</v>
      </c>
      <c r="Z669">
        <v>9</v>
      </c>
      <c r="AA669">
        <v>0</v>
      </c>
      <c r="AB669">
        <v>0</v>
      </c>
      <c r="AC669">
        <v>0</v>
      </c>
      <c r="AD669">
        <v>0</v>
      </c>
      <c r="AE669">
        <v>2</v>
      </c>
      <c r="AF669">
        <v>0</v>
      </c>
      <c r="AG669">
        <v>0</v>
      </c>
      <c r="AH669">
        <v>0</v>
      </c>
      <c r="AI669">
        <v>0</v>
      </c>
      <c r="AJ669">
        <v>7</v>
      </c>
      <c r="AK669">
        <v>0</v>
      </c>
      <c r="AL669">
        <v>10</v>
      </c>
      <c r="AM669">
        <v>5</v>
      </c>
      <c r="AN669">
        <v>25</v>
      </c>
      <c r="AO669">
        <v>7</v>
      </c>
      <c r="AP669">
        <v>4</v>
      </c>
      <c r="AQ669">
        <v>2</v>
      </c>
      <c r="AR669" t="s">
        <v>9299</v>
      </c>
      <c r="AS669" t="s">
        <v>9300</v>
      </c>
      <c r="AT669">
        <v>0.42499999999999999</v>
      </c>
      <c r="AU669" t="s">
        <v>65</v>
      </c>
      <c r="AV669">
        <v>29</v>
      </c>
      <c r="AW669">
        <v>9</v>
      </c>
      <c r="AX669" t="s">
        <v>9301</v>
      </c>
      <c r="AY669">
        <v>5.16E-2</v>
      </c>
      <c r="AZ669">
        <v>-6.9100000000000003E-3</v>
      </c>
      <c r="BA669">
        <v>4.5100000000000001E-3</v>
      </c>
      <c r="BB669">
        <v>-2.9E-4</v>
      </c>
      <c r="BC669">
        <v>8.7470000000000006E-2</v>
      </c>
      <c r="BD669">
        <v>1</v>
      </c>
      <c r="BE669" t="s">
        <v>69</v>
      </c>
      <c r="BF669">
        <v>-1.8180000000000001</v>
      </c>
      <c r="BG669">
        <v>-3.891</v>
      </c>
    </row>
    <row r="670" spans="1:59">
      <c r="A670">
        <v>0</v>
      </c>
      <c r="B670">
        <v>2</v>
      </c>
      <c r="C670">
        <v>0</v>
      </c>
      <c r="D670" t="s">
        <v>25022</v>
      </c>
      <c r="E670">
        <v>905</v>
      </c>
      <c r="F670" t="s">
        <v>5651</v>
      </c>
      <c r="G670" t="s">
        <v>57</v>
      </c>
      <c r="H670">
        <v>943891</v>
      </c>
      <c r="I670">
        <v>944361</v>
      </c>
      <c r="J670" t="s">
        <v>5652</v>
      </c>
      <c r="K670">
        <v>157</v>
      </c>
      <c r="L670" t="s">
        <v>108</v>
      </c>
      <c r="M670">
        <v>44</v>
      </c>
      <c r="N670" t="str">
        <f>HYPERLINK("Gene905-zp_tree_all.dnd", "Gene905-tree")</f>
        <v>Gene905-tree</v>
      </c>
      <c r="O670">
        <v>9</v>
      </c>
      <c r="P670">
        <v>3</v>
      </c>
      <c r="Q670">
        <v>9</v>
      </c>
      <c r="R670">
        <v>3</v>
      </c>
      <c r="S670">
        <v>0.25</v>
      </c>
      <c r="T670" t="s">
        <v>135</v>
      </c>
      <c r="U670" t="s">
        <v>324</v>
      </c>
      <c r="V670" t="s">
        <v>62</v>
      </c>
      <c r="W670" t="s">
        <v>62</v>
      </c>
      <c r="X670">
        <v>1</v>
      </c>
      <c r="Y670">
        <v>2</v>
      </c>
      <c r="Z670">
        <v>4</v>
      </c>
      <c r="AA670">
        <v>0.33333000000000002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3</v>
      </c>
      <c r="AK670">
        <v>0</v>
      </c>
      <c r="AL670">
        <v>11</v>
      </c>
      <c r="AM670">
        <v>6</v>
      </c>
      <c r="AN670">
        <v>19</v>
      </c>
      <c r="AO670">
        <v>3</v>
      </c>
      <c r="AP670">
        <v>9</v>
      </c>
      <c r="AQ670">
        <v>3</v>
      </c>
      <c r="AR670" t="s">
        <v>5653</v>
      </c>
      <c r="AS670" t="s">
        <v>5654</v>
      </c>
      <c r="AT670">
        <v>0.73</v>
      </c>
      <c r="AU670" t="s">
        <v>65</v>
      </c>
      <c r="AV670">
        <v>28</v>
      </c>
      <c r="AW670">
        <v>6</v>
      </c>
      <c r="AX670" t="s">
        <v>5655</v>
      </c>
      <c r="AY670">
        <v>5.7540000000000001E-2</v>
      </c>
      <c r="AZ670">
        <v>-2.7599999999999999E-3</v>
      </c>
      <c r="BA670">
        <v>3.65E-3</v>
      </c>
      <c r="BB670">
        <v>-2.9999999999999997E-4</v>
      </c>
      <c r="BC670">
        <v>6.3369999999999996E-2</v>
      </c>
      <c r="BD670">
        <v>1</v>
      </c>
      <c r="BE670" t="s">
        <v>69</v>
      </c>
      <c r="BF670">
        <v>-8.7999999999999995E-2</v>
      </c>
      <c r="BG670">
        <v>0.76700000000000002</v>
      </c>
    </row>
    <row r="671" spans="1:59">
      <c r="A671">
        <v>0</v>
      </c>
      <c r="B671">
        <v>0</v>
      </c>
      <c r="C671">
        <v>0</v>
      </c>
      <c r="D671" t="s">
        <v>25022</v>
      </c>
      <c r="E671">
        <v>2635</v>
      </c>
      <c r="F671" t="s">
        <v>15435</v>
      </c>
      <c r="G671" t="s">
        <v>62</v>
      </c>
      <c r="H671">
        <v>2611811</v>
      </c>
      <c r="I671">
        <v>2612281</v>
      </c>
      <c r="J671" t="s">
        <v>15436</v>
      </c>
      <c r="K671">
        <v>157</v>
      </c>
      <c r="L671" t="s">
        <v>108</v>
      </c>
      <c r="M671">
        <v>44</v>
      </c>
      <c r="N671" t="str">
        <f>HYPERLINK("Gene2635-zp_tree_all.dnd", "Gene2635-tree")</f>
        <v>Gene2635-tree</v>
      </c>
      <c r="O671">
        <v>10</v>
      </c>
      <c r="P671">
        <v>2</v>
      </c>
      <c r="Q671">
        <v>10</v>
      </c>
      <c r="R671">
        <v>2</v>
      </c>
      <c r="S671">
        <v>0.16667000000000001</v>
      </c>
      <c r="T671" t="s">
        <v>117</v>
      </c>
      <c r="U671" t="s">
        <v>81</v>
      </c>
      <c r="V671" t="s">
        <v>62</v>
      </c>
      <c r="W671" t="s">
        <v>62</v>
      </c>
      <c r="X671">
        <v>0</v>
      </c>
      <c r="Y671">
        <v>0</v>
      </c>
      <c r="Z671">
        <v>3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2</v>
      </c>
      <c r="AK671">
        <v>0</v>
      </c>
      <c r="AL671">
        <v>6</v>
      </c>
      <c r="AM671">
        <v>6</v>
      </c>
      <c r="AN671">
        <v>6</v>
      </c>
      <c r="AO671">
        <v>2</v>
      </c>
      <c r="AP671">
        <v>7</v>
      </c>
      <c r="AQ671">
        <v>1</v>
      </c>
      <c r="AR671" t="s">
        <v>15437</v>
      </c>
      <c r="AS671" t="s">
        <v>15438</v>
      </c>
      <c r="AT671">
        <v>0.437</v>
      </c>
      <c r="AU671" t="s">
        <v>65</v>
      </c>
      <c r="AV671">
        <v>13</v>
      </c>
      <c r="AW671">
        <v>3</v>
      </c>
      <c r="AX671" t="s">
        <v>15439</v>
      </c>
      <c r="AY671">
        <v>3.3079999999999998E-2</v>
      </c>
      <c r="AZ671">
        <v>-2.2399999999999998E-3</v>
      </c>
      <c r="BA671">
        <v>1.73E-3</v>
      </c>
      <c r="BB671">
        <v>-2.1000000000000001E-4</v>
      </c>
      <c r="BC671">
        <v>5.2229999999999999E-2</v>
      </c>
      <c r="BD671">
        <v>1</v>
      </c>
      <c r="BE671" t="s">
        <v>69</v>
      </c>
      <c r="BF671">
        <v>-0.28599999999999998</v>
      </c>
      <c r="BG671">
        <v>-9.2999999999999999E-2</v>
      </c>
    </row>
    <row r="672" spans="1:59">
      <c r="A672">
        <v>0</v>
      </c>
      <c r="B672">
        <v>2</v>
      </c>
      <c r="C672">
        <v>0</v>
      </c>
      <c r="D672" t="s">
        <v>25022</v>
      </c>
      <c r="E672">
        <v>3183</v>
      </c>
      <c r="F672" t="s">
        <v>18519</v>
      </c>
      <c r="G672" t="s">
        <v>62</v>
      </c>
      <c r="H672">
        <v>3137498</v>
      </c>
      <c r="I672">
        <v>3137968</v>
      </c>
      <c r="J672" t="s">
        <v>18520</v>
      </c>
      <c r="K672">
        <v>157</v>
      </c>
      <c r="L672" t="s">
        <v>572</v>
      </c>
      <c r="M672">
        <v>48</v>
      </c>
      <c r="N672" t="str">
        <f>HYPERLINK("Gene3183-zp_tree_all.dnd", "Gene3183-tree")</f>
        <v>Gene3183-tree</v>
      </c>
      <c r="O672">
        <v>10</v>
      </c>
      <c r="P672">
        <v>4</v>
      </c>
      <c r="Q672">
        <v>10</v>
      </c>
      <c r="R672">
        <v>4</v>
      </c>
      <c r="S672">
        <v>0.28571000000000002</v>
      </c>
      <c r="T672" t="s">
        <v>117</v>
      </c>
      <c r="U672" t="s">
        <v>61</v>
      </c>
      <c r="V672" t="s">
        <v>62</v>
      </c>
      <c r="W672" t="s">
        <v>62</v>
      </c>
      <c r="X672">
        <v>1</v>
      </c>
      <c r="Y672">
        <v>2</v>
      </c>
      <c r="Z672">
        <v>4</v>
      </c>
      <c r="AA672">
        <v>0.33333000000000002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</v>
      </c>
      <c r="AH672">
        <v>0</v>
      </c>
      <c r="AI672">
        <v>2</v>
      </c>
      <c r="AJ672">
        <v>4</v>
      </c>
      <c r="AK672">
        <v>0.33333000000000002</v>
      </c>
      <c r="AL672">
        <v>11</v>
      </c>
      <c r="AM672">
        <v>7</v>
      </c>
      <c r="AN672">
        <v>23</v>
      </c>
      <c r="AO672">
        <v>6</v>
      </c>
      <c r="AP672">
        <v>19</v>
      </c>
      <c r="AQ672">
        <v>0</v>
      </c>
      <c r="AR672" t="s">
        <v>18521</v>
      </c>
      <c r="AS672" t="s">
        <v>193</v>
      </c>
      <c r="AT672">
        <v>0.86199999999999999</v>
      </c>
      <c r="AU672" t="s">
        <v>65</v>
      </c>
      <c r="AV672">
        <v>42</v>
      </c>
      <c r="AW672">
        <v>6</v>
      </c>
      <c r="AX672" t="s">
        <v>18522</v>
      </c>
      <c r="AY672">
        <v>8.9560000000000001E-2</v>
      </c>
      <c r="AZ672">
        <v>-7.9900000000000006E-3</v>
      </c>
      <c r="BA672">
        <v>2.2799999999999999E-3</v>
      </c>
      <c r="BB672">
        <v>-2.7999999999999998E-4</v>
      </c>
      <c r="BC672">
        <v>2.545E-2</v>
      </c>
      <c r="BD672">
        <v>1</v>
      </c>
      <c r="BE672" t="s">
        <v>69</v>
      </c>
      <c r="BF672">
        <v>-1.5569999999999999</v>
      </c>
      <c r="BG672">
        <v>-2.323</v>
      </c>
    </row>
    <row r="673" spans="1:59">
      <c r="A673">
        <v>0</v>
      </c>
      <c r="B673">
        <v>0</v>
      </c>
      <c r="C673">
        <v>0</v>
      </c>
      <c r="D673" t="s">
        <v>25022</v>
      </c>
      <c r="E673">
        <v>2844</v>
      </c>
      <c r="F673" t="s">
        <v>16336</v>
      </c>
      <c r="G673" t="s">
        <v>62</v>
      </c>
      <c r="H673">
        <v>2791497</v>
      </c>
      <c r="I673">
        <v>2791967</v>
      </c>
      <c r="J673" t="s">
        <v>16337</v>
      </c>
      <c r="K673">
        <v>157</v>
      </c>
      <c r="L673" t="s">
        <v>59</v>
      </c>
      <c r="M673">
        <v>49</v>
      </c>
      <c r="N673" t="str">
        <f>HYPERLINK("Gene2844-zp_tree_all.dnd", "Gene2844-tree")</f>
        <v>Gene2844-tree</v>
      </c>
      <c r="O673">
        <v>12</v>
      </c>
      <c r="P673">
        <v>0</v>
      </c>
      <c r="Q673">
        <v>12</v>
      </c>
      <c r="R673">
        <v>0</v>
      </c>
      <c r="S673">
        <v>0</v>
      </c>
      <c r="T673" t="s">
        <v>109</v>
      </c>
      <c r="U673" t="s">
        <v>62</v>
      </c>
      <c r="V673" t="s">
        <v>62</v>
      </c>
      <c r="W673" t="s">
        <v>62</v>
      </c>
      <c r="X673">
        <v>0</v>
      </c>
      <c r="Y673">
        <v>0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8</v>
      </c>
      <c r="AM673">
        <v>7</v>
      </c>
      <c r="AN673">
        <v>14</v>
      </c>
      <c r="AO673">
        <v>0</v>
      </c>
      <c r="AP673">
        <v>23</v>
      </c>
      <c r="AQ673">
        <v>2</v>
      </c>
      <c r="AR673" t="s">
        <v>193</v>
      </c>
      <c r="AS673" t="s">
        <v>16338</v>
      </c>
      <c r="AT673">
        <v>0.745</v>
      </c>
      <c r="AU673" t="s">
        <v>65</v>
      </c>
      <c r="AV673">
        <v>37</v>
      </c>
      <c r="AW673">
        <v>2</v>
      </c>
      <c r="AX673" t="s">
        <v>16339</v>
      </c>
      <c r="AY673">
        <v>0.12324</v>
      </c>
      <c r="AZ673">
        <v>-9.4000000000000004E-3</v>
      </c>
      <c r="BA673">
        <v>2.2399999999999998E-3</v>
      </c>
      <c r="BB673">
        <v>-2.5000000000000001E-4</v>
      </c>
      <c r="BC673">
        <v>1.8200000000000001E-2</v>
      </c>
      <c r="BD673">
        <v>1</v>
      </c>
      <c r="BE673" t="s">
        <v>69</v>
      </c>
      <c r="BF673">
        <v>-1.2410000000000001</v>
      </c>
      <c r="BG673">
        <v>-0.35499999999999998</v>
      </c>
    </row>
    <row r="674" spans="1:59">
      <c r="A674">
        <v>0</v>
      </c>
      <c r="B674">
        <v>2</v>
      </c>
      <c r="C674">
        <v>2</v>
      </c>
      <c r="D674" t="s">
        <v>25022</v>
      </c>
      <c r="E674">
        <v>1472</v>
      </c>
      <c r="F674" t="s">
        <v>9198</v>
      </c>
      <c r="G674" t="s">
        <v>57</v>
      </c>
      <c r="H674">
        <v>1487038</v>
      </c>
      <c r="I674">
        <v>1487511</v>
      </c>
      <c r="J674" t="s">
        <v>9199</v>
      </c>
      <c r="K674">
        <v>158</v>
      </c>
      <c r="L674" t="s">
        <v>1557</v>
      </c>
      <c r="M674">
        <v>40</v>
      </c>
      <c r="N674" t="str">
        <f>HYPERLINK("Gene1472-zp_tree_all.dnd", "Gene1472-tree")</f>
        <v>Gene1472-tree</v>
      </c>
      <c r="O674">
        <v>3</v>
      </c>
      <c r="P674">
        <v>26</v>
      </c>
      <c r="Q674">
        <v>3</v>
      </c>
      <c r="R674">
        <v>7</v>
      </c>
      <c r="S674">
        <v>0.7</v>
      </c>
      <c r="T674" t="s">
        <v>324</v>
      </c>
      <c r="U674" t="s">
        <v>191</v>
      </c>
      <c r="V674">
        <v>2.2130000000000001</v>
      </c>
      <c r="W674" t="s">
        <v>65</v>
      </c>
      <c r="X674">
        <v>2</v>
      </c>
      <c r="Y674">
        <v>4</v>
      </c>
      <c r="Z674">
        <v>8</v>
      </c>
      <c r="AA674">
        <v>0.33333000000000002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2</v>
      </c>
      <c r="AJ674">
        <v>5</v>
      </c>
      <c r="AK674">
        <v>0.28571000000000002</v>
      </c>
      <c r="AL674">
        <v>8</v>
      </c>
      <c r="AM674">
        <v>5</v>
      </c>
      <c r="AN674">
        <v>9</v>
      </c>
      <c r="AO674">
        <v>6</v>
      </c>
      <c r="AP674">
        <v>3</v>
      </c>
      <c r="AQ674">
        <v>6</v>
      </c>
      <c r="AR674" t="s">
        <v>9200</v>
      </c>
      <c r="AS674" t="s">
        <v>9201</v>
      </c>
      <c r="AT674">
        <v>1.5449999999999999</v>
      </c>
      <c r="AU674" t="s">
        <v>65</v>
      </c>
      <c r="AV674">
        <v>12</v>
      </c>
      <c r="AW674">
        <v>12</v>
      </c>
      <c r="AX674" t="s">
        <v>9202</v>
      </c>
      <c r="AY674">
        <v>2.5020000000000001E-2</v>
      </c>
      <c r="AZ674">
        <v>-3.0000000000000001E-3</v>
      </c>
      <c r="BA674">
        <v>1.052E-2</v>
      </c>
      <c r="BB674">
        <v>-7.6999999999999996E-4</v>
      </c>
      <c r="BC674">
        <v>0.42032999999999998</v>
      </c>
      <c r="BD674">
        <v>0.78</v>
      </c>
      <c r="BE674" t="s">
        <v>635</v>
      </c>
      <c r="BF674">
        <v>-1.22</v>
      </c>
      <c r="BG674">
        <v>-1.819</v>
      </c>
    </row>
    <row r="675" spans="1:59">
      <c r="A675">
        <v>0</v>
      </c>
      <c r="B675">
        <v>0</v>
      </c>
      <c r="C675">
        <v>0</v>
      </c>
      <c r="D675" t="s">
        <v>25022</v>
      </c>
      <c r="E675">
        <v>2753</v>
      </c>
      <c r="F675" t="s">
        <v>15811</v>
      </c>
      <c r="G675" t="s">
        <v>62</v>
      </c>
      <c r="H675">
        <v>2708946</v>
      </c>
      <c r="I675">
        <v>2709419</v>
      </c>
      <c r="J675" t="s">
        <v>3095</v>
      </c>
      <c r="K675">
        <v>158</v>
      </c>
      <c r="L675" t="s">
        <v>15812</v>
      </c>
      <c r="M675">
        <v>30</v>
      </c>
      <c r="N675" t="str">
        <f>HYPERLINK("Gene2753-zp_tree_all.dnd", "Gene2753-tree")</f>
        <v>Gene2753-tree</v>
      </c>
      <c r="O675">
        <v>2</v>
      </c>
      <c r="P675">
        <v>3</v>
      </c>
      <c r="Q675">
        <v>2</v>
      </c>
      <c r="R675">
        <v>3</v>
      </c>
      <c r="S675">
        <v>0.6</v>
      </c>
      <c r="T675" t="s">
        <v>81</v>
      </c>
      <c r="U675" t="s">
        <v>324</v>
      </c>
      <c r="V675" t="s">
        <v>62</v>
      </c>
      <c r="W675" t="s">
        <v>62</v>
      </c>
      <c r="X675">
        <v>0</v>
      </c>
      <c r="Y675">
        <v>0</v>
      </c>
      <c r="Z675">
        <v>13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13</v>
      </c>
      <c r="AK675">
        <v>0</v>
      </c>
      <c r="AL675">
        <v>3</v>
      </c>
      <c r="AM675">
        <v>1</v>
      </c>
      <c r="AN675">
        <v>8</v>
      </c>
      <c r="AO675">
        <v>13</v>
      </c>
      <c r="AP675">
        <v>1</v>
      </c>
      <c r="AQ675">
        <v>0</v>
      </c>
      <c r="AR675" t="s">
        <v>15813</v>
      </c>
      <c r="AS675" t="s">
        <v>193</v>
      </c>
      <c r="AT675">
        <v>0.98199999999999998</v>
      </c>
      <c r="AU675" t="s">
        <v>65</v>
      </c>
      <c r="AV675">
        <v>9</v>
      </c>
      <c r="AW675">
        <v>13</v>
      </c>
      <c r="AX675" t="s">
        <v>15814</v>
      </c>
      <c r="AY675">
        <v>3.7170000000000002E-2</v>
      </c>
      <c r="AZ675">
        <v>-8.7500000000000008E-3</v>
      </c>
      <c r="BA675">
        <v>1.4630000000000001E-2</v>
      </c>
      <c r="BB675">
        <v>-4.13E-3</v>
      </c>
      <c r="BC675">
        <v>0.39345999999999998</v>
      </c>
      <c r="BD675">
        <v>0.96</v>
      </c>
      <c r="BE675" t="s">
        <v>69</v>
      </c>
      <c r="BF675">
        <v>-1.9850000000000001</v>
      </c>
      <c r="BG675">
        <v>-3.242</v>
      </c>
    </row>
    <row r="676" spans="1:59">
      <c r="A676">
        <v>0</v>
      </c>
      <c r="B676">
        <v>4</v>
      </c>
      <c r="C676">
        <v>0</v>
      </c>
      <c r="D676" t="s">
        <v>25022</v>
      </c>
      <c r="E676">
        <v>610</v>
      </c>
      <c r="F676" t="s">
        <v>3922</v>
      </c>
      <c r="G676" t="s">
        <v>57</v>
      </c>
      <c r="H676">
        <v>641654</v>
      </c>
      <c r="I676">
        <v>642127</v>
      </c>
      <c r="J676" t="s">
        <v>3923</v>
      </c>
      <c r="K676">
        <v>158</v>
      </c>
      <c r="L676" t="s">
        <v>108</v>
      </c>
      <c r="M676">
        <v>44</v>
      </c>
      <c r="N676" t="str">
        <f>HYPERLINK("Gene610-zp_tree_all.dnd", "Gene610-tree")</f>
        <v>Gene610-tree</v>
      </c>
      <c r="O676">
        <v>2</v>
      </c>
      <c r="P676">
        <v>8</v>
      </c>
      <c r="Q676">
        <v>2</v>
      </c>
      <c r="R676">
        <v>8</v>
      </c>
      <c r="S676">
        <v>0.8</v>
      </c>
      <c r="T676" t="s">
        <v>81</v>
      </c>
      <c r="U676" t="s">
        <v>136</v>
      </c>
      <c r="V676" t="s">
        <v>62</v>
      </c>
      <c r="W676" t="s">
        <v>62</v>
      </c>
      <c r="X676">
        <v>2</v>
      </c>
      <c r="Y676">
        <v>4</v>
      </c>
      <c r="Z676">
        <v>5</v>
      </c>
      <c r="AA676">
        <v>0.44444</v>
      </c>
      <c r="AB676">
        <v>0</v>
      </c>
      <c r="AC676">
        <v>0</v>
      </c>
      <c r="AD676">
        <v>0</v>
      </c>
      <c r="AE676">
        <v>2</v>
      </c>
      <c r="AF676">
        <v>0</v>
      </c>
      <c r="AG676">
        <v>2</v>
      </c>
      <c r="AH676">
        <v>0</v>
      </c>
      <c r="AI676">
        <v>2</v>
      </c>
      <c r="AJ676">
        <v>5</v>
      </c>
      <c r="AK676">
        <v>0.28571000000000002</v>
      </c>
      <c r="AL676">
        <v>5</v>
      </c>
      <c r="AM676">
        <v>4</v>
      </c>
      <c r="AN676">
        <v>3</v>
      </c>
      <c r="AO676">
        <v>5</v>
      </c>
      <c r="AP676">
        <v>3</v>
      </c>
      <c r="AQ676">
        <v>4</v>
      </c>
      <c r="AR676" t="s">
        <v>3924</v>
      </c>
      <c r="AS676" t="s">
        <v>3925</v>
      </c>
      <c r="AT676">
        <v>0.22600000000000001</v>
      </c>
      <c r="AU676" t="s">
        <v>65</v>
      </c>
      <c r="AV676">
        <v>6</v>
      </c>
      <c r="AW676">
        <v>9</v>
      </c>
      <c r="AX676" t="s">
        <v>3926</v>
      </c>
      <c r="AY676">
        <v>1.7579999999999998E-2</v>
      </c>
      <c r="AZ676">
        <v>-1.7099999999999999E-3</v>
      </c>
      <c r="BA676">
        <v>6.8500000000000002E-3</v>
      </c>
      <c r="BB676">
        <v>-4.6999999999999999E-4</v>
      </c>
      <c r="BC676">
        <v>0.38973000000000002</v>
      </c>
      <c r="BD676">
        <v>0.89700000000000002</v>
      </c>
      <c r="BE676" t="s">
        <v>635</v>
      </c>
      <c r="BF676">
        <v>0.23200000000000001</v>
      </c>
      <c r="BG676">
        <v>-0.61599999999999999</v>
      </c>
    </row>
    <row r="677" spans="1:59">
      <c r="A677">
        <v>0</v>
      </c>
      <c r="B677">
        <v>0</v>
      </c>
      <c r="C677">
        <v>0</v>
      </c>
      <c r="D677" t="s">
        <v>25022</v>
      </c>
      <c r="E677">
        <v>2006</v>
      </c>
      <c r="F677" t="s">
        <v>12492</v>
      </c>
      <c r="G677" t="s">
        <v>62</v>
      </c>
      <c r="H677">
        <v>2098319</v>
      </c>
      <c r="I677">
        <v>2098792</v>
      </c>
      <c r="J677" t="s">
        <v>12493</v>
      </c>
      <c r="K677">
        <v>158</v>
      </c>
      <c r="L677" t="s">
        <v>108</v>
      </c>
      <c r="M677">
        <v>44</v>
      </c>
      <c r="N677" t="str">
        <f>HYPERLINK("Gene2006-zp_tree_all.dnd", "Gene2006-tree")</f>
        <v>Gene2006-tree</v>
      </c>
      <c r="O677">
        <v>4</v>
      </c>
      <c r="P677">
        <v>3</v>
      </c>
      <c r="Q677">
        <v>4</v>
      </c>
      <c r="R677">
        <v>3</v>
      </c>
      <c r="S677">
        <v>0.42857000000000001</v>
      </c>
      <c r="T677" t="s">
        <v>61</v>
      </c>
      <c r="U677" t="s">
        <v>324</v>
      </c>
      <c r="V677" t="s">
        <v>62</v>
      </c>
      <c r="W677" t="s">
        <v>62</v>
      </c>
      <c r="X677">
        <v>0</v>
      </c>
      <c r="Y677">
        <v>0</v>
      </c>
      <c r="Z677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3</v>
      </c>
      <c r="AK677">
        <v>0</v>
      </c>
      <c r="AL677">
        <v>6</v>
      </c>
      <c r="AM677">
        <v>1</v>
      </c>
      <c r="AN677">
        <v>7</v>
      </c>
      <c r="AO677">
        <v>4</v>
      </c>
      <c r="AP677">
        <v>0</v>
      </c>
      <c r="AQ677">
        <v>1</v>
      </c>
      <c r="AR677" t="s">
        <v>12494</v>
      </c>
      <c r="AS677" t="s">
        <v>193</v>
      </c>
      <c r="AT677">
        <v>1.1679999999999999</v>
      </c>
      <c r="AU677" t="s">
        <v>65</v>
      </c>
      <c r="AV677">
        <v>7</v>
      </c>
      <c r="AW677">
        <v>5</v>
      </c>
      <c r="AX677" t="s">
        <v>12495</v>
      </c>
      <c r="AY677">
        <v>2.0719999999999999E-2</v>
      </c>
      <c r="AZ677">
        <v>-3.14E-3</v>
      </c>
      <c r="BA677">
        <v>4.5300000000000002E-3</v>
      </c>
      <c r="BB677">
        <v>-6.2E-4</v>
      </c>
      <c r="BC677">
        <v>0.21851999999999999</v>
      </c>
      <c r="BD677">
        <v>0.92700000000000005</v>
      </c>
      <c r="BE677" t="s">
        <v>635</v>
      </c>
      <c r="BF677">
        <v>-0.45700000000000002</v>
      </c>
      <c r="BG677">
        <v>-1.343</v>
      </c>
    </row>
    <row r="678" spans="1:59">
      <c r="A678">
        <v>0</v>
      </c>
      <c r="B678">
        <v>0</v>
      </c>
      <c r="C678">
        <v>0</v>
      </c>
      <c r="D678" t="s">
        <v>25022</v>
      </c>
      <c r="E678">
        <v>3865</v>
      </c>
      <c r="F678" t="s">
        <v>22667</v>
      </c>
      <c r="G678" t="s">
        <v>62</v>
      </c>
      <c r="H678">
        <v>3830144</v>
      </c>
      <c r="I678">
        <v>3830617</v>
      </c>
      <c r="J678" t="s">
        <v>9411</v>
      </c>
      <c r="K678">
        <v>158</v>
      </c>
      <c r="L678" t="s">
        <v>1174</v>
      </c>
      <c r="M678">
        <v>42</v>
      </c>
      <c r="N678" t="str">
        <f>HYPERLINK("Gene3865-zp_tree_all.dnd", "Gene3865-tree")</f>
        <v>Gene3865-tree</v>
      </c>
      <c r="O678">
        <v>6</v>
      </c>
      <c r="P678">
        <v>3</v>
      </c>
      <c r="Q678">
        <v>6</v>
      </c>
      <c r="R678">
        <v>3</v>
      </c>
      <c r="S678">
        <v>0.33333000000000002</v>
      </c>
      <c r="T678" t="s">
        <v>90</v>
      </c>
      <c r="U678" t="s">
        <v>324</v>
      </c>
      <c r="V678" t="s">
        <v>62</v>
      </c>
      <c r="W678" t="s">
        <v>62</v>
      </c>
      <c r="X678">
        <v>0</v>
      </c>
      <c r="Y678">
        <v>0</v>
      </c>
      <c r="Z678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3</v>
      </c>
      <c r="AK678">
        <v>0</v>
      </c>
      <c r="AL678">
        <v>7</v>
      </c>
      <c r="AM678">
        <v>2</v>
      </c>
      <c r="AN678">
        <v>10</v>
      </c>
      <c r="AO678">
        <v>3</v>
      </c>
      <c r="AP678">
        <v>4</v>
      </c>
      <c r="AQ678">
        <v>1</v>
      </c>
      <c r="AR678" t="s">
        <v>22668</v>
      </c>
      <c r="AS678" t="s">
        <v>22669</v>
      </c>
      <c r="AT678">
        <v>0.14399999999999999</v>
      </c>
      <c r="AU678" t="s">
        <v>65</v>
      </c>
      <c r="AV678">
        <v>14</v>
      </c>
      <c r="AW678">
        <v>4</v>
      </c>
      <c r="AX678" t="s">
        <v>22670</v>
      </c>
      <c r="AY678">
        <v>3.6470000000000002E-2</v>
      </c>
      <c r="AZ678">
        <v>-3.0400000000000002E-3</v>
      </c>
      <c r="BA678">
        <v>3.1900000000000001E-3</v>
      </c>
      <c r="BB678">
        <v>-3.6999999999999999E-4</v>
      </c>
      <c r="BC678">
        <v>8.7580000000000005E-2</v>
      </c>
      <c r="BD678">
        <v>1</v>
      </c>
      <c r="BE678" t="s">
        <v>69</v>
      </c>
      <c r="BF678">
        <v>-0.67300000000000004</v>
      </c>
      <c r="BG678">
        <v>-0.308</v>
      </c>
    </row>
    <row r="679" spans="1:59">
      <c r="A679">
        <v>0</v>
      </c>
      <c r="B679">
        <v>2</v>
      </c>
      <c r="C679">
        <v>0</v>
      </c>
      <c r="D679" t="s">
        <v>25022</v>
      </c>
      <c r="E679">
        <v>91</v>
      </c>
      <c r="F679" t="s">
        <v>718</v>
      </c>
      <c r="G679" t="s">
        <v>57</v>
      </c>
      <c r="H679">
        <v>110480</v>
      </c>
      <c r="I679">
        <v>110953</v>
      </c>
      <c r="J679" t="s">
        <v>719</v>
      </c>
      <c r="K679">
        <v>158</v>
      </c>
      <c r="L679" t="s">
        <v>108</v>
      </c>
      <c r="M679">
        <v>44</v>
      </c>
      <c r="N679" t="str">
        <f>HYPERLINK("Gene91-zp_tree_all.dnd", "Gene91-tree")</f>
        <v>Gene91-tree</v>
      </c>
      <c r="O679">
        <v>8</v>
      </c>
      <c r="P679">
        <v>3</v>
      </c>
      <c r="Q679">
        <v>8</v>
      </c>
      <c r="R679">
        <v>3</v>
      </c>
      <c r="S679">
        <v>0.27272999999999997</v>
      </c>
      <c r="T679" t="s">
        <v>136</v>
      </c>
      <c r="U679" t="s">
        <v>324</v>
      </c>
      <c r="V679" t="s">
        <v>62</v>
      </c>
      <c r="W679" t="s">
        <v>62</v>
      </c>
      <c r="X679">
        <v>1</v>
      </c>
      <c r="Y679">
        <v>2</v>
      </c>
      <c r="Z679">
        <v>2</v>
      </c>
      <c r="AA679">
        <v>0.5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3</v>
      </c>
      <c r="AK679">
        <v>0</v>
      </c>
      <c r="AL679">
        <v>8</v>
      </c>
      <c r="AM679">
        <v>6</v>
      </c>
      <c r="AN679">
        <v>10</v>
      </c>
      <c r="AO679">
        <v>3</v>
      </c>
      <c r="AP679">
        <v>5</v>
      </c>
      <c r="AQ679">
        <v>1</v>
      </c>
      <c r="AR679" t="s">
        <v>720</v>
      </c>
      <c r="AS679" t="s">
        <v>721</v>
      </c>
      <c r="AT679">
        <v>0.21</v>
      </c>
      <c r="AU679" t="s">
        <v>65</v>
      </c>
      <c r="AV679">
        <v>15</v>
      </c>
      <c r="AW679">
        <v>4</v>
      </c>
      <c r="AX679" t="s">
        <v>722</v>
      </c>
      <c r="AY679">
        <v>3.2960000000000003E-2</v>
      </c>
      <c r="AZ679">
        <v>-1.8699999999999999E-3</v>
      </c>
      <c r="BA679">
        <v>2.2100000000000002E-3</v>
      </c>
      <c r="BB679">
        <v>-2.9E-4</v>
      </c>
      <c r="BC679">
        <v>6.7049999999999998E-2</v>
      </c>
      <c r="BD679">
        <v>1</v>
      </c>
      <c r="BE679" t="s">
        <v>69</v>
      </c>
      <c r="BF679">
        <v>-0.16900000000000001</v>
      </c>
      <c r="BG679">
        <v>-0.33</v>
      </c>
    </row>
    <row r="680" spans="1:59">
      <c r="A680">
        <v>0</v>
      </c>
      <c r="B680">
        <v>0</v>
      </c>
      <c r="C680">
        <v>2</v>
      </c>
      <c r="D680" t="s">
        <v>25022</v>
      </c>
      <c r="E680">
        <v>3178</v>
      </c>
      <c r="F680" t="s">
        <v>18486</v>
      </c>
      <c r="G680" t="s">
        <v>62</v>
      </c>
      <c r="H680">
        <v>3134986</v>
      </c>
      <c r="I680">
        <v>3135459</v>
      </c>
      <c r="J680" t="s">
        <v>18487</v>
      </c>
      <c r="K680">
        <v>158</v>
      </c>
      <c r="L680" t="s">
        <v>96</v>
      </c>
      <c r="M680">
        <v>48</v>
      </c>
      <c r="N680" t="str">
        <f>HYPERLINK("Gene3178-zp_tree_all.dnd", "Gene3178-tree")</f>
        <v>Gene3178-tree</v>
      </c>
      <c r="O680">
        <v>10</v>
      </c>
      <c r="P680">
        <v>2</v>
      </c>
      <c r="Q680">
        <v>10</v>
      </c>
      <c r="R680">
        <v>2</v>
      </c>
      <c r="S680">
        <v>0.16667000000000001</v>
      </c>
      <c r="T680" t="s">
        <v>117</v>
      </c>
      <c r="U680" t="s">
        <v>81</v>
      </c>
      <c r="V680" t="s">
        <v>62</v>
      </c>
      <c r="W680" t="s">
        <v>62</v>
      </c>
      <c r="X680">
        <v>1</v>
      </c>
      <c r="Y680">
        <v>2</v>
      </c>
      <c r="Z680">
        <v>3</v>
      </c>
      <c r="AA680">
        <v>0.4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</v>
      </c>
      <c r="AK680">
        <v>0</v>
      </c>
      <c r="AL680">
        <v>9</v>
      </c>
      <c r="AM680">
        <v>7</v>
      </c>
      <c r="AN680">
        <v>19</v>
      </c>
      <c r="AO680">
        <v>2</v>
      </c>
      <c r="AP680">
        <v>16</v>
      </c>
      <c r="AQ680">
        <v>3</v>
      </c>
      <c r="AR680" t="s">
        <v>18488</v>
      </c>
      <c r="AS680" t="s">
        <v>18489</v>
      </c>
      <c r="AT680">
        <v>0.35499999999999998</v>
      </c>
      <c r="AU680" t="s">
        <v>65</v>
      </c>
      <c r="AV680">
        <v>35</v>
      </c>
      <c r="AW680">
        <v>5</v>
      </c>
      <c r="AX680" t="s">
        <v>18490</v>
      </c>
      <c r="AY680">
        <v>9.9790000000000004E-2</v>
      </c>
      <c r="AZ680">
        <v>-7.3699999999999998E-3</v>
      </c>
      <c r="BA680">
        <v>3.81E-3</v>
      </c>
      <c r="BB680">
        <v>-4.2999999999999999E-4</v>
      </c>
      <c r="BC680">
        <v>3.8210000000000001E-2</v>
      </c>
      <c r="BD680">
        <v>1</v>
      </c>
      <c r="BE680" t="s">
        <v>69</v>
      </c>
      <c r="BF680">
        <v>-1.1499999999999999</v>
      </c>
      <c r="BG680">
        <v>-0.99399999999999999</v>
      </c>
    </row>
    <row r="681" spans="1:59">
      <c r="A681">
        <v>0</v>
      </c>
      <c r="B681">
        <v>3</v>
      </c>
      <c r="C681">
        <v>2</v>
      </c>
      <c r="D681" t="s">
        <v>25022</v>
      </c>
      <c r="E681">
        <v>3605</v>
      </c>
      <c r="F681" t="s">
        <v>21171</v>
      </c>
      <c r="G681" t="s">
        <v>62</v>
      </c>
      <c r="H681">
        <v>3572416</v>
      </c>
      <c r="I681">
        <v>3572889</v>
      </c>
      <c r="J681" t="s">
        <v>21172</v>
      </c>
      <c r="K681">
        <v>158</v>
      </c>
      <c r="L681" t="s">
        <v>289</v>
      </c>
      <c r="M681">
        <v>46</v>
      </c>
      <c r="N681" t="str">
        <f>HYPERLINK("Gene3605-zp_tree_all.dnd", "Gene3605-tree")</f>
        <v>Gene3605-tree</v>
      </c>
      <c r="O681">
        <v>9</v>
      </c>
      <c r="P681">
        <v>3</v>
      </c>
      <c r="Q681">
        <v>9</v>
      </c>
      <c r="R681">
        <v>3</v>
      </c>
      <c r="S681">
        <v>0.25</v>
      </c>
      <c r="T681" t="s">
        <v>135</v>
      </c>
      <c r="U681" t="s">
        <v>324</v>
      </c>
      <c r="V681" t="s">
        <v>62</v>
      </c>
      <c r="W681" t="s">
        <v>62</v>
      </c>
      <c r="X681">
        <v>2</v>
      </c>
      <c r="Y681">
        <v>5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4</v>
      </c>
      <c r="AJ681">
        <v>0</v>
      </c>
      <c r="AK681">
        <v>1</v>
      </c>
      <c r="AL681">
        <v>11</v>
      </c>
      <c r="AM681">
        <v>5</v>
      </c>
      <c r="AN681">
        <v>15</v>
      </c>
      <c r="AO681">
        <v>4</v>
      </c>
      <c r="AP681">
        <v>19</v>
      </c>
      <c r="AQ681">
        <v>1</v>
      </c>
      <c r="AR681" t="s">
        <v>21173</v>
      </c>
      <c r="AS681" t="s">
        <v>21174</v>
      </c>
      <c r="AT681">
        <v>0.70699999999999996</v>
      </c>
      <c r="AU681" t="s">
        <v>65</v>
      </c>
      <c r="AV681">
        <v>34</v>
      </c>
      <c r="AW681">
        <v>5</v>
      </c>
      <c r="AX681" t="s">
        <v>21175</v>
      </c>
      <c r="AY681">
        <v>7.9409999999999994E-2</v>
      </c>
      <c r="AZ681">
        <v>-7.3299999999999997E-3</v>
      </c>
      <c r="BA681">
        <v>2.1800000000000001E-3</v>
      </c>
      <c r="BB681">
        <v>-2.3000000000000001E-4</v>
      </c>
      <c r="BC681">
        <v>2.7449999999999999E-2</v>
      </c>
      <c r="BD681">
        <v>1</v>
      </c>
      <c r="BE681" t="s">
        <v>69</v>
      </c>
      <c r="BF681">
        <v>-1.161</v>
      </c>
      <c r="BG681">
        <v>-1.306</v>
      </c>
    </row>
    <row r="682" spans="1:59">
      <c r="A682">
        <v>0</v>
      </c>
      <c r="B682">
        <v>4</v>
      </c>
      <c r="C682">
        <v>0</v>
      </c>
      <c r="D682" t="s">
        <v>25022</v>
      </c>
      <c r="E682">
        <v>1248</v>
      </c>
      <c r="F682" t="s">
        <v>7820</v>
      </c>
      <c r="G682" t="s">
        <v>57</v>
      </c>
      <c r="H682">
        <v>1277686</v>
      </c>
      <c r="I682">
        <v>1278162</v>
      </c>
      <c r="J682" t="s">
        <v>7821</v>
      </c>
      <c r="K682">
        <v>159</v>
      </c>
      <c r="L682" t="s">
        <v>629</v>
      </c>
      <c r="M682">
        <v>43</v>
      </c>
      <c r="N682" t="str">
        <f>HYPERLINK("Gene1248-zp_tree_all.dnd", "Gene1248-tree")</f>
        <v>Gene1248-tree</v>
      </c>
      <c r="O682">
        <v>2</v>
      </c>
      <c r="P682">
        <v>9</v>
      </c>
      <c r="Q682">
        <v>2</v>
      </c>
      <c r="R682">
        <v>9</v>
      </c>
      <c r="S682">
        <v>0.81818000000000002</v>
      </c>
      <c r="T682" t="s">
        <v>81</v>
      </c>
      <c r="U682" t="s">
        <v>135</v>
      </c>
      <c r="V682" t="s">
        <v>62</v>
      </c>
      <c r="W682" t="s">
        <v>62</v>
      </c>
      <c r="X682">
        <v>2</v>
      </c>
      <c r="Y682">
        <v>4</v>
      </c>
      <c r="Z682">
        <v>12</v>
      </c>
      <c r="AA682">
        <v>0.25</v>
      </c>
      <c r="AB682">
        <v>0</v>
      </c>
      <c r="AC682">
        <v>0</v>
      </c>
      <c r="AD682">
        <v>0</v>
      </c>
      <c r="AE682">
        <v>2</v>
      </c>
      <c r="AF682">
        <v>0</v>
      </c>
      <c r="AG682">
        <v>2</v>
      </c>
      <c r="AH682">
        <v>0</v>
      </c>
      <c r="AI682">
        <v>2</v>
      </c>
      <c r="AJ682">
        <v>10</v>
      </c>
      <c r="AK682">
        <v>0.16667000000000001</v>
      </c>
      <c r="AL682">
        <v>9</v>
      </c>
      <c r="AM682">
        <v>4</v>
      </c>
      <c r="AN682">
        <v>6</v>
      </c>
      <c r="AO682">
        <v>11</v>
      </c>
      <c r="AP682">
        <v>3</v>
      </c>
      <c r="AQ682">
        <v>5</v>
      </c>
      <c r="AR682" t="s">
        <v>7822</v>
      </c>
      <c r="AS682" t="s">
        <v>7823</v>
      </c>
      <c r="AT682">
        <v>0.121</v>
      </c>
      <c r="AU682" t="s">
        <v>65</v>
      </c>
      <c r="AV682">
        <v>9</v>
      </c>
      <c r="AW682">
        <v>16</v>
      </c>
      <c r="AX682" t="s">
        <v>7824</v>
      </c>
      <c r="AY682">
        <v>2.0799999999999999E-2</v>
      </c>
      <c r="AZ682">
        <v>-2E-3</v>
      </c>
      <c r="BA682">
        <v>1.043E-2</v>
      </c>
      <c r="BB682">
        <v>-5.5000000000000003E-4</v>
      </c>
      <c r="BC682">
        <v>0.50149999999999995</v>
      </c>
      <c r="BD682">
        <v>0.91900000000000004</v>
      </c>
      <c r="BE682" t="s">
        <v>635</v>
      </c>
      <c r="BF682">
        <v>-0.61499999999999999</v>
      </c>
      <c r="BG682">
        <v>6.7000000000000004E-2</v>
      </c>
    </row>
    <row r="683" spans="1:59">
      <c r="A683">
        <v>0</v>
      </c>
      <c r="B683">
        <v>0</v>
      </c>
      <c r="C683">
        <v>0</v>
      </c>
      <c r="D683" t="s">
        <v>25022</v>
      </c>
      <c r="E683">
        <v>2537</v>
      </c>
      <c r="F683" t="s">
        <v>14823</v>
      </c>
      <c r="G683" t="s">
        <v>62</v>
      </c>
      <c r="H683">
        <v>2531721</v>
      </c>
      <c r="I683">
        <v>2532197</v>
      </c>
      <c r="J683" t="s">
        <v>14824</v>
      </c>
      <c r="K683">
        <v>159</v>
      </c>
      <c r="L683" t="s">
        <v>108</v>
      </c>
      <c r="M683">
        <v>44</v>
      </c>
      <c r="N683" t="str">
        <f>HYPERLINK("Gene2537-zp_tree_all.dnd", "Gene2537-tree")</f>
        <v>Gene2537-tree</v>
      </c>
      <c r="O683">
        <v>35</v>
      </c>
      <c r="P683">
        <v>2</v>
      </c>
      <c r="Q683">
        <v>8</v>
      </c>
      <c r="R683">
        <v>2</v>
      </c>
      <c r="S683">
        <v>0.2</v>
      </c>
      <c r="T683" t="s">
        <v>14825</v>
      </c>
      <c r="U683" t="s">
        <v>81</v>
      </c>
      <c r="V683" t="s">
        <v>62</v>
      </c>
      <c r="W683" t="s">
        <v>62</v>
      </c>
      <c r="X683">
        <v>0</v>
      </c>
      <c r="Y683">
        <v>0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</v>
      </c>
      <c r="AK683">
        <v>0</v>
      </c>
      <c r="AL683">
        <v>7</v>
      </c>
      <c r="AM683">
        <v>2</v>
      </c>
      <c r="AN683">
        <v>9</v>
      </c>
      <c r="AO683">
        <v>2</v>
      </c>
      <c r="AP683">
        <v>2</v>
      </c>
      <c r="AQ683">
        <v>0</v>
      </c>
      <c r="AR683" t="s">
        <v>14826</v>
      </c>
      <c r="AS683" t="s">
        <v>193</v>
      </c>
      <c r="AT683">
        <v>0.65400000000000003</v>
      </c>
      <c r="AU683" t="s">
        <v>65</v>
      </c>
      <c r="AV683">
        <v>11</v>
      </c>
      <c r="AW683">
        <v>2</v>
      </c>
      <c r="AX683" t="s">
        <v>14827</v>
      </c>
      <c r="AY683">
        <v>2.436E-2</v>
      </c>
      <c r="AZ683">
        <v>-3.0599999999999998E-3</v>
      </c>
      <c r="BA683">
        <v>1.09E-3</v>
      </c>
      <c r="BB683">
        <v>-2.2000000000000001E-4</v>
      </c>
      <c r="BC683">
        <v>4.4920000000000002E-2</v>
      </c>
      <c r="BD683">
        <v>1</v>
      </c>
      <c r="BE683" t="s">
        <v>69</v>
      </c>
      <c r="BF683">
        <v>-2.0369999999999999</v>
      </c>
      <c r="BG683">
        <v>-2.9319999999999999</v>
      </c>
    </row>
    <row r="684" spans="1:59">
      <c r="A684">
        <v>0</v>
      </c>
      <c r="B684">
        <v>0</v>
      </c>
      <c r="C684">
        <v>0</v>
      </c>
      <c r="D684" t="s">
        <v>25022</v>
      </c>
      <c r="E684">
        <v>468</v>
      </c>
      <c r="F684" t="s">
        <v>3176</v>
      </c>
      <c r="G684" t="s">
        <v>57</v>
      </c>
      <c r="H684">
        <v>512814</v>
      </c>
      <c r="I684">
        <v>513290</v>
      </c>
      <c r="J684" t="s">
        <v>3177</v>
      </c>
      <c r="K684">
        <v>159</v>
      </c>
      <c r="L684" t="s">
        <v>3178</v>
      </c>
      <c r="M684">
        <v>41</v>
      </c>
      <c r="N684" t="str">
        <f>HYPERLINK("Gene468-zp_tree_all.dnd", "Gene468-tree")</f>
        <v>Gene468-tree</v>
      </c>
      <c r="O684">
        <v>27</v>
      </c>
      <c r="P684">
        <v>1</v>
      </c>
      <c r="Q684">
        <v>10</v>
      </c>
      <c r="R684">
        <v>1</v>
      </c>
      <c r="S684">
        <v>9.0910000000000005E-2</v>
      </c>
      <c r="T684" t="s">
        <v>2980</v>
      </c>
      <c r="U684" t="s">
        <v>175</v>
      </c>
      <c r="V684" t="s">
        <v>62</v>
      </c>
      <c r="W684" t="s">
        <v>62</v>
      </c>
      <c r="X684">
        <v>0</v>
      </c>
      <c r="Y684">
        <v>0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3</v>
      </c>
      <c r="AK684">
        <v>0</v>
      </c>
      <c r="AL684">
        <v>8</v>
      </c>
      <c r="AM684">
        <v>6</v>
      </c>
      <c r="AN684">
        <v>26</v>
      </c>
      <c r="AO684">
        <v>3</v>
      </c>
      <c r="AP684">
        <v>12</v>
      </c>
      <c r="AQ684">
        <v>1</v>
      </c>
      <c r="AR684" t="s">
        <v>3179</v>
      </c>
      <c r="AS684" t="s">
        <v>3180</v>
      </c>
      <c r="AT684">
        <v>7.0000000000000007E-2</v>
      </c>
      <c r="AU684" t="s">
        <v>65</v>
      </c>
      <c r="AV684">
        <v>38</v>
      </c>
      <c r="AW684">
        <v>4</v>
      </c>
      <c r="AX684" t="s">
        <v>3181</v>
      </c>
      <c r="AY684">
        <v>7.671E-2</v>
      </c>
      <c r="AZ684">
        <v>-7.0699999999999999E-3</v>
      </c>
      <c r="BA684">
        <v>2.4199999999999998E-3</v>
      </c>
      <c r="BB684">
        <v>-4.4999999999999999E-4</v>
      </c>
      <c r="BC684">
        <v>3.1550000000000002E-2</v>
      </c>
      <c r="BD684">
        <v>1</v>
      </c>
      <c r="BE684" t="s">
        <v>69</v>
      </c>
      <c r="BF684">
        <v>-1.345</v>
      </c>
      <c r="BG684">
        <v>-3.3319999999999999</v>
      </c>
    </row>
    <row r="685" spans="1:59">
      <c r="A685">
        <v>0</v>
      </c>
      <c r="B685">
        <v>6</v>
      </c>
      <c r="C685">
        <v>0</v>
      </c>
      <c r="D685" t="s">
        <v>25022</v>
      </c>
      <c r="E685">
        <v>4166</v>
      </c>
      <c r="F685" t="s">
        <v>24518</v>
      </c>
      <c r="G685" t="s">
        <v>62</v>
      </c>
      <c r="H685">
        <v>4134439</v>
      </c>
      <c r="I685">
        <v>4134915</v>
      </c>
      <c r="J685" t="s">
        <v>24519</v>
      </c>
      <c r="K685">
        <v>159</v>
      </c>
      <c r="L685" t="s">
        <v>214</v>
      </c>
      <c r="M685">
        <v>48</v>
      </c>
      <c r="N685" t="str">
        <f>HYPERLINK("Gene4166-zp_tree_all.dnd", "Gene4166-tree")</f>
        <v>Gene4166-tree</v>
      </c>
      <c r="O685">
        <v>11</v>
      </c>
      <c r="P685">
        <v>7</v>
      </c>
      <c r="Q685">
        <v>11</v>
      </c>
      <c r="R685">
        <v>7</v>
      </c>
      <c r="S685">
        <v>0.38889000000000001</v>
      </c>
      <c r="T685" t="s">
        <v>73</v>
      </c>
      <c r="U685" t="s">
        <v>152</v>
      </c>
      <c r="V685" t="s">
        <v>62</v>
      </c>
      <c r="W685" t="s">
        <v>62</v>
      </c>
      <c r="X685">
        <v>3</v>
      </c>
      <c r="Y685">
        <v>6</v>
      </c>
      <c r="Z685">
        <v>5</v>
      </c>
      <c r="AA685">
        <v>0.54544999999999999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4</v>
      </c>
      <c r="AH685">
        <v>0</v>
      </c>
      <c r="AI685">
        <v>4</v>
      </c>
      <c r="AJ685">
        <v>5</v>
      </c>
      <c r="AK685">
        <v>0.44444</v>
      </c>
      <c r="AL685">
        <v>17</v>
      </c>
      <c r="AM685">
        <v>14</v>
      </c>
      <c r="AN685">
        <v>79</v>
      </c>
      <c r="AO685">
        <v>9</v>
      </c>
      <c r="AP685">
        <v>35</v>
      </c>
      <c r="AQ685">
        <v>3</v>
      </c>
      <c r="AR685" t="s">
        <v>24520</v>
      </c>
      <c r="AS685" t="s">
        <v>24521</v>
      </c>
      <c r="AT685">
        <v>0.155</v>
      </c>
      <c r="AU685" t="s">
        <v>65</v>
      </c>
      <c r="AV685">
        <v>114</v>
      </c>
      <c r="AW685">
        <v>12</v>
      </c>
      <c r="AX685" t="s">
        <v>24522</v>
      </c>
      <c r="AY685">
        <v>0.14129</v>
      </c>
      <c r="AZ685">
        <v>-2.9299999999999999E-3</v>
      </c>
      <c r="BA685">
        <v>4.4400000000000004E-3</v>
      </c>
      <c r="BB685">
        <v>-2.7999999999999998E-4</v>
      </c>
      <c r="BC685">
        <v>3.1399999999999997E-2</v>
      </c>
      <c r="BD685">
        <v>1</v>
      </c>
      <c r="BE685" t="s">
        <v>69</v>
      </c>
      <c r="BF685">
        <v>-0.17100000000000001</v>
      </c>
      <c r="BG685">
        <v>-1.39</v>
      </c>
    </row>
    <row r="686" spans="1:59">
      <c r="A686">
        <v>0</v>
      </c>
      <c r="B686">
        <v>4</v>
      </c>
      <c r="C686">
        <v>2</v>
      </c>
      <c r="D686" t="s">
        <v>25022</v>
      </c>
      <c r="E686">
        <v>1245</v>
      </c>
      <c r="F686" t="s">
        <v>7803</v>
      </c>
      <c r="G686" t="s">
        <v>57</v>
      </c>
      <c r="H686">
        <v>1275809</v>
      </c>
      <c r="I686">
        <v>1276288</v>
      </c>
      <c r="J686" t="s">
        <v>288</v>
      </c>
      <c r="K686">
        <v>160</v>
      </c>
      <c r="L686" t="s">
        <v>5762</v>
      </c>
      <c r="M686">
        <v>43</v>
      </c>
      <c r="N686" t="str">
        <f>HYPERLINK("Gene1245-zp_tree_all.dnd", "Gene1245-tree")</f>
        <v>Gene1245-tree</v>
      </c>
      <c r="O686">
        <v>4</v>
      </c>
      <c r="P686">
        <v>6</v>
      </c>
      <c r="Q686">
        <v>4</v>
      </c>
      <c r="R686">
        <v>6</v>
      </c>
      <c r="S686">
        <v>0.6</v>
      </c>
      <c r="T686" t="s">
        <v>61</v>
      </c>
      <c r="U686" t="s">
        <v>90</v>
      </c>
      <c r="V686" t="s">
        <v>62</v>
      </c>
      <c r="W686" t="s">
        <v>62</v>
      </c>
      <c r="X686">
        <v>3</v>
      </c>
      <c r="Y686">
        <v>6</v>
      </c>
      <c r="Z686">
        <v>11</v>
      </c>
      <c r="AA686">
        <v>0.35293999999999998</v>
      </c>
      <c r="AB686">
        <v>2</v>
      </c>
      <c r="AC686">
        <v>0</v>
      </c>
      <c r="AD686">
        <v>2</v>
      </c>
      <c r="AE686">
        <v>1</v>
      </c>
      <c r="AF686">
        <v>0.66666999999999998</v>
      </c>
      <c r="AG686">
        <v>0</v>
      </c>
      <c r="AH686">
        <v>2</v>
      </c>
      <c r="AI686">
        <v>2</v>
      </c>
      <c r="AJ686">
        <v>9</v>
      </c>
      <c r="AK686">
        <v>0.18182000000000001</v>
      </c>
      <c r="AL686">
        <v>7</v>
      </c>
      <c r="AM686">
        <v>6</v>
      </c>
      <c r="AN686">
        <v>13</v>
      </c>
      <c r="AO686">
        <v>12</v>
      </c>
      <c r="AP686">
        <v>6</v>
      </c>
      <c r="AQ686">
        <v>6</v>
      </c>
      <c r="AR686" t="s">
        <v>7804</v>
      </c>
      <c r="AS686" t="s">
        <v>7805</v>
      </c>
      <c r="AT686">
        <v>7.0999999999999994E-2</v>
      </c>
      <c r="AU686" t="s">
        <v>65</v>
      </c>
      <c r="AV686">
        <v>19</v>
      </c>
      <c r="AW686">
        <v>18</v>
      </c>
      <c r="AX686" t="s">
        <v>7806</v>
      </c>
      <c r="AY686">
        <v>5.3719999999999997E-2</v>
      </c>
      <c r="AZ686">
        <v>-5.9100000000000003E-3</v>
      </c>
      <c r="BA686">
        <v>1.21E-2</v>
      </c>
      <c r="BB686">
        <v>-9.8999999999999999E-4</v>
      </c>
      <c r="BC686">
        <v>0.22534000000000001</v>
      </c>
      <c r="BD686">
        <v>1</v>
      </c>
      <c r="BE686" t="s">
        <v>69</v>
      </c>
      <c r="BF686">
        <v>-0.77200000000000002</v>
      </c>
      <c r="BG686">
        <v>-2.5070000000000001</v>
      </c>
    </row>
    <row r="687" spans="1:59">
      <c r="A687">
        <v>0</v>
      </c>
      <c r="B687">
        <v>0</v>
      </c>
      <c r="C687">
        <v>0</v>
      </c>
      <c r="D687" t="s">
        <v>25022</v>
      </c>
      <c r="E687">
        <v>3670</v>
      </c>
      <c r="F687" t="s">
        <v>21532</v>
      </c>
      <c r="G687" t="s">
        <v>62</v>
      </c>
      <c r="H687">
        <v>3639790</v>
      </c>
      <c r="I687">
        <v>3640269</v>
      </c>
      <c r="J687" t="s">
        <v>21533</v>
      </c>
      <c r="K687">
        <v>160</v>
      </c>
      <c r="L687" t="s">
        <v>108</v>
      </c>
      <c r="M687">
        <v>44</v>
      </c>
      <c r="N687" t="str">
        <f>HYPERLINK("Gene3670-zp_tree_all.dnd", "Gene3670-tree")</f>
        <v>Gene3670-tree</v>
      </c>
      <c r="O687">
        <v>5</v>
      </c>
      <c r="P687">
        <v>2</v>
      </c>
      <c r="Q687">
        <v>5</v>
      </c>
      <c r="R687">
        <v>2</v>
      </c>
      <c r="S687">
        <v>0.28571000000000002</v>
      </c>
      <c r="T687" t="s">
        <v>199</v>
      </c>
      <c r="U687" t="s">
        <v>81</v>
      </c>
      <c r="V687" t="s">
        <v>62</v>
      </c>
      <c r="W687" t="s">
        <v>62</v>
      </c>
      <c r="X687">
        <v>0</v>
      </c>
      <c r="Y687">
        <v>0</v>
      </c>
      <c r="Z687">
        <v>3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</v>
      </c>
      <c r="AK687">
        <v>0</v>
      </c>
      <c r="AL687">
        <v>5</v>
      </c>
      <c r="AM687">
        <v>2</v>
      </c>
      <c r="AN687">
        <v>7</v>
      </c>
      <c r="AO687">
        <v>1</v>
      </c>
      <c r="AP687">
        <v>0</v>
      </c>
      <c r="AQ687">
        <v>2</v>
      </c>
      <c r="AR687" t="s">
        <v>21534</v>
      </c>
      <c r="AS687" t="s">
        <v>193</v>
      </c>
      <c r="AT687">
        <v>0.51600000000000001</v>
      </c>
      <c r="AU687" t="s">
        <v>65</v>
      </c>
      <c r="AV687">
        <v>7</v>
      </c>
      <c r="AW687">
        <v>3</v>
      </c>
      <c r="AX687" t="s">
        <v>21535</v>
      </c>
      <c r="AY687">
        <v>1.8970000000000001E-2</v>
      </c>
      <c r="AZ687">
        <v>-2.5000000000000001E-3</v>
      </c>
      <c r="BA687">
        <v>3.3300000000000001E-3</v>
      </c>
      <c r="BB687">
        <v>-5.1000000000000004E-4</v>
      </c>
      <c r="BC687">
        <v>0.17563999999999999</v>
      </c>
      <c r="BD687">
        <v>1</v>
      </c>
      <c r="BE687" t="s">
        <v>69</v>
      </c>
      <c r="BF687">
        <v>-0.46</v>
      </c>
      <c r="BG687">
        <v>-1.577</v>
      </c>
    </row>
    <row r="688" spans="1:59">
      <c r="A688">
        <v>0</v>
      </c>
      <c r="B688">
        <v>0</v>
      </c>
      <c r="C688">
        <v>0</v>
      </c>
      <c r="D688" t="s">
        <v>25022</v>
      </c>
      <c r="E688">
        <v>1988</v>
      </c>
      <c r="F688" t="s">
        <v>12380</v>
      </c>
      <c r="G688" t="s">
        <v>62</v>
      </c>
      <c r="H688">
        <v>2082534</v>
      </c>
      <c r="I688">
        <v>2083013</v>
      </c>
      <c r="J688" t="s">
        <v>12381</v>
      </c>
      <c r="K688">
        <v>160</v>
      </c>
      <c r="L688" t="s">
        <v>1392</v>
      </c>
      <c r="M688">
        <v>43</v>
      </c>
      <c r="N688" t="str">
        <f>HYPERLINK("Gene1988-zp_tree_all.dnd", "Gene1988-tree")</f>
        <v>Gene1988-tree</v>
      </c>
      <c r="O688">
        <v>6</v>
      </c>
      <c r="P688">
        <v>3</v>
      </c>
      <c r="Q688">
        <v>6</v>
      </c>
      <c r="R688">
        <v>3</v>
      </c>
      <c r="S688">
        <v>0.33333000000000002</v>
      </c>
      <c r="T688" t="s">
        <v>90</v>
      </c>
      <c r="U688" t="s">
        <v>324</v>
      </c>
      <c r="V688" t="s">
        <v>62</v>
      </c>
      <c r="W688" t="s">
        <v>62</v>
      </c>
      <c r="X688">
        <v>0</v>
      </c>
      <c r="Y688">
        <v>0</v>
      </c>
      <c r="Z688">
        <v>13</v>
      </c>
      <c r="AA688">
        <v>0</v>
      </c>
      <c r="AB688">
        <v>0</v>
      </c>
      <c r="AC688">
        <v>0</v>
      </c>
      <c r="AD688">
        <v>0</v>
      </c>
      <c r="AE688">
        <v>3</v>
      </c>
      <c r="AF688">
        <v>0</v>
      </c>
      <c r="AG688">
        <v>0</v>
      </c>
      <c r="AH688">
        <v>0</v>
      </c>
      <c r="AI688">
        <v>0</v>
      </c>
      <c r="AJ688">
        <v>10</v>
      </c>
      <c r="AK688">
        <v>0</v>
      </c>
      <c r="AL688">
        <v>6</v>
      </c>
      <c r="AM688">
        <v>4</v>
      </c>
      <c r="AN688">
        <v>8</v>
      </c>
      <c r="AO688">
        <v>12</v>
      </c>
      <c r="AP688">
        <v>12</v>
      </c>
      <c r="AQ688">
        <v>3</v>
      </c>
      <c r="AR688" t="s">
        <v>12382</v>
      </c>
      <c r="AS688" t="s">
        <v>12383</v>
      </c>
      <c r="AT688">
        <v>0.86399999999999999</v>
      </c>
      <c r="AU688" t="s">
        <v>65</v>
      </c>
      <c r="AV688">
        <v>20</v>
      </c>
      <c r="AW688">
        <v>15</v>
      </c>
      <c r="AX688" t="s">
        <v>12384</v>
      </c>
      <c r="AY688">
        <v>6.166E-2</v>
      </c>
      <c r="AZ688">
        <v>-6.4200000000000004E-3</v>
      </c>
      <c r="BA688">
        <v>1.073E-2</v>
      </c>
      <c r="BB688">
        <v>-1.5399999999999999E-3</v>
      </c>
      <c r="BC688">
        <v>0.17397000000000001</v>
      </c>
      <c r="BD688">
        <v>1</v>
      </c>
      <c r="BE688" t="s">
        <v>69</v>
      </c>
      <c r="BF688">
        <v>-0.153</v>
      </c>
      <c r="BG688">
        <v>-0.34300000000000003</v>
      </c>
    </row>
    <row r="689" spans="1:59">
      <c r="A689">
        <v>0</v>
      </c>
      <c r="B689">
        <v>2</v>
      </c>
      <c r="C689">
        <v>0</v>
      </c>
      <c r="D689" t="s">
        <v>25022</v>
      </c>
      <c r="E689">
        <v>2758</v>
      </c>
      <c r="F689" t="s">
        <v>15832</v>
      </c>
      <c r="G689" t="s">
        <v>62</v>
      </c>
      <c r="H689">
        <v>2713323</v>
      </c>
      <c r="I689">
        <v>2713802</v>
      </c>
      <c r="J689" t="s">
        <v>15833</v>
      </c>
      <c r="K689">
        <v>160</v>
      </c>
      <c r="L689" t="s">
        <v>15834</v>
      </c>
      <c r="M689">
        <v>31</v>
      </c>
      <c r="N689" t="str">
        <f>HYPERLINK("Gene2758-zp_tree_all.dnd", "Gene2758-tree")</f>
        <v>Gene2758-tree</v>
      </c>
      <c r="O689">
        <v>5</v>
      </c>
      <c r="P689">
        <v>6</v>
      </c>
      <c r="Q689">
        <v>5</v>
      </c>
      <c r="R689">
        <v>6</v>
      </c>
      <c r="S689">
        <v>0.54544999999999999</v>
      </c>
      <c r="T689" t="s">
        <v>199</v>
      </c>
      <c r="U689" t="s">
        <v>90</v>
      </c>
      <c r="V689" t="s">
        <v>62</v>
      </c>
      <c r="W689" t="s">
        <v>62</v>
      </c>
      <c r="X689">
        <v>1</v>
      </c>
      <c r="Y689">
        <v>2</v>
      </c>
      <c r="Z689">
        <v>9</v>
      </c>
      <c r="AA689">
        <v>0.18182000000000001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9</v>
      </c>
      <c r="AK689">
        <v>0</v>
      </c>
      <c r="AL689">
        <v>7</v>
      </c>
      <c r="AM689">
        <v>6</v>
      </c>
      <c r="AN689">
        <v>16</v>
      </c>
      <c r="AO689">
        <v>8</v>
      </c>
      <c r="AP689">
        <v>9</v>
      </c>
      <c r="AQ689">
        <v>3</v>
      </c>
      <c r="AR689" t="s">
        <v>15835</v>
      </c>
      <c r="AS689" t="s">
        <v>15836</v>
      </c>
      <c r="AT689">
        <v>0.14799999999999999</v>
      </c>
      <c r="AU689" t="s">
        <v>65</v>
      </c>
      <c r="AV689">
        <v>25</v>
      </c>
      <c r="AW689">
        <v>11</v>
      </c>
      <c r="AX689" t="s">
        <v>15837</v>
      </c>
      <c r="AY689">
        <v>5.7279999999999998E-2</v>
      </c>
      <c r="AZ689">
        <v>-6.8199999999999997E-3</v>
      </c>
      <c r="BA689">
        <v>6.2100000000000002E-3</v>
      </c>
      <c r="BB689">
        <v>-7.2000000000000005E-4</v>
      </c>
      <c r="BC689">
        <v>0.1084</v>
      </c>
      <c r="BD689">
        <v>1</v>
      </c>
      <c r="BE689" t="s">
        <v>69</v>
      </c>
      <c r="BF689">
        <v>-1.673</v>
      </c>
      <c r="BG689">
        <v>-3.1120000000000001</v>
      </c>
    </row>
    <row r="690" spans="1:59">
      <c r="A690">
        <v>0</v>
      </c>
      <c r="B690">
        <v>0</v>
      </c>
      <c r="C690">
        <v>0</v>
      </c>
      <c r="D690" t="s">
        <v>25022</v>
      </c>
      <c r="E690">
        <v>2281</v>
      </c>
      <c r="F690" t="s">
        <v>13203</v>
      </c>
      <c r="G690" t="s">
        <v>62</v>
      </c>
      <c r="H690">
        <v>2304556</v>
      </c>
      <c r="I690">
        <v>2305035</v>
      </c>
      <c r="J690" t="s">
        <v>13204</v>
      </c>
      <c r="K690">
        <v>160</v>
      </c>
      <c r="L690" t="s">
        <v>108</v>
      </c>
      <c r="M690">
        <v>44</v>
      </c>
      <c r="N690" t="str">
        <f>HYPERLINK("Gene2281-zp_tree_all.dnd", "Gene2281-tree")</f>
        <v>Gene2281-tree</v>
      </c>
      <c r="O690">
        <v>8</v>
      </c>
      <c r="P690">
        <v>5</v>
      </c>
      <c r="Q690">
        <v>8</v>
      </c>
      <c r="R690">
        <v>5</v>
      </c>
      <c r="S690">
        <v>0.38462000000000002</v>
      </c>
      <c r="T690" t="s">
        <v>136</v>
      </c>
      <c r="U690" t="s">
        <v>199</v>
      </c>
      <c r="V690" t="s">
        <v>62</v>
      </c>
      <c r="W690" t="s">
        <v>62</v>
      </c>
      <c r="X690">
        <v>0</v>
      </c>
      <c r="Y690">
        <v>0</v>
      </c>
      <c r="Z690">
        <v>8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6</v>
      </c>
      <c r="AK690">
        <v>0</v>
      </c>
      <c r="AL690">
        <v>11</v>
      </c>
      <c r="AM690">
        <v>6</v>
      </c>
      <c r="AN690">
        <v>17</v>
      </c>
      <c r="AO690">
        <v>6</v>
      </c>
      <c r="AP690">
        <v>5</v>
      </c>
      <c r="AQ690">
        <v>2</v>
      </c>
      <c r="AR690" t="s">
        <v>13205</v>
      </c>
      <c r="AS690" t="s">
        <v>13206</v>
      </c>
      <c r="AT690">
        <v>0.10100000000000001</v>
      </c>
      <c r="AU690" t="s">
        <v>65</v>
      </c>
      <c r="AV690">
        <v>22</v>
      </c>
      <c r="AW690">
        <v>8</v>
      </c>
      <c r="AX690" t="s">
        <v>13207</v>
      </c>
      <c r="AY690">
        <v>4.1959999999999997E-2</v>
      </c>
      <c r="AZ690">
        <v>-1.98E-3</v>
      </c>
      <c r="BA690">
        <v>4.4299999999999999E-3</v>
      </c>
      <c r="BB690">
        <v>-3.1E-4</v>
      </c>
      <c r="BC690">
        <v>0.1056</v>
      </c>
      <c r="BD690">
        <v>1</v>
      </c>
      <c r="BE690" t="s">
        <v>69</v>
      </c>
      <c r="BF690">
        <v>-0.93400000000000005</v>
      </c>
      <c r="BG690">
        <v>-2.2709999999999999</v>
      </c>
    </row>
    <row r="691" spans="1:59">
      <c r="A691">
        <v>0</v>
      </c>
      <c r="B691">
        <v>0</v>
      </c>
      <c r="C691">
        <v>0</v>
      </c>
      <c r="D691" t="s">
        <v>25022</v>
      </c>
      <c r="E691">
        <v>1633</v>
      </c>
      <c r="F691" t="s">
        <v>10230</v>
      </c>
      <c r="G691" t="s">
        <v>57</v>
      </c>
      <c r="H691">
        <v>1646512</v>
      </c>
      <c r="I691">
        <v>1646991</v>
      </c>
      <c r="J691" t="s">
        <v>10231</v>
      </c>
      <c r="K691">
        <v>160</v>
      </c>
      <c r="L691" t="s">
        <v>289</v>
      </c>
      <c r="M691">
        <v>46</v>
      </c>
      <c r="N691" t="str">
        <f>HYPERLINK("Gene1633-zp_tree_all.dnd", "Gene1633-tree")</f>
        <v>Gene1633-tree</v>
      </c>
      <c r="O691">
        <v>9</v>
      </c>
      <c r="P691">
        <v>5</v>
      </c>
      <c r="Q691">
        <v>9</v>
      </c>
      <c r="R691">
        <v>5</v>
      </c>
      <c r="S691">
        <v>0.35714000000000001</v>
      </c>
      <c r="T691" t="s">
        <v>135</v>
      </c>
      <c r="U691" t="s">
        <v>199</v>
      </c>
      <c r="V691" t="s">
        <v>62</v>
      </c>
      <c r="W691" t="s">
        <v>62</v>
      </c>
      <c r="X691">
        <v>0</v>
      </c>
      <c r="Y691">
        <v>0</v>
      </c>
      <c r="Z691">
        <v>10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7</v>
      </c>
      <c r="AK691">
        <v>0</v>
      </c>
      <c r="AL691">
        <v>13</v>
      </c>
      <c r="AM691">
        <v>6</v>
      </c>
      <c r="AN691">
        <v>21</v>
      </c>
      <c r="AO691">
        <v>7</v>
      </c>
      <c r="AP691">
        <v>21</v>
      </c>
      <c r="AQ691">
        <v>4</v>
      </c>
      <c r="AR691" t="s">
        <v>10232</v>
      </c>
      <c r="AS691" t="s">
        <v>10233</v>
      </c>
      <c r="AT691">
        <v>0.34</v>
      </c>
      <c r="AU691" t="s">
        <v>65</v>
      </c>
      <c r="AV691">
        <v>42</v>
      </c>
      <c r="AW691">
        <v>11</v>
      </c>
      <c r="AX691" t="s">
        <v>10234</v>
      </c>
      <c r="AY691">
        <v>8.3640000000000006E-2</v>
      </c>
      <c r="AZ691">
        <v>-7.3899999999999999E-3</v>
      </c>
      <c r="BA691">
        <v>6.1900000000000002E-3</v>
      </c>
      <c r="BB691">
        <v>-5.1000000000000004E-4</v>
      </c>
      <c r="BC691">
        <v>7.3980000000000004E-2</v>
      </c>
      <c r="BD691">
        <v>1</v>
      </c>
      <c r="BE691" t="s">
        <v>69</v>
      </c>
      <c r="BF691">
        <v>-1.2689999999999999</v>
      </c>
      <c r="BG691">
        <v>-0.69199999999999995</v>
      </c>
    </row>
    <row r="692" spans="1:59">
      <c r="A692">
        <v>0</v>
      </c>
      <c r="B692">
        <v>4</v>
      </c>
      <c r="C692">
        <v>0</v>
      </c>
      <c r="D692" t="s">
        <v>25022</v>
      </c>
      <c r="E692">
        <v>481</v>
      </c>
      <c r="F692" t="s">
        <v>3257</v>
      </c>
      <c r="G692" t="s">
        <v>57</v>
      </c>
      <c r="H692">
        <v>522414</v>
      </c>
      <c r="I692">
        <v>522893</v>
      </c>
      <c r="J692" t="s">
        <v>3258</v>
      </c>
      <c r="K692">
        <v>160</v>
      </c>
      <c r="L692" t="s">
        <v>125</v>
      </c>
      <c r="M692">
        <v>48</v>
      </c>
      <c r="N692" t="str">
        <f>HYPERLINK("Gene481-zp_tree_all.dnd", "Gene481-tree")</f>
        <v>Gene481-tree</v>
      </c>
      <c r="O692">
        <v>42</v>
      </c>
      <c r="P692">
        <v>2</v>
      </c>
      <c r="Q692">
        <v>12</v>
      </c>
      <c r="R692">
        <v>2</v>
      </c>
      <c r="S692">
        <v>0.14285999999999999</v>
      </c>
      <c r="T692" t="s">
        <v>3259</v>
      </c>
      <c r="U692" t="s">
        <v>81</v>
      </c>
      <c r="V692" t="s">
        <v>62</v>
      </c>
      <c r="W692" t="s">
        <v>62</v>
      </c>
      <c r="X692">
        <v>2</v>
      </c>
      <c r="Y692">
        <v>4</v>
      </c>
      <c r="Z692">
        <v>5</v>
      </c>
      <c r="AA692">
        <v>0.44444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3</v>
      </c>
      <c r="AK692">
        <v>0</v>
      </c>
      <c r="AL692">
        <v>10</v>
      </c>
      <c r="AM692">
        <v>8</v>
      </c>
      <c r="AN692">
        <v>19</v>
      </c>
      <c r="AO692">
        <v>3</v>
      </c>
      <c r="AP692">
        <v>30</v>
      </c>
      <c r="AQ692">
        <v>6</v>
      </c>
      <c r="AR692" t="s">
        <v>3260</v>
      </c>
      <c r="AS692" t="s">
        <v>3261</v>
      </c>
      <c r="AT692">
        <v>0.108</v>
      </c>
      <c r="AU692" t="s">
        <v>65</v>
      </c>
      <c r="AV692">
        <v>49</v>
      </c>
      <c r="AW692">
        <v>9</v>
      </c>
      <c r="AX692" t="s">
        <v>3262</v>
      </c>
      <c r="AY692">
        <v>0.12428</v>
      </c>
      <c r="AZ692">
        <v>-9.5700000000000004E-3</v>
      </c>
      <c r="BA692">
        <v>5.8700000000000002E-3</v>
      </c>
      <c r="BB692">
        <v>-4.2000000000000002E-4</v>
      </c>
      <c r="BC692">
        <v>4.725E-2</v>
      </c>
      <c r="BD692">
        <v>1</v>
      </c>
      <c r="BE692" t="s">
        <v>69</v>
      </c>
      <c r="BF692">
        <v>-1.389</v>
      </c>
      <c r="BG692">
        <v>-0.02</v>
      </c>
    </row>
    <row r="693" spans="1:59">
      <c r="A693">
        <v>0</v>
      </c>
      <c r="B693">
        <v>0</v>
      </c>
      <c r="C693">
        <v>2</v>
      </c>
      <c r="D693" t="s">
        <v>25022</v>
      </c>
      <c r="E693">
        <v>928</v>
      </c>
      <c r="F693" t="s">
        <v>5807</v>
      </c>
      <c r="G693" t="s">
        <v>57</v>
      </c>
      <c r="H693">
        <v>970135</v>
      </c>
      <c r="I693">
        <v>970614</v>
      </c>
      <c r="J693" t="s">
        <v>5808</v>
      </c>
      <c r="K693">
        <v>160</v>
      </c>
      <c r="L693" t="s">
        <v>59</v>
      </c>
      <c r="M693">
        <v>49</v>
      </c>
      <c r="N693" t="str">
        <f>HYPERLINK("Gene928-zp_tree_all.dnd", "Gene928-tree")</f>
        <v>Gene928-tree</v>
      </c>
      <c r="O693">
        <v>33</v>
      </c>
      <c r="P693">
        <v>1</v>
      </c>
      <c r="Q693">
        <v>15</v>
      </c>
      <c r="R693">
        <v>1</v>
      </c>
      <c r="S693">
        <v>6.25E-2</v>
      </c>
      <c r="T693" t="s">
        <v>1608</v>
      </c>
      <c r="U693" t="s">
        <v>175</v>
      </c>
      <c r="V693" t="s">
        <v>62</v>
      </c>
      <c r="W693" t="s">
        <v>62</v>
      </c>
      <c r="X693">
        <v>1</v>
      </c>
      <c r="Y693">
        <v>2</v>
      </c>
      <c r="Z693">
        <v>3</v>
      </c>
      <c r="AA693">
        <v>0.4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12</v>
      </c>
      <c r="AM693">
        <v>9</v>
      </c>
      <c r="AN693">
        <v>20</v>
      </c>
      <c r="AO693">
        <v>1</v>
      </c>
      <c r="AP693">
        <v>21</v>
      </c>
      <c r="AQ693">
        <v>4</v>
      </c>
      <c r="AR693" t="s">
        <v>5809</v>
      </c>
      <c r="AS693" t="s">
        <v>5810</v>
      </c>
      <c r="AT693">
        <v>0.40600000000000003</v>
      </c>
      <c r="AU693" t="s">
        <v>65</v>
      </c>
      <c r="AV693">
        <v>41</v>
      </c>
      <c r="AW693">
        <v>5</v>
      </c>
      <c r="AX693" t="s">
        <v>5811</v>
      </c>
      <c r="AY693">
        <v>9.5339999999999994E-2</v>
      </c>
      <c r="AZ693">
        <v>-6.2100000000000002E-3</v>
      </c>
      <c r="BA693">
        <v>3.8899999999999998E-3</v>
      </c>
      <c r="BB693">
        <v>-2.9E-4</v>
      </c>
      <c r="BC693">
        <v>4.0800000000000003E-2</v>
      </c>
      <c r="BD693">
        <v>1</v>
      </c>
      <c r="BE693" t="s">
        <v>69</v>
      </c>
      <c r="BF693">
        <v>-0.91200000000000003</v>
      </c>
      <c r="BG693">
        <v>-0.85899999999999999</v>
      </c>
    </row>
    <row r="694" spans="1:59">
      <c r="A694">
        <v>0</v>
      </c>
      <c r="B694">
        <v>2</v>
      </c>
      <c r="C694">
        <v>0</v>
      </c>
      <c r="D694" t="s">
        <v>25022</v>
      </c>
      <c r="E694">
        <v>2605</v>
      </c>
      <c r="F694" t="s">
        <v>15252</v>
      </c>
      <c r="G694" t="s">
        <v>62</v>
      </c>
      <c r="H694">
        <v>2586224</v>
      </c>
      <c r="I694">
        <v>2586703</v>
      </c>
      <c r="J694" t="s">
        <v>13626</v>
      </c>
      <c r="K694">
        <v>160</v>
      </c>
      <c r="L694" t="s">
        <v>108</v>
      </c>
      <c r="M694">
        <v>44</v>
      </c>
      <c r="N694" t="str">
        <f>HYPERLINK("Gene2605-zp_tree_all.dnd", "Gene2605-tree")</f>
        <v>Gene2605-tree</v>
      </c>
      <c r="O694">
        <v>11</v>
      </c>
      <c r="P694">
        <v>1</v>
      </c>
      <c r="Q694">
        <v>11</v>
      </c>
      <c r="R694">
        <v>1</v>
      </c>
      <c r="S694">
        <v>8.3330000000000001E-2</v>
      </c>
      <c r="T694" t="s">
        <v>73</v>
      </c>
      <c r="U694" t="s">
        <v>175</v>
      </c>
      <c r="V694" t="s">
        <v>62</v>
      </c>
      <c r="W694" t="s">
        <v>62</v>
      </c>
      <c r="X694">
        <v>1</v>
      </c>
      <c r="Y694">
        <v>2</v>
      </c>
      <c r="Z694">
        <v>1</v>
      </c>
      <c r="AA694">
        <v>0.66666999999999998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</v>
      </c>
      <c r="AK694">
        <v>0</v>
      </c>
      <c r="AL694">
        <v>8</v>
      </c>
      <c r="AM694">
        <v>5</v>
      </c>
      <c r="AN694">
        <v>21</v>
      </c>
      <c r="AO694">
        <v>2</v>
      </c>
      <c r="AP694">
        <v>7</v>
      </c>
      <c r="AQ694">
        <v>1</v>
      </c>
      <c r="AR694" t="s">
        <v>15253</v>
      </c>
      <c r="AS694" t="s">
        <v>15254</v>
      </c>
      <c r="AT694">
        <v>0.13400000000000001</v>
      </c>
      <c r="AU694" t="s">
        <v>65</v>
      </c>
      <c r="AV694">
        <v>28</v>
      </c>
      <c r="AW694">
        <v>3</v>
      </c>
      <c r="AX694" t="s">
        <v>15255</v>
      </c>
      <c r="AY694">
        <v>4.5469999999999997E-2</v>
      </c>
      <c r="AZ694">
        <v>-3.5000000000000001E-3</v>
      </c>
      <c r="BA694">
        <v>1.6000000000000001E-3</v>
      </c>
      <c r="BB694">
        <v>-2.4000000000000001E-4</v>
      </c>
      <c r="BC694">
        <v>3.5119999999999998E-2</v>
      </c>
      <c r="BD694">
        <v>1</v>
      </c>
      <c r="BE694" t="s">
        <v>69</v>
      </c>
      <c r="BF694">
        <v>-0.96199999999999997</v>
      </c>
      <c r="BG694">
        <v>-1.7789999999999999</v>
      </c>
    </row>
    <row r="695" spans="1:59">
      <c r="A695">
        <v>0</v>
      </c>
      <c r="B695">
        <v>0</v>
      </c>
      <c r="C695">
        <v>0</v>
      </c>
      <c r="D695" t="s">
        <v>25022</v>
      </c>
      <c r="E695">
        <v>1310</v>
      </c>
      <c r="F695" t="s">
        <v>8226</v>
      </c>
      <c r="G695" t="s">
        <v>57</v>
      </c>
      <c r="H695">
        <v>1331245</v>
      </c>
      <c r="I695">
        <v>1331727</v>
      </c>
      <c r="J695" t="s">
        <v>8099</v>
      </c>
      <c r="K695">
        <v>161</v>
      </c>
      <c r="L695" t="s">
        <v>1305</v>
      </c>
      <c r="M695">
        <v>43</v>
      </c>
      <c r="N695" t="str">
        <f>HYPERLINK("Gene1310-zp_tree_all.dnd", "Gene1310-tree")</f>
        <v>Gene1310-tree</v>
      </c>
      <c r="O695">
        <v>4</v>
      </c>
      <c r="P695">
        <v>7</v>
      </c>
      <c r="Q695">
        <v>4</v>
      </c>
      <c r="R695">
        <v>7</v>
      </c>
      <c r="S695">
        <v>0.63636000000000004</v>
      </c>
      <c r="T695" t="s">
        <v>61</v>
      </c>
      <c r="U695" t="s">
        <v>152</v>
      </c>
      <c r="V695" t="s">
        <v>62</v>
      </c>
      <c r="W695" t="s">
        <v>62</v>
      </c>
      <c r="X695">
        <v>0</v>
      </c>
      <c r="Y695">
        <v>0</v>
      </c>
      <c r="Z695">
        <v>14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12</v>
      </c>
      <c r="AK695">
        <v>0</v>
      </c>
      <c r="AL695">
        <v>10</v>
      </c>
      <c r="AM695">
        <v>3</v>
      </c>
      <c r="AN695">
        <v>7</v>
      </c>
      <c r="AO695">
        <v>12</v>
      </c>
      <c r="AP695">
        <v>1</v>
      </c>
      <c r="AQ695">
        <v>2</v>
      </c>
      <c r="AR695" t="s">
        <v>8227</v>
      </c>
      <c r="AS695" t="s">
        <v>8228</v>
      </c>
      <c r="AT695">
        <v>9.5000000000000001E-2</v>
      </c>
      <c r="AU695" t="s">
        <v>65</v>
      </c>
      <c r="AV695">
        <v>8</v>
      </c>
      <c r="AW695">
        <v>14</v>
      </c>
      <c r="AX695" t="s">
        <v>8229</v>
      </c>
      <c r="AY695">
        <v>1.423E-2</v>
      </c>
      <c r="AZ695">
        <v>-1.14E-3</v>
      </c>
      <c r="BA695">
        <v>7.9500000000000005E-3</v>
      </c>
      <c r="BB695">
        <v>-5.5000000000000003E-4</v>
      </c>
      <c r="BC695">
        <v>0.55864000000000003</v>
      </c>
      <c r="BD695">
        <v>0.78800000000000003</v>
      </c>
      <c r="BE695" t="s">
        <v>635</v>
      </c>
      <c r="BF695">
        <v>-1.3819999999999999</v>
      </c>
      <c r="BG695">
        <v>-2.5649999999999999</v>
      </c>
    </row>
    <row r="696" spans="1:59">
      <c r="A696">
        <v>0</v>
      </c>
      <c r="B696">
        <v>2</v>
      </c>
      <c r="C696">
        <v>4</v>
      </c>
      <c r="D696" t="s">
        <v>25022</v>
      </c>
      <c r="E696">
        <v>2332</v>
      </c>
      <c r="F696" t="s">
        <v>13526</v>
      </c>
      <c r="G696" t="s">
        <v>62</v>
      </c>
      <c r="H696">
        <v>2348867</v>
      </c>
      <c r="I696">
        <v>2349349</v>
      </c>
      <c r="J696" t="s">
        <v>13527</v>
      </c>
      <c r="K696">
        <v>161</v>
      </c>
      <c r="L696" t="s">
        <v>59</v>
      </c>
      <c r="M696">
        <v>49</v>
      </c>
      <c r="N696" t="str">
        <f>HYPERLINK("Gene2332-zp_tree_all.dnd", "Gene2332-tree")</f>
        <v>Gene2332-tree</v>
      </c>
      <c r="O696">
        <v>9</v>
      </c>
      <c r="P696">
        <v>3</v>
      </c>
      <c r="Q696">
        <v>9</v>
      </c>
      <c r="R696">
        <v>3</v>
      </c>
      <c r="S696">
        <v>0.25</v>
      </c>
      <c r="T696" t="s">
        <v>135</v>
      </c>
      <c r="U696" t="s">
        <v>324</v>
      </c>
      <c r="V696" t="s">
        <v>62</v>
      </c>
      <c r="W696" t="s">
        <v>62</v>
      </c>
      <c r="X696">
        <v>3</v>
      </c>
      <c r="Y696">
        <v>6</v>
      </c>
      <c r="Z696">
        <v>6</v>
      </c>
      <c r="AA696">
        <v>0.5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2</v>
      </c>
      <c r="AH696">
        <v>0</v>
      </c>
      <c r="AI696">
        <v>2</v>
      </c>
      <c r="AJ696">
        <v>1</v>
      </c>
      <c r="AK696">
        <v>0.66666999999999998</v>
      </c>
      <c r="AL696">
        <v>9</v>
      </c>
      <c r="AM696">
        <v>5</v>
      </c>
      <c r="AN696">
        <v>11</v>
      </c>
      <c r="AO696">
        <v>3</v>
      </c>
      <c r="AP696">
        <v>15</v>
      </c>
      <c r="AQ696">
        <v>9</v>
      </c>
      <c r="AR696" t="s">
        <v>13528</v>
      </c>
      <c r="AS696" t="s">
        <v>13529</v>
      </c>
      <c r="AT696">
        <v>0.77400000000000002</v>
      </c>
      <c r="AU696" t="s">
        <v>65</v>
      </c>
      <c r="AV696">
        <v>26</v>
      </c>
      <c r="AW696">
        <v>12</v>
      </c>
      <c r="AX696" t="s">
        <v>13530</v>
      </c>
      <c r="AY696">
        <v>7.4179999999999996E-2</v>
      </c>
      <c r="AZ696">
        <v>-6.5300000000000002E-3</v>
      </c>
      <c r="BA696">
        <v>9.9699999999999997E-3</v>
      </c>
      <c r="BB696">
        <v>-8.1999999999999998E-4</v>
      </c>
      <c r="BC696">
        <v>0.13444999999999999</v>
      </c>
      <c r="BD696">
        <v>1</v>
      </c>
      <c r="BE696" t="s">
        <v>69</v>
      </c>
      <c r="BF696">
        <v>-1.246</v>
      </c>
      <c r="BG696">
        <v>0.66800000000000004</v>
      </c>
    </row>
    <row r="697" spans="1:59">
      <c r="A697">
        <v>0</v>
      </c>
      <c r="B697">
        <v>0</v>
      </c>
      <c r="C697">
        <v>0</v>
      </c>
      <c r="D697" t="s">
        <v>25022</v>
      </c>
      <c r="E697">
        <v>18</v>
      </c>
      <c r="F697" t="s">
        <v>197</v>
      </c>
      <c r="G697" t="s">
        <v>57</v>
      </c>
      <c r="H697">
        <v>25852</v>
      </c>
      <c r="I697">
        <v>26334</v>
      </c>
      <c r="J697" t="s">
        <v>198</v>
      </c>
      <c r="K697">
        <v>161</v>
      </c>
      <c r="L697" t="s">
        <v>108</v>
      </c>
      <c r="M697">
        <v>44</v>
      </c>
      <c r="N697" t="str">
        <f>HYPERLINK("Gene18-zp_tree_all.dnd", "Gene18-tree")</f>
        <v>Gene18-tree</v>
      </c>
      <c r="O697">
        <v>9</v>
      </c>
      <c r="P697">
        <v>5</v>
      </c>
      <c r="Q697">
        <v>9</v>
      </c>
      <c r="R697">
        <v>5</v>
      </c>
      <c r="S697">
        <v>0.35714000000000001</v>
      </c>
      <c r="T697" t="s">
        <v>135</v>
      </c>
      <c r="U697" t="s">
        <v>199</v>
      </c>
      <c r="V697" t="s">
        <v>62</v>
      </c>
      <c r="W697" t="s">
        <v>62</v>
      </c>
      <c r="X697">
        <v>0</v>
      </c>
      <c r="Y697">
        <v>0</v>
      </c>
      <c r="Z697">
        <v>10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9</v>
      </c>
      <c r="AK697">
        <v>0</v>
      </c>
      <c r="AL697">
        <v>10</v>
      </c>
      <c r="AM697">
        <v>8</v>
      </c>
      <c r="AN697">
        <v>17</v>
      </c>
      <c r="AO697">
        <v>9</v>
      </c>
      <c r="AP697">
        <v>12</v>
      </c>
      <c r="AQ697">
        <v>1</v>
      </c>
      <c r="AR697" t="s">
        <v>200</v>
      </c>
      <c r="AS697" t="s">
        <v>201</v>
      </c>
      <c r="AT697">
        <v>1.252</v>
      </c>
      <c r="AU697" t="s">
        <v>65</v>
      </c>
      <c r="AV697">
        <v>29</v>
      </c>
      <c r="AW697">
        <v>10</v>
      </c>
      <c r="AX697" t="s">
        <v>202</v>
      </c>
      <c r="AY697">
        <v>5.3769999999999998E-2</v>
      </c>
      <c r="AZ697">
        <v>-2.3500000000000001E-3</v>
      </c>
      <c r="BA697">
        <v>4.1700000000000001E-3</v>
      </c>
      <c r="BB697">
        <v>-4.0999999999999999E-4</v>
      </c>
      <c r="BC697">
        <v>7.7479999999999993E-2</v>
      </c>
      <c r="BD697">
        <v>1</v>
      </c>
      <c r="BE697" t="s">
        <v>69</v>
      </c>
      <c r="BF697">
        <v>4.3999999999999997E-2</v>
      </c>
      <c r="BG697">
        <v>-0.31</v>
      </c>
    </row>
    <row r="698" spans="1:59">
      <c r="A698">
        <v>0</v>
      </c>
      <c r="B698">
        <v>0</v>
      </c>
      <c r="C698">
        <v>0</v>
      </c>
      <c r="D698" t="s">
        <v>25022</v>
      </c>
      <c r="E698">
        <v>1562</v>
      </c>
      <c r="F698" t="s">
        <v>9766</v>
      </c>
      <c r="G698" t="s">
        <v>57</v>
      </c>
      <c r="H698">
        <v>1570078</v>
      </c>
      <c r="I698">
        <v>1570560</v>
      </c>
      <c r="J698" t="s">
        <v>9767</v>
      </c>
      <c r="K698">
        <v>161</v>
      </c>
      <c r="L698" t="s">
        <v>749</v>
      </c>
      <c r="M698">
        <v>47</v>
      </c>
      <c r="N698" t="str">
        <f>HYPERLINK("Gene1562-zp_tree_all.dnd", "Gene1562-tree")</f>
        <v>Gene1562-tree</v>
      </c>
      <c r="O698">
        <v>31</v>
      </c>
      <c r="P698">
        <v>1</v>
      </c>
      <c r="Q698">
        <v>12</v>
      </c>
      <c r="R698">
        <v>1</v>
      </c>
      <c r="S698">
        <v>7.6920000000000002E-2</v>
      </c>
      <c r="T698" t="s">
        <v>5000</v>
      </c>
      <c r="U698" t="s">
        <v>175</v>
      </c>
      <c r="V698" t="s">
        <v>62</v>
      </c>
      <c r="W698" t="s">
        <v>62</v>
      </c>
      <c r="X698">
        <v>0</v>
      </c>
      <c r="Y698">
        <v>0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11</v>
      </c>
      <c r="AM698">
        <v>8</v>
      </c>
      <c r="AN698">
        <v>30</v>
      </c>
      <c r="AO698">
        <v>1</v>
      </c>
      <c r="AP698">
        <v>19</v>
      </c>
      <c r="AQ698">
        <v>1</v>
      </c>
      <c r="AR698" t="s">
        <v>9768</v>
      </c>
      <c r="AS698" t="s">
        <v>9769</v>
      </c>
      <c r="AT698">
        <v>0.106</v>
      </c>
      <c r="AU698" t="s">
        <v>65</v>
      </c>
      <c r="AV698">
        <v>49</v>
      </c>
      <c r="AW698">
        <v>2</v>
      </c>
      <c r="AX698" t="s">
        <v>9770</v>
      </c>
      <c r="AY698">
        <v>9.7180000000000002E-2</v>
      </c>
      <c r="AZ698">
        <v>-7.3000000000000001E-3</v>
      </c>
      <c r="BA698">
        <v>1.4499999999999999E-3</v>
      </c>
      <c r="BB698">
        <v>-2.2000000000000001E-4</v>
      </c>
      <c r="BC698">
        <v>1.494E-2</v>
      </c>
      <c r="BD698">
        <v>1</v>
      </c>
      <c r="BE698" t="s">
        <v>69</v>
      </c>
      <c r="BF698">
        <v>-0.84899999999999998</v>
      </c>
      <c r="BG698">
        <v>-1.276</v>
      </c>
    </row>
    <row r="699" spans="1:59">
      <c r="A699">
        <v>0</v>
      </c>
      <c r="B699">
        <v>0</v>
      </c>
      <c r="C699">
        <v>0</v>
      </c>
      <c r="D699" t="s">
        <v>25022</v>
      </c>
      <c r="E699">
        <v>4056</v>
      </c>
      <c r="F699" t="s">
        <v>23873</v>
      </c>
      <c r="G699" t="s">
        <v>62</v>
      </c>
      <c r="H699">
        <v>4019952</v>
      </c>
      <c r="I699">
        <v>4020437</v>
      </c>
      <c r="J699" t="s">
        <v>116</v>
      </c>
      <c r="K699">
        <v>162</v>
      </c>
      <c r="L699" t="s">
        <v>23874</v>
      </c>
      <c r="M699">
        <v>29</v>
      </c>
      <c r="N699" t="str">
        <f>HYPERLINK("Gene4056-zp_tree_all.dnd", "Gene4056-tree")</f>
        <v>Gene4056-tree</v>
      </c>
      <c r="O699">
        <v>0</v>
      </c>
      <c r="P699">
        <v>4</v>
      </c>
      <c r="Q699">
        <v>0</v>
      </c>
      <c r="R699">
        <v>4</v>
      </c>
      <c r="S699">
        <v>1</v>
      </c>
      <c r="T699" t="s">
        <v>62</v>
      </c>
      <c r="U699" t="s">
        <v>61</v>
      </c>
      <c r="V699" t="s">
        <v>62</v>
      </c>
      <c r="W699" t="s">
        <v>62</v>
      </c>
      <c r="X699">
        <v>0</v>
      </c>
      <c r="Y699">
        <v>0</v>
      </c>
      <c r="Z699">
        <v>12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12</v>
      </c>
      <c r="AK699">
        <v>0</v>
      </c>
      <c r="AL699">
        <v>4</v>
      </c>
      <c r="AM699">
        <v>0</v>
      </c>
      <c r="AN699">
        <v>7</v>
      </c>
      <c r="AO699">
        <v>13</v>
      </c>
      <c r="AP699">
        <v>0</v>
      </c>
      <c r="AQ699">
        <v>0</v>
      </c>
      <c r="AR699" t="s">
        <v>23875</v>
      </c>
      <c r="AS699" t="s">
        <v>193</v>
      </c>
      <c r="AT699">
        <v>0.90600000000000003</v>
      </c>
      <c r="AU699" t="s">
        <v>65</v>
      </c>
      <c r="AV699">
        <v>7</v>
      </c>
      <c r="AW699">
        <v>13</v>
      </c>
      <c r="AX699" t="s">
        <v>23876</v>
      </c>
      <c r="AY699">
        <v>3.739E-2</v>
      </c>
      <c r="AZ699">
        <v>-1.2630000000000001E-2</v>
      </c>
      <c r="BA699">
        <v>1.7069999999999998E-2</v>
      </c>
      <c r="BB699">
        <v>-1.6299999999999999E-3</v>
      </c>
      <c r="BC699">
        <v>0.45648</v>
      </c>
      <c r="BD699">
        <v>0.86</v>
      </c>
      <c r="BE699" t="s">
        <v>635</v>
      </c>
      <c r="BF699">
        <v>-0.78600000000000003</v>
      </c>
      <c r="BG699">
        <v>-1.7629999999999999</v>
      </c>
    </row>
    <row r="700" spans="1:59">
      <c r="A700">
        <v>0</v>
      </c>
      <c r="B700">
        <v>3</v>
      </c>
      <c r="C700">
        <v>0</v>
      </c>
      <c r="D700" t="s">
        <v>25022</v>
      </c>
      <c r="E700">
        <v>1939</v>
      </c>
      <c r="F700" t="s">
        <v>12154</v>
      </c>
      <c r="G700" t="s">
        <v>62</v>
      </c>
      <c r="H700">
        <v>2038905</v>
      </c>
      <c r="I700">
        <v>2039390</v>
      </c>
      <c r="J700" t="s">
        <v>116</v>
      </c>
      <c r="K700">
        <v>162</v>
      </c>
      <c r="L700" t="s">
        <v>12155</v>
      </c>
      <c r="M700">
        <v>30</v>
      </c>
      <c r="N700" t="str">
        <f>HYPERLINK("Gene1939-zp_tree_all.dnd", "Gene1939-tree")</f>
        <v>Gene1939-tree</v>
      </c>
      <c r="O700">
        <v>21</v>
      </c>
      <c r="P700">
        <v>6</v>
      </c>
      <c r="Q700">
        <v>1</v>
      </c>
      <c r="R700">
        <v>6</v>
      </c>
      <c r="S700">
        <v>0.85714000000000001</v>
      </c>
      <c r="T700" t="s">
        <v>175</v>
      </c>
      <c r="U700" t="s">
        <v>90</v>
      </c>
      <c r="V700" t="s">
        <v>62</v>
      </c>
      <c r="W700" t="s">
        <v>62</v>
      </c>
      <c r="X700">
        <v>1</v>
      </c>
      <c r="Y700">
        <v>3</v>
      </c>
      <c r="Z700">
        <v>15</v>
      </c>
      <c r="AA700">
        <v>0.16667000000000001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</v>
      </c>
      <c r="AH700">
        <v>0</v>
      </c>
      <c r="AI700">
        <v>2</v>
      </c>
      <c r="AJ700">
        <v>12</v>
      </c>
      <c r="AK700">
        <v>0.14285999999999999</v>
      </c>
      <c r="AL700">
        <v>6</v>
      </c>
      <c r="AM700">
        <v>4</v>
      </c>
      <c r="AN700">
        <v>5</v>
      </c>
      <c r="AO700">
        <v>11</v>
      </c>
      <c r="AP700">
        <v>8</v>
      </c>
      <c r="AQ700">
        <v>7</v>
      </c>
      <c r="AR700" t="s">
        <v>12156</v>
      </c>
      <c r="AS700" t="s">
        <v>12157</v>
      </c>
      <c r="AT700">
        <v>0.84099999999999997</v>
      </c>
      <c r="AU700" t="s">
        <v>65</v>
      </c>
      <c r="AV700">
        <v>13</v>
      </c>
      <c r="AW700">
        <v>18</v>
      </c>
      <c r="AX700" t="s">
        <v>12158</v>
      </c>
      <c r="AY700">
        <v>5.7410000000000003E-2</v>
      </c>
      <c r="AZ700">
        <v>-5.9300000000000004E-3</v>
      </c>
      <c r="BA700">
        <v>1.52E-2</v>
      </c>
      <c r="BB700">
        <v>-1.25E-3</v>
      </c>
      <c r="BC700">
        <v>0.26484999999999997</v>
      </c>
      <c r="BD700">
        <v>0.97</v>
      </c>
      <c r="BE700" t="s">
        <v>69</v>
      </c>
      <c r="BF700">
        <v>-0.60199999999999998</v>
      </c>
      <c r="BG700">
        <v>-1.0069999999999999</v>
      </c>
    </row>
    <row r="701" spans="1:59">
      <c r="A701">
        <v>0</v>
      </c>
      <c r="B701">
        <v>0</v>
      </c>
      <c r="C701">
        <v>2</v>
      </c>
      <c r="D701" t="s">
        <v>25022</v>
      </c>
      <c r="E701">
        <v>1624</v>
      </c>
      <c r="F701" t="s">
        <v>10174</v>
      </c>
      <c r="G701" t="s">
        <v>57</v>
      </c>
      <c r="H701">
        <v>1635603</v>
      </c>
      <c r="I701">
        <v>1636088</v>
      </c>
      <c r="J701" t="s">
        <v>10175</v>
      </c>
      <c r="K701">
        <v>162</v>
      </c>
      <c r="L701" t="s">
        <v>108</v>
      </c>
      <c r="M701">
        <v>44</v>
      </c>
      <c r="N701" t="str">
        <f>HYPERLINK("Gene1624-zp_tree_all.dnd", "Gene1624-tree")</f>
        <v>Gene1624-tree</v>
      </c>
      <c r="O701">
        <v>6</v>
      </c>
      <c r="P701">
        <v>6</v>
      </c>
      <c r="Q701">
        <v>6</v>
      </c>
      <c r="R701">
        <v>6</v>
      </c>
      <c r="S701">
        <v>0.5</v>
      </c>
      <c r="T701" t="s">
        <v>90</v>
      </c>
      <c r="U701" t="s">
        <v>90</v>
      </c>
      <c r="V701" t="s">
        <v>62</v>
      </c>
      <c r="W701" t="s">
        <v>62</v>
      </c>
      <c r="X701">
        <v>1</v>
      </c>
      <c r="Y701">
        <v>2</v>
      </c>
      <c r="Z701">
        <v>7</v>
      </c>
      <c r="AA701">
        <v>0.22222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</v>
      </c>
      <c r="AI701">
        <v>2</v>
      </c>
      <c r="AJ701">
        <v>5</v>
      </c>
      <c r="AK701">
        <v>0.28571000000000002</v>
      </c>
      <c r="AL701">
        <v>10</v>
      </c>
      <c r="AM701">
        <v>7</v>
      </c>
      <c r="AN701">
        <v>21</v>
      </c>
      <c r="AO701">
        <v>6</v>
      </c>
      <c r="AP701">
        <v>12</v>
      </c>
      <c r="AQ701">
        <v>3</v>
      </c>
      <c r="AR701" t="s">
        <v>10176</v>
      </c>
      <c r="AS701" t="s">
        <v>10177</v>
      </c>
      <c r="AT701">
        <v>0.11700000000000001</v>
      </c>
      <c r="AU701" t="s">
        <v>65</v>
      </c>
      <c r="AV701">
        <v>33</v>
      </c>
      <c r="AW701">
        <v>9</v>
      </c>
      <c r="AX701" t="s">
        <v>10178</v>
      </c>
      <c r="AY701">
        <v>5.6899999999999999E-2</v>
      </c>
      <c r="AZ701">
        <v>-3.5500000000000002E-3</v>
      </c>
      <c r="BA701">
        <v>6.0400000000000002E-3</v>
      </c>
      <c r="BB701">
        <v>-4.2000000000000002E-4</v>
      </c>
      <c r="BC701">
        <v>0.10621</v>
      </c>
      <c r="BD701">
        <v>1</v>
      </c>
      <c r="BE701" t="s">
        <v>69</v>
      </c>
      <c r="BF701">
        <v>-0.52900000000000003</v>
      </c>
      <c r="BG701">
        <v>-0.6</v>
      </c>
    </row>
    <row r="702" spans="1:59">
      <c r="A702">
        <v>0</v>
      </c>
      <c r="B702">
        <v>3</v>
      </c>
      <c r="C702">
        <v>0</v>
      </c>
      <c r="D702" t="s">
        <v>25022</v>
      </c>
      <c r="E702">
        <v>676</v>
      </c>
      <c r="F702" t="s">
        <v>4215</v>
      </c>
      <c r="G702" t="s">
        <v>57</v>
      </c>
      <c r="H702">
        <v>698612</v>
      </c>
      <c r="I702">
        <v>699097</v>
      </c>
      <c r="J702" t="s">
        <v>4216</v>
      </c>
      <c r="K702">
        <v>162</v>
      </c>
      <c r="L702" t="s">
        <v>4088</v>
      </c>
      <c r="M702">
        <v>48</v>
      </c>
      <c r="N702" t="str">
        <f>HYPERLINK("Gene676-zp_tree_all.dnd", "Gene676-tree")</f>
        <v>Gene676-tree</v>
      </c>
      <c r="O702">
        <v>13</v>
      </c>
      <c r="P702">
        <v>3</v>
      </c>
      <c r="Q702">
        <v>13</v>
      </c>
      <c r="R702">
        <v>3</v>
      </c>
      <c r="S702">
        <v>0.1875</v>
      </c>
      <c r="T702" t="s">
        <v>507</v>
      </c>
      <c r="U702" t="s">
        <v>324</v>
      </c>
      <c r="V702" t="s">
        <v>62</v>
      </c>
      <c r="W702" t="s">
        <v>62</v>
      </c>
      <c r="X702">
        <v>1</v>
      </c>
      <c r="Y702">
        <v>3</v>
      </c>
      <c r="Z702">
        <v>5</v>
      </c>
      <c r="AA702">
        <v>0.375</v>
      </c>
      <c r="AB702">
        <v>0</v>
      </c>
      <c r="AC702">
        <v>0</v>
      </c>
      <c r="AD702">
        <v>0</v>
      </c>
      <c r="AE702">
        <v>2</v>
      </c>
      <c r="AF702">
        <v>0</v>
      </c>
      <c r="AG702">
        <v>2</v>
      </c>
      <c r="AH702">
        <v>0</v>
      </c>
      <c r="AI702">
        <v>2</v>
      </c>
      <c r="AJ702">
        <v>1</v>
      </c>
      <c r="AK702">
        <v>0.66666999999999998</v>
      </c>
      <c r="AL702">
        <v>10</v>
      </c>
      <c r="AM702">
        <v>8</v>
      </c>
      <c r="AN702">
        <v>16</v>
      </c>
      <c r="AO702">
        <v>3</v>
      </c>
      <c r="AP702">
        <v>32</v>
      </c>
      <c r="AQ702">
        <v>5</v>
      </c>
      <c r="AR702" t="s">
        <v>4217</v>
      </c>
      <c r="AS702" t="s">
        <v>4218</v>
      </c>
      <c r="AT702">
        <v>0.188</v>
      </c>
      <c r="AU702" t="s">
        <v>65</v>
      </c>
      <c r="AV702">
        <v>48</v>
      </c>
      <c r="AW702">
        <v>8</v>
      </c>
      <c r="AX702" t="s">
        <v>4219</v>
      </c>
      <c r="AY702">
        <v>9.5180000000000001E-2</v>
      </c>
      <c r="AZ702">
        <v>-6.3499999999999997E-3</v>
      </c>
      <c r="BA702">
        <v>5.4799999999999996E-3</v>
      </c>
      <c r="BB702">
        <v>-3.6999999999999999E-4</v>
      </c>
      <c r="BC702">
        <v>5.7540000000000001E-2</v>
      </c>
      <c r="BD702">
        <v>1</v>
      </c>
      <c r="BE702" t="s">
        <v>69</v>
      </c>
      <c r="BF702">
        <v>-1.478</v>
      </c>
      <c r="BG702">
        <v>-0.115</v>
      </c>
    </row>
    <row r="703" spans="1:59">
      <c r="A703">
        <v>0</v>
      </c>
      <c r="B703">
        <v>0</v>
      </c>
      <c r="C703">
        <v>0</v>
      </c>
      <c r="D703" t="s">
        <v>25022</v>
      </c>
      <c r="E703">
        <v>2818</v>
      </c>
      <c r="F703" t="s">
        <v>16168</v>
      </c>
      <c r="G703" t="s">
        <v>62</v>
      </c>
      <c r="H703">
        <v>2761910</v>
      </c>
      <c r="I703">
        <v>2762395</v>
      </c>
      <c r="J703" t="s">
        <v>16169</v>
      </c>
      <c r="K703">
        <v>162</v>
      </c>
      <c r="L703" t="s">
        <v>160</v>
      </c>
      <c r="M703">
        <v>45</v>
      </c>
      <c r="N703" t="str">
        <f>HYPERLINK("Gene2818-zp_tree_all.dnd", "Gene2818-tree")</f>
        <v>Gene2818-tree</v>
      </c>
      <c r="O703">
        <v>8</v>
      </c>
      <c r="P703">
        <v>3</v>
      </c>
      <c r="Q703">
        <v>8</v>
      </c>
      <c r="R703">
        <v>3</v>
      </c>
      <c r="S703">
        <v>0.27272999999999997</v>
      </c>
      <c r="T703" t="s">
        <v>136</v>
      </c>
      <c r="U703" t="s">
        <v>324</v>
      </c>
      <c r="V703" t="s">
        <v>62</v>
      </c>
      <c r="W703" t="s">
        <v>62</v>
      </c>
      <c r="X703">
        <v>0</v>
      </c>
      <c r="Y703">
        <v>0</v>
      </c>
      <c r="Z703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4</v>
      </c>
      <c r="AK703">
        <v>0</v>
      </c>
      <c r="AL703">
        <v>7</v>
      </c>
      <c r="AM703">
        <v>4</v>
      </c>
      <c r="AN703">
        <v>29</v>
      </c>
      <c r="AO703">
        <v>5</v>
      </c>
      <c r="AP703">
        <v>4</v>
      </c>
      <c r="AQ703">
        <v>0</v>
      </c>
      <c r="AR703" t="s">
        <v>16170</v>
      </c>
      <c r="AS703" t="s">
        <v>193</v>
      </c>
      <c r="AT703">
        <v>0.63100000000000001</v>
      </c>
      <c r="AU703" t="s">
        <v>65</v>
      </c>
      <c r="AV703">
        <v>33</v>
      </c>
      <c r="AW703">
        <v>5</v>
      </c>
      <c r="AX703" t="s">
        <v>16171</v>
      </c>
      <c r="AY703">
        <v>6.5299999999999997E-2</v>
      </c>
      <c r="AZ703">
        <v>-9.8300000000000002E-3</v>
      </c>
      <c r="BA703">
        <v>2.4299999999999999E-3</v>
      </c>
      <c r="BB703">
        <v>-4.2999999999999999E-4</v>
      </c>
      <c r="BC703">
        <v>3.7229999999999999E-2</v>
      </c>
      <c r="BD703">
        <v>1</v>
      </c>
      <c r="BE703" t="s">
        <v>69</v>
      </c>
      <c r="BF703">
        <v>-2.0019999999999998</v>
      </c>
      <c r="BG703">
        <v>-3.585</v>
      </c>
    </row>
    <row r="704" spans="1:59">
      <c r="A704">
        <v>0</v>
      </c>
      <c r="B704">
        <v>0</v>
      </c>
      <c r="C704">
        <v>0</v>
      </c>
      <c r="D704" t="s">
        <v>25022</v>
      </c>
      <c r="E704">
        <v>228</v>
      </c>
      <c r="F704" t="s">
        <v>1543</v>
      </c>
      <c r="G704" t="s">
        <v>57</v>
      </c>
      <c r="H704">
        <v>248268</v>
      </c>
      <c r="I704">
        <v>248753</v>
      </c>
      <c r="J704" t="s">
        <v>1544</v>
      </c>
      <c r="K704">
        <v>162</v>
      </c>
      <c r="L704" t="s">
        <v>108</v>
      </c>
      <c r="M704">
        <v>44</v>
      </c>
      <c r="N704" t="str">
        <f>HYPERLINK("Gene228-zp_tree_all.dnd", "Gene228-tree")</f>
        <v>Gene228-tree</v>
      </c>
      <c r="O704">
        <v>10</v>
      </c>
      <c r="P704">
        <v>1</v>
      </c>
      <c r="Q704">
        <v>10</v>
      </c>
      <c r="R704">
        <v>1</v>
      </c>
      <c r="S704">
        <v>9.0910000000000005E-2</v>
      </c>
      <c r="T704" t="s">
        <v>117</v>
      </c>
      <c r="U704" t="s">
        <v>175</v>
      </c>
      <c r="V704" t="s">
        <v>62</v>
      </c>
      <c r="W704" t="s">
        <v>62</v>
      </c>
      <c r="X704">
        <v>0</v>
      </c>
      <c r="Y704">
        <v>0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</v>
      </c>
      <c r="AK704">
        <v>0</v>
      </c>
      <c r="AL704">
        <v>7</v>
      </c>
      <c r="AM704">
        <v>6</v>
      </c>
      <c r="AN704">
        <v>16</v>
      </c>
      <c r="AO704">
        <v>2</v>
      </c>
      <c r="AP704">
        <v>8</v>
      </c>
      <c r="AQ704">
        <v>0</v>
      </c>
      <c r="AR704" t="s">
        <v>1545</v>
      </c>
      <c r="AS704" t="s">
        <v>193</v>
      </c>
      <c r="AT704">
        <v>0.41499999999999998</v>
      </c>
      <c r="AU704" t="s">
        <v>65</v>
      </c>
      <c r="AV704">
        <v>24</v>
      </c>
      <c r="AW704">
        <v>2</v>
      </c>
      <c r="AX704" t="s">
        <v>1546</v>
      </c>
      <c r="AY704">
        <v>5.228E-2</v>
      </c>
      <c r="AZ704">
        <v>-3.5000000000000001E-3</v>
      </c>
      <c r="BA704">
        <v>1.3600000000000001E-3</v>
      </c>
      <c r="BB704">
        <v>-2.5999999999999998E-4</v>
      </c>
      <c r="BC704">
        <v>2.6079999999999999E-2</v>
      </c>
      <c r="BD704">
        <v>1</v>
      </c>
      <c r="BE704" t="s">
        <v>69</v>
      </c>
      <c r="BF704">
        <v>-0.66</v>
      </c>
      <c r="BG704">
        <v>-2.2389999999999999</v>
      </c>
    </row>
    <row r="705" spans="1:59">
      <c r="A705">
        <v>0</v>
      </c>
      <c r="B705">
        <v>0</v>
      </c>
      <c r="C705">
        <v>0</v>
      </c>
      <c r="D705" t="s">
        <v>25022</v>
      </c>
      <c r="E705">
        <v>2003</v>
      </c>
      <c r="F705" t="s">
        <v>12475</v>
      </c>
      <c r="G705" t="s">
        <v>62</v>
      </c>
      <c r="H705">
        <v>2097129</v>
      </c>
      <c r="I705">
        <v>2097617</v>
      </c>
      <c r="J705" t="s">
        <v>2921</v>
      </c>
      <c r="K705">
        <v>163</v>
      </c>
      <c r="L705" t="s">
        <v>108</v>
      </c>
      <c r="M705">
        <v>44</v>
      </c>
      <c r="N705" t="str">
        <f>HYPERLINK("Gene2003-zp_tree_all.dnd", "Gene2003-tree")</f>
        <v>Gene2003-tree</v>
      </c>
      <c r="O705">
        <v>28</v>
      </c>
      <c r="P705">
        <v>2</v>
      </c>
      <c r="Q705">
        <v>8</v>
      </c>
      <c r="R705">
        <v>2</v>
      </c>
      <c r="S705">
        <v>0.2</v>
      </c>
      <c r="T705" t="s">
        <v>3778</v>
      </c>
      <c r="U705" t="s">
        <v>81</v>
      </c>
      <c r="V705" t="s">
        <v>62</v>
      </c>
      <c r="W705" t="s">
        <v>62</v>
      </c>
      <c r="X705">
        <v>0</v>
      </c>
      <c r="Y705">
        <v>0</v>
      </c>
      <c r="Z705">
        <v>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</v>
      </c>
      <c r="AK705">
        <v>0</v>
      </c>
      <c r="AL705">
        <v>6</v>
      </c>
      <c r="AM705">
        <v>4</v>
      </c>
      <c r="AN705">
        <v>5</v>
      </c>
      <c r="AO705">
        <v>2</v>
      </c>
      <c r="AP705">
        <v>5</v>
      </c>
      <c r="AQ705">
        <v>1</v>
      </c>
      <c r="AR705" t="s">
        <v>12476</v>
      </c>
      <c r="AS705" t="s">
        <v>12477</v>
      </c>
      <c r="AT705">
        <v>0.38900000000000001</v>
      </c>
      <c r="AU705" t="s">
        <v>65</v>
      </c>
      <c r="AV705">
        <v>10</v>
      </c>
      <c r="AW705">
        <v>3</v>
      </c>
      <c r="AX705" t="s">
        <v>12478</v>
      </c>
      <c r="AY705">
        <v>2.9860000000000001E-2</v>
      </c>
      <c r="AZ705">
        <v>-2.7100000000000002E-3</v>
      </c>
      <c r="BA705">
        <v>2.4299999999999999E-3</v>
      </c>
      <c r="BB705">
        <v>-2.5000000000000001E-4</v>
      </c>
      <c r="BC705">
        <v>8.1540000000000001E-2</v>
      </c>
      <c r="BD705">
        <v>1</v>
      </c>
      <c r="BE705" t="s">
        <v>69</v>
      </c>
      <c r="BF705">
        <v>-0.94299999999999995</v>
      </c>
      <c r="BG705">
        <v>-0.46500000000000002</v>
      </c>
    </row>
    <row r="706" spans="1:59">
      <c r="A706">
        <v>0</v>
      </c>
      <c r="B706">
        <v>0</v>
      </c>
      <c r="C706">
        <v>0</v>
      </c>
      <c r="D706" t="s">
        <v>25022</v>
      </c>
      <c r="E706">
        <v>1861</v>
      </c>
      <c r="F706" t="s">
        <v>11658</v>
      </c>
      <c r="G706" t="s">
        <v>57</v>
      </c>
      <c r="H706">
        <v>1924471</v>
      </c>
      <c r="I706">
        <v>1924959</v>
      </c>
      <c r="J706" t="s">
        <v>3095</v>
      </c>
      <c r="K706">
        <v>163</v>
      </c>
      <c r="L706" t="s">
        <v>59</v>
      </c>
      <c r="M706">
        <v>49</v>
      </c>
      <c r="N706" t="str">
        <f>HYPERLINK("Gene1861-zp_tree_all.dnd", "Gene1861-tree")</f>
        <v>Gene1861-tree</v>
      </c>
      <c r="O706">
        <v>12</v>
      </c>
      <c r="P706">
        <v>4</v>
      </c>
      <c r="Q706">
        <v>12</v>
      </c>
      <c r="R706">
        <v>4</v>
      </c>
      <c r="S706">
        <v>0.25</v>
      </c>
      <c r="T706" t="s">
        <v>109</v>
      </c>
      <c r="U706" t="s">
        <v>61</v>
      </c>
      <c r="V706" t="s">
        <v>62</v>
      </c>
      <c r="W706" t="s">
        <v>62</v>
      </c>
      <c r="X706">
        <v>0</v>
      </c>
      <c r="Y706">
        <v>0</v>
      </c>
      <c r="Z706">
        <v>9</v>
      </c>
      <c r="AA706">
        <v>0</v>
      </c>
      <c r="AB706">
        <v>0</v>
      </c>
      <c r="AC706">
        <v>0</v>
      </c>
      <c r="AD706">
        <v>0</v>
      </c>
      <c r="AE706">
        <v>2</v>
      </c>
      <c r="AF706">
        <v>0</v>
      </c>
      <c r="AG706">
        <v>0</v>
      </c>
      <c r="AH706">
        <v>0</v>
      </c>
      <c r="AI706">
        <v>0</v>
      </c>
      <c r="AJ706">
        <v>5</v>
      </c>
      <c r="AK706">
        <v>0</v>
      </c>
      <c r="AL706">
        <v>11</v>
      </c>
      <c r="AM706">
        <v>8</v>
      </c>
      <c r="AN706">
        <v>15</v>
      </c>
      <c r="AO706">
        <v>5</v>
      </c>
      <c r="AP706">
        <v>25</v>
      </c>
      <c r="AQ706">
        <v>4</v>
      </c>
      <c r="AR706" t="s">
        <v>11659</v>
      </c>
      <c r="AS706" t="s">
        <v>11660</v>
      </c>
      <c r="AT706">
        <v>0.53200000000000003</v>
      </c>
      <c r="AU706" t="s">
        <v>65</v>
      </c>
      <c r="AV706">
        <v>40</v>
      </c>
      <c r="AW706">
        <v>9</v>
      </c>
      <c r="AX706" t="s">
        <v>11661</v>
      </c>
      <c r="AY706">
        <v>0.10047</v>
      </c>
      <c r="AZ706">
        <v>-7.0899999999999999E-3</v>
      </c>
      <c r="BA706">
        <v>5.3E-3</v>
      </c>
      <c r="BB706">
        <v>-3.1E-4</v>
      </c>
      <c r="BC706">
        <v>5.2720000000000003E-2</v>
      </c>
      <c r="BD706">
        <v>1</v>
      </c>
      <c r="BE706" t="s">
        <v>69</v>
      </c>
      <c r="BF706">
        <v>-1.4570000000000001</v>
      </c>
      <c r="BG706">
        <v>-0.56299999999999994</v>
      </c>
    </row>
    <row r="707" spans="1:59">
      <c r="A707">
        <v>0</v>
      </c>
      <c r="B707">
        <v>0</v>
      </c>
      <c r="C707">
        <v>0</v>
      </c>
      <c r="D707" t="s">
        <v>25022</v>
      </c>
      <c r="E707">
        <v>2965</v>
      </c>
      <c r="F707" t="s">
        <v>17105</v>
      </c>
      <c r="G707" t="s">
        <v>62</v>
      </c>
      <c r="H707">
        <v>2909523</v>
      </c>
      <c r="I707">
        <v>2910011</v>
      </c>
      <c r="J707" t="s">
        <v>17106</v>
      </c>
      <c r="K707">
        <v>163</v>
      </c>
      <c r="L707" t="s">
        <v>108</v>
      </c>
      <c r="M707">
        <v>44</v>
      </c>
      <c r="N707" t="str">
        <f>HYPERLINK("Gene2965-zp_tree_all.dnd", "Gene2965-tree")</f>
        <v>Gene2965-tree</v>
      </c>
      <c r="O707">
        <v>9</v>
      </c>
      <c r="P707">
        <v>1</v>
      </c>
      <c r="Q707">
        <v>9</v>
      </c>
      <c r="R707">
        <v>1</v>
      </c>
      <c r="S707">
        <v>0.1</v>
      </c>
      <c r="T707" t="s">
        <v>135</v>
      </c>
      <c r="U707" t="s">
        <v>175</v>
      </c>
      <c r="V707" t="s">
        <v>62</v>
      </c>
      <c r="W707" t="s">
        <v>62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9</v>
      </c>
      <c r="AM707">
        <v>3</v>
      </c>
      <c r="AN707">
        <v>17</v>
      </c>
      <c r="AO707">
        <v>1</v>
      </c>
      <c r="AP707">
        <v>3</v>
      </c>
      <c r="AQ707">
        <v>0</v>
      </c>
      <c r="AR707" t="s">
        <v>17107</v>
      </c>
      <c r="AS707" t="s">
        <v>193</v>
      </c>
      <c r="AT707">
        <v>0.36199999999999999</v>
      </c>
      <c r="AU707" t="s">
        <v>65</v>
      </c>
      <c r="AV707">
        <v>20</v>
      </c>
      <c r="AW707">
        <v>1</v>
      </c>
      <c r="AX707" t="s">
        <v>17108</v>
      </c>
      <c r="AY707">
        <v>4.3430000000000003E-2</v>
      </c>
      <c r="AZ707">
        <v>-2.5500000000000002E-3</v>
      </c>
      <c r="BA707">
        <v>5.2999999999999998E-4</v>
      </c>
      <c r="BB707">
        <v>-1.6000000000000001E-4</v>
      </c>
      <c r="BC707">
        <v>1.226E-2</v>
      </c>
      <c r="BD707">
        <v>1</v>
      </c>
      <c r="BE707" t="s">
        <v>69</v>
      </c>
      <c r="BF707">
        <v>-0.86199999999999999</v>
      </c>
      <c r="BG707">
        <v>-2.4180000000000001</v>
      </c>
    </row>
    <row r="708" spans="1:59">
      <c r="A708">
        <v>0</v>
      </c>
      <c r="B708">
        <v>0</v>
      </c>
      <c r="C708">
        <v>2</v>
      </c>
      <c r="D708" t="s">
        <v>25022</v>
      </c>
      <c r="E708">
        <v>2625</v>
      </c>
      <c r="F708" t="s">
        <v>15378</v>
      </c>
      <c r="G708" t="s">
        <v>62</v>
      </c>
      <c r="H708">
        <v>2603376</v>
      </c>
      <c r="I708">
        <v>2603867</v>
      </c>
      <c r="J708" t="s">
        <v>116</v>
      </c>
      <c r="K708">
        <v>164</v>
      </c>
      <c r="L708" t="s">
        <v>59</v>
      </c>
      <c r="M708">
        <v>49</v>
      </c>
      <c r="N708" t="str">
        <f>HYPERLINK("Gene2625-zp_tree_all.dnd", "Gene2625-tree")</f>
        <v>Gene2625-tree</v>
      </c>
      <c r="O708">
        <v>13</v>
      </c>
      <c r="P708">
        <v>4</v>
      </c>
      <c r="Q708">
        <v>13</v>
      </c>
      <c r="R708">
        <v>4</v>
      </c>
      <c r="S708">
        <v>0.23529</v>
      </c>
      <c r="T708" t="s">
        <v>507</v>
      </c>
      <c r="U708" t="s">
        <v>61</v>
      </c>
      <c r="V708" t="s">
        <v>62</v>
      </c>
      <c r="W708" t="s">
        <v>62</v>
      </c>
      <c r="X708">
        <v>1</v>
      </c>
      <c r="Y708">
        <v>2</v>
      </c>
      <c r="Z708">
        <v>9</v>
      </c>
      <c r="AA708">
        <v>0.18182000000000001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4</v>
      </c>
      <c r="AK708">
        <v>0</v>
      </c>
      <c r="AL708">
        <v>12</v>
      </c>
      <c r="AM708">
        <v>10</v>
      </c>
      <c r="AN708">
        <v>16</v>
      </c>
      <c r="AO708">
        <v>4</v>
      </c>
      <c r="AP708">
        <v>18</v>
      </c>
      <c r="AQ708">
        <v>7</v>
      </c>
      <c r="AR708" t="s">
        <v>15379</v>
      </c>
      <c r="AS708" t="s">
        <v>15380</v>
      </c>
      <c r="AT708">
        <v>0.38300000000000001</v>
      </c>
      <c r="AU708" t="s">
        <v>65</v>
      </c>
      <c r="AV708">
        <v>34</v>
      </c>
      <c r="AW708">
        <v>11</v>
      </c>
      <c r="AX708" t="s">
        <v>15381</v>
      </c>
      <c r="AY708">
        <v>6.7390000000000005E-2</v>
      </c>
      <c r="AZ708">
        <v>-4.13E-3</v>
      </c>
      <c r="BA708">
        <v>6.3E-3</v>
      </c>
      <c r="BB708">
        <v>-4.4999999999999999E-4</v>
      </c>
      <c r="BC708">
        <v>9.3549999999999994E-2</v>
      </c>
      <c r="BD708">
        <v>1</v>
      </c>
      <c r="BE708" t="s">
        <v>69</v>
      </c>
      <c r="BF708">
        <v>-1.194</v>
      </c>
      <c r="BG708">
        <v>-6.5000000000000002E-2</v>
      </c>
    </row>
    <row r="709" spans="1:59">
      <c r="A709">
        <v>0</v>
      </c>
      <c r="B709">
        <v>6</v>
      </c>
      <c r="C709">
        <v>0</v>
      </c>
      <c r="D709" t="s">
        <v>25022</v>
      </c>
      <c r="E709">
        <v>2327</v>
      </c>
      <c r="F709" t="s">
        <v>13493</v>
      </c>
      <c r="G709" t="s">
        <v>62</v>
      </c>
      <c r="H709">
        <v>2344267</v>
      </c>
      <c r="I709">
        <v>2344758</v>
      </c>
      <c r="J709" t="s">
        <v>116</v>
      </c>
      <c r="K709">
        <v>164</v>
      </c>
      <c r="L709" t="s">
        <v>108</v>
      </c>
      <c r="M709">
        <v>44</v>
      </c>
      <c r="N709" t="str">
        <f>HYPERLINK("Gene2327-zp_tree_all.dnd", "Gene2327-tree")</f>
        <v>Gene2327-tree</v>
      </c>
      <c r="O709">
        <v>5</v>
      </c>
      <c r="P709">
        <v>6</v>
      </c>
      <c r="Q709">
        <v>5</v>
      </c>
      <c r="R709">
        <v>6</v>
      </c>
      <c r="S709">
        <v>0.54544999999999999</v>
      </c>
      <c r="T709" t="s">
        <v>199</v>
      </c>
      <c r="U709" t="s">
        <v>90</v>
      </c>
      <c r="V709" t="s">
        <v>62</v>
      </c>
      <c r="W709" t="s">
        <v>62</v>
      </c>
      <c r="X709">
        <v>1</v>
      </c>
      <c r="Y709">
        <v>6</v>
      </c>
      <c r="Z709">
        <v>4</v>
      </c>
      <c r="AA709">
        <v>0.6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5</v>
      </c>
      <c r="AH709">
        <v>0</v>
      </c>
      <c r="AI709">
        <v>5</v>
      </c>
      <c r="AJ709">
        <v>3</v>
      </c>
      <c r="AK709">
        <v>0.625</v>
      </c>
      <c r="AL709">
        <v>10</v>
      </c>
      <c r="AM709">
        <v>2</v>
      </c>
      <c r="AN709">
        <v>17</v>
      </c>
      <c r="AO709">
        <v>8</v>
      </c>
      <c r="AP709">
        <v>3</v>
      </c>
      <c r="AQ709">
        <v>2</v>
      </c>
      <c r="AR709" t="s">
        <v>13494</v>
      </c>
      <c r="AS709" t="s">
        <v>13495</v>
      </c>
      <c r="AT709">
        <v>0.34899999999999998</v>
      </c>
      <c r="AU709" t="s">
        <v>65</v>
      </c>
      <c r="AV709">
        <v>20</v>
      </c>
      <c r="AW709">
        <v>10</v>
      </c>
      <c r="AX709" t="s">
        <v>13496</v>
      </c>
      <c r="AY709">
        <v>4.2430000000000002E-2</v>
      </c>
      <c r="AZ709">
        <v>-3.6700000000000001E-3</v>
      </c>
      <c r="BA709">
        <v>3.5599999999999998E-3</v>
      </c>
      <c r="BB709">
        <v>-2.7999999999999998E-4</v>
      </c>
      <c r="BC709">
        <v>8.3979999999999999E-2</v>
      </c>
      <c r="BD709">
        <v>1</v>
      </c>
      <c r="BE709" t="s">
        <v>69</v>
      </c>
      <c r="BF709">
        <v>-2.0910000000000002</v>
      </c>
      <c r="BG709">
        <v>-3.6880000000000002</v>
      </c>
    </row>
    <row r="710" spans="1:59">
      <c r="A710">
        <v>0</v>
      </c>
      <c r="B710">
        <v>4</v>
      </c>
      <c r="C710">
        <v>0</v>
      </c>
      <c r="D710" t="s">
        <v>25022</v>
      </c>
      <c r="E710">
        <v>3070</v>
      </c>
      <c r="F710" t="s">
        <v>17780</v>
      </c>
      <c r="G710" t="s">
        <v>62</v>
      </c>
      <c r="H710">
        <v>3019536</v>
      </c>
      <c r="I710">
        <v>3020027</v>
      </c>
      <c r="J710" t="s">
        <v>3095</v>
      </c>
      <c r="K710">
        <v>164</v>
      </c>
      <c r="L710" t="s">
        <v>108</v>
      </c>
      <c r="M710">
        <v>44</v>
      </c>
      <c r="N710" t="str">
        <f>HYPERLINK("Gene3070-zp_tree_all.dnd", "Gene3070-tree")</f>
        <v>Gene3070-tree</v>
      </c>
      <c r="O710">
        <v>8</v>
      </c>
      <c r="P710">
        <v>6</v>
      </c>
      <c r="Q710">
        <v>8</v>
      </c>
      <c r="R710">
        <v>6</v>
      </c>
      <c r="S710">
        <v>0.42857000000000001</v>
      </c>
      <c r="T710" t="s">
        <v>136</v>
      </c>
      <c r="U710" t="s">
        <v>90</v>
      </c>
      <c r="V710" t="s">
        <v>62</v>
      </c>
      <c r="W710" t="s">
        <v>62</v>
      </c>
      <c r="X710">
        <v>2</v>
      </c>
      <c r="Y710">
        <v>4</v>
      </c>
      <c r="Z710">
        <v>3</v>
      </c>
      <c r="AA710">
        <v>0.57142999999999999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</v>
      </c>
      <c r="AH710">
        <v>0</v>
      </c>
      <c r="AI710">
        <v>2</v>
      </c>
      <c r="AJ710">
        <v>4</v>
      </c>
      <c r="AK710">
        <v>0.33333000000000002</v>
      </c>
      <c r="AL710">
        <v>12</v>
      </c>
      <c r="AM710">
        <v>6</v>
      </c>
      <c r="AN710">
        <v>12</v>
      </c>
      <c r="AO710">
        <v>6</v>
      </c>
      <c r="AP710">
        <v>6</v>
      </c>
      <c r="AQ710">
        <v>1</v>
      </c>
      <c r="AR710" t="s">
        <v>17781</v>
      </c>
      <c r="AS710" t="s">
        <v>17782</v>
      </c>
      <c r="AT710">
        <v>0.69099999999999995</v>
      </c>
      <c r="AU710" t="s">
        <v>65</v>
      </c>
      <c r="AV710">
        <v>18</v>
      </c>
      <c r="AW710">
        <v>7</v>
      </c>
      <c r="AX710" t="s">
        <v>17783</v>
      </c>
      <c r="AY710">
        <v>3.5349999999999999E-2</v>
      </c>
      <c r="AZ710">
        <v>-2.0999999999999999E-3</v>
      </c>
      <c r="BA710">
        <v>2.81E-3</v>
      </c>
      <c r="BB710">
        <v>-1.9000000000000001E-4</v>
      </c>
      <c r="BC710">
        <v>7.9600000000000004E-2</v>
      </c>
      <c r="BD710">
        <v>1</v>
      </c>
      <c r="BE710" t="s">
        <v>69</v>
      </c>
      <c r="BF710">
        <v>-0.751</v>
      </c>
      <c r="BG710">
        <v>-1.883</v>
      </c>
    </row>
    <row r="711" spans="1:59">
      <c r="A711">
        <v>0</v>
      </c>
      <c r="B711">
        <v>0</v>
      </c>
      <c r="C711">
        <v>0</v>
      </c>
      <c r="D711" t="s">
        <v>25022</v>
      </c>
      <c r="E711">
        <v>1154</v>
      </c>
      <c r="F711" t="s">
        <v>7262</v>
      </c>
      <c r="G711" t="s">
        <v>57</v>
      </c>
      <c r="H711">
        <v>1194333</v>
      </c>
      <c r="I711">
        <v>1194824</v>
      </c>
      <c r="J711" t="s">
        <v>7263</v>
      </c>
      <c r="K711">
        <v>164</v>
      </c>
      <c r="L711" t="s">
        <v>2078</v>
      </c>
      <c r="M711">
        <v>36</v>
      </c>
      <c r="N711" t="str">
        <f>HYPERLINK("Gene1154-zp_tree_all.dnd", "Gene1154-tree")</f>
        <v>Gene1154-tree</v>
      </c>
      <c r="O711">
        <v>29</v>
      </c>
      <c r="P711">
        <v>2</v>
      </c>
      <c r="Q711">
        <v>8</v>
      </c>
      <c r="R711">
        <v>2</v>
      </c>
      <c r="S711">
        <v>0.2</v>
      </c>
      <c r="T711" t="s">
        <v>4745</v>
      </c>
      <c r="U711" t="s">
        <v>81</v>
      </c>
      <c r="V711" t="s">
        <v>62</v>
      </c>
      <c r="W711" t="s">
        <v>62</v>
      </c>
      <c r="X711">
        <v>0</v>
      </c>
      <c r="Y711">
        <v>0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</v>
      </c>
      <c r="AK711">
        <v>0</v>
      </c>
      <c r="AL711">
        <v>7</v>
      </c>
      <c r="AM711">
        <v>6</v>
      </c>
      <c r="AN711">
        <v>9</v>
      </c>
      <c r="AO711">
        <v>1</v>
      </c>
      <c r="AP711">
        <v>5</v>
      </c>
      <c r="AQ711">
        <v>1</v>
      </c>
      <c r="AR711" t="s">
        <v>7264</v>
      </c>
      <c r="AS711" t="s">
        <v>7265</v>
      </c>
      <c r="AT711">
        <v>0.17799999999999999</v>
      </c>
      <c r="AU711" t="s">
        <v>65</v>
      </c>
      <c r="AV711">
        <v>14</v>
      </c>
      <c r="AW711">
        <v>2</v>
      </c>
      <c r="AX711" t="s">
        <v>7266</v>
      </c>
      <c r="AY711">
        <v>3.5909999999999997E-2</v>
      </c>
      <c r="AZ711">
        <v>-2.3400000000000001E-3</v>
      </c>
      <c r="BA711">
        <v>1.5E-3</v>
      </c>
      <c r="BB711">
        <v>-3.1E-4</v>
      </c>
      <c r="BC711">
        <v>4.1779999999999998E-2</v>
      </c>
      <c r="BD711">
        <v>1</v>
      </c>
      <c r="BE711" t="s">
        <v>69</v>
      </c>
      <c r="BF711">
        <v>-0.16400000000000001</v>
      </c>
      <c r="BG711">
        <v>-0.11700000000000001</v>
      </c>
    </row>
    <row r="712" spans="1:59">
      <c r="A712">
        <v>0</v>
      </c>
      <c r="B712">
        <v>0</v>
      </c>
      <c r="C712">
        <v>0</v>
      </c>
      <c r="D712" t="s">
        <v>25022</v>
      </c>
      <c r="E712">
        <v>1603</v>
      </c>
      <c r="F712" t="s">
        <v>10033</v>
      </c>
      <c r="G712" t="s">
        <v>57</v>
      </c>
      <c r="H712">
        <v>1612521</v>
      </c>
      <c r="I712">
        <v>1613012</v>
      </c>
      <c r="J712" t="s">
        <v>506</v>
      </c>
      <c r="K712">
        <v>164</v>
      </c>
      <c r="L712" t="s">
        <v>59</v>
      </c>
      <c r="M712">
        <v>49</v>
      </c>
      <c r="N712" t="str">
        <f>HYPERLINK("Gene1603-zp_tree_all.dnd", "Gene1603-tree")</f>
        <v>Gene1603-tree</v>
      </c>
      <c r="O712">
        <v>14</v>
      </c>
      <c r="P712">
        <v>1</v>
      </c>
      <c r="Q712">
        <v>14</v>
      </c>
      <c r="R712">
        <v>1</v>
      </c>
      <c r="S712">
        <v>6.6669999999999993E-2</v>
      </c>
      <c r="T712" t="s">
        <v>543</v>
      </c>
      <c r="U712" t="s">
        <v>175</v>
      </c>
      <c r="V712" t="s">
        <v>62</v>
      </c>
      <c r="W712" t="s">
        <v>62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10</v>
      </c>
      <c r="AM712">
        <v>7</v>
      </c>
      <c r="AN712">
        <v>32</v>
      </c>
      <c r="AO712">
        <v>1</v>
      </c>
      <c r="AP712">
        <v>24</v>
      </c>
      <c r="AQ712">
        <v>0</v>
      </c>
      <c r="AR712" t="s">
        <v>10034</v>
      </c>
      <c r="AS712" t="s">
        <v>193</v>
      </c>
      <c r="AT712">
        <v>0.33100000000000002</v>
      </c>
      <c r="AU712" t="s">
        <v>65</v>
      </c>
      <c r="AV712">
        <v>56</v>
      </c>
      <c r="AW712">
        <v>1</v>
      </c>
      <c r="AX712" t="s">
        <v>10035</v>
      </c>
      <c r="AY712">
        <v>0.13339000000000001</v>
      </c>
      <c r="AZ712">
        <v>-7.8899999999999994E-3</v>
      </c>
      <c r="BA712">
        <v>3.4000000000000002E-4</v>
      </c>
      <c r="BB712">
        <v>-8.0000000000000007E-5</v>
      </c>
      <c r="BC712">
        <v>2.5600000000000002E-3</v>
      </c>
      <c r="BD712">
        <v>1</v>
      </c>
      <c r="BE712" t="s">
        <v>69</v>
      </c>
      <c r="BF712">
        <v>-1.0960000000000001</v>
      </c>
      <c r="BG712">
        <v>-2.4670000000000001</v>
      </c>
    </row>
    <row r="713" spans="1:59">
      <c r="A713">
        <v>0</v>
      </c>
      <c r="B713">
        <v>0</v>
      </c>
      <c r="C713">
        <v>0</v>
      </c>
      <c r="D713" t="s">
        <v>25022</v>
      </c>
      <c r="E713">
        <v>1271</v>
      </c>
      <c r="F713" t="s">
        <v>7967</v>
      </c>
      <c r="G713" t="s">
        <v>57</v>
      </c>
      <c r="H713">
        <v>1297726</v>
      </c>
      <c r="I713">
        <v>1298220</v>
      </c>
      <c r="J713" t="s">
        <v>7968</v>
      </c>
      <c r="K713">
        <v>165</v>
      </c>
      <c r="L713" t="s">
        <v>2289</v>
      </c>
      <c r="M713">
        <v>37</v>
      </c>
      <c r="N713" t="str">
        <f>HYPERLINK("Gene1271-zp_tree_all.dnd", "Gene1271-tree")</f>
        <v>Gene1271-tree</v>
      </c>
      <c r="O713">
        <v>5</v>
      </c>
      <c r="P713">
        <v>9</v>
      </c>
      <c r="Q713">
        <v>5</v>
      </c>
      <c r="R713">
        <v>9</v>
      </c>
      <c r="S713">
        <v>0.64285999999999999</v>
      </c>
      <c r="T713" t="s">
        <v>199</v>
      </c>
      <c r="U713" t="s">
        <v>135</v>
      </c>
      <c r="V713" t="s">
        <v>62</v>
      </c>
      <c r="W713" t="s">
        <v>62</v>
      </c>
      <c r="X713">
        <v>0</v>
      </c>
      <c r="Y713">
        <v>0</v>
      </c>
      <c r="Z713">
        <v>15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12</v>
      </c>
      <c r="AK713">
        <v>0</v>
      </c>
      <c r="AL713">
        <v>9</v>
      </c>
      <c r="AM713">
        <v>9</v>
      </c>
      <c r="AN713">
        <v>6</v>
      </c>
      <c r="AO713">
        <v>9</v>
      </c>
      <c r="AP713">
        <v>9</v>
      </c>
      <c r="AQ713">
        <v>6</v>
      </c>
      <c r="AR713" t="s">
        <v>7969</v>
      </c>
      <c r="AS713" t="s">
        <v>7970</v>
      </c>
      <c r="AT713">
        <v>0.76500000000000001</v>
      </c>
      <c r="AU713" t="s">
        <v>65</v>
      </c>
      <c r="AV713">
        <v>15</v>
      </c>
      <c r="AW713">
        <v>15</v>
      </c>
      <c r="AX713" t="s">
        <v>7971</v>
      </c>
      <c r="AY713">
        <v>3.0290000000000001E-2</v>
      </c>
      <c r="AZ713">
        <v>-1.4E-3</v>
      </c>
      <c r="BA713">
        <v>8.6499999999999997E-3</v>
      </c>
      <c r="BB713">
        <v>-5.2999999999999998E-4</v>
      </c>
      <c r="BC713">
        <v>0.28556999999999999</v>
      </c>
      <c r="BD713">
        <v>1</v>
      </c>
      <c r="BE713" t="s">
        <v>69</v>
      </c>
      <c r="BF713">
        <v>-0.84699999999999998</v>
      </c>
      <c r="BG713">
        <v>-0.97399999999999998</v>
      </c>
    </row>
    <row r="714" spans="1:59">
      <c r="A714">
        <v>0</v>
      </c>
      <c r="B714">
        <v>2</v>
      </c>
      <c r="C714">
        <v>0</v>
      </c>
      <c r="D714" t="s">
        <v>25022</v>
      </c>
      <c r="E714">
        <v>1406</v>
      </c>
      <c r="F714" t="s">
        <v>8800</v>
      </c>
      <c r="G714" t="s">
        <v>57</v>
      </c>
      <c r="H714">
        <v>1421426</v>
      </c>
      <c r="I714">
        <v>1421920</v>
      </c>
      <c r="J714" t="s">
        <v>8801</v>
      </c>
      <c r="K714">
        <v>165</v>
      </c>
      <c r="L714" t="s">
        <v>108</v>
      </c>
      <c r="M714">
        <v>44</v>
      </c>
      <c r="N714" t="str">
        <f>HYPERLINK("Gene1406-zp_tree_all.dnd", "Gene1406-tree")</f>
        <v>Gene1406-tree</v>
      </c>
      <c r="O714">
        <v>5</v>
      </c>
      <c r="P714">
        <v>8</v>
      </c>
      <c r="Q714">
        <v>5</v>
      </c>
      <c r="R714">
        <v>8</v>
      </c>
      <c r="S714">
        <v>0.61538000000000004</v>
      </c>
      <c r="T714" t="s">
        <v>199</v>
      </c>
      <c r="U714" t="s">
        <v>136</v>
      </c>
      <c r="V714" t="s">
        <v>62</v>
      </c>
      <c r="W714" t="s">
        <v>62</v>
      </c>
      <c r="X714">
        <v>1</v>
      </c>
      <c r="Y714">
        <v>2</v>
      </c>
      <c r="Z714">
        <v>14</v>
      </c>
      <c r="AA714">
        <v>0.125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</v>
      </c>
      <c r="AH714">
        <v>0</v>
      </c>
      <c r="AI714">
        <v>2</v>
      </c>
      <c r="AJ714">
        <v>10</v>
      </c>
      <c r="AK714">
        <v>0.16667000000000001</v>
      </c>
      <c r="AL714">
        <v>11</v>
      </c>
      <c r="AM714">
        <v>7</v>
      </c>
      <c r="AN714">
        <v>12</v>
      </c>
      <c r="AO714">
        <v>12</v>
      </c>
      <c r="AP714">
        <v>5</v>
      </c>
      <c r="AQ714">
        <v>4</v>
      </c>
      <c r="AR714" t="s">
        <v>8802</v>
      </c>
      <c r="AS714" t="s">
        <v>8803</v>
      </c>
      <c r="AT714">
        <v>0.154</v>
      </c>
      <c r="AU714" t="s">
        <v>65</v>
      </c>
      <c r="AV714">
        <v>17</v>
      </c>
      <c r="AW714">
        <v>16</v>
      </c>
      <c r="AX714" t="s">
        <v>8804</v>
      </c>
      <c r="AY714">
        <v>3.0700000000000002E-2</v>
      </c>
      <c r="AZ714">
        <v>-1.64E-3</v>
      </c>
      <c r="BA714">
        <v>8.5800000000000008E-3</v>
      </c>
      <c r="BB714">
        <v>-4.4999999999999999E-4</v>
      </c>
      <c r="BC714">
        <v>0.27962999999999999</v>
      </c>
      <c r="BD714">
        <v>1</v>
      </c>
      <c r="BE714" t="s">
        <v>69</v>
      </c>
      <c r="BF714">
        <v>-0.58099999999999996</v>
      </c>
      <c r="BG714">
        <v>-0.38300000000000001</v>
      </c>
    </row>
    <row r="715" spans="1:59">
      <c r="A715">
        <v>0</v>
      </c>
      <c r="B715">
        <v>4</v>
      </c>
      <c r="C715">
        <v>0</v>
      </c>
      <c r="D715" t="s">
        <v>25022</v>
      </c>
      <c r="E715">
        <v>1943</v>
      </c>
      <c r="F715" t="s">
        <v>12173</v>
      </c>
      <c r="G715" t="s">
        <v>62</v>
      </c>
      <c r="H715">
        <v>2041333</v>
      </c>
      <c r="I715">
        <v>2041827</v>
      </c>
      <c r="J715" t="s">
        <v>1523</v>
      </c>
      <c r="K715">
        <v>165</v>
      </c>
      <c r="L715" t="s">
        <v>12174</v>
      </c>
      <c r="M715">
        <v>35</v>
      </c>
      <c r="N715" t="str">
        <f>HYPERLINK("Gene1943-zp_tree_all.dnd", "Gene1943-tree")</f>
        <v>Gene1943-tree</v>
      </c>
      <c r="O715">
        <v>3</v>
      </c>
      <c r="P715">
        <v>8</v>
      </c>
      <c r="Q715">
        <v>3</v>
      </c>
      <c r="R715">
        <v>8</v>
      </c>
      <c r="S715">
        <v>0.72726999999999997</v>
      </c>
      <c r="T715" t="s">
        <v>324</v>
      </c>
      <c r="U715" t="s">
        <v>136</v>
      </c>
      <c r="V715" t="s">
        <v>62</v>
      </c>
      <c r="W715" t="s">
        <v>62</v>
      </c>
      <c r="X715">
        <v>2</v>
      </c>
      <c r="Y715">
        <v>4</v>
      </c>
      <c r="Z715">
        <v>19</v>
      </c>
      <c r="AA715">
        <v>0.17391000000000001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</v>
      </c>
      <c r="AH715">
        <v>0</v>
      </c>
      <c r="AI715">
        <v>2</v>
      </c>
      <c r="AJ715">
        <v>15</v>
      </c>
      <c r="AK715">
        <v>0.11765</v>
      </c>
      <c r="AL715">
        <v>10</v>
      </c>
      <c r="AM715">
        <v>6</v>
      </c>
      <c r="AN715">
        <v>15</v>
      </c>
      <c r="AO715">
        <v>17</v>
      </c>
      <c r="AP715">
        <v>6</v>
      </c>
      <c r="AQ715">
        <v>6</v>
      </c>
      <c r="AR715" t="s">
        <v>12175</v>
      </c>
      <c r="AS715" t="s">
        <v>12176</v>
      </c>
      <c r="AT715">
        <v>6.8000000000000005E-2</v>
      </c>
      <c r="AU715" t="s">
        <v>65</v>
      </c>
      <c r="AV715">
        <v>21</v>
      </c>
      <c r="AW715">
        <v>23</v>
      </c>
      <c r="AX715" t="s">
        <v>12177</v>
      </c>
      <c r="AY715">
        <v>5.1520000000000003E-2</v>
      </c>
      <c r="AZ715">
        <v>-5.1000000000000004E-3</v>
      </c>
      <c r="BA715">
        <v>1.43E-2</v>
      </c>
      <c r="BB715">
        <v>-7.6999999999999996E-4</v>
      </c>
      <c r="BC715">
        <v>0.27750999999999998</v>
      </c>
      <c r="BD715">
        <v>1</v>
      </c>
      <c r="BE715" t="s">
        <v>69</v>
      </c>
      <c r="BF715">
        <v>-1.117</v>
      </c>
      <c r="BG715">
        <v>-1.9159999999999999</v>
      </c>
    </row>
    <row r="716" spans="1:59">
      <c r="A716">
        <v>0</v>
      </c>
      <c r="B716">
        <v>8</v>
      </c>
      <c r="C716">
        <v>2</v>
      </c>
      <c r="D716" t="s">
        <v>25022</v>
      </c>
      <c r="E716">
        <v>2878</v>
      </c>
      <c r="F716" t="s">
        <v>16553</v>
      </c>
      <c r="G716" t="s">
        <v>62</v>
      </c>
      <c r="H716">
        <v>2826248</v>
      </c>
      <c r="I716">
        <v>2826742</v>
      </c>
      <c r="J716" t="s">
        <v>16554</v>
      </c>
      <c r="K716">
        <v>165</v>
      </c>
      <c r="L716" t="s">
        <v>108</v>
      </c>
      <c r="M716">
        <v>44</v>
      </c>
      <c r="N716" t="str">
        <f>HYPERLINK("Gene2878-zp_tree_all.dnd", "Gene2878-tree")</f>
        <v>Gene2878-tree</v>
      </c>
      <c r="O716">
        <v>4</v>
      </c>
      <c r="P716">
        <v>7</v>
      </c>
      <c r="Q716">
        <v>4</v>
      </c>
      <c r="R716">
        <v>7</v>
      </c>
      <c r="S716">
        <v>0.63636000000000004</v>
      </c>
      <c r="T716" t="s">
        <v>61</v>
      </c>
      <c r="U716" t="s">
        <v>152</v>
      </c>
      <c r="V716" t="s">
        <v>62</v>
      </c>
      <c r="W716" t="s">
        <v>62</v>
      </c>
      <c r="X716">
        <v>4</v>
      </c>
      <c r="Y716">
        <v>10</v>
      </c>
      <c r="Z716">
        <v>3</v>
      </c>
      <c r="AA716">
        <v>0.76922999999999997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6</v>
      </c>
      <c r="AH716">
        <v>2</v>
      </c>
      <c r="AI716">
        <v>8</v>
      </c>
      <c r="AJ716">
        <v>3</v>
      </c>
      <c r="AK716">
        <v>0.72726999999999997</v>
      </c>
      <c r="AL716">
        <v>9</v>
      </c>
      <c r="AM716">
        <v>5</v>
      </c>
      <c r="AN716">
        <v>13</v>
      </c>
      <c r="AO716">
        <v>11</v>
      </c>
      <c r="AP716">
        <v>7</v>
      </c>
      <c r="AQ716">
        <v>2</v>
      </c>
      <c r="AR716" t="s">
        <v>16555</v>
      </c>
      <c r="AS716" t="s">
        <v>16556</v>
      </c>
      <c r="AT716">
        <v>0.88700000000000001</v>
      </c>
      <c r="AU716" t="s">
        <v>65</v>
      </c>
      <c r="AV716">
        <v>20</v>
      </c>
      <c r="AW716">
        <v>13</v>
      </c>
      <c r="AX716" t="s">
        <v>16557</v>
      </c>
      <c r="AY716">
        <v>4.4400000000000002E-2</v>
      </c>
      <c r="AZ716">
        <v>-3.1900000000000001E-3</v>
      </c>
      <c r="BA716">
        <v>6.6E-3</v>
      </c>
      <c r="BB716">
        <v>-5.1000000000000004E-4</v>
      </c>
      <c r="BC716">
        <v>0.14860999999999999</v>
      </c>
      <c r="BD716">
        <v>0.99</v>
      </c>
      <c r="BE716" t="s">
        <v>69</v>
      </c>
      <c r="BF716">
        <v>-1.222</v>
      </c>
      <c r="BG716">
        <v>-1.119</v>
      </c>
    </row>
    <row r="717" spans="1:59">
      <c r="A717">
        <v>0</v>
      </c>
      <c r="B717">
        <v>6</v>
      </c>
      <c r="C717">
        <v>1</v>
      </c>
      <c r="D717" t="s">
        <v>25022</v>
      </c>
      <c r="E717">
        <v>1439</v>
      </c>
      <c r="F717" t="s">
        <v>9009</v>
      </c>
      <c r="G717" t="s">
        <v>57</v>
      </c>
      <c r="H717">
        <v>1450638</v>
      </c>
      <c r="I717">
        <v>1451132</v>
      </c>
      <c r="J717" t="s">
        <v>9010</v>
      </c>
      <c r="K717">
        <v>165</v>
      </c>
      <c r="L717" t="s">
        <v>108</v>
      </c>
      <c r="M717">
        <v>44</v>
      </c>
      <c r="N717" t="str">
        <f>HYPERLINK("Gene1439-zp_tree_all.dnd", "Gene1439-tree")</f>
        <v>Gene1439-tree</v>
      </c>
      <c r="O717">
        <v>7</v>
      </c>
      <c r="P717">
        <v>9</v>
      </c>
      <c r="Q717">
        <v>7</v>
      </c>
      <c r="R717">
        <v>9</v>
      </c>
      <c r="S717">
        <v>0.5625</v>
      </c>
      <c r="T717" t="s">
        <v>152</v>
      </c>
      <c r="U717" t="s">
        <v>135</v>
      </c>
      <c r="V717" t="s">
        <v>62</v>
      </c>
      <c r="W717" t="s">
        <v>62</v>
      </c>
      <c r="X717">
        <v>3</v>
      </c>
      <c r="Y717">
        <v>7</v>
      </c>
      <c r="Z717">
        <v>4</v>
      </c>
      <c r="AA717">
        <v>0.63636000000000004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4</v>
      </c>
      <c r="AH717">
        <v>1</v>
      </c>
      <c r="AI717">
        <v>5</v>
      </c>
      <c r="AJ717">
        <v>5</v>
      </c>
      <c r="AK717">
        <v>0.5</v>
      </c>
      <c r="AL717">
        <v>11</v>
      </c>
      <c r="AM717">
        <v>7</v>
      </c>
      <c r="AN717">
        <v>22</v>
      </c>
      <c r="AO717">
        <v>11</v>
      </c>
      <c r="AP717">
        <v>9</v>
      </c>
      <c r="AQ717">
        <v>1</v>
      </c>
      <c r="AR717" t="s">
        <v>9011</v>
      </c>
      <c r="AS717" t="s">
        <v>9012</v>
      </c>
      <c r="AT717">
        <v>1.1220000000000001</v>
      </c>
      <c r="AU717" t="s">
        <v>65</v>
      </c>
      <c r="AV717">
        <v>31</v>
      </c>
      <c r="AW717">
        <v>12</v>
      </c>
      <c r="AX717" t="s">
        <v>9013</v>
      </c>
      <c r="AY717">
        <v>4.8430000000000001E-2</v>
      </c>
      <c r="AZ717">
        <v>-2.3700000000000001E-3</v>
      </c>
      <c r="BA717">
        <v>4.3600000000000002E-3</v>
      </c>
      <c r="BB717">
        <v>-2.7E-4</v>
      </c>
      <c r="BC717">
        <v>8.992E-2</v>
      </c>
      <c r="BD717">
        <v>1</v>
      </c>
      <c r="BE717" t="s">
        <v>69</v>
      </c>
      <c r="BF717">
        <v>-0.751</v>
      </c>
      <c r="BG717">
        <v>-1.196</v>
      </c>
    </row>
    <row r="718" spans="1:59">
      <c r="A718">
        <v>0</v>
      </c>
      <c r="B718">
        <v>2</v>
      </c>
      <c r="C718">
        <v>0</v>
      </c>
      <c r="D718" t="s">
        <v>25022</v>
      </c>
      <c r="E718">
        <v>4092</v>
      </c>
      <c r="F718" t="s">
        <v>24093</v>
      </c>
      <c r="G718" t="s">
        <v>62</v>
      </c>
      <c r="H718">
        <v>4060310</v>
      </c>
      <c r="I718">
        <v>4060804</v>
      </c>
      <c r="J718" t="s">
        <v>24094</v>
      </c>
      <c r="K718">
        <v>165</v>
      </c>
      <c r="L718" t="s">
        <v>108</v>
      </c>
      <c r="M718">
        <v>44</v>
      </c>
      <c r="N718" t="str">
        <f>HYPERLINK("Gene4092-zp_tree_all.dnd", "Gene4092-tree")</f>
        <v>Gene4092-tree</v>
      </c>
      <c r="O718">
        <v>12</v>
      </c>
      <c r="P718">
        <v>1</v>
      </c>
      <c r="Q718">
        <v>12</v>
      </c>
      <c r="R718">
        <v>1</v>
      </c>
      <c r="S718">
        <v>7.6920000000000002E-2</v>
      </c>
      <c r="T718" t="s">
        <v>109</v>
      </c>
      <c r="U718" t="s">
        <v>175</v>
      </c>
      <c r="V718" t="s">
        <v>62</v>
      </c>
      <c r="W718" t="s">
        <v>62</v>
      </c>
      <c r="X718">
        <v>1</v>
      </c>
      <c r="Y718">
        <v>2</v>
      </c>
      <c r="Z718">
        <v>4</v>
      </c>
      <c r="AA718">
        <v>0.33333000000000002</v>
      </c>
      <c r="AB718">
        <v>2</v>
      </c>
      <c r="AC718">
        <v>0</v>
      </c>
      <c r="AD718">
        <v>2</v>
      </c>
      <c r="AE718">
        <v>3</v>
      </c>
      <c r="AF718">
        <v>0.4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7</v>
      </c>
      <c r="AM718">
        <v>7</v>
      </c>
      <c r="AN718">
        <v>18</v>
      </c>
      <c r="AO718">
        <v>0</v>
      </c>
      <c r="AP718">
        <v>17</v>
      </c>
      <c r="AQ718">
        <v>6</v>
      </c>
      <c r="AR718" t="s">
        <v>193</v>
      </c>
      <c r="AS718" t="s">
        <v>24095</v>
      </c>
      <c r="AT718">
        <v>1.788</v>
      </c>
      <c r="AU718" t="s">
        <v>65</v>
      </c>
      <c r="AV718">
        <v>35</v>
      </c>
      <c r="AW718">
        <v>6</v>
      </c>
      <c r="AX718" t="s">
        <v>24096</v>
      </c>
      <c r="AY718">
        <v>7.3819999999999997E-2</v>
      </c>
      <c r="AZ718">
        <v>-3.6800000000000001E-3</v>
      </c>
      <c r="BA718">
        <v>5.9300000000000004E-3</v>
      </c>
      <c r="BB718">
        <v>-4.0999999999999999E-4</v>
      </c>
      <c r="BC718">
        <v>8.0390000000000003E-2</v>
      </c>
      <c r="BD718">
        <v>1</v>
      </c>
      <c r="BE718" t="s">
        <v>69</v>
      </c>
      <c r="BF718">
        <v>0.53600000000000003</v>
      </c>
      <c r="BG718">
        <v>-0.24099999999999999</v>
      </c>
    </row>
    <row r="719" spans="1:59">
      <c r="A719">
        <v>0</v>
      </c>
      <c r="B719">
        <v>0</v>
      </c>
      <c r="C719">
        <v>0</v>
      </c>
      <c r="D719" t="s">
        <v>25022</v>
      </c>
      <c r="E719">
        <v>1427</v>
      </c>
      <c r="F719" t="s">
        <v>8940</v>
      </c>
      <c r="G719" t="s">
        <v>57</v>
      </c>
      <c r="H719">
        <v>1441291</v>
      </c>
      <c r="I719">
        <v>1441785</v>
      </c>
      <c r="J719" t="s">
        <v>8941</v>
      </c>
      <c r="K719">
        <v>165</v>
      </c>
      <c r="L719" t="s">
        <v>108</v>
      </c>
      <c r="M719">
        <v>44</v>
      </c>
      <c r="N719" t="str">
        <f>HYPERLINK("Gene1427-zp_tree_all.dnd", "Gene1427-tree")</f>
        <v>Gene1427-tree</v>
      </c>
      <c r="O719">
        <v>9</v>
      </c>
      <c r="P719">
        <v>1</v>
      </c>
      <c r="Q719">
        <v>9</v>
      </c>
      <c r="R719">
        <v>1</v>
      </c>
      <c r="S719">
        <v>0.1</v>
      </c>
      <c r="T719" t="s">
        <v>135</v>
      </c>
      <c r="U719" t="s">
        <v>175</v>
      </c>
      <c r="V719" t="s">
        <v>62</v>
      </c>
      <c r="W719" t="s">
        <v>62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8</v>
      </c>
      <c r="AM719">
        <v>7</v>
      </c>
      <c r="AN719">
        <v>31</v>
      </c>
      <c r="AO719">
        <v>1</v>
      </c>
      <c r="AP719">
        <v>22</v>
      </c>
      <c r="AQ719">
        <v>0</v>
      </c>
      <c r="AR719" t="s">
        <v>8942</v>
      </c>
      <c r="AS719" t="s">
        <v>193</v>
      </c>
      <c r="AT719">
        <v>0.37</v>
      </c>
      <c r="AU719" t="s">
        <v>65</v>
      </c>
      <c r="AV719">
        <v>53</v>
      </c>
      <c r="AW719">
        <v>1</v>
      </c>
      <c r="AX719" t="s">
        <v>8943</v>
      </c>
      <c r="AY719">
        <v>0.13167999999999999</v>
      </c>
      <c r="AZ719">
        <v>-7.1599999999999997E-3</v>
      </c>
      <c r="BA719">
        <v>5.1999999999999995E-4</v>
      </c>
      <c r="BB719">
        <v>-1.4999999999999999E-4</v>
      </c>
      <c r="BC719">
        <v>3.9100000000000003E-3</v>
      </c>
      <c r="BD719">
        <v>1</v>
      </c>
      <c r="BE719" t="s">
        <v>69</v>
      </c>
      <c r="BF719">
        <v>0.24099999999999999</v>
      </c>
      <c r="BG719">
        <v>-0.46100000000000002</v>
      </c>
    </row>
    <row r="720" spans="1:59">
      <c r="A720">
        <v>0</v>
      </c>
      <c r="B720">
        <v>0</v>
      </c>
      <c r="C720">
        <v>0</v>
      </c>
      <c r="D720" t="s">
        <v>25022</v>
      </c>
      <c r="E720">
        <v>104</v>
      </c>
      <c r="F720" t="s">
        <v>802</v>
      </c>
      <c r="G720" t="s">
        <v>57</v>
      </c>
      <c r="H720">
        <v>120061</v>
      </c>
      <c r="I720">
        <v>120558</v>
      </c>
      <c r="J720" t="s">
        <v>803</v>
      </c>
      <c r="K720">
        <v>166</v>
      </c>
      <c r="L720" t="s">
        <v>804</v>
      </c>
      <c r="M720">
        <v>47</v>
      </c>
      <c r="N720" t="str">
        <f>HYPERLINK("Gene104-zp_tree_all.dnd", "Gene104-tree")</f>
        <v>Gene104-tree</v>
      </c>
      <c r="O720">
        <v>34</v>
      </c>
      <c r="P720">
        <v>1</v>
      </c>
      <c r="Q720">
        <v>7</v>
      </c>
      <c r="R720">
        <v>1</v>
      </c>
      <c r="S720">
        <v>0.125</v>
      </c>
      <c r="T720" t="s">
        <v>805</v>
      </c>
      <c r="U720" t="s">
        <v>175</v>
      </c>
      <c r="V720" t="s">
        <v>62</v>
      </c>
      <c r="W720" t="s">
        <v>62</v>
      </c>
      <c r="X720">
        <v>0</v>
      </c>
      <c r="Y720">
        <v>0</v>
      </c>
      <c r="Z720">
        <v>4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5</v>
      </c>
      <c r="AM720">
        <v>3</v>
      </c>
      <c r="AN720">
        <v>4</v>
      </c>
      <c r="AO720">
        <v>1</v>
      </c>
      <c r="AP720">
        <v>2</v>
      </c>
      <c r="AQ720">
        <v>3</v>
      </c>
      <c r="AR720" t="s">
        <v>806</v>
      </c>
      <c r="AS720" t="s">
        <v>807</v>
      </c>
      <c r="AT720">
        <v>1.119</v>
      </c>
      <c r="AU720" t="s">
        <v>65</v>
      </c>
      <c r="AV720">
        <v>6</v>
      </c>
      <c r="AW720">
        <v>4</v>
      </c>
      <c r="AX720" t="s">
        <v>808</v>
      </c>
      <c r="AY720">
        <v>1.7100000000000001E-2</v>
      </c>
      <c r="AZ720">
        <v>-1.5E-3</v>
      </c>
      <c r="BA720">
        <v>4.6100000000000004E-3</v>
      </c>
      <c r="BB720">
        <v>-5.8E-4</v>
      </c>
      <c r="BC720">
        <v>0.26955000000000001</v>
      </c>
      <c r="BD720">
        <v>0.90400000000000003</v>
      </c>
      <c r="BE720" t="s">
        <v>635</v>
      </c>
      <c r="BF720">
        <v>-1.2330000000000001</v>
      </c>
      <c r="BG720">
        <v>0.19</v>
      </c>
    </row>
    <row r="721" spans="1:59">
      <c r="A721">
        <v>0</v>
      </c>
      <c r="B721">
        <v>2</v>
      </c>
      <c r="C721">
        <v>0</v>
      </c>
      <c r="D721" t="s">
        <v>25022</v>
      </c>
      <c r="E721">
        <v>3803</v>
      </c>
      <c r="F721" t="s">
        <v>22282</v>
      </c>
      <c r="G721" t="s">
        <v>62</v>
      </c>
      <c r="H721">
        <v>3770368</v>
      </c>
      <c r="I721">
        <v>3770865</v>
      </c>
      <c r="J721" t="s">
        <v>6103</v>
      </c>
      <c r="K721">
        <v>166</v>
      </c>
      <c r="L721" t="s">
        <v>108</v>
      </c>
      <c r="M721">
        <v>44</v>
      </c>
      <c r="N721" t="str">
        <f>HYPERLINK("Gene3803-zp_tree_all.dnd", "Gene3803-tree")</f>
        <v>Gene3803-tree</v>
      </c>
      <c r="O721">
        <v>9</v>
      </c>
      <c r="P721">
        <v>3</v>
      </c>
      <c r="Q721">
        <v>9</v>
      </c>
      <c r="R721">
        <v>3</v>
      </c>
      <c r="S721">
        <v>0.25</v>
      </c>
      <c r="T721" t="s">
        <v>135</v>
      </c>
      <c r="U721" t="s">
        <v>324</v>
      </c>
      <c r="V721" t="s">
        <v>62</v>
      </c>
      <c r="W721" t="s">
        <v>62</v>
      </c>
      <c r="X721">
        <v>1</v>
      </c>
      <c r="Y721">
        <v>2</v>
      </c>
      <c r="Z721">
        <v>2</v>
      </c>
      <c r="AA721">
        <v>0.5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0</v>
      </c>
      <c r="AI721">
        <v>2</v>
      </c>
      <c r="AJ721">
        <v>1</v>
      </c>
      <c r="AK721">
        <v>0.66666999999999998</v>
      </c>
      <c r="AL721">
        <v>10</v>
      </c>
      <c r="AM721">
        <v>4</v>
      </c>
      <c r="AN721">
        <v>12</v>
      </c>
      <c r="AO721">
        <v>3</v>
      </c>
      <c r="AP721">
        <v>3</v>
      </c>
      <c r="AQ721">
        <v>1</v>
      </c>
      <c r="AR721" t="s">
        <v>22283</v>
      </c>
      <c r="AS721" t="s">
        <v>22284</v>
      </c>
      <c r="AT721">
        <v>0.13900000000000001</v>
      </c>
      <c r="AU721" t="s">
        <v>65</v>
      </c>
      <c r="AV721">
        <v>15</v>
      </c>
      <c r="AW721">
        <v>4</v>
      </c>
      <c r="AX721" t="s">
        <v>22285</v>
      </c>
      <c r="AY721">
        <v>2.768E-2</v>
      </c>
      <c r="AZ721">
        <v>-1.8E-3</v>
      </c>
      <c r="BA721">
        <v>2.3400000000000001E-3</v>
      </c>
      <c r="BB721">
        <v>-2.5000000000000001E-4</v>
      </c>
      <c r="BC721">
        <v>8.4360000000000004E-2</v>
      </c>
      <c r="BD721">
        <v>1</v>
      </c>
      <c r="BE721" t="s">
        <v>69</v>
      </c>
      <c r="BF721">
        <v>-1.0649999999999999</v>
      </c>
      <c r="BG721">
        <v>-2.2130000000000001</v>
      </c>
    </row>
    <row r="722" spans="1:59">
      <c r="A722">
        <v>0</v>
      </c>
      <c r="B722">
        <v>2</v>
      </c>
      <c r="C722">
        <v>0</v>
      </c>
      <c r="D722" t="s">
        <v>25022</v>
      </c>
      <c r="E722">
        <v>1708</v>
      </c>
      <c r="F722" t="s">
        <v>10710</v>
      </c>
      <c r="G722" t="s">
        <v>57</v>
      </c>
      <c r="H722">
        <v>1715970</v>
      </c>
      <c r="I722">
        <v>1716467</v>
      </c>
      <c r="J722" t="s">
        <v>10711</v>
      </c>
      <c r="K722">
        <v>166</v>
      </c>
      <c r="L722" t="s">
        <v>698</v>
      </c>
      <c r="M722">
        <v>47</v>
      </c>
      <c r="N722" t="str">
        <f>HYPERLINK("Gene1708-zp_tree_all.dnd", "Gene1708-tree")</f>
        <v>Gene1708-tree</v>
      </c>
      <c r="O722">
        <v>8</v>
      </c>
      <c r="P722">
        <v>2</v>
      </c>
      <c r="Q722">
        <v>8</v>
      </c>
      <c r="R722">
        <v>2</v>
      </c>
      <c r="S722">
        <v>0.2</v>
      </c>
      <c r="T722" t="s">
        <v>136</v>
      </c>
      <c r="U722" t="s">
        <v>81</v>
      </c>
      <c r="V722" t="s">
        <v>62</v>
      </c>
      <c r="W722" t="s">
        <v>62</v>
      </c>
      <c r="X722">
        <v>1</v>
      </c>
      <c r="Y722">
        <v>2</v>
      </c>
      <c r="Z722">
        <v>6</v>
      </c>
      <c r="AA722">
        <v>0.25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4</v>
      </c>
      <c r="AK722">
        <v>0</v>
      </c>
      <c r="AL722">
        <v>6</v>
      </c>
      <c r="AM722">
        <v>7</v>
      </c>
      <c r="AN722">
        <v>11</v>
      </c>
      <c r="AO722">
        <v>4</v>
      </c>
      <c r="AP722">
        <v>19</v>
      </c>
      <c r="AQ722">
        <v>4</v>
      </c>
      <c r="AR722" t="s">
        <v>10712</v>
      </c>
      <c r="AS722" t="s">
        <v>10713</v>
      </c>
      <c r="AT722">
        <v>0.17799999999999999</v>
      </c>
      <c r="AU722" t="s">
        <v>65</v>
      </c>
      <c r="AV722">
        <v>30</v>
      </c>
      <c r="AW722">
        <v>8</v>
      </c>
      <c r="AX722" t="s">
        <v>10714</v>
      </c>
      <c r="AY722">
        <v>9.7019999999999995E-2</v>
      </c>
      <c r="AZ722">
        <v>-1.082E-2</v>
      </c>
      <c r="BA722">
        <v>5.9899999999999997E-3</v>
      </c>
      <c r="BB722">
        <v>-7.2000000000000005E-4</v>
      </c>
      <c r="BC722">
        <v>6.1780000000000002E-2</v>
      </c>
      <c r="BD722">
        <v>1</v>
      </c>
      <c r="BE722" t="s">
        <v>69</v>
      </c>
      <c r="BF722">
        <v>-1.8029999999999999</v>
      </c>
      <c r="BG722">
        <v>-1.36</v>
      </c>
    </row>
    <row r="723" spans="1:59">
      <c r="A723">
        <v>0</v>
      </c>
      <c r="B723">
        <v>0</v>
      </c>
      <c r="C723">
        <v>0</v>
      </c>
      <c r="D723" t="s">
        <v>25022</v>
      </c>
      <c r="E723">
        <v>3895</v>
      </c>
      <c r="F723" t="s">
        <v>22837</v>
      </c>
      <c r="G723" t="s">
        <v>62</v>
      </c>
      <c r="H723">
        <v>3859002</v>
      </c>
      <c r="I723">
        <v>3859499</v>
      </c>
      <c r="J723" t="s">
        <v>116</v>
      </c>
      <c r="K723">
        <v>166</v>
      </c>
      <c r="L723" t="s">
        <v>59</v>
      </c>
      <c r="M723">
        <v>49</v>
      </c>
      <c r="N723" t="str">
        <f>HYPERLINK("Gene3895-zp_tree_all.dnd", "Gene3895-tree")</f>
        <v>Gene3895-tree</v>
      </c>
      <c r="O723">
        <v>13</v>
      </c>
      <c r="P723">
        <v>1</v>
      </c>
      <c r="Q723">
        <v>13</v>
      </c>
      <c r="R723">
        <v>1</v>
      </c>
      <c r="S723">
        <v>7.1429999999999993E-2</v>
      </c>
      <c r="T723" t="s">
        <v>507</v>
      </c>
      <c r="U723" t="s">
        <v>175</v>
      </c>
      <c r="V723" t="s">
        <v>62</v>
      </c>
      <c r="W723" t="s">
        <v>62</v>
      </c>
      <c r="X723">
        <v>0</v>
      </c>
      <c r="Y723">
        <v>0</v>
      </c>
      <c r="Z723">
        <v>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10</v>
      </c>
      <c r="AM723">
        <v>8</v>
      </c>
      <c r="AN723">
        <v>22</v>
      </c>
      <c r="AO723">
        <v>1</v>
      </c>
      <c r="AP723">
        <v>16</v>
      </c>
      <c r="AQ723">
        <v>2</v>
      </c>
      <c r="AR723" t="s">
        <v>22838</v>
      </c>
      <c r="AS723" t="s">
        <v>22839</v>
      </c>
      <c r="AT723">
        <v>0.217</v>
      </c>
      <c r="AU723" t="s">
        <v>65</v>
      </c>
      <c r="AV723">
        <v>38</v>
      </c>
      <c r="AW723">
        <v>3</v>
      </c>
      <c r="AX723" t="s">
        <v>22840</v>
      </c>
      <c r="AY723">
        <v>8.0589999999999995E-2</v>
      </c>
      <c r="AZ723">
        <v>-4.7200000000000002E-3</v>
      </c>
      <c r="BA723">
        <v>2.6199999999999999E-3</v>
      </c>
      <c r="BB723">
        <v>-2.5999999999999998E-4</v>
      </c>
      <c r="BC723">
        <v>3.2489999999999998E-2</v>
      </c>
      <c r="BD723">
        <v>1</v>
      </c>
      <c r="BE723" t="s">
        <v>69</v>
      </c>
      <c r="BF723">
        <v>-1.395</v>
      </c>
      <c r="BG723">
        <v>-1.5840000000000001</v>
      </c>
    </row>
    <row r="724" spans="1:59">
      <c r="A724">
        <v>0</v>
      </c>
      <c r="B724">
        <v>0</v>
      </c>
      <c r="C724">
        <v>0</v>
      </c>
      <c r="D724" t="s">
        <v>25022</v>
      </c>
      <c r="E724">
        <v>133</v>
      </c>
      <c r="F724" t="s">
        <v>963</v>
      </c>
      <c r="G724" t="s">
        <v>57</v>
      </c>
      <c r="H724">
        <v>143361</v>
      </c>
      <c r="I724">
        <v>143858</v>
      </c>
      <c r="J724" t="s">
        <v>964</v>
      </c>
      <c r="K724">
        <v>166</v>
      </c>
      <c r="L724" t="s">
        <v>515</v>
      </c>
      <c r="M724">
        <v>51</v>
      </c>
      <c r="N724" t="str">
        <f>HYPERLINK("Gene133-zp_tree_all.dnd", "Gene133-tree")</f>
        <v>Gene133-tree</v>
      </c>
      <c r="O724">
        <v>25</v>
      </c>
      <c r="P724">
        <v>1</v>
      </c>
      <c r="Q724">
        <v>6</v>
      </c>
      <c r="R724">
        <v>1</v>
      </c>
      <c r="S724">
        <v>0.14285999999999999</v>
      </c>
      <c r="T724" t="s">
        <v>965</v>
      </c>
      <c r="U724" t="s">
        <v>175</v>
      </c>
      <c r="V724" t="s">
        <v>62</v>
      </c>
      <c r="W724" t="s">
        <v>62</v>
      </c>
      <c r="X724">
        <v>0</v>
      </c>
      <c r="Y724">
        <v>0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4</v>
      </c>
      <c r="AM724">
        <v>3</v>
      </c>
      <c r="AN724">
        <v>6</v>
      </c>
      <c r="AO724">
        <v>1</v>
      </c>
      <c r="AP724">
        <v>16</v>
      </c>
      <c r="AQ724">
        <v>1</v>
      </c>
      <c r="AR724" t="s">
        <v>966</v>
      </c>
      <c r="AS724" t="s">
        <v>967</v>
      </c>
      <c r="AT724">
        <v>0.36</v>
      </c>
      <c r="AU724" t="s">
        <v>65</v>
      </c>
      <c r="AV724">
        <v>22</v>
      </c>
      <c r="AW724">
        <v>2</v>
      </c>
      <c r="AX724" t="s">
        <v>968</v>
      </c>
      <c r="AY724">
        <v>8.1600000000000006E-2</v>
      </c>
      <c r="AZ724">
        <v>-1.2540000000000001E-2</v>
      </c>
      <c r="BA724">
        <v>2.3E-3</v>
      </c>
      <c r="BB724">
        <v>-3.6000000000000002E-4</v>
      </c>
      <c r="BC724">
        <v>2.8240000000000001E-2</v>
      </c>
      <c r="BD724">
        <v>1</v>
      </c>
      <c r="BE724" t="s">
        <v>69</v>
      </c>
      <c r="BF724">
        <v>-1.571</v>
      </c>
      <c r="BG724">
        <v>1.4339999999999999</v>
      </c>
    </row>
    <row r="725" spans="1:59">
      <c r="A725">
        <v>0</v>
      </c>
      <c r="B725">
        <v>0</v>
      </c>
      <c r="C725">
        <v>0</v>
      </c>
      <c r="D725" t="s">
        <v>25022</v>
      </c>
      <c r="E725">
        <v>3260</v>
      </c>
      <c r="F725" t="s">
        <v>19008</v>
      </c>
      <c r="G725" t="s">
        <v>62</v>
      </c>
      <c r="H725">
        <v>3226936</v>
      </c>
      <c r="I725">
        <v>3227433</v>
      </c>
      <c r="J725" t="s">
        <v>4300</v>
      </c>
      <c r="K725">
        <v>166</v>
      </c>
      <c r="L725" t="s">
        <v>59</v>
      </c>
      <c r="M725">
        <v>49</v>
      </c>
      <c r="N725" t="str">
        <f>HYPERLINK("Gene3260-zp_tree_all.dnd", "Gene3260-tree")</f>
        <v>Gene3260-tree</v>
      </c>
      <c r="O725">
        <v>17</v>
      </c>
      <c r="P725">
        <v>0</v>
      </c>
      <c r="Q725">
        <v>17</v>
      </c>
      <c r="R725">
        <v>0</v>
      </c>
      <c r="S725">
        <v>0</v>
      </c>
      <c r="T725" t="s">
        <v>266</v>
      </c>
      <c r="U725" t="s">
        <v>62</v>
      </c>
      <c r="V725" t="s">
        <v>62</v>
      </c>
      <c r="W725" t="s">
        <v>62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13</v>
      </c>
      <c r="AM725">
        <v>7</v>
      </c>
      <c r="AN725">
        <v>25</v>
      </c>
      <c r="AO725">
        <v>0</v>
      </c>
      <c r="AP725">
        <v>29</v>
      </c>
      <c r="AQ725">
        <v>1</v>
      </c>
      <c r="AR725" t="s">
        <v>193</v>
      </c>
      <c r="AS725" t="s">
        <v>19009</v>
      </c>
      <c r="AT725">
        <v>0.377</v>
      </c>
      <c r="AU725" t="s">
        <v>65</v>
      </c>
      <c r="AV725">
        <v>54</v>
      </c>
      <c r="AW725">
        <v>1</v>
      </c>
      <c r="AX725" t="s">
        <v>19010</v>
      </c>
      <c r="AY725">
        <v>0.12044000000000001</v>
      </c>
      <c r="AZ725">
        <v>-6.8900000000000003E-3</v>
      </c>
      <c r="BA725">
        <v>8.0000000000000004E-4</v>
      </c>
      <c r="BB725">
        <v>-1E-4</v>
      </c>
      <c r="BC725">
        <v>6.6800000000000002E-3</v>
      </c>
      <c r="BD725">
        <v>1</v>
      </c>
      <c r="BE725" t="s">
        <v>69</v>
      </c>
      <c r="BF725">
        <v>-0.74199999999999999</v>
      </c>
      <c r="BG725">
        <v>0.123</v>
      </c>
    </row>
    <row r="726" spans="1:59">
      <c r="A726">
        <v>0</v>
      </c>
      <c r="B726">
        <v>3</v>
      </c>
      <c r="C726">
        <v>2</v>
      </c>
      <c r="D726" t="s">
        <v>25022</v>
      </c>
      <c r="E726">
        <v>1710</v>
      </c>
      <c r="F726" t="s">
        <v>10723</v>
      </c>
      <c r="G726" t="s">
        <v>57</v>
      </c>
      <c r="H726">
        <v>1717286</v>
      </c>
      <c r="I726">
        <v>1717786</v>
      </c>
      <c r="J726" t="s">
        <v>10724</v>
      </c>
      <c r="K726">
        <v>167</v>
      </c>
      <c r="L726" t="s">
        <v>108</v>
      </c>
      <c r="M726">
        <v>44</v>
      </c>
      <c r="N726" t="str">
        <f>HYPERLINK("Gene1710-zp_tree_all.dnd", "Gene1710-tree")</f>
        <v>Gene1710-tree</v>
      </c>
      <c r="O726">
        <v>25</v>
      </c>
      <c r="P726">
        <v>7</v>
      </c>
      <c r="Q726">
        <v>4</v>
      </c>
      <c r="R726">
        <v>7</v>
      </c>
      <c r="S726">
        <v>0.63636000000000004</v>
      </c>
      <c r="T726" t="s">
        <v>2326</v>
      </c>
      <c r="U726" t="s">
        <v>152</v>
      </c>
      <c r="V726" t="s">
        <v>62</v>
      </c>
      <c r="W726" t="s">
        <v>62</v>
      </c>
      <c r="X726">
        <v>2</v>
      </c>
      <c r="Y726">
        <v>5</v>
      </c>
      <c r="Z726">
        <v>7</v>
      </c>
      <c r="AA726">
        <v>0.41666999999999998</v>
      </c>
      <c r="AB726">
        <v>0</v>
      </c>
      <c r="AC726">
        <v>0</v>
      </c>
      <c r="AD726">
        <v>0</v>
      </c>
      <c r="AE726">
        <v>2</v>
      </c>
      <c r="AF726">
        <v>0</v>
      </c>
      <c r="AG726">
        <v>3</v>
      </c>
      <c r="AH726">
        <v>0</v>
      </c>
      <c r="AI726">
        <v>3</v>
      </c>
      <c r="AJ726">
        <v>6</v>
      </c>
      <c r="AK726">
        <v>0.33333000000000002</v>
      </c>
      <c r="AL726">
        <v>6</v>
      </c>
      <c r="AM726">
        <v>5</v>
      </c>
      <c r="AN726">
        <v>5</v>
      </c>
      <c r="AO726">
        <v>6</v>
      </c>
      <c r="AP726">
        <v>1</v>
      </c>
      <c r="AQ726">
        <v>6</v>
      </c>
      <c r="AR726" t="s">
        <v>10725</v>
      </c>
      <c r="AS726" t="s">
        <v>10726</v>
      </c>
      <c r="AT726">
        <v>0.434</v>
      </c>
      <c r="AU726" t="s">
        <v>65</v>
      </c>
      <c r="AV726">
        <v>6</v>
      </c>
      <c r="AW726">
        <v>12</v>
      </c>
      <c r="AX726" t="s">
        <v>10727</v>
      </c>
      <c r="AY726">
        <v>1.137E-2</v>
      </c>
      <c r="AZ726">
        <v>-1.41E-3</v>
      </c>
      <c r="BA726">
        <v>8.5299999999999994E-3</v>
      </c>
      <c r="BB726">
        <v>-5.5999999999999995E-4</v>
      </c>
      <c r="BC726">
        <v>0.74990999999999997</v>
      </c>
      <c r="BD726">
        <v>0.58599999999999997</v>
      </c>
      <c r="BE726" t="s">
        <v>635</v>
      </c>
      <c r="BF726">
        <v>-0.89900000000000002</v>
      </c>
      <c r="BG726">
        <v>-2.6349999999999998</v>
      </c>
    </row>
    <row r="727" spans="1:59">
      <c r="A727">
        <v>0</v>
      </c>
      <c r="B727">
        <v>8</v>
      </c>
      <c r="C727">
        <v>0</v>
      </c>
      <c r="D727" t="s">
        <v>25022</v>
      </c>
      <c r="E727">
        <v>3127</v>
      </c>
      <c r="F727" t="s">
        <v>18146</v>
      </c>
      <c r="G727" t="s">
        <v>62</v>
      </c>
      <c r="H727">
        <v>3080634</v>
      </c>
      <c r="I727">
        <v>3081134</v>
      </c>
      <c r="J727" t="s">
        <v>18147</v>
      </c>
      <c r="K727">
        <v>167</v>
      </c>
      <c r="L727" t="s">
        <v>18148</v>
      </c>
      <c r="M727">
        <v>41</v>
      </c>
      <c r="N727" t="str">
        <f>HYPERLINK("Gene3127-zp_tree_all.dnd", "Gene3127-tree")</f>
        <v>Gene3127-tree</v>
      </c>
      <c r="O727">
        <v>2</v>
      </c>
      <c r="P727">
        <v>10</v>
      </c>
      <c r="Q727">
        <v>2</v>
      </c>
      <c r="R727">
        <v>10</v>
      </c>
      <c r="S727">
        <v>0.83333000000000002</v>
      </c>
      <c r="T727" t="s">
        <v>81</v>
      </c>
      <c r="U727" t="s">
        <v>117</v>
      </c>
      <c r="V727" t="s">
        <v>62</v>
      </c>
      <c r="W727" t="s">
        <v>62</v>
      </c>
      <c r="X727">
        <v>2</v>
      </c>
      <c r="Y727">
        <v>8</v>
      </c>
      <c r="Z727">
        <v>16</v>
      </c>
      <c r="AA727">
        <v>0.33333000000000002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5</v>
      </c>
      <c r="AH727">
        <v>0</v>
      </c>
      <c r="AI727">
        <v>5</v>
      </c>
      <c r="AJ727">
        <v>12</v>
      </c>
      <c r="AK727">
        <v>0.29411999999999999</v>
      </c>
      <c r="AL727">
        <v>10</v>
      </c>
      <c r="AM727">
        <v>7</v>
      </c>
      <c r="AN727">
        <v>6</v>
      </c>
      <c r="AO727">
        <v>13</v>
      </c>
      <c r="AP727">
        <v>7</v>
      </c>
      <c r="AQ727">
        <v>11</v>
      </c>
      <c r="AR727" t="s">
        <v>18149</v>
      </c>
      <c r="AS727" t="s">
        <v>18150</v>
      </c>
      <c r="AT727">
        <v>0.29199999999999998</v>
      </c>
      <c r="AU727" t="s">
        <v>65</v>
      </c>
      <c r="AV727">
        <v>13</v>
      </c>
      <c r="AW727">
        <v>24</v>
      </c>
      <c r="AX727" t="s">
        <v>18151</v>
      </c>
      <c r="AY727">
        <v>2.7269999999999999E-2</v>
      </c>
      <c r="AZ727">
        <v>-1.82E-3</v>
      </c>
      <c r="BA727">
        <v>1.222E-2</v>
      </c>
      <c r="BB727">
        <v>-5.6999999999999998E-4</v>
      </c>
      <c r="BC727">
        <v>0.44821</v>
      </c>
      <c r="BD727">
        <v>0.92</v>
      </c>
      <c r="BE727" t="s">
        <v>635</v>
      </c>
      <c r="BF727">
        <v>-0.90300000000000002</v>
      </c>
      <c r="BG727">
        <v>-0.38200000000000001</v>
      </c>
    </row>
    <row r="728" spans="1:59">
      <c r="A728">
        <v>0</v>
      </c>
      <c r="B728">
        <v>3</v>
      </c>
      <c r="C728">
        <v>0</v>
      </c>
      <c r="D728" t="s">
        <v>25022</v>
      </c>
      <c r="E728">
        <v>79</v>
      </c>
      <c r="F728" t="s">
        <v>627</v>
      </c>
      <c r="G728" t="s">
        <v>57</v>
      </c>
      <c r="H728">
        <v>86946</v>
      </c>
      <c r="I728">
        <v>87446</v>
      </c>
      <c r="J728" t="s">
        <v>628</v>
      </c>
      <c r="K728">
        <v>167</v>
      </c>
      <c r="L728" t="s">
        <v>629</v>
      </c>
      <c r="M728">
        <v>43</v>
      </c>
      <c r="N728" t="str">
        <f>HYPERLINK("Gene79-zp_tree_all.dnd", "Gene79-tree")</f>
        <v>Gene79-tree</v>
      </c>
      <c r="O728">
        <v>4</v>
      </c>
      <c r="P728">
        <v>6</v>
      </c>
      <c r="Q728">
        <v>4</v>
      </c>
      <c r="R728">
        <v>6</v>
      </c>
      <c r="S728">
        <v>0.6</v>
      </c>
      <c r="T728" t="s">
        <v>61</v>
      </c>
      <c r="U728" t="s">
        <v>90</v>
      </c>
      <c r="V728" t="s">
        <v>62</v>
      </c>
      <c r="W728" t="s">
        <v>62</v>
      </c>
      <c r="X728">
        <v>1</v>
      </c>
      <c r="Y728">
        <v>3</v>
      </c>
      <c r="Z728">
        <v>5</v>
      </c>
      <c r="AA728">
        <v>0.375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2</v>
      </c>
      <c r="AH728">
        <v>0</v>
      </c>
      <c r="AI728">
        <v>2</v>
      </c>
      <c r="AJ728">
        <v>4</v>
      </c>
      <c r="AK728">
        <v>0.33333000000000002</v>
      </c>
      <c r="AL728">
        <v>5</v>
      </c>
      <c r="AM728">
        <v>5</v>
      </c>
      <c r="AN728">
        <v>4</v>
      </c>
      <c r="AO728">
        <v>5</v>
      </c>
      <c r="AP728">
        <v>2</v>
      </c>
      <c r="AQ728">
        <v>3</v>
      </c>
      <c r="AR728" t="s">
        <v>630</v>
      </c>
      <c r="AS728" t="s">
        <v>631</v>
      </c>
      <c r="AT728">
        <v>0.154</v>
      </c>
      <c r="AU728" t="s">
        <v>65</v>
      </c>
      <c r="AV728">
        <v>6</v>
      </c>
      <c r="AW728">
        <v>8</v>
      </c>
      <c r="AX728" t="s">
        <v>632</v>
      </c>
      <c r="AY728">
        <v>1.515E-2</v>
      </c>
      <c r="AZ728">
        <v>-1.49E-3</v>
      </c>
      <c r="BA728">
        <v>4.5999999999999999E-3</v>
      </c>
      <c r="BB728">
        <v>-3.8999999999999999E-4</v>
      </c>
      <c r="BC728">
        <v>0.30385000000000001</v>
      </c>
      <c r="BD728">
        <v>0.92800000000000005</v>
      </c>
      <c r="BE728" t="s">
        <v>635</v>
      </c>
      <c r="BF728">
        <v>-0.629</v>
      </c>
      <c r="BG728">
        <v>-8.3000000000000004E-2</v>
      </c>
    </row>
    <row r="729" spans="1:59">
      <c r="A729">
        <v>0</v>
      </c>
      <c r="B729">
        <v>9</v>
      </c>
      <c r="C729">
        <v>2</v>
      </c>
      <c r="D729" t="s">
        <v>25022</v>
      </c>
      <c r="E729">
        <v>2787</v>
      </c>
      <c r="F729" t="s">
        <v>15983</v>
      </c>
      <c r="G729" t="s">
        <v>62</v>
      </c>
      <c r="H729">
        <v>2734956</v>
      </c>
      <c r="I729">
        <v>2735456</v>
      </c>
      <c r="J729" t="s">
        <v>116</v>
      </c>
      <c r="K729">
        <v>167</v>
      </c>
      <c r="L729" t="s">
        <v>5762</v>
      </c>
      <c r="M729">
        <v>43</v>
      </c>
      <c r="N729" t="str">
        <f>HYPERLINK("Gene2787-zp_tree_all.dnd", "Gene2787-tree")</f>
        <v>Gene2787-tree</v>
      </c>
      <c r="O729">
        <v>2</v>
      </c>
      <c r="P729">
        <v>10</v>
      </c>
      <c r="Q729">
        <v>2</v>
      </c>
      <c r="R729">
        <v>10</v>
      </c>
      <c r="S729">
        <v>0.83333000000000002</v>
      </c>
      <c r="T729" t="s">
        <v>81</v>
      </c>
      <c r="U729" t="s">
        <v>117</v>
      </c>
      <c r="V729" t="s">
        <v>62</v>
      </c>
      <c r="W729" t="s">
        <v>62</v>
      </c>
      <c r="X729">
        <v>4</v>
      </c>
      <c r="Y729">
        <v>11</v>
      </c>
      <c r="Z729">
        <v>8</v>
      </c>
      <c r="AA729">
        <v>0.57894999999999996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7</v>
      </c>
      <c r="AH729">
        <v>2</v>
      </c>
      <c r="AI729">
        <v>9</v>
      </c>
      <c r="AJ729">
        <v>6</v>
      </c>
      <c r="AK729">
        <v>0.6</v>
      </c>
      <c r="AL729">
        <v>10</v>
      </c>
      <c r="AM729">
        <v>6</v>
      </c>
      <c r="AN729">
        <v>11</v>
      </c>
      <c r="AO729">
        <v>15</v>
      </c>
      <c r="AP729">
        <v>14</v>
      </c>
      <c r="AQ729">
        <v>4</v>
      </c>
      <c r="AR729" t="s">
        <v>15984</v>
      </c>
      <c r="AS729" t="s">
        <v>15985</v>
      </c>
      <c r="AT729">
        <v>1.6839999999999999</v>
      </c>
      <c r="AU729" t="s">
        <v>65</v>
      </c>
      <c r="AV729">
        <v>25</v>
      </c>
      <c r="AW729">
        <v>19</v>
      </c>
      <c r="AX729" t="s">
        <v>15986</v>
      </c>
      <c r="AY729">
        <v>4.7320000000000001E-2</v>
      </c>
      <c r="AZ729">
        <v>-2.64E-3</v>
      </c>
      <c r="BA729">
        <v>7.5300000000000002E-3</v>
      </c>
      <c r="BB729">
        <v>-4.8000000000000001E-4</v>
      </c>
      <c r="BC729">
        <v>0.15923000000000001</v>
      </c>
      <c r="BD729">
        <v>1</v>
      </c>
      <c r="BE729" t="s">
        <v>69</v>
      </c>
      <c r="BF729">
        <v>-0.315</v>
      </c>
      <c r="BG729">
        <v>-0.90700000000000003</v>
      </c>
    </row>
    <row r="730" spans="1:59">
      <c r="A730">
        <v>0</v>
      </c>
      <c r="B730">
        <v>0</v>
      </c>
      <c r="C730">
        <v>0</v>
      </c>
      <c r="D730" t="s">
        <v>25022</v>
      </c>
      <c r="E730">
        <v>428</v>
      </c>
      <c r="F730" t="s">
        <v>2906</v>
      </c>
      <c r="G730" t="s">
        <v>57</v>
      </c>
      <c r="H730">
        <v>472585</v>
      </c>
      <c r="I730">
        <v>473085</v>
      </c>
      <c r="J730" t="s">
        <v>2907</v>
      </c>
      <c r="K730">
        <v>167</v>
      </c>
      <c r="L730" t="s">
        <v>108</v>
      </c>
      <c r="M730">
        <v>44</v>
      </c>
      <c r="N730" t="str">
        <f>HYPERLINK("Gene428-zp_tree_all.dnd", "Gene428-tree")</f>
        <v>Gene428-tree</v>
      </c>
      <c r="O730">
        <v>7</v>
      </c>
      <c r="P730">
        <v>4</v>
      </c>
      <c r="Q730">
        <v>7</v>
      </c>
      <c r="R730">
        <v>4</v>
      </c>
      <c r="S730">
        <v>0.36364000000000002</v>
      </c>
      <c r="T730" t="s">
        <v>152</v>
      </c>
      <c r="U730" t="s">
        <v>61</v>
      </c>
      <c r="V730" t="s">
        <v>62</v>
      </c>
      <c r="W730" t="s">
        <v>62</v>
      </c>
      <c r="X730">
        <v>0</v>
      </c>
      <c r="Y730">
        <v>0</v>
      </c>
      <c r="Z730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4</v>
      </c>
      <c r="AK730">
        <v>0</v>
      </c>
      <c r="AL730">
        <v>10</v>
      </c>
      <c r="AM730">
        <v>6</v>
      </c>
      <c r="AN730">
        <v>21</v>
      </c>
      <c r="AO730">
        <v>4</v>
      </c>
      <c r="AP730">
        <v>9</v>
      </c>
      <c r="AQ730">
        <v>0</v>
      </c>
      <c r="AR730" t="s">
        <v>2908</v>
      </c>
      <c r="AS730" t="s">
        <v>193</v>
      </c>
      <c r="AT730">
        <v>1.5569999999999999</v>
      </c>
      <c r="AU730" t="s">
        <v>65</v>
      </c>
      <c r="AV730">
        <v>30</v>
      </c>
      <c r="AW730">
        <v>4</v>
      </c>
      <c r="AX730" t="s">
        <v>2909</v>
      </c>
      <c r="AY730">
        <v>6.3039999999999999E-2</v>
      </c>
      <c r="AZ730">
        <v>-3.3600000000000001E-3</v>
      </c>
      <c r="BA730">
        <v>1.9E-3</v>
      </c>
      <c r="BB730">
        <v>-2.3000000000000001E-4</v>
      </c>
      <c r="BC730">
        <v>3.014E-2</v>
      </c>
      <c r="BD730">
        <v>1</v>
      </c>
      <c r="BE730" t="s">
        <v>69</v>
      </c>
      <c r="BF730">
        <v>-0.80700000000000005</v>
      </c>
      <c r="BG730">
        <v>-1.627</v>
      </c>
    </row>
    <row r="731" spans="1:59">
      <c r="A731">
        <v>0</v>
      </c>
      <c r="B731">
        <v>0</v>
      </c>
      <c r="C731">
        <v>0</v>
      </c>
      <c r="D731" t="s">
        <v>25022</v>
      </c>
      <c r="E731">
        <v>2350</v>
      </c>
      <c r="F731" t="s">
        <v>13644</v>
      </c>
      <c r="G731" t="s">
        <v>62</v>
      </c>
      <c r="H731">
        <v>2364592</v>
      </c>
      <c r="I731">
        <v>2365092</v>
      </c>
      <c r="J731" t="s">
        <v>13645</v>
      </c>
      <c r="K731">
        <v>167</v>
      </c>
      <c r="L731" t="s">
        <v>59</v>
      </c>
      <c r="M731">
        <v>49</v>
      </c>
      <c r="N731" t="str">
        <f>HYPERLINK("Gene2350-zp_tree_all.dnd", "Gene2350-tree")</f>
        <v>Gene2350-tree</v>
      </c>
      <c r="O731">
        <v>12</v>
      </c>
      <c r="P731">
        <v>0</v>
      </c>
      <c r="Q731">
        <v>12</v>
      </c>
      <c r="R731">
        <v>0</v>
      </c>
      <c r="S731">
        <v>0</v>
      </c>
      <c r="T731" t="s">
        <v>109</v>
      </c>
      <c r="U731" t="s">
        <v>62</v>
      </c>
      <c r="V731" t="s">
        <v>62</v>
      </c>
      <c r="W731" t="s">
        <v>62</v>
      </c>
      <c r="X731">
        <v>0</v>
      </c>
      <c r="Y731">
        <v>0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8</v>
      </c>
      <c r="AM731">
        <v>5</v>
      </c>
      <c r="AN731">
        <v>12</v>
      </c>
      <c r="AO731">
        <v>0</v>
      </c>
      <c r="AP731">
        <v>14</v>
      </c>
      <c r="AQ731">
        <v>2</v>
      </c>
      <c r="AR731" t="s">
        <v>193</v>
      </c>
      <c r="AS731" t="s">
        <v>13646</v>
      </c>
      <c r="AT731">
        <v>1.034</v>
      </c>
      <c r="AU731" t="s">
        <v>65</v>
      </c>
      <c r="AV731">
        <v>26</v>
      </c>
      <c r="AW731">
        <v>2</v>
      </c>
      <c r="AX731" t="s">
        <v>13647</v>
      </c>
      <c r="AY731">
        <v>7.6859999999999998E-2</v>
      </c>
      <c r="AZ731">
        <v>-6.3800000000000003E-3</v>
      </c>
      <c r="BA731">
        <v>2.0200000000000001E-3</v>
      </c>
      <c r="BB731">
        <v>-2.5000000000000001E-4</v>
      </c>
      <c r="BC731">
        <v>2.6239999999999999E-2</v>
      </c>
      <c r="BD731">
        <v>1</v>
      </c>
      <c r="BE731" t="s">
        <v>69</v>
      </c>
      <c r="BF731">
        <v>3.7999999999999999E-2</v>
      </c>
      <c r="BG731">
        <v>1.4570000000000001</v>
      </c>
    </row>
    <row r="732" spans="1:59">
      <c r="A732">
        <v>0</v>
      </c>
      <c r="B732">
        <v>0</v>
      </c>
      <c r="C732">
        <v>0</v>
      </c>
      <c r="D732" t="s">
        <v>25022</v>
      </c>
      <c r="E732">
        <v>3067</v>
      </c>
      <c r="F732" t="s">
        <v>17760</v>
      </c>
      <c r="G732" t="s">
        <v>62</v>
      </c>
      <c r="H732">
        <v>3017699</v>
      </c>
      <c r="I732">
        <v>3018199</v>
      </c>
      <c r="J732" t="s">
        <v>17761</v>
      </c>
      <c r="K732">
        <v>167</v>
      </c>
      <c r="L732" t="s">
        <v>59</v>
      </c>
      <c r="M732">
        <v>49</v>
      </c>
      <c r="N732" t="str">
        <f>HYPERLINK("Gene3067-zp_tree_all.dnd", "Gene3067-tree")</f>
        <v>Gene3067-tree</v>
      </c>
      <c r="O732">
        <v>31</v>
      </c>
      <c r="P732">
        <v>2</v>
      </c>
      <c r="Q732">
        <v>9</v>
      </c>
      <c r="R732">
        <v>2</v>
      </c>
      <c r="S732">
        <v>0.18182000000000001</v>
      </c>
      <c r="T732" t="s">
        <v>7370</v>
      </c>
      <c r="U732" t="s">
        <v>81</v>
      </c>
      <c r="V732" t="s">
        <v>62</v>
      </c>
      <c r="W732" t="s">
        <v>62</v>
      </c>
      <c r="X732">
        <v>0</v>
      </c>
      <c r="Y732">
        <v>0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0</v>
      </c>
      <c r="AL732">
        <v>7</v>
      </c>
      <c r="AM732">
        <v>5</v>
      </c>
      <c r="AN732">
        <v>7</v>
      </c>
      <c r="AO732">
        <v>2</v>
      </c>
      <c r="AP732">
        <v>20</v>
      </c>
      <c r="AQ732">
        <v>0</v>
      </c>
      <c r="AR732" t="s">
        <v>17762</v>
      </c>
      <c r="AS732" t="s">
        <v>193</v>
      </c>
      <c r="AT732">
        <v>0.94899999999999995</v>
      </c>
      <c r="AU732" t="s">
        <v>65</v>
      </c>
      <c r="AV732">
        <v>27</v>
      </c>
      <c r="AW732">
        <v>2</v>
      </c>
      <c r="AX732" t="s">
        <v>17763</v>
      </c>
      <c r="AY732">
        <v>8.3710000000000007E-2</v>
      </c>
      <c r="AZ732">
        <v>-8.2699999999999996E-3</v>
      </c>
      <c r="BA732">
        <v>9.5E-4</v>
      </c>
      <c r="BB732">
        <v>-1.7000000000000001E-4</v>
      </c>
      <c r="BC732">
        <v>1.1379999999999999E-2</v>
      </c>
      <c r="BD732">
        <v>1</v>
      </c>
      <c r="BE732" t="s">
        <v>69</v>
      </c>
      <c r="BF732">
        <v>-1.0309999999999999</v>
      </c>
      <c r="BG732">
        <v>0.28499999999999998</v>
      </c>
    </row>
    <row r="733" spans="1:59">
      <c r="A733">
        <v>0</v>
      </c>
      <c r="B733">
        <v>0</v>
      </c>
      <c r="C733">
        <v>0</v>
      </c>
      <c r="D733" t="s">
        <v>25022</v>
      </c>
      <c r="E733">
        <v>2317</v>
      </c>
      <c r="F733" t="s">
        <v>13432</v>
      </c>
      <c r="G733" t="s">
        <v>62</v>
      </c>
      <c r="H733">
        <v>2336936</v>
      </c>
      <c r="I733">
        <v>2337439</v>
      </c>
      <c r="J733" t="s">
        <v>13433</v>
      </c>
      <c r="K733">
        <v>168</v>
      </c>
      <c r="L733" t="s">
        <v>108</v>
      </c>
      <c r="M733">
        <v>44</v>
      </c>
      <c r="N733" t="str">
        <f>HYPERLINK("Gene2317-zp_tree_all.dnd", "Gene2317-tree")</f>
        <v>Gene2317-tree</v>
      </c>
      <c r="O733">
        <v>4</v>
      </c>
      <c r="P733">
        <v>5</v>
      </c>
      <c r="Q733">
        <v>4</v>
      </c>
      <c r="R733">
        <v>5</v>
      </c>
      <c r="S733">
        <v>0.55556000000000005</v>
      </c>
      <c r="T733" t="s">
        <v>61</v>
      </c>
      <c r="U733" t="s">
        <v>199</v>
      </c>
      <c r="V733" t="s">
        <v>62</v>
      </c>
      <c r="W733" t="s">
        <v>62</v>
      </c>
      <c r="X733">
        <v>0</v>
      </c>
      <c r="Y733">
        <v>0</v>
      </c>
      <c r="Z733">
        <v>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7</v>
      </c>
      <c r="AK733">
        <v>0</v>
      </c>
      <c r="AL733">
        <v>5</v>
      </c>
      <c r="AM733">
        <v>5</v>
      </c>
      <c r="AN733">
        <v>8</v>
      </c>
      <c r="AO733">
        <v>4</v>
      </c>
      <c r="AP733">
        <v>3</v>
      </c>
      <c r="AQ733">
        <v>3</v>
      </c>
      <c r="AR733" t="s">
        <v>13434</v>
      </c>
      <c r="AS733" t="s">
        <v>13435</v>
      </c>
      <c r="AT733">
        <v>0.61199999999999999</v>
      </c>
      <c r="AU733" t="s">
        <v>65</v>
      </c>
      <c r="AV733">
        <v>11</v>
      </c>
      <c r="AW733">
        <v>7</v>
      </c>
      <c r="AX733" t="s">
        <v>13436</v>
      </c>
      <c r="AY733">
        <v>2.4670000000000001E-2</v>
      </c>
      <c r="AZ733">
        <v>-2.47E-3</v>
      </c>
      <c r="BA733">
        <v>6.0699999999999999E-3</v>
      </c>
      <c r="BB733">
        <v>-7.5000000000000002E-4</v>
      </c>
      <c r="BC733">
        <v>0.24623999999999999</v>
      </c>
      <c r="BD733">
        <v>0.96899999999999997</v>
      </c>
      <c r="BE733" t="s">
        <v>69</v>
      </c>
      <c r="BF733">
        <v>-0.51500000000000001</v>
      </c>
      <c r="BG733">
        <v>-2.0179999999999998</v>
      </c>
    </row>
    <row r="734" spans="1:59">
      <c r="A734">
        <v>0</v>
      </c>
      <c r="B734">
        <v>6</v>
      </c>
      <c r="C734">
        <v>2</v>
      </c>
      <c r="D734" t="s">
        <v>25022</v>
      </c>
      <c r="E734">
        <v>2272</v>
      </c>
      <c r="F734" t="s">
        <v>13143</v>
      </c>
      <c r="G734" t="s">
        <v>62</v>
      </c>
      <c r="H734">
        <v>2296606</v>
      </c>
      <c r="I734">
        <v>2297109</v>
      </c>
      <c r="J734" t="s">
        <v>13144</v>
      </c>
      <c r="K734">
        <v>168</v>
      </c>
      <c r="L734" t="s">
        <v>108</v>
      </c>
      <c r="M734">
        <v>44</v>
      </c>
      <c r="N734" t="str">
        <f>HYPERLINK("Gene2272-zp_tree_all.dnd", "Gene2272-tree")</f>
        <v>Gene2272-tree</v>
      </c>
      <c r="O734">
        <v>6</v>
      </c>
      <c r="P734">
        <v>5</v>
      </c>
      <c r="Q734">
        <v>6</v>
      </c>
      <c r="R734">
        <v>5</v>
      </c>
      <c r="S734">
        <v>0.45455000000000001</v>
      </c>
      <c r="T734" t="s">
        <v>90</v>
      </c>
      <c r="U734" t="s">
        <v>199</v>
      </c>
      <c r="V734" t="s">
        <v>62</v>
      </c>
      <c r="W734" t="s">
        <v>62</v>
      </c>
      <c r="X734">
        <v>4</v>
      </c>
      <c r="Y734">
        <v>8</v>
      </c>
      <c r="Z734">
        <v>4</v>
      </c>
      <c r="AA734">
        <v>0.66666999999999998</v>
      </c>
      <c r="AB734">
        <v>0</v>
      </c>
      <c r="AC734">
        <v>0</v>
      </c>
      <c r="AD734">
        <v>0</v>
      </c>
      <c r="AE734">
        <v>2</v>
      </c>
      <c r="AF734">
        <v>0</v>
      </c>
      <c r="AG734">
        <v>0</v>
      </c>
      <c r="AH734">
        <v>0</v>
      </c>
      <c r="AI734">
        <v>0</v>
      </c>
      <c r="AJ734">
        <v>7</v>
      </c>
      <c r="AK734">
        <v>0</v>
      </c>
      <c r="AL734">
        <v>8</v>
      </c>
      <c r="AM734">
        <v>8</v>
      </c>
      <c r="AN734">
        <v>9</v>
      </c>
      <c r="AO734">
        <v>7</v>
      </c>
      <c r="AP734">
        <v>6</v>
      </c>
      <c r="AQ734">
        <v>5</v>
      </c>
      <c r="AR734" t="s">
        <v>13145</v>
      </c>
      <c r="AS734" t="s">
        <v>13146</v>
      </c>
      <c r="AT734">
        <v>6.8000000000000005E-2</v>
      </c>
      <c r="AU734" t="s">
        <v>65</v>
      </c>
      <c r="AV734">
        <v>15</v>
      </c>
      <c r="AW734">
        <v>12</v>
      </c>
      <c r="AX734" t="s">
        <v>13147</v>
      </c>
      <c r="AY734">
        <v>3.3869999999999997E-2</v>
      </c>
      <c r="AZ734">
        <v>-2.1800000000000001E-3</v>
      </c>
      <c r="BA734">
        <v>7.4200000000000004E-3</v>
      </c>
      <c r="BB734">
        <v>-5.1999999999999995E-4</v>
      </c>
      <c r="BC734">
        <v>0.21909000000000001</v>
      </c>
      <c r="BD734">
        <v>1</v>
      </c>
      <c r="BE734" t="s">
        <v>69</v>
      </c>
      <c r="BF734">
        <v>0.222</v>
      </c>
      <c r="BG734">
        <v>-0.70499999999999996</v>
      </c>
    </row>
    <row r="735" spans="1:59">
      <c r="A735">
        <v>0</v>
      </c>
      <c r="B735">
        <v>0</v>
      </c>
      <c r="C735">
        <v>0</v>
      </c>
      <c r="D735" t="s">
        <v>25022</v>
      </c>
      <c r="E735">
        <v>4025</v>
      </c>
      <c r="F735" t="s">
        <v>23687</v>
      </c>
      <c r="G735" t="s">
        <v>62</v>
      </c>
      <c r="H735">
        <v>3991085</v>
      </c>
      <c r="I735">
        <v>3991588</v>
      </c>
      <c r="J735" t="s">
        <v>23688</v>
      </c>
      <c r="K735">
        <v>168</v>
      </c>
      <c r="L735" t="s">
        <v>23689</v>
      </c>
      <c r="M735">
        <v>27</v>
      </c>
      <c r="N735" t="str">
        <f>HYPERLINK("Gene4025-zp_tree_all.dnd", "Gene4025-tree")</f>
        <v>Gene4025-tree</v>
      </c>
      <c r="O735">
        <v>2</v>
      </c>
      <c r="P735">
        <v>3</v>
      </c>
      <c r="Q735">
        <v>2</v>
      </c>
      <c r="R735">
        <v>3</v>
      </c>
      <c r="S735">
        <v>0.6</v>
      </c>
      <c r="T735" t="s">
        <v>81</v>
      </c>
      <c r="U735" t="s">
        <v>324</v>
      </c>
      <c r="V735" t="s">
        <v>62</v>
      </c>
      <c r="W735" t="s">
        <v>62</v>
      </c>
      <c r="X735">
        <v>0</v>
      </c>
      <c r="Y735">
        <v>0</v>
      </c>
      <c r="Z735">
        <v>5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5</v>
      </c>
      <c r="AK735">
        <v>0</v>
      </c>
      <c r="AL735">
        <v>4</v>
      </c>
      <c r="AM735">
        <v>1</v>
      </c>
      <c r="AN735">
        <v>8</v>
      </c>
      <c r="AO735">
        <v>5</v>
      </c>
      <c r="AP735">
        <v>1</v>
      </c>
      <c r="AQ735">
        <v>0</v>
      </c>
      <c r="AR735" t="s">
        <v>23690</v>
      </c>
      <c r="AS735" t="s">
        <v>193</v>
      </c>
      <c r="AT735">
        <v>3.52</v>
      </c>
      <c r="AU735" t="s">
        <v>267</v>
      </c>
      <c r="AV735">
        <v>9</v>
      </c>
      <c r="AW735">
        <v>5</v>
      </c>
      <c r="AX735" t="s">
        <v>23691</v>
      </c>
      <c r="AY735">
        <v>3.295E-2</v>
      </c>
      <c r="AZ735">
        <v>-3.7599999999999999E-3</v>
      </c>
      <c r="BA735">
        <v>5.1200000000000004E-3</v>
      </c>
      <c r="BB735">
        <v>-8.8999999999999995E-4</v>
      </c>
      <c r="BC735">
        <v>0.15554999999999999</v>
      </c>
      <c r="BD735">
        <v>0.99</v>
      </c>
      <c r="BE735" t="s">
        <v>69</v>
      </c>
      <c r="BF735">
        <v>-0.21099999999999999</v>
      </c>
      <c r="BG735">
        <v>-0.63800000000000001</v>
      </c>
    </row>
    <row r="736" spans="1:59">
      <c r="A736">
        <v>0</v>
      </c>
      <c r="B736">
        <v>2</v>
      </c>
      <c r="C736">
        <v>0</v>
      </c>
      <c r="D736" t="s">
        <v>25022</v>
      </c>
      <c r="E736">
        <v>2297</v>
      </c>
      <c r="F736" t="s">
        <v>13305</v>
      </c>
      <c r="G736" t="s">
        <v>62</v>
      </c>
      <c r="H736">
        <v>2316449</v>
      </c>
      <c r="I736">
        <v>2316952</v>
      </c>
      <c r="J736" t="s">
        <v>13306</v>
      </c>
      <c r="K736">
        <v>168</v>
      </c>
      <c r="L736" t="s">
        <v>108</v>
      </c>
      <c r="M736">
        <v>44</v>
      </c>
      <c r="N736" t="str">
        <f>HYPERLINK("Gene2297-zp_tree_all.dnd", "Gene2297-tree")</f>
        <v>Gene2297-tree</v>
      </c>
      <c r="O736">
        <v>9</v>
      </c>
      <c r="P736">
        <v>5</v>
      </c>
      <c r="Q736">
        <v>9</v>
      </c>
      <c r="R736">
        <v>5</v>
      </c>
      <c r="S736">
        <v>0.35714000000000001</v>
      </c>
      <c r="T736" t="s">
        <v>135</v>
      </c>
      <c r="U736" t="s">
        <v>199</v>
      </c>
      <c r="V736" t="s">
        <v>62</v>
      </c>
      <c r="W736" t="s">
        <v>62</v>
      </c>
      <c r="X736">
        <v>1</v>
      </c>
      <c r="Y736">
        <v>2</v>
      </c>
      <c r="Z736">
        <v>6</v>
      </c>
      <c r="AA736">
        <v>0.25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2</v>
      </c>
      <c r="AH736">
        <v>0</v>
      </c>
      <c r="AI736">
        <v>2</v>
      </c>
      <c r="AJ736">
        <v>5</v>
      </c>
      <c r="AK736">
        <v>0.28571000000000002</v>
      </c>
      <c r="AL736">
        <v>10</v>
      </c>
      <c r="AM736">
        <v>8</v>
      </c>
      <c r="AN736">
        <v>10</v>
      </c>
      <c r="AO736">
        <v>7</v>
      </c>
      <c r="AP736">
        <v>7</v>
      </c>
      <c r="AQ736">
        <v>1</v>
      </c>
      <c r="AR736" t="s">
        <v>13307</v>
      </c>
      <c r="AS736" t="s">
        <v>13308</v>
      </c>
      <c r="AT736">
        <v>0.95699999999999996</v>
      </c>
      <c r="AU736" t="s">
        <v>65</v>
      </c>
      <c r="AV736">
        <v>17</v>
      </c>
      <c r="AW736">
        <v>8</v>
      </c>
      <c r="AX736" t="s">
        <v>13309</v>
      </c>
      <c r="AY736">
        <v>3.0540000000000001E-2</v>
      </c>
      <c r="AZ736">
        <v>-1.4499999999999999E-3</v>
      </c>
      <c r="BA736">
        <v>3.6800000000000001E-3</v>
      </c>
      <c r="BB736">
        <v>-2.7999999999999998E-4</v>
      </c>
      <c r="BC736">
        <v>0.1206</v>
      </c>
      <c r="BD736">
        <v>1</v>
      </c>
      <c r="BE736" t="s">
        <v>69</v>
      </c>
      <c r="BF736">
        <v>-0.83299999999999996</v>
      </c>
      <c r="BG736">
        <v>-1.389</v>
      </c>
    </row>
    <row r="737" spans="1:59">
      <c r="A737">
        <v>0</v>
      </c>
      <c r="B737">
        <v>0</v>
      </c>
      <c r="C737">
        <v>0</v>
      </c>
      <c r="D737" t="s">
        <v>25022</v>
      </c>
      <c r="E737">
        <v>1084</v>
      </c>
      <c r="F737" t="s">
        <v>6810</v>
      </c>
      <c r="G737" t="s">
        <v>57</v>
      </c>
      <c r="H737">
        <v>1122175</v>
      </c>
      <c r="I737">
        <v>1122678</v>
      </c>
      <c r="J737" t="s">
        <v>2768</v>
      </c>
      <c r="K737">
        <v>168</v>
      </c>
      <c r="L737" t="s">
        <v>2220</v>
      </c>
      <c r="M737">
        <v>46</v>
      </c>
      <c r="N737" t="str">
        <f>HYPERLINK("Gene1084-zp_tree_all.dnd", "Gene1084-tree")</f>
        <v>Gene1084-tree</v>
      </c>
      <c r="O737">
        <v>6</v>
      </c>
      <c r="P737">
        <v>2</v>
      </c>
      <c r="Q737">
        <v>6</v>
      </c>
      <c r="R737">
        <v>2</v>
      </c>
      <c r="S737">
        <v>0.25</v>
      </c>
      <c r="T737" t="s">
        <v>90</v>
      </c>
      <c r="U737" t="s">
        <v>81</v>
      </c>
      <c r="V737" t="s">
        <v>62</v>
      </c>
      <c r="W737" t="s">
        <v>62</v>
      </c>
      <c r="X737">
        <v>0</v>
      </c>
      <c r="Y737">
        <v>0</v>
      </c>
      <c r="Z737">
        <v>5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</v>
      </c>
      <c r="AK737">
        <v>0</v>
      </c>
      <c r="AL737">
        <v>7</v>
      </c>
      <c r="AM737">
        <v>1</v>
      </c>
      <c r="AN737">
        <v>23</v>
      </c>
      <c r="AO737">
        <v>3</v>
      </c>
      <c r="AP737">
        <v>12</v>
      </c>
      <c r="AQ737">
        <v>3</v>
      </c>
      <c r="AR737" t="s">
        <v>6811</v>
      </c>
      <c r="AS737" t="s">
        <v>6812</v>
      </c>
      <c r="AT737">
        <v>0.64</v>
      </c>
      <c r="AU737" t="s">
        <v>65</v>
      </c>
      <c r="AV737">
        <v>35</v>
      </c>
      <c r="AW737">
        <v>6</v>
      </c>
      <c r="AX737" t="s">
        <v>6813</v>
      </c>
      <c r="AY737">
        <v>0.1095</v>
      </c>
      <c r="AZ737">
        <v>-1.6230000000000001E-2</v>
      </c>
      <c r="BA737">
        <v>5.3E-3</v>
      </c>
      <c r="BB737">
        <v>-1.1000000000000001E-3</v>
      </c>
      <c r="BC737">
        <v>4.8430000000000001E-2</v>
      </c>
      <c r="BD737">
        <v>1</v>
      </c>
      <c r="BE737" t="s">
        <v>69</v>
      </c>
      <c r="BF737">
        <v>-2.411</v>
      </c>
      <c r="BG737">
        <v>-2.6880000000000002</v>
      </c>
    </row>
    <row r="738" spans="1:59">
      <c r="A738">
        <v>0</v>
      </c>
      <c r="B738">
        <v>12</v>
      </c>
      <c r="C738">
        <v>2</v>
      </c>
      <c r="D738" t="s">
        <v>25022</v>
      </c>
      <c r="E738">
        <v>1302</v>
      </c>
      <c r="F738" t="s">
        <v>8173</v>
      </c>
      <c r="G738" t="s">
        <v>57</v>
      </c>
      <c r="H738">
        <v>1324471</v>
      </c>
      <c r="I738">
        <v>1324977</v>
      </c>
      <c r="J738" t="s">
        <v>8174</v>
      </c>
      <c r="K738">
        <v>169</v>
      </c>
      <c r="L738" t="s">
        <v>1305</v>
      </c>
      <c r="M738">
        <v>43</v>
      </c>
      <c r="N738" t="str">
        <f>HYPERLINK("Gene1302-zp_tree_all.dnd", "Gene1302-tree")</f>
        <v>Gene1302-tree</v>
      </c>
      <c r="O738">
        <v>2</v>
      </c>
      <c r="P738">
        <v>8</v>
      </c>
      <c r="Q738">
        <v>2</v>
      </c>
      <c r="R738">
        <v>8</v>
      </c>
      <c r="S738">
        <v>0.8</v>
      </c>
      <c r="T738" t="s">
        <v>81</v>
      </c>
      <c r="U738" t="s">
        <v>136</v>
      </c>
      <c r="V738" t="s">
        <v>62</v>
      </c>
      <c r="W738" t="s">
        <v>62</v>
      </c>
      <c r="X738">
        <v>5</v>
      </c>
      <c r="Y738">
        <v>14</v>
      </c>
      <c r="Z738">
        <v>5</v>
      </c>
      <c r="AA738">
        <v>0.73684000000000005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4</v>
      </c>
      <c r="AH738">
        <v>1</v>
      </c>
      <c r="AI738">
        <v>5</v>
      </c>
      <c r="AJ738">
        <v>7</v>
      </c>
      <c r="AK738">
        <v>0.41666999999999998</v>
      </c>
      <c r="AL738">
        <v>9</v>
      </c>
      <c r="AM738">
        <v>5</v>
      </c>
      <c r="AN738">
        <v>13</v>
      </c>
      <c r="AO738">
        <v>11</v>
      </c>
      <c r="AP738">
        <v>11</v>
      </c>
      <c r="AQ738">
        <v>8</v>
      </c>
      <c r="AR738" t="s">
        <v>8175</v>
      </c>
      <c r="AS738" t="s">
        <v>8176</v>
      </c>
      <c r="AT738">
        <v>0.23599999999999999</v>
      </c>
      <c r="AU738" t="s">
        <v>65</v>
      </c>
      <c r="AV738">
        <v>24</v>
      </c>
      <c r="AW738">
        <v>19</v>
      </c>
      <c r="AX738" t="s">
        <v>8177</v>
      </c>
      <c r="AY738">
        <v>6.0080000000000001E-2</v>
      </c>
      <c r="AZ738">
        <v>-4.8799999999999998E-3</v>
      </c>
      <c r="BA738">
        <v>1.061E-2</v>
      </c>
      <c r="BB738">
        <v>-7.5000000000000002E-4</v>
      </c>
      <c r="BC738">
        <v>0.17654</v>
      </c>
      <c r="BD738">
        <v>1</v>
      </c>
      <c r="BE738" t="s">
        <v>69</v>
      </c>
      <c r="BF738">
        <v>-0.65800000000000003</v>
      </c>
      <c r="BG738">
        <v>-0.41099999999999998</v>
      </c>
    </row>
    <row r="739" spans="1:59">
      <c r="A739">
        <v>0</v>
      </c>
      <c r="B739">
        <v>4</v>
      </c>
      <c r="C739">
        <v>2</v>
      </c>
      <c r="D739" t="s">
        <v>25022</v>
      </c>
      <c r="E739">
        <v>2952</v>
      </c>
      <c r="F739" t="s">
        <v>17030</v>
      </c>
      <c r="G739" t="s">
        <v>62</v>
      </c>
      <c r="H739">
        <v>2900023</v>
      </c>
      <c r="I739">
        <v>2900529</v>
      </c>
      <c r="J739" t="s">
        <v>13939</v>
      </c>
      <c r="K739">
        <v>169</v>
      </c>
      <c r="L739" t="s">
        <v>409</v>
      </c>
      <c r="M739">
        <v>45</v>
      </c>
      <c r="N739" t="str">
        <f>HYPERLINK("Gene2952-zp_tree_all.dnd", "Gene2952-tree")</f>
        <v>Gene2952-tree</v>
      </c>
      <c r="O739">
        <v>4</v>
      </c>
      <c r="P739">
        <v>7</v>
      </c>
      <c r="Q739">
        <v>4</v>
      </c>
      <c r="R739">
        <v>7</v>
      </c>
      <c r="S739">
        <v>0.63636000000000004</v>
      </c>
      <c r="T739" t="s">
        <v>61</v>
      </c>
      <c r="U739" t="s">
        <v>152</v>
      </c>
      <c r="V739" t="s">
        <v>62</v>
      </c>
      <c r="W739" t="s">
        <v>62</v>
      </c>
      <c r="X739">
        <v>3</v>
      </c>
      <c r="Y739">
        <v>6</v>
      </c>
      <c r="Z739">
        <v>12</v>
      </c>
      <c r="AA739">
        <v>0.33333000000000002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2</v>
      </c>
      <c r="AH739">
        <v>2</v>
      </c>
      <c r="AI739">
        <v>4</v>
      </c>
      <c r="AJ739">
        <v>13</v>
      </c>
      <c r="AK739">
        <v>0.23529</v>
      </c>
      <c r="AL739">
        <v>9</v>
      </c>
      <c r="AM739">
        <v>7</v>
      </c>
      <c r="AN739">
        <v>23</v>
      </c>
      <c r="AO739">
        <v>17</v>
      </c>
      <c r="AP739">
        <v>7</v>
      </c>
      <c r="AQ739">
        <v>1</v>
      </c>
      <c r="AR739" t="s">
        <v>17031</v>
      </c>
      <c r="AS739" t="s">
        <v>17032</v>
      </c>
      <c r="AT739">
        <v>0.67800000000000005</v>
      </c>
      <c r="AU739" t="s">
        <v>65</v>
      </c>
      <c r="AV739">
        <v>30</v>
      </c>
      <c r="AW739">
        <v>18</v>
      </c>
      <c r="AX739" t="s">
        <v>17033</v>
      </c>
      <c r="AY739">
        <v>5.9959999999999999E-2</v>
      </c>
      <c r="AZ739">
        <v>-6.0899999999999999E-3</v>
      </c>
      <c r="BA739">
        <v>8.9999999999999993E-3</v>
      </c>
      <c r="BB739">
        <v>-8.3000000000000001E-4</v>
      </c>
      <c r="BC739">
        <v>0.15003</v>
      </c>
      <c r="BD739">
        <v>1</v>
      </c>
      <c r="BE739" t="s">
        <v>69</v>
      </c>
      <c r="BF739">
        <v>-1.395</v>
      </c>
      <c r="BG739">
        <v>-4.04</v>
      </c>
    </row>
    <row r="740" spans="1:59">
      <c r="A740">
        <v>0</v>
      </c>
      <c r="B740">
        <v>10</v>
      </c>
      <c r="C740">
        <v>2</v>
      </c>
      <c r="D740" t="s">
        <v>25022</v>
      </c>
      <c r="E740">
        <v>1815</v>
      </c>
      <c r="F740" t="s">
        <v>11378</v>
      </c>
      <c r="G740" t="s">
        <v>57</v>
      </c>
      <c r="H740">
        <v>1883166</v>
      </c>
      <c r="I740">
        <v>1883675</v>
      </c>
      <c r="J740" t="s">
        <v>11379</v>
      </c>
      <c r="K740">
        <v>170</v>
      </c>
      <c r="L740" t="s">
        <v>1933</v>
      </c>
      <c r="M740">
        <v>39</v>
      </c>
      <c r="N740" t="str">
        <f>HYPERLINK("Gene1815-zp_tree_all.dnd", "Gene1815-tree")</f>
        <v>Gene1815-tree</v>
      </c>
      <c r="O740">
        <v>2</v>
      </c>
      <c r="P740">
        <v>10</v>
      </c>
      <c r="Q740">
        <v>2</v>
      </c>
      <c r="R740">
        <v>10</v>
      </c>
      <c r="S740">
        <v>0.83333000000000002</v>
      </c>
      <c r="T740" t="s">
        <v>81</v>
      </c>
      <c r="U740" t="s">
        <v>117</v>
      </c>
      <c r="V740" t="s">
        <v>62</v>
      </c>
      <c r="W740" t="s">
        <v>62</v>
      </c>
      <c r="X740">
        <v>5</v>
      </c>
      <c r="Y740">
        <v>12</v>
      </c>
      <c r="Z740">
        <v>15</v>
      </c>
      <c r="AA740">
        <v>0.44444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4</v>
      </c>
      <c r="AH740">
        <v>0</v>
      </c>
      <c r="AI740">
        <v>4</v>
      </c>
      <c r="AJ740">
        <v>18</v>
      </c>
      <c r="AK740">
        <v>0.18182000000000001</v>
      </c>
      <c r="AL740">
        <v>11</v>
      </c>
      <c r="AM740">
        <v>8</v>
      </c>
      <c r="AN740">
        <v>21</v>
      </c>
      <c r="AO740">
        <v>22</v>
      </c>
      <c r="AP740">
        <v>17</v>
      </c>
      <c r="AQ740">
        <v>5</v>
      </c>
      <c r="AR740" t="s">
        <v>11380</v>
      </c>
      <c r="AS740" t="s">
        <v>11381</v>
      </c>
      <c r="AT740">
        <v>1.46</v>
      </c>
      <c r="AU740" t="s">
        <v>65</v>
      </c>
      <c r="AV740">
        <v>38</v>
      </c>
      <c r="AW740">
        <v>27</v>
      </c>
      <c r="AX740" t="s">
        <v>11382</v>
      </c>
      <c r="AY740">
        <v>7.3620000000000005E-2</v>
      </c>
      <c r="AZ740">
        <v>-3.81E-3</v>
      </c>
      <c r="BA740">
        <v>1.166E-2</v>
      </c>
      <c r="BB740">
        <v>-6.7000000000000002E-4</v>
      </c>
      <c r="BC740">
        <v>0.15842000000000001</v>
      </c>
      <c r="BD740">
        <v>1</v>
      </c>
      <c r="BE740" t="s">
        <v>69</v>
      </c>
      <c r="BF740">
        <v>-0.96599999999999997</v>
      </c>
      <c r="BG740">
        <v>-2.157</v>
      </c>
    </row>
    <row r="741" spans="1:59">
      <c r="A741">
        <v>0</v>
      </c>
      <c r="B741">
        <v>0</v>
      </c>
      <c r="C741">
        <v>0</v>
      </c>
      <c r="D741" t="s">
        <v>25022</v>
      </c>
      <c r="E741">
        <v>3820</v>
      </c>
      <c r="F741" t="s">
        <v>22391</v>
      </c>
      <c r="G741" t="s">
        <v>62</v>
      </c>
      <c r="H741">
        <v>3785948</v>
      </c>
      <c r="I741">
        <v>3786457</v>
      </c>
      <c r="J741" t="s">
        <v>22392</v>
      </c>
      <c r="K741">
        <v>170</v>
      </c>
      <c r="L741" t="s">
        <v>59</v>
      </c>
      <c r="M741">
        <v>49</v>
      </c>
      <c r="N741" t="str">
        <f>HYPERLINK("Gene3820-zp_tree_all.dnd", "Gene3820-tree")</f>
        <v>Gene3820-tree</v>
      </c>
      <c r="O741">
        <v>9</v>
      </c>
      <c r="P741">
        <v>1</v>
      </c>
      <c r="Q741">
        <v>9</v>
      </c>
      <c r="R741">
        <v>1</v>
      </c>
      <c r="S741">
        <v>0.1</v>
      </c>
      <c r="T741" t="s">
        <v>135</v>
      </c>
      <c r="U741" t="s">
        <v>175</v>
      </c>
      <c r="V741" t="s">
        <v>62</v>
      </c>
      <c r="W741" t="s">
        <v>62</v>
      </c>
      <c r="X741">
        <v>0</v>
      </c>
      <c r="Y741">
        <v>0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7</v>
      </c>
      <c r="AM741">
        <v>3</v>
      </c>
      <c r="AN741">
        <v>8</v>
      </c>
      <c r="AO741">
        <v>0</v>
      </c>
      <c r="AP741">
        <v>1</v>
      </c>
      <c r="AQ741">
        <v>2</v>
      </c>
      <c r="AR741" t="s">
        <v>193</v>
      </c>
      <c r="AS741" t="s">
        <v>22393</v>
      </c>
      <c r="AT741">
        <v>0.69299999999999995</v>
      </c>
      <c r="AU741" t="s">
        <v>65</v>
      </c>
      <c r="AV741">
        <v>9</v>
      </c>
      <c r="AW741">
        <v>2</v>
      </c>
      <c r="AX741" t="s">
        <v>22394</v>
      </c>
      <c r="AY741">
        <v>1.9130000000000001E-2</v>
      </c>
      <c r="AZ741">
        <v>-1.2600000000000001E-3</v>
      </c>
      <c r="BA741">
        <v>2.5300000000000001E-3</v>
      </c>
      <c r="BB741">
        <v>-3.2000000000000003E-4</v>
      </c>
      <c r="BC741">
        <v>0.13211000000000001</v>
      </c>
      <c r="BD741">
        <v>1</v>
      </c>
      <c r="BE741" t="s">
        <v>69</v>
      </c>
      <c r="BF741">
        <v>-0.69799999999999995</v>
      </c>
      <c r="BG741">
        <v>-0.84699999999999998</v>
      </c>
    </row>
    <row r="742" spans="1:59">
      <c r="A742">
        <v>0</v>
      </c>
      <c r="B742">
        <v>0</v>
      </c>
      <c r="C742">
        <v>2</v>
      </c>
      <c r="D742" t="s">
        <v>25022</v>
      </c>
      <c r="E742">
        <v>3577</v>
      </c>
      <c r="F742" t="s">
        <v>20982</v>
      </c>
      <c r="G742" t="s">
        <v>62</v>
      </c>
      <c r="H742">
        <v>3542182</v>
      </c>
      <c r="I742">
        <v>3542691</v>
      </c>
      <c r="J742" t="s">
        <v>116</v>
      </c>
      <c r="K742">
        <v>170</v>
      </c>
      <c r="L742" t="s">
        <v>108</v>
      </c>
      <c r="M742">
        <v>44</v>
      </c>
      <c r="N742" t="str">
        <f>HYPERLINK("Gene3577-zp_tree_all.dnd", "Gene3577-tree")</f>
        <v>Gene3577-tree</v>
      </c>
      <c r="O742">
        <v>10</v>
      </c>
      <c r="P742">
        <v>3</v>
      </c>
      <c r="Q742">
        <v>10</v>
      </c>
      <c r="R742">
        <v>3</v>
      </c>
      <c r="S742">
        <v>0.23077</v>
      </c>
      <c r="T742" t="s">
        <v>117</v>
      </c>
      <c r="U742" t="s">
        <v>324</v>
      </c>
      <c r="V742" t="s">
        <v>62</v>
      </c>
      <c r="W742" t="s">
        <v>62</v>
      </c>
      <c r="X742">
        <v>1</v>
      </c>
      <c r="Y742">
        <v>2</v>
      </c>
      <c r="Z742">
        <v>5</v>
      </c>
      <c r="AA742">
        <v>0.28571000000000002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3</v>
      </c>
      <c r="AK742">
        <v>0</v>
      </c>
      <c r="AL742">
        <v>10</v>
      </c>
      <c r="AM742">
        <v>8</v>
      </c>
      <c r="AN742">
        <v>9</v>
      </c>
      <c r="AO742">
        <v>3</v>
      </c>
      <c r="AP742">
        <v>11</v>
      </c>
      <c r="AQ742">
        <v>4</v>
      </c>
      <c r="AR742" t="s">
        <v>20983</v>
      </c>
      <c r="AS742" t="s">
        <v>20984</v>
      </c>
      <c r="AT742">
        <v>7.0999999999999994E-2</v>
      </c>
      <c r="AU742" t="s">
        <v>65</v>
      </c>
      <c r="AV742">
        <v>20</v>
      </c>
      <c r="AW742">
        <v>7</v>
      </c>
      <c r="AX742" t="s">
        <v>20985</v>
      </c>
      <c r="AY742">
        <v>4.3679999999999997E-2</v>
      </c>
      <c r="AZ742">
        <v>-1.6900000000000001E-3</v>
      </c>
      <c r="BA742">
        <v>4.7099999999999998E-3</v>
      </c>
      <c r="BB742">
        <v>-4.4999999999999999E-4</v>
      </c>
      <c r="BC742">
        <v>0.10782</v>
      </c>
      <c r="BD742">
        <v>1</v>
      </c>
      <c r="BE742" t="s">
        <v>69</v>
      </c>
      <c r="BF742">
        <v>-0.27800000000000002</v>
      </c>
      <c r="BG742">
        <v>-0.82399999999999995</v>
      </c>
    </row>
    <row r="743" spans="1:59">
      <c r="A743">
        <v>0</v>
      </c>
      <c r="B743">
        <v>4</v>
      </c>
      <c r="C743">
        <v>0</v>
      </c>
      <c r="D743" t="s">
        <v>25022</v>
      </c>
      <c r="E743">
        <v>1379</v>
      </c>
      <c r="F743" t="s">
        <v>8632</v>
      </c>
      <c r="G743" t="s">
        <v>57</v>
      </c>
      <c r="H743">
        <v>1394776</v>
      </c>
      <c r="I743">
        <v>1395285</v>
      </c>
      <c r="J743" t="s">
        <v>2332</v>
      </c>
      <c r="K743">
        <v>170</v>
      </c>
      <c r="L743" t="s">
        <v>108</v>
      </c>
      <c r="M743">
        <v>44</v>
      </c>
      <c r="N743" t="str">
        <f>HYPERLINK("Gene1379-zp_tree_all.dnd", "Gene1379-tree")</f>
        <v>Gene1379-tree</v>
      </c>
      <c r="O743">
        <v>9</v>
      </c>
      <c r="P743">
        <v>5</v>
      </c>
      <c r="Q743">
        <v>9</v>
      </c>
      <c r="R743">
        <v>5</v>
      </c>
      <c r="S743">
        <v>0.35714000000000001</v>
      </c>
      <c r="T743" t="s">
        <v>135</v>
      </c>
      <c r="U743" t="s">
        <v>199</v>
      </c>
      <c r="V743" t="s">
        <v>62</v>
      </c>
      <c r="W743" t="s">
        <v>62</v>
      </c>
      <c r="X743">
        <v>2</v>
      </c>
      <c r="Y743">
        <v>4</v>
      </c>
      <c r="Z743">
        <v>7</v>
      </c>
      <c r="AA743">
        <v>0.36364000000000002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</v>
      </c>
      <c r="AH743">
        <v>0</v>
      </c>
      <c r="AI743">
        <v>2</v>
      </c>
      <c r="AJ743">
        <v>8</v>
      </c>
      <c r="AK743">
        <v>0.2</v>
      </c>
      <c r="AL743">
        <v>10</v>
      </c>
      <c r="AM743">
        <v>6</v>
      </c>
      <c r="AN743">
        <v>15</v>
      </c>
      <c r="AO743">
        <v>10</v>
      </c>
      <c r="AP743">
        <v>9</v>
      </c>
      <c r="AQ743">
        <v>1</v>
      </c>
      <c r="AR743" t="s">
        <v>8633</v>
      </c>
      <c r="AS743" t="s">
        <v>8634</v>
      </c>
      <c r="AT743">
        <v>0.754</v>
      </c>
      <c r="AU743" t="s">
        <v>65</v>
      </c>
      <c r="AV743">
        <v>24</v>
      </c>
      <c r="AW743">
        <v>11</v>
      </c>
      <c r="AX743" t="s">
        <v>8635</v>
      </c>
      <c r="AY743">
        <v>3.7900000000000003E-2</v>
      </c>
      <c r="AZ743">
        <v>-2.3800000000000002E-3</v>
      </c>
      <c r="BA743">
        <v>4.0699999999999998E-3</v>
      </c>
      <c r="BB743">
        <v>-4.6000000000000001E-4</v>
      </c>
      <c r="BC743">
        <v>0.10743999999999999</v>
      </c>
      <c r="BD743">
        <v>1</v>
      </c>
      <c r="BE743" t="s">
        <v>69</v>
      </c>
      <c r="BF743">
        <v>-0.98799999999999999</v>
      </c>
      <c r="BG743">
        <v>-1.954</v>
      </c>
    </row>
    <row r="744" spans="1:59">
      <c r="A744">
        <v>0</v>
      </c>
      <c r="B744">
        <v>0</v>
      </c>
      <c r="C744">
        <v>0</v>
      </c>
      <c r="D744" t="s">
        <v>25022</v>
      </c>
      <c r="E744">
        <v>1867</v>
      </c>
      <c r="F744" t="s">
        <v>11690</v>
      </c>
      <c r="G744" t="s">
        <v>57</v>
      </c>
      <c r="H744">
        <v>1929481</v>
      </c>
      <c r="I744">
        <v>1929990</v>
      </c>
      <c r="J744" t="s">
        <v>11691</v>
      </c>
      <c r="K744">
        <v>170</v>
      </c>
      <c r="L744" t="s">
        <v>11692</v>
      </c>
      <c r="M744">
        <v>43</v>
      </c>
      <c r="N744" t="str">
        <f>HYPERLINK("Gene1867-zp_tree_all.dnd", "Gene1867-tree")</f>
        <v>Gene1867-tree</v>
      </c>
      <c r="O744">
        <v>8</v>
      </c>
      <c r="P744">
        <v>3</v>
      </c>
      <c r="Q744">
        <v>8</v>
      </c>
      <c r="R744">
        <v>3</v>
      </c>
      <c r="S744">
        <v>0.27272999999999997</v>
      </c>
      <c r="T744" t="s">
        <v>136</v>
      </c>
      <c r="U744" t="s">
        <v>324</v>
      </c>
      <c r="V744" t="s">
        <v>62</v>
      </c>
      <c r="W744" t="s">
        <v>62</v>
      </c>
      <c r="X744">
        <v>0</v>
      </c>
      <c r="Y744">
        <v>0</v>
      </c>
      <c r="Z744">
        <v>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4</v>
      </c>
      <c r="AK744">
        <v>0</v>
      </c>
      <c r="AL744">
        <v>7</v>
      </c>
      <c r="AM744">
        <v>7</v>
      </c>
      <c r="AN744">
        <v>12</v>
      </c>
      <c r="AO744">
        <v>4</v>
      </c>
      <c r="AP744">
        <v>7</v>
      </c>
      <c r="AQ744">
        <v>1</v>
      </c>
      <c r="AR744" t="s">
        <v>11693</v>
      </c>
      <c r="AS744" t="s">
        <v>11694</v>
      </c>
      <c r="AT744">
        <v>0.44800000000000001</v>
      </c>
      <c r="AU744" t="s">
        <v>65</v>
      </c>
      <c r="AV744">
        <v>19</v>
      </c>
      <c r="AW744">
        <v>5</v>
      </c>
      <c r="AX744" t="s">
        <v>11695</v>
      </c>
      <c r="AY744">
        <v>4.1480000000000003E-2</v>
      </c>
      <c r="AZ744">
        <v>-2.3500000000000001E-3</v>
      </c>
      <c r="BA744">
        <v>3.2499999999999999E-3</v>
      </c>
      <c r="BB744">
        <v>-3.4000000000000002E-4</v>
      </c>
      <c r="BC744">
        <v>7.825E-2</v>
      </c>
      <c r="BD744">
        <v>1</v>
      </c>
      <c r="BE744" t="s">
        <v>69</v>
      </c>
      <c r="BF744">
        <v>0.51400000000000001</v>
      </c>
      <c r="BG744">
        <v>-0.35</v>
      </c>
    </row>
    <row r="745" spans="1:59">
      <c r="A745">
        <v>0</v>
      </c>
      <c r="B745">
        <v>0</v>
      </c>
      <c r="C745">
        <v>0</v>
      </c>
      <c r="D745" t="s">
        <v>25022</v>
      </c>
      <c r="E745">
        <v>2890</v>
      </c>
      <c r="F745" t="s">
        <v>16631</v>
      </c>
      <c r="G745" t="s">
        <v>62</v>
      </c>
      <c r="H745">
        <v>2836912</v>
      </c>
      <c r="I745">
        <v>2837421</v>
      </c>
      <c r="J745" t="s">
        <v>16632</v>
      </c>
      <c r="K745">
        <v>170</v>
      </c>
      <c r="L745" t="s">
        <v>289</v>
      </c>
      <c r="M745">
        <v>46</v>
      </c>
      <c r="N745" t="str">
        <f>HYPERLINK("Gene2890-zp_tree_all.dnd", "Gene2890-tree")</f>
        <v>Gene2890-tree</v>
      </c>
      <c r="O745">
        <v>8</v>
      </c>
      <c r="P745">
        <v>3</v>
      </c>
      <c r="Q745">
        <v>8</v>
      </c>
      <c r="R745">
        <v>3</v>
      </c>
      <c r="S745">
        <v>0.27272999999999997</v>
      </c>
      <c r="T745" t="s">
        <v>136</v>
      </c>
      <c r="U745" t="s">
        <v>324</v>
      </c>
      <c r="V745" t="s">
        <v>62</v>
      </c>
      <c r="W745" t="s">
        <v>62</v>
      </c>
      <c r="X745">
        <v>0</v>
      </c>
      <c r="Y745">
        <v>0</v>
      </c>
      <c r="Z745">
        <v>8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</v>
      </c>
      <c r="AK745">
        <v>0</v>
      </c>
      <c r="AL745">
        <v>9</v>
      </c>
      <c r="AM745">
        <v>3</v>
      </c>
      <c r="AN745">
        <v>8</v>
      </c>
      <c r="AO745">
        <v>3</v>
      </c>
      <c r="AP745">
        <v>21</v>
      </c>
      <c r="AQ745">
        <v>5</v>
      </c>
      <c r="AR745" t="s">
        <v>16633</v>
      </c>
      <c r="AS745" t="s">
        <v>16634</v>
      </c>
      <c r="AT745">
        <v>0.30499999999999999</v>
      </c>
      <c r="AU745" t="s">
        <v>65</v>
      </c>
      <c r="AV745">
        <v>29</v>
      </c>
      <c r="AW745">
        <v>8</v>
      </c>
      <c r="AX745" t="s">
        <v>16635</v>
      </c>
      <c r="AY745">
        <v>7.4819999999999998E-2</v>
      </c>
      <c r="AZ745">
        <v>-1.1220000000000001E-2</v>
      </c>
      <c r="BA745">
        <v>5.5900000000000004E-3</v>
      </c>
      <c r="BB745">
        <v>-8.8000000000000003E-4</v>
      </c>
      <c r="BC745">
        <v>7.4639999999999998E-2</v>
      </c>
      <c r="BD745">
        <v>1</v>
      </c>
      <c r="BE745" t="s">
        <v>69</v>
      </c>
      <c r="BF745">
        <v>-1.661</v>
      </c>
      <c r="BG745">
        <v>0.35599999999999998</v>
      </c>
    </row>
    <row r="746" spans="1:59">
      <c r="A746">
        <v>0</v>
      </c>
      <c r="B746">
        <v>4</v>
      </c>
      <c r="C746">
        <v>2</v>
      </c>
      <c r="D746" t="s">
        <v>25022</v>
      </c>
      <c r="E746">
        <v>2875</v>
      </c>
      <c r="F746" t="s">
        <v>16533</v>
      </c>
      <c r="G746" t="s">
        <v>62</v>
      </c>
      <c r="H746">
        <v>2822904</v>
      </c>
      <c r="I746">
        <v>2823413</v>
      </c>
      <c r="J746" t="s">
        <v>16534</v>
      </c>
      <c r="K746">
        <v>170</v>
      </c>
      <c r="L746" t="s">
        <v>59</v>
      </c>
      <c r="M746">
        <v>49</v>
      </c>
      <c r="N746" t="str">
        <f>HYPERLINK("Gene2875-zp_tree_all.dnd", "Gene2875-tree")</f>
        <v>Gene2875-tree</v>
      </c>
      <c r="O746">
        <v>4</v>
      </c>
      <c r="P746">
        <v>31</v>
      </c>
      <c r="Q746">
        <v>4</v>
      </c>
      <c r="R746">
        <v>6</v>
      </c>
      <c r="S746">
        <v>0.6</v>
      </c>
      <c r="T746" t="s">
        <v>61</v>
      </c>
      <c r="U746" t="s">
        <v>16535</v>
      </c>
      <c r="V746">
        <v>4.3049999999999997</v>
      </c>
      <c r="W746" t="s">
        <v>65</v>
      </c>
      <c r="X746">
        <v>1</v>
      </c>
      <c r="Y746">
        <v>6</v>
      </c>
      <c r="Z746">
        <v>5</v>
      </c>
      <c r="AA746">
        <v>0.54544999999999999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4</v>
      </c>
      <c r="AH746">
        <v>0</v>
      </c>
      <c r="AI746">
        <v>4</v>
      </c>
      <c r="AJ746">
        <v>2</v>
      </c>
      <c r="AK746">
        <v>0.66666999999999998</v>
      </c>
      <c r="AL746">
        <v>10</v>
      </c>
      <c r="AM746">
        <v>4</v>
      </c>
      <c r="AN746">
        <v>15</v>
      </c>
      <c r="AO746">
        <v>6</v>
      </c>
      <c r="AP746">
        <v>26</v>
      </c>
      <c r="AQ746">
        <v>5</v>
      </c>
      <c r="AR746" t="s">
        <v>16536</v>
      </c>
      <c r="AS746" t="s">
        <v>16537</v>
      </c>
      <c r="AT746">
        <v>1.675</v>
      </c>
      <c r="AU746" t="s">
        <v>65</v>
      </c>
      <c r="AV746">
        <v>41</v>
      </c>
      <c r="AW746">
        <v>11</v>
      </c>
      <c r="AX746" t="s">
        <v>16538</v>
      </c>
      <c r="AY746">
        <v>0.10793999999999999</v>
      </c>
      <c r="AZ746">
        <v>-1.038E-2</v>
      </c>
      <c r="BA746">
        <v>6.5300000000000002E-3</v>
      </c>
      <c r="BB746">
        <v>-4.8999999999999998E-4</v>
      </c>
      <c r="BC746">
        <v>6.0539999999999997E-2</v>
      </c>
      <c r="BD746">
        <v>1</v>
      </c>
      <c r="BE746" t="s">
        <v>69</v>
      </c>
      <c r="BF746">
        <v>-1.4419999999999999</v>
      </c>
      <c r="BG746">
        <v>0.28399999999999997</v>
      </c>
    </row>
    <row r="747" spans="1:59">
      <c r="A747">
        <v>0</v>
      </c>
      <c r="B747">
        <v>2</v>
      </c>
      <c r="C747">
        <v>0</v>
      </c>
      <c r="D747" t="s">
        <v>25022</v>
      </c>
      <c r="E747">
        <v>3064</v>
      </c>
      <c r="F747" t="s">
        <v>17742</v>
      </c>
      <c r="G747" t="s">
        <v>62</v>
      </c>
      <c r="H747">
        <v>3014517</v>
      </c>
      <c r="I747">
        <v>3015026</v>
      </c>
      <c r="J747" t="s">
        <v>17743</v>
      </c>
      <c r="K747">
        <v>170</v>
      </c>
      <c r="L747" t="s">
        <v>3143</v>
      </c>
      <c r="M747">
        <v>41</v>
      </c>
      <c r="N747" t="str">
        <f>HYPERLINK("Gene3064-zp_tree_all.dnd", "Gene3064-tree")</f>
        <v>Gene3064-tree</v>
      </c>
      <c r="O747">
        <v>11</v>
      </c>
      <c r="P747">
        <v>2</v>
      </c>
      <c r="Q747">
        <v>11</v>
      </c>
      <c r="R747">
        <v>2</v>
      </c>
      <c r="S747">
        <v>0.15384999999999999</v>
      </c>
      <c r="T747" t="s">
        <v>73</v>
      </c>
      <c r="U747" t="s">
        <v>81</v>
      </c>
      <c r="V747" t="s">
        <v>62</v>
      </c>
      <c r="W747" t="s">
        <v>62</v>
      </c>
      <c r="X747">
        <v>1</v>
      </c>
      <c r="Y747">
        <v>2</v>
      </c>
      <c r="Z747">
        <v>3</v>
      </c>
      <c r="AA747">
        <v>0.4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11</v>
      </c>
      <c r="AM747">
        <v>9</v>
      </c>
      <c r="AN747">
        <v>21</v>
      </c>
      <c r="AO747">
        <v>2</v>
      </c>
      <c r="AP747">
        <v>12</v>
      </c>
      <c r="AQ747">
        <v>3</v>
      </c>
      <c r="AR747" t="s">
        <v>17744</v>
      </c>
      <c r="AS747" t="s">
        <v>17745</v>
      </c>
      <c r="AT747">
        <v>0.58699999999999997</v>
      </c>
      <c r="AU747" t="s">
        <v>65</v>
      </c>
      <c r="AV747">
        <v>33</v>
      </c>
      <c r="AW747">
        <v>5</v>
      </c>
      <c r="AX747" t="s">
        <v>17746</v>
      </c>
      <c r="AY747">
        <v>5.9159999999999997E-2</v>
      </c>
      <c r="AZ747">
        <v>-3.0300000000000001E-3</v>
      </c>
      <c r="BA747">
        <v>2.82E-3</v>
      </c>
      <c r="BB747">
        <v>-2.4000000000000001E-4</v>
      </c>
      <c r="BC747">
        <v>4.7640000000000002E-2</v>
      </c>
      <c r="BD747">
        <v>1</v>
      </c>
      <c r="BE747" t="s">
        <v>69</v>
      </c>
      <c r="BF747">
        <v>-0.80500000000000005</v>
      </c>
      <c r="BG747">
        <v>-0.96199999999999997</v>
      </c>
    </row>
    <row r="748" spans="1:59">
      <c r="A748">
        <v>0</v>
      </c>
      <c r="B748">
        <v>2</v>
      </c>
      <c r="C748">
        <v>0</v>
      </c>
      <c r="D748" t="s">
        <v>25022</v>
      </c>
      <c r="E748">
        <v>97</v>
      </c>
      <c r="F748" t="s">
        <v>762</v>
      </c>
      <c r="G748" t="s">
        <v>57</v>
      </c>
      <c r="H748">
        <v>116025</v>
      </c>
      <c r="I748">
        <v>116534</v>
      </c>
      <c r="J748" t="s">
        <v>763</v>
      </c>
      <c r="K748">
        <v>170</v>
      </c>
      <c r="L748" t="s">
        <v>59</v>
      </c>
      <c r="M748">
        <v>49</v>
      </c>
      <c r="N748" t="str">
        <f>HYPERLINK("Gene97-zp_tree_all.dnd", "Gene97-tree")</f>
        <v>Gene97-tree</v>
      </c>
      <c r="O748">
        <v>13</v>
      </c>
      <c r="P748">
        <v>1</v>
      </c>
      <c r="Q748">
        <v>13</v>
      </c>
      <c r="R748">
        <v>1</v>
      </c>
      <c r="S748">
        <v>7.1429999999999993E-2</v>
      </c>
      <c r="T748" t="s">
        <v>507</v>
      </c>
      <c r="U748" t="s">
        <v>175</v>
      </c>
      <c r="V748" t="s">
        <v>62</v>
      </c>
      <c r="W748" t="s">
        <v>62</v>
      </c>
      <c r="X748">
        <v>1</v>
      </c>
      <c r="Y748">
        <v>2</v>
      </c>
      <c r="Z748">
        <v>2</v>
      </c>
      <c r="AA748">
        <v>0.5</v>
      </c>
      <c r="AB748">
        <v>0</v>
      </c>
      <c r="AC748">
        <v>0</v>
      </c>
      <c r="AD748">
        <v>0</v>
      </c>
      <c r="AE748">
        <v>3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9</v>
      </c>
      <c r="AM748">
        <v>6</v>
      </c>
      <c r="AN748">
        <v>13</v>
      </c>
      <c r="AO748">
        <v>1</v>
      </c>
      <c r="AP748">
        <v>16</v>
      </c>
      <c r="AQ748">
        <v>3</v>
      </c>
      <c r="AR748" t="s">
        <v>764</v>
      </c>
      <c r="AS748" t="s">
        <v>765</v>
      </c>
      <c r="AT748">
        <v>0.36199999999999999</v>
      </c>
      <c r="AU748" t="s">
        <v>65</v>
      </c>
      <c r="AV748">
        <v>29</v>
      </c>
      <c r="AW748">
        <v>4</v>
      </c>
      <c r="AX748" t="s">
        <v>766</v>
      </c>
      <c r="AY748">
        <v>6.8029999999999993E-2</v>
      </c>
      <c r="AZ748">
        <v>-4.4600000000000004E-3</v>
      </c>
      <c r="BA748">
        <v>2.82E-3</v>
      </c>
      <c r="BB748">
        <v>-2.7999999999999998E-4</v>
      </c>
      <c r="BC748">
        <v>4.1500000000000002E-2</v>
      </c>
      <c r="BD748">
        <v>1</v>
      </c>
      <c r="BE748" t="s">
        <v>69</v>
      </c>
      <c r="BF748">
        <v>-1.6930000000000001</v>
      </c>
      <c r="BG748">
        <v>-0.23400000000000001</v>
      </c>
    </row>
    <row r="749" spans="1:59">
      <c r="A749">
        <v>0</v>
      </c>
      <c r="B749">
        <v>0</v>
      </c>
      <c r="C749">
        <v>2</v>
      </c>
      <c r="D749" t="s">
        <v>25022</v>
      </c>
      <c r="E749">
        <v>615</v>
      </c>
      <c r="F749" t="s">
        <v>3958</v>
      </c>
      <c r="G749" t="s">
        <v>57</v>
      </c>
      <c r="H749">
        <v>646582</v>
      </c>
      <c r="I749">
        <v>647091</v>
      </c>
      <c r="J749" t="s">
        <v>3959</v>
      </c>
      <c r="K749">
        <v>170</v>
      </c>
      <c r="L749" t="s">
        <v>59</v>
      </c>
      <c r="M749">
        <v>49</v>
      </c>
      <c r="N749" t="str">
        <f>HYPERLINK("Gene615-zp_tree_all.dnd", "Gene615-tree")</f>
        <v>Gene615-tree</v>
      </c>
      <c r="O749">
        <v>15</v>
      </c>
      <c r="P749">
        <v>4</v>
      </c>
      <c r="Q749">
        <v>15</v>
      </c>
      <c r="R749">
        <v>4</v>
      </c>
      <c r="S749">
        <v>0.21052999999999999</v>
      </c>
      <c r="T749" t="s">
        <v>100</v>
      </c>
      <c r="U749" t="s">
        <v>61</v>
      </c>
      <c r="V749" t="s">
        <v>62</v>
      </c>
      <c r="W749" t="s">
        <v>62</v>
      </c>
      <c r="X749">
        <v>1</v>
      </c>
      <c r="Y749">
        <v>2</v>
      </c>
      <c r="Z749">
        <v>4</v>
      </c>
      <c r="AA749">
        <v>0.33333000000000002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2</v>
      </c>
      <c r="AI749">
        <v>2</v>
      </c>
      <c r="AJ749">
        <v>3</v>
      </c>
      <c r="AK749">
        <v>0.4</v>
      </c>
      <c r="AL749">
        <v>15</v>
      </c>
      <c r="AM749">
        <v>10</v>
      </c>
      <c r="AN749">
        <v>32</v>
      </c>
      <c r="AO749">
        <v>5</v>
      </c>
      <c r="AP749">
        <v>19</v>
      </c>
      <c r="AQ749">
        <v>1</v>
      </c>
      <c r="AR749" t="s">
        <v>3960</v>
      </c>
      <c r="AS749" t="s">
        <v>3961</v>
      </c>
      <c r="AT749">
        <v>0.45100000000000001</v>
      </c>
      <c r="AU749" t="s">
        <v>65</v>
      </c>
      <c r="AV749">
        <v>51</v>
      </c>
      <c r="AW749">
        <v>6</v>
      </c>
      <c r="AX749" t="s">
        <v>3962</v>
      </c>
      <c r="AY749">
        <v>6.8180000000000004E-2</v>
      </c>
      <c r="AZ749">
        <v>-2.5999999999999999E-3</v>
      </c>
      <c r="BA749">
        <v>1.74E-3</v>
      </c>
      <c r="BB749">
        <v>-1.3999999999999999E-4</v>
      </c>
      <c r="BC749">
        <v>2.545E-2</v>
      </c>
      <c r="BD749">
        <v>1</v>
      </c>
      <c r="BE749" t="s">
        <v>69</v>
      </c>
      <c r="BF749">
        <v>-1.131</v>
      </c>
      <c r="BG749">
        <v>-2.6890000000000001</v>
      </c>
    </row>
    <row r="750" spans="1:59">
      <c r="A750">
        <v>0</v>
      </c>
      <c r="B750">
        <v>0</v>
      </c>
      <c r="C750">
        <v>0</v>
      </c>
      <c r="D750" t="s">
        <v>25022</v>
      </c>
      <c r="E750">
        <v>2544</v>
      </c>
      <c r="F750" t="s">
        <v>14864</v>
      </c>
      <c r="G750" t="s">
        <v>62</v>
      </c>
      <c r="H750">
        <v>2536184</v>
      </c>
      <c r="I750">
        <v>2536696</v>
      </c>
      <c r="J750" t="s">
        <v>14844</v>
      </c>
      <c r="K750">
        <v>171</v>
      </c>
      <c r="L750" t="s">
        <v>3274</v>
      </c>
      <c r="M750">
        <v>46</v>
      </c>
      <c r="N750" t="str">
        <f>HYPERLINK("Gene2544-zp_tree_all.dnd", "Gene2544-tree")</f>
        <v>Gene2544-tree</v>
      </c>
      <c r="O750">
        <v>11</v>
      </c>
      <c r="P750">
        <v>3</v>
      </c>
      <c r="Q750">
        <v>11</v>
      </c>
      <c r="R750">
        <v>3</v>
      </c>
      <c r="S750">
        <v>0.21429000000000001</v>
      </c>
      <c r="T750" t="s">
        <v>73</v>
      </c>
      <c r="U750" t="s">
        <v>324</v>
      </c>
      <c r="V750" t="s">
        <v>62</v>
      </c>
      <c r="W750" t="s">
        <v>62</v>
      </c>
      <c r="X750">
        <v>0</v>
      </c>
      <c r="Y750">
        <v>0</v>
      </c>
      <c r="Z750">
        <v>8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3</v>
      </c>
      <c r="AK750">
        <v>0</v>
      </c>
      <c r="AL750">
        <v>10</v>
      </c>
      <c r="AM750">
        <v>5</v>
      </c>
      <c r="AN750">
        <v>13</v>
      </c>
      <c r="AO750">
        <v>3</v>
      </c>
      <c r="AP750">
        <v>18</v>
      </c>
      <c r="AQ750">
        <v>6</v>
      </c>
      <c r="AR750" t="s">
        <v>14865</v>
      </c>
      <c r="AS750" t="s">
        <v>14866</v>
      </c>
      <c r="AT750">
        <v>0.13300000000000001</v>
      </c>
      <c r="AU750" t="s">
        <v>65</v>
      </c>
      <c r="AV750">
        <v>31</v>
      </c>
      <c r="AW750">
        <v>9</v>
      </c>
      <c r="AX750" t="s">
        <v>14867</v>
      </c>
      <c r="AY750">
        <v>5.8540000000000002E-2</v>
      </c>
      <c r="AZ750">
        <v>-6.3400000000000001E-3</v>
      </c>
      <c r="BA750">
        <v>5.1200000000000004E-3</v>
      </c>
      <c r="BB750">
        <v>-5.6999999999999998E-4</v>
      </c>
      <c r="BC750">
        <v>8.7470000000000006E-2</v>
      </c>
      <c r="BD750">
        <v>1</v>
      </c>
      <c r="BE750" t="s">
        <v>69</v>
      </c>
      <c r="BF750">
        <v>-1.167</v>
      </c>
      <c r="BG750">
        <v>-0.25600000000000001</v>
      </c>
    </row>
    <row r="751" spans="1:59">
      <c r="A751">
        <v>0</v>
      </c>
      <c r="B751">
        <v>2</v>
      </c>
      <c r="C751">
        <v>3</v>
      </c>
      <c r="D751" t="s">
        <v>25022</v>
      </c>
      <c r="E751">
        <v>1358</v>
      </c>
      <c r="F751" t="s">
        <v>8500</v>
      </c>
      <c r="G751" t="s">
        <v>57</v>
      </c>
      <c r="H751">
        <v>1375777</v>
      </c>
      <c r="I751">
        <v>1376292</v>
      </c>
      <c r="J751" t="s">
        <v>3718</v>
      </c>
      <c r="K751">
        <v>172</v>
      </c>
      <c r="L751" t="s">
        <v>108</v>
      </c>
      <c r="M751">
        <v>44</v>
      </c>
      <c r="N751" t="str">
        <f>HYPERLINK("Gene1358-zp_tree_all.dnd", "Gene1358-tree")</f>
        <v>Gene1358-tree</v>
      </c>
      <c r="O751">
        <v>4</v>
      </c>
      <c r="P751">
        <v>10</v>
      </c>
      <c r="Q751">
        <v>4</v>
      </c>
      <c r="R751">
        <v>10</v>
      </c>
      <c r="S751">
        <v>0.71428999999999998</v>
      </c>
      <c r="T751" t="s">
        <v>61</v>
      </c>
      <c r="U751" t="s">
        <v>117</v>
      </c>
      <c r="V751" t="s">
        <v>62</v>
      </c>
      <c r="W751" t="s">
        <v>62</v>
      </c>
      <c r="X751">
        <v>2</v>
      </c>
      <c r="Y751">
        <v>5</v>
      </c>
      <c r="Z751">
        <v>16</v>
      </c>
      <c r="AA751">
        <v>0.23810000000000001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</v>
      </c>
      <c r="AH751">
        <v>2</v>
      </c>
      <c r="AI751">
        <v>4</v>
      </c>
      <c r="AJ751">
        <v>10</v>
      </c>
      <c r="AK751">
        <v>0.28571000000000002</v>
      </c>
      <c r="AL751">
        <v>12</v>
      </c>
      <c r="AM751">
        <v>8</v>
      </c>
      <c r="AN751">
        <v>14</v>
      </c>
      <c r="AO751">
        <v>14</v>
      </c>
      <c r="AP751">
        <v>7</v>
      </c>
      <c r="AQ751">
        <v>7</v>
      </c>
      <c r="AR751" t="s">
        <v>8501</v>
      </c>
      <c r="AS751" t="s">
        <v>8502</v>
      </c>
      <c r="AT751">
        <v>8.0000000000000002E-3</v>
      </c>
      <c r="AU751" t="s">
        <v>65</v>
      </c>
      <c r="AV751">
        <v>21</v>
      </c>
      <c r="AW751">
        <v>21</v>
      </c>
      <c r="AX751" t="s">
        <v>8503</v>
      </c>
      <c r="AY751">
        <v>4.197E-2</v>
      </c>
      <c r="AZ751">
        <v>-2.3800000000000002E-3</v>
      </c>
      <c r="BA751">
        <v>1.1220000000000001E-2</v>
      </c>
      <c r="BB751">
        <v>-6.3000000000000003E-4</v>
      </c>
      <c r="BC751">
        <v>0.26740000000000003</v>
      </c>
      <c r="BD751">
        <v>1</v>
      </c>
      <c r="BE751" t="s">
        <v>69</v>
      </c>
      <c r="BF751">
        <v>-1.421</v>
      </c>
      <c r="BG751">
        <v>-1.8979999999999999</v>
      </c>
    </row>
    <row r="752" spans="1:59">
      <c r="A752">
        <v>0</v>
      </c>
      <c r="B752">
        <v>8</v>
      </c>
      <c r="C752">
        <v>0</v>
      </c>
      <c r="D752" t="s">
        <v>25022</v>
      </c>
      <c r="E752">
        <v>890</v>
      </c>
      <c r="F752" t="s">
        <v>5555</v>
      </c>
      <c r="G752" t="s">
        <v>57</v>
      </c>
      <c r="H752">
        <v>928803</v>
      </c>
      <c r="I752">
        <v>929318</v>
      </c>
      <c r="J752" t="s">
        <v>2332</v>
      </c>
      <c r="K752">
        <v>172</v>
      </c>
      <c r="L752" t="s">
        <v>108</v>
      </c>
      <c r="M752">
        <v>44</v>
      </c>
      <c r="N752" t="str">
        <f>HYPERLINK("Gene890-zp_tree_all.dnd", "Gene890-tree")</f>
        <v>Gene890-tree</v>
      </c>
      <c r="O752">
        <v>5</v>
      </c>
      <c r="P752">
        <v>8</v>
      </c>
      <c r="Q752">
        <v>5</v>
      </c>
      <c r="R752">
        <v>8</v>
      </c>
      <c r="S752">
        <v>0.61538000000000004</v>
      </c>
      <c r="T752" t="s">
        <v>199</v>
      </c>
      <c r="U752" t="s">
        <v>136</v>
      </c>
      <c r="V752" t="s">
        <v>62</v>
      </c>
      <c r="W752" t="s">
        <v>62</v>
      </c>
      <c r="X752">
        <v>4</v>
      </c>
      <c r="Y752">
        <v>8</v>
      </c>
      <c r="Z752">
        <v>10</v>
      </c>
      <c r="AA752">
        <v>0.44444</v>
      </c>
      <c r="AB752">
        <v>0</v>
      </c>
      <c r="AC752">
        <v>0</v>
      </c>
      <c r="AD752">
        <v>0</v>
      </c>
      <c r="AE752">
        <v>2</v>
      </c>
      <c r="AF752">
        <v>0</v>
      </c>
      <c r="AG752">
        <v>0</v>
      </c>
      <c r="AH752">
        <v>0</v>
      </c>
      <c r="AI752">
        <v>0</v>
      </c>
      <c r="AJ752">
        <v>9</v>
      </c>
      <c r="AK752">
        <v>0</v>
      </c>
      <c r="AL752">
        <v>11</v>
      </c>
      <c r="AM752">
        <v>5</v>
      </c>
      <c r="AN752">
        <v>10</v>
      </c>
      <c r="AO752">
        <v>9</v>
      </c>
      <c r="AP752">
        <v>8</v>
      </c>
      <c r="AQ752">
        <v>9</v>
      </c>
      <c r="AR752" t="s">
        <v>5556</v>
      </c>
      <c r="AS752" t="s">
        <v>5557</v>
      </c>
      <c r="AT752">
        <v>0.224</v>
      </c>
      <c r="AU752" t="s">
        <v>65</v>
      </c>
      <c r="AV752">
        <v>18</v>
      </c>
      <c r="AW752">
        <v>18</v>
      </c>
      <c r="AX752" t="s">
        <v>5558</v>
      </c>
      <c r="AY752">
        <v>4.7280000000000003E-2</v>
      </c>
      <c r="AZ752">
        <v>-3.2499999999999999E-3</v>
      </c>
      <c r="BA752">
        <v>1.2109999999999999E-2</v>
      </c>
      <c r="BB752">
        <v>-7.9000000000000001E-4</v>
      </c>
      <c r="BC752">
        <v>0.25603999999999999</v>
      </c>
      <c r="BD752">
        <v>1</v>
      </c>
      <c r="BE752" t="s">
        <v>69</v>
      </c>
      <c r="BF752">
        <v>0.74399999999999999</v>
      </c>
      <c r="BG752">
        <v>-0.24099999999999999</v>
      </c>
    </row>
    <row r="753" spans="1:59">
      <c r="A753">
        <v>0</v>
      </c>
      <c r="B753">
        <v>5</v>
      </c>
      <c r="C753">
        <v>0</v>
      </c>
      <c r="D753" t="s">
        <v>25022</v>
      </c>
      <c r="E753">
        <v>3333</v>
      </c>
      <c r="F753" t="s">
        <v>19466</v>
      </c>
      <c r="G753" t="s">
        <v>62</v>
      </c>
      <c r="H753">
        <v>3304746</v>
      </c>
      <c r="I753">
        <v>3305261</v>
      </c>
      <c r="J753" t="s">
        <v>19467</v>
      </c>
      <c r="K753">
        <v>172</v>
      </c>
      <c r="L753" t="s">
        <v>108</v>
      </c>
      <c r="M753">
        <v>44</v>
      </c>
      <c r="N753" t="str">
        <f>HYPERLINK("Gene3333-zp_tree_all.dnd", "Gene3333-tree")</f>
        <v>Gene3333-tree</v>
      </c>
      <c r="O753">
        <v>23</v>
      </c>
      <c r="P753">
        <v>10</v>
      </c>
      <c r="Q753">
        <v>6</v>
      </c>
      <c r="R753">
        <v>10</v>
      </c>
      <c r="S753">
        <v>0.625</v>
      </c>
      <c r="T753" t="s">
        <v>3589</v>
      </c>
      <c r="U753" t="s">
        <v>117</v>
      </c>
      <c r="V753" t="s">
        <v>62</v>
      </c>
      <c r="W753" t="s">
        <v>62</v>
      </c>
      <c r="X753">
        <v>2</v>
      </c>
      <c r="Y753">
        <v>5</v>
      </c>
      <c r="Z753">
        <v>10</v>
      </c>
      <c r="AA753">
        <v>0.33333000000000002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4</v>
      </c>
      <c r="AH753">
        <v>0</v>
      </c>
      <c r="AI753">
        <v>4</v>
      </c>
      <c r="AJ753">
        <v>10</v>
      </c>
      <c r="AK753">
        <v>0.28571000000000002</v>
      </c>
      <c r="AL753">
        <v>14</v>
      </c>
      <c r="AM753">
        <v>6</v>
      </c>
      <c r="AN753">
        <v>15</v>
      </c>
      <c r="AO753">
        <v>14</v>
      </c>
      <c r="AP753">
        <v>6</v>
      </c>
      <c r="AQ753">
        <v>1</v>
      </c>
      <c r="AR753" t="s">
        <v>19468</v>
      </c>
      <c r="AS753" t="s">
        <v>19469</v>
      </c>
      <c r="AT753">
        <v>1.278</v>
      </c>
      <c r="AU753" t="s">
        <v>65</v>
      </c>
      <c r="AV753">
        <v>21</v>
      </c>
      <c r="AW753">
        <v>15</v>
      </c>
      <c r="AX753" t="s">
        <v>18265</v>
      </c>
      <c r="AY753">
        <v>3.5499999999999997E-2</v>
      </c>
      <c r="AZ753">
        <v>-1.49E-3</v>
      </c>
      <c r="BA753">
        <v>4.8900000000000002E-3</v>
      </c>
      <c r="BB753">
        <v>-2.5000000000000001E-4</v>
      </c>
      <c r="BC753">
        <v>0.13771</v>
      </c>
      <c r="BD753">
        <v>1</v>
      </c>
      <c r="BE753" t="s">
        <v>69</v>
      </c>
      <c r="BF753">
        <v>-0.88200000000000001</v>
      </c>
      <c r="BG753">
        <v>-1.857</v>
      </c>
    </row>
    <row r="754" spans="1:59">
      <c r="A754">
        <v>0</v>
      </c>
      <c r="B754">
        <v>6</v>
      </c>
      <c r="C754">
        <v>0</v>
      </c>
      <c r="D754" t="s">
        <v>25022</v>
      </c>
      <c r="E754">
        <v>3623</v>
      </c>
      <c r="F754" t="s">
        <v>21279</v>
      </c>
      <c r="G754" t="s">
        <v>62</v>
      </c>
      <c r="H754">
        <v>3591291</v>
      </c>
      <c r="I754">
        <v>3591806</v>
      </c>
      <c r="J754" t="s">
        <v>21280</v>
      </c>
      <c r="K754">
        <v>172</v>
      </c>
      <c r="L754" t="s">
        <v>6390</v>
      </c>
      <c r="M754">
        <v>45</v>
      </c>
      <c r="N754" t="str">
        <f>HYPERLINK("Gene3623-zp_tree_all.dnd", "Gene3623-tree")</f>
        <v>Gene3623-tree</v>
      </c>
      <c r="O754">
        <v>6</v>
      </c>
      <c r="P754">
        <v>6</v>
      </c>
      <c r="Q754">
        <v>6</v>
      </c>
      <c r="R754">
        <v>6</v>
      </c>
      <c r="S754">
        <v>0.5</v>
      </c>
      <c r="T754" t="s">
        <v>90</v>
      </c>
      <c r="U754" t="s">
        <v>90</v>
      </c>
      <c r="V754" t="s">
        <v>62</v>
      </c>
      <c r="W754" t="s">
        <v>62</v>
      </c>
      <c r="X754">
        <v>2</v>
      </c>
      <c r="Y754">
        <v>6</v>
      </c>
      <c r="Z754">
        <v>6</v>
      </c>
      <c r="AA754">
        <v>0.5</v>
      </c>
      <c r="AB754">
        <v>0</v>
      </c>
      <c r="AC754">
        <v>0</v>
      </c>
      <c r="AD754">
        <v>0</v>
      </c>
      <c r="AE754">
        <v>2</v>
      </c>
      <c r="AF754">
        <v>0</v>
      </c>
      <c r="AG754">
        <v>2</v>
      </c>
      <c r="AH754">
        <v>0</v>
      </c>
      <c r="AI754">
        <v>2</v>
      </c>
      <c r="AJ754">
        <v>6</v>
      </c>
      <c r="AK754">
        <v>0.25</v>
      </c>
      <c r="AL754">
        <v>7</v>
      </c>
      <c r="AM754">
        <v>7</v>
      </c>
      <c r="AN754">
        <v>24</v>
      </c>
      <c r="AO754">
        <v>6</v>
      </c>
      <c r="AP754">
        <v>6</v>
      </c>
      <c r="AQ754">
        <v>6</v>
      </c>
      <c r="AR754" t="s">
        <v>21281</v>
      </c>
      <c r="AS754" t="s">
        <v>21282</v>
      </c>
      <c r="AT754">
        <v>1.129</v>
      </c>
      <c r="AU754" t="s">
        <v>65</v>
      </c>
      <c r="AV754">
        <v>30</v>
      </c>
      <c r="AW754">
        <v>12</v>
      </c>
      <c r="AX754" t="s">
        <v>21283</v>
      </c>
      <c r="AY754">
        <v>5.7799999999999997E-2</v>
      </c>
      <c r="AZ754">
        <v>-7.3099999999999997E-3</v>
      </c>
      <c r="BA754">
        <v>6.4000000000000003E-3</v>
      </c>
      <c r="BB754">
        <v>-3.8999999999999999E-4</v>
      </c>
      <c r="BC754">
        <v>0.11067</v>
      </c>
      <c r="BD754">
        <v>1</v>
      </c>
      <c r="BE754" t="s">
        <v>69</v>
      </c>
      <c r="BF754">
        <v>-1.0640000000000001</v>
      </c>
      <c r="BG754">
        <v>-3.67</v>
      </c>
    </row>
    <row r="755" spans="1:59">
      <c r="A755">
        <v>0</v>
      </c>
      <c r="B755">
        <v>0</v>
      </c>
      <c r="C755">
        <v>0</v>
      </c>
      <c r="D755" t="s">
        <v>25022</v>
      </c>
      <c r="E755">
        <v>1568</v>
      </c>
      <c r="F755" t="s">
        <v>9807</v>
      </c>
      <c r="G755" t="s">
        <v>57</v>
      </c>
      <c r="H755">
        <v>1575264</v>
      </c>
      <c r="I755">
        <v>1575779</v>
      </c>
      <c r="J755" t="s">
        <v>288</v>
      </c>
      <c r="K755">
        <v>172</v>
      </c>
      <c r="L755" t="s">
        <v>59</v>
      </c>
      <c r="M755">
        <v>49</v>
      </c>
      <c r="N755" t="str">
        <f>HYPERLINK("Gene1568-zp_tree_all.dnd", "Gene1568-tree")</f>
        <v>Gene1568-tree</v>
      </c>
      <c r="O755">
        <v>9</v>
      </c>
      <c r="P755">
        <v>5</v>
      </c>
      <c r="Q755">
        <v>9</v>
      </c>
      <c r="R755">
        <v>5</v>
      </c>
      <c r="S755">
        <v>0.35714000000000001</v>
      </c>
      <c r="T755" t="s">
        <v>135</v>
      </c>
      <c r="U755" t="s">
        <v>199</v>
      </c>
      <c r="V755" t="s">
        <v>62</v>
      </c>
      <c r="W755" t="s">
        <v>62</v>
      </c>
      <c r="X755">
        <v>0</v>
      </c>
      <c r="Y755">
        <v>0</v>
      </c>
      <c r="Z755">
        <v>8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5</v>
      </c>
      <c r="AK755">
        <v>0</v>
      </c>
      <c r="AL755">
        <v>11</v>
      </c>
      <c r="AM755">
        <v>6</v>
      </c>
      <c r="AN755">
        <v>7</v>
      </c>
      <c r="AO755">
        <v>5</v>
      </c>
      <c r="AP755">
        <v>10</v>
      </c>
      <c r="AQ755">
        <v>3</v>
      </c>
      <c r="AR755" t="s">
        <v>9808</v>
      </c>
      <c r="AS755" t="s">
        <v>9809</v>
      </c>
      <c r="AT755">
        <v>0.81599999999999995</v>
      </c>
      <c r="AU755" t="s">
        <v>65</v>
      </c>
      <c r="AV755">
        <v>17</v>
      </c>
      <c r="AW755">
        <v>8</v>
      </c>
      <c r="AX755" t="s">
        <v>9810</v>
      </c>
      <c r="AY755">
        <v>4.0719999999999999E-2</v>
      </c>
      <c r="AZ755">
        <v>-2.5300000000000001E-3</v>
      </c>
      <c r="BA755">
        <v>4.1200000000000004E-3</v>
      </c>
      <c r="BB755">
        <v>-2.7E-4</v>
      </c>
      <c r="BC755">
        <v>0.10111000000000001</v>
      </c>
      <c r="BD755">
        <v>1</v>
      </c>
      <c r="BE755" t="s">
        <v>69</v>
      </c>
      <c r="BF755">
        <v>-0.372</v>
      </c>
      <c r="BG755">
        <v>-0.42199999999999999</v>
      </c>
    </row>
    <row r="756" spans="1:59">
      <c r="A756">
        <v>0</v>
      </c>
      <c r="B756">
        <v>2</v>
      </c>
      <c r="C756">
        <v>4</v>
      </c>
      <c r="D756" t="s">
        <v>25022</v>
      </c>
      <c r="E756">
        <v>819</v>
      </c>
      <c r="F756" t="s">
        <v>5101</v>
      </c>
      <c r="G756" t="s">
        <v>57</v>
      </c>
      <c r="H756">
        <v>859745</v>
      </c>
      <c r="I756">
        <v>860260</v>
      </c>
      <c r="J756" t="s">
        <v>5102</v>
      </c>
      <c r="K756">
        <v>172</v>
      </c>
      <c r="L756" t="s">
        <v>108</v>
      </c>
      <c r="M756">
        <v>44</v>
      </c>
      <c r="N756" t="str">
        <f>HYPERLINK("Gene819-zp_tree_all.dnd", "Gene819-tree")</f>
        <v>Gene819-tree</v>
      </c>
      <c r="O756">
        <v>6</v>
      </c>
      <c r="P756">
        <v>24</v>
      </c>
      <c r="Q756">
        <v>6</v>
      </c>
      <c r="R756">
        <v>7</v>
      </c>
      <c r="S756">
        <v>0.53846000000000005</v>
      </c>
      <c r="T756" t="s">
        <v>90</v>
      </c>
      <c r="U756" t="s">
        <v>638</v>
      </c>
      <c r="V756">
        <v>3.2440000000000002</v>
      </c>
      <c r="W756" t="s">
        <v>65</v>
      </c>
      <c r="X756">
        <v>3</v>
      </c>
      <c r="Y756">
        <v>6</v>
      </c>
      <c r="Z756">
        <v>5</v>
      </c>
      <c r="AA756">
        <v>0.54544999999999999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</v>
      </c>
      <c r="AH756">
        <v>4</v>
      </c>
      <c r="AI756">
        <v>6</v>
      </c>
      <c r="AJ756">
        <v>3</v>
      </c>
      <c r="AK756">
        <v>0.66666999999999998</v>
      </c>
      <c r="AL756">
        <v>9</v>
      </c>
      <c r="AM756">
        <v>7</v>
      </c>
      <c r="AN756">
        <v>21</v>
      </c>
      <c r="AO756">
        <v>9</v>
      </c>
      <c r="AP756">
        <v>16</v>
      </c>
      <c r="AQ756">
        <v>2</v>
      </c>
      <c r="AR756" t="s">
        <v>5103</v>
      </c>
      <c r="AS756" t="s">
        <v>5104</v>
      </c>
      <c r="AT756">
        <v>1.2270000000000001</v>
      </c>
      <c r="AU756" t="s">
        <v>65</v>
      </c>
      <c r="AV756">
        <v>37</v>
      </c>
      <c r="AW756">
        <v>11</v>
      </c>
      <c r="AX756" t="s">
        <v>5105</v>
      </c>
      <c r="AY756">
        <v>6.6479999999999997E-2</v>
      </c>
      <c r="AZ756">
        <v>-3.8999999999999998E-3</v>
      </c>
      <c r="BA756">
        <v>5.6499999999999996E-3</v>
      </c>
      <c r="BB756">
        <v>-4.0000000000000002E-4</v>
      </c>
      <c r="BC756">
        <v>8.498E-2</v>
      </c>
      <c r="BD756">
        <v>1</v>
      </c>
      <c r="BE756" t="s">
        <v>69</v>
      </c>
      <c r="BF756">
        <v>-0.44500000000000001</v>
      </c>
      <c r="BG756">
        <v>-0.85099999999999998</v>
      </c>
    </row>
    <row r="757" spans="1:59">
      <c r="A757">
        <v>0</v>
      </c>
      <c r="B757">
        <v>0</v>
      </c>
      <c r="C757">
        <v>0</v>
      </c>
      <c r="D757" t="s">
        <v>25022</v>
      </c>
      <c r="E757">
        <v>1468</v>
      </c>
      <c r="F757" t="s">
        <v>9176</v>
      </c>
      <c r="G757" t="s">
        <v>57</v>
      </c>
      <c r="H757">
        <v>1484466</v>
      </c>
      <c r="I757">
        <v>1484981</v>
      </c>
      <c r="J757" t="s">
        <v>9177</v>
      </c>
      <c r="K757">
        <v>172</v>
      </c>
      <c r="L757" t="s">
        <v>96</v>
      </c>
      <c r="M757">
        <v>48</v>
      </c>
      <c r="N757" t="str">
        <f>HYPERLINK("Gene1468-zp_tree_all.dnd", "Gene1468-tree")</f>
        <v>Gene1468-tree</v>
      </c>
      <c r="O757">
        <v>9</v>
      </c>
      <c r="P757">
        <v>3</v>
      </c>
      <c r="Q757">
        <v>9</v>
      </c>
      <c r="R757">
        <v>3</v>
      </c>
      <c r="S757">
        <v>0.25</v>
      </c>
      <c r="T757" t="s">
        <v>135</v>
      </c>
      <c r="U757" t="s">
        <v>324</v>
      </c>
      <c r="V757" t="s">
        <v>62</v>
      </c>
      <c r="W757" t="s">
        <v>62</v>
      </c>
      <c r="X757">
        <v>0</v>
      </c>
      <c r="Y757">
        <v>0</v>
      </c>
      <c r="Z757">
        <v>5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</v>
      </c>
      <c r="AK757">
        <v>0</v>
      </c>
      <c r="AL757">
        <v>10</v>
      </c>
      <c r="AM757">
        <v>5</v>
      </c>
      <c r="AN757">
        <v>15</v>
      </c>
      <c r="AO757">
        <v>3</v>
      </c>
      <c r="AP757">
        <v>15</v>
      </c>
      <c r="AQ757">
        <v>2</v>
      </c>
      <c r="AR757" t="s">
        <v>9178</v>
      </c>
      <c r="AS757" t="s">
        <v>9179</v>
      </c>
      <c r="AT757">
        <v>0.27500000000000002</v>
      </c>
      <c r="AU757" t="s">
        <v>65</v>
      </c>
      <c r="AV757">
        <v>30</v>
      </c>
      <c r="AW757">
        <v>5</v>
      </c>
      <c r="AX757" t="s">
        <v>9180</v>
      </c>
      <c r="AY757">
        <v>7.4590000000000004E-2</v>
      </c>
      <c r="AZ757">
        <v>-6.13E-3</v>
      </c>
      <c r="BA757">
        <v>3.9399999999999999E-3</v>
      </c>
      <c r="BB757">
        <v>-2.5000000000000001E-4</v>
      </c>
      <c r="BC757">
        <v>5.2789999999999997E-2</v>
      </c>
      <c r="BD757">
        <v>1</v>
      </c>
      <c r="BE757" t="s">
        <v>69</v>
      </c>
      <c r="BF757">
        <v>-1.478</v>
      </c>
      <c r="BG757">
        <v>-1.3460000000000001</v>
      </c>
    </row>
    <row r="758" spans="1:59">
      <c r="A758">
        <v>0</v>
      </c>
      <c r="B758">
        <v>0</v>
      </c>
      <c r="C758">
        <v>0</v>
      </c>
      <c r="D758" t="s">
        <v>25022</v>
      </c>
      <c r="E758">
        <v>2917</v>
      </c>
      <c r="F758" t="s">
        <v>16798</v>
      </c>
      <c r="G758" t="s">
        <v>62</v>
      </c>
      <c r="H758">
        <v>2859320</v>
      </c>
      <c r="I758">
        <v>2859835</v>
      </c>
      <c r="J758" t="s">
        <v>9407</v>
      </c>
      <c r="K758">
        <v>172</v>
      </c>
      <c r="L758" t="s">
        <v>108</v>
      </c>
      <c r="M758">
        <v>44</v>
      </c>
      <c r="N758" t="str">
        <f>HYPERLINK("Gene2917-zp_tree_all.dnd", "Gene2917-tree")</f>
        <v>Gene2917-tree</v>
      </c>
      <c r="O758">
        <v>8</v>
      </c>
      <c r="P758">
        <v>1</v>
      </c>
      <c r="Q758">
        <v>8</v>
      </c>
      <c r="R758">
        <v>1</v>
      </c>
      <c r="S758">
        <v>0.11111</v>
      </c>
      <c r="T758" t="s">
        <v>136</v>
      </c>
      <c r="U758" t="s">
        <v>175</v>
      </c>
      <c r="V758" t="s">
        <v>62</v>
      </c>
      <c r="W758" t="s">
        <v>62</v>
      </c>
      <c r="X758">
        <v>0</v>
      </c>
      <c r="Y758">
        <v>0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</v>
      </c>
      <c r="AK758">
        <v>0</v>
      </c>
      <c r="AL758">
        <v>6</v>
      </c>
      <c r="AM758">
        <v>3</v>
      </c>
      <c r="AN758">
        <v>8</v>
      </c>
      <c r="AO758">
        <v>2</v>
      </c>
      <c r="AP758">
        <v>3</v>
      </c>
      <c r="AQ758">
        <v>0</v>
      </c>
      <c r="AR758" t="s">
        <v>16799</v>
      </c>
      <c r="AS758" t="s">
        <v>193</v>
      </c>
      <c r="AT758">
        <v>0.47799999999999998</v>
      </c>
      <c r="AU758" t="s">
        <v>65</v>
      </c>
      <c r="AV758">
        <v>11</v>
      </c>
      <c r="AW758">
        <v>2</v>
      </c>
      <c r="AX758" t="s">
        <v>16800</v>
      </c>
      <c r="AY758">
        <v>2.58E-2</v>
      </c>
      <c r="AZ758">
        <v>-1.98E-3</v>
      </c>
      <c r="BA758">
        <v>1.1199999999999999E-3</v>
      </c>
      <c r="BB758">
        <v>-3.5E-4</v>
      </c>
      <c r="BC758">
        <v>4.3270000000000003E-2</v>
      </c>
      <c r="BD758">
        <v>1</v>
      </c>
      <c r="BE758" t="s">
        <v>69</v>
      </c>
      <c r="BF758">
        <v>-0.88</v>
      </c>
      <c r="BG758">
        <v>-0.78600000000000003</v>
      </c>
    </row>
    <row r="759" spans="1:59">
      <c r="A759">
        <v>0</v>
      </c>
      <c r="B759">
        <v>6</v>
      </c>
      <c r="C759">
        <v>0</v>
      </c>
      <c r="D759" t="s">
        <v>25022</v>
      </c>
      <c r="E759">
        <v>3888</v>
      </c>
      <c r="F759" t="s">
        <v>22796</v>
      </c>
      <c r="G759" t="s">
        <v>62</v>
      </c>
      <c r="H759">
        <v>3852189</v>
      </c>
      <c r="I759">
        <v>3852704</v>
      </c>
      <c r="J759" t="s">
        <v>116</v>
      </c>
      <c r="K759">
        <v>172</v>
      </c>
      <c r="L759" t="s">
        <v>108</v>
      </c>
      <c r="M759">
        <v>44</v>
      </c>
      <c r="N759" t="str">
        <f>HYPERLINK("Gene3888-zp_tree_all.dnd", "Gene3888-tree")</f>
        <v>Gene3888-tree</v>
      </c>
      <c r="O759">
        <v>6</v>
      </c>
      <c r="P759">
        <v>7</v>
      </c>
      <c r="Q759">
        <v>6</v>
      </c>
      <c r="R759">
        <v>7</v>
      </c>
      <c r="S759">
        <v>0.53846000000000005</v>
      </c>
      <c r="T759" t="s">
        <v>90</v>
      </c>
      <c r="U759" t="s">
        <v>152</v>
      </c>
      <c r="V759" t="s">
        <v>62</v>
      </c>
      <c r="W759" t="s">
        <v>62</v>
      </c>
      <c r="X759">
        <v>2</v>
      </c>
      <c r="Y759">
        <v>6</v>
      </c>
      <c r="Z759">
        <v>1</v>
      </c>
      <c r="AA759">
        <v>0.85714000000000001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6</v>
      </c>
      <c r="AH759">
        <v>0</v>
      </c>
      <c r="AI759">
        <v>6</v>
      </c>
      <c r="AJ759">
        <v>1</v>
      </c>
      <c r="AK759">
        <v>0.85714000000000001</v>
      </c>
      <c r="AL759">
        <v>6</v>
      </c>
      <c r="AM759">
        <v>8</v>
      </c>
      <c r="AN759">
        <v>12</v>
      </c>
      <c r="AO759">
        <v>4</v>
      </c>
      <c r="AP759">
        <v>13</v>
      </c>
      <c r="AQ759">
        <v>3</v>
      </c>
      <c r="AR759" t="s">
        <v>22797</v>
      </c>
      <c r="AS759" t="s">
        <v>22798</v>
      </c>
      <c r="AT759">
        <v>0.372</v>
      </c>
      <c r="AU759" t="s">
        <v>65</v>
      </c>
      <c r="AV759">
        <v>25</v>
      </c>
      <c r="AW759">
        <v>7</v>
      </c>
      <c r="AX759" t="s">
        <v>22799</v>
      </c>
      <c r="AY759">
        <v>5.135E-2</v>
      </c>
      <c r="AZ759">
        <v>-2.8900000000000002E-3</v>
      </c>
      <c r="BA759">
        <v>1.8E-3</v>
      </c>
      <c r="BB759">
        <v>-1.8000000000000001E-4</v>
      </c>
      <c r="BC759">
        <v>3.4979999999999997E-2</v>
      </c>
      <c r="BD759">
        <v>1</v>
      </c>
      <c r="BE759" t="s">
        <v>69</v>
      </c>
      <c r="BF759">
        <v>-0.159</v>
      </c>
      <c r="BG759">
        <v>0.71699999999999997</v>
      </c>
    </row>
    <row r="760" spans="1:59">
      <c r="A760">
        <v>0</v>
      </c>
      <c r="B760">
        <v>0</v>
      </c>
      <c r="C760">
        <v>0</v>
      </c>
      <c r="D760" t="s">
        <v>25022</v>
      </c>
      <c r="E760">
        <v>2947</v>
      </c>
      <c r="F760" t="s">
        <v>16992</v>
      </c>
      <c r="G760" t="s">
        <v>62</v>
      </c>
      <c r="H760">
        <v>2894736</v>
      </c>
      <c r="I760">
        <v>2895251</v>
      </c>
      <c r="J760" t="s">
        <v>16993</v>
      </c>
      <c r="K760">
        <v>172</v>
      </c>
      <c r="L760" t="s">
        <v>16816</v>
      </c>
      <c r="M760">
        <v>47</v>
      </c>
      <c r="N760" t="str">
        <f>HYPERLINK("Gene2947-zp_tree_all.dnd", "Gene2947-tree")</f>
        <v>Gene2947-tree</v>
      </c>
      <c r="O760">
        <v>13</v>
      </c>
      <c r="P760">
        <v>3</v>
      </c>
      <c r="Q760">
        <v>13</v>
      </c>
      <c r="R760">
        <v>3</v>
      </c>
      <c r="S760">
        <v>0.1875</v>
      </c>
      <c r="T760" t="s">
        <v>507</v>
      </c>
      <c r="U760" t="s">
        <v>324</v>
      </c>
      <c r="V760" t="s">
        <v>62</v>
      </c>
      <c r="W760" t="s">
        <v>62</v>
      </c>
      <c r="X760">
        <v>0</v>
      </c>
      <c r="Y760">
        <v>0</v>
      </c>
      <c r="Z760">
        <v>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3</v>
      </c>
      <c r="AK760">
        <v>0</v>
      </c>
      <c r="AL760">
        <v>13</v>
      </c>
      <c r="AM760">
        <v>9</v>
      </c>
      <c r="AN760">
        <v>34</v>
      </c>
      <c r="AO760">
        <v>3</v>
      </c>
      <c r="AP760">
        <v>28</v>
      </c>
      <c r="AQ760">
        <v>2</v>
      </c>
      <c r="AR760" t="s">
        <v>16994</v>
      </c>
      <c r="AS760" t="s">
        <v>16995</v>
      </c>
      <c r="AT760">
        <v>0.11799999999999999</v>
      </c>
      <c r="AU760" t="s">
        <v>65</v>
      </c>
      <c r="AV760">
        <v>62</v>
      </c>
      <c r="AW760">
        <v>5</v>
      </c>
      <c r="AX760" t="s">
        <v>16996</v>
      </c>
      <c r="AY760">
        <v>9.579E-2</v>
      </c>
      <c r="AZ760">
        <v>-6.7400000000000003E-3</v>
      </c>
      <c r="BA760">
        <v>2.4099999999999998E-3</v>
      </c>
      <c r="BB760">
        <v>-2.1000000000000001E-4</v>
      </c>
      <c r="BC760">
        <v>2.513E-2</v>
      </c>
      <c r="BD760">
        <v>1</v>
      </c>
      <c r="BE760" t="s">
        <v>69</v>
      </c>
      <c r="BF760">
        <v>-1.37</v>
      </c>
      <c r="BG760">
        <v>-2.5299999999999998</v>
      </c>
    </row>
    <row r="761" spans="1:59">
      <c r="A761">
        <v>0</v>
      </c>
      <c r="B761">
        <v>0</v>
      </c>
      <c r="C761">
        <v>0</v>
      </c>
      <c r="D761" t="s">
        <v>25022</v>
      </c>
      <c r="E761">
        <v>4241</v>
      </c>
      <c r="F761" t="s">
        <v>24910</v>
      </c>
      <c r="G761" t="s">
        <v>62</v>
      </c>
      <c r="H761">
        <v>4198889</v>
      </c>
      <c r="I761">
        <v>4199404</v>
      </c>
      <c r="J761" t="s">
        <v>22058</v>
      </c>
      <c r="K761">
        <v>172</v>
      </c>
      <c r="L761" t="s">
        <v>59</v>
      </c>
      <c r="M761">
        <v>49</v>
      </c>
      <c r="N761" t="str">
        <f>HYPERLINK("Gene4241-zp_tree_all.dnd", "Gene4241-tree")</f>
        <v>Gene4241-tree</v>
      </c>
      <c r="O761">
        <v>6</v>
      </c>
      <c r="P761">
        <v>1</v>
      </c>
      <c r="Q761">
        <v>6</v>
      </c>
      <c r="R761">
        <v>1</v>
      </c>
      <c r="S761">
        <v>0.14285999999999999</v>
      </c>
      <c r="T761" t="s">
        <v>90</v>
      </c>
      <c r="U761" t="s">
        <v>175</v>
      </c>
      <c r="V761" t="s">
        <v>62</v>
      </c>
      <c r="W761" t="s">
        <v>62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6</v>
      </c>
      <c r="AM761">
        <v>2</v>
      </c>
      <c r="AN761">
        <v>8</v>
      </c>
      <c r="AO761">
        <v>1</v>
      </c>
      <c r="AP761">
        <v>5</v>
      </c>
      <c r="AQ761">
        <v>0</v>
      </c>
      <c r="AR761" t="s">
        <v>24911</v>
      </c>
      <c r="AS761" t="s">
        <v>193</v>
      </c>
      <c r="AT761">
        <v>0.46100000000000002</v>
      </c>
      <c r="AU761" t="s">
        <v>65</v>
      </c>
      <c r="AV761">
        <v>13</v>
      </c>
      <c r="AW761">
        <v>1</v>
      </c>
      <c r="AX761" t="s">
        <v>24912</v>
      </c>
      <c r="AY761">
        <v>4.4260000000000001E-2</v>
      </c>
      <c r="AZ761">
        <v>-4.3299999999999996E-3</v>
      </c>
      <c r="BA761">
        <v>7.2000000000000005E-4</v>
      </c>
      <c r="BB761">
        <v>-2.5000000000000001E-4</v>
      </c>
      <c r="BC761">
        <v>1.6199999999999999E-2</v>
      </c>
      <c r="BD761">
        <v>1</v>
      </c>
      <c r="BE761" t="s">
        <v>69</v>
      </c>
      <c r="BF761">
        <v>-1.6519999999999999</v>
      </c>
      <c r="BG761">
        <v>-2.0430000000000001</v>
      </c>
    </row>
    <row r="762" spans="1:59">
      <c r="A762">
        <v>0</v>
      </c>
      <c r="B762">
        <v>0</v>
      </c>
      <c r="C762">
        <v>0</v>
      </c>
      <c r="D762" t="s">
        <v>25022</v>
      </c>
      <c r="E762">
        <v>1353</v>
      </c>
      <c r="F762" t="s">
        <v>8470</v>
      </c>
      <c r="G762" t="s">
        <v>57</v>
      </c>
      <c r="H762">
        <v>1372035</v>
      </c>
      <c r="I762">
        <v>1372550</v>
      </c>
      <c r="J762" t="s">
        <v>8471</v>
      </c>
      <c r="K762">
        <v>172</v>
      </c>
      <c r="L762" t="s">
        <v>409</v>
      </c>
      <c r="M762">
        <v>45</v>
      </c>
      <c r="N762" t="str">
        <f>HYPERLINK("Gene1353-zp_tree_all.dnd", "Gene1353-tree")</f>
        <v>Gene1353-tree</v>
      </c>
      <c r="O762">
        <v>12</v>
      </c>
      <c r="P762">
        <v>1</v>
      </c>
      <c r="Q762">
        <v>12</v>
      </c>
      <c r="R762">
        <v>1</v>
      </c>
      <c r="S762">
        <v>7.6920000000000002E-2</v>
      </c>
      <c r="T762" t="s">
        <v>109</v>
      </c>
      <c r="U762" t="s">
        <v>175</v>
      </c>
      <c r="V762" t="s">
        <v>62</v>
      </c>
      <c r="W762" t="s">
        <v>62</v>
      </c>
      <c r="X762">
        <v>0</v>
      </c>
      <c r="Y762">
        <v>0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8</v>
      </c>
      <c r="AM762">
        <v>9</v>
      </c>
      <c r="AN762">
        <v>26</v>
      </c>
      <c r="AO762">
        <v>1</v>
      </c>
      <c r="AP762">
        <v>34</v>
      </c>
      <c r="AQ762">
        <v>1</v>
      </c>
      <c r="AR762" t="s">
        <v>8472</v>
      </c>
      <c r="AS762" t="s">
        <v>8473</v>
      </c>
      <c r="AT762">
        <v>6.7000000000000004E-2</v>
      </c>
      <c r="AU762" t="s">
        <v>65</v>
      </c>
      <c r="AV762">
        <v>60</v>
      </c>
      <c r="AW762">
        <v>2</v>
      </c>
      <c r="AX762" t="s">
        <v>8474</v>
      </c>
      <c r="AY762">
        <v>0.11939</v>
      </c>
      <c r="AZ762">
        <v>-6.2100000000000002E-3</v>
      </c>
      <c r="BA762">
        <v>1.1000000000000001E-3</v>
      </c>
      <c r="BB762">
        <v>-1.4999999999999999E-4</v>
      </c>
      <c r="BC762">
        <v>9.1699999999999993E-3</v>
      </c>
      <c r="BD762">
        <v>1</v>
      </c>
      <c r="BE762" t="s">
        <v>69</v>
      </c>
      <c r="BF762">
        <v>0.40500000000000003</v>
      </c>
      <c r="BG762">
        <v>0.75700000000000001</v>
      </c>
    </row>
    <row r="763" spans="1:59">
      <c r="A763">
        <v>0</v>
      </c>
      <c r="B763">
        <v>0</v>
      </c>
      <c r="C763">
        <v>0</v>
      </c>
      <c r="D763" t="s">
        <v>25022</v>
      </c>
      <c r="E763">
        <v>2672</v>
      </c>
      <c r="F763" t="s">
        <v>15674</v>
      </c>
      <c r="G763" t="s">
        <v>62</v>
      </c>
      <c r="H763">
        <v>2646597</v>
      </c>
      <c r="I763">
        <v>2647112</v>
      </c>
      <c r="J763" t="s">
        <v>15675</v>
      </c>
      <c r="K763">
        <v>172</v>
      </c>
      <c r="L763" t="s">
        <v>59</v>
      </c>
      <c r="M763">
        <v>49</v>
      </c>
      <c r="N763" t="str">
        <f>HYPERLINK("Gene2672-zp_tree_all.dnd", "Gene2672-tree")</f>
        <v>Gene2672-tree</v>
      </c>
      <c r="O763">
        <v>14</v>
      </c>
      <c r="P763">
        <v>1</v>
      </c>
      <c r="Q763">
        <v>14</v>
      </c>
      <c r="R763">
        <v>1</v>
      </c>
      <c r="S763">
        <v>6.6669999999999993E-2</v>
      </c>
      <c r="T763" t="s">
        <v>543</v>
      </c>
      <c r="U763" t="s">
        <v>175</v>
      </c>
      <c r="V763" t="s">
        <v>62</v>
      </c>
      <c r="W763" t="s">
        <v>62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14</v>
      </c>
      <c r="AM763">
        <v>7</v>
      </c>
      <c r="AN763">
        <v>26</v>
      </c>
      <c r="AO763">
        <v>1</v>
      </c>
      <c r="AP763">
        <v>25</v>
      </c>
      <c r="AQ763">
        <v>0</v>
      </c>
      <c r="AR763" t="s">
        <v>15676</v>
      </c>
      <c r="AS763" t="s">
        <v>193</v>
      </c>
      <c r="AT763">
        <v>0.27400000000000002</v>
      </c>
      <c r="AU763" t="s">
        <v>65</v>
      </c>
      <c r="AV763">
        <v>51</v>
      </c>
      <c r="AW763">
        <v>1</v>
      </c>
      <c r="AX763" t="s">
        <v>15677</v>
      </c>
      <c r="AY763">
        <v>0.10947999999999999</v>
      </c>
      <c r="AZ763">
        <v>-6.6400000000000001E-3</v>
      </c>
      <c r="BA763">
        <v>3.5E-4</v>
      </c>
      <c r="BB763">
        <v>-8.0000000000000007E-5</v>
      </c>
      <c r="BC763">
        <v>3.2399999999999998E-3</v>
      </c>
      <c r="BD763">
        <v>1</v>
      </c>
      <c r="BE763" t="s">
        <v>69</v>
      </c>
      <c r="BF763">
        <v>-1.524</v>
      </c>
      <c r="BG763">
        <v>-2.081</v>
      </c>
    </row>
    <row r="764" spans="1:59">
      <c r="A764">
        <v>0</v>
      </c>
      <c r="B764">
        <v>8</v>
      </c>
      <c r="C764">
        <v>2</v>
      </c>
      <c r="D764" t="s">
        <v>25022</v>
      </c>
      <c r="E764">
        <v>3216</v>
      </c>
      <c r="F764" t="s">
        <v>18736</v>
      </c>
      <c r="G764" t="s">
        <v>62</v>
      </c>
      <c r="H764">
        <v>3179929</v>
      </c>
      <c r="I764">
        <v>3180447</v>
      </c>
      <c r="J764" t="s">
        <v>3718</v>
      </c>
      <c r="K764">
        <v>173</v>
      </c>
      <c r="L764" t="s">
        <v>108</v>
      </c>
      <c r="M764">
        <v>44</v>
      </c>
      <c r="N764" t="str">
        <f>HYPERLINK("Gene3216-zp_tree_all.dnd", "Gene3216-tree")</f>
        <v>Gene3216-tree</v>
      </c>
      <c r="O764">
        <v>5</v>
      </c>
      <c r="P764">
        <v>8</v>
      </c>
      <c r="Q764">
        <v>5</v>
      </c>
      <c r="R764">
        <v>8</v>
      </c>
      <c r="S764">
        <v>0.61538000000000004</v>
      </c>
      <c r="T764" t="s">
        <v>199</v>
      </c>
      <c r="U764" t="s">
        <v>136</v>
      </c>
      <c r="V764" t="s">
        <v>62</v>
      </c>
      <c r="W764" t="s">
        <v>62</v>
      </c>
      <c r="X764">
        <v>4</v>
      </c>
      <c r="Y764">
        <v>10</v>
      </c>
      <c r="Z764">
        <v>10</v>
      </c>
      <c r="AA764">
        <v>0.5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4</v>
      </c>
      <c r="AH764">
        <v>2</v>
      </c>
      <c r="AI764">
        <v>6</v>
      </c>
      <c r="AJ764">
        <v>9</v>
      </c>
      <c r="AK764">
        <v>0.4</v>
      </c>
      <c r="AL764">
        <v>9</v>
      </c>
      <c r="AM764">
        <v>8</v>
      </c>
      <c r="AN764">
        <v>6</v>
      </c>
      <c r="AO764">
        <v>10</v>
      </c>
      <c r="AP764">
        <v>7</v>
      </c>
      <c r="AQ764">
        <v>10</v>
      </c>
      <c r="AR764" t="s">
        <v>18737</v>
      </c>
      <c r="AS764" t="s">
        <v>18738</v>
      </c>
      <c r="AT764">
        <v>0.20499999999999999</v>
      </c>
      <c r="AU764" t="s">
        <v>65</v>
      </c>
      <c r="AV764">
        <v>13</v>
      </c>
      <c r="AW764">
        <v>20</v>
      </c>
      <c r="AX764" t="s">
        <v>18739</v>
      </c>
      <c r="AY764">
        <v>2.35E-2</v>
      </c>
      <c r="AZ764">
        <v>-1.2999999999999999E-3</v>
      </c>
      <c r="BA764">
        <v>1.059E-2</v>
      </c>
      <c r="BB764">
        <v>-7.2000000000000005E-4</v>
      </c>
      <c r="BC764">
        <v>0.45040999999999998</v>
      </c>
      <c r="BD764">
        <v>0.94</v>
      </c>
      <c r="BE764" t="s">
        <v>635</v>
      </c>
      <c r="BF764">
        <v>-0.78600000000000003</v>
      </c>
      <c r="BG764">
        <v>-1.1419999999999999</v>
      </c>
    </row>
    <row r="765" spans="1:59">
      <c r="A765">
        <v>0</v>
      </c>
      <c r="B765">
        <v>4</v>
      </c>
      <c r="C765">
        <v>2</v>
      </c>
      <c r="D765" t="s">
        <v>25022</v>
      </c>
      <c r="E765">
        <v>1486</v>
      </c>
      <c r="F765" t="s">
        <v>9290</v>
      </c>
      <c r="G765" t="s">
        <v>57</v>
      </c>
      <c r="H765">
        <v>1498445</v>
      </c>
      <c r="I765">
        <v>1498963</v>
      </c>
      <c r="J765" t="s">
        <v>9291</v>
      </c>
      <c r="K765">
        <v>173</v>
      </c>
      <c r="L765" t="s">
        <v>108</v>
      </c>
      <c r="M765">
        <v>44</v>
      </c>
      <c r="N765" t="str">
        <f>HYPERLINK("Gene1486-zp_tree_all.dnd", "Gene1486-tree")</f>
        <v>Gene1486-tree</v>
      </c>
      <c r="O765">
        <v>24</v>
      </c>
      <c r="P765">
        <v>8</v>
      </c>
      <c r="Q765">
        <v>4</v>
      </c>
      <c r="R765">
        <v>8</v>
      </c>
      <c r="S765">
        <v>0.66666999999999998</v>
      </c>
      <c r="T765" t="s">
        <v>1495</v>
      </c>
      <c r="U765" t="s">
        <v>136</v>
      </c>
      <c r="V765" t="s">
        <v>62</v>
      </c>
      <c r="W765" t="s">
        <v>62</v>
      </c>
      <c r="X765">
        <v>3</v>
      </c>
      <c r="Y765">
        <v>6</v>
      </c>
      <c r="Z765">
        <v>7</v>
      </c>
      <c r="AA765">
        <v>0.46154000000000001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4</v>
      </c>
      <c r="AH765">
        <v>0</v>
      </c>
      <c r="AI765">
        <v>4</v>
      </c>
      <c r="AJ765">
        <v>6</v>
      </c>
      <c r="AK765">
        <v>0.4</v>
      </c>
      <c r="AL765">
        <v>8</v>
      </c>
      <c r="AM765">
        <v>5</v>
      </c>
      <c r="AN765">
        <v>10</v>
      </c>
      <c r="AO765">
        <v>7</v>
      </c>
      <c r="AP765">
        <v>1</v>
      </c>
      <c r="AQ765">
        <v>6</v>
      </c>
      <c r="AR765" t="s">
        <v>9292</v>
      </c>
      <c r="AS765" t="s">
        <v>9293</v>
      </c>
      <c r="AT765">
        <v>0.45</v>
      </c>
      <c r="AU765" t="s">
        <v>65</v>
      </c>
      <c r="AV765">
        <v>11</v>
      </c>
      <c r="AW765">
        <v>13</v>
      </c>
      <c r="AX765" t="s">
        <v>9294</v>
      </c>
      <c r="AY765">
        <v>1.7000000000000001E-2</v>
      </c>
      <c r="AZ765">
        <v>-1.2899999999999999E-3</v>
      </c>
      <c r="BA765">
        <v>7.6299999999999996E-3</v>
      </c>
      <c r="BB765">
        <v>-5.5000000000000003E-4</v>
      </c>
      <c r="BC765">
        <v>0.44880999999999999</v>
      </c>
      <c r="BD765">
        <v>0.74</v>
      </c>
      <c r="BE765" t="s">
        <v>635</v>
      </c>
      <c r="BF765">
        <v>-1.1850000000000001</v>
      </c>
      <c r="BG765">
        <v>-1.1719999999999999</v>
      </c>
    </row>
    <row r="766" spans="1:59">
      <c r="A766">
        <v>0</v>
      </c>
      <c r="B766">
        <v>0</v>
      </c>
      <c r="C766">
        <v>0</v>
      </c>
      <c r="D766" t="s">
        <v>25022</v>
      </c>
      <c r="E766">
        <v>2089</v>
      </c>
      <c r="F766" t="s">
        <v>12892</v>
      </c>
      <c r="G766" t="s">
        <v>62</v>
      </c>
      <c r="H766">
        <v>2160568</v>
      </c>
      <c r="I766">
        <v>2161086</v>
      </c>
      <c r="J766" t="s">
        <v>12893</v>
      </c>
      <c r="K766">
        <v>173</v>
      </c>
      <c r="L766" t="s">
        <v>12894</v>
      </c>
      <c r="M766">
        <v>17</v>
      </c>
      <c r="N766" t="str">
        <f>HYPERLINK("Gene2089-zp_tree_all.dnd", "Gene2089-tree")</f>
        <v>Gene2089-tree</v>
      </c>
      <c r="O766">
        <v>0</v>
      </c>
      <c r="P766">
        <v>17</v>
      </c>
      <c r="Q766">
        <v>0</v>
      </c>
      <c r="R766">
        <v>4</v>
      </c>
      <c r="S766">
        <v>1</v>
      </c>
      <c r="T766" t="s">
        <v>62</v>
      </c>
      <c r="U766" t="s">
        <v>12884</v>
      </c>
      <c r="V766">
        <v>4.8689999999999998</v>
      </c>
      <c r="W766" t="s">
        <v>65</v>
      </c>
      <c r="X766">
        <v>0</v>
      </c>
      <c r="Y766">
        <v>0</v>
      </c>
      <c r="Z766">
        <v>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7</v>
      </c>
      <c r="AK766">
        <v>0</v>
      </c>
      <c r="AL766">
        <v>3</v>
      </c>
      <c r="AM766">
        <v>1</v>
      </c>
      <c r="AN766">
        <v>12</v>
      </c>
      <c r="AO766">
        <v>8</v>
      </c>
      <c r="AP766">
        <v>1</v>
      </c>
      <c r="AQ766">
        <v>2</v>
      </c>
      <c r="AR766" t="s">
        <v>12895</v>
      </c>
      <c r="AS766" t="s">
        <v>12896</v>
      </c>
      <c r="AT766">
        <v>3.7919999999999998</v>
      </c>
      <c r="AU766" t="s">
        <v>65</v>
      </c>
      <c r="AV766">
        <v>13</v>
      </c>
      <c r="AW766">
        <v>10</v>
      </c>
      <c r="AX766" t="s">
        <v>12897</v>
      </c>
      <c r="AY766">
        <v>6.3420000000000004E-2</v>
      </c>
      <c r="AZ766">
        <v>-1.422E-2</v>
      </c>
      <c r="BA766">
        <v>1.3310000000000001E-2</v>
      </c>
      <c r="BB766">
        <v>-2.4099999999999998E-3</v>
      </c>
      <c r="BC766">
        <v>0.20987</v>
      </c>
      <c r="BD766">
        <v>1</v>
      </c>
      <c r="BE766" t="s">
        <v>69</v>
      </c>
      <c r="BF766">
        <v>-2.1160000000000001</v>
      </c>
      <c r="BG766">
        <v>-2.5920000000000001</v>
      </c>
    </row>
    <row r="767" spans="1:59">
      <c r="A767">
        <v>0</v>
      </c>
      <c r="B767">
        <v>2</v>
      </c>
      <c r="C767">
        <v>4</v>
      </c>
      <c r="D767" t="s">
        <v>25022</v>
      </c>
      <c r="E767">
        <v>1533</v>
      </c>
      <c r="F767" t="s">
        <v>9576</v>
      </c>
      <c r="G767" t="s">
        <v>57</v>
      </c>
      <c r="H767">
        <v>1544085</v>
      </c>
      <c r="I767">
        <v>1544603</v>
      </c>
      <c r="J767" t="s">
        <v>9577</v>
      </c>
      <c r="K767">
        <v>173</v>
      </c>
      <c r="L767" t="s">
        <v>108</v>
      </c>
      <c r="M767">
        <v>44</v>
      </c>
      <c r="N767" t="str">
        <f>HYPERLINK("Gene1533-zp_tree_all.dnd", "Gene1533-tree")</f>
        <v>Gene1533-tree</v>
      </c>
      <c r="O767">
        <v>3</v>
      </c>
      <c r="P767">
        <v>7</v>
      </c>
      <c r="Q767">
        <v>3</v>
      </c>
      <c r="R767">
        <v>7</v>
      </c>
      <c r="S767">
        <v>0.7</v>
      </c>
      <c r="T767" t="s">
        <v>324</v>
      </c>
      <c r="U767" t="s">
        <v>152</v>
      </c>
      <c r="V767" t="s">
        <v>62</v>
      </c>
      <c r="W767" t="s">
        <v>62</v>
      </c>
      <c r="X767">
        <v>3</v>
      </c>
      <c r="Y767">
        <v>6</v>
      </c>
      <c r="Z767">
        <v>9</v>
      </c>
      <c r="AA767">
        <v>0.4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4</v>
      </c>
      <c r="AI767">
        <v>4</v>
      </c>
      <c r="AJ767">
        <v>8</v>
      </c>
      <c r="AK767">
        <v>0.33333000000000002</v>
      </c>
      <c r="AL767">
        <v>8</v>
      </c>
      <c r="AM767">
        <v>7</v>
      </c>
      <c r="AN767">
        <v>11</v>
      </c>
      <c r="AO767">
        <v>10</v>
      </c>
      <c r="AP767">
        <v>8</v>
      </c>
      <c r="AQ767">
        <v>5</v>
      </c>
      <c r="AR767" t="s">
        <v>9578</v>
      </c>
      <c r="AS767" t="s">
        <v>9579</v>
      </c>
      <c r="AT767">
        <v>0.27900000000000003</v>
      </c>
      <c r="AU767" t="s">
        <v>65</v>
      </c>
      <c r="AV767">
        <v>19</v>
      </c>
      <c r="AW767">
        <v>15</v>
      </c>
      <c r="AX767" t="s">
        <v>9580</v>
      </c>
      <c r="AY767">
        <v>4.8910000000000002E-2</v>
      </c>
      <c r="AZ767">
        <v>-3.15E-3</v>
      </c>
      <c r="BA767">
        <v>9.3100000000000006E-3</v>
      </c>
      <c r="BB767">
        <v>-7.3999999999999999E-4</v>
      </c>
      <c r="BC767">
        <v>0.19042000000000001</v>
      </c>
      <c r="BD767">
        <v>1</v>
      </c>
      <c r="BE767" t="s">
        <v>69</v>
      </c>
      <c r="BF767">
        <v>-1.139</v>
      </c>
      <c r="BG767">
        <v>-2.0329999999999999</v>
      </c>
    </row>
    <row r="768" spans="1:59">
      <c r="A768">
        <v>0</v>
      </c>
      <c r="B768">
        <v>4</v>
      </c>
      <c r="C768">
        <v>0</v>
      </c>
      <c r="D768" t="s">
        <v>25022</v>
      </c>
      <c r="E768">
        <v>3852</v>
      </c>
      <c r="F768" t="s">
        <v>22577</v>
      </c>
      <c r="G768" t="s">
        <v>62</v>
      </c>
      <c r="H768">
        <v>3812545</v>
      </c>
      <c r="I768">
        <v>3813063</v>
      </c>
      <c r="J768" t="s">
        <v>22578</v>
      </c>
      <c r="K768">
        <v>173</v>
      </c>
      <c r="L768" t="s">
        <v>22579</v>
      </c>
      <c r="M768">
        <v>39</v>
      </c>
      <c r="N768" t="str">
        <f>HYPERLINK("Gene3852-zp_tree_all.dnd", "Gene3852-tree")</f>
        <v>Gene3852-tree</v>
      </c>
      <c r="O768">
        <v>8</v>
      </c>
      <c r="P768">
        <v>7</v>
      </c>
      <c r="Q768">
        <v>8</v>
      </c>
      <c r="R768">
        <v>7</v>
      </c>
      <c r="S768">
        <v>0.46666999999999997</v>
      </c>
      <c r="T768" t="s">
        <v>136</v>
      </c>
      <c r="U768" t="s">
        <v>152</v>
      </c>
      <c r="V768" t="s">
        <v>62</v>
      </c>
      <c r="W768" t="s">
        <v>62</v>
      </c>
      <c r="X768">
        <v>2</v>
      </c>
      <c r="Y768">
        <v>4</v>
      </c>
      <c r="Z768">
        <v>15</v>
      </c>
      <c r="AA768">
        <v>0.21052999999999999</v>
      </c>
      <c r="AB768">
        <v>0</v>
      </c>
      <c r="AC768">
        <v>0</v>
      </c>
      <c r="AD768">
        <v>0</v>
      </c>
      <c r="AE768">
        <v>3</v>
      </c>
      <c r="AF768">
        <v>0</v>
      </c>
      <c r="AG768">
        <v>0</v>
      </c>
      <c r="AH768">
        <v>0</v>
      </c>
      <c r="AI768">
        <v>0</v>
      </c>
      <c r="AJ768">
        <v>8</v>
      </c>
      <c r="AK768">
        <v>0</v>
      </c>
      <c r="AL768">
        <v>11</v>
      </c>
      <c r="AM768">
        <v>8</v>
      </c>
      <c r="AN768">
        <v>11</v>
      </c>
      <c r="AO768">
        <v>8</v>
      </c>
      <c r="AP768">
        <v>19</v>
      </c>
      <c r="AQ768">
        <v>12</v>
      </c>
      <c r="AR768" t="s">
        <v>22580</v>
      </c>
      <c r="AS768" t="s">
        <v>22581</v>
      </c>
      <c r="AT768">
        <v>0.218</v>
      </c>
      <c r="AU768" t="s">
        <v>65</v>
      </c>
      <c r="AV768">
        <v>30</v>
      </c>
      <c r="AW768">
        <v>20</v>
      </c>
      <c r="AX768" t="s">
        <v>22582</v>
      </c>
      <c r="AY768">
        <v>7.8530000000000003E-2</v>
      </c>
      <c r="AZ768">
        <v>-5.3899999999999998E-3</v>
      </c>
      <c r="BA768">
        <v>1.0880000000000001E-2</v>
      </c>
      <c r="BB768">
        <v>-7.9000000000000001E-4</v>
      </c>
      <c r="BC768">
        <v>0.13850000000000001</v>
      </c>
      <c r="BD768">
        <v>1</v>
      </c>
      <c r="BE768" t="s">
        <v>69</v>
      </c>
      <c r="BF768">
        <v>-0.98</v>
      </c>
      <c r="BG768">
        <v>0.55200000000000005</v>
      </c>
    </row>
    <row r="769" spans="1:59">
      <c r="A769">
        <v>0</v>
      </c>
      <c r="B769">
        <v>4</v>
      </c>
      <c r="C769">
        <v>0</v>
      </c>
      <c r="D769" t="s">
        <v>25022</v>
      </c>
      <c r="E769">
        <v>3366</v>
      </c>
      <c r="F769" t="s">
        <v>19672</v>
      </c>
      <c r="G769" t="s">
        <v>62</v>
      </c>
      <c r="H769">
        <v>3335754</v>
      </c>
      <c r="I769">
        <v>3336272</v>
      </c>
      <c r="J769" t="s">
        <v>19673</v>
      </c>
      <c r="K769">
        <v>173</v>
      </c>
      <c r="L769" t="s">
        <v>19674</v>
      </c>
      <c r="M769">
        <v>21</v>
      </c>
      <c r="N769" t="str">
        <f>HYPERLINK("Gene3366-zp_tree_all.dnd", "Gene3366-tree")</f>
        <v>Gene3366-tree</v>
      </c>
      <c r="O769">
        <v>0</v>
      </c>
      <c r="P769">
        <v>21</v>
      </c>
      <c r="Q769">
        <v>0</v>
      </c>
      <c r="R769">
        <v>4</v>
      </c>
      <c r="S769">
        <v>1</v>
      </c>
      <c r="T769" t="s">
        <v>62</v>
      </c>
      <c r="U769" t="s">
        <v>3348</v>
      </c>
      <c r="V769">
        <v>5.9980000000000002</v>
      </c>
      <c r="W769" t="s">
        <v>65</v>
      </c>
      <c r="X769">
        <v>2</v>
      </c>
      <c r="Y769">
        <v>4</v>
      </c>
      <c r="Z769">
        <v>10</v>
      </c>
      <c r="AA769">
        <v>0.28571000000000002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4</v>
      </c>
      <c r="AH769">
        <v>0</v>
      </c>
      <c r="AI769">
        <v>4</v>
      </c>
      <c r="AJ769">
        <v>10</v>
      </c>
      <c r="AK769">
        <v>0.28571000000000002</v>
      </c>
      <c r="AL769">
        <v>4</v>
      </c>
      <c r="AM769">
        <v>1</v>
      </c>
      <c r="AN769">
        <v>16</v>
      </c>
      <c r="AO769">
        <v>11</v>
      </c>
      <c r="AP769">
        <v>17</v>
      </c>
      <c r="AQ769">
        <v>3</v>
      </c>
      <c r="AR769" t="s">
        <v>19675</v>
      </c>
      <c r="AS769" t="s">
        <v>19676</v>
      </c>
      <c r="AT769">
        <v>1.4490000000000001</v>
      </c>
      <c r="AU769" t="s">
        <v>65</v>
      </c>
      <c r="AV769">
        <v>33</v>
      </c>
      <c r="AW769">
        <v>14</v>
      </c>
      <c r="AX769" t="s">
        <v>19677</v>
      </c>
      <c r="AY769">
        <v>0.1835</v>
      </c>
      <c r="AZ769">
        <v>-3.8460000000000001E-2</v>
      </c>
      <c r="BA769">
        <v>1.7350000000000001E-2</v>
      </c>
      <c r="BB769">
        <v>-2.2200000000000002E-3</v>
      </c>
      <c r="BC769">
        <v>9.4560000000000005E-2</v>
      </c>
      <c r="BD769">
        <v>1</v>
      </c>
      <c r="BE769" t="s">
        <v>69</v>
      </c>
      <c r="BF769">
        <v>-1.9650000000000001</v>
      </c>
      <c r="BG769">
        <v>-1.0920000000000001</v>
      </c>
    </row>
    <row r="770" spans="1:59">
      <c r="A770">
        <v>0</v>
      </c>
      <c r="B770">
        <v>0</v>
      </c>
      <c r="C770">
        <v>0</v>
      </c>
      <c r="D770" t="s">
        <v>25022</v>
      </c>
      <c r="E770">
        <v>3004</v>
      </c>
      <c r="F770" t="s">
        <v>17349</v>
      </c>
      <c r="G770" t="s">
        <v>62</v>
      </c>
      <c r="H770">
        <v>2952831</v>
      </c>
      <c r="I770">
        <v>2953349</v>
      </c>
      <c r="J770" t="s">
        <v>17350</v>
      </c>
      <c r="K770">
        <v>173</v>
      </c>
      <c r="L770" t="s">
        <v>515</v>
      </c>
      <c r="M770">
        <v>51</v>
      </c>
      <c r="N770" t="str">
        <f>HYPERLINK("Gene3004-zp_tree_all.dnd", "Gene3004-tree")</f>
        <v>Gene3004-tree</v>
      </c>
      <c r="O770">
        <v>7</v>
      </c>
      <c r="P770">
        <v>1</v>
      </c>
      <c r="Q770">
        <v>7</v>
      </c>
      <c r="R770">
        <v>1</v>
      </c>
      <c r="S770">
        <v>0.125</v>
      </c>
      <c r="T770" t="s">
        <v>152</v>
      </c>
      <c r="U770" t="s">
        <v>175</v>
      </c>
      <c r="V770" t="s">
        <v>62</v>
      </c>
      <c r="W770" t="s">
        <v>62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7</v>
      </c>
      <c r="AM770">
        <v>4</v>
      </c>
      <c r="AN770">
        <v>29</v>
      </c>
      <c r="AO770">
        <v>1</v>
      </c>
      <c r="AP770">
        <v>6</v>
      </c>
      <c r="AQ770">
        <v>0</v>
      </c>
      <c r="AR770" t="s">
        <v>17351</v>
      </c>
      <c r="AS770" t="s">
        <v>193</v>
      </c>
      <c r="AT770">
        <v>0.29299999999999998</v>
      </c>
      <c r="AU770" t="s">
        <v>65</v>
      </c>
      <c r="AV770">
        <v>35</v>
      </c>
      <c r="AW770">
        <v>1</v>
      </c>
      <c r="AX770" t="s">
        <v>17352</v>
      </c>
      <c r="AY770">
        <v>9.8629999999999995E-2</v>
      </c>
      <c r="AZ770">
        <v>-1.796E-2</v>
      </c>
      <c r="BA770">
        <v>6.0999999999999997E-4</v>
      </c>
      <c r="BB770">
        <v>-2.0000000000000001E-4</v>
      </c>
      <c r="BC770">
        <v>6.2100000000000002E-3</v>
      </c>
      <c r="BD770">
        <v>1</v>
      </c>
      <c r="BE770" t="s">
        <v>69</v>
      </c>
      <c r="BF770">
        <v>-1.819</v>
      </c>
      <c r="BG770">
        <v>1.0580000000000001</v>
      </c>
    </row>
    <row r="771" spans="1:59">
      <c r="A771">
        <v>0</v>
      </c>
      <c r="B771">
        <v>10</v>
      </c>
      <c r="C771">
        <v>1</v>
      </c>
      <c r="D771" t="s">
        <v>25022</v>
      </c>
      <c r="E771">
        <v>969</v>
      </c>
      <c r="F771" t="s">
        <v>6070</v>
      </c>
      <c r="G771" t="s">
        <v>57</v>
      </c>
      <c r="H771">
        <v>1010445</v>
      </c>
      <c r="I771">
        <v>1010966</v>
      </c>
      <c r="J771" t="s">
        <v>6071</v>
      </c>
      <c r="K771">
        <v>174</v>
      </c>
      <c r="L771" t="s">
        <v>108</v>
      </c>
      <c r="M771">
        <v>44</v>
      </c>
      <c r="N771" t="str">
        <f>HYPERLINK("Gene969-zp_tree_all.dnd", "Gene969-tree")</f>
        <v>Gene969-tree</v>
      </c>
      <c r="O771">
        <v>5</v>
      </c>
      <c r="P771">
        <v>8</v>
      </c>
      <c r="Q771">
        <v>5</v>
      </c>
      <c r="R771">
        <v>8</v>
      </c>
      <c r="S771">
        <v>0.61538000000000004</v>
      </c>
      <c r="T771" t="s">
        <v>199</v>
      </c>
      <c r="U771" t="s">
        <v>136</v>
      </c>
      <c r="V771" t="s">
        <v>62</v>
      </c>
      <c r="W771" t="s">
        <v>62</v>
      </c>
      <c r="X771">
        <v>5</v>
      </c>
      <c r="Y771">
        <v>11</v>
      </c>
      <c r="Z771">
        <v>9</v>
      </c>
      <c r="AA771">
        <v>0.55000000000000004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2</v>
      </c>
      <c r="AH771">
        <v>0</v>
      </c>
      <c r="AI771">
        <v>2</v>
      </c>
      <c r="AJ771">
        <v>10</v>
      </c>
      <c r="AK771">
        <v>0.16667000000000001</v>
      </c>
      <c r="AL771">
        <v>10</v>
      </c>
      <c r="AM771">
        <v>8</v>
      </c>
      <c r="AN771">
        <v>17</v>
      </c>
      <c r="AO771">
        <v>11</v>
      </c>
      <c r="AP771">
        <v>6</v>
      </c>
      <c r="AQ771">
        <v>9</v>
      </c>
      <c r="AR771" t="s">
        <v>6072</v>
      </c>
      <c r="AS771" t="s">
        <v>6073</v>
      </c>
      <c r="AT771">
        <v>0.66</v>
      </c>
      <c r="AU771" t="s">
        <v>65</v>
      </c>
      <c r="AV771">
        <v>23</v>
      </c>
      <c r="AW771">
        <v>20</v>
      </c>
      <c r="AX771" t="s">
        <v>6074</v>
      </c>
      <c r="AY771">
        <v>4.197E-2</v>
      </c>
      <c r="AZ771">
        <v>-2.7000000000000001E-3</v>
      </c>
      <c r="BA771">
        <v>1.159E-2</v>
      </c>
      <c r="BB771">
        <v>-6.7000000000000002E-4</v>
      </c>
      <c r="BC771">
        <v>0.27611999999999998</v>
      </c>
      <c r="BD771">
        <v>1</v>
      </c>
      <c r="BE771" t="s">
        <v>69</v>
      </c>
      <c r="BF771">
        <v>-0.48399999999999999</v>
      </c>
      <c r="BG771">
        <v>0.46</v>
      </c>
    </row>
    <row r="772" spans="1:59">
      <c r="A772">
        <v>0</v>
      </c>
      <c r="B772">
        <v>0</v>
      </c>
      <c r="C772">
        <v>0</v>
      </c>
      <c r="D772" t="s">
        <v>25022</v>
      </c>
      <c r="E772">
        <v>3858</v>
      </c>
      <c r="F772" t="s">
        <v>22618</v>
      </c>
      <c r="G772" t="s">
        <v>62</v>
      </c>
      <c r="H772">
        <v>3819223</v>
      </c>
      <c r="I772">
        <v>3819744</v>
      </c>
      <c r="J772" t="s">
        <v>1940</v>
      </c>
      <c r="K772">
        <v>174</v>
      </c>
      <c r="L772" t="s">
        <v>22619</v>
      </c>
      <c r="M772">
        <v>41</v>
      </c>
      <c r="N772" t="str">
        <f>HYPERLINK("Gene3858-zp_tree_all.dnd", "Gene3858-tree")</f>
        <v>Gene3858-tree</v>
      </c>
      <c r="O772">
        <v>23</v>
      </c>
      <c r="P772">
        <v>8</v>
      </c>
      <c r="Q772">
        <v>3</v>
      </c>
      <c r="R772">
        <v>8</v>
      </c>
      <c r="S772">
        <v>0.72726999999999997</v>
      </c>
      <c r="T772" t="s">
        <v>1725</v>
      </c>
      <c r="U772" t="s">
        <v>136</v>
      </c>
      <c r="V772" t="s">
        <v>62</v>
      </c>
      <c r="W772" t="s">
        <v>62</v>
      </c>
      <c r="X772">
        <v>0</v>
      </c>
      <c r="Y772">
        <v>0</v>
      </c>
      <c r="Z772">
        <v>17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14</v>
      </c>
      <c r="AK772">
        <v>0</v>
      </c>
      <c r="AL772">
        <v>9</v>
      </c>
      <c r="AM772">
        <v>5</v>
      </c>
      <c r="AN772">
        <v>17</v>
      </c>
      <c r="AO772">
        <v>15</v>
      </c>
      <c r="AP772">
        <v>4</v>
      </c>
      <c r="AQ772">
        <v>3</v>
      </c>
      <c r="AR772" t="s">
        <v>22620</v>
      </c>
      <c r="AS772" t="s">
        <v>22621</v>
      </c>
      <c r="AT772">
        <v>0.22600000000000001</v>
      </c>
      <c r="AU772" t="s">
        <v>65</v>
      </c>
      <c r="AV772">
        <v>21</v>
      </c>
      <c r="AW772">
        <v>18</v>
      </c>
      <c r="AX772" t="s">
        <v>22622</v>
      </c>
      <c r="AY772">
        <v>3.773E-2</v>
      </c>
      <c r="AZ772">
        <v>-2.16E-3</v>
      </c>
      <c r="BA772">
        <v>1.009E-2</v>
      </c>
      <c r="BB772">
        <v>-6.7000000000000002E-4</v>
      </c>
      <c r="BC772">
        <v>0.26745000000000002</v>
      </c>
      <c r="BD772">
        <v>1</v>
      </c>
      <c r="BE772" t="s">
        <v>69</v>
      </c>
      <c r="BF772">
        <v>-1.657</v>
      </c>
      <c r="BG772">
        <v>-1.7889999999999999</v>
      </c>
    </row>
    <row r="773" spans="1:59">
      <c r="A773">
        <v>0</v>
      </c>
      <c r="B773">
        <v>0</v>
      </c>
      <c r="C773">
        <v>0</v>
      </c>
      <c r="D773" t="s">
        <v>25022</v>
      </c>
      <c r="E773">
        <v>2752</v>
      </c>
      <c r="F773" t="s">
        <v>15803</v>
      </c>
      <c r="G773" t="s">
        <v>62</v>
      </c>
      <c r="H773">
        <v>2708178</v>
      </c>
      <c r="I773">
        <v>2708699</v>
      </c>
      <c r="J773" t="s">
        <v>15804</v>
      </c>
      <c r="K773">
        <v>174</v>
      </c>
      <c r="L773" t="s">
        <v>15805</v>
      </c>
      <c r="M773">
        <v>33</v>
      </c>
      <c r="N773" t="str">
        <f>HYPERLINK("Gene2752-zp_tree_all.dnd", "Gene2752-tree")</f>
        <v>Gene2752-tree</v>
      </c>
      <c r="O773">
        <v>2</v>
      </c>
      <c r="P773">
        <v>6</v>
      </c>
      <c r="Q773">
        <v>2</v>
      </c>
      <c r="R773">
        <v>6</v>
      </c>
      <c r="S773">
        <v>0.75</v>
      </c>
      <c r="T773" t="s">
        <v>81</v>
      </c>
      <c r="U773" t="s">
        <v>90</v>
      </c>
      <c r="V773" t="s">
        <v>62</v>
      </c>
      <c r="W773" t="s">
        <v>62</v>
      </c>
      <c r="X773">
        <v>0</v>
      </c>
      <c r="Y773">
        <v>0</v>
      </c>
      <c r="Z773">
        <v>9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8</v>
      </c>
      <c r="AK773">
        <v>0</v>
      </c>
      <c r="AL773">
        <v>5</v>
      </c>
      <c r="AM773">
        <v>4</v>
      </c>
      <c r="AN773">
        <v>1</v>
      </c>
      <c r="AO773">
        <v>8</v>
      </c>
      <c r="AP773">
        <v>9</v>
      </c>
      <c r="AQ773">
        <v>2</v>
      </c>
      <c r="AR773" t="s">
        <v>15806</v>
      </c>
      <c r="AS773" t="s">
        <v>15807</v>
      </c>
      <c r="AT773">
        <v>0.51200000000000001</v>
      </c>
      <c r="AU773" t="s">
        <v>65</v>
      </c>
      <c r="AV773">
        <v>10</v>
      </c>
      <c r="AW773">
        <v>10</v>
      </c>
      <c r="AX773" t="s">
        <v>15808</v>
      </c>
      <c r="AY773">
        <v>3.6170000000000001E-2</v>
      </c>
      <c r="AZ773">
        <v>-4.3499999999999997E-3</v>
      </c>
      <c r="BA773">
        <v>7.6699999999999997E-3</v>
      </c>
      <c r="BB773">
        <v>-7.2999999999999996E-4</v>
      </c>
      <c r="BC773">
        <v>0.21213000000000001</v>
      </c>
      <c r="BD773">
        <v>1</v>
      </c>
      <c r="BE773" t="s">
        <v>69</v>
      </c>
      <c r="BF773">
        <v>-1.5329999999999999</v>
      </c>
      <c r="BG773">
        <v>-1.0669999999999999</v>
      </c>
    </row>
    <row r="774" spans="1:59">
      <c r="A774">
        <v>2</v>
      </c>
      <c r="B774">
        <v>4</v>
      </c>
      <c r="C774">
        <v>8</v>
      </c>
      <c r="D774" t="s">
        <v>25022</v>
      </c>
      <c r="E774">
        <v>2861</v>
      </c>
      <c r="F774" t="s">
        <v>16441</v>
      </c>
      <c r="G774" t="s">
        <v>62</v>
      </c>
      <c r="H774">
        <v>2805707</v>
      </c>
      <c r="I774">
        <v>2806228</v>
      </c>
      <c r="J774" t="s">
        <v>116</v>
      </c>
      <c r="K774">
        <v>174</v>
      </c>
      <c r="L774" t="s">
        <v>59</v>
      </c>
      <c r="M774">
        <v>49</v>
      </c>
      <c r="N774" t="str">
        <f>HYPERLINK("Gene2861-zp_tree_all.dnd", "Gene2861-tree")</f>
        <v>Gene2861-tree</v>
      </c>
      <c r="O774">
        <v>8</v>
      </c>
      <c r="P774">
        <v>11</v>
      </c>
      <c r="Q774">
        <v>8</v>
      </c>
      <c r="R774">
        <v>11</v>
      </c>
      <c r="S774">
        <v>0.57894999999999996</v>
      </c>
      <c r="T774" t="s">
        <v>136</v>
      </c>
      <c r="U774" t="s">
        <v>73</v>
      </c>
      <c r="V774">
        <v>42922973.636</v>
      </c>
      <c r="W774" t="s">
        <v>267</v>
      </c>
      <c r="X774">
        <v>6</v>
      </c>
      <c r="Y774">
        <v>14</v>
      </c>
      <c r="Z774">
        <v>9</v>
      </c>
      <c r="AA774">
        <v>0.60870000000000002</v>
      </c>
      <c r="AB774">
        <v>0</v>
      </c>
      <c r="AC774">
        <v>0</v>
      </c>
      <c r="AD774">
        <v>0</v>
      </c>
      <c r="AE774">
        <v>2</v>
      </c>
      <c r="AF774">
        <v>0</v>
      </c>
      <c r="AG774">
        <v>0</v>
      </c>
      <c r="AH774">
        <v>6</v>
      </c>
      <c r="AI774">
        <v>6</v>
      </c>
      <c r="AJ774">
        <v>6</v>
      </c>
      <c r="AK774">
        <v>0.5</v>
      </c>
      <c r="AL774">
        <v>12</v>
      </c>
      <c r="AM774">
        <v>12</v>
      </c>
      <c r="AN774">
        <v>19</v>
      </c>
      <c r="AO774">
        <v>9</v>
      </c>
      <c r="AP774">
        <v>29</v>
      </c>
      <c r="AQ774">
        <v>14</v>
      </c>
      <c r="AR774" t="s">
        <v>16442</v>
      </c>
      <c r="AS774" t="s">
        <v>16443</v>
      </c>
      <c r="AT774">
        <v>1.4999999999999999E-2</v>
      </c>
      <c r="AU774" t="s">
        <v>65</v>
      </c>
      <c r="AV774">
        <v>48</v>
      </c>
      <c r="AW774">
        <v>23</v>
      </c>
      <c r="AX774" t="s">
        <v>16444</v>
      </c>
      <c r="AY774">
        <v>8.0409999999999995E-2</v>
      </c>
      <c r="AZ774">
        <v>-4.1000000000000003E-3</v>
      </c>
      <c r="BA774">
        <v>1.251E-2</v>
      </c>
      <c r="BB774">
        <v>-5.1000000000000004E-4</v>
      </c>
      <c r="BC774">
        <v>0.15564</v>
      </c>
      <c r="BD774">
        <v>1</v>
      </c>
      <c r="BE774" t="s">
        <v>69</v>
      </c>
      <c r="BF774">
        <v>-0.94599999999999995</v>
      </c>
      <c r="BG774">
        <v>-1.181</v>
      </c>
    </row>
    <row r="775" spans="1:59">
      <c r="A775">
        <v>0</v>
      </c>
      <c r="B775">
        <v>4</v>
      </c>
      <c r="C775">
        <v>1</v>
      </c>
      <c r="D775" t="s">
        <v>25022</v>
      </c>
      <c r="E775">
        <v>3218</v>
      </c>
      <c r="F775" t="s">
        <v>18749</v>
      </c>
      <c r="G775" t="s">
        <v>62</v>
      </c>
      <c r="H775">
        <v>3182018</v>
      </c>
      <c r="I775">
        <v>3182539</v>
      </c>
      <c r="J775" t="s">
        <v>18750</v>
      </c>
      <c r="K775">
        <v>174</v>
      </c>
      <c r="L775" t="s">
        <v>108</v>
      </c>
      <c r="M775">
        <v>44</v>
      </c>
      <c r="N775" t="str">
        <f>HYPERLINK("Gene3218-zp_tree_all.dnd", "Gene3218-tree")</f>
        <v>Gene3218-tree</v>
      </c>
      <c r="O775">
        <v>9</v>
      </c>
      <c r="P775">
        <v>5</v>
      </c>
      <c r="Q775">
        <v>9</v>
      </c>
      <c r="R775">
        <v>5</v>
      </c>
      <c r="S775">
        <v>0.35714000000000001</v>
      </c>
      <c r="T775" t="s">
        <v>135</v>
      </c>
      <c r="U775" t="s">
        <v>199</v>
      </c>
      <c r="V775" t="s">
        <v>62</v>
      </c>
      <c r="W775" t="s">
        <v>62</v>
      </c>
      <c r="X775">
        <v>2</v>
      </c>
      <c r="Y775">
        <v>5</v>
      </c>
      <c r="Z775">
        <v>9</v>
      </c>
      <c r="AA775">
        <v>0.35714000000000001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2</v>
      </c>
      <c r="AI775">
        <v>2</v>
      </c>
      <c r="AJ775">
        <v>10</v>
      </c>
      <c r="AK775">
        <v>0.16667000000000001</v>
      </c>
      <c r="AL775">
        <v>10</v>
      </c>
      <c r="AM775">
        <v>9</v>
      </c>
      <c r="AN775">
        <v>22</v>
      </c>
      <c r="AO775">
        <v>12</v>
      </c>
      <c r="AP775">
        <v>15</v>
      </c>
      <c r="AQ775">
        <v>2</v>
      </c>
      <c r="AR775" t="s">
        <v>18751</v>
      </c>
      <c r="AS775" t="s">
        <v>18752</v>
      </c>
      <c r="AT775">
        <v>0.54900000000000004</v>
      </c>
      <c r="AU775" t="s">
        <v>65</v>
      </c>
      <c r="AV775">
        <v>37</v>
      </c>
      <c r="AW775">
        <v>14</v>
      </c>
      <c r="AX775" t="s">
        <v>18753</v>
      </c>
      <c r="AY775">
        <v>5.253E-2</v>
      </c>
      <c r="AZ775">
        <v>-3.5200000000000001E-3</v>
      </c>
      <c r="BA775">
        <v>6.0499999999999998E-3</v>
      </c>
      <c r="BB775">
        <v>-5.8E-4</v>
      </c>
      <c r="BC775">
        <v>0.11509999999999999</v>
      </c>
      <c r="BD775">
        <v>1</v>
      </c>
      <c r="BE775" t="s">
        <v>69</v>
      </c>
      <c r="BF775">
        <v>-0.89900000000000002</v>
      </c>
      <c r="BG775">
        <v>-2.524</v>
      </c>
    </row>
    <row r="776" spans="1:59">
      <c r="A776">
        <v>0</v>
      </c>
      <c r="B776">
        <v>4</v>
      </c>
      <c r="C776">
        <v>0</v>
      </c>
      <c r="D776" t="s">
        <v>25022</v>
      </c>
      <c r="E776">
        <v>1663</v>
      </c>
      <c r="F776" t="s">
        <v>10413</v>
      </c>
      <c r="G776" t="s">
        <v>57</v>
      </c>
      <c r="H776">
        <v>1674650</v>
      </c>
      <c r="I776">
        <v>1675171</v>
      </c>
      <c r="J776" t="s">
        <v>10414</v>
      </c>
      <c r="K776">
        <v>174</v>
      </c>
      <c r="L776" t="s">
        <v>108</v>
      </c>
      <c r="M776">
        <v>44</v>
      </c>
      <c r="N776" t="str">
        <f>HYPERLINK("Gene1663-zp_tree_all.dnd", "Gene1663-tree")</f>
        <v>Gene1663-tree</v>
      </c>
      <c r="O776">
        <v>8</v>
      </c>
      <c r="P776">
        <v>7</v>
      </c>
      <c r="Q776">
        <v>8</v>
      </c>
      <c r="R776">
        <v>7</v>
      </c>
      <c r="S776">
        <v>0.46666999999999997</v>
      </c>
      <c r="T776" t="s">
        <v>136</v>
      </c>
      <c r="U776" t="s">
        <v>152</v>
      </c>
      <c r="V776" t="s">
        <v>62</v>
      </c>
      <c r="W776" t="s">
        <v>62</v>
      </c>
      <c r="X776">
        <v>2</v>
      </c>
      <c r="Y776">
        <v>4</v>
      </c>
      <c r="Z776">
        <v>3</v>
      </c>
      <c r="AA776">
        <v>0.57142999999999999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4</v>
      </c>
      <c r="AH776">
        <v>0</v>
      </c>
      <c r="AI776">
        <v>4</v>
      </c>
      <c r="AJ776">
        <v>3</v>
      </c>
      <c r="AK776">
        <v>0.57142999999999999</v>
      </c>
      <c r="AL776">
        <v>13</v>
      </c>
      <c r="AM776">
        <v>2</v>
      </c>
      <c r="AN776">
        <v>12</v>
      </c>
      <c r="AO776">
        <v>7</v>
      </c>
      <c r="AP776">
        <v>2</v>
      </c>
      <c r="AQ776">
        <v>0</v>
      </c>
      <c r="AR776" t="s">
        <v>10415</v>
      </c>
      <c r="AS776" t="s">
        <v>193</v>
      </c>
      <c r="AT776">
        <v>2.7639999999999998</v>
      </c>
      <c r="AU776" t="s">
        <v>267</v>
      </c>
      <c r="AV776">
        <v>14</v>
      </c>
      <c r="AW776">
        <v>7</v>
      </c>
      <c r="AX776" t="s">
        <v>10416</v>
      </c>
      <c r="AY776">
        <v>2.1520000000000001E-2</v>
      </c>
      <c r="AZ776">
        <v>-8.0999999999999996E-4</v>
      </c>
      <c r="BA776">
        <v>2.1800000000000001E-3</v>
      </c>
      <c r="BB776">
        <v>-1.6000000000000001E-4</v>
      </c>
      <c r="BC776">
        <v>0.10149</v>
      </c>
      <c r="BD776">
        <v>1</v>
      </c>
      <c r="BE776" t="s">
        <v>69</v>
      </c>
      <c r="BF776">
        <v>-1.5249999999999999</v>
      </c>
      <c r="BG776">
        <v>-2.6120000000000001</v>
      </c>
    </row>
    <row r="777" spans="1:59">
      <c r="A777">
        <v>0</v>
      </c>
      <c r="B777">
        <v>15</v>
      </c>
      <c r="C777">
        <v>4</v>
      </c>
      <c r="D777" t="s">
        <v>25022</v>
      </c>
      <c r="E777">
        <v>185</v>
      </c>
      <c r="F777" t="s">
        <v>1303</v>
      </c>
      <c r="G777" t="s">
        <v>57</v>
      </c>
      <c r="H777">
        <v>209633</v>
      </c>
      <c r="I777">
        <v>210157</v>
      </c>
      <c r="J777" t="s">
        <v>1304</v>
      </c>
      <c r="K777">
        <v>175</v>
      </c>
      <c r="L777" t="s">
        <v>1305</v>
      </c>
      <c r="M777">
        <v>43</v>
      </c>
      <c r="N777" t="str">
        <f>HYPERLINK("Gene185-zp_tree_all.dnd", "Gene185-tree")</f>
        <v>Gene185-tree</v>
      </c>
      <c r="O777">
        <v>1</v>
      </c>
      <c r="P777">
        <v>13</v>
      </c>
      <c r="Q777">
        <v>1</v>
      </c>
      <c r="R777">
        <v>13</v>
      </c>
      <c r="S777">
        <v>0.92857000000000001</v>
      </c>
      <c r="T777" t="s">
        <v>175</v>
      </c>
      <c r="U777" t="s">
        <v>507</v>
      </c>
      <c r="V777" t="s">
        <v>62</v>
      </c>
      <c r="W777" t="s">
        <v>62</v>
      </c>
      <c r="X777">
        <v>7</v>
      </c>
      <c r="Y777">
        <v>19</v>
      </c>
      <c r="Z777">
        <v>16</v>
      </c>
      <c r="AA777">
        <v>0.54286000000000001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4</v>
      </c>
      <c r="AH777">
        <v>6</v>
      </c>
      <c r="AI777">
        <v>10</v>
      </c>
      <c r="AJ777">
        <v>15</v>
      </c>
      <c r="AK777">
        <v>0.4</v>
      </c>
      <c r="AL777">
        <v>10</v>
      </c>
      <c r="AM777">
        <v>9</v>
      </c>
      <c r="AN777">
        <v>11</v>
      </c>
      <c r="AO777">
        <v>19</v>
      </c>
      <c r="AP777">
        <v>7</v>
      </c>
      <c r="AQ777">
        <v>16</v>
      </c>
      <c r="AR777" t="s">
        <v>1306</v>
      </c>
      <c r="AS777" t="s">
        <v>1307</v>
      </c>
      <c r="AT777">
        <v>0.40500000000000003</v>
      </c>
      <c r="AU777" t="s">
        <v>65</v>
      </c>
      <c r="AV777">
        <v>18</v>
      </c>
      <c r="AW777">
        <v>35</v>
      </c>
      <c r="AX777" t="s">
        <v>1308</v>
      </c>
      <c r="AY777">
        <v>3.3919999999999999E-2</v>
      </c>
      <c r="AZ777">
        <v>-1.72E-3</v>
      </c>
      <c r="BA777">
        <v>1.787E-2</v>
      </c>
      <c r="BB777">
        <v>-8.0999999999999996E-4</v>
      </c>
      <c r="BC777">
        <v>0.52685999999999999</v>
      </c>
      <c r="BD777">
        <v>0.86</v>
      </c>
      <c r="BE777" t="s">
        <v>635</v>
      </c>
      <c r="BF777">
        <v>-0.1</v>
      </c>
      <c r="BG777">
        <v>4.5999999999999999E-2</v>
      </c>
    </row>
    <row r="778" spans="1:59">
      <c r="A778">
        <v>0</v>
      </c>
      <c r="B778">
        <v>2</v>
      </c>
      <c r="C778">
        <v>2</v>
      </c>
      <c r="D778" t="s">
        <v>25022</v>
      </c>
      <c r="E778">
        <v>1357</v>
      </c>
      <c r="F778" t="s">
        <v>8494</v>
      </c>
      <c r="G778" t="s">
        <v>57</v>
      </c>
      <c r="H778">
        <v>1375260</v>
      </c>
      <c r="I778">
        <v>1375784</v>
      </c>
      <c r="J778" t="s">
        <v>288</v>
      </c>
      <c r="K778">
        <v>175</v>
      </c>
      <c r="L778" t="s">
        <v>108</v>
      </c>
      <c r="M778">
        <v>44</v>
      </c>
      <c r="N778" t="str">
        <f>HYPERLINK("Gene1357-zp_tree_all.dnd", "Gene1357-tree")</f>
        <v>Gene1357-tree</v>
      </c>
      <c r="O778">
        <v>7</v>
      </c>
      <c r="P778">
        <v>6</v>
      </c>
      <c r="Q778">
        <v>7</v>
      </c>
      <c r="R778">
        <v>6</v>
      </c>
      <c r="S778">
        <v>0.46154000000000001</v>
      </c>
      <c r="T778" t="s">
        <v>152</v>
      </c>
      <c r="U778" t="s">
        <v>90</v>
      </c>
      <c r="V778" t="s">
        <v>62</v>
      </c>
      <c r="W778" t="s">
        <v>62</v>
      </c>
      <c r="X778">
        <v>2</v>
      </c>
      <c r="Y778">
        <v>4</v>
      </c>
      <c r="Z778">
        <v>17</v>
      </c>
      <c r="AA778">
        <v>0.19048000000000001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12</v>
      </c>
      <c r="AK778">
        <v>0</v>
      </c>
      <c r="AL778">
        <v>9</v>
      </c>
      <c r="AM778">
        <v>8</v>
      </c>
      <c r="AN778">
        <v>20</v>
      </c>
      <c r="AO778">
        <v>13</v>
      </c>
      <c r="AP778">
        <v>8</v>
      </c>
      <c r="AQ778">
        <v>9</v>
      </c>
      <c r="AR778" t="s">
        <v>8495</v>
      </c>
      <c r="AS778" t="s">
        <v>8496</v>
      </c>
      <c r="AT778">
        <v>0.499</v>
      </c>
      <c r="AU778" t="s">
        <v>65</v>
      </c>
      <c r="AV778">
        <v>28</v>
      </c>
      <c r="AW778">
        <v>22</v>
      </c>
      <c r="AX778" t="s">
        <v>8497</v>
      </c>
      <c r="AY778">
        <v>5.0619999999999998E-2</v>
      </c>
      <c r="AZ778">
        <v>-4.64E-3</v>
      </c>
      <c r="BA778">
        <v>1.1339999999999999E-2</v>
      </c>
      <c r="BB778">
        <v>-8.0999999999999996E-4</v>
      </c>
      <c r="BC778">
        <v>0.22408</v>
      </c>
      <c r="BD778">
        <v>1</v>
      </c>
      <c r="BE778" t="s">
        <v>69</v>
      </c>
      <c r="BF778">
        <v>-1.34</v>
      </c>
      <c r="BG778">
        <v>-3.0720000000000001</v>
      </c>
    </row>
    <row r="779" spans="1:59">
      <c r="A779">
        <v>0</v>
      </c>
      <c r="B779">
        <v>2</v>
      </c>
      <c r="C779">
        <v>0</v>
      </c>
      <c r="D779" t="s">
        <v>25022</v>
      </c>
      <c r="E779">
        <v>3731</v>
      </c>
      <c r="F779" t="s">
        <v>21873</v>
      </c>
      <c r="G779" t="s">
        <v>62</v>
      </c>
      <c r="H779">
        <v>3708175</v>
      </c>
      <c r="I779">
        <v>3708699</v>
      </c>
      <c r="J779" t="s">
        <v>21874</v>
      </c>
      <c r="K779">
        <v>175</v>
      </c>
      <c r="L779" t="s">
        <v>108</v>
      </c>
      <c r="M779">
        <v>44</v>
      </c>
      <c r="N779" t="str">
        <f>HYPERLINK("Gene3731-zp_tree_all.dnd", "Gene3731-tree")</f>
        <v>Gene3731-tree</v>
      </c>
      <c r="O779">
        <v>4</v>
      </c>
      <c r="P779">
        <v>7</v>
      </c>
      <c r="Q779">
        <v>4</v>
      </c>
      <c r="R779">
        <v>7</v>
      </c>
      <c r="S779">
        <v>0.63636000000000004</v>
      </c>
      <c r="T779" t="s">
        <v>61</v>
      </c>
      <c r="U779" t="s">
        <v>152</v>
      </c>
      <c r="V779" t="s">
        <v>62</v>
      </c>
      <c r="W779" t="s">
        <v>62</v>
      </c>
      <c r="X779">
        <v>1</v>
      </c>
      <c r="Y779">
        <v>2</v>
      </c>
      <c r="Z779">
        <v>8</v>
      </c>
      <c r="AA779">
        <v>0.2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</v>
      </c>
      <c r="AH779">
        <v>0</v>
      </c>
      <c r="AI779">
        <v>2</v>
      </c>
      <c r="AJ779">
        <v>7</v>
      </c>
      <c r="AK779">
        <v>0.22222</v>
      </c>
      <c r="AL779">
        <v>9</v>
      </c>
      <c r="AM779">
        <v>5</v>
      </c>
      <c r="AN779">
        <v>21</v>
      </c>
      <c r="AO779">
        <v>9</v>
      </c>
      <c r="AP779">
        <v>5</v>
      </c>
      <c r="AQ779">
        <v>1</v>
      </c>
      <c r="AR779" t="s">
        <v>21875</v>
      </c>
      <c r="AS779" t="s">
        <v>21876</v>
      </c>
      <c r="AT779">
        <v>0.53400000000000003</v>
      </c>
      <c r="AU779" t="s">
        <v>65</v>
      </c>
      <c r="AV779">
        <v>26</v>
      </c>
      <c r="AW779">
        <v>10</v>
      </c>
      <c r="AX779" t="s">
        <v>21877</v>
      </c>
      <c r="AY779">
        <v>4.8210000000000003E-2</v>
      </c>
      <c r="AZ779">
        <v>-3.31E-3</v>
      </c>
      <c r="BA779">
        <v>5.3200000000000001E-3</v>
      </c>
      <c r="BB779">
        <v>-3.6999999999999999E-4</v>
      </c>
      <c r="BC779">
        <v>0.11031000000000001</v>
      </c>
      <c r="BD779">
        <v>1</v>
      </c>
      <c r="BE779" t="s">
        <v>69</v>
      </c>
      <c r="BF779">
        <v>-0.69399999999999995</v>
      </c>
      <c r="BG779">
        <v>-1.1000000000000001</v>
      </c>
    </row>
    <row r="780" spans="1:59">
      <c r="A780">
        <v>0</v>
      </c>
      <c r="B780">
        <v>0</v>
      </c>
      <c r="C780">
        <v>0</v>
      </c>
      <c r="D780" t="s">
        <v>25022</v>
      </c>
      <c r="E780">
        <v>1086</v>
      </c>
      <c r="F780" t="s">
        <v>6823</v>
      </c>
      <c r="G780" t="s">
        <v>57</v>
      </c>
      <c r="H780">
        <v>1124438</v>
      </c>
      <c r="I780">
        <v>1124962</v>
      </c>
      <c r="J780" t="s">
        <v>637</v>
      </c>
      <c r="K780">
        <v>175</v>
      </c>
      <c r="L780" t="s">
        <v>108</v>
      </c>
      <c r="M780">
        <v>44</v>
      </c>
      <c r="N780" t="str">
        <f>HYPERLINK("Gene1086-zp_tree_all.dnd", "Gene1086-tree")</f>
        <v>Gene1086-tree</v>
      </c>
      <c r="O780">
        <v>10</v>
      </c>
      <c r="P780">
        <v>2</v>
      </c>
      <c r="Q780">
        <v>10</v>
      </c>
      <c r="R780">
        <v>2</v>
      </c>
      <c r="S780">
        <v>0.16667000000000001</v>
      </c>
      <c r="T780" t="s">
        <v>117</v>
      </c>
      <c r="U780" t="s">
        <v>81</v>
      </c>
      <c r="V780" t="s">
        <v>62</v>
      </c>
      <c r="W780" t="s">
        <v>62</v>
      </c>
      <c r="X780">
        <v>0</v>
      </c>
      <c r="Y780">
        <v>0</v>
      </c>
      <c r="Z780">
        <v>3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</v>
      </c>
      <c r="AK780">
        <v>0</v>
      </c>
      <c r="AL780">
        <v>10</v>
      </c>
      <c r="AM780">
        <v>5</v>
      </c>
      <c r="AN780">
        <v>13</v>
      </c>
      <c r="AO780">
        <v>2</v>
      </c>
      <c r="AP780">
        <v>4</v>
      </c>
      <c r="AQ780">
        <v>1</v>
      </c>
      <c r="AR780" t="s">
        <v>6824</v>
      </c>
      <c r="AS780" t="s">
        <v>6825</v>
      </c>
      <c r="AT780">
        <v>0.187</v>
      </c>
      <c r="AU780" t="s">
        <v>65</v>
      </c>
      <c r="AV780">
        <v>17</v>
      </c>
      <c r="AW780">
        <v>3</v>
      </c>
      <c r="AX780" t="s">
        <v>6826</v>
      </c>
      <c r="AY780">
        <v>3.1579999999999997E-2</v>
      </c>
      <c r="AZ780">
        <v>-1.6100000000000001E-3</v>
      </c>
      <c r="BA780">
        <v>1.56E-3</v>
      </c>
      <c r="BB780">
        <v>-1.8000000000000001E-4</v>
      </c>
      <c r="BC780">
        <v>4.9439999999999998E-2</v>
      </c>
      <c r="BD780">
        <v>1</v>
      </c>
      <c r="BE780" t="s">
        <v>69</v>
      </c>
      <c r="BF780">
        <v>-1.1639999999999999</v>
      </c>
      <c r="BG780">
        <v>-2.226</v>
      </c>
    </row>
    <row r="781" spans="1:59">
      <c r="A781">
        <v>0</v>
      </c>
      <c r="B781">
        <v>5</v>
      </c>
      <c r="C781">
        <v>0</v>
      </c>
      <c r="D781" t="s">
        <v>25022</v>
      </c>
      <c r="E781">
        <v>2795</v>
      </c>
      <c r="F781" t="s">
        <v>16015</v>
      </c>
      <c r="G781" t="s">
        <v>62</v>
      </c>
      <c r="H781">
        <v>2742247</v>
      </c>
      <c r="I781">
        <v>2742774</v>
      </c>
      <c r="J781" t="s">
        <v>16016</v>
      </c>
      <c r="K781">
        <v>176</v>
      </c>
      <c r="L781" t="s">
        <v>5762</v>
      </c>
      <c r="M781">
        <v>43</v>
      </c>
      <c r="N781" t="str">
        <f>HYPERLINK("Gene2795-zp_tree_all.dnd", "Gene2795-tree")</f>
        <v>Gene2795-tree</v>
      </c>
      <c r="O781">
        <v>6</v>
      </c>
      <c r="P781">
        <v>7</v>
      </c>
      <c r="Q781">
        <v>6</v>
      </c>
      <c r="R781">
        <v>7</v>
      </c>
      <c r="S781">
        <v>0.53846000000000005</v>
      </c>
      <c r="T781" t="s">
        <v>90</v>
      </c>
      <c r="U781" t="s">
        <v>152</v>
      </c>
      <c r="V781" t="s">
        <v>62</v>
      </c>
      <c r="W781" t="s">
        <v>62</v>
      </c>
      <c r="X781">
        <v>2</v>
      </c>
      <c r="Y781">
        <v>5</v>
      </c>
      <c r="Z781">
        <v>10</v>
      </c>
      <c r="AA781">
        <v>0.33333000000000002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2</v>
      </c>
      <c r="AH781">
        <v>0</v>
      </c>
      <c r="AI781">
        <v>2</v>
      </c>
      <c r="AJ781">
        <v>10</v>
      </c>
      <c r="AK781">
        <v>0.16667000000000001</v>
      </c>
      <c r="AL781">
        <v>8</v>
      </c>
      <c r="AM781">
        <v>8</v>
      </c>
      <c r="AN781">
        <v>7</v>
      </c>
      <c r="AO781">
        <v>8</v>
      </c>
      <c r="AP781">
        <v>6</v>
      </c>
      <c r="AQ781">
        <v>8</v>
      </c>
      <c r="AR781" t="s">
        <v>16017</v>
      </c>
      <c r="AS781" t="s">
        <v>16018</v>
      </c>
      <c r="AT781">
        <v>0.13500000000000001</v>
      </c>
      <c r="AU781" t="s">
        <v>65</v>
      </c>
      <c r="AV781">
        <v>13</v>
      </c>
      <c r="AW781">
        <v>16</v>
      </c>
      <c r="AX781" t="s">
        <v>16019</v>
      </c>
      <c r="AY781">
        <v>3.2710000000000003E-2</v>
      </c>
      <c r="AZ781">
        <v>-1.7899999999999999E-3</v>
      </c>
      <c r="BA781">
        <v>8.5500000000000003E-3</v>
      </c>
      <c r="BB781">
        <v>-5.6999999999999998E-4</v>
      </c>
      <c r="BC781">
        <v>0.26145000000000002</v>
      </c>
      <c r="BD781">
        <v>1</v>
      </c>
      <c r="BE781" t="s">
        <v>69</v>
      </c>
      <c r="BF781">
        <v>-0.193</v>
      </c>
      <c r="BG781">
        <v>0.20699999999999999</v>
      </c>
    </row>
    <row r="782" spans="1:59">
      <c r="A782">
        <v>0</v>
      </c>
      <c r="B782">
        <v>4</v>
      </c>
      <c r="C782">
        <v>0</v>
      </c>
      <c r="D782" t="s">
        <v>25022</v>
      </c>
      <c r="E782">
        <v>2496</v>
      </c>
      <c r="F782" t="s">
        <v>14552</v>
      </c>
      <c r="G782" t="s">
        <v>62</v>
      </c>
      <c r="H782">
        <v>2488956</v>
      </c>
      <c r="I782">
        <v>2489483</v>
      </c>
      <c r="J782" t="s">
        <v>14553</v>
      </c>
      <c r="K782">
        <v>176</v>
      </c>
      <c r="L782" t="s">
        <v>108</v>
      </c>
      <c r="M782">
        <v>44</v>
      </c>
      <c r="N782" t="str">
        <f>HYPERLINK("Gene2496-zp_tree_all.dnd", "Gene2496-tree")</f>
        <v>Gene2496-tree</v>
      </c>
      <c r="O782">
        <v>9</v>
      </c>
      <c r="P782">
        <v>5</v>
      </c>
      <c r="Q782">
        <v>9</v>
      </c>
      <c r="R782">
        <v>5</v>
      </c>
      <c r="S782">
        <v>0.35714000000000001</v>
      </c>
      <c r="T782" t="s">
        <v>135</v>
      </c>
      <c r="U782" t="s">
        <v>199</v>
      </c>
      <c r="V782" t="s">
        <v>62</v>
      </c>
      <c r="W782" t="s">
        <v>62</v>
      </c>
      <c r="X782">
        <v>2</v>
      </c>
      <c r="Y782">
        <v>4</v>
      </c>
      <c r="Z782">
        <v>4</v>
      </c>
      <c r="AA782">
        <v>0.5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2</v>
      </c>
      <c r="AH782">
        <v>0</v>
      </c>
      <c r="AI782">
        <v>2</v>
      </c>
      <c r="AJ782">
        <v>4</v>
      </c>
      <c r="AK782">
        <v>0.33333000000000002</v>
      </c>
      <c r="AL782">
        <v>10</v>
      </c>
      <c r="AM782">
        <v>8</v>
      </c>
      <c r="AN782">
        <v>12</v>
      </c>
      <c r="AO782">
        <v>6</v>
      </c>
      <c r="AP782">
        <v>10</v>
      </c>
      <c r="AQ782">
        <v>2</v>
      </c>
      <c r="AR782" t="s">
        <v>14554</v>
      </c>
      <c r="AS782" t="s">
        <v>14555</v>
      </c>
      <c r="AT782">
        <v>0.67900000000000005</v>
      </c>
      <c r="AU782" t="s">
        <v>65</v>
      </c>
      <c r="AV782">
        <v>22</v>
      </c>
      <c r="AW782">
        <v>8</v>
      </c>
      <c r="AX782" t="s">
        <v>14556</v>
      </c>
      <c r="AY782">
        <v>4.0509999999999997E-2</v>
      </c>
      <c r="AZ782">
        <v>-2.14E-3</v>
      </c>
      <c r="BA782">
        <v>3.14E-3</v>
      </c>
      <c r="BB782">
        <v>-2.3000000000000001E-4</v>
      </c>
      <c r="BC782">
        <v>7.7490000000000003E-2</v>
      </c>
      <c r="BD782">
        <v>1</v>
      </c>
      <c r="BE782" t="s">
        <v>69</v>
      </c>
      <c r="BF782">
        <v>-0.61699999999999999</v>
      </c>
      <c r="BG782">
        <v>-1.46</v>
      </c>
    </row>
    <row r="783" spans="1:59">
      <c r="A783">
        <v>0</v>
      </c>
      <c r="B783">
        <v>0</v>
      </c>
      <c r="C783">
        <v>0</v>
      </c>
      <c r="D783" t="s">
        <v>25022</v>
      </c>
      <c r="E783">
        <v>3449</v>
      </c>
      <c r="F783" t="s">
        <v>20197</v>
      </c>
      <c r="G783" t="s">
        <v>62</v>
      </c>
      <c r="H783">
        <v>3409465</v>
      </c>
      <c r="I783">
        <v>3409992</v>
      </c>
      <c r="J783" t="s">
        <v>20198</v>
      </c>
      <c r="K783">
        <v>176</v>
      </c>
      <c r="L783" t="s">
        <v>108</v>
      </c>
      <c r="M783">
        <v>44</v>
      </c>
      <c r="N783" t="str">
        <f>HYPERLINK("Gene3449-zp_tree_all.dnd", "Gene3449-tree")</f>
        <v>Gene3449-tree</v>
      </c>
      <c r="O783">
        <v>9</v>
      </c>
      <c r="P783">
        <v>26</v>
      </c>
      <c r="Q783">
        <v>9</v>
      </c>
      <c r="R783">
        <v>7</v>
      </c>
      <c r="S783">
        <v>0.4375</v>
      </c>
      <c r="T783" t="s">
        <v>135</v>
      </c>
      <c r="U783" t="s">
        <v>191</v>
      </c>
      <c r="V783">
        <v>4.0529999999999999</v>
      </c>
      <c r="W783" t="s">
        <v>65</v>
      </c>
      <c r="X783">
        <v>0</v>
      </c>
      <c r="Y783">
        <v>0</v>
      </c>
      <c r="Z783">
        <v>12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10</v>
      </c>
      <c r="AK783">
        <v>0</v>
      </c>
      <c r="AL783">
        <v>11</v>
      </c>
      <c r="AM783">
        <v>9</v>
      </c>
      <c r="AN783">
        <v>18</v>
      </c>
      <c r="AO783">
        <v>10</v>
      </c>
      <c r="AP783">
        <v>16</v>
      </c>
      <c r="AQ783">
        <v>2</v>
      </c>
      <c r="AR783" t="s">
        <v>20199</v>
      </c>
      <c r="AS783" t="s">
        <v>20200</v>
      </c>
      <c r="AT783">
        <v>1.238</v>
      </c>
      <c r="AU783" t="s">
        <v>65</v>
      </c>
      <c r="AV783">
        <v>34</v>
      </c>
      <c r="AW783">
        <v>12</v>
      </c>
      <c r="AX783" t="s">
        <v>20201</v>
      </c>
      <c r="AY783">
        <v>6.7879999999999996E-2</v>
      </c>
      <c r="AZ783">
        <v>-3.1199999999999999E-3</v>
      </c>
      <c r="BA783">
        <v>4.6699999999999997E-3</v>
      </c>
      <c r="BB783">
        <v>-2.7999999999999998E-4</v>
      </c>
      <c r="BC783">
        <v>6.8830000000000002E-2</v>
      </c>
      <c r="BD783">
        <v>1</v>
      </c>
      <c r="BE783" t="s">
        <v>69</v>
      </c>
      <c r="BF783">
        <v>-9.9000000000000005E-2</v>
      </c>
      <c r="BG783">
        <v>-0.52900000000000003</v>
      </c>
    </row>
    <row r="784" spans="1:59">
      <c r="A784">
        <v>0</v>
      </c>
      <c r="B784">
        <v>0</v>
      </c>
      <c r="C784">
        <v>0</v>
      </c>
      <c r="D784" t="s">
        <v>25022</v>
      </c>
      <c r="E784">
        <v>937</v>
      </c>
      <c r="F784" t="s">
        <v>5869</v>
      </c>
      <c r="G784" t="s">
        <v>57</v>
      </c>
      <c r="H784">
        <v>979396</v>
      </c>
      <c r="I784">
        <v>979923</v>
      </c>
      <c r="J784" t="s">
        <v>5870</v>
      </c>
      <c r="K784">
        <v>176</v>
      </c>
      <c r="L784" t="s">
        <v>108</v>
      </c>
      <c r="M784">
        <v>44</v>
      </c>
      <c r="N784" t="str">
        <f>HYPERLINK("Gene937-zp_tree_all.dnd", "Gene937-tree")</f>
        <v>Gene937-tree</v>
      </c>
      <c r="O784">
        <v>30</v>
      </c>
      <c r="P784">
        <v>1</v>
      </c>
      <c r="Q784">
        <v>9</v>
      </c>
      <c r="R784">
        <v>1</v>
      </c>
      <c r="S784">
        <v>0.1</v>
      </c>
      <c r="T784" t="s">
        <v>2142</v>
      </c>
      <c r="U784" t="s">
        <v>175</v>
      </c>
      <c r="V784" t="s">
        <v>62</v>
      </c>
      <c r="W784" t="s">
        <v>62</v>
      </c>
      <c r="X784">
        <v>0</v>
      </c>
      <c r="Y784">
        <v>0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6</v>
      </c>
      <c r="AM784">
        <v>3</v>
      </c>
      <c r="AN784">
        <v>16</v>
      </c>
      <c r="AO784">
        <v>1</v>
      </c>
      <c r="AP784">
        <v>2</v>
      </c>
      <c r="AQ784">
        <v>1</v>
      </c>
      <c r="AR784" t="s">
        <v>5871</v>
      </c>
      <c r="AS784" t="s">
        <v>5872</v>
      </c>
      <c r="AT784">
        <v>0.59499999999999997</v>
      </c>
      <c r="AU784" t="s">
        <v>65</v>
      </c>
      <c r="AV784">
        <v>18</v>
      </c>
      <c r="AW784">
        <v>2</v>
      </c>
      <c r="AX784" t="s">
        <v>5873</v>
      </c>
      <c r="AY784">
        <v>3.3119999999999997E-2</v>
      </c>
      <c r="AZ784">
        <v>-4.0600000000000002E-3</v>
      </c>
      <c r="BA784">
        <v>1.65E-3</v>
      </c>
      <c r="BB784">
        <v>-2.2000000000000001E-4</v>
      </c>
      <c r="BC784">
        <v>4.9730000000000003E-2</v>
      </c>
      <c r="BD784">
        <v>1</v>
      </c>
      <c r="BE784" t="s">
        <v>69</v>
      </c>
      <c r="BF784">
        <v>-1.573</v>
      </c>
      <c r="BG784">
        <v>-1.6140000000000001</v>
      </c>
    </row>
    <row r="785" spans="1:59">
      <c r="A785">
        <v>0</v>
      </c>
      <c r="B785">
        <v>0</v>
      </c>
      <c r="C785">
        <v>0</v>
      </c>
      <c r="D785" t="s">
        <v>25022</v>
      </c>
      <c r="E785">
        <v>3302</v>
      </c>
      <c r="F785" t="s">
        <v>19270</v>
      </c>
      <c r="G785" t="s">
        <v>62</v>
      </c>
      <c r="H785">
        <v>3264681</v>
      </c>
      <c r="I785">
        <v>3265208</v>
      </c>
      <c r="J785" t="s">
        <v>3839</v>
      </c>
      <c r="K785">
        <v>176</v>
      </c>
      <c r="L785" t="s">
        <v>108</v>
      </c>
      <c r="M785">
        <v>44</v>
      </c>
      <c r="N785" t="str">
        <f>HYPERLINK("Gene3302-zp_tree_all.dnd", "Gene3302-tree")</f>
        <v>Gene3302-tree</v>
      </c>
      <c r="O785">
        <v>33</v>
      </c>
      <c r="P785">
        <v>2</v>
      </c>
      <c r="Q785">
        <v>11</v>
      </c>
      <c r="R785">
        <v>2</v>
      </c>
      <c r="S785">
        <v>0.15384999999999999</v>
      </c>
      <c r="T785" t="s">
        <v>466</v>
      </c>
      <c r="U785" t="s">
        <v>81</v>
      </c>
      <c r="V785" t="s">
        <v>62</v>
      </c>
      <c r="W785" t="s">
        <v>62</v>
      </c>
      <c r="X785">
        <v>0</v>
      </c>
      <c r="Y785">
        <v>0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</v>
      </c>
      <c r="AK785">
        <v>0</v>
      </c>
      <c r="AL785">
        <v>8</v>
      </c>
      <c r="AM785">
        <v>5</v>
      </c>
      <c r="AN785">
        <v>11</v>
      </c>
      <c r="AO785">
        <v>2</v>
      </c>
      <c r="AP785">
        <v>6</v>
      </c>
      <c r="AQ785">
        <v>0</v>
      </c>
      <c r="AR785" t="s">
        <v>19271</v>
      </c>
      <c r="AS785" t="s">
        <v>193</v>
      </c>
      <c r="AT785">
        <v>0.86699999999999999</v>
      </c>
      <c r="AU785" t="s">
        <v>65</v>
      </c>
      <c r="AV785">
        <v>17</v>
      </c>
      <c r="AW785">
        <v>2</v>
      </c>
      <c r="AX785" t="s">
        <v>19272</v>
      </c>
      <c r="AY785">
        <v>3.7749999999999999E-2</v>
      </c>
      <c r="AZ785">
        <v>-2.2899999999999999E-3</v>
      </c>
      <c r="BA785">
        <v>7.6000000000000004E-4</v>
      </c>
      <c r="BB785">
        <v>-1.2E-4</v>
      </c>
      <c r="BC785">
        <v>2.0080000000000001E-2</v>
      </c>
      <c r="BD785">
        <v>1</v>
      </c>
      <c r="BE785" t="s">
        <v>69</v>
      </c>
      <c r="BF785">
        <v>-0.83299999999999996</v>
      </c>
      <c r="BG785">
        <v>-0.80700000000000005</v>
      </c>
    </row>
    <row r="786" spans="1:59">
      <c r="A786">
        <v>0</v>
      </c>
      <c r="B786">
        <v>0</v>
      </c>
      <c r="C786">
        <v>0</v>
      </c>
      <c r="D786" t="s">
        <v>25022</v>
      </c>
      <c r="E786">
        <v>901</v>
      </c>
      <c r="F786" t="s">
        <v>5626</v>
      </c>
      <c r="G786" t="s">
        <v>57</v>
      </c>
      <c r="H786">
        <v>938731</v>
      </c>
      <c r="I786">
        <v>939258</v>
      </c>
      <c r="J786" t="s">
        <v>5627</v>
      </c>
      <c r="K786">
        <v>176</v>
      </c>
      <c r="L786" t="s">
        <v>59</v>
      </c>
      <c r="M786">
        <v>49</v>
      </c>
      <c r="N786" t="str">
        <f>HYPERLINK("Gene901-zp_tree_all.dnd", "Gene901-tree")</f>
        <v>Gene901-tree</v>
      </c>
      <c r="O786">
        <v>12</v>
      </c>
      <c r="P786">
        <v>0</v>
      </c>
      <c r="Q786">
        <v>12</v>
      </c>
      <c r="R786">
        <v>0</v>
      </c>
      <c r="S786">
        <v>0</v>
      </c>
      <c r="T786" t="s">
        <v>109</v>
      </c>
      <c r="U786" t="s">
        <v>62</v>
      </c>
      <c r="V786" t="s">
        <v>62</v>
      </c>
      <c r="W786" t="s">
        <v>62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8</v>
      </c>
      <c r="AM786">
        <v>5</v>
      </c>
      <c r="AN786">
        <v>20</v>
      </c>
      <c r="AO786">
        <v>0</v>
      </c>
      <c r="AP786">
        <v>9</v>
      </c>
      <c r="AQ786">
        <v>1</v>
      </c>
      <c r="AR786" t="s">
        <v>193</v>
      </c>
      <c r="AS786" t="s">
        <v>5628</v>
      </c>
      <c r="AT786">
        <v>0.53500000000000003</v>
      </c>
      <c r="AU786" t="s">
        <v>65</v>
      </c>
      <c r="AV786">
        <v>29</v>
      </c>
      <c r="AW786">
        <v>1</v>
      </c>
      <c r="AX786" t="s">
        <v>5629</v>
      </c>
      <c r="AY786">
        <v>6.4759999999999998E-2</v>
      </c>
      <c r="AZ786">
        <v>-4.4200000000000003E-3</v>
      </c>
      <c r="BA786">
        <v>7.2999999999999996E-4</v>
      </c>
      <c r="BB786">
        <v>-1.1E-4</v>
      </c>
      <c r="BC786">
        <v>1.123E-2</v>
      </c>
      <c r="BD786">
        <v>1</v>
      </c>
      <c r="BE786" t="s">
        <v>69</v>
      </c>
      <c r="BF786">
        <v>-2.2719999999999998</v>
      </c>
      <c r="BG786">
        <v>-2.4180000000000001</v>
      </c>
    </row>
    <row r="787" spans="1:59">
      <c r="A787">
        <v>0</v>
      </c>
      <c r="B787">
        <v>0</v>
      </c>
      <c r="C787">
        <v>2</v>
      </c>
      <c r="D787" t="s">
        <v>25022</v>
      </c>
      <c r="E787">
        <v>3935</v>
      </c>
      <c r="F787" t="s">
        <v>23094</v>
      </c>
      <c r="G787" t="s">
        <v>62</v>
      </c>
      <c r="H787">
        <v>3899275</v>
      </c>
      <c r="I787">
        <v>3899805</v>
      </c>
      <c r="J787" t="s">
        <v>2075</v>
      </c>
      <c r="K787">
        <v>177</v>
      </c>
      <c r="L787" t="s">
        <v>23095</v>
      </c>
      <c r="M787">
        <v>28</v>
      </c>
      <c r="N787" t="str">
        <f>HYPERLINK("Gene3935-zp_tree_all.dnd", "Gene3935-tree")</f>
        <v>Gene3935-tree</v>
      </c>
      <c r="O787">
        <v>4</v>
      </c>
      <c r="P787">
        <v>3</v>
      </c>
      <c r="Q787">
        <v>4</v>
      </c>
      <c r="R787">
        <v>3</v>
      </c>
      <c r="S787">
        <v>0.42857000000000001</v>
      </c>
      <c r="T787" t="s">
        <v>61</v>
      </c>
      <c r="U787" t="s">
        <v>324</v>
      </c>
      <c r="V787" t="s">
        <v>62</v>
      </c>
      <c r="W787" t="s">
        <v>62</v>
      </c>
      <c r="X787">
        <v>1</v>
      </c>
      <c r="Y787">
        <v>2</v>
      </c>
      <c r="Z787">
        <v>13</v>
      </c>
      <c r="AA787">
        <v>0.13333</v>
      </c>
      <c r="AB787">
        <v>0</v>
      </c>
      <c r="AC787">
        <v>0</v>
      </c>
      <c r="AD787">
        <v>0</v>
      </c>
      <c r="AE787">
        <v>7</v>
      </c>
      <c r="AF787">
        <v>0</v>
      </c>
      <c r="AG787">
        <v>0</v>
      </c>
      <c r="AH787">
        <v>0</v>
      </c>
      <c r="AI787">
        <v>0</v>
      </c>
      <c r="AJ787">
        <v>3</v>
      </c>
      <c r="AK787">
        <v>0</v>
      </c>
      <c r="AL787">
        <v>5</v>
      </c>
      <c r="AM787">
        <v>4</v>
      </c>
      <c r="AN787">
        <v>5</v>
      </c>
      <c r="AO787">
        <v>2</v>
      </c>
      <c r="AP787">
        <v>14</v>
      </c>
      <c r="AQ787">
        <v>14</v>
      </c>
      <c r="AR787" t="s">
        <v>23096</v>
      </c>
      <c r="AS787" t="s">
        <v>23097</v>
      </c>
      <c r="AT787">
        <v>0.502</v>
      </c>
      <c r="AU787" t="s">
        <v>65</v>
      </c>
      <c r="AV787">
        <v>19</v>
      </c>
      <c r="AW787">
        <v>16</v>
      </c>
      <c r="AX787" t="s">
        <v>23098</v>
      </c>
      <c r="AY787">
        <v>6.3E-2</v>
      </c>
      <c r="AZ787">
        <v>-1.0710000000000001E-2</v>
      </c>
      <c r="BA787">
        <v>1.8450000000000001E-2</v>
      </c>
      <c r="BB787">
        <v>-2.1099999999999999E-3</v>
      </c>
      <c r="BC787">
        <v>0.29282999999999998</v>
      </c>
      <c r="BD787">
        <v>1</v>
      </c>
      <c r="BE787" t="s">
        <v>69</v>
      </c>
      <c r="BF787">
        <v>-1.421</v>
      </c>
      <c r="BG787">
        <v>0.88900000000000001</v>
      </c>
    </row>
    <row r="788" spans="1:59">
      <c r="A788">
        <v>0</v>
      </c>
      <c r="B788">
        <v>0</v>
      </c>
      <c r="C788">
        <v>0</v>
      </c>
      <c r="D788" t="s">
        <v>25022</v>
      </c>
      <c r="E788">
        <v>2244</v>
      </c>
      <c r="F788" t="s">
        <v>13048</v>
      </c>
      <c r="G788" t="s">
        <v>62</v>
      </c>
      <c r="H788">
        <v>2273992</v>
      </c>
      <c r="I788">
        <v>2274522</v>
      </c>
      <c r="J788" t="s">
        <v>13049</v>
      </c>
      <c r="K788">
        <v>177</v>
      </c>
      <c r="L788" t="s">
        <v>13050</v>
      </c>
      <c r="M788">
        <v>24</v>
      </c>
      <c r="N788" t="str">
        <f>HYPERLINK("Gene2244-zp_tree_all.dnd", "Gene2244-tree")</f>
        <v>Gene2244-tree</v>
      </c>
      <c r="O788">
        <v>1</v>
      </c>
      <c r="P788">
        <v>3</v>
      </c>
      <c r="Q788">
        <v>1</v>
      </c>
      <c r="R788">
        <v>3</v>
      </c>
      <c r="S788">
        <v>0.75</v>
      </c>
      <c r="T788" t="s">
        <v>175</v>
      </c>
      <c r="U788" t="s">
        <v>324</v>
      </c>
      <c r="V788" t="s">
        <v>62</v>
      </c>
      <c r="W788" t="s">
        <v>62</v>
      </c>
      <c r="X788">
        <v>0</v>
      </c>
      <c r="Y788">
        <v>0</v>
      </c>
      <c r="Z788">
        <v>5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4</v>
      </c>
      <c r="AK788">
        <v>0</v>
      </c>
      <c r="AL788">
        <v>3</v>
      </c>
      <c r="AM788">
        <v>1</v>
      </c>
      <c r="AN788">
        <v>5</v>
      </c>
      <c r="AO788">
        <v>4</v>
      </c>
      <c r="AP788">
        <v>2</v>
      </c>
      <c r="AQ788">
        <v>1</v>
      </c>
      <c r="AR788" t="s">
        <v>13051</v>
      </c>
      <c r="AS788" t="s">
        <v>13052</v>
      </c>
      <c r="AT788">
        <v>0.33300000000000002</v>
      </c>
      <c r="AU788" t="s">
        <v>65</v>
      </c>
      <c r="AV788">
        <v>7</v>
      </c>
      <c r="AW788">
        <v>5</v>
      </c>
      <c r="AX788" t="s">
        <v>13053</v>
      </c>
      <c r="AY788">
        <v>3.551E-2</v>
      </c>
      <c r="AZ788">
        <v>-8.1600000000000006E-3</v>
      </c>
      <c r="BA788">
        <v>6.3899999999999998E-3</v>
      </c>
      <c r="BB788">
        <v>-1.4599999999999999E-3</v>
      </c>
      <c r="BC788">
        <v>0.17993999999999999</v>
      </c>
      <c r="BD788">
        <v>1</v>
      </c>
      <c r="BE788" t="s">
        <v>69</v>
      </c>
      <c r="BF788">
        <v>0.70399999999999996</v>
      </c>
      <c r="BG788">
        <v>-0.28199999999999997</v>
      </c>
    </row>
    <row r="789" spans="1:59">
      <c r="A789">
        <v>0</v>
      </c>
      <c r="B789">
        <v>0</v>
      </c>
      <c r="C789">
        <v>0</v>
      </c>
      <c r="D789" t="s">
        <v>25022</v>
      </c>
      <c r="E789">
        <v>227</v>
      </c>
      <c r="F789" t="s">
        <v>1536</v>
      </c>
      <c r="G789" t="s">
        <v>57</v>
      </c>
      <c r="H789">
        <v>247744</v>
      </c>
      <c r="I789">
        <v>248274</v>
      </c>
      <c r="J789" t="s">
        <v>1537</v>
      </c>
      <c r="K789">
        <v>177</v>
      </c>
      <c r="L789" t="s">
        <v>108</v>
      </c>
      <c r="M789">
        <v>44</v>
      </c>
      <c r="N789" t="str">
        <f>HYPERLINK("Gene227-zp_tree_all.dnd", "Gene227-tree")</f>
        <v>Gene227-tree</v>
      </c>
      <c r="O789">
        <v>7</v>
      </c>
      <c r="P789">
        <v>2</v>
      </c>
      <c r="Q789">
        <v>7</v>
      </c>
      <c r="R789">
        <v>2</v>
      </c>
      <c r="S789">
        <v>0.22222</v>
      </c>
      <c r="T789" t="s">
        <v>152</v>
      </c>
      <c r="U789" t="s">
        <v>81</v>
      </c>
      <c r="V789" t="s">
        <v>62</v>
      </c>
      <c r="W789" t="s">
        <v>62</v>
      </c>
      <c r="X789">
        <v>0</v>
      </c>
      <c r="Y789">
        <v>0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</v>
      </c>
      <c r="AK789">
        <v>0</v>
      </c>
      <c r="AL789">
        <v>7</v>
      </c>
      <c r="AM789">
        <v>5</v>
      </c>
      <c r="AN789">
        <v>9</v>
      </c>
      <c r="AO789">
        <v>2</v>
      </c>
      <c r="AP789">
        <v>5</v>
      </c>
      <c r="AQ789">
        <v>1</v>
      </c>
      <c r="AR789" t="s">
        <v>1538</v>
      </c>
      <c r="AS789" t="s">
        <v>1539</v>
      </c>
      <c r="AT789">
        <v>4.9000000000000002E-2</v>
      </c>
      <c r="AU789" t="s">
        <v>65</v>
      </c>
      <c r="AV789">
        <v>14</v>
      </c>
      <c r="AW789">
        <v>3</v>
      </c>
      <c r="AX789" t="s">
        <v>1540</v>
      </c>
      <c r="AY789">
        <v>2.8389999999999999E-2</v>
      </c>
      <c r="AZ789">
        <v>-1.7799999999999999E-3</v>
      </c>
      <c r="BA789">
        <v>2.4599999999999999E-3</v>
      </c>
      <c r="BB789">
        <v>-2.4000000000000001E-4</v>
      </c>
      <c r="BC789">
        <v>8.6749999999999994E-2</v>
      </c>
      <c r="BD789">
        <v>1</v>
      </c>
      <c r="BE789" t="s">
        <v>69</v>
      </c>
      <c r="BF789">
        <v>0.433</v>
      </c>
      <c r="BG789">
        <v>-0.78600000000000003</v>
      </c>
    </row>
    <row r="790" spans="1:59">
      <c r="A790">
        <v>0</v>
      </c>
      <c r="B790">
        <v>0</v>
      </c>
      <c r="C790">
        <v>2</v>
      </c>
      <c r="D790" t="s">
        <v>25022</v>
      </c>
      <c r="E790">
        <v>2977</v>
      </c>
      <c r="F790" t="s">
        <v>17174</v>
      </c>
      <c r="G790" t="s">
        <v>62</v>
      </c>
      <c r="H790">
        <v>2925103</v>
      </c>
      <c r="I790">
        <v>2925633</v>
      </c>
      <c r="J790" t="s">
        <v>6103</v>
      </c>
      <c r="K790">
        <v>177</v>
      </c>
      <c r="L790" t="s">
        <v>698</v>
      </c>
      <c r="M790">
        <v>47</v>
      </c>
      <c r="N790" t="str">
        <f>HYPERLINK("Gene2977-zp_tree_all.dnd", "Gene2977-tree")</f>
        <v>Gene2977-tree</v>
      </c>
      <c r="O790">
        <v>11</v>
      </c>
      <c r="P790">
        <v>2</v>
      </c>
      <c r="Q790">
        <v>11</v>
      </c>
      <c r="R790">
        <v>2</v>
      </c>
      <c r="S790">
        <v>0.15384999999999999</v>
      </c>
      <c r="T790" t="s">
        <v>73</v>
      </c>
      <c r="U790" t="s">
        <v>81</v>
      </c>
      <c r="V790" t="s">
        <v>62</v>
      </c>
      <c r="W790" t="s">
        <v>62</v>
      </c>
      <c r="X790">
        <v>1</v>
      </c>
      <c r="Y790">
        <v>2</v>
      </c>
      <c r="Z790">
        <v>4</v>
      </c>
      <c r="AA790">
        <v>0.33333000000000002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</v>
      </c>
      <c r="AK790">
        <v>0</v>
      </c>
      <c r="AL790">
        <v>10</v>
      </c>
      <c r="AM790">
        <v>7</v>
      </c>
      <c r="AN790">
        <v>23</v>
      </c>
      <c r="AO790">
        <v>2</v>
      </c>
      <c r="AP790">
        <v>26</v>
      </c>
      <c r="AQ790">
        <v>5</v>
      </c>
      <c r="AR790" t="s">
        <v>17175</v>
      </c>
      <c r="AS790" t="s">
        <v>17176</v>
      </c>
      <c r="AT790">
        <v>0.23200000000000001</v>
      </c>
      <c r="AU790" t="s">
        <v>65</v>
      </c>
      <c r="AV790">
        <v>49</v>
      </c>
      <c r="AW790">
        <v>7</v>
      </c>
      <c r="AX790" t="s">
        <v>17177</v>
      </c>
      <c r="AY790">
        <v>9.9820000000000006E-2</v>
      </c>
      <c r="AZ790">
        <v>-6.8900000000000003E-3</v>
      </c>
      <c r="BA790">
        <v>5.5399999999999998E-3</v>
      </c>
      <c r="BB790">
        <v>-5.8E-4</v>
      </c>
      <c r="BC790">
        <v>5.5500000000000001E-2</v>
      </c>
      <c r="BD790">
        <v>1</v>
      </c>
      <c r="BE790" t="s">
        <v>69</v>
      </c>
      <c r="BF790">
        <v>-0.58199999999999996</v>
      </c>
      <c r="BG790">
        <v>0.25800000000000001</v>
      </c>
    </row>
    <row r="791" spans="1:59">
      <c r="A791">
        <v>0</v>
      </c>
      <c r="B791">
        <v>0</v>
      </c>
      <c r="C791">
        <v>0</v>
      </c>
      <c r="D791" t="s">
        <v>25022</v>
      </c>
      <c r="E791">
        <v>2274</v>
      </c>
      <c r="F791" t="s">
        <v>13157</v>
      </c>
      <c r="G791" t="s">
        <v>62</v>
      </c>
      <c r="H791">
        <v>2297987</v>
      </c>
      <c r="I791">
        <v>2298517</v>
      </c>
      <c r="J791" t="s">
        <v>13158</v>
      </c>
      <c r="K791">
        <v>177</v>
      </c>
      <c r="L791" t="s">
        <v>108</v>
      </c>
      <c r="M791">
        <v>44</v>
      </c>
      <c r="N791" t="str">
        <f>HYPERLINK("Gene2274-zp_tree_all.dnd", "Gene2274-tree")</f>
        <v>Gene2274-tree</v>
      </c>
      <c r="O791">
        <v>6</v>
      </c>
      <c r="P791">
        <v>4</v>
      </c>
      <c r="Q791">
        <v>6</v>
      </c>
      <c r="R791">
        <v>4</v>
      </c>
      <c r="S791">
        <v>0.4</v>
      </c>
      <c r="T791" t="s">
        <v>90</v>
      </c>
      <c r="U791" t="s">
        <v>61</v>
      </c>
      <c r="V791" t="s">
        <v>62</v>
      </c>
      <c r="W791" t="s">
        <v>62</v>
      </c>
      <c r="X791">
        <v>0</v>
      </c>
      <c r="Y791">
        <v>0</v>
      </c>
      <c r="Z791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4</v>
      </c>
      <c r="AK791">
        <v>0</v>
      </c>
      <c r="AL791">
        <v>9</v>
      </c>
      <c r="AM791">
        <v>4</v>
      </c>
      <c r="AN791">
        <v>14</v>
      </c>
      <c r="AO791">
        <v>4</v>
      </c>
      <c r="AP791">
        <v>7</v>
      </c>
      <c r="AQ791">
        <v>0</v>
      </c>
      <c r="AR791" t="s">
        <v>13159</v>
      </c>
      <c r="AS791" t="s">
        <v>193</v>
      </c>
      <c r="AT791">
        <v>1.37</v>
      </c>
      <c r="AU791" t="s">
        <v>65</v>
      </c>
      <c r="AV791">
        <v>21</v>
      </c>
      <c r="AW791">
        <v>4</v>
      </c>
      <c r="AX791" t="s">
        <v>13160</v>
      </c>
      <c r="AY791">
        <v>4.1230000000000003E-2</v>
      </c>
      <c r="AZ791">
        <v>-2.31E-3</v>
      </c>
      <c r="BA791">
        <v>1.9400000000000001E-3</v>
      </c>
      <c r="BB791">
        <v>-2.4000000000000001E-4</v>
      </c>
      <c r="BC791">
        <v>4.7160000000000001E-2</v>
      </c>
      <c r="BD791">
        <v>1</v>
      </c>
      <c r="BE791" t="s">
        <v>69</v>
      </c>
      <c r="BF791">
        <v>-1.1020000000000001</v>
      </c>
      <c r="BG791">
        <v>-1.0469999999999999</v>
      </c>
    </row>
    <row r="792" spans="1:59">
      <c r="A792">
        <v>0</v>
      </c>
      <c r="B792">
        <v>4</v>
      </c>
      <c r="C792">
        <v>0</v>
      </c>
      <c r="D792" t="s">
        <v>25022</v>
      </c>
      <c r="E792">
        <v>2260</v>
      </c>
      <c r="F792" t="s">
        <v>13063</v>
      </c>
      <c r="G792" t="s">
        <v>62</v>
      </c>
      <c r="H792">
        <v>2287532</v>
      </c>
      <c r="I792">
        <v>2288062</v>
      </c>
      <c r="J792" t="s">
        <v>13064</v>
      </c>
      <c r="K792">
        <v>177</v>
      </c>
      <c r="L792" t="s">
        <v>13065</v>
      </c>
      <c r="M792">
        <v>46</v>
      </c>
      <c r="N792" t="str">
        <f>HYPERLINK("Gene2260-zp_tree_all.dnd", "Gene2260-tree")</f>
        <v>Gene2260-tree</v>
      </c>
      <c r="O792">
        <v>10</v>
      </c>
      <c r="P792">
        <v>5</v>
      </c>
      <c r="Q792">
        <v>10</v>
      </c>
      <c r="R792">
        <v>5</v>
      </c>
      <c r="S792">
        <v>0.33333000000000002</v>
      </c>
      <c r="T792" t="s">
        <v>117</v>
      </c>
      <c r="U792" t="s">
        <v>199</v>
      </c>
      <c r="V792" t="s">
        <v>62</v>
      </c>
      <c r="W792" t="s">
        <v>62</v>
      </c>
      <c r="X792">
        <v>2</v>
      </c>
      <c r="Y792">
        <v>4</v>
      </c>
      <c r="Z792">
        <v>6</v>
      </c>
      <c r="AA792">
        <v>0.4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2</v>
      </c>
      <c r="AH792">
        <v>0</v>
      </c>
      <c r="AI792">
        <v>2</v>
      </c>
      <c r="AJ792">
        <v>6</v>
      </c>
      <c r="AK792">
        <v>0.25</v>
      </c>
      <c r="AL792">
        <v>12</v>
      </c>
      <c r="AM792">
        <v>4</v>
      </c>
      <c r="AN792">
        <v>24</v>
      </c>
      <c r="AO792">
        <v>8</v>
      </c>
      <c r="AP792">
        <v>23</v>
      </c>
      <c r="AQ792">
        <v>2</v>
      </c>
      <c r="AR792" t="s">
        <v>13066</v>
      </c>
      <c r="AS792" t="s">
        <v>13067</v>
      </c>
      <c r="AT792">
        <v>0.73699999999999999</v>
      </c>
      <c r="AU792" t="s">
        <v>65</v>
      </c>
      <c r="AV792">
        <v>47</v>
      </c>
      <c r="AW792">
        <v>10</v>
      </c>
      <c r="AX792" t="s">
        <v>13068</v>
      </c>
      <c r="AY792">
        <v>8.9819999999999997E-2</v>
      </c>
      <c r="AZ792">
        <v>-8.1700000000000002E-3</v>
      </c>
      <c r="BA792">
        <v>3.8800000000000002E-3</v>
      </c>
      <c r="BB792">
        <v>-3.6000000000000002E-4</v>
      </c>
      <c r="BC792">
        <v>4.3240000000000001E-2</v>
      </c>
      <c r="BD792">
        <v>1</v>
      </c>
      <c r="BE792" t="s">
        <v>69</v>
      </c>
      <c r="BF792">
        <v>-1.123</v>
      </c>
      <c r="BG792">
        <v>-1.0229999999999999</v>
      </c>
    </row>
    <row r="793" spans="1:59">
      <c r="A793">
        <v>0</v>
      </c>
      <c r="B793">
        <v>0</v>
      </c>
      <c r="C793">
        <v>0</v>
      </c>
      <c r="D793" t="s">
        <v>25022</v>
      </c>
      <c r="E793">
        <v>101</v>
      </c>
      <c r="F793" t="s">
        <v>785</v>
      </c>
      <c r="G793" t="s">
        <v>57</v>
      </c>
      <c r="H793">
        <v>117890</v>
      </c>
      <c r="I793">
        <v>118420</v>
      </c>
      <c r="J793" t="s">
        <v>786</v>
      </c>
      <c r="K793">
        <v>177</v>
      </c>
      <c r="L793" t="s">
        <v>59</v>
      </c>
      <c r="M793">
        <v>49</v>
      </c>
      <c r="N793" t="str">
        <f>HYPERLINK("Gene101-zp_tree_all.dnd", "Gene101-tree")</f>
        <v>Gene101-tree</v>
      </c>
      <c r="O793">
        <v>17</v>
      </c>
      <c r="P793">
        <v>1</v>
      </c>
      <c r="Q793">
        <v>17</v>
      </c>
      <c r="R793">
        <v>1</v>
      </c>
      <c r="S793">
        <v>5.5559999999999998E-2</v>
      </c>
      <c r="T793" t="s">
        <v>266</v>
      </c>
      <c r="U793" t="s">
        <v>175</v>
      </c>
      <c r="V793" t="s">
        <v>62</v>
      </c>
      <c r="W793" t="s">
        <v>62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14</v>
      </c>
      <c r="AM793">
        <v>9</v>
      </c>
      <c r="AN793">
        <v>27</v>
      </c>
      <c r="AO793">
        <v>1</v>
      </c>
      <c r="AP793">
        <v>26</v>
      </c>
      <c r="AQ793">
        <v>0</v>
      </c>
      <c r="AR793" t="s">
        <v>787</v>
      </c>
      <c r="AS793" t="s">
        <v>193</v>
      </c>
      <c r="AT793">
        <v>0.26800000000000002</v>
      </c>
      <c r="AU793" t="s">
        <v>65</v>
      </c>
      <c r="AV793">
        <v>53</v>
      </c>
      <c r="AW793">
        <v>1</v>
      </c>
      <c r="AX793" t="s">
        <v>788</v>
      </c>
      <c r="AY793">
        <v>0.10498</v>
      </c>
      <c r="AZ793">
        <v>-5.5700000000000003E-3</v>
      </c>
      <c r="BA793">
        <v>2.7E-4</v>
      </c>
      <c r="BB793">
        <v>-6.0000000000000002E-5</v>
      </c>
      <c r="BC793">
        <v>2.5699999999999998E-3</v>
      </c>
      <c r="BD793">
        <v>1</v>
      </c>
      <c r="BE793" t="s">
        <v>69</v>
      </c>
      <c r="BF793">
        <v>-0.92900000000000005</v>
      </c>
      <c r="BG793">
        <v>-0.81599999999999995</v>
      </c>
    </row>
    <row r="794" spans="1:59">
      <c r="A794">
        <v>0</v>
      </c>
      <c r="B794">
        <v>3</v>
      </c>
      <c r="C794">
        <v>4</v>
      </c>
      <c r="D794" t="s">
        <v>25022</v>
      </c>
      <c r="E794">
        <v>921</v>
      </c>
      <c r="F794" t="s">
        <v>5760</v>
      </c>
      <c r="G794" t="s">
        <v>57</v>
      </c>
      <c r="H794">
        <v>965261</v>
      </c>
      <c r="I794">
        <v>965794</v>
      </c>
      <c r="J794" t="s">
        <v>5761</v>
      </c>
      <c r="K794">
        <v>178</v>
      </c>
      <c r="L794" t="s">
        <v>5762</v>
      </c>
      <c r="M794">
        <v>43</v>
      </c>
      <c r="N794" t="str">
        <f>HYPERLINK("Gene921-zp_tree_all.dnd", "Gene921-tree")</f>
        <v>Gene921-tree</v>
      </c>
      <c r="O794">
        <v>3</v>
      </c>
      <c r="P794">
        <v>8</v>
      </c>
      <c r="Q794">
        <v>3</v>
      </c>
      <c r="R794">
        <v>8</v>
      </c>
      <c r="S794">
        <v>0.72726999999999997</v>
      </c>
      <c r="T794" t="s">
        <v>324</v>
      </c>
      <c r="U794" t="s">
        <v>136</v>
      </c>
      <c r="V794" t="s">
        <v>62</v>
      </c>
      <c r="W794" t="s">
        <v>62</v>
      </c>
      <c r="X794">
        <v>3</v>
      </c>
      <c r="Y794">
        <v>7</v>
      </c>
      <c r="Z794">
        <v>18</v>
      </c>
      <c r="AA794">
        <v>0.28000000000000003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</v>
      </c>
      <c r="AH794">
        <v>4</v>
      </c>
      <c r="AI794">
        <v>6</v>
      </c>
      <c r="AJ794">
        <v>13</v>
      </c>
      <c r="AK794">
        <v>0.31579000000000002</v>
      </c>
      <c r="AL794">
        <v>10</v>
      </c>
      <c r="AM794">
        <v>6</v>
      </c>
      <c r="AN794">
        <v>19</v>
      </c>
      <c r="AO794">
        <v>19</v>
      </c>
      <c r="AP794">
        <v>3</v>
      </c>
      <c r="AQ794">
        <v>6</v>
      </c>
      <c r="AR794" t="s">
        <v>5763</v>
      </c>
      <c r="AS794" t="s">
        <v>5764</v>
      </c>
      <c r="AT794">
        <v>0.57699999999999996</v>
      </c>
      <c r="AU794" t="s">
        <v>65</v>
      </c>
      <c r="AV794">
        <v>22</v>
      </c>
      <c r="AW794">
        <v>25</v>
      </c>
      <c r="AX794" t="s">
        <v>5765</v>
      </c>
      <c r="AY794">
        <v>4.0379999999999999E-2</v>
      </c>
      <c r="AZ794">
        <v>-2.48E-3</v>
      </c>
      <c r="BA794">
        <v>1.372E-2</v>
      </c>
      <c r="BB794">
        <v>-1.0300000000000001E-3</v>
      </c>
      <c r="BC794">
        <v>0.33981</v>
      </c>
      <c r="BD794">
        <v>1</v>
      </c>
      <c r="BE794" t="s">
        <v>69</v>
      </c>
      <c r="BF794">
        <v>-0.68400000000000005</v>
      </c>
      <c r="BG794">
        <v>-0.83599999999999997</v>
      </c>
    </row>
    <row r="795" spans="1:59">
      <c r="A795">
        <v>0</v>
      </c>
      <c r="B795">
        <v>2</v>
      </c>
      <c r="C795">
        <v>0</v>
      </c>
      <c r="D795" t="s">
        <v>25022</v>
      </c>
      <c r="E795">
        <v>3057</v>
      </c>
      <c r="F795" t="s">
        <v>17696</v>
      </c>
      <c r="G795" t="s">
        <v>62</v>
      </c>
      <c r="H795">
        <v>3008252</v>
      </c>
      <c r="I795">
        <v>3008785</v>
      </c>
      <c r="J795" t="s">
        <v>17697</v>
      </c>
      <c r="K795">
        <v>178</v>
      </c>
      <c r="L795" t="s">
        <v>2555</v>
      </c>
      <c r="M795">
        <v>34</v>
      </c>
      <c r="N795" t="str">
        <f>HYPERLINK("Gene3057-zp_tree_all.dnd", "Gene3057-tree")</f>
        <v>Gene3057-tree</v>
      </c>
      <c r="O795">
        <v>6</v>
      </c>
      <c r="P795">
        <v>3</v>
      </c>
      <c r="Q795">
        <v>6</v>
      </c>
      <c r="R795">
        <v>3</v>
      </c>
      <c r="S795">
        <v>0.33333000000000002</v>
      </c>
      <c r="T795" t="s">
        <v>90</v>
      </c>
      <c r="U795" t="s">
        <v>324</v>
      </c>
      <c r="V795" t="s">
        <v>62</v>
      </c>
      <c r="W795" t="s">
        <v>62</v>
      </c>
      <c r="X795">
        <v>1</v>
      </c>
      <c r="Y795">
        <v>2</v>
      </c>
      <c r="Z795">
        <v>5</v>
      </c>
      <c r="AA795">
        <v>0.28571000000000002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2</v>
      </c>
      <c r="AH795">
        <v>0</v>
      </c>
      <c r="AI795">
        <v>2</v>
      </c>
      <c r="AJ795">
        <v>4</v>
      </c>
      <c r="AK795">
        <v>0.33333000000000002</v>
      </c>
      <c r="AL795">
        <v>5</v>
      </c>
      <c r="AM795">
        <v>3</v>
      </c>
      <c r="AN795">
        <v>5</v>
      </c>
      <c r="AO795">
        <v>4</v>
      </c>
      <c r="AP795">
        <v>4</v>
      </c>
      <c r="AQ795">
        <v>3</v>
      </c>
      <c r="AR795" t="s">
        <v>17698</v>
      </c>
      <c r="AS795" t="s">
        <v>17699</v>
      </c>
      <c r="AT795">
        <v>5.2999999999999999E-2</v>
      </c>
      <c r="AU795" t="s">
        <v>65</v>
      </c>
      <c r="AV795">
        <v>9</v>
      </c>
      <c r="AW795">
        <v>7</v>
      </c>
      <c r="AX795" t="s">
        <v>17700</v>
      </c>
      <c r="AY795">
        <v>2.3029999999999998E-2</v>
      </c>
      <c r="AZ795">
        <v>-1.6299999999999999E-3</v>
      </c>
      <c r="BA795">
        <v>4.7699999999999999E-3</v>
      </c>
      <c r="BB795">
        <v>-5.5999999999999995E-4</v>
      </c>
      <c r="BC795">
        <v>0.20691999999999999</v>
      </c>
      <c r="BD795">
        <v>0.98</v>
      </c>
      <c r="BE795" t="s">
        <v>69</v>
      </c>
      <c r="BF795">
        <v>-0.78400000000000003</v>
      </c>
      <c r="BG795">
        <v>0.22800000000000001</v>
      </c>
    </row>
    <row r="796" spans="1:59">
      <c r="A796">
        <v>0</v>
      </c>
      <c r="B796">
        <v>0</v>
      </c>
      <c r="C796">
        <v>2</v>
      </c>
      <c r="D796" t="s">
        <v>25022</v>
      </c>
      <c r="E796">
        <v>2743</v>
      </c>
      <c r="F796" t="s">
        <v>15768</v>
      </c>
      <c r="G796" t="s">
        <v>62</v>
      </c>
      <c r="H796">
        <v>2700036</v>
      </c>
      <c r="I796">
        <v>2700569</v>
      </c>
      <c r="J796" t="s">
        <v>15769</v>
      </c>
      <c r="K796">
        <v>178</v>
      </c>
      <c r="L796" t="s">
        <v>15770</v>
      </c>
      <c r="M796">
        <v>29</v>
      </c>
      <c r="N796" t="str">
        <f>HYPERLINK("Gene2743-zp_tree_all.dnd", "Gene2743-tree")</f>
        <v>Gene2743-tree</v>
      </c>
      <c r="O796">
        <v>1</v>
      </c>
      <c r="P796">
        <v>24</v>
      </c>
      <c r="Q796">
        <v>1</v>
      </c>
      <c r="R796">
        <v>6</v>
      </c>
      <c r="S796">
        <v>0.85714000000000001</v>
      </c>
      <c r="T796" t="s">
        <v>175</v>
      </c>
      <c r="U796" t="s">
        <v>2675</v>
      </c>
      <c r="V796">
        <v>2.9319999999999999</v>
      </c>
      <c r="W796" t="s">
        <v>267</v>
      </c>
      <c r="X796">
        <v>1</v>
      </c>
      <c r="Y796">
        <v>2</v>
      </c>
      <c r="Z796">
        <v>16</v>
      </c>
      <c r="AA796">
        <v>0.11111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7</v>
      </c>
      <c r="AK796">
        <v>0</v>
      </c>
      <c r="AL796">
        <v>7</v>
      </c>
      <c r="AM796">
        <v>4</v>
      </c>
      <c r="AN796">
        <v>4</v>
      </c>
      <c r="AO796">
        <v>7</v>
      </c>
      <c r="AP796">
        <v>17</v>
      </c>
      <c r="AQ796">
        <v>11</v>
      </c>
      <c r="AR796" t="s">
        <v>15771</v>
      </c>
      <c r="AS796" t="s">
        <v>15772</v>
      </c>
      <c r="AT796">
        <v>0.85399999999999998</v>
      </c>
      <c r="AU796" t="s">
        <v>65</v>
      </c>
      <c r="AV796">
        <v>21</v>
      </c>
      <c r="AW796">
        <v>18</v>
      </c>
      <c r="AX796" t="s">
        <v>15773</v>
      </c>
      <c r="AY796">
        <v>9.2929999999999999E-2</v>
      </c>
      <c r="AZ796">
        <v>-1.149E-2</v>
      </c>
      <c r="BA796">
        <v>1.7680000000000001E-2</v>
      </c>
      <c r="BB796">
        <v>-1.6999999999999999E-3</v>
      </c>
      <c r="BC796">
        <v>0.19023000000000001</v>
      </c>
      <c r="BD796">
        <v>1</v>
      </c>
      <c r="BE796" t="s">
        <v>69</v>
      </c>
      <c r="BF796">
        <v>0.14599999999999999</v>
      </c>
      <c r="BG796">
        <v>0.88800000000000001</v>
      </c>
    </row>
    <row r="797" spans="1:59">
      <c r="A797">
        <v>0</v>
      </c>
      <c r="B797">
        <v>4</v>
      </c>
      <c r="C797">
        <v>4</v>
      </c>
      <c r="D797" t="s">
        <v>25022</v>
      </c>
      <c r="E797">
        <v>873</v>
      </c>
      <c r="F797" t="s">
        <v>5449</v>
      </c>
      <c r="G797" t="s">
        <v>57</v>
      </c>
      <c r="H797">
        <v>913924</v>
      </c>
      <c r="I797">
        <v>914457</v>
      </c>
      <c r="J797" t="s">
        <v>5450</v>
      </c>
      <c r="K797">
        <v>178</v>
      </c>
      <c r="L797" t="s">
        <v>5451</v>
      </c>
      <c r="M797">
        <v>43</v>
      </c>
      <c r="N797" t="str">
        <f>HYPERLINK("Gene873-zp_tree_all.dnd", "Gene873-tree")</f>
        <v>Gene873-tree</v>
      </c>
      <c r="O797">
        <v>4</v>
      </c>
      <c r="P797">
        <v>8</v>
      </c>
      <c r="Q797">
        <v>4</v>
      </c>
      <c r="R797">
        <v>8</v>
      </c>
      <c r="S797">
        <v>0.66666999999999998</v>
      </c>
      <c r="T797" t="s">
        <v>61</v>
      </c>
      <c r="U797" t="s">
        <v>136</v>
      </c>
      <c r="V797" t="s">
        <v>62</v>
      </c>
      <c r="W797" t="s">
        <v>62</v>
      </c>
      <c r="X797">
        <v>4</v>
      </c>
      <c r="Y797">
        <v>8</v>
      </c>
      <c r="Z797">
        <v>8</v>
      </c>
      <c r="AA797">
        <v>0.5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4</v>
      </c>
      <c r="AH797">
        <v>0</v>
      </c>
      <c r="AI797">
        <v>4</v>
      </c>
      <c r="AJ797">
        <v>7</v>
      </c>
      <c r="AK797">
        <v>0.36364000000000002</v>
      </c>
      <c r="AL797">
        <v>11</v>
      </c>
      <c r="AM797">
        <v>7</v>
      </c>
      <c r="AN797">
        <v>23</v>
      </c>
      <c r="AO797">
        <v>11</v>
      </c>
      <c r="AP797">
        <v>9</v>
      </c>
      <c r="AQ797">
        <v>5</v>
      </c>
      <c r="AR797" t="s">
        <v>5452</v>
      </c>
      <c r="AS797" t="s">
        <v>5453</v>
      </c>
      <c r="AT797">
        <v>0.22900000000000001</v>
      </c>
      <c r="AU797" t="s">
        <v>65</v>
      </c>
      <c r="AV797">
        <v>32</v>
      </c>
      <c r="AW797">
        <v>16</v>
      </c>
      <c r="AX797" t="s">
        <v>5454</v>
      </c>
      <c r="AY797">
        <v>4.5519999999999998E-2</v>
      </c>
      <c r="AZ797">
        <v>-2.5999999999999999E-3</v>
      </c>
      <c r="BA797">
        <v>8.5199999999999998E-3</v>
      </c>
      <c r="BB797">
        <v>-4.0999999999999999E-4</v>
      </c>
      <c r="BC797">
        <v>0.18718000000000001</v>
      </c>
      <c r="BD797">
        <v>1</v>
      </c>
      <c r="BE797" t="s">
        <v>69</v>
      </c>
      <c r="BF797">
        <v>-0.67700000000000005</v>
      </c>
      <c r="BG797">
        <v>-0.44600000000000001</v>
      </c>
    </row>
    <row r="798" spans="1:59">
      <c r="A798">
        <v>0</v>
      </c>
      <c r="B798">
        <v>0</v>
      </c>
      <c r="C798">
        <v>0</v>
      </c>
      <c r="D798" t="s">
        <v>25022</v>
      </c>
      <c r="E798">
        <v>4008</v>
      </c>
      <c r="F798" t="s">
        <v>23575</v>
      </c>
      <c r="G798" t="s">
        <v>62</v>
      </c>
      <c r="H798">
        <v>3970315</v>
      </c>
      <c r="I798">
        <v>3970848</v>
      </c>
      <c r="J798" t="s">
        <v>23576</v>
      </c>
      <c r="K798">
        <v>178</v>
      </c>
      <c r="L798" t="s">
        <v>108</v>
      </c>
      <c r="M798">
        <v>44</v>
      </c>
      <c r="N798" t="str">
        <f>HYPERLINK("Gene4008-zp_tree_all.dnd", "Gene4008-tree")</f>
        <v>Gene4008-tree</v>
      </c>
      <c r="O798">
        <v>7</v>
      </c>
      <c r="P798">
        <v>5</v>
      </c>
      <c r="Q798">
        <v>7</v>
      </c>
      <c r="R798">
        <v>5</v>
      </c>
      <c r="S798">
        <v>0.41666999999999998</v>
      </c>
      <c r="T798" t="s">
        <v>152</v>
      </c>
      <c r="U798" t="s">
        <v>199</v>
      </c>
      <c r="V798" t="s">
        <v>62</v>
      </c>
      <c r="W798" t="s">
        <v>62</v>
      </c>
      <c r="X798">
        <v>0</v>
      </c>
      <c r="Y798">
        <v>0</v>
      </c>
      <c r="Z798">
        <v>8</v>
      </c>
      <c r="AA798">
        <v>0</v>
      </c>
      <c r="AB798">
        <v>0</v>
      </c>
      <c r="AC798">
        <v>0</v>
      </c>
      <c r="AD798">
        <v>0</v>
      </c>
      <c r="AE798">
        <v>3</v>
      </c>
      <c r="AF798">
        <v>0</v>
      </c>
      <c r="AG798">
        <v>0</v>
      </c>
      <c r="AH798">
        <v>0</v>
      </c>
      <c r="AI798">
        <v>0</v>
      </c>
      <c r="AJ798">
        <v>4</v>
      </c>
      <c r="AK798">
        <v>0</v>
      </c>
      <c r="AL798">
        <v>6</v>
      </c>
      <c r="AM798">
        <v>6</v>
      </c>
      <c r="AN798">
        <v>6</v>
      </c>
      <c r="AO798">
        <v>3</v>
      </c>
      <c r="AP798">
        <v>14</v>
      </c>
      <c r="AQ798">
        <v>5</v>
      </c>
      <c r="AR798" t="s">
        <v>23577</v>
      </c>
      <c r="AS798" t="s">
        <v>23578</v>
      </c>
      <c r="AT798">
        <v>0.215</v>
      </c>
      <c r="AU798" t="s">
        <v>65</v>
      </c>
      <c r="AV798">
        <v>20</v>
      </c>
      <c r="AW798">
        <v>8</v>
      </c>
      <c r="AX798" t="s">
        <v>23579</v>
      </c>
      <c r="AY798">
        <v>4.5670000000000002E-2</v>
      </c>
      <c r="AZ798">
        <v>-4.7600000000000003E-3</v>
      </c>
      <c r="BA798">
        <v>5.4099999999999999E-3</v>
      </c>
      <c r="BB798">
        <v>-3.6999999999999999E-4</v>
      </c>
      <c r="BC798">
        <v>0.11849999999999999</v>
      </c>
      <c r="BD798">
        <v>1</v>
      </c>
      <c r="BE798" t="s">
        <v>69</v>
      </c>
      <c r="BF798">
        <v>-0.20699999999999999</v>
      </c>
      <c r="BG798">
        <v>0.26200000000000001</v>
      </c>
    </row>
    <row r="799" spans="1:59">
      <c r="A799">
        <v>0</v>
      </c>
      <c r="B799">
        <v>2</v>
      </c>
      <c r="C799">
        <v>0</v>
      </c>
      <c r="D799" t="s">
        <v>25022</v>
      </c>
      <c r="E799">
        <v>1414</v>
      </c>
      <c r="F799" t="s">
        <v>8855</v>
      </c>
      <c r="G799" t="s">
        <v>57</v>
      </c>
      <c r="H799">
        <v>1429584</v>
      </c>
      <c r="I799">
        <v>1430117</v>
      </c>
      <c r="J799" t="s">
        <v>8856</v>
      </c>
      <c r="K799">
        <v>178</v>
      </c>
      <c r="L799" t="s">
        <v>108</v>
      </c>
      <c r="M799">
        <v>44</v>
      </c>
      <c r="N799" t="str">
        <f>HYPERLINK("Gene1414-zp_tree_all.dnd", "Gene1414-tree")</f>
        <v>Gene1414-tree</v>
      </c>
      <c r="O799">
        <v>5</v>
      </c>
      <c r="P799">
        <v>8</v>
      </c>
      <c r="Q799">
        <v>5</v>
      </c>
      <c r="R799">
        <v>8</v>
      </c>
      <c r="S799">
        <v>0.61538000000000004</v>
      </c>
      <c r="T799" t="s">
        <v>199</v>
      </c>
      <c r="U799" t="s">
        <v>136</v>
      </c>
      <c r="V799" t="s">
        <v>62</v>
      </c>
      <c r="W799" t="s">
        <v>62</v>
      </c>
      <c r="X799">
        <v>1</v>
      </c>
      <c r="Y799">
        <v>2</v>
      </c>
      <c r="Z799">
        <v>8</v>
      </c>
      <c r="AA799">
        <v>0.2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</v>
      </c>
      <c r="AH799">
        <v>0</v>
      </c>
      <c r="AI799">
        <v>2</v>
      </c>
      <c r="AJ799">
        <v>8</v>
      </c>
      <c r="AK799">
        <v>0.2</v>
      </c>
      <c r="AL799">
        <v>10</v>
      </c>
      <c r="AM799">
        <v>3</v>
      </c>
      <c r="AN799">
        <v>13</v>
      </c>
      <c r="AO799">
        <v>10</v>
      </c>
      <c r="AP799">
        <v>5</v>
      </c>
      <c r="AQ799">
        <v>0</v>
      </c>
      <c r="AR799" t="s">
        <v>8857</v>
      </c>
      <c r="AS799" t="s">
        <v>193</v>
      </c>
      <c r="AT799">
        <v>1.9750000000000001</v>
      </c>
      <c r="AU799" t="s">
        <v>267</v>
      </c>
      <c r="AV799">
        <v>18</v>
      </c>
      <c r="AW799">
        <v>10</v>
      </c>
      <c r="AX799" t="s">
        <v>8858</v>
      </c>
      <c r="AY799">
        <v>3.2550000000000003E-2</v>
      </c>
      <c r="AZ799">
        <v>-2.3600000000000001E-3</v>
      </c>
      <c r="BA799">
        <v>3.5999999999999999E-3</v>
      </c>
      <c r="BB799">
        <v>-2.5999999999999998E-4</v>
      </c>
      <c r="BC799">
        <v>0.11074000000000001</v>
      </c>
      <c r="BD799">
        <v>1</v>
      </c>
      <c r="BE799" t="s">
        <v>69</v>
      </c>
      <c r="BF799">
        <v>-1.077</v>
      </c>
      <c r="BG799">
        <v>-1.82</v>
      </c>
    </row>
    <row r="800" spans="1:59">
      <c r="A800">
        <v>0</v>
      </c>
      <c r="B800">
        <v>0</v>
      </c>
      <c r="C800">
        <v>2</v>
      </c>
      <c r="D800" t="s">
        <v>25022</v>
      </c>
      <c r="E800">
        <v>2550</v>
      </c>
      <c r="F800" t="s">
        <v>14903</v>
      </c>
      <c r="G800" t="s">
        <v>62</v>
      </c>
      <c r="H800">
        <v>2540291</v>
      </c>
      <c r="I800">
        <v>2540824</v>
      </c>
      <c r="J800" t="s">
        <v>3095</v>
      </c>
      <c r="K800">
        <v>178</v>
      </c>
      <c r="L800" t="s">
        <v>108</v>
      </c>
      <c r="M800">
        <v>44</v>
      </c>
      <c r="N800" t="str">
        <f>HYPERLINK("Gene2550-zp_tree_all.dnd", "Gene2550-tree")</f>
        <v>Gene2550-tree</v>
      </c>
      <c r="O800">
        <v>11</v>
      </c>
      <c r="P800">
        <v>4</v>
      </c>
      <c r="Q800">
        <v>11</v>
      </c>
      <c r="R800">
        <v>4</v>
      </c>
      <c r="S800">
        <v>0.26667000000000002</v>
      </c>
      <c r="T800" t="s">
        <v>73</v>
      </c>
      <c r="U800" t="s">
        <v>61</v>
      </c>
      <c r="V800" t="s">
        <v>62</v>
      </c>
      <c r="W800" t="s">
        <v>62</v>
      </c>
      <c r="X800">
        <v>1</v>
      </c>
      <c r="Y800">
        <v>2</v>
      </c>
      <c r="Z800">
        <v>3</v>
      </c>
      <c r="AA800">
        <v>0.4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4</v>
      </c>
      <c r="AK800">
        <v>0</v>
      </c>
      <c r="AL800">
        <v>11</v>
      </c>
      <c r="AM800">
        <v>6</v>
      </c>
      <c r="AN800">
        <v>16</v>
      </c>
      <c r="AO800">
        <v>4</v>
      </c>
      <c r="AP800">
        <v>7</v>
      </c>
      <c r="AQ800">
        <v>2</v>
      </c>
      <c r="AR800" t="s">
        <v>14904</v>
      </c>
      <c r="AS800" t="s">
        <v>14905</v>
      </c>
      <c r="AT800">
        <v>5.7000000000000002E-2</v>
      </c>
      <c r="AU800" t="s">
        <v>65</v>
      </c>
      <c r="AV800">
        <v>23</v>
      </c>
      <c r="AW800">
        <v>6</v>
      </c>
      <c r="AX800" t="s">
        <v>14906</v>
      </c>
      <c r="AY800">
        <v>3.117E-2</v>
      </c>
      <c r="AZ800">
        <v>-1.4400000000000001E-3</v>
      </c>
      <c r="BA800">
        <v>2.48E-3</v>
      </c>
      <c r="BB800">
        <v>-2.3000000000000001E-4</v>
      </c>
      <c r="BC800">
        <v>7.9530000000000003E-2</v>
      </c>
      <c r="BD800">
        <v>1</v>
      </c>
      <c r="BE800" t="s">
        <v>69</v>
      </c>
      <c r="BF800">
        <v>-1.329</v>
      </c>
      <c r="BG800">
        <v>-2.58</v>
      </c>
    </row>
    <row r="801" spans="1:59">
      <c r="A801">
        <v>0</v>
      </c>
      <c r="B801">
        <v>0</v>
      </c>
      <c r="C801">
        <v>0</v>
      </c>
      <c r="D801" t="s">
        <v>25022</v>
      </c>
      <c r="E801">
        <v>2412</v>
      </c>
      <c r="F801" t="s">
        <v>14051</v>
      </c>
      <c r="G801" t="s">
        <v>62</v>
      </c>
      <c r="H801">
        <v>2422267</v>
      </c>
      <c r="I801">
        <v>2422800</v>
      </c>
      <c r="J801" t="s">
        <v>14052</v>
      </c>
      <c r="K801">
        <v>178</v>
      </c>
      <c r="L801" t="s">
        <v>2803</v>
      </c>
      <c r="M801">
        <v>45</v>
      </c>
      <c r="N801" t="str">
        <f>HYPERLINK("Gene2412-zp_tree_all.dnd", "Gene2412-tree")</f>
        <v>Gene2412-tree</v>
      </c>
      <c r="O801">
        <v>33</v>
      </c>
      <c r="P801">
        <v>2</v>
      </c>
      <c r="Q801">
        <v>10</v>
      </c>
      <c r="R801">
        <v>2</v>
      </c>
      <c r="S801">
        <v>0.16667000000000001</v>
      </c>
      <c r="T801" t="s">
        <v>14053</v>
      </c>
      <c r="U801" t="s">
        <v>81</v>
      </c>
      <c r="V801" t="s">
        <v>62</v>
      </c>
      <c r="W801" t="s">
        <v>62</v>
      </c>
      <c r="X801">
        <v>0</v>
      </c>
      <c r="Y801">
        <v>0</v>
      </c>
      <c r="Z801">
        <v>3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</v>
      </c>
      <c r="AK801">
        <v>0</v>
      </c>
      <c r="AL801">
        <v>9</v>
      </c>
      <c r="AM801">
        <v>6</v>
      </c>
      <c r="AN801">
        <v>34</v>
      </c>
      <c r="AO801">
        <v>2</v>
      </c>
      <c r="AP801">
        <v>5</v>
      </c>
      <c r="AQ801">
        <v>1</v>
      </c>
      <c r="AR801" t="s">
        <v>14054</v>
      </c>
      <c r="AS801" t="s">
        <v>14055</v>
      </c>
      <c r="AT801">
        <v>0.32900000000000001</v>
      </c>
      <c r="AU801" t="s">
        <v>65</v>
      </c>
      <c r="AV801">
        <v>39</v>
      </c>
      <c r="AW801">
        <v>3</v>
      </c>
      <c r="AX801" t="s">
        <v>14056</v>
      </c>
      <c r="AY801">
        <v>5.6840000000000002E-2</v>
      </c>
      <c r="AZ801">
        <v>-7.8700000000000003E-3</v>
      </c>
      <c r="BA801">
        <v>1.6100000000000001E-3</v>
      </c>
      <c r="BB801">
        <v>-1.9000000000000001E-4</v>
      </c>
      <c r="BC801">
        <v>2.8400000000000002E-2</v>
      </c>
      <c r="BD801">
        <v>1</v>
      </c>
      <c r="BE801" t="s">
        <v>69</v>
      </c>
      <c r="BF801">
        <v>-1.823</v>
      </c>
      <c r="BG801">
        <v>-3.75</v>
      </c>
    </row>
    <row r="802" spans="1:59">
      <c r="A802">
        <v>0</v>
      </c>
      <c r="B802">
        <v>0</v>
      </c>
      <c r="C802">
        <v>0</v>
      </c>
      <c r="D802" t="s">
        <v>25022</v>
      </c>
      <c r="E802">
        <v>1993</v>
      </c>
      <c r="F802" t="s">
        <v>12411</v>
      </c>
      <c r="G802" t="s">
        <v>62</v>
      </c>
      <c r="H802">
        <v>2086073</v>
      </c>
      <c r="I802">
        <v>2086606</v>
      </c>
      <c r="J802" t="s">
        <v>3095</v>
      </c>
      <c r="K802">
        <v>178</v>
      </c>
      <c r="L802" t="s">
        <v>289</v>
      </c>
      <c r="M802">
        <v>46</v>
      </c>
      <c r="N802" t="str">
        <f>HYPERLINK("Gene1993-zp_tree_all.dnd", "Gene1993-tree")</f>
        <v>Gene1993-tree</v>
      </c>
      <c r="O802">
        <v>11</v>
      </c>
      <c r="P802">
        <v>2</v>
      </c>
      <c r="Q802">
        <v>11</v>
      </c>
      <c r="R802">
        <v>2</v>
      </c>
      <c r="S802">
        <v>0.15384999999999999</v>
      </c>
      <c r="T802" t="s">
        <v>73</v>
      </c>
      <c r="U802" t="s">
        <v>81</v>
      </c>
      <c r="V802" t="s">
        <v>62</v>
      </c>
      <c r="W802" t="s">
        <v>62</v>
      </c>
      <c r="X802">
        <v>0</v>
      </c>
      <c r="Y802">
        <v>0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</v>
      </c>
      <c r="AK802">
        <v>0</v>
      </c>
      <c r="AL802">
        <v>8</v>
      </c>
      <c r="AM802">
        <v>9</v>
      </c>
      <c r="AN802">
        <v>13</v>
      </c>
      <c r="AO802">
        <v>2</v>
      </c>
      <c r="AP802">
        <v>30</v>
      </c>
      <c r="AQ802">
        <v>0</v>
      </c>
      <c r="AR802" t="s">
        <v>12412</v>
      </c>
      <c r="AS802" t="s">
        <v>193</v>
      </c>
      <c r="AT802">
        <v>0.88700000000000001</v>
      </c>
      <c r="AU802" t="s">
        <v>65</v>
      </c>
      <c r="AV802">
        <v>43</v>
      </c>
      <c r="AW802">
        <v>2</v>
      </c>
      <c r="AX802" t="s">
        <v>12413</v>
      </c>
      <c r="AY802">
        <v>9.0929999999999997E-2</v>
      </c>
      <c r="AZ802">
        <v>-7.9299999999999995E-3</v>
      </c>
      <c r="BA802">
        <v>7.6000000000000004E-4</v>
      </c>
      <c r="BB802">
        <v>-1.3999999999999999E-4</v>
      </c>
      <c r="BC802">
        <v>8.3099999999999997E-3</v>
      </c>
      <c r="BD802">
        <v>1</v>
      </c>
      <c r="BE802" t="s">
        <v>69</v>
      </c>
      <c r="BF802">
        <v>-0.82599999999999996</v>
      </c>
      <c r="BG802">
        <v>-2.1999999999999999E-2</v>
      </c>
    </row>
    <row r="803" spans="1:59">
      <c r="A803">
        <v>0</v>
      </c>
      <c r="B803">
        <v>0</v>
      </c>
      <c r="C803">
        <v>0</v>
      </c>
      <c r="D803" t="s">
        <v>25022</v>
      </c>
      <c r="E803">
        <v>56</v>
      </c>
      <c r="F803" t="s">
        <v>463</v>
      </c>
      <c r="G803" t="s">
        <v>57</v>
      </c>
      <c r="H803">
        <v>64099</v>
      </c>
      <c r="I803">
        <v>64632</v>
      </c>
      <c r="J803" t="s">
        <v>464</v>
      </c>
      <c r="K803">
        <v>178</v>
      </c>
      <c r="L803" t="s">
        <v>465</v>
      </c>
      <c r="M803">
        <v>46</v>
      </c>
      <c r="N803" t="str">
        <f>HYPERLINK("Gene56-zp_tree_all.dnd", "Gene56-tree")</f>
        <v>Gene56-tree</v>
      </c>
      <c r="O803">
        <v>33</v>
      </c>
      <c r="P803">
        <v>0</v>
      </c>
      <c r="Q803">
        <v>11</v>
      </c>
      <c r="R803">
        <v>0</v>
      </c>
      <c r="S803">
        <v>0</v>
      </c>
      <c r="T803" t="s">
        <v>466</v>
      </c>
      <c r="U803" t="s">
        <v>62</v>
      </c>
      <c r="V803" t="s">
        <v>62</v>
      </c>
      <c r="W803" t="s">
        <v>62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6</v>
      </c>
      <c r="AM803">
        <v>5</v>
      </c>
      <c r="AN803">
        <v>32</v>
      </c>
      <c r="AO803">
        <v>0</v>
      </c>
      <c r="AP803">
        <v>6</v>
      </c>
      <c r="AQ803">
        <v>0</v>
      </c>
      <c r="AR803" t="s">
        <v>193</v>
      </c>
      <c r="AS803" t="s">
        <v>193</v>
      </c>
      <c r="AT803">
        <v>0</v>
      </c>
      <c r="AU803" t="s">
        <v>65</v>
      </c>
      <c r="AV803">
        <v>38</v>
      </c>
      <c r="AW803">
        <v>0</v>
      </c>
      <c r="AX803" t="s">
        <v>467</v>
      </c>
      <c r="AY803">
        <v>6.7830000000000001E-2</v>
      </c>
      <c r="AZ803">
        <v>-1.0710000000000001E-2</v>
      </c>
      <c r="BA803">
        <v>0</v>
      </c>
      <c r="BB803">
        <v>0</v>
      </c>
      <c r="BC803">
        <v>0</v>
      </c>
      <c r="BD803">
        <v>1</v>
      </c>
      <c r="BE803" t="s">
        <v>69</v>
      </c>
      <c r="BF803">
        <v>-1.3180000000000001</v>
      </c>
      <c r="BG803">
        <v>1.123</v>
      </c>
    </row>
    <row r="804" spans="1:59">
      <c r="A804">
        <v>0</v>
      </c>
      <c r="B804">
        <v>2</v>
      </c>
      <c r="C804">
        <v>1</v>
      </c>
      <c r="D804" t="s">
        <v>25022</v>
      </c>
      <c r="E804">
        <v>182</v>
      </c>
      <c r="F804" t="s">
        <v>1279</v>
      </c>
      <c r="G804" t="s">
        <v>57</v>
      </c>
      <c r="H804">
        <v>204351</v>
      </c>
      <c r="I804">
        <v>204887</v>
      </c>
      <c r="J804" t="s">
        <v>1280</v>
      </c>
      <c r="K804">
        <v>179</v>
      </c>
      <c r="L804" t="s">
        <v>1281</v>
      </c>
      <c r="M804">
        <v>33</v>
      </c>
      <c r="N804" t="str">
        <f>HYPERLINK("Gene182-zp_tree_all.dnd", "Gene182-tree")</f>
        <v>Gene182-tree</v>
      </c>
      <c r="O804">
        <v>2</v>
      </c>
      <c r="P804">
        <v>6</v>
      </c>
      <c r="Q804">
        <v>2</v>
      </c>
      <c r="R804">
        <v>6</v>
      </c>
      <c r="S804">
        <v>0.75</v>
      </c>
      <c r="T804" t="s">
        <v>81</v>
      </c>
      <c r="U804" t="s">
        <v>90</v>
      </c>
      <c r="V804" t="s">
        <v>62</v>
      </c>
      <c r="W804" t="s">
        <v>62</v>
      </c>
      <c r="X804">
        <v>1</v>
      </c>
      <c r="Y804">
        <v>3</v>
      </c>
      <c r="Z804">
        <v>4</v>
      </c>
      <c r="AA804">
        <v>0.42857000000000001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</v>
      </c>
      <c r="AH804">
        <v>1</v>
      </c>
      <c r="AI804">
        <v>3</v>
      </c>
      <c r="AJ804">
        <v>4</v>
      </c>
      <c r="AK804">
        <v>0.42857000000000001</v>
      </c>
      <c r="AL804">
        <v>4</v>
      </c>
      <c r="AM804">
        <v>4</v>
      </c>
      <c r="AN804">
        <v>3</v>
      </c>
      <c r="AO804">
        <v>4</v>
      </c>
      <c r="AP804">
        <v>3</v>
      </c>
      <c r="AQ804">
        <v>3</v>
      </c>
      <c r="AR804" t="s">
        <v>1282</v>
      </c>
      <c r="AS804" t="s">
        <v>1283</v>
      </c>
      <c r="AT804">
        <v>0.35399999999999998</v>
      </c>
      <c r="AU804" t="s">
        <v>65</v>
      </c>
      <c r="AV804">
        <v>6</v>
      </c>
      <c r="AW804">
        <v>7</v>
      </c>
      <c r="AX804" t="s">
        <v>1284</v>
      </c>
      <c r="AY804">
        <v>1.7649999999999999E-2</v>
      </c>
      <c r="AZ804">
        <v>-1.65E-3</v>
      </c>
      <c r="BA804">
        <v>5.2199999999999998E-3</v>
      </c>
      <c r="BB804">
        <v>-5.1999999999999995E-4</v>
      </c>
      <c r="BC804">
        <v>0.29557</v>
      </c>
      <c r="BD804">
        <v>0.92600000000000005</v>
      </c>
      <c r="BE804" t="s">
        <v>635</v>
      </c>
      <c r="BF804">
        <v>-0.63300000000000001</v>
      </c>
      <c r="BG804">
        <v>-0.621</v>
      </c>
    </row>
    <row r="805" spans="1:59">
      <c r="A805">
        <v>0</v>
      </c>
      <c r="B805">
        <v>0</v>
      </c>
      <c r="C805">
        <v>0</v>
      </c>
      <c r="D805" t="s">
        <v>25022</v>
      </c>
      <c r="E805">
        <v>2410</v>
      </c>
      <c r="F805" t="s">
        <v>14038</v>
      </c>
      <c r="G805" t="s">
        <v>62</v>
      </c>
      <c r="H805">
        <v>2420807</v>
      </c>
      <c r="I805">
        <v>2421343</v>
      </c>
      <c r="J805" t="s">
        <v>14039</v>
      </c>
      <c r="K805">
        <v>179</v>
      </c>
      <c r="L805" t="s">
        <v>59</v>
      </c>
      <c r="M805">
        <v>49</v>
      </c>
      <c r="N805" t="str">
        <f>HYPERLINK("Gene2410-zp_tree_all.dnd", "Gene2410-tree")</f>
        <v>Gene2410-tree</v>
      </c>
      <c r="O805">
        <v>14</v>
      </c>
      <c r="P805">
        <v>1</v>
      </c>
      <c r="Q805">
        <v>14</v>
      </c>
      <c r="R805">
        <v>1</v>
      </c>
      <c r="S805">
        <v>6.6669999999999993E-2</v>
      </c>
      <c r="T805" t="s">
        <v>543</v>
      </c>
      <c r="U805" t="s">
        <v>175</v>
      </c>
      <c r="V805" t="s">
        <v>62</v>
      </c>
      <c r="W805" t="s">
        <v>62</v>
      </c>
      <c r="X805">
        <v>0</v>
      </c>
      <c r="Y805">
        <v>0</v>
      </c>
      <c r="Z805">
        <v>6</v>
      </c>
      <c r="AA805">
        <v>0</v>
      </c>
      <c r="AB805">
        <v>0</v>
      </c>
      <c r="AC805">
        <v>0</v>
      </c>
      <c r="AD805">
        <v>0</v>
      </c>
      <c r="AE805">
        <v>4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9</v>
      </c>
      <c r="AM805">
        <v>9</v>
      </c>
      <c r="AN805">
        <v>10</v>
      </c>
      <c r="AO805">
        <v>1</v>
      </c>
      <c r="AP805">
        <v>22</v>
      </c>
      <c r="AQ805">
        <v>6</v>
      </c>
      <c r="AR805" t="s">
        <v>14040</v>
      </c>
      <c r="AS805" t="s">
        <v>14041</v>
      </c>
      <c r="AT805">
        <v>0.499</v>
      </c>
      <c r="AU805" t="s">
        <v>65</v>
      </c>
      <c r="AV805">
        <v>32</v>
      </c>
      <c r="AW805">
        <v>7</v>
      </c>
      <c r="AX805" t="s">
        <v>14042</v>
      </c>
      <c r="AY805">
        <v>7.5689999999999993E-2</v>
      </c>
      <c r="AZ805">
        <v>-5.13E-3</v>
      </c>
      <c r="BA805">
        <v>5.5999999999999999E-3</v>
      </c>
      <c r="BB805">
        <v>-3.8999999999999999E-4</v>
      </c>
      <c r="BC805">
        <v>7.4010000000000006E-2</v>
      </c>
      <c r="BD805">
        <v>1</v>
      </c>
      <c r="BE805" t="s">
        <v>69</v>
      </c>
      <c r="BF805">
        <v>-1.1120000000000001</v>
      </c>
      <c r="BG805">
        <v>8.2000000000000003E-2</v>
      </c>
    </row>
    <row r="806" spans="1:59">
      <c r="A806">
        <v>0</v>
      </c>
      <c r="B806">
        <v>0</v>
      </c>
      <c r="C806">
        <v>0</v>
      </c>
      <c r="D806" t="s">
        <v>25022</v>
      </c>
      <c r="E806">
        <v>2415</v>
      </c>
      <c r="F806" t="s">
        <v>14070</v>
      </c>
      <c r="G806" t="s">
        <v>62</v>
      </c>
      <c r="H806">
        <v>2424657</v>
      </c>
      <c r="I806">
        <v>2425193</v>
      </c>
      <c r="J806" t="s">
        <v>116</v>
      </c>
      <c r="K806">
        <v>179</v>
      </c>
      <c r="L806" t="s">
        <v>59</v>
      </c>
      <c r="M806">
        <v>49</v>
      </c>
      <c r="N806" t="str">
        <f>HYPERLINK("Gene2415-zp_tree_all.dnd", "Gene2415-tree")</f>
        <v>Gene2415-tree</v>
      </c>
      <c r="O806">
        <v>10</v>
      </c>
      <c r="P806">
        <v>1</v>
      </c>
      <c r="Q806">
        <v>10</v>
      </c>
      <c r="R806">
        <v>1</v>
      </c>
      <c r="S806">
        <v>9.0910000000000005E-2</v>
      </c>
      <c r="T806" t="s">
        <v>117</v>
      </c>
      <c r="U806" t="s">
        <v>175</v>
      </c>
      <c r="V806" t="s">
        <v>62</v>
      </c>
      <c r="W806" t="s">
        <v>62</v>
      </c>
      <c r="X806">
        <v>0</v>
      </c>
      <c r="Y806">
        <v>0</v>
      </c>
      <c r="Z806">
        <v>7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9</v>
      </c>
      <c r="AM806">
        <v>5</v>
      </c>
      <c r="AN806">
        <v>16</v>
      </c>
      <c r="AO806">
        <v>1</v>
      </c>
      <c r="AP806">
        <v>18</v>
      </c>
      <c r="AQ806">
        <v>6</v>
      </c>
      <c r="AR806" t="s">
        <v>14071</v>
      </c>
      <c r="AS806" t="s">
        <v>14072</v>
      </c>
      <c r="AT806">
        <v>1.419</v>
      </c>
      <c r="AU806" t="s">
        <v>65</v>
      </c>
      <c r="AV806">
        <v>34</v>
      </c>
      <c r="AW806">
        <v>7</v>
      </c>
      <c r="AX806" t="s">
        <v>14073</v>
      </c>
      <c r="AY806">
        <v>8.276E-2</v>
      </c>
      <c r="AZ806">
        <v>-5.6800000000000002E-3</v>
      </c>
      <c r="BA806">
        <v>5.6699999999999997E-3</v>
      </c>
      <c r="BB806">
        <v>-4.8999999999999998E-4</v>
      </c>
      <c r="BC806">
        <v>6.8470000000000003E-2</v>
      </c>
      <c r="BD806">
        <v>1</v>
      </c>
      <c r="BE806" t="s">
        <v>69</v>
      </c>
      <c r="BF806">
        <v>-1.2430000000000001</v>
      </c>
      <c r="BG806">
        <v>-0.46500000000000002</v>
      </c>
    </row>
    <row r="807" spans="1:59">
      <c r="A807">
        <v>0</v>
      </c>
      <c r="B807">
        <v>0</v>
      </c>
      <c r="C807">
        <v>0</v>
      </c>
      <c r="D807" t="s">
        <v>25022</v>
      </c>
      <c r="E807">
        <v>131</v>
      </c>
      <c r="F807" t="s">
        <v>948</v>
      </c>
      <c r="G807" t="s">
        <v>57</v>
      </c>
      <c r="H807">
        <v>142402</v>
      </c>
      <c r="I807">
        <v>142938</v>
      </c>
      <c r="J807" t="s">
        <v>949</v>
      </c>
      <c r="K807">
        <v>179</v>
      </c>
      <c r="L807" t="s">
        <v>59</v>
      </c>
      <c r="M807">
        <v>49</v>
      </c>
      <c r="N807" t="str">
        <f>HYPERLINK("Gene131-zp_tree_all.dnd", "Gene131-tree")</f>
        <v>Gene131-tree</v>
      </c>
      <c r="O807">
        <v>46</v>
      </c>
      <c r="P807">
        <v>2</v>
      </c>
      <c r="Q807">
        <v>7</v>
      </c>
      <c r="R807">
        <v>2</v>
      </c>
      <c r="S807">
        <v>0.22222</v>
      </c>
      <c r="T807" t="s">
        <v>950</v>
      </c>
      <c r="U807" t="s">
        <v>81</v>
      </c>
      <c r="V807" t="s">
        <v>62</v>
      </c>
      <c r="W807" t="s">
        <v>62</v>
      </c>
      <c r="X807">
        <v>0</v>
      </c>
      <c r="Y807">
        <v>0</v>
      </c>
      <c r="Z807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</v>
      </c>
      <c r="AK807">
        <v>0</v>
      </c>
      <c r="AL807">
        <v>7</v>
      </c>
      <c r="AM807">
        <v>4</v>
      </c>
      <c r="AN807">
        <v>14</v>
      </c>
      <c r="AO807">
        <v>2</v>
      </c>
      <c r="AP807">
        <v>12</v>
      </c>
      <c r="AQ807">
        <v>2</v>
      </c>
      <c r="AR807" t="s">
        <v>951</v>
      </c>
      <c r="AS807" t="s">
        <v>952</v>
      </c>
      <c r="AT807">
        <v>0.106</v>
      </c>
      <c r="AU807" t="s">
        <v>65</v>
      </c>
      <c r="AV807">
        <v>26</v>
      </c>
      <c r="AW807">
        <v>4</v>
      </c>
      <c r="AX807" t="s">
        <v>953</v>
      </c>
      <c r="AY807">
        <v>6.1350000000000002E-2</v>
      </c>
      <c r="AZ807">
        <v>-5.6800000000000002E-3</v>
      </c>
      <c r="BA807">
        <v>3.7299999999999998E-3</v>
      </c>
      <c r="BB807">
        <v>-4.0000000000000002E-4</v>
      </c>
      <c r="BC807">
        <v>6.0760000000000002E-2</v>
      </c>
      <c r="BD807">
        <v>1</v>
      </c>
      <c r="BE807" t="s">
        <v>69</v>
      </c>
      <c r="BF807">
        <v>-1.72</v>
      </c>
      <c r="BG807">
        <v>-1.7549999999999999</v>
      </c>
    </row>
    <row r="808" spans="1:59">
      <c r="A808">
        <v>0</v>
      </c>
      <c r="B808">
        <v>0</v>
      </c>
      <c r="C808">
        <v>0</v>
      </c>
      <c r="D808" t="s">
        <v>25022</v>
      </c>
      <c r="E808">
        <v>128</v>
      </c>
      <c r="F808" t="s">
        <v>936</v>
      </c>
      <c r="G808" t="s">
        <v>57</v>
      </c>
      <c r="H808">
        <v>141195</v>
      </c>
      <c r="I808">
        <v>141731</v>
      </c>
      <c r="J808" t="s">
        <v>937</v>
      </c>
      <c r="K808">
        <v>179</v>
      </c>
      <c r="L808" t="s">
        <v>515</v>
      </c>
      <c r="M808">
        <v>51</v>
      </c>
      <c r="N808" t="str">
        <f>HYPERLINK("Gene128-zp_tree_all.dnd", "Gene128-tree")</f>
        <v>Gene128-tree</v>
      </c>
      <c r="O808">
        <v>29</v>
      </c>
      <c r="P808">
        <v>1</v>
      </c>
      <c r="Q808">
        <v>9</v>
      </c>
      <c r="R808">
        <v>1</v>
      </c>
      <c r="S808">
        <v>0.1</v>
      </c>
      <c r="T808" t="s">
        <v>234</v>
      </c>
      <c r="U808" t="s">
        <v>175</v>
      </c>
      <c r="V808" t="s">
        <v>62</v>
      </c>
      <c r="W808" t="s">
        <v>62</v>
      </c>
      <c r="X808">
        <v>0</v>
      </c>
      <c r="Y808">
        <v>0</v>
      </c>
      <c r="Z808">
        <v>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</v>
      </c>
      <c r="AK808">
        <v>0</v>
      </c>
      <c r="AL808">
        <v>7</v>
      </c>
      <c r="AM808">
        <v>2</v>
      </c>
      <c r="AN808">
        <v>22</v>
      </c>
      <c r="AO808">
        <v>3</v>
      </c>
      <c r="AP808">
        <v>3</v>
      </c>
      <c r="AQ808">
        <v>0</v>
      </c>
      <c r="AR808" t="s">
        <v>938</v>
      </c>
      <c r="AS808" t="s">
        <v>193</v>
      </c>
      <c r="AT808">
        <v>0.31</v>
      </c>
      <c r="AU808" t="s">
        <v>65</v>
      </c>
      <c r="AV808">
        <v>25</v>
      </c>
      <c r="AW808">
        <v>3</v>
      </c>
      <c r="AX808" t="s">
        <v>939</v>
      </c>
      <c r="AY808">
        <v>4.4589999999999998E-2</v>
      </c>
      <c r="AZ808">
        <v>-7.5100000000000002E-3</v>
      </c>
      <c r="BA808">
        <v>1.4599999999999999E-3</v>
      </c>
      <c r="BB808">
        <v>-4.2999999999999999E-4</v>
      </c>
      <c r="BC808">
        <v>3.2660000000000002E-2</v>
      </c>
      <c r="BD808">
        <v>1</v>
      </c>
      <c r="BE808" t="s">
        <v>69</v>
      </c>
      <c r="BF808">
        <v>-1.452</v>
      </c>
      <c r="BG808">
        <v>1.073</v>
      </c>
    </row>
    <row r="809" spans="1:59">
      <c r="A809">
        <v>0</v>
      </c>
      <c r="B809">
        <v>2</v>
      </c>
      <c r="C809">
        <v>0</v>
      </c>
      <c r="D809" t="s">
        <v>25022</v>
      </c>
      <c r="E809">
        <v>2352</v>
      </c>
      <c r="F809" t="s">
        <v>13656</v>
      </c>
      <c r="G809" t="s">
        <v>62</v>
      </c>
      <c r="H809">
        <v>2365739</v>
      </c>
      <c r="I809">
        <v>2366275</v>
      </c>
      <c r="J809" t="s">
        <v>116</v>
      </c>
      <c r="K809">
        <v>179</v>
      </c>
      <c r="L809" t="s">
        <v>289</v>
      </c>
      <c r="M809">
        <v>46</v>
      </c>
      <c r="N809" t="str">
        <f>HYPERLINK("Gene2352-zp_tree_all.dnd", "Gene2352-tree")</f>
        <v>Gene2352-tree</v>
      </c>
      <c r="O809">
        <v>39</v>
      </c>
      <c r="P809">
        <v>1</v>
      </c>
      <c r="Q809">
        <v>7</v>
      </c>
      <c r="R809">
        <v>1</v>
      </c>
      <c r="S809">
        <v>0.125</v>
      </c>
      <c r="T809" t="s">
        <v>13657</v>
      </c>
      <c r="U809" t="s">
        <v>175</v>
      </c>
      <c r="V809" t="s">
        <v>62</v>
      </c>
      <c r="W809" t="s">
        <v>62</v>
      </c>
      <c r="X809">
        <v>1</v>
      </c>
      <c r="Y809">
        <v>2</v>
      </c>
      <c r="Z809">
        <v>1</v>
      </c>
      <c r="AA809">
        <v>0.66666999999999998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6</v>
      </c>
      <c r="AM809">
        <v>3</v>
      </c>
      <c r="AN809">
        <v>8</v>
      </c>
      <c r="AO809">
        <v>1</v>
      </c>
      <c r="AP809">
        <v>18</v>
      </c>
      <c r="AQ809">
        <v>2</v>
      </c>
      <c r="AR809" t="s">
        <v>13658</v>
      </c>
      <c r="AS809" t="s">
        <v>13659</v>
      </c>
      <c r="AT809">
        <v>8.2000000000000003E-2</v>
      </c>
      <c r="AU809" t="s">
        <v>65</v>
      </c>
      <c r="AV809">
        <v>26</v>
      </c>
      <c r="AW809">
        <v>3</v>
      </c>
      <c r="AX809" t="s">
        <v>13660</v>
      </c>
      <c r="AY809">
        <v>0.10408000000000001</v>
      </c>
      <c r="AZ809">
        <v>-1.8020000000000001E-2</v>
      </c>
      <c r="BA809">
        <v>2.5699999999999998E-3</v>
      </c>
      <c r="BB809">
        <v>-2.7999999999999998E-4</v>
      </c>
      <c r="BC809">
        <v>2.469E-2</v>
      </c>
      <c r="BD809">
        <v>1</v>
      </c>
      <c r="BE809" t="s">
        <v>69</v>
      </c>
      <c r="BF809">
        <v>-1.8120000000000001</v>
      </c>
      <c r="BG809">
        <v>0.93</v>
      </c>
    </row>
    <row r="810" spans="1:59">
      <c r="A810">
        <v>0</v>
      </c>
      <c r="B810">
        <v>2</v>
      </c>
      <c r="C810">
        <v>0</v>
      </c>
      <c r="D810" t="s">
        <v>25022</v>
      </c>
      <c r="E810">
        <v>729</v>
      </c>
      <c r="F810" t="s">
        <v>4514</v>
      </c>
      <c r="G810" t="s">
        <v>57</v>
      </c>
      <c r="H810">
        <v>757111</v>
      </c>
      <c r="I810">
        <v>757650</v>
      </c>
      <c r="J810" t="s">
        <v>3537</v>
      </c>
      <c r="K810">
        <v>180</v>
      </c>
      <c r="L810" t="s">
        <v>108</v>
      </c>
      <c r="M810">
        <v>44</v>
      </c>
      <c r="N810" t="str">
        <f>HYPERLINK("Gene729-zp_tree_all.dnd", "Gene729-tree")</f>
        <v>Gene729-tree</v>
      </c>
      <c r="O810">
        <v>6</v>
      </c>
      <c r="P810">
        <v>9</v>
      </c>
      <c r="Q810">
        <v>6</v>
      </c>
      <c r="R810">
        <v>9</v>
      </c>
      <c r="S810">
        <v>0.6</v>
      </c>
      <c r="T810" t="s">
        <v>90</v>
      </c>
      <c r="U810" t="s">
        <v>135</v>
      </c>
      <c r="V810" t="s">
        <v>62</v>
      </c>
      <c r="W810" t="s">
        <v>62</v>
      </c>
      <c r="X810">
        <v>1</v>
      </c>
      <c r="Y810">
        <v>2</v>
      </c>
      <c r="Z810">
        <v>12</v>
      </c>
      <c r="AA810">
        <v>0.14285999999999999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11</v>
      </c>
      <c r="AK810">
        <v>0</v>
      </c>
      <c r="AL810">
        <v>9</v>
      </c>
      <c r="AM810">
        <v>8</v>
      </c>
      <c r="AN810">
        <v>10</v>
      </c>
      <c r="AO810">
        <v>10</v>
      </c>
      <c r="AP810">
        <v>9</v>
      </c>
      <c r="AQ810">
        <v>4</v>
      </c>
      <c r="AR810" t="s">
        <v>4515</v>
      </c>
      <c r="AS810" t="s">
        <v>4516</v>
      </c>
      <c r="AT810">
        <v>1.2569999999999999</v>
      </c>
      <c r="AU810" t="s">
        <v>65</v>
      </c>
      <c r="AV810">
        <v>19</v>
      </c>
      <c r="AW810">
        <v>14</v>
      </c>
      <c r="AX810" t="s">
        <v>4517</v>
      </c>
      <c r="AY810">
        <v>2.9229999999999999E-2</v>
      </c>
      <c r="AZ810">
        <v>-9.7999999999999997E-4</v>
      </c>
      <c r="BA810">
        <v>5.4400000000000004E-3</v>
      </c>
      <c r="BB810">
        <v>-3.8000000000000002E-4</v>
      </c>
      <c r="BC810">
        <v>0.18595999999999999</v>
      </c>
      <c r="BD810">
        <v>1</v>
      </c>
      <c r="BE810" t="s">
        <v>69</v>
      </c>
      <c r="BF810">
        <v>-0.33100000000000002</v>
      </c>
      <c r="BG810">
        <v>-1.0309999999999999</v>
      </c>
    </row>
    <row r="811" spans="1:59">
      <c r="A811">
        <v>0</v>
      </c>
      <c r="B811">
        <v>2</v>
      </c>
      <c r="C811">
        <v>2</v>
      </c>
      <c r="D811" t="s">
        <v>25022</v>
      </c>
      <c r="E811">
        <v>2830</v>
      </c>
      <c r="F811" t="s">
        <v>16249</v>
      </c>
      <c r="G811" t="s">
        <v>62</v>
      </c>
      <c r="H811">
        <v>2777880</v>
      </c>
      <c r="I811">
        <v>2778419</v>
      </c>
      <c r="J811" t="s">
        <v>1075</v>
      </c>
      <c r="K811">
        <v>180</v>
      </c>
      <c r="L811" t="s">
        <v>108</v>
      </c>
      <c r="M811">
        <v>44</v>
      </c>
      <c r="N811" t="str">
        <f>HYPERLINK("Gene2830-zp_tree_all.dnd", "Gene2830-tree")</f>
        <v>Gene2830-tree</v>
      </c>
      <c r="O811">
        <v>3</v>
      </c>
      <c r="P811">
        <v>8</v>
      </c>
      <c r="Q811">
        <v>3</v>
      </c>
      <c r="R811">
        <v>8</v>
      </c>
      <c r="S811">
        <v>0.72726999999999997</v>
      </c>
      <c r="T811" t="s">
        <v>324</v>
      </c>
      <c r="U811" t="s">
        <v>136</v>
      </c>
      <c r="V811" t="s">
        <v>62</v>
      </c>
      <c r="W811" t="s">
        <v>62</v>
      </c>
      <c r="X811">
        <v>2</v>
      </c>
      <c r="Y811">
        <v>4</v>
      </c>
      <c r="Z811">
        <v>13</v>
      </c>
      <c r="AA811">
        <v>0.23529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</v>
      </c>
      <c r="AI811">
        <v>2</v>
      </c>
      <c r="AJ811">
        <v>12</v>
      </c>
      <c r="AK811">
        <v>0.14285999999999999</v>
      </c>
      <c r="AL811">
        <v>9</v>
      </c>
      <c r="AM811">
        <v>6</v>
      </c>
      <c r="AN811">
        <v>10</v>
      </c>
      <c r="AO811">
        <v>14</v>
      </c>
      <c r="AP811">
        <v>8</v>
      </c>
      <c r="AQ811">
        <v>3</v>
      </c>
      <c r="AR811" t="s">
        <v>16250</v>
      </c>
      <c r="AS811" t="s">
        <v>16251</v>
      </c>
      <c r="AT811">
        <v>1.6</v>
      </c>
      <c r="AU811" t="s">
        <v>65</v>
      </c>
      <c r="AV811">
        <v>18</v>
      </c>
      <c r="AW811">
        <v>17</v>
      </c>
      <c r="AX811" t="s">
        <v>16252</v>
      </c>
      <c r="AY811">
        <v>4.9529999999999998E-2</v>
      </c>
      <c r="AZ811">
        <v>-3.6600000000000001E-3</v>
      </c>
      <c r="BA811">
        <v>9.1299999999999992E-3</v>
      </c>
      <c r="BB811">
        <v>-6.7000000000000002E-4</v>
      </c>
      <c r="BC811">
        <v>0.18440000000000001</v>
      </c>
      <c r="BD811">
        <v>0.99</v>
      </c>
      <c r="BE811" t="s">
        <v>69</v>
      </c>
      <c r="BF811">
        <v>-0.96899999999999997</v>
      </c>
      <c r="BG811">
        <v>-1.2370000000000001</v>
      </c>
    </row>
    <row r="812" spans="1:59">
      <c r="A812">
        <v>0</v>
      </c>
      <c r="B812">
        <v>0</v>
      </c>
      <c r="C812">
        <v>0</v>
      </c>
      <c r="D812" t="s">
        <v>25022</v>
      </c>
      <c r="E812">
        <v>3826</v>
      </c>
      <c r="F812" t="s">
        <v>22426</v>
      </c>
      <c r="G812" t="s">
        <v>62</v>
      </c>
      <c r="H812">
        <v>3790647</v>
      </c>
      <c r="I812">
        <v>3791186</v>
      </c>
      <c r="J812" t="s">
        <v>116</v>
      </c>
      <c r="K812">
        <v>180</v>
      </c>
      <c r="L812" t="s">
        <v>108</v>
      </c>
      <c r="M812">
        <v>44</v>
      </c>
      <c r="N812" t="str">
        <f>HYPERLINK("Gene3826-zp_tree_all.dnd", "Gene3826-tree")</f>
        <v>Gene3826-tree</v>
      </c>
      <c r="O812">
        <v>7</v>
      </c>
      <c r="P812">
        <v>5</v>
      </c>
      <c r="Q812">
        <v>7</v>
      </c>
      <c r="R812">
        <v>5</v>
      </c>
      <c r="S812">
        <v>0.41666999999999998</v>
      </c>
      <c r="T812" t="s">
        <v>152</v>
      </c>
      <c r="U812" t="s">
        <v>199</v>
      </c>
      <c r="V812" t="s">
        <v>62</v>
      </c>
      <c r="W812" t="s">
        <v>62</v>
      </c>
      <c r="X812">
        <v>0</v>
      </c>
      <c r="Y812">
        <v>0</v>
      </c>
      <c r="Z812">
        <v>7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7</v>
      </c>
      <c r="AK812">
        <v>0</v>
      </c>
      <c r="AL812">
        <v>9</v>
      </c>
      <c r="AM812">
        <v>5</v>
      </c>
      <c r="AN812">
        <v>9</v>
      </c>
      <c r="AO812">
        <v>7</v>
      </c>
      <c r="AP812">
        <v>7</v>
      </c>
      <c r="AQ812">
        <v>0</v>
      </c>
      <c r="AR812" t="s">
        <v>22427</v>
      </c>
      <c r="AS812" t="s">
        <v>193</v>
      </c>
      <c r="AT812">
        <v>1.631</v>
      </c>
      <c r="AU812" t="s">
        <v>65</v>
      </c>
      <c r="AV812">
        <v>16</v>
      </c>
      <c r="AW812">
        <v>7</v>
      </c>
      <c r="AX812" t="s">
        <v>22428</v>
      </c>
      <c r="AY812">
        <v>3.2930000000000001E-2</v>
      </c>
      <c r="AZ812">
        <v>-2.0600000000000002E-3</v>
      </c>
      <c r="BA812">
        <v>2.8500000000000001E-3</v>
      </c>
      <c r="BB812">
        <v>-3.5E-4</v>
      </c>
      <c r="BC812">
        <v>8.6559999999999998E-2</v>
      </c>
      <c r="BD812">
        <v>1</v>
      </c>
      <c r="BE812" t="s">
        <v>69</v>
      </c>
      <c r="BF812">
        <v>-1.0029999999999999</v>
      </c>
      <c r="BG812">
        <v>-1.2609999999999999</v>
      </c>
    </row>
    <row r="813" spans="1:59">
      <c r="A813">
        <v>0</v>
      </c>
      <c r="B813">
        <v>0</v>
      </c>
      <c r="C813">
        <v>0</v>
      </c>
      <c r="D813" t="s">
        <v>25022</v>
      </c>
      <c r="E813">
        <v>68</v>
      </c>
      <c r="F813" t="s">
        <v>549</v>
      </c>
      <c r="G813" t="s">
        <v>57</v>
      </c>
      <c r="H813">
        <v>76344</v>
      </c>
      <c r="I813">
        <v>76883</v>
      </c>
      <c r="J813" t="s">
        <v>550</v>
      </c>
      <c r="K813">
        <v>180</v>
      </c>
      <c r="L813" t="s">
        <v>59</v>
      </c>
      <c r="M813">
        <v>49</v>
      </c>
      <c r="N813" t="str">
        <f>HYPERLINK("Gene68-zp_tree_all.dnd", "Gene68-tree")</f>
        <v>Gene68-tree</v>
      </c>
      <c r="O813">
        <v>12</v>
      </c>
      <c r="P813">
        <v>0</v>
      </c>
      <c r="Q813">
        <v>12</v>
      </c>
      <c r="R813">
        <v>0</v>
      </c>
      <c r="S813">
        <v>0</v>
      </c>
      <c r="T813" t="s">
        <v>109</v>
      </c>
      <c r="U813" t="s">
        <v>62</v>
      </c>
      <c r="V813" t="s">
        <v>62</v>
      </c>
      <c r="W813" t="s">
        <v>62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8</v>
      </c>
      <c r="AM813">
        <v>4</v>
      </c>
      <c r="AN813">
        <v>10</v>
      </c>
      <c r="AO813">
        <v>0</v>
      </c>
      <c r="AP813">
        <v>7</v>
      </c>
      <c r="AQ813">
        <v>2</v>
      </c>
      <c r="AR813" t="s">
        <v>193</v>
      </c>
      <c r="AS813" t="s">
        <v>551</v>
      </c>
      <c r="AT813">
        <v>0.89900000000000002</v>
      </c>
      <c r="AU813" t="s">
        <v>65</v>
      </c>
      <c r="AV813">
        <v>17</v>
      </c>
      <c r="AW813">
        <v>2</v>
      </c>
      <c r="AX813" t="s">
        <v>552</v>
      </c>
      <c r="AY813">
        <v>3.9469999999999998E-2</v>
      </c>
      <c r="AZ813">
        <v>-2.9199999999999999E-3</v>
      </c>
      <c r="BA813">
        <v>1.89E-3</v>
      </c>
      <c r="BB813">
        <v>-2.4000000000000001E-4</v>
      </c>
      <c r="BC813">
        <v>4.7890000000000002E-2</v>
      </c>
      <c r="BD813">
        <v>1</v>
      </c>
      <c r="BE813" t="s">
        <v>69</v>
      </c>
      <c r="BF813">
        <v>-1.42</v>
      </c>
      <c r="BG813">
        <v>-4.4999999999999998E-2</v>
      </c>
    </row>
    <row r="814" spans="1:59">
      <c r="A814">
        <v>0</v>
      </c>
      <c r="B814">
        <v>0</v>
      </c>
      <c r="C814">
        <v>0</v>
      </c>
      <c r="D814" t="s">
        <v>25022</v>
      </c>
      <c r="E814">
        <v>1479</v>
      </c>
      <c r="F814" t="s">
        <v>9242</v>
      </c>
      <c r="G814" t="s">
        <v>57</v>
      </c>
      <c r="H814">
        <v>1492261</v>
      </c>
      <c r="I814">
        <v>1492800</v>
      </c>
      <c r="J814" t="s">
        <v>9243</v>
      </c>
      <c r="K814">
        <v>180</v>
      </c>
      <c r="L814" t="s">
        <v>108</v>
      </c>
      <c r="M814">
        <v>44</v>
      </c>
      <c r="N814" t="str">
        <f>HYPERLINK("Gene1479-zp_tree_all.dnd", "Gene1479-tree")</f>
        <v>Gene1479-tree</v>
      </c>
      <c r="O814">
        <v>27</v>
      </c>
      <c r="P814">
        <v>4</v>
      </c>
      <c r="Q814">
        <v>8</v>
      </c>
      <c r="R814">
        <v>4</v>
      </c>
      <c r="S814">
        <v>0.33333000000000002</v>
      </c>
      <c r="T814" t="s">
        <v>282</v>
      </c>
      <c r="U814" t="s">
        <v>61</v>
      </c>
      <c r="V814" t="s">
        <v>62</v>
      </c>
      <c r="W814" t="s">
        <v>62</v>
      </c>
      <c r="X814">
        <v>0</v>
      </c>
      <c r="Y814">
        <v>0</v>
      </c>
      <c r="Z814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4</v>
      </c>
      <c r="AK814">
        <v>0</v>
      </c>
      <c r="AL814">
        <v>11</v>
      </c>
      <c r="AM814">
        <v>4</v>
      </c>
      <c r="AN814">
        <v>21</v>
      </c>
      <c r="AO814">
        <v>4</v>
      </c>
      <c r="AP814">
        <v>9</v>
      </c>
      <c r="AQ814">
        <v>0</v>
      </c>
      <c r="AR814" t="s">
        <v>9244</v>
      </c>
      <c r="AS814" t="s">
        <v>193</v>
      </c>
      <c r="AT814">
        <v>1.677</v>
      </c>
      <c r="AU814" t="s">
        <v>65</v>
      </c>
      <c r="AV814">
        <v>30</v>
      </c>
      <c r="AW814">
        <v>4</v>
      </c>
      <c r="AX814" t="s">
        <v>9245</v>
      </c>
      <c r="AY814">
        <v>4.9599999999999998E-2</v>
      </c>
      <c r="AZ814">
        <v>-2.64E-3</v>
      </c>
      <c r="BA814">
        <v>1.5900000000000001E-3</v>
      </c>
      <c r="BB814">
        <v>-1.8000000000000001E-4</v>
      </c>
      <c r="BC814">
        <v>3.2070000000000001E-2</v>
      </c>
      <c r="BD814">
        <v>1</v>
      </c>
      <c r="BE814" t="s">
        <v>69</v>
      </c>
      <c r="BF814">
        <v>-1.252</v>
      </c>
      <c r="BG814">
        <v>-1.6950000000000001</v>
      </c>
    </row>
    <row r="815" spans="1:59">
      <c r="A815">
        <v>0</v>
      </c>
      <c r="B815">
        <v>4</v>
      </c>
      <c r="C815">
        <v>0</v>
      </c>
      <c r="D815" t="s">
        <v>25022</v>
      </c>
      <c r="E815">
        <v>3747</v>
      </c>
      <c r="F815" t="s">
        <v>21977</v>
      </c>
      <c r="G815" t="s">
        <v>62</v>
      </c>
      <c r="H815">
        <v>3722789</v>
      </c>
      <c r="I815">
        <v>3723331</v>
      </c>
      <c r="J815" t="s">
        <v>1940</v>
      </c>
      <c r="K815">
        <v>181</v>
      </c>
      <c r="L815" t="s">
        <v>2548</v>
      </c>
      <c r="M815">
        <v>37</v>
      </c>
      <c r="N815" t="str">
        <f>HYPERLINK("Gene3747-zp_tree_all.dnd", "Gene3747-tree")</f>
        <v>Gene3747-tree</v>
      </c>
      <c r="O815">
        <v>2</v>
      </c>
      <c r="P815">
        <v>9</v>
      </c>
      <c r="Q815">
        <v>2</v>
      </c>
      <c r="R815">
        <v>9</v>
      </c>
      <c r="S815">
        <v>0.81818000000000002</v>
      </c>
      <c r="T815" t="s">
        <v>81</v>
      </c>
      <c r="U815" t="s">
        <v>135</v>
      </c>
      <c r="V815" t="s">
        <v>62</v>
      </c>
      <c r="W815" t="s">
        <v>62</v>
      </c>
      <c r="X815">
        <v>2</v>
      </c>
      <c r="Y815">
        <v>4</v>
      </c>
      <c r="Z815">
        <v>17</v>
      </c>
      <c r="AA815">
        <v>0.19048000000000001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4</v>
      </c>
      <c r="AH815">
        <v>0</v>
      </c>
      <c r="AI815">
        <v>4</v>
      </c>
      <c r="AJ815">
        <v>15</v>
      </c>
      <c r="AK815">
        <v>0.21052999999999999</v>
      </c>
      <c r="AL815">
        <v>8</v>
      </c>
      <c r="AM815">
        <v>4</v>
      </c>
      <c r="AN815">
        <v>2</v>
      </c>
      <c r="AO815">
        <v>14</v>
      </c>
      <c r="AP815">
        <v>5</v>
      </c>
      <c r="AQ815">
        <v>7</v>
      </c>
      <c r="AR815" t="s">
        <v>21978</v>
      </c>
      <c r="AS815" t="s">
        <v>21979</v>
      </c>
      <c r="AT815">
        <v>0.65</v>
      </c>
      <c r="AU815" t="s">
        <v>65</v>
      </c>
      <c r="AV815">
        <v>7</v>
      </c>
      <c r="AW815">
        <v>21</v>
      </c>
      <c r="AX815" t="s">
        <v>21980</v>
      </c>
      <c r="AY815">
        <v>0.02</v>
      </c>
      <c r="AZ815">
        <v>-1.6000000000000001E-3</v>
      </c>
      <c r="BA815">
        <v>1.3169999999999999E-2</v>
      </c>
      <c r="BB815">
        <v>-8.0999999999999996E-4</v>
      </c>
      <c r="BC815">
        <v>0.65846000000000005</v>
      </c>
      <c r="BD815">
        <v>0.59</v>
      </c>
      <c r="BE815" t="s">
        <v>635</v>
      </c>
      <c r="BF815">
        <v>0.115</v>
      </c>
      <c r="BG815">
        <v>0.379</v>
      </c>
    </row>
    <row r="816" spans="1:59">
      <c r="A816">
        <v>0</v>
      </c>
      <c r="B816">
        <v>0</v>
      </c>
      <c r="C816">
        <v>0</v>
      </c>
      <c r="D816" t="s">
        <v>25022</v>
      </c>
      <c r="E816">
        <v>1907</v>
      </c>
      <c r="F816" t="s">
        <v>11941</v>
      </c>
      <c r="G816" t="s">
        <v>57</v>
      </c>
      <c r="H816">
        <v>2002637</v>
      </c>
      <c r="I816">
        <v>2003179</v>
      </c>
      <c r="J816" t="s">
        <v>11942</v>
      </c>
      <c r="K816">
        <v>181</v>
      </c>
      <c r="L816" t="s">
        <v>108</v>
      </c>
      <c r="M816">
        <v>44</v>
      </c>
      <c r="N816" t="str">
        <f>HYPERLINK("Gene1907-zp_tree_all.dnd", "Gene1907-tree")</f>
        <v>Gene1907-tree</v>
      </c>
      <c r="O816">
        <v>10</v>
      </c>
      <c r="P816">
        <v>3</v>
      </c>
      <c r="Q816">
        <v>10</v>
      </c>
      <c r="R816">
        <v>3</v>
      </c>
      <c r="S816">
        <v>0.23077</v>
      </c>
      <c r="T816" t="s">
        <v>117</v>
      </c>
      <c r="U816" t="s">
        <v>324</v>
      </c>
      <c r="V816" t="s">
        <v>62</v>
      </c>
      <c r="W816" t="s">
        <v>62</v>
      </c>
      <c r="X816">
        <v>0</v>
      </c>
      <c r="Y816">
        <v>0</v>
      </c>
      <c r="Z816">
        <v>6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4</v>
      </c>
      <c r="AK816">
        <v>0</v>
      </c>
      <c r="AL816">
        <v>9</v>
      </c>
      <c r="AM816">
        <v>6</v>
      </c>
      <c r="AN816">
        <v>9</v>
      </c>
      <c r="AO816">
        <v>4</v>
      </c>
      <c r="AP816">
        <v>4</v>
      </c>
      <c r="AQ816">
        <v>2</v>
      </c>
      <c r="AR816" t="s">
        <v>11943</v>
      </c>
      <c r="AS816" t="s">
        <v>11944</v>
      </c>
      <c r="AT816">
        <v>8.6999999999999994E-2</v>
      </c>
      <c r="AU816" t="s">
        <v>65</v>
      </c>
      <c r="AV816">
        <v>13</v>
      </c>
      <c r="AW816">
        <v>6</v>
      </c>
      <c r="AX816" t="s">
        <v>11945</v>
      </c>
      <c r="AY816">
        <v>2.2339999999999999E-2</v>
      </c>
      <c r="AZ816">
        <v>-1.1000000000000001E-3</v>
      </c>
      <c r="BA816">
        <v>3.8E-3</v>
      </c>
      <c r="BB816">
        <v>-3.1E-4</v>
      </c>
      <c r="BC816">
        <v>0.16997999999999999</v>
      </c>
      <c r="BD816">
        <v>1</v>
      </c>
      <c r="BE816" t="s">
        <v>69</v>
      </c>
      <c r="BF816">
        <v>-0.44</v>
      </c>
      <c r="BG816">
        <v>-1.0680000000000001</v>
      </c>
    </row>
    <row r="817" spans="1:59">
      <c r="A817">
        <v>0</v>
      </c>
      <c r="B817">
        <v>5</v>
      </c>
      <c r="C817">
        <v>0</v>
      </c>
      <c r="D817" t="s">
        <v>25022</v>
      </c>
      <c r="E817">
        <v>3819</v>
      </c>
      <c r="F817" t="s">
        <v>22384</v>
      </c>
      <c r="G817" t="s">
        <v>62</v>
      </c>
      <c r="H817">
        <v>3785406</v>
      </c>
      <c r="I817">
        <v>3785948</v>
      </c>
      <c r="J817" t="s">
        <v>22385</v>
      </c>
      <c r="K817">
        <v>181</v>
      </c>
      <c r="L817" t="s">
        <v>572</v>
      </c>
      <c r="M817">
        <v>48</v>
      </c>
      <c r="N817" t="str">
        <f>HYPERLINK("Gene3819-zp_tree_all.dnd", "Gene3819-tree")</f>
        <v>Gene3819-tree</v>
      </c>
      <c r="O817">
        <v>8</v>
      </c>
      <c r="P817">
        <v>6</v>
      </c>
      <c r="Q817">
        <v>8</v>
      </c>
      <c r="R817">
        <v>6</v>
      </c>
      <c r="S817">
        <v>0.42857000000000001</v>
      </c>
      <c r="T817" t="s">
        <v>136</v>
      </c>
      <c r="U817" t="s">
        <v>90</v>
      </c>
      <c r="V817" t="s">
        <v>62</v>
      </c>
      <c r="W817" t="s">
        <v>62</v>
      </c>
      <c r="X817">
        <v>2</v>
      </c>
      <c r="Y817">
        <v>5</v>
      </c>
      <c r="Z817">
        <v>13</v>
      </c>
      <c r="AA817">
        <v>0.27778000000000003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</v>
      </c>
      <c r="AH817">
        <v>0</v>
      </c>
      <c r="AI817">
        <v>2</v>
      </c>
      <c r="AJ817">
        <v>8</v>
      </c>
      <c r="AK817">
        <v>0.2</v>
      </c>
      <c r="AL817">
        <v>11</v>
      </c>
      <c r="AM817">
        <v>7</v>
      </c>
      <c r="AN817">
        <v>21</v>
      </c>
      <c r="AO817">
        <v>9</v>
      </c>
      <c r="AP817">
        <v>20</v>
      </c>
      <c r="AQ817">
        <v>9</v>
      </c>
      <c r="AR817" t="s">
        <v>22386</v>
      </c>
      <c r="AS817" t="s">
        <v>22387</v>
      </c>
      <c r="AT817">
        <v>4.3999999999999997E-2</v>
      </c>
      <c r="AU817" t="s">
        <v>65</v>
      </c>
      <c r="AV817">
        <v>41</v>
      </c>
      <c r="AW817">
        <v>18</v>
      </c>
      <c r="AX817" t="s">
        <v>22388</v>
      </c>
      <c r="AY817">
        <v>7.4609999999999996E-2</v>
      </c>
      <c r="AZ817">
        <v>-5.3099999999999996E-3</v>
      </c>
      <c r="BA817">
        <v>8.77E-3</v>
      </c>
      <c r="BB817">
        <v>-6.0999999999999997E-4</v>
      </c>
      <c r="BC817">
        <v>0.11752</v>
      </c>
      <c r="BD817">
        <v>1</v>
      </c>
      <c r="BE817" t="s">
        <v>69</v>
      </c>
      <c r="BF817">
        <v>-0.61899999999999999</v>
      </c>
      <c r="BG817">
        <v>-0.59699999999999998</v>
      </c>
    </row>
    <row r="818" spans="1:59">
      <c r="A818">
        <v>0</v>
      </c>
      <c r="B818">
        <v>0</v>
      </c>
      <c r="C818">
        <v>0</v>
      </c>
      <c r="D818" t="s">
        <v>25022</v>
      </c>
      <c r="E818">
        <v>1608</v>
      </c>
      <c r="F818" t="s">
        <v>10065</v>
      </c>
      <c r="G818" t="s">
        <v>57</v>
      </c>
      <c r="H818">
        <v>1618304</v>
      </c>
      <c r="I818">
        <v>1618846</v>
      </c>
      <c r="J818" t="s">
        <v>10066</v>
      </c>
      <c r="K818">
        <v>181</v>
      </c>
      <c r="L818" t="s">
        <v>108</v>
      </c>
      <c r="M818">
        <v>44</v>
      </c>
      <c r="N818" t="str">
        <f>HYPERLINK("Gene1608-zp_tree_all.dnd", "Gene1608-tree")</f>
        <v>Gene1608-tree</v>
      </c>
      <c r="O818">
        <v>27</v>
      </c>
      <c r="P818">
        <v>1</v>
      </c>
      <c r="Q818">
        <v>10</v>
      </c>
      <c r="R818">
        <v>1</v>
      </c>
      <c r="S818">
        <v>9.0910000000000005E-2</v>
      </c>
      <c r="T818" t="s">
        <v>2980</v>
      </c>
      <c r="U818" t="s">
        <v>175</v>
      </c>
      <c r="V818" t="s">
        <v>62</v>
      </c>
      <c r="W818" t="s">
        <v>62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9</v>
      </c>
      <c r="AM818">
        <v>3</v>
      </c>
      <c r="AN818">
        <v>14</v>
      </c>
      <c r="AO818">
        <v>1</v>
      </c>
      <c r="AP818">
        <v>3</v>
      </c>
      <c r="AQ818">
        <v>0</v>
      </c>
      <c r="AR818" t="s">
        <v>10067</v>
      </c>
      <c r="AS818" t="s">
        <v>193</v>
      </c>
      <c r="AT818">
        <v>0.36599999999999999</v>
      </c>
      <c r="AU818" t="s">
        <v>65</v>
      </c>
      <c r="AV818">
        <v>17</v>
      </c>
      <c r="AW818">
        <v>1</v>
      </c>
      <c r="AX818" t="s">
        <v>10068</v>
      </c>
      <c r="AY818">
        <v>2.8819999999999998E-2</v>
      </c>
      <c r="AZ818">
        <v>-1.5900000000000001E-3</v>
      </c>
      <c r="BA818">
        <v>4.4000000000000002E-4</v>
      </c>
      <c r="BB818">
        <v>-1.2E-4</v>
      </c>
      <c r="BC818">
        <v>1.524E-2</v>
      </c>
      <c r="BD818">
        <v>1</v>
      </c>
      <c r="BE818" t="s">
        <v>69</v>
      </c>
      <c r="BF818">
        <v>-0.251</v>
      </c>
      <c r="BG818">
        <v>-1.3680000000000001</v>
      </c>
    </row>
    <row r="819" spans="1:59">
      <c r="A819">
        <v>0</v>
      </c>
      <c r="B819">
        <v>0</v>
      </c>
      <c r="C819">
        <v>0</v>
      </c>
      <c r="D819" t="s">
        <v>25022</v>
      </c>
      <c r="E819">
        <v>1676</v>
      </c>
      <c r="F819" t="s">
        <v>10499</v>
      </c>
      <c r="G819" t="s">
        <v>57</v>
      </c>
      <c r="H819">
        <v>1688114</v>
      </c>
      <c r="I819">
        <v>1688656</v>
      </c>
      <c r="J819" t="s">
        <v>10500</v>
      </c>
      <c r="K819">
        <v>181</v>
      </c>
      <c r="L819" t="s">
        <v>59</v>
      </c>
      <c r="M819">
        <v>49</v>
      </c>
      <c r="N819" t="str">
        <f>HYPERLINK("Gene1676-zp_tree_all.dnd", "Gene1676-tree")</f>
        <v>Gene1676-tree</v>
      </c>
      <c r="O819">
        <v>10</v>
      </c>
      <c r="P819">
        <v>1</v>
      </c>
      <c r="Q819">
        <v>10</v>
      </c>
      <c r="R819">
        <v>1</v>
      </c>
      <c r="S819">
        <v>9.0910000000000005E-2</v>
      </c>
      <c r="T819" t="s">
        <v>117</v>
      </c>
      <c r="U819" t="s">
        <v>175</v>
      </c>
      <c r="V819" t="s">
        <v>62</v>
      </c>
      <c r="W819" t="s">
        <v>62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7</v>
      </c>
      <c r="AM819">
        <v>6</v>
      </c>
      <c r="AN819">
        <v>15</v>
      </c>
      <c r="AO819">
        <v>1</v>
      </c>
      <c r="AP819">
        <v>30</v>
      </c>
      <c r="AQ819">
        <v>0</v>
      </c>
      <c r="AR819" t="s">
        <v>10501</v>
      </c>
      <c r="AS819" t="s">
        <v>193</v>
      </c>
      <c r="AT819">
        <v>0.42499999999999999</v>
      </c>
      <c r="AU819" t="s">
        <v>65</v>
      </c>
      <c r="AV819">
        <v>45</v>
      </c>
      <c r="AW819">
        <v>1</v>
      </c>
      <c r="AX819" t="s">
        <v>10502</v>
      </c>
      <c r="AY819">
        <v>0.12906000000000001</v>
      </c>
      <c r="AZ819">
        <v>-1.218E-2</v>
      </c>
      <c r="BA819">
        <v>4.4000000000000002E-4</v>
      </c>
      <c r="BB819">
        <v>-1.2E-4</v>
      </c>
      <c r="BC819">
        <v>3.3899999999999998E-3</v>
      </c>
      <c r="BD819">
        <v>1</v>
      </c>
      <c r="BE819" t="s">
        <v>69</v>
      </c>
      <c r="BF819">
        <v>-0.91200000000000003</v>
      </c>
      <c r="BG819">
        <v>3.3000000000000002E-2</v>
      </c>
    </row>
    <row r="820" spans="1:59">
      <c r="A820">
        <v>0</v>
      </c>
      <c r="B820">
        <v>0</v>
      </c>
      <c r="C820">
        <v>0</v>
      </c>
      <c r="D820" t="s">
        <v>25022</v>
      </c>
      <c r="E820">
        <v>1764</v>
      </c>
      <c r="F820" t="s">
        <v>11047</v>
      </c>
      <c r="G820" t="s">
        <v>57</v>
      </c>
      <c r="H820">
        <v>1775067</v>
      </c>
      <c r="I820">
        <v>1775609</v>
      </c>
      <c r="J820" t="s">
        <v>11048</v>
      </c>
      <c r="K820">
        <v>181</v>
      </c>
      <c r="L820" t="s">
        <v>108</v>
      </c>
      <c r="M820">
        <v>44</v>
      </c>
      <c r="N820" t="str">
        <f>HYPERLINK("Gene1764-zp_tree_all.dnd", "Gene1764-tree")</f>
        <v>Gene1764-tree</v>
      </c>
      <c r="O820">
        <v>36</v>
      </c>
      <c r="P820">
        <v>0</v>
      </c>
      <c r="Q820">
        <v>5</v>
      </c>
      <c r="R820">
        <v>0</v>
      </c>
      <c r="S820">
        <v>0</v>
      </c>
      <c r="T820" t="s">
        <v>11049</v>
      </c>
      <c r="U820" t="s">
        <v>62</v>
      </c>
      <c r="V820" t="s">
        <v>62</v>
      </c>
      <c r="W820" t="s">
        <v>62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4</v>
      </c>
      <c r="AM820">
        <v>1</v>
      </c>
      <c r="AN820">
        <v>5</v>
      </c>
      <c r="AO820">
        <v>0</v>
      </c>
      <c r="AP820">
        <v>1</v>
      </c>
      <c r="AQ820">
        <v>0</v>
      </c>
      <c r="AR820" t="s">
        <v>193</v>
      </c>
      <c r="AS820" t="s">
        <v>193</v>
      </c>
      <c r="AT820">
        <v>0</v>
      </c>
      <c r="AU820" t="s">
        <v>65</v>
      </c>
      <c r="AV820">
        <v>6</v>
      </c>
      <c r="AW820">
        <v>0</v>
      </c>
      <c r="AX820" t="s">
        <v>11050</v>
      </c>
      <c r="AY820">
        <v>2.308E-2</v>
      </c>
      <c r="AZ820">
        <v>-2.8999999999999998E-3</v>
      </c>
      <c r="BA820">
        <v>0</v>
      </c>
      <c r="BB820">
        <v>0</v>
      </c>
      <c r="BC820">
        <v>0</v>
      </c>
      <c r="BD820">
        <v>1</v>
      </c>
      <c r="BE820" t="s">
        <v>69</v>
      </c>
      <c r="BF820">
        <v>-0.58899999999999997</v>
      </c>
      <c r="BG820">
        <v>-0.49399999999999999</v>
      </c>
    </row>
    <row r="821" spans="1:59">
      <c r="A821">
        <v>0</v>
      </c>
      <c r="B821">
        <v>8</v>
      </c>
      <c r="C821">
        <v>4</v>
      </c>
      <c r="D821" t="s">
        <v>25022</v>
      </c>
      <c r="E821">
        <v>3113</v>
      </c>
      <c r="F821" t="s">
        <v>18061</v>
      </c>
      <c r="G821" t="s">
        <v>62</v>
      </c>
      <c r="H821">
        <v>3065754</v>
      </c>
      <c r="I821">
        <v>3066302</v>
      </c>
      <c r="J821" t="s">
        <v>18062</v>
      </c>
      <c r="K821">
        <v>183</v>
      </c>
      <c r="L821" t="s">
        <v>108</v>
      </c>
      <c r="M821">
        <v>44</v>
      </c>
      <c r="N821" t="str">
        <f>HYPERLINK("Gene3113-zp_tree_all.dnd", "Gene3113-tree")</f>
        <v>Gene3113-tree</v>
      </c>
      <c r="O821">
        <v>5</v>
      </c>
      <c r="P821">
        <v>9</v>
      </c>
      <c r="Q821">
        <v>5</v>
      </c>
      <c r="R821">
        <v>9</v>
      </c>
      <c r="S821">
        <v>0.64285999999999999</v>
      </c>
      <c r="T821" t="s">
        <v>199</v>
      </c>
      <c r="U821" t="s">
        <v>135</v>
      </c>
      <c r="V821" t="s">
        <v>62</v>
      </c>
      <c r="W821" t="s">
        <v>62</v>
      </c>
      <c r="X821">
        <v>5</v>
      </c>
      <c r="Y821">
        <v>12</v>
      </c>
      <c r="Z821">
        <v>11</v>
      </c>
      <c r="AA821">
        <v>0.52173999999999998</v>
      </c>
      <c r="AB821">
        <v>0</v>
      </c>
      <c r="AC821">
        <v>0</v>
      </c>
      <c r="AD821">
        <v>0</v>
      </c>
      <c r="AE821">
        <v>3</v>
      </c>
      <c r="AF821">
        <v>0</v>
      </c>
      <c r="AG821">
        <v>5</v>
      </c>
      <c r="AH821">
        <v>2</v>
      </c>
      <c r="AI821">
        <v>7</v>
      </c>
      <c r="AJ821">
        <v>7</v>
      </c>
      <c r="AK821">
        <v>0.5</v>
      </c>
      <c r="AL821">
        <v>11</v>
      </c>
      <c r="AM821">
        <v>8</v>
      </c>
      <c r="AN821">
        <v>10</v>
      </c>
      <c r="AO821">
        <v>13</v>
      </c>
      <c r="AP821">
        <v>4</v>
      </c>
      <c r="AQ821">
        <v>10</v>
      </c>
      <c r="AR821" t="s">
        <v>18063</v>
      </c>
      <c r="AS821" t="s">
        <v>18064</v>
      </c>
      <c r="AT821">
        <v>0.69199999999999995</v>
      </c>
      <c r="AU821" t="s">
        <v>65</v>
      </c>
      <c r="AV821">
        <v>14</v>
      </c>
      <c r="AW821">
        <v>23</v>
      </c>
      <c r="AX821" t="s">
        <v>18065</v>
      </c>
      <c r="AY821">
        <v>1.653E-2</v>
      </c>
      <c r="AZ821">
        <v>-7.6000000000000004E-4</v>
      </c>
      <c r="BA821">
        <v>1.086E-2</v>
      </c>
      <c r="BB821">
        <v>-5.6999999999999998E-4</v>
      </c>
      <c r="BC821">
        <v>0.65705000000000002</v>
      </c>
      <c r="BD821">
        <v>0.63</v>
      </c>
      <c r="BE821" t="s">
        <v>635</v>
      </c>
      <c r="BF821">
        <v>-0.25700000000000001</v>
      </c>
      <c r="BG821">
        <v>-1.119</v>
      </c>
    </row>
    <row r="822" spans="1:59">
      <c r="A822">
        <v>0</v>
      </c>
      <c r="B822">
        <v>9</v>
      </c>
      <c r="C822">
        <v>2</v>
      </c>
      <c r="D822" t="s">
        <v>25022</v>
      </c>
      <c r="E822">
        <v>429</v>
      </c>
      <c r="F822" t="s">
        <v>2912</v>
      </c>
      <c r="G822" t="s">
        <v>57</v>
      </c>
      <c r="H822">
        <v>473174</v>
      </c>
      <c r="I822">
        <v>473722</v>
      </c>
      <c r="J822" t="s">
        <v>2913</v>
      </c>
      <c r="K822">
        <v>183</v>
      </c>
      <c r="L822" t="s">
        <v>2914</v>
      </c>
      <c r="M822">
        <v>38</v>
      </c>
      <c r="N822" t="str">
        <f>HYPERLINK("Gene429-zp_tree_all.dnd", "Gene429-tree")</f>
        <v>Gene429-tree</v>
      </c>
      <c r="O822">
        <v>3</v>
      </c>
      <c r="P822">
        <v>8</v>
      </c>
      <c r="Q822">
        <v>3</v>
      </c>
      <c r="R822">
        <v>8</v>
      </c>
      <c r="S822">
        <v>0.72726999999999997</v>
      </c>
      <c r="T822" t="s">
        <v>324</v>
      </c>
      <c r="U822" t="s">
        <v>136</v>
      </c>
      <c r="V822" t="s">
        <v>62</v>
      </c>
      <c r="W822" t="s">
        <v>62</v>
      </c>
      <c r="X822">
        <v>5</v>
      </c>
      <c r="Y822">
        <v>11</v>
      </c>
      <c r="Z822">
        <v>11</v>
      </c>
      <c r="AA822">
        <v>0.5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2</v>
      </c>
      <c r="AH822">
        <v>2</v>
      </c>
      <c r="AI822">
        <v>4</v>
      </c>
      <c r="AJ822">
        <v>8</v>
      </c>
      <c r="AK822">
        <v>0.33333000000000002</v>
      </c>
      <c r="AL822">
        <v>9</v>
      </c>
      <c r="AM822">
        <v>7</v>
      </c>
      <c r="AN822">
        <v>11</v>
      </c>
      <c r="AO822">
        <v>11</v>
      </c>
      <c r="AP822">
        <v>11</v>
      </c>
      <c r="AQ822">
        <v>12</v>
      </c>
      <c r="AR822" t="s">
        <v>2915</v>
      </c>
      <c r="AS822" t="s">
        <v>2916</v>
      </c>
      <c r="AT822">
        <v>0.104</v>
      </c>
      <c r="AU822" t="s">
        <v>65</v>
      </c>
      <c r="AV822">
        <v>22</v>
      </c>
      <c r="AW822">
        <v>23</v>
      </c>
      <c r="AX822" t="s">
        <v>2917</v>
      </c>
      <c r="AY822">
        <v>4.616E-2</v>
      </c>
      <c r="AZ822">
        <v>-3.3899999999999998E-3</v>
      </c>
      <c r="BA822">
        <v>1.3339999999999999E-2</v>
      </c>
      <c r="BB822">
        <v>-1.1800000000000001E-3</v>
      </c>
      <c r="BC822">
        <v>0.28895999999999999</v>
      </c>
      <c r="BD822">
        <v>1</v>
      </c>
      <c r="BE822" t="s">
        <v>69</v>
      </c>
      <c r="BF822">
        <v>0.153</v>
      </c>
      <c r="BG822">
        <v>-0.59799999999999998</v>
      </c>
    </row>
    <row r="823" spans="1:59">
      <c r="A823">
        <v>0</v>
      </c>
      <c r="B823">
        <v>2</v>
      </c>
      <c r="C823">
        <v>2</v>
      </c>
      <c r="D823" t="s">
        <v>25022</v>
      </c>
      <c r="E823">
        <v>3295</v>
      </c>
      <c r="F823" t="s">
        <v>19229</v>
      </c>
      <c r="G823" t="s">
        <v>62</v>
      </c>
      <c r="H823">
        <v>3260894</v>
      </c>
      <c r="I823">
        <v>3261442</v>
      </c>
      <c r="J823" t="s">
        <v>19230</v>
      </c>
      <c r="K823">
        <v>183</v>
      </c>
      <c r="L823" t="s">
        <v>59</v>
      </c>
      <c r="M823">
        <v>49</v>
      </c>
      <c r="N823" t="str">
        <f>HYPERLINK("Gene3295-zp_tree_all.dnd", "Gene3295-tree")</f>
        <v>Gene3295-tree</v>
      </c>
      <c r="O823">
        <v>10</v>
      </c>
      <c r="P823">
        <v>6</v>
      </c>
      <c r="Q823">
        <v>10</v>
      </c>
      <c r="R823">
        <v>6</v>
      </c>
      <c r="S823">
        <v>0.375</v>
      </c>
      <c r="T823" t="s">
        <v>117</v>
      </c>
      <c r="U823" t="s">
        <v>90</v>
      </c>
      <c r="V823" t="s">
        <v>62</v>
      </c>
      <c r="W823" t="s">
        <v>62</v>
      </c>
      <c r="X823">
        <v>2</v>
      </c>
      <c r="Y823">
        <v>4</v>
      </c>
      <c r="Z823">
        <v>8</v>
      </c>
      <c r="AA823">
        <v>0.33333000000000002</v>
      </c>
      <c r="AB823">
        <v>0</v>
      </c>
      <c r="AC823">
        <v>0</v>
      </c>
      <c r="AD823">
        <v>0</v>
      </c>
      <c r="AE823">
        <v>3</v>
      </c>
      <c r="AF823">
        <v>0</v>
      </c>
      <c r="AG823">
        <v>0</v>
      </c>
      <c r="AH823">
        <v>2</v>
      </c>
      <c r="AI823">
        <v>2</v>
      </c>
      <c r="AJ823">
        <v>5</v>
      </c>
      <c r="AK823">
        <v>0.28571000000000002</v>
      </c>
      <c r="AL823">
        <v>11</v>
      </c>
      <c r="AM823">
        <v>9</v>
      </c>
      <c r="AN823">
        <v>12</v>
      </c>
      <c r="AO823">
        <v>7</v>
      </c>
      <c r="AP823">
        <v>20</v>
      </c>
      <c r="AQ823">
        <v>5</v>
      </c>
      <c r="AR823" t="s">
        <v>19231</v>
      </c>
      <c r="AS823" t="s">
        <v>19232</v>
      </c>
      <c r="AT823">
        <v>0.94699999999999995</v>
      </c>
      <c r="AU823" t="s">
        <v>65</v>
      </c>
      <c r="AV823">
        <v>32</v>
      </c>
      <c r="AW823">
        <v>12</v>
      </c>
      <c r="AX823" t="s">
        <v>19233</v>
      </c>
      <c r="AY823">
        <v>5.7299999999999997E-2</v>
      </c>
      <c r="AZ823">
        <v>-3.63E-3</v>
      </c>
      <c r="BA823">
        <v>4.7299999999999998E-3</v>
      </c>
      <c r="BB823">
        <v>-2.9E-4</v>
      </c>
      <c r="BC823">
        <v>8.2629999999999995E-2</v>
      </c>
      <c r="BD823">
        <v>1</v>
      </c>
      <c r="BE823" t="s">
        <v>69</v>
      </c>
      <c r="BF823">
        <v>-0.99299999999999999</v>
      </c>
      <c r="BG823">
        <v>-0.69899999999999995</v>
      </c>
    </row>
    <row r="824" spans="1:59">
      <c r="A824">
        <v>0</v>
      </c>
      <c r="B824">
        <v>2</v>
      </c>
      <c r="C824">
        <v>0</v>
      </c>
      <c r="D824" t="s">
        <v>25022</v>
      </c>
      <c r="E824">
        <v>1387</v>
      </c>
      <c r="F824" t="s">
        <v>8680</v>
      </c>
      <c r="G824" t="s">
        <v>57</v>
      </c>
      <c r="H824">
        <v>1400188</v>
      </c>
      <c r="I824">
        <v>1400736</v>
      </c>
      <c r="J824" t="s">
        <v>288</v>
      </c>
      <c r="K824">
        <v>183</v>
      </c>
      <c r="L824" t="s">
        <v>8681</v>
      </c>
      <c r="M824">
        <v>35</v>
      </c>
      <c r="N824" t="str">
        <f>HYPERLINK("Gene1387-zp_tree_all.dnd", "Gene1387-tree")</f>
        <v>Gene1387-tree</v>
      </c>
      <c r="O824">
        <v>26</v>
      </c>
      <c r="P824">
        <v>5</v>
      </c>
      <c r="Q824">
        <v>7</v>
      </c>
      <c r="R824">
        <v>5</v>
      </c>
      <c r="S824">
        <v>0.41666999999999998</v>
      </c>
      <c r="T824" t="s">
        <v>191</v>
      </c>
      <c r="U824" t="s">
        <v>199</v>
      </c>
      <c r="V824" t="s">
        <v>62</v>
      </c>
      <c r="W824" t="s">
        <v>62</v>
      </c>
      <c r="X824">
        <v>1</v>
      </c>
      <c r="Y824">
        <v>2</v>
      </c>
      <c r="Z824">
        <v>10</v>
      </c>
      <c r="AA824">
        <v>0.16667000000000001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2</v>
      </c>
      <c r="AH824">
        <v>0</v>
      </c>
      <c r="AI824">
        <v>2</v>
      </c>
      <c r="AJ824">
        <v>5</v>
      </c>
      <c r="AK824">
        <v>0.28571000000000002</v>
      </c>
      <c r="AL824">
        <v>11</v>
      </c>
      <c r="AM824">
        <v>8</v>
      </c>
      <c r="AN824">
        <v>21</v>
      </c>
      <c r="AO824">
        <v>7</v>
      </c>
      <c r="AP824">
        <v>32</v>
      </c>
      <c r="AQ824">
        <v>5</v>
      </c>
      <c r="AR824" t="s">
        <v>8682</v>
      </c>
      <c r="AS824" t="s">
        <v>8683</v>
      </c>
      <c r="AT824">
        <v>0.505</v>
      </c>
      <c r="AU824" t="s">
        <v>65</v>
      </c>
      <c r="AV824">
        <v>53</v>
      </c>
      <c r="AW824">
        <v>12</v>
      </c>
      <c r="AX824" t="s">
        <v>8684</v>
      </c>
      <c r="AY824">
        <v>0.12189999999999999</v>
      </c>
      <c r="AZ824">
        <v>-8.8500000000000002E-3</v>
      </c>
      <c r="BA824">
        <v>6.6899999999999998E-3</v>
      </c>
      <c r="BB824">
        <v>-6.8000000000000005E-4</v>
      </c>
      <c r="BC824">
        <v>5.4850000000000003E-2</v>
      </c>
      <c r="BD824">
        <v>1</v>
      </c>
      <c r="BE824" t="s">
        <v>69</v>
      </c>
      <c r="BF824">
        <v>0.28499999999999998</v>
      </c>
      <c r="BG824">
        <v>0.47099999999999997</v>
      </c>
    </row>
    <row r="825" spans="1:59">
      <c r="A825">
        <v>0</v>
      </c>
      <c r="B825">
        <v>6</v>
      </c>
      <c r="C825">
        <v>1</v>
      </c>
      <c r="D825" t="s">
        <v>25022</v>
      </c>
      <c r="E825">
        <v>3862</v>
      </c>
      <c r="F825" t="s">
        <v>22646</v>
      </c>
      <c r="G825" t="s">
        <v>62</v>
      </c>
      <c r="H825">
        <v>3824229</v>
      </c>
      <c r="I825">
        <v>3824780</v>
      </c>
      <c r="J825" t="s">
        <v>22647</v>
      </c>
      <c r="K825">
        <v>184</v>
      </c>
      <c r="L825" t="s">
        <v>1174</v>
      </c>
      <c r="M825">
        <v>42</v>
      </c>
      <c r="N825" t="str">
        <f>HYPERLINK("Gene3862-zp_tree_all.dnd", "Gene3862-tree")</f>
        <v>Gene3862-tree</v>
      </c>
      <c r="O825">
        <v>6</v>
      </c>
      <c r="P825">
        <v>21</v>
      </c>
      <c r="Q825">
        <v>6</v>
      </c>
      <c r="R825">
        <v>4</v>
      </c>
      <c r="S825">
        <v>0.4</v>
      </c>
      <c r="T825" t="s">
        <v>90</v>
      </c>
      <c r="U825" t="s">
        <v>3348</v>
      </c>
      <c r="V825">
        <v>4.6500000000000004</v>
      </c>
      <c r="W825" t="s">
        <v>65</v>
      </c>
      <c r="X825">
        <v>3</v>
      </c>
      <c r="Y825">
        <v>7</v>
      </c>
      <c r="Z825">
        <v>8</v>
      </c>
      <c r="AA825">
        <v>0.46666999999999997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</v>
      </c>
      <c r="AH825">
        <v>1</v>
      </c>
      <c r="AI825">
        <v>3</v>
      </c>
      <c r="AJ825">
        <v>8</v>
      </c>
      <c r="AK825">
        <v>0.27272999999999997</v>
      </c>
      <c r="AL825">
        <v>9</v>
      </c>
      <c r="AM825">
        <v>5</v>
      </c>
      <c r="AN825">
        <v>20</v>
      </c>
      <c r="AO825">
        <v>11</v>
      </c>
      <c r="AP825">
        <v>4</v>
      </c>
      <c r="AQ825">
        <v>4</v>
      </c>
      <c r="AR825" t="s">
        <v>22648</v>
      </c>
      <c r="AS825" t="s">
        <v>22649</v>
      </c>
      <c r="AT825">
        <v>0.82299999999999995</v>
      </c>
      <c r="AU825" t="s">
        <v>65</v>
      </c>
      <c r="AV825">
        <v>24</v>
      </c>
      <c r="AW825">
        <v>15</v>
      </c>
      <c r="AX825" t="s">
        <v>22650</v>
      </c>
      <c r="AY825">
        <v>3.4689999999999999E-2</v>
      </c>
      <c r="AZ825">
        <v>-2.1800000000000001E-3</v>
      </c>
      <c r="BA825">
        <v>8.5699999999999995E-3</v>
      </c>
      <c r="BB825">
        <v>-9.1E-4</v>
      </c>
      <c r="BC825">
        <v>0.24696000000000001</v>
      </c>
      <c r="BD825">
        <v>1</v>
      </c>
      <c r="BE825" t="s">
        <v>69</v>
      </c>
      <c r="BF825">
        <v>1.3360000000000001</v>
      </c>
      <c r="BG825">
        <v>0.44400000000000001</v>
      </c>
    </row>
    <row r="826" spans="1:59">
      <c r="A826">
        <v>0</v>
      </c>
      <c r="B826">
        <v>0</v>
      </c>
      <c r="C826">
        <v>2</v>
      </c>
      <c r="D826" t="s">
        <v>25022</v>
      </c>
      <c r="E826">
        <v>4236</v>
      </c>
      <c r="F826" t="s">
        <v>24879</v>
      </c>
      <c r="G826" t="s">
        <v>62</v>
      </c>
      <c r="H826">
        <v>4195781</v>
      </c>
      <c r="I826">
        <v>4196332</v>
      </c>
      <c r="J826" t="s">
        <v>24880</v>
      </c>
      <c r="K826">
        <v>184</v>
      </c>
      <c r="L826" t="s">
        <v>1933</v>
      </c>
      <c r="M826">
        <v>39</v>
      </c>
      <c r="N826" t="str">
        <f>HYPERLINK("Gene4236-zp_tree_all.dnd", "Gene4236-tree")</f>
        <v>Gene4236-tree</v>
      </c>
      <c r="O826">
        <v>4</v>
      </c>
      <c r="P826">
        <v>7</v>
      </c>
      <c r="Q826">
        <v>4</v>
      </c>
      <c r="R826">
        <v>7</v>
      </c>
      <c r="S826">
        <v>0.63636000000000004</v>
      </c>
      <c r="T826" t="s">
        <v>61</v>
      </c>
      <c r="U826" t="s">
        <v>152</v>
      </c>
      <c r="V826" t="s">
        <v>62</v>
      </c>
      <c r="W826" t="s">
        <v>62</v>
      </c>
      <c r="X826">
        <v>1</v>
      </c>
      <c r="Y826">
        <v>2</v>
      </c>
      <c r="Z826">
        <v>13</v>
      </c>
      <c r="AA826">
        <v>0.13333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12</v>
      </c>
      <c r="AK826">
        <v>0</v>
      </c>
      <c r="AL826">
        <v>9</v>
      </c>
      <c r="AM826">
        <v>6</v>
      </c>
      <c r="AN826">
        <v>21</v>
      </c>
      <c r="AO826">
        <v>12</v>
      </c>
      <c r="AP826">
        <v>6</v>
      </c>
      <c r="AQ826">
        <v>4</v>
      </c>
      <c r="AR826" t="s">
        <v>24881</v>
      </c>
      <c r="AS826" t="s">
        <v>24882</v>
      </c>
      <c r="AT826">
        <v>0.32400000000000001</v>
      </c>
      <c r="AU826" t="s">
        <v>65</v>
      </c>
      <c r="AV826">
        <v>27</v>
      </c>
      <c r="AW826">
        <v>16</v>
      </c>
      <c r="AX826" t="s">
        <v>24883</v>
      </c>
      <c r="AY826">
        <v>4.3990000000000001E-2</v>
      </c>
      <c r="AZ826">
        <v>-2.0200000000000001E-3</v>
      </c>
      <c r="BA826">
        <v>8.2299999999999995E-3</v>
      </c>
      <c r="BB826">
        <v>-5.5000000000000003E-4</v>
      </c>
      <c r="BC826">
        <v>0.18706</v>
      </c>
      <c r="BD826">
        <v>1</v>
      </c>
      <c r="BE826" t="s">
        <v>69</v>
      </c>
      <c r="BF826">
        <v>-1.167</v>
      </c>
      <c r="BG826">
        <v>-1.7529999999999999</v>
      </c>
    </row>
    <row r="827" spans="1:59">
      <c r="A827">
        <v>0</v>
      </c>
      <c r="B827">
        <v>12</v>
      </c>
      <c r="C827">
        <v>2</v>
      </c>
      <c r="D827" t="s">
        <v>25022</v>
      </c>
      <c r="E827">
        <v>2425</v>
      </c>
      <c r="F827" t="s">
        <v>14130</v>
      </c>
      <c r="G827" t="s">
        <v>62</v>
      </c>
      <c r="H827">
        <v>2432319</v>
      </c>
      <c r="I827">
        <v>2432870</v>
      </c>
      <c r="J827" t="s">
        <v>2768</v>
      </c>
      <c r="K827">
        <v>184</v>
      </c>
      <c r="L827" t="s">
        <v>5762</v>
      </c>
      <c r="M827">
        <v>43</v>
      </c>
      <c r="N827" t="str">
        <f>HYPERLINK("Gene2425-zp_tree_all.dnd", "Gene2425-tree")</f>
        <v>Gene2425-tree</v>
      </c>
      <c r="O827">
        <v>7</v>
      </c>
      <c r="P827">
        <v>5</v>
      </c>
      <c r="Q827">
        <v>7</v>
      </c>
      <c r="R827">
        <v>5</v>
      </c>
      <c r="S827">
        <v>0.41666999999999998</v>
      </c>
      <c r="T827" t="s">
        <v>152</v>
      </c>
      <c r="U827" t="s">
        <v>199</v>
      </c>
      <c r="V827" t="s">
        <v>62</v>
      </c>
      <c r="W827" t="s">
        <v>62</v>
      </c>
      <c r="X827">
        <v>5</v>
      </c>
      <c r="Y827">
        <v>14</v>
      </c>
      <c r="Z827">
        <v>4</v>
      </c>
      <c r="AA827">
        <v>0.77778000000000003</v>
      </c>
      <c r="AB827">
        <v>2</v>
      </c>
      <c r="AC827">
        <v>0</v>
      </c>
      <c r="AD827">
        <v>2</v>
      </c>
      <c r="AE827">
        <v>4</v>
      </c>
      <c r="AF827">
        <v>0.33333000000000002</v>
      </c>
      <c r="AG827">
        <v>4</v>
      </c>
      <c r="AH827">
        <v>0</v>
      </c>
      <c r="AI827">
        <v>4</v>
      </c>
      <c r="AJ827">
        <v>4</v>
      </c>
      <c r="AK827">
        <v>0.5</v>
      </c>
      <c r="AL827">
        <v>9</v>
      </c>
      <c r="AM827">
        <v>6</v>
      </c>
      <c r="AN827">
        <v>23</v>
      </c>
      <c r="AO827">
        <v>9</v>
      </c>
      <c r="AP827">
        <v>15</v>
      </c>
      <c r="AQ827">
        <v>12</v>
      </c>
      <c r="AR827" t="s">
        <v>14131</v>
      </c>
      <c r="AS827" t="s">
        <v>14132</v>
      </c>
      <c r="AT827">
        <v>0.94199999999999995</v>
      </c>
      <c r="AU827" t="s">
        <v>65</v>
      </c>
      <c r="AV827">
        <v>38</v>
      </c>
      <c r="AW827">
        <v>21</v>
      </c>
      <c r="AX827" t="s">
        <v>14133</v>
      </c>
      <c r="AY827">
        <v>7.6600000000000001E-2</v>
      </c>
      <c r="AZ827">
        <v>-3.5200000000000001E-3</v>
      </c>
      <c r="BA827">
        <v>1.217E-2</v>
      </c>
      <c r="BB827">
        <v>-1.01E-3</v>
      </c>
      <c r="BC827">
        <v>0.15889</v>
      </c>
      <c r="BD827">
        <v>1</v>
      </c>
      <c r="BE827" t="s">
        <v>69</v>
      </c>
      <c r="BF827">
        <v>0.46100000000000002</v>
      </c>
      <c r="BG827">
        <v>0.72</v>
      </c>
    </row>
    <row r="828" spans="1:59">
      <c r="A828">
        <v>0</v>
      </c>
      <c r="B828">
        <v>5</v>
      </c>
      <c r="C828">
        <v>2</v>
      </c>
      <c r="D828" t="s">
        <v>25022</v>
      </c>
      <c r="E828">
        <v>1561</v>
      </c>
      <c r="F828" t="s">
        <v>9759</v>
      </c>
      <c r="G828" t="s">
        <v>57</v>
      </c>
      <c r="H828">
        <v>1569519</v>
      </c>
      <c r="I828">
        <v>1570070</v>
      </c>
      <c r="J828" t="s">
        <v>9760</v>
      </c>
      <c r="K828">
        <v>184</v>
      </c>
      <c r="L828" t="s">
        <v>572</v>
      </c>
      <c r="M828">
        <v>48</v>
      </c>
      <c r="N828" t="str">
        <f>HYPERLINK("Gene1561-zp_tree_all.dnd", "Gene1561-tree")</f>
        <v>Gene1561-tree</v>
      </c>
      <c r="O828">
        <v>9</v>
      </c>
      <c r="P828">
        <v>8</v>
      </c>
      <c r="Q828">
        <v>9</v>
      </c>
      <c r="R828">
        <v>8</v>
      </c>
      <c r="S828">
        <v>0.47059000000000001</v>
      </c>
      <c r="T828" t="s">
        <v>135</v>
      </c>
      <c r="U828" t="s">
        <v>136</v>
      </c>
      <c r="V828" t="s">
        <v>62</v>
      </c>
      <c r="W828" t="s">
        <v>62</v>
      </c>
      <c r="X828">
        <v>3</v>
      </c>
      <c r="Y828">
        <v>7</v>
      </c>
      <c r="Z828">
        <v>11</v>
      </c>
      <c r="AA828">
        <v>0.38889000000000001</v>
      </c>
      <c r="AB828">
        <v>0</v>
      </c>
      <c r="AC828">
        <v>0</v>
      </c>
      <c r="AD828">
        <v>0</v>
      </c>
      <c r="AE828">
        <v>3</v>
      </c>
      <c r="AF828">
        <v>0</v>
      </c>
      <c r="AG828">
        <v>2</v>
      </c>
      <c r="AH828">
        <v>0</v>
      </c>
      <c r="AI828">
        <v>2</v>
      </c>
      <c r="AJ828">
        <v>8</v>
      </c>
      <c r="AK828">
        <v>0.2</v>
      </c>
      <c r="AL828">
        <v>12</v>
      </c>
      <c r="AM828">
        <v>11</v>
      </c>
      <c r="AN828">
        <v>34</v>
      </c>
      <c r="AO828">
        <v>10</v>
      </c>
      <c r="AP828">
        <v>31</v>
      </c>
      <c r="AQ828">
        <v>9</v>
      </c>
      <c r="AR828" t="s">
        <v>9761</v>
      </c>
      <c r="AS828" t="s">
        <v>9762</v>
      </c>
      <c r="AT828">
        <v>0.01</v>
      </c>
      <c r="AU828" t="s">
        <v>65</v>
      </c>
      <c r="AV828">
        <v>65</v>
      </c>
      <c r="AW828">
        <v>19</v>
      </c>
      <c r="AX828" t="s">
        <v>9763</v>
      </c>
      <c r="AY828">
        <v>9.5560000000000006E-2</v>
      </c>
      <c r="AZ828">
        <v>-7.1799999999999998E-3</v>
      </c>
      <c r="BA828">
        <v>8.43E-3</v>
      </c>
      <c r="BB828">
        <v>-3.3E-4</v>
      </c>
      <c r="BC828">
        <v>8.8270000000000001E-2</v>
      </c>
      <c r="BD828">
        <v>1</v>
      </c>
      <c r="BE828" t="s">
        <v>69</v>
      </c>
      <c r="BF828">
        <v>-1.2430000000000001</v>
      </c>
      <c r="BG828">
        <v>-2.423</v>
      </c>
    </row>
    <row r="829" spans="1:59">
      <c r="A829">
        <v>0</v>
      </c>
      <c r="B829">
        <v>4</v>
      </c>
      <c r="C829">
        <v>0</v>
      </c>
      <c r="D829" t="s">
        <v>25022</v>
      </c>
      <c r="E829">
        <v>674</v>
      </c>
      <c r="F829" t="s">
        <v>4203</v>
      </c>
      <c r="G829" t="s">
        <v>57</v>
      </c>
      <c r="H829">
        <v>697538</v>
      </c>
      <c r="I829">
        <v>698089</v>
      </c>
      <c r="J829" t="s">
        <v>288</v>
      </c>
      <c r="K829">
        <v>184</v>
      </c>
      <c r="L829" t="s">
        <v>4088</v>
      </c>
      <c r="M829">
        <v>48</v>
      </c>
      <c r="N829" t="str">
        <f>HYPERLINK("Gene674-zp_tree_all.dnd", "Gene674-tree")</f>
        <v>Gene674-tree</v>
      </c>
      <c r="O829">
        <v>16</v>
      </c>
      <c r="P829">
        <v>3</v>
      </c>
      <c r="Q829">
        <v>16</v>
      </c>
      <c r="R829">
        <v>3</v>
      </c>
      <c r="S829">
        <v>0.15789</v>
      </c>
      <c r="T829" t="s">
        <v>60</v>
      </c>
      <c r="U829" t="s">
        <v>324</v>
      </c>
      <c r="V829" t="s">
        <v>62</v>
      </c>
      <c r="W829" t="s">
        <v>62</v>
      </c>
      <c r="X829">
        <v>1</v>
      </c>
      <c r="Y829">
        <v>4</v>
      </c>
      <c r="Z829">
        <v>5</v>
      </c>
      <c r="AA829">
        <v>0.44444</v>
      </c>
      <c r="AB829">
        <v>2</v>
      </c>
      <c r="AC829">
        <v>0</v>
      </c>
      <c r="AD829">
        <v>2</v>
      </c>
      <c r="AE829">
        <v>1</v>
      </c>
      <c r="AF829">
        <v>0.66666999999999998</v>
      </c>
      <c r="AG829">
        <v>0</v>
      </c>
      <c r="AH829">
        <v>0</v>
      </c>
      <c r="AI829">
        <v>0</v>
      </c>
      <c r="AJ829">
        <v>3</v>
      </c>
      <c r="AK829">
        <v>0</v>
      </c>
      <c r="AL829">
        <v>9</v>
      </c>
      <c r="AM829">
        <v>13</v>
      </c>
      <c r="AN829">
        <v>21</v>
      </c>
      <c r="AO829">
        <v>3</v>
      </c>
      <c r="AP829">
        <v>32</v>
      </c>
      <c r="AQ829">
        <v>6</v>
      </c>
      <c r="AR829" t="s">
        <v>4204</v>
      </c>
      <c r="AS829" t="s">
        <v>4205</v>
      </c>
      <c r="AT829">
        <v>0.21199999999999999</v>
      </c>
      <c r="AU829" t="s">
        <v>65</v>
      </c>
      <c r="AV829">
        <v>53</v>
      </c>
      <c r="AW829">
        <v>9</v>
      </c>
      <c r="AX829" t="s">
        <v>4206</v>
      </c>
      <c r="AY829">
        <v>8.584E-2</v>
      </c>
      <c r="AZ829">
        <v>-5.1599999999999997E-3</v>
      </c>
      <c r="BA829">
        <v>3.9899999999999996E-3</v>
      </c>
      <c r="BB829">
        <v>-2.5999999999999998E-4</v>
      </c>
      <c r="BC829">
        <v>4.648E-2</v>
      </c>
      <c r="BD829">
        <v>1</v>
      </c>
      <c r="BE829" t="s">
        <v>69</v>
      </c>
      <c r="BF829">
        <v>-1.43</v>
      </c>
      <c r="BG829">
        <v>-0.76800000000000002</v>
      </c>
    </row>
    <row r="830" spans="1:59">
      <c r="A830">
        <v>0</v>
      </c>
      <c r="B830">
        <v>4</v>
      </c>
      <c r="C830">
        <v>2</v>
      </c>
      <c r="D830" t="s">
        <v>25022</v>
      </c>
      <c r="E830">
        <v>1165</v>
      </c>
      <c r="F830" t="s">
        <v>7337</v>
      </c>
      <c r="G830" t="s">
        <v>57</v>
      </c>
      <c r="H830">
        <v>1205981</v>
      </c>
      <c r="I830">
        <v>1206535</v>
      </c>
      <c r="J830" t="s">
        <v>7338</v>
      </c>
      <c r="K830">
        <v>185</v>
      </c>
      <c r="L830" t="s">
        <v>108</v>
      </c>
      <c r="M830">
        <v>44</v>
      </c>
      <c r="N830" t="str">
        <f>HYPERLINK("Gene1165-zp_tree_all.dnd", "Gene1165-tree")</f>
        <v>Gene1165-tree</v>
      </c>
      <c r="O830">
        <v>4</v>
      </c>
      <c r="P830">
        <v>30</v>
      </c>
      <c r="Q830">
        <v>4</v>
      </c>
      <c r="R830">
        <v>7</v>
      </c>
      <c r="S830">
        <v>0.63636000000000004</v>
      </c>
      <c r="T830" t="s">
        <v>61</v>
      </c>
      <c r="U830" t="s">
        <v>5684</v>
      </c>
      <c r="V830">
        <v>3.5419999999999998</v>
      </c>
      <c r="W830" t="s">
        <v>65</v>
      </c>
      <c r="X830">
        <v>3</v>
      </c>
      <c r="Y830">
        <v>6</v>
      </c>
      <c r="Z830">
        <v>6</v>
      </c>
      <c r="AA830">
        <v>0.5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4</v>
      </c>
      <c r="AH830">
        <v>2</v>
      </c>
      <c r="AI830">
        <v>6</v>
      </c>
      <c r="AJ830">
        <v>4</v>
      </c>
      <c r="AK830">
        <v>0.6</v>
      </c>
      <c r="AL830">
        <v>7</v>
      </c>
      <c r="AM830">
        <v>6</v>
      </c>
      <c r="AN830">
        <v>8</v>
      </c>
      <c r="AO830">
        <v>7</v>
      </c>
      <c r="AP830">
        <v>5</v>
      </c>
      <c r="AQ830">
        <v>6</v>
      </c>
      <c r="AR830" t="s">
        <v>7339</v>
      </c>
      <c r="AS830" t="s">
        <v>7340</v>
      </c>
      <c r="AT830">
        <v>0.41399999999999998</v>
      </c>
      <c r="AU830" t="s">
        <v>65</v>
      </c>
      <c r="AV830">
        <v>13</v>
      </c>
      <c r="AW830">
        <v>13</v>
      </c>
      <c r="AX830" t="s">
        <v>7341</v>
      </c>
      <c r="AY830">
        <v>2.921E-2</v>
      </c>
      <c r="AZ830">
        <v>-1.5100000000000001E-3</v>
      </c>
      <c r="BA830">
        <v>7.7600000000000004E-3</v>
      </c>
      <c r="BB830">
        <v>-4.6000000000000001E-4</v>
      </c>
      <c r="BC830">
        <v>0.26574999999999999</v>
      </c>
      <c r="BD830">
        <v>0.99</v>
      </c>
      <c r="BE830" t="s">
        <v>69</v>
      </c>
      <c r="BF830">
        <v>-0.52600000000000002</v>
      </c>
      <c r="BG830">
        <v>-2.1000000000000001E-2</v>
      </c>
    </row>
    <row r="831" spans="1:59">
      <c r="A831">
        <v>0</v>
      </c>
      <c r="B831">
        <v>4</v>
      </c>
      <c r="C831">
        <v>2</v>
      </c>
      <c r="D831" t="s">
        <v>25022</v>
      </c>
      <c r="E831">
        <v>2757</v>
      </c>
      <c r="F831" t="s">
        <v>15824</v>
      </c>
      <c r="G831" t="s">
        <v>62</v>
      </c>
      <c r="H831">
        <v>2712580</v>
      </c>
      <c r="I831">
        <v>2713134</v>
      </c>
      <c r="J831" t="s">
        <v>15825</v>
      </c>
      <c r="K831">
        <v>185</v>
      </c>
      <c r="L831" t="s">
        <v>15826</v>
      </c>
      <c r="M831">
        <v>30</v>
      </c>
      <c r="N831" t="str">
        <f>HYPERLINK("Gene2757-zp_tree_all.dnd", "Gene2757-tree")</f>
        <v>Gene2757-tree</v>
      </c>
      <c r="O831">
        <v>1</v>
      </c>
      <c r="P831">
        <v>7</v>
      </c>
      <c r="Q831">
        <v>1</v>
      </c>
      <c r="R831">
        <v>7</v>
      </c>
      <c r="S831">
        <v>0.875</v>
      </c>
      <c r="T831" t="s">
        <v>175</v>
      </c>
      <c r="U831" t="s">
        <v>152</v>
      </c>
      <c r="V831" t="s">
        <v>62</v>
      </c>
      <c r="W831" t="s">
        <v>62</v>
      </c>
      <c r="X831">
        <v>3</v>
      </c>
      <c r="Y831">
        <v>6</v>
      </c>
      <c r="Z831">
        <v>9</v>
      </c>
      <c r="AA831">
        <v>0.4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10</v>
      </c>
      <c r="AK831">
        <v>0</v>
      </c>
      <c r="AL831">
        <v>6</v>
      </c>
      <c r="AM831">
        <v>5</v>
      </c>
      <c r="AN831">
        <v>9</v>
      </c>
      <c r="AO831">
        <v>8</v>
      </c>
      <c r="AP831">
        <v>12</v>
      </c>
      <c r="AQ831">
        <v>7</v>
      </c>
      <c r="AR831" t="s">
        <v>15827</v>
      </c>
      <c r="AS831" t="s">
        <v>15828</v>
      </c>
      <c r="AT831">
        <v>0.52400000000000002</v>
      </c>
      <c r="AU831" t="s">
        <v>65</v>
      </c>
      <c r="AV831">
        <v>21</v>
      </c>
      <c r="AW831">
        <v>15</v>
      </c>
      <c r="AX831" t="s">
        <v>15829</v>
      </c>
      <c r="AY831">
        <v>6.3909999999999995E-2</v>
      </c>
      <c r="AZ831">
        <v>-5.8700000000000002E-3</v>
      </c>
      <c r="BA831">
        <v>1.159E-2</v>
      </c>
      <c r="BB831">
        <v>-9.7000000000000005E-4</v>
      </c>
      <c r="BC831">
        <v>0.18129999999999999</v>
      </c>
      <c r="BD831">
        <v>1</v>
      </c>
      <c r="BE831" t="s">
        <v>69</v>
      </c>
      <c r="BF831">
        <v>0.192</v>
      </c>
      <c r="BG831">
        <v>0.40500000000000003</v>
      </c>
    </row>
    <row r="832" spans="1:59">
      <c r="A832">
        <v>0</v>
      </c>
      <c r="B832">
        <v>8</v>
      </c>
      <c r="C832">
        <v>1</v>
      </c>
      <c r="D832" t="s">
        <v>25022</v>
      </c>
      <c r="E832">
        <v>1980</v>
      </c>
      <c r="F832" t="s">
        <v>12327</v>
      </c>
      <c r="G832" t="s">
        <v>62</v>
      </c>
      <c r="H832">
        <v>2073661</v>
      </c>
      <c r="I832">
        <v>2074215</v>
      </c>
      <c r="J832" t="s">
        <v>12267</v>
      </c>
      <c r="K832">
        <v>185</v>
      </c>
      <c r="L832" t="s">
        <v>12328</v>
      </c>
      <c r="M832">
        <v>39</v>
      </c>
      <c r="N832" t="str">
        <f>HYPERLINK("Gene1980-zp_tree_all.dnd", "Gene1980-tree")</f>
        <v>Gene1980-tree</v>
      </c>
      <c r="O832">
        <v>0</v>
      </c>
      <c r="P832">
        <v>7</v>
      </c>
      <c r="Q832">
        <v>0</v>
      </c>
      <c r="R832">
        <v>7</v>
      </c>
      <c r="S832">
        <v>1</v>
      </c>
      <c r="T832" t="s">
        <v>62</v>
      </c>
      <c r="U832" t="s">
        <v>152</v>
      </c>
      <c r="V832" t="s">
        <v>62</v>
      </c>
      <c r="W832" t="s">
        <v>62</v>
      </c>
      <c r="X832">
        <v>4</v>
      </c>
      <c r="Y832">
        <v>9</v>
      </c>
      <c r="Z832">
        <v>8</v>
      </c>
      <c r="AA832">
        <v>0.52941000000000005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6</v>
      </c>
      <c r="AH832">
        <v>1</v>
      </c>
      <c r="AI832">
        <v>7</v>
      </c>
      <c r="AJ832">
        <v>6</v>
      </c>
      <c r="AK832">
        <v>0.53846000000000005</v>
      </c>
      <c r="AL832">
        <v>5</v>
      </c>
      <c r="AM832">
        <v>3</v>
      </c>
      <c r="AN832">
        <v>7</v>
      </c>
      <c r="AO832">
        <v>9</v>
      </c>
      <c r="AP832">
        <v>14</v>
      </c>
      <c r="AQ832">
        <v>8</v>
      </c>
      <c r="AR832" t="s">
        <v>12329</v>
      </c>
      <c r="AS832" t="s">
        <v>12330</v>
      </c>
      <c r="AT832">
        <v>1.026</v>
      </c>
      <c r="AU832" t="s">
        <v>65</v>
      </c>
      <c r="AV832">
        <v>21</v>
      </c>
      <c r="AW832">
        <v>17</v>
      </c>
      <c r="AX832" t="s">
        <v>12331</v>
      </c>
      <c r="AY832">
        <v>7.6170000000000002E-2</v>
      </c>
      <c r="AZ832">
        <v>-7.3099999999999997E-3</v>
      </c>
      <c r="BA832">
        <v>1.2840000000000001E-2</v>
      </c>
      <c r="BB832">
        <v>-1.08E-3</v>
      </c>
      <c r="BC832">
        <v>0.16857</v>
      </c>
      <c r="BD832">
        <v>1</v>
      </c>
      <c r="BE832" t="s">
        <v>69</v>
      </c>
      <c r="BF832">
        <v>1.379</v>
      </c>
      <c r="BG832">
        <v>-0.113</v>
      </c>
    </row>
    <row r="833" spans="1:59">
      <c r="A833">
        <v>0</v>
      </c>
      <c r="B833">
        <v>8</v>
      </c>
      <c r="C833">
        <v>0</v>
      </c>
      <c r="D833" t="s">
        <v>25022</v>
      </c>
      <c r="E833">
        <v>2248</v>
      </c>
      <c r="F833" t="s">
        <v>13056</v>
      </c>
      <c r="G833" t="s">
        <v>62</v>
      </c>
      <c r="H833">
        <v>2277524</v>
      </c>
      <c r="I833">
        <v>2278078</v>
      </c>
      <c r="J833" t="s">
        <v>12900</v>
      </c>
      <c r="K833">
        <v>185</v>
      </c>
      <c r="L833" t="s">
        <v>13057</v>
      </c>
      <c r="M833">
        <v>38</v>
      </c>
      <c r="N833" t="str">
        <f>HYPERLINK("Gene2248-zp_tree_all.dnd", "Gene2248-tree")</f>
        <v>Gene2248-tree</v>
      </c>
      <c r="O833">
        <v>0</v>
      </c>
      <c r="P833">
        <v>7</v>
      </c>
      <c r="Q833">
        <v>0</v>
      </c>
      <c r="R833">
        <v>7</v>
      </c>
      <c r="S833">
        <v>1</v>
      </c>
      <c r="T833" t="s">
        <v>62</v>
      </c>
      <c r="U833" t="s">
        <v>152</v>
      </c>
      <c r="V833" t="s">
        <v>62</v>
      </c>
      <c r="W833" t="s">
        <v>62</v>
      </c>
      <c r="X833">
        <v>4</v>
      </c>
      <c r="Y833">
        <v>8</v>
      </c>
      <c r="Z833">
        <v>11</v>
      </c>
      <c r="AA833">
        <v>0.42104999999999998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</v>
      </c>
      <c r="AH833">
        <v>0</v>
      </c>
      <c r="AI833">
        <v>4</v>
      </c>
      <c r="AJ833">
        <v>10</v>
      </c>
      <c r="AK833">
        <v>0.28571000000000002</v>
      </c>
      <c r="AL833">
        <v>5</v>
      </c>
      <c r="AM833">
        <v>3</v>
      </c>
      <c r="AN833">
        <v>10</v>
      </c>
      <c r="AO833">
        <v>12</v>
      </c>
      <c r="AP833">
        <v>14</v>
      </c>
      <c r="AQ833">
        <v>7</v>
      </c>
      <c r="AR833" t="s">
        <v>13058</v>
      </c>
      <c r="AS833" t="s">
        <v>13059</v>
      </c>
      <c r="AT833">
        <v>0.63300000000000001</v>
      </c>
      <c r="AU833" t="s">
        <v>65</v>
      </c>
      <c r="AV833">
        <v>24</v>
      </c>
      <c r="AW833">
        <v>19</v>
      </c>
      <c r="AX833" t="s">
        <v>13060</v>
      </c>
      <c r="AY833">
        <v>8.9580000000000007E-2</v>
      </c>
      <c r="AZ833">
        <v>-1.0789999999999999E-2</v>
      </c>
      <c r="BA833">
        <v>1.4239999999999999E-2</v>
      </c>
      <c r="BB833">
        <v>-1.1800000000000001E-3</v>
      </c>
      <c r="BC833">
        <v>0.15894</v>
      </c>
      <c r="BD833">
        <v>1</v>
      </c>
      <c r="BE833" t="s">
        <v>69</v>
      </c>
      <c r="BF833">
        <v>2.5870000000000002</v>
      </c>
      <c r="BG833">
        <v>1.409</v>
      </c>
    </row>
    <row r="834" spans="1:59">
      <c r="A834">
        <v>0</v>
      </c>
      <c r="B834">
        <v>2</v>
      </c>
      <c r="C834">
        <v>0</v>
      </c>
      <c r="D834" t="s">
        <v>25022</v>
      </c>
      <c r="E834">
        <v>2347</v>
      </c>
      <c r="F834" t="s">
        <v>13625</v>
      </c>
      <c r="G834" t="s">
        <v>62</v>
      </c>
      <c r="H834">
        <v>2362410</v>
      </c>
      <c r="I834">
        <v>2362964</v>
      </c>
      <c r="J834" t="s">
        <v>13626</v>
      </c>
      <c r="K834">
        <v>185</v>
      </c>
      <c r="L834" t="s">
        <v>13627</v>
      </c>
      <c r="M834">
        <v>39</v>
      </c>
      <c r="N834" t="str">
        <f>HYPERLINK("Gene2347-zp_tree_all.dnd", "Gene2347-tree")</f>
        <v>Gene2347-tree</v>
      </c>
      <c r="O834">
        <v>6</v>
      </c>
      <c r="P834">
        <v>6</v>
      </c>
      <c r="Q834">
        <v>6</v>
      </c>
      <c r="R834">
        <v>6</v>
      </c>
      <c r="S834">
        <v>0.5</v>
      </c>
      <c r="T834" t="s">
        <v>90</v>
      </c>
      <c r="U834" t="s">
        <v>90</v>
      </c>
      <c r="V834" t="s">
        <v>62</v>
      </c>
      <c r="W834" t="s">
        <v>62</v>
      </c>
      <c r="X834">
        <v>1</v>
      </c>
      <c r="Y834">
        <v>2</v>
      </c>
      <c r="Z834">
        <v>9</v>
      </c>
      <c r="AA834">
        <v>0.18182000000000001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</v>
      </c>
      <c r="AH834">
        <v>0</v>
      </c>
      <c r="AI834">
        <v>2</v>
      </c>
      <c r="AJ834">
        <v>5</v>
      </c>
      <c r="AK834">
        <v>0.28571000000000002</v>
      </c>
      <c r="AL834">
        <v>11</v>
      </c>
      <c r="AM834">
        <v>7</v>
      </c>
      <c r="AN834">
        <v>21</v>
      </c>
      <c r="AO834">
        <v>7</v>
      </c>
      <c r="AP834">
        <v>10</v>
      </c>
      <c r="AQ834">
        <v>4</v>
      </c>
      <c r="AR834" t="s">
        <v>13628</v>
      </c>
      <c r="AS834" t="s">
        <v>13629</v>
      </c>
      <c r="AT834">
        <v>0.31</v>
      </c>
      <c r="AU834" t="s">
        <v>65</v>
      </c>
      <c r="AV834">
        <v>31</v>
      </c>
      <c r="AW834">
        <v>11</v>
      </c>
      <c r="AX834" t="s">
        <v>13630</v>
      </c>
      <c r="AY834">
        <v>4.913E-2</v>
      </c>
      <c r="AZ834">
        <v>-2.8600000000000001E-3</v>
      </c>
      <c r="BA834">
        <v>6.5900000000000004E-3</v>
      </c>
      <c r="BB834">
        <v>-3.5E-4</v>
      </c>
      <c r="BC834">
        <v>0.13406000000000001</v>
      </c>
      <c r="BD834">
        <v>1</v>
      </c>
      <c r="BE834" t="s">
        <v>69</v>
      </c>
      <c r="BF834">
        <v>-0.39900000000000002</v>
      </c>
      <c r="BG834">
        <v>-0.61699999999999999</v>
      </c>
    </row>
    <row r="835" spans="1:59">
      <c r="A835">
        <v>0</v>
      </c>
      <c r="B835">
        <v>4</v>
      </c>
      <c r="C835">
        <v>2</v>
      </c>
      <c r="D835" t="s">
        <v>25022</v>
      </c>
      <c r="E835">
        <v>4097</v>
      </c>
      <c r="F835" t="s">
        <v>24124</v>
      </c>
      <c r="G835" t="s">
        <v>62</v>
      </c>
      <c r="H835">
        <v>4064539</v>
      </c>
      <c r="I835">
        <v>4065093</v>
      </c>
      <c r="J835" t="s">
        <v>2075</v>
      </c>
      <c r="K835">
        <v>185</v>
      </c>
      <c r="L835" t="s">
        <v>108</v>
      </c>
      <c r="M835">
        <v>44</v>
      </c>
      <c r="N835" t="str">
        <f>HYPERLINK("Gene4097-zp_tree_all.dnd", "Gene4097-tree")</f>
        <v>Gene4097-tree</v>
      </c>
      <c r="O835">
        <v>7</v>
      </c>
      <c r="P835">
        <v>8</v>
      </c>
      <c r="Q835">
        <v>7</v>
      </c>
      <c r="R835">
        <v>8</v>
      </c>
      <c r="S835">
        <v>0.53332999999999997</v>
      </c>
      <c r="T835" t="s">
        <v>152</v>
      </c>
      <c r="U835" t="s">
        <v>136</v>
      </c>
      <c r="V835" t="s">
        <v>62</v>
      </c>
      <c r="W835" t="s">
        <v>62</v>
      </c>
      <c r="X835">
        <v>3</v>
      </c>
      <c r="Y835">
        <v>6</v>
      </c>
      <c r="Z835">
        <v>12</v>
      </c>
      <c r="AA835">
        <v>0.33333000000000002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11</v>
      </c>
      <c r="AK835">
        <v>0</v>
      </c>
      <c r="AL835">
        <v>11</v>
      </c>
      <c r="AM835">
        <v>10</v>
      </c>
      <c r="AN835">
        <v>20</v>
      </c>
      <c r="AO835">
        <v>11</v>
      </c>
      <c r="AP835">
        <v>18</v>
      </c>
      <c r="AQ835">
        <v>7</v>
      </c>
      <c r="AR835" t="s">
        <v>24125</v>
      </c>
      <c r="AS835" t="s">
        <v>24126</v>
      </c>
      <c r="AT835">
        <v>0.47399999999999998</v>
      </c>
      <c r="AU835" t="s">
        <v>65</v>
      </c>
      <c r="AV835">
        <v>38</v>
      </c>
      <c r="AW835">
        <v>18</v>
      </c>
      <c r="AX835" t="s">
        <v>24127</v>
      </c>
      <c r="AY835">
        <v>5.91E-2</v>
      </c>
      <c r="AZ835">
        <v>-2.4299999999999999E-3</v>
      </c>
      <c r="BA835">
        <v>7.8499999999999993E-3</v>
      </c>
      <c r="BB835">
        <v>-5.5999999999999995E-4</v>
      </c>
      <c r="BC835">
        <v>0.13288</v>
      </c>
      <c r="BD835">
        <v>1</v>
      </c>
      <c r="BE835" t="s">
        <v>69</v>
      </c>
      <c r="BF835">
        <v>-0.86</v>
      </c>
      <c r="BG835">
        <v>-1.484</v>
      </c>
    </row>
    <row r="836" spans="1:59">
      <c r="A836">
        <v>0</v>
      </c>
      <c r="B836">
        <v>0</v>
      </c>
      <c r="C836">
        <v>0</v>
      </c>
      <c r="D836" t="s">
        <v>25022</v>
      </c>
      <c r="E836">
        <v>2460</v>
      </c>
      <c r="F836" t="s">
        <v>14331</v>
      </c>
      <c r="G836" t="s">
        <v>62</v>
      </c>
      <c r="H836">
        <v>2458512</v>
      </c>
      <c r="I836">
        <v>2459066</v>
      </c>
      <c r="J836" t="s">
        <v>14332</v>
      </c>
      <c r="K836">
        <v>185</v>
      </c>
      <c r="L836" t="s">
        <v>108</v>
      </c>
      <c r="M836">
        <v>44</v>
      </c>
      <c r="N836" t="str">
        <f>HYPERLINK("Gene2460-zp_tree_all.dnd", "Gene2460-tree")</f>
        <v>Gene2460-tree</v>
      </c>
      <c r="O836">
        <v>6</v>
      </c>
      <c r="P836">
        <v>5</v>
      </c>
      <c r="Q836">
        <v>6</v>
      </c>
      <c r="R836">
        <v>5</v>
      </c>
      <c r="S836">
        <v>0.45455000000000001</v>
      </c>
      <c r="T836" t="s">
        <v>90</v>
      </c>
      <c r="U836" t="s">
        <v>199</v>
      </c>
      <c r="V836" t="s">
        <v>62</v>
      </c>
      <c r="W836" t="s">
        <v>62</v>
      </c>
      <c r="X836">
        <v>0</v>
      </c>
      <c r="Y836">
        <v>0</v>
      </c>
      <c r="Z836">
        <v>6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6</v>
      </c>
      <c r="AK836">
        <v>0</v>
      </c>
      <c r="AL836">
        <v>11</v>
      </c>
      <c r="AM836">
        <v>4</v>
      </c>
      <c r="AN836">
        <v>13</v>
      </c>
      <c r="AO836">
        <v>6</v>
      </c>
      <c r="AP836">
        <v>6</v>
      </c>
      <c r="AQ836">
        <v>0</v>
      </c>
      <c r="AR836" t="s">
        <v>14333</v>
      </c>
      <c r="AS836" t="s">
        <v>193</v>
      </c>
      <c r="AT836">
        <v>1.706</v>
      </c>
      <c r="AU836" t="s">
        <v>65</v>
      </c>
      <c r="AV836">
        <v>19</v>
      </c>
      <c r="AW836">
        <v>6</v>
      </c>
      <c r="AX836" t="s">
        <v>14334</v>
      </c>
      <c r="AY836">
        <v>2.844E-2</v>
      </c>
      <c r="AZ836">
        <v>-1.58E-3</v>
      </c>
      <c r="BA836">
        <v>2.5899999999999999E-3</v>
      </c>
      <c r="BB836">
        <v>-2.7999999999999998E-4</v>
      </c>
      <c r="BC836">
        <v>9.1039999999999996E-2</v>
      </c>
      <c r="BD836">
        <v>1</v>
      </c>
      <c r="BE836" t="s">
        <v>69</v>
      </c>
      <c r="BF836">
        <v>-1.1020000000000001</v>
      </c>
      <c r="BG836">
        <v>-1.5269999999999999</v>
      </c>
    </row>
    <row r="837" spans="1:59">
      <c r="A837">
        <v>0</v>
      </c>
      <c r="B837">
        <v>0</v>
      </c>
      <c r="C837">
        <v>0</v>
      </c>
      <c r="D837" t="s">
        <v>25022</v>
      </c>
      <c r="E837">
        <v>3829</v>
      </c>
      <c r="F837" t="s">
        <v>22445</v>
      </c>
      <c r="G837" t="s">
        <v>62</v>
      </c>
      <c r="H837">
        <v>3792336</v>
      </c>
      <c r="I837">
        <v>3792890</v>
      </c>
      <c r="J837" t="s">
        <v>22446</v>
      </c>
      <c r="K837">
        <v>185</v>
      </c>
      <c r="L837" t="s">
        <v>108</v>
      </c>
      <c r="M837">
        <v>44</v>
      </c>
      <c r="N837" t="str">
        <f>HYPERLINK("Gene3829-zp_tree_all.dnd", "Gene3829-tree")</f>
        <v>Gene3829-tree</v>
      </c>
      <c r="O837">
        <v>4</v>
      </c>
      <c r="P837">
        <v>2</v>
      </c>
      <c r="Q837">
        <v>4</v>
      </c>
      <c r="R837">
        <v>2</v>
      </c>
      <c r="S837">
        <v>0.33333000000000002</v>
      </c>
      <c r="T837" t="s">
        <v>61</v>
      </c>
      <c r="U837" t="s">
        <v>81</v>
      </c>
      <c r="V837" t="s">
        <v>62</v>
      </c>
      <c r="W837" t="s">
        <v>62</v>
      </c>
      <c r="X837">
        <v>0</v>
      </c>
      <c r="Y837">
        <v>0</v>
      </c>
      <c r="Z837">
        <v>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</v>
      </c>
      <c r="AK837">
        <v>0</v>
      </c>
      <c r="AL837">
        <v>5</v>
      </c>
      <c r="AM837">
        <v>2</v>
      </c>
      <c r="AN837">
        <v>12</v>
      </c>
      <c r="AO837">
        <v>3</v>
      </c>
      <c r="AP837">
        <v>2</v>
      </c>
      <c r="AQ837">
        <v>0</v>
      </c>
      <c r="AR837" t="s">
        <v>22447</v>
      </c>
      <c r="AS837" t="s">
        <v>193</v>
      </c>
      <c r="AT837">
        <v>1.139</v>
      </c>
      <c r="AU837" t="s">
        <v>65</v>
      </c>
      <c r="AV837">
        <v>14</v>
      </c>
      <c r="AW837">
        <v>3</v>
      </c>
      <c r="AX837" t="s">
        <v>22448</v>
      </c>
      <c r="AY837">
        <v>3.7199999999999997E-2</v>
      </c>
      <c r="AZ837">
        <v>-3.3700000000000002E-3</v>
      </c>
      <c r="BA837">
        <v>2.3999999999999998E-3</v>
      </c>
      <c r="BB837">
        <v>-5.9999999999999995E-4</v>
      </c>
      <c r="BC837">
        <v>6.4399999999999999E-2</v>
      </c>
      <c r="BD837">
        <v>1</v>
      </c>
      <c r="BE837" t="s">
        <v>69</v>
      </c>
      <c r="BF837">
        <v>-0.89300000000000002</v>
      </c>
      <c r="BG837">
        <v>-1.3680000000000001</v>
      </c>
    </row>
    <row r="838" spans="1:59">
      <c r="A838">
        <v>0</v>
      </c>
      <c r="B838">
        <v>0</v>
      </c>
      <c r="C838">
        <v>0</v>
      </c>
      <c r="D838" t="s">
        <v>25022</v>
      </c>
      <c r="E838">
        <v>1714</v>
      </c>
      <c r="F838" t="s">
        <v>10749</v>
      </c>
      <c r="G838" t="s">
        <v>57</v>
      </c>
      <c r="H838">
        <v>1720526</v>
      </c>
      <c r="I838">
        <v>1721080</v>
      </c>
      <c r="J838" t="s">
        <v>10750</v>
      </c>
      <c r="K838">
        <v>185</v>
      </c>
      <c r="L838" t="s">
        <v>59</v>
      </c>
      <c r="M838">
        <v>49</v>
      </c>
      <c r="N838" t="str">
        <f>HYPERLINK("Gene1714-zp_tree_all.dnd", "Gene1714-tree")</f>
        <v>Gene1714-tree</v>
      </c>
      <c r="O838">
        <v>31</v>
      </c>
      <c r="P838">
        <v>2</v>
      </c>
      <c r="Q838">
        <v>12</v>
      </c>
      <c r="R838">
        <v>2</v>
      </c>
      <c r="S838">
        <v>0.14285999999999999</v>
      </c>
      <c r="T838" t="s">
        <v>5000</v>
      </c>
      <c r="U838" t="s">
        <v>81</v>
      </c>
      <c r="V838" t="s">
        <v>62</v>
      </c>
      <c r="W838" t="s">
        <v>62</v>
      </c>
      <c r="X838">
        <v>0</v>
      </c>
      <c r="Y838">
        <v>0</v>
      </c>
      <c r="Z838">
        <v>6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</v>
      </c>
      <c r="AK838">
        <v>0</v>
      </c>
      <c r="AL838">
        <v>9</v>
      </c>
      <c r="AM838">
        <v>8</v>
      </c>
      <c r="AN838">
        <v>17</v>
      </c>
      <c r="AO838">
        <v>2</v>
      </c>
      <c r="AP838">
        <v>33</v>
      </c>
      <c r="AQ838">
        <v>4</v>
      </c>
      <c r="AR838" t="s">
        <v>10751</v>
      </c>
      <c r="AS838" t="s">
        <v>10752</v>
      </c>
      <c r="AT838">
        <v>3.0000000000000001E-3</v>
      </c>
      <c r="AU838" t="s">
        <v>65</v>
      </c>
      <c r="AV838">
        <v>50</v>
      </c>
      <c r="AW838">
        <v>6</v>
      </c>
      <c r="AX838" t="s">
        <v>10753</v>
      </c>
      <c r="AY838">
        <v>0.11358</v>
      </c>
      <c r="AZ838">
        <v>-7.9799999999999992E-3</v>
      </c>
      <c r="BA838">
        <v>4.7200000000000002E-3</v>
      </c>
      <c r="BB838">
        <v>-4.2999999999999999E-4</v>
      </c>
      <c r="BC838">
        <v>4.1549999999999997E-2</v>
      </c>
      <c r="BD838">
        <v>1</v>
      </c>
      <c r="BE838" t="s">
        <v>69</v>
      </c>
      <c r="BF838">
        <v>-1.2150000000000001</v>
      </c>
      <c r="BG838">
        <v>-0.27200000000000002</v>
      </c>
    </row>
    <row r="839" spans="1:59">
      <c r="A839">
        <v>0</v>
      </c>
      <c r="B839">
        <v>0</v>
      </c>
      <c r="C839">
        <v>0</v>
      </c>
      <c r="D839" t="s">
        <v>25022</v>
      </c>
      <c r="E839">
        <v>3270</v>
      </c>
      <c r="F839" t="s">
        <v>19074</v>
      </c>
      <c r="G839" t="s">
        <v>62</v>
      </c>
      <c r="H839">
        <v>3236425</v>
      </c>
      <c r="I839">
        <v>3236979</v>
      </c>
      <c r="J839" t="s">
        <v>6103</v>
      </c>
      <c r="K839">
        <v>185</v>
      </c>
      <c r="L839" t="s">
        <v>59</v>
      </c>
      <c r="M839">
        <v>49</v>
      </c>
      <c r="N839" t="str">
        <f>HYPERLINK("Gene3270-zp_tree_all.dnd", "Gene3270-tree")</f>
        <v>Gene3270-tree</v>
      </c>
      <c r="O839">
        <v>12</v>
      </c>
      <c r="P839">
        <v>2</v>
      </c>
      <c r="Q839">
        <v>12</v>
      </c>
      <c r="R839">
        <v>2</v>
      </c>
      <c r="S839">
        <v>0.14285999999999999</v>
      </c>
      <c r="T839" t="s">
        <v>109</v>
      </c>
      <c r="U839" t="s">
        <v>81</v>
      </c>
      <c r="V839" t="s">
        <v>62</v>
      </c>
      <c r="W839" t="s">
        <v>62</v>
      </c>
      <c r="X839">
        <v>0</v>
      </c>
      <c r="Y839">
        <v>0</v>
      </c>
      <c r="Z839">
        <v>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</v>
      </c>
      <c r="AK839">
        <v>0</v>
      </c>
      <c r="AL839">
        <v>11</v>
      </c>
      <c r="AM839">
        <v>7</v>
      </c>
      <c r="AN839">
        <v>15</v>
      </c>
      <c r="AO839">
        <v>3</v>
      </c>
      <c r="AP839">
        <v>26</v>
      </c>
      <c r="AQ839">
        <v>2</v>
      </c>
      <c r="AR839" t="s">
        <v>19075</v>
      </c>
      <c r="AS839" t="s">
        <v>19076</v>
      </c>
      <c r="AT839">
        <v>0.32900000000000001</v>
      </c>
      <c r="AU839" t="s">
        <v>65</v>
      </c>
      <c r="AV839">
        <v>41</v>
      </c>
      <c r="AW839">
        <v>5</v>
      </c>
      <c r="AX839" t="s">
        <v>19077</v>
      </c>
      <c r="AY839">
        <v>8.5029999999999994E-2</v>
      </c>
      <c r="AZ839">
        <v>-6.13E-3</v>
      </c>
      <c r="BA839">
        <v>3.3999999999999998E-3</v>
      </c>
      <c r="BB839">
        <v>-3.5E-4</v>
      </c>
      <c r="BC839">
        <v>4.0030000000000003E-2</v>
      </c>
      <c r="BD839">
        <v>1</v>
      </c>
      <c r="BE839" t="s">
        <v>69</v>
      </c>
      <c r="BF839">
        <v>-1.6839999999999999</v>
      </c>
      <c r="BG839">
        <v>-0.59399999999999997</v>
      </c>
    </row>
    <row r="840" spans="1:59">
      <c r="A840">
        <v>0</v>
      </c>
      <c r="B840">
        <v>0</v>
      </c>
      <c r="C840">
        <v>0</v>
      </c>
      <c r="D840" t="s">
        <v>25022</v>
      </c>
      <c r="E840">
        <v>84</v>
      </c>
      <c r="F840" t="s">
        <v>667</v>
      </c>
      <c r="G840" t="s">
        <v>57</v>
      </c>
      <c r="H840">
        <v>101927</v>
      </c>
      <c r="I840">
        <v>102481</v>
      </c>
      <c r="J840" t="s">
        <v>668</v>
      </c>
      <c r="K840">
        <v>185</v>
      </c>
      <c r="L840" t="s">
        <v>59</v>
      </c>
      <c r="M840">
        <v>49</v>
      </c>
      <c r="N840" t="str">
        <f>HYPERLINK("Gene84-zp_tree_all.dnd", "Gene84-tree")</f>
        <v>Gene84-tree</v>
      </c>
      <c r="O840">
        <v>7</v>
      </c>
      <c r="P840">
        <v>6</v>
      </c>
      <c r="Q840">
        <v>7</v>
      </c>
      <c r="R840">
        <v>6</v>
      </c>
      <c r="S840">
        <v>0.46154000000000001</v>
      </c>
      <c r="T840" t="s">
        <v>152</v>
      </c>
      <c r="U840" t="s">
        <v>90</v>
      </c>
      <c r="V840" t="s">
        <v>62</v>
      </c>
      <c r="W840" t="s">
        <v>62</v>
      </c>
      <c r="X840">
        <v>0</v>
      </c>
      <c r="Y840">
        <v>0</v>
      </c>
      <c r="Z840">
        <v>11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8</v>
      </c>
      <c r="AK840">
        <v>0</v>
      </c>
      <c r="AL840">
        <v>12</v>
      </c>
      <c r="AM840">
        <v>6</v>
      </c>
      <c r="AN840">
        <v>18</v>
      </c>
      <c r="AO840">
        <v>8</v>
      </c>
      <c r="AP840">
        <v>26</v>
      </c>
      <c r="AQ840">
        <v>3</v>
      </c>
      <c r="AR840" t="s">
        <v>669</v>
      </c>
      <c r="AS840" t="s">
        <v>670</v>
      </c>
      <c r="AT840">
        <v>1.091</v>
      </c>
      <c r="AU840" t="s">
        <v>65</v>
      </c>
      <c r="AV840">
        <v>44</v>
      </c>
      <c r="AW840">
        <v>11</v>
      </c>
      <c r="AX840" t="s">
        <v>671</v>
      </c>
      <c r="AY840">
        <v>0.13131000000000001</v>
      </c>
      <c r="AZ840">
        <v>-1.1270000000000001E-2</v>
      </c>
      <c r="BA840">
        <v>4.9699999999999996E-3</v>
      </c>
      <c r="BB840">
        <v>-4.4000000000000002E-4</v>
      </c>
      <c r="BC840">
        <v>3.7819999999999999E-2</v>
      </c>
      <c r="BD840">
        <v>1</v>
      </c>
      <c r="BE840" t="s">
        <v>69</v>
      </c>
      <c r="BF840">
        <v>-1.3740000000000001</v>
      </c>
      <c r="BG840">
        <v>-0.81599999999999995</v>
      </c>
    </row>
    <row r="841" spans="1:59">
      <c r="A841">
        <v>0</v>
      </c>
      <c r="B841">
        <v>0</v>
      </c>
      <c r="C841">
        <v>0</v>
      </c>
      <c r="D841" t="s">
        <v>25022</v>
      </c>
      <c r="E841">
        <v>2547</v>
      </c>
      <c r="F841" t="s">
        <v>14882</v>
      </c>
      <c r="G841" t="s">
        <v>62</v>
      </c>
      <c r="H841">
        <v>2538118</v>
      </c>
      <c r="I841">
        <v>2538672</v>
      </c>
      <c r="J841" t="s">
        <v>14883</v>
      </c>
      <c r="K841">
        <v>185</v>
      </c>
      <c r="L841" t="s">
        <v>59</v>
      </c>
      <c r="M841">
        <v>49</v>
      </c>
      <c r="N841" t="str">
        <f>HYPERLINK("Gene2547-zp_tree_all.dnd", "Gene2547-tree")</f>
        <v>Gene2547-tree</v>
      </c>
      <c r="O841">
        <v>11</v>
      </c>
      <c r="P841">
        <v>1</v>
      </c>
      <c r="Q841">
        <v>11</v>
      </c>
      <c r="R841">
        <v>1</v>
      </c>
      <c r="S841">
        <v>8.3330000000000001E-2</v>
      </c>
      <c r="T841" t="s">
        <v>73</v>
      </c>
      <c r="U841" t="s">
        <v>175</v>
      </c>
      <c r="V841" t="s">
        <v>62</v>
      </c>
      <c r="W841" t="s">
        <v>62</v>
      </c>
      <c r="X841">
        <v>0</v>
      </c>
      <c r="Y841">
        <v>0</v>
      </c>
      <c r="Z841">
        <v>4</v>
      </c>
      <c r="AA841">
        <v>0</v>
      </c>
      <c r="AB841">
        <v>0</v>
      </c>
      <c r="AC841">
        <v>0</v>
      </c>
      <c r="AD841">
        <v>0</v>
      </c>
      <c r="AE841">
        <v>3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7</v>
      </c>
      <c r="AM841">
        <v>6</v>
      </c>
      <c r="AN841">
        <v>20</v>
      </c>
      <c r="AO841">
        <v>1</v>
      </c>
      <c r="AP841">
        <v>26</v>
      </c>
      <c r="AQ841">
        <v>3</v>
      </c>
      <c r="AR841" t="s">
        <v>14884</v>
      </c>
      <c r="AS841" t="s">
        <v>14885</v>
      </c>
      <c r="AT841">
        <v>0.20300000000000001</v>
      </c>
      <c r="AU841" t="s">
        <v>65</v>
      </c>
      <c r="AV841">
        <v>46</v>
      </c>
      <c r="AW841">
        <v>4</v>
      </c>
      <c r="AX841" t="s">
        <v>14886</v>
      </c>
      <c r="AY841">
        <v>0.11599</v>
      </c>
      <c r="AZ841">
        <v>-9.4199999999999996E-3</v>
      </c>
      <c r="BA841">
        <v>2.5699999999999998E-3</v>
      </c>
      <c r="BB841">
        <v>-4.0999999999999999E-4</v>
      </c>
      <c r="BC841">
        <v>2.214E-2</v>
      </c>
      <c r="BD841">
        <v>1</v>
      </c>
      <c r="BE841" t="s">
        <v>69</v>
      </c>
      <c r="BF841">
        <v>-1.901</v>
      </c>
      <c r="BG841">
        <v>-1.498</v>
      </c>
    </row>
    <row r="842" spans="1:59">
      <c r="A842">
        <v>0</v>
      </c>
      <c r="B842">
        <v>0</v>
      </c>
      <c r="C842">
        <v>0</v>
      </c>
      <c r="D842" t="s">
        <v>25022</v>
      </c>
      <c r="E842">
        <v>2762</v>
      </c>
      <c r="F842" t="s">
        <v>15845</v>
      </c>
      <c r="G842" t="s">
        <v>62</v>
      </c>
      <c r="H842">
        <v>2714936</v>
      </c>
      <c r="I842">
        <v>2715493</v>
      </c>
      <c r="J842" t="s">
        <v>3048</v>
      </c>
      <c r="K842">
        <v>186</v>
      </c>
      <c r="L842" t="s">
        <v>15826</v>
      </c>
      <c r="M842">
        <v>30</v>
      </c>
      <c r="N842" t="str">
        <f>HYPERLINK("Gene2762-zp_tree_all.dnd", "Gene2762-tree")</f>
        <v>Gene2762-tree</v>
      </c>
      <c r="O842">
        <v>3</v>
      </c>
      <c r="P842">
        <v>6</v>
      </c>
      <c r="Q842">
        <v>3</v>
      </c>
      <c r="R842">
        <v>6</v>
      </c>
      <c r="S842">
        <v>0.66666999999999998</v>
      </c>
      <c r="T842" t="s">
        <v>324</v>
      </c>
      <c r="U842" t="s">
        <v>90</v>
      </c>
      <c r="V842" t="s">
        <v>62</v>
      </c>
      <c r="W842" t="s">
        <v>62</v>
      </c>
      <c r="X842">
        <v>0</v>
      </c>
      <c r="Y842">
        <v>0</v>
      </c>
      <c r="Z842">
        <v>9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7</v>
      </c>
      <c r="AK842">
        <v>0</v>
      </c>
      <c r="AL842">
        <v>8</v>
      </c>
      <c r="AM842">
        <v>5</v>
      </c>
      <c r="AN842">
        <v>8</v>
      </c>
      <c r="AO842">
        <v>7</v>
      </c>
      <c r="AP842">
        <v>11</v>
      </c>
      <c r="AQ842">
        <v>2</v>
      </c>
      <c r="AR842" t="s">
        <v>15846</v>
      </c>
      <c r="AS842" t="s">
        <v>15847</v>
      </c>
      <c r="AT842">
        <v>1.403</v>
      </c>
      <c r="AU842" t="s">
        <v>65</v>
      </c>
      <c r="AV842">
        <v>19</v>
      </c>
      <c r="AW842">
        <v>9</v>
      </c>
      <c r="AX842" t="s">
        <v>15848</v>
      </c>
      <c r="AY842">
        <v>5.2269999999999997E-2</v>
      </c>
      <c r="AZ842">
        <v>-4.4000000000000003E-3</v>
      </c>
      <c r="BA842">
        <v>6.0699999999999999E-3</v>
      </c>
      <c r="BB842">
        <v>-4.2000000000000002E-4</v>
      </c>
      <c r="BC842">
        <v>0.11605</v>
      </c>
      <c r="BD842">
        <v>1</v>
      </c>
      <c r="BE842" t="s">
        <v>69</v>
      </c>
      <c r="BF842">
        <v>-0.78100000000000003</v>
      </c>
      <c r="BG842">
        <v>-0.27600000000000002</v>
      </c>
    </row>
    <row r="843" spans="1:59">
      <c r="A843">
        <v>0</v>
      </c>
      <c r="B843">
        <v>0</v>
      </c>
      <c r="C843">
        <v>3</v>
      </c>
      <c r="D843" t="s">
        <v>25022</v>
      </c>
      <c r="E843">
        <v>41</v>
      </c>
      <c r="F843" t="s">
        <v>361</v>
      </c>
      <c r="G843" t="s">
        <v>57</v>
      </c>
      <c r="H843">
        <v>50087</v>
      </c>
      <c r="I843">
        <v>50644</v>
      </c>
      <c r="J843" t="s">
        <v>362</v>
      </c>
      <c r="K843">
        <v>186</v>
      </c>
      <c r="L843" t="s">
        <v>363</v>
      </c>
      <c r="M843">
        <v>46</v>
      </c>
      <c r="N843" t="str">
        <f>HYPERLINK("Gene41-zp_tree_all.dnd", "Gene41-tree")</f>
        <v>Gene41-tree</v>
      </c>
      <c r="O843">
        <v>7</v>
      </c>
      <c r="P843">
        <v>8</v>
      </c>
      <c r="Q843">
        <v>7</v>
      </c>
      <c r="R843">
        <v>8</v>
      </c>
      <c r="S843">
        <v>0.53332999999999997</v>
      </c>
      <c r="T843" t="s">
        <v>152</v>
      </c>
      <c r="U843" t="s">
        <v>136</v>
      </c>
      <c r="V843" t="s">
        <v>62</v>
      </c>
      <c r="W843" t="s">
        <v>62</v>
      </c>
      <c r="X843">
        <v>1</v>
      </c>
      <c r="Y843">
        <v>3</v>
      </c>
      <c r="Z843">
        <v>11</v>
      </c>
      <c r="AA843">
        <v>0.21429000000000001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</v>
      </c>
      <c r="AI843">
        <v>2</v>
      </c>
      <c r="AJ843">
        <v>8</v>
      </c>
      <c r="AK843">
        <v>0.2</v>
      </c>
      <c r="AL843">
        <v>11</v>
      </c>
      <c r="AM843">
        <v>8</v>
      </c>
      <c r="AN843">
        <v>30</v>
      </c>
      <c r="AO843">
        <v>10</v>
      </c>
      <c r="AP843">
        <v>17</v>
      </c>
      <c r="AQ843">
        <v>4</v>
      </c>
      <c r="AR843" t="s">
        <v>364</v>
      </c>
      <c r="AS843" t="s">
        <v>365</v>
      </c>
      <c r="AT843">
        <v>0.26200000000000001</v>
      </c>
      <c r="AU843" t="s">
        <v>65</v>
      </c>
      <c r="AV843">
        <v>47</v>
      </c>
      <c r="AW843">
        <v>14</v>
      </c>
      <c r="AX843" t="s">
        <v>366</v>
      </c>
      <c r="AY843">
        <v>7.6200000000000004E-2</v>
      </c>
      <c r="AZ843">
        <v>-6.4099999999999999E-3</v>
      </c>
      <c r="BA843">
        <v>5.3200000000000001E-3</v>
      </c>
      <c r="BB843">
        <v>-3.8999999999999999E-4</v>
      </c>
      <c r="BC843">
        <v>6.9819999999999993E-2</v>
      </c>
      <c r="BD843">
        <v>1</v>
      </c>
      <c r="BE843" t="s">
        <v>69</v>
      </c>
      <c r="BF843">
        <v>-1.972</v>
      </c>
      <c r="BG843">
        <v>-3.3370000000000002</v>
      </c>
    </row>
    <row r="844" spans="1:59">
      <c r="A844">
        <v>0</v>
      </c>
      <c r="B844">
        <v>0</v>
      </c>
      <c r="C844">
        <v>2</v>
      </c>
      <c r="D844" t="s">
        <v>25022</v>
      </c>
      <c r="E844">
        <v>2667</v>
      </c>
      <c r="F844" t="s">
        <v>15644</v>
      </c>
      <c r="G844" t="s">
        <v>62</v>
      </c>
      <c r="H844">
        <v>2643218</v>
      </c>
      <c r="I844">
        <v>2643775</v>
      </c>
      <c r="J844" t="s">
        <v>2512</v>
      </c>
      <c r="K844">
        <v>186</v>
      </c>
      <c r="L844" t="s">
        <v>160</v>
      </c>
      <c r="M844">
        <v>45</v>
      </c>
      <c r="N844" t="str">
        <f>HYPERLINK("Gene2667-zp_tree_all.dnd", "Gene2667-tree")</f>
        <v>Gene2667-tree</v>
      </c>
      <c r="O844">
        <v>4</v>
      </c>
      <c r="P844">
        <v>29</v>
      </c>
      <c r="Q844">
        <v>4</v>
      </c>
      <c r="R844">
        <v>6</v>
      </c>
      <c r="S844">
        <v>0.6</v>
      </c>
      <c r="T844" t="s">
        <v>61</v>
      </c>
      <c r="U844" t="s">
        <v>3696</v>
      </c>
      <c r="V844">
        <v>3.9620000000000002</v>
      </c>
      <c r="W844" t="s">
        <v>65</v>
      </c>
      <c r="X844">
        <v>1</v>
      </c>
      <c r="Y844">
        <v>2</v>
      </c>
      <c r="Z844">
        <v>7</v>
      </c>
      <c r="AA844">
        <v>0.22222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2</v>
      </c>
      <c r="AI844">
        <v>2</v>
      </c>
      <c r="AJ844">
        <v>6</v>
      </c>
      <c r="AK844">
        <v>0.25</v>
      </c>
      <c r="AL844">
        <v>6</v>
      </c>
      <c r="AM844">
        <v>6</v>
      </c>
      <c r="AN844">
        <v>24</v>
      </c>
      <c r="AO844">
        <v>7</v>
      </c>
      <c r="AP844">
        <v>10</v>
      </c>
      <c r="AQ844">
        <v>2</v>
      </c>
      <c r="AR844" t="s">
        <v>15645</v>
      </c>
      <c r="AS844" t="s">
        <v>15646</v>
      </c>
      <c r="AT844">
        <v>0.155</v>
      </c>
      <c r="AU844" t="s">
        <v>65</v>
      </c>
      <c r="AV844">
        <v>34</v>
      </c>
      <c r="AW844">
        <v>9</v>
      </c>
      <c r="AX844" t="s">
        <v>15647</v>
      </c>
      <c r="AY844">
        <v>7.2139999999999996E-2</v>
      </c>
      <c r="AZ844">
        <v>-1.119E-2</v>
      </c>
      <c r="BA844">
        <v>4.9199999999999999E-3</v>
      </c>
      <c r="BB844">
        <v>-5.4000000000000001E-4</v>
      </c>
      <c r="BC844">
        <v>6.8159999999999998E-2</v>
      </c>
      <c r="BD844">
        <v>1</v>
      </c>
      <c r="BE844" t="s">
        <v>69</v>
      </c>
      <c r="BF844">
        <v>-1.71</v>
      </c>
      <c r="BG844">
        <v>-4.4619999999999997</v>
      </c>
    </row>
    <row r="845" spans="1:59">
      <c r="A845">
        <v>0</v>
      </c>
      <c r="B845">
        <v>4</v>
      </c>
      <c r="C845">
        <v>0</v>
      </c>
      <c r="D845" t="s">
        <v>25022</v>
      </c>
      <c r="E845">
        <v>316</v>
      </c>
      <c r="F845" t="s">
        <v>2155</v>
      </c>
      <c r="G845" t="s">
        <v>57</v>
      </c>
      <c r="H845">
        <v>340025</v>
      </c>
      <c r="I845">
        <v>340582</v>
      </c>
      <c r="J845" t="s">
        <v>2156</v>
      </c>
      <c r="K845">
        <v>186</v>
      </c>
      <c r="L845" t="s">
        <v>2157</v>
      </c>
      <c r="M845">
        <v>47</v>
      </c>
      <c r="N845" t="str">
        <f>HYPERLINK("Gene316-zp_tree_all.dnd", "Gene316-tree")</f>
        <v>Gene316-tree</v>
      </c>
      <c r="O845">
        <v>14</v>
      </c>
      <c r="P845">
        <v>4</v>
      </c>
      <c r="Q845">
        <v>14</v>
      </c>
      <c r="R845">
        <v>4</v>
      </c>
      <c r="S845">
        <v>0.22222</v>
      </c>
      <c r="T845" t="s">
        <v>543</v>
      </c>
      <c r="U845" t="s">
        <v>61</v>
      </c>
      <c r="V845" t="s">
        <v>62</v>
      </c>
      <c r="W845" t="s">
        <v>62</v>
      </c>
      <c r="X845">
        <v>2</v>
      </c>
      <c r="Y845">
        <v>4</v>
      </c>
      <c r="Z845">
        <v>7</v>
      </c>
      <c r="AA845">
        <v>0.36364000000000002</v>
      </c>
      <c r="AB845">
        <v>2</v>
      </c>
      <c r="AC845">
        <v>0</v>
      </c>
      <c r="AD845">
        <v>2</v>
      </c>
      <c r="AE845">
        <v>0</v>
      </c>
      <c r="AF845">
        <v>1</v>
      </c>
      <c r="AG845">
        <v>2</v>
      </c>
      <c r="AH845">
        <v>0</v>
      </c>
      <c r="AI845">
        <v>2</v>
      </c>
      <c r="AJ845">
        <v>3</v>
      </c>
      <c r="AK845">
        <v>0.4</v>
      </c>
      <c r="AL845">
        <v>11</v>
      </c>
      <c r="AM845">
        <v>9</v>
      </c>
      <c r="AN845">
        <v>29</v>
      </c>
      <c r="AO845">
        <v>4</v>
      </c>
      <c r="AP845">
        <v>21</v>
      </c>
      <c r="AQ845">
        <v>7</v>
      </c>
      <c r="AR845" t="s">
        <v>2158</v>
      </c>
      <c r="AS845" t="s">
        <v>2159</v>
      </c>
      <c r="AT845">
        <v>0.40300000000000002</v>
      </c>
      <c r="AU845" t="s">
        <v>65</v>
      </c>
      <c r="AV845">
        <v>50</v>
      </c>
      <c r="AW845">
        <v>11</v>
      </c>
      <c r="AX845" t="s">
        <v>2160</v>
      </c>
      <c r="AY845">
        <v>8.1189999999999998E-2</v>
      </c>
      <c r="AZ845">
        <v>-7.28E-3</v>
      </c>
      <c r="BA845">
        <v>5.2700000000000004E-3</v>
      </c>
      <c r="BB845">
        <v>-3.8000000000000002E-4</v>
      </c>
      <c r="BC845">
        <v>6.4890000000000003E-2</v>
      </c>
      <c r="BD845">
        <v>1</v>
      </c>
      <c r="BE845" t="s">
        <v>69</v>
      </c>
      <c r="BF845">
        <v>-1.7969999999999999</v>
      </c>
      <c r="BG845">
        <v>-2.4449999999999998</v>
      </c>
    </row>
    <row r="846" spans="1:59">
      <c r="A846">
        <v>0</v>
      </c>
      <c r="B846">
        <v>3</v>
      </c>
      <c r="C846">
        <v>0</v>
      </c>
      <c r="D846" t="s">
        <v>25022</v>
      </c>
      <c r="E846">
        <v>1260</v>
      </c>
      <c r="F846" t="s">
        <v>7896</v>
      </c>
      <c r="G846" t="s">
        <v>57</v>
      </c>
      <c r="H846">
        <v>1288541</v>
      </c>
      <c r="I846">
        <v>1289098</v>
      </c>
      <c r="J846" t="s">
        <v>288</v>
      </c>
      <c r="K846">
        <v>186</v>
      </c>
      <c r="L846" t="s">
        <v>5228</v>
      </c>
      <c r="M846">
        <v>43</v>
      </c>
      <c r="N846" t="str">
        <f>HYPERLINK("Gene1260-zp_tree_all.dnd", "Gene1260-tree")</f>
        <v>Gene1260-tree</v>
      </c>
      <c r="O846">
        <v>6</v>
      </c>
      <c r="P846">
        <v>6</v>
      </c>
      <c r="Q846">
        <v>6</v>
      </c>
      <c r="R846">
        <v>6</v>
      </c>
      <c r="S846">
        <v>0.5</v>
      </c>
      <c r="T846" t="s">
        <v>90</v>
      </c>
      <c r="U846" t="s">
        <v>90</v>
      </c>
      <c r="V846" t="s">
        <v>62</v>
      </c>
      <c r="W846" t="s">
        <v>62</v>
      </c>
      <c r="X846">
        <v>1</v>
      </c>
      <c r="Y846">
        <v>3</v>
      </c>
      <c r="Z846">
        <v>6</v>
      </c>
      <c r="AA846">
        <v>0.33333000000000002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2</v>
      </c>
      <c r="AH846">
        <v>0</v>
      </c>
      <c r="AI846">
        <v>2</v>
      </c>
      <c r="AJ846">
        <v>5</v>
      </c>
      <c r="AK846">
        <v>0.28571000000000002</v>
      </c>
      <c r="AL846">
        <v>7</v>
      </c>
      <c r="AM846">
        <v>9</v>
      </c>
      <c r="AN846">
        <v>41</v>
      </c>
      <c r="AO846">
        <v>7</v>
      </c>
      <c r="AP846">
        <v>13</v>
      </c>
      <c r="AQ846">
        <v>3</v>
      </c>
      <c r="AR846" t="s">
        <v>7897</v>
      </c>
      <c r="AS846" t="s">
        <v>7898</v>
      </c>
      <c r="AT846">
        <v>0.20699999999999999</v>
      </c>
      <c r="AU846" t="s">
        <v>65</v>
      </c>
      <c r="AV846">
        <v>54</v>
      </c>
      <c r="AW846">
        <v>10</v>
      </c>
      <c r="AX846" t="s">
        <v>7899</v>
      </c>
      <c r="AY846">
        <v>8.8929999999999995E-2</v>
      </c>
      <c r="AZ846">
        <v>-5.6800000000000002E-3</v>
      </c>
      <c r="BA846">
        <v>4.5500000000000002E-3</v>
      </c>
      <c r="BB846">
        <v>-3.4000000000000002E-4</v>
      </c>
      <c r="BC846">
        <v>5.1139999999999998E-2</v>
      </c>
      <c r="BD846">
        <v>1</v>
      </c>
      <c r="BE846" t="s">
        <v>69</v>
      </c>
      <c r="BF846">
        <v>-1.1399999999999999</v>
      </c>
      <c r="BG846">
        <v>-2.31</v>
      </c>
    </row>
    <row r="847" spans="1:59">
      <c r="A847">
        <v>0</v>
      </c>
      <c r="B847">
        <v>13</v>
      </c>
      <c r="C847">
        <v>0</v>
      </c>
      <c r="D847" t="s">
        <v>25022</v>
      </c>
      <c r="E847">
        <v>2591</v>
      </c>
      <c r="F847" t="s">
        <v>15168</v>
      </c>
      <c r="G847" t="s">
        <v>62</v>
      </c>
      <c r="H847">
        <v>2573763</v>
      </c>
      <c r="I847">
        <v>2574323</v>
      </c>
      <c r="J847" t="s">
        <v>15169</v>
      </c>
      <c r="K847">
        <v>187</v>
      </c>
      <c r="L847" t="s">
        <v>108</v>
      </c>
      <c r="M847">
        <v>44</v>
      </c>
      <c r="N847" t="str">
        <f>HYPERLINK("Gene2591-zp_tree_all.dnd", "Gene2591-tree")</f>
        <v>Gene2591-tree</v>
      </c>
      <c r="O847">
        <v>2</v>
      </c>
      <c r="P847">
        <v>11</v>
      </c>
      <c r="Q847">
        <v>2</v>
      </c>
      <c r="R847">
        <v>11</v>
      </c>
      <c r="S847">
        <v>0.84614999999999996</v>
      </c>
      <c r="T847" t="s">
        <v>81</v>
      </c>
      <c r="U847" t="s">
        <v>73</v>
      </c>
      <c r="V847">
        <v>515075683.63</v>
      </c>
      <c r="W847" t="s">
        <v>267</v>
      </c>
      <c r="X847">
        <v>6</v>
      </c>
      <c r="Y847">
        <v>13</v>
      </c>
      <c r="Z847">
        <v>15</v>
      </c>
      <c r="AA847">
        <v>0.46428999999999998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10</v>
      </c>
      <c r="AH847">
        <v>0</v>
      </c>
      <c r="AI847">
        <v>10</v>
      </c>
      <c r="AJ847">
        <v>14</v>
      </c>
      <c r="AK847">
        <v>0.41666999999999998</v>
      </c>
      <c r="AL847">
        <v>10</v>
      </c>
      <c r="AM847">
        <v>8</v>
      </c>
      <c r="AN847">
        <v>19</v>
      </c>
      <c r="AO847">
        <v>19</v>
      </c>
      <c r="AP847">
        <v>14</v>
      </c>
      <c r="AQ847">
        <v>9</v>
      </c>
      <c r="AR847" t="s">
        <v>15170</v>
      </c>
      <c r="AS847" t="s">
        <v>15171</v>
      </c>
      <c r="AT847">
        <v>0.75800000000000001</v>
      </c>
      <c r="AU847" t="s">
        <v>65</v>
      </c>
      <c r="AV847">
        <v>33</v>
      </c>
      <c r="AW847">
        <v>28</v>
      </c>
      <c r="AX847" t="s">
        <v>15172</v>
      </c>
      <c r="AY847">
        <v>6.1420000000000002E-2</v>
      </c>
      <c r="AZ847">
        <v>-3.0599999999999998E-3</v>
      </c>
      <c r="BA847">
        <v>1.2529999999999999E-2</v>
      </c>
      <c r="BB847">
        <v>-6.0999999999999997E-4</v>
      </c>
      <c r="BC847">
        <v>0.20402000000000001</v>
      </c>
      <c r="BD847">
        <v>1</v>
      </c>
      <c r="BE847" t="s">
        <v>69</v>
      </c>
      <c r="BF847">
        <v>-0.90100000000000002</v>
      </c>
      <c r="BG847">
        <v>-1.5580000000000001</v>
      </c>
    </row>
    <row r="848" spans="1:59">
      <c r="A848">
        <v>0</v>
      </c>
      <c r="B848">
        <v>2</v>
      </c>
      <c r="C848">
        <v>2</v>
      </c>
      <c r="D848" t="s">
        <v>25022</v>
      </c>
      <c r="E848">
        <v>408</v>
      </c>
      <c r="F848" t="s">
        <v>2767</v>
      </c>
      <c r="G848" t="s">
        <v>57</v>
      </c>
      <c r="H848">
        <v>454029</v>
      </c>
      <c r="I848">
        <v>454589</v>
      </c>
      <c r="J848" t="s">
        <v>2768</v>
      </c>
      <c r="K848">
        <v>187</v>
      </c>
      <c r="L848" t="s">
        <v>265</v>
      </c>
      <c r="M848">
        <v>43</v>
      </c>
      <c r="N848" t="str">
        <f>HYPERLINK("Gene408-zp_tree_all.dnd", "Gene408-tree")</f>
        <v>Gene408-tree</v>
      </c>
      <c r="O848">
        <v>7</v>
      </c>
      <c r="P848">
        <v>5</v>
      </c>
      <c r="Q848">
        <v>7</v>
      </c>
      <c r="R848">
        <v>5</v>
      </c>
      <c r="S848">
        <v>0.41666999999999998</v>
      </c>
      <c r="T848" t="s">
        <v>152</v>
      </c>
      <c r="U848" t="s">
        <v>199</v>
      </c>
      <c r="V848" t="s">
        <v>62</v>
      </c>
      <c r="W848" t="s">
        <v>62</v>
      </c>
      <c r="X848">
        <v>2</v>
      </c>
      <c r="Y848">
        <v>4</v>
      </c>
      <c r="Z848">
        <v>11</v>
      </c>
      <c r="AA848">
        <v>0.26667000000000002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9</v>
      </c>
      <c r="AK848">
        <v>0</v>
      </c>
      <c r="AL848">
        <v>9</v>
      </c>
      <c r="AM848">
        <v>8</v>
      </c>
      <c r="AN848">
        <v>11</v>
      </c>
      <c r="AO848">
        <v>9</v>
      </c>
      <c r="AP848">
        <v>11</v>
      </c>
      <c r="AQ848">
        <v>7</v>
      </c>
      <c r="AR848" t="s">
        <v>2769</v>
      </c>
      <c r="AS848" t="s">
        <v>2770</v>
      </c>
      <c r="AT848">
        <v>0.34899999999999998</v>
      </c>
      <c r="AU848" t="s">
        <v>65</v>
      </c>
      <c r="AV848">
        <v>22</v>
      </c>
      <c r="AW848">
        <v>16</v>
      </c>
      <c r="AX848" t="s">
        <v>2771</v>
      </c>
      <c r="AY848">
        <v>5.0569999999999997E-2</v>
      </c>
      <c r="AZ848">
        <v>-2.8400000000000001E-3</v>
      </c>
      <c r="BA848">
        <v>9.2899999999999996E-3</v>
      </c>
      <c r="BB848">
        <v>-4.8999999999999998E-4</v>
      </c>
      <c r="BC848">
        <v>0.18367</v>
      </c>
      <c r="BD848">
        <v>1</v>
      </c>
      <c r="BE848" t="s">
        <v>69</v>
      </c>
      <c r="BF848">
        <v>-0.57399999999999995</v>
      </c>
      <c r="BG848">
        <v>-1.5880000000000001</v>
      </c>
    </row>
    <row r="849" spans="1:59">
      <c r="A849">
        <v>0</v>
      </c>
      <c r="B849">
        <v>0</v>
      </c>
      <c r="C849">
        <v>0</v>
      </c>
      <c r="D849" t="s">
        <v>25022</v>
      </c>
      <c r="E849">
        <v>2264</v>
      </c>
      <c r="F849" t="s">
        <v>13091</v>
      </c>
      <c r="G849" t="s">
        <v>62</v>
      </c>
      <c r="H849">
        <v>2290288</v>
      </c>
      <c r="I849">
        <v>2290848</v>
      </c>
      <c r="J849" t="s">
        <v>116</v>
      </c>
      <c r="K849">
        <v>187</v>
      </c>
      <c r="L849" t="s">
        <v>108</v>
      </c>
      <c r="M849">
        <v>44</v>
      </c>
      <c r="N849" t="str">
        <f>HYPERLINK("Gene2264-zp_tree_all.dnd", "Gene2264-tree")</f>
        <v>Gene2264-tree</v>
      </c>
      <c r="O849">
        <v>7</v>
      </c>
      <c r="P849">
        <v>7</v>
      </c>
      <c r="Q849">
        <v>7</v>
      </c>
      <c r="R849">
        <v>7</v>
      </c>
      <c r="S849">
        <v>0.5</v>
      </c>
      <c r="T849" t="s">
        <v>152</v>
      </c>
      <c r="U849" t="s">
        <v>152</v>
      </c>
      <c r="V849" t="s">
        <v>62</v>
      </c>
      <c r="W849" t="s">
        <v>62</v>
      </c>
      <c r="X849">
        <v>0</v>
      </c>
      <c r="Y849">
        <v>0</v>
      </c>
      <c r="Z849">
        <v>7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6</v>
      </c>
      <c r="AK849">
        <v>0</v>
      </c>
      <c r="AL849">
        <v>11</v>
      </c>
      <c r="AM849">
        <v>5</v>
      </c>
      <c r="AN849">
        <v>11</v>
      </c>
      <c r="AO849">
        <v>6</v>
      </c>
      <c r="AP849">
        <v>4</v>
      </c>
      <c r="AQ849">
        <v>1</v>
      </c>
      <c r="AR849" t="s">
        <v>13092</v>
      </c>
      <c r="AS849" t="s">
        <v>13093</v>
      </c>
      <c r="AT849">
        <v>0.495</v>
      </c>
      <c r="AU849" t="s">
        <v>65</v>
      </c>
      <c r="AV849">
        <v>15</v>
      </c>
      <c r="AW849">
        <v>7</v>
      </c>
      <c r="AX849" t="s">
        <v>13094</v>
      </c>
      <c r="AY849">
        <v>2.3609999999999999E-2</v>
      </c>
      <c r="AZ849">
        <v>-1.14E-3</v>
      </c>
      <c r="BA849">
        <v>2.7799999999999999E-3</v>
      </c>
      <c r="BB849">
        <v>-2.2000000000000001E-4</v>
      </c>
      <c r="BC849">
        <v>0.11776</v>
      </c>
      <c r="BD849">
        <v>1</v>
      </c>
      <c r="BE849" t="s">
        <v>69</v>
      </c>
      <c r="BF849">
        <v>-0.89300000000000002</v>
      </c>
      <c r="BG849">
        <v>-1.3069999999999999</v>
      </c>
    </row>
    <row r="850" spans="1:59">
      <c r="A850">
        <v>0</v>
      </c>
      <c r="B850">
        <v>0</v>
      </c>
      <c r="C850">
        <v>2</v>
      </c>
      <c r="D850" t="s">
        <v>25022</v>
      </c>
      <c r="E850">
        <v>2651</v>
      </c>
      <c r="F850" t="s">
        <v>15537</v>
      </c>
      <c r="G850" t="s">
        <v>62</v>
      </c>
      <c r="H850">
        <v>2627974</v>
      </c>
      <c r="I850">
        <v>2628534</v>
      </c>
      <c r="J850" t="s">
        <v>15538</v>
      </c>
      <c r="K850">
        <v>187</v>
      </c>
      <c r="L850" t="s">
        <v>59</v>
      </c>
      <c r="M850">
        <v>49</v>
      </c>
      <c r="N850" t="str">
        <f>HYPERLINK("Gene2651-zp_tree_all.dnd", "Gene2651-tree")</f>
        <v>Gene2651-tree</v>
      </c>
      <c r="O850">
        <v>9</v>
      </c>
      <c r="P850">
        <v>3</v>
      </c>
      <c r="Q850">
        <v>9</v>
      </c>
      <c r="R850">
        <v>3</v>
      </c>
      <c r="S850">
        <v>0.25</v>
      </c>
      <c r="T850" t="s">
        <v>135</v>
      </c>
      <c r="U850" t="s">
        <v>324</v>
      </c>
      <c r="V850" t="s">
        <v>62</v>
      </c>
      <c r="W850" t="s">
        <v>62</v>
      </c>
      <c r="X850">
        <v>1</v>
      </c>
      <c r="Y850">
        <v>2</v>
      </c>
      <c r="Z850">
        <v>5</v>
      </c>
      <c r="AA850">
        <v>0.28571000000000002</v>
      </c>
      <c r="AB850">
        <v>0</v>
      </c>
      <c r="AC850">
        <v>0</v>
      </c>
      <c r="AD850">
        <v>0</v>
      </c>
      <c r="AE850">
        <v>2</v>
      </c>
      <c r="AF850">
        <v>0</v>
      </c>
      <c r="AG850">
        <v>0</v>
      </c>
      <c r="AH850">
        <v>0</v>
      </c>
      <c r="AI850">
        <v>0</v>
      </c>
      <c r="AJ850">
        <v>4</v>
      </c>
      <c r="AK850">
        <v>0</v>
      </c>
      <c r="AL850">
        <v>10</v>
      </c>
      <c r="AM850">
        <v>5</v>
      </c>
      <c r="AN850">
        <v>31</v>
      </c>
      <c r="AO850">
        <v>4</v>
      </c>
      <c r="AP850">
        <v>17</v>
      </c>
      <c r="AQ850">
        <v>3</v>
      </c>
      <c r="AR850" t="s">
        <v>15539</v>
      </c>
      <c r="AS850" t="s">
        <v>15540</v>
      </c>
      <c r="AT850">
        <v>0.20799999999999999</v>
      </c>
      <c r="AU850" t="s">
        <v>65</v>
      </c>
      <c r="AV850">
        <v>48</v>
      </c>
      <c r="AW850">
        <v>7</v>
      </c>
      <c r="AX850" t="s">
        <v>15541</v>
      </c>
      <c r="AY850">
        <v>9.425E-2</v>
      </c>
      <c r="AZ850">
        <v>-8.0700000000000008E-3</v>
      </c>
      <c r="BA850">
        <v>4.96E-3</v>
      </c>
      <c r="BB850">
        <v>-4.6000000000000001E-4</v>
      </c>
      <c r="BC850">
        <v>5.2580000000000002E-2</v>
      </c>
      <c r="BD850">
        <v>1</v>
      </c>
      <c r="BE850" t="s">
        <v>69</v>
      </c>
      <c r="BF850">
        <v>-1.948</v>
      </c>
      <c r="BG850">
        <v>-3.4510000000000001</v>
      </c>
    </row>
    <row r="851" spans="1:59">
      <c r="A851">
        <v>0</v>
      </c>
      <c r="B851">
        <v>2</v>
      </c>
      <c r="C851">
        <v>0</v>
      </c>
      <c r="D851" t="s">
        <v>25022</v>
      </c>
      <c r="E851">
        <v>3185</v>
      </c>
      <c r="F851" t="s">
        <v>18531</v>
      </c>
      <c r="G851" t="s">
        <v>62</v>
      </c>
      <c r="H851">
        <v>3138324</v>
      </c>
      <c r="I851">
        <v>3138884</v>
      </c>
      <c r="J851" t="s">
        <v>18532</v>
      </c>
      <c r="K851">
        <v>187</v>
      </c>
      <c r="L851" t="s">
        <v>108</v>
      </c>
      <c r="M851">
        <v>44</v>
      </c>
      <c r="N851" t="str">
        <f>HYPERLINK("Gene3185-zp_tree_all.dnd", "Gene3185-tree")</f>
        <v>Gene3185-tree</v>
      </c>
      <c r="O851">
        <v>6</v>
      </c>
      <c r="P851">
        <v>30</v>
      </c>
      <c r="Q851">
        <v>6</v>
      </c>
      <c r="R851">
        <v>2</v>
      </c>
      <c r="S851">
        <v>0.25</v>
      </c>
      <c r="T851" t="s">
        <v>90</v>
      </c>
      <c r="U851" t="s">
        <v>18533</v>
      </c>
      <c r="V851">
        <v>12.568</v>
      </c>
      <c r="W851" t="s">
        <v>65</v>
      </c>
      <c r="X851">
        <v>1</v>
      </c>
      <c r="Y851">
        <v>2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  <c r="AH851">
        <v>0</v>
      </c>
      <c r="AI851">
        <v>2</v>
      </c>
      <c r="AJ851">
        <v>0</v>
      </c>
      <c r="AK851">
        <v>1</v>
      </c>
      <c r="AL851">
        <v>5</v>
      </c>
      <c r="AM851">
        <v>3</v>
      </c>
      <c r="AN851">
        <v>8</v>
      </c>
      <c r="AO851">
        <v>2</v>
      </c>
      <c r="AP851">
        <v>3</v>
      </c>
      <c r="AQ851">
        <v>0</v>
      </c>
      <c r="AR851" t="s">
        <v>18534</v>
      </c>
      <c r="AS851" t="s">
        <v>193</v>
      </c>
      <c r="AT851">
        <v>1.4019999999999999</v>
      </c>
      <c r="AU851" t="s">
        <v>65</v>
      </c>
      <c r="AV851">
        <v>11</v>
      </c>
      <c r="AW851">
        <v>2</v>
      </c>
      <c r="AX851" t="s">
        <v>18535</v>
      </c>
      <c r="AY851">
        <v>2.9559999999999999E-2</v>
      </c>
      <c r="AZ851">
        <v>-2.4099999999999998E-3</v>
      </c>
      <c r="BA851">
        <v>9.7000000000000005E-4</v>
      </c>
      <c r="BB851">
        <v>-2.1000000000000001E-4</v>
      </c>
      <c r="BC851">
        <v>3.2829999999999998E-2</v>
      </c>
      <c r="BD851">
        <v>1</v>
      </c>
      <c r="BE851" t="s">
        <v>69</v>
      </c>
      <c r="BF851">
        <v>-0.27600000000000002</v>
      </c>
      <c r="BG851">
        <v>-1.343</v>
      </c>
    </row>
    <row r="852" spans="1:59">
      <c r="A852">
        <v>0</v>
      </c>
      <c r="B852">
        <v>2</v>
      </c>
      <c r="C852">
        <v>0</v>
      </c>
      <c r="D852" t="s">
        <v>25022</v>
      </c>
      <c r="E852">
        <v>174</v>
      </c>
      <c r="F852" t="s">
        <v>1229</v>
      </c>
      <c r="G852" t="s">
        <v>57</v>
      </c>
      <c r="H852">
        <v>194849</v>
      </c>
      <c r="I852">
        <v>195409</v>
      </c>
      <c r="J852" t="s">
        <v>1230</v>
      </c>
      <c r="K852">
        <v>187</v>
      </c>
      <c r="L852" t="s">
        <v>59</v>
      </c>
      <c r="M852">
        <v>49</v>
      </c>
      <c r="N852" t="str">
        <f>HYPERLINK("Gene174-zp_tree_all.dnd", "Gene174-tree")</f>
        <v>Gene174-tree</v>
      </c>
      <c r="O852">
        <v>10</v>
      </c>
      <c r="P852">
        <v>2</v>
      </c>
      <c r="Q852">
        <v>10</v>
      </c>
      <c r="R852">
        <v>2</v>
      </c>
      <c r="S852">
        <v>0.16667000000000001</v>
      </c>
      <c r="T852" t="s">
        <v>117</v>
      </c>
      <c r="U852" t="s">
        <v>81</v>
      </c>
      <c r="V852" t="s">
        <v>62</v>
      </c>
      <c r="W852" t="s">
        <v>62</v>
      </c>
      <c r="X852">
        <v>1</v>
      </c>
      <c r="Y852">
        <v>2</v>
      </c>
      <c r="Z852">
        <v>3</v>
      </c>
      <c r="AA852">
        <v>0.4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3</v>
      </c>
      <c r="AK852">
        <v>0</v>
      </c>
      <c r="AL852">
        <v>9</v>
      </c>
      <c r="AM852">
        <v>5</v>
      </c>
      <c r="AN852">
        <v>16</v>
      </c>
      <c r="AO852">
        <v>4</v>
      </c>
      <c r="AP852">
        <v>19</v>
      </c>
      <c r="AQ852">
        <v>2</v>
      </c>
      <c r="AR852" t="s">
        <v>1231</v>
      </c>
      <c r="AS852" t="s">
        <v>1232</v>
      </c>
      <c r="AT852">
        <v>0.30199999999999999</v>
      </c>
      <c r="AU852" t="s">
        <v>65</v>
      </c>
      <c r="AV852">
        <v>35</v>
      </c>
      <c r="AW852">
        <v>6</v>
      </c>
      <c r="AX852" t="s">
        <v>1233</v>
      </c>
      <c r="AY852">
        <v>8.8929999999999995E-2</v>
      </c>
      <c r="AZ852">
        <v>-7.7799999999999996E-3</v>
      </c>
      <c r="BA852">
        <v>2.7599999999999999E-3</v>
      </c>
      <c r="BB852">
        <v>-3.6000000000000002E-4</v>
      </c>
      <c r="BC852">
        <v>3.099E-2</v>
      </c>
      <c r="BD852">
        <v>1</v>
      </c>
      <c r="BE852" t="s">
        <v>69</v>
      </c>
      <c r="BF852">
        <v>-1.278</v>
      </c>
      <c r="BG852">
        <v>-1.157</v>
      </c>
    </row>
    <row r="853" spans="1:59">
      <c r="A853">
        <v>0</v>
      </c>
      <c r="B853">
        <v>2</v>
      </c>
      <c r="C853">
        <v>0</v>
      </c>
      <c r="D853" t="s">
        <v>25022</v>
      </c>
      <c r="E853">
        <v>53</v>
      </c>
      <c r="F853" t="s">
        <v>442</v>
      </c>
      <c r="G853" t="s">
        <v>57</v>
      </c>
      <c r="H853">
        <v>59504</v>
      </c>
      <c r="I853">
        <v>60067</v>
      </c>
      <c r="J853" t="s">
        <v>443</v>
      </c>
      <c r="K853">
        <v>188</v>
      </c>
      <c r="L853" t="s">
        <v>59</v>
      </c>
      <c r="M853">
        <v>49</v>
      </c>
      <c r="N853" t="str">
        <f>HYPERLINK("Gene53-zp_tree_all.dnd", "Gene53-tree")</f>
        <v>Gene53-tree</v>
      </c>
      <c r="O853">
        <v>9</v>
      </c>
      <c r="P853">
        <v>6</v>
      </c>
      <c r="Q853">
        <v>9</v>
      </c>
      <c r="R853">
        <v>6</v>
      </c>
      <c r="S853">
        <v>0.4</v>
      </c>
      <c r="T853" t="s">
        <v>135</v>
      </c>
      <c r="U853" t="s">
        <v>90</v>
      </c>
      <c r="V853" t="s">
        <v>62</v>
      </c>
      <c r="W853" t="s">
        <v>62</v>
      </c>
      <c r="X853">
        <v>1</v>
      </c>
      <c r="Y853">
        <v>2</v>
      </c>
      <c r="Z853">
        <v>10</v>
      </c>
      <c r="AA853">
        <v>0.16667000000000001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8</v>
      </c>
      <c r="AK853">
        <v>0</v>
      </c>
      <c r="AL853">
        <v>13</v>
      </c>
      <c r="AM853">
        <v>6</v>
      </c>
      <c r="AN853">
        <v>25</v>
      </c>
      <c r="AO853">
        <v>8</v>
      </c>
      <c r="AP853">
        <v>32</v>
      </c>
      <c r="AQ853">
        <v>4</v>
      </c>
      <c r="AR853" t="s">
        <v>444</v>
      </c>
      <c r="AS853" t="s">
        <v>445</v>
      </c>
      <c r="AT853">
        <v>0.74299999999999999</v>
      </c>
      <c r="AU853" t="s">
        <v>65</v>
      </c>
      <c r="AV853">
        <v>57</v>
      </c>
      <c r="AW853">
        <v>12</v>
      </c>
      <c r="AX853" t="s">
        <v>446</v>
      </c>
      <c r="AY853">
        <v>0.11595</v>
      </c>
      <c r="AZ853">
        <v>-8.2900000000000005E-3</v>
      </c>
      <c r="BA853">
        <v>6.0299999999999998E-3</v>
      </c>
      <c r="BB853">
        <v>-4.8000000000000001E-4</v>
      </c>
      <c r="BC853">
        <v>5.1959999999999999E-2</v>
      </c>
      <c r="BD853">
        <v>1</v>
      </c>
      <c r="BE853" t="s">
        <v>69</v>
      </c>
      <c r="BF853">
        <v>-1.625</v>
      </c>
      <c r="BG853">
        <v>-0.96599999999999997</v>
      </c>
    </row>
    <row r="854" spans="1:59">
      <c r="A854">
        <v>0</v>
      </c>
      <c r="B854">
        <v>0</v>
      </c>
      <c r="C854">
        <v>2</v>
      </c>
      <c r="D854" t="s">
        <v>25022</v>
      </c>
      <c r="E854">
        <v>1649</v>
      </c>
      <c r="F854" t="s">
        <v>10324</v>
      </c>
      <c r="G854" t="s">
        <v>57</v>
      </c>
      <c r="H854">
        <v>1661967</v>
      </c>
      <c r="I854">
        <v>1662530</v>
      </c>
      <c r="J854" t="s">
        <v>10325</v>
      </c>
      <c r="K854">
        <v>188</v>
      </c>
      <c r="L854" t="s">
        <v>59</v>
      </c>
      <c r="M854">
        <v>49</v>
      </c>
      <c r="N854" t="str">
        <f>HYPERLINK("Gene1649-zp_tree_all.dnd", "Gene1649-tree")</f>
        <v>Gene1649-tree</v>
      </c>
      <c r="O854">
        <v>13</v>
      </c>
      <c r="P854">
        <v>0</v>
      </c>
      <c r="Q854">
        <v>13</v>
      </c>
      <c r="R854">
        <v>0</v>
      </c>
      <c r="S854">
        <v>0</v>
      </c>
      <c r="T854" t="s">
        <v>507</v>
      </c>
      <c r="U854" t="s">
        <v>62</v>
      </c>
      <c r="V854" t="s">
        <v>62</v>
      </c>
      <c r="W854" t="s">
        <v>62</v>
      </c>
      <c r="X854">
        <v>1</v>
      </c>
      <c r="Y854">
        <v>2</v>
      </c>
      <c r="Z854">
        <v>1</v>
      </c>
      <c r="AA854">
        <v>0.66666999999999998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9</v>
      </c>
      <c r="AM854">
        <v>7</v>
      </c>
      <c r="AN854">
        <v>20</v>
      </c>
      <c r="AO854">
        <v>0</v>
      </c>
      <c r="AP854">
        <v>34</v>
      </c>
      <c r="AQ854">
        <v>3</v>
      </c>
      <c r="AR854" t="s">
        <v>193</v>
      </c>
      <c r="AS854" t="s">
        <v>10326</v>
      </c>
      <c r="AT854">
        <v>1.1890000000000001</v>
      </c>
      <c r="AU854" t="s">
        <v>65</v>
      </c>
      <c r="AV854">
        <v>54</v>
      </c>
      <c r="AW854">
        <v>3</v>
      </c>
      <c r="AX854" t="s">
        <v>10327</v>
      </c>
      <c r="AY854">
        <v>0.11624</v>
      </c>
      <c r="AZ854">
        <v>-9.6699999999999998E-3</v>
      </c>
      <c r="BA854">
        <v>2.5899999999999999E-3</v>
      </c>
      <c r="BB854">
        <v>-3.2000000000000003E-4</v>
      </c>
      <c r="BC854">
        <v>2.2270000000000002E-2</v>
      </c>
      <c r="BD854">
        <v>1</v>
      </c>
      <c r="BE854" t="s">
        <v>69</v>
      </c>
      <c r="BF854">
        <v>-1.01</v>
      </c>
      <c r="BG854">
        <v>-0.33</v>
      </c>
    </row>
    <row r="855" spans="1:59">
      <c r="A855">
        <v>0</v>
      </c>
      <c r="B855">
        <v>0</v>
      </c>
      <c r="C855">
        <v>0</v>
      </c>
      <c r="D855" t="s">
        <v>25022</v>
      </c>
      <c r="E855">
        <v>2397</v>
      </c>
      <c r="F855" t="s">
        <v>13951</v>
      </c>
      <c r="G855" t="s">
        <v>62</v>
      </c>
      <c r="H855">
        <v>2406296</v>
      </c>
      <c r="I855">
        <v>2406862</v>
      </c>
      <c r="J855" t="s">
        <v>3674</v>
      </c>
      <c r="K855">
        <v>189</v>
      </c>
      <c r="L855" t="s">
        <v>108</v>
      </c>
      <c r="M855">
        <v>44</v>
      </c>
      <c r="N855" t="str">
        <f>HYPERLINK("Gene2397-zp_tree_all.dnd", "Gene2397-tree")</f>
        <v>Gene2397-tree</v>
      </c>
      <c r="O855">
        <v>3</v>
      </c>
      <c r="P855">
        <v>28</v>
      </c>
      <c r="Q855">
        <v>3</v>
      </c>
      <c r="R855">
        <v>4</v>
      </c>
      <c r="S855">
        <v>0.57142999999999999</v>
      </c>
      <c r="T855" t="s">
        <v>324</v>
      </c>
      <c r="U855" t="s">
        <v>13952</v>
      </c>
      <c r="V855">
        <v>4.6669999999999998</v>
      </c>
      <c r="W855" t="s">
        <v>65</v>
      </c>
      <c r="X855">
        <v>0</v>
      </c>
      <c r="Y855">
        <v>0</v>
      </c>
      <c r="Z855">
        <v>5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5</v>
      </c>
      <c r="AK855">
        <v>0</v>
      </c>
      <c r="AL855">
        <v>5</v>
      </c>
      <c r="AM855">
        <v>1</v>
      </c>
      <c r="AN855">
        <v>5</v>
      </c>
      <c r="AO855">
        <v>4</v>
      </c>
      <c r="AP855">
        <v>0</v>
      </c>
      <c r="AQ855">
        <v>1</v>
      </c>
      <c r="AR855" t="s">
        <v>13953</v>
      </c>
      <c r="AS855" t="s">
        <v>193</v>
      </c>
      <c r="AT855">
        <v>1.333</v>
      </c>
      <c r="AU855" t="s">
        <v>65</v>
      </c>
      <c r="AV855">
        <v>5</v>
      </c>
      <c r="AW855">
        <v>5</v>
      </c>
      <c r="AX855" t="s">
        <v>13954</v>
      </c>
      <c r="AY855">
        <v>1.175E-2</v>
      </c>
      <c r="AZ855">
        <v>-2.0500000000000002E-3</v>
      </c>
      <c r="BA855">
        <v>3.6900000000000001E-3</v>
      </c>
      <c r="BB855">
        <v>-5.8E-4</v>
      </c>
      <c r="BC855">
        <v>0.31356000000000001</v>
      </c>
      <c r="BD855">
        <v>0.871</v>
      </c>
      <c r="BE855" t="s">
        <v>635</v>
      </c>
      <c r="BF855">
        <v>-1.508</v>
      </c>
      <c r="BG855">
        <v>-2.7679999999999998</v>
      </c>
    </row>
    <row r="856" spans="1:59">
      <c r="A856">
        <v>0</v>
      </c>
      <c r="B856">
        <v>6</v>
      </c>
      <c r="C856">
        <v>3</v>
      </c>
      <c r="D856" t="s">
        <v>25022</v>
      </c>
      <c r="E856">
        <v>3782</v>
      </c>
      <c r="F856" t="s">
        <v>22164</v>
      </c>
      <c r="G856" t="s">
        <v>62</v>
      </c>
      <c r="H856">
        <v>3755294</v>
      </c>
      <c r="I856">
        <v>3755860</v>
      </c>
      <c r="J856" t="s">
        <v>22165</v>
      </c>
      <c r="K856">
        <v>189</v>
      </c>
      <c r="L856" t="s">
        <v>108</v>
      </c>
      <c r="M856">
        <v>44</v>
      </c>
      <c r="N856" t="str">
        <f>HYPERLINK("Gene3782-zp_tree_all.dnd", "Gene3782-tree")</f>
        <v>Gene3782-tree</v>
      </c>
      <c r="O856">
        <v>6</v>
      </c>
      <c r="P856">
        <v>9</v>
      </c>
      <c r="Q856">
        <v>6</v>
      </c>
      <c r="R856">
        <v>9</v>
      </c>
      <c r="S856">
        <v>0.6</v>
      </c>
      <c r="T856" t="s">
        <v>90</v>
      </c>
      <c r="U856" t="s">
        <v>135</v>
      </c>
      <c r="V856" t="s">
        <v>62</v>
      </c>
      <c r="W856" t="s">
        <v>62</v>
      </c>
      <c r="X856">
        <v>4</v>
      </c>
      <c r="Y856">
        <v>9</v>
      </c>
      <c r="Z856">
        <v>8</v>
      </c>
      <c r="AA856">
        <v>0.52941000000000005</v>
      </c>
      <c r="AB856">
        <v>0</v>
      </c>
      <c r="AC856">
        <v>0</v>
      </c>
      <c r="AD856">
        <v>0</v>
      </c>
      <c r="AE856">
        <v>2</v>
      </c>
      <c r="AF856">
        <v>0</v>
      </c>
      <c r="AG856">
        <v>4</v>
      </c>
      <c r="AH856">
        <v>4</v>
      </c>
      <c r="AI856">
        <v>8</v>
      </c>
      <c r="AJ856">
        <v>6</v>
      </c>
      <c r="AK856">
        <v>0.57142999999999999</v>
      </c>
      <c r="AL856">
        <v>11</v>
      </c>
      <c r="AM856">
        <v>6</v>
      </c>
      <c r="AN856">
        <v>21</v>
      </c>
      <c r="AO856">
        <v>14</v>
      </c>
      <c r="AP856">
        <v>8</v>
      </c>
      <c r="AQ856">
        <v>3</v>
      </c>
      <c r="AR856" t="s">
        <v>22166</v>
      </c>
      <c r="AS856" t="s">
        <v>22167</v>
      </c>
      <c r="AT856">
        <v>1.044</v>
      </c>
      <c r="AU856" t="s">
        <v>65</v>
      </c>
      <c r="AV856">
        <v>29</v>
      </c>
      <c r="AW856">
        <v>17</v>
      </c>
      <c r="AX856" t="s">
        <v>22168</v>
      </c>
      <c r="AY856">
        <v>3.7850000000000002E-2</v>
      </c>
      <c r="AZ856">
        <v>-1.64E-3</v>
      </c>
      <c r="BA856">
        <v>5.79E-3</v>
      </c>
      <c r="BB856">
        <v>-2.9999999999999997E-4</v>
      </c>
      <c r="BC856">
        <v>0.15284</v>
      </c>
      <c r="BD856">
        <v>1</v>
      </c>
      <c r="BE856" t="s">
        <v>69</v>
      </c>
      <c r="BF856">
        <v>-1.339</v>
      </c>
      <c r="BG856">
        <v>-1.383</v>
      </c>
    </row>
    <row r="857" spans="1:59">
      <c r="A857">
        <v>0</v>
      </c>
      <c r="B857">
        <v>4</v>
      </c>
      <c r="C857">
        <v>0</v>
      </c>
      <c r="D857" t="s">
        <v>25022</v>
      </c>
      <c r="E857">
        <v>950</v>
      </c>
      <c r="F857" t="s">
        <v>5956</v>
      </c>
      <c r="G857" t="s">
        <v>57</v>
      </c>
      <c r="H857">
        <v>989022</v>
      </c>
      <c r="I857">
        <v>989588</v>
      </c>
      <c r="J857" t="s">
        <v>5957</v>
      </c>
      <c r="K857">
        <v>189</v>
      </c>
      <c r="L857" t="s">
        <v>5958</v>
      </c>
      <c r="M857">
        <v>35</v>
      </c>
      <c r="N857" t="str">
        <f>HYPERLINK("Gene950-zp_tree_all.dnd", "Gene950-tree")</f>
        <v>Gene950-tree</v>
      </c>
      <c r="O857">
        <v>6</v>
      </c>
      <c r="P857">
        <v>4</v>
      </c>
      <c r="Q857">
        <v>6</v>
      </c>
      <c r="R857">
        <v>4</v>
      </c>
      <c r="S857">
        <v>0.4</v>
      </c>
      <c r="T857" t="s">
        <v>90</v>
      </c>
      <c r="U857" t="s">
        <v>61</v>
      </c>
      <c r="V857" t="s">
        <v>62</v>
      </c>
      <c r="W857" t="s">
        <v>62</v>
      </c>
      <c r="X857">
        <v>1</v>
      </c>
      <c r="Y857">
        <v>4</v>
      </c>
      <c r="Z857">
        <v>4</v>
      </c>
      <c r="AA857">
        <v>0.5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3</v>
      </c>
      <c r="AH857">
        <v>0</v>
      </c>
      <c r="AI857">
        <v>3</v>
      </c>
      <c r="AJ857">
        <v>3</v>
      </c>
      <c r="AK857">
        <v>0.5</v>
      </c>
      <c r="AL857">
        <v>7</v>
      </c>
      <c r="AM857">
        <v>6</v>
      </c>
      <c r="AN857">
        <v>6</v>
      </c>
      <c r="AO857">
        <v>6</v>
      </c>
      <c r="AP857">
        <v>8</v>
      </c>
      <c r="AQ857">
        <v>2</v>
      </c>
      <c r="AR857" t="s">
        <v>5959</v>
      </c>
      <c r="AS857" t="s">
        <v>5960</v>
      </c>
      <c r="AT857">
        <v>0.83899999999999997</v>
      </c>
      <c r="AU857" t="s">
        <v>65</v>
      </c>
      <c r="AV857">
        <v>14</v>
      </c>
      <c r="AW857">
        <v>8</v>
      </c>
      <c r="AX857" t="s">
        <v>5961</v>
      </c>
      <c r="AY857">
        <v>3.3910000000000003E-2</v>
      </c>
      <c r="AZ857">
        <v>-2.33E-3</v>
      </c>
      <c r="BA857">
        <v>3.6800000000000001E-3</v>
      </c>
      <c r="BB857">
        <v>-2.7999999999999998E-4</v>
      </c>
      <c r="BC857">
        <v>0.10854999999999999</v>
      </c>
      <c r="BD857">
        <v>1</v>
      </c>
      <c r="BE857" t="s">
        <v>69</v>
      </c>
      <c r="BF857">
        <v>-0.64700000000000002</v>
      </c>
      <c r="BG857">
        <v>-1.032</v>
      </c>
    </row>
    <row r="858" spans="1:59">
      <c r="A858">
        <v>0</v>
      </c>
      <c r="B858">
        <v>2</v>
      </c>
      <c r="C858">
        <v>1</v>
      </c>
      <c r="D858" t="s">
        <v>25022</v>
      </c>
      <c r="E858">
        <v>2921</v>
      </c>
      <c r="F858" t="s">
        <v>16822</v>
      </c>
      <c r="G858" t="s">
        <v>62</v>
      </c>
      <c r="H858">
        <v>2862575</v>
      </c>
      <c r="I858">
        <v>2863141</v>
      </c>
      <c r="J858" t="s">
        <v>16823</v>
      </c>
      <c r="K858">
        <v>189</v>
      </c>
      <c r="L858" t="s">
        <v>698</v>
      </c>
      <c r="M858">
        <v>47</v>
      </c>
      <c r="N858" t="str">
        <f>HYPERLINK("Gene2921-zp_tree_all.dnd", "Gene2921-tree")</f>
        <v>Gene2921-tree</v>
      </c>
      <c r="O858">
        <v>9</v>
      </c>
      <c r="P858">
        <v>3</v>
      </c>
      <c r="Q858">
        <v>9</v>
      </c>
      <c r="R858">
        <v>3</v>
      </c>
      <c r="S858">
        <v>0.25</v>
      </c>
      <c r="T858" t="s">
        <v>135</v>
      </c>
      <c r="U858" t="s">
        <v>324</v>
      </c>
      <c r="V858" t="s">
        <v>62</v>
      </c>
      <c r="W858" t="s">
        <v>62</v>
      </c>
      <c r="X858">
        <v>1</v>
      </c>
      <c r="Y858">
        <v>3</v>
      </c>
      <c r="Z858">
        <v>10</v>
      </c>
      <c r="AA858">
        <v>0.23077</v>
      </c>
      <c r="AB858">
        <v>0</v>
      </c>
      <c r="AC858">
        <v>0</v>
      </c>
      <c r="AD858">
        <v>0</v>
      </c>
      <c r="AE858">
        <v>4</v>
      </c>
      <c r="AF858">
        <v>0</v>
      </c>
      <c r="AG858">
        <v>0</v>
      </c>
      <c r="AH858">
        <v>0</v>
      </c>
      <c r="AI858">
        <v>0</v>
      </c>
      <c r="AJ858">
        <v>7</v>
      </c>
      <c r="AK858">
        <v>0</v>
      </c>
      <c r="AL858">
        <v>8</v>
      </c>
      <c r="AM858">
        <v>5</v>
      </c>
      <c r="AN858">
        <v>11</v>
      </c>
      <c r="AO858">
        <v>7</v>
      </c>
      <c r="AP858">
        <v>18</v>
      </c>
      <c r="AQ858">
        <v>6</v>
      </c>
      <c r="AR858" t="s">
        <v>16824</v>
      </c>
      <c r="AS858" t="s">
        <v>16825</v>
      </c>
      <c r="AT858">
        <v>0.313</v>
      </c>
      <c r="AU858" t="s">
        <v>65</v>
      </c>
      <c r="AV858">
        <v>29</v>
      </c>
      <c r="AW858">
        <v>13</v>
      </c>
      <c r="AX858" t="s">
        <v>16826</v>
      </c>
      <c r="AY858">
        <v>7.596E-2</v>
      </c>
      <c r="AZ858">
        <v>-7.8200000000000006E-3</v>
      </c>
      <c r="BA858">
        <v>8.2400000000000008E-3</v>
      </c>
      <c r="BB858">
        <v>-9.3000000000000005E-4</v>
      </c>
      <c r="BC858">
        <v>0.10843999999999999</v>
      </c>
      <c r="BD858">
        <v>1</v>
      </c>
      <c r="BE858" t="s">
        <v>69</v>
      </c>
      <c r="BF858">
        <v>-1.4750000000000001</v>
      </c>
      <c r="BG858">
        <v>-0.97599999999999998</v>
      </c>
    </row>
    <row r="859" spans="1:59">
      <c r="A859">
        <v>0</v>
      </c>
      <c r="B859">
        <v>0</v>
      </c>
      <c r="C859">
        <v>0</v>
      </c>
      <c r="D859" t="s">
        <v>25022</v>
      </c>
      <c r="E859">
        <v>3658</v>
      </c>
      <c r="F859" t="s">
        <v>21464</v>
      </c>
      <c r="G859" t="s">
        <v>62</v>
      </c>
      <c r="H859">
        <v>3631006</v>
      </c>
      <c r="I859">
        <v>3631572</v>
      </c>
      <c r="J859" t="s">
        <v>21465</v>
      </c>
      <c r="K859">
        <v>189</v>
      </c>
      <c r="L859" t="s">
        <v>59</v>
      </c>
      <c r="M859">
        <v>49</v>
      </c>
      <c r="N859" t="str">
        <f>HYPERLINK("Gene3658-zp_tree_all.dnd", "Gene3658-tree")</f>
        <v>Gene3658-tree</v>
      </c>
      <c r="O859">
        <v>13</v>
      </c>
      <c r="P859">
        <v>3</v>
      </c>
      <c r="Q859">
        <v>13</v>
      </c>
      <c r="R859">
        <v>3</v>
      </c>
      <c r="S859">
        <v>0.1875</v>
      </c>
      <c r="T859" t="s">
        <v>507</v>
      </c>
      <c r="U859" t="s">
        <v>324</v>
      </c>
      <c r="V859" t="s">
        <v>62</v>
      </c>
      <c r="W859" t="s">
        <v>62</v>
      </c>
      <c r="X859">
        <v>0</v>
      </c>
      <c r="Y859">
        <v>0</v>
      </c>
      <c r="Z859">
        <v>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</v>
      </c>
      <c r="AK859">
        <v>0</v>
      </c>
      <c r="AL859">
        <v>12</v>
      </c>
      <c r="AM859">
        <v>9</v>
      </c>
      <c r="AN859">
        <v>22</v>
      </c>
      <c r="AO859">
        <v>3</v>
      </c>
      <c r="AP859">
        <v>16</v>
      </c>
      <c r="AQ859">
        <v>6</v>
      </c>
      <c r="AR859" t="s">
        <v>21466</v>
      </c>
      <c r="AS859" t="s">
        <v>21467</v>
      </c>
      <c r="AT859">
        <v>0.61799999999999999</v>
      </c>
      <c r="AU859" t="s">
        <v>65</v>
      </c>
      <c r="AV859">
        <v>38</v>
      </c>
      <c r="AW859">
        <v>9</v>
      </c>
      <c r="AX859" t="s">
        <v>21468</v>
      </c>
      <c r="AY859">
        <v>6.6900000000000001E-2</v>
      </c>
      <c r="AZ859">
        <v>-3.6900000000000001E-3</v>
      </c>
      <c r="BA859">
        <v>5.7099999999999998E-3</v>
      </c>
      <c r="BB859">
        <v>-4.4999999999999999E-4</v>
      </c>
      <c r="BC859">
        <v>8.5300000000000001E-2</v>
      </c>
      <c r="BD859">
        <v>1</v>
      </c>
      <c r="BE859" t="s">
        <v>69</v>
      </c>
      <c r="BF859">
        <v>-1.629</v>
      </c>
      <c r="BG859">
        <v>-1.375</v>
      </c>
    </row>
    <row r="860" spans="1:59">
      <c r="A860">
        <v>0</v>
      </c>
      <c r="B860">
        <v>0</v>
      </c>
      <c r="C860">
        <v>0</v>
      </c>
      <c r="D860" t="s">
        <v>25022</v>
      </c>
      <c r="E860">
        <v>2668</v>
      </c>
      <c r="F860" t="s">
        <v>15650</v>
      </c>
      <c r="G860" t="s">
        <v>62</v>
      </c>
      <c r="H860">
        <v>2643768</v>
      </c>
      <c r="I860">
        <v>2644334</v>
      </c>
      <c r="J860" t="s">
        <v>15651</v>
      </c>
      <c r="K860">
        <v>189</v>
      </c>
      <c r="L860" t="s">
        <v>59</v>
      </c>
      <c r="M860">
        <v>49</v>
      </c>
      <c r="N860" t="str">
        <f>HYPERLINK("Gene2668-zp_tree_all.dnd", "Gene2668-tree")</f>
        <v>Gene2668-tree</v>
      </c>
      <c r="O860">
        <v>14</v>
      </c>
      <c r="P860">
        <v>1</v>
      </c>
      <c r="Q860">
        <v>14</v>
      </c>
      <c r="R860">
        <v>1</v>
      </c>
      <c r="S860">
        <v>6.6669999999999993E-2</v>
      </c>
      <c r="T860" t="s">
        <v>543</v>
      </c>
      <c r="U860" t="s">
        <v>175</v>
      </c>
      <c r="V860" t="s">
        <v>62</v>
      </c>
      <c r="W860" t="s">
        <v>62</v>
      </c>
      <c r="X860">
        <v>0</v>
      </c>
      <c r="Y860">
        <v>0</v>
      </c>
      <c r="Z860">
        <v>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10</v>
      </c>
      <c r="AM860">
        <v>9</v>
      </c>
      <c r="AN860">
        <v>14</v>
      </c>
      <c r="AO860">
        <v>1</v>
      </c>
      <c r="AP860">
        <v>24</v>
      </c>
      <c r="AQ860">
        <v>4</v>
      </c>
      <c r="AR860" t="s">
        <v>15652</v>
      </c>
      <c r="AS860" t="s">
        <v>15653</v>
      </c>
      <c r="AT860">
        <v>0.35699999999999998</v>
      </c>
      <c r="AU860" t="s">
        <v>65</v>
      </c>
      <c r="AV860">
        <v>38</v>
      </c>
      <c r="AW860">
        <v>5</v>
      </c>
      <c r="AX860" t="s">
        <v>15654</v>
      </c>
      <c r="AY860">
        <v>8.5730000000000001E-2</v>
      </c>
      <c r="AZ860">
        <v>-5.6299999999999996E-3</v>
      </c>
      <c r="BA860">
        <v>3.9100000000000003E-3</v>
      </c>
      <c r="BB860">
        <v>-3.3E-4</v>
      </c>
      <c r="BC860">
        <v>4.5589999999999999E-2</v>
      </c>
      <c r="BD860">
        <v>1</v>
      </c>
      <c r="BE860" t="s">
        <v>69</v>
      </c>
      <c r="BF860">
        <v>-1.0009999999999999</v>
      </c>
      <c r="BG860">
        <v>0.42799999999999999</v>
      </c>
    </row>
    <row r="861" spans="1:59">
      <c r="A861">
        <v>0</v>
      </c>
      <c r="B861">
        <v>2</v>
      </c>
      <c r="C861">
        <v>0</v>
      </c>
      <c r="D861" t="s">
        <v>25022</v>
      </c>
      <c r="E861">
        <v>728</v>
      </c>
      <c r="F861" t="s">
        <v>4507</v>
      </c>
      <c r="G861" t="s">
        <v>57</v>
      </c>
      <c r="H861">
        <v>756417</v>
      </c>
      <c r="I861">
        <v>756983</v>
      </c>
      <c r="J861" t="s">
        <v>4508</v>
      </c>
      <c r="K861">
        <v>189</v>
      </c>
      <c r="L861" t="s">
        <v>698</v>
      </c>
      <c r="M861">
        <v>47</v>
      </c>
      <c r="N861" t="str">
        <f>HYPERLINK("Gene728-zp_tree_all.dnd", "Gene728-tree")</f>
        <v>Gene728-tree</v>
      </c>
      <c r="O861">
        <v>13</v>
      </c>
      <c r="P861">
        <v>2</v>
      </c>
      <c r="Q861">
        <v>13</v>
      </c>
      <c r="R861">
        <v>2</v>
      </c>
      <c r="S861">
        <v>0.13333</v>
      </c>
      <c r="T861" t="s">
        <v>507</v>
      </c>
      <c r="U861" t="s">
        <v>81</v>
      </c>
      <c r="V861" t="s">
        <v>62</v>
      </c>
      <c r="W861" t="s">
        <v>62</v>
      </c>
      <c r="X861">
        <v>1</v>
      </c>
      <c r="Y861">
        <v>2</v>
      </c>
      <c r="Z861">
        <v>2</v>
      </c>
      <c r="AA861">
        <v>0.5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</v>
      </c>
      <c r="AH861">
        <v>0</v>
      </c>
      <c r="AI861">
        <v>2</v>
      </c>
      <c r="AJ861">
        <v>0</v>
      </c>
      <c r="AK861">
        <v>1</v>
      </c>
      <c r="AL861">
        <v>11</v>
      </c>
      <c r="AM861">
        <v>6</v>
      </c>
      <c r="AN861">
        <v>27</v>
      </c>
      <c r="AO861">
        <v>2</v>
      </c>
      <c r="AP861">
        <v>23</v>
      </c>
      <c r="AQ861">
        <v>2</v>
      </c>
      <c r="AR861" t="s">
        <v>4509</v>
      </c>
      <c r="AS861" t="s">
        <v>4510</v>
      </c>
      <c r="AT861">
        <v>2.8000000000000001E-2</v>
      </c>
      <c r="AU861" t="s">
        <v>65</v>
      </c>
      <c r="AV861">
        <v>50</v>
      </c>
      <c r="AW861">
        <v>4</v>
      </c>
      <c r="AX861" t="s">
        <v>4511</v>
      </c>
      <c r="AY861">
        <v>7.9380000000000006E-2</v>
      </c>
      <c r="AZ861">
        <v>-8.4799999999999997E-3</v>
      </c>
      <c r="BA861">
        <v>1.72E-3</v>
      </c>
      <c r="BB861">
        <v>-2.1000000000000001E-4</v>
      </c>
      <c r="BC861">
        <v>2.1610000000000001E-2</v>
      </c>
      <c r="BD861">
        <v>1</v>
      </c>
      <c r="BE861" t="s">
        <v>69</v>
      </c>
      <c r="BF861">
        <v>-1.42</v>
      </c>
      <c r="BG861">
        <v>-0.50600000000000001</v>
      </c>
    </row>
    <row r="862" spans="1:59">
      <c r="A862">
        <v>0</v>
      </c>
      <c r="B862">
        <v>0</v>
      </c>
      <c r="C862">
        <v>0</v>
      </c>
      <c r="D862" t="s">
        <v>25022</v>
      </c>
      <c r="E862">
        <v>2662</v>
      </c>
      <c r="F862" t="s">
        <v>15610</v>
      </c>
      <c r="G862" t="s">
        <v>62</v>
      </c>
      <c r="H862">
        <v>2639880</v>
      </c>
      <c r="I862">
        <v>2640446</v>
      </c>
      <c r="J862" t="s">
        <v>15611</v>
      </c>
      <c r="K862">
        <v>189</v>
      </c>
      <c r="L862" t="s">
        <v>108</v>
      </c>
      <c r="M862">
        <v>44</v>
      </c>
      <c r="N862" t="str">
        <f>HYPERLINK("Gene2662-zp_tree_all.dnd", "Gene2662-tree")</f>
        <v>Gene2662-tree</v>
      </c>
      <c r="O862">
        <v>9</v>
      </c>
      <c r="P862">
        <v>2</v>
      </c>
      <c r="Q862">
        <v>9</v>
      </c>
      <c r="R862">
        <v>2</v>
      </c>
      <c r="S862">
        <v>0.18182000000000001</v>
      </c>
      <c r="T862" t="s">
        <v>135</v>
      </c>
      <c r="U862" t="s">
        <v>81</v>
      </c>
      <c r="V862" t="s">
        <v>62</v>
      </c>
      <c r="W862" t="s">
        <v>62</v>
      </c>
      <c r="X862">
        <v>0</v>
      </c>
      <c r="Y862">
        <v>0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</v>
      </c>
      <c r="AK862">
        <v>0</v>
      </c>
      <c r="AL862">
        <v>7</v>
      </c>
      <c r="AM862">
        <v>8</v>
      </c>
      <c r="AN862">
        <v>11</v>
      </c>
      <c r="AO862">
        <v>2</v>
      </c>
      <c r="AP862">
        <v>13</v>
      </c>
      <c r="AQ862">
        <v>0</v>
      </c>
      <c r="AR862" t="s">
        <v>15612</v>
      </c>
      <c r="AS862" t="s">
        <v>193</v>
      </c>
      <c r="AT862">
        <v>0.97299999999999998</v>
      </c>
      <c r="AU862" t="s">
        <v>65</v>
      </c>
      <c r="AV862">
        <v>24</v>
      </c>
      <c r="AW862">
        <v>2</v>
      </c>
      <c r="AX862" t="s">
        <v>15613</v>
      </c>
      <c r="AY862">
        <v>4.7969999999999999E-2</v>
      </c>
      <c r="AZ862">
        <v>-2.5699999999999998E-3</v>
      </c>
      <c r="BA862">
        <v>8.3000000000000001E-4</v>
      </c>
      <c r="BB862">
        <v>-1.6000000000000001E-4</v>
      </c>
      <c r="BC862">
        <v>1.7270000000000001E-2</v>
      </c>
      <c r="BD862">
        <v>1</v>
      </c>
      <c r="BE862" t="s">
        <v>69</v>
      </c>
      <c r="BF862">
        <v>-9.6000000000000002E-2</v>
      </c>
      <c r="BG862">
        <v>-0.68200000000000005</v>
      </c>
    </row>
    <row r="863" spans="1:59">
      <c r="A863">
        <v>0</v>
      </c>
      <c r="B863">
        <v>18</v>
      </c>
      <c r="C863">
        <v>0</v>
      </c>
      <c r="D863" t="s">
        <v>25022</v>
      </c>
      <c r="E863">
        <v>3485</v>
      </c>
      <c r="F863" t="s">
        <v>20421</v>
      </c>
      <c r="G863" t="s">
        <v>62</v>
      </c>
      <c r="H863">
        <v>3449052</v>
      </c>
      <c r="I863">
        <v>3449621</v>
      </c>
      <c r="J863" t="s">
        <v>637</v>
      </c>
      <c r="K863">
        <v>190</v>
      </c>
      <c r="L863" t="s">
        <v>108</v>
      </c>
      <c r="M863">
        <v>44</v>
      </c>
      <c r="N863" t="str">
        <f>HYPERLINK("Gene3485-zp_tree_all.dnd", "Gene3485-tree")</f>
        <v>Gene3485-tree</v>
      </c>
      <c r="O863">
        <v>3</v>
      </c>
      <c r="P863">
        <v>12</v>
      </c>
      <c r="Q863">
        <v>3</v>
      </c>
      <c r="R863">
        <v>12</v>
      </c>
      <c r="S863">
        <v>0.8</v>
      </c>
      <c r="T863" t="s">
        <v>324</v>
      </c>
      <c r="U863" t="s">
        <v>109</v>
      </c>
      <c r="V863" t="s">
        <v>62</v>
      </c>
      <c r="W863" t="s">
        <v>62</v>
      </c>
      <c r="X863">
        <v>8</v>
      </c>
      <c r="Y863">
        <v>18</v>
      </c>
      <c r="Z863">
        <v>12</v>
      </c>
      <c r="AA863">
        <v>0.6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6</v>
      </c>
      <c r="AH863">
        <v>0</v>
      </c>
      <c r="AI863">
        <v>6</v>
      </c>
      <c r="AJ863">
        <v>10</v>
      </c>
      <c r="AK863">
        <v>0.375</v>
      </c>
      <c r="AL863">
        <v>12</v>
      </c>
      <c r="AM863">
        <v>9</v>
      </c>
      <c r="AN863">
        <v>20</v>
      </c>
      <c r="AO863">
        <v>14</v>
      </c>
      <c r="AP863">
        <v>15</v>
      </c>
      <c r="AQ863">
        <v>16</v>
      </c>
      <c r="AR863" t="s">
        <v>20422</v>
      </c>
      <c r="AS863" t="s">
        <v>20423</v>
      </c>
      <c r="AT863">
        <v>0.55400000000000005</v>
      </c>
      <c r="AU863" t="s">
        <v>65</v>
      </c>
      <c r="AV863">
        <v>35</v>
      </c>
      <c r="AW863">
        <v>30</v>
      </c>
      <c r="AX863" t="s">
        <v>20424</v>
      </c>
      <c r="AY863">
        <v>5.3749999999999999E-2</v>
      </c>
      <c r="AZ863">
        <v>-2.4399999999999999E-3</v>
      </c>
      <c r="BA863">
        <v>1.3180000000000001E-2</v>
      </c>
      <c r="BB863">
        <v>-6.3000000000000003E-4</v>
      </c>
      <c r="BC863">
        <v>0.24524000000000001</v>
      </c>
      <c r="BD863">
        <v>1</v>
      </c>
      <c r="BE863" t="s">
        <v>69</v>
      </c>
      <c r="BF863">
        <v>-0.34899999999999998</v>
      </c>
      <c r="BG863">
        <v>-0.215</v>
      </c>
    </row>
    <row r="864" spans="1:59">
      <c r="A864">
        <v>0</v>
      </c>
      <c r="B864">
        <v>0</v>
      </c>
      <c r="C864">
        <v>0</v>
      </c>
      <c r="D864" t="s">
        <v>25022</v>
      </c>
      <c r="E864">
        <v>2401</v>
      </c>
      <c r="F864" t="s">
        <v>13976</v>
      </c>
      <c r="G864" t="s">
        <v>62</v>
      </c>
      <c r="H864">
        <v>2410020</v>
      </c>
      <c r="I864">
        <v>2410589</v>
      </c>
      <c r="J864" t="s">
        <v>13977</v>
      </c>
      <c r="K864">
        <v>190</v>
      </c>
      <c r="L864" t="s">
        <v>108</v>
      </c>
      <c r="M864">
        <v>44</v>
      </c>
      <c r="N864" t="str">
        <f>HYPERLINK("Gene2401-zp_tree_all.dnd", "Gene2401-tree")</f>
        <v>Gene2401-tree</v>
      </c>
      <c r="O864">
        <v>6</v>
      </c>
      <c r="P864">
        <v>5</v>
      </c>
      <c r="Q864">
        <v>6</v>
      </c>
      <c r="R864">
        <v>5</v>
      </c>
      <c r="S864">
        <v>0.45455000000000001</v>
      </c>
      <c r="T864" t="s">
        <v>90</v>
      </c>
      <c r="U864" t="s">
        <v>199</v>
      </c>
      <c r="V864" t="s">
        <v>62</v>
      </c>
      <c r="W864" t="s">
        <v>62</v>
      </c>
      <c r="X864">
        <v>0</v>
      </c>
      <c r="Y864">
        <v>0</v>
      </c>
      <c r="Z864">
        <v>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5</v>
      </c>
      <c r="AK864">
        <v>0</v>
      </c>
      <c r="AL864">
        <v>9</v>
      </c>
      <c r="AM864">
        <v>5</v>
      </c>
      <c r="AN864">
        <v>7</v>
      </c>
      <c r="AO864">
        <v>5</v>
      </c>
      <c r="AP864">
        <v>6</v>
      </c>
      <c r="AQ864">
        <v>0</v>
      </c>
      <c r="AR864" t="s">
        <v>13978</v>
      </c>
      <c r="AS864" t="s">
        <v>193</v>
      </c>
      <c r="AT864">
        <v>1.645</v>
      </c>
      <c r="AU864" t="s">
        <v>65</v>
      </c>
      <c r="AV864">
        <v>13</v>
      </c>
      <c r="AW864">
        <v>5</v>
      </c>
      <c r="AX864" t="s">
        <v>13979</v>
      </c>
      <c r="AY864">
        <v>2.5159999999999998E-2</v>
      </c>
      <c r="AZ864">
        <v>-1.5399999999999999E-3</v>
      </c>
      <c r="BA864">
        <v>2.0999999999999999E-3</v>
      </c>
      <c r="BB864">
        <v>-2.1000000000000001E-4</v>
      </c>
      <c r="BC864">
        <v>8.3659999999999998E-2</v>
      </c>
      <c r="BD864">
        <v>1</v>
      </c>
      <c r="BE864" t="s">
        <v>69</v>
      </c>
      <c r="BF864">
        <v>-1.0660000000000001</v>
      </c>
      <c r="BG864">
        <v>-2.0179999999999998</v>
      </c>
    </row>
    <row r="865" spans="1:59">
      <c r="A865">
        <v>0</v>
      </c>
      <c r="B865">
        <v>2</v>
      </c>
      <c r="C865">
        <v>0</v>
      </c>
      <c r="D865" t="s">
        <v>25022</v>
      </c>
      <c r="E865">
        <v>2565</v>
      </c>
      <c r="F865" t="s">
        <v>15002</v>
      </c>
      <c r="G865" t="s">
        <v>62</v>
      </c>
      <c r="H865">
        <v>2553933</v>
      </c>
      <c r="I865">
        <v>2554502</v>
      </c>
      <c r="J865" t="s">
        <v>2768</v>
      </c>
      <c r="K865">
        <v>190</v>
      </c>
      <c r="L865" t="s">
        <v>108</v>
      </c>
      <c r="M865">
        <v>44</v>
      </c>
      <c r="N865" t="str">
        <f>HYPERLINK("Gene2565-zp_tree_all.dnd", "Gene2565-tree")</f>
        <v>Gene2565-tree</v>
      </c>
      <c r="O865">
        <v>7</v>
      </c>
      <c r="P865">
        <v>4</v>
      </c>
      <c r="Q865">
        <v>7</v>
      </c>
      <c r="R865">
        <v>4</v>
      </c>
      <c r="S865">
        <v>0.36364000000000002</v>
      </c>
      <c r="T865" t="s">
        <v>152</v>
      </c>
      <c r="U865" t="s">
        <v>61</v>
      </c>
      <c r="V865" t="s">
        <v>62</v>
      </c>
      <c r="W865" t="s">
        <v>62</v>
      </c>
      <c r="X865">
        <v>1</v>
      </c>
      <c r="Y865">
        <v>2</v>
      </c>
      <c r="Z865">
        <v>5</v>
      </c>
      <c r="AA865">
        <v>0.28571000000000002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5</v>
      </c>
      <c r="AK865">
        <v>0</v>
      </c>
      <c r="AL865">
        <v>10</v>
      </c>
      <c r="AM865">
        <v>7</v>
      </c>
      <c r="AN865">
        <v>15</v>
      </c>
      <c r="AO865">
        <v>5</v>
      </c>
      <c r="AP865">
        <v>13</v>
      </c>
      <c r="AQ865">
        <v>2</v>
      </c>
      <c r="AR865" t="s">
        <v>15003</v>
      </c>
      <c r="AS865" t="s">
        <v>15004</v>
      </c>
      <c r="AT865">
        <v>0.65100000000000002</v>
      </c>
      <c r="AU865" t="s">
        <v>65</v>
      </c>
      <c r="AV865">
        <v>28</v>
      </c>
      <c r="AW865">
        <v>7</v>
      </c>
      <c r="AX865" t="s">
        <v>15005</v>
      </c>
      <c r="AY865">
        <v>4.9119999999999997E-2</v>
      </c>
      <c r="AZ865">
        <v>-2.5200000000000001E-3</v>
      </c>
      <c r="BA865">
        <v>3.96E-3</v>
      </c>
      <c r="BB865">
        <v>-3.3E-4</v>
      </c>
      <c r="BC865">
        <v>8.0680000000000002E-2</v>
      </c>
      <c r="BD865">
        <v>1</v>
      </c>
      <c r="BE865" t="s">
        <v>69</v>
      </c>
      <c r="BF865">
        <v>0.2</v>
      </c>
      <c r="BG865">
        <v>0.13100000000000001</v>
      </c>
    </row>
    <row r="866" spans="1:59">
      <c r="A866">
        <v>0</v>
      </c>
      <c r="B866">
        <v>0</v>
      </c>
      <c r="C866">
        <v>0</v>
      </c>
      <c r="D866" t="s">
        <v>25022</v>
      </c>
      <c r="E866">
        <v>2372</v>
      </c>
      <c r="F866" t="s">
        <v>13797</v>
      </c>
      <c r="G866" t="s">
        <v>62</v>
      </c>
      <c r="H866">
        <v>2384786</v>
      </c>
      <c r="I866">
        <v>2385355</v>
      </c>
      <c r="J866" t="s">
        <v>2288</v>
      </c>
      <c r="K866">
        <v>190</v>
      </c>
      <c r="L866" t="s">
        <v>59</v>
      </c>
      <c r="M866">
        <v>49</v>
      </c>
      <c r="N866" t="str">
        <f>HYPERLINK("Gene2372-zp_tree_all.dnd", "Gene2372-tree")</f>
        <v>Gene2372-tree</v>
      </c>
      <c r="O866">
        <v>13</v>
      </c>
      <c r="P866">
        <v>2</v>
      </c>
      <c r="Q866">
        <v>13</v>
      </c>
      <c r="R866">
        <v>2</v>
      </c>
      <c r="S866">
        <v>0.13333</v>
      </c>
      <c r="T866" t="s">
        <v>507</v>
      </c>
      <c r="U866" t="s">
        <v>81</v>
      </c>
      <c r="V866" t="s">
        <v>62</v>
      </c>
      <c r="W866" t="s">
        <v>62</v>
      </c>
      <c r="X866">
        <v>0</v>
      </c>
      <c r="Y866">
        <v>0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10</v>
      </c>
      <c r="AM866">
        <v>7</v>
      </c>
      <c r="AN866">
        <v>13</v>
      </c>
      <c r="AO866">
        <v>2</v>
      </c>
      <c r="AP866">
        <v>25</v>
      </c>
      <c r="AQ866">
        <v>0</v>
      </c>
      <c r="AR866" t="s">
        <v>13798</v>
      </c>
      <c r="AS866" t="s">
        <v>193</v>
      </c>
      <c r="AT866">
        <v>0.76600000000000001</v>
      </c>
      <c r="AU866" t="s">
        <v>65</v>
      </c>
      <c r="AV866">
        <v>38</v>
      </c>
      <c r="AW866">
        <v>2</v>
      </c>
      <c r="AX866" t="s">
        <v>13799</v>
      </c>
      <c r="AY866">
        <v>8.2970000000000002E-2</v>
      </c>
      <c r="AZ866">
        <v>-5.7499999999999999E-3</v>
      </c>
      <c r="BA866">
        <v>6.0999999999999997E-4</v>
      </c>
      <c r="BB866">
        <v>-1E-4</v>
      </c>
      <c r="BC866">
        <v>7.3000000000000001E-3</v>
      </c>
      <c r="BD866">
        <v>1</v>
      </c>
      <c r="BE866" t="s">
        <v>69</v>
      </c>
      <c r="BF866">
        <v>-1.6459999999999999</v>
      </c>
      <c r="BG866">
        <v>-1.401</v>
      </c>
    </row>
    <row r="867" spans="1:59">
      <c r="A867">
        <v>2</v>
      </c>
      <c r="B867">
        <v>11</v>
      </c>
      <c r="C867">
        <v>3</v>
      </c>
      <c r="D867" t="s">
        <v>25022</v>
      </c>
      <c r="E867">
        <v>4140</v>
      </c>
      <c r="F867" t="s">
        <v>24363</v>
      </c>
      <c r="G867" t="s">
        <v>62</v>
      </c>
      <c r="H867">
        <v>4107355</v>
      </c>
      <c r="I867">
        <v>4107927</v>
      </c>
      <c r="J867" t="s">
        <v>24364</v>
      </c>
      <c r="K867">
        <v>191</v>
      </c>
      <c r="L867" t="s">
        <v>59</v>
      </c>
      <c r="M867">
        <v>49</v>
      </c>
      <c r="N867" t="str">
        <f>HYPERLINK("Gene4140-zp_tree_all.dnd", "Gene4140-tree")</f>
        <v>Gene4140-tree</v>
      </c>
      <c r="O867">
        <v>26</v>
      </c>
      <c r="P867">
        <v>11</v>
      </c>
      <c r="Q867">
        <v>6</v>
      </c>
      <c r="R867">
        <v>11</v>
      </c>
      <c r="S867">
        <v>0.64705999999999997</v>
      </c>
      <c r="T867" t="s">
        <v>1030</v>
      </c>
      <c r="U867" t="s">
        <v>73</v>
      </c>
      <c r="V867">
        <v>4.7839999999999998</v>
      </c>
      <c r="W867" t="s">
        <v>267</v>
      </c>
      <c r="X867">
        <v>6</v>
      </c>
      <c r="Y867">
        <v>16</v>
      </c>
      <c r="Z867">
        <v>10</v>
      </c>
      <c r="AA867">
        <v>0.61538000000000004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5</v>
      </c>
      <c r="AH867">
        <v>0</v>
      </c>
      <c r="AI867">
        <v>5</v>
      </c>
      <c r="AJ867">
        <v>10</v>
      </c>
      <c r="AK867">
        <v>0.33333000000000002</v>
      </c>
      <c r="AL867">
        <v>12</v>
      </c>
      <c r="AM867">
        <v>11</v>
      </c>
      <c r="AN867">
        <v>27</v>
      </c>
      <c r="AO867">
        <v>10</v>
      </c>
      <c r="AP867">
        <v>24</v>
      </c>
      <c r="AQ867">
        <v>18</v>
      </c>
      <c r="AR867" t="s">
        <v>24365</v>
      </c>
      <c r="AS867" t="s">
        <v>24366</v>
      </c>
      <c r="AT867">
        <v>1.038</v>
      </c>
      <c r="AU867" t="s">
        <v>65</v>
      </c>
      <c r="AV867">
        <v>51</v>
      </c>
      <c r="AW867">
        <v>28</v>
      </c>
      <c r="AX867" t="s">
        <v>24367</v>
      </c>
      <c r="AY867">
        <v>7.6590000000000005E-2</v>
      </c>
      <c r="AZ867">
        <v>-4.2900000000000004E-3</v>
      </c>
      <c r="BA867">
        <v>1.291E-2</v>
      </c>
      <c r="BB867">
        <v>-6.8000000000000005E-4</v>
      </c>
      <c r="BC867">
        <v>0.16850999999999999</v>
      </c>
      <c r="BD867">
        <v>1</v>
      </c>
      <c r="BE867" t="s">
        <v>69</v>
      </c>
      <c r="BF867">
        <v>-0.59499999999999997</v>
      </c>
      <c r="BG867">
        <v>-1.07</v>
      </c>
    </row>
    <row r="868" spans="1:59">
      <c r="A868">
        <v>0</v>
      </c>
      <c r="B868">
        <v>0</v>
      </c>
      <c r="C868">
        <v>2</v>
      </c>
      <c r="D868" t="s">
        <v>25022</v>
      </c>
      <c r="E868">
        <v>1986</v>
      </c>
      <c r="F868" t="s">
        <v>12368</v>
      </c>
      <c r="G868" t="s">
        <v>62</v>
      </c>
      <c r="H868">
        <v>2081175</v>
      </c>
      <c r="I868">
        <v>2081747</v>
      </c>
      <c r="J868" t="s">
        <v>637</v>
      </c>
      <c r="K868">
        <v>191</v>
      </c>
      <c r="L868" t="s">
        <v>1196</v>
      </c>
      <c r="M868">
        <v>39</v>
      </c>
      <c r="N868" t="str">
        <f>HYPERLINK("Gene1986-zp_tree_all.dnd", "Gene1986-tree")</f>
        <v>Gene1986-tree</v>
      </c>
      <c r="O868">
        <v>4</v>
      </c>
      <c r="P868">
        <v>7</v>
      </c>
      <c r="Q868">
        <v>4</v>
      </c>
      <c r="R868">
        <v>7</v>
      </c>
      <c r="S868">
        <v>0.63636000000000004</v>
      </c>
      <c r="T868" t="s">
        <v>61</v>
      </c>
      <c r="U868" t="s">
        <v>152</v>
      </c>
      <c r="V868" t="s">
        <v>62</v>
      </c>
      <c r="W868" t="s">
        <v>62</v>
      </c>
      <c r="X868">
        <v>1</v>
      </c>
      <c r="Y868">
        <v>2</v>
      </c>
      <c r="Z868">
        <v>14</v>
      </c>
      <c r="AA868">
        <v>0.125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15</v>
      </c>
      <c r="AK868">
        <v>0</v>
      </c>
      <c r="AL868">
        <v>9</v>
      </c>
      <c r="AM868">
        <v>7</v>
      </c>
      <c r="AN868">
        <v>14</v>
      </c>
      <c r="AO868">
        <v>8</v>
      </c>
      <c r="AP868">
        <v>17</v>
      </c>
      <c r="AQ868">
        <v>8</v>
      </c>
      <c r="AR868" t="s">
        <v>12369</v>
      </c>
      <c r="AS868" t="s">
        <v>12370</v>
      </c>
      <c r="AT868">
        <v>0.115</v>
      </c>
      <c r="AU868" t="s">
        <v>65</v>
      </c>
      <c r="AV868">
        <v>31</v>
      </c>
      <c r="AW868">
        <v>16</v>
      </c>
      <c r="AX868" t="s">
        <v>12371</v>
      </c>
      <c r="AY868">
        <v>6.2899999999999998E-2</v>
      </c>
      <c r="AZ868">
        <v>-4.9699999999999996E-3</v>
      </c>
      <c r="BA868">
        <v>9.4400000000000005E-3</v>
      </c>
      <c r="BB868">
        <v>-9.7999999999999997E-4</v>
      </c>
      <c r="BC868">
        <v>0.15013000000000001</v>
      </c>
      <c r="BD868">
        <v>1</v>
      </c>
      <c r="BE868" t="s">
        <v>69</v>
      </c>
      <c r="BF868">
        <v>-0.44900000000000001</v>
      </c>
      <c r="BG868">
        <v>0.13600000000000001</v>
      </c>
    </row>
    <row r="869" spans="1:59">
      <c r="A869">
        <v>0</v>
      </c>
      <c r="B869">
        <v>2</v>
      </c>
      <c r="C869">
        <v>1</v>
      </c>
      <c r="D869" t="s">
        <v>25022</v>
      </c>
      <c r="E869">
        <v>3590</v>
      </c>
      <c r="F869" t="s">
        <v>21072</v>
      </c>
      <c r="G869" t="s">
        <v>62</v>
      </c>
      <c r="H869">
        <v>3558943</v>
      </c>
      <c r="I869">
        <v>3559515</v>
      </c>
      <c r="J869" t="s">
        <v>1340</v>
      </c>
      <c r="K869">
        <v>191</v>
      </c>
      <c r="L869" t="s">
        <v>108</v>
      </c>
      <c r="M869">
        <v>44</v>
      </c>
      <c r="N869" t="str">
        <f>HYPERLINK("Gene3590-zp_tree_all.dnd", "Gene3590-tree")</f>
        <v>Gene3590-tree</v>
      </c>
      <c r="O869">
        <v>9</v>
      </c>
      <c r="P869">
        <v>4</v>
      </c>
      <c r="Q869">
        <v>9</v>
      </c>
      <c r="R869">
        <v>4</v>
      </c>
      <c r="S869">
        <v>0.30769000000000002</v>
      </c>
      <c r="T869" t="s">
        <v>135</v>
      </c>
      <c r="U869" t="s">
        <v>61</v>
      </c>
      <c r="V869" t="s">
        <v>62</v>
      </c>
      <c r="W869" t="s">
        <v>62</v>
      </c>
      <c r="X869">
        <v>1</v>
      </c>
      <c r="Y869">
        <v>3</v>
      </c>
      <c r="Z869">
        <v>3</v>
      </c>
      <c r="AA869">
        <v>0.5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</v>
      </c>
      <c r="AH869">
        <v>1</v>
      </c>
      <c r="AI869">
        <v>3</v>
      </c>
      <c r="AJ869">
        <v>2</v>
      </c>
      <c r="AK869">
        <v>0.6</v>
      </c>
      <c r="AL869">
        <v>10</v>
      </c>
      <c r="AM869">
        <v>7</v>
      </c>
      <c r="AN869">
        <v>16</v>
      </c>
      <c r="AO869">
        <v>4</v>
      </c>
      <c r="AP869">
        <v>10</v>
      </c>
      <c r="AQ869">
        <v>3</v>
      </c>
      <c r="AR869" t="s">
        <v>21073</v>
      </c>
      <c r="AS869" t="s">
        <v>21074</v>
      </c>
      <c r="AT869">
        <v>0.104</v>
      </c>
      <c r="AU869" t="s">
        <v>65</v>
      </c>
      <c r="AV869">
        <v>26</v>
      </c>
      <c r="AW869">
        <v>7</v>
      </c>
      <c r="AX869" t="s">
        <v>21075</v>
      </c>
      <c r="AY869">
        <v>4.1279999999999997E-2</v>
      </c>
      <c r="AZ869">
        <v>-2.0600000000000002E-3</v>
      </c>
      <c r="BA869">
        <v>3.5699999999999998E-3</v>
      </c>
      <c r="BB869">
        <v>-3.4000000000000002E-4</v>
      </c>
      <c r="BC869">
        <v>8.6580000000000004E-2</v>
      </c>
      <c r="BD869">
        <v>1</v>
      </c>
      <c r="BE869" t="s">
        <v>69</v>
      </c>
      <c r="BF869">
        <v>-0.192</v>
      </c>
      <c r="BG869">
        <v>0.251</v>
      </c>
    </row>
    <row r="870" spans="1:59">
      <c r="A870">
        <v>0</v>
      </c>
      <c r="B870">
        <v>3</v>
      </c>
      <c r="C870">
        <v>1</v>
      </c>
      <c r="D870" t="s">
        <v>25022</v>
      </c>
      <c r="E870">
        <v>1051</v>
      </c>
      <c r="F870" t="s">
        <v>6592</v>
      </c>
      <c r="G870" t="s">
        <v>57</v>
      </c>
      <c r="H870">
        <v>1089755</v>
      </c>
      <c r="I870">
        <v>1090327</v>
      </c>
      <c r="J870" t="s">
        <v>6593</v>
      </c>
      <c r="K870">
        <v>191</v>
      </c>
      <c r="L870" t="s">
        <v>6390</v>
      </c>
      <c r="M870">
        <v>45</v>
      </c>
      <c r="N870" t="str">
        <f>HYPERLINK("Gene1051-zp_tree_all.dnd", "Gene1051-tree")</f>
        <v>Gene1051-tree</v>
      </c>
      <c r="O870">
        <v>6</v>
      </c>
      <c r="P870">
        <v>8</v>
      </c>
      <c r="Q870">
        <v>6</v>
      </c>
      <c r="R870">
        <v>8</v>
      </c>
      <c r="S870">
        <v>0.57142999999999999</v>
      </c>
      <c r="T870" t="s">
        <v>90</v>
      </c>
      <c r="U870" t="s">
        <v>136</v>
      </c>
      <c r="V870" t="s">
        <v>62</v>
      </c>
      <c r="W870" t="s">
        <v>62</v>
      </c>
      <c r="X870">
        <v>1</v>
      </c>
      <c r="Y870">
        <v>4</v>
      </c>
      <c r="Z870">
        <v>7</v>
      </c>
      <c r="AA870">
        <v>0.36364000000000002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</v>
      </c>
      <c r="AH870">
        <v>1</v>
      </c>
      <c r="AI870">
        <v>3</v>
      </c>
      <c r="AJ870">
        <v>6</v>
      </c>
      <c r="AK870">
        <v>0.33333000000000002</v>
      </c>
      <c r="AL870">
        <v>9</v>
      </c>
      <c r="AM870">
        <v>6</v>
      </c>
      <c r="AN870">
        <v>29</v>
      </c>
      <c r="AO870">
        <v>10</v>
      </c>
      <c r="AP870">
        <v>5</v>
      </c>
      <c r="AQ870">
        <v>2</v>
      </c>
      <c r="AR870" t="s">
        <v>6594</v>
      </c>
      <c r="AS870" t="s">
        <v>6595</v>
      </c>
      <c r="AT870">
        <v>8.6999999999999994E-2</v>
      </c>
      <c r="AU870" t="s">
        <v>65</v>
      </c>
      <c r="AV870">
        <v>34</v>
      </c>
      <c r="AW870">
        <v>12</v>
      </c>
      <c r="AX870" t="s">
        <v>6596</v>
      </c>
      <c r="AY870">
        <v>5.3370000000000001E-2</v>
      </c>
      <c r="AZ870">
        <v>-7.8200000000000006E-3</v>
      </c>
      <c r="BA870">
        <v>4.13E-3</v>
      </c>
      <c r="BB870">
        <v>-3.6000000000000002E-4</v>
      </c>
      <c r="BC870">
        <v>7.7439999999999995E-2</v>
      </c>
      <c r="BD870">
        <v>1</v>
      </c>
      <c r="BE870" t="s">
        <v>69</v>
      </c>
      <c r="BF870">
        <v>-1.7889999999999999</v>
      </c>
      <c r="BG870">
        <v>-5.03</v>
      </c>
    </row>
    <row r="871" spans="1:59">
      <c r="A871">
        <v>0</v>
      </c>
      <c r="B871">
        <v>0</v>
      </c>
      <c r="C871">
        <v>0</v>
      </c>
      <c r="D871" t="s">
        <v>25022</v>
      </c>
      <c r="E871">
        <v>3667</v>
      </c>
      <c r="F871" t="s">
        <v>21513</v>
      </c>
      <c r="G871" t="s">
        <v>62</v>
      </c>
      <c r="H871">
        <v>3636719</v>
      </c>
      <c r="I871">
        <v>3637291</v>
      </c>
      <c r="J871" t="s">
        <v>116</v>
      </c>
      <c r="K871">
        <v>191</v>
      </c>
      <c r="L871" t="s">
        <v>108</v>
      </c>
      <c r="M871">
        <v>44</v>
      </c>
      <c r="N871" t="str">
        <f>HYPERLINK("Gene3667-zp_tree_all.dnd", "Gene3667-tree")</f>
        <v>Gene3667-tree</v>
      </c>
      <c r="O871">
        <v>7</v>
      </c>
      <c r="P871">
        <v>3</v>
      </c>
      <c r="Q871">
        <v>7</v>
      </c>
      <c r="R871">
        <v>3</v>
      </c>
      <c r="S871">
        <v>0.3</v>
      </c>
      <c r="T871" t="s">
        <v>152</v>
      </c>
      <c r="U871" t="s">
        <v>324</v>
      </c>
      <c r="V871" t="s">
        <v>62</v>
      </c>
      <c r="W871" t="s">
        <v>62</v>
      </c>
      <c r="X871">
        <v>0</v>
      </c>
      <c r="Y871">
        <v>0</v>
      </c>
      <c r="Z871">
        <v>6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5</v>
      </c>
      <c r="AK871">
        <v>0</v>
      </c>
      <c r="AL871">
        <v>7</v>
      </c>
      <c r="AM871">
        <v>6</v>
      </c>
      <c r="AN871">
        <v>18</v>
      </c>
      <c r="AO871">
        <v>5</v>
      </c>
      <c r="AP871">
        <v>8</v>
      </c>
      <c r="AQ871">
        <v>1</v>
      </c>
      <c r="AR871" t="s">
        <v>21514</v>
      </c>
      <c r="AS871" t="s">
        <v>21515</v>
      </c>
      <c r="AT871">
        <v>0.42599999999999999</v>
      </c>
      <c r="AU871" t="s">
        <v>65</v>
      </c>
      <c r="AV871">
        <v>26</v>
      </c>
      <c r="AW871">
        <v>6</v>
      </c>
      <c r="AX871" t="s">
        <v>21516</v>
      </c>
      <c r="AY871">
        <v>6.0240000000000002E-2</v>
      </c>
      <c r="AZ871">
        <v>-4.5199999999999997E-3</v>
      </c>
      <c r="BA871">
        <v>3.4199999999999999E-3</v>
      </c>
      <c r="BB871">
        <v>-3.6999999999999999E-4</v>
      </c>
      <c r="BC871">
        <v>5.6759999999999998E-2</v>
      </c>
      <c r="BD871">
        <v>1</v>
      </c>
      <c r="BE871" t="s">
        <v>69</v>
      </c>
      <c r="BF871">
        <v>-0.49299999999999999</v>
      </c>
      <c r="BG871">
        <v>-2.0329999999999999</v>
      </c>
    </row>
    <row r="872" spans="1:59">
      <c r="A872">
        <v>0</v>
      </c>
      <c r="B872">
        <v>0</v>
      </c>
      <c r="C872">
        <v>0</v>
      </c>
      <c r="D872" t="s">
        <v>25022</v>
      </c>
      <c r="E872">
        <v>1481</v>
      </c>
      <c r="F872" t="s">
        <v>9255</v>
      </c>
      <c r="G872" t="s">
        <v>57</v>
      </c>
      <c r="H872">
        <v>1493787</v>
      </c>
      <c r="I872">
        <v>1494359</v>
      </c>
      <c r="J872" t="s">
        <v>9256</v>
      </c>
      <c r="K872">
        <v>191</v>
      </c>
      <c r="L872" t="s">
        <v>125</v>
      </c>
      <c r="M872">
        <v>48</v>
      </c>
      <c r="N872" t="str">
        <f>HYPERLINK("Gene1481-zp_tree_all.dnd", "Gene1481-tree")</f>
        <v>Gene1481-tree</v>
      </c>
      <c r="O872">
        <v>10</v>
      </c>
      <c r="P872">
        <v>1</v>
      </c>
      <c r="Q872">
        <v>10</v>
      </c>
      <c r="R872">
        <v>1</v>
      </c>
      <c r="S872">
        <v>9.0910000000000005E-2</v>
      </c>
      <c r="T872" t="s">
        <v>117</v>
      </c>
      <c r="U872" t="s">
        <v>175</v>
      </c>
      <c r="V872" t="s">
        <v>62</v>
      </c>
      <c r="W872" t="s">
        <v>62</v>
      </c>
      <c r="X872">
        <v>0</v>
      </c>
      <c r="Y872">
        <v>0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7</v>
      </c>
      <c r="AM872">
        <v>6</v>
      </c>
      <c r="AN872">
        <v>9</v>
      </c>
      <c r="AO872">
        <v>1</v>
      </c>
      <c r="AP872">
        <v>23</v>
      </c>
      <c r="AQ872">
        <v>4</v>
      </c>
      <c r="AR872" t="s">
        <v>9257</v>
      </c>
      <c r="AS872" t="s">
        <v>9258</v>
      </c>
      <c r="AT872">
        <v>0.128</v>
      </c>
      <c r="AU872" t="s">
        <v>65</v>
      </c>
      <c r="AV872">
        <v>32</v>
      </c>
      <c r="AW872">
        <v>5</v>
      </c>
      <c r="AX872" t="s">
        <v>9259</v>
      </c>
      <c r="AY872">
        <v>8.5470000000000004E-2</v>
      </c>
      <c r="AZ872">
        <v>-7.3400000000000002E-3</v>
      </c>
      <c r="BA872">
        <v>3.4299999999999999E-3</v>
      </c>
      <c r="BB872">
        <v>-5.8E-4</v>
      </c>
      <c r="BC872">
        <v>4.011E-2</v>
      </c>
      <c r="BD872">
        <v>1</v>
      </c>
      <c r="BE872" t="s">
        <v>69</v>
      </c>
      <c r="BF872">
        <v>-1.5860000000000001</v>
      </c>
      <c r="BG872">
        <v>-0.51800000000000002</v>
      </c>
    </row>
    <row r="873" spans="1:59">
      <c r="A873">
        <v>0</v>
      </c>
      <c r="B873">
        <v>4</v>
      </c>
      <c r="C873">
        <v>3</v>
      </c>
      <c r="D873" t="s">
        <v>25022</v>
      </c>
      <c r="E873">
        <v>3220</v>
      </c>
      <c r="F873" t="s">
        <v>18761</v>
      </c>
      <c r="G873" t="s">
        <v>62</v>
      </c>
      <c r="H873">
        <v>3183204</v>
      </c>
      <c r="I873">
        <v>3183779</v>
      </c>
      <c r="J873" t="s">
        <v>116</v>
      </c>
      <c r="K873">
        <v>192</v>
      </c>
      <c r="L873" t="s">
        <v>108</v>
      </c>
      <c r="M873">
        <v>44</v>
      </c>
      <c r="N873" t="str">
        <f>HYPERLINK("Gene3220-zp_tree_all.dnd", "Gene3220-tree")</f>
        <v>Gene3220-tree</v>
      </c>
      <c r="O873">
        <v>6</v>
      </c>
      <c r="P873">
        <v>8</v>
      </c>
      <c r="Q873">
        <v>6</v>
      </c>
      <c r="R873">
        <v>8</v>
      </c>
      <c r="S873">
        <v>0.57142999999999999</v>
      </c>
      <c r="T873" t="s">
        <v>90</v>
      </c>
      <c r="U873" t="s">
        <v>136</v>
      </c>
      <c r="V873" t="s">
        <v>62</v>
      </c>
      <c r="W873" t="s">
        <v>62</v>
      </c>
      <c r="X873">
        <v>3</v>
      </c>
      <c r="Y873">
        <v>7</v>
      </c>
      <c r="Z873">
        <v>9</v>
      </c>
      <c r="AA873">
        <v>0.4375</v>
      </c>
      <c r="AB873">
        <v>0</v>
      </c>
      <c r="AC873">
        <v>0</v>
      </c>
      <c r="AD873">
        <v>0</v>
      </c>
      <c r="AE873">
        <v>2</v>
      </c>
      <c r="AF873">
        <v>0</v>
      </c>
      <c r="AG873">
        <v>2</v>
      </c>
      <c r="AH873">
        <v>2</v>
      </c>
      <c r="AI873">
        <v>4</v>
      </c>
      <c r="AJ873">
        <v>9</v>
      </c>
      <c r="AK873">
        <v>0.30769000000000002</v>
      </c>
      <c r="AL873">
        <v>9</v>
      </c>
      <c r="AM873">
        <v>7</v>
      </c>
      <c r="AN873">
        <v>8</v>
      </c>
      <c r="AO873">
        <v>8</v>
      </c>
      <c r="AP873">
        <v>11</v>
      </c>
      <c r="AQ873">
        <v>8</v>
      </c>
      <c r="AR873" t="s">
        <v>18762</v>
      </c>
      <c r="AS873" t="s">
        <v>18763</v>
      </c>
      <c r="AT873">
        <v>0.38600000000000001</v>
      </c>
      <c r="AU873" t="s">
        <v>65</v>
      </c>
      <c r="AV873">
        <v>19</v>
      </c>
      <c r="AW873">
        <v>16</v>
      </c>
      <c r="AX873" t="s">
        <v>18764</v>
      </c>
      <c r="AY873">
        <v>3.483E-2</v>
      </c>
      <c r="AZ873">
        <v>-1.8E-3</v>
      </c>
      <c r="BA873">
        <v>7.26E-3</v>
      </c>
      <c r="BB873">
        <v>-3.8000000000000002E-4</v>
      </c>
      <c r="BC873">
        <v>0.20843999999999999</v>
      </c>
      <c r="BD873">
        <v>1</v>
      </c>
      <c r="BE873" t="s">
        <v>69</v>
      </c>
      <c r="BF873">
        <v>-0.72</v>
      </c>
      <c r="BG873">
        <v>-0.92300000000000004</v>
      </c>
    </row>
    <row r="874" spans="1:59">
      <c r="A874">
        <v>0</v>
      </c>
      <c r="B874">
        <v>2</v>
      </c>
      <c r="C874">
        <v>0</v>
      </c>
      <c r="D874" t="s">
        <v>25022</v>
      </c>
      <c r="E874">
        <v>962</v>
      </c>
      <c r="F874" t="s">
        <v>6030</v>
      </c>
      <c r="G874" t="s">
        <v>57</v>
      </c>
      <c r="H874">
        <v>1001744</v>
      </c>
      <c r="I874">
        <v>1002319</v>
      </c>
      <c r="J874" t="s">
        <v>6031</v>
      </c>
      <c r="K874">
        <v>192</v>
      </c>
      <c r="L874" t="s">
        <v>108</v>
      </c>
      <c r="M874">
        <v>44</v>
      </c>
      <c r="N874" t="str">
        <f>HYPERLINK("Gene962-zp_tree_all.dnd", "Gene962-tree")</f>
        <v>Gene962-tree</v>
      </c>
      <c r="O874">
        <v>9</v>
      </c>
      <c r="P874">
        <v>4</v>
      </c>
      <c r="Q874">
        <v>9</v>
      </c>
      <c r="R874">
        <v>4</v>
      </c>
      <c r="S874">
        <v>0.30769000000000002</v>
      </c>
      <c r="T874" t="s">
        <v>135</v>
      </c>
      <c r="U874" t="s">
        <v>61</v>
      </c>
      <c r="V874" t="s">
        <v>62</v>
      </c>
      <c r="W874" t="s">
        <v>62</v>
      </c>
      <c r="X874">
        <v>1</v>
      </c>
      <c r="Y874">
        <v>2</v>
      </c>
      <c r="Z874">
        <v>4</v>
      </c>
      <c r="AA874">
        <v>0.33333000000000002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</v>
      </c>
      <c r="AH874">
        <v>0</v>
      </c>
      <c r="AI874">
        <v>2</v>
      </c>
      <c r="AJ874">
        <v>3</v>
      </c>
      <c r="AK874">
        <v>0.4</v>
      </c>
      <c r="AL874">
        <v>11</v>
      </c>
      <c r="AM874">
        <v>3</v>
      </c>
      <c r="AN874">
        <v>14</v>
      </c>
      <c r="AO874">
        <v>5</v>
      </c>
      <c r="AP874">
        <v>4</v>
      </c>
      <c r="AQ874">
        <v>1</v>
      </c>
      <c r="AR874" t="s">
        <v>6032</v>
      </c>
      <c r="AS874" t="s">
        <v>6033</v>
      </c>
      <c r="AT874">
        <v>0.27100000000000002</v>
      </c>
      <c r="AU874" t="s">
        <v>65</v>
      </c>
      <c r="AV874">
        <v>18</v>
      </c>
      <c r="AW874">
        <v>6</v>
      </c>
      <c r="AX874" t="s">
        <v>6034</v>
      </c>
      <c r="AY874">
        <v>2.496E-2</v>
      </c>
      <c r="AZ874">
        <v>-1.1000000000000001E-3</v>
      </c>
      <c r="BA874">
        <v>2.2699999999999999E-3</v>
      </c>
      <c r="BB874">
        <v>-2.5999999999999998E-4</v>
      </c>
      <c r="BC874">
        <v>9.0880000000000002E-2</v>
      </c>
      <c r="BD874">
        <v>1</v>
      </c>
      <c r="BE874" t="s">
        <v>69</v>
      </c>
      <c r="BF874">
        <v>-0.88500000000000001</v>
      </c>
      <c r="BG874">
        <v>-0.1</v>
      </c>
    </row>
    <row r="875" spans="1:59">
      <c r="A875">
        <v>0</v>
      </c>
      <c r="B875">
        <v>0</v>
      </c>
      <c r="C875">
        <v>0</v>
      </c>
      <c r="D875" t="s">
        <v>25022</v>
      </c>
      <c r="E875">
        <v>2909</v>
      </c>
      <c r="F875" t="s">
        <v>16750</v>
      </c>
      <c r="G875" t="s">
        <v>62</v>
      </c>
      <c r="H875">
        <v>2853984</v>
      </c>
      <c r="I875">
        <v>2854559</v>
      </c>
      <c r="J875" t="s">
        <v>16751</v>
      </c>
      <c r="K875">
        <v>192</v>
      </c>
      <c r="L875" t="s">
        <v>16752</v>
      </c>
      <c r="M875">
        <v>44</v>
      </c>
      <c r="N875" t="str">
        <f>HYPERLINK("Gene2909-zp_tree_all.dnd", "Gene2909-tree")</f>
        <v>Gene2909-tree</v>
      </c>
      <c r="O875">
        <v>32</v>
      </c>
      <c r="P875">
        <v>3</v>
      </c>
      <c r="Q875">
        <v>10</v>
      </c>
      <c r="R875">
        <v>3</v>
      </c>
      <c r="S875">
        <v>0.23077</v>
      </c>
      <c r="T875" t="s">
        <v>16607</v>
      </c>
      <c r="U875" t="s">
        <v>324</v>
      </c>
      <c r="V875" t="s">
        <v>62</v>
      </c>
      <c r="W875" t="s">
        <v>62</v>
      </c>
      <c r="X875">
        <v>0</v>
      </c>
      <c r="Y875">
        <v>0</v>
      </c>
      <c r="Z875">
        <v>7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4</v>
      </c>
      <c r="AK875">
        <v>0</v>
      </c>
      <c r="AL875">
        <v>8</v>
      </c>
      <c r="AM875">
        <v>8</v>
      </c>
      <c r="AN875">
        <v>19</v>
      </c>
      <c r="AO875">
        <v>4</v>
      </c>
      <c r="AP875">
        <v>15</v>
      </c>
      <c r="AQ875">
        <v>3</v>
      </c>
      <c r="AR875" t="s">
        <v>16753</v>
      </c>
      <c r="AS875" t="s">
        <v>16754</v>
      </c>
      <c r="AT875">
        <v>4.5999999999999999E-2</v>
      </c>
      <c r="AU875" t="s">
        <v>65</v>
      </c>
      <c r="AV875">
        <v>34</v>
      </c>
      <c r="AW875">
        <v>7</v>
      </c>
      <c r="AX875" t="s">
        <v>16755</v>
      </c>
      <c r="AY875">
        <v>7.4370000000000006E-2</v>
      </c>
      <c r="AZ875">
        <v>-4.1200000000000004E-3</v>
      </c>
      <c r="BA875">
        <v>3.7599999999999999E-3</v>
      </c>
      <c r="BB875">
        <v>-3.5E-4</v>
      </c>
      <c r="BC875">
        <v>5.0549999999999998E-2</v>
      </c>
      <c r="BD875">
        <v>1</v>
      </c>
      <c r="BE875" t="s">
        <v>69</v>
      </c>
      <c r="BF875">
        <v>-1.744</v>
      </c>
      <c r="BG875">
        <v>-2.5270000000000001</v>
      </c>
    </row>
    <row r="876" spans="1:59">
      <c r="A876">
        <v>0</v>
      </c>
      <c r="B876">
        <v>0</v>
      </c>
      <c r="C876">
        <v>0</v>
      </c>
      <c r="D876" t="s">
        <v>25022</v>
      </c>
      <c r="E876">
        <v>1323</v>
      </c>
      <c r="F876" t="s">
        <v>8294</v>
      </c>
      <c r="G876" t="s">
        <v>57</v>
      </c>
      <c r="H876">
        <v>1342380</v>
      </c>
      <c r="I876">
        <v>1342955</v>
      </c>
      <c r="J876" t="s">
        <v>8099</v>
      </c>
      <c r="K876">
        <v>192</v>
      </c>
      <c r="L876" t="s">
        <v>1305</v>
      </c>
      <c r="M876">
        <v>43</v>
      </c>
      <c r="N876" t="str">
        <f>HYPERLINK("Gene1323-zp_tree_all.dnd", "Gene1323-tree")</f>
        <v>Gene1323-tree</v>
      </c>
      <c r="O876">
        <v>8</v>
      </c>
      <c r="P876">
        <v>3</v>
      </c>
      <c r="Q876">
        <v>8</v>
      </c>
      <c r="R876">
        <v>3</v>
      </c>
      <c r="S876">
        <v>0.27272999999999997</v>
      </c>
      <c r="T876" t="s">
        <v>136</v>
      </c>
      <c r="U876" t="s">
        <v>324</v>
      </c>
      <c r="V876" t="s">
        <v>62</v>
      </c>
      <c r="W876" t="s">
        <v>62</v>
      </c>
      <c r="X876">
        <v>0</v>
      </c>
      <c r="Y876">
        <v>0</v>
      </c>
      <c r="Z876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3</v>
      </c>
      <c r="AK876">
        <v>0</v>
      </c>
      <c r="AL876">
        <v>10</v>
      </c>
      <c r="AM876">
        <v>6</v>
      </c>
      <c r="AN876">
        <v>33</v>
      </c>
      <c r="AO876">
        <v>3</v>
      </c>
      <c r="AP876">
        <v>15</v>
      </c>
      <c r="AQ876">
        <v>2</v>
      </c>
      <c r="AR876" t="s">
        <v>8295</v>
      </c>
      <c r="AS876" t="s">
        <v>8296</v>
      </c>
      <c r="AT876">
        <v>0.14599999999999999</v>
      </c>
      <c r="AU876" t="s">
        <v>65</v>
      </c>
      <c r="AV876">
        <v>48</v>
      </c>
      <c r="AW876">
        <v>5</v>
      </c>
      <c r="AX876" t="s">
        <v>8297</v>
      </c>
      <c r="AY876">
        <v>8.1409999999999996E-2</v>
      </c>
      <c r="AZ876">
        <v>-3.5699999999999998E-3</v>
      </c>
      <c r="BA876">
        <v>3.3700000000000002E-3</v>
      </c>
      <c r="BB876">
        <v>-3.2000000000000003E-4</v>
      </c>
      <c r="BC876">
        <v>4.1340000000000002E-2</v>
      </c>
      <c r="BD876">
        <v>1</v>
      </c>
      <c r="BE876" t="s">
        <v>69</v>
      </c>
      <c r="BF876">
        <v>-0.254</v>
      </c>
      <c r="BG876">
        <v>-0.76600000000000001</v>
      </c>
    </row>
    <row r="877" spans="1:59">
      <c r="A877">
        <v>0</v>
      </c>
      <c r="B877">
        <v>3</v>
      </c>
      <c r="C877">
        <v>0</v>
      </c>
      <c r="D877" t="s">
        <v>25022</v>
      </c>
      <c r="E877">
        <v>1077</v>
      </c>
      <c r="F877" t="s">
        <v>6766</v>
      </c>
      <c r="G877" t="s">
        <v>57</v>
      </c>
      <c r="H877">
        <v>1117109</v>
      </c>
      <c r="I877">
        <v>1117684</v>
      </c>
      <c r="J877" t="s">
        <v>6767</v>
      </c>
      <c r="K877">
        <v>192</v>
      </c>
      <c r="L877" t="s">
        <v>108</v>
      </c>
      <c r="M877">
        <v>44</v>
      </c>
      <c r="N877" t="str">
        <f>HYPERLINK("Gene1077-zp_tree_all.dnd", "Gene1077-tree")</f>
        <v>Gene1077-tree</v>
      </c>
      <c r="O877">
        <v>32</v>
      </c>
      <c r="P877">
        <v>2</v>
      </c>
      <c r="Q877">
        <v>12</v>
      </c>
      <c r="R877">
        <v>2</v>
      </c>
      <c r="S877">
        <v>0.14285999999999999</v>
      </c>
      <c r="T877" t="s">
        <v>1782</v>
      </c>
      <c r="U877" t="s">
        <v>81</v>
      </c>
      <c r="V877" t="s">
        <v>62</v>
      </c>
      <c r="W877" t="s">
        <v>62</v>
      </c>
      <c r="X877">
        <v>1</v>
      </c>
      <c r="Y877">
        <v>3</v>
      </c>
      <c r="Z877">
        <v>1</v>
      </c>
      <c r="AA877">
        <v>0.75</v>
      </c>
      <c r="AB877">
        <v>0</v>
      </c>
      <c r="AC877">
        <v>0</v>
      </c>
      <c r="AD877">
        <v>0</v>
      </c>
      <c r="AE877">
        <v>2</v>
      </c>
      <c r="AF877">
        <v>0</v>
      </c>
      <c r="AG877">
        <v>2</v>
      </c>
      <c r="AH877">
        <v>0</v>
      </c>
      <c r="AI877">
        <v>2</v>
      </c>
      <c r="AJ877">
        <v>0</v>
      </c>
      <c r="AK877">
        <v>1</v>
      </c>
      <c r="AL877">
        <v>11</v>
      </c>
      <c r="AM877">
        <v>10</v>
      </c>
      <c r="AN877">
        <v>19</v>
      </c>
      <c r="AO877">
        <v>2</v>
      </c>
      <c r="AP877">
        <v>13</v>
      </c>
      <c r="AQ877">
        <v>2</v>
      </c>
      <c r="AR877" t="s">
        <v>6768</v>
      </c>
      <c r="AS877" t="s">
        <v>6769</v>
      </c>
      <c r="AT877">
        <v>0.105</v>
      </c>
      <c r="AU877" t="s">
        <v>65</v>
      </c>
      <c r="AV877">
        <v>32</v>
      </c>
      <c r="AW877">
        <v>4</v>
      </c>
      <c r="AX877" t="s">
        <v>6770</v>
      </c>
      <c r="AY877">
        <v>5.3699999999999998E-2</v>
      </c>
      <c r="AZ877">
        <v>-2.0600000000000002E-3</v>
      </c>
      <c r="BA877">
        <v>1.57E-3</v>
      </c>
      <c r="BB877">
        <v>-1.9000000000000001E-4</v>
      </c>
      <c r="BC877">
        <v>2.92E-2</v>
      </c>
      <c r="BD877">
        <v>1</v>
      </c>
      <c r="BE877" t="s">
        <v>69</v>
      </c>
      <c r="BF877">
        <v>0.6</v>
      </c>
      <c r="BG877">
        <v>-0.70499999999999996</v>
      </c>
    </row>
    <row r="878" spans="1:59">
      <c r="A878">
        <v>0</v>
      </c>
      <c r="B878">
        <v>0</v>
      </c>
      <c r="C878">
        <v>0</v>
      </c>
      <c r="D878" t="s">
        <v>25022</v>
      </c>
      <c r="E878">
        <v>1186</v>
      </c>
      <c r="F878" t="s">
        <v>7463</v>
      </c>
      <c r="G878" t="s">
        <v>57</v>
      </c>
      <c r="H878">
        <v>1226938</v>
      </c>
      <c r="I878">
        <v>1227513</v>
      </c>
      <c r="J878" t="s">
        <v>7464</v>
      </c>
      <c r="K878">
        <v>192</v>
      </c>
      <c r="L878" t="s">
        <v>59</v>
      </c>
      <c r="M878">
        <v>49</v>
      </c>
      <c r="N878" t="str">
        <f>HYPERLINK("Gene1186-zp_tree_all.dnd", "Gene1186-tree")</f>
        <v>Gene1186-tree</v>
      </c>
      <c r="O878">
        <v>14</v>
      </c>
      <c r="P878">
        <v>1</v>
      </c>
      <c r="Q878">
        <v>14</v>
      </c>
      <c r="R878">
        <v>1</v>
      </c>
      <c r="S878">
        <v>6.6669999999999993E-2</v>
      </c>
      <c r="T878" t="s">
        <v>543</v>
      </c>
      <c r="U878" t="s">
        <v>175</v>
      </c>
      <c r="V878" t="s">
        <v>62</v>
      </c>
      <c r="W878" t="s">
        <v>62</v>
      </c>
      <c r="X878">
        <v>0</v>
      </c>
      <c r="Y878">
        <v>0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2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11</v>
      </c>
      <c r="AM878">
        <v>7</v>
      </c>
      <c r="AN878">
        <v>12</v>
      </c>
      <c r="AO878">
        <v>1</v>
      </c>
      <c r="AP878">
        <v>24</v>
      </c>
      <c r="AQ878">
        <v>3</v>
      </c>
      <c r="AR878" t="s">
        <v>7465</v>
      </c>
      <c r="AS878" t="s">
        <v>7466</v>
      </c>
      <c r="AT878">
        <v>0.127</v>
      </c>
      <c r="AU878" t="s">
        <v>65</v>
      </c>
      <c r="AV878">
        <v>36</v>
      </c>
      <c r="AW878">
        <v>4</v>
      </c>
      <c r="AX878" t="s">
        <v>7467</v>
      </c>
      <c r="AY878">
        <v>8.3580000000000002E-2</v>
      </c>
      <c r="AZ878">
        <v>-5.3299999999999997E-3</v>
      </c>
      <c r="BA878">
        <v>1.92E-3</v>
      </c>
      <c r="BB878">
        <v>-2.0000000000000001E-4</v>
      </c>
      <c r="BC878">
        <v>2.2970000000000001E-2</v>
      </c>
      <c r="BD878">
        <v>1</v>
      </c>
      <c r="BE878" t="s">
        <v>69</v>
      </c>
      <c r="BF878">
        <v>-0.435</v>
      </c>
      <c r="BG878">
        <v>-0.109</v>
      </c>
    </row>
    <row r="879" spans="1:59">
      <c r="A879">
        <v>0</v>
      </c>
      <c r="B879">
        <v>0</v>
      </c>
      <c r="C879">
        <v>2</v>
      </c>
      <c r="D879" t="s">
        <v>25022</v>
      </c>
      <c r="E879">
        <v>292</v>
      </c>
      <c r="F879" t="s">
        <v>1992</v>
      </c>
      <c r="G879" t="s">
        <v>57</v>
      </c>
      <c r="H879">
        <v>313396</v>
      </c>
      <c r="I879">
        <v>313971</v>
      </c>
      <c r="J879" t="s">
        <v>1981</v>
      </c>
      <c r="K879">
        <v>192</v>
      </c>
      <c r="L879" t="s">
        <v>59</v>
      </c>
      <c r="M879">
        <v>49</v>
      </c>
      <c r="N879" t="str">
        <f>HYPERLINK("Gene292-zp_tree_all.dnd", "Gene292-tree")</f>
        <v>Gene292-tree</v>
      </c>
      <c r="O879">
        <v>12</v>
      </c>
      <c r="P879">
        <v>3</v>
      </c>
      <c r="Q879">
        <v>12</v>
      </c>
      <c r="R879">
        <v>3</v>
      </c>
      <c r="S879">
        <v>0.2</v>
      </c>
      <c r="T879" t="s">
        <v>109</v>
      </c>
      <c r="U879" t="s">
        <v>324</v>
      </c>
      <c r="V879" t="s">
        <v>62</v>
      </c>
      <c r="W879" t="s">
        <v>62</v>
      </c>
      <c r="X879">
        <v>1</v>
      </c>
      <c r="Y879">
        <v>2</v>
      </c>
      <c r="Z879">
        <v>3</v>
      </c>
      <c r="AA879">
        <v>0.4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</v>
      </c>
      <c r="AI879">
        <v>2</v>
      </c>
      <c r="AJ879">
        <v>2</v>
      </c>
      <c r="AK879">
        <v>0.5</v>
      </c>
      <c r="AL879">
        <v>9</v>
      </c>
      <c r="AM879">
        <v>10</v>
      </c>
      <c r="AN879">
        <v>27</v>
      </c>
      <c r="AO879">
        <v>3</v>
      </c>
      <c r="AP879">
        <v>22</v>
      </c>
      <c r="AQ879">
        <v>2</v>
      </c>
      <c r="AR879" t="s">
        <v>1993</v>
      </c>
      <c r="AS879" t="s">
        <v>1994</v>
      </c>
      <c r="AT879">
        <v>8.6999999999999994E-2</v>
      </c>
      <c r="AU879" t="s">
        <v>65</v>
      </c>
      <c r="AV879">
        <v>49</v>
      </c>
      <c r="AW879">
        <v>5</v>
      </c>
      <c r="AX879" t="s">
        <v>1995</v>
      </c>
      <c r="AY879">
        <v>9.8589999999999997E-2</v>
      </c>
      <c r="AZ879">
        <v>-6.6100000000000004E-3</v>
      </c>
      <c r="BA879">
        <v>2.2300000000000002E-3</v>
      </c>
      <c r="BB879">
        <v>-2.5000000000000001E-4</v>
      </c>
      <c r="BC879">
        <v>2.2579999999999999E-2</v>
      </c>
      <c r="BD879">
        <v>1</v>
      </c>
      <c r="BE879" t="s">
        <v>69</v>
      </c>
      <c r="BF879">
        <v>-1.4490000000000001</v>
      </c>
      <c r="BG879">
        <v>-0.88700000000000001</v>
      </c>
    </row>
    <row r="880" spans="1:59">
      <c r="A880">
        <v>0</v>
      </c>
      <c r="B880">
        <v>11</v>
      </c>
      <c r="C880">
        <v>0</v>
      </c>
      <c r="D880" t="s">
        <v>25022</v>
      </c>
      <c r="E880">
        <v>3440</v>
      </c>
      <c r="F880" t="s">
        <v>20139</v>
      </c>
      <c r="G880" t="s">
        <v>62</v>
      </c>
      <c r="H880">
        <v>3400540</v>
      </c>
      <c r="I880">
        <v>3401118</v>
      </c>
      <c r="J880" t="s">
        <v>20140</v>
      </c>
      <c r="K880">
        <v>193</v>
      </c>
      <c r="L880" t="s">
        <v>108</v>
      </c>
      <c r="M880">
        <v>44</v>
      </c>
      <c r="N880" t="str">
        <f>HYPERLINK("Gene3440-zp_tree_all.dnd", "Gene3440-tree")</f>
        <v>Gene3440-tree</v>
      </c>
      <c r="O880">
        <v>0</v>
      </c>
      <c r="P880">
        <v>12</v>
      </c>
      <c r="Q880">
        <v>0</v>
      </c>
      <c r="R880">
        <v>12</v>
      </c>
      <c r="S880">
        <v>1</v>
      </c>
      <c r="T880" t="s">
        <v>62</v>
      </c>
      <c r="U880" t="s">
        <v>109</v>
      </c>
      <c r="V880" t="s">
        <v>62</v>
      </c>
      <c r="W880" t="s">
        <v>62</v>
      </c>
      <c r="X880">
        <v>4</v>
      </c>
      <c r="Y880">
        <v>11</v>
      </c>
      <c r="Z880">
        <v>9</v>
      </c>
      <c r="AA880">
        <v>0.55000000000000004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5</v>
      </c>
      <c r="AH880">
        <v>0</v>
      </c>
      <c r="AI880">
        <v>5</v>
      </c>
      <c r="AJ880">
        <v>12</v>
      </c>
      <c r="AK880">
        <v>0.29411999999999999</v>
      </c>
      <c r="AL880">
        <v>12</v>
      </c>
      <c r="AM880">
        <v>6</v>
      </c>
      <c r="AN880">
        <v>27</v>
      </c>
      <c r="AO880">
        <v>17</v>
      </c>
      <c r="AP880">
        <v>6</v>
      </c>
      <c r="AQ880">
        <v>3</v>
      </c>
      <c r="AR880" t="s">
        <v>20141</v>
      </c>
      <c r="AS880" t="s">
        <v>20142</v>
      </c>
      <c r="AT880">
        <v>0.29799999999999999</v>
      </c>
      <c r="AU880" t="s">
        <v>65</v>
      </c>
      <c r="AV880">
        <v>33</v>
      </c>
      <c r="AW880">
        <v>20</v>
      </c>
      <c r="AX880" t="s">
        <v>20143</v>
      </c>
      <c r="AY880">
        <v>4.2619999999999998E-2</v>
      </c>
      <c r="AZ880">
        <v>-2.49E-3</v>
      </c>
      <c r="BA880">
        <v>8.2100000000000003E-3</v>
      </c>
      <c r="BB880">
        <v>-3.8999999999999999E-4</v>
      </c>
      <c r="BC880">
        <v>0.19250999999999999</v>
      </c>
      <c r="BD880">
        <v>1</v>
      </c>
      <c r="BE880" t="s">
        <v>69</v>
      </c>
      <c r="BF880">
        <v>-0.78900000000000003</v>
      </c>
      <c r="BG880">
        <v>-2.1949999999999998</v>
      </c>
    </row>
    <row r="881" spans="1:59">
      <c r="A881">
        <v>0</v>
      </c>
      <c r="B881">
        <v>7</v>
      </c>
      <c r="C881">
        <v>2</v>
      </c>
      <c r="D881" t="s">
        <v>25022</v>
      </c>
      <c r="E881">
        <v>2266</v>
      </c>
      <c r="F881" t="s">
        <v>13103</v>
      </c>
      <c r="G881" t="s">
        <v>62</v>
      </c>
      <c r="H881">
        <v>2291706</v>
      </c>
      <c r="I881">
        <v>2292284</v>
      </c>
      <c r="J881" t="s">
        <v>13104</v>
      </c>
      <c r="K881">
        <v>193</v>
      </c>
      <c r="L881" t="s">
        <v>5451</v>
      </c>
      <c r="M881">
        <v>43</v>
      </c>
      <c r="N881" t="str">
        <f>HYPERLINK("Gene2266-zp_tree_all.dnd", "Gene2266-tree")</f>
        <v>Gene2266-tree</v>
      </c>
      <c r="O881">
        <v>6</v>
      </c>
      <c r="P881">
        <v>5</v>
      </c>
      <c r="Q881">
        <v>6</v>
      </c>
      <c r="R881">
        <v>5</v>
      </c>
      <c r="S881">
        <v>0.45455000000000001</v>
      </c>
      <c r="T881" t="s">
        <v>90</v>
      </c>
      <c r="U881" t="s">
        <v>199</v>
      </c>
      <c r="V881" t="s">
        <v>62</v>
      </c>
      <c r="W881" t="s">
        <v>62</v>
      </c>
      <c r="X881">
        <v>4</v>
      </c>
      <c r="Y881">
        <v>9</v>
      </c>
      <c r="Z881">
        <v>7</v>
      </c>
      <c r="AA881">
        <v>0.5625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4</v>
      </c>
      <c r="AH881">
        <v>2</v>
      </c>
      <c r="AI881">
        <v>6</v>
      </c>
      <c r="AJ881">
        <v>8</v>
      </c>
      <c r="AK881">
        <v>0.42857000000000001</v>
      </c>
      <c r="AL881">
        <v>7</v>
      </c>
      <c r="AM881">
        <v>6</v>
      </c>
      <c r="AN881">
        <v>15</v>
      </c>
      <c r="AO881">
        <v>7</v>
      </c>
      <c r="AP881">
        <v>16</v>
      </c>
      <c r="AQ881">
        <v>10</v>
      </c>
      <c r="AR881" t="s">
        <v>13105</v>
      </c>
      <c r="AS881" t="s">
        <v>13106</v>
      </c>
      <c r="AT881">
        <v>0.11899999999999999</v>
      </c>
      <c r="AU881" t="s">
        <v>65</v>
      </c>
      <c r="AV881">
        <v>31</v>
      </c>
      <c r="AW881">
        <v>17</v>
      </c>
      <c r="AX881" t="s">
        <v>13107</v>
      </c>
      <c r="AY881">
        <v>6.8699999999999997E-2</v>
      </c>
      <c r="AZ881">
        <v>-6.0800000000000003E-3</v>
      </c>
      <c r="BA881">
        <v>9.2499999999999995E-3</v>
      </c>
      <c r="BB881">
        <v>-9.8999999999999999E-4</v>
      </c>
      <c r="BC881">
        <v>0.13467999999999999</v>
      </c>
      <c r="BD881">
        <v>1</v>
      </c>
      <c r="BE881" t="s">
        <v>69</v>
      </c>
      <c r="BF881">
        <v>-0.17899999999999999</v>
      </c>
      <c r="BG881">
        <v>9.1999999999999998E-2</v>
      </c>
    </row>
    <row r="882" spans="1:59">
      <c r="A882">
        <v>0</v>
      </c>
      <c r="B882">
        <v>2</v>
      </c>
      <c r="C882">
        <v>0</v>
      </c>
      <c r="D882" t="s">
        <v>25022</v>
      </c>
      <c r="E882">
        <v>1570</v>
      </c>
      <c r="F882" t="s">
        <v>9813</v>
      </c>
      <c r="G882" t="s">
        <v>57</v>
      </c>
      <c r="H882">
        <v>1576129</v>
      </c>
      <c r="I882">
        <v>1576707</v>
      </c>
      <c r="J882" t="s">
        <v>9814</v>
      </c>
      <c r="K882">
        <v>193</v>
      </c>
      <c r="L882" t="s">
        <v>59</v>
      </c>
      <c r="M882">
        <v>49</v>
      </c>
      <c r="N882" t="str">
        <f>HYPERLINK("Gene1570-zp_tree_all.dnd", "Gene1570-tree")</f>
        <v>Gene1570-tree</v>
      </c>
      <c r="O882">
        <v>6</v>
      </c>
      <c r="P882">
        <v>8</v>
      </c>
      <c r="Q882">
        <v>6</v>
      </c>
      <c r="R882">
        <v>8</v>
      </c>
      <c r="S882">
        <v>0.57142999999999999</v>
      </c>
      <c r="T882" t="s">
        <v>90</v>
      </c>
      <c r="U882" t="s">
        <v>136</v>
      </c>
      <c r="V882" t="s">
        <v>62</v>
      </c>
      <c r="W882" t="s">
        <v>62</v>
      </c>
      <c r="X882">
        <v>1</v>
      </c>
      <c r="Y882">
        <v>2</v>
      </c>
      <c r="Z882">
        <v>14</v>
      </c>
      <c r="AA882">
        <v>0.125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10</v>
      </c>
      <c r="AK882">
        <v>0</v>
      </c>
      <c r="AL882">
        <v>11</v>
      </c>
      <c r="AM882">
        <v>8</v>
      </c>
      <c r="AN882">
        <v>17</v>
      </c>
      <c r="AO882">
        <v>10</v>
      </c>
      <c r="AP882">
        <v>27</v>
      </c>
      <c r="AQ882">
        <v>6</v>
      </c>
      <c r="AR882" t="s">
        <v>9815</v>
      </c>
      <c r="AS882" t="s">
        <v>9816</v>
      </c>
      <c r="AT882">
        <v>0.96799999999999997</v>
      </c>
      <c r="AU882" t="s">
        <v>65</v>
      </c>
      <c r="AV882">
        <v>44</v>
      </c>
      <c r="AW882">
        <v>16</v>
      </c>
      <c r="AX882" t="s">
        <v>9817</v>
      </c>
      <c r="AY882">
        <v>0.10566</v>
      </c>
      <c r="AZ882">
        <v>-7.4799999999999997E-3</v>
      </c>
      <c r="BA882">
        <v>8.1600000000000006E-3</v>
      </c>
      <c r="BB882">
        <v>-5.9999999999999995E-4</v>
      </c>
      <c r="BC882">
        <v>7.7249999999999999E-2</v>
      </c>
      <c r="BD882">
        <v>1</v>
      </c>
      <c r="BE882" t="s">
        <v>69</v>
      </c>
      <c r="BF882">
        <v>-1.3560000000000001</v>
      </c>
      <c r="BG882">
        <v>-1.07</v>
      </c>
    </row>
    <row r="883" spans="1:59">
      <c r="A883">
        <v>0</v>
      </c>
      <c r="B883">
        <v>0</v>
      </c>
      <c r="C883">
        <v>0</v>
      </c>
      <c r="D883" t="s">
        <v>25022</v>
      </c>
      <c r="E883">
        <v>1498</v>
      </c>
      <c r="F883" t="s">
        <v>9370</v>
      </c>
      <c r="G883" t="s">
        <v>57</v>
      </c>
      <c r="H883">
        <v>1511308</v>
      </c>
      <c r="I883">
        <v>1511886</v>
      </c>
      <c r="J883" t="s">
        <v>2768</v>
      </c>
      <c r="K883">
        <v>193</v>
      </c>
      <c r="L883" t="s">
        <v>59</v>
      </c>
      <c r="M883">
        <v>49</v>
      </c>
      <c r="N883" t="str">
        <f>HYPERLINK("Gene1498-zp_tree_all.dnd", "Gene1498-tree")</f>
        <v>Gene1498-tree</v>
      </c>
      <c r="O883">
        <v>10</v>
      </c>
      <c r="P883">
        <v>3</v>
      </c>
      <c r="Q883">
        <v>10</v>
      </c>
      <c r="R883">
        <v>3</v>
      </c>
      <c r="S883">
        <v>0.23077</v>
      </c>
      <c r="T883" t="s">
        <v>117</v>
      </c>
      <c r="U883" t="s">
        <v>324</v>
      </c>
      <c r="V883" t="s">
        <v>62</v>
      </c>
      <c r="W883" t="s">
        <v>62</v>
      </c>
      <c r="X883">
        <v>0</v>
      </c>
      <c r="Y883">
        <v>0</v>
      </c>
      <c r="Z883">
        <v>6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</v>
      </c>
      <c r="AK883">
        <v>0</v>
      </c>
      <c r="AL883">
        <v>10</v>
      </c>
      <c r="AM883">
        <v>5</v>
      </c>
      <c r="AN883">
        <v>13</v>
      </c>
      <c r="AO883">
        <v>4</v>
      </c>
      <c r="AP883">
        <v>29</v>
      </c>
      <c r="AQ883">
        <v>2</v>
      </c>
      <c r="AR883" t="s">
        <v>9371</v>
      </c>
      <c r="AS883" t="s">
        <v>9372</v>
      </c>
      <c r="AT883">
        <v>0.749</v>
      </c>
      <c r="AU883" t="s">
        <v>65</v>
      </c>
      <c r="AV883">
        <v>42</v>
      </c>
      <c r="AW883">
        <v>6</v>
      </c>
      <c r="AX883" t="s">
        <v>9373</v>
      </c>
      <c r="AY883">
        <v>0.11544</v>
      </c>
      <c r="AZ883">
        <v>-9.9000000000000008E-3</v>
      </c>
      <c r="BA883">
        <v>3.1800000000000001E-3</v>
      </c>
      <c r="BB883">
        <v>-2.7E-4</v>
      </c>
      <c r="BC883">
        <v>2.7550000000000002E-2</v>
      </c>
      <c r="BD883">
        <v>1</v>
      </c>
      <c r="BE883" t="s">
        <v>69</v>
      </c>
      <c r="BF883">
        <v>-1.532</v>
      </c>
      <c r="BG883">
        <v>-0.81599999999999995</v>
      </c>
    </row>
    <row r="884" spans="1:59">
      <c r="A884">
        <v>0</v>
      </c>
      <c r="B884">
        <v>0</v>
      </c>
      <c r="C884">
        <v>0</v>
      </c>
      <c r="D884" t="s">
        <v>25022</v>
      </c>
      <c r="E884">
        <v>1753</v>
      </c>
      <c r="F884" t="s">
        <v>10980</v>
      </c>
      <c r="G884" t="s">
        <v>57</v>
      </c>
      <c r="H884">
        <v>1762623</v>
      </c>
      <c r="I884">
        <v>1763201</v>
      </c>
      <c r="J884" t="s">
        <v>10981</v>
      </c>
      <c r="K884">
        <v>193</v>
      </c>
      <c r="L884" t="s">
        <v>160</v>
      </c>
      <c r="M884">
        <v>45</v>
      </c>
      <c r="N884" t="str">
        <f>HYPERLINK("Gene1753-zp_tree_all.dnd", "Gene1753-tree")</f>
        <v>Gene1753-tree</v>
      </c>
      <c r="O884">
        <v>7</v>
      </c>
      <c r="P884">
        <v>4</v>
      </c>
      <c r="Q884">
        <v>7</v>
      </c>
      <c r="R884">
        <v>4</v>
      </c>
      <c r="S884">
        <v>0.36364000000000002</v>
      </c>
      <c r="T884" t="s">
        <v>152</v>
      </c>
      <c r="U884" t="s">
        <v>61</v>
      </c>
      <c r="V884" t="s">
        <v>62</v>
      </c>
      <c r="W884" t="s">
        <v>62</v>
      </c>
      <c r="X884">
        <v>0</v>
      </c>
      <c r="Y884">
        <v>0</v>
      </c>
      <c r="Z884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4</v>
      </c>
      <c r="AK884">
        <v>0</v>
      </c>
      <c r="AL884">
        <v>8</v>
      </c>
      <c r="AM884">
        <v>6</v>
      </c>
      <c r="AN884">
        <v>30</v>
      </c>
      <c r="AO884">
        <v>4</v>
      </c>
      <c r="AP884">
        <v>15</v>
      </c>
      <c r="AQ884">
        <v>0</v>
      </c>
      <c r="AR884" t="s">
        <v>10982</v>
      </c>
      <c r="AS884" t="s">
        <v>193</v>
      </c>
      <c r="AT884">
        <v>0.71299999999999997</v>
      </c>
      <c r="AU884" t="s">
        <v>65</v>
      </c>
      <c r="AV884">
        <v>45</v>
      </c>
      <c r="AW884">
        <v>4</v>
      </c>
      <c r="AX884" t="s">
        <v>10983</v>
      </c>
      <c r="AY884">
        <v>7.5090000000000004E-2</v>
      </c>
      <c r="AZ884">
        <v>-8.5400000000000007E-3</v>
      </c>
      <c r="BA884">
        <v>1.66E-3</v>
      </c>
      <c r="BB884">
        <v>-2.0000000000000001E-4</v>
      </c>
      <c r="BC884">
        <v>2.205E-2</v>
      </c>
      <c r="BD884">
        <v>1</v>
      </c>
      <c r="BE884" t="s">
        <v>69</v>
      </c>
      <c r="BF884">
        <v>-0.88</v>
      </c>
      <c r="BG884">
        <v>-3.194</v>
      </c>
    </row>
    <row r="885" spans="1:59">
      <c r="A885">
        <v>0</v>
      </c>
      <c r="B885">
        <v>0</v>
      </c>
      <c r="C885">
        <v>0</v>
      </c>
      <c r="D885" t="s">
        <v>25022</v>
      </c>
      <c r="E885">
        <v>291</v>
      </c>
      <c r="F885" t="s">
        <v>1987</v>
      </c>
      <c r="G885" t="s">
        <v>57</v>
      </c>
      <c r="H885">
        <v>312780</v>
      </c>
      <c r="I885">
        <v>313358</v>
      </c>
      <c r="J885" t="s">
        <v>1981</v>
      </c>
      <c r="K885">
        <v>193</v>
      </c>
      <c r="L885" t="s">
        <v>265</v>
      </c>
      <c r="M885">
        <v>43</v>
      </c>
      <c r="N885" t="str">
        <f>HYPERLINK("Gene291-zp_tree_all.dnd", "Gene291-tree")</f>
        <v>Gene291-tree</v>
      </c>
      <c r="O885">
        <v>10</v>
      </c>
      <c r="P885">
        <v>1</v>
      </c>
      <c r="Q885">
        <v>10</v>
      </c>
      <c r="R885">
        <v>1</v>
      </c>
      <c r="S885">
        <v>9.0910000000000005E-2</v>
      </c>
      <c r="T885" t="s">
        <v>117</v>
      </c>
      <c r="U885" t="s">
        <v>175</v>
      </c>
      <c r="V885" t="s">
        <v>62</v>
      </c>
      <c r="W885" t="s">
        <v>62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7</v>
      </c>
      <c r="AM885">
        <v>3</v>
      </c>
      <c r="AN885">
        <v>13</v>
      </c>
      <c r="AO885">
        <v>1</v>
      </c>
      <c r="AP885">
        <v>5</v>
      </c>
      <c r="AQ885">
        <v>0</v>
      </c>
      <c r="AR885" t="s">
        <v>1988</v>
      </c>
      <c r="AS885" t="s">
        <v>193</v>
      </c>
      <c r="AT885">
        <v>0.42599999999999999</v>
      </c>
      <c r="AU885" t="s">
        <v>65</v>
      </c>
      <c r="AV885">
        <v>18</v>
      </c>
      <c r="AW885">
        <v>1</v>
      </c>
      <c r="AX885" t="s">
        <v>1989</v>
      </c>
      <c r="AY885">
        <v>3.5220000000000001E-2</v>
      </c>
      <c r="AZ885">
        <v>-2.3700000000000001E-3</v>
      </c>
      <c r="BA885">
        <v>4.0999999999999999E-4</v>
      </c>
      <c r="BB885">
        <v>-1.2E-4</v>
      </c>
      <c r="BC885">
        <v>1.17E-2</v>
      </c>
      <c r="BD885">
        <v>1</v>
      </c>
      <c r="BE885" t="s">
        <v>69</v>
      </c>
      <c r="BF885">
        <v>-0.63800000000000001</v>
      </c>
      <c r="BG885">
        <v>-1.8169999999999999</v>
      </c>
    </row>
    <row r="886" spans="1:59">
      <c r="A886">
        <v>0</v>
      </c>
      <c r="B886">
        <v>9</v>
      </c>
      <c r="C886">
        <v>5</v>
      </c>
      <c r="D886" t="s">
        <v>25022</v>
      </c>
      <c r="E886">
        <v>336</v>
      </c>
      <c r="F886" t="s">
        <v>2295</v>
      </c>
      <c r="G886" t="s">
        <v>57</v>
      </c>
      <c r="H886">
        <v>365170</v>
      </c>
      <c r="I886">
        <v>365751</v>
      </c>
      <c r="J886" t="s">
        <v>2296</v>
      </c>
      <c r="K886">
        <v>194</v>
      </c>
      <c r="L886" t="s">
        <v>108</v>
      </c>
      <c r="M886">
        <v>44</v>
      </c>
      <c r="N886" t="str">
        <f>HYPERLINK("Gene336-zp_tree_all.dnd", "Gene336-tree")</f>
        <v>Gene336-tree</v>
      </c>
      <c r="O886">
        <v>0</v>
      </c>
      <c r="P886">
        <v>13</v>
      </c>
      <c r="Q886">
        <v>0</v>
      </c>
      <c r="R886">
        <v>13</v>
      </c>
      <c r="S886">
        <v>1</v>
      </c>
      <c r="T886" t="s">
        <v>62</v>
      </c>
      <c r="U886" t="s">
        <v>507</v>
      </c>
      <c r="V886" t="s">
        <v>62</v>
      </c>
      <c r="W886" t="s">
        <v>62</v>
      </c>
      <c r="X886">
        <v>5</v>
      </c>
      <c r="Y886">
        <v>14</v>
      </c>
      <c r="Z886">
        <v>19</v>
      </c>
      <c r="AA886">
        <v>0.42424000000000001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8</v>
      </c>
      <c r="AH886">
        <v>1</v>
      </c>
      <c r="AI886">
        <v>9</v>
      </c>
      <c r="AJ886">
        <v>11</v>
      </c>
      <c r="AK886">
        <v>0.45</v>
      </c>
      <c r="AL886">
        <v>10</v>
      </c>
      <c r="AM886">
        <v>6</v>
      </c>
      <c r="AN886">
        <v>10</v>
      </c>
      <c r="AO886">
        <v>17</v>
      </c>
      <c r="AP886">
        <v>17</v>
      </c>
      <c r="AQ886">
        <v>16</v>
      </c>
      <c r="AR886" t="s">
        <v>2297</v>
      </c>
      <c r="AS886" t="s">
        <v>2298</v>
      </c>
      <c r="AT886">
        <v>0.44400000000000001</v>
      </c>
      <c r="AU886" t="s">
        <v>65</v>
      </c>
      <c r="AV886">
        <v>27</v>
      </c>
      <c r="AW886">
        <v>33</v>
      </c>
      <c r="AX886" t="s">
        <v>2299</v>
      </c>
      <c r="AY886">
        <v>5.568E-2</v>
      </c>
      <c r="AZ886">
        <v>-4.81E-3</v>
      </c>
      <c r="BA886">
        <v>1.4800000000000001E-2</v>
      </c>
      <c r="BB886">
        <v>-1.2700000000000001E-3</v>
      </c>
      <c r="BC886">
        <v>0.26576</v>
      </c>
      <c r="BD886">
        <v>1</v>
      </c>
      <c r="BE886" t="s">
        <v>69</v>
      </c>
      <c r="BF886">
        <v>-0.83799999999999997</v>
      </c>
      <c r="BG886">
        <v>-0.28199999999999997</v>
      </c>
    </row>
    <row r="887" spans="1:59">
      <c r="A887">
        <v>0</v>
      </c>
      <c r="B887">
        <v>2</v>
      </c>
      <c r="C887">
        <v>2</v>
      </c>
      <c r="D887" t="s">
        <v>25022</v>
      </c>
      <c r="E887">
        <v>2300</v>
      </c>
      <c r="F887" t="s">
        <v>13325</v>
      </c>
      <c r="G887" t="s">
        <v>62</v>
      </c>
      <c r="H887">
        <v>2319443</v>
      </c>
      <c r="I887">
        <v>2320024</v>
      </c>
      <c r="J887" t="s">
        <v>13326</v>
      </c>
      <c r="K887">
        <v>194</v>
      </c>
      <c r="L887" t="s">
        <v>108</v>
      </c>
      <c r="M887">
        <v>44</v>
      </c>
      <c r="N887" t="str">
        <f>HYPERLINK("Gene2300-zp_tree_all.dnd", "Gene2300-tree")</f>
        <v>Gene2300-tree</v>
      </c>
      <c r="O887">
        <v>6</v>
      </c>
      <c r="P887">
        <v>6</v>
      </c>
      <c r="Q887">
        <v>6</v>
      </c>
      <c r="R887">
        <v>6</v>
      </c>
      <c r="S887">
        <v>0.5</v>
      </c>
      <c r="T887" t="s">
        <v>90</v>
      </c>
      <c r="U887" t="s">
        <v>90</v>
      </c>
      <c r="V887" t="s">
        <v>62</v>
      </c>
      <c r="W887" t="s">
        <v>62</v>
      </c>
      <c r="X887">
        <v>2</v>
      </c>
      <c r="Y887">
        <v>4</v>
      </c>
      <c r="Z887">
        <v>8</v>
      </c>
      <c r="AA887">
        <v>0.33333000000000002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9</v>
      </c>
      <c r="AK887">
        <v>0</v>
      </c>
      <c r="AL887">
        <v>9</v>
      </c>
      <c r="AM887">
        <v>8</v>
      </c>
      <c r="AN887">
        <v>9</v>
      </c>
      <c r="AO887">
        <v>9</v>
      </c>
      <c r="AP887">
        <v>12</v>
      </c>
      <c r="AQ887">
        <v>3</v>
      </c>
      <c r="AR887" t="s">
        <v>13327</v>
      </c>
      <c r="AS887" t="s">
        <v>13328</v>
      </c>
      <c r="AT887">
        <v>1.101</v>
      </c>
      <c r="AU887" t="s">
        <v>65</v>
      </c>
      <c r="AV887">
        <v>21</v>
      </c>
      <c r="AW887">
        <v>12</v>
      </c>
      <c r="AX887" t="s">
        <v>13329</v>
      </c>
      <c r="AY887">
        <v>4.1119999999999997E-2</v>
      </c>
      <c r="AZ887">
        <v>-1.99E-3</v>
      </c>
      <c r="BA887">
        <v>5.9899999999999997E-3</v>
      </c>
      <c r="BB887">
        <v>-4.8000000000000001E-4</v>
      </c>
      <c r="BC887">
        <v>0.14574999999999999</v>
      </c>
      <c r="BD887">
        <v>1</v>
      </c>
      <c r="BE887" t="s">
        <v>69</v>
      </c>
      <c r="BF887">
        <v>-0.19800000000000001</v>
      </c>
      <c r="BG887">
        <v>-0.112</v>
      </c>
    </row>
    <row r="888" spans="1:59">
      <c r="A888">
        <v>0</v>
      </c>
      <c r="B888">
        <v>7</v>
      </c>
      <c r="C888">
        <v>8</v>
      </c>
      <c r="D888" t="s">
        <v>25022</v>
      </c>
      <c r="E888">
        <v>723</v>
      </c>
      <c r="F888" t="s">
        <v>4475</v>
      </c>
      <c r="G888" t="s">
        <v>57</v>
      </c>
      <c r="H888">
        <v>753817</v>
      </c>
      <c r="I888">
        <v>754398</v>
      </c>
      <c r="J888" t="s">
        <v>4476</v>
      </c>
      <c r="K888">
        <v>194</v>
      </c>
      <c r="L888" t="s">
        <v>108</v>
      </c>
      <c r="M888">
        <v>44</v>
      </c>
      <c r="N888" t="str">
        <f>HYPERLINK("Gene723-zp_tree_all.dnd", "Gene723-tree")</f>
        <v>Gene723-tree</v>
      </c>
      <c r="O888">
        <v>6</v>
      </c>
      <c r="P888">
        <v>7</v>
      </c>
      <c r="Q888">
        <v>6</v>
      </c>
      <c r="R888">
        <v>7</v>
      </c>
      <c r="S888">
        <v>0.53846000000000005</v>
      </c>
      <c r="T888" t="s">
        <v>90</v>
      </c>
      <c r="U888" t="s">
        <v>152</v>
      </c>
      <c r="V888" t="s">
        <v>62</v>
      </c>
      <c r="W888" t="s">
        <v>62</v>
      </c>
      <c r="X888">
        <v>7</v>
      </c>
      <c r="Y888">
        <v>15</v>
      </c>
      <c r="Z888">
        <v>12</v>
      </c>
      <c r="AA888">
        <v>0.55556000000000005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</v>
      </c>
      <c r="AH888">
        <v>4</v>
      </c>
      <c r="AI888">
        <v>6</v>
      </c>
      <c r="AJ888">
        <v>11</v>
      </c>
      <c r="AK888">
        <v>0.35293999999999998</v>
      </c>
      <c r="AL888">
        <v>13</v>
      </c>
      <c r="AM888">
        <v>9</v>
      </c>
      <c r="AN888">
        <v>33</v>
      </c>
      <c r="AO888">
        <v>17</v>
      </c>
      <c r="AP888">
        <v>33</v>
      </c>
      <c r="AQ888">
        <v>10</v>
      </c>
      <c r="AR888" t="s">
        <v>4477</v>
      </c>
      <c r="AS888" t="s">
        <v>4478</v>
      </c>
      <c r="AT888">
        <v>0.76600000000000001</v>
      </c>
      <c r="AU888" t="s">
        <v>65</v>
      </c>
      <c r="AV888">
        <v>66</v>
      </c>
      <c r="AW888">
        <v>27</v>
      </c>
      <c r="AX888" t="s">
        <v>4479</v>
      </c>
      <c r="AY888">
        <v>0.11673</v>
      </c>
      <c r="AZ888">
        <v>-5.6800000000000002E-3</v>
      </c>
      <c r="BA888">
        <v>1.341E-2</v>
      </c>
      <c r="BB888">
        <v>-7.3999999999999999E-4</v>
      </c>
      <c r="BC888">
        <v>0.11491999999999999</v>
      </c>
      <c r="BD888">
        <v>1</v>
      </c>
      <c r="BE888" t="s">
        <v>69</v>
      </c>
      <c r="BF888">
        <v>0.499</v>
      </c>
      <c r="BG888">
        <v>-0.32900000000000001</v>
      </c>
    </row>
    <row r="889" spans="1:59">
      <c r="A889">
        <v>0</v>
      </c>
      <c r="B889">
        <v>7</v>
      </c>
      <c r="C889">
        <v>0</v>
      </c>
      <c r="D889" t="s">
        <v>25022</v>
      </c>
      <c r="E889">
        <v>881</v>
      </c>
      <c r="F889" t="s">
        <v>5503</v>
      </c>
      <c r="G889" t="s">
        <v>57</v>
      </c>
      <c r="H889">
        <v>923587</v>
      </c>
      <c r="I889">
        <v>924168</v>
      </c>
      <c r="J889" t="s">
        <v>5504</v>
      </c>
      <c r="K889">
        <v>194</v>
      </c>
      <c r="L889" t="s">
        <v>1392</v>
      </c>
      <c r="M889">
        <v>43</v>
      </c>
      <c r="N889" t="str">
        <f>HYPERLINK("Gene881-zp_tree_all.dnd", "Gene881-tree")</f>
        <v>Gene881-tree</v>
      </c>
      <c r="O889">
        <v>6</v>
      </c>
      <c r="P889">
        <v>7</v>
      </c>
      <c r="Q889">
        <v>6</v>
      </c>
      <c r="R889">
        <v>7</v>
      </c>
      <c r="S889">
        <v>0.53846000000000005</v>
      </c>
      <c r="T889" t="s">
        <v>90</v>
      </c>
      <c r="U889" t="s">
        <v>152</v>
      </c>
      <c r="V889" t="s">
        <v>62</v>
      </c>
      <c r="W889" t="s">
        <v>62</v>
      </c>
      <c r="X889">
        <v>1</v>
      </c>
      <c r="Y889">
        <v>7</v>
      </c>
      <c r="Z889">
        <v>9</v>
      </c>
      <c r="AA889">
        <v>0.4375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5</v>
      </c>
      <c r="AH889">
        <v>0</v>
      </c>
      <c r="AI889">
        <v>5</v>
      </c>
      <c r="AJ889">
        <v>8</v>
      </c>
      <c r="AK889">
        <v>0.38462000000000002</v>
      </c>
      <c r="AL889">
        <v>11</v>
      </c>
      <c r="AM889">
        <v>7</v>
      </c>
      <c r="AN889">
        <v>16</v>
      </c>
      <c r="AO889">
        <v>13</v>
      </c>
      <c r="AP889">
        <v>10</v>
      </c>
      <c r="AQ889">
        <v>3</v>
      </c>
      <c r="AR889" t="s">
        <v>5505</v>
      </c>
      <c r="AS889" t="s">
        <v>5506</v>
      </c>
      <c r="AT889">
        <v>1.2390000000000001</v>
      </c>
      <c r="AU889" t="s">
        <v>65</v>
      </c>
      <c r="AV889">
        <v>26</v>
      </c>
      <c r="AW889">
        <v>16</v>
      </c>
      <c r="AX889" t="s">
        <v>5507</v>
      </c>
      <c r="AY889">
        <v>4.41E-2</v>
      </c>
      <c r="AZ889">
        <v>-1.81E-3</v>
      </c>
      <c r="BA889">
        <v>4.2100000000000002E-3</v>
      </c>
      <c r="BB889">
        <v>-3.2000000000000003E-4</v>
      </c>
      <c r="BC889">
        <v>9.5490000000000005E-2</v>
      </c>
      <c r="BD889">
        <v>1</v>
      </c>
      <c r="BE889" t="s">
        <v>69</v>
      </c>
      <c r="BF889">
        <v>-0.67200000000000004</v>
      </c>
      <c r="BG889">
        <v>-1.08</v>
      </c>
    </row>
    <row r="890" spans="1:59">
      <c r="A890">
        <v>0</v>
      </c>
      <c r="B890">
        <v>0</v>
      </c>
      <c r="C890">
        <v>0</v>
      </c>
      <c r="D890" t="s">
        <v>25022</v>
      </c>
      <c r="E890">
        <v>2972</v>
      </c>
      <c r="F890" t="s">
        <v>17143</v>
      </c>
      <c r="G890" t="s">
        <v>62</v>
      </c>
      <c r="H890">
        <v>2917960</v>
      </c>
      <c r="I890">
        <v>2918541</v>
      </c>
      <c r="J890" t="s">
        <v>17144</v>
      </c>
      <c r="K890">
        <v>194</v>
      </c>
      <c r="L890" t="s">
        <v>108</v>
      </c>
      <c r="M890">
        <v>44</v>
      </c>
      <c r="N890" t="str">
        <f>HYPERLINK("Gene2972-zp_tree_all.dnd", "Gene2972-tree")</f>
        <v>Gene2972-tree</v>
      </c>
      <c r="O890">
        <v>7</v>
      </c>
      <c r="P890">
        <v>3</v>
      </c>
      <c r="Q890">
        <v>7</v>
      </c>
      <c r="R890">
        <v>3</v>
      </c>
      <c r="S890">
        <v>0.3</v>
      </c>
      <c r="T890" t="s">
        <v>152</v>
      </c>
      <c r="U890" t="s">
        <v>324</v>
      </c>
      <c r="V890" t="s">
        <v>62</v>
      </c>
      <c r="W890" t="s">
        <v>62</v>
      </c>
      <c r="X890">
        <v>0</v>
      </c>
      <c r="Y890">
        <v>0</v>
      </c>
      <c r="Z890">
        <v>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3</v>
      </c>
      <c r="AK890">
        <v>0</v>
      </c>
      <c r="AL890">
        <v>7</v>
      </c>
      <c r="AM890">
        <v>4</v>
      </c>
      <c r="AN890">
        <v>19</v>
      </c>
      <c r="AO890">
        <v>2</v>
      </c>
      <c r="AP890">
        <v>7</v>
      </c>
      <c r="AQ890">
        <v>3</v>
      </c>
      <c r="AR890" t="s">
        <v>17145</v>
      </c>
      <c r="AS890" t="s">
        <v>17146</v>
      </c>
      <c r="AT890">
        <v>0.81200000000000006</v>
      </c>
      <c r="AU890" t="s">
        <v>65</v>
      </c>
      <c r="AV890">
        <v>26</v>
      </c>
      <c r="AW890">
        <v>5</v>
      </c>
      <c r="AX890" t="s">
        <v>17147</v>
      </c>
      <c r="AY890">
        <v>5.4300000000000001E-2</v>
      </c>
      <c r="AZ890">
        <v>-4.1200000000000004E-3</v>
      </c>
      <c r="BA890">
        <v>4.4600000000000004E-3</v>
      </c>
      <c r="BB890">
        <v>-4.4999999999999999E-4</v>
      </c>
      <c r="BC890">
        <v>8.2100000000000006E-2</v>
      </c>
      <c r="BD890">
        <v>1</v>
      </c>
      <c r="BE890" t="s">
        <v>69</v>
      </c>
      <c r="BF890">
        <v>0.42699999999999999</v>
      </c>
      <c r="BG890">
        <v>0.32200000000000001</v>
      </c>
    </row>
    <row r="891" spans="1:59">
      <c r="A891">
        <v>0</v>
      </c>
      <c r="B891">
        <v>3</v>
      </c>
      <c r="C891">
        <v>2</v>
      </c>
      <c r="D891" t="s">
        <v>25022</v>
      </c>
      <c r="E891">
        <v>75</v>
      </c>
      <c r="F891" t="s">
        <v>600</v>
      </c>
      <c r="G891" t="s">
        <v>57</v>
      </c>
      <c r="H891">
        <v>84290</v>
      </c>
      <c r="I891">
        <v>84871</v>
      </c>
      <c r="J891" t="s">
        <v>601</v>
      </c>
      <c r="K891">
        <v>194</v>
      </c>
      <c r="L891" t="s">
        <v>108</v>
      </c>
      <c r="M891">
        <v>44</v>
      </c>
      <c r="N891" t="str">
        <f>HYPERLINK("Gene75-zp_tree_all.dnd", "Gene75-tree")</f>
        <v>Gene75-tree</v>
      </c>
      <c r="O891">
        <v>9</v>
      </c>
      <c r="P891">
        <v>6</v>
      </c>
      <c r="Q891">
        <v>9</v>
      </c>
      <c r="R891">
        <v>6</v>
      </c>
      <c r="S891">
        <v>0.4</v>
      </c>
      <c r="T891" t="s">
        <v>135</v>
      </c>
      <c r="U891" t="s">
        <v>90</v>
      </c>
      <c r="V891" t="s">
        <v>62</v>
      </c>
      <c r="W891" t="s">
        <v>62</v>
      </c>
      <c r="X891">
        <v>2</v>
      </c>
      <c r="Y891">
        <v>5</v>
      </c>
      <c r="Z891">
        <v>4</v>
      </c>
      <c r="AA891">
        <v>0.55556000000000005</v>
      </c>
      <c r="AB891">
        <v>2</v>
      </c>
      <c r="AC891">
        <v>0</v>
      </c>
      <c r="AD891">
        <v>2</v>
      </c>
      <c r="AE891">
        <v>0</v>
      </c>
      <c r="AF891">
        <v>1</v>
      </c>
      <c r="AG891">
        <v>0</v>
      </c>
      <c r="AH891">
        <v>2</v>
      </c>
      <c r="AI891">
        <v>2</v>
      </c>
      <c r="AJ891">
        <v>4</v>
      </c>
      <c r="AK891">
        <v>0.33333000000000002</v>
      </c>
      <c r="AL891">
        <v>10</v>
      </c>
      <c r="AM891">
        <v>8</v>
      </c>
      <c r="AN891">
        <v>14</v>
      </c>
      <c r="AO891">
        <v>6</v>
      </c>
      <c r="AP891">
        <v>12</v>
      </c>
      <c r="AQ891">
        <v>3</v>
      </c>
      <c r="AR891" t="s">
        <v>602</v>
      </c>
      <c r="AS891" t="s">
        <v>603</v>
      </c>
      <c r="AT891">
        <v>0.63</v>
      </c>
      <c r="AU891" t="s">
        <v>65</v>
      </c>
      <c r="AV891">
        <v>26</v>
      </c>
      <c r="AW891">
        <v>9</v>
      </c>
      <c r="AX891" t="s">
        <v>604</v>
      </c>
      <c r="AY891">
        <v>3.9019999999999999E-2</v>
      </c>
      <c r="AZ891">
        <v>-1.72E-3</v>
      </c>
      <c r="BA891">
        <v>3.15E-3</v>
      </c>
      <c r="BB891">
        <v>-1.7000000000000001E-4</v>
      </c>
      <c r="BC891">
        <v>8.0810000000000007E-2</v>
      </c>
      <c r="BD891">
        <v>1</v>
      </c>
      <c r="BE891" t="s">
        <v>69</v>
      </c>
      <c r="BF891">
        <v>-0.94199999999999995</v>
      </c>
      <c r="BG891">
        <v>0.43</v>
      </c>
    </row>
    <row r="892" spans="1:59">
      <c r="A892">
        <v>0</v>
      </c>
      <c r="B892">
        <v>0</v>
      </c>
      <c r="C892">
        <v>0</v>
      </c>
      <c r="D892" t="s">
        <v>25022</v>
      </c>
      <c r="E892">
        <v>2829</v>
      </c>
      <c r="F892" t="s">
        <v>16243</v>
      </c>
      <c r="G892" t="s">
        <v>62</v>
      </c>
      <c r="H892">
        <v>2777073</v>
      </c>
      <c r="I892">
        <v>2777654</v>
      </c>
      <c r="J892" t="s">
        <v>16244</v>
      </c>
      <c r="K892">
        <v>194</v>
      </c>
      <c r="L892" t="s">
        <v>108</v>
      </c>
      <c r="M892">
        <v>44</v>
      </c>
      <c r="N892" t="str">
        <f>HYPERLINK("Gene2829-zp_tree_all.dnd", "Gene2829-tree")</f>
        <v>Gene2829-tree</v>
      </c>
      <c r="O892">
        <v>8</v>
      </c>
      <c r="P892">
        <v>3</v>
      </c>
      <c r="Q892">
        <v>8</v>
      </c>
      <c r="R892">
        <v>3</v>
      </c>
      <c r="S892">
        <v>0.27272999999999997</v>
      </c>
      <c r="T892" t="s">
        <v>136</v>
      </c>
      <c r="U892" t="s">
        <v>324</v>
      </c>
      <c r="V892" t="s">
        <v>62</v>
      </c>
      <c r="W892" t="s">
        <v>62</v>
      </c>
      <c r="X892">
        <v>0</v>
      </c>
      <c r="Y892">
        <v>0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3</v>
      </c>
      <c r="AK892">
        <v>0</v>
      </c>
      <c r="AL892">
        <v>7</v>
      </c>
      <c r="AM892">
        <v>6</v>
      </c>
      <c r="AN892">
        <v>6</v>
      </c>
      <c r="AO892">
        <v>3</v>
      </c>
      <c r="AP892">
        <v>8</v>
      </c>
      <c r="AQ892">
        <v>1</v>
      </c>
      <c r="AR892" t="s">
        <v>16245</v>
      </c>
      <c r="AS892" t="s">
        <v>16246</v>
      </c>
      <c r="AT892">
        <v>0.97399999999999998</v>
      </c>
      <c r="AU892" t="s">
        <v>65</v>
      </c>
      <c r="AV892">
        <v>14</v>
      </c>
      <c r="AW892">
        <v>4</v>
      </c>
      <c r="AX892" t="s">
        <v>16247</v>
      </c>
      <c r="AY892">
        <v>2.8799999999999999E-2</v>
      </c>
      <c r="AZ892">
        <v>-1.31E-3</v>
      </c>
      <c r="BA892">
        <v>1.92E-3</v>
      </c>
      <c r="BB892">
        <v>-2.0000000000000001E-4</v>
      </c>
      <c r="BC892">
        <v>6.6710000000000005E-2</v>
      </c>
      <c r="BD892">
        <v>1</v>
      </c>
      <c r="BE892" t="s">
        <v>69</v>
      </c>
      <c r="BF892">
        <v>0.62</v>
      </c>
      <c r="BG892">
        <v>0.43</v>
      </c>
    </row>
    <row r="893" spans="1:59">
      <c r="A893">
        <v>0</v>
      </c>
      <c r="B893">
        <v>2</v>
      </c>
      <c r="C893">
        <v>0</v>
      </c>
      <c r="D893" t="s">
        <v>25022</v>
      </c>
      <c r="E893">
        <v>2393</v>
      </c>
      <c r="F893" t="s">
        <v>13931</v>
      </c>
      <c r="G893" t="s">
        <v>62</v>
      </c>
      <c r="H893">
        <v>2403509</v>
      </c>
      <c r="I893">
        <v>2404090</v>
      </c>
      <c r="J893" t="s">
        <v>13932</v>
      </c>
      <c r="K893">
        <v>194</v>
      </c>
      <c r="L893" t="s">
        <v>59</v>
      </c>
      <c r="M893">
        <v>49</v>
      </c>
      <c r="N893" t="str">
        <f>HYPERLINK("Gene2393-zp_tree_all.dnd", "Gene2393-tree")</f>
        <v>Gene2393-tree</v>
      </c>
      <c r="O893">
        <v>6</v>
      </c>
      <c r="P893">
        <v>5</v>
      </c>
      <c r="Q893">
        <v>6</v>
      </c>
      <c r="R893">
        <v>5</v>
      </c>
      <c r="S893">
        <v>0.45455000000000001</v>
      </c>
      <c r="T893" t="s">
        <v>90</v>
      </c>
      <c r="U893" t="s">
        <v>199</v>
      </c>
      <c r="V893" t="s">
        <v>62</v>
      </c>
      <c r="W893" t="s">
        <v>62</v>
      </c>
      <c r="X893">
        <v>1</v>
      </c>
      <c r="Y893">
        <v>2</v>
      </c>
      <c r="Z893">
        <v>7</v>
      </c>
      <c r="AA893">
        <v>0.22222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</v>
      </c>
      <c r="AI893">
        <v>2</v>
      </c>
      <c r="AJ893">
        <v>7</v>
      </c>
      <c r="AK893">
        <v>0.22222</v>
      </c>
      <c r="AL893">
        <v>6</v>
      </c>
      <c r="AM893">
        <v>6</v>
      </c>
      <c r="AN893">
        <v>7</v>
      </c>
      <c r="AO893">
        <v>9</v>
      </c>
      <c r="AP893">
        <v>23</v>
      </c>
      <c r="AQ893">
        <v>1</v>
      </c>
      <c r="AR893" t="s">
        <v>13933</v>
      </c>
      <c r="AS893" t="s">
        <v>13934</v>
      </c>
      <c r="AT893">
        <v>1.1000000000000001</v>
      </c>
      <c r="AU893" t="s">
        <v>65</v>
      </c>
      <c r="AV893">
        <v>30</v>
      </c>
      <c r="AW893">
        <v>10</v>
      </c>
      <c r="AX893" t="s">
        <v>13935</v>
      </c>
      <c r="AY893">
        <v>8.0610000000000001E-2</v>
      </c>
      <c r="AZ893">
        <v>-7.4599999999999996E-3</v>
      </c>
      <c r="BA893">
        <v>4.2700000000000004E-3</v>
      </c>
      <c r="BB893">
        <v>-6.4000000000000005E-4</v>
      </c>
      <c r="BC893">
        <v>5.296E-2</v>
      </c>
      <c r="BD893">
        <v>1</v>
      </c>
      <c r="BE893" t="s">
        <v>69</v>
      </c>
      <c r="BF893">
        <v>-1.478</v>
      </c>
      <c r="BG893">
        <v>0.13600000000000001</v>
      </c>
    </row>
    <row r="894" spans="1:59">
      <c r="A894">
        <v>0</v>
      </c>
      <c r="B894">
        <v>0</v>
      </c>
      <c r="C894">
        <v>0</v>
      </c>
      <c r="D894" t="s">
        <v>25022</v>
      </c>
      <c r="E894">
        <v>2405</v>
      </c>
      <c r="F894" t="s">
        <v>14005</v>
      </c>
      <c r="G894" t="s">
        <v>62</v>
      </c>
      <c r="H894">
        <v>2414630</v>
      </c>
      <c r="I894">
        <v>2415211</v>
      </c>
      <c r="J894" t="s">
        <v>14006</v>
      </c>
      <c r="K894">
        <v>194</v>
      </c>
      <c r="L894" t="s">
        <v>59</v>
      </c>
      <c r="M894">
        <v>49</v>
      </c>
      <c r="N894" t="str">
        <f>HYPERLINK("Gene2405-zp_tree_all.dnd", "Gene2405-tree")</f>
        <v>Gene2405-tree</v>
      </c>
      <c r="O894">
        <v>12</v>
      </c>
      <c r="P894">
        <v>0</v>
      </c>
      <c r="Q894">
        <v>12</v>
      </c>
      <c r="R894">
        <v>0</v>
      </c>
      <c r="S894">
        <v>0</v>
      </c>
      <c r="T894" t="s">
        <v>109</v>
      </c>
      <c r="U894" t="s">
        <v>62</v>
      </c>
      <c r="V894" t="s">
        <v>62</v>
      </c>
      <c r="W894" t="s">
        <v>62</v>
      </c>
      <c r="X894">
        <v>0</v>
      </c>
      <c r="Y894">
        <v>0</v>
      </c>
      <c r="Z894">
        <v>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9</v>
      </c>
      <c r="AM894">
        <v>6</v>
      </c>
      <c r="AN894">
        <v>17</v>
      </c>
      <c r="AO894">
        <v>0</v>
      </c>
      <c r="AP894">
        <v>21</v>
      </c>
      <c r="AQ894">
        <v>5</v>
      </c>
      <c r="AR894" t="s">
        <v>193</v>
      </c>
      <c r="AS894" t="s">
        <v>14007</v>
      </c>
      <c r="AT894">
        <v>0.71599999999999997</v>
      </c>
      <c r="AU894" t="s">
        <v>65</v>
      </c>
      <c r="AV894">
        <v>38</v>
      </c>
      <c r="AW894">
        <v>5</v>
      </c>
      <c r="AX894" t="s">
        <v>14008</v>
      </c>
      <c r="AY894">
        <v>9.4710000000000003E-2</v>
      </c>
      <c r="AZ894">
        <v>-8.2900000000000005E-3</v>
      </c>
      <c r="BA894">
        <v>4.5199999999999997E-3</v>
      </c>
      <c r="BB894">
        <v>-5.5000000000000003E-4</v>
      </c>
      <c r="BC894">
        <v>4.777E-2</v>
      </c>
      <c r="BD894">
        <v>1</v>
      </c>
      <c r="BE894" t="s">
        <v>69</v>
      </c>
      <c r="BF894">
        <v>-1.0760000000000001</v>
      </c>
      <c r="BG894">
        <v>-0.46500000000000002</v>
      </c>
    </row>
    <row r="895" spans="1:59">
      <c r="A895">
        <v>0</v>
      </c>
      <c r="B895">
        <v>0</v>
      </c>
      <c r="C895">
        <v>0</v>
      </c>
      <c r="D895" t="s">
        <v>25022</v>
      </c>
      <c r="E895">
        <v>3617</v>
      </c>
      <c r="F895" t="s">
        <v>21240</v>
      </c>
      <c r="G895" t="s">
        <v>62</v>
      </c>
      <c r="H895">
        <v>3585693</v>
      </c>
      <c r="I895">
        <v>3586274</v>
      </c>
      <c r="J895" t="s">
        <v>21241</v>
      </c>
      <c r="K895">
        <v>194</v>
      </c>
      <c r="L895" t="s">
        <v>108</v>
      </c>
      <c r="M895">
        <v>44</v>
      </c>
      <c r="N895" t="str">
        <f>HYPERLINK("Gene3617-zp_tree_all.dnd", "Gene3617-tree")</f>
        <v>Gene3617-tree</v>
      </c>
      <c r="O895">
        <v>8</v>
      </c>
      <c r="P895">
        <v>3</v>
      </c>
      <c r="Q895">
        <v>8</v>
      </c>
      <c r="R895">
        <v>3</v>
      </c>
      <c r="S895">
        <v>0.27272999999999997</v>
      </c>
      <c r="T895" t="s">
        <v>136</v>
      </c>
      <c r="U895" t="s">
        <v>324</v>
      </c>
      <c r="V895" t="s">
        <v>62</v>
      </c>
      <c r="W895" t="s">
        <v>62</v>
      </c>
      <c r="X895">
        <v>0</v>
      </c>
      <c r="Y895">
        <v>0</v>
      </c>
      <c r="Z895">
        <v>4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3</v>
      </c>
      <c r="AK895">
        <v>0</v>
      </c>
      <c r="AL895">
        <v>9</v>
      </c>
      <c r="AM895">
        <v>6</v>
      </c>
      <c r="AN895">
        <v>27</v>
      </c>
      <c r="AO895">
        <v>3</v>
      </c>
      <c r="AP895">
        <v>6</v>
      </c>
      <c r="AQ895">
        <v>1</v>
      </c>
      <c r="AR895" t="s">
        <v>21242</v>
      </c>
      <c r="AS895" t="s">
        <v>21243</v>
      </c>
      <c r="AT895">
        <v>0.154</v>
      </c>
      <c r="AU895" t="s">
        <v>65</v>
      </c>
      <c r="AV895">
        <v>33</v>
      </c>
      <c r="AW895">
        <v>4</v>
      </c>
      <c r="AX895" t="s">
        <v>21244</v>
      </c>
      <c r="AY895">
        <v>5.4179999999999999E-2</v>
      </c>
      <c r="AZ895">
        <v>-5.62E-3</v>
      </c>
      <c r="BA895">
        <v>2.3400000000000001E-3</v>
      </c>
      <c r="BB895">
        <v>-2.3000000000000001E-4</v>
      </c>
      <c r="BC895">
        <v>4.326E-2</v>
      </c>
      <c r="BD895">
        <v>1</v>
      </c>
      <c r="BE895" t="s">
        <v>69</v>
      </c>
      <c r="BF895">
        <v>0.23</v>
      </c>
      <c r="BG895">
        <v>0.61299999999999999</v>
      </c>
    </row>
    <row r="896" spans="1:59">
      <c r="A896">
        <v>2</v>
      </c>
      <c r="B896">
        <v>5</v>
      </c>
      <c r="C896">
        <v>2</v>
      </c>
      <c r="D896" t="s">
        <v>25022</v>
      </c>
      <c r="E896">
        <v>1143</v>
      </c>
      <c r="F896" t="s">
        <v>7188</v>
      </c>
      <c r="G896" t="s">
        <v>57</v>
      </c>
      <c r="H896">
        <v>1185001</v>
      </c>
      <c r="I896">
        <v>1185585</v>
      </c>
      <c r="J896" t="s">
        <v>116</v>
      </c>
      <c r="K896">
        <v>195</v>
      </c>
      <c r="L896" t="s">
        <v>7189</v>
      </c>
      <c r="M896">
        <v>38</v>
      </c>
      <c r="N896" t="str">
        <f>HYPERLINK("Gene1143-zp_tree_all.dnd", "Gene1143-tree")</f>
        <v>Gene1143-tree</v>
      </c>
      <c r="O896">
        <v>5</v>
      </c>
      <c r="P896">
        <v>9</v>
      </c>
      <c r="Q896">
        <v>5</v>
      </c>
      <c r="R896">
        <v>9</v>
      </c>
      <c r="S896">
        <v>0.64285999999999999</v>
      </c>
      <c r="T896" t="s">
        <v>199</v>
      </c>
      <c r="U896" t="s">
        <v>135</v>
      </c>
      <c r="V896" t="s">
        <v>62</v>
      </c>
      <c r="W896" t="s">
        <v>62</v>
      </c>
      <c r="X896">
        <v>4</v>
      </c>
      <c r="Y896">
        <v>9</v>
      </c>
      <c r="Z896">
        <v>11</v>
      </c>
      <c r="AA896">
        <v>0.45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14</v>
      </c>
      <c r="AK896">
        <v>0</v>
      </c>
      <c r="AL896">
        <v>11</v>
      </c>
      <c r="AM896">
        <v>6</v>
      </c>
      <c r="AN896">
        <v>14</v>
      </c>
      <c r="AO896">
        <v>14</v>
      </c>
      <c r="AP896">
        <v>5</v>
      </c>
      <c r="AQ896">
        <v>8</v>
      </c>
      <c r="AR896" t="s">
        <v>7190</v>
      </c>
      <c r="AS896" t="s">
        <v>7191</v>
      </c>
      <c r="AT896">
        <v>0.74299999999999999</v>
      </c>
      <c r="AU896" t="s">
        <v>65</v>
      </c>
      <c r="AV896">
        <v>19</v>
      </c>
      <c r="AW896">
        <v>22</v>
      </c>
      <c r="AX896" t="s">
        <v>7192</v>
      </c>
      <c r="AY896">
        <v>2.1839999999999998E-2</v>
      </c>
      <c r="AZ896">
        <v>-1.1000000000000001E-3</v>
      </c>
      <c r="BA896">
        <v>9.0299999999999998E-3</v>
      </c>
      <c r="BB896">
        <v>-4.4999999999999999E-4</v>
      </c>
      <c r="BC896">
        <v>0.41359000000000001</v>
      </c>
      <c r="BD896">
        <v>0.96</v>
      </c>
      <c r="BE896" t="s">
        <v>69</v>
      </c>
      <c r="BF896">
        <v>-1.196</v>
      </c>
      <c r="BG896">
        <v>-1.8759999999999999</v>
      </c>
    </row>
    <row r="897" spans="1:59">
      <c r="A897">
        <v>0</v>
      </c>
      <c r="B897">
        <v>7</v>
      </c>
      <c r="C897">
        <v>0</v>
      </c>
      <c r="D897" t="s">
        <v>25022</v>
      </c>
      <c r="E897">
        <v>576</v>
      </c>
      <c r="F897" t="s">
        <v>3705</v>
      </c>
      <c r="G897" t="s">
        <v>57</v>
      </c>
      <c r="H897">
        <v>603012</v>
      </c>
      <c r="I897">
        <v>603596</v>
      </c>
      <c r="J897" t="s">
        <v>637</v>
      </c>
      <c r="K897">
        <v>195</v>
      </c>
      <c r="L897" t="s">
        <v>108</v>
      </c>
      <c r="M897">
        <v>44</v>
      </c>
      <c r="N897" t="str">
        <f>HYPERLINK("Gene576-zp_tree_all.dnd", "Gene576-tree")</f>
        <v>Gene576-tree</v>
      </c>
      <c r="O897">
        <v>0</v>
      </c>
      <c r="P897">
        <v>31</v>
      </c>
      <c r="Q897">
        <v>0</v>
      </c>
      <c r="R897">
        <v>11</v>
      </c>
      <c r="S897">
        <v>1</v>
      </c>
      <c r="T897" t="s">
        <v>62</v>
      </c>
      <c r="U897" t="s">
        <v>2860</v>
      </c>
      <c r="V897">
        <v>4.3319999999999999</v>
      </c>
      <c r="W897" t="s">
        <v>65</v>
      </c>
      <c r="X897">
        <v>3</v>
      </c>
      <c r="Y897">
        <v>7</v>
      </c>
      <c r="Z897">
        <v>18</v>
      </c>
      <c r="AA897">
        <v>0.28000000000000003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4</v>
      </c>
      <c r="AH897">
        <v>0</v>
      </c>
      <c r="AI897">
        <v>4</v>
      </c>
      <c r="AJ897">
        <v>19</v>
      </c>
      <c r="AK897">
        <v>0.17391000000000001</v>
      </c>
      <c r="AL897">
        <v>10</v>
      </c>
      <c r="AM897">
        <v>7</v>
      </c>
      <c r="AN897">
        <v>25</v>
      </c>
      <c r="AO897">
        <v>23</v>
      </c>
      <c r="AP897">
        <v>7</v>
      </c>
      <c r="AQ897">
        <v>4</v>
      </c>
      <c r="AR897" t="s">
        <v>3706</v>
      </c>
      <c r="AS897" t="s">
        <v>3707</v>
      </c>
      <c r="AT897">
        <v>0.39500000000000002</v>
      </c>
      <c r="AU897" t="s">
        <v>65</v>
      </c>
      <c r="AV897">
        <v>32</v>
      </c>
      <c r="AW897">
        <v>27</v>
      </c>
      <c r="AX897" t="s">
        <v>3708</v>
      </c>
      <c r="AY897">
        <v>5.4800000000000001E-2</v>
      </c>
      <c r="AZ897">
        <v>-4.0899999999999999E-3</v>
      </c>
      <c r="BA897">
        <v>1.172E-2</v>
      </c>
      <c r="BB897">
        <v>-1.0399999999999999E-3</v>
      </c>
      <c r="BC897">
        <v>0.21382000000000001</v>
      </c>
      <c r="BD897">
        <v>1</v>
      </c>
      <c r="BE897" t="s">
        <v>69</v>
      </c>
      <c r="BF897">
        <v>-0.64400000000000002</v>
      </c>
      <c r="BG897">
        <v>-0.64900000000000002</v>
      </c>
    </row>
    <row r="898" spans="1:59">
      <c r="A898">
        <v>0</v>
      </c>
      <c r="B898">
        <v>4</v>
      </c>
      <c r="C898">
        <v>0</v>
      </c>
      <c r="D898" t="s">
        <v>25022</v>
      </c>
      <c r="E898">
        <v>3841</v>
      </c>
      <c r="F898" t="s">
        <v>22523</v>
      </c>
      <c r="G898" t="s">
        <v>62</v>
      </c>
      <c r="H898">
        <v>3802408</v>
      </c>
      <c r="I898">
        <v>3802992</v>
      </c>
      <c r="J898" t="s">
        <v>22524</v>
      </c>
      <c r="K898">
        <v>195</v>
      </c>
      <c r="L898" t="s">
        <v>108</v>
      </c>
      <c r="M898">
        <v>44</v>
      </c>
      <c r="N898" t="str">
        <f>HYPERLINK("Gene3841-zp_tree_all.dnd", "Gene3841-tree")</f>
        <v>Gene3841-tree</v>
      </c>
      <c r="O898">
        <v>10</v>
      </c>
      <c r="P898">
        <v>3</v>
      </c>
      <c r="Q898">
        <v>10</v>
      </c>
      <c r="R898">
        <v>3</v>
      </c>
      <c r="S898">
        <v>0.23077</v>
      </c>
      <c r="T898" t="s">
        <v>117</v>
      </c>
      <c r="U898" t="s">
        <v>324</v>
      </c>
      <c r="V898" t="s">
        <v>62</v>
      </c>
      <c r="W898" t="s">
        <v>62</v>
      </c>
      <c r="X898">
        <v>2</v>
      </c>
      <c r="Y898">
        <v>4</v>
      </c>
      <c r="Z898">
        <v>3</v>
      </c>
      <c r="AA898">
        <v>0.57142999999999999</v>
      </c>
      <c r="AB898">
        <v>2</v>
      </c>
      <c r="AC898">
        <v>0</v>
      </c>
      <c r="AD898">
        <v>2</v>
      </c>
      <c r="AE898">
        <v>1</v>
      </c>
      <c r="AF898">
        <v>0.66666999999999998</v>
      </c>
      <c r="AG898">
        <v>0</v>
      </c>
      <c r="AH898">
        <v>0</v>
      </c>
      <c r="AI898">
        <v>0</v>
      </c>
      <c r="AJ898">
        <v>3</v>
      </c>
      <c r="AK898">
        <v>0</v>
      </c>
      <c r="AL898">
        <v>8</v>
      </c>
      <c r="AM898">
        <v>6</v>
      </c>
      <c r="AN898">
        <v>10</v>
      </c>
      <c r="AO898">
        <v>3</v>
      </c>
      <c r="AP898">
        <v>3</v>
      </c>
      <c r="AQ898">
        <v>4</v>
      </c>
      <c r="AR898" t="s">
        <v>22525</v>
      </c>
      <c r="AS898" t="s">
        <v>22526</v>
      </c>
      <c r="AT898">
        <v>0.66200000000000003</v>
      </c>
      <c r="AU898" t="s">
        <v>65</v>
      </c>
      <c r="AV898">
        <v>13</v>
      </c>
      <c r="AW898">
        <v>7</v>
      </c>
      <c r="AX898" t="s">
        <v>22527</v>
      </c>
      <c r="AY898">
        <v>2.1399999999999999E-2</v>
      </c>
      <c r="AZ898">
        <v>-1.4E-3</v>
      </c>
      <c r="BA898">
        <v>2.9399999999999999E-3</v>
      </c>
      <c r="BB898">
        <v>-2.5000000000000001E-4</v>
      </c>
      <c r="BC898">
        <v>0.13747999999999999</v>
      </c>
      <c r="BD898">
        <v>0.99</v>
      </c>
      <c r="BE898" t="s">
        <v>69</v>
      </c>
      <c r="BF898">
        <v>-0.88900000000000001</v>
      </c>
      <c r="BG898">
        <v>-2.2130000000000001</v>
      </c>
    </row>
    <row r="899" spans="1:59">
      <c r="A899">
        <v>0</v>
      </c>
      <c r="B899">
        <v>2</v>
      </c>
      <c r="C899">
        <v>0</v>
      </c>
      <c r="D899" t="s">
        <v>25022</v>
      </c>
      <c r="E899">
        <v>685</v>
      </c>
      <c r="F899" t="s">
        <v>4278</v>
      </c>
      <c r="G899" t="s">
        <v>57</v>
      </c>
      <c r="H899">
        <v>708010</v>
      </c>
      <c r="I899">
        <v>708594</v>
      </c>
      <c r="J899" t="s">
        <v>4279</v>
      </c>
      <c r="K899">
        <v>195</v>
      </c>
      <c r="L899" t="s">
        <v>108</v>
      </c>
      <c r="M899">
        <v>44</v>
      </c>
      <c r="N899" t="str">
        <f>HYPERLINK("Gene685-zp_tree_all.dnd", "Gene685-tree")</f>
        <v>Gene685-tree</v>
      </c>
      <c r="O899">
        <v>9</v>
      </c>
      <c r="P899">
        <v>6</v>
      </c>
      <c r="Q899">
        <v>9</v>
      </c>
      <c r="R899">
        <v>6</v>
      </c>
      <c r="S899">
        <v>0.4</v>
      </c>
      <c r="T899" t="s">
        <v>135</v>
      </c>
      <c r="U899" t="s">
        <v>90</v>
      </c>
      <c r="V899" t="s">
        <v>62</v>
      </c>
      <c r="W899" t="s">
        <v>62</v>
      </c>
      <c r="X899">
        <v>1</v>
      </c>
      <c r="Y899">
        <v>2</v>
      </c>
      <c r="Z899">
        <v>6</v>
      </c>
      <c r="AA899">
        <v>0.25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6</v>
      </c>
      <c r="AK899">
        <v>0</v>
      </c>
      <c r="AL899">
        <v>12</v>
      </c>
      <c r="AM899">
        <v>10</v>
      </c>
      <c r="AN899">
        <v>27</v>
      </c>
      <c r="AO899">
        <v>6</v>
      </c>
      <c r="AP899">
        <v>14</v>
      </c>
      <c r="AQ899">
        <v>2</v>
      </c>
      <c r="AR899" t="s">
        <v>4280</v>
      </c>
      <c r="AS899" t="s">
        <v>4281</v>
      </c>
      <c r="AT899">
        <v>0.36599999999999999</v>
      </c>
      <c r="AU899" t="s">
        <v>65</v>
      </c>
      <c r="AV899">
        <v>41</v>
      </c>
      <c r="AW899">
        <v>8</v>
      </c>
      <c r="AX899" t="s">
        <v>4282</v>
      </c>
      <c r="AY899">
        <v>5.604E-2</v>
      </c>
      <c r="AZ899">
        <v>-1.8E-3</v>
      </c>
      <c r="BA899">
        <v>3.1700000000000001E-3</v>
      </c>
      <c r="BB899">
        <v>-1.9000000000000001E-4</v>
      </c>
      <c r="BC899">
        <v>5.663E-2</v>
      </c>
      <c r="BD899">
        <v>1</v>
      </c>
      <c r="BE899" t="s">
        <v>69</v>
      </c>
      <c r="BF899">
        <v>-0.39900000000000002</v>
      </c>
      <c r="BG899">
        <v>-0.27800000000000002</v>
      </c>
    </row>
    <row r="900" spans="1:59">
      <c r="A900">
        <v>0</v>
      </c>
      <c r="B900">
        <v>2</v>
      </c>
      <c r="C900">
        <v>0</v>
      </c>
      <c r="D900" t="s">
        <v>25022</v>
      </c>
      <c r="E900">
        <v>2936</v>
      </c>
      <c r="F900" t="s">
        <v>16918</v>
      </c>
      <c r="G900" t="s">
        <v>62</v>
      </c>
      <c r="H900">
        <v>2879885</v>
      </c>
      <c r="I900">
        <v>2880469</v>
      </c>
      <c r="J900" t="s">
        <v>16919</v>
      </c>
      <c r="K900">
        <v>195</v>
      </c>
      <c r="L900" t="s">
        <v>108</v>
      </c>
      <c r="M900">
        <v>44</v>
      </c>
      <c r="N900" t="str">
        <f>HYPERLINK("Gene2936-zp_tree_all.dnd", "Gene2936-tree")</f>
        <v>Gene2936-tree</v>
      </c>
      <c r="O900">
        <v>9</v>
      </c>
      <c r="P900">
        <v>3</v>
      </c>
      <c r="Q900">
        <v>9</v>
      </c>
      <c r="R900">
        <v>3</v>
      </c>
      <c r="S900">
        <v>0.25</v>
      </c>
      <c r="T900" t="s">
        <v>135</v>
      </c>
      <c r="U900" t="s">
        <v>324</v>
      </c>
      <c r="V900" t="s">
        <v>62</v>
      </c>
      <c r="W900" t="s">
        <v>62</v>
      </c>
      <c r="X900">
        <v>1</v>
      </c>
      <c r="Y900">
        <v>2</v>
      </c>
      <c r="Z900">
        <v>1</v>
      </c>
      <c r="AA900">
        <v>0.66666999999999998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</v>
      </c>
      <c r="AH900">
        <v>0</v>
      </c>
      <c r="AI900">
        <v>2</v>
      </c>
      <c r="AJ900">
        <v>1</v>
      </c>
      <c r="AK900">
        <v>0.66666999999999998</v>
      </c>
      <c r="AL900">
        <v>10</v>
      </c>
      <c r="AM900">
        <v>4</v>
      </c>
      <c r="AN900">
        <v>35</v>
      </c>
      <c r="AO900">
        <v>3</v>
      </c>
      <c r="AP900">
        <v>8</v>
      </c>
      <c r="AQ900">
        <v>0</v>
      </c>
      <c r="AR900" t="s">
        <v>16920</v>
      </c>
      <c r="AS900" t="s">
        <v>193</v>
      </c>
      <c r="AT900">
        <v>0.78500000000000003</v>
      </c>
      <c r="AU900" t="s">
        <v>65</v>
      </c>
      <c r="AV900">
        <v>43</v>
      </c>
      <c r="AW900">
        <v>3</v>
      </c>
      <c r="AX900" t="s">
        <v>16921</v>
      </c>
      <c r="AY900">
        <v>6.4759999999999998E-2</v>
      </c>
      <c r="AZ900">
        <v>-6.2300000000000003E-3</v>
      </c>
      <c r="BA900">
        <v>1.0499999999999999E-3</v>
      </c>
      <c r="BB900">
        <v>-1.4999999999999999E-4</v>
      </c>
      <c r="BC900">
        <v>1.6150000000000001E-2</v>
      </c>
      <c r="BD900">
        <v>1</v>
      </c>
      <c r="BE900" t="s">
        <v>69</v>
      </c>
      <c r="BF900">
        <v>-1.1719999999999999</v>
      </c>
      <c r="BG900">
        <v>-1.2370000000000001</v>
      </c>
    </row>
    <row r="901" spans="1:59">
      <c r="A901">
        <v>0</v>
      </c>
      <c r="B901">
        <v>0</v>
      </c>
      <c r="C901">
        <v>0</v>
      </c>
      <c r="D901" t="s">
        <v>25022</v>
      </c>
      <c r="E901">
        <v>12</v>
      </c>
      <c r="F901" t="s">
        <v>150</v>
      </c>
      <c r="G901" t="s">
        <v>57</v>
      </c>
      <c r="H901">
        <v>19968</v>
      </c>
      <c r="I901">
        <v>20555</v>
      </c>
      <c r="J901" t="s">
        <v>151</v>
      </c>
      <c r="K901">
        <v>196</v>
      </c>
      <c r="L901" t="s">
        <v>108</v>
      </c>
      <c r="M901">
        <v>44</v>
      </c>
      <c r="N901" t="str">
        <f>HYPERLINK("Gene12-zp_tree_all.dnd", "Gene12-tree")</f>
        <v>Gene12-tree</v>
      </c>
      <c r="O901">
        <v>7</v>
      </c>
      <c r="P901">
        <v>6</v>
      </c>
      <c r="Q901">
        <v>7</v>
      </c>
      <c r="R901">
        <v>6</v>
      </c>
      <c r="S901">
        <v>0.46154000000000001</v>
      </c>
      <c r="T901" t="s">
        <v>152</v>
      </c>
      <c r="U901" t="s">
        <v>90</v>
      </c>
      <c r="V901" t="s">
        <v>62</v>
      </c>
      <c r="W901" t="s">
        <v>62</v>
      </c>
      <c r="X901">
        <v>0</v>
      </c>
      <c r="Y901">
        <v>0</v>
      </c>
      <c r="Z901">
        <v>7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7</v>
      </c>
      <c r="AK901">
        <v>0</v>
      </c>
      <c r="AL901">
        <v>8</v>
      </c>
      <c r="AM901">
        <v>6</v>
      </c>
      <c r="AN901">
        <v>8</v>
      </c>
      <c r="AO901">
        <v>5</v>
      </c>
      <c r="AP901">
        <v>8</v>
      </c>
      <c r="AQ901">
        <v>2</v>
      </c>
      <c r="AR901" t="s">
        <v>153</v>
      </c>
      <c r="AS901" t="s">
        <v>154</v>
      </c>
      <c r="AT901">
        <v>0.67400000000000004</v>
      </c>
      <c r="AU901" t="s">
        <v>65</v>
      </c>
      <c r="AV901">
        <v>16</v>
      </c>
      <c r="AW901">
        <v>7</v>
      </c>
      <c r="AX901" t="s">
        <v>155</v>
      </c>
      <c r="AY901">
        <v>2.4250000000000001E-2</v>
      </c>
      <c r="AZ901">
        <v>-1.01E-3</v>
      </c>
      <c r="BA901">
        <v>2.97E-3</v>
      </c>
      <c r="BB901">
        <v>-2.9E-4</v>
      </c>
      <c r="BC901">
        <v>0.12255000000000001</v>
      </c>
      <c r="BD901">
        <v>1</v>
      </c>
      <c r="BE901" t="s">
        <v>69</v>
      </c>
      <c r="BF901">
        <v>-0.84499999999999997</v>
      </c>
      <c r="BG901">
        <v>0.09</v>
      </c>
    </row>
    <row r="902" spans="1:59">
      <c r="A902">
        <v>0</v>
      </c>
      <c r="B902">
        <v>2</v>
      </c>
      <c r="C902">
        <v>2</v>
      </c>
      <c r="D902" t="s">
        <v>25022</v>
      </c>
      <c r="E902">
        <v>2303</v>
      </c>
      <c r="F902" t="s">
        <v>13346</v>
      </c>
      <c r="G902" t="s">
        <v>62</v>
      </c>
      <c r="H902">
        <v>2323012</v>
      </c>
      <c r="I902">
        <v>2323599</v>
      </c>
      <c r="J902" t="s">
        <v>13347</v>
      </c>
      <c r="K902">
        <v>196</v>
      </c>
      <c r="L902" t="s">
        <v>108</v>
      </c>
      <c r="M902">
        <v>44</v>
      </c>
      <c r="N902" t="str">
        <f>HYPERLINK("Gene2303-zp_tree_all.dnd", "Gene2303-tree")</f>
        <v>Gene2303-tree</v>
      </c>
      <c r="O902">
        <v>7</v>
      </c>
      <c r="P902">
        <v>4</v>
      </c>
      <c r="Q902">
        <v>7</v>
      </c>
      <c r="R902">
        <v>4</v>
      </c>
      <c r="S902">
        <v>0.36364000000000002</v>
      </c>
      <c r="T902" t="s">
        <v>152</v>
      </c>
      <c r="U902" t="s">
        <v>61</v>
      </c>
      <c r="V902" t="s">
        <v>62</v>
      </c>
      <c r="W902" t="s">
        <v>62</v>
      </c>
      <c r="X902">
        <v>2</v>
      </c>
      <c r="Y902">
        <v>4</v>
      </c>
      <c r="Z902">
        <v>4</v>
      </c>
      <c r="AA902">
        <v>0.5</v>
      </c>
      <c r="AB902">
        <v>0</v>
      </c>
      <c r="AC902">
        <v>0</v>
      </c>
      <c r="AD902">
        <v>0</v>
      </c>
      <c r="AE902">
        <v>3</v>
      </c>
      <c r="AF902">
        <v>0</v>
      </c>
      <c r="AG902">
        <v>0</v>
      </c>
      <c r="AH902">
        <v>0</v>
      </c>
      <c r="AI902">
        <v>0</v>
      </c>
      <c r="AJ902">
        <v>5</v>
      </c>
      <c r="AK902">
        <v>0</v>
      </c>
      <c r="AL902">
        <v>7</v>
      </c>
      <c r="AM902">
        <v>7</v>
      </c>
      <c r="AN902">
        <v>12</v>
      </c>
      <c r="AO902">
        <v>5</v>
      </c>
      <c r="AP902">
        <v>11</v>
      </c>
      <c r="AQ902">
        <v>3</v>
      </c>
      <c r="AR902" t="s">
        <v>13348</v>
      </c>
      <c r="AS902" t="s">
        <v>13349</v>
      </c>
      <c r="AT902">
        <v>0.34499999999999997</v>
      </c>
      <c r="AU902" t="s">
        <v>65</v>
      </c>
      <c r="AV902">
        <v>23</v>
      </c>
      <c r="AW902">
        <v>8</v>
      </c>
      <c r="AX902" t="s">
        <v>13350</v>
      </c>
      <c r="AY902">
        <v>4.5589999999999999E-2</v>
      </c>
      <c r="AZ902">
        <v>-2.8700000000000002E-3</v>
      </c>
      <c r="BA902">
        <v>4.2399999999999998E-3</v>
      </c>
      <c r="BB902">
        <v>-2.5999999999999998E-4</v>
      </c>
      <c r="BC902">
        <v>9.2960000000000001E-2</v>
      </c>
      <c r="BD902">
        <v>1</v>
      </c>
      <c r="BE902" t="s">
        <v>69</v>
      </c>
      <c r="BF902">
        <v>0.46700000000000003</v>
      </c>
      <c r="BG902">
        <v>-1.2250000000000001</v>
      </c>
    </row>
    <row r="903" spans="1:59">
      <c r="A903">
        <v>0</v>
      </c>
      <c r="B903">
        <v>5</v>
      </c>
      <c r="C903">
        <v>0</v>
      </c>
      <c r="D903" t="s">
        <v>25022</v>
      </c>
      <c r="E903">
        <v>2020</v>
      </c>
      <c r="F903" t="s">
        <v>12566</v>
      </c>
      <c r="G903" t="s">
        <v>62</v>
      </c>
      <c r="H903">
        <v>2114745</v>
      </c>
      <c r="I903">
        <v>2115332</v>
      </c>
      <c r="J903" t="s">
        <v>12567</v>
      </c>
      <c r="K903">
        <v>196</v>
      </c>
      <c r="L903" t="s">
        <v>108</v>
      </c>
      <c r="M903">
        <v>44</v>
      </c>
      <c r="N903" t="str">
        <f>HYPERLINK("Gene2020-zp_tree_all.dnd", "Gene2020-tree")</f>
        <v>Gene2020-tree</v>
      </c>
      <c r="O903">
        <v>8</v>
      </c>
      <c r="P903">
        <v>6</v>
      </c>
      <c r="Q903">
        <v>8</v>
      </c>
      <c r="R903">
        <v>6</v>
      </c>
      <c r="S903">
        <v>0.42857000000000001</v>
      </c>
      <c r="T903" t="s">
        <v>136</v>
      </c>
      <c r="U903" t="s">
        <v>90</v>
      </c>
      <c r="V903" t="s">
        <v>62</v>
      </c>
      <c r="W903" t="s">
        <v>62</v>
      </c>
      <c r="X903">
        <v>2</v>
      </c>
      <c r="Y903">
        <v>5</v>
      </c>
      <c r="Z903">
        <v>5</v>
      </c>
      <c r="AA903">
        <v>0.5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3</v>
      </c>
      <c r="AH903">
        <v>0</v>
      </c>
      <c r="AI903">
        <v>3</v>
      </c>
      <c r="AJ903">
        <v>6</v>
      </c>
      <c r="AK903">
        <v>0.33333000000000002</v>
      </c>
      <c r="AL903">
        <v>12</v>
      </c>
      <c r="AM903">
        <v>7</v>
      </c>
      <c r="AN903">
        <v>19</v>
      </c>
      <c r="AO903">
        <v>9</v>
      </c>
      <c r="AP903">
        <v>8</v>
      </c>
      <c r="AQ903">
        <v>1</v>
      </c>
      <c r="AR903" t="s">
        <v>12568</v>
      </c>
      <c r="AS903" t="s">
        <v>12569</v>
      </c>
      <c r="AT903">
        <v>0.95699999999999996</v>
      </c>
      <c r="AU903" t="s">
        <v>65</v>
      </c>
      <c r="AV903">
        <v>27</v>
      </c>
      <c r="AW903">
        <v>10</v>
      </c>
      <c r="AX903" t="s">
        <v>12570</v>
      </c>
      <c r="AY903">
        <v>4.1739999999999999E-2</v>
      </c>
      <c r="AZ903">
        <v>-1.97E-3</v>
      </c>
      <c r="BA903">
        <v>3.5899999999999999E-3</v>
      </c>
      <c r="BB903">
        <v>-2.5000000000000001E-4</v>
      </c>
      <c r="BC903">
        <v>8.5989999999999997E-2</v>
      </c>
      <c r="BD903">
        <v>1</v>
      </c>
      <c r="BE903" t="s">
        <v>69</v>
      </c>
      <c r="BF903">
        <v>-1.3839999999999999</v>
      </c>
      <c r="BG903">
        <v>-1.2649999999999999</v>
      </c>
    </row>
    <row r="904" spans="1:59">
      <c r="A904">
        <v>0</v>
      </c>
      <c r="B904">
        <v>2</v>
      </c>
      <c r="C904">
        <v>0</v>
      </c>
      <c r="D904" t="s">
        <v>25022</v>
      </c>
      <c r="E904">
        <v>4000</v>
      </c>
      <c r="F904" t="s">
        <v>23523</v>
      </c>
      <c r="G904" t="s">
        <v>62</v>
      </c>
      <c r="H904">
        <v>3964281</v>
      </c>
      <c r="I904">
        <v>3964868</v>
      </c>
      <c r="J904" t="s">
        <v>23524</v>
      </c>
      <c r="K904">
        <v>196</v>
      </c>
      <c r="L904" t="s">
        <v>108</v>
      </c>
      <c r="M904">
        <v>44</v>
      </c>
      <c r="N904" t="str">
        <f>HYPERLINK("Gene4000-zp_tree_all.dnd", "Gene4000-tree")</f>
        <v>Gene4000-tree</v>
      </c>
      <c r="O904">
        <v>6</v>
      </c>
      <c r="P904">
        <v>5</v>
      </c>
      <c r="Q904">
        <v>6</v>
      </c>
      <c r="R904">
        <v>5</v>
      </c>
      <c r="S904">
        <v>0.45455000000000001</v>
      </c>
      <c r="T904" t="s">
        <v>90</v>
      </c>
      <c r="U904" t="s">
        <v>199</v>
      </c>
      <c r="V904" t="s">
        <v>62</v>
      </c>
      <c r="W904" t="s">
        <v>62</v>
      </c>
      <c r="X904">
        <v>1</v>
      </c>
      <c r="Y904">
        <v>2</v>
      </c>
      <c r="Z904">
        <v>3</v>
      </c>
      <c r="AA904">
        <v>0.4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</v>
      </c>
      <c r="AH904">
        <v>0</v>
      </c>
      <c r="AI904">
        <v>2</v>
      </c>
      <c r="AJ904">
        <v>3</v>
      </c>
      <c r="AK904">
        <v>0.4</v>
      </c>
      <c r="AL904">
        <v>8</v>
      </c>
      <c r="AM904">
        <v>6</v>
      </c>
      <c r="AN904">
        <v>19</v>
      </c>
      <c r="AO904">
        <v>5</v>
      </c>
      <c r="AP904">
        <v>9</v>
      </c>
      <c r="AQ904">
        <v>0</v>
      </c>
      <c r="AR904" t="s">
        <v>23525</v>
      </c>
      <c r="AS904" t="s">
        <v>193</v>
      </c>
      <c r="AT904">
        <v>2.8170000000000002</v>
      </c>
      <c r="AU904" t="s">
        <v>267</v>
      </c>
      <c r="AV904">
        <v>28</v>
      </c>
      <c r="AW904">
        <v>5</v>
      </c>
      <c r="AX904" t="s">
        <v>23526</v>
      </c>
      <c r="AY904">
        <v>4.6769999999999999E-2</v>
      </c>
      <c r="AZ904">
        <v>-2.2300000000000002E-3</v>
      </c>
      <c r="BA904">
        <v>1.97E-3</v>
      </c>
      <c r="BB904">
        <v>-2.0000000000000001E-4</v>
      </c>
      <c r="BC904">
        <v>4.2119999999999998E-2</v>
      </c>
      <c r="BD904">
        <v>1</v>
      </c>
      <c r="BE904" t="s">
        <v>69</v>
      </c>
      <c r="BF904">
        <v>-0.73199999999999998</v>
      </c>
      <c r="BG904">
        <v>-1.4670000000000001</v>
      </c>
    </row>
    <row r="905" spans="1:59">
      <c r="A905">
        <v>0</v>
      </c>
      <c r="B905">
        <v>0</v>
      </c>
      <c r="C905">
        <v>0</v>
      </c>
      <c r="D905" t="s">
        <v>25022</v>
      </c>
      <c r="E905">
        <v>2413</v>
      </c>
      <c r="F905" t="s">
        <v>14059</v>
      </c>
      <c r="G905" t="s">
        <v>62</v>
      </c>
      <c r="H905">
        <v>2422808</v>
      </c>
      <c r="I905">
        <v>2423395</v>
      </c>
      <c r="J905" t="s">
        <v>14052</v>
      </c>
      <c r="K905">
        <v>196</v>
      </c>
      <c r="L905" t="s">
        <v>108</v>
      </c>
      <c r="M905">
        <v>44</v>
      </c>
      <c r="N905" t="str">
        <f>HYPERLINK("Gene2413-zp_tree_all.dnd", "Gene2413-tree")</f>
        <v>Gene2413-tree</v>
      </c>
      <c r="O905">
        <v>12</v>
      </c>
      <c r="P905">
        <v>1</v>
      </c>
      <c r="Q905">
        <v>12</v>
      </c>
      <c r="R905">
        <v>1</v>
      </c>
      <c r="S905">
        <v>7.6920000000000002E-2</v>
      </c>
      <c r="T905" t="s">
        <v>109</v>
      </c>
      <c r="U905" t="s">
        <v>175</v>
      </c>
      <c r="V905" t="s">
        <v>62</v>
      </c>
      <c r="W905" t="s">
        <v>62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7</v>
      </c>
      <c r="AM905">
        <v>5</v>
      </c>
      <c r="AN905">
        <v>16</v>
      </c>
      <c r="AO905">
        <v>1</v>
      </c>
      <c r="AP905">
        <v>6</v>
      </c>
      <c r="AQ905">
        <v>0</v>
      </c>
      <c r="AR905" t="s">
        <v>14060</v>
      </c>
      <c r="AS905" t="s">
        <v>193</v>
      </c>
      <c r="AT905">
        <v>0.41899999999999998</v>
      </c>
      <c r="AU905" t="s">
        <v>65</v>
      </c>
      <c r="AV905">
        <v>22</v>
      </c>
      <c r="AW905">
        <v>1</v>
      </c>
      <c r="AX905" t="s">
        <v>14061</v>
      </c>
      <c r="AY905">
        <v>3.4700000000000002E-2</v>
      </c>
      <c r="AZ905">
        <v>-1.9400000000000001E-3</v>
      </c>
      <c r="BA905">
        <v>3.4000000000000002E-4</v>
      </c>
      <c r="BB905">
        <v>-9.0000000000000006E-5</v>
      </c>
      <c r="BC905">
        <v>9.8600000000000007E-3</v>
      </c>
      <c r="BD905">
        <v>1</v>
      </c>
      <c r="BE905" t="s">
        <v>69</v>
      </c>
      <c r="BF905">
        <v>-0.89</v>
      </c>
      <c r="BG905">
        <v>-0.81599999999999995</v>
      </c>
    </row>
    <row r="906" spans="1:59">
      <c r="A906">
        <v>0</v>
      </c>
      <c r="B906">
        <v>5</v>
      </c>
      <c r="C906">
        <v>2</v>
      </c>
      <c r="D906" t="s">
        <v>25022</v>
      </c>
      <c r="E906">
        <v>3022</v>
      </c>
      <c r="F906" t="s">
        <v>17465</v>
      </c>
      <c r="G906" t="s">
        <v>62</v>
      </c>
      <c r="H906">
        <v>2970925</v>
      </c>
      <c r="I906">
        <v>2971515</v>
      </c>
      <c r="J906" t="s">
        <v>17466</v>
      </c>
      <c r="K906">
        <v>197</v>
      </c>
      <c r="L906" t="s">
        <v>108</v>
      </c>
      <c r="M906">
        <v>44</v>
      </c>
      <c r="N906" t="str">
        <f>HYPERLINK("Gene3022-zp_tree_all.dnd", "Gene3022-tree")</f>
        <v>Gene3022-tree</v>
      </c>
      <c r="O906">
        <v>2</v>
      </c>
      <c r="P906">
        <v>9</v>
      </c>
      <c r="Q906">
        <v>2</v>
      </c>
      <c r="R906">
        <v>9</v>
      </c>
      <c r="S906">
        <v>0.81818000000000002</v>
      </c>
      <c r="T906" t="s">
        <v>81</v>
      </c>
      <c r="U906" t="s">
        <v>135</v>
      </c>
      <c r="V906" t="s">
        <v>62</v>
      </c>
      <c r="W906" t="s">
        <v>62</v>
      </c>
      <c r="X906">
        <v>3</v>
      </c>
      <c r="Y906">
        <v>7</v>
      </c>
      <c r="Z906">
        <v>10</v>
      </c>
      <c r="AA906">
        <v>0.41176000000000001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2</v>
      </c>
      <c r="AI906">
        <v>2</v>
      </c>
      <c r="AJ906">
        <v>10</v>
      </c>
      <c r="AK906">
        <v>0.16667000000000001</v>
      </c>
      <c r="AL906">
        <v>10</v>
      </c>
      <c r="AM906">
        <v>6</v>
      </c>
      <c r="AN906">
        <v>9</v>
      </c>
      <c r="AO906">
        <v>12</v>
      </c>
      <c r="AP906">
        <v>9</v>
      </c>
      <c r="AQ906">
        <v>5</v>
      </c>
      <c r="AR906" t="s">
        <v>17467</v>
      </c>
      <c r="AS906" t="s">
        <v>17468</v>
      </c>
      <c r="AT906">
        <v>0.82299999999999995</v>
      </c>
      <c r="AU906" t="s">
        <v>65</v>
      </c>
      <c r="AV906">
        <v>18</v>
      </c>
      <c r="AW906">
        <v>17</v>
      </c>
      <c r="AX906" t="s">
        <v>17469</v>
      </c>
      <c r="AY906">
        <v>3.3599999999999998E-2</v>
      </c>
      <c r="AZ906">
        <v>-3.3400000000000001E-3</v>
      </c>
      <c r="BA906">
        <v>7.1199999999999996E-3</v>
      </c>
      <c r="BB906">
        <v>-4.4000000000000002E-4</v>
      </c>
      <c r="BC906">
        <v>0.21199000000000001</v>
      </c>
      <c r="BD906">
        <v>1</v>
      </c>
      <c r="BE906" t="s">
        <v>69</v>
      </c>
      <c r="BF906">
        <v>-0.98</v>
      </c>
      <c r="BG906">
        <v>-1.363</v>
      </c>
    </row>
    <row r="907" spans="1:59">
      <c r="A907">
        <v>0</v>
      </c>
      <c r="B907">
        <v>11</v>
      </c>
      <c r="C907">
        <v>0</v>
      </c>
      <c r="D907" t="s">
        <v>25022</v>
      </c>
      <c r="E907">
        <v>533</v>
      </c>
      <c r="F907" t="s">
        <v>3439</v>
      </c>
      <c r="G907" t="s">
        <v>57</v>
      </c>
      <c r="H907">
        <v>568345</v>
      </c>
      <c r="I907">
        <v>568935</v>
      </c>
      <c r="J907" t="s">
        <v>288</v>
      </c>
      <c r="K907">
        <v>197</v>
      </c>
      <c r="L907" t="s">
        <v>108</v>
      </c>
      <c r="M907">
        <v>44</v>
      </c>
      <c r="N907" t="str">
        <f>HYPERLINK("Gene533-zp_tree_all.dnd", "Gene533-tree")</f>
        <v>Gene533-tree</v>
      </c>
      <c r="O907">
        <v>3</v>
      </c>
      <c r="P907">
        <v>9</v>
      </c>
      <c r="Q907">
        <v>3</v>
      </c>
      <c r="R907">
        <v>9</v>
      </c>
      <c r="S907">
        <v>0.75</v>
      </c>
      <c r="T907" t="s">
        <v>324</v>
      </c>
      <c r="U907" t="s">
        <v>135</v>
      </c>
      <c r="V907" t="s">
        <v>62</v>
      </c>
      <c r="W907" t="s">
        <v>62</v>
      </c>
      <c r="X907">
        <v>5</v>
      </c>
      <c r="Y907">
        <v>11</v>
      </c>
      <c r="Z907">
        <v>8</v>
      </c>
      <c r="AA907">
        <v>0.57894999999999996</v>
      </c>
      <c r="AB907">
        <v>0</v>
      </c>
      <c r="AC907">
        <v>0</v>
      </c>
      <c r="AD907">
        <v>0</v>
      </c>
      <c r="AE907">
        <v>2</v>
      </c>
      <c r="AF907">
        <v>0</v>
      </c>
      <c r="AG907">
        <v>2</v>
      </c>
      <c r="AH907">
        <v>0</v>
      </c>
      <c r="AI907">
        <v>2</v>
      </c>
      <c r="AJ907">
        <v>9</v>
      </c>
      <c r="AK907">
        <v>0.18182000000000001</v>
      </c>
      <c r="AL907">
        <v>9</v>
      </c>
      <c r="AM907">
        <v>7</v>
      </c>
      <c r="AN907">
        <v>15</v>
      </c>
      <c r="AO907">
        <v>10</v>
      </c>
      <c r="AP907">
        <v>14</v>
      </c>
      <c r="AQ907">
        <v>9</v>
      </c>
      <c r="AR907" t="s">
        <v>3440</v>
      </c>
      <c r="AS907" t="s">
        <v>3441</v>
      </c>
      <c r="AT907">
        <v>6.8000000000000005E-2</v>
      </c>
      <c r="AU907" t="s">
        <v>65</v>
      </c>
      <c r="AV907">
        <v>29</v>
      </c>
      <c r="AW907">
        <v>19</v>
      </c>
      <c r="AX907" t="s">
        <v>3442</v>
      </c>
      <c r="AY907">
        <v>5.185E-2</v>
      </c>
      <c r="AZ907">
        <v>-3.6600000000000001E-3</v>
      </c>
      <c r="BA907">
        <v>9.3699999999999999E-3</v>
      </c>
      <c r="BB907">
        <v>-5.0000000000000001E-4</v>
      </c>
      <c r="BC907">
        <v>0.18073</v>
      </c>
      <c r="BD907">
        <v>1</v>
      </c>
      <c r="BE907" t="s">
        <v>69</v>
      </c>
      <c r="BF907">
        <v>1.325</v>
      </c>
      <c r="BG907">
        <v>-0.115</v>
      </c>
    </row>
    <row r="908" spans="1:59">
      <c r="A908">
        <v>0</v>
      </c>
      <c r="B908">
        <v>0</v>
      </c>
      <c r="C908">
        <v>0</v>
      </c>
      <c r="D908" t="s">
        <v>25022</v>
      </c>
      <c r="E908">
        <v>542</v>
      </c>
      <c r="F908" t="s">
        <v>3497</v>
      </c>
      <c r="G908" t="s">
        <v>57</v>
      </c>
      <c r="H908">
        <v>576209</v>
      </c>
      <c r="I908">
        <v>576799</v>
      </c>
      <c r="J908" t="s">
        <v>3498</v>
      </c>
      <c r="K908">
        <v>197</v>
      </c>
      <c r="L908" t="s">
        <v>3492</v>
      </c>
      <c r="M908">
        <v>31</v>
      </c>
      <c r="N908" t="str">
        <f>HYPERLINK("Gene542-zp_tree_all.dnd", "Gene542-tree")</f>
        <v>Gene542-tree</v>
      </c>
      <c r="O908">
        <v>3</v>
      </c>
      <c r="P908">
        <v>24</v>
      </c>
      <c r="Q908">
        <v>3</v>
      </c>
      <c r="R908">
        <v>4</v>
      </c>
      <c r="S908">
        <v>0.57142999999999999</v>
      </c>
      <c r="T908" t="s">
        <v>324</v>
      </c>
      <c r="U908" t="s">
        <v>1495</v>
      </c>
      <c r="V908">
        <v>3.8879999999999999</v>
      </c>
      <c r="W908" t="s">
        <v>65</v>
      </c>
      <c r="X908">
        <v>0</v>
      </c>
      <c r="Y908">
        <v>0</v>
      </c>
      <c r="Z908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4</v>
      </c>
      <c r="AK908">
        <v>0</v>
      </c>
      <c r="AL908">
        <v>5</v>
      </c>
      <c r="AM908">
        <v>3</v>
      </c>
      <c r="AN908">
        <v>4</v>
      </c>
      <c r="AO908">
        <v>4</v>
      </c>
      <c r="AP908">
        <v>5</v>
      </c>
      <c r="AQ908">
        <v>0</v>
      </c>
      <c r="AR908" t="s">
        <v>3499</v>
      </c>
      <c r="AS908" t="s">
        <v>193</v>
      </c>
      <c r="AT908">
        <v>0.93799999999999994</v>
      </c>
      <c r="AU908" t="s">
        <v>65</v>
      </c>
      <c r="AV908">
        <v>9</v>
      </c>
      <c r="AW908">
        <v>4</v>
      </c>
      <c r="AX908" t="s">
        <v>3500</v>
      </c>
      <c r="AY908">
        <v>2.631E-2</v>
      </c>
      <c r="AZ908">
        <v>-2.9099999999999998E-3</v>
      </c>
      <c r="BA908">
        <v>2.5000000000000001E-3</v>
      </c>
      <c r="BB908">
        <v>-3.1E-4</v>
      </c>
      <c r="BC908">
        <v>9.4969999999999999E-2</v>
      </c>
      <c r="BD908">
        <v>1</v>
      </c>
      <c r="BE908" t="s">
        <v>69</v>
      </c>
      <c r="BF908">
        <v>-0.89300000000000002</v>
      </c>
      <c r="BG908">
        <v>-0.89800000000000002</v>
      </c>
    </row>
    <row r="909" spans="1:59">
      <c r="A909">
        <v>0</v>
      </c>
      <c r="B909">
        <v>0</v>
      </c>
      <c r="C909">
        <v>0</v>
      </c>
      <c r="D909" t="s">
        <v>25022</v>
      </c>
      <c r="E909">
        <v>3593</v>
      </c>
      <c r="F909" t="s">
        <v>21092</v>
      </c>
      <c r="G909" t="s">
        <v>62</v>
      </c>
      <c r="H909">
        <v>3561593</v>
      </c>
      <c r="I909">
        <v>3562183</v>
      </c>
      <c r="J909" t="s">
        <v>21093</v>
      </c>
      <c r="K909">
        <v>197</v>
      </c>
      <c r="L909" t="s">
        <v>108</v>
      </c>
      <c r="M909">
        <v>44</v>
      </c>
      <c r="N909" t="str">
        <f>HYPERLINK("Gene3593-zp_tree_all.dnd", "Gene3593-tree")</f>
        <v>Gene3593-tree</v>
      </c>
      <c r="O909">
        <v>9</v>
      </c>
      <c r="P909">
        <v>5</v>
      </c>
      <c r="Q909">
        <v>9</v>
      </c>
      <c r="R909">
        <v>5</v>
      </c>
      <c r="S909">
        <v>0.35714000000000001</v>
      </c>
      <c r="T909" t="s">
        <v>135</v>
      </c>
      <c r="U909" t="s">
        <v>199</v>
      </c>
      <c r="V909" t="s">
        <v>62</v>
      </c>
      <c r="W909" t="s">
        <v>62</v>
      </c>
      <c r="X909">
        <v>0</v>
      </c>
      <c r="Y909">
        <v>0</v>
      </c>
      <c r="Z909">
        <v>8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7</v>
      </c>
      <c r="AK909">
        <v>0</v>
      </c>
      <c r="AL909">
        <v>9</v>
      </c>
      <c r="AM909">
        <v>9</v>
      </c>
      <c r="AN909">
        <v>13</v>
      </c>
      <c r="AO909">
        <v>7</v>
      </c>
      <c r="AP909">
        <v>11</v>
      </c>
      <c r="AQ909">
        <v>1</v>
      </c>
      <c r="AR909" t="s">
        <v>21094</v>
      </c>
      <c r="AS909" t="s">
        <v>21095</v>
      </c>
      <c r="AT909">
        <v>1.2689999999999999</v>
      </c>
      <c r="AU909" t="s">
        <v>65</v>
      </c>
      <c r="AV909">
        <v>24</v>
      </c>
      <c r="AW909">
        <v>8</v>
      </c>
      <c r="AX909" t="s">
        <v>21096</v>
      </c>
      <c r="AY909">
        <v>3.9750000000000001E-2</v>
      </c>
      <c r="AZ909">
        <v>-1.6800000000000001E-3</v>
      </c>
      <c r="BA909">
        <v>2.99E-3</v>
      </c>
      <c r="BB909">
        <v>-2.7999999999999998E-4</v>
      </c>
      <c r="BC909">
        <v>7.5139999999999998E-2</v>
      </c>
      <c r="BD909">
        <v>1</v>
      </c>
      <c r="BE909" t="s">
        <v>69</v>
      </c>
      <c r="BF909">
        <v>-0.47499999999999998</v>
      </c>
      <c r="BG909">
        <v>-1.46</v>
      </c>
    </row>
    <row r="910" spans="1:59">
      <c r="A910">
        <v>0</v>
      </c>
      <c r="B910">
        <v>2</v>
      </c>
      <c r="C910">
        <v>0</v>
      </c>
      <c r="D910" t="s">
        <v>25022</v>
      </c>
      <c r="E910">
        <v>1621</v>
      </c>
      <c r="F910" t="s">
        <v>10153</v>
      </c>
      <c r="G910" t="s">
        <v>57</v>
      </c>
      <c r="H910">
        <v>1633369</v>
      </c>
      <c r="I910">
        <v>1633959</v>
      </c>
      <c r="J910" t="s">
        <v>10154</v>
      </c>
      <c r="K910">
        <v>197</v>
      </c>
      <c r="L910" t="s">
        <v>1392</v>
      </c>
      <c r="M910">
        <v>43</v>
      </c>
      <c r="N910" t="str">
        <f>HYPERLINK("Gene1621-zp_tree_all.dnd", "Gene1621-tree")</f>
        <v>Gene1621-tree</v>
      </c>
      <c r="O910">
        <v>8</v>
      </c>
      <c r="P910">
        <v>2</v>
      </c>
      <c r="Q910">
        <v>8</v>
      </c>
      <c r="R910">
        <v>2</v>
      </c>
      <c r="S910">
        <v>0.2</v>
      </c>
      <c r="T910" t="s">
        <v>136</v>
      </c>
      <c r="U910" t="s">
        <v>81</v>
      </c>
      <c r="V910" t="s">
        <v>62</v>
      </c>
      <c r="W910" t="s">
        <v>62</v>
      </c>
      <c r="X910">
        <v>1</v>
      </c>
      <c r="Y910">
        <v>2</v>
      </c>
      <c r="Z910">
        <v>1</v>
      </c>
      <c r="AA910">
        <v>0.66666999999999998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2</v>
      </c>
      <c r="AK910">
        <v>0</v>
      </c>
      <c r="AL910">
        <v>8</v>
      </c>
      <c r="AM910">
        <v>7</v>
      </c>
      <c r="AN910">
        <v>10</v>
      </c>
      <c r="AO910">
        <v>2</v>
      </c>
      <c r="AP910">
        <v>15</v>
      </c>
      <c r="AQ910">
        <v>1</v>
      </c>
      <c r="AR910" t="s">
        <v>10155</v>
      </c>
      <c r="AS910" t="s">
        <v>10156</v>
      </c>
      <c r="AT910">
        <v>0.47799999999999998</v>
      </c>
      <c r="AU910" t="s">
        <v>65</v>
      </c>
      <c r="AV910">
        <v>25</v>
      </c>
      <c r="AW910">
        <v>3</v>
      </c>
      <c r="AX910" t="s">
        <v>10157</v>
      </c>
      <c r="AY910">
        <v>5.6320000000000002E-2</v>
      </c>
      <c r="AZ910">
        <v>-3.7799999999999999E-3</v>
      </c>
      <c r="BA910">
        <v>1.1999999999999999E-3</v>
      </c>
      <c r="BB910">
        <v>-1.9000000000000001E-4</v>
      </c>
      <c r="BC910">
        <v>2.137E-2</v>
      </c>
      <c r="BD910">
        <v>1</v>
      </c>
      <c r="BE910" t="s">
        <v>69</v>
      </c>
      <c r="BF910">
        <v>0.624</v>
      </c>
      <c r="BG910">
        <v>0.25900000000000001</v>
      </c>
    </row>
    <row r="911" spans="1:59">
      <c r="A911">
        <v>0</v>
      </c>
      <c r="B911">
        <v>0</v>
      </c>
      <c r="C911">
        <v>0</v>
      </c>
      <c r="D911" t="s">
        <v>25022</v>
      </c>
      <c r="E911">
        <v>2416</v>
      </c>
      <c r="F911" t="s">
        <v>14076</v>
      </c>
      <c r="G911" t="s">
        <v>62</v>
      </c>
      <c r="H911">
        <v>2425251</v>
      </c>
      <c r="I911">
        <v>2425841</v>
      </c>
      <c r="J911" t="s">
        <v>14077</v>
      </c>
      <c r="K911">
        <v>197</v>
      </c>
      <c r="L911" t="s">
        <v>2803</v>
      </c>
      <c r="M911">
        <v>45</v>
      </c>
      <c r="N911" t="str">
        <f>HYPERLINK("Gene2416-zp_tree_all.dnd", "Gene2416-tree")</f>
        <v>Gene2416-tree</v>
      </c>
      <c r="O911">
        <v>5</v>
      </c>
      <c r="P911">
        <v>2</v>
      </c>
      <c r="Q911">
        <v>5</v>
      </c>
      <c r="R911">
        <v>2</v>
      </c>
      <c r="S911">
        <v>0.28571000000000002</v>
      </c>
      <c r="T911" t="s">
        <v>199</v>
      </c>
      <c r="U911" t="s">
        <v>81</v>
      </c>
      <c r="V911" t="s">
        <v>62</v>
      </c>
      <c r="W911" t="s">
        <v>62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</v>
      </c>
      <c r="AK911">
        <v>0</v>
      </c>
      <c r="AL911">
        <v>4</v>
      </c>
      <c r="AM911">
        <v>2</v>
      </c>
      <c r="AN911">
        <v>29</v>
      </c>
      <c r="AO911">
        <v>2</v>
      </c>
      <c r="AP911">
        <v>2</v>
      </c>
      <c r="AQ911">
        <v>0</v>
      </c>
      <c r="AR911" t="s">
        <v>14078</v>
      </c>
      <c r="AS911" t="s">
        <v>193</v>
      </c>
      <c r="AT911">
        <v>0.53100000000000003</v>
      </c>
      <c r="AU911" t="s">
        <v>65</v>
      </c>
      <c r="AV911">
        <v>31</v>
      </c>
      <c r="AW911">
        <v>2</v>
      </c>
      <c r="AX911" t="s">
        <v>14079</v>
      </c>
      <c r="AY911">
        <v>7.5490000000000002E-2</v>
      </c>
      <c r="AZ911">
        <v>-2.2939999999999999E-2</v>
      </c>
      <c r="BA911">
        <v>1.2700000000000001E-3</v>
      </c>
      <c r="BB911">
        <v>-2.4000000000000001E-4</v>
      </c>
      <c r="BC911">
        <v>1.6830000000000001E-2</v>
      </c>
      <c r="BD911">
        <v>1</v>
      </c>
      <c r="BE911" t="s">
        <v>69</v>
      </c>
      <c r="BF911">
        <v>-2.5289999999999999</v>
      </c>
      <c r="BG911">
        <v>-5.5049999999999999</v>
      </c>
    </row>
    <row r="912" spans="1:59">
      <c r="A912">
        <v>0</v>
      </c>
      <c r="B912">
        <v>13</v>
      </c>
      <c r="C912">
        <v>3</v>
      </c>
      <c r="D912" t="s">
        <v>25022</v>
      </c>
      <c r="E912">
        <v>954</v>
      </c>
      <c r="F912" t="s">
        <v>5985</v>
      </c>
      <c r="G912" t="s">
        <v>57</v>
      </c>
      <c r="H912">
        <v>994998</v>
      </c>
      <c r="I912">
        <v>995591</v>
      </c>
      <c r="J912" t="s">
        <v>5986</v>
      </c>
      <c r="K912">
        <v>198</v>
      </c>
      <c r="L912" t="s">
        <v>108</v>
      </c>
      <c r="M912">
        <v>44</v>
      </c>
      <c r="N912" t="str">
        <f>HYPERLINK("Gene954-zp_tree_all.dnd", "Gene954-tree")</f>
        <v>Gene954-tree</v>
      </c>
      <c r="O912">
        <v>5</v>
      </c>
      <c r="P912">
        <v>9</v>
      </c>
      <c r="Q912">
        <v>5</v>
      </c>
      <c r="R912">
        <v>9</v>
      </c>
      <c r="S912">
        <v>0.64285999999999999</v>
      </c>
      <c r="T912" t="s">
        <v>199</v>
      </c>
      <c r="U912" t="s">
        <v>135</v>
      </c>
      <c r="V912" t="s">
        <v>62</v>
      </c>
      <c r="W912" t="s">
        <v>62</v>
      </c>
      <c r="X912">
        <v>7</v>
      </c>
      <c r="Y912">
        <v>16</v>
      </c>
      <c r="Z912">
        <v>10</v>
      </c>
      <c r="AA912">
        <v>0.61538000000000004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  <c r="AH912">
        <v>2</v>
      </c>
      <c r="AI912">
        <v>4</v>
      </c>
      <c r="AJ912">
        <v>14</v>
      </c>
      <c r="AK912">
        <v>0.22222</v>
      </c>
      <c r="AL912">
        <v>11</v>
      </c>
      <c r="AM912">
        <v>11</v>
      </c>
      <c r="AN912">
        <v>25</v>
      </c>
      <c r="AO912">
        <v>17</v>
      </c>
      <c r="AP912">
        <v>13</v>
      </c>
      <c r="AQ912">
        <v>9</v>
      </c>
      <c r="AR912" t="s">
        <v>5987</v>
      </c>
      <c r="AS912" t="s">
        <v>5988</v>
      </c>
      <c r="AT912">
        <v>3.7999999999999999E-2</v>
      </c>
      <c r="AU912" t="s">
        <v>65</v>
      </c>
      <c r="AV912">
        <v>38</v>
      </c>
      <c r="AW912">
        <v>26</v>
      </c>
      <c r="AX912" t="s">
        <v>5989</v>
      </c>
      <c r="AY912">
        <v>0.05</v>
      </c>
      <c r="AZ912">
        <v>-1.9499999999999999E-3</v>
      </c>
      <c r="BA912">
        <v>9.9900000000000006E-3</v>
      </c>
      <c r="BB912">
        <v>-5.2999999999999998E-4</v>
      </c>
      <c r="BC912">
        <v>0.19983000000000001</v>
      </c>
      <c r="BD912">
        <v>1</v>
      </c>
      <c r="BE912" t="s">
        <v>69</v>
      </c>
      <c r="BF912">
        <v>-0.21</v>
      </c>
      <c r="BG912">
        <v>-0.56399999999999995</v>
      </c>
    </row>
    <row r="913" spans="1:59">
      <c r="A913">
        <v>0</v>
      </c>
      <c r="B913">
        <v>0</v>
      </c>
      <c r="C913">
        <v>0</v>
      </c>
      <c r="D913" t="s">
        <v>25022</v>
      </c>
      <c r="E913">
        <v>2899</v>
      </c>
      <c r="F913" t="s">
        <v>16684</v>
      </c>
      <c r="G913" t="s">
        <v>62</v>
      </c>
      <c r="H913">
        <v>2843934</v>
      </c>
      <c r="I913">
        <v>2844527</v>
      </c>
      <c r="J913" t="s">
        <v>6937</v>
      </c>
      <c r="K913">
        <v>198</v>
      </c>
      <c r="L913" t="s">
        <v>108</v>
      </c>
      <c r="M913">
        <v>44</v>
      </c>
      <c r="N913" t="str">
        <f>HYPERLINK("Gene2899-zp_tree_all.dnd", "Gene2899-tree")</f>
        <v>Gene2899-tree</v>
      </c>
      <c r="O913">
        <v>7</v>
      </c>
      <c r="P913">
        <v>4</v>
      </c>
      <c r="Q913">
        <v>7</v>
      </c>
      <c r="R913">
        <v>4</v>
      </c>
      <c r="S913">
        <v>0.36364000000000002</v>
      </c>
      <c r="T913" t="s">
        <v>152</v>
      </c>
      <c r="U913" t="s">
        <v>61</v>
      </c>
      <c r="V913" t="s">
        <v>62</v>
      </c>
      <c r="W913" t="s">
        <v>62</v>
      </c>
      <c r="X913">
        <v>0</v>
      </c>
      <c r="Y913">
        <v>0</v>
      </c>
      <c r="Z913">
        <v>8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6</v>
      </c>
      <c r="AK913">
        <v>0</v>
      </c>
      <c r="AL913">
        <v>9</v>
      </c>
      <c r="AM913">
        <v>5</v>
      </c>
      <c r="AN913">
        <v>13</v>
      </c>
      <c r="AO913">
        <v>6</v>
      </c>
      <c r="AP913">
        <v>3</v>
      </c>
      <c r="AQ913">
        <v>2</v>
      </c>
      <c r="AR913" t="s">
        <v>16685</v>
      </c>
      <c r="AS913" t="s">
        <v>16686</v>
      </c>
      <c r="AT913">
        <v>0.29799999999999999</v>
      </c>
      <c r="AU913" t="s">
        <v>65</v>
      </c>
      <c r="AV913">
        <v>16</v>
      </c>
      <c r="AW913">
        <v>8</v>
      </c>
      <c r="AX913" t="s">
        <v>16687</v>
      </c>
      <c r="AY913">
        <v>2.809E-2</v>
      </c>
      <c r="AZ913">
        <v>-1.25E-3</v>
      </c>
      <c r="BA913">
        <v>3.7799999999999999E-3</v>
      </c>
      <c r="BB913">
        <v>-3.8000000000000002E-4</v>
      </c>
      <c r="BC913">
        <v>0.13466</v>
      </c>
      <c r="BD913">
        <v>1</v>
      </c>
      <c r="BE913" t="s">
        <v>69</v>
      </c>
      <c r="BF913">
        <v>-1.028</v>
      </c>
      <c r="BG913">
        <v>-1.2609999999999999</v>
      </c>
    </row>
    <row r="914" spans="1:59">
      <c r="A914">
        <v>0</v>
      </c>
      <c r="B914">
        <v>4</v>
      </c>
      <c r="C914">
        <v>0</v>
      </c>
      <c r="D914" t="s">
        <v>25022</v>
      </c>
      <c r="E914">
        <v>544</v>
      </c>
      <c r="F914" t="s">
        <v>3509</v>
      </c>
      <c r="G914" t="s">
        <v>57</v>
      </c>
      <c r="H914">
        <v>578337</v>
      </c>
      <c r="I914">
        <v>578930</v>
      </c>
      <c r="J914" t="s">
        <v>2647</v>
      </c>
      <c r="K914">
        <v>198</v>
      </c>
      <c r="L914" t="s">
        <v>2555</v>
      </c>
      <c r="M914">
        <v>34</v>
      </c>
      <c r="N914" t="str">
        <f>HYPERLINK("Gene544-zp_tree_all.dnd", "Gene544-tree")</f>
        <v>Gene544-tree</v>
      </c>
      <c r="O914">
        <v>4</v>
      </c>
      <c r="P914">
        <v>5</v>
      </c>
      <c r="Q914">
        <v>4</v>
      </c>
      <c r="R914">
        <v>5</v>
      </c>
      <c r="S914">
        <v>0.55556000000000005</v>
      </c>
      <c r="T914" t="s">
        <v>61</v>
      </c>
      <c r="U914" t="s">
        <v>199</v>
      </c>
      <c r="V914" t="s">
        <v>62</v>
      </c>
      <c r="W914" t="s">
        <v>62</v>
      </c>
      <c r="X914">
        <v>2</v>
      </c>
      <c r="Y914">
        <v>4</v>
      </c>
      <c r="Z914">
        <v>2</v>
      </c>
      <c r="AA914">
        <v>0.66666999999999998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2</v>
      </c>
      <c r="AH914">
        <v>0</v>
      </c>
      <c r="AI914">
        <v>2</v>
      </c>
      <c r="AJ914">
        <v>3</v>
      </c>
      <c r="AK914">
        <v>0.4</v>
      </c>
      <c r="AL914">
        <v>7</v>
      </c>
      <c r="AM914">
        <v>5</v>
      </c>
      <c r="AN914">
        <v>8</v>
      </c>
      <c r="AO914">
        <v>5</v>
      </c>
      <c r="AP914">
        <v>7</v>
      </c>
      <c r="AQ914">
        <v>1</v>
      </c>
      <c r="AR914" t="s">
        <v>3510</v>
      </c>
      <c r="AS914" t="s">
        <v>3511</v>
      </c>
      <c r="AT914">
        <v>1.4410000000000001</v>
      </c>
      <c r="AU914" t="s">
        <v>65</v>
      </c>
      <c r="AV914">
        <v>15</v>
      </c>
      <c r="AW914">
        <v>6</v>
      </c>
      <c r="AX914" t="s">
        <v>3512</v>
      </c>
      <c r="AY914">
        <v>3.3000000000000002E-2</v>
      </c>
      <c r="AZ914">
        <v>-2.8500000000000001E-3</v>
      </c>
      <c r="BA914">
        <v>3.0699999999999998E-3</v>
      </c>
      <c r="BB914">
        <v>-2.9999999999999997E-4</v>
      </c>
      <c r="BC914">
        <v>9.2990000000000003E-2</v>
      </c>
      <c r="BD914">
        <v>1</v>
      </c>
      <c r="BE914" t="s">
        <v>69</v>
      </c>
      <c r="BF914">
        <v>-0.38700000000000001</v>
      </c>
      <c r="BG914">
        <v>0.47699999999999998</v>
      </c>
    </row>
    <row r="915" spans="1:59">
      <c r="A915">
        <v>0</v>
      </c>
      <c r="B915">
        <v>2</v>
      </c>
      <c r="C915">
        <v>0</v>
      </c>
      <c r="D915" t="s">
        <v>25022</v>
      </c>
      <c r="E915">
        <v>3320</v>
      </c>
      <c r="F915" t="s">
        <v>19382</v>
      </c>
      <c r="G915" t="s">
        <v>62</v>
      </c>
      <c r="H915">
        <v>3293576</v>
      </c>
      <c r="I915">
        <v>3294169</v>
      </c>
      <c r="J915" t="s">
        <v>19383</v>
      </c>
      <c r="K915">
        <v>198</v>
      </c>
      <c r="L915" t="s">
        <v>108</v>
      </c>
      <c r="M915">
        <v>44</v>
      </c>
      <c r="N915" t="str">
        <f>HYPERLINK("Gene3320-zp_tree_all.dnd", "Gene3320-tree")</f>
        <v>Gene3320-tree</v>
      </c>
      <c r="O915">
        <v>7</v>
      </c>
      <c r="P915">
        <v>5</v>
      </c>
      <c r="Q915">
        <v>7</v>
      </c>
      <c r="R915">
        <v>5</v>
      </c>
      <c r="S915">
        <v>0.41666999999999998</v>
      </c>
      <c r="T915" t="s">
        <v>152</v>
      </c>
      <c r="U915" t="s">
        <v>199</v>
      </c>
      <c r="V915" t="s">
        <v>62</v>
      </c>
      <c r="W915" t="s">
        <v>62</v>
      </c>
      <c r="X915">
        <v>1</v>
      </c>
      <c r="Y915">
        <v>2</v>
      </c>
      <c r="Z915">
        <v>5</v>
      </c>
      <c r="AA915">
        <v>0.28571000000000002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</v>
      </c>
      <c r="AH915">
        <v>0</v>
      </c>
      <c r="AI915">
        <v>2</v>
      </c>
      <c r="AJ915">
        <v>5</v>
      </c>
      <c r="AK915">
        <v>0.28571000000000002</v>
      </c>
      <c r="AL915">
        <v>10</v>
      </c>
      <c r="AM915">
        <v>5</v>
      </c>
      <c r="AN915">
        <v>18</v>
      </c>
      <c r="AO915">
        <v>7</v>
      </c>
      <c r="AP915">
        <v>9</v>
      </c>
      <c r="AQ915">
        <v>0</v>
      </c>
      <c r="AR915" t="s">
        <v>19384</v>
      </c>
      <c r="AS915" t="s">
        <v>193</v>
      </c>
      <c r="AT915">
        <v>1.431</v>
      </c>
      <c r="AU915" t="s">
        <v>65</v>
      </c>
      <c r="AV915">
        <v>27</v>
      </c>
      <c r="AW915">
        <v>7</v>
      </c>
      <c r="AX915" t="s">
        <v>19385</v>
      </c>
      <c r="AY915">
        <v>4.6449999999999998E-2</v>
      </c>
      <c r="AZ915">
        <v>-2.1700000000000001E-3</v>
      </c>
      <c r="BA915">
        <v>2.47E-3</v>
      </c>
      <c r="BB915">
        <v>-3.1E-4</v>
      </c>
      <c r="BC915">
        <v>5.3150000000000003E-2</v>
      </c>
      <c r="BD915">
        <v>1</v>
      </c>
      <c r="BE915" t="s">
        <v>69</v>
      </c>
      <c r="BF915">
        <v>-0.98</v>
      </c>
      <c r="BG915">
        <v>-0.92500000000000004</v>
      </c>
    </row>
    <row r="916" spans="1:59">
      <c r="A916">
        <v>0</v>
      </c>
      <c r="B916">
        <v>0</v>
      </c>
      <c r="C916">
        <v>0</v>
      </c>
      <c r="D916" t="s">
        <v>25022</v>
      </c>
      <c r="E916">
        <v>313</v>
      </c>
      <c r="F916" t="s">
        <v>2133</v>
      </c>
      <c r="G916" t="s">
        <v>57</v>
      </c>
      <c r="H916">
        <v>337562</v>
      </c>
      <c r="I916">
        <v>338155</v>
      </c>
      <c r="J916" t="s">
        <v>2134</v>
      </c>
      <c r="K916">
        <v>198</v>
      </c>
      <c r="L916" t="s">
        <v>108</v>
      </c>
      <c r="M916">
        <v>44</v>
      </c>
      <c r="N916" t="str">
        <f>HYPERLINK("Gene313-zp_tree_all.dnd", "Gene313-tree")</f>
        <v>Gene313-tree</v>
      </c>
      <c r="O916">
        <v>29</v>
      </c>
      <c r="P916">
        <v>3</v>
      </c>
      <c r="Q916">
        <v>11</v>
      </c>
      <c r="R916">
        <v>3</v>
      </c>
      <c r="S916">
        <v>0.21429000000000001</v>
      </c>
      <c r="T916" t="s">
        <v>2086</v>
      </c>
      <c r="U916" t="s">
        <v>324</v>
      </c>
      <c r="V916" t="s">
        <v>62</v>
      </c>
      <c r="W916" t="s">
        <v>62</v>
      </c>
      <c r="X916">
        <v>0</v>
      </c>
      <c r="Y916">
        <v>0</v>
      </c>
      <c r="Z916">
        <v>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3</v>
      </c>
      <c r="AK916">
        <v>0</v>
      </c>
      <c r="AL916">
        <v>9</v>
      </c>
      <c r="AM916">
        <v>4</v>
      </c>
      <c r="AN916">
        <v>15</v>
      </c>
      <c r="AO916">
        <v>2</v>
      </c>
      <c r="AP916">
        <v>4</v>
      </c>
      <c r="AQ916">
        <v>1</v>
      </c>
      <c r="AR916" t="s">
        <v>2135</v>
      </c>
      <c r="AS916" t="s">
        <v>2136</v>
      </c>
      <c r="AT916">
        <v>0.28299999999999997</v>
      </c>
      <c r="AU916" t="s">
        <v>65</v>
      </c>
      <c r="AV916">
        <v>19</v>
      </c>
      <c r="AW916">
        <v>3</v>
      </c>
      <c r="AX916" t="s">
        <v>2137</v>
      </c>
      <c r="AY916">
        <v>2.5940000000000001E-2</v>
      </c>
      <c r="AZ916">
        <v>-1.4499999999999999E-3</v>
      </c>
      <c r="BA916">
        <v>1.25E-3</v>
      </c>
      <c r="BB916">
        <v>-1.8000000000000001E-4</v>
      </c>
      <c r="BC916">
        <v>4.82E-2</v>
      </c>
      <c r="BD916">
        <v>1</v>
      </c>
      <c r="BE916" t="s">
        <v>69</v>
      </c>
      <c r="BF916">
        <v>-1.2689999999999999</v>
      </c>
      <c r="BG916">
        <v>-3.1579999999999999</v>
      </c>
    </row>
    <row r="917" spans="1:59">
      <c r="A917">
        <v>0</v>
      </c>
      <c r="B917">
        <v>0</v>
      </c>
      <c r="C917">
        <v>0</v>
      </c>
      <c r="D917" t="s">
        <v>25022</v>
      </c>
      <c r="E917">
        <v>2953</v>
      </c>
      <c r="F917" t="s">
        <v>17035</v>
      </c>
      <c r="G917" t="s">
        <v>62</v>
      </c>
      <c r="H917">
        <v>2900548</v>
      </c>
      <c r="I917">
        <v>2901141</v>
      </c>
      <c r="J917" t="s">
        <v>17036</v>
      </c>
      <c r="K917">
        <v>198</v>
      </c>
      <c r="L917" t="s">
        <v>108</v>
      </c>
      <c r="M917">
        <v>44</v>
      </c>
      <c r="N917" t="str">
        <f>HYPERLINK("Gene2953-zp_tree_all.dnd", "Gene2953-tree")</f>
        <v>Gene2953-tree</v>
      </c>
      <c r="O917">
        <v>10</v>
      </c>
      <c r="P917">
        <v>3</v>
      </c>
      <c r="Q917">
        <v>10</v>
      </c>
      <c r="R917">
        <v>3</v>
      </c>
      <c r="S917">
        <v>0.23077</v>
      </c>
      <c r="T917" t="s">
        <v>117</v>
      </c>
      <c r="U917" t="s">
        <v>324</v>
      </c>
      <c r="V917" t="s">
        <v>62</v>
      </c>
      <c r="W917" t="s">
        <v>62</v>
      </c>
      <c r="X917">
        <v>0</v>
      </c>
      <c r="Y917">
        <v>0</v>
      </c>
      <c r="Z917">
        <v>4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3</v>
      </c>
      <c r="AK917">
        <v>0</v>
      </c>
      <c r="AL917">
        <v>9</v>
      </c>
      <c r="AM917">
        <v>6</v>
      </c>
      <c r="AN917">
        <v>16</v>
      </c>
      <c r="AO917">
        <v>3</v>
      </c>
      <c r="AP917">
        <v>9</v>
      </c>
      <c r="AQ917">
        <v>1</v>
      </c>
      <c r="AR917" t="s">
        <v>17037</v>
      </c>
      <c r="AS917" t="s">
        <v>17038</v>
      </c>
      <c r="AT917">
        <v>0.27900000000000003</v>
      </c>
      <c r="AU917" t="s">
        <v>65</v>
      </c>
      <c r="AV917">
        <v>25</v>
      </c>
      <c r="AW917">
        <v>4</v>
      </c>
      <c r="AX917" t="s">
        <v>17039</v>
      </c>
      <c r="AY917">
        <v>4.3310000000000001E-2</v>
      </c>
      <c r="AZ917">
        <v>-2.0400000000000001E-3</v>
      </c>
      <c r="BA917">
        <v>1.6199999999999999E-3</v>
      </c>
      <c r="BB917">
        <v>-1.4999999999999999E-4</v>
      </c>
      <c r="BC917">
        <v>3.7350000000000001E-2</v>
      </c>
      <c r="BD917">
        <v>1</v>
      </c>
      <c r="BE917" t="s">
        <v>69</v>
      </c>
      <c r="BF917">
        <v>7.8E-2</v>
      </c>
      <c r="BG917">
        <v>-1.5229999999999999</v>
      </c>
    </row>
    <row r="918" spans="1:59">
      <c r="A918">
        <v>0</v>
      </c>
      <c r="B918">
        <v>0</v>
      </c>
      <c r="C918">
        <v>0</v>
      </c>
      <c r="D918" t="s">
        <v>25022</v>
      </c>
      <c r="E918">
        <v>157</v>
      </c>
      <c r="F918" t="s">
        <v>1108</v>
      </c>
      <c r="G918" t="s">
        <v>57</v>
      </c>
      <c r="H918">
        <v>159182</v>
      </c>
      <c r="I918">
        <v>159775</v>
      </c>
      <c r="J918" t="s">
        <v>1109</v>
      </c>
      <c r="K918">
        <v>198</v>
      </c>
      <c r="L918" t="s">
        <v>698</v>
      </c>
      <c r="M918">
        <v>47</v>
      </c>
      <c r="N918" t="str">
        <f>HYPERLINK("Gene157-zp_tree_all.dnd", "Gene157-tree")</f>
        <v>Gene157-tree</v>
      </c>
      <c r="O918">
        <v>8</v>
      </c>
      <c r="P918">
        <v>6</v>
      </c>
      <c r="Q918">
        <v>8</v>
      </c>
      <c r="R918">
        <v>6</v>
      </c>
      <c r="S918">
        <v>0.42857000000000001</v>
      </c>
      <c r="T918" t="s">
        <v>136</v>
      </c>
      <c r="U918" t="s">
        <v>90</v>
      </c>
      <c r="V918" t="s">
        <v>62</v>
      </c>
      <c r="W918" t="s">
        <v>62</v>
      </c>
      <c r="X918">
        <v>0</v>
      </c>
      <c r="Y918">
        <v>0</v>
      </c>
      <c r="Z918">
        <v>8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6</v>
      </c>
      <c r="AK918">
        <v>0</v>
      </c>
      <c r="AL918">
        <v>13</v>
      </c>
      <c r="AM918">
        <v>7</v>
      </c>
      <c r="AN918">
        <v>24</v>
      </c>
      <c r="AO918">
        <v>6</v>
      </c>
      <c r="AP918">
        <v>27</v>
      </c>
      <c r="AQ918">
        <v>2</v>
      </c>
      <c r="AR918" t="s">
        <v>1110</v>
      </c>
      <c r="AS918" t="s">
        <v>1111</v>
      </c>
      <c r="AT918">
        <v>0.77100000000000002</v>
      </c>
      <c r="AU918" t="s">
        <v>65</v>
      </c>
      <c r="AV918">
        <v>51</v>
      </c>
      <c r="AW918">
        <v>8</v>
      </c>
      <c r="AX918" t="s">
        <v>1112</v>
      </c>
      <c r="AY918">
        <v>9.2499999999999999E-2</v>
      </c>
      <c r="AZ918">
        <v>-7.0000000000000001E-3</v>
      </c>
      <c r="BA918">
        <v>3.4399999999999999E-3</v>
      </c>
      <c r="BB918">
        <v>-2.9E-4</v>
      </c>
      <c r="BC918">
        <v>3.7159999999999999E-2</v>
      </c>
      <c r="BD918">
        <v>1</v>
      </c>
      <c r="BE918" t="s">
        <v>69</v>
      </c>
      <c r="BF918">
        <v>-1.3959999999999999</v>
      </c>
      <c r="BG918">
        <v>-2.2389999999999999</v>
      </c>
    </row>
    <row r="919" spans="1:59">
      <c r="A919">
        <v>0</v>
      </c>
      <c r="B919">
        <v>0</v>
      </c>
      <c r="C919">
        <v>0</v>
      </c>
      <c r="D919" t="s">
        <v>25022</v>
      </c>
      <c r="E919">
        <v>1887</v>
      </c>
      <c r="F919" t="s">
        <v>11809</v>
      </c>
      <c r="G919" t="s">
        <v>57</v>
      </c>
      <c r="H919">
        <v>1947668</v>
      </c>
      <c r="I919">
        <v>1948261</v>
      </c>
      <c r="J919" t="s">
        <v>11810</v>
      </c>
      <c r="K919">
        <v>198</v>
      </c>
      <c r="L919" t="s">
        <v>6390</v>
      </c>
      <c r="M919">
        <v>45</v>
      </c>
      <c r="N919" t="str">
        <f>HYPERLINK("Gene1887-zp_tree_all.dnd", "Gene1887-tree")</f>
        <v>Gene1887-tree</v>
      </c>
      <c r="O919">
        <v>31</v>
      </c>
      <c r="P919">
        <v>2</v>
      </c>
      <c r="Q919">
        <v>10</v>
      </c>
      <c r="R919">
        <v>2</v>
      </c>
      <c r="S919">
        <v>0.16667000000000001</v>
      </c>
      <c r="T919" t="s">
        <v>2854</v>
      </c>
      <c r="U919" t="s">
        <v>81</v>
      </c>
      <c r="V919" t="s">
        <v>62</v>
      </c>
      <c r="W919" t="s">
        <v>62</v>
      </c>
      <c r="X919">
        <v>0</v>
      </c>
      <c r="Y919">
        <v>0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</v>
      </c>
      <c r="AK919">
        <v>0</v>
      </c>
      <c r="AL919">
        <v>10</v>
      </c>
      <c r="AM919">
        <v>4</v>
      </c>
      <c r="AN919">
        <v>30</v>
      </c>
      <c r="AO919">
        <v>2</v>
      </c>
      <c r="AP919">
        <v>5</v>
      </c>
      <c r="AQ919">
        <v>0</v>
      </c>
      <c r="AR919" t="s">
        <v>11811</v>
      </c>
      <c r="AS919" t="s">
        <v>193</v>
      </c>
      <c r="AT919">
        <v>0.49299999999999999</v>
      </c>
      <c r="AU919" t="s">
        <v>65</v>
      </c>
      <c r="AV919">
        <v>35</v>
      </c>
      <c r="AW919">
        <v>2</v>
      </c>
      <c r="AX919" t="s">
        <v>11812</v>
      </c>
      <c r="AY919">
        <v>4.4420000000000001E-2</v>
      </c>
      <c r="AZ919">
        <v>-5.5399999999999998E-3</v>
      </c>
      <c r="BA919">
        <v>7.3999999999999999E-4</v>
      </c>
      <c r="BB919">
        <v>-1.3999999999999999E-4</v>
      </c>
      <c r="BC919">
        <v>1.6729999999999998E-2</v>
      </c>
      <c r="BD919">
        <v>1</v>
      </c>
      <c r="BE919" t="s">
        <v>69</v>
      </c>
      <c r="BF919">
        <v>-1.036</v>
      </c>
      <c r="BG919">
        <v>-2.9769999999999999</v>
      </c>
    </row>
    <row r="920" spans="1:59">
      <c r="A920">
        <v>0</v>
      </c>
      <c r="B920">
        <v>0</v>
      </c>
      <c r="C920">
        <v>0</v>
      </c>
      <c r="D920" t="s">
        <v>25022</v>
      </c>
      <c r="E920">
        <v>21</v>
      </c>
      <c r="F920" t="s">
        <v>218</v>
      </c>
      <c r="G920" t="s">
        <v>57</v>
      </c>
      <c r="H920">
        <v>28867</v>
      </c>
      <c r="I920">
        <v>29460</v>
      </c>
      <c r="J920" t="s">
        <v>219</v>
      </c>
      <c r="K920">
        <v>198</v>
      </c>
      <c r="L920" t="s">
        <v>59</v>
      </c>
      <c r="M920">
        <v>49</v>
      </c>
      <c r="N920" t="str">
        <f>HYPERLINK("Gene21-zp_tree_all.dnd", "Gene21-tree")</f>
        <v>Gene21-tree</v>
      </c>
      <c r="O920">
        <v>16</v>
      </c>
      <c r="P920">
        <v>1</v>
      </c>
      <c r="Q920">
        <v>16</v>
      </c>
      <c r="R920">
        <v>1</v>
      </c>
      <c r="S920">
        <v>5.8819999999999997E-2</v>
      </c>
      <c r="T920" t="s">
        <v>60</v>
      </c>
      <c r="U920" t="s">
        <v>175</v>
      </c>
      <c r="V920" t="s">
        <v>62</v>
      </c>
      <c r="W920" t="s">
        <v>62</v>
      </c>
      <c r="X920">
        <v>0</v>
      </c>
      <c r="Y920">
        <v>0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11</v>
      </c>
      <c r="AM920">
        <v>10</v>
      </c>
      <c r="AN920">
        <v>15</v>
      </c>
      <c r="AO920">
        <v>1</v>
      </c>
      <c r="AP920">
        <v>24</v>
      </c>
      <c r="AQ920">
        <v>1</v>
      </c>
      <c r="AR920" t="s">
        <v>220</v>
      </c>
      <c r="AS920" t="s">
        <v>221</v>
      </c>
      <c r="AT920">
        <v>0.105</v>
      </c>
      <c r="AU920" t="s">
        <v>65</v>
      </c>
      <c r="AV920">
        <v>39</v>
      </c>
      <c r="AW920">
        <v>2</v>
      </c>
      <c r="AX920" t="s">
        <v>222</v>
      </c>
      <c r="AY920">
        <v>6.719E-2</v>
      </c>
      <c r="AZ920">
        <v>-3.3999999999999998E-3</v>
      </c>
      <c r="BA920">
        <v>7.5000000000000002E-4</v>
      </c>
      <c r="BB920">
        <v>-1E-4</v>
      </c>
      <c r="BC920">
        <v>1.112E-2</v>
      </c>
      <c r="BD920">
        <v>1</v>
      </c>
      <c r="BE920" t="s">
        <v>69</v>
      </c>
      <c r="BF920">
        <v>-0.56499999999999995</v>
      </c>
      <c r="BG920">
        <v>-0.60099999999999998</v>
      </c>
    </row>
    <row r="921" spans="1:59">
      <c r="A921">
        <v>0</v>
      </c>
      <c r="B921">
        <v>0</v>
      </c>
      <c r="C921">
        <v>0</v>
      </c>
      <c r="D921" t="s">
        <v>25022</v>
      </c>
      <c r="E921">
        <v>2381</v>
      </c>
      <c r="F921" t="s">
        <v>13851</v>
      </c>
      <c r="G921" t="s">
        <v>62</v>
      </c>
      <c r="H921">
        <v>2392754</v>
      </c>
      <c r="I921">
        <v>2393350</v>
      </c>
      <c r="J921" t="s">
        <v>3674</v>
      </c>
      <c r="K921">
        <v>199</v>
      </c>
      <c r="L921" t="s">
        <v>108</v>
      </c>
      <c r="M921">
        <v>44</v>
      </c>
      <c r="N921" t="str">
        <f>HYPERLINK("Gene2381-zp_tree_all.dnd", "Gene2381-tree")</f>
        <v>Gene2381-tree</v>
      </c>
      <c r="O921">
        <v>26</v>
      </c>
      <c r="P921">
        <v>5</v>
      </c>
      <c r="Q921">
        <v>3</v>
      </c>
      <c r="R921">
        <v>5</v>
      </c>
      <c r="S921">
        <v>0.625</v>
      </c>
      <c r="T921" t="s">
        <v>7285</v>
      </c>
      <c r="U921" t="s">
        <v>199</v>
      </c>
      <c r="V921" t="s">
        <v>62</v>
      </c>
      <c r="W921" t="s">
        <v>62</v>
      </c>
      <c r="X921">
        <v>0</v>
      </c>
      <c r="Y921">
        <v>0</v>
      </c>
      <c r="Z921">
        <v>9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8</v>
      </c>
      <c r="AK921">
        <v>0</v>
      </c>
      <c r="AL921">
        <v>6</v>
      </c>
      <c r="AM921">
        <v>3</v>
      </c>
      <c r="AN921">
        <v>9</v>
      </c>
      <c r="AO921">
        <v>8</v>
      </c>
      <c r="AP921">
        <v>2</v>
      </c>
      <c r="AQ921">
        <v>1</v>
      </c>
      <c r="AR921" t="s">
        <v>13852</v>
      </c>
      <c r="AS921" t="s">
        <v>13853</v>
      </c>
      <c r="AT921">
        <v>0.48599999999999999</v>
      </c>
      <c r="AU921" t="s">
        <v>65</v>
      </c>
      <c r="AV921">
        <v>11</v>
      </c>
      <c r="AW921">
        <v>9</v>
      </c>
      <c r="AX921" t="s">
        <v>13854</v>
      </c>
      <c r="AY921">
        <v>2.1760000000000002E-2</v>
      </c>
      <c r="AZ921">
        <v>-2.2000000000000001E-3</v>
      </c>
      <c r="BA921">
        <v>5.5599999999999998E-3</v>
      </c>
      <c r="BB921">
        <v>-5.8E-4</v>
      </c>
      <c r="BC921">
        <v>0.25557000000000002</v>
      </c>
      <c r="BD921">
        <v>0.99</v>
      </c>
      <c r="BE921" t="s">
        <v>69</v>
      </c>
      <c r="BF921">
        <v>-0.93200000000000005</v>
      </c>
      <c r="BG921">
        <v>-1.0680000000000001</v>
      </c>
    </row>
    <row r="922" spans="1:59">
      <c r="A922">
        <v>0</v>
      </c>
      <c r="B922">
        <v>2</v>
      </c>
      <c r="C922">
        <v>0</v>
      </c>
      <c r="D922" t="s">
        <v>25022</v>
      </c>
      <c r="E922">
        <v>1483</v>
      </c>
      <c r="F922" t="s">
        <v>9269</v>
      </c>
      <c r="G922" t="s">
        <v>57</v>
      </c>
      <c r="H922">
        <v>1495505</v>
      </c>
      <c r="I922">
        <v>1496101</v>
      </c>
      <c r="J922" t="s">
        <v>9270</v>
      </c>
      <c r="K922">
        <v>199</v>
      </c>
      <c r="L922" t="s">
        <v>108</v>
      </c>
      <c r="M922">
        <v>44</v>
      </c>
      <c r="N922" t="str">
        <f>HYPERLINK("Gene1483-zp_tree_all.dnd", "Gene1483-tree")</f>
        <v>Gene1483-tree</v>
      </c>
      <c r="O922">
        <v>2</v>
      </c>
      <c r="P922">
        <v>31</v>
      </c>
      <c r="Q922">
        <v>2</v>
      </c>
      <c r="R922">
        <v>12</v>
      </c>
      <c r="S922">
        <v>0.85714000000000001</v>
      </c>
      <c r="T922" t="s">
        <v>81</v>
      </c>
      <c r="U922" t="s">
        <v>5000</v>
      </c>
      <c r="V922">
        <v>0.68700000000000006</v>
      </c>
      <c r="W922" t="s">
        <v>65</v>
      </c>
      <c r="X922">
        <v>1</v>
      </c>
      <c r="Y922">
        <v>2</v>
      </c>
      <c r="Z922">
        <v>15</v>
      </c>
      <c r="AA922">
        <v>0.11765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15</v>
      </c>
      <c r="AK922">
        <v>0</v>
      </c>
      <c r="AL922">
        <v>12</v>
      </c>
      <c r="AM922">
        <v>4</v>
      </c>
      <c r="AN922">
        <v>8</v>
      </c>
      <c r="AO922">
        <v>15</v>
      </c>
      <c r="AP922">
        <v>6</v>
      </c>
      <c r="AQ922">
        <v>2</v>
      </c>
      <c r="AR922" t="s">
        <v>9271</v>
      </c>
      <c r="AS922" t="s">
        <v>9272</v>
      </c>
      <c r="AT922">
        <v>0.56699999999999995</v>
      </c>
      <c r="AU922" t="s">
        <v>65</v>
      </c>
      <c r="AV922">
        <v>14</v>
      </c>
      <c r="AW922">
        <v>17</v>
      </c>
      <c r="AX922" t="s">
        <v>9273</v>
      </c>
      <c r="AY922">
        <v>2.7E-2</v>
      </c>
      <c r="AZ922">
        <v>-1.91E-3</v>
      </c>
      <c r="BA922">
        <v>5.7800000000000004E-3</v>
      </c>
      <c r="BB922">
        <v>-3.1E-4</v>
      </c>
      <c r="BC922">
        <v>0.21390999999999999</v>
      </c>
      <c r="BD922">
        <v>1</v>
      </c>
      <c r="BE922" t="s">
        <v>69</v>
      </c>
      <c r="BF922">
        <v>-1.415</v>
      </c>
      <c r="BG922">
        <v>-2.9430000000000001</v>
      </c>
    </row>
    <row r="923" spans="1:59">
      <c r="A923">
        <v>0</v>
      </c>
      <c r="B923">
        <v>4</v>
      </c>
      <c r="C923">
        <v>0</v>
      </c>
      <c r="D923" t="s">
        <v>25022</v>
      </c>
      <c r="E923">
        <v>290</v>
      </c>
      <c r="F923" t="s">
        <v>1980</v>
      </c>
      <c r="G923" t="s">
        <v>57</v>
      </c>
      <c r="H923">
        <v>312159</v>
      </c>
      <c r="I923">
        <v>312755</v>
      </c>
      <c r="J923" t="s">
        <v>1981</v>
      </c>
      <c r="K923">
        <v>199</v>
      </c>
      <c r="L923" t="s">
        <v>108</v>
      </c>
      <c r="M923">
        <v>44</v>
      </c>
      <c r="N923" t="str">
        <f>HYPERLINK("Gene290-zp_tree_all.dnd", "Gene290-tree")</f>
        <v>Gene290-tree</v>
      </c>
      <c r="O923">
        <v>7</v>
      </c>
      <c r="P923">
        <v>6</v>
      </c>
      <c r="Q923">
        <v>7</v>
      </c>
      <c r="R923">
        <v>6</v>
      </c>
      <c r="S923">
        <v>0.46154000000000001</v>
      </c>
      <c r="T923" t="s">
        <v>152</v>
      </c>
      <c r="U923" t="s">
        <v>90</v>
      </c>
      <c r="V923" t="s">
        <v>62</v>
      </c>
      <c r="W923" t="s">
        <v>62</v>
      </c>
      <c r="X923">
        <v>2</v>
      </c>
      <c r="Y923">
        <v>4</v>
      </c>
      <c r="Z923">
        <v>5</v>
      </c>
      <c r="AA923">
        <v>0.44444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</v>
      </c>
      <c r="AH923">
        <v>0</v>
      </c>
      <c r="AI923">
        <v>2</v>
      </c>
      <c r="AJ923">
        <v>4</v>
      </c>
      <c r="AK923">
        <v>0.33333000000000002</v>
      </c>
      <c r="AL923">
        <v>12</v>
      </c>
      <c r="AM923">
        <v>6</v>
      </c>
      <c r="AN923">
        <v>21</v>
      </c>
      <c r="AO923">
        <v>6</v>
      </c>
      <c r="AP923">
        <v>7</v>
      </c>
      <c r="AQ923">
        <v>3</v>
      </c>
      <c r="AR923" t="s">
        <v>1982</v>
      </c>
      <c r="AS923" t="s">
        <v>1983</v>
      </c>
      <c r="AT923">
        <v>0.41699999999999998</v>
      </c>
      <c r="AU923" t="s">
        <v>65</v>
      </c>
      <c r="AV923">
        <v>28</v>
      </c>
      <c r="AW923">
        <v>9</v>
      </c>
      <c r="AX923" t="s">
        <v>1984</v>
      </c>
      <c r="AY923">
        <v>4.054E-2</v>
      </c>
      <c r="AZ923">
        <v>-2.32E-3</v>
      </c>
      <c r="BA923">
        <v>3.8500000000000001E-3</v>
      </c>
      <c r="BB923">
        <v>-2.2000000000000001E-4</v>
      </c>
      <c r="BC923">
        <v>9.4939999999999997E-2</v>
      </c>
      <c r="BD923">
        <v>1</v>
      </c>
      <c r="BE923" t="s">
        <v>69</v>
      </c>
      <c r="BF923">
        <v>-0.13900000000000001</v>
      </c>
      <c r="BG923">
        <v>0.52600000000000002</v>
      </c>
    </row>
    <row r="924" spans="1:59">
      <c r="A924">
        <v>0</v>
      </c>
      <c r="B924">
        <v>0</v>
      </c>
      <c r="C924">
        <v>0</v>
      </c>
      <c r="D924" t="s">
        <v>25022</v>
      </c>
      <c r="E924">
        <v>989</v>
      </c>
      <c r="F924" t="s">
        <v>6198</v>
      </c>
      <c r="G924" t="s">
        <v>57</v>
      </c>
      <c r="H924">
        <v>1031395</v>
      </c>
      <c r="I924">
        <v>1031991</v>
      </c>
      <c r="J924" t="s">
        <v>6199</v>
      </c>
      <c r="K924">
        <v>199</v>
      </c>
      <c r="L924" t="s">
        <v>698</v>
      </c>
      <c r="M924">
        <v>47</v>
      </c>
      <c r="N924" t="str">
        <f>HYPERLINK("Gene989-zp_tree_all.dnd", "Gene989-tree")</f>
        <v>Gene989-tree</v>
      </c>
      <c r="O924">
        <v>10</v>
      </c>
      <c r="P924">
        <v>1</v>
      </c>
      <c r="Q924">
        <v>10</v>
      </c>
      <c r="R924">
        <v>1</v>
      </c>
      <c r="S924">
        <v>9.0910000000000005E-2</v>
      </c>
      <c r="T924" t="s">
        <v>117</v>
      </c>
      <c r="U924" t="s">
        <v>175</v>
      </c>
      <c r="V924" t="s">
        <v>62</v>
      </c>
      <c r="W924" t="s">
        <v>62</v>
      </c>
      <c r="X924">
        <v>0</v>
      </c>
      <c r="Y924">
        <v>0</v>
      </c>
      <c r="Z924">
        <v>8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8</v>
      </c>
      <c r="AM924">
        <v>3</v>
      </c>
      <c r="AN924">
        <v>17</v>
      </c>
      <c r="AO924">
        <v>1</v>
      </c>
      <c r="AP924">
        <v>20</v>
      </c>
      <c r="AQ924">
        <v>8</v>
      </c>
      <c r="AR924" t="s">
        <v>6200</v>
      </c>
      <c r="AS924" t="s">
        <v>6201</v>
      </c>
      <c r="AT924">
        <v>0.44</v>
      </c>
      <c r="AU924" t="s">
        <v>65</v>
      </c>
      <c r="AV924">
        <v>37</v>
      </c>
      <c r="AW924">
        <v>9</v>
      </c>
      <c r="AX924" t="s">
        <v>6202</v>
      </c>
      <c r="AY924">
        <v>7.4139999999999998E-2</v>
      </c>
      <c r="AZ924">
        <v>-9.1699999999999993E-3</v>
      </c>
      <c r="BA924">
        <v>6.1900000000000002E-3</v>
      </c>
      <c r="BB924">
        <v>-1.1100000000000001E-3</v>
      </c>
      <c r="BC924">
        <v>8.3519999999999997E-2</v>
      </c>
      <c r="BD924">
        <v>1</v>
      </c>
      <c r="BE924" t="s">
        <v>69</v>
      </c>
      <c r="BF924">
        <v>-1.762</v>
      </c>
      <c r="BG924">
        <v>-0.50600000000000001</v>
      </c>
    </row>
    <row r="925" spans="1:59">
      <c r="A925">
        <v>0</v>
      </c>
      <c r="B925">
        <v>7</v>
      </c>
      <c r="C925">
        <v>0</v>
      </c>
      <c r="D925" t="s">
        <v>25022</v>
      </c>
      <c r="E925">
        <v>2942</v>
      </c>
      <c r="F925" t="s">
        <v>16956</v>
      </c>
      <c r="G925" t="s">
        <v>62</v>
      </c>
      <c r="H925">
        <v>2888943</v>
      </c>
      <c r="I925">
        <v>2889539</v>
      </c>
      <c r="J925" t="s">
        <v>16957</v>
      </c>
      <c r="K925">
        <v>199</v>
      </c>
      <c r="L925" t="s">
        <v>465</v>
      </c>
      <c r="M925">
        <v>46</v>
      </c>
      <c r="N925" t="str">
        <f>HYPERLINK("Gene2942-zp_tree_all.dnd", "Gene2942-tree")</f>
        <v>Gene2942-tree</v>
      </c>
      <c r="O925">
        <v>2</v>
      </c>
      <c r="P925">
        <v>10</v>
      </c>
      <c r="Q925">
        <v>2</v>
      </c>
      <c r="R925">
        <v>10</v>
      </c>
      <c r="S925">
        <v>0.83333000000000002</v>
      </c>
      <c r="T925" t="s">
        <v>81</v>
      </c>
      <c r="U925" t="s">
        <v>117</v>
      </c>
      <c r="V925" t="s">
        <v>62</v>
      </c>
      <c r="W925" t="s">
        <v>62</v>
      </c>
      <c r="X925">
        <v>3</v>
      </c>
      <c r="Y925">
        <v>7</v>
      </c>
      <c r="Z925">
        <v>9</v>
      </c>
      <c r="AA925">
        <v>0.4375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</v>
      </c>
      <c r="AH925">
        <v>0</v>
      </c>
      <c r="AI925">
        <v>2</v>
      </c>
      <c r="AJ925">
        <v>11</v>
      </c>
      <c r="AK925">
        <v>0.15384999999999999</v>
      </c>
      <c r="AL925">
        <v>10</v>
      </c>
      <c r="AM925">
        <v>8</v>
      </c>
      <c r="AN925">
        <v>39</v>
      </c>
      <c r="AO925">
        <v>12</v>
      </c>
      <c r="AP925">
        <v>9</v>
      </c>
      <c r="AQ925">
        <v>4</v>
      </c>
      <c r="AR925" t="s">
        <v>16958</v>
      </c>
      <c r="AS925" t="s">
        <v>16959</v>
      </c>
      <c r="AT925">
        <v>0.36799999999999999</v>
      </c>
      <c r="AU925" t="s">
        <v>65</v>
      </c>
      <c r="AV925">
        <v>48</v>
      </c>
      <c r="AW925">
        <v>16</v>
      </c>
      <c r="AX925" t="s">
        <v>16960</v>
      </c>
      <c r="AY925">
        <v>7.6969999999999997E-2</v>
      </c>
      <c r="AZ925">
        <v>-8.0099999999999998E-3</v>
      </c>
      <c r="BA925">
        <v>6.0499999999999998E-3</v>
      </c>
      <c r="BB925">
        <v>-5.1999999999999995E-4</v>
      </c>
      <c r="BC925">
        <v>7.8659999999999994E-2</v>
      </c>
      <c r="BD925">
        <v>1</v>
      </c>
      <c r="BE925" t="s">
        <v>69</v>
      </c>
      <c r="BF925">
        <v>-0.98599999999999999</v>
      </c>
      <c r="BG925">
        <v>0.752</v>
      </c>
    </row>
    <row r="926" spans="1:59">
      <c r="A926">
        <v>0</v>
      </c>
      <c r="B926">
        <v>2</v>
      </c>
      <c r="C926">
        <v>0</v>
      </c>
      <c r="D926" t="s">
        <v>25022</v>
      </c>
      <c r="E926">
        <v>483</v>
      </c>
      <c r="F926" t="s">
        <v>3272</v>
      </c>
      <c r="G926" t="s">
        <v>57</v>
      </c>
      <c r="H926">
        <v>523650</v>
      </c>
      <c r="I926">
        <v>524246</v>
      </c>
      <c r="J926" t="s">
        <v>3273</v>
      </c>
      <c r="K926">
        <v>199</v>
      </c>
      <c r="L926" t="s">
        <v>3274</v>
      </c>
      <c r="M926">
        <v>46</v>
      </c>
      <c r="N926" t="str">
        <f>HYPERLINK("Gene483-zp_tree_all.dnd", "Gene483-tree")</f>
        <v>Gene483-tree</v>
      </c>
      <c r="O926">
        <v>8</v>
      </c>
      <c r="P926">
        <v>6</v>
      </c>
      <c r="Q926">
        <v>8</v>
      </c>
      <c r="R926">
        <v>6</v>
      </c>
      <c r="S926">
        <v>0.42857000000000001</v>
      </c>
      <c r="T926" t="s">
        <v>136</v>
      </c>
      <c r="U926" t="s">
        <v>90</v>
      </c>
      <c r="V926" t="s">
        <v>62</v>
      </c>
      <c r="W926" t="s">
        <v>62</v>
      </c>
      <c r="X926">
        <v>1</v>
      </c>
      <c r="Y926">
        <v>2</v>
      </c>
      <c r="Z926">
        <v>7</v>
      </c>
      <c r="AA926">
        <v>0.22222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</v>
      </c>
      <c r="AH926">
        <v>0</v>
      </c>
      <c r="AI926">
        <v>2</v>
      </c>
      <c r="AJ926">
        <v>5</v>
      </c>
      <c r="AK926">
        <v>0.28571000000000002</v>
      </c>
      <c r="AL926">
        <v>8</v>
      </c>
      <c r="AM926">
        <v>8</v>
      </c>
      <c r="AN926">
        <v>14</v>
      </c>
      <c r="AO926">
        <v>5</v>
      </c>
      <c r="AP926">
        <v>23</v>
      </c>
      <c r="AQ926">
        <v>4</v>
      </c>
      <c r="AR926" t="s">
        <v>3275</v>
      </c>
      <c r="AS926" t="s">
        <v>3276</v>
      </c>
      <c r="AT926">
        <v>0.53300000000000003</v>
      </c>
      <c r="AU926" t="s">
        <v>65</v>
      </c>
      <c r="AV926">
        <v>37</v>
      </c>
      <c r="AW926">
        <v>9</v>
      </c>
      <c r="AX926" t="s">
        <v>3277</v>
      </c>
      <c r="AY926">
        <v>6.5210000000000004E-2</v>
      </c>
      <c r="AZ926">
        <v>-7.5399999999999998E-3</v>
      </c>
      <c r="BA926">
        <v>4.1099999999999999E-3</v>
      </c>
      <c r="BB926">
        <v>-2.7E-4</v>
      </c>
      <c r="BC926">
        <v>6.3070000000000001E-2</v>
      </c>
      <c r="BD926">
        <v>1</v>
      </c>
      <c r="BE926" t="s">
        <v>69</v>
      </c>
      <c r="BF926">
        <v>-1.73</v>
      </c>
      <c r="BG926">
        <v>-0.95799999999999996</v>
      </c>
    </row>
    <row r="927" spans="1:59">
      <c r="A927">
        <v>0</v>
      </c>
      <c r="B927">
        <v>2</v>
      </c>
      <c r="C927">
        <v>0</v>
      </c>
      <c r="D927" t="s">
        <v>25022</v>
      </c>
      <c r="E927">
        <v>2036</v>
      </c>
      <c r="F927" t="s">
        <v>12674</v>
      </c>
      <c r="G927" t="s">
        <v>62</v>
      </c>
      <c r="H927">
        <v>2128467</v>
      </c>
      <c r="I927">
        <v>2129066</v>
      </c>
      <c r="J927" t="s">
        <v>2512</v>
      </c>
      <c r="K927">
        <v>200</v>
      </c>
      <c r="L927" t="s">
        <v>108</v>
      </c>
      <c r="M927">
        <v>44</v>
      </c>
      <c r="N927" t="str">
        <f>HYPERLINK("Gene2036-zp_tree_all.dnd", "Gene2036-tree")</f>
        <v>Gene2036-tree</v>
      </c>
      <c r="O927">
        <v>6</v>
      </c>
      <c r="P927">
        <v>5</v>
      </c>
      <c r="Q927">
        <v>6</v>
      </c>
      <c r="R927">
        <v>5</v>
      </c>
      <c r="S927">
        <v>0.45455000000000001</v>
      </c>
      <c r="T927" t="s">
        <v>90</v>
      </c>
      <c r="U927" t="s">
        <v>199</v>
      </c>
      <c r="V927" t="s">
        <v>62</v>
      </c>
      <c r="W927" t="s">
        <v>62</v>
      </c>
      <c r="X927">
        <v>1</v>
      </c>
      <c r="Y927">
        <v>2</v>
      </c>
      <c r="Z927">
        <v>10</v>
      </c>
      <c r="AA927">
        <v>0.16667000000000001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8</v>
      </c>
      <c r="AK927">
        <v>0</v>
      </c>
      <c r="AL927">
        <v>8</v>
      </c>
      <c r="AM927">
        <v>6</v>
      </c>
      <c r="AN927">
        <v>18</v>
      </c>
      <c r="AO927">
        <v>6</v>
      </c>
      <c r="AP927">
        <v>5</v>
      </c>
      <c r="AQ927">
        <v>7</v>
      </c>
      <c r="AR927" t="s">
        <v>12675</v>
      </c>
      <c r="AS927" t="s">
        <v>12676</v>
      </c>
      <c r="AT927">
        <v>1.7050000000000001</v>
      </c>
      <c r="AU927" t="s">
        <v>65</v>
      </c>
      <c r="AV927">
        <v>23</v>
      </c>
      <c r="AW927">
        <v>13</v>
      </c>
      <c r="AX927" t="s">
        <v>12677</v>
      </c>
      <c r="AY927">
        <v>3.2099999999999997E-2</v>
      </c>
      <c r="AZ927">
        <v>-2.2699999999999999E-3</v>
      </c>
      <c r="BA927">
        <v>7.9000000000000008E-3</v>
      </c>
      <c r="BB927">
        <v>-6.3000000000000003E-4</v>
      </c>
      <c r="BC927">
        <v>0.24593999999999999</v>
      </c>
      <c r="BD927">
        <v>1</v>
      </c>
      <c r="BE927" t="s">
        <v>69</v>
      </c>
      <c r="BF927">
        <v>-0.496</v>
      </c>
      <c r="BG927">
        <v>-0.83699999999999997</v>
      </c>
    </row>
    <row r="928" spans="1:59">
      <c r="A928">
        <v>0</v>
      </c>
      <c r="B928">
        <v>5</v>
      </c>
      <c r="C928">
        <v>0</v>
      </c>
      <c r="D928" t="s">
        <v>25022</v>
      </c>
      <c r="E928">
        <v>3962</v>
      </c>
      <c r="F928" t="s">
        <v>23277</v>
      </c>
      <c r="G928" t="s">
        <v>62</v>
      </c>
      <c r="H928">
        <v>3925800</v>
      </c>
      <c r="I928">
        <v>3926399</v>
      </c>
      <c r="J928" t="s">
        <v>23278</v>
      </c>
      <c r="K928">
        <v>200</v>
      </c>
      <c r="L928" t="s">
        <v>108</v>
      </c>
      <c r="M928">
        <v>44</v>
      </c>
      <c r="N928" t="str">
        <f>HYPERLINK("Gene3962-zp_tree_all.dnd", "Gene3962-tree")</f>
        <v>Gene3962-tree</v>
      </c>
      <c r="O928">
        <v>8</v>
      </c>
      <c r="P928">
        <v>25</v>
      </c>
      <c r="Q928">
        <v>8</v>
      </c>
      <c r="R928">
        <v>7</v>
      </c>
      <c r="S928">
        <v>0.46666999999999997</v>
      </c>
      <c r="T928" t="s">
        <v>136</v>
      </c>
      <c r="U928" t="s">
        <v>2683</v>
      </c>
      <c r="V928">
        <v>3.758</v>
      </c>
      <c r="W928" t="s">
        <v>65</v>
      </c>
      <c r="X928">
        <v>2</v>
      </c>
      <c r="Y928">
        <v>5</v>
      </c>
      <c r="Z928">
        <v>9</v>
      </c>
      <c r="AA928">
        <v>0.35714000000000001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</v>
      </c>
      <c r="AH928">
        <v>0</v>
      </c>
      <c r="AI928">
        <v>2</v>
      </c>
      <c r="AJ928">
        <v>8</v>
      </c>
      <c r="AK928">
        <v>0.2</v>
      </c>
      <c r="AL928">
        <v>13</v>
      </c>
      <c r="AM928">
        <v>12</v>
      </c>
      <c r="AN928">
        <v>26</v>
      </c>
      <c r="AO928">
        <v>10</v>
      </c>
      <c r="AP928">
        <v>20</v>
      </c>
      <c r="AQ928">
        <v>4</v>
      </c>
      <c r="AR928" t="s">
        <v>23279</v>
      </c>
      <c r="AS928" t="s">
        <v>23280</v>
      </c>
      <c r="AT928">
        <v>0.54</v>
      </c>
      <c r="AU928" t="s">
        <v>65</v>
      </c>
      <c r="AV928">
        <v>46</v>
      </c>
      <c r="AW928">
        <v>14</v>
      </c>
      <c r="AX928" t="s">
        <v>23281</v>
      </c>
      <c r="AY928">
        <v>6.2039999999999998E-2</v>
      </c>
      <c r="AZ928">
        <v>-1.91E-3</v>
      </c>
      <c r="BA928">
        <v>5.0600000000000003E-3</v>
      </c>
      <c r="BB928">
        <v>-3.6999999999999999E-4</v>
      </c>
      <c r="BC928">
        <v>8.1519999999999995E-2</v>
      </c>
      <c r="BD928">
        <v>1</v>
      </c>
      <c r="BE928" t="s">
        <v>69</v>
      </c>
      <c r="BF928">
        <v>-8.6999999999999994E-2</v>
      </c>
      <c r="BG928">
        <v>0.32200000000000001</v>
      </c>
    </row>
    <row r="929" spans="1:59">
      <c r="A929">
        <v>0</v>
      </c>
      <c r="B929">
        <v>6</v>
      </c>
      <c r="C929">
        <v>0</v>
      </c>
      <c r="D929" t="s">
        <v>25022</v>
      </c>
      <c r="E929">
        <v>1292</v>
      </c>
      <c r="F929" t="s">
        <v>8106</v>
      </c>
      <c r="G929" t="s">
        <v>57</v>
      </c>
      <c r="H929">
        <v>1319011</v>
      </c>
      <c r="I929">
        <v>1319610</v>
      </c>
      <c r="J929" t="s">
        <v>8107</v>
      </c>
      <c r="K929">
        <v>200</v>
      </c>
      <c r="L929" t="s">
        <v>8108</v>
      </c>
      <c r="M929">
        <v>42</v>
      </c>
      <c r="N929" t="str">
        <f>HYPERLINK("Gene1292-zp_tree_all.dnd", "Gene1292-tree")</f>
        <v>Gene1292-tree</v>
      </c>
      <c r="O929">
        <v>5</v>
      </c>
      <c r="P929">
        <v>5</v>
      </c>
      <c r="Q929">
        <v>5</v>
      </c>
      <c r="R929">
        <v>5</v>
      </c>
      <c r="S929">
        <v>0.5</v>
      </c>
      <c r="T929" t="s">
        <v>199</v>
      </c>
      <c r="U929" t="s">
        <v>199</v>
      </c>
      <c r="V929" t="s">
        <v>62</v>
      </c>
      <c r="W929" t="s">
        <v>62</v>
      </c>
      <c r="X929">
        <v>3</v>
      </c>
      <c r="Y929">
        <v>6</v>
      </c>
      <c r="Z929">
        <v>5</v>
      </c>
      <c r="AA929">
        <v>0.54544999999999999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4</v>
      </c>
      <c r="AH929">
        <v>0</v>
      </c>
      <c r="AI929">
        <v>4</v>
      </c>
      <c r="AJ929">
        <v>5</v>
      </c>
      <c r="AK929">
        <v>0.44444</v>
      </c>
      <c r="AL929">
        <v>6</v>
      </c>
      <c r="AM929">
        <v>5</v>
      </c>
      <c r="AN929">
        <v>22</v>
      </c>
      <c r="AO929">
        <v>9</v>
      </c>
      <c r="AP929">
        <v>12</v>
      </c>
      <c r="AQ929">
        <v>2</v>
      </c>
      <c r="AR929" t="s">
        <v>8109</v>
      </c>
      <c r="AS929" t="s">
        <v>8110</v>
      </c>
      <c r="AT929">
        <v>0.57299999999999995</v>
      </c>
      <c r="AU929" t="s">
        <v>65</v>
      </c>
      <c r="AV929">
        <v>34</v>
      </c>
      <c r="AW929">
        <v>11</v>
      </c>
      <c r="AX929" t="s">
        <v>8111</v>
      </c>
      <c r="AY929">
        <v>6.8919999999999995E-2</v>
      </c>
      <c r="AZ929">
        <v>-8.7899999999999992E-3</v>
      </c>
      <c r="BA929">
        <v>5.1599999999999997E-3</v>
      </c>
      <c r="BB929">
        <v>-6.4999999999999997E-4</v>
      </c>
      <c r="BC929">
        <v>7.4889999999999998E-2</v>
      </c>
      <c r="BD929">
        <v>1</v>
      </c>
      <c r="BE929" t="s">
        <v>69</v>
      </c>
      <c r="BF929">
        <v>4.7E-2</v>
      </c>
      <c r="BG929">
        <v>-0.189</v>
      </c>
    </row>
    <row r="930" spans="1:59">
      <c r="A930">
        <v>0</v>
      </c>
      <c r="B930">
        <v>3</v>
      </c>
      <c r="C930">
        <v>0</v>
      </c>
      <c r="D930" t="s">
        <v>25022</v>
      </c>
      <c r="E930">
        <v>3533</v>
      </c>
      <c r="F930" t="s">
        <v>20697</v>
      </c>
      <c r="G930" t="s">
        <v>62</v>
      </c>
      <c r="H930">
        <v>3495879</v>
      </c>
      <c r="I930">
        <v>3496478</v>
      </c>
      <c r="J930" t="s">
        <v>20698</v>
      </c>
      <c r="K930">
        <v>200</v>
      </c>
      <c r="L930" t="s">
        <v>108</v>
      </c>
      <c r="M930">
        <v>44</v>
      </c>
      <c r="N930" t="str">
        <f>HYPERLINK("Gene3533-zp_tree_all.dnd", "Gene3533-tree")</f>
        <v>Gene3533-tree</v>
      </c>
      <c r="O930">
        <v>9</v>
      </c>
      <c r="P930">
        <v>25</v>
      </c>
      <c r="Q930">
        <v>9</v>
      </c>
      <c r="R930">
        <v>5</v>
      </c>
      <c r="S930">
        <v>0.35714000000000001</v>
      </c>
      <c r="T930" t="s">
        <v>135</v>
      </c>
      <c r="U930" t="s">
        <v>4839</v>
      </c>
      <c r="V930">
        <v>5.1219999999999999</v>
      </c>
      <c r="W930" t="s">
        <v>65</v>
      </c>
      <c r="X930">
        <v>1</v>
      </c>
      <c r="Y930">
        <v>3</v>
      </c>
      <c r="Z930">
        <v>3</v>
      </c>
      <c r="AA930">
        <v>0.5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2</v>
      </c>
      <c r="AJ930">
        <v>3</v>
      </c>
      <c r="AK930">
        <v>0.4</v>
      </c>
      <c r="AL930">
        <v>12</v>
      </c>
      <c r="AM930">
        <v>9</v>
      </c>
      <c r="AN930">
        <v>18</v>
      </c>
      <c r="AO930">
        <v>5</v>
      </c>
      <c r="AP930">
        <v>12</v>
      </c>
      <c r="AQ930">
        <v>1</v>
      </c>
      <c r="AR930" t="s">
        <v>20699</v>
      </c>
      <c r="AS930" t="s">
        <v>20700</v>
      </c>
      <c r="AT930">
        <v>0.73099999999999998</v>
      </c>
      <c r="AU930" t="s">
        <v>65</v>
      </c>
      <c r="AV930">
        <v>30</v>
      </c>
      <c r="AW930">
        <v>6</v>
      </c>
      <c r="AX930" t="s">
        <v>20701</v>
      </c>
      <c r="AY930">
        <v>4.3119999999999999E-2</v>
      </c>
      <c r="AZ930">
        <v>-1.8799999999999999E-3</v>
      </c>
      <c r="BA930">
        <v>1.89E-3</v>
      </c>
      <c r="BB930">
        <v>-1.7000000000000001E-4</v>
      </c>
      <c r="BC930">
        <v>4.3869999999999999E-2</v>
      </c>
      <c r="BD930">
        <v>1</v>
      </c>
      <c r="BE930" t="s">
        <v>69</v>
      </c>
      <c r="BF930">
        <v>-0.495</v>
      </c>
      <c r="BG930">
        <v>-0.63</v>
      </c>
    </row>
    <row r="931" spans="1:59">
      <c r="A931">
        <v>0</v>
      </c>
      <c r="B931">
        <v>2</v>
      </c>
      <c r="C931">
        <v>1</v>
      </c>
      <c r="D931" t="s">
        <v>25022</v>
      </c>
      <c r="E931">
        <v>1736</v>
      </c>
      <c r="F931" t="s">
        <v>10889</v>
      </c>
      <c r="G931" t="s">
        <v>57</v>
      </c>
      <c r="H931">
        <v>1745263</v>
      </c>
      <c r="I931">
        <v>1745862</v>
      </c>
      <c r="J931" t="s">
        <v>10890</v>
      </c>
      <c r="K931">
        <v>200</v>
      </c>
      <c r="L931" t="s">
        <v>108</v>
      </c>
      <c r="M931">
        <v>44</v>
      </c>
      <c r="N931" t="str">
        <f>HYPERLINK("Gene1736-zp_tree_all.dnd", "Gene1736-tree")</f>
        <v>Gene1736-tree</v>
      </c>
      <c r="O931">
        <v>11</v>
      </c>
      <c r="P931">
        <v>4</v>
      </c>
      <c r="Q931">
        <v>11</v>
      </c>
      <c r="R931">
        <v>4</v>
      </c>
      <c r="S931">
        <v>0.26667000000000002</v>
      </c>
      <c r="T931" t="s">
        <v>73</v>
      </c>
      <c r="U931" t="s">
        <v>61</v>
      </c>
      <c r="V931" t="s">
        <v>62</v>
      </c>
      <c r="W931" t="s">
        <v>62</v>
      </c>
      <c r="X931">
        <v>1</v>
      </c>
      <c r="Y931">
        <v>3</v>
      </c>
      <c r="Z931">
        <v>3</v>
      </c>
      <c r="AA931">
        <v>0.5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2</v>
      </c>
      <c r="AI931">
        <v>2</v>
      </c>
      <c r="AJ931">
        <v>3</v>
      </c>
      <c r="AK931">
        <v>0.4</v>
      </c>
      <c r="AL931">
        <v>7</v>
      </c>
      <c r="AM931">
        <v>10</v>
      </c>
      <c r="AN931">
        <v>20</v>
      </c>
      <c r="AO931">
        <v>5</v>
      </c>
      <c r="AP931">
        <v>15</v>
      </c>
      <c r="AQ931">
        <v>1</v>
      </c>
      <c r="AR931" t="s">
        <v>10891</v>
      </c>
      <c r="AS931" t="s">
        <v>10892</v>
      </c>
      <c r="AT931">
        <v>0.71</v>
      </c>
      <c r="AU931" t="s">
        <v>65</v>
      </c>
      <c r="AV931">
        <v>35</v>
      </c>
      <c r="AW931">
        <v>6</v>
      </c>
      <c r="AX931" t="s">
        <v>10893</v>
      </c>
      <c r="AY931">
        <v>4.5999999999999999E-2</v>
      </c>
      <c r="AZ931">
        <v>-2.33E-3</v>
      </c>
      <c r="BA931">
        <v>1.67E-3</v>
      </c>
      <c r="BB931">
        <v>-1.6000000000000001E-4</v>
      </c>
      <c r="BC931">
        <v>3.6229999999999998E-2</v>
      </c>
      <c r="BD931">
        <v>1</v>
      </c>
      <c r="BE931" t="s">
        <v>69</v>
      </c>
      <c r="BF931">
        <v>-0.75</v>
      </c>
      <c r="BG931">
        <v>-2.0089999999999999</v>
      </c>
    </row>
    <row r="932" spans="1:59">
      <c r="A932">
        <v>0</v>
      </c>
      <c r="B932">
        <v>7</v>
      </c>
      <c r="C932">
        <v>1</v>
      </c>
      <c r="D932" t="s">
        <v>25022</v>
      </c>
      <c r="E932">
        <v>106</v>
      </c>
      <c r="F932" t="s">
        <v>815</v>
      </c>
      <c r="G932" t="s">
        <v>57</v>
      </c>
      <c r="H932">
        <v>121068</v>
      </c>
      <c r="I932">
        <v>121670</v>
      </c>
      <c r="J932" t="s">
        <v>816</v>
      </c>
      <c r="K932">
        <v>201</v>
      </c>
      <c r="L932" t="s">
        <v>59</v>
      </c>
      <c r="M932">
        <v>49</v>
      </c>
      <c r="N932" t="str">
        <f>HYPERLINK("Gene106-zp_tree_all.dnd", "Gene106-tree")</f>
        <v>Gene106-tree</v>
      </c>
      <c r="O932">
        <v>30</v>
      </c>
      <c r="P932">
        <v>8</v>
      </c>
      <c r="Q932">
        <v>11</v>
      </c>
      <c r="R932">
        <v>8</v>
      </c>
      <c r="S932">
        <v>0.42104999999999998</v>
      </c>
      <c r="T932" t="s">
        <v>89</v>
      </c>
      <c r="U932" t="s">
        <v>136</v>
      </c>
      <c r="V932" t="s">
        <v>62</v>
      </c>
      <c r="W932" t="s">
        <v>62</v>
      </c>
      <c r="X932">
        <v>3</v>
      </c>
      <c r="Y932">
        <v>8</v>
      </c>
      <c r="Z932">
        <v>9</v>
      </c>
      <c r="AA932">
        <v>0.47059000000000001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4</v>
      </c>
      <c r="AH932">
        <v>0</v>
      </c>
      <c r="AI932">
        <v>4</v>
      </c>
      <c r="AJ932">
        <v>6</v>
      </c>
      <c r="AK932">
        <v>0.4</v>
      </c>
      <c r="AL932">
        <v>12</v>
      </c>
      <c r="AM932">
        <v>13</v>
      </c>
      <c r="AN932">
        <v>14</v>
      </c>
      <c r="AO932">
        <v>10</v>
      </c>
      <c r="AP932">
        <v>35</v>
      </c>
      <c r="AQ932">
        <v>7</v>
      </c>
      <c r="AR932" t="s">
        <v>817</v>
      </c>
      <c r="AS932" t="s">
        <v>818</v>
      </c>
      <c r="AT932">
        <v>1.395</v>
      </c>
      <c r="AU932" t="s">
        <v>65</v>
      </c>
      <c r="AV932">
        <v>49</v>
      </c>
      <c r="AW932">
        <v>17</v>
      </c>
      <c r="AX932" t="s">
        <v>819</v>
      </c>
      <c r="AY932">
        <v>9.4310000000000005E-2</v>
      </c>
      <c r="AZ932">
        <v>-5.7000000000000002E-3</v>
      </c>
      <c r="BA932">
        <v>6.28E-3</v>
      </c>
      <c r="BB932">
        <v>-3.2000000000000003E-4</v>
      </c>
      <c r="BC932">
        <v>6.6570000000000004E-2</v>
      </c>
      <c r="BD932">
        <v>1</v>
      </c>
      <c r="BE932" t="s">
        <v>69</v>
      </c>
      <c r="BF932">
        <v>-0.52300000000000002</v>
      </c>
      <c r="BG932">
        <v>-9.5000000000000001E-2</v>
      </c>
    </row>
    <row r="933" spans="1:59">
      <c r="A933">
        <v>0</v>
      </c>
      <c r="B933">
        <v>0</v>
      </c>
      <c r="C933">
        <v>0</v>
      </c>
      <c r="D933" t="s">
        <v>25022</v>
      </c>
      <c r="E933">
        <v>3099</v>
      </c>
      <c r="F933" t="s">
        <v>17969</v>
      </c>
      <c r="G933" t="s">
        <v>62</v>
      </c>
      <c r="H933">
        <v>3052746</v>
      </c>
      <c r="I933">
        <v>3053348</v>
      </c>
      <c r="J933" t="s">
        <v>17970</v>
      </c>
      <c r="K933">
        <v>201</v>
      </c>
      <c r="L933" t="s">
        <v>289</v>
      </c>
      <c r="M933">
        <v>46</v>
      </c>
      <c r="N933" t="str">
        <f>HYPERLINK("Gene3099-zp_tree_all.dnd", "Gene3099-tree")</f>
        <v>Gene3099-tree</v>
      </c>
      <c r="O933">
        <v>11</v>
      </c>
      <c r="P933">
        <v>3</v>
      </c>
      <c r="Q933">
        <v>11</v>
      </c>
      <c r="R933">
        <v>3</v>
      </c>
      <c r="S933">
        <v>0.21429000000000001</v>
      </c>
      <c r="T933" t="s">
        <v>73</v>
      </c>
      <c r="U933" t="s">
        <v>324</v>
      </c>
      <c r="V933" t="s">
        <v>62</v>
      </c>
      <c r="W933" t="s">
        <v>62</v>
      </c>
      <c r="X933">
        <v>0</v>
      </c>
      <c r="Y933">
        <v>0</v>
      </c>
      <c r="Z933">
        <v>7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4</v>
      </c>
      <c r="AK933">
        <v>0</v>
      </c>
      <c r="AL933">
        <v>11</v>
      </c>
      <c r="AM933">
        <v>6</v>
      </c>
      <c r="AN933">
        <v>20</v>
      </c>
      <c r="AO933">
        <v>4</v>
      </c>
      <c r="AP933">
        <v>21</v>
      </c>
      <c r="AQ933">
        <v>3</v>
      </c>
      <c r="AR933" t="s">
        <v>17971</v>
      </c>
      <c r="AS933" t="s">
        <v>17972</v>
      </c>
      <c r="AT933">
        <v>0.13200000000000001</v>
      </c>
      <c r="AU933" t="s">
        <v>65</v>
      </c>
      <c r="AV933">
        <v>41</v>
      </c>
      <c r="AW933">
        <v>7</v>
      </c>
      <c r="AX933" t="s">
        <v>17973</v>
      </c>
      <c r="AY933">
        <v>6.7519999999999997E-2</v>
      </c>
      <c r="AZ933">
        <v>-6.5500000000000003E-3</v>
      </c>
      <c r="BA933">
        <v>2.96E-3</v>
      </c>
      <c r="BB933">
        <v>-3.2000000000000003E-4</v>
      </c>
      <c r="BC933">
        <v>4.3810000000000002E-2</v>
      </c>
      <c r="BD933">
        <v>1</v>
      </c>
      <c r="BE933" t="s">
        <v>69</v>
      </c>
      <c r="BF933">
        <v>-1.8959999999999999</v>
      </c>
      <c r="BG933">
        <v>-2.1960000000000002</v>
      </c>
    </row>
    <row r="934" spans="1:59">
      <c r="A934">
        <v>0</v>
      </c>
      <c r="B934">
        <v>0</v>
      </c>
      <c r="C934">
        <v>0</v>
      </c>
      <c r="D934" t="s">
        <v>25022</v>
      </c>
      <c r="E934">
        <v>2889</v>
      </c>
      <c r="F934" t="s">
        <v>16625</v>
      </c>
      <c r="G934" t="s">
        <v>62</v>
      </c>
      <c r="H934">
        <v>2836168</v>
      </c>
      <c r="I934">
        <v>2836770</v>
      </c>
      <c r="J934" t="s">
        <v>16626</v>
      </c>
      <c r="K934">
        <v>201</v>
      </c>
      <c r="L934" t="s">
        <v>108</v>
      </c>
      <c r="M934">
        <v>44</v>
      </c>
      <c r="N934" t="str">
        <f>HYPERLINK("Gene2889-zp_tree_all.dnd", "Gene2889-tree")</f>
        <v>Gene2889-tree</v>
      </c>
      <c r="O934">
        <v>6</v>
      </c>
      <c r="P934">
        <v>1</v>
      </c>
      <c r="Q934">
        <v>6</v>
      </c>
      <c r="R934">
        <v>1</v>
      </c>
      <c r="S934">
        <v>0.14285999999999999</v>
      </c>
      <c r="T934" t="s">
        <v>90</v>
      </c>
      <c r="U934" t="s">
        <v>175</v>
      </c>
      <c r="V934" t="s">
        <v>62</v>
      </c>
      <c r="W934" t="s">
        <v>62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3</v>
      </c>
      <c r="AM934">
        <v>3</v>
      </c>
      <c r="AN934">
        <v>4</v>
      </c>
      <c r="AO934">
        <v>1</v>
      </c>
      <c r="AP934">
        <v>3</v>
      </c>
      <c r="AQ934">
        <v>0</v>
      </c>
      <c r="AR934" t="s">
        <v>16627</v>
      </c>
      <c r="AS934" t="s">
        <v>193</v>
      </c>
      <c r="AT934">
        <v>0.81399999999999995</v>
      </c>
      <c r="AU934" t="s">
        <v>65</v>
      </c>
      <c r="AV934">
        <v>7</v>
      </c>
      <c r="AW934">
        <v>1</v>
      </c>
      <c r="AX934" t="s">
        <v>16628</v>
      </c>
      <c r="AY934">
        <v>1.7899999999999999E-2</v>
      </c>
      <c r="AZ934">
        <v>-1.82E-3</v>
      </c>
      <c r="BA934">
        <v>6.2E-4</v>
      </c>
      <c r="BB934">
        <v>-1.9000000000000001E-4</v>
      </c>
      <c r="BC934">
        <v>3.456E-2</v>
      </c>
      <c r="BD934">
        <v>1</v>
      </c>
      <c r="BE934" t="s">
        <v>69</v>
      </c>
      <c r="BF934">
        <v>-0.28899999999999998</v>
      </c>
      <c r="BG934">
        <v>-1.0269999999999999</v>
      </c>
    </row>
    <row r="935" spans="1:59">
      <c r="A935">
        <v>0</v>
      </c>
      <c r="B935">
        <v>2</v>
      </c>
      <c r="C935">
        <v>0</v>
      </c>
      <c r="D935" t="s">
        <v>25022</v>
      </c>
      <c r="E935">
        <v>3552</v>
      </c>
      <c r="F935" t="s">
        <v>20823</v>
      </c>
      <c r="G935" t="s">
        <v>62</v>
      </c>
      <c r="H935">
        <v>3516883</v>
      </c>
      <c r="I935">
        <v>3517488</v>
      </c>
      <c r="J935" t="s">
        <v>20824</v>
      </c>
      <c r="K935">
        <v>202</v>
      </c>
      <c r="L935" t="s">
        <v>20825</v>
      </c>
      <c r="M935">
        <v>45</v>
      </c>
      <c r="N935" t="str">
        <f>HYPERLINK("Gene3552-zp_tree_all.dnd", "Gene3552-tree")</f>
        <v>Gene3552-tree</v>
      </c>
      <c r="O935">
        <v>11</v>
      </c>
      <c r="P935">
        <v>24</v>
      </c>
      <c r="Q935">
        <v>11</v>
      </c>
      <c r="R935">
        <v>5</v>
      </c>
      <c r="S935">
        <v>0.3125</v>
      </c>
      <c r="T935" t="s">
        <v>73</v>
      </c>
      <c r="U935" t="s">
        <v>2668</v>
      </c>
      <c r="V935">
        <v>5.0679999999999996</v>
      </c>
      <c r="W935" t="s">
        <v>65</v>
      </c>
      <c r="X935">
        <v>1</v>
      </c>
      <c r="Y935">
        <v>2</v>
      </c>
      <c r="Z935">
        <v>8</v>
      </c>
      <c r="AA935">
        <v>0.2</v>
      </c>
      <c r="AB935">
        <v>0</v>
      </c>
      <c r="AC935">
        <v>0</v>
      </c>
      <c r="AD935">
        <v>0</v>
      </c>
      <c r="AE935">
        <v>2</v>
      </c>
      <c r="AF935">
        <v>0</v>
      </c>
      <c r="AG935">
        <v>0</v>
      </c>
      <c r="AH935">
        <v>0</v>
      </c>
      <c r="AI935">
        <v>0</v>
      </c>
      <c r="AJ935">
        <v>7</v>
      </c>
      <c r="AK935">
        <v>0</v>
      </c>
      <c r="AL935">
        <v>11</v>
      </c>
      <c r="AM935">
        <v>9</v>
      </c>
      <c r="AN935">
        <v>28</v>
      </c>
      <c r="AO935">
        <v>7</v>
      </c>
      <c r="AP935">
        <v>28</v>
      </c>
      <c r="AQ935">
        <v>3</v>
      </c>
      <c r="AR935" t="s">
        <v>20826</v>
      </c>
      <c r="AS935" t="s">
        <v>20827</v>
      </c>
      <c r="AT935">
        <v>0.47099999999999997</v>
      </c>
      <c r="AU935" t="s">
        <v>65</v>
      </c>
      <c r="AV935">
        <v>56</v>
      </c>
      <c r="AW935">
        <v>10</v>
      </c>
      <c r="AX935" t="s">
        <v>20828</v>
      </c>
      <c r="AY935">
        <v>7.46E-2</v>
      </c>
      <c r="AZ935">
        <v>-7.4900000000000001E-3</v>
      </c>
      <c r="BA935">
        <v>3.5000000000000001E-3</v>
      </c>
      <c r="BB935">
        <v>-2.4000000000000001E-4</v>
      </c>
      <c r="BC935">
        <v>4.6920000000000003E-2</v>
      </c>
      <c r="BD935">
        <v>1</v>
      </c>
      <c r="BE935" t="s">
        <v>69</v>
      </c>
      <c r="BF935">
        <v>-1.698</v>
      </c>
      <c r="BG935">
        <v>-3.51</v>
      </c>
    </row>
    <row r="936" spans="1:59">
      <c r="A936">
        <v>0</v>
      </c>
      <c r="B936">
        <v>2</v>
      </c>
      <c r="C936">
        <v>0</v>
      </c>
      <c r="D936" t="s">
        <v>25022</v>
      </c>
      <c r="E936">
        <v>2604</v>
      </c>
      <c r="F936" t="s">
        <v>15245</v>
      </c>
      <c r="G936" t="s">
        <v>62</v>
      </c>
      <c r="H936">
        <v>2585437</v>
      </c>
      <c r="I936">
        <v>2586042</v>
      </c>
      <c r="J936" t="s">
        <v>15246</v>
      </c>
      <c r="K936">
        <v>202</v>
      </c>
      <c r="L936" t="s">
        <v>59</v>
      </c>
      <c r="M936">
        <v>49</v>
      </c>
      <c r="N936" t="str">
        <f>HYPERLINK("Gene2604-zp_tree_all.dnd", "Gene2604-tree")</f>
        <v>Gene2604-tree</v>
      </c>
      <c r="O936">
        <v>12</v>
      </c>
      <c r="P936">
        <v>4</v>
      </c>
      <c r="Q936">
        <v>12</v>
      </c>
      <c r="R936">
        <v>4</v>
      </c>
      <c r="S936">
        <v>0.25</v>
      </c>
      <c r="T936" t="s">
        <v>109</v>
      </c>
      <c r="U936" t="s">
        <v>61</v>
      </c>
      <c r="V936" t="s">
        <v>62</v>
      </c>
      <c r="W936" t="s">
        <v>62</v>
      </c>
      <c r="X936">
        <v>1</v>
      </c>
      <c r="Y936">
        <v>2</v>
      </c>
      <c r="Z936">
        <v>6</v>
      </c>
      <c r="AA936">
        <v>0.25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5</v>
      </c>
      <c r="AK936">
        <v>0</v>
      </c>
      <c r="AL936">
        <v>13</v>
      </c>
      <c r="AM936">
        <v>8</v>
      </c>
      <c r="AN936">
        <v>22</v>
      </c>
      <c r="AO936">
        <v>5</v>
      </c>
      <c r="AP936">
        <v>22</v>
      </c>
      <c r="AQ936">
        <v>3</v>
      </c>
      <c r="AR936" t="s">
        <v>15247</v>
      </c>
      <c r="AS936" t="s">
        <v>15248</v>
      </c>
      <c r="AT936">
        <v>0.35099999999999998</v>
      </c>
      <c r="AU936" t="s">
        <v>65</v>
      </c>
      <c r="AV936">
        <v>44</v>
      </c>
      <c r="AW936">
        <v>8</v>
      </c>
      <c r="AX936" t="s">
        <v>15249</v>
      </c>
      <c r="AY936">
        <v>6.7989999999999995E-2</v>
      </c>
      <c r="AZ936">
        <v>-4.0200000000000001E-3</v>
      </c>
      <c r="BA936">
        <v>3.14E-3</v>
      </c>
      <c r="BB936">
        <v>-2.4000000000000001E-4</v>
      </c>
      <c r="BC936">
        <v>4.6120000000000001E-2</v>
      </c>
      <c r="BD936">
        <v>1</v>
      </c>
      <c r="BE936" t="s">
        <v>69</v>
      </c>
      <c r="BF936">
        <v>-1.6279999999999999</v>
      </c>
      <c r="BG936">
        <v>-1.012</v>
      </c>
    </row>
    <row r="937" spans="1:59">
      <c r="A937">
        <v>0</v>
      </c>
      <c r="B937">
        <v>0</v>
      </c>
      <c r="C937">
        <v>0</v>
      </c>
      <c r="D937" t="s">
        <v>25022</v>
      </c>
      <c r="E937">
        <v>3473</v>
      </c>
      <c r="F937" t="s">
        <v>20345</v>
      </c>
      <c r="G937" t="s">
        <v>62</v>
      </c>
      <c r="H937">
        <v>3436852</v>
      </c>
      <c r="I937">
        <v>3437457</v>
      </c>
      <c r="J937" t="s">
        <v>6103</v>
      </c>
      <c r="K937">
        <v>202</v>
      </c>
      <c r="L937" t="s">
        <v>289</v>
      </c>
      <c r="M937">
        <v>46</v>
      </c>
      <c r="N937" t="str">
        <f>HYPERLINK("Gene3473-zp_tree_all.dnd", "Gene3473-tree")</f>
        <v>Gene3473-tree</v>
      </c>
      <c r="O937">
        <v>14</v>
      </c>
      <c r="P937">
        <v>2</v>
      </c>
      <c r="Q937">
        <v>14</v>
      </c>
      <c r="R937">
        <v>2</v>
      </c>
      <c r="S937">
        <v>0.125</v>
      </c>
      <c r="T937" t="s">
        <v>543</v>
      </c>
      <c r="U937" t="s">
        <v>81</v>
      </c>
      <c r="V937" t="s">
        <v>62</v>
      </c>
      <c r="W937" t="s">
        <v>62</v>
      </c>
      <c r="X937">
        <v>0</v>
      </c>
      <c r="Y937">
        <v>0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</v>
      </c>
      <c r="AK937">
        <v>0</v>
      </c>
      <c r="AL937">
        <v>12</v>
      </c>
      <c r="AM937">
        <v>9</v>
      </c>
      <c r="AN937">
        <v>29</v>
      </c>
      <c r="AO937">
        <v>2</v>
      </c>
      <c r="AP937">
        <v>30</v>
      </c>
      <c r="AQ937">
        <v>0</v>
      </c>
      <c r="AR937" t="s">
        <v>20346</v>
      </c>
      <c r="AS937" t="s">
        <v>193</v>
      </c>
      <c r="AT937">
        <v>0.57099999999999995</v>
      </c>
      <c r="AU937" t="s">
        <v>65</v>
      </c>
      <c r="AV937">
        <v>59</v>
      </c>
      <c r="AW937">
        <v>2</v>
      </c>
      <c r="AX937" t="s">
        <v>20347</v>
      </c>
      <c r="AY937">
        <v>8.115E-2</v>
      </c>
      <c r="AZ937">
        <v>-6.6800000000000002E-3</v>
      </c>
      <c r="BA937">
        <v>5.8E-4</v>
      </c>
      <c r="BB937">
        <v>-9.0000000000000006E-5</v>
      </c>
      <c r="BC937">
        <v>7.1799999999999998E-3</v>
      </c>
      <c r="BD937">
        <v>1</v>
      </c>
      <c r="BE937" t="s">
        <v>69</v>
      </c>
      <c r="BF937">
        <v>-0.86699999999999999</v>
      </c>
      <c r="BG937">
        <v>-0.58599999999999997</v>
      </c>
    </row>
    <row r="938" spans="1:59">
      <c r="A938">
        <v>0</v>
      </c>
      <c r="B938">
        <v>0</v>
      </c>
      <c r="C938">
        <v>0</v>
      </c>
      <c r="D938" t="s">
        <v>25022</v>
      </c>
      <c r="E938">
        <v>2962</v>
      </c>
      <c r="F938" t="s">
        <v>17087</v>
      </c>
      <c r="G938" t="s">
        <v>62</v>
      </c>
      <c r="H938">
        <v>2908132</v>
      </c>
      <c r="I938">
        <v>2908737</v>
      </c>
      <c r="J938" t="s">
        <v>17088</v>
      </c>
      <c r="K938">
        <v>202</v>
      </c>
      <c r="L938" t="s">
        <v>59</v>
      </c>
      <c r="M938">
        <v>49</v>
      </c>
      <c r="N938" t="str">
        <f>HYPERLINK("Gene2962-zp_tree_all.dnd", "Gene2962-tree")</f>
        <v>Gene2962-tree</v>
      </c>
      <c r="O938">
        <v>31</v>
      </c>
      <c r="P938">
        <v>1</v>
      </c>
      <c r="Q938">
        <v>14</v>
      </c>
      <c r="R938">
        <v>1</v>
      </c>
      <c r="S938">
        <v>6.6669999999999993E-2</v>
      </c>
      <c r="T938" t="s">
        <v>4627</v>
      </c>
      <c r="U938" t="s">
        <v>175</v>
      </c>
      <c r="V938" t="s">
        <v>62</v>
      </c>
      <c r="W938" t="s">
        <v>62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8</v>
      </c>
      <c r="AM938">
        <v>12</v>
      </c>
      <c r="AN938">
        <v>10</v>
      </c>
      <c r="AO938">
        <v>1</v>
      </c>
      <c r="AP938">
        <v>23</v>
      </c>
      <c r="AQ938">
        <v>0</v>
      </c>
      <c r="AR938" t="s">
        <v>17089</v>
      </c>
      <c r="AS938" t="s">
        <v>193</v>
      </c>
      <c r="AT938">
        <v>0.36399999999999999</v>
      </c>
      <c r="AU938" t="s">
        <v>65</v>
      </c>
      <c r="AV938">
        <v>33</v>
      </c>
      <c r="AW938">
        <v>1</v>
      </c>
      <c r="AX938" t="s">
        <v>17090</v>
      </c>
      <c r="AY938">
        <v>6.1879999999999998E-2</v>
      </c>
      <c r="AZ938">
        <v>-3.1700000000000001E-3</v>
      </c>
      <c r="BA938">
        <v>2.9E-4</v>
      </c>
      <c r="BB938">
        <v>-6.9999999999999994E-5</v>
      </c>
      <c r="BC938">
        <v>4.6800000000000001E-3</v>
      </c>
      <c r="BD938">
        <v>1</v>
      </c>
      <c r="BE938" t="s">
        <v>69</v>
      </c>
      <c r="BF938">
        <v>0.129</v>
      </c>
      <c r="BG938">
        <v>8.7999999999999995E-2</v>
      </c>
    </row>
    <row r="939" spans="1:59">
      <c r="A939">
        <v>0</v>
      </c>
      <c r="B939">
        <v>0</v>
      </c>
      <c r="C939">
        <v>0</v>
      </c>
      <c r="D939" t="s">
        <v>25022</v>
      </c>
      <c r="E939">
        <v>2275</v>
      </c>
      <c r="F939" t="s">
        <v>13163</v>
      </c>
      <c r="G939" t="s">
        <v>62</v>
      </c>
      <c r="H939">
        <v>2298538</v>
      </c>
      <c r="I939">
        <v>2299146</v>
      </c>
      <c r="J939" t="s">
        <v>288</v>
      </c>
      <c r="K939">
        <v>203</v>
      </c>
      <c r="L939" t="s">
        <v>108</v>
      </c>
      <c r="M939">
        <v>44</v>
      </c>
      <c r="N939" t="str">
        <f>HYPERLINK("Gene2275-zp_tree_all.dnd", "Gene2275-tree")</f>
        <v>Gene2275-tree</v>
      </c>
      <c r="O939">
        <v>28</v>
      </c>
      <c r="P939">
        <v>2</v>
      </c>
      <c r="Q939">
        <v>7</v>
      </c>
      <c r="R939">
        <v>2</v>
      </c>
      <c r="S939">
        <v>0.22222</v>
      </c>
      <c r="T939" t="s">
        <v>4142</v>
      </c>
      <c r="U939" t="s">
        <v>81</v>
      </c>
      <c r="V939" t="s">
        <v>62</v>
      </c>
      <c r="W939" t="s">
        <v>62</v>
      </c>
      <c r="X939">
        <v>0</v>
      </c>
      <c r="Y939">
        <v>0</v>
      </c>
      <c r="Z939">
        <v>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</v>
      </c>
      <c r="AK939">
        <v>0</v>
      </c>
      <c r="AL939">
        <v>6</v>
      </c>
      <c r="AM939">
        <v>4</v>
      </c>
      <c r="AN939">
        <v>8</v>
      </c>
      <c r="AO939">
        <v>2</v>
      </c>
      <c r="AP939">
        <v>2</v>
      </c>
      <c r="AQ939">
        <v>3</v>
      </c>
      <c r="AR939" t="s">
        <v>13164</v>
      </c>
      <c r="AS939" t="s">
        <v>13165</v>
      </c>
      <c r="AT939">
        <v>0.74299999999999999</v>
      </c>
      <c r="AU939" t="s">
        <v>65</v>
      </c>
      <c r="AV939">
        <v>10</v>
      </c>
      <c r="AW939">
        <v>5</v>
      </c>
      <c r="AX939" t="s">
        <v>13166</v>
      </c>
      <c r="AY939">
        <v>1.9439999999999999E-2</v>
      </c>
      <c r="AZ939">
        <v>-1.4599999999999999E-3</v>
      </c>
      <c r="BA939">
        <v>3.8500000000000001E-3</v>
      </c>
      <c r="BB939">
        <v>-5.4000000000000001E-4</v>
      </c>
      <c r="BC939">
        <v>0.19796</v>
      </c>
      <c r="BD939">
        <v>1</v>
      </c>
      <c r="BE939" t="s">
        <v>69</v>
      </c>
      <c r="BF939">
        <v>-0.92800000000000005</v>
      </c>
      <c r="BG939">
        <v>0.13700000000000001</v>
      </c>
    </row>
    <row r="940" spans="1:59">
      <c r="A940">
        <v>0</v>
      </c>
      <c r="B940">
        <v>7</v>
      </c>
      <c r="C940">
        <v>0</v>
      </c>
      <c r="D940" t="s">
        <v>25022</v>
      </c>
      <c r="E940">
        <v>2047</v>
      </c>
      <c r="F940" t="s">
        <v>12745</v>
      </c>
      <c r="G940" t="s">
        <v>62</v>
      </c>
      <c r="H940">
        <v>2136916</v>
      </c>
      <c r="I940">
        <v>2137524</v>
      </c>
      <c r="J940" t="s">
        <v>12746</v>
      </c>
      <c r="K940">
        <v>203</v>
      </c>
      <c r="L940" t="s">
        <v>108</v>
      </c>
      <c r="M940">
        <v>44</v>
      </c>
      <c r="N940" t="str">
        <f>HYPERLINK("Gene2047-zp_tree_all.dnd", "Gene2047-tree")</f>
        <v>Gene2047-tree</v>
      </c>
      <c r="O940">
        <v>2</v>
      </c>
      <c r="P940">
        <v>12</v>
      </c>
      <c r="Q940">
        <v>2</v>
      </c>
      <c r="R940">
        <v>12</v>
      </c>
      <c r="S940">
        <v>0.85714000000000001</v>
      </c>
      <c r="T940" t="s">
        <v>81</v>
      </c>
      <c r="U940" t="s">
        <v>109</v>
      </c>
      <c r="V940" t="s">
        <v>62</v>
      </c>
      <c r="W940" t="s">
        <v>62</v>
      </c>
      <c r="X940">
        <v>3</v>
      </c>
      <c r="Y940">
        <v>7</v>
      </c>
      <c r="Z940">
        <v>14</v>
      </c>
      <c r="AA940">
        <v>0.33333000000000002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</v>
      </c>
      <c r="AH940">
        <v>0</v>
      </c>
      <c r="AI940">
        <v>2</v>
      </c>
      <c r="AJ940">
        <v>15</v>
      </c>
      <c r="AK940">
        <v>0.11765</v>
      </c>
      <c r="AL940">
        <v>10</v>
      </c>
      <c r="AM940">
        <v>8</v>
      </c>
      <c r="AN940">
        <v>17</v>
      </c>
      <c r="AO940">
        <v>14</v>
      </c>
      <c r="AP940">
        <v>16</v>
      </c>
      <c r="AQ940">
        <v>8</v>
      </c>
      <c r="AR940" t="s">
        <v>12747</v>
      </c>
      <c r="AS940" t="s">
        <v>12748</v>
      </c>
      <c r="AT940">
        <v>0.85</v>
      </c>
      <c r="AU940" t="s">
        <v>65</v>
      </c>
      <c r="AV940">
        <v>33</v>
      </c>
      <c r="AW940">
        <v>22</v>
      </c>
      <c r="AX940" t="s">
        <v>12749</v>
      </c>
      <c r="AY940">
        <v>4.4609999999999997E-2</v>
      </c>
      <c r="AZ940">
        <v>-2.2899999999999999E-3</v>
      </c>
      <c r="BA940">
        <v>8.26E-3</v>
      </c>
      <c r="BB940">
        <v>-3.8000000000000002E-4</v>
      </c>
      <c r="BC940">
        <v>0.18506</v>
      </c>
      <c r="BD940">
        <v>1</v>
      </c>
      <c r="BE940" t="s">
        <v>69</v>
      </c>
      <c r="BF940">
        <v>-0.91300000000000003</v>
      </c>
      <c r="BG940">
        <v>-1.2470000000000001</v>
      </c>
    </row>
    <row r="941" spans="1:59">
      <c r="A941">
        <v>0</v>
      </c>
      <c r="B941">
        <v>0</v>
      </c>
      <c r="C941">
        <v>0</v>
      </c>
      <c r="D941" t="s">
        <v>25022</v>
      </c>
      <c r="E941">
        <v>2437</v>
      </c>
      <c r="F941" t="s">
        <v>14185</v>
      </c>
      <c r="G941" t="s">
        <v>62</v>
      </c>
      <c r="H941">
        <v>2439807</v>
      </c>
      <c r="I941">
        <v>2440415</v>
      </c>
      <c r="J941" t="s">
        <v>14186</v>
      </c>
      <c r="K941">
        <v>203</v>
      </c>
      <c r="L941" t="s">
        <v>465</v>
      </c>
      <c r="M941">
        <v>46</v>
      </c>
      <c r="N941" t="str">
        <f>HYPERLINK("Gene2437-zp_tree_all.dnd", "Gene2437-tree")</f>
        <v>Gene2437-tree</v>
      </c>
      <c r="O941">
        <v>36</v>
      </c>
      <c r="P941">
        <v>0</v>
      </c>
      <c r="Q941">
        <v>13</v>
      </c>
      <c r="R941">
        <v>0</v>
      </c>
      <c r="S941">
        <v>0</v>
      </c>
      <c r="T941" t="s">
        <v>14187</v>
      </c>
      <c r="U941" t="s">
        <v>62</v>
      </c>
      <c r="V941" t="s">
        <v>62</v>
      </c>
      <c r="W941" t="s">
        <v>62</v>
      </c>
      <c r="X941">
        <v>0</v>
      </c>
      <c r="Y941">
        <v>0</v>
      </c>
      <c r="Z941">
        <v>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9</v>
      </c>
      <c r="AM941">
        <v>6</v>
      </c>
      <c r="AN941">
        <v>9</v>
      </c>
      <c r="AO941">
        <v>0</v>
      </c>
      <c r="AP941">
        <v>27</v>
      </c>
      <c r="AQ941">
        <v>8</v>
      </c>
      <c r="AR941" t="s">
        <v>193</v>
      </c>
      <c r="AS941" t="s">
        <v>14188</v>
      </c>
      <c r="AT941">
        <v>0.32500000000000001</v>
      </c>
      <c r="AU941" t="s">
        <v>65</v>
      </c>
      <c r="AV941">
        <v>36</v>
      </c>
      <c r="AW941">
        <v>8</v>
      </c>
      <c r="AX941" t="s">
        <v>14189</v>
      </c>
      <c r="AY941">
        <v>6.7369999999999999E-2</v>
      </c>
      <c r="AZ941">
        <v>-7.6299999999999996E-3</v>
      </c>
      <c r="BA941">
        <v>4.9399999999999999E-3</v>
      </c>
      <c r="BB941">
        <v>-8.8999999999999995E-4</v>
      </c>
      <c r="BC941">
        <v>7.3289999999999994E-2</v>
      </c>
      <c r="BD941">
        <v>1</v>
      </c>
      <c r="BE941" t="s">
        <v>69</v>
      </c>
      <c r="BF941">
        <v>-1.655</v>
      </c>
      <c r="BG941">
        <v>0.50600000000000001</v>
      </c>
    </row>
    <row r="942" spans="1:59">
      <c r="A942">
        <v>0</v>
      </c>
      <c r="B942">
        <v>2</v>
      </c>
      <c r="C942">
        <v>0</v>
      </c>
      <c r="D942" t="s">
        <v>25022</v>
      </c>
      <c r="E942">
        <v>25</v>
      </c>
      <c r="F942" t="s">
        <v>247</v>
      </c>
      <c r="G942" t="s">
        <v>57</v>
      </c>
      <c r="H942">
        <v>35845</v>
      </c>
      <c r="I942">
        <v>36456</v>
      </c>
      <c r="J942" t="s">
        <v>248</v>
      </c>
      <c r="K942">
        <v>204</v>
      </c>
      <c r="L942" t="s">
        <v>249</v>
      </c>
      <c r="M942">
        <v>42</v>
      </c>
      <c r="N942" t="str">
        <f>HYPERLINK("Gene25-zp_tree_all.dnd", "Gene25-tree")</f>
        <v>Gene25-tree</v>
      </c>
      <c r="O942">
        <v>2</v>
      </c>
      <c r="P942">
        <v>30</v>
      </c>
      <c r="Q942">
        <v>2</v>
      </c>
      <c r="R942">
        <v>10</v>
      </c>
      <c r="S942">
        <v>0.83333000000000002</v>
      </c>
      <c r="T942" t="s">
        <v>81</v>
      </c>
      <c r="U942" t="s">
        <v>250</v>
      </c>
      <c r="V942">
        <v>0</v>
      </c>
      <c r="W942" t="s">
        <v>65</v>
      </c>
      <c r="X942">
        <v>1</v>
      </c>
      <c r="Y942">
        <v>2</v>
      </c>
      <c r="Z942">
        <v>14</v>
      </c>
      <c r="AA942">
        <v>0.125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2</v>
      </c>
      <c r="AH942">
        <v>0</v>
      </c>
      <c r="AI942">
        <v>2</v>
      </c>
      <c r="AJ942">
        <v>13</v>
      </c>
      <c r="AK942">
        <v>0.13333</v>
      </c>
      <c r="AL942">
        <v>7</v>
      </c>
      <c r="AM942">
        <v>6</v>
      </c>
      <c r="AN942">
        <v>10</v>
      </c>
      <c r="AO942">
        <v>10</v>
      </c>
      <c r="AP942">
        <v>4</v>
      </c>
      <c r="AQ942">
        <v>6</v>
      </c>
      <c r="AR942" t="s">
        <v>251</v>
      </c>
      <c r="AS942" t="s">
        <v>252</v>
      </c>
      <c r="AT942">
        <v>0.49199999999999999</v>
      </c>
      <c r="AU942" t="s">
        <v>65</v>
      </c>
      <c r="AV942">
        <v>14</v>
      </c>
      <c r="AW942">
        <v>16</v>
      </c>
      <c r="AX942" t="s">
        <v>253</v>
      </c>
      <c r="AY942">
        <v>2.3179999999999999E-2</v>
      </c>
      <c r="AZ942">
        <v>-1.9400000000000001E-3</v>
      </c>
      <c r="BA942">
        <v>8.2799999999999992E-3</v>
      </c>
      <c r="BB942">
        <v>-5.0000000000000001E-4</v>
      </c>
      <c r="BC942">
        <v>0.35693000000000003</v>
      </c>
      <c r="BD942">
        <v>0.96</v>
      </c>
      <c r="BE942" t="s">
        <v>69</v>
      </c>
      <c r="BF942">
        <v>-0.42699999999999999</v>
      </c>
      <c r="BG942">
        <v>-0.23</v>
      </c>
    </row>
    <row r="943" spans="1:59">
      <c r="A943">
        <v>0</v>
      </c>
      <c r="B943">
        <v>7</v>
      </c>
      <c r="C943">
        <v>4</v>
      </c>
      <c r="D943" t="s">
        <v>25022</v>
      </c>
      <c r="E943">
        <v>1687</v>
      </c>
      <c r="F943" t="s">
        <v>10572</v>
      </c>
      <c r="G943" t="s">
        <v>57</v>
      </c>
      <c r="H943">
        <v>1697651</v>
      </c>
      <c r="I943">
        <v>1698262</v>
      </c>
      <c r="J943" t="s">
        <v>10573</v>
      </c>
      <c r="K943">
        <v>204</v>
      </c>
      <c r="L943" t="s">
        <v>10574</v>
      </c>
      <c r="M943">
        <v>46</v>
      </c>
      <c r="N943" t="str">
        <f>HYPERLINK("Gene1687-zp_tree_all.dnd", "Gene1687-tree")</f>
        <v>Gene1687-tree</v>
      </c>
      <c r="O943">
        <v>29</v>
      </c>
      <c r="P943">
        <v>5</v>
      </c>
      <c r="Q943">
        <v>9</v>
      </c>
      <c r="R943">
        <v>5</v>
      </c>
      <c r="S943">
        <v>0.35714000000000001</v>
      </c>
      <c r="T943" t="s">
        <v>234</v>
      </c>
      <c r="U943" t="s">
        <v>199</v>
      </c>
      <c r="V943" t="s">
        <v>62</v>
      </c>
      <c r="W943" t="s">
        <v>62</v>
      </c>
      <c r="X943">
        <v>5</v>
      </c>
      <c r="Y943">
        <v>11</v>
      </c>
      <c r="Z943">
        <v>15</v>
      </c>
      <c r="AA943">
        <v>0.42308000000000001</v>
      </c>
      <c r="AB943">
        <v>0</v>
      </c>
      <c r="AC943">
        <v>0</v>
      </c>
      <c r="AD943">
        <v>0</v>
      </c>
      <c r="AE943">
        <v>2</v>
      </c>
      <c r="AF943">
        <v>0</v>
      </c>
      <c r="AG943">
        <v>0</v>
      </c>
      <c r="AH943">
        <v>0</v>
      </c>
      <c r="AI943">
        <v>0</v>
      </c>
      <c r="AJ943">
        <v>8</v>
      </c>
      <c r="AK943">
        <v>0</v>
      </c>
      <c r="AL943">
        <v>9</v>
      </c>
      <c r="AM943">
        <v>7</v>
      </c>
      <c r="AN943">
        <v>28</v>
      </c>
      <c r="AO943">
        <v>8</v>
      </c>
      <c r="AP943">
        <v>19</v>
      </c>
      <c r="AQ943">
        <v>19</v>
      </c>
      <c r="AR943" t="s">
        <v>10575</v>
      </c>
      <c r="AS943" t="s">
        <v>10576</v>
      </c>
      <c r="AT943">
        <v>1.1140000000000001</v>
      </c>
      <c r="AU943" t="s">
        <v>65</v>
      </c>
      <c r="AV943">
        <v>47</v>
      </c>
      <c r="AW943">
        <v>27</v>
      </c>
      <c r="AX943" t="s">
        <v>10577</v>
      </c>
      <c r="AY943">
        <v>8.0049999999999996E-2</v>
      </c>
      <c r="AZ943">
        <v>-6.6800000000000002E-3</v>
      </c>
      <c r="BA943">
        <v>1.4670000000000001E-2</v>
      </c>
      <c r="BB943">
        <v>-1.3799999999999999E-3</v>
      </c>
      <c r="BC943">
        <v>0.18323999999999999</v>
      </c>
      <c r="BD943">
        <v>1</v>
      </c>
      <c r="BE943" t="s">
        <v>69</v>
      </c>
      <c r="BF943">
        <v>-1.825</v>
      </c>
      <c r="BG943">
        <v>-1.9430000000000001</v>
      </c>
    </row>
    <row r="944" spans="1:59">
      <c r="A944">
        <v>0</v>
      </c>
      <c r="B944">
        <v>2</v>
      </c>
      <c r="C944">
        <v>2</v>
      </c>
      <c r="D944" t="s">
        <v>25022</v>
      </c>
      <c r="E944">
        <v>52</v>
      </c>
      <c r="F944" t="s">
        <v>435</v>
      </c>
      <c r="G944" t="s">
        <v>57</v>
      </c>
      <c r="H944">
        <v>58783</v>
      </c>
      <c r="I944">
        <v>59394</v>
      </c>
      <c r="J944" t="s">
        <v>436</v>
      </c>
      <c r="K944">
        <v>204</v>
      </c>
      <c r="L944" t="s">
        <v>289</v>
      </c>
      <c r="M944">
        <v>46</v>
      </c>
      <c r="N944" t="str">
        <f>HYPERLINK("Gene52-zp_tree_all.dnd", "Gene52-tree")</f>
        <v>Gene52-tree</v>
      </c>
      <c r="O944">
        <v>7</v>
      </c>
      <c r="P944">
        <v>7</v>
      </c>
      <c r="Q944">
        <v>7</v>
      </c>
      <c r="R944">
        <v>7</v>
      </c>
      <c r="S944">
        <v>0.5</v>
      </c>
      <c r="T944" t="s">
        <v>152</v>
      </c>
      <c r="U944" t="s">
        <v>152</v>
      </c>
      <c r="V944" t="s">
        <v>62</v>
      </c>
      <c r="W944" t="s">
        <v>62</v>
      </c>
      <c r="X944">
        <v>2</v>
      </c>
      <c r="Y944">
        <v>4</v>
      </c>
      <c r="Z944">
        <v>9</v>
      </c>
      <c r="AA944">
        <v>0.30769000000000002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</v>
      </c>
      <c r="AH944">
        <v>0</v>
      </c>
      <c r="AI944">
        <v>2</v>
      </c>
      <c r="AJ944">
        <v>7</v>
      </c>
      <c r="AK944">
        <v>0.22222</v>
      </c>
      <c r="AL944">
        <v>11</v>
      </c>
      <c r="AM944">
        <v>7</v>
      </c>
      <c r="AN944">
        <v>13</v>
      </c>
      <c r="AO944">
        <v>8</v>
      </c>
      <c r="AP944">
        <v>32</v>
      </c>
      <c r="AQ944">
        <v>5</v>
      </c>
      <c r="AR944" t="s">
        <v>437</v>
      </c>
      <c r="AS944" t="s">
        <v>438</v>
      </c>
      <c r="AT944">
        <v>0.98799999999999999</v>
      </c>
      <c r="AU944" t="s">
        <v>65</v>
      </c>
      <c r="AV944">
        <v>45</v>
      </c>
      <c r="AW944">
        <v>13</v>
      </c>
      <c r="AX944" t="s">
        <v>439</v>
      </c>
      <c r="AY944">
        <v>7.5859999999999997E-2</v>
      </c>
      <c r="AZ944">
        <v>-8.7200000000000003E-3</v>
      </c>
      <c r="BA944">
        <v>5.3E-3</v>
      </c>
      <c r="BB944">
        <v>-5.0000000000000001E-4</v>
      </c>
      <c r="BC944">
        <v>6.9889999999999994E-2</v>
      </c>
      <c r="BD944">
        <v>1</v>
      </c>
      <c r="BE944" t="s">
        <v>69</v>
      </c>
      <c r="BF944">
        <v>-1.72</v>
      </c>
      <c r="BG944">
        <v>-1.2E-2</v>
      </c>
    </row>
    <row r="945" spans="1:59">
      <c r="A945">
        <v>0</v>
      </c>
      <c r="B945">
        <v>0</v>
      </c>
      <c r="C945">
        <v>0</v>
      </c>
      <c r="D945" t="s">
        <v>25022</v>
      </c>
      <c r="E945">
        <v>3951</v>
      </c>
      <c r="F945" t="s">
        <v>23204</v>
      </c>
      <c r="G945" t="s">
        <v>62</v>
      </c>
      <c r="H945">
        <v>3914694</v>
      </c>
      <c r="I945">
        <v>3915305</v>
      </c>
      <c r="J945" t="s">
        <v>23205</v>
      </c>
      <c r="K945">
        <v>204</v>
      </c>
      <c r="L945" t="s">
        <v>59</v>
      </c>
      <c r="M945">
        <v>49</v>
      </c>
      <c r="N945" t="str">
        <f>HYPERLINK("Gene3951-zp_tree_all.dnd", "Gene3951-tree")</f>
        <v>Gene3951-tree</v>
      </c>
      <c r="O945">
        <v>43</v>
      </c>
      <c r="P945">
        <v>0</v>
      </c>
      <c r="Q945">
        <v>10</v>
      </c>
      <c r="R945">
        <v>0</v>
      </c>
      <c r="S945">
        <v>0</v>
      </c>
      <c r="T945" t="s">
        <v>23206</v>
      </c>
      <c r="U945" t="s">
        <v>62</v>
      </c>
      <c r="V945" t="s">
        <v>62</v>
      </c>
      <c r="W945" t="s">
        <v>62</v>
      </c>
      <c r="X945">
        <v>0</v>
      </c>
      <c r="Y945">
        <v>0</v>
      </c>
      <c r="Z945">
        <v>4</v>
      </c>
      <c r="AA945">
        <v>0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9</v>
      </c>
      <c r="AM945">
        <v>4</v>
      </c>
      <c r="AN945">
        <v>18</v>
      </c>
      <c r="AO945">
        <v>0</v>
      </c>
      <c r="AP945">
        <v>12</v>
      </c>
      <c r="AQ945">
        <v>4</v>
      </c>
      <c r="AR945" t="s">
        <v>193</v>
      </c>
      <c r="AS945" t="s">
        <v>23207</v>
      </c>
      <c r="AT945">
        <v>1.615</v>
      </c>
      <c r="AU945" t="s">
        <v>65</v>
      </c>
      <c r="AV945">
        <v>30</v>
      </c>
      <c r="AW945">
        <v>4</v>
      </c>
      <c r="AX945" t="s">
        <v>23208</v>
      </c>
      <c r="AY945">
        <v>5.9630000000000002E-2</v>
      </c>
      <c r="AZ945">
        <v>-4.7600000000000003E-3</v>
      </c>
      <c r="BA945">
        <v>4.15E-3</v>
      </c>
      <c r="BB945">
        <v>-4.6999999999999999E-4</v>
      </c>
      <c r="BC945">
        <v>6.9650000000000004E-2</v>
      </c>
      <c r="BD945">
        <v>1</v>
      </c>
      <c r="BE945" t="s">
        <v>69</v>
      </c>
      <c r="BF945">
        <v>-0.88200000000000001</v>
      </c>
      <c r="BG945">
        <v>5.2999999999999999E-2</v>
      </c>
    </row>
    <row r="946" spans="1:59">
      <c r="A946">
        <v>0</v>
      </c>
      <c r="B946">
        <v>5</v>
      </c>
      <c r="C946">
        <v>1</v>
      </c>
      <c r="D946" t="s">
        <v>25022</v>
      </c>
      <c r="E946">
        <v>366</v>
      </c>
      <c r="F946" t="s">
        <v>2482</v>
      </c>
      <c r="G946" t="s">
        <v>57</v>
      </c>
      <c r="H946">
        <v>412540</v>
      </c>
      <c r="I946">
        <v>413151</v>
      </c>
      <c r="J946" t="s">
        <v>2483</v>
      </c>
      <c r="K946">
        <v>204</v>
      </c>
      <c r="L946" t="s">
        <v>125</v>
      </c>
      <c r="M946">
        <v>48</v>
      </c>
      <c r="N946" t="str">
        <f>HYPERLINK("Gene366-zp_tree_all.dnd", "Gene366-tree")</f>
        <v>Gene366-tree</v>
      </c>
      <c r="O946">
        <v>11</v>
      </c>
      <c r="P946">
        <v>8</v>
      </c>
      <c r="Q946">
        <v>11</v>
      </c>
      <c r="R946">
        <v>8</v>
      </c>
      <c r="S946">
        <v>0.42104999999999998</v>
      </c>
      <c r="T946" t="s">
        <v>73</v>
      </c>
      <c r="U946" t="s">
        <v>136</v>
      </c>
      <c r="V946" t="s">
        <v>62</v>
      </c>
      <c r="W946" t="s">
        <v>62</v>
      </c>
      <c r="X946">
        <v>2</v>
      </c>
      <c r="Y946">
        <v>6</v>
      </c>
      <c r="Z946">
        <v>10</v>
      </c>
      <c r="AA946">
        <v>0.375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</v>
      </c>
      <c r="AH946">
        <v>2</v>
      </c>
      <c r="AI946">
        <v>4</v>
      </c>
      <c r="AJ946">
        <v>8</v>
      </c>
      <c r="AK946">
        <v>0.33333000000000002</v>
      </c>
      <c r="AL946">
        <v>14</v>
      </c>
      <c r="AM946">
        <v>11</v>
      </c>
      <c r="AN946">
        <v>26</v>
      </c>
      <c r="AO946">
        <v>12</v>
      </c>
      <c r="AP946">
        <v>32</v>
      </c>
      <c r="AQ946">
        <v>4</v>
      </c>
      <c r="AR946" t="s">
        <v>2484</v>
      </c>
      <c r="AS946" t="s">
        <v>2485</v>
      </c>
      <c r="AT946">
        <v>0.95699999999999996</v>
      </c>
      <c r="AU946" t="s">
        <v>65</v>
      </c>
      <c r="AV946">
        <v>58</v>
      </c>
      <c r="AW946">
        <v>16</v>
      </c>
      <c r="AX946" t="s">
        <v>2486</v>
      </c>
      <c r="AY946">
        <v>7.7520000000000006E-2</v>
      </c>
      <c r="AZ946">
        <v>-4.2300000000000003E-3</v>
      </c>
      <c r="BA946">
        <v>4.9300000000000004E-3</v>
      </c>
      <c r="BB946">
        <v>-2.7E-4</v>
      </c>
      <c r="BC946">
        <v>6.3549999999999995E-2</v>
      </c>
      <c r="BD946">
        <v>1</v>
      </c>
      <c r="BE946" t="s">
        <v>69</v>
      </c>
      <c r="BF946">
        <v>-0.98799999999999999</v>
      </c>
      <c r="BG946">
        <v>-0.68200000000000005</v>
      </c>
    </row>
    <row r="947" spans="1:59">
      <c r="A947">
        <v>0</v>
      </c>
      <c r="B947">
        <v>0</v>
      </c>
      <c r="C947">
        <v>0</v>
      </c>
      <c r="D947" t="s">
        <v>25022</v>
      </c>
      <c r="E947">
        <v>3910</v>
      </c>
      <c r="F947" t="s">
        <v>22932</v>
      </c>
      <c r="G947" t="s">
        <v>62</v>
      </c>
      <c r="H947">
        <v>3873569</v>
      </c>
      <c r="I947">
        <v>3874180</v>
      </c>
      <c r="J947" t="s">
        <v>22933</v>
      </c>
      <c r="K947">
        <v>204</v>
      </c>
      <c r="L947" t="s">
        <v>465</v>
      </c>
      <c r="M947">
        <v>46</v>
      </c>
      <c r="N947" t="str">
        <f>HYPERLINK("Gene3910-zp_tree_all.dnd", "Gene3910-tree")</f>
        <v>Gene3910-tree</v>
      </c>
      <c r="O947">
        <v>9</v>
      </c>
      <c r="P947">
        <v>6</v>
      </c>
      <c r="Q947">
        <v>9</v>
      </c>
      <c r="R947">
        <v>6</v>
      </c>
      <c r="S947">
        <v>0.4</v>
      </c>
      <c r="T947" t="s">
        <v>135</v>
      </c>
      <c r="U947" t="s">
        <v>90</v>
      </c>
      <c r="V947" t="s">
        <v>62</v>
      </c>
      <c r="W947" t="s">
        <v>62</v>
      </c>
      <c r="X947">
        <v>0</v>
      </c>
      <c r="Y947">
        <v>0</v>
      </c>
      <c r="Z947">
        <v>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6</v>
      </c>
      <c r="AK947">
        <v>0</v>
      </c>
      <c r="AL947">
        <v>10</v>
      </c>
      <c r="AM947">
        <v>6</v>
      </c>
      <c r="AN947">
        <v>7</v>
      </c>
      <c r="AO947">
        <v>6</v>
      </c>
      <c r="AP947">
        <v>30</v>
      </c>
      <c r="AQ947">
        <v>3</v>
      </c>
      <c r="AR947" t="s">
        <v>22934</v>
      </c>
      <c r="AS947" t="s">
        <v>22935</v>
      </c>
      <c r="AT947">
        <v>1.095</v>
      </c>
      <c r="AU947" t="s">
        <v>65</v>
      </c>
      <c r="AV947">
        <v>37</v>
      </c>
      <c r="AW947">
        <v>9</v>
      </c>
      <c r="AX947" t="s">
        <v>22936</v>
      </c>
      <c r="AY947">
        <v>6.8269999999999997E-2</v>
      </c>
      <c r="AZ947">
        <v>-8.1700000000000002E-3</v>
      </c>
      <c r="BA947">
        <v>3.2799999999999999E-3</v>
      </c>
      <c r="BB947">
        <v>-3.5E-4</v>
      </c>
      <c r="BC947">
        <v>4.8030000000000003E-2</v>
      </c>
      <c r="BD947">
        <v>1</v>
      </c>
      <c r="BE947" t="s">
        <v>69</v>
      </c>
      <c r="BF947">
        <v>-1.87</v>
      </c>
      <c r="BG947">
        <v>0.307</v>
      </c>
    </row>
    <row r="948" spans="1:59">
      <c r="A948">
        <v>0</v>
      </c>
      <c r="B948">
        <v>2</v>
      </c>
      <c r="C948">
        <v>0</v>
      </c>
      <c r="D948" t="s">
        <v>25022</v>
      </c>
      <c r="E948">
        <v>1629</v>
      </c>
      <c r="F948" t="s">
        <v>10205</v>
      </c>
      <c r="G948" t="s">
        <v>57</v>
      </c>
      <c r="H948">
        <v>1641949</v>
      </c>
      <c r="I948">
        <v>1642560</v>
      </c>
      <c r="J948" t="s">
        <v>10206</v>
      </c>
      <c r="K948">
        <v>204</v>
      </c>
      <c r="L948" t="s">
        <v>59</v>
      </c>
      <c r="M948">
        <v>49</v>
      </c>
      <c r="N948" t="str">
        <f>HYPERLINK("Gene1629-zp_tree_all.dnd", "Gene1629-tree")</f>
        <v>Gene1629-tree</v>
      </c>
      <c r="O948">
        <v>13</v>
      </c>
      <c r="P948">
        <v>3</v>
      </c>
      <c r="Q948">
        <v>13</v>
      </c>
      <c r="R948">
        <v>3</v>
      </c>
      <c r="S948">
        <v>0.1875</v>
      </c>
      <c r="T948" t="s">
        <v>507</v>
      </c>
      <c r="U948" t="s">
        <v>324</v>
      </c>
      <c r="V948" t="s">
        <v>62</v>
      </c>
      <c r="W948" t="s">
        <v>62</v>
      </c>
      <c r="X948">
        <v>1</v>
      </c>
      <c r="Y948">
        <v>2</v>
      </c>
      <c r="Z948">
        <v>3</v>
      </c>
      <c r="AA948">
        <v>0.4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3</v>
      </c>
      <c r="AK948">
        <v>0</v>
      </c>
      <c r="AL948">
        <v>12</v>
      </c>
      <c r="AM948">
        <v>6</v>
      </c>
      <c r="AN948">
        <v>20</v>
      </c>
      <c r="AO948">
        <v>3</v>
      </c>
      <c r="AP948">
        <v>24</v>
      </c>
      <c r="AQ948">
        <v>2</v>
      </c>
      <c r="AR948" t="s">
        <v>10207</v>
      </c>
      <c r="AS948" t="s">
        <v>10208</v>
      </c>
      <c r="AT948">
        <v>0.33500000000000002</v>
      </c>
      <c r="AU948" t="s">
        <v>65</v>
      </c>
      <c r="AV948">
        <v>44</v>
      </c>
      <c r="AW948">
        <v>5</v>
      </c>
      <c r="AX948" t="s">
        <v>10209</v>
      </c>
      <c r="AY948">
        <v>8.9069999999999996E-2</v>
      </c>
      <c r="AZ948">
        <v>-7.4099999999999999E-3</v>
      </c>
      <c r="BA948">
        <v>1.7099999999999999E-3</v>
      </c>
      <c r="BB948">
        <v>-1.9000000000000001E-4</v>
      </c>
      <c r="BC948">
        <v>1.925E-2</v>
      </c>
      <c r="BD948">
        <v>1</v>
      </c>
      <c r="BE948" t="s">
        <v>69</v>
      </c>
      <c r="BF948">
        <v>-1.0860000000000001</v>
      </c>
      <c r="BG948">
        <v>-1.1479999999999999</v>
      </c>
    </row>
    <row r="949" spans="1:59">
      <c r="A949">
        <v>0</v>
      </c>
      <c r="B949">
        <v>0</v>
      </c>
      <c r="C949">
        <v>0</v>
      </c>
      <c r="D949" t="s">
        <v>25022</v>
      </c>
      <c r="E949">
        <v>3109</v>
      </c>
      <c r="F949" t="s">
        <v>18035</v>
      </c>
      <c r="G949" t="s">
        <v>62</v>
      </c>
      <c r="H949">
        <v>3060677</v>
      </c>
      <c r="I949">
        <v>3061288</v>
      </c>
      <c r="J949" t="s">
        <v>18036</v>
      </c>
      <c r="K949">
        <v>204</v>
      </c>
      <c r="L949" t="s">
        <v>59</v>
      </c>
      <c r="M949">
        <v>49</v>
      </c>
      <c r="N949" t="str">
        <f>HYPERLINK("Gene3109-zp_tree_all.dnd", "Gene3109-tree")</f>
        <v>Gene3109-tree</v>
      </c>
      <c r="O949">
        <v>10</v>
      </c>
      <c r="P949">
        <v>1</v>
      </c>
      <c r="Q949">
        <v>10</v>
      </c>
      <c r="R949">
        <v>1</v>
      </c>
      <c r="S949">
        <v>9.0910000000000005E-2</v>
      </c>
      <c r="T949" t="s">
        <v>117</v>
      </c>
      <c r="U949" t="s">
        <v>175</v>
      </c>
      <c r="V949" t="s">
        <v>62</v>
      </c>
      <c r="W949" t="s">
        <v>62</v>
      </c>
      <c r="X949">
        <v>0</v>
      </c>
      <c r="Y949">
        <v>0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6</v>
      </c>
      <c r="AM949">
        <v>6</v>
      </c>
      <c r="AN949">
        <v>10</v>
      </c>
      <c r="AO949">
        <v>1</v>
      </c>
      <c r="AP949">
        <v>29</v>
      </c>
      <c r="AQ949">
        <v>1</v>
      </c>
      <c r="AR949" t="s">
        <v>18037</v>
      </c>
      <c r="AS949" t="s">
        <v>18038</v>
      </c>
      <c r="AT949">
        <v>0.28199999999999997</v>
      </c>
      <c r="AU949" t="s">
        <v>65</v>
      </c>
      <c r="AV949">
        <v>39</v>
      </c>
      <c r="AW949">
        <v>2</v>
      </c>
      <c r="AX949" t="s">
        <v>18039</v>
      </c>
      <c r="AY949">
        <v>0.11953</v>
      </c>
      <c r="AZ949">
        <v>-1.055E-2</v>
      </c>
      <c r="BA949">
        <v>1.2600000000000001E-3</v>
      </c>
      <c r="BB949">
        <v>-2.1000000000000001E-4</v>
      </c>
      <c r="BC949">
        <v>1.0529999999999999E-2</v>
      </c>
      <c r="BD949">
        <v>1</v>
      </c>
      <c r="BE949" t="s">
        <v>69</v>
      </c>
      <c r="BF949">
        <v>-1.4079999999999999</v>
      </c>
      <c r="BG949">
        <v>0.51200000000000001</v>
      </c>
    </row>
    <row r="950" spans="1:59">
      <c r="A950">
        <v>0</v>
      </c>
      <c r="B950">
        <v>18</v>
      </c>
      <c r="C950">
        <v>2</v>
      </c>
      <c r="D950" t="s">
        <v>25022</v>
      </c>
      <c r="E950">
        <v>2280</v>
      </c>
      <c r="F950" t="s">
        <v>13196</v>
      </c>
      <c r="G950" t="s">
        <v>62</v>
      </c>
      <c r="H950">
        <v>2303923</v>
      </c>
      <c r="I950">
        <v>2304537</v>
      </c>
      <c r="J950" t="s">
        <v>13197</v>
      </c>
      <c r="K950">
        <v>205</v>
      </c>
      <c r="L950" t="s">
        <v>108</v>
      </c>
      <c r="M950">
        <v>44</v>
      </c>
      <c r="N950" t="str">
        <f>HYPERLINK("Gene2280-zp_tree_all.dnd", "Gene2280-tree")</f>
        <v>Gene2280-tree</v>
      </c>
      <c r="O950">
        <v>2</v>
      </c>
      <c r="P950">
        <v>10</v>
      </c>
      <c r="Q950">
        <v>2</v>
      </c>
      <c r="R950">
        <v>10</v>
      </c>
      <c r="S950">
        <v>0.83333000000000002</v>
      </c>
      <c r="T950" t="s">
        <v>81</v>
      </c>
      <c r="U950" t="s">
        <v>117</v>
      </c>
      <c r="V950" t="s">
        <v>62</v>
      </c>
      <c r="W950" t="s">
        <v>62</v>
      </c>
      <c r="X950">
        <v>8</v>
      </c>
      <c r="Y950">
        <v>20</v>
      </c>
      <c r="Z950">
        <v>15</v>
      </c>
      <c r="AA950">
        <v>0.57142999999999999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5</v>
      </c>
      <c r="AH950">
        <v>3</v>
      </c>
      <c r="AI950">
        <v>8</v>
      </c>
      <c r="AJ950">
        <v>18</v>
      </c>
      <c r="AK950">
        <v>0.30769000000000002</v>
      </c>
      <c r="AL950">
        <v>11</v>
      </c>
      <c r="AM950">
        <v>7</v>
      </c>
      <c r="AN950">
        <v>11</v>
      </c>
      <c r="AO950">
        <v>26</v>
      </c>
      <c r="AP950">
        <v>9</v>
      </c>
      <c r="AQ950">
        <v>11</v>
      </c>
      <c r="AR950" t="s">
        <v>13198</v>
      </c>
      <c r="AS950" t="s">
        <v>13199</v>
      </c>
      <c r="AT950">
        <v>0.94599999999999995</v>
      </c>
      <c r="AU950" t="s">
        <v>65</v>
      </c>
      <c r="AV950">
        <v>20</v>
      </c>
      <c r="AW950">
        <v>37</v>
      </c>
      <c r="AX950" t="s">
        <v>13200</v>
      </c>
      <c r="AY950">
        <v>4.0599999999999997E-2</v>
      </c>
      <c r="AZ950">
        <v>-2.7000000000000001E-3</v>
      </c>
      <c r="BA950">
        <v>1.508E-2</v>
      </c>
      <c r="BB950">
        <v>-6.0999999999999997E-4</v>
      </c>
      <c r="BC950">
        <v>0.37132999999999999</v>
      </c>
      <c r="BD950">
        <v>0.98</v>
      </c>
      <c r="BE950" t="s">
        <v>69</v>
      </c>
      <c r="BF950">
        <v>-0.20100000000000001</v>
      </c>
      <c r="BG950">
        <v>-1.296</v>
      </c>
    </row>
    <row r="951" spans="1:59">
      <c r="A951">
        <v>0</v>
      </c>
      <c r="B951">
        <v>10</v>
      </c>
      <c r="C951">
        <v>1</v>
      </c>
      <c r="D951" t="s">
        <v>25022</v>
      </c>
      <c r="E951">
        <v>2663</v>
      </c>
      <c r="F951" t="s">
        <v>15616</v>
      </c>
      <c r="G951" t="s">
        <v>62</v>
      </c>
      <c r="H951">
        <v>2640516</v>
      </c>
      <c r="I951">
        <v>2641130</v>
      </c>
      <c r="J951" t="s">
        <v>15617</v>
      </c>
      <c r="K951">
        <v>205</v>
      </c>
      <c r="L951" t="s">
        <v>15618</v>
      </c>
      <c r="M951">
        <v>43</v>
      </c>
      <c r="N951" t="str">
        <f>HYPERLINK("Gene2663-zp_tree_all.dnd", "Gene2663-tree")</f>
        <v>Gene2663-tree</v>
      </c>
      <c r="O951">
        <v>3</v>
      </c>
      <c r="P951">
        <v>9</v>
      </c>
      <c r="Q951">
        <v>3</v>
      </c>
      <c r="R951">
        <v>9</v>
      </c>
      <c r="S951">
        <v>0.75</v>
      </c>
      <c r="T951" t="s">
        <v>324</v>
      </c>
      <c r="U951" t="s">
        <v>135</v>
      </c>
      <c r="V951" t="s">
        <v>62</v>
      </c>
      <c r="W951" t="s">
        <v>62</v>
      </c>
      <c r="X951">
        <v>4</v>
      </c>
      <c r="Y951">
        <v>11</v>
      </c>
      <c r="Z951">
        <v>22</v>
      </c>
      <c r="AA951">
        <v>0.33333000000000002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2</v>
      </c>
      <c r="AH951">
        <v>2</v>
      </c>
      <c r="AI951">
        <v>4</v>
      </c>
      <c r="AJ951">
        <v>21</v>
      </c>
      <c r="AK951">
        <v>0.16</v>
      </c>
      <c r="AL951">
        <v>11</v>
      </c>
      <c r="AM951">
        <v>6</v>
      </c>
      <c r="AN951">
        <v>17</v>
      </c>
      <c r="AO951">
        <v>25</v>
      </c>
      <c r="AP951">
        <v>7</v>
      </c>
      <c r="AQ951">
        <v>9</v>
      </c>
      <c r="AR951" t="s">
        <v>15619</v>
      </c>
      <c r="AS951" t="s">
        <v>15620</v>
      </c>
      <c r="AT951">
        <v>0.26200000000000001</v>
      </c>
      <c r="AU951" t="s">
        <v>65</v>
      </c>
      <c r="AV951">
        <v>24</v>
      </c>
      <c r="AW951">
        <v>34</v>
      </c>
      <c r="AX951" t="s">
        <v>15621</v>
      </c>
      <c r="AY951">
        <v>3.6740000000000002E-2</v>
      </c>
      <c r="AZ951">
        <v>-2E-3</v>
      </c>
      <c r="BA951">
        <v>1.337E-2</v>
      </c>
      <c r="BB951">
        <v>-6.6E-4</v>
      </c>
      <c r="BC951">
        <v>0.36397000000000002</v>
      </c>
      <c r="BD951">
        <v>0.96</v>
      </c>
      <c r="BE951" t="s">
        <v>69</v>
      </c>
      <c r="BF951">
        <v>-1.6930000000000001</v>
      </c>
      <c r="BG951">
        <v>-2.5619999999999998</v>
      </c>
    </row>
    <row r="952" spans="1:59">
      <c r="A952">
        <v>0</v>
      </c>
      <c r="B952">
        <v>5</v>
      </c>
      <c r="C952">
        <v>2</v>
      </c>
      <c r="D952" t="s">
        <v>25022</v>
      </c>
      <c r="E952">
        <v>1845</v>
      </c>
      <c r="F952" t="s">
        <v>11560</v>
      </c>
      <c r="G952" t="s">
        <v>57</v>
      </c>
      <c r="H952">
        <v>1912339</v>
      </c>
      <c r="I952">
        <v>1912953</v>
      </c>
      <c r="J952" t="s">
        <v>116</v>
      </c>
      <c r="K952">
        <v>205</v>
      </c>
      <c r="L952" t="s">
        <v>108</v>
      </c>
      <c r="M952">
        <v>44</v>
      </c>
      <c r="N952" t="str">
        <f>HYPERLINK("Gene1845-zp_tree_all.dnd", "Gene1845-tree")</f>
        <v>Gene1845-tree</v>
      </c>
      <c r="O952">
        <v>4</v>
      </c>
      <c r="P952">
        <v>8</v>
      </c>
      <c r="Q952">
        <v>4</v>
      </c>
      <c r="R952">
        <v>8</v>
      </c>
      <c r="S952">
        <v>0.66666999999999998</v>
      </c>
      <c r="T952" t="s">
        <v>61</v>
      </c>
      <c r="U952" t="s">
        <v>136</v>
      </c>
      <c r="V952" t="s">
        <v>62</v>
      </c>
      <c r="W952" t="s">
        <v>62</v>
      </c>
      <c r="X952">
        <v>3</v>
      </c>
      <c r="Y952">
        <v>7</v>
      </c>
      <c r="Z952">
        <v>12</v>
      </c>
      <c r="AA952">
        <v>0.36842000000000003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2</v>
      </c>
      <c r="AH952">
        <v>2</v>
      </c>
      <c r="AI952">
        <v>4</v>
      </c>
      <c r="AJ952">
        <v>8</v>
      </c>
      <c r="AK952">
        <v>0.33333000000000002</v>
      </c>
      <c r="AL952">
        <v>10</v>
      </c>
      <c r="AM952">
        <v>9</v>
      </c>
      <c r="AN952">
        <v>17</v>
      </c>
      <c r="AO952">
        <v>10</v>
      </c>
      <c r="AP952">
        <v>14</v>
      </c>
      <c r="AQ952">
        <v>9</v>
      </c>
      <c r="AR952" t="s">
        <v>11561</v>
      </c>
      <c r="AS952" t="s">
        <v>11562</v>
      </c>
      <c r="AT952">
        <v>0.108</v>
      </c>
      <c r="AU952" t="s">
        <v>65</v>
      </c>
      <c r="AV952">
        <v>31</v>
      </c>
      <c r="AW952">
        <v>19</v>
      </c>
      <c r="AX952" t="s">
        <v>11563</v>
      </c>
      <c r="AY952">
        <v>4.811E-2</v>
      </c>
      <c r="AZ952">
        <v>-2.64E-3</v>
      </c>
      <c r="BA952">
        <v>1.0500000000000001E-2</v>
      </c>
      <c r="BB952">
        <v>-5.2999999999999998E-4</v>
      </c>
      <c r="BC952">
        <v>0.21815999999999999</v>
      </c>
      <c r="BD952">
        <v>1</v>
      </c>
      <c r="BE952" t="s">
        <v>69</v>
      </c>
      <c r="BF952">
        <v>3.0000000000000001E-3</v>
      </c>
      <c r="BG952">
        <v>5.1999999999999998E-2</v>
      </c>
    </row>
    <row r="953" spans="1:59">
      <c r="A953">
        <v>0</v>
      </c>
      <c r="B953">
        <v>12</v>
      </c>
      <c r="C953">
        <v>2</v>
      </c>
      <c r="D953" t="s">
        <v>25022</v>
      </c>
      <c r="E953">
        <v>3369</v>
      </c>
      <c r="F953" t="s">
        <v>19694</v>
      </c>
      <c r="G953" t="s">
        <v>62</v>
      </c>
      <c r="H953">
        <v>3339334</v>
      </c>
      <c r="I953">
        <v>3339948</v>
      </c>
      <c r="J953" t="s">
        <v>19695</v>
      </c>
      <c r="K953">
        <v>205</v>
      </c>
      <c r="L953" t="s">
        <v>108</v>
      </c>
      <c r="M953">
        <v>44</v>
      </c>
      <c r="N953" t="str">
        <f>HYPERLINK("Gene3369-zp_tree_all.dnd", "Gene3369-tree")</f>
        <v>Gene3369-tree</v>
      </c>
      <c r="O953">
        <v>3</v>
      </c>
      <c r="P953">
        <v>11</v>
      </c>
      <c r="Q953">
        <v>3</v>
      </c>
      <c r="R953">
        <v>11</v>
      </c>
      <c r="S953">
        <v>0.78571000000000002</v>
      </c>
      <c r="T953" t="s">
        <v>324</v>
      </c>
      <c r="U953" t="s">
        <v>73</v>
      </c>
      <c r="V953">
        <v>305230034.74400002</v>
      </c>
      <c r="W953" t="s">
        <v>267</v>
      </c>
      <c r="X953">
        <v>6</v>
      </c>
      <c r="Y953">
        <v>14</v>
      </c>
      <c r="Z953">
        <v>9</v>
      </c>
      <c r="AA953">
        <v>0.60870000000000002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9</v>
      </c>
      <c r="AH953">
        <v>0</v>
      </c>
      <c r="AI953">
        <v>9</v>
      </c>
      <c r="AJ953">
        <v>10</v>
      </c>
      <c r="AK953">
        <v>0.47367999999999999</v>
      </c>
      <c r="AL953">
        <v>10</v>
      </c>
      <c r="AM953">
        <v>10</v>
      </c>
      <c r="AN953">
        <v>17</v>
      </c>
      <c r="AO953">
        <v>18</v>
      </c>
      <c r="AP953">
        <v>15</v>
      </c>
      <c r="AQ953">
        <v>5</v>
      </c>
      <c r="AR953" t="s">
        <v>19696</v>
      </c>
      <c r="AS953" t="s">
        <v>19697</v>
      </c>
      <c r="AT953">
        <v>1.55</v>
      </c>
      <c r="AU953" t="s">
        <v>65</v>
      </c>
      <c r="AV953">
        <v>32</v>
      </c>
      <c r="AW953">
        <v>23</v>
      </c>
      <c r="AX953" t="s">
        <v>19698</v>
      </c>
      <c r="AY953">
        <v>4.1480000000000003E-2</v>
      </c>
      <c r="AZ953">
        <v>-1.5900000000000001E-3</v>
      </c>
      <c r="BA953">
        <v>8.09E-3</v>
      </c>
      <c r="BB953">
        <v>-4.4999999999999999E-4</v>
      </c>
      <c r="BC953">
        <v>0.19506999999999999</v>
      </c>
      <c r="BD953">
        <v>1</v>
      </c>
      <c r="BE953" t="s">
        <v>69</v>
      </c>
      <c r="BF953">
        <v>-0.11899999999999999</v>
      </c>
      <c r="BG953">
        <v>-1.1519999999999999</v>
      </c>
    </row>
    <row r="954" spans="1:59">
      <c r="A954">
        <v>0</v>
      </c>
      <c r="B954">
        <v>2</v>
      </c>
      <c r="C954">
        <v>2</v>
      </c>
      <c r="D954" t="s">
        <v>25022</v>
      </c>
      <c r="E954">
        <v>1204</v>
      </c>
      <c r="F954" t="s">
        <v>7577</v>
      </c>
      <c r="G954" t="s">
        <v>57</v>
      </c>
      <c r="H954">
        <v>1243134</v>
      </c>
      <c r="I954">
        <v>1243748</v>
      </c>
      <c r="J954" t="s">
        <v>7578</v>
      </c>
      <c r="K954">
        <v>205</v>
      </c>
      <c r="L954" t="s">
        <v>108</v>
      </c>
      <c r="M954">
        <v>44</v>
      </c>
      <c r="N954" t="str">
        <f>HYPERLINK("Gene1204-zp_tree_all.dnd", "Gene1204-tree")</f>
        <v>Gene1204-tree</v>
      </c>
      <c r="O954">
        <v>2</v>
      </c>
      <c r="P954">
        <v>10</v>
      </c>
      <c r="Q954">
        <v>2</v>
      </c>
      <c r="R954">
        <v>10</v>
      </c>
      <c r="S954">
        <v>0.83333000000000002</v>
      </c>
      <c r="T954" t="s">
        <v>81</v>
      </c>
      <c r="U954" t="s">
        <v>117</v>
      </c>
      <c r="V954" t="s">
        <v>62</v>
      </c>
      <c r="W954" t="s">
        <v>62</v>
      </c>
      <c r="X954">
        <v>2</v>
      </c>
      <c r="Y954">
        <v>4</v>
      </c>
      <c r="Z954">
        <v>11</v>
      </c>
      <c r="AA954">
        <v>0.26667000000000002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2</v>
      </c>
      <c r="AI954">
        <v>2</v>
      </c>
      <c r="AJ954">
        <v>10</v>
      </c>
      <c r="AK954">
        <v>0.16667000000000001</v>
      </c>
      <c r="AL954">
        <v>9</v>
      </c>
      <c r="AM954">
        <v>9</v>
      </c>
      <c r="AN954">
        <v>11</v>
      </c>
      <c r="AO954">
        <v>10</v>
      </c>
      <c r="AP954">
        <v>15</v>
      </c>
      <c r="AQ954">
        <v>6</v>
      </c>
      <c r="AR954" t="s">
        <v>7579</v>
      </c>
      <c r="AS954" t="s">
        <v>7580</v>
      </c>
      <c r="AT954">
        <v>1.0720000000000001</v>
      </c>
      <c r="AU954" t="s">
        <v>65</v>
      </c>
      <c r="AV954">
        <v>26</v>
      </c>
      <c r="AW954">
        <v>16</v>
      </c>
      <c r="AX954" t="s">
        <v>7581</v>
      </c>
      <c r="AY954">
        <v>4.9230000000000003E-2</v>
      </c>
      <c r="AZ954">
        <v>-2.97E-3</v>
      </c>
      <c r="BA954">
        <v>7.77E-3</v>
      </c>
      <c r="BB954">
        <v>-5.9000000000000003E-4</v>
      </c>
      <c r="BC954">
        <v>0.1578</v>
      </c>
      <c r="BD954">
        <v>1</v>
      </c>
      <c r="BE954" t="s">
        <v>69</v>
      </c>
      <c r="BF954">
        <v>0.121</v>
      </c>
      <c r="BG954">
        <v>-0.52900000000000003</v>
      </c>
    </row>
    <row r="955" spans="1:59">
      <c r="A955">
        <v>0</v>
      </c>
      <c r="B955">
        <v>4</v>
      </c>
      <c r="C955">
        <v>0</v>
      </c>
      <c r="D955" t="s">
        <v>25022</v>
      </c>
      <c r="E955">
        <v>1769</v>
      </c>
      <c r="F955" t="s">
        <v>11078</v>
      </c>
      <c r="G955" t="s">
        <v>57</v>
      </c>
      <c r="H955">
        <v>1781906</v>
      </c>
      <c r="I955">
        <v>1782520</v>
      </c>
      <c r="J955" t="s">
        <v>11079</v>
      </c>
      <c r="K955">
        <v>205</v>
      </c>
      <c r="L955" t="s">
        <v>1305</v>
      </c>
      <c r="M955">
        <v>43</v>
      </c>
      <c r="N955" t="str">
        <f>HYPERLINK("Gene1769-zp_tree_all.dnd", "Gene1769-tree")</f>
        <v>Gene1769-tree</v>
      </c>
      <c r="O955">
        <v>6</v>
      </c>
      <c r="P955">
        <v>7</v>
      </c>
      <c r="Q955">
        <v>6</v>
      </c>
      <c r="R955">
        <v>7</v>
      </c>
      <c r="S955">
        <v>0.53846000000000005</v>
      </c>
      <c r="T955" t="s">
        <v>90</v>
      </c>
      <c r="U955" t="s">
        <v>152</v>
      </c>
      <c r="V955" t="s">
        <v>62</v>
      </c>
      <c r="W955" t="s">
        <v>62</v>
      </c>
      <c r="X955">
        <v>2</v>
      </c>
      <c r="Y955">
        <v>4</v>
      </c>
      <c r="Z955">
        <v>9</v>
      </c>
      <c r="AA955">
        <v>0.30769000000000002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2</v>
      </c>
      <c r="AH955">
        <v>0</v>
      </c>
      <c r="AI955">
        <v>2</v>
      </c>
      <c r="AJ955">
        <v>9</v>
      </c>
      <c r="AK955">
        <v>0.18182000000000001</v>
      </c>
      <c r="AL955">
        <v>10</v>
      </c>
      <c r="AM955">
        <v>7</v>
      </c>
      <c r="AN955">
        <v>13</v>
      </c>
      <c r="AO955">
        <v>8</v>
      </c>
      <c r="AP955">
        <v>8</v>
      </c>
      <c r="AQ955">
        <v>5</v>
      </c>
      <c r="AR955" t="s">
        <v>11080</v>
      </c>
      <c r="AS955" t="s">
        <v>11081</v>
      </c>
      <c r="AT955">
        <v>2.4E-2</v>
      </c>
      <c r="AU955" t="s">
        <v>65</v>
      </c>
      <c r="AV955">
        <v>21</v>
      </c>
      <c r="AW955">
        <v>13</v>
      </c>
      <c r="AX955" t="s">
        <v>11082</v>
      </c>
      <c r="AY955">
        <v>3.5900000000000001E-2</v>
      </c>
      <c r="AZ955">
        <v>-1.5900000000000001E-3</v>
      </c>
      <c r="BA955">
        <v>5.3200000000000001E-3</v>
      </c>
      <c r="BB955">
        <v>-3.5E-4</v>
      </c>
      <c r="BC955">
        <v>0.14810999999999999</v>
      </c>
      <c r="BD955">
        <v>1</v>
      </c>
      <c r="BE955" t="s">
        <v>69</v>
      </c>
      <c r="BF955">
        <v>-0.24</v>
      </c>
      <c r="BG955">
        <v>-0.81399999999999995</v>
      </c>
    </row>
    <row r="956" spans="1:59">
      <c r="A956">
        <v>0</v>
      </c>
      <c r="B956">
        <v>4</v>
      </c>
      <c r="C956">
        <v>0</v>
      </c>
      <c r="D956" t="s">
        <v>25022</v>
      </c>
      <c r="E956">
        <v>597</v>
      </c>
      <c r="F956" t="s">
        <v>3845</v>
      </c>
      <c r="G956" t="s">
        <v>57</v>
      </c>
      <c r="H956">
        <v>624492</v>
      </c>
      <c r="I956">
        <v>625106</v>
      </c>
      <c r="J956" t="s">
        <v>2302</v>
      </c>
      <c r="K956">
        <v>205</v>
      </c>
      <c r="L956" t="s">
        <v>108</v>
      </c>
      <c r="M956">
        <v>44</v>
      </c>
      <c r="N956" t="str">
        <f>HYPERLINK("Gene597-zp_tree_all.dnd", "Gene597-tree")</f>
        <v>Gene597-tree</v>
      </c>
      <c r="O956">
        <v>5</v>
      </c>
      <c r="P956">
        <v>7</v>
      </c>
      <c r="Q956">
        <v>5</v>
      </c>
      <c r="R956">
        <v>7</v>
      </c>
      <c r="S956">
        <v>0.58333000000000002</v>
      </c>
      <c r="T956" t="s">
        <v>199</v>
      </c>
      <c r="U956" t="s">
        <v>152</v>
      </c>
      <c r="V956" t="s">
        <v>62</v>
      </c>
      <c r="W956" t="s">
        <v>62</v>
      </c>
      <c r="X956">
        <v>2</v>
      </c>
      <c r="Y956">
        <v>4</v>
      </c>
      <c r="Z956">
        <v>13</v>
      </c>
      <c r="AA956">
        <v>0.23529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2</v>
      </c>
      <c r="AH956">
        <v>0</v>
      </c>
      <c r="AI956">
        <v>2</v>
      </c>
      <c r="AJ956">
        <v>12</v>
      </c>
      <c r="AK956">
        <v>0.14285999999999999</v>
      </c>
      <c r="AL956">
        <v>10</v>
      </c>
      <c r="AM956">
        <v>9</v>
      </c>
      <c r="AN956">
        <v>22</v>
      </c>
      <c r="AO956">
        <v>14</v>
      </c>
      <c r="AP956">
        <v>15</v>
      </c>
      <c r="AQ956">
        <v>3</v>
      </c>
      <c r="AR956" t="s">
        <v>3846</v>
      </c>
      <c r="AS956" t="s">
        <v>3847</v>
      </c>
      <c r="AT956">
        <v>1.6910000000000001</v>
      </c>
      <c r="AU956" t="s">
        <v>65</v>
      </c>
      <c r="AV956">
        <v>37</v>
      </c>
      <c r="AW956">
        <v>17</v>
      </c>
      <c r="AX956" t="s">
        <v>3848</v>
      </c>
      <c r="AY956">
        <v>6.0299999999999999E-2</v>
      </c>
      <c r="AZ956">
        <v>-2.2300000000000002E-3</v>
      </c>
      <c r="BA956">
        <v>6.62E-3</v>
      </c>
      <c r="BB956">
        <v>-4.2000000000000002E-4</v>
      </c>
      <c r="BC956">
        <v>0.10986</v>
      </c>
      <c r="BD956">
        <v>1</v>
      </c>
      <c r="BE956" t="s">
        <v>69</v>
      </c>
      <c r="BF956">
        <v>-0.81200000000000006</v>
      </c>
      <c r="BG956">
        <v>-1.27</v>
      </c>
    </row>
    <row r="957" spans="1:59">
      <c r="A957">
        <v>0</v>
      </c>
      <c r="B957">
        <v>2</v>
      </c>
      <c r="C957">
        <v>0</v>
      </c>
      <c r="D957" t="s">
        <v>25022</v>
      </c>
      <c r="E957">
        <v>3266</v>
      </c>
      <c r="F957" t="s">
        <v>19046</v>
      </c>
      <c r="G957" t="s">
        <v>62</v>
      </c>
      <c r="H957">
        <v>3231815</v>
      </c>
      <c r="I957">
        <v>3232429</v>
      </c>
      <c r="J957" t="s">
        <v>19047</v>
      </c>
      <c r="K957">
        <v>205</v>
      </c>
      <c r="L957" t="s">
        <v>2513</v>
      </c>
      <c r="M957">
        <v>43</v>
      </c>
      <c r="N957" t="str">
        <f>HYPERLINK("Gene3266-zp_tree_all.dnd", "Gene3266-tree")</f>
        <v>Gene3266-tree</v>
      </c>
      <c r="O957">
        <v>12</v>
      </c>
      <c r="P957">
        <v>2</v>
      </c>
      <c r="Q957">
        <v>12</v>
      </c>
      <c r="R957">
        <v>2</v>
      </c>
      <c r="S957">
        <v>0.14285999999999999</v>
      </c>
      <c r="T957" t="s">
        <v>109</v>
      </c>
      <c r="U957" t="s">
        <v>81</v>
      </c>
      <c r="V957" t="s">
        <v>62</v>
      </c>
      <c r="W957" t="s">
        <v>62</v>
      </c>
      <c r="X957">
        <v>1</v>
      </c>
      <c r="Y957">
        <v>2</v>
      </c>
      <c r="Z957">
        <v>1</v>
      </c>
      <c r="AA957">
        <v>0.66666999999999998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</v>
      </c>
      <c r="AH957">
        <v>0</v>
      </c>
      <c r="AI957">
        <v>2</v>
      </c>
      <c r="AJ957">
        <v>0</v>
      </c>
      <c r="AK957">
        <v>1</v>
      </c>
      <c r="AL957">
        <v>8</v>
      </c>
      <c r="AM957">
        <v>6</v>
      </c>
      <c r="AN957">
        <v>22</v>
      </c>
      <c r="AO957">
        <v>2</v>
      </c>
      <c r="AP957">
        <v>8</v>
      </c>
      <c r="AQ957">
        <v>1</v>
      </c>
      <c r="AR957" t="s">
        <v>19048</v>
      </c>
      <c r="AS957" t="s">
        <v>19049</v>
      </c>
      <c r="AT957">
        <v>0.12</v>
      </c>
      <c r="AU957" t="s">
        <v>65</v>
      </c>
      <c r="AV957">
        <v>30</v>
      </c>
      <c r="AW957">
        <v>3</v>
      </c>
      <c r="AX957" t="s">
        <v>19050</v>
      </c>
      <c r="AY957">
        <v>3.8890000000000001E-2</v>
      </c>
      <c r="AZ957">
        <v>-1.9300000000000001E-3</v>
      </c>
      <c r="BA957">
        <v>1.6299999999999999E-3</v>
      </c>
      <c r="BB957">
        <v>-1.3999999999999999E-4</v>
      </c>
      <c r="BC957">
        <v>4.1869999999999997E-2</v>
      </c>
      <c r="BD957">
        <v>1</v>
      </c>
      <c r="BE957" t="s">
        <v>69</v>
      </c>
      <c r="BF957">
        <v>-1.1659999999999999</v>
      </c>
      <c r="BG957">
        <v>-1.4390000000000001</v>
      </c>
    </row>
    <row r="958" spans="1:59">
      <c r="A958">
        <v>0</v>
      </c>
      <c r="B958">
        <v>0</v>
      </c>
      <c r="C958">
        <v>4</v>
      </c>
      <c r="D958" t="s">
        <v>25022</v>
      </c>
      <c r="E958">
        <v>2271</v>
      </c>
      <c r="F958" t="s">
        <v>13136</v>
      </c>
      <c r="G958" t="s">
        <v>62</v>
      </c>
      <c r="H958">
        <v>2295985</v>
      </c>
      <c r="I958">
        <v>2296602</v>
      </c>
      <c r="J958" t="s">
        <v>13137</v>
      </c>
      <c r="K958">
        <v>206</v>
      </c>
      <c r="L958" t="s">
        <v>108</v>
      </c>
      <c r="M958">
        <v>44</v>
      </c>
      <c r="N958" t="str">
        <f>HYPERLINK("Gene2271-zp_tree_all.dnd", "Gene2271-tree")</f>
        <v>Gene2271-tree</v>
      </c>
      <c r="O958">
        <v>6</v>
      </c>
      <c r="P958">
        <v>6</v>
      </c>
      <c r="Q958">
        <v>6</v>
      </c>
      <c r="R958">
        <v>6</v>
      </c>
      <c r="S958">
        <v>0.5</v>
      </c>
      <c r="T958" t="s">
        <v>90</v>
      </c>
      <c r="U958" t="s">
        <v>90</v>
      </c>
      <c r="V958" t="s">
        <v>62</v>
      </c>
      <c r="W958" t="s">
        <v>62</v>
      </c>
      <c r="X958">
        <v>2</v>
      </c>
      <c r="Y958">
        <v>4</v>
      </c>
      <c r="Z958">
        <v>7</v>
      </c>
      <c r="AA958">
        <v>0.36364000000000002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4</v>
      </c>
      <c r="AI958">
        <v>4</v>
      </c>
      <c r="AJ958">
        <v>6</v>
      </c>
      <c r="AK958">
        <v>0.4</v>
      </c>
      <c r="AL958">
        <v>8</v>
      </c>
      <c r="AM958">
        <v>4</v>
      </c>
      <c r="AN958">
        <v>14</v>
      </c>
      <c r="AO958">
        <v>9</v>
      </c>
      <c r="AP958">
        <v>4</v>
      </c>
      <c r="AQ958">
        <v>2</v>
      </c>
      <c r="AR958" t="s">
        <v>13138</v>
      </c>
      <c r="AS958" t="s">
        <v>13139</v>
      </c>
      <c r="AT958">
        <v>0.41299999999999998</v>
      </c>
      <c r="AU958" t="s">
        <v>65</v>
      </c>
      <c r="AV958">
        <v>18</v>
      </c>
      <c r="AW958">
        <v>11</v>
      </c>
      <c r="AX958" t="s">
        <v>13140</v>
      </c>
      <c r="AY958">
        <v>2.5360000000000001E-2</v>
      </c>
      <c r="AZ958">
        <v>-1.1999999999999999E-3</v>
      </c>
      <c r="BA958">
        <v>4.45E-3</v>
      </c>
      <c r="BB958">
        <v>-3.4000000000000002E-4</v>
      </c>
      <c r="BC958">
        <v>0.17543</v>
      </c>
      <c r="BD958">
        <v>1</v>
      </c>
      <c r="BE958" t="s">
        <v>69</v>
      </c>
      <c r="BF958">
        <v>-0.70199999999999996</v>
      </c>
      <c r="BG958">
        <v>-1.738</v>
      </c>
    </row>
    <row r="959" spans="1:59">
      <c r="A959">
        <v>0</v>
      </c>
      <c r="B959">
        <v>9</v>
      </c>
      <c r="C959">
        <v>2</v>
      </c>
      <c r="D959" t="s">
        <v>25022</v>
      </c>
      <c r="E959">
        <v>565</v>
      </c>
      <c r="F959" t="s">
        <v>3637</v>
      </c>
      <c r="G959" t="s">
        <v>57</v>
      </c>
      <c r="H959">
        <v>596478</v>
      </c>
      <c r="I959">
        <v>597095</v>
      </c>
      <c r="J959" t="s">
        <v>1940</v>
      </c>
      <c r="K959">
        <v>206</v>
      </c>
      <c r="L959" t="s">
        <v>108</v>
      </c>
      <c r="M959">
        <v>44</v>
      </c>
      <c r="N959" t="str">
        <f>HYPERLINK("Gene565-zp_tree_all.dnd", "Gene565-tree")</f>
        <v>Gene565-tree</v>
      </c>
      <c r="O959">
        <v>3</v>
      </c>
      <c r="P959">
        <v>10</v>
      </c>
      <c r="Q959">
        <v>3</v>
      </c>
      <c r="R959">
        <v>10</v>
      </c>
      <c r="S959">
        <v>0.76922999999999997</v>
      </c>
      <c r="T959" t="s">
        <v>324</v>
      </c>
      <c r="U959" t="s">
        <v>117</v>
      </c>
      <c r="V959" t="s">
        <v>62</v>
      </c>
      <c r="W959" t="s">
        <v>62</v>
      </c>
      <c r="X959">
        <v>5</v>
      </c>
      <c r="Y959">
        <v>11</v>
      </c>
      <c r="Z959">
        <v>10</v>
      </c>
      <c r="AA959">
        <v>0.52381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6</v>
      </c>
      <c r="AH959">
        <v>0</v>
      </c>
      <c r="AI959">
        <v>6</v>
      </c>
      <c r="AJ959">
        <v>9</v>
      </c>
      <c r="AK959">
        <v>0.4</v>
      </c>
      <c r="AL959">
        <v>11</v>
      </c>
      <c r="AM959">
        <v>10</v>
      </c>
      <c r="AN959">
        <v>20</v>
      </c>
      <c r="AO959">
        <v>12</v>
      </c>
      <c r="AP959">
        <v>16</v>
      </c>
      <c r="AQ959">
        <v>9</v>
      </c>
      <c r="AR959" t="s">
        <v>3638</v>
      </c>
      <c r="AS959" t="s">
        <v>3639</v>
      </c>
      <c r="AT959">
        <v>7.2999999999999995E-2</v>
      </c>
      <c r="AU959" t="s">
        <v>65</v>
      </c>
      <c r="AV959">
        <v>36</v>
      </c>
      <c r="AW959">
        <v>21</v>
      </c>
      <c r="AX959" t="s">
        <v>3640</v>
      </c>
      <c r="AY959">
        <v>5.5350000000000003E-2</v>
      </c>
      <c r="AZ959">
        <v>-2.6099999999999999E-3</v>
      </c>
      <c r="BA959">
        <v>9.2899999999999996E-3</v>
      </c>
      <c r="BB959">
        <v>-4.8999999999999998E-4</v>
      </c>
      <c r="BC959">
        <v>0.16789000000000001</v>
      </c>
      <c r="BD959">
        <v>1</v>
      </c>
      <c r="BE959" t="s">
        <v>69</v>
      </c>
      <c r="BF959">
        <v>-0.28199999999999997</v>
      </c>
      <c r="BG959">
        <v>-0.27800000000000002</v>
      </c>
    </row>
    <row r="960" spans="1:59">
      <c r="A960">
        <v>0</v>
      </c>
      <c r="B960">
        <v>0</v>
      </c>
      <c r="C960">
        <v>0</v>
      </c>
      <c r="D960" t="s">
        <v>25022</v>
      </c>
      <c r="E960">
        <v>2442</v>
      </c>
      <c r="F960" t="s">
        <v>14214</v>
      </c>
      <c r="G960" t="s">
        <v>62</v>
      </c>
      <c r="H960">
        <v>2442687</v>
      </c>
      <c r="I960">
        <v>2443304</v>
      </c>
      <c r="J960" t="s">
        <v>14215</v>
      </c>
      <c r="K960">
        <v>206</v>
      </c>
      <c r="L960" t="s">
        <v>108</v>
      </c>
      <c r="M960">
        <v>44</v>
      </c>
      <c r="N960" t="str">
        <f>HYPERLINK("Gene2442-zp_tree_all.dnd", "Gene2442-tree")</f>
        <v>Gene2442-tree</v>
      </c>
      <c r="O960">
        <v>5</v>
      </c>
      <c r="P960">
        <v>4</v>
      </c>
      <c r="Q960">
        <v>5</v>
      </c>
      <c r="R960">
        <v>4</v>
      </c>
      <c r="S960">
        <v>0.44444</v>
      </c>
      <c r="T960" t="s">
        <v>199</v>
      </c>
      <c r="U960" t="s">
        <v>61</v>
      </c>
      <c r="V960" t="s">
        <v>62</v>
      </c>
      <c r="W960" t="s">
        <v>62</v>
      </c>
      <c r="X960">
        <v>0</v>
      </c>
      <c r="Y960">
        <v>0</v>
      </c>
      <c r="Z960">
        <v>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4</v>
      </c>
      <c r="AK960">
        <v>0</v>
      </c>
      <c r="AL960">
        <v>7</v>
      </c>
      <c r="AM960">
        <v>3</v>
      </c>
      <c r="AN960">
        <v>9</v>
      </c>
      <c r="AO960">
        <v>3</v>
      </c>
      <c r="AP960">
        <v>2</v>
      </c>
      <c r="AQ960">
        <v>2</v>
      </c>
      <c r="AR960" t="s">
        <v>14216</v>
      </c>
      <c r="AS960" t="s">
        <v>14217</v>
      </c>
      <c r="AT960">
        <v>1.1020000000000001</v>
      </c>
      <c r="AU960" t="s">
        <v>65</v>
      </c>
      <c r="AV960">
        <v>11</v>
      </c>
      <c r="AW960">
        <v>5</v>
      </c>
      <c r="AX960" t="s">
        <v>14218</v>
      </c>
      <c r="AY960">
        <v>1.8630000000000001E-2</v>
      </c>
      <c r="AZ960">
        <v>-8.8999999999999995E-4</v>
      </c>
      <c r="BA960">
        <v>3.0400000000000002E-3</v>
      </c>
      <c r="BB960">
        <v>-2.9E-4</v>
      </c>
      <c r="BC960">
        <v>0.16335</v>
      </c>
      <c r="BD960">
        <v>0.99</v>
      </c>
      <c r="BE960" t="s">
        <v>69</v>
      </c>
      <c r="BF960">
        <v>-0.55500000000000005</v>
      </c>
      <c r="BG960">
        <v>-1.097</v>
      </c>
    </row>
    <row r="961" spans="1:59">
      <c r="A961">
        <v>0</v>
      </c>
      <c r="B961">
        <v>7</v>
      </c>
      <c r="C961">
        <v>4</v>
      </c>
      <c r="D961" t="s">
        <v>25022</v>
      </c>
      <c r="E961">
        <v>2540</v>
      </c>
      <c r="F961" t="s">
        <v>14843</v>
      </c>
      <c r="G961" t="s">
        <v>62</v>
      </c>
      <c r="H961">
        <v>2533695</v>
      </c>
      <c r="I961">
        <v>2534312</v>
      </c>
      <c r="J961" t="s">
        <v>14844</v>
      </c>
      <c r="K961">
        <v>206</v>
      </c>
      <c r="L961" t="s">
        <v>59</v>
      </c>
      <c r="M961">
        <v>49</v>
      </c>
      <c r="N961" t="str">
        <f>HYPERLINK("Gene2540-zp_tree_all.dnd", "Gene2540-tree")</f>
        <v>Gene2540-tree</v>
      </c>
      <c r="O961">
        <v>7</v>
      </c>
      <c r="P961">
        <v>8</v>
      </c>
      <c r="Q961">
        <v>7</v>
      </c>
      <c r="R961">
        <v>8</v>
      </c>
      <c r="S961">
        <v>0.53332999999999997</v>
      </c>
      <c r="T961" t="s">
        <v>152</v>
      </c>
      <c r="U961" t="s">
        <v>136</v>
      </c>
      <c r="V961" t="s">
        <v>62</v>
      </c>
      <c r="W961" t="s">
        <v>62</v>
      </c>
      <c r="X961">
        <v>4</v>
      </c>
      <c r="Y961">
        <v>11</v>
      </c>
      <c r="Z961">
        <v>12</v>
      </c>
      <c r="AA961">
        <v>0.47826000000000002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5</v>
      </c>
      <c r="AH961">
        <v>0</v>
      </c>
      <c r="AI961">
        <v>5</v>
      </c>
      <c r="AJ961">
        <v>7</v>
      </c>
      <c r="AK961">
        <v>0.41666999999999998</v>
      </c>
      <c r="AL961">
        <v>12</v>
      </c>
      <c r="AM961">
        <v>8</v>
      </c>
      <c r="AN961">
        <v>19</v>
      </c>
      <c r="AO961">
        <v>10</v>
      </c>
      <c r="AP961">
        <v>16</v>
      </c>
      <c r="AQ961">
        <v>13</v>
      </c>
      <c r="AR961" t="s">
        <v>14845</v>
      </c>
      <c r="AS961" t="s">
        <v>14846</v>
      </c>
      <c r="AT961">
        <v>0.245</v>
      </c>
      <c r="AU961" t="s">
        <v>65</v>
      </c>
      <c r="AV961">
        <v>35</v>
      </c>
      <c r="AW961">
        <v>23</v>
      </c>
      <c r="AX961" t="s">
        <v>14847</v>
      </c>
      <c r="AY961">
        <v>6.4229999999999995E-2</v>
      </c>
      <c r="AZ961">
        <v>-5.2599999999999999E-3</v>
      </c>
      <c r="BA961">
        <v>9.6799999999999994E-3</v>
      </c>
      <c r="BB961">
        <v>-6.3000000000000003E-4</v>
      </c>
      <c r="BC961">
        <v>0.15065000000000001</v>
      </c>
      <c r="BD961">
        <v>1</v>
      </c>
      <c r="BE961" t="s">
        <v>69</v>
      </c>
      <c r="BF961">
        <v>-1.5589999999999999</v>
      </c>
      <c r="BG961">
        <v>-0.66300000000000003</v>
      </c>
    </row>
    <row r="962" spans="1:59">
      <c r="A962">
        <v>0</v>
      </c>
      <c r="B962">
        <v>0</v>
      </c>
      <c r="C962">
        <v>0</v>
      </c>
      <c r="D962" t="s">
        <v>25022</v>
      </c>
      <c r="E962">
        <v>2521</v>
      </c>
      <c r="F962" t="s">
        <v>14717</v>
      </c>
      <c r="G962" t="s">
        <v>62</v>
      </c>
      <c r="H962">
        <v>2514982</v>
      </c>
      <c r="I962">
        <v>2515599</v>
      </c>
      <c r="J962" t="s">
        <v>1088</v>
      </c>
      <c r="K962">
        <v>206</v>
      </c>
      <c r="L962" t="s">
        <v>108</v>
      </c>
      <c r="M962">
        <v>44</v>
      </c>
      <c r="N962" t="str">
        <f>HYPERLINK("Gene2521-zp_tree_all.dnd", "Gene2521-tree")</f>
        <v>Gene2521-tree</v>
      </c>
      <c r="O962">
        <v>8</v>
      </c>
      <c r="P962">
        <v>2</v>
      </c>
      <c r="Q962">
        <v>8</v>
      </c>
      <c r="R962">
        <v>2</v>
      </c>
      <c r="S962">
        <v>0.2</v>
      </c>
      <c r="T962" t="s">
        <v>136</v>
      </c>
      <c r="U962" t="s">
        <v>81</v>
      </c>
      <c r="V962" t="s">
        <v>62</v>
      </c>
      <c r="W962" t="s">
        <v>62</v>
      </c>
      <c r="X962">
        <v>0</v>
      </c>
      <c r="Y962">
        <v>0</v>
      </c>
      <c r="Z962">
        <v>7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4</v>
      </c>
      <c r="AK962">
        <v>0</v>
      </c>
      <c r="AL962">
        <v>8</v>
      </c>
      <c r="AM962">
        <v>6</v>
      </c>
      <c r="AN962">
        <v>18</v>
      </c>
      <c r="AO962">
        <v>4</v>
      </c>
      <c r="AP962">
        <v>9</v>
      </c>
      <c r="AQ962">
        <v>3</v>
      </c>
      <c r="AR962" t="s">
        <v>14718</v>
      </c>
      <c r="AS962" t="s">
        <v>14719</v>
      </c>
      <c r="AT962">
        <v>0.247</v>
      </c>
      <c r="AU962" t="s">
        <v>65</v>
      </c>
      <c r="AV962">
        <v>27</v>
      </c>
      <c r="AW962">
        <v>7</v>
      </c>
      <c r="AX962" t="s">
        <v>14720</v>
      </c>
      <c r="AY962">
        <v>4.147E-2</v>
      </c>
      <c r="AZ962">
        <v>-2.2699999999999999E-3</v>
      </c>
      <c r="BA962">
        <v>4.4299999999999999E-3</v>
      </c>
      <c r="BB962">
        <v>-4.4999999999999999E-4</v>
      </c>
      <c r="BC962">
        <v>0.10689</v>
      </c>
      <c r="BD962">
        <v>1</v>
      </c>
      <c r="BE962" t="s">
        <v>69</v>
      </c>
      <c r="BF962">
        <v>-0.54800000000000004</v>
      </c>
      <c r="BG962">
        <v>-2.569</v>
      </c>
    </row>
    <row r="963" spans="1:59">
      <c r="A963">
        <v>0</v>
      </c>
      <c r="B963">
        <v>6</v>
      </c>
      <c r="C963">
        <v>0</v>
      </c>
      <c r="D963" t="s">
        <v>25022</v>
      </c>
      <c r="E963">
        <v>2863</v>
      </c>
      <c r="F963" t="s">
        <v>16453</v>
      </c>
      <c r="G963" t="s">
        <v>62</v>
      </c>
      <c r="H963">
        <v>2808710</v>
      </c>
      <c r="I963">
        <v>2809327</v>
      </c>
      <c r="J963" t="s">
        <v>16454</v>
      </c>
      <c r="K963">
        <v>206</v>
      </c>
      <c r="L963" t="s">
        <v>108</v>
      </c>
      <c r="M963">
        <v>44</v>
      </c>
      <c r="N963" t="str">
        <f>HYPERLINK("Gene2863-zp_tree_all.dnd", "Gene2863-tree")</f>
        <v>Gene2863-tree</v>
      </c>
      <c r="O963">
        <v>9</v>
      </c>
      <c r="P963">
        <v>6</v>
      </c>
      <c r="Q963">
        <v>9</v>
      </c>
      <c r="R963">
        <v>6</v>
      </c>
      <c r="S963">
        <v>0.4</v>
      </c>
      <c r="T963" t="s">
        <v>135</v>
      </c>
      <c r="U963" t="s">
        <v>90</v>
      </c>
      <c r="V963" t="s">
        <v>62</v>
      </c>
      <c r="W963" t="s">
        <v>62</v>
      </c>
      <c r="X963">
        <v>3</v>
      </c>
      <c r="Y963">
        <v>6</v>
      </c>
      <c r="Z963">
        <v>4</v>
      </c>
      <c r="AA963">
        <v>0.6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2</v>
      </c>
      <c r="AH963">
        <v>0</v>
      </c>
      <c r="AI963">
        <v>2</v>
      </c>
      <c r="AJ963">
        <v>6</v>
      </c>
      <c r="AK963">
        <v>0.25</v>
      </c>
      <c r="AL963">
        <v>11</v>
      </c>
      <c r="AM963">
        <v>10</v>
      </c>
      <c r="AN963">
        <v>19</v>
      </c>
      <c r="AO963">
        <v>8</v>
      </c>
      <c r="AP963">
        <v>14</v>
      </c>
      <c r="AQ963">
        <v>2</v>
      </c>
      <c r="AR963" t="s">
        <v>16455</v>
      </c>
      <c r="AS963" t="s">
        <v>16456</v>
      </c>
      <c r="AT963">
        <v>0.98499999999999999</v>
      </c>
      <c r="AU963" t="s">
        <v>65</v>
      </c>
      <c r="AV963">
        <v>33</v>
      </c>
      <c r="AW963">
        <v>10</v>
      </c>
      <c r="AX963" t="s">
        <v>16457</v>
      </c>
      <c r="AY963">
        <v>4.3319999999999997E-2</v>
      </c>
      <c r="AZ963">
        <v>-1.5900000000000001E-3</v>
      </c>
      <c r="BA963">
        <v>3.2100000000000002E-3</v>
      </c>
      <c r="BB963">
        <v>-2.5000000000000001E-4</v>
      </c>
      <c r="BC963">
        <v>7.4190000000000006E-2</v>
      </c>
      <c r="BD963">
        <v>1</v>
      </c>
      <c r="BE963" t="s">
        <v>69</v>
      </c>
      <c r="BF963">
        <v>-0.34699999999999998</v>
      </c>
      <c r="BG963">
        <v>-0.46100000000000002</v>
      </c>
    </row>
    <row r="964" spans="1:59">
      <c r="A964">
        <v>0</v>
      </c>
      <c r="B964">
        <v>0</v>
      </c>
      <c r="C964">
        <v>0</v>
      </c>
      <c r="D964" t="s">
        <v>25022</v>
      </c>
      <c r="E964">
        <v>1803</v>
      </c>
      <c r="F964" t="s">
        <v>11293</v>
      </c>
      <c r="G964" t="s">
        <v>57</v>
      </c>
      <c r="H964">
        <v>1872128</v>
      </c>
      <c r="I964">
        <v>1872745</v>
      </c>
      <c r="J964" t="s">
        <v>11294</v>
      </c>
      <c r="K964">
        <v>206</v>
      </c>
      <c r="L964" t="s">
        <v>108</v>
      </c>
      <c r="M964">
        <v>44</v>
      </c>
      <c r="N964" t="str">
        <f>HYPERLINK("Gene1803-zp_tree_all.dnd", "Gene1803-tree")</f>
        <v>Gene1803-tree</v>
      </c>
      <c r="O964">
        <v>28</v>
      </c>
      <c r="P964">
        <v>3</v>
      </c>
      <c r="Q964">
        <v>8</v>
      </c>
      <c r="R964">
        <v>3</v>
      </c>
      <c r="S964">
        <v>0.27272999999999997</v>
      </c>
      <c r="T964" t="s">
        <v>3778</v>
      </c>
      <c r="U964" t="s">
        <v>324</v>
      </c>
      <c r="V964" t="s">
        <v>62</v>
      </c>
      <c r="W964" t="s">
        <v>62</v>
      </c>
      <c r="X964">
        <v>0</v>
      </c>
      <c r="Y964">
        <v>0</v>
      </c>
      <c r="Z964">
        <v>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7</v>
      </c>
      <c r="AK964">
        <v>0</v>
      </c>
      <c r="AL964">
        <v>7</v>
      </c>
      <c r="AM964">
        <v>6</v>
      </c>
      <c r="AN964">
        <v>20</v>
      </c>
      <c r="AO964">
        <v>7</v>
      </c>
      <c r="AP964">
        <v>13</v>
      </c>
      <c r="AQ964">
        <v>2</v>
      </c>
      <c r="AR964" t="s">
        <v>11295</v>
      </c>
      <c r="AS964" t="s">
        <v>11296</v>
      </c>
      <c r="AT964">
        <v>0.371</v>
      </c>
      <c r="AU964" t="s">
        <v>65</v>
      </c>
      <c r="AV964">
        <v>33</v>
      </c>
      <c r="AW964">
        <v>9</v>
      </c>
      <c r="AX964" t="s">
        <v>11297</v>
      </c>
      <c r="AY964">
        <v>6.5579999999999999E-2</v>
      </c>
      <c r="AZ964">
        <v>-4.9300000000000004E-3</v>
      </c>
      <c r="BA964">
        <v>3.9899999999999996E-3</v>
      </c>
      <c r="BB964">
        <v>-4.8000000000000001E-4</v>
      </c>
      <c r="BC964">
        <v>6.0909999999999999E-2</v>
      </c>
      <c r="BD964">
        <v>1</v>
      </c>
      <c r="BE964" t="s">
        <v>69</v>
      </c>
      <c r="BF964">
        <v>-0.93400000000000005</v>
      </c>
      <c r="BG964">
        <v>-2.5270000000000001</v>
      </c>
    </row>
    <row r="965" spans="1:59">
      <c r="A965">
        <v>0</v>
      </c>
      <c r="B965">
        <v>5</v>
      </c>
      <c r="C965">
        <v>0</v>
      </c>
      <c r="D965" t="s">
        <v>25022</v>
      </c>
      <c r="E965">
        <v>3332</v>
      </c>
      <c r="F965" t="s">
        <v>19459</v>
      </c>
      <c r="G965" t="s">
        <v>62</v>
      </c>
      <c r="H965">
        <v>3304099</v>
      </c>
      <c r="I965">
        <v>3304719</v>
      </c>
      <c r="J965" t="s">
        <v>19460</v>
      </c>
      <c r="K965">
        <v>207</v>
      </c>
      <c r="L965" t="s">
        <v>465</v>
      </c>
      <c r="M965">
        <v>46</v>
      </c>
      <c r="N965" t="str">
        <f>HYPERLINK("Gene3332-zp_tree_all.dnd", "Gene3332-tree")</f>
        <v>Gene3332-tree</v>
      </c>
      <c r="O965">
        <v>8</v>
      </c>
      <c r="P965">
        <v>10</v>
      </c>
      <c r="Q965">
        <v>8</v>
      </c>
      <c r="R965">
        <v>10</v>
      </c>
      <c r="S965">
        <v>0.55556000000000005</v>
      </c>
      <c r="T965" t="s">
        <v>136</v>
      </c>
      <c r="U965" t="s">
        <v>117</v>
      </c>
      <c r="V965" t="s">
        <v>62</v>
      </c>
      <c r="W965" t="s">
        <v>62</v>
      </c>
      <c r="X965">
        <v>2</v>
      </c>
      <c r="Y965">
        <v>5</v>
      </c>
      <c r="Z965">
        <v>19</v>
      </c>
      <c r="AA965">
        <v>0.20832999999999999</v>
      </c>
      <c r="AB965">
        <v>0</v>
      </c>
      <c r="AC965">
        <v>0</v>
      </c>
      <c r="AD965">
        <v>0</v>
      </c>
      <c r="AE965">
        <v>7</v>
      </c>
      <c r="AF965">
        <v>0</v>
      </c>
      <c r="AG965">
        <v>4</v>
      </c>
      <c r="AH965">
        <v>0</v>
      </c>
      <c r="AI965">
        <v>4</v>
      </c>
      <c r="AJ965">
        <v>11</v>
      </c>
      <c r="AK965">
        <v>0.26667000000000002</v>
      </c>
      <c r="AL965">
        <v>15</v>
      </c>
      <c r="AM965">
        <v>9</v>
      </c>
      <c r="AN965">
        <v>17</v>
      </c>
      <c r="AO965">
        <v>17</v>
      </c>
      <c r="AP965">
        <v>25</v>
      </c>
      <c r="AQ965">
        <v>10</v>
      </c>
      <c r="AR965" t="s">
        <v>19461</v>
      </c>
      <c r="AS965" t="s">
        <v>19462</v>
      </c>
      <c r="AT965">
        <v>0.67800000000000005</v>
      </c>
      <c r="AU965" t="s">
        <v>65</v>
      </c>
      <c r="AV965">
        <v>42</v>
      </c>
      <c r="AW965">
        <v>27</v>
      </c>
      <c r="AX965" t="s">
        <v>19463</v>
      </c>
      <c r="AY965">
        <v>5.9979999999999999E-2</v>
      </c>
      <c r="AZ965">
        <v>-3.3700000000000002E-3</v>
      </c>
      <c r="BA965">
        <v>9.5099999999999994E-3</v>
      </c>
      <c r="BB965">
        <v>-5.9000000000000003E-4</v>
      </c>
      <c r="BC965">
        <v>0.15862000000000001</v>
      </c>
      <c r="BD965">
        <v>1</v>
      </c>
      <c r="BE965" t="s">
        <v>69</v>
      </c>
      <c r="BF965">
        <v>-1.2370000000000001</v>
      </c>
      <c r="BG965">
        <v>-1.4890000000000001</v>
      </c>
    </row>
    <row r="966" spans="1:59">
      <c r="A966">
        <v>0</v>
      </c>
      <c r="B966">
        <v>2</v>
      </c>
      <c r="C966">
        <v>0</v>
      </c>
      <c r="D966" t="s">
        <v>25022</v>
      </c>
      <c r="E966">
        <v>2023</v>
      </c>
      <c r="F966" t="s">
        <v>12587</v>
      </c>
      <c r="G966" t="s">
        <v>62</v>
      </c>
      <c r="H966">
        <v>2118507</v>
      </c>
      <c r="I966">
        <v>2119127</v>
      </c>
      <c r="J966" t="s">
        <v>12588</v>
      </c>
      <c r="K966">
        <v>207</v>
      </c>
      <c r="L966" t="s">
        <v>108</v>
      </c>
      <c r="M966">
        <v>44</v>
      </c>
      <c r="N966" t="str">
        <f>HYPERLINK("Gene2023-zp_tree_all.dnd", "Gene2023-tree")</f>
        <v>Gene2023-tree</v>
      </c>
      <c r="O966">
        <v>10</v>
      </c>
      <c r="P966">
        <v>3</v>
      </c>
      <c r="Q966">
        <v>10</v>
      </c>
      <c r="R966">
        <v>3</v>
      </c>
      <c r="S966">
        <v>0.23077</v>
      </c>
      <c r="T966" t="s">
        <v>117</v>
      </c>
      <c r="U966" t="s">
        <v>324</v>
      </c>
      <c r="V966" t="s">
        <v>62</v>
      </c>
      <c r="W966" t="s">
        <v>62</v>
      </c>
      <c r="X966">
        <v>1</v>
      </c>
      <c r="Y966">
        <v>2</v>
      </c>
      <c r="Z966">
        <v>5</v>
      </c>
      <c r="AA966">
        <v>0.28571000000000002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3</v>
      </c>
      <c r="AK966">
        <v>0</v>
      </c>
      <c r="AL966">
        <v>10</v>
      </c>
      <c r="AM966">
        <v>9</v>
      </c>
      <c r="AN966">
        <v>17</v>
      </c>
      <c r="AO966">
        <v>2</v>
      </c>
      <c r="AP966">
        <v>16</v>
      </c>
      <c r="AQ966">
        <v>6</v>
      </c>
      <c r="AR966" t="s">
        <v>12589</v>
      </c>
      <c r="AS966" t="s">
        <v>12590</v>
      </c>
      <c r="AT966">
        <v>0.97499999999999998</v>
      </c>
      <c r="AU966" t="s">
        <v>65</v>
      </c>
      <c r="AV966">
        <v>33</v>
      </c>
      <c r="AW966">
        <v>8</v>
      </c>
      <c r="AX966" t="s">
        <v>12591</v>
      </c>
      <c r="AY966">
        <v>5.1729999999999998E-2</v>
      </c>
      <c r="AZ966">
        <v>-3.1800000000000001E-3</v>
      </c>
      <c r="BA966">
        <v>5.4400000000000004E-3</v>
      </c>
      <c r="BB966">
        <v>-4.0000000000000002E-4</v>
      </c>
      <c r="BC966">
        <v>0.1052</v>
      </c>
      <c r="BD966">
        <v>1</v>
      </c>
      <c r="BE966" t="s">
        <v>69</v>
      </c>
      <c r="BF966">
        <v>-0.371</v>
      </c>
      <c r="BG966">
        <v>0.128</v>
      </c>
    </row>
    <row r="967" spans="1:59">
      <c r="A967">
        <v>0</v>
      </c>
      <c r="B967">
        <v>2</v>
      </c>
      <c r="C967">
        <v>0</v>
      </c>
      <c r="D967" t="s">
        <v>25022</v>
      </c>
      <c r="E967">
        <v>117</v>
      </c>
      <c r="F967" t="s">
        <v>884</v>
      </c>
      <c r="G967" t="s">
        <v>57</v>
      </c>
      <c r="H967">
        <v>136369</v>
      </c>
      <c r="I967">
        <v>136989</v>
      </c>
      <c r="J967" t="s">
        <v>885</v>
      </c>
      <c r="K967">
        <v>207</v>
      </c>
      <c r="L967" t="s">
        <v>515</v>
      </c>
      <c r="M967">
        <v>51</v>
      </c>
      <c r="N967" t="str">
        <f>HYPERLINK("Gene117-zp_tree_all.dnd", "Gene117-tree")</f>
        <v>Gene117-tree</v>
      </c>
      <c r="O967">
        <v>12</v>
      </c>
      <c r="P967">
        <v>3</v>
      </c>
      <c r="Q967">
        <v>12</v>
      </c>
      <c r="R967">
        <v>3</v>
      </c>
      <c r="S967">
        <v>0.2</v>
      </c>
      <c r="T967" t="s">
        <v>109</v>
      </c>
      <c r="U967" t="s">
        <v>324</v>
      </c>
      <c r="V967" t="s">
        <v>62</v>
      </c>
      <c r="W967" t="s">
        <v>62</v>
      </c>
      <c r="X967">
        <v>1</v>
      </c>
      <c r="Y967">
        <v>2</v>
      </c>
      <c r="Z967">
        <v>6</v>
      </c>
      <c r="AA967">
        <v>0.25</v>
      </c>
      <c r="AB967">
        <v>0</v>
      </c>
      <c r="AC967">
        <v>0</v>
      </c>
      <c r="AD967">
        <v>0</v>
      </c>
      <c r="AE967">
        <v>2</v>
      </c>
      <c r="AF967">
        <v>0</v>
      </c>
      <c r="AG967">
        <v>0</v>
      </c>
      <c r="AH967">
        <v>0</v>
      </c>
      <c r="AI967">
        <v>0</v>
      </c>
      <c r="AJ967">
        <v>6</v>
      </c>
      <c r="AK967">
        <v>0</v>
      </c>
      <c r="AL967">
        <v>7</v>
      </c>
      <c r="AM967">
        <v>8</v>
      </c>
      <c r="AN967">
        <v>7</v>
      </c>
      <c r="AO967">
        <v>2</v>
      </c>
      <c r="AP967">
        <v>31</v>
      </c>
      <c r="AQ967">
        <v>7</v>
      </c>
      <c r="AR967" t="s">
        <v>886</v>
      </c>
      <c r="AS967" t="s">
        <v>887</v>
      </c>
      <c r="AT967">
        <v>0.122</v>
      </c>
      <c r="AU967" t="s">
        <v>65</v>
      </c>
      <c r="AV967">
        <v>38</v>
      </c>
      <c r="AW967">
        <v>9</v>
      </c>
      <c r="AX967" t="s">
        <v>888</v>
      </c>
      <c r="AY967">
        <v>7.077E-2</v>
      </c>
      <c r="AZ967">
        <v>-5.7200000000000003E-3</v>
      </c>
      <c r="BA967">
        <v>4.7000000000000002E-3</v>
      </c>
      <c r="BB967">
        <v>-4.6999999999999999E-4</v>
      </c>
      <c r="BC967">
        <v>6.6449999999999995E-2</v>
      </c>
      <c r="BD967">
        <v>1</v>
      </c>
      <c r="BE967" t="s">
        <v>69</v>
      </c>
      <c r="BF967">
        <v>-1.5269999999999999</v>
      </c>
      <c r="BG967">
        <v>0.92</v>
      </c>
    </row>
    <row r="968" spans="1:59">
      <c r="A968">
        <v>0</v>
      </c>
      <c r="B968">
        <v>4</v>
      </c>
      <c r="C968">
        <v>4</v>
      </c>
      <c r="D968" t="s">
        <v>25022</v>
      </c>
      <c r="E968">
        <v>1083</v>
      </c>
      <c r="F968" t="s">
        <v>6804</v>
      </c>
      <c r="G968" t="s">
        <v>57</v>
      </c>
      <c r="H968">
        <v>1121550</v>
      </c>
      <c r="I968">
        <v>1122170</v>
      </c>
      <c r="J968" t="s">
        <v>6103</v>
      </c>
      <c r="K968">
        <v>207</v>
      </c>
      <c r="L968" t="s">
        <v>59</v>
      </c>
      <c r="M968">
        <v>49</v>
      </c>
      <c r="N968" t="str">
        <f>HYPERLINK("Gene1083-zp_tree_all.dnd", "Gene1083-tree")</f>
        <v>Gene1083-tree</v>
      </c>
      <c r="O968">
        <v>11</v>
      </c>
      <c r="P968">
        <v>5</v>
      </c>
      <c r="Q968">
        <v>11</v>
      </c>
      <c r="R968">
        <v>5</v>
      </c>
      <c r="S968">
        <v>0.3125</v>
      </c>
      <c r="T968" t="s">
        <v>73</v>
      </c>
      <c r="U968" t="s">
        <v>199</v>
      </c>
      <c r="V968" t="s">
        <v>62</v>
      </c>
      <c r="W968" t="s">
        <v>62</v>
      </c>
      <c r="X968">
        <v>4</v>
      </c>
      <c r="Y968">
        <v>8</v>
      </c>
      <c r="Z968">
        <v>6</v>
      </c>
      <c r="AA968">
        <v>0.57142999999999999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</v>
      </c>
      <c r="AH968">
        <v>0</v>
      </c>
      <c r="AI968">
        <v>2</v>
      </c>
      <c r="AJ968">
        <v>6</v>
      </c>
      <c r="AK968">
        <v>0.25</v>
      </c>
      <c r="AL968">
        <v>13</v>
      </c>
      <c r="AM968">
        <v>9</v>
      </c>
      <c r="AN968">
        <v>33</v>
      </c>
      <c r="AO968">
        <v>8</v>
      </c>
      <c r="AP968">
        <v>28</v>
      </c>
      <c r="AQ968">
        <v>6</v>
      </c>
      <c r="AR968" t="s">
        <v>6805</v>
      </c>
      <c r="AS968" t="s">
        <v>6806</v>
      </c>
      <c r="AT968">
        <v>8.3000000000000004E-2</v>
      </c>
      <c r="AU968" t="s">
        <v>65</v>
      </c>
      <c r="AV968">
        <v>61</v>
      </c>
      <c r="AW968">
        <v>14</v>
      </c>
      <c r="AX968" t="s">
        <v>6807</v>
      </c>
      <c r="AY968">
        <v>8.6620000000000003E-2</v>
      </c>
      <c r="AZ968">
        <v>-5.7999999999999996E-3</v>
      </c>
      <c r="BA968">
        <v>5.7400000000000003E-3</v>
      </c>
      <c r="BB968">
        <v>-5.0000000000000001E-4</v>
      </c>
      <c r="BC968">
        <v>6.6210000000000005E-2</v>
      </c>
      <c r="BD968">
        <v>1</v>
      </c>
      <c r="BE968" t="s">
        <v>69</v>
      </c>
      <c r="BF968">
        <v>-1.2749999999999999</v>
      </c>
      <c r="BG968">
        <v>-1.3049999999999999</v>
      </c>
    </row>
    <row r="969" spans="1:59">
      <c r="A969">
        <v>0</v>
      </c>
      <c r="B969">
        <v>2</v>
      </c>
      <c r="C969">
        <v>0</v>
      </c>
      <c r="D969" t="s">
        <v>25022</v>
      </c>
      <c r="E969">
        <v>3081</v>
      </c>
      <c r="F969" t="s">
        <v>17851</v>
      </c>
      <c r="G969" t="s">
        <v>62</v>
      </c>
      <c r="H969">
        <v>3032420</v>
      </c>
      <c r="I969">
        <v>3033040</v>
      </c>
      <c r="J969" t="s">
        <v>17852</v>
      </c>
      <c r="K969">
        <v>207</v>
      </c>
      <c r="L969" t="s">
        <v>59</v>
      </c>
      <c r="M969">
        <v>49</v>
      </c>
      <c r="N969" t="str">
        <f>HYPERLINK("Gene3081-zp_tree_all.dnd", "Gene3081-tree")</f>
        <v>Gene3081-tree</v>
      </c>
      <c r="O969">
        <v>8</v>
      </c>
      <c r="P969">
        <v>5</v>
      </c>
      <c r="Q969">
        <v>8</v>
      </c>
      <c r="R969">
        <v>5</v>
      </c>
      <c r="S969">
        <v>0.38462000000000002</v>
      </c>
      <c r="T969" t="s">
        <v>136</v>
      </c>
      <c r="U969" t="s">
        <v>199</v>
      </c>
      <c r="V969" t="s">
        <v>62</v>
      </c>
      <c r="W969" t="s">
        <v>62</v>
      </c>
      <c r="X969">
        <v>1</v>
      </c>
      <c r="Y969">
        <v>2</v>
      </c>
      <c r="Z969">
        <v>7</v>
      </c>
      <c r="AA969">
        <v>0.22222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5</v>
      </c>
      <c r="AK969">
        <v>0</v>
      </c>
      <c r="AL969">
        <v>10</v>
      </c>
      <c r="AM969">
        <v>7</v>
      </c>
      <c r="AN969">
        <v>12</v>
      </c>
      <c r="AO969">
        <v>5</v>
      </c>
      <c r="AP969">
        <v>28</v>
      </c>
      <c r="AQ969">
        <v>4</v>
      </c>
      <c r="AR969" t="s">
        <v>17853</v>
      </c>
      <c r="AS969" t="s">
        <v>17854</v>
      </c>
      <c r="AT969">
        <v>0.91</v>
      </c>
      <c r="AU969" t="s">
        <v>65</v>
      </c>
      <c r="AV969">
        <v>40</v>
      </c>
      <c r="AW969">
        <v>9</v>
      </c>
      <c r="AX969" t="s">
        <v>17855</v>
      </c>
      <c r="AY969">
        <v>9.1079999999999994E-2</v>
      </c>
      <c r="AZ969">
        <v>-7.1599999999999997E-3</v>
      </c>
      <c r="BA969">
        <v>4.5399999999999998E-3</v>
      </c>
      <c r="BB969">
        <v>-3.5E-4</v>
      </c>
      <c r="BC969">
        <v>4.9860000000000002E-2</v>
      </c>
      <c r="BD969">
        <v>1</v>
      </c>
      <c r="BE969" t="s">
        <v>69</v>
      </c>
      <c r="BF969">
        <v>-1.48</v>
      </c>
      <c r="BG969">
        <v>5.7000000000000002E-2</v>
      </c>
    </row>
    <row r="970" spans="1:59">
      <c r="A970">
        <v>0</v>
      </c>
      <c r="B970">
        <v>0</v>
      </c>
      <c r="C970">
        <v>0</v>
      </c>
      <c r="D970" t="s">
        <v>25022</v>
      </c>
      <c r="E970">
        <v>1551</v>
      </c>
      <c r="F970" t="s">
        <v>9697</v>
      </c>
      <c r="G970" t="s">
        <v>57</v>
      </c>
      <c r="H970">
        <v>1563437</v>
      </c>
      <c r="I970">
        <v>1564057</v>
      </c>
      <c r="J970" t="s">
        <v>9698</v>
      </c>
      <c r="K970">
        <v>207</v>
      </c>
      <c r="L970" t="s">
        <v>108</v>
      </c>
      <c r="M970">
        <v>44</v>
      </c>
      <c r="N970" t="str">
        <f>HYPERLINK("Gene1551-zp_tree_all.dnd", "Gene1551-tree")</f>
        <v>Gene1551-tree</v>
      </c>
      <c r="O970">
        <v>9</v>
      </c>
      <c r="P970">
        <v>3</v>
      </c>
      <c r="Q970">
        <v>9</v>
      </c>
      <c r="R970">
        <v>3</v>
      </c>
      <c r="S970">
        <v>0.25</v>
      </c>
      <c r="T970" t="s">
        <v>135</v>
      </c>
      <c r="U970" t="s">
        <v>324</v>
      </c>
      <c r="V970" t="s">
        <v>62</v>
      </c>
      <c r="W970" t="s">
        <v>62</v>
      </c>
      <c r="X970">
        <v>0</v>
      </c>
      <c r="Y970">
        <v>0</v>
      </c>
      <c r="Z970">
        <v>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3</v>
      </c>
      <c r="AK970">
        <v>0</v>
      </c>
      <c r="AL970">
        <v>8</v>
      </c>
      <c r="AM970">
        <v>6</v>
      </c>
      <c r="AN970">
        <v>9</v>
      </c>
      <c r="AO970">
        <v>3</v>
      </c>
      <c r="AP970">
        <v>6</v>
      </c>
      <c r="AQ970">
        <v>0</v>
      </c>
      <c r="AR970" t="s">
        <v>9699</v>
      </c>
      <c r="AS970" t="s">
        <v>193</v>
      </c>
      <c r="AT970">
        <v>1.2030000000000001</v>
      </c>
      <c r="AU970" t="s">
        <v>65</v>
      </c>
      <c r="AV970">
        <v>15</v>
      </c>
      <c r="AW970">
        <v>3</v>
      </c>
      <c r="AX970" t="s">
        <v>9700</v>
      </c>
      <c r="AY970">
        <v>2.426E-2</v>
      </c>
      <c r="AZ970">
        <v>-1.56E-3</v>
      </c>
      <c r="BA970">
        <v>1.0499999999999999E-3</v>
      </c>
      <c r="BB970">
        <v>-1.4999999999999999E-4</v>
      </c>
      <c r="BC970">
        <v>4.3459999999999999E-2</v>
      </c>
      <c r="BD970">
        <v>1</v>
      </c>
      <c r="BE970" t="s">
        <v>69</v>
      </c>
      <c r="BF970">
        <v>-1.226</v>
      </c>
      <c r="BG970">
        <v>-1.54</v>
      </c>
    </row>
    <row r="971" spans="1:59">
      <c r="A971">
        <v>0</v>
      </c>
      <c r="B971">
        <v>0</v>
      </c>
      <c r="C971">
        <v>0</v>
      </c>
      <c r="D971" t="s">
        <v>25022</v>
      </c>
      <c r="E971">
        <v>1437</v>
      </c>
      <c r="F971" t="s">
        <v>8995</v>
      </c>
      <c r="G971" t="s">
        <v>57</v>
      </c>
      <c r="H971">
        <v>1448506</v>
      </c>
      <c r="I971">
        <v>1449129</v>
      </c>
      <c r="J971" t="s">
        <v>8996</v>
      </c>
      <c r="K971">
        <v>208</v>
      </c>
      <c r="L971" t="s">
        <v>7661</v>
      </c>
      <c r="M971">
        <v>43</v>
      </c>
      <c r="N971" t="str">
        <f>HYPERLINK("Gene1437-zp_tree_all.dnd", "Gene1437-tree")</f>
        <v>Gene1437-tree</v>
      </c>
      <c r="O971">
        <v>8</v>
      </c>
      <c r="P971">
        <v>5</v>
      </c>
      <c r="Q971">
        <v>8</v>
      </c>
      <c r="R971">
        <v>5</v>
      </c>
      <c r="S971">
        <v>0.38462000000000002</v>
      </c>
      <c r="T971" t="s">
        <v>136</v>
      </c>
      <c r="U971" t="s">
        <v>199</v>
      </c>
      <c r="V971" t="s">
        <v>62</v>
      </c>
      <c r="W971" t="s">
        <v>62</v>
      </c>
      <c r="X971">
        <v>0</v>
      </c>
      <c r="Y971">
        <v>0</v>
      </c>
      <c r="Z971">
        <v>9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7</v>
      </c>
      <c r="AK971">
        <v>0</v>
      </c>
      <c r="AL971">
        <v>9</v>
      </c>
      <c r="AM971">
        <v>6</v>
      </c>
      <c r="AN971">
        <v>9</v>
      </c>
      <c r="AO971">
        <v>7</v>
      </c>
      <c r="AP971">
        <v>5</v>
      </c>
      <c r="AQ971">
        <v>2</v>
      </c>
      <c r="AR971" t="s">
        <v>8997</v>
      </c>
      <c r="AS971" t="s">
        <v>8998</v>
      </c>
      <c r="AT971">
        <v>0.54300000000000004</v>
      </c>
      <c r="AU971" t="s">
        <v>65</v>
      </c>
      <c r="AV971">
        <v>14</v>
      </c>
      <c r="AW971">
        <v>9</v>
      </c>
      <c r="AX971" t="s">
        <v>8999</v>
      </c>
      <c r="AY971">
        <v>1.823E-2</v>
      </c>
      <c r="AZ971">
        <v>-1.2800000000000001E-3</v>
      </c>
      <c r="BA971">
        <v>3.8700000000000002E-3</v>
      </c>
      <c r="BB971">
        <v>-2.9999999999999997E-4</v>
      </c>
      <c r="BC971">
        <v>0.21235999999999999</v>
      </c>
      <c r="BD971">
        <v>1</v>
      </c>
      <c r="BE971" t="s">
        <v>69</v>
      </c>
      <c r="BF971">
        <v>-1.2949999999999999</v>
      </c>
      <c r="BG971">
        <v>-2.2010000000000001</v>
      </c>
    </row>
    <row r="972" spans="1:59">
      <c r="A972">
        <v>0</v>
      </c>
      <c r="B972">
        <v>15</v>
      </c>
      <c r="C972">
        <v>3</v>
      </c>
      <c r="D972" t="s">
        <v>25022</v>
      </c>
      <c r="E972">
        <v>741</v>
      </c>
      <c r="F972" t="s">
        <v>4595</v>
      </c>
      <c r="G972" t="s">
        <v>57</v>
      </c>
      <c r="H972">
        <v>769487</v>
      </c>
      <c r="I972">
        <v>770110</v>
      </c>
      <c r="J972" t="s">
        <v>4596</v>
      </c>
      <c r="K972">
        <v>208</v>
      </c>
      <c r="L972" t="s">
        <v>3401</v>
      </c>
      <c r="M972">
        <v>42</v>
      </c>
      <c r="N972" t="str">
        <f>HYPERLINK("Gene741-zp_tree_all.dnd", "Gene741-tree")</f>
        <v>Gene741-tree</v>
      </c>
      <c r="O972">
        <v>6</v>
      </c>
      <c r="P972">
        <v>12</v>
      </c>
      <c r="Q972">
        <v>6</v>
      </c>
      <c r="R972">
        <v>12</v>
      </c>
      <c r="S972">
        <v>0.66666999999999998</v>
      </c>
      <c r="T972" t="s">
        <v>90</v>
      </c>
      <c r="U972" t="s">
        <v>109</v>
      </c>
      <c r="V972" t="s">
        <v>62</v>
      </c>
      <c r="W972" t="s">
        <v>62</v>
      </c>
      <c r="X972">
        <v>6</v>
      </c>
      <c r="Y972">
        <v>18</v>
      </c>
      <c r="Z972">
        <v>12</v>
      </c>
      <c r="AA972">
        <v>0.6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5</v>
      </c>
      <c r="AH972">
        <v>2</v>
      </c>
      <c r="AI972">
        <v>7</v>
      </c>
      <c r="AJ972">
        <v>11</v>
      </c>
      <c r="AK972">
        <v>0.38889000000000001</v>
      </c>
      <c r="AL972">
        <v>15</v>
      </c>
      <c r="AM972">
        <v>14</v>
      </c>
      <c r="AN972">
        <v>18</v>
      </c>
      <c r="AO972">
        <v>18</v>
      </c>
      <c r="AP972">
        <v>27</v>
      </c>
      <c r="AQ972">
        <v>12</v>
      </c>
      <c r="AR972" t="s">
        <v>4597</v>
      </c>
      <c r="AS972" t="s">
        <v>4598</v>
      </c>
      <c r="AT972">
        <v>0.91300000000000003</v>
      </c>
      <c r="AU972" t="s">
        <v>65</v>
      </c>
      <c r="AV972">
        <v>45</v>
      </c>
      <c r="AW972">
        <v>30</v>
      </c>
      <c r="AX972" t="s">
        <v>4599</v>
      </c>
      <c r="AY972">
        <v>5.1319999999999998E-2</v>
      </c>
      <c r="AZ972">
        <v>-1.6000000000000001E-3</v>
      </c>
      <c r="BA972">
        <v>9.1199999999999996E-3</v>
      </c>
      <c r="BB972">
        <v>-2.9E-4</v>
      </c>
      <c r="BC972">
        <v>0.17768</v>
      </c>
      <c r="BD972">
        <v>1</v>
      </c>
      <c r="BE972" t="s">
        <v>69</v>
      </c>
      <c r="BF972">
        <v>-0.13200000000000001</v>
      </c>
      <c r="BG972">
        <v>-0.377</v>
      </c>
    </row>
    <row r="973" spans="1:59">
      <c r="A973">
        <v>2</v>
      </c>
      <c r="B973">
        <v>11</v>
      </c>
      <c r="C973">
        <v>1</v>
      </c>
      <c r="D973" t="s">
        <v>25022</v>
      </c>
      <c r="E973">
        <v>1262</v>
      </c>
      <c r="F973" t="s">
        <v>7909</v>
      </c>
      <c r="G973" t="s">
        <v>57</v>
      </c>
      <c r="H973">
        <v>1290018</v>
      </c>
      <c r="I973">
        <v>1290641</v>
      </c>
      <c r="J973" t="s">
        <v>7910</v>
      </c>
      <c r="K973">
        <v>208</v>
      </c>
      <c r="L973" t="s">
        <v>7911</v>
      </c>
      <c r="M973">
        <v>39</v>
      </c>
      <c r="N973" t="str">
        <f>HYPERLINK("Gene1262-zp_tree_all.dnd", "Gene1262-tree")</f>
        <v>Gene1262-tree</v>
      </c>
      <c r="O973">
        <v>1</v>
      </c>
      <c r="P973">
        <v>10</v>
      </c>
      <c r="Q973">
        <v>1</v>
      </c>
      <c r="R973">
        <v>10</v>
      </c>
      <c r="S973">
        <v>0.90908999999999995</v>
      </c>
      <c r="T973" t="s">
        <v>175</v>
      </c>
      <c r="U973" t="s">
        <v>117</v>
      </c>
      <c r="V973" t="s">
        <v>62</v>
      </c>
      <c r="W973" t="s">
        <v>62</v>
      </c>
      <c r="X973">
        <v>6</v>
      </c>
      <c r="Y973">
        <v>14</v>
      </c>
      <c r="Z973">
        <v>16</v>
      </c>
      <c r="AA973">
        <v>0.46666999999999997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</v>
      </c>
      <c r="AH973">
        <v>0</v>
      </c>
      <c r="AI973">
        <v>2</v>
      </c>
      <c r="AJ973">
        <v>17</v>
      </c>
      <c r="AK973">
        <v>0.10526000000000001</v>
      </c>
      <c r="AL973">
        <v>10</v>
      </c>
      <c r="AM973">
        <v>8</v>
      </c>
      <c r="AN973">
        <v>36</v>
      </c>
      <c r="AO973">
        <v>20</v>
      </c>
      <c r="AP973">
        <v>24</v>
      </c>
      <c r="AQ973">
        <v>12</v>
      </c>
      <c r="AR973" t="s">
        <v>7912</v>
      </c>
      <c r="AS973" t="s">
        <v>7913</v>
      </c>
      <c r="AT973">
        <v>0.16</v>
      </c>
      <c r="AU973" t="s">
        <v>65</v>
      </c>
      <c r="AV973">
        <v>60</v>
      </c>
      <c r="AW973">
        <v>32</v>
      </c>
      <c r="AX973" t="s">
        <v>7914</v>
      </c>
      <c r="AY973">
        <v>0.10032000000000001</v>
      </c>
      <c r="AZ973">
        <v>-5.5199999999999997E-3</v>
      </c>
      <c r="BA973">
        <v>1.6729999999999998E-2</v>
      </c>
      <c r="BB973">
        <v>-1.09E-3</v>
      </c>
      <c r="BC973">
        <v>0.1668</v>
      </c>
      <c r="BD973">
        <v>1</v>
      </c>
      <c r="BE973" t="s">
        <v>69</v>
      </c>
      <c r="BF973">
        <v>0.104</v>
      </c>
      <c r="BG973">
        <v>-0.93600000000000005</v>
      </c>
    </row>
    <row r="974" spans="1:59">
      <c r="A974">
        <v>0</v>
      </c>
      <c r="B974">
        <v>9</v>
      </c>
      <c r="C974">
        <v>4</v>
      </c>
      <c r="D974" t="s">
        <v>25022</v>
      </c>
      <c r="E974">
        <v>175</v>
      </c>
      <c r="F974" t="s">
        <v>1236</v>
      </c>
      <c r="G974" t="s">
        <v>57</v>
      </c>
      <c r="H974">
        <v>195426</v>
      </c>
      <c r="I974">
        <v>196049</v>
      </c>
      <c r="J974" t="s">
        <v>1237</v>
      </c>
      <c r="K974">
        <v>208</v>
      </c>
      <c r="L974" t="s">
        <v>59</v>
      </c>
      <c r="M974">
        <v>49</v>
      </c>
      <c r="N974" t="str">
        <f>HYPERLINK("Gene175-zp_tree_all.dnd", "Gene175-tree")</f>
        <v>Gene175-tree</v>
      </c>
      <c r="O974">
        <v>17</v>
      </c>
      <c r="P974">
        <v>4</v>
      </c>
      <c r="Q974">
        <v>17</v>
      </c>
      <c r="R974">
        <v>4</v>
      </c>
      <c r="S974">
        <v>0.19048000000000001</v>
      </c>
      <c r="T974" t="s">
        <v>266</v>
      </c>
      <c r="U974" t="s">
        <v>61</v>
      </c>
      <c r="V974" t="s">
        <v>62</v>
      </c>
      <c r="W974" t="s">
        <v>62</v>
      </c>
      <c r="X974">
        <v>6</v>
      </c>
      <c r="Y974">
        <v>13</v>
      </c>
      <c r="Z974">
        <v>11</v>
      </c>
      <c r="AA974">
        <v>0.54166999999999998</v>
      </c>
      <c r="AB974">
        <v>2</v>
      </c>
      <c r="AC974">
        <v>0</v>
      </c>
      <c r="AD974">
        <v>2</v>
      </c>
      <c r="AE974">
        <v>8</v>
      </c>
      <c r="AF974">
        <v>0.2</v>
      </c>
      <c r="AG974">
        <v>2</v>
      </c>
      <c r="AH974">
        <v>0</v>
      </c>
      <c r="AI974">
        <v>2</v>
      </c>
      <c r="AJ974">
        <v>3</v>
      </c>
      <c r="AK974">
        <v>0.4</v>
      </c>
      <c r="AL974">
        <v>14</v>
      </c>
      <c r="AM974">
        <v>12</v>
      </c>
      <c r="AN974">
        <v>17</v>
      </c>
      <c r="AO974">
        <v>5</v>
      </c>
      <c r="AP974">
        <v>36</v>
      </c>
      <c r="AQ974">
        <v>19</v>
      </c>
      <c r="AR974" t="s">
        <v>1238</v>
      </c>
      <c r="AS974" t="s">
        <v>1239</v>
      </c>
      <c r="AT974">
        <v>0.4</v>
      </c>
      <c r="AU974" t="s">
        <v>65</v>
      </c>
      <c r="AV974">
        <v>53</v>
      </c>
      <c r="AW974">
        <v>24</v>
      </c>
      <c r="AX974" t="s">
        <v>1240</v>
      </c>
      <c r="AY974">
        <v>7.7770000000000006E-2</v>
      </c>
      <c r="AZ974">
        <v>-4.1000000000000003E-3</v>
      </c>
      <c r="BA974">
        <v>9.7300000000000008E-3</v>
      </c>
      <c r="BB974">
        <v>-5.9999999999999995E-4</v>
      </c>
      <c r="BC974">
        <v>0.12504999999999999</v>
      </c>
      <c r="BD974">
        <v>1</v>
      </c>
      <c r="BE974" t="s">
        <v>69</v>
      </c>
      <c r="BF974">
        <v>-1.4059999999999999</v>
      </c>
      <c r="BG974">
        <v>-0.14599999999999999</v>
      </c>
    </row>
    <row r="975" spans="1:59">
      <c r="A975">
        <v>0</v>
      </c>
      <c r="B975">
        <v>0</v>
      </c>
      <c r="C975">
        <v>0</v>
      </c>
      <c r="D975" t="s">
        <v>25022</v>
      </c>
      <c r="E975">
        <v>2002</v>
      </c>
      <c r="F975" t="s">
        <v>12468</v>
      </c>
      <c r="G975" t="s">
        <v>62</v>
      </c>
      <c r="H975">
        <v>2096353</v>
      </c>
      <c r="I975">
        <v>2096976</v>
      </c>
      <c r="J975" t="s">
        <v>12469</v>
      </c>
      <c r="K975">
        <v>208</v>
      </c>
      <c r="L975" t="s">
        <v>59</v>
      </c>
      <c r="M975">
        <v>49</v>
      </c>
      <c r="N975" t="str">
        <f>HYPERLINK("Gene2002-zp_tree_all.dnd", "Gene2002-tree")</f>
        <v>Gene2002-tree</v>
      </c>
      <c r="O975">
        <v>7</v>
      </c>
      <c r="P975">
        <v>3</v>
      </c>
      <c r="Q975">
        <v>7</v>
      </c>
      <c r="R975">
        <v>3</v>
      </c>
      <c r="S975">
        <v>0.3</v>
      </c>
      <c r="T975" t="s">
        <v>152</v>
      </c>
      <c r="U975" t="s">
        <v>324</v>
      </c>
      <c r="V975" t="s">
        <v>62</v>
      </c>
      <c r="W975" t="s">
        <v>62</v>
      </c>
      <c r="X975">
        <v>0</v>
      </c>
      <c r="Y975">
        <v>0</v>
      </c>
      <c r="Z975">
        <v>8</v>
      </c>
      <c r="AA975">
        <v>0</v>
      </c>
      <c r="AB975">
        <v>0</v>
      </c>
      <c r="AC975">
        <v>0</v>
      </c>
      <c r="AD975">
        <v>0</v>
      </c>
      <c r="AE975">
        <v>2</v>
      </c>
      <c r="AF975">
        <v>0</v>
      </c>
      <c r="AG975">
        <v>0</v>
      </c>
      <c r="AH975">
        <v>0</v>
      </c>
      <c r="AI975">
        <v>0</v>
      </c>
      <c r="AJ975">
        <v>3</v>
      </c>
      <c r="AK975">
        <v>0</v>
      </c>
      <c r="AL975">
        <v>9</v>
      </c>
      <c r="AM975">
        <v>4</v>
      </c>
      <c r="AN975">
        <v>17</v>
      </c>
      <c r="AO975">
        <v>3</v>
      </c>
      <c r="AP975">
        <v>22</v>
      </c>
      <c r="AQ975">
        <v>6</v>
      </c>
      <c r="AR975" t="s">
        <v>12470</v>
      </c>
      <c r="AS975" t="s">
        <v>12471</v>
      </c>
      <c r="AT975">
        <v>0.33700000000000002</v>
      </c>
      <c r="AU975" t="s">
        <v>65</v>
      </c>
      <c r="AV975">
        <v>39</v>
      </c>
      <c r="AW975">
        <v>9</v>
      </c>
      <c r="AX975" t="s">
        <v>12472</v>
      </c>
      <c r="AY975">
        <v>0.10183</v>
      </c>
      <c r="AZ975">
        <v>-9.3500000000000007E-3</v>
      </c>
      <c r="BA975">
        <v>7.2399999999999999E-3</v>
      </c>
      <c r="BB975">
        <v>-6.6E-4</v>
      </c>
      <c r="BC975">
        <v>7.1080000000000004E-2</v>
      </c>
      <c r="BD975">
        <v>1</v>
      </c>
      <c r="BE975" t="s">
        <v>69</v>
      </c>
      <c r="BF975">
        <v>-1.6759999999999999</v>
      </c>
      <c r="BG975">
        <v>-0.879</v>
      </c>
    </row>
    <row r="976" spans="1:59">
      <c r="A976">
        <v>0</v>
      </c>
      <c r="B976">
        <v>8</v>
      </c>
      <c r="C976">
        <v>0</v>
      </c>
      <c r="D976" t="s">
        <v>25022</v>
      </c>
      <c r="E976">
        <v>1684</v>
      </c>
      <c r="F976" t="s">
        <v>10552</v>
      </c>
      <c r="G976" t="s">
        <v>57</v>
      </c>
      <c r="H976">
        <v>1695254</v>
      </c>
      <c r="I976">
        <v>1695877</v>
      </c>
      <c r="J976" t="s">
        <v>10553</v>
      </c>
      <c r="K976">
        <v>208</v>
      </c>
      <c r="L976" t="s">
        <v>108</v>
      </c>
      <c r="M976">
        <v>44</v>
      </c>
      <c r="N976" t="str">
        <f>HYPERLINK("Gene1684-zp_tree_all.dnd", "Gene1684-tree")</f>
        <v>Gene1684-tree</v>
      </c>
      <c r="O976">
        <v>26</v>
      </c>
      <c r="P976">
        <v>7</v>
      </c>
      <c r="Q976">
        <v>6</v>
      </c>
      <c r="R976">
        <v>7</v>
      </c>
      <c r="S976">
        <v>0.53846000000000005</v>
      </c>
      <c r="T976" t="s">
        <v>1030</v>
      </c>
      <c r="U976" t="s">
        <v>152</v>
      </c>
      <c r="V976" t="s">
        <v>62</v>
      </c>
      <c r="W976" t="s">
        <v>62</v>
      </c>
      <c r="X976">
        <v>3</v>
      </c>
      <c r="Y976">
        <v>8</v>
      </c>
      <c r="Z976">
        <v>6</v>
      </c>
      <c r="AA976">
        <v>0.57142999999999999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3</v>
      </c>
      <c r="AH976">
        <v>0</v>
      </c>
      <c r="AI976">
        <v>3</v>
      </c>
      <c r="AJ976">
        <v>7</v>
      </c>
      <c r="AK976">
        <v>0.3</v>
      </c>
      <c r="AL976">
        <v>10</v>
      </c>
      <c r="AM976">
        <v>7</v>
      </c>
      <c r="AN976">
        <v>29</v>
      </c>
      <c r="AO976">
        <v>10</v>
      </c>
      <c r="AP976">
        <v>14</v>
      </c>
      <c r="AQ976">
        <v>4</v>
      </c>
      <c r="AR976" t="s">
        <v>10554</v>
      </c>
      <c r="AS976" t="s">
        <v>10555</v>
      </c>
      <c r="AT976">
        <v>0.17299999999999999</v>
      </c>
      <c r="AU976" t="s">
        <v>65</v>
      </c>
      <c r="AV976">
        <v>43</v>
      </c>
      <c r="AW976">
        <v>14</v>
      </c>
      <c r="AX976" t="s">
        <v>10556</v>
      </c>
      <c r="AY976">
        <v>7.2529999999999997E-2</v>
      </c>
      <c r="AZ976">
        <v>-5.3E-3</v>
      </c>
      <c r="BA976">
        <v>5.0400000000000002E-3</v>
      </c>
      <c r="BB976">
        <v>-3.5E-4</v>
      </c>
      <c r="BC976">
        <v>6.9419999999999996E-2</v>
      </c>
      <c r="BD976">
        <v>1</v>
      </c>
      <c r="BE976" t="s">
        <v>69</v>
      </c>
      <c r="BF976">
        <v>-0.81599999999999995</v>
      </c>
      <c r="BG976">
        <v>-1.722</v>
      </c>
    </row>
    <row r="977" spans="1:59">
      <c r="A977">
        <v>0</v>
      </c>
      <c r="B977">
        <v>0</v>
      </c>
      <c r="C977">
        <v>2</v>
      </c>
      <c r="D977" t="s">
        <v>25022</v>
      </c>
      <c r="E977">
        <v>4255</v>
      </c>
      <c r="F977" t="s">
        <v>24995</v>
      </c>
      <c r="G977" t="s">
        <v>62</v>
      </c>
      <c r="H977">
        <v>4213203</v>
      </c>
      <c r="I977">
        <v>4213826</v>
      </c>
      <c r="J977" t="s">
        <v>24996</v>
      </c>
      <c r="K977">
        <v>208</v>
      </c>
      <c r="L977" t="s">
        <v>108</v>
      </c>
      <c r="M977">
        <v>44</v>
      </c>
      <c r="N977" t="str">
        <f>HYPERLINK("Gene4255-zp_tree_all.dnd", "Gene4255-tree")</f>
        <v>Gene4255-tree</v>
      </c>
      <c r="O977">
        <v>11</v>
      </c>
      <c r="P977">
        <v>2</v>
      </c>
      <c r="Q977">
        <v>11</v>
      </c>
      <c r="R977">
        <v>2</v>
      </c>
      <c r="S977">
        <v>0.15384999999999999</v>
      </c>
      <c r="T977" t="s">
        <v>73</v>
      </c>
      <c r="U977" t="s">
        <v>81</v>
      </c>
      <c r="V977" t="s">
        <v>62</v>
      </c>
      <c r="W977" t="s">
        <v>62</v>
      </c>
      <c r="X977">
        <v>1</v>
      </c>
      <c r="Y977">
        <v>2</v>
      </c>
      <c r="Z977">
        <v>3</v>
      </c>
      <c r="AA977">
        <v>0.4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</v>
      </c>
      <c r="AK977">
        <v>0</v>
      </c>
      <c r="AL977">
        <v>9</v>
      </c>
      <c r="AM977">
        <v>7</v>
      </c>
      <c r="AN977">
        <v>23</v>
      </c>
      <c r="AO977">
        <v>3</v>
      </c>
      <c r="AP977">
        <v>10</v>
      </c>
      <c r="AQ977">
        <v>2</v>
      </c>
      <c r="AR977" t="s">
        <v>24997</v>
      </c>
      <c r="AS977" t="s">
        <v>24998</v>
      </c>
      <c r="AT977">
        <v>0.13800000000000001</v>
      </c>
      <c r="AU977" t="s">
        <v>65</v>
      </c>
      <c r="AV977">
        <v>33</v>
      </c>
      <c r="AW977">
        <v>5</v>
      </c>
      <c r="AX977" t="s">
        <v>24999</v>
      </c>
      <c r="AY977">
        <v>4.8750000000000002E-2</v>
      </c>
      <c r="AZ977">
        <v>-3.3999999999999998E-3</v>
      </c>
      <c r="BA977">
        <v>2.32E-3</v>
      </c>
      <c r="BB977">
        <v>-2.7E-4</v>
      </c>
      <c r="BC977">
        <v>4.7570000000000001E-2</v>
      </c>
      <c r="BD977">
        <v>1</v>
      </c>
      <c r="BE977" t="s">
        <v>69</v>
      </c>
      <c r="BF977">
        <v>0.315</v>
      </c>
      <c r="BG977">
        <v>1.294</v>
      </c>
    </row>
    <row r="978" spans="1:59">
      <c r="A978">
        <v>0</v>
      </c>
      <c r="B978">
        <v>8</v>
      </c>
      <c r="C978">
        <v>0</v>
      </c>
      <c r="D978" t="s">
        <v>25022</v>
      </c>
      <c r="E978">
        <v>2313</v>
      </c>
      <c r="F978" t="s">
        <v>13408</v>
      </c>
      <c r="G978" t="s">
        <v>62</v>
      </c>
      <c r="H978">
        <v>2332156</v>
      </c>
      <c r="I978">
        <v>2332782</v>
      </c>
      <c r="J978" t="s">
        <v>116</v>
      </c>
      <c r="K978">
        <v>209</v>
      </c>
      <c r="L978" t="s">
        <v>108</v>
      </c>
      <c r="M978">
        <v>44</v>
      </c>
      <c r="N978" t="str">
        <f>HYPERLINK("Gene2313-zp_tree_all.dnd", "Gene2313-tree")</f>
        <v>Gene2313-tree</v>
      </c>
      <c r="O978">
        <v>3</v>
      </c>
      <c r="P978">
        <v>11</v>
      </c>
      <c r="Q978">
        <v>3</v>
      </c>
      <c r="R978">
        <v>11</v>
      </c>
      <c r="S978">
        <v>0.78571000000000002</v>
      </c>
      <c r="T978" t="s">
        <v>324</v>
      </c>
      <c r="U978" t="s">
        <v>73</v>
      </c>
      <c r="V978">
        <v>305230034.74400002</v>
      </c>
      <c r="W978" t="s">
        <v>267</v>
      </c>
      <c r="X978">
        <v>3</v>
      </c>
      <c r="Y978">
        <v>8</v>
      </c>
      <c r="Z978">
        <v>14</v>
      </c>
      <c r="AA978">
        <v>0.36364000000000002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6</v>
      </c>
      <c r="AH978">
        <v>0</v>
      </c>
      <c r="AI978">
        <v>6</v>
      </c>
      <c r="AJ978">
        <v>12</v>
      </c>
      <c r="AK978">
        <v>0.33333000000000002</v>
      </c>
      <c r="AL978">
        <v>12</v>
      </c>
      <c r="AM978">
        <v>6</v>
      </c>
      <c r="AN978">
        <v>14</v>
      </c>
      <c r="AO978">
        <v>14</v>
      </c>
      <c r="AP978">
        <v>9</v>
      </c>
      <c r="AQ978">
        <v>8</v>
      </c>
      <c r="AR978" t="s">
        <v>13409</v>
      </c>
      <c r="AS978" t="s">
        <v>13410</v>
      </c>
      <c r="AT978">
        <v>0.222</v>
      </c>
      <c r="AU978" t="s">
        <v>65</v>
      </c>
      <c r="AV978">
        <v>23</v>
      </c>
      <c r="AW978">
        <v>22</v>
      </c>
      <c r="AX978" t="s">
        <v>13411</v>
      </c>
      <c r="AY978">
        <v>3.0880000000000001E-2</v>
      </c>
      <c r="AZ978">
        <v>-1.47E-3</v>
      </c>
      <c r="BA978">
        <v>8.5800000000000008E-3</v>
      </c>
      <c r="BB978">
        <v>-4.0999999999999999E-4</v>
      </c>
      <c r="BC978">
        <v>0.27782000000000001</v>
      </c>
      <c r="BD978">
        <v>1</v>
      </c>
      <c r="BE978" t="s">
        <v>69</v>
      </c>
      <c r="BF978">
        <v>-0.68</v>
      </c>
      <c r="BG978">
        <v>-0.6</v>
      </c>
    </row>
    <row r="979" spans="1:59">
      <c r="A979">
        <v>0</v>
      </c>
      <c r="B979">
        <v>6</v>
      </c>
      <c r="C979">
        <v>3</v>
      </c>
      <c r="D979" t="s">
        <v>25022</v>
      </c>
      <c r="E979">
        <v>1413</v>
      </c>
      <c r="F979" t="s">
        <v>8848</v>
      </c>
      <c r="G979" t="s">
        <v>57</v>
      </c>
      <c r="H979">
        <v>1428940</v>
      </c>
      <c r="I979">
        <v>1429566</v>
      </c>
      <c r="J979" t="s">
        <v>8849</v>
      </c>
      <c r="K979">
        <v>209</v>
      </c>
      <c r="L979" t="s">
        <v>108</v>
      </c>
      <c r="M979">
        <v>44</v>
      </c>
      <c r="N979" t="str">
        <f>HYPERLINK("Gene1413-zp_tree_all.dnd", "Gene1413-tree")</f>
        <v>Gene1413-tree</v>
      </c>
      <c r="O979">
        <v>6</v>
      </c>
      <c r="P979">
        <v>8</v>
      </c>
      <c r="Q979">
        <v>6</v>
      </c>
      <c r="R979">
        <v>8</v>
      </c>
      <c r="S979">
        <v>0.57142999999999999</v>
      </c>
      <c r="T979" t="s">
        <v>90</v>
      </c>
      <c r="U979" t="s">
        <v>136</v>
      </c>
      <c r="V979" t="s">
        <v>62</v>
      </c>
      <c r="W979" t="s">
        <v>62</v>
      </c>
      <c r="X979">
        <v>3</v>
      </c>
      <c r="Y979">
        <v>9</v>
      </c>
      <c r="Z979">
        <v>9</v>
      </c>
      <c r="AA979">
        <v>0.5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2</v>
      </c>
      <c r="AH979">
        <v>1</v>
      </c>
      <c r="AI979">
        <v>3</v>
      </c>
      <c r="AJ979">
        <v>10</v>
      </c>
      <c r="AK979">
        <v>0.23077</v>
      </c>
      <c r="AL979">
        <v>11</v>
      </c>
      <c r="AM979">
        <v>9</v>
      </c>
      <c r="AN979">
        <v>13</v>
      </c>
      <c r="AO979">
        <v>13</v>
      </c>
      <c r="AP979">
        <v>11</v>
      </c>
      <c r="AQ979">
        <v>5</v>
      </c>
      <c r="AR979" t="s">
        <v>8850</v>
      </c>
      <c r="AS979" t="s">
        <v>8851</v>
      </c>
      <c r="AT979">
        <v>1.2549999999999999</v>
      </c>
      <c r="AU979" t="s">
        <v>65</v>
      </c>
      <c r="AV979">
        <v>24</v>
      </c>
      <c r="AW979">
        <v>18</v>
      </c>
      <c r="AX979" t="s">
        <v>8852</v>
      </c>
      <c r="AY979">
        <v>3.5569999999999997E-2</v>
      </c>
      <c r="AZ979">
        <v>-1.48E-3</v>
      </c>
      <c r="BA979">
        <v>6.4000000000000003E-3</v>
      </c>
      <c r="BB979">
        <v>-3.1E-4</v>
      </c>
      <c r="BC979">
        <v>0.18</v>
      </c>
      <c r="BD979">
        <v>1</v>
      </c>
      <c r="BE979" t="s">
        <v>69</v>
      </c>
      <c r="BF979">
        <v>-0.98399999999999999</v>
      </c>
      <c r="BG979">
        <v>-1.2370000000000001</v>
      </c>
    </row>
    <row r="980" spans="1:59">
      <c r="A980">
        <v>0</v>
      </c>
      <c r="B980">
        <v>3</v>
      </c>
      <c r="C980">
        <v>4</v>
      </c>
      <c r="D980" t="s">
        <v>25022</v>
      </c>
      <c r="E980">
        <v>731</v>
      </c>
      <c r="F980" t="s">
        <v>4527</v>
      </c>
      <c r="G980" t="s">
        <v>57</v>
      </c>
      <c r="H980">
        <v>758093</v>
      </c>
      <c r="I980">
        <v>758719</v>
      </c>
      <c r="J980" t="s">
        <v>4528</v>
      </c>
      <c r="K980">
        <v>209</v>
      </c>
      <c r="L980" t="s">
        <v>108</v>
      </c>
      <c r="M980">
        <v>44</v>
      </c>
      <c r="N980" t="str">
        <f>HYPERLINK("Gene731-zp_tree_all.dnd", "Gene731-tree")</f>
        <v>Gene731-tree</v>
      </c>
      <c r="O980">
        <v>8</v>
      </c>
      <c r="P980">
        <v>8</v>
      </c>
      <c r="Q980">
        <v>8</v>
      </c>
      <c r="R980">
        <v>8</v>
      </c>
      <c r="S980">
        <v>0.5</v>
      </c>
      <c r="T980" t="s">
        <v>136</v>
      </c>
      <c r="U980" t="s">
        <v>136</v>
      </c>
      <c r="V980" t="s">
        <v>62</v>
      </c>
      <c r="W980" t="s">
        <v>62</v>
      </c>
      <c r="X980">
        <v>3</v>
      </c>
      <c r="Y980">
        <v>7</v>
      </c>
      <c r="Z980">
        <v>10</v>
      </c>
      <c r="AA980">
        <v>0.41176000000000001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2</v>
      </c>
      <c r="AH980">
        <v>0</v>
      </c>
      <c r="AI980">
        <v>2</v>
      </c>
      <c r="AJ980">
        <v>9</v>
      </c>
      <c r="AK980">
        <v>0.18182000000000001</v>
      </c>
      <c r="AL980">
        <v>13</v>
      </c>
      <c r="AM980">
        <v>9</v>
      </c>
      <c r="AN980">
        <v>22</v>
      </c>
      <c r="AO980">
        <v>11</v>
      </c>
      <c r="AP980">
        <v>8</v>
      </c>
      <c r="AQ980">
        <v>6</v>
      </c>
      <c r="AR980" t="s">
        <v>4529</v>
      </c>
      <c r="AS980" t="s">
        <v>4530</v>
      </c>
      <c r="AT980">
        <v>0.47</v>
      </c>
      <c r="AU980" t="s">
        <v>65</v>
      </c>
      <c r="AV980">
        <v>30</v>
      </c>
      <c r="AW980">
        <v>17</v>
      </c>
      <c r="AX980" t="s">
        <v>4531</v>
      </c>
      <c r="AY980">
        <v>3.424E-2</v>
      </c>
      <c r="AZ980">
        <v>-1.3799999999999999E-3</v>
      </c>
      <c r="BA980">
        <v>6.0699999999999999E-3</v>
      </c>
      <c r="BB980">
        <v>-3.4000000000000002E-4</v>
      </c>
      <c r="BC980">
        <v>0.1774</v>
      </c>
      <c r="BD980">
        <v>1</v>
      </c>
      <c r="BE980" t="s">
        <v>69</v>
      </c>
      <c r="BF980">
        <v>-0.94199999999999995</v>
      </c>
      <c r="BG980">
        <v>-1.8360000000000001</v>
      </c>
    </row>
    <row r="981" spans="1:59">
      <c r="A981">
        <v>0</v>
      </c>
      <c r="B981">
        <v>6</v>
      </c>
      <c r="C981">
        <v>3</v>
      </c>
      <c r="D981" t="s">
        <v>25022</v>
      </c>
      <c r="E981">
        <v>3613</v>
      </c>
      <c r="F981" t="s">
        <v>21212</v>
      </c>
      <c r="G981" t="s">
        <v>62</v>
      </c>
      <c r="H981">
        <v>3582939</v>
      </c>
      <c r="I981">
        <v>3583565</v>
      </c>
      <c r="J981" t="s">
        <v>21213</v>
      </c>
      <c r="K981">
        <v>209</v>
      </c>
      <c r="L981" t="s">
        <v>108</v>
      </c>
      <c r="M981">
        <v>44</v>
      </c>
      <c r="N981" t="str">
        <f>HYPERLINK("Gene3613-zp_tree_all.dnd", "Gene3613-tree")</f>
        <v>Gene3613-tree</v>
      </c>
      <c r="O981">
        <v>6</v>
      </c>
      <c r="P981">
        <v>8</v>
      </c>
      <c r="Q981">
        <v>6</v>
      </c>
      <c r="R981">
        <v>8</v>
      </c>
      <c r="S981">
        <v>0.57142999999999999</v>
      </c>
      <c r="T981" t="s">
        <v>90</v>
      </c>
      <c r="U981" t="s">
        <v>136</v>
      </c>
      <c r="V981" t="s">
        <v>62</v>
      </c>
      <c r="W981" t="s">
        <v>62</v>
      </c>
      <c r="X981">
        <v>4</v>
      </c>
      <c r="Y981">
        <v>9</v>
      </c>
      <c r="Z981">
        <v>10</v>
      </c>
      <c r="AA981">
        <v>0.47367999999999999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4</v>
      </c>
      <c r="AJ981">
        <v>8</v>
      </c>
      <c r="AK981">
        <v>0.33333000000000002</v>
      </c>
      <c r="AL981">
        <v>11</v>
      </c>
      <c r="AM981">
        <v>9</v>
      </c>
      <c r="AN981">
        <v>21</v>
      </c>
      <c r="AO981">
        <v>10</v>
      </c>
      <c r="AP981">
        <v>30</v>
      </c>
      <c r="AQ981">
        <v>9</v>
      </c>
      <c r="AR981" t="s">
        <v>21214</v>
      </c>
      <c r="AS981" t="s">
        <v>21215</v>
      </c>
      <c r="AT981">
        <v>0.502</v>
      </c>
      <c r="AU981" t="s">
        <v>65</v>
      </c>
      <c r="AV981">
        <v>51</v>
      </c>
      <c r="AW981">
        <v>19</v>
      </c>
      <c r="AX981" t="s">
        <v>21216</v>
      </c>
      <c r="AY981">
        <v>0.10453</v>
      </c>
      <c r="AZ981">
        <v>-6.2100000000000002E-3</v>
      </c>
      <c r="BA981">
        <v>9.2399999999999999E-3</v>
      </c>
      <c r="BB981">
        <v>-5.2999999999999998E-4</v>
      </c>
      <c r="BC981">
        <v>8.838E-2</v>
      </c>
      <c r="BD981">
        <v>1</v>
      </c>
      <c r="BE981" t="s">
        <v>69</v>
      </c>
      <c r="BF981">
        <v>0.42</v>
      </c>
      <c r="BG981">
        <v>2.5999999999999999E-2</v>
      </c>
    </row>
    <row r="982" spans="1:59">
      <c r="A982">
        <v>0</v>
      </c>
      <c r="B982">
        <v>3</v>
      </c>
      <c r="C982">
        <v>2</v>
      </c>
      <c r="D982" t="s">
        <v>25022</v>
      </c>
      <c r="E982">
        <v>4158</v>
      </c>
      <c r="F982" t="s">
        <v>24485</v>
      </c>
      <c r="G982" t="s">
        <v>62</v>
      </c>
      <c r="H982">
        <v>4124966</v>
      </c>
      <c r="I982">
        <v>4125592</v>
      </c>
      <c r="J982" t="s">
        <v>24486</v>
      </c>
      <c r="K982">
        <v>209</v>
      </c>
      <c r="L982" t="s">
        <v>24479</v>
      </c>
      <c r="M982">
        <v>37</v>
      </c>
      <c r="N982" t="str">
        <f>HYPERLINK("Gene4158-zp_tree_all.dnd", "Gene4158-tree")</f>
        <v>Gene4158-tree</v>
      </c>
      <c r="O982">
        <v>5</v>
      </c>
      <c r="P982">
        <v>6</v>
      </c>
      <c r="Q982">
        <v>5</v>
      </c>
      <c r="R982">
        <v>6</v>
      </c>
      <c r="S982">
        <v>0.54544999999999999</v>
      </c>
      <c r="T982" t="s">
        <v>199</v>
      </c>
      <c r="U982" t="s">
        <v>90</v>
      </c>
      <c r="V982" t="s">
        <v>62</v>
      </c>
      <c r="W982" t="s">
        <v>62</v>
      </c>
      <c r="X982">
        <v>2</v>
      </c>
      <c r="Y982">
        <v>5</v>
      </c>
      <c r="Z982">
        <v>3</v>
      </c>
      <c r="AA982">
        <v>0.625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3</v>
      </c>
      <c r="AH982">
        <v>2</v>
      </c>
      <c r="AI982">
        <v>5</v>
      </c>
      <c r="AJ982">
        <v>3</v>
      </c>
      <c r="AK982">
        <v>0.625</v>
      </c>
      <c r="AL982">
        <v>9</v>
      </c>
      <c r="AM982">
        <v>4</v>
      </c>
      <c r="AN982">
        <v>20</v>
      </c>
      <c r="AO982">
        <v>6</v>
      </c>
      <c r="AP982">
        <v>8</v>
      </c>
      <c r="AQ982">
        <v>2</v>
      </c>
      <c r="AR982" t="s">
        <v>24487</v>
      </c>
      <c r="AS982" t="s">
        <v>24488</v>
      </c>
      <c r="AT982">
        <v>0.115</v>
      </c>
      <c r="AU982" t="s">
        <v>65</v>
      </c>
      <c r="AV982">
        <v>28</v>
      </c>
      <c r="AW982">
        <v>8</v>
      </c>
      <c r="AX982" t="s">
        <v>24489</v>
      </c>
      <c r="AY982">
        <v>4.2970000000000001E-2</v>
      </c>
      <c r="AZ982">
        <v>-3.14E-3</v>
      </c>
      <c r="BA982">
        <v>2.7499999999999998E-3</v>
      </c>
      <c r="BB982">
        <v>-2.5999999999999998E-4</v>
      </c>
      <c r="BC982">
        <v>6.4079999999999998E-2</v>
      </c>
      <c r="BD982">
        <v>1</v>
      </c>
      <c r="BE982" t="s">
        <v>69</v>
      </c>
      <c r="BF982">
        <v>-1.4970000000000001</v>
      </c>
      <c r="BG982">
        <v>-1.075</v>
      </c>
    </row>
    <row r="983" spans="1:59">
      <c r="A983">
        <v>0</v>
      </c>
      <c r="B983">
        <v>0</v>
      </c>
      <c r="C983">
        <v>0</v>
      </c>
      <c r="D983" t="s">
        <v>25022</v>
      </c>
      <c r="E983">
        <v>116</v>
      </c>
      <c r="F983" t="s">
        <v>878</v>
      </c>
      <c r="G983" t="s">
        <v>57</v>
      </c>
      <c r="H983">
        <v>135712</v>
      </c>
      <c r="I983">
        <v>136338</v>
      </c>
      <c r="J983" t="s">
        <v>879</v>
      </c>
      <c r="K983">
        <v>209</v>
      </c>
      <c r="L983" t="s">
        <v>515</v>
      </c>
      <c r="M983">
        <v>51</v>
      </c>
      <c r="N983" t="str">
        <f>HYPERLINK("Gene116-zp_tree_all.dnd", "Gene116-tree")</f>
        <v>Gene116-tree</v>
      </c>
      <c r="O983">
        <v>11</v>
      </c>
      <c r="P983">
        <v>0</v>
      </c>
      <c r="Q983">
        <v>11</v>
      </c>
      <c r="R983">
        <v>0</v>
      </c>
      <c r="S983">
        <v>0</v>
      </c>
      <c r="T983" t="s">
        <v>73</v>
      </c>
      <c r="U983" t="s">
        <v>62</v>
      </c>
      <c r="V983" t="s">
        <v>62</v>
      </c>
      <c r="W983" t="s">
        <v>62</v>
      </c>
      <c r="X983">
        <v>0</v>
      </c>
      <c r="Y983">
        <v>0</v>
      </c>
      <c r="Z983">
        <v>7</v>
      </c>
      <c r="AA983">
        <v>0</v>
      </c>
      <c r="AB983">
        <v>0</v>
      </c>
      <c r="AC983">
        <v>0</v>
      </c>
      <c r="AD983">
        <v>0</v>
      </c>
      <c r="AE983">
        <v>7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6</v>
      </c>
      <c r="AM983">
        <v>4</v>
      </c>
      <c r="AN983">
        <v>8</v>
      </c>
      <c r="AO983">
        <v>0</v>
      </c>
      <c r="AP983">
        <v>27</v>
      </c>
      <c r="AQ983">
        <v>7</v>
      </c>
      <c r="AR983" t="s">
        <v>193</v>
      </c>
      <c r="AS983" t="s">
        <v>880</v>
      </c>
      <c r="AT983">
        <v>0.55200000000000005</v>
      </c>
      <c r="AU983" t="s">
        <v>65</v>
      </c>
      <c r="AV983">
        <v>35</v>
      </c>
      <c r="AW983">
        <v>7</v>
      </c>
      <c r="AX983" t="s">
        <v>881</v>
      </c>
      <c r="AY983">
        <v>7.6939999999999995E-2</v>
      </c>
      <c r="AZ983">
        <v>-1.149E-2</v>
      </c>
      <c r="BA983">
        <v>4.7999999999999996E-3</v>
      </c>
      <c r="BB983">
        <v>-6.7000000000000002E-4</v>
      </c>
      <c r="BC983">
        <v>6.2420000000000003E-2</v>
      </c>
      <c r="BD983">
        <v>1</v>
      </c>
      <c r="BE983" t="s">
        <v>69</v>
      </c>
      <c r="BF983">
        <v>-1.804</v>
      </c>
      <c r="BG983">
        <v>1.0489999999999999</v>
      </c>
    </row>
    <row r="984" spans="1:59">
      <c r="A984">
        <v>0</v>
      </c>
      <c r="B984">
        <v>0</v>
      </c>
      <c r="C984">
        <v>0</v>
      </c>
      <c r="D984" t="s">
        <v>25022</v>
      </c>
      <c r="E984">
        <v>1707</v>
      </c>
      <c r="F984" t="s">
        <v>10703</v>
      </c>
      <c r="G984" t="s">
        <v>57</v>
      </c>
      <c r="H984">
        <v>1715344</v>
      </c>
      <c r="I984">
        <v>1715970</v>
      </c>
      <c r="J984" t="s">
        <v>10704</v>
      </c>
      <c r="K984">
        <v>209</v>
      </c>
      <c r="L984" t="s">
        <v>4986</v>
      </c>
      <c r="M984">
        <v>44</v>
      </c>
      <c r="N984" t="str">
        <f>HYPERLINK("Gene1707-zp_tree_all.dnd", "Gene1707-tree")</f>
        <v>Gene1707-tree</v>
      </c>
      <c r="O984">
        <v>11</v>
      </c>
      <c r="P984">
        <v>2</v>
      </c>
      <c r="Q984">
        <v>11</v>
      </c>
      <c r="R984">
        <v>2</v>
      </c>
      <c r="S984">
        <v>0.15384999999999999</v>
      </c>
      <c r="T984" t="s">
        <v>73</v>
      </c>
      <c r="U984" t="s">
        <v>81</v>
      </c>
      <c r="V984" t="s">
        <v>62</v>
      </c>
      <c r="W984" t="s">
        <v>62</v>
      </c>
      <c r="X984">
        <v>0</v>
      </c>
      <c r="Y984">
        <v>0</v>
      </c>
      <c r="Z984">
        <v>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3</v>
      </c>
      <c r="AK984">
        <v>0</v>
      </c>
      <c r="AL984">
        <v>9</v>
      </c>
      <c r="AM984">
        <v>6</v>
      </c>
      <c r="AN984">
        <v>25</v>
      </c>
      <c r="AO984">
        <v>3</v>
      </c>
      <c r="AP984">
        <v>34</v>
      </c>
      <c r="AQ984">
        <v>2</v>
      </c>
      <c r="AR984" t="s">
        <v>10705</v>
      </c>
      <c r="AS984" t="s">
        <v>10706</v>
      </c>
      <c r="AT984">
        <v>0.28799999999999998</v>
      </c>
      <c r="AU984" t="s">
        <v>65</v>
      </c>
      <c r="AV984">
        <v>59</v>
      </c>
      <c r="AW984">
        <v>5</v>
      </c>
      <c r="AX984" t="s">
        <v>10707</v>
      </c>
      <c r="AY984">
        <v>0.13173000000000001</v>
      </c>
      <c r="AZ984">
        <v>-9.6600000000000002E-3</v>
      </c>
      <c r="BA984">
        <v>3.0300000000000001E-3</v>
      </c>
      <c r="BB984">
        <v>-2.9E-4</v>
      </c>
      <c r="BC984">
        <v>2.3E-2</v>
      </c>
      <c r="BD984">
        <v>1</v>
      </c>
      <c r="BE984" t="s">
        <v>69</v>
      </c>
      <c r="BF984">
        <v>-1.609</v>
      </c>
      <c r="BG984">
        <v>-1.524</v>
      </c>
    </row>
    <row r="985" spans="1:59">
      <c r="A985">
        <v>0</v>
      </c>
      <c r="B985">
        <v>0</v>
      </c>
      <c r="C985">
        <v>0</v>
      </c>
      <c r="D985" t="s">
        <v>25022</v>
      </c>
      <c r="E985">
        <v>3824</v>
      </c>
      <c r="F985" t="s">
        <v>22414</v>
      </c>
      <c r="G985" t="s">
        <v>62</v>
      </c>
      <c r="H985">
        <v>3788429</v>
      </c>
      <c r="I985">
        <v>3789055</v>
      </c>
      <c r="J985" t="s">
        <v>22415</v>
      </c>
      <c r="K985">
        <v>209</v>
      </c>
      <c r="L985" t="s">
        <v>108</v>
      </c>
      <c r="M985">
        <v>44</v>
      </c>
      <c r="N985" t="str">
        <f>HYPERLINK("Gene3824-zp_tree_all.dnd", "Gene3824-tree")</f>
        <v>Gene3824-tree</v>
      </c>
      <c r="O985">
        <v>9</v>
      </c>
      <c r="P985">
        <v>1</v>
      </c>
      <c r="Q985">
        <v>9</v>
      </c>
      <c r="R985">
        <v>1</v>
      </c>
      <c r="S985">
        <v>0.1</v>
      </c>
      <c r="T985" t="s">
        <v>135</v>
      </c>
      <c r="U985" t="s">
        <v>175</v>
      </c>
      <c r="V985" t="s">
        <v>62</v>
      </c>
      <c r="W985" t="s">
        <v>62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7</v>
      </c>
      <c r="AM985">
        <v>5</v>
      </c>
      <c r="AN985">
        <v>13</v>
      </c>
      <c r="AO985">
        <v>1</v>
      </c>
      <c r="AP985">
        <v>7</v>
      </c>
      <c r="AQ985">
        <v>0</v>
      </c>
      <c r="AR985" t="s">
        <v>22416</v>
      </c>
      <c r="AS985" t="s">
        <v>193</v>
      </c>
      <c r="AT985">
        <v>0.41</v>
      </c>
      <c r="AU985" t="s">
        <v>65</v>
      </c>
      <c r="AV985">
        <v>20</v>
      </c>
      <c r="AW985">
        <v>1</v>
      </c>
      <c r="AX985" t="s">
        <v>22417</v>
      </c>
      <c r="AY985">
        <v>3.4759999999999999E-2</v>
      </c>
      <c r="AZ985">
        <v>-2.6099999999999999E-3</v>
      </c>
      <c r="BA985">
        <v>4.6999999999999999E-4</v>
      </c>
      <c r="BB985">
        <v>-1.2999999999999999E-4</v>
      </c>
      <c r="BC985">
        <v>1.34E-2</v>
      </c>
      <c r="BD985">
        <v>1</v>
      </c>
      <c r="BE985" t="s">
        <v>69</v>
      </c>
      <c r="BF985">
        <v>-1.268</v>
      </c>
      <c r="BG985">
        <v>-1.3069999999999999</v>
      </c>
    </row>
    <row r="986" spans="1:59">
      <c r="A986">
        <v>0</v>
      </c>
      <c r="B986">
        <v>0</v>
      </c>
      <c r="C986">
        <v>0</v>
      </c>
      <c r="D986" t="s">
        <v>25022</v>
      </c>
      <c r="E986">
        <v>310</v>
      </c>
      <c r="F986" t="s">
        <v>2113</v>
      </c>
      <c r="G986" t="s">
        <v>57</v>
      </c>
      <c r="H986">
        <v>334630</v>
      </c>
      <c r="I986">
        <v>335256</v>
      </c>
      <c r="J986" t="s">
        <v>2114</v>
      </c>
      <c r="K986">
        <v>209</v>
      </c>
      <c r="L986" t="s">
        <v>2078</v>
      </c>
      <c r="M986">
        <v>36</v>
      </c>
      <c r="N986" t="str">
        <f>HYPERLINK("Gene310-zp_tree_all.dnd", "Gene310-tree")</f>
        <v>Gene310-tree</v>
      </c>
      <c r="O986">
        <v>29</v>
      </c>
      <c r="P986">
        <v>1</v>
      </c>
      <c r="Q986">
        <v>9</v>
      </c>
      <c r="R986">
        <v>1</v>
      </c>
      <c r="S986">
        <v>0.1</v>
      </c>
      <c r="T986" t="s">
        <v>234</v>
      </c>
      <c r="U986" t="s">
        <v>175</v>
      </c>
      <c r="V986" t="s">
        <v>62</v>
      </c>
      <c r="W986" t="s">
        <v>62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7</v>
      </c>
      <c r="AM986">
        <v>5</v>
      </c>
      <c r="AN986">
        <v>14</v>
      </c>
      <c r="AO986">
        <v>1</v>
      </c>
      <c r="AP986">
        <v>6</v>
      </c>
      <c r="AQ986">
        <v>0</v>
      </c>
      <c r="AR986" t="s">
        <v>2115</v>
      </c>
      <c r="AS986" t="s">
        <v>193</v>
      </c>
      <c r="AT986">
        <v>0.41099999999999998</v>
      </c>
      <c r="AU986" t="s">
        <v>65</v>
      </c>
      <c r="AV986">
        <v>20</v>
      </c>
      <c r="AW986">
        <v>1</v>
      </c>
      <c r="AX986" t="s">
        <v>2116</v>
      </c>
      <c r="AY986">
        <v>3.5630000000000002E-2</v>
      </c>
      <c r="AZ986">
        <v>-2.1700000000000001E-3</v>
      </c>
      <c r="BA986">
        <v>4.2000000000000002E-4</v>
      </c>
      <c r="BB986">
        <v>-1.2E-4</v>
      </c>
      <c r="BC986">
        <v>1.1860000000000001E-2</v>
      </c>
      <c r="BD986">
        <v>1</v>
      </c>
      <c r="BE986" t="s">
        <v>69</v>
      </c>
      <c r="BF986">
        <v>-1.2509999999999999</v>
      </c>
      <c r="BG986">
        <v>-0.34599999999999997</v>
      </c>
    </row>
    <row r="987" spans="1:59">
      <c r="A987">
        <v>0</v>
      </c>
      <c r="B987">
        <v>16</v>
      </c>
      <c r="C987">
        <v>3</v>
      </c>
      <c r="D987" t="s">
        <v>25022</v>
      </c>
      <c r="E987">
        <v>1951</v>
      </c>
      <c r="F987" t="s">
        <v>12220</v>
      </c>
      <c r="G987" t="s">
        <v>62</v>
      </c>
      <c r="H987">
        <v>2047678</v>
      </c>
      <c r="I987">
        <v>2048307</v>
      </c>
      <c r="J987" t="s">
        <v>12221</v>
      </c>
      <c r="K987">
        <v>210</v>
      </c>
      <c r="L987" t="s">
        <v>12222</v>
      </c>
      <c r="M987">
        <v>37</v>
      </c>
      <c r="N987" t="str">
        <f>HYPERLINK("Gene1951-zp_tree_all.dnd", "Gene1951-tree")</f>
        <v>Gene1951-tree</v>
      </c>
      <c r="O987">
        <v>2</v>
      </c>
      <c r="P987">
        <v>9</v>
      </c>
      <c r="Q987">
        <v>2</v>
      </c>
      <c r="R987">
        <v>9</v>
      </c>
      <c r="S987">
        <v>0.81818000000000002</v>
      </c>
      <c r="T987" t="s">
        <v>81</v>
      </c>
      <c r="U987" t="s">
        <v>135</v>
      </c>
      <c r="V987" t="s">
        <v>62</v>
      </c>
      <c r="W987" t="s">
        <v>62</v>
      </c>
      <c r="X987">
        <v>7</v>
      </c>
      <c r="Y987">
        <v>19</v>
      </c>
      <c r="Z987">
        <v>12</v>
      </c>
      <c r="AA987">
        <v>0.6129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5</v>
      </c>
      <c r="AH987">
        <v>4</v>
      </c>
      <c r="AI987">
        <v>9</v>
      </c>
      <c r="AJ987">
        <v>13</v>
      </c>
      <c r="AK987">
        <v>0.40909000000000001</v>
      </c>
      <c r="AL987">
        <v>11</v>
      </c>
      <c r="AM987">
        <v>8</v>
      </c>
      <c r="AN987">
        <v>24</v>
      </c>
      <c r="AO987">
        <v>23</v>
      </c>
      <c r="AP987">
        <v>19</v>
      </c>
      <c r="AQ987">
        <v>9</v>
      </c>
      <c r="AR987" t="s">
        <v>12223</v>
      </c>
      <c r="AS987" t="s">
        <v>12224</v>
      </c>
      <c r="AT987">
        <v>0.93799999999999994</v>
      </c>
      <c r="AU987" t="s">
        <v>65</v>
      </c>
      <c r="AV987">
        <v>43</v>
      </c>
      <c r="AW987">
        <v>32</v>
      </c>
      <c r="AX987" t="s">
        <v>12225</v>
      </c>
      <c r="AY987">
        <v>6.923E-2</v>
      </c>
      <c r="AZ987">
        <v>-3.63E-3</v>
      </c>
      <c r="BA987">
        <v>1.3650000000000001E-2</v>
      </c>
      <c r="BB987">
        <v>-7.5000000000000002E-4</v>
      </c>
      <c r="BC987">
        <v>0.19725000000000001</v>
      </c>
      <c r="BD987">
        <v>1</v>
      </c>
      <c r="BE987" t="s">
        <v>69</v>
      </c>
      <c r="BF987">
        <v>-0.34300000000000003</v>
      </c>
      <c r="BG987">
        <v>-0.36799999999999999</v>
      </c>
    </row>
    <row r="988" spans="1:59">
      <c r="A988">
        <v>0</v>
      </c>
      <c r="B988">
        <v>0</v>
      </c>
      <c r="C988">
        <v>2</v>
      </c>
      <c r="D988" t="s">
        <v>25022</v>
      </c>
      <c r="E988">
        <v>869</v>
      </c>
      <c r="F988" t="s">
        <v>5428</v>
      </c>
      <c r="G988" t="s">
        <v>57</v>
      </c>
      <c r="H988">
        <v>910019</v>
      </c>
      <c r="I988">
        <v>910648</v>
      </c>
      <c r="J988" t="s">
        <v>5429</v>
      </c>
      <c r="K988">
        <v>210</v>
      </c>
      <c r="L988" t="s">
        <v>108</v>
      </c>
      <c r="M988">
        <v>44</v>
      </c>
      <c r="N988" t="str">
        <f>HYPERLINK("Gene869-zp_tree_all.dnd", "Gene869-tree")</f>
        <v>Gene869-tree</v>
      </c>
      <c r="O988">
        <v>8</v>
      </c>
      <c r="P988">
        <v>4</v>
      </c>
      <c r="Q988">
        <v>8</v>
      </c>
      <c r="R988">
        <v>4</v>
      </c>
      <c r="S988">
        <v>0.33333000000000002</v>
      </c>
      <c r="T988" t="s">
        <v>136</v>
      </c>
      <c r="U988" t="s">
        <v>61</v>
      </c>
      <c r="V988" t="s">
        <v>62</v>
      </c>
      <c r="W988" t="s">
        <v>62</v>
      </c>
      <c r="X988">
        <v>1</v>
      </c>
      <c r="Y988">
        <v>2</v>
      </c>
      <c r="Z988">
        <v>11</v>
      </c>
      <c r="AA988">
        <v>0.15384999999999999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</v>
      </c>
      <c r="AI988">
        <v>2</v>
      </c>
      <c r="AJ988">
        <v>11</v>
      </c>
      <c r="AK988">
        <v>0.15384999999999999</v>
      </c>
      <c r="AL988">
        <v>11</v>
      </c>
      <c r="AM988">
        <v>7</v>
      </c>
      <c r="AN988">
        <v>37</v>
      </c>
      <c r="AO988">
        <v>13</v>
      </c>
      <c r="AP988">
        <v>14</v>
      </c>
      <c r="AQ988">
        <v>0</v>
      </c>
      <c r="AR988" t="s">
        <v>5430</v>
      </c>
      <c r="AS988" t="s">
        <v>193</v>
      </c>
      <c r="AT988">
        <v>0.47599999999999998</v>
      </c>
      <c r="AU988" t="s">
        <v>65</v>
      </c>
      <c r="AV988">
        <v>51</v>
      </c>
      <c r="AW988">
        <v>13</v>
      </c>
      <c r="AX988" t="s">
        <v>5431</v>
      </c>
      <c r="AY988">
        <v>6.2850000000000003E-2</v>
      </c>
      <c r="AZ988">
        <v>-4.3E-3</v>
      </c>
      <c r="BA988">
        <v>4.6299999999999996E-3</v>
      </c>
      <c r="BB988">
        <v>-9.7000000000000005E-4</v>
      </c>
      <c r="BC988">
        <v>7.374E-2</v>
      </c>
      <c r="BD988">
        <v>1</v>
      </c>
      <c r="BE988" t="s">
        <v>69</v>
      </c>
      <c r="BF988">
        <v>2.8000000000000001E-2</v>
      </c>
      <c r="BG988">
        <v>1.2290000000000001</v>
      </c>
    </row>
    <row r="989" spans="1:59">
      <c r="A989">
        <v>0</v>
      </c>
      <c r="B989">
        <v>0</v>
      </c>
      <c r="C989">
        <v>2</v>
      </c>
      <c r="D989" t="s">
        <v>25022</v>
      </c>
      <c r="E989">
        <v>3023</v>
      </c>
      <c r="F989" t="s">
        <v>17472</v>
      </c>
      <c r="G989" t="s">
        <v>62</v>
      </c>
      <c r="H989">
        <v>2971534</v>
      </c>
      <c r="I989">
        <v>2972163</v>
      </c>
      <c r="J989" t="s">
        <v>17473</v>
      </c>
      <c r="K989">
        <v>210</v>
      </c>
      <c r="L989" t="s">
        <v>59</v>
      </c>
      <c r="M989">
        <v>49</v>
      </c>
      <c r="N989" t="str">
        <f>HYPERLINK("Gene3023-zp_tree_all.dnd", "Gene3023-tree")</f>
        <v>Gene3023-tree</v>
      </c>
      <c r="O989">
        <v>9</v>
      </c>
      <c r="P989">
        <v>3</v>
      </c>
      <c r="Q989">
        <v>9</v>
      </c>
      <c r="R989">
        <v>3</v>
      </c>
      <c r="S989">
        <v>0.25</v>
      </c>
      <c r="T989" t="s">
        <v>135</v>
      </c>
      <c r="U989" t="s">
        <v>324</v>
      </c>
      <c r="V989" t="s">
        <v>62</v>
      </c>
      <c r="W989" t="s">
        <v>62</v>
      </c>
      <c r="X989">
        <v>1</v>
      </c>
      <c r="Y989">
        <v>2</v>
      </c>
      <c r="Z989">
        <v>5</v>
      </c>
      <c r="AA989">
        <v>0.28571000000000002</v>
      </c>
      <c r="AB989">
        <v>0</v>
      </c>
      <c r="AC989">
        <v>0</v>
      </c>
      <c r="AD989">
        <v>0</v>
      </c>
      <c r="AE989">
        <v>2</v>
      </c>
      <c r="AF989">
        <v>0</v>
      </c>
      <c r="AG989">
        <v>0</v>
      </c>
      <c r="AH989">
        <v>0</v>
      </c>
      <c r="AI989">
        <v>0</v>
      </c>
      <c r="AJ989">
        <v>2</v>
      </c>
      <c r="AK989">
        <v>0</v>
      </c>
      <c r="AL989">
        <v>9</v>
      </c>
      <c r="AM989">
        <v>8</v>
      </c>
      <c r="AN989">
        <v>17</v>
      </c>
      <c r="AO989">
        <v>2</v>
      </c>
      <c r="AP989">
        <v>29</v>
      </c>
      <c r="AQ989">
        <v>5</v>
      </c>
      <c r="AR989" t="s">
        <v>17474</v>
      </c>
      <c r="AS989" t="s">
        <v>17475</v>
      </c>
      <c r="AT989">
        <v>0.24199999999999999</v>
      </c>
      <c r="AU989" t="s">
        <v>65</v>
      </c>
      <c r="AV989">
        <v>46</v>
      </c>
      <c r="AW989">
        <v>7</v>
      </c>
      <c r="AX989" t="s">
        <v>17476</v>
      </c>
      <c r="AY989">
        <v>0.10329000000000001</v>
      </c>
      <c r="AZ989">
        <v>-7.0800000000000004E-3</v>
      </c>
      <c r="BA989">
        <v>4.28E-3</v>
      </c>
      <c r="BB989">
        <v>-3.6000000000000002E-4</v>
      </c>
      <c r="BC989">
        <v>4.1450000000000001E-2</v>
      </c>
      <c r="BD989">
        <v>1</v>
      </c>
      <c r="BE989" t="s">
        <v>69</v>
      </c>
      <c r="BF989">
        <v>-1.3180000000000001</v>
      </c>
      <c r="BG989">
        <v>-9.5000000000000001E-2</v>
      </c>
    </row>
    <row r="990" spans="1:59">
      <c r="A990">
        <v>0</v>
      </c>
      <c r="B990">
        <v>4</v>
      </c>
      <c r="C990">
        <v>0</v>
      </c>
      <c r="D990" t="s">
        <v>25022</v>
      </c>
      <c r="E990">
        <v>2822</v>
      </c>
      <c r="F990" t="s">
        <v>16194</v>
      </c>
      <c r="G990" t="s">
        <v>62</v>
      </c>
      <c r="H990">
        <v>2768045</v>
      </c>
      <c r="I990">
        <v>2768674</v>
      </c>
      <c r="J990" t="s">
        <v>4307</v>
      </c>
      <c r="K990">
        <v>210</v>
      </c>
      <c r="L990" t="s">
        <v>108</v>
      </c>
      <c r="M990">
        <v>44</v>
      </c>
      <c r="N990" t="str">
        <f>HYPERLINK("Gene2822-zp_tree_all.dnd", "Gene2822-tree")</f>
        <v>Gene2822-tree</v>
      </c>
      <c r="O990">
        <v>10</v>
      </c>
      <c r="P990">
        <v>3</v>
      </c>
      <c r="Q990">
        <v>10</v>
      </c>
      <c r="R990">
        <v>3</v>
      </c>
      <c r="S990">
        <v>0.23077</v>
      </c>
      <c r="T990" t="s">
        <v>117</v>
      </c>
      <c r="U990" t="s">
        <v>324</v>
      </c>
      <c r="V990" t="s">
        <v>62</v>
      </c>
      <c r="W990" t="s">
        <v>62</v>
      </c>
      <c r="X990">
        <v>1</v>
      </c>
      <c r="Y990">
        <v>4</v>
      </c>
      <c r="Z990">
        <v>1</v>
      </c>
      <c r="AA990">
        <v>0.8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2</v>
      </c>
      <c r="AJ990">
        <v>1</v>
      </c>
      <c r="AK990">
        <v>0.66666999999999998</v>
      </c>
      <c r="AL990">
        <v>10</v>
      </c>
      <c r="AM990">
        <v>8</v>
      </c>
      <c r="AN990">
        <v>23</v>
      </c>
      <c r="AO990">
        <v>3</v>
      </c>
      <c r="AP990">
        <v>12</v>
      </c>
      <c r="AQ990">
        <v>2</v>
      </c>
      <c r="AR990" t="s">
        <v>16195</v>
      </c>
      <c r="AS990" t="s">
        <v>16196</v>
      </c>
      <c r="AT990">
        <v>0.14199999999999999</v>
      </c>
      <c r="AU990" t="s">
        <v>65</v>
      </c>
      <c r="AV990">
        <v>35</v>
      </c>
      <c r="AW990">
        <v>5</v>
      </c>
      <c r="AX990" t="s">
        <v>16197</v>
      </c>
      <c r="AY990">
        <v>5.2089999999999997E-2</v>
      </c>
      <c r="AZ990">
        <v>-2.4599999999999999E-3</v>
      </c>
      <c r="BA990">
        <v>1.4400000000000001E-3</v>
      </c>
      <c r="BB990">
        <v>-1.3999999999999999E-4</v>
      </c>
      <c r="BC990">
        <v>2.7570000000000001E-2</v>
      </c>
      <c r="BD990">
        <v>1</v>
      </c>
      <c r="BE990" t="s">
        <v>69</v>
      </c>
      <c r="BF990">
        <v>-0.67800000000000005</v>
      </c>
      <c r="BG990">
        <v>-0.83699999999999997</v>
      </c>
    </row>
    <row r="991" spans="1:59">
      <c r="A991">
        <v>0</v>
      </c>
      <c r="B991">
        <v>0</v>
      </c>
      <c r="C991">
        <v>0</v>
      </c>
      <c r="D991" t="s">
        <v>25022</v>
      </c>
      <c r="E991">
        <v>3985</v>
      </c>
      <c r="F991" t="s">
        <v>23427</v>
      </c>
      <c r="G991" t="s">
        <v>62</v>
      </c>
      <c r="H991">
        <v>3949955</v>
      </c>
      <c r="I991">
        <v>3950584</v>
      </c>
      <c r="J991" t="s">
        <v>7537</v>
      </c>
      <c r="K991">
        <v>210</v>
      </c>
      <c r="L991" t="s">
        <v>409</v>
      </c>
      <c r="M991">
        <v>45</v>
      </c>
      <c r="N991" t="str">
        <f>HYPERLINK("Gene3985-zp_tree_all.dnd", "Gene3985-tree")</f>
        <v>Gene3985-tree</v>
      </c>
      <c r="O991">
        <v>11</v>
      </c>
      <c r="P991">
        <v>1</v>
      </c>
      <c r="Q991">
        <v>11</v>
      </c>
      <c r="R991">
        <v>1</v>
      </c>
      <c r="S991">
        <v>8.3330000000000001E-2</v>
      </c>
      <c r="T991" t="s">
        <v>73</v>
      </c>
      <c r="U991" t="s">
        <v>175</v>
      </c>
      <c r="V991" t="s">
        <v>62</v>
      </c>
      <c r="W991" t="s">
        <v>62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8</v>
      </c>
      <c r="AM991">
        <v>6</v>
      </c>
      <c r="AN991">
        <v>35</v>
      </c>
      <c r="AO991">
        <v>1</v>
      </c>
      <c r="AP991">
        <v>21</v>
      </c>
      <c r="AQ991">
        <v>1</v>
      </c>
      <c r="AR991" t="s">
        <v>23428</v>
      </c>
      <c r="AS991" t="s">
        <v>23429</v>
      </c>
      <c r="AT991">
        <v>0.11899999999999999</v>
      </c>
      <c r="AU991" t="s">
        <v>65</v>
      </c>
      <c r="AV991">
        <v>56</v>
      </c>
      <c r="AW991">
        <v>2</v>
      </c>
      <c r="AX991" t="s">
        <v>23430</v>
      </c>
      <c r="AY991">
        <v>0.10646</v>
      </c>
      <c r="AZ991">
        <v>-1.278E-2</v>
      </c>
      <c r="BA991">
        <v>9.7999999999999997E-4</v>
      </c>
      <c r="BB991">
        <v>-1.9000000000000001E-4</v>
      </c>
      <c r="BC991">
        <v>9.1800000000000007E-3</v>
      </c>
      <c r="BD991">
        <v>1</v>
      </c>
      <c r="BE991" t="s">
        <v>69</v>
      </c>
      <c r="BF991">
        <v>-1.0529999999999999</v>
      </c>
      <c r="BG991">
        <v>-1.3819999999999999</v>
      </c>
    </row>
    <row r="992" spans="1:59">
      <c r="A992">
        <v>0</v>
      </c>
      <c r="B992">
        <v>9</v>
      </c>
      <c r="C992">
        <v>2</v>
      </c>
      <c r="D992" t="s">
        <v>25022</v>
      </c>
      <c r="E992">
        <v>181</v>
      </c>
      <c r="F992" t="s">
        <v>1271</v>
      </c>
      <c r="G992" t="s">
        <v>57</v>
      </c>
      <c r="H992">
        <v>203729</v>
      </c>
      <c r="I992">
        <v>204361</v>
      </c>
      <c r="J992" t="s">
        <v>1272</v>
      </c>
      <c r="K992">
        <v>211</v>
      </c>
      <c r="L992" t="s">
        <v>1273</v>
      </c>
      <c r="M992">
        <v>35</v>
      </c>
      <c r="N992" t="str">
        <f>HYPERLINK("Gene181-zp_tree_all.dnd", "Gene181-tree")</f>
        <v>Gene181-tree</v>
      </c>
      <c r="O992">
        <v>3</v>
      </c>
      <c r="P992">
        <v>8</v>
      </c>
      <c r="Q992">
        <v>3</v>
      </c>
      <c r="R992">
        <v>8</v>
      </c>
      <c r="S992">
        <v>0.72726999999999997</v>
      </c>
      <c r="T992" t="s">
        <v>324</v>
      </c>
      <c r="U992" t="s">
        <v>136</v>
      </c>
      <c r="V992" t="s">
        <v>62</v>
      </c>
      <c r="W992" t="s">
        <v>62</v>
      </c>
      <c r="X992">
        <v>5</v>
      </c>
      <c r="Y992">
        <v>11</v>
      </c>
      <c r="Z992">
        <v>24</v>
      </c>
      <c r="AA992">
        <v>0.31429000000000001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</v>
      </c>
      <c r="AI992">
        <v>2</v>
      </c>
      <c r="AJ992">
        <v>26</v>
      </c>
      <c r="AK992">
        <v>7.1429999999999993E-2</v>
      </c>
      <c r="AL992">
        <v>10</v>
      </c>
      <c r="AM992">
        <v>7</v>
      </c>
      <c r="AN992">
        <v>16</v>
      </c>
      <c r="AO992">
        <v>27</v>
      </c>
      <c r="AP992">
        <v>9</v>
      </c>
      <c r="AQ992">
        <v>8</v>
      </c>
      <c r="AR992" t="s">
        <v>1274</v>
      </c>
      <c r="AS992" t="s">
        <v>1275</v>
      </c>
      <c r="AT992">
        <v>0.40100000000000002</v>
      </c>
      <c r="AU992" t="s">
        <v>65</v>
      </c>
      <c r="AV992">
        <v>25</v>
      </c>
      <c r="AW992">
        <v>35</v>
      </c>
      <c r="AX992" t="s">
        <v>1276</v>
      </c>
      <c r="AY992">
        <v>4.4400000000000002E-2</v>
      </c>
      <c r="AZ992">
        <v>-2.99E-3</v>
      </c>
      <c r="BA992">
        <v>1.44E-2</v>
      </c>
      <c r="BB992">
        <v>-1.32E-3</v>
      </c>
      <c r="BC992">
        <v>0.32440999999999998</v>
      </c>
      <c r="BD992">
        <v>1</v>
      </c>
      <c r="BE992" t="s">
        <v>69</v>
      </c>
      <c r="BF992">
        <v>-1.149</v>
      </c>
      <c r="BG992">
        <v>-2.7069999999999999</v>
      </c>
    </row>
    <row r="993" spans="1:59">
      <c r="A993">
        <v>0</v>
      </c>
      <c r="B993">
        <v>13</v>
      </c>
      <c r="C993">
        <v>5</v>
      </c>
      <c r="D993" t="s">
        <v>25022</v>
      </c>
      <c r="E993">
        <v>61</v>
      </c>
      <c r="F993" t="s">
        <v>498</v>
      </c>
      <c r="G993" t="s">
        <v>57</v>
      </c>
      <c r="H993">
        <v>68515</v>
      </c>
      <c r="I993">
        <v>69147</v>
      </c>
      <c r="J993" t="s">
        <v>499</v>
      </c>
      <c r="K993">
        <v>211</v>
      </c>
      <c r="L993" t="s">
        <v>59</v>
      </c>
      <c r="M993">
        <v>49</v>
      </c>
      <c r="N993" t="str">
        <f>HYPERLINK("Gene61-zp_tree_all.dnd", "Gene61-tree")</f>
        <v>Gene61-tree</v>
      </c>
      <c r="O993">
        <v>3</v>
      </c>
      <c r="P993">
        <v>12</v>
      </c>
      <c r="Q993">
        <v>3</v>
      </c>
      <c r="R993">
        <v>12</v>
      </c>
      <c r="S993">
        <v>0.8</v>
      </c>
      <c r="T993" t="s">
        <v>324</v>
      </c>
      <c r="U993" t="s">
        <v>109</v>
      </c>
      <c r="V993" t="s">
        <v>62</v>
      </c>
      <c r="W993" t="s">
        <v>62</v>
      </c>
      <c r="X993">
        <v>7</v>
      </c>
      <c r="Y993">
        <v>18</v>
      </c>
      <c r="Z993">
        <v>18</v>
      </c>
      <c r="AA993">
        <v>0.5</v>
      </c>
      <c r="AB993">
        <v>0</v>
      </c>
      <c r="AC993">
        <v>0</v>
      </c>
      <c r="AD993">
        <v>0</v>
      </c>
      <c r="AE993">
        <v>2</v>
      </c>
      <c r="AF993">
        <v>0</v>
      </c>
      <c r="AG993">
        <v>6</v>
      </c>
      <c r="AH993">
        <v>1</v>
      </c>
      <c r="AI993">
        <v>7</v>
      </c>
      <c r="AJ993">
        <v>16</v>
      </c>
      <c r="AK993">
        <v>0.30435000000000001</v>
      </c>
      <c r="AL993">
        <v>11</v>
      </c>
      <c r="AM993">
        <v>8</v>
      </c>
      <c r="AN993">
        <v>14</v>
      </c>
      <c r="AO993">
        <v>18</v>
      </c>
      <c r="AP993">
        <v>19</v>
      </c>
      <c r="AQ993">
        <v>18</v>
      </c>
      <c r="AR993" t="s">
        <v>500</v>
      </c>
      <c r="AS993" t="s">
        <v>501</v>
      </c>
      <c r="AT993">
        <v>0.316</v>
      </c>
      <c r="AU993" t="s">
        <v>65</v>
      </c>
      <c r="AV993">
        <v>33</v>
      </c>
      <c r="AW993">
        <v>36</v>
      </c>
      <c r="AX993" t="s">
        <v>502</v>
      </c>
      <c r="AY993">
        <v>5.8500000000000003E-2</v>
      </c>
      <c r="AZ993">
        <v>-4.2700000000000004E-3</v>
      </c>
      <c r="BA993">
        <v>1.6590000000000001E-2</v>
      </c>
      <c r="BB993">
        <v>-1.0499999999999999E-3</v>
      </c>
      <c r="BC993">
        <v>0.28362999999999999</v>
      </c>
      <c r="BD993">
        <v>1</v>
      </c>
      <c r="BE993" t="s">
        <v>69</v>
      </c>
      <c r="BF993">
        <v>-1.0580000000000001</v>
      </c>
      <c r="BG993">
        <v>-0.51500000000000001</v>
      </c>
    </row>
    <row r="994" spans="1:59">
      <c r="A994">
        <v>0</v>
      </c>
      <c r="B994">
        <v>4</v>
      </c>
      <c r="C994">
        <v>0</v>
      </c>
      <c r="D994" t="s">
        <v>25022</v>
      </c>
      <c r="E994">
        <v>3433</v>
      </c>
      <c r="F994" t="s">
        <v>20091</v>
      </c>
      <c r="G994" t="s">
        <v>62</v>
      </c>
      <c r="H994">
        <v>3394425</v>
      </c>
      <c r="I994">
        <v>3395057</v>
      </c>
      <c r="J994" t="s">
        <v>20092</v>
      </c>
      <c r="K994">
        <v>211</v>
      </c>
      <c r="L994" t="s">
        <v>108</v>
      </c>
      <c r="M994">
        <v>44</v>
      </c>
      <c r="N994" t="str">
        <f>HYPERLINK("Gene3433-zp_tree_all.dnd", "Gene3433-tree")</f>
        <v>Gene3433-tree</v>
      </c>
      <c r="O994">
        <v>30</v>
      </c>
      <c r="P994">
        <v>5</v>
      </c>
      <c r="Q994">
        <v>6</v>
      </c>
      <c r="R994">
        <v>5</v>
      </c>
      <c r="S994">
        <v>0.45455000000000001</v>
      </c>
      <c r="T994" t="s">
        <v>12716</v>
      </c>
      <c r="U994" t="s">
        <v>199</v>
      </c>
      <c r="V994" t="s">
        <v>62</v>
      </c>
      <c r="W994" t="s">
        <v>62</v>
      </c>
      <c r="X994">
        <v>2</v>
      </c>
      <c r="Y994">
        <v>4</v>
      </c>
      <c r="Z994">
        <v>7</v>
      </c>
      <c r="AA994">
        <v>0.36364000000000002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9</v>
      </c>
      <c r="AK994">
        <v>0</v>
      </c>
      <c r="AL994">
        <v>8</v>
      </c>
      <c r="AM994">
        <v>7</v>
      </c>
      <c r="AN994">
        <v>15</v>
      </c>
      <c r="AO994">
        <v>6</v>
      </c>
      <c r="AP994">
        <v>7</v>
      </c>
      <c r="AQ994">
        <v>5</v>
      </c>
      <c r="AR994" t="s">
        <v>20093</v>
      </c>
      <c r="AS994" t="s">
        <v>20094</v>
      </c>
      <c r="AT994">
        <v>0.51800000000000002</v>
      </c>
      <c r="AU994" t="s">
        <v>65</v>
      </c>
      <c r="AV994">
        <v>22</v>
      </c>
      <c r="AW994">
        <v>11</v>
      </c>
      <c r="AX994" t="s">
        <v>20095</v>
      </c>
      <c r="AY994">
        <v>3.6310000000000002E-2</v>
      </c>
      <c r="AZ994">
        <v>-1.8699999999999999E-3</v>
      </c>
      <c r="BA994">
        <v>4.8799999999999998E-3</v>
      </c>
      <c r="BB994">
        <v>-5.5000000000000003E-4</v>
      </c>
      <c r="BC994">
        <v>0.13447000000000001</v>
      </c>
      <c r="BD994">
        <v>1</v>
      </c>
      <c r="BE994" t="s">
        <v>69</v>
      </c>
      <c r="BF994">
        <v>-0.93500000000000005</v>
      </c>
      <c r="BG994">
        <v>-2.2810000000000001</v>
      </c>
    </row>
    <row r="995" spans="1:59">
      <c r="A995">
        <v>0</v>
      </c>
      <c r="B995">
        <v>7</v>
      </c>
      <c r="C995">
        <v>2</v>
      </c>
      <c r="D995" t="s">
        <v>25022</v>
      </c>
      <c r="E995">
        <v>3512</v>
      </c>
      <c r="F995" t="s">
        <v>20561</v>
      </c>
      <c r="G995" t="s">
        <v>62</v>
      </c>
      <c r="H995">
        <v>3471844</v>
      </c>
      <c r="I995">
        <v>3472476</v>
      </c>
      <c r="J995" t="s">
        <v>6103</v>
      </c>
      <c r="K995">
        <v>211</v>
      </c>
      <c r="L995" t="s">
        <v>108</v>
      </c>
      <c r="M995">
        <v>44</v>
      </c>
      <c r="N995" t="str">
        <f>HYPERLINK("Gene3512-zp_tree_all.dnd", "Gene3512-tree")</f>
        <v>Gene3512-tree</v>
      </c>
      <c r="O995">
        <v>6</v>
      </c>
      <c r="P995">
        <v>8</v>
      </c>
      <c r="Q995">
        <v>6</v>
      </c>
      <c r="R995">
        <v>8</v>
      </c>
      <c r="S995">
        <v>0.57142999999999999</v>
      </c>
      <c r="T995" t="s">
        <v>90</v>
      </c>
      <c r="U995" t="s">
        <v>136</v>
      </c>
      <c r="V995" t="s">
        <v>62</v>
      </c>
      <c r="W995" t="s">
        <v>62</v>
      </c>
      <c r="X995">
        <v>3</v>
      </c>
      <c r="Y995">
        <v>9</v>
      </c>
      <c r="Z995">
        <v>8</v>
      </c>
      <c r="AA995">
        <v>0.52941000000000005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2</v>
      </c>
      <c r="AH995">
        <v>2</v>
      </c>
      <c r="AI995">
        <v>4</v>
      </c>
      <c r="AJ995">
        <v>7</v>
      </c>
      <c r="AK995">
        <v>0.36364000000000002</v>
      </c>
      <c r="AL995">
        <v>11</v>
      </c>
      <c r="AM995">
        <v>7</v>
      </c>
      <c r="AN995">
        <v>22</v>
      </c>
      <c r="AO995">
        <v>9</v>
      </c>
      <c r="AP995">
        <v>12</v>
      </c>
      <c r="AQ995">
        <v>8</v>
      </c>
      <c r="AR995" t="s">
        <v>20562</v>
      </c>
      <c r="AS995" t="s">
        <v>20563</v>
      </c>
      <c r="AT995">
        <v>0.58599999999999997</v>
      </c>
      <c r="AU995" t="s">
        <v>65</v>
      </c>
      <c r="AV995">
        <v>34</v>
      </c>
      <c r="AW995">
        <v>17</v>
      </c>
      <c r="AX995" t="s">
        <v>20564</v>
      </c>
      <c r="AY995">
        <v>4.5580000000000002E-2</v>
      </c>
      <c r="AZ995">
        <v>-2.0300000000000001E-3</v>
      </c>
      <c r="BA995">
        <v>5.8900000000000003E-3</v>
      </c>
      <c r="BB995">
        <v>-3.6999999999999999E-4</v>
      </c>
      <c r="BC995">
        <v>0.12917000000000001</v>
      </c>
      <c r="BD995">
        <v>1</v>
      </c>
      <c r="BE995" t="s">
        <v>69</v>
      </c>
      <c r="BF995">
        <v>-0.442</v>
      </c>
      <c r="BG995">
        <v>-1.5640000000000001</v>
      </c>
    </row>
    <row r="996" spans="1:59">
      <c r="A996">
        <v>0</v>
      </c>
      <c r="B996">
        <v>8</v>
      </c>
      <c r="C996">
        <v>0</v>
      </c>
      <c r="D996" t="s">
        <v>25022</v>
      </c>
      <c r="E996">
        <v>2581</v>
      </c>
      <c r="F996" t="s">
        <v>15108</v>
      </c>
      <c r="G996" t="s">
        <v>62</v>
      </c>
      <c r="H996">
        <v>2564926</v>
      </c>
      <c r="I996">
        <v>2565558</v>
      </c>
      <c r="J996" t="s">
        <v>15109</v>
      </c>
      <c r="K996">
        <v>211</v>
      </c>
      <c r="L996" t="s">
        <v>5577</v>
      </c>
      <c r="M996">
        <v>43</v>
      </c>
      <c r="N996" t="str">
        <f>HYPERLINK("Gene2581-zp_tree_all.dnd", "Gene2581-tree")</f>
        <v>Gene2581-tree</v>
      </c>
      <c r="O996">
        <v>2</v>
      </c>
      <c r="P996">
        <v>11</v>
      </c>
      <c r="Q996">
        <v>2</v>
      </c>
      <c r="R996">
        <v>11</v>
      </c>
      <c r="S996">
        <v>0.84614999999999996</v>
      </c>
      <c r="T996" t="s">
        <v>81</v>
      </c>
      <c r="U996" t="s">
        <v>73</v>
      </c>
      <c r="V996">
        <v>515075683.63</v>
      </c>
      <c r="W996" t="s">
        <v>267</v>
      </c>
      <c r="X996">
        <v>3</v>
      </c>
      <c r="Y996">
        <v>8</v>
      </c>
      <c r="Z996">
        <v>7</v>
      </c>
      <c r="AA996">
        <v>0.53332999999999997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8</v>
      </c>
      <c r="AH996">
        <v>0</v>
      </c>
      <c r="AI996">
        <v>8</v>
      </c>
      <c r="AJ996">
        <v>7</v>
      </c>
      <c r="AK996">
        <v>0.53332999999999997</v>
      </c>
      <c r="AL996">
        <v>9</v>
      </c>
      <c r="AM996">
        <v>9</v>
      </c>
      <c r="AN996">
        <v>18</v>
      </c>
      <c r="AO996">
        <v>12</v>
      </c>
      <c r="AP996">
        <v>14</v>
      </c>
      <c r="AQ996">
        <v>3</v>
      </c>
      <c r="AR996" t="s">
        <v>15110</v>
      </c>
      <c r="AS996" t="s">
        <v>15111</v>
      </c>
      <c r="AT996">
        <v>1.81</v>
      </c>
      <c r="AU996" t="s">
        <v>65</v>
      </c>
      <c r="AV996">
        <v>32</v>
      </c>
      <c r="AW996">
        <v>15</v>
      </c>
      <c r="AX996" t="s">
        <v>15112</v>
      </c>
      <c r="AY996">
        <v>4.5920000000000002E-2</v>
      </c>
      <c r="AZ996">
        <v>-2.0899999999999998E-3</v>
      </c>
      <c r="BA996">
        <v>4.8199999999999996E-3</v>
      </c>
      <c r="BB996">
        <v>-2.4000000000000001E-4</v>
      </c>
      <c r="BC996">
        <v>0.10507</v>
      </c>
      <c r="BD996">
        <v>1</v>
      </c>
      <c r="BE996" t="s">
        <v>69</v>
      </c>
      <c r="BF996">
        <v>-0.16400000000000001</v>
      </c>
      <c r="BG996">
        <v>-0.51300000000000001</v>
      </c>
    </row>
    <row r="997" spans="1:59">
      <c r="A997">
        <v>0</v>
      </c>
      <c r="B997">
        <v>0</v>
      </c>
      <c r="C997">
        <v>0</v>
      </c>
      <c r="D997" t="s">
        <v>25022</v>
      </c>
      <c r="E997">
        <v>3936</v>
      </c>
      <c r="F997" t="s">
        <v>23101</v>
      </c>
      <c r="G997" t="s">
        <v>62</v>
      </c>
      <c r="H997">
        <v>3899856</v>
      </c>
      <c r="I997">
        <v>3900488</v>
      </c>
      <c r="J997" t="s">
        <v>2075</v>
      </c>
      <c r="K997">
        <v>211</v>
      </c>
      <c r="L997" t="s">
        <v>23102</v>
      </c>
      <c r="M997">
        <v>27</v>
      </c>
      <c r="N997" t="str">
        <f>HYPERLINK("Gene3936-zp_tree_all.dnd", "Gene3936-tree")</f>
        <v>Gene3936-tree</v>
      </c>
      <c r="O997">
        <v>22</v>
      </c>
      <c r="P997">
        <v>2</v>
      </c>
      <c r="Q997">
        <v>3</v>
      </c>
      <c r="R997">
        <v>2</v>
      </c>
      <c r="S997">
        <v>0.4</v>
      </c>
      <c r="T997" t="s">
        <v>1005</v>
      </c>
      <c r="U997" t="s">
        <v>81</v>
      </c>
      <c r="V997" t="s">
        <v>62</v>
      </c>
      <c r="W997" t="s">
        <v>62</v>
      </c>
      <c r="X997">
        <v>0</v>
      </c>
      <c r="Y997">
        <v>0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3</v>
      </c>
      <c r="AM997">
        <v>1</v>
      </c>
      <c r="AN997">
        <v>7</v>
      </c>
      <c r="AO997">
        <v>1</v>
      </c>
      <c r="AP997">
        <v>0</v>
      </c>
      <c r="AQ997">
        <v>1</v>
      </c>
      <c r="AR997" t="s">
        <v>23103</v>
      </c>
      <c r="AS997" t="s">
        <v>193</v>
      </c>
      <c r="AT997">
        <v>0.8</v>
      </c>
      <c r="AU997" t="s">
        <v>65</v>
      </c>
      <c r="AV997">
        <v>7</v>
      </c>
      <c r="AW997">
        <v>2</v>
      </c>
      <c r="AX997" t="s">
        <v>23104</v>
      </c>
      <c r="AY997">
        <v>1.9890000000000001E-2</v>
      </c>
      <c r="AZ997">
        <v>-3.7699999999999999E-3</v>
      </c>
      <c r="BA997">
        <v>2.0600000000000002E-3</v>
      </c>
      <c r="BB997">
        <v>-5.0000000000000001E-4</v>
      </c>
      <c r="BC997">
        <v>0.10353999999999999</v>
      </c>
      <c r="BD997">
        <v>1</v>
      </c>
      <c r="BE997" t="s">
        <v>69</v>
      </c>
      <c r="BF997">
        <v>-1.2030000000000001</v>
      </c>
      <c r="BG997">
        <v>-0.32500000000000001</v>
      </c>
    </row>
    <row r="998" spans="1:59">
      <c r="A998">
        <v>0</v>
      </c>
      <c r="B998">
        <v>2</v>
      </c>
      <c r="C998">
        <v>0</v>
      </c>
      <c r="D998" t="s">
        <v>25022</v>
      </c>
      <c r="E998">
        <v>3481</v>
      </c>
      <c r="F998" t="s">
        <v>20395</v>
      </c>
      <c r="G998" t="s">
        <v>62</v>
      </c>
      <c r="H998">
        <v>3445445</v>
      </c>
      <c r="I998">
        <v>3446077</v>
      </c>
      <c r="J998" t="s">
        <v>20396</v>
      </c>
      <c r="K998">
        <v>211</v>
      </c>
      <c r="L998" t="s">
        <v>108</v>
      </c>
      <c r="M998">
        <v>44</v>
      </c>
      <c r="N998" t="str">
        <f>HYPERLINK("Gene3481-zp_tree_all.dnd", "Gene3481-tree")</f>
        <v>Gene3481-tree</v>
      </c>
      <c r="O998">
        <v>13</v>
      </c>
      <c r="P998">
        <v>3</v>
      </c>
      <c r="Q998">
        <v>13</v>
      </c>
      <c r="R998">
        <v>3</v>
      </c>
      <c r="S998">
        <v>0.1875</v>
      </c>
      <c r="T998" t="s">
        <v>507</v>
      </c>
      <c r="U998" t="s">
        <v>324</v>
      </c>
      <c r="V998" t="s">
        <v>62</v>
      </c>
      <c r="W998" t="s">
        <v>62</v>
      </c>
      <c r="X998">
        <v>1</v>
      </c>
      <c r="Y998">
        <v>2</v>
      </c>
      <c r="Z998">
        <v>3</v>
      </c>
      <c r="AA998">
        <v>0.4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3</v>
      </c>
      <c r="AK998">
        <v>0</v>
      </c>
      <c r="AL998">
        <v>13</v>
      </c>
      <c r="AM998">
        <v>10</v>
      </c>
      <c r="AN998">
        <v>28</v>
      </c>
      <c r="AO998">
        <v>3</v>
      </c>
      <c r="AP998">
        <v>12</v>
      </c>
      <c r="AQ998">
        <v>2</v>
      </c>
      <c r="AR998" t="s">
        <v>20397</v>
      </c>
      <c r="AS998" t="s">
        <v>20398</v>
      </c>
      <c r="AT998">
        <v>0.24099999999999999</v>
      </c>
      <c r="AU998" t="s">
        <v>65</v>
      </c>
      <c r="AV998">
        <v>40</v>
      </c>
      <c r="AW998">
        <v>5</v>
      </c>
      <c r="AX998" t="s">
        <v>20399</v>
      </c>
      <c r="AY998">
        <v>4.9009999999999998E-2</v>
      </c>
      <c r="AZ998">
        <v>-1.6100000000000001E-3</v>
      </c>
      <c r="BA998">
        <v>2.3999999999999998E-3</v>
      </c>
      <c r="BB998">
        <v>-1.7000000000000001E-4</v>
      </c>
      <c r="BC998">
        <v>4.9029999999999997E-2</v>
      </c>
      <c r="BD998">
        <v>1</v>
      </c>
      <c r="BE998" t="s">
        <v>69</v>
      </c>
      <c r="BF998">
        <v>-0.63200000000000001</v>
      </c>
      <c r="BG998">
        <v>-1.7769999999999999</v>
      </c>
    </row>
    <row r="999" spans="1:59">
      <c r="A999">
        <v>0</v>
      </c>
      <c r="B999">
        <v>0</v>
      </c>
      <c r="C999">
        <v>0</v>
      </c>
      <c r="D999" t="s">
        <v>25022</v>
      </c>
      <c r="E999">
        <v>1198</v>
      </c>
      <c r="F999" t="s">
        <v>7536</v>
      </c>
      <c r="G999" t="s">
        <v>57</v>
      </c>
      <c r="H999">
        <v>1237006</v>
      </c>
      <c r="I999">
        <v>1237638</v>
      </c>
      <c r="J999" t="s">
        <v>7537</v>
      </c>
      <c r="K999">
        <v>211</v>
      </c>
      <c r="L999" t="s">
        <v>125</v>
      </c>
      <c r="M999">
        <v>48</v>
      </c>
      <c r="N999" t="str">
        <f>HYPERLINK("Gene1198-zp_tree_all.dnd", "Gene1198-tree")</f>
        <v>Gene1198-tree</v>
      </c>
      <c r="O999">
        <v>15</v>
      </c>
      <c r="P999">
        <v>2</v>
      </c>
      <c r="Q999">
        <v>15</v>
      </c>
      <c r="R999">
        <v>2</v>
      </c>
      <c r="S999">
        <v>0.11765</v>
      </c>
      <c r="T999" t="s">
        <v>100</v>
      </c>
      <c r="U999" t="s">
        <v>81</v>
      </c>
      <c r="V999" t="s">
        <v>62</v>
      </c>
      <c r="W999" t="s">
        <v>62</v>
      </c>
      <c r="X999">
        <v>0</v>
      </c>
      <c r="Y999">
        <v>0</v>
      </c>
      <c r="Z999">
        <v>9</v>
      </c>
      <c r="AA999">
        <v>0</v>
      </c>
      <c r="AB999">
        <v>0</v>
      </c>
      <c r="AC999">
        <v>0</v>
      </c>
      <c r="AD999">
        <v>0</v>
      </c>
      <c r="AE999">
        <v>5</v>
      </c>
      <c r="AF999">
        <v>0</v>
      </c>
      <c r="AG999">
        <v>0</v>
      </c>
      <c r="AH999">
        <v>0</v>
      </c>
      <c r="AI999">
        <v>0</v>
      </c>
      <c r="AJ999">
        <v>2</v>
      </c>
      <c r="AK999">
        <v>0</v>
      </c>
      <c r="AL999">
        <v>11</v>
      </c>
      <c r="AM999">
        <v>7</v>
      </c>
      <c r="AN999">
        <v>21</v>
      </c>
      <c r="AO999">
        <v>2</v>
      </c>
      <c r="AP999">
        <v>46</v>
      </c>
      <c r="AQ999">
        <v>7</v>
      </c>
      <c r="AR999" t="s">
        <v>7538</v>
      </c>
      <c r="AS999" t="s">
        <v>7539</v>
      </c>
      <c r="AT999">
        <v>0.19500000000000001</v>
      </c>
      <c r="AU999" t="s">
        <v>65</v>
      </c>
      <c r="AV999">
        <v>67</v>
      </c>
      <c r="AW999">
        <v>9</v>
      </c>
      <c r="AX999" t="s">
        <v>7540</v>
      </c>
      <c r="AY999">
        <v>0.10866000000000001</v>
      </c>
      <c r="AZ999">
        <v>-8.2799999999999992E-3</v>
      </c>
      <c r="BA999">
        <v>3.7000000000000002E-3</v>
      </c>
      <c r="BB999">
        <v>-3.8999999999999999E-4</v>
      </c>
      <c r="BC999">
        <v>3.4079999999999999E-2</v>
      </c>
      <c r="BD999">
        <v>1</v>
      </c>
      <c r="BE999" t="s">
        <v>69</v>
      </c>
      <c r="BF999">
        <v>-1.7809999999999999</v>
      </c>
      <c r="BG999">
        <v>0.29199999999999998</v>
      </c>
    </row>
    <row r="1000" spans="1:59">
      <c r="A1000">
        <v>0</v>
      </c>
      <c r="B1000">
        <v>0</v>
      </c>
      <c r="C1000">
        <v>0</v>
      </c>
      <c r="D1000" t="s">
        <v>25022</v>
      </c>
      <c r="E1000">
        <v>2845</v>
      </c>
      <c r="F1000" t="s">
        <v>16342</v>
      </c>
      <c r="G1000" t="s">
        <v>62</v>
      </c>
      <c r="H1000">
        <v>2792221</v>
      </c>
      <c r="I1000">
        <v>2792853</v>
      </c>
      <c r="J1000" t="s">
        <v>16343</v>
      </c>
      <c r="K1000">
        <v>211</v>
      </c>
      <c r="L1000" t="s">
        <v>59</v>
      </c>
      <c r="M1000">
        <v>49</v>
      </c>
      <c r="N1000" t="str">
        <f>HYPERLINK("Gene2845-zp_tree_all.dnd", "Gene2845-tree")</f>
        <v>Gene2845-tree</v>
      </c>
      <c r="O1000">
        <v>13</v>
      </c>
      <c r="P1000">
        <v>1</v>
      </c>
      <c r="Q1000">
        <v>13</v>
      </c>
      <c r="R1000">
        <v>1</v>
      </c>
      <c r="S1000">
        <v>7.1429999999999993E-2</v>
      </c>
      <c r="T1000" t="s">
        <v>507</v>
      </c>
      <c r="U1000" t="s">
        <v>175</v>
      </c>
      <c r="V1000" t="s">
        <v>62</v>
      </c>
      <c r="W1000" t="s">
        <v>62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11</v>
      </c>
      <c r="AM1000">
        <v>6</v>
      </c>
      <c r="AN1000">
        <v>32</v>
      </c>
      <c r="AO1000">
        <v>1</v>
      </c>
      <c r="AP1000">
        <v>21</v>
      </c>
      <c r="AQ1000">
        <v>0</v>
      </c>
      <c r="AR1000" t="s">
        <v>16344</v>
      </c>
      <c r="AS1000" t="s">
        <v>193</v>
      </c>
      <c r="AT1000">
        <v>0.313</v>
      </c>
      <c r="AU1000" t="s">
        <v>65</v>
      </c>
      <c r="AV1000">
        <v>53</v>
      </c>
      <c r="AW1000">
        <v>1</v>
      </c>
      <c r="AX1000" t="s">
        <v>16345</v>
      </c>
      <c r="AY1000">
        <v>9.8669999999999994E-2</v>
      </c>
      <c r="AZ1000">
        <v>-7.9299999999999995E-3</v>
      </c>
      <c r="BA1000">
        <v>2.9999999999999997E-4</v>
      </c>
      <c r="BB1000">
        <v>-6.9999999999999994E-5</v>
      </c>
      <c r="BC1000">
        <v>3.0000000000000001E-3</v>
      </c>
      <c r="BD1000">
        <v>1</v>
      </c>
      <c r="BE1000" t="s">
        <v>69</v>
      </c>
      <c r="BF1000">
        <v>-1.5920000000000001</v>
      </c>
      <c r="BG1000">
        <v>-1.1890000000000001</v>
      </c>
    </row>
    <row r="1001" spans="1:59">
      <c r="A1001">
        <v>0</v>
      </c>
      <c r="B1001">
        <v>7</v>
      </c>
      <c r="C1001">
        <v>0</v>
      </c>
      <c r="D1001" t="s">
        <v>25022</v>
      </c>
      <c r="E1001">
        <v>3616</v>
      </c>
      <c r="F1001" t="s">
        <v>21233</v>
      </c>
      <c r="G1001" t="s">
        <v>62</v>
      </c>
      <c r="H1001">
        <v>3585054</v>
      </c>
      <c r="I1001">
        <v>3585689</v>
      </c>
      <c r="J1001" t="s">
        <v>21234</v>
      </c>
      <c r="K1001">
        <v>212</v>
      </c>
      <c r="L1001" t="s">
        <v>108</v>
      </c>
      <c r="M1001">
        <v>44</v>
      </c>
      <c r="N1001" t="str">
        <f>HYPERLINK("Gene3616-zp_tree_all.dnd", "Gene3616-tree")</f>
        <v>Gene3616-tree</v>
      </c>
      <c r="O1001">
        <v>9</v>
      </c>
      <c r="P1001">
        <v>5</v>
      </c>
      <c r="Q1001">
        <v>9</v>
      </c>
      <c r="R1001">
        <v>5</v>
      </c>
      <c r="S1001">
        <v>0.35714000000000001</v>
      </c>
      <c r="T1001" t="s">
        <v>135</v>
      </c>
      <c r="U1001" t="s">
        <v>199</v>
      </c>
      <c r="V1001" t="s">
        <v>62</v>
      </c>
      <c r="W1001" t="s">
        <v>62</v>
      </c>
      <c r="X1001">
        <v>3</v>
      </c>
      <c r="Y1001">
        <v>7</v>
      </c>
      <c r="Z1001">
        <v>13</v>
      </c>
      <c r="AA1001">
        <v>0.35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4</v>
      </c>
      <c r="AH1001">
        <v>0</v>
      </c>
      <c r="AI1001">
        <v>4</v>
      </c>
      <c r="AJ1001">
        <v>6</v>
      </c>
      <c r="AK1001">
        <v>0.4</v>
      </c>
      <c r="AL1001">
        <v>11</v>
      </c>
      <c r="AM1001">
        <v>10</v>
      </c>
      <c r="AN1001">
        <v>33</v>
      </c>
      <c r="AO1001">
        <v>10</v>
      </c>
      <c r="AP1001">
        <v>27</v>
      </c>
      <c r="AQ1001">
        <v>10</v>
      </c>
      <c r="AR1001" t="s">
        <v>21235</v>
      </c>
      <c r="AS1001" t="s">
        <v>21236</v>
      </c>
      <c r="AT1001">
        <v>0.19800000000000001</v>
      </c>
      <c r="AU1001" t="s">
        <v>65</v>
      </c>
      <c r="AV1001">
        <v>60</v>
      </c>
      <c r="AW1001">
        <v>20</v>
      </c>
      <c r="AX1001" t="s">
        <v>21237</v>
      </c>
      <c r="AY1001">
        <v>8.2970000000000002E-2</v>
      </c>
      <c r="AZ1001">
        <v>-5.0800000000000003E-3</v>
      </c>
      <c r="BA1001">
        <v>9.3600000000000003E-3</v>
      </c>
      <c r="BB1001">
        <v>-5.1999999999999995E-4</v>
      </c>
      <c r="BC1001">
        <v>0.11282</v>
      </c>
      <c r="BD1001">
        <v>1</v>
      </c>
      <c r="BE1001" t="s">
        <v>69</v>
      </c>
      <c r="BF1001">
        <v>-0.44900000000000001</v>
      </c>
      <c r="BG1001">
        <v>-0.44400000000000001</v>
      </c>
    </row>
    <row r="1002" spans="1:59">
      <c r="A1002">
        <v>0</v>
      </c>
      <c r="B1002">
        <v>4</v>
      </c>
      <c r="C1002">
        <v>0</v>
      </c>
      <c r="D1002" t="s">
        <v>25022</v>
      </c>
      <c r="E1002">
        <v>271</v>
      </c>
      <c r="F1002" t="s">
        <v>1848</v>
      </c>
      <c r="G1002" t="s">
        <v>57</v>
      </c>
      <c r="H1002">
        <v>292205</v>
      </c>
      <c r="I1002">
        <v>292840</v>
      </c>
      <c r="J1002" t="s">
        <v>1849</v>
      </c>
      <c r="K1002">
        <v>212</v>
      </c>
      <c r="L1002" t="s">
        <v>108</v>
      </c>
      <c r="M1002">
        <v>44</v>
      </c>
      <c r="N1002" t="str">
        <f>HYPERLINK("Gene271-zp_tree_all.dnd", "Gene271-tree")</f>
        <v>Gene271-tree</v>
      </c>
      <c r="O1002">
        <v>8</v>
      </c>
      <c r="P1002">
        <v>6</v>
      </c>
      <c r="Q1002">
        <v>8</v>
      </c>
      <c r="R1002">
        <v>6</v>
      </c>
      <c r="S1002">
        <v>0.42857000000000001</v>
      </c>
      <c r="T1002" t="s">
        <v>136</v>
      </c>
      <c r="U1002" t="s">
        <v>90</v>
      </c>
      <c r="V1002" t="s">
        <v>62</v>
      </c>
      <c r="W1002" t="s">
        <v>62</v>
      </c>
      <c r="X1002">
        <v>2</v>
      </c>
      <c r="Y1002">
        <v>4</v>
      </c>
      <c r="Z1002">
        <v>3</v>
      </c>
      <c r="AA1002">
        <v>0.57142999999999999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4</v>
      </c>
      <c r="AH1002">
        <v>0</v>
      </c>
      <c r="AI1002">
        <v>4</v>
      </c>
      <c r="AJ1002">
        <v>2</v>
      </c>
      <c r="AK1002">
        <v>0.66666999999999998</v>
      </c>
      <c r="AL1002">
        <v>11</v>
      </c>
      <c r="AM1002">
        <v>7</v>
      </c>
      <c r="AN1002">
        <v>26</v>
      </c>
      <c r="AO1002">
        <v>6</v>
      </c>
      <c r="AP1002">
        <v>16</v>
      </c>
      <c r="AQ1002">
        <v>4</v>
      </c>
      <c r="AR1002" t="s">
        <v>1850</v>
      </c>
      <c r="AS1002" t="s">
        <v>1851</v>
      </c>
      <c r="AT1002">
        <v>3.4000000000000002E-2</v>
      </c>
      <c r="AU1002" t="s">
        <v>65</v>
      </c>
      <c r="AV1002">
        <v>42</v>
      </c>
      <c r="AW1002">
        <v>10</v>
      </c>
      <c r="AX1002" t="s">
        <v>1852</v>
      </c>
      <c r="AY1002">
        <v>5.2519999999999997E-2</v>
      </c>
      <c r="AZ1002">
        <v>-2.8600000000000001E-3</v>
      </c>
      <c r="BA1002">
        <v>4.7499999999999999E-3</v>
      </c>
      <c r="BB1002">
        <v>-4.6000000000000001E-4</v>
      </c>
      <c r="BC1002">
        <v>9.0490000000000001E-2</v>
      </c>
      <c r="BD1002">
        <v>1</v>
      </c>
      <c r="BE1002" t="s">
        <v>69</v>
      </c>
      <c r="BF1002">
        <v>-1.2250000000000001</v>
      </c>
      <c r="BG1002">
        <v>-0.23100000000000001</v>
      </c>
    </row>
    <row r="1003" spans="1:59">
      <c r="A1003">
        <v>0</v>
      </c>
      <c r="B1003">
        <v>2</v>
      </c>
      <c r="C1003">
        <v>0</v>
      </c>
      <c r="D1003" t="s">
        <v>25022</v>
      </c>
      <c r="E1003">
        <v>28</v>
      </c>
      <c r="F1003" t="s">
        <v>273</v>
      </c>
      <c r="G1003" t="s">
        <v>57</v>
      </c>
      <c r="H1003">
        <v>39159</v>
      </c>
      <c r="I1003">
        <v>39794</v>
      </c>
      <c r="J1003" t="s">
        <v>274</v>
      </c>
      <c r="K1003">
        <v>212</v>
      </c>
      <c r="L1003" t="s">
        <v>108</v>
      </c>
      <c r="M1003">
        <v>44</v>
      </c>
      <c r="N1003" t="str">
        <f>HYPERLINK("Gene28-zp_tree_all.dnd", "Gene28-tree")</f>
        <v>Gene28-tree</v>
      </c>
      <c r="O1003">
        <v>8</v>
      </c>
      <c r="P1003">
        <v>7</v>
      </c>
      <c r="Q1003">
        <v>8</v>
      </c>
      <c r="R1003">
        <v>7</v>
      </c>
      <c r="S1003">
        <v>0.46666999999999997</v>
      </c>
      <c r="T1003" t="s">
        <v>136</v>
      </c>
      <c r="U1003" t="s">
        <v>152</v>
      </c>
      <c r="V1003" t="s">
        <v>62</v>
      </c>
      <c r="W1003" t="s">
        <v>62</v>
      </c>
      <c r="X1003">
        <v>1</v>
      </c>
      <c r="Y1003">
        <v>2</v>
      </c>
      <c r="Z1003">
        <v>8</v>
      </c>
      <c r="AA1003">
        <v>0.2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8</v>
      </c>
      <c r="AK1003">
        <v>0</v>
      </c>
      <c r="AL1003">
        <v>11</v>
      </c>
      <c r="AM1003">
        <v>7</v>
      </c>
      <c r="AN1003">
        <v>19</v>
      </c>
      <c r="AO1003">
        <v>7</v>
      </c>
      <c r="AP1003">
        <v>12</v>
      </c>
      <c r="AQ1003">
        <v>3</v>
      </c>
      <c r="AR1003" t="s">
        <v>275</v>
      </c>
      <c r="AS1003" t="s">
        <v>276</v>
      </c>
      <c r="AT1003">
        <v>0.39300000000000002</v>
      </c>
      <c r="AU1003" t="s">
        <v>65</v>
      </c>
      <c r="AV1003">
        <v>31</v>
      </c>
      <c r="AW1003">
        <v>10</v>
      </c>
      <c r="AX1003" t="s">
        <v>277</v>
      </c>
      <c r="AY1003">
        <v>4.521E-2</v>
      </c>
      <c r="AZ1003">
        <v>-2.1700000000000001E-3</v>
      </c>
      <c r="BA1003">
        <v>3.46E-3</v>
      </c>
      <c r="BB1003">
        <v>-1.7000000000000001E-4</v>
      </c>
      <c r="BC1003">
        <v>7.6520000000000005E-2</v>
      </c>
      <c r="BD1003">
        <v>1</v>
      </c>
      <c r="BE1003" t="s">
        <v>69</v>
      </c>
      <c r="BF1003">
        <v>-0.77400000000000002</v>
      </c>
      <c r="BG1003">
        <v>-2.42</v>
      </c>
    </row>
    <row r="1004" spans="1:59">
      <c r="A1004">
        <v>0</v>
      </c>
      <c r="B1004">
        <v>0</v>
      </c>
      <c r="C1004">
        <v>0</v>
      </c>
      <c r="D1004" t="s">
        <v>25022</v>
      </c>
      <c r="E1004">
        <v>3847</v>
      </c>
      <c r="F1004" t="s">
        <v>22547</v>
      </c>
      <c r="G1004" t="s">
        <v>62</v>
      </c>
      <c r="H1004">
        <v>3807757</v>
      </c>
      <c r="I1004">
        <v>3808392</v>
      </c>
      <c r="J1004" t="s">
        <v>22548</v>
      </c>
      <c r="K1004">
        <v>212</v>
      </c>
      <c r="L1004" t="s">
        <v>59</v>
      </c>
      <c r="M1004">
        <v>49</v>
      </c>
      <c r="N1004" t="str">
        <f>HYPERLINK("Gene3847-zp_tree_all.dnd", "Gene3847-tree")</f>
        <v>Gene3847-tree</v>
      </c>
      <c r="O1004">
        <v>17</v>
      </c>
      <c r="P1004">
        <v>0</v>
      </c>
      <c r="Q1004">
        <v>17</v>
      </c>
      <c r="R1004">
        <v>0</v>
      </c>
      <c r="S1004">
        <v>0</v>
      </c>
      <c r="T1004" t="s">
        <v>266</v>
      </c>
      <c r="U1004" t="s">
        <v>62</v>
      </c>
      <c r="V1004" t="s">
        <v>62</v>
      </c>
      <c r="W1004" t="s">
        <v>62</v>
      </c>
      <c r="X1004">
        <v>0</v>
      </c>
      <c r="Y1004">
        <v>0</v>
      </c>
      <c r="Z1004">
        <v>5</v>
      </c>
      <c r="AA1004">
        <v>0</v>
      </c>
      <c r="AB1004">
        <v>0</v>
      </c>
      <c r="AC1004">
        <v>0</v>
      </c>
      <c r="AD1004">
        <v>0</v>
      </c>
      <c r="AE1004">
        <v>2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12</v>
      </c>
      <c r="AM1004">
        <v>10</v>
      </c>
      <c r="AN1004">
        <v>22</v>
      </c>
      <c r="AO1004">
        <v>0</v>
      </c>
      <c r="AP1004">
        <v>40</v>
      </c>
      <c r="AQ1004">
        <v>6</v>
      </c>
      <c r="AR1004" t="s">
        <v>193</v>
      </c>
      <c r="AS1004" t="s">
        <v>22549</v>
      </c>
      <c r="AT1004">
        <v>1.0189999999999999</v>
      </c>
      <c r="AU1004" t="s">
        <v>65</v>
      </c>
      <c r="AV1004">
        <v>62</v>
      </c>
      <c r="AW1004">
        <v>6</v>
      </c>
      <c r="AX1004" t="s">
        <v>22550</v>
      </c>
      <c r="AY1004">
        <v>0.10241</v>
      </c>
      <c r="AZ1004">
        <v>-5.7499999999999999E-3</v>
      </c>
      <c r="BA1004">
        <v>4.1000000000000003E-3</v>
      </c>
      <c r="BB1004">
        <v>-3.6999999999999999E-4</v>
      </c>
      <c r="BC1004">
        <v>4.0070000000000001E-2</v>
      </c>
      <c r="BD1004">
        <v>1</v>
      </c>
      <c r="BE1004" t="s">
        <v>69</v>
      </c>
      <c r="BF1004">
        <v>-1.0149999999999999</v>
      </c>
      <c r="BG1004">
        <v>0.76600000000000001</v>
      </c>
    </row>
    <row r="1005" spans="1:59">
      <c r="A1005">
        <v>0</v>
      </c>
      <c r="B1005">
        <v>0</v>
      </c>
      <c r="C1005">
        <v>0</v>
      </c>
      <c r="D1005" t="s">
        <v>25022</v>
      </c>
      <c r="E1005">
        <v>2627</v>
      </c>
      <c r="F1005" t="s">
        <v>15390</v>
      </c>
      <c r="G1005" t="s">
        <v>62</v>
      </c>
      <c r="H1005">
        <v>2604962</v>
      </c>
      <c r="I1005">
        <v>2605597</v>
      </c>
      <c r="J1005" t="s">
        <v>15391</v>
      </c>
      <c r="K1005">
        <v>212</v>
      </c>
      <c r="L1005" t="s">
        <v>59</v>
      </c>
      <c r="M1005">
        <v>49</v>
      </c>
      <c r="N1005" t="str">
        <f>HYPERLINK("Gene2627-zp_tree_all.dnd", "Gene2627-tree")</f>
        <v>Gene2627-tree</v>
      </c>
      <c r="O1005">
        <v>15</v>
      </c>
      <c r="P1005">
        <v>0</v>
      </c>
      <c r="Q1005">
        <v>15</v>
      </c>
      <c r="R1005">
        <v>0</v>
      </c>
      <c r="S1005">
        <v>0</v>
      </c>
      <c r="T1005" t="s">
        <v>100</v>
      </c>
      <c r="U1005" t="s">
        <v>62</v>
      </c>
      <c r="V1005" t="s">
        <v>62</v>
      </c>
      <c r="W1005" t="s">
        <v>62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11</v>
      </c>
      <c r="AM1005">
        <v>7</v>
      </c>
      <c r="AN1005">
        <v>16</v>
      </c>
      <c r="AO1005">
        <v>0</v>
      </c>
      <c r="AP1005">
        <v>28</v>
      </c>
      <c r="AQ1005">
        <v>0</v>
      </c>
      <c r="AR1005" t="s">
        <v>193</v>
      </c>
      <c r="AS1005" t="s">
        <v>193</v>
      </c>
      <c r="AT1005">
        <v>0</v>
      </c>
      <c r="AU1005" t="s">
        <v>65</v>
      </c>
      <c r="AV1005">
        <v>44</v>
      </c>
      <c r="AW1005">
        <v>0</v>
      </c>
      <c r="AX1005" t="s">
        <v>15392</v>
      </c>
      <c r="AY1005">
        <v>8.3269999999999997E-2</v>
      </c>
      <c r="AZ1005">
        <v>-6.2899999999999996E-3</v>
      </c>
      <c r="BA1005">
        <v>0</v>
      </c>
      <c r="BB1005">
        <v>0</v>
      </c>
      <c r="BC1005">
        <v>0</v>
      </c>
      <c r="BD1005">
        <v>1</v>
      </c>
      <c r="BE1005" t="s">
        <v>69</v>
      </c>
      <c r="BF1005">
        <v>-1.1830000000000001</v>
      </c>
      <c r="BG1005">
        <v>-0.84699999999999998</v>
      </c>
    </row>
    <row r="1006" spans="1:59">
      <c r="A1006">
        <v>0</v>
      </c>
      <c r="B1006">
        <v>0</v>
      </c>
      <c r="C1006">
        <v>2</v>
      </c>
      <c r="D1006" t="s">
        <v>25022</v>
      </c>
      <c r="E1006">
        <v>1261</v>
      </c>
      <c r="F1006" t="s">
        <v>7902</v>
      </c>
      <c r="G1006" t="s">
        <v>57</v>
      </c>
      <c r="H1006">
        <v>1289298</v>
      </c>
      <c r="I1006">
        <v>1289936</v>
      </c>
      <c r="J1006" t="s">
        <v>1523</v>
      </c>
      <c r="K1006">
        <v>213</v>
      </c>
      <c r="L1006" t="s">
        <v>7903</v>
      </c>
      <c r="M1006">
        <v>26</v>
      </c>
      <c r="N1006" t="str">
        <f>HYPERLINK("Gene1261-zp_tree_all.dnd", "Gene1261-tree")</f>
        <v>Gene1261-tree</v>
      </c>
      <c r="O1006">
        <v>23</v>
      </c>
      <c r="P1006">
        <v>3</v>
      </c>
      <c r="Q1006">
        <v>2</v>
      </c>
      <c r="R1006">
        <v>3</v>
      </c>
      <c r="S1006">
        <v>0.6</v>
      </c>
      <c r="T1006" t="s">
        <v>7904</v>
      </c>
      <c r="U1006" t="s">
        <v>324</v>
      </c>
      <c r="V1006" t="s">
        <v>62</v>
      </c>
      <c r="W1006" t="s">
        <v>62</v>
      </c>
      <c r="X1006">
        <v>1</v>
      </c>
      <c r="Y1006">
        <v>2</v>
      </c>
      <c r="Z1006">
        <v>4</v>
      </c>
      <c r="AA1006">
        <v>0.33333000000000002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</v>
      </c>
      <c r="AI1006">
        <v>2</v>
      </c>
      <c r="AJ1006">
        <v>4</v>
      </c>
      <c r="AK1006">
        <v>0.33333000000000002</v>
      </c>
      <c r="AL1006">
        <v>3</v>
      </c>
      <c r="AM1006">
        <v>1</v>
      </c>
      <c r="AN1006">
        <v>1</v>
      </c>
      <c r="AO1006">
        <v>6</v>
      </c>
      <c r="AP1006">
        <v>1</v>
      </c>
      <c r="AQ1006">
        <v>0</v>
      </c>
      <c r="AR1006" t="s">
        <v>7905</v>
      </c>
      <c r="AS1006" t="s">
        <v>193</v>
      </c>
      <c r="AT1006">
        <v>0.69199999999999995</v>
      </c>
      <c r="AU1006" t="s">
        <v>65</v>
      </c>
      <c r="AV1006">
        <v>2</v>
      </c>
      <c r="AW1006">
        <v>6</v>
      </c>
      <c r="AX1006" t="s">
        <v>7906</v>
      </c>
      <c r="AY1006">
        <v>7.4700000000000001E-3</v>
      </c>
      <c r="AZ1006">
        <v>-1.5E-3</v>
      </c>
      <c r="BA1006">
        <v>4.7800000000000004E-3</v>
      </c>
      <c r="BB1006">
        <v>-1.14E-3</v>
      </c>
      <c r="BC1006">
        <v>0.64078000000000002</v>
      </c>
      <c r="BD1006">
        <v>0.57799999999999996</v>
      </c>
      <c r="BE1006" t="s">
        <v>635</v>
      </c>
      <c r="BF1006">
        <v>-2.0179999999999998</v>
      </c>
      <c r="BG1006">
        <v>-2.94</v>
      </c>
    </row>
    <row r="1007" spans="1:59">
      <c r="A1007">
        <v>0</v>
      </c>
      <c r="B1007">
        <v>4</v>
      </c>
      <c r="C1007">
        <v>0</v>
      </c>
      <c r="D1007" t="s">
        <v>25022</v>
      </c>
      <c r="E1007">
        <v>419</v>
      </c>
      <c r="F1007" t="s">
        <v>2845</v>
      </c>
      <c r="G1007" t="s">
        <v>57</v>
      </c>
      <c r="H1007">
        <v>462431</v>
      </c>
      <c r="I1007">
        <v>463069</v>
      </c>
      <c r="J1007" t="s">
        <v>2846</v>
      </c>
      <c r="K1007">
        <v>213</v>
      </c>
      <c r="L1007" t="s">
        <v>108</v>
      </c>
      <c r="M1007">
        <v>44</v>
      </c>
      <c r="N1007" t="str">
        <f>HYPERLINK("Gene419-zp_tree_all.dnd", "Gene419-tree")</f>
        <v>Gene419-tree</v>
      </c>
      <c r="O1007">
        <v>22</v>
      </c>
      <c r="P1007">
        <v>10</v>
      </c>
      <c r="Q1007">
        <v>2</v>
      </c>
      <c r="R1007">
        <v>10</v>
      </c>
      <c r="S1007">
        <v>0.83333000000000002</v>
      </c>
      <c r="T1007" t="s">
        <v>2847</v>
      </c>
      <c r="U1007" t="s">
        <v>117</v>
      </c>
      <c r="V1007" t="s">
        <v>62</v>
      </c>
      <c r="W1007" t="s">
        <v>62</v>
      </c>
      <c r="X1007">
        <v>2</v>
      </c>
      <c r="Y1007">
        <v>4</v>
      </c>
      <c r="Z1007">
        <v>13</v>
      </c>
      <c r="AA1007">
        <v>0.23529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13</v>
      </c>
      <c r="AK1007">
        <v>0</v>
      </c>
      <c r="AL1007">
        <v>9</v>
      </c>
      <c r="AM1007">
        <v>4</v>
      </c>
      <c r="AN1007">
        <v>13</v>
      </c>
      <c r="AO1007">
        <v>11</v>
      </c>
      <c r="AP1007">
        <v>12</v>
      </c>
      <c r="AQ1007">
        <v>7</v>
      </c>
      <c r="AR1007" t="s">
        <v>2848</v>
      </c>
      <c r="AS1007" t="s">
        <v>2849</v>
      </c>
      <c r="AT1007">
        <v>0.434</v>
      </c>
      <c r="AU1007" t="s">
        <v>65</v>
      </c>
      <c r="AV1007">
        <v>25</v>
      </c>
      <c r="AW1007">
        <v>18</v>
      </c>
      <c r="AX1007" t="s">
        <v>2850</v>
      </c>
      <c r="AY1007">
        <v>5.5960000000000003E-2</v>
      </c>
      <c r="AZ1007">
        <v>-4.3699999999999998E-3</v>
      </c>
      <c r="BA1007">
        <v>9.9600000000000001E-3</v>
      </c>
      <c r="BB1007">
        <v>-6.6E-4</v>
      </c>
      <c r="BC1007">
        <v>0.17799000000000001</v>
      </c>
      <c r="BD1007">
        <v>1</v>
      </c>
      <c r="BE1007" t="s">
        <v>69</v>
      </c>
      <c r="BF1007">
        <v>-0.72499999999999998</v>
      </c>
      <c r="BG1007">
        <v>-1.9219999999999999</v>
      </c>
    </row>
    <row r="1008" spans="1:59">
      <c r="A1008">
        <v>0</v>
      </c>
      <c r="B1008">
        <v>6</v>
      </c>
      <c r="C1008">
        <v>0</v>
      </c>
      <c r="D1008" t="s">
        <v>25022</v>
      </c>
      <c r="E1008">
        <v>3796</v>
      </c>
      <c r="F1008" t="s">
        <v>22241</v>
      </c>
      <c r="G1008" t="s">
        <v>62</v>
      </c>
      <c r="H1008">
        <v>3765472</v>
      </c>
      <c r="I1008">
        <v>3766110</v>
      </c>
      <c r="J1008" t="s">
        <v>1940</v>
      </c>
      <c r="K1008">
        <v>213</v>
      </c>
      <c r="L1008" t="s">
        <v>265</v>
      </c>
      <c r="M1008">
        <v>43</v>
      </c>
      <c r="N1008" t="str">
        <f>HYPERLINK("Gene3796-zp_tree_all.dnd", "Gene3796-tree")</f>
        <v>Gene3796-tree</v>
      </c>
      <c r="O1008">
        <v>9</v>
      </c>
      <c r="P1008">
        <v>7</v>
      </c>
      <c r="Q1008">
        <v>9</v>
      </c>
      <c r="R1008">
        <v>7</v>
      </c>
      <c r="S1008">
        <v>0.4375</v>
      </c>
      <c r="T1008" t="s">
        <v>135</v>
      </c>
      <c r="U1008" t="s">
        <v>152</v>
      </c>
      <c r="V1008" t="s">
        <v>62</v>
      </c>
      <c r="W1008" t="s">
        <v>62</v>
      </c>
      <c r="X1008">
        <v>2</v>
      </c>
      <c r="Y1008">
        <v>6</v>
      </c>
      <c r="Z1008">
        <v>15</v>
      </c>
      <c r="AA1008">
        <v>0.28571000000000002</v>
      </c>
      <c r="AB1008">
        <v>0</v>
      </c>
      <c r="AC1008">
        <v>0</v>
      </c>
      <c r="AD1008">
        <v>0</v>
      </c>
      <c r="AE1008">
        <v>2</v>
      </c>
      <c r="AF1008">
        <v>0</v>
      </c>
      <c r="AG1008">
        <v>2</v>
      </c>
      <c r="AH1008">
        <v>0</v>
      </c>
      <c r="AI1008">
        <v>2</v>
      </c>
      <c r="AJ1008">
        <v>11</v>
      </c>
      <c r="AK1008">
        <v>0.15384999999999999</v>
      </c>
      <c r="AL1008">
        <v>12</v>
      </c>
      <c r="AM1008">
        <v>10</v>
      </c>
      <c r="AN1008">
        <v>26</v>
      </c>
      <c r="AO1008">
        <v>11</v>
      </c>
      <c r="AP1008">
        <v>16</v>
      </c>
      <c r="AQ1008">
        <v>10</v>
      </c>
      <c r="AR1008" t="s">
        <v>22242</v>
      </c>
      <c r="AS1008" t="s">
        <v>22243</v>
      </c>
      <c r="AT1008">
        <v>0.627</v>
      </c>
      <c r="AU1008" t="s">
        <v>65</v>
      </c>
      <c r="AV1008">
        <v>42</v>
      </c>
      <c r="AW1008">
        <v>21</v>
      </c>
      <c r="AX1008" t="s">
        <v>22244</v>
      </c>
      <c r="AY1008">
        <v>4.3889999999999998E-2</v>
      </c>
      <c r="AZ1008">
        <v>-1.82E-3</v>
      </c>
      <c r="BA1008">
        <v>7.77E-3</v>
      </c>
      <c r="BB1008">
        <v>-3.3E-4</v>
      </c>
      <c r="BC1008">
        <v>0.17693999999999999</v>
      </c>
      <c r="BD1008">
        <v>1</v>
      </c>
      <c r="BE1008" t="s">
        <v>69</v>
      </c>
      <c r="BF1008">
        <v>-0.92600000000000005</v>
      </c>
      <c r="BG1008">
        <v>-1.7529999999999999</v>
      </c>
    </row>
    <row r="1009" spans="1:59">
      <c r="A1009">
        <v>0</v>
      </c>
      <c r="B1009">
        <v>5</v>
      </c>
      <c r="C1009">
        <v>0</v>
      </c>
      <c r="D1009" t="s">
        <v>25022</v>
      </c>
      <c r="E1009">
        <v>2840</v>
      </c>
      <c r="F1009" t="s">
        <v>16312</v>
      </c>
      <c r="G1009" t="s">
        <v>62</v>
      </c>
      <c r="H1009">
        <v>2787849</v>
      </c>
      <c r="I1009">
        <v>2788487</v>
      </c>
      <c r="J1009" t="s">
        <v>9557</v>
      </c>
      <c r="K1009">
        <v>213</v>
      </c>
      <c r="L1009" t="s">
        <v>108</v>
      </c>
      <c r="M1009">
        <v>44</v>
      </c>
      <c r="N1009" t="str">
        <f>HYPERLINK("Gene2840-zp_tree_all.dnd", "Gene2840-tree")</f>
        <v>Gene2840-tree</v>
      </c>
      <c r="O1009">
        <v>8</v>
      </c>
      <c r="P1009">
        <v>5</v>
      </c>
      <c r="Q1009">
        <v>8</v>
      </c>
      <c r="R1009">
        <v>5</v>
      </c>
      <c r="S1009">
        <v>0.38462000000000002</v>
      </c>
      <c r="T1009" t="s">
        <v>136</v>
      </c>
      <c r="U1009" t="s">
        <v>199</v>
      </c>
      <c r="V1009" t="s">
        <v>62</v>
      </c>
      <c r="W1009" t="s">
        <v>62</v>
      </c>
      <c r="X1009">
        <v>2</v>
      </c>
      <c r="Y1009">
        <v>5</v>
      </c>
      <c r="Z1009">
        <v>7</v>
      </c>
      <c r="AA1009">
        <v>0.41666999999999998</v>
      </c>
      <c r="AB1009">
        <v>0</v>
      </c>
      <c r="AC1009">
        <v>0</v>
      </c>
      <c r="AD1009">
        <v>0</v>
      </c>
      <c r="AE1009">
        <v>2</v>
      </c>
      <c r="AF1009">
        <v>0</v>
      </c>
      <c r="AG1009">
        <v>0</v>
      </c>
      <c r="AH1009">
        <v>0</v>
      </c>
      <c r="AI1009">
        <v>0</v>
      </c>
      <c r="AJ1009">
        <v>6</v>
      </c>
      <c r="AK1009">
        <v>0</v>
      </c>
      <c r="AL1009">
        <v>9</v>
      </c>
      <c r="AM1009">
        <v>7</v>
      </c>
      <c r="AN1009">
        <v>11</v>
      </c>
      <c r="AO1009">
        <v>5</v>
      </c>
      <c r="AP1009">
        <v>14</v>
      </c>
      <c r="AQ1009">
        <v>7</v>
      </c>
      <c r="AR1009" t="s">
        <v>16313</v>
      </c>
      <c r="AS1009" t="s">
        <v>16314</v>
      </c>
      <c r="AT1009">
        <v>0.13100000000000001</v>
      </c>
      <c r="AU1009" t="s">
        <v>65</v>
      </c>
      <c r="AV1009">
        <v>25</v>
      </c>
      <c r="AW1009">
        <v>12</v>
      </c>
      <c r="AX1009" t="s">
        <v>16315</v>
      </c>
      <c r="AY1009">
        <v>4.0099999999999997E-2</v>
      </c>
      <c r="AZ1009">
        <v>-2.2899999999999999E-3</v>
      </c>
      <c r="BA1009">
        <v>5.0400000000000002E-3</v>
      </c>
      <c r="BB1009">
        <v>-2.5000000000000001E-4</v>
      </c>
      <c r="BC1009">
        <v>0.12565000000000001</v>
      </c>
      <c r="BD1009">
        <v>1</v>
      </c>
      <c r="BE1009" t="s">
        <v>69</v>
      </c>
      <c r="BF1009">
        <v>-0.27100000000000002</v>
      </c>
      <c r="BG1009">
        <v>-1.363</v>
      </c>
    </row>
    <row r="1010" spans="1:59">
      <c r="A1010">
        <v>0</v>
      </c>
      <c r="B1010">
        <v>4</v>
      </c>
      <c r="C1010">
        <v>0</v>
      </c>
      <c r="D1010" t="s">
        <v>25022</v>
      </c>
      <c r="E1010">
        <v>559</v>
      </c>
      <c r="F1010" t="s">
        <v>3595</v>
      </c>
      <c r="G1010" t="s">
        <v>57</v>
      </c>
      <c r="H1010">
        <v>588960</v>
      </c>
      <c r="I1010">
        <v>589598</v>
      </c>
      <c r="J1010" t="s">
        <v>3596</v>
      </c>
      <c r="K1010">
        <v>213</v>
      </c>
      <c r="L1010" t="s">
        <v>108</v>
      </c>
      <c r="M1010">
        <v>44</v>
      </c>
      <c r="N1010" t="str">
        <f>HYPERLINK("Gene559-zp_tree_all.dnd", "Gene559-tree")</f>
        <v>Gene559-tree</v>
      </c>
      <c r="O1010">
        <v>10</v>
      </c>
      <c r="P1010">
        <v>5</v>
      </c>
      <c r="Q1010">
        <v>10</v>
      </c>
      <c r="R1010">
        <v>5</v>
      </c>
      <c r="S1010">
        <v>0.33333000000000002</v>
      </c>
      <c r="T1010" t="s">
        <v>117</v>
      </c>
      <c r="U1010" t="s">
        <v>199</v>
      </c>
      <c r="V1010" t="s">
        <v>62</v>
      </c>
      <c r="W1010" t="s">
        <v>62</v>
      </c>
      <c r="X1010">
        <v>2</v>
      </c>
      <c r="Y1010">
        <v>4</v>
      </c>
      <c r="Z1010">
        <v>6</v>
      </c>
      <c r="AA1010">
        <v>0.4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7</v>
      </c>
      <c r="AK1010">
        <v>0</v>
      </c>
      <c r="AL1010">
        <v>13</v>
      </c>
      <c r="AM1010">
        <v>9</v>
      </c>
      <c r="AN1010">
        <v>18</v>
      </c>
      <c r="AO1010">
        <v>7</v>
      </c>
      <c r="AP1010">
        <v>9</v>
      </c>
      <c r="AQ1010">
        <v>3</v>
      </c>
      <c r="AR1010" t="s">
        <v>3597</v>
      </c>
      <c r="AS1010" t="s">
        <v>3598</v>
      </c>
      <c r="AT1010">
        <v>0.14599999999999999</v>
      </c>
      <c r="AU1010" t="s">
        <v>65</v>
      </c>
      <c r="AV1010">
        <v>27</v>
      </c>
      <c r="AW1010">
        <v>10</v>
      </c>
      <c r="AX1010" t="s">
        <v>3599</v>
      </c>
      <c r="AY1010">
        <v>3.0470000000000001E-2</v>
      </c>
      <c r="AZ1010">
        <v>-1.32E-3</v>
      </c>
      <c r="BA1010">
        <v>3.5000000000000001E-3</v>
      </c>
      <c r="BB1010">
        <v>-2.2000000000000001E-4</v>
      </c>
      <c r="BC1010">
        <v>0.11475</v>
      </c>
      <c r="BD1010">
        <v>1</v>
      </c>
      <c r="BE1010" t="s">
        <v>69</v>
      </c>
      <c r="BF1010">
        <v>-0.23599999999999999</v>
      </c>
      <c r="BG1010">
        <v>-1.82</v>
      </c>
    </row>
    <row r="1011" spans="1:59">
      <c r="A1011">
        <v>0</v>
      </c>
      <c r="B1011">
        <v>0</v>
      </c>
      <c r="C1011">
        <v>0</v>
      </c>
      <c r="D1011" t="s">
        <v>25022</v>
      </c>
      <c r="E1011">
        <v>3013</v>
      </c>
      <c r="F1011" t="s">
        <v>17408</v>
      </c>
      <c r="G1011" t="s">
        <v>62</v>
      </c>
      <c r="H1011">
        <v>2962513</v>
      </c>
      <c r="I1011">
        <v>2963151</v>
      </c>
      <c r="J1011" t="s">
        <v>17409</v>
      </c>
      <c r="K1011">
        <v>213</v>
      </c>
      <c r="L1011" t="s">
        <v>2914</v>
      </c>
      <c r="M1011">
        <v>38</v>
      </c>
      <c r="N1011" t="str">
        <f>HYPERLINK("Gene3013-zp_tree_all.dnd", "Gene3013-tree")</f>
        <v>Gene3013-tree</v>
      </c>
      <c r="O1011">
        <v>5</v>
      </c>
      <c r="P1011">
        <v>4</v>
      </c>
      <c r="Q1011">
        <v>5</v>
      </c>
      <c r="R1011">
        <v>4</v>
      </c>
      <c r="S1011">
        <v>0.44444</v>
      </c>
      <c r="T1011" t="s">
        <v>199</v>
      </c>
      <c r="U1011" t="s">
        <v>61</v>
      </c>
      <c r="V1011" t="s">
        <v>62</v>
      </c>
      <c r="W1011" t="s">
        <v>62</v>
      </c>
      <c r="X1011">
        <v>0</v>
      </c>
      <c r="Y1011">
        <v>0</v>
      </c>
      <c r="Z1011">
        <v>12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11</v>
      </c>
      <c r="AK1011">
        <v>0</v>
      </c>
      <c r="AL1011">
        <v>6</v>
      </c>
      <c r="AM1011">
        <v>3</v>
      </c>
      <c r="AN1011">
        <v>29</v>
      </c>
      <c r="AO1011">
        <v>11</v>
      </c>
      <c r="AP1011">
        <v>8</v>
      </c>
      <c r="AQ1011">
        <v>1</v>
      </c>
      <c r="AR1011" t="s">
        <v>17410</v>
      </c>
      <c r="AS1011" t="s">
        <v>17411</v>
      </c>
      <c r="AT1011">
        <v>0.58599999999999997</v>
      </c>
      <c r="AU1011" t="s">
        <v>65</v>
      </c>
      <c r="AV1011">
        <v>37</v>
      </c>
      <c r="AW1011">
        <v>12</v>
      </c>
      <c r="AX1011" t="s">
        <v>17412</v>
      </c>
      <c r="AY1011">
        <v>6.6820000000000004E-2</v>
      </c>
      <c r="AZ1011">
        <v>-1.0070000000000001E-2</v>
      </c>
      <c r="BA1011">
        <v>6.1599999999999997E-3</v>
      </c>
      <c r="BB1011">
        <v>-9.3000000000000005E-4</v>
      </c>
      <c r="BC1011">
        <v>9.2189999999999994E-2</v>
      </c>
      <c r="BD1011">
        <v>1</v>
      </c>
      <c r="BE1011" t="s">
        <v>69</v>
      </c>
      <c r="BF1011">
        <v>-2.2090000000000001</v>
      </c>
      <c r="BG1011">
        <v>-3.9689999999999999</v>
      </c>
    </row>
    <row r="1012" spans="1:59">
      <c r="A1012">
        <v>0</v>
      </c>
      <c r="B1012">
        <v>7</v>
      </c>
      <c r="C1012">
        <v>1</v>
      </c>
      <c r="D1012" t="s">
        <v>25022</v>
      </c>
      <c r="E1012">
        <v>1957</v>
      </c>
      <c r="F1012" t="s">
        <v>12258</v>
      </c>
      <c r="G1012" t="s">
        <v>62</v>
      </c>
      <c r="H1012">
        <v>2054602</v>
      </c>
      <c r="I1012">
        <v>2055240</v>
      </c>
      <c r="J1012" t="s">
        <v>12259</v>
      </c>
      <c r="K1012">
        <v>213</v>
      </c>
      <c r="L1012" t="s">
        <v>12260</v>
      </c>
      <c r="M1012">
        <v>42</v>
      </c>
      <c r="N1012" t="str">
        <f>HYPERLINK("Gene1957-zp_tree_all.dnd", "Gene1957-tree")</f>
        <v>Gene1957-tree</v>
      </c>
      <c r="O1012">
        <v>7</v>
      </c>
      <c r="P1012">
        <v>7</v>
      </c>
      <c r="Q1012">
        <v>7</v>
      </c>
      <c r="R1012">
        <v>7</v>
      </c>
      <c r="S1012">
        <v>0.5</v>
      </c>
      <c r="T1012" t="s">
        <v>152</v>
      </c>
      <c r="U1012" t="s">
        <v>152</v>
      </c>
      <c r="V1012" t="s">
        <v>62</v>
      </c>
      <c r="W1012" t="s">
        <v>62</v>
      </c>
      <c r="X1012">
        <v>3</v>
      </c>
      <c r="Y1012">
        <v>8</v>
      </c>
      <c r="Z1012">
        <v>8</v>
      </c>
      <c r="AA1012">
        <v>0.5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1</v>
      </c>
      <c r="AI1012">
        <v>3</v>
      </c>
      <c r="AJ1012">
        <v>5</v>
      </c>
      <c r="AK1012">
        <v>0.375</v>
      </c>
      <c r="AL1012">
        <v>13</v>
      </c>
      <c r="AM1012">
        <v>8</v>
      </c>
      <c r="AN1012">
        <v>36</v>
      </c>
      <c r="AO1012">
        <v>8</v>
      </c>
      <c r="AP1012">
        <v>33</v>
      </c>
      <c r="AQ1012">
        <v>9</v>
      </c>
      <c r="AR1012" t="s">
        <v>12261</v>
      </c>
      <c r="AS1012" t="s">
        <v>12262</v>
      </c>
      <c r="AT1012">
        <v>0.112</v>
      </c>
      <c r="AU1012" t="s">
        <v>65</v>
      </c>
      <c r="AV1012">
        <v>69</v>
      </c>
      <c r="AW1012">
        <v>17</v>
      </c>
      <c r="AX1012" t="s">
        <v>12263</v>
      </c>
      <c r="AY1012">
        <v>0.10181999999999999</v>
      </c>
      <c r="AZ1012">
        <v>-4.3299999999999996E-3</v>
      </c>
      <c r="BA1012">
        <v>8.2400000000000008E-3</v>
      </c>
      <c r="BB1012">
        <v>-7.9000000000000001E-4</v>
      </c>
      <c r="BC1012">
        <v>8.097E-2</v>
      </c>
      <c r="BD1012">
        <v>1</v>
      </c>
      <c r="BE1012" t="s">
        <v>69</v>
      </c>
      <c r="BF1012">
        <v>-0.443</v>
      </c>
      <c r="BG1012">
        <v>-0.432</v>
      </c>
    </row>
    <row r="1013" spans="1:59">
      <c r="A1013">
        <v>0</v>
      </c>
      <c r="B1013">
        <v>0</v>
      </c>
      <c r="C1013">
        <v>0</v>
      </c>
      <c r="D1013" t="s">
        <v>25022</v>
      </c>
      <c r="E1013">
        <v>3107</v>
      </c>
      <c r="F1013" t="s">
        <v>18024</v>
      </c>
      <c r="G1013" t="s">
        <v>62</v>
      </c>
      <c r="H1013">
        <v>3059550</v>
      </c>
      <c r="I1013">
        <v>3060188</v>
      </c>
      <c r="J1013" t="s">
        <v>18025</v>
      </c>
      <c r="K1013">
        <v>213</v>
      </c>
      <c r="L1013" t="s">
        <v>125</v>
      </c>
      <c r="M1013">
        <v>48</v>
      </c>
      <c r="N1013" t="str">
        <f>HYPERLINK("Gene3107-zp_tree_all.dnd", "Gene3107-tree")</f>
        <v>Gene3107-tree</v>
      </c>
      <c r="O1013">
        <v>12</v>
      </c>
      <c r="P1013">
        <v>4</v>
      </c>
      <c r="Q1013">
        <v>12</v>
      </c>
      <c r="R1013">
        <v>4</v>
      </c>
      <c r="S1013">
        <v>0.25</v>
      </c>
      <c r="T1013" t="s">
        <v>109</v>
      </c>
      <c r="U1013" t="s">
        <v>61</v>
      </c>
      <c r="V1013" t="s">
        <v>62</v>
      </c>
      <c r="W1013" t="s">
        <v>62</v>
      </c>
      <c r="X1013">
        <v>0</v>
      </c>
      <c r="Y1013">
        <v>0</v>
      </c>
      <c r="Z1013">
        <v>8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4</v>
      </c>
      <c r="AK1013">
        <v>0</v>
      </c>
      <c r="AL1013">
        <v>12</v>
      </c>
      <c r="AM1013">
        <v>8</v>
      </c>
      <c r="AN1013">
        <v>19</v>
      </c>
      <c r="AO1013">
        <v>4</v>
      </c>
      <c r="AP1013">
        <v>40</v>
      </c>
      <c r="AQ1013">
        <v>4</v>
      </c>
      <c r="AR1013" t="s">
        <v>18026</v>
      </c>
      <c r="AS1013" t="s">
        <v>18027</v>
      </c>
      <c r="AT1013">
        <v>0.66600000000000004</v>
      </c>
      <c r="AU1013" t="s">
        <v>65</v>
      </c>
      <c r="AV1013">
        <v>59</v>
      </c>
      <c r="AW1013">
        <v>8</v>
      </c>
      <c r="AX1013" t="s">
        <v>18028</v>
      </c>
      <c r="AY1013">
        <v>0.1072</v>
      </c>
      <c r="AZ1013">
        <v>-8.4799999999999997E-3</v>
      </c>
      <c r="BA1013">
        <v>4.13E-3</v>
      </c>
      <c r="BB1013">
        <v>-2.1000000000000001E-4</v>
      </c>
      <c r="BC1013">
        <v>3.8510000000000003E-2</v>
      </c>
      <c r="BD1013">
        <v>1</v>
      </c>
      <c r="BE1013" t="s">
        <v>69</v>
      </c>
      <c r="BF1013">
        <v>-1.5109999999999999</v>
      </c>
      <c r="BG1013">
        <v>0.26</v>
      </c>
    </row>
    <row r="1014" spans="1:59">
      <c r="A1014">
        <v>0</v>
      </c>
      <c r="B1014">
        <v>2</v>
      </c>
      <c r="C1014">
        <v>0</v>
      </c>
      <c r="D1014" t="s">
        <v>25022</v>
      </c>
      <c r="E1014">
        <v>3619</v>
      </c>
      <c r="F1014" t="s">
        <v>21254</v>
      </c>
      <c r="G1014" t="s">
        <v>62</v>
      </c>
      <c r="H1014">
        <v>3587554</v>
      </c>
      <c r="I1014">
        <v>3588192</v>
      </c>
      <c r="J1014" t="s">
        <v>21255</v>
      </c>
      <c r="K1014">
        <v>213</v>
      </c>
      <c r="L1014" t="s">
        <v>108</v>
      </c>
      <c r="M1014">
        <v>44</v>
      </c>
      <c r="N1014" t="str">
        <f>HYPERLINK("Gene3619-zp_tree_all.dnd", "Gene3619-tree")</f>
        <v>Gene3619-tree</v>
      </c>
      <c r="O1014">
        <v>10</v>
      </c>
      <c r="P1014">
        <v>3</v>
      </c>
      <c r="Q1014">
        <v>10</v>
      </c>
      <c r="R1014">
        <v>3</v>
      </c>
      <c r="S1014">
        <v>0.23077</v>
      </c>
      <c r="T1014" t="s">
        <v>117</v>
      </c>
      <c r="U1014" t="s">
        <v>324</v>
      </c>
      <c r="V1014" t="s">
        <v>62</v>
      </c>
      <c r="W1014" t="s">
        <v>62</v>
      </c>
      <c r="X1014">
        <v>1</v>
      </c>
      <c r="Y1014">
        <v>2</v>
      </c>
      <c r="Z1014">
        <v>2</v>
      </c>
      <c r="AA1014">
        <v>0.5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</v>
      </c>
      <c r="AH1014">
        <v>0</v>
      </c>
      <c r="AI1014">
        <v>2</v>
      </c>
      <c r="AJ1014">
        <v>2</v>
      </c>
      <c r="AK1014">
        <v>0.5</v>
      </c>
      <c r="AL1014">
        <v>10</v>
      </c>
      <c r="AM1014">
        <v>6</v>
      </c>
      <c r="AN1014">
        <v>16</v>
      </c>
      <c r="AO1014">
        <v>4</v>
      </c>
      <c r="AP1014">
        <v>12</v>
      </c>
      <c r="AQ1014">
        <v>0</v>
      </c>
      <c r="AR1014" t="s">
        <v>21256</v>
      </c>
      <c r="AS1014" t="s">
        <v>193</v>
      </c>
      <c r="AT1014">
        <v>0.97499999999999998</v>
      </c>
      <c r="AU1014" t="s">
        <v>65</v>
      </c>
      <c r="AV1014">
        <v>28</v>
      </c>
      <c r="AW1014">
        <v>4</v>
      </c>
      <c r="AX1014" t="s">
        <v>2245</v>
      </c>
      <c r="AY1014">
        <v>4.181E-2</v>
      </c>
      <c r="AZ1014">
        <v>-1.98E-3</v>
      </c>
      <c r="BA1014">
        <v>1.2099999999999999E-3</v>
      </c>
      <c r="BB1014">
        <v>-1.8000000000000001E-4</v>
      </c>
      <c r="BC1014">
        <v>2.896E-2</v>
      </c>
      <c r="BD1014">
        <v>1</v>
      </c>
      <c r="BE1014" t="s">
        <v>69</v>
      </c>
      <c r="BF1014">
        <v>-0.45200000000000001</v>
      </c>
      <c r="BG1014">
        <v>-0.65400000000000003</v>
      </c>
    </row>
    <row r="1015" spans="1:59">
      <c r="A1015">
        <v>0</v>
      </c>
      <c r="B1015">
        <v>8</v>
      </c>
      <c r="C1015">
        <v>4</v>
      </c>
      <c r="D1015" t="s">
        <v>25022</v>
      </c>
      <c r="E1015">
        <v>1061</v>
      </c>
      <c r="F1015" t="s">
        <v>6660</v>
      </c>
      <c r="G1015" t="s">
        <v>57</v>
      </c>
      <c r="H1015">
        <v>1100219</v>
      </c>
      <c r="I1015">
        <v>1100860</v>
      </c>
      <c r="J1015" t="s">
        <v>6661</v>
      </c>
      <c r="K1015">
        <v>214</v>
      </c>
      <c r="L1015" t="s">
        <v>108</v>
      </c>
      <c r="M1015">
        <v>44</v>
      </c>
      <c r="N1015" t="str">
        <f>HYPERLINK("Gene1061-zp_tree_all.dnd", "Gene1061-tree")</f>
        <v>Gene1061-tree</v>
      </c>
      <c r="O1015">
        <v>4</v>
      </c>
      <c r="P1015">
        <v>10</v>
      </c>
      <c r="Q1015">
        <v>4</v>
      </c>
      <c r="R1015">
        <v>10</v>
      </c>
      <c r="S1015">
        <v>0.71428999999999998</v>
      </c>
      <c r="T1015" t="s">
        <v>61</v>
      </c>
      <c r="U1015" t="s">
        <v>117</v>
      </c>
      <c r="V1015" t="s">
        <v>62</v>
      </c>
      <c r="W1015" t="s">
        <v>62</v>
      </c>
      <c r="X1015">
        <v>6</v>
      </c>
      <c r="Y1015">
        <v>12</v>
      </c>
      <c r="Z1015">
        <v>7</v>
      </c>
      <c r="AA1015">
        <v>0.63158000000000003</v>
      </c>
      <c r="AB1015">
        <v>0</v>
      </c>
      <c r="AC1015">
        <v>0</v>
      </c>
      <c r="AD1015">
        <v>0</v>
      </c>
      <c r="AE1015">
        <v>3</v>
      </c>
      <c r="AF1015">
        <v>0</v>
      </c>
      <c r="AG1015">
        <v>6</v>
      </c>
      <c r="AH1015">
        <v>2</v>
      </c>
      <c r="AI1015">
        <v>8</v>
      </c>
      <c r="AJ1015">
        <v>6</v>
      </c>
      <c r="AK1015">
        <v>0.57142999999999999</v>
      </c>
      <c r="AL1015">
        <v>10</v>
      </c>
      <c r="AM1015">
        <v>8</v>
      </c>
      <c r="AN1015">
        <v>19</v>
      </c>
      <c r="AO1015">
        <v>13</v>
      </c>
      <c r="AP1015">
        <v>13</v>
      </c>
      <c r="AQ1015">
        <v>6</v>
      </c>
      <c r="AR1015" t="s">
        <v>6662</v>
      </c>
      <c r="AS1015" t="s">
        <v>6663</v>
      </c>
      <c r="AT1015">
        <v>0.61899999999999999</v>
      </c>
      <c r="AU1015" t="s">
        <v>65</v>
      </c>
      <c r="AV1015">
        <v>32</v>
      </c>
      <c r="AW1015">
        <v>19</v>
      </c>
      <c r="AX1015" t="s">
        <v>6664</v>
      </c>
      <c r="AY1015">
        <v>3.9579999999999997E-2</v>
      </c>
      <c r="AZ1015">
        <v>-1.9400000000000001E-3</v>
      </c>
      <c r="BA1015">
        <v>7.0800000000000004E-3</v>
      </c>
      <c r="BB1015">
        <v>-3.2000000000000003E-4</v>
      </c>
      <c r="BC1015">
        <v>0.17899000000000001</v>
      </c>
      <c r="BD1015">
        <v>1</v>
      </c>
      <c r="BE1015" t="s">
        <v>69</v>
      </c>
      <c r="BF1015">
        <v>-1.1359999999999999</v>
      </c>
      <c r="BG1015">
        <v>-1.214</v>
      </c>
    </row>
    <row r="1016" spans="1:59">
      <c r="A1016">
        <v>0</v>
      </c>
      <c r="B1016">
        <v>0</v>
      </c>
      <c r="C1016">
        <v>2</v>
      </c>
      <c r="D1016" t="s">
        <v>25022</v>
      </c>
      <c r="E1016">
        <v>1641</v>
      </c>
      <c r="F1016" t="s">
        <v>10286</v>
      </c>
      <c r="G1016" t="s">
        <v>57</v>
      </c>
      <c r="H1016">
        <v>1654730</v>
      </c>
      <c r="I1016">
        <v>1655371</v>
      </c>
      <c r="J1016" t="s">
        <v>10287</v>
      </c>
      <c r="K1016">
        <v>214</v>
      </c>
      <c r="L1016" t="s">
        <v>160</v>
      </c>
      <c r="M1016">
        <v>45</v>
      </c>
      <c r="N1016" t="str">
        <f>HYPERLINK("Gene1641-zp_tree_all.dnd", "Gene1641-tree")</f>
        <v>Gene1641-tree</v>
      </c>
      <c r="O1016">
        <v>2</v>
      </c>
      <c r="P1016">
        <v>30</v>
      </c>
      <c r="Q1016">
        <v>2</v>
      </c>
      <c r="R1016">
        <v>7</v>
      </c>
      <c r="S1016">
        <v>0.77778000000000003</v>
      </c>
      <c r="T1016" t="s">
        <v>81</v>
      </c>
      <c r="U1016" t="s">
        <v>5684</v>
      </c>
      <c r="V1016">
        <v>1.31</v>
      </c>
      <c r="W1016" t="s">
        <v>65</v>
      </c>
      <c r="X1016">
        <v>1</v>
      </c>
      <c r="Y1016">
        <v>2</v>
      </c>
      <c r="Z1016">
        <v>12</v>
      </c>
      <c r="AA1016">
        <v>0.14285999999999999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2</v>
      </c>
      <c r="AI1016">
        <v>2</v>
      </c>
      <c r="AJ1016">
        <v>12</v>
      </c>
      <c r="AK1016">
        <v>0.14285999999999999</v>
      </c>
      <c r="AL1016">
        <v>7</v>
      </c>
      <c r="AM1016">
        <v>3</v>
      </c>
      <c r="AN1016">
        <v>23</v>
      </c>
      <c r="AO1016">
        <v>14</v>
      </c>
      <c r="AP1016">
        <v>5</v>
      </c>
      <c r="AQ1016">
        <v>1</v>
      </c>
      <c r="AR1016" t="s">
        <v>10288</v>
      </c>
      <c r="AS1016" t="s">
        <v>10289</v>
      </c>
      <c r="AT1016">
        <v>0.23699999999999999</v>
      </c>
      <c r="AU1016" t="s">
        <v>65</v>
      </c>
      <c r="AV1016">
        <v>28</v>
      </c>
      <c r="AW1016">
        <v>15</v>
      </c>
      <c r="AX1016" t="s">
        <v>10290</v>
      </c>
      <c r="AY1016">
        <v>5.3510000000000002E-2</v>
      </c>
      <c r="AZ1016">
        <v>-1.115E-2</v>
      </c>
      <c r="BA1016">
        <v>7.11E-3</v>
      </c>
      <c r="BB1016">
        <v>-1.1900000000000001E-3</v>
      </c>
      <c r="BC1016">
        <v>0.13292000000000001</v>
      </c>
      <c r="BD1016">
        <v>1</v>
      </c>
      <c r="BE1016" t="s">
        <v>69</v>
      </c>
      <c r="BF1016">
        <v>-2.254</v>
      </c>
      <c r="BG1016">
        <v>-4.8810000000000002</v>
      </c>
    </row>
    <row r="1017" spans="1:59">
      <c r="A1017">
        <v>0</v>
      </c>
      <c r="B1017">
        <v>3</v>
      </c>
      <c r="C1017">
        <v>0</v>
      </c>
      <c r="D1017" t="s">
        <v>25022</v>
      </c>
      <c r="E1017">
        <v>757</v>
      </c>
      <c r="F1017" t="s">
        <v>4699</v>
      </c>
      <c r="G1017" t="s">
        <v>57</v>
      </c>
      <c r="H1017">
        <v>787992</v>
      </c>
      <c r="I1017">
        <v>788633</v>
      </c>
      <c r="J1017" t="s">
        <v>4700</v>
      </c>
      <c r="K1017">
        <v>214</v>
      </c>
      <c r="L1017" t="s">
        <v>3401</v>
      </c>
      <c r="M1017">
        <v>42</v>
      </c>
      <c r="N1017" t="str">
        <f>HYPERLINK("Gene757-zp_tree_all.dnd", "Gene757-tree")</f>
        <v>Gene757-tree</v>
      </c>
      <c r="O1017">
        <v>7</v>
      </c>
      <c r="P1017">
        <v>7</v>
      </c>
      <c r="Q1017">
        <v>7</v>
      </c>
      <c r="R1017">
        <v>7</v>
      </c>
      <c r="S1017">
        <v>0.5</v>
      </c>
      <c r="T1017" t="s">
        <v>152</v>
      </c>
      <c r="U1017" t="s">
        <v>152</v>
      </c>
      <c r="V1017" t="s">
        <v>62</v>
      </c>
      <c r="W1017" t="s">
        <v>62</v>
      </c>
      <c r="X1017">
        <v>1</v>
      </c>
      <c r="Y1017">
        <v>3</v>
      </c>
      <c r="Z1017">
        <v>6</v>
      </c>
      <c r="AA1017">
        <v>0.33333000000000002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</v>
      </c>
      <c r="AH1017">
        <v>0</v>
      </c>
      <c r="AI1017">
        <v>3</v>
      </c>
      <c r="AJ1017">
        <v>4</v>
      </c>
      <c r="AK1017">
        <v>0.42857000000000001</v>
      </c>
      <c r="AL1017">
        <v>11</v>
      </c>
      <c r="AM1017">
        <v>10</v>
      </c>
      <c r="AN1017">
        <v>24</v>
      </c>
      <c r="AO1017">
        <v>6</v>
      </c>
      <c r="AP1017">
        <v>19</v>
      </c>
      <c r="AQ1017">
        <v>3</v>
      </c>
      <c r="AR1017" t="s">
        <v>4701</v>
      </c>
      <c r="AS1017" t="s">
        <v>4702</v>
      </c>
      <c r="AT1017">
        <v>0.51800000000000002</v>
      </c>
      <c r="AU1017" t="s">
        <v>65</v>
      </c>
      <c r="AV1017">
        <v>43</v>
      </c>
      <c r="AW1017">
        <v>9</v>
      </c>
      <c r="AX1017" t="s">
        <v>4703</v>
      </c>
      <c r="AY1017">
        <v>5.493E-2</v>
      </c>
      <c r="AZ1017">
        <v>-2.2399999999999998E-3</v>
      </c>
      <c r="BA1017">
        <v>3.5400000000000002E-3</v>
      </c>
      <c r="BB1017">
        <v>-2.2000000000000001E-4</v>
      </c>
      <c r="BC1017">
        <v>6.4390000000000003E-2</v>
      </c>
      <c r="BD1017">
        <v>1</v>
      </c>
      <c r="BE1017" t="s">
        <v>69</v>
      </c>
      <c r="BF1017">
        <v>-0.40699999999999997</v>
      </c>
      <c r="BG1017">
        <v>-1.1100000000000001</v>
      </c>
    </row>
    <row r="1018" spans="1:59">
      <c r="A1018">
        <v>0</v>
      </c>
      <c r="B1018">
        <v>0</v>
      </c>
      <c r="C1018">
        <v>0</v>
      </c>
      <c r="D1018" t="s">
        <v>25022</v>
      </c>
      <c r="E1018">
        <v>3287</v>
      </c>
      <c r="F1018" t="s">
        <v>19185</v>
      </c>
      <c r="G1018" t="s">
        <v>62</v>
      </c>
      <c r="H1018">
        <v>3252807</v>
      </c>
      <c r="I1018">
        <v>3253448</v>
      </c>
      <c r="J1018" t="s">
        <v>19186</v>
      </c>
      <c r="K1018">
        <v>214</v>
      </c>
      <c r="L1018" t="s">
        <v>59</v>
      </c>
      <c r="M1018">
        <v>49</v>
      </c>
      <c r="N1018" t="str">
        <f>HYPERLINK("Gene3287-zp_tree_all.dnd", "Gene3287-tree")</f>
        <v>Gene3287-tree</v>
      </c>
      <c r="O1018">
        <v>16</v>
      </c>
      <c r="P1018">
        <v>3</v>
      </c>
      <c r="Q1018">
        <v>16</v>
      </c>
      <c r="R1018">
        <v>3</v>
      </c>
      <c r="S1018">
        <v>0.15789</v>
      </c>
      <c r="T1018" t="s">
        <v>60</v>
      </c>
      <c r="U1018" t="s">
        <v>324</v>
      </c>
      <c r="V1018" t="s">
        <v>62</v>
      </c>
      <c r="W1018" t="s">
        <v>62</v>
      </c>
      <c r="X1018">
        <v>0</v>
      </c>
      <c r="Y1018">
        <v>0</v>
      </c>
      <c r="Z1018">
        <v>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3</v>
      </c>
      <c r="AK1018">
        <v>0</v>
      </c>
      <c r="AL1018">
        <v>14</v>
      </c>
      <c r="AM1018">
        <v>11</v>
      </c>
      <c r="AN1018">
        <v>21</v>
      </c>
      <c r="AO1018">
        <v>3</v>
      </c>
      <c r="AP1018">
        <v>19</v>
      </c>
      <c r="AQ1018">
        <v>0</v>
      </c>
      <c r="AR1018" t="s">
        <v>19187</v>
      </c>
      <c r="AS1018" t="s">
        <v>193</v>
      </c>
      <c r="AT1018">
        <v>0.82099999999999995</v>
      </c>
      <c r="AU1018" t="s">
        <v>65</v>
      </c>
      <c r="AV1018">
        <v>40</v>
      </c>
      <c r="AW1018">
        <v>3</v>
      </c>
      <c r="AX1018" t="s">
        <v>19188</v>
      </c>
      <c r="AY1018">
        <v>5.3850000000000002E-2</v>
      </c>
      <c r="AZ1018">
        <v>-2.5999999999999999E-3</v>
      </c>
      <c r="BA1018">
        <v>6.4000000000000005E-4</v>
      </c>
      <c r="BB1018">
        <v>-8.0000000000000007E-5</v>
      </c>
      <c r="BC1018">
        <v>1.179E-2</v>
      </c>
      <c r="BD1018">
        <v>1</v>
      </c>
      <c r="BE1018" t="s">
        <v>69</v>
      </c>
      <c r="BF1018">
        <v>-1.556</v>
      </c>
      <c r="BG1018">
        <v>-1.97</v>
      </c>
    </row>
    <row r="1019" spans="1:59">
      <c r="A1019">
        <v>0</v>
      </c>
      <c r="B1019">
        <v>2</v>
      </c>
      <c r="C1019">
        <v>0</v>
      </c>
      <c r="D1019" t="s">
        <v>25022</v>
      </c>
      <c r="E1019">
        <v>2452</v>
      </c>
      <c r="F1019" t="s">
        <v>14279</v>
      </c>
      <c r="G1019" t="s">
        <v>62</v>
      </c>
      <c r="H1019">
        <v>2450406</v>
      </c>
      <c r="I1019">
        <v>2451047</v>
      </c>
      <c r="J1019" t="s">
        <v>14280</v>
      </c>
      <c r="K1019">
        <v>214</v>
      </c>
      <c r="L1019" t="s">
        <v>108</v>
      </c>
      <c r="M1019">
        <v>44</v>
      </c>
      <c r="N1019" t="str">
        <f>HYPERLINK("Gene2452-zp_tree_all.dnd", "Gene2452-tree")</f>
        <v>Gene2452-tree</v>
      </c>
      <c r="O1019">
        <v>29</v>
      </c>
      <c r="P1019">
        <v>2</v>
      </c>
      <c r="Q1019">
        <v>11</v>
      </c>
      <c r="R1019">
        <v>2</v>
      </c>
      <c r="S1019">
        <v>0.15384999999999999</v>
      </c>
      <c r="T1019" t="s">
        <v>2086</v>
      </c>
      <c r="U1019" t="s">
        <v>81</v>
      </c>
      <c r="V1019" t="s">
        <v>62</v>
      </c>
      <c r="W1019" t="s">
        <v>62</v>
      </c>
      <c r="X1019">
        <v>1</v>
      </c>
      <c r="Y1019">
        <v>2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</v>
      </c>
      <c r="AH1019">
        <v>0</v>
      </c>
      <c r="AI1019">
        <v>2</v>
      </c>
      <c r="AJ1019">
        <v>0</v>
      </c>
      <c r="AK1019">
        <v>1</v>
      </c>
      <c r="AL1019">
        <v>11</v>
      </c>
      <c r="AM1019">
        <v>8</v>
      </c>
      <c r="AN1019">
        <v>33</v>
      </c>
      <c r="AO1019">
        <v>2</v>
      </c>
      <c r="AP1019">
        <v>13</v>
      </c>
      <c r="AQ1019">
        <v>0</v>
      </c>
      <c r="AR1019" t="s">
        <v>14281</v>
      </c>
      <c r="AS1019" t="s">
        <v>193</v>
      </c>
      <c r="AT1019">
        <v>0.47899999999999998</v>
      </c>
      <c r="AU1019" t="s">
        <v>65</v>
      </c>
      <c r="AV1019">
        <v>46</v>
      </c>
      <c r="AW1019">
        <v>2</v>
      </c>
      <c r="AX1019" t="s">
        <v>14282</v>
      </c>
      <c r="AY1019">
        <v>5.9060000000000001E-2</v>
      </c>
      <c r="AZ1019">
        <v>-4.9899999999999996E-3</v>
      </c>
      <c r="BA1019">
        <v>6.6E-4</v>
      </c>
      <c r="BB1019">
        <v>-1.2999999999999999E-4</v>
      </c>
      <c r="BC1019">
        <v>1.1089999999999999E-2</v>
      </c>
      <c r="BD1019">
        <v>1</v>
      </c>
      <c r="BE1019" t="s">
        <v>69</v>
      </c>
      <c r="BF1019">
        <v>-1.377</v>
      </c>
      <c r="BG1019">
        <v>-3.319</v>
      </c>
    </row>
    <row r="1020" spans="1:59">
      <c r="A1020">
        <v>0</v>
      </c>
      <c r="B1020">
        <v>7</v>
      </c>
      <c r="C1020">
        <v>3</v>
      </c>
      <c r="D1020" t="s">
        <v>25022</v>
      </c>
      <c r="E1020">
        <v>2359</v>
      </c>
      <c r="F1020" t="s">
        <v>13707</v>
      </c>
      <c r="G1020" t="s">
        <v>62</v>
      </c>
      <c r="H1020">
        <v>2373490</v>
      </c>
      <c r="I1020">
        <v>2374134</v>
      </c>
      <c r="J1020" t="s">
        <v>13708</v>
      </c>
      <c r="K1020">
        <v>215</v>
      </c>
      <c r="L1020" t="s">
        <v>13709</v>
      </c>
      <c r="M1020">
        <v>41</v>
      </c>
      <c r="N1020" t="str">
        <f>HYPERLINK("Gene2359-zp_tree_all.dnd", "Gene2359-tree")</f>
        <v>Gene2359-tree</v>
      </c>
      <c r="O1020">
        <v>5</v>
      </c>
      <c r="P1020">
        <v>9</v>
      </c>
      <c r="Q1020">
        <v>5</v>
      </c>
      <c r="R1020">
        <v>9</v>
      </c>
      <c r="S1020">
        <v>0.64285999999999999</v>
      </c>
      <c r="T1020" t="s">
        <v>199</v>
      </c>
      <c r="U1020" t="s">
        <v>135</v>
      </c>
      <c r="V1020" t="s">
        <v>62</v>
      </c>
      <c r="W1020" t="s">
        <v>62</v>
      </c>
      <c r="X1020">
        <v>4</v>
      </c>
      <c r="Y1020">
        <v>10</v>
      </c>
      <c r="Z1020">
        <v>15</v>
      </c>
      <c r="AA1020">
        <v>0.4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4</v>
      </c>
      <c r="AH1020">
        <v>2</v>
      </c>
      <c r="AI1020">
        <v>6</v>
      </c>
      <c r="AJ1020">
        <v>12</v>
      </c>
      <c r="AK1020">
        <v>0.33333000000000002</v>
      </c>
      <c r="AL1020">
        <v>12</v>
      </c>
      <c r="AM1020">
        <v>8</v>
      </c>
      <c r="AN1020">
        <v>17</v>
      </c>
      <c r="AO1020">
        <v>19</v>
      </c>
      <c r="AP1020">
        <v>8</v>
      </c>
      <c r="AQ1020">
        <v>7</v>
      </c>
      <c r="AR1020" t="s">
        <v>13710</v>
      </c>
      <c r="AS1020" t="s">
        <v>13711</v>
      </c>
      <c r="AT1020">
        <v>0.254</v>
      </c>
      <c r="AU1020" t="s">
        <v>65</v>
      </c>
      <c r="AV1020">
        <v>25</v>
      </c>
      <c r="AW1020">
        <v>26</v>
      </c>
      <c r="AX1020" t="s">
        <v>13712</v>
      </c>
      <c r="AY1020">
        <v>3.2629999999999999E-2</v>
      </c>
      <c r="AZ1020">
        <v>-1.9E-3</v>
      </c>
      <c r="BA1020">
        <v>1.0999999999999999E-2</v>
      </c>
      <c r="BB1020">
        <v>-5.9999999999999995E-4</v>
      </c>
      <c r="BC1020">
        <v>0.33722000000000002</v>
      </c>
      <c r="BD1020">
        <v>1</v>
      </c>
      <c r="BE1020" t="s">
        <v>69</v>
      </c>
      <c r="BF1020">
        <v>-1.123</v>
      </c>
      <c r="BG1020">
        <v>-2.5070000000000001</v>
      </c>
    </row>
    <row r="1021" spans="1:59">
      <c r="A1021">
        <v>0</v>
      </c>
      <c r="B1021">
        <v>2</v>
      </c>
      <c r="C1021">
        <v>4</v>
      </c>
      <c r="D1021" t="s">
        <v>25022</v>
      </c>
      <c r="E1021">
        <v>2422</v>
      </c>
      <c r="F1021" t="s">
        <v>14110</v>
      </c>
      <c r="G1021" t="s">
        <v>62</v>
      </c>
      <c r="H1021">
        <v>2429603</v>
      </c>
      <c r="I1021">
        <v>2430247</v>
      </c>
      <c r="J1021" t="s">
        <v>14111</v>
      </c>
      <c r="K1021">
        <v>215</v>
      </c>
      <c r="L1021" t="s">
        <v>59</v>
      </c>
      <c r="M1021">
        <v>49</v>
      </c>
      <c r="N1021" t="str">
        <f>HYPERLINK("Gene2422-zp_tree_all.dnd", "Gene2422-tree")</f>
        <v>Gene2422-tree</v>
      </c>
      <c r="O1021">
        <v>11</v>
      </c>
      <c r="P1021">
        <v>9</v>
      </c>
      <c r="Q1021">
        <v>11</v>
      </c>
      <c r="R1021">
        <v>9</v>
      </c>
      <c r="S1021">
        <v>0.45</v>
      </c>
      <c r="T1021" t="s">
        <v>73</v>
      </c>
      <c r="U1021" t="s">
        <v>135</v>
      </c>
      <c r="V1021" t="s">
        <v>62</v>
      </c>
      <c r="W1021" t="s">
        <v>62</v>
      </c>
      <c r="X1021">
        <v>3</v>
      </c>
      <c r="Y1021">
        <v>6</v>
      </c>
      <c r="Z1021">
        <v>13</v>
      </c>
      <c r="AA1021">
        <v>0.31579000000000002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</v>
      </c>
      <c r="AH1021">
        <v>4</v>
      </c>
      <c r="AI1021">
        <v>6</v>
      </c>
      <c r="AJ1021">
        <v>8</v>
      </c>
      <c r="AK1021">
        <v>0.42857000000000001</v>
      </c>
      <c r="AL1021">
        <v>15</v>
      </c>
      <c r="AM1021">
        <v>13</v>
      </c>
      <c r="AN1021">
        <v>26</v>
      </c>
      <c r="AO1021">
        <v>12</v>
      </c>
      <c r="AP1021">
        <v>50</v>
      </c>
      <c r="AQ1021">
        <v>7</v>
      </c>
      <c r="AR1021" t="s">
        <v>14112</v>
      </c>
      <c r="AS1021" t="s">
        <v>14113</v>
      </c>
      <c r="AT1021">
        <v>1.0620000000000001</v>
      </c>
      <c r="AU1021" t="s">
        <v>65</v>
      </c>
      <c r="AV1021">
        <v>76</v>
      </c>
      <c r="AW1021">
        <v>19</v>
      </c>
      <c r="AX1021" t="s">
        <v>14114</v>
      </c>
      <c r="AY1021">
        <v>0.12286999999999999</v>
      </c>
      <c r="AZ1021">
        <v>-6.4700000000000001E-3</v>
      </c>
      <c r="BA1021">
        <v>5.77E-3</v>
      </c>
      <c r="BB1021">
        <v>-2.9999999999999997E-4</v>
      </c>
      <c r="BC1021">
        <v>4.6949999999999999E-2</v>
      </c>
      <c r="BD1021">
        <v>1</v>
      </c>
      <c r="BE1021" t="s">
        <v>69</v>
      </c>
      <c r="BF1021">
        <v>-1.2549999999999999</v>
      </c>
      <c r="BG1021">
        <v>-0.57899999999999996</v>
      </c>
    </row>
    <row r="1022" spans="1:59">
      <c r="A1022">
        <v>0</v>
      </c>
      <c r="B1022">
        <v>0</v>
      </c>
      <c r="C1022">
        <v>0</v>
      </c>
      <c r="D1022" t="s">
        <v>25022</v>
      </c>
      <c r="E1022">
        <v>616</v>
      </c>
      <c r="F1022" t="s">
        <v>3965</v>
      </c>
      <c r="G1022" t="s">
        <v>57</v>
      </c>
      <c r="H1022">
        <v>647091</v>
      </c>
      <c r="I1022">
        <v>647735</v>
      </c>
      <c r="J1022" t="s">
        <v>3966</v>
      </c>
      <c r="K1022">
        <v>215</v>
      </c>
      <c r="L1022" t="s">
        <v>59</v>
      </c>
      <c r="M1022">
        <v>49</v>
      </c>
      <c r="N1022" t="str">
        <f>HYPERLINK("Gene616-zp_tree_all.dnd", "Gene616-tree")</f>
        <v>Gene616-tree</v>
      </c>
      <c r="O1022">
        <v>18</v>
      </c>
      <c r="P1022">
        <v>0</v>
      </c>
      <c r="Q1022">
        <v>18</v>
      </c>
      <c r="R1022">
        <v>0</v>
      </c>
      <c r="S1022">
        <v>0</v>
      </c>
      <c r="T1022" t="s">
        <v>144</v>
      </c>
      <c r="U1022" t="s">
        <v>62</v>
      </c>
      <c r="V1022" t="s">
        <v>62</v>
      </c>
      <c r="W1022" t="s">
        <v>62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13</v>
      </c>
      <c r="AM1022">
        <v>10</v>
      </c>
      <c r="AN1022">
        <v>26</v>
      </c>
      <c r="AO1022">
        <v>0</v>
      </c>
      <c r="AP1022">
        <v>20</v>
      </c>
      <c r="AQ1022">
        <v>1</v>
      </c>
      <c r="AR1022" t="s">
        <v>193</v>
      </c>
      <c r="AS1022" t="s">
        <v>3967</v>
      </c>
      <c r="AT1022">
        <v>0.32200000000000001</v>
      </c>
      <c r="AU1022" t="s">
        <v>65</v>
      </c>
      <c r="AV1022">
        <v>46</v>
      </c>
      <c r="AW1022">
        <v>1</v>
      </c>
      <c r="AX1022" t="s">
        <v>3968</v>
      </c>
      <c r="AY1022">
        <v>6.3409999999999994E-2</v>
      </c>
      <c r="AZ1022">
        <v>-3.48E-3</v>
      </c>
      <c r="BA1022">
        <v>8.5999999999999998E-4</v>
      </c>
      <c r="BB1022">
        <v>-8.0000000000000007E-5</v>
      </c>
      <c r="BC1022">
        <v>1.362E-2</v>
      </c>
      <c r="BD1022">
        <v>1</v>
      </c>
      <c r="BE1022" t="s">
        <v>69</v>
      </c>
      <c r="BF1022">
        <v>-1.399</v>
      </c>
      <c r="BG1022">
        <v>-1.8480000000000001</v>
      </c>
    </row>
    <row r="1023" spans="1:59">
      <c r="A1023">
        <v>0</v>
      </c>
      <c r="B1023">
        <v>10</v>
      </c>
      <c r="C1023">
        <v>3</v>
      </c>
      <c r="D1023" t="s">
        <v>25022</v>
      </c>
      <c r="E1023">
        <v>3551</v>
      </c>
      <c r="F1023" t="s">
        <v>20816</v>
      </c>
      <c r="G1023" t="s">
        <v>62</v>
      </c>
      <c r="H1023">
        <v>3516236</v>
      </c>
      <c r="I1023">
        <v>3516883</v>
      </c>
      <c r="J1023" t="s">
        <v>20817</v>
      </c>
      <c r="K1023">
        <v>216</v>
      </c>
      <c r="L1023" t="s">
        <v>108</v>
      </c>
      <c r="M1023">
        <v>44</v>
      </c>
      <c r="N1023" t="str">
        <f>HYPERLINK("Gene3551-zp_tree_all.dnd", "Gene3551-tree")</f>
        <v>Gene3551-tree</v>
      </c>
      <c r="O1023">
        <v>6</v>
      </c>
      <c r="P1023">
        <v>9</v>
      </c>
      <c r="Q1023">
        <v>6</v>
      </c>
      <c r="R1023">
        <v>9</v>
      </c>
      <c r="S1023">
        <v>0.6</v>
      </c>
      <c r="T1023" t="s">
        <v>90</v>
      </c>
      <c r="U1023" t="s">
        <v>135</v>
      </c>
      <c r="V1023" t="s">
        <v>62</v>
      </c>
      <c r="W1023" t="s">
        <v>62</v>
      </c>
      <c r="X1023">
        <v>6</v>
      </c>
      <c r="Y1023">
        <v>13</v>
      </c>
      <c r="Z1023">
        <v>12</v>
      </c>
      <c r="AA1023">
        <v>0.52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2</v>
      </c>
      <c r="AI1023">
        <v>2</v>
      </c>
      <c r="AJ1023">
        <v>15</v>
      </c>
      <c r="AK1023">
        <v>0.11765</v>
      </c>
      <c r="AL1023">
        <v>13</v>
      </c>
      <c r="AM1023">
        <v>10</v>
      </c>
      <c r="AN1023">
        <v>36</v>
      </c>
      <c r="AO1023">
        <v>17</v>
      </c>
      <c r="AP1023">
        <v>17</v>
      </c>
      <c r="AQ1023">
        <v>8</v>
      </c>
      <c r="AR1023" t="s">
        <v>20818</v>
      </c>
      <c r="AS1023" t="s">
        <v>20819</v>
      </c>
      <c r="AT1023">
        <v>7.0000000000000001E-3</v>
      </c>
      <c r="AU1023" t="s">
        <v>65</v>
      </c>
      <c r="AV1023">
        <v>53</v>
      </c>
      <c r="AW1023">
        <v>25</v>
      </c>
      <c r="AX1023" t="s">
        <v>20820</v>
      </c>
      <c r="AY1023">
        <v>4.8860000000000001E-2</v>
      </c>
      <c r="AZ1023">
        <v>-2.32E-3</v>
      </c>
      <c r="BA1023">
        <v>9.0299999999999998E-3</v>
      </c>
      <c r="BB1023">
        <v>-4.8000000000000001E-4</v>
      </c>
      <c r="BC1023">
        <v>0.18490000000000001</v>
      </c>
      <c r="BD1023">
        <v>1</v>
      </c>
      <c r="BE1023" t="s">
        <v>69</v>
      </c>
      <c r="BF1023">
        <v>-0.45700000000000002</v>
      </c>
      <c r="BG1023">
        <v>-2.1829999999999998</v>
      </c>
    </row>
    <row r="1024" spans="1:59">
      <c r="A1024">
        <v>0</v>
      </c>
      <c r="B1024">
        <v>3</v>
      </c>
      <c r="C1024">
        <v>0</v>
      </c>
      <c r="D1024" t="s">
        <v>25022</v>
      </c>
      <c r="E1024">
        <v>1617</v>
      </c>
      <c r="F1024" t="s">
        <v>10125</v>
      </c>
      <c r="G1024" t="s">
        <v>57</v>
      </c>
      <c r="H1024">
        <v>1629320</v>
      </c>
      <c r="I1024">
        <v>1629967</v>
      </c>
      <c r="J1024" t="s">
        <v>10126</v>
      </c>
      <c r="K1024">
        <v>216</v>
      </c>
      <c r="L1024" t="s">
        <v>108</v>
      </c>
      <c r="M1024">
        <v>44</v>
      </c>
      <c r="N1024" t="str">
        <f>HYPERLINK("Gene1617-zp_tree_all.dnd", "Gene1617-tree")</f>
        <v>Gene1617-tree</v>
      </c>
      <c r="O1024">
        <v>2</v>
      </c>
      <c r="P1024">
        <v>9</v>
      </c>
      <c r="Q1024">
        <v>2</v>
      </c>
      <c r="R1024">
        <v>9</v>
      </c>
      <c r="S1024">
        <v>0.81818000000000002</v>
      </c>
      <c r="T1024" t="s">
        <v>81</v>
      </c>
      <c r="U1024" t="s">
        <v>135</v>
      </c>
      <c r="V1024" t="s">
        <v>62</v>
      </c>
      <c r="W1024" t="s">
        <v>62</v>
      </c>
      <c r="X1024">
        <v>1</v>
      </c>
      <c r="Y1024">
        <v>3</v>
      </c>
      <c r="Z1024">
        <v>13</v>
      </c>
      <c r="AA1024">
        <v>0.1875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14</v>
      </c>
      <c r="AK1024">
        <v>0</v>
      </c>
      <c r="AL1024">
        <v>10</v>
      </c>
      <c r="AM1024">
        <v>6</v>
      </c>
      <c r="AN1024">
        <v>23</v>
      </c>
      <c r="AO1024">
        <v>15</v>
      </c>
      <c r="AP1024">
        <v>13</v>
      </c>
      <c r="AQ1024">
        <v>3</v>
      </c>
      <c r="AR1024" t="s">
        <v>10127</v>
      </c>
      <c r="AS1024" t="s">
        <v>10128</v>
      </c>
      <c r="AT1024">
        <v>1.3460000000000001</v>
      </c>
      <c r="AU1024" t="s">
        <v>65</v>
      </c>
      <c r="AV1024">
        <v>36</v>
      </c>
      <c r="AW1024">
        <v>18</v>
      </c>
      <c r="AX1024" t="s">
        <v>10129</v>
      </c>
      <c r="AY1024">
        <v>5.4699999999999999E-2</v>
      </c>
      <c r="AZ1024">
        <v>-2.5699999999999998E-3</v>
      </c>
      <c r="BA1024">
        <v>6.6899999999999998E-3</v>
      </c>
      <c r="BB1024">
        <v>-4.6999999999999999E-4</v>
      </c>
      <c r="BC1024">
        <v>0.12238</v>
      </c>
      <c r="BD1024">
        <v>1</v>
      </c>
      <c r="BE1024" t="s">
        <v>69</v>
      </c>
      <c r="BF1024">
        <v>-0.22</v>
      </c>
      <c r="BG1024">
        <v>-1.0509999999999999</v>
      </c>
    </row>
    <row r="1025" spans="1:59">
      <c r="A1025">
        <v>0</v>
      </c>
      <c r="B1025">
        <v>0</v>
      </c>
      <c r="C1025">
        <v>0</v>
      </c>
      <c r="D1025" t="s">
        <v>25022</v>
      </c>
      <c r="E1025">
        <v>2620</v>
      </c>
      <c r="F1025" t="s">
        <v>15347</v>
      </c>
      <c r="G1025" t="s">
        <v>62</v>
      </c>
      <c r="H1025">
        <v>2598619</v>
      </c>
      <c r="I1025">
        <v>2599266</v>
      </c>
      <c r="J1025" t="s">
        <v>15348</v>
      </c>
      <c r="K1025">
        <v>216</v>
      </c>
      <c r="L1025" t="s">
        <v>3143</v>
      </c>
      <c r="M1025">
        <v>41</v>
      </c>
      <c r="N1025" t="str">
        <f>HYPERLINK("Gene2620-zp_tree_all.dnd", "Gene2620-tree")</f>
        <v>Gene2620-tree</v>
      </c>
      <c r="O1025">
        <v>27</v>
      </c>
      <c r="P1025">
        <v>4</v>
      </c>
      <c r="Q1025">
        <v>9</v>
      </c>
      <c r="R1025">
        <v>4</v>
      </c>
      <c r="S1025">
        <v>0.30769000000000002</v>
      </c>
      <c r="T1025" t="s">
        <v>2108</v>
      </c>
      <c r="U1025" t="s">
        <v>61</v>
      </c>
      <c r="V1025" t="s">
        <v>62</v>
      </c>
      <c r="W1025" t="s">
        <v>62</v>
      </c>
      <c r="X1025">
        <v>0</v>
      </c>
      <c r="Y1025">
        <v>0</v>
      </c>
      <c r="Z1025">
        <v>7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4</v>
      </c>
      <c r="AK1025">
        <v>0</v>
      </c>
      <c r="AL1025">
        <v>11</v>
      </c>
      <c r="AM1025">
        <v>6</v>
      </c>
      <c r="AN1025">
        <v>18</v>
      </c>
      <c r="AO1025">
        <v>4</v>
      </c>
      <c r="AP1025">
        <v>10</v>
      </c>
      <c r="AQ1025">
        <v>3</v>
      </c>
      <c r="AR1025" t="s">
        <v>15349</v>
      </c>
      <c r="AS1025" t="s">
        <v>15350</v>
      </c>
      <c r="AT1025">
        <v>0.27700000000000002</v>
      </c>
      <c r="AU1025" t="s">
        <v>65</v>
      </c>
      <c r="AV1025">
        <v>28</v>
      </c>
      <c r="AW1025">
        <v>7</v>
      </c>
      <c r="AX1025" t="s">
        <v>15351</v>
      </c>
      <c r="AY1025">
        <v>3.9739999999999998E-2</v>
      </c>
      <c r="AZ1025">
        <v>-2.2899999999999999E-3</v>
      </c>
      <c r="BA1025">
        <v>3.49E-3</v>
      </c>
      <c r="BB1025">
        <v>-1.9000000000000001E-4</v>
      </c>
      <c r="BC1025">
        <v>8.7900000000000006E-2</v>
      </c>
      <c r="BD1025">
        <v>1</v>
      </c>
      <c r="BE1025" t="s">
        <v>69</v>
      </c>
      <c r="BF1025">
        <v>-0.92300000000000004</v>
      </c>
      <c r="BG1025">
        <v>-1.45</v>
      </c>
    </row>
    <row r="1026" spans="1:59">
      <c r="A1026">
        <v>0</v>
      </c>
      <c r="B1026">
        <v>5</v>
      </c>
      <c r="C1026">
        <v>0</v>
      </c>
      <c r="D1026" t="s">
        <v>25022</v>
      </c>
      <c r="E1026">
        <v>3624</v>
      </c>
      <c r="F1026" t="s">
        <v>21286</v>
      </c>
      <c r="G1026" t="s">
        <v>62</v>
      </c>
      <c r="H1026">
        <v>3591813</v>
      </c>
      <c r="I1026">
        <v>3592460</v>
      </c>
      <c r="J1026" t="s">
        <v>21287</v>
      </c>
      <c r="K1026">
        <v>216</v>
      </c>
      <c r="L1026" t="s">
        <v>108</v>
      </c>
      <c r="M1026">
        <v>44</v>
      </c>
      <c r="N1026" t="str">
        <f>HYPERLINK("Gene3624-zp_tree_all.dnd", "Gene3624-tree")</f>
        <v>Gene3624-tree</v>
      </c>
      <c r="O1026">
        <v>9</v>
      </c>
      <c r="P1026">
        <v>5</v>
      </c>
      <c r="Q1026">
        <v>9</v>
      </c>
      <c r="R1026">
        <v>5</v>
      </c>
      <c r="S1026">
        <v>0.35714000000000001</v>
      </c>
      <c r="T1026" t="s">
        <v>135</v>
      </c>
      <c r="U1026" t="s">
        <v>199</v>
      </c>
      <c r="V1026" t="s">
        <v>62</v>
      </c>
      <c r="W1026" t="s">
        <v>62</v>
      </c>
      <c r="X1026">
        <v>2</v>
      </c>
      <c r="Y1026">
        <v>5</v>
      </c>
      <c r="Z1026">
        <v>6</v>
      </c>
      <c r="AA1026">
        <v>0.45455000000000001</v>
      </c>
      <c r="AB1026">
        <v>0</v>
      </c>
      <c r="AC1026">
        <v>0</v>
      </c>
      <c r="AD1026">
        <v>0</v>
      </c>
      <c r="AE1026">
        <v>2</v>
      </c>
      <c r="AF1026">
        <v>0</v>
      </c>
      <c r="AG1026">
        <v>4</v>
      </c>
      <c r="AH1026">
        <v>0</v>
      </c>
      <c r="AI1026">
        <v>4</v>
      </c>
      <c r="AJ1026">
        <v>2</v>
      </c>
      <c r="AK1026">
        <v>0.66666999999999998</v>
      </c>
      <c r="AL1026">
        <v>9</v>
      </c>
      <c r="AM1026">
        <v>9</v>
      </c>
      <c r="AN1026">
        <v>32</v>
      </c>
      <c r="AO1026">
        <v>6</v>
      </c>
      <c r="AP1026">
        <v>14</v>
      </c>
      <c r="AQ1026">
        <v>5</v>
      </c>
      <c r="AR1026" t="s">
        <v>21288</v>
      </c>
      <c r="AS1026" t="s">
        <v>21289</v>
      </c>
      <c r="AT1026">
        <v>0.47899999999999998</v>
      </c>
      <c r="AU1026" t="s">
        <v>65</v>
      </c>
      <c r="AV1026">
        <v>46</v>
      </c>
      <c r="AW1026">
        <v>11</v>
      </c>
      <c r="AX1026" t="s">
        <v>21290</v>
      </c>
      <c r="AY1026">
        <v>5.7189999999999998E-2</v>
      </c>
      <c r="AZ1026">
        <v>-3.96E-3</v>
      </c>
      <c r="BA1026">
        <v>4.2700000000000004E-3</v>
      </c>
      <c r="BB1026">
        <v>-2.9E-4</v>
      </c>
      <c r="BC1026">
        <v>7.4649999999999994E-2</v>
      </c>
      <c r="BD1026">
        <v>1</v>
      </c>
      <c r="BE1026" t="s">
        <v>69</v>
      </c>
      <c r="BF1026">
        <v>-0.53400000000000003</v>
      </c>
      <c r="BG1026">
        <v>-1.484</v>
      </c>
    </row>
    <row r="1027" spans="1:59">
      <c r="A1027">
        <v>0</v>
      </c>
      <c r="B1027">
        <v>2</v>
      </c>
      <c r="C1027">
        <v>0</v>
      </c>
      <c r="D1027" t="s">
        <v>25022</v>
      </c>
      <c r="E1027">
        <v>4036</v>
      </c>
      <c r="F1027" t="s">
        <v>23762</v>
      </c>
      <c r="G1027" t="s">
        <v>62</v>
      </c>
      <c r="H1027">
        <v>4001332</v>
      </c>
      <c r="I1027">
        <v>4001979</v>
      </c>
      <c r="J1027" t="s">
        <v>23763</v>
      </c>
      <c r="K1027">
        <v>216</v>
      </c>
      <c r="L1027" t="s">
        <v>108</v>
      </c>
      <c r="M1027">
        <v>44</v>
      </c>
      <c r="N1027" t="str">
        <f>HYPERLINK("Gene4036-zp_tree_all.dnd", "Gene4036-tree")</f>
        <v>Gene4036-tree</v>
      </c>
      <c r="O1027">
        <v>9</v>
      </c>
      <c r="P1027">
        <v>4</v>
      </c>
      <c r="Q1027">
        <v>9</v>
      </c>
      <c r="R1027">
        <v>4</v>
      </c>
      <c r="S1027">
        <v>0.30769000000000002</v>
      </c>
      <c r="T1027" t="s">
        <v>135</v>
      </c>
      <c r="U1027" t="s">
        <v>61</v>
      </c>
      <c r="V1027" t="s">
        <v>62</v>
      </c>
      <c r="W1027" t="s">
        <v>62</v>
      </c>
      <c r="X1027">
        <v>1</v>
      </c>
      <c r="Y1027">
        <v>2</v>
      </c>
      <c r="Z1027">
        <v>5</v>
      </c>
      <c r="AA1027">
        <v>0.28571000000000002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</v>
      </c>
      <c r="AH1027">
        <v>0</v>
      </c>
      <c r="AI1027">
        <v>2</v>
      </c>
      <c r="AJ1027">
        <v>4</v>
      </c>
      <c r="AK1027">
        <v>0.33333000000000002</v>
      </c>
      <c r="AL1027">
        <v>10</v>
      </c>
      <c r="AM1027">
        <v>9</v>
      </c>
      <c r="AN1027">
        <v>16</v>
      </c>
      <c r="AO1027">
        <v>6</v>
      </c>
      <c r="AP1027">
        <v>14</v>
      </c>
      <c r="AQ1027">
        <v>1</v>
      </c>
      <c r="AR1027" t="s">
        <v>23764</v>
      </c>
      <c r="AS1027" t="s">
        <v>23765</v>
      </c>
      <c r="AT1027">
        <v>0.73599999999999999</v>
      </c>
      <c r="AU1027" t="s">
        <v>65</v>
      </c>
      <c r="AV1027">
        <v>30</v>
      </c>
      <c r="AW1027">
        <v>7</v>
      </c>
      <c r="AX1027" t="s">
        <v>23766</v>
      </c>
      <c r="AY1027">
        <v>3.9829999999999997E-2</v>
      </c>
      <c r="AZ1027">
        <v>-1.98E-3</v>
      </c>
      <c r="BA1027">
        <v>2.3700000000000001E-3</v>
      </c>
      <c r="BB1027">
        <v>-2.5000000000000001E-4</v>
      </c>
      <c r="BC1027">
        <v>5.9409999999999998E-2</v>
      </c>
      <c r="BD1027">
        <v>1</v>
      </c>
      <c r="BE1027" t="s">
        <v>69</v>
      </c>
      <c r="BF1027">
        <v>-0.45800000000000002</v>
      </c>
      <c r="BG1027">
        <v>3.3000000000000002E-2</v>
      </c>
    </row>
    <row r="1028" spans="1:59">
      <c r="A1028">
        <v>0</v>
      </c>
      <c r="B1028">
        <v>5</v>
      </c>
      <c r="C1028">
        <v>6</v>
      </c>
      <c r="D1028" t="s">
        <v>25022</v>
      </c>
      <c r="E1028">
        <v>2387</v>
      </c>
      <c r="F1028" t="s">
        <v>13890</v>
      </c>
      <c r="G1028" t="s">
        <v>62</v>
      </c>
      <c r="H1028">
        <v>2397022</v>
      </c>
      <c r="I1028">
        <v>2397672</v>
      </c>
      <c r="J1028" t="s">
        <v>13891</v>
      </c>
      <c r="K1028">
        <v>217</v>
      </c>
      <c r="L1028" t="s">
        <v>108</v>
      </c>
      <c r="M1028">
        <v>44</v>
      </c>
      <c r="N1028" t="str">
        <f>HYPERLINK("Gene2387-zp_tree_all.dnd", "Gene2387-tree")</f>
        <v>Gene2387-tree</v>
      </c>
      <c r="O1028">
        <v>3</v>
      </c>
      <c r="P1028">
        <v>11</v>
      </c>
      <c r="Q1028">
        <v>3</v>
      </c>
      <c r="R1028">
        <v>11</v>
      </c>
      <c r="S1028">
        <v>0.78571000000000002</v>
      </c>
      <c r="T1028" t="s">
        <v>324</v>
      </c>
      <c r="U1028" t="s">
        <v>73</v>
      </c>
      <c r="V1028">
        <v>305230034.74400002</v>
      </c>
      <c r="W1028" t="s">
        <v>267</v>
      </c>
      <c r="X1028">
        <v>5</v>
      </c>
      <c r="Y1028">
        <v>11</v>
      </c>
      <c r="Z1028">
        <v>12</v>
      </c>
      <c r="AA1028">
        <v>0.47826000000000002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</v>
      </c>
      <c r="AH1028">
        <v>4</v>
      </c>
      <c r="AI1028">
        <v>6</v>
      </c>
      <c r="AJ1028">
        <v>10</v>
      </c>
      <c r="AK1028">
        <v>0.375</v>
      </c>
      <c r="AL1028">
        <v>10</v>
      </c>
      <c r="AM1028">
        <v>9</v>
      </c>
      <c r="AN1028">
        <v>17</v>
      </c>
      <c r="AO1028">
        <v>12</v>
      </c>
      <c r="AP1028">
        <v>7</v>
      </c>
      <c r="AQ1028">
        <v>11</v>
      </c>
      <c r="AR1028" t="s">
        <v>13892</v>
      </c>
      <c r="AS1028" t="s">
        <v>13893</v>
      </c>
      <c r="AT1028">
        <v>0.69699999999999995</v>
      </c>
      <c r="AU1028" t="s">
        <v>65</v>
      </c>
      <c r="AV1028">
        <v>24</v>
      </c>
      <c r="AW1028">
        <v>23</v>
      </c>
      <c r="AX1028" t="s">
        <v>13894</v>
      </c>
      <c r="AY1028">
        <v>2.9610000000000001E-2</v>
      </c>
      <c r="AZ1028">
        <v>-1.9400000000000001E-3</v>
      </c>
      <c r="BA1028">
        <v>1.022E-2</v>
      </c>
      <c r="BB1028">
        <v>-5.1000000000000004E-4</v>
      </c>
      <c r="BC1028">
        <v>0.34501999999999999</v>
      </c>
      <c r="BD1028">
        <v>1</v>
      </c>
      <c r="BE1028" t="s">
        <v>69</v>
      </c>
      <c r="BF1028">
        <v>-0.92500000000000004</v>
      </c>
      <c r="BG1028">
        <v>-1.35</v>
      </c>
    </row>
    <row r="1029" spans="1:59">
      <c r="A1029">
        <v>0</v>
      </c>
      <c r="B1029">
        <v>2</v>
      </c>
      <c r="C1029">
        <v>0</v>
      </c>
      <c r="D1029" t="s">
        <v>25022</v>
      </c>
      <c r="E1029">
        <v>2056</v>
      </c>
      <c r="F1029" t="s">
        <v>12802</v>
      </c>
      <c r="G1029" t="s">
        <v>62</v>
      </c>
      <c r="H1029">
        <v>2143025</v>
      </c>
      <c r="I1029">
        <v>2143675</v>
      </c>
      <c r="J1029" t="s">
        <v>12803</v>
      </c>
      <c r="K1029">
        <v>217</v>
      </c>
      <c r="L1029" t="s">
        <v>108</v>
      </c>
      <c r="M1029">
        <v>44</v>
      </c>
      <c r="N1029" t="str">
        <f>HYPERLINK("Gene2056-zp_tree_all.dnd", "Gene2056-tree")</f>
        <v>Gene2056-tree</v>
      </c>
      <c r="O1029">
        <v>9</v>
      </c>
      <c r="P1029">
        <v>3</v>
      </c>
      <c r="Q1029">
        <v>9</v>
      </c>
      <c r="R1029">
        <v>3</v>
      </c>
      <c r="S1029">
        <v>0.25</v>
      </c>
      <c r="T1029" t="s">
        <v>135</v>
      </c>
      <c r="U1029" t="s">
        <v>324</v>
      </c>
      <c r="V1029" t="s">
        <v>62</v>
      </c>
      <c r="W1029" t="s">
        <v>62</v>
      </c>
      <c r="X1029">
        <v>1</v>
      </c>
      <c r="Y1029">
        <v>2</v>
      </c>
      <c r="Z1029">
        <v>3</v>
      </c>
      <c r="AA1029">
        <v>0.4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3</v>
      </c>
      <c r="AK1029">
        <v>0</v>
      </c>
      <c r="AL1029">
        <v>8</v>
      </c>
      <c r="AM1029">
        <v>7</v>
      </c>
      <c r="AN1029">
        <v>10</v>
      </c>
      <c r="AO1029">
        <v>3</v>
      </c>
      <c r="AP1029">
        <v>10</v>
      </c>
      <c r="AQ1029">
        <v>3</v>
      </c>
      <c r="AR1029" t="s">
        <v>12804</v>
      </c>
      <c r="AS1029" t="s">
        <v>12805</v>
      </c>
      <c r="AT1029">
        <v>3.0000000000000001E-3</v>
      </c>
      <c r="AU1029" t="s">
        <v>65</v>
      </c>
      <c r="AV1029">
        <v>20</v>
      </c>
      <c r="AW1029">
        <v>6</v>
      </c>
      <c r="AX1029" t="s">
        <v>12806</v>
      </c>
      <c r="AY1029">
        <v>3.1359999999999999E-2</v>
      </c>
      <c r="AZ1029">
        <v>-1.97E-3</v>
      </c>
      <c r="BA1029">
        <v>3.8999999999999998E-3</v>
      </c>
      <c r="BB1029">
        <v>-2.9999999999999997E-4</v>
      </c>
      <c r="BC1029">
        <v>0.12427000000000001</v>
      </c>
      <c r="BD1029">
        <v>1</v>
      </c>
      <c r="BE1029" t="s">
        <v>69</v>
      </c>
      <c r="BF1029">
        <v>-0.28399999999999997</v>
      </c>
      <c r="BG1029">
        <v>-0.36299999999999999</v>
      </c>
    </row>
    <row r="1030" spans="1:59">
      <c r="A1030">
        <v>0</v>
      </c>
      <c r="B1030">
        <v>4</v>
      </c>
      <c r="C1030">
        <v>0</v>
      </c>
      <c r="D1030" t="s">
        <v>25022</v>
      </c>
      <c r="E1030">
        <v>2848</v>
      </c>
      <c r="F1030" t="s">
        <v>16362</v>
      </c>
      <c r="G1030" t="s">
        <v>62</v>
      </c>
      <c r="H1030">
        <v>2795085</v>
      </c>
      <c r="I1030">
        <v>2795735</v>
      </c>
      <c r="J1030" t="s">
        <v>16363</v>
      </c>
      <c r="K1030">
        <v>217</v>
      </c>
      <c r="L1030" t="s">
        <v>59</v>
      </c>
      <c r="M1030">
        <v>49</v>
      </c>
      <c r="N1030" t="str">
        <f>HYPERLINK("Gene2848-zp_tree_all.dnd", "Gene2848-tree")</f>
        <v>Gene2848-tree</v>
      </c>
      <c r="O1030">
        <v>11</v>
      </c>
      <c r="P1030">
        <v>4</v>
      </c>
      <c r="Q1030">
        <v>11</v>
      </c>
      <c r="R1030">
        <v>4</v>
      </c>
      <c r="S1030">
        <v>0.26667000000000002</v>
      </c>
      <c r="T1030" t="s">
        <v>73</v>
      </c>
      <c r="U1030" t="s">
        <v>61</v>
      </c>
      <c r="V1030" t="s">
        <v>62</v>
      </c>
      <c r="W1030" t="s">
        <v>62</v>
      </c>
      <c r="X1030">
        <v>2</v>
      </c>
      <c r="Y1030">
        <v>4</v>
      </c>
      <c r="Z1030">
        <v>7</v>
      </c>
      <c r="AA1030">
        <v>0.36364000000000002</v>
      </c>
      <c r="AB1030">
        <v>0</v>
      </c>
      <c r="AC1030">
        <v>0</v>
      </c>
      <c r="AD1030">
        <v>0</v>
      </c>
      <c r="AE1030">
        <v>2</v>
      </c>
      <c r="AF1030">
        <v>0</v>
      </c>
      <c r="AG1030">
        <v>0</v>
      </c>
      <c r="AH1030">
        <v>0</v>
      </c>
      <c r="AI1030">
        <v>0</v>
      </c>
      <c r="AJ1030">
        <v>6</v>
      </c>
      <c r="AK1030">
        <v>0</v>
      </c>
      <c r="AL1030">
        <v>10</v>
      </c>
      <c r="AM1030">
        <v>8</v>
      </c>
      <c r="AN1030">
        <v>26</v>
      </c>
      <c r="AO1030">
        <v>6</v>
      </c>
      <c r="AP1030">
        <v>14</v>
      </c>
      <c r="AQ1030">
        <v>5</v>
      </c>
      <c r="AR1030" t="s">
        <v>16364</v>
      </c>
      <c r="AS1030" t="s">
        <v>16365</v>
      </c>
      <c r="AT1030">
        <v>0.42499999999999999</v>
      </c>
      <c r="AU1030" t="s">
        <v>65</v>
      </c>
      <c r="AV1030">
        <v>40</v>
      </c>
      <c r="AW1030">
        <v>11</v>
      </c>
      <c r="AX1030" t="s">
        <v>16366</v>
      </c>
      <c r="AY1030">
        <v>5.5100000000000003E-2</v>
      </c>
      <c r="AZ1030">
        <v>-2.6700000000000001E-3</v>
      </c>
      <c r="BA1030">
        <v>4.9800000000000001E-3</v>
      </c>
      <c r="BB1030">
        <v>-2.9E-4</v>
      </c>
      <c r="BC1030">
        <v>9.0340000000000004E-2</v>
      </c>
      <c r="BD1030">
        <v>1</v>
      </c>
      <c r="BE1030" t="s">
        <v>69</v>
      </c>
      <c r="BF1030">
        <v>-0.499</v>
      </c>
      <c r="BG1030">
        <v>-1.012</v>
      </c>
    </row>
    <row r="1031" spans="1:59">
      <c r="A1031">
        <v>0</v>
      </c>
      <c r="B1031">
        <v>2</v>
      </c>
      <c r="C1031">
        <v>0</v>
      </c>
      <c r="D1031" t="s">
        <v>25022</v>
      </c>
      <c r="E1031">
        <v>3499</v>
      </c>
      <c r="F1031" t="s">
        <v>20509</v>
      </c>
      <c r="G1031" t="s">
        <v>62</v>
      </c>
      <c r="H1031">
        <v>3461438</v>
      </c>
      <c r="I1031">
        <v>3462088</v>
      </c>
      <c r="J1031" t="s">
        <v>20495</v>
      </c>
      <c r="K1031">
        <v>217</v>
      </c>
      <c r="L1031" t="s">
        <v>108</v>
      </c>
      <c r="M1031">
        <v>44</v>
      </c>
      <c r="N1031" t="str">
        <f>HYPERLINK("Gene3499-zp_tree_all.dnd", "Gene3499-tree")</f>
        <v>Gene3499-tree</v>
      </c>
      <c r="O1031">
        <v>8</v>
      </c>
      <c r="P1031">
        <v>6</v>
      </c>
      <c r="Q1031">
        <v>8</v>
      </c>
      <c r="R1031">
        <v>6</v>
      </c>
      <c r="S1031">
        <v>0.42857000000000001</v>
      </c>
      <c r="T1031" t="s">
        <v>136</v>
      </c>
      <c r="U1031" t="s">
        <v>90</v>
      </c>
      <c r="V1031" t="s">
        <v>62</v>
      </c>
      <c r="W1031" t="s">
        <v>62</v>
      </c>
      <c r="X1031">
        <v>1</v>
      </c>
      <c r="Y1031">
        <v>2</v>
      </c>
      <c r="Z1031">
        <v>11</v>
      </c>
      <c r="AA1031">
        <v>0.15384999999999999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</v>
      </c>
      <c r="AH1031">
        <v>0</v>
      </c>
      <c r="AI1031">
        <v>2</v>
      </c>
      <c r="AJ1031">
        <v>11</v>
      </c>
      <c r="AK1031">
        <v>0.15384999999999999</v>
      </c>
      <c r="AL1031">
        <v>11</v>
      </c>
      <c r="AM1031">
        <v>9</v>
      </c>
      <c r="AN1031">
        <v>24</v>
      </c>
      <c r="AO1031">
        <v>13</v>
      </c>
      <c r="AP1031">
        <v>17</v>
      </c>
      <c r="AQ1031">
        <v>0</v>
      </c>
      <c r="AR1031" t="s">
        <v>20510</v>
      </c>
      <c r="AS1031" t="s">
        <v>193</v>
      </c>
      <c r="AT1031">
        <v>2.0459999999999998</v>
      </c>
      <c r="AU1031" t="s">
        <v>267</v>
      </c>
      <c r="AV1031">
        <v>41</v>
      </c>
      <c r="AW1031">
        <v>13</v>
      </c>
      <c r="AX1031" t="s">
        <v>20511</v>
      </c>
      <c r="AY1031">
        <v>4.718E-2</v>
      </c>
      <c r="AZ1031">
        <v>-1.92E-3</v>
      </c>
      <c r="BA1031">
        <v>3.8500000000000001E-3</v>
      </c>
      <c r="BB1031">
        <v>-3.6999999999999999E-4</v>
      </c>
      <c r="BC1031">
        <v>8.1659999999999996E-2</v>
      </c>
      <c r="BD1031">
        <v>1</v>
      </c>
      <c r="BE1031" t="s">
        <v>69</v>
      </c>
      <c r="BF1031">
        <v>-1.2709999999999999</v>
      </c>
      <c r="BG1031">
        <v>-2.032</v>
      </c>
    </row>
    <row r="1032" spans="1:59">
      <c r="A1032">
        <v>0</v>
      </c>
      <c r="B1032">
        <v>2</v>
      </c>
      <c r="C1032">
        <v>0</v>
      </c>
      <c r="D1032" t="s">
        <v>25022</v>
      </c>
      <c r="E1032">
        <v>1640</v>
      </c>
      <c r="F1032" t="s">
        <v>10279</v>
      </c>
      <c r="G1032" t="s">
        <v>57</v>
      </c>
      <c r="H1032">
        <v>1654004</v>
      </c>
      <c r="I1032">
        <v>1654654</v>
      </c>
      <c r="J1032" t="s">
        <v>10280</v>
      </c>
      <c r="K1032">
        <v>217</v>
      </c>
      <c r="L1032" t="s">
        <v>160</v>
      </c>
      <c r="M1032">
        <v>45</v>
      </c>
      <c r="N1032" t="str">
        <f>HYPERLINK("Gene1640-zp_tree_all.dnd", "Gene1640-tree")</f>
        <v>Gene1640-tree</v>
      </c>
      <c r="O1032">
        <v>29</v>
      </c>
      <c r="P1032">
        <v>4</v>
      </c>
      <c r="Q1032">
        <v>8</v>
      </c>
      <c r="R1032">
        <v>4</v>
      </c>
      <c r="S1032">
        <v>0.33333000000000002</v>
      </c>
      <c r="T1032" t="s">
        <v>4745</v>
      </c>
      <c r="U1032" t="s">
        <v>61</v>
      </c>
      <c r="V1032" t="s">
        <v>62</v>
      </c>
      <c r="W1032" t="s">
        <v>62</v>
      </c>
      <c r="X1032">
        <v>1</v>
      </c>
      <c r="Y1032">
        <v>2</v>
      </c>
      <c r="Z1032">
        <v>9</v>
      </c>
      <c r="AA1032">
        <v>0.18182000000000001</v>
      </c>
      <c r="AB1032">
        <v>0</v>
      </c>
      <c r="AC1032">
        <v>0</v>
      </c>
      <c r="AD1032">
        <v>0</v>
      </c>
      <c r="AE1032">
        <v>2</v>
      </c>
      <c r="AF1032">
        <v>0</v>
      </c>
      <c r="AG1032">
        <v>0</v>
      </c>
      <c r="AH1032">
        <v>0</v>
      </c>
      <c r="AI1032">
        <v>0</v>
      </c>
      <c r="AJ1032">
        <v>8</v>
      </c>
      <c r="AK1032">
        <v>0</v>
      </c>
      <c r="AL1032">
        <v>8</v>
      </c>
      <c r="AM1032">
        <v>8</v>
      </c>
      <c r="AN1032">
        <v>32</v>
      </c>
      <c r="AO1032">
        <v>8</v>
      </c>
      <c r="AP1032">
        <v>14</v>
      </c>
      <c r="AQ1032">
        <v>3</v>
      </c>
      <c r="AR1032" t="s">
        <v>10281</v>
      </c>
      <c r="AS1032" t="s">
        <v>10282</v>
      </c>
      <c r="AT1032">
        <v>4.1000000000000002E-2</v>
      </c>
      <c r="AU1032" t="s">
        <v>65</v>
      </c>
      <c r="AV1032">
        <v>46</v>
      </c>
      <c r="AW1032">
        <v>11</v>
      </c>
      <c r="AX1032" t="s">
        <v>10283</v>
      </c>
      <c r="AY1032">
        <v>6.1920000000000003E-2</v>
      </c>
      <c r="AZ1032">
        <v>-7.5900000000000004E-3</v>
      </c>
      <c r="BA1032">
        <v>4.1999999999999997E-3</v>
      </c>
      <c r="BB1032">
        <v>-4.6000000000000001E-4</v>
      </c>
      <c r="BC1032">
        <v>6.7879999999999996E-2</v>
      </c>
      <c r="BD1032">
        <v>1</v>
      </c>
      <c r="BE1032" t="s">
        <v>69</v>
      </c>
      <c r="BF1032">
        <v>-1.484</v>
      </c>
      <c r="BG1032">
        <v>-3.2970000000000002</v>
      </c>
    </row>
    <row r="1033" spans="1:59">
      <c r="A1033">
        <v>0</v>
      </c>
      <c r="B1033">
        <v>2</v>
      </c>
      <c r="C1033">
        <v>0</v>
      </c>
      <c r="D1033" t="s">
        <v>25022</v>
      </c>
      <c r="E1033">
        <v>137</v>
      </c>
      <c r="F1033" t="s">
        <v>989</v>
      </c>
      <c r="G1033" t="s">
        <v>57</v>
      </c>
      <c r="H1033">
        <v>145877</v>
      </c>
      <c r="I1033">
        <v>146527</v>
      </c>
      <c r="J1033" t="s">
        <v>990</v>
      </c>
      <c r="K1033">
        <v>217</v>
      </c>
      <c r="L1033" t="s">
        <v>59</v>
      </c>
      <c r="M1033">
        <v>49</v>
      </c>
      <c r="N1033" t="str">
        <f>HYPERLINK("Gene137-zp_tree_all.dnd", "Gene137-tree")</f>
        <v>Gene137-tree</v>
      </c>
      <c r="O1033">
        <v>9</v>
      </c>
      <c r="P1033">
        <v>4</v>
      </c>
      <c r="Q1033">
        <v>9</v>
      </c>
      <c r="R1033">
        <v>4</v>
      </c>
      <c r="S1033">
        <v>0.30769000000000002</v>
      </c>
      <c r="T1033" t="s">
        <v>135</v>
      </c>
      <c r="U1033" t="s">
        <v>61</v>
      </c>
      <c r="V1033" t="s">
        <v>62</v>
      </c>
      <c r="W1033" t="s">
        <v>62</v>
      </c>
      <c r="X1033">
        <v>1</v>
      </c>
      <c r="Y1033">
        <v>2</v>
      </c>
      <c r="Z1033">
        <v>4</v>
      </c>
      <c r="AA1033">
        <v>0.33333000000000002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4</v>
      </c>
      <c r="AK1033">
        <v>0</v>
      </c>
      <c r="AL1033">
        <v>9</v>
      </c>
      <c r="AM1033">
        <v>8</v>
      </c>
      <c r="AN1033">
        <v>9</v>
      </c>
      <c r="AO1033">
        <v>4</v>
      </c>
      <c r="AP1033">
        <v>14</v>
      </c>
      <c r="AQ1033">
        <v>2</v>
      </c>
      <c r="AR1033" t="s">
        <v>991</v>
      </c>
      <c r="AS1033" t="s">
        <v>992</v>
      </c>
      <c r="AT1033">
        <v>0.83599999999999997</v>
      </c>
      <c r="AU1033" t="s">
        <v>65</v>
      </c>
      <c r="AV1033">
        <v>23</v>
      </c>
      <c r="AW1033">
        <v>6</v>
      </c>
      <c r="AX1033" t="s">
        <v>993</v>
      </c>
      <c r="AY1033">
        <v>4.4690000000000001E-2</v>
      </c>
      <c r="AZ1033">
        <v>-2.6700000000000001E-3</v>
      </c>
      <c r="BA1033">
        <v>2.7699999999999999E-3</v>
      </c>
      <c r="BB1033">
        <v>-2.0000000000000001E-4</v>
      </c>
      <c r="BC1033">
        <v>6.1940000000000002E-2</v>
      </c>
      <c r="BD1033">
        <v>1</v>
      </c>
      <c r="BE1033" t="s">
        <v>69</v>
      </c>
      <c r="BF1033">
        <v>-0.59399999999999997</v>
      </c>
      <c r="BG1033">
        <v>-0.70199999999999996</v>
      </c>
    </row>
    <row r="1034" spans="1:59">
      <c r="A1034">
        <v>0</v>
      </c>
      <c r="B1034">
        <v>2</v>
      </c>
      <c r="C1034">
        <v>0</v>
      </c>
      <c r="D1034" t="s">
        <v>25022</v>
      </c>
      <c r="E1034">
        <v>1853</v>
      </c>
      <c r="F1034" t="s">
        <v>11605</v>
      </c>
      <c r="G1034" t="s">
        <v>57</v>
      </c>
      <c r="H1034">
        <v>1918742</v>
      </c>
      <c r="I1034">
        <v>1919392</v>
      </c>
      <c r="J1034" t="s">
        <v>11606</v>
      </c>
      <c r="K1034">
        <v>217</v>
      </c>
      <c r="L1034" t="s">
        <v>265</v>
      </c>
      <c r="M1034">
        <v>43</v>
      </c>
      <c r="N1034" t="str">
        <f>HYPERLINK("Gene1853-zp_tree_all.dnd", "Gene1853-tree")</f>
        <v>Gene1853-tree</v>
      </c>
      <c r="O1034">
        <v>8</v>
      </c>
      <c r="P1034">
        <v>4</v>
      </c>
      <c r="Q1034">
        <v>8</v>
      </c>
      <c r="R1034">
        <v>4</v>
      </c>
      <c r="S1034">
        <v>0.33333000000000002</v>
      </c>
      <c r="T1034" t="s">
        <v>136</v>
      </c>
      <c r="U1034" t="s">
        <v>61</v>
      </c>
      <c r="V1034" t="s">
        <v>62</v>
      </c>
      <c r="W1034" t="s">
        <v>62</v>
      </c>
      <c r="X1034">
        <v>1</v>
      </c>
      <c r="Y1034">
        <v>2</v>
      </c>
      <c r="Z1034">
        <v>6</v>
      </c>
      <c r="AA1034">
        <v>0.25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6</v>
      </c>
      <c r="AK1034">
        <v>0</v>
      </c>
      <c r="AL1034">
        <v>9</v>
      </c>
      <c r="AM1034">
        <v>7</v>
      </c>
      <c r="AN1034">
        <v>24</v>
      </c>
      <c r="AO1034">
        <v>6</v>
      </c>
      <c r="AP1034">
        <v>11</v>
      </c>
      <c r="AQ1034">
        <v>2</v>
      </c>
      <c r="AR1034" t="s">
        <v>11607</v>
      </c>
      <c r="AS1034" t="s">
        <v>11608</v>
      </c>
      <c r="AT1034">
        <v>0.26</v>
      </c>
      <c r="AU1034" t="s">
        <v>65</v>
      </c>
      <c r="AV1034">
        <v>35</v>
      </c>
      <c r="AW1034">
        <v>8</v>
      </c>
      <c r="AX1034" t="s">
        <v>11609</v>
      </c>
      <c r="AY1034">
        <v>5.4769999999999999E-2</v>
      </c>
      <c r="AZ1034">
        <v>-3.49E-3</v>
      </c>
      <c r="BA1034">
        <v>3.32E-3</v>
      </c>
      <c r="BB1034">
        <v>-2.5999999999999998E-4</v>
      </c>
      <c r="BC1034">
        <v>6.0560000000000003E-2</v>
      </c>
      <c r="BD1034">
        <v>1</v>
      </c>
      <c r="BE1034" t="s">
        <v>69</v>
      </c>
      <c r="BF1034">
        <v>-0.42899999999999999</v>
      </c>
      <c r="BG1034">
        <v>-1.45</v>
      </c>
    </row>
    <row r="1035" spans="1:59">
      <c r="A1035">
        <v>0</v>
      </c>
      <c r="B1035">
        <v>4</v>
      </c>
      <c r="C1035">
        <v>2</v>
      </c>
      <c r="D1035" t="s">
        <v>25022</v>
      </c>
      <c r="E1035">
        <v>744</v>
      </c>
      <c r="F1035" t="s">
        <v>4617</v>
      </c>
      <c r="G1035" t="s">
        <v>57</v>
      </c>
      <c r="H1035">
        <v>774138</v>
      </c>
      <c r="I1035">
        <v>774788</v>
      </c>
      <c r="J1035" t="s">
        <v>4583</v>
      </c>
      <c r="K1035">
        <v>217</v>
      </c>
      <c r="L1035" t="s">
        <v>4618</v>
      </c>
      <c r="M1035">
        <v>45</v>
      </c>
      <c r="N1035" t="str">
        <f>HYPERLINK("Gene744-zp_tree_all.dnd", "Gene744-tree")</f>
        <v>Gene744-tree</v>
      </c>
      <c r="O1035">
        <v>11</v>
      </c>
      <c r="P1035">
        <v>7</v>
      </c>
      <c r="Q1035">
        <v>11</v>
      </c>
      <c r="R1035">
        <v>7</v>
      </c>
      <c r="S1035">
        <v>0.38889000000000001</v>
      </c>
      <c r="T1035" t="s">
        <v>73</v>
      </c>
      <c r="U1035" t="s">
        <v>152</v>
      </c>
      <c r="V1035" t="s">
        <v>62</v>
      </c>
      <c r="W1035" t="s">
        <v>62</v>
      </c>
      <c r="X1035">
        <v>3</v>
      </c>
      <c r="Y1035">
        <v>6</v>
      </c>
      <c r="Z1035">
        <v>11</v>
      </c>
      <c r="AA1035">
        <v>0.35293999999999998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2</v>
      </c>
      <c r="AI1035">
        <v>2</v>
      </c>
      <c r="AJ1035">
        <v>10</v>
      </c>
      <c r="AK1035">
        <v>0.16667000000000001</v>
      </c>
      <c r="AL1035">
        <v>15</v>
      </c>
      <c r="AM1035">
        <v>14</v>
      </c>
      <c r="AN1035">
        <v>47</v>
      </c>
      <c r="AO1035">
        <v>12</v>
      </c>
      <c r="AP1035">
        <v>46</v>
      </c>
      <c r="AQ1035">
        <v>5</v>
      </c>
      <c r="AR1035" t="s">
        <v>4619</v>
      </c>
      <c r="AS1035" t="s">
        <v>4620</v>
      </c>
      <c r="AT1035">
        <v>0.59599999999999997</v>
      </c>
      <c r="AU1035" t="s">
        <v>65</v>
      </c>
      <c r="AV1035">
        <v>93</v>
      </c>
      <c r="AW1035">
        <v>17</v>
      </c>
      <c r="AX1035" t="s">
        <v>4621</v>
      </c>
      <c r="AY1035">
        <v>0.13164000000000001</v>
      </c>
      <c r="AZ1035">
        <v>-6.2399999999999999E-3</v>
      </c>
      <c r="BA1035">
        <v>5.4599999999999996E-3</v>
      </c>
      <c r="BB1035">
        <v>-3.2000000000000003E-4</v>
      </c>
      <c r="BC1035">
        <v>4.1480000000000003E-2</v>
      </c>
      <c r="BD1035">
        <v>1</v>
      </c>
      <c r="BE1035" t="s">
        <v>69</v>
      </c>
      <c r="BF1035">
        <v>-1.157</v>
      </c>
      <c r="BG1035">
        <v>-1.6639999999999999</v>
      </c>
    </row>
    <row r="1036" spans="1:59">
      <c r="A1036">
        <v>0</v>
      </c>
      <c r="B1036">
        <v>0</v>
      </c>
      <c r="C1036">
        <v>0</v>
      </c>
      <c r="D1036" t="s">
        <v>25022</v>
      </c>
      <c r="E1036">
        <v>93</v>
      </c>
      <c r="F1036" t="s">
        <v>733</v>
      </c>
      <c r="G1036" t="s">
        <v>57</v>
      </c>
      <c r="H1036">
        <v>112800</v>
      </c>
      <c r="I1036">
        <v>113450</v>
      </c>
      <c r="J1036" t="s">
        <v>734</v>
      </c>
      <c r="K1036">
        <v>217</v>
      </c>
      <c r="L1036" t="s">
        <v>59</v>
      </c>
      <c r="M1036">
        <v>49</v>
      </c>
      <c r="N1036" t="str">
        <f>HYPERLINK("Gene93-zp_tree_all.dnd", "Gene93-tree")</f>
        <v>Gene93-tree</v>
      </c>
      <c r="O1036">
        <v>15</v>
      </c>
      <c r="P1036">
        <v>3</v>
      </c>
      <c r="Q1036">
        <v>15</v>
      </c>
      <c r="R1036">
        <v>3</v>
      </c>
      <c r="S1036">
        <v>0.16667000000000001</v>
      </c>
      <c r="T1036" t="s">
        <v>100</v>
      </c>
      <c r="U1036" t="s">
        <v>324</v>
      </c>
      <c r="V1036" t="s">
        <v>62</v>
      </c>
      <c r="W1036" t="s">
        <v>62</v>
      </c>
      <c r="X1036">
        <v>0</v>
      </c>
      <c r="Y1036">
        <v>0</v>
      </c>
      <c r="Z1036">
        <v>5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3</v>
      </c>
      <c r="AK1036">
        <v>0</v>
      </c>
      <c r="AL1036">
        <v>13</v>
      </c>
      <c r="AM1036">
        <v>9</v>
      </c>
      <c r="AN1036">
        <v>28</v>
      </c>
      <c r="AO1036">
        <v>3</v>
      </c>
      <c r="AP1036">
        <v>24</v>
      </c>
      <c r="AQ1036">
        <v>2</v>
      </c>
      <c r="AR1036" t="s">
        <v>735</v>
      </c>
      <c r="AS1036" t="s">
        <v>736</v>
      </c>
      <c r="AT1036">
        <v>0.155</v>
      </c>
      <c r="AU1036" t="s">
        <v>65</v>
      </c>
      <c r="AV1036">
        <v>52</v>
      </c>
      <c r="AW1036">
        <v>5</v>
      </c>
      <c r="AX1036" t="s">
        <v>737</v>
      </c>
      <c r="AY1036">
        <v>6.1420000000000002E-2</v>
      </c>
      <c r="AZ1036">
        <v>-4.0800000000000003E-3</v>
      </c>
      <c r="BA1036">
        <v>1.5200000000000001E-3</v>
      </c>
      <c r="BB1036">
        <v>-1.1E-4</v>
      </c>
      <c r="BC1036">
        <v>2.4740000000000002E-2</v>
      </c>
      <c r="BD1036">
        <v>1</v>
      </c>
      <c r="BE1036" t="s">
        <v>69</v>
      </c>
      <c r="BF1036">
        <v>-1.3740000000000001</v>
      </c>
      <c r="BG1036">
        <v>-0.73899999999999999</v>
      </c>
    </row>
    <row r="1037" spans="1:59">
      <c r="A1037">
        <v>0</v>
      </c>
      <c r="B1037">
        <v>0</v>
      </c>
      <c r="C1037">
        <v>0</v>
      </c>
      <c r="D1037" t="s">
        <v>25022</v>
      </c>
      <c r="E1037">
        <v>3509</v>
      </c>
      <c r="F1037" t="s">
        <v>20542</v>
      </c>
      <c r="G1037" t="s">
        <v>62</v>
      </c>
      <c r="H1037">
        <v>3469187</v>
      </c>
      <c r="I1037">
        <v>3469837</v>
      </c>
      <c r="J1037" t="s">
        <v>20529</v>
      </c>
      <c r="K1037">
        <v>217</v>
      </c>
      <c r="L1037" t="s">
        <v>265</v>
      </c>
      <c r="M1037">
        <v>43</v>
      </c>
      <c r="N1037" t="str">
        <f>HYPERLINK("Gene3509-zp_tree_all.dnd", "Gene3509-tree")</f>
        <v>Gene3509-tree</v>
      </c>
      <c r="O1037">
        <v>11</v>
      </c>
      <c r="P1037">
        <v>3</v>
      </c>
      <c r="Q1037">
        <v>11</v>
      </c>
      <c r="R1037">
        <v>3</v>
      </c>
      <c r="S1037">
        <v>0.21429000000000001</v>
      </c>
      <c r="T1037" t="s">
        <v>73</v>
      </c>
      <c r="U1037" t="s">
        <v>324</v>
      </c>
      <c r="V1037" t="s">
        <v>62</v>
      </c>
      <c r="W1037" t="s">
        <v>62</v>
      </c>
      <c r="X1037">
        <v>0</v>
      </c>
      <c r="Y1037">
        <v>0</v>
      </c>
      <c r="Z1037">
        <v>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3</v>
      </c>
      <c r="AK1037">
        <v>0</v>
      </c>
      <c r="AL1037">
        <v>14</v>
      </c>
      <c r="AM1037">
        <v>9</v>
      </c>
      <c r="AN1037">
        <v>30</v>
      </c>
      <c r="AO1037">
        <v>3</v>
      </c>
      <c r="AP1037">
        <v>24</v>
      </c>
      <c r="AQ1037">
        <v>0</v>
      </c>
      <c r="AR1037" t="s">
        <v>20543</v>
      </c>
      <c r="AS1037" t="s">
        <v>193</v>
      </c>
      <c r="AT1037">
        <v>0.91200000000000003</v>
      </c>
      <c r="AU1037" t="s">
        <v>65</v>
      </c>
      <c r="AV1037">
        <v>54</v>
      </c>
      <c r="AW1037">
        <v>3</v>
      </c>
      <c r="AX1037" t="s">
        <v>20544</v>
      </c>
      <c r="AY1037">
        <v>5.9909999999999998E-2</v>
      </c>
      <c r="AZ1037">
        <v>-2.5500000000000002E-3</v>
      </c>
      <c r="BA1037">
        <v>8.8999999999999995E-4</v>
      </c>
      <c r="BB1037">
        <v>-1.1E-4</v>
      </c>
      <c r="BC1037">
        <v>1.494E-2</v>
      </c>
      <c r="BD1037">
        <v>1</v>
      </c>
      <c r="BE1037" t="s">
        <v>69</v>
      </c>
      <c r="BF1037">
        <v>-0.51400000000000001</v>
      </c>
      <c r="BG1037">
        <v>-0.218</v>
      </c>
    </row>
    <row r="1038" spans="1:59">
      <c r="A1038">
        <v>0</v>
      </c>
      <c r="B1038">
        <v>2</v>
      </c>
      <c r="C1038">
        <v>0</v>
      </c>
      <c r="D1038" t="s">
        <v>25022</v>
      </c>
      <c r="E1038">
        <v>2882</v>
      </c>
      <c r="F1038" t="s">
        <v>16580</v>
      </c>
      <c r="G1038" t="s">
        <v>62</v>
      </c>
      <c r="H1038">
        <v>2831127</v>
      </c>
      <c r="I1038">
        <v>2831780</v>
      </c>
      <c r="J1038" t="s">
        <v>288</v>
      </c>
      <c r="K1038">
        <v>218</v>
      </c>
      <c r="L1038" t="s">
        <v>108</v>
      </c>
      <c r="M1038">
        <v>44</v>
      </c>
      <c r="N1038" t="str">
        <f>HYPERLINK("Gene2882-zp_tree_all.dnd", "Gene2882-tree")</f>
        <v>Gene2882-tree</v>
      </c>
      <c r="O1038">
        <v>5</v>
      </c>
      <c r="P1038">
        <v>5</v>
      </c>
      <c r="Q1038">
        <v>5</v>
      </c>
      <c r="R1038">
        <v>5</v>
      </c>
      <c r="S1038">
        <v>0.5</v>
      </c>
      <c r="T1038" t="s">
        <v>199</v>
      </c>
      <c r="U1038" t="s">
        <v>199</v>
      </c>
      <c r="V1038" t="s">
        <v>62</v>
      </c>
      <c r="W1038" t="s">
        <v>62</v>
      </c>
      <c r="X1038">
        <v>1</v>
      </c>
      <c r="Y1038">
        <v>2</v>
      </c>
      <c r="Z1038">
        <v>11</v>
      </c>
      <c r="AA1038">
        <v>0.15384999999999999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5</v>
      </c>
      <c r="AK1038">
        <v>0</v>
      </c>
      <c r="AL1038">
        <v>7</v>
      </c>
      <c r="AM1038">
        <v>7</v>
      </c>
      <c r="AN1038">
        <v>12</v>
      </c>
      <c r="AO1038">
        <v>5</v>
      </c>
      <c r="AP1038">
        <v>15</v>
      </c>
      <c r="AQ1038">
        <v>8</v>
      </c>
      <c r="AR1038" t="s">
        <v>16581</v>
      </c>
      <c r="AS1038" t="s">
        <v>16582</v>
      </c>
      <c r="AT1038">
        <v>0.26400000000000001</v>
      </c>
      <c r="AU1038" t="s">
        <v>65</v>
      </c>
      <c r="AV1038">
        <v>27</v>
      </c>
      <c r="AW1038">
        <v>13</v>
      </c>
      <c r="AX1038" t="s">
        <v>16583</v>
      </c>
      <c r="AY1038">
        <v>5.7500000000000002E-2</v>
      </c>
      <c r="AZ1038">
        <v>-3.5599999999999998E-3</v>
      </c>
      <c r="BA1038">
        <v>9.0600000000000003E-3</v>
      </c>
      <c r="BB1038">
        <v>-7.2000000000000005E-4</v>
      </c>
      <c r="BC1038">
        <v>0.15758</v>
      </c>
      <c r="BD1038">
        <v>1</v>
      </c>
      <c r="BE1038" t="s">
        <v>69</v>
      </c>
      <c r="BF1038">
        <v>0.61399999999999999</v>
      </c>
      <c r="BG1038">
        <v>-0.115</v>
      </c>
    </row>
    <row r="1039" spans="1:59">
      <c r="A1039">
        <v>0</v>
      </c>
      <c r="B1039">
        <v>0</v>
      </c>
      <c r="C1039">
        <v>0</v>
      </c>
      <c r="D1039" t="s">
        <v>25022</v>
      </c>
      <c r="E1039">
        <v>3325</v>
      </c>
      <c r="F1039" t="s">
        <v>19415</v>
      </c>
      <c r="G1039" t="s">
        <v>62</v>
      </c>
      <c r="H1039">
        <v>3298587</v>
      </c>
      <c r="I1039">
        <v>3299240</v>
      </c>
      <c r="J1039" t="s">
        <v>19416</v>
      </c>
      <c r="K1039">
        <v>218</v>
      </c>
      <c r="L1039" t="s">
        <v>108</v>
      </c>
      <c r="M1039">
        <v>44</v>
      </c>
      <c r="N1039" t="str">
        <f>HYPERLINK("Gene3325-zp_tree_all.dnd", "Gene3325-tree")</f>
        <v>Gene3325-tree</v>
      </c>
      <c r="O1039">
        <v>10</v>
      </c>
      <c r="P1039">
        <v>4</v>
      </c>
      <c r="Q1039">
        <v>10</v>
      </c>
      <c r="R1039">
        <v>4</v>
      </c>
      <c r="S1039">
        <v>0.28571000000000002</v>
      </c>
      <c r="T1039" t="s">
        <v>117</v>
      </c>
      <c r="U1039" t="s">
        <v>61</v>
      </c>
      <c r="V1039" t="s">
        <v>62</v>
      </c>
      <c r="W1039" t="s">
        <v>62</v>
      </c>
      <c r="X1039">
        <v>0</v>
      </c>
      <c r="Y1039">
        <v>0</v>
      </c>
      <c r="Z1039">
        <v>7</v>
      </c>
      <c r="AA1039">
        <v>0</v>
      </c>
      <c r="AB1039">
        <v>0</v>
      </c>
      <c r="AC1039">
        <v>0</v>
      </c>
      <c r="AD1039">
        <v>0</v>
      </c>
      <c r="AE1039">
        <v>2</v>
      </c>
      <c r="AF1039">
        <v>0</v>
      </c>
      <c r="AG1039">
        <v>0</v>
      </c>
      <c r="AH1039">
        <v>0</v>
      </c>
      <c r="AI1039">
        <v>0</v>
      </c>
      <c r="AJ1039">
        <v>5</v>
      </c>
      <c r="AK1039">
        <v>0</v>
      </c>
      <c r="AL1039">
        <v>11</v>
      </c>
      <c r="AM1039">
        <v>3</v>
      </c>
      <c r="AN1039">
        <v>24</v>
      </c>
      <c r="AO1039">
        <v>5</v>
      </c>
      <c r="AP1039">
        <v>2</v>
      </c>
      <c r="AQ1039">
        <v>2</v>
      </c>
      <c r="AR1039" t="s">
        <v>19417</v>
      </c>
      <c r="AS1039" t="s">
        <v>19418</v>
      </c>
      <c r="AT1039">
        <v>0.54300000000000004</v>
      </c>
      <c r="AU1039" t="s">
        <v>65</v>
      </c>
      <c r="AV1039">
        <v>26</v>
      </c>
      <c r="AW1039">
        <v>7</v>
      </c>
      <c r="AX1039" t="s">
        <v>19419</v>
      </c>
      <c r="AY1039">
        <v>2.6419999999999999E-2</v>
      </c>
      <c r="AZ1039">
        <v>-3.0899999999999999E-3</v>
      </c>
      <c r="BA1039">
        <v>2.5000000000000001E-3</v>
      </c>
      <c r="BB1039">
        <v>-1.8000000000000001E-4</v>
      </c>
      <c r="BC1039">
        <v>9.4460000000000002E-2</v>
      </c>
      <c r="BD1039">
        <v>1</v>
      </c>
      <c r="BE1039" t="s">
        <v>69</v>
      </c>
      <c r="BF1039">
        <v>-1.764</v>
      </c>
      <c r="BG1039">
        <v>-2.68</v>
      </c>
    </row>
    <row r="1040" spans="1:59">
      <c r="A1040">
        <v>0</v>
      </c>
      <c r="B1040">
        <v>3</v>
      </c>
      <c r="C1040">
        <v>0</v>
      </c>
      <c r="D1040" t="s">
        <v>25022</v>
      </c>
      <c r="E1040">
        <v>2390</v>
      </c>
      <c r="F1040" t="s">
        <v>13911</v>
      </c>
      <c r="G1040" t="s">
        <v>62</v>
      </c>
      <c r="H1040">
        <v>2400211</v>
      </c>
      <c r="I1040">
        <v>2400864</v>
      </c>
      <c r="J1040" t="s">
        <v>13912</v>
      </c>
      <c r="K1040">
        <v>218</v>
      </c>
      <c r="L1040" t="s">
        <v>108</v>
      </c>
      <c r="M1040">
        <v>44</v>
      </c>
      <c r="N1040" t="str">
        <f>HYPERLINK("Gene2390-zp_tree_all.dnd", "Gene2390-tree")</f>
        <v>Gene2390-tree</v>
      </c>
      <c r="O1040">
        <v>8</v>
      </c>
      <c r="P1040">
        <v>2</v>
      </c>
      <c r="Q1040">
        <v>8</v>
      </c>
      <c r="R1040">
        <v>2</v>
      </c>
      <c r="S1040">
        <v>0.2</v>
      </c>
      <c r="T1040" t="s">
        <v>136</v>
      </c>
      <c r="U1040" t="s">
        <v>81</v>
      </c>
      <c r="V1040" t="s">
        <v>62</v>
      </c>
      <c r="W1040" t="s">
        <v>62</v>
      </c>
      <c r="X1040">
        <v>1</v>
      </c>
      <c r="Y1040">
        <v>3</v>
      </c>
      <c r="Z1040">
        <v>1</v>
      </c>
      <c r="AA1040">
        <v>0.75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</v>
      </c>
      <c r="AH1040">
        <v>0</v>
      </c>
      <c r="AI1040">
        <v>2</v>
      </c>
      <c r="AJ1040">
        <v>1</v>
      </c>
      <c r="AK1040">
        <v>0.66666999999999998</v>
      </c>
      <c r="AL1040">
        <v>7</v>
      </c>
      <c r="AM1040">
        <v>5</v>
      </c>
      <c r="AN1040">
        <v>11</v>
      </c>
      <c r="AO1040">
        <v>3</v>
      </c>
      <c r="AP1040">
        <v>4</v>
      </c>
      <c r="AQ1040">
        <v>1</v>
      </c>
      <c r="AR1040" t="s">
        <v>13913</v>
      </c>
      <c r="AS1040" t="s">
        <v>13914</v>
      </c>
      <c r="AT1040">
        <v>3.6999999999999998E-2</v>
      </c>
      <c r="AU1040" t="s">
        <v>65</v>
      </c>
      <c r="AV1040">
        <v>15</v>
      </c>
      <c r="AW1040">
        <v>4</v>
      </c>
      <c r="AX1040" t="s">
        <v>13915</v>
      </c>
      <c r="AY1040">
        <v>2.6339999999999999E-2</v>
      </c>
      <c r="AZ1040">
        <v>-2.2899999999999999E-3</v>
      </c>
      <c r="BA1040">
        <v>1.5100000000000001E-3</v>
      </c>
      <c r="BB1040">
        <v>-1.9000000000000001E-4</v>
      </c>
      <c r="BC1040">
        <v>5.7320000000000003E-2</v>
      </c>
      <c r="BD1040">
        <v>1</v>
      </c>
      <c r="BE1040" t="s">
        <v>69</v>
      </c>
      <c r="BF1040">
        <v>-0.48</v>
      </c>
      <c r="BG1040">
        <v>-1.3680000000000001</v>
      </c>
    </row>
    <row r="1041" spans="1:59">
      <c r="A1041">
        <v>0</v>
      </c>
      <c r="B1041">
        <v>0</v>
      </c>
      <c r="C1041">
        <v>0</v>
      </c>
      <c r="D1041" t="s">
        <v>25022</v>
      </c>
      <c r="E1041">
        <v>2538</v>
      </c>
      <c r="F1041" t="s">
        <v>14830</v>
      </c>
      <c r="G1041" t="s">
        <v>62</v>
      </c>
      <c r="H1041">
        <v>2532356</v>
      </c>
      <c r="I1041">
        <v>2533009</v>
      </c>
      <c r="J1041" t="s">
        <v>14831</v>
      </c>
      <c r="K1041">
        <v>218</v>
      </c>
      <c r="L1041" t="s">
        <v>2803</v>
      </c>
      <c r="M1041">
        <v>45</v>
      </c>
      <c r="N1041" t="str">
        <f>HYPERLINK("Gene2538-zp_tree_all.dnd", "Gene2538-tree")</f>
        <v>Gene2538-tree</v>
      </c>
      <c r="O1041">
        <v>9</v>
      </c>
      <c r="P1041">
        <v>4</v>
      </c>
      <c r="Q1041">
        <v>9</v>
      </c>
      <c r="R1041">
        <v>4</v>
      </c>
      <c r="S1041">
        <v>0.30769000000000002</v>
      </c>
      <c r="T1041" t="s">
        <v>135</v>
      </c>
      <c r="U1041" t="s">
        <v>61</v>
      </c>
      <c r="V1041" t="s">
        <v>62</v>
      </c>
      <c r="W1041" t="s">
        <v>62</v>
      </c>
      <c r="X1041">
        <v>0</v>
      </c>
      <c r="Y1041">
        <v>0</v>
      </c>
      <c r="Z1041">
        <v>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8</v>
      </c>
      <c r="AK1041">
        <v>0</v>
      </c>
      <c r="AL1041">
        <v>9</v>
      </c>
      <c r="AM1041">
        <v>6</v>
      </c>
      <c r="AN1041">
        <v>36</v>
      </c>
      <c r="AO1041">
        <v>8</v>
      </c>
      <c r="AP1041">
        <v>6</v>
      </c>
      <c r="AQ1041">
        <v>0</v>
      </c>
      <c r="AR1041" t="s">
        <v>14832</v>
      </c>
      <c r="AS1041" t="s">
        <v>193</v>
      </c>
      <c r="AT1041">
        <v>0.48099999999999998</v>
      </c>
      <c r="AU1041" t="s">
        <v>65</v>
      </c>
      <c r="AV1041">
        <v>42</v>
      </c>
      <c r="AW1041">
        <v>8</v>
      </c>
      <c r="AX1041" t="s">
        <v>14833</v>
      </c>
      <c r="AY1041">
        <v>5.731E-2</v>
      </c>
      <c r="AZ1041">
        <v>-8.3800000000000003E-3</v>
      </c>
      <c r="BA1041">
        <v>2.4499999999999999E-3</v>
      </c>
      <c r="BB1041">
        <v>-3.5E-4</v>
      </c>
      <c r="BC1041">
        <v>4.2709999999999998E-2</v>
      </c>
      <c r="BD1041">
        <v>1</v>
      </c>
      <c r="BE1041" t="s">
        <v>69</v>
      </c>
      <c r="BF1041">
        <v>-1.994</v>
      </c>
      <c r="BG1041">
        <v>-4.0419999999999998</v>
      </c>
    </row>
    <row r="1042" spans="1:59">
      <c r="A1042">
        <v>0</v>
      </c>
      <c r="B1042">
        <v>0</v>
      </c>
      <c r="C1042">
        <v>0</v>
      </c>
      <c r="D1042" t="s">
        <v>25022</v>
      </c>
      <c r="E1042">
        <v>122</v>
      </c>
      <c r="F1042" t="s">
        <v>915</v>
      </c>
      <c r="G1042" t="s">
        <v>57</v>
      </c>
      <c r="H1042">
        <v>138842</v>
      </c>
      <c r="I1042">
        <v>139495</v>
      </c>
      <c r="J1042" t="s">
        <v>916</v>
      </c>
      <c r="K1042">
        <v>218</v>
      </c>
      <c r="L1042" t="s">
        <v>515</v>
      </c>
      <c r="M1042">
        <v>51</v>
      </c>
      <c r="N1042" t="str">
        <f>HYPERLINK("Gene122-zp_tree_all.dnd", "Gene122-tree")</f>
        <v>Gene122-tree</v>
      </c>
      <c r="O1042">
        <v>12</v>
      </c>
      <c r="P1042">
        <v>1</v>
      </c>
      <c r="Q1042">
        <v>12</v>
      </c>
      <c r="R1042">
        <v>1</v>
      </c>
      <c r="S1042">
        <v>7.6920000000000002E-2</v>
      </c>
      <c r="T1042" t="s">
        <v>109</v>
      </c>
      <c r="U1042" t="s">
        <v>175</v>
      </c>
      <c r="V1042" t="s">
        <v>62</v>
      </c>
      <c r="W1042" t="s">
        <v>62</v>
      </c>
      <c r="X1042">
        <v>0</v>
      </c>
      <c r="Y1042">
        <v>0</v>
      </c>
      <c r="Z1042">
        <v>3</v>
      </c>
      <c r="AA1042">
        <v>0</v>
      </c>
      <c r="AB1042">
        <v>0</v>
      </c>
      <c r="AC1042">
        <v>0</v>
      </c>
      <c r="AD1042">
        <v>0</v>
      </c>
      <c r="AE1042">
        <v>2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8</v>
      </c>
      <c r="AM1042">
        <v>7</v>
      </c>
      <c r="AN1042">
        <v>15</v>
      </c>
      <c r="AO1042">
        <v>1</v>
      </c>
      <c r="AP1042">
        <v>28</v>
      </c>
      <c r="AQ1042">
        <v>2</v>
      </c>
      <c r="AR1042" t="s">
        <v>917</v>
      </c>
      <c r="AS1042" t="s">
        <v>918</v>
      </c>
      <c r="AT1042">
        <v>6.0000000000000001E-3</v>
      </c>
      <c r="AU1042" t="s">
        <v>65</v>
      </c>
      <c r="AV1042">
        <v>43</v>
      </c>
      <c r="AW1042">
        <v>3</v>
      </c>
      <c r="AX1042" t="s">
        <v>919</v>
      </c>
      <c r="AY1042">
        <v>6.9760000000000003E-2</v>
      </c>
      <c r="AZ1042">
        <v>-6.4900000000000001E-3</v>
      </c>
      <c r="BA1042">
        <v>1.5100000000000001E-3</v>
      </c>
      <c r="BB1042">
        <v>-2.2000000000000001E-4</v>
      </c>
      <c r="BC1042">
        <v>2.1669999999999998E-2</v>
      </c>
      <c r="BD1042">
        <v>1</v>
      </c>
      <c r="BE1042" t="s">
        <v>69</v>
      </c>
      <c r="BF1042">
        <v>-1.5449999999999999</v>
      </c>
      <c r="BG1042">
        <v>0.39900000000000002</v>
      </c>
    </row>
    <row r="1043" spans="1:59">
      <c r="A1043">
        <v>0</v>
      </c>
      <c r="B1043">
        <v>0</v>
      </c>
      <c r="C1043">
        <v>0</v>
      </c>
      <c r="D1043" t="s">
        <v>25022</v>
      </c>
      <c r="E1043">
        <v>98</v>
      </c>
      <c r="F1043" t="s">
        <v>769</v>
      </c>
      <c r="G1043" t="s">
        <v>57</v>
      </c>
      <c r="H1043">
        <v>116600</v>
      </c>
      <c r="I1043">
        <v>117253</v>
      </c>
      <c r="J1043" t="s">
        <v>770</v>
      </c>
      <c r="K1043">
        <v>218</v>
      </c>
      <c r="L1043" t="s">
        <v>59</v>
      </c>
      <c r="M1043">
        <v>49</v>
      </c>
      <c r="N1043" t="str">
        <f>HYPERLINK("Gene98-zp_tree_all.dnd", "Gene98-tree")</f>
        <v>Gene98-tree</v>
      </c>
      <c r="O1043">
        <v>13</v>
      </c>
      <c r="P1043">
        <v>12</v>
      </c>
      <c r="Q1043">
        <v>13</v>
      </c>
      <c r="R1043">
        <v>1</v>
      </c>
      <c r="S1043">
        <v>7.1429999999999993E-2</v>
      </c>
      <c r="T1043" t="s">
        <v>507</v>
      </c>
      <c r="U1043" t="s">
        <v>175</v>
      </c>
      <c r="V1043" t="s">
        <v>62</v>
      </c>
      <c r="W1043" t="s">
        <v>62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11</v>
      </c>
      <c r="AM1043">
        <v>6</v>
      </c>
      <c r="AN1043">
        <v>19</v>
      </c>
      <c r="AO1043">
        <v>1</v>
      </c>
      <c r="AP1043">
        <v>19</v>
      </c>
      <c r="AQ1043">
        <v>0</v>
      </c>
      <c r="AR1043" t="s">
        <v>771</v>
      </c>
      <c r="AS1043" t="s">
        <v>193</v>
      </c>
      <c r="AT1043">
        <v>0.30599999999999999</v>
      </c>
      <c r="AU1043" t="s">
        <v>65</v>
      </c>
      <c r="AV1043">
        <v>38</v>
      </c>
      <c r="AW1043">
        <v>1</v>
      </c>
      <c r="AX1043" t="s">
        <v>772</v>
      </c>
      <c r="AY1043">
        <v>7.2270000000000001E-2</v>
      </c>
      <c r="AZ1043">
        <v>-4.96E-3</v>
      </c>
      <c r="BA1043">
        <v>2.7999999999999998E-4</v>
      </c>
      <c r="BB1043">
        <v>-6.9999999999999994E-5</v>
      </c>
      <c r="BC1043">
        <v>3.8400000000000001E-3</v>
      </c>
      <c r="BD1043">
        <v>1</v>
      </c>
      <c r="BE1043" t="s">
        <v>69</v>
      </c>
      <c r="BF1043">
        <v>-1.514</v>
      </c>
      <c r="BG1043">
        <v>-1.401</v>
      </c>
    </row>
    <row r="1044" spans="1:59">
      <c r="A1044">
        <v>0</v>
      </c>
      <c r="B1044">
        <v>8</v>
      </c>
      <c r="C1044">
        <v>0</v>
      </c>
      <c r="D1044" t="s">
        <v>25022</v>
      </c>
      <c r="E1044">
        <v>1696</v>
      </c>
      <c r="F1044" t="s">
        <v>10631</v>
      </c>
      <c r="G1044" t="s">
        <v>57</v>
      </c>
      <c r="H1044">
        <v>1704211</v>
      </c>
      <c r="I1044">
        <v>1704867</v>
      </c>
      <c r="J1044" t="s">
        <v>10632</v>
      </c>
      <c r="K1044">
        <v>219</v>
      </c>
      <c r="L1044" t="s">
        <v>59</v>
      </c>
      <c r="M1044">
        <v>49</v>
      </c>
      <c r="N1044" t="str">
        <f>HYPERLINK("Gene1696-zp_tree_all.dnd", "Gene1696-tree")</f>
        <v>Gene1696-tree</v>
      </c>
      <c r="O1044">
        <v>26</v>
      </c>
      <c r="P1044">
        <v>10</v>
      </c>
      <c r="Q1044">
        <v>7</v>
      </c>
      <c r="R1044">
        <v>10</v>
      </c>
      <c r="S1044">
        <v>0.58823999999999999</v>
      </c>
      <c r="T1044" t="s">
        <v>191</v>
      </c>
      <c r="U1044" t="s">
        <v>117</v>
      </c>
      <c r="V1044" t="s">
        <v>62</v>
      </c>
      <c r="W1044" t="s">
        <v>62</v>
      </c>
      <c r="X1044">
        <v>4</v>
      </c>
      <c r="Y1044">
        <v>8</v>
      </c>
      <c r="Z1044">
        <v>17</v>
      </c>
      <c r="AA1044">
        <v>0.32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2</v>
      </c>
      <c r="AH1044">
        <v>0</v>
      </c>
      <c r="AI1044">
        <v>2</v>
      </c>
      <c r="AJ1044">
        <v>16</v>
      </c>
      <c r="AK1044">
        <v>0.11111</v>
      </c>
      <c r="AL1044">
        <v>15</v>
      </c>
      <c r="AM1044">
        <v>8</v>
      </c>
      <c r="AN1044">
        <v>25</v>
      </c>
      <c r="AO1044">
        <v>18</v>
      </c>
      <c r="AP1044">
        <v>22</v>
      </c>
      <c r="AQ1044">
        <v>7</v>
      </c>
      <c r="AR1044" t="s">
        <v>10633</v>
      </c>
      <c r="AS1044" t="s">
        <v>10634</v>
      </c>
      <c r="AT1044">
        <v>0.92100000000000004</v>
      </c>
      <c r="AU1044" t="s">
        <v>65</v>
      </c>
      <c r="AV1044">
        <v>47</v>
      </c>
      <c r="AW1044">
        <v>25</v>
      </c>
      <c r="AX1044" t="s">
        <v>10635</v>
      </c>
      <c r="AY1044">
        <v>7.1669999999999998E-2</v>
      </c>
      <c r="AZ1044">
        <v>-4.3099999999999996E-3</v>
      </c>
      <c r="BA1044">
        <v>9.4500000000000001E-3</v>
      </c>
      <c r="BB1044">
        <v>-4.6999999999999999E-4</v>
      </c>
      <c r="BC1044">
        <v>0.13178999999999999</v>
      </c>
      <c r="BD1044">
        <v>1</v>
      </c>
      <c r="BE1044" t="s">
        <v>69</v>
      </c>
      <c r="BF1044">
        <v>-1.5580000000000001</v>
      </c>
      <c r="BG1044">
        <v>-1.62</v>
      </c>
    </row>
    <row r="1045" spans="1:59">
      <c r="A1045">
        <v>0</v>
      </c>
      <c r="B1045">
        <v>4</v>
      </c>
      <c r="C1045">
        <v>0</v>
      </c>
      <c r="D1045" t="s">
        <v>25022</v>
      </c>
      <c r="E1045">
        <v>3545</v>
      </c>
      <c r="F1045" t="s">
        <v>20777</v>
      </c>
      <c r="G1045" t="s">
        <v>62</v>
      </c>
      <c r="H1045">
        <v>3509834</v>
      </c>
      <c r="I1045">
        <v>3510490</v>
      </c>
      <c r="J1045" t="s">
        <v>20778</v>
      </c>
      <c r="K1045">
        <v>219</v>
      </c>
      <c r="L1045" t="s">
        <v>108</v>
      </c>
      <c r="M1045">
        <v>44</v>
      </c>
      <c r="N1045" t="str">
        <f>HYPERLINK("Gene3545-zp_tree_all.dnd", "Gene3545-tree")</f>
        <v>Gene3545-tree</v>
      </c>
      <c r="O1045">
        <v>9</v>
      </c>
      <c r="P1045">
        <v>7</v>
      </c>
      <c r="Q1045">
        <v>9</v>
      </c>
      <c r="R1045">
        <v>7</v>
      </c>
      <c r="S1045">
        <v>0.4375</v>
      </c>
      <c r="T1045" t="s">
        <v>135</v>
      </c>
      <c r="U1045" t="s">
        <v>152</v>
      </c>
      <c r="V1045" t="s">
        <v>62</v>
      </c>
      <c r="W1045" t="s">
        <v>62</v>
      </c>
      <c r="X1045">
        <v>2</v>
      </c>
      <c r="Y1045">
        <v>4</v>
      </c>
      <c r="Z1045">
        <v>6</v>
      </c>
      <c r="AA1045">
        <v>0.4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</v>
      </c>
      <c r="AH1045">
        <v>0</v>
      </c>
      <c r="AI1045">
        <v>2</v>
      </c>
      <c r="AJ1045">
        <v>7</v>
      </c>
      <c r="AK1045">
        <v>0.22222</v>
      </c>
      <c r="AL1045">
        <v>12</v>
      </c>
      <c r="AM1045">
        <v>6</v>
      </c>
      <c r="AN1045">
        <v>13</v>
      </c>
      <c r="AO1045">
        <v>9</v>
      </c>
      <c r="AP1045">
        <v>5</v>
      </c>
      <c r="AQ1045">
        <v>1</v>
      </c>
      <c r="AR1045" t="s">
        <v>20779</v>
      </c>
      <c r="AS1045" t="s">
        <v>20780</v>
      </c>
      <c r="AT1045">
        <v>0.84099999999999997</v>
      </c>
      <c r="AU1045" t="s">
        <v>65</v>
      </c>
      <c r="AV1045">
        <v>18</v>
      </c>
      <c r="AW1045">
        <v>10</v>
      </c>
      <c r="AX1045" t="s">
        <v>20781</v>
      </c>
      <c r="AY1045">
        <v>2.1389999999999999E-2</v>
      </c>
      <c r="AZ1045">
        <v>-1E-3</v>
      </c>
      <c r="BA1045">
        <v>2.7599999999999999E-3</v>
      </c>
      <c r="BB1045">
        <v>-1.9000000000000001E-4</v>
      </c>
      <c r="BC1045">
        <v>0.12906000000000001</v>
      </c>
      <c r="BD1045">
        <v>1</v>
      </c>
      <c r="BE1045" t="s">
        <v>69</v>
      </c>
      <c r="BF1045">
        <v>-1.1859999999999999</v>
      </c>
      <c r="BG1045">
        <v>-2.25</v>
      </c>
    </row>
    <row r="1046" spans="1:59">
      <c r="A1046">
        <v>0</v>
      </c>
      <c r="B1046">
        <v>7</v>
      </c>
      <c r="C1046">
        <v>1</v>
      </c>
      <c r="D1046" t="s">
        <v>25022</v>
      </c>
      <c r="E1046">
        <v>1424</v>
      </c>
      <c r="F1046" t="s">
        <v>8919</v>
      </c>
      <c r="G1046" t="s">
        <v>57</v>
      </c>
      <c r="H1046">
        <v>1439448</v>
      </c>
      <c r="I1046">
        <v>1440104</v>
      </c>
      <c r="J1046" t="s">
        <v>8920</v>
      </c>
      <c r="K1046">
        <v>219</v>
      </c>
      <c r="L1046" t="s">
        <v>108</v>
      </c>
      <c r="M1046">
        <v>44</v>
      </c>
      <c r="N1046" t="str">
        <f>HYPERLINK("Gene1424-zp_tree_all.dnd", "Gene1424-tree")</f>
        <v>Gene1424-tree</v>
      </c>
      <c r="O1046">
        <v>10</v>
      </c>
      <c r="P1046">
        <v>4</v>
      </c>
      <c r="Q1046">
        <v>10</v>
      </c>
      <c r="R1046">
        <v>4</v>
      </c>
      <c r="S1046">
        <v>0.28571000000000002</v>
      </c>
      <c r="T1046" t="s">
        <v>117</v>
      </c>
      <c r="U1046" t="s">
        <v>61</v>
      </c>
      <c r="V1046" t="s">
        <v>62</v>
      </c>
      <c r="W1046" t="s">
        <v>62</v>
      </c>
      <c r="X1046">
        <v>2</v>
      </c>
      <c r="Y1046">
        <v>8</v>
      </c>
      <c r="Z1046">
        <v>3</v>
      </c>
      <c r="AA1046">
        <v>0.72726999999999997</v>
      </c>
      <c r="AB1046">
        <v>0</v>
      </c>
      <c r="AC1046">
        <v>0</v>
      </c>
      <c r="AD1046">
        <v>0</v>
      </c>
      <c r="AE1046">
        <v>2</v>
      </c>
      <c r="AF1046">
        <v>0</v>
      </c>
      <c r="AG1046">
        <v>2</v>
      </c>
      <c r="AH1046">
        <v>1</v>
      </c>
      <c r="AI1046">
        <v>3</v>
      </c>
      <c r="AJ1046">
        <v>2</v>
      </c>
      <c r="AK1046">
        <v>0.6</v>
      </c>
      <c r="AL1046">
        <v>11</v>
      </c>
      <c r="AM1046">
        <v>8</v>
      </c>
      <c r="AN1046">
        <v>29</v>
      </c>
      <c r="AO1046">
        <v>3</v>
      </c>
      <c r="AP1046">
        <v>19</v>
      </c>
      <c r="AQ1046">
        <v>8</v>
      </c>
      <c r="AR1046" t="s">
        <v>8921</v>
      </c>
      <c r="AS1046" t="s">
        <v>8922</v>
      </c>
      <c r="AT1046">
        <v>1.2270000000000001</v>
      </c>
      <c r="AU1046" t="s">
        <v>65</v>
      </c>
      <c r="AV1046">
        <v>48</v>
      </c>
      <c r="AW1046">
        <v>11</v>
      </c>
      <c r="AX1046" t="s">
        <v>8923</v>
      </c>
      <c r="AY1046">
        <v>7.5139999999999998E-2</v>
      </c>
      <c r="AZ1046">
        <v>-4.1000000000000003E-3</v>
      </c>
      <c r="BA1046">
        <v>3.7100000000000002E-3</v>
      </c>
      <c r="BB1046">
        <v>-2.3000000000000001E-4</v>
      </c>
      <c r="BC1046">
        <v>4.931E-2</v>
      </c>
      <c r="BD1046">
        <v>1</v>
      </c>
      <c r="BE1046" t="s">
        <v>69</v>
      </c>
      <c r="BF1046">
        <v>-0.39800000000000002</v>
      </c>
      <c r="BG1046">
        <v>-0.79200000000000004</v>
      </c>
    </row>
    <row r="1047" spans="1:59">
      <c r="A1047">
        <v>0</v>
      </c>
      <c r="B1047">
        <v>2</v>
      </c>
      <c r="C1047">
        <v>0</v>
      </c>
      <c r="D1047" t="s">
        <v>25022</v>
      </c>
      <c r="E1047">
        <v>1318</v>
      </c>
      <c r="F1047" t="s">
        <v>8260</v>
      </c>
      <c r="G1047" t="s">
        <v>57</v>
      </c>
      <c r="H1047">
        <v>1338957</v>
      </c>
      <c r="I1047">
        <v>1339613</v>
      </c>
      <c r="J1047" t="s">
        <v>8261</v>
      </c>
      <c r="K1047">
        <v>219</v>
      </c>
      <c r="L1047" t="s">
        <v>8262</v>
      </c>
      <c r="M1047">
        <v>30</v>
      </c>
      <c r="N1047" t="str">
        <f>HYPERLINK("Gene1318-zp_tree_all.dnd", "Gene1318-tree")</f>
        <v>Gene1318-tree</v>
      </c>
      <c r="O1047">
        <v>2</v>
      </c>
      <c r="P1047">
        <v>5</v>
      </c>
      <c r="Q1047">
        <v>2</v>
      </c>
      <c r="R1047">
        <v>5</v>
      </c>
      <c r="S1047">
        <v>0.71428999999999998</v>
      </c>
      <c r="T1047" t="s">
        <v>81</v>
      </c>
      <c r="U1047" t="s">
        <v>199</v>
      </c>
      <c r="V1047" t="s">
        <v>62</v>
      </c>
      <c r="W1047" t="s">
        <v>62</v>
      </c>
      <c r="X1047">
        <v>1</v>
      </c>
      <c r="Y1047">
        <v>2</v>
      </c>
      <c r="Z1047">
        <v>8</v>
      </c>
      <c r="AA1047">
        <v>0.2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</v>
      </c>
      <c r="AH1047">
        <v>0</v>
      </c>
      <c r="AI1047">
        <v>2</v>
      </c>
      <c r="AJ1047">
        <v>6</v>
      </c>
      <c r="AK1047">
        <v>0.25</v>
      </c>
      <c r="AL1047">
        <v>7</v>
      </c>
      <c r="AM1047">
        <v>3</v>
      </c>
      <c r="AN1047">
        <v>50</v>
      </c>
      <c r="AO1047">
        <v>8</v>
      </c>
      <c r="AP1047">
        <v>13</v>
      </c>
      <c r="AQ1047">
        <v>2</v>
      </c>
      <c r="AR1047" t="s">
        <v>8263</v>
      </c>
      <c r="AS1047" t="s">
        <v>8264</v>
      </c>
      <c r="AT1047">
        <v>1.2999999999999999E-2</v>
      </c>
      <c r="AU1047" t="s">
        <v>65</v>
      </c>
      <c r="AV1047">
        <v>63</v>
      </c>
      <c r="AW1047">
        <v>10</v>
      </c>
      <c r="AX1047" t="s">
        <v>8265</v>
      </c>
      <c r="AY1047">
        <v>0.14291000000000001</v>
      </c>
      <c r="AZ1047">
        <v>-1.7930000000000001E-2</v>
      </c>
      <c r="BA1047">
        <v>6.3E-3</v>
      </c>
      <c r="BB1047">
        <v>-6.0999999999999997E-4</v>
      </c>
      <c r="BC1047">
        <v>4.4089999999999997E-2</v>
      </c>
      <c r="BD1047">
        <v>1</v>
      </c>
      <c r="BE1047" t="s">
        <v>69</v>
      </c>
      <c r="BF1047">
        <v>-1.083</v>
      </c>
      <c r="BG1047">
        <v>-2.2040000000000002</v>
      </c>
    </row>
    <row r="1048" spans="1:59">
      <c r="A1048">
        <v>0</v>
      </c>
      <c r="B1048">
        <v>0</v>
      </c>
      <c r="C1048">
        <v>0</v>
      </c>
      <c r="D1048" t="s">
        <v>25022</v>
      </c>
      <c r="E1048">
        <v>2328</v>
      </c>
      <c r="F1048" t="s">
        <v>13499</v>
      </c>
      <c r="G1048" t="s">
        <v>62</v>
      </c>
      <c r="H1048">
        <v>2344758</v>
      </c>
      <c r="I1048">
        <v>2345414</v>
      </c>
      <c r="J1048" t="s">
        <v>13500</v>
      </c>
      <c r="K1048">
        <v>219</v>
      </c>
      <c r="L1048" t="s">
        <v>108</v>
      </c>
      <c r="M1048">
        <v>44</v>
      </c>
      <c r="N1048" t="str">
        <f>HYPERLINK("Gene2328-zp_tree_all.dnd", "Gene2328-tree")</f>
        <v>Gene2328-tree</v>
      </c>
      <c r="O1048">
        <v>6</v>
      </c>
      <c r="P1048">
        <v>3</v>
      </c>
      <c r="Q1048">
        <v>6</v>
      </c>
      <c r="R1048">
        <v>3</v>
      </c>
      <c r="S1048">
        <v>0.33333000000000002</v>
      </c>
      <c r="T1048" t="s">
        <v>90</v>
      </c>
      <c r="U1048" t="s">
        <v>324</v>
      </c>
      <c r="V1048" t="s">
        <v>62</v>
      </c>
      <c r="W1048" t="s">
        <v>62</v>
      </c>
      <c r="X1048">
        <v>0</v>
      </c>
      <c r="Y1048">
        <v>0</v>
      </c>
      <c r="Z1048">
        <v>3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3</v>
      </c>
      <c r="AK1048">
        <v>0</v>
      </c>
      <c r="AL1048">
        <v>6</v>
      </c>
      <c r="AM1048">
        <v>4</v>
      </c>
      <c r="AN1048">
        <v>17</v>
      </c>
      <c r="AO1048">
        <v>3</v>
      </c>
      <c r="AP1048">
        <v>4</v>
      </c>
      <c r="AQ1048">
        <v>0</v>
      </c>
      <c r="AR1048" t="s">
        <v>13501</v>
      </c>
      <c r="AS1048" t="s">
        <v>193</v>
      </c>
      <c r="AT1048">
        <v>1.089</v>
      </c>
      <c r="AU1048" t="s">
        <v>65</v>
      </c>
      <c r="AV1048">
        <v>21</v>
      </c>
      <c r="AW1048">
        <v>3</v>
      </c>
      <c r="AX1048" t="s">
        <v>13502</v>
      </c>
      <c r="AY1048">
        <v>3.7229999999999999E-2</v>
      </c>
      <c r="AZ1048">
        <v>-4.5799999999999999E-3</v>
      </c>
      <c r="BA1048">
        <v>1.32E-3</v>
      </c>
      <c r="BB1048">
        <v>-2.1000000000000001E-4</v>
      </c>
      <c r="BC1048">
        <v>3.5400000000000001E-2</v>
      </c>
      <c r="BD1048">
        <v>1</v>
      </c>
      <c r="BE1048" t="s">
        <v>69</v>
      </c>
      <c r="BF1048">
        <v>-1.4219999999999999</v>
      </c>
      <c r="BG1048">
        <v>-2.415</v>
      </c>
    </row>
    <row r="1049" spans="1:59">
      <c r="A1049">
        <v>0</v>
      </c>
      <c r="B1049">
        <v>0</v>
      </c>
      <c r="C1049">
        <v>0</v>
      </c>
      <c r="D1049" t="s">
        <v>25022</v>
      </c>
      <c r="E1049">
        <v>3889</v>
      </c>
      <c r="F1049" t="s">
        <v>22802</v>
      </c>
      <c r="G1049" t="s">
        <v>62</v>
      </c>
      <c r="H1049">
        <v>3852721</v>
      </c>
      <c r="I1049">
        <v>3853377</v>
      </c>
      <c r="J1049" t="s">
        <v>22803</v>
      </c>
      <c r="K1049">
        <v>219</v>
      </c>
      <c r="L1049" t="s">
        <v>108</v>
      </c>
      <c r="M1049">
        <v>44</v>
      </c>
      <c r="N1049" t="str">
        <f>HYPERLINK("Gene3889-zp_tree_all.dnd", "Gene3889-tree")</f>
        <v>Gene3889-tree</v>
      </c>
      <c r="O1049">
        <v>11</v>
      </c>
      <c r="P1049">
        <v>2</v>
      </c>
      <c r="Q1049">
        <v>11</v>
      </c>
      <c r="R1049">
        <v>2</v>
      </c>
      <c r="S1049">
        <v>0.15384999999999999</v>
      </c>
      <c r="T1049" t="s">
        <v>73</v>
      </c>
      <c r="U1049" t="s">
        <v>81</v>
      </c>
      <c r="V1049" t="s">
        <v>62</v>
      </c>
      <c r="W1049" t="s">
        <v>62</v>
      </c>
      <c r="X1049">
        <v>0</v>
      </c>
      <c r="Y1049">
        <v>0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2</v>
      </c>
      <c r="AK1049">
        <v>0</v>
      </c>
      <c r="AL1049">
        <v>8</v>
      </c>
      <c r="AM1049">
        <v>7</v>
      </c>
      <c r="AN1049">
        <v>22</v>
      </c>
      <c r="AO1049">
        <v>2</v>
      </c>
      <c r="AP1049">
        <v>11</v>
      </c>
      <c r="AQ1049">
        <v>1</v>
      </c>
      <c r="AR1049" t="s">
        <v>22804</v>
      </c>
      <c r="AS1049" t="s">
        <v>22805</v>
      </c>
      <c r="AT1049">
        <v>5.0000000000000001E-3</v>
      </c>
      <c r="AU1049" t="s">
        <v>65</v>
      </c>
      <c r="AV1049">
        <v>33</v>
      </c>
      <c r="AW1049">
        <v>3</v>
      </c>
      <c r="AX1049" t="s">
        <v>22806</v>
      </c>
      <c r="AY1049">
        <v>4.2930000000000003E-2</v>
      </c>
      <c r="AZ1049">
        <v>-2.5699999999999998E-3</v>
      </c>
      <c r="BA1049">
        <v>1.4400000000000001E-3</v>
      </c>
      <c r="BB1049">
        <v>-1.2999999999999999E-4</v>
      </c>
      <c r="BC1049">
        <v>3.3529999999999997E-2</v>
      </c>
      <c r="BD1049">
        <v>1</v>
      </c>
      <c r="BE1049" t="s">
        <v>69</v>
      </c>
      <c r="BF1049">
        <v>-1.165</v>
      </c>
      <c r="BG1049">
        <v>-2.552</v>
      </c>
    </row>
    <row r="1050" spans="1:59">
      <c r="A1050">
        <v>0</v>
      </c>
      <c r="B1050">
        <v>2</v>
      </c>
      <c r="C1050">
        <v>0</v>
      </c>
      <c r="D1050" t="s">
        <v>25022</v>
      </c>
      <c r="E1050">
        <v>2499</v>
      </c>
      <c r="F1050" t="s">
        <v>14571</v>
      </c>
      <c r="G1050" t="s">
        <v>62</v>
      </c>
      <c r="H1050">
        <v>2491292</v>
      </c>
      <c r="I1050">
        <v>2491948</v>
      </c>
      <c r="J1050" t="s">
        <v>14572</v>
      </c>
      <c r="K1050">
        <v>219</v>
      </c>
      <c r="L1050" t="s">
        <v>125</v>
      </c>
      <c r="M1050">
        <v>48</v>
      </c>
      <c r="N1050" t="str">
        <f>HYPERLINK("Gene2499-zp_tree_all.dnd", "Gene2499-tree")</f>
        <v>Gene2499-tree</v>
      </c>
      <c r="O1050">
        <v>11</v>
      </c>
      <c r="P1050">
        <v>1</v>
      </c>
      <c r="Q1050">
        <v>11</v>
      </c>
      <c r="R1050">
        <v>1</v>
      </c>
      <c r="S1050">
        <v>8.3330000000000001E-2</v>
      </c>
      <c r="T1050" t="s">
        <v>73</v>
      </c>
      <c r="U1050" t="s">
        <v>175</v>
      </c>
      <c r="V1050" t="s">
        <v>62</v>
      </c>
      <c r="W1050" t="s">
        <v>62</v>
      </c>
      <c r="X1050">
        <v>1</v>
      </c>
      <c r="Y1050">
        <v>2</v>
      </c>
      <c r="Z1050">
        <v>2</v>
      </c>
      <c r="AA1050">
        <v>0.5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9</v>
      </c>
      <c r="AM1050">
        <v>4</v>
      </c>
      <c r="AN1050">
        <v>18</v>
      </c>
      <c r="AO1050">
        <v>1</v>
      </c>
      <c r="AP1050">
        <v>34</v>
      </c>
      <c r="AQ1050">
        <v>3</v>
      </c>
      <c r="AR1050" t="s">
        <v>14573</v>
      </c>
      <c r="AS1050" t="s">
        <v>14574</v>
      </c>
      <c r="AT1050">
        <v>0.15</v>
      </c>
      <c r="AU1050" t="s">
        <v>65</v>
      </c>
      <c r="AV1050">
        <v>52</v>
      </c>
      <c r="AW1050">
        <v>4</v>
      </c>
      <c r="AX1050" t="s">
        <v>14575</v>
      </c>
      <c r="AY1050">
        <v>0.1158</v>
      </c>
      <c r="AZ1050">
        <v>-1.1350000000000001E-2</v>
      </c>
      <c r="BA1050">
        <v>2.4399999999999999E-3</v>
      </c>
      <c r="BB1050">
        <v>-3.1E-4</v>
      </c>
      <c r="BC1050">
        <v>2.1059999999999999E-2</v>
      </c>
      <c r="BD1050">
        <v>1</v>
      </c>
      <c r="BE1050" t="s">
        <v>69</v>
      </c>
      <c r="BF1050">
        <v>-1.569</v>
      </c>
      <c r="BG1050">
        <v>-0.255</v>
      </c>
    </row>
    <row r="1051" spans="1:59">
      <c r="A1051">
        <v>0</v>
      </c>
      <c r="B1051">
        <v>21</v>
      </c>
      <c r="C1051">
        <v>2</v>
      </c>
      <c r="D1051" t="s">
        <v>25022</v>
      </c>
      <c r="E1051">
        <v>740</v>
      </c>
      <c r="F1051" t="s">
        <v>4589</v>
      </c>
      <c r="G1051" t="s">
        <v>57</v>
      </c>
      <c r="H1051">
        <v>768828</v>
      </c>
      <c r="I1051">
        <v>769487</v>
      </c>
      <c r="J1051" t="s">
        <v>1340</v>
      </c>
      <c r="K1051">
        <v>220</v>
      </c>
      <c r="L1051" t="s">
        <v>3401</v>
      </c>
      <c r="M1051">
        <v>42</v>
      </c>
      <c r="N1051" t="str">
        <f>HYPERLINK("Gene740-zp_tree_all.dnd", "Gene740-tree")</f>
        <v>Gene740-tree</v>
      </c>
      <c r="O1051">
        <v>2</v>
      </c>
      <c r="P1051">
        <v>14</v>
      </c>
      <c r="Q1051">
        <v>2</v>
      </c>
      <c r="R1051">
        <v>14</v>
      </c>
      <c r="S1051">
        <v>0.875</v>
      </c>
      <c r="T1051" t="s">
        <v>81</v>
      </c>
      <c r="U1051" t="s">
        <v>543</v>
      </c>
      <c r="V1051">
        <v>860908720.12699997</v>
      </c>
      <c r="W1051" t="s">
        <v>267</v>
      </c>
      <c r="X1051">
        <v>7</v>
      </c>
      <c r="Y1051">
        <v>23</v>
      </c>
      <c r="Z1051">
        <v>16</v>
      </c>
      <c r="AA1051">
        <v>0.58974000000000004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11</v>
      </c>
      <c r="AH1051">
        <v>0</v>
      </c>
      <c r="AI1051">
        <v>11</v>
      </c>
      <c r="AJ1051">
        <v>14</v>
      </c>
      <c r="AK1051">
        <v>0.44</v>
      </c>
      <c r="AL1051">
        <v>13</v>
      </c>
      <c r="AM1051">
        <v>10</v>
      </c>
      <c r="AN1051">
        <v>34</v>
      </c>
      <c r="AO1051">
        <v>19</v>
      </c>
      <c r="AP1051">
        <v>36</v>
      </c>
      <c r="AQ1051">
        <v>23</v>
      </c>
      <c r="AR1051" t="s">
        <v>4590</v>
      </c>
      <c r="AS1051" t="s">
        <v>4591</v>
      </c>
      <c r="AT1051">
        <v>0.23599999999999999</v>
      </c>
      <c r="AU1051" t="s">
        <v>65</v>
      </c>
      <c r="AV1051">
        <v>70</v>
      </c>
      <c r="AW1051">
        <v>42</v>
      </c>
      <c r="AX1051" t="s">
        <v>4592</v>
      </c>
      <c r="AY1051">
        <v>0.10426000000000001</v>
      </c>
      <c r="AZ1051">
        <v>-4.62E-3</v>
      </c>
      <c r="BA1051">
        <v>1.7270000000000001E-2</v>
      </c>
      <c r="BB1051">
        <v>-7.2999999999999996E-4</v>
      </c>
      <c r="BC1051">
        <v>0.16563</v>
      </c>
      <c r="BD1051">
        <v>1</v>
      </c>
      <c r="BE1051" t="s">
        <v>69</v>
      </c>
      <c r="BF1051">
        <v>0.53900000000000003</v>
      </c>
      <c r="BG1051">
        <v>-0.48799999999999999</v>
      </c>
    </row>
    <row r="1052" spans="1:59">
      <c r="A1052">
        <v>0</v>
      </c>
      <c r="B1052">
        <v>4</v>
      </c>
      <c r="C1052">
        <v>0</v>
      </c>
      <c r="D1052" t="s">
        <v>25022</v>
      </c>
      <c r="E1052">
        <v>4221</v>
      </c>
      <c r="F1052" t="s">
        <v>24810</v>
      </c>
      <c r="G1052" t="s">
        <v>62</v>
      </c>
      <c r="H1052">
        <v>4182639</v>
      </c>
      <c r="I1052">
        <v>4183298</v>
      </c>
      <c r="J1052" t="s">
        <v>2512</v>
      </c>
      <c r="K1052">
        <v>220</v>
      </c>
      <c r="L1052" t="s">
        <v>2078</v>
      </c>
      <c r="M1052">
        <v>36</v>
      </c>
      <c r="N1052" t="str">
        <f>HYPERLINK("Gene4221-zp_tree_all.dnd", "Gene4221-tree")</f>
        <v>Gene4221-tree</v>
      </c>
      <c r="O1052">
        <v>3</v>
      </c>
      <c r="P1052">
        <v>6</v>
      </c>
      <c r="Q1052">
        <v>3</v>
      </c>
      <c r="R1052">
        <v>6</v>
      </c>
      <c r="S1052">
        <v>0.66666999999999998</v>
      </c>
      <c r="T1052" t="s">
        <v>324</v>
      </c>
      <c r="U1052" t="s">
        <v>90</v>
      </c>
      <c r="V1052" t="s">
        <v>62</v>
      </c>
      <c r="W1052" t="s">
        <v>62</v>
      </c>
      <c r="X1052">
        <v>2</v>
      </c>
      <c r="Y1052">
        <v>4</v>
      </c>
      <c r="Z1052">
        <v>13</v>
      </c>
      <c r="AA1052">
        <v>0.23529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13</v>
      </c>
      <c r="AK1052">
        <v>0</v>
      </c>
      <c r="AL1052">
        <v>8</v>
      </c>
      <c r="AM1052">
        <v>5</v>
      </c>
      <c r="AN1052">
        <v>24</v>
      </c>
      <c r="AO1052">
        <v>13</v>
      </c>
      <c r="AP1052">
        <v>18</v>
      </c>
      <c r="AQ1052">
        <v>5</v>
      </c>
      <c r="AR1052" t="s">
        <v>24811</v>
      </c>
      <c r="AS1052" t="s">
        <v>24812</v>
      </c>
      <c r="AT1052">
        <v>0.89600000000000002</v>
      </c>
      <c r="AU1052" t="s">
        <v>65</v>
      </c>
      <c r="AV1052">
        <v>42</v>
      </c>
      <c r="AW1052">
        <v>18</v>
      </c>
      <c r="AX1052" t="s">
        <v>24813</v>
      </c>
      <c r="AY1052">
        <v>8.5750000000000007E-2</v>
      </c>
      <c r="AZ1052">
        <v>-5.9899999999999997E-3</v>
      </c>
      <c r="BA1052">
        <v>9.4800000000000006E-3</v>
      </c>
      <c r="BB1052">
        <v>-8.4000000000000003E-4</v>
      </c>
      <c r="BC1052">
        <v>0.11053</v>
      </c>
      <c r="BD1052">
        <v>1</v>
      </c>
      <c r="BE1052" t="s">
        <v>69</v>
      </c>
      <c r="BF1052">
        <v>0.109</v>
      </c>
      <c r="BG1052">
        <v>-0.39400000000000002</v>
      </c>
    </row>
    <row r="1053" spans="1:59">
      <c r="A1053">
        <v>0</v>
      </c>
      <c r="B1053">
        <v>9</v>
      </c>
      <c r="C1053">
        <v>0</v>
      </c>
      <c r="D1053" t="s">
        <v>25022</v>
      </c>
      <c r="E1053">
        <v>958</v>
      </c>
      <c r="F1053" t="s">
        <v>6012</v>
      </c>
      <c r="G1053" t="s">
        <v>57</v>
      </c>
      <c r="H1053">
        <v>997724</v>
      </c>
      <c r="I1053">
        <v>998383</v>
      </c>
      <c r="J1053" t="s">
        <v>6013</v>
      </c>
      <c r="K1053">
        <v>220</v>
      </c>
      <c r="L1053" t="s">
        <v>108</v>
      </c>
      <c r="M1053">
        <v>44</v>
      </c>
      <c r="N1053" t="str">
        <f>HYPERLINK("Gene958-zp_tree_all.dnd", "Gene958-tree")</f>
        <v>Gene958-tree</v>
      </c>
      <c r="O1053">
        <v>9</v>
      </c>
      <c r="P1053">
        <v>6</v>
      </c>
      <c r="Q1053">
        <v>9</v>
      </c>
      <c r="R1053">
        <v>6</v>
      </c>
      <c r="S1053">
        <v>0.4</v>
      </c>
      <c r="T1053" t="s">
        <v>135</v>
      </c>
      <c r="U1053" t="s">
        <v>90</v>
      </c>
      <c r="V1053" t="s">
        <v>62</v>
      </c>
      <c r="W1053" t="s">
        <v>62</v>
      </c>
      <c r="X1053">
        <v>3</v>
      </c>
      <c r="Y1053">
        <v>9</v>
      </c>
      <c r="Z1053">
        <v>5</v>
      </c>
      <c r="AA1053">
        <v>0.64285999999999999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</v>
      </c>
      <c r="AH1053">
        <v>0</v>
      </c>
      <c r="AI1053">
        <v>2</v>
      </c>
      <c r="AJ1053">
        <v>7</v>
      </c>
      <c r="AK1053">
        <v>0.22222</v>
      </c>
      <c r="AL1053">
        <v>15</v>
      </c>
      <c r="AM1053">
        <v>8</v>
      </c>
      <c r="AN1053">
        <v>29</v>
      </c>
      <c r="AO1053">
        <v>9</v>
      </c>
      <c r="AP1053">
        <v>18</v>
      </c>
      <c r="AQ1053">
        <v>5</v>
      </c>
      <c r="AR1053" t="s">
        <v>6014</v>
      </c>
      <c r="AS1053" t="s">
        <v>6015</v>
      </c>
      <c r="AT1053">
        <v>0.13200000000000001</v>
      </c>
      <c r="AU1053" t="s">
        <v>65</v>
      </c>
      <c r="AV1053">
        <v>47</v>
      </c>
      <c r="AW1053">
        <v>14</v>
      </c>
      <c r="AX1053" t="s">
        <v>6016</v>
      </c>
      <c r="AY1053">
        <v>5.1339999999999997E-2</v>
      </c>
      <c r="AZ1053">
        <v>-1.8600000000000001E-3</v>
      </c>
      <c r="BA1053">
        <v>3.9699999999999996E-3</v>
      </c>
      <c r="BB1053">
        <v>-2.2000000000000001E-4</v>
      </c>
      <c r="BC1053">
        <v>7.7329999999999996E-2</v>
      </c>
      <c r="BD1053">
        <v>1</v>
      </c>
      <c r="BE1053" t="s">
        <v>69</v>
      </c>
      <c r="BF1053">
        <v>-0.42799999999999999</v>
      </c>
      <c r="BG1053">
        <v>-1.071</v>
      </c>
    </row>
    <row r="1054" spans="1:59">
      <c r="A1054">
        <v>0</v>
      </c>
      <c r="B1054">
        <v>9</v>
      </c>
      <c r="C1054">
        <v>0</v>
      </c>
      <c r="D1054" t="s">
        <v>25022</v>
      </c>
      <c r="E1054">
        <v>864</v>
      </c>
      <c r="F1054" t="s">
        <v>5393</v>
      </c>
      <c r="G1054" t="s">
        <v>57</v>
      </c>
      <c r="H1054">
        <v>905010</v>
      </c>
      <c r="I1054">
        <v>905669</v>
      </c>
      <c r="J1054" t="s">
        <v>5394</v>
      </c>
      <c r="K1054">
        <v>220</v>
      </c>
      <c r="L1054" t="s">
        <v>108</v>
      </c>
      <c r="M1054">
        <v>44</v>
      </c>
      <c r="N1054" t="str">
        <f>HYPERLINK("Gene864-zp_tree_all.dnd", "Gene864-tree")</f>
        <v>Gene864-tree</v>
      </c>
      <c r="O1054">
        <v>8</v>
      </c>
      <c r="P1054">
        <v>6</v>
      </c>
      <c r="Q1054">
        <v>8</v>
      </c>
      <c r="R1054">
        <v>6</v>
      </c>
      <c r="S1054">
        <v>0.42857000000000001</v>
      </c>
      <c r="T1054" t="s">
        <v>136</v>
      </c>
      <c r="U1054" t="s">
        <v>90</v>
      </c>
      <c r="V1054" t="s">
        <v>62</v>
      </c>
      <c r="W1054" t="s">
        <v>62</v>
      </c>
      <c r="X1054">
        <v>3</v>
      </c>
      <c r="Y1054">
        <v>9</v>
      </c>
      <c r="Z1054">
        <v>7</v>
      </c>
      <c r="AA1054">
        <v>0.5625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</v>
      </c>
      <c r="AH1054">
        <v>0</v>
      </c>
      <c r="AI1054">
        <v>4</v>
      </c>
      <c r="AJ1054">
        <v>6</v>
      </c>
      <c r="AK1054">
        <v>0.4</v>
      </c>
      <c r="AL1054">
        <v>13</v>
      </c>
      <c r="AM1054">
        <v>8</v>
      </c>
      <c r="AN1054">
        <v>32</v>
      </c>
      <c r="AO1054">
        <v>10</v>
      </c>
      <c r="AP1054">
        <v>27</v>
      </c>
      <c r="AQ1054">
        <v>6</v>
      </c>
      <c r="AR1054" t="s">
        <v>5395</v>
      </c>
      <c r="AS1054" t="s">
        <v>5396</v>
      </c>
      <c r="AT1054">
        <v>0.316</v>
      </c>
      <c r="AU1054" t="s">
        <v>65</v>
      </c>
      <c r="AV1054">
        <v>59</v>
      </c>
      <c r="AW1054">
        <v>16</v>
      </c>
      <c r="AX1054" t="s">
        <v>5397</v>
      </c>
      <c r="AY1054">
        <v>8.0699999999999994E-2</v>
      </c>
      <c r="AZ1054">
        <v>-6.1000000000000004E-3</v>
      </c>
      <c r="BA1054">
        <v>4.7800000000000004E-3</v>
      </c>
      <c r="BB1054">
        <v>-2.5999999999999998E-4</v>
      </c>
      <c r="BC1054">
        <v>5.9270000000000003E-2</v>
      </c>
      <c r="BD1054">
        <v>1</v>
      </c>
      <c r="BE1054" t="s">
        <v>69</v>
      </c>
      <c r="BF1054">
        <v>-0.52900000000000003</v>
      </c>
      <c r="BG1054">
        <v>-0.81599999999999995</v>
      </c>
    </row>
    <row r="1055" spans="1:59">
      <c r="A1055">
        <v>0</v>
      </c>
      <c r="B1055">
        <v>0</v>
      </c>
      <c r="C1055">
        <v>4</v>
      </c>
      <c r="D1055" t="s">
        <v>25022</v>
      </c>
      <c r="E1055">
        <v>1646</v>
      </c>
      <c r="F1055" t="s">
        <v>10306</v>
      </c>
      <c r="G1055" t="s">
        <v>57</v>
      </c>
      <c r="H1055">
        <v>1658242</v>
      </c>
      <c r="I1055">
        <v>1658901</v>
      </c>
      <c r="J1055" t="s">
        <v>10307</v>
      </c>
      <c r="K1055">
        <v>220</v>
      </c>
      <c r="L1055" t="s">
        <v>59</v>
      </c>
      <c r="M1055">
        <v>49</v>
      </c>
      <c r="N1055" t="str">
        <f>HYPERLINK("Gene1646-zp_tree_all.dnd", "Gene1646-tree")</f>
        <v>Gene1646-tree</v>
      </c>
      <c r="O1055">
        <v>10</v>
      </c>
      <c r="P1055">
        <v>8</v>
      </c>
      <c r="Q1055">
        <v>10</v>
      </c>
      <c r="R1055">
        <v>8</v>
      </c>
      <c r="S1055">
        <v>0.44444</v>
      </c>
      <c r="T1055" t="s">
        <v>117</v>
      </c>
      <c r="U1055" t="s">
        <v>136</v>
      </c>
      <c r="V1055" t="s">
        <v>62</v>
      </c>
      <c r="W1055" t="s">
        <v>62</v>
      </c>
      <c r="X1055">
        <v>2</v>
      </c>
      <c r="Y1055">
        <v>4</v>
      </c>
      <c r="Z1055">
        <v>10</v>
      </c>
      <c r="AA1055">
        <v>0.28571000000000002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11</v>
      </c>
      <c r="AK1055">
        <v>0</v>
      </c>
      <c r="AL1055">
        <v>14</v>
      </c>
      <c r="AM1055">
        <v>10</v>
      </c>
      <c r="AN1055">
        <v>25</v>
      </c>
      <c r="AO1055">
        <v>11</v>
      </c>
      <c r="AP1055">
        <v>43</v>
      </c>
      <c r="AQ1055">
        <v>3</v>
      </c>
      <c r="AR1055" t="s">
        <v>10308</v>
      </c>
      <c r="AS1055" t="s">
        <v>10309</v>
      </c>
      <c r="AT1055">
        <v>0.999</v>
      </c>
      <c r="AU1055" t="s">
        <v>65</v>
      </c>
      <c r="AV1055">
        <v>68</v>
      </c>
      <c r="AW1055">
        <v>14</v>
      </c>
      <c r="AX1055" t="s">
        <v>10310</v>
      </c>
      <c r="AY1055">
        <v>0.11043</v>
      </c>
      <c r="AZ1055">
        <v>-7.0299999999999998E-3</v>
      </c>
      <c r="BA1055">
        <v>4.5199999999999997E-3</v>
      </c>
      <c r="BB1055">
        <v>-2.7999999999999998E-4</v>
      </c>
      <c r="BC1055">
        <v>4.0890000000000003E-2</v>
      </c>
      <c r="BD1055">
        <v>1</v>
      </c>
      <c r="BE1055" t="s">
        <v>69</v>
      </c>
      <c r="BF1055">
        <v>-1.681</v>
      </c>
      <c r="BG1055">
        <v>-2.1789999999999998</v>
      </c>
    </row>
    <row r="1056" spans="1:59">
      <c r="A1056">
        <v>0</v>
      </c>
      <c r="B1056">
        <v>2</v>
      </c>
      <c r="C1056">
        <v>0</v>
      </c>
      <c r="D1056" t="s">
        <v>25022</v>
      </c>
      <c r="E1056">
        <v>800</v>
      </c>
      <c r="F1056" t="s">
        <v>4972</v>
      </c>
      <c r="G1056" t="s">
        <v>57</v>
      </c>
      <c r="H1056">
        <v>838077</v>
      </c>
      <c r="I1056">
        <v>838739</v>
      </c>
      <c r="J1056" t="s">
        <v>4973</v>
      </c>
      <c r="K1056">
        <v>221</v>
      </c>
      <c r="L1056" t="s">
        <v>160</v>
      </c>
      <c r="M1056">
        <v>45</v>
      </c>
      <c r="N1056" t="str">
        <f>HYPERLINK("Gene800-zp_tree_all.dnd", "Gene800-tree")</f>
        <v>Gene800-tree</v>
      </c>
      <c r="O1056">
        <v>9</v>
      </c>
      <c r="P1056">
        <v>6</v>
      </c>
      <c r="Q1056">
        <v>9</v>
      </c>
      <c r="R1056">
        <v>6</v>
      </c>
      <c r="S1056">
        <v>0.4</v>
      </c>
      <c r="T1056" t="s">
        <v>135</v>
      </c>
      <c r="U1056" t="s">
        <v>90</v>
      </c>
      <c r="V1056" t="s">
        <v>62</v>
      </c>
      <c r="W1056" t="s">
        <v>62</v>
      </c>
      <c r="X1056">
        <v>1</v>
      </c>
      <c r="Y1056">
        <v>2</v>
      </c>
      <c r="Z1056">
        <v>17</v>
      </c>
      <c r="AA1056">
        <v>0.10526000000000001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17</v>
      </c>
      <c r="AK1056">
        <v>0</v>
      </c>
      <c r="AL1056">
        <v>11</v>
      </c>
      <c r="AM1056">
        <v>10</v>
      </c>
      <c r="AN1056">
        <v>15</v>
      </c>
      <c r="AO1056">
        <v>18</v>
      </c>
      <c r="AP1056">
        <v>11</v>
      </c>
      <c r="AQ1056">
        <v>2</v>
      </c>
      <c r="AR1056" t="s">
        <v>4974</v>
      </c>
      <c r="AS1056" t="s">
        <v>4975</v>
      </c>
      <c r="AT1056">
        <v>0.93</v>
      </c>
      <c r="AU1056" t="s">
        <v>65</v>
      </c>
      <c r="AV1056">
        <v>26</v>
      </c>
      <c r="AW1056">
        <v>20</v>
      </c>
      <c r="AX1056" t="s">
        <v>4976</v>
      </c>
      <c r="AY1056">
        <v>3.3119999999999997E-2</v>
      </c>
      <c r="AZ1056">
        <v>-1.5100000000000001E-3</v>
      </c>
      <c r="BA1056">
        <v>6.2599999999999999E-3</v>
      </c>
      <c r="BB1056">
        <v>-6.0999999999999997E-4</v>
      </c>
      <c r="BC1056">
        <v>0.18912000000000001</v>
      </c>
      <c r="BD1056">
        <v>1</v>
      </c>
      <c r="BE1056" t="s">
        <v>69</v>
      </c>
      <c r="BF1056">
        <v>-1.1220000000000001</v>
      </c>
      <c r="BG1056">
        <v>-3.1360000000000001</v>
      </c>
    </row>
    <row r="1057" spans="1:59">
      <c r="A1057">
        <v>0</v>
      </c>
      <c r="B1057">
        <v>0</v>
      </c>
      <c r="C1057">
        <v>5</v>
      </c>
      <c r="D1057" t="s">
        <v>25022</v>
      </c>
      <c r="E1057">
        <v>1394</v>
      </c>
      <c r="F1057" t="s">
        <v>8726</v>
      </c>
      <c r="G1057" t="s">
        <v>57</v>
      </c>
      <c r="H1057">
        <v>1409912</v>
      </c>
      <c r="I1057">
        <v>1410574</v>
      </c>
      <c r="J1057" t="s">
        <v>6103</v>
      </c>
      <c r="K1057">
        <v>221</v>
      </c>
      <c r="L1057" t="s">
        <v>108</v>
      </c>
      <c r="M1057">
        <v>44</v>
      </c>
      <c r="N1057" t="str">
        <f>HYPERLINK("Gene1394-zp_tree_all.dnd", "Gene1394-tree")</f>
        <v>Gene1394-tree</v>
      </c>
      <c r="O1057">
        <v>9</v>
      </c>
      <c r="P1057">
        <v>5</v>
      </c>
      <c r="Q1057">
        <v>9</v>
      </c>
      <c r="R1057">
        <v>5</v>
      </c>
      <c r="S1057">
        <v>0.35714000000000001</v>
      </c>
      <c r="T1057" t="s">
        <v>135</v>
      </c>
      <c r="U1057" t="s">
        <v>199</v>
      </c>
      <c r="V1057" t="s">
        <v>62</v>
      </c>
      <c r="W1057" t="s">
        <v>62</v>
      </c>
      <c r="X1057">
        <v>2</v>
      </c>
      <c r="Y1057">
        <v>5</v>
      </c>
      <c r="Z1057">
        <v>5</v>
      </c>
      <c r="AA1057">
        <v>0.5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3</v>
      </c>
      <c r="AJ1057">
        <v>5</v>
      </c>
      <c r="AK1057">
        <v>0.375</v>
      </c>
      <c r="AL1057">
        <v>11</v>
      </c>
      <c r="AM1057">
        <v>11</v>
      </c>
      <c r="AN1057">
        <v>26</v>
      </c>
      <c r="AO1057">
        <v>7</v>
      </c>
      <c r="AP1057">
        <v>20</v>
      </c>
      <c r="AQ1057">
        <v>3</v>
      </c>
      <c r="AR1057" t="s">
        <v>8727</v>
      </c>
      <c r="AS1057" t="s">
        <v>8728</v>
      </c>
      <c r="AT1057">
        <v>0.45800000000000002</v>
      </c>
      <c r="AU1057" t="s">
        <v>65</v>
      </c>
      <c r="AV1057">
        <v>46</v>
      </c>
      <c r="AW1057">
        <v>10</v>
      </c>
      <c r="AX1057" t="s">
        <v>8729</v>
      </c>
      <c r="AY1057">
        <v>5.756E-2</v>
      </c>
      <c r="AZ1057">
        <v>-2.0899999999999998E-3</v>
      </c>
      <c r="BA1057">
        <v>4.0200000000000001E-3</v>
      </c>
      <c r="BB1057">
        <v>-3.1E-4</v>
      </c>
      <c r="BC1057">
        <v>6.9830000000000003E-2</v>
      </c>
      <c r="BD1057">
        <v>1</v>
      </c>
      <c r="BE1057" t="s">
        <v>69</v>
      </c>
      <c r="BF1057">
        <v>7.0999999999999994E-2</v>
      </c>
      <c r="BG1057">
        <v>-1.603</v>
      </c>
    </row>
    <row r="1058" spans="1:59">
      <c r="A1058">
        <v>0</v>
      </c>
      <c r="B1058">
        <v>3</v>
      </c>
      <c r="C1058">
        <v>0</v>
      </c>
      <c r="D1058" t="s">
        <v>25022</v>
      </c>
      <c r="E1058">
        <v>935</v>
      </c>
      <c r="F1058" t="s">
        <v>5855</v>
      </c>
      <c r="G1058" t="s">
        <v>57</v>
      </c>
      <c r="H1058">
        <v>977069</v>
      </c>
      <c r="I1058">
        <v>977731</v>
      </c>
      <c r="J1058" t="s">
        <v>5856</v>
      </c>
      <c r="K1058">
        <v>221</v>
      </c>
      <c r="L1058" t="s">
        <v>289</v>
      </c>
      <c r="M1058">
        <v>46</v>
      </c>
      <c r="N1058" t="str">
        <f>HYPERLINK("Gene935-zp_tree_all.dnd", "Gene935-tree")</f>
        <v>Gene935-tree</v>
      </c>
      <c r="O1058">
        <v>10</v>
      </c>
      <c r="P1058">
        <v>2</v>
      </c>
      <c r="Q1058">
        <v>10</v>
      </c>
      <c r="R1058">
        <v>2</v>
      </c>
      <c r="S1058">
        <v>0.16667000000000001</v>
      </c>
      <c r="T1058" t="s">
        <v>117</v>
      </c>
      <c r="U1058" t="s">
        <v>81</v>
      </c>
      <c r="V1058" t="s">
        <v>62</v>
      </c>
      <c r="W1058" t="s">
        <v>62</v>
      </c>
      <c r="X1058">
        <v>1</v>
      </c>
      <c r="Y1058">
        <v>3</v>
      </c>
      <c r="Z1058">
        <v>5</v>
      </c>
      <c r="AA1058">
        <v>0.375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</v>
      </c>
      <c r="AK1058">
        <v>0</v>
      </c>
      <c r="AL1058">
        <v>10</v>
      </c>
      <c r="AM1058">
        <v>7</v>
      </c>
      <c r="AN1058">
        <v>17</v>
      </c>
      <c r="AO1058">
        <v>2</v>
      </c>
      <c r="AP1058">
        <v>25</v>
      </c>
      <c r="AQ1058">
        <v>6</v>
      </c>
      <c r="AR1058" t="s">
        <v>5857</v>
      </c>
      <c r="AS1058" t="s">
        <v>5858</v>
      </c>
      <c r="AT1058">
        <v>0.20899999999999999</v>
      </c>
      <c r="AU1058" t="s">
        <v>65</v>
      </c>
      <c r="AV1058">
        <v>42</v>
      </c>
      <c r="AW1058">
        <v>8</v>
      </c>
      <c r="AX1058" t="s">
        <v>5859</v>
      </c>
      <c r="AY1058">
        <v>6.9139999999999993E-2</v>
      </c>
      <c r="AZ1058">
        <v>-7.3099999999999997E-3</v>
      </c>
      <c r="BA1058">
        <v>3.7799999999999999E-3</v>
      </c>
      <c r="BB1058">
        <v>-5.5000000000000003E-4</v>
      </c>
      <c r="BC1058">
        <v>5.4620000000000002E-2</v>
      </c>
      <c r="BD1058">
        <v>1</v>
      </c>
      <c r="BE1058" t="s">
        <v>69</v>
      </c>
      <c r="BF1058">
        <v>-0.96199999999999997</v>
      </c>
      <c r="BG1058">
        <v>0.81799999999999995</v>
      </c>
    </row>
    <row r="1059" spans="1:59">
      <c r="A1059">
        <v>0</v>
      </c>
      <c r="B1059">
        <v>2</v>
      </c>
      <c r="C1059">
        <v>0</v>
      </c>
      <c r="D1059" t="s">
        <v>25022</v>
      </c>
      <c r="E1059">
        <v>817</v>
      </c>
      <c r="F1059" t="s">
        <v>5086</v>
      </c>
      <c r="G1059" t="s">
        <v>57</v>
      </c>
      <c r="H1059">
        <v>854412</v>
      </c>
      <c r="I1059">
        <v>855074</v>
      </c>
      <c r="J1059" t="s">
        <v>5087</v>
      </c>
      <c r="K1059">
        <v>221</v>
      </c>
      <c r="L1059" t="s">
        <v>108</v>
      </c>
      <c r="M1059">
        <v>44</v>
      </c>
      <c r="N1059" t="str">
        <f>HYPERLINK("Gene817-zp_tree_all.dnd", "Gene817-tree")</f>
        <v>Gene817-tree</v>
      </c>
      <c r="O1059">
        <v>9</v>
      </c>
      <c r="P1059">
        <v>3</v>
      </c>
      <c r="Q1059">
        <v>9</v>
      </c>
      <c r="R1059">
        <v>3</v>
      </c>
      <c r="S1059">
        <v>0.25</v>
      </c>
      <c r="T1059" t="s">
        <v>135</v>
      </c>
      <c r="U1059" t="s">
        <v>324</v>
      </c>
      <c r="V1059" t="s">
        <v>62</v>
      </c>
      <c r="W1059" t="s">
        <v>62</v>
      </c>
      <c r="X1059">
        <v>1</v>
      </c>
      <c r="Y1059">
        <v>2</v>
      </c>
      <c r="Z1059">
        <v>3</v>
      </c>
      <c r="AA1059">
        <v>0.4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4</v>
      </c>
      <c r="AK1059">
        <v>0</v>
      </c>
      <c r="AL1059">
        <v>10</v>
      </c>
      <c r="AM1059">
        <v>7</v>
      </c>
      <c r="AN1059">
        <v>16</v>
      </c>
      <c r="AO1059">
        <v>4</v>
      </c>
      <c r="AP1059">
        <v>7</v>
      </c>
      <c r="AQ1059">
        <v>1</v>
      </c>
      <c r="AR1059" t="s">
        <v>5088</v>
      </c>
      <c r="AS1059" t="s">
        <v>5089</v>
      </c>
      <c r="AT1059">
        <v>0.254</v>
      </c>
      <c r="AU1059" t="s">
        <v>65</v>
      </c>
      <c r="AV1059">
        <v>23</v>
      </c>
      <c r="AW1059">
        <v>5</v>
      </c>
      <c r="AX1059" t="s">
        <v>5090</v>
      </c>
      <c r="AY1059">
        <v>3.3489999999999999E-2</v>
      </c>
      <c r="AZ1059">
        <v>-1.75E-3</v>
      </c>
      <c r="BA1059">
        <v>1.56E-3</v>
      </c>
      <c r="BB1059">
        <v>-2.0000000000000001E-4</v>
      </c>
      <c r="BC1059">
        <v>4.6489999999999997E-2</v>
      </c>
      <c r="BD1059">
        <v>1</v>
      </c>
      <c r="BE1059" t="s">
        <v>69</v>
      </c>
      <c r="BF1059">
        <v>-0.59</v>
      </c>
      <c r="BG1059">
        <v>0.38700000000000001</v>
      </c>
    </row>
    <row r="1060" spans="1:59">
      <c r="A1060">
        <v>0</v>
      </c>
      <c r="B1060">
        <v>0</v>
      </c>
      <c r="C1060">
        <v>0</v>
      </c>
      <c r="D1060" t="s">
        <v>25022</v>
      </c>
      <c r="E1060">
        <v>1697</v>
      </c>
      <c r="F1060" t="s">
        <v>10638</v>
      </c>
      <c r="G1060" t="s">
        <v>57</v>
      </c>
      <c r="H1060">
        <v>1704863</v>
      </c>
      <c r="I1060">
        <v>1705525</v>
      </c>
      <c r="J1060" t="s">
        <v>10639</v>
      </c>
      <c r="K1060">
        <v>221</v>
      </c>
      <c r="L1060" t="s">
        <v>59</v>
      </c>
      <c r="M1060">
        <v>49</v>
      </c>
      <c r="N1060" t="str">
        <f>HYPERLINK("Gene1697-zp_tree_all.dnd", "Gene1697-tree")</f>
        <v>Gene1697-tree</v>
      </c>
      <c r="O1060">
        <v>12</v>
      </c>
      <c r="P1060">
        <v>3</v>
      </c>
      <c r="Q1060">
        <v>12</v>
      </c>
      <c r="R1060">
        <v>3</v>
      </c>
      <c r="S1060">
        <v>0.2</v>
      </c>
      <c r="T1060" t="s">
        <v>109</v>
      </c>
      <c r="U1060" t="s">
        <v>324</v>
      </c>
      <c r="V1060" t="s">
        <v>62</v>
      </c>
      <c r="W1060" t="s">
        <v>62</v>
      </c>
      <c r="X1060">
        <v>0</v>
      </c>
      <c r="Y1060">
        <v>0</v>
      </c>
      <c r="Z1060">
        <v>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6</v>
      </c>
      <c r="AK1060">
        <v>0</v>
      </c>
      <c r="AL1060">
        <v>11</v>
      </c>
      <c r="AM1060">
        <v>8</v>
      </c>
      <c r="AN1060">
        <v>22</v>
      </c>
      <c r="AO1060">
        <v>7</v>
      </c>
      <c r="AP1060">
        <v>33</v>
      </c>
      <c r="AQ1060">
        <v>2</v>
      </c>
      <c r="AR1060" t="s">
        <v>10640</v>
      </c>
      <c r="AS1060" t="s">
        <v>10641</v>
      </c>
      <c r="AT1060">
        <v>0.59899999999999998</v>
      </c>
      <c r="AU1060" t="s">
        <v>65</v>
      </c>
      <c r="AV1060">
        <v>55</v>
      </c>
      <c r="AW1060">
        <v>9</v>
      </c>
      <c r="AX1060" t="s">
        <v>10642</v>
      </c>
      <c r="AY1060">
        <v>0.10485</v>
      </c>
      <c r="AZ1060">
        <v>-7.4799999999999997E-3</v>
      </c>
      <c r="BA1060">
        <v>3.2200000000000002E-3</v>
      </c>
      <c r="BB1060">
        <v>-3.2000000000000003E-4</v>
      </c>
      <c r="BC1060">
        <v>3.0700000000000002E-2</v>
      </c>
      <c r="BD1060">
        <v>1</v>
      </c>
      <c r="BE1060" t="s">
        <v>69</v>
      </c>
      <c r="BF1060">
        <v>-1.7</v>
      </c>
      <c r="BG1060">
        <v>-1.9870000000000001</v>
      </c>
    </row>
    <row r="1061" spans="1:59">
      <c r="A1061">
        <v>0</v>
      </c>
      <c r="B1061">
        <v>2</v>
      </c>
      <c r="C1061">
        <v>0</v>
      </c>
      <c r="D1061" t="s">
        <v>25022</v>
      </c>
      <c r="E1061">
        <v>2026</v>
      </c>
      <c r="F1061" t="s">
        <v>12608</v>
      </c>
      <c r="G1061" t="s">
        <v>62</v>
      </c>
      <c r="H1061">
        <v>2121644</v>
      </c>
      <c r="I1061">
        <v>2122306</v>
      </c>
      <c r="J1061" t="s">
        <v>12609</v>
      </c>
      <c r="K1061">
        <v>221</v>
      </c>
      <c r="L1061" t="s">
        <v>59</v>
      </c>
      <c r="M1061">
        <v>49</v>
      </c>
      <c r="N1061" t="str">
        <f>HYPERLINK("Gene2026-zp_tree_all.dnd", "Gene2026-tree")</f>
        <v>Gene2026-tree</v>
      </c>
      <c r="O1061">
        <v>14</v>
      </c>
      <c r="P1061">
        <v>2</v>
      </c>
      <c r="Q1061">
        <v>14</v>
      </c>
      <c r="R1061">
        <v>2</v>
      </c>
      <c r="S1061">
        <v>0.125</v>
      </c>
      <c r="T1061" t="s">
        <v>543</v>
      </c>
      <c r="U1061" t="s">
        <v>81</v>
      </c>
      <c r="V1061" t="s">
        <v>62</v>
      </c>
      <c r="W1061" t="s">
        <v>62</v>
      </c>
      <c r="X1061">
        <v>1</v>
      </c>
      <c r="Y1061">
        <v>2</v>
      </c>
      <c r="Z1061">
        <v>2</v>
      </c>
      <c r="AA1061">
        <v>0.5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</v>
      </c>
      <c r="AK1061">
        <v>0</v>
      </c>
      <c r="AL1061">
        <v>11</v>
      </c>
      <c r="AM1061">
        <v>12</v>
      </c>
      <c r="AN1061">
        <v>28</v>
      </c>
      <c r="AO1061">
        <v>2</v>
      </c>
      <c r="AP1061">
        <v>56</v>
      </c>
      <c r="AQ1061">
        <v>2</v>
      </c>
      <c r="AR1061" t="s">
        <v>12610</v>
      </c>
      <c r="AS1061" t="s">
        <v>12611</v>
      </c>
      <c r="AT1061">
        <v>0.22500000000000001</v>
      </c>
      <c r="AU1061" t="s">
        <v>65</v>
      </c>
      <c r="AV1061">
        <v>84</v>
      </c>
      <c r="AW1061">
        <v>4</v>
      </c>
      <c r="AX1061" t="s">
        <v>12612</v>
      </c>
      <c r="AY1061">
        <v>0.15187999999999999</v>
      </c>
      <c r="AZ1061">
        <v>-8.8400000000000006E-3</v>
      </c>
      <c r="BA1061">
        <v>2.2599999999999999E-3</v>
      </c>
      <c r="BB1061">
        <v>-2.1000000000000001E-4</v>
      </c>
      <c r="BC1061">
        <v>1.486E-2</v>
      </c>
      <c r="BD1061">
        <v>1</v>
      </c>
      <c r="BE1061" t="s">
        <v>69</v>
      </c>
      <c r="BF1061">
        <v>-0.96799999999999997</v>
      </c>
      <c r="BG1061">
        <v>0.373</v>
      </c>
    </row>
    <row r="1062" spans="1:59">
      <c r="A1062">
        <v>0</v>
      </c>
      <c r="B1062">
        <v>0</v>
      </c>
      <c r="C1062">
        <v>0</v>
      </c>
      <c r="D1062" t="s">
        <v>25022</v>
      </c>
      <c r="E1062">
        <v>1508</v>
      </c>
      <c r="F1062" t="s">
        <v>9426</v>
      </c>
      <c r="G1062" t="s">
        <v>57</v>
      </c>
      <c r="H1062">
        <v>1520531</v>
      </c>
      <c r="I1062">
        <v>1521193</v>
      </c>
      <c r="J1062" t="s">
        <v>9427</v>
      </c>
      <c r="K1062">
        <v>221</v>
      </c>
      <c r="L1062" t="s">
        <v>108</v>
      </c>
      <c r="M1062">
        <v>44</v>
      </c>
      <c r="N1062" t="str">
        <f>HYPERLINK("Gene1508-zp_tree_all.dnd", "Gene1508-tree")</f>
        <v>Gene1508-tree</v>
      </c>
      <c r="O1062">
        <v>7</v>
      </c>
      <c r="P1062">
        <v>1</v>
      </c>
      <c r="Q1062">
        <v>7</v>
      </c>
      <c r="R1062">
        <v>1</v>
      </c>
      <c r="S1062">
        <v>0.125</v>
      </c>
      <c r="T1062" t="s">
        <v>152</v>
      </c>
      <c r="U1062" t="s">
        <v>175</v>
      </c>
      <c r="V1062" t="s">
        <v>62</v>
      </c>
      <c r="W1062" t="s">
        <v>62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6</v>
      </c>
      <c r="AM1062">
        <v>3</v>
      </c>
      <c r="AN1062">
        <v>14</v>
      </c>
      <c r="AO1062">
        <v>1</v>
      </c>
      <c r="AP1062">
        <v>4</v>
      </c>
      <c r="AQ1062">
        <v>0</v>
      </c>
      <c r="AR1062" t="s">
        <v>9428</v>
      </c>
      <c r="AS1062" t="s">
        <v>193</v>
      </c>
      <c r="AT1062">
        <v>0.45800000000000002</v>
      </c>
      <c r="AU1062" t="s">
        <v>65</v>
      </c>
      <c r="AV1062">
        <v>18</v>
      </c>
      <c r="AW1062">
        <v>1</v>
      </c>
      <c r="AX1062" t="s">
        <v>9429</v>
      </c>
      <c r="AY1062">
        <v>3.4290000000000001E-2</v>
      </c>
      <c r="AZ1062">
        <v>-2.5300000000000001E-3</v>
      </c>
      <c r="BA1062">
        <v>4.8999999999999998E-4</v>
      </c>
      <c r="BB1062">
        <v>-1.6000000000000001E-4</v>
      </c>
      <c r="BC1062">
        <v>1.431E-2</v>
      </c>
      <c r="BD1062">
        <v>1</v>
      </c>
      <c r="BE1062" t="s">
        <v>69</v>
      </c>
      <c r="BF1062">
        <v>-0.501</v>
      </c>
      <c r="BG1062">
        <v>-1.79</v>
      </c>
    </row>
    <row r="1063" spans="1:59">
      <c r="A1063">
        <v>0</v>
      </c>
      <c r="B1063">
        <v>9</v>
      </c>
      <c r="C1063">
        <v>0</v>
      </c>
      <c r="D1063" t="s">
        <v>25022</v>
      </c>
      <c r="E1063">
        <v>3125</v>
      </c>
      <c r="F1063" t="s">
        <v>18132</v>
      </c>
      <c r="G1063" t="s">
        <v>62</v>
      </c>
      <c r="H1063">
        <v>3078646</v>
      </c>
      <c r="I1063">
        <v>3079311</v>
      </c>
      <c r="J1063" t="s">
        <v>18133</v>
      </c>
      <c r="K1063">
        <v>222</v>
      </c>
      <c r="L1063" t="s">
        <v>2289</v>
      </c>
      <c r="M1063">
        <v>37</v>
      </c>
      <c r="N1063" t="str">
        <f>HYPERLINK("Gene3125-zp_tree_all.dnd", "Gene3125-tree")</f>
        <v>Gene3125-tree</v>
      </c>
      <c r="O1063">
        <v>4</v>
      </c>
      <c r="P1063">
        <v>9</v>
      </c>
      <c r="Q1063">
        <v>4</v>
      </c>
      <c r="R1063">
        <v>9</v>
      </c>
      <c r="S1063">
        <v>0.69230999999999998</v>
      </c>
      <c r="T1063" t="s">
        <v>61</v>
      </c>
      <c r="U1063" t="s">
        <v>135</v>
      </c>
      <c r="V1063" t="s">
        <v>62</v>
      </c>
      <c r="W1063" t="s">
        <v>62</v>
      </c>
      <c r="X1063">
        <v>4</v>
      </c>
      <c r="Y1063">
        <v>9</v>
      </c>
      <c r="Z1063">
        <v>9</v>
      </c>
      <c r="AA1063">
        <v>0.5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4</v>
      </c>
      <c r="AH1063">
        <v>0</v>
      </c>
      <c r="AI1063">
        <v>4</v>
      </c>
      <c r="AJ1063">
        <v>11</v>
      </c>
      <c r="AK1063">
        <v>0.26667000000000002</v>
      </c>
      <c r="AL1063">
        <v>11</v>
      </c>
      <c r="AM1063">
        <v>10</v>
      </c>
      <c r="AN1063">
        <v>18</v>
      </c>
      <c r="AO1063">
        <v>12</v>
      </c>
      <c r="AP1063">
        <v>18</v>
      </c>
      <c r="AQ1063">
        <v>6</v>
      </c>
      <c r="AR1063" t="s">
        <v>18134</v>
      </c>
      <c r="AS1063" t="s">
        <v>18135</v>
      </c>
      <c r="AT1063">
        <v>0.64900000000000002</v>
      </c>
      <c r="AU1063" t="s">
        <v>65</v>
      </c>
      <c r="AV1063">
        <v>36</v>
      </c>
      <c r="AW1063">
        <v>18</v>
      </c>
      <c r="AX1063" t="s">
        <v>18136</v>
      </c>
      <c r="AY1063">
        <v>5.2679999999999998E-2</v>
      </c>
      <c r="AZ1063">
        <v>-2.4499999999999999E-3</v>
      </c>
      <c r="BA1063">
        <v>6.4400000000000004E-3</v>
      </c>
      <c r="BB1063">
        <v>-3.8999999999999999E-4</v>
      </c>
      <c r="BC1063">
        <v>0.12227</v>
      </c>
      <c r="BD1063">
        <v>1</v>
      </c>
      <c r="BE1063" t="s">
        <v>69</v>
      </c>
      <c r="BF1063">
        <v>-0.65200000000000002</v>
      </c>
      <c r="BG1063">
        <v>-0.92100000000000004</v>
      </c>
    </row>
    <row r="1064" spans="1:59">
      <c r="A1064">
        <v>0</v>
      </c>
      <c r="B1064">
        <v>10</v>
      </c>
      <c r="C1064">
        <v>0</v>
      </c>
      <c r="D1064" t="s">
        <v>25022</v>
      </c>
      <c r="E1064">
        <v>3966</v>
      </c>
      <c r="F1064" t="s">
        <v>23305</v>
      </c>
      <c r="G1064" t="s">
        <v>62</v>
      </c>
      <c r="H1064">
        <v>3930710</v>
      </c>
      <c r="I1064">
        <v>3931375</v>
      </c>
      <c r="J1064" t="s">
        <v>23306</v>
      </c>
      <c r="K1064">
        <v>222</v>
      </c>
      <c r="L1064" t="s">
        <v>108</v>
      </c>
      <c r="M1064">
        <v>44</v>
      </c>
      <c r="N1064" t="str">
        <f>HYPERLINK("Gene3966-zp_tree_all.dnd", "Gene3966-tree")</f>
        <v>Gene3966-tree</v>
      </c>
      <c r="O1064">
        <v>7</v>
      </c>
      <c r="P1064">
        <v>5</v>
      </c>
      <c r="Q1064">
        <v>7</v>
      </c>
      <c r="R1064">
        <v>5</v>
      </c>
      <c r="S1064">
        <v>0.41666999999999998</v>
      </c>
      <c r="T1064" t="s">
        <v>152</v>
      </c>
      <c r="U1064" t="s">
        <v>199</v>
      </c>
      <c r="V1064" t="s">
        <v>62</v>
      </c>
      <c r="W1064" t="s">
        <v>62</v>
      </c>
      <c r="X1064">
        <v>4</v>
      </c>
      <c r="Y1064">
        <v>10</v>
      </c>
      <c r="Z1064">
        <v>7</v>
      </c>
      <c r="AA1064">
        <v>0.58823999999999999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</v>
      </c>
      <c r="AH1064">
        <v>0</v>
      </c>
      <c r="AI1064">
        <v>2</v>
      </c>
      <c r="AJ1064">
        <v>6</v>
      </c>
      <c r="AK1064">
        <v>0.25</v>
      </c>
      <c r="AL1064">
        <v>11</v>
      </c>
      <c r="AM1064">
        <v>8</v>
      </c>
      <c r="AN1064">
        <v>24</v>
      </c>
      <c r="AO1064">
        <v>8</v>
      </c>
      <c r="AP1064">
        <v>23</v>
      </c>
      <c r="AQ1064">
        <v>9</v>
      </c>
      <c r="AR1064" t="s">
        <v>23307</v>
      </c>
      <c r="AS1064" t="s">
        <v>23308</v>
      </c>
      <c r="AT1064">
        <v>0.189</v>
      </c>
      <c r="AU1064" t="s">
        <v>65</v>
      </c>
      <c r="AV1064">
        <v>47</v>
      </c>
      <c r="AW1064">
        <v>17</v>
      </c>
      <c r="AX1064" t="s">
        <v>23309</v>
      </c>
      <c r="AY1064">
        <v>6.9019999999999998E-2</v>
      </c>
      <c r="AZ1064">
        <v>-3.5699999999999998E-3</v>
      </c>
      <c r="BA1064">
        <v>6.4400000000000004E-3</v>
      </c>
      <c r="BB1064">
        <v>-4.2999999999999999E-4</v>
      </c>
      <c r="BC1064">
        <v>9.3310000000000004E-2</v>
      </c>
      <c r="BD1064">
        <v>1</v>
      </c>
      <c r="BE1064" t="s">
        <v>69</v>
      </c>
      <c r="BF1064">
        <v>0.71599999999999997</v>
      </c>
      <c r="BG1064">
        <v>-0.46200000000000002</v>
      </c>
    </row>
    <row r="1065" spans="1:59">
      <c r="A1065">
        <v>0</v>
      </c>
      <c r="B1065">
        <v>0</v>
      </c>
      <c r="C1065">
        <v>0</v>
      </c>
      <c r="D1065" t="s">
        <v>25022</v>
      </c>
      <c r="E1065">
        <v>3475</v>
      </c>
      <c r="F1065" t="s">
        <v>20355</v>
      </c>
      <c r="G1065" t="s">
        <v>62</v>
      </c>
      <c r="H1065">
        <v>3438068</v>
      </c>
      <c r="I1065">
        <v>3438733</v>
      </c>
      <c r="J1065" t="s">
        <v>9249</v>
      </c>
      <c r="K1065">
        <v>222</v>
      </c>
      <c r="L1065" t="s">
        <v>108</v>
      </c>
      <c r="M1065">
        <v>44</v>
      </c>
      <c r="N1065" t="str">
        <f>HYPERLINK("Gene3475-zp_tree_all.dnd", "Gene3475-tree")</f>
        <v>Gene3475-tree</v>
      </c>
      <c r="O1065">
        <v>27</v>
      </c>
      <c r="P1065">
        <v>3</v>
      </c>
      <c r="Q1065">
        <v>8</v>
      </c>
      <c r="R1065">
        <v>3</v>
      </c>
      <c r="S1065">
        <v>0.27272999999999997</v>
      </c>
      <c r="T1065" t="s">
        <v>282</v>
      </c>
      <c r="U1065" t="s">
        <v>324</v>
      </c>
      <c r="V1065" t="s">
        <v>62</v>
      </c>
      <c r="W1065" t="s">
        <v>62</v>
      </c>
      <c r="X1065">
        <v>0</v>
      </c>
      <c r="Y1065">
        <v>0</v>
      </c>
      <c r="Z1065">
        <v>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5</v>
      </c>
      <c r="AK1065">
        <v>0</v>
      </c>
      <c r="AL1065">
        <v>8</v>
      </c>
      <c r="AM1065">
        <v>4</v>
      </c>
      <c r="AN1065">
        <v>9</v>
      </c>
      <c r="AO1065">
        <v>6</v>
      </c>
      <c r="AP1065">
        <v>4</v>
      </c>
      <c r="AQ1065">
        <v>0</v>
      </c>
      <c r="AR1065" t="s">
        <v>20356</v>
      </c>
      <c r="AS1065" t="s">
        <v>193</v>
      </c>
      <c r="AT1065">
        <v>1.179</v>
      </c>
      <c r="AU1065" t="s">
        <v>65</v>
      </c>
      <c r="AV1065">
        <v>13</v>
      </c>
      <c r="AW1065">
        <v>6</v>
      </c>
      <c r="AX1065" t="s">
        <v>20357</v>
      </c>
      <c r="AY1065">
        <v>2.2749999999999999E-2</v>
      </c>
      <c r="AZ1065">
        <v>-1.5100000000000001E-3</v>
      </c>
      <c r="BA1065">
        <v>2.0899999999999998E-3</v>
      </c>
      <c r="BB1065">
        <v>-3.4000000000000002E-4</v>
      </c>
      <c r="BC1065">
        <v>9.178E-2</v>
      </c>
      <c r="BD1065">
        <v>1</v>
      </c>
      <c r="BE1065" t="s">
        <v>69</v>
      </c>
      <c r="BF1065">
        <v>-1.0580000000000001</v>
      </c>
      <c r="BG1065">
        <v>-1.84</v>
      </c>
    </row>
    <row r="1066" spans="1:59">
      <c r="A1066">
        <v>0</v>
      </c>
      <c r="B1066">
        <v>0</v>
      </c>
      <c r="C1066">
        <v>0</v>
      </c>
      <c r="D1066" t="s">
        <v>25022</v>
      </c>
      <c r="E1066">
        <v>3395</v>
      </c>
      <c r="F1066" t="s">
        <v>19858</v>
      </c>
      <c r="G1066" t="s">
        <v>62</v>
      </c>
      <c r="H1066">
        <v>3362608</v>
      </c>
      <c r="I1066">
        <v>3363273</v>
      </c>
      <c r="J1066" t="s">
        <v>19859</v>
      </c>
      <c r="K1066">
        <v>222</v>
      </c>
      <c r="L1066" t="s">
        <v>108</v>
      </c>
      <c r="M1066">
        <v>44</v>
      </c>
      <c r="N1066" t="str">
        <f>HYPERLINK("Gene3395-zp_tree_all.dnd", "Gene3395-tree")</f>
        <v>Gene3395-tree</v>
      </c>
      <c r="O1066">
        <v>10</v>
      </c>
      <c r="P1066">
        <v>3</v>
      </c>
      <c r="Q1066">
        <v>10</v>
      </c>
      <c r="R1066">
        <v>3</v>
      </c>
      <c r="S1066">
        <v>0.23077</v>
      </c>
      <c r="T1066" t="s">
        <v>117</v>
      </c>
      <c r="U1066" t="s">
        <v>324</v>
      </c>
      <c r="V1066" t="s">
        <v>62</v>
      </c>
      <c r="W1066" t="s">
        <v>62</v>
      </c>
      <c r="X1066">
        <v>0</v>
      </c>
      <c r="Y1066">
        <v>0</v>
      </c>
      <c r="Z1066">
        <v>3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3</v>
      </c>
      <c r="AK1066">
        <v>0</v>
      </c>
      <c r="AL1066">
        <v>10</v>
      </c>
      <c r="AM1066">
        <v>4</v>
      </c>
      <c r="AN1066">
        <v>16</v>
      </c>
      <c r="AO1066">
        <v>3</v>
      </c>
      <c r="AP1066">
        <v>4</v>
      </c>
      <c r="AQ1066">
        <v>0</v>
      </c>
      <c r="AR1066" t="s">
        <v>19860</v>
      </c>
      <c r="AS1066" t="s">
        <v>193</v>
      </c>
      <c r="AT1066">
        <v>1.153</v>
      </c>
      <c r="AU1066" t="s">
        <v>65</v>
      </c>
      <c r="AV1066">
        <v>20</v>
      </c>
      <c r="AW1066">
        <v>3</v>
      </c>
      <c r="AX1066" t="s">
        <v>19861</v>
      </c>
      <c r="AY1066">
        <v>2.2939999999999999E-2</v>
      </c>
      <c r="AZ1066">
        <v>-1.32E-3</v>
      </c>
      <c r="BA1066">
        <v>9.3000000000000005E-4</v>
      </c>
      <c r="BB1066">
        <v>-1.2E-4</v>
      </c>
      <c r="BC1066">
        <v>4.0620000000000003E-2</v>
      </c>
      <c r="BD1066">
        <v>1</v>
      </c>
      <c r="BE1066" t="s">
        <v>69</v>
      </c>
      <c r="BF1066">
        <v>-6.6000000000000003E-2</v>
      </c>
      <c r="BG1066">
        <v>-1.1719999999999999</v>
      </c>
    </row>
    <row r="1067" spans="1:59">
      <c r="A1067">
        <v>0</v>
      </c>
      <c r="B1067">
        <v>0</v>
      </c>
      <c r="C1067">
        <v>0</v>
      </c>
      <c r="D1067" t="s">
        <v>25022</v>
      </c>
      <c r="E1067">
        <v>1516</v>
      </c>
      <c r="F1067" t="s">
        <v>9470</v>
      </c>
      <c r="G1067" t="s">
        <v>57</v>
      </c>
      <c r="H1067">
        <v>1527231</v>
      </c>
      <c r="I1067">
        <v>1527899</v>
      </c>
      <c r="J1067" t="s">
        <v>1523</v>
      </c>
      <c r="K1067">
        <v>223</v>
      </c>
      <c r="L1067" t="s">
        <v>1907</v>
      </c>
      <c r="M1067">
        <v>38</v>
      </c>
      <c r="N1067" t="str">
        <f>HYPERLINK("Gene1516-zp_tree_all.dnd", "Gene1516-tree")</f>
        <v>Gene1516-tree</v>
      </c>
      <c r="O1067">
        <v>29</v>
      </c>
      <c r="P1067">
        <v>5</v>
      </c>
      <c r="Q1067">
        <v>7</v>
      </c>
      <c r="R1067">
        <v>5</v>
      </c>
      <c r="S1067">
        <v>0.41666999999999998</v>
      </c>
      <c r="T1067" t="s">
        <v>1406</v>
      </c>
      <c r="U1067" t="s">
        <v>199</v>
      </c>
      <c r="V1067" t="s">
        <v>62</v>
      </c>
      <c r="W1067" t="s">
        <v>62</v>
      </c>
      <c r="X1067">
        <v>0</v>
      </c>
      <c r="Y1067">
        <v>0</v>
      </c>
      <c r="Z1067">
        <v>9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7</v>
      </c>
      <c r="AK1067">
        <v>0</v>
      </c>
      <c r="AL1067">
        <v>7</v>
      </c>
      <c r="AM1067">
        <v>5</v>
      </c>
      <c r="AN1067">
        <v>11</v>
      </c>
      <c r="AO1067">
        <v>6</v>
      </c>
      <c r="AP1067">
        <v>3</v>
      </c>
      <c r="AQ1067">
        <v>3</v>
      </c>
      <c r="AR1067" t="s">
        <v>9471</v>
      </c>
      <c r="AS1067" t="s">
        <v>9472</v>
      </c>
      <c r="AT1067">
        <v>0.67500000000000004</v>
      </c>
      <c r="AU1067" t="s">
        <v>65</v>
      </c>
      <c r="AV1067">
        <v>14</v>
      </c>
      <c r="AW1067">
        <v>9</v>
      </c>
      <c r="AX1067" t="s">
        <v>9473</v>
      </c>
      <c r="AY1067">
        <v>2.0660000000000001E-2</v>
      </c>
      <c r="AZ1067">
        <v>-1.3699999999999999E-3</v>
      </c>
      <c r="BA1067">
        <v>4.5300000000000002E-3</v>
      </c>
      <c r="BB1067">
        <v>-3.8000000000000002E-4</v>
      </c>
      <c r="BC1067">
        <v>0.21926000000000001</v>
      </c>
      <c r="BD1067">
        <v>1</v>
      </c>
      <c r="BE1067" t="s">
        <v>69</v>
      </c>
      <c r="BF1067">
        <v>-1.6970000000000001</v>
      </c>
      <c r="BG1067">
        <v>-3.0870000000000002</v>
      </c>
    </row>
    <row r="1068" spans="1:59">
      <c r="A1068">
        <v>0</v>
      </c>
      <c r="B1068">
        <v>0</v>
      </c>
      <c r="C1068">
        <v>0</v>
      </c>
      <c r="D1068" t="s">
        <v>25022</v>
      </c>
      <c r="E1068">
        <v>4083</v>
      </c>
      <c r="F1068" t="s">
        <v>24035</v>
      </c>
      <c r="G1068" t="s">
        <v>62</v>
      </c>
      <c r="H1068">
        <v>4051605</v>
      </c>
      <c r="I1068">
        <v>4052273</v>
      </c>
      <c r="J1068" t="s">
        <v>24036</v>
      </c>
      <c r="K1068">
        <v>223</v>
      </c>
      <c r="L1068" t="s">
        <v>108</v>
      </c>
      <c r="M1068">
        <v>44</v>
      </c>
      <c r="N1068" t="str">
        <f>HYPERLINK("Gene4083-zp_tree_all.dnd", "Gene4083-tree")</f>
        <v>Gene4083-tree</v>
      </c>
      <c r="O1068">
        <v>10</v>
      </c>
      <c r="P1068">
        <v>4</v>
      </c>
      <c r="Q1068">
        <v>10</v>
      </c>
      <c r="R1068">
        <v>4</v>
      </c>
      <c r="S1068">
        <v>0.28571000000000002</v>
      </c>
      <c r="T1068" t="s">
        <v>117</v>
      </c>
      <c r="U1068" t="s">
        <v>61</v>
      </c>
      <c r="V1068" t="s">
        <v>62</v>
      </c>
      <c r="W1068" t="s">
        <v>62</v>
      </c>
      <c r="X1068">
        <v>0</v>
      </c>
      <c r="Y1068">
        <v>0</v>
      </c>
      <c r="Z1068">
        <v>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5</v>
      </c>
      <c r="AK1068">
        <v>0</v>
      </c>
      <c r="AL1068">
        <v>11</v>
      </c>
      <c r="AM1068">
        <v>7</v>
      </c>
      <c r="AN1068">
        <v>12</v>
      </c>
      <c r="AO1068">
        <v>5</v>
      </c>
      <c r="AP1068">
        <v>10</v>
      </c>
      <c r="AQ1068">
        <v>3</v>
      </c>
      <c r="AR1068" t="s">
        <v>24037</v>
      </c>
      <c r="AS1068" t="s">
        <v>24038</v>
      </c>
      <c r="AT1068">
        <v>0.28899999999999998</v>
      </c>
      <c r="AU1068" t="s">
        <v>65</v>
      </c>
      <c r="AV1068">
        <v>22</v>
      </c>
      <c r="AW1068">
        <v>8</v>
      </c>
      <c r="AX1068" t="s">
        <v>18470</v>
      </c>
      <c r="AY1068">
        <v>2.8389999999999999E-2</v>
      </c>
      <c r="AZ1068">
        <v>-1.4E-3</v>
      </c>
      <c r="BA1068">
        <v>3.64E-3</v>
      </c>
      <c r="BB1068">
        <v>-2.4000000000000001E-4</v>
      </c>
      <c r="BC1068">
        <v>0.12837000000000001</v>
      </c>
      <c r="BD1068">
        <v>1</v>
      </c>
      <c r="BE1068" t="s">
        <v>69</v>
      </c>
      <c r="BF1068">
        <v>-0.48</v>
      </c>
      <c r="BG1068">
        <v>-1.6950000000000001</v>
      </c>
    </row>
    <row r="1069" spans="1:59">
      <c r="A1069">
        <v>0</v>
      </c>
      <c r="B1069">
        <v>2</v>
      </c>
      <c r="C1069">
        <v>0</v>
      </c>
      <c r="D1069" t="s">
        <v>25022</v>
      </c>
      <c r="E1069">
        <v>199</v>
      </c>
      <c r="F1069" t="s">
        <v>1355</v>
      </c>
      <c r="G1069" t="s">
        <v>57</v>
      </c>
      <c r="H1069">
        <v>221258</v>
      </c>
      <c r="I1069">
        <v>221926</v>
      </c>
      <c r="J1069" t="s">
        <v>1356</v>
      </c>
      <c r="K1069">
        <v>223</v>
      </c>
      <c r="L1069" t="s">
        <v>1349</v>
      </c>
      <c r="M1069">
        <v>34</v>
      </c>
      <c r="N1069" t="str">
        <f>HYPERLINK("Gene199-zp_tree_all.dnd", "Gene199-tree")</f>
        <v>Gene199-tree</v>
      </c>
      <c r="O1069">
        <v>4</v>
      </c>
      <c r="P1069">
        <v>4</v>
      </c>
      <c r="Q1069">
        <v>4</v>
      </c>
      <c r="R1069">
        <v>4</v>
      </c>
      <c r="S1069">
        <v>0.5</v>
      </c>
      <c r="T1069" t="s">
        <v>61</v>
      </c>
      <c r="U1069" t="s">
        <v>61</v>
      </c>
      <c r="V1069" t="s">
        <v>62</v>
      </c>
      <c r="W1069" t="s">
        <v>62</v>
      </c>
      <c r="X1069">
        <v>1</v>
      </c>
      <c r="Y1069">
        <v>2</v>
      </c>
      <c r="Z1069">
        <v>6</v>
      </c>
      <c r="AA1069">
        <v>0.25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</v>
      </c>
      <c r="AH1069">
        <v>0</v>
      </c>
      <c r="AI1069">
        <v>2</v>
      </c>
      <c r="AJ1069">
        <v>5</v>
      </c>
      <c r="AK1069">
        <v>0.28571000000000002</v>
      </c>
      <c r="AL1069">
        <v>7</v>
      </c>
      <c r="AM1069">
        <v>5</v>
      </c>
      <c r="AN1069">
        <v>18</v>
      </c>
      <c r="AO1069">
        <v>7</v>
      </c>
      <c r="AP1069">
        <v>11</v>
      </c>
      <c r="AQ1069">
        <v>1</v>
      </c>
      <c r="AR1069" t="s">
        <v>1357</v>
      </c>
      <c r="AS1069" t="s">
        <v>1358</v>
      </c>
      <c r="AT1069">
        <v>1.145</v>
      </c>
      <c r="AU1069" t="s">
        <v>65</v>
      </c>
      <c r="AV1069">
        <v>29</v>
      </c>
      <c r="AW1069">
        <v>8</v>
      </c>
      <c r="AX1069" t="s">
        <v>1359</v>
      </c>
      <c r="AY1069">
        <v>6.3439999999999996E-2</v>
      </c>
      <c r="AZ1069">
        <v>-3.8600000000000001E-3</v>
      </c>
      <c r="BA1069">
        <v>4.2399999999999998E-3</v>
      </c>
      <c r="BB1069">
        <v>-4.8999999999999998E-4</v>
      </c>
      <c r="BC1069">
        <v>6.6879999999999995E-2</v>
      </c>
      <c r="BD1069">
        <v>1</v>
      </c>
      <c r="BE1069" t="s">
        <v>69</v>
      </c>
      <c r="BF1069">
        <v>-8.8999999999999996E-2</v>
      </c>
      <c r="BG1069">
        <v>-0.10199999999999999</v>
      </c>
    </row>
    <row r="1070" spans="1:59">
      <c r="A1070">
        <v>0</v>
      </c>
      <c r="B1070">
        <v>2</v>
      </c>
      <c r="C1070">
        <v>0</v>
      </c>
      <c r="D1070" t="s">
        <v>25022</v>
      </c>
      <c r="E1070">
        <v>3958</v>
      </c>
      <c r="F1070" t="s">
        <v>23252</v>
      </c>
      <c r="G1070" t="s">
        <v>62</v>
      </c>
      <c r="H1070">
        <v>3922295</v>
      </c>
      <c r="I1070">
        <v>3922963</v>
      </c>
      <c r="J1070" t="s">
        <v>23253</v>
      </c>
      <c r="K1070">
        <v>223</v>
      </c>
      <c r="L1070" t="s">
        <v>108</v>
      </c>
      <c r="M1070">
        <v>44</v>
      </c>
      <c r="N1070" t="str">
        <f>HYPERLINK("Gene3958-zp_tree_all.dnd", "Gene3958-tree")</f>
        <v>Gene3958-tree</v>
      </c>
      <c r="O1070">
        <v>7</v>
      </c>
      <c r="P1070">
        <v>4</v>
      </c>
      <c r="Q1070">
        <v>7</v>
      </c>
      <c r="R1070">
        <v>4</v>
      </c>
      <c r="S1070">
        <v>0.36364000000000002</v>
      </c>
      <c r="T1070" t="s">
        <v>152</v>
      </c>
      <c r="U1070" t="s">
        <v>61</v>
      </c>
      <c r="V1070" t="s">
        <v>62</v>
      </c>
      <c r="W1070" t="s">
        <v>62</v>
      </c>
      <c r="X1070">
        <v>1</v>
      </c>
      <c r="Y1070">
        <v>2</v>
      </c>
      <c r="Z1070">
        <v>4</v>
      </c>
      <c r="AA1070">
        <v>0.33333000000000002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5</v>
      </c>
      <c r="AK1070">
        <v>0</v>
      </c>
      <c r="AL1070">
        <v>9</v>
      </c>
      <c r="AM1070">
        <v>5</v>
      </c>
      <c r="AN1070">
        <v>15</v>
      </c>
      <c r="AO1070">
        <v>5</v>
      </c>
      <c r="AP1070">
        <v>6</v>
      </c>
      <c r="AQ1070">
        <v>1</v>
      </c>
      <c r="AR1070" t="s">
        <v>23254</v>
      </c>
      <c r="AS1070" t="s">
        <v>23255</v>
      </c>
      <c r="AT1070">
        <v>0.42299999999999999</v>
      </c>
      <c r="AU1070" t="s">
        <v>65</v>
      </c>
      <c r="AV1070">
        <v>21</v>
      </c>
      <c r="AW1070">
        <v>6</v>
      </c>
      <c r="AX1070" t="s">
        <v>23256</v>
      </c>
      <c r="AY1070">
        <v>3.4889999999999997E-2</v>
      </c>
      <c r="AZ1070">
        <v>-2.33E-3</v>
      </c>
      <c r="BA1070">
        <v>2.2399999999999998E-3</v>
      </c>
      <c r="BB1070">
        <v>-2.5999999999999998E-4</v>
      </c>
      <c r="BC1070">
        <v>6.4159999999999995E-2</v>
      </c>
      <c r="BD1070">
        <v>1</v>
      </c>
      <c r="BE1070" t="s">
        <v>69</v>
      </c>
      <c r="BF1070">
        <v>-0.98399999999999999</v>
      </c>
      <c r="BG1070">
        <v>-1.0469999999999999</v>
      </c>
    </row>
    <row r="1071" spans="1:59">
      <c r="A1071">
        <v>0</v>
      </c>
      <c r="B1071">
        <v>5</v>
      </c>
      <c r="C1071">
        <v>1</v>
      </c>
      <c r="D1071" t="s">
        <v>25022</v>
      </c>
      <c r="E1071">
        <v>3861</v>
      </c>
      <c r="F1071" t="s">
        <v>22639</v>
      </c>
      <c r="G1071" t="s">
        <v>62</v>
      </c>
      <c r="H1071">
        <v>3823561</v>
      </c>
      <c r="I1071">
        <v>3824229</v>
      </c>
      <c r="J1071" t="s">
        <v>22640</v>
      </c>
      <c r="K1071">
        <v>223</v>
      </c>
      <c r="L1071" t="s">
        <v>1174</v>
      </c>
      <c r="M1071">
        <v>42</v>
      </c>
      <c r="N1071" t="str">
        <f>HYPERLINK("Gene3861-zp_tree_all.dnd", "Gene3861-tree")</f>
        <v>Gene3861-tree</v>
      </c>
      <c r="O1071">
        <v>7</v>
      </c>
      <c r="P1071">
        <v>8</v>
      </c>
      <c r="Q1071">
        <v>7</v>
      </c>
      <c r="R1071">
        <v>8</v>
      </c>
      <c r="S1071">
        <v>0.53332999999999997</v>
      </c>
      <c r="T1071" t="s">
        <v>152</v>
      </c>
      <c r="U1071" t="s">
        <v>136</v>
      </c>
      <c r="V1071" t="s">
        <v>62</v>
      </c>
      <c r="W1071" t="s">
        <v>62</v>
      </c>
      <c r="X1071">
        <v>2</v>
      </c>
      <c r="Y1071">
        <v>6</v>
      </c>
      <c r="Z1071">
        <v>5</v>
      </c>
      <c r="AA1071">
        <v>0.54544999999999999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</v>
      </c>
      <c r="AH1071">
        <v>2</v>
      </c>
      <c r="AI1071">
        <v>4</v>
      </c>
      <c r="AJ1071">
        <v>4</v>
      </c>
      <c r="AK1071">
        <v>0.5</v>
      </c>
      <c r="AL1071">
        <v>13</v>
      </c>
      <c r="AM1071">
        <v>10</v>
      </c>
      <c r="AN1071">
        <v>25</v>
      </c>
      <c r="AO1071">
        <v>8</v>
      </c>
      <c r="AP1071">
        <v>28</v>
      </c>
      <c r="AQ1071">
        <v>3</v>
      </c>
      <c r="AR1071" t="s">
        <v>22641</v>
      </c>
      <c r="AS1071" t="s">
        <v>22642</v>
      </c>
      <c r="AT1071">
        <v>0.95299999999999996</v>
      </c>
      <c r="AU1071" t="s">
        <v>65</v>
      </c>
      <c r="AV1071">
        <v>53</v>
      </c>
      <c r="AW1071">
        <v>11</v>
      </c>
      <c r="AX1071" t="s">
        <v>22643</v>
      </c>
      <c r="AY1071">
        <v>6.5960000000000005E-2</v>
      </c>
      <c r="AZ1071">
        <v>-2.33E-3</v>
      </c>
      <c r="BA1071">
        <v>4.1200000000000004E-3</v>
      </c>
      <c r="BB1071">
        <v>-2.2000000000000001E-4</v>
      </c>
      <c r="BC1071">
        <v>6.2530000000000002E-2</v>
      </c>
      <c r="BD1071">
        <v>1</v>
      </c>
      <c r="BE1071" t="s">
        <v>69</v>
      </c>
      <c r="BF1071">
        <v>0.122</v>
      </c>
      <c r="BG1071">
        <v>0</v>
      </c>
    </row>
    <row r="1072" spans="1:59">
      <c r="A1072">
        <v>0</v>
      </c>
      <c r="B1072">
        <v>0</v>
      </c>
      <c r="C1072">
        <v>0</v>
      </c>
      <c r="D1072" t="s">
        <v>25022</v>
      </c>
      <c r="E1072">
        <v>2385</v>
      </c>
      <c r="F1072" t="s">
        <v>13877</v>
      </c>
      <c r="G1072" t="s">
        <v>62</v>
      </c>
      <c r="H1072">
        <v>2396048</v>
      </c>
      <c r="I1072">
        <v>2396719</v>
      </c>
      <c r="J1072" t="s">
        <v>13878</v>
      </c>
      <c r="K1072">
        <v>224</v>
      </c>
      <c r="L1072" t="s">
        <v>289</v>
      </c>
      <c r="M1072">
        <v>46</v>
      </c>
      <c r="N1072" t="str">
        <f>HYPERLINK("Gene2385-zp_tree_all.dnd", "Gene2385-tree")</f>
        <v>Gene2385-tree</v>
      </c>
      <c r="O1072">
        <v>8</v>
      </c>
      <c r="P1072">
        <v>5</v>
      </c>
      <c r="Q1072">
        <v>8</v>
      </c>
      <c r="R1072">
        <v>5</v>
      </c>
      <c r="S1072">
        <v>0.38462000000000002</v>
      </c>
      <c r="T1072" t="s">
        <v>136</v>
      </c>
      <c r="U1072" t="s">
        <v>199</v>
      </c>
      <c r="V1072" t="s">
        <v>62</v>
      </c>
      <c r="W1072" t="s">
        <v>62</v>
      </c>
      <c r="X1072">
        <v>0</v>
      </c>
      <c r="Y1072">
        <v>0</v>
      </c>
      <c r="Z1072">
        <v>12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7</v>
      </c>
      <c r="AK1072">
        <v>0</v>
      </c>
      <c r="AL1072">
        <v>8</v>
      </c>
      <c r="AM1072">
        <v>8</v>
      </c>
      <c r="AN1072">
        <v>13</v>
      </c>
      <c r="AO1072">
        <v>5</v>
      </c>
      <c r="AP1072">
        <v>34</v>
      </c>
      <c r="AQ1072">
        <v>7</v>
      </c>
      <c r="AR1072" t="s">
        <v>13879</v>
      </c>
      <c r="AS1072" t="s">
        <v>13880</v>
      </c>
      <c r="AT1072">
        <v>0.48099999999999998</v>
      </c>
      <c r="AU1072" t="s">
        <v>65</v>
      </c>
      <c r="AV1072">
        <v>47</v>
      </c>
      <c r="AW1072">
        <v>12</v>
      </c>
      <c r="AX1072" t="s">
        <v>13881</v>
      </c>
      <c r="AY1072">
        <v>8.387E-2</v>
      </c>
      <c r="AZ1072">
        <v>-9.0299999999999998E-3</v>
      </c>
      <c r="BA1072">
        <v>5.9500000000000004E-3</v>
      </c>
      <c r="BB1072">
        <v>-3.6999999999999999E-4</v>
      </c>
      <c r="BC1072">
        <v>7.0900000000000005E-2</v>
      </c>
      <c r="BD1072">
        <v>1</v>
      </c>
      <c r="BE1072" t="s">
        <v>69</v>
      </c>
      <c r="BF1072">
        <v>-1.3140000000000001</v>
      </c>
      <c r="BG1072">
        <v>0.156</v>
      </c>
    </row>
    <row r="1073" spans="1:59">
      <c r="A1073">
        <v>0</v>
      </c>
      <c r="B1073">
        <v>3</v>
      </c>
      <c r="C1073">
        <v>2</v>
      </c>
      <c r="D1073" t="s">
        <v>25022</v>
      </c>
      <c r="E1073">
        <v>588</v>
      </c>
      <c r="F1073" t="s">
        <v>3783</v>
      </c>
      <c r="G1073" t="s">
        <v>57</v>
      </c>
      <c r="H1073">
        <v>615871</v>
      </c>
      <c r="I1073">
        <v>616542</v>
      </c>
      <c r="J1073" t="s">
        <v>3784</v>
      </c>
      <c r="K1073">
        <v>224</v>
      </c>
      <c r="L1073" t="s">
        <v>108</v>
      </c>
      <c r="M1073">
        <v>44</v>
      </c>
      <c r="N1073" t="str">
        <f>HYPERLINK("Gene588-zp_tree_all.dnd", "Gene588-tree")</f>
        <v>Gene588-tree</v>
      </c>
      <c r="O1073">
        <v>6</v>
      </c>
      <c r="P1073">
        <v>7</v>
      </c>
      <c r="Q1073">
        <v>6</v>
      </c>
      <c r="R1073">
        <v>7</v>
      </c>
      <c r="S1073">
        <v>0.53846000000000005</v>
      </c>
      <c r="T1073" t="s">
        <v>90</v>
      </c>
      <c r="U1073" t="s">
        <v>152</v>
      </c>
      <c r="V1073" t="s">
        <v>62</v>
      </c>
      <c r="W1073" t="s">
        <v>62</v>
      </c>
      <c r="X1073">
        <v>2</v>
      </c>
      <c r="Y1073">
        <v>5</v>
      </c>
      <c r="Z1073">
        <v>6</v>
      </c>
      <c r="AA1073">
        <v>0.45455000000000001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3</v>
      </c>
      <c r="AH1073">
        <v>0</v>
      </c>
      <c r="AI1073">
        <v>3</v>
      </c>
      <c r="AJ1073">
        <v>7</v>
      </c>
      <c r="AK1073">
        <v>0.3</v>
      </c>
      <c r="AL1073">
        <v>11</v>
      </c>
      <c r="AM1073">
        <v>8</v>
      </c>
      <c r="AN1073">
        <v>17</v>
      </c>
      <c r="AO1073">
        <v>7</v>
      </c>
      <c r="AP1073">
        <v>21</v>
      </c>
      <c r="AQ1073">
        <v>4</v>
      </c>
      <c r="AR1073" t="s">
        <v>3785</v>
      </c>
      <c r="AS1073" t="s">
        <v>3786</v>
      </c>
      <c r="AT1073">
        <v>0.54800000000000004</v>
      </c>
      <c r="AU1073" t="s">
        <v>65</v>
      </c>
      <c r="AV1073">
        <v>38</v>
      </c>
      <c r="AW1073">
        <v>11</v>
      </c>
      <c r="AX1073" t="s">
        <v>3787</v>
      </c>
      <c r="AY1073">
        <v>6.173E-2</v>
      </c>
      <c r="AZ1073">
        <v>-2.8800000000000002E-3</v>
      </c>
      <c r="BA1073">
        <v>3.9100000000000003E-3</v>
      </c>
      <c r="BB1073">
        <v>-3.2000000000000003E-4</v>
      </c>
      <c r="BC1073">
        <v>6.3380000000000006E-2</v>
      </c>
      <c r="BD1073">
        <v>1</v>
      </c>
      <c r="BE1073" t="s">
        <v>69</v>
      </c>
      <c r="BF1073">
        <v>-0.45400000000000001</v>
      </c>
      <c r="BG1073">
        <v>-0.99399999999999999</v>
      </c>
    </row>
    <row r="1074" spans="1:59">
      <c r="A1074">
        <v>0</v>
      </c>
      <c r="B1074">
        <v>13</v>
      </c>
      <c r="C1074">
        <v>0</v>
      </c>
      <c r="D1074" t="s">
        <v>25022</v>
      </c>
      <c r="E1074">
        <v>4090</v>
      </c>
      <c r="F1074" t="s">
        <v>24081</v>
      </c>
      <c r="G1074" t="s">
        <v>62</v>
      </c>
      <c r="H1074">
        <v>4058794</v>
      </c>
      <c r="I1074">
        <v>4059465</v>
      </c>
      <c r="J1074" t="s">
        <v>5916</v>
      </c>
      <c r="K1074">
        <v>224</v>
      </c>
      <c r="L1074" t="s">
        <v>572</v>
      </c>
      <c r="M1074">
        <v>48</v>
      </c>
      <c r="N1074" t="str">
        <f>HYPERLINK("Gene4090-zp_tree_all.dnd", "Gene4090-tree")</f>
        <v>Gene4090-tree</v>
      </c>
      <c r="O1074">
        <v>12</v>
      </c>
      <c r="P1074">
        <v>6</v>
      </c>
      <c r="Q1074">
        <v>12</v>
      </c>
      <c r="R1074">
        <v>6</v>
      </c>
      <c r="S1074">
        <v>0.33333000000000002</v>
      </c>
      <c r="T1074" t="s">
        <v>109</v>
      </c>
      <c r="U1074" t="s">
        <v>90</v>
      </c>
      <c r="V1074" t="s">
        <v>62</v>
      </c>
      <c r="W1074" t="s">
        <v>62</v>
      </c>
      <c r="X1074">
        <v>5</v>
      </c>
      <c r="Y1074">
        <v>13</v>
      </c>
      <c r="Z1074">
        <v>5</v>
      </c>
      <c r="AA1074">
        <v>0.72221999999999997</v>
      </c>
      <c r="AB1074">
        <v>0</v>
      </c>
      <c r="AC1074">
        <v>0</v>
      </c>
      <c r="AD1074">
        <v>0</v>
      </c>
      <c r="AE1074">
        <v>2</v>
      </c>
      <c r="AF1074">
        <v>0</v>
      </c>
      <c r="AG1074">
        <v>3</v>
      </c>
      <c r="AH1074">
        <v>0</v>
      </c>
      <c r="AI1074">
        <v>3</v>
      </c>
      <c r="AJ1074">
        <v>4</v>
      </c>
      <c r="AK1074">
        <v>0.42857000000000001</v>
      </c>
      <c r="AL1074">
        <v>16</v>
      </c>
      <c r="AM1074">
        <v>15</v>
      </c>
      <c r="AN1074">
        <v>52</v>
      </c>
      <c r="AO1074">
        <v>7</v>
      </c>
      <c r="AP1074">
        <v>52</v>
      </c>
      <c r="AQ1074">
        <v>11</v>
      </c>
      <c r="AR1074" t="s">
        <v>24082</v>
      </c>
      <c r="AS1074" t="s">
        <v>24083</v>
      </c>
      <c r="AT1074">
        <v>0.43</v>
      </c>
      <c r="AU1074" t="s">
        <v>65</v>
      </c>
      <c r="AV1074">
        <v>104</v>
      </c>
      <c r="AW1074">
        <v>18</v>
      </c>
      <c r="AX1074" t="s">
        <v>24084</v>
      </c>
      <c r="AY1074">
        <v>0.12496</v>
      </c>
      <c r="AZ1074">
        <v>-5.77E-3</v>
      </c>
      <c r="BA1074">
        <v>6.1000000000000004E-3</v>
      </c>
      <c r="BB1074">
        <v>-3.2000000000000003E-4</v>
      </c>
      <c r="BC1074">
        <v>4.8779999999999997E-2</v>
      </c>
      <c r="BD1074">
        <v>1</v>
      </c>
      <c r="BE1074" t="s">
        <v>69</v>
      </c>
      <c r="BF1074">
        <v>-0.93100000000000005</v>
      </c>
      <c r="BG1074">
        <v>-1.036</v>
      </c>
    </row>
    <row r="1075" spans="1:59">
      <c r="A1075">
        <v>0</v>
      </c>
      <c r="B1075">
        <v>0</v>
      </c>
      <c r="C1075">
        <v>0</v>
      </c>
      <c r="D1075" t="s">
        <v>25022</v>
      </c>
      <c r="E1075">
        <v>3832</v>
      </c>
      <c r="F1075" t="s">
        <v>22463</v>
      </c>
      <c r="G1075" t="s">
        <v>62</v>
      </c>
      <c r="H1075">
        <v>3794679</v>
      </c>
      <c r="I1075">
        <v>3795350</v>
      </c>
      <c r="J1075" t="s">
        <v>22464</v>
      </c>
      <c r="K1075">
        <v>224</v>
      </c>
      <c r="L1075" t="s">
        <v>22465</v>
      </c>
      <c r="M1075">
        <v>43</v>
      </c>
      <c r="N1075" t="str">
        <f>HYPERLINK("Gene3832-zp_tree_all.dnd", "Gene3832-tree")</f>
        <v>Gene3832-tree</v>
      </c>
      <c r="O1075">
        <v>8</v>
      </c>
      <c r="P1075">
        <v>4</v>
      </c>
      <c r="Q1075">
        <v>8</v>
      </c>
      <c r="R1075">
        <v>4</v>
      </c>
      <c r="S1075">
        <v>0.33333000000000002</v>
      </c>
      <c r="T1075" t="s">
        <v>136</v>
      </c>
      <c r="U1075" t="s">
        <v>61</v>
      </c>
      <c r="V1075" t="s">
        <v>62</v>
      </c>
      <c r="W1075" t="s">
        <v>62</v>
      </c>
      <c r="X1075">
        <v>0</v>
      </c>
      <c r="Y1075">
        <v>0</v>
      </c>
      <c r="Z1075">
        <v>5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4</v>
      </c>
      <c r="AK1075">
        <v>0</v>
      </c>
      <c r="AL1075">
        <v>9</v>
      </c>
      <c r="AM1075">
        <v>5</v>
      </c>
      <c r="AN1075">
        <v>24</v>
      </c>
      <c r="AO1075">
        <v>4</v>
      </c>
      <c r="AP1075">
        <v>9</v>
      </c>
      <c r="AQ1075">
        <v>1</v>
      </c>
      <c r="AR1075" t="s">
        <v>22466</v>
      </c>
      <c r="AS1075" t="s">
        <v>22467</v>
      </c>
      <c r="AT1075">
        <v>0.23100000000000001</v>
      </c>
      <c r="AU1075" t="s">
        <v>65</v>
      </c>
      <c r="AV1075">
        <v>33</v>
      </c>
      <c r="AW1075">
        <v>5</v>
      </c>
      <c r="AX1075" t="s">
        <v>22468</v>
      </c>
      <c r="AY1075">
        <v>4.2959999999999998E-2</v>
      </c>
      <c r="AZ1075">
        <v>-2.3400000000000001E-3</v>
      </c>
      <c r="BA1075">
        <v>2.0400000000000001E-3</v>
      </c>
      <c r="BB1075">
        <v>-2.1000000000000001E-4</v>
      </c>
      <c r="BC1075">
        <v>4.7570000000000001E-2</v>
      </c>
      <c r="BD1075">
        <v>1</v>
      </c>
      <c r="BE1075" t="s">
        <v>69</v>
      </c>
      <c r="BF1075">
        <v>0.53400000000000003</v>
      </c>
      <c r="BG1075">
        <v>0.45500000000000002</v>
      </c>
    </row>
    <row r="1076" spans="1:59">
      <c r="A1076">
        <v>0</v>
      </c>
      <c r="B1076">
        <v>0</v>
      </c>
      <c r="C1076">
        <v>0</v>
      </c>
      <c r="D1076" t="s">
        <v>25022</v>
      </c>
      <c r="E1076">
        <v>3808</v>
      </c>
      <c r="F1076" t="s">
        <v>22314</v>
      </c>
      <c r="G1076" t="s">
        <v>62</v>
      </c>
      <c r="H1076">
        <v>3774658</v>
      </c>
      <c r="I1076">
        <v>3775329</v>
      </c>
      <c r="J1076" t="s">
        <v>2332</v>
      </c>
      <c r="K1076">
        <v>224</v>
      </c>
      <c r="L1076" t="s">
        <v>108</v>
      </c>
      <c r="M1076">
        <v>44</v>
      </c>
      <c r="N1076" t="str">
        <f>HYPERLINK("Gene3808-zp_tree_all.dnd", "Gene3808-tree")</f>
        <v>Gene3808-tree</v>
      </c>
      <c r="O1076">
        <v>9</v>
      </c>
      <c r="P1076">
        <v>4</v>
      </c>
      <c r="Q1076">
        <v>9</v>
      </c>
      <c r="R1076">
        <v>4</v>
      </c>
      <c r="S1076">
        <v>0.30769000000000002</v>
      </c>
      <c r="T1076" t="s">
        <v>135</v>
      </c>
      <c r="U1076" t="s">
        <v>61</v>
      </c>
      <c r="V1076" t="s">
        <v>62</v>
      </c>
      <c r="W1076" t="s">
        <v>62</v>
      </c>
      <c r="X1076">
        <v>0</v>
      </c>
      <c r="Y1076">
        <v>0</v>
      </c>
      <c r="Z1076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4</v>
      </c>
      <c r="AK1076">
        <v>0</v>
      </c>
      <c r="AL1076">
        <v>7</v>
      </c>
      <c r="AM1076">
        <v>8</v>
      </c>
      <c r="AN1076">
        <v>8</v>
      </c>
      <c r="AO1076">
        <v>3</v>
      </c>
      <c r="AP1076">
        <v>13</v>
      </c>
      <c r="AQ1076">
        <v>1</v>
      </c>
      <c r="AR1076" t="s">
        <v>22315</v>
      </c>
      <c r="AS1076" t="s">
        <v>22316</v>
      </c>
      <c r="AT1076">
        <v>0.89300000000000002</v>
      </c>
      <c r="AU1076" t="s">
        <v>65</v>
      </c>
      <c r="AV1076">
        <v>21</v>
      </c>
      <c r="AW1076">
        <v>4</v>
      </c>
      <c r="AX1076" t="s">
        <v>22317</v>
      </c>
      <c r="AY1076">
        <v>3.7339999999999998E-2</v>
      </c>
      <c r="AZ1076">
        <v>-2.1099999999999999E-3</v>
      </c>
      <c r="BA1076">
        <v>1.4400000000000001E-3</v>
      </c>
      <c r="BB1076">
        <v>-1.8000000000000001E-4</v>
      </c>
      <c r="BC1076">
        <v>3.8449999999999998E-2</v>
      </c>
      <c r="BD1076">
        <v>1</v>
      </c>
      <c r="BE1076" t="s">
        <v>69</v>
      </c>
      <c r="BF1076">
        <v>0.108</v>
      </c>
      <c r="BG1076">
        <v>0.32200000000000001</v>
      </c>
    </row>
    <row r="1077" spans="1:59">
      <c r="A1077">
        <v>0</v>
      </c>
      <c r="B1077">
        <v>0</v>
      </c>
      <c r="C1077">
        <v>0</v>
      </c>
      <c r="D1077" t="s">
        <v>25022</v>
      </c>
      <c r="E1077">
        <v>2349</v>
      </c>
      <c r="F1077" t="s">
        <v>13640</v>
      </c>
      <c r="G1077" t="s">
        <v>62</v>
      </c>
      <c r="H1077">
        <v>2363916</v>
      </c>
      <c r="I1077">
        <v>2364587</v>
      </c>
      <c r="J1077" t="s">
        <v>13641</v>
      </c>
      <c r="K1077">
        <v>224</v>
      </c>
      <c r="L1077" t="s">
        <v>59</v>
      </c>
      <c r="M1077">
        <v>49</v>
      </c>
      <c r="N1077" t="str">
        <f>HYPERLINK("Gene2349-zp_tree_all.dnd", "Gene2349-tree")</f>
        <v>Gene2349-tree</v>
      </c>
      <c r="O1077">
        <v>15</v>
      </c>
      <c r="P1077">
        <v>0</v>
      </c>
      <c r="Q1077">
        <v>15</v>
      </c>
      <c r="R1077">
        <v>0</v>
      </c>
      <c r="S1077">
        <v>0</v>
      </c>
      <c r="T1077" t="s">
        <v>100</v>
      </c>
      <c r="U1077" t="s">
        <v>62</v>
      </c>
      <c r="V1077" t="s">
        <v>62</v>
      </c>
      <c r="W1077" t="s">
        <v>62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12</v>
      </c>
      <c r="AM1077">
        <v>6</v>
      </c>
      <c r="AN1077">
        <v>19</v>
      </c>
      <c r="AO1077">
        <v>0</v>
      </c>
      <c r="AP1077">
        <v>21</v>
      </c>
      <c r="AQ1077">
        <v>0</v>
      </c>
      <c r="AR1077" t="s">
        <v>193</v>
      </c>
      <c r="AS1077" t="s">
        <v>193</v>
      </c>
      <c r="AT1077">
        <v>0</v>
      </c>
      <c r="AU1077" t="s">
        <v>65</v>
      </c>
      <c r="AV1077">
        <v>40</v>
      </c>
      <c r="AW1077">
        <v>0</v>
      </c>
      <c r="AX1077" t="s">
        <v>13642</v>
      </c>
      <c r="AY1077">
        <v>7.3599999999999999E-2</v>
      </c>
      <c r="AZ1077">
        <v>-6.0400000000000002E-3</v>
      </c>
      <c r="BA1077">
        <v>0</v>
      </c>
      <c r="BB1077">
        <v>0</v>
      </c>
      <c r="BC1077">
        <v>0</v>
      </c>
      <c r="BD1077">
        <v>1</v>
      </c>
      <c r="BE1077" t="s">
        <v>69</v>
      </c>
      <c r="BF1077">
        <v>-0.14699999999999999</v>
      </c>
      <c r="BG1077">
        <v>-0.11799999999999999</v>
      </c>
    </row>
    <row r="1078" spans="1:59">
      <c r="A1078">
        <v>0</v>
      </c>
      <c r="B1078">
        <v>10</v>
      </c>
      <c r="C1078">
        <v>2</v>
      </c>
      <c r="D1078" t="s">
        <v>25022</v>
      </c>
      <c r="E1078">
        <v>3975</v>
      </c>
      <c r="F1078" t="s">
        <v>23360</v>
      </c>
      <c r="G1078" t="s">
        <v>62</v>
      </c>
      <c r="H1078">
        <v>3937556</v>
      </c>
      <c r="I1078">
        <v>3938230</v>
      </c>
      <c r="J1078" t="s">
        <v>116</v>
      </c>
      <c r="K1078">
        <v>225</v>
      </c>
      <c r="L1078" t="s">
        <v>23361</v>
      </c>
      <c r="M1078">
        <v>33</v>
      </c>
      <c r="N1078" t="str">
        <f>HYPERLINK("Gene3975-zp_tree_all.dnd", "Gene3975-tree")</f>
        <v>Gene3975-tree</v>
      </c>
      <c r="O1078">
        <v>1</v>
      </c>
      <c r="P1078">
        <v>9</v>
      </c>
      <c r="Q1078">
        <v>1</v>
      </c>
      <c r="R1078">
        <v>9</v>
      </c>
      <c r="S1078">
        <v>0.9</v>
      </c>
      <c r="T1078" t="s">
        <v>175</v>
      </c>
      <c r="U1078" t="s">
        <v>135</v>
      </c>
      <c r="V1078" t="s">
        <v>62</v>
      </c>
      <c r="W1078" t="s">
        <v>62</v>
      </c>
      <c r="X1078">
        <v>6</v>
      </c>
      <c r="Y1078">
        <v>12</v>
      </c>
      <c r="Z1078">
        <v>21</v>
      </c>
      <c r="AA1078">
        <v>0.36364000000000002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6</v>
      </c>
      <c r="AH1078">
        <v>0</v>
      </c>
      <c r="AI1078">
        <v>6</v>
      </c>
      <c r="AJ1078">
        <v>21</v>
      </c>
      <c r="AK1078">
        <v>0.22222</v>
      </c>
      <c r="AL1078">
        <v>8</v>
      </c>
      <c r="AM1078">
        <v>7</v>
      </c>
      <c r="AN1078">
        <v>19</v>
      </c>
      <c r="AO1078">
        <v>18</v>
      </c>
      <c r="AP1078">
        <v>20</v>
      </c>
      <c r="AQ1078">
        <v>15</v>
      </c>
      <c r="AR1078" t="s">
        <v>23362</v>
      </c>
      <c r="AS1078" t="s">
        <v>23363</v>
      </c>
      <c r="AT1078">
        <v>0.26500000000000001</v>
      </c>
      <c r="AU1078" t="s">
        <v>65</v>
      </c>
      <c r="AV1078">
        <v>39</v>
      </c>
      <c r="AW1078">
        <v>33</v>
      </c>
      <c r="AX1078" t="s">
        <v>23364</v>
      </c>
      <c r="AY1078">
        <v>6.8519999999999998E-2</v>
      </c>
      <c r="AZ1078">
        <v>-3.4299999999999999E-3</v>
      </c>
      <c r="BA1078">
        <v>1.6899999999999998E-2</v>
      </c>
      <c r="BB1078">
        <v>-1.31E-3</v>
      </c>
      <c r="BC1078">
        <v>0.24661</v>
      </c>
      <c r="BD1078">
        <v>1</v>
      </c>
      <c r="BE1078" t="s">
        <v>69</v>
      </c>
      <c r="BF1078">
        <v>-0.91900000000000004</v>
      </c>
      <c r="BG1078">
        <v>-0.86599999999999999</v>
      </c>
    </row>
    <row r="1079" spans="1:59">
      <c r="A1079">
        <v>0</v>
      </c>
      <c r="B1079">
        <v>6</v>
      </c>
      <c r="C1079">
        <v>0</v>
      </c>
      <c r="D1079" t="s">
        <v>25022</v>
      </c>
      <c r="E1079">
        <v>3736</v>
      </c>
      <c r="F1079" t="s">
        <v>21906</v>
      </c>
      <c r="G1079" t="s">
        <v>62</v>
      </c>
      <c r="H1079">
        <v>3714005</v>
      </c>
      <c r="I1079">
        <v>3714679</v>
      </c>
      <c r="J1079" t="s">
        <v>116</v>
      </c>
      <c r="K1079">
        <v>225</v>
      </c>
      <c r="L1079" t="s">
        <v>108</v>
      </c>
      <c r="M1079">
        <v>44</v>
      </c>
      <c r="N1079" t="str">
        <f>HYPERLINK("Gene3736-zp_tree_all.dnd", "Gene3736-tree")</f>
        <v>Gene3736-tree</v>
      </c>
      <c r="O1079">
        <v>4</v>
      </c>
      <c r="P1079">
        <v>8</v>
      </c>
      <c r="Q1079">
        <v>4</v>
      </c>
      <c r="R1079">
        <v>8</v>
      </c>
      <c r="S1079">
        <v>0.66666999999999998</v>
      </c>
      <c r="T1079" t="s">
        <v>61</v>
      </c>
      <c r="U1079" t="s">
        <v>136</v>
      </c>
      <c r="V1079" t="s">
        <v>62</v>
      </c>
      <c r="W1079" t="s">
        <v>62</v>
      </c>
      <c r="X1079">
        <v>2</v>
      </c>
      <c r="Y1079">
        <v>6</v>
      </c>
      <c r="Z1079">
        <v>10</v>
      </c>
      <c r="AA1079">
        <v>0.375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5</v>
      </c>
      <c r="AH1079">
        <v>0</v>
      </c>
      <c r="AI1079">
        <v>5</v>
      </c>
      <c r="AJ1079">
        <v>8</v>
      </c>
      <c r="AK1079">
        <v>0.38462000000000002</v>
      </c>
      <c r="AL1079">
        <v>10</v>
      </c>
      <c r="AM1079">
        <v>6</v>
      </c>
      <c r="AN1079">
        <v>17</v>
      </c>
      <c r="AO1079">
        <v>12</v>
      </c>
      <c r="AP1079">
        <v>8</v>
      </c>
      <c r="AQ1079">
        <v>5</v>
      </c>
      <c r="AR1079" t="s">
        <v>21907</v>
      </c>
      <c r="AS1079" t="s">
        <v>21908</v>
      </c>
      <c r="AT1079">
        <v>0.17699999999999999</v>
      </c>
      <c r="AU1079" t="s">
        <v>65</v>
      </c>
      <c r="AV1079">
        <v>25</v>
      </c>
      <c r="AW1079">
        <v>17</v>
      </c>
      <c r="AX1079" t="s">
        <v>21909</v>
      </c>
      <c r="AY1079">
        <v>3.397E-2</v>
      </c>
      <c r="AZ1079">
        <v>-1.6299999999999999E-3</v>
      </c>
      <c r="BA1079">
        <v>6.5199999999999998E-3</v>
      </c>
      <c r="BB1079">
        <v>-4.0000000000000002E-4</v>
      </c>
      <c r="BC1079">
        <v>0.19195000000000001</v>
      </c>
      <c r="BD1079">
        <v>1</v>
      </c>
      <c r="BE1079" t="s">
        <v>69</v>
      </c>
      <c r="BF1079">
        <v>-0.89</v>
      </c>
      <c r="BG1079">
        <v>-1.421</v>
      </c>
    </row>
    <row r="1080" spans="1:59">
      <c r="A1080">
        <v>0</v>
      </c>
      <c r="B1080">
        <v>0</v>
      </c>
      <c r="C1080">
        <v>0</v>
      </c>
      <c r="D1080" t="s">
        <v>25022</v>
      </c>
      <c r="E1080">
        <v>2733</v>
      </c>
      <c r="F1080" t="s">
        <v>15761</v>
      </c>
      <c r="G1080" t="s">
        <v>62</v>
      </c>
      <c r="H1080">
        <v>2694423</v>
      </c>
      <c r="I1080">
        <v>2695097</v>
      </c>
      <c r="J1080" t="s">
        <v>15762</v>
      </c>
      <c r="K1080">
        <v>225</v>
      </c>
      <c r="L1080" t="s">
        <v>15729</v>
      </c>
      <c r="M1080">
        <v>20</v>
      </c>
      <c r="N1080" t="str">
        <f>HYPERLINK("Gene2733-zp_tree_all.dnd", "Gene2733-tree")</f>
        <v>Gene2733-tree</v>
      </c>
      <c r="O1080">
        <v>0</v>
      </c>
      <c r="P1080">
        <v>4</v>
      </c>
      <c r="Q1080">
        <v>0</v>
      </c>
      <c r="R1080">
        <v>4</v>
      </c>
      <c r="S1080">
        <v>1</v>
      </c>
      <c r="T1080" t="s">
        <v>62</v>
      </c>
      <c r="U1080" t="s">
        <v>61</v>
      </c>
      <c r="V1080" t="s">
        <v>62</v>
      </c>
      <c r="W1080" t="s">
        <v>62</v>
      </c>
      <c r="X1080">
        <v>0</v>
      </c>
      <c r="Y1080">
        <v>0</v>
      </c>
      <c r="Z1080">
        <v>11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11</v>
      </c>
      <c r="AK1080">
        <v>0</v>
      </c>
      <c r="AL1080">
        <v>3</v>
      </c>
      <c r="AM1080">
        <v>1</v>
      </c>
      <c r="AN1080">
        <v>8</v>
      </c>
      <c r="AO1080">
        <v>7</v>
      </c>
      <c r="AP1080">
        <v>13</v>
      </c>
      <c r="AQ1080">
        <v>4</v>
      </c>
      <c r="AR1080" t="s">
        <v>15763</v>
      </c>
      <c r="AS1080" t="s">
        <v>15764</v>
      </c>
      <c r="AT1080">
        <v>0.99299999999999999</v>
      </c>
      <c r="AU1080" t="s">
        <v>65</v>
      </c>
      <c r="AV1080">
        <v>21</v>
      </c>
      <c r="AW1080">
        <v>11</v>
      </c>
      <c r="AX1080" t="s">
        <v>15765</v>
      </c>
      <c r="AY1080">
        <v>8.9929999999999996E-2</v>
      </c>
      <c r="AZ1080">
        <v>-1.1820000000000001E-2</v>
      </c>
      <c r="BA1080">
        <v>1.2449999999999999E-2</v>
      </c>
      <c r="BB1080">
        <v>-2.2599999999999999E-3</v>
      </c>
      <c r="BC1080">
        <v>0.13847000000000001</v>
      </c>
      <c r="BD1080">
        <v>1</v>
      </c>
      <c r="BE1080" t="s">
        <v>69</v>
      </c>
      <c r="BF1080">
        <v>-1.772</v>
      </c>
      <c r="BG1080">
        <v>-0.79</v>
      </c>
    </row>
    <row r="1081" spans="1:59">
      <c r="A1081">
        <v>0</v>
      </c>
      <c r="B1081">
        <v>0</v>
      </c>
      <c r="C1081">
        <v>0</v>
      </c>
      <c r="D1081" t="s">
        <v>25022</v>
      </c>
      <c r="E1081">
        <v>1770</v>
      </c>
      <c r="F1081" t="s">
        <v>11085</v>
      </c>
      <c r="G1081" t="s">
        <v>57</v>
      </c>
      <c r="H1081">
        <v>1782713</v>
      </c>
      <c r="I1081">
        <v>1783387</v>
      </c>
      <c r="J1081" t="s">
        <v>11086</v>
      </c>
      <c r="K1081">
        <v>225</v>
      </c>
      <c r="L1081" t="s">
        <v>8085</v>
      </c>
      <c r="M1081">
        <v>35</v>
      </c>
      <c r="N1081" t="str">
        <f>HYPERLINK("Gene1770-zp_tree_all.dnd", "Gene1770-tree")</f>
        <v>Gene1770-tree</v>
      </c>
      <c r="O1081">
        <v>6</v>
      </c>
      <c r="P1081">
        <v>4</v>
      </c>
      <c r="Q1081">
        <v>6</v>
      </c>
      <c r="R1081">
        <v>4</v>
      </c>
      <c r="S1081">
        <v>0.4</v>
      </c>
      <c r="T1081" t="s">
        <v>90</v>
      </c>
      <c r="U1081" t="s">
        <v>61</v>
      </c>
      <c r="V1081" t="s">
        <v>62</v>
      </c>
      <c r="W1081" t="s">
        <v>62</v>
      </c>
      <c r="X1081">
        <v>0</v>
      </c>
      <c r="Y1081">
        <v>0</v>
      </c>
      <c r="Z1081">
        <v>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8</v>
      </c>
      <c r="AK1081">
        <v>0</v>
      </c>
      <c r="AL1081">
        <v>10</v>
      </c>
      <c r="AM1081">
        <v>3</v>
      </c>
      <c r="AN1081">
        <v>15</v>
      </c>
      <c r="AO1081">
        <v>8</v>
      </c>
      <c r="AP1081">
        <v>5</v>
      </c>
      <c r="AQ1081">
        <v>1</v>
      </c>
      <c r="AR1081" t="s">
        <v>11087</v>
      </c>
      <c r="AS1081" t="s">
        <v>11088</v>
      </c>
      <c r="AT1081">
        <v>0.46100000000000002</v>
      </c>
      <c r="AU1081" t="s">
        <v>65</v>
      </c>
      <c r="AV1081">
        <v>20</v>
      </c>
      <c r="AW1081">
        <v>9</v>
      </c>
      <c r="AX1081" t="s">
        <v>11089</v>
      </c>
      <c r="AY1081">
        <v>3.0939999999999999E-2</v>
      </c>
      <c r="AZ1081">
        <v>-2.5899999999999999E-3</v>
      </c>
      <c r="BA1081">
        <v>3.9300000000000003E-3</v>
      </c>
      <c r="BB1081">
        <v>-5.6999999999999998E-4</v>
      </c>
      <c r="BC1081">
        <v>0.12694</v>
      </c>
      <c r="BD1081">
        <v>1</v>
      </c>
      <c r="BE1081" t="s">
        <v>69</v>
      </c>
      <c r="BF1081">
        <v>-1.0089999999999999</v>
      </c>
      <c r="BG1081">
        <v>-2.3980000000000001</v>
      </c>
    </row>
    <row r="1082" spans="1:59">
      <c r="A1082">
        <v>0</v>
      </c>
      <c r="B1082">
        <v>5</v>
      </c>
      <c r="C1082">
        <v>0</v>
      </c>
      <c r="D1082" t="s">
        <v>25022</v>
      </c>
      <c r="E1082">
        <v>3437</v>
      </c>
      <c r="F1082" t="s">
        <v>20119</v>
      </c>
      <c r="G1082" t="s">
        <v>62</v>
      </c>
      <c r="H1082">
        <v>3397849</v>
      </c>
      <c r="I1082">
        <v>3398523</v>
      </c>
      <c r="J1082" t="s">
        <v>20120</v>
      </c>
      <c r="K1082">
        <v>225</v>
      </c>
      <c r="L1082" t="s">
        <v>108</v>
      </c>
      <c r="M1082">
        <v>44</v>
      </c>
      <c r="N1082" t="str">
        <f>HYPERLINK("Gene3437-zp_tree_all.dnd", "Gene3437-tree")</f>
        <v>Gene3437-tree</v>
      </c>
      <c r="O1082">
        <v>8</v>
      </c>
      <c r="P1082">
        <v>3</v>
      </c>
      <c r="Q1082">
        <v>8</v>
      </c>
      <c r="R1082">
        <v>3</v>
      </c>
      <c r="S1082">
        <v>0.27272999999999997</v>
      </c>
      <c r="T1082" t="s">
        <v>136</v>
      </c>
      <c r="U1082" t="s">
        <v>324</v>
      </c>
      <c r="V1082" t="s">
        <v>62</v>
      </c>
      <c r="W1082" t="s">
        <v>62</v>
      </c>
      <c r="X1082">
        <v>2</v>
      </c>
      <c r="Y1082">
        <v>5</v>
      </c>
      <c r="Z1082">
        <v>5</v>
      </c>
      <c r="AA1082">
        <v>0.5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2</v>
      </c>
      <c r="AH1082">
        <v>0</v>
      </c>
      <c r="AI1082">
        <v>2</v>
      </c>
      <c r="AJ1082">
        <v>6</v>
      </c>
      <c r="AK1082">
        <v>0.25</v>
      </c>
      <c r="AL1082">
        <v>8</v>
      </c>
      <c r="AM1082">
        <v>7</v>
      </c>
      <c r="AN1082">
        <v>14</v>
      </c>
      <c r="AO1082">
        <v>6</v>
      </c>
      <c r="AP1082">
        <v>8</v>
      </c>
      <c r="AQ1082">
        <v>4</v>
      </c>
      <c r="AR1082" t="s">
        <v>20121</v>
      </c>
      <c r="AS1082" t="s">
        <v>20122</v>
      </c>
      <c r="AT1082">
        <v>7.5999999999999998E-2</v>
      </c>
      <c r="AU1082" t="s">
        <v>65</v>
      </c>
      <c r="AV1082">
        <v>22</v>
      </c>
      <c r="AW1082">
        <v>10</v>
      </c>
      <c r="AX1082" t="s">
        <v>20123</v>
      </c>
      <c r="AY1082">
        <v>3.7920000000000002E-2</v>
      </c>
      <c r="AZ1082">
        <v>-2.5600000000000002E-3</v>
      </c>
      <c r="BA1082">
        <v>3.63E-3</v>
      </c>
      <c r="BB1082">
        <v>-3.6999999999999999E-4</v>
      </c>
      <c r="BC1082">
        <v>9.5799999999999996E-2</v>
      </c>
      <c r="BD1082">
        <v>1</v>
      </c>
      <c r="BE1082" t="s">
        <v>69</v>
      </c>
      <c r="BF1082">
        <v>-1.1970000000000001</v>
      </c>
      <c r="BG1082">
        <v>-1.82</v>
      </c>
    </row>
    <row r="1083" spans="1:59">
      <c r="A1083">
        <v>0</v>
      </c>
      <c r="B1083">
        <v>2</v>
      </c>
      <c r="C1083">
        <v>0</v>
      </c>
      <c r="D1083" t="s">
        <v>25022</v>
      </c>
      <c r="E1083">
        <v>1934</v>
      </c>
      <c r="F1083" t="s">
        <v>12121</v>
      </c>
      <c r="G1083" t="s">
        <v>62</v>
      </c>
      <c r="H1083">
        <v>2033898</v>
      </c>
      <c r="I1083">
        <v>2034572</v>
      </c>
      <c r="J1083" t="s">
        <v>4095</v>
      </c>
      <c r="K1083">
        <v>225</v>
      </c>
      <c r="L1083" t="s">
        <v>1907</v>
      </c>
      <c r="M1083">
        <v>38</v>
      </c>
      <c r="N1083" t="str">
        <f>HYPERLINK("Gene1934-zp_tree_all.dnd", "Gene1934-tree")</f>
        <v>Gene1934-tree</v>
      </c>
      <c r="O1083">
        <v>29</v>
      </c>
      <c r="P1083">
        <v>4</v>
      </c>
      <c r="Q1083">
        <v>5</v>
      </c>
      <c r="R1083">
        <v>4</v>
      </c>
      <c r="S1083">
        <v>0.44444</v>
      </c>
      <c r="T1083" t="s">
        <v>5692</v>
      </c>
      <c r="U1083" t="s">
        <v>61</v>
      </c>
      <c r="V1083" t="s">
        <v>62</v>
      </c>
      <c r="W1083" t="s">
        <v>62</v>
      </c>
      <c r="X1083">
        <v>1</v>
      </c>
      <c r="Y1083">
        <v>2</v>
      </c>
      <c r="Z1083">
        <v>5</v>
      </c>
      <c r="AA1083">
        <v>0.28571000000000002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2</v>
      </c>
      <c r="AH1083">
        <v>0</v>
      </c>
      <c r="AI1083">
        <v>2</v>
      </c>
      <c r="AJ1083">
        <v>4</v>
      </c>
      <c r="AK1083">
        <v>0.33333000000000002</v>
      </c>
      <c r="AL1083">
        <v>7</v>
      </c>
      <c r="AM1083">
        <v>6</v>
      </c>
      <c r="AN1083">
        <v>11</v>
      </c>
      <c r="AO1083">
        <v>6</v>
      </c>
      <c r="AP1083">
        <v>11</v>
      </c>
      <c r="AQ1083">
        <v>1</v>
      </c>
      <c r="AR1083" t="s">
        <v>12122</v>
      </c>
      <c r="AS1083" t="s">
        <v>12123</v>
      </c>
      <c r="AT1083">
        <v>1.2410000000000001</v>
      </c>
      <c r="AU1083" t="s">
        <v>65</v>
      </c>
      <c r="AV1083">
        <v>22</v>
      </c>
      <c r="AW1083">
        <v>7</v>
      </c>
      <c r="AX1083" t="s">
        <v>12124</v>
      </c>
      <c r="AY1083">
        <v>3.9280000000000002E-2</v>
      </c>
      <c r="AZ1083">
        <v>-2.48E-3</v>
      </c>
      <c r="BA1083">
        <v>3.31E-3</v>
      </c>
      <c r="BB1083">
        <v>-3.2000000000000003E-4</v>
      </c>
      <c r="BC1083">
        <v>8.4360000000000004E-2</v>
      </c>
      <c r="BD1083">
        <v>1</v>
      </c>
      <c r="BE1083" t="s">
        <v>69</v>
      </c>
      <c r="BF1083">
        <v>-0.69799999999999995</v>
      </c>
      <c r="BG1083">
        <v>-0.71899999999999997</v>
      </c>
    </row>
    <row r="1084" spans="1:59">
      <c r="A1084">
        <v>0</v>
      </c>
      <c r="B1084">
        <v>0</v>
      </c>
      <c r="C1084">
        <v>0</v>
      </c>
      <c r="D1084" t="s">
        <v>25022</v>
      </c>
      <c r="E1084">
        <v>3248</v>
      </c>
      <c r="F1084" t="s">
        <v>18932</v>
      </c>
      <c r="G1084" t="s">
        <v>62</v>
      </c>
      <c r="H1084">
        <v>3217499</v>
      </c>
      <c r="I1084">
        <v>3218173</v>
      </c>
      <c r="J1084" t="s">
        <v>18933</v>
      </c>
      <c r="K1084">
        <v>225</v>
      </c>
      <c r="L1084" t="s">
        <v>59</v>
      </c>
      <c r="M1084">
        <v>49</v>
      </c>
      <c r="N1084" t="str">
        <f>HYPERLINK("Gene3248-zp_tree_all.dnd", "Gene3248-tree")</f>
        <v>Gene3248-tree</v>
      </c>
      <c r="O1084">
        <v>13</v>
      </c>
      <c r="P1084">
        <v>1</v>
      </c>
      <c r="Q1084">
        <v>13</v>
      </c>
      <c r="R1084">
        <v>1</v>
      </c>
      <c r="S1084">
        <v>7.1429999999999993E-2</v>
      </c>
      <c r="T1084" t="s">
        <v>507</v>
      </c>
      <c r="U1084" t="s">
        <v>175</v>
      </c>
      <c r="V1084" t="s">
        <v>62</v>
      </c>
      <c r="W1084" t="s">
        <v>62</v>
      </c>
      <c r="X1084">
        <v>0</v>
      </c>
      <c r="Y1084">
        <v>0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9</v>
      </c>
      <c r="AM1084">
        <v>8</v>
      </c>
      <c r="AN1084">
        <v>18</v>
      </c>
      <c r="AO1084">
        <v>1</v>
      </c>
      <c r="AP1084">
        <v>28</v>
      </c>
      <c r="AQ1084">
        <v>2</v>
      </c>
      <c r="AR1084" t="s">
        <v>18934</v>
      </c>
      <c r="AS1084" t="s">
        <v>18935</v>
      </c>
      <c r="AT1084">
        <v>8.2000000000000003E-2</v>
      </c>
      <c r="AU1084" t="s">
        <v>65</v>
      </c>
      <c r="AV1084">
        <v>46</v>
      </c>
      <c r="AW1084">
        <v>3</v>
      </c>
      <c r="AX1084" t="s">
        <v>18936</v>
      </c>
      <c r="AY1084">
        <v>7.6380000000000003E-2</v>
      </c>
      <c r="AZ1084">
        <v>-4.9800000000000001E-3</v>
      </c>
      <c r="BA1084">
        <v>1.8699999999999999E-3</v>
      </c>
      <c r="BB1084">
        <v>-1.9000000000000001E-4</v>
      </c>
      <c r="BC1084">
        <v>2.4490000000000001E-2</v>
      </c>
      <c r="BD1084">
        <v>1</v>
      </c>
      <c r="BE1084" t="s">
        <v>69</v>
      </c>
      <c r="BF1084">
        <v>-1.2290000000000001</v>
      </c>
      <c r="BG1084">
        <v>-0.33</v>
      </c>
    </row>
    <row r="1085" spans="1:59">
      <c r="A1085">
        <v>0</v>
      </c>
      <c r="B1085">
        <v>4</v>
      </c>
      <c r="C1085">
        <v>0</v>
      </c>
      <c r="D1085" t="s">
        <v>25022</v>
      </c>
      <c r="E1085">
        <v>3933</v>
      </c>
      <c r="F1085" t="s">
        <v>23081</v>
      </c>
      <c r="G1085" t="s">
        <v>62</v>
      </c>
      <c r="H1085">
        <v>3897688</v>
      </c>
      <c r="I1085">
        <v>3898362</v>
      </c>
      <c r="J1085" t="s">
        <v>23082</v>
      </c>
      <c r="K1085">
        <v>225</v>
      </c>
      <c r="L1085" t="s">
        <v>108</v>
      </c>
      <c r="M1085">
        <v>44</v>
      </c>
      <c r="N1085" t="str">
        <f>HYPERLINK("Gene3933-zp_tree_all.dnd", "Gene3933-tree")</f>
        <v>Gene3933-tree</v>
      </c>
      <c r="O1085">
        <v>10</v>
      </c>
      <c r="P1085">
        <v>5</v>
      </c>
      <c r="Q1085">
        <v>10</v>
      </c>
      <c r="R1085">
        <v>5</v>
      </c>
      <c r="S1085">
        <v>0.33333000000000002</v>
      </c>
      <c r="T1085" t="s">
        <v>117</v>
      </c>
      <c r="U1085" t="s">
        <v>199</v>
      </c>
      <c r="V1085" t="s">
        <v>62</v>
      </c>
      <c r="W1085" t="s">
        <v>62</v>
      </c>
      <c r="X1085">
        <v>2</v>
      </c>
      <c r="Y1085">
        <v>4</v>
      </c>
      <c r="Z1085">
        <v>2</v>
      </c>
      <c r="AA1085">
        <v>0.66666999999999998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2</v>
      </c>
      <c r="AH1085">
        <v>0</v>
      </c>
      <c r="AI1085">
        <v>2</v>
      </c>
      <c r="AJ1085">
        <v>3</v>
      </c>
      <c r="AK1085">
        <v>0.4</v>
      </c>
      <c r="AL1085">
        <v>12</v>
      </c>
      <c r="AM1085">
        <v>9</v>
      </c>
      <c r="AN1085">
        <v>42</v>
      </c>
      <c r="AO1085">
        <v>5</v>
      </c>
      <c r="AP1085">
        <v>29</v>
      </c>
      <c r="AQ1085">
        <v>1</v>
      </c>
      <c r="AR1085" t="s">
        <v>23083</v>
      </c>
      <c r="AS1085" t="s">
        <v>23084</v>
      </c>
      <c r="AT1085">
        <v>0.76300000000000001</v>
      </c>
      <c r="AU1085" t="s">
        <v>65</v>
      </c>
      <c r="AV1085">
        <v>71</v>
      </c>
      <c r="AW1085">
        <v>6</v>
      </c>
      <c r="AX1085" t="s">
        <v>23085</v>
      </c>
      <c r="AY1085">
        <v>8.6249999999999993E-2</v>
      </c>
      <c r="AZ1085">
        <v>-2.8900000000000002E-3</v>
      </c>
      <c r="BA1085">
        <v>2.0300000000000001E-3</v>
      </c>
      <c r="BB1085">
        <v>-1.2999999999999999E-4</v>
      </c>
      <c r="BC1085">
        <v>2.351E-2</v>
      </c>
      <c r="BD1085">
        <v>1</v>
      </c>
      <c r="BE1085" t="s">
        <v>69</v>
      </c>
      <c r="BF1085">
        <v>-0.24</v>
      </c>
      <c r="BG1085">
        <v>-0.54300000000000004</v>
      </c>
    </row>
    <row r="1086" spans="1:59">
      <c r="A1086">
        <v>0</v>
      </c>
      <c r="B1086">
        <v>22</v>
      </c>
      <c r="C1086">
        <v>4</v>
      </c>
      <c r="D1086" t="s">
        <v>25022</v>
      </c>
      <c r="E1086">
        <v>4048</v>
      </c>
      <c r="F1086" t="s">
        <v>23827</v>
      </c>
      <c r="G1086" t="s">
        <v>62</v>
      </c>
      <c r="H1086">
        <v>4013798</v>
      </c>
      <c r="I1086">
        <v>4014475</v>
      </c>
      <c r="J1086" t="s">
        <v>1523</v>
      </c>
      <c r="K1086">
        <v>226</v>
      </c>
      <c r="L1086" t="s">
        <v>108</v>
      </c>
      <c r="M1086">
        <v>44</v>
      </c>
      <c r="N1086" t="str">
        <f>HYPERLINK("Gene4048-zp_tree_all.dnd", "Gene4048-tree")</f>
        <v>Gene4048-tree</v>
      </c>
      <c r="O1086">
        <v>2</v>
      </c>
      <c r="P1086">
        <v>15</v>
      </c>
      <c r="Q1086">
        <v>2</v>
      </c>
      <c r="R1086">
        <v>15</v>
      </c>
      <c r="S1086">
        <v>0.88234999999999997</v>
      </c>
      <c r="T1086" t="s">
        <v>81</v>
      </c>
      <c r="U1086" t="s">
        <v>100</v>
      </c>
      <c r="V1086" t="s">
        <v>62</v>
      </c>
      <c r="W1086" t="s">
        <v>62</v>
      </c>
      <c r="X1086">
        <v>6</v>
      </c>
      <c r="Y1086">
        <v>26</v>
      </c>
      <c r="Z1086">
        <v>19</v>
      </c>
      <c r="AA1086">
        <v>0.57777999999999996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5</v>
      </c>
      <c r="AH1086">
        <v>4</v>
      </c>
      <c r="AI1086">
        <v>9</v>
      </c>
      <c r="AJ1086">
        <v>18</v>
      </c>
      <c r="AK1086">
        <v>0.33333000000000002</v>
      </c>
      <c r="AL1086">
        <v>16</v>
      </c>
      <c r="AM1086">
        <v>9</v>
      </c>
      <c r="AN1086">
        <v>17</v>
      </c>
      <c r="AO1086">
        <v>28</v>
      </c>
      <c r="AP1086">
        <v>11</v>
      </c>
      <c r="AQ1086">
        <v>18</v>
      </c>
      <c r="AR1086" t="s">
        <v>23828</v>
      </c>
      <c r="AS1086" t="s">
        <v>23829</v>
      </c>
      <c r="AT1086">
        <v>5.0000000000000001E-3</v>
      </c>
      <c r="AU1086" t="s">
        <v>65</v>
      </c>
      <c r="AV1086">
        <v>28</v>
      </c>
      <c r="AW1086">
        <v>46</v>
      </c>
      <c r="AX1086" t="s">
        <v>23830</v>
      </c>
      <c r="AY1086">
        <v>3.8989999999999997E-2</v>
      </c>
      <c r="AZ1086">
        <v>-1.6900000000000001E-3</v>
      </c>
      <c r="BA1086">
        <v>1.048E-2</v>
      </c>
      <c r="BB1086">
        <v>-3.4000000000000002E-4</v>
      </c>
      <c r="BC1086">
        <v>0.26872000000000001</v>
      </c>
      <c r="BD1086">
        <v>1</v>
      </c>
      <c r="BE1086" t="s">
        <v>69</v>
      </c>
      <c r="BF1086">
        <v>-0.42199999999999999</v>
      </c>
      <c r="BG1086">
        <v>-0.29199999999999998</v>
      </c>
    </row>
    <row r="1087" spans="1:59">
      <c r="A1087">
        <v>0</v>
      </c>
      <c r="B1087">
        <v>10</v>
      </c>
      <c r="C1087">
        <v>1</v>
      </c>
      <c r="D1087" t="s">
        <v>25022</v>
      </c>
      <c r="E1087">
        <v>1378</v>
      </c>
      <c r="F1087" t="s">
        <v>8626</v>
      </c>
      <c r="G1087" t="s">
        <v>57</v>
      </c>
      <c r="H1087">
        <v>1394004</v>
      </c>
      <c r="I1087">
        <v>1394681</v>
      </c>
      <c r="J1087" t="s">
        <v>3674</v>
      </c>
      <c r="K1087">
        <v>226</v>
      </c>
      <c r="L1087" t="s">
        <v>108</v>
      </c>
      <c r="M1087">
        <v>44</v>
      </c>
      <c r="N1087" t="str">
        <f>HYPERLINK("Gene1378-zp_tree_all.dnd", "Gene1378-tree")</f>
        <v>Gene1378-tree</v>
      </c>
      <c r="O1087">
        <v>5</v>
      </c>
      <c r="P1087">
        <v>10</v>
      </c>
      <c r="Q1087">
        <v>5</v>
      </c>
      <c r="R1087">
        <v>10</v>
      </c>
      <c r="S1087">
        <v>0.66666999999999998</v>
      </c>
      <c r="T1087" t="s">
        <v>199</v>
      </c>
      <c r="U1087" t="s">
        <v>117</v>
      </c>
      <c r="V1087" t="s">
        <v>62</v>
      </c>
      <c r="W1087" t="s">
        <v>62</v>
      </c>
      <c r="X1087">
        <v>4</v>
      </c>
      <c r="Y1087">
        <v>11</v>
      </c>
      <c r="Z1087">
        <v>20</v>
      </c>
      <c r="AA1087">
        <v>0.35483999999999999</v>
      </c>
      <c r="AB1087">
        <v>0</v>
      </c>
      <c r="AC1087">
        <v>0</v>
      </c>
      <c r="AD1087">
        <v>0</v>
      </c>
      <c r="AE1087">
        <v>2</v>
      </c>
      <c r="AF1087">
        <v>0</v>
      </c>
      <c r="AG1087">
        <v>2</v>
      </c>
      <c r="AH1087">
        <v>1</v>
      </c>
      <c r="AI1087">
        <v>3</v>
      </c>
      <c r="AJ1087">
        <v>19</v>
      </c>
      <c r="AK1087">
        <v>0.13636000000000001</v>
      </c>
      <c r="AL1087">
        <v>13</v>
      </c>
      <c r="AM1087">
        <v>10</v>
      </c>
      <c r="AN1087">
        <v>27</v>
      </c>
      <c r="AO1087">
        <v>22</v>
      </c>
      <c r="AP1087">
        <v>20</v>
      </c>
      <c r="AQ1087">
        <v>9</v>
      </c>
      <c r="AR1087" t="s">
        <v>8627</v>
      </c>
      <c r="AS1087" t="s">
        <v>8628</v>
      </c>
      <c r="AT1087">
        <v>1.3779999999999999</v>
      </c>
      <c r="AU1087" t="s">
        <v>65</v>
      </c>
      <c r="AV1087">
        <v>47</v>
      </c>
      <c r="AW1087">
        <v>31</v>
      </c>
      <c r="AX1087" t="s">
        <v>8629</v>
      </c>
      <c r="AY1087">
        <v>5.2699999999999997E-2</v>
      </c>
      <c r="AZ1087">
        <v>-1.73E-3</v>
      </c>
      <c r="BA1087">
        <v>1.059E-2</v>
      </c>
      <c r="BB1087">
        <v>-5.1000000000000004E-4</v>
      </c>
      <c r="BC1087">
        <v>0.20093</v>
      </c>
      <c r="BD1087">
        <v>1</v>
      </c>
      <c r="BE1087" t="s">
        <v>69</v>
      </c>
      <c r="BF1087">
        <v>-1.0920000000000001</v>
      </c>
      <c r="BG1087">
        <v>-2.13</v>
      </c>
    </row>
    <row r="1088" spans="1:59">
      <c r="A1088">
        <v>0</v>
      </c>
      <c r="B1088">
        <v>15</v>
      </c>
      <c r="C1088">
        <v>2</v>
      </c>
      <c r="D1088" t="s">
        <v>25022</v>
      </c>
      <c r="E1088">
        <v>3581</v>
      </c>
      <c r="F1088" t="s">
        <v>21008</v>
      </c>
      <c r="G1088" t="s">
        <v>62</v>
      </c>
      <c r="H1088">
        <v>3546876</v>
      </c>
      <c r="I1088">
        <v>3547553</v>
      </c>
      <c r="J1088" t="s">
        <v>21009</v>
      </c>
      <c r="K1088">
        <v>226</v>
      </c>
      <c r="L1088" t="s">
        <v>21010</v>
      </c>
      <c r="M1088">
        <v>41</v>
      </c>
      <c r="N1088" t="str">
        <f>HYPERLINK("Gene3581-zp_tree_all.dnd", "Gene3581-tree")</f>
        <v>Gene3581-tree</v>
      </c>
      <c r="O1088">
        <v>3</v>
      </c>
      <c r="P1088">
        <v>28</v>
      </c>
      <c r="Q1088">
        <v>3</v>
      </c>
      <c r="R1088">
        <v>9</v>
      </c>
      <c r="S1088">
        <v>0.75</v>
      </c>
      <c r="T1088" t="s">
        <v>324</v>
      </c>
      <c r="U1088" t="s">
        <v>2825</v>
      </c>
      <c r="V1088">
        <v>1.615</v>
      </c>
      <c r="W1088" t="s">
        <v>65</v>
      </c>
      <c r="X1088">
        <v>5</v>
      </c>
      <c r="Y1088">
        <v>17</v>
      </c>
      <c r="Z1088">
        <v>16</v>
      </c>
      <c r="AA1088">
        <v>0.51515</v>
      </c>
      <c r="AB1088">
        <v>0</v>
      </c>
      <c r="AC1088">
        <v>0</v>
      </c>
      <c r="AD1088">
        <v>0</v>
      </c>
      <c r="AE1088">
        <v>2</v>
      </c>
      <c r="AF1088">
        <v>0</v>
      </c>
      <c r="AG1088">
        <v>13</v>
      </c>
      <c r="AH1088">
        <v>0</v>
      </c>
      <c r="AI1088">
        <v>13</v>
      </c>
      <c r="AJ1088">
        <v>12</v>
      </c>
      <c r="AK1088">
        <v>0.52</v>
      </c>
      <c r="AL1088">
        <v>10</v>
      </c>
      <c r="AM1088">
        <v>7</v>
      </c>
      <c r="AN1088">
        <v>39</v>
      </c>
      <c r="AO1088">
        <v>24</v>
      </c>
      <c r="AP1088">
        <v>14</v>
      </c>
      <c r="AQ1088">
        <v>9</v>
      </c>
      <c r="AR1088" t="s">
        <v>21011</v>
      </c>
      <c r="AS1088" t="s">
        <v>21012</v>
      </c>
      <c r="AT1088">
        <v>0.124</v>
      </c>
      <c r="AU1088" t="s">
        <v>65</v>
      </c>
      <c r="AV1088">
        <v>53</v>
      </c>
      <c r="AW1088">
        <v>33</v>
      </c>
      <c r="AX1088" t="s">
        <v>21013</v>
      </c>
      <c r="AY1088">
        <v>7.6840000000000006E-2</v>
      </c>
      <c r="AZ1088">
        <v>-4.2900000000000004E-3</v>
      </c>
      <c r="BA1088">
        <v>1.3650000000000001E-2</v>
      </c>
      <c r="BB1088">
        <v>-7.3999999999999999E-4</v>
      </c>
      <c r="BC1088">
        <v>0.17763000000000001</v>
      </c>
      <c r="BD1088">
        <v>1</v>
      </c>
      <c r="BE1088" t="s">
        <v>69</v>
      </c>
      <c r="BF1088">
        <v>-0.33200000000000002</v>
      </c>
      <c r="BG1088">
        <v>-0.53400000000000003</v>
      </c>
    </row>
    <row r="1089" spans="1:59">
      <c r="A1089">
        <v>0</v>
      </c>
      <c r="B1089">
        <v>7</v>
      </c>
      <c r="C1089">
        <v>0</v>
      </c>
      <c r="D1089" t="s">
        <v>25022</v>
      </c>
      <c r="E1089">
        <v>794</v>
      </c>
      <c r="F1089" t="s">
        <v>4935</v>
      </c>
      <c r="G1089" t="s">
        <v>57</v>
      </c>
      <c r="H1089">
        <v>832545</v>
      </c>
      <c r="I1089">
        <v>833222</v>
      </c>
      <c r="J1089" t="s">
        <v>3081</v>
      </c>
      <c r="K1089">
        <v>226</v>
      </c>
      <c r="L1089" t="s">
        <v>108</v>
      </c>
      <c r="M1089">
        <v>44</v>
      </c>
      <c r="N1089" t="str">
        <f>HYPERLINK("Gene794-zp_tree_all.dnd", "Gene794-tree")</f>
        <v>Gene794-tree</v>
      </c>
      <c r="O1089">
        <v>8</v>
      </c>
      <c r="P1089">
        <v>6</v>
      </c>
      <c r="Q1089">
        <v>8</v>
      </c>
      <c r="R1089">
        <v>6</v>
      </c>
      <c r="S1089">
        <v>0.42857000000000001</v>
      </c>
      <c r="T1089" t="s">
        <v>136</v>
      </c>
      <c r="U1089" t="s">
        <v>90</v>
      </c>
      <c r="V1089" t="s">
        <v>62</v>
      </c>
      <c r="W1089" t="s">
        <v>62</v>
      </c>
      <c r="X1089">
        <v>3</v>
      </c>
      <c r="Y1089">
        <v>7</v>
      </c>
      <c r="Z1089">
        <v>8</v>
      </c>
      <c r="AA1089">
        <v>0.46666999999999997</v>
      </c>
      <c r="AB1089">
        <v>2</v>
      </c>
      <c r="AC1089">
        <v>0</v>
      </c>
      <c r="AD1089">
        <v>2</v>
      </c>
      <c r="AE1089">
        <v>2</v>
      </c>
      <c r="AF1089">
        <v>0.5</v>
      </c>
      <c r="AG1089">
        <v>2</v>
      </c>
      <c r="AH1089">
        <v>0</v>
      </c>
      <c r="AI1089">
        <v>2</v>
      </c>
      <c r="AJ1089">
        <v>7</v>
      </c>
      <c r="AK1089">
        <v>0.22222</v>
      </c>
      <c r="AL1089">
        <v>9</v>
      </c>
      <c r="AM1089">
        <v>8</v>
      </c>
      <c r="AN1089">
        <v>14</v>
      </c>
      <c r="AO1089">
        <v>9</v>
      </c>
      <c r="AP1089">
        <v>9</v>
      </c>
      <c r="AQ1089">
        <v>6</v>
      </c>
      <c r="AR1089" t="s">
        <v>4936</v>
      </c>
      <c r="AS1089" t="s">
        <v>4937</v>
      </c>
      <c r="AT1089">
        <v>4.4999999999999998E-2</v>
      </c>
      <c r="AU1089" t="s">
        <v>65</v>
      </c>
      <c r="AV1089">
        <v>23</v>
      </c>
      <c r="AW1089">
        <v>15</v>
      </c>
      <c r="AX1089" t="s">
        <v>4938</v>
      </c>
      <c r="AY1089">
        <v>3.1390000000000001E-2</v>
      </c>
      <c r="AZ1089">
        <v>-1.82E-3</v>
      </c>
      <c r="BA1089">
        <v>4.9300000000000004E-3</v>
      </c>
      <c r="BB1089">
        <v>-2.7E-4</v>
      </c>
      <c r="BC1089">
        <v>0.15715999999999999</v>
      </c>
      <c r="BD1089">
        <v>1</v>
      </c>
      <c r="BE1089" t="s">
        <v>69</v>
      </c>
      <c r="BF1089">
        <v>-0.86799999999999999</v>
      </c>
      <c r="BG1089">
        <v>-2.0539999999999998</v>
      </c>
    </row>
    <row r="1090" spans="1:59">
      <c r="A1090">
        <v>0</v>
      </c>
      <c r="B1090">
        <v>2</v>
      </c>
      <c r="C1090">
        <v>0</v>
      </c>
      <c r="D1090" t="s">
        <v>25022</v>
      </c>
      <c r="E1090">
        <v>3069</v>
      </c>
      <c r="F1090" t="s">
        <v>17773</v>
      </c>
      <c r="G1090" t="s">
        <v>62</v>
      </c>
      <c r="H1090">
        <v>3018781</v>
      </c>
      <c r="I1090">
        <v>3019458</v>
      </c>
      <c r="J1090" t="s">
        <v>17774</v>
      </c>
      <c r="K1090">
        <v>226</v>
      </c>
      <c r="L1090" t="s">
        <v>108</v>
      </c>
      <c r="M1090">
        <v>44</v>
      </c>
      <c r="N1090" t="str">
        <f>HYPERLINK("Gene3069-zp_tree_all.dnd", "Gene3069-tree")</f>
        <v>Gene3069-tree</v>
      </c>
      <c r="O1090">
        <v>27</v>
      </c>
      <c r="P1090">
        <v>5</v>
      </c>
      <c r="Q1090">
        <v>7</v>
      </c>
      <c r="R1090">
        <v>5</v>
      </c>
      <c r="S1090">
        <v>0.41666999999999998</v>
      </c>
      <c r="T1090" t="s">
        <v>8429</v>
      </c>
      <c r="U1090" t="s">
        <v>199</v>
      </c>
      <c r="V1090" t="s">
        <v>62</v>
      </c>
      <c r="W1090" t="s">
        <v>62</v>
      </c>
      <c r="X1090">
        <v>1</v>
      </c>
      <c r="Y1090">
        <v>2</v>
      </c>
      <c r="Z1090">
        <v>8</v>
      </c>
      <c r="AA1090">
        <v>0.2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9</v>
      </c>
      <c r="AK1090">
        <v>0</v>
      </c>
      <c r="AL1090">
        <v>10</v>
      </c>
      <c r="AM1090">
        <v>6</v>
      </c>
      <c r="AN1090">
        <v>15</v>
      </c>
      <c r="AO1090">
        <v>9</v>
      </c>
      <c r="AP1090">
        <v>5</v>
      </c>
      <c r="AQ1090">
        <v>1</v>
      </c>
      <c r="AR1090" t="s">
        <v>17775</v>
      </c>
      <c r="AS1090" t="s">
        <v>17776</v>
      </c>
      <c r="AT1090">
        <v>0.626</v>
      </c>
      <c r="AU1090" t="s">
        <v>65</v>
      </c>
      <c r="AV1090">
        <v>20</v>
      </c>
      <c r="AW1090">
        <v>10</v>
      </c>
      <c r="AX1090" t="s">
        <v>17777</v>
      </c>
      <c r="AY1090">
        <v>2.6579999999999999E-2</v>
      </c>
      <c r="AZ1090">
        <v>-1.5399999999999999E-3</v>
      </c>
      <c r="BA1090">
        <v>3.62E-3</v>
      </c>
      <c r="BB1090">
        <v>-4.0000000000000002E-4</v>
      </c>
      <c r="BC1090">
        <v>0.13636999999999999</v>
      </c>
      <c r="BD1090">
        <v>0.99</v>
      </c>
      <c r="BE1090" t="s">
        <v>69</v>
      </c>
      <c r="BF1090">
        <v>-1.2050000000000001</v>
      </c>
      <c r="BG1090">
        <v>-1.119</v>
      </c>
    </row>
    <row r="1091" spans="1:59">
      <c r="A1091">
        <v>0</v>
      </c>
      <c r="B1091">
        <v>4</v>
      </c>
      <c r="C1091">
        <v>0</v>
      </c>
      <c r="D1091" t="s">
        <v>25022</v>
      </c>
      <c r="E1091">
        <v>255</v>
      </c>
      <c r="F1091" t="s">
        <v>1737</v>
      </c>
      <c r="G1091" t="s">
        <v>57</v>
      </c>
      <c r="H1091">
        <v>278377</v>
      </c>
      <c r="I1091">
        <v>279054</v>
      </c>
      <c r="J1091" t="s">
        <v>1738</v>
      </c>
      <c r="K1091">
        <v>226</v>
      </c>
      <c r="L1091" t="s">
        <v>1392</v>
      </c>
      <c r="M1091">
        <v>43</v>
      </c>
      <c r="N1091" t="str">
        <f>HYPERLINK("Gene255-zp_tree_all.dnd", "Gene255-tree")</f>
        <v>Gene255-tree</v>
      </c>
      <c r="O1091">
        <v>6</v>
      </c>
      <c r="P1091">
        <v>5</v>
      </c>
      <c r="Q1091">
        <v>6</v>
      </c>
      <c r="R1091">
        <v>5</v>
      </c>
      <c r="S1091">
        <v>0.45455000000000001</v>
      </c>
      <c r="T1091" t="s">
        <v>90</v>
      </c>
      <c r="U1091" t="s">
        <v>199</v>
      </c>
      <c r="V1091" t="s">
        <v>62</v>
      </c>
      <c r="W1091" t="s">
        <v>62</v>
      </c>
      <c r="X1091">
        <v>2</v>
      </c>
      <c r="Y1091">
        <v>4</v>
      </c>
      <c r="Z1091">
        <v>9</v>
      </c>
      <c r="AA1091">
        <v>0.30769000000000002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2</v>
      </c>
      <c r="AH1091">
        <v>0</v>
      </c>
      <c r="AI1091">
        <v>2</v>
      </c>
      <c r="AJ1091">
        <v>7</v>
      </c>
      <c r="AK1091">
        <v>0.22222</v>
      </c>
      <c r="AL1091">
        <v>9</v>
      </c>
      <c r="AM1091">
        <v>7</v>
      </c>
      <c r="AN1091">
        <v>29</v>
      </c>
      <c r="AO1091">
        <v>9</v>
      </c>
      <c r="AP1091">
        <v>11</v>
      </c>
      <c r="AQ1091">
        <v>4</v>
      </c>
      <c r="AR1091" t="s">
        <v>1739</v>
      </c>
      <c r="AS1091" t="s">
        <v>1740</v>
      </c>
      <c r="AT1091">
        <v>0.28699999999999998</v>
      </c>
      <c r="AU1091" t="s">
        <v>65</v>
      </c>
      <c r="AV1091">
        <v>40</v>
      </c>
      <c r="AW1091">
        <v>13</v>
      </c>
      <c r="AX1091" t="s">
        <v>1741</v>
      </c>
      <c r="AY1091">
        <v>5.7329999999999999E-2</v>
      </c>
      <c r="AZ1091">
        <v>-2.8500000000000001E-3</v>
      </c>
      <c r="BA1091">
        <v>5.8300000000000001E-3</v>
      </c>
      <c r="BB1091">
        <v>-3.6000000000000002E-4</v>
      </c>
      <c r="BC1091">
        <v>0.1017</v>
      </c>
      <c r="BD1091">
        <v>1</v>
      </c>
      <c r="BE1091" t="s">
        <v>69</v>
      </c>
      <c r="BF1091">
        <v>-0.46600000000000003</v>
      </c>
      <c r="BG1091">
        <v>-0.76600000000000001</v>
      </c>
    </row>
    <row r="1092" spans="1:59">
      <c r="A1092">
        <v>0</v>
      </c>
      <c r="B1092">
        <v>9</v>
      </c>
      <c r="C1092">
        <v>0</v>
      </c>
      <c r="D1092" t="s">
        <v>25022</v>
      </c>
      <c r="E1092">
        <v>3684</v>
      </c>
      <c r="F1092" t="s">
        <v>21620</v>
      </c>
      <c r="G1092" t="s">
        <v>62</v>
      </c>
      <c r="H1092">
        <v>3651882</v>
      </c>
      <c r="I1092">
        <v>3652559</v>
      </c>
      <c r="J1092" t="s">
        <v>21621</v>
      </c>
      <c r="K1092">
        <v>226</v>
      </c>
      <c r="L1092" t="s">
        <v>2078</v>
      </c>
      <c r="M1092">
        <v>36</v>
      </c>
      <c r="N1092" t="str">
        <f>HYPERLINK("Gene3684-zp_tree_all.dnd", "Gene3684-tree")</f>
        <v>Gene3684-tree</v>
      </c>
      <c r="O1092">
        <v>3</v>
      </c>
      <c r="P1092">
        <v>8</v>
      </c>
      <c r="Q1092">
        <v>3</v>
      </c>
      <c r="R1092">
        <v>8</v>
      </c>
      <c r="S1092">
        <v>0.72726999999999997</v>
      </c>
      <c r="T1092" t="s">
        <v>324</v>
      </c>
      <c r="U1092" t="s">
        <v>136</v>
      </c>
      <c r="V1092" t="s">
        <v>62</v>
      </c>
      <c r="W1092" t="s">
        <v>62</v>
      </c>
      <c r="X1092">
        <v>3</v>
      </c>
      <c r="Y1092">
        <v>9</v>
      </c>
      <c r="Z1092">
        <v>4</v>
      </c>
      <c r="AA1092">
        <v>0.69230999999999998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6</v>
      </c>
      <c r="AH1092">
        <v>0</v>
      </c>
      <c r="AI1092">
        <v>6</v>
      </c>
      <c r="AJ1092">
        <v>5</v>
      </c>
      <c r="AK1092">
        <v>0.54544999999999999</v>
      </c>
      <c r="AL1092">
        <v>9</v>
      </c>
      <c r="AM1092">
        <v>8</v>
      </c>
      <c r="AN1092">
        <v>17</v>
      </c>
      <c r="AO1092">
        <v>11</v>
      </c>
      <c r="AP1092">
        <v>15</v>
      </c>
      <c r="AQ1092">
        <v>2</v>
      </c>
      <c r="AR1092" t="s">
        <v>21622</v>
      </c>
      <c r="AS1092" t="s">
        <v>21623</v>
      </c>
      <c r="AT1092">
        <v>1.712</v>
      </c>
      <c r="AU1092" t="s">
        <v>65</v>
      </c>
      <c r="AV1092">
        <v>32</v>
      </c>
      <c r="AW1092">
        <v>13</v>
      </c>
      <c r="AX1092" t="s">
        <v>21624</v>
      </c>
      <c r="AY1092">
        <v>5.2139999999999999E-2</v>
      </c>
      <c r="AZ1092">
        <v>-2.6099999999999999E-3</v>
      </c>
      <c r="BA1092">
        <v>5.0600000000000003E-3</v>
      </c>
      <c r="BB1092">
        <v>-3.2000000000000003E-4</v>
      </c>
      <c r="BC1092">
        <v>9.7100000000000006E-2</v>
      </c>
      <c r="BD1092">
        <v>1</v>
      </c>
      <c r="BE1092" t="s">
        <v>69</v>
      </c>
      <c r="BF1092">
        <v>0.37</v>
      </c>
      <c r="BG1092">
        <v>-0.26600000000000001</v>
      </c>
    </row>
    <row r="1093" spans="1:59">
      <c r="A1093">
        <v>0</v>
      </c>
      <c r="B1093">
        <v>4</v>
      </c>
      <c r="C1093">
        <v>0</v>
      </c>
      <c r="D1093" t="s">
        <v>25022</v>
      </c>
      <c r="E1093">
        <v>3497</v>
      </c>
      <c r="F1093" t="s">
        <v>20494</v>
      </c>
      <c r="G1093" t="s">
        <v>62</v>
      </c>
      <c r="H1093">
        <v>3459809</v>
      </c>
      <c r="I1093">
        <v>3460486</v>
      </c>
      <c r="J1093" t="s">
        <v>20495</v>
      </c>
      <c r="K1093">
        <v>226</v>
      </c>
      <c r="L1093" t="s">
        <v>20496</v>
      </c>
      <c r="M1093">
        <v>39</v>
      </c>
      <c r="N1093" t="str">
        <f>HYPERLINK("Gene3497-zp_tree_all.dnd", "Gene3497-tree")</f>
        <v>Gene3497-tree</v>
      </c>
      <c r="O1093">
        <v>6</v>
      </c>
      <c r="P1093">
        <v>5</v>
      </c>
      <c r="Q1093">
        <v>6</v>
      </c>
      <c r="R1093">
        <v>5</v>
      </c>
      <c r="S1093">
        <v>0.45455000000000001</v>
      </c>
      <c r="T1093" t="s">
        <v>90</v>
      </c>
      <c r="U1093" t="s">
        <v>199</v>
      </c>
      <c r="V1093" t="s">
        <v>62</v>
      </c>
      <c r="W1093" t="s">
        <v>62</v>
      </c>
      <c r="X1093">
        <v>2</v>
      </c>
      <c r="Y1093">
        <v>4</v>
      </c>
      <c r="Z1093">
        <v>10</v>
      </c>
      <c r="AA1093">
        <v>0.28571000000000002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11</v>
      </c>
      <c r="AK1093">
        <v>0</v>
      </c>
      <c r="AL1093">
        <v>10</v>
      </c>
      <c r="AM1093">
        <v>8</v>
      </c>
      <c r="AN1093">
        <v>37</v>
      </c>
      <c r="AO1093">
        <v>13</v>
      </c>
      <c r="AP1093">
        <v>15</v>
      </c>
      <c r="AQ1093">
        <v>3</v>
      </c>
      <c r="AR1093" t="s">
        <v>20497</v>
      </c>
      <c r="AS1093" t="s">
        <v>20498</v>
      </c>
      <c r="AT1093">
        <v>0.61499999999999999</v>
      </c>
      <c r="AU1093" t="s">
        <v>65</v>
      </c>
      <c r="AV1093">
        <v>52</v>
      </c>
      <c r="AW1093">
        <v>16</v>
      </c>
      <c r="AX1093" t="s">
        <v>20499</v>
      </c>
      <c r="AY1093">
        <v>6.4339999999999994E-2</v>
      </c>
      <c r="AZ1093">
        <v>-2.98E-3</v>
      </c>
      <c r="BA1093">
        <v>6.1000000000000004E-3</v>
      </c>
      <c r="BB1093">
        <v>-5.1999999999999995E-4</v>
      </c>
      <c r="BC1093">
        <v>9.4789999999999999E-2</v>
      </c>
      <c r="BD1093">
        <v>1</v>
      </c>
      <c r="BE1093" t="s">
        <v>69</v>
      </c>
      <c r="BF1093">
        <v>-1.1299999999999999</v>
      </c>
      <c r="BG1093">
        <v>-1.6359999999999999</v>
      </c>
    </row>
    <row r="1094" spans="1:59">
      <c r="A1094">
        <v>0</v>
      </c>
      <c r="B1094">
        <v>0</v>
      </c>
      <c r="C1094">
        <v>2</v>
      </c>
      <c r="D1094" t="s">
        <v>25022</v>
      </c>
      <c r="E1094">
        <v>454</v>
      </c>
      <c r="F1094" t="s">
        <v>3080</v>
      </c>
      <c r="G1094" t="s">
        <v>57</v>
      </c>
      <c r="H1094">
        <v>499365</v>
      </c>
      <c r="I1094">
        <v>500042</v>
      </c>
      <c r="J1094" t="s">
        <v>3081</v>
      </c>
      <c r="K1094">
        <v>226</v>
      </c>
      <c r="L1094" t="s">
        <v>108</v>
      </c>
      <c r="M1094">
        <v>44</v>
      </c>
      <c r="N1094" t="str">
        <f>HYPERLINK("Gene454-zp_tree_all.dnd", "Gene454-tree")</f>
        <v>Gene454-tree</v>
      </c>
      <c r="O1094">
        <v>11</v>
      </c>
      <c r="P1094">
        <v>5</v>
      </c>
      <c r="Q1094">
        <v>11</v>
      </c>
      <c r="R1094">
        <v>5</v>
      </c>
      <c r="S1094">
        <v>0.3125</v>
      </c>
      <c r="T1094" t="s">
        <v>73</v>
      </c>
      <c r="U1094" t="s">
        <v>199</v>
      </c>
      <c r="V1094" t="s">
        <v>62</v>
      </c>
      <c r="W1094" t="s">
        <v>62</v>
      </c>
      <c r="X1094">
        <v>1</v>
      </c>
      <c r="Y1094">
        <v>2</v>
      </c>
      <c r="Z1094">
        <v>6</v>
      </c>
      <c r="AA1094">
        <v>0.25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5</v>
      </c>
      <c r="AK1094">
        <v>0</v>
      </c>
      <c r="AL1094">
        <v>13</v>
      </c>
      <c r="AM1094">
        <v>8</v>
      </c>
      <c r="AN1094">
        <v>26</v>
      </c>
      <c r="AO1094">
        <v>6</v>
      </c>
      <c r="AP1094">
        <v>9</v>
      </c>
      <c r="AQ1094">
        <v>3</v>
      </c>
      <c r="AR1094" t="s">
        <v>3082</v>
      </c>
      <c r="AS1094" t="s">
        <v>3083</v>
      </c>
      <c r="AT1094">
        <v>0.24299999999999999</v>
      </c>
      <c r="AU1094" t="s">
        <v>65</v>
      </c>
      <c r="AV1094">
        <v>35</v>
      </c>
      <c r="AW1094">
        <v>9</v>
      </c>
      <c r="AX1094" t="s">
        <v>3084</v>
      </c>
      <c r="AY1094">
        <v>3.9489999999999997E-2</v>
      </c>
      <c r="AZ1094">
        <v>-2.7699999999999999E-3</v>
      </c>
      <c r="BA1094">
        <v>3.7000000000000002E-3</v>
      </c>
      <c r="BB1094">
        <v>-2.7999999999999998E-4</v>
      </c>
      <c r="BC1094">
        <v>9.3679999999999999E-2</v>
      </c>
      <c r="BD1094">
        <v>1</v>
      </c>
      <c r="BE1094" t="s">
        <v>69</v>
      </c>
      <c r="BF1094">
        <v>-1.5580000000000001</v>
      </c>
      <c r="BG1094">
        <v>-3.5750000000000002</v>
      </c>
    </row>
    <row r="1095" spans="1:59">
      <c r="A1095">
        <v>0</v>
      </c>
      <c r="B1095">
        <v>4</v>
      </c>
      <c r="C1095">
        <v>4</v>
      </c>
      <c r="D1095" t="s">
        <v>25022</v>
      </c>
      <c r="E1095">
        <v>2288</v>
      </c>
      <c r="F1095" t="s">
        <v>13248</v>
      </c>
      <c r="G1095" t="s">
        <v>62</v>
      </c>
      <c r="H1095">
        <v>2308970</v>
      </c>
      <c r="I1095">
        <v>2309647</v>
      </c>
      <c r="J1095" t="s">
        <v>13249</v>
      </c>
      <c r="K1095">
        <v>226</v>
      </c>
      <c r="L1095" t="s">
        <v>6390</v>
      </c>
      <c r="M1095">
        <v>45</v>
      </c>
      <c r="N1095" t="str">
        <f>HYPERLINK("Gene2288-zp_tree_all.dnd", "Gene2288-tree")</f>
        <v>Gene2288-tree</v>
      </c>
      <c r="O1095">
        <v>10</v>
      </c>
      <c r="P1095">
        <v>4</v>
      </c>
      <c r="Q1095">
        <v>10</v>
      </c>
      <c r="R1095">
        <v>4</v>
      </c>
      <c r="S1095">
        <v>0.28571000000000002</v>
      </c>
      <c r="T1095" t="s">
        <v>117</v>
      </c>
      <c r="U1095" t="s">
        <v>61</v>
      </c>
      <c r="V1095" t="s">
        <v>62</v>
      </c>
      <c r="W1095" t="s">
        <v>62</v>
      </c>
      <c r="X1095">
        <v>4</v>
      </c>
      <c r="Y1095">
        <v>8</v>
      </c>
      <c r="Z1095">
        <v>9</v>
      </c>
      <c r="AA1095">
        <v>0.47059000000000001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</v>
      </c>
      <c r="AI1095">
        <v>2</v>
      </c>
      <c r="AJ1095">
        <v>11</v>
      </c>
      <c r="AK1095">
        <v>0.15384999999999999</v>
      </c>
      <c r="AL1095">
        <v>12</v>
      </c>
      <c r="AM1095">
        <v>9</v>
      </c>
      <c r="AN1095">
        <v>36</v>
      </c>
      <c r="AO1095">
        <v>13</v>
      </c>
      <c r="AP1095">
        <v>13</v>
      </c>
      <c r="AQ1095">
        <v>4</v>
      </c>
      <c r="AR1095" t="s">
        <v>13250</v>
      </c>
      <c r="AS1095" t="s">
        <v>13251</v>
      </c>
      <c r="AT1095">
        <v>4.4999999999999998E-2</v>
      </c>
      <c r="AU1095" t="s">
        <v>65</v>
      </c>
      <c r="AV1095">
        <v>49</v>
      </c>
      <c r="AW1095">
        <v>17</v>
      </c>
      <c r="AX1095" t="s">
        <v>13252</v>
      </c>
      <c r="AY1095">
        <v>5.8549999999999998E-2</v>
      </c>
      <c r="AZ1095">
        <v>-5.0600000000000003E-3</v>
      </c>
      <c r="BA1095">
        <v>5.4200000000000003E-3</v>
      </c>
      <c r="BB1095">
        <v>-5.9000000000000003E-4</v>
      </c>
      <c r="BC1095">
        <v>9.2499999999999999E-2</v>
      </c>
      <c r="BD1095">
        <v>1</v>
      </c>
      <c r="BE1095" t="s">
        <v>69</v>
      </c>
      <c r="BF1095">
        <v>-1.232</v>
      </c>
      <c r="BG1095">
        <v>-3.31</v>
      </c>
    </row>
    <row r="1096" spans="1:59">
      <c r="A1096">
        <v>0</v>
      </c>
      <c r="B1096">
        <v>2</v>
      </c>
      <c r="C1096">
        <v>3</v>
      </c>
      <c r="D1096" t="s">
        <v>25022</v>
      </c>
      <c r="E1096">
        <v>554</v>
      </c>
      <c r="F1096" t="s">
        <v>3564</v>
      </c>
      <c r="G1096" t="s">
        <v>57</v>
      </c>
      <c r="H1096">
        <v>585868</v>
      </c>
      <c r="I1096">
        <v>586545</v>
      </c>
      <c r="J1096" t="s">
        <v>637</v>
      </c>
      <c r="K1096">
        <v>226</v>
      </c>
      <c r="L1096" t="s">
        <v>108</v>
      </c>
      <c r="M1096">
        <v>44</v>
      </c>
      <c r="N1096" t="str">
        <f>HYPERLINK("Gene554-zp_tree_all.dnd", "Gene554-tree")</f>
        <v>Gene554-tree</v>
      </c>
      <c r="O1096">
        <v>29</v>
      </c>
      <c r="P1096">
        <v>4</v>
      </c>
      <c r="Q1096">
        <v>9</v>
      </c>
      <c r="R1096">
        <v>4</v>
      </c>
      <c r="S1096">
        <v>0.30769000000000002</v>
      </c>
      <c r="T1096" t="s">
        <v>234</v>
      </c>
      <c r="U1096" t="s">
        <v>61</v>
      </c>
      <c r="V1096" t="s">
        <v>62</v>
      </c>
      <c r="W1096" t="s">
        <v>62</v>
      </c>
      <c r="X1096">
        <v>2</v>
      </c>
      <c r="Y1096">
        <v>5</v>
      </c>
      <c r="Z1096">
        <v>2</v>
      </c>
      <c r="AA1096">
        <v>0.71428999999999998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</v>
      </c>
      <c r="AI1096">
        <v>2</v>
      </c>
      <c r="AJ1096">
        <v>2</v>
      </c>
      <c r="AK1096">
        <v>0.5</v>
      </c>
      <c r="AL1096">
        <v>11</v>
      </c>
      <c r="AM1096">
        <v>8</v>
      </c>
      <c r="AN1096">
        <v>18</v>
      </c>
      <c r="AO1096">
        <v>4</v>
      </c>
      <c r="AP1096">
        <v>14</v>
      </c>
      <c r="AQ1096">
        <v>3</v>
      </c>
      <c r="AR1096" t="s">
        <v>3565</v>
      </c>
      <c r="AS1096" t="s">
        <v>3566</v>
      </c>
      <c r="AT1096">
        <v>2.9000000000000001E-2</v>
      </c>
      <c r="AU1096" t="s">
        <v>65</v>
      </c>
      <c r="AV1096">
        <v>32</v>
      </c>
      <c r="AW1096">
        <v>7</v>
      </c>
      <c r="AX1096" t="s">
        <v>3567</v>
      </c>
      <c r="AY1096">
        <v>4.5900000000000003E-2</v>
      </c>
      <c r="AZ1096">
        <v>-1.97E-3</v>
      </c>
      <c r="BA1096">
        <v>2.7399999999999998E-3</v>
      </c>
      <c r="BB1096">
        <v>-2.1000000000000001E-4</v>
      </c>
      <c r="BC1096">
        <v>5.9589999999999997E-2</v>
      </c>
      <c r="BD1096">
        <v>1</v>
      </c>
      <c r="BE1096" t="s">
        <v>69</v>
      </c>
      <c r="BF1096">
        <v>-0.439</v>
      </c>
      <c r="BG1096">
        <v>-0.57399999999999995</v>
      </c>
    </row>
    <row r="1097" spans="1:59">
      <c r="A1097">
        <v>0</v>
      </c>
      <c r="B1097">
        <v>0</v>
      </c>
      <c r="C1097">
        <v>2</v>
      </c>
      <c r="D1097" t="s">
        <v>25022</v>
      </c>
      <c r="E1097">
        <v>2916</v>
      </c>
      <c r="F1097" t="s">
        <v>16791</v>
      </c>
      <c r="G1097" t="s">
        <v>62</v>
      </c>
      <c r="H1097">
        <v>2858587</v>
      </c>
      <c r="I1097">
        <v>2859264</v>
      </c>
      <c r="J1097" t="s">
        <v>16792</v>
      </c>
      <c r="K1097">
        <v>226</v>
      </c>
      <c r="L1097" t="s">
        <v>59</v>
      </c>
      <c r="M1097">
        <v>49</v>
      </c>
      <c r="N1097" t="str">
        <f>HYPERLINK("Gene2916-zp_tree_all.dnd", "Gene2916-tree")</f>
        <v>Gene2916-tree</v>
      </c>
      <c r="O1097">
        <v>11</v>
      </c>
      <c r="P1097">
        <v>3</v>
      </c>
      <c r="Q1097">
        <v>11</v>
      </c>
      <c r="R1097">
        <v>3</v>
      </c>
      <c r="S1097">
        <v>0.21429000000000001</v>
      </c>
      <c r="T1097" t="s">
        <v>73</v>
      </c>
      <c r="U1097" t="s">
        <v>324</v>
      </c>
      <c r="V1097" t="s">
        <v>62</v>
      </c>
      <c r="W1097" t="s">
        <v>62</v>
      </c>
      <c r="X1097">
        <v>1</v>
      </c>
      <c r="Y1097">
        <v>2</v>
      </c>
      <c r="Z1097">
        <v>5</v>
      </c>
      <c r="AA1097">
        <v>0.28571000000000002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</v>
      </c>
      <c r="AK1097">
        <v>0</v>
      </c>
      <c r="AL1097">
        <v>11</v>
      </c>
      <c r="AM1097">
        <v>8</v>
      </c>
      <c r="AN1097">
        <v>24</v>
      </c>
      <c r="AO1097">
        <v>3</v>
      </c>
      <c r="AP1097">
        <v>19</v>
      </c>
      <c r="AQ1097">
        <v>4</v>
      </c>
      <c r="AR1097" t="s">
        <v>16793</v>
      </c>
      <c r="AS1097" t="s">
        <v>16794</v>
      </c>
      <c r="AT1097">
        <v>0.20300000000000001</v>
      </c>
      <c r="AU1097" t="s">
        <v>65</v>
      </c>
      <c r="AV1097">
        <v>43</v>
      </c>
      <c r="AW1097">
        <v>7</v>
      </c>
      <c r="AX1097" t="s">
        <v>16795</v>
      </c>
      <c r="AY1097">
        <v>7.077E-2</v>
      </c>
      <c r="AZ1097">
        <v>-4.6699999999999997E-3</v>
      </c>
      <c r="BA1097">
        <v>3.81E-3</v>
      </c>
      <c r="BB1097">
        <v>-3.6000000000000002E-4</v>
      </c>
      <c r="BC1097">
        <v>5.3800000000000001E-2</v>
      </c>
      <c r="BD1097">
        <v>1</v>
      </c>
      <c r="BE1097" t="s">
        <v>69</v>
      </c>
      <c r="BF1097">
        <v>-1.151</v>
      </c>
      <c r="BG1097">
        <v>-1.1479999999999999</v>
      </c>
    </row>
    <row r="1098" spans="1:59">
      <c r="A1098">
        <v>0</v>
      </c>
      <c r="B1098">
        <v>2</v>
      </c>
      <c r="C1098">
        <v>1</v>
      </c>
      <c r="D1098" t="s">
        <v>25022</v>
      </c>
      <c r="E1098">
        <v>2050</v>
      </c>
      <c r="F1098" t="s">
        <v>12765</v>
      </c>
      <c r="G1098" t="s">
        <v>62</v>
      </c>
      <c r="H1098">
        <v>2138040</v>
      </c>
      <c r="I1098">
        <v>2138717</v>
      </c>
      <c r="J1098" t="s">
        <v>288</v>
      </c>
      <c r="K1098">
        <v>226</v>
      </c>
      <c r="L1098" t="s">
        <v>59</v>
      </c>
      <c r="M1098">
        <v>49</v>
      </c>
      <c r="N1098" t="str">
        <f>HYPERLINK("Gene2050-zp_tree_all.dnd", "Gene2050-tree")</f>
        <v>Gene2050-tree</v>
      </c>
      <c r="O1098">
        <v>13</v>
      </c>
      <c r="P1098">
        <v>23</v>
      </c>
      <c r="Q1098">
        <v>13</v>
      </c>
      <c r="R1098">
        <v>3</v>
      </c>
      <c r="S1098">
        <v>0.1875</v>
      </c>
      <c r="T1098" t="s">
        <v>507</v>
      </c>
      <c r="U1098" t="s">
        <v>1725</v>
      </c>
      <c r="V1098">
        <v>7.4429999999999996</v>
      </c>
      <c r="W1098" t="s">
        <v>65</v>
      </c>
      <c r="X1098">
        <v>1</v>
      </c>
      <c r="Y1098">
        <v>3</v>
      </c>
      <c r="Z1098">
        <v>6</v>
      </c>
      <c r="AA1098">
        <v>0.33333000000000002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</v>
      </c>
      <c r="AK1098">
        <v>0</v>
      </c>
      <c r="AL1098">
        <v>12</v>
      </c>
      <c r="AM1098">
        <v>10</v>
      </c>
      <c r="AN1098">
        <v>20</v>
      </c>
      <c r="AO1098">
        <v>5</v>
      </c>
      <c r="AP1098">
        <v>35</v>
      </c>
      <c r="AQ1098">
        <v>4</v>
      </c>
      <c r="AR1098" t="s">
        <v>12766</v>
      </c>
      <c r="AS1098" t="s">
        <v>12767</v>
      </c>
      <c r="AT1098">
        <v>0.39900000000000002</v>
      </c>
      <c r="AU1098" t="s">
        <v>65</v>
      </c>
      <c r="AV1098">
        <v>55</v>
      </c>
      <c r="AW1098">
        <v>9</v>
      </c>
      <c r="AX1098" t="s">
        <v>12768</v>
      </c>
      <c r="AY1098">
        <v>9.3270000000000006E-2</v>
      </c>
      <c r="AZ1098">
        <v>-6.8500000000000002E-3</v>
      </c>
      <c r="BA1098">
        <v>2.8900000000000002E-3</v>
      </c>
      <c r="BB1098">
        <v>-2.4000000000000001E-4</v>
      </c>
      <c r="BC1098">
        <v>3.0929999999999999E-2</v>
      </c>
      <c r="BD1098">
        <v>1</v>
      </c>
      <c r="BE1098" t="s">
        <v>69</v>
      </c>
      <c r="BF1098">
        <v>-1.38</v>
      </c>
      <c r="BG1098">
        <v>-0.90100000000000002</v>
      </c>
    </row>
    <row r="1099" spans="1:59">
      <c r="A1099">
        <v>5</v>
      </c>
      <c r="B1099">
        <v>13</v>
      </c>
      <c r="C1099">
        <v>6</v>
      </c>
      <c r="D1099" t="s">
        <v>25022</v>
      </c>
      <c r="E1099">
        <v>3569</v>
      </c>
      <c r="F1099" t="s">
        <v>20928</v>
      </c>
      <c r="G1099" t="s">
        <v>62</v>
      </c>
      <c r="H1099">
        <v>3533422</v>
      </c>
      <c r="I1099">
        <v>3534102</v>
      </c>
      <c r="J1099" t="s">
        <v>20929</v>
      </c>
      <c r="K1099">
        <v>227</v>
      </c>
      <c r="L1099" t="s">
        <v>20930</v>
      </c>
      <c r="M1099">
        <v>45</v>
      </c>
      <c r="N1099" t="str">
        <f>HYPERLINK("Gene3569-zp_tree_all.dnd", "Gene3569-tree")</f>
        <v>Gene3569-tree</v>
      </c>
      <c r="O1099">
        <v>5</v>
      </c>
      <c r="P1099">
        <v>10</v>
      </c>
      <c r="Q1099">
        <v>5</v>
      </c>
      <c r="R1099">
        <v>10</v>
      </c>
      <c r="S1099">
        <v>0.66666999999999998</v>
      </c>
      <c r="T1099" t="s">
        <v>199</v>
      </c>
      <c r="U1099" t="s">
        <v>117</v>
      </c>
      <c r="V1099" t="s">
        <v>62</v>
      </c>
      <c r="W1099" t="s">
        <v>62</v>
      </c>
      <c r="X1099">
        <v>9</v>
      </c>
      <c r="Y1099">
        <v>24</v>
      </c>
      <c r="Z1099">
        <v>28</v>
      </c>
      <c r="AA1099">
        <v>0.46154000000000001</v>
      </c>
      <c r="AB1099">
        <v>0</v>
      </c>
      <c r="AC1099">
        <v>0</v>
      </c>
      <c r="AD1099">
        <v>0</v>
      </c>
      <c r="AE1099">
        <v>5</v>
      </c>
      <c r="AF1099">
        <v>0</v>
      </c>
      <c r="AG1099">
        <v>4</v>
      </c>
      <c r="AH1099">
        <v>6</v>
      </c>
      <c r="AI1099">
        <v>10</v>
      </c>
      <c r="AJ1099">
        <v>28</v>
      </c>
      <c r="AK1099">
        <v>0.26316000000000001</v>
      </c>
      <c r="AL1099">
        <v>12</v>
      </c>
      <c r="AM1099">
        <v>10</v>
      </c>
      <c r="AN1099">
        <v>36</v>
      </c>
      <c r="AO1099">
        <v>38</v>
      </c>
      <c r="AP1099">
        <v>14</v>
      </c>
      <c r="AQ1099">
        <v>15</v>
      </c>
      <c r="AR1099" t="s">
        <v>20931</v>
      </c>
      <c r="AS1099" t="s">
        <v>20932</v>
      </c>
      <c r="AT1099">
        <v>2.3E-2</v>
      </c>
      <c r="AU1099" t="s">
        <v>65</v>
      </c>
      <c r="AV1099">
        <v>50</v>
      </c>
      <c r="AW1099">
        <v>53</v>
      </c>
      <c r="AX1099" t="s">
        <v>20933</v>
      </c>
      <c r="AY1099">
        <v>5.4739999999999997E-2</v>
      </c>
      <c r="AZ1099">
        <v>-3.1700000000000001E-3</v>
      </c>
      <c r="BA1099">
        <v>1.5890000000000001E-2</v>
      </c>
      <c r="BB1099">
        <v>-8.3000000000000001E-4</v>
      </c>
      <c r="BC1099">
        <v>0.29024</v>
      </c>
      <c r="BD1099">
        <v>1</v>
      </c>
      <c r="BE1099" t="s">
        <v>69</v>
      </c>
      <c r="BF1099">
        <v>-0.89300000000000002</v>
      </c>
      <c r="BG1099">
        <v>-2.363</v>
      </c>
    </row>
    <row r="1100" spans="1:59">
      <c r="A1100">
        <v>0</v>
      </c>
      <c r="B1100">
        <v>4</v>
      </c>
      <c r="C1100">
        <v>2</v>
      </c>
      <c r="D1100" t="s">
        <v>25022</v>
      </c>
      <c r="E1100">
        <v>1211</v>
      </c>
      <c r="F1100" t="s">
        <v>7625</v>
      </c>
      <c r="G1100" t="s">
        <v>57</v>
      </c>
      <c r="H1100">
        <v>1248665</v>
      </c>
      <c r="I1100">
        <v>1249345</v>
      </c>
      <c r="J1100" t="s">
        <v>7626</v>
      </c>
      <c r="K1100">
        <v>227</v>
      </c>
      <c r="L1100" t="s">
        <v>108</v>
      </c>
      <c r="M1100">
        <v>44</v>
      </c>
      <c r="N1100" t="str">
        <f>HYPERLINK("Gene1211-zp_tree_all.dnd", "Gene1211-tree")</f>
        <v>Gene1211-tree</v>
      </c>
      <c r="O1100">
        <v>26</v>
      </c>
      <c r="P1100">
        <v>7</v>
      </c>
      <c r="Q1100">
        <v>9</v>
      </c>
      <c r="R1100">
        <v>7</v>
      </c>
      <c r="S1100">
        <v>0.4375</v>
      </c>
      <c r="T1100" t="s">
        <v>4723</v>
      </c>
      <c r="U1100" t="s">
        <v>152</v>
      </c>
      <c r="V1100" t="s">
        <v>62</v>
      </c>
      <c r="W1100" t="s">
        <v>62</v>
      </c>
      <c r="X1100">
        <v>2</v>
      </c>
      <c r="Y1100">
        <v>6</v>
      </c>
      <c r="Z1100">
        <v>14</v>
      </c>
      <c r="AA1100">
        <v>0.3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2</v>
      </c>
      <c r="AI1100">
        <v>2</v>
      </c>
      <c r="AJ1100">
        <v>7</v>
      </c>
      <c r="AK1100">
        <v>0.22222</v>
      </c>
      <c r="AL1100">
        <v>13</v>
      </c>
      <c r="AM1100">
        <v>12</v>
      </c>
      <c r="AN1100">
        <v>30</v>
      </c>
      <c r="AO1100">
        <v>9</v>
      </c>
      <c r="AP1100">
        <v>18</v>
      </c>
      <c r="AQ1100">
        <v>13</v>
      </c>
      <c r="AR1100" t="s">
        <v>7627</v>
      </c>
      <c r="AS1100" t="s">
        <v>7628</v>
      </c>
      <c r="AT1100">
        <v>0.71299999999999997</v>
      </c>
      <c r="AU1100" t="s">
        <v>65</v>
      </c>
      <c r="AV1100">
        <v>48</v>
      </c>
      <c r="AW1100">
        <v>22</v>
      </c>
      <c r="AX1100" t="s">
        <v>7629</v>
      </c>
      <c r="AY1100">
        <v>5.5399999999999998E-2</v>
      </c>
      <c r="AZ1100">
        <v>-3.2799999999999999E-3</v>
      </c>
      <c r="BA1100">
        <v>8.3099999999999997E-3</v>
      </c>
      <c r="BB1100">
        <v>-3.8000000000000002E-4</v>
      </c>
      <c r="BC1100">
        <v>0.14996999999999999</v>
      </c>
      <c r="BD1100">
        <v>1</v>
      </c>
      <c r="BE1100" t="s">
        <v>69</v>
      </c>
      <c r="BF1100">
        <v>-1.099</v>
      </c>
      <c r="BG1100">
        <v>-1.994</v>
      </c>
    </row>
    <row r="1101" spans="1:59">
      <c r="A1101">
        <v>0</v>
      </c>
      <c r="B1101">
        <v>2</v>
      </c>
      <c r="C1101">
        <v>0</v>
      </c>
      <c r="D1101" t="s">
        <v>25022</v>
      </c>
      <c r="E1101">
        <v>650</v>
      </c>
      <c r="F1101" t="s">
        <v>4033</v>
      </c>
      <c r="G1101" t="s">
        <v>57</v>
      </c>
      <c r="H1101">
        <v>671245</v>
      </c>
      <c r="I1101">
        <v>671925</v>
      </c>
      <c r="J1101" t="s">
        <v>4034</v>
      </c>
      <c r="K1101">
        <v>227</v>
      </c>
      <c r="L1101" t="s">
        <v>4035</v>
      </c>
      <c r="M1101">
        <v>38</v>
      </c>
      <c r="N1101" t="str">
        <f>HYPERLINK("Gene650-zp_tree_all.dnd", "Gene650-tree")</f>
        <v>Gene650-tree</v>
      </c>
      <c r="O1101">
        <v>6</v>
      </c>
      <c r="P1101">
        <v>8</v>
      </c>
      <c r="Q1101">
        <v>6</v>
      </c>
      <c r="R1101">
        <v>8</v>
      </c>
      <c r="S1101">
        <v>0.57142999999999999</v>
      </c>
      <c r="T1101" t="s">
        <v>90</v>
      </c>
      <c r="U1101" t="s">
        <v>136</v>
      </c>
      <c r="V1101" t="s">
        <v>62</v>
      </c>
      <c r="W1101" t="s">
        <v>62</v>
      </c>
      <c r="X1101">
        <v>1</v>
      </c>
      <c r="Y1101">
        <v>2</v>
      </c>
      <c r="Z1101">
        <v>14</v>
      </c>
      <c r="AA1101">
        <v>0.125</v>
      </c>
      <c r="AB1101">
        <v>0</v>
      </c>
      <c r="AC1101">
        <v>0</v>
      </c>
      <c r="AD1101">
        <v>0</v>
      </c>
      <c r="AE1101">
        <v>2</v>
      </c>
      <c r="AF1101">
        <v>0</v>
      </c>
      <c r="AG1101">
        <v>0</v>
      </c>
      <c r="AH1101">
        <v>0</v>
      </c>
      <c r="AI1101">
        <v>0</v>
      </c>
      <c r="AJ1101">
        <v>13</v>
      </c>
      <c r="AK1101">
        <v>0</v>
      </c>
      <c r="AL1101">
        <v>8</v>
      </c>
      <c r="AM1101">
        <v>9</v>
      </c>
      <c r="AN1101">
        <v>27</v>
      </c>
      <c r="AO1101">
        <v>12</v>
      </c>
      <c r="AP1101">
        <v>12</v>
      </c>
      <c r="AQ1101">
        <v>5</v>
      </c>
      <c r="AR1101" t="s">
        <v>4036</v>
      </c>
      <c r="AS1101" t="s">
        <v>4037</v>
      </c>
      <c r="AT1101">
        <v>1.7000000000000001E-2</v>
      </c>
      <c r="AU1101" t="s">
        <v>65</v>
      </c>
      <c r="AV1101">
        <v>39</v>
      </c>
      <c r="AW1101">
        <v>17</v>
      </c>
      <c r="AX1101" t="s">
        <v>4038</v>
      </c>
      <c r="AY1101">
        <v>6.157E-2</v>
      </c>
      <c r="AZ1101">
        <v>-7.6400000000000001E-3</v>
      </c>
      <c r="BA1101">
        <v>6.0000000000000001E-3</v>
      </c>
      <c r="BB1101">
        <v>-3.6999999999999999E-4</v>
      </c>
      <c r="BC1101">
        <v>9.7430000000000003E-2</v>
      </c>
      <c r="BD1101">
        <v>1</v>
      </c>
      <c r="BE1101" t="s">
        <v>69</v>
      </c>
      <c r="BF1101">
        <v>-1.33</v>
      </c>
      <c r="BG1101">
        <v>-2.8460000000000001</v>
      </c>
    </row>
    <row r="1102" spans="1:59">
      <c r="A1102">
        <v>0</v>
      </c>
      <c r="B1102">
        <v>2</v>
      </c>
      <c r="C1102">
        <v>2</v>
      </c>
      <c r="D1102" t="s">
        <v>25022</v>
      </c>
      <c r="E1102">
        <v>3562</v>
      </c>
      <c r="F1102" t="s">
        <v>20891</v>
      </c>
      <c r="G1102" t="s">
        <v>62</v>
      </c>
      <c r="H1102">
        <v>3528465</v>
      </c>
      <c r="I1102">
        <v>3529145</v>
      </c>
      <c r="J1102" t="s">
        <v>20892</v>
      </c>
      <c r="K1102">
        <v>227</v>
      </c>
      <c r="L1102" t="s">
        <v>59</v>
      </c>
      <c r="M1102">
        <v>49</v>
      </c>
      <c r="N1102" t="str">
        <f>HYPERLINK("Gene3562-zp_tree_all.dnd", "Gene3562-tree")</f>
        <v>Gene3562-tree</v>
      </c>
      <c r="O1102">
        <v>10</v>
      </c>
      <c r="P1102">
        <v>7</v>
      </c>
      <c r="Q1102">
        <v>10</v>
      </c>
      <c r="R1102">
        <v>7</v>
      </c>
      <c r="S1102">
        <v>0.41176000000000001</v>
      </c>
      <c r="T1102" t="s">
        <v>117</v>
      </c>
      <c r="U1102" t="s">
        <v>152</v>
      </c>
      <c r="V1102" t="s">
        <v>62</v>
      </c>
      <c r="W1102" t="s">
        <v>62</v>
      </c>
      <c r="X1102">
        <v>2</v>
      </c>
      <c r="Y1102">
        <v>4</v>
      </c>
      <c r="Z1102">
        <v>8</v>
      </c>
      <c r="AA1102">
        <v>0.33333000000000002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</v>
      </c>
      <c r="AH1102">
        <v>0</v>
      </c>
      <c r="AI1102">
        <v>2</v>
      </c>
      <c r="AJ1102">
        <v>6</v>
      </c>
      <c r="AK1102">
        <v>0.25</v>
      </c>
      <c r="AL1102">
        <v>13</v>
      </c>
      <c r="AM1102">
        <v>11</v>
      </c>
      <c r="AN1102">
        <v>34</v>
      </c>
      <c r="AO1102">
        <v>6</v>
      </c>
      <c r="AP1102">
        <v>48</v>
      </c>
      <c r="AQ1102">
        <v>6</v>
      </c>
      <c r="AR1102" t="s">
        <v>20893</v>
      </c>
      <c r="AS1102" t="s">
        <v>20894</v>
      </c>
      <c r="AT1102">
        <v>0.27200000000000002</v>
      </c>
      <c r="AU1102" t="s">
        <v>65</v>
      </c>
      <c r="AV1102">
        <v>82</v>
      </c>
      <c r="AW1102">
        <v>12</v>
      </c>
      <c r="AX1102" t="s">
        <v>20895</v>
      </c>
      <c r="AY1102">
        <v>9.3100000000000002E-2</v>
      </c>
      <c r="AZ1102">
        <v>-6.4799999999999996E-3</v>
      </c>
      <c r="BA1102">
        <v>4.47E-3</v>
      </c>
      <c r="BB1102">
        <v>-2.9999999999999997E-4</v>
      </c>
      <c r="BC1102">
        <v>4.7960000000000003E-2</v>
      </c>
      <c r="BD1102">
        <v>1</v>
      </c>
      <c r="BE1102" t="s">
        <v>69</v>
      </c>
      <c r="BF1102">
        <v>-1.3819999999999999</v>
      </c>
      <c r="BG1102">
        <v>-0.92700000000000005</v>
      </c>
    </row>
    <row r="1103" spans="1:59">
      <c r="A1103">
        <v>0</v>
      </c>
      <c r="B1103">
        <v>4</v>
      </c>
      <c r="C1103">
        <v>2</v>
      </c>
      <c r="D1103" t="s">
        <v>25022</v>
      </c>
      <c r="E1103">
        <v>681</v>
      </c>
      <c r="F1103" t="s">
        <v>4252</v>
      </c>
      <c r="G1103" t="s">
        <v>57</v>
      </c>
      <c r="H1103">
        <v>702570</v>
      </c>
      <c r="I1103">
        <v>703250</v>
      </c>
      <c r="J1103" t="s">
        <v>4253</v>
      </c>
      <c r="K1103">
        <v>227</v>
      </c>
      <c r="L1103" t="s">
        <v>4088</v>
      </c>
      <c r="M1103">
        <v>48</v>
      </c>
      <c r="N1103" t="str">
        <f>HYPERLINK("Gene681-zp_tree_all.dnd", "Gene681-tree")</f>
        <v>Gene681-tree</v>
      </c>
      <c r="O1103">
        <v>10</v>
      </c>
      <c r="P1103">
        <v>10</v>
      </c>
      <c r="Q1103">
        <v>10</v>
      </c>
      <c r="R1103">
        <v>10</v>
      </c>
      <c r="S1103">
        <v>0.5</v>
      </c>
      <c r="T1103" t="s">
        <v>117</v>
      </c>
      <c r="U1103" t="s">
        <v>117</v>
      </c>
      <c r="V1103" t="s">
        <v>62</v>
      </c>
      <c r="W1103" t="s">
        <v>62</v>
      </c>
      <c r="X1103">
        <v>3</v>
      </c>
      <c r="Y1103">
        <v>6</v>
      </c>
      <c r="Z1103">
        <v>10</v>
      </c>
      <c r="AA1103">
        <v>0.375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</v>
      </c>
      <c r="AH1103">
        <v>2</v>
      </c>
      <c r="AI1103">
        <v>4</v>
      </c>
      <c r="AJ1103">
        <v>9</v>
      </c>
      <c r="AK1103">
        <v>0.30769000000000002</v>
      </c>
      <c r="AL1103">
        <v>17</v>
      </c>
      <c r="AM1103">
        <v>13</v>
      </c>
      <c r="AN1103">
        <v>33</v>
      </c>
      <c r="AO1103">
        <v>12</v>
      </c>
      <c r="AP1103">
        <v>56</v>
      </c>
      <c r="AQ1103">
        <v>4</v>
      </c>
      <c r="AR1103" t="s">
        <v>4254</v>
      </c>
      <c r="AS1103" t="s">
        <v>4255</v>
      </c>
      <c r="AT1103">
        <v>1.45</v>
      </c>
      <c r="AU1103" t="s">
        <v>65</v>
      </c>
      <c r="AV1103">
        <v>89</v>
      </c>
      <c r="AW1103">
        <v>16</v>
      </c>
      <c r="AX1103" t="s">
        <v>4256</v>
      </c>
      <c r="AY1103">
        <v>0.10775999999999999</v>
      </c>
      <c r="AZ1103">
        <v>-4.5399999999999998E-3</v>
      </c>
      <c r="BA1103">
        <v>4.9899999999999996E-3</v>
      </c>
      <c r="BB1103">
        <v>-2.0000000000000001E-4</v>
      </c>
      <c r="BC1103">
        <v>4.632E-2</v>
      </c>
      <c r="BD1103">
        <v>1</v>
      </c>
      <c r="BE1103" t="s">
        <v>69</v>
      </c>
      <c r="BF1103">
        <v>-0.95799999999999996</v>
      </c>
      <c r="BG1103">
        <v>-1.3580000000000001</v>
      </c>
    </row>
    <row r="1104" spans="1:59">
      <c r="A1104">
        <v>0</v>
      </c>
      <c r="B1104">
        <v>0</v>
      </c>
      <c r="C1104">
        <v>0</v>
      </c>
      <c r="D1104" t="s">
        <v>25022</v>
      </c>
      <c r="E1104">
        <v>379</v>
      </c>
      <c r="F1104" t="s">
        <v>2576</v>
      </c>
      <c r="G1104" t="s">
        <v>57</v>
      </c>
      <c r="H1104">
        <v>426577</v>
      </c>
      <c r="I1104">
        <v>427257</v>
      </c>
      <c r="J1104" t="s">
        <v>2577</v>
      </c>
      <c r="K1104">
        <v>227</v>
      </c>
      <c r="L1104" t="s">
        <v>125</v>
      </c>
      <c r="M1104">
        <v>48</v>
      </c>
      <c r="N1104" t="str">
        <f>HYPERLINK("Gene379-zp_tree_all.dnd", "Gene379-tree")</f>
        <v>Gene379-tree</v>
      </c>
      <c r="O1104">
        <v>14</v>
      </c>
      <c r="P1104">
        <v>3</v>
      </c>
      <c r="Q1104">
        <v>14</v>
      </c>
      <c r="R1104">
        <v>3</v>
      </c>
      <c r="S1104">
        <v>0.17646999999999999</v>
      </c>
      <c r="T1104" t="s">
        <v>543</v>
      </c>
      <c r="U1104" t="s">
        <v>324</v>
      </c>
      <c r="V1104" t="s">
        <v>62</v>
      </c>
      <c r="W1104" t="s">
        <v>62</v>
      </c>
      <c r="X1104">
        <v>0</v>
      </c>
      <c r="Y1104">
        <v>0</v>
      </c>
      <c r="Z1104">
        <v>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5</v>
      </c>
      <c r="AK1104">
        <v>0</v>
      </c>
      <c r="AL1104">
        <v>12</v>
      </c>
      <c r="AM1104">
        <v>12</v>
      </c>
      <c r="AN1104">
        <v>33</v>
      </c>
      <c r="AO1104">
        <v>5</v>
      </c>
      <c r="AP1104">
        <v>44</v>
      </c>
      <c r="AQ1104">
        <v>4</v>
      </c>
      <c r="AR1104" t="s">
        <v>2578</v>
      </c>
      <c r="AS1104" t="s">
        <v>2579</v>
      </c>
      <c r="AT1104">
        <v>0.313</v>
      </c>
      <c r="AU1104" t="s">
        <v>65</v>
      </c>
      <c r="AV1104">
        <v>77</v>
      </c>
      <c r="AW1104">
        <v>9</v>
      </c>
      <c r="AX1104" t="s">
        <v>2580</v>
      </c>
      <c r="AY1104">
        <v>0.11798</v>
      </c>
      <c r="AZ1104">
        <v>-6.77E-3</v>
      </c>
      <c r="BA1104">
        <v>4.0000000000000001E-3</v>
      </c>
      <c r="BB1104">
        <v>-3.1E-4</v>
      </c>
      <c r="BC1104">
        <v>3.3919999999999999E-2</v>
      </c>
      <c r="BD1104">
        <v>1</v>
      </c>
      <c r="BE1104" t="s">
        <v>69</v>
      </c>
      <c r="BF1104">
        <v>-1.0960000000000001</v>
      </c>
      <c r="BG1104">
        <v>-0.20799999999999999</v>
      </c>
    </row>
    <row r="1105" spans="1:59">
      <c r="A1105">
        <v>0</v>
      </c>
      <c r="B1105">
        <v>0</v>
      </c>
      <c r="C1105">
        <v>0</v>
      </c>
      <c r="D1105" t="s">
        <v>25022</v>
      </c>
      <c r="E1105">
        <v>3059</v>
      </c>
      <c r="F1105" t="s">
        <v>17710</v>
      </c>
      <c r="G1105" t="s">
        <v>62</v>
      </c>
      <c r="H1105">
        <v>3009918</v>
      </c>
      <c r="I1105">
        <v>3010598</v>
      </c>
      <c r="J1105" t="s">
        <v>3354</v>
      </c>
      <c r="K1105">
        <v>227</v>
      </c>
      <c r="L1105" t="s">
        <v>2803</v>
      </c>
      <c r="M1105">
        <v>45</v>
      </c>
      <c r="N1105" t="str">
        <f>HYPERLINK("Gene3059-zp_tree_all.dnd", "Gene3059-tree")</f>
        <v>Gene3059-tree</v>
      </c>
      <c r="O1105">
        <v>9</v>
      </c>
      <c r="P1105">
        <v>5</v>
      </c>
      <c r="Q1105">
        <v>9</v>
      </c>
      <c r="R1105">
        <v>5</v>
      </c>
      <c r="S1105">
        <v>0.35714000000000001</v>
      </c>
      <c r="T1105" t="s">
        <v>135</v>
      </c>
      <c r="U1105" t="s">
        <v>199</v>
      </c>
      <c r="V1105" t="s">
        <v>62</v>
      </c>
      <c r="W1105" t="s">
        <v>62</v>
      </c>
      <c r="X1105">
        <v>0</v>
      </c>
      <c r="Y1105">
        <v>0</v>
      </c>
      <c r="Z1105">
        <v>7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7</v>
      </c>
      <c r="AK1105">
        <v>0</v>
      </c>
      <c r="AL1105">
        <v>11</v>
      </c>
      <c r="AM1105">
        <v>7</v>
      </c>
      <c r="AN1105">
        <v>40</v>
      </c>
      <c r="AO1105">
        <v>7</v>
      </c>
      <c r="AP1105">
        <v>10</v>
      </c>
      <c r="AQ1105">
        <v>0</v>
      </c>
      <c r="AR1105" t="s">
        <v>17711</v>
      </c>
      <c r="AS1105" t="s">
        <v>193</v>
      </c>
      <c r="AT1105">
        <v>0.51100000000000001</v>
      </c>
      <c r="AU1105" t="s">
        <v>65</v>
      </c>
      <c r="AV1105">
        <v>50</v>
      </c>
      <c r="AW1105">
        <v>7</v>
      </c>
      <c r="AX1105" t="s">
        <v>17712</v>
      </c>
      <c r="AY1105">
        <v>6.3479999999999995E-2</v>
      </c>
      <c r="AZ1105">
        <v>-7.3299999999999997E-3</v>
      </c>
      <c r="BA1105">
        <v>1.91E-3</v>
      </c>
      <c r="BB1105">
        <v>-2.2000000000000001E-4</v>
      </c>
      <c r="BC1105">
        <v>3.0040000000000001E-2</v>
      </c>
      <c r="BD1105">
        <v>1</v>
      </c>
      <c r="BE1105" t="s">
        <v>69</v>
      </c>
      <c r="BF1105">
        <v>-1.706</v>
      </c>
      <c r="BG1105">
        <v>-4.274</v>
      </c>
    </row>
    <row r="1106" spans="1:59">
      <c r="A1106">
        <v>0</v>
      </c>
      <c r="B1106">
        <v>8</v>
      </c>
      <c r="C1106">
        <v>1</v>
      </c>
      <c r="D1106" t="s">
        <v>25022</v>
      </c>
      <c r="E1106">
        <v>258</v>
      </c>
      <c r="F1106" t="s">
        <v>1759</v>
      </c>
      <c r="G1106" t="s">
        <v>57</v>
      </c>
      <c r="H1106">
        <v>281028</v>
      </c>
      <c r="I1106">
        <v>281711</v>
      </c>
      <c r="J1106" t="s">
        <v>1760</v>
      </c>
      <c r="K1106">
        <v>228</v>
      </c>
      <c r="L1106" t="s">
        <v>1392</v>
      </c>
      <c r="M1106">
        <v>43</v>
      </c>
      <c r="N1106" t="str">
        <f>HYPERLINK("Gene258-zp_tree_all.dnd", "Gene258-tree")</f>
        <v>Gene258-tree</v>
      </c>
      <c r="O1106">
        <v>5</v>
      </c>
      <c r="P1106">
        <v>8</v>
      </c>
      <c r="Q1106">
        <v>5</v>
      </c>
      <c r="R1106">
        <v>8</v>
      </c>
      <c r="S1106">
        <v>0.61538000000000004</v>
      </c>
      <c r="T1106" t="s">
        <v>199</v>
      </c>
      <c r="U1106" t="s">
        <v>136</v>
      </c>
      <c r="V1106" t="s">
        <v>62</v>
      </c>
      <c r="W1106" t="s">
        <v>62</v>
      </c>
      <c r="X1106">
        <v>3</v>
      </c>
      <c r="Y1106">
        <v>9</v>
      </c>
      <c r="Z1106">
        <v>10</v>
      </c>
      <c r="AA1106">
        <v>0.47367999999999999</v>
      </c>
      <c r="AB1106">
        <v>0</v>
      </c>
      <c r="AC1106">
        <v>0</v>
      </c>
      <c r="AD1106">
        <v>0</v>
      </c>
      <c r="AE1106">
        <v>3</v>
      </c>
      <c r="AF1106">
        <v>0</v>
      </c>
      <c r="AG1106">
        <v>3</v>
      </c>
      <c r="AH1106">
        <v>1</v>
      </c>
      <c r="AI1106">
        <v>4</v>
      </c>
      <c r="AJ1106">
        <v>9</v>
      </c>
      <c r="AK1106">
        <v>0.30769000000000002</v>
      </c>
      <c r="AL1106">
        <v>10</v>
      </c>
      <c r="AM1106">
        <v>7</v>
      </c>
      <c r="AN1106">
        <v>5</v>
      </c>
      <c r="AO1106">
        <v>11</v>
      </c>
      <c r="AP1106">
        <v>8</v>
      </c>
      <c r="AQ1106">
        <v>8</v>
      </c>
      <c r="AR1106" t="s">
        <v>1761</v>
      </c>
      <c r="AS1106" t="s">
        <v>1762</v>
      </c>
      <c r="AT1106">
        <v>0.80400000000000005</v>
      </c>
      <c r="AU1106" t="s">
        <v>65</v>
      </c>
      <c r="AV1106">
        <v>13</v>
      </c>
      <c r="AW1106">
        <v>19</v>
      </c>
      <c r="AX1106" t="s">
        <v>1763</v>
      </c>
      <c r="AY1106">
        <v>2.0410000000000001E-2</v>
      </c>
      <c r="AZ1106">
        <v>-1.6999999999999999E-3</v>
      </c>
      <c r="BA1106">
        <v>6.2199999999999998E-3</v>
      </c>
      <c r="BB1106">
        <v>-3.2000000000000003E-4</v>
      </c>
      <c r="BC1106">
        <v>0.30453000000000002</v>
      </c>
      <c r="BD1106">
        <v>0.99</v>
      </c>
      <c r="BE1106" t="s">
        <v>69</v>
      </c>
      <c r="BF1106">
        <v>-1.198</v>
      </c>
      <c r="BG1106">
        <v>-1</v>
      </c>
    </row>
    <row r="1107" spans="1:59">
      <c r="A1107">
        <v>0</v>
      </c>
      <c r="B1107">
        <v>18</v>
      </c>
      <c r="C1107">
        <v>1</v>
      </c>
      <c r="D1107" t="s">
        <v>25022</v>
      </c>
      <c r="E1107">
        <v>1129</v>
      </c>
      <c r="F1107" t="s">
        <v>7099</v>
      </c>
      <c r="G1107" t="s">
        <v>57</v>
      </c>
      <c r="H1107">
        <v>1172650</v>
      </c>
      <c r="I1107">
        <v>1173333</v>
      </c>
      <c r="J1107" t="s">
        <v>7100</v>
      </c>
      <c r="K1107">
        <v>228</v>
      </c>
      <c r="L1107" t="s">
        <v>7101</v>
      </c>
      <c r="M1107">
        <v>36</v>
      </c>
      <c r="N1107" t="str">
        <f>HYPERLINK("Gene1129-zp_tree_all.dnd", "Gene1129-tree")</f>
        <v>Gene1129-tree</v>
      </c>
      <c r="O1107">
        <v>2</v>
      </c>
      <c r="P1107">
        <v>8</v>
      </c>
      <c r="Q1107">
        <v>2</v>
      </c>
      <c r="R1107">
        <v>8</v>
      </c>
      <c r="S1107">
        <v>0.8</v>
      </c>
      <c r="T1107" t="s">
        <v>81</v>
      </c>
      <c r="U1107" t="s">
        <v>136</v>
      </c>
      <c r="V1107" t="s">
        <v>62</v>
      </c>
      <c r="W1107" t="s">
        <v>62</v>
      </c>
      <c r="X1107">
        <v>8</v>
      </c>
      <c r="Y1107">
        <v>19</v>
      </c>
      <c r="Z1107">
        <v>13</v>
      </c>
      <c r="AA1107">
        <v>0.59375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</v>
      </c>
      <c r="AH1107">
        <v>3</v>
      </c>
      <c r="AI1107">
        <v>5</v>
      </c>
      <c r="AJ1107">
        <v>16</v>
      </c>
      <c r="AK1107">
        <v>0.23810000000000001</v>
      </c>
      <c r="AL1107">
        <v>10</v>
      </c>
      <c r="AM1107">
        <v>7</v>
      </c>
      <c r="AN1107">
        <v>32</v>
      </c>
      <c r="AO1107">
        <v>22</v>
      </c>
      <c r="AP1107">
        <v>12</v>
      </c>
      <c r="AQ1107">
        <v>11</v>
      </c>
      <c r="AR1107" t="s">
        <v>7102</v>
      </c>
      <c r="AS1107" t="s">
        <v>7103</v>
      </c>
      <c r="AT1107">
        <v>0.80500000000000005</v>
      </c>
      <c r="AU1107" t="s">
        <v>65</v>
      </c>
      <c r="AV1107">
        <v>44</v>
      </c>
      <c r="AW1107">
        <v>33</v>
      </c>
      <c r="AX1107" t="s">
        <v>7104</v>
      </c>
      <c r="AY1107">
        <v>6.4759999999999998E-2</v>
      </c>
      <c r="AZ1107">
        <v>-3.8800000000000002E-3</v>
      </c>
      <c r="BA1107">
        <v>1.3849999999999999E-2</v>
      </c>
      <c r="BB1107">
        <v>-8.0000000000000004E-4</v>
      </c>
      <c r="BC1107">
        <v>0.21390000000000001</v>
      </c>
      <c r="BD1107">
        <v>1</v>
      </c>
      <c r="BE1107" t="s">
        <v>69</v>
      </c>
      <c r="BF1107">
        <v>-0.92600000000000005</v>
      </c>
      <c r="BG1107">
        <v>-1.417</v>
      </c>
    </row>
    <row r="1108" spans="1:59">
      <c r="A1108">
        <v>0</v>
      </c>
      <c r="B1108">
        <v>0</v>
      </c>
      <c r="C1108">
        <v>0</v>
      </c>
      <c r="D1108" t="s">
        <v>25022</v>
      </c>
      <c r="E1108">
        <v>521</v>
      </c>
      <c r="F1108" t="s">
        <v>3372</v>
      </c>
      <c r="G1108" t="s">
        <v>57</v>
      </c>
      <c r="H1108">
        <v>556763</v>
      </c>
      <c r="I1108">
        <v>557446</v>
      </c>
      <c r="J1108" t="s">
        <v>3373</v>
      </c>
      <c r="K1108">
        <v>228</v>
      </c>
      <c r="L1108" t="s">
        <v>3368</v>
      </c>
      <c r="M1108">
        <v>36</v>
      </c>
      <c r="N1108" t="str">
        <f>HYPERLINK("Gene521-zp_tree_all.dnd", "Gene521-tree")</f>
        <v>Gene521-tree</v>
      </c>
      <c r="O1108">
        <v>0</v>
      </c>
      <c r="P1108">
        <v>5</v>
      </c>
      <c r="Q1108">
        <v>0</v>
      </c>
      <c r="R1108">
        <v>5</v>
      </c>
      <c r="S1108">
        <v>1</v>
      </c>
      <c r="T1108" t="s">
        <v>62</v>
      </c>
      <c r="U1108" t="s">
        <v>199</v>
      </c>
      <c r="V1108" t="s">
        <v>62</v>
      </c>
      <c r="W1108" t="s">
        <v>62</v>
      </c>
      <c r="X1108">
        <v>0</v>
      </c>
      <c r="Y1108">
        <v>0</v>
      </c>
      <c r="Z1108">
        <v>12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11</v>
      </c>
      <c r="AK1108">
        <v>0</v>
      </c>
      <c r="AL1108">
        <v>4</v>
      </c>
      <c r="AM1108">
        <v>1</v>
      </c>
      <c r="AN1108">
        <v>17</v>
      </c>
      <c r="AO1108">
        <v>11</v>
      </c>
      <c r="AP1108">
        <v>2</v>
      </c>
      <c r="AQ1108">
        <v>1</v>
      </c>
      <c r="AR1108" t="s">
        <v>3374</v>
      </c>
      <c r="AS1108" t="s">
        <v>3375</v>
      </c>
      <c r="AT1108">
        <v>0.153</v>
      </c>
      <c r="AU1108" t="s">
        <v>65</v>
      </c>
      <c r="AV1108">
        <v>19</v>
      </c>
      <c r="AW1108">
        <v>12</v>
      </c>
      <c r="AX1108" t="s">
        <v>3376</v>
      </c>
      <c r="AY1108">
        <v>5.6939999999999998E-2</v>
      </c>
      <c r="AZ1108">
        <v>-1.7149999999999999E-2</v>
      </c>
      <c r="BA1108">
        <v>9.4500000000000001E-3</v>
      </c>
      <c r="BB1108">
        <v>-1.2600000000000001E-3</v>
      </c>
      <c r="BC1108">
        <v>0.16592999999999999</v>
      </c>
      <c r="BD1108">
        <v>1</v>
      </c>
      <c r="BE1108" t="s">
        <v>69</v>
      </c>
      <c r="BF1108">
        <v>-2.2959999999999998</v>
      </c>
      <c r="BG1108">
        <v>-3.5339999999999998</v>
      </c>
    </row>
    <row r="1109" spans="1:59">
      <c r="A1109">
        <v>0</v>
      </c>
      <c r="B1109">
        <v>0</v>
      </c>
      <c r="C1109">
        <v>0</v>
      </c>
      <c r="D1109" t="s">
        <v>25022</v>
      </c>
      <c r="E1109">
        <v>2219</v>
      </c>
      <c r="F1109" t="s">
        <v>13027</v>
      </c>
      <c r="G1109" t="s">
        <v>62</v>
      </c>
      <c r="H1109">
        <v>2246659</v>
      </c>
      <c r="I1109">
        <v>2247342</v>
      </c>
      <c r="J1109" t="s">
        <v>13028</v>
      </c>
      <c r="K1109">
        <v>228</v>
      </c>
      <c r="L1109" t="s">
        <v>3368</v>
      </c>
      <c r="M1109">
        <v>36</v>
      </c>
      <c r="N1109" t="str">
        <f>HYPERLINK("Gene2219-zp_tree_all.dnd", "Gene2219-tree")</f>
        <v>Gene2219-tree</v>
      </c>
      <c r="O1109">
        <v>0</v>
      </c>
      <c r="P1109">
        <v>19</v>
      </c>
      <c r="Q1109">
        <v>0</v>
      </c>
      <c r="R1109">
        <v>6</v>
      </c>
      <c r="S1109">
        <v>1</v>
      </c>
      <c r="T1109" t="s">
        <v>62</v>
      </c>
      <c r="U1109" t="s">
        <v>13029</v>
      </c>
      <c r="V1109">
        <v>4.0279999999999996</v>
      </c>
      <c r="W1109" t="s">
        <v>65</v>
      </c>
      <c r="X1109">
        <v>0</v>
      </c>
      <c r="Y1109">
        <v>0</v>
      </c>
      <c r="Z1109">
        <v>12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11</v>
      </c>
      <c r="AK1109">
        <v>0</v>
      </c>
      <c r="AL1109">
        <v>4</v>
      </c>
      <c r="AM1109">
        <v>2</v>
      </c>
      <c r="AN1109">
        <v>15</v>
      </c>
      <c r="AO1109">
        <v>10</v>
      </c>
      <c r="AP1109">
        <v>4</v>
      </c>
      <c r="AQ1109">
        <v>2</v>
      </c>
      <c r="AR1109" t="s">
        <v>13030</v>
      </c>
      <c r="AS1109" t="s">
        <v>13031</v>
      </c>
      <c r="AT1109">
        <v>0.122</v>
      </c>
      <c r="AU1109" t="s">
        <v>65</v>
      </c>
      <c r="AV1109">
        <v>19</v>
      </c>
      <c r="AW1109">
        <v>12</v>
      </c>
      <c r="AX1109" t="s">
        <v>13032</v>
      </c>
      <c r="AY1109">
        <v>5.1470000000000002E-2</v>
      </c>
      <c r="AZ1109">
        <v>-1.3180000000000001E-2</v>
      </c>
      <c r="BA1109">
        <v>8.4399999999999996E-3</v>
      </c>
      <c r="BB1109">
        <v>-1.06E-3</v>
      </c>
      <c r="BC1109">
        <v>0.16392999999999999</v>
      </c>
      <c r="BD1109">
        <v>1</v>
      </c>
      <c r="BE1109" t="s">
        <v>69</v>
      </c>
      <c r="BF1109">
        <v>-0.84099999999999997</v>
      </c>
      <c r="BG1109">
        <v>-2.6110000000000002</v>
      </c>
    </row>
    <row r="1110" spans="1:59">
      <c r="A1110">
        <v>0</v>
      </c>
      <c r="B1110">
        <v>13</v>
      </c>
      <c r="C1110">
        <v>4</v>
      </c>
      <c r="D1110" t="s">
        <v>25022</v>
      </c>
      <c r="E1110">
        <v>1376</v>
      </c>
      <c r="F1110" t="s">
        <v>8612</v>
      </c>
      <c r="G1110" t="s">
        <v>57</v>
      </c>
      <c r="H1110">
        <v>1391953</v>
      </c>
      <c r="I1110">
        <v>1392636</v>
      </c>
      <c r="J1110" t="s">
        <v>8613</v>
      </c>
      <c r="K1110">
        <v>228</v>
      </c>
      <c r="L1110" t="s">
        <v>108</v>
      </c>
      <c r="M1110">
        <v>44</v>
      </c>
      <c r="N1110" t="str">
        <f>HYPERLINK("Gene1376-zp_tree_all.dnd", "Gene1376-tree")</f>
        <v>Gene1376-tree</v>
      </c>
      <c r="O1110">
        <v>5</v>
      </c>
      <c r="P1110">
        <v>10</v>
      </c>
      <c r="Q1110">
        <v>5</v>
      </c>
      <c r="R1110">
        <v>10</v>
      </c>
      <c r="S1110">
        <v>0.66666999999999998</v>
      </c>
      <c r="T1110" t="s">
        <v>199</v>
      </c>
      <c r="U1110" t="s">
        <v>117</v>
      </c>
      <c r="V1110" t="s">
        <v>62</v>
      </c>
      <c r="W1110" t="s">
        <v>62</v>
      </c>
      <c r="X1110">
        <v>7</v>
      </c>
      <c r="Y1110">
        <v>17</v>
      </c>
      <c r="Z1110">
        <v>10</v>
      </c>
      <c r="AA1110">
        <v>0.62963000000000002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7</v>
      </c>
      <c r="AH1110">
        <v>5</v>
      </c>
      <c r="AI1110">
        <v>12</v>
      </c>
      <c r="AJ1110">
        <v>10</v>
      </c>
      <c r="AK1110">
        <v>0.54544999999999999</v>
      </c>
      <c r="AL1110">
        <v>10</v>
      </c>
      <c r="AM1110">
        <v>11</v>
      </c>
      <c r="AN1110">
        <v>37</v>
      </c>
      <c r="AO1110">
        <v>20</v>
      </c>
      <c r="AP1110">
        <v>27</v>
      </c>
      <c r="AQ1110">
        <v>8</v>
      </c>
      <c r="AR1110" t="s">
        <v>8614</v>
      </c>
      <c r="AS1110" t="s">
        <v>8615</v>
      </c>
      <c r="AT1110">
        <v>0.71299999999999997</v>
      </c>
      <c r="AU1110" t="s">
        <v>65</v>
      </c>
      <c r="AV1110">
        <v>64</v>
      </c>
      <c r="AW1110">
        <v>28</v>
      </c>
      <c r="AX1110" t="s">
        <v>8616</v>
      </c>
      <c r="AY1110">
        <v>6.6439999999999999E-2</v>
      </c>
      <c r="AZ1110">
        <v>-3.8999999999999998E-3</v>
      </c>
      <c r="BA1110">
        <v>9.6299999999999997E-3</v>
      </c>
      <c r="BB1110">
        <v>-5.1000000000000004E-4</v>
      </c>
      <c r="BC1110">
        <v>0.14488000000000001</v>
      </c>
      <c r="BD1110">
        <v>1</v>
      </c>
      <c r="BE1110" t="s">
        <v>69</v>
      </c>
      <c r="BF1110">
        <v>-1.2470000000000001</v>
      </c>
      <c r="BG1110">
        <v>-2.3719999999999999</v>
      </c>
    </row>
    <row r="1111" spans="1:59">
      <c r="A1111">
        <v>0</v>
      </c>
      <c r="B1111">
        <v>7</v>
      </c>
      <c r="C1111">
        <v>0</v>
      </c>
      <c r="D1111" t="s">
        <v>25022</v>
      </c>
      <c r="E1111">
        <v>695</v>
      </c>
      <c r="F1111" t="s">
        <v>4347</v>
      </c>
      <c r="G1111" t="s">
        <v>57</v>
      </c>
      <c r="H1111">
        <v>718622</v>
      </c>
      <c r="I1111">
        <v>719305</v>
      </c>
      <c r="J1111" t="s">
        <v>4348</v>
      </c>
      <c r="K1111">
        <v>228</v>
      </c>
      <c r="L1111" t="s">
        <v>108</v>
      </c>
      <c r="M1111">
        <v>44</v>
      </c>
      <c r="N1111" t="str">
        <f>HYPERLINK("Gene695-zp_tree_all.dnd", "Gene695-tree")</f>
        <v>Gene695-tree</v>
      </c>
      <c r="O1111">
        <v>6</v>
      </c>
      <c r="P1111">
        <v>9</v>
      </c>
      <c r="Q1111">
        <v>6</v>
      </c>
      <c r="R1111">
        <v>9</v>
      </c>
      <c r="S1111">
        <v>0.6</v>
      </c>
      <c r="T1111" t="s">
        <v>90</v>
      </c>
      <c r="U1111" t="s">
        <v>135</v>
      </c>
      <c r="V1111" t="s">
        <v>62</v>
      </c>
      <c r="W1111" t="s">
        <v>62</v>
      </c>
      <c r="X1111">
        <v>2</v>
      </c>
      <c r="Y1111">
        <v>7</v>
      </c>
      <c r="Z1111">
        <v>8</v>
      </c>
      <c r="AA1111">
        <v>0.46666999999999997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3</v>
      </c>
      <c r="AH1111">
        <v>0</v>
      </c>
      <c r="AI1111">
        <v>3</v>
      </c>
      <c r="AJ1111">
        <v>8</v>
      </c>
      <c r="AK1111">
        <v>0.27272999999999997</v>
      </c>
      <c r="AL1111">
        <v>14</v>
      </c>
      <c r="AM1111">
        <v>10</v>
      </c>
      <c r="AN1111">
        <v>35</v>
      </c>
      <c r="AO1111">
        <v>10</v>
      </c>
      <c r="AP1111">
        <v>15</v>
      </c>
      <c r="AQ1111">
        <v>5</v>
      </c>
      <c r="AR1111" t="s">
        <v>4349</v>
      </c>
      <c r="AS1111" t="s">
        <v>4350</v>
      </c>
      <c r="AT1111">
        <v>0.20399999999999999</v>
      </c>
      <c r="AU1111" t="s">
        <v>65</v>
      </c>
      <c r="AV1111">
        <v>50</v>
      </c>
      <c r="AW1111">
        <v>15</v>
      </c>
      <c r="AX1111" t="s">
        <v>4351</v>
      </c>
      <c r="AY1111">
        <v>5.1709999999999999E-2</v>
      </c>
      <c r="AZ1111">
        <v>-1.57E-3</v>
      </c>
      <c r="BA1111">
        <v>4.3200000000000001E-3</v>
      </c>
      <c r="BB1111">
        <v>-2.5000000000000001E-4</v>
      </c>
      <c r="BC1111">
        <v>8.3529999999999993E-2</v>
      </c>
      <c r="BD1111">
        <v>1</v>
      </c>
      <c r="BE1111" t="s">
        <v>69</v>
      </c>
      <c r="BF1111">
        <v>-0.23200000000000001</v>
      </c>
      <c r="BG1111">
        <v>-1.06</v>
      </c>
    </row>
    <row r="1112" spans="1:59">
      <c r="A1112">
        <v>0</v>
      </c>
      <c r="B1112">
        <v>0</v>
      </c>
      <c r="C1112">
        <v>0</v>
      </c>
      <c r="D1112" t="s">
        <v>25022</v>
      </c>
      <c r="E1112">
        <v>3654</v>
      </c>
      <c r="F1112" t="s">
        <v>21437</v>
      </c>
      <c r="G1112" t="s">
        <v>62</v>
      </c>
      <c r="H1112">
        <v>3624824</v>
      </c>
      <c r="I1112">
        <v>3625507</v>
      </c>
      <c r="J1112" t="s">
        <v>21438</v>
      </c>
      <c r="K1112">
        <v>228</v>
      </c>
      <c r="L1112" t="s">
        <v>59</v>
      </c>
      <c r="M1112">
        <v>49</v>
      </c>
      <c r="N1112" t="str">
        <f>HYPERLINK("Gene3654-zp_tree_all.dnd", "Gene3654-tree")</f>
        <v>Gene3654-tree</v>
      </c>
      <c r="O1112">
        <v>15</v>
      </c>
      <c r="P1112">
        <v>1</v>
      </c>
      <c r="Q1112">
        <v>15</v>
      </c>
      <c r="R1112">
        <v>1</v>
      </c>
      <c r="S1112">
        <v>6.25E-2</v>
      </c>
      <c r="T1112" t="s">
        <v>100</v>
      </c>
      <c r="U1112" t="s">
        <v>175</v>
      </c>
      <c r="V1112" t="s">
        <v>62</v>
      </c>
      <c r="W1112" t="s">
        <v>62</v>
      </c>
      <c r="X1112">
        <v>0</v>
      </c>
      <c r="Y1112">
        <v>0</v>
      </c>
      <c r="Z1112">
        <v>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12</v>
      </c>
      <c r="AM1112">
        <v>12</v>
      </c>
      <c r="AN1112">
        <v>40</v>
      </c>
      <c r="AO1112">
        <v>1</v>
      </c>
      <c r="AP1112">
        <v>37</v>
      </c>
      <c r="AQ1112">
        <v>6</v>
      </c>
      <c r="AR1112" t="s">
        <v>21439</v>
      </c>
      <c r="AS1112" t="s">
        <v>21440</v>
      </c>
      <c r="AT1112">
        <v>0.71099999999999997</v>
      </c>
      <c r="AU1112" t="s">
        <v>65</v>
      </c>
      <c r="AV1112">
        <v>77</v>
      </c>
      <c r="AW1112">
        <v>7</v>
      </c>
      <c r="AX1112" t="s">
        <v>21441</v>
      </c>
      <c r="AY1112">
        <v>0.10102</v>
      </c>
      <c r="AZ1112">
        <v>-6.1399999999999996E-3</v>
      </c>
      <c r="BA1112">
        <v>3.6600000000000001E-3</v>
      </c>
      <c r="BB1112">
        <v>-2.5999999999999998E-4</v>
      </c>
      <c r="BC1112">
        <v>3.619E-2</v>
      </c>
      <c r="BD1112">
        <v>1</v>
      </c>
      <c r="BE1112" t="s">
        <v>69</v>
      </c>
      <c r="BF1112">
        <v>-1.1339999999999999</v>
      </c>
      <c r="BG1112">
        <v>-0.221</v>
      </c>
    </row>
    <row r="1113" spans="1:59">
      <c r="A1113">
        <v>0</v>
      </c>
      <c r="B1113">
        <v>0</v>
      </c>
      <c r="C1113">
        <v>2</v>
      </c>
      <c r="D1113" t="s">
        <v>25022</v>
      </c>
      <c r="E1113">
        <v>839</v>
      </c>
      <c r="F1113" t="s">
        <v>5234</v>
      </c>
      <c r="G1113" t="s">
        <v>57</v>
      </c>
      <c r="H1113">
        <v>878081</v>
      </c>
      <c r="I1113">
        <v>878767</v>
      </c>
      <c r="J1113" t="s">
        <v>288</v>
      </c>
      <c r="K1113">
        <v>229</v>
      </c>
      <c r="L1113" t="s">
        <v>5235</v>
      </c>
      <c r="M1113">
        <v>33</v>
      </c>
      <c r="N1113" t="str">
        <f>HYPERLINK("Gene839-zp_tree_all.dnd", "Gene839-tree")</f>
        <v>Gene839-tree</v>
      </c>
      <c r="O1113">
        <v>1</v>
      </c>
      <c r="P1113">
        <v>8</v>
      </c>
      <c r="Q1113">
        <v>1</v>
      </c>
      <c r="R1113">
        <v>8</v>
      </c>
      <c r="S1113">
        <v>0.88888999999999996</v>
      </c>
      <c r="T1113" t="s">
        <v>175</v>
      </c>
      <c r="U1113" t="s">
        <v>136</v>
      </c>
      <c r="V1113" t="s">
        <v>62</v>
      </c>
      <c r="W1113" t="s">
        <v>62</v>
      </c>
      <c r="X1113">
        <v>1</v>
      </c>
      <c r="Y1113">
        <v>2</v>
      </c>
      <c r="Z1113">
        <v>13</v>
      </c>
      <c r="AA1113">
        <v>0.13333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</v>
      </c>
      <c r="AI1113">
        <v>2</v>
      </c>
      <c r="AJ1113">
        <v>10</v>
      </c>
      <c r="AK1113">
        <v>0.16667000000000001</v>
      </c>
      <c r="AL1113">
        <v>7</v>
      </c>
      <c r="AM1113">
        <v>4</v>
      </c>
      <c r="AN1113">
        <v>16</v>
      </c>
      <c r="AO1113">
        <v>10</v>
      </c>
      <c r="AP1113">
        <v>8</v>
      </c>
      <c r="AQ1113">
        <v>5</v>
      </c>
      <c r="AR1113" t="s">
        <v>5236</v>
      </c>
      <c r="AS1113" t="s">
        <v>5237</v>
      </c>
      <c r="AT1113">
        <v>1.2999999999999999E-2</v>
      </c>
      <c r="AU1113" t="s">
        <v>65</v>
      </c>
      <c r="AV1113">
        <v>24</v>
      </c>
      <c r="AW1113">
        <v>15</v>
      </c>
      <c r="AX1113" t="s">
        <v>5238</v>
      </c>
      <c r="AY1113">
        <v>3.986E-2</v>
      </c>
      <c r="AZ1113">
        <v>-3.6800000000000001E-3</v>
      </c>
      <c r="BA1113">
        <v>8.2100000000000003E-3</v>
      </c>
      <c r="BB1113">
        <v>-5.8E-4</v>
      </c>
      <c r="BC1113">
        <v>0.20594999999999999</v>
      </c>
      <c r="BD1113">
        <v>1</v>
      </c>
      <c r="BE1113" t="s">
        <v>69</v>
      </c>
      <c r="BF1113">
        <v>-0.57599999999999996</v>
      </c>
      <c r="BG1113">
        <v>-1.5149999999999999</v>
      </c>
    </row>
    <row r="1114" spans="1:59">
      <c r="A1114">
        <v>0</v>
      </c>
      <c r="B1114">
        <v>4</v>
      </c>
      <c r="C1114">
        <v>4</v>
      </c>
      <c r="D1114" t="s">
        <v>25022</v>
      </c>
      <c r="E1114">
        <v>2057</v>
      </c>
      <c r="F1114" t="s">
        <v>12809</v>
      </c>
      <c r="G1114" t="s">
        <v>62</v>
      </c>
      <c r="H1114">
        <v>2143663</v>
      </c>
      <c r="I1114">
        <v>2144349</v>
      </c>
      <c r="J1114" t="s">
        <v>12810</v>
      </c>
      <c r="K1114">
        <v>229</v>
      </c>
      <c r="L1114" t="s">
        <v>108</v>
      </c>
      <c r="M1114">
        <v>44</v>
      </c>
      <c r="N1114" t="str">
        <f>HYPERLINK("Gene2057-zp_tree_all.dnd", "Gene2057-tree")</f>
        <v>Gene2057-tree</v>
      </c>
      <c r="O1114">
        <v>6</v>
      </c>
      <c r="P1114">
        <v>7</v>
      </c>
      <c r="Q1114">
        <v>6</v>
      </c>
      <c r="R1114">
        <v>7</v>
      </c>
      <c r="S1114">
        <v>0.53846000000000005</v>
      </c>
      <c r="T1114" t="s">
        <v>90</v>
      </c>
      <c r="U1114" t="s">
        <v>152</v>
      </c>
      <c r="V1114" t="s">
        <v>62</v>
      </c>
      <c r="W1114" t="s">
        <v>62</v>
      </c>
      <c r="X1114">
        <v>3</v>
      </c>
      <c r="Y1114">
        <v>8</v>
      </c>
      <c r="Z1114">
        <v>8</v>
      </c>
      <c r="AA1114">
        <v>0.5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4</v>
      </c>
      <c r="AI1114">
        <v>4</v>
      </c>
      <c r="AJ1114">
        <v>7</v>
      </c>
      <c r="AK1114">
        <v>0.36364000000000002</v>
      </c>
      <c r="AL1114">
        <v>11</v>
      </c>
      <c r="AM1114">
        <v>9</v>
      </c>
      <c r="AN1114">
        <v>16</v>
      </c>
      <c r="AO1114">
        <v>11</v>
      </c>
      <c r="AP1114">
        <v>13</v>
      </c>
      <c r="AQ1114">
        <v>5</v>
      </c>
      <c r="AR1114" t="s">
        <v>12811</v>
      </c>
      <c r="AS1114" t="s">
        <v>12812</v>
      </c>
      <c r="AT1114">
        <v>0.54200000000000004</v>
      </c>
      <c r="AU1114" t="s">
        <v>65</v>
      </c>
      <c r="AV1114">
        <v>29</v>
      </c>
      <c r="AW1114">
        <v>16</v>
      </c>
      <c r="AX1114" t="s">
        <v>12813</v>
      </c>
      <c r="AY1114">
        <v>3.9780000000000003E-2</v>
      </c>
      <c r="AZ1114">
        <v>-1.99E-3</v>
      </c>
      <c r="BA1114">
        <v>5.8599999999999998E-3</v>
      </c>
      <c r="BB1114">
        <v>-4.4999999999999999E-4</v>
      </c>
      <c r="BC1114">
        <v>0.14741000000000001</v>
      </c>
      <c r="BD1114">
        <v>1</v>
      </c>
      <c r="BE1114" t="s">
        <v>69</v>
      </c>
      <c r="BF1114">
        <v>0.14499999999999999</v>
      </c>
      <c r="BG1114">
        <v>-0.39700000000000002</v>
      </c>
    </row>
    <row r="1115" spans="1:59">
      <c r="A1115">
        <v>0</v>
      </c>
      <c r="B1115">
        <v>2</v>
      </c>
      <c r="C1115">
        <v>1</v>
      </c>
      <c r="D1115" t="s">
        <v>25022</v>
      </c>
      <c r="E1115">
        <v>611</v>
      </c>
      <c r="F1115" t="s">
        <v>3929</v>
      </c>
      <c r="G1115" t="s">
        <v>57</v>
      </c>
      <c r="H1115">
        <v>642111</v>
      </c>
      <c r="I1115">
        <v>642797</v>
      </c>
      <c r="J1115" t="s">
        <v>3930</v>
      </c>
      <c r="K1115">
        <v>229</v>
      </c>
      <c r="L1115" t="s">
        <v>108</v>
      </c>
      <c r="M1115">
        <v>44</v>
      </c>
      <c r="N1115" t="str">
        <f>HYPERLINK("Gene611-zp_tree_all.dnd", "Gene611-tree")</f>
        <v>Gene611-tree</v>
      </c>
      <c r="O1115">
        <v>11</v>
      </c>
      <c r="P1115">
        <v>2</v>
      </c>
      <c r="Q1115">
        <v>11</v>
      </c>
      <c r="R1115">
        <v>2</v>
      </c>
      <c r="S1115">
        <v>0.15384999999999999</v>
      </c>
      <c r="T1115" t="s">
        <v>73</v>
      </c>
      <c r="U1115" t="s">
        <v>81</v>
      </c>
      <c r="V1115" t="s">
        <v>62</v>
      </c>
      <c r="W1115" t="s">
        <v>62</v>
      </c>
      <c r="X1115">
        <v>1</v>
      </c>
      <c r="Y1115">
        <v>3</v>
      </c>
      <c r="Z1115">
        <v>7</v>
      </c>
      <c r="AA1115">
        <v>0.3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3</v>
      </c>
      <c r="AK1115">
        <v>0</v>
      </c>
      <c r="AL1115">
        <v>10</v>
      </c>
      <c r="AM1115">
        <v>8</v>
      </c>
      <c r="AN1115">
        <v>21</v>
      </c>
      <c r="AO1115">
        <v>3</v>
      </c>
      <c r="AP1115">
        <v>23</v>
      </c>
      <c r="AQ1115">
        <v>7</v>
      </c>
      <c r="AR1115" t="s">
        <v>3931</v>
      </c>
      <c r="AS1115" t="s">
        <v>3932</v>
      </c>
      <c r="AT1115">
        <v>0.61899999999999999</v>
      </c>
      <c r="AU1115" t="s">
        <v>65</v>
      </c>
      <c r="AV1115">
        <v>44</v>
      </c>
      <c r="AW1115">
        <v>10</v>
      </c>
      <c r="AX1115" t="s">
        <v>3933</v>
      </c>
      <c r="AY1115">
        <v>5.8819999999999997E-2</v>
      </c>
      <c r="AZ1115">
        <v>-2.7200000000000002E-3</v>
      </c>
      <c r="BA1115">
        <v>5.8199999999999997E-3</v>
      </c>
      <c r="BB1115">
        <v>-4.2000000000000002E-4</v>
      </c>
      <c r="BC1115">
        <v>9.8890000000000006E-2</v>
      </c>
      <c r="BD1115">
        <v>1</v>
      </c>
      <c r="BE1115" t="s">
        <v>69</v>
      </c>
      <c r="BF1115">
        <v>0.29199999999999998</v>
      </c>
      <c r="BG1115">
        <v>-0.432</v>
      </c>
    </row>
    <row r="1116" spans="1:59">
      <c r="A1116">
        <v>0</v>
      </c>
      <c r="B1116">
        <v>2</v>
      </c>
      <c r="C1116">
        <v>2</v>
      </c>
      <c r="D1116" t="s">
        <v>25022</v>
      </c>
      <c r="E1116">
        <v>2539</v>
      </c>
      <c r="F1116" t="s">
        <v>14836</v>
      </c>
      <c r="G1116" t="s">
        <v>62</v>
      </c>
      <c r="H1116">
        <v>2533013</v>
      </c>
      <c r="I1116">
        <v>2533699</v>
      </c>
      <c r="J1116" t="s">
        <v>14837</v>
      </c>
      <c r="K1116">
        <v>229</v>
      </c>
      <c r="L1116" t="s">
        <v>59</v>
      </c>
      <c r="M1116">
        <v>49</v>
      </c>
      <c r="N1116" t="str">
        <f>HYPERLINK("Gene2539-zp_tree_all.dnd", "Gene2539-tree")</f>
        <v>Gene2539-tree</v>
      </c>
      <c r="O1116">
        <v>10</v>
      </c>
      <c r="P1116">
        <v>6</v>
      </c>
      <c r="Q1116">
        <v>10</v>
      </c>
      <c r="R1116">
        <v>6</v>
      </c>
      <c r="S1116">
        <v>0.375</v>
      </c>
      <c r="T1116" t="s">
        <v>117</v>
      </c>
      <c r="U1116" t="s">
        <v>90</v>
      </c>
      <c r="V1116" t="s">
        <v>62</v>
      </c>
      <c r="W1116" t="s">
        <v>62</v>
      </c>
      <c r="X1116">
        <v>2</v>
      </c>
      <c r="Y1116">
        <v>4</v>
      </c>
      <c r="Z1116">
        <v>11</v>
      </c>
      <c r="AA1116">
        <v>0.26667000000000002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  <c r="AH1116">
        <v>2</v>
      </c>
      <c r="AI1116">
        <v>4</v>
      </c>
      <c r="AJ1116">
        <v>4</v>
      </c>
      <c r="AK1116">
        <v>0.5</v>
      </c>
      <c r="AL1116">
        <v>12</v>
      </c>
      <c r="AM1116">
        <v>11</v>
      </c>
      <c r="AN1116">
        <v>21</v>
      </c>
      <c r="AO1116">
        <v>7</v>
      </c>
      <c r="AP1116">
        <v>29</v>
      </c>
      <c r="AQ1116">
        <v>9</v>
      </c>
      <c r="AR1116" t="s">
        <v>14838</v>
      </c>
      <c r="AS1116" t="s">
        <v>14839</v>
      </c>
      <c r="AT1116">
        <v>5.0999999999999997E-2</v>
      </c>
      <c r="AU1116" t="s">
        <v>65</v>
      </c>
      <c r="AV1116">
        <v>50</v>
      </c>
      <c r="AW1116">
        <v>16</v>
      </c>
      <c r="AX1116" t="s">
        <v>14840</v>
      </c>
      <c r="AY1116">
        <v>8.4470000000000003E-2</v>
      </c>
      <c r="AZ1116">
        <v>-6.4200000000000004E-3</v>
      </c>
      <c r="BA1116">
        <v>7.4999999999999997E-3</v>
      </c>
      <c r="BB1116">
        <v>-5.1000000000000004E-4</v>
      </c>
      <c r="BC1116">
        <v>8.8830000000000006E-2</v>
      </c>
      <c r="BD1116">
        <v>1</v>
      </c>
      <c r="BE1116" t="s">
        <v>69</v>
      </c>
      <c r="BF1116">
        <v>-0.878</v>
      </c>
      <c r="BG1116">
        <v>9.4E-2</v>
      </c>
    </row>
    <row r="1117" spans="1:59">
      <c r="A1117">
        <v>0</v>
      </c>
      <c r="B1117">
        <v>0</v>
      </c>
      <c r="C1117">
        <v>2</v>
      </c>
      <c r="D1117" t="s">
        <v>25022</v>
      </c>
      <c r="E1117">
        <v>4107</v>
      </c>
      <c r="F1117" t="s">
        <v>24193</v>
      </c>
      <c r="G1117" t="s">
        <v>62</v>
      </c>
      <c r="H1117">
        <v>4072287</v>
      </c>
      <c r="I1117">
        <v>4072973</v>
      </c>
      <c r="J1117" t="s">
        <v>24194</v>
      </c>
      <c r="K1117">
        <v>229</v>
      </c>
      <c r="L1117" t="s">
        <v>24195</v>
      </c>
      <c r="M1117">
        <v>46</v>
      </c>
      <c r="N1117" t="str">
        <f>HYPERLINK("Gene4107-zp_tree_all.dnd", "Gene4107-tree")</f>
        <v>Gene4107-tree</v>
      </c>
      <c r="O1117">
        <v>12</v>
      </c>
      <c r="P1117">
        <v>4</v>
      </c>
      <c r="Q1117">
        <v>12</v>
      </c>
      <c r="R1117">
        <v>4</v>
      </c>
      <c r="S1117">
        <v>0.25</v>
      </c>
      <c r="T1117" t="s">
        <v>109</v>
      </c>
      <c r="U1117" t="s">
        <v>61</v>
      </c>
      <c r="V1117" t="s">
        <v>62</v>
      </c>
      <c r="W1117" t="s">
        <v>62</v>
      </c>
      <c r="X1117">
        <v>1</v>
      </c>
      <c r="Y1117">
        <v>2</v>
      </c>
      <c r="Z1117">
        <v>9</v>
      </c>
      <c r="AA1117">
        <v>0.18182000000000001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5</v>
      </c>
      <c r="AK1117">
        <v>0</v>
      </c>
      <c r="AL1117">
        <v>11</v>
      </c>
      <c r="AM1117">
        <v>8</v>
      </c>
      <c r="AN1117">
        <v>18</v>
      </c>
      <c r="AO1117">
        <v>6</v>
      </c>
      <c r="AP1117">
        <v>28</v>
      </c>
      <c r="AQ1117">
        <v>6</v>
      </c>
      <c r="AR1117" t="s">
        <v>24196</v>
      </c>
      <c r="AS1117" t="s">
        <v>24197</v>
      </c>
      <c r="AT1117">
        <v>0.27800000000000002</v>
      </c>
      <c r="AU1117" t="s">
        <v>65</v>
      </c>
      <c r="AV1117">
        <v>46</v>
      </c>
      <c r="AW1117">
        <v>12</v>
      </c>
      <c r="AX1117" t="s">
        <v>24198</v>
      </c>
      <c r="AY1117">
        <v>7.553E-2</v>
      </c>
      <c r="AZ1117">
        <v>-6.1399999999999996E-3</v>
      </c>
      <c r="BA1117">
        <v>4.7299999999999998E-3</v>
      </c>
      <c r="BB1117">
        <v>-4.0999999999999999E-4</v>
      </c>
      <c r="BC1117">
        <v>6.2619999999999995E-2</v>
      </c>
      <c r="BD1117">
        <v>1</v>
      </c>
      <c r="BE1117" t="s">
        <v>69</v>
      </c>
      <c r="BF1117">
        <v>-1.6060000000000001</v>
      </c>
      <c r="BG1117">
        <v>-0.14799999999999999</v>
      </c>
    </row>
    <row r="1118" spans="1:59">
      <c r="A1118">
        <v>0</v>
      </c>
      <c r="B1118">
        <v>0</v>
      </c>
      <c r="C1118">
        <v>0</v>
      </c>
      <c r="D1118" t="s">
        <v>25022</v>
      </c>
      <c r="E1118">
        <v>3454</v>
      </c>
      <c r="F1118" t="s">
        <v>20222</v>
      </c>
      <c r="G1118" t="s">
        <v>62</v>
      </c>
      <c r="H1118">
        <v>3413353</v>
      </c>
      <c r="I1118">
        <v>3414039</v>
      </c>
      <c r="J1118" t="s">
        <v>5350</v>
      </c>
      <c r="K1118">
        <v>229</v>
      </c>
      <c r="L1118" t="s">
        <v>108</v>
      </c>
      <c r="M1118">
        <v>44</v>
      </c>
      <c r="N1118" t="str">
        <f>HYPERLINK("Gene3454-zp_tree_all.dnd", "Gene3454-tree")</f>
        <v>Gene3454-tree</v>
      </c>
      <c r="O1118">
        <v>8</v>
      </c>
      <c r="P1118">
        <v>4</v>
      </c>
      <c r="Q1118">
        <v>8</v>
      </c>
      <c r="R1118">
        <v>4</v>
      </c>
      <c r="S1118">
        <v>0.33333000000000002</v>
      </c>
      <c r="T1118" t="s">
        <v>136</v>
      </c>
      <c r="U1118" t="s">
        <v>61</v>
      </c>
      <c r="V1118" t="s">
        <v>62</v>
      </c>
      <c r="W1118" t="s">
        <v>62</v>
      </c>
      <c r="X1118">
        <v>0</v>
      </c>
      <c r="Y1118">
        <v>0</v>
      </c>
      <c r="Z1118">
        <v>5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4</v>
      </c>
      <c r="AK1118">
        <v>0</v>
      </c>
      <c r="AL1118">
        <v>10</v>
      </c>
      <c r="AM1118">
        <v>7</v>
      </c>
      <c r="AN1118">
        <v>20</v>
      </c>
      <c r="AO1118">
        <v>4</v>
      </c>
      <c r="AP1118">
        <v>10</v>
      </c>
      <c r="AQ1118">
        <v>1</v>
      </c>
      <c r="AR1118" t="s">
        <v>20223</v>
      </c>
      <c r="AS1118" t="s">
        <v>20224</v>
      </c>
      <c r="AT1118">
        <v>0.38200000000000001</v>
      </c>
      <c r="AU1118" t="s">
        <v>65</v>
      </c>
      <c r="AV1118">
        <v>30</v>
      </c>
      <c r="AW1118">
        <v>5</v>
      </c>
      <c r="AX1118" t="s">
        <v>20225</v>
      </c>
      <c r="AY1118">
        <v>3.5909999999999997E-2</v>
      </c>
      <c r="AZ1118">
        <v>-2.0300000000000001E-3</v>
      </c>
      <c r="BA1118">
        <v>1.8500000000000001E-3</v>
      </c>
      <c r="BB1118">
        <v>-1.6000000000000001E-4</v>
      </c>
      <c r="BC1118">
        <v>5.1479999999999998E-2</v>
      </c>
      <c r="BD1118">
        <v>1</v>
      </c>
      <c r="BE1118" t="s">
        <v>69</v>
      </c>
      <c r="BF1118">
        <v>-0.315</v>
      </c>
      <c r="BG1118">
        <v>-1.6459999999999999</v>
      </c>
    </row>
    <row r="1119" spans="1:59">
      <c r="A1119">
        <v>0</v>
      </c>
      <c r="B1119">
        <v>0</v>
      </c>
      <c r="C1119">
        <v>0</v>
      </c>
      <c r="D1119" t="s">
        <v>25022</v>
      </c>
      <c r="E1119">
        <v>3507</v>
      </c>
      <c r="F1119" t="s">
        <v>20528</v>
      </c>
      <c r="G1119" t="s">
        <v>62</v>
      </c>
      <c r="H1119">
        <v>3467549</v>
      </c>
      <c r="I1119">
        <v>3468235</v>
      </c>
      <c r="J1119" t="s">
        <v>20529</v>
      </c>
      <c r="K1119">
        <v>229</v>
      </c>
      <c r="L1119" t="s">
        <v>20530</v>
      </c>
      <c r="M1119">
        <v>25</v>
      </c>
      <c r="N1119" t="str">
        <f>HYPERLINK("Gene3507-zp_tree_all.dnd", "Gene3507-tree")</f>
        <v>Gene3507-tree</v>
      </c>
      <c r="O1119">
        <v>23</v>
      </c>
      <c r="P1119">
        <v>1</v>
      </c>
      <c r="Q1119">
        <v>4</v>
      </c>
      <c r="R1119">
        <v>1</v>
      </c>
      <c r="S1119">
        <v>0.2</v>
      </c>
      <c r="T1119" t="s">
        <v>690</v>
      </c>
      <c r="U1119" t="s">
        <v>175</v>
      </c>
      <c r="V1119" t="s">
        <v>62</v>
      </c>
      <c r="W1119" t="s">
        <v>62</v>
      </c>
      <c r="X1119">
        <v>0</v>
      </c>
      <c r="Y1119">
        <v>0</v>
      </c>
      <c r="Z1119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4</v>
      </c>
      <c r="AK1119">
        <v>0</v>
      </c>
      <c r="AL1119">
        <v>5</v>
      </c>
      <c r="AM1119">
        <v>2</v>
      </c>
      <c r="AN1119">
        <v>19</v>
      </c>
      <c r="AO1119">
        <v>4</v>
      </c>
      <c r="AP1119">
        <v>6</v>
      </c>
      <c r="AQ1119">
        <v>0</v>
      </c>
      <c r="AR1119" t="s">
        <v>20531</v>
      </c>
      <c r="AS1119" t="s">
        <v>193</v>
      </c>
      <c r="AT1119">
        <v>0.51100000000000001</v>
      </c>
      <c r="AU1119" t="s">
        <v>65</v>
      </c>
      <c r="AV1119">
        <v>25</v>
      </c>
      <c r="AW1119">
        <v>4</v>
      </c>
      <c r="AX1119" t="s">
        <v>20532</v>
      </c>
      <c r="AY1119">
        <v>6.4670000000000005E-2</v>
      </c>
      <c r="AZ1119">
        <v>-6.3699999999999998E-3</v>
      </c>
      <c r="BA1119">
        <v>3.16E-3</v>
      </c>
      <c r="BB1119">
        <v>-1.2199999999999999E-3</v>
      </c>
      <c r="BC1119">
        <v>4.8890000000000003E-2</v>
      </c>
      <c r="BD1119">
        <v>1</v>
      </c>
      <c r="BE1119" t="s">
        <v>69</v>
      </c>
      <c r="BF1119">
        <v>-2.008</v>
      </c>
      <c r="BG1119">
        <v>-2.4550000000000001</v>
      </c>
    </row>
    <row r="1120" spans="1:59">
      <c r="A1120">
        <v>0</v>
      </c>
      <c r="B1120">
        <v>0</v>
      </c>
      <c r="C1120">
        <v>0</v>
      </c>
      <c r="D1120" t="s">
        <v>25022</v>
      </c>
      <c r="E1120">
        <v>2995</v>
      </c>
      <c r="F1120" t="s">
        <v>17291</v>
      </c>
      <c r="G1120" t="s">
        <v>62</v>
      </c>
      <c r="H1120">
        <v>2944986</v>
      </c>
      <c r="I1120">
        <v>2945672</v>
      </c>
      <c r="J1120" t="s">
        <v>17292</v>
      </c>
      <c r="K1120">
        <v>229</v>
      </c>
      <c r="L1120" t="s">
        <v>289</v>
      </c>
      <c r="M1120">
        <v>46</v>
      </c>
      <c r="N1120" t="str">
        <f>HYPERLINK("Gene2995-zp_tree_all.dnd", "Gene2995-tree")</f>
        <v>Gene2995-tree</v>
      </c>
      <c r="O1120">
        <v>10</v>
      </c>
      <c r="P1120">
        <v>6</v>
      </c>
      <c r="Q1120">
        <v>10</v>
      </c>
      <c r="R1120">
        <v>6</v>
      </c>
      <c r="S1120">
        <v>0.375</v>
      </c>
      <c r="T1120" t="s">
        <v>117</v>
      </c>
      <c r="U1120" t="s">
        <v>90</v>
      </c>
      <c r="V1120" t="s">
        <v>62</v>
      </c>
      <c r="W1120" t="s">
        <v>62</v>
      </c>
      <c r="X1120">
        <v>0</v>
      </c>
      <c r="Y1120">
        <v>0</v>
      </c>
      <c r="Z1120">
        <v>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6</v>
      </c>
      <c r="AK1120">
        <v>0</v>
      </c>
      <c r="AL1120">
        <v>14</v>
      </c>
      <c r="AM1120">
        <v>8</v>
      </c>
      <c r="AN1120">
        <v>54</v>
      </c>
      <c r="AO1120">
        <v>6</v>
      </c>
      <c r="AP1120">
        <v>20</v>
      </c>
      <c r="AQ1120">
        <v>3</v>
      </c>
      <c r="AR1120" t="s">
        <v>17293</v>
      </c>
      <c r="AS1120" t="s">
        <v>17294</v>
      </c>
      <c r="AT1120">
        <v>0.13800000000000001</v>
      </c>
      <c r="AU1120" t="s">
        <v>65</v>
      </c>
      <c r="AV1120">
        <v>74</v>
      </c>
      <c r="AW1120">
        <v>9</v>
      </c>
      <c r="AX1120" t="s">
        <v>17295</v>
      </c>
      <c r="AY1120">
        <v>7.4630000000000002E-2</v>
      </c>
      <c r="AZ1120">
        <v>-5.1999999999999998E-3</v>
      </c>
      <c r="BA1120">
        <v>2.8500000000000001E-3</v>
      </c>
      <c r="BB1120">
        <v>-2.0000000000000001E-4</v>
      </c>
      <c r="BC1120">
        <v>3.8240000000000003E-2</v>
      </c>
      <c r="BD1120">
        <v>1</v>
      </c>
      <c r="BE1120" t="s">
        <v>69</v>
      </c>
      <c r="BF1120">
        <v>-1.6639999999999999</v>
      </c>
      <c r="BG1120">
        <v>-3.13</v>
      </c>
    </row>
    <row r="1121" spans="1:59">
      <c r="A1121">
        <v>0</v>
      </c>
      <c r="B1121">
        <v>0</v>
      </c>
      <c r="C1121">
        <v>0</v>
      </c>
      <c r="D1121" t="s">
        <v>25022</v>
      </c>
      <c r="E1121">
        <v>3677</v>
      </c>
      <c r="F1121" t="s">
        <v>21579</v>
      </c>
      <c r="G1121" t="s">
        <v>62</v>
      </c>
      <c r="H1121">
        <v>3644610</v>
      </c>
      <c r="I1121">
        <v>3645296</v>
      </c>
      <c r="J1121" t="s">
        <v>3081</v>
      </c>
      <c r="K1121">
        <v>229</v>
      </c>
      <c r="L1121" t="s">
        <v>59</v>
      </c>
      <c r="M1121">
        <v>49</v>
      </c>
      <c r="N1121" t="str">
        <f>HYPERLINK("Gene3677-zp_tree_all.dnd", "Gene3677-tree")</f>
        <v>Gene3677-tree</v>
      </c>
      <c r="O1121">
        <v>12</v>
      </c>
      <c r="P1121">
        <v>1</v>
      </c>
      <c r="Q1121">
        <v>12</v>
      </c>
      <c r="R1121">
        <v>1</v>
      </c>
      <c r="S1121">
        <v>7.6920000000000002E-2</v>
      </c>
      <c r="T1121" t="s">
        <v>109</v>
      </c>
      <c r="U1121" t="s">
        <v>175</v>
      </c>
      <c r="V1121" t="s">
        <v>62</v>
      </c>
      <c r="W1121" t="s">
        <v>62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10</v>
      </c>
      <c r="AM1121">
        <v>5</v>
      </c>
      <c r="AN1121">
        <v>19</v>
      </c>
      <c r="AO1121">
        <v>1</v>
      </c>
      <c r="AP1121">
        <v>21</v>
      </c>
      <c r="AQ1121">
        <v>0</v>
      </c>
      <c r="AR1121" t="s">
        <v>21580</v>
      </c>
      <c r="AS1121" t="s">
        <v>193</v>
      </c>
      <c r="AT1121">
        <v>0.33400000000000002</v>
      </c>
      <c r="AU1121" t="s">
        <v>65</v>
      </c>
      <c r="AV1121">
        <v>40</v>
      </c>
      <c r="AW1121">
        <v>1</v>
      </c>
      <c r="AX1121" t="s">
        <v>21581</v>
      </c>
      <c r="AY1121">
        <v>6.905E-2</v>
      </c>
      <c r="AZ1121">
        <v>-6.0499999999999998E-3</v>
      </c>
      <c r="BA1121">
        <v>2.9E-4</v>
      </c>
      <c r="BB1121">
        <v>-6.9999999999999994E-5</v>
      </c>
      <c r="BC1121">
        <v>4.2199999999999998E-3</v>
      </c>
      <c r="BD1121">
        <v>1</v>
      </c>
      <c r="BE1121" t="s">
        <v>69</v>
      </c>
      <c r="BF1121">
        <v>-1.22</v>
      </c>
      <c r="BG1121">
        <v>-0.23100000000000001</v>
      </c>
    </row>
    <row r="1122" spans="1:59">
      <c r="A1122">
        <v>0</v>
      </c>
      <c r="B1122">
        <v>0</v>
      </c>
      <c r="C1122">
        <v>7</v>
      </c>
      <c r="D1122" t="s">
        <v>25022</v>
      </c>
      <c r="E1122">
        <v>912</v>
      </c>
      <c r="F1122" t="s">
        <v>5698</v>
      </c>
      <c r="G1122" t="s">
        <v>57</v>
      </c>
      <c r="H1122">
        <v>954893</v>
      </c>
      <c r="I1122">
        <v>955582</v>
      </c>
      <c r="J1122" t="s">
        <v>5699</v>
      </c>
      <c r="K1122">
        <v>230</v>
      </c>
      <c r="L1122" t="s">
        <v>265</v>
      </c>
      <c r="M1122">
        <v>43</v>
      </c>
      <c r="N1122" t="str">
        <f>HYPERLINK("Gene912-zp_tree_all.dnd", "Gene912-tree")</f>
        <v>Gene912-tree</v>
      </c>
      <c r="O1122">
        <v>4</v>
      </c>
      <c r="P1122">
        <v>7</v>
      </c>
      <c r="Q1122">
        <v>4</v>
      </c>
      <c r="R1122">
        <v>7</v>
      </c>
      <c r="S1122">
        <v>0.63636000000000004</v>
      </c>
      <c r="T1122" t="s">
        <v>61</v>
      </c>
      <c r="U1122" t="s">
        <v>152</v>
      </c>
      <c r="V1122" t="s">
        <v>62</v>
      </c>
      <c r="W1122" t="s">
        <v>62</v>
      </c>
      <c r="X1122">
        <v>3</v>
      </c>
      <c r="Y1122">
        <v>7</v>
      </c>
      <c r="Z1122">
        <v>20</v>
      </c>
      <c r="AA1122">
        <v>0.25925999999999999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4</v>
      </c>
      <c r="AJ1122">
        <v>12</v>
      </c>
      <c r="AK1122">
        <v>0.25</v>
      </c>
      <c r="AL1122">
        <v>8</v>
      </c>
      <c r="AM1122">
        <v>7</v>
      </c>
      <c r="AN1122">
        <v>14</v>
      </c>
      <c r="AO1122">
        <v>15</v>
      </c>
      <c r="AP1122">
        <v>17</v>
      </c>
      <c r="AQ1122">
        <v>12</v>
      </c>
      <c r="AR1122" t="s">
        <v>5700</v>
      </c>
      <c r="AS1122" t="s">
        <v>5701</v>
      </c>
      <c r="AT1122">
        <v>0.503</v>
      </c>
      <c r="AU1122" t="s">
        <v>65</v>
      </c>
      <c r="AV1122">
        <v>31</v>
      </c>
      <c r="AW1122">
        <v>27</v>
      </c>
      <c r="AX1122" t="s">
        <v>5702</v>
      </c>
      <c r="AY1122">
        <v>5.0900000000000001E-2</v>
      </c>
      <c r="AZ1122">
        <v>-3.2299999999999998E-3</v>
      </c>
      <c r="BA1122">
        <v>1.401E-2</v>
      </c>
      <c r="BB1122">
        <v>-8.4000000000000003E-4</v>
      </c>
      <c r="BC1122">
        <v>0.27526</v>
      </c>
      <c r="BD1122">
        <v>1</v>
      </c>
      <c r="BE1122" t="s">
        <v>69</v>
      </c>
      <c r="BF1122">
        <v>4.4999999999999998E-2</v>
      </c>
      <c r="BG1122">
        <v>-0.19600000000000001</v>
      </c>
    </row>
    <row r="1123" spans="1:59">
      <c r="A1123">
        <v>0</v>
      </c>
      <c r="B1123">
        <v>8</v>
      </c>
      <c r="C1123">
        <v>0</v>
      </c>
      <c r="D1123" t="s">
        <v>25022</v>
      </c>
      <c r="E1123">
        <v>1599</v>
      </c>
      <c r="F1123" t="s">
        <v>10005</v>
      </c>
      <c r="G1123" t="s">
        <v>57</v>
      </c>
      <c r="H1123">
        <v>1610170</v>
      </c>
      <c r="I1123">
        <v>1610859</v>
      </c>
      <c r="J1123" t="s">
        <v>10006</v>
      </c>
      <c r="K1123">
        <v>230</v>
      </c>
      <c r="L1123" t="s">
        <v>59</v>
      </c>
      <c r="M1123">
        <v>49</v>
      </c>
      <c r="N1123" t="str">
        <f>HYPERLINK("Gene1599-zp_tree_all.dnd", "Gene1599-tree")</f>
        <v>Gene1599-tree</v>
      </c>
      <c r="O1123">
        <v>10</v>
      </c>
      <c r="P1123">
        <v>8</v>
      </c>
      <c r="Q1123">
        <v>10</v>
      </c>
      <c r="R1123">
        <v>8</v>
      </c>
      <c r="S1123">
        <v>0.44444</v>
      </c>
      <c r="T1123" t="s">
        <v>117</v>
      </c>
      <c r="U1123" t="s">
        <v>136</v>
      </c>
      <c r="V1123" t="s">
        <v>62</v>
      </c>
      <c r="W1123" t="s">
        <v>62</v>
      </c>
      <c r="X1123">
        <v>3</v>
      </c>
      <c r="Y1123">
        <v>8</v>
      </c>
      <c r="Z1123">
        <v>12</v>
      </c>
      <c r="AA1123">
        <v>0.4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4</v>
      </c>
      <c r="AH1123">
        <v>0</v>
      </c>
      <c r="AI1123">
        <v>4</v>
      </c>
      <c r="AJ1123">
        <v>5</v>
      </c>
      <c r="AK1123">
        <v>0.44444</v>
      </c>
      <c r="AL1123">
        <v>11</v>
      </c>
      <c r="AM1123">
        <v>11</v>
      </c>
      <c r="AN1123">
        <v>12</v>
      </c>
      <c r="AO1123">
        <v>8</v>
      </c>
      <c r="AP1123">
        <v>25</v>
      </c>
      <c r="AQ1123">
        <v>12</v>
      </c>
      <c r="AR1123" t="s">
        <v>10007</v>
      </c>
      <c r="AS1123" t="s">
        <v>10008</v>
      </c>
      <c r="AT1123">
        <v>0.215</v>
      </c>
      <c r="AU1123" t="s">
        <v>65</v>
      </c>
      <c r="AV1123">
        <v>37</v>
      </c>
      <c r="AW1123">
        <v>20</v>
      </c>
      <c r="AX1123" t="s">
        <v>10009</v>
      </c>
      <c r="AY1123">
        <v>5.5759999999999997E-2</v>
      </c>
      <c r="AZ1123">
        <v>-3.3800000000000002E-3</v>
      </c>
      <c r="BA1123">
        <v>9.6699999999999998E-3</v>
      </c>
      <c r="BB1123">
        <v>-7.1000000000000002E-4</v>
      </c>
      <c r="BC1123">
        <v>0.17348</v>
      </c>
      <c r="BD1123">
        <v>1</v>
      </c>
      <c r="BE1123" t="s">
        <v>69</v>
      </c>
      <c r="BF1123">
        <v>-0.97599999999999998</v>
      </c>
      <c r="BG1123">
        <v>0.435</v>
      </c>
    </row>
    <row r="1124" spans="1:59">
      <c r="A1124">
        <v>0</v>
      </c>
      <c r="B1124">
        <v>0</v>
      </c>
      <c r="C1124">
        <v>0</v>
      </c>
      <c r="D1124" t="s">
        <v>25022</v>
      </c>
      <c r="E1124">
        <v>3048</v>
      </c>
      <c r="F1124" t="s">
        <v>17635</v>
      </c>
      <c r="G1124" t="s">
        <v>62</v>
      </c>
      <c r="H1124">
        <v>3000988</v>
      </c>
      <c r="I1124">
        <v>3001677</v>
      </c>
      <c r="J1124" t="s">
        <v>17636</v>
      </c>
      <c r="K1124">
        <v>230</v>
      </c>
      <c r="L1124" t="s">
        <v>2555</v>
      </c>
      <c r="M1124">
        <v>34</v>
      </c>
      <c r="N1124" t="str">
        <f>HYPERLINK("Gene3048-zp_tree_all.dnd", "Gene3048-tree")</f>
        <v>Gene3048-tree</v>
      </c>
      <c r="O1124">
        <v>3</v>
      </c>
      <c r="P1124">
        <v>5</v>
      </c>
      <c r="Q1124">
        <v>3</v>
      </c>
      <c r="R1124">
        <v>5</v>
      </c>
      <c r="S1124">
        <v>0.625</v>
      </c>
      <c r="T1124" t="s">
        <v>324</v>
      </c>
      <c r="U1124" t="s">
        <v>199</v>
      </c>
      <c r="V1124" t="s">
        <v>62</v>
      </c>
      <c r="W1124" t="s">
        <v>62</v>
      </c>
      <c r="X1124">
        <v>0</v>
      </c>
      <c r="Y1124">
        <v>0</v>
      </c>
      <c r="Z1124">
        <v>13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10</v>
      </c>
      <c r="AK1124">
        <v>0</v>
      </c>
      <c r="AL1124">
        <v>7</v>
      </c>
      <c r="AM1124">
        <v>5</v>
      </c>
      <c r="AN1124">
        <v>21</v>
      </c>
      <c r="AO1124">
        <v>10</v>
      </c>
      <c r="AP1124">
        <v>6</v>
      </c>
      <c r="AQ1124">
        <v>3</v>
      </c>
      <c r="AR1124" t="s">
        <v>17637</v>
      </c>
      <c r="AS1124" t="s">
        <v>17638</v>
      </c>
      <c r="AT1124">
        <v>0.106</v>
      </c>
      <c r="AU1124" t="s">
        <v>65</v>
      </c>
      <c r="AV1124">
        <v>27</v>
      </c>
      <c r="AW1124">
        <v>13</v>
      </c>
      <c r="AX1124" t="s">
        <v>17639</v>
      </c>
      <c r="AY1124">
        <v>4.6800000000000001E-2</v>
      </c>
      <c r="AZ1124">
        <v>-2.0699999999999998E-3</v>
      </c>
      <c r="BA1124">
        <v>7.5900000000000004E-3</v>
      </c>
      <c r="BB1124">
        <v>-5.0000000000000001E-4</v>
      </c>
      <c r="BC1124">
        <v>0.16214000000000001</v>
      </c>
      <c r="BD1124">
        <v>1</v>
      </c>
      <c r="BE1124" t="s">
        <v>69</v>
      </c>
      <c r="BF1124">
        <v>-0.73199999999999998</v>
      </c>
      <c r="BG1124">
        <v>-0.64500000000000002</v>
      </c>
    </row>
    <row r="1125" spans="1:59">
      <c r="A1125">
        <v>0</v>
      </c>
      <c r="B1125">
        <v>6</v>
      </c>
      <c r="C1125">
        <v>0</v>
      </c>
      <c r="D1125" t="s">
        <v>25022</v>
      </c>
      <c r="E1125">
        <v>1493</v>
      </c>
      <c r="F1125" t="s">
        <v>9335</v>
      </c>
      <c r="G1125" t="s">
        <v>57</v>
      </c>
      <c r="H1125">
        <v>1505416</v>
      </c>
      <c r="I1125">
        <v>1506105</v>
      </c>
      <c r="J1125" t="s">
        <v>9336</v>
      </c>
      <c r="K1125">
        <v>230</v>
      </c>
      <c r="L1125" t="s">
        <v>125</v>
      </c>
      <c r="M1125">
        <v>48</v>
      </c>
      <c r="N1125" t="str">
        <f>HYPERLINK("Gene1493-zp_tree_all.dnd", "Gene1493-tree")</f>
        <v>Gene1493-tree</v>
      </c>
      <c r="O1125">
        <v>14</v>
      </c>
      <c r="P1125">
        <v>4</v>
      </c>
      <c r="Q1125">
        <v>14</v>
      </c>
      <c r="R1125">
        <v>4</v>
      </c>
      <c r="S1125">
        <v>0.22222</v>
      </c>
      <c r="T1125" t="s">
        <v>543</v>
      </c>
      <c r="U1125" t="s">
        <v>61</v>
      </c>
      <c r="V1125" t="s">
        <v>62</v>
      </c>
      <c r="W1125" t="s">
        <v>62</v>
      </c>
      <c r="X1125">
        <v>3</v>
      </c>
      <c r="Y1125">
        <v>6</v>
      </c>
      <c r="Z1125">
        <v>9</v>
      </c>
      <c r="AA1125">
        <v>0.4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2</v>
      </c>
      <c r="AH1125">
        <v>0</v>
      </c>
      <c r="AI1125">
        <v>2</v>
      </c>
      <c r="AJ1125">
        <v>4</v>
      </c>
      <c r="AK1125">
        <v>0.33333000000000002</v>
      </c>
      <c r="AL1125">
        <v>13</v>
      </c>
      <c r="AM1125">
        <v>10</v>
      </c>
      <c r="AN1125">
        <v>23</v>
      </c>
      <c r="AO1125">
        <v>6</v>
      </c>
      <c r="AP1125">
        <v>42</v>
      </c>
      <c r="AQ1125">
        <v>9</v>
      </c>
      <c r="AR1125" t="s">
        <v>9337</v>
      </c>
      <c r="AS1125" t="s">
        <v>9338</v>
      </c>
      <c r="AT1125">
        <v>0.182</v>
      </c>
      <c r="AU1125" t="s">
        <v>65</v>
      </c>
      <c r="AV1125">
        <v>65</v>
      </c>
      <c r="AW1125">
        <v>15</v>
      </c>
      <c r="AX1125" t="s">
        <v>9339</v>
      </c>
      <c r="AY1125">
        <v>9.3289999999999998E-2</v>
      </c>
      <c r="AZ1125">
        <v>-6.4700000000000001E-3</v>
      </c>
      <c r="BA1125">
        <v>5.0000000000000001E-3</v>
      </c>
      <c r="BB1125">
        <v>-3.1E-4</v>
      </c>
      <c r="BC1125">
        <v>5.364E-2</v>
      </c>
      <c r="BD1125">
        <v>1</v>
      </c>
      <c r="BE1125" t="s">
        <v>69</v>
      </c>
      <c r="BF1125">
        <v>-1.446</v>
      </c>
      <c r="BG1125">
        <v>-0.41099999999999998</v>
      </c>
    </row>
    <row r="1126" spans="1:59">
      <c r="A1126">
        <v>0</v>
      </c>
      <c r="B1126">
        <v>0</v>
      </c>
      <c r="C1126">
        <v>0</v>
      </c>
      <c r="D1126" t="s">
        <v>25022</v>
      </c>
      <c r="E1126">
        <v>2749</v>
      </c>
      <c r="F1126" t="s">
        <v>15784</v>
      </c>
      <c r="G1126" t="s">
        <v>62</v>
      </c>
      <c r="H1126">
        <v>2704438</v>
      </c>
      <c r="I1126">
        <v>2705130</v>
      </c>
      <c r="J1126" t="s">
        <v>15785</v>
      </c>
      <c r="K1126">
        <v>231</v>
      </c>
      <c r="L1126" t="s">
        <v>15778</v>
      </c>
      <c r="M1126">
        <v>29</v>
      </c>
      <c r="N1126" t="str">
        <f>HYPERLINK("Gene2749-zp_tree_all.dnd", "Gene2749-tree")</f>
        <v>Gene2749-tree</v>
      </c>
      <c r="O1126">
        <v>0</v>
      </c>
      <c r="P1126">
        <v>4</v>
      </c>
      <c r="Q1126">
        <v>0</v>
      </c>
      <c r="R1126">
        <v>4</v>
      </c>
      <c r="S1126">
        <v>1</v>
      </c>
      <c r="T1126" t="s">
        <v>62</v>
      </c>
      <c r="U1126" t="s">
        <v>61</v>
      </c>
      <c r="V1126" t="s">
        <v>62</v>
      </c>
      <c r="W1126" t="s">
        <v>62</v>
      </c>
      <c r="X1126">
        <v>0</v>
      </c>
      <c r="Y1126">
        <v>0</v>
      </c>
      <c r="Z1126">
        <v>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6</v>
      </c>
      <c r="AK1126">
        <v>0</v>
      </c>
      <c r="AL1126">
        <v>3</v>
      </c>
      <c r="AM1126">
        <v>1</v>
      </c>
      <c r="AN1126">
        <v>2</v>
      </c>
      <c r="AO1126">
        <v>6</v>
      </c>
      <c r="AP1126">
        <v>1</v>
      </c>
      <c r="AQ1126">
        <v>1</v>
      </c>
      <c r="AR1126" t="s">
        <v>15786</v>
      </c>
      <c r="AS1126" t="s">
        <v>15787</v>
      </c>
      <c r="AT1126">
        <v>0.53200000000000003</v>
      </c>
      <c r="AU1126" t="s">
        <v>65</v>
      </c>
      <c r="AV1126">
        <v>3</v>
      </c>
      <c r="AW1126">
        <v>7</v>
      </c>
      <c r="AX1126" t="s">
        <v>15788</v>
      </c>
      <c r="AY1126">
        <v>1.081E-2</v>
      </c>
      <c r="AZ1126">
        <v>-2.9399999999999999E-3</v>
      </c>
      <c r="BA1126">
        <v>6.8999999999999999E-3</v>
      </c>
      <c r="BB1126">
        <v>-1.06E-3</v>
      </c>
      <c r="BC1126">
        <v>0.63807999999999998</v>
      </c>
      <c r="BD1126">
        <v>0.61099999999999999</v>
      </c>
      <c r="BE1126" t="s">
        <v>635</v>
      </c>
      <c r="BF1126">
        <v>-0.64800000000000002</v>
      </c>
      <c r="BG1126">
        <v>-0.193</v>
      </c>
    </row>
    <row r="1127" spans="1:59">
      <c r="A1127">
        <v>0</v>
      </c>
      <c r="B1127">
        <v>9</v>
      </c>
      <c r="C1127">
        <v>2</v>
      </c>
      <c r="D1127" t="s">
        <v>25022</v>
      </c>
      <c r="E1127">
        <v>3136</v>
      </c>
      <c r="F1127" t="s">
        <v>18208</v>
      </c>
      <c r="G1127" t="s">
        <v>62</v>
      </c>
      <c r="H1127">
        <v>3091495</v>
      </c>
      <c r="I1127">
        <v>3092187</v>
      </c>
      <c r="J1127" t="s">
        <v>18209</v>
      </c>
      <c r="K1127">
        <v>231</v>
      </c>
      <c r="L1127" t="s">
        <v>1392</v>
      </c>
      <c r="M1127">
        <v>43</v>
      </c>
      <c r="N1127" t="str">
        <f>HYPERLINK("Gene3136-zp_tree_all.dnd", "Gene3136-tree")</f>
        <v>Gene3136-tree</v>
      </c>
      <c r="O1127">
        <v>6</v>
      </c>
      <c r="P1127">
        <v>9</v>
      </c>
      <c r="Q1127">
        <v>6</v>
      </c>
      <c r="R1127">
        <v>9</v>
      </c>
      <c r="S1127">
        <v>0.6</v>
      </c>
      <c r="T1127" t="s">
        <v>90</v>
      </c>
      <c r="U1127" t="s">
        <v>135</v>
      </c>
      <c r="V1127" t="s">
        <v>62</v>
      </c>
      <c r="W1127" t="s">
        <v>62</v>
      </c>
      <c r="X1127">
        <v>5</v>
      </c>
      <c r="Y1127">
        <v>11</v>
      </c>
      <c r="Z1127">
        <v>13</v>
      </c>
      <c r="AA1127">
        <v>0.45833000000000002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2</v>
      </c>
      <c r="AH1127">
        <v>2</v>
      </c>
      <c r="AI1127">
        <v>4</v>
      </c>
      <c r="AJ1127">
        <v>11</v>
      </c>
      <c r="AK1127">
        <v>0.26667000000000002</v>
      </c>
      <c r="AL1127">
        <v>11</v>
      </c>
      <c r="AM1127">
        <v>12</v>
      </c>
      <c r="AN1127">
        <v>22</v>
      </c>
      <c r="AO1127">
        <v>12</v>
      </c>
      <c r="AP1127">
        <v>37</v>
      </c>
      <c r="AQ1127">
        <v>13</v>
      </c>
      <c r="AR1127" t="s">
        <v>18210</v>
      </c>
      <c r="AS1127" t="s">
        <v>18211</v>
      </c>
      <c r="AT1127">
        <v>0.66300000000000003</v>
      </c>
      <c r="AU1127" t="s">
        <v>65</v>
      </c>
      <c r="AV1127">
        <v>59</v>
      </c>
      <c r="AW1127">
        <v>25</v>
      </c>
      <c r="AX1127" t="s">
        <v>18212</v>
      </c>
      <c r="AY1127">
        <v>6.9099999999999995E-2</v>
      </c>
      <c r="AZ1127">
        <v>-2.5600000000000002E-3</v>
      </c>
      <c r="BA1127">
        <v>9.4400000000000005E-3</v>
      </c>
      <c r="BB1127">
        <v>-3.8999999999999999E-4</v>
      </c>
      <c r="BC1127">
        <v>0.13663</v>
      </c>
      <c r="BD1127">
        <v>1</v>
      </c>
      <c r="BE1127" t="s">
        <v>69</v>
      </c>
      <c r="BF1127">
        <v>0.58899999999999997</v>
      </c>
      <c r="BG1127">
        <v>1.2789999999999999</v>
      </c>
    </row>
    <row r="1128" spans="1:59">
      <c r="A1128">
        <v>0</v>
      </c>
      <c r="B1128">
        <v>2</v>
      </c>
      <c r="C1128">
        <v>0</v>
      </c>
      <c r="D1128" t="s">
        <v>25022</v>
      </c>
      <c r="E1128">
        <v>1586</v>
      </c>
      <c r="F1128" t="s">
        <v>9921</v>
      </c>
      <c r="G1128" t="s">
        <v>57</v>
      </c>
      <c r="H1128">
        <v>1594492</v>
      </c>
      <c r="I1128">
        <v>1595184</v>
      </c>
      <c r="J1128" t="s">
        <v>288</v>
      </c>
      <c r="K1128">
        <v>231</v>
      </c>
      <c r="L1128" t="s">
        <v>108</v>
      </c>
      <c r="M1128">
        <v>44</v>
      </c>
      <c r="N1128" t="str">
        <f>HYPERLINK("Gene1586-zp_tree_all.dnd", "Gene1586-tree")</f>
        <v>Gene1586-tree</v>
      </c>
      <c r="O1128">
        <v>7</v>
      </c>
      <c r="P1128">
        <v>4</v>
      </c>
      <c r="Q1128">
        <v>7</v>
      </c>
      <c r="R1128">
        <v>4</v>
      </c>
      <c r="S1128">
        <v>0.36364000000000002</v>
      </c>
      <c r="T1128" t="s">
        <v>152</v>
      </c>
      <c r="U1128" t="s">
        <v>61</v>
      </c>
      <c r="V1128" t="s">
        <v>62</v>
      </c>
      <c r="W1128" t="s">
        <v>62</v>
      </c>
      <c r="X1128">
        <v>1</v>
      </c>
      <c r="Y1128">
        <v>2</v>
      </c>
      <c r="Z1128">
        <v>5</v>
      </c>
      <c r="AA1128">
        <v>0.28571000000000002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5</v>
      </c>
      <c r="AK1128">
        <v>0</v>
      </c>
      <c r="AL1128">
        <v>9</v>
      </c>
      <c r="AM1128">
        <v>5</v>
      </c>
      <c r="AN1128">
        <v>10</v>
      </c>
      <c r="AO1128">
        <v>5</v>
      </c>
      <c r="AP1128">
        <v>6</v>
      </c>
      <c r="AQ1128">
        <v>2</v>
      </c>
      <c r="AR1128" t="s">
        <v>9922</v>
      </c>
      <c r="AS1128" t="s">
        <v>9923</v>
      </c>
      <c r="AT1128">
        <v>0.41</v>
      </c>
      <c r="AU1128" t="s">
        <v>65</v>
      </c>
      <c r="AV1128">
        <v>16</v>
      </c>
      <c r="AW1128">
        <v>7</v>
      </c>
      <c r="AX1128" t="s">
        <v>9924</v>
      </c>
      <c r="AY1128">
        <v>2.674E-2</v>
      </c>
      <c r="AZ1128">
        <v>-1.5499999999999999E-3</v>
      </c>
      <c r="BA1128">
        <v>2.9199999999999999E-3</v>
      </c>
      <c r="BB1128">
        <v>-2.0000000000000001E-4</v>
      </c>
      <c r="BC1128">
        <v>0.10904</v>
      </c>
      <c r="BD1128">
        <v>1</v>
      </c>
      <c r="BE1128" t="s">
        <v>69</v>
      </c>
      <c r="BF1128">
        <v>-0.66500000000000004</v>
      </c>
      <c r="BG1128">
        <v>-1.1719999999999999</v>
      </c>
    </row>
    <row r="1129" spans="1:59">
      <c r="A1129">
        <v>0</v>
      </c>
      <c r="B1129">
        <v>9</v>
      </c>
      <c r="C1129">
        <v>3</v>
      </c>
      <c r="D1129" t="s">
        <v>25022</v>
      </c>
      <c r="E1129">
        <v>3155</v>
      </c>
      <c r="F1129" t="s">
        <v>18332</v>
      </c>
      <c r="G1129" t="s">
        <v>62</v>
      </c>
      <c r="H1129">
        <v>3113190</v>
      </c>
      <c r="I1129">
        <v>3113882</v>
      </c>
      <c r="J1129" t="s">
        <v>18333</v>
      </c>
      <c r="K1129">
        <v>231</v>
      </c>
      <c r="L1129" t="s">
        <v>265</v>
      </c>
      <c r="M1129">
        <v>43</v>
      </c>
      <c r="N1129" t="str">
        <f>HYPERLINK("Gene3155-zp_tree_all.dnd", "Gene3155-tree")</f>
        <v>Gene3155-tree</v>
      </c>
      <c r="O1129">
        <v>8</v>
      </c>
      <c r="P1129">
        <v>7</v>
      </c>
      <c r="Q1129">
        <v>8</v>
      </c>
      <c r="R1129">
        <v>7</v>
      </c>
      <c r="S1129">
        <v>0.46666999999999997</v>
      </c>
      <c r="T1129" t="s">
        <v>136</v>
      </c>
      <c r="U1129" t="s">
        <v>152</v>
      </c>
      <c r="V1129" t="s">
        <v>62</v>
      </c>
      <c r="W1129" t="s">
        <v>62</v>
      </c>
      <c r="X1129">
        <v>5</v>
      </c>
      <c r="Y1129">
        <v>12</v>
      </c>
      <c r="Z1129">
        <v>3</v>
      </c>
      <c r="AA1129">
        <v>0.8</v>
      </c>
      <c r="AB1129">
        <v>0</v>
      </c>
      <c r="AC1129">
        <v>0</v>
      </c>
      <c r="AD1129">
        <v>0</v>
      </c>
      <c r="AE1129">
        <v>3</v>
      </c>
      <c r="AF1129">
        <v>0</v>
      </c>
      <c r="AG1129">
        <v>2</v>
      </c>
      <c r="AH1129">
        <v>2</v>
      </c>
      <c r="AI1129">
        <v>4</v>
      </c>
      <c r="AJ1129">
        <v>6</v>
      </c>
      <c r="AK1129">
        <v>0.4</v>
      </c>
      <c r="AL1129">
        <v>13</v>
      </c>
      <c r="AM1129">
        <v>9</v>
      </c>
      <c r="AN1129">
        <v>25</v>
      </c>
      <c r="AO1129">
        <v>10</v>
      </c>
      <c r="AP1129">
        <v>15</v>
      </c>
      <c r="AQ1129">
        <v>5</v>
      </c>
      <c r="AR1129" t="s">
        <v>18334</v>
      </c>
      <c r="AS1129" t="s">
        <v>18335</v>
      </c>
      <c r="AT1129">
        <v>0.183</v>
      </c>
      <c r="AU1129" t="s">
        <v>65</v>
      </c>
      <c r="AV1129">
        <v>40</v>
      </c>
      <c r="AW1129">
        <v>15</v>
      </c>
      <c r="AX1129" t="s">
        <v>18336</v>
      </c>
      <c r="AY1129">
        <v>4.5429999999999998E-2</v>
      </c>
      <c r="AZ1129">
        <v>-2.33E-3</v>
      </c>
      <c r="BA1129">
        <v>4.7499999999999999E-3</v>
      </c>
      <c r="BB1129">
        <v>-2.3000000000000001E-4</v>
      </c>
      <c r="BC1129">
        <v>0.10455</v>
      </c>
      <c r="BD1129">
        <v>1</v>
      </c>
      <c r="BE1129" t="s">
        <v>69</v>
      </c>
      <c r="BF1129">
        <v>-1.0549999999999999</v>
      </c>
      <c r="BG1129">
        <v>-1.1140000000000001</v>
      </c>
    </row>
    <row r="1130" spans="1:59">
      <c r="A1130">
        <v>0</v>
      </c>
      <c r="B1130">
        <v>2</v>
      </c>
      <c r="C1130">
        <v>2</v>
      </c>
      <c r="D1130" t="s">
        <v>25022</v>
      </c>
      <c r="E1130">
        <v>1491</v>
      </c>
      <c r="F1130" t="s">
        <v>9321</v>
      </c>
      <c r="G1130" t="s">
        <v>57</v>
      </c>
      <c r="H1130">
        <v>1503582</v>
      </c>
      <c r="I1130">
        <v>1504274</v>
      </c>
      <c r="J1130" t="s">
        <v>9322</v>
      </c>
      <c r="K1130">
        <v>231</v>
      </c>
      <c r="L1130" t="s">
        <v>108</v>
      </c>
      <c r="M1130">
        <v>44</v>
      </c>
      <c r="N1130" t="str">
        <f>HYPERLINK("Gene1491-zp_tree_all.dnd", "Gene1491-tree")</f>
        <v>Gene1491-tree</v>
      </c>
      <c r="O1130">
        <v>5</v>
      </c>
      <c r="P1130">
        <v>5</v>
      </c>
      <c r="Q1130">
        <v>5</v>
      </c>
      <c r="R1130">
        <v>5</v>
      </c>
      <c r="S1130">
        <v>0.5</v>
      </c>
      <c r="T1130" t="s">
        <v>199</v>
      </c>
      <c r="U1130" t="s">
        <v>199</v>
      </c>
      <c r="V1130" t="s">
        <v>62</v>
      </c>
      <c r="W1130" t="s">
        <v>62</v>
      </c>
      <c r="X1130">
        <v>2</v>
      </c>
      <c r="Y1130">
        <v>4</v>
      </c>
      <c r="Z1130">
        <v>7</v>
      </c>
      <c r="AA1130">
        <v>0.36364000000000002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</v>
      </c>
      <c r="AH1130">
        <v>0</v>
      </c>
      <c r="AI1130">
        <v>2</v>
      </c>
      <c r="AJ1130">
        <v>7</v>
      </c>
      <c r="AK1130">
        <v>0.22222</v>
      </c>
      <c r="AL1130">
        <v>7</v>
      </c>
      <c r="AM1130">
        <v>4</v>
      </c>
      <c r="AN1130">
        <v>25</v>
      </c>
      <c r="AO1130">
        <v>10</v>
      </c>
      <c r="AP1130">
        <v>9</v>
      </c>
      <c r="AQ1130">
        <v>2</v>
      </c>
      <c r="AR1130" t="s">
        <v>9323</v>
      </c>
      <c r="AS1130" t="s">
        <v>9324</v>
      </c>
      <c r="AT1130">
        <v>0.38</v>
      </c>
      <c r="AU1130" t="s">
        <v>65</v>
      </c>
      <c r="AV1130">
        <v>34</v>
      </c>
      <c r="AW1130">
        <v>12</v>
      </c>
      <c r="AX1130" t="s">
        <v>9325</v>
      </c>
      <c r="AY1130">
        <v>4.8349999999999997E-2</v>
      </c>
      <c r="AZ1130">
        <v>-4.3E-3</v>
      </c>
      <c r="BA1130">
        <v>4.9800000000000001E-3</v>
      </c>
      <c r="BB1130">
        <v>-5.1999999999999995E-4</v>
      </c>
      <c r="BC1130">
        <v>0.10299999999999999</v>
      </c>
      <c r="BD1130">
        <v>1</v>
      </c>
      <c r="BE1130" t="s">
        <v>69</v>
      </c>
      <c r="BF1130">
        <v>-0.995</v>
      </c>
      <c r="BG1130">
        <v>-2.1080000000000001</v>
      </c>
    </row>
    <row r="1131" spans="1:59">
      <c r="A1131">
        <v>0</v>
      </c>
      <c r="B1131">
        <v>2</v>
      </c>
      <c r="C1131">
        <v>1</v>
      </c>
      <c r="D1131" t="s">
        <v>25022</v>
      </c>
      <c r="E1131">
        <v>751</v>
      </c>
      <c r="F1131" t="s">
        <v>4671</v>
      </c>
      <c r="G1131" t="s">
        <v>57</v>
      </c>
      <c r="H1131">
        <v>784381</v>
      </c>
      <c r="I1131">
        <v>785073</v>
      </c>
      <c r="J1131" t="s">
        <v>4672</v>
      </c>
      <c r="K1131">
        <v>231</v>
      </c>
      <c r="L1131" t="s">
        <v>3401</v>
      </c>
      <c r="M1131">
        <v>42</v>
      </c>
      <c r="N1131" t="str">
        <f>HYPERLINK("Gene751-zp_tree_all.dnd", "Gene751-tree")</f>
        <v>Gene751-tree</v>
      </c>
      <c r="O1131">
        <v>8</v>
      </c>
      <c r="P1131">
        <v>4</v>
      </c>
      <c r="Q1131">
        <v>8</v>
      </c>
      <c r="R1131">
        <v>4</v>
      </c>
      <c r="S1131">
        <v>0.33333000000000002</v>
      </c>
      <c r="T1131" t="s">
        <v>136</v>
      </c>
      <c r="U1131" t="s">
        <v>61</v>
      </c>
      <c r="V1131" t="s">
        <v>62</v>
      </c>
      <c r="W1131" t="s">
        <v>62</v>
      </c>
      <c r="X1131">
        <v>1</v>
      </c>
      <c r="Y1131">
        <v>3</v>
      </c>
      <c r="Z1131">
        <v>9</v>
      </c>
      <c r="AA1131">
        <v>0.25</v>
      </c>
      <c r="AB1131">
        <v>0</v>
      </c>
      <c r="AC1131">
        <v>0</v>
      </c>
      <c r="AD1131">
        <v>0</v>
      </c>
      <c r="AE1131">
        <v>3</v>
      </c>
      <c r="AF1131">
        <v>0</v>
      </c>
      <c r="AG1131">
        <v>2</v>
      </c>
      <c r="AH1131">
        <v>0</v>
      </c>
      <c r="AI1131">
        <v>2</v>
      </c>
      <c r="AJ1131">
        <v>3</v>
      </c>
      <c r="AK1131">
        <v>0.4</v>
      </c>
      <c r="AL1131">
        <v>8</v>
      </c>
      <c r="AM1131">
        <v>8</v>
      </c>
      <c r="AN1131">
        <v>29</v>
      </c>
      <c r="AO1131">
        <v>6</v>
      </c>
      <c r="AP1131">
        <v>46</v>
      </c>
      <c r="AQ1131">
        <v>8</v>
      </c>
      <c r="AR1131" t="s">
        <v>4673</v>
      </c>
      <c r="AS1131" t="s">
        <v>4674</v>
      </c>
      <c r="AT1131">
        <v>0.22800000000000001</v>
      </c>
      <c r="AU1131" t="s">
        <v>65</v>
      </c>
      <c r="AV1131">
        <v>75</v>
      </c>
      <c r="AW1131">
        <v>14</v>
      </c>
      <c r="AX1131" t="s">
        <v>4675</v>
      </c>
      <c r="AY1131">
        <v>0.12479</v>
      </c>
      <c r="AZ1131">
        <v>-6.5900000000000004E-3</v>
      </c>
      <c r="BA1131">
        <v>8.4799999999999997E-3</v>
      </c>
      <c r="BB1131">
        <v>-6.4999999999999997E-4</v>
      </c>
      <c r="BC1131">
        <v>6.7930000000000004E-2</v>
      </c>
      <c r="BD1131">
        <v>1</v>
      </c>
      <c r="BE1131" t="s">
        <v>69</v>
      </c>
      <c r="BF1131">
        <v>1.4350000000000001</v>
      </c>
      <c r="BG1131">
        <v>0.65800000000000003</v>
      </c>
    </row>
    <row r="1132" spans="1:59">
      <c r="A1132">
        <v>0</v>
      </c>
      <c r="B1132">
        <v>2</v>
      </c>
      <c r="C1132">
        <v>2</v>
      </c>
      <c r="D1132" t="s">
        <v>25022</v>
      </c>
      <c r="E1132">
        <v>2920</v>
      </c>
      <c r="F1132" t="s">
        <v>16814</v>
      </c>
      <c r="G1132" t="s">
        <v>62</v>
      </c>
      <c r="H1132">
        <v>2861843</v>
      </c>
      <c r="I1132">
        <v>2862535</v>
      </c>
      <c r="J1132" t="s">
        <v>16815</v>
      </c>
      <c r="K1132">
        <v>231</v>
      </c>
      <c r="L1132" t="s">
        <v>16816</v>
      </c>
      <c r="M1132">
        <v>47</v>
      </c>
      <c r="N1132" t="str">
        <f>HYPERLINK("Gene2920-zp_tree_all.dnd", "Gene2920-tree")</f>
        <v>Gene2920-tree</v>
      </c>
      <c r="O1132">
        <v>11</v>
      </c>
      <c r="P1132">
        <v>3</v>
      </c>
      <c r="Q1132">
        <v>11</v>
      </c>
      <c r="R1132">
        <v>3</v>
      </c>
      <c r="S1132">
        <v>0.21429000000000001</v>
      </c>
      <c r="T1132" t="s">
        <v>73</v>
      </c>
      <c r="U1132" t="s">
        <v>324</v>
      </c>
      <c r="V1132" t="s">
        <v>62</v>
      </c>
      <c r="W1132" t="s">
        <v>62</v>
      </c>
      <c r="X1132">
        <v>2</v>
      </c>
      <c r="Y1132">
        <v>4</v>
      </c>
      <c r="Z1132">
        <v>7</v>
      </c>
      <c r="AA1132">
        <v>0.36364000000000002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3</v>
      </c>
      <c r="AK1132">
        <v>0</v>
      </c>
      <c r="AL1132">
        <v>10</v>
      </c>
      <c r="AM1132">
        <v>7</v>
      </c>
      <c r="AN1132">
        <v>38</v>
      </c>
      <c r="AO1132">
        <v>3</v>
      </c>
      <c r="AP1132">
        <v>25</v>
      </c>
      <c r="AQ1132">
        <v>8</v>
      </c>
      <c r="AR1132" t="s">
        <v>16817</v>
      </c>
      <c r="AS1132" t="s">
        <v>16818</v>
      </c>
      <c r="AT1132">
        <v>0.54100000000000004</v>
      </c>
      <c r="AU1132" t="s">
        <v>65</v>
      </c>
      <c r="AV1132">
        <v>63</v>
      </c>
      <c r="AW1132">
        <v>11</v>
      </c>
      <c r="AX1132" t="s">
        <v>16819</v>
      </c>
      <c r="AY1132">
        <v>8.7309999999999999E-2</v>
      </c>
      <c r="AZ1132">
        <v>-8.0000000000000002E-3</v>
      </c>
      <c r="BA1132">
        <v>5.3699999999999998E-3</v>
      </c>
      <c r="BB1132">
        <v>-4.4999999999999999E-4</v>
      </c>
      <c r="BC1132">
        <v>6.1559999999999997E-2</v>
      </c>
      <c r="BD1132">
        <v>1</v>
      </c>
      <c r="BE1132" t="s">
        <v>69</v>
      </c>
      <c r="BF1132">
        <v>-1.649</v>
      </c>
      <c r="BG1132">
        <v>-1.3</v>
      </c>
    </row>
    <row r="1133" spans="1:59">
      <c r="A1133">
        <v>0</v>
      </c>
      <c r="B1133">
        <v>7</v>
      </c>
      <c r="C1133">
        <v>1</v>
      </c>
      <c r="D1133" t="s">
        <v>25022</v>
      </c>
      <c r="E1133">
        <v>2839</v>
      </c>
      <c r="F1133" t="s">
        <v>16305</v>
      </c>
      <c r="G1133" t="s">
        <v>62</v>
      </c>
      <c r="H1133">
        <v>2787133</v>
      </c>
      <c r="I1133">
        <v>2787825</v>
      </c>
      <c r="J1133" t="s">
        <v>16306</v>
      </c>
      <c r="K1133">
        <v>231</v>
      </c>
      <c r="L1133" t="s">
        <v>160</v>
      </c>
      <c r="M1133">
        <v>45</v>
      </c>
      <c r="N1133" t="str">
        <f>HYPERLINK("Gene2839-zp_tree_all.dnd", "Gene2839-tree")</f>
        <v>Gene2839-tree</v>
      </c>
      <c r="O1133">
        <v>5</v>
      </c>
      <c r="P1133">
        <v>9</v>
      </c>
      <c r="Q1133">
        <v>5</v>
      </c>
      <c r="R1133">
        <v>9</v>
      </c>
      <c r="S1133">
        <v>0.64285999999999999</v>
      </c>
      <c r="T1133" t="s">
        <v>199</v>
      </c>
      <c r="U1133" t="s">
        <v>135</v>
      </c>
      <c r="V1133" t="s">
        <v>62</v>
      </c>
      <c r="W1133" t="s">
        <v>62</v>
      </c>
      <c r="X1133">
        <v>3</v>
      </c>
      <c r="Y1133">
        <v>8</v>
      </c>
      <c r="Z1133">
        <v>7</v>
      </c>
      <c r="AA1133">
        <v>0.53332999999999997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5</v>
      </c>
      <c r="AH1133">
        <v>1</v>
      </c>
      <c r="AI1133">
        <v>6</v>
      </c>
      <c r="AJ1133">
        <v>7</v>
      </c>
      <c r="AK1133">
        <v>0.46154000000000001</v>
      </c>
      <c r="AL1133">
        <v>13</v>
      </c>
      <c r="AM1133">
        <v>7</v>
      </c>
      <c r="AN1133">
        <v>43</v>
      </c>
      <c r="AO1133">
        <v>13</v>
      </c>
      <c r="AP1133">
        <v>15</v>
      </c>
      <c r="AQ1133">
        <v>2</v>
      </c>
      <c r="AR1133" t="s">
        <v>16307</v>
      </c>
      <c r="AS1133" t="s">
        <v>16308</v>
      </c>
      <c r="AT1133">
        <v>0.436</v>
      </c>
      <c r="AU1133" t="s">
        <v>65</v>
      </c>
      <c r="AV1133">
        <v>58</v>
      </c>
      <c r="AW1133">
        <v>15</v>
      </c>
      <c r="AX1133" t="s">
        <v>16309</v>
      </c>
      <c r="AY1133">
        <v>7.0550000000000002E-2</v>
      </c>
      <c r="AZ1133">
        <v>-5.4200000000000003E-3</v>
      </c>
      <c r="BA1133">
        <v>4.1000000000000003E-3</v>
      </c>
      <c r="BB1133">
        <v>-3.2000000000000003E-4</v>
      </c>
      <c r="BC1133">
        <v>5.8130000000000001E-2</v>
      </c>
      <c r="BD1133">
        <v>1</v>
      </c>
      <c r="BE1133" t="s">
        <v>69</v>
      </c>
      <c r="BF1133">
        <v>-1.3879999999999999</v>
      </c>
      <c r="BG1133">
        <v>-3.2090000000000001</v>
      </c>
    </row>
    <row r="1134" spans="1:59">
      <c r="A1134">
        <v>0</v>
      </c>
      <c r="B1134">
        <v>0</v>
      </c>
      <c r="C1134">
        <v>0</v>
      </c>
      <c r="D1134" t="s">
        <v>25022</v>
      </c>
      <c r="E1134">
        <v>3006</v>
      </c>
      <c r="F1134" t="s">
        <v>17361</v>
      </c>
      <c r="G1134" t="s">
        <v>62</v>
      </c>
      <c r="H1134">
        <v>2954495</v>
      </c>
      <c r="I1134">
        <v>2955187</v>
      </c>
      <c r="J1134" t="s">
        <v>17362</v>
      </c>
      <c r="K1134">
        <v>231</v>
      </c>
      <c r="L1134" t="s">
        <v>108</v>
      </c>
      <c r="M1134">
        <v>44</v>
      </c>
      <c r="N1134" t="str">
        <f>HYPERLINK("Gene3006-zp_tree_all.dnd", "Gene3006-tree")</f>
        <v>Gene3006-tree</v>
      </c>
      <c r="O1134">
        <v>12</v>
      </c>
      <c r="P1134">
        <v>1</v>
      </c>
      <c r="Q1134">
        <v>12</v>
      </c>
      <c r="R1134">
        <v>1</v>
      </c>
      <c r="S1134">
        <v>7.6920000000000002E-2</v>
      </c>
      <c r="T1134" t="s">
        <v>109</v>
      </c>
      <c r="U1134" t="s">
        <v>175</v>
      </c>
      <c r="V1134" t="s">
        <v>62</v>
      </c>
      <c r="W1134" t="s">
        <v>62</v>
      </c>
      <c r="X1134">
        <v>0</v>
      </c>
      <c r="Y1134">
        <v>0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</v>
      </c>
      <c r="AK1134">
        <v>0</v>
      </c>
      <c r="AL1134">
        <v>10</v>
      </c>
      <c r="AM1134">
        <v>6</v>
      </c>
      <c r="AN1134">
        <v>17</v>
      </c>
      <c r="AO1134">
        <v>2</v>
      </c>
      <c r="AP1134">
        <v>7</v>
      </c>
      <c r="AQ1134">
        <v>0</v>
      </c>
      <c r="AR1134" t="s">
        <v>17363</v>
      </c>
      <c r="AS1134" t="s">
        <v>193</v>
      </c>
      <c r="AT1134">
        <v>0.33300000000000002</v>
      </c>
      <c r="AU1134" t="s">
        <v>65</v>
      </c>
      <c r="AV1134">
        <v>24</v>
      </c>
      <c r="AW1134">
        <v>2</v>
      </c>
      <c r="AX1134" t="s">
        <v>17364</v>
      </c>
      <c r="AY1134">
        <v>2.9569999999999999E-2</v>
      </c>
      <c r="AZ1134">
        <v>-1.4499999999999999E-3</v>
      </c>
      <c r="BA1134">
        <v>5.9000000000000003E-4</v>
      </c>
      <c r="BB1134">
        <v>-1.6000000000000001E-4</v>
      </c>
      <c r="BC1134">
        <v>1.9959999999999999E-2</v>
      </c>
      <c r="BD1134">
        <v>1</v>
      </c>
      <c r="BE1134" t="s">
        <v>69</v>
      </c>
      <c r="BF1134">
        <v>-1.0389999999999999</v>
      </c>
      <c r="BG1134">
        <v>-1.46</v>
      </c>
    </row>
    <row r="1135" spans="1:59">
      <c r="A1135">
        <v>0</v>
      </c>
      <c r="B1135">
        <v>0</v>
      </c>
      <c r="C1135">
        <v>0</v>
      </c>
      <c r="D1135" t="s">
        <v>25022</v>
      </c>
      <c r="E1135">
        <v>3157</v>
      </c>
      <c r="F1135" t="s">
        <v>18346</v>
      </c>
      <c r="G1135" t="s">
        <v>62</v>
      </c>
      <c r="H1135">
        <v>3115282</v>
      </c>
      <c r="I1135">
        <v>3115974</v>
      </c>
      <c r="J1135" t="s">
        <v>18347</v>
      </c>
      <c r="K1135">
        <v>231</v>
      </c>
      <c r="L1135" t="s">
        <v>108</v>
      </c>
      <c r="M1135">
        <v>44</v>
      </c>
      <c r="N1135" t="str">
        <f>HYPERLINK("Gene3157-zp_tree_all.dnd", "Gene3157-tree")</f>
        <v>Gene3157-tree</v>
      </c>
      <c r="O1135">
        <v>12</v>
      </c>
      <c r="P1135">
        <v>1</v>
      </c>
      <c r="Q1135">
        <v>12</v>
      </c>
      <c r="R1135">
        <v>1</v>
      </c>
      <c r="S1135">
        <v>7.6920000000000002E-2</v>
      </c>
      <c r="T1135" t="s">
        <v>109</v>
      </c>
      <c r="U1135" t="s">
        <v>175</v>
      </c>
      <c r="V1135" t="s">
        <v>62</v>
      </c>
      <c r="W1135" t="s">
        <v>62</v>
      </c>
      <c r="X1135">
        <v>0</v>
      </c>
      <c r="Y1135">
        <v>0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9</v>
      </c>
      <c r="AM1135">
        <v>9</v>
      </c>
      <c r="AN1135">
        <v>41</v>
      </c>
      <c r="AO1135">
        <v>1</v>
      </c>
      <c r="AP1135">
        <v>34</v>
      </c>
      <c r="AQ1135">
        <v>1</v>
      </c>
      <c r="AR1135" t="s">
        <v>18348</v>
      </c>
      <c r="AS1135" t="s">
        <v>18349</v>
      </c>
      <c r="AT1135">
        <v>5.0999999999999997E-2</v>
      </c>
      <c r="AU1135" t="s">
        <v>65</v>
      </c>
      <c r="AV1135">
        <v>75</v>
      </c>
      <c r="AW1135">
        <v>2</v>
      </c>
      <c r="AX1135" t="s">
        <v>18350</v>
      </c>
      <c r="AY1135">
        <v>9.3560000000000004E-2</v>
      </c>
      <c r="AZ1135">
        <v>-4.3200000000000001E-3</v>
      </c>
      <c r="BA1135">
        <v>1.16E-3</v>
      </c>
      <c r="BB1135">
        <v>-1.2E-4</v>
      </c>
      <c r="BC1135">
        <v>1.2370000000000001E-2</v>
      </c>
      <c r="BD1135">
        <v>1</v>
      </c>
      <c r="BE1135" t="s">
        <v>69</v>
      </c>
      <c r="BF1135">
        <v>0.124</v>
      </c>
      <c r="BG1135">
        <v>0.14599999999999999</v>
      </c>
    </row>
    <row r="1136" spans="1:59">
      <c r="A1136">
        <v>0</v>
      </c>
      <c r="B1136">
        <v>0</v>
      </c>
      <c r="C1136">
        <v>0</v>
      </c>
      <c r="D1136" t="s">
        <v>25022</v>
      </c>
      <c r="E1136">
        <v>287</v>
      </c>
      <c r="F1136" t="s">
        <v>1960</v>
      </c>
      <c r="G1136" t="s">
        <v>57</v>
      </c>
      <c r="H1136">
        <v>309347</v>
      </c>
      <c r="I1136">
        <v>310039</v>
      </c>
      <c r="J1136" t="s">
        <v>1961</v>
      </c>
      <c r="K1136">
        <v>231</v>
      </c>
      <c r="L1136" t="s">
        <v>72</v>
      </c>
      <c r="M1136">
        <v>45</v>
      </c>
      <c r="N1136" t="str">
        <f>HYPERLINK("Gene287-zp_tree_all.dnd", "Gene287-tree")</f>
        <v>Gene287-tree</v>
      </c>
      <c r="O1136">
        <v>11</v>
      </c>
      <c r="P1136">
        <v>2</v>
      </c>
      <c r="Q1136">
        <v>11</v>
      </c>
      <c r="R1136">
        <v>2</v>
      </c>
      <c r="S1136">
        <v>0.15384999999999999</v>
      </c>
      <c r="T1136" t="s">
        <v>73</v>
      </c>
      <c r="U1136" t="s">
        <v>81</v>
      </c>
      <c r="V1136" t="s">
        <v>62</v>
      </c>
      <c r="W1136" t="s">
        <v>62</v>
      </c>
      <c r="X1136">
        <v>0</v>
      </c>
      <c r="Y1136">
        <v>0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</v>
      </c>
      <c r="AK1136">
        <v>0</v>
      </c>
      <c r="AL1136">
        <v>9</v>
      </c>
      <c r="AM1136">
        <v>5</v>
      </c>
      <c r="AN1136">
        <v>45</v>
      </c>
      <c r="AO1136">
        <v>2</v>
      </c>
      <c r="AP1136">
        <v>6</v>
      </c>
      <c r="AQ1136">
        <v>0</v>
      </c>
      <c r="AR1136" t="s">
        <v>1962</v>
      </c>
      <c r="AS1136" t="s">
        <v>193</v>
      </c>
      <c r="AT1136">
        <v>0.42799999999999999</v>
      </c>
      <c r="AU1136" t="s">
        <v>65</v>
      </c>
      <c r="AV1136">
        <v>51</v>
      </c>
      <c r="AW1136">
        <v>2</v>
      </c>
      <c r="AX1136" t="s">
        <v>1963</v>
      </c>
      <c r="AY1136">
        <v>6.515E-2</v>
      </c>
      <c r="AZ1136">
        <v>-9.5700000000000004E-3</v>
      </c>
      <c r="BA1136">
        <v>5.6999999999999998E-4</v>
      </c>
      <c r="BB1136">
        <v>-1E-4</v>
      </c>
      <c r="BC1136">
        <v>8.7299999999999999E-3</v>
      </c>
      <c r="BD1136">
        <v>1</v>
      </c>
      <c r="BE1136" t="s">
        <v>69</v>
      </c>
      <c r="BF1136">
        <v>-1.6220000000000001</v>
      </c>
      <c r="BG1136">
        <v>-4.4960000000000004</v>
      </c>
    </row>
    <row r="1137" spans="1:59">
      <c r="A1137">
        <v>2</v>
      </c>
      <c r="B1137">
        <v>17</v>
      </c>
      <c r="C1137">
        <v>5</v>
      </c>
      <c r="D1137" t="s">
        <v>25022</v>
      </c>
      <c r="E1137">
        <v>739</v>
      </c>
      <c r="F1137" t="s">
        <v>4582</v>
      </c>
      <c r="G1137" t="s">
        <v>57</v>
      </c>
      <c r="H1137">
        <v>768137</v>
      </c>
      <c r="I1137">
        <v>768832</v>
      </c>
      <c r="J1137" t="s">
        <v>4583</v>
      </c>
      <c r="K1137">
        <v>232</v>
      </c>
      <c r="L1137" t="s">
        <v>3401</v>
      </c>
      <c r="M1137">
        <v>42</v>
      </c>
      <c r="N1137" t="str">
        <f>HYPERLINK("Gene739-zp_tree_all.dnd", "Gene739-tree")</f>
        <v>Gene739-tree</v>
      </c>
      <c r="O1137">
        <v>2</v>
      </c>
      <c r="P1137">
        <v>13</v>
      </c>
      <c r="Q1137">
        <v>2</v>
      </c>
      <c r="R1137">
        <v>13</v>
      </c>
      <c r="S1137">
        <v>0.86667000000000005</v>
      </c>
      <c r="T1137" t="s">
        <v>81</v>
      </c>
      <c r="U1137" t="s">
        <v>507</v>
      </c>
      <c r="V1137" t="s">
        <v>62</v>
      </c>
      <c r="W1137" t="s">
        <v>62</v>
      </c>
      <c r="X1137">
        <v>9</v>
      </c>
      <c r="Y1137">
        <v>24</v>
      </c>
      <c r="Z1137">
        <v>11</v>
      </c>
      <c r="AA1137">
        <v>0.68571000000000004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10</v>
      </c>
      <c r="AH1137">
        <v>4</v>
      </c>
      <c r="AI1137">
        <v>14</v>
      </c>
      <c r="AJ1137">
        <v>11</v>
      </c>
      <c r="AK1137">
        <v>0.56000000000000005</v>
      </c>
      <c r="AL1137">
        <v>15</v>
      </c>
      <c r="AM1137">
        <v>11</v>
      </c>
      <c r="AN1137">
        <v>29</v>
      </c>
      <c r="AO1137">
        <v>25</v>
      </c>
      <c r="AP1137">
        <v>19</v>
      </c>
      <c r="AQ1137">
        <v>10</v>
      </c>
      <c r="AR1137" t="s">
        <v>4584</v>
      </c>
      <c r="AS1137" t="s">
        <v>4585</v>
      </c>
      <c r="AT1137">
        <v>0.84699999999999998</v>
      </c>
      <c r="AU1137" t="s">
        <v>65</v>
      </c>
      <c r="AV1137">
        <v>48</v>
      </c>
      <c r="AW1137">
        <v>35</v>
      </c>
      <c r="AX1137" t="s">
        <v>4586</v>
      </c>
      <c r="AY1137">
        <v>4.8829999999999998E-2</v>
      </c>
      <c r="AZ1137">
        <v>-1.8699999999999999E-3</v>
      </c>
      <c r="BA1137">
        <v>1.095E-2</v>
      </c>
      <c r="BB1137">
        <v>-3.6999999999999999E-4</v>
      </c>
      <c r="BC1137">
        <v>0.22422</v>
      </c>
      <c r="BD1137">
        <v>1</v>
      </c>
      <c r="BE1137" t="s">
        <v>69</v>
      </c>
      <c r="BF1137">
        <v>-0.66400000000000003</v>
      </c>
      <c r="BG1137">
        <v>-0.99299999999999999</v>
      </c>
    </row>
    <row r="1138" spans="1:59">
      <c r="A1138">
        <v>0</v>
      </c>
      <c r="B1138">
        <v>4</v>
      </c>
      <c r="C1138">
        <v>3</v>
      </c>
      <c r="D1138" t="s">
        <v>25022</v>
      </c>
      <c r="E1138">
        <v>90</v>
      </c>
      <c r="F1138" t="s">
        <v>711</v>
      </c>
      <c r="G1138" t="s">
        <v>57</v>
      </c>
      <c r="H1138">
        <v>109789</v>
      </c>
      <c r="I1138">
        <v>110484</v>
      </c>
      <c r="J1138" t="s">
        <v>712</v>
      </c>
      <c r="K1138">
        <v>232</v>
      </c>
      <c r="L1138" t="s">
        <v>289</v>
      </c>
      <c r="M1138">
        <v>46</v>
      </c>
      <c r="N1138" t="str">
        <f>HYPERLINK("Gene90-zp_tree_all.dnd", "Gene90-tree")</f>
        <v>Gene90-tree</v>
      </c>
      <c r="O1138">
        <v>10</v>
      </c>
      <c r="P1138">
        <v>6</v>
      </c>
      <c r="Q1138">
        <v>10</v>
      </c>
      <c r="R1138">
        <v>6</v>
      </c>
      <c r="S1138">
        <v>0.375</v>
      </c>
      <c r="T1138" t="s">
        <v>117</v>
      </c>
      <c r="U1138" t="s">
        <v>90</v>
      </c>
      <c r="V1138" t="s">
        <v>62</v>
      </c>
      <c r="W1138" t="s">
        <v>62</v>
      </c>
      <c r="X1138">
        <v>3</v>
      </c>
      <c r="Y1138">
        <v>7</v>
      </c>
      <c r="Z1138">
        <v>11</v>
      </c>
      <c r="AA1138">
        <v>0.38889000000000001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2</v>
      </c>
      <c r="AI1138">
        <v>2</v>
      </c>
      <c r="AJ1138">
        <v>5</v>
      </c>
      <c r="AK1138">
        <v>0.28571000000000002</v>
      </c>
      <c r="AL1138">
        <v>13</v>
      </c>
      <c r="AM1138">
        <v>9</v>
      </c>
      <c r="AN1138">
        <v>13</v>
      </c>
      <c r="AO1138">
        <v>7</v>
      </c>
      <c r="AP1138">
        <v>28</v>
      </c>
      <c r="AQ1138">
        <v>11</v>
      </c>
      <c r="AR1138" t="s">
        <v>713</v>
      </c>
      <c r="AS1138" t="s">
        <v>714</v>
      </c>
      <c r="AT1138">
        <v>0.23300000000000001</v>
      </c>
      <c r="AU1138" t="s">
        <v>65</v>
      </c>
      <c r="AV1138">
        <v>41</v>
      </c>
      <c r="AW1138">
        <v>18</v>
      </c>
      <c r="AX1138" t="s">
        <v>715</v>
      </c>
      <c r="AY1138">
        <v>5.4519999999999999E-2</v>
      </c>
      <c r="AZ1138">
        <v>-5.1500000000000001E-3</v>
      </c>
      <c r="BA1138">
        <v>7.1000000000000004E-3</v>
      </c>
      <c r="BB1138">
        <v>-5.9999999999999995E-4</v>
      </c>
      <c r="BC1138">
        <v>0.13019</v>
      </c>
      <c r="BD1138">
        <v>1</v>
      </c>
      <c r="BE1138" t="s">
        <v>69</v>
      </c>
      <c r="BF1138">
        <v>-1.304</v>
      </c>
      <c r="BG1138">
        <v>0.307</v>
      </c>
    </row>
    <row r="1139" spans="1:59">
      <c r="A1139">
        <v>0</v>
      </c>
      <c r="B1139">
        <v>4</v>
      </c>
      <c r="C1139">
        <v>1</v>
      </c>
      <c r="D1139" t="s">
        <v>25022</v>
      </c>
      <c r="E1139">
        <v>1933</v>
      </c>
      <c r="F1139" t="s">
        <v>12114</v>
      </c>
      <c r="G1139" t="s">
        <v>62</v>
      </c>
      <c r="H1139">
        <v>2032930</v>
      </c>
      <c r="I1139">
        <v>2033625</v>
      </c>
      <c r="J1139" t="s">
        <v>12115</v>
      </c>
      <c r="K1139">
        <v>232</v>
      </c>
      <c r="L1139" t="s">
        <v>1907</v>
      </c>
      <c r="M1139">
        <v>38</v>
      </c>
      <c r="N1139" t="str">
        <f>HYPERLINK("Gene1933-zp_tree_all.dnd", "Gene1933-tree")</f>
        <v>Gene1933-tree</v>
      </c>
      <c r="O1139">
        <v>4</v>
      </c>
      <c r="P1139">
        <v>7</v>
      </c>
      <c r="Q1139">
        <v>4</v>
      </c>
      <c r="R1139">
        <v>7</v>
      </c>
      <c r="S1139">
        <v>0.63636000000000004</v>
      </c>
      <c r="T1139" t="s">
        <v>61</v>
      </c>
      <c r="U1139" t="s">
        <v>152</v>
      </c>
      <c r="V1139" t="s">
        <v>62</v>
      </c>
      <c r="W1139" t="s">
        <v>62</v>
      </c>
      <c r="X1139">
        <v>1</v>
      </c>
      <c r="Y1139">
        <v>5</v>
      </c>
      <c r="Z1139">
        <v>9</v>
      </c>
      <c r="AA1139">
        <v>0.35714000000000001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2</v>
      </c>
      <c r="AH1139">
        <v>1</v>
      </c>
      <c r="AI1139">
        <v>3</v>
      </c>
      <c r="AJ1139">
        <v>9</v>
      </c>
      <c r="AK1139">
        <v>0.25</v>
      </c>
      <c r="AL1139">
        <v>10</v>
      </c>
      <c r="AM1139">
        <v>5</v>
      </c>
      <c r="AN1139">
        <v>18</v>
      </c>
      <c r="AO1139">
        <v>12</v>
      </c>
      <c r="AP1139">
        <v>5</v>
      </c>
      <c r="AQ1139">
        <v>2</v>
      </c>
      <c r="AR1139" t="s">
        <v>12116</v>
      </c>
      <c r="AS1139" t="s">
        <v>12117</v>
      </c>
      <c r="AT1139">
        <v>0.76600000000000001</v>
      </c>
      <c r="AU1139" t="s">
        <v>65</v>
      </c>
      <c r="AV1139">
        <v>23</v>
      </c>
      <c r="AW1139">
        <v>14</v>
      </c>
      <c r="AX1139" t="s">
        <v>12118</v>
      </c>
      <c r="AY1139">
        <v>3.0970000000000001E-2</v>
      </c>
      <c r="AZ1139">
        <v>-1.6800000000000001E-3</v>
      </c>
      <c r="BA1139">
        <v>3.7499999999999999E-3</v>
      </c>
      <c r="BB1139">
        <v>-3.8000000000000002E-4</v>
      </c>
      <c r="BC1139">
        <v>0.12105</v>
      </c>
      <c r="BD1139">
        <v>1</v>
      </c>
      <c r="BE1139" t="s">
        <v>69</v>
      </c>
      <c r="BF1139">
        <v>-1.3919999999999999</v>
      </c>
      <c r="BG1139">
        <v>-1.9730000000000001</v>
      </c>
    </row>
    <row r="1140" spans="1:59">
      <c r="A1140">
        <v>0</v>
      </c>
      <c r="B1140">
        <v>0</v>
      </c>
      <c r="C1140">
        <v>0</v>
      </c>
      <c r="D1140" t="s">
        <v>25022</v>
      </c>
      <c r="E1140">
        <v>942</v>
      </c>
      <c r="F1140" t="s">
        <v>5902</v>
      </c>
      <c r="G1140" t="s">
        <v>57</v>
      </c>
      <c r="H1140">
        <v>981604</v>
      </c>
      <c r="I1140">
        <v>982299</v>
      </c>
      <c r="J1140" t="s">
        <v>5903</v>
      </c>
      <c r="K1140">
        <v>232</v>
      </c>
      <c r="L1140" t="s">
        <v>5904</v>
      </c>
      <c r="M1140">
        <v>42</v>
      </c>
      <c r="N1140" t="str">
        <f>HYPERLINK("Gene942-zp_tree_all.dnd", "Gene942-tree")</f>
        <v>Gene942-tree</v>
      </c>
      <c r="O1140">
        <v>7</v>
      </c>
      <c r="P1140">
        <v>4</v>
      </c>
      <c r="Q1140">
        <v>7</v>
      </c>
      <c r="R1140">
        <v>4</v>
      </c>
      <c r="S1140">
        <v>0.36364000000000002</v>
      </c>
      <c r="T1140" t="s">
        <v>152</v>
      </c>
      <c r="U1140" t="s">
        <v>61</v>
      </c>
      <c r="V1140" t="s">
        <v>62</v>
      </c>
      <c r="W1140" t="s">
        <v>62</v>
      </c>
      <c r="X1140">
        <v>0</v>
      </c>
      <c r="Y1140">
        <v>0</v>
      </c>
      <c r="Z1140">
        <v>6</v>
      </c>
      <c r="AA1140">
        <v>0</v>
      </c>
      <c r="AB1140">
        <v>0</v>
      </c>
      <c r="AC1140">
        <v>0</v>
      </c>
      <c r="AD1140">
        <v>0</v>
      </c>
      <c r="AE1140">
        <v>2</v>
      </c>
      <c r="AF1140">
        <v>0</v>
      </c>
      <c r="AG1140">
        <v>0</v>
      </c>
      <c r="AH1140">
        <v>0</v>
      </c>
      <c r="AI1140">
        <v>0</v>
      </c>
      <c r="AJ1140">
        <v>4</v>
      </c>
      <c r="AK1140">
        <v>0</v>
      </c>
      <c r="AL1140">
        <v>7</v>
      </c>
      <c r="AM1140">
        <v>4</v>
      </c>
      <c r="AN1140">
        <v>14</v>
      </c>
      <c r="AO1140">
        <v>4</v>
      </c>
      <c r="AP1140">
        <v>5</v>
      </c>
      <c r="AQ1140">
        <v>2</v>
      </c>
      <c r="AR1140" t="s">
        <v>5905</v>
      </c>
      <c r="AS1140" t="s">
        <v>5906</v>
      </c>
      <c r="AT1140">
        <v>0.17899999999999999</v>
      </c>
      <c r="AU1140" t="s">
        <v>65</v>
      </c>
      <c r="AV1140">
        <v>19</v>
      </c>
      <c r="AW1140">
        <v>6</v>
      </c>
      <c r="AX1140" t="s">
        <v>5907</v>
      </c>
      <c r="AY1140">
        <v>2.665E-2</v>
      </c>
      <c r="AZ1140">
        <v>-2.4599999999999999E-3</v>
      </c>
      <c r="BA1140">
        <v>2.5699999999999998E-3</v>
      </c>
      <c r="BB1140">
        <v>-2.4000000000000001E-4</v>
      </c>
      <c r="BC1140">
        <v>9.6430000000000002E-2</v>
      </c>
      <c r="BD1140">
        <v>1</v>
      </c>
      <c r="BE1140" t="s">
        <v>69</v>
      </c>
      <c r="BF1140">
        <v>-0.67800000000000005</v>
      </c>
      <c r="BG1140">
        <v>-2.67</v>
      </c>
    </row>
    <row r="1141" spans="1:59">
      <c r="A1141">
        <v>0</v>
      </c>
      <c r="B1141">
        <v>0</v>
      </c>
      <c r="C1141">
        <v>0</v>
      </c>
      <c r="D1141" t="s">
        <v>25022</v>
      </c>
      <c r="E1141">
        <v>103</v>
      </c>
      <c r="F1141" t="s">
        <v>795</v>
      </c>
      <c r="G1141" t="s">
        <v>57</v>
      </c>
      <c r="H1141">
        <v>119111</v>
      </c>
      <c r="I1141">
        <v>119806</v>
      </c>
      <c r="J1141" t="s">
        <v>796</v>
      </c>
      <c r="K1141">
        <v>232</v>
      </c>
      <c r="L1141" t="s">
        <v>59</v>
      </c>
      <c r="M1141">
        <v>49</v>
      </c>
      <c r="N1141" t="str">
        <f>HYPERLINK("Gene103-zp_tree_all.dnd", "Gene103-tree")</f>
        <v>Gene103-tree</v>
      </c>
      <c r="O1141">
        <v>14</v>
      </c>
      <c r="P1141">
        <v>2</v>
      </c>
      <c r="Q1141">
        <v>14</v>
      </c>
      <c r="R1141">
        <v>2</v>
      </c>
      <c r="S1141">
        <v>0.125</v>
      </c>
      <c r="T1141" t="s">
        <v>543</v>
      </c>
      <c r="U1141" t="s">
        <v>81</v>
      </c>
      <c r="V1141" t="s">
        <v>62</v>
      </c>
      <c r="W1141" t="s">
        <v>62</v>
      </c>
      <c r="X1141">
        <v>0</v>
      </c>
      <c r="Y1141">
        <v>0</v>
      </c>
      <c r="Z1141">
        <v>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4</v>
      </c>
      <c r="AK1141">
        <v>0</v>
      </c>
      <c r="AL1141">
        <v>10</v>
      </c>
      <c r="AM1141">
        <v>8</v>
      </c>
      <c r="AN1141">
        <v>32</v>
      </c>
      <c r="AO1141">
        <v>4</v>
      </c>
      <c r="AP1141">
        <v>16</v>
      </c>
      <c r="AQ1141">
        <v>1</v>
      </c>
      <c r="AR1141" t="s">
        <v>797</v>
      </c>
      <c r="AS1141" t="s">
        <v>798</v>
      </c>
      <c r="AT1141">
        <v>0.185</v>
      </c>
      <c r="AU1141" t="s">
        <v>65</v>
      </c>
      <c r="AV1141">
        <v>48</v>
      </c>
      <c r="AW1141">
        <v>5</v>
      </c>
      <c r="AX1141" t="s">
        <v>799</v>
      </c>
      <c r="AY1141">
        <v>5.7700000000000001E-2</v>
      </c>
      <c r="AZ1141">
        <v>-3.8899999999999998E-3</v>
      </c>
      <c r="BA1141">
        <v>1.91E-3</v>
      </c>
      <c r="BB1141">
        <v>-2.4000000000000001E-4</v>
      </c>
      <c r="BC1141">
        <v>3.3050000000000003E-2</v>
      </c>
      <c r="BD1141">
        <v>1</v>
      </c>
      <c r="BE1141" t="s">
        <v>69</v>
      </c>
      <c r="BF1141">
        <v>-1.746</v>
      </c>
      <c r="BG1141">
        <v>-2.78</v>
      </c>
    </row>
    <row r="1142" spans="1:59">
      <c r="A1142">
        <v>0</v>
      </c>
      <c r="B1142">
        <v>0</v>
      </c>
      <c r="C1142">
        <v>0</v>
      </c>
      <c r="D1142" t="s">
        <v>25022</v>
      </c>
      <c r="E1142">
        <v>2329</v>
      </c>
      <c r="F1142" t="s">
        <v>13505</v>
      </c>
      <c r="G1142" t="s">
        <v>62</v>
      </c>
      <c r="H1142">
        <v>2345436</v>
      </c>
      <c r="I1142">
        <v>2346131</v>
      </c>
      <c r="J1142" t="s">
        <v>13506</v>
      </c>
      <c r="K1142">
        <v>232</v>
      </c>
      <c r="L1142" t="s">
        <v>108</v>
      </c>
      <c r="M1142">
        <v>44</v>
      </c>
      <c r="N1142" t="str">
        <f>HYPERLINK("Gene2329-zp_tree_all.dnd", "Gene2329-tree")</f>
        <v>Gene2329-tree</v>
      </c>
      <c r="O1142">
        <v>11</v>
      </c>
      <c r="P1142">
        <v>1</v>
      </c>
      <c r="Q1142">
        <v>11</v>
      </c>
      <c r="R1142">
        <v>1</v>
      </c>
      <c r="S1142">
        <v>8.3330000000000001E-2</v>
      </c>
      <c r="T1142" t="s">
        <v>73</v>
      </c>
      <c r="U1142" t="s">
        <v>175</v>
      </c>
      <c r="V1142" t="s">
        <v>62</v>
      </c>
      <c r="W1142" t="s">
        <v>62</v>
      </c>
      <c r="X1142">
        <v>0</v>
      </c>
      <c r="Y1142">
        <v>0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8</v>
      </c>
      <c r="AM1142">
        <v>6</v>
      </c>
      <c r="AN1142">
        <v>18</v>
      </c>
      <c r="AO1142">
        <v>1</v>
      </c>
      <c r="AP1142">
        <v>7</v>
      </c>
      <c r="AQ1142">
        <v>1</v>
      </c>
      <c r="AR1142" t="s">
        <v>13507</v>
      </c>
      <c r="AS1142" t="s">
        <v>13508</v>
      </c>
      <c r="AT1142">
        <v>0.26500000000000001</v>
      </c>
      <c r="AU1142" t="s">
        <v>65</v>
      </c>
      <c r="AV1142">
        <v>25</v>
      </c>
      <c r="AW1142">
        <v>2</v>
      </c>
      <c r="AX1142" t="s">
        <v>13509</v>
      </c>
      <c r="AY1142">
        <v>4.19E-2</v>
      </c>
      <c r="AZ1142">
        <v>-2.3E-3</v>
      </c>
      <c r="BA1142">
        <v>1.0399999999999999E-3</v>
      </c>
      <c r="BB1142">
        <v>-1.4999999999999999E-4</v>
      </c>
      <c r="BC1142">
        <v>2.4840000000000001E-2</v>
      </c>
      <c r="BD1142">
        <v>1</v>
      </c>
      <c r="BE1142" t="s">
        <v>69</v>
      </c>
      <c r="BF1142">
        <v>-0.112</v>
      </c>
      <c r="BG1142">
        <v>-0.72399999999999998</v>
      </c>
    </row>
    <row r="1143" spans="1:59">
      <c r="A1143">
        <v>0</v>
      </c>
      <c r="B1143">
        <v>7</v>
      </c>
      <c r="C1143">
        <v>0</v>
      </c>
      <c r="D1143" t="s">
        <v>25022</v>
      </c>
      <c r="E1143">
        <v>1987</v>
      </c>
      <c r="F1143" t="s">
        <v>12374</v>
      </c>
      <c r="G1143" t="s">
        <v>62</v>
      </c>
      <c r="H1143">
        <v>2081756</v>
      </c>
      <c r="I1143">
        <v>2082454</v>
      </c>
      <c r="J1143" t="s">
        <v>3354</v>
      </c>
      <c r="K1143">
        <v>233</v>
      </c>
      <c r="L1143" t="s">
        <v>1196</v>
      </c>
      <c r="M1143">
        <v>39</v>
      </c>
      <c r="N1143" t="str">
        <f>HYPERLINK("Gene1987-zp_tree_all.dnd", "Gene1987-tree")</f>
        <v>Gene1987-tree</v>
      </c>
      <c r="O1143">
        <v>5</v>
      </c>
      <c r="P1143">
        <v>6</v>
      </c>
      <c r="Q1143">
        <v>5</v>
      </c>
      <c r="R1143">
        <v>6</v>
      </c>
      <c r="S1143">
        <v>0.54544999999999999</v>
      </c>
      <c r="T1143" t="s">
        <v>199</v>
      </c>
      <c r="U1143" t="s">
        <v>90</v>
      </c>
      <c r="V1143" t="s">
        <v>62</v>
      </c>
      <c r="W1143" t="s">
        <v>62</v>
      </c>
      <c r="X1143">
        <v>3</v>
      </c>
      <c r="Y1143">
        <v>7</v>
      </c>
      <c r="Z1143">
        <v>6</v>
      </c>
      <c r="AA1143">
        <v>0.53846000000000005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4</v>
      </c>
      <c r="AH1143">
        <v>0</v>
      </c>
      <c r="AI1143">
        <v>4</v>
      </c>
      <c r="AJ1143">
        <v>7</v>
      </c>
      <c r="AK1143">
        <v>0.36364000000000002</v>
      </c>
      <c r="AL1143">
        <v>9</v>
      </c>
      <c r="AM1143">
        <v>6</v>
      </c>
      <c r="AN1143">
        <v>12</v>
      </c>
      <c r="AO1143">
        <v>11</v>
      </c>
      <c r="AP1143">
        <v>9</v>
      </c>
      <c r="AQ1143">
        <v>3</v>
      </c>
      <c r="AR1143" t="s">
        <v>12375</v>
      </c>
      <c r="AS1143" t="s">
        <v>12376</v>
      </c>
      <c r="AT1143">
        <v>1.2110000000000001</v>
      </c>
      <c r="AU1143" t="s">
        <v>65</v>
      </c>
      <c r="AV1143">
        <v>21</v>
      </c>
      <c r="AW1143">
        <v>14</v>
      </c>
      <c r="AX1143" t="s">
        <v>12377</v>
      </c>
      <c r="AY1143">
        <v>3.1940000000000003E-2</v>
      </c>
      <c r="AZ1143">
        <v>-1.8400000000000001E-3</v>
      </c>
      <c r="BA1143">
        <v>5.1399999999999996E-3</v>
      </c>
      <c r="BB1143">
        <v>-4.0999999999999999E-4</v>
      </c>
      <c r="BC1143">
        <v>0.16087000000000001</v>
      </c>
      <c r="BD1143">
        <v>1</v>
      </c>
      <c r="BE1143" t="s">
        <v>69</v>
      </c>
      <c r="BF1143">
        <v>-0.57499999999999996</v>
      </c>
      <c r="BG1143">
        <v>-0.92200000000000004</v>
      </c>
    </row>
    <row r="1144" spans="1:59">
      <c r="A1144">
        <v>0</v>
      </c>
      <c r="B1144">
        <v>2</v>
      </c>
      <c r="C1144">
        <v>0</v>
      </c>
      <c r="D1144" t="s">
        <v>25022</v>
      </c>
      <c r="E1144">
        <v>2369</v>
      </c>
      <c r="F1144" t="s">
        <v>13775</v>
      </c>
      <c r="G1144" t="s">
        <v>62</v>
      </c>
      <c r="H1144">
        <v>2382910</v>
      </c>
      <c r="I1144">
        <v>2383608</v>
      </c>
      <c r="J1144" t="s">
        <v>13776</v>
      </c>
      <c r="K1144">
        <v>233</v>
      </c>
      <c r="L1144" t="s">
        <v>59</v>
      </c>
      <c r="M1144">
        <v>49</v>
      </c>
      <c r="N1144" t="str">
        <f>HYPERLINK("Gene2369-zp_tree_all.dnd", "Gene2369-tree")</f>
        <v>Gene2369-tree</v>
      </c>
      <c r="O1144">
        <v>11</v>
      </c>
      <c r="P1144">
        <v>5</v>
      </c>
      <c r="Q1144">
        <v>11</v>
      </c>
      <c r="R1144">
        <v>5</v>
      </c>
      <c r="S1144">
        <v>0.3125</v>
      </c>
      <c r="T1144" t="s">
        <v>73</v>
      </c>
      <c r="U1144" t="s">
        <v>199</v>
      </c>
      <c r="V1144" t="s">
        <v>62</v>
      </c>
      <c r="W1144" t="s">
        <v>62</v>
      </c>
      <c r="X1144">
        <v>1</v>
      </c>
      <c r="Y1144">
        <v>2</v>
      </c>
      <c r="Z1144">
        <v>14</v>
      </c>
      <c r="AA1144">
        <v>0.125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6</v>
      </c>
      <c r="AK1144">
        <v>0</v>
      </c>
      <c r="AL1144">
        <v>12</v>
      </c>
      <c r="AM1144">
        <v>8</v>
      </c>
      <c r="AN1144">
        <v>31</v>
      </c>
      <c r="AO1144">
        <v>6</v>
      </c>
      <c r="AP1144">
        <v>36</v>
      </c>
      <c r="AQ1144">
        <v>10</v>
      </c>
      <c r="AR1144" t="s">
        <v>13777</v>
      </c>
      <c r="AS1144" t="s">
        <v>13778</v>
      </c>
      <c r="AT1144">
        <v>0.39800000000000002</v>
      </c>
      <c r="AU1144" t="s">
        <v>65</v>
      </c>
      <c r="AV1144">
        <v>67</v>
      </c>
      <c r="AW1144">
        <v>16</v>
      </c>
      <c r="AX1144" t="s">
        <v>13779</v>
      </c>
      <c r="AY1144">
        <v>9.2069999999999999E-2</v>
      </c>
      <c r="AZ1144">
        <v>-6.1900000000000002E-3</v>
      </c>
      <c r="BA1144">
        <v>7.4400000000000004E-3</v>
      </c>
      <c r="BB1144">
        <v>-5.8E-4</v>
      </c>
      <c r="BC1144">
        <v>8.0799999999999997E-2</v>
      </c>
      <c r="BD1144">
        <v>1</v>
      </c>
      <c r="BE1144" t="s">
        <v>69</v>
      </c>
      <c r="BF1144">
        <v>-1.47</v>
      </c>
      <c r="BG1144">
        <v>-0.878</v>
      </c>
    </row>
    <row r="1145" spans="1:59">
      <c r="A1145">
        <v>0</v>
      </c>
      <c r="B1145">
        <v>2</v>
      </c>
      <c r="C1145">
        <v>2</v>
      </c>
      <c r="D1145" t="s">
        <v>25022</v>
      </c>
      <c r="E1145">
        <v>2842</v>
      </c>
      <c r="F1145" t="s">
        <v>16324</v>
      </c>
      <c r="G1145" t="s">
        <v>62</v>
      </c>
      <c r="H1145">
        <v>2788923</v>
      </c>
      <c r="I1145">
        <v>2789621</v>
      </c>
      <c r="J1145" t="s">
        <v>288</v>
      </c>
      <c r="K1145">
        <v>233</v>
      </c>
      <c r="L1145" t="s">
        <v>1392</v>
      </c>
      <c r="M1145">
        <v>43</v>
      </c>
      <c r="N1145" t="str">
        <f>HYPERLINK("Gene2842-zp_tree_all.dnd", "Gene2842-tree")</f>
        <v>Gene2842-tree</v>
      </c>
      <c r="O1145">
        <v>3</v>
      </c>
      <c r="P1145">
        <v>8</v>
      </c>
      <c r="Q1145">
        <v>3</v>
      </c>
      <c r="R1145">
        <v>8</v>
      </c>
      <c r="S1145">
        <v>0.72726999999999997</v>
      </c>
      <c r="T1145" t="s">
        <v>324</v>
      </c>
      <c r="U1145" t="s">
        <v>136</v>
      </c>
      <c r="V1145" t="s">
        <v>62</v>
      </c>
      <c r="W1145" t="s">
        <v>62</v>
      </c>
      <c r="X1145">
        <v>2</v>
      </c>
      <c r="Y1145">
        <v>4</v>
      </c>
      <c r="Z1145">
        <v>5</v>
      </c>
      <c r="AA1145">
        <v>0.44444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</v>
      </c>
      <c r="AH1145">
        <v>2</v>
      </c>
      <c r="AI1145">
        <v>4</v>
      </c>
      <c r="AJ1145">
        <v>5</v>
      </c>
      <c r="AK1145">
        <v>0.44444</v>
      </c>
      <c r="AL1145">
        <v>10</v>
      </c>
      <c r="AM1145">
        <v>5</v>
      </c>
      <c r="AN1145">
        <v>12</v>
      </c>
      <c r="AO1145">
        <v>9</v>
      </c>
      <c r="AP1145">
        <v>10</v>
      </c>
      <c r="AQ1145">
        <v>0</v>
      </c>
      <c r="AR1145" t="s">
        <v>16325</v>
      </c>
      <c r="AS1145" t="s">
        <v>193</v>
      </c>
      <c r="AT1145">
        <v>3.5489999999999999</v>
      </c>
      <c r="AU1145" t="s">
        <v>267</v>
      </c>
      <c r="AV1145">
        <v>22</v>
      </c>
      <c r="AW1145">
        <v>9</v>
      </c>
      <c r="AX1145" t="s">
        <v>16326</v>
      </c>
      <c r="AY1145">
        <v>3.7319999999999999E-2</v>
      </c>
      <c r="AZ1145">
        <v>-2.6700000000000001E-3</v>
      </c>
      <c r="BA1145">
        <v>2.9299999999999999E-3</v>
      </c>
      <c r="BB1145">
        <v>-1.9000000000000001E-4</v>
      </c>
      <c r="BC1145">
        <v>7.8539999999999999E-2</v>
      </c>
      <c r="BD1145">
        <v>1</v>
      </c>
      <c r="BE1145" t="s">
        <v>69</v>
      </c>
      <c r="BF1145">
        <v>-0.94</v>
      </c>
      <c r="BG1145">
        <v>-0.37</v>
      </c>
    </row>
    <row r="1146" spans="1:59">
      <c r="A1146">
        <v>0</v>
      </c>
      <c r="B1146">
        <v>0</v>
      </c>
      <c r="C1146">
        <v>0</v>
      </c>
      <c r="D1146" t="s">
        <v>25022</v>
      </c>
      <c r="E1146">
        <v>250</v>
      </c>
      <c r="F1146" t="s">
        <v>1702</v>
      </c>
      <c r="G1146" t="s">
        <v>57</v>
      </c>
      <c r="H1146">
        <v>273237</v>
      </c>
      <c r="I1146">
        <v>273935</v>
      </c>
      <c r="J1146" t="s">
        <v>1703</v>
      </c>
      <c r="K1146">
        <v>233</v>
      </c>
      <c r="L1146" t="s">
        <v>108</v>
      </c>
      <c r="M1146">
        <v>44</v>
      </c>
      <c r="N1146" t="str">
        <f>HYPERLINK("Gene250-zp_tree_all.dnd", "Gene250-tree")</f>
        <v>Gene250-tree</v>
      </c>
      <c r="O1146">
        <v>11</v>
      </c>
      <c r="P1146">
        <v>2</v>
      </c>
      <c r="Q1146">
        <v>11</v>
      </c>
      <c r="R1146">
        <v>2</v>
      </c>
      <c r="S1146">
        <v>0.15384999999999999</v>
      </c>
      <c r="T1146" t="s">
        <v>73</v>
      </c>
      <c r="U1146" t="s">
        <v>81</v>
      </c>
      <c r="V1146" t="s">
        <v>62</v>
      </c>
      <c r="W1146" t="s">
        <v>62</v>
      </c>
      <c r="X1146">
        <v>0</v>
      </c>
      <c r="Y1146">
        <v>0</v>
      </c>
      <c r="Z1146">
        <v>3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2</v>
      </c>
      <c r="AK1146">
        <v>0</v>
      </c>
      <c r="AL1146">
        <v>10</v>
      </c>
      <c r="AM1146">
        <v>6</v>
      </c>
      <c r="AN1146">
        <v>21</v>
      </c>
      <c r="AO1146">
        <v>2</v>
      </c>
      <c r="AP1146">
        <v>10</v>
      </c>
      <c r="AQ1146">
        <v>1</v>
      </c>
      <c r="AR1146" t="s">
        <v>1704</v>
      </c>
      <c r="AS1146" t="s">
        <v>1705</v>
      </c>
      <c r="AT1146">
        <v>1.9E-2</v>
      </c>
      <c r="AU1146" t="s">
        <v>65</v>
      </c>
      <c r="AV1146">
        <v>31</v>
      </c>
      <c r="AW1146">
        <v>3</v>
      </c>
      <c r="AX1146" t="s">
        <v>1706</v>
      </c>
      <c r="AY1146">
        <v>4.5100000000000001E-2</v>
      </c>
      <c r="AZ1146">
        <v>-2.2100000000000002E-3</v>
      </c>
      <c r="BA1146">
        <v>1.57E-3</v>
      </c>
      <c r="BB1146">
        <v>-1.2E-4</v>
      </c>
      <c r="BC1146">
        <v>3.4810000000000001E-2</v>
      </c>
      <c r="BD1146">
        <v>1</v>
      </c>
      <c r="BE1146" t="s">
        <v>69</v>
      </c>
      <c r="BF1146">
        <v>-0.51300000000000001</v>
      </c>
      <c r="BG1146">
        <v>-1.5209999999999999</v>
      </c>
    </row>
    <row r="1147" spans="1:59">
      <c r="A1147">
        <v>0</v>
      </c>
      <c r="B1147">
        <v>2</v>
      </c>
      <c r="C1147">
        <v>0</v>
      </c>
      <c r="D1147" t="s">
        <v>25022</v>
      </c>
      <c r="E1147">
        <v>1618</v>
      </c>
      <c r="F1147" t="s">
        <v>10132</v>
      </c>
      <c r="G1147" t="s">
        <v>57</v>
      </c>
      <c r="H1147">
        <v>1630382</v>
      </c>
      <c r="I1147">
        <v>1631080</v>
      </c>
      <c r="J1147" t="s">
        <v>10133</v>
      </c>
      <c r="K1147">
        <v>233</v>
      </c>
      <c r="L1147" t="s">
        <v>394</v>
      </c>
      <c r="M1147">
        <v>48</v>
      </c>
      <c r="N1147" t="str">
        <f>HYPERLINK("Gene1618-zp_tree_all.dnd", "Gene1618-tree")</f>
        <v>Gene1618-tree</v>
      </c>
      <c r="O1147">
        <v>9</v>
      </c>
      <c r="P1147">
        <v>5</v>
      </c>
      <c r="Q1147">
        <v>9</v>
      </c>
      <c r="R1147">
        <v>5</v>
      </c>
      <c r="S1147">
        <v>0.35714000000000001</v>
      </c>
      <c r="T1147" t="s">
        <v>135</v>
      </c>
      <c r="U1147" t="s">
        <v>199</v>
      </c>
      <c r="V1147" t="s">
        <v>62</v>
      </c>
      <c r="W1147" t="s">
        <v>62</v>
      </c>
      <c r="X1147">
        <v>1</v>
      </c>
      <c r="Y1147">
        <v>2</v>
      </c>
      <c r="Z1147">
        <v>5</v>
      </c>
      <c r="AA1147">
        <v>0.28571000000000002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5</v>
      </c>
      <c r="AK1147">
        <v>0</v>
      </c>
      <c r="AL1147">
        <v>13</v>
      </c>
      <c r="AM1147">
        <v>9</v>
      </c>
      <c r="AN1147">
        <v>37</v>
      </c>
      <c r="AO1147">
        <v>5</v>
      </c>
      <c r="AP1147">
        <v>31</v>
      </c>
      <c r="AQ1147">
        <v>2</v>
      </c>
      <c r="AR1147" t="s">
        <v>10134</v>
      </c>
      <c r="AS1147" t="s">
        <v>10135</v>
      </c>
      <c r="AT1147">
        <v>0.45600000000000002</v>
      </c>
      <c r="AU1147" t="s">
        <v>65</v>
      </c>
      <c r="AV1147">
        <v>68</v>
      </c>
      <c r="AW1147">
        <v>7</v>
      </c>
      <c r="AX1147" t="s">
        <v>10136</v>
      </c>
      <c r="AY1147">
        <v>0.11079</v>
      </c>
      <c r="AZ1147">
        <v>-8.5100000000000002E-3</v>
      </c>
      <c r="BA1147">
        <v>2.4099999999999998E-3</v>
      </c>
      <c r="BB1147">
        <v>-1.8000000000000001E-4</v>
      </c>
      <c r="BC1147">
        <v>2.1729999999999999E-2</v>
      </c>
      <c r="BD1147">
        <v>1</v>
      </c>
      <c r="BE1147" t="s">
        <v>69</v>
      </c>
      <c r="BF1147">
        <v>-1.0580000000000001</v>
      </c>
      <c r="BG1147">
        <v>-1.6559999999999999</v>
      </c>
    </row>
    <row r="1148" spans="1:59">
      <c r="A1148">
        <v>0</v>
      </c>
      <c r="B1148">
        <v>2</v>
      </c>
      <c r="C1148">
        <v>0</v>
      </c>
      <c r="D1148" t="s">
        <v>25022</v>
      </c>
      <c r="E1148">
        <v>2044</v>
      </c>
      <c r="F1148" t="s">
        <v>12729</v>
      </c>
      <c r="G1148" t="s">
        <v>62</v>
      </c>
      <c r="H1148">
        <v>2135473</v>
      </c>
      <c r="I1148">
        <v>2136171</v>
      </c>
      <c r="J1148" t="s">
        <v>12730</v>
      </c>
      <c r="K1148">
        <v>233</v>
      </c>
      <c r="L1148" t="s">
        <v>59</v>
      </c>
      <c r="M1148">
        <v>49</v>
      </c>
      <c r="N1148" t="str">
        <f>HYPERLINK("Gene2044-zp_tree_all.dnd", "Gene2044-tree")</f>
        <v>Gene2044-tree</v>
      </c>
      <c r="O1148">
        <v>11</v>
      </c>
      <c r="P1148">
        <v>6</v>
      </c>
      <c r="Q1148">
        <v>11</v>
      </c>
      <c r="R1148">
        <v>6</v>
      </c>
      <c r="S1148">
        <v>0.35293999999999998</v>
      </c>
      <c r="T1148" t="s">
        <v>73</v>
      </c>
      <c r="U1148" t="s">
        <v>90</v>
      </c>
      <c r="V1148" t="s">
        <v>62</v>
      </c>
      <c r="W1148" t="s">
        <v>62</v>
      </c>
      <c r="X1148">
        <v>1</v>
      </c>
      <c r="Y1148">
        <v>2</v>
      </c>
      <c r="Z1148">
        <v>6</v>
      </c>
      <c r="AA1148">
        <v>0.25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2</v>
      </c>
      <c r="AH1148">
        <v>0</v>
      </c>
      <c r="AI1148">
        <v>2</v>
      </c>
      <c r="AJ1148">
        <v>4</v>
      </c>
      <c r="AK1148">
        <v>0.33333000000000002</v>
      </c>
      <c r="AL1148">
        <v>14</v>
      </c>
      <c r="AM1148">
        <v>8</v>
      </c>
      <c r="AN1148">
        <v>29</v>
      </c>
      <c r="AO1148">
        <v>6</v>
      </c>
      <c r="AP1148">
        <v>43</v>
      </c>
      <c r="AQ1148">
        <v>2</v>
      </c>
      <c r="AR1148" t="s">
        <v>12731</v>
      </c>
      <c r="AS1148" t="s">
        <v>12732</v>
      </c>
      <c r="AT1148">
        <v>0.91200000000000003</v>
      </c>
      <c r="AU1148" t="s">
        <v>65</v>
      </c>
      <c r="AV1148">
        <v>72</v>
      </c>
      <c r="AW1148">
        <v>8</v>
      </c>
      <c r="AX1148" t="s">
        <v>12733</v>
      </c>
      <c r="AY1148">
        <v>0.10843</v>
      </c>
      <c r="AZ1148">
        <v>-6.8399999999999997E-3</v>
      </c>
      <c r="BA1148">
        <v>2.2899999999999999E-3</v>
      </c>
      <c r="BB1148">
        <v>-1.2999999999999999E-4</v>
      </c>
      <c r="BC1148">
        <v>2.1069999999999998E-2</v>
      </c>
      <c r="BD1148">
        <v>1</v>
      </c>
      <c r="BE1148" t="s">
        <v>69</v>
      </c>
      <c r="BF1148">
        <v>-1.26</v>
      </c>
      <c r="BG1148">
        <v>-0.61899999999999999</v>
      </c>
    </row>
    <row r="1149" spans="1:59">
      <c r="A1149">
        <v>0</v>
      </c>
      <c r="B1149">
        <v>4</v>
      </c>
      <c r="C1149">
        <v>0</v>
      </c>
      <c r="D1149" t="s">
        <v>25022</v>
      </c>
      <c r="E1149">
        <v>3563</v>
      </c>
      <c r="F1149" t="s">
        <v>20898</v>
      </c>
      <c r="G1149" t="s">
        <v>62</v>
      </c>
      <c r="H1149">
        <v>3529154</v>
      </c>
      <c r="I1149">
        <v>3529855</v>
      </c>
      <c r="J1149" t="s">
        <v>20899</v>
      </c>
      <c r="K1149">
        <v>234</v>
      </c>
      <c r="L1149" t="s">
        <v>59</v>
      </c>
      <c r="M1149">
        <v>49</v>
      </c>
      <c r="N1149" t="str">
        <f>HYPERLINK("Gene3563-zp_tree_all.dnd", "Gene3563-tree")</f>
        <v>Gene3563-tree</v>
      </c>
      <c r="O1149">
        <v>8</v>
      </c>
      <c r="P1149">
        <v>7</v>
      </c>
      <c r="Q1149">
        <v>8</v>
      </c>
      <c r="R1149">
        <v>7</v>
      </c>
      <c r="S1149">
        <v>0.46666999999999997</v>
      </c>
      <c r="T1149" t="s">
        <v>136</v>
      </c>
      <c r="U1149" t="s">
        <v>152</v>
      </c>
      <c r="V1149" t="s">
        <v>62</v>
      </c>
      <c r="W1149" t="s">
        <v>62</v>
      </c>
      <c r="X1149">
        <v>2</v>
      </c>
      <c r="Y1149">
        <v>4</v>
      </c>
      <c r="Z1149">
        <v>13</v>
      </c>
      <c r="AA1149">
        <v>0.23529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11</v>
      </c>
      <c r="AK1149">
        <v>0</v>
      </c>
      <c r="AL1149">
        <v>13</v>
      </c>
      <c r="AM1149">
        <v>9</v>
      </c>
      <c r="AN1149">
        <v>28</v>
      </c>
      <c r="AO1149">
        <v>11</v>
      </c>
      <c r="AP1149">
        <v>37</v>
      </c>
      <c r="AQ1149">
        <v>6</v>
      </c>
      <c r="AR1149" t="s">
        <v>20900</v>
      </c>
      <c r="AS1149" t="s">
        <v>20901</v>
      </c>
      <c r="AT1149">
        <v>0.66900000000000004</v>
      </c>
      <c r="AU1149" t="s">
        <v>65</v>
      </c>
      <c r="AV1149">
        <v>65</v>
      </c>
      <c r="AW1149">
        <v>17</v>
      </c>
      <c r="AX1149" t="s">
        <v>20902</v>
      </c>
      <c r="AY1149">
        <v>9.5949999999999994E-2</v>
      </c>
      <c r="AZ1149">
        <v>-6.6100000000000004E-3</v>
      </c>
      <c r="BA1149">
        <v>6.3400000000000001E-3</v>
      </c>
      <c r="BB1149">
        <v>-4.6999999999999999E-4</v>
      </c>
      <c r="BC1149">
        <v>6.6049999999999998E-2</v>
      </c>
      <c r="BD1149">
        <v>1</v>
      </c>
      <c r="BE1149" t="s">
        <v>69</v>
      </c>
      <c r="BF1149">
        <v>-1.079</v>
      </c>
      <c r="BG1149">
        <v>-0.72699999999999998</v>
      </c>
    </row>
    <row r="1150" spans="1:59">
      <c r="A1150">
        <v>0</v>
      </c>
      <c r="B1150">
        <v>2</v>
      </c>
      <c r="C1150">
        <v>2</v>
      </c>
      <c r="D1150" t="s">
        <v>25022</v>
      </c>
      <c r="E1150">
        <v>3053</v>
      </c>
      <c r="F1150" t="s">
        <v>17669</v>
      </c>
      <c r="G1150" t="s">
        <v>62</v>
      </c>
      <c r="H1150">
        <v>3005125</v>
      </c>
      <c r="I1150">
        <v>3005829</v>
      </c>
      <c r="J1150" t="s">
        <v>17670</v>
      </c>
      <c r="K1150">
        <v>235</v>
      </c>
      <c r="L1150" t="s">
        <v>2555</v>
      </c>
      <c r="M1150">
        <v>34</v>
      </c>
      <c r="N1150" t="str">
        <f>HYPERLINK("Gene3053-zp_tree_all.dnd", "Gene3053-tree")</f>
        <v>Gene3053-tree</v>
      </c>
      <c r="O1150">
        <v>3</v>
      </c>
      <c r="P1150">
        <v>8</v>
      </c>
      <c r="Q1150">
        <v>3</v>
      </c>
      <c r="R1150">
        <v>8</v>
      </c>
      <c r="S1150">
        <v>0.72726999999999997</v>
      </c>
      <c r="T1150" t="s">
        <v>324</v>
      </c>
      <c r="U1150" t="s">
        <v>136</v>
      </c>
      <c r="V1150" t="s">
        <v>62</v>
      </c>
      <c r="W1150" t="s">
        <v>62</v>
      </c>
      <c r="X1150">
        <v>2</v>
      </c>
      <c r="Y1150">
        <v>4</v>
      </c>
      <c r="Z1150">
        <v>7</v>
      </c>
      <c r="AA1150">
        <v>0.36364000000000002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</v>
      </c>
      <c r="AI1150">
        <v>2</v>
      </c>
      <c r="AJ1150">
        <v>7</v>
      </c>
      <c r="AK1150">
        <v>0.22222</v>
      </c>
      <c r="AL1150">
        <v>8</v>
      </c>
      <c r="AM1150">
        <v>6</v>
      </c>
      <c r="AN1150">
        <v>5</v>
      </c>
      <c r="AO1150">
        <v>7</v>
      </c>
      <c r="AP1150">
        <v>7</v>
      </c>
      <c r="AQ1150">
        <v>4</v>
      </c>
      <c r="AR1150" t="s">
        <v>17671</v>
      </c>
      <c r="AS1150" t="s">
        <v>17672</v>
      </c>
      <c r="AT1150">
        <v>0.93700000000000006</v>
      </c>
      <c r="AU1150" t="s">
        <v>65</v>
      </c>
      <c r="AV1150">
        <v>12</v>
      </c>
      <c r="AW1150">
        <v>11</v>
      </c>
      <c r="AX1150" t="s">
        <v>17673</v>
      </c>
      <c r="AY1150">
        <v>1.8929999999999999E-2</v>
      </c>
      <c r="AZ1150">
        <v>-1.2199999999999999E-3</v>
      </c>
      <c r="BA1150">
        <v>4.5700000000000003E-3</v>
      </c>
      <c r="BB1150">
        <v>-3.2000000000000003E-4</v>
      </c>
      <c r="BC1150">
        <v>0.24129999999999999</v>
      </c>
      <c r="BD1150">
        <v>1</v>
      </c>
      <c r="BE1150" t="s">
        <v>69</v>
      </c>
      <c r="BF1150">
        <v>-0.40600000000000003</v>
      </c>
      <c r="BG1150">
        <v>-1.0920000000000001</v>
      </c>
    </row>
    <row r="1151" spans="1:59">
      <c r="A1151">
        <v>0</v>
      </c>
      <c r="B1151">
        <v>0</v>
      </c>
      <c r="C1151">
        <v>0</v>
      </c>
      <c r="D1151" t="s">
        <v>25022</v>
      </c>
      <c r="E1151">
        <v>1587</v>
      </c>
      <c r="F1151" t="s">
        <v>9927</v>
      </c>
      <c r="G1151" t="s">
        <v>57</v>
      </c>
      <c r="H1151">
        <v>1595210</v>
      </c>
      <c r="I1151">
        <v>1595914</v>
      </c>
      <c r="J1151" t="s">
        <v>288</v>
      </c>
      <c r="K1151">
        <v>235</v>
      </c>
      <c r="L1151" t="s">
        <v>108</v>
      </c>
      <c r="M1151">
        <v>44</v>
      </c>
      <c r="N1151" t="str">
        <f>HYPERLINK("Gene1587-zp_tree_all.dnd", "Gene1587-tree")</f>
        <v>Gene1587-tree</v>
      </c>
      <c r="O1151">
        <v>5</v>
      </c>
      <c r="P1151">
        <v>4</v>
      </c>
      <c r="Q1151">
        <v>5</v>
      </c>
      <c r="R1151">
        <v>4</v>
      </c>
      <c r="S1151">
        <v>0.44444</v>
      </c>
      <c r="T1151" t="s">
        <v>199</v>
      </c>
      <c r="U1151" t="s">
        <v>61</v>
      </c>
      <c r="V1151" t="s">
        <v>62</v>
      </c>
      <c r="W1151" t="s">
        <v>62</v>
      </c>
      <c r="X1151">
        <v>0</v>
      </c>
      <c r="Y1151">
        <v>0</v>
      </c>
      <c r="Z1151">
        <v>6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4</v>
      </c>
      <c r="AK1151">
        <v>0</v>
      </c>
      <c r="AL1151">
        <v>6</v>
      </c>
      <c r="AM1151">
        <v>3</v>
      </c>
      <c r="AN1151">
        <v>5</v>
      </c>
      <c r="AO1151">
        <v>3</v>
      </c>
      <c r="AP1151">
        <v>4</v>
      </c>
      <c r="AQ1151">
        <v>3</v>
      </c>
      <c r="AR1151" t="s">
        <v>9928</v>
      </c>
      <c r="AS1151" t="s">
        <v>9929</v>
      </c>
      <c r="AT1151">
        <v>0.11700000000000001</v>
      </c>
      <c r="AU1151" t="s">
        <v>65</v>
      </c>
      <c r="AV1151">
        <v>9</v>
      </c>
      <c r="AW1151">
        <v>6</v>
      </c>
      <c r="AX1151" t="s">
        <v>9930</v>
      </c>
      <c r="AY1151">
        <v>1.6650000000000002E-2</v>
      </c>
      <c r="AZ1151">
        <v>-1.8799999999999999E-3</v>
      </c>
      <c r="BA1151">
        <v>3.8800000000000002E-3</v>
      </c>
      <c r="BB1151">
        <v>-4.6999999999999999E-4</v>
      </c>
      <c r="BC1151">
        <v>0.23324</v>
      </c>
      <c r="BD1151">
        <v>0.97</v>
      </c>
      <c r="BE1151" t="s">
        <v>69</v>
      </c>
      <c r="BF1151">
        <v>0.39700000000000002</v>
      </c>
      <c r="BG1151">
        <v>0.23400000000000001</v>
      </c>
    </row>
    <row r="1152" spans="1:59">
      <c r="A1152">
        <v>0</v>
      </c>
      <c r="B1152">
        <v>12</v>
      </c>
      <c r="C1152">
        <v>0</v>
      </c>
      <c r="D1152" t="s">
        <v>25022</v>
      </c>
      <c r="E1152">
        <v>931</v>
      </c>
      <c r="F1152" t="s">
        <v>5828</v>
      </c>
      <c r="G1152" t="s">
        <v>57</v>
      </c>
      <c r="H1152">
        <v>972099</v>
      </c>
      <c r="I1152">
        <v>972803</v>
      </c>
      <c r="J1152" t="s">
        <v>5822</v>
      </c>
      <c r="K1152">
        <v>235</v>
      </c>
      <c r="L1152" t="s">
        <v>108</v>
      </c>
      <c r="M1152">
        <v>44</v>
      </c>
      <c r="N1152" t="str">
        <f>HYPERLINK("Gene931-zp_tree_all.dnd", "Gene931-tree")</f>
        <v>Gene931-tree</v>
      </c>
      <c r="O1152">
        <v>5</v>
      </c>
      <c r="P1152">
        <v>9</v>
      </c>
      <c r="Q1152">
        <v>5</v>
      </c>
      <c r="R1152">
        <v>9</v>
      </c>
      <c r="S1152">
        <v>0.64285999999999999</v>
      </c>
      <c r="T1152" t="s">
        <v>199</v>
      </c>
      <c r="U1152" t="s">
        <v>135</v>
      </c>
      <c r="V1152" t="s">
        <v>62</v>
      </c>
      <c r="W1152" t="s">
        <v>62</v>
      </c>
      <c r="X1152">
        <v>5</v>
      </c>
      <c r="Y1152">
        <v>12</v>
      </c>
      <c r="Z1152">
        <v>13</v>
      </c>
      <c r="AA1152">
        <v>0.48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4</v>
      </c>
      <c r="AH1152">
        <v>0</v>
      </c>
      <c r="AI1152">
        <v>4</v>
      </c>
      <c r="AJ1152">
        <v>14</v>
      </c>
      <c r="AK1152">
        <v>0.22222</v>
      </c>
      <c r="AL1152">
        <v>11</v>
      </c>
      <c r="AM1152">
        <v>9</v>
      </c>
      <c r="AN1152">
        <v>33</v>
      </c>
      <c r="AO1152">
        <v>18</v>
      </c>
      <c r="AP1152">
        <v>10</v>
      </c>
      <c r="AQ1152">
        <v>7</v>
      </c>
      <c r="AR1152" t="s">
        <v>5829</v>
      </c>
      <c r="AS1152" t="s">
        <v>5830</v>
      </c>
      <c r="AT1152">
        <v>0.27200000000000002</v>
      </c>
      <c r="AU1152" t="s">
        <v>65</v>
      </c>
      <c r="AV1152">
        <v>43</v>
      </c>
      <c r="AW1152">
        <v>25</v>
      </c>
      <c r="AX1152" t="s">
        <v>5831</v>
      </c>
      <c r="AY1152">
        <v>4.4470000000000003E-2</v>
      </c>
      <c r="AZ1152">
        <v>-3.0799999999999998E-3</v>
      </c>
      <c r="BA1152">
        <v>7.3899999999999999E-3</v>
      </c>
      <c r="BB1152">
        <v>-5.1999999999999995E-4</v>
      </c>
      <c r="BC1152">
        <v>0.16625999999999999</v>
      </c>
      <c r="BD1152">
        <v>1</v>
      </c>
      <c r="BE1152" t="s">
        <v>69</v>
      </c>
      <c r="BF1152">
        <v>-0.93400000000000005</v>
      </c>
      <c r="BG1152">
        <v>-2.262</v>
      </c>
    </row>
    <row r="1153" spans="1:59">
      <c r="A1153">
        <v>0</v>
      </c>
      <c r="B1153">
        <v>2</v>
      </c>
      <c r="C1153">
        <v>0</v>
      </c>
      <c r="D1153" t="s">
        <v>25022</v>
      </c>
      <c r="E1153">
        <v>1412</v>
      </c>
      <c r="F1153" t="s">
        <v>8842</v>
      </c>
      <c r="G1153" t="s">
        <v>57</v>
      </c>
      <c r="H1153">
        <v>1428275</v>
      </c>
      <c r="I1153">
        <v>1428979</v>
      </c>
      <c r="J1153" t="s">
        <v>8843</v>
      </c>
      <c r="K1153">
        <v>235</v>
      </c>
      <c r="L1153" t="s">
        <v>108</v>
      </c>
      <c r="M1153">
        <v>44</v>
      </c>
      <c r="N1153" t="str">
        <f>HYPERLINK("Gene1412-zp_tree_all.dnd", "Gene1412-tree")</f>
        <v>Gene1412-tree</v>
      </c>
      <c r="O1153">
        <v>3</v>
      </c>
      <c r="P1153">
        <v>10</v>
      </c>
      <c r="Q1153">
        <v>3</v>
      </c>
      <c r="R1153">
        <v>10</v>
      </c>
      <c r="S1153">
        <v>0.76922999999999997</v>
      </c>
      <c r="T1153" t="s">
        <v>324</v>
      </c>
      <c r="U1153" t="s">
        <v>117</v>
      </c>
      <c r="V1153" t="s">
        <v>62</v>
      </c>
      <c r="W1153" t="s">
        <v>62</v>
      </c>
      <c r="X1153">
        <v>1</v>
      </c>
      <c r="Y1153">
        <v>2</v>
      </c>
      <c r="Z1153">
        <v>15</v>
      </c>
      <c r="AA1153">
        <v>0.11765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</v>
      </c>
      <c r="AH1153">
        <v>0</v>
      </c>
      <c r="AI1153">
        <v>2</v>
      </c>
      <c r="AJ1153">
        <v>15</v>
      </c>
      <c r="AK1153">
        <v>0.11765</v>
      </c>
      <c r="AL1153">
        <v>12</v>
      </c>
      <c r="AM1153">
        <v>4</v>
      </c>
      <c r="AN1153">
        <v>20</v>
      </c>
      <c r="AO1153">
        <v>17</v>
      </c>
      <c r="AP1153">
        <v>5</v>
      </c>
      <c r="AQ1153">
        <v>0</v>
      </c>
      <c r="AR1153" t="s">
        <v>8844</v>
      </c>
      <c r="AS1153" t="s">
        <v>193</v>
      </c>
      <c r="AT1153">
        <v>1.6140000000000001</v>
      </c>
      <c r="AU1153" t="s">
        <v>65</v>
      </c>
      <c r="AV1153">
        <v>25</v>
      </c>
      <c r="AW1153">
        <v>17</v>
      </c>
      <c r="AX1153" t="s">
        <v>8845</v>
      </c>
      <c r="AY1153">
        <v>3.2590000000000001E-2</v>
      </c>
      <c r="AZ1153">
        <v>-2.32E-3</v>
      </c>
      <c r="BA1153">
        <v>4.6600000000000001E-3</v>
      </c>
      <c r="BB1153">
        <v>-2.7E-4</v>
      </c>
      <c r="BC1153">
        <v>0.1429</v>
      </c>
      <c r="BD1153">
        <v>1</v>
      </c>
      <c r="BE1153" t="s">
        <v>69</v>
      </c>
      <c r="BF1153">
        <v>-1.647</v>
      </c>
      <c r="BG1153">
        <v>-3.0649999999999999</v>
      </c>
    </row>
    <row r="1154" spans="1:59">
      <c r="A1154">
        <v>0</v>
      </c>
      <c r="B1154">
        <v>0</v>
      </c>
      <c r="C1154">
        <v>0</v>
      </c>
      <c r="D1154" t="s">
        <v>25022</v>
      </c>
      <c r="E1154">
        <v>572</v>
      </c>
      <c r="F1154" t="s">
        <v>3680</v>
      </c>
      <c r="G1154" t="s">
        <v>57</v>
      </c>
      <c r="H1154">
        <v>601019</v>
      </c>
      <c r="I1154">
        <v>601723</v>
      </c>
      <c r="J1154" t="s">
        <v>288</v>
      </c>
      <c r="K1154">
        <v>235</v>
      </c>
      <c r="L1154" t="s">
        <v>3681</v>
      </c>
      <c r="M1154">
        <v>38</v>
      </c>
      <c r="N1154" t="str">
        <f>HYPERLINK("Gene572-zp_tree_all.dnd", "Gene572-tree")</f>
        <v>Gene572-tree</v>
      </c>
      <c r="O1154">
        <v>2</v>
      </c>
      <c r="P1154">
        <v>5</v>
      </c>
      <c r="Q1154">
        <v>2</v>
      </c>
      <c r="R1154">
        <v>5</v>
      </c>
      <c r="S1154">
        <v>0.71428999999999998</v>
      </c>
      <c r="T1154" t="s">
        <v>81</v>
      </c>
      <c r="U1154" t="s">
        <v>199</v>
      </c>
      <c r="V1154" t="s">
        <v>62</v>
      </c>
      <c r="W1154" t="s">
        <v>62</v>
      </c>
      <c r="X1154">
        <v>0</v>
      </c>
      <c r="Y1154">
        <v>0</v>
      </c>
      <c r="Z1154">
        <v>6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5</v>
      </c>
      <c r="AK1154">
        <v>0</v>
      </c>
      <c r="AL1154">
        <v>6</v>
      </c>
      <c r="AM1154">
        <v>3</v>
      </c>
      <c r="AN1154">
        <v>12</v>
      </c>
      <c r="AO1154">
        <v>4</v>
      </c>
      <c r="AP1154">
        <v>6</v>
      </c>
      <c r="AQ1154">
        <v>2</v>
      </c>
      <c r="AR1154" t="s">
        <v>3682</v>
      </c>
      <c r="AS1154" t="s">
        <v>3683</v>
      </c>
      <c r="AT1154">
        <v>8.9999999999999993E-3</v>
      </c>
      <c r="AU1154" t="s">
        <v>65</v>
      </c>
      <c r="AV1154">
        <v>18</v>
      </c>
      <c r="AW1154">
        <v>6</v>
      </c>
      <c r="AX1154" t="s">
        <v>3684</v>
      </c>
      <c r="AY1154">
        <v>3.8390000000000001E-2</v>
      </c>
      <c r="AZ1154">
        <v>-3.32E-3</v>
      </c>
      <c r="BA1154">
        <v>3.8300000000000001E-3</v>
      </c>
      <c r="BB1154">
        <v>-3.5E-4</v>
      </c>
      <c r="BC1154">
        <v>9.9690000000000001E-2</v>
      </c>
      <c r="BD1154">
        <v>1</v>
      </c>
      <c r="BE1154" t="s">
        <v>69</v>
      </c>
      <c r="BF1154">
        <v>-0.85899999999999999</v>
      </c>
      <c r="BG1154">
        <v>-1.5860000000000001</v>
      </c>
    </row>
    <row r="1155" spans="1:59">
      <c r="A1155">
        <v>0</v>
      </c>
      <c r="B1155">
        <v>4</v>
      </c>
      <c r="C1155">
        <v>0</v>
      </c>
      <c r="D1155" t="s">
        <v>25022</v>
      </c>
      <c r="E1155">
        <v>1859</v>
      </c>
      <c r="F1155" t="s">
        <v>11645</v>
      </c>
      <c r="G1155" t="s">
        <v>57</v>
      </c>
      <c r="H1155">
        <v>1923234</v>
      </c>
      <c r="I1155">
        <v>1923938</v>
      </c>
      <c r="J1155" t="s">
        <v>11646</v>
      </c>
      <c r="K1155">
        <v>235</v>
      </c>
      <c r="L1155" t="s">
        <v>2803</v>
      </c>
      <c r="M1155">
        <v>45</v>
      </c>
      <c r="N1155" t="str">
        <f>HYPERLINK("Gene1859-zp_tree_all.dnd", "Gene1859-tree")</f>
        <v>Gene1859-tree</v>
      </c>
      <c r="O1155">
        <v>7</v>
      </c>
      <c r="P1155">
        <v>5</v>
      </c>
      <c r="Q1155">
        <v>7</v>
      </c>
      <c r="R1155">
        <v>5</v>
      </c>
      <c r="S1155">
        <v>0.41666999999999998</v>
      </c>
      <c r="T1155" t="s">
        <v>152</v>
      </c>
      <c r="U1155" t="s">
        <v>199</v>
      </c>
      <c r="V1155" t="s">
        <v>62</v>
      </c>
      <c r="W1155" t="s">
        <v>62</v>
      </c>
      <c r="X1155">
        <v>1</v>
      </c>
      <c r="Y1155">
        <v>4</v>
      </c>
      <c r="Z1155">
        <v>5</v>
      </c>
      <c r="AA1155">
        <v>0.44444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</v>
      </c>
      <c r="AH1155">
        <v>0</v>
      </c>
      <c r="AI1155">
        <v>3</v>
      </c>
      <c r="AJ1155">
        <v>4</v>
      </c>
      <c r="AK1155">
        <v>0.42857000000000001</v>
      </c>
      <c r="AL1155">
        <v>7</v>
      </c>
      <c r="AM1155">
        <v>7</v>
      </c>
      <c r="AN1155">
        <v>32</v>
      </c>
      <c r="AO1155">
        <v>7</v>
      </c>
      <c r="AP1155">
        <v>16</v>
      </c>
      <c r="AQ1155">
        <v>2</v>
      </c>
      <c r="AR1155" t="s">
        <v>11647</v>
      </c>
      <c r="AS1155" t="s">
        <v>11648</v>
      </c>
      <c r="AT1155">
        <v>0.17299999999999999</v>
      </c>
      <c r="AU1155" t="s">
        <v>65</v>
      </c>
      <c r="AV1155">
        <v>48</v>
      </c>
      <c r="AW1155">
        <v>9</v>
      </c>
      <c r="AX1155" t="s">
        <v>11649</v>
      </c>
      <c r="AY1155">
        <v>6.3969999999999999E-2</v>
      </c>
      <c r="AZ1155">
        <v>-8.5699999999999995E-3</v>
      </c>
      <c r="BA1155">
        <v>2.81E-3</v>
      </c>
      <c r="BB1155">
        <v>-2.9999999999999997E-4</v>
      </c>
      <c r="BC1155">
        <v>4.3900000000000002E-2</v>
      </c>
      <c r="BD1155">
        <v>1</v>
      </c>
      <c r="BE1155" t="s">
        <v>69</v>
      </c>
      <c r="BF1155">
        <v>-2.0329999999999999</v>
      </c>
      <c r="BG1155">
        <v>-4.3410000000000002</v>
      </c>
    </row>
    <row r="1156" spans="1:59">
      <c r="A1156">
        <v>0</v>
      </c>
      <c r="B1156">
        <v>0</v>
      </c>
      <c r="C1156">
        <v>0</v>
      </c>
      <c r="D1156" t="s">
        <v>25022</v>
      </c>
      <c r="E1156">
        <v>3909</v>
      </c>
      <c r="F1156" t="s">
        <v>22927</v>
      </c>
      <c r="G1156" t="s">
        <v>62</v>
      </c>
      <c r="H1156">
        <v>3872872</v>
      </c>
      <c r="I1156">
        <v>3873576</v>
      </c>
      <c r="J1156" t="s">
        <v>22928</v>
      </c>
      <c r="K1156">
        <v>235</v>
      </c>
      <c r="L1156" t="s">
        <v>108</v>
      </c>
      <c r="M1156">
        <v>44</v>
      </c>
      <c r="N1156" t="str">
        <f>HYPERLINK("Gene3909-zp_tree_all.dnd", "Gene3909-tree")</f>
        <v>Gene3909-tree</v>
      </c>
      <c r="O1156">
        <v>11</v>
      </c>
      <c r="P1156">
        <v>3</v>
      </c>
      <c r="Q1156">
        <v>11</v>
      </c>
      <c r="R1156">
        <v>3</v>
      </c>
      <c r="S1156">
        <v>0.21429000000000001</v>
      </c>
      <c r="T1156" t="s">
        <v>73</v>
      </c>
      <c r="U1156" t="s">
        <v>324</v>
      </c>
      <c r="V1156" t="s">
        <v>62</v>
      </c>
      <c r="W1156" t="s">
        <v>62</v>
      </c>
      <c r="X1156">
        <v>0</v>
      </c>
      <c r="Y1156">
        <v>0</v>
      </c>
      <c r="Z1156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4</v>
      </c>
      <c r="AK1156">
        <v>0</v>
      </c>
      <c r="AL1156">
        <v>10</v>
      </c>
      <c r="AM1156">
        <v>7</v>
      </c>
      <c r="AN1156">
        <v>24</v>
      </c>
      <c r="AO1156">
        <v>4</v>
      </c>
      <c r="AP1156">
        <v>11</v>
      </c>
      <c r="AQ1156">
        <v>0</v>
      </c>
      <c r="AR1156" t="s">
        <v>22929</v>
      </c>
      <c r="AS1156" t="s">
        <v>193</v>
      </c>
      <c r="AT1156">
        <v>0.874</v>
      </c>
      <c r="AU1156" t="s">
        <v>65</v>
      </c>
      <c r="AV1156">
        <v>35</v>
      </c>
      <c r="AW1156">
        <v>4</v>
      </c>
      <c r="AX1156" t="s">
        <v>22930</v>
      </c>
      <c r="AY1156">
        <v>4.2079999999999999E-2</v>
      </c>
      <c r="AZ1156">
        <v>-2.2799999999999999E-3</v>
      </c>
      <c r="BA1156">
        <v>1.0399999999999999E-3</v>
      </c>
      <c r="BB1156">
        <v>-1.4999999999999999E-4</v>
      </c>
      <c r="BC1156">
        <v>2.4629999999999999E-2</v>
      </c>
      <c r="BD1156">
        <v>1</v>
      </c>
      <c r="BE1156" t="s">
        <v>69</v>
      </c>
      <c r="BF1156">
        <v>-0.86099999999999999</v>
      </c>
      <c r="BG1156">
        <v>-0.57399999999999995</v>
      </c>
    </row>
    <row r="1157" spans="1:59">
      <c r="A1157">
        <v>0</v>
      </c>
      <c r="B1157">
        <v>0</v>
      </c>
      <c r="C1157">
        <v>0</v>
      </c>
      <c r="D1157" t="s">
        <v>25022</v>
      </c>
      <c r="E1157">
        <v>237</v>
      </c>
      <c r="F1157" t="s">
        <v>1605</v>
      </c>
      <c r="G1157" t="s">
        <v>57</v>
      </c>
      <c r="H1157">
        <v>257791</v>
      </c>
      <c r="I1157">
        <v>258495</v>
      </c>
      <c r="J1157" t="s">
        <v>1606</v>
      </c>
      <c r="K1157">
        <v>235</v>
      </c>
      <c r="L1157" t="s">
        <v>1607</v>
      </c>
      <c r="M1157">
        <v>47</v>
      </c>
      <c r="N1157" t="str">
        <f>HYPERLINK("Gene237-zp_tree_all.dnd", "Gene237-tree")</f>
        <v>Gene237-tree</v>
      </c>
      <c r="O1157">
        <v>33</v>
      </c>
      <c r="P1157">
        <v>2</v>
      </c>
      <c r="Q1157">
        <v>15</v>
      </c>
      <c r="R1157">
        <v>2</v>
      </c>
      <c r="S1157">
        <v>0.11765</v>
      </c>
      <c r="T1157" t="s">
        <v>1608</v>
      </c>
      <c r="U1157" t="s">
        <v>81</v>
      </c>
      <c r="V1157" t="s">
        <v>62</v>
      </c>
      <c r="W1157" t="s">
        <v>62</v>
      </c>
      <c r="X1157">
        <v>0</v>
      </c>
      <c r="Y1157">
        <v>0</v>
      </c>
      <c r="Z1157">
        <v>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</v>
      </c>
      <c r="AK1157">
        <v>0</v>
      </c>
      <c r="AL1157">
        <v>13</v>
      </c>
      <c r="AM1157">
        <v>11</v>
      </c>
      <c r="AN1157">
        <v>42</v>
      </c>
      <c r="AO1157">
        <v>2</v>
      </c>
      <c r="AP1157">
        <v>43</v>
      </c>
      <c r="AQ1157">
        <v>1</v>
      </c>
      <c r="AR1157" t="s">
        <v>1609</v>
      </c>
      <c r="AS1157" t="s">
        <v>1610</v>
      </c>
      <c r="AT1157">
        <v>0.20100000000000001</v>
      </c>
      <c r="AU1157" t="s">
        <v>65</v>
      </c>
      <c r="AV1157">
        <v>85</v>
      </c>
      <c r="AW1157">
        <v>3</v>
      </c>
      <c r="AX1157" t="s">
        <v>1611</v>
      </c>
      <c r="AY1157">
        <v>0.10299999999999999</v>
      </c>
      <c r="AZ1157">
        <v>-7.0899999999999999E-3</v>
      </c>
      <c r="BA1157">
        <v>8.4999999999999995E-4</v>
      </c>
      <c r="BB1157">
        <v>-9.0000000000000006E-5</v>
      </c>
      <c r="BC1157">
        <v>8.2699999999999996E-3</v>
      </c>
      <c r="BD1157">
        <v>1</v>
      </c>
      <c r="BE1157" t="s">
        <v>69</v>
      </c>
      <c r="BF1157">
        <v>-1.5569999999999999</v>
      </c>
      <c r="BG1157">
        <v>-1.0189999999999999</v>
      </c>
    </row>
    <row r="1158" spans="1:59">
      <c r="A1158">
        <v>0</v>
      </c>
      <c r="B1158">
        <v>0</v>
      </c>
      <c r="C1158">
        <v>0</v>
      </c>
      <c r="D1158" t="s">
        <v>25022</v>
      </c>
      <c r="E1158">
        <v>1790</v>
      </c>
      <c r="F1158" t="s">
        <v>11212</v>
      </c>
      <c r="G1158" t="s">
        <v>57</v>
      </c>
      <c r="H1158">
        <v>1863448</v>
      </c>
      <c r="I1158">
        <v>1864152</v>
      </c>
      <c r="J1158" t="s">
        <v>11213</v>
      </c>
      <c r="K1158">
        <v>235</v>
      </c>
      <c r="L1158" t="s">
        <v>108</v>
      </c>
      <c r="M1158">
        <v>44</v>
      </c>
      <c r="N1158" t="str">
        <f>HYPERLINK("Gene1790-zp_tree_all.dnd", "Gene1790-tree")</f>
        <v>Gene1790-tree</v>
      </c>
      <c r="O1158">
        <v>11</v>
      </c>
      <c r="P1158">
        <v>1</v>
      </c>
      <c r="Q1158">
        <v>11</v>
      </c>
      <c r="R1158">
        <v>1</v>
      </c>
      <c r="S1158">
        <v>8.3330000000000001E-2</v>
      </c>
      <c r="T1158" t="s">
        <v>73</v>
      </c>
      <c r="U1158" t="s">
        <v>175</v>
      </c>
      <c r="V1158" t="s">
        <v>62</v>
      </c>
      <c r="W1158" t="s">
        <v>62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9</v>
      </c>
      <c r="AM1158">
        <v>6</v>
      </c>
      <c r="AN1158">
        <v>16</v>
      </c>
      <c r="AO1158">
        <v>1</v>
      </c>
      <c r="AP1158">
        <v>10</v>
      </c>
      <c r="AQ1158">
        <v>0</v>
      </c>
      <c r="AR1158" t="s">
        <v>11214</v>
      </c>
      <c r="AS1158" t="s">
        <v>193</v>
      </c>
      <c r="AT1158">
        <v>0.34799999999999998</v>
      </c>
      <c r="AU1158" t="s">
        <v>65</v>
      </c>
      <c r="AV1158">
        <v>26</v>
      </c>
      <c r="AW1158">
        <v>1</v>
      </c>
      <c r="AX1158" t="s">
        <v>11215</v>
      </c>
      <c r="AY1158">
        <v>4.1829999999999999E-2</v>
      </c>
      <c r="AZ1158">
        <v>-2.1900000000000001E-3</v>
      </c>
      <c r="BA1158">
        <v>3.1E-4</v>
      </c>
      <c r="BB1158">
        <v>-8.0000000000000007E-5</v>
      </c>
      <c r="BC1158">
        <v>7.3000000000000001E-3</v>
      </c>
      <c r="BD1158">
        <v>1</v>
      </c>
      <c r="BE1158" t="s">
        <v>69</v>
      </c>
      <c r="BF1158">
        <v>-0.25700000000000001</v>
      </c>
      <c r="BG1158">
        <v>-0.27200000000000002</v>
      </c>
    </row>
    <row r="1159" spans="1:59">
      <c r="A1159">
        <v>0</v>
      </c>
      <c r="B1159">
        <v>0</v>
      </c>
      <c r="C1159">
        <v>0</v>
      </c>
      <c r="D1159" t="s">
        <v>25022</v>
      </c>
      <c r="E1159">
        <v>4187</v>
      </c>
      <c r="F1159" t="s">
        <v>24651</v>
      </c>
      <c r="G1159" t="s">
        <v>62</v>
      </c>
      <c r="H1159">
        <v>4153699</v>
      </c>
      <c r="I1159">
        <v>4154403</v>
      </c>
      <c r="J1159" t="s">
        <v>24652</v>
      </c>
      <c r="K1159">
        <v>235</v>
      </c>
      <c r="L1159" t="s">
        <v>59</v>
      </c>
      <c r="M1159">
        <v>49</v>
      </c>
      <c r="N1159" t="str">
        <f>HYPERLINK("Gene4187-zp_tree_all.dnd", "Gene4187-tree")</f>
        <v>Gene4187-tree</v>
      </c>
      <c r="O1159">
        <v>19</v>
      </c>
      <c r="P1159">
        <v>1</v>
      </c>
      <c r="Q1159">
        <v>19</v>
      </c>
      <c r="R1159">
        <v>1</v>
      </c>
      <c r="S1159">
        <v>0.05</v>
      </c>
      <c r="T1159" t="s">
        <v>587</v>
      </c>
      <c r="U1159" t="s">
        <v>175</v>
      </c>
      <c r="V1159" t="s">
        <v>62</v>
      </c>
      <c r="W1159" t="s">
        <v>62</v>
      </c>
      <c r="X1159">
        <v>0</v>
      </c>
      <c r="Y1159">
        <v>0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18</v>
      </c>
      <c r="AM1159">
        <v>13</v>
      </c>
      <c r="AN1159">
        <v>28</v>
      </c>
      <c r="AO1159">
        <v>1</v>
      </c>
      <c r="AP1159">
        <v>46</v>
      </c>
      <c r="AQ1159">
        <v>1</v>
      </c>
      <c r="AR1159" t="s">
        <v>24653</v>
      </c>
      <c r="AS1159" t="s">
        <v>24654</v>
      </c>
      <c r="AT1159">
        <v>8.4000000000000005E-2</v>
      </c>
      <c r="AU1159" t="s">
        <v>65</v>
      </c>
      <c r="AV1159">
        <v>74</v>
      </c>
      <c r="AW1159">
        <v>2</v>
      </c>
      <c r="AX1159" t="s">
        <v>24655</v>
      </c>
      <c r="AY1159">
        <v>8.906E-2</v>
      </c>
      <c r="AZ1159">
        <v>-4.5700000000000003E-3</v>
      </c>
      <c r="BA1159">
        <v>5.2999999999999998E-4</v>
      </c>
      <c r="BB1159">
        <v>-6.0000000000000002E-5</v>
      </c>
      <c r="BC1159">
        <v>5.9500000000000004E-3</v>
      </c>
      <c r="BD1159">
        <v>1</v>
      </c>
      <c r="BE1159" t="s">
        <v>69</v>
      </c>
      <c r="BF1159">
        <v>-1.2230000000000001</v>
      </c>
      <c r="BG1159">
        <v>-0.184</v>
      </c>
    </row>
    <row r="1160" spans="1:59">
      <c r="A1160">
        <v>0</v>
      </c>
      <c r="B1160">
        <v>2</v>
      </c>
      <c r="C1160">
        <v>2</v>
      </c>
      <c r="D1160" t="s">
        <v>25022</v>
      </c>
      <c r="E1160">
        <v>3118</v>
      </c>
      <c r="F1160" t="s">
        <v>18093</v>
      </c>
      <c r="G1160" t="s">
        <v>62</v>
      </c>
      <c r="H1160">
        <v>3071403</v>
      </c>
      <c r="I1160">
        <v>3072110</v>
      </c>
      <c r="J1160" t="s">
        <v>5350</v>
      </c>
      <c r="K1160">
        <v>236</v>
      </c>
      <c r="L1160" t="s">
        <v>108</v>
      </c>
      <c r="M1160">
        <v>44</v>
      </c>
      <c r="N1160" t="str">
        <f>HYPERLINK("Gene3118-zp_tree_all.dnd", "Gene3118-tree")</f>
        <v>Gene3118-tree</v>
      </c>
      <c r="O1160">
        <v>8</v>
      </c>
      <c r="P1160">
        <v>7</v>
      </c>
      <c r="Q1160">
        <v>8</v>
      </c>
      <c r="R1160">
        <v>7</v>
      </c>
      <c r="S1160">
        <v>0.46666999999999997</v>
      </c>
      <c r="T1160" t="s">
        <v>136</v>
      </c>
      <c r="U1160" t="s">
        <v>152</v>
      </c>
      <c r="V1160" t="s">
        <v>62</v>
      </c>
      <c r="W1160" t="s">
        <v>62</v>
      </c>
      <c r="X1160">
        <v>2</v>
      </c>
      <c r="Y1160">
        <v>4</v>
      </c>
      <c r="Z1160">
        <v>9</v>
      </c>
      <c r="AA1160">
        <v>0.30769000000000002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</v>
      </c>
      <c r="AI1160">
        <v>2</v>
      </c>
      <c r="AJ1160">
        <v>7</v>
      </c>
      <c r="AK1160">
        <v>0.22222</v>
      </c>
      <c r="AL1160">
        <v>11</v>
      </c>
      <c r="AM1160">
        <v>9</v>
      </c>
      <c r="AN1160">
        <v>10</v>
      </c>
      <c r="AO1160">
        <v>9</v>
      </c>
      <c r="AP1160">
        <v>14</v>
      </c>
      <c r="AQ1160">
        <v>4</v>
      </c>
      <c r="AR1160" t="s">
        <v>18094</v>
      </c>
      <c r="AS1160" t="s">
        <v>18095</v>
      </c>
      <c r="AT1160">
        <v>0.95699999999999996</v>
      </c>
      <c r="AU1160" t="s">
        <v>65</v>
      </c>
      <c r="AV1160">
        <v>24</v>
      </c>
      <c r="AW1160">
        <v>13</v>
      </c>
      <c r="AX1160" t="s">
        <v>18096</v>
      </c>
      <c r="AY1160">
        <v>3.2239999999999998E-2</v>
      </c>
      <c r="AZ1160">
        <v>-1.39E-3</v>
      </c>
      <c r="BA1160">
        <v>4.0499999999999998E-3</v>
      </c>
      <c r="BB1160">
        <v>-2.7999999999999998E-4</v>
      </c>
      <c r="BC1160">
        <v>0.12559999999999999</v>
      </c>
      <c r="BD1160">
        <v>1</v>
      </c>
      <c r="BE1160" t="s">
        <v>69</v>
      </c>
      <c r="BF1160">
        <v>-0.24299999999999999</v>
      </c>
      <c r="BG1160">
        <v>-0.24099999999999999</v>
      </c>
    </row>
    <row r="1161" spans="1:59">
      <c r="A1161">
        <v>0</v>
      </c>
      <c r="B1161">
        <v>7</v>
      </c>
      <c r="C1161">
        <v>0</v>
      </c>
      <c r="D1161" t="s">
        <v>25022</v>
      </c>
      <c r="E1161">
        <v>1042</v>
      </c>
      <c r="F1161" t="s">
        <v>6539</v>
      </c>
      <c r="G1161" t="s">
        <v>57</v>
      </c>
      <c r="H1161">
        <v>1079422</v>
      </c>
      <c r="I1161">
        <v>1080129</v>
      </c>
      <c r="J1161" t="s">
        <v>2512</v>
      </c>
      <c r="K1161">
        <v>236</v>
      </c>
      <c r="L1161" t="s">
        <v>108</v>
      </c>
      <c r="M1161">
        <v>44</v>
      </c>
      <c r="N1161" t="str">
        <f>HYPERLINK("Gene1042-zp_tree_all.dnd", "Gene1042-tree")</f>
        <v>Gene1042-tree</v>
      </c>
      <c r="O1161">
        <v>5</v>
      </c>
      <c r="P1161">
        <v>10</v>
      </c>
      <c r="Q1161">
        <v>5</v>
      </c>
      <c r="R1161">
        <v>10</v>
      </c>
      <c r="S1161">
        <v>0.66666999999999998</v>
      </c>
      <c r="T1161" t="s">
        <v>199</v>
      </c>
      <c r="U1161" t="s">
        <v>117</v>
      </c>
      <c r="V1161" t="s">
        <v>62</v>
      </c>
      <c r="W1161" t="s">
        <v>62</v>
      </c>
      <c r="X1161">
        <v>3</v>
      </c>
      <c r="Y1161">
        <v>7</v>
      </c>
      <c r="Z1161">
        <v>13</v>
      </c>
      <c r="AA1161">
        <v>0.35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4</v>
      </c>
      <c r="AH1161">
        <v>0</v>
      </c>
      <c r="AI1161">
        <v>4</v>
      </c>
      <c r="AJ1161">
        <v>13</v>
      </c>
      <c r="AK1161">
        <v>0.23529</v>
      </c>
      <c r="AL1161">
        <v>13</v>
      </c>
      <c r="AM1161">
        <v>11</v>
      </c>
      <c r="AN1161">
        <v>27</v>
      </c>
      <c r="AO1161">
        <v>15</v>
      </c>
      <c r="AP1161">
        <v>15</v>
      </c>
      <c r="AQ1161">
        <v>5</v>
      </c>
      <c r="AR1161" t="s">
        <v>6540</v>
      </c>
      <c r="AS1161" t="s">
        <v>6541</v>
      </c>
      <c r="AT1161">
        <v>0.69699999999999995</v>
      </c>
      <c r="AU1161" t="s">
        <v>65</v>
      </c>
      <c r="AV1161">
        <v>42</v>
      </c>
      <c r="AW1161">
        <v>20</v>
      </c>
      <c r="AX1161" t="s">
        <v>6542</v>
      </c>
      <c r="AY1161">
        <v>5.2040000000000003E-2</v>
      </c>
      <c r="AZ1161">
        <v>-1.67E-3</v>
      </c>
      <c r="BA1161">
        <v>5.6699999999999997E-3</v>
      </c>
      <c r="BB1161">
        <v>-2.7E-4</v>
      </c>
      <c r="BC1161">
        <v>0.10902000000000001</v>
      </c>
      <c r="BD1161">
        <v>1</v>
      </c>
      <c r="BE1161" t="s">
        <v>69</v>
      </c>
      <c r="BF1161">
        <v>-0.17399999999999999</v>
      </c>
      <c r="BG1161">
        <v>-0.98</v>
      </c>
    </row>
    <row r="1162" spans="1:59">
      <c r="A1162">
        <v>0</v>
      </c>
      <c r="B1162">
        <v>2</v>
      </c>
      <c r="C1162">
        <v>2</v>
      </c>
      <c r="D1162" t="s">
        <v>25022</v>
      </c>
      <c r="E1162">
        <v>2341</v>
      </c>
      <c r="F1162" t="s">
        <v>13586</v>
      </c>
      <c r="G1162" t="s">
        <v>62</v>
      </c>
      <c r="H1162">
        <v>2358211</v>
      </c>
      <c r="I1162">
        <v>2358918</v>
      </c>
      <c r="J1162" t="s">
        <v>13587</v>
      </c>
      <c r="K1162">
        <v>236</v>
      </c>
      <c r="L1162" t="s">
        <v>13568</v>
      </c>
      <c r="M1162">
        <v>40</v>
      </c>
      <c r="N1162" t="str">
        <f>HYPERLINK("Gene2341-zp_tree_all.dnd", "Gene2341-tree")</f>
        <v>Gene2341-tree</v>
      </c>
      <c r="O1162">
        <v>22</v>
      </c>
      <c r="P1162">
        <v>5</v>
      </c>
      <c r="Q1162">
        <v>6</v>
      </c>
      <c r="R1162">
        <v>5</v>
      </c>
      <c r="S1162">
        <v>0.45455000000000001</v>
      </c>
      <c r="T1162" t="s">
        <v>13588</v>
      </c>
      <c r="U1162" t="s">
        <v>199</v>
      </c>
      <c r="V1162" t="s">
        <v>62</v>
      </c>
      <c r="W1162" t="s">
        <v>62</v>
      </c>
      <c r="X1162">
        <v>2</v>
      </c>
      <c r="Y1162">
        <v>4</v>
      </c>
      <c r="Z1162">
        <v>6</v>
      </c>
      <c r="AA1162">
        <v>0.4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7</v>
      </c>
      <c r="AK1162">
        <v>0</v>
      </c>
      <c r="AL1162">
        <v>8</v>
      </c>
      <c r="AM1162">
        <v>6</v>
      </c>
      <c r="AN1162">
        <v>18</v>
      </c>
      <c r="AO1162">
        <v>7</v>
      </c>
      <c r="AP1162">
        <v>13</v>
      </c>
      <c r="AQ1162">
        <v>3</v>
      </c>
      <c r="AR1162" t="s">
        <v>13589</v>
      </c>
      <c r="AS1162" t="s">
        <v>13590</v>
      </c>
      <c r="AT1162">
        <v>0.46600000000000003</v>
      </c>
      <c r="AU1162" t="s">
        <v>65</v>
      </c>
      <c r="AV1162">
        <v>31</v>
      </c>
      <c r="AW1162">
        <v>10</v>
      </c>
      <c r="AX1162" t="s">
        <v>13591</v>
      </c>
      <c r="AY1162">
        <v>5.6640000000000003E-2</v>
      </c>
      <c r="AZ1162">
        <v>-3.8300000000000001E-3</v>
      </c>
      <c r="BA1162">
        <v>4.1399999999999996E-3</v>
      </c>
      <c r="BB1162">
        <v>-2.4000000000000001E-4</v>
      </c>
      <c r="BC1162">
        <v>7.3109999999999994E-2</v>
      </c>
      <c r="BD1162">
        <v>1</v>
      </c>
      <c r="BE1162" t="s">
        <v>69</v>
      </c>
      <c r="BF1162">
        <v>-0.46600000000000003</v>
      </c>
      <c r="BG1162">
        <v>-2.2879999999999998</v>
      </c>
    </row>
    <row r="1163" spans="1:59">
      <c r="A1163">
        <v>0</v>
      </c>
      <c r="B1163">
        <v>5</v>
      </c>
      <c r="C1163">
        <v>0</v>
      </c>
      <c r="D1163" t="s">
        <v>25022</v>
      </c>
      <c r="E1163">
        <v>1203</v>
      </c>
      <c r="F1163" t="s">
        <v>7570</v>
      </c>
      <c r="G1163" t="s">
        <v>57</v>
      </c>
      <c r="H1163">
        <v>1242449</v>
      </c>
      <c r="I1163">
        <v>1243156</v>
      </c>
      <c r="J1163" t="s">
        <v>7571</v>
      </c>
      <c r="K1163">
        <v>236</v>
      </c>
      <c r="L1163" t="s">
        <v>108</v>
      </c>
      <c r="M1163">
        <v>44</v>
      </c>
      <c r="N1163" t="str">
        <f>HYPERLINK("Gene1203-zp_tree_all.dnd", "Gene1203-tree")</f>
        <v>Gene1203-tree</v>
      </c>
      <c r="O1163">
        <v>7</v>
      </c>
      <c r="P1163">
        <v>7</v>
      </c>
      <c r="Q1163">
        <v>7</v>
      </c>
      <c r="R1163">
        <v>7</v>
      </c>
      <c r="S1163">
        <v>0.5</v>
      </c>
      <c r="T1163" t="s">
        <v>152</v>
      </c>
      <c r="U1163" t="s">
        <v>152</v>
      </c>
      <c r="V1163" t="s">
        <v>62</v>
      </c>
      <c r="W1163" t="s">
        <v>62</v>
      </c>
      <c r="X1163">
        <v>2</v>
      </c>
      <c r="Y1163">
        <v>5</v>
      </c>
      <c r="Z1163">
        <v>8</v>
      </c>
      <c r="AA1163">
        <v>0.38462000000000002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</v>
      </c>
      <c r="AH1163">
        <v>0</v>
      </c>
      <c r="AI1163">
        <v>3</v>
      </c>
      <c r="AJ1163">
        <v>4</v>
      </c>
      <c r="AK1163">
        <v>0.42857000000000001</v>
      </c>
      <c r="AL1163">
        <v>12</v>
      </c>
      <c r="AM1163">
        <v>9</v>
      </c>
      <c r="AN1163">
        <v>23</v>
      </c>
      <c r="AO1163">
        <v>6</v>
      </c>
      <c r="AP1163">
        <v>32</v>
      </c>
      <c r="AQ1163">
        <v>7</v>
      </c>
      <c r="AR1163" t="s">
        <v>7572</v>
      </c>
      <c r="AS1163" t="s">
        <v>7573</v>
      </c>
      <c r="AT1163">
        <v>0.11899999999999999</v>
      </c>
      <c r="AU1163" t="s">
        <v>65</v>
      </c>
      <c r="AV1163">
        <v>55</v>
      </c>
      <c r="AW1163">
        <v>13</v>
      </c>
      <c r="AX1163" t="s">
        <v>7574</v>
      </c>
      <c r="AY1163">
        <v>9.3909999999999993E-2</v>
      </c>
      <c r="AZ1163">
        <v>-4.5500000000000002E-3</v>
      </c>
      <c r="BA1163">
        <v>5.5300000000000002E-3</v>
      </c>
      <c r="BB1163">
        <v>-5.4000000000000001E-4</v>
      </c>
      <c r="BC1163">
        <v>5.8840000000000003E-2</v>
      </c>
      <c r="BD1163">
        <v>1</v>
      </c>
      <c r="BE1163" t="s">
        <v>69</v>
      </c>
      <c r="BF1163">
        <v>0.44800000000000001</v>
      </c>
      <c r="BG1163">
        <v>0.32300000000000001</v>
      </c>
    </row>
    <row r="1164" spans="1:59">
      <c r="A1164">
        <v>0</v>
      </c>
      <c r="B1164">
        <v>0</v>
      </c>
      <c r="C1164">
        <v>0</v>
      </c>
      <c r="D1164" t="s">
        <v>25022</v>
      </c>
      <c r="E1164">
        <v>1475</v>
      </c>
      <c r="F1164" t="s">
        <v>9218</v>
      </c>
      <c r="G1164" t="s">
        <v>57</v>
      </c>
      <c r="H1164">
        <v>1488973</v>
      </c>
      <c r="I1164">
        <v>1489680</v>
      </c>
      <c r="J1164" t="s">
        <v>9219</v>
      </c>
      <c r="K1164">
        <v>236</v>
      </c>
      <c r="L1164" t="s">
        <v>59</v>
      </c>
      <c r="M1164">
        <v>49</v>
      </c>
      <c r="N1164" t="str">
        <f>HYPERLINK("Gene1475-zp_tree_all.dnd", "Gene1475-tree")</f>
        <v>Gene1475-tree</v>
      </c>
      <c r="O1164">
        <v>18</v>
      </c>
      <c r="P1164">
        <v>2</v>
      </c>
      <c r="Q1164">
        <v>18</v>
      </c>
      <c r="R1164">
        <v>2</v>
      </c>
      <c r="S1164">
        <v>0.1</v>
      </c>
      <c r="T1164" t="s">
        <v>144</v>
      </c>
      <c r="U1164" t="s">
        <v>81</v>
      </c>
      <c r="V1164" t="s">
        <v>62</v>
      </c>
      <c r="W1164" t="s">
        <v>62</v>
      </c>
      <c r="X1164">
        <v>0</v>
      </c>
      <c r="Y1164">
        <v>0</v>
      </c>
      <c r="Z1164">
        <v>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</v>
      </c>
      <c r="AK1164">
        <v>0</v>
      </c>
      <c r="AL1164">
        <v>17</v>
      </c>
      <c r="AM1164">
        <v>12</v>
      </c>
      <c r="AN1164">
        <v>35</v>
      </c>
      <c r="AO1164">
        <v>2</v>
      </c>
      <c r="AP1164">
        <v>44</v>
      </c>
      <c r="AQ1164">
        <v>1</v>
      </c>
      <c r="AR1164" t="s">
        <v>9220</v>
      </c>
      <c r="AS1164" t="s">
        <v>9221</v>
      </c>
      <c r="AT1164">
        <v>0.255</v>
      </c>
      <c r="AU1164" t="s">
        <v>65</v>
      </c>
      <c r="AV1164">
        <v>79</v>
      </c>
      <c r="AW1164">
        <v>3</v>
      </c>
      <c r="AX1164" t="s">
        <v>9222</v>
      </c>
      <c r="AY1164">
        <v>9.3520000000000006E-2</v>
      </c>
      <c r="AZ1164">
        <v>-5.0699999999999999E-3</v>
      </c>
      <c r="BA1164">
        <v>1.1299999999999999E-3</v>
      </c>
      <c r="BB1164">
        <v>-9.0000000000000006E-5</v>
      </c>
      <c r="BC1164">
        <v>1.205E-2</v>
      </c>
      <c r="BD1164">
        <v>1</v>
      </c>
      <c r="BE1164" t="s">
        <v>69</v>
      </c>
      <c r="BF1164">
        <v>-1.0269999999999999</v>
      </c>
      <c r="BG1164">
        <v>-1.2749999999999999</v>
      </c>
    </row>
    <row r="1165" spans="1:59">
      <c r="A1165">
        <v>0</v>
      </c>
      <c r="B1165">
        <v>10</v>
      </c>
      <c r="C1165">
        <v>4</v>
      </c>
      <c r="D1165" t="s">
        <v>25022</v>
      </c>
      <c r="E1165">
        <v>3981</v>
      </c>
      <c r="F1165" t="s">
        <v>23401</v>
      </c>
      <c r="G1165" t="s">
        <v>62</v>
      </c>
      <c r="H1165">
        <v>3945533</v>
      </c>
      <c r="I1165">
        <v>3946243</v>
      </c>
      <c r="J1165" t="s">
        <v>1856</v>
      </c>
      <c r="K1165">
        <v>237</v>
      </c>
      <c r="L1165" t="s">
        <v>108</v>
      </c>
      <c r="M1165">
        <v>44</v>
      </c>
      <c r="N1165" t="str">
        <f>HYPERLINK("Gene3981-zp_tree_all.dnd", "Gene3981-tree")</f>
        <v>Gene3981-tree</v>
      </c>
      <c r="O1165">
        <v>5</v>
      </c>
      <c r="P1165">
        <v>9</v>
      </c>
      <c r="Q1165">
        <v>5</v>
      </c>
      <c r="R1165">
        <v>9</v>
      </c>
      <c r="S1165">
        <v>0.64285999999999999</v>
      </c>
      <c r="T1165" t="s">
        <v>199</v>
      </c>
      <c r="U1165" t="s">
        <v>135</v>
      </c>
      <c r="V1165" t="s">
        <v>62</v>
      </c>
      <c r="W1165" t="s">
        <v>62</v>
      </c>
      <c r="X1165">
        <v>5</v>
      </c>
      <c r="Y1165">
        <v>14</v>
      </c>
      <c r="Z1165">
        <v>9</v>
      </c>
      <c r="AA1165">
        <v>0.60870000000000002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7</v>
      </c>
      <c r="AH1165">
        <v>2</v>
      </c>
      <c r="AI1165">
        <v>9</v>
      </c>
      <c r="AJ1165">
        <v>9</v>
      </c>
      <c r="AK1165">
        <v>0.5</v>
      </c>
      <c r="AL1165">
        <v>11</v>
      </c>
      <c r="AM1165">
        <v>10</v>
      </c>
      <c r="AN1165">
        <v>12</v>
      </c>
      <c r="AO1165">
        <v>18</v>
      </c>
      <c r="AP1165">
        <v>20</v>
      </c>
      <c r="AQ1165">
        <v>6</v>
      </c>
      <c r="AR1165" t="s">
        <v>23402</v>
      </c>
      <c r="AS1165" t="s">
        <v>23403</v>
      </c>
      <c r="AT1165">
        <v>1.202</v>
      </c>
      <c r="AU1165" t="s">
        <v>65</v>
      </c>
      <c r="AV1165">
        <v>32</v>
      </c>
      <c r="AW1165">
        <v>24</v>
      </c>
      <c r="AX1165" t="s">
        <v>23404</v>
      </c>
      <c r="AY1165">
        <v>3.9350000000000003E-2</v>
      </c>
      <c r="AZ1165">
        <v>-1.9E-3</v>
      </c>
      <c r="BA1165">
        <v>7.3499999999999998E-3</v>
      </c>
      <c r="BB1165">
        <v>-4.2999999999999999E-4</v>
      </c>
      <c r="BC1165">
        <v>0.18686</v>
      </c>
      <c r="BD1165">
        <v>1</v>
      </c>
      <c r="BE1165" t="s">
        <v>69</v>
      </c>
      <c r="BF1165">
        <v>0.17299999999999999</v>
      </c>
      <c r="BG1165">
        <v>-0.16900000000000001</v>
      </c>
    </row>
    <row r="1166" spans="1:59">
      <c r="A1166">
        <v>0</v>
      </c>
      <c r="B1166">
        <v>7</v>
      </c>
      <c r="C1166">
        <v>3</v>
      </c>
      <c r="D1166" t="s">
        <v>25022</v>
      </c>
      <c r="E1166">
        <v>930</v>
      </c>
      <c r="F1166" t="s">
        <v>5821</v>
      </c>
      <c r="G1166" t="s">
        <v>57</v>
      </c>
      <c r="H1166">
        <v>971374</v>
      </c>
      <c r="I1166">
        <v>972084</v>
      </c>
      <c r="J1166" t="s">
        <v>5822</v>
      </c>
      <c r="K1166">
        <v>237</v>
      </c>
      <c r="L1166" t="s">
        <v>108</v>
      </c>
      <c r="M1166">
        <v>44</v>
      </c>
      <c r="N1166" t="str">
        <f>HYPERLINK("Gene930-zp_tree_all.dnd", "Gene930-tree")</f>
        <v>Gene930-tree</v>
      </c>
      <c r="O1166">
        <v>4</v>
      </c>
      <c r="P1166">
        <v>12</v>
      </c>
      <c r="Q1166">
        <v>4</v>
      </c>
      <c r="R1166">
        <v>12</v>
      </c>
      <c r="S1166">
        <v>0.75</v>
      </c>
      <c r="T1166" t="s">
        <v>61</v>
      </c>
      <c r="U1166" t="s">
        <v>109</v>
      </c>
      <c r="V1166" t="s">
        <v>62</v>
      </c>
      <c r="W1166" t="s">
        <v>62</v>
      </c>
      <c r="X1166">
        <v>4</v>
      </c>
      <c r="Y1166">
        <v>10</v>
      </c>
      <c r="Z1166">
        <v>13</v>
      </c>
      <c r="AA1166">
        <v>0.43478</v>
      </c>
      <c r="AB1166">
        <v>0</v>
      </c>
      <c r="AC1166">
        <v>0</v>
      </c>
      <c r="AD1166">
        <v>0</v>
      </c>
      <c r="AE1166">
        <v>2</v>
      </c>
      <c r="AF1166">
        <v>0</v>
      </c>
      <c r="AG1166">
        <v>6</v>
      </c>
      <c r="AH1166">
        <v>1</v>
      </c>
      <c r="AI1166">
        <v>7</v>
      </c>
      <c r="AJ1166">
        <v>13</v>
      </c>
      <c r="AK1166">
        <v>0.35</v>
      </c>
      <c r="AL1166">
        <v>12</v>
      </c>
      <c r="AM1166">
        <v>10</v>
      </c>
      <c r="AN1166">
        <v>24</v>
      </c>
      <c r="AO1166">
        <v>19</v>
      </c>
      <c r="AP1166">
        <v>15</v>
      </c>
      <c r="AQ1166">
        <v>5</v>
      </c>
      <c r="AR1166" t="s">
        <v>5823</v>
      </c>
      <c r="AS1166" t="s">
        <v>5824</v>
      </c>
      <c r="AT1166">
        <v>0.79100000000000004</v>
      </c>
      <c r="AU1166" t="s">
        <v>65</v>
      </c>
      <c r="AV1166">
        <v>39</v>
      </c>
      <c r="AW1166">
        <v>24</v>
      </c>
      <c r="AX1166" t="s">
        <v>5825</v>
      </c>
      <c r="AY1166">
        <v>4.2849999999999999E-2</v>
      </c>
      <c r="AZ1166">
        <v>-1.9599999999999999E-3</v>
      </c>
      <c r="BA1166">
        <v>6.7099999999999998E-3</v>
      </c>
      <c r="BB1166">
        <v>-2.7E-4</v>
      </c>
      <c r="BC1166">
        <v>0.15654000000000001</v>
      </c>
      <c r="BD1166">
        <v>1</v>
      </c>
      <c r="BE1166" t="s">
        <v>69</v>
      </c>
      <c r="BF1166">
        <v>-0.53700000000000003</v>
      </c>
      <c r="BG1166">
        <v>-1.147</v>
      </c>
    </row>
    <row r="1167" spans="1:59">
      <c r="A1167">
        <v>0</v>
      </c>
      <c r="B1167">
        <v>4</v>
      </c>
      <c r="C1167">
        <v>0</v>
      </c>
      <c r="D1167" t="s">
        <v>25022</v>
      </c>
      <c r="E1167">
        <v>3757</v>
      </c>
      <c r="F1167" t="s">
        <v>22011</v>
      </c>
      <c r="G1167" t="s">
        <v>62</v>
      </c>
      <c r="H1167">
        <v>3731825</v>
      </c>
      <c r="I1167">
        <v>3732535</v>
      </c>
      <c r="J1167" t="s">
        <v>22012</v>
      </c>
      <c r="K1167">
        <v>237</v>
      </c>
      <c r="L1167" t="s">
        <v>108</v>
      </c>
      <c r="M1167">
        <v>44</v>
      </c>
      <c r="N1167" t="str">
        <f>HYPERLINK("Gene3757-zp_tree_all.dnd", "Gene3757-tree")</f>
        <v>Gene3757-tree</v>
      </c>
      <c r="O1167">
        <v>8</v>
      </c>
      <c r="P1167">
        <v>5</v>
      </c>
      <c r="Q1167">
        <v>8</v>
      </c>
      <c r="R1167">
        <v>5</v>
      </c>
      <c r="S1167">
        <v>0.38462000000000002</v>
      </c>
      <c r="T1167" t="s">
        <v>136</v>
      </c>
      <c r="U1167" t="s">
        <v>199</v>
      </c>
      <c r="V1167" t="s">
        <v>62</v>
      </c>
      <c r="W1167" t="s">
        <v>62</v>
      </c>
      <c r="X1167">
        <v>2</v>
      </c>
      <c r="Y1167">
        <v>4</v>
      </c>
      <c r="Z1167">
        <v>7</v>
      </c>
      <c r="AA1167">
        <v>0.36364000000000002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</v>
      </c>
      <c r="AH1167">
        <v>0</v>
      </c>
      <c r="AI1167">
        <v>2</v>
      </c>
      <c r="AJ1167">
        <v>5</v>
      </c>
      <c r="AK1167">
        <v>0.28571000000000002</v>
      </c>
      <c r="AL1167">
        <v>11</v>
      </c>
      <c r="AM1167">
        <v>6</v>
      </c>
      <c r="AN1167">
        <v>23</v>
      </c>
      <c r="AO1167">
        <v>7</v>
      </c>
      <c r="AP1167">
        <v>11</v>
      </c>
      <c r="AQ1167">
        <v>4</v>
      </c>
      <c r="AR1167" t="s">
        <v>22013</v>
      </c>
      <c r="AS1167" t="s">
        <v>22014</v>
      </c>
      <c r="AT1167">
        <v>0.11700000000000001</v>
      </c>
      <c r="AU1167" t="s">
        <v>65</v>
      </c>
      <c r="AV1167">
        <v>34</v>
      </c>
      <c r="AW1167">
        <v>11</v>
      </c>
      <c r="AX1167" t="s">
        <v>22015</v>
      </c>
      <c r="AY1167">
        <v>4.1579999999999999E-2</v>
      </c>
      <c r="AZ1167">
        <v>-2.7399999999999998E-3</v>
      </c>
      <c r="BA1167">
        <v>4.7299999999999998E-3</v>
      </c>
      <c r="BB1167">
        <v>-3.6999999999999999E-4</v>
      </c>
      <c r="BC1167">
        <v>0.11384</v>
      </c>
      <c r="BD1167">
        <v>1</v>
      </c>
      <c r="BE1167" t="s">
        <v>69</v>
      </c>
      <c r="BF1167">
        <v>0.60699999999999998</v>
      </c>
      <c r="BG1167">
        <v>0.57099999999999995</v>
      </c>
    </row>
    <row r="1168" spans="1:59">
      <c r="A1168">
        <v>0</v>
      </c>
      <c r="B1168">
        <v>0</v>
      </c>
      <c r="C1168">
        <v>0</v>
      </c>
      <c r="D1168" t="s">
        <v>25022</v>
      </c>
      <c r="E1168">
        <v>154</v>
      </c>
      <c r="F1168" t="s">
        <v>1087</v>
      </c>
      <c r="G1168" t="s">
        <v>57</v>
      </c>
      <c r="H1168">
        <v>156612</v>
      </c>
      <c r="I1168">
        <v>157322</v>
      </c>
      <c r="J1168" t="s">
        <v>1088</v>
      </c>
      <c r="K1168">
        <v>237</v>
      </c>
      <c r="L1168" t="s">
        <v>108</v>
      </c>
      <c r="M1168">
        <v>44</v>
      </c>
      <c r="N1168" t="str">
        <f>HYPERLINK("Gene154-zp_tree_all.dnd", "Gene154-tree")</f>
        <v>Gene154-tree</v>
      </c>
      <c r="O1168">
        <v>10</v>
      </c>
      <c r="P1168">
        <v>2</v>
      </c>
      <c r="Q1168">
        <v>10</v>
      </c>
      <c r="R1168">
        <v>2</v>
      </c>
      <c r="S1168">
        <v>0.16667000000000001</v>
      </c>
      <c r="T1168" t="s">
        <v>117</v>
      </c>
      <c r="U1168" t="s">
        <v>81</v>
      </c>
      <c r="V1168" t="s">
        <v>62</v>
      </c>
      <c r="W1168" t="s">
        <v>62</v>
      </c>
      <c r="X1168">
        <v>0</v>
      </c>
      <c r="Y1168">
        <v>0</v>
      </c>
      <c r="Z1168">
        <v>5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0</v>
      </c>
      <c r="AL1168">
        <v>8</v>
      </c>
      <c r="AM1168">
        <v>6</v>
      </c>
      <c r="AN1168">
        <v>13</v>
      </c>
      <c r="AO1168">
        <v>2</v>
      </c>
      <c r="AP1168">
        <v>8</v>
      </c>
      <c r="AQ1168">
        <v>3</v>
      </c>
      <c r="AR1168" t="s">
        <v>1089</v>
      </c>
      <c r="AS1168" t="s">
        <v>1090</v>
      </c>
      <c r="AT1168">
        <v>0.88100000000000001</v>
      </c>
      <c r="AU1168" t="s">
        <v>65</v>
      </c>
      <c r="AV1168">
        <v>21</v>
      </c>
      <c r="AW1168">
        <v>5</v>
      </c>
      <c r="AX1168" t="s">
        <v>1091</v>
      </c>
      <c r="AY1168">
        <v>3.2669999999999998E-2</v>
      </c>
      <c r="AZ1168">
        <v>-1.6900000000000001E-3</v>
      </c>
      <c r="BA1168">
        <v>3.0999999999999999E-3</v>
      </c>
      <c r="BB1168">
        <v>-2.3000000000000001E-4</v>
      </c>
      <c r="BC1168">
        <v>9.5000000000000001E-2</v>
      </c>
      <c r="BD1168">
        <v>1</v>
      </c>
      <c r="BE1168" t="s">
        <v>69</v>
      </c>
      <c r="BF1168">
        <v>-0.58499999999999996</v>
      </c>
      <c r="BG1168">
        <v>-0.82399999999999995</v>
      </c>
    </row>
    <row r="1169" spans="1:59">
      <c r="A1169">
        <v>0</v>
      </c>
      <c r="B1169">
        <v>2</v>
      </c>
      <c r="C1169">
        <v>0</v>
      </c>
      <c r="D1169" t="s">
        <v>25022</v>
      </c>
      <c r="E1169">
        <v>3598</v>
      </c>
      <c r="F1169" t="s">
        <v>21126</v>
      </c>
      <c r="G1169" t="s">
        <v>62</v>
      </c>
      <c r="H1169">
        <v>3567425</v>
      </c>
      <c r="I1169">
        <v>3568135</v>
      </c>
      <c r="J1169" t="s">
        <v>21127</v>
      </c>
      <c r="K1169">
        <v>237</v>
      </c>
      <c r="L1169" t="s">
        <v>108</v>
      </c>
      <c r="M1169">
        <v>44</v>
      </c>
      <c r="N1169" t="str">
        <f>HYPERLINK("Gene3598-zp_tree_all.dnd", "Gene3598-tree")</f>
        <v>Gene3598-tree</v>
      </c>
      <c r="O1169">
        <v>6</v>
      </c>
      <c r="P1169">
        <v>4</v>
      </c>
      <c r="Q1169">
        <v>6</v>
      </c>
      <c r="R1169">
        <v>4</v>
      </c>
      <c r="S1169">
        <v>0.4</v>
      </c>
      <c r="T1169" t="s">
        <v>90</v>
      </c>
      <c r="U1169" t="s">
        <v>61</v>
      </c>
      <c r="V1169" t="s">
        <v>62</v>
      </c>
      <c r="W1169" t="s">
        <v>62</v>
      </c>
      <c r="X1169">
        <v>1</v>
      </c>
      <c r="Y1169">
        <v>2</v>
      </c>
      <c r="Z1169">
        <v>5</v>
      </c>
      <c r="AA1169">
        <v>0.28571000000000002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5</v>
      </c>
      <c r="AK1169">
        <v>0</v>
      </c>
      <c r="AL1169">
        <v>9</v>
      </c>
      <c r="AM1169">
        <v>5</v>
      </c>
      <c r="AN1169">
        <v>23</v>
      </c>
      <c r="AO1169">
        <v>5</v>
      </c>
      <c r="AP1169">
        <v>14</v>
      </c>
      <c r="AQ1169">
        <v>3</v>
      </c>
      <c r="AR1169" t="s">
        <v>21128</v>
      </c>
      <c r="AS1169" t="s">
        <v>21129</v>
      </c>
      <c r="AT1169">
        <v>6.0000000000000001E-3</v>
      </c>
      <c r="AU1169" t="s">
        <v>65</v>
      </c>
      <c r="AV1169">
        <v>37</v>
      </c>
      <c r="AW1169">
        <v>8</v>
      </c>
      <c r="AX1169" t="s">
        <v>21130</v>
      </c>
      <c r="AY1169">
        <v>6.4799999999999996E-2</v>
      </c>
      <c r="AZ1169">
        <v>-4.2199999999999998E-3</v>
      </c>
      <c r="BA1169">
        <v>4.45E-3</v>
      </c>
      <c r="BB1169">
        <v>-4.0000000000000002E-4</v>
      </c>
      <c r="BC1169">
        <v>6.8610000000000004E-2</v>
      </c>
      <c r="BD1169">
        <v>1</v>
      </c>
      <c r="BE1169" t="s">
        <v>69</v>
      </c>
      <c r="BF1169">
        <v>0.55400000000000005</v>
      </c>
      <c r="BG1169">
        <v>-0.17199999999999999</v>
      </c>
    </row>
    <row r="1170" spans="1:59">
      <c r="A1170">
        <v>0</v>
      </c>
      <c r="B1170">
        <v>3</v>
      </c>
      <c r="C1170">
        <v>2</v>
      </c>
      <c r="D1170" t="s">
        <v>25022</v>
      </c>
      <c r="E1170">
        <v>603</v>
      </c>
      <c r="F1170" t="s">
        <v>3887</v>
      </c>
      <c r="G1170" t="s">
        <v>57</v>
      </c>
      <c r="H1170">
        <v>630170</v>
      </c>
      <c r="I1170">
        <v>630880</v>
      </c>
      <c r="J1170" t="s">
        <v>1703</v>
      </c>
      <c r="K1170">
        <v>237</v>
      </c>
      <c r="L1170" t="s">
        <v>409</v>
      </c>
      <c r="M1170">
        <v>45</v>
      </c>
      <c r="N1170" t="str">
        <f>HYPERLINK("Gene603-zp_tree_all.dnd", "Gene603-tree")</f>
        <v>Gene603-tree</v>
      </c>
      <c r="O1170">
        <v>9</v>
      </c>
      <c r="P1170">
        <v>4</v>
      </c>
      <c r="Q1170">
        <v>9</v>
      </c>
      <c r="R1170">
        <v>4</v>
      </c>
      <c r="S1170">
        <v>0.30769000000000002</v>
      </c>
      <c r="T1170" t="s">
        <v>135</v>
      </c>
      <c r="U1170" t="s">
        <v>61</v>
      </c>
      <c r="V1170" t="s">
        <v>62</v>
      </c>
      <c r="W1170" t="s">
        <v>62</v>
      </c>
      <c r="X1170">
        <v>2</v>
      </c>
      <c r="Y1170">
        <v>5</v>
      </c>
      <c r="Z1170">
        <v>9</v>
      </c>
      <c r="AA1170">
        <v>0.35714000000000001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2</v>
      </c>
      <c r="AJ1170">
        <v>4</v>
      </c>
      <c r="AK1170">
        <v>0.33333000000000002</v>
      </c>
      <c r="AL1170">
        <v>11</v>
      </c>
      <c r="AM1170">
        <v>8</v>
      </c>
      <c r="AN1170">
        <v>39</v>
      </c>
      <c r="AO1170">
        <v>6</v>
      </c>
      <c r="AP1170">
        <v>24</v>
      </c>
      <c r="AQ1170">
        <v>8</v>
      </c>
      <c r="AR1170" t="s">
        <v>3888</v>
      </c>
      <c r="AS1170" t="s">
        <v>3889</v>
      </c>
      <c r="AT1170">
        <v>0.41699999999999998</v>
      </c>
      <c r="AU1170" t="s">
        <v>65</v>
      </c>
      <c r="AV1170">
        <v>63</v>
      </c>
      <c r="AW1170">
        <v>14</v>
      </c>
      <c r="AX1170" t="s">
        <v>3890</v>
      </c>
      <c r="AY1170">
        <v>8.8220000000000007E-2</v>
      </c>
      <c r="AZ1170">
        <v>-6.3600000000000002E-3</v>
      </c>
      <c r="BA1170">
        <v>5.6800000000000002E-3</v>
      </c>
      <c r="BB1170">
        <v>-5.5999999999999995E-4</v>
      </c>
      <c r="BC1170">
        <v>6.4399999999999999E-2</v>
      </c>
      <c r="BD1170">
        <v>1</v>
      </c>
      <c r="BE1170" t="s">
        <v>69</v>
      </c>
      <c r="BF1170">
        <v>-0.70899999999999996</v>
      </c>
      <c r="BG1170">
        <v>0.37</v>
      </c>
    </row>
    <row r="1171" spans="1:59">
      <c r="A1171">
        <v>0</v>
      </c>
      <c r="B1171">
        <v>0</v>
      </c>
      <c r="C1171">
        <v>0</v>
      </c>
      <c r="D1171" t="s">
        <v>25022</v>
      </c>
      <c r="E1171">
        <v>3447</v>
      </c>
      <c r="F1171" t="s">
        <v>20186</v>
      </c>
      <c r="G1171" t="s">
        <v>62</v>
      </c>
      <c r="H1171">
        <v>3408356</v>
      </c>
      <c r="I1171">
        <v>3409066</v>
      </c>
      <c r="J1171" t="s">
        <v>20187</v>
      </c>
      <c r="K1171">
        <v>237</v>
      </c>
      <c r="L1171" t="s">
        <v>108</v>
      </c>
      <c r="M1171">
        <v>44</v>
      </c>
      <c r="N1171" t="str">
        <f>HYPERLINK("Gene3447-zp_tree_all.dnd", "Gene3447-tree")</f>
        <v>Gene3447-tree</v>
      </c>
      <c r="O1171">
        <v>12</v>
      </c>
      <c r="P1171">
        <v>0</v>
      </c>
      <c r="Q1171">
        <v>12</v>
      </c>
      <c r="R1171">
        <v>0</v>
      </c>
      <c r="S1171">
        <v>0</v>
      </c>
      <c r="T1171" t="s">
        <v>109</v>
      </c>
      <c r="U1171" t="s">
        <v>62</v>
      </c>
      <c r="V1171" t="s">
        <v>62</v>
      </c>
      <c r="W1171" t="s">
        <v>62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9</v>
      </c>
      <c r="AM1171">
        <v>5</v>
      </c>
      <c r="AN1171">
        <v>18</v>
      </c>
      <c r="AO1171">
        <v>0</v>
      </c>
      <c r="AP1171">
        <v>6</v>
      </c>
      <c r="AQ1171">
        <v>0</v>
      </c>
      <c r="AR1171" t="s">
        <v>193</v>
      </c>
      <c r="AS1171" t="s">
        <v>193</v>
      </c>
      <c r="AT1171">
        <v>0</v>
      </c>
      <c r="AU1171" t="s">
        <v>65</v>
      </c>
      <c r="AV1171">
        <v>24</v>
      </c>
      <c r="AW1171">
        <v>0</v>
      </c>
      <c r="AX1171" t="s">
        <v>15870</v>
      </c>
      <c r="AY1171">
        <v>2.9090000000000001E-2</v>
      </c>
      <c r="AZ1171">
        <v>-1.89E-3</v>
      </c>
      <c r="BA1171">
        <v>4.8000000000000001E-4</v>
      </c>
      <c r="BB1171">
        <v>-1E-4</v>
      </c>
      <c r="BC1171">
        <v>1.6410000000000001E-2</v>
      </c>
      <c r="BD1171">
        <v>1</v>
      </c>
      <c r="BE1171" t="s">
        <v>69</v>
      </c>
      <c r="BF1171">
        <v>-1.659</v>
      </c>
      <c r="BG1171">
        <v>-2.758</v>
      </c>
    </row>
    <row r="1172" spans="1:59">
      <c r="A1172">
        <v>0</v>
      </c>
      <c r="B1172">
        <v>4</v>
      </c>
      <c r="C1172">
        <v>2</v>
      </c>
      <c r="D1172" t="s">
        <v>25022</v>
      </c>
      <c r="E1172">
        <v>929</v>
      </c>
      <c r="F1172" t="s">
        <v>5814</v>
      </c>
      <c r="G1172" t="s">
        <v>57</v>
      </c>
      <c r="H1172">
        <v>970667</v>
      </c>
      <c r="I1172">
        <v>971380</v>
      </c>
      <c r="J1172" t="s">
        <v>5815</v>
      </c>
      <c r="K1172">
        <v>238</v>
      </c>
      <c r="L1172" t="s">
        <v>108</v>
      </c>
      <c r="M1172">
        <v>44</v>
      </c>
      <c r="N1172" t="str">
        <f>HYPERLINK("Gene929-zp_tree_all.dnd", "Gene929-tree")</f>
        <v>Gene929-tree</v>
      </c>
      <c r="O1172">
        <v>6</v>
      </c>
      <c r="P1172">
        <v>8</v>
      </c>
      <c r="Q1172">
        <v>6</v>
      </c>
      <c r="R1172">
        <v>8</v>
      </c>
      <c r="S1172">
        <v>0.57142999999999999</v>
      </c>
      <c r="T1172" t="s">
        <v>90</v>
      </c>
      <c r="U1172" t="s">
        <v>136</v>
      </c>
      <c r="V1172" t="s">
        <v>62</v>
      </c>
      <c r="W1172" t="s">
        <v>62</v>
      </c>
      <c r="X1172">
        <v>2</v>
      </c>
      <c r="Y1172">
        <v>6</v>
      </c>
      <c r="Z1172">
        <v>11</v>
      </c>
      <c r="AA1172">
        <v>0.35293999999999998</v>
      </c>
      <c r="AB1172">
        <v>0</v>
      </c>
      <c r="AC1172">
        <v>0</v>
      </c>
      <c r="AD1172">
        <v>0</v>
      </c>
      <c r="AE1172">
        <v>2</v>
      </c>
      <c r="AF1172">
        <v>0</v>
      </c>
      <c r="AG1172">
        <v>2</v>
      </c>
      <c r="AH1172">
        <v>2</v>
      </c>
      <c r="AI1172">
        <v>4</v>
      </c>
      <c r="AJ1172">
        <v>10</v>
      </c>
      <c r="AK1172">
        <v>0.28571000000000002</v>
      </c>
      <c r="AL1172">
        <v>8</v>
      </c>
      <c r="AM1172">
        <v>8</v>
      </c>
      <c r="AN1172">
        <v>9</v>
      </c>
      <c r="AO1172">
        <v>12</v>
      </c>
      <c r="AP1172">
        <v>4</v>
      </c>
      <c r="AQ1172">
        <v>6</v>
      </c>
      <c r="AR1172" t="s">
        <v>5816</v>
      </c>
      <c r="AS1172" t="s">
        <v>5817</v>
      </c>
      <c r="AT1172">
        <v>0.185</v>
      </c>
      <c r="AU1172" t="s">
        <v>65</v>
      </c>
      <c r="AV1172">
        <v>13</v>
      </c>
      <c r="AW1172">
        <v>18</v>
      </c>
      <c r="AX1172" t="s">
        <v>5818</v>
      </c>
      <c r="AY1172">
        <v>1.866E-2</v>
      </c>
      <c r="AZ1172">
        <v>-8.9999999999999998E-4</v>
      </c>
      <c r="BA1172">
        <v>5.3800000000000002E-3</v>
      </c>
      <c r="BB1172">
        <v>-2.9999999999999997E-4</v>
      </c>
      <c r="BC1172">
        <v>0.28853000000000001</v>
      </c>
      <c r="BD1172">
        <v>0.98</v>
      </c>
      <c r="BE1172" t="s">
        <v>69</v>
      </c>
      <c r="BF1172">
        <v>-0.93899999999999995</v>
      </c>
      <c r="BG1172">
        <v>-0.54300000000000004</v>
      </c>
    </row>
    <row r="1173" spans="1:59">
      <c r="A1173">
        <v>0</v>
      </c>
      <c r="B1173">
        <v>8</v>
      </c>
      <c r="C1173">
        <v>0</v>
      </c>
      <c r="D1173" t="s">
        <v>25022</v>
      </c>
      <c r="E1173">
        <v>3532</v>
      </c>
      <c r="F1173" t="s">
        <v>20690</v>
      </c>
      <c r="G1173" t="s">
        <v>62</v>
      </c>
      <c r="H1173">
        <v>3494988</v>
      </c>
      <c r="I1173">
        <v>3495701</v>
      </c>
      <c r="J1173" t="s">
        <v>20691</v>
      </c>
      <c r="K1173">
        <v>238</v>
      </c>
      <c r="L1173" t="s">
        <v>108</v>
      </c>
      <c r="M1173">
        <v>44</v>
      </c>
      <c r="N1173" t="str">
        <f>HYPERLINK("Gene3532-zp_tree_all.dnd", "Gene3532-tree")</f>
        <v>Gene3532-tree</v>
      </c>
      <c r="O1173">
        <v>9</v>
      </c>
      <c r="P1173">
        <v>27</v>
      </c>
      <c r="Q1173">
        <v>9</v>
      </c>
      <c r="R1173">
        <v>6</v>
      </c>
      <c r="S1173">
        <v>0.4</v>
      </c>
      <c r="T1173" t="s">
        <v>135</v>
      </c>
      <c r="U1173" t="s">
        <v>1055</v>
      </c>
      <c r="V1173">
        <v>4.8129999999999997</v>
      </c>
      <c r="W1173" t="s">
        <v>65</v>
      </c>
      <c r="X1173">
        <v>2</v>
      </c>
      <c r="Y1173">
        <v>8</v>
      </c>
      <c r="Z1173">
        <v>6</v>
      </c>
      <c r="AA1173">
        <v>0.57142999999999999</v>
      </c>
      <c r="AB1173">
        <v>0</v>
      </c>
      <c r="AC1173">
        <v>0</v>
      </c>
      <c r="AD1173">
        <v>0</v>
      </c>
      <c r="AE1173">
        <v>2</v>
      </c>
      <c r="AF1173">
        <v>0</v>
      </c>
      <c r="AG1173">
        <v>5</v>
      </c>
      <c r="AH1173">
        <v>0</v>
      </c>
      <c r="AI1173">
        <v>5</v>
      </c>
      <c r="AJ1173">
        <v>2</v>
      </c>
      <c r="AK1173">
        <v>0.71428999999999998</v>
      </c>
      <c r="AL1173">
        <v>11</v>
      </c>
      <c r="AM1173">
        <v>10</v>
      </c>
      <c r="AN1173">
        <v>17</v>
      </c>
      <c r="AO1173">
        <v>6</v>
      </c>
      <c r="AP1173">
        <v>22</v>
      </c>
      <c r="AQ1173">
        <v>9</v>
      </c>
      <c r="AR1173" t="s">
        <v>20692</v>
      </c>
      <c r="AS1173" t="s">
        <v>20693</v>
      </c>
      <c r="AT1173">
        <v>0.151</v>
      </c>
      <c r="AU1173" t="s">
        <v>65</v>
      </c>
      <c r="AV1173">
        <v>39</v>
      </c>
      <c r="AW1173">
        <v>15</v>
      </c>
      <c r="AX1173" t="s">
        <v>20694</v>
      </c>
      <c r="AY1173">
        <v>5.5480000000000002E-2</v>
      </c>
      <c r="AZ1173">
        <v>-2.8800000000000002E-3</v>
      </c>
      <c r="BA1173">
        <v>5.0299999999999997E-3</v>
      </c>
      <c r="BB1173">
        <v>-3.2000000000000003E-4</v>
      </c>
      <c r="BC1173">
        <v>9.0719999999999995E-2</v>
      </c>
      <c r="BD1173">
        <v>1</v>
      </c>
      <c r="BE1173" t="s">
        <v>69</v>
      </c>
      <c r="BF1173">
        <v>-0.35799999999999998</v>
      </c>
      <c r="BG1173">
        <v>-0.432</v>
      </c>
    </row>
    <row r="1174" spans="1:59">
      <c r="A1174">
        <v>0</v>
      </c>
      <c r="B1174">
        <v>0</v>
      </c>
      <c r="C1174">
        <v>0</v>
      </c>
      <c r="D1174" t="s">
        <v>25022</v>
      </c>
      <c r="E1174">
        <v>816</v>
      </c>
      <c r="F1174" t="s">
        <v>5080</v>
      </c>
      <c r="G1174" t="s">
        <v>57</v>
      </c>
      <c r="H1174">
        <v>853556</v>
      </c>
      <c r="I1174">
        <v>854269</v>
      </c>
      <c r="J1174" t="s">
        <v>5081</v>
      </c>
      <c r="K1174">
        <v>238</v>
      </c>
      <c r="L1174" t="s">
        <v>72</v>
      </c>
      <c r="M1174">
        <v>45</v>
      </c>
      <c r="N1174" t="str">
        <f>HYPERLINK("Gene816-zp_tree_all.dnd", "Gene816-tree")</f>
        <v>Gene816-tree</v>
      </c>
      <c r="O1174">
        <v>6</v>
      </c>
      <c r="P1174">
        <v>5</v>
      </c>
      <c r="Q1174">
        <v>6</v>
      </c>
      <c r="R1174">
        <v>5</v>
      </c>
      <c r="S1174">
        <v>0.45455000000000001</v>
      </c>
      <c r="T1174" t="s">
        <v>90</v>
      </c>
      <c r="U1174" t="s">
        <v>199</v>
      </c>
      <c r="V1174" t="s">
        <v>62</v>
      </c>
      <c r="W1174" t="s">
        <v>62</v>
      </c>
      <c r="X1174">
        <v>0</v>
      </c>
      <c r="Y1174">
        <v>0</v>
      </c>
      <c r="Z1174">
        <v>11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11</v>
      </c>
      <c r="AK1174">
        <v>0</v>
      </c>
      <c r="AL1174">
        <v>7</v>
      </c>
      <c r="AM1174">
        <v>4</v>
      </c>
      <c r="AN1174">
        <v>37</v>
      </c>
      <c r="AO1174">
        <v>12</v>
      </c>
      <c r="AP1174">
        <v>5</v>
      </c>
      <c r="AQ1174">
        <v>0</v>
      </c>
      <c r="AR1174" t="s">
        <v>5082</v>
      </c>
      <c r="AS1174" t="s">
        <v>193</v>
      </c>
      <c r="AT1174">
        <v>0.56399999999999995</v>
      </c>
      <c r="AU1174" t="s">
        <v>65</v>
      </c>
      <c r="AV1174">
        <v>42</v>
      </c>
      <c r="AW1174">
        <v>12</v>
      </c>
      <c r="AX1174" t="s">
        <v>5083</v>
      </c>
      <c r="AY1174">
        <v>5.8639999999999998E-2</v>
      </c>
      <c r="AZ1174">
        <v>-1.0580000000000001E-2</v>
      </c>
      <c r="BA1174">
        <v>3.9399999999999999E-3</v>
      </c>
      <c r="BB1174">
        <v>-5.8E-4</v>
      </c>
      <c r="BC1174">
        <v>6.719E-2</v>
      </c>
      <c r="BD1174">
        <v>1</v>
      </c>
      <c r="BE1174" t="s">
        <v>69</v>
      </c>
      <c r="BF1174">
        <v>-2.496</v>
      </c>
      <c r="BG1174">
        <v>-4.9950000000000001</v>
      </c>
    </row>
    <row r="1175" spans="1:59">
      <c r="A1175">
        <v>0</v>
      </c>
      <c r="B1175">
        <v>0</v>
      </c>
      <c r="C1175">
        <v>0</v>
      </c>
      <c r="D1175" t="s">
        <v>25022</v>
      </c>
      <c r="E1175">
        <v>4037</v>
      </c>
      <c r="F1175" t="s">
        <v>23769</v>
      </c>
      <c r="G1175" t="s">
        <v>62</v>
      </c>
      <c r="H1175">
        <v>4001979</v>
      </c>
      <c r="I1175">
        <v>4002692</v>
      </c>
      <c r="J1175" t="s">
        <v>23770</v>
      </c>
      <c r="K1175">
        <v>238</v>
      </c>
      <c r="L1175" t="s">
        <v>108</v>
      </c>
      <c r="M1175">
        <v>44</v>
      </c>
      <c r="N1175" t="str">
        <f>HYPERLINK("Gene4037-zp_tree_all.dnd", "Gene4037-tree")</f>
        <v>Gene4037-tree</v>
      </c>
      <c r="O1175">
        <v>7</v>
      </c>
      <c r="P1175">
        <v>6</v>
      </c>
      <c r="Q1175">
        <v>7</v>
      </c>
      <c r="R1175">
        <v>6</v>
      </c>
      <c r="S1175">
        <v>0.46154000000000001</v>
      </c>
      <c r="T1175" t="s">
        <v>152</v>
      </c>
      <c r="U1175" t="s">
        <v>90</v>
      </c>
      <c r="V1175" t="s">
        <v>62</v>
      </c>
      <c r="W1175" t="s">
        <v>62</v>
      </c>
      <c r="X1175">
        <v>0</v>
      </c>
      <c r="Y1175">
        <v>0</v>
      </c>
      <c r="Z1175">
        <v>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7</v>
      </c>
      <c r="AK1175">
        <v>0</v>
      </c>
      <c r="AL1175">
        <v>11</v>
      </c>
      <c r="AM1175">
        <v>5</v>
      </c>
      <c r="AN1175">
        <v>23</v>
      </c>
      <c r="AO1175">
        <v>7</v>
      </c>
      <c r="AP1175">
        <v>8</v>
      </c>
      <c r="AQ1175">
        <v>0</v>
      </c>
      <c r="AR1175" t="s">
        <v>23771</v>
      </c>
      <c r="AS1175" t="s">
        <v>193</v>
      </c>
      <c r="AT1175">
        <v>2.65</v>
      </c>
      <c r="AU1175" t="s">
        <v>267</v>
      </c>
      <c r="AV1175">
        <v>31</v>
      </c>
      <c r="AW1175">
        <v>7</v>
      </c>
      <c r="AX1175" t="s">
        <v>23772</v>
      </c>
      <c r="AY1175">
        <v>3.4819999999999997E-2</v>
      </c>
      <c r="AZ1175">
        <v>-1.2600000000000001E-3</v>
      </c>
      <c r="BA1175">
        <v>1.98E-3</v>
      </c>
      <c r="BB1175">
        <v>-1.8000000000000001E-4</v>
      </c>
      <c r="BC1175">
        <v>5.6980000000000003E-2</v>
      </c>
      <c r="BD1175">
        <v>1</v>
      </c>
      <c r="BE1175" t="s">
        <v>69</v>
      </c>
      <c r="BF1175">
        <v>-1.163</v>
      </c>
      <c r="BG1175">
        <v>-1.71</v>
      </c>
    </row>
    <row r="1176" spans="1:59">
      <c r="A1176">
        <v>0</v>
      </c>
      <c r="B1176">
        <v>4</v>
      </c>
      <c r="C1176">
        <v>0</v>
      </c>
      <c r="D1176" t="s">
        <v>25022</v>
      </c>
      <c r="E1176">
        <v>3867</v>
      </c>
      <c r="F1176" t="s">
        <v>22679</v>
      </c>
      <c r="G1176" t="s">
        <v>62</v>
      </c>
      <c r="H1176">
        <v>3831515</v>
      </c>
      <c r="I1176">
        <v>3832228</v>
      </c>
      <c r="J1176" t="s">
        <v>22680</v>
      </c>
      <c r="K1176">
        <v>238</v>
      </c>
      <c r="L1176" t="s">
        <v>1174</v>
      </c>
      <c r="M1176">
        <v>42</v>
      </c>
      <c r="N1176" t="str">
        <f>HYPERLINK("Gene3867-zp_tree_all.dnd", "Gene3867-tree")</f>
        <v>Gene3867-tree</v>
      </c>
      <c r="O1176">
        <v>8</v>
      </c>
      <c r="P1176">
        <v>4</v>
      </c>
      <c r="Q1176">
        <v>8</v>
      </c>
      <c r="R1176">
        <v>4</v>
      </c>
      <c r="S1176">
        <v>0.33333000000000002</v>
      </c>
      <c r="T1176" t="s">
        <v>136</v>
      </c>
      <c r="U1176" t="s">
        <v>61</v>
      </c>
      <c r="V1176" t="s">
        <v>62</v>
      </c>
      <c r="W1176" t="s">
        <v>62</v>
      </c>
      <c r="X1176">
        <v>2</v>
      </c>
      <c r="Y1176">
        <v>4</v>
      </c>
      <c r="Z1176">
        <v>2</v>
      </c>
      <c r="AA1176">
        <v>0.66666999999999998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</v>
      </c>
      <c r="AH1176">
        <v>0</v>
      </c>
      <c r="AI1176">
        <v>2</v>
      </c>
      <c r="AJ1176">
        <v>3</v>
      </c>
      <c r="AK1176">
        <v>0.4</v>
      </c>
      <c r="AL1176">
        <v>11</v>
      </c>
      <c r="AM1176">
        <v>8</v>
      </c>
      <c r="AN1176">
        <v>19</v>
      </c>
      <c r="AO1176">
        <v>5</v>
      </c>
      <c r="AP1176">
        <v>11</v>
      </c>
      <c r="AQ1176">
        <v>1</v>
      </c>
      <c r="AR1176" t="s">
        <v>22681</v>
      </c>
      <c r="AS1176" t="s">
        <v>22682</v>
      </c>
      <c r="AT1176">
        <v>0.54600000000000004</v>
      </c>
      <c r="AU1176" t="s">
        <v>65</v>
      </c>
      <c r="AV1176">
        <v>30</v>
      </c>
      <c r="AW1176">
        <v>6</v>
      </c>
      <c r="AX1176" t="s">
        <v>22683</v>
      </c>
      <c r="AY1176">
        <v>4.1739999999999999E-2</v>
      </c>
      <c r="AZ1176">
        <v>-1.83E-3</v>
      </c>
      <c r="BA1176">
        <v>2.1299999999999999E-3</v>
      </c>
      <c r="BB1176">
        <v>-1.7000000000000001E-4</v>
      </c>
      <c r="BC1176">
        <v>5.0930000000000003E-2</v>
      </c>
      <c r="BD1176">
        <v>1</v>
      </c>
      <c r="BE1176" t="s">
        <v>69</v>
      </c>
      <c r="BF1176">
        <v>0.307</v>
      </c>
      <c r="BG1176">
        <v>-0.16400000000000001</v>
      </c>
    </row>
    <row r="1177" spans="1:59">
      <c r="A1177">
        <v>0</v>
      </c>
      <c r="B1177">
        <v>2</v>
      </c>
      <c r="C1177">
        <v>0</v>
      </c>
      <c r="D1177" t="s">
        <v>25022</v>
      </c>
      <c r="E1177">
        <v>1919</v>
      </c>
      <c r="F1177" t="s">
        <v>12020</v>
      </c>
      <c r="G1177" t="s">
        <v>62</v>
      </c>
      <c r="H1177">
        <v>2018557</v>
      </c>
      <c r="I1177">
        <v>2019270</v>
      </c>
      <c r="J1177" t="s">
        <v>12021</v>
      </c>
      <c r="K1177">
        <v>238</v>
      </c>
      <c r="L1177" t="s">
        <v>108</v>
      </c>
      <c r="M1177">
        <v>44</v>
      </c>
      <c r="N1177" t="str">
        <f>HYPERLINK("Gene1919-zp_tree_all.dnd", "Gene1919-tree")</f>
        <v>Gene1919-tree</v>
      </c>
      <c r="O1177">
        <v>11</v>
      </c>
      <c r="P1177">
        <v>3</v>
      </c>
      <c r="Q1177">
        <v>11</v>
      </c>
      <c r="R1177">
        <v>3</v>
      </c>
      <c r="S1177">
        <v>0.21429000000000001</v>
      </c>
      <c r="T1177" t="s">
        <v>73</v>
      </c>
      <c r="U1177" t="s">
        <v>324</v>
      </c>
      <c r="V1177" t="s">
        <v>62</v>
      </c>
      <c r="W1177" t="s">
        <v>62</v>
      </c>
      <c r="X1177">
        <v>1</v>
      </c>
      <c r="Y1177">
        <v>2</v>
      </c>
      <c r="Z1177">
        <v>5</v>
      </c>
      <c r="AA1177">
        <v>0.28571000000000002</v>
      </c>
      <c r="AB1177">
        <v>0</v>
      </c>
      <c r="AC1177">
        <v>0</v>
      </c>
      <c r="AD1177">
        <v>0</v>
      </c>
      <c r="AE1177">
        <v>2</v>
      </c>
      <c r="AF1177">
        <v>0</v>
      </c>
      <c r="AG1177">
        <v>0</v>
      </c>
      <c r="AH1177">
        <v>0</v>
      </c>
      <c r="AI1177">
        <v>0</v>
      </c>
      <c r="AJ1177">
        <v>3</v>
      </c>
      <c r="AK1177">
        <v>0</v>
      </c>
      <c r="AL1177">
        <v>10</v>
      </c>
      <c r="AM1177">
        <v>10</v>
      </c>
      <c r="AN1177">
        <v>40</v>
      </c>
      <c r="AO1177">
        <v>3</v>
      </c>
      <c r="AP1177">
        <v>41</v>
      </c>
      <c r="AQ1177">
        <v>4</v>
      </c>
      <c r="AR1177" t="s">
        <v>12022</v>
      </c>
      <c r="AS1177" t="s">
        <v>12023</v>
      </c>
      <c r="AT1177">
        <v>0.152</v>
      </c>
      <c r="AU1177" t="s">
        <v>65</v>
      </c>
      <c r="AV1177">
        <v>81</v>
      </c>
      <c r="AW1177">
        <v>7</v>
      </c>
      <c r="AX1177" t="s">
        <v>12024</v>
      </c>
      <c r="AY1177">
        <v>0.12368</v>
      </c>
      <c r="AZ1177">
        <v>-7.0299999999999998E-3</v>
      </c>
      <c r="BA1177">
        <v>3.9300000000000003E-3</v>
      </c>
      <c r="BB1177">
        <v>-2.9E-4</v>
      </c>
      <c r="BC1177">
        <v>3.1780000000000003E-2</v>
      </c>
      <c r="BD1177">
        <v>1</v>
      </c>
      <c r="BE1177" t="s">
        <v>69</v>
      </c>
      <c r="BF1177">
        <v>0.53800000000000003</v>
      </c>
      <c r="BG1177">
        <v>-0.82499999999999996</v>
      </c>
    </row>
    <row r="1178" spans="1:59">
      <c r="A1178">
        <v>0</v>
      </c>
      <c r="B1178">
        <v>2</v>
      </c>
      <c r="C1178">
        <v>1</v>
      </c>
      <c r="D1178" t="s">
        <v>25022</v>
      </c>
      <c r="E1178">
        <v>3120</v>
      </c>
      <c r="F1178" t="s">
        <v>18101</v>
      </c>
      <c r="G1178" t="s">
        <v>62</v>
      </c>
      <c r="H1178">
        <v>3072746</v>
      </c>
      <c r="I1178">
        <v>3073462</v>
      </c>
      <c r="J1178" t="s">
        <v>18102</v>
      </c>
      <c r="K1178">
        <v>239</v>
      </c>
      <c r="L1178" t="s">
        <v>108</v>
      </c>
      <c r="M1178">
        <v>44</v>
      </c>
      <c r="N1178" t="str">
        <f>HYPERLINK("Gene3120-zp_tree_all.dnd", "Gene3120-tree")</f>
        <v>Gene3120-tree</v>
      </c>
      <c r="O1178">
        <v>7</v>
      </c>
      <c r="P1178">
        <v>7</v>
      </c>
      <c r="Q1178">
        <v>7</v>
      </c>
      <c r="R1178">
        <v>7</v>
      </c>
      <c r="S1178">
        <v>0.5</v>
      </c>
      <c r="T1178" t="s">
        <v>152</v>
      </c>
      <c r="U1178" t="s">
        <v>152</v>
      </c>
      <c r="V1178" t="s">
        <v>62</v>
      </c>
      <c r="W1178" t="s">
        <v>62</v>
      </c>
      <c r="X1178">
        <v>1</v>
      </c>
      <c r="Y1178">
        <v>3</v>
      </c>
      <c r="Z1178">
        <v>10</v>
      </c>
      <c r="AA1178">
        <v>0.23077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</v>
      </c>
      <c r="AH1178">
        <v>1</v>
      </c>
      <c r="AI1178">
        <v>3</v>
      </c>
      <c r="AJ1178">
        <v>9</v>
      </c>
      <c r="AK1178">
        <v>0.25</v>
      </c>
      <c r="AL1178">
        <v>12</v>
      </c>
      <c r="AM1178">
        <v>7</v>
      </c>
      <c r="AN1178">
        <v>22</v>
      </c>
      <c r="AO1178">
        <v>12</v>
      </c>
      <c r="AP1178">
        <v>9</v>
      </c>
      <c r="AQ1178">
        <v>1</v>
      </c>
      <c r="AR1178" t="s">
        <v>18103</v>
      </c>
      <c r="AS1178" t="s">
        <v>18104</v>
      </c>
      <c r="AT1178">
        <v>0.94099999999999995</v>
      </c>
      <c r="AU1178" t="s">
        <v>65</v>
      </c>
      <c r="AV1178">
        <v>31</v>
      </c>
      <c r="AW1178">
        <v>13</v>
      </c>
      <c r="AX1178" t="s">
        <v>18105</v>
      </c>
      <c r="AY1178">
        <v>3.9050000000000001E-2</v>
      </c>
      <c r="AZ1178">
        <v>-2.0400000000000001E-3</v>
      </c>
      <c r="BA1178">
        <v>3.9399999999999999E-3</v>
      </c>
      <c r="BB1178">
        <v>-2.9999999999999997E-4</v>
      </c>
      <c r="BC1178">
        <v>0.10092</v>
      </c>
      <c r="BD1178">
        <v>1</v>
      </c>
      <c r="BE1178" t="s">
        <v>69</v>
      </c>
      <c r="BF1178">
        <v>-0.8</v>
      </c>
      <c r="BG1178">
        <v>-1.639</v>
      </c>
    </row>
    <row r="1179" spans="1:59">
      <c r="A1179">
        <v>0</v>
      </c>
      <c r="B1179">
        <v>2</v>
      </c>
      <c r="C1179">
        <v>2</v>
      </c>
      <c r="D1179" t="s">
        <v>25022</v>
      </c>
      <c r="E1179">
        <v>3054</v>
      </c>
      <c r="F1179" t="s">
        <v>17676</v>
      </c>
      <c r="G1179" t="s">
        <v>62</v>
      </c>
      <c r="H1179">
        <v>3005862</v>
      </c>
      <c r="I1179">
        <v>3006578</v>
      </c>
      <c r="J1179" t="s">
        <v>17670</v>
      </c>
      <c r="K1179">
        <v>239</v>
      </c>
      <c r="L1179" t="s">
        <v>2555</v>
      </c>
      <c r="M1179">
        <v>34</v>
      </c>
      <c r="N1179" t="str">
        <f>HYPERLINK("Gene3054-zp_tree_all.dnd", "Gene3054-tree")</f>
        <v>Gene3054-tree</v>
      </c>
      <c r="O1179">
        <v>6</v>
      </c>
      <c r="P1179">
        <v>5</v>
      </c>
      <c r="Q1179">
        <v>6</v>
      </c>
      <c r="R1179">
        <v>5</v>
      </c>
      <c r="S1179">
        <v>0.45455000000000001</v>
      </c>
      <c r="T1179" t="s">
        <v>90</v>
      </c>
      <c r="U1179" t="s">
        <v>199</v>
      </c>
      <c r="V1179" t="s">
        <v>62</v>
      </c>
      <c r="W1179" t="s">
        <v>62</v>
      </c>
      <c r="X1179">
        <v>2</v>
      </c>
      <c r="Y1179">
        <v>4</v>
      </c>
      <c r="Z1179">
        <v>5</v>
      </c>
      <c r="AA1179">
        <v>0.44444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6</v>
      </c>
      <c r="AK1179">
        <v>0</v>
      </c>
      <c r="AL1179">
        <v>9</v>
      </c>
      <c r="AM1179">
        <v>7</v>
      </c>
      <c r="AN1179">
        <v>15</v>
      </c>
      <c r="AO1179">
        <v>6</v>
      </c>
      <c r="AP1179">
        <v>8</v>
      </c>
      <c r="AQ1179">
        <v>3</v>
      </c>
      <c r="AR1179" t="s">
        <v>17677</v>
      </c>
      <c r="AS1179" t="s">
        <v>17678</v>
      </c>
      <c r="AT1179">
        <v>2.3E-2</v>
      </c>
      <c r="AU1179" t="s">
        <v>65</v>
      </c>
      <c r="AV1179">
        <v>23</v>
      </c>
      <c r="AW1179">
        <v>9</v>
      </c>
      <c r="AX1179" t="s">
        <v>17679</v>
      </c>
      <c r="AY1179">
        <v>3.6999999999999998E-2</v>
      </c>
      <c r="AZ1179">
        <v>-2.2200000000000002E-3</v>
      </c>
      <c r="BA1179">
        <v>3.63E-3</v>
      </c>
      <c r="BB1179">
        <v>-3.6999999999999999E-4</v>
      </c>
      <c r="BC1179">
        <v>9.8129999999999995E-2</v>
      </c>
      <c r="BD1179">
        <v>1</v>
      </c>
      <c r="BE1179" t="s">
        <v>69</v>
      </c>
      <c r="BF1179">
        <v>-0.80200000000000005</v>
      </c>
      <c r="BG1179">
        <v>-1.464</v>
      </c>
    </row>
    <row r="1180" spans="1:59">
      <c r="A1180">
        <v>0</v>
      </c>
      <c r="B1180">
        <v>4</v>
      </c>
      <c r="C1180">
        <v>0</v>
      </c>
      <c r="D1180" t="s">
        <v>25022</v>
      </c>
      <c r="E1180">
        <v>1616</v>
      </c>
      <c r="F1180" t="s">
        <v>10119</v>
      </c>
      <c r="G1180" t="s">
        <v>57</v>
      </c>
      <c r="H1180">
        <v>1628622</v>
      </c>
      <c r="I1180">
        <v>1629338</v>
      </c>
      <c r="J1180" t="s">
        <v>10120</v>
      </c>
      <c r="K1180">
        <v>239</v>
      </c>
      <c r="L1180" t="s">
        <v>108</v>
      </c>
      <c r="M1180">
        <v>44</v>
      </c>
      <c r="N1180" t="str">
        <f>HYPERLINK("Gene1616-zp_tree_all.dnd", "Gene1616-tree")</f>
        <v>Gene1616-tree</v>
      </c>
      <c r="O1180">
        <v>4</v>
      </c>
      <c r="P1180">
        <v>8</v>
      </c>
      <c r="Q1180">
        <v>4</v>
      </c>
      <c r="R1180">
        <v>8</v>
      </c>
      <c r="S1180">
        <v>0.66666999999999998</v>
      </c>
      <c r="T1180" t="s">
        <v>61</v>
      </c>
      <c r="U1180" t="s">
        <v>136</v>
      </c>
      <c r="V1180" t="s">
        <v>62</v>
      </c>
      <c r="W1180" t="s">
        <v>62</v>
      </c>
      <c r="X1180">
        <v>2</v>
      </c>
      <c r="Y1180">
        <v>4</v>
      </c>
      <c r="Z1180">
        <v>7</v>
      </c>
      <c r="AA1180">
        <v>0.36364000000000002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</v>
      </c>
      <c r="AH1180">
        <v>0</v>
      </c>
      <c r="AI1180">
        <v>2</v>
      </c>
      <c r="AJ1180">
        <v>8</v>
      </c>
      <c r="AK1180">
        <v>0.2</v>
      </c>
      <c r="AL1180">
        <v>12</v>
      </c>
      <c r="AM1180">
        <v>8</v>
      </c>
      <c r="AN1180">
        <v>48</v>
      </c>
      <c r="AO1180">
        <v>10</v>
      </c>
      <c r="AP1180">
        <v>22</v>
      </c>
      <c r="AQ1180">
        <v>1</v>
      </c>
      <c r="AR1180" t="s">
        <v>10121</v>
      </c>
      <c r="AS1180" t="s">
        <v>10122</v>
      </c>
      <c r="AT1180">
        <v>1.143</v>
      </c>
      <c r="AU1180" t="s">
        <v>65</v>
      </c>
      <c r="AV1180">
        <v>70</v>
      </c>
      <c r="AW1180">
        <v>11</v>
      </c>
      <c r="AX1180" t="s">
        <v>10123</v>
      </c>
      <c r="AY1180">
        <v>8.3379999999999996E-2</v>
      </c>
      <c r="AZ1180">
        <v>-2.8500000000000001E-3</v>
      </c>
      <c r="BA1180">
        <v>3.47E-3</v>
      </c>
      <c r="BB1180">
        <v>-2.5999999999999998E-4</v>
      </c>
      <c r="BC1180">
        <v>4.165E-2</v>
      </c>
      <c r="BD1180">
        <v>1</v>
      </c>
      <c r="BE1180" t="s">
        <v>69</v>
      </c>
      <c r="BF1180">
        <v>-0.21099999999999999</v>
      </c>
      <c r="BG1180">
        <v>-1.2549999999999999</v>
      </c>
    </row>
    <row r="1181" spans="1:59">
      <c r="A1181">
        <v>0</v>
      </c>
      <c r="B1181">
        <v>7</v>
      </c>
      <c r="C1181">
        <v>2</v>
      </c>
      <c r="D1181" t="s">
        <v>25022</v>
      </c>
      <c r="E1181">
        <v>4252</v>
      </c>
      <c r="F1181" t="s">
        <v>24975</v>
      </c>
      <c r="G1181" t="s">
        <v>62</v>
      </c>
      <c r="H1181">
        <v>4208873</v>
      </c>
      <c r="I1181">
        <v>4209589</v>
      </c>
      <c r="J1181" t="s">
        <v>24976</v>
      </c>
      <c r="K1181">
        <v>239</v>
      </c>
      <c r="L1181" t="s">
        <v>59</v>
      </c>
      <c r="M1181">
        <v>49</v>
      </c>
      <c r="N1181" t="str">
        <f>HYPERLINK("Gene4252-zp_tree_all.dnd", "Gene4252-tree")</f>
        <v>Gene4252-tree</v>
      </c>
      <c r="O1181">
        <v>12</v>
      </c>
      <c r="P1181">
        <v>9</v>
      </c>
      <c r="Q1181">
        <v>12</v>
      </c>
      <c r="R1181">
        <v>9</v>
      </c>
      <c r="S1181">
        <v>0.42857000000000001</v>
      </c>
      <c r="T1181" t="s">
        <v>109</v>
      </c>
      <c r="U1181" t="s">
        <v>135</v>
      </c>
      <c r="V1181" t="s">
        <v>62</v>
      </c>
      <c r="W1181" t="s">
        <v>62</v>
      </c>
      <c r="X1181">
        <v>3</v>
      </c>
      <c r="Y1181">
        <v>9</v>
      </c>
      <c r="Z1181">
        <v>7</v>
      </c>
      <c r="AA1181">
        <v>0.5625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5</v>
      </c>
      <c r="AH1181">
        <v>1</v>
      </c>
      <c r="AI1181">
        <v>6</v>
      </c>
      <c r="AJ1181">
        <v>6</v>
      </c>
      <c r="AK1181">
        <v>0.5</v>
      </c>
      <c r="AL1181">
        <v>18</v>
      </c>
      <c r="AM1181">
        <v>12</v>
      </c>
      <c r="AN1181">
        <v>42</v>
      </c>
      <c r="AO1181">
        <v>12</v>
      </c>
      <c r="AP1181">
        <v>45</v>
      </c>
      <c r="AQ1181">
        <v>5</v>
      </c>
      <c r="AR1181" t="s">
        <v>24977</v>
      </c>
      <c r="AS1181" t="s">
        <v>24978</v>
      </c>
      <c r="AT1181">
        <v>0.69699999999999995</v>
      </c>
      <c r="AU1181" t="s">
        <v>65</v>
      </c>
      <c r="AV1181">
        <v>87</v>
      </c>
      <c r="AW1181">
        <v>17</v>
      </c>
      <c r="AX1181" t="s">
        <v>24979</v>
      </c>
      <c r="AY1181">
        <v>0.12199</v>
      </c>
      <c r="AZ1181">
        <v>-6.9899999999999997E-3</v>
      </c>
      <c r="BA1181">
        <v>4.6899999999999997E-3</v>
      </c>
      <c r="BB1181">
        <v>-2.3000000000000001E-4</v>
      </c>
      <c r="BC1181">
        <v>3.8460000000000001E-2</v>
      </c>
      <c r="BD1181">
        <v>1</v>
      </c>
      <c r="BE1181" t="s">
        <v>69</v>
      </c>
      <c r="BF1181">
        <v>-0.98799999999999999</v>
      </c>
      <c r="BG1181">
        <v>-1.38</v>
      </c>
    </row>
    <row r="1182" spans="1:59">
      <c r="A1182">
        <v>0</v>
      </c>
      <c r="B1182">
        <v>0</v>
      </c>
      <c r="C1182">
        <v>0</v>
      </c>
      <c r="D1182" t="s">
        <v>25022</v>
      </c>
      <c r="E1182">
        <v>721</v>
      </c>
      <c r="F1182" t="s">
        <v>4468</v>
      </c>
      <c r="G1182" t="s">
        <v>57</v>
      </c>
      <c r="H1182">
        <v>752412</v>
      </c>
      <c r="I1182">
        <v>753128</v>
      </c>
      <c r="J1182" t="s">
        <v>4469</v>
      </c>
      <c r="K1182">
        <v>239</v>
      </c>
      <c r="L1182" t="s">
        <v>289</v>
      </c>
      <c r="M1182">
        <v>46</v>
      </c>
      <c r="N1182" t="str">
        <f>HYPERLINK("Gene721-zp_tree_all.dnd", "Gene721-tree")</f>
        <v>Gene721-tree</v>
      </c>
      <c r="O1182">
        <v>16</v>
      </c>
      <c r="P1182">
        <v>1</v>
      </c>
      <c r="Q1182">
        <v>16</v>
      </c>
      <c r="R1182">
        <v>1</v>
      </c>
      <c r="S1182">
        <v>5.8819999999999997E-2</v>
      </c>
      <c r="T1182" t="s">
        <v>60</v>
      </c>
      <c r="U1182" t="s">
        <v>175</v>
      </c>
      <c r="V1182" t="s">
        <v>62</v>
      </c>
      <c r="W1182" t="s">
        <v>62</v>
      </c>
      <c r="X1182">
        <v>0</v>
      </c>
      <c r="Y1182">
        <v>0</v>
      </c>
      <c r="Z1182">
        <v>4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13</v>
      </c>
      <c r="AM1182">
        <v>9</v>
      </c>
      <c r="AN1182">
        <v>28</v>
      </c>
      <c r="AO1182">
        <v>1</v>
      </c>
      <c r="AP1182">
        <v>31</v>
      </c>
      <c r="AQ1182">
        <v>3</v>
      </c>
      <c r="AR1182" t="s">
        <v>4470</v>
      </c>
      <c r="AS1182" t="s">
        <v>4471</v>
      </c>
      <c r="AT1182">
        <v>0.26100000000000001</v>
      </c>
      <c r="AU1182" t="s">
        <v>65</v>
      </c>
      <c r="AV1182">
        <v>59</v>
      </c>
      <c r="AW1182">
        <v>4</v>
      </c>
      <c r="AX1182" t="s">
        <v>4472</v>
      </c>
      <c r="AY1182">
        <v>7.0480000000000001E-2</v>
      </c>
      <c r="AZ1182">
        <v>-5.0800000000000003E-3</v>
      </c>
      <c r="BA1182">
        <v>1.9400000000000001E-3</v>
      </c>
      <c r="BB1182">
        <v>-1.8000000000000001E-4</v>
      </c>
      <c r="BC1182">
        <v>2.7539999999999999E-2</v>
      </c>
      <c r="BD1182">
        <v>1</v>
      </c>
      <c r="BE1182" t="s">
        <v>69</v>
      </c>
      <c r="BF1182">
        <v>-1.2969999999999999</v>
      </c>
      <c r="BG1182">
        <v>-0.90200000000000002</v>
      </c>
    </row>
    <row r="1183" spans="1:59">
      <c r="A1183">
        <v>0</v>
      </c>
      <c r="B1183">
        <v>0</v>
      </c>
      <c r="C1183">
        <v>0</v>
      </c>
      <c r="D1183" t="s">
        <v>25022</v>
      </c>
      <c r="E1183">
        <v>1593</v>
      </c>
      <c r="F1183" t="s">
        <v>9968</v>
      </c>
      <c r="G1183" t="s">
        <v>57</v>
      </c>
      <c r="H1183">
        <v>1604771</v>
      </c>
      <c r="I1183">
        <v>1605487</v>
      </c>
      <c r="J1183" t="s">
        <v>9969</v>
      </c>
      <c r="K1183">
        <v>239</v>
      </c>
      <c r="L1183" t="s">
        <v>108</v>
      </c>
      <c r="M1183">
        <v>44</v>
      </c>
      <c r="N1183" t="str">
        <f>HYPERLINK("Gene1593-zp_tree_all.dnd", "Gene1593-tree")</f>
        <v>Gene1593-tree</v>
      </c>
      <c r="O1183">
        <v>11</v>
      </c>
      <c r="P1183">
        <v>0</v>
      </c>
      <c r="Q1183">
        <v>11</v>
      </c>
      <c r="R1183">
        <v>0</v>
      </c>
      <c r="S1183">
        <v>0</v>
      </c>
      <c r="T1183" t="s">
        <v>73</v>
      </c>
      <c r="U1183" t="s">
        <v>62</v>
      </c>
      <c r="V1183" t="s">
        <v>62</v>
      </c>
      <c r="W1183" t="s">
        <v>62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7</v>
      </c>
      <c r="AM1183">
        <v>4</v>
      </c>
      <c r="AN1183">
        <v>10</v>
      </c>
      <c r="AO1183">
        <v>0</v>
      </c>
      <c r="AP1183">
        <v>4</v>
      </c>
      <c r="AQ1183">
        <v>0</v>
      </c>
      <c r="AR1183" t="s">
        <v>193</v>
      </c>
      <c r="AS1183" t="s">
        <v>193</v>
      </c>
      <c r="AT1183">
        <v>0</v>
      </c>
      <c r="AU1183" t="s">
        <v>65</v>
      </c>
      <c r="AV1183">
        <v>14</v>
      </c>
      <c r="AW1183">
        <v>0</v>
      </c>
      <c r="AX1183" t="s">
        <v>9970</v>
      </c>
      <c r="AY1183">
        <v>2.162E-2</v>
      </c>
      <c r="AZ1183">
        <v>-1.58E-3</v>
      </c>
      <c r="BA1183">
        <v>0</v>
      </c>
      <c r="BB1183">
        <v>0</v>
      </c>
      <c r="BC1183">
        <v>0</v>
      </c>
      <c r="BD1183">
        <v>1</v>
      </c>
      <c r="BE1183" t="s">
        <v>69</v>
      </c>
      <c r="BF1183">
        <v>-0.74</v>
      </c>
      <c r="BG1183">
        <v>-1.732</v>
      </c>
    </row>
    <row r="1184" spans="1:59">
      <c r="A1184">
        <v>0</v>
      </c>
      <c r="B1184">
        <v>0</v>
      </c>
      <c r="C1184">
        <v>0</v>
      </c>
      <c r="D1184" t="s">
        <v>25022</v>
      </c>
      <c r="E1184">
        <v>3673</v>
      </c>
      <c r="F1184" t="s">
        <v>21552</v>
      </c>
      <c r="G1184" t="s">
        <v>62</v>
      </c>
      <c r="H1184">
        <v>3641128</v>
      </c>
      <c r="I1184">
        <v>3641847</v>
      </c>
      <c r="J1184" t="s">
        <v>21553</v>
      </c>
      <c r="K1184">
        <v>240</v>
      </c>
      <c r="L1184" t="s">
        <v>108</v>
      </c>
      <c r="M1184">
        <v>44</v>
      </c>
      <c r="N1184" t="str">
        <f>HYPERLINK("Gene3673-zp_tree_all.dnd", "Gene3673-tree")</f>
        <v>Gene3673-tree</v>
      </c>
      <c r="O1184">
        <v>3</v>
      </c>
      <c r="P1184">
        <v>7</v>
      </c>
      <c r="Q1184">
        <v>3</v>
      </c>
      <c r="R1184">
        <v>7</v>
      </c>
      <c r="S1184">
        <v>0.7</v>
      </c>
      <c r="T1184" t="s">
        <v>324</v>
      </c>
      <c r="U1184" t="s">
        <v>152</v>
      </c>
      <c r="V1184" t="s">
        <v>62</v>
      </c>
      <c r="W1184" t="s">
        <v>62</v>
      </c>
      <c r="X1184">
        <v>0</v>
      </c>
      <c r="Y1184">
        <v>0</v>
      </c>
      <c r="Z1184">
        <v>17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11</v>
      </c>
      <c r="AK1184">
        <v>0</v>
      </c>
      <c r="AL1184">
        <v>10</v>
      </c>
      <c r="AM1184">
        <v>4</v>
      </c>
      <c r="AN1184">
        <v>9</v>
      </c>
      <c r="AO1184">
        <v>11</v>
      </c>
      <c r="AP1184">
        <v>6</v>
      </c>
      <c r="AQ1184">
        <v>6</v>
      </c>
      <c r="AR1184" t="s">
        <v>21554</v>
      </c>
      <c r="AS1184" t="s">
        <v>21555</v>
      </c>
      <c r="AT1184">
        <v>0.36599999999999999</v>
      </c>
      <c r="AU1184" t="s">
        <v>65</v>
      </c>
      <c r="AV1184">
        <v>15</v>
      </c>
      <c r="AW1184">
        <v>17</v>
      </c>
      <c r="AX1184" t="s">
        <v>21556</v>
      </c>
      <c r="AY1184">
        <v>2.129E-2</v>
      </c>
      <c r="AZ1184">
        <v>-1.83E-3</v>
      </c>
      <c r="BA1184">
        <v>8.1700000000000002E-3</v>
      </c>
      <c r="BB1184">
        <v>-5.1000000000000004E-4</v>
      </c>
      <c r="BC1184">
        <v>0.38357999999999998</v>
      </c>
      <c r="BD1184">
        <v>0.95</v>
      </c>
      <c r="BE1184" t="s">
        <v>635</v>
      </c>
      <c r="BF1184">
        <v>-1.37</v>
      </c>
      <c r="BG1184">
        <v>-1.196</v>
      </c>
    </row>
    <row r="1185" spans="1:59">
      <c r="A1185">
        <v>0</v>
      </c>
      <c r="B1185">
        <v>7</v>
      </c>
      <c r="C1185">
        <v>4</v>
      </c>
      <c r="D1185" t="s">
        <v>25022</v>
      </c>
      <c r="E1185">
        <v>3922</v>
      </c>
      <c r="F1185" t="s">
        <v>23011</v>
      </c>
      <c r="G1185" t="s">
        <v>62</v>
      </c>
      <c r="H1185">
        <v>3887029</v>
      </c>
      <c r="I1185">
        <v>3887748</v>
      </c>
      <c r="J1185" t="s">
        <v>3798</v>
      </c>
      <c r="K1185">
        <v>240</v>
      </c>
      <c r="L1185" t="s">
        <v>108</v>
      </c>
      <c r="M1185">
        <v>44</v>
      </c>
      <c r="N1185" t="str">
        <f>HYPERLINK("Gene3922-zp_tree_all.dnd", "Gene3922-tree")</f>
        <v>Gene3922-tree</v>
      </c>
      <c r="O1185">
        <v>3</v>
      </c>
      <c r="P1185">
        <v>12</v>
      </c>
      <c r="Q1185">
        <v>3</v>
      </c>
      <c r="R1185">
        <v>12</v>
      </c>
      <c r="S1185">
        <v>0.8</v>
      </c>
      <c r="T1185" t="s">
        <v>324</v>
      </c>
      <c r="U1185" t="s">
        <v>109</v>
      </c>
      <c r="V1185" t="s">
        <v>62</v>
      </c>
      <c r="W1185" t="s">
        <v>62</v>
      </c>
      <c r="X1185">
        <v>5</v>
      </c>
      <c r="Y1185">
        <v>11</v>
      </c>
      <c r="Z1185">
        <v>18</v>
      </c>
      <c r="AA1185">
        <v>0.37930999999999998</v>
      </c>
      <c r="AB1185">
        <v>0</v>
      </c>
      <c r="AC1185">
        <v>0</v>
      </c>
      <c r="AD1185">
        <v>0</v>
      </c>
      <c r="AE1185">
        <v>2</v>
      </c>
      <c r="AF1185">
        <v>0</v>
      </c>
      <c r="AG1185">
        <v>3</v>
      </c>
      <c r="AH1185">
        <v>0</v>
      </c>
      <c r="AI1185">
        <v>3</v>
      </c>
      <c r="AJ1185">
        <v>20</v>
      </c>
      <c r="AK1185">
        <v>0.13042999999999999</v>
      </c>
      <c r="AL1185">
        <v>11</v>
      </c>
      <c r="AM1185">
        <v>11</v>
      </c>
      <c r="AN1185">
        <v>17</v>
      </c>
      <c r="AO1185">
        <v>19</v>
      </c>
      <c r="AP1185">
        <v>18</v>
      </c>
      <c r="AQ1185">
        <v>10</v>
      </c>
      <c r="AR1185" t="s">
        <v>23012</v>
      </c>
      <c r="AS1185" t="s">
        <v>23013</v>
      </c>
      <c r="AT1185">
        <v>0.873</v>
      </c>
      <c r="AU1185" t="s">
        <v>65</v>
      </c>
      <c r="AV1185">
        <v>35</v>
      </c>
      <c r="AW1185">
        <v>29</v>
      </c>
      <c r="AX1185" t="s">
        <v>23014</v>
      </c>
      <c r="AY1185">
        <v>3.7679999999999998E-2</v>
      </c>
      <c r="AZ1185">
        <v>-1.6000000000000001E-3</v>
      </c>
      <c r="BA1185">
        <v>1.0659999999999999E-2</v>
      </c>
      <c r="BB1185">
        <v>-4.6000000000000001E-4</v>
      </c>
      <c r="BC1185">
        <v>0.2828</v>
      </c>
      <c r="BD1185">
        <v>1</v>
      </c>
      <c r="BE1185" t="s">
        <v>69</v>
      </c>
      <c r="BF1185">
        <v>-1.1020000000000001</v>
      </c>
      <c r="BG1185">
        <v>-1.4890000000000001</v>
      </c>
    </row>
    <row r="1186" spans="1:59">
      <c r="A1186">
        <v>0</v>
      </c>
      <c r="B1186">
        <v>2</v>
      </c>
      <c r="C1186">
        <v>0</v>
      </c>
      <c r="D1186" t="s">
        <v>25022</v>
      </c>
      <c r="E1186">
        <v>2898</v>
      </c>
      <c r="F1186" t="s">
        <v>16677</v>
      </c>
      <c r="G1186" t="s">
        <v>62</v>
      </c>
      <c r="H1186">
        <v>2843109</v>
      </c>
      <c r="I1186">
        <v>2843828</v>
      </c>
      <c r="J1186" t="s">
        <v>16678</v>
      </c>
      <c r="K1186">
        <v>240</v>
      </c>
      <c r="L1186" t="s">
        <v>108</v>
      </c>
      <c r="M1186">
        <v>44</v>
      </c>
      <c r="N1186" t="str">
        <f>HYPERLINK("Gene2898-zp_tree_all.dnd", "Gene2898-tree")</f>
        <v>Gene2898-tree</v>
      </c>
      <c r="O1186">
        <v>5</v>
      </c>
      <c r="P1186">
        <v>6</v>
      </c>
      <c r="Q1186">
        <v>5</v>
      </c>
      <c r="R1186">
        <v>6</v>
      </c>
      <c r="S1186">
        <v>0.54544999999999999</v>
      </c>
      <c r="T1186" t="s">
        <v>199</v>
      </c>
      <c r="U1186" t="s">
        <v>90</v>
      </c>
      <c r="V1186" t="s">
        <v>62</v>
      </c>
      <c r="W1186" t="s">
        <v>62</v>
      </c>
      <c r="X1186">
        <v>1</v>
      </c>
      <c r="Y1186">
        <v>2</v>
      </c>
      <c r="Z1186">
        <v>13</v>
      </c>
      <c r="AA1186">
        <v>0.13333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9</v>
      </c>
      <c r="AK1186">
        <v>0</v>
      </c>
      <c r="AL1186">
        <v>8</v>
      </c>
      <c r="AM1186">
        <v>8</v>
      </c>
      <c r="AN1186">
        <v>17</v>
      </c>
      <c r="AO1186">
        <v>8</v>
      </c>
      <c r="AP1186">
        <v>12</v>
      </c>
      <c r="AQ1186">
        <v>7</v>
      </c>
      <c r="AR1186" t="s">
        <v>16679</v>
      </c>
      <c r="AS1186" t="s">
        <v>16680</v>
      </c>
      <c r="AT1186">
        <v>0.23499999999999999</v>
      </c>
      <c r="AU1186" t="s">
        <v>65</v>
      </c>
      <c r="AV1186">
        <v>29</v>
      </c>
      <c r="AW1186">
        <v>15</v>
      </c>
      <c r="AX1186" t="s">
        <v>16681</v>
      </c>
      <c r="AY1186">
        <v>4.478E-2</v>
      </c>
      <c r="AZ1186">
        <v>-3.0300000000000001E-3</v>
      </c>
      <c r="BA1186">
        <v>7.7600000000000004E-3</v>
      </c>
      <c r="BB1186">
        <v>-5.1999999999999995E-4</v>
      </c>
      <c r="BC1186">
        <v>0.17319999999999999</v>
      </c>
      <c r="BD1186">
        <v>1</v>
      </c>
      <c r="BE1186" t="s">
        <v>69</v>
      </c>
      <c r="BF1186">
        <v>-1.099</v>
      </c>
      <c r="BG1186">
        <v>-1.653</v>
      </c>
    </row>
    <row r="1187" spans="1:59">
      <c r="A1187">
        <v>0</v>
      </c>
      <c r="B1187">
        <v>5</v>
      </c>
      <c r="C1187">
        <v>0</v>
      </c>
      <c r="D1187" t="s">
        <v>25022</v>
      </c>
      <c r="E1187">
        <v>416</v>
      </c>
      <c r="F1187" t="s">
        <v>2823</v>
      </c>
      <c r="G1187" t="s">
        <v>57</v>
      </c>
      <c r="H1187">
        <v>459867</v>
      </c>
      <c r="I1187">
        <v>460586</v>
      </c>
      <c r="J1187" t="s">
        <v>2824</v>
      </c>
      <c r="K1187">
        <v>240</v>
      </c>
      <c r="L1187" t="s">
        <v>108</v>
      </c>
      <c r="M1187">
        <v>44</v>
      </c>
      <c r="N1187" t="str">
        <f>HYPERLINK("Gene416-zp_tree_all.dnd", "Gene416-tree")</f>
        <v>Gene416-tree</v>
      </c>
      <c r="O1187">
        <v>28</v>
      </c>
      <c r="P1187">
        <v>8</v>
      </c>
      <c r="Q1187">
        <v>9</v>
      </c>
      <c r="R1187">
        <v>8</v>
      </c>
      <c r="S1187">
        <v>0.47059000000000001</v>
      </c>
      <c r="T1187" t="s">
        <v>2825</v>
      </c>
      <c r="U1187" t="s">
        <v>136</v>
      </c>
      <c r="V1187" t="s">
        <v>62</v>
      </c>
      <c r="W1187" t="s">
        <v>62</v>
      </c>
      <c r="X1187">
        <v>2</v>
      </c>
      <c r="Y1187">
        <v>5</v>
      </c>
      <c r="Z1187">
        <v>9</v>
      </c>
      <c r="AA1187">
        <v>0.35714000000000001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9</v>
      </c>
      <c r="AK1187">
        <v>0</v>
      </c>
      <c r="AL1187">
        <v>13</v>
      </c>
      <c r="AM1187">
        <v>12</v>
      </c>
      <c r="AN1187">
        <v>20</v>
      </c>
      <c r="AO1187">
        <v>9</v>
      </c>
      <c r="AP1187">
        <v>17</v>
      </c>
      <c r="AQ1187">
        <v>6</v>
      </c>
      <c r="AR1187" t="s">
        <v>2826</v>
      </c>
      <c r="AS1187" t="s">
        <v>2827</v>
      </c>
      <c r="AT1187">
        <v>0.29399999999999998</v>
      </c>
      <c r="AU1187" t="s">
        <v>65</v>
      </c>
      <c r="AV1187">
        <v>37</v>
      </c>
      <c r="AW1187">
        <v>15</v>
      </c>
      <c r="AX1187" t="s">
        <v>2828</v>
      </c>
      <c r="AY1187">
        <v>4.2340000000000003E-2</v>
      </c>
      <c r="AZ1187">
        <v>-1.2999999999999999E-3</v>
      </c>
      <c r="BA1187">
        <v>5.7600000000000004E-3</v>
      </c>
      <c r="BB1187">
        <v>-2.4000000000000001E-4</v>
      </c>
      <c r="BC1187">
        <v>0.13613</v>
      </c>
      <c r="BD1187">
        <v>1</v>
      </c>
      <c r="BE1187" t="s">
        <v>69</v>
      </c>
      <c r="BF1187">
        <v>-0.28000000000000003</v>
      </c>
      <c r="BG1187">
        <v>-0.98899999999999999</v>
      </c>
    </row>
    <row r="1188" spans="1:59">
      <c r="A1188">
        <v>0</v>
      </c>
      <c r="B1188">
        <v>2</v>
      </c>
      <c r="C1188">
        <v>2</v>
      </c>
      <c r="D1188" t="s">
        <v>25022</v>
      </c>
      <c r="E1188">
        <v>3530</v>
      </c>
      <c r="F1188" t="s">
        <v>20676</v>
      </c>
      <c r="G1188" t="s">
        <v>62</v>
      </c>
      <c r="H1188">
        <v>3492800</v>
      </c>
      <c r="I1188">
        <v>3493519</v>
      </c>
      <c r="J1188" t="s">
        <v>20677</v>
      </c>
      <c r="K1188">
        <v>240</v>
      </c>
      <c r="L1188" t="s">
        <v>108</v>
      </c>
      <c r="M1188">
        <v>44</v>
      </c>
      <c r="N1188" t="str">
        <f>HYPERLINK("Gene3530-zp_tree_all.dnd", "Gene3530-tree")</f>
        <v>Gene3530-tree</v>
      </c>
      <c r="O1188">
        <v>24</v>
      </c>
      <c r="P1188">
        <v>10</v>
      </c>
      <c r="Q1188">
        <v>4</v>
      </c>
      <c r="R1188">
        <v>10</v>
      </c>
      <c r="S1188">
        <v>0.71428999999999998</v>
      </c>
      <c r="T1188" t="s">
        <v>1495</v>
      </c>
      <c r="U1188" t="s">
        <v>117</v>
      </c>
      <c r="V1188" t="s">
        <v>62</v>
      </c>
      <c r="W1188" t="s">
        <v>62</v>
      </c>
      <c r="X1188">
        <v>2</v>
      </c>
      <c r="Y1188">
        <v>4</v>
      </c>
      <c r="Z1188">
        <v>15</v>
      </c>
      <c r="AA1188">
        <v>0.21052999999999999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</v>
      </c>
      <c r="AI1188">
        <v>2</v>
      </c>
      <c r="AJ1188">
        <v>15</v>
      </c>
      <c r="AK1188">
        <v>0.11765</v>
      </c>
      <c r="AL1188">
        <v>12</v>
      </c>
      <c r="AM1188">
        <v>10</v>
      </c>
      <c r="AN1188">
        <v>29</v>
      </c>
      <c r="AO1188">
        <v>12</v>
      </c>
      <c r="AP1188">
        <v>19</v>
      </c>
      <c r="AQ1188">
        <v>8</v>
      </c>
      <c r="AR1188" t="s">
        <v>20678</v>
      </c>
      <c r="AS1188" t="s">
        <v>20679</v>
      </c>
      <c r="AT1188">
        <v>2.4E-2</v>
      </c>
      <c r="AU1188" t="s">
        <v>65</v>
      </c>
      <c r="AV1188">
        <v>48</v>
      </c>
      <c r="AW1188">
        <v>20</v>
      </c>
      <c r="AX1188" t="s">
        <v>20680</v>
      </c>
      <c r="AY1188">
        <v>5.7689999999999998E-2</v>
      </c>
      <c r="AZ1188">
        <v>-3.0300000000000001E-3</v>
      </c>
      <c r="BA1188">
        <v>7.0099999999999997E-3</v>
      </c>
      <c r="BB1188">
        <v>-3.8999999999999999E-4</v>
      </c>
      <c r="BC1188">
        <v>0.12161</v>
      </c>
      <c r="BD1188">
        <v>1</v>
      </c>
      <c r="BE1188" t="s">
        <v>69</v>
      </c>
      <c r="BF1188">
        <v>-0.41099999999999998</v>
      </c>
      <c r="BG1188">
        <v>-1.556</v>
      </c>
    </row>
    <row r="1189" spans="1:59">
      <c r="A1189">
        <v>0</v>
      </c>
      <c r="B1189">
        <v>5</v>
      </c>
      <c r="C1189">
        <v>2</v>
      </c>
      <c r="D1189" t="s">
        <v>25022</v>
      </c>
      <c r="E1189">
        <v>4157</v>
      </c>
      <c r="F1189" t="s">
        <v>24477</v>
      </c>
      <c r="G1189" t="s">
        <v>62</v>
      </c>
      <c r="H1189">
        <v>4124223</v>
      </c>
      <c r="I1189">
        <v>4124942</v>
      </c>
      <c r="J1189" t="s">
        <v>24478</v>
      </c>
      <c r="K1189">
        <v>240</v>
      </c>
      <c r="L1189" t="s">
        <v>24479</v>
      </c>
      <c r="M1189">
        <v>37</v>
      </c>
      <c r="N1189" t="str">
        <f>HYPERLINK("Gene4157-zp_tree_all.dnd", "Gene4157-tree")</f>
        <v>Gene4157-tree</v>
      </c>
      <c r="O1189">
        <v>3</v>
      </c>
      <c r="P1189">
        <v>6</v>
      </c>
      <c r="Q1189">
        <v>3</v>
      </c>
      <c r="R1189">
        <v>6</v>
      </c>
      <c r="S1189">
        <v>0.66666999999999998</v>
      </c>
      <c r="T1189" t="s">
        <v>324</v>
      </c>
      <c r="U1189" t="s">
        <v>90</v>
      </c>
      <c r="V1189" t="s">
        <v>62</v>
      </c>
      <c r="W1189" t="s">
        <v>62</v>
      </c>
      <c r="X1189">
        <v>3</v>
      </c>
      <c r="Y1189">
        <v>7</v>
      </c>
      <c r="Z1189">
        <v>3</v>
      </c>
      <c r="AA1189">
        <v>0.7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4</v>
      </c>
      <c r="AH1189">
        <v>2</v>
      </c>
      <c r="AI1189">
        <v>6</v>
      </c>
      <c r="AJ1189">
        <v>3</v>
      </c>
      <c r="AK1189">
        <v>0.66666999999999998</v>
      </c>
      <c r="AL1189">
        <v>8</v>
      </c>
      <c r="AM1189">
        <v>5</v>
      </c>
      <c r="AN1189">
        <v>13</v>
      </c>
      <c r="AO1189">
        <v>9</v>
      </c>
      <c r="AP1189">
        <v>13</v>
      </c>
      <c r="AQ1189">
        <v>1</v>
      </c>
      <c r="AR1189" t="s">
        <v>24480</v>
      </c>
      <c r="AS1189" t="s">
        <v>24481</v>
      </c>
      <c r="AT1189">
        <v>1.9450000000000001</v>
      </c>
      <c r="AU1189" t="s">
        <v>65</v>
      </c>
      <c r="AV1189">
        <v>26</v>
      </c>
      <c r="AW1189">
        <v>10</v>
      </c>
      <c r="AX1189" t="s">
        <v>24482</v>
      </c>
      <c r="AY1189">
        <v>4.3490000000000001E-2</v>
      </c>
      <c r="AZ1189">
        <v>-3.0599999999999998E-3</v>
      </c>
      <c r="BA1189">
        <v>3.2200000000000002E-3</v>
      </c>
      <c r="BB1189">
        <v>-2.5999999999999998E-4</v>
      </c>
      <c r="BC1189">
        <v>7.4130000000000001E-2</v>
      </c>
      <c r="BD1189">
        <v>1</v>
      </c>
      <c r="BE1189" t="s">
        <v>69</v>
      </c>
      <c r="BF1189">
        <v>-0.252</v>
      </c>
      <c r="BG1189">
        <v>0.109</v>
      </c>
    </row>
    <row r="1190" spans="1:59">
      <c r="A1190">
        <v>0</v>
      </c>
      <c r="B1190">
        <v>0</v>
      </c>
      <c r="C1190">
        <v>0</v>
      </c>
      <c r="D1190" t="s">
        <v>25022</v>
      </c>
      <c r="E1190">
        <v>2498</v>
      </c>
      <c r="F1190" t="s">
        <v>14564</v>
      </c>
      <c r="G1190" t="s">
        <v>62</v>
      </c>
      <c r="H1190">
        <v>2490577</v>
      </c>
      <c r="I1190">
        <v>2491296</v>
      </c>
      <c r="J1190" t="s">
        <v>14565</v>
      </c>
      <c r="K1190">
        <v>240</v>
      </c>
      <c r="L1190" t="s">
        <v>108</v>
      </c>
      <c r="M1190">
        <v>44</v>
      </c>
      <c r="N1190" t="str">
        <f>HYPERLINK("Gene2498-zp_tree_all.dnd", "Gene2498-tree")</f>
        <v>Gene2498-tree</v>
      </c>
      <c r="O1190">
        <v>7</v>
      </c>
      <c r="P1190">
        <v>2</v>
      </c>
      <c r="Q1190">
        <v>7</v>
      </c>
      <c r="R1190">
        <v>2</v>
      </c>
      <c r="S1190">
        <v>0.22222</v>
      </c>
      <c r="T1190" t="s">
        <v>152</v>
      </c>
      <c r="U1190" t="s">
        <v>81</v>
      </c>
      <c r="V1190" t="s">
        <v>62</v>
      </c>
      <c r="W1190" t="s">
        <v>62</v>
      </c>
      <c r="X1190">
        <v>0</v>
      </c>
      <c r="Y1190">
        <v>0</v>
      </c>
      <c r="Z1190">
        <v>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</v>
      </c>
      <c r="AK1190">
        <v>0</v>
      </c>
      <c r="AL1190">
        <v>8</v>
      </c>
      <c r="AM1190">
        <v>5</v>
      </c>
      <c r="AN1190">
        <v>16</v>
      </c>
      <c r="AO1190">
        <v>2</v>
      </c>
      <c r="AP1190">
        <v>7</v>
      </c>
      <c r="AQ1190">
        <v>1</v>
      </c>
      <c r="AR1190" t="s">
        <v>14566</v>
      </c>
      <c r="AS1190" t="s">
        <v>14567</v>
      </c>
      <c r="AT1190">
        <v>5.8000000000000003E-2</v>
      </c>
      <c r="AU1190" t="s">
        <v>65</v>
      </c>
      <c r="AV1190">
        <v>23</v>
      </c>
      <c r="AW1190">
        <v>3</v>
      </c>
      <c r="AX1190" t="s">
        <v>14568</v>
      </c>
      <c r="AY1190">
        <v>3.7679999999999998E-2</v>
      </c>
      <c r="AZ1190">
        <v>-2.5899999999999999E-3</v>
      </c>
      <c r="BA1190">
        <v>1.6800000000000001E-3</v>
      </c>
      <c r="BB1190">
        <v>-2.0000000000000001E-4</v>
      </c>
      <c r="BC1190">
        <v>4.4670000000000001E-2</v>
      </c>
      <c r="BD1190">
        <v>1</v>
      </c>
      <c r="BE1190" t="s">
        <v>69</v>
      </c>
      <c r="BF1190">
        <v>-0.33300000000000002</v>
      </c>
      <c r="BG1190">
        <v>-0.70499999999999996</v>
      </c>
    </row>
    <row r="1191" spans="1:59">
      <c r="A1191">
        <v>0</v>
      </c>
      <c r="B1191">
        <v>0</v>
      </c>
      <c r="C1191">
        <v>0</v>
      </c>
      <c r="D1191" t="s">
        <v>25022</v>
      </c>
      <c r="E1191">
        <v>2407</v>
      </c>
      <c r="F1191" t="s">
        <v>14018</v>
      </c>
      <c r="G1191" t="s">
        <v>62</v>
      </c>
      <c r="H1191">
        <v>2417184</v>
      </c>
      <c r="I1191">
        <v>2417903</v>
      </c>
      <c r="J1191" t="s">
        <v>14019</v>
      </c>
      <c r="K1191">
        <v>240</v>
      </c>
      <c r="L1191" t="s">
        <v>289</v>
      </c>
      <c r="M1191">
        <v>46</v>
      </c>
      <c r="N1191" t="str">
        <f>HYPERLINK("Gene2407-zp_tree_all.dnd", "Gene2407-tree")</f>
        <v>Gene2407-tree</v>
      </c>
      <c r="O1191">
        <v>10</v>
      </c>
      <c r="P1191">
        <v>3</v>
      </c>
      <c r="Q1191">
        <v>10</v>
      </c>
      <c r="R1191">
        <v>3</v>
      </c>
      <c r="S1191">
        <v>0.23077</v>
      </c>
      <c r="T1191" t="s">
        <v>117</v>
      </c>
      <c r="U1191" t="s">
        <v>324</v>
      </c>
      <c r="V1191" t="s">
        <v>62</v>
      </c>
      <c r="W1191" t="s">
        <v>62</v>
      </c>
      <c r="X1191">
        <v>0</v>
      </c>
      <c r="Y1191">
        <v>0</v>
      </c>
      <c r="Z1191">
        <v>6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3</v>
      </c>
      <c r="AK1191">
        <v>0</v>
      </c>
      <c r="AL1191">
        <v>9</v>
      </c>
      <c r="AM1191">
        <v>6</v>
      </c>
      <c r="AN1191">
        <v>21</v>
      </c>
      <c r="AO1191">
        <v>3</v>
      </c>
      <c r="AP1191">
        <v>36</v>
      </c>
      <c r="AQ1191">
        <v>3</v>
      </c>
      <c r="AR1191" t="s">
        <v>14020</v>
      </c>
      <c r="AS1191" t="s">
        <v>14021</v>
      </c>
      <c r="AT1191">
        <v>0.33900000000000002</v>
      </c>
      <c r="AU1191" t="s">
        <v>65</v>
      </c>
      <c r="AV1191">
        <v>57</v>
      </c>
      <c r="AW1191">
        <v>6</v>
      </c>
      <c r="AX1191" t="s">
        <v>14022</v>
      </c>
      <c r="AY1191">
        <v>8.7940000000000004E-2</v>
      </c>
      <c r="AZ1191">
        <v>-1.022E-2</v>
      </c>
      <c r="BA1191">
        <v>2.3800000000000002E-3</v>
      </c>
      <c r="BB1191">
        <v>-2.5999999999999998E-4</v>
      </c>
      <c r="BC1191">
        <v>2.7019999999999999E-2</v>
      </c>
      <c r="BD1191">
        <v>1</v>
      </c>
      <c r="BE1191" t="s">
        <v>69</v>
      </c>
      <c r="BF1191">
        <v>-1.643</v>
      </c>
      <c r="BG1191">
        <v>0.156</v>
      </c>
    </row>
    <row r="1192" spans="1:59">
      <c r="A1192">
        <v>0</v>
      </c>
      <c r="B1192">
        <v>0</v>
      </c>
      <c r="C1192">
        <v>0</v>
      </c>
      <c r="D1192" t="s">
        <v>25022</v>
      </c>
      <c r="E1192">
        <v>3027</v>
      </c>
      <c r="F1192" t="s">
        <v>17499</v>
      </c>
      <c r="G1192" t="s">
        <v>62</v>
      </c>
      <c r="H1192">
        <v>2977803</v>
      </c>
      <c r="I1192">
        <v>2978522</v>
      </c>
      <c r="J1192" t="s">
        <v>3081</v>
      </c>
      <c r="K1192">
        <v>240</v>
      </c>
      <c r="L1192" t="s">
        <v>59</v>
      </c>
      <c r="M1192">
        <v>49</v>
      </c>
      <c r="N1192" t="str">
        <f>HYPERLINK("Gene3027-zp_tree_all.dnd", "Gene3027-tree")</f>
        <v>Gene3027-tree</v>
      </c>
      <c r="O1192">
        <v>14</v>
      </c>
      <c r="P1192">
        <v>2</v>
      </c>
      <c r="Q1192">
        <v>14</v>
      </c>
      <c r="R1192">
        <v>2</v>
      </c>
      <c r="S1192">
        <v>0.125</v>
      </c>
      <c r="T1192" t="s">
        <v>543</v>
      </c>
      <c r="U1192" t="s">
        <v>81</v>
      </c>
      <c r="V1192" t="s">
        <v>62</v>
      </c>
      <c r="W1192" t="s">
        <v>62</v>
      </c>
      <c r="X1192">
        <v>0</v>
      </c>
      <c r="Y1192">
        <v>0</v>
      </c>
      <c r="Z1192">
        <v>5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2</v>
      </c>
      <c r="AK1192">
        <v>0</v>
      </c>
      <c r="AL1192">
        <v>11</v>
      </c>
      <c r="AM1192">
        <v>9</v>
      </c>
      <c r="AN1192">
        <v>27</v>
      </c>
      <c r="AO1192">
        <v>2</v>
      </c>
      <c r="AP1192">
        <v>33</v>
      </c>
      <c r="AQ1192">
        <v>3</v>
      </c>
      <c r="AR1192" t="s">
        <v>17500</v>
      </c>
      <c r="AS1192" t="s">
        <v>17501</v>
      </c>
      <c r="AT1192">
        <v>9.9000000000000005E-2</v>
      </c>
      <c r="AU1192" t="s">
        <v>65</v>
      </c>
      <c r="AV1192">
        <v>60</v>
      </c>
      <c r="AW1192">
        <v>5</v>
      </c>
      <c r="AX1192" t="s">
        <v>17502</v>
      </c>
      <c r="AY1192">
        <v>9.3200000000000005E-2</v>
      </c>
      <c r="AZ1192">
        <v>-7.2899999999999996E-3</v>
      </c>
      <c r="BA1192">
        <v>2.5100000000000001E-3</v>
      </c>
      <c r="BB1192">
        <v>-1.8000000000000001E-4</v>
      </c>
      <c r="BC1192">
        <v>2.6970000000000001E-2</v>
      </c>
      <c r="BD1192">
        <v>1</v>
      </c>
      <c r="BE1192" t="s">
        <v>69</v>
      </c>
      <c r="BF1192">
        <v>-1.357</v>
      </c>
      <c r="BG1192">
        <v>-0.71299999999999997</v>
      </c>
    </row>
    <row r="1193" spans="1:59">
      <c r="A1193">
        <v>0</v>
      </c>
      <c r="B1193">
        <v>0</v>
      </c>
      <c r="C1193">
        <v>0</v>
      </c>
      <c r="D1193" t="s">
        <v>25022</v>
      </c>
      <c r="E1193">
        <v>1713</v>
      </c>
      <c r="F1193" t="s">
        <v>10743</v>
      </c>
      <c r="G1193" t="s">
        <v>57</v>
      </c>
      <c r="H1193">
        <v>1719802</v>
      </c>
      <c r="I1193">
        <v>1720521</v>
      </c>
      <c r="J1193" t="s">
        <v>10744</v>
      </c>
      <c r="K1193">
        <v>240</v>
      </c>
      <c r="L1193" t="s">
        <v>59</v>
      </c>
      <c r="M1193">
        <v>49</v>
      </c>
      <c r="N1193" t="str">
        <f>HYPERLINK("Gene1713-zp_tree_all.dnd", "Gene1713-tree")</f>
        <v>Gene1713-tree</v>
      </c>
      <c r="O1193">
        <v>10</v>
      </c>
      <c r="P1193">
        <v>1</v>
      </c>
      <c r="Q1193">
        <v>10</v>
      </c>
      <c r="R1193">
        <v>1</v>
      </c>
      <c r="S1193">
        <v>9.0910000000000005E-2</v>
      </c>
      <c r="T1193" t="s">
        <v>117</v>
      </c>
      <c r="U1193" t="s">
        <v>175</v>
      </c>
      <c r="V1193" t="s">
        <v>62</v>
      </c>
      <c r="W1193" t="s">
        <v>62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7</v>
      </c>
      <c r="AM1193">
        <v>4</v>
      </c>
      <c r="AN1193">
        <v>20</v>
      </c>
      <c r="AO1193">
        <v>1</v>
      </c>
      <c r="AP1193">
        <v>15</v>
      </c>
      <c r="AQ1193">
        <v>0</v>
      </c>
      <c r="AR1193" t="s">
        <v>10745</v>
      </c>
      <c r="AS1193" t="s">
        <v>193</v>
      </c>
      <c r="AT1193">
        <v>0.39700000000000002</v>
      </c>
      <c r="AU1193" t="s">
        <v>65</v>
      </c>
      <c r="AV1193">
        <v>35</v>
      </c>
      <c r="AW1193">
        <v>1</v>
      </c>
      <c r="AX1193" t="s">
        <v>10746</v>
      </c>
      <c r="AY1193">
        <v>6.5119999999999997E-2</v>
      </c>
      <c r="AZ1193">
        <v>-5.9699999999999996E-3</v>
      </c>
      <c r="BA1193">
        <v>3.3E-4</v>
      </c>
      <c r="BB1193">
        <v>-9.0000000000000006E-5</v>
      </c>
      <c r="BC1193">
        <v>5.0899999999999999E-3</v>
      </c>
      <c r="BD1193">
        <v>1</v>
      </c>
      <c r="BE1193" t="s">
        <v>69</v>
      </c>
      <c r="BF1193">
        <v>-1.395</v>
      </c>
      <c r="BG1193">
        <v>-0.84699999999999998</v>
      </c>
    </row>
    <row r="1194" spans="1:59">
      <c r="A1194">
        <v>0</v>
      </c>
      <c r="B1194">
        <v>9</v>
      </c>
      <c r="C1194">
        <v>0</v>
      </c>
      <c r="D1194" t="s">
        <v>25022</v>
      </c>
      <c r="E1194">
        <v>1984</v>
      </c>
      <c r="F1194" t="s">
        <v>12356</v>
      </c>
      <c r="G1194" t="s">
        <v>62</v>
      </c>
      <c r="H1194">
        <v>2079614</v>
      </c>
      <c r="I1194">
        <v>2080336</v>
      </c>
      <c r="J1194" t="s">
        <v>1572</v>
      </c>
      <c r="K1194">
        <v>241</v>
      </c>
      <c r="L1194" t="s">
        <v>108</v>
      </c>
      <c r="M1194">
        <v>44</v>
      </c>
      <c r="N1194" t="str">
        <f>HYPERLINK("Gene1984-zp_tree_all.dnd", "Gene1984-tree")</f>
        <v>Gene1984-tree</v>
      </c>
      <c r="O1194">
        <v>5</v>
      </c>
      <c r="P1194">
        <v>8</v>
      </c>
      <c r="Q1194">
        <v>5</v>
      </c>
      <c r="R1194">
        <v>8</v>
      </c>
      <c r="S1194">
        <v>0.61538000000000004</v>
      </c>
      <c r="T1194" t="s">
        <v>199</v>
      </c>
      <c r="U1194" t="s">
        <v>136</v>
      </c>
      <c r="V1194" t="s">
        <v>62</v>
      </c>
      <c r="W1194" t="s">
        <v>62</v>
      </c>
      <c r="X1194">
        <v>4</v>
      </c>
      <c r="Y1194">
        <v>9</v>
      </c>
      <c r="Z1194">
        <v>12</v>
      </c>
      <c r="AA1194">
        <v>0.42857000000000001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6</v>
      </c>
      <c r="AH1194">
        <v>0</v>
      </c>
      <c r="AI1194">
        <v>6</v>
      </c>
      <c r="AJ1194">
        <v>10</v>
      </c>
      <c r="AK1194">
        <v>0.375</v>
      </c>
      <c r="AL1194">
        <v>11</v>
      </c>
      <c r="AM1194">
        <v>9</v>
      </c>
      <c r="AN1194">
        <v>20</v>
      </c>
      <c r="AO1194">
        <v>14</v>
      </c>
      <c r="AP1194">
        <v>17</v>
      </c>
      <c r="AQ1194">
        <v>7</v>
      </c>
      <c r="AR1194" t="s">
        <v>12357</v>
      </c>
      <c r="AS1194" t="s">
        <v>12358</v>
      </c>
      <c r="AT1194">
        <v>0.78900000000000003</v>
      </c>
      <c r="AU1194" t="s">
        <v>65</v>
      </c>
      <c r="AV1194">
        <v>37</v>
      </c>
      <c r="AW1194">
        <v>21</v>
      </c>
      <c r="AX1194" t="s">
        <v>12359</v>
      </c>
      <c r="AY1194">
        <v>5.0900000000000001E-2</v>
      </c>
      <c r="AZ1194">
        <v>-2.3999999999999998E-3</v>
      </c>
      <c r="BA1194">
        <v>8.5199999999999998E-3</v>
      </c>
      <c r="BB1194">
        <v>-5.0000000000000001E-4</v>
      </c>
      <c r="BC1194">
        <v>0.16744000000000001</v>
      </c>
      <c r="BD1194">
        <v>1</v>
      </c>
      <c r="BE1194" t="s">
        <v>69</v>
      </c>
      <c r="BF1194">
        <v>0.36399999999999999</v>
      </c>
      <c r="BG1194">
        <v>-2.3E-2</v>
      </c>
    </row>
    <row r="1195" spans="1:59">
      <c r="A1195">
        <v>0</v>
      </c>
      <c r="B1195">
        <v>2</v>
      </c>
      <c r="C1195">
        <v>0</v>
      </c>
      <c r="D1195" t="s">
        <v>25022</v>
      </c>
      <c r="E1195">
        <v>3008</v>
      </c>
      <c r="F1195" t="s">
        <v>17374</v>
      </c>
      <c r="G1195" t="s">
        <v>62</v>
      </c>
      <c r="H1195">
        <v>2955786</v>
      </c>
      <c r="I1195">
        <v>2956508</v>
      </c>
      <c r="J1195" t="s">
        <v>17375</v>
      </c>
      <c r="K1195">
        <v>241</v>
      </c>
      <c r="L1195" t="s">
        <v>108</v>
      </c>
      <c r="M1195">
        <v>44</v>
      </c>
      <c r="N1195" t="str">
        <f>HYPERLINK("Gene3008-zp_tree_all.dnd", "Gene3008-tree")</f>
        <v>Gene3008-tree</v>
      </c>
      <c r="O1195">
        <v>4</v>
      </c>
      <c r="P1195">
        <v>8</v>
      </c>
      <c r="Q1195">
        <v>4</v>
      </c>
      <c r="R1195">
        <v>8</v>
      </c>
      <c r="S1195">
        <v>0.66666999999999998</v>
      </c>
      <c r="T1195" t="s">
        <v>61</v>
      </c>
      <c r="U1195" t="s">
        <v>136</v>
      </c>
      <c r="V1195" t="s">
        <v>62</v>
      </c>
      <c r="W1195" t="s">
        <v>62</v>
      </c>
      <c r="X1195">
        <v>1</v>
      </c>
      <c r="Y1195">
        <v>2</v>
      </c>
      <c r="Z1195">
        <v>10</v>
      </c>
      <c r="AA1195">
        <v>0.16667000000000001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</v>
      </c>
      <c r="AH1195">
        <v>0</v>
      </c>
      <c r="AI1195">
        <v>2</v>
      </c>
      <c r="AJ1195">
        <v>9</v>
      </c>
      <c r="AK1195">
        <v>0.18182000000000001</v>
      </c>
      <c r="AL1195">
        <v>8</v>
      </c>
      <c r="AM1195">
        <v>5</v>
      </c>
      <c r="AN1195">
        <v>11</v>
      </c>
      <c r="AO1195">
        <v>11</v>
      </c>
      <c r="AP1195">
        <v>8</v>
      </c>
      <c r="AQ1195">
        <v>1</v>
      </c>
      <c r="AR1195" t="s">
        <v>17376</v>
      </c>
      <c r="AS1195" t="s">
        <v>17377</v>
      </c>
      <c r="AT1195">
        <v>1.984</v>
      </c>
      <c r="AU1195" t="s">
        <v>267</v>
      </c>
      <c r="AV1195">
        <v>19</v>
      </c>
      <c r="AW1195">
        <v>12</v>
      </c>
      <c r="AX1195" t="s">
        <v>17378</v>
      </c>
      <c r="AY1195">
        <v>2.7230000000000001E-2</v>
      </c>
      <c r="AZ1195">
        <v>-1.4599999999999999E-3</v>
      </c>
      <c r="BA1195">
        <v>3.7299999999999998E-3</v>
      </c>
      <c r="BB1195">
        <v>-2.7E-4</v>
      </c>
      <c r="BC1195">
        <v>0.13705999999999999</v>
      </c>
      <c r="BD1195">
        <v>1</v>
      </c>
      <c r="BE1195" t="s">
        <v>69</v>
      </c>
      <c r="BF1195">
        <v>-0.53700000000000003</v>
      </c>
      <c r="BG1195">
        <v>-1.9830000000000001</v>
      </c>
    </row>
    <row r="1196" spans="1:59">
      <c r="A1196">
        <v>0</v>
      </c>
      <c r="B1196">
        <v>10</v>
      </c>
      <c r="C1196">
        <v>3</v>
      </c>
      <c r="D1196" t="s">
        <v>25022</v>
      </c>
      <c r="E1196">
        <v>679</v>
      </c>
      <c r="F1196" t="s">
        <v>4237</v>
      </c>
      <c r="G1196" t="s">
        <v>57</v>
      </c>
      <c r="H1196">
        <v>701601</v>
      </c>
      <c r="I1196">
        <v>702323</v>
      </c>
      <c r="J1196" t="s">
        <v>4238</v>
      </c>
      <c r="K1196">
        <v>241</v>
      </c>
      <c r="L1196" t="s">
        <v>4239</v>
      </c>
      <c r="M1196">
        <v>47</v>
      </c>
      <c r="N1196" t="str">
        <f>HYPERLINK("Gene679-zp_tree_all.dnd", "Gene679-tree")</f>
        <v>Gene679-tree</v>
      </c>
      <c r="O1196">
        <v>7</v>
      </c>
      <c r="P1196">
        <v>12</v>
      </c>
      <c r="Q1196">
        <v>7</v>
      </c>
      <c r="R1196">
        <v>12</v>
      </c>
      <c r="S1196">
        <v>0.63158000000000003</v>
      </c>
      <c r="T1196" t="s">
        <v>152</v>
      </c>
      <c r="U1196" t="s">
        <v>109</v>
      </c>
      <c r="V1196" t="s">
        <v>62</v>
      </c>
      <c r="W1196" t="s">
        <v>62</v>
      </c>
      <c r="X1196">
        <v>5</v>
      </c>
      <c r="Y1196">
        <v>13</v>
      </c>
      <c r="Z1196">
        <v>11</v>
      </c>
      <c r="AA1196">
        <v>0.54166999999999998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</v>
      </c>
      <c r="AH1196">
        <v>1</v>
      </c>
      <c r="AI1196">
        <v>3</v>
      </c>
      <c r="AJ1196">
        <v>13</v>
      </c>
      <c r="AK1196">
        <v>0.1875</v>
      </c>
      <c r="AL1196">
        <v>13</v>
      </c>
      <c r="AM1196">
        <v>15</v>
      </c>
      <c r="AN1196">
        <v>38</v>
      </c>
      <c r="AO1196">
        <v>11</v>
      </c>
      <c r="AP1196">
        <v>61</v>
      </c>
      <c r="AQ1196">
        <v>16</v>
      </c>
      <c r="AR1196" t="s">
        <v>4240</v>
      </c>
      <c r="AS1196" t="s">
        <v>4241</v>
      </c>
      <c r="AT1196">
        <v>0.107</v>
      </c>
      <c r="AU1196" t="s">
        <v>65</v>
      </c>
      <c r="AV1196">
        <v>99</v>
      </c>
      <c r="AW1196">
        <v>27</v>
      </c>
      <c r="AX1196" t="s">
        <v>4242</v>
      </c>
      <c r="AY1196">
        <v>0.11904000000000001</v>
      </c>
      <c r="AZ1196">
        <v>-4.7299999999999998E-3</v>
      </c>
      <c r="BA1196">
        <v>7.8499999999999993E-3</v>
      </c>
      <c r="BB1196">
        <v>-2.9999999999999997E-4</v>
      </c>
      <c r="BC1196">
        <v>6.5939999999999999E-2</v>
      </c>
      <c r="BD1196">
        <v>1</v>
      </c>
      <c r="BE1196" t="s">
        <v>69</v>
      </c>
      <c r="BF1196">
        <v>-0.19</v>
      </c>
      <c r="BG1196">
        <v>-0.41799999999999998</v>
      </c>
    </row>
    <row r="1197" spans="1:59">
      <c r="A1197">
        <v>0</v>
      </c>
      <c r="B1197">
        <v>8</v>
      </c>
      <c r="C1197">
        <v>0</v>
      </c>
      <c r="D1197" t="s">
        <v>25022</v>
      </c>
      <c r="E1197">
        <v>3435</v>
      </c>
      <c r="F1197" t="s">
        <v>20105</v>
      </c>
      <c r="G1197" t="s">
        <v>62</v>
      </c>
      <c r="H1197">
        <v>3396117</v>
      </c>
      <c r="I1197">
        <v>3396839</v>
      </c>
      <c r="J1197" t="s">
        <v>20106</v>
      </c>
      <c r="K1197">
        <v>241</v>
      </c>
      <c r="L1197" t="s">
        <v>108</v>
      </c>
      <c r="M1197">
        <v>44</v>
      </c>
      <c r="N1197" t="str">
        <f>HYPERLINK("Gene3435-zp_tree_all.dnd", "Gene3435-tree")</f>
        <v>Gene3435-tree</v>
      </c>
      <c r="O1197">
        <v>7</v>
      </c>
      <c r="P1197">
        <v>7</v>
      </c>
      <c r="Q1197">
        <v>7</v>
      </c>
      <c r="R1197">
        <v>7</v>
      </c>
      <c r="S1197">
        <v>0.5</v>
      </c>
      <c r="T1197" t="s">
        <v>152</v>
      </c>
      <c r="U1197" t="s">
        <v>152</v>
      </c>
      <c r="V1197" t="s">
        <v>62</v>
      </c>
      <c r="W1197" t="s">
        <v>62</v>
      </c>
      <c r="X1197">
        <v>3</v>
      </c>
      <c r="Y1197">
        <v>8</v>
      </c>
      <c r="Z1197">
        <v>4</v>
      </c>
      <c r="AA1197">
        <v>0.66666999999999998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4</v>
      </c>
      <c r="AH1197">
        <v>0</v>
      </c>
      <c r="AI1197">
        <v>4</v>
      </c>
      <c r="AJ1197">
        <v>4</v>
      </c>
      <c r="AK1197">
        <v>0.5</v>
      </c>
      <c r="AL1197">
        <v>13</v>
      </c>
      <c r="AM1197">
        <v>10</v>
      </c>
      <c r="AN1197">
        <v>24</v>
      </c>
      <c r="AO1197">
        <v>7</v>
      </c>
      <c r="AP1197">
        <v>24</v>
      </c>
      <c r="AQ1197">
        <v>5</v>
      </c>
      <c r="AR1197" t="s">
        <v>20107</v>
      </c>
      <c r="AS1197" t="s">
        <v>20108</v>
      </c>
      <c r="AT1197">
        <v>0.45700000000000002</v>
      </c>
      <c r="AU1197" t="s">
        <v>65</v>
      </c>
      <c r="AV1197">
        <v>48</v>
      </c>
      <c r="AW1197">
        <v>12</v>
      </c>
      <c r="AX1197" t="s">
        <v>20109</v>
      </c>
      <c r="AY1197">
        <v>6.1359999999999998E-2</v>
      </c>
      <c r="AZ1197">
        <v>-2.2000000000000001E-3</v>
      </c>
      <c r="BA1197">
        <v>3.63E-3</v>
      </c>
      <c r="BB1197">
        <v>-2.0000000000000001E-4</v>
      </c>
      <c r="BC1197">
        <v>5.919E-2</v>
      </c>
      <c r="BD1197">
        <v>1</v>
      </c>
      <c r="BE1197" t="s">
        <v>69</v>
      </c>
      <c r="BF1197">
        <v>8.7999999999999995E-2</v>
      </c>
      <c r="BG1197">
        <v>-0.55600000000000005</v>
      </c>
    </row>
    <row r="1198" spans="1:59">
      <c r="A1198">
        <v>0</v>
      </c>
      <c r="B1198">
        <v>2</v>
      </c>
      <c r="C1198">
        <v>3</v>
      </c>
      <c r="D1198" t="s">
        <v>25022</v>
      </c>
      <c r="E1198">
        <v>1744</v>
      </c>
      <c r="F1198" t="s">
        <v>10940</v>
      </c>
      <c r="G1198" t="s">
        <v>57</v>
      </c>
      <c r="H1198">
        <v>1754785</v>
      </c>
      <c r="I1198">
        <v>1755507</v>
      </c>
      <c r="J1198" t="s">
        <v>10941</v>
      </c>
      <c r="K1198">
        <v>241</v>
      </c>
      <c r="L1198" t="s">
        <v>214</v>
      </c>
      <c r="M1198">
        <v>48</v>
      </c>
      <c r="N1198" t="str">
        <f>HYPERLINK("Gene1744-zp_tree_all.dnd", "Gene1744-tree")</f>
        <v>Gene1744-tree</v>
      </c>
      <c r="O1198">
        <v>10</v>
      </c>
      <c r="P1198">
        <v>4</v>
      </c>
      <c r="Q1198">
        <v>10</v>
      </c>
      <c r="R1198">
        <v>4</v>
      </c>
      <c r="S1198">
        <v>0.28571000000000002</v>
      </c>
      <c r="T1198" t="s">
        <v>117</v>
      </c>
      <c r="U1198" t="s">
        <v>61</v>
      </c>
      <c r="V1198" t="s">
        <v>62</v>
      </c>
      <c r="W1198" t="s">
        <v>62</v>
      </c>
      <c r="X1198">
        <v>2</v>
      </c>
      <c r="Y1198">
        <v>5</v>
      </c>
      <c r="Z1198">
        <v>6</v>
      </c>
      <c r="AA1198">
        <v>0.45455000000000001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</v>
      </c>
      <c r="AI1198">
        <v>2</v>
      </c>
      <c r="AJ1198">
        <v>2</v>
      </c>
      <c r="AK1198">
        <v>0.5</v>
      </c>
      <c r="AL1198">
        <v>10</v>
      </c>
      <c r="AM1198">
        <v>8</v>
      </c>
      <c r="AN1198">
        <v>21</v>
      </c>
      <c r="AO1198">
        <v>4</v>
      </c>
      <c r="AP1198">
        <v>43</v>
      </c>
      <c r="AQ1198">
        <v>7</v>
      </c>
      <c r="AR1198" t="s">
        <v>10942</v>
      </c>
      <c r="AS1198" t="s">
        <v>10943</v>
      </c>
      <c r="AT1198">
        <v>0.152</v>
      </c>
      <c r="AU1198" t="s">
        <v>65</v>
      </c>
      <c r="AV1198">
        <v>64</v>
      </c>
      <c r="AW1198">
        <v>11</v>
      </c>
      <c r="AX1198" t="s">
        <v>10944</v>
      </c>
      <c r="AY1198">
        <v>0.10524</v>
      </c>
      <c r="AZ1198">
        <v>-8.1899999999999994E-3</v>
      </c>
      <c r="BA1198">
        <v>4.9100000000000003E-3</v>
      </c>
      <c r="BB1198">
        <v>-5.2999999999999998E-4</v>
      </c>
      <c r="BC1198">
        <v>4.6649999999999997E-2</v>
      </c>
      <c r="BD1198">
        <v>1</v>
      </c>
      <c r="BE1198" t="s">
        <v>69</v>
      </c>
      <c r="BF1198">
        <v>-1.2729999999999999</v>
      </c>
      <c r="BG1198">
        <v>-0.17299999999999999</v>
      </c>
    </row>
    <row r="1199" spans="1:59">
      <c r="A1199">
        <v>0</v>
      </c>
      <c r="B1199">
        <v>3</v>
      </c>
      <c r="C1199">
        <v>2</v>
      </c>
      <c r="D1199" t="s">
        <v>25022</v>
      </c>
      <c r="E1199">
        <v>354</v>
      </c>
      <c r="F1199" t="s">
        <v>2415</v>
      </c>
      <c r="G1199" t="s">
        <v>57</v>
      </c>
      <c r="H1199">
        <v>402388</v>
      </c>
      <c r="I1199">
        <v>403113</v>
      </c>
      <c r="J1199" t="s">
        <v>2389</v>
      </c>
      <c r="K1199">
        <v>242</v>
      </c>
      <c r="L1199" t="s">
        <v>108</v>
      </c>
      <c r="M1199">
        <v>44</v>
      </c>
      <c r="N1199" t="str">
        <f>HYPERLINK("Gene354-zp_tree_all.dnd", "Gene354-tree")</f>
        <v>Gene354-tree</v>
      </c>
      <c r="O1199">
        <v>8</v>
      </c>
      <c r="P1199">
        <v>6</v>
      </c>
      <c r="Q1199">
        <v>8</v>
      </c>
      <c r="R1199">
        <v>6</v>
      </c>
      <c r="S1199">
        <v>0.42857000000000001</v>
      </c>
      <c r="T1199" t="s">
        <v>136</v>
      </c>
      <c r="U1199" t="s">
        <v>90</v>
      </c>
      <c r="V1199" t="s">
        <v>62</v>
      </c>
      <c r="W1199" t="s">
        <v>62</v>
      </c>
      <c r="X1199">
        <v>2</v>
      </c>
      <c r="Y1199">
        <v>5</v>
      </c>
      <c r="Z1199">
        <v>8</v>
      </c>
      <c r="AA1199">
        <v>0.38462000000000002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2</v>
      </c>
      <c r="AH1199">
        <v>0</v>
      </c>
      <c r="AI1199">
        <v>2</v>
      </c>
      <c r="AJ1199">
        <v>7</v>
      </c>
      <c r="AK1199">
        <v>0.22222</v>
      </c>
      <c r="AL1199">
        <v>10</v>
      </c>
      <c r="AM1199">
        <v>9</v>
      </c>
      <c r="AN1199">
        <v>17</v>
      </c>
      <c r="AO1199">
        <v>8</v>
      </c>
      <c r="AP1199">
        <v>12</v>
      </c>
      <c r="AQ1199">
        <v>5</v>
      </c>
      <c r="AR1199" t="s">
        <v>2416</v>
      </c>
      <c r="AS1199" t="s">
        <v>2417</v>
      </c>
      <c r="AT1199">
        <v>0.128</v>
      </c>
      <c r="AU1199" t="s">
        <v>65</v>
      </c>
      <c r="AV1199">
        <v>29</v>
      </c>
      <c r="AW1199">
        <v>13</v>
      </c>
      <c r="AX1199" t="s">
        <v>2418</v>
      </c>
      <c r="AY1199">
        <v>3.6670000000000001E-2</v>
      </c>
      <c r="AZ1199">
        <v>-1.9499999999999999E-3</v>
      </c>
      <c r="BA1199">
        <v>4.64E-3</v>
      </c>
      <c r="BB1199">
        <v>-4.2000000000000002E-4</v>
      </c>
      <c r="BC1199">
        <v>0.12664</v>
      </c>
      <c r="BD1199">
        <v>1</v>
      </c>
      <c r="BE1199" t="s">
        <v>69</v>
      </c>
      <c r="BF1199">
        <v>-1.01</v>
      </c>
      <c r="BG1199">
        <v>-1.2370000000000001</v>
      </c>
    </row>
    <row r="1200" spans="1:59">
      <c r="A1200">
        <v>0</v>
      </c>
      <c r="B1200">
        <v>2</v>
      </c>
      <c r="C1200">
        <v>0</v>
      </c>
      <c r="D1200" t="s">
        <v>25022</v>
      </c>
      <c r="E1200">
        <v>4046</v>
      </c>
      <c r="F1200" t="s">
        <v>23814</v>
      </c>
      <c r="G1200" t="s">
        <v>62</v>
      </c>
      <c r="H1200">
        <v>4011845</v>
      </c>
      <c r="I1200">
        <v>4012570</v>
      </c>
      <c r="J1200" t="s">
        <v>23815</v>
      </c>
      <c r="K1200">
        <v>242</v>
      </c>
      <c r="L1200" t="s">
        <v>108</v>
      </c>
      <c r="M1200">
        <v>44</v>
      </c>
      <c r="N1200" t="str">
        <f>HYPERLINK("Gene4046-zp_tree_all.dnd", "Gene4046-tree")</f>
        <v>Gene4046-tree</v>
      </c>
      <c r="O1200">
        <v>10</v>
      </c>
      <c r="P1200">
        <v>4</v>
      </c>
      <c r="Q1200">
        <v>10</v>
      </c>
      <c r="R1200">
        <v>4</v>
      </c>
      <c r="S1200">
        <v>0.28571000000000002</v>
      </c>
      <c r="T1200" t="s">
        <v>117</v>
      </c>
      <c r="U1200" t="s">
        <v>61</v>
      </c>
      <c r="V1200" t="s">
        <v>62</v>
      </c>
      <c r="W1200" t="s">
        <v>62</v>
      </c>
      <c r="X1200">
        <v>1</v>
      </c>
      <c r="Y1200">
        <v>2</v>
      </c>
      <c r="Z1200">
        <v>8</v>
      </c>
      <c r="AA1200">
        <v>0.2</v>
      </c>
      <c r="AB1200">
        <v>0</v>
      </c>
      <c r="AC1200">
        <v>0</v>
      </c>
      <c r="AD1200">
        <v>0</v>
      </c>
      <c r="AE1200">
        <v>2</v>
      </c>
      <c r="AF1200">
        <v>0</v>
      </c>
      <c r="AG1200">
        <v>0</v>
      </c>
      <c r="AH1200">
        <v>0</v>
      </c>
      <c r="AI1200">
        <v>0</v>
      </c>
      <c r="AJ1200">
        <v>7</v>
      </c>
      <c r="AK1200">
        <v>0</v>
      </c>
      <c r="AL1200">
        <v>11</v>
      </c>
      <c r="AM1200">
        <v>7</v>
      </c>
      <c r="AN1200">
        <v>28</v>
      </c>
      <c r="AO1200">
        <v>7</v>
      </c>
      <c r="AP1200">
        <v>8</v>
      </c>
      <c r="AQ1200">
        <v>3</v>
      </c>
      <c r="AR1200" t="s">
        <v>23816</v>
      </c>
      <c r="AS1200" t="s">
        <v>23817</v>
      </c>
      <c r="AT1200">
        <v>0.35199999999999998</v>
      </c>
      <c r="AU1200" t="s">
        <v>65</v>
      </c>
      <c r="AV1200">
        <v>36</v>
      </c>
      <c r="AW1200">
        <v>10</v>
      </c>
      <c r="AX1200" t="s">
        <v>23818</v>
      </c>
      <c r="AY1200">
        <v>3.8440000000000002E-2</v>
      </c>
      <c r="AZ1200">
        <v>-1.83E-3</v>
      </c>
      <c r="BA1200">
        <v>3.47E-3</v>
      </c>
      <c r="BB1200">
        <v>-2.4000000000000001E-4</v>
      </c>
      <c r="BC1200">
        <v>9.0260000000000007E-2</v>
      </c>
      <c r="BD1200">
        <v>1</v>
      </c>
      <c r="BE1200" t="s">
        <v>69</v>
      </c>
      <c r="BF1200">
        <v>-1.274</v>
      </c>
      <c r="BG1200">
        <v>-2.1949999999999998</v>
      </c>
    </row>
    <row r="1201" spans="1:59">
      <c r="A1201">
        <v>0</v>
      </c>
      <c r="B1201">
        <v>2</v>
      </c>
      <c r="C1201">
        <v>0</v>
      </c>
      <c r="D1201" t="s">
        <v>25022</v>
      </c>
      <c r="E1201">
        <v>265</v>
      </c>
      <c r="F1201" t="s">
        <v>1807</v>
      </c>
      <c r="G1201" t="s">
        <v>57</v>
      </c>
      <c r="H1201">
        <v>286048</v>
      </c>
      <c r="I1201">
        <v>286773</v>
      </c>
      <c r="J1201" t="s">
        <v>1803</v>
      </c>
      <c r="K1201">
        <v>242</v>
      </c>
      <c r="L1201" t="s">
        <v>108</v>
      </c>
      <c r="M1201">
        <v>44</v>
      </c>
      <c r="N1201" t="str">
        <f>HYPERLINK("Gene265-zp_tree_all.dnd", "Gene265-tree")</f>
        <v>Gene265-tree</v>
      </c>
      <c r="O1201">
        <v>10</v>
      </c>
      <c r="P1201">
        <v>8</v>
      </c>
      <c r="Q1201">
        <v>10</v>
      </c>
      <c r="R1201">
        <v>8</v>
      </c>
      <c r="S1201">
        <v>0.44444</v>
      </c>
      <c r="T1201" t="s">
        <v>117</v>
      </c>
      <c r="U1201" t="s">
        <v>136</v>
      </c>
      <c r="V1201" t="s">
        <v>62</v>
      </c>
      <c r="W1201" t="s">
        <v>62</v>
      </c>
      <c r="X1201">
        <v>1</v>
      </c>
      <c r="Y1201">
        <v>2</v>
      </c>
      <c r="Z1201">
        <v>9</v>
      </c>
      <c r="AA1201">
        <v>0.18182000000000001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10</v>
      </c>
      <c r="AK1201">
        <v>0</v>
      </c>
      <c r="AL1201">
        <v>11</v>
      </c>
      <c r="AM1201">
        <v>12</v>
      </c>
      <c r="AN1201">
        <v>14</v>
      </c>
      <c r="AO1201">
        <v>7</v>
      </c>
      <c r="AP1201">
        <v>24</v>
      </c>
      <c r="AQ1201">
        <v>4</v>
      </c>
      <c r="AR1201" t="s">
        <v>1808</v>
      </c>
      <c r="AS1201" t="s">
        <v>1809</v>
      </c>
      <c r="AT1201">
        <v>0.751</v>
      </c>
      <c r="AU1201" t="s">
        <v>65</v>
      </c>
      <c r="AV1201">
        <v>38</v>
      </c>
      <c r="AW1201">
        <v>11</v>
      </c>
      <c r="AX1201" t="s">
        <v>1810</v>
      </c>
      <c r="AY1201">
        <v>4.088E-2</v>
      </c>
      <c r="AZ1201">
        <v>-1.39E-3</v>
      </c>
      <c r="BA1201">
        <v>3.2299999999999998E-3</v>
      </c>
      <c r="BB1201">
        <v>-2.0000000000000001E-4</v>
      </c>
      <c r="BC1201">
        <v>7.9089999999999994E-2</v>
      </c>
      <c r="BD1201">
        <v>1</v>
      </c>
      <c r="BE1201" t="s">
        <v>69</v>
      </c>
      <c r="BF1201">
        <v>-0.51</v>
      </c>
      <c r="BG1201">
        <v>-1.214</v>
      </c>
    </row>
    <row r="1202" spans="1:59">
      <c r="A1202">
        <v>0</v>
      </c>
      <c r="B1202">
        <v>2</v>
      </c>
      <c r="C1202">
        <v>0</v>
      </c>
      <c r="D1202" t="s">
        <v>25022</v>
      </c>
      <c r="E1202">
        <v>1748</v>
      </c>
      <c r="F1202" t="s">
        <v>10961</v>
      </c>
      <c r="G1202" t="s">
        <v>57</v>
      </c>
      <c r="H1202">
        <v>1759655</v>
      </c>
      <c r="I1202">
        <v>1760380</v>
      </c>
      <c r="J1202" t="s">
        <v>10962</v>
      </c>
      <c r="K1202">
        <v>242</v>
      </c>
      <c r="L1202" t="s">
        <v>108</v>
      </c>
      <c r="M1202">
        <v>44</v>
      </c>
      <c r="N1202" t="str">
        <f>HYPERLINK("Gene1748-zp_tree_all.dnd", "Gene1748-tree")</f>
        <v>Gene1748-tree</v>
      </c>
      <c r="O1202">
        <v>11</v>
      </c>
      <c r="P1202">
        <v>3</v>
      </c>
      <c r="Q1202">
        <v>11</v>
      </c>
      <c r="R1202">
        <v>3</v>
      </c>
      <c r="S1202">
        <v>0.21429000000000001</v>
      </c>
      <c r="T1202" t="s">
        <v>73</v>
      </c>
      <c r="U1202" t="s">
        <v>324</v>
      </c>
      <c r="V1202" t="s">
        <v>62</v>
      </c>
      <c r="W1202" t="s">
        <v>62</v>
      </c>
      <c r="X1202">
        <v>1</v>
      </c>
      <c r="Y1202">
        <v>2</v>
      </c>
      <c r="Z1202">
        <v>8</v>
      </c>
      <c r="AA1202">
        <v>0.2</v>
      </c>
      <c r="AB1202">
        <v>0</v>
      </c>
      <c r="AC1202">
        <v>0</v>
      </c>
      <c r="AD1202">
        <v>0</v>
      </c>
      <c r="AE1202">
        <v>3</v>
      </c>
      <c r="AF1202">
        <v>0</v>
      </c>
      <c r="AG1202">
        <v>0</v>
      </c>
      <c r="AH1202">
        <v>0</v>
      </c>
      <c r="AI1202">
        <v>0</v>
      </c>
      <c r="AJ1202">
        <v>5</v>
      </c>
      <c r="AK1202">
        <v>0</v>
      </c>
      <c r="AL1202">
        <v>12</v>
      </c>
      <c r="AM1202">
        <v>9</v>
      </c>
      <c r="AN1202">
        <v>31</v>
      </c>
      <c r="AO1202">
        <v>5</v>
      </c>
      <c r="AP1202">
        <v>23</v>
      </c>
      <c r="AQ1202">
        <v>5</v>
      </c>
      <c r="AR1202" t="s">
        <v>10963</v>
      </c>
      <c r="AS1202" t="s">
        <v>10964</v>
      </c>
      <c r="AT1202">
        <v>0.157</v>
      </c>
      <c r="AU1202" t="s">
        <v>65</v>
      </c>
      <c r="AV1202">
        <v>54</v>
      </c>
      <c r="AW1202">
        <v>10</v>
      </c>
      <c r="AX1202" t="s">
        <v>10965</v>
      </c>
      <c r="AY1202">
        <v>6.7580000000000001E-2</v>
      </c>
      <c r="AZ1202">
        <v>-2.5000000000000001E-3</v>
      </c>
      <c r="BA1202">
        <v>4.0400000000000002E-3</v>
      </c>
      <c r="BB1202">
        <v>-2.7999999999999998E-4</v>
      </c>
      <c r="BC1202">
        <v>5.9810000000000002E-2</v>
      </c>
      <c r="BD1202">
        <v>1</v>
      </c>
      <c r="BE1202" t="s">
        <v>69</v>
      </c>
      <c r="BF1202">
        <v>-0.47799999999999998</v>
      </c>
      <c r="BG1202">
        <v>-1.806</v>
      </c>
    </row>
    <row r="1203" spans="1:59">
      <c r="A1203">
        <v>0</v>
      </c>
      <c r="B1203">
        <v>0</v>
      </c>
      <c r="C1203">
        <v>0</v>
      </c>
      <c r="D1203" t="s">
        <v>25022</v>
      </c>
      <c r="E1203">
        <v>3090</v>
      </c>
      <c r="F1203" t="s">
        <v>17911</v>
      </c>
      <c r="G1203" t="s">
        <v>62</v>
      </c>
      <c r="H1203">
        <v>3042569</v>
      </c>
      <c r="I1203">
        <v>3043294</v>
      </c>
      <c r="J1203" t="s">
        <v>17912</v>
      </c>
      <c r="K1203">
        <v>242</v>
      </c>
      <c r="L1203" t="s">
        <v>108</v>
      </c>
      <c r="M1203">
        <v>44</v>
      </c>
      <c r="N1203" t="str">
        <f>HYPERLINK("Gene3090-zp_tree_all.dnd", "Gene3090-tree")</f>
        <v>Gene3090-tree</v>
      </c>
      <c r="O1203">
        <v>8</v>
      </c>
      <c r="P1203">
        <v>4</v>
      </c>
      <c r="Q1203">
        <v>8</v>
      </c>
      <c r="R1203">
        <v>4</v>
      </c>
      <c r="S1203">
        <v>0.33333000000000002</v>
      </c>
      <c r="T1203" t="s">
        <v>136</v>
      </c>
      <c r="U1203" t="s">
        <v>61</v>
      </c>
      <c r="V1203" t="s">
        <v>62</v>
      </c>
      <c r="W1203" t="s">
        <v>62</v>
      </c>
      <c r="X1203">
        <v>0</v>
      </c>
      <c r="Y1203">
        <v>0</v>
      </c>
      <c r="Z1203">
        <v>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5</v>
      </c>
      <c r="AK1203">
        <v>0</v>
      </c>
      <c r="AL1203">
        <v>11</v>
      </c>
      <c r="AM1203">
        <v>9</v>
      </c>
      <c r="AN1203">
        <v>30</v>
      </c>
      <c r="AO1203">
        <v>5</v>
      </c>
      <c r="AP1203">
        <v>16</v>
      </c>
      <c r="AQ1203">
        <v>0</v>
      </c>
      <c r="AR1203" t="s">
        <v>17913</v>
      </c>
      <c r="AS1203" t="s">
        <v>193</v>
      </c>
      <c r="AT1203">
        <v>1.3089999999999999</v>
      </c>
      <c r="AU1203" t="s">
        <v>65</v>
      </c>
      <c r="AV1203">
        <v>46</v>
      </c>
      <c r="AW1203">
        <v>5</v>
      </c>
      <c r="AX1203" t="s">
        <v>17914</v>
      </c>
      <c r="AY1203">
        <v>5.5370000000000003E-2</v>
      </c>
      <c r="AZ1203">
        <v>-1.7600000000000001E-3</v>
      </c>
      <c r="BA1203">
        <v>1.48E-3</v>
      </c>
      <c r="BB1203">
        <v>-1.9000000000000001E-4</v>
      </c>
      <c r="BC1203">
        <v>2.6700000000000002E-2</v>
      </c>
      <c r="BD1203">
        <v>1</v>
      </c>
      <c r="BE1203" t="s">
        <v>69</v>
      </c>
      <c r="BF1203">
        <v>-0.79500000000000004</v>
      </c>
      <c r="BG1203">
        <v>-2.2970000000000002</v>
      </c>
    </row>
    <row r="1204" spans="1:59">
      <c r="A1204">
        <v>0</v>
      </c>
      <c r="B1204">
        <v>4</v>
      </c>
      <c r="C1204">
        <v>1</v>
      </c>
      <c r="D1204" t="s">
        <v>25022</v>
      </c>
      <c r="E1204">
        <v>261</v>
      </c>
      <c r="F1204" t="s">
        <v>1780</v>
      </c>
      <c r="G1204" t="s">
        <v>57</v>
      </c>
      <c r="H1204">
        <v>283003</v>
      </c>
      <c r="I1204">
        <v>283731</v>
      </c>
      <c r="J1204" t="s">
        <v>116</v>
      </c>
      <c r="K1204">
        <v>243</v>
      </c>
      <c r="L1204" t="s">
        <v>1781</v>
      </c>
      <c r="M1204">
        <v>43</v>
      </c>
      <c r="N1204" t="str">
        <f>HYPERLINK("Gene261-zp_tree_all.dnd", "Gene261-tree")</f>
        <v>Gene261-tree</v>
      </c>
      <c r="O1204">
        <v>1</v>
      </c>
      <c r="P1204">
        <v>32</v>
      </c>
      <c r="Q1204">
        <v>1</v>
      </c>
      <c r="R1204">
        <v>12</v>
      </c>
      <c r="S1204">
        <v>0.92308000000000001</v>
      </c>
      <c r="T1204" t="s">
        <v>175</v>
      </c>
      <c r="U1204" t="s">
        <v>1782</v>
      </c>
      <c r="V1204">
        <v>5.3220000000000001</v>
      </c>
      <c r="W1204" t="s">
        <v>267</v>
      </c>
      <c r="X1204">
        <v>2</v>
      </c>
      <c r="Y1204">
        <v>5</v>
      </c>
      <c r="Z1204">
        <v>13</v>
      </c>
      <c r="AA1204">
        <v>0.27778000000000003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1</v>
      </c>
      <c r="AI1204">
        <v>3</v>
      </c>
      <c r="AJ1204">
        <v>13</v>
      </c>
      <c r="AK1204">
        <v>0.1875</v>
      </c>
      <c r="AL1204">
        <v>10</v>
      </c>
      <c r="AM1204">
        <v>4</v>
      </c>
      <c r="AN1204">
        <v>9</v>
      </c>
      <c r="AO1204">
        <v>15</v>
      </c>
      <c r="AP1204">
        <v>1</v>
      </c>
      <c r="AQ1204">
        <v>3</v>
      </c>
      <c r="AR1204" t="s">
        <v>1783</v>
      </c>
      <c r="AS1204" t="s">
        <v>1784</v>
      </c>
      <c r="AT1204">
        <v>0.26600000000000001</v>
      </c>
      <c r="AU1204" t="s">
        <v>65</v>
      </c>
      <c r="AV1204">
        <v>10</v>
      </c>
      <c r="AW1204">
        <v>18</v>
      </c>
      <c r="AX1204" t="s">
        <v>1785</v>
      </c>
      <c r="AY1204">
        <v>1.2160000000000001E-2</v>
      </c>
      <c r="AZ1204">
        <v>-7.5000000000000002E-4</v>
      </c>
      <c r="BA1204">
        <v>5.8399999999999997E-3</v>
      </c>
      <c r="BB1204">
        <v>-2.9999999999999997E-4</v>
      </c>
      <c r="BC1204">
        <v>0.48010999999999998</v>
      </c>
      <c r="BD1204">
        <v>0.77</v>
      </c>
      <c r="BE1204" t="s">
        <v>635</v>
      </c>
      <c r="BF1204">
        <v>-1.498</v>
      </c>
      <c r="BG1204">
        <v>-1.1000000000000001</v>
      </c>
    </row>
    <row r="1205" spans="1:59">
      <c r="A1205">
        <v>0</v>
      </c>
      <c r="B1205">
        <v>7</v>
      </c>
      <c r="C1205">
        <v>2</v>
      </c>
      <c r="D1205" t="s">
        <v>25022</v>
      </c>
      <c r="E1205">
        <v>3303</v>
      </c>
      <c r="F1205" t="s">
        <v>19275</v>
      </c>
      <c r="G1205" t="s">
        <v>62</v>
      </c>
      <c r="H1205">
        <v>3265409</v>
      </c>
      <c r="I1205">
        <v>3266137</v>
      </c>
      <c r="J1205" t="s">
        <v>19276</v>
      </c>
      <c r="K1205">
        <v>243</v>
      </c>
      <c r="L1205" t="s">
        <v>108</v>
      </c>
      <c r="M1205">
        <v>44</v>
      </c>
      <c r="N1205" t="str">
        <f>HYPERLINK("Gene3303-zp_tree_all.dnd", "Gene3303-tree")</f>
        <v>Gene3303-tree</v>
      </c>
      <c r="O1205">
        <v>5</v>
      </c>
      <c r="P1205">
        <v>9</v>
      </c>
      <c r="Q1205">
        <v>5</v>
      </c>
      <c r="R1205">
        <v>9</v>
      </c>
      <c r="S1205">
        <v>0.64285999999999999</v>
      </c>
      <c r="T1205" t="s">
        <v>199</v>
      </c>
      <c r="U1205" t="s">
        <v>135</v>
      </c>
      <c r="V1205" t="s">
        <v>62</v>
      </c>
      <c r="W1205" t="s">
        <v>62</v>
      </c>
      <c r="X1205">
        <v>4</v>
      </c>
      <c r="Y1205">
        <v>9</v>
      </c>
      <c r="Z1205">
        <v>8</v>
      </c>
      <c r="AA1205">
        <v>0.52941000000000005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2</v>
      </c>
      <c r="AI1205">
        <v>2</v>
      </c>
      <c r="AJ1205">
        <v>10</v>
      </c>
      <c r="AK1205">
        <v>0.16667000000000001</v>
      </c>
      <c r="AL1205">
        <v>11</v>
      </c>
      <c r="AM1205">
        <v>8</v>
      </c>
      <c r="AN1205">
        <v>13</v>
      </c>
      <c r="AO1205">
        <v>12</v>
      </c>
      <c r="AP1205">
        <v>7</v>
      </c>
      <c r="AQ1205">
        <v>5</v>
      </c>
      <c r="AR1205" t="s">
        <v>19277</v>
      </c>
      <c r="AS1205" t="s">
        <v>19278</v>
      </c>
      <c r="AT1205">
        <v>0.497</v>
      </c>
      <c r="AU1205" t="s">
        <v>65</v>
      </c>
      <c r="AV1205">
        <v>20</v>
      </c>
      <c r="AW1205">
        <v>17</v>
      </c>
      <c r="AX1205" t="s">
        <v>19279</v>
      </c>
      <c r="AY1205">
        <v>2.3609999999999999E-2</v>
      </c>
      <c r="AZ1205">
        <v>-1.1199999999999999E-3</v>
      </c>
      <c r="BA1205">
        <v>5.4400000000000004E-3</v>
      </c>
      <c r="BB1205">
        <v>-2.5000000000000001E-4</v>
      </c>
      <c r="BC1205">
        <v>0.23035</v>
      </c>
      <c r="BD1205">
        <v>1</v>
      </c>
      <c r="BE1205" t="s">
        <v>69</v>
      </c>
      <c r="BF1205">
        <v>-1.212</v>
      </c>
      <c r="BG1205">
        <v>-1.89</v>
      </c>
    </row>
    <row r="1206" spans="1:59">
      <c r="A1206">
        <v>0</v>
      </c>
      <c r="B1206">
        <v>5</v>
      </c>
      <c r="C1206">
        <v>2</v>
      </c>
      <c r="D1206" t="s">
        <v>25022</v>
      </c>
      <c r="E1206">
        <v>2520</v>
      </c>
      <c r="F1206" t="s">
        <v>14710</v>
      </c>
      <c r="G1206" t="s">
        <v>62</v>
      </c>
      <c r="H1206">
        <v>2514172</v>
      </c>
      <c r="I1206">
        <v>2514900</v>
      </c>
      <c r="J1206" t="s">
        <v>14711</v>
      </c>
      <c r="K1206">
        <v>243</v>
      </c>
      <c r="L1206" t="s">
        <v>108</v>
      </c>
      <c r="M1206">
        <v>44</v>
      </c>
      <c r="N1206" t="str">
        <f>HYPERLINK("Gene2520-zp_tree_all.dnd", "Gene2520-tree")</f>
        <v>Gene2520-tree</v>
      </c>
      <c r="O1206">
        <v>3</v>
      </c>
      <c r="P1206">
        <v>10</v>
      </c>
      <c r="Q1206">
        <v>3</v>
      </c>
      <c r="R1206">
        <v>10</v>
      </c>
      <c r="S1206">
        <v>0.76922999999999997</v>
      </c>
      <c r="T1206" t="s">
        <v>324</v>
      </c>
      <c r="U1206" t="s">
        <v>117</v>
      </c>
      <c r="V1206" t="s">
        <v>62</v>
      </c>
      <c r="W1206" t="s">
        <v>62</v>
      </c>
      <c r="X1206">
        <v>3</v>
      </c>
      <c r="Y1206">
        <v>7</v>
      </c>
      <c r="Z1206">
        <v>12</v>
      </c>
      <c r="AA1206">
        <v>0.36842000000000003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</v>
      </c>
      <c r="AH1206">
        <v>2</v>
      </c>
      <c r="AI1206">
        <v>4</v>
      </c>
      <c r="AJ1206">
        <v>9</v>
      </c>
      <c r="AK1206">
        <v>0.30769000000000002</v>
      </c>
      <c r="AL1206">
        <v>11</v>
      </c>
      <c r="AM1206">
        <v>8</v>
      </c>
      <c r="AN1206">
        <v>18</v>
      </c>
      <c r="AO1206">
        <v>12</v>
      </c>
      <c r="AP1206">
        <v>16</v>
      </c>
      <c r="AQ1206">
        <v>8</v>
      </c>
      <c r="AR1206" t="s">
        <v>14712</v>
      </c>
      <c r="AS1206" t="s">
        <v>14713</v>
      </c>
      <c r="AT1206">
        <v>0.47</v>
      </c>
      <c r="AU1206" t="s">
        <v>65</v>
      </c>
      <c r="AV1206">
        <v>34</v>
      </c>
      <c r="AW1206">
        <v>20</v>
      </c>
      <c r="AX1206" t="s">
        <v>14714</v>
      </c>
      <c r="AY1206">
        <v>3.9320000000000001E-2</v>
      </c>
      <c r="AZ1206">
        <v>-2.0400000000000001E-3</v>
      </c>
      <c r="BA1206">
        <v>8.0099999999999998E-3</v>
      </c>
      <c r="BB1206">
        <v>-4.2999999999999999E-4</v>
      </c>
      <c r="BC1206">
        <v>0.20374</v>
      </c>
      <c r="BD1206">
        <v>1</v>
      </c>
      <c r="BE1206" t="s">
        <v>69</v>
      </c>
      <c r="BF1206">
        <v>-0.47299999999999998</v>
      </c>
      <c r="BG1206">
        <v>-0.92100000000000004</v>
      </c>
    </row>
    <row r="1207" spans="1:59">
      <c r="A1207">
        <v>0</v>
      </c>
      <c r="B1207">
        <v>0</v>
      </c>
      <c r="C1207">
        <v>0</v>
      </c>
      <c r="D1207" t="s">
        <v>25022</v>
      </c>
      <c r="E1207">
        <v>1356</v>
      </c>
      <c r="F1207" t="s">
        <v>8488</v>
      </c>
      <c r="G1207" t="s">
        <v>57</v>
      </c>
      <c r="H1207">
        <v>1374437</v>
      </c>
      <c r="I1207">
        <v>1375165</v>
      </c>
      <c r="J1207" t="s">
        <v>3674</v>
      </c>
      <c r="K1207">
        <v>243</v>
      </c>
      <c r="L1207" t="s">
        <v>108</v>
      </c>
      <c r="M1207">
        <v>44</v>
      </c>
      <c r="N1207" t="str">
        <f>HYPERLINK("Gene1356-zp_tree_all.dnd", "Gene1356-tree")</f>
        <v>Gene1356-tree</v>
      </c>
      <c r="O1207">
        <v>8</v>
      </c>
      <c r="P1207">
        <v>4</v>
      </c>
      <c r="Q1207">
        <v>8</v>
      </c>
      <c r="R1207">
        <v>4</v>
      </c>
      <c r="S1207">
        <v>0.33333000000000002</v>
      </c>
      <c r="T1207" t="s">
        <v>136</v>
      </c>
      <c r="U1207" t="s">
        <v>61</v>
      </c>
      <c r="V1207" t="s">
        <v>62</v>
      </c>
      <c r="W1207" t="s">
        <v>62</v>
      </c>
      <c r="X1207">
        <v>0</v>
      </c>
      <c r="Y1207">
        <v>0</v>
      </c>
      <c r="Z1207">
        <v>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</v>
      </c>
      <c r="AK1207">
        <v>0</v>
      </c>
      <c r="AL1207">
        <v>10</v>
      </c>
      <c r="AM1207">
        <v>5</v>
      </c>
      <c r="AN1207">
        <v>16</v>
      </c>
      <c r="AO1207">
        <v>4</v>
      </c>
      <c r="AP1207">
        <v>15</v>
      </c>
      <c r="AQ1207">
        <v>3</v>
      </c>
      <c r="AR1207" t="s">
        <v>8489</v>
      </c>
      <c r="AS1207" t="s">
        <v>8490</v>
      </c>
      <c r="AT1207">
        <v>0.21199999999999999</v>
      </c>
      <c r="AU1207" t="s">
        <v>65</v>
      </c>
      <c r="AV1207">
        <v>31</v>
      </c>
      <c r="AW1207">
        <v>7</v>
      </c>
      <c r="AX1207" t="s">
        <v>8491</v>
      </c>
      <c r="AY1207">
        <v>4.5499999999999999E-2</v>
      </c>
      <c r="AZ1207">
        <v>-3.0400000000000002E-3</v>
      </c>
      <c r="BA1207">
        <v>4.3099999999999996E-3</v>
      </c>
      <c r="BB1207">
        <v>-4.0999999999999999E-4</v>
      </c>
      <c r="BC1207">
        <v>9.4700000000000006E-2</v>
      </c>
      <c r="BD1207">
        <v>1</v>
      </c>
      <c r="BE1207" t="s">
        <v>69</v>
      </c>
      <c r="BF1207">
        <v>0.41299999999999998</v>
      </c>
      <c r="BG1207">
        <v>-0.17599999999999999</v>
      </c>
    </row>
    <row r="1208" spans="1:59">
      <c r="A1208">
        <v>0</v>
      </c>
      <c r="B1208">
        <v>0</v>
      </c>
      <c r="C1208">
        <v>0</v>
      </c>
      <c r="D1208" t="s">
        <v>25022</v>
      </c>
      <c r="E1208">
        <v>2674</v>
      </c>
      <c r="F1208" t="s">
        <v>15684</v>
      </c>
      <c r="G1208" t="s">
        <v>62</v>
      </c>
      <c r="H1208">
        <v>2647923</v>
      </c>
      <c r="I1208">
        <v>2648651</v>
      </c>
      <c r="J1208" t="s">
        <v>15685</v>
      </c>
      <c r="K1208">
        <v>243</v>
      </c>
      <c r="L1208" t="s">
        <v>108</v>
      </c>
      <c r="M1208">
        <v>44</v>
      </c>
      <c r="N1208" t="str">
        <f>HYPERLINK("Gene2674-zp_tree_all.dnd", "Gene2674-tree")</f>
        <v>Gene2674-tree</v>
      </c>
      <c r="O1208">
        <v>10</v>
      </c>
      <c r="P1208">
        <v>2</v>
      </c>
      <c r="Q1208">
        <v>10</v>
      </c>
      <c r="R1208">
        <v>2</v>
      </c>
      <c r="S1208">
        <v>0.16667000000000001</v>
      </c>
      <c r="T1208" t="s">
        <v>117</v>
      </c>
      <c r="U1208" t="s">
        <v>81</v>
      </c>
      <c r="V1208" t="s">
        <v>62</v>
      </c>
      <c r="W1208" t="s">
        <v>62</v>
      </c>
      <c r="X1208">
        <v>0</v>
      </c>
      <c r="Y1208">
        <v>0</v>
      </c>
      <c r="Z1208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3</v>
      </c>
      <c r="AK1208">
        <v>0</v>
      </c>
      <c r="AL1208">
        <v>9</v>
      </c>
      <c r="AM1208">
        <v>6</v>
      </c>
      <c r="AN1208">
        <v>17</v>
      </c>
      <c r="AO1208">
        <v>3</v>
      </c>
      <c r="AP1208">
        <v>9</v>
      </c>
      <c r="AQ1208">
        <v>2</v>
      </c>
      <c r="AR1208" t="s">
        <v>15686</v>
      </c>
      <c r="AS1208" t="s">
        <v>15687</v>
      </c>
      <c r="AT1208">
        <v>0.14199999999999999</v>
      </c>
      <c r="AU1208" t="s">
        <v>65</v>
      </c>
      <c r="AV1208">
        <v>26</v>
      </c>
      <c r="AW1208">
        <v>5</v>
      </c>
      <c r="AX1208" t="s">
        <v>15688</v>
      </c>
      <c r="AY1208">
        <v>3.4619999999999998E-2</v>
      </c>
      <c r="AZ1208">
        <v>-1.83E-3</v>
      </c>
      <c r="BA1208">
        <v>2.3700000000000001E-3</v>
      </c>
      <c r="BB1208">
        <v>-2.1000000000000001E-4</v>
      </c>
      <c r="BC1208">
        <v>6.8519999999999998E-2</v>
      </c>
      <c r="BD1208">
        <v>1</v>
      </c>
      <c r="BE1208" t="s">
        <v>69</v>
      </c>
      <c r="BF1208">
        <v>7.6999999999999999E-2</v>
      </c>
      <c r="BG1208">
        <v>0.13100000000000001</v>
      </c>
    </row>
    <row r="1209" spans="1:59">
      <c r="A1209">
        <v>0</v>
      </c>
      <c r="B1209">
        <v>4</v>
      </c>
      <c r="C1209">
        <v>0</v>
      </c>
      <c r="D1209" t="s">
        <v>25022</v>
      </c>
      <c r="E1209">
        <v>1426</v>
      </c>
      <c r="F1209" t="s">
        <v>8933</v>
      </c>
      <c r="G1209" t="s">
        <v>57</v>
      </c>
      <c r="H1209">
        <v>1440542</v>
      </c>
      <c r="I1209">
        <v>1441270</v>
      </c>
      <c r="J1209" t="s">
        <v>8934</v>
      </c>
      <c r="K1209">
        <v>243</v>
      </c>
      <c r="L1209" t="s">
        <v>108</v>
      </c>
      <c r="M1209">
        <v>44</v>
      </c>
      <c r="N1209" t="str">
        <f>HYPERLINK("Gene1426-zp_tree_all.dnd", "Gene1426-tree")</f>
        <v>Gene1426-tree</v>
      </c>
      <c r="O1209">
        <v>12</v>
      </c>
      <c r="P1209">
        <v>3</v>
      </c>
      <c r="Q1209">
        <v>12</v>
      </c>
      <c r="R1209">
        <v>3</v>
      </c>
      <c r="S1209">
        <v>0.2</v>
      </c>
      <c r="T1209" t="s">
        <v>109</v>
      </c>
      <c r="U1209" t="s">
        <v>324</v>
      </c>
      <c r="V1209" t="s">
        <v>62</v>
      </c>
      <c r="W1209" t="s">
        <v>62</v>
      </c>
      <c r="X1209">
        <v>1</v>
      </c>
      <c r="Y1209">
        <v>4</v>
      </c>
      <c r="Z1209">
        <v>6</v>
      </c>
      <c r="AA1209">
        <v>0.4</v>
      </c>
      <c r="AB1209">
        <v>2</v>
      </c>
      <c r="AC1209">
        <v>0</v>
      </c>
      <c r="AD1209">
        <v>2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6</v>
      </c>
      <c r="AK1209">
        <v>0</v>
      </c>
      <c r="AL1209">
        <v>10</v>
      </c>
      <c r="AM1209">
        <v>8</v>
      </c>
      <c r="AN1209">
        <v>29</v>
      </c>
      <c r="AO1209">
        <v>6</v>
      </c>
      <c r="AP1209">
        <v>7</v>
      </c>
      <c r="AQ1209">
        <v>4</v>
      </c>
      <c r="AR1209" t="s">
        <v>8935</v>
      </c>
      <c r="AS1209" t="s">
        <v>8936</v>
      </c>
      <c r="AT1209">
        <v>1.026</v>
      </c>
      <c r="AU1209" t="s">
        <v>65</v>
      </c>
      <c r="AV1209">
        <v>36</v>
      </c>
      <c r="AW1209">
        <v>10</v>
      </c>
      <c r="AX1209" t="s">
        <v>8937</v>
      </c>
      <c r="AY1209">
        <v>3.8249999999999999E-2</v>
      </c>
      <c r="AZ1209">
        <v>-3.0200000000000001E-3</v>
      </c>
      <c r="BA1209">
        <v>2.0400000000000001E-3</v>
      </c>
      <c r="BB1209">
        <v>-2.2000000000000001E-4</v>
      </c>
      <c r="BC1209">
        <v>5.3249999999999999E-2</v>
      </c>
      <c r="BD1209">
        <v>1</v>
      </c>
      <c r="BE1209" t="s">
        <v>69</v>
      </c>
      <c r="BF1209">
        <v>-1.3879999999999999</v>
      </c>
      <c r="BG1209">
        <v>-2.4220000000000002</v>
      </c>
    </row>
    <row r="1210" spans="1:59">
      <c r="A1210">
        <v>0</v>
      </c>
      <c r="B1210">
        <v>0</v>
      </c>
      <c r="C1210">
        <v>2</v>
      </c>
      <c r="D1210" t="s">
        <v>25022</v>
      </c>
      <c r="E1210">
        <v>1664</v>
      </c>
      <c r="F1210" t="s">
        <v>10419</v>
      </c>
      <c r="G1210" t="s">
        <v>57</v>
      </c>
      <c r="H1210">
        <v>1675171</v>
      </c>
      <c r="I1210">
        <v>1675899</v>
      </c>
      <c r="J1210" t="s">
        <v>10420</v>
      </c>
      <c r="K1210">
        <v>243</v>
      </c>
      <c r="L1210" t="s">
        <v>108</v>
      </c>
      <c r="M1210">
        <v>44</v>
      </c>
      <c r="N1210" t="str">
        <f>HYPERLINK("Gene1664-zp_tree_all.dnd", "Gene1664-tree")</f>
        <v>Gene1664-tree</v>
      </c>
      <c r="O1210">
        <v>9</v>
      </c>
      <c r="P1210">
        <v>10</v>
      </c>
      <c r="Q1210">
        <v>9</v>
      </c>
      <c r="R1210">
        <v>7</v>
      </c>
      <c r="S1210">
        <v>0.4375</v>
      </c>
      <c r="T1210" t="s">
        <v>135</v>
      </c>
      <c r="U1210" t="s">
        <v>10421</v>
      </c>
      <c r="V1210">
        <v>1.171</v>
      </c>
      <c r="W1210" t="s">
        <v>65</v>
      </c>
      <c r="X1210">
        <v>1</v>
      </c>
      <c r="Y1210">
        <v>2</v>
      </c>
      <c r="Z1210">
        <v>6</v>
      </c>
      <c r="AA1210">
        <v>0.25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</v>
      </c>
      <c r="AI1210">
        <v>2</v>
      </c>
      <c r="AJ1210">
        <v>6</v>
      </c>
      <c r="AK1210">
        <v>0.25</v>
      </c>
      <c r="AL1210">
        <v>12</v>
      </c>
      <c r="AM1210">
        <v>10</v>
      </c>
      <c r="AN1210">
        <v>22</v>
      </c>
      <c r="AO1210">
        <v>8</v>
      </c>
      <c r="AP1210">
        <v>20</v>
      </c>
      <c r="AQ1210">
        <v>0</v>
      </c>
      <c r="AR1210" t="s">
        <v>10422</v>
      </c>
      <c r="AS1210" t="s">
        <v>193</v>
      </c>
      <c r="AT1210">
        <v>1.845</v>
      </c>
      <c r="AU1210" t="s">
        <v>65</v>
      </c>
      <c r="AV1210">
        <v>42</v>
      </c>
      <c r="AW1210">
        <v>8</v>
      </c>
      <c r="AX1210" t="s">
        <v>10423</v>
      </c>
      <c r="AY1210">
        <v>4.4040000000000003E-2</v>
      </c>
      <c r="AZ1210">
        <v>-1.8799999999999999E-3</v>
      </c>
      <c r="BA1210">
        <v>1.7799999999999999E-3</v>
      </c>
      <c r="BB1210">
        <v>-1.3999999999999999E-4</v>
      </c>
      <c r="BC1210">
        <v>4.0399999999999998E-2</v>
      </c>
      <c r="BD1210">
        <v>1</v>
      </c>
      <c r="BE1210" t="s">
        <v>69</v>
      </c>
      <c r="BF1210">
        <v>-0.92700000000000005</v>
      </c>
      <c r="BG1210">
        <v>-0.99399999999999999</v>
      </c>
    </row>
    <row r="1211" spans="1:59">
      <c r="A1211">
        <v>0</v>
      </c>
      <c r="B1211">
        <v>5</v>
      </c>
      <c r="C1211">
        <v>2</v>
      </c>
      <c r="D1211" t="s">
        <v>25022</v>
      </c>
      <c r="E1211">
        <v>2375</v>
      </c>
      <c r="F1211" t="s">
        <v>13813</v>
      </c>
      <c r="G1211" t="s">
        <v>62</v>
      </c>
      <c r="H1211">
        <v>2387857</v>
      </c>
      <c r="I1211">
        <v>2388588</v>
      </c>
      <c r="J1211" t="s">
        <v>13814</v>
      </c>
      <c r="K1211">
        <v>244</v>
      </c>
      <c r="L1211" t="s">
        <v>108</v>
      </c>
      <c r="M1211">
        <v>44</v>
      </c>
      <c r="N1211" t="str">
        <f>HYPERLINK("Gene2375-zp_tree_all.dnd", "Gene2375-tree")</f>
        <v>Gene2375-tree</v>
      </c>
      <c r="O1211">
        <v>4</v>
      </c>
      <c r="P1211">
        <v>9</v>
      </c>
      <c r="Q1211">
        <v>4</v>
      </c>
      <c r="R1211">
        <v>9</v>
      </c>
      <c r="S1211">
        <v>0.69230999999999998</v>
      </c>
      <c r="T1211" t="s">
        <v>61</v>
      </c>
      <c r="U1211" t="s">
        <v>135</v>
      </c>
      <c r="V1211" t="s">
        <v>62</v>
      </c>
      <c r="W1211" t="s">
        <v>62</v>
      </c>
      <c r="X1211">
        <v>3</v>
      </c>
      <c r="Y1211">
        <v>7</v>
      </c>
      <c r="Z1211">
        <v>8</v>
      </c>
      <c r="AA1211">
        <v>0.46666999999999997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</v>
      </c>
      <c r="AH1211">
        <v>0</v>
      </c>
      <c r="AI1211">
        <v>2</v>
      </c>
      <c r="AJ1211">
        <v>10</v>
      </c>
      <c r="AK1211">
        <v>0.16667000000000001</v>
      </c>
      <c r="AL1211">
        <v>11</v>
      </c>
      <c r="AM1211">
        <v>8</v>
      </c>
      <c r="AN1211">
        <v>16</v>
      </c>
      <c r="AO1211">
        <v>11</v>
      </c>
      <c r="AP1211">
        <v>8</v>
      </c>
      <c r="AQ1211">
        <v>4</v>
      </c>
      <c r="AR1211" t="s">
        <v>13815</v>
      </c>
      <c r="AS1211" t="s">
        <v>13816</v>
      </c>
      <c r="AT1211">
        <v>0.53700000000000003</v>
      </c>
      <c r="AU1211" t="s">
        <v>65</v>
      </c>
      <c r="AV1211">
        <v>24</v>
      </c>
      <c r="AW1211">
        <v>15</v>
      </c>
      <c r="AX1211" t="s">
        <v>13817</v>
      </c>
      <c r="AY1211">
        <v>3.2050000000000002E-2</v>
      </c>
      <c r="AZ1211">
        <v>-1.57E-3</v>
      </c>
      <c r="BA1211">
        <v>4.1700000000000001E-3</v>
      </c>
      <c r="BB1211">
        <v>-2.2000000000000001E-4</v>
      </c>
      <c r="BC1211">
        <v>0.13005</v>
      </c>
      <c r="BD1211">
        <v>1</v>
      </c>
      <c r="BE1211" t="s">
        <v>69</v>
      </c>
      <c r="BF1211">
        <v>-0.98299999999999998</v>
      </c>
      <c r="BG1211">
        <v>-1.8440000000000001</v>
      </c>
    </row>
    <row r="1212" spans="1:59">
      <c r="A1212">
        <v>0</v>
      </c>
      <c r="B1212">
        <v>2</v>
      </c>
      <c r="C1212">
        <v>1</v>
      </c>
      <c r="D1212" t="s">
        <v>25022</v>
      </c>
      <c r="E1212">
        <v>1164</v>
      </c>
      <c r="F1212" t="s">
        <v>7331</v>
      </c>
      <c r="G1212" t="s">
        <v>57</v>
      </c>
      <c r="H1212">
        <v>1205165</v>
      </c>
      <c r="I1212">
        <v>1205896</v>
      </c>
      <c r="J1212" t="s">
        <v>288</v>
      </c>
      <c r="K1212">
        <v>244</v>
      </c>
      <c r="L1212" t="s">
        <v>1392</v>
      </c>
      <c r="M1212">
        <v>43</v>
      </c>
      <c r="N1212" t="str">
        <f>HYPERLINK("Gene1164-zp_tree_all.dnd", "Gene1164-tree")</f>
        <v>Gene1164-tree</v>
      </c>
      <c r="O1212">
        <v>6</v>
      </c>
      <c r="P1212">
        <v>3</v>
      </c>
      <c r="Q1212">
        <v>6</v>
      </c>
      <c r="R1212">
        <v>3</v>
      </c>
      <c r="S1212">
        <v>0.33333000000000002</v>
      </c>
      <c r="T1212" t="s">
        <v>90</v>
      </c>
      <c r="U1212" t="s">
        <v>324</v>
      </c>
      <c r="V1212" t="s">
        <v>62</v>
      </c>
      <c r="W1212" t="s">
        <v>62</v>
      </c>
      <c r="X1212">
        <v>1</v>
      </c>
      <c r="Y1212">
        <v>3</v>
      </c>
      <c r="Z1212">
        <v>2</v>
      </c>
      <c r="AA1212">
        <v>0.6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2</v>
      </c>
      <c r="AI1212">
        <v>2</v>
      </c>
      <c r="AJ1212">
        <v>1</v>
      </c>
      <c r="AK1212">
        <v>0.66666999999999998</v>
      </c>
      <c r="AL1212">
        <v>8</v>
      </c>
      <c r="AM1212">
        <v>5</v>
      </c>
      <c r="AN1212">
        <v>10</v>
      </c>
      <c r="AO1212">
        <v>3</v>
      </c>
      <c r="AP1212">
        <v>6</v>
      </c>
      <c r="AQ1212">
        <v>2</v>
      </c>
      <c r="AR1212" t="s">
        <v>7332</v>
      </c>
      <c r="AS1212" t="s">
        <v>7333</v>
      </c>
      <c r="AT1212">
        <v>9.2999999999999999E-2</v>
      </c>
      <c r="AU1212" t="s">
        <v>65</v>
      </c>
      <c r="AV1212">
        <v>16</v>
      </c>
      <c r="AW1212">
        <v>5</v>
      </c>
      <c r="AX1212" t="s">
        <v>7334</v>
      </c>
      <c r="AY1212">
        <v>2.9139999999999999E-2</v>
      </c>
      <c r="AZ1212">
        <v>-1.9400000000000001E-3</v>
      </c>
      <c r="BA1212">
        <v>2.64E-3</v>
      </c>
      <c r="BB1212">
        <v>-2.3000000000000001E-4</v>
      </c>
      <c r="BC1212">
        <v>9.0529999999999999E-2</v>
      </c>
      <c r="BD1212">
        <v>1</v>
      </c>
      <c r="BE1212" t="s">
        <v>69</v>
      </c>
      <c r="BF1212">
        <v>-0.14399999999999999</v>
      </c>
      <c r="BG1212">
        <v>-1.1930000000000001</v>
      </c>
    </row>
    <row r="1213" spans="1:59">
      <c r="A1213">
        <v>0</v>
      </c>
      <c r="B1213">
        <v>2</v>
      </c>
      <c r="C1213">
        <v>2</v>
      </c>
      <c r="D1213" t="s">
        <v>25022</v>
      </c>
      <c r="E1213">
        <v>1059</v>
      </c>
      <c r="F1213" t="s">
        <v>6646</v>
      </c>
      <c r="G1213" t="s">
        <v>57</v>
      </c>
      <c r="H1213">
        <v>1098412</v>
      </c>
      <c r="I1213">
        <v>1099143</v>
      </c>
      <c r="J1213" t="s">
        <v>3354</v>
      </c>
      <c r="K1213">
        <v>244</v>
      </c>
      <c r="L1213" t="s">
        <v>6647</v>
      </c>
      <c r="M1213">
        <v>47</v>
      </c>
      <c r="N1213" t="str">
        <f>HYPERLINK("Gene1059-zp_tree_all.dnd", "Gene1059-tree")</f>
        <v>Gene1059-tree</v>
      </c>
      <c r="O1213">
        <v>8</v>
      </c>
      <c r="P1213">
        <v>8</v>
      </c>
      <c r="Q1213">
        <v>8</v>
      </c>
      <c r="R1213">
        <v>8</v>
      </c>
      <c r="S1213">
        <v>0.5</v>
      </c>
      <c r="T1213" t="s">
        <v>136</v>
      </c>
      <c r="U1213" t="s">
        <v>136</v>
      </c>
      <c r="V1213" t="s">
        <v>62</v>
      </c>
      <c r="W1213" t="s">
        <v>62</v>
      </c>
      <c r="X1213">
        <v>2</v>
      </c>
      <c r="Y1213">
        <v>4</v>
      </c>
      <c r="Z1213">
        <v>13</v>
      </c>
      <c r="AA1213">
        <v>0.23529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</v>
      </c>
      <c r="AI1213">
        <v>2</v>
      </c>
      <c r="AJ1213">
        <v>8</v>
      </c>
      <c r="AK1213">
        <v>0.2</v>
      </c>
      <c r="AL1213">
        <v>15</v>
      </c>
      <c r="AM1213">
        <v>9</v>
      </c>
      <c r="AN1213">
        <v>34</v>
      </c>
      <c r="AO1213">
        <v>9</v>
      </c>
      <c r="AP1213">
        <v>41</v>
      </c>
      <c r="AQ1213">
        <v>8</v>
      </c>
      <c r="AR1213" t="s">
        <v>6648</v>
      </c>
      <c r="AS1213" t="s">
        <v>6649</v>
      </c>
      <c r="AT1213">
        <v>0.29299999999999998</v>
      </c>
      <c r="AU1213" t="s">
        <v>65</v>
      </c>
      <c r="AV1213">
        <v>75</v>
      </c>
      <c r="AW1213">
        <v>17</v>
      </c>
      <c r="AX1213" t="s">
        <v>6650</v>
      </c>
      <c r="AY1213">
        <v>9.8659999999999998E-2</v>
      </c>
      <c r="AZ1213">
        <v>-6.7799999999999996E-3</v>
      </c>
      <c r="BA1213">
        <v>5.9800000000000001E-3</v>
      </c>
      <c r="BB1213">
        <v>-4.2999999999999999E-4</v>
      </c>
      <c r="BC1213">
        <v>6.0630000000000003E-2</v>
      </c>
      <c r="BD1213">
        <v>1</v>
      </c>
      <c r="BE1213" t="s">
        <v>69</v>
      </c>
      <c r="BF1213">
        <v>-1.145</v>
      </c>
      <c r="BG1213">
        <v>2.4E-2</v>
      </c>
    </row>
    <row r="1214" spans="1:59">
      <c r="A1214">
        <v>0</v>
      </c>
      <c r="B1214">
        <v>0</v>
      </c>
      <c r="C1214">
        <v>0</v>
      </c>
      <c r="D1214" t="s">
        <v>25022</v>
      </c>
      <c r="E1214">
        <v>3822</v>
      </c>
      <c r="F1214" t="s">
        <v>22400</v>
      </c>
      <c r="G1214" t="s">
        <v>62</v>
      </c>
      <c r="H1214">
        <v>3786881</v>
      </c>
      <c r="I1214">
        <v>3787612</v>
      </c>
      <c r="J1214" t="s">
        <v>22401</v>
      </c>
      <c r="K1214">
        <v>244</v>
      </c>
      <c r="L1214" t="s">
        <v>59</v>
      </c>
      <c r="M1214">
        <v>49</v>
      </c>
      <c r="N1214" t="str">
        <f>HYPERLINK("Gene3822-zp_tree_all.dnd", "Gene3822-tree")</f>
        <v>Gene3822-tree</v>
      </c>
      <c r="O1214">
        <v>9</v>
      </c>
      <c r="P1214">
        <v>2</v>
      </c>
      <c r="Q1214">
        <v>9</v>
      </c>
      <c r="R1214">
        <v>2</v>
      </c>
      <c r="S1214">
        <v>0.18182000000000001</v>
      </c>
      <c r="T1214" t="s">
        <v>135</v>
      </c>
      <c r="U1214" t="s">
        <v>81</v>
      </c>
      <c r="V1214" t="s">
        <v>62</v>
      </c>
      <c r="W1214" t="s">
        <v>62</v>
      </c>
      <c r="X1214">
        <v>0</v>
      </c>
      <c r="Y1214">
        <v>0</v>
      </c>
      <c r="Z1214">
        <v>6</v>
      </c>
      <c r="AA1214">
        <v>0</v>
      </c>
      <c r="AB1214">
        <v>0</v>
      </c>
      <c r="AC1214">
        <v>0</v>
      </c>
      <c r="AD1214">
        <v>0</v>
      </c>
      <c r="AE1214">
        <v>2</v>
      </c>
      <c r="AF1214">
        <v>0</v>
      </c>
      <c r="AG1214">
        <v>0</v>
      </c>
      <c r="AH1214">
        <v>0</v>
      </c>
      <c r="AI1214">
        <v>0</v>
      </c>
      <c r="AJ1214">
        <v>2</v>
      </c>
      <c r="AK1214">
        <v>0</v>
      </c>
      <c r="AL1214">
        <v>8</v>
      </c>
      <c r="AM1214">
        <v>5</v>
      </c>
      <c r="AN1214">
        <v>12</v>
      </c>
      <c r="AO1214">
        <v>2</v>
      </c>
      <c r="AP1214">
        <v>26</v>
      </c>
      <c r="AQ1214">
        <v>4</v>
      </c>
      <c r="AR1214" t="s">
        <v>22402</v>
      </c>
      <c r="AS1214" t="s">
        <v>22403</v>
      </c>
      <c r="AT1214">
        <v>6.3E-2</v>
      </c>
      <c r="AU1214" t="s">
        <v>65</v>
      </c>
      <c r="AV1214">
        <v>38</v>
      </c>
      <c r="AW1214">
        <v>6</v>
      </c>
      <c r="AX1214" t="s">
        <v>22404</v>
      </c>
      <c r="AY1214">
        <v>8.3070000000000005E-2</v>
      </c>
      <c r="AZ1214">
        <v>-8.1600000000000006E-3</v>
      </c>
      <c r="BA1214">
        <v>3.7100000000000002E-3</v>
      </c>
      <c r="BB1214">
        <v>-3.8000000000000002E-4</v>
      </c>
      <c r="BC1214">
        <v>4.4609999999999997E-2</v>
      </c>
      <c r="BD1214">
        <v>1</v>
      </c>
      <c r="BE1214" t="s">
        <v>69</v>
      </c>
      <c r="BF1214">
        <v>-1.115</v>
      </c>
      <c r="BG1214">
        <v>0.36199999999999999</v>
      </c>
    </row>
    <row r="1215" spans="1:59">
      <c r="A1215">
        <v>0</v>
      </c>
      <c r="B1215">
        <v>0</v>
      </c>
      <c r="C1215">
        <v>0</v>
      </c>
      <c r="D1215" t="s">
        <v>25022</v>
      </c>
      <c r="E1215">
        <v>2411</v>
      </c>
      <c r="F1215" t="s">
        <v>14045</v>
      </c>
      <c r="G1215" t="s">
        <v>62</v>
      </c>
      <c r="H1215">
        <v>2421441</v>
      </c>
      <c r="I1215">
        <v>2422172</v>
      </c>
      <c r="J1215" t="s">
        <v>14046</v>
      </c>
      <c r="K1215">
        <v>244</v>
      </c>
      <c r="L1215" t="s">
        <v>108</v>
      </c>
      <c r="M1215">
        <v>44</v>
      </c>
      <c r="N1215" t="str">
        <f>HYPERLINK("Gene2411-zp_tree_all.dnd", "Gene2411-tree")</f>
        <v>Gene2411-tree</v>
      </c>
      <c r="O1215">
        <v>14</v>
      </c>
      <c r="P1215">
        <v>1</v>
      </c>
      <c r="Q1215">
        <v>10</v>
      </c>
      <c r="R1215">
        <v>1</v>
      </c>
      <c r="S1215">
        <v>9.0910000000000005E-2</v>
      </c>
      <c r="T1215" t="s">
        <v>14047</v>
      </c>
      <c r="U1215" t="s">
        <v>175</v>
      </c>
      <c r="V1215" t="s">
        <v>62</v>
      </c>
      <c r="W1215" t="s">
        <v>62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9</v>
      </c>
      <c r="AM1215">
        <v>5</v>
      </c>
      <c r="AN1215">
        <v>17</v>
      </c>
      <c r="AO1215">
        <v>1</v>
      </c>
      <c r="AP1215">
        <v>10</v>
      </c>
      <c r="AQ1215">
        <v>0</v>
      </c>
      <c r="AR1215" t="s">
        <v>14048</v>
      </c>
      <c r="AS1215" t="s">
        <v>193</v>
      </c>
      <c r="AT1215">
        <v>0.36</v>
      </c>
      <c r="AU1215" t="s">
        <v>65</v>
      </c>
      <c r="AV1215">
        <v>27</v>
      </c>
      <c r="AW1215">
        <v>1</v>
      </c>
      <c r="AX1215" t="s">
        <v>14049</v>
      </c>
      <c r="AY1215">
        <v>3.6249999999999998E-2</v>
      </c>
      <c r="AZ1215">
        <v>-2.0400000000000001E-3</v>
      </c>
      <c r="BA1215">
        <v>3.3E-4</v>
      </c>
      <c r="BB1215">
        <v>-9.0000000000000006E-5</v>
      </c>
      <c r="BC1215">
        <v>8.9999999999999993E-3</v>
      </c>
      <c r="BD1215">
        <v>1</v>
      </c>
      <c r="BE1215" t="s">
        <v>69</v>
      </c>
      <c r="BF1215">
        <v>-0.71599999999999997</v>
      </c>
      <c r="BG1215">
        <v>-1.2609999999999999</v>
      </c>
    </row>
    <row r="1216" spans="1:59">
      <c r="A1216">
        <v>0</v>
      </c>
      <c r="B1216">
        <v>4</v>
      </c>
      <c r="C1216">
        <v>0</v>
      </c>
      <c r="D1216" t="s">
        <v>25022</v>
      </c>
      <c r="E1216">
        <v>3535</v>
      </c>
      <c r="F1216" t="s">
        <v>20711</v>
      </c>
      <c r="G1216" t="s">
        <v>62</v>
      </c>
      <c r="H1216">
        <v>3497617</v>
      </c>
      <c r="I1216">
        <v>3498351</v>
      </c>
      <c r="J1216" t="s">
        <v>5916</v>
      </c>
      <c r="K1216">
        <v>245</v>
      </c>
      <c r="L1216" t="s">
        <v>2513</v>
      </c>
      <c r="M1216">
        <v>43</v>
      </c>
      <c r="N1216" t="str">
        <f>HYPERLINK("Gene3535-zp_tree_all.dnd", "Gene3535-tree")</f>
        <v>Gene3535-tree</v>
      </c>
      <c r="O1216">
        <v>6</v>
      </c>
      <c r="P1216">
        <v>6</v>
      </c>
      <c r="Q1216">
        <v>6</v>
      </c>
      <c r="R1216">
        <v>6</v>
      </c>
      <c r="S1216">
        <v>0.5</v>
      </c>
      <c r="T1216" t="s">
        <v>90</v>
      </c>
      <c r="U1216" t="s">
        <v>90</v>
      </c>
      <c r="V1216" t="s">
        <v>62</v>
      </c>
      <c r="W1216" t="s">
        <v>62</v>
      </c>
      <c r="X1216">
        <v>2</v>
      </c>
      <c r="Y1216">
        <v>4</v>
      </c>
      <c r="Z1216">
        <v>7</v>
      </c>
      <c r="AA1216">
        <v>0.36364000000000002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2</v>
      </c>
      <c r="AH1216">
        <v>0</v>
      </c>
      <c r="AI1216">
        <v>2</v>
      </c>
      <c r="AJ1216">
        <v>5</v>
      </c>
      <c r="AK1216">
        <v>0.28571000000000002</v>
      </c>
      <c r="AL1216">
        <v>10</v>
      </c>
      <c r="AM1216">
        <v>6</v>
      </c>
      <c r="AN1216">
        <v>7</v>
      </c>
      <c r="AO1216">
        <v>7</v>
      </c>
      <c r="AP1216">
        <v>5</v>
      </c>
      <c r="AQ1216">
        <v>4</v>
      </c>
      <c r="AR1216" t="s">
        <v>20712</v>
      </c>
      <c r="AS1216" t="s">
        <v>20713</v>
      </c>
      <c r="AT1216">
        <v>0.30599999999999999</v>
      </c>
      <c r="AU1216" t="s">
        <v>65</v>
      </c>
      <c r="AV1216">
        <v>12</v>
      </c>
      <c r="AW1216">
        <v>11</v>
      </c>
      <c r="AX1216" t="s">
        <v>20714</v>
      </c>
      <c r="AY1216">
        <v>1.7930000000000001E-2</v>
      </c>
      <c r="AZ1216">
        <v>-1.06E-3</v>
      </c>
      <c r="BA1216">
        <v>4.7499999999999999E-3</v>
      </c>
      <c r="BB1216">
        <v>-2.5000000000000001E-4</v>
      </c>
      <c r="BC1216">
        <v>0.26476</v>
      </c>
      <c r="BD1216">
        <v>0.98</v>
      </c>
      <c r="BE1216" t="s">
        <v>69</v>
      </c>
      <c r="BF1216">
        <v>-0.627</v>
      </c>
      <c r="BG1216">
        <v>-0.185</v>
      </c>
    </row>
    <row r="1217" spans="1:59">
      <c r="A1217">
        <v>0</v>
      </c>
      <c r="B1217">
        <v>6</v>
      </c>
      <c r="C1217">
        <v>2</v>
      </c>
      <c r="D1217" t="s">
        <v>25022</v>
      </c>
      <c r="E1217">
        <v>3615</v>
      </c>
      <c r="F1217" t="s">
        <v>21226</v>
      </c>
      <c r="G1217" t="s">
        <v>62</v>
      </c>
      <c r="H1217">
        <v>3584320</v>
      </c>
      <c r="I1217">
        <v>3585054</v>
      </c>
      <c r="J1217" t="s">
        <v>21227</v>
      </c>
      <c r="K1217">
        <v>245</v>
      </c>
      <c r="L1217" t="s">
        <v>108</v>
      </c>
      <c r="M1217">
        <v>44</v>
      </c>
      <c r="N1217" t="str">
        <f>HYPERLINK("Gene3615-zp_tree_all.dnd", "Gene3615-tree")</f>
        <v>Gene3615-tree</v>
      </c>
      <c r="O1217">
        <v>4</v>
      </c>
      <c r="P1217">
        <v>8</v>
      </c>
      <c r="Q1217">
        <v>4</v>
      </c>
      <c r="R1217">
        <v>8</v>
      </c>
      <c r="S1217">
        <v>0.66666999999999998</v>
      </c>
      <c r="T1217" t="s">
        <v>61</v>
      </c>
      <c r="U1217" t="s">
        <v>136</v>
      </c>
      <c r="V1217" t="s">
        <v>62</v>
      </c>
      <c r="W1217" t="s">
        <v>62</v>
      </c>
      <c r="X1217">
        <v>4</v>
      </c>
      <c r="Y1217">
        <v>8</v>
      </c>
      <c r="Z1217">
        <v>13</v>
      </c>
      <c r="AA1217">
        <v>0.38095000000000001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</v>
      </c>
      <c r="AH1217">
        <v>0</v>
      </c>
      <c r="AI1217">
        <v>2</v>
      </c>
      <c r="AJ1217">
        <v>14</v>
      </c>
      <c r="AK1217">
        <v>0.125</v>
      </c>
      <c r="AL1217">
        <v>11</v>
      </c>
      <c r="AM1217">
        <v>9</v>
      </c>
      <c r="AN1217">
        <v>47</v>
      </c>
      <c r="AO1217">
        <v>16</v>
      </c>
      <c r="AP1217">
        <v>13</v>
      </c>
      <c r="AQ1217">
        <v>5</v>
      </c>
      <c r="AR1217" t="s">
        <v>21228</v>
      </c>
      <c r="AS1217" t="s">
        <v>21229</v>
      </c>
      <c r="AT1217">
        <v>0.14699999999999999</v>
      </c>
      <c r="AU1217" t="s">
        <v>65</v>
      </c>
      <c r="AV1217">
        <v>60</v>
      </c>
      <c r="AW1217">
        <v>21</v>
      </c>
      <c r="AX1217" t="s">
        <v>21230</v>
      </c>
      <c r="AY1217">
        <v>7.0209999999999995E-2</v>
      </c>
      <c r="AZ1217">
        <v>-4.4600000000000004E-3</v>
      </c>
      <c r="BA1217">
        <v>8.1300000000000001E-3</v>
      </c>
      <c r="BB1217">
        <v>-4.0000000000000002E-4</v>
      </c>
      <c r="BC1217">
        <v>0.11574</v>
      </c>
      <c r="BD1217">
        <v>1</v>
      </c>
      <c r="BE1217" t="s">
        <v>69</v>
      </c>
      <c r="BF1217">
        <v>-0.61899999999999999</v>
      </c>
      <c r="BG1217">
        <v>-1.9750000000000001</v>
      </c>
    </row>
    <row r="1218" spans="1:59">
      <c r="A1218">
        <v>0</v>
      </c>
      <c r="B1218">
        <v>4</v>
      </c>
      <c r="C1218">
        <v>4</v>
      </c>
      <c r="D1218" t="s">
        <v>25022</v>
      </c>
      <c r="E1218">
        <v>4173</v>
      </c>
      <c r="F1218" t="s">
        <v>24565</v>
      </c>
      <c r="G1218" t="s">
        <v>62</v>
      </c>
      <c r="H1218">
        <v>4138803</v>
      </c>
      <c r="I1218">
        <v>4139537</v>
      </c>
      <c r="J1218" t="s">
        <v>24566</v>
      </c>
      <c r="K1218">
        <v>245</v>
      </c>
      <c r="L1218" t="s">
        <v>1174</v>
      </c>
      <c r="M1218">
        <v>42</v>
      </c>
      <c r="N1218" t="str">
        <f>HYPERLINK("Gene4173-zp_tree_all.dnd", "Gene4173-tree")</f>
        <v>Gene4173-tree</v>
      </c>
      <c r="O1218">
        <v>8</v>
      </c>
      <c r="P1218">
        <v>8</v>
      </c>
      <c r="Q1218">
        <v>8</v>
      </c>
      <c r="R1218">
        <v>8</v>
      </c>
      <c r="S1218">
        <v>0.5</v>
      </c>
      <c r="T1218" t="s">
        <v>136</v>
      </c>
      <c r="U1218" t="s">
        <v>136</v>
      </c>
      <c r="V1218" t="s">
        <v>62</v>
      </c>
      <c r="W1218" t="s">
        <v>62</v>
      </c>
      <c r="X1218">
        <v>4</v>
      </c>
      <c r="Y1218">
        <v>8</v>
      </c>
      <c r="Z1218">
        <v>10</v>
      </c>
      <c r="AA1218">
        <v>0.44444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4</v>
      </c>
      <c r="AI1218">
        <v>4</v>
      </c>
      <c r="AJ1218">
        <v>12</v>
      </c>
      <c r="AK1218">
        <v>0.25</v>
      </c>
      <c r="AL1218">
        <v>14</v>
      </c>
      <c r="AM1218">
        <v>12</v>
      </c>
      <c r="AN1218">
        <v>42</v>
      </c>
      <c r="AO1218">
        <v>17</v>
      </c>
      <c r="AP1218">
        <v>21</v>
      </c>
      <c r="AQ1218">
        <v>2</v>
      </c>
      <c r="AR1218" t="s">
        <v>24567</v>
      </c>
      <c r="AS1218" t="s">
        <v>24568</v>
      </c>
      <c r="AT1218">
        <v>1.2010000000000001</v>
      </c>
      <c r="AU1218" t="s">
        <v>65</v>
      </c>
      <c r="AV1218">
        <v>63</v>
      </c>
      <c r="AW1218">
        <v>19</v>
      </c>
      <c r="AX1218" t="s">
        <v>24569</v>
      </c>
      <c r="AY1218">
        <v>6.0729999999999999E-2</v>
      </c>
      <c r="AZ1218">
        <v>-2.5999999999999999E-3</v>
      </c>
      <c r="BA1218">
        <v>4.7999999999999996E-3</v>
      </c>
      <c r="BB1218">
        <v>-2.5000000000000001E-4</v>
      </c>
      <c r="BC1218">
        <v>7.8990000000000005E-2</v>
      </c>
      <c r="BD1218">
        <v>1</v>
      </c>
      <c r="BE1218" t="s">
        <v>69</v>
      </c>
      <c r="BF1218">
        <v>-0.64500000000000002</v>
      </c>
      <c r="BG1218">
        <v>-2.7949999999999999</v>
      </c>
    </row>
    <row r="1219" spans="1:59">
      <c r="A1219">
        <v>0</v>
      </c>
      <c r="B1219">
        <v>0</v>
      </c>
      <c r="C1219">
        <v>2</v>
      </c>
      <c r="D1219" t="s">
        <v>25022</v>
      </c>
      <c r="E1219">
        <v>65</v>
      </c>
      <c r="F1219" t="s">
        <v>527</v>
      </c>
      <c r="G1219" t="s">
        <v>57</v>
      </c>
      <c r="H1219">
        <v>73106</v>
      </c>
      <c r="I1219">
        <v>73840</v>
      </c>
      <c r="J1219" t="s">
        <v>116</v>
      </c>
      <c r="K1219">
        <v>245</v>
      </c>
      <c r="L1219" t="s">
        <v>59</v>
      </c>
      <c r="M1219">
        <v>49</v>
      </c>
      <c r="N1219" t="str">
        <f>HYPERLINK("Gene65-zp_tree_all.dnd", "Gene65-tree")</f>
        <v>Gene65-tree</v>
      </c>
      <c r="O1219">
        <v>20</v>
      </c>
      <c r="P1219">
        <v>1</v>
      </c>
      <c r="Q1219">
        <v>20</v>
      </c>
      <c r="R1219">
        <v>1</v>
      </c>
      <c r="S1219">
        <v>4.7620000000000003E-2</v>
      </c>
      <c r="T1219" t="s">
        <v>528</v>
      </c>
      <c r="U1219" t="s">
        <v>175</v>
      </c>
      <c r="V1219" t="s">
        <v>62</v>
      </c>
      <c r="W1219" t="s">
        <v>62</v>
      </c>
      <c r="X1219">
        <v>1</v>
      </c>
      <c r="Y1219">
        <v>2</v>
      </c>
      <c r="Z1219">
        <v>4</v>
      </c>
      <c r="AA1219">
        <v>0.33333000000000002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</v>
      </c>
      <c r="AK1219">
        <v>0</v>
      </c>
      <c r="AL1219">
        <v>14</v>
      </c>
      <c r="AM1219">
        <v>12</v>
      </c>
      <c r="AN1219">
        <v>34</v>
      </c>
      <c r="AO1219">
        <v>2</v>
      </c>
      <c r="AP1219">
        <v>47</v>
      </c>
      <c r="AQ1219">
        <v>4</v>
      </c>
      <c r="AR1219" t="s">
        <v>529</v>
      </c>
      <c r="AS1219" t="s">
        <v>530</v>
      </c>
      <c r="AT1219">
        <v>0.106</v>
      </c>
      <c r="AU1219" t="s">
        <v>65</v>
      </c>
      <c r="AV1219">
        <v>81</v>
      </c>
      <c r="AW1219">
        <v>6</v>
      </c>
      <c r="AX1219" t="s">
        <v>531</v>
      </c>
      <c r="AY1219">
        <v>0.10363</v>
      </c>
      <c r="AZ1219">
        <v>-5.6600000000000001E-3</v>
      </c>
      <c r="BA1219">
        <v>2.1199999999999999E-3</v>
      </c>
      <c r="BB1219">
        <v>-1.6000000000000001E-4</v>
      </c>
      <c r="BC1219">
        <v>2.043E-2</v>
      </c>
      <c r="BD1219">
        <v>1</v>
      </c>
      <c r="BE1219" t="s">
        <v>69</v>
      </c>
      <c r="BF1219">
        <v>-1.2869999999999999</v>
      </c>
      <c r="BG1219">
        <v>-0.84199999999999997</v>
      </c>
    </row>
    <row r="1220" spans="1:59">
      <c r="A1220">
        <v>0</v>
      </c>
      <c r="B1220">
        <v>0</v>
      </c>
      <c r="C1220">
        <v>0</v>
      </c>
      <c r="D1220" t="s">
        <v>25022</v>
      </c>
      <c r="E1220">
        <v>2954</v>
      </c>
      <c r="F1220" t="s">
        <v>17042</v>
      </c>
      <c r="G1220" t="s">
        <v>62</v>
      </c>
      <c r="H1220">
        <v>2901157</v>
      </c>
      <c r="I1220">
        <v>2901891</v>
      </c>
      <c r="J1220" t="s">
        <v>17043</v>
      </c>
      <c r="K1220">
        <v>245</v>
      </c>
      <c r="L1220" t="s">
        <v>108</v>
      </c>
      <c r="M1220">
        <v>44</v>
      </c>
      <c r="N1220" t="str">
        <f>HYPERLINK("Gene2954-zp_tree_all.dnd", "Gene2954-tree")</f>
        <v>Gene2954-tree</v>
      </c>
      <c r="O1220">
        <v>9</v>
      </c>
      <c r="P1220">
        <v>2</v>
      </c>
      <c r="Q1220">
        <v>9</v>
      </c>
      <c r="R1220">
        <v>2</v>
      </c>
      <c r="S1220">
        <v>0.18182000000000001</v>
      </c>
      <c r="T1220" t="s">
        <v>135</v>
      </c>
      <c r="U1220" t="s">
        <v>81</v>
      </c>
      <c r="V1220" t="s">
        <v>62</v>
      </c>
      <c r="W1220" t="s">
        <v>62</v>
      </c>
      <c r="X1220">
        <v>0</v>
      </c>
      <c r="Y1220">
        <v>0</v>
      </c>
      <c r="Z1220">
        <v>3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3</v>
      </c>
      <c r="AK1220">
        <v>0</v>
      </c>
      <c r="AL1220">
        <v>11</v>
      </c>
      <c r="AM1220">
        <v>6</v>
      </c>
      <c r="AN1220">
        <v>32</v>
      </c>
      <c r="AO1220">
        <v>3</v>
      </c>
      <c r="AP1220">
        <v>9</v>
      </c>
      <c r="AQ1220">
        <v>0</v>
      </c>
      <c r="AR1220" t="s">
        <v>17044</v>
      </c>
      <c r="AS1220" t="s">
        <v>193</v>
      </c>
      <c r="AT1220">
        <v>0.53400000000000003</v>
      </c>
      <c r="AU1220" t="s">
        <v>65</v>
      </c>
      <c r="AV1220">
        <v>41</v>
      </c>
      <c r="AW1220">
        <v>3</v>
      </c>
      <c r="AX1220" t="s">
        <v>17045</v>
      </c>
      <c r="AY1220">
        <v>5.126E-2</v>
      </c>
      <c r="AZ1220">
        <v>-3.5400000000000002E-3</v>
      </c>
      <c r="BA1220">
        <v>9.7999999999999997E-4</v>
      </c>
      <c r="BB1220">
        <v>-1.9000000000000001E-4</v>
      </c>
      <c r="BC1220">
        <v>1.907E-2</v>
      </c>
      <c r="BD1220">
        <v>1</v>
      </c>
      <c r="BE1220" t="s">
        <v>69</v>
      </c>
      <c r="BF1220">
        <v>-0.73499999999999999</v>
      </c>
      <c r="BG1220">
        <v>-1.8720000000000001</v>
      </c>
    </row>
    <row r="1221" spans="1:59">
      <c r="A1221">
        <v>0</v>
      </c>
      <c r="B1221">
        <v>0</v>
      </c>
      <c r="C1221">
        <v>0</v>
      </c>
      <c r="D1221" t="s">
        <v>25022</v>
      </c>
      <c r="E1221">
        <v>1741</v>
      </c>
      <c r="F1221" t="s">
        <v>10923</v>
      </c>
      <c r="G1221" t="s">
        <v>57</v>
      </c>
      <c r="H1221">
        <v>1751201</v>
      </c>
      <c r="I1221">
        <v>1751935</v>
      </c>
      <c r="J1221" t="s">
        <v>10924</v>
      </c>
      <c r="K1221">
        <v>245</v>
      </c>
      <c r="L1221" t="s">
        <v>108</v>
      </c>
      <c r="M1221">
        <v>44</v>
      </c>
      <c r="N1221" t="str">
        <f>HYPERLINK("Gene1741-zp_tree_all.dnd", "Gene1741-tree")</f>
        <v>Gene1741-tree</v>
      </c>
      <c r="O1221">
        <v>12</v>
      </c>
      <c r="P1221">
        <v>0</v>
      </c>
      <c r="Q1221">
        <v>12</v>
      </c>
      <c r="R1221">
        <v>0</v>
      </c>
      <c r="S1221">
        <v>0</v>
      </c>
      <c r="T1221" t="s">
        <v>109</v>
      </c>
      <c r="U1221" t="s">
        <v>62</v>
      </c>
      <c r="V1221" t="s">
        <v>62</v>
      </c>
      <c r="W1221" t="s">
        <v>62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9</v>
      </c>
      <c r="AM1221">
        <v>5</v>
      </c>
      <c r="AN1221">
        <v>19</v>
      </c>
      <c r="AO1221">
        <v>0</v>
      </c>
      <c r="AP1221">
        <v>12</v>
      </c>
      <c r="AQ1221">
        <v>0</v>
      </c>
      <c r="AR1221" t="s">
        <v>193</v>
      </c>
      <c r="AS1221" t="s">
        <v>193</v>
      </c>
      <c r="AT1221">
        <v>0</v>
      </c>
      <c r="AU1221" t="s">
        <v>65</v>
      </c>
      <c r="AV1221">
        <v>31</v>
      </c>
      <c r="AW1221">
        <v>0</v>
      </c>
      <c r="AX1221" t="s">
        <v>10925</v>
      </c>
      <c r="AY1221">
        <v>4.0579999999999998E-2</v>
      </c>
      <c r="AZ1221">
        <v>-2.49E-3</v>
      </c>
      <c r="BA1221">
        <v>0</v>
      </c>
      <c r="BB1221">
        <v>0</v>
      </c>
      <c r="BC1221">
        <v>0</v>
      </c>
      <c r="BD1221">
        <v>1</v>
      </c>
      <c r="BE1221" t="s">
        <v>69</v>
      </c>
      <c r="BF1221">
        <v>-0.81499999999999995</v>
      </c>
      <c r="BG1221">
        <v>-1.2609999999999999</v>
      </c>
    </row>
    <row r="1222" spans="1:59">
      <c r="A1222">
        <v>0</v>
      </c>
      <c r="B1222">
        <v>2</v>
      </c>
      <c r="C1222">
        <v>10</v>
      </c>
      <c r="D1222" t="s">
        <v>25022</v>
      </c>
      <c r="E1222">
        <v>3812</v>
      </c>
      <c r="F1222" t="s">
        <v>22338</v>
      </c>
      <c r="G1222" t="s">
        <v>62</v>
      </c>
      <c r="H1222">
        <v>3779296</v>
      </c>
      <c r="I1222">
        <v>3780033</v>
      </c>
      <c r="J1222" t="s">
        <v>116</v>
      </c>
      <c r="K1222">
        <v>246</v>
      </c>
      <c r="L1222" t="s">
        <v>59</v>
      </c>
      <c r="M1222">
        <v>49</v>
      </c>
      <c r="N1222" t="str">
        <f>HYPERLINK("Gene3812-zp_tree_all.dnd", "Gene3812-tree")</f>
        <v>Gene3812-tree</v>
      </c>
      <c r="O1222">
        <v>4</v>
      </c>
      <c r="P1222">
        <v>30</v>
      </c>
      <c r="Q1222">
        <v>4</v>
      </c>
      <c r="R1222">
        <v>11</v>
      </c>
      <c r="S1222">
        <v>0.73333000000000004</v>
      </c>
      <c r="T1222" t="s">
        <v>61</v>
      </c>
      <c r="U1222" t="s">
        <v>89</v>
      </c>
      <c r="V1222">
        <v>1.8859999999999999</v>
      </c>
      <c r="W1222" t="s">
        <v>65</v>
      </c>
      <c r="X1222">
        <v>6</v>
      </c>
      <c r="Y1222">
        <v>12</v>
      </c>
      <c r="Z1222">
        <v>24</v>
      </c>
      <c r="AA1222">
        <v>0.33333000000000002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4</v>
      </c>
      <c r="AI1222">
        <v>4</v>
      </c>
      <c r="AJ1222">
        <v>18</v>
      </c>
      <c r="AK1222">
        <v>0.18182000000000001</v>
      </c>
      <c r="AL1222">
        <v>11</v>
      </c>
      <c r="AM1222">
        <v>8</v>
      </c>
      <c r="AN1222">
        <v>9</v>
      </c>
      <c r="AO1222">
        <v>18</v>
      </c>
      <c r="AP1222">
        <v>22</v>
      </c>
      <c r="AQ1222">
        <v>20</v>
      </c>
      <c r="AR1222" t="s">
        <v>22339</v>
      </c>
      <c r="AS1222" t="s">
        <v>22340</v>
      </c>
      <c r="AT1222">
        <v>1.036</v>
      </c>
      <c r="AU1222" t="s">
        <v>65</v>
      </c>
      <c r="AV1222">
        <v>31</v>
      </c>
      <c r="AW1222">
        <v>38</v>
      </c>
      <c r="AX1222" t="s">
        <v>22341</v>
      </c>
      <c r="AY1222">
        <v>6.5769999999999995E-2</v>
      </c>
      <c r="AZ1222">
        <v>-4.9800000000000001E-3</v>
      </c>
      <c r="BA1222">
        <v>1.4959999999999999E-2</v>
      </c>
      <c r="BB1222">
        <v>-7.3999999999999999E-4</v>
      </c>
      <c r="BC1222">
        <v>0.22742999999999999</v>
      </c>
      <c r="BD1222">
        <v>1</v>
      </c>
      <c r="BE1222" t="s">
        <v>69</v>
      </c>
      <c r="BF1222">
        <v>-0.91200000000000003</v>
      </c>
      <c r="BG1222">
        <v>-0.115</v>
      </c>
    </row>
    <row r="1223" spans="1:59">
      <c r="A1223">
        <v>0</v>
      </c>
      <c r="B1223">
        <v>0</v>
      </c>
      <c r="C1223">
        <v>0</v>
      </c>
      <c r="D1223" t="s">
        <v>25022</v>
      </c>
      <c r="E1223">
        <v>458</v>
      </c>
      <c r="F1223" t="s">
        <v>3107</v>
      </c>
      <c r="G1223" t="s">
        <v>57</v>
      </c>
      <c r="H1223">
        <v>503854</v>
      </c>
      <c r="I1223">
        <v>504591</v>
      </c>
      <c r="J1223" t="s">
        <v>3108</v>
      </c>
      <c r="K1223">
        <v>246</v>
      </c>
      <c r="L1223" t="s">
        <v>108</v>
      </c>
      <c r="M1223">
        <v>44</v>
      </c>
      <c r="N1223" t="str">
        <f>HYPERLINK("Gene458-zp_tree_all.dnd", "Gene458-tree")</f>
        <v>Gene458-tree</v>
      </c>
      <c r="O1223">
        <v>7</v>
      </c>
      <c r="P1223">
        <v>8</v>
      </c>
      <c r="Q1223">
        <v>7</v>
      </c>
      <c r="R1223">
        <v>8</v>
      </c>
      <c r="S1223">
        <v>0.53332999999999997</v>
      </c>
      <c r="T1223" t="s">
        <v>152</v>
      </c>
      <c r="U1223" t="s">
        <v>136</v>
      </c>
      <c r="V1223" t="s">
        <v>62</v>
      </c>
      <c r="W1223" t="s">
        <v>62</v>
      </c>
      <c r="X1223">
        <v>0</v>
      </c>
      <c r="Y1223">
        <v>0</v>
      </c>
      <c r="Z1223">
        <v>8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7</v>
      </c>
      <c r="AK1223">
        <v>0</v>
      </c>
      <c r="AL1223">
        <v>11</v>
      </c>
      <c r="AM1223">
        <v>8</v>
      </c>
      <c r="AN1223">
        <v>20</v>
      </c>
      <c r="AO1223">
        <v>6</v>
      </c>
      <c r="AP1223">
        <v>14</v>
      </c>
      <c r="AQ1223">
        <v>2</v>
      </c>
      <c r="AR1223" t="s">
        <v>3109</v>
      </c>
      <c r="AS1223" t="s">
        <v>3110</v>
      </c>
      <c r="AT1223">
        <v>0.54</v>
      </c>
      <c r="AU1223" t="s">
        <v>65</v>
      </c>
      <c r="AV1223">
        <v>34</v>
      </c>
      <c r="AW1223">
        <v>8</v>
      </c>
      <c r="AX1223" t="s">
        <v>3111</v>
      </c>
      <c r="AY1223">
        <v>3.3099999999999997E-2</v>
      </c>
      <c r="AZ1223">
        <v>-1.7700000000000001E-3</v>
      </c>
      <c r="BA1223">
        <v>2.3E-3</v>
      </c>
      <c r="BB1223">
        <v>-1.6000000000000001E-4</v>
      </c>
      <c r="BC1223">
        <v>6.9550000000000001E-2</v>
      </c>
      <c r="BD1223">
        <v>1</v>
      </c>
      <c r="BE1223" t="s">
        <v>69</v>
      </c>
      <c r="BF1223">
        <v>-1.1599999999999999</v>
      </c>
      <c r="BG1223">
        <v>-1.71</v>
      </c>
    </row>
    <row r="1224" spans="1:59">
      <c r="A1224">
        <v>0</v>
      </c>
      <c r="B1224">
        <v>0</v>
      </c>
      <c r="C1224">
        <v>2</v>
      </c>
      <c r="D1224" t="s">
        <v>25022</v>
      </c>
      <c r="E1224">
        <v>276</v>
      </c>
      <c r="F1224" t="s">
        <v>1884</v>
      </c>
      <c r="G1224" t="s">
        <v>57</v>
      </c>
      <c r="H1224">
        <v>296429</v>
      </c>
      <c r="I1224">
        <v>297166</v>
      </c>
      <c r="J1224" t="s">
        <v>1885</v>
      </c>
      <c r="K1224">
        <v>246</v>
      </c>
      <c r="L1224" t="s">
        <v>125</v>
      </c>
      <c r="M1224">
        <v>48</v>
      </c>
      <c r="N1224" t="str">
        <f>HYPERLINK("Gene276-zp_tree_all.dnd", "Gene276-tree")</f>
        <v>Gene276-tree</v>
      </c>
      <c r="O1224">
        <v>10</v>
      </c>
      <c r="P1224">
        <v>6</v>
      </c>
      <c r="Q1224">
        <v>10</v>
      </c>
      <c r="R1224">
        <v>6</v>
      </c>
      <c r="S1224">
        <v>0.375</v>
      </c>
      <c r="T1224" t="s">
        <v>117</v>
      </c>
      <c r="U1224" t="s">
        <v>90</v>
      </c>
      <c r="V1224" t="s">
        <v>62</v>
      </c>
      <c r="W1224" t="s">
        <v>62</v>
      </c>
      <c r="X1224">
        <v>1</v>
      </c>
      <c r="Y1224">
        <v>2</v>
      </c>
      <c r="Z1224">
        <v>11</v>
      </c>
      <c r="AA1224">
        <v>0.15384999999999999</v>
      </c>
      <c r="AB1224">
        <v>0</v>
      </c>
      <c r="AC1224">
        <v>0</v>
      </c>
      <c r="AD1224">
        <v>0</v>
      </c>
      <c r="AE1224">
        <v>5</v>
      </c>
      <c r="AF1224">
        <v>0</v>
      </c>
      <c r="AG1224">
        <v>0</v>
      </c>
      <c r="AH1224">
        <v>0</v>
      </c>
      <c r="AI1224">
        <v>0</v>
      </c>
      <c r="AJ1224">
        <v>6</v>
      </c>
      <c r="AK1224">
        <v>0</v>
      </c>
      <c r="AL1224">
        <v>13</v>
      </c>
      <c r="AM1224">
        <v>9</v>
      </c>
      <c r="AN1224">
        <v>32</v>
      </c>
      <c r="AO1224">
        <v>7</v>
      </c>
      <c r="AP1224">
        <v>37</v>
      </c>
      <c r="AQ1224">
        <v>7</v>
      </c>
      <c r="AR1224" t="s">
        <v>1886</v>
      </c>
      <c r="AS1224" t="s">
        <v>1887</v>
      </c>
      <c r="AT1224">
        <v>8.8999999999999996E-2</v>
      </c>
      <c r="AU1224" t="s">
        <v>65</v>
      </c>
      <c r="AV1224">
        <v>69</v>
      </c>
      <c r="AW1224">
        <v>14</v>
      </c>
      <c r="AX1224" t="s">
        <v>1888</v>
      </c>
      <c r="AY1224">
        <v>8.5849999999999996E-2</v>
      </c>
      <c r="AZ1224">
        <v>-6.5500000000000003E-3</v>
      </c>
      <c r="BA1224">
        <v>5.8500000000000002E-3</v>
      </c>
      <c r="BB1224">
        <v>-4.8999999999999998E-4</v>
      </c>
      <c r="BC1224">
        <v>6.8159999999999998E-2</v>
      </c>
      <c r="BD1224">
        <v>1</v>
      </c>
      <c r="BE1224" t="s">
        <v>69</v>
      </c>
      <c r="BF1224">
        <v>-1.472</v>
      </c>
      <c r="BG1224">
        <v>-1.3580000000000001</v>
      </c>
    </row>
    <row r="1225" spans="1:59">
      <c r="A1225">
        <v>0</v>
      </c>
      <c r="B1225">
        <v>5</v>
      </c>
      <c r="C1225">
        <v>2</v>
      </c>
      <c r="D1225" t="s">
        <v>25022</v>
      </c>
      <c r="E1225">
        <v>1652</v>
      </c>
      <c r="F1225" t="s">
        <v>10344</v>
      </c>
      <c r="G1225" t="s">
        <v>57</v>
      </c>
      <c r="H1225">
        <v>1664513</v>
      </c>
      <c r="I1225">
        <v>1665250</v>
      </c>
      <c r="J1225" t="s">
        <v>10345</v>
      </c>
      <c r="K1225">
        <v>246</v>
      </c>
      <c r="L1225" t="s">
        <v>160</v>
      </c>
      <c r="M1225">
        <v>45</v>
      </c>
      <c r="N1225" t="str">
        <f>HYPERLINK("Gene1652-zp_tree_all.dnd", "Gene1652-tree")</f>
        <v>Gene1652-tree</v>
      </c>
      <c r="O1225">
        <v>8</v>
      </c>
      <c r="P1225">
        <v>5</v>
      </c>
      <c r="Q1225">
        <v>8</v>
      </c>
      <c r="R1225">
        <v>5</v>
      </c>
      <c r="S1225">
        <v>0.38462000000000002</v>
      </c>
      <c r="T1225" t="s">
        <v>136</v>
      </c>
      <c r="U1225" t="s">
        <v>199</v>
      </c>
      <c r="V1225" t="s">
        <v>62</v>
      </c>
      <c r="W1225" t="s">
        <v>62</v>
      </c>
      <c r="X1225">
        <v>3</v>
      </c>
      <c r="Y1225">
        <v>7</v>
      </c>
      <c r="Z1225">
        <v>3</v>
      </c>
      <c r="AA1225">
        <v>0.7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2</v>
      </c>
      <c r="AH1225">
        <v>2</v>
      </c>
      <c r="AI1225">
        <v>4</v>
      </c>
      <c r="AJ1225">
        <v>3</v>
      </c>
      <c r="AK1225">
        <v>0.57142999999999999</v>
      </c>
      <c r="AL1225">
        <v>10</v>
      </c>
      <c r="AM1225">
        <v>9</v>
      </c>
      <c r="AN1225">
        <v>49</v>
      </c>
      <c r="AO1225">
        <v>7</v>
      </c>
      <c r="AP1225">
        <v>23</v>
      </c>
      <c r="AQ1225">
        <v>3</v>
      </c>
      <c r="AR1225" t="s">
        <v>10346</v>
      </c>
      <c r="AS1225" t="s">
        <v>10347</v>
      </c>
      <c r="AT1225">
        <v>2.1999999999999999E-2</v>
      </c>
      <c r="AU1225" t="s">
        <v>65</v>
      </c>
      <c r="AV1225">
        <v>72</v>
      </c>
      <c r="AW1225">
        <v>10</v>
      </c>
      <c r="AX1225" t="s">
        <v>10348</v>
      </c>
      <c r="AY1225">
        <v>9.3679999999999999E-2</v>
      </c>
      <c r="AZ1225">
        <v>-7.6899999999999998E-3</v>
      </c>
      <c r="BA1225">
        <v>3.0599999999999998E-3</v>
      </c>
      <c r="BB1225">
        <v>-2.1000000000000001E-4</v>
      </c>
      <c r="BC1225">
        <v>3.27E-2</v>
      </c>
      <c r="BD1225">
        <v>1</v>
      </c>
      <c r="BE1225" t="s">
        <v>69</v>
      </c>
      <c r="BF1225">
        <v>-1.139</v>
      </c>
      <c r="BG1225">
        <v>-3.3319999999999999</v>
      </c>
    </row>
    <row r="1226" spans="1:59">
      <c r="A1226">
        <v>0</v>
      </c>
      <c r="B1226">
        <v>2</v>
      </c>
      <c r="C1226">
        <v>0</v>
      </c>
      <c r="D1226" t="s">
        <v>25022</v>
      </c>
      <c r="E1226">
        <v>3920</v>
      </c>
      <c r="F1226" t="s">
        <v>22999</v>
      </c>
      <c r="G1226" t="s">
        <v>62</v>
      </c>
      <c r="H1226">
        <v>3885242</v>
      </c>
      <c r="I1226">
        <v>3885979</v>
      </c>
      <c r="J1226" t="s">
        <v>23000</v>
      </c>
      <c r="K1226">
        <v>246</v>
      </c>
      <c r="L1226" t="s">
        <v>108</v>
      </c>
      <c r="M1226">
        <v>44</v>
      </c>
      <c r="N1226" t="str">
        <f>HYPERLINK("Gene3920-zp_tree_all.dnd", "Gene3920-tree")</f>
        <v>Gene3920-tree</v>
      </c>
      <c r="O1226">
        <v>12</v>
      </c>
      <c r="P1226">
        <v>4</v>
      </c>
      <c r="Q1226">
        <v>12</v>
      </c>
      <c r="R1226">
        <v>4</v>
      </c>
      <c r="S1226">
        <v>0.25</v>
      </c>
      <c r="T1226" t="s">
        <v>109</v>
      </c>
      <c r="U1226" t="s">
        <v>61</v>
      </c>
      <c r="V1226" t="s">
        <v>62</v>
      </c>
      <c r="W1226" t="s">
        <v>62</v>
      </c>
      <c r="X1226">
        <v>1</v>
      </c>
      <c r="Y1226">
        <v>2</v>
      </c>
      <c r="Z1226">
        <v>3</v>
      </c>
      <c r="AA1226">
        <v>0.4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2</v>
      </c>
      <c r="AH1226">
        <v>0</v>
      </c>
      <c r="AI1226">
        <v>2</v>
      </c>
      <c r="AJ1226">
        <v>2</v>
      </c>
      <c r="AK1226">
        <v>0.5</v>
      </c>
      <c r="AL1226">
        <v>13</v>
      </c>
      <c r="AM1226">
        <v>9</v>
      </c>
      <c r="AN1226">
        <v>23</v>
      </c>
      <c r="AO1226">
        <v>4</v>
      </c>
      <c r="AP1226">
        <v>16</v>
      </c>
      <c r="AQ1226">
        <v>1</v>
      </c>
      <c r="AR1226" t="s">
        <v>23001</v>
      </c>
      <c r="AS1226" t="s">
        <v>23002</v>
      </c>
      <c r="AT1226">
        <v>0.49399999999999999</v>
      </c>
      <c r="AU1226" t="s">
        <v>65</v>
      </c>
      <c r="AV1226">
        <v>39</v>
      </c>
      <c r="AW1226">
        <v>5</v>
      </c>
      <c r="AX1226" t="s">
        <v>23003</v>
      </c>
      <c r="AY1226">
        <v>3.968E-2</v>
      </c>
      <c r="AZ1226">
        <v>-1.7099999999999999E-3</v>
      </c>
      <c r="BA1226">
        <v>1.2700000000000001E-3</v>
      </c>
      <c r="BB1226">
        <v>-1E-4</v>
      </c>
      <c r="BC1226">
        <v>3.1879999999999999E-2</v>
      </c>
      <c r="BD1226">
        <v>1</v>
      </c>
      <c r="BE1226" t="s">
        <v>69</v>
      </c>
      <c r="BF1226">
        <v>-0.53600000000000003</v>
      </c>
      <c r="BG1226">
        <v>0.377</v>
      </c>
    </row>
    <row r="1227" spans="1:59">
      <c r="A1227">
        <v>0</v>
      </c>
      <c r="B1227">
        <v>0</v>
      </c>
      <c r="C1227">
        <v>0</v>
      </c>
      <c r="D1227" t="s">
        <v>25022</v>
      </c>
      <c r="E1227">
        <v>3489</v>
      </c>
      <c r="F1227" t="s">
        <v>1848</v>
      </c>
      <c r="G1227" t="s">
        <v>62</v>
      </c>
      <c r="H1227">
        <v>3454224</v>
      </c>
      <c r="I1227">
        <v>3454961</v>
      </c>
      <c r="J1227" t="s">
        <v>20444</v>
      </c>
      <c r="K1227">
        <v>246</v>
      </c>
      <c r="L1227" t="s">
        <v>59</v>
      </c>
      <c r="M1227">
        <v>49</v>
      </c>
      <c r="N1227" t="str">
        <f>HYPERLINK("Gene3489-zp_tree_all.dnd", "Gene3489-tree")</f>
        <v>Gene3489-tree</v>
      </c>
      <c r="O1227">
        <v>13</v>
      </c>
      <c r="P1227">
        <v>3</v>
      </c>
      <c r="Q1227">
        <v>13</v>
      </c>
      <c r="R1227">
        <v>3</v>
      </c>
      <c r="S1227">
        <v>0.1875</v>
      </c>
      <c r="T1227" t="s">
        <v>507</v>
      </c>
      <c r="U1227" t="s">
        <v>324</v>
      </c>
      <c r="V1227" t="s">
        <v>62</v>
      </c>
      <c r="W1227" t="s">
        <v>62</v>
      </c>
      <c r="X1227">
        <v>0</v>
      </c>
      <c r="Y1227">
        <v>0</v>
      </c>
      <c r="Z1227">
        <v>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6</v>
      </c>
      <c r="AK1227">
        <v>0</v>
      </c>
      <c r="AL1227">
        <v>11</v>
      </c>
      <c r="AM1227">
        <v>8</v>
      </c>
      <c r="AN1227">
        <v>40</v>
      </c>
      <c r="AO1227">
        <v>6</v>
      </c>
      <c r="AP1227">
        <v>37</v>
      </c>
      <c r="AQ1227">
        <v>2</v>
      </c>
      <c r="AR1227" t="s">
        <v>20445</v>
      </c>
      <c r="AS1227" t="s">
        <v>20446</v>
      </c>
      <c r="AT1227">
        <v>0.39800000000000002</v>
      </c>
      <c r="AU1227" t="s">
        <v>65</v>
      </c>
      <c r="AV1227">
        <v>77</v>
      </c>
      <c r="AW1227">
        <v>8</v>
      </c>
      <c r="AX1227" t="s">
        <v>20447</v>
      </c>
      <c r="AY1227">
        <v>0.10792</v>
      </c>
      <c r="AZ1227">
        <v>-7.6099999999999996E-3</v>
      </c>
      <c r="BA1227">
        <v>2.1199999999999999E-3</v>
      </c>
      <c r="BB1227">
        <v>-2.4000000000000001E-4</v>
      </c>
      <c r="BC1227">
        <v>1.9650000000000001E-2</v>
      </c>
      <c r="BD1227">
        <v>1</v>
      </c>
      <c r="BE1227" t="s">
        <v>69</v>
      </c>
      <c r="BF1227">
        <v>-1.6379999999999999</v>
      </c>
      <c r="BG1227">
        <v>-1.8140000000000001</v>
      </c>
    </row>
    <row r="1228" spans="1:59">
      <c r="A1228">
        <v>0</v>
      </c>
      <c r="B1228">
        <v>0</v>
      </c>
      <c r="C1228">
        <v>0</v>
      </c>
      <c r="D1228" t="s">
        <v>25022</v>
      </c>
      <c r="E1228">
        <v>1711</v>
      </c>
      <c r="F1228" t="s">
        <v>10730</v>
      </c>
      <c r="G1228" t="s">
        <v>57</v>
      </c>
      <c r="H1228">
        <v>1717933</v>
      </c>
      <c r="I1228">
        <v>1718670</v>
      </c>
      <c r="J1228" t="s">
        <v>10731</v>
      </c>
      <c r="K1228">
        <v>246</v>
      </c>
      <c r="L1228" t="s">
        <v>59</v>
      </c>
      <c r="M1228">
        <v>49</v>
      </c>
      <c r="N1228" t="str">
        <f>HYPERLINK("Gene1711-zp_tree_all.dnd", "Gene1711-tree")</f>
        <v>Gene1711-tree</v>
      </c>
      <c r="O1228">
        <v>10</v>
      </c>
      <c r="P1228">
        <v>1</v>
      </c>
      <c r="Q1228">
        <v>10</v>
      </c>
      <c r="R1228">
        <v>1</v>
      </c>
      <c r="S1228">
        <v>9.0910000000000005E-2</v>
      </c>
      <c r="T1228" t="s">
        <v>117</v>
      </c>
      <c r="U1228" t="s">
        <v>175</v>
      </c>
      <c r="V1228" t="s">
        <v>62</v>
      </c>
      <c r="W1228" t="s">
        <v>62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6</v>
      </c>
      <c r="AM1228">
        <v>5</v>
      </c>
      <c r="AN1228">
        <v>9</v>
      </c>
      <c r="AO1228">
        <v>1</v>
      </c>
      <c r="AP1228">
        <v>6</v>
      </c>
      <c r="AQ1228">
        <v>0</v>
      </c>
      <c r="AR1228" t="s">
        <v>10732</v>
      </c>
      <c r="AS1228" t="s">
        <v>193</v>
      </c>
      <c r="AT1228">
        <v>0.39700000000000002</v>
      </c>
      <c r="AU1228" t="s">
        <v>65</v>
      </c>
      <c r="AV1228">
        <v>15</v>
      </c>
      <c r="AW1228">
        <v>1</v>
      </c>
      <c r="AX1228" t="s">
        <v>10733</v>
      </c>
      <c r="AY1228">
        <v>2.4590000000000001E-2</v>
      </c>
      <c r="AZ1228">
        <v>-1.7099999999999999E-3</v>
      </c>
      <c r="BA1228">
        <v>3.2000000000000003E-4</v>
      </c>
      <c r="BB1228">
        <v>-8.0000000000000007E-5</v>
      </c>
      <c r="BC1228">
        <v>1.294E-2</v>
      </c>
      <c r="BD1228">
        <v>1</v>
      </c>
      <c r="BE1228" t="s">
        <v>69</v>
      </c>
      <c r="BF1228">
        <v>-1.5529999999999999</v>
      </c>
      <c r="BG1228">
        <v>-1.631</v>
      </c>
    </row>
    <row r="1229" spans="1:59">
      <c r="A1229">
        <v>0</v>
      </c>
      <c r="B1229">
        <v>5</v>
      </c>
      <c r="C1229">
        <v>0</v>
      </c>
      <c r="D1229" t="s">
        <v>25022</v>
      </c>
      <c r="E1229">
        <v>1985</v>
      </c>
      <c r="F1229" t="s">
        <v>12362</v>
      </c>
      <c r="G1229" t="s">
        <v>62</v>
      </c>
      <c r="H1229">
        <v>2080354</v>
      </c>
      <c r="I1229">
        <v>2081094</v>
      </c>
      <c r="J1229" t="s">
        <v>3537</v>
      </c>
      <c r="K1229">
        <v>247</v>
      </c>
      <c r="L1229" t="s">
        <v>1196</v>
      </c>
      <c r="M1229">
        <v>39</v>
      </c>
      <c r="N1229" t="str">
        <f>HYPERLINK("Gene1985-zp_tree_all.dnd", "Gene1985-tree")</f>
        <v>Gene1985-tree</v>
      </c>
      <c r="O1229">
        <v>2</v>
      </c>
      <c r="P1229">
        <v>8</v>
      </c>
      <c r="Q1229">
        <v>2</v>
      </c>
      <c r="R1229">
        <v>8</v>
      </c>
      <c r="S1229">
        <v>0.8</v>
      </c>
      <c r="T1229" t="s">
        <v>81</v>
      </c>
      <c r="U1229" t="s">
        <v>136</v>
      </c>
      <c r="V1229" t="s">
        <v>62</v>
      </c>
      <c r="W1229" t="s">
        <v>62</v>
      </c>
      <c r="X1229">
        <v>2</v>
      </c>
      <c r="Y1229">
        <v>5</v>
      </c>
      <c r="Z1229">
        <v>14</v>
      </c>
      <c r="AA1229">
        <v>0.26316000000000001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5</v>
      </c>
      <c r="AH1229">
        <v>0</v>
      </c>
      <c r="AI1229">
        <v>5</v>
      </c>
      <c r="AJ1229">
        <v>12</v>
      </c>
      <c r="AK1229">
        <v>0.29411999999999999</v>
      </c>
      <c r="AL1229">
        <v>9</v>
      </c>
      <c r="AM1229">
        <v>6</v>
      </c>
      <c r="AN1229">
        <v>14</v>
      </c>
      <c r="AO1229">
        <v>17</v>
      </c>
      <c r="AP1229">
        <v>8</v>
      </c>
      <c r="AQ1229">
        <v>2</v>
      </c>
      <c r="AR1229" t="s">
        <v>12363</v>
      </c>
      <c r="AS1229" t="s">
        <v>12364</v>
      </c>
      <c r="AT1229">
        <v>2.262</v>
      </c>
      <c r="AU1229" t="s">
        <v>267</v>
      </c>
      <c r="AV1229">
        <v>22</v>
      </c>
      <c r="AW1229">
        <v>19</v>
      </c>
      <c r="AX1229" t="s">
        <v>12365</v>
      </c>
      <c r="AY1229">
        <v>3.6799999999999999E-2</v>
      </c>
      <c r="AZ1229">
        <v>-2.2899999999999999E-3</v>
      </c>
      <c r="BA1229">
        <v>7.1599999999999997E-3</v>
      </c>
      <c r="BB1229">
        <v>-4.0999999999999999E-4</v>
      </c>
      <c r="BC1229">
        <v>0.19461999999999999</v>
      </c>
      <c r="BD1229">
        <v>1</v>
      </c>
      <c r="BE1229" t="s">
        <v>69</v>
      </c>
      <c r="BF1229">
        <v>-0.28399999999999997</v>
      </c>
      <c r="BG1229">
        <v>-0.38400000000000001</v>
      </c>
    </row>
    <row r="1230" spans="1:59">
      <c r="A1230">
        <v>0</v>
      </c>
      <c r="B1230">
        <v>4</v>
      </c>
      <c r="C1230">
        <v>4</v>
      </c>
      <c r="D1230" t="s">
        <v>25022</v>
      </c>
      <c r="E1230">
        <v>2665</v>
      </c>
      <c r="F1230" t="s">
        <v>15631</v>
      </c>
      <c r="G1230" t="s">
        <v>62</v>
      </c>
      <c r="H1230">
        <v>2642104</v>
      </c>
      <c r="I1230">
        <v>2642844</v>
      </c>
      <c r="J1230" t="s">
        <v>1075</v>
      </c>
      <c r="K1230">
        <v>247</v>
      </c>
      <c r="L1230" t="s">
        <v>108</v>
      </c>
      <c r="M1230">
        <v>44</v>
      </c>
      <c r="N1230" t="str">
        <f>HYPERLINK("Gene2665-zp_tree_all.dnd", "Gene2665-tree")</f>
        <v>Gene2665-tree</v>
      </c>
      <c r="O1230">
        <v>6</v>
      </c>
      <c r="P1230">
        <v>8</v>
      </c>
      <c r="Q1230">
        <v>6</v>
      </c>
      <c r="R1230">
        <v>8</v>
      </c>
      <c r="S1230">
        <v>0.57142999999999999</v>
      </c>
      <c r="T1230" t="s">
        <v>90</v>
      </c>
      <c r="U1230" t="s">
        <v>136</v>
      </c>
      <c r="V1230" t="s">
        <v>62</v>
      </c>
      <c r="W1230" t="s">
        <v>62</v>
      </c>
      <c r="X1230">
        <v>3</v>
      </c>
      <c r="Y1230">
        <v>8</v>
      </c>
      <c r="Z1230">
        <v>8</v>
      </c>
      <c r="AA1230">
        <v>0.5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5</v>
      </c>
      <c r="AI1230">
        <v>5</v>
      </c>
      <c r="AJ1230">
        <v>6</v>
      </c>
      <c r="AK1230">
        <v>0.45455000000000001</v>
      </c>
      <c r="AL1230">
        <v>12</v>
      </c>
      <c r="AM1230">
        <v>8</v>
      </c>
      <c r="AN1230">
        <v>28</v>
      </c>
      <c r="AO1230">
        <v>9</v>
      </c>
      <c r="AP1230">
        <v>10</v>
      </c>
      <c r="AQ1230">
        <v>7</v>
      </c>
      <c r="AR1230" t="s">
        <v>15632</v>
      </c>
      <c r="AS1230" t="s">
        <v>15633</v>
      </c>
      <c r="AT1230">
        <v>1.369</v>
      </c>
      <c r="AU1230" t="s">
        <v>65</v>
      </c>
      <c r="AV1230">
        <v>38</v>
      </c>
      <c r="AW1230">
        <v>16</v>
      </c>
      <c r="AX1230" t="s">
        <v>15634</v>
      </c>
      <c r="AY1230">
        <v>4.233E-2</v>
      </c>
      <c r="AZ1230">
        <v>-1.8400000000000001E-3</v>
      </c>
      <c r="BA1230">
        <v>6.6299999999999996E-3</v>
      </c>
      <c r="BB1230">
        <v>-3.6000000000000002E-4</v>
      </c>
      <c r="BC1230">
        <v>0.1565</v>
      </c>
      <c r="BD1230">
        <v>1</v>
      </c>
      <c r="BE1230" t="s">
        <v>69</v>
      </c>
      <c r="BF1230">
        <v>-0.75700000000000001</v>
      </c>
      <c r="BG1230">
        <v>-2.218</v>
      </c>
    </row>
    <row r="1231" spans="1:59">
      <c r="A1231">
        <v>0</v>
      </c>
      <c r="B1231">
        <v>7</v>
      </c>
      <c r="C1231">
        <v>0</v>
      </c>
      <c r="D1231" t="s">
        <v>25022</v>
      </c>
      <c r="E1231">
        <v>999</v>
      </c>
      <c r="F1231" t="s">
        <v>6266</v>
      </c>
      <c r="G1231" t="s">
        <v>57</v>
      </c>
      <c r="H1231">
        <v>1040094</v>
      </c>
      <c r="I1231">
        <v>1040834</v>
      </c>
      <c r="J1231" t="s">
        <v>6267</v>
      </c>
      <c r="K1231">
        <v>247</v>
      </c>
      <c r="L1231" t="s">
        <v>108</v>
      </c>
      <c r="M1231">
        <v>44</v>
      </c>
      <c r="N1231" t="str">
        <f>HYPERLINK("Gene999-zp_tree_all.dnd", "Gene999-tree")</f>
        <v>Gene999-tree</v>
      </c>
      <c r="O1231">
        <v>5</v>
      </c>
      <c r="P1231">
        <v>29</v>
      </c>
      <c r="Q1231">
        <v>5</v>
      </c>
      <c r="R1231">
        <v>8</v>
      </c>
      <c r="S1231">
        <v>0.61538000000000004</v>
      </c>
      <c r="T1231" t="s">
        <v>199</v>
      </c>
      <c r="U1231" t="s">
        <v>4745</v>
      </c>
      <c r="V1231">
        <v>3.335</v>
      </c>
      <c r="W1231" t="s">
        <v>65</v>
      </c>
      <c r="X1231">
        <v>3</v>
      </c>
      <c r="Y1231">
        <v>7</v>
      </c>
      <c r="Z1231">
        <v>12</v>
      </c>
      <c r="AA1231">
        <v>0.36842000000000003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4</v>
      </c>
      <c r="AH1231">
        <v>0</v>
      </c>
      <c r="AI1231">
        <v>4</v>
      </c>
      <c r="AJ1231">
        <v>9</v>
      </c>
      <c r="AK1231">
        <v>0.30769000000000002</v>
      </c>
      <c r="AL1231">
        <v>12</v>
      </c>
      <c r="AM1231">
        <v>7</v>
      </c>
      <c r="AN1231">
        <v>27</v>
      </c>
      <c r="AO1231">
        <v>13</v>
      </c>
      <c r="AP1231">
        <v>12</v>
      </c>
      <c r="AQ1231">
        <v>6</v>
      </c>
      <c r="AR1231" t="s">
        <v>6268</v>
      </c>
      <c r="AS1231" t="s">
        <v>6269</v>
      </c>
      <c r="AT1231">
        <v>6.6000000000000003E-2</v>
      </c>
      <c r="AU1231" t="s">
        <v>65</v>
      </c>
      <c r="AV1231">
        <v>39</v>
      </c>
      <c r="AW1231">
        <v>19</v>
      </c>
      <c r="AX1231" t="s">
        <v>6270</v>
      </c>
      <c r="AY1231">
        <v>5.2589999999999998E-2</v>
      </c>
      <c r="AZ1231">
        <v>-2.65E-3</v>
      </c>
      <c r="BA1231">
        <v>7.0600000000000003E-3</v>
      </c>
      <c r="BB1231">
        <v>-3.6999999999999999E-4</v>
      </c>
      <c r="BC1231">
        <v>0.13420000000000001</v>
      </c>
      <c r="BD1231">
        <v>1</v>
      </c>
      <c r="BE1231" t="s">
        <v>69</v>
      </c>
      <c r="BF1231">
        <v>-0.45800000000000002</v>
      </c>
      <c r="BG1231">
        <v>-0.79900000000000004</v>
      </c>
    </row>
    <row r="1232" spans="1:59">
      <c r="A1232">
        <v>0</v>
      </c>
      <c r="B1232">
        <v>6</v>
      </c>
      <c r="C1232">
        <v>3</v>
      </c>
      <c r="D1232" t="s">
        <v>25022</v>
      </c>
      <c r="E1232">
        <v>149</v>
      </c>
      <c r="F1232" t="s">
        <v>1053</v>
      </c>
      <c r="G1232" t="s">
        <v>57</v>
      </c>
      <c r="H1232">
        <v>152937</v>
      </c>
      <c r="I1232">
        <v>153677</v>
      </c>
      <c r="J1232" t="s">
        <v>1054</v>
      </c>
      <c r="K1232">
        <v>247</v>
      </c>
      <c r="L1232" t="s">
        <v>59</v>
      </c>
      <c r="M1232">
        <v>49</v>
      </c>
      <c r="N1232" t="str">
        <f>HYPERLINK("Gene149-zp_tree_all.dnd", "Gene149-tree")</f>
        <v>Gene149-tree</v>
      </c>
      <c r="O1232">
        <v>27</v>
      </c>
      <c r="P1232">
        <v>11</v>
      </c>
      <c r="Q1232">
        <v>6</v>
      </c>
      <c r="R1232">
        <v>11</v>
      </c>
      <c r="S1232">
        <v>0.64705999999999997</v>
      </c>
      <c r="T1232" t="s">
        <v>1055</v>
      </c>
      <c r="U1232" t="s">
        <v>73</v>
      </c>
      <c r="V1232">
        <v>4.9870000000000001</v>
      </c>
      <c r="W1232" t="s">
        <v>267</v>
      </c>
      <c r="X1232">
        <v>4</v>
      </c>
      <c r="Y1232">
        <v>9</v>
      </c>
      <c r="Z1232">
        <v>18</v>
      </c>
      <c r="AA1232">
        <v>0.33333000000000002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4</v>
      </c>
      <c r="AH1232">
        <v>2</v>
      </c>
      <c r="AI1232">
        <v>6</v>
      </c>
      <c r="AJ1232">
        <v>12</v>
      </c>
      <c r="AK1232">
        <v>0.33333000000000002</v>
      </c>
      <c r="AL1232">
        <v>14</v>
      </c>
      <c r="AM1232">
        <v>10</v>
      </c>
      <c r="AN1232">
        <v>40</v>
      </c>
      <c r="AO1232">
        <v>18</v>
      </c>
      <c r="AP1232">
        <v>25</v>
      </c>
      <c r="AQ1232">
        <v>9</v>
      </c>
      <c r="AR1232" t="s">
        <v>1056</v>
      </c>
      <c r="AS1232" t="s">
        <v>1057</v>
      </c>
      <c r="AT1232">
        <v>0.23100000000000001</v>
      </c>
      <c r="AU1232" t="s">
        <v>65</v>
      </c>
      <c r="AV1232">
        <v>65</v>
      </c>
      <c r="AW1232">
        <v>27</v>
      </c>
      <c r="AX1232" t="s">
        <v>1058</v>
      </c>
      <c r="AY1232">
        <v>7.3899999999999993E-2</v>
      </c>
      <c r="AZ1232">
        <v>-4.2100000000000002E-3</v>
      </c>
      <c r="BA1232">
        <v>8.9300000000000004E-3</v>
      </c>
      <c r="BB1232">
        <v>-5.4000000000000001E-4</v>
      </c>
      <c r="BC1232">
        <v>0.12078</v>
      </c>
      <c r="BD1232">
        <v>1</v>
      </c>
      <c r="BE1232" t="s">
        <v>69</v>
      </c>
      <c r="BF1232">
        <v>-1.889</v>
      </c>
      <c r="BG1232">
        <v>-2.246</v>
      </c>
    </row>
    <row r="1233" spans="1:59">
      <c r="A1233">
        <v>0</v>
      </c>
      <c r="B1233">
        <v>2</v>
      </c>
      <c r="C1233">
        <v>0</v>
      </c>
      <c r="D1233" t="s">
        <v>25022</v>
      </c>
      <c r="E1233">
        <v>34</v>
      </c>
      <c r="F1233" t="s">
        <v>315</v>
      </c>
      <c r="G1233" t="s">
        <v>57</v>
      </c>
      <c r="H1233">
        <v>42917</v>
      </c>
      <c r="I1233">
        <v>43657</v>
      </c>
      <c r="J1233" t="s">
        <v>316</v>
      </c>
      <c r="K1233">
        <v>247</v>
      </c>
      <c r="L1233" t="s">
        <v>108</v>
      </c>
      <c r="M1233">
        <v>44</v>
      </c>
      <c r="N1233" t="str">
        <f>HYPERLINK("Gene34-zp_tree_all.dnd", "Gene34-tree")</f>
        <v>Gene34-tree</v>
      </c>
      <c r="O1233">
        <v>11</v>
      </c>
      <c r="P1233">
        <v>6</v>
      </c>
      <c r="Q1233">
        <v>11</v>
      </c>
      <c r="R1233">
        <v>6</v>
      </c>
      <c r="S1233">
        <v>0.35293999999999998</v>
      </c>
      <c r="T1233" t="s">
        <v>73</v>
      </c>
      <c r="U1233" t="s">
        <v>90</v>
      </c>
      <c r="V1233" t="s">
        <v>62</v>
      </c>
      <c r="W1233" t="s">
        <v>62</v>
      </c>
      <c r="X1233">
        <v>1</v>
      </c>
      <c r="Y1233">
        <v>2</v>
      </c>
      <c r="Z1233">
        <v>9</v>
      </c>
      <c r="AA1233">
        <v>0.18182000000000001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8</v>
      </c>
      <c r="AK1233">
        <v>0</v>
      </c>
      <c r="AL1233">
        <v>14</v>
      </c>
      <c r="AM1233">
        <v>13</v>
      </c>
      <c r="AN1233">
        <v>32</v>
      </c>
      <c r="AO1233">
        <v>9</v>
      </c>
      <c r="AP1233">
        <v>26</v>
      </c>
      <c r="AQ1233">
        <v>3</v>
      </c>
      <c r="AR1233" t="s">
        <v>317</v>
      </c>
      <c r="AS1233" t="s">
        <v>318</v>
      </c>
      <c r="AT1233">
        <v>0.57999999999999996</v>
      </c>
      <c r="AU1233" t="s">
        <v>65</v>
      </c>
      <c r="AV1233">
        <v>58</v>
      </c>
      <c r="AW1233">
        <v>12</v>
      </c>
      <c r="AX1233" t="s">
        <v>319</v>
      </c>
      <c r="AY1233">
        <v>5.4719999999999998E-2</v>
      </c>
      <c r="AZ1233">
        <v>-1.66E-3</v>
      </c>
      <c r="BA1233">
        <v>2.9499999999999999E-3</v>
      </c>
      <c r="BB1233">
        <v>-2.0000000000000001E-4</v>
      </c>
      <c r="BC1233">
        <v>5.3960000000000001E-2</v>
      </c>
      <c r="BD1233">
        <v>1</v>
      </c>
      <c r="BE1233" t="s">
        <v>69</v>
      </c>
      <c r="BF1233">
        <v>-0.60099999999999998</v>
      </c>
      <c r="BG1233">
        <v>-0.85099999999999998</v>
      </c>
    </row>
    <row r="1234" spans="1:59">
      <c r="A1234">
        <v>0</v>
      </c>
      <c r="B1234">
        <v>0</v>
      </c>
      <c r="C1234">
        <v>2</v>
      </c>
      <c r="D1234" t="s">
        <v>25022</v>
      </c>
      <c r="E1234">
        <v>1040</v>
      </c>
      <c r="F1234" t="s">
        <v>6525</v>
      </c>
      <c r="G1234" t="s">
        <v>57</v>
      </c>
      <c r="H1234">
        <v>1077440</v>
      </c>
      <c r="I1234">
        <v>1078180</v>
      </c>
      <c r="J1234" t="s">
        <v>6526</v>
      </c>
      <c r="K1234">
        <v>247</v>
      </c>
      <c r="L1234" t="s">
        <v>59</v>
      </c>
      <c r="M1234">
        <v>49</v>
      </c>
      <c r="N1234" t="str">
        <f>HYPERLINK("Gene1040-zp_tree_all.dnd", "Gene1040-tree")</f>
        <v>Gene1040-tree</v>
      </c>
      <c r="O1234">
        <v>31</v>
      </c>
      <c r="P1234">
        <v>6</v>
      </c>
      <c r="Q1234">
        <v>11</v>
      </c>
      <c r="R1234">
        <v>6</v>
      </c>
      <c r="S1234">
        <v>0.35293999999999998</v>
      </c>
      <c r="T1234" t="s">
        <v>2860</v>
      </c>
      <c r="U1234" t="s">
        <v>90</v>
      </c>
      <c r="V1234" t="s">
        <v>62</v>
      </c>
      <c r="W1234" t="s">
        <v>62</v>
      </c>
      <c r="X1234">
        <v>1</v>
      </c>
      <c r="Y1234">
        <v>2</v>
      </c>
      <c r="Z1234">
        <v>7</v>
      </c>
      <c r="AA1234">
        <v>0.22222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8</v>
      </c>
      <c r="AK1234">
        <v>0</v>
      </c>
      <c r="AL1234">
        <v>14</v>
      </c>
      <c r="AM1234">
        <v>9</v>
      </c>
      <c r="AN1234">
        <v>24</v>
      </c>
      <c r="AO1234">
        <v>9</v>
      </c>
      <c r="AP1234">
        <v>47</v>
      </c>
      <c r="AQ1234">
        <v>1</v>
      </c>
      <c r="AR1234" t="s">
        <v>6527</v>
      </c>
      <c r="AS1234" t="s">
        <v>6528</v>
      </c>
      <c r="AT1234">
        <v>1.421</v>
      </c>
      <c r="AU1234" t="s">
        <v>65</v>
      </c>
      <c r="AV1234">
        <v>71</v>
      </c>
      <c r="AW1234">
        <v>10</v>
      </c>
      <c r="AX1234" t="s">
        <v>6529</v>
      </c>
      <c r="AY1234">
        <v>0.10954</v>
      </c>
      <c r="AZ1234">
        <v>-7.45E-3</v>
      </c>
      <c r="BA1234">
        <v>2.0600000000000002E-3</v>
      </c>
      <c r="BB1234">
        <v>-1.9000000000000001E-4</v>
      </c>
      <c r="BC1234">
        <v>1.8839999999999999E-2</v>
      </c>
      <c r="BD1234">
        <v>1</v>
      </c>
      <c r="BE1234" t="s">
        <v>69</v>
      </c>
      <c r="BF1234">
        <v>-1.5629999999999999</v>
      </c>
      <c r="BG1234">
        <v>-1.8140000000000001</v>
      </c>
    </row>
    <row r="1235" spans="1:59">
      <c r="A1235">
        <v>5</v>
      </c>
      <c r="B1235">
        <v>0</v>
      </c>
      <c r="C1235">
        <v>4</v>
      </c>
      <c r="D1235" t="s">
        <v>25022</v>
      </c>
      <c r="E1235">
        <v>1429</v>
      </c>
      <c r="F1235" t="s">
        <v>8954</v>
      </c>
      <c r="G1235" t="s">
        <v>57</v>
      </c>
      <c r="H1235">
        <v>1442872</v>
      </c>
      <c r="I1235">
        <v>1443615</v>
      </c>
      <c r="J1235" t="s">
        <v>8955</v>
      </c>
      <c r="K1235">
        <v>248</v>
      </c>
      <c r="L1235" t="s">
        <v>8948</v>
      </c>
      <c r="M1235">
        <v>40</v>
      </c>
      <c r="N1235" t="str">
        <f>HYPERLINK("Gene1429-zp_tree_all.dnd", "Gene1429-tree")</f>
        <v>Gene1429-tree</v>
      </c>
      <c r="O1235">
        <v>5</v>
      </c>
      <c r="P1235">
        <v>11</v>
      </c>
      <c r="Q1235">
        <v>5</v>
      </c>
      <c r="R1235">
        <v>11</v>
      </c>
      <c r="S1235">
        <v>0.6875</v>
      </c>
      <c r="T1235" t="s">
        <v>199</v>
      </c>
      <c r="U1235" t="s">
        <v>73</v>
      </c>
      <c r="V1235">
        <v>137353515.63499999</v>
      </c>
      <c r="W1235" t="s">
        <v>267</v>
      </c>
      <c r="X1235">
        <v>3</v>
      </c>
      <c r="Y1235">
        <v>9</v>
      </c>
      <c r="Z1235">
        <v>15</v>
      </c>
      <c r="AA1235">
        <v>0.375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2</v>
      </c>
      <c r="AI1235">
        <v>2</v>
      </c>
      <c r="AJ1235">
        <v>13</v>
      </c>
      <c r="AK1235">
        <v>0.13333</v>
      </c>
      <c r="AL1235">
        <v>14</v>
      </c>
      <c r="AM1235">
        <v>8</v>
      </c>
      <c r="AN1235">
        <v>18</v>
      </c>
      <c r="AO1235">
        <v>16</v>
      </c>
      <c r="AP1235">
        <v>9</v>
      </c>
      <c r="AQ1235">
        <v>9</v>
      </c>
      <c r="AR1235" t="s">
        <v>8956</v>
      </c>
      <c r="AS1235" t="s">
        <v>8957</v>
      </c>
      <c r="AT1235">
        <v>0.14299999999999999</v>
      </c>
      <c r="AU1235" t="s">
        <v>65</v>
      </c>
      <c r="AV1235">
        <v>27</v>
      </c>
      <c r="AW1235">
        <v>25</v>
      </c>
      <c r="AX1235" t="s">
        <v>8958</v>
      </c>
      <c r="AY1235">
        <v>2.843E-2</v>
      </c>
      <c r="AZ1235">
        <v>-1.3699999999999999E-3</v>
      </c>
      <c r="BA1235">
        <v>8.3999999999999995E-3</v>
      </c>
      <c r="BB1235">
        <v>-4.6000000000000001E-4</v>
      </c>
      <c r="BC1235">
        <v>0.29550999999999999</v>
      </c>
      <c r="BD1235">
        <v>1</v>
      </c>
      <c r="BE1235" t="s">
        <v>69</v>
      </c>
      <c r="BF1235">
        <v>-1.147</v>
      </c>
      <c r="BG1235">
        <v>-1.49</v>
      </c>
    </row>
    <row r="1236" spans="1:59">
      <c r="A1236">
        <v>0</v>
      </c>
      <c r="B1236">
        <v>2</v>
      </c>
      <c r="C1236">
        <v>4</v>
      </c>
      <c r="D1236" t="s">
        <v>25022</v>
      </c>
      <c r="E1236">
        <v>2923</v>
      </c>
      <c r="F1236" t="s">
        <v>16836</v>
      </c>
      <c r="G1236" t="s">
        <v>62</v>
      </c>
      <c r="H1236">
        <v>2864429</v>
      </c>
      <c r="I1236">
        <v>2865172</v>
      </c>
      <c r="J1236" t="s">
        <v>16837</v>
      </c>
      <c r="K1236">
        <v>248</v>
      </c>
      <c r="L1236" t="s">
        <v>108</v>
      </c>
      <c r="M1236">
        <v>44</v>
      </c>
      <c r="N1236" t="str">
        <f>HYPERLINK("Gene2923-zp_tree_all.dnd", "Gene2923-tree")</f>
        <v>Gene2923-tree</v>
      </c>
      <c r="O1236">
        <v>3</v>
      </c>
      <c r="P1236">
        <v>7</v>
      </c>
      <c r="Q1236">
        <v>3</v>
      </c>
      <c r="R1236">
        <v>7</v>
      </c>
      <c r="S1236">
        <v>0.7</v>
      </c>
      <c r="T1236" t="s">
        <v>324</v>
      </c>
      <c r="U1236" t="s">
        <v>152</v>
      </c>
      <c r="V1236" t="s">
        <v>62</v>
      </c>
      <c r="W1236" t="s">
        <v>62</v>
      </c>
      <c r="X1236">
        <v>3</v>
      </c>
      <c r="Y1236">
        <v>6</v>
      </c>
      <c r="Z1236">
        <v>8</v>
      </c>
      <c r="AA1236">
        <v>0.42857000000000001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</v>
      </c>
      <c r="AH1236">
        <v>4</v>
      </c>
      <c r="AI1236">
        <v>6</v>
      </c>
      <c r="AJ1236">
        <v>8</v>
      </c>
      <c r="AK1236">
        <v>0.42857000000000001</v>
      </c>
      <c r="AL1236">
        <v>7</v>
      </c>
      <c r="AM1236">
        <v>7</v>
      </c>
      <c r="AN1236">
        <v>15</v>
      </c>
      <c r="AO1236">
        <v>11</v>
      </c>
      <c r="AP1236">
        <v>14</v>
      </c>
      <c r="AQ1236">
        <v>3</v>
      </c>
      <c r="AR1236" t="s">
        <v>16838</v>
      </c>
      <c r="AS1236" t="s">
        <v>16839</v>
      </c>
      <c r="AT1236">
        <v>0.79500000000000004</v>
      </c>
      <c r="AU1236" t="s">
        <v>65</v>
      </c>
      <c r="AV1236">
        <v>29</v>
      </c>
      <c r="AW1236">
        <v>14</v>
      </c>
      <c r="AX1236" t="s">
        <v>16840</v>
      </c>
      <c r="AY1236">
        <v>4.1239999999999999E-2</v>
      </c>
      <c r="AZ1236">
        <v>-2.6900000000000001E-3</v>
      </c>
      <c r="BA1236">
        <v>5.7800000000000004E-3</v>
      </c>
      <c r="BB1236">
        <v>-5.0000000000000001E-4</v>
      </c>
      <c r="BC1236">
        <v>0.14018</v>
      </c>
      <c r="BD1236">
        <v>1</v>
      </c>
      <c r="BE1236" t="s">
        <v>69</v>
      </c>
      <c r="BF1236">
        <v>-0.54300000000000004</v>
      </c>
      <c r="BG1236">
        <v>-1.071</v>
      </c>
    </row>
    <row r="1237" spans="1:59">
      <c r="A1237">
        <v>0</v>
      </c>
      <c r="B1237">
        <v>2</v>
      </c>
      <c r="C1237">
        <v>0</v>
      </c>
      <c r="D1237" t="s">
        <v>25022</v>
      </c>
      <c r="E1237">
        <v>3758</v>
      </c>
      <c r="F1237" t="s">
        <v>22018</v>
      </c>
      <c r="G1237" t="s">
        <v>62</v>
      </c>
      <c r="H1237">
        <v>3732528</v>
      </c>
      <c r="I1237">
        <v>3733271</v>
      </c>
      <c r="J1237" t="s">
        <v>22019</v>
      </c>
      <c r="K1237">
        <v>248</v>
      </c>
      <c r="L1237" t="s">
        <v>11324</v>
      </c>
      <c r="M1237">
        <v>46</v>
      </c>
      <c r="N1237" t="str">
        <f>HYPERLINK("Gene3758-zp_tree_all.dnd", "Gene3758-tree")</f>
        <v>Gene3758-tree</v>
      </c>
      <c r="O1237">
        <v>7</v>
      </c>
      <c r="P1237">
        <v>9</v>
      </c>
      <c r="Q1237">
        <v>7</v>
      </c>
      <c r="R1237">
        <v>9</v>
      </c>
      <c r="S1237">
        <v>0.5625</v>
      </c>
      <c r="T1237" t="s">
        <v>152</v>
      </c>
      <c r="U1237" t="s">
        <v>135</v>
      </c>
      <c r="V1237" t="s">
        <v>62</v>
      </c>
      <c r="W1237" t="s">
        <v>62</v>
      </c>
      <c r="X1237">
        <v>1</v>
      </c>
      <c r="Y1237">
        <v>2</v>
      </c>
      <c r="Z1237">
        <v>17</v>
      </c>
      <c r="AA1237">
        <v>0.10526000000000001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</v>
      </c>
      <c r="AH1237">
        <v>0</v>
      </c>
      <c r="AI1237">
        <v>2</v>
      </c>
      <c r="AJ1237">
        <v>12</v>
      </c>
      <c r="AK1237">
        <v>0.14285999999999999</v>
      </c>
      <c r="AL1237">
        <v>12</v>
      </c>
      <c r="AM1237">
        <v>8</v>
      </c>
      <c r="AN1237">
        <v>24</v>
      </c>
      <c r="AO1237">
        <v>14</v>
      </c>
      <c r="AP1237">
        <v>24</v>
      </c>
      <c r="AQ1237">
        <v>5</v>
      </c>
      <c r="AR1237" t="s">
        <v>22020</v>
      </c>
      <c r="AS1237" t="s">
        <v>22021</v>
      </c>
      <c r="AT1237">
        <v>0.47899999999999998</v>
      </c>
      <c r="AU1237" t="s">
        <v>65</v>
      </c>
      <c r="AV1237">
        <v>48</v>
      </c>
      <c r="AW1237">
        <v>19</v>
      </c>
      <c r="AX1237" t="s">
        <v>22022</v>
      </c>
      <c r="AY1237">
        <v>5.2380000000000003E-2</v>
      </c>
      <c r="AZ1237">
        <v>-4.9699999999999996E-3</v>
      </c>
      <c r="BA1237">
        <v>5.1399999999999996E-3</v>
      </c>
      <c r="BB1237">
        <v>-5.6999999999999998E-4</v>
      </c>
      <c r="BC1237">
        <v>9.8199999999999996E-2</v>
      </c>
      <c r="BD1237">
        <v>1</v>
      </c>
      <c r="BE1237" t="s">
        <v>69</v>
      </c>
      <c r="BF1237">
        <v>-1.8360000000000001</v>
      </c>
      <c r="BG1237">
        <v>-2.3530000000000002</v>
      </c>
    </row>
    <row r="1238" spans="1:59">
      <c r="A1238">
        <v>0</v>
      </c>
      <c r="B1238">
        <v>0</v>
      </c>
      <c r="C1238">
        <v>0</v>
      </c>
      <c r="D1238" t="s">
        <v>25022</v>
      </c>
      <c r="E1238">
        <v>138</v>
      </c>
      <c r="F1238" t="s">
        <v>996</v>
      </c>
      <c r="G1238" t="s">
        <v>57</v>
      </c>
      <c r="H1238">
        <v>146527</v>
      </c>
      <c r="I1238">
        <v>147270</v>
      </c>
      <c r="J1238" t="s">
        <v>997</v>
      </c>
      <c r="K1238">
        <v>248</v>
      </c>
      <c r="L1238" t="s">
        <v>59</v>
      </c>
      <c r="M1238">
        <v>49</v>
      </c>
      <c r="N1238" t="str">
        <f>HYPERLINK("Gene138-zp_tree_all.dnd", "Gene138-tree")</f>
        <v>Gene138-tree</v>
      </c>
      <c r="O1238">
        <v>9</v>
      </c>
      <c r="P1238">
        <v>1</v>
      </c>
      <c r="Q1238">
        <v>9</v>
      </c>
      <c r="R1238">
        <v>1</v>
      </c>
      <c r="S1238">
        <v>0.1</v>
      </c>
      <c r="T1238" t="s">
        <v>135</v>
      </c>
      <c r="U1238" t="s">
        <v>175</v>
      </c>
      <c r="V1238" t="s">
        <v>62</v>
      </c>
      <c r="W1238" t="s">
        <v>62</v>
      </c>
      <c r="X1238">
        <v>0</v>
      </c>
      <c r="Y1238">
        <v>0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7</v>
      </c>
      <c r="AM1238">
        <v>3</v>
      </c>
      <c r="AN1238">
        <v>9</v>
      </c>
      <c r="AO1238">
        <v>1</v>
      </c>
      <c r="AP1238">
        <v>3</v>
      </c>
      <c r="AQ1238">
        <v>1</v>
      </c>
      <c r="AR1238" t="s">
        <v>998</v>
      </c>
      <c r="AS1238" t="s">
        <v>999</v>
      </c>
      <c r="AT1238">
        <v>0.47299999999999998</v>
      </c>
      <c r="AU1238" t="s">
        <v>65</v>
      </c>
      <c r="AV1238">
        <v>12</v>
      </c>
      <c r="AW1238">
        <v>2</v>
      </c>
      <c r="AX1238" t="s">
        <v>1000</v>
      </c>
      <c r="AY1238">
        <v>1.9230000000000001E-2</v>
      </c>
      <c r="AZ1238">
        <v>-1.2999999999999999E-3</v>
      </c>
      <c r="BA1238">
        <v>9.7000000000000005E-4</v>
      </c>
      <c r="BB1238">
        <v>-1.4999999999999999E-4</v>
      </c>
      <c r="BC1238">
        <v>5.042E-2</v>
      </c>
      <c r="BD1238">
        <v>1</v>
      </c>
      <c r="BE1238" t="s">
        <v>69</v>
      </c>
      <c r="BF1238">
        <v>-1.778</v>
      </c>
      <c r="BG1238">
        <v>-2.3069999999999999</v>
      </c>
    </row>
    <row r="1239" spans="1:59">
      <c r="A1239">
        <v>0</v>
      </c>
      <c r="B1239">
        <v>0</v>
      </c>
      <c r="C1239">
        <v>0</v>
      </c>
      <c r="D1239" t="s">
        <v>25022</v>
      </c>
      <c r="E1239">
        <v>3947</v>
      </c>
      <c r="F1239" t="s">
        <v>23178</v>
      </c>
      <c r="G1239" t="s">
        <v>62</v>
      </c>
      <c r="H1239">
        <v>3911480</v>
      </c>
      <c r="I1239">
        <v>3912226</v>
      </c>
      <c r="J1239" t="s">
        <v>23179</v>
      </c>
      <c r="K1239">
        <v>249</v>
      </c>
      <c r="L1239" t="s">
        <v>108</v>
      </c>
      <c r="M1239">
        <v>44</v>
      </c>
      <c r="N1239" t="str">
        <f>HYPERLINK("Gene3947-zp_tree_all.dnd", "Gene3947-tree")</f>
        <v>Gene3947-tree</v>
      </c>
      <c r="O1239">
        <v>27</v>
      </c>
      <c r="P1239">
        <v>5</v>
      </c>
      <c r="Q1239">
        <v>10</v>
      </c>
      <c r="R1239">
        <v>5</v>
      </c>
      <c r="S1239">
        <v>0.33333000000000002</v>
      </c>
      <c r="T1239" t="s">
        <v>2980</v>
      </c>
      <c r="U1239" t="s">
        <v>199</v>
      </c>
      <c r="V1239" t="s">
        <v>62</v>
      </c>
      <c r="W1239" t="s">
        <v>62</v>
      </c>
      <c r="X1239">
        <v>0</v>
      </c>
      <c r="Y1239">
        <v>0</v>
      </c>
      <c r="Z1239">
        <v>7</v>
      </c>
      <c r="AA1239">
        <v>0</v>
      </c>
      <c r="AB1239">
        <v>0</v>
      </c>
      <c r="AC1239">
        <v>0</v>
      </c>
      <c r="AD1239">
        <v>0</v>
      </c>
      <c r="AE1239">
        <v>2</v>
      </c>
      <c r="AF1239">
        <v>0</v>
      </c>
      <c r="AG1239">
        <v>0</v>
      </c>
      <c r="AH1239">
        <v>0</v>
      </c>
      <c r="AI1239">
        <v>0</v>
      </c>
      <c r="AJ1239">
        <v>5</v>
      </c>
      <c r="AK1239">
        <v>0</v>
      </c>
      <c r="AL1239">
        <v>9</v>
      </c>
      <c r="AM1239">
        <v>6</v>
      </c>
      <c r="AN1239">
        <v>14</v>
      </c>
      <c r="AO1239">
        <v>3</v>
      </c>
      <c r="AP1239">
        <v>8</v>
      </c>
      <c r="AQ1239">
        <v>4</v>
      </c>
      <c r="AR1239" t="s">
        <v>23180</v>
      </c>
      <c r="AS1239" t="s">
        <v>23181</v>
      </c>
      <c r="AT1239">
        <v>0.55300000000000005</v>
      </c>
      <c r="AU1239" t="s">
        <v>65</v>
      </c>
      <c r="AV1239">
        <v>22</v>
      </c>
      <c r="AW1239">
        <v>7</v>
      </c>
      <c r="AX1239" t="s">
        <v>23182</v>
      </c>
      <c r="AY1239">
        <v>2.7060000000000001E-2</v>
      </c>
      <c r="AZ1239">
        <v>-1.5200000000000001E-3</v>
      </c>
      <c r="BA1239">
        <v>3.0400000000000002E-3</v>
      </c>
      <c r="BB1239">
        <v>-2.0000000000000001E-4</v>
      </c>
      <c r="BC1239">
        <v>0.11219999999999999</v>
      </c>
      <c r="BD1239">
        <v>1</v>
      </c>
      <c r="BE1239" t="s">
        <v>69</v>
      </c>
      <c r="BF1239">
        <v>-0.89300000000000002</v>
      </c>
      <c r="BG1239">
        <v>-1.4670000000000001</v>
      </c>
    </row>
    <row r="1240" spans="1:59">
      <c r="A1240">
        <v>0</v>
      </c>
      <c r="B1240">
        <v>0</v>
      </c>
      <c r="C1240">
        <v>0</v>
      </c>
      <c r="D1240" t="s">
        <v>25022</v>
      </c>
      <c r="E1240">
        <v>1778</v>
      </c>
      <c r="F1240" t="s">
        <v>11139</v>
      </c>
      <c r="G1240" t="s">
        <v>57</v>
      </c>
      <c r="H1240">
        <v>1792012</v>
      </c>
      <c r="I1240">
        <v>1792758</v>
      </c>
      <c r="J1240" t="s">
        <v>11140</v>
      </c>
      <c r="K1240">
        <v>249</v>
      </c>
      <c r="L1240" t="s">
        <v>8085</v>
      </c>
      <c r="M1240">
        <v>35</v>
      </c>
      <c r="N1240" t="str">
        <f>HYPERLINK("Gene1778-zp_tree_all.dnd", "Gene1778-tree")</f>
        <v>Gene1778-tree</v>
      </c>
      <c r="O1240">
        <v>5</v>
      </c>
      <c r="P1240">
        <v>5</v>
      </c>
      <c r="Q1240">
        <v>5</v>
      </c>
      <c r="R1240">
        <v>5</v>
      </c>
      <c r="S1240">
        <v>0.5</v>
      </c>
      <c r="T1240" t="s">
        <v>199</v>
      </c>
      <c r="U1240" t="s">
        <v>199</v>
      </c>
      <c r="V1240" t="s">
        <v>62</v>
      </c>
      <c r="W1240" t="s">
        <v>62</v>
      </c>
      <c r="X1240">
        <v>0</v>
      </c>
      <c r="Y1240">
        <v>0</v>
      </c>
      <c r="Z1240">
        <v>11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8</v>
      </c>
      <c r="AK1240">
        <v>0</v>
      </c>
      <c r="AL1240">
        <v>9</v>
      </c>
      <c r="AM1240">
        <v>4</v>
      </c>
      <c r="AN1240">
        <v>32</v>
      </c>
      <c r="AO1240">
        <v>8</v>
      </c>
      <c r="AP1240">
        <v>12</v>
      </c>
      <c r="AQ1240">
        <v>3</v>
      </c>
      <c r="AR1240" t="s">
        <v>11141</v>
      </c>
      <c r="AS1240" t="s">
        <v>11142</v>
      </c>
      <c r="AT1240">
        <v>1E-3</v>
      </c>
      <c r="AU1240" t="s">
        <v>65</v>
      </c>
      <c r="AV1240">
        <v>44</v>
      </c>
      <c r="AW1240">
        <v>11</v>
      </c>
      <c r="AX1240" t="s">
        <v>11143</v>
      </c>
      <c r="AY1240">
        <v>5.4350000000000002E-2</v>
      </c>
      <c r="AZ1240">
        <v>-3.0200000000000001E-3</v>
      </c>
      <c r="BA1240">
        <v>4.9899999999999996E-3</v>
      </c>
      <c r="BB1240">
        <v>-4.8999999999999998E-4</v>
      </c>
      <c r="BC1240">
        <v>9.1869999999999993E-2</v>
      </c>
      <c r="BD1240">
        <v>1</v>
      </c>
      <c r="BE1240" t="s">
        <v>69</v>
      </c>
      <c r="BF1240">
        <v>-1.06</v>
      </c>
      <c r="BG1240">
        <v>-1.0289999999999999</v>
      </c>
    </row>
    <row r="1241" spans="1:59">
      <c r="A1241">
        <v>0</v>
      </c>
      <c r="B1241">
        <v>13</v>
      </c>
      <c r="C1241">
        <v>0</v>
      </c>
      <c r="D1241" t="s">
        <v>25022</v>
      </c>
      <c r="E1241">
        <v>4089</v>
      </c>
      <c r="F1241" t="s">
        <v>24075</v>
      </c>
      <c r="G1241" t="s">
        <v>62</v>
      </c>
      <c r="H1241">
        <v>4058032</v>
      </c>
      <c r="I1241">
        <v>4058778</v>
      </c>
      <c r="J1241" t="s">
        <v>5350</v>
      </c>
      <c r="K1241">
        <v>249</v>
      </c>
      <c r="L1241" t="s">
        <v>698</v>
      </c>
      <c r="M1241">
        <v>47</v>
      </c>
      <c r="N1241" t="str">
        <f>HYPERLINK("Gene4089-zp_tree_all.dnd", "Gene4089-tree")</f>
        <v>Gene4089-tree</v>
      </c>
      <c r="O1241">
        <v>8</v>
      </c>
      <c r="P1241">
        <v>9</v>
      </c>
      <c r="Q1241">
        <v>8</v>
      </c>
      <c r="R1241">
        <v>9</v>
      </c>
      <c r="S1241">
        <v>0.52941000000000005</v>
      </c>
      <c r="T1241" t="s">
        <v>136</v>
      </c>
      <c r="U1241" t="s">
        <v>135</v>
      </c>
      <c r="V1241" t="s">
        <v>62</v>
      </c>
      <c r="W1241" t="s">
        <v>62</v>
      </c>
      <c r="X1241">
        <v>5</v>
      </c>
      <c r="Y1241">
        <v>13</v>
      </c>
      <c r="Z1241">
        <v>10</v>
      </c>
      <c r="AA1241">
        <v>0.56521999999999994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9</v>
      </c>
      <c r="AH1241">
        <v>0</v>
      </c>
      <c r="AI1241">
        <v>9</v>
      </c>
      <c r="AJ1241">
        <v>5</v>
      </c>
      <c r="AK1241">
        <v>0.64285999999999999</v>
      </c>
      <c r="AL1241">
        <v>16</v>
      </c>
      <c r="AM1241">
        <v>13</v>
      </c>
      <c r="AN1241">
        <v>46</v>
      </c>
      <c r="AO1241">
        <v>14</v>
      </c>
      <c r="AP1241">
        <v>40</v>
      </c>
      <c r="AQ1241">
        <v>9</v>
      </c>
      <c r="AR1241" t="s">
        <v>24076</v>
      </c>
      <c r="AS1241" t="s">
        <v>24077</v>
      </c>
      <c r="AT1241">
        <v>0.35899999999999999</v>
      </c>
      <c r="AU1241" t="s">
        <v>65</v>
      </c>
      <c r="AV1241">
        <v>86</v>
      </c>
      <c r="AW1241">
        <v>23</v>
      </c>
      <c r="AX1241" t="s">
        <v>24078</v>
      </c>
      <c r="AY1241">
        <v>9.0980000000000005E-2</v>
      </c>
      <c r="AZ1241">
        <v>-4.6800000000000001E-3</v>
      </c>
      <c r="BA1241">
        <v>6.4700000000000001E-3</v>
      </c>
      <c r="BB1241">
        <v>-3.4000000000000002E-4</v>
      </c>
      <c r="BC1241">
        <v>7.1139999999999995E-2</v>
      </c>
      <c r="BD1241">
        <v>1</v>
      </c>
      <c r="BE1241" t="s">
        <v>69</v>
      </c>
      <c r="BF1241">
        <v>-1.2250000000000001</v>
      </c>
      <c r="BG1241">
        <v>-0.93899999999999995</v>
      </c>
    </row>
    <row r="1242" spans="1:59">
      <c r="A1242">
        <v>0</v>
      </c>
      <c r="B1242">
        <v>0</v>
      </c>
      <c r="C1242">
        <v>0</v>
      </c>
      <c r="D1242" t="s">
        <v>25022</v>
      </c>
      <c r="E1242">
        <v>412</v>
      </c>
      <c r="F1242" t="s">
        <v>2794</v>
      </c>
      <c r="G1242" t="s">
        <v>57</v>
      </c>
      <c r="H1242">
        <v>456068</v>
      </c>
      <c r="I1242">
        <v>456814</v>
      </c>
      <c r="J1242" t="s">
        <v>2795</v>
      </c>
      <c r="K1242">
        <v>249</v>
      </c>
      <c r="L1242" t="s">
        <v>108</v>
      </c>
      <c r="M1242">
        <v>44</v>
      </c>
      <c r="N1242" t="str">
        <f>HYPERLINK("Gene412-zp_tree_all.dnd", "Gene412-tree")</f>
        <v>Gene412-tree</v>
      </c>
      <c r="O1242">
        <v>29</v>
      </c>
      <c r="P1242">
        <v>3</v>
      </c>
      <c r="Q1242">
        <v>9</v>
      </c>
      <c r="R1242">
        <v>3</v>
      </c>
      <c r="S1242">
        <v>0.25</v>
      </c>
      <c r="T1242" t="s">
        <v>234</v>
      </c>
      <c r="U1242" t="s">
        <v>324</v>
      </c>
      <c r="V1242" t="s">
        <v>62</v>
      </c>
      <c r="W1242" t="s">
        <v>62</v>
      </c>
      <c r="X1242">
        <v>0</v>
      </c>
      <c r="Y1242">
        <v>0</v>
      </c>
      <c r="Z1242">
        <v>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3</v>
      </c>
      <c r="AK1242">
        <v>0</v>
      </c>
      <c r="AL1242">
        <v>8</v>
      </c>
      <c r="AM1242">
        <v>5</v>
      </c>
      <c r="AN1242">
        <v>11</v>
      </c>
      <c r="AO1242">
        <v>3</v>
      </c>
      <c r="AP1242">
        <v>14</v>
      </c>
      <c r="AQ1242">
        <v>2</v>
      </c>
      <c r="AR1242" t="s">
        <v>2796</v>
      </c>
      <c r="AS1242" t="s">
        <v>2797</v>
      </c>
      <c r="AT1242">
        <v>0.35599999999999998</v>
      </c>
      <c r="AU1242" t="s">
        <v>65</v>
      </c>
      <c r="AV1242">
        <v>25</v>
      </c>
      <c r="AW1242">
        <v>5</v>
      </c>
      <c r="AX1242" t="s">
        <v>2798</v>
      </c>
      <c r="AY1242">
        <v>3.252E-2</v>
      </c>
      <c r="AZ1242">
        <v>-2.8999999999999998E-3</v>
      </c>
      <c r="BA1242">
        <v>1.89E-3</v>
      </c>
      <c r="BB1242">
        <v>-2.0000000000000001E-4</v>
      </c>
      <c r="BC1242">
        <v>5.8099999999999999E-2</v>
      </c>
      <c r="BD1242">
        <v>1</v>
      </c>
      <c r="BE1242" t="s">
        <v>69</v>
      </c>
      <c r="BF1242">
        <v>-0.84099999999999997</v>
      </c>
      <c r="BG1242">
        <v>-0.60199999999999998</v>
      </c>
    </row>
    <row r="1243" spans="1:59">
      <c r="A1243">
        <v>0</v>
      </c>
      <c r="B1243">
        <v>0</v>
      </c>
      <c r="C1243">
        <v>0</v>
      </c>
      <c r="D1243" t="s">
        <v>25022</v>
      </c>
      <c r="E1243">
        <v>96</v>
      </c>
      <c r="F1243" t="s">
        <v>755</v>
      </c>
      <c r="G1243" t="s">
        <v>57</v>
      </c>
      <c r="H1243">
        <v>115269</v>
      </c>
      <c r="I1243">
        <v>116015</v>
      </c>
      <c r="J1243" t="s">
        <v>756</v>
      </c>
      <c r="K1243">
        <v>249</v>
      </c>
      <c r="L1243" t="s">
        <v>698</v>
      </c>
      <c r="M1243">
        <v>47</v>
      </c>
      <c r="N1243" t="str">
        <f>HYPERLINK("Gene96-zp_tree_all.dnd", "Gene96-tree")</f>
        <v>Gene96-tree</v>
      </c>
      <c r="O1243">
        <v>13</v>
      </c>
      <c r="P1243">
        <v>3</v>
      </c>
      <c r="Q1243">
        <v>13</v>
      </c>
      <c r="R1243">
        <v>3</v>
      </c>
      <c r="S1243">
        <v>0.1875</v>
      </c>
      <c r="T1243" t="s">
        <v>507</v>
      </c>
      <c r="U1243" t="s">
        <v>324</v>
      </c>
      <c r="V1243" t="s">
        <v>62</v>
      </c>
      <c r="W1243" t="s">
        <v>62</v>
      </c>
      <c r="X1243">
        <v>0</v>
      </c>
      <c r="Y1243">
        <v>0</v>
      </c>
      <c r="Z1243">
        <v>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3</v>
      </c>
      <c r="AK1243">
        <v>0</v>
      </c>
      <c r="AL1243">
        <v>14</v>
      </c>
      <c r="AM1243">
        <v>7</v>
      </c>
      <c r="AN1243">
        <v>22</v>
      </c>
      <c r="AO1243">
        <v>3</v>
      </c>
      <c r="AP1243">
        <v>39</v>
      </c>
      <c r="AQ1243">
        <v>2</v>
      </c>
      <c r="AR1243" t="s">
        <v>757</v>
      </c>
      <c r="AS1243" t="s">
        <v>758</v>
      </c>
      <c r="AT1243">
        <v>0.39600000000000002</v>
      </c>
      <c r="AU1243" t="s">
        <v>65</v>
      </c>
      <c r="AV1243">
        <v>61</v>
      </c>
      <c r="AW1243">
        <v>5</v>
      </c>
      <c r="AX1243" t="s">
        <v>759</v>
      </c>
      <c r="AY1243">
        <v>8.1799999999999998E-2</v>
      </c>
      <c r="AZ1243">
        <v>-7.5399999999999998E-3</v>
      </c>
      <c r="BA1243">
        <v>1.8E-3</v>
      </c>
      <c r="BB1243">
        <v>-1.2999999999999999E-4</v>
      </c>
      <c r="BC1243">
        <v>2.1989999999999999E-2</v>
      </c>
      <c r="BD1243">
        <v>1</v>
      </c>
      <c r="BE1243" t="s">
        <v>69</v>
      </c>
      <c r="BF1243">
        <v>-1.484</v>
      </c>
      <c r="BG1243">
        <v>-0.872</v>
      </c>
    </row>
    <row r="1244" spans="1:59">
      <c r="A1244">
        <v>0</v>
      </c>
      <c r="B1244">
        <v>0</v>
      </c>
      <c r="C1244">
        <v>0</v>
      </c>
      <c r="D1244" t="s">
        <v>25022</v>
      </c>
      <c r="E1244">
        <v>1654</v>
      </c>
      <c r="F1244" t="s">
        <v>10355</v>
      </c>
      <c r="G1244" t="s">
        <v>57</v>
      </c>
      <c r="H1244">
        <v>1665710</v>
      </c>
      <c r="I1244">
        <v>1666456</v>
      </c>
      <c r="J1244" t="s">
        <v>10356</v>
      </c>
      <c r="K1244">
        <v>249</v>
      </c>
      <c r="L1244" t="s">
        <v>59</v>
      </c>
      <c r="M1244">
        <v>49</v>
      </c>
      <c r="N1244" t="str">
        <f>HYPERLINK("Gene1654-zp_tree_all.dnd", "Gene1654-tree")</f>
        <v>Gene1654-tree</v>
      </c>
      <c r="O1244">
        <v>10</v>
      </c>
      <c r="P1244">
        <v>1</v>
      </c>
      <c r="Q1244">
        <v>10</v>
      </c>
      <c r="R1244">
        <v>1</v>
      </c>
      <c r="S1244">
        <v>9.0910000000000005E-2</v>
      </c>
      <c r="T1244" t="s">
        <v>117</v>
      </c>
      <c r="U1244" t="s">
        <v>175</v>
      </c>
      <c r="V1244" t="s">
        <v>62</v>
      </c>
      <c r="W1244" t="s">
        <v>62</v>
      </c>
      <c r="X1244">
        <v>0</v>
      </c>
      <c r="Y1244">
        <v>0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7</v>
      </c>
      <c r="AM1244">
        <v>6</v>
      </c>
      <c r="AN1244">
        <v>13</v>
      </c>
      <c r="AO1244">
        <v>1</v>
      </c>
      <c r="AP1244">
        <v>29</v>
      </c>
      <c r="AQ1244">
        <v>1</v>
      </c>
      <c r="AR1244" t="s">
        <v>10357</v>
      </c>
      <c r="AS1244" t="s">
        <v>10358</v>
      </c>
      <c r="AT1244">
        <v>0.19</v>
      </c>
      <c r="AU1244" t="s">
        <v>65</v>
      </c>
      <c r="AV1244">
        <v>42</v>
      </c>
      <c r="AW1244">
        <v>2</v>
      </c>
      <c r="AX1244" t="s">
        <v>10359</v>
      </c>
      <c r="AY1244">
        <v>9.7100000000000006E-2</v>
      </c>
      <c r="AZ1244">
        <v>-8.1899999999999994E-3</v>
      </c>
      <c r="BA1244">
        <v>1.07E-3</v>
      </c>
      <c r="BB1244">
        <v>-1.7000000000000001E-4</v>
      </c>
      <c r="BC1244">
        <v>1.098E-2</v>
      </c>
      <c r="BD1244">
        <v>1</v>
      </c>
      <c r="BE1244" t="s">
        <v>69</v>
      </c>
      <c r="BF1244">
        <v>-1.734</v>
      </c>
      <c r="BG1244">
        <v>-0.47799999999999998</v>
      </c>
    </row>
    <row r="1245" spans="1:59">
      <c r="A1245">
        <v>0</v>
      </c>
      <c r="B1245">
        <v>21</v>
      </c>
      <c r="C1245">
        <v>1</v>
      </c>
      <c r="D1245" t="s">
        <v>25022</v>
      </c>
      <c r="E1245">
        <v>2675</v>
      </c>
      <c r="F1245" t="s">
        <v>15691</v>
      </c>
      <c r="G1245" t="s">
        <v>62</v>
      </c>
      <c r="H1245">
        <v>2648906</v>
      </c>
      <c r="I1245">
        <v>2649655</v>
      </c>
      <c r="J1245" t="s">
        <v>1088</v>
      </c>
      <c r="K1245">
        <v>250</v>
      </c>
      <c r="L1245" t="s">
        <v>108</v>
      </c>
      <c r="M1245">
        <v>44</v>
      </c>
      <c r="N1245" t="str">
        <f>HYPERLINK("Gene2675-zp_tree_all.dnd", "Gene2675-tree")</f>
        <v>Gene2675-tree</v>
      </c>
      <c r="O1245">
        <v>2</v>
      </c>
      <c r="P1245">
        <v>12</v>
      </c>
      <c r="Q1245">
        <v>2</v>
      </c>
      <c r="R1245">
        <v>12</v>
      </c>
      <c r="S1245">
        <v>0.85714000000000001</v>
      </c>
      <c r="T1245" t="s">
        <v>81</v>
      </c>
      <c r="U1245" t="s">
        <v>109</v>
      </c>
      <c r="V1245" t="s">
        <v>62</v>
      </c>
      <c r="W1245" t="s">
        <v>62</v>
      </c>
      <c r="X1245">
        <v>8</v>
      </c>
      <c r="Y1245">
        <v>22</v>
      </c>
      <c r="Z1245">
        <v>11</v>
      </c>
      <c r="AA1245">
        <v>0.66666999999999998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9</v>
      </c>
      <c r="AH1245">
        <v>3</v>
      </c>
      <c r="AI1245">
        <v>12</v>
      </c>
      <c r="AJ1245">
        <v>11</v>
      </c>
      <c r="AK1245">
        <v>0.52173999999999998</v>
      </c>
      <c r="AL1245">
        <v>14</v>
      </c>
      <c r="AM1245">
        <v>11</v>
      </c>
      <c r="AN1245">
        <v>12</v>
      </c>
      <c r="AO1245">
        <v>23</v>
      </c>
      <c r="AP1245">
        <v>7</v>
      </c>
      <c r="AQ1245">
        <v>10</v>
      </c>
      <c r="AR1245" t="s">
        <v>15692</v>
      </c>
      <c r="AS1245" t="s">
        <v>15693</v>
      </c>
      <c r="AT1245">
        <v>0.48499999999999999</v>
      </c>
      <c r="AU1245" t="s">
        <v>65</v>
      </c>
      <c r="AV1245">
        <v>19</v>
      </c>
      <c r="AW1245">
        <v>33</v>
      </c>
      <c r="AX1245" t="s">
        <v>15694</v>
      </c>
      <c r="AY1245">
        <v>2.1579999999999998E-2</v>
      </c>
      <c r="AZ1245">
        <v>-1.14E-3</v>
      </c>
      <c r="BA1245">
        <v>1.0460000000000001E-2</v>
      </c>
      <c r="BB1245">
        <v>-3.8000000000000002E-4</v>
      </c>
      <c r="BC1245">
        <v>0.48465999999999998</v>
      </c>
      <c r="BD1245">
        <v>0.87</v>
      </c>
      <c r="BE1245" t="s">
        <v>635</v>
      </c>
      <c r="BF1245">
        <v>0.56100000000000005</v>
      </c>
      <c r="BG1245">
        <v>-0.76500000000000001</v>
      </c>
    </row>
    <row r="1246" spans="1:59">
      <c r="A1246">
        <v>0</v>
      </c>
      <c r="B1246">
        <v>7</v>
      </c>
      <c r="C1246">
        <v>0</v>
      </c>
      <c r="D1246" t="s">
        <v>25022</v>
      </c>
      <c r="E1246">
        <v>3192</v>
      </c>
      <c r="F1246" t="s">
        <v>18578</v>
      </c>
      <c r="G1246" t="s">
        <v>62</v>
      </c>
      <c r="H1246">
        <v>3144270</v>
      </c>
      <c r="I1246">
        <v>3145019</v>
      </c>
      <c r="J1246" t="s">
        <v>18579</v>
      </c>
      <c r="K1246">
        <v>250</v>
      </c>
      <c r="L1246" t="s">
        <v>108</v>
      </c>
      <c r="M1246">
        <v>44</v>
      </c>
      <c r="N1246" t="str">
        <f>HYPERLINK("Gene3192-zp_tree_all.dnd", "Gene3192-tree")</f>
        <v>Gene3192-tree</v>
      </c>
      <c r="O1246">
        <v>4</v>
      </c>
      <c r="P1246">
        <v>10</v>
      </c>
      <c r="Q1246">
        <v>4</v>
      </c>
      <c r="R1246">
        <v>10</v>
      </c>
      <c r="S1246">
        <v>0.71428999999999998</v>
      </c>
      <c r="T1246" t="s">
        <v>61</v>
      </c>
      <c r="U1246" t="s">
        <v>117</v>
      </c>
      <c r="V1246" t="s">
        <v>62</v>
      </c>
      <c r="W1246" t="s">
        <v>62</v>
      </c>
      <c r="X1246">
        <v>3</v>
      </c>
      <c r="Y1246">
        <v>7</v>
      </c>
      <c r="Z1246">
        <v>7</v>
      </c>
      <c r="AA1246">
        <v>0.5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4</v>
      </c>
      <c r="AH1246">
        <v>0</v>
      </c>
      <c r="AI1246">
        <v>4</v>
      </c>
      <c r="AJ1246">
        <v>7</v>
      </c>
      <c r="AK1246">
        <v>0.36364000000000002</v>
      </c>
      <c r="AL1246">
        <v>11</v>
      </c>
      <c r="AM1246">
        <v>10</v>
      </c>
      <c r="AN1246">
        <v>28</v>
      </c>
      <c r="AO1246">
        <v>9</v>
      </c>
      <c r="AP1246">
        <v>15</v>
      </c>
      <c r="AQ1246">
        <v>5</v>
      </c>
      <c r="AR1246" t="s">
        <v>18580</v>
      </c>
      <c r="AS1246" t="s">
        <v>18581</v>
      </c>
      <c r="AT1246">
        <v>6.5000000000000002E-2</v>
      </c>
      <c r="AU1246" t="s">
        <v>65</v>
      </c>
      <c r="AV1246">
        <v>43</v>
      </c>
      <c r="AW1246">
        <v>14</v>
      </c>
      <c r="AX1246" t="s">
        <v>18582</v>
      </c>
      <c r="AY1246">
        <v>4.6719999999999998E-2</v>
      </c>
      <c r="AZ1246">
        <v>-1.92E-3</v>
      </c>
      <c r="BA1246">
        <v>4.5300000000000002E-3</v>
      </c>
      <c r="BB1246">
        <v>-2.5999999999999998E-4</v>
      </c>
      <c r="BC1246">
        <v>9.7059999999999994E-2</v>
      </c>
      <c r="BD1246">
        <v>1</v>
      </c>
      <c r="BE1246" t="s">
        <v>69</v>
      </c>
      <c r="BF1246">
        <v>-0.53300000000000003</v>
      </c>
      <c r="BG1246">
        <v>-1.0509999999999999</v>
      </c>
    </row>
    <row r="1247" spans="1:59">
      <c r="A1247">
        <v>0</v>
      </c>
      <c r="B1247">
        <v>0</v>
      </c>
      <c r="C1247">
        <v>0</v>
      </c>
      <c r="D1247" t="s">
        <v>25022</v>
      </c>
      <c r="E1247">
        <v>418</v>
      </c>
      <c r="F1247" t="s">
        <v>2838</v>
      </c>
      <c r="G1247" t="s">
        <v>57</v>
      </c>
      <c r="H1247">
        <v>461615</v>
      </c>
      <c r="I1247">
        <v>462364</v>
      </c>
      <c r="J1247" t="s">
        <v>2839</v>
      </c>
      <c r="K1247">
        <v>250</v>
      </c>
      <c r="L1247" t="s">
        <v>108</v>
      </c>
      <c r="M1247">
        <v>44</v>
      </c>
      <c r="N1247" t="str">
        <f>HYPERLINK("Gene418-zp_tree_all.dnd", "Gene418-tree")</f>
        <v>Gene418-tree</v>
      </c>
      <c r="O1247">
        <v>30</v>
      </c>
      <c r="P1247">
        <v>3</v>
      </c>
      <c r="Q1247">
        <v>9</v>
      </c>
      <c r="R1247">
        <v>3</v>
      </c>
      <c r="S1247">
        <v>0.25</v>
      </c>
      <c r="T1247" t="s">
        <v>2142</v>
      </c>
      <c r="U1247" t="s">
        <v>324</v>
      </c>
      <c r="V1247" t="s">
        <v>62</v>
      </c>
      <c r="W1247" t="s">
        <v>62</v>
      </c>
      <c r="X1247">
        <v>0</v>
      </c>
      <c r="Y1247">
        <v>0</v>
      </c>
      <c r="Z1247">
        <v>6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4</v>
      </c>
      <c r="AK1247">
        <v>0</v>
      </c>
      <c r="AL1247">
        <v>11</v>
      </c>
      <c r="AM1247">
        <v>6</v>
      </c>
      <c r="AN1247">
        <v>20</v>
      </c>
      <c r="AO1247">
        <v>4</v>
      </c>
      <c r="AP1247">
        <v>10</v>
      </c>
      <c r="AQ1247">
        <v>2</v>
      </c>
      <c r="AR1247" t="s">
        <v>2840</v>
      </c>
      <c r="AS1247" t="s">
        <v>2841</v>
      </c>
      <c r="AT1247">
        <v>1E-3</v>
      </c>
      <c r="AU1247" t="s">
        <v>65</v>
      </c>
      <c r="AV1247">
        <v>30</v>
      </c>
      <c r="AW1247">
        <v>6</v>
      </c>
      <c r="AX1247" t="s">
        <v>2842</v>
      </c>
      <c r="AY1247">
        <v>3.2829999999999998E-2</v>
      </c>
      <c r="AZ1247">
        <v>-1.73E-3</v>
      </c>
      <c r="BA1247">
        <v>2.5799999999999998E-3</v>
      </c>
      <c r="BB1247">
        <v>-2.1000000000000001E-4</v>
      </c>
      <c r="BC1247">
        <v>7.8609999999999999E-2</v>
      </c>
      <c r="BD1247">
        <v>1</v>
      </c>
      <c r="BE1247" t="s">
        <v>69</v>
      </c>
      <c r="BF1247">
        <v>-1.417</v>
      </c>
      <c r="BG1247">
        <v>-1.627</v>
      </c>
    </row>
    <row r="1248" spans="1:59">
      <c r="A1248">
        <v>0</v>
      </c>
      <c r="B1248">
        <v>0</v>
      </c>
      <c r="C1248">
        <v>0</v>
      </c>
      <c r="D1248" t="s">
        <v>25022</v>
      </c>
      <c r="E1248">
        <v>1178</v>
      </c>
      <c r="F1248" t="s">
        <v>7407</v>
      </c>
      <c r="G1248" t="s">
        <v>57</v>
      </c>
      <c r="H1248">
        <v>1217326</v>
      </c>
      <c r="I1248">
        <v>1218075</v>
      </c>
      <c r="J1248" t="s">
        <v>7408</v>
      </c>
      <c r="K1248">
        <v>250</v>
      </c>
      <c r="L1248" t="s">
        <v>59</v>
      </c>
      <c r="M1248">
        <v>49</v>
      </c>
      <c r="N1248" t="str">
        <f>HYPERLINK("Gene1178-zp_tree_all.dnd", "Gene1178-tree")</f>
        <v>Gene1178-tree</v>
      </c>
      <c r="O1248">
        <v>11</v>
      </c>
      <c r="P1248">
        <v>6</v>
      </c>
      <c r="Q1248">
        <v>11</v>
      </c>
      <c r="R1248">
        <v>6</v>
      </c>
      <c r="S1248">
        <v>0.35293999999999998</v>
      </c>
      <c r="T1248" t="s">
        <v>73</v>
      </c>
      <c r="U1248" t="s">
        <v>90</v>
      </c>
      <c r="V1248" t="s">
        <v>62</v>
      </c>
      <c r="W1248" t="s">
        <v>62</v>
      </c>
      <c r="X1248">
        <v>0</v>
      </c>
      <c r="Y1248">
        <v>0</v>
      </c>
      <c r="Z1248">
        <v>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9</v>
      </c>
      <c r="AK1248">
        <v>0</v>
      </c>
      <c r="AL1248">
        <v>13</v>
      </c>
      <c r="AM1248">
        <v>14</v>
      </c>
      <c r="AN1248">
        <v>32</v>
      </c>
      <c r="AO1248">
        <v>9</v>
      </c>
      <c r="AP1248">
        <v>52</v>
      </c>
      <c r="AQ1248">
        <v>1</v>
      </c>
      <c r="AR1248" t="s">
        <v>7409</v>
      </c>
      <c r="AS1248" t="s">
        <v>7410</v>
      </c>
      <c r="AT1248">
        <v>1.0269999999999999</v>
      </c>
      <c r="AU1248" t="s">
        <v>65</v>
      </c>
      <c r="AV1248">
        <v>84</v>
      </c>
      <c r="AW1248">
        <v>10</v>
      </c>
      <c r="AX1248" t="s">
        <v>7411</v>
      </c>
      <c r="AY1248">
        <v>0.13120000000000001</v>
      </c>
      <c r="AZ1248">
        <v>-6.8199999999999997E-3</v>
      </c>
      <c r="BA1248">
        <v>2.2300000000000002E-3</v>
      </c>
      <c r="BB1248">
        <v>-2.2000000000000001E-4</v>
      </c>
      <c r="BC1248">
        <v>1.703E-2</v>
      </c>
      <c r="BD1248">
        <v>1</v>
      </c>
      <c r="BE1248" t="s">
        <v>69</v>
      </c>
      <c r="BF1248">
        <v>-0.73</v>
      </c>
      <c r="BG1248">
        <v>-0.54300000000000004</v>
      </c>
    </row>
    <row r="1249" spans="1:59">
      <c r="A1249">
        <v>0</v>
      </c>
      <c r="B1249">
        <v>0</v>
      </c>
      <c r="C1249">
        <v>0</v>
      </c>
      <c r="D1249" t="s">
        <v>25022</v>
      </c>
      <c r="E1249">
        <v>898</v>
      </c>
      <c r="F1249" t="s">
        <v>5610</v>
      </c>
      <c r="G1249" t="s">
        <v>57</v>
      </c>
      <c r="H1249">
        <v>937079</v>
      </c>
      <c r="I1249">
        <v>937828</v>
      </c>
      <c r="J1249" t="s">
        <v>5611</v>
      </c>
      <c r="K1249">
        <v>250</v>
      </c>
      <c r="L1249" t="s">
        <v>108</v>
      </c>
      <c r="M1249">
        <v>44</v>
      </c>
      <c r="N1249" t="str">
        <f>HYPERLINK("Gene898-zp_tree_all.dnd", "Gene898-tree")</f>
        <v>Gene898-tree</v>
      </c>
      <c r="O1249">
        <v>30</v>
      </c>
      <c r="P1249">
        <v>0</v>
      </c>
      <c r="Q1249">
        <v>9</v>
      </c>
      <c r="R1249">
        <v>0</v>
      </c>
      <c r="S1249">
        <v>0</v>
      </c>
      <c r="T1249" t="s">
        <v>2142</v>
      </c>
      <c r="U1249" t="s">
        <v>62</v>
      </c>
      <c r="V1249" t="s">
        <v>62</v>
      </c>
      <c r="W1249" t="s">
        <v>62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5</v>
      </c>
      <c r="AM1249">
        <v>4</v>
      </c>
      <c r="AN1249">
        <v>15</v>
      </c>
      <c r="AO1249">
        <v>0</v>
      </c>
      <c r="AP1249">
        <v>6</v>
      </c>
      <c r="AQ1249">
        <v>0</v>
      </c>
      <c r="AR1249" t="s">
        <v>193</v>
      </c>
      <c r="AS1249" t="s">
        <v>193</v>
      </c>
      <c r="AT1249">
        <v>0</v>
      </c>
      <c r="AU1249" t="s">
        <v>65</v>
      </c>
      <c r="AV1249">
        <v>21</v>
      </c>
      <c r="AW1249">
        <v>0</v>
      </c>
      <c r="AX1249" t="s">
        <v>5612</v>
      </c>
      <c r="AY1249">
        <v>3.1960000000000002E-2</v>
      </c>
      <c r="AZ1249">
        <v>-2.5799999999999998E-3</v>
      </c>
      <c r="BA1249">
        <v>0</v>
      </c>
      <c r="BB1249">
        <v>0</v>
      </c>
      <c r="BC1249">
        <v>0</v>
      </c>
      <c r="BD1249">
        <v>1</v>
      </c>
      <c r="BE1249" t="s">
        <v>69</v>
      </c>
      <c r="BF1249">
        <v>7.0999999999999994E-2</v>
      </c>
      <c r="BG1249">
        <v>-1.454</v>
      </c>
    </row>
    <row r="1250" spans="1:59">
      <c r="A1250">
        <v>0</v>
      </c>
      <c r="B1250">
        <v>0</v>
      </c>
      <c r="C1250">
        <v>0</v>
      </c>
      <c r="D1250" t="s">
        <v>25022</v>
      </c>
      <c r="E1250">
        <v>2370</v>
      </c>
      <c r="F1250" t="s">
        <v>13782</v>
      </c>
      <c r="G1250" t="s">
        <v>62</v>
      </c>
      <c r="H1250">
        <v>2383618</v>
      </c>
      <c r="I1250">
        <v>2384370</v>
      </c>
      <c r="J1250" t="s">
        <v>13783</v>
      </c>
      <c r="K1250">
        <v>251</v>
      </c>
      <c r="L1250" t="s">
        <v>59</v>
      </c>
      <c r="M1250">
        <v>49</v>
      </c>
      <c r="N1250" t="str">
        <f>HYPERLINK("Gene2370-zp_tree_all.dnd", "Gene2370-tree")</f>
        <v>Gene2370-tree</v>
      </c>
      <c r="O1250">
        <v>13</v>
      </c>
      <c r="P1250">
        <v>2</v>
      </c>
      <c r="Q1250">
        <v>13</v>
      </c>
      <c r="R1250">
        <v>2</v>
      </c>
      <c r="S1250">
        <v>0.13333</v>
      </c>
      <c r="T1250" t="s">
        <v>507</v>
      </c>
      <c r="U1250" t="s">
        <v>81</v>
      </c>
      <c r="V1250" t="s">
        <v>62</v>
      </c>
      <c r="W1250" t="s">
        <v>62</v>
      </c>
      <c r="X1250">
        <v>0</v>
      </c>
      <c r="Y1250">
        <v>0</v>
      </c>
      <c r="Z1250">
        <v>9</v>
      </c>
      <c r="AA1250">
        <v>0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0</v>
      </c>
      <c r="AH1250">
        <v>0</v>
      </c>
      <c r="AI1250">
        <v>0</v>
      </c>
      <c r="AJ1250">
        <v>4</v>
      </c>
      <c r="AK1250">
        <v>0</v>
      </c>
      <c r="AL1250">
        <v>9</v>
      </c>
      <c r="AM1250">
        <v>10</v>
      </c>
      <c r="AN1250">
        <v>13</v>
      </c>
      <c r="AO1250">
        <v>1</v>
      </c>
      <c r="AP1250">
        <v>22</v>
      </c>
      <c r="AQ1250">
        <v>9</v>
      </c>
      <c r="AR1250" t="s">
        <v>13784</v>
      </c>
      <c r="AS1250" t="s">
        <v>13785</v>
      </c>
      <c r="AT1250">
        <v>0.77600000000000002</v>
      </c>
      <c r="AU1250" t="s">
        <v>65</v>
      </c>
      <c r="AV1250">
        <v>35</v>
      </c>
      <c r="AW1250">
        <v>10</v>
      </c>
      <c r="AX1250" t="s">
        <v>13786</v>
      </c>
      <c r="AY1250">
        <v>5.6939999999999998E-2</v>
      </c>
      <c r="AZ1250">
        <v>-3.8700000000000002E-3</v>
      </c>
      <c r="BA1250">
        <v>6.2899999999999996E-3</v>
      </c>
      <c r="BB1250">
        <v>-4.6999999999999999E-4</v>
      </c>
      <c r="BC1250">
        <v>0.11053</v>
      </c>
      <c r="BD1250">
        <v>1</v>
      </c>
      <c r="BE1250" t="s">
        <v>69</v>
      </c>
      <c r="BF1250">
        <v>-1.181</v>
      </c>
      <c r="BG1250">
        <v>0.41199999999999998</v>
      </c>
    </row>
    <row r="1251" spans="1:59">
      <c r="A1251">
        <v>0</v>
      </c>
      <c r="B1251">
        <v>5</v>
      </c>
      <c r="C1251">
        <v>2</v>
      </c>
      <c r="D1251" t="s">
        <v>25022</v>
      </c>
      <c r="E1251">
        <v>1240</v>
      </c>
      <c r="F1251" t="s">
        <v>7767</v>
      </c>
      <c r="G1251" t="s">
        <v>57</v>
      </c>
      <c r="H1251">
        <v>1268829</v>
      </c>
      <c r="I1251">
        <v>1269581</v>
      </c>
      <c r="J1251" t="s">
        <v>7768</v>
      </c>
      <c r="K1251">
        <v>251</v>
      </c>
      <c r="L1251" t="s">
        <v>7769</v>
      </c>
      <c r="M1251">
        <v>32</v>
      </c>
      <c r="N1251" t="str">
        <f>HYPERLINK("Gene1240-zp_tree_all.dnd", "Gene1240-tree")</f>
        <v>Gene1240-tree</v>
      </c>
      <c r="O1251">
        <v>6</v>
      </c>
      <c r="P1251">
        <v>4</v>
      </c>
      <c r="Q1251">
        <v>6</v>
      </c>
      <c r="R1251">
        <v>4</v>
      </c>
      <c r="S1251">
        <v>0.4</v>
      </c>
      <c r="T1251" t="s">
        <v>90</v>
      </c>
      <c r="U1251" t="s">
        <v>61</v>
      </c>
      <c r="V1251" t="s">
        <v>62</v>
      </c>
      <c r="W1251" t="s">
        <v>62</v>
      </c>
      <c r="X1251">
        <v>3</v>
      </c>
      <c r="Y1251">
        <v>7</v>
      </c>
      <c r="Z1251">
        <v>8</v>
      </c>
      <c r="AA1251">
        <v>0.46666999999999997</v>
      </c>
      <c r="AB1251">
        <v>0</v>
      </c>
      <c r="AC1251">
        <v>0</v>
      </c>
      <c r="AD1251">
        <v>0</v>
      </c>
      <c r="AE1251">
        <v>2</v>
      </c>
      <c r="AF1251">
        <v>0</v>
      </c>
      <c r="AG1251">
        <v>2</v>
      </c>
      <c r="AH1251">
        <v>2</v>
      </c>
      <c r="AI1251">
        <v>4</v>
      </c>
      <c r="AJ1251">
        <v>7</v>
      </c>
      <c r="AK1251">
        <v>0.36364000000000002</v>
      </c>
      <c r="AL1251">
        <v>9</v>
      </c>
      <c r="AM1251">
        <v>6</v>
      </c>
      <c r="AN1251">
        <v>35</v>
      </c>
      <c r="AO1251">
        <v>11</v>
      </c>
      <c r="AP1251">
        <v>9</v>
      </c>
      <c r="AQ1251">
        <v>4</v>
      </c>
      <c r="AR1251" t="s">
        <v>7770</v>
      </c>
      <c r="AS1251" t="s">
        <v>7771</v>
      </c>
      <c r="AT1251">
        <v>0.28599999999999998</v>
      </c>
      <c r="AU1251" t="s">
        <v>65</v>
      </c>
      <c r="AV1251">
        <v>44</v>
      </c>
      <c r="AW1251">
        <v>15</v>
      </c>
      <c r="AX1251" t="s">
        <v>7772</v>
      </c>
      <c r="AY1251">
        <v>6.2399999999999997E-2</v>
      </c>
      <c r="AZ1251">
        <v>-6.3600000000000002E-3</v>
      </c>
      <c r="BA1251">
        <v>6.11E-3</v>
      </c>
      <c r="BB1251">
        <v>-5.1999999999999995E-4</v>
      </c>
      <c r="BC1251">
        <v>9.7860000000000003E-2</v>
      </c>
      <c r="BD1251">
        <v>1</v>
      </c>
      <c r="BE1251" t="s">
        <v>69</v>
      </c>
      <c r="BF1251">
        <v>-1.7909999999999999</v>
      </c>
      <c r="BG1251">
        <v>-2.673</v>
      </c>
    </row>
    <row r="1252" spans="1:59">
      <c r="A1252">
        <v>0</v>
      </c>
      <c r="B1252">
        <v>0</v>
      </c>
      <c r="C1252">
        <v>2</v>
      </c>
      <c r="D1252" t="s">
        <v>25022</v>
      </c>
      <c r="E1252">
        <v>1495</v>
      </c>
      <c r="F1252" t="s">
        <v>9349</v>
      </c>
      <c r="G1252" t="s">
        <v>57</v>
      </c>
      <c r="H1252">
        <v>1507578</v>
      </c>
      <c r="I1252">
        <v>1508330</v>
      </c>
      <c r="J1252" t="s">
        <v>9350</v>
      </c>
      <c r="K1252">
        <v>251</v>
      </c>
      <c r="L1252" t="s">
        <v>59</v>
      </c>
      <c r="M1252">
        <v>49</v>
      </c>
      <c r="N1252" t="str">
        <f>HYPERLINK("Gene1495-zp_tree_all.dnd", "Gene1495-tree")</f>
        <v>Gene1495-tree</v>
      </c>
      <c r="O1252">
        <v>13</v>
      </c>
      <c r="P1252">
        <v>4</v>
      </c>
      <c r="Q1252">
        <v>13</v>
      </c>
      <c r="R1252">
        <v>4</v>
      </c>
      <c r="S1252">
        <v>0.23529</v>
      </c>
      <c r="T1252" t="s">
        <v>507</v>
      </c>
      <c r="U1252" t="s">
        <v>61</v>
      </c>
      <c r="V1252" t="s">
        <v>62</v>
      </c>
      <c r="W1252" t="s">
        <v>62</v>
      </c>
      <c r="X1252">
        <v>1</v>
      </c>
      <c r="Y1252">
        <v>2</v>
      </c>
      <c r="Z1252">
        <v>8</v>
      </c>
      <c r="AA1252">
        <v>0.2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</v>
      </c>
      <c r="AK1252">
        <v>0</v>
      </c>
      <c r="AL1252">
        <v>13</v>
      </c>
      <c r="AM1252">
        <v>9</v>
      </c>
      <c r="AN1252">
        <v>24</v>
      </c>
      <c r="AO1252">
        <v>5</v>
      </c>
      <c r="AP1252">
        <v>28</v>
      </c>
      <c r="AQ1252">
        <v>5</v>
      </c>
      <c r="AR1252" t="s">
        <v>9351</v>
      </c>
      <c r="AS1252" t="s">
        <v>9352</v>
      </c>
      <c r="AT1252">
        <v>5.5E-2</v>
      </c>
      <c r="AU1252" t="s">
        <v>65</v>
      </c>
      <c r="AV1252">
        <v>52</v>
      </c>
      <c r="AW1252">
        <v>10</v>
      </c>
      <c r="AX1252" t="s">
        <v>9353</v>
      </c>
      <c r="AY1252">
        <v>6.6680000000000003E-2</v>
      </c>
      <c r="AZ1252">
        <v>-4.7000000000000002E-3</v>
      </c>
      <c r="BA1252">
        <v>4.1599999999999996E-3</v>
      </c>
      <c r="BB1252">
        <v>-3.6000000000000002E-4</v>
      </c>
      <c r="BC1252">
        <v>6.2379999999999998E-2</v>
      </c>
      <c r="BD1252">
        <v>1</v>
      </c>
      <c r="BE1252" t="s">
        <v>69</v>
      </c>
      <c r="BF1252">
        <v>-0.65500000000000003</v>
      </c>
      <c r="BG1252">
        <v>-0.48799999999999999</v>
      </c>
    </row>
    <row r="1253" spans="1:59">
      <c r="A1253">
        <v>0</v>
      </c>
      <c r="B1253">
        <v>2</v>
      </c>
      <c r="C1253">
        <v>0</v>
      </c>
      <c r="D1253" t="s">
        <v>25022</v>
      </c>
      <c r="E1253">
        <v>2417</v>
      </c>
      <c r="F1253" t="s">
        <v>14082</v>
      </c>
      <c r="G1253" t="s">
        <v>62</v>
      </c>
      <c r="H1253">
        <v>2425834</v>
      </c>
      <c r="I1253">
        <v>2426586</v>
      </c>
      <c r="J1253" t="s">
        <v>14083</v>
      </c>
      <c r="K1253">
        <v>251</v>
      </c>
      <c r="L1253" t="s">
        <v>59</v>
      </c>
      <c r="M1253">
        <v>49</v>
      </c>
      <c r="N1253" t="str">
        <f>HYPERLINK("Gene2417-zp_tree_all.dnd", "Gene2417-tree")</f>
        <v>Gene2417-tree</v>
      </c>
      <c r="O1253">
        <v>8</v>
      </c>
      <c r="P1253">
        <v>6</v>
      </c>
      <c r="Q1253">
        <v>8</v>
      </c>
      <c r="R1253">
        <v>6</v>
      </c>
      <c r="S1253">
        <v>0.42857000000000001</v>
      </c>
      <c r="T1253" t="s">
        <v>136</v>
      </c>
      <c r="U1253" t="s">
        <v>90</v>
      </c>
      <c r="V1253" t="s">
        <v>62</v>
      </c>
      <c r="W1253" t="s">
        <v>62</v>
      </c>
      <c r="X1253">
        <v>1</v>
      </c>
      <c r="Y1253">
        <v>2</v>
      </c>
      <c r="Z1253">
        <v>10</v>
      </c>
      <c r="AA1253">
        <v>0.16667000000000001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0</v>
      </c>
      <c r="AH1253">
        <v>0</v>
      </c>
      <c r="AI1253">
        <v>0</v>
      </c>
      <c r="AJ1253">
        <v>6</v>
      </c>
      <c r="AK1253">
        <v>0</v>
      </c>
      <c r="AL1253">
        <v>10</v>
      </c>
      <c r="AM1253">
        <v>9</v>
      </c>
      <c r="AN1253">
        <v>10</v>
      </c>
      <c r="AO1253">
        <v>6</v>
      </c>
      <c r="AP1253">
        <v>34</v>
      </c>
      <c r="AQ1253">
        <v>6</v>
      </c>
      <c r="AR1253" t="s">
        <v>14084</v>
      </c>
      <c r="AS1253" t="s">
        <v>14085</v>
      </c>
      <c r="AT1253">
        <v>1.423</v>
      </c>
      <c r="AU1253" t="s">
        <v>65</v>
      </c>
      <c r="AV1253">
        <v>44</v>
      </c>
      <c r="AW1253">
        <v>12</v>
      </c>
      <c r="AX1253" t="s">
        <v>14086</v>
      </c>
      <c r="AY1253">
        <v>9.3700000000000006E-2</v>
      </c>
      <c r="AZ1253">
        <v>-7.1399999999999996E-3</v>
      </c>
      <c r="BA1253">
        <v>5.6899999999999997E-3</v>
      </c>
      <c r="BB1253">
        <v>-3.6999999999999999E-4</v>
      </c>
      <c r="BC1253">
        <v>6.0679999999999998E-2</v>
      </c>
      <c r="BD1253">
        <v>1</v>
      </c>
      <c r="BE1253" t="s">
        <v>69</v>
      </c>
      <c r="BF1253">
        <v>-0.83299999999999996</v>
      </c>
      <c r="BG1253">
        <v>0.114</v>
      </c>
    </row>
    <row r="1254" spans="1:59">
      <c r="A1254">
        <v>0</v>
      </c>
      <c r="B1254">
        <v>0</v>
      </c>
      <c r="C1254">
        <v>4</v>
      </c>
      <c r="D1254" t="s">
        <v>25022</v>
      </c>
      <c r="E1254">
        <v>1396</v>
      </c>
      <c r="F1254" t="s">
        <v>8739</v>
      </c>
      <c r="G1254" t="s">
        <v>57</v>
      </c>
      <c r="H1254">
        <v>1411892</v>
      </c>
      <c r="I1254">
        <v>1412644</v>
      </c>
      <c r="J1254" t="s">
        <v>8740</v>
      </c>
      <c r="K1254">
        <v>251</v>
      </c>
      <c r="L1254" t="s">
        <v>59</v>
      </c>
      <c r="M1254">
        <v>49</v>
      </c>
      <c r="N1254" t="str">
        <f>HYPERLINK("Gene1396-zp_tree_all.dnd", "Gene1396-tree")</f>
        <v>Gene1396-tree</v>
      </c>
      <c r="O1254">
        <v>14</v>
      </c>
      <c r="P1254">
        <v>2</v>
      </c>
      <c r="Q1254">
        <v>14</v>
      </c>
      <c r="R1254">
        <v>2</v>
      </c>
      <c r="S1254">
        <v>0.125</v>
      </c>
      <c r="T1254" t="s">
        <v>543</v>
      </c>
      <c r="U1254" t="s">
        <v>81</v>
      </c>
      <c r="V1254" t="s">
        <v>62</v>
      </c>
      <c r="W1254" t="s">
        <v>62</v>
      </c>
      <c r="X1254">
        <v>2</v>
      </c>
      <c r="Y1254">
        <v>4</v>
      </c>
      <c r="Z1254">
        <v>3</v>
      </c>
      <c r="AA1254">
        <v>0.57142999999999999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</v>
      </c>
      <c r="AK1254">
        <v>0</v>
      </c>
      <c r="AL1254">
        <v>13</v>
      </c>
      <c r="AM1254">
        <v>7</v>
      </c>
      <c r="AN1254">
        <v>30</v>
      </c>
      <c r="AO1254">
        <v>2</v>
      </c>
      <c r="AP1254">
        <v>34</v>
      </c>
      <c r="AQ1254">
        <v>5</v>
      </c>
      <c r="AR1254" t="s">
        <v>8741</v>
      </c>
      <c r="AS1254" t="s">
        <v>8742</v>
      </c>
      <c r="AT1254">
        <v>0.40200000000000002</v>
      </c>
      <c r="AU1254" t="s">
        <v>65</v>
      </c>
      <c r="AV1254">
        <v>64</v>
      </c>
      <c r="AW1254">
        <v>7</v>
      </c>
      <c r="AX1254" t="s">
        <v>8743</v>
      </c>
      <c r="AY1254">
        <v>0.10151</v>
      </c>
      <c r="AZ1254">
        <v>-7.4099999999999999E-3</v>
      </c>
      <c r="BA1254">
        <v>2.8500000000000001E-3</v>
      </c>
      <c r="BB1254">
        <v>-2.1000000000000001E-4</v>
      </c>
      <c r="BC1254">
        <v>2.8049999999999999E-2</v>
      </c>
      <c r="BD1254">
        <v>1</v>
      </c>
      <c r="BE1254" t="s">
        <v>69</v>
      </c>
      <c r="BF1254">
        <v>-1.482</v>
      </c>
      <c r="BG1254">
        <v>-1.22</v>
      </c>
    </row>
    <row r="1255" spans="1:59">
      <c r="A1255">
        <v>0</v>
      </c>
      <c r="B1255">
        <v>11</v>
      </c>
      <c r="C1255">
        <v>1</v>
      </c>
      <c r="D1255" t="s">
        <v>25022</v>
      </c>
      <c r="E1255">
        <v>1848</v>
      </c>
      <c r="F1255" t="s">
        <v>11578</v>
      </c>
      <c r="G1255" t="s">
        <v>57</v>
      </c>
      <c r="H1255">
        <v>1915221</v>
      </c>
      <c r="I1255">
        <v>1915976</v>
      </c>
      <c r="J1255" t="s">
        <v>11579</v>
      </c>
      <c r="K1255">
        <v>252</v>
      </c>
      <c r="L1255" t="s">
        <v>108</v>
      </c>
      <c r="M1255">
        <v>44</v>
      </c>
      <c r="N1255" t="str">
        <f>HYPERLINK("Gene1848-zp_tree_all.dnd", "Gene1848-tree")</f>
        <v>Gene1848-tree</v>
      </c>
      <c r="O1255">
        <v>2</v>
      </c>
      <c r="P1255">
        <v>10</v>
      </c>
      <c r="Q1255">
        <v>2</v>
      </c>
      <c r="R1255">
        <v>10</v>
      </c>
      <c r="S1255">
        <v>0.83333000000000002</v>
      </c>
      <c r="T1255" t="s">
        <v>81</v>
      </c>
      <c r="U1255" t="s">
        <v>117</v>
      </c>
      <c r="V1255" t="s">
        <v>62</v>
      </c>
      <c r="W1255" t="s">
        <v>62</v>
      </c>
      <c r="X1255">
        <v>5</v>
      </c>
      <c r="Y1255">
        <v>12</v>
      </c>
      <c r="Z1255">
        <v>10</v>
      </c>
      <c r="AA1255">
        <v>0.54544999999999999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</v>
      </c>
      <c r="AH1255">
        <v>2</v>
      </c>
      <c r="AI1255">
        <v>4</v>
      </c>
      <c r="AJ1255">
        <v>12</v>
      </c>
      <c r="AK1255">
        <v>0.25</v>
      </c>
      <c r="AL1255">
        <v>9</v>
      </c>
      <c r="AM1255">
        <v>9</v>
      </c>
      <c r="AN1255">
        <v>9</v>
      </c>
      <c r="AO1255">
        <v>12</v>
      </c>
      <c r="AP1255">
        <v>20</v>
      </c>
      <c r="AQ1255">
        <v>10</v>
      </c>
      <c r="AR1255" t="s">
        <v>11580</v>
      </c>
      <c r="AS1255" t="s">
        <v>11581</v>
      </c>
      <c r="AT1255">
        <v>1.02</v>
      </c>
      <c r="AU1255" t="s">
        <v>65</v>
      </c>
      <c r="AV1255">
        <v>29</v>
      </c>
      <c r="AW1255">
        <v>22</v>
      </c>
      <c r="AX1255" t="s">
        <v>11582</v>
      </c>
      <c r="AY1255">
        <v>3.8920000000000003E-2</v>
      </c>
      <c r="AZ1255">
        <v>-1.8600000000000001E-3</v>
      </c>
      <c r="BA1255">
        <v>7.8700000000000003E-3</v>
      </c>
      <c r="BB1255">
        <v>-4.2000000000000002E-4</v>
      </c>
      <c r="BC1255">
        <v>0.20216000000000001</v>
      </c>
      <c r="BD1255">
        <v>1</v>
      </c>
      <c r="BE1255" t="s">
        <v>69</v>
      </c>
      <c r="BF1255">
        <v>0.57899999999999996</v>
      </c>
      <c r="BG1255">
        <v>0.46</v>
      </c>
    </row>
    <row r="1256" spans="1:59">
      <c r="A1256">
        <v>0</v>
      </c>
      <c r="B1256">
        <v>5</v>
      </c>
      <c r="C1256">
        <v>0</v>
      </c>
      <c r="D1256" t="s">
        <v>25022</v>
      </c>
      <c r="E1256">
        <v>4239</v>
      </c>
      <c r="F1256" t="s">
        <v>24899</v>
      </c>
      <c r="G1256" t="s">
        <v>62</v>
      </c>
      <c r="H1256">
        <v>4197783</v>
      </c>
      <c r="I1256">
        <v>4198538</v>
      </c>
      <c r="J1256" t="s">
        <v>24900</v>
      </c>
      <c r="K1256">
        <v>252</v>
      </c>
      <c r="L1256" t="s">
        <v>108</v>
      </c>
      <c r="M1256">
        <v>44</v>
      </c>
      <c r="N1256" t="str">
        <f>HYPERLINK("Gene4239-zp_tree_all.dnd", "Gene4239-tree")</f>
        <v>Gene4239-tree</v>
      </c>
      <c r="O1256">
        <v>27</v>
      </c>
      <c r="P1256">
        <v>7</v>
      </c>
      <c r="Q1256">
        <v>8</v>
      </c>
      <c r="R1256">
        <v>7</v>
      </c>
      <c r="S1256">
        <v>0.46666999999999997</v>
      </c>
      <c r="T1256" t="s">
        <v>282</v>
      </c>
      <c r="U1256" t="s">
        <v>152</v>
      </c>
      <c r="V1256" t="s">
        <v>62</v>
      </c>
      <c r="W1256" t="s">
        <v>62</v>
      </c>
      <c r="X1256">
        <v>2</v>
      </c>
      <c r="Y1256">
        <v>5</v>
      </c>
      <c r="Z1256">
        <v>12</v>
      </c>
      <c r="AA1256">
        <v>0.29411999999999999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12</v>
      </c>
      <c r="AK1256">
        <v>0</v>
      </c>
      <c r="AL1256">
        <v>13</v>
      </c>
      <c r="AM1256">
        <v>8</v>
      </c>
      <c r="AN1256">
        <v>28</v>
      </c>
      <c r="AO1256">
        <v>12</v>
      </c>
      <c r="AP1256">
        <v>13</v>
      </c>
      <c r="AQ1256">
        <v>5</v>
      </c>
      <c r="AR1256" t="s">
        <v>24901</v>
      </c>
      <c r="AS1256" t="s">
        <v>24902</v>
      </c>
      <c r="AT1256">
        <v>0.115</v>
      </c>
      <c r="AU1256" t="s">
        <v>65</v>
      </c>
      <c r="AV1256">
        <v>41</v>
      </c>
      <c r="AW1256">
        <v>17</v>
      </c>
      <c r="AX1256" t="s">
        <v>24903</v>
      </c>
      <c r="AY1256">
        <v>3.9829999999999997E-2</v>
      </c>
      <c r="AZ1256">
        <v>-2.1099999999999999E-3</v>
      </c>
      <c r="BA1256">
        <v>5.2199999999999998E-3</v>
      </c>
      <c r="BB1256">
        <v>-2.5999999999999998E-4</v>
      </c>
      <c r="BC1256">
        <v>0.13100000000000001</v>
      </c>
      <c r="BD1256">
        <v>1</v>
      </c>
      <c r="BE1256" t="s">
        <v>69</v>
      </c>
      <c r="BF1256">
        <v>-1.2629999999999999</v>
      </c>
      <c r="BG1256">
        <v>-2.6019999999999999</v>
      </c>
    </row>
    <row r="1257" spans="1:59">
      <c r="A1257">
        <v>0</v>
      </c>
      <c r="B1257">
        <v>0</v>
      </c>
      <c r="C1257">
        <v>0</v>
      </c>
      <c r="D1257" t="s">
        <v>25022</v>
      </c>
      <c r="E1257">
        <v>4159</v>
      </c>
      <c r="F1257" t="s">
        <v>24492</v>
      </c>
      <c r="G1257" t="s">
        <v>62</v>
      </c>
      <c r="H1257">
        <v>4125745</v>
      </c>
      <c r="I1257">
        <v>4126500</v>
      </c>
      <c r="J1257" t="s">
        <v>24493</v>
      </c>
      <c r="K1257">
        <v>252</v>
      </c>
      <c r="L1257" t="s">
        <v>24494</v>
      </c>
      <c r="M1257">
        <v>22</v>
      </c>
      <c r="N1257" t="str">
        <f>HYPERLINK("Gene4159-zp_tree_all.dnd", "Gene4159-tree")</f>
        <v>Gene4159-tree</v>
      </c>
      <c r="O1257">
        <v>1</v>
      </c>
      <c r="P1257">
        <v>3</v>
      </c>
      <c r="Q1257">
        <v>1</v>
      </c>
      <c r="R1257">
        <v>3</v>
      </c>
      <c r="S1257">
        <v>0.75</v>
      </c>
      <c r="T1257" t="s">
        <v>175</v>
      </c>
      <c r="U1257" t="s">
        <v>324</v>
      </c>
      <c r="V1257" t="s">
        <v>62</v>
      </c>
      <c r="W1257" t="s">
        <v>62</v>
      </c>
      <c r="X1257">
        <v>0</v>
      </c>
      <c r="Y1257">
        <v>0</v>
      </c>
      <c r="Z1257">
        <v>6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6</v>
      </c>
      <c r="AK1257">
        <v>0</v>
      </c>
      <c r="AL1257">
        <v>4</v>
      </c>
      <c r="AM1257">
        <v>1</v>
      </c>
      <c r="AN1257">
        <v>8</v>
      </c>
      <c r="AO1257">
        <v>6</v>
      </c>
      <c r="AP1257">
        <v>3</v>
      </c>
      <c r="AQ1257">
        <v>0</v>
      </c>
      <c r="AR1257" t="s">
        <v>24495</v>
      </c>
      <c r="AS1257" t="s">
        <v>193</v>
      </c>
      <c r="AT1257">
        <v>1.3859999999999999</v>
      </c>
      <c r="AU1257" t="s">
        <v>65</v>
      </c>
      <c r="AV1257">
        <v>11</v>
      </c>
      <c r="AW1257">
        <v>6</v>
      </c>
      <c r="AX1257" t="s">
        <v>24496</v>
      </c>
      <c r="AY1257">
        <v>3.9100000000000003E-2</v>
      </c>
      <c r="AZ1257">
        <v>-6.9499999999999996E-3</v>
      </c>
      <c r="BA1257">
        <v>5.0400000000000002E-3</v>
      </c>
      <c r="BB1257">
        <v>-8.8999999999999995E-4</v>
      </c>
      <c r="BC1257">
        <v>0.12887000000000001</v>
      </c>
      <c r="BD1257">
        <v>1</v>
      </c>
      <c r="BE1257" t="s">
        <v>69</v>
      </c>
      <c r="BF1257">
        <v>-2.0139999999999998</v>
      </c>
      <c r="BG1257">
        <v>-2.2639999999999998</v>
      </c>
    </row>
    <row r="1258" spans="1:59">
      <c r="A1258">
        <v>0</v>
      </c>
      <c r="B1258">
        <v>0</v>
      </c>
      <c r="C1258">
        <v>0</v>
      </c>
      <c r="D1258" t="s">
        <v>25022</v>
      </c>
      <c r="E1258">
        <v>3683</v>
      </c>
      <c r="F1258" t="s">
        <v>21616</v>
      </c>
      <c r="G1258" t="s">
        <v>62</v>
      </c>
      <c r="H1258">
        <v>3651100</v>
      </c>
      <c r="I1258">
        <v>3651855</v>
      </c>
      <c r="J1258" t="s">
        <v>21610</v>
      </c>
      <c r="K1258">
        <v>252</v>
      </c>
      <c r="L1258" t="s">
        <v>11187</v>
      </c>
      <c r="M1258">
        <v>35</v>
      </c>
      <c r="N1258" t="str">
        <f>HYPERLINK("Gene3683-zp_tree_all.dnd", "Gene3683-tree")</f>
        <v>Gene3683-tree</v>
      </c>
      <c r="O1258">
        <v>7</v>
      </c>
      <c r="P1258">
        <v>3</v>
      </c>
      <c r="Q1258">
        <v>7</v>
      </c>
      <c r="R1258">
        <v>3</v>
      </c>
      <c r="S1258">
        <v>0.3</v>
      </c>
      <c r="T1258" t="s">
        <v>152</v>
      </c>
      <c r="U1258" t="s">
        <v>324</v>
      </c>
      <c r="V1258" t="s">
        <v>62</v>
      </c>
      <c r="W1258" t="s">
        <v>62</v>
      </c>
      <c r="X1258">
        <v>0</v>
      </c>
      <c r="Y1258">
        <v>0</v>
      </c>
      <c r="Z1258">
        <v>3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3</v>
      </c>
      <c r="AK1258">
        <v>0</v>
      </c>
      <c r="AL1258">
        <v>8</v>
      </c>
      <c r="AM1258">
        <v>2</v>
      </c>
      <c r="AN1258">
        <v>11</v>
      </c>
      <c r="AO1258">
        <v>3</v>
      </c>
      <c r="AP1258">
        <v>2</v>
      </c>
      <c r="AQ1258">
        <v>0</v>
      </c>
      <c r="AR1258" t="s">
        <v>21617</v>
      </c>
      <c r="AS1258" t="s">
        <v>193</v>
      </c>
      <c r="AT1258">
        <v>1.2170000000000001</v>
      </c>
      <c r="AU1258" t="s">
        <v>65</v>
      </c>
      <c r="AV1258">
        <v>13</v>
      </c>
      <c r="AW1258">
        <v>3</v>
      </c>
      <c r="AX1258" t="s">
        <v>21618</v>
      </c>
      <c r="AY1258">
        <v>1.856E-2</v>
      </c>
      <c r="AZ1258">
        <v>-1.4300000000000001E-3</v>
      </c>
      <c r="BA1258">
        <v>1.01E-3</v>
      </c>
      <c r="BB1258">
        <v>-1.3999999999999999E-4</v>
      </c>
      <c r="BC1258">
        <v>5.4370000000000002E-2</v>
      </c>
      <c r="BD1258">
        <v>1</v>
      </c>
      <c r="BE1258" t="s">
        <v>69</v>
      </c>
      <c r="BF1258">
        <v>-0.75900000000000001</v>
      </c>
      <c r="BG1258">
        <v>-1.76</v>
      </c>
    </row>
    <row r="1259" spans="1:59">
      <c r="A1259">
        <v>0</v>
      </c>
      <c r="B1259">
        <v>0</v>
      </c>
      <c r="C1259">
        <v>0</v>
      </c>
      <c r="D1259" t="s">
        <v>25022</v>
      </c>
      <c r="E1259">
        <v>1130</v>
      </c>
      <c r="F1259" t="s">
        <v>7107</v>
      </c>
      <c r="G1259" t="s">
        <v>57</v>
      </c>
      <c r="H1259">
        <v>1173333</v>
      </c>
      <c r="I1259">
        <v>1174088</v>
      </c>
      <c r="J1259" t="s">
        <v>7108</v>
      </c>
      <c r="K1259">
        <v>252</v>
      </c>
      <c r="L1259" t="s">
        <v>2289</v>
      </c>
      <c r="M1259">
        <v>37</v>
      </c>
      <c r="N1259" t="str">
        <f>HYPERLINK("Gene1130-zp_tree_all.dnd", "Gene1130-tree")</f>
        <v>Gene1130-tree</v>
      </c>
      <c r="O1259">
        <v>31</v>
      </c>
      <c r="P1259">
        <v>2</v>
      </c>
      <c r="Q1259">
        <v>10</v>
      </c>
      <c r="R1259">
        <v>2</v>
      </c>
      <c r="S1259">
        <v>0.16667000000000001</v>
      </c>
      <c r="T1259" t="s">
        <v>2854</v>
      </c>
      <c r="U1259" t="s">
        <v>81</v>
      </c>
      <c r="V1259" t="s">
        <v>62</v>
      </c>
      <c r="W1259" t="s">
        <v>62</v>
      </c>
      <c r="X1259">
        <v>0</v>
      </c>
      <c r="Y1259">
        <v>0</v>
      </c>
      <c r="Z1259">
        <v>5</v>
      </c>
      <c r="AA1259">
        <v>0</v>
      </c>
      <c r="AB1259">
        <v>0</v>
      </c>
      <c r="AC1259">
        <v>0</v>
      </c>
      <c r="AD1259">
        <v>0</v>
      </c>
      <c r="AE1259">
        <v>2</v>
      </c>
      <c r="AF1259">
        <v>0</v>
      </c>
      <c r="AG1259">
        <v>0</v>
      </c>
      <c r="AH1259">
        <v>0</v>
      </c>
      <c r="AI1259">
        <v>0</v>
      </c>
      <c r="AJ1259">
        <v>3</v>
      </c>
      <c r="AK1259">
        <v>0</v>
      </c>
      <c r="AL1259">
        <v>9</v>
      </c>
      <c r="AM1259">
        <v>6</v>
      </c>
      <c r="AN1259">
        <v>25</v>
      </c>
      <c r="AO1259">
        <v>3</v>
      </c>
      <c r="AP1259">
        <v>13</v>
      </c>
      <c r="AQ1259">
        <v>2</v>
      </c>
      <c r="AR1259" t="s">
        <v>7109</v>
      </c>
      <c r="AS1259" t="s">
        <v>7110</v>
      </c>
      <c r="AT1259">
        <v>0.14899999999999999</v>
      </c>
      <c r="AU1259" t="s">
        <v>65</v>
      </c>
      <c r="AV1259">
        <v>38</v>
      </c>
      <c r="AW1259">
        <v>5</v>
      </c>
      <c r="AX1259" t="s">
        <v>7111</v>
      </c>
      <c r="AY1259">
        <v>4.4540000000000003E-2</v>
      </c>
      <c r="AZ1259">
        <v>-3.0100000000000001E-3</v>
      </c>
      <c r="BA1259">
        <v>2.3600000000000001E-3</v>
      </c>
      <c r="BB1259">
        <v>-1.9000000000000001E-4</v>
      </c>
      <c r="BC1259">
        <v>5.3069999999999999E-2</v>
      </c>
      <c r="BD1259">
        <v>1</v>
      </c>
      <c r="BE1259" t="s">
        <v>69</v>
      </c>
      <c r="BF1259">
        <v>-1.3320000000000001</v>
      </c>
      <c r="BG1259">
        <v>-2.1859999999999999</v>
      </c>
    </row>
    <row r="1260" spans="1:59">
      <c r="A1260">
        <v>0</v>
      </c>
      <c r="B1260">
        <v>8</v>
      </c>
      <c r="C1260">
        <v>0</v>
      </c>
      <c r="D1260" t="s">
        <v>25022</v>
      </c>
      <c r="E1260">
        <v>3614</v>
      </c>
      <c r="F1260" t="s">
        <v>21219</v>
      </c>
      <c r="G1260" t="s">
        <v>62</v>
      </c>
      <c r="H1260">
        <v>3583565</v>
      </c>
      <c r="I1260">
        <v>3584320</v>
      </c>
      <c r="J1260" t="s">
        <v>21220</v>
      </c>
      <c r="K1260">
        <v>252</v>
      </c>
      <c r="L1260" t="s">
        <v>108</v>
      </c>
      <c r="M1260">
        <v>44</v>
      </c>
      <c r="N1260" t="str">
        <f>HYPERLINK("Gene3614-zp_tree_all.dnd", "Gene3614-tree")</f>
        <v>Gene3614-tree</v>
      </c>
      <c r="O1260">
        <v>8</v>
      </c>
      <c r="P1260">
        <v>7</v>
      </c>
      <c r="Q1260">
        <v>8</v>
      </c>
      <c r="R1260">
        <v>7</v>
      </c>
      <c r="S1260">
        <v>0.46666999999999997</v>
      </c>
      <c r="T1260" t="s">
        <v>136</v>
      </c>
      <c r="U1260" t="s">
        <v>152</v>
      </c>
      <c r="V1260" t="s">
        <v>62</v>
      </c>
      <c r="W1260" t="s">
        <v>62</v>
      </c>
      <c r="X1260">
        <v>3</v>
      </c>
      <c r="Y1260">
        <v>8</v>
      </c>
      <c r="Z1260">
        <v>6</v>
      </c>
      <c r="AA1260">
        <v>0.57142999999999999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4</v>
      </c>
      <c r="AH1260">
        <v>2</v>
      </c>
      <c r="AI1260">
        <v>6</v>
      </c>
      <c r="AJ1260">
        <v>5</v>
      </c>
      <c r="AK1260">
        <v>0.54544999999999999</v>
      </c>
      <c r="AL1260">
        <v>12</v>
      </c>
      <c r="AM1260">
        <v>11</v>
      </c>
      <c r="AN1260">
        <v>52</v>
      </c>
      <c r="AO1260">
        <v>11</v>
      </c>
      <c r="AP1260">
        <v>35</v>
      </c>
      <c r="AQ1260">
        <v>3</v>
      </c>
      <c r="AR1260" t="s">
        <v>21221</v>
      </c>
      <c r="AS1260" t="s">
        <v>21222</v>
      </c>
      <c r="AT1260">
        <v>0.77500000000000002</v>
      </c>
      <c r="AU1260" t="s">
        <v>65</v>
      </c>
      <c r="AV1260">
        <v>87</v>
      </c>
      <c r="AW1260">
        <v>14</v>
      </c>
      <c r="AX1260" t="s">
        <v>21223</v>
      </c>
      <c r="AY1260">
        <v>8.9169999999999999E-2</v>
      </c>
      <c r="AZ1260">
        <v>-4.1999999999999997E-3</v>
      </c>
      <c r="BA1260">
        <v>3.3899999999999998E-3</v>
      </c>
      <c r="BB1260">
        <v>-2.1000000000000001E-4</v>
      </c>
      <c r="BC1260">
        <v>3.8039999999999997E-2</v>
      </c>
      <c r="BD1260">
        <v>1</v>
      </c>
      <c r="BE1260" t="s">
        <v>69</v>
      </c>
      <c r="BF1260">
        <v>-0.58199999999999996</v>
      </c>
      <c r="BG1260">
        <v>-1.3320000000000001</v>
      </c>
    </row>
    <row r="1261" spans="1:59">
      <c r="A1261">
        <v>0</v>
      </c>
      <c r="B1261">
        <v>0</v>
      </c>
      <c r="C1261">
        <v>0</v>
      </c>
      <c r="D1261" t="s">
        <v>25022</v>
      </c>
      <c r="E1261">
        <v>388</v>
      </c>
      <c r="F1261" t="s">
        <v>2624</v>
      </c>
      <c r="G1261" t="s">
        <v>57</v>
      </c>
      <c r="H1261">
        <v>434256</v>
      </c>
      <c r="I1261">
        <v>435011</v>
      </c>
      <c r="J1261" t="s">
        <v>2625</v>
      </c>
      <c r="K1261">
        <v>252</v>
      </c>
      <c r="L1261" t="s">
        <v>108</v>
      </c>
      <c r="M1261">
        <v>44</v>
      </c>
      <c r="N1261" t="str">
        <f>HYPERLINK("Gene388-zp_tree_all.dnd", "Gene388-tree")</f>
        <v>Gene388-tree</v>
      </c>
      <c r="O1261">
        <v>8</v>
      </c>
      <c r="P1261">
        <v>5</v>
      </c>
      <c r="Q1261">
        <v>8</v>
      </c>
      <c r="R1261">
        <v>5</v>
      </c>
      <c r="S1261">
        <v>0.38462000000000002</v>
      </c>
      <c r="T1261" t="s">
        <v>136</v>
      </c>
      <c r="U1261" t="s">
        <v>199</v>
      </c>
      <c r="V1261" t="s">
        <v>62</v>
      </c>
      <c r="W1261" t="s">
        <v>62</v>
      </c>
      <c r="X1261">
        <v>0</v>
      </c>
      <c r="Y1261">
        <v>0</v>
      </c>
      <c r="Z1261">
        <v>6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</v>
      </c>
      <c r="AK1261">
        <v>0</v>
      </c>
      <c r="AL1261">
        <v>12</v>
      </c>
      <c r="AM1261">
        <v>7</v>
      </c>
      <c r="AN1261">
        <v>26</v>
      </c>
      <c r="AO1261">
        <v>5</v>
      </c>
      <c r="AP1261">
        <v>17</v>
      </c>
      <c r="AQ1261">
        <v>1</v>
      </c>
      <c r="AR1261" t="s">
        <v>2626</v>
      </c>
      <c r="AS1261" t="s">
        <v>2627</v>
      </c>
      <c r="AT1261">
        <v>0.65500000000000003</v>
      </c>
      <c r="AU1261" t="s">
        <v>65</v>
      </c>
      <c r="AV1261">
        <v>43</v>
      </c>
      <c r="AW1261">
        <v>6</v>
      </c>
      <c r="AX1261" t="s">
        <v>2628</v>
      </c>
      <c r="AY1261">
        <v>6.0089999999999998E-2</v>
      </c>
      <c r="AZ1261">
        <v>-3.1199999999999999E-3</v>
      </c>
      <c r="BA1261">
        <v>2.2200000000000002E-3</v>
      </c>
      <c r="BB1261">
        <v>-1.6000000000000001E-4</v>
      </c>
      <c r="BC1261">
        <v>3.7019999999999997E-2</v>
      </c>
      <c r="BD1261">
        <v>1</v>
      </c>
      <c r="BE1261" t="s">
        <v>69</v>
      </c>
      <c r="BF1261">
        <v>-0.61399999999999999</v>
      </c>
      <c r="BG1261">
        <v>-0.65800000000000003</v>
      </c>
    </row>
    <row r="1262" spans="1:59">
      <c r="A1262">
        <v>0</v>
      </c>
      <c r="B1262">
        <v>2</v>
      </c>
      <c r="C1262">
        <v>2</v>
      </c>
      <c r="D1262" t="s">
        <v>25022</v>
      </c>
      <c r="E1262">
        <v>2566</v>
      </c>
      <c r="F1262" t="s">
        <v>15008</v>
      </c>
      <c r="G1262" t="s">
        <v>62</v>
      </c>
      <c r="H1262">
        <v>2554489</v>
      </c>
      <c r="I1262">
        <v>2555247</v>
      </c>
      <c r="J1262" t="s">
        <v>15009</v>
      </c>
      <c r="K1262">
        <v>253</v>
      </c>
      <c r="L1262" t="s">
        <v>108</v>
      </c>
      <c r="M1262">
        <v>44</v>
      </c>
      <c r="N1262" t="str">
        <f>HYPERLINK("Gene2566-zp_tree_all.dnd", "Gene2566-tree")</f>
        <v>Gene2566-tree</v>
      </c>
      <c r="O1262">
        <v>3</v>
      </c>
      <c r="P1262">
        <v>10</v>
      </c>
      <c r="Q1262">
        <v>3</v>
      </c>
      <c r="R1262">
        <v>10</v>
      </c>
      <c r="S1262">
        <v>0.76922999999999997</v>
      </c>
      <c r="T1262" t="s">
        <v>324</v>
      </c>
      <c r="U1262" t="s">
        <v>117</v>
      </c>
      <c r="V1262" t="s">
        <v>62</v>
      </c>
      <c r="W1262" t="s">
        <v>62</v>
      </c>
      <c r="X1262">
        <v>2</v>
      </c>
      <c r="Y1262">
        <v>4</v>
      </c>
      <c r="Z1262">
        <v>20</v>
      </c>
      <c r="AA1262">
        <v>0.16667000000000001</v>
      </c>
      <c r="AB1262">
        <v>0</v>
      </c>
      <c r="AC1262">
        <v>0</v>
      </c>
      <c r="AD1262">
        <v>0</v>
      </c>
      <c r="AE1262">
        <v>3</v>
      </c>
      <c r="AF1262">
        <v>0</v>
      </c>
      <c r="AG1262">
        <v>0</v>
      </c>
      <c r="AH1262">
        <v>0</v>
      </c>
      <c r="AI1262">
        <v>0</v>
      </c>
      <c r="AJ1262">
        <v>13</v>
      </c>
      <c r="AK1262">
        <v>0</v>
      </c>
      <c r="AL1262">
        <v>9</v>
      </c>
      <c r="AM1262">
        <v>7</v>
      </c>
      <c r="AN1262">
        <v>12</v>
      </c>
      <c r="AO1262">
        <v>12</v>
      </c>
      <c r="AP1262">
        <v>7</v>
      </c>
      <c r="AQ1262">
        <v>12</v>
      </c>
      <c r="AR1262" t="s">
        <v>15010</v>
      </c>
      <c r="AS1262" t="s">
        <v>15011</v>
      </c>
      <c r="AT1262">
        <v>1.05</v>
      </c>
      <c r="AU1262" t="s">
        <v>65</v>
      </c>
      <c r="AV1262">
        <v>19</v>
      </c>
      <c r="AW1262">
        <v>24</v>
      </c>
      <c r="AX1262" t="s">
        <v>15012</v>
      </c>
      <c r="AY1262">
        <v>2.5999999999999999E-2</v>
      </c>
      <c r="AZ1262">
        <v>-1.49E-3</v>
      </c>
      <c r="BA1262">
        <v>9.2899999999999996E-3</v>
      </c>
      <c r="BB1262">
        <v>-5.5000000000000003E-4</v>
      </c>
      <c r="BC1262">
        <v>0.35747000000000001</v>
      </c>
      <c r="BD1262">
        <v>0.99</v>
      </c>
      <c r="BE1262" t="s">
        <v>69</v>
      </c>
      <c r="BF1262">
        <v>-0.86799999999999999</v>
      </c>
      <c r="BG1262">
        <v>-0.85099999999999998</v>
      </c>
    </row>
    <row r="1263" spans="1:59">
      <c r="A1263">
        <v>0</v>
      </c>
      <c r="B1263">
        <v>6</v>
      </c>
      <c r="C1263">
        <v>0</v>
      </c>
      <c r="D1263" t="s">
        <v>25022</v>
      </c>
      <c r="E1263">
        <v>940</v>
      </c>
      <c r="F1263" t="s">
        <v>5889</v>
      </c>
      <c r="G1263" t="s">
        <v>57</v>
      </c>
      <c r="H1263">
        <v>980473</v>
      </c>
      <c r="I1263">
        <v>981231</v>
      </c>
      <c r="J1263" t="s">
        <v>5890</v>
      </c>
      <c r="K1263">
        <v>253</v>
      </c>
      <c r="L1263" t="s">
        <v>465</v>
      </c>
      <c r="M1263">
        <v>46</v>
      </c>
      <c r="N1263" t="str">
        <f>HYPERLINK("Gene940-zp_tree_all.dnd", "Gene940-tree")</f>
        <v>Gene940-tree</v>
      </c>
      <c r="O1263">
        <v>5</v>
      </c>
      <c r="P1263">
        <v>29</v>
      </c>
      <c r="Q1263">
        <v>5</v>
      </c>
      <c r="R1263">
        <v>8</v>
      </c>
      <c r="S1263">
        <v>0.61538000000000004</v>
      </c>
      <c r="T1263" t="s">
        <v>199</v>
      </c>
      <c r="U1263" t="s">
        <v>4745</v>
      </c>
      <c r="V1263">
        <v>3.335</v>
      </c>
      <c r="W1263" t="s">
        <v>65</v>
      </c>
      <c r="X1263">
        <v>3</v>
      </c>
      <c r="Y1263">
        <v>6</v>
      </c>
      <c r="Z1263">
        <v>22</v>
      </c>
      <c r="AA1263">
        <v>0.21429000000000001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15</v>
      </c>
      <c r="AK1263">
        <v>0</v>
      </c>
      <c r="AL1263">
        <v>13</v>
      </c>
      <c r="AM1263">
        <v>8</v>
      </c>
      <c r="AN1263">
        <v>19</v>
      </c>
      <c r="AO1263">
        <v>15</v>
      </c>
      <c r="AP1263">
        <v>25</v>
      </c>
      <c r="AQ1263">
        <v>13</v>
      </c>
      <c r="AR1263" t="s">
        <v>5891</v>
      </c>
      <c r="AS1263" t="s">
        <v>5892</v>
      </c>
      <c r="AT1263">
        <v>0.246</v>
      </c>
      <c r="AU1263" t="s">
        <v>65</v>
      </c>
      <c r="AV1263">
        <v>44</v>
      </c>
      <c r="AW1263">
        <v>28</v>
      </c>
      <c r="AX1263" t="s">
        <v>5893</v>
      </c>
      <c r="AY1263">
        <v>6.3E-2</v>
      </c>
      <c r="AZ1263">
        <v>-6.1500000000000001E-3</v>
      </c>
      <c r="BA1263">
        <v>1.1259999999999999E-2</v>
      </c>
      <c r="BB1263">
        <v>-8.1999999999999998E-4</v>
      </c>
      <c r="BC1263">
        <v>0.17871000000000001</v>
      </c>
      <c r="BD1263">
        <v>1</v>
      </c>
      <c r="BE1263" t="s">
        <v>69</v>
      </c>
      <c r="BF1263">
        <v>-1.345</v>
      </c>
      <c r="BG1263">
        <v>-0.28499999999999998</v>
      </c>
    </row>
    <row r="1264" spans="1:59">
      <c r="A1264">
        <v>0</v>
      </c>
      <c r="B1264">
        <v>5</v>
      </c>
      <c r="C1264">
        <v>0</v>
      </c>
      <c r="D1264" t="s">
        <v>25022</v>
      </c>
      <c r="E1264">
        <v>311</v>
      </c>
      <c r="F1264" t="s">
        <v>2119</v>
      </c>
      <c r="G1264" t="s">
        <v>57</v>
      </c>
      <c r="H1264">
        <v>335329</v>
      </c>
      <c r="I1264">
        <v>336087</v>
      </c>
      <c r="J1264" t="s">
        <v>2120</v>
      </c>
      <c r="K1264">
        <v>253</v>
      </c>
      <c r="L1264" t="s">
        <v>108</v>
      </c>
      <c r="M1264">
        <v>44</v>
      </c>
      <c r="N1264" t="str">
        <f>HYPERLINK("Gene311-zp_tree_all.dnd", "Gene311-tree")</f>
        <v>Gene311-tree</v>
      </c>
      <c r="O1264">
        <v>7</v>
      </c>
      <c r="P1264">
        <v>5</v>
      </c>
      <c r="Q1264">
        <v>7</v>
      </c>
      <c r="R1264">
        <v>5</v>
      </c>
      <c r="S1264">
        <v>0.41666999999999998</v>
      </c>
      <c r="T1264" t="s">
        <v>152</v>
      </c>
      <c r="U1264" t="s">
        <v>199</v>
      </c>
      <c r="V1264" t="s">
        <v>62</v>
      </c>
      <c r="W1264" t="s">
        <v>62</v>
      </c>
      <c r="X1264">
        <v>2</v>
      </c>
      <c r="Y1264">
        <v>5</v>
      </c>
      <c r="Z1264">
        <v>13</v>
      </c>
      <c r="AA1264">
        <v>0.27778000000000003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2</v>
      </c>
      <c r="AH1264">
        <v>0</v>
      </c>
      <c r="AI1264">
        <v>2</v>
      </c>
      <c r="AJ1264">
        <v>7</v>
      </c>
      <c r="AK1264">
        <v>0.22222</v>
      </c>
      <c r="AL1264">
        <v>9</v>
      </c>
      <c r="AM1264">
        <v>7</v>
      </c>
      <c r="AN1264">
        <v>12</v>
      </c>
      <c r="AO1264">
        <v>5</v>
      </c>
      <c r="AP1264">
        <v>25</v>
      </c>
      <c r="AQ1264">
        <v>13</v>
      </c>
      <c r="AR1264" t="s">
        <v>2121</v>
      </c>
      <c r="AS1264" t="s">
        <v>2122</v>
      </c>
      <c r="AT1264">
        <v>0.15</v>
      </c>
      <c r="AU1264" t="s">
        <v>65</v>
      </c>
      <c r="AV1264">
        <v>37</v>
      </c>
      <c r="AW1264">
        <v>18</v>
      </c>
      <c r="AX1264" t="s">
        <v>2123</v>
      </c>
      <c r="AY1264">
        <v>5.7200000000000001E-2</v>
      </c>
      <c r="AZ1264">
        <v>-5.5599999999999998E-3</v>
      </c>
      <c r="BA1264">
        <v>8.5500000000000003E-3</v>
      </c>
      <c r="BB1264">
        <v>-8.8000000000000003E-4</v>
      </c>
      <c r="BC1264">
        <v>0.14940999999999999</v>
      </c>
      <c r="BD1264">
        <v>1</v>
      </c>
      <c r="BE1264" t="s">
        <v>69</v>
      </c>
      <c r="BF1264">
        <v>0.41399999999999998</v>
      </c>
      <c r="BG1264">
        <v>0.98699999999999999</v>
      </c>
    </row>
    <row r="1265" spans="1:59">
      <c r="A1265">
        <v>0</v>
      </c>
      <c r="B1265">
        <v>7</v>
      </c>
      <c r="C1265">
        <v>3</v>
      </c>
      <c r="D1265" t="s">
        <v>25022</v>
      </c>
      <c r="E1265">
        <v>3908</v>
      </c>
      <c r="F1265" t="s">
        <v>22920</v>
      </c>
      <c r="G1265" t="s">
        <v>62</v>
      </c>
      <c r="H1265">
        <v>3872108</v>
      </c>
      <c r="I1265">
        <v>3872866</v>
      </c>
      <c r="J1265" t="s">
        <v>22921</v>
      </c>
      <c r="K1265">
        <v>253</v>
      </c>
      <c r="L1265" t="s">
        <v>108</v>
      </c>
      <c r="M1265">
        <v>44</v>
      </c>
      <c r="N1265" t="str">
        <f>HYPERLINK("Gene3908-zp_tree_all.dnd", "Gene3908-tree")</f>
        <v>Gene3908-tree</v>
      </c>
      <c r="O1265">
        <v>22</v>
      </c>
      <c r="P1265">
        <v>9</v>
      </c>
      <c r="Q1265">
        <v>5</v>
      </c>
      <c r="R1265">
        <v>9</v>
      </c>
      <c r="S1265">
        <v>0.64285999999999999</v>
      </c>
      <c r="T1265" t="s">
        <v>1682</v>
      </c>
      <c r="U1265" t="s">
        <v>135</v>
      </c>
      <c r="V1265" t="s">
        <v>62</v>
      </c>
      <c r="W1265" t="s">
        <v>62</v>
      </c>
      <c r="X1265">
        <v>3</v>
      </c>
      <c r="Y1265">
        <v>10</v>
      </c>
      <c r="Z1265">
        <v>8</v>
      </c>
      <c r="AA1265">
        <v>0.55556000000000005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2</v>
      </c>
      <c r="AI1265">
        <v>2</v>
      </c>
      <c r="AJ1265">
        <v>10</v>
      </c>
      <c r="AK1265">
        <v>0.16667000000000001</v>
      </c>
      <c r="AL1265">
        <v>12</v>
      </c>
      <c r="AM1265">
        <v>8</v>
      </c>
      <c r="AN1265">
        <v>33</v>
      </c>
      <c r="AO1265">
        <v>11</v>
      </c>
      <c r="AP1265">
        <v>17</v>
      </c>
      <c r="AQ1265">
        <v>7</v>
      </c>
      <c r="AR1265" t="s">
        <v>22922</v>
      </c>
      <c r="AS1265" t="s">
        <v>22923</v>
      </c>
      <c r="AT1265">
        <v>0.47699999999999998</v>
      </c>
      <c r="AU1265" t="s">
        <v>65</v>
      </c>
      <c r="AV1265">
        <v>50</v>
      </c>
      <c r="AW1265">
        <v>18</v>
      </c>
      <c r="AX1265" t="s">
        <v>22924</v>
      </c>
      <c r="AY1265">
        <v>5.373E-2</v>
      </c>
      <c r="AZ1265">
        <v>-2.33E-3</v>
      </c>
      <c r="BA1265">
        <v>4.8700000000000002E-3</v>
      </c>
      <c r="BB1265">
        <v>-2.4000000000000001E-4</v>
      </c>
      <c r="BC1265">
        <v>9.0609999999999996E-2</v>
      </c>
      <c r="BD1265">
        <v>1</v>
      </c>
      <c r="BE1265" t="s">
        <v>69</v>
      </c>
      <c r="BF1265">
        <v>-1.0569999999999999</v>
      </c>
      <c r="BG1265">
        <v>-1.7150000000000001</v>
      </c>
    </row>
    <row r="1266" spans="1:59">
      <c r="A1266">
        <v>0</v>
      </c>
      <c r="B1266">
        <v>0</v>
      </c>
      <c r="C1266">
        <v>0</v>
      </c>
      <c r="D1266" t="s">
        <v>25022</v>
      </c>
      <c r="E1266">
        <v>3133</v>
      </c>
      <c r="F1266" t="s">
        <v>18187</v>
      </c>
      <c r="G1266" t="s">
        <v>62</v>
      </c>
      <c r="H1266">
        <v>3088391</v>
      </c>
      <c r="I1266">
        <v>3089149</v>
      </c>
      <c r="J1266" t="s">
        <v>18188</v>
      </c>
      <c r="K1266">
        <v>253</v>
      </c>
      <c r="L1266" t="s">
        <v>108</v>
      </c>
      <c r="M1266">
        <v>44</v>
      </c>
      <c r="N1266" t="str">
        <f>HYPERLINK("Gene3133-zp_tree_all.dnd", "Gene3133-tree")</f>
        <v>Gene3133-tree</v>
      </c>
      <c r="O1266">
        <v>8</v>
      </c>
      <c r="P1266">
        <v>6</v>
      </c>
      <c r="Q1266">
        <v>8</v>
      </c>
      <c r="R1266">
        <v>6</v>
      </c>
      <c r="S1266">
        <v>0.42857000000000001</v>
      </c>
      <c r="T1266" t="s">
        <v>136</v>
      </c>
      <c r="U1266" t="s">
        <v>90</v>
      </c>
      <c r="V1266" t="s">
        <v>62</v>
      </c>
      <c r="W1266" t="s">
        <v>62</v>
      </c>
      <c r="X1266">
        <v>0</v>
      </c>
      <c r="Y1266">
        <v>0</v>
      </c>
      <c r="Z1266">
        <v>10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9</v>
      </c>
      <c r="AK1266">
        <v>0</v>
      </c>
      <c r="AL1266">
        <v>11</v>
      </c>
      <c r="AM1266">
        <v>8</v>
      </c>
      <c r="AN1266">
        <v>13</v>
      </c>
      <c r="AO1266">
        <v>9</v>
      </c>
      <c r="AP1266">
        <v>21</v>
      </c>
      <c r="AQ1266">
        <v>2</v>
      </c>
      <c r="AR1266" t="s">
        <v>18189</v>
      </c>
      <c r="AS1266" t="s">
        <v>18190</v>
      </c>
      <c r="AT1266">
        <v>0.93600000000000005</v>
      </c>
      <c r="AU1266" t="s">
        <v>65</v>
      </c>
      <c r="AV1266">
        <v>34</v>
      </c>
      <c r="AW1266">
        <v>11</v>
      </c>
      <c r="AX1266" t="s">
        <v>18191</v>
      </c>
      <c r="AY1266">
        <v>4.1279999999999997E-2</v>
      </c>
      <c r="AZ1266">
        <v>-1.9E-3</v>
      </c>
      <c r="BA1266">
        <v>3.47E-3</v>
      </c>
      <c r="BB1266">
        <v>-2.7999999999999998E-4</v>
      </c>
      <c r="BC1266">
        <v>8.3960000000000007E-2</v>
      </c>
      <c r="BD1266">
        <v>1</v>
      </c>
      <c r="BE1266" t="s">
        <v>69</v>
      </c>
      <c r="BF1266">
        <v>-0.35799999999999998</v>
      </c>
      <c r="BG1266">
        <v>-0.46100000000000002</v>
      </c>
    </row>
    <row r="1267" spans="1:59">
      <c r="A1267">
        <v>0</v>
      </c>
      <c r="B1267">
        <v>4</v>
      </c>
      <c r="C1267">
        <v>1</v>
      </c>
      <c r="D1267" t="s">
        <v>25022</v>
      </c>
      <c r="E1267">
        <v>3519</v>
      </c>
      <c r="F1267" t="s">
        <v>20606</v>
      </c>
      <c r="G1267" t="s">
        <v>62</v>
      </c>
      <c r="H1267">
        <v>3479408</v>
      </c>
      <c r="I1267">
        <v>3480166</v>
      </c>
      <c r="J1267" t="s">
        <v>20607</v>
      </c>
      <c r="K1267">
        <v>253</v>
      </c>
      <c r="L1267" t="s">
        <v>96</v>
      </c>
      <c r="M1267">
        <v>48</v>
      </c>
      <c r="N1267" t="str">
        <f>HYPERLINK("Gene3519-zp_tree_all.dnd", "Gene3519-tree")</f>
        <v>Gene3519-tree</v>
      </c>
      <c r="O1267">
        <v>11</v>
      </c>
      <c r="P1267">
        <v>3</v>
      </c>
      <c r="Q1267">
        <v>11</v>
      </c>
      <c r="R1267">
        <v>3</v>
      </c>
      <c r="S1267">
        <v>0.21429000000000001</v>
      </c>
      <c r="T1267" t="s">
        <v>73</v>
      </c>
      <c r="U1267" t="s">
        <v>324</v>
      </c>
      <c r="V1267" t="s">
        <v>62</v>
      </c>
      <c r="W1267" t="s">
        <v>62</v>
      </c>
      <c r="X1267">
        <v>2</v>
      </c>
      <c r="Y1267">
        <v>5</v>
      </c>
      <c r="Z1267">
        <v>1</v>
      </c>
      <c r="AA1267">
        <v>0.83333000000000002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3</v>
      </c>
      <c r="AK1267">
        <v>0</v>
      </c>
      <c r="AL1267">
        <v>9</v>
      </c>
      <c r="AM1267">
        <v>7</v>
      </c>
      <c r="AN1267">
        <v>14</v>
      </c>
      <c r="AO1267">
        <v>2</v>
      </c>
      <c r="AP1267">
        <v>16</v>
      </c>
      <c r="AQ1267">
        <v>4</v>
      </c>
      <c r="AR1267" t="s">
        <v>20608</v>
      </c>
      <c r="AS1267" t="s">
        <v>20609</v>
      </c>
      <c r="AT1267">
        <v>0.47799999999999998</v>
      </c>
      <c r="AU1267" t="s">
        <v>65</v>
      </c>
      <c r="AV1267">
        <v>30</v>
      </c>
      <c r="AW1267">
        <v>6</v>
      </c>
      <c r="AX1267" t="s">
        <v>20610</v>
      </c>
      <c r="AY1267">
        <v>4.5330000000000002E-2</v>
      </c>
      <c r="AZ1267">
        <v>-2.8400000000000001E-3</v>
      </c>
      <c r="BA1267">
        <v>2.2599999999999999E-3</v>
      </c>
      <c r="BB1267">
        <v>-1.8000000000000001E-4</v>
      </c>
      <c r="BC1267">
        <v>4.9840000000000002E-2</v>
      </c>
      <c r="BD1267">
        <v>1</v>
      </c>
      <c r="BE1267" t="s">
        <v>69</v>
      </c>
      <c r="BF1267">
        <v>-1.4970000000000001</v>
      </c>
      <c r="BG1267">
        <v>-0.36</v>
      </c>
    </row>
    <row r="1268" spans="1:59">
      <c r="A1268">
        <v>0</v>
      </c>
      <c r="B1268">
        <v>2</v>
      </c>
      <c r="C1268">
        <v>0</v>
      </c>
      <c r="D1268" t="s">
        <v>25022</v>
      </c>
      <c r="E1268">
        <v>2960</v>
      </c>
      <c r="F1268" t="s">
        <v>17073</v>
      </c>
      <c r="G1268" t="s">
        <v>62</v>
      </c>
      <c r="H1268">
        <v>2905574</v>
      </c>
      <c r="I1268">
        <v>2906332</v>
      </c>
      <c r="J1268" t="s">
        <v>17074</v>
      </c>
      <c r="K1268">
        <v>253</v>
      </c>
      <c r="L1268" t="s">
        <v>108</v>
      </c>
      <c r="M1268">
        <v>44</v>
      </c>
      <c r="N1268" t="str">
        <f>HYPERLINK("Gene2960-zp_tree_all.dnd", "Gene2960-tree")</f>
        <v>Gene2960-tree</v>
      </c>
      <c r="O1268">
        <v>10</v>
      </c>
      <c r="P1268">
        <v>2</v>
      </c>
      <c r="Q1268">
        <v>10</v>
      </c>
      <c r="R1268">
        <v>2</v>
      </c>
      <c r="S1268">
        <v>0.16667000000000001</v>
      </c>
      <c r="T1268" t="s">
        <v>117</v>
      </c>
      <c r="U1268" t="s">
        <v>81</v>
      </c>
      <c r="V1268" t="s">
        <v>62</v>
      </c>
      <c r="W1268" t="s">
        <v>62</v>
      </c>
      <c r="X1268">
        <v>1</v>
      </c>
      <c r="Y1268">
        <v>2</v>
      </c>
      <c r="Z1268">
        <v>1</v>
      </c>
      <c r="AA1268">
        <v>0.66666999999999998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</v>
      </c>
      <c r="AK1268">
        <v>0</v>
      </c>
      <c r="AL1268">
        <v>11</v>
      </c>
      <c r="AM1268">
        <v>8</v>
      </c>
      <c r="AN1268">
        <v>20</v>
      </c>
      <c r="AO1268">
        <v>3</v>
      </c>
      <c r="AP1268">
        <v>16</v>
      </c>
      <c r="AQ1268">
        <v>2</v>
      </c>
      <c r="AR1268" t="s">
        <v>17075</v>
      </c>
      <c r="AS1268" t="s">
        <v>17076</v>
      </c>
      <c r="AT1268">
        <v>6.0999999999999999E-2</v>
      </c>
      <c r="AU1268" t="s">
        <v>65</v>
      </c>
      <c r="AV1268">
        <v>36</v>
      </c>
      <c r="AW1268">
        <v>5</v>
      </c>
      <c r="AX1268" t="s">
        <v>17077</v>
      </c>
      <c r="AY1268">
        <v>4.8390000000000002E-2</v>
      </c>
      <c r="AZ1268">
        <v>-2.1099999999999999E-3</v>
      </c>
      <c r="BA1268">
        <v>1.67E-3</v>
      </c>
      <c r="BB1268">
        <v>-2.1000000000000001E-4</v>
      </c>
      <c r="BC1268">
        <v>3.4410000000000003E-2</v>
      </c>
      <c r="BD1268">
        <v>1</v>
      </c>
      <c r="BE1268" t="s">
        <v>69</v>
      </c>
      <c r="BF1268">
        <v>3.5999999999999997E-2</v>
      </c>
      <c r="BG1268">
        <v>-0.112</v>
      </c>
    </row>
    <row r="1269" spans="1:59">
      <c r="A1269">
        <v>0</v>
      </c>
      <c r="B1269">
        <v>0</v>
      </c>
      <c r="C1269">
        <v>0</v>
      </c>
      <c r="D1269" t="s">
        <v>25022</v>
      </c>
      <c r="E1269">
        <v>3153</v>
      </c>
      <c r="F1269" t="s">
        <v>18319</v>
      </c>
      <c r="G1269" t="s">
        <v>62</v>
      </c>
      <c r="H1269">
        <v>3111330</v>
      </c>
      <c r="I1269">
        <v>3112088</v>
      </c>
      <c r="J1269" t="s">
        <v>18320</v>
      </c>
      <c r="K1269">
        <v>253</v>
      </c>
      <c r="L1269" t="s">
        <v>108</v>
      </c>
      <c r="M1269">
        <v>44</v>
      </c>
      <c r="N1269" t="str">
        <f>HYPERLINK("Gene3153-zp_tree_all.dnd", "Gene3153-tree")</f>
        <v>Gene3153-tree</v>
      </c>
      <c r="O1269">
        <v>10</v>
      </c>
      <c r="P1269">
        <v>3</v>
      </c>
      <c r="Q1269">
        <v>10</v>
      </c>
      <c r="R1269">
        <v>3</v>
      </c>
      <c r="S1269">
        <v>0.23077</v>
      </c>
      <c r="T1269" t="s">
        <v>117</v>
      </c>
      <c r="U1269" t="s">
        <v>324</v>
      </c>
      <c r="V1269" t="s">
        <v>62</v>
      </c>
      <c r="W1269" t="s">
        <v>62</v>
      </c>
      <c r="X1269">
        <v>0</v>
      </c>
      <c r="Y1269">
        <v>0</v>
      </c>
      <c r="Z1269">
        <v>5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</v>
      </c>
      <c r="AK1269">
        <v>0</v>
      </c>
      <c r="AL1269">
        <v>11</v>
      </c>
      <c r="AM1269">
        <v>5</v>
      </c>
      <c r="AN1269">
        <v>30</v>
      </c>
      <c r="AO1269">
        <v>5</v>
      </c>
      <c r="AP1269">
        <v>8</v>
      </c>
      <c r="AQ1269">
        <v>0</v>
      </c>
      <c r="AR1269" t="s">
        <v>18321</v>
      </c>
      <c r="AS1269" t="s">
        <v>193</v>
      </c>
      <c r="AT1269">
        <v>0.45800000000000002</v>
      </c>
      <c r="AU1269" t="s">
        <v>65</v>
      </c>
      <c r="AV1269">
        <v>38</v>
      </c>
      <c r="AW1269">
        <v>5</v>
      </c>
      <c r="AX1269" t="s">
        <v>18322</v>
      </c>
      <c r="AY1269">
        <v>5.4030000000000002E-2</v>
      </c>
      <c r="AZ1269">
        <v>-5.7400000000000003E-3</v>
      </c>
      <c r="BA1269">
        <v>1.2999999999999999E-3</v>
      </c>
      <c r="BB1269">
        <v>-1.9000000000000001E-4</v>
      </c>
      <c r="BC1269">
        <v>2.401E-2</v>
      </c>
      <c r="BD1269">
        <v>1</v>
      </c>
      <c r="BE1269" t="s">
        <v>69</v>
      </c>
      <c r="BF1269">
        <v>-1.456</v>
      </c>
      <c r="BG1269">
        <v>-3.9940000000000002</v>
      </c>
    </row>
    <row r="1270" spans="1:59">
      <c r="A1270">
        <v>0</v>
      </c>
      <c r="B1270">
        <v>0</v>
      </c>
      <c r="C1270">
        <v>0</v>
      </c>
      <c r="D1270" t="s">
        <v>25022</v>
      </c>
      <c r="E1270">
        <v>4249</v>
      </c>
      <c r="F1270" t="s">
        <v>24958</v>
      </c>
      <c r="G1270" t="s">
        <v>62</v>
      </c>
      <c r="H1270">
        <v>4206400</v>
      </c>
      <c r="I1270">
        <v>4207158</v>
      </c>
      <c r="J1270" t="s">
        <v>24959</v>
      </c>
      <c r="K1270">
        <v>253</v>
      </c>
      <c r="L1270" t="s">
        <v>125</v>
      </c>
      <c r="M1270">
        <v>48</v>
      </c>
      <c r="N1270" t="str">
        <f>HYPERLINK("Gene4249-zp_tree_all.dnd", "Gene4249-tree")</f>
        <v>Gene4249-tree</v>
      </c>
      <c r="O1270">
        <v>13</v>
      </c>
      <c r="P1270">
        <v>0</v>
      </c>
      <c r="Q1270">
        <v>13</v>
      </c>
      <c r="R1270">
        <v>0</v>
      </c>
      <c r="S1270">
        <v>0</v>
      </c>
      <c r="T1270" t="s">
        <v>507</v>
      </c>
      <c r="U1270" t="s">
        <v>62</v>
      </c>
      <c r="V1270" t="s">
        <v>62</v>
      </c>
      <c r="W1270" t="s">
        <v>62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8</v>
      </c>
      <c r="AM1270">
        <v>7</v>
      </c>
      <c r="AN1270">
        <v>13</v>
      </c>
      <c r="AO1270">
        <v>0</v>
      </c>
      <c r="AP1270">
        <v>41</v>
      </c>
      <c r="AQ1270">
        <v>0</v>
      </c>
      <c r="AR1270" t="s">
        <v>193</v>
      </c>
      <c r="AS1270" t="s">
        <v>193</v>
      </c>
      <c r="AT1270">
        <v>0</v>
      </c>
      <c r="AU1270" t="s">
        <v>65</v>
      </c>
      <c r="AV1270">
        <v>54</v>
      </c>
      <c r="AW1270">
        <v>0</v>
      </c>
      <c r="AX1270" t="s">
        <v>24960</v>
      </c>
      <c r="AY1270">
        <v>0.10072</v>
      </c>
      <c r="AZ1270">
        <v>-9.6799999999999994E-3</v>
      </c>
      <c r="BA1270">
        <v>0</v>
      </c>
      <c r="BB1270">
        <v>0</v>
      </c>
      <c r="BC1270">
        <v>0</v>
      </c>
      <c r="BD1270">
        <v>1</v>
      </c>
      <c r="BE1270" t="s">
        <v>69</v>
      </c>
      <c r="BF1270">
        <v>-1.119</v>
      </c>
      <c r="BG1270">
        <v>1.19</v>
      </c>
    </row>
    <row r="1271" spans="1:59">
      <c r="A1271">
        <v>0</v>
      </c>
      <c r="B1271">
        <v>10</v>
      </c>
      <c r="C1271">
        <v>2</v>
      </c>
      <c r="D1271" t="s">
        <v>25022</v>
      </c>
      <c r="E1271">
        <v>652</v>
      </c>
      <c r="F1271" t="s">
        <v>4049</v>
      </c>
      <c r="G1271" t="s">
        <v>57</v>
      </c>
      <c r="H1271">
        <v>673019</v>
      </c>
      <c r="I1271">
        <v>673780</v>
      </c>
      <c r="J1271" t="s">
        <v>4002</v>
      </c>
      <c r="K1271">
        <v>254</v>
      </c>
      <c r="L1271" t="s">
        <v>4005</v>
      </c>
      <c r="M1271">
        <v>42</v>
      </c>
      <c r="N1271" t="str">
        <f>HYPERLINK("Gene652-zp_tree_all.dnd", "Gene652-tree")</f>
        <v>Gene652-tree</v>
      </c>
      <c r="O1271">
        <v>2</v>
      </c>
      <c r="P1271">
        <v>28</v>
      </c>
      <c r="Q1271">
        <v>2</v>
      </c>
      <c r="R1271">
        <v>11</v>
      </c>
      <c r="S1271">
        <v>0.84614999999999996</v>
      </c>
      <c r="T1271" t="s">
        <v>81</v>
      </c>
      <c r="U1271" t="s">
        <v>4050</v>
      </c>
      <c r="V1271">
        <v>0.67300000000000004</v>
      </c>
      <c r="W1271" t="s">
        <v>65</v>
      </c>
      <c r="X1271">
        <v>5</v>
      </c>
      <c r="Y1271">
        <v>12</v>
      </c>
      <c r="Z1271">
        <v>21</v>
      </c>
      <c r="AA1271">
        <v>0.36364000000000002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6</v>
      </c>
      <c r="AH1271">
        <v>2</v>
      </c>
      <c r="AI1271">
        <v>8</v>
      </c>
      <c r="AJ1271">
        <v>13</v>
      </c>
      <c r="AK1271">
        <v>0.38095000000000001</v>
      </c>
      <c r="AL1271">
        <v>12</v>
      </c>
      <c r="AM1271">
        <v>7</v>
      </c>
      <c r="AN1271">
        <v>30</v>
      </c>
      <c r="AO1271">
        <v>21</v>
      </c>
      <c r="AP1271">
        <v>21</v>
      </c>
      <c r="AQ1271">
        <v>12</v>
      </c>
      <c r="AR1271" t="s">
        <v>4051</v>
      </c>
      <c r="AS1271" t="s">
        <v>4052</v>
      </c>
      <c r="AT1271">
        <v>0.13</v>
      </c>
      <c r="AU1271" t="s">
        <v>65</v>
      </c>
      <c r="AV1271">
        <v>51</v>
      </c>
      <c r="AW1271">
        <v>33</v>
      </c>
      <c r="AX1271" t="s">
        <v>4053</v>
      </c>
      <c r="AY1271">
        <v>5.7500000000000002E-2</v>
      </c>
      <c r="AZ1271">
        <v>-3.7799999999999999E-3</v>
      </c>
      <c r="BA1271">
        <v>1.089E-2</v>
      </c>
      <c r="BB1271">
        <v>-8.5999999999999998E-4</v>
      </c>
      <c r="BC1271">
        <v>0.18936</v>
      </c>
      <c r="BD1271">
        <v>1</v>
      </c>
      <c r="BE1271" t="s">
        <v>69</v>
      </c>
      <c r="BF1271">
        <v>-0.52300000000000002</v>
      </c>
      <c r="BG1271">
        <v>0.20599999999999999</v>
      </c>
    </row>
    <row r="1272" spans="1:59">
      <c r="A1272">
        <v>0</v>
      </c>
      <c r="B1272">
        <v>18</v>
      </c>
      <c r="C1272">
        <v>0</v>
      </c>
      <c r="D1272" t="s">
        <v>25022</v>
      </c>
      <c r="E1272">
        <v>3600</v>
      </c>
      <c r="F1272" t="s">
        <v>21139</v>
      </c>
      <c r="G1272" t="s">
        <v>62</v>
      </c>
      <c r="H1272">
        <v>3568530</v>
      </c>
      <c r="I1272">
        <v>3569291</v>
      </c>
      <c r="J1272" t="s">
        <v>21140</v>
      </c>
      <c r="K1272">
        <v>254</v>
      </c>
      <c r="L1272" t="s">
        <v>108</v>
      </c>
      <c r="M1272">
        <v>44</v>
      </c>
      <c r="N1272" t="str">
        <f>HYPERLINK("Gene3600-zp_tree_all.dnd", "Gene3600-tree")</f>
        <v>Gene3600-tree</v>
      </c>
      <c r="O1272">
        <v>7</v>
      </c>
      <c r="P1272">
        <v>7</v>
      </c>
      <c r="Q1272">
        <v>7</v>
      </c>
      <c r="R1272">
        <v>7</v>
      </c>
      <c r="S1272">
        <v>0.5</v>
      </c>
      <c r="T1272" t="s">
        <v>152</v>
      </c>
      <c r="U1272" t="s">
        <v>152</v>
      </c>
      <c r="V1272" t="s">
        <v>62</v>
      </c>
      <c r="W1272" t="s">
        <v>62</v>
      </c>
      <c r="X1272">
        <v>7</v>
      </c>
      <c r="Y1272">
        <v>18</v>
      </c>
      <c r="Z1272">
        <v>12</v>
      </c>
      <c r="AA1272">
        <v>0.6</v>
      </c>
      <c r="AB1272">
        <v>0</v>
      </c>
      <c r="AC1272">
        <v>0</v>
      </c>
      <c r="AD1272">
        <v>0</v>
      </c>
      <c r="AE1272">
        <v>3</v>
      </c>
      <c r="AF1272">
        <v>0</v>
      </c>
      <c r="AG1272">
        <v>5</v>
      </c>
      <c r="AH1272">
        <v>0</v>
      </c>
      <c r="AI1272">
        <v>5</v>
      </c>
      <c r="AJ1272">
        <v>13</v>
      </c>
      <c r="AK1272">
        <v>0.27778000000000003</v>
      </c>
      <c r="AL1272">
        <v>12</v>
      </c>
      <c r="AM1272">
        <v>8</v>
      </c>
      <c r="AN1272">
        <v>45</v>
      </c>
      <c r="AO1272">
        <v>18</v>
      </c>
      <c r="AP1272">
        <v>12</v>
      </c>
      <c r="AQ1272">
        <v>12</v>
      </c>
      <c r="AR1272" t="s">
        <v>21141</v>
      </c>
      <c r="AS1272" t="s">
        <v>21142</v>
      </c>
      <c r="AT1272">
        <v>1.899</v>
      </c>
      <c r="AU1272" t="s">
        <v>65</v>
      </c>
      <c r="AV1272">
        <v>57</v>
      </c>
      <c r="AW1272">
        <v>30</v>
      </c>
      <c r="AX1272" t="s">
        <v>21143</v>
      </c>
      <c r="AY1272">
        <v>5.6300000000000003E-2</v>
      </c>
      <c r="AZ1272">
        <v>-2.1700000000000001E-3</v>
      </c>
      <c r="BA1272">
        <v>9.4500000000000001E-3</v>
      </c>
      <c r="BB1272">
        <v>-5.8E-4</v>
      </c>
      <c r="BC1272">
        <v>0.16793</v>
      </c>
      <c r="BD1272">
        <v>1</v>
      </c>
      <c r="BE1272" t="s">
        <v>69</v>
      </c>
      <c r="BF1272">
        <v>7.9000000000000001E-2</v>
      </c>
      <c r="BG1272">
        <v>-0.35399999999999998</v>
      </c>
    </row>
    <row r="1273" spans="1:59">
      <c r="A1273">
        <v>0</v>
      </c>
      <c r="B1273">
        <v>0</v>
      </c>
      <c r="C1273">
        <v>0</v>
      </c>
      <c r="D1273" t="s">
        <v>25022</v>
      </c>
      <c r="E1273">
        <v>518</v>
      </c>
      <c r="F1273" t="s">
        <v>3353</v>
      </c>
      <c r="G1273" t="s">
        <v>57</v>
      </c>
      <c r="H1273">
        <v>553711</v>
      </c>
      <c r="I1273">
        <v>554472</v>
      </c>
      <c r="J1273" t="s">
        <v>3354</v>
      </c>
      <c r="K1273">
        <v>254</v>
      </c>
      <c r="L1273" t="s">
        <v>3340</v>
      </c>
      <c r="M1273">
        <v>24</v>
      </c>
      <c r="N1273" t="str">
        <f>HYPERLINK("Gene518-zp_tree_all.dnd", "Gene518-tree")</f>
        <v>Gene518-tree</v>
      </c>
      <c r="O1273">
        <v>1</v>
      </c>
      <c r="P1273">
        <v>4</v>
      </c>
      <c r="Q1273">
        <v>1</v>
      </c>
      <c r="R1273">
        <v>4</v>
      </c>
      <c r="S1273">
        <v>0.8</v>
      </c>
      <c r="T1273" t="s">
        <v>175</v>
      </c>
      <c r="U1273" t="s">
        <v>61</v>
      </c>
      <c r="V1273" t="s">
        <v>62</v>
      </c>
      <c r="W1273" t="s">
        <v>62</v>
      </c>
      <c r="X1273">
        <v>0</v>
      </c>
      <c r="Y1273">
        <v>0</v>
      </c>
      <c r="Z1273">
        <v>10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9</v>
      </c>
      <c r="AK1273">
        <v>0</v>
      </c>
      <c r="AL1273">
        <v>5</v>
      </c>
      <c r="AM1273">
        <v>2</v>
      </c>
      <c r="AN1273">
        <v>14</v>
      </c>
      <c r="AO1273">
        <v>10</v>
      </c>
      <c r="AP1273">
        <v>6</v>
      </c>
      <c r="AQ1273">
        <v>1</v>
      </c>
      <c r="AR1273" t="s">
        <v>3355</v>
      </c>
      <c r="AS1273" t="s">
        <v>3356</v>
      </c>
      <c r="AT1273">
        <v>0.79500000000000004</v>
      </c>
      <c r="AU1273" t="s">
        <v>65</v>
      </c>
      <c r="AV1273">
        <v>20</v>
      </c>
      <c r="AW1273">
        <v>11</v>
      </c>
      <c r="AX1273" t="s">
        <v>3357</v>
      </c>
      <c r="AY1273">
        <v>5.527E-2</v>
      </c>
      <c r="AZ1273">
        <v>-1.069E-2</v>
      </c>
      <c r="BA1273">
        <v>7.7099999999999998E-3</v>
      </c>
      <c r="BB1273">
        <v>-1.17E-3</v>
      </c>
      <c r="BC1273">
        <v>0.13951</v>
      </c>
      <c r="BD1273">
        <v>1</v>
      </c>
      <c r="BE1273" t="s">
        <v>69</v>
      </c>
      <c r="BF1273">
        <v>-2.198</v>
      </c>
      <c r="BG1273">
        <v>-3.0910000000000002</v>
      </c>
    </row>
    <row r="1274" spans="1:59">
      <c r="A1274">
        <v>0</v>
      </c>
      <c r="B1274">
        <v>2</v>
      </c>
      <c r="C1274">
        <v>0</v>
      </c>
      <c r="D1274" t="s">
        <v>25022</v>
      </c>
      <c r="E1274">
        <v>2778</v>
      </c>
      <c r="F1274" t="s">
        <v>15949</v>
      </c>
      <c r="G1274" t="s">
        <v>62</v>
      </c>
      <c r="H1274">
        <v>2728979</v>
      </c>
      <c r="I1274">
        <v>2729740</v>
      </c>
      <c r="J1274" t="s">
        <v>15943</v>
      </c>
      <c r="K1274">
        <v>254</v>
      </c>
      <c r="L1274" t="s">
        <v>7189</v>
      </c>
      <c r="M1274">
        <v>38</v>
      </c>
      <c r="N1274" t="str">
        <f>HYPERLINK("Gene2778-zp_tree_all.dnd", "Gene2778-tree")</f>
        <v>Gene2778-tree</v>
      </c>
      <c r="O1274">
        <v>6</v>
      </c>
      <c r="P1274">
        <v>5</v>
      </c>
      <c r="Q1274">
        <v>6</v>
      </c>
      <c r="R1274">
        <v>5</v>
      </c>
      <c r="S1274">
        <v>0.45455000000000001</v>
      </c>
      <c r="T1274" t="s">
        <v>90</v>
      </c>
      <c r="U1274" t="s">
        <v>199</v>
      </c>
      <c r="V1274" t="s">
        <v>62</v>
      </c>
      <c r="W1274" t="s">
        <v>62</v>
      </c>
      <c r="X1274">
        <v>1</v>
      </c>
      <c r="Y1274">
        <v>2</v>
      </c>
      <c r="Z1274">
        <v>7</v>
      </c>
      <c r="AA1274">
        <v>0.22222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6</v>
      </c>
      <c r="AK1274">
        <v>0</v>
      </c>
      <c r="AL1274">
        <v>9</v>
      </c>
      <c r="AM1274">
        <v>7</v>
      </c>
      <c r="AN1274">
        <v>14</v>
      </c>
      <c r="AO1274">
        <v>5</v>
      </c>
      <c r="AP1274">
        <v>9</v>
      </c>
      <c r="AQ1274">
        <v>4</v>
      </c>
      <c r="AR1274" t="s">
        <v>15950</v>
      </c>
      <c r="AS1274" t="s">
        <v>15951</v>
      </c>
      <c r="AT1274">
        <v>0.251</v>
      </c>
      <c r="AU1274" t="s">
        <v>65</v>
      </c>
      <c r="AV1274">
        <v>23</v>
      </c>
      <c r="AW1274">
        <v>9</v>
      </c>
      <c r="AX1274" t="s">
        <v>15952</v>
      </c>
      <c r="AY1274">
        <v>3.3590000000000002E-2</v>
      </c>
      <c r="AZ1274">
        <v>-1.7600000000000001E-3</v>
      </c>
      <c r="BA1274">
        <v>4.0699999999999998E-3</v>
      </c>
      <c r="BB1274">
        <v>-2.9999999999999997E-4</v>
      </c>
      <c r="BC1274">
        <v>0.12126000000000001</v>
      </c>
      <c r="BD1274">
        <v>1</v>
      </c>
      <c r="BE1274" t="s">
        <v>69</v>
      </c>
      <c r="BF1274">
        <v>-0.34499999999999997</v>
      </c>
      <c r="BG1274">
        <v>-0.88900000000000001</v>
      </c>
    </row>
    <row r="1275" spans="1:59">
      <c r="A1275">
        <v>0</v>
      </c>
      <c r="B1275">
        <v>2</v>
      </c>
      <c r="C1275">
        <v>0</v>
      </c>
      <c r="D1275" t="s">
        <v>25022</v>
      </c>
      <c r="E1275">
        <v>1637</v>
      </c>
      <c r="F1275" t="s">
        <v>10258</v>
      </c>
      <c r="G1275" t="s">
        <v>57</v>
      </c>
      <c r="H1275">
        <v>1650384</v>
      </c>
      <c r="I1275">
        <v>1651145</v>
      </c>
      <c r="J1275" t="s">
        <v>10259</v>
      </c>
      <c r="K1275">
        <v>254</v>
      </c>
      <c r="L1275" t="s">
        <v>394</v>
      </c>
      <c r="M1275">
        <v>48</v>
      </c>
      <c r="N1275" t="str">
        <f>HYPERLINK("Gene1637-zp_tree_all.dnd", "Gene1637-tree")</f>
        <v>Gene1637-tree</v>
      </c>
      <c r="O1275">
        <v>8</v>
      </c>
      <c r="P1275">
        <v>6</v>
      </c>
      <c r="Q1275">
        <v>8</v>
      </c>
      <c r="R1275">
        <v>6</v>
      </c>
      <c r="S1275">
        <v>0.42857000000000001</v>
      </c>
      <c r="T1275" t="s">
        <v>136</v>
      </c>
      <c r="U1275" t="s">
        <v>90</v>
      </c>
      <c r="V1275" t="s">
        <v>62</v>
      </c>
      <c r="W1275" t="s">
        <v>62</v>
      </c>
      <c r="X1275">
        <v>1</v>
      </c>
      <c r="Y1275">
        <v>2</v>
      </c>
      <c r="Z1275">
        <v>14</v>
      </c>
      <c r="AA1275">
        <v>0.125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2</v>
      </c>
      <c r="AH1275">
        <v>0</v>
      </c>
      <c r="AI1275">
        <v>2</v>
      </c>
      <c r="AJ1275">
        <v>5</v>
      </c>
      <c r="AK1275">
        <v>0.28571000000000002</v>
      </c>
      <c r="AL1275">
        <v>11</v>
      </c>
      <c r="AM1275">
        <v>10</v>
      </c>
      <c r="AN1275">
        <v>39</v>
      </c>
      <c r="AO1275">
        <v>5</v>
      </c>
      <c r="AP1275">
        <v>32</v>
      </c>
      <c r="AQ1275">
        <v>12</v>
      </c>
      <c r="AR1275" t="s">
        <v>10260</v>
      </c>
      <c r="AS1275" t="s">
        <v>10261</v>
      </c>
      <c r="AT1275">
        <v>0.628</v>
      </c>
      <c r="AU1275" t="s">
        <v>65</v>
      </c>
      <c r="AV1275">
        <v>71</v>
      </c>
      <c r="AW1275">
        <v>17</v>
      </c>
      <c r="AX1275" t="s">
        <v>10262</v>
      </c>
      <c r="AY1275">
        <v>9.6560000000000007E-2</v>
      </c>
      <c r="AZ1275">
        <v>-6.3499999999999997E-3</v>
      </c>
      <c r="BA1275">
        <v>9.5099999999999994E-3</v>
      </c>
      <c r="BB1275">
        <v>-6.8000000000000005E-4</v>
      </c>
      <c r="BC1275">
        <v>9.851E-2</v>
      </c>
      <c r="BD1275">
        <v>1</v>
      </c>
      <c r="BE1275" t="s">
        <v>69</v>
      </c>
      <c r="BF1275">
        <v>-1.1000000000000001</v>
      </c>
      <c r="BG1275">
        <v>-1.04</v>
      </c>
    </row>
    <row r="1276" spans="1:59">
      <c r="A1276">
        <v>0</v>
      </c>
      <c r="B1276">
        <v>7</v>
      </c>
      <c r="C1276">
        <v>1</v>
      </c>
      <c r="D1276" t="s">
        <v>25022</v>
      </c>
      <c r="E1276">
        <v>853</v>
      </c>
      <c r="F1276" t="s">
        <v>5328</v>
      </c>
      <c r="G1276" t="s">
        <v>57</v>
      </c>
      <c r="H1276">
        <v>891436</v>
      </c>
      <c r="I1276">
        <v>892197</v>
      </c>
      <c r="J1276" t="s">
        <v>5329</v>
      </c>
      <c r="K1276">
        <v>254</v>
      </c>
      <c r="L1276" t="s">
        <v>394</v>
      </c>
      <c r="M1276">
        <v>48</v>
      </c>
      <c r="N1276" t="str">
        <f>HYPERLINK("Gene853-zp_tree_all.dnd", "Gene853-tree")</f>
        <v>Gene853-tree</v>
      </c>
      <c r="O1276">
        <v>8</v>
      </c>
      <c r="P1276">
        <v>9</v>
      </c>
      <c r="Q1276">
        <v>8</v>
      </c>
      <c r="R1276">
        <v>9</v>
      </c>
      <c r="S1276">
        <v>0.52941000000000005</v>
      </c>
      <c r="T1276" t="s">
        <v>136</v>
      </c>
      <c r="U1276" t="s">
        <v>135</v>
      </c>
      <c r="V1276" t="s">
        <v>62</v>
      </c>
      <c r="W1276" t="s">
        <v>62</v>
      </c>
      <c r="X1276">
        <v>3</v>
      </c>
      <c r="Y1276">
        <v>8</v>
      </c>
      <c r="Z1276">
        <v>15</v>
      </c>
      <c r="AA1276">
        <v>0.34782999999999997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</v>
      </c>
      <c r="AH1276">
        <v>0</v>
      </c>
      <c r="AI1276">
        <v>2</v>
      </c>
      <c r="AJ1276">
        <v>11</v>
      </c>
      <c r="AK1276">
        <v>0.15384999999999999</v>
      </c>
      <c r="AL1276">
        <v>16</v>
      </c>
      <c r="AM1276">
        <v>14</v>
      </c>
      <c r="AN1276">
        <v>37</v>
      </c>
      <c r="AO1276">
        <v>13</v>
      </c>
      <c r="AP1276">
        <v>46</v>
      </c>
      <c r="AQ1276">
        <v>11</v>
      </c>
      <c r="AR1276" t="s">
        <v>5330</v>
      </c>
      <c r="AS1276" t="s">
        <v>5331</v>
      </c>
      <c r="AT1276">
        <v>0.30599999999999999</v>
      </c>
      <c r="AU1276" t="s">
        <v>65</v>
      </c>
      <c r="AV1276">
        <v>83</v>
      </c>
      <c r="AW1276">
        <v>24</v>
      </c>
      <c r="AX1276" t="s">
        <v>5332</v>
      </c>
      <c r="AY1276">
        <v>0.10434</v>
      </c>
      <c r="AZ1276">
        <v>-5.7400000000000003E-3</v>
      </c>
      <c r="BA1276">
        <v>7.7799999999999996E-3</v>
      </c>
      <c r="BB1276">
        <v>-4.4000000000000002E-4</v>
      </c>
      <c r="BC1276">
        <v>7.4569999999999997E-2</v>
      </c>
      <c r="BD1276">
        <v>1</v>
      </c>
      <c r="BE1276" t="s">
        <v>69</v>
      </c>
      <c r="BF1276">
        <v>-1.325</v>
      </c>
      <c r="BG1276">
        <v>-0.92300000000000004</v>
      </c>
    </row>
    <row r="1277" spans="1:59">
      <c r="A1277">
        <v>0</v>
      </c>
      <c r="B1277">
        <v>4</v>
      </c>
      <c r="C1277">
        <v>2</v>
      </c>
      <c r="D1277" t="s">
        <v>25022</v>
      </c>
      <c r="E1277">
        <v>764</v>
      </c>
      <c r="F1277" t="s">
        <v>4743</v>
      </c>
      <c r="G1277" t="s">
        <v>57</v>
      </c>
      <c r="H1277">
        <v>798469</v>
      </c>
      <c r="I1277">
        <v>799230</v>
      </c>
      <c r="J1277" t="s">
        <v>4744</v>
      </c>
      <c r="K1277">
        <v>254</v>
      </c>
      <c r="L1277" t="s">
        <v>59</v>
      </c>
      <c r="M1277">
        <v>49</v>
      </c>
      <c r="N1277" t="str">
        <f>HYPERLINK("Gene764-zp_tree_all.dnd", "Gene764-tree")</f>
        <v>Gene764-tree</v>
      </c>
      <c r="O1277">
        <v>8</v>
      </c>
      <c r="P1277">
        <v>29</v>
      </c>
      <c r="Q1277">
        <v>8</v>
      </c>
      <c r="R1277">
        <v>8</v>
      </c>
      <c r="S1277">
        <v>0.5</v>
      </c>
      <c r="T1277" t="s">
        <v>136</v>
      </c>
      <c r="U1277" t="s">
        <v>4745</v>
      </c>
      <c r="V1277">
        <v>3.9870000000000001</v>
      </c>
      <c r="W1277" t="s">
        <v>65</v>
      </c>
      <c r="X1277">
        <v>3</v>
      </c>
      <c r="Y1277">
        <v>6</v>
      </c>
      <c r="Z1277">
        <v>11</v>
      </c>
      <c r="AA1277">
        <v>0.35293999999999998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13</v>
      </c>
      <c r="AK1277">
        <v>0</v>
      </c>
      <c r="AL1277">
        <v>12</v>
      </c>
      <c r="AM1277">
        <v>12</v>
      </c>
      <c r="AN1277">
        <v>29</v>
      </c>
      <c r="AO1277">
        <v>10</v>
      </c>
      <c r="AP1277">
        <v>39</v>
      </c>
      <c r="AQ1277">
        <v>7</v>
      </c>
      <c r="AR1277" t="s">
        <v>4746</v>
      </c>
      <c r="AS1277" t="s">
        <v>4747</v>
      </c>
      <c r="AT1277">
        <v>0.68100000000000005</v>
      </c>
      <c r="AU1277" t="s">
        <v>65</v>
      </c>
      <c r="AV1277">
        <v>68</v>
      </c>
      <c r="AW1277">
        <v>17</v>
      </c>
      <c r="AX1277" t="s">
        <v>4748</v>
      </c>
      <c r="AY1277">
        <v>9.4439999999999996E-2</v>
      </c>
      <c r="AZ1277">
        <v>-4.3800000000000002E-3</v>
      </c>
      <c r="BA1277">
        <v>6.0400000000000002E-3</v>
      </c>
      <c r="BB1277">
        <v>-3.2000000000000003E-4</v>
      </c>
      <c r="BC1277">
        <v>6.3930000000000001E-2</v>
      </c>
      <c r="BD1277">
        <v>1</v>
      </c>
      <c r="BE1277" t="s">
        <v>69</v>
      </c>
      <c r="BF1277">
        <v>-0.78800000000000003</v>
      </c>
      <c r="BG1277">
        <v>-0.254</v>
      </c>
    </row>
    <row r="1278" spans="1:59">
      <c r="A1278">
        <v>0</v>
      </c>
      <c r="B1278">
        <v>0</v>
      </c>
      <c r="C1278">
        <v>0</v>
      </c>
      <c r="D1278" t="s">
        <v>25022</v>
      </c>
      <c r="E1278">
        <v>1462</v>
      </c>
      <c r="F1278" t="s">
        <v>9158</v>
      </c>
      <c r="G1278" t="s">
        <v>57</v>
      </c>
      <c r="H1278">
        <v>1478072</v>
      </c>
      <c r="I1278">
        <v>1478833</v>
      </c>
      <c r="J1278" t="s">
        <v>9159</v>
      </c>
      <c r="K1278">
        <v>254</v>
      </c>
      <c r="L1278" t="s">
        <v>265</v>
      </c>
      <c r="M1278">
        <v>43</v>
      </c>
      <c r="N1278" t="str">
        <f>HYPERLINK("Gene1462-zp_tree_all.dnd", "Gene1462-tree")</f>
        <v>Gene1462-tree</v>
      </c>
      <c r="O1278">
        <v>9</v>
      </c>
      <c r="P1278">
        <v>3</v>
      </c>
      <c r="Q1278">
        <v>9</v>
      </c>
      <c r="R1278">
        <v>3</v>
      </c>
      <c r="S1278">
        <v>0.25</v>
      </c>
      <c r="T1278" t="s">
        <v>135</v>
      </c>
      <c r="U1278" t="s">
        <v>324</v>
      </c>
      <c r="V1278" t="s">
        <v>62</v>
      </c>
      <c r="W1278" t="s">
        <v>62</v>
      </c>
      <c r="X1278">
        <v>0</v>
      </c>
      <c r="Y1278">
        <v>0</v>
      </c>
      <c r="Z1278">
        <v>7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5</v>
      </c>
      <c r="AK1278">
        <v>0</v>
      </c>
      <c r="AL1278">
        <v>9</v>
      </c>
      <c r="AM1278">
        <v>7</v>
      </c>
      <c r="AN1278">
        <v>17</v>
      </c>
      <c r="AO1278">
        <v>5</v>
      </c>
      <c r="AP1278">
        <v>12</v>
      </c>
      <c r="AQ1278">
        <v>2</v>
      </c>
      <c r="AR1278" t="s">
        <v>9160</v>
      </c>
      <c r="AS1278" t="s">
        <v>9161</v>
      </c>
      <c r="AT1278">
        <v>0.33800000000000002</v>
      </c>
      <c r="AU1278" t="s">
        <v>65</v>
      </c>
      <c r="AV1278">
        <v>29</v>
      </c>
      <c r="AW1278">
        <v>7</v>
      </c>
      <c r="AX1278" t="s">
        <v>9162</v>
      </c>
      <c r="AY1278">
        <v>4.258E-2</v>
      </c>
      <c r="AZ1278">
        <v>-2.2899999999999999E-3</v>
      </c>
      <c r="BA1278">
        <v>2.65E-3</v>
      </c>
      <c r="BB1278">
        <v>-3.2000000000000003E-4</v>
      </c>
      <c r="BC1278">
        <v>6.2260000000000003E-2</v>
      </c>
      <c r="BD1278">
        <v>1</v>
      </c>
      <c r="BE1278" t="s">
        <v>69</v>
      </c>
      <c r="BF1278">
        <v>-1.365</v>
      </c>
      <c r="BG1278">
        <v>-1.0649999999999999</v>
      </c>
    </row>
    <row r="1279" spans="1:59">
      <c r="A1279">
        <v>0</v>
      </c>
      <c r="B1279">
        <v>4</v>
      </c>
      <c r="C1279">
        <v>3</v>
      </c>
      <c r="D1279" t="s">
        <v>25022</v>
      </c>
      <c r="E1279">
        <v>2868</v>
      </c>
      <c r="F1279" t="s">
        <v>16485</v>
      </c>
      <c r="G1279" t="s">
        <v>62</v>
      </c>
      <c r="H1279">
        <v>2813646</v>
      </c>
      <c r="I1279">
        <v>2814407</v>
      </c>
      <c r="J1279" t="s">
        <v>16486</v>
      </c>
      <c r="K1279">
        <v>254</v>
      </c>
      <c r="L1279" t="s">
        <v>108</v>
      </c>
      <c r="M1279">
        <v>44</v>
      </c>
      <c r="N1279" t="str">
        <f>HYPERLINK("Gene2868-zp_tree_all.dnd", "Gene2868-tree")</f>
        <v>Gene2868-tree</v>
      </c>
      <c r="O1279">
        <v>6</v>
      </c>
      <c r="P1279">
        <v>23</v>
      </c>
      <c r="Q1279">
        <v>6</v>
      </c>
      <c r="R1279">
        <v>6</v>
      </c>
      <c r="S1279">
        <v>0.5</v>
      </c>
      <c r="T1279" t="s">
        <v>90</v>
      </c>
      <c r="U1279" t="s">
        <v>3589</v>
      </c>
      <c r="V1279">
        <v>3.581</v>
      </c>
      <c r="W1279" t="s">
        <v>65</v>
      </c>
      <c r="X1279">
        <v>3</v>
      </c>
      <c r="Y1279">
        <v>7</v>
      </c>
      <c r="Z1279">
        <v>2</v>
      </c>
      <c r="AA1279">
        <v>0.77778000000000003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4</v>
      </c>
      <c r="AI1279">
        <v>4</v>
      </c>
      <c r="AJ1279">
        <v>3</v>
      </c>
      <c r="AK1279">
        <v>0.57142999999999999</v>
      </c>
      <c r="AL1279">
        <v>11</v>
      </c>
      <c r="AM1279">
        <v>8</v>
      </c>
      <c r="AN1279">
        <v>31</v>
      </c>
      <c r="AO1279">
        <v>8</v>
      </c>
      <c r="AP1279">
        <v>17</v>
      </c>
      <c r="AQ1279">
        <v>2</v>
      </c>
      <c r="AR1279" t="s">
        <v>16487</v>
      </c>
      <c r="AS1279" t="s">
        <v>16488</v>
      </c>
      <c r="AT1279">
        <v>0.63</v>
      </c>
      <c r="AU1279" t="s">
        <v>65</v>
      </c>
      <c r="AV1279">
        <v>48</v>
      </c>
      <c r="AW1279">
        <v>10</v>
      </c>
      <c r="AX1279" t="s">
        <v>16489</v>
      </c>
      <c r="AY1279">
        <v>6.1240000000000003E-2</v>
      </c>
      <c r="AZ1279">
        <v>-2.5799999999999998E-3</v>
      </c>
      <c r="BA1279">
        <v>2.65E-3</v>
      </c>
      <c r="BB1279">
        <v>-2.3000000000000001E-4</v>
      </c>
      <c r="BC1279">
        <v>4.326E-2</v>
      </c>
      <c r="BD1279">
        <v>1</v>
      </c>
      <c r="BE1279" t="s">
        <v>69</v>
      </c>
      <c r="BF1279">
        <v>-0.34100000000000003</v>
      </c>
      <c r="BG1279">
        <v>-1.9650000000000001</v>
      </c>
    </row>
    <row r="1280" spans="1:59">
      <c r="A1280">
        <v>0</v>
      </c>
      <c r="B1280">
        <v>3</v>
      </c>
      <c r="C1280">
        <v>0</v>
      </c>
      <c r="D1280" t="s">
        <v>25022</v>
      </c>
      <c r="E1280">
        <v>618</v>
      </c>
      <c r="F1280" t="s">
        <v>3976</v>
      </c>
      <c r="G1280" t="s">
        <v>57</v>
      </c>
      <c r="H1280">
        <v>647940</v>
      </c>
      <c r="I1280">
        <v>648701</v>
      </c>
      <c r="J1280" t="s">
        <v>1803</v>
      </c>
      <c r="K1280">
        <v>254</v>
      </c>
      <c r="L1280" t="s">
        <v>289</v>
      </c>
      <c r="M1280">
        <v>46</v>
      </c>
      <c r="N1280" t="str">
        <f>HYPERLINK("Gene618-zp_tree_all.dnd", "Gene618-tree")</f>
        <v>Gene618-tree</v>
      </c>
      <c r="O1280">
        <v>9</v>
      </c>
      <c r="P1280">
        <v>24</v>
      </c>
      <c r="Q1280">
        <v>9</v>
      </c>
      <c r="R1280">
        <v>7</v>
      </c>
      <c r="S1280">
        <v>0.4375</v>
      </c>
      <c r="T1280" t="s">
        <v>135</v>
      </c>
      <c r="U1280" t="s">
        <v>638</v>
      </c>
      <c r="V1280">
        <v>3.6880000000000002</v>
      </c>
      <c r="W1280" t="s">
        <v>65</v>
      </c>
      <c r="X1280">
        <v>1</v>
      </c>
      <c r="Y1280">
        <v>3</v>
      </c>
      <c r="Z1280">
        <v>6</v>
      </c>
      <c r="AA1280">
        <v>0.33333000000000002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6</v>
      </c>
      <c r="AK1280">
        <v>0</v>
      </c>
      <c r="AL1280">
        <v>13</v>
      </c>
      <c r="AM1280">
        <v>12</v>
      </c>
      <c r="AN1280">
        <v>32</v>
      </c>
      <c r="AO1280">
        <v>6</v>
      </c>
      <c r="AP1280">
        <v>46</v>
      </c>
      <c r="AQ1280">
        <v>3</v>
      </c>
      <c r="AR1280" t="s">
        <v>3977</v>
      </c>
      <c r="AS1280" t="s">
        <v>3978</v>
      </c>
      <c r="AT1280">
        <v>1.107</v>
      </c>
      <c r="AU1280" t="s">
        <v>65</v>
      </c>
      <c r="AV1280">
        <v>78</v>
      </c>
      <c r="AW1280">
        <v>9</v>
      </c>
      <c r="AX1280" t="s">
        <v>3979</v>
      </c>
      <c r="AY1280">
        <v>7.3880000000000001E-2</v>
      </c>
      <c r="AZ1280">
        <v>-3.5899999999999999E-3</v>
      </c>
      <c r="BA1280">
        <v>2.0999999999999999E-3</v>
      </c>
      <c r="BB1280">
        <v>-1.2999999999999999E-4</v>
      </c>
      <c r="BC1280">
        <v>2.8420000000000001E-2</v>
      </c>
      <c r="BD1280">
        <v>1</v>
      </c>
      <c r="BE1280" t="s">
        <v>69</v>
      </c>
      <c r="BF1280">
        <v>-0.48699999999999999</v>
      </c>
      <c r="BG1280">
        <v>-1.266</v>
      </c>
    </row>
    <row r="1281" spans="1:59">
      <c r="A1281">
        <v>0</v>
      </c>
      <c r="B1281">
        <v>0</v>
      </c>
      <c r="C1281">
        <v>0</v>
      </c>
      <c r="D1281" t="s">
        <v>25022</v>
      </c>
      <c r="E1281">
        <v>1709</v>
      </c>
      <c r="F1281" t="s">
        <v>10717</v>
      </c>
      <c r="G1281" t="s">
        <v>57</v>
      </c>
      <c r="H1281">
        <v>1716493</v>
      </c>
      <c r="I1281">
        <v>1717254</v>
      </c>
      <c r="J1281" t="s">
        <v>10718</v>
      </c>
      <c r="K1281">
        <v>254</v>
      </c>
      <c r="L1281" t="s">
        <v>59</v>
      </c>
      <c r="M1281">
        <v>49</v>
      </c>
      <c r="N1281" t="str">
        <f>HYPERLINK("Gene1709-zp_tree_all.dnd", "Gene1709-tree")</f>
        <v>Gene1709-tree</v>
      </c>
      <c r="O1281">
        <v>13</v>
      </c>
      <c r="P1281">
        <v>3</v>
      </c>
      <c r="Q1281">
        <v>13</v>
      </c>
      <c r="R1281">
        <v>3</v>
      </c>
      <c r="S1281">
        <v>0.1875</v>
      </c>
      <c r="T1281" t="s">
        <v>507</v>
      </c>
      <c r="U1281" t="s">
        <v>324</v>
      </c>
      <c r="V1281" t="s">
        <v>62</v>
      </c>
      <c r="W1281" t="s">
        <v>62</v>
      </c>
      <c r="X1281">
        <v>0</v>
      </c>
      <c r="Y1281">
        <v>0</v>
      </c>
      <c r="Z1281">
        <v>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3</v>
      </c>
      <c r="AK1281">
        <v>0</v>
      </c>
      <c r="AL1281">
        <v>13</v>
      </c>
      <c r="AM1281">
        <v>9</v>
      </c>
      <c r="AN1281">
        <v>25</v>
      </c>
      <c r="AO1281">
        <v>4</v>
      </c>
      <c r="AP1281">
        <v>25</v>
      </c>
      <c r="AQ1281">
        <v>0</v>
      </c>
      <c r="AR1281" t="s">
        <v>10719</v>
      </c>
      <c r="AS1281" t="s">
        <v>193</v>
      </c>
      <c r="AT1281">
        <v>0.72499999999999998</v>
      </c>
      <c r="AU1281" t="s">
        <v>65</v>
      </c>
      <c r="AV1281">
        <v>50</v>
      </c>
      <c r="AW1281">
        <v>4</v>
      </c>
      <c r="AX1281" t="s">
        <v>10720</v>
      </c>
      <c r="AY1281">
        <v>7.417E-2</v>
      </c>
      <c r="AZ1281">
        <v>-4.8500000000000001E-3</v>
      </c>
      <c r="BA1281">
        <v>1.01E-3</v>
      </c>
      <c r="BB1281">
        <v>-1.2E-4</v>
      </c>
      <c r="BC1281">
        <v>1.3610000000000001E-2</v>
      </c>
      <c r="BD1281">
        <v>1</v>
      </c>
      <c r="BE1281" t="s">
        <v>69</v>
      </c>
      <c r="BF1281">
        <v>-1.4330000000000001</v>
      </c>
      <c r="BG1281">
        <v>-1.994</v>
      </c>
    </row>
    <row r="1282" spans="1:59">
      <c r="A1282">
        <v>0</v>
      </c>
      <c r="B1282">
        <v>2</v>
      </c>
      <c r="C1282">
        <v>1</v>
      </c>
      <c r="D1282" t="s">
        <v>25022</v>
      </c>
      <c r="E1282">
        <v>2265</v>
      </c>
      <c r="F1282" t="s">
        <v>13097</v>
      </c>
      <c r="G1282" t="s">
        <v>62</v>
      </c>
      <c r="H1282">
        <v>2290861</v>
      </c>
      <c r="I1282">
        <v>2291625</v>
      </c>
      <c r="J1282" t="s">
        <v>13098</v>
      </c>
      <c r="K1282">
        <v>255</v>
      </c>
      <c r="L1282" t="s">
        <v>108</v>
      </c>
      <c r="M1282">
        <v>44</v>
      </c>
      <c r="N1282" t="str">
        <f>HYPERLINK("Gene2265-zp_tree_all.dnd", "Gene2265-tree")</f>
        <v>Gene2265-tree</v>
      </c>
      <c r="O1282">
        <v>27</v>
      </c>
      <c r="P1282">
        <v>7</v>
      </c>
      <c r="Q1282">
        <v>6</v>
      </c>
      <c r="R1282">
        <v>7</v>
      </c>
      <c r="S1282">
        <v>0.53846000000000005</v>
      </c>
      <c r="T1282" t="s">
        <v>1055</v>
      </c>
      <c r="U1282" t="s">
        <v>152</v>
      </c>
      <c r="V1282" t="s">
        <v>62</v>
      </c>
      <c r="W1282" t="s">
        <v>62</v>
      </c>
      <c r="X1282">
        <v>1</v>
      </c>
      <c r="Y1282">
        <v>3</v>
      </c>
      <c r="Z1282">
        <v>9</v>
      </c>
      <c r="AA1282">
        <v>0.25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</v>
      </c>
      <c r="AH1282">
        <v>1</v>
      </c>
      <c r="AI1282">
        <v>3</v>
      </c>
      <c r="AJ1282">
        <v>9</v>
      </c>
      <c r="AK1282">
        <v>0.25</v>
      </c>
      <c r="AL1282">
        <v>11</v>
      </c>
      <c r="AM1282">
        <v>2</v>
      </c>
      <c r="AN1282">
        <v>10</v>
      </c>
      <c r="AO1282">
        <v>12</v>
      </c>
      <c r="AP1282">
        <v>2</v>
      </c>
      <c r="AQ1282">
        <v>0</v>
      </c>
      <c r="AR1282" t="s">
        <v>13099</v>
      </c>
      <c r="AS1282" t="s">
        <v>193</v>
      </c>
      <c r="AT1282">
        <v>1.821</v>
      </c>
      <c r="AU1282" t="s">
        <v>65</v>
      </c>
      <c r="AV1282">
        <v>12</v>
      </c>
      <c r="AW1282">
        <v>12</v>
      </c>
      <c r="AX1282" t="s">
        <v>13100</v>
      </c>
      <c r="AY1282">
        <v>1.451E-2</v>
      </c>
      <c r="AZ1282">
        <v>-9.3000000000000005E-4</v>
      </c>
      <c r="BA1282">
        <v>3.0699999999999998E-3</v>
      </c>
      <c r="BB1282">
        <v>-2.5999999999999998E-4</v>
      </c>
      <c r="BC1282">
        <v>0.21127000000000001</v>
      </c>
      <c r="BD1282">
        <v>0.99</v>
      </c>
      <c r="BE1282" t="s">
        <v>69</v>
      </c>
      <c r="BF1282">
        <v>-1.371</v>
      </c>
      <c r="BG1282">
        <v>-2.58</v>
      </c>
    </row>
    <row r="1283" spans="1:59">
      <c r="A1283">
        <v>0</v>
      </c>
      <c r="B1283">
        <v>0</v>
      </c>
      <c r="C1283">
        <v>0</v>
      </c>
      <c r="D1283" t="s">
        <v>25022</v>
      </c>
      <c r="E1283">
        <v>1021</v>
      </c>
      <c r="F1283" t="s">
        <v>6415</v>
      </c>
      <c r="G1283" t="s">
        <v>57</v>
      </c>
      <c r="H1283">
        <v>1061491</v>
      </c>
      <c r="I1283">
        <v>1062255</v>
      </c>
      <c r="J1283" t="s">
        <v>6416</v>
      </c>
      <c r="K1283">
        <v>255</v>
      </c>
      <c r="L1283" t="s">
        <v>108</v>
      </c>
      <c r="M1283">
        <v>44</v>
      </c>
      <c r="N1283" t="str">
        <f>HYPERLINK("Gene1021-zp_tree_all.dnd", "Gene1021-tree")</f>
        <v>Gene1021-tree</v>
      </c>
      <c r="O1283">
        <v>7</v>
      </c>
      <c r="P1283">
        <v>5</v>
      </c>
      <c r="Q1283">
        <v>7</v>
      </c>
      <c r="R1283">
        <v>5</v>
      </c>
      <c r="S1283">
        <v>0.41666999999999998</v>
      </c>
      <c r="T1283" t="s">
        <v>152</v>
      </c>
      <c r="U1283" t="s">
        <v>199</v>
      </c>
      <c r="V1283" t="s">
        <v>62</v>
      </c>
      <c r="W1283" t="s">
        <v>62</v>
      </c>
      <c r="X1283">
        <v>0</v>
      </c>
      <c r="Y1283">
        <v>0</v>
      </c>
      <c r="Z1283">
        <v>11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6</v>
      </c>
      <c r="AK1283">
        <v>0</v>
      </c>
      <c r="AL1283">
        <v>11</v>
      </c>
      <c r="AM1283">
        <v>7</v>
      </c>
      <c r="AN1283">
        <v>17</v>
      </c>
      <c r="AO1283">
        <v>6</v>
      </c>
      <c r="AP1283">
        <v>9</v>
      </c>
      <c r="AQ1283">
        <v>5</v>
      </c>
      <c r="AR1283" t="s">
        <v>6417</v>
      </c>
      <c r="AS1283" t="s">
        <v>6418</v>
      </c>
      <c r="AT1283">
        <v>0.44400000000000001</v>
      </c>
      <c r="AU1283" t="s">
        <v>65</v>
      </c>
      <c r="AV1283">
        <v>26</v>
      </c>
      <c r="AW1283">
        <v>11</v>
      </c>
      <c r="AX1283" t="s">
        <v>6419</v>
      </c>
      <c r="AY1283">
        <v>3.1919999999999997E-2</v>
      </c>
      <c r="AZ1283">
        <v>-1.73E-3</v>
      </c>
      <c r="BA1283">
        <v>5.0699999999999999E-3</v>
      </c>
      <c r="BB1283">
        <v>-2.7E-4</v>
      </c>
      <c r="BC1283">
        <v>0.15894</v>
      </c>
      <c r="BD1283">
        <v>1</v>
      </c>
      <c r="BE1283" t="s">
        <v>69</v>
      </c>
      <c r="BF1283">
        <v>-0.16500000000000001</v>
      </c>
      <c r="BG1283">
        <v>-0.31</v>
      </c>
    </row>
    <row r="1284" spans="1:59">
      <c r="A1284">
        <v>0</v>
      </c>
      <c r="B1284">
        <v>11</v>
      </c>
      <c r="C1284">
        <v>0</v>
      </c>
      <c r="D1284" t="s">
        <v>25022</v>
      </c>
      <c r="E1284">
        <v>152</v>
      </c>
      <c r="F1284" t="s">
        <v>1074</v>
      </c>
      <c r="G1284" t="s">
        <v>57</v>
      </c>
      <c r="H1284">
        <v>155156</v>
      </c>
      <c r="I1284">
        <v>155920</v>
      </c>
      <c r="J1284" t="s">
        <v>1075</v>
      </c>
      <c r="K1284">
        <v>255</v>
      </c>
      <c r="L1284" t="s">
        <v>108</v>
      </c>
      <c r="M1284">
        <v>44</v>
      </c>
      <c r="N1284" t="str">
        <f>HYPERLINK("Gene152-zp_tree_all.dnd", "Gene152-tree")</f>
        <v>Gene152-tree</v>
      </c>
      <c r="O1284">
        <v>8</v>
      </c>
      <c r="P1284">
        <v>7</v>
      </c>
      <c r="Q1284">
        <v>8</v>
      </c>
      <c r="R1284">
        <v>7</v>
      </c>
      <c r="S1284">
        <v>0.46666999999999997</v>
      </c>
      <c r="T1284" t="s">
        <v>136</v>
      </c>
      <c r="U1284" t="s">
        <v>152</v>
      </c>
      <c r="V1284" t="s">
        <v>62</v>
      </c>
      <c r="W1284" t="s">
        <v>62</v>
      </c>
      <c r="X1284">
        <v>5</v>
      </c>
      <c r="Y1284">
        <v>11</v>
      </c>
      <c r="Z1284">
        <v>9</v>
      </c>
      <c r="AA1284">
        <v>0.55000000000000004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11</v>
      </c>
      <c r="AK1284">
        <v>0</v>
      </c>
      <c r="AL1284">
        <v>11</v>
      </c>
      <c r="AM1284">
        <v>10</v>
      </c>
      <c r="AN1284">
        <v>22</v>
      </c>
      <c r="AO1284">
        <v>10</v>
      </c>
      <c r="AP1284">
        <v>15</v>
      </c>
      <c r="AQ1284">
        <v>10</v>
      </c>
      <c r="AR1284" t="s">
        <v>1076</v>
      </c>
      <c r="AS1284" t="s">
        <v>1077</v>
      </c>
      <c r="AT1284">
        <v>0.60299999999999998</v>
      </c>
      <c r="AU1284" t="s">
        <v>65</v>
      </c>
      <c r="AV1284">
        <v>37</v>
      </c>
      <c r="AW1284">
        <v>20</v>
      </c>
      <c r="AX1284" t="s">
        <v>1078</v>
      </c>
      <c r="AY1284">
        <v>4.1910000000000003E-2</v>
      </c>
      <c r="AZ1284">
        <v>-1.49E-3</v>
      </c>
      <c r="BA1284">
        <v>6.0200000000000002E-3</v>
      </c>
      <c r="BB1284">
        <v>-2.5999999999999998E-4</v>
      </c>
      <c r="BC1284">
        <v>0.14362</v>
      </c>
      <c r="BD1284">
        <v>1</v>
      </c>
      <c r="BE1284" t="s">
        <v>69</v>
      </c>
      <c r="BF1284">
        <v>-0.47599999999999998</v>
      </c>
      <c r="BG1284">
        <v>-1.752</v>
      </c>
    </row>
    <row r="1285" spans="1:59">
      <c r="A1285">
        <v>0</v>
      </c>
      <c r="B1285">
        <v>2</v>
      </c>
      <c r="C1285">
        <v>0</v>
      </c>
      <c r="D1285" t="s">
        <v>25022</v>
      </c>
      <c r="E1285">
        <v>917</v>
      </c>
      <c r="F1285" t="s">
        <v>5733</v>
      </c>
      <c r="G1285" t="s">
        <v>57</v>
      </c>
      <c r="H1285">
        <v>961394</v>
      </c>
      <c r="I1285">
        <v>962158</v>
      </c>
      <c r="J1285" t="s">
        <v>5734</v>
      </c>
      <c r="K1285">
        <v>255</v>
      </c>
      <c r="L1285" t="s">
        <v>108</v>
      </c>
      <c r="M1285">
        <v>44</v>
      </c>
      <c r="N1285" t="str">
        <f>HYPERLINK("Gene917-zp_tree_all.dnd", "Gene917-tree")</f>
        <v>Gene917-tree</v>
      </c>
      <c r="O1285">
        <v>4</v>
      </c>
      <c r="P1285">
        <v>11</v>
      </c>
      <c r="Q1285">
        <v>4</v>
      </c>
      <c r="R1285">
        <v>11</v>
      </c>
      <c r="S1285">
        <v>0.73333000000000004</v>
      </c>
      <c r="T1285" t="s">
        <v>61</v>
      </c>
      <c r="U1285" t="s">
        <v>73</v>
      </c>
      <c r="V1285">
        <v>200307210.301</v>
      </c>
      <c r="W1285" t="s">
        <v>267</v>
      </c>
      <c r="X1285">
        <v>1</v>
      </c>
      <c r="Y1285">
        <v>2</v>
      </c>
      <c r="Z1285">
        <v>14</v>
      </c>
      <c r="AA1285">
        <v>0.125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</v>
      </c>
      <c r="AH1285">
        <v>0</v>
      </c>
      <c r="AI1285">
        <v>2</v>
      </c>
      <c r="AJ1285">
        <v>12</v>
      </c>
      <c r="AK1285">
        <v>0.14285999999999999</v>
      </c>
      <c r="AL1285">
        <v>12</v>
      </c>
      <c r="AM1285">
        <v>9</v>
      </c>
      <c r="AN1285">
        <v>23</v>
      </c>
      <c r="AO1285">
        <v>13</v>
      </c>
      <c r="AP1285">
        <v>13</v>
      </c>
      <c r="AQ1285">
        <v>3</v>
      </c>
      <c r="AR1285" t="s">
        <v>5735</v>
      </c>
      <c r="AS1285" t="s">
        <v>5736</v>
      </c>
      <c r="AT1285">
        <v>1.042</v>
      </c>
      <c r="AU1285" t="s">
        <v>65</v>
      </c>
      <c r="AV1285">
        <v>36</v>
      </c>
      <c r="AW1285">
        <v>16</v>
      </c>
      <c r="AX1285" t="s">
        <v>5737</v>
      </c>
      <c r="AY1285">
        <v>3.5839999999999997E-2</v>
      </c>
      <c r="AZ1285">
        <v>-1.58E-3</v>
      </c>
      <c r="BA1285">
        <v>4.2199999999999998E-3</v>
      </c>
      <c r="BB1285">
        <v>-2.1000000000000001E-4</v>
      </c>
      <c r="BC1285">
        <v>0.11772000000000001</v>
      </c>
      <c r="BD1285">
        <v>1</v>
      </c>
      <c r="BE1285" t="s">
        <v>69</v>
      </c>
      <c r="BF1285">
        <v>-1.294</v>
      </c>
      <c r="BG1285">
        <v>-1.5960000000000001</v>
      </c>
    </row>
    <row r="1286" spans="1:59">
      <c r="A1286">
        <v>0</v>
      </c>
      <c r="B1286">
        <v>0</v>
      </c>
      <c r="C1286">
        <v>2</v>
      </c>
      <c r="D1286" t="s">
        <v>25022</v>
      </c>
      <c r="E1286">
        <v>1667</v>
      </c>
      <c r="F1286" t="s">
        <v>10439</v>
      </c>
      <c r="G1286" t="s">
        <v>57</v>
      </c>
      <c r="H1286">
        <v>1677451</v>
      </c>
      <c r="I1286">
        <v>1678215</v>
      </c>
      <c r="J1286" t="s">
        <v>10440</v>
      </c>
      <c r="K1286">
        <v>255</v>
      </c>
      <c r="L1286" t="s">
        <v>72</v>
      </c>
      <c r="M1286">
        <v>45</v>
      </c>
      <c r="N1286" t="str">
        <f>HYPERLINK("Gene1667-zp_tree_all.dnd", "Gene1667-tree")</f>
        <v>Gene1667-tree</v>
      </c>
      <c r="O1286">
        <v>6</v>
      </c>
      <c r="P1286">
        <v>8</v>
      </c>
      <c r="Q1286">
        <v>6</v>
      </c>
      <c r="R1286">
        <v>8</v>
      </c>
      <c r="S1286">
        <v>0.57142999999999999</v>
      </c>
      <c r="T1286" t="s">
        <v>90</v>
      </c>
      <c r="U1286" t="s">
        <v>136</v>
      </c>
      <c r="V1286" t="s">
        <v>62</v>
      </c>
      <c r="W1286" t="s">
        <v>62</v>
      </c>
      <c r="X1286">
        <v>1</v>
      </c>
      <c r="Y1286">
        <v>2</v>
      </c>
      <c r="Z1286">
        <v>14</v>
      </c>
      <c r="AA1286">
        <v>0.125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2</v>
      </c>
      <c r="AI1286">
        <v>2</v>
      </c>
      <c r="AJ1286">
        <v>11</v>
      </c>
      <c r="AK1286">
        <v>0.15384999999999999</v>
      </c>
      <c r="AL1286">
        <v>11</v>
      </c>
      <c r="AM1286">
        <v>5</v>
      </c>
      <c r="AN1286">
        <v>40</v>
      </c>
      <c r="AO1286">
        <v>14</v>
      </c>
      <c r="AP1286">
        <v>4</v>
      </c>
      <c r="AQ1286">
        <v>3</v>
      </c>
      <c r="AR1286" t="s">
        <v>10441</v>
      </c>
      <c r="AS1286" t="s">
        <v>10442</v>
      </c>
      <c r="AT1286">
        <v>0.46</v>
      </c>
      <c r="AU1286" t="s">
        <v>65</v>
      </c>
      <c r="AV1286">
        <v>44</v>
      </c>
      <c r="AW1286">
        <v>17</v>
      </c>
      <c r="AX1286" t="s">
        <v>10443</v>
      </c>
      <c r="AY1286">
        <v>4.2229999999999997E-2</v>
      </c>
      <c r="AZ1286">
        <v>-6.5300000000000002E-3</v>
      </c>
      <c r="BA1286">
        <v>4.7499999999999999E-3</v>
      </c>
      <c r="BB1286">
        <v>-4.8000000000000001E-4</v>
      </c>
      <c r="BC1286">
        <v>0.11236</v>
      </c>
      <c r="BD1286">
        <v>1</v>
      </c>
      <c r="BE1286" t="s">
        <v>69</v>
      </c>
      <c r="BF1286">
        <v>-2.3439999999999999</v>
      </c>
      <c r="BG1286">
        <v>-5.22</v>
      </c>
    </row>
    <row r="1287" spans="1:59">
      <c r="A1287">
        <v>0</v>
      </c>
      <c r="B1287">
        <v>9</v>
      </c>
      <c r="C1287">
        <v>0</v>
      </c>
      <c r="D1287" t="s">
        <v>25022</v>
      </c>
      <c r="E1287">
        <v>2403</v>
      </c>
      <c r="F1287" t="s">
        <v>13989</v>
      </c>
      <c r="G1287" t="s">
        <v>62</v>
      </c>
      <c r="H1287">
        <v>2412709</v>
      </c>
      <c r="I1287">
        <v>2413473</v>
      </c>
      <c r="J1287" t="s">
        <v>13990</v>
      </c>
      <c r="K1287">
        <v>255</v>
      </c>
      <c r="L1287" t="s">
        <v>13991</v>
      </c>
      <c r="M1287">
        <v>41</v>
      </c>
      <c r="N1287" t="str">
        <f>HYPERLINK("Gene2403-zp_tree_all.dnd", "Gene2403-tree")</f>
        <v>Gene2403-tree</v>
      </c>
      <c r="O1287">
        <v>3</v>
      </c>
      <c r="P1287">
        <v>9</v>
      </c>
      <c r="Q1287">
        <v>3</v>
      </c>
      <c r="R1287">
        <v>9</v>
      </c>
      <c r="S1287">
        <v>0.75</v>
      </c>
      <c r="T1287" t="s">
        <v>324</v>
      </c>
      <c r="U1287" t="s">
        <v>135</v>
      </c>
      <c r="V1287" t="s">
        <v>62</v>
      </c>
      <c r="W1287" t="s">
        <v>62</v>
      </c>
      <c r="X1287">
        <v>4</v>
      </c>
      <c r="Y1287">
        <v>9</v>
      </c>
      <c r="Z1287">
        <v>10</v>
      </c>
      <c r="AA1287">
        <v>0.47367999999999999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4</v>
      </c>
      <c r="AH1287">
        <v>0</v>
      </c>
      <c r="AI1287">
        <v>4</v>
      </c>
      <c r="AJ1287">
        <v>9</v>
      </c>
      <c r="AK1287">
        <v>0.30769000000000002</v>
      </c>
      <c r="AL1287">
        <v>10</v>
      </c>
      <c r="AM1287">
        <v>8</v>
      </c>
      <c r="AN1287">
        <v>30</v>
      </c>
      <c r="AO1287">
        <v>13</v>
      </c>
      <c r="AP1287">
        <v>28</v>
      </c>
      <c r="AQ1287">
        <v>7</v>
      </c>
      <c r="AR1287" t="s">
        <v>13992</v>
      </c>
      <c r="AS1287" t="s">
        <v>13993</v>
      </c>
      <c r="AT1287">
        <v>1.0960000000000001</v>
      </c>
      <c r="AU1287" t="s">
        <v>65</v>
      </c>
      <c r="AV1287">
        <v>58</v>
      </c>
      <c r="AW1287">
        <v>20</v>
      </c>
      <c r="AX1287" t="s">
        <v>13994</v>
      </c>
      <c r="AY1287">
        <v>7.1690000000000004E-2</v>
      </c>
      <c r="AZ1287">
        <v>-3.7799999999999999E-3</v>
      </c>
      <c r="BA1287">
        <v>6.9499999999999996E-3</v>
      </c>
      <c r="BB1287">
        <v>-4.0999999999999999E-4</v>
      </c>
      <c r="BC1287">
        <v>9.6960000000000005E-2</v>
      </c>
      <c r="BD1287">
        <v>1</v>
      </c>
      <c r="BE1287" t="s">
        <v>69</v>
      </c>
      <c r="BF1287">
        <v>-0.26100000000000001</v>
      </c>
      <c r="BG1287">
        <v>-3.0000000000000001E-3</v>
      </c>
    </row>
    <row r="1288" spans="1:59">
      <c r="A1288">
        <v>0</v>
      </c>
      <c r="B1288">
        <v>0</v>
      </c>
      <c r="C1288">
        <v>2</v>
      </c>
      <c r="D1288" t="s">
        <v>25022</v>
      </c>
      <c r="E1288">
        <v>1151</v>
      </c>
      <c r="F1288" t="s">
        <v>7240</v>
      </c>
      <c r="G1288" t="s">
        <v>57</v>
      </c>
      <c r="H1288">
        <v>1191423</v>
      </c>
      <c r="I1288">
        <v>1192187</v>
      </c>
      <c r="J1288" t="s">
        <v>7241</v>
      </c>
      <c r="K1288">
        <v>255</v>
      </c>
      <c r="L1288" t="s">
        <v>108</v>
      </c>
      <c r="M1288">
        <v>44</v>
      </c>
      <c r="N1288" t="str">
        <f>HYPERLINK("Gene1151-zp_tree_all.dnd", "Gene1151-tree")</f>
        <v>Gene1151-tree</v>
      </c>
      <c r="O1288">
        <v>28</v>
      </c>
      <c r="P1288">
        <v>5</v>
      </c>
      <c r="Q1288">
        <v>7</v>
      </c>
      <c r="R1288">
        <v>5</v>
      </c>
      <c r="S1288">
        <v>0.41666999999999998</v>
      </c>
      <c r="T1288" t="s">
        <v>4142</v>
      </c>
      <c r="U1288" t="s">
        <v>199</v>
      </c>
      <c r="V1288" t="s">
        <v>62</v>
      </c>
      <c r="W1288" t="s">
        <v>62</v>
      </c>
      <c r="X1288">
        <v>1</v>
      </c>
      <c r="Y1288">
        <v>2</v>
      </c>
      <c r="Z1288">
        <v>10</v>
      </c>
      <c r="AA1288">
        <v>0.16667000000000001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9</v>
      </c>
      <c r="AK1288">
        <v>0</v>
      </c>
      <c r="AL1288">
        <v>10</v>
      </c>
      <c r="AM1288">
        <v>7</v>
      </c>
      <c r="AN1288">
        <v>28</v>
      </c>
      <c r="AO1288">
        <v>9</v>
      </c>
      <c r="AP1288">
        <v>13</v>
      </c>
      <c r="AQ1288">
        <v>3</v>
      </c>
      <c r="AR1288" t="s">
        <v>7242</v>
      </c>
      <c r="AS1288" t="s">
        <v>7243</v>
      </c>
      <c r="AT1288">
        <v>0.28100000000000003</v>
      </c>
      <c r="AU1288" t="s">
        <v>65</v>
      </c>
      <c r="AV1288">
        <v>41</v>
      </c>
      <c r="AW1288">
        <v>12</v>
      </c>
      <c r="AX1288" t="s">
        <v>7244</v>
      </c>
      <c r="AY1288">
        <v>5.0139999999999997E-2</v>
      </c>
      <c r="AZ1288">
        <v>-3.4099999999999998E-3</v>
      </c>
      <c r="BA1288">
        <v>4.2599999999999999E-3</v>
      </c>
      <c r="BB1288">
        <v>-3.5E-4</v>
      </c>
      <c r="BC1288">
        <v>8.4989999999999996E-2</v>
      </c>
      <c r="BD1288">
        <v>1</v>
      </c>
      <c r="BE1288" t="s">
        <v>69</v>
      </c>
      <c r="BF1288">
        <v>-0.70799999999999996</v>
      </c>
      <c r="BG1288">
        <v>-0.98399999999999999</v>
      </c>
    </row>
    <row r="1289" spans="1:59">
      <c r="A1289">
        <v>0</v>
      </c>
      <c r="B1289">
        <v>2</v>
      </c>
      <c r="C1289">
        <v>2</v>
      </c>
      <c r="D1289" t="s">
        <v>25022</v>
      </c>
      <c r="E1289">
        <v>2500</v>
      </c>
      <c r="F1289" t="s">
        <v>14578</v>
      </c>
      <c r="G1289" t="s">
        <v>62</v>
      </c>
      <c r="H1289">
        <v>2492032</v>
      </c>
      <c r="I1289">
        <v>2492796</v>
      </c>
      <c r="J1289" t="s">
        <v>14579</v>
      </c>
      <c r="K1289">
        <v>255</v>
      </c>
      <c r="L1289" t="s">
        <v>698</v>
      </c>
      <c r="M1289">
        <v>47</v>
      </c>
      <c r="N1289" t="str">
        <f>HYPERLINK("Gene2500-zp_tree_all.dnd", "Gene2500-tree")</f>
        <v>Gene2500-tree</v>
      </c>
      <c r="O1289">
        <v>7</v>
      </c>
      <c r="P1289">
        <v>6</v>
      </c>
      <c r="Q1289">
        <v>7</v>
      </c>
      <c r="R1289">
        <v>6</v>
      </c>
      <c r="S1289">
        <v>0.46154000000000001</v>
      </c>
      <c r="T1289" t="s">
        <v>152</v>
      </c>
      <c r="U1289" t="s">
        <v>90</v>
      </c>
      <c r="V1289" t="s">
        <v>62</v>
      </c>
      <c r="W1289" t="s">
        <v>62</v>
      </c>
      <c r="X1289">
        <v>2</v>
      </c>
      <c r="Y1289">
        <v>4</v>
      </c>
      <c r="Z1289">
        <v>14</v>
      </c>
      <c r="AA1289">
        <v>0.22222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</v>
      </c>
      <c r="AI1289">
        <v>2</v>
      </c>
      <c r="AJ1289">
        <v>11</v>
      </c>
      <c r="AK1289">
        <v>0.15384999999999999</v>
      </c>
      <c r="AL1289">
        <v>12</v>
      </c>
      <c r="AM1289">
        <v>9</v>
      </c>
      <c r="AN1289">
        <v>28</v>
      </c>
      <c r="AO1289">
        <v>13</v>
      </c>
      <c r="AP1289">
        <v>32</v>
      </c>
      <c r="AQ1289">
        <v>6</v>
      </c>
      <c r="AR1289" t="s">
        <v>14580</v>
      </c>
      <c r="AS1289" t="s">
        <v>14581</v>
      </c>
      <c r="AT1289">
        <v>0.56699999999999995</v>
      </c>
      <c r="AU1289" t="s">
        <v>65</v>
      </c>
      <c r="AV1289">
        <v>60</v>
      </c>
      <c r="AW1289">
        <v>19</v>
      </c>
      <c r="AX1289" t="s">
        <v>14582</v>
      </c>
      <c r="AY1289">
        <v>9.0789999999999996E-2</v>
      </c>
      <c r="AZ1289">
        <v>-7.1000000000000004E-3</v>
      </c>
      <c r="BA1289">
        <v>6.79E-3</v>
      </c>
      <c r="BB1289">
        <v>-6.0999999999999997E-4</v>
      </c>
      <c r="BC1289">
        <v>7.4779999999999999E-2</v>
      </c>
      <c r="BD1289">
        <v>1</v>
      </c>
      <c r="BE1289" t="s">
        <v>69</v>
      </c>
      <c r="BF1289">
        <v>-0.89700000000000002</v>
      </c>
      <c r="BG1289">
        <v>-0.93300000000000005</v>
      </c>
    </row>
    <row r="1290" spans="1:59">
      <c r="A1290">
        <v>0</v>
      </c>
      <c r="B1290">
        <v>0</v>
      </c>
      <c r="C1290">
        <v>0</v>
      </c>
      <c r="D1290" t="s">
        <v>25022</v>
      </c>
      <c r="E1290">
        <v>39</v>
      </c>
      <c r="F1290" t="s">
        <v>348</v>
      </c>
      <c r="G1290" t="s">
        <v>57</v>
      </c>
      <c r="H1290">
        <v>47706</v>
      </c>
      <c r="I1290">
        <v>48470</v>
      </c>
      <c r="J1290" t="s">
        <v>349</v>
      </c>
      <c r="K1290">
        <v>255</v>
      </c>
      <c r="L1290" t="s">
        <v>108</v>
      </c>
      <c r="M1290">
        <v>44</v>
      </c>
      <c r="N1290" t="str">
        <f>HYPERLINK("Gene39-zp_tree_all.dnd", "Gene39-tree")</f>
        <v>Gene39-tree</v>
      </c>
      <c r="O1290">
        <v>6</v>
      </c>
      <c r="P1290">
        <v>6</v>
      </c>
      <c r="Q1290">
        <v>6</v>
      </c>
      <c r="R1290">
        <v>6</v>
      </c>
      <c r="S1290">
        <v>0.5</v>
      </c>
      <c r="T1290" t="s">
        <v>90</v>
      </c>
      <c r="U1290" t="s">
        <v>90</v>
      </c>
      <c r="V1290" t="s">
        <v>62</v>
      </c>
      <c r="W1290" t="s">
        <v>62</v>
      </c>
      <c r="X1290">
        <v>0</v>
      </c>
      <c r="Y1290">
        <v>0</v>
      </c>
      <c r="Z1290">
        <v>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6</v>
      </c>
      <c r="AK1290">
        <v>0</v>
      </c>
      <c r="AL1290">
        <v>10</v>
      </c>
      <c r="AM1290">
        <v>4</v>
      </c>
      <c r="AN1290">
        <v>11</v>
      </c>
      <c r="AO1290">
        <v>6</v>
      </c>
      <c r="AP1290">
        <v>7</v>
      </c>
      <c r="AQ1290">
        <v>0</v>
      </c>
      <c r="AR1290" t="s">
        <v>350</v>
      </c>
      <c r="AS1290" t="s">
        <v>193</v>
      </c>
      <c r="AT1290">
        <v>1.306</v>
      </c>
      <c r="AU1290" t="s">
        <v>65</v>
      </c>
      <c r="AV1290">
        <v>18</v>
      </c>
      <c r="AW1290">
        <v>6</v>
      </c>
      <c r="AX1290" t="s">
        <v>351</v>
      </c>
      <c r="AY1290">
        <v>2.7820000000000001E-2</v>
      </c>
      <c r="AZ1290">
        <v>-1.6900000000000001E-3</v>
      </c>
      <c r="BA1290">
        <v>1.67E-3</v>
      </c>
      <c r="BB1290">
        <v>-1.3999999999999999E-4</v>
      </c>
      <c r="BC1290">
        <v>5.9970000000000002E-2</v>
      </c>
      <c r="BD1290">
        <v>1</v>
      </c>
      <c r="BE1290" t="s">
        <v>69</v>
      </c>
      <c r="BF1290">
        <v>-0.20300000000000001</v>
      </c>
      <c r="BG1290">
        <v>-0.27200000000000002</v>
      </c>
    </row>
    <row r="1291" spans="1:59">
      <c r="A1291">
        <v>0</v>
      </c>
      <c r="B1291">
        <v>0</v>
      </c>
      <c r="C1291">
        <v>0</v>
      </c>
      <c r="D1291" t="s">
        <v>25022</v>
      </c>
      <c r="E1291">
        <v>2630</v>
      </c>
      <c r="F1291" t="s">
        <v>15407</v>
      </c>
      <c r="G1291" t="s">
        <v>62</v>
      </c>
      <c r="H1291">
        <v>2608949</v>
      </c>
      <c r="I1291">
        <v>2609713</v>
      </c>
      <c r="J1291" t="s">
        <v>15408</v>
      </c>
      <c r="K1291">
        <v>255</v>
      </c>
      <c r="L1291" t="s">
        <v>108</v>
      </c>
      <c r="M1291">
        <v>44</v>
      </c>
      <c r="N1291" t="str">
        <f>HYPERLINK("Gene2630-zp_tree_all.dnd", "Gene2630-tree")</f>
        <v>Gene2630-tree</v>
      </c>
      <c r="O1291">
        <v>7</v>
      </c>
      <c r="P1291">
        <v>26</v>
      </c>
      <c r="Q1291">
        <v>7</v>
      </c>
      <c r="R1291">
        <v>4</v>
      </c>
      <c r="S1291">
        <v>0.36364000000000002</v>
      </c>
      <c r="T1291" t="s">
        <v>152</v>
      </c>
      <c r="U1291" t="s">
        <v>2333</v>
      </c>
      <c r="V1291">
        <v>6.0750000000000002</v>
      </c>
      <c r="W1291" t="s">
        <v>65</v>
      </c>
      <c r="X1291">
        <v>0</v>
      </c>
      <c r="Y1291">
        <v>0</v>
      </c>
      <c r="Z1291">
        <v>5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4</v>
      </c>
      <c r="AK1291">
        <v>0</v>
      </c>
      <c r="AL1291">
        <v>9</v>
      </c>
      <c r="AM1291">
        <v>5</v>
      </c>
      <c r="AN1291">
        <v>20</v>
      </c>
      <c r="AO1291">
        <v>4</v>
      </c>
      <c r="AP1291">
        <v>5</v>
      </c>
      <c r="AQ1291">
        <v>1</v>
      </c>
      <c r="AR1291" t="s">
        <v>15409</v>
      </c>
      <c r="AS1291" t="s">
        <v>15410</v>
      </c>
      <c r="AT1291">
        <v>3.0000000000000001E-3</v>
      </c>
      <c r="AU1291" t="s">
        <v>65</v>
      </c>
      <c r="AV1291">
        <v>25</v>
      </c>
      <c r="AW1291">
        <v>5</v>
      </c>
      <c r="AX1291" t="s">
        <v>15411</v>
      </c>
      <c r="AY1291">
        <v>3.372E-2</v>
      </c>
      <c r="AZ1291">
        <v>-1.6100000000000001E-3</v>
      </c>
      <c r="BA1291">
        <v>1.7700000000000001E-3</v>
      </c>
      <c r="BB1291">
        <v>-1.4999999999999999E-4</v>
      </c>
      <c r="BC1291">
        <v>5.2380000000000003E-2</v>
      </c>
      <c r="BD1291">
        <v>1</v>
      </c>
      <c r="BE1291" t="s">
        <v>69</v>
      </c>
      <c r="BF1291">
        <v>-0.28899999999999998</v>
      </c>
      <c r="BG1291">
        <v>-1.407</v>
      </c>
    </row>
    <row r="1292" spans="1:59">
      <c r="A1292">
        <v>0</v>
      </c>
      <c r="B1292">
        <v>0</v>
      </c>
      <c r="C1292">
        <v>4</v>
      </c>
      <c r="D1292" t="s">
        <v>25022</v>
      </c>
      <c r="E1292">
        <v>3732</v>
      </c>
      <c r="F1292" t="s">
        <v>21880</v>
      </c>
      <c r="G1292" t="s">
        <v>62</v>
      </c>
      <c r="H1292">
        <v>3708802</v>
      </c>
      <c r="I1292">
        <v>3709566</v>
      </c>
      <c r="J1292" t="s">
        <v>21881</v>
      </c>
      <c r="K1292">
        <v>255</v>
      </c>
      <c r="L1292" t="s">
        <v>59</v>
      </c>
      <c r="M1292">
        <v>49</v>
      </c>
      <c r="N1292" t="str">
        <f>HYPERLINK("Gene3732-zp_tree_all.dnd", "Gene3732-tree")</f>
        <v>Gene3732-tree</v>
      </c>
      <c r="O1292">
        <v>7</v>
      </c>
      <c r="P1292">
        <v>8</v>
      </c>
      <c r="Q1292">
        <v>7</v>
      </c>
      <c r="R1292">
        <v>8</v>
      </c>
      <c r="S1292">
        <v>0.53332999999999997</v>
      </c>
      <c r="T1292" t="s">
        <v>152</v>
      </c>
      <c r="U1292" t="s">
        <v>136</v>
      </c>
      <c r="V1292" t="s">
        <v>62</v>
      </c>
      <c r="W1292" t="s">
        <v>62</v>
      </c>
      <c r="X1292">
        <v>2</v>
      </c>
      <c r="Y1292">
        <v>4</v>
      </c>
      <c r="Z1292">
        <v>9</v>
      </c>
      <c r="AA1292">
        <v>0.30769000000000002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2</v>
      </c>
      <c r="AI1292">
        <v>2</v>
      </c>
      <c r="AJ1292">
        <v>7</v>
      </c>
      <c r="AK1292">
        <v>0.22222</v>
      </c>
      <c r="AL1292">
        <v>14</v>
      </c>
      <c r="AM1292">
        <v>10</v>
      </c>
      <c r="AN1292">
        <v>39</v>
      </c>
      <c r="AO1292">
        <v>9</v>
      </c>
      <c r="AP1292">
        <v>53</v>
      </c>
      <c r="AQ1292">
        <v>4</v>
      </c>
      <c r="AR1292" t="s">
        <v>21882</v>
      </c>
      <c r="AS1292" t="s">
        <v>21883</v>
      </c>
      <c r="AT1292">
        <v>0.95799999999999996</v>
      </c>
      <c r="AU1292" t="s">
        <v>65</v>
      </c>
      <c r="AV1292">
        <v>92</v>
      </c>
      <c r="AW1292">
        <v>13</v>
      </c>
      <c r="AX1292" t="s">
        <v>21884</v>
      </c>
      <c r="AY1292">
        <v>0.12870000000000001</v>
      </c>
      <c r="AZ1292">
        <v>-7.4400000000000004E-3</v>
      </c>
      <c r="BA1292">
        <v>4.8599999999999997E-3</v>
      </c>
      <c r="BB1292">
        <v>-2.7E-4</v>
      </c>
      <c r="BC1292">
        <v>3.7749999999999999E-2</v>
      </c>
      <c r="BD1292">
        <v>1</v>
      </c>
      <c r="BE1292" t="s">
        <v>69</v>
      </c>
      <c r="BF1292">
        <v>-0.95699999999999996</v>
      </c>
      <c r="BG1292">
        <v>-1.097</v>
      </c>
    </row>
    <row r="1293" spans="1:59">
      <c r="A1293">
        <v>0</v>
      </c>
      <c r="B1293">
        <v>0</v>
      </c>
      <c r="C1293">
        <v>2</v>
      </c>
      <c r="D1293" t="s">
        <v>25022</v>
      </c>
      <c r="E1293">
        <v>3060</v>
      </c>
      <c r="F1293" t="s">
        <v>17715</v>
      </c>
      <c r="G1293" t="s">
        <v>62</v>
      </c>
      <c r="H1293">
        <v>3010664</v>
      </c>
      <c r="I1293">
        <v>3011428</v>
      </c>
      <c r="J1293" t="s">
        <v>17716</v>
      </c>
      <c r="K1293">
        <v>255</v>
      </c>
      <c r="L1293" t="s">
        <v>59</v>
      </c>
      <c r="M1293">
        <v>49</v>
      </c>
      <c r="N1293" t="str">
        <f>HYPERLINK("Gene3060-zp_tree_all.dnd", "Gene3060-tree")</f>
        <v>Gene3060-tree</v>
      </c>
      <c r="O1293">
        <v>13</v>
      </c>
      <c r="P1293">
        <v>5</v>
      </c>
      <c r="Q1293">
        <v>13</v>
      </c>
      <c r="R1293">
        <v>5</v>
      </c>
      <c r="S1293">
        <v>0.27778000000000003</v>
      </c>
      <c r="T1293" t="s">
        <v>507</v>
      </c>
      <c r="U1293" t="s">
        <v>199</v>
      </c>
      <c r="V1293" t="s">
        <v>62</v>
      </c>
      <c r="W1293" t="s">
        <v>62</v>
      </c>
      <c r="X1293">
        <v>1</v>
      </c>
      <c r="Y1293">
        <v>2</v>
      </c>
      <c r="Z1293">
        <v>7</v>
      </c>
      <c r="AA1293">
        <v>0.22222</v>
      </c>
      <c r="AB1293">
        <v>0</v>
      </c>
      <c r="AC1293">
        <v>0</v>
      </c>
      <c r="AD1293">
        <v>0</v>
      </c>
      <c r="AE1293">
        <v>2</v>
      </c>
      <c r="AF1293">
        <v>0</v>
      </c>
      <c r="AG1293">
        <v>0</v>
      </c>
      <c r="AH1293">
        <v>0</v>
      </c>
      <c r="AI1293">
        <v>0</v>
      </c>
      <c r="AJ1293">
        <v>6</v>
      </c>
      <c r="AK1293">
        <v>0</v>
      </c>
      <c r="AL1293">
        <v>13</v>
      </c>
      <c r="AM1293">
        <v>10</v>
      </c>
      <c r="AN1293">
        <v>25</v>
      </c>
      <c r="AO1293">
        <v>4</v>
      </c>
      <c r="AP1293">
        <v>51</v>
      </c>
      <c r="AQ1293">
        <v>5</v>
      </c>
      <c r="AR1293" t="s">
        <v>17717</v>
      </c>
      <c r="AS1293" t="s">
        <v>17718</v>
      </c>
      <c r="AT1293">
        <v>0.34599999999999997</v>
      </c>
      <c r="AU1293" t="s">
        <v>65</v>
      </c>
      <c r="AV1293">
        <v>76</v>
      </c>
      <c r="AW1293">
        <v>9</v>
      </c>
      <c r="AX1293" t="s">
        <v>17719</v>
      </c>
      <c r="AY1293">
        <v>9.1950000000000004E-2</v>
      </c>
      <c r="AZ1293">
        <v>-6.1000000000000004E-3</v>
      </c>
      <c r="BA1293">
        <v>2.7899999999999999E-3</v>
      </c>
      <c r="BB1293">
        <v>-1.6000000000000001E-4</v>
      </c>
      <c r="BC1293">
        <v>3.0290000000000001E-2</v>
      </c>
      <c r="BD1293">
        <v>1</v>
      </c>
      <c r="BE1293" t="s">
        <v>69</v>
      </c>
      <c r="BF1293">
        <v>-1.286</v>
      </c>
      <c r="BG1293">
        <v>-0.72399999999999998</v>
      </c>
    </row>
    <row r="1294" spans="1:59">
      <c r="A1294">
        <v>0</v>
      </c>
      <c r="B1294">
        <v>2</v>
      </c>
      <c r="C1294">
        <v>0</v>
      </c>
      <c r="D1294" t="s">
        <v>25022</v>
      </c>
      <c r="E1294">
        <v>2348</v>
      </c>
      <c r="F1294" t="s">
        <v>13633</v>
      </c>
      <c r="G1294" t="s">
        <v>62</v>
      </c>
      <c r="H1294">
        <v>2363114</v>
      </c>
      <c r="I1294">
        <v>2363878</v>
      </c>
      <c r="J1294" t="s">
        <v>13634</v>
      </c>
      <c r="K1294">
        <v>255</v>
      </c>
      <c r="L1294" t="s">
        <v>214</v>
      </c>
      <c r="M1294">
        <v>48</v>
      </c>
      <c r="N1294" t="str">
        <f>HYPERLINK("Gene2348-zp_tree_all.dnd", "Gene2348-tree")</f>
        <v>Gene2348-tree</v>
      </c>
      <c r="O1294">
        <v>14</v>
      </c>
      <c r="P1294">
        <v>2</v>
      </c>
      <c r="Q1294">
        <v>14</v>
      </c>
      <c r="R1294">
        <v>2</v>
      </c>
      <c r="S1294">
        <v>0.125</v>
      </c>
      <c r="T1294" t="s">
        <v>543</v>
      </c>
      <c r="U1294" t="s">
        <v>81</v>
      </c>
      <c r="V1294" t="s">
        <v>62</v>
      </c>
      <c r="W1294" t="s">
        <v>62</v>
      </c>
      <c r="X1294">
        <v>1</v>
      </c>
      <c r="Y1294">
        <v>2</v>
      </c>
      <c r="Z1294">
        <v>3</v>
      </c>
      <c r="AA1294">
        <v>0.4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</v>
      </c>
      <c r="AK1294">
        <v>0</v>
      </c>
      <c r="AL1294">
        <v>15</v>
      </c>
      <c r="AM1294">
        <v>9</v>
      </c>
      <c r="AN1294">
        <v>39</v>
      </c>
      <c r="AO1294">
        <v>3</v>
      </c>
      <c r="AP1294">
        <v>54</v>
      </c>
      <c r="AQ1294">
        <v>2</v>
      </c>
      <c r="AR1294" t="s">
        <v>13635</v>
      </c>
      <c r="AS1294" t="s">
        <v>13636</v>
      </c>
      <c r="AT1294">
        <v>0.24399999999999999</v>
      </c>
      <c r="AU1294" t="s">
        <v>65</v>
      </c>
      <c r="AV1294">
        <v>93</v>
      </c>
      <c r="AW1294">
        <v>5</v>
      </c>
      <c r="AX1294" t="s">
        <v>13637</v>
      </c>
      <c r="AY1294">
        <v>0.12740000000000001</v>
      </c>
      <c r="AZ1294">
        <v>-9.1699999999999993E-3</v>
      </c>
      <c r="BA1294">
        <v>1.5900000000000001E-3</v>
      </c>
      <c r="BB1294">
        <v>-1.3999999999999999E-4</v>
      </c>
      <c r="BC1294">
        <v>1.2500000000000001E-2</v>
      </c>
      <c r="BD1294">
        <v>1</v>
      </c>
      <c r="BE1294" t="s">
        <v>69</v>
      </c>
      <c r="BF1294">
        <v>-0.377</v>
      </c>
      <c r="BG1294">
        <v>-2.4E-2</v>
      </c>
    </row>
    <row r="1295" spans="1:59">
      <c r="A1295">
        <v>0</v>
      </c>
      <c r="B1295">
        <v>2</v>
      </c>
      <c r="C1295">
        <v>0</v>
      </c>
      <c r="D1295" t="s">
        <v>25022</v>
      </c>
      <c r="E1295">
        <v>2443</v>
      </c>
      <c r="F1295" t="s">
        <v>14221</v>
      </c>
      <c r="G1295" t="s">
        <v>62</v>
      </c>
      <c r="H1295">
        <v>2443432</v>
      </c>
      <c r="I1295">
        <v>2444196</v>
      </c>
      <c r="J1295" t="s">
        <v>14222</v>
      </c>
      <c r="K1295">
        <v>255</v>
      </c>
      <c r="L1295" t="s">
        <v>59</v>
      </c>
      <c r="M1295">
        <v>49</v>
      </c>
      <c r="N1295" t="str">
        <f>HYPERLINK("Gene2443-zp_tree_all.dnd", "Gene2443-tree")</f>
        <v>Gene2443-tree</v>
      </c>
      <c r="O1295">
        <v>15</v>
      </c>
      <c r="P1295">
        <v>1</v>
      </c>
      <c r="Q1295">
        <v>15</v>
      </c>
      <c r="R1295">
        <v>1</v>
      </c>
      <c r="S1295">
        <v>6.25E-2</v>
      </c>
      <c r="T1295" t="s">
        <v>100</v>
      </c>
      <c r="U1295" t="s">
        <v>175</v>
      </c>
      <c r="V1295" t="s">
        <v>62</v>
      </c>
      <c r="W1295" t="s">
        <v>62</v>
      </c>
      <c r="X1295">
        <v>1</v>
      </c>
      <c r="Y1295">
        <v>2</v>
      </c>
      <c r="Z1295">
        <v>2</v>
      </c>
      <c r="AA1295">
        <v>0.5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11</v>
      </c>
      <c r="AM1295">
        <v>10</v>
      </c>
      <c r="AN1295">
        <v>18</v>
      </c>
      <c r="AO1295">
        <v>1</v>
      </c>
      <c r="AP1295">
        <v>56</v>
      </c>
      <c r="AQ1295">
        <v>3</v>
      </c>
      <c r="AR1295" t="s">
        <v>14223</v>
      </c>
      <c r="AS1295" t="s">
        <v>14224</v>
      </c>
      <c r="AT1295">
        <v>1.9E-2</v>
      </c>
      <c r="AU1295" t="s">
        <v>65</v>
      </c>
      <c r="AV1295">
        <v>74</v>
      </c>
      <c r="AW1295">
        <v>4</v>
      </c>
      <c r="AX1295" t="s">
        <v>14225</v>
      </c>
      <c r="AY1295">
        <v>0.12662999999999999</v>
      </c>
      <c r="AZ1295">
        <v>-8.2799999999999992E-3</v>
      </c>
      <c r="BA1295">
        <v>1.2700000000000001E-3</v>
      </c>
      <c r="BB1295">
        <v>-1.2999999999999999E-4</v>
      </c>
      <c r="BC1295">
        <v>1.0070000000000001E-2</v>
      </c>
      <c r="BD1295">
        <v>1</v>
      </c>
      <c r="BE1295" t="s">
        <v>69</v>
      </c>
      <c r="BF1295">
        <v>-1.266</v>
      </c>
      <c r="BG1295">
        <v>0.45500000000000002</v>
      </c>
    </row>
    <row r="1296" spans="1:59">
      <c r="A1296">
        <v>0</v>
      </c>
      <c r="B1296">
        <v>2</v>
      </c>
      <c r="C1296">
        <v>1</v>
      </c>
      <c r="D1296" t="s">
        <v>25022</v>
      </c>
      <c r="E1296">
        <v>2647</v>
      </c>
      <c r="F1296" t="s">
        <v>15509</v>
      </c>
      <c r="G1296" t="s">
        <v>62</v>
      </c>
      <c r="H1296">
        <v>2623035</v>
      </c>
      <c r="I1296">
        <v>2623802</v>
      </c>
      <c r="J1296" t="s">
        <v>15510</v>
      </c>
      <c r="K1296">
        <v>256</v>
      </c>
      <c r="L1296" t="s">
        <v>59</v>
      </c>
      <c r="M1296">
        <v>49</v>
      </c>
      <c r="N1296" t="str">
        <f>HYPERLINK("Gene2647-zp_tree_all.dnd", "Gene2647-tree")</f>
        <v>Gene2647-tree</v>
      </c>
      <c r="O1296">
        <v>9</v>
      </c>
      <c r="P1296">
        <v>8</v>
      </c>
      <c r="Q1296">
        <v>9</v>
      </c>
      <c r="R1296">
        <v>8</v>
      </c>
      <c r="S1296">
        <v>0.47059000000000001</v>
      </c>
      <c r="T1296" t="s">
        <v>135</v>
      </c>
      <c r="U1296" t="s">
        <v>136</v>
      </c>
      <c r="V1296" t="s">
        <v>62</v>
      </c>
      <c r="W1296" t="s">
        <v>62</v>
      </c>
      <c r="X1296">
        <v>1</v>
      </c>
      <c r="Y1296">
        <v>3</v>
      </c>
      <c r="Z1296">
        <v>22</v>
      </c>
      <c r="AA1296">
        <v>0.12</v>
      </c>
      <c r="AB1296">
        <v>0</v>
      </c>
      <c r="AC1296">
        <v>0</v>
      </c>
      <c r="AD1296">
        <v>0</v>
      </c>
      <c r="AE1296">
        <v>6</v>
      </c>
      <c r="AF1296">
        <v>0</v>
      </c>
      <c r="AG1296">
        <v>0</v>
      </c>
      <c r="AH1296">
        <v>2</v>
      </c>
      <c r="AI1296">
        <v>2</v>
      </c>
      <c r="AJ1296">
        <v>9</v>
      </c>
      <c r="AK1296">
        <v>0.18182000000000001</v>
      </c>
      <c r="AL1296">
        <v>14</v>
      </c>
      <c r="AM1296">
        <v>10</v>
      </c>
      <c r="AN1296">
        <v>35</v>
      </c>
      <c r="AO1296">
        <v>11</v>
      </c>
      <c r="AP1296">
        <v>26</v>
      </c>
      <c r="AQ1296">
        <v>14</v>
      </c>
      <c r="AR1296" t="s">
        <v>15511</v>
      </c>
      <c r="AS1296" t="s">
        <v>15512</v>
      </c>
      <c r="AT1296">
        <v>0.42099999999999999</v>
      </c>
      <c r="AU1296" t="s">
        <v>65</v>
      </c>
      <c r="AV1296">
        <v>61</v>
      </c>
      <c r="AW1296">
        <v>25</v>
      </c>
      <c r="AX1296" t="s">
        <v>15513</v>
      </c>
      <c r="AY1296">
        <v>6.9010000000000002E-2</v>
      </c>
      <c r="AZ1296">
        <v>-4.1700000000000001E-3</v>
      </c>
      <c r="BA1296">
        <v>1.0540000000000001E-2</v>
      </c>
      <c r="BB1296">
        <v>-7.5000000000000002E-4</v>
      </c>
      <c r="BC1296">
        <v>0.15279000000000001</v>
      </c>
      <c r="BD1296">
        <v>1</v>
      </c>
      <c r="BE1296" t="s">
        <v>69</v>
      </c>
      <c r="BF1296">
        <v>-1.425</v>
      </c>
      <c r="BG1296">
        <v>-1.806</v>
      </c>
    </row>
    <row r="1297" spans="1:59">
      <c r="A1297">
        <v>0</v>
      </c>
      <c r="B1297">
        <v>8</v>
      </c>
      <c r="C1297">
        <v>8</v>
      </c>
      <c r="D1297" t="s">
        <v>25022</v>
      </c>
      <c r="E1297">
        <v>3927</v>
      </c>
      <c r="F1297" t="s">
        <v>23044</v>
      </c>
      <c r="G1297" t="s">
        <v>62</v>
      </c>
      <c r="H1297">
        <v>3892354</v>
      </c>
      <c r="I1297">
        <v>3893121</v>
      </c>
      <c r="J1297" t="s">
        <v>23045</v>
      </c>
      <c r="K1297">
        <v>256</v>
      </c>
      <c r="L1297" t="s">
        <v>572</v>
      </c>
      <c r="M1297">
        <v>48</v>
      </c>
      <c r="N1297" t="str">
        <f>HYPERLINK("Gene3927-zp_tree_all.dnd", "Gene3927-tree")</f>
        <v>Gene3927-tree</v>
      </c>
      <c r="O1297">
        <v>11</v>
      </c>
      <c r="P1297">
        <v>10</v>
      </c>
      <c r="Q1297">
        <v>11</v>
      </c>
      <c r="R1297">
        <v>10</v>
      </c>
      <c r="S1297">
        <v>0.47619</v>
      </c>
      <c r="T1297" t="s">
        <v>73</v>
      </c>
      <c r="U1297" t="s">
        <v>117</v>
      </c>
      <c r="V1297" t="s">
        <v>62</v>
      </c>
      <c r="W1297" t="s">
        <v>62</v>
      </c>
      <c r="X1297">
        <v>8</v>
      </c>
      <c r="Y1297">
        <v>16</v>
      </c>
      <c r="Z1297">
        <v>12</v>
      </c>
      <c r="AA1297">
        <v>0.57142999999999999</v>
      </c>
      <c r="AB1297">
        <v>0</v>
      </c>
      <c r="AC1297">
        <v>0</v>
      </c>
      <c r="AD1297">
        <v>0</v>
      </c>
      <c r="AE1297">
        <v>3</v>
      </c>
      <c r="AF1297">
        <v>0</v>
      </c>
      <c r="AG1297">
        <v>2</v>
      </c>
      <c r="AH1297">
        <v>2</v>
      </c>
      <c r="AI1297">
        <v>4</v>
      </c>
      <c r="AJ1297">
        <v>13</v>
      </c>
      <c r="AK1297">
        <v>0.23529</v>
      </c>
      <c r="AL1297">
        <v>17</v>
      </c>
      <c r="AM1297">
        <v>13</v>
      </c>
      <c r="AN1297">
        <v>53</v>
      </c>
      <c r="AO1297">
        <v>18</v>
      </c>
      <c r="AP1297">
        <v>39</v>
      </c>
      <c r="AQ1297">
        <v>11</v>
      </c>
      <c r="AR1297" t="s">
        <v>23046</v>
      </c>
      <c r="AS1297" t="s">
        <v>23047</v>
      </c>
      <c r="AT1297">
        <v>0.13700000000000001</v>
      </c>
      <c r="AU1297" t="s">
        <v>65</v>
      </c>
      <c r="AV1297">
        <v>92</v>
      </c>
      <c r="AW1297">
        <v>29</v>
      </c>
      <c r="AX1297" t="s">
        <v>23048</v>
      </c>
      <c r="AY1297">
        <v>8.4360000000000004E-2</v>
      </c>
      <c r="AZ1297">
        <v>-5.3800000000000002E-3</v>
      </c>
      <c r="BA1297">
        <v>7.2399999999999999E-3</v>
      </c>
      <c r="BB1297">
        <v>-3.2000000000000003E-4</v>
      </c>
      <c r="BC1297">
        <v>8.5779999999999995E-2</v>
      </c>
      <c r="BD1297">
        <v>1</v>
      </c>
      <c r="BE1297" t="s">
        <v>69</v>
      </c>
      <c r="BF1297">
        <v>-1.5249999999999999</v>
      </c>
      <c r="BG1297">
        <v>-2.5880000000000001</v>
      </c>
    </row>
    <row r="1298" spans="1:59">
      <c r="A1298">
        <v>0</v>
      </c>
      <c r="B1298">
        <v>4</v>
      </c>
      <c r="C1298">
        <v>0</v>
      </c>
      <c r="D1298" t="s">
        <v>25022</v>
      </c>
      <c r="E1298">
        <v>3106</v>
      </c>
      <c r="F1298" t="s">
        <v>18017</v>
      </c>
      <c r="G1298" t="s">
        <v>62</v>
      </c>
      <c r="H1298">
        <v>3058634</v>
      </c>
      <c r="I1298">
        <v>3059401</v>
      </c>
      <c r="J1298" t="s">
        <v>18018</v>
      </c>
      <c r="K1298">
        <v>256</v>
      </c>
      <c r="L1298" t="s">
        <v>108</v>
      </c>
      <c r="M1298">
        <v>44</v>
      </c>
      <c r="N1298" t="str">
        <f>HYPERLINK("Gene3106-zp_tree_all.dnd", "Gene3106-tree")</f>
        <v>Gene3106-tree</v>
      </c>
      <c r="O1298">
        <v>6</v>
      </c>
      <c r="P1298">
        <v>8</v>
      </c>
      <c r="Q1298">
        <v>6</v>
      </c>
      <c r="R1298">
        <v>8</v>
      </c>
      <c r="S1298">
        <v>0.57142999999999999</v>
      </c>
      <c r="T1298" t="s">
        <v>90</v>
      </c>
      <c r="U1298" t="s">
        <v>136</v>
      </c>
      <c r="V1298" t="s">
        <v>62</v>
      </c>
      <c r="W1298" t="s">
        <v>62</v>
      </c>
      <c r="X1298">
        <v>1</v>
      </c>
      <c r="Y1298">
        <v>4</v>
      </c>
      <c r="Z1298">
        <v>7</v>
      </c>
      <c r="AA1298">
        <v>0.36364000000000002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</v>
      </c>
      <c r="AH1298">
        <v>0</v>
      </c>
      <c r="AI1298">
        <v>2</v>
      </c>
      <c r="AJ1298">
        <v>6</v>
      </c>
      <c r="AK1298">
        <v>0.25</v>
      </c>
      <c r="AL1298">
        <v>13</v>
      </c>
      <c r="AM1298">
        <v>10</v>
      </c>
      <c r="AN1298">
        <v>26</v>
      </c>
      <c r="AO1298">
        <v>8</v>
      </c>
      <c r="AP1298">
        <v>14</v>
      </c>
      <c r="AQ1298">
        <v>4</v>
      </c>
      <c r="AR1298" t="s">
        <v>18019</v>
      </c>
      <c r="AS1298" t="s">
        <v>18020</v>
      </c>
      <c r="AT1298">
        <v>6.5000000000000002E-2</v>
      </c>
      <c r="AU1298" t="s">
        <v>65</v>
      </c>
      <c r="AV1298">
        <v>40</v>
      </c>
      <c r="AW1298">
        <v>12</v>
      </c>
      <c r="AX1298" t="s">
        <v>18021</v>
      </c>
      <c r="AY1298">
        <v>4.7300000000000002E-2</v>
      </c>
      <c r="AZ1298">
        <v>-1.73E-3</v>
      </c>
      <c r="BA1298">
        <v>3.9899999999999996E-3</v>
      </c>
      <c r="BB1298">
        <v>-2.3000000000000001E-4</v>
      </c>
      <c r="BC1298">
        <v>8.4459999999999993E-2</v>
      </c>
      <c r="BD1298">
        <v>1</v>
      </c>
      <c r="BE1298" t="s">
        <v>69</v>
      </c>
      <c r="BF1298">
        <v>-0.53800000000000003</v>
      </c>
      <c r="BG1298">
        <v>-6.4000000000000001E-2</v>
      </c>
    </row>
    <row r="1299" spans="1:59">
      <c r="A1299">
        <v>0</v>
      </c>
      <c r="B1299">
        <v>2</v>
      </c>
      <c r="C1299">
        <v>0</v>
      </c>
      <c r="D1299" t="s">
        <v>25022</v>
      </c>
      <c r="E1299">
        <v>1614</v>
      </c>
      <c r="F1299" t="s">
        <v>10105</v>
      </c>
      <c r="G1299" t="s">
        <v>57</v>
      </c>
      <c r="H1299">
        <v>1626948</v>
      </c>
      <c r="I1299">
        <v>1627715</v>
      </c>
      <c r="J1299" t="s">
        <v>10106</v>
      </c>
      <c r="K1299">
        <v>256</v>
      </c>
      <c r="L1299" t="s">
        <v>465</v>
      </c>
      <c r="M1299">
        <v>46</v>
      </c>
      <c r="N1299" t="str">
        <f>HYPERLINK("Gene1614-zp_tree_all.dnd", "Gene1614-tree")</f>
        <v>Gene1614-tree</v>
      </c>
      <c r="O1299">
        <v>7</v>
      </c>
      <c r="P1299">
        <v>7</v>
      </c>
      <c r="Q1299">
        <v>7</v>
      </c>
      <c r="R1299">
        <v>7</v>
      </c>
      <c r="S1299">
        <v>0.5</v>
      </c>
      <c r="T1299" t="s">
        <v>152</v>
      </c>
      <c r="U1299" t="s">
        <v>152</v>
      </c>
      <c r="V1299" t="s">
        <v>62</v>
      </c>
      <c r="W1299" t="s">
        <v>62</v>
      </c>
      <c r="X1299">
        <v>1</v>
      </c>
      <c r="Y1299">
        <v>2</v>
      </c>
      <c r="Z1299">
        <v>11</v>
      </c>
      <c r="AA1299">
        <v>0.15384999999999999</v>
      </c>
      <c r="AB1299">
        <v>0</v>
      </c>
      <c r="AC1299">
        <v>0</v>
      </c>
      <c r="AD1299">
        <v>0</v>
      </c>
      <c r="AE1299">
        <v>4</v>
      </c>
      <c r="AF1299">
        <v>0</v>
      </c>
      <c r="AG1299">
        <v>0</v>
      </c>
      <c r="AH1299">
        <v>0</v>
      </c>
      <c r="AI1299">
        <v>0</v>
      </c>
      <c r="AJ1299">
        <v>7</v>
      </c>
      <c r="AK1299">
        <v>0</v>
      </c>
      <c r="AL1299">
        <v>12</v>
      </c>
      <c r="AM1299">
        <v>6</v>
      </c>
      <c r="AN1299">
        <v>23</v>
      </c>
      <c r="AO1299">
        <v>7</v>
      </c>
      <c r="AP1299">
        <v>29</v>
      </c>
      <c r="AQ1299">
        <v>6</v>
      </c>
      <c r="AR1299" t="s">
        <v>10107</v>
      </c>
      <c r="AS1299" t="s">
        <v>10108</v>
      </c>
      <c r="AT1299">
        <v>0.28399999999999997</v>
      </c>
      <c r="AU1299" t="s">
        <v>65</v>
      </c>
      <c r="AV1299">
        <v>52</v>
      </c>
      <c r="AW1299">
        <v>13</v>
      </c>
      <c r="AX1299" t="s">
        <v>10109</v>
      </c>
      <c r="AY1299">
        <v>6.3789999999999999E-2</v>
      </c>
      <c r="AZ1299">
        <v>-6.4900000000000001E-3</v>
      </c>
      <c r="BA1299">
        <v>5.0299999999999997E-3</v>
      </c>
      <c r="BB1299">
        <v>-3.3E-4</v>
      </c>
      <c r="BC1299">
        <v>7.8839999999999993E-2</v>
      </c>
      <c r="BD1299">
        <v>1</v>
      </c>
      <c r="BE1299" t="s">
        <v>69</v>
      </c>
      <c r="BF1299">
        <v>-1.599</v>
      </c>
      <c r="BG1299">
        <v>-6.9000000000000006E-2</v>
      </c>
    </row>
    <row r="1300" spans="1:59">
      <c r="A1300">
        <v>0</v>
      </c>
      <c r="B1300">
        <v>2</v>
      </c>
      <c r="C1300">
        <v>0</v>
      </c>
      <c r="D1300" t="s">
        <v>25022</v>
      </c>
      <c r="E1300">
        <v>3347</v>
      </c>
      <c r="F1300" t="s">
        <v>19558</v>
      </c>
      <c r="G1300" t="s">
        <v>62</v>
      </c>
      <c r="H1300">
        <v>3318032</v>
      </c>
      <c r="I1300">
        <v>3318799</v>
      </c>
      <c r="J1300" t="s">
        <v>19559</v>
      </c>
      <c r="K1300">
        <v>256</v>
      </c>
      <c r="L1300" t="s">
        <v>108</v>
      </c>
      <c r="M1300">
        <v>44</v>
      </c>
      <c r="N1300" t="str">
        <f>HYPERLINK("Gene3347-zp_tree_all.dnd", "Gene3347-tree")</f>
        <v>Gene3347-tree</v>
      </c>
      <c r="O1300">
        <v>28</v>
      </c>
      <c r="P1300">
        <v>4</v>
      </c>
      <c r="Q1300">
        <v>10</v>
      </c>
      <c r="R1300">
        <v>4</v>
      </c>
      <c r="S1300">
        <v>0.28571000000000002</v>
      </c>
      <c r="T1300" t="s">
        <v>7613</v>
      </c>
      <c r="U1300" t="s">
        <v>61</v>
      </c>
      <c r="V1300" t="s">
        <v>62</v>
      </c>
      <c r="W1300" t="s">
        <v>62</v>
      </c>
      <c r="X1300">
        <v>1</v>
      </c>
      <c r="Y1300">
        <v>2</v>
      </c>
      <c r="Z1300">
        <v>4</v>
      </c>
      <c r="AA1300">
        <v>0.33333000000000002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4</v>
      </c>
      <c r="AK1300">
        <v>0</v>
      </c>
      <c r="AL1300">
        <v>12</v>
      </c>
      <c r="AM1300">
        <v>5</v>
      </c>
      <c r="AN1300">
        <v>28</v>
      </c>
      <c r="AO1300">
        <v>4</v>
      </c>
      <c r="AP1300">
        <v>9</v>
      </c>
      <c r="AQ1300">
        <v>2</v>
      </c>
      <c r="AR1300" t="s">
        <v>19560</v>
      </c>
      <c r="AS1300" t="s">
        <v>19561</v>
      </c>
      <c r="AT1300">
        <v>0.187</v>
      </c>
      <c r="AU1300" t="s">
        <v>65</v>
      </c>
      <c r="AV1300">
        <v>37</v>
      </c>
      <c r="AW1300">
        <v>6</v>
      </c>
      <c r="AX1300" t="s">
        <v>19562</v>
      </c>
      <c r="AY1300">
        <v>3.0800000000000001E-2</v>
      </c>
      <c r="AZ1300">
        <v>-1.8699999999999999E-3</v>
      </c>
      <c r="BA1300">
        <v>1.8400000000000001E-3</v>
      </c>
      <c r="BB1300">
        <v>-1.7000000000000001E-4</v>
      </c>
      <c r="BC1300">
        <v>5.9749999999999998E-2</v>
      </c>
      <c r="BD1300">
        <v>1</v>
      </c>
      <c r="BE1300" t="s">
        <v>69</v>
      </c>
      <c r="BF1300">
        <v>-1.1599999999999999</v>
      </c>
      <c r="BG1300">
        <v>-2.0539999999999998</v>
      </c>
    </row>
    <row r="1301" spans="1:59">
      <c r="A1301">
        <v>0</v>
      </c>
      <c r="B1301">
        <v>4</v>
      </c>
      <c r="C1301">
        <v>1</v>
      </c>
      <c r="D1301" t="s">
        <v>25022</v>
      </c>
      <c r="E1301">
        <v>2366</v>
      </c>
      <c r="F1301" t="s">
        <v>13754</v>
      </c>
      <c r="G1301" t="s">
        <v>62</v>
      </c>
      <c r="H1301">
        <v>2380350</v>
      </c>
      <c r="I1301">
        <v>2381117</v>
      </c>
      <c r="J1301" t="s">
        <v>13755</v>
      </c>
      <c r="K1301">
        <v>256</v>
      </c>
      <c r="L1301" t="s">
        <v>13568</v>
      </c>
      <c r="M1301">
        <v>40</v>
      </c>
      <c r="N1301" t="str">
        <f>HYPERLINK("Gene2366-zp_tree_all.dnd", "Gene2366-tree")</f>
        <v>Gene2366-tree</v>
      </c>
      <c r="O1301">
        <v>9</v>
      </c>
      <c r="P1301">
        <v>7</v>
      </c>
      <c r="Q1301">
        <v>9</v>
      </c>
      <c r="R1301">
        <v>7</v>
      </c>
      <c r="S1301">
        <v>0.4375</v>
      </c>
      <c r="T1301" t="s">
        <v>135</v>
      </c>
      <c r="U1301" t="s">
        <v>152</v>
      </c>
      <c r="V1301" t="s">
        <v>62</v>
      </c>
      <c r="W1301" t="s">
        <v>62</v>
      </c>
      <c r="X1301">
        <v>2</v>
      </c>
      <c r="Y1301">
        <v>5</v>
      </c>
      <c r="Z1301">
        <v>6</v>
      </c>
      <c r="AA1301">
        <v>0.45455000000000001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2</v>
      </c>
      <c r="AH1301">
        <v>2</v>
      </c>
      <c r="AI1301">
        <v>4</v>
      </c>
      <c r="AJ1301">
        <v>4</v>
      </c>
      <c r="AK1301">
        <v>0.5</v>
      </c>
      <c r="AL1301">
        <v>12</v>
      </c>
      <c r="AM1301">
        <v>9</v>
      </c>
      <c r="AN1301">
        <v>38</v>
      </c>
      <c r="AO1301">
        <v>7</v>
      </c>
      <c r="AP1301">
        <v>16</v>
      </c>
      <c r="AQ1301">
        <v>4</v>
      </c>
      <c r="AR1301" t="s">
        <v>13756</v>
      </c>
      <c r="AS1301" t="s">
        <v>13757</v>
      </c>
      <c r="AT1301">
        <v>0.25600000000000001</v>
      </c>
      <c r="AU1301" t="s">
        <v>65</v>
      </c>
      <c r="AV1301">
        <v>54</v>
      </c>
      <c r="AW1301">
        <v>11</v>
      </c>
      <c r="AX1301" t="s">
        <v>13758</v>
      </c>
      <c r="AY1301">
        <v>5.4949999999999999E-2</v>
      </c>
      <c r="AZ1301">
        <v>-3.1700000000000001E-3</v>
      </c>
      <c r="BA1301">
        <v>2.98E-3</v>
      </c>
      <c r="BB1301">
        <v>-1.6000000000000001E-4</v>
      </c>
      <c r="BC1301">
        <v>5.4239999999999997E-2</v>
      </c>
      <c r="BD1301">
        <v>1</v>
      </c>
      <c r="BE1301" t="s">
        <v>69</v>
      </c>
      <c r="BF1301">
        <v>-1.413</v>
      </c>
      <c r="BG1301">
        <v>-2.371</v>
      </c>
    </row>
    <row r="1302" spans="1:59">
      <c r="A1302">
        <v>0</v>
      </c>
      <c r="B1302">
        <v>0</v>
      </c>
      <c r="C1302">
        <v>0</v>
      </c>
      <c r="D1302" t="s">
        <v>25022</v>
      </c>
      <c r="E1302">
        <v>1207</v>
      </c>
      <c r="F1302" t="s">
        <v>7598</v>
      </c>
      <c r="G1302" t="s">
        <v>57</v>
      </c>
      <c r="H1302">
        <v>1245041</v>
      </c>
      <c r="I1302">
        <v>1245808</v>
      </c>
      <c r="J1302" t="s">
        <v>7599</v>
      </c>
      <c r="K1302">
        <v>256</v>
      </c>
      <c r="L1302" t="s">
        <v>108</v>
      </c>
      <c r="M1302">
        <v>44</v>
      </c>
      <c r="N1302" t="str">
        <f>HYPERLINK("Gene1207-zp_tree_all.dnd", "Gene1207-tree")</f>
        <v>Gene1207-tree</v>
      </c>
      <c r="O1302">
        <v>28</v>
      </c>
      <c r="P1302">
        <v>3</v>
      </c>
      <c r="Q1302">
        <v>9</v>
      </c>
      <c r="R1302">
        <v>3</v>
      </c>
      <c r="S1302">
        <v>0.25</v>
      </c>
      <c r="T1302" t="s">
        <v>2825</v>
      </c>
      <c r="U1302" t="s">
        <v>324</v>
      </c>
      <c r="V1302" t="s">
        <v>62</v>
      </c>
      <c r="W1302" t="s">
        <v>62</v>
      </c>
      <c r="X1302">
        <v>0</v>
      </c>
      <c r="Y1302">
        <v>0</v>
      </c>
      <c r="Z1302">
        <v>5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5</v>
      </c>
      <c r="AK1302">
        <v>0</v>
      </c>
      <c r="AL1302">
        <v>12</v>
      </c>
      <c r="AM1302">
        <v>9</v>
      </c>
      <c r="AN1302">
        <v>30</v>
      </c>
      <c r="AO1302">
        <v>5</v>
      </c>
      <c r="AP1302">
        <v>19</v>
      </c>
      <c r="AQ1302">
        <v>0</v>
      </c>
      <c r="AR1302" t="s">
        <v>7600</v>
      </c>
      <c r="AS1302" t="s">
        <v>193</v>
      </c>
      <c r="AT1302">
        <v>0.72</v>
      </c>
      <c r="AU1302" t="s">
        <v>65</v>
      </c>
      <c r="AV1302">
        <v>49</v>
      </c>
      <c r="AW1302">
        <v>5</v>
      </c>
      <c r="AX1302" t="s">
        <v>7601</v>
      </c>
      <c r="AY1302">
        <v>5.5870000000000003E-2</v>
      </c>
      <c r="AZ1302">
        <v>-2.2100000000000002E-3</v>
      </c>
      <c r="BA1302">
        <v>1.6900000000000001E-3</v>
      </c>
      <c r="BB1302">
        <v>-2.5000000000000001E-4</v>
      </c>
      <c r="BC1302">
        <v>3.0280000000000001E-2</v>
      </c>
      <c r="BD1302">
        <v>1</v>
      </c>
      <c r="BE1302" t="s">
        <v>69</v>
      </c>
      <c r="BF1302">
        <v>0.66500000000000004</v>
      </c>
      <c r="BG1302">
        <v>-0.222</v>
      </c>
    </row>
    <row r="1303" spans="1:59">
      <c r="A1303">
        <v>0</v>
      </c>
      <c r="B1303">
        <v>6</v>
      </c>
      <c r="C1303">
        <v>0</v>
      </c>
      <c r="D1303" t="s">
        <v>25022</v>
      </c>
      <c r="E1303">
        <v>3794</v>
      </c>
      <c r="F1303" t="s">
        <v>22228</v>
      </c>
      <c r="G1303" t="s">
        <v>62</v>
      </c>
      <c r="H1303">
        <v>3764136</v>
      </c>
      <c r="I1303">
        <v>3764906</v>
      </c>
      <c r="J1303" t="s">
        <v>22229</v>
      </c>
      <c r="K1303">
        <v>257</v>
      </c>
      <c r="L1303" t="s">
        <v>108</v>
      </c>
      <c r="M1303">
        <v>44</v>
      </c>
      <c r="N1303" t="str">
        <f>HYPERLINK("Gene3794-zp_tree_all.dnd", "Gene3794-tree")</f>
        <v>Gene3794-tree</v>
      </c>
      <c r="O1303">
        <v>4</v>
      </c>
      <c r="P1303">
        <v>10</v>
      </c>
      <c r="Q1303">
        <v>4</v>
      </c>
      <c r="R1303">
        <v>10</v>
      </c>
      <c r="S1303">
        <v>0.71428999999999998</v>
      </c>
      <c r="T1303" t="s">
        <v>61</v>
      </c>
      <c r="U1303" t="s">
        <v>117</v>
      </c>
      <c r="V1303" t="s">
        <v>62</v>
      </c>
      <c r="W1303" t="s">
        <v>62</v>
      </c>
      <c r="X1303">
        <v>3</v>
      </c>
      <c r="Y1303">
        <v>6</v>
      </c>
      <c r="Z1303">
        <v>19</v>
      </c>
      <c r="AA1303">
        <v>0.24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6</v>
      </c>
      <c r="AH1303">
        <v>0</v>
      </c>
      <c r="AI1303">
        <v>6</v>
      </c>
      <c r="AJ1303">
        <v>17</v>
      </c>
      <c r="AK1303">
        <v>0.26086999999999999</v>
      </c>
      <c r="AL1303">
        <v>13</v>
      </c>
      <c r="AM1303">
        <v>10</v>
      </c>
      <c r="AN1303">
        <v>21</v>
      </c>
      <c r="AO1303">
        <v>22</v>
      </c>
      <c r="AP1303">
        <v>10</v>
      </c>
      <c r="AQ1303">
        <v>3</v>
      </c>
      <c r="AR1303" t="s">
        <v>22230</v>
      </c>
      <c r="AS1303" t="s">
        <v>22231</v>
      </c>
      <c r="AT1303">
        <v>1.2470000000000001</v>
      </c>
      <c r="AU1303" t="s">
        <v>65</v>
      </c>
      <c r="AV1303">
        <v>31</v>
      </c>
      <c r="AW1303">
        <v>25</v>
      </c>
      <c r="AX1303" t="s">
        <v>22232</v>
      </c>
      <c r="AY1303">
        <v>3.6700000000000003E-2</v>
      </c>
      <c r="AZ1303">
        <v>-1.73E-3</v>
      </c>
      <c r="BA1303">
        <v>6.6100000000000004E-3</v>
      </c>
      <c r="BB1303">
        <v>-4.2999999999999999E-4</v>
      </c>
      <c r="BC1303">
        <v>0.18024000000000001</v>
      </c>
      <c r="BD1303">
        <v>1</v>
      </c>
      <c r="BE1303" t="s">
        <v>69</v>
      </c>
      <c r="BF1303">
        <v>-0.65100000000000002</v>
      </c>
      <c r="BG1303">
        <v>-2.0489999999999999</v>
      </c>
    </row>
    <row r="1304" spans="1:59">
      <c r="A1304">
        <v>0</v>
      </c>
      <c r="B1304">
        <v>8</v>
      </c>
      <c r="C1304">
        <v>3</v>
      </c>
      <c r="D1304" t="s">
        <v>25022</v>
      </c>
      <c r="E1304">
        <v>2276</v>
      </c>
      <c r="F1304" t="s">
        <v>13169</v>
      </c>
      <c r="G1304" t="s">
        <v>62</v>
      </c>
      <c r="H1304">
        <v>2299409</v>
      </c>
      <c r="I1304">
        <v>2300179</v>
      </c>
      <c r="J1304" t="s">
        <v>13170</v>
      </c>
      <c r="K1304">
        <v>257</v>
      </c>
      <c r="L1304" t="s">
        <v>108</v>
      </c>
      <c r="M1304">
        <v>44</v>
      </c>
      <c r="N1304" t="str">
        <f>HYPERLINK("Gene2276-zp_tree_all.dnd", "Gene2276-tree")</f>
        <v>Gene2276-tree</v>
      </c>
      <c r="O1304">
        <v>5</v>
      </c>
      <c r="P1304">
        <v>8</v>
      </c>
      <c r="Q1304">
        <v>5</v>
      </c>
      <c r="R1304">
        <v>8</v>
      </c>
      <c r="S1304">
        <v>0.61538000000000004</v>
      </c>
      <c r="T1304" t="s">
        <v>199</v>
      </c>
      <c r="U1304" t="s">
        <v>136</v>
      </c>
      <c r="V1304" t="s">
        <v>62</v>
      </c>
      <c r="W1304" t="s">
        <v>62</v>
      </c>
      <c r="X1304">
        <v>4</v>
      </c>
      <c r="Y1304">
        <v>11</v>
      </c>
      <c r="Z1304">
        <v>10</v>
      </c>
      <c r="AA1304">
        <v>0.52381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2</v>
      </c>
      <c r="AH1304">
        <v>2</v>
      </c>
      <c r="AI1304">
        <v>4</v>
      </c>
      <c r="AJ1304">
        <v>9</v>
      </c>
      <c r="AK1304">
        <v>0.30769000000000002</v>
      </c>
      <c r="AL1304">
        <v>10</v>
      </c>
      <c r="AM1304">
        <v>10</v>
      </c>
      <c r="AN1304">
        <v>22</v>
      </c>
      <c r="AO1304">
        <v>10</v>
      </c>
      <c r="AP1304">
        <v>20</v>
      </c>
      <c r="AQ1304">
        <v>11</v>
      </c>
      <c r="AR1304" t="s">
        <v>13171</v>
      </c>
      <c r="AS1304" t="s">
        <v>13172</v>
      </c>
      <c r="AT1304">
        <v>0.41499999999999998</v>
      </c>
      <c r="AU1304" t="s">
        <v>65</v>
      </c>
      <c r="AV1304">
        <v>42</v>
      </c>
      <c r="AW1304">
        <v>21</v>
      </c>
      <c r="AX1304" t="s">
        <v>13173</v>
      </c>
      <c r="AY1304">
        <v>5.5919999999999997E-2</v>
      </c>
      <c r="AZ1304">
        <v>-2.31E-3</v>
      </c>
      <c r="BA1304">
        <v>8.3000000000000001E-3</v>
      </c>
      <c r="BB1304">
        <v>-4.0000000000000002E-4</v>
      </c>
      <c r="BC1304">
        <v>0.14837</v>
      </c>
      <c r="BD1304">
        <v>1</v>
      </c>
      <c r="BE1304" t="s">
        <v>69</v>
      </c>
      <c r="BF1304">
        <v>0.182</v>
      </c>
      <c r="BG1304">
        <v>0.28699999999999998</v>
      </c>
    </row>
    <row r="1305" spans="1:59">
      <c r="A1305">
        <v>0</v>
      </c>
      <c r="B1305">
        <v>5</v>
      </c>
      <c r="C1305">
        <v>2</v>
      </c>
      <c r="D1305" t="s">
        <v>25022</v>
      </c>
      <c r="E1305">
        <v>413</v>
      </c>
      <c r="F1305" t="s">
        <v>2801</v>
      </c>
      <c r="G1305" t="s">
        <v>57</v>
      </c>
      <c r="H1305">
        <v>457023</v>
      </c>
      <c r="I1305">
        <v>457793</v>
      </c>
      <c r="J1305" t="s">
        <v>2802</v>
      </c>
      <c r="K1305">
        <v>257</v>
      </c>
      <c r="L1305" t="s">
        <v>2803</v>
      </c>
      <c r="M1305">
        <v>45</v>
      </c>
      <c r="N1305" t="str">
        <f>HYPERLINK("Gene413-zp_tree_all.dnd", "Gene413-tree")</f>
        <v>Gene413-tree</v>
      </c>
      <c r="O1305">
        <v>5</v>
      </c>
      <c r="P1305">
        <v>9</v>
      </c>
      <c r="Q1305">
        <v>5</v>
      </c>
      <c r="R1305">
        <v>9</v>
      </c>
      <c r="S1305">
        <v>0.64285999999999999</v>
      </c>
      <c r="T1305" t="s">
        <v>199</v>
      </c>
      <c r="U1305" t="s">
        <v>135</v>
      </c>
      <c r="V1305" t="s">
        <v>62</v>
      </c>
      <c r="W1305" t="s">
        <v>62</v>
      </c>
      <c r="X1305">
        <v>2</v>
      </c>
      <c r="Y1305">
        <v>7</v>
      </c>
      <c r="Z1305">
        <v>14</v>
      </c>
      <c r="AA1305">
        <v>0.33333000000000002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3</v>
      </c>
      <c r="AH1305">
        <v>2</v>
      </c>
      <c r="AI1305">
        <v>5</v>
      </c>
      <c r="AJ1305">
        <v>10</v>
      </c>
      <c r="AK1305">
        <v>0.33333000000000002</v>
      </c>
      <c r="AL1305">
        <v>12</v>
      </c>
      <c r="AM1305">
        <v>7</v>
      </c>
      <c r="AN1305">
        <v>46</v>
      </c>
      <c r="AO1305">
        <v>14</v>
      </c>
      <c r="AP1305">
        <v>13</v>
      </c>
      <c r="AQ1305">
        <v>7</v>
      </c>
      <c r="AR1305" t="s">
        <v>2804</v>
      </c>
      <c r="AS1305" t="s">
        <v>2805</v>
      </c>
      <c r="AT1305">
        <v>0.54</v>
      </c>
      <c r="AU1305" t="s">
        <v>65</v>
      </c>
      <c r="AV1305">
        <v>59</v>
      </c>
      <c r="AW1305">
        <v>21</v>
      </c>
      <c r="AX1305" t="s">
        <v>2806</v>
      </c>
      <c r="AY1305">
        <v>5.4089999999999999E-2</v>
      </c>
      <c r="AZ1305">
        <v>-6.4000000000000003E-3</v>
      </c>
      <c r="BA1305">
        <v>6.9300000000000004E-3</v>
      </c>
      <c r="BB1305">
        <v>-4.2000000000000002E-4</v>
      </c>
      <c r="BC1305">
        <v>0.12806000000000001</v>
      </c>
      <c r="BD1305">
        <v>1</v>
      </c>
      <c r="BE1305" t="s">
        <v>69</v>
      </c>
      <c r="BF1305">
        <v>-1.69</v>
      </c>
      <c r="BG1305">
        <v>-4.0970000000000004</v>
      </c>
    </row>
    <row r="1306" spans="1:59">
      <c r="A1306">
        <v>0</v>
      </c>
      <c r="B1306">
        <v>4</v>
      </c>
      <c r="C1306">
        <v>0</v>
      </c>
      <c r="D1306" t="s">
        <v>25022</v>
      </c>
      <c r="E1306">
        <v>4035</v>
      </c>
      <c r="F1306" t="s">
        <v>23755</v>
      </c>
      <c r="G1306" t="s">
        <v>62</v>
      </c>
      <c r="H1306">
        <v>4000542</v>
      </c>
      <c r="I1306">
        <v>4001312</v>
      </c>
      <c r="J1306" t="s">
        <v>23756</v>
      </c>
      <c r="K1306">
        <v>257</v>
      </c>
      <c r="L1306" t="s">
        <v>108</v>
      </c>
      <c r="M1306">
        <v>44</v>
      </c>
      <c r="N1306" t="str">
        <f>HYPERLINK("Gene4035-zp_tree_all.dnd", "Gene4035-tree")</f>
        <v>Gene4035-tree</v>
      </c>
      <c r="O1306">
        <v>10</v>
      </c>
      <c r="P1306">
        <v>4</v>
      </c>
      <c r="Q1306">
        <v>10</v>
      </c>
      <c r="R1306">
        <v>4</v>
      </c>
      <c r="S1306">
        <v>0.28571000000000002</v>
      </c>
      <c r="T1306" t="s">
        <v>117</v>
      </c>
      <c r="U1306" t="s">
        <v>61</v>
      </c>
      <c r="V1306" t="s">
        <v>62</v>
      </c>
      <c r="W1306" t="s">
        <v>62</v>
      </c>
      <c r="X1306">
        <v>2</v>
      </c>
      <c r="Y1306">
        <v>4</v>
      </c>
      <c r="Z1306">
        <v>10</v>
      </c>
      <c r="AA1306">
        <v>0.28571000000000002</v>
      </c>
      <c r="AB1306">
        <v>0</v>
      </c>
      <c r="AC1306">
        <v>0</v>
      </c>
      <c r="AD1306">
        <v>0</v>
      </c>
      <c r="AE1306">
        <v>2</v>
      </c>
      <c r="AF1306">
        <v>0</v>
      </c>
      <c r="AG1306">
        <v>0</v>
      </c>
      <c r="AH1306">
        <v>0</v>
      </c>
      <c r="AI1306">
        <v>0</v>
      </c>
      <c r="AJ1306">
        <v>10</v>
      </c>
      <c r="AK1306">
        <v>0</v>
      </c>
      <c r="AL1306">
        <v>10</v>
      </c>
      <c r="AM1306">
        <v>10</v>
      </c>
      <c r="AN1306">
        <v>23</v>
      </c>
      <c r="AO1306">
        <v>10</v>
      </c>
      <c r="AP1306">
        <v>15</v>
      </c>
      <c r="AQ1306">
        <v>4</v>
      </c>
      <c r="AR1306" t="s">
        <v>23757</v>
      </c>
      <c r="AS1306" t="s">
        <v>23758</v>
      </c>
      <c r="AT1306">
        <v>0.26</v>
      </c>
      <c r="AU1306" t="s">
        <v>65</v>
      </c>
      <c r="AV1306">
        <v>38</v>
      </c>
      <c r="AW1306">
        <v>14</v>
      </c>
      <c r="AX1306" t="s">
        <v>23759</v>
      </c>
      <c r="AY1306">
        <v>4.0210000000000003E-2</v>
      </c>
      <c r="AZ1306">
        <v>-2.0600000000000002E-3</v>
      </c>
      <c r="BA1306">
        <v>4.7200000000000002E-3</v>
      </c>
      <c r="BB1306">
        <v>-3.8000000000000002E-4</v>
      </c>
      <c r="BC1306">
        <v>0.11734</v>
      </c>
      <c r="BD1306">
        <v>1</v>
      </c>
      <c r="BE1306" t="s">
        <v>69</v>
      </c>
      <c r="BF1306">
        <v>-0.11799999999999999</v>
      </c>
      <c r="BG1306">
        <v>-1.4790000000000001</v>
      </c>
    </row>
    <row r="1307" spans="1:59">
      <c r="A1307">
        <v>0</v>
      </c>
      <c r="B1307">
        <v>6</v>
      </c>
      <c r="C1307">
        <v>0</v>
      </c>
      <c r="D1307" t="s">
        <v>25022</v>
      </c>
      <c r="E1307">
        <v>415</v>
      </c>
      <c r="F1307" t="s">
        <v>2816</v>
      </c>
      <c r="G1307" t="s">
        <v>57</v>
      </c>
      <c r="H1307">
        <v>459049</v>
      </c>
      <c r="I1307">
        <v>459819</v>
      </c>
      <c r="J1307" t="s">
        <v>2817</v>
      </c>
      <c r="K1307">
        <v>257</v>
      </c>
      <c r="L1307" t="s">
        <v>108</v>
      </c>
      <c r="M1307">
        <v>44</v>
      </c>
      <c r="N1307" t="str">
        <f>HYPERLINK("Gene415-zp_tree_all.dnd", "Gene415-tree")</f>
        <v>Gene415-tree</v>
      </c>
      <c r="O1307">
        <v>7</v>
      </c>
      <c r="P1307">
        <v>8</v>
      </c>
      <c r="Q1307">
        <v>7</v>
      </c>
      <c r="R1307">
        <v>8</v>
      </c>
      <c r="S1307">
        <v>0.53332999999999997</v>
      </c>
      <c r="T1307" t="s">
        <v>152</v>
      </c>
      <c r="U1307" t="s">
        <v>136</v>
      </c>
      <c r="V1307" t="s">
        <v>62</v>
      </c>
      <c r="W1307" t="s">
        <v>62</v>
      </c>
      <c r="X1307">
        <v>3</v>
      </c>
      <c r="Y1307">
        <v>6</v>
      </c>
      <c r="Z1307">
        <v>11</v>
      </c>
      <c r="AA1307">
        <v>0.35293999999999998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</v>
      </c>
      <c r="AH1307">
        <v>0</v>
      </c>
      <c r="AI1307">
        <v>4</v>
      </c>
      <c r="AJ1307">
        <v>12</v>
      </c>
      <c r="AK1307">
        <v>0.25</v>
      </c>
      <c r="AL1307">
        <v>12</v>
      </c>
      <c r="AM1307">
        <v>9</v>
      </c>
      <c r="AN1307">
        <v>22</v>
      </c>
      <c r="AO1307">
        <v>16</v>
      </c>
      <c r="AP1307">
        <v>18</v>
      </c>
      <c r="AQ1307">
        <v>1</v>
      </c>
      <c r="AR1307" t="s">
        <v>2818</v>
      </c>
      <c r="AS1307" t="s">
        <v>2819</v>
      </c>
      <c r="AT1307">
        <v>1.6220000000000001</v>
      </c>
      <c r="AU1307" t="s">
        <v>65</v>
      </c>
      <c r="AV1307">
        <v>40</v>
      </c>
      <c r="AW1307">
        <v>17</v>
      </c>
      <c r="AX1307" t="s">
        <v>2820</v>
      </c>
      <c r="AY1307">
        <v>3.8739999999999997E-2</v>
      </c>
      <c r="AZ1307">
        <v>-1.48E-3</v>
      </c>
      <c r="BA1307">
        <v>4.15E-3</v>
      </c>
      <c r="BB1307">
        <v>-2.9999999999999997E-4</v>
      </c>
      <c r="BC1307">
        <v>0.10705000000000001</v>
      </c>
      <c r="BD1307">
        <v>1</v>
      </c>
      <c r="BE1307" t="s">
        <v>69</v>
      </c>
      <c r="BF1307">
        <v>-1.3680000000000001</v>
      </c>
      <c r="BG1307">
        <v>-2.99</v>
      </c>
    </row>
    <row r="1308" spans="1:59">
      <c r="A1308">
        <v>0</v>
      </c>
      <c r="B1308">
        <v>10</v>
      </c>
      <c r="C1308">
        <v>0</v>
      </c>
      <c r="D1308" t="s">
        <v>25022</v>
      </c>
      <c r="E1308">
        <v>1622</v>
      </c>
      <c r="F1308" t="s">
        <v>10160</v>
      </c>
      <c r="G1308" t="s">
        <v>57</v>
      </c>
      <c r="H1308">
        <v>1634061</v>
      </c>
      <c r="I1308">
        <v>1634831</v>
      </c>
      <c r="J1308" t="s">
        <v>10161</v>
      </c>
      <c r="K1308">
        <v>257</v>
      </c>
      <c r="L1308" t="s">
        <v>59</v>
      </c>
      <c r="M1308">
        <v>49</v>
      </c>
      <c r="N1308" t="str">
        <f>HYPERLINK("Gene1622-zp_tree_all.dnd", "Gene1622-tree")</f>
        <v>Gene1622-tree</v>
      </c>
      <c r="O1308">
        <v>28</v>
      </c>
      <c r="P1308">
        <v>9</v>
      </c>
      <c r="Q1308">
        <v>8</v>
      </c>
      <c r="R1308">
        <v>9</v>
      </c>
      <c r="S1308">
        <v>0.52941000000000005</v>
      </c>
      <c r="T1308" t="s">
        <v>3778</v>
      </c>
      <c r="U1308" t="s">
        <v>135</v>
      </c>
      <c r="V1308" t="s">
        <v>62</v>
      </c>
      <c r="W1308" t="s">
        <v>62</v>
      </c>
      <c r="X1308">
        <v>4</v>
      </c>
      <c r="Y1308">
        <v>10</v>
      </c>
      <c r="Z1308">
        <v>13</v>
      </c>
      <c r="AA1308">
        <v>0.43478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11</v>
      </c>
      <c r="AK1308">
        <v>0</v>
      </c>
      <c r="AL1308">
        <v>15</v>
      </c>
      <c r="AM1308">
        <v>12</v>
      </c>
      <c r="AN1308">
        <v>33</v>
      </c>
      <c r="AO1308">
        <v>11</v>
      </c>
      <c r="AP1308">
        <v>40</v>
      </c>
      <c r="AQ1308">
        <v>12</v>
      </c>
      <c r="AR1308" t="s">
        <v>10162</v>
      </c>
      <c r="AS1308" t="s">
        <v>10163</v>
      </c>
      <c r="AT1308">
        <v>0.114</v>
      </c>
      <c r="AU1308" t="s">
        <v>65</v>
      </c>
      <c r="AV1308">
        <v>73</v>
      </c>
      <c r="AW1308">
        <v>23</v>
      </c>
      <c r="AX1308" t="s">
        <v>10164</v>
      </c>
      <c r="AY1308">
        <v>8.7300000000000003E-2</v>
      </c>
      <c r="AZ1308">
        <v>-3.14E-3</v>
      </c>
      <c r="BA1308">
        <v>7.4099999999999999E-3</v>
      </c>
      <c r="BB1308">
        <v>-3.8000000000000002E-4</v>
      </c>
      <c r="BC1308">
        <v>8.4830000000000003E-2</v>
      </c>
      <c r="BD1308">
        <v>1</v>
      </c>
      <c r="BE1308" t="s">
        <v>69</v>
      </c>
      <c r="BF1308">
        <v>-0.71799999999999997</v>
      </c>
      <c r="BG1308">
        <v>-1.2549999999999999</v>
      </c>
    </row>
    <row r="1309" spans="1:59">
      <c r="A1309">
        <v>0</v>
      </c>
      <c r="B1309">
        <v>7</v>
      </c>
      <c r="C1309">
        <v>3</v>
      </c>
      <c r="D1309" t="s">
        <v>25022</v>
      </c>
      <c r="E1309">
        <v>4105</v>
      </c>
      <c r="F1309" t="s">
        <v>24177</v>
      </c>
      <c r="G1309" t="s">
        <v>62</v>
      </c>
      <c r="H1309">
        <v>4070396</v>
      </c>
      <c r="I1309">
        <v>4071166</v>
      </c>
      <c r="J1309" t="s">
        <v>24178</v>
      </c>
      <c r="K1309">
        <v>257</v>
      </c>
      <c r="L1309" t="s">
        <v>24179</v>
      </c>
      <c r="M1309">
        <v>44</v>
      </c>
      <c r="N1309" t="str">
        <f>HYPERLINK("Gene4105-zp_tree_all.dnd", "Gene4105-tree")</f>
        <v>Gene4105-tree</v>
      </c>
      <c r="O1309">
        <v>12</v>
      </c>
      <c r="P1309">
        <v>7</v>
      </c>
      <c r="Q1309">
        <v>12</v>
      </c>
      <c r="R1309">
        <v>7</v>
      </c>
      <c r="S1309">
        <v>0.36842000000000003</v>
      </c>
      <c r="T1309" t="s">
        <v>109</v>
      </c>
      <c r="U1309" t="s">
        <v>152</v>
      </c>
      <c r="V1309" t="s">
        <v>62</v>
      </c>
      <c r="W1309" t="s">
        <v>62</v>
      </c>
      <c r="X1309">
        <v>3</v>
      </c>
      <c r="Y1309">
        <v>10</v>
      </c>
      <c r="Z1309">
        <v>10</v>
      </c>
      <c r="AA1309">
        <v>0.5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5</v>
      </c>
      <c r="AI1309">
        <v>5</v>
      </c>
      <c r="AJ1309">
        <v>4</v>
      </c>
      <c r="AK1309">
        <v>0.55556000000000005</v>
      </c>
      <c r="AL1309">
        <v>16</v>
      </c>
      <c r="AM1309">
        <v>14</v>
      </c>
      <c r="AN1309">
        <v>39</v>
      </c>
      <c r="AO1309">
        <v>9</v>
      </c>
      <c r="AP1309">
        <v>51</v>
      </c>
      <c r="AQ1309">
        <v>11</v>
      </c>
      <c r="AR1309" t="s">
        <v>24180</v>
      </c>
      <c r="AS1309" t="s">
        <v>24181</v>
      </c>
      <c r="AT1309">
        <v>7.0000000000000007E-2</v>
      </c>
      <c r="AU1309" t="s">
        <v>65</v>
      </c>
      <c r="AV1309">
        <v>90</v>
      </c>
      <c r="AW1309">
        <v>20</v>
      </c>
      <c r="AX1309" t="s">
        <v>24182</v>
      </c>
      <c r="AY1309">
        <v>9.3490000000000004E-2</v>
      </c>
      <c r="AZ1309">
        <v>-3.29E-3</v>
      </c>
      <c r="BA1309">
        <v>7.79E-3</v>
      </c>
      <c r="BB1309">
        <v>-3.8999999999999999E-4</v>
      </c>
      <c r="BC1309">
        <v>8.3330000000000001E-2</v>
      </c>
      <c r="BD1309">
        <v>1</v>
      </c>
      <c r="BE1309" t="s">
        <v>69</v>
      </c>
      <c r="BF1309">
        <v>-0.35799999999999998</v>
      </c>
      <c r="BG1309">
        <v>-1.0760000000000001</v>
      </c>
    </row>
    <row r="1310" spans="1:59">
      <c r="A1310">
        <v>0</v>
      </c>
      <c r="B1310">
        <v>2</v>
      </c>
      <c r="C1310">
        <v>0</v>
      </c>
      <c r="D1310" t="s">
        <v>25022</v>
      </c>
      <c r="E1310">
        <v>1512</v>
      </c>
      <c r="F1310" t="s">
        <v>9452</v>
      </c>
      <c r="G1310" t="s">
        <v>57</v>
      </c>
      <c r="H1310">
        <v>1525386</v>
      </c>
      <c r="I1310">
        <v>1526156</v>
      </c>
      <c r="J1310" t="s">
        <v>2512</v>
      </c>
      <c r="K1310">
        <v>257</v>
      </c>
      <c r="L1310" t="s">
        <v>108</v>
      </c>
      <c r="M1310">
        <v>44</v>
      </c>
      <c r="N1310" t="str">
        <f>HYPERLINK("Gene1512-zp_tree_all.dnd", "Gene1512-tree")</f>
        <v>Gene1512-tree</v>
      </c>
      <c r="O1310">
        <v>5</v>
      </c>
      <c r="P1310">
        <v>6</v>
      </c>
      <c r="Q1310">
        <v>5</v>
      </c>
      <c r="R1310">
        <v>6</v>
      </c>
      <c r="S1310">
        <v>0.54544999999999999</v>
      </c>
      <c r="T1310" t="s">
        <v>199</v>
      </c>
      <c r="U1310" t="s">
        <v>90</v>
      </c>
      <c r="V1310" t="s">
        <v>62</v>
      </c>
      <c r="W1310" t="s">
        <v>62</v>
      </c>
      <c r="X1310">
        <v>1</v>
      </c>
      <c r="Y1310">
        <v>2</v>
      </c>
      <c r="Z1310">
        <v>7</v>
      </c>
      <c r="AA1310">
        <v>0.22222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2</v>
      </c>
      <c r="AH1310">
        <v>0</v>
      </c>
      <c r="AI1310">
        <v>2</v>
      </c>
      <c r="AJ1310">
        <v>6</v>
      </c>
      <c r="AK1310">
        <v>0.25</v>
      </c>
      <c r="AL1310">
        <v>7</v>
      </c>
      <c r="AM1310">
        <v>4</v>
      </c>
      <c r="AN1310">
        <v>27</v>
      </c>
      <c r="AO1310">
        <v>6</v>
      </c>
      <c r="AP1310">
        <v>17</v>
      </c>
      <c r="AQ1310">
        <v>3</v>
      </c>
      <c r="AR1310" t="s">
        <v>9453</v>
      </c>
      <c r="AS1310" t="s">
        <v>9454</v>
      </c>
      <c r="AT1310">
        <v>0.26300000000000001</v>
      </c>
      <c r="AU1310" t="s">
        <v>65</v>
      </c>
      <c r="AV1310">
        <v>44</v>
      </c>
      <c r="AW1310">
        <v>9</v>
      </c>
      <c r="AX1310" t="s">
        <v>9455</v>
      </c>
      <c r="AY1310">
        <v>4.4729999999999999E-2</v>
      </c>
      <c r="AZ1310">
        <v>-3.47E-3</v>
      </c>
      <c r="BA1310">
        <v>3.4099999999999998E-3</v>
      </c>
      <c r="BB1310">
        <v>-2.7E-4</v>
      </c>
      <c r="BC1310">
        <v>7.6329999999999995E-2</v>
      </c>
      <c r="BD1310">
        <v>1</v>
      </c>
      <c r="BE1310" t="s">
        <v>69</v>
      </c>
      <c r="BF1310">
        <v>-0.48799999999999999</v>
      </c>
      <c r="BG1310">
        <v>-1.8440000000000001</v>
      </c>
    </row>
    <row r="1311" spans="1:59">
      <c r="A1311">
        <v>0</v>
      </c>
      <c r="B1311">
        <v>8</v>
      </c>
      <c r="C1311">
        <v>0</v>
      </c>
      <c r="D1311" t="s">
        <v>25022</v>
      </c>
      <c r="E1311">
        <v>3174</v>
      </c>
      <c r="F1311" t="s">
        <v>18458</v>
      </c>
      <c r="G1311" t="s">
        <v>62</v>
      </c>
      <c r="H1311">
        <v>3131449</v>
      </c>
      <c r="I1311">
        <v>3132219</v>
      </c>
      <c r="J1311" t="s">
        <v>18459</v>
      </c>
      <c r="K1311">
        <v>257</v>
      </c>
      <c r="L1311" t="s">
        <v>465</v>
      </c>
      <c r="M1311">
        <v>46</v>
      </c>
      <c r="N1311" t="str">
        <f>HYPERLINK("Gene3174-zp_tree_all.dnd", "Gene3174-tree")</f>
        <v>Gene3174-tree</v>
      </c>
      <c r="O1311">
        <v>5</v>
      </c>
      <c r="P1311">
        <v>10</v>
      </c>
      <c r="Q1311">
        <v>5</v>
      </c>
      <c r="R1311">
        <v>10</v>
      </c>
      <c r="S1311">
        <v>0.66666999999999998</v>
      </c>
      <c r="T1311" t="s">
        <v>199</v>
      </c>
      <c r="U1311" t="s">
        <v>117</v>
      </c>
      <c r="V1311" t="s">
        <v>62</v>
      </c>
      <c r="W1311" t="s">
        <v>62</v>
      </c>
      <c r="X1311">
        <v>4</v>
      </c>
      <c r="Y1311">
        <v>8</v>
      </c>
      <c r="Z1311">
        <v>13</v>
      </c>
      <c r="AA1311">
        <v>0.38095000000000001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</v>
      </c>
      <c r="AH1311">
        <v>0</v>
      </c>
      <c r="AI1311">
        <v>2</v>
      </c>
      <c r="AJ1311">
        <v>10</v>
      </c>
      <c r="AK1311">
        <v>0.16667000000000001</v>
      </c>
      <c r="AL1311">
        <v>12</v>
      </c>
      <c r="AM1311">
        <v>11</v>
      </c>
      <c r="AN1311">
        <v>25</v>
      </c>
      <c r="AO1311">
        <v>11</v>
      </c>
      <c r="AP1311">
        <v>51</v>
      </c>
      <c r="AQ1311">
        <v>10</v>
      </c>
      <c r="AR1311" t="s">
        <v>18460</v>
      </c>
      <c r="AS1311" t="s">
        <v>18461</v>
      </c>
      <c r="AT1311">
        <v>0.88600000000000001</v>
      </c>
      <c r="AU1311" t="s">
        <v>65</v>
      </c>
      <c r="AV1311">
        <v>76</v>
      </c>
      <c r="AW1311">
        <v>21</v>
      </c>
      <c r="AX1311" t="s">
        <v>18462</v>
      </c>
      <c r="AY1311">
        <v>9.4210000000000002E-2</v>
      </c>
      <c r="AZ1311">
        <v>-7.45E-3</v>
      </c>
      <c r="BA1311">
        <v>6.5500000000000003E-3</v>
      </c>
      <c r="BB1311">
        <v>-2.9999999999999997E-4</v>
      </c>
      <c r="BC1311">
        <v>6.9500000000000006E-2</v>
      </c>
      <c r="BD1311">
        <v>1</v>
      </c>
      <c r="BE1311" t="s">
        <v>69</v>
      </c>
      <c r="BF1311">
        <v>-1.5740000000000001</v>
      </c>
      <c r="BG1311">
        <v>-1.1559999999999999</v>
      </c>
    </row>
    <row r="1312" spans="1:59">
      <c r="A1312">
        <v>0</v>
      </c>
      <c r="B1312">
        <v>7</v>
      </c>
      <c r="C1312">
        <v>2</v>
      </c>
      <c r="D1312" t="s">
        <v>25022</v>
      </c>
      <c r="E1312">
        <v>1602</v>
      </c>
      <c r="F1312" t="s">
        <v>10026</v>
      </c>
      <c r="G1312" t="s">
        <v>57</v>
      </c>
      <c r="H1312">
        <v>1611654</v>
      </c>
      <c r="I1312">
        <v>1612424</v>
      </c>
      <c r="J1312" t="s">
        <v>10027</v>
      </c>
      <c r="K1312">
        <v>257</v>
      </c>
      <c r="L1312" t="s">
        <v>134</v>
      </c>
      <c r="M1312">
        <v>46</v>
      </c>
      <c r="N1312" t="str">
        <f>HYPERLINK("Gene1602-zp_tree_all.dnd", "Gene1602-tree")</f>
        <v>Gene1602-tree</v>
      </c>
      <c r="O1312">
        <v>9</v>
      </c>
      <c r="P1312">
        <v>7</v>
      </c>
      <c r="Q1312">
        <v>9</v>
      </c>
      <c r="R1312">
        <v>7</v>
      </c>
      <c r="S1312">
        <v>0.4375</v>
      </c>
      <c r="T1312" t="s">
        <v>135</v>
      </c>
      <c r="U1312" t="s">
        <v>152</v>
      </c>
      <c r="V1312" t="s">
        <v>62</v>
      </c>
      <c r="W1312" t="s">
        <v>62</v>
      </c>
      <c r="X1312">
        <v>4</v>
      </c>
      <c r="Y1312">
        <v>9</v>
      </c>
      <c r="Z1312">
        <v>12</v>
      </c>
      <c r="AA1312">
        <v>0.42857000000000001</v>
      </c>
      <c r="AB1312">
        <v>0</v>
      </c>
      <c r="AC1312">
        <v>0</v>
      </c>
      <c r="AD1312">
        <v>0</v>
      </c>
      <c r="AE1312">
        <v>2</v>
      </c>
      <c r="AF1312">
        <v>0</v>
      </c>
      <c r="AG1312">
        <v>2</v>
      </c>
      <c r="AH1312">
        <v>2</v>
      </c>
      <c r="AI1312">
        <v>4</v>
      </c>
      <c r="AJ1312">
        <v>8</v>
      </c>
      <c r="AK1312">
        <v>0.33333000000000002</v>
      </c>
      <c r="AL1312">
        <v>13</v>
      </c>
      <c r="AM1312">
        <v>12</v>
      </c>
      <c r="AN1312">
        <v>38</v>
      </c>
      <c r="AO1312">
        <v>12</v>
      </c>
      <c r="AP1312">
        <v>43</v>
      </c>
      <c r="AQ1312">
        <v>9</v>
      </c>
      <c r="AR1312" t="s">
        <v>10028</v>
      </c>
      <c r="AS1312" t="s">
        <v>10029</v>
      </c>
      <c r="AT1312">
        <v>0.34899999999999998</v>
      </c>
      <c r="AU1312" t="s">
        <v>65</v>
      </c>
      <c r="AV1312">
        <v>81</v>
      </c>
      <c r="AW1312">
        <v>21</v>
      </c>
      <c r="AX1312" t="s">
        <v>10030</v>
      </c>
      <c r="AY1312">
        <v>9.4299999999999995E-2</v>
      </c>
      <c r="AZ1312">
        <v>-5.7600000000000004E-3</v>
      </c>
      <c r="BA1312">
        <v>5.8799999999999998E-3</v>
      </c>
      <c r="BB1312">
        <v>-3.6000000000000002E-4</v>
      </c>
      <c r="BC1312">
        <v>6.241E-2</v>
      </c>
      <c r="BD1312">
        <v>1</v>
      </c>
      <c r="BE1312" t="s">
        <v>69</v>
      </c>
      <c r="BF1312">
        <v>-1.0629999999999999</v>
      </c>
      <c r="BG1312">
        <v>-1.5309999999999999</v>
      </c>
    </row>
    <row r="1313" spans="1:59">
      <c r="A1313">
        <v>0</v>
      </c>
      <c r="B1313">
        <v>0</v>
      </c>
      <c r="C1313">
        <v>0</v>
      </c>
      <c r="D1313" t="s">
        <v>25022</v>
      </c>
      <c r="E1313">
        <v>2970</v>
      </c>
      <c r="F1313" t="s">
        <v>17129</v>
      </c>
      <c r="G1313" t="s">
        <v>62</v>
      </c>
      <c r="H1313">
        <v>2916381</v>
      </c>
      <c r="I1313">
        <v>2917151</v>
      </c>
      <c r="J1313" t="s">
        <v>17130</v>
      </c>
      <c r="K1313">
        <v>257</v>
      </c>
      <c r="L1313" t="s">
        <v>59</v>
      </c>
      <c r="M1313">
        <v>49</v>
      </c>
      <c r="N1313" t="str">
        <f>HYPERLINK("Gene2970-zp_tree_all.dnd", "Gene2970-tree")</f>
        <v>Gene2970-tree</v>
      </c>
      <c r="O1313">
        <v>11</v>
      </c>
      <c r="P1313">
        <v>7</v>
      </c>
      <c r="Q1313">
        <v>11</v>
      </c>
      <c r="R1313">
        <v>7</v>
      </c>
      <c r="S1313">
        <v>0.38889000000000001</v>
      </c>
      <c r="T1313" t="s">
        <v>73</v>
      </c>
      <c r="U1313" t="s">
        <v>152</v>
      </c>
      <c r="V1313" t="s">
        <v>62</v>
      </c>
      <c r="W1313" t="s">
        <v>62</v>
      </c>
      <c r="X1313">
        <v>0</v>
      </c>
      <c r="Y1313">
        <v>0</v>
      </c>
      <c r="Z1313">
        <v>15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10</v>
      </c>
      <c r="AK1313">
        <v>0</v>
      </c>
      <c r="AL1313">
        <v>15</v>
      </c>
      <c r="AM1313">
        <v>10</v>
      </c>
      <c r="AN1313">
        <v>31</v>
      </c>
      <c r="AO1313">
        <v>10</v>
      </c>
      <c r="AP1313">
        <v>42</v>
      </c>
      <c r="AQ1313">
        <v>5</v>
      </c>
      <c r="AR1313" t="s">
        <v>17131</v>
      </c>
      <c r="AS1313" t="s">
        <v>17132</v>
      </c>
      <c r="AT1313">
        <v>0.621</v>
      </c>
      <c r="AU1313" t="s">
        <v>65</v>
      </c>
      <c r="AV1313">
        <v>73</v>
      </c>
      <c r="AW1313">
        <v>15</v>
      </c>
      <c r="AX1313" t="s">
        <v>17133</v>
      </c>
      <c r="AY1313">
        <v>0.10304000000000001</v>
      </c>
      <c r="AZ1313">
        <v>-6.77E-3</v>
      </c>
      <c r="BA1313">
        <v>4.5100000000000001E-3</v>
      </c>
      <c r="BB1313">
        <v>-2.7E-4</v>
      </c>
      <c r="BC1313">
        <v>4.3779999999999999E-2</v>
      </c>
      <c r="BD1313">
        <v>1</v>
      </c>
      <c r="BE1313" t="s">
        <v>69</v>
      </c>
      <c r="BF1313">
        <v>-1.579</v>
      </c>
      <c r="BG1313">
        <v>-1.611</v>
      </c>
    </row>
    <row r="1314" spans="1:59">
      <c r="A1314">
        <v>0</v>
      </c>
      <c r="B1314">
        <v>2</v>
      </c>
      <c r="C1314">
        <v>0</v>
      </c>
      <c r="D1314" t="s">
        <v>25022</v>
      </c>
      <c r="E1314">
        <v>293</v>
      </c>
      <c r="F1314" t="s">
        <v>1998</v>
      </c>
      <c r="G1314" t="s">
        <v>57</v>
      </c>
      <c r="H1314">
        <v>314025</v>
      </c>
      <c r="I1314">
        <v>314795</v>
      </c>
      <c r="J1314" t="s">
        <v>1999</v>
      </c>
      <c r="K1314">
        <v>257</v>
      </c>
      <c r="L1314" t="s">
        <v>465</v>
      </c>
      <c r="M1314">
        <v>46</v>
      </c>
      <c r="N1314" t="str">
        <f>HYPERLINK("Gene293-zp_tree_all.dnd", "Gene293-tree")</f>
        <v>Gene293-tree</v>
      </c>
      <c r="O1314">
        <v>16</v>
      </c>
      <c r="P1314">
        <v>0</v>
      </c>
      <c r="Q1314">
        <v>16</v>
      </c>
      <c r="R1314">
        <v>0</v>
      </c>
      <c r="S1314">
        <v>0</v>
      </c>
      <c r="T1314" t="s">
        <v>60</v>
      </c>
      <c r="U1314" t="s">
        <v>62</v>
      </c>
      <c r="V1314" t="s">
        <v>62</v>
      </c>
      <c r="W1314" t="s">
        <v>62</v>
      </c>
      <c r="X1314">
        <v>1</v>
      </c>
      <c r="Y1314">
        <v>2</v>
      </c>
      <c r="Z1314">
        <v>6</v>
      </c>
      <c r="AA1314">
        <v>0.25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12</v>
      </c>
      <c r="AM1314">
        <v>12</v>
      </c>
      <c r="AN1314">
        <v>25</v>
      </c>
      <c r="AO1314">
        <v>0</v>
      </c>
      <c r="AP1314">
        <v>45</v>
      </c>
      <c r="AQ1314">
        <v>8</v>
      </c>
      <c r="AR1314" t="s">
        <v>193</v>
      </c>
      <c r="AS1314" t="s">
        <v>2000</v>
      </c>
      <c r="AT1314">
        <v>0.28999999999999998</v>
      </c>
      <c r="AU1314" t="s">
        <v>65</v>
      </c>
      <c r="AV1314">
        <v>70</v>
      </c>
      <c r="AW1314">
        <v>8</v>
      </c>
      <c r="AX1314" t="s">
        <v>2001</v>
      </c>
      <c r="AY1314">
        <v>8.1839999999999996E-2</v>
      </c>
      <c r="AZ1314">
        <v>-6.6400000000000001E-3</v>
      </c>
      <c r="BA1314">
        <v>3.2499999999999999E-3</v>
      </c>
      <c r="BB1314">
        <v>-4.0999999999999999E-4</v>
      </c>
      <c r="BC1314">
        <v>3.9730000000000001E-2</v>
      </c>
      <c r="BD1314">
        <v>1</v>
      </c>
      <c r="BE1314" t="s">
        <v>69</v>
      </c>
      <c r="BF1314">
        <v>-1.3560000000000001</v>
      </c>
      <c r="BG1314">
        <v>-0.111</v>
      </c>
    </row>
    <row r="1315" spans="1:59">
      <c r="A1315">
        <v>0</v>
      </c>
      <c r="B1315">
        <v>4</v>
      </c>
      <c r="C1315">
        <v>0</v>
      </c>
      <c r="D1315" t="s">
        <v>25022</v>
      </c>
      <c r="E1315">
        <v>4003</v>
      </c>
      <c r="F1315" t="s">
        <v>23543</v>
      </c>
      <c r="G1315" t="s">
        <v>62</v>
      </c>
      <c r="H1315">
        <v>3967947</v>
      </c>
      <c r="I1315">
        <v>3968720</v>
      </c>
      <c r="J1315" t="s">
        <v>23544</v>
      </c>
      <c r="K1315">
        <v>258</v>
      </c>
      <c r="L1315" t="s">
        <v>108</v>
      </c>
      <c r="M1315">
        <v>44</v>
      </c>
      <c r="N1315" t="str">
        <f>HYPERLINK("Gene4003-zp_tree_all.dnd", "Gene4003-tree")</f>
        <v>Gene4003-tree</v>
      </c>
      <c r="O1315">
        <v>5</v>
      </c>
      <c r="P1315">
        <v>9</v>
      </c>
      <c r="Q1315">
        <v>5</v>
      </c>
      <c r="R1315">
        <v>9</v>
      </c>
      <c r="S1315">
        <v>0.64285999999999999</v>
      </c>
      <c r="T1315" t="s">
        <v>199</v>
      </c>
      <c r="U1315" t="s">
        <v>135</v>
      </c>
      <c r="V1315" t="s">
        <v>62</v>
      </c>
      <c r="W1315" t="s">
        <v>62</v>
      </c>
      <c r="X1315">
        <v>2</v>
      </c>
      <c r="Y1315">
        <v>4</v>
      </c>
      <c r="Z1315">
        <v>19</v>
      </c>
      <c r="AA1315">
        <v>0.17391000000000001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4</v>
      </c>
      <c r="AH1315">
        <v>0</v>
      </c>
      <c r="AI1315">
        <v>4</v>
      </c>
      <c r="AJ1315">
        <v>15</v>
      </c>
      <c r="AK1315">
        <v>0.21052999999999999</v>
      </c>
      <c r="AL1315">
        <v>11</v>
      </c>
      <c r="AM1315">
        <v>6</v>
      </c>
      <c r="AN1315">
        <v>31</v>
      </c>
      <c r="AO1315">
        <v>18</v>
      </c>
      <c r="AP1315">
        <v>11</v>
      </c>
      <c r="AQ1315">
        <v>6</v>
      </c>
      <c r="AR1315" t="s">
        <v>23545</v>
      </c>
      <c r="AS1315" t="s">
        <v>23546</v>
      </c>
      <c r="AT1315">
        <v>2.9000000000000001E-2</v>
      </c>
      <c r="AU1315" t="s">
        <v>65</v>
      </c>
      <c r="AV1315">
        <v>42</v>
      </c>
      <c r="AW1315">
        <v>24</v>
      </c>
      <c r="AX1315" t="s">
        <v>23547</v>
      </c>
      <c r="AY1315">
        <v>4.5130000000000003E-2</v>
      </c>
      <c r="AZ1315">
        <v>-3.8999999999999998E-3</v>
      </c>
      <c r="BA1315">
        <v>7.2899999999999996E-3</v>
      </c>
      <c r="BB1315">
        <v>-5.8E-4</v>
      </c>
      <c r="BC1315">
        <v>0.16144</v>
      </c>
      <c r="BD1315">
        <v>1</v>
      </c>
      <c r="BE1315" t="s">
        <v>69</v>
      </c>
      <c r="BF1315">
        <v>-2.0550000000000002</v>
      </c>
      <c r="BG1315">
        <v>-3.403</v>
      </c>
    </row>
    <row r="1316" spans="1:59">
      <c r="A1316">
        <v>0</v>
      </c>
      <c r="B1316">
        <v>8</v>
      </c>
      <c r="C1316">
        <v>0</v>
      </c>
      <c r="D1316" t="s">
        <v>25022</v>
      </c>
      <c r="E1316">
        <v>3139</v>
      </c>
      <c r="F1316" t="s">
        <v>18229</v>
      </c>
      <c r="G1316" t="s">
        <v>62</v>
      </c>
      <c r="H1316">
        <v>3094682</v>
      </c>
      <c r="I1316">
        <v>3095455</v>
      </c>
      <c r="J1316" t="s">
        <v>18230</v>
      </c>
      <c r="K1316">
        <v>258</v>
      </c>
      <c r="L1316" t="s">
        <v>108</v>
      </c>
      <c r="M1316">
        <v>44</v>
      </c>
      <c r="N1316" t="str">
        <f>HYPERLINK("Gene3139-zp_tree_all.dnd", "Gene3139-tree")</f>
        <v>Gene3139-tree</v>
      </c>
      <c r="O1316">
        <v>7</v>
      </c>
      <c r="P1316">
        <v>8</v>
      </c>
      <c r="Q1316">
        <v>7</v>
      </c>
      <c r="R1316">
        <v>8</v>
      </c>
      <c r="S1316">
        <v>0.53332999999999997</v>
      </c>
      <c r="T1316" t="s">
        <v>152</v>
      </c>
      <c r="U1316" t="s">
        <v>136</v>
      </c>
      <c r="V1316" t="s">
        <v>62</v>
      </c>
      <c r="W1316" t="s">
        <v>62</v>
      </c>
      <c r="X1316">
        <v>2</v>
      </c>
      <c r="Y1316">
        <v>8</v>
      </c>
      <c r="Z1316">
        <v>13</v>
      </c>
      <c r="AA1316">
        <v>0.38095000000000001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3</v>
      </c>
      <c r="AH1316">
        <v>0</v>
      </c>
      <c r="AI1316">
        <v>3</v>
      </c>
      <c r="AJ1316">
        <v>9</v>
      </c>
      <c r="AK1316">
        <v>0.25</v>
      </c>
      <c r="AL1316">
        <v>10</v>
      </c>
      <c r="AM1316">
        <v>11</v>
      </c>
      <c r="AN1316">
        <v>21</v>
      </c>
      <c r="AO1316">
        <v>10</v>
      </c>
      <c r="AP1316">
        <v>13</v>
      </c>
      <c r="AQ1316">
        <v>11</v>
      </c>
      <c r="AR1316" t="s">
        <v>18231</v>
      </c>
      <c r="AS1316" t="s">
        <v>18232</v>
      </c>
      <c r="AT1316">
        <v>0.92800000000000005</v>
      </c>
      <c r="AU1316" t="s">
        <v>65</v>
      </c>
      <c r="AV1316">
        <v>34</v>
      </c>
      <c r="AW1316">
        <v>21</v>
      </c>
      <c r="AX1316" t="s">
        <v>18233</v>
      </c>
      <c r="AY1316">
        <v>4.1570000000000003E-2</v>
      </c>
      <c r="AZ1316">
        <v>-2.0200000000000001E-3</v>
      </c>
      <c r="BA1316">
        <v>6.4000000000000003E-3</v>
      </c>
      <c r="BB1316">
        <v>-2.9E-4</v>
      </c>
      <c r="BC1316">
        <v>0.15404999999999999</v>
      </c>
      <c r="BD1316">
        <v>1</v>
      </c>
      <c r="BE1316" t="s">
        <v>69</v>
      </c>
      <c r="BF1316">
        <v>9.9000000000000005E-2</v>
      </c>
      <c r="BG1316">
        <v>-0.432</v>
      </c>
    </row>
    <row r="1317" spans="1:59">
      <c r="A1317">
        <v>0</v>
      </c>
      <c r="B1317">
        <v>8</v>
      </c>
      <c r="C1317">
        <v>0</v>
      </c>
      <c r="D1317" t="s">
        <v>25022</v>
      </c>
      <c r="E1317">
        <v>1054</v>
      </c>
      <c r="F1317" t="s">
        <v>6614</v>
      </c>
      <c r="G1317" t="s">
        <v>57</v>
      </c>
      <c r="H1317">
        <v>1093874</v>
      </c>
      <c r="I1317">
        <v>1094647</v>
      </c>
      <c r="J1317" t="s">
        <v>6103</v>
      </c>
      <c r="K1317">
        <v>258</v>
      </c>
      <c r="L1317" t="s">
        <v>108</v>
      </c>
      <c r="M1317">
        <v>44</v>
      </c>
      <c r="N1317" t="str">
        <f>HYPERLINK("Gene1054-zp_tree_all.dnd", "Gene1054-tree")</f>
        <v>Gene1054-tree</v>
      </c>
      <c r="O1317">
        <v>3</v>
      </c>
      <c r="P1317">
        <v>8</v>
      </c>
      <c r="Q1317">
        <v>3</v>
      </c>
      <c r="R1317">
        <v>8</v>
      </c>
      <c r="S1317">
        <v>0.72726999999999997</v>
      </c>
      <c r="T1317" t="s">
        <v>324</v>
      </c>
      <c r="U1317" t="s">
        <v>136</v>
      </c>
      <c r="V1317" t="s">
        <v>62</v>
      </c>
      <c r="W1317" t="s">
        <v>62</v>
      </c>
      <c r="X1317">
        <v>3</v>
      </c>
      <c r="Y1317">
        <v>8</v>
      </c>
      <c r="Z1317">
        <v>15</v>
      </c>
      <c r="AA1317">
        <v>0.34782999999999997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4</v>
      </c>
      <c r="AH1317">
        <v>0</v>
      </c>
      <c r="AI1317">
        <v>4</v>
      </c>
      <c r="AJ1317">
        <v>14</v>
      </c>
      <c r="AK1317">
        <v>0.22222</v>
      </c>
      <c r="AL1317">
        <v>10</v>
      </c>
      <c r="AM1317">
        <v>6</v>
      </c>
      <c r="AN1317">
        <v>29</v>
      </c>
      <c r="AO1317">
        <v>18</v>
      </c>
      <c r="AP1317">
        <v>16</v>
      </c>
      <c r="AQ1317">
        <v>5</v>
      </c>
      <c r="AR1317" t="s">
        <v>6615</v>
      </c>
      <c r="AS1317" t="s">
        <v>6616</v>
      </c>
      <c r="AT1317">
        <v>0.94899999999999995</v>
      </c>
      <c r="AU1317" t="s">
        <v>65</v>
      </c>
      <c r="AV1317">
        <v>45</v>
      </c>
      <c r="AW1317">
        <v>23</v>
      </c>
      <c r="AX1317" t="s">
        <v>6617</v>
      </c>
      <c r="AY1317">
        <v>5.5710000000000003E-2</v>
      </c>
      <c r="AZ1317">
        <v>-2.64E-3</v>
      </c>
      <c r="BA1317">
        <v>7.62E-3</v>
      </c>
      <c r="BB1317">
        <v>-4.8999999999999998E-4</v>
      </c>
      <c r="BC1317">
        <v>0.13686000000000001</v>
      </c>
      <c r="BD1317">
        <v>1</v>
      </c>
      <c r="BE1317" t="s">
        <v>69</v>
      </c>
      <c r="BF1317">
        <v>-0.80800000000000005</v>
      </c>
      <c r="BG1317">
        <v>-2.2749999999999999</v>
      </c>
    </row>
    <row r="1318" spans="1:59">
      <c r="A1318">
        <v>0</v>
      </c>
      <c r="B1318">
        <v>2</v>
      </c>
      <c r="C1318">
        <v>0</v>
      </c>
      <c r="D1318" t="s">
        <v>25022</v>
      </c>
      <c r="E1318">
        <v>284</v>
      </c>
      <c r="F1318" t="s">
        <v>1939</v>
      </c>
      <c r="G1318" t="s">
        <v>57</v>
      </c>
      <c r="H1318">
        <v>305658</v>
      </c>
      <c r="I1318">
        <v>306431</v>
      </c>
      <c r="J1318" t="s">
        <v>1940</v>
      </c>
      <c r="K1318">
        <v>258</v>
      </c>
      <c r="L1318" t="s">
        <v>108</v>
      </c>
      <c r="M1318">
        <v>44</v>
      </c>
      <c r="N1318" t="str">
        <f>HYPERLINK("Gene284-zp_tree_all.dnd", "Gene284-tree")</f>
        <v>Gene284-tree</v>
      </c>
      <c r="O1318">
        <v>11</v>
      </c>
      <c r="P1318">
        <v>5</v>
      </c>
      <c r="Q1318">
        <v>11</v>
      </c>
      <c r="R1318">
        <v>5</v>
      </c>
      <c r="S1318">
        <v>0.3125</v>
      </c>
      <c r="T1318" t="s">
        <v>73</v>
      </c>
      <c r="U1318" t="s">
        <v>199</v>
      </c>
      <c r="V1318" t="s">
        <v>62</v>
      </c>
      <c r="W1318" t="s">
        <v>62</v>
      </c>
      <c r="X1318">
        <v>1</v>
      </c>
      <c r="Y1318">
        <v>2</v>
      </c>
      <c r="Z1318">
        <v>10</v>
      </c>
      <c r="AA1318">
        <v>0.16667000000000001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10</v>
      </c>
      <c r="AK1318">
        <v>0</v>
      </c>
      <c r="AL1318">
        <v>15</v>
      </c>
      <c r="AM1318">
        <v>10</v>
      </c>
      <c r="AN1318">
        <v>24</v>
      </c>
      <c r="AO1318">
        <v>10</v>
      </c>
      <c r="AP1318">
        <v>18</v>
      </c>
      <c r="AQ1318">
        <v>2</v>
      </c>
      <c r="AR1318" t="s">
        <v>1941</v>
      </c>
      <c r="AS1318" t="s">
        <v>1942</v>
      </c>
      <c r="AT1318">
        <v>0.82</v>
      </c>
      <c r="AU1318" t="s">
        <v>65</v>
      </c>
      <c r="AV1318">
        <v>42</v>
      </c>
      <c r="AW1318">
        <v>12</v>
      </c>
      <c r="AX1318" t="s">
        <v>1943</v>
      </c>
      <c r="AY1318">
        <v>4.3929999999999997E-2</v>
      </c>
      <c r="AZ1318">
        <v>-1.73E-3</v>
      </c>
      <c r="BA1318">
        <v>3.1199999999999999E-3</v>
      </c>
      <c r="BB1318">
        <v>-2.4000000000000001E-4</v>
      </c>
      <c r="BC1318">
        <v>7.1050000000000002E-2</v>
      </c>
      <c r="BD1318">
        <v>1</v>
      </c>
      <c r="BE1318" t="s">
        <v>69</v>
      </c>
      <c r="BF1318">
        <v>6.5000000000000002E-2</v>
      </c>
      <c r="BG1318">
        <v>-0.49199999999999999</v>
      </c>
    </row>
    <row r="1319" spans="1:59">
      <c r="A1319">
        <v>0</v>
      </c>
      <c r="B1319">
        <v>2</v>
      </c>
      <c r="C1319">
        <v>2</v>
      </c>
      <c r="D1319" t="s">
        <v>25022</v>
      </c>
      <c r="E1319">
        <v>1157</v>
      </c>
      <c r="F1319" t="s">
        <v>7283</v>
      </c>
      <c r="G1319" t="s">
        <v>57</v>
      </c>
      <c r="H1319">
        <v>1197326</v>
      </c>
      <c r="I1319">
        <v>1198099</v>
      </c>
      <c r="J1319" t="s">
        <v>7284</v>
      </c>
      <c r="K1319">
        <v>258</v>
      </c>
      <c r="L1319" t="s">
        <v>629</v>
      </c>
      <c r="M1319">
        <v>43</v>
      </c>
      <c r="N1319" t="str">
        <f>HYPERLINK("Gene1157-zp_tree_all.dnd", "Gene1157-tree")</f>
        <v>Gene1157-tree</v>
      </c>
      <c r="O1319">
        <v>8</v>
      </c>
      <c r="P1319">
        <v>26</v>
      </c>
      <c r="Q1319">
        <v>8</v>
      </c>
      <c r="R1319">
        <v>3</v>
      </c>
      <c r="S1319">
        <v>0.27272999999999997</v>
      </c>
      <c r="T1319" t="s">
        <v>136</v>
      </c>
      <c r="U1319" t="s">
        <v>7285</v>
      </c>
      <c r="V1319">
        <v>7.8959999999999999</v>
      </c>
      <c r="W1319" t="s">
        <v>65</v>
      </c>
      <c r="X1319">
        <v>2</v>
      </c>
      <c r="Y1319">
        <v>4</v>
      </c>
      <c r="Z1319">
        <v>2</v>
      </c>
      <c r="AA1319">
        <v>0.66666999999999998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2</v>
      </c>
      <c r="AI1319">
        <v>2</v>
      </c>
      <c r="AJ1319">
        <v>2</v>
      </c>
      <c r="AK1319">
        <v>0.5</v>
      </c>
      <c r="AL1319">
        <v>9</v>
      </c>
      <c r="AM1319">
        <v>6</v>
      </c>
      <c r="AN1319">
        <v>23</v>
      </c>
      <c r="AO1319">
        <v>3</v>
      </c>
      <c r="AP1319">
        <v>12</v>
      </c>
      <c r="AQ1319">
        <v>3</v>
      </c>
      <c r="AR1319" t="s">
        <v>7286</v>
      </c>
      <c r="AS1319" t="s">
        <v>7287</v>
      </c>
      <c r="AT1319">
        <v>0.69899999999999995</v>
      </c>
      <c r="AU1319" t="s">
        <v>65</v>
      </c>
      <c r="AV1319">
        <v>35</v>
      </c>
      <c r="AW1319">
        <v>6</v>
      </c>
      <c r="AX1319" t="s">
        <v>7288</v>
      </c>
      <c r="AY1319">
        <v>4.2369999999999998E-2</v>
      </c>
      <c r="AZ1319">
        <v>-2.31E-3</v>
      </c>
      <c r="BA1319">
        <v>2.4399999999999999E-3</v>
      </c>
      <c r="BB1319">
        <v>-2.3000000000000001E-4</v>
      </c>
      <c r="BC1319">
        <v>5.7669999999999999E-2</v>
      </c>
      <c r="BD1319">
        <v>1</v>
      </c>
      <c r="BE1319" t="s">
        <v>69</v>
      </c>
      <c r="BF1319">
        <v>-0.25800000000000001</v>
      </c>
      <c r="BG1319">
        <v>-1.752</v>
      </c>
    </row>
    <row r="1320" spans="1:59">
      <c r="A1320">
        <v>0</v>
      </c>
      <c r="B1320">
        <v>2</v>
      </c>
      <c r="C1320">
        <v>1</v>
      </c>
      <c r="D1320" t="s">
        <v>25022</v>
      </c>
      <c r="E1320">
        <v>3237</v>
      </c>
      <c r="F1320" t="s">
        <v>18869</v>
      </c>
      <c r="G1320" t="s">
        <v>62</v>
      </c>
      <c r="H1320">
        <v>3201030</v>
      </c>
      <c r="I1320">
        <v>3201803</v>
      </c>
      <c r="J1320" t="s">
        <v>18870</v>
      </c>
      <c r="K1320">
        <v>258</v>
      </c>
      <c r="L1320" t="s">
        <v>108</v>
      </c>
      <c r="M1320">
        <v>44</v>
      </c>
      <c r="N1320" t="str">
        <f>HYPERLINK("Gene3237-zp_tree_all.dnd", "Gene3237-tree")</f>
        <v>Gene3237-tree</v>
      </c>
      <c r="O1320">
        <v>11</v>
      </c>
      <c r="P1320">
        <v>2</v>
      </c>
      <c r="Q1320">
        <v>11</v>
      </c>
      <c r="R1320">
        <v>2</v>
      </c>
      <c r="S1320">
        <v>0.15384999999999999</v>
      </c>
      <c r="T1320" t="s">
        <v>73</v>
      </c>
      <c r="U1320" t="s">
        <v>81</v>
      </c>
      <c r="V1320" t="s">
        <v>62</v>
      </c>
      <c r="W1320" t="s">
        <v>62</v>
      </c>
      <c r="X1320">
        <v>1</v>
      </c>
      <c r="Y1320">
        <v>3</v>
      </c>
      <c r="Z1320">
        <v>2</v>
      </c>
      <c r="AA1320">
        <v>0.6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</v>
      </c>
      <c r="AK1320">
        <v>0</v>
      </c>
      <c r="AL1320">
        <v>10</v>
      </c>
      <c r="AM1320">
        <v>9</v>
      </c>
      <c r="AN1320">
        <v>14</v>
      </c>
      <c r="AO1320">
        <v>2</v>
      </c>
      <c r="AP1320">
        <v>15</v>
      </c>
      <c r="AQ1320">
        <v>3</v>
      </c>
      <c r="AR1320" t="s">
        <v>18871</v>
      </c>
      <c r="AS1320" t="s">
        <v>18872</v>
      </c>
      <c r="AT1320">
        <v>0.17100000000000001</v>
      </c>
      <c r="AU1320" t="s">
        <v>65</v>
      </c>
      <c r="AV1320">
        <v>29</v>
      </c>
      <c r="AW1320">
        <v>5</v>
      </c>
      <c r="AX1320" t="s">
        <v>18873</v>
      </c>
      <c r="AY1320">
        <v>3.8469999999999997E-2</v>
      </c>
      <c r="AZ1320">
        <v>-1.82E-3</v>
      </c>
      <c r="BA1320">
        <v>1.7099999999999999E-3</v>
      </c>
      <c r="BB1320">
        <v>-1.6000000000000001E-4</v>
      </c>
      <c r="BC1320">
        <v>4.4450000000000003E-2</v>
      </c>
      <c r="BD1320">
        <v>1</v>
      </c>
      <c r="BE1320" t="s">
        <v>69</v>
      </c>
      <c r="BF1320">
        <v>6.0999999999999999E-2</v>
      </c>
      <c r="BG1320">
        <v>-0.188</v>
      </c>
    </row>
    <row r="1321" spans="1:59">
      <c r="A1321">
        <v>0</v>
      </c>
      <c r="B1321">
        <v>2</v>
      </c>
      <c r="C1321">
        <v>2</v>
      </c>
      <c r="D1321" t="s">
        <v>25022</v>
      </c>
      <c r="E1321">
        <v>2971</v>
      </c>
      <c r="F1321" t="s">
        <v>17136</v>
      </c>
      <c r="G1321" t="s">
        <v>62</v>
      </c>
      <c r="H1321">
        <v>2917169</v>
      </c>
      <c r="I1321">
        <v>2917942</v>
      </c>
      <c r="J1321" t="s">
        <v>17137</v>
      </c>
      <c r="K1321">
        <v>258</v>
      </c>
      <c r="L1321" t="s">
        <v>108</v>
      </c>
      <c r="M1321">
        <v>44</v>
      </c>
      <c r="N1321" t="str">
        <f>HYPERLINK("Gene2971-zp_tree_all.dnd", "Gene2971-tree")</f>
        <v>Gene2971-tree</v>
      </c>
      <c r="O1321">
        <v>7</v>
      </c>
      <c r="P1321">
        <v>4</v>
      </c>
      <c r="Q1321">
        <v>7</v>
      </c>
      <c r="R1321">
        <v>4</v>
      </c>
      <c r="S1321">
        <v>0.36364000000000002</v>
      </c>
      <c r="T1321" t="s">
        <v>152</v>
      </c>
      <c r="U1321" t="s">
        <v>61</v>
      </c>
      <c r="V1321" t="s">
        <v>62</v>
      </c>
      <c r="W1321" t="s">
        <v>62</v>
      </c>
      <c r="X1321">
        <v>2</v>
      </c>
      <c r="Y1321">
        <v>4</v>
      </c>
      <c r="Z1321">
        <v>4</v>
      </c>
      <c r="AA1321">
        <v>0.5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5</v>
      </c>
      <c r="AK1321">
        <v>0</v>
      </c>
      <c r="AL1321">
        <v>9</v>
      </c>
      <c r="AM1321">
        <v>8</v>
      </c>
      <c r="AN1321">
        <v>26</v>
      </c>
      <c r="AO1321">
        <v>5</v>
      </c>
      <c r="AP1321">
        <v>23</v>
      </c>
      <c r="AQ1321">
        <v>3</v>
      </c>
      <c r="AR1321" t="s">
        <v>17138</v>
      </c>
      <c r="AS1321" t="s">
        <v>17139</v>
      </c>
      <c r="AT1321">
        <v>0.22</v>
      </c>
      <c r="AU1321" t="s">
        <v>65</v>
      </c>
      <c r="AV1321">
        <v>49</v>
      </c>
      <c r="AW1321">
        <v>8</v>
      </c>
      <c r="AX1321" t="s">
        <v>17140</v>
      </c>
      <c r="AY1321">
        <v>7.6230000000000006E-2</v>
      </c>
      <c r="AZ1321">
        <v>-4.7999999999999996E-3</v>
      </c>
      <c r="BA1321">
        <v>3.0300000000000001E-3</v>
      </c>
      <c r="BB1321">
        <v>-2.2000000000000001E-4</v>
      </c>
      <c r="BC1321">
        <v>3.9780000000000003E-2</v>
      </c>
      <c r="BD1321">
        <v>1</v>
      </c>
      <c r="BE1321" t="s">
        <v>69</v>
      </c>
      <c r="BF1321">
        <v>0.224</v>
      </c>
      <c r="BG1321">
        <v>0.35799999999999998</v>
      </c>
    </row>
    <row r="1322" spans="1:59">
      <c r="A1322">
        <v>0</v>
      </c>
      <c r="B1322">
        <v>0</v>
      </c>
      <c r="C1322">
        <v>0</v>
      </c>
      <c r="D1322" t="s">
        <v>25022</v>
      </c>
      <c r="E1322">
        <v>3763</v>
      </c>
      <c r="F1322" t="s">
        <v>22051</v>
      </c>
      <c r="G1322" t="s">
        <v>62</v>
      </c>
      <c r="H1322">
        <v>3739209</v>
      </c>
      <c r="I1322">
        <v>3739982</v>
      </c>
      <c r="J1322" t="s">
        <v>22052</v>
      </c>
      <c r="K1322">
        <v>258</v>
      </c>
      <c r="L1322" t="s">
        <v>108</v>
      </c>
      <c r="M1322">
        <v>44</v>
      </c>
      <c r="N1322" t="str">
        <f>HYPERLINK("Gene3763-zp_tree_all.dnd", "Gene3763-tree")</f>
        <v>Gene3763-tree</v>
      </c>
      <c r="O1322">
        <v>9</v>
      </c>
      <c r="P1322">
        <v>6</v>
      </c>
      <c r="Q1322">
        <v>9</v>
      </c>
      <c r="R1322">
        <v>6</v>
      </c>
      <c r="S1322">
        <v>0.4</v>
      </c>
      <c r="T1322" t="s">
        <v>135</v>
      </c>
      <c r="U1322" t="s">
        <v>90</v>
      </c>
      <c r="V1322" t="s">
        <v>62</v>
      </c>
      <c r="W1322" t="s">
        <v>62</v>
      </c>
      <c r="X1322">
        <v>0</v>
      </c>
      <c r="Y1322">
        <v>0</v>
      </c>
      <c r="Z1322">
        <v>7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7</v>
      </c>
      <c r="AK1322">
        <v>0</v>
      </c>
      <c r="AL1322">
        <v>13</v>
      </c>
      <c r="AM1322">
        <v>7</v>
      </c>
      <c r="AN1322">
        <v>31</v>
      </c>
      <c r="AO1322">
        <v>7</v>
      </c>
      <c r="AP1322">
        <v>14</v>
      </c>
      <c r="AQ1322">
        <v>0</v>
      </c>
      <c r="AR1322" t="s">
        <v>22053</v>
      </c>
      <c r="AS1322" t="s">
        <v>193</v>
      </c>
      <c r="AT1322">
        <v>1.569</v>
      </c>
      <c r="AU1322" t="s">
        <v>65</v>
      </c>
      <c r="AV1322">
        <v>45</v>
      </c>
      <c r="AW1322">
        <v>7</v>
      </c>
      <c r="AX1322" t="s">
        <v>22054</v>
      </c>
      <c r="AY1322">
        <v>4.6240000000000003E-2</v>
      </c>
      <c r="AZ1322">
        <v>-2.0799999999999998E-3</v>
      </c>
      <c r="BA1322">
        <v>1.58E-3</v>
      </c>
      <c r="BB1322">
        <v>-1.3999999999999999E-4</v>
      </c>
      <c r="BC1322">
        <v>3.4139999999999997E-2</v>
      </c>
      <c r="BD1322">
        <v>1</v>
      </c>
      <c r="BE1322" t="s">
        <v>69</v>
      </c>
      <c r="BF1322">
        <v>-1.2110000000000001</v>
      </c>
      <c r="BG1322">
        <v>-3.3260000000000001</v>
      </c>
    </row>
    <row r="1323" spans="1:59">
      <c r="A1323">
        <v>0</v>
      </c>
      <c r="B1323">
        <v>0</v>
      </c>
      <c r="C1323">
        <v>0</v>
      </c>
      <c r="D1323" t="s">
        <v>25022</v>
      </c>
      <c r="E1323">
        <v>1210</v>
      </c>
      <c r="F1323" t="s">
        <v>7619</v>
      </c>
      <c r="G1323" t="s">
        <v>57</v>
      </c>
      <c r="H1323">
        <v>1247788</v>
      </c>
      <c r="I1323">
        <v>1248561</v>
      </c>
      <c r="J1323" t="s">
        <v>7620</v>
      </c>
      <c r="K1323">
        <v>258</v>
      </c>
      <c r="L1323" t="s">
        <v>160</v>
      </c>
      <c r="M1323">
        <v>45</v>
      </c>
      <c r="N1323" t="str">
        <f>HYPERLINK("Gene1210-zp_tree_all.dnd", "Gene1210-tree")</f>
        <v>Gene1210-tree</v>
      </c>
      <c r="O1323">
        <v>11</v>
      </c>
      <c r="P1323">
        <v>4</v>
      </c>
      <c r="Q1323">
        <v>11</v>
      </c>
      <c r="R1323">
        <v>4</v>
      </c>
      <c r="S1323">
        <v>0.26667000000000002</v>
      </c>
      <c r="T1323" t="s">
        <v>73</v>
      </c>
      <c r="U1323" t="s">
        <v>61</v>
      </c>
      <c r="V1323" t="s">
        <v>62</v>
      </c>
      <c r="W1323" t="s">
        <v>62</v>
      </c>
      <c r="X1323">
        <v>0</v>
      </c>
      <c r="Y1323">
        <v>0</v>
      </c>
      <c r="Z1323">
        <v>6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5</v>
      </c>
      <c r="AK1323">
        <v>0</v>
      </c>
      <c r="AL1323">
        <v>12</v>
      </c>
      <c r="AM1323">
        <v>9</v>
      </c>
      <c r="AN1323">
        <v>52</v>
      </c>
      <c r="AO1323">
        <v>5</v>
      </c>
      <c r="AP1323">
        <v>19</v>
      </c>
      <c r="AQ1323">
        <v>1</v>
      </c>
      <c r="AR1323" t="s">
        <v>7621</v>
      </c>
      <c r="AS1323" t="s">
        <v>7622</v>
      </c>
      <c r="AT1323">
        <v>0.188</v>
      </c>
      <c r="AU1323" t="s">
        <v>65</v>
      </c>
      <c r="AV1323">
        <v>71</v>
      </c>
      <c r="AW1323">
        <v>6</v>
      </c>
      <c r="AX1323" t="s">
        <v>7623</v>
      </c>
      <c r="AY1323">
        <v>7.0879999999999999E-2</v>
      </c>
      <c r="AZ1323">
        <v>-6.0499999999999998E-3</v>
      </c>
      <c r="BA1323">
        <v>1.5499999999999999E-3</v>
      </c>
      <c r="BB1323">
        <v>-1.3999999999999999E-4</v>
      </c>
      <c r="BC1323">
        <v>2.189E-2</v>
      </c>
      <c r="BD1323">
        <v>1</v>
      </c>
      <c r="BE1323" t="s">
        <v>69</v>
      </c>
      <c r="BF1323">
        <v>-1.2629999999999999</v>
      </c>
      <c r="BG1323">
        <v>-3.0739999999999998</v>
      </c>
    </row>
    <row r="1324" spans="1:59">
      <c r="A1324">
        <v>0</v>
      </c>
      <c r="B1324">
        <v>0</v>
      </c>
      <c r="C1324">
        <v>0</v>
      </c>
      <c r="D1324" t="s">
        <v>25022</v>
      </c>
      <c r="E1324">
        <v>70</v>
      </c>
      <c r="F1324" t="s">
        <v>563</v>
      </c>
      <c r="G1324" t="s">
        <v>57</v>
      </c>
      <c r="H1324">
        <v>79092</v>
      </c>
      <c r="I1324">
        <v>79865</v>
      </c>
      <c r="J1324" t="s">
        <v>564</v>
      </c>
      <c r="K1324">
        <v>258</v>
      </c>
      <c r="L1324" t="s">
        <v>394</v>
      </c>
      <c r="M1324">
        <v>48</v>
      </c>
      <c r="N1324" t="str">
        <f>HYPERLINK("Gene70-zp_tree_all.dnd", "Gene70-tree")</f>
        <v>Gene70-tree</v>
      </c>
      <c r="O1324">
        <v>16</v>
      </c>
      <c r="P1324">
        <v>2</v>
      </c>
      <c r="Q1324">
        <v>16</v>
      </c>
      <c r="R1324">
        <v>2</v>
      </c>
      <c r="S1324">
        <v>0.11111</v>
      </c>
      <c r="T1324" t="s">
        <v>60</v>
      </c>
      <c r="U1324" t="s">
        <v>81</v>
      </c>
      <c r="V1324" t="s">
        <v>62</v>
      </c>
      <c r="W1324" t="s">
        <v>62</v>
      </c>
      <c r="X1324">
        <v>0</v>
      </c>
      <c r="Y1324">
        <v>0</v>
      </c>
      <c r="Z1324">
        <v>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</v>
      </c>
      <c r="AK1324">
        <v>0</v>
      </c>
      <c r="AL1324">
        <v>14</v>
      </c>
      <c r="AM1324">
        <v>9</v>
      </c>
      <c r="AN1324">
        <v>34</v>
      </c>
      <c r="AO1324">
        <v>2</v>
      </c>
      <c r="AP1324">
        <v>36</v>
      </c>
      <c r="AQ1324">
        <v>1</v>
      </c>
      <c r="AR1324" t="s">
        <v>565</v>
      </c>
      <c r="AS1324" t="s">
        <v>566</v>
      </c>
      <c r="AT1324">
        <v>0.224</v>
      </c>
      <c r="AU1324" t="s">
        <v>65</v>
      </c>
      <c r="AV1324">
        <v>70</v>
      </c>
      <c r="AW1324">
        <v>3</v>
      </c>
      <c r="AX1324" t="s">
        <v>567</v>
      </c>
      <c r="AY1324">
        <v>7.6660000000000006E-2</v>
      </c>
      <c r="AZ1324">
        <v>-5.8199999999999997E-3</v>
      </c>
      <c r="BA1324">
        <v>8.8000000000000003E-4</v>
      </c>
      <c r="BB1324">
        <v>-1.1E-4</v>
      </c>
      <c r="BC1324">
        <v>1.142E-2</v>
      </c>
      <c r="BD1324">
        <v>1</v>
      </c>
      <c r="BE1324" t="s">
        <v>69</v>
      </c>
      <c r="BF1324">
        <v>-1.167</v>
      </c>
      <c r="BG1324">
        <v>-1.351</v>
      </c>
    </row>
    <row r="1325" spans="1:59">
      <c r="A1325">
        <v>0</v>
      </c>
      <c r="B1325">
        <v>5</v>
      </c>
      <c r="C1325">
        <v>1</v>
      </c>
      <c r="D1325" t="s">
        <v>25022</v>
      </c>
      <c r="E1325">
        <v>2060</v>
      </c>
      <c r="F1325" t="s">
        <v>12829</v>
      </c>
      <c r="G1325" t="s">
        <v>62</v>
      </c>
      <c r="H1325">
        <v>2146016</v>
      </c>
      <c r="I1325">
        <v>2146792</v>
      </c>
      <c r="J1325" t="s">
        <v>12830</v>
      </c>
      <c r="K1325">
        <v>259</v>
      </c>
      <c r="L1325" t="s">
        <v>108</v>
      </c>
      <c r="M1325">
        <v>44</v>
      </c>
      <c r="N1325" t="str">
        <f>HYPERLINK("Gene2060-zp_tree_all.dnd", "Gene2060-tree")</f>
        <v>Gene2060-tree</v>
      </c>
      <c r="O1325">
        <v>4</v>
      </c>
      <c r="P1325">
        <v>8</v>
      </c>
      <c r="Q1325">
        <v>4</v>
      </c>
      <c r="R1325">
        <v>8</v>
      </c>
      <c r="S1325">
        <v>0.66666999999999998</v>
      </c>
      <c r="T1325" t="s">
        <v>61</v>
      </c>
      <c r="U1325" t="s">
        <v>136</v>
      </c>
      <c r="V1325" t="s">
        <v>62</v>
      </c>
      <c r="W1325" t="s">
        <v>62</v>
      </c>
      <c r="X1325">
        <v>2</v>
      </c>
      <c r="Y1325">
        <v>6</v>
      </c>
      <c r="Z1325">
        <v>6</v>
      </c>
      <c r="AA1325">
        <v>0.5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2</v>
      </c>
      <c r="AH1325">
        <v>2</v>
      </c>
      <c r="AI1325">
        <v>4</v>
      </c>
      <c r="AJ1325">
        <v>6</v>
      </c>
      <c r="AK1325">
        <v>0.4</v>
      </c>
      <c r="AL1325">
        <v>9</v>
      </c>
      <c r="AM1325">
        <v>5</v>
      </c>
      <c r="AN1325">
        <v>7</v>
      </c>
      <c r="AO1325">
        <v>9</v>
      </c>
      <c r="AP1325">
        <v>8</v>
      </c>
      <c r="AQ1325">
        <v>4</v>
      </c>
      <c r="AR1325" t="s">
        <v>12831</v>
      </c>
      <c r="AS1325" t="s">
        <v>12832</v>
      </c>
      <c r="AT1325">
        <v>1.3340000000000001</v>
      </c>
      <c r="AU1325" t="s">
        <v>65</v>
      </c>
      <c r="AV1325">
        <v>15</v>
      </c>
      <c r="AW1325">
        <v>13</v>
      </c>
      <c r="AX1325" t="s">
        <v>12833</v>
      </c>
      <c r="AY1325">
        <v>2.164E-2</v>
      </c>
      <c r="AZ1325">
        <v>-1.4599999999999999E-3</v>
      </c>
      <c r="BA1325">
        <v>4.3699999999999998E-3</v>
      </c>
      <c r="BB1325">
        <v>-3.8000000000000002E-4</v>
      </c>
      <c r="BC1325">
        <v>0.20201</v>
      </c>
      <c r="BD1325">
        <v>1</v>
      </c>
      <c r="BE1325" t="s">
        <v>69</v>
      </c>
      <c r="BF1325">
        <v>-0.65800000000000003</v>
      </c>
      <c r="BG1325">
        <v>0.32200000000000001</v>
      </c>
    </row>
    <row r="1326" spans="1:59">
      <c r="A1326">
        <v>0</v>
      </c>
      <c r="B1326">
        <v>2</v>
      </c>
      <c r="C1326">
        <v>0</v>
      </c>
      <c r="D1326" t="s">
        <v>25022</v>
      </c>
      <c r="E1326">
        <v>1777</v>
      </c>
      <c r="F1326" t="s">
        <v>11132</v>
      </c>
      <c r="G1326" t="s">
        <v>57</v>
      </c>
      <c r="H1326">
        <v>1791193</v>
      </c>
      <c r="I1326">
        <v>1791969</v>
      </c>
      <c r="J1326" t="s">
        <v>11133</v>
      </c>
      <c r="K1326">
        <v>259</v>
      </c>
      <c r="L1326" t="s">
        <v>8085</v>
      </c>
      <c r="M1326">
        <v>35</v>
      </c>
      <c r="N1326" t="str">
        <f>HYPERLINK("Gene1777-zp_tree_all.dnd", "Gene1777-tree")</f>
        <v>Gene1777-tree</v>
      </c>
      <c r="O1326">
        <v>5</v>
      </c>
      <c r="P1326">
        <v>6</v>
      </c>
      <c r="Q1326">
        <v>5</v>
      </c>
      <c r="R1326">
        <v>6</v>
      </c>
      <c r="S1326">
        <v>0.54544999999999999</v>
      </c>
      <c r="T1326" t="s">
        <v>199</v>
      </c>
      <c r="U1326" t="s">
        <v>90</v>
      </c>
      <c r="V1326" t="s">
        <v>62</v>
      </c>
      <c r="W1326" t="s">
        <v>62</v>
      </c>
      <c r="X1326">
        <v>1</v>
      </c>
      <c r="Y1326">
        <v>2</v>
      </c>
      <c r="Z1326">
        <v>14</v>
      </c>
      <c r="AA1326">
        <v>0.125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9</v>
      </c>
      <c r="AK1326">
        <v>0</v>
      </c>
      <c r="AL1326">
        <v>9</v>
      </c>
      <c r="AM1326">
        <v>7</v>
      </c>
      <c r="AN1326">
        <v>10</v>
      </c>
      <c r="AO1326">
        <v>9</v>
      </c>
      <c r="AP1326">
        <v>14</v>
      </c>
      <c r="AQ1326">
        <v>7</v>
      </c>
      <c r="AR1326" t="s">
        <v>11134</v>
      </c>
      <c r="AS1326" t="s">
        <v>11135</v>
      </c>
      <c r="AT1326">
        <v>0.82299999999999995</v>
      </c>
      <c r="AU1326" t="s">
        <v>65</v>
      </c>
      <c r="AV1326">
        <v>24</v>
      </c>
      <c r="AW1326">
        <v>16</v>
      </c>
      <c r="AX1326" t="s">
        <v>11136</v>
      </c>
      <c r="AY1326">
        <v>3.6929999999999998E-2</v>
      </c>
      <c r="AZ1326">
        <v>-2.6099999999999999E-3</v>
      </c>
      <c r="BA1326">
        <v>7.0699999999999999E-3</v>
      </c>
      <c r="BB1326">
        <v>-3.8999999999999999E-4</v>
      </c>
      <c r="BC1326">
        <v>0.19134999999999999</v>
      </c>
      <c r="BD1326">
        <v>1</v>
      </c>
      <c r="BE1326" t="s">
        <v>69</v>
      </c>
      <c r="BF1326">
        <v>-1.139</v>
      </c>
      <c r="BG1326">
        <v>-1.4039999999999999</v>
      </c>
    </row>
    <row r="1327" spans="1:59">
      <c r="A1327">
        <v>0</v>
      </c>
      <c r="B1327">
        <v>2</v>
      </c>
      <c r="C1327">
        <v>0</v>
      </c>
      <c r="D1327" t="s">
        <v>25022</v>
      </c>
      <c r="E1327">
        <v>2394</v>
      </c>
      <c r="F1327" t="s">
        <v>13938</v>
      </c>
      <c r="G1327" t="s">
        <v>62</v>
      </c>
      <c r="H1327">
        <v>2404252</v>
      </c>
      <c r="I1327">
        <v>2405028</v>
      </c>
      <c r="J1327" t="s">
        <v>13939</v>
      </c>
      <c r="K1327">
        <v>259</v>
      </c>
      <c r="L1327" t="s">
        <v>108</v>
      </c>
      <c r="M1327">
        <v>44</v>
      </c>
      <c r="N1327" t="str">
        <f>HYPERLINK("Gene2394-zp_tree_all.dnd", "Gene2394-tree")</f>
        <v>Gene2394-tree</v>
      </c>
      <c r="O1327">
        <v>5</v>
      </c>
      <c r="P1327">
        <v>7</v>
      </c>
      <c r="Q1327">
        <v>5</v>
      </c>
      <c r="R1327">
        <v>7</v>
      </c>
      <c r="S1327">
        <v>0.58333000000000002</v>
      </c>
      <c r="T1327" t="s">
        <v>199</v>
      </c>
      <c r="U1327" t="s">
        <v>152</v>
      </c>
      <c r="V1327" t="s">
        <v>62</v>
      </c>
      <c r="W1327" t="s">
        <v>62</v>
      </c>
      <c r="X1327">
        <v>1</v>
      </c>
      <c r="Y1327">
        <v>2</v>
      </c>
      <c r="Z1327">
        <v>10</v>
      </c>
      <c r="AA1327">
        <v>0.16667000000000001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10</v>
      </c>
      <c r="AK1327">
        <v>0</v>
      </c>
      <c r="AL1327">
        <v>11</v>
      </c>
      <c r="AM1327">
        <v>5</v>
      </c>
      <c r="AN1327">
        <v>14</v>
      </c>
      <c r="AO1327">
        <v>10</v>
      </c>
      <c r="AP1327">
        <v>6</v>
      </c>
      <c r="AQ1327">
        <v>2</v>
      </c>
      <c r="AR1327" t="s">
        <v>13940</v>
      </c>
      <c r="AS1327" t="s">
        <v>13941</v>
      </c>
      <c r="AT1327">
        <v>0.91400000000000003</v>
      </c>
      <c r="AU1327" t="s">
        <v>65</v>
      </c>
      <c r="AV1327">
        <v>20</v>
      </c>
      <c r="AW1327">
        <v>12</v>
      </c>
      <c r="AX1327" t="s">
        <v>13942</v>
      </c>
      <c r="AY1327">
        <v>2.3810000000000001E-2</v>
      </c>
      <c r="AZ1327">
        <v>-1.39E-3</v>
      </c>
      <c r="BA1327">
        <v>3.8400000000000001E-3</v>
      </c>
      <c r="BB1327">
        <v>-2.4000000000000001E-4</v>
      </c>
      <c r="BC1327">
        <v>0.16123999999999999</v>
      </c>
      <c r="BD1327">
        <v>1</v>
      </c>
      <c r="BE1327" t="s">
        <v>69</v>
      </c>
      <c r="BF1327">
        <v>-1.1639999999999999</v>
      </c>
      <c r="BG1327">
        <v>-0.74</v>
      </c>
    </row>
    <row r="1328" spans="1:59">
      <c r="A1328">
        <v>0</v>
      </c>
      <c r="B1328">
        <v>6</v>
      </c>
      <c r="C1328">
        <v>0</v>
      </c>
      <c r="D1328" t="s">
        <v>25022</v>
      </c>
      <c r="E1328">
        <v>2478</v>
      </c>
      <c r="F1328" t="s">
        <v>14446</v>
      </c>
      <c r="G1328" t="s">
        <v>62</v>
      </c>
      <c r="H1328">
        <v>2471005</v>
      </c>
      <c r="I1328">
        <v>2471781</v>
      </c>
      <c r="J1328" t="s">
        <v>14447</v>
      </c>
      <c r="K1328">
        <v>259</v>
      </c>
      <c r="L1328" t="s">
        <v>108</v>
      </c>
      <c r="M1328">
        <v>44</v>
      </c>
      <c r="N1328" t="str">
        <f>HYPERLINK("Gene2478-zp_tree_all.dnd", "Gene2478-tree")</f>
        <v>Gene2478-tree</v>
      </c>
      <c r="O1328">
        <v>8</v>
      </c>
      <c r="P1328">
        <v>6</v>
      </c>
      <c r="Q1328">
        <v>8</v>
      </c>
      <c r="R1328">
        <v>6</v>
      </c>
      <c r="S1328">
        <v>0.42857000000000001</v>
      </c>
      <c r="T1328" t="s">
        <v>136</v>
      </c>
      <c r="U1328" t="s">
        <v>90</v>
      </c>
      <c r="V1328" t="s">
        <v>62</v>
      </c>
      <c r="W1328" t="s">
        <v>62</v>
      </c>
      <c r="X1328">
        <v>3</v>
      </c>
      <c r="Y1328">
        <v>6</v>
      </c>
      <c r="Z1328">
        <v>5</v>
      </c>
      <c r="AA1328">
        <v>0.54544999999999999</v>
      </c>
      <c r="AB1328">
        <v>0</v>
      </c>
      <c r="AC1328">
        <v>0</v>
      </c>
      <c r="AD1328">
        <v>0</v>
      </c>
      <c r="AE1328">
        <v>2</v>
      </c>
      <c r="AF1328">
        <v>0</v>
      </c>
      <c r="AG1328">
        <v>4</v>
      </c>
      <c r="AH1328">
        <v>0</v>
      </c>
      <c r="AI1328">
        <v>4</v>
      </c>
      <c r="AJ1328">
        <v>4</v>
      </c>
      <c r="AK1328">
        <v>0.5</v>
      </c>
      <c r="AL1328">
        <v>12</v>
      </c>
      <c r="AM1328">
        <v>8</v>
      </c>
      <c r="AN1328">
        <v>27</v>
      </c>
      <c r="AO1328">
        <v>9</v>
      </c>
      <c r="AP1328">
        <v>11</v>
      </c>
      <c r="AQ1328">
        <v>3</v>
      </c>
      <c r="AR1328" t="s">
        <v>14448</v>
      </c>
      <c r="AS1328" t="s">
        <v>14449</v>
      </c>
      <c r="AT1328">
        <v>0.22600000000000001</v>
      </c>
      <c r="AU1328" t="s">
        <v>65</v>
      </c>
      <c r="AV1328">
        <v>38</v>
      </c>
      <c r="AW1328">
        <v>12</v>
      </c>
      <c r="AX1328" t="s">
        <v>14450</v>
      </c>
      <c r="AY1328">
        <v>3.6609999999999997E-2</v>
      </c>
      <c r="AZ1328">
        <v>-1.14E-3</v>
      </c>
      <c r="BA1328">
        <v>3.6700000000000001E-3</v>
      </c>
      <c r="BB1328">
        <v>-2.4000000000000001E-4</v>
      </c>
      <c r="BC1328">
        <v>0.10036</v>
      </c>
      <c r="BD1328">
        <v>1</v>
      </c>
      <c r="BE1328" t="s">
        <v>69</v>
      </c>
      <c r="BF1328">
        <v>-0.42</v>
      </c>
      <c r="BG1328">
        <v>-0.55600000000000005</v>
      </c>
    </row>
    <row r="1329" spans="1:59">
      <c r="A1329">
        <v>0</v>
      </c>
      <c r="B1329">
        <v>2</v>
      </c>
      <c r="C1329">
        <v>0</v>
      </c>
      <c r="D1329" t="s">
        <v>25022</v>
      </c>
      <c r="E1329">
        <v>3167</v>
      </c>
      <c r="F1329" t="s">
        <v>18412</v>
      </c>
      <c r="G1329" t="s">
        <v>62</v>
      </c>
      <c r="H1329">
        <v>3122665</v>
      </c>
      <c r="I1329">
        <v>3123441</v>
      </c>
      <c r="J1329" t="s">
        <v>18413</v>
      </c>
      <c r="K1329">
        <v>259</v>
      </c>
      <c r="L1329" t="s">
        <v>108</v>
      </c>
      <c r="M1329">
        <v>44</v>
      </c>
      <c r="N1329" t="str">
        <f>HYPERLINK("Gene3167-zp_tree_all.dnd", "Gene3167-tree")</f>
        <v>Gene3167-tree</v>
      </c>
      <c r="O1329">
        <v>11</v>
      </c>
      <c r="P1329">
        <v>2</v>
      </c>
      <c r="Q1329">
        <v>11</v>
      </c>
      <c r="R1329">
        <v>2</v>
      </c>
      <c r="S1329">
        <v>0.15384999999999999</v>
      </c>
      <c r="T1329" t="s">
        <v>73</v>
      </c>
      <c r="U1329" t="s">
        <v>81</v>
      </c>
      <c r="V1329" t="s">
        <v>62</v>
      </c>
      <c r="W1329" t="s">
        <v>62</v>
      </c>
      <c r="X1329">
        <v>1</v>
      </c>
      <c r="Y1329">
        <v>2</v>
      </c>
      <c r="Z1329">
        <v>2</v>
      </c>
      <c r="AA1329">
        <v>0.5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</v>
      </c>
      <c r="AH1329">
        <v>0</v>
      </c>
      <c r="AI1329">
        <v>2</v>
      </c>
      <c r="AJ1329">
        <v>0</v>
      </c>
      <c r="AK1329">
        <v>1</v>
      </c>
      <c r="AL1329">
        <v>9</v>
      </c>
      <c r="AM1329">
        <v>7</v>
      </c>
      <c r="AN1329">
        <v>13</v>
      </c>
      <c r="AO1329">
        <v>2</v>
      </c>
      <c r="AP1329">
        <v>11</v>
      </c>
      <c r="AQ1329">
        <v>3</v>
      </c>
      <c r="AR1329" t="s">
        <v>18414</v>
      </c>
      <c r="AS1329" t="s">
        <v>18415</v>
      </c>
      <c r="AT1329">
        <v>0.18099999999999999</v>
      </c>
      <c r="AU1329" t="s">
        <v>65</v>
      </c>
      <c r="AV1329">
        <v>24</v>
      </c>
      <c r="AW1329">
        <v>5</v>
      </c>
      <c r="AX1329" t="s">
        <v>18416</v>
      </c>
      <c r="AY1329">
        <v>2.9530000000000001E-2</v>
      </c>
      <c r="AZ1329">
        <v>-1.41E-3</v>
      </c>
      <c r="BA1329">
        <v>2.3999999999999998E-3</v>
      </c>
      <c r="BB1329">
        <v>-2.7E-4</v>
      </c>
      <c r="BC1329">
        <v>8.1280000000000005E-2</v>
      </c>
      <c r="BD1329">
        <v>1</v>
      </c>
      <c r="BE1329" t="s">
        <v>69</v>
      </c>
      <c r="BF1329">
        <v>-7.8E-2</v>
      </c>
      <c r="BG1329">
        <v>1.006</v>
      </c>
    </row>
    <row r="1330" spans="1:59">
      <c r="A1330">
        <v>0</v>
      </c>
      <c r="B1330">
        <v>0</v>
      </c>
      <c r="C1330">
        <v>0</v>
      </c>
      <c r="D1330" t="s">
        <v>25022</v>
      </c>
      <c r="E1330">
        <v>3052</v>
      </c>
      <c r="F1330" t="s">
        <v>17661</v>
      </c>
      <c r="G1330" t="s">
        <v>62</v>
      </c>
      <c r="H1330">
        <v>3004349</v>
      </c>
      <c r="I1330">
        <v>3005125</v>
      </c>
      <c r="J1330" t="s">
        <v>17662</v>
      </c>
      <c r="K1330">
        <v>259</v>
      </c>
      <c r="L1330" t="s">
        <v>17663</v>
      </c>
      <c r="M1330">
        <v>32</v>
      </c>
      <c r="N1330" t="str">
        <f>HYPERLINK("Gene3052-zp_tree_all.dnd", "Gene3052-tree")</f>
        <v>Gene3052-tree</v>
      </c>
      <c r="O1330">
        <v>6</v>
      </c>
      <c r="P1330">
        <v>2</v>
      </c>
      <c r="Q1330">
        <v>6</v>
      </c>
      <c r="R1330">
        <v>2</v>
      </c>
      <c r="S1330">
        <v>0.25</v>
      </c>
      <c r="T1330" t="s">
        <v>90</v>
      </c>
      <c r="U1330" t="s">
        <v>81</v>
      </c>
      <c r="V1330" t="s">
        <v>62</v>
      </c>
      <c r="W1330" t="s">
        <v>62</v>
      </c>
      <c r="X1330">
        <v>0</v>
      </c>
      <c r="Y1330">
        <v>0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</v>
      </c>
      <c r="AK1330">
        <v>0</v>
      </c>
      <c r="AL1330">
        <v>5</v>
      </c>
      <c r="AM1330">
        <v>5</v>
      </c>
      <c r="AN1330">
        <v>7</v>
      </c>
      <c r="AO1330">
        <v>2</v>
      </c>
      <c r="AP1330">
        <v>6</v>
      </c>
      <c r="AQ1330">
        <v>1</v>
      </c>
      <c r="AR1330" t="s">
        <v>17664</v>
      </c>
      <c r="AS1330" t="s">
        <v>17665</v>
      </c>
      <c r="AT1330">
        <v>0.28399999999999997</v>
      </c>
      <c r="AU1330" t="s">
        <v>65</v>
      </c>
      <c r="AV1330">
        <v>13</v>
      </c>
      <c r="AW1330">
        <v>3</v>
      </c>
      <c r="AX1330" t="s">
        <v>17666</v>
      </c>
      <c r="AY1330">
        <v>2.3290000000000002E-2</v>
      </c>
      <c r="AZ1330">
        <v>-1.9599999999999999E-3</v>
      </c>
      <c r="BA1330">
        <v>1.5399999999999999E-3</v>
      </c>
      <c r="BB1330">
        <v>-2.0000000000000001E-4</v>
      </c>
      <c r="BC1330">
        <v>6.6159999999999997E-2</v>
      </c>
      <c r="BD1330">
        <v>1</v>
      </c>
      <c r="BE1330" t="s">
        <v>69</v>
      </c>
      <c r="BF1330">
        <v>-0.623</v>
      </c>
      <c r="BG1330">
        <v>0.14899999999999999</v>
      </c>
    </row>
    <row r="1331" spans="1:59">
      <c r="A1331">
        <v>0</v>
      </c>
      <c r="B1331">
        <v>0</v>
      </c>
      <c r="C1331">
        <v>0</v>
      </c>
      <c r="D1331" t="s">
        <v>25022</v>
      </c>
      <c r="E1331">
        <v>3596</v>
      </c>
      <c r="F1331" t="s">
        <v>21112</v>
      </c>
      <c r="G1331" t="s">
        <v>62</v>
      </c>
      <c r="H1331">
        <v>3565499</v>
      </c>
      <c r="I1331">
        <v>3566275</v>
      </c>
      <c r="J1331" t="s">
        <v>21113</v>
      </c>
      <c r="K1331">
        <v>259</v>
      </c>
      <c r="L1331" t="s">
        <v>108</v>
      </c>
      <c r="M1331">
        <v>44</v>
      </c>
      <c r="N1331" t="str">
        <f>HYPERLINK("Gene3596-zp_tree_all.dnd", "Gene3596-tree")</f>
        <v>Gene3596-tree</v>
      </c>
      <c r="O1331">
        <v>9</v>
      </c>
      <c r="P1331">
        <v>4</v>
      </c>
      <c r="Q1331">
        <v>9</v>
      </c>
      <c r="R1331">
        <v>4</v>
      </c>
      <c r="S1331">
        <v>0.30769000000000002</v>
      </c>
      <c r="T1331" t="s">
        <v>135</v>
      </c>
      <c r="U1331" t="s">
        <v>61</v>
      </c>
      <c r="V1331" t="s">
        <v>62</v>
      </c>
      <c r="W1331" t="s">
        <v>62</v>
      </c>
      <c r="X1331">
        <v>0</v>
      </c>
      <c r="Y1331">
        <v>0</v>
      </c>
      <c r="Z1331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4</v>
      </c>
      <c r="AK1331">
        <v>0</v>
      </c>
      <c r="AL1331">
        <v>8</v>
      </c>
      <c r="AM1331">
        <v>10</v>
      </c>
      <c r="AN1331">
        <v>19</v>
      </c>
      <c r="AO1331">
        <v>3</v>
      </c>
      <c r="AP1331">
        <v>11</v>
      </c>
      <c r="AQ1331">
        <v>1</v>
      </c>
      <c r="AR1331" t="s">
        <v>21114</v>
      </c>
      <c r="AS1331" t="s">
        <v>21115</v>
      </c>
      <c r="AT1331">
        <v>0.21199999999999999</v>
      </c>
      <c r="AU1331" t="s">
        <v>65</v>
      </c>
      <c r="AV1331">
        <v>30</v>
      </c>
      <c r="AW1331">
        <v>4</v>
      </c>
      <c r="AX1331" t="s">
        <v>21116</v>
      </c>
      <c r="AY1331">
        <v>4.0529999999999997E-2</v>
      </c>
      <c r="AZ1331">
        <v>-2.5100000000000001E-3</v>
      </c>
      <c r="BA1331">
        <v>1.24E-3</v>
      </c>
      <c r="BB1331">
        <v>-1.4999999999999999E-4</v>
      </c>
      <c r="BC1331">
        <v>3.0700000000000002E-2</v>
      </c>
      <c r="BD1331">
        <v>1</v>
      </c>
      <c r="BE1331" t="s">
        <v>69</v>
      </c>
      <c r="BF1331">
        <v>-0.29599999999999999</v>
      </c>
      <c r="BG1331">
        <v>-1.8120000000000001</v>
      </c>
    </row>
    <row r="1332" spans="1:59">
      <c r="A1332">
        <v>0</v>
      </c>
      <c r="B1332">
        <v>0</v>
      </c>
      <c r="C1332">
        <v>0</v>
      </c>
      <c r="D1332" t="s">
        <v>25022</v>
      </c>
      <c r="E1332">
        <v>1699</v>
      </c>
      <c r="F1332" t="s">
        <v>10651</v>
      </c>
      <c r="G1332" t="s">
        <v>57</v>
      </c>
      <c r="H1332">
        <v>1705820</v>
      </c>
      <c r="I1332">
        <v>1706596</v>
      </c>
      <c r="J1332" t="s">
        <v>10639</v>
      </c>
      <c r="K1332">
        <v>259</v>
      </c>
      <c r="L1332" t="s">
        <v>108</v>
      </c>
      <c r="M1332">
        <v>44</v>
      </c>
      <c r="N1332" t="str">
        <f>HYPERLINK("Gene1699-zp_tree_all.dnd", "Gene1699-tree")</f>
        <v>Gene1699-tree</v>
      </c>
      <c r="O1332">
        <v>10</v>
      </c>
      <c r="P1332">
        <v>3</v>
      </c>
      <c r="Q1332">
        <v>10</v>
      </c>
      <c r="R1332">
        <v>3</v>
      </c>
      <c r="S1332">
        <v>0.23077</v>
      </c>
      <c r="T1332" t="s">
        <v>117</v>
      </c>
      <c r="U1332" t="s">
        <v>324</v>
      </c>
      <c r="V1332" t="s">
        <v>62</v>
      </c>
      <c r="W1332" t="s">
        <v>62</v>
      </c>
      <c r="X1332">
        <v>0</v>
      </c>
      <c r="Y1332">
        <v>0</v>
      </c>
      <c r="Z1332">
        <v>3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3</v>
      </c>
      <c r="AK1332">
        <v>0</v>
      </c>
      <c r="AL1332">
        <v>11</v>
      </c>
      <c r="AM1332">
        <v>5</v>
      </c>
      <c r="AN1332">
        <v>23</v>
      </c>
      <c r="AO1332">
        <v>3</v>
      </c>
      <c r="AP1332">
        <v>11</v>
      </c>
      <c r="AQ1332">
        <v>0</v>
      </c>
      <c r="AR1332" t="s">
        <v>10652</v>
      </c>
      <c r="AS1332" t="s">
        <v>193</v>
      </c>
      <c r="AT1332">
        <v>1.026</v>
      </c>
      <c r="AU1332" t="s">
        <v>65</v>
      </c>
      <c r="AV1332">
        <v>34</v>
      </c>
      <c r="AW1332">
        <v>3</v>
      </c>
      <c r="AX1332" t="s">
        <v>10653</v>
      </c>
      <c r="AY1332">
        <v>3.9960000000000002E-2</v>
      </c>
      <c r="AZ1332">
        <v>-2.49E-3</v>
      </c>
      <c r="BA1332">
        <v>7.7999999999999999E-4</v>
      </c>
      <c r="BB1332">
        <v>-1.1E-4</v>
      </c>
      <c r="BC1332">
        <v>1.941E-2</v>
      </c>
      <c r="BD1332">
        <v>1</v>
      </c>
      <c r="BE1332" t="s">
        <v>69</v>
      </c>
      <c r="BF1332">
        <v>-0.78200000000000003</v>
      </c>
      <c r="BG1332">
        <v>-1.857</v>
      </c>
    </row>
    <row r="1333" spans="1:59">
      <c r="A1333">
        <v>0</v>
      </c>
      <c r="B1333">
        <v>0</v>
      </c>
      <c r="C1333">
        <v>0</v>
      </c>
      <c r="D1333" t="s">
        <v>25022</v>
      </c>
      <c r="E1333">
        <v>1678</v>
      </c>
      <c r="F1333" t="s">
        <v>10511</v>
      </c>
      <c r="G1333" t="s">
        <v>57</v>
      </c>
      <c r="H1333">
        <v>1690119</v>
      </c>
      <c r="I1333">
        <v>1690895</v>
      </c>
      <c r="J1333" t="s">
        <v>10512</v>
      </c>
      <c r="K1333">
        <v>259</v>
      </c>
      <c r="L1333" t="s">
        <v>10513</v>
      </c>
      <c r="M1333">
        <v>46</v>
      </c>
      <c r="N1333" t="str">
        <f>HYPERLINK("Gene1678-zp_tree_all.dnd", "Gene1678-tree")</f>
        <v>Gene1678-tree</v>
      </c>
      <c r="O1333">
        <v>14</v>
      </c>
      <c r="P1333">
        <v>1</v>
      </c>
      <c r="Q1333">
        <v>14</v>
      </c>
      <c r="R1333">
        <v>1</v>
      </c>
      <c r="S1333">
        <v>6.6669999999999993E-2</v>
      </c>
      <c r="T1333" t="s">
        <v>543</v>
      </c>
      <c r="U1333" t="s">
        <v>175</v>
      </c>
      <c r="V1333" t="s">
        <v>62</v>
      </c>
      <c r="W1333" t="s">
        <v>62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13</v>
      </c>
      <c r="AM1333">
        <v>8</v>
      </c>
      <c r="AN1333">
        <v>31</v>
      </c>
      <c r="AO1333">
        <v>1</v>
      </c>
      <c r="AP1333">
        <v>37</v>
      </c>
      <c r="AQ1333">
        <v>0</v>
      </c>
      <c r="AR1333" t="s">
        <v>10514</v>
      </c>
      <c r="AS1333" t="s">
        <v>193</v>
      </c>
      <c r="AT1333">
        <v>0.28599999999999998</v>
      </c>
      <c r="AU1333" t="s">
        <v>65</v>
      </c>
      <c r="AV1333">
        <v>68</v>
      </c>
      <c r="AW1333">
        <v>1</v>
      </c>
      <c r="AX1333" t="s">
        <v>10515</v>
      </c>
      <c r="AY1333">
        <v>0.10829</v>
      </c>
      <c r="AZ1333">
        <v>-1.004E-2</v>
      </c>
      <c r="BA1333">
        <v>2.2000000000000001E-4</v>
      </c>
      <c r="BB1333">
        <v>-5.0000000000000002E-5</v>
      </c>
      <c r="BC1333">
        <v>2.0500000000000002E-3</v>
      </c>
      <c r="BD1333">
        <v>1</v>
      </c>
      <c r="BE1333" t="s">
        <v>69</v>
      </c>
      <c r="BF1333">
        <v>-1.625</v>
      </c>
      <c r="BG1333">
        <v>-1.466</v>
      </c>
    </row>
    <row r="1334" spans="1:59">
      <c r="A1334">
        <v>0</v>
      </c>
      <c r="B1334">
        <v>2</v>
      </c>
      <c r="C1334">
        <v>4</v>
      </c>
      <c r="D1334" t="s">
        <v>25022</v>
      </c>
      <c r="E1334">
        <v>1994</v>
      </c>
      <c r="F1334" t="s">
        <v>12416</v>
      </c>
      <c r="G1334" t="s">
        <v>62</v>
      </c>
      <c r="H1334">
        <v>2086746</v>
      </c>
      <c r="I1334">
        <v>2087525</v>
      </c>
      <c r="J1334" t="s">
        <v>116</v>
      </c>
      <c r="K1334">
        <v>260</v>
      </c>
      <c r="L1334" t="s">
        <v>3401</v>
      </c>
      <c r="M1334">
        <v>42</v>
      </c>
      <c r="N1334" t="str">
        <f>HYPERLINK("Gene1994-zp_tree_all.dnd", "Gene1994-tree")</f>
        <v>Gene1994-tree</v>
      </c>
      <c r="O1334">
        <v>5</v>
      </c>
      <c r="P1334">
        <v>9</v>
      </c>
      <c r="Q1334">
        <v>5</v>
      </c>
      <c r="R1334">
        <v>9</v>
      </c>
      <c r="S1334">
        <v>0.64285999999999999</v>
      </c>
      <c r="T1334" t="s">
        <v>199</v>
      </c>
      <c r="U1334" t="s">
        <v>135</v>
      </c>
      <c r="V1334" t="s">
        <v>62</v>
      </c>
      <c r="W1334" t="s">
        <v>62</v>
      </c>
      <c r="X1334">
        <v>3</v>
      </c>
      <c r="Y1334">
        <v>6</v>
      </c>
      <c r="Z1334">
        <v>16</v>
      </c>
      <c r="AA1334">
        <v>0.27272999999999997</v>
      </c>
      <c r="AB1334">
        <v>0</v>
      </c>
      <c r="AC1334">
        <v>0</v>
      </c>
      <c r="AD1334">
        <v>0</v>
      </c>
      <c r="AE1334">
        <v>2</v>
      </c>
      <c r="AF1334">
        <v>0</v>
      </c>
      <c r="AG1334">
        <v>0</v>
      </c>
      <c r="AH1334">
        <v>2</v>
      </c>
      <c r="AI1334">
        <v>2</v>
      </c>
      <c r="AJ1334">
        <v>11</v>
      </c>
      <c r="AK1334">
        <v>0.15384999999999999</v>
      </c>
      <c r="AL1334">
        <v>10</v>
      </c>
      <c r="AM1334">
        <v>9</v>
      </c>
      <c r="AN1334">
        <v>14</v>
      </c>
      <c r="AO1334">
        <v>13</v>
      </c>
      <c r="AP1334">
        <v>14</v>
      </c>
      <c r="AQ1334">
        <v>9</v>
      </c>
      <c r="AR1334" t="s">
        <v>12417</v>
      </c>
      <c r="AS1334" t="s">
        <v>12418</v>
      </c>
      <c r="AT1334">
        <v>0.38200000000000001</v>
      </c>
      <c r="AU1334" t="s">
        <v>65</v>
      </c>
      <c r="AV1334">
        <v>28</v>
      </c>
      <c r="AW1334">
        <v>22</v>
      </c>
      <c r="AX1334" t="s">
        <v>12419</v>
      </c>
      <c r="AY1334">
        <v>3.5040000000000002E-2</v>
      </c>
      <c r="AZ1334">
        <v>-1.6800000000000001E-3</v>
      </c>
      <c r="BA1334">
        <v>7.6899999999999998E-3</v>
      </c>
      <c r="BB1334">
        <v>-4.4999999999999999E-4</v>
      </c>
      <c r="BC1334">
        <v>0.21945999999999999</v>
      </c>
      <c r="BD1334">
        <v>1</v>
      </c>
      <c r="BE1334" t="s">
        <v>69</v>
      </c>
      <c r="BF1334">
        <v>-1.0009999999999999</v>
      </c>
      <c r="BG1334">
        <v>-0.88100000000000001</v>
      </c>
    </row>
    <row r="1335" spans="1:59">
      <c r="A1335">
        <v>0</v>
      </c>
      <c r="B1335">
        <v>2</v>
      </c>
      <c r="C1335">
        <v>2</v>
      </c>
      <c r="D1335" t="s">
        <v>25022</v>
      </c>
      <c r="E1335">
        <v>320</v>
      </c>
      <c r="F1335" t="s">
        <v>2183</v>
      </c>
      <c r="G1335" t="s">
        <v>57</v>
      </c>
      <c r="H1335">
        <v>343578</v>
      </c>
      <c r="I1335">
        <v>344357</v>
      </c>
      <c r="J1335" t="s">
        <v>116</v>
      </c>
      <c r="K1335">
        <v>260</v>
      </c>
      <c r="L1335" t="s">
        <v>108</v>
      </c>
      <c r="M1335">
        <v>44</v>
      </c>
      <c r="N1335" t="str">
        <f>HYPERLINK("Gene320-zp_tree_all.dnd", "Gene320-tree")</f>
        <v>Gene320-tree</v>
      </c>
      <c r="O1335">
        <v>29</v>
      </c>
      <c r="P1335">
        <v>5</v>
      </c>
      <c r="Q1335">
        <v>10</v>
      </c>
      <c r="R1335">
        <v>5</v>
      </c>
      <c r="S1335">
        <v>0.33333000000000002</v>
      </c>
      <c r="T1335" t="s">
        <v>2184</v>
      </c>
      <c r="U1335" t="s">
        <v>199</v>
      </c>
      <c r="V1335" t="s">
        <v>62</v>
      </c>
      <c r="W1335" t="s">
        <v>62</v>
      </c>
      <c r="X1335">
        <v>2</v>
      </c>
      <c r="Y1335">
        <v>4</v>
      </c>
      <c r="Z1335">
        <v>8</v>
      </c>
      <c r="AA1335">
        <v>0.33333000000000002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8</v>
      </c>
      <c r="AK1335">
        <v>0</v>
      </c>
      <c r="AL1335">
        <v>12</v>
      </c>
      <c r="AM1335">
        <v>10</v>
      </c>
      <c r="AN1335">
        <v>41</v>
      </c>
      <c r="AO1335">
        <v>6</v>
      </c>
      <c r="AP1335">
        <v>15</v>
      </c>
      <c r="AQ1335">
        <v>7</v>
      </c>
      <c r="AR1335" t="s">
        <v>2185</v>
      </c>
      <c r="AS1335" t="s">
        <v>2186</v>
      </c>
      <c r="AT1335">
        <v>1.1919999999999999</v>
      </c>
      <c r="AU1335" t="s">
        <v>65</v>
      </c>
      <c r="AV1335">
        <v>56</v>
      </c>
      <c r="AW1335">
        <v>13</v>
      </c>
      <c r="AX1335" t="s">
        <v>2187</v>
      </c>
      <c r="AY1335">
        <v>5.3199999999999997E-2</v>
      </c>
      <c r="AZ1335">
        <v>-2.7000000000000001E-3</v>
      </c>
      <c r="BA1335">
        <v>4.5300000000000002E-3</v>
      </c>
      <c r="BB1335">
        <v>-2.4000000000000001E-4</v>
      </c>
      <c r="BC1335">
        <v>8.5070000000000007E-2</v>
      </c>
      <c r="BD1335">
        <v>1</v>
      </c>
      <c r="BE1335" t="s">
        <v>69</v>
      </c>
      <c r="BF1335">
        <v>-0.38900000000000001</v>
      </c>
      <c r="BG1335">
        <v>-0.16400000000000001</v>
      </c>
    </row>
    <row r="1336" spans="1:59">
      <c r="A1336">
        <v>0</v>
      </c>
      <c r="B1336">
        <v>0</v>
      </c>
      <c r="C1336">
        <v>0</v>
      </c>
      <c r="D1336" t="s">
        <v>25022</v>
      </c>
      <c r="E1336">
        <v>1564</v>
      </c>
      <c r="F1336" t="s">
        <v>9780</v>
      </c>
      <c r="G1336" t="s">
        <v>57</v>
      </c>
      <c r="H1336">
        <v>1571981</v>
      </c>
      <c r="I1336">
        <v>1572760</v>
      </c>
      <c r="J1336" t="s">
        <v>2512</v>
      </c>
      <c r="K1336">
        <v>260</v>
      </c>
      <c r="L1336" t="s">
        <v>108</v>
      </c>
      <c r="M1336">
        <v>44</v>
      </c>
      <c r="N1336" t="str">
        <f>HYPERLINK("Gene1564-zp_tree_all.dnd", "Gene1564-tree")</f>
        <v>Gene1564-tree</v>
      </c>
      <c r="O1336">
        <v>30</v>
      </c>
      <c r="P1336">
        <v>3</v>
      </c>
      <c r="Q1336">
        <v>8</v>
      </c>
      <c r="R1336">
        <v>3</v>
      </c>
      <c r="S1336">
        <v>0.27272999999999997</v>
      </c>
      <c r="T1336" t="s">
        <v>9781</v>
      </c>
      <c r="U1336" t="s">
        <v>324</v>
      </c>
      <c r="V1336" t="s">
        <v>62</v>
      </c>
      <c r="W1336" t="s">
        <v>62</v>
      </c>
      <c r="X1336">
        <v>0</v>
      </c>
      <c r="Y1336">
        <v>0</v>
      </c>
      <c r="Z1336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4</v>
      </c>
      <c r="AK1336">
        <v>0</v>
      </c>
      <c r="AL1336">
        <v>7</v>
      </c>
      <c r="AM1336">
        <v>4</v>
      </c>
      <c r="AN1336">
        <v>9</v>
      </c>
      <c r="AO1336">
        <v>4</v>
      </c>
      <c r="AP1336">
        <v>4</v>
      </c>
      <c r="AQ1336">
        <v>0</v>
      </c>
      <c r="AR1336" t="s">
        <v>9782</v>
      </c>
      <c r="AS1336" t="s">
        <v>193</v>
      </c>
      <c r="AT1336">
        <v>1.26</v>
      </c>
      <c r="AU1336" t="s">
        <v>65</v>
      </c>
      <c r="AV1336">
        <v>13</v>
      </c>
      <c r="AW1336">
        <v>4</v>
      </c>
      <c r="AX1336" t="s">
        <v>9783</v>
      </c>
      <c r="AY1336">
        <v>1.754E-2</v>
      </c>
      <c r="AZ1336">
        <v>-1.23E-3</v>
      </c>
      <c r="BA1336">
        <v>1.2199999999999999E-3</v>
      </c>
      <c r="BB1336">
        <v>-2.0000000000000001E-4</v>
      </c>
      <c r="BC1336">
        <v>6.9580000000000003E-2</v>
      </c>
      <c r="BD1336">
        <v>1</v>
      </c>
      <c r="BE1336" t="s">
        <v>69</v>
      </c>
      <c r="BF1336">
        <v>-0.89100000000000001</v>
      </c>
      <c r="BG1336">
        <v>-1.984</v>
      </c>
    </row>
    <row r="1337" spans="1:59">
      <c r="A1337">
        <v>0</v>
      </c>
      <c r="B1337">
        <v>2</v>
      </c>
      <c r="C1337">
        <v>4</v>
      </c>
      <c r="D1337" t="s">
        <v>25022</v>
      </c>
      <c r="E1337">
        <v>1715</v>
      </c>
      <c r="F1337" t="s">
        <v>10756</v>
      </c>
      <c r="G1337" t="s">
        <v>57</v>
      </c>
      <c r="H1337">
        <v>1721214</v>
      </c>
      <c r="I1337">
        <v>1721993</v>
      </c>
      <c r="J1337" t="s">
        <v>10757</v>
      </c>
      <c r="K1337">
        <v>260</v>
      </c>
      <c r="L1337" t="s">
        <v>59</v>
      </c>
      <c r="M1337">
        <v>49</v>
      </c>
      <c r="N1337" t="str">
        <f>HYPERLINK("Gene1715-zp_tree_all.dnd", "Gene1715-tree")</f>
        <v>Gene1715-tree</v>
      </c>
      <c r="O1337">
        <v>11</v>
      </c>
      <c r="P1337">
        <v>3</v>
      </c>
      <c r="Q1337">
        <v>11</v>
      </c>
      <c r="R1337">
        <v>3</v>
      </c>
      <c r="S1337">
        <v>0.21429000000000001</v>
      </c>
      <c r="T1337" t="s">
        <v>73</v>
      </c>
      <c r="U1337" t="s">
        <v>324</v>
      </c>
      <c r="V1337" t="s">
        <v>62</v>
      </c>
      <c r="W1337" t="s">
        <v>62</v>
      </c>
      <c r="X1337">
        <v>3</v>
      </c>
      <c r="Y1337">
        <v>6</v>
      </c>
      <c r="Z1337">
        <v>7</v>
      </c>
      <c r="AA1337">
        <v>0.46154000000000001</v>
      </c>
      <c r="AB1337">
        <v>0</v>
      </c>
      <c r="AC1337">
        <v>0</v>
      </c>
      <c r="AD1337">
        <v>0</v>
      </c>
      <c r="AE1337">
        <v>2</v>
      </c>
      <c r="AF1337">
        <v>0</v>
      </c>
      <c r="AG1337">
        <v>0</v>
      </c>
      <c r="AH1337">
        <v>0</v>
      </c>
      <c r="AI1337">
        <v>0</v>
      </c>
      <c r="AJ1337">
        <v>3</v>
      </c>
      <c r="AK1337">
        <v>0</v>
      </c>
      <c r="AL1337">
        <v>12</v>
      </c>
      <c r="AM1337">
        <v>6</v>
      </c>
      <c r="AN1337">
        <v>25</v>
      </c>
      <c r="AO1337">
        <v>3</v>
      </c>
      <c r="AP1337">
        <v>33</v>
      </c>
      <c r="AQ1337">
        <v>10</v>
      </c>
      <c r="AR1337" t="s">
        <v>10758</v>
      </c>
      <c r="AS1337" t="s">
        <v>10759</v>
      </c>
      <c r="AT1337">
        <v>0.79700000000000004</v>
      </c>
      <c r="AU1337" t="s">
        <v>65</v>
      </c>
      <c r="AV1337">
        <v>58</v>
      </c>
      <c r="AW1337">
        <v>13</v>
      </c>
      <c r="AX1337" t="s">
        <v>10760</v>
      </c>
      <c r="AY1337">
        <v>9.9080000000000001E-2</v>
      </c>
      <c r="AZ1337">
        <v>-8.0300000000000007E-3</v>
      </c>
      <c r="BA1337">
        <v>6.2100000000000002E-3</v>
      </c>
      <c r="BB1337">
        <v>-4.8000000000000001E-4</v>
      </c>
      <c r="BC1337">
        <v>6.2659999999999993E-2</v>
      </c>
      <c r="BD1337">
        <v>1</v>
      </c>
      <c r="BE1337" t="s">
        <v>69</v>
      </c>
      <c r="BF1337">
        <v>-1.61</v>
      </c>
      <c r="BG1337">
        <v>-0.625</v>
      </c>
    </row>
    <row r="1338" spans="1:59">
      <c r="A1338">
        <v>0</v>
      </c>
      <c r="B1338">
        <v>0</v>
      </c>
      <c r="C1338">
        <v>0</v>
      </c>
      <c r="D1338" t="s">
        <v>25022</v>
      </c>
      <c r="E1338">
        <v>2597</v>
      </c>
      <c r="F1338" t="s">
        <v>15200</v>
      </c>
      <c r="G1338" t="s">
        <v>62</v>
      </c>
      <c r="H1338">
        <v>2577213</v>
      </c>
      <c r="I1338">
        <v>2577992</v>
      </c>
      <c r="J1338" t="s">
        <v>15201</v>
      </c>
      <c r="K1338">
        <v>260</v>
      </c>
      <c r="L1338" t="s">
        <v>108</v>
      </c>
      <c r="M1338">
        <v>44</v>
      </c>
      <c r="N1338" t="str">
        <f>HYPERLINK("Gene2597-zp_tree_all.dnd", "Gene2597-tree")</f>
        <v>Gene2597-tree</v>
      </c>
      <c r="O1338">
        <v>7</v>
      </c>
      <c r="P1338">
        <v>6</v>
      </c>
      <c r="Q1338">
        <v>7</v>
      </c>
      <c r="R1338">
        <v>6</v>
      </c>
      <c r="S1338">
        <v>0.46154000000000001</v>
      </c>
      <c r="T1338" t="s">
        <v>152</v>
      </c>
      <c r="U1338" t="s">
        <v>90</v>
      </c>
      <c r="V1338" t="s">
        <v>62</v>
      </c>
      <c r="W1338" t="s">
        <v>62</v>
      </c>
      <c r="X1338">
        <v>0</v>
      </c>
      <c r="Y1338">
        <v>0</v>
      </c>
      <c r="Z1338">
        <v>11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11</v>
      </c>
      <c r="AK1338">
        <v>0</v>
      </c>
      <c r="AL1338">
        <v>11</v>
      </c>
      <c r="AM1338">
        <v>9</v>
      </c>
      <c r="AN1338">
        <v>33</v>
      </c>
      <c r="AO1338">
        <v>11</v>
      </c>
      <c r="AP1338">
        <v>19</v>
      </c>
      <c r="AQ1338">
        <v>0</v>
      </c>
      <c r="AR1338" t="s">
        <v>15202</v>
      </c>
      <c r="AS1338" t="s">
        <v>193</v>
      </c>
      <c r="AT1338">
        <v>0.94399999999999995</v>
      </c>
      <c r="AU1338" t="s">
        <v>65</v>
      </c>
      <c r="AV1338">
        <v>52</v>
      </c>
      <c r="AW1338">
        <v>11</v>
      </c>
      <c r="AX1338" t="s">
        <v>15203</v>
      </c>
      <c r="AY1338">
        <v>6.1420000000000002E-2</v>
      </c>
      <c r="AZ1338">
        <v>-4.6100000000000004E-3</v>
      </c>
      <c r="BA1338">
        <v>2.7799999999999999E-3</v>
      </c>
      <c r="BB1338">
        <v>-2.5999999999999998E-4</v>
      </c>
      <c r="BC1338">
        <v>4.5260000000000002E-2</v>
      </c>
      <c r="BD1338">
        <v>1</v>
      </c>
      <c r="BE1338" t="s">
        <v>69</v>
      </c>
      <c r="BF1338">
        <v>-1.0820000000000001</v>
      </c>
      <c r="BG1338">
        <v>-3.3690000000000002</v>
      </c>
    </row>
    <row r="1339" spans="1:59">
      <c r="A1339">
        <v>0</v>
      </c>
      <c r="B1339">
        <v>2</v>
      </c>
      <c r="C1339">
        <v>0</v>
      </c>
      <c r="D1339" t="s">
        <v>25022</v>
      </c>
      <c r="E1339">
        <v>1594</v>
      </c>
      <c r="F1339" t="s">
        <v>9972</v>
      </c>
      <c r="G1339" t="s">
        <v>57</v>
      </c>
      <c r="H1339">
        <v>1605630</v>
      </c>
      <c r="I1339">
        <v>1606409</v>
      </c>
      <c r="J1339" t="s">
        <v>9973</v>
      </c>
      <c r="K1339">
        <v>260</v>
      </c>
      <c r="L1339" t="s">
        <v>59</v>
      </c>
      <c r="M1339">
        <v>49</v>
      </c>
      <c r="N1339" t="str">
        <f>HYPERLINK("Gene1594-zp_tree_all.dnd", "Gene1594-tree")</f>
        <v>Gene1594-tree</v>
      </c>
      <c r="O1339">
        <v>16</v>
      </c>
      <c r="P1339">
        <v>1</v>
      </c>
      <c r="Q1339">
        <v>16</v>
      </c>
      <c r="R1339">
        <v>1</v>
      </c>
      <c r="S1339">
        <v>5.8819999999999997E-2</v>
      </c>
      <c r="T1339" t="s">
        <v>60</v>
      </c>
      <c r="U1339" t="s">
        <v>175</v>
      </c>
      <c r="V1339" t="s">
        <v>62</v>
      </c>
      <c r="W1339" t="s">
        <v>62</v>
      </c>
      <c r="X1339">
        <v>1</v>
      </c>
      <c r="Y1339">
        <v>2</v>
      </c>
      <c r="Z1339">
        <v>2</v>
      </c>
      <c r="AA1339">
        <v>0.5</v>
      </c>
      <c r="AB1339">
        <v>2</v>
      </c>
      <c r="AC1339">
        <v>0</v>
      </c>
      <c r="AD1339">
        <v>2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11</v>
      </c>
      <c r="AM1339">
        <v>10</v>
      </c>
      <c r="AN1339">
        <v>23</v>
      </c>
      <c r="AO1339">
        <v>1</v>
      </c>
      <c r="AP1339">
        <v>31</v>
      </c>
      <c r="AQ1339">
        <v>3</v>
      </c>
      <c r="AR1339" t="s">
        <v>9974</v>
      </c>
      <c r="AS1339" t="s">
        <v>9975</v>
      </c>
      <c r="AT1339">
        <v>0.29599999999999999</v>
      </c>
      <c r="AU1339" t="s">
        <v>65</v>
      </c>
      <c r="AV1339">
        <v>54</v>
      </c>
      <c r="AW1339">
        <v>4</v>
      </c>
      <c r="AX1339" t="s">
        <v>9976</v>
      </c>
      <c r="AY1339">
        <v>6.9589999999999999E-2</v>
      </c>
      <c r="AZ1339">
        <v>-4.8399999999999997E-3</v>
      </c>
      <c r="BA1339">
        <v>9.1E-4</v>
      </c>
      <c r="BB1339">
        <v>-8.0000000000000007E-5</v>
      </c>
      <c r="BC1339">
        <v>1.311E-2</v>
      </c>
      <c r="BD1339">
        <v>1</v>
      </c>
      <c r="BE1339" t="s">
        <v>69</v>
      </c>
      <c r="BF1339">
        <v>-1.2310000000000001</v>
      </c>
      <c r="BG1339">
        <v>-0.77100000000000002</v>
      </c>
    </row>
    <row r="1340" spans="1:59">
      <c r="A1340">
        <v>0</v>
      </c>
      <c r="B1340">
        <v>6</v>
      </c>
      <c r="C1340">
        <v>0</v>
      </c>
      <c r="D1340" t="s">
        <v>25022</v>
      </c>
      <c r="E1340">
        <v>2754</v>
      </c>
      <c r="F1340" t="s">
        <v>15817</v>
      </c>
      <c r="G1340" t="s">
        <v>62</v>
      </c>
      <c r="H1340">
        <v>2710005</v>
      </c>
      <c r="I1340">
        <v>2710787</v>
      </c>
      <c r="J1340" t="s">
        <v>1123</v>
      </c>
      <c r="K1340">
        <v>261</v>
      </c>
      <c r="L1340" t="s">
        <v>15818</v>
      </c>
      <c r="M1340">
        <v>24</v>
      </c>
      <c r="N1340" t="str">
        <f>HYPERLINK("Gene2754-zp_tree_all.dnd", "Gene2754-tree")</f>
        <v>Gene2754-tree</v>
      </c>
      <c r="O1340">
        <v>0</v>
      </c>
      <c r="P1340">
        <v>24</v>
      </c>
      <c r="Q1340">
        <v>0</v>
      </c>
      <c r="R1340">
        <v>5</v>
      </c>
      <c r="S1340">
        <v>1</v>
      </c>
      <c r="T1340" t="s">
        <v>62</v>
      </c>
      <c r="U1340" t="s">
        <v>2668</v>
      </c>
      <c r="V1340">
        <v>5.8230000000000004</v>
      </c>
      <c r="W1340" t="s">
        <v>65</v>
      </c>
      <c r="X1340">
        <v>3</v>
      </c>
      <c r="Y1340">
        <v>6</v>
      </c>
      <c r="Z1340">
        <v>13</v>
      </c>
      <c r="AA1340">
        <v>0.31579000000000002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4</v>
      </c>
      <c r="AH1340">
        <v>2</v>
      </c>
      <c r="AI1340">
        <v>6</v>
      </c>
      <c r="AJ1340">
        <v>8</v>
      </c>
      <c r="AK1340">
        <v>0.42857000000000001</v>
      </c>
      <c r="AL1340">
        <v>5</v>
      </c>
      <c r="AM1340">
        <v>2</v>
      </c>
      <c r="AN1340">
        <v>4</v>
      </c>
      <c r="AO1340">
        <v>14</v>
      </c>
      <c r="AP1340">
        <v>12</v>
      </c>
      <c r="AQ1340">
        <v>5</v>
      </c>
      <c r="AR1340" t="s">
        <v>15819</v>
      </c>
      <c r="AS1340" t="s">
        <v>15820</v>
      </c>
      <c r="AT1340">
        <v>1.968</v>
      </c>
      <c r="AU1340" t="s">
        <v>267</v>
      </c>
      <c r="AV1340">
        <v>16</v>
      </c>
      <c r="AW1340">
        <v>19</v>
      </c>
      <c r="AX1340" t="s">
        <v>15821</v>
      </c>
      <c r="AY1340">
        <v>4.6679999999999999E-2</v>
      </c>
      <c r="AZ1340">
        <v>-7.6499999999999997E-3</v>
      </c>
      <c r="BA1340">
        <v>1.4019999999999999E-2</v>
      </c>
      <c r="BB1340">
        <v>-1.09E-3</v>
      </c>
      <c r="BC1340">
        <v>0.30031000000000002</v>
      </c>
      <c r="BD1340">
        <v>1</v>
      </c>
      <c r="BE1340" t="s">
        <v>69</v>
      </c>
      <c r="BF1340">
        <v>-1.4410000000000001</v>
      </c>
      <c r="BG1340">
        <v>-1.0999999999999999E-2</v>
      </c>
    </row>
    <row r="1341" spans="1:59">
      <c r="A1341">
        <v>0</v>
      </c>
      <c r="B1341">
        <v>8</v>
      </c>
      <c r="C1341">
        <v>3</v>
      </c>
      <c r="D1341" t="s">
        <v>25022</v>
      </c>
      <c r="E1341">
        <v>550</v>
      </c>
      <c r="F1341" t="s">
        <v>3536</v>
      </c>
      <c r="G1341" t="s">
        <v>57</v>
      </c>
      <c r="H1341">
        <v>581694</v>
      </c>
      <c r="I1341">
        <v>582476</v>
      </c>
      <c r="J1341" t="s">
        <v>3537</v>
      </c>
      <c r="K1341">
        <v>261</v>
      </c>
      <c r="L1341" t="s">
        <v>108</v>
      </c>
      <c r="M1341">
        <v>44</v>
      </c>
      <c r="N1341" t="str">
        <f>HYPERLINK("Gene550-zp_tree_all.dnd", "Gene550-tree")</f>
        <v>Gene550-tree</v>
      </c>
      <c r="O1341">
        <v>1</v>
      </c>
      <c r="P1341">
        <v>9</v>
      </c>
      <c r="Q1341">
        <v>1</v>
      </c>
      <c r="R1341">
        <v>9</v>
      </c>
      <c r="S1341">
        <v>0.9</v>
      </c>
      <c r="T1341" t="s">
        <v>175</v>
      </c>
      <c r="U1341" t="s">
        <v>135</v>
      </c>
      <c r="V1341" t="s">
        <v>62</v>
      </c>
      <c r="W1341" t="s">
        <v>62</v>
      </c>
      <c r="X1341">
        <v>5</v>
      </c>
      <c r="Y1341">
        <v>11</v>
      </c>
      <c r="Z1341">
        <v>16</v>
      </c>
      <c r="AA1341">
        <v>0.40740999999999999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8</v>
      </c>
      <c r="AH1341">
        <v>3</v>
      </c>
      <c r="AI1341">
        <v>11</v>
      </c>
      <c r="AJ1341">
        <v>15</v>
      </c>
      <c r="AK1341">
        <v>0.42308000000000001</v>
      </c>
      <c r="AL1341">
        <v>10</v>
      </c>
      <c r="AM1341">
        <v>7</v>
      </c>
      <c r="AN1341">
        <v>24</v>
      </c>
      <c r="AO1341">
        <v>27</v>
      </c>
      <c r="AP1341">
        <v>11</v>
      </c>
      <c r="AQ1341">
        <v>1</v>
      </c>
      <c r="AR1341" t="s">
        <v>3538</v>
      </c>
      <c r="AS1341" t="s">
        <v>3539</v>
      </c>
      <c r="AT1341">
        <v>1.3680000000000001</v>
      </c>
      <c r="AU1341" t="s">
        <v>65</v>
      </c>
      <c r="AV1341">
        <v>35</v>
      </c>
      <c r="AW1341">
        <v>28</v>
      </c>
      <c r="AX1341" t="s">
        <v>3540</v>
      </c>
      <c r="AY1341">
        <v>5.4629999999999998E-2</v>
      </c>
      <c r="AZ1341">
        <v>-3.8500000000000001E-3</v>
      </c>
      <c r="BA1341">
        <v>9.5899999999999996E-3</v>
      </c>
      <c r="BB1341">
        <v>-6.4000000000000005E-4</v>
      </c>
      <c r="BC1341">
        <v>0.17548</v>
      </c>
      <c r="BD1341">
        <v>1</v>
      </c>
      <c r="BE1341" t="s">
        <v>69</v>
      </c>
      <c r="BF1341">
        <v>-0.54600000000000004</v>
      </c>
      <c r="BG1341">
        <v>-1.2450000000000001</v>
      </c>
    </row>
    <row r="1342" spans="1:59">
      <c r="A1342">
        <v>0</v>
      </c>
      <c r="B1342">
        <v>2</v>
      </c>
      <c r="C1342">
        <v>0</v>
      </c>
      <c r="D1342" t="s">
        <v>25022</v>
      </c>
      <c r="E1342">
        <v>3318</v>
      </c>
      <c r="F1342" t="s">
        <v>19368</v>
      </c>
      <c r="G1342" t="s">
        <v>62</v>
      </c>
      <c r="H1342">
        <v>3291514</v>
      </c>
      <c r="I1342">
        <v>3292296</v>
      </c>
      <c r="J1342" t="s">
        <v>19369</v>
      </c>
      <c r="K1342">
        <v>261</v>
      </c>
      <c r="L1342" t="s">
        <v>108</v>
      </c>
      <c r="M1342">
        <v>44</v>
      </c>
      <c r="N1342" t="str">
        <f>HYPERLINK("Gene3318-zp_tree_all.dnd", "Gene3318-tree")</f>
        <v>Gene3318-tree</v>
      </c>
      <c r="O1342">
        <v>9</v>
      </c>
      <c r="P1342">
        <v>6</v>
      </c>
      <c r="Q1342">
        <v>9</v>
      </c>
      <c r="R1342">
        <v>6</v>
      </c>
      <c r="S1342">
        <v>0.4</v>
      </c>
      <c r="T1342" t="s">
        <v>135</v>
      </c>
      <c r="U1342" t="s">
        <v>90</v>
      </c>
      <c r="V1342" t="s">
        <v>62</v>
      </c>
      <c r="W1342" t="s">
        <v>62</v>
      </c>
      <c r="X1342">
        <v>1</v>
      </c>
      <c r="Y1342">
        <v>2</v>
      </c>
      <c r="Z1342">
        <v>9</v>
      </c>
      <c r="AA1342">
        <v>0.18182000000000001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</v>
      </c>
      <c r="AK1342">
        <v>0</v>
      </c>
      <c r="AL1342">
        <v>13</v>
      </c>
      <c r="AM1342">
        <v>8</v>
      </c>
      <c r="AN1342">
        <v>18</v>
      </c>
      <c r="AO1342">
        <v>7</v>
      </c>
      <c r="AP1342">
        <v>13</v>
      </c>
      <c r="AQ1342">
        <v>5</v>
      </c>
      <c r="AR1342" t="s">
        <v>19370</v>
      </c>
      <c r="AS1342" t="s">
        <v>19371</v>
      </c>
      <c r="AT1342">
        <v>8.9999999999999993E-3</v>
      </c>
      <c r="AU1342" t="s">
        <v>65</v>
      </c>
      <c r="AV1342">
        <v>31</v>
      </c>
      <c r="AW1342">
        <v>12</v>
      </c>
      <c r="AX1342" t="s">
        <v>19372</v>
      </c>
      <c r="AY1342">
        <v>2.691E-2</v>
      </c>
      <c r="AZ1342">
        <v>-1.06E-3</v>
      </c>
      <c r="BA1342">
        <v>3.7000000000000002E-3</v>
      </c>
      <c r="BB1342">
        <v>-2.9E-4</v>
      </c>
      <c r="BC1342">
        <v>0.13768</v>
      </c>
      <c r="BD1342">
        <v>1</v>
      </c>
      <c r="BE1342" t="s">
        <v>69</v>
      </c>
      <c r="BF1342">
        <v>-1.2869999999999999</v>
      </c>
      <c r="BG1342">
        <v>-0.76500000000000001</v>
      </c>
    </row>
    <row r="1343" spans="1:59">
      <c r="A1343">
        <v>0</v>
      </c>
      <c r="B1343">
        <v>10</v>
      </c>
      <c r="C1343">
        <v>2</v>
      </c>
      <c r="D1343" t="s">
        <v>25022</v>
      </c>
      <c r="E1343">
        <v>1623</v>
      </c>
      <c r="F1343" t="s">
        <v>10167</v>
      </c>
      <c r="G1343" t="s">
        <v>57</v>
      </c>
      <c r="H1343">
        <v>1634837</v>
      </c>
      <c r="I1343">
        <v>1635619</v>
      </c>
      <c r="J1343" t="s">
        <v>10168</v>
      </c>
      <c r="K1343">
        <v>261</v>
      </c>
      <c r="L1343" t="s">
        <v>108</v>
      </c>
      <c r="M1343">
        <v>44</v>
      </c>
      <c r="N1343" t="str">
        <f>HYPERLINK("Gene1623-zp_tree_all.dnd", "Gene1623-tree")</f>
        <v>Gene1623-tree</v>
      </c>
      <c r="O1343">
        <v>2</v>
      </c>
      <c r="P1343">
        <v>11</v>
      </c>
      <c r="Q1343">
        <v>2</v>
      </c>
      <c r="R1343">
        <v>11</v>
      </c>
      <c r="S1343">
        <v>0.84614999999999996</v>
      </c>
      <c r="T1343" t="s">
        <v>81</v>
      </c>
      <c r="U1343" t="s">
        <v>73</v>
      </c>
      <c r="V1343">
        <v>515075683.63</v>
      </c>
      <c r="W1343" t="s">
        <v>267</v>
      </c>
      <c r="X1343">
        <v>4</v>
      </c>
      <c r="Y1343">
        <v>12</v>
      </c>
      <c r="Z1343">
        <v>13</v>
      </c>
      <c r="AA1343">
        <v>0.48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4</v>
      </c>
      <c r="AH1343">
        <v>2</v>
      </c>
      <c r="AI1343">
        <v>6</v>
      </c>
      <c r="AJ1343">
        <v>12</v>
      </c>
      <c r="AK1343">
        <v>0.33333000000000002</v>
      </c>
      <c r="AL1343">
        <v>11</v>
      </c>
      <c r="AM1343">
        <v>9</v>
      </c>
      <c r="AN1343">
        <v>35</v>
      </c>
      <c r="AO1343">
        <v>17</v>
      </c>
      <c r="AP1343">
        <v>14</v>
      </c>
      <c r="AQ1343">
        <v>8</v>
      </c>
      <c r="AR1343" t="s">
        <v>10169</v>
      </c>
      <c r="AS1343" t="s">
        <v>10170</v>
      </c>
      <c r="AT1343">
        <v>0.32</v>
      </c>
      <c r="AU1343" t="s">
        <v>65</v>
      </c>
      <c r="AV1343">
        <v>49</v>
      </c>
      <c r="AW1343">
        <v>25</v>
      </c>
      <c r="AX1343" t="s">
        <v>10171</v>
      </c>
      <c r="AY1343">
        <v>5.5719999999999999E-2</v>
      </c>
      <c r="AZ1343">
        <v>-3.7399999999999998E-3</v>
      </c>
      <c r="BA1343">
        <v>7.5599999999999999E-3</v>
      </c>
      <c r="BB1343">
        <v>-4.2000000000000002E-4</v>
      </c>
      <c r="BC1343">
        <v>0.1356</v>
      </c>
      <c r="BD1343">
        <v>1</v>
      </c>
      <c r="BE1343" t="s">
        <v>69</v>
      </c>
      <c r="BF1343">
        <v>-0.316</v>
      </c>
      <c r="BG1343">
        <v>-1.5860000000000001</v>
      </c>
    </row>
    <row r="1344" spans="1:59">
      <c r="A1344">
        <v>0</v>
      </c>
      <c r="B1344">
        <v>9</v>
      </c>
      <c r="C1344">
        <v>0</v>
      </c>
      <c r="D1344" t="s">
        <v>25022</v>
      </c>
      <c r="E1344">
        <v>1171</v>
      </c>
      <c r="F1344" t="s">
        <v>7375</v>
      </c>
      <c r="G1344" t="s">
        <v>57</v>
      </c>
      <c r="H1344">
        <v>1210500</v>
      </c>
      <c r="I1344">
        <v>1211282</v>
      </c>
      <c r="J1344" t="s">
        <v>288</v>
      </c>
      <c r="K1344">
        <v>261</v>
      </c>
      <c r="L1344" t="s">
        <v>265</v>
      </c>
      <c r="M1344">
        <v>43</v>
      </c>
      <c r="N1344" t="str">
        <f>HYPERLINK("Gene1171-zp_tree_all.dnd", "Gene1171-tree")</f>
        <v>Gene1171-tree</v>
      </c>
      <c r="O1344">
        <v>30</v>
      </c>
      <c r="P1344">
        <v>5</v>
      </c>
      <c r="Q1344">
        <v>7</v>
      </c>
      <c r="R1344">
        <v>5</v>
      </c>
      <c r="S1344">
        <v>0.41666999999999998</v>
      </c>
      <c r="T1344" t="s">
        <v>5684</v>
      </c>
      <c r="U1344" t="s">
        <v>199</v>
      </c>
      <c r="V1344" t="s">
        <v>62</v>
      </c>
      <c r="W1344" t="s">
        <v>62</v>
      </c>
      <c r="X1344">
        <v>3</v>
      </c>
      <c r="Y1344">
        <v>9</v>
      </c>
      <c r="Z1344">
        <v>7</v>
      </c>
      <c r="AA1344">
        <v>0.5625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4</v>
      </c>
      <c r="AH1344">
        <v>0</v>
      </c>
      <c r="AI1344">
        <v>4</v>
      </c>
      <c r="AJ1344">
        <v>6</v>
      </c>
      <c r="AK1344">
        <v>0.4</v>
      </c>
      <c r="AL1344">
        <v>10</v>
      </c>
      <c r="AM1344">
        <v>8</v>
      </c>
      <c r="AN1344">
        <v>18</v>
      </c>
      <c r="AO1344">
        <v>10</v>
      </c>
      <c r="AP1344">
        <v>20</v>
      </c>
      <c r="AQ1344">
        <v>6</v>
      </c>
      <c r="AR1344" t="s">
        <v>7376</v>
      </c>
      <c r="AS1344" t="s">
        <v>7377</v>
      </c>
      <c r="AT1344">
        <v>0.42699999999999999</v>
      </c>
      <c r="AU1344" t="s">
        <v>65</v>
      </c>
      <c r="AV1344">
        <v>38</v>
      </c>
      <c r="AW1344">
        <v>16</v>
      </c>
      <c r="AX1344" t="s">
        <v>7378</v>
      </c>
      <c r="AY1344">
        <v>4.7440000000000003E-2</v>
      </c>
      <c r="AZ1344">
        <v>-2.1800000000000001E-3</v>
      </c>
      <c r="BA1344">
        <v>4.9399999999999999E-3</v>
      </c>
      <c r="BB1344">
        <v>-4.2999999999999999E-4</v>
      </c>
      <c r="BC1344">
        <v>0.1042</v>
      </c>
      <c r="BD1344">
        <v>1</v>
      </c>
      <c r="BE1344" t="s">
        <v>69</v>
      </c>
      <c r="BF1344">
        <v>-0.26300000000000001</v>
      </c>
      <c r="BG1344">
        <v>-0.41099999999999998</v>
      </c>
    </row>
    <row r="1345" spans="1:59">
      <c r="A1345">
        <v>0</v>
      </c>
      <c r="B1345">
        <v>6</v>
      </c>
      <c r="C1345">
        <v>0</v>
      </c>
      <c r="D1345" t="s">
        <v>25022</v>
      </c>
      <c r="E1345">
        <v>2564</v>
      </c>
      <c r="F1345" t="s">
        <v>14996</v>
      </c>
      <c r="G1345" t="s">
        <v>62</v>
      </c>
      <c r="H1345">
        <v>2553084</v>
      </c>
      <c r="I1345">
        <v>2553866</v>
      </c>
      <c r="J1345" t="s">
        <v>14997</v>
      </c>
      <c r="K1345">
        <v>261</v>
      </c>
      <c r="L1345" t="s">
        <v>108</v>
      </c>
      <c r="M1345">
        <v>44</v>
      </c>
      <c r="N1345" t="str">
        <f>HYPERLINK("Gene2564-zp_tree_all.dnd", "Gene2564-tree")</f>
        <v>Gene2564-tree</v>
      </c>
      <c r="O1345">
        <v>8</v>
      </c>
      <c r="P1345">
        <v>5</v>
      </c>
      <c r="Q1345">
        <v>8</v>
      </c>
      <c r="R1345">
        <v>5</v>
      </c>
      <c r="S1345">
        <v>0.38462000000000002</v>
      </c>
      <c r="T1345" t="s">
        <v>136</v>
      </c>
      <c r="U1345" t="s">
        <v>199</v>
      </c>
      <c r="V1345" t="s">
        <v>62</v>
      </c>
      <c r="W1345" t="s">
        <v>62</v>
      </c>
      <c r="X1345">
        <v>2</v>
      </c>
      <c r="Y1345">
        <v>6</v>
      </c>
      <c r="Z1345">
        <v>3</v>
      </c>
      <c r="AA1345">
        <v>0.66666999999999998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4</v>
      </c>
      <c r="AH1345">
        <v>0</v>
      </c>
      <c r="AI1345">
        <v>4</v>
      </c>
      <c r="AJ1345">
        <v>3</v>
      </c>
      <c r="AK1345">
        <v>0.57142999999999999</v>
      </c>
      <c r="AL1345">
        <v>8</v>
      </c>
      <c r="AM1345">
        <v>9</v>
      </c>
      <c r="AN1345">
        <v>13</v>
      </c>
      <c r="AO1345">
        <v>7</v>
      </c>
      <c r="AP1345">
        <v>13</v>
      </c>
      <c r="AQ1345">
        <v>2</v>
      </c>
      <c r="AR1345" t="s">
        <v>14998</v>
      </c>
      <c r="AS1345" t="s">
        <v>14999</v>
      </c>
      <c r="AT1345">
        <v>0.72799999999999998</v>
      </c>
      <c r="AU1345" t="s">
        <v>65</v>
      </c>
      <c r="AV1345">
        <v>26</v>
      </c>
      <c r="AW1345">
        <v>9</v>
      </c>
      <c r="AX1345" t="s">
        <v>15000</v>
      </c>
      <c r="AY1345">
        <v>4.0300000000000002E-2</v>
      </c>
      <c r="AZ1345">
        <v>-2.8300000000000001E-3</v>
      </c>
      <c r="BA1345">
        <v>2.4099999999999998E-3</v>
      </c>
      <c r="BB1345">
        <v>-1.8000000000000001E-4</v>
      </c>
      <c r="BC1345">
        <v>5.9859999999999997E-2</v>
      </c>
      <c r="BD1345">
        <v>1</v>
      </c>
      <c r="BE1345" t="s">
        <v>69</v>
      </c>
      <c r="BF1345">
        <v>0.38900000000000001</v>
      </c>
      <c r="BG1345">
        <v>-1.738</v>
      </c>
    </row>
    <row r="1346" spans="1:59">
      <c r="A1346">
        <v>0</v>
      </c>
      <c r="B1346">
        <v>0</v>
      </c>
      <c r="C1346">
        <v>0</v>
      </c>
      <c r="D1346" t="s">
        <v>25022</v>
      </c>
      <c r="E1346">
        <v>399</v>
      </c>
      <c r="F1346" t="s">
        <v>2701</v>
      </c>
      <c r="G1346" t="s">
        <v>57</v>
      </c>
      <c r="H1346">
        <v>445344</v>
      </c>
      <c r="I1346">
        <v>446126</v>
      </c>
      <c r="J1346" t="s">
        <v>2702</v>
      </c>
      <c r="K1346">
        <v>261</v>
      </c>
      <c r="L1346" t="s">
        <v>2703</v>
      </c>
      <c r="M1346">
        <v>40</v>
      </c>
      <c r="N1346" t="str">
        <f>HYPERLINK("Gene399-zp_tree_all.dnd", "Gene399-tree")</f>
        <v>Gene399-tree</v>
      </c>
      <c r="O1346">
        <v>30</v>
      </c>
      <c r="P1346">
        <v>2</v>
      </c>
      <c r="Q1346">
        <v>13</v>
      </c>
      <c r="R1346">
        <v>2</v>
      </c>
      <c r="S1346">
        <v>0.13333</v>
      </c>
      <c r="T1346" t="s">
        <v>2704</v>
      </c>
      <c r="U1346" t="s">
        <v>81</v>
      </c>
      <c r="V1346" t="s">
        <v>62</v>
      </c>
      <c r="W1346" t="s">
        <v>62</v>
      </c>
      <c r="X1346">
        <v>0</v>
      </c>
      <c r="Y1346">
        <v>0</v>
      </c>
      <c r="Z1346">
        <v>11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3</v>
      </c>
      <c r="AK1346">
        <v>0</v>
      </c>
      <c r="AL1346">
        <v>9</v>
      </c>
      <c r="AM1346">
        <v>10</v>
      </c>
      <c r="AN1346">
        <v>40</v>
      </c>
      <c r="AO1346">
        <v>4</v>
      </c>
      <c r="AP1346">
        <v>68</v>
      </c>
      <c r="AQ1346">
        <v>8</v>
      </c>
      <c r="AR1346" t="s">
        <v>2705</v>
      </c>
      <c r="AS1346" t="s">
        <v>2706</v>
      </c>
      <c r="AT1346">
        <v>7.5999999999999998E-2</v>
      </c>
      <c r="AU1346" t="s">
        <v>65</v>
      </c>
      <c r="AV1346">
        <v>108</v>
      </c>
      <c r="AW1346">
        <v>12</v>
      </c>
      <c r="AX1346" t="s">
        <v>2707</v>
      </c>
      <c r="AY1346">
        <v>0.14229</v>
      </c>
      <c r="AZ1346">
        <v>-8.3499999999999998E-3</v>
      </c>
      <c r="BA1346">
        <v>4.8799999999999998E-3</v>
      </c>
      <c r="BB1346">
        <v>-4.8000000000000001E-4</v>
      </c>
      <c r="BC1346">
        <v>3.4270000000000002E-2</v>
      </c>
      <c r="BD1346">
        <v>1</v>
      </c>
      <c r="BE1346" t="s">
        <v>69</v>
      </c>
      <c r="BF1346">
        <v>-0.45600000000000002</v>
      </c>
      <c r="BG1346">
        <v>0.79100000000000004</v>
      </c>
    </row>
    <row r="1347" spans="1:59">
      <c r="A1347">
        <v>0</v>
      </c>
      <c r="B1347">
        <v>2</v>
      </c>
      <c r="C1347">
        <v>0</v>
      </c>
      <c r="D1347" t="s">
        <v>25022</v>
      </c>
      <c r="E1347">
        <v>4256</v>
      </c>
      <c r="F1347" t="s">
        <v>25002</v>
      </c>
      <c r="G1347" t="s">
        <v>62</v>
      </c>
      <c r="H1347">
        <v>4213826</v>
      </c>
      <c r="I1347">
        <v>4214608</v>
      </c>
      <c r="J1347" t="s">
        <v>14519</v>
      </c>
      <c r="K1347">
        <v>261</v>
      </c>
      <c r="L1347" t="s">
        <v>59</v>
      </c>
      <c r="M1347">
        <v>49</v>
      </c>
      <c r="N1347" t="str">
        <f>HYPERLINK("Gene4256-zp_tree_all.dnd", "Gene4256-tree")</f>
        <v>Gene4256-tree</v>
      </c>
      <c r="O1347">
        <v>17</v>
      </c>
      <c r="P1347">
        <v>2</v>
      </c>
      <c r="Q1347">
        <v>17</v>
      </c>
      <c r="R1347">
        <v>2</v>
      </c>
      <c r="S1347">
        <v>0.10526000000000001</v>
      </c>
      <c r="T1347" t="s">
        <v>266</v>
      </c>
      <c r="U1347" t="s">
        <v>81</v>
      </c>
      <c r="V1347" t="s">
        <v>62</v>
      </c>
      <c r="W1347" t="s">
        <v>62</v>
      </c>
      <c r="X1347">
        <v>1</v>
      </c>
      <c r="Y1347">
        <v>2</v>
      </c>
      <c r="Z1347">
        <v>2</v>
      </c>
      <c r="AA1347">
        <v>0.5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</v>
      </c>
      <c r="AK1347">
        <v>0</v>
      </c>
      <c r="AL1347">
        <v>16</v>
      </c>
      <c r="AM1347">
        <v>10</v>
      </c>
      <c r="AN1347">
        <v>35</v>
      </c>
      <c r="AO1347">
        <v>2</v>
      </c>
      <c r="AP1347">
        <v>34</v>
      </c>
      <c r="AQ1347">
        <v>2</v>
      </c>
      <c r="AR1347" t="s">
        <v>25003</v>
      </c>
      <c r="AS1347" t="s">
        <v>25004</v>
      </c>
      <c r="AT1347">
        <v>8.9999999999999993E-3</v>
      </c>
      <c r="AU1347" t="s">
        <v>65</v>
      </c>
      <c r="AV1347">
        <v>69</v>
      </c>
      <c r="AW1347">
        <v>4</v>
      </c>
      <c r="AX1347" t="s">
        <v>25005</v>
      </c>
      <c r="AY1347">
        <v>8.0210000000000004E-2</v>
      </c>
      <c r="AZ1347">
        <v>-4.0200000000000001E-3</v>
      </c>
      <c r="BA1347">
        <v>1.2999999999999999E-3</v>
      </c>
      <c r="BB1347">
        <v>-1E-4</v>
      </c>
      <c r="BC1347">
        <v>1.6199999999999999E-2</v>
      </c>
      <c r="BD1347">
        <v>1</v>
      </c>
      <c r="BE1347" t="s">
        <v>69</v>
      </c>
      <c r="BF1347">
        <v>-1.5029999999999999</v>
      </c>
      <c r="BG1347">
        <v>-1.3169999999999999</v>
      </c>
    </row>
    <row r="1348" spans="1:59">
      <c r="A1348">
        <v>0</v>
      </c>
      <c r="B1348">
        <v>4</v>
      </c>
      <c r="C1348">
        <v>0</v>
      </c>
      <c r="D1348" t="s">
        <v>25022</v>
      </c>
      <c r="E1348">
        <v>3391</v>
      </c>
      <c r="F1348" t="s">
        <v>19834</v>
      </c>
      <c r="G1348" t="s">
        <v>62</v>
      </c>
      <c r="H1348">
        <v>3359998</v>
      </c>
      <c r="I1348">
        <v>3360780</v>
      </c>
      <c r="J1348" t="s">
        <v>19835</v>
      </c>
      <c r="K1348">
        <v>261</v>
      </c>
      <c r="L1348" t="s">
        <v>59</v>
      </c>
      <c r="M1348">
        <v>49</v>
      </c>
      <c r="N1348" t="str">
        <f>HYPERLINK("Gene3391-zp_tree_all.dnd", "Gene3391-tree")</f>
        <v>Gene3391-tree</v>
      </c>
      <c r="O1348">
        <v>15</v>
      </c>
      <c r="P1348">
        <v>4</v>
      </c>
      <c r="Q1348">
        <v>15</v>
      </c>
      <c r="R1348">
        <v>4</v>
      </c>
      <c r="S1348">
        <v>0.21052999999999999</v>
      </c>
      <c r="T1348" t="s">
        <v>100</v>
      </c>
      <c r="U1348" t="s">
        <v>61</v>
      </c>
      <c r="V1348" t="s">
        <v>62</v>
      </c>
      <c r="W1348" t="s">
        <v>62</v>
      </c>
      <c r="X1348">
        <v>1</v>
      </c>
      <c r="Y1348">
        <v>4</v>
      </c>
      <c r="Z1348">
        <v>1</v>
      </c>
      <c r="AA1348">
        <v>0.8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3</v>
      </c>
      <c r="AH1348">
        <v>0</v>
      </c>
      <c r="AI1348">
        <v>3</v>
      </c>
      <c r="AJ1348">
        <v>1</v>
      </c>
      <c r="AK1348">
        <v>0.75</v>
      </c>
      <c r="AL1348">
        <v>15</v>
      </c>
      <c r="AM1348">
        <v>9</v>
      </c>
      <c r="AN1348">
        <v>27</v>
      </c>
      <c r="AO1348">
        <v>4</v>
      </c>
      <c r="AP1348">
        <v>34</v>
      </c>
      <c r="AQ1348">
        <v>1</v>
      </c>
      <c r="AR1348" t="s">
        <v>19836</v>
      </c>
      <c r="AS1348" t="s">
        <v>19837</v>
      </c>
      <c r="AT1348">
        <v>0.78700000000000003</v>
      </c>
      <c r="AU1348" t="s">
        <v>65</v>
      </c>
      <c r="AV1348">
        <v>61</v>
      </c>
      <c r="AW1348">
        <v>5</v>
      </c>
      <c r="AX1348" t="s">
        <v>19838</v>
      </c>
      <c r="AY1348">
        <v>7.7049999999999993E-2</v>
      </c>
      <c r="AZ1348">
        <v>-4.3099999999999996E-3</v>
      </c>
      <c r="BA1348">
        <v>7.3999999999999999E-4</v>
      </c>
      <c r="BB1348">
        <v>-6.9999999999999994E-5</v>
      </c>
      <c r="BC1348">
        <v>9.6600000000000002E-3</v>
      </c>
      <c r="BD1348">
        <v>1</v>
      </c>
      <c r="BE1348" t="s">
        <v>69</v>
      </c>
      <c r="BF1348">
        <v>-0.95199999999999996</v>
      </c>
      <c r="BG1348">
        <v>-2E-3</v>
      </c>
    </row>
    <row r="1349" spans="1:59">
      <c r="A1349">
        <v>0</v>
      </c>
      <c r="B1349">
        <v>2</v>
      </c>
      <c r="C1349">
        <v>2</v>
      </c>
      <c r="D1349" t="s">
        <v>25022</v>
      </c>
      <c r="E1349">
        <v>4214</v>
      </c>
      <c r="F1349" t="s">
        <v>24767</v>
      </c>
      <c r="G1349" t="s">
        <v>62</v>
      </c>
      <c r="H1349">
        <v>4176903</v>
      </c>
      <c r="I1349">
        <v>4177688</v>
      </c>
      <c r="J1349" t="s">
        <v>17007</v>
      </c>
      <c r="K1349">
        <v>262</v>
      </c>
      <c r="L1349" t="s">
        <v>24768</v>
      </c>
      <c r="M1349">
        <v>41</v>
      </c>
      <c r="N1349" t="str">
        <f>HYPERLINK("Gene4214-zp_tree_all.dnd", "Gene4214-tree")</f>
        <v>Gene4214-tree</v>
      </c>
      <c r="O1349">
        <v>1</v>
      </c>
      <c r="P1349">
        <v>7</v>
      </c>
      <c r="Q1349">
        <v>1</v>
      </c>
      <c r="R1349">
        <v>7</v>
      </c>
      <c r="S1349">
        <v>0.875</v>
      </c>
      <c r="T1349" t="s">
        <v>175</v>
      </c>
      <c r="U1349" t="s">
        <v>152</v>
      </c>
      <c r="V1349" t="s">
        <v>62</v>
      </c>
      <c r="W1349" t="s">
        <v>62</v>
      </c>
      <c r="X1349">
        <v>2</v>
      </c>
      <c r="Y1349">
        <v>4</v>
      </c>
      <c r="Z1349">
        <v>17</v>
      </c>
      <c r="AA1349">
        <v>0.19048000000000001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</v>
      </c>
      <c r="AH1349">
        <v>2</v>
      </c>
      <c r="AI1349">
        <v>4</v>
      </c>
      <c r="AJ1349">
        <v>17</v>
      </c>
      <c r="AK1349">
        <v>0.19048000000000001</v>
      </c>
      <c r="AL1349">
        <v>7</v>
      </c>
      <c r="AM1349">
        <v>4</v>
      </c>
      <c r="AN1349">
        <v>17</v>
      </c>
      <c r="AO1349">
        <v>21</v>
      </c>
      <c r="AP1349">
        <v>6</v>
      </c>
      <c r="AQ1349">
        <v>2</v>
      </c>
      <c r="AR1349" t="s">
        <v>24769</v>
      </c>
      <c r="AS1349" t="s">
        <v>24770</v>
      </c>
      <c r="AT1349">
        <v>0.93500000000000005</v>
      </c>
      <c r="AU1349" t="s">
        <v>65</v>
      </c>
      <c r="AV1349">
        <v>23</v>
      </c>
      <c r="AW1349">
        <v>23</v>
      </c>
      <c r="AX1349" t="s">
        <v>24771</v>
      </c>
      <c r="AY1349">
        <v>3.7519999999999998E-2</v>
      </c>
      <c r="AZ1349">
        <v>-2.7299999999999998E-3</v>
      </c>
      <c r="BA1349">
        <v>1.01E-2</v>
      </c>
      <c r="BB1349">
        <v>-1.2800000000000001E-3</v>
      </c>
      <c r="BC1349">
        <v>0.26917000000000002</v>
      </c>
      <c r="BD1349">
        <v>1</v>
      </c>
      <c r="BE1349" t="s">
        <v>69</v>
      </c>
      <c r="BF1349">
        <v>1.4059999999999999</v>
      </c>
      <c r="BG1349">
        <v>0.34799999999999998</v>
      </c>
    </row>
    <row r="1350" spans="1:59">
      <c r="A1350">
        <v>0</v>
      </c>
      <c r="B1350">
        <v>2</v>
      </c>
      <c r="C1350">
        <v>0</v>
      </c>
      <c r="D1350" t="s">
        <v>25022</v>
      </c>
      <c r="E1350">
        <v>2931</v>
      </c>
      <c r="F1350" t="s">
        <v>16887</v>
      </c>
      <c r="G1350" t="s">
        <v>62</v>
      </c>
      <c r="H1350">
        <v>2875176</v>
      </c>
      <c r="I1350">
        <v>2875961</v>
      </c>
      <c r="J1350" t="s">
        <v>16888</v>
      </c>
      <c r="K1350">
        <v>262</v>
      </c>
      <c r="L1350" t="s">
        <v>108</v>
      </c>
      <c r="M1350">
        <v>44</v>
      </c>
      <c r="N1350" t="str">
        <f>HYPERLINK("Gene2931-zp_tree_all.dnd", "Gene2931-tree")</f>
        <v>Gene2931-tree</v>
      </c>
      <c r="O1350">
        <v>3</v>
      </c>
      <c r="P1350">
        <v>10</v>
      </c>
      <c r="Q1350">
        <v>3</v>
      </c>
      <c r="R1350">
        <v>10</v>
      </c>
      <c r="S1350">
        <v>0.76922999999999997</v>
      </c>
      <c r="T1350" t="s">
        <v>324</v>
      </c>
      <c r="U1350" t="s">
        <v>117</v>
      </c>
      <c r="V1350" t="s">
        <v>62</v>
      </c>
      <c r="W1350" t="s">
        <v>62</v>
      </c>
      <c r="X1350">
        <v>1</v>
      </c>
      <c r="Y1350">
        <v>2</v>
      </c>
      <c r="Z1350">
        <v>19</v>
      </c>
      <c r="AA1350">
        <v>9.5240000000000005E-2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2</v>
      </c>
      <c r="AH1350">
        <v>0</v>
      </c>
      <c r="AI1350">
        <v>2</v>
      </c>
      <c r="AJ1350">
        <v>15</v>
      </c>
      <c r="AK1350">
        <v>0.11765</v>
      </c>
      <c r="AL1350">
        <v>10</v>
      </c>
      <c r="AM1350">
        <v>7</v>
      </c>
      <c r="AN1350">
        <v>21</v>
      </c>
      <c r="AO1350">
        <v>16</v>
      </c>
      <c r="AP1350">
        <v>11</v>
      </c>
      <c r="AQ1350">
        <v>5</v>
      </c>
      <c r="AR1350" t="s">
        <v>16889</v>
      </c>
      <c r="AS1350" t="s">
        <v>16890</v>
      </c>
      <c r="AT1350">
        <v>0.57199999999999995</v>
      </c>
      <c r="AU1350" t="s">
        <v>65</v>
      </c>
      <c r="AV1350">
        <v>32</v>
      </c>
      <c r="AW1350">
        <v>21</v>
      </c>
      <c r="AX1350" t="s">
        <v>16891</v>
      </c>
      <c r="AY1350">
        <v>3.329E-2</v>
      </c>
      <c r="AZ1350">
        <v>-1.83E-3</v>
      </c>
      <c r="BA1350">
        <v>6.8799999999999998E-3</v>
      </c>
      <c r="BB1350">
        <v>-3.8999999999999999E-4</v>
      </c>
      <c r="BC1350">
        <v>0.20674000000000001</v>
      </c>
      <c r="BD1350">
        <v>1</v>
      </c>
      <c r="BE1350" t="s">
        <v>69</v>
      </c>
      <c r="BF1350">
        <v>-0.4</v>
      </c>
      <c r="BG1350">
        <v>-1.1759999999999999</v>
      </c>
    </row>
    <row r="1351" spans="1:59">
      <c r="A1351">
        <v>0</v>
      </c>
      <c r="B1351">
        <v>2</v>
      </c>
      <c r="C1351">
        <v>0</v>
      </c>
      <c r="D1351" t="s">
        <v>25022</v>
      </c>
      <c r="E1351">
        <v>3806</v>
      </c>
      <c r="F1351" t="s">
        <v>22301</v>
      </c>
      <c r="G1351" t="s">
        <v>62</v>
      </c>
      <c r="H1351">
        <v>3773369</v>
      </c>
      <c r="I1351">
        <v>3774154</v>
      </c>
      <c r="J1351" t="s">
        <v>22302</v>
      </c>
      <c r="K1351">
        <v>262</v>
      </c>
      <c r="L1351" t="s">
        <v>465</v>
      </c>
      <c r="M1351">
        <v>46</v>
      </c>
      <c r="N1351" t="str">
        <f>HYPERLINK("Gene3806-zp_tree_all.dnd", "Gene3806-tree")</f>
        <v>Gene3806-tree</v>
      </c>
      <c r="O1351">
        <v>6</v>
      </c>
      <c r="P1351">
        <v>8</v>
      </c>
      <c r="Q1351">
        <v>6</v>
      </c>
      <c r="R1351">
        <v>8</v>
      </c>
      <c r="S1351">
        <v>0.57142999999999999</v>
      </c>
      <c r="T1351" t="s">
        <v>90</v>
      </c>
      <c r="U1351" t="s">
        <v>136</v>
      </c>
      <c r="V1351" t="s">
        <v>62</v>
      </c>
      <c r="W1351" t="s">
        <v>62</v>
      </c>
      <c r="X1351">
        <v>1</v>
      </c>
      <c r="Y1351">
        <v>2</v>
      </c>
      <c r="Z1351">
        <v>15</v>
      </c>
      <c r="AA1351">
        <v>0.11765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15</v>
      </c>
      <c r="AK1351">
        <v>0</v>
      </c>
      <c r="AL1351">
        <v>8</v>
      </c>
      <c r="AM1351">
        <v>7</v>
      </c>
      <c r="AN1351">
        <v>17</v>
      </c>
      <c r="AO1351">
        <v>11</v>
      </c>
      <c r="AP1351">
        <v>36</v>
      </c>
      <c r="AQ1351">
        <v>6</v>
      </c>
      <c r="AR1351" t="s">
        <v>22303</v>
      </c>
      <c r="AS1351" t="s">
        <v>22304</v>
      </c>
      <c r="AT1351">
        <v>0.55400000000000005</v>
      </c>
      <c r="AU1351" t="s">
        <v>65</v>
      </c>
      <c r="AV1351">
        <v>53</v>
      </c>
      <c r="AW1351">
        <v>17</v>
      </c>
      <c r="AX1351" t="s">
        <v>22305</v>
      </c>
      <c r="AY1351">
        <v>8.4570000000000006E-2</v>
      </c>
      <c r="AZ1351">
        <v>-9.0900000000000009E-3</v>
      </c>
      <c r="BA1351">
        <v>5.5100000000000001E-3</v>
      </c>
      <c r="BB1351">
        <v>-4.8000000000000001E-4</v>
      </c>
      <c r="BC1351">
        <v>6.5199999999999994E-2</v>
      </c>
      <c r="BD1351">
        <v>1</v>
      </c>
      <c r="BE1351" t="s">
        <v>69</v>
      </c>
      <c r="BF1351">
        <v>-2.0129999999999999</v>
      </c>
      <c r="BG1351">
        <v>-1.093</v>
      </c>
    </row>
    <row r="1352" spans="1:59">
      <c r="A1352">
        <v>0</v>
      </c>
      <c r="B1352">
        <v>0</v>
      </c>
      <c r="C1352">
        <v>2</v>
      </c>
      <c r="D1352" t="s">
        <v>25022</v>
      </c>
      <c r="E1352">
        <v>482</v>
      </c>
      <c r="F1352" t="s">
        <v>3265</v>
      </c>
      <c r="G1352" t="s">
        <v>57</v>
      </c>
      <c r="H1352">
        <v>522862</v>
      </c>
      <c r="I1352">
        <v>523647</v>
      </c>
      <c r="J1352" t="s">
        <v>3266</v>
      </c>
      <c r="K1352">
        <v>262</v>
      </c>
      <c r="L1352" t="s">
        <v>125</v>
      </c>
      <c r="M1352">
        <v>48</v>
      </c>
      <c r="N1352" t="str">
        <f>HYPERLINK("Gene482-zp_tree_all.dnd", "Gene482-tree")</f>
        <v>Gene482-tree</v>
      </c>
      <c r="O1352">
        <v>13</v>
      </c>
      <c r="P1352">
        <v>5</v>
      </c>
      <c r="Q1352">
        <v>13</v>
      </c>
      <c r="R1352">
        <v>5</v>
      </c>
      <c r="S1352">
        <v>0.27778000000000003</v>
      </c>
      <c r="T1352" t="s">
        <v>507</v>
      </c>
      <c r="U1352" t="s">
        <v>199</v>
      </c>
      <c r="V1352" t="s">
        <v>62</v>
      </c>
      <c r="W1352" t="s">
        <v>62</v>
      </c>
      <c r="X1352">
        <v>1</v>
      </c>
      <c r="Y1352">
        <v>2</v>
      </c>
      <c r="Z1352">
        <v>6</v>
      </c>
      <c r="AA1352">
        <v>0.25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5</v>
      </c>
      <c r="AK1352">
        <v>0</v>
      </c>
      <c r="AL1352">
        <v>12</v>
      </c>
      <c r="AM1352">
        <v>13</v>
      </c>
      <c r="AN1352">
        <v>21</v>
      </c>
      <c r="AO1352">
        <v>4</v>
      </c>
      <c r="AP1352">
        <v>48</v>
      </c>
      <c r="AQ1352">
        <v>5</v>
      </c>
      <c r="AR1352" t="s">
        <v>3267</v>
      </c>
      <c r="AS1352" t="s">
        <v>3268</v>
      </c>
      <c r="AT1352">
        <v>0.29899999999999999</v>
      </c>
      <c r="AU1352" t="s">
        <v>65</v>
      </c>
      <c r="AV1352">
        <v>69</v>
      </c>
      <c r="AW1352">
        <v>9</v>
      </c>
      <c r="AX1352" t="s">
        <v>3269</v>
      </c>
      <c r="AY1352">
        <v>9.6250000000000002E-2</v>
      </c>
      <c r="AZ1352">
        <v>-6.13E-3</v>
      </c>
      <c r="BA1352">
        <v>3.3899999999999998E-3</v>
      </c>
      <c r="BB1352">
        <v>-2.5999999999999998E-4</v>
      </c>
      <c r="BC1352">
        <v>3.5220000000000001E-2</v>
      </c>
      <c r="BD1352">
        <v>1</v>
      </c>
      <c r="BE1352" t="s">
        <v>69</v>
      </c>
      <c r="BF1352">
        <v>-0.96699999999999997</v>
      </c>
      <c r="BG1352">
        <v>0.29199999999999998</v>
      </c>
    </row>
    <row r="1353" spans="1:59">
      <c r="A1353">
        <v>0</v>
      </c>
      <c r="B1353">
        <v>0</v>
      </c>
      <c r="C1353">
        <v>4</v>
      </c>
      <c r="D1353" t="s">
        <v>25022</v>
      </c>
      <c r="E1353">
        <v>1814</v>
      </c>
      <c r="F1353" t="s">
        <v>11370</v>
      </c>
      <c r="G1353" t="s">
        <v>57</v>
      </c>
      <c r="H1353">
        <v>1882040</v>
      </c>
      <c r="I1353">
        <v>1882828</v>
      </c>
      <c r="J1353" t="s">
        <v>11371</v>
      </c>
      <c r="K1353">
        <v>263</v>
      </c>
      <c r="L1353" t="s">
        <v>11372</v>
      </c>
      <c r="M1353">
        <v>24</v>
      </c>
      <c r="N1353" t="str">
        <f>HYPERLINK("Gene1814-zp_tree_all.dnd", "Gene1814-tree")</f>
        <v>Gene1814-tree</v>
      </c>
      <c r="O1353">
        <v>0</v>
      </c>
      <c r="P1353">
        <v>4</v>
      </c>
      <c r="Q1353">
        <v>0</v>
      </c>
      <c r="R1353">
        <v>4</v>
      </c>
      <c r="S1353">
        <v>1</v>
      </c>
      <c r="T1353" t="s">
        <v>62</v>
      </c>
      <c r="U1353" t="s">
        <v>61</v>
      </c>
      <c r="V1353" t="s">
        <v>62</v>
      </c>
      <c r="W1353" t="s">
        <v>62</v>
      </c>
      <c r="X1353">
        <v>2</v>
      </c>
      <c r="Y1353">
        <v>4</v>
      </c>
      <c r="Z1353">
        <v>13</v>
      </c>
      <c r="AA1353">
        <v>0.23529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</v>
      </c>
      <c r="AI1353">
        <v>2</v>
      </c>
      <c r="AJ1353">
        <v>11</v>
      </c>
      <c r="AK1353">
        <v>0.15384999999999999</v>
      </c>
      <c r="AL1353">
        <v>4</v>
      </c>
      <c r="AM1353">
        <v>1</v>
      </c>
      <c r="AN1353">
        <v>8</v>
      </c>
      <c r="AO1353">
        <v>13</v>
      </c>
      <c r="AP1353">
        <v>4</v>
      </c>
      <c r="AQ1353">
        <v>4</v>
      </c>
      <c r="AR1353" t="s">
        <v>11373</v>
      </c>
      <c r="AS1353" t="s">
        <v>11374</v>
      </c>
      <c r="AT1353">
        <v>1.4450000000000001</v>
      </c>
      <c r="AU1353" t="s">
        <v>65</v>
      </c>
      <c r="AV1353">
        <v>12</v>
      </c>
      <c r="AW1353">
        <v>17</v>
      </c>
      <c r="AX1353" t="s">
        <v>11375</v>
      </c>
      <c r="AY1353">
        <v>3.9789999999999999E-2</v>
      </c>
      <c r="AZ1353">
        <v>-5.62E-3</v>
      </c>
      <c r="BA1353">
        <v>1.504E-2</v>
      </c>
      <c r="BB1353">
        <v>-1.6199999999999999E-3</v>
      </c>
      <c r="BC1353">
        <v>0.37791999999999998</v>
      </c>
      <c r="BD1353">
        <v>0.99</v>
      </c>
      <c r="BE1353" t="s">
        <v>69</v>
      </c>
      <c r="BF1353">
        <v>-1.879</v>
      </c>
      <c r="BG1353">
        <v>-1.3220000000000001</v>
      </c>
    </row>
    <row r="1354" spans="1:59">
      <c r="A1354">
        <v>0</v>
      </c>
      <c r="B1354">
        <v>9</v>
      </c>
      <c r="C1354">
        <v>0</v>
      </c>
      <c r="D1354" t="s">
        <v>25022</v>
      </c>
      <c r="E1354">
        <v>229</v>
      </c>
      <c r="F1354" t="s">
        <v>1549</v>
      </c>
      <c r="G1354" t="s">
        <v>57</v>
      </c>
      <c r="H1354">
        <v>248749</v>
      </c>
      <c r="I1354">
        <v>249537</v>
      </c>
      <c r="J1354" t="s">
        <v>1550</v>
      </c>
      <c r="K1354">
        <v>263</v>
      </c>
      <c r="L1354" t="s">
        <v>108</v>
      </c>
      <c r="M1354">
        <v>44</v>
      </c>
      <c r="N1354" t="str">
        <f>HYPERLINK("Gene229-zp_tree_all.dnd", "Gene229-tree")</f>
        <v>Gene229-tree</v>
      </c>
      <c r="O1354">
        <v>12</v>
      </c>
      <c r="P1354">
        <v>5</v>
      </c>
      <c r="Q1354">
        <v>12</v>
      </c>
      <c r="R1354">
        <v>5</v>
      </c>
      <c r="S1354">
        <v>0.29411999999999999</v>
      </c>
      <c r="T1354" t="s">
        <v>109</v>
      </c>
      <c r="U1354" t="s">
        <v>199</v>
      </c>
      <c r="V1354" t="s">
        <v>62</v>
      </c>
      <c r="W1354" t="s">
        <v>62</v>
      </c>
      <c r="X1354">
        <v>4</v>
      </c>
      <c r="Y1354">
        <v>9</v>
      </c>
      <c r="Z1354">
        <v>5</v>
      </c>
      <c r="AA1354">
        <v>0.64285999999999999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8</v>
      </c>
      <c r="AK1354">
        <v>0</v>
      </c>
      <c r="AL1354">
        <v>14</v>
      </c>
      <c r="AM1354">
        <v>12</v>
      </c>
      <c r="AN1354">
        <v>47</v>
      </c>
      <c r="AO1354">
        <v>8</v>
      </c>
      <c r="AP1354">
        <v>32</v>
      </c>
      <c r="AQ1354">
        <v>6</v>
      </c>
      <c r="AR1354" t="s">
        <v>1551</v>
      </c>
      <c r="AS1354" t="s">
        <v>1552</v>
      </c>
      <c r="AT1354">
        <v>7.0999999999999994E-2</v>
      </c>
      <c r="AU1354" t="s">
        <v>65</v>
      </c>
      <c r="AV1354">
        <v>79</v>
      </c>
      <c r="AW1354">
        <v>14</v>
      </c>
      <c r="AX1354" t="s">
        <v>1553</v>
      </c>
      <c r="AY1354">
        <v>6.7699999999999996E-2</v>
      </c>
      <c r="AZ1354">
        <v>-2.0200000000000001E-3</v>
      </c>
      <c r="BA1354">
        <v>4.4900000000000001E-3</v>
      </c>
      <c r="BB1354">
        <v>-2.2000000000000001E-4</v>
      </c>
      <c r="BC1354">
        <v>6.6259999999999999E-2</v>
      </c>
      <c r="BD1354">
        <v>1</v>
      </c>
      <c r="BE1354" t="s">
        <v>69</v>
      </c>
      <c r="BF1354">
        <v>-0.245</v>
      </c>
      <c r="BG1354">
        <v>-1.9790000000000001</v>
      </c>
    </row>
    <row r="1355" spans="1:59">
      <c r="A1355">
        <v>0</v>
      </c>
      <c r="B1355">
        <v>0</v>
      </c>
      <c r="C1355">
        <v>0</v>
      </c>
      <c r="D1355" t="s">
        <v>25022</v>
      </c>
      <c r="E1355">
        <v>831</v>
      </c>
      <c r="F1355" t="s">
        <v>5177</v>
      </c>
      <c r="G1355" t="s">
        <v>57</v>
      </c>
      <c r="H1355">
        <v>869559</v>
      </c>
      <c r="I1355">
        <v>870347</v>
      </c>
      <c r="J1355" t="s">
        <v>5178</v>
      </c>
      <c r="K1355">
        <v>263</v>
      </c>
      <c r="L1355" t="s">
        <v>108</v>
      </c>
      <c r="M1355">
        <v>44</v>
      </c>
      <c r="N1355" t="str">
        <f>HYPERLINK("Gene831-zp_tree_all.dnd", "Gene831-tree")</f>
        <v>Gene831-tree</v>
      </c>
      <c r="O1355">
        <v>11</v>
      </c>
      <c r="P1355">
        <v>2</v>
      </c>
      <c r="Q1355">
        <v>11</v>
      </c>
      <c r="R1355">
        <v>2</v>
      </c>
      <c r="S1355">
        <v>0.15384999999999999</v>
      </c>
      <c r="T1355" t="s">
        <v>73</v>
      </c>
      <c r="U1355" t="s">
        <v>81</v>
      </c>
      <c r="V1355" t="s">
        <v>62</v>
      </c>
      <c r="W1355" t="s">
        <v>62</v>
      </c>
      <c r="X1355">
        <v>0</v>
      </c>
      <c r="Y1355">
        <v>0</v>
      </c>
      <c r="Z1355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</v>
      </c>
      <c r="AK1355">
        <v>0</v>
      </c>
      <c r="AL1355">
        <v>11</v>
      </c>
      <c r="AM1355">
        <v>9</v>
      </c>
      <c r="AN1355">
        <v>21</v>
      </c>
      <c r="AO1355">
        <v>3</v>
      </c>
      <c r="AP1355">
        <v>32</v>
      </c>
      <c r="AQ1355">
        <v>2</v>
      </c>
      <c r="AR1355" t="s">
        <v>5179</v>
      </c>
      <c r="AS1355" t="s">
        <v>5180</v>
      </c>
      <c r="AT1355">
        <v>0.25800000000000001</v>
      </c>
      <c r="AU1355" t="s">
        <v>65</v>
      </c>
      <c r="AV1355">
        <v>53</v>
      </c>
      <c r="AW1355">
        <v>5</v>
      </c>
      <c r="AX1355" t="s">
        <v>5181</v>
      </c>
      <c r="AY1355">
        <v>7.6259999999999994E-2</v>
      </c>
      <c r="AZ1355">
        <v>-4.8999999999999998E-3</v>
      </c>
      <c r="BA1355">
        <v>2.4199999999999998E-3</v>
      </c>
      <c r="BB1355">
        <v>-2.1000000000000001E-4</v>
      </c>
      <c r="BC1355">
        <v>3.1730000000000001E-2</v>
      </c>
      <c r="BD1355">
        <v>1</v>
      </c>
      <c r="BE1355" t="s">
        <v>69</v>
      </c>
      <c r="BF1355">
        <v>-4.9000000000000002E-2</v>
      </c>
      <c r="BG1355">
        <v>0.46800000000000003</v>
      </c>
    </row>
    <row r="1356" spans="1:59">
      <c r="A1356">
        <v>0</v>
      </c>
      <c r="B1356">
        <v>0</v>
      </c>
      <c r="C1356">
        <v>2</v>
      </c>
      <c r="D1356" t="s">
        <v>25022</v>
      </c>
      <c r="E1356">
        <v>1585</v>
      </c>
      <c r="F1356" t="s">
        <v>9915</v>
      </c>
      <c r="G1356" t="s">
        <v>57</v>
      </c>
      <c r="H1356">
        <v>1593704</v>
      </c>
      <c r="I1356">
        <v>1594492</v>
      </c>
      <c r="J1356" t="s">
        <v>506</v>
      </c>
      <c r="K1356">
        <v>263</v>
      </c>
      <c r="L1356" t="s">
        <v>698</v>
      </c>
      <c r="M1356">
        <v>47</v>
      </c>
      <c r="N1356" t="str">
        <f>HYPERLINK("Gene1585-zp_tree_all.dnd", "Gene1585-tree")</f>
        <v>Gene1585-tree</v>
      </c>
      <c r="O1356">
        <v>14</v>
      </c>
      <c r="P1356">
        <v>3</v>
      </c>
      <c r="Q1356">
        <v>14</v>
      </c>
      <c r="R1356">
        <v>3</v>
      </c>
      <c r="S1356">
        <v>0.17646999999999999</v>
      </c>
      <c r="T1356" t="s">
        <v>543</v>
      </c>
      <c r="U1356" t="s">
        <v>324</v>
      </c>
      <c r="V1356" t="s">
        <v>62</v>
      </c>
      <c r="W1356" t="s">
        <v>62</v>
      </c>
      <c r="X1356">
        <v>1</v>
      </c>
      <c r="Y1356">
        <v>2</v>
      </c>
      <c r="Z1356">
        <v>6</v>
      </c>
      <c r="AA1356">
        <v>0.25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4</v>
      </c>
      <c r="AK1356">
        <v>0</v>
      </c>
      <c r="AL1356">
        <v>11</v>
      </c>
      <c r="AM1356">
        <v>9</v>
      </c>
      <c r="AN1356">
        <v>20</v>
      </c>
      <c r="AO1356">
        <v>4</v>
      </c>
      <c r="AP1356">
        <v>42</v>
      </c>
      <c r="AQ1356">
        <v>4</v>
      </c>
      <c r="AR1356" t="s">
        <v>9916</v>
      </c>
      <c r="AS1356" t="s">
        <v>9917</v>
      </c>
      <c r="AT1356">
        <v>0.34499999999999997</v>
      </c>
      <c r="AU1356" t="s">
        <v>65</v>
      </c>
      <c r="AV1356">
        <v>62</v>
      </c>
      <c r="AW1356">
        <v>8</v>
      </c>
      <c r="AX1356" t="s">
        <v>9918</v>
      </c>
      <c r="AY1356">
        <v>9.0270000000000003E-2</v>
      </c>
      <c r="AZ1356">
        <v>-7.6699999999999997E-3</v>
      </c>
      <c r="BA1356">
        <v>2.7499999999999998E-3</v>
      </c>
      <c r="BB1356">
        <v>-2.2000000000000001E-4</v>
      </c>
      <c r="BC1356">
        <v>3.048E-2</v>
      </c>
      <c r="BD1356">
        <v>1</v>
      </c>
      <c r="BE1356" t="s">
        <v>69</v>
      </c>
      <c r="BF1356">
        <v>-1.3089999999999999</v>
      </c>
      <c r="BG1356">
        <v>-0.16</v>
      </c>
    </row>
    <row r="1357" spans="1:59">
      <c r="A1357">
        <v>0</v>
      </c>
      <c r="B1357">
        <v>2</v>
      </c>
      <c r="C1357">
        <v>0</v>
      </c>
      <c r="D1357" t="s">
        <v>25022</v>
      </c>
      <c r="E1357">
        <v>2273</v>
      </c>
      <c r="F1357" t="s">
        <v>13150</v>
      </c>
      <c r="G1357" t="s">
        <v>62</v>
      </c>
      <c r="H1357">
        <v>2297109</v>
      </c>
      <c r="I1357">
        <v>2297900</v>
      </c>
      <c r="J1357" t="s">
        <v>13151</v>
      </c>
      <c r="K1357">
        <v>264</v>
      </c>
      <c r="L1357" t="s">
        <v>2555</v>
      </c>
      <c r="M1357">
        <v>34</v>
      </c>
      <c r="N1357" t="str">
        <f>HYPERLINK("Gene2273-zp_tree_all.dnd", "Gene2273-tree")</f>
        <v>Gene2273-tree</v>
      </c>
      <c r="O1357">
        <v>3</v>
      </c>
      <c r="P1357">
        <v>6</v>
      </c>
      <c r="Q1357">
        <v>3</v>
      </c>
      <c r="R1357">
        <v>6</v>
      </c>
      <c r="S1357">
        <v>0.66666999999999998</v>
      </c>
      <c r="T1357" t="s">
        <v>324</v>
      </c>
      <c r="U1357" t="s">
        <v>90</v>
      </c>
      <c r="V1357" t="s">
        <v>62</v>
      </c>
      <c r="W1357" t="s">
        <v>62</v>
      </c>
      <c r="X1357">
        <v>1</v>
      </c>
      <c r="Y1357">
        <v>2</v>
      </c>
      <c r="Z1357">
        <v>11</v>
      </c>
      <c r="AA1357">
        <v>0.15384999999999999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</v>
      </c>
      <c r="AH1357">
        <v>0</v>
      </c>
      <c r="AI1357">
        <v>2</v>
      </c>
      <c r="AJ1357">
        <v>9</v>
      </c>
      <c r="AK1357">
        <v>0.18182000000000001</v>
      </c>
      <c r="AL1357">
        <v>8</v>
      </c>
      <c r="AM1357">
        <v>6</v>
      </c>
      <c r="AN1357">
        <v>10</v>
      </c>
      <c r="AO1357">
        <v>8</v>
      </c>
      <c r="AP1357">
        <v>7</v>
      </c>
      <c r="AQ1357">
        <v>5</v>
      </c>
      <c r="AR1357" t="s">
        <v>13152</v>
      </c>
      <c r="AS1357" t="s">
        <v>13153</v>
      </c>
      <c r="AT1357">
        <v>0.11600000000000001</v>
      </c>
      <c r="AU1357" t="s">
        <v>65</v>
      </c>
      <c r="AV1357">
        <v>17</v>
      </c>
      <c r="AW1357">
        <v>13</v>
      </c>
      <c r="AX1357" t="s">
        <v>13154</v>
      </c>
      <c r="AY1357">
        <v>3.0360000000000002E-2</v>
      </c>
      <c r="AZ1357">
        <v>-2.0899999999999998E-3</v>
      </c>
      <c r="BA1357">
        <v>6.3299999999999997E-3</v>
      </c>
      <c r="BB1357">
        <v>-5.4000000000000001E-4</v>
      </c>
      <c r="BC1357">
        <v>0.20849000000000001</v>
      </c>
      <c r="BD1357">
        <v>0.99</v>
      </c>
      <c r="BE1357" t="s">
        <v>69</v>
      </c>
      <c r="BF1357">
        <v>-0.104</v>
      </c>
      <c r="BG1357">
        <v>-0.30399999999999999</v>
      </c>
    </row>
    <row r="1358" spans="1:59">
      <c r="A1358">
        <v>0</v>
      </c>
      <c r="B1358">
        <v>0</v>
      </c>
      <c r="C1358">
        <v>0</v>
      </c>
      <c r="D1358" t="s">
        <v>25022</v>
      </c>
      <c r="E1358">
        <v>885</v>
      </c>
      <c r="F1358" t="s">
        <v>5527</v>
      </c>
      <c r="G1358" t="s">
        <v>57</v>
      </c>
      <c r="H1358">
        <v>925633</v>
      </c>
      <c r="I1358">
        <v>926424</v>
      </c>
      <c r="J1358" t="s">
        <v>5528</v>
      </c>
      <c r="K1358">
        <v>264</v>
      </c>
      <c r="L1358" t="s">
        <v>108</v>
      </c>
      <c r="M1358">
        <v>44</v>
      </c>
      <c r="N1358" t="str">
        <f>HYPERLINK("Gene885-zp_tree_all.dnd", "Gene885-tree")</f>
        <v>Gene885-tree</v>
      </c>
      <c r="O1358">
        <v>9</v>
      </c>
      <c r="P1358">
        <v>5</v>
      </c>
      <c r="Q1358">
        <v>9</v>
      </c>
      <c r="R1358">
        <v>5</v>
      </c>
      <c r="S1358">
        <v>0.35714000000000001</v>
      </c>
      <c r="T1358" t="s">
        <v>135</v>
      </c>
      <c r="U1358" t="s">
        <v>199</v>
      </c>
      <c r="V1358" t="s">
        <v>62</v>
      </c>
      <c r="W1358" t="s">
        <v>62</v>
      </c>
      <c r="X1358">
        <v>0</v>
      </c>
      <c r="Y1358">
        <v>0</v>
      </c>
      <c r="Z1358">
        <v>9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6</v>
      </c>
      <c r="AK1358">
        <v>0</v>
      </c>
      <c r="AL1358">
        <v>12</v>
      </c>
      <c r="AM1358">
        <v>5</v>
      </c>
      <c r="AN1358">
        <v>19</v>
      </c>
      <c r="AO1358">
        <v>6</v>
      </c>
      <c r="AP1358">
        <v>5</v>
      </c>
      <c r="AQ1358">
        <v>3</v>
      </c>
      <c r="AR1358" t="s">
        <v>5529</v>
      </c>
      <c r="AS1358" t="s">
        <v>5530</v>
      </c>
      <c r="AT1358">
        <v>0.64700000000000002</v>
      </c>
      <c r="AU1358" t="s">
        <v>65</v>
      </c>
      <c r="AV1358">
        <v>24</v>
      </c>
      <c r="AW1358">
        <v>9</v>
      </c>
      <c r="AX1358" t="s">
        <v>5531</v>
      </c>
      <c r="AY1358">
        <v>2.325E-2</v>
      </c>
      <c r="AZ1358">
        <v>-1.15E-3</v>
      </c>
      <c r="BA1358">
        <v>3.0999999999999999E-3</v>
      </c>
      <c r="BB1358">
        <v>-1.8000000000000001E-4</v>
      </c>
      <c r="BC1358">
        <v>0.13314999999999999</v>
      </c>
      <c r="BD1358">
        <v>1</v>
      </c>
      <c r="BE1358" t="s">
        <v>69</v>
      </c>
      <c r="BF1358">
        <v>-1.016</v>
      </c>
      <c r="BG1358">
        <v>-1.0309999999999999</v>
      </c>
    </row>
    <row r="1359" spans="1:59">
      <c r="A1359">
        <v>0</v>
      </c>
      <c r="B1359">
        <v>0</v>
      </c>
      <c r="C1359">
        <v>0</v>
      </c>
      <c r="D1359" t="s">
        <v>25022</v>
      </c>
      <c r="E1359">
        <v>1595</v>
      </c>
      <c r="F1359" t="s">
        <v>9979</v>
      </c>
      <c r="G1359" t="s">
        <v>57</v>
      </c>
      <c r="H1359">
        <v>1606560</v>
      </c>
      <c r="I1359">
        <v>1607351</v>
      </c>
      <c r="J1359" t="s">
        <v>5350</v>
      </c>
      <c r="K1359">
        <v>264</v>
      </c>
      <c r="L1359" t="s">
        <v>108</v>
      </c>
      <c r="M1359">
        <v>44</v>
      </c>
      <c r="N1359" t="str">
        <f>HYPERLINK("Gene1595-zp_tree_all.dnd", "Gene1595-tree")</f>
        <v>Gene1595-tree</v>
      </c>
      <c r="O1359">
        <v>4</v>
      </c>
      <c r="P1359">
        <v>9</v>
      </c>
      <c r="Q1359">
        <v>4</v>
      </c>
      <c r="R1359">
        <v>9</v>
      </c>
      <c r="S1359">
        <v>0.69230999999999998</v>
      </c>
      <c r="T1359" t="s">
        <v>61</v>
      </c>
      <c r="U1359" t="s">
        <v>135</v>
      </c>
      <c r="V1359" t="s">
        <v>62</v>
      </c>
      <c r="W1359" t="s">
        <v>62</v>
      </c>
      <c r="X1359">
        <v>0</v>
      </c>
      <c r="Y1359">
        <v>0</v>
      </c>
      <c r="Z1359">
        <v>13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11</v>
      </c>
      <c r="AK1359">
        <v>0</v>
      </c>
      <c r="AL1359">
        <v>10</v>
      </c>
      <c r="AM1359">
        <v>7</v>
      </c>
      <c r="AN1359">
        <v>21</v>
      </c>
      <c r="AO1359">
        <v>11</v>
      </c>
      <c r="AP1359">
        <v>13</v>
      </c>
      <c r="AQ1359">
        <v>2</v>
      </c>
      <c r="AR1359" t="s">
        <v>9980</v>
      </c>
      <c r="AS1359" t="s">
        <v>9981</v>
      </c>
      <c r="AT1359">
        <v>1.0249999999999999</v>
      </c>
      <c r="AU1359" t="s">
        <v>65</v>
      </c>
      <c r="AV1359">
        <v>34</v>
      </c>
      <c r="AW1359">
        <v>13</v>
      </c>
      <c r="AX1359" t="s">
        <v>9982</v>
      </c>
      <c r="AY1359">
        <v>3.8760000000000003E-2</v>
      </c>
      <c r="AZ1359">
        <v>-1.99E-3</v>
      </c>
      <c r="BA1359">
        <v>4.15E-3</v>
      </c>
      <c r="BB1359">
        <v>-2.4000000000000001E-4</v>
      </c>
      <c r="BC1359">
        <v>0.10704</v>
      </c>
      <c r="BD1359">
        <v>1</v>
      </c>
      <c r="BE1359" t="s">
        <v>69</v>
      </c>
      <c r="BF1359">
        <v>-0.627</v>
      </c>
      <c r="BG1359">
        <v>-2.7130000000000001</v>
      </c>
    </row>
    <row r="1360" spans="1:59">
      <c r="A1360">
        <v>0</v>
      </c>
      <c r="B1360">
        <v>4</v>
      </c>
      <c r="C1360">
        <v>2</v>
      </c>
      <c r="D1360" t="s">
        <v>25022</v>
      </c>
      <c r="E1360">
        <v>797</v>
      </c>
      <c r="F1360" t="s">
        <v>4953</v>
      </c>
      <c r="G1360" t="s">
        <v>57</v>
      </c>
      <c r="H1360">
        <v>835740</v>
      </c>
      <c r="I1360">
        <v>836531</v>
      </c>
      <c r="J1360" t="s">
        <v>3354</v>
      </c>
      <c r="K1360">
        <v>264</v>
      </c>
      <c r="L1360" t="s">
        <v>108</v>
      </c>
      <c r="M1360">
        <v>44</v>
      </c>
      <c r="N1360" t="str">
        <f>HYPERLINK("Gene797-zp_tree_all.dnd", "Gene797-tree")</f>
        <v>Gene797-tree</v>
      </c>
      <c r="O1360">
        <v>5</v>
      </c>
      <c r="P1360">
        <v>9</v>
      </c>
      <c r="Q1360">
        <v>5</v>
      </c>
      <c r="R1360">
        <v>9</v>
      </c>
      <c r="S1360">
        <v>0.64285999999999999</v>
      </c>
      <c r="T1360" t="s">
        <v>199</v>
      </c>
      <c r="U1360" t="s">
        <v>135</v>
      </c>
      <c r="V1360" t="s">
        <v>62</v>
      </c>
      <c r="W1360" t="s">
        <v>62</v>
      </c>
      <c r="X1360">
        <v>3</v>
      </c>
      <c r="Y1360">
        <v>6</v>
      </c>
      <c r="Z1360">
        <v>12</v>
      </c>
      <c r="AA1360">
        <v>0.33333000000000002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4</v>
      </c>
      <c r="AH1360">
        <v>2</v>
      </c>
      <c r="AI1360">
        <v>6</v>
      </c>
      <c r="AJ1360">
        <v>11</v>
      </c>
      <c r="AK1360">
        <v>0.35293999999999998</v>
      </c>
      <c r="AL1360">
        <v>11</v>
      </c>
      <c r="AM1360">
        <v>9</v>
      </c>
      <c r="AN1360">
        <v>28</v>
      </c>
      <c r="AO1360">
        <v>16</v>
      </c>
      <c r="AP1360">
        <v>15</v>
      </c>
      <c r="AQ1360">
        <v>2</v>
      </c>
      <c r="AR1360" t="s">
        <v>4954</v>
      </c>
      <c r="AS1360" t="s">
        <v>4955</v>
      </c>
      <c r="AT1360">
        <v>1.5009999999999999</v>
      </c>
      <c r="AU1360" t="s">
        <v>65</v>
      </c>
      <c r="AV1360">
        <v>43</v>
      </c>
      <c r="AW1360">
        <v>18</v>
      </c>
      <c r="AX1360" t="s">
        <v>4956</v>
      </c>
      <c r="AY1360">
        <v>4.4389999999999999E-2</v>
      </c>
      <c r="AZ1360">
        <v>-1.73E-3</v>
      </c>
      <c r="BA1360">
        <v>4.5999999999999999E-3</v>
      </c>
      <c r="BB1360">
        <v>-3.3E-4</v>
      </c>
      <c r="BC1360">
        <v>0.10362</v>
      </c>
      <c r="BD1360">
        <v>1</v>
      </c>
      <c r="BE1360" t="s">
        <v>69</v>
      </c>
      <c r="BF1360">
        <v>-0.23499999999999999</v>
      </c>
      <c r="BG1360">
        <v>-1.5960000000000001</v>
      </c>
    </row>
    <row r="1361" spans="1:59">
      <c r="A1361">
        <v>0</v>
      </c>
      <c r="B1361">
        <v>0</v>
      </c>
      <c r="C1361">
        <v>0</v>
      </c>
      <c r="D1361" t="s">
        <v>25022</v>
      </c>
      <c r="E1361">
        <v>2346</v>
      </c>
      <c r="F1361" t="s">
        <v>13619</v>
      </c>
      <c r="G1361" t="s">
        <v>62</v>
      </c>
      <c r="H1361">
        <v>2361547</v>
      </c>
      <c r="I1361">
        <v>2362338</v>
      </c>
      <c r="J1361" t="s">
        <v>13620</v>
      </c>
      <c r="K1361">
        <v>264</v>
      </c>
      <c r="L1361" t="s">
        <v>13568</v>
      </c>
      <c r="M1361">
        <v>40</v>
      </c>
      <c r="N1361" t="str">
        <f>HYPERLINK("Gene2346-zp_tree_all.dnd", "Gene2346-tree")</f>
        <v>Gene2346-tree</v>
      </c>
      <c r="O1361">
        <v>8</v>
      </c>
      <c r="P1361">
        <v>6</v>
      </c>
      <c r="Q1361">
        <v>8</v>
      </c>
      <c r="R1361">
        <v>6</v>
      </c>
      <c r="S1361">
        <v>0.42857000000000001</v>
      </c>
      <c r="T1361" t="s">
        <v>136</v>
      </c>
      <c r="U1361" t="s">
        <v>90</v>
      </c>
      <c r="V1361" t="s">
        <v>62</v>
      </c>
      <c r="W1361" t="s">
        <v>62</v>
      </c>
      <c r="X1361">
        <v>0</v>
      </c>
      <c r="Y1361">
        <v>0</v>
      </c>
      <c r="Z1361">
        <v>9</v>
      </c>
      <c r="AA1361">
        <v>0</v>
      </c>
      <c r="AB1361">
        <v>0</v>
      </c>
      <c r="AC1361">
        <v>0</v>
      </c>
      <c r="AD1361">
        <v>0</v>
      </c>
      <c r="AE1361">
        <v>2</v>
      </c>
      <c r="AF1361">
        <v>0</v>
      </c>
      <c r="AG1361">
        <v>0</v>
      </c>
      <c r="AH1361">
        <v>0</v>
      </c>
      <c r="AI1361">
        <v>0</v>
      </c>
      <c r="AJ1361">
        <v>6</v>
      </c>
      <c r="AK1361">
        <v>0</v>
      </c>
      <c r="AL1361">
        <v>12</v>
      </c>
      <c r="AM1361">
        <v>7</v>
      </c>
      <c r="AN1361">
        <v>21</v>
      </c>
      <c r="AO1361">
        <v>6</v>
      </c>
      <c r="AP1361">
        <v>9</v>
      </c>
      <c r="AQ1361">
        <v>3</v>
      </c>
      <c r="AR1361" t="s">
        <v>13621</v>
      </c>
      <c r="AS1361" t="s">
        <v>13622</v>
      </c>
      <c r="AT1361">
        <v>0.11600000000000001</v>
      </c>
      <c r="AU1361" t="s">
        <v>65</v>
      </c>
      <c r="AV1361">
        <v>30</v>
      </c>
      <c r="AW1361">
        <v>9</v>
      </c>
      <c r="AX1361" t="s">
        <v>13623</v>
      </c>
      <c r="AY1361">
        <v>3.209E-2</v>
      </c>
      <c r="AZ1361">
        <v>-1.25E-3</v>
      </c>
      <c r="BA1361">
        <v>3.0999999999999999E-3</v>
      </c>
      <c r="BB1361">
        <v>-1.8000000000000001E-4</v>
      </c>
      <c r="BC1361">
        <v>9.6479999999999996E-2</v>
      </c>
      <c r="BD1361">
        <v>1</v>
      </c>
      <c r="BE1361" t="s">
        <v>69</v>
      </c>
      <c r="BF1361">
        <v>-1.0900000000000001</v>
      </c>
      <c r="BG1361">
        <v>-1.833</v>
      </c>
    </row>
    <row r="1362" spans="1:59">
      <c r="A1362">
        <v>0</v>
      </c>
      <c r="B1362">
        <v>2</v>
      </c>
      <c r="C1362">
        <v>0</v>
      </c>
      <c r="D1362" t="s">
        <v>25022</v>
      </c>
      <c r="E1362">
        <v>2914</v>
      </c>
      <c r="F1362" t="s">
        <v>16778</v>
      </c>
      <c r="G1362" t="s">
        <v>62</v>
      </c>
      <c r="H1362">
        <v>2856835</v>
      </c>
      <c r="I1362">
        <v>2857626</v>
      </c>
      <c r="J1362" t="s">
        <v>16779</v>
      </c>
      <c r="K1362">
        <v>264</v>
      </c>
      <c r="L1362" t="s">
        <v>108</v>
      </c>
      <c r="M1362">
        <v>44</v>
      </c>
      <c r="N1362" t="str">
        <f>HYPERLINK("Gene2914-zp_tree_all.dnd", "Gene2914-tree")</f>
        <v>Gene2914-tree</v>
      </c>
      <c r="O1362">
        <v>4</v>
      </c>
      <c r="P1362">
        <v>6</v>
      </c>
      <c r="Q1362">
        <v>4</v>
      </c>
      <c r="R1362">
        <v>6</v>
      </c>
      <c r="S1362">
        <v>0.6</v>
      </c>
      <c r="T1362" t="s">
        <v>61</v>
      </c>
      <c r="U1362" t="s">
        <v>90</v>
      </c>
      <c r="V1362" t="s">
        <v>62</v>
      </c>
      <c r="W1362" t="s">
        <v>62</v>
      </c>
      <c r="X1362">
        <v>1</v>
      </c>
      <c r="Y1362">
        <v>2</v>
      </c>
      <c r="Z1362">
        <v>9</v>
      </c>
      <c r="AA1362">
        <v>0.18182000000000001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</v>
      </c>
      <c r="AH1362">
        <v>0</v>
      </c>
      <c r="AI1362">
        <v>2</v>
      </c>
      <c r="AJ1362">
        <v>9</v>
      </c>
      <c r="AK1362">
        <v>0.18182000000000001</v>
      </c>
      <c r="AL1362">
        <v>9</v>
      </c>
      <c r="AM1362">
        <v>5</v>
      </c>
      <c r="AN1362">
        <v>26</v>
      </c>
      <c r="AO1362">
        <v>11</v>
      </c>
      <c r="AP1362">
        <v>10</v>
      </c>
      <c r="AQ1362">
        <v>0</v>
      </c>
      <c r="AR1362" t="s">
        <v>16780</v>
      </c>
      <c r="AS1362" t="s">
        <v>193</v>
      </c>
      <c r="AT1362">
        <v>0.64300000000000002</v>
      </c>
      <c r="AU1362" t="s">
        <v>65</v>
      </c>
      <c r="AV1362">
        <v>36</v>
      </c>
      <c r="AW1362">
        <v>11</v>
      </c>
      <c r="AX1362" t="s">
        <v>16781</v>
      </c>
      <c r="AY1362">
        <v>5.1369999999999999E-2</v>
      </c>
      <c r="AZ1362">
        <v>-5.8399999999999997E-3</v>
      </c>
      <c r="BA1362">
        <v>3.5000000000000001E-3</v>
      </c>
      <c r="BB1362">
        <v>-4.6999999999999999E-4</v>
      </c>
      <c r="BC1362">
        <v>6.8140000000000006E-2</v>
      </c>
      <c r="BD1362">
        <v>1</v>
      </c>
      <c r="BE1362" t="s">
        <v>69</v>
      </c>
      <c r="BF1362">
        <v>-1.369</v>
      </c>
      <c r="BG1362">
        <v>-3.8570000000000002</v>
      </c>
    </row>
    <row r="1363" spans="1:59">
      <c r="A1363">
        <v>0</v>
      </c>
      <c r="B1363">
        <v>0</v>
      </c>
      <c r="C1363">
        <v>0</v>
      </c>
      <c r="D1363" t="s">
        <v>25022</v>
      </c>
      <c r="E1363">
        <v>1690</v>
      </c>
      <c r="F1363" t="s">
        <v>10594</v>
      </c>
      <c r="G1363" t="s">
        <v>57</v>
      </c>
      <c r="H1363">
        <v>1700182</v>
      </c>
      <c r="I1363">
        <v>1700973</v>
      </c>
      <c r="J1363" t="s">
        <v>10595</v>
      </c>
      <c r="K1363">
        <v>264</v>
      </c>
      <c r="L1363" t="s">
        <v>10596</v>
      </c>
      <c r="M1363">
        <v>36</v>
      </c>
      <c r="N1363" t="str">
        <f>HYPERLINK("Gene1690-zp_tree_all.dnd", "Gene1690-tree")</f>
        <v>Gene1690-tree</v>
      </c>
      <c r="O1363">
        <v>3</v>
      </c>
      <c r="P1363">
        <v>2</v>
      </c>
      <c r="Q1363">
        <v>3</v>
      </c>
      <c r="R1363">
        <v>2</v>
      </c>
      <c r="S1363">
        <v>0.4</v>
      </c>
      <c r="T1363" t="s">
        <v>324</v>
      </c>
      <c r="U1363" t="s">
        <v>81</v>
      </c>
      <c r="V1363" t="s">
        <v>62</v>
      </c>
      <c r="W1363" t="s">
        <v>62</v>
      </c>
      <c r="X1363">
        <v>0</v>
      </c>
      <c r="Y1363">
        <v>0</v>
      </c>
      <c r="Z1363">
        <v>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</v>
      </c>
      <c r="AK1363">
        <v>0</v>
      </c>
      <c r="AL1363">
        <v>4</v>
      </c>
      <c r="AM1363">
        <v>2</v>
      </c>
      <c r="AN1363">
        <v>30</v>
      </c>
      <c r="AO1363">
        <v>8</v>
      </c>
      <c r="AP1363">
        <v>5</v>
      </c>
      <c r="AQ1363">
        <v>0</v>
      </c>
      <c r="AR1363" t="s">
        <v>10597</v>
      </c>
      <c r="AS1363" t="s">
        <v>193</v>
      </c>
      <c r="AT1363">
        <v>0.42799999999999999</v>
      </c>
      <c r="AU1363" t="s">
        <v>65</v>
      </c>
      <c r="AV1363">
        <v>35</v>
      </c>
      <c r="AW1363">
        <v>8</v>
      </c>
      <c r="AX1363" t="s">
        <v>10598</v>
      </c>
      <c r="AY1363">
        <v>8.5440000000000002E-2</v>
      </c>
      <c r="AZ1363">
        <v>-2.462E-2</v>
      </c>
      <c r="BA1363">
        <v>5.3499999999999997E-3</v>
      </c>
      <c r="BB1363">
        <v>-1.7700000000000001E-3</v>
      </c>
      <c r="BC1363">
        <v>6.2590000000000007E-2</v>
      </c>
      <c r="BD1363">
        <v>1</v>
      </c>
      <c r="BE1363" t="s">
        <v>69</v>
      </c>
      <c r="BF1363">
        <v>-1.9370000000000001</v>
      </c>
      <c r="BG1363">
        <v>-4.3540000000000001</v>
      </c>
    </row>
    <row r="1364" spans="1:59">
      <c r="A1364">
        <v>0</v>
      </c>
      <c r="B1364">
        <v>8</v>
      </c>
      <c r="C1364">
        <v>4</v>
      </c>
      <c r="D1364" t="s">
        <v>25022</v>
      </c>
      <c r="E1364">
        <v>3486</v>
      </c>
      <c r="F1364" t="s">
        <v>20427</v>
      </c>
      <c r="G1364" t="s">
        <v>62</v>
      </c>
      <c r="H1364">
        <v>3449735</v>
      </c>
      <c r="I1364">
        <v>3450526</v>
      </c>
      <c r="J1364" t="s">
        <v>1940</v>
      </c>
      <c r="K1364">
        <v>264</v>
      </c>
      <c r="L1364" t="s">
        <v>59</v>
      </c>
      <c r="M1364">
        <v>49</v>
      </c>
      <c r="N1364" t="str">
        <f>HYPERLINK("Gene3486-zp_tree_all.dnd", "Gene3486-tree")</f>
        <v>Gene3486-tree</v>
      </c>
      <c r="O1364">
        <v>14</v>
      </c>
      <c r="P1364">
        <v>6</v>
      </c>
      <c r="Q1364">
        <v>14</v>
      </c>
      <c r="R1364">
        <v>6</v>
      </c>
      <c r="S1364">
        <v>0.3</v>
      </c>
      <c r="T1364" t="s">
        <v>543</v>
      </c>
      <c r="U1364" t="s">
        <v>90</v>
      </c>
      <c r="V1364" t="s">
        <v>62</v>
      </c>
      <c r="W1364" t="s">
        <v>62</v>
      </c>
      <c r="X1364">
        <v>6</v>
      </c>
      <c r="Y1364">
        <v>12</v>
      </c>
      <c r="Z1364">
        <v>8</v>
      </c>
      <c r="AA1364">
        <v>0.6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4</v>
      </c>
      <c r="AH1364">
        <v>4</v>
      </c>
      <c r="AI1364">
        <v>8</v>
      </c>
      <c r="AJ1364">
        <v>7</v>
      </c>
      <c r="AK1364">
        <v>0.53332999999999997</v>
      </c>
      <c r="AL1364">
        <v>15</v>
      </c>
      <c r="AM1364">
        <v>12</v>
      </c>
      <c r="AN1364">
        <v>58</v>
      </c>
      <c r="AO1364">
        <v>15</v>
      </c>
      <c r="AP1364">
        <v>42</v>
      </c>
      <c r="AQ1364">
        <v>5</v>
      </c>
      <c r="AR1364" t="s">
        <v>20428</v>
      </c>
      <c r="AS1364" t="s">
        <v>20429</v>
      </c>
      <c r="AT1364">
        <v>0.629</v>
      </c>
      <c r="AU1364" t="s">
        <v>65</v>
      </c>
      <c r="AV1364">
        <v>100</v>
      </c>
      <c r="AW1364">
        <v>20</v>
      </c>
      <c r="AX1364" t="s">
        <v>20430</v>
      </c>
      <c r="AY1364">
        <v>8.7999999999999995E-2</v>
      </c>
      <c r="AZ1364">
        <v>-4.2300000000000003E-3</v>
      </c>
      <c r="BA1364">
        <v>4.3200000000000001E-3</v>
      </c>
      <c r="BB1364">
        <v>-3.2000000000000003E-4</v>
      </c>
      <c r="BC1364">
        <v>4.9059999999999999E-2</v>
      </c>
      <c r="BD1364">
        <v>1</v>
      </c>
      <c r="BE1364" t="s">
        <v>69</v>
      </c>
      <c r="BF1364">
        <v>-1.7629999999999999</v>
      </c>
      <c r="BG1364">
        <v>-2.1949999999999998</v>
      </c>
    </row>
    <row r="1365" spans="1:59">
      <c r="A1365">
        <v>0</v>
      </c>
      <c r="B1365">
        <v>0</v>
      </c>
      <c r="C1365">
        <v>0</v>
      </c>
      <c r="D1365" t="s">
        <v>25022</v>
      </c>
      <c r="E1365">
        <v>1758</v>
      </c>
      <c r="F1365" t="s">
        <v>11010</v>
      </c>
      <c r="G1365" t="s">
        <v>57</v>
      </c>
      <c r="H1365">
        <v>1768941</v>
      </c>
      <c r="I1365">
        <v>1769732</v>
      </c>
      <c r="J1365" t="s">
        <v>11011</v>
      </c>
      <c r="K1365">
        <v>264</v>
      </c>
      <c r="L1365" t="s">
        <v>6390</v>
      </c>
      <c r="M1365">
        <v>45</v>
      </c>
      <c r="N1365" t="str">
        <f>HYPERLINK("Gene1758-zp_tree_all.dnd", "Gene1758-tree")</f>
        <v>Gene1758-tree</v>
      </c>
      <c r="O1365">
        <v>7</v>
      </c>
      <c r="P1365">
        <v>5</v>
      </c>
      <c r="Q1365">
        <v>7</v>
      </c>
      <c r="R1365">
        <v>5</v>
      </c>
      <c r="S1365">
        <v>0.41666999999999998</v>
      </c>
      <c r="T1365" t="s">
        <v>152</v>
      </c>
      <c r="U1365" t="s">
        <v>199</v>
      </c>
      <c r="V1365" t="s">
        <v>62</v>
      </c>
      <c r="W1365" t="s">
        <v>62</v>
      </c>
      <c r="X1365">
        <v>0</v>
      </c>
      <c r="Y1365">
        <v>0</v>
      </c>
      <c r="Z1365">
        <v>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5</v>
      </c>
      <c r="AK1365">
        <v>0</v>
      </c>
      <c r="AL1365">
        <v>8</v>
      </c>
      <c r="AM1365">
        <v>6</v>
      </c>
      <c r="AN1365">
        <v>49</v>
      </c>
      <c r="AO1365">
        <v>5</v>
      </c>
      <c r="AP1365">
        <v>9</v>
      </c>
      <c r="AQ1365">
        <v>0</v>
      </c>
      <c r="AR1365" t="s">
        <v>11012</v>
      </c>
      <c r="AS1365" t="s">
        <v>193</v>
      </c>
      <c r="AT1365">
        <v>0.622</v>
      </c>
      <c r="AU1365" t="s">
        <v>65</v>
      </c>
      <c r="AV1365">
        <v>58</v>
      </c>
      <c r="AW1365">
        <v>5</v>
      </c>
      <c r="AX1365" t="s">
        <v>11013</v>
      </c>
      <c r="AY1365">
        <v>6.9919999999999996E-2</v>
      </c>
      <c r="AZ1365">
        <v>-1.073E-2</v>
      </c>
      <c r="BA1365">
        <v>1.3699999999999999E-3</v>
      </c>
      <c r="BB1365">
        <v>-1.2999999999999999E-4</v>
      </c>
      <c r="BC1365">
        <v>1.9570000000000001E-2</v>
      </c>
      <c r="BD1365">
        <v>1</v>
      </c>
      <c r="BE1365" t="s">
        <v>69</v>
      </c>
      <c r="BF1365">
        <v>-1.8540000000000001</v>
      </c>
      <c r="BG1365">
        <v>-4.1929999999999996</v>
      </c>
    </row>
    <row r="1366" spans="1:59">
      <c r="A1366">
        <v>0</v>
      </c>
      <c r="B1366">
        <v>0</v>
      </c>
      <c r="C1366">
        <v>0</v>
      </c>
      <c r="D1366" t="s">
        <v>25022</v>
      </c>
      <c r="E1366">
        <v>827</v>
      </c>
      <c r="F1366" t="s">
        <v>5153</v>
      </c>
      <c r="G1366" t="s">
        <v>57</v>
      </c>
      <c r="H1366">
        <v>866331</v>
      </c>
      <c r="I1366">
        <v>867122</v>
      </c>
      <c r="J1366" t="s">
        <v>288</v>
      </c>
      <c r="K1366">
        <v>264</v>
      </c>
      <c r="L1366" t="s">
        <v>108</v>
      </c>
      <c r="M1366">
        <v>44</v>
      </c>
      <c r="N1366" t="str">
        <f>HYPERLINK("Gene827-zp_tree_all.dnd", "Gene827-tree")</f>
        <v>Gene827-tree</v>
      </c>
      <c r="O1366">
        <v>30</v>
      </c>
      <c r="P1366">
        <v>3</v>
      </c>
      <c r="Q1366">
        <v>13</v>
      </c>
      <c r="R1366">
        <v>3</v>
      </c>
      <c r="S1366">
        <v>0.1875</v>
      </c>
      <c r="T1366" t="s">
        <v>2704</v>
      </c>
      <c r="U1366" t="s">
        <v>324</v>
      </c>
      <c r="V1366" t="s">
        <v>62</v>
      </c>
      <c r="W1366" t="s">
        <v>62</v>
      </c>
      <c r="X1366">
        <v>0</v>
      </c>
      <c r="Y1366">
        <v>0</v>
      </c>
      <c r="Z1366">
        <v>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3</v>
      </c>
      <c r="AK1366">
        <v>0</v>
      </c>
      <c r="AL1366">
        <v>16</v>
      </c>
      <c r="AM1366">
        <v>8</v>
      </c>
      <c r="AN1366">
        <v>32</v>
      </c>
      <c r="AO1366">
        <v>3</v>
      </c>
      <c r="AP1366">
        <v>18</v>
      </c>
      <c r="AQ1366">
        <v>0</v>
      </c>
      <c r="AR1366" t="s">
        <v>5154</v>
      </c>
      <c r="AS1366" t="s">
        <v>193</v>
      </c>
      <c r="AT1366">
        <v>0.86</v>
      </c>
      <c r="AU1366" t="s">
        <v>65</v>
      </c>
      <c r="AV1366">
        <v>50</v>
      </c>
      <c r="AW1366">
        <v>3</v>
      </c>
      <c r="AX1366" t="s">
        <v>5155</v>
      </c>
      <c r="AY1366">
        <v>0.04</v>
      </c>
      <c r="AZ1366">
        <v>-1.4E-3</v>
      </c>
      <c r="BA1366">
        <v>7.7999999999999999E-4</v>
      </c>
      <c r="BB1366">
        <v>-9.0000000000000006E-5</v>
      </c>
      <c r="BC1366">
        <v>1.9429999999999999E-2</v>
      </c>
      <c r="BD1366">
        <v>1</v>
      </c>
      <c r="BE1366" t="s">
        <v>69</v>
      </c>
      <c r="BF1366">
        <v>0.11899999999999999</v>
      </c>
      <c r="BG1366">
        <v>-1.738</v>
      </c>
    </row>
    <row r="1367" spans="1:59">
      <c r="A1367">
        <v>0</v>
      </c>
      <c r="B1367">
        <v>0</v>
      </c>
      <c r="C1367">
        <v>0</v>
      </c>
      <c r="D1367" t="s">
        <v>25022</v>
      </c>
      <c r="E1367">
        <v>4183</v>
      </c>
      <c r="F1367" t="s">
        <v>24624</v>
      </c>
      <c r="G1367" t="s">
        <v>62</v>
      </c>
      <c r="H1367">
        <v>4148854</v>
      </c>
      <c r="I1367">
        <v>4149645</v>
      </c>
      <c r="J1367" t="s">
        <v>2512</v>
      </c>
      <c r="K1367">
        <v>264</v>
      </c>
      <c r="L1367" t="s">
        <v>465</v>
      </c>
      <c r="M1367">
        <v>46</v>
      </c>
      <c r="N1367" t="str">
        <f>HYPERLINK("Gene4183-zp_tree_all.dnd", "Gene4183-tree")</f>
        <v>Gene4183-tree</v>
      </c>
      <c r="O1367">
        <v>12</v>
      </c>
      <c r="P1367">
        <v>21</v>
      </c>
      <c r="Q1367">
        <v>12</v>
      </c>
      <c r="R1367">
        <v>3</v>
      </c>
      <c r="S1367">
        <v>0.2</v>
      </c>
      <c r="T1367" t="s">
        <v>109</v>
      </c>
      <c r="U1367" t="s">
        <v>24625</v>
      </c>
      <c r="V1367">
        <v>6.7370000000000001</v>
      </c>
      <c r="W1367" t="s">
        <v>65</v>
      </c>
      <c r="X1367">
        <v>0</v>
      </c>
      <c r="Y1367">
        <v>0</v>
      </c>
      <c r="Z1367">
        <v>6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4</v>
      </c>
      <c r="AK1367">
        <v>0</v>
      </c>
      <c r="AL1367">
        <v>13</v>
      </c>
      <c r="AM1367">
        <v>11</v>
      </c>
      <c r="AN1367">
        <v>41</v>
      </c>
      <c r="AO1367">
        <v>4</v>
      </c>
      <c r="AP1367">
        <v>55</v>
      </c>
      <c r="AQ1367">
        <v>2</v>
      </c>
      <c r="AR1367" t="s">
        <v>24626</v>
      </c>
      <c r="AS1367" t="s">
        <v>24627</v>
      </c>
      <c r="AT1367">
        <v>0.45600000000000002</v>
      </c>
      <c r="AU1367" t="s">
        <v>65</v>
      </c>
      <c r="AV1367">
        <v>96</v>
      </c>
      <c r="AW1367">
        <v>6</v>
      </c>
      <c r="AX1367" t="s">
        <v>24628</v>
      </c>
      <c r="AY1367">
        <v>0.11423999999999999</v>
      </c>
      <c r="AZ1367">
        <v>-8.2799999999999992E-3</v>
      </c>
      <c r="BA1367">
        <v>1.67E-3</v>
      </c>
      <c r="BB1367">
        <v>-1.2999999999999999E-4</v>
      </c>
      <c r="BC1367">
        <v>1.4579999999999999E-2</v>
      </c>
      <c r="BD1367">
        <v>1</v>
      </c>
      <c r="BE1367" t="s">
        <v>69</v>
      </c>
      <c r="BF1367">
        <v>-0.68100000000000005</v>
      </c>
      <c r="BG1367">
        <v>0.48699999999999999</v>
      </c>
    </row>
    <row r="1368" spans="1:59">
      <c r="A1368">
        <v>0</v>
      </c>
      <c r="B1368">
        <v>0</v>
      </c>
      <c r="C1368">
        <v>0</v>
      </c>
      <c r="D1368" t="s">
        <v>25022</v>
      </c>
      <c r="E1368">
        <v>4091</v>
      </c>
      <c r="F1368" t="s">
        <v>24087</v>
      </c>
      <c r="G1368" t="s">
        <v>62</v>
      </c>
      <c r="H1368">
        <v>4059491</v>
      </c>
      <c r="I1368">
        <v>4060282</v>
      </c>
      <c r="J1368" t="s">
        <v>5930</v>
      </c>
      <c r="K1368">
        <v>264</v>
      </c>
      <c r="L1368" t="s">
        <v>108</v>
      </c>
      <c r="M1368">
        <v>44</v>
      </c>
      <c r="N1368" t="str">
        <f>HYPERLINK("Gene4091-zp_tree_all.dnd", "Gene4091-tree")</f>
        <v>Gene4091-tree</v>
      </c>
      <c r="O1368">
        <v>12</v>
      </c>
      <c r="P1368">
        <v>2</v>
      </c>
      <c r="Q1368">
        <v>12</v>
      </c>
      <c r="R1368">
        <v>2</v>
      </c>
      <c r="S1368">
        <v>0.14285999999999999</v>
      </c>
      <c r="T1368" t="s">
        <v>109</v>
      </c>
      <c r="U1368" t="s">
        <v>81</v>
      </c>
      <c r="V1368" t="s">
        <v>62</v>
      </c>
      <c r="W1368" t="s">
        <v>62</v>
      </c>
      <c r="X1368">
        <v>0</v>
      </c>
      <c r="Y1368">
        <v>0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</v>
      </c>
      <c r="AK1368">
        <v>0</v>
      </c>
      <c r="AL1368">
        <v>11</v>
      </c>
      <c r="AM1368">
        <v>9</v>
      </c>
      <c r="AN1368">
        <v>33</v>
      </c>
      <c r="AO1368">
        <v>2</v>
      </c>
      <c r="AP1368">
        <v>29</v>
      </c>
      <c r="AQ1368">
        <v>1</v>
      </c>
      <c r="AR1368" t="s">
        <v>24088</v>
      </c>
      <c r="AS1368" t="s">
        <v>24089</v>
      </c>
      <c r="AT1368">
        <v>0.17799999999999999</v>
      </c>
      <c r="AU1368" t="s">
        <v>65</v>
      </c>
      <c r="AV1368">
        <v>62</v>
      </c>
      <c r="AW1368">
        <v>3</v>
      </c>
      <c r="AX1368" t="s">
        <v>24090</v>
      </c>
      <c r="AY1368">
        <v>6.8959999999999994E-2</v>
      </c>
      <c r="AZ1368">
        <v>-3.7100000000000002E-3</v>
      </c>
      <c r="BA1368">
        <v>8.9999999999999998E-4</v>
      </c>
      <c r="BB1368">
        <v>-1.2999999999999999E-4</v>
      </c>
      <c r="BC1368">
        <v>1.298E-2</v>
      </c>
      <c r="BD1368">
        <v>1</v>
      </c>
      <c r="BE1368" t="s">
        <v>69</v>
      </c>
      <c r="BF1368">
        <v>-1.0029999999999999</v>
      </c>
      <c r="BG1368">
        <v>-1.8839999999999999</v>
      </c>
    </row>
    <row r="1369" spans="1:59">
      <c r="A1369">
        <v>0</v>
      </c>
      <c r="B1369">
        <v>9</v>
      </c>
      <c r="C1369">
        <v>0</v>
      </c>
      <c r="D1369" t="s">
        <v>25022</v>
      </c>
      <c r="E1369">
        <v>148</v>
      </c>
      <c r="F1369" t="s">
        <v>1046</v>
      </c>
      <c r="G1369" t="s">
        <v>57</v>
      </c>
      <c r="H1369">
        <v>152130</v>
      </c>
      <c r="I1369">
        <v>152924</v>
      </c>
      <c r="J1369" t="s">
        <v>1047</v>
      </c>
      <c r="K1369">
        <v>265</v>
      </c>
      <c r="L1369" t="s">
        <v>108</v>
      </c>
      <c r="M1369">
        <v>44</v>
      </c>
      <c r="N1369" t="str">
        <f>HYPERLINK("Gene148-zp_tree_all.dnd", "Gene148-tree")</f>
        <v>Gene148-tree</v>
      </c>
      <c r="O1369">
        <v>27</v>
      </c>
      <c r="P1369">
        <v>8</v>
      </c>
      <c r="Q1369">
        <v>8</v>
      </c>
      <c r="R1369">
        <v>8</v>
      </c>
      <c r="S1369">
        <v>0.5</v>
      </c>
      <c r="T1369" t="s">
        <v>282</v>
      </c>
      <c r="U1369" t="s">
        <v>136</v>
      </c>
      <c r="V1369" t="s">
        <v>62</v>
      </c>
      <c r="W1369" t="s">
        <v>62</v>
      </c>
      <c r="X1369">
        <v>3</v>
      </c>
      <c r="Y1369">
        <v>9</v>
      </c>
      <c r="Z1369">
        <v>9</v>
      </c>
      <c r="AA1369">
        <v>0.5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5</v>
      </c>
      <c r="AH1369">
        <v>0</v>
      </c>
      <c r="AI1369">
        <v>5</v>
      </c>
      <c r="AJ1369">
        <v>10</v>
      </c>
      <c r="AK1369">
        <v>0.33333000000000002</v>
      </c>
      <c r="AL1369">
        <v>13</v>
      </c>
      <c r="AM1369">
        <v>8</v>
      </c>
      <c r="AN1369">
        <v>21</v>
      </c>
      <c r="AO1369">
        <v>16</v>
      </c>
      <c r="AP1369">
        <v>10</v>
      </c>
      <c r="AQ1369">
        <v>3</v>
      </c>
      <c r="AR1369" t="s">
        <v>1048</v>
      </c>
      <c r="AS1369" t="s">
        <v>1049</v>
      </c>
      <c r="AT1369">
        <v>0.81599999999999995</v>
      </c>
      <c r="AU1369" t="s">
        <v>65</v>
      </c>
      <c r="AV1369">
        <v>31</v>
      </c>
      <c r="AW1369">
        <v>19</v>
      </c>
      <c r="AX1369" t="s">
        <v>1050</v>
      </c>
      <c r="AY1369">
        <v>2.962E-2</v>
      </c>
      <c r="AZ1369">
        <v>-1.07E-3</v>
      </c>
      <c r="BA1369">
        <v>4.0099999999999997E-3</v>
      </c>
      <c r="BB1369">
        <v>-3.2000000000000003E-4</v>
      </c>
      <c r="BC1369">
        <v>0.13535</v>
      </c>
      <c r="BD1369">
        <v>1</v>
      </c>
      <c r="BE1369" t="s">
        <v>69</v>
      </c>
      <c r="BF1369">
        <v>-1.2849999999999999</v>
      </c>
      <c r="BG1369">
        <v>-2.85</v>
      </c>
    </row>
    <row r="1370" spans="1:59">
      <c r="A1370">
        <v>0</v>
      </c>
      <c r="B1370">
        <v>6</v>
      </c>
      <c r="C1370">
        <v>0</v>
      </c>
      <c r="D1370" t="s">
        <v>25022</v>
      </c>
      <c r="E1370">
        <v>1527</v>
      </c>
      <c r="F1370" t="s">
        <v>9543</v>
      </c>
      <c r="G1370" t="s">
        <v>57</v>
      </c>
      <c r="H1370">
        <v>1537441</v>
      </c>
      <c r="I1370">
        <v>1538235</v>
      </c>
      <c r="J1370" t="s">
        <v>9544</v>
      </c>
      <c r="K1370">
        <v>265</v>
      </c>
      <c r="L1370" t="s">
        <v>108</v>
      </c>
      <c r="M1370">
        <v>44</v>
      </c>
      <c r="N1370" t="str">
        <f>HYPERLINK("Gene1527-zp_tree_all.dnd", "Gene1527-tree")</f>
        <v>Gene1527-tree</v>
      </c>
      <c r="O1370">
        <v>9</v>
      </c>
      <c r="P1370">
        <v>4</v>
      </c>
      <c r="Q1370">
        <v>9</v>
      </c>
      <c r="R1370">
        <v>4</v>
      </c>
      <c r="S1370">
        <v>0.30769000000000002</v>
      </c>
      <c r="T1370" t="s">
        <v>135</v>
      </c>
      <c r="U1370" t="s">
        <v>61</v>
      </c>
      <c r="V1370" t="s">
        <v>62</v>
      </c>
      <c r="W1370" t="s">
        <v>62</v>
      </c>
      <c r="X1370">
        <v>3</v>
      </c>
      <c r="Y1370">
        <v>6</v>
      </c>
      <c r="Z1370">
        <v>2</v>
      </c>
      <c r="AA1370">
        <v>0.75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5</v>
      </c>
      <c r="AK1370">
        <v>0</v>
      </c>
      <c r="AL1370">
        <v>9</v>
      </c>
      <c r="AM1370">
        <v>9</v>
      </c>
      <c r="AN1370">
        <v>20</v>
      </c>
      <c r="AO1370">
        <v>4</v>
      </c>
      <c r="AP1370">
        <v>15</v>
      </c>
      <c r="AQ1370">
        <v>4</v>
      </c>
      <c r="AR1370" t="s">
        <v>9545</v>
      </c>
      <c r="AS1370" t="s">
        <v>9546</v>
      </c>
      <c r="AT1370">
        <v>0.218</v>
      </c>
      <c r="AU1370" t="s">
        <v>65</v>
      </c>
      <c r="AV1370">
        <v>35</v>
      </c>
      <c r="AW1370">
        <v>8</v>
      </c>
      <c r="AX1370" t="s">
        <v>9547</v>
      </c>
      <c r="AY1370">
        <v>3.7539999999999997E-2</v>
      </c>
      <c r="AZ1370">
        <v>-1.64E-3</v>
      </c>
      <c r="BA1370">
        <v>3.13E-3</v>
      </c>
      <c r="BB1370">
        <v>-2.5999999999999998E-4</v>
      </c>
      <c r="BC1370">
        <v>8.3460000000000006E-2</v>
      </c>
      <c r="BD1370">
        <v>1</v>
      </c>
      <c r="BE1370" t="s">
        <v>69</v>
      </c>
      <c r="BF1370">
        <v>0.11700000000000001</v>
      </c>
      <c r="BG1370">
        <v>-1.196</v>
      </c>
    </row>
    <row r="1371" spans="1:59">
      <c r="A1371">
        <v>0</v>
      </c>
      <c r="B1371">
        <v>8</v>
      </c>
      <c r="C1371">
        <v>0</v>
      </c>
      <c r="D1371" t="s">
        <v>25022</v>
      </c>
      <c r="E1371">
        <v>1303</v>
      </c>
      <c r="F1371" t="s">
        <v>8180</v>
      </c>
      <c r="G1371" t="s">
        <v>57</v>
      </c>
      <c r="H1371">
        <v>1325096</v>
      </c>
      <c r="I1371">
        <v>1325890</v>
      </c>
      <c r="J1371" t="s">
        <v>8181</v>
      </c>
      <c r="K1371">
        <v>265</v>
      </c>
      <c r="L1371" t="s">
        <v>1305</v>
      </c>
      <c r="M1371">
        <v>43</v>
      </c>
      <c r="N1371" t="str">
        <f>HYPERLINK("Gene1303-zp_tree_all.dnd", "Gene1303-tree")</f>
        <v>Gene1303-tree</v>
      </c>
      <c r="O1371">
        <v>5</v>
      </c>
      <c r="P1371">
        <v>7</v>
      </c>
      <c r="Q1371">
        <v>5</v>
      </c>
      <c r="R1371">
        <v>7</v>
      </c>
      <c r="S1371">
        <v>0.58333000000000002</v>
      </c>
      <c r="T1371" t="s">
        <v>199</v>
      </c>
      <c r="U1371" t="s">
        <v>152</v>
      </c>
      <c r="V1371" t="s">
        <v>62</v>
      </c>
      <c r="W1371" t="s">
        <v>62</v>
      </c>
      <c r="X1371">
        <v>3</v>
      </c>
      <c r="Y1371">
        <v>8</v>
      </c>
      <c r="Z1371">
        <v>5</v>
      </c>
      <c r="AA1371">
        <v>0.61538000000000004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</v>
      </c>
      <c r="AH1371">
        <v>0</v>
      </c>
      <c r="AI1371">
        <v>2</v>
      </c>
      <c r="AJ1371">
        <v>6</v>
      </c>
      <c r="AK1371">
        <v>0.25</v>
      </c>
      <c r="AL1371">
        <v>10</v>
      </c>
      <c r="AM1371">
        <v>8</v>
      </c>
      <c r="AN1371">
        <v>28</v>
      </c>
      <c r="AO1371">
        <v>8</v>
      </c>
      <c r="AP1371">
        <v>19</v>
      </c>
      <c r="AQ1371">
        <v>5</v>
      </c>
      <c r="AR1371" t="s">
        <v>8182</v>
      </c>
      <c r="AS1371" t="s">
        <v>8183</v>
      </c>
      <c r="AT1371">
        <v>9.7000000000000003E-2</v>
      </c>
      <c r="AU1371" t="s">
        <v>65</v>
      </c>
      <c r="AV1371">
        <v>47</v>
      </c>
      <c r="AW1371">
        <v>13</v>
      </c>
      <c r="AX1371" t="s">
        <v>8184</v>
      </c>
      <c r="AY1371">
        <v>6.6790000000000002E-2</v>
      </c>
      <c r="AZ1371">
        <v>-3.15E-3</v>
      </c>
      <c r="BA1371">
        <v>4.0099999999999997E-3</v>
      </c>
      <c r="BB1371">
        <v>-2.4000000000000001E-4</v>
      </c>
      <c r="BC1371">
        <v>6.0089999999999998E-2</v>
      </c>
      <c r="BD1371">
        <v>1</v>
      </c>
      <c r="BE1371" t="s">
        <v>69</v>
      </c>
      <c r="BF1371">
        <v>-0.71399999999999997</v>
      </c>
      <c r="BG1371">
        <v>-1.1539999999999999</v>
      </c>
    </row>
    <row r="1372" spans="1:59">
      <c r="A1372">
        <v>0</v>
      </c>
      <c r="B1372">
        <v>2</v>
      </c>
      <c r="C1372">
        <v>0</v>
      </c>
      <c r="D1372" t="s">
        <v>25022</v>
      </c>
      <c r="E1372">
        <v>2832</v>
      </c>
      <c r="F1372" t="s">
        <v>16262</v>
      </c>
      <c r="G1372" t="s">
        <v>62</v>
      </c>
      <c r="H1372">
        <v>2779465</v>
      </c>
      <c r="I1372">
        <v>2780262</v>
      </c>
      <c r="J1372" t="s">
        <v>16263</v>
      </c>
      <c r="K1372">
        <v>266</v>
      </c>
      <c r="L1372" t="s">
        <v>108</v>
      </c>
      <c r="M1372">
        <v>44</v>
      </c>
      <c r="N1372" t="str">
        <f>HYPERLINK("Gene2832-zp_tree_all.dnd", "Gene2832-tree")</f>
        <v>Gene2832-tree</v>
      </c>
      <c r="O1372">
        <v>6</v>
      </c>
      <c r="P1372">
        <v>6</v>
      </c>
      <c r="Q1372">
        <v>6</v>
      </c>
      <c r="R1372">
        <v>6</v>
      </c>
      <c r="S1372">
        <v>0.5</v>
      </c>
      <c r="T1372" t="s">
        <v>90</v>
      </c>
      <c r="U1372" t="s">
        <v>90</v>
      </c>
      <c r="V1372" t="s">
        <v>62</v>
      </c>
      <c r="W1372" t="s">
        <v>62</v>
      </c>
      <c r="X1372">
        <v>1</v>
      </c>
      <c r="Y1372">
        <v>2</v>
      </c>
      <c r="Z1372">
        <v>8</v>
      </c>
      <c r="AA1372">
        <v>0.2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</v>
      </c>
      <c r="AH1372">
        <v>0</v>
      </c>
      <c r="AI1372">
        <v>2</v>
      </c>
      <c r="AJ1372">
        <v>8</v>
      </c>
      <c r="AK1372">
        <v>0.2</v>
      </c>
      <c r="AL1372">
        <v>10</v>
      </c>
      <c r="AM1372">
        <v>6</v>
      </c>
      <c r="AN1372">
        <v>25</v>
      </c>
      <c r="AO1372">
        <v>11</v>
      </c>
      <c r="AP1372">
        <v>9</v>
      </c>
      <c r="AQ1372">
        <v>0</v>
      </c>
      <c r="AR1372" t="s">
        <v>16264</v>
      </c>
      <c r="AS1372" t="s">
        <v>193</v>
      </c>
      <c r="AT1372">
        <v>2.0219999999999998</v>
      </c>
      <c r="AU1372" t="s">
        <v>267</v>
      </c>
      <c r="AV1372">
        <v>34</v>
      </c>
      <c r="AW1372">
        <v>11</v>
      </c>
      <c r="AX1372" t="s">
        <v>16265</v>
      </c>
      <c r="AY1372">
        <v>3.3169999999999998E-2</v>
      </c>
      <c r="AZ1372">
        <v>-1.8699999999999999E-3</v>
      </c>
      <c r="BA1372">
        <v>2.98E-3</v>
      </c>
      <c r="BB1372">
        <v>-3.1E-4</v>
      </c>
      <c r="BC1372">
        <v>8.9840000000000003E-2</v>
      </c>
      <c r="BD1372">
        <v>1</v>
      </c>
      <c r="BE1372" t="s">
        <v>69</v>
      </c>
      <c r="BF1372">
        <v>-1.399</v>
      </c>
      <c r="BG1372">
        <v>-2.87</v>
      </c>
    </row>
    <row r="1373" spans="1:59">
      <c r="A1373">
        <v>0</v>
      </c>
      <c r="B1373">
        <v>9</v>
      </c>
      <c r="C1373">
        <v>0</v>
      </c>
      <c r="D1373" t="s">
        <v>25022</v>
      </c>
      <c r="E1373">
        <v>1298</v>
      </c>
      <c r="F1373" t="s">
        <v>8147</v>
      </c>
      <c r="G1373" t="s">
        <v>57</v>
      </c>
      <c r="H1373">
        <v>1322750</v>
      </c>
      <c r="I1373">
        <v>1323547</v>
      </c>
      <c r="J1373" t="s">
        <v>8148</v>
      </c>
      <c r="K1373">
        <v>266</v>
      </c>
      <c r="L1373" t="s">
        <v>1305</v>
      </c>
      <c r="M1373">
        <v>43</v>
      </c>
      <c r="N1373" t="str">
        <f>HYPERLINK("Gene1298-zp_tree_all.dnd", "Gene1298-tree")</f>
        <v>Gene1298-tree</v>
      </c>
      <c r="O1373">
        <v>7</v>
      </c>
      <c r="P1373">
        <v>25</v>
      </c>
      <c r="Q1373">
        <v>7</v>
      </c>
      <c r="R1373">
        <v>6</v>
      </c>
      <c r="S1373">
        <v>0.46154000000000001</v>
      </c>
      <c r="T1373" t="s">
        <v>152</v>
      </c>
      <c r="U1373" t="s">
        <v>965</v>
      </c>
      <c r="V1373">
        <v>4.1539999999999999</v>
      </c>
      <c r="W1373" t="s">
        <v>65</v>
      </c>
      <c r="X1373">
        <v>3</v>
      </c>
      <c r="Y1373">
        <v>9</v>
      </c>
      <c r="Z1373">
        <v>4</v>
      </c>
      <c r="AA1373">
        <v>0.69230999999999998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8</v>
      </c>
      <c r="AH1373">
        <v>0</v>
      </c>
      <c r="AI1373">
        <v>8</v>
      </c>
      <c r="AJ1373">
        <v>1</v>
      </c>
      <c r="AK1373">
        <v>0.88888999999999996</v>
      </c>
      <c r="AL1373">
        <v>11</v>
      </c>
      <c r="AM1373">
        <v>8</v>
      </c>
      <c r="AN1373">
        <v>20</v>
      </c>
      <c r="AO1373">
        <v>6</v>
      </c>
      <c r="AP1373">
        <v>17</v>
      </c>
      <c r="AQ1373">
        <v>7</v>
      </c>
      <c r="AR1373" t="s">
        <v>8149</v>
      </c>
      <c r="AS1373" t="s">
        <v>8150</v>
      </c>
      <c r="AT1373">
        <v>0.25600000000000001</v>
      </c>
      <c r="AU1373" t="s">
        <v>65</v>
      </c>
      <c r="AV1373">
        <v>37</v>
      </c>
      <c r="AW1373">
        <v>13</v>
      </c>
      <c r="AX1373" t="s">
        <v>8151</v>
      </c>
      <c r="AY1373">
        <v>4.7919999999999997E-2</v>
      </c>
      <c r="AZ1373">
        <v>-2.4299999999999999E-3</v>
      </c>
      <c r="BA1373">
        <v>3.8400000000000001E-3</v>
      </c>
      <c r="BB1373">
        <v>-2.5000000000000001E-4</v>
      </c>
      <c r="BC1373">
        <v>8.0100000000000005E-2</v>
      </c>
      <c r="BD1373">
        <v>1</v>
      </c>
      <c r="BE1373" t="s">
        <v>69</v>
      </c>
      <c r="BF1373">
        <v>-0.57999999999999996</v>
      </c>
      <c r="BG1373">
        <v>-1.5389999999999999</v>
      </c>
    </row>
    <row r="1374" spans="1:59">
      <c r="A1374">
        <v>0</v>
      </c>
      <c r="B1374">
        <v>0</v>
      </c>
      <c r="C1374">
        <v>0</v>
      </c>
      <c r="D1374" t="s">
        <v>25022</v>
      </c>
      <c r="E1374">
        <v>1199</v>
      </c>
      <c r="F1374" t="s">
        <v>7543</v>
      </c>
      <c r="G1374" t="s">
        <v>57</v>
      </c>
      <c r="H1374">
        <v>1237660</v>
      </c>
      <c r="I1374">
        <v>1238457</v>
      </c>
      <c r="J1374" t="s">
        <v>7544</v>
      </c>
      <c r="K1374">
        <v>266</v>
      </c>
      <c r="L1374" t="s">
        <v>99</v>
      </c>
      <c r="M1374">
        <v>47</v>
      </c>
      <c r="N1374" t="str">
        <f>HYPERLINK("Gene1199-zp_tree_all.dnd", "Gene1199-tree")</f>
        <v>Gene1199-tree</v>
      </c>
      <c r="O1374">
        <v>30</v>
      </c>
      <c r="P1374">
        <v>1</v>
      </c>
      <c r="Q1374">
        <v>11</v>
      </c>
      <c r="R1374">
        <v>1</v>
      </c>
      <c r="S1374">
        <v>8.3330000000000001E-2</v>
      </c>
      <c r="T1374" t="s">
        <v>89</v>
      </c>
      <c r="U1374" t="s">
        <v>175</v>
      </c>
      <c r="V1374" t="s">
        <v>62</v>
      </c>
      <c r="W1374" t="s">
        <v>62</v>
      </c>
      <c r="X1374">
        <v>0</v>
      </c>
      <c r="Y1374">
        <v>0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11</v>
      </c>
      <c r="AM1374">
        <v>4</v>
      </c>
      <c r="AN1374">
        <v>36</v>
      </c>
      <c r="AO1374">
        <v>1</v>
      </c>
      <c r="AP1374">
        <v>29</v>
      </c>
      <c r="AQ1374">
        <v>1</v>
      </c>
      <c r="AR1374" t="s">
        <v>7545</v>
      </c>
      <c r="AS1374" t="s">
        <v>7546</v>
      </c>
      <c r="AT1374">
        <v>0.04</v>
      </c>
      <c r="AU1374" t="s">
        <v>65</v>
      </c>
      <c r="AV1374">
        <v>65</v>
      </c>
      <c r="AW1374">
        <v>2</v>
      </c>
      <c r="AX1374" t="s">
        <v>7547</v>
      </c>
      <c r="AY1374">
        <v>8.7569999999999995E-2</v>
      </c>
      <c r="AZ1374">
        <v>-1.1860000000000001E-2</v>
      </c>
      <c r="BA1374">
        <v>7.6999999999999996E-4</v>
      </c>
      <c r="BB1374">
        <v>-1.1E-4</v>
      </c>
      <c r="BC1374">
        <v>8.7600000000000004E-3</v>
      </c>
      <c r="BD1374">
        <v>1</v>
      </c>
      <c r="BE1374" t="s">
        <v>69</v>
      </c>
      <c r="BF1374">
        <v>-1.7829999999999999</v>
      </c>
      <c r="BG1374">
        <v>-5.0999999999999997E-2</v>
      </c>
    </row>
    <row r="1375" spans="1:59">
      <c r="A1375">
        <v>0</v>
      </c>
      <c r="B1375">
        <v>5</v>
      </c>
      <c r="C1375">
        <v>2</v>
      </c>
      <c r="D1375" t="s">
        <v>25022</v>
      </c>
      <c r="E1375">
        <v>2357</v>
      </c>
      <c r="F1375" t="s">
        <v>13692</v>
      </c>
      <c r="G1375" t="s">
        <v>62</v>
      </c>
      <c r="H1375">
        <v>2371511</v>
      </c>
      <c r="I1375">
        <v>2372311</v>
      </c>
      <c r="J1375" t="s">
        <v>13693</v>
      </c>
      <c r="K1375">
        <v>267</v>
      </c>
      <c r="L1375" t="s">
        <v>13694</v>
      </c>
      <c r="M1375">
        <v>40</v>
      </c>
      <c r="N1375" t="str">
        <f>HYPERLINK("Gene2357-zp_tree_all.dnd", "Gene2357-tree")</f>
        <v>Gene2357-tree</v>
      </c>
      <c r="O1375">
        <v>7</v>
      </c>
      <c r="P1375">
        <v>7</v>
      </c>
      <c r="Q1375">
        <v>7</v>
      </c>
      <c r="R1375">
        <v>7</v>
      </c>
      <c r="S1375">
        <v>0.5</v>
      </c>
      <c r="T1375" t="s">
        <v>152</v>
      </c>
      <c r="U1375" t="s">
        <v>152</v>
      </c>
      <c r="V1375" t="s">
        <v>62</v>
      </c>
      <c r="W1375" t="s">
        <v>62</v>
      </c>
      <c r="X1375">
        <v>3</v>
      </c>
      <c r="Y1375">
        <v>7</v>
      </c>
      <c r="Z1375">
        <v>16</v>
      </c>
      <c r="AA1375">
        <v>0.30435000000000001</v>
      </c>
      <c r="AB1375">
        <v>0</v>
      </c>
      <c r="AC1375">
        <v>0</v>
      </c>
      <c r="AD1375">
        <v>0</v>
      </c>
      <c r="AE1375">
        <v>2</v>
      </c>
      <c r="AF1375">
        <v>0</v>
      </c>
      <c r="AG1375">
        <v>2</v>
      </c>
      <c r="AH1375">
        <v>0</v>
      </c>
      <c r="AI1375">
        <v>2</v>
      </c>
      <c r="AJ1375">
        <v>15</v>
      </c>
      <c r="AK1375">
        <v>0.11765</v>
      </c>
      <c r="AL1375">
        <v>12</v>
      </c>
      <c r="AM1375">
        <v>9</v>
      </c>
      <c r="AN1375">
        <v>34</v>
      </c>
      <c r="AO1375">
        <v>18</v>
      </c>
      <c r="AP1375">
        <v>19</v>
      </c>
      <c r="AQ1375">
        <v>7</v>
      </c>
      <c r="AR1375" t="s">
        <v>13695</v>
      </c>
      <c r="AS1375" t="s">
        <v>13696</v>
      </c>
      <c r="AT1375">
        <v>0.111</v>
      </c>
      <c r="AU1375" t="s">
        <v>65</v>
      </c>
      <c r="AV1375">
        <v>53</v>
      </c>
      <c r="AW1375">
        <v>25</v>
      </c>
      <c r="AX1375" t="s">
        <v>13697</v>
      </c>
      <c r="AY1375">
        <v>5.1630000000000002E-2</v>
      </c>
      <c r="AZ1375">
        <v>-4.5199999999999997E-3</v>
      </c>
      <c r="BA1375">
        <v>7.5399999999999998E-3</v>
      </c>
      <c r="BB1375">
        <v>-8.3000000000000001E-4</v>
      </c>
      <c r="BC1375">
        <v>0.14598</v>
      </c>
      <c r="BD1375">
        <v>1</v>
      </c>
      <c r="BE1375" t="s">
        <v>69</v>
      </c>
      <c r="BF1375">
        <v>-1.173</v>
      </c>
      <c r="BG1375">
        <v>-2.9740000000000002</v>
      </c>
    </row>
    <row r="1376" spans="1:59">
      <c r="A1376">
        <v>0</v>
      </c>
      <c r="B1376">
        <v>6</v>
      </c>
      <c r="C1376">
        <v>0</v>
      </c>
      <c r="D1376" t="s">
        <v>25022</v>
      </c>
      <c r="E1376">
        <v>672</v>
      </c>
      <c r="F1376" t="s">
        <v>4190</v>
      </c>
      <c r="G1376" t="s">
        <v>57</v>
      </c>
      <c r="H1376">
        <v>696195</v>
      </c>
      <c r="I1376">
        <v>696995</v>
      </c>
      <c r="J1376" t="s">
        <v>3095</v>
      </c>
      <c r="K1376">
        <v>267</v>
      </c>
      <c r="L1376" t="s">
        <v>4013</v>
      </c>
      <c r="M1376">
        <v>43</v>
      </c>
      <c r="N1376" t="str">
        <f>HYPERLINK("Gene672-zp_tree_all.dnd", "Gene672-tree")</f>
        <v>Gene672-tree</v>
      </c>
      <c r="O1376">
        <v>8</v>
      </c>
      <c r="P1376">
        <v>8</v>
      </c>
      <c r="Q1376">
        <v>8</v>
      </c>
      <c r="R1376">
        <v>8</v>
      </c>
      <c r="S1376">
        <v>0.5</v>
      </c>
      <c r="T1376" t="s">
        <v>136</v>
      </c>
      <c r="U1376" t="s">
        <v>136</v>
      </c>
      <c r="V1376" t="s">
        <v>62</v>
      </c>
      <c r="W1376" t="s">
        <v>62</v>
      </c>
      <c r="X1376">
        <v>3</v>
      </c>
      <c r="Y1376">
        <v>6</v>
      </c>
      <c r="Z1376">
        <v>4</v>
      </c>
      <c r="AA1376">
        <v>0.6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6</v>
      </c>
      <c r="AH1376">
        <v>0</v>
      </c>
      <c r="AI1376">
        <v>6</v>
      </c>
      <c r="AJ1376">
        <v>4</v>
      </c>
      <c r="AK1376">
        <v>0.6</v>
      </c>
      <c r="AL1376">
        <v>14</v>
      </c>
      <c r="AM1376">
        <v>7</v>
      </c>
      <c r="AN1376">
        <v>21</v>
      </c>
      <c r="AO1376">
        <v>9</v>
      </c>
      <c r="AP1376">
        <v>7</v>
      </c>
      <c r="AQ1376">
        <v>1</v>
      </c>
      <c r="AR1376" t="s">
        <v>4191</v>
      </c>
      <c r="AS1376" t="s">
        <v>4192</v>
      </c>
      <c r="AT1376">
        <v>0.70799999999999996</v>
      </c>
      <c r="AU1376" t="s">
        <v>65</v>
      </c>
      <c r="AV1376">
        <v>28</v>
      </c>
      <c r="AW1376">
        <v>10</v>
      </c>
      <c r="AX1376" t="s">
        <v>4193</v>
      </c>
      <c r="AY1376">
        <v>2.435E-2</v>
      </c>
      <c r="AZ1376">
        <v>-9.5E-4</v>
      </c>
      <c r="BA1376">
        <v>2.14E-3</v>
      </c>
      <c r="BB1376">
        <v>-1.4999999999999999E-4</v>
      </c>
      <c r="BC1376">
        <v>8.7800000000000003E-2</v>
      </c>
      <c r="BD1376">
        <v>1</v>
      </c>
      <c r="BE1376" t="s">
        <v>69</v>
      </c>
      <c r="BF1376">
        <v>-0.64600000000000002</v>
      </c>
      <c r="BG1376">
        <v>-0.73599999999999999</v>
      </c>
    </row>
    <row r="1377" spans="1:59">
      <c r="A1377">
        <v>0</v>
      </c>
      <c r="B1377">
        <v>4</v>
      </c>
      <c r="C1377">
        <v>0</v>
      </c>
      <c r="D1377" t="s">
        <v>25022</v>
      </c>
      <c r="E1377">
        <v>2343</v>
      </c>
      <c r="F1377" t="s">
        <v>13601</v>
      </c>
      <c r="G1377" t="s">
        <v>62</v>
      </c>
      <c r="H1377">
        <v>2359343</v>
      </c>
      <c r="I1377">
        <v>2360143</v>
      </c>
      <c r="J1377" t="s">
        <v>13602</v>
      </c>
      <c r="K1377">
        <v>267</v>
      </c>
      <c r="L1377" t="s">
        <v>13568</v>
      </c>
      <c r="M1377">
        <v>40</v>
      </c>
      <c r="N1377" t="str">
        <f>HYPERLINK("Gene2343-zp_tree_all.dnd", "Gene2343-tree")</f>
        <v>Gene2343-tree</v>
      </c>
      <c r="O1377">
        <v>9</v>
      </c>
      <c r="P1377">
        <v>19</v>
      </c>
      <c r="Q1377">
        <v>9</v>
      </c>
      <c r="R1377">
        <v>6</v>
      </c>
      <c r="S1377">
        <v>0.4</v>
      </c>
      <c r="T1377" t="s">
        <v>135</v>
      </c>
      <c r="U1377" t="s">
        <v>13029</v>
      </c>
      <c r="V1377">
        <v>3.2240000000000002</v>
      </c>
      <c r="W1377" t="s">
        <v>65</v>
      </c>
      <c r="X1377">
        <v>1</v>
      </c>
      <c r="Y1377">
        <v>4</v>
      </c>
      <c r="Z1377">
        <v>4</v>
      </c>
      <c r="AA1377">
        <v>0.5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</v>
      </c>
      <c r="AH1377">
        <v>1</v>
      </c>
      <c r="AI1377">
        <v>3</v>
      </c>
      <c r="AJ1377">
        <v>3</v>
      </c>
      <c r="AK1377">
        <v>0.5</v>
      </c>
      <c r="AL1377">
        <v>12</v>
      </c>
      <c r="AM1377">
        <v>9</v>
      </c>
      <c r="AN1377">
        <v>21</v>
      </c>
      <c r="AO1377">
        <v>5</v>
      </c>
      <c r="AP1377">
        <v>13</v>
      </c>
      <c r="AQ1377">
        <v>3</v>
      </c>
      <c r="AR1377" t="s">
        <v>13603</v>
      </c>
      <c r="AS1377" t="s">
        <v>13604</v>
      </c>
      <c r="AT1377">
        <v>2.9000000000000001E-2</v>
      </c>
      <c r="AU1377" t="s">
        <v>65</v>
      </c>
      <c r="AV1377">
        <v>34</v>
      </c>
      <c r="AW1377">
        <v>8</v>
      </c>
      <c r="AX1377" t="s">
        <v>13605</v>
      </c>
      <c r="AY1377">
        <v>3.7089999999999998E-2</v>
      </c>
      <c r="AZ1377">
        <v>-1.5200000000000001E-3</v>
      </c>
      <c r="BA1377">
        <v>2E-3</v>
      </c>
      <c r="BB1377">
        <v>-1.3999999999999999E-4</v>
      </c>
      <c r="BC1377">
        <v>5.3940000000000002E-2</v>
      </c>
      <c r="BD1377">
        <v>1</v>
      </c>
      <c r="BE1377" t="s">
        <v>69</v>
      </c>
      <c r="BF1377">
        <v>-0.18099999999999999</v>
      </c>
      <c r="BG1377">
        <v>-2E-3</v>
      </c>
    </row>
    <row r="1378" spans="1:59">
      <c r="A1378">
        <v>0</v>
      </c>
      <c r="B1378">
        <v>0</v>
      </c>
      <c r="C1378">
        <v>0</v>
      </c>
      <c r="D1378" t="s">
        <v>25022</v>
      </c>
      <c r="E1378">
        <v>2524</v>
      </c>
      <c r="F1378" t="s">
        <v>14734</v>
      </c>
      <c r="G1378" t="s">
        <v>62</v>
      </c>
      <c r="H1378">
        <v>2518026</v>
      </c>
      <c r="I1378">
        <v>2518826</v>
      </c>
      <c r="J1378" t="s">
        <v>14735</v>
      </c>
      <c r="K1378">
        <v>267</v>
      </c>
      <c r="L1378" t="s">
        <v>572</v>
      </c>
      <c r="M1378">
        <v>48</v>
      </c>
      <c r="N1378" t="str">
        <f>HYPERLINK("Gene2524-zp_tree_all.dnd", "Gene2524-tree")</f>
        <v>Gene2524-tree</v>
      </c>
      <c r="O1378">
        <v>14</v>
      </c>
      <c r="P1378">
        <v>1</v>
      </c>
      <c r="Q1378">
        <v>14</v>
      </c>
      <c r="R1378">
        <v>1</v>
      </c>
      <c r="S1378">
        <v>6.6669999999999993E-2</v>
      </c>
      <c r="T1378" t="s">
        <v>543</v>
      </c>
      <c r="U1378" t="s">
        <v>175</v>
      </c>
      <c r="V1378" t="s">
        <v>62</v>
      </c>
      <c r="W1378" t="s">
        <v>62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15</v>
      </c>
      <c r="AM1378">
        <v>10</v>
      </c>
      <c r="AN1378">
        <v>52</v>
      </c>
      <c r="AO1378">
        <v>2</v>
      </c>
      <c r="AP1378">
        <v>40</v>
      </c>
      <c r="AQ1378">
        <v>2</v>
      </c>
      <c r="AR1378" t="s">
        <v>14736</v>
      </c>
      <c r="AS1378" t="s">
        <v>14737</v>
      </c>
      <c r="AT1378">
        <v>5.5E-2</v>
      </c>
      <c r="AU1378" t="s">
        <v>65</v>
      </c>
      <c r="AV1378">
        <v>92</v>
      </c>
      <c r="AW1378">
        <v>4</v>
      </c>
      <c r="AX1378" t="s">
        <v>14738</v>
      </c>
      <c r="AY1378">
        <v>0.11123</v>
      </c>
      <c r="AZ1378">
        <v>-6.8300000000000001E-3</v>
      </c>
      <c r="BA1378">
        <v>1.66E-3</v>
      </c>
      <c r="BB1378">
        <v>-1.6000000000000001E-4</v>
      </c>
      <c r="BC1378">
        <v>1.4959999999999999E-2</v>
      </c>
      <c r="BD1378">
        <v>1</v>
      </c>
      <c r="BE1378" t="s">
        <v>69</v>
      </c>
      <c r="BF1378">
        <v>-1.0029999999999999</v>
      </c>
      <c r="BG1378">
        <v>-1.919</v>
      </c>
    </row>
    <row r="1379" spans="1:59">
      <c r="A1379">
        <v>0</v>
      </c>
      <c r="B1379">
        <v>12</v>
      </c>
      <c r="C1379">
        <v>0</v>
      </c>
      <c r="D1379" t="s">
        <v>25022</v>
      </c>
      <c r="E1379">
        <v>1844</v>
      </c>
      <c r="F1379" t="s">
        <v>11554</v>
      </c>
      <c r="G1379" t="s">
        <v>57</v>
      </c>
      <c r="H1379">
        <v>1911528</v>
      </c>
      <c r="I1379">
        <v>1912331</v>
      </c>
      <c r="J1379" t="s">
        <v>288</v>
      </c>
      <c r="K1379">
        <v>268</v>
      </c>
      <c r="L1379" t="s">
        <v>108</v>
      </c>
      <c r="M1379">
        <v>44</v>
      </c>
      <c r="N1379" t="str">
        <f>HYPERLINK("Gene1844-zp_tree_all.dnd", "Gene1844-tree")</f>
        <v>Gene1844-tree</v>
      </c>
      <c r="O1379">
        <v>2</v>
      </c>
      <c r="P1379">
        <v>11</v>
      </c>
      <c r="Q1379">
        <v>2</v>
      </c>
      <c r="R1379">
        <v>11</v>
      </c>
      <c r="S1379">
        <v>0.84614999999999996</v>
      </c>
      <c r="T1379" t="s">
        <v>81</v>
      </c>
      <c r="U1379" t="s">
        <v>73</v>
      </c>
      <c r="V1379">
        <v>515075683.63</v>
      </c>
      <c r="W1379" t="s">
        <v>267</v>
      </c>
      <c r="X1379">
        <v>5</v>
      </c>
      <c r="Y1379">
        <v>12</v>
      </c>
      <c r="Z1379">
        <v>12</v>
      </c>
      <c r="AA1379">
        <v>0.5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4</v>
      </c>
      <c r="AH1379">
        <v>0</v>
      </c>
      <c r="AI1379">
        <v>4</v>
      </c>
      <c r="AJ1379">
        <v>11</v>
      </c>
      <c r="AK1379">
        <v>0.26667000000000002</v>
      </c>
      <c r="AL1379">
        <v>11</v>
      </c>
      <c r="AM1379">
        <v>10</v>
      </c>
      <c r="AN1379">
        <v>17</v>
      </c>
      <c r="AO1379">
        <v>12</v>
      </c>
      <c r="AP1379">
        <v>23</v>
      </c>
      <c r="AQ1379">
        <v>12</v>
      </c>
      <c r="AR1379" t="s">
        <v>11555</v>
      </c>
      <c r="AS1379" t="s">
        <v>11556</v>
      </c>
      <c r="AT1379">
        <v>0.504</v>
      </c>
      <c r="AU1379" t="s">
        <v>65</v>
      </c>
      <c r="AV1379">
        <v>40</v>
      </c>
      <c r="AW1379">
        <v>24</v>
      </c>
      <c r="AX1379" t="s">
        <v>11557</v>
      </c>
      <c r="AY1379">
        <v>5.4420000000000003E-2</v>
      </c>
      <c r="AZ1379">
        <v>-2.8700000000000002E-3</v>
      </c>
      <c r="BA1379">
        <v>8.5100000000000002E-3</v>
      </c>
      <c r="BB1379">
        <v>-4.2999999999999999E-4</v>
      </c>
      <c r="BC1379">
        <v>0.15637000000000001</v>
      </c>
      <c r="BD1379">
        <v>1</v>
      </c>
      <c r="BE1379" t="s">
        <v>69</v>
      </c>
      <c r="BF1379">
        <v>-0.56399999999999995</v>
      </c>
      <c r="BG1379">
        <v>-0.91900000000000004</v>
      </c>
    </row>
    <row r="1380" spans="1:59">
      <c r="A1380">
        <v>0</v>
      </c>
      <c r="B1380">
        <v>6</v>
      </c>
      <c r="C1380">
        <v>0</v>
      </c>
      <c r="D1380" t="s">
        <v>25022</v>
      </c>
      <c r="E1380">
        <v>1125</v>
      </c>
      <c r="F1380" t="s">
        <v>7072</v>
      </c>
      <c r="G1380" t="s">
        <v>57</v>
      </c>
      <c r="H1380">
        <v>1169043</v>
      </c>
      <c r="I1380">
        <v>1169846</v>
      </c>
      <c r="J1380" t="s">
        <v>7073</v>
      </c>
      <c r="K1380">
        <v>268</v>
      </c>
      <c r="L1380" t="s">
        <v>108</v>
      </c>
      <c r="M1380">
        <v>44</v>
      </c>
      <c r="N1380" t="str">
        <f>HYPERLINK("Gene1125-zp_tree_all.dnd", "Gene1125-tree")</f>
        <v>Gene1125-tree</v>
      </c>
      <c r="O1380">
        <v>6</v>
      </c>
      <c r="P1380">
        <v>7</v>
      </c>
      <c r="Q1380">
        <v>6</v>
      </c>
      <c r="R1380">
        <v>7</v>
      </c>
      <c r="S1380">
        <v>0.53846000000000005</v>
      </c>
      <c r="T1380" t="s">
        <v>90</v>
      </c>
      <c r="U1380" t="s">
        <v>152</v>
      </c>
      <c r="V1380" t="s">
        <v>62</v>
      </c>
      <c r="W1380" t="s">
        <v>62</v>
      </c>
      <c r="X1380">
        <v>3</v>
      </c>
      <c r="Y1380">
        <v>6</v>
      </c>
      <c r="Z1380">
        <v>7</v>
      </c>
      <c r="AA1380">
        <v>0.46154000000000001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9</v>
      </c>
      <c r="AK1380">
        <v>0</v>
      </c>
      <c r="AL1380">
        <v>10</v>
      </c>
      <c r="AM1380">
        <v>7</v>
      </c>
      <c r="AN1380">
        <v>19</v>
      </c>
      <c r="AO1380">
        <v>9</v>
      </c>
      <c r="AP1380">
        <v>16</v>
      </c>
      <c r="AQ1380">
        <v>4</v>
      </c>
      <c r="AR1380" t="s">
        <v>7074</v>
      </c>
      <c r="AS1380" t="s">
        <v>7075</v>
      </c>
      <c r="AT1380">
        <v>0.70799999999999996</v>
      </c>
      <c r="AU1380" t="s">
        <v>65</v>
      </c>
      <c r="AV1380">
        <v>35</v>
      </c>
      <c r="AW1380">
        <v>13</v>
      </c>
      <c r="AX1380" t="s">
        <v>7076</v>
      </c>
      <c r="AY1380">
        <v>4.2070000000000003E-2</v>
      </c>
      <c r="AZ1380">
        <v>-2.47E-3</v>
      </c>
      <c r="BA1380">
        <v>3.79E-3</v>
      </c>
      <c r="BB1380">
        <v>-2.5999999999999998E-4</v>
      </c>
      <c r="BC1380">
        <v>9.017E-2</v>
      </c>
      <c r="BD1380">
        <v>1</v>
      </c>
      <c r="BE1380" t="s">
        <v>69</v>
      </c>
      <c r="BF1380">
        <v>-0.245</v>
      </c>
      <c r="BG1380">
        <v>-6.4000000000000001E-2</v>
      </c>
    </row>
    <row r="1381" spans="1:59">
      <c r="A1381">
        <v>0</v>
      </c>
      <c r="B1381">
        <v>5</v>
      </c>
      <c r="C1381">
        <v>0</v>
      </c>
      <c r="D1381" t="s">
        <v>25022</v>
      </c>
      <c r="E1381">
        <v>3934</v>
      </c>
      <c r="F1381" t="s">
        <v>23088</v>
      </c>
      <c r="G1381" t="s">
        <v>62</v>
      </c>
      <c r="H1381">
        <v>3898379</v>
      </c>
      <c r="I1381">
        <v>3899182</v>
      </c>
      <c r="J1381" t="s">
        <v>3798</v>
      </c>
      <c r="K1381">
        <v>268</v>
      </c>
      <c r="L1381" t="s">
        <v>108</v>
      </c>
      <c r="M1381">
        <v>44</v>
      </c>
      <c r="N1381" t="str">
        <f>HYPERLINK("Gene3934-zp_tree_all.dnd", "Gene3934-tree")</f>
        <v>Gene3934-tree</v>
      </c>
      <c r="O1381">
        <v>5</v>
      </c>
      <c r="P1381">
        <v>30</v>
      </c>
      <c r="Q1381">
        <v>5</v>
      </c>
      <c r="R1381">
        <v>11</v>
      </c>
      <c r="S1381">
        <v>0.6875</v>
      </c>
      <c r="T1381" t="s">
        <v>199</v>
      </c>
      <c r="U1381" t="s">
        <v>89</v>
      </c>
      <c r="V1381">
        <v>2.3439999999999999</v>
      </c>
      <c r="W1381" t="s">
        <v>65</v>
      </c>
      <c r="X1381">
        <v>2</v>
      </c>
      <c r="Y1381">
        <v>5</v>
      </c>
      <c r="Z1381">
        <v>13</v>
      </c>
      <c r="AA1381">
        <v>0.27778000000000003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</v>
      </c>
      <c r="AH1381">
        <v>0</v>
      </c>
      <c r="AI1381">
        <v>2</v>
      </c>
      <c r="AJ1381">
        <v>14</v>
      </c>
      <c r="AK1381">
        <v>0.125</v>
      </c>
      <c r="AL1381">
        <v>13</v>
      </c>
      <c r="AM1381">
        <v>11</v>
      </c>
      <c r="AN1381">
        <v>29</v>
      </c>
      <c r="AO1381">
        <v>13</v>
      </c>
      <c r="AP1381">
        <v>19</v>
      </c>
      <c r="AQ1381">
        <v>5</v>
      </c>
      <c r="AR1381" t="s">
        <v>23089</v>
      </c>
      <c r="AS1381" t="s">
        <v>23090</v>
      </c>
      <c r="AT1381">
        <v>0.55800000000000005</v>
      </c>
      <c r="AU1381" t="s">
        <v>65</v>
      </c>
      <c r="AV1381">
        <v>48</v>
      </c>
      <c r="AW1381">
        <v>18</v>
      </c>
      <c r="AX1381" t="s">
        <v>23091</v>
      </c>
      <c r="AY1381">
        <v>4.9360000000000001E-2</v>
      </c>
      <c r="AZ1381">
        <v>-1.91E-3</v>
      </c>
      <c r="BA1381">
        <v>4.3299999999999996E-3</v>
      </c>
      <c r="BB1381">
        <v>-2.9E-4</v>
      </c>
      <c r="BC1381">
        <v>8.7800000000000003E-2</v>
      </c>
      <c r="BD1381">
        <v>1</v>
      </c>
      <c r="BE1381" t="s">
        <v>69</v>
      </c>
      <c r="BF1381">
        <v>-0.85</v>
      </c>
      <c r="BG1381">
        <v>-1.3959999999999999</v>
      </c>
    </row>
    <row r="1382" spans="1:59">
      <c r="A1382">
        <v>0</v>
      </c>
      <c r="B1382">
        <v>5</v>
      </c>
      <c r="C1382">
        <v>0</v>
      </c>
      <c r="D1382" t="s">
        <v>25022</v>
      </c>
      <c r="E1382">
        <v>2915</v>
      </c>
      <c r="F1382" t="s">
        <v>16784</v>
      </c>
      <c r="G1382" t="s">
        <v>62</v>
      </c>
      <c r="H1382">
        <v>2857779</v>
      </c>
      <c r="I1382">
        <v>2858582</v>
      </c>
      <c r="J1382" t="s">
        <v>16785</v>
      </c>
      <c r="K1382">
        <v>268</v>
      </c>
      <c r="L1382" t="s">
        <v>59</v>
      </c>
      <c r="M1382">
        <v>49</v>
      </c>
      <c r="N1382" t="str">
        <f>HYPERLINK("Gene2915-zp_tree_all.dnd", "Gene2915-tree")</f>
        <v>Gene2915-tree</v>
      </c>
      <c r="O1382">
        <v>13</v>
      </c>
      <c r="P1382">
        <v>2</v>
      </c>
      <c r="Q1382">
        <v>13</v>
      </c>
      <c r="R1382">
        <v>2</v>
      </c>
      <c r="S1382">
        <v>0.13333</v>
      </c>
      <c r="T1382" t="s">
        <v>507</v>
      </c>
      <c r="U1382" t="s">
        <v>81</v>
      </c>
      <c r="V1382" t="s">
        <v>62</v>
      </c>
      <c r="W1382" t="s">
        <v>62</v>
      </c>
      <c r="X1382">
        <v>2</v>
      </c>
      <c r="Y1382">
        <v>5</v>
      </c>
      <c r="Z1382">
        <v>5</v>
      </c>
      <c r="AA1382">
        <v>0.5</v>
      </c>
      <c r="AB1382">
        <v>0</v>
      </c>
      <c r="AC1382">
        <v>0</v>
      </c>
      <c r="AD1382">
        <v>0</v>
      </c>
      <c r="AE1382">
        <v>2</v>
      </c>
      <c r="AF1382">
        <v>0</v>
      </c>
      <c r="AG1382">
        <v>0</v>
      </c>
      <c r="AH1382">
        <v>0</v>
      </c>
      <c r="AI1382">
        <v>0</v>
      </c>
      <c r="AJ1382">
        <v>3</v>
      </c>
      <c r="AK1382">
        <v>0</v>
      </c>
      <c r="AL1382">
        <v>12</v>
      </c>
      <c r="AM1382">
        <v>11</v>
      </c>
      <c r="AN1382">
        <v>30</v>
      </c>
      <c r="AO1382">
        <v>3</v>
      </c>
      <c r="AP1382">
        <v>44</v>
      </c>
      <c r="AQ1382">
        <v>7</v>
      </c>
      <c r="AR1382" t="s">
        <v>16786</v>
      </c>
      <c r="AS1382" t="s">
        <v>16787</v>
      </c>
      <c r="AT1382">
        <v>0.27600000000000002</v>
      </c>
      <c r="AU1382" t="s">
        <v>65</v>
      </c>
      <c r="AV1382">
        <v>74</v>
      </c>
      <c r="AW1382">
        <v>10</v>
      </c>
      <c r="AX1382" t="s">
        <v>16788</v>
      </c>
      <c r="AY1382">
        <v>0.10061</v>
      </c>
      <c r="AZ1382">
        <v>-5.0200000000000002E-3</v>
      </c>
      <c r="BA1382">
        <v>3.4099999999999998E-3</v>
      </c>
      <c r="BB1382">
        <v>-2.4000000000000001E-4</v>
      </c>
      <c r="BC1382">
        <v>3.3849999999999998E-2</v>
      </c>
      <c r="BD1382">
        <v>1</v>
      </c>
      <c r="BE1382" t="s">
        <v>69</v>
      </c>
      <c r="BF1382">
        <v>-0.99199999999999999</v>
      </c>
      <c r="BG1382">
        <v>-0.68400000000000005</v>
      </c>
    </row>
    <row r="1383" spans="1:59">
      <c r="A1383">
        <v>0</v>
      </c>
      <c r="B1383">
        <v>2</v>
      </c>
      <c r="C1383">
        <v>0</v>
      </c>
      <c r="D1383" t="s">
        <v>25022</v>
      </c>
      <c r="E1383">
        <v>3056</v>
      </c>
      <c r="F1383" t="s">
        <v>17689</v>
      </c>
      <c r="G1383" t="s">
        <v>62</v>
      </c>
      <c r="H1383">
        <v>3007429</v>
      </c>
      <c r="I1383">
        <v>3008235</v>
      </c>
      <c r="J1383" t="s">
        <v>17690</v>
      </c>
      <c r="K1383">
        <v>269</v>
      </c>
      <c r="L1383" t="s">
        <v>2555</v>
      </c>
      <c r="M1383">
        <v>34</v>
      </c>
      <c r="N1383" t="str">
        <f>HYPERLINK("Gene3056-zp_tree_all.dnd", "Gene3056-tree")</f>
        <v>Gene3056-tree</v>
      </c>
      <c r="O1383">
        <v>2</v>
      </c>
      <c r="P1383">
        <v>8</v>
      </c>
      <c r="Q1383">
        <v>2</v>
      </c>
      <c r="R1383">
        <v>8</v>
      </c>
      <c r="S1383">
        <v>0.8</v>
      </c>
      <c r="T1383" t="s">
        <v>81</v>
      </c>
      <c r="U1383" t="s">
        <v>136</v>
      </c>
      <c r="V1383" t="s">
        <v>62</v>
      </c>
      <c r="W1383" t="s">
        <v>62</v>
      </c>
      <c r="X1383">
        <v>1</v>
      </c>
      <c r="Y1383">
        <v>2</v>
      </c>
      <c r="Z1383">
        <v>12</v>
      </c>
      <c r="AA1383">
        <v>0.14285999999999999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10</v>
      </c>
      <c r="AK1383">
        <v>0</v>
      </c>
      <c r="AL1383">
        <v>9</v>
      </c>
      <c r="AM1383">
        <v>5</v>
      </c>
      <c r="AN1383">
        <v>8</v>
      </c>
      <c r="AO1383">
        <v>10</v>
      </c>
      <c r="AP1383">
        <v>9</v>
      </c>
      <c r="AQ1383">
        <v>4</v>
      </c>
      <c r="AR1383" t="s">
        <v>17691</v>
      </c>
      <c r="AS1383" t="s">
        <v>17692</v>
      </c>
      <c r="AT1383">
        <v>1.333</v>
      </c>
      <c r="AU1383" t="s">
        <v>65</v>
      </c>
      <c r="AV1383">
        <v>17</v>
      </c>
      <c r="AW1383">
        <v>14</v>
      </c>
      <c r="AX1383" t="s">
        <v>17693</v>
      </c>
      <c r="AY1383">
        <v>2.0150000000000001E-2</v>
      </c>
      <c r="AZ1383">
        <v>-1.1900000000000001E-3</v>
      </c>
      <c r="BA1383">
        <v>5.4900000000000001E-3</v>
      </c>
      <c r="BB1383">
        <v>-5.1000000000000004E-4</v>
      </c>
      <c r="BC1383">
        <v>0.27268999999999999</v>
      </c>
      <c r="BD1383">
        <v>1</v>
      </c>
      <c r="BE1383" t="s">
        <v>69</v>
      </c>
      <c r="BF1383">
        <v>-0.89300000000000002</v>
      </c>
      <c r="BG1383">
        <v>-0.82799999999999996</v>
      </c>
    </row>
    <row r="1384" spans="1:59">
      <c r="A1384">
        <v>0</v>
      </c>
      <c r="B1384">
        <v>9</v>
      </c>
      <c r="C1384">
        <v>1</v>
      </c>
      <c r="D1384" t="s">
        <v>25022</v>
      </c>
      <c r="E1384">
        <v>1716</v>
      </c>
      <c r="F1384" t="s">
        <v>10763</v>
      </c>
      <c r="G1384" t="s">
        <v>57</v>
      </c>
      <c r="H1384">
        <v>1722000</v>
      </c>
      <c r="I1384">
        <v>1722806</v>
      </c>
      <c r="J1384" t="s">
        <v>10764</v>
      </c>
      <c r="K1384">
        <v>269</v>
      </c>
      <c r="L1384" t="s">
        <v>59</v>
      </c>
      <c r="M1384">
        <v>49</v>
      </c>
      <c r="N1384" t="str">
        <f>HYPERLINK("Gene1716-zp_tree_all.dnd", "Gene1716-tree")</f>
        <v>Gene1716-tree</v>
      </c>
      <c r="O1384">
        <v>7</v>
      </c>
      <c r="P1384">
        <v>9</v>
      </c>
      <c r="Q1384">
        <v>7</v>
      </c>
      <c r="R1384">
        <v>9</v>
      </c>
      <c r="S1384">
        <v>0.5625</v>
      </c>
      <c r="T1384" t="s">
        <v>152</v>
      </c>
      <c r="U1384" t="s">
        <v>135</v>
      </c>
      <c r="V1384" t="s">
        <v>62</v>
      </c>
      <c r="W1384" t="s">
        <v>62</v>
      </c>
      <c r="X1384">
        <v>3</v>
      </c>
      <c r="Y1384">
        <v>10</v>
      </c>
      <c r="Z1384">
        <v>11</v>
      </c>
      <c r="AA1384">
        <v>0.47619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</v>
      </c>
      <c r="AH1384">
        <v>2</v>
      </c>
      <c r="AI1384">
        <v>4</v>
      </c>
      <c r="AJ1384">
        <v>6</v>
      </c>
      <c r="AK1384">
        <v>0.4</v>
      </c>
      <c r="AL1384">
        <v>14</v>
      </c>
      <c r="AM1384">
        <v>9</v>
      </c>
      <c r="AN1384">
        <v>22</v>
      </c>
      <c r="AO1384">
        <v>9</v>
      </c>
      <c r="AP1384">
        <v>38</v>
      </c>
      <c r="AQ1384">
        <v>12</v>
      </c>
      <c r="AR1384" t="s">
        <v>10765</v>
      </c>
      <c r="AS1384" t="s">
        <v>10766</v>
      </c>
      <c r="AT1384">
        <v>0.34599999999999997</v>
      </c>
      <c r="AU1384" t="s">
        <v>65</v>
      </c>
      <c r="AV1384">
        <v>60</v>
      </c>
      <c r="AW1384">
        <v>21</v>
      </c>
      <c r="AX1384" t="s">
        <v>10767</v>
      </c>
      <c r="AY1384">
        <v>8.0610000000000001E-2</v>
      </c>
      <c r="AZ1384">
        <v>-5.0800000000000003E-3</v>
      </c>
      <c r="BA1384">
        <v>6.7000000000000002E-3</v>
      </c>
      <c r="BB1384">
        <v>-4.4000000000000002E-4</v>
      </c>
      <c r="BC1384">
        <v>8.3180000000000004E-2</v>
      </c>
      <c r="BD1384">
        <v>1</v>
      </c>
      <c r="BE1384" t="s">
        <v>69</v>
      </c>
      <c r="BF1384">
        <v>-1.073</v>
      </c>
      <c r="BG1384">
        <v>-0.77100000000000002</v>
      </c>
    </row>
    <row r="1385" spans="1:59">
      <c r="A1385">
        <v>0</v>
      </c>
      <c r="B1385">
        <v>0</v>
      </c>
      <c r="C1385">
        <v>0</v>
      </c>
      <c r="D1385" t="s">
        <v>25022</v>
      </c>
      <c r="E1385">
        <v>3456</v>
      </c>
      <c r="F1385" t="s">
        <v>20234</v>
      </c>
      <c r="G1385" t="s">
        <v>62</v>
      </c>
      <c r="H1385">
        <v>3415390</v>
      </c>
      <c r="I1385">
        <v>3416196</v>
      </c>
      <c r="J1385" t="s">
        <v>20235</v>
      </c>
      <c r="K1385">
        <v>269</v>
      </c>
      <c r="L1385" t="s">
        <v>108</v>
      </c>
      <c r="M1385">
        <v>44</v>
      </c>
      <c r="N1385" t="str">
        <f>HYPERLINK("Gene3456-zp_tree_all.dnd", "Gene3456-tree")</f>
        <v>Gene3456-tree</v>
      </c>
      <c r="O1385">
        <v>5</v>
      </c>
      <c r="P1385">
        <v>5</v>
      </c>
      <c r="Q1385">
        <v>5</v>
      </c>
      <c r="R1385">
        <v>5</v>
      </c>
      <c r="S1385">
        <v>0.5</v>
      </c>
      <c r="T1385" t="s">
        <v>199</v>
      </c>
      <c r="U1385" t="s">
        <v>199</v>
      </c>
      <c r="V1385" t="s">
        <v>62</v>
      </c>
      <c r="W1385" t="s">
        <v>62</v>
      </c>
      <c r="X1385">
        <v>0</v>
      </c>
      <c r="Y1385">
        <v>0</v>
      </c>
      <c r="Z1385">
        <v>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6</v>
      </c>
      <c r="AK1385">
        <v>0</v>
      </c>
      <c r="AL1385">
        <v>9</v>
      </c>
      <c r="AM1385">
        <v>4</v>
      </c>
      <c r="AN1385">
        <v>12</v>
      </c>
      <c r="AO1385">
        <v>6</v>
      </c>
      <c r="AP1385">
        <v>6</v>
      </c>
      <c r="AQ1385">
        <v>0</v>
      </c>
      <c r="AR1385" t="s">
        <v>20236</v>
      </c>
      <c r="AS1385" t="s">
        <v>193</v>
      </c>
      <c r="AT1385">
        <v>2.1789999999999998</v>
      </c>
      <c r="AU1385" t="s">
        <v>267</v>
      </c>
      <c r="AV1385">
        <v>18</v>
      </c>
      <c r="AW1385">
        <v>6</v>
      </c>
      <c r="AX1385" t="s">
        <v>20237</v>
      </c>
      <c r="AY1385">
        <v>2.4029999999999999E-2</v>
      </c>
      <c r="AZ1385">
        <v>-1.3600000000000001E-3</v>
      </c>
      <c r="BA1385">
        <v>1.9499999999999999E-3</v>
      </c>
      <c r="BB1385">
        <v>-2.1000000000000001E-4</v>
      </c>
      <c r="BC1385">
        <v>8.1019999999999995E-2</v>
      </c>
      <c r="BD1385">
        <v>1</v>
      </c>
      <c r="BE1385" t="s">
        <v>69</v>
      </c>
      <c r="BF1385">
        <v>-1.43</v>
      </c>
      <c r="BG1385">
        <v>-2.758</v>
      </c>
    </row>
    <row r="1386" spans="1:59">
      <c r="A1386">
        <v>0</v>
      </c>
      <c r="B1386">
        <v>0</v>
      </c>
      <c r="C1386">
        <v>0</v>
      </c>
      <c r="D1386" t="s">
        <v>25022</v>
      </c>
      <c r="E1386">
        <v>3772</v>
      </c>
      <c r="F1386" t="s">
        <v>22100</v>
      </c>
      <c r="G1386" t="s">
        <v>62</v>
      </c>
      <c r="H1386">
        <v>3745439</v>
      </c>
      <c r="I1386">
        <v>3746245</v>
      </c>
      <c r="J1386" t="s">
        <v>22101</v>
      </c>
      <c r="K1386">
        <v>269</v>
      </c>
      <c r="L1386" t="s">
        <v>465</v>
      </c>
      <c r="M1386">
        <v>46</v>
      </c>
      <c r="N1386" t="str">
        <f>HYPERLINK("Gene3772-zp_tree_all.dnd", "Gene3772-tree")</f>
        <v>Gene3772-tree</v>
      </c>
      <c r="O1386">
        <v>9</v>
      </c>
      <c r="P1386">
        <v>5</v>
      </c>
      <c r="Q1386">
        <v>9</v>
      </c>
      <c r="R1386">
        <v>5</v>
      </c>
      <c r="S1386">
        <v>0.35714000000000001</v>
      </c>
      <c r="T1386" t="s">
        <v>135</v>
      </c>
      <c r="U1386" t="s">
        <v>199</v>
      </c>
      <c r="V1386" t="s">
        <v>62</v>
      </c>
      <c r="W1386" t="s">
        <v>62</v>
      </c>
      <c r="X1386">
        <v>0</v>
      </c>
      <c r="Y1386">
        <v>0</v>
      </c>
      <c r="Z1386">
        <v>13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6</v>
      </c>
      <c r="AK1386">
        <v>0</v>
      </c>
      <c r="AL1386">
        <v>12</v>
      </c>
      <c r="AM1386">
        <v>9</v>
      </c>
      <c r="AN1386">
        <v>11</v>
      </c>
      <c r="AO1386">
        <v>6</v>
      </c>
      <c r="AP1386">
        <v>49</v>
      </c>
      <c r="AQ1386">
        <v>8</v>
      </c>
      <c r="AR1386" t="s">
        <v>22102</v>
      </c>
      <c r="AS1386" t="s">
        <v>22103</v>
      </c>
      <c r="AT1386">
        <v>1.0189999999999999</v>
      </c>
      <c r="AU1386" t="s">
        <v>65</v>
      </c>
      <c r="AV1386">
        <v>60</v>
      </c>
      <c r="AW1386">
        <v>14</v>
      </c>
      <c r="AX1386" t="s">
        <v>22104</v>
      </c>
      <c r="AY1386">
        <v>9.1310000000000002E-2</v>
      </c>
      <c r="AZ1386">
        <v>-7.5700000000000003E-3</v>
      </c>
      <c r="BA1386">
        <v>5.2700000000000004E-3</v>
      </c>
      <c r="BB1386">
        <v>-3.8999999999999999E-4</v>
      </c>
      <c r="BC1386">
        <v>5.7680000000000002E-2</v>
      </c>
      <c r="BD1386">
        <v>1</v>
      </c>
      <c r="BE1386" t="s">
        <v>69</v>
      </c>
      <c r="BF1386">
        <v>-1.242</v>
      </c>
      <c r="BG1386">
        <v>0.65800000000000003</v>
      </c>
    </row>
    <row r="1387" spans="1:59">
      <c r="A1387">
        <v>0</v>
      </c>
      <c r="B1387">
        <v>2</v>
      </c>
      <c r="C1387">
        <v>0</v>
      </c>
      <c r="D1387" t="s">
        <v>25022</v>
      </c>
      <c r="E1387">
        <v>3626</v>
      </c>
      <c r="F1387" t="s">
        <v>21299</v>
      </c>
      <c r="G1387" t="s">
        <v>62</v>
      </c>
      <c r="H1387">
        <v>3593422</v>
      </c>
      <c r="I1387">
        <v>3594228</v>
      </c>
      <c r="J1387" t="s">
        <v>21300</v>
      </c>
      <c r="K1387">
        <v>269</v>
      </c>
      <c r="L1387" t="s">
        <v>108</v>
      </c>
      <c r="M1387">
        <v>44</v>
      </c>
      <c r="N1387" t="str">
        <f>HYPERLINK("Gene3626-zp_tree_all.dnd", "Gene3626-tree")</f>
        <v>Gene3626-tree</v>
      </c>
      <c r="O1387">
        <v>9</v>
      </c>
      <c r="P1387">
        <v>5</v>
      </c>
      <c r="Q1387">
        <v>9</v>
      </c>
      <c r="R1387">
        <v>5</v>
      </c>
      <c r="S1387">
        <v>0.35714000000000001</v>
      </c>
      <c r="T1387" t="s">
        <v>135</v>
      </c>
      <c r="U1387" t="s">
        <v>199</v>
      </c>
      <c r="V1387" t="s">
        <v>62</v>
      </c>
      <c r="W1387" t="s">
        <v>62</v>
      </c>
      <c r="X1387">
        <v>1</v>
      </c>
      <c r="Y1387">
        <v>2</v>
      </c>
      <c r="Z1387">
        <v>5</v>
      </c>
      <c r="AA1387">
        <v>0.28571000000000002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5</v>
      </c>
      <c r="AK1387">
        <v>0</v>
      </c>
      <c r="AL1387">
        <v>11</v>
      </c>
      <c r="AM1387">
        <v>9</v>
      </c>
      <c r="AN1387">
        <v>29</v>
      </c>
      <c r="AO1387">
        <v>4</v>
      </c>
      <c r="AP1387">
        <v>15</v>
      </c>
      <c r="AQ1387">
        <v>3</v>
      </c>
      <c r="AR1387" t="s">
        <v>21301</v>
      </c>
      <c r="AS1387" t="s">
        <v>21302</v>
      </c>
      <c r="AT1387">
        <v>0.374</v>
      </c>
      <c r="AU1387" t="s">
        <v>65</v>
      </c>
      <c r="AV1387">
        <v>44</v>
      </c>
      <c r="AW1387">
        <v>7</v>
      </c>
      <c r="AX1387" t="s">
        <v>21303</v>
      </c>
      <c r="AY1387">
        <v>4.446E-2</v>
      </c>
      <c r="AZ1387">
        <v>-1.5100000000000001E-3</v>
      </c>
      <c r="BA1387">
        <v>2.2699999999999999E-3</v>
      </c>
      <c r="BB1387">
        <v>-1.6000000000000001E-4</v>
      </c>
      <c r="BC1387">
        <v>5.108E-2</v>
      </c>
      <c r="BD1387">
        <v>1</v>
      </c>
      <c r="BE1387" t="s">
        <v>69</v>
      </c>
      <c r="BF1387">
        <v>-0.52700000000000002</v>
      </c>
      <c r="BG1387">
        <v>-0.622</v>
      </c>
    </row>
    <row r="1388" spans="1:59">
      <c r="A1388">
        <v>0</v>
      </c>
      <c r="B1388">
        <v>2</v>
      </c>
      <c r="C1388">
        <v>0</v>
      </c>
      <c r="D1388" t="s">
        <v>25022</v>
      </c>
      <c r="E1388">
        <v>2817</v>
      </c>
      <c r="F1388" t="s">
        <v>16162</v>
      </c>
      <c r="G1388" t="s">
        <v>62</v>
      </c>
      <c r="H1388">
        <v>2761084</v>
      </c>
      <c r="I1388">
        <v>2761890</v>
      </c>
      <c r="J1388" t="s">
        <v>16163</v>
      </c>
      <c r="K1388">
        <v>269</v>
      </c>
      <c r="L1388" t="s">
        <v>108</v>
      </c>
      <c r="M1388">
        <v>44</v>
      </c>
      <c r="N1388" t="str">
        <f>HYPERLINK("Gene2817-zp_tree_all.dnd", "Gene2817-tree")</f>
        <v>Gene2817-tree</v>
      </c>
      <c r="O1388">
        <v>30</v>
      </c>
      <c r="P1388">
        <v>4</v>
      </c>
      <c r="Q1388">
        <v>9</v>
      </c>
      <c r="R1388">
        <v>4</v>
      </c>
      <c r="S1388">
        <v>0.30769000000000002</v>
      </c>
      <c r="T1388" t="s">
        <v>2142</v>
      </c>
      <c r="U1388" t="s">
        <v>61</v>
      </c>
      <c r="V1388" t="s">
        <v>62</v>
      </c>
      <c r="W1388" t="s">
        <v>62</v>
      </c>
      <c r="X1388">
        <v>1</v>
      </c>
      <c r="Y1388">
        <v>2</v>
      </c>
      <c r="Z1388">
        <v>2</v>
      </c>
      <c r="AA1388">
        <v>0.5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</v>
      </c>
      <c r="AH1388">
        <v>0</v>
      </c>
      <c r="AI1388">
        <v>2</v>
      </c>
      <c r="AJ1388">
        <v>2</v>
      </c>
      <c r="AK1388">
        <v>0.5</v>
      </c>
      <c r="AL1388">
        <v>11</v>
      </c>
      <c r="AM1388">
        <v>4</v>
      </c>
      <c r="AN1388">
        <v>14</v>
      </c>
      <c r="AO1388">
        <v>4</v>
      </c>
      <c r="AP1388">
        <v>5</v>
      </c>
      <c r="AQ1388">
        <v>0</v>
      </c>
      <c r="AR1388" t="s">
        <v>16164</v>
      </c>
      <c r="AS1388" t="s">
        <v>193</v>
      </c>
      <c r="AT1388">
        <v>1.581</v>
      </c>
      <c r="AU1388" t="s">
        <v>65</v>
      </c>
      <c r="AV1388">
        <v>19</v>
      </c>
      <c r="AW1388">
        <v>4</v>
      </c>
      <c r="AX1388" t="s">
        <v>16165</v>
      </c>
      <c r="AY1388">
        <v>2.019E-2</v>
      </c>
      <c r="AZ1388">
        <v>-9.8999999999999999E-4</v>
      </c>
      <c r="BA1388">
        <v>9.7999999999999997E-4</v>
      </c>
      <c r="BB1388">
        <v>-1.1E-4</v>
      </c>
      <c r="BC1388">
        <v>4.8689999999999997E-2</v>
      </c>
      <c r="BD1388">
        <v>1</v>
      </c>
      <c r="BE1388" t="s">
        <v>69</v>
      </c>
      <c r="BF1388">
        <v>-0.94199999999999995</v>
      </c>
      <c r="BG1388">
        <v>-2.2389999999999999</v>
      </c>
    </row>
    <row r="1389" spans="1:59">
      <c r="A1389">
        <v>0</v>
      </c>
      <c r="B1389">
        <v>6</v>
      </c>
      <c r="C1389">
        <v>1</v>
      </c>
      <c r="D1389" t="s">
        <v>25022</v>
      </c>
      <c r="E1389">
        <v>431</v>
      </c>
      <c r="F1389" t="s">
        <v>2927</v>
      </c>
      <c r="G1389" t="s">
        <v>57</v>
      </c>
      <c r="H1389">
        <v>474731</v>
      </c>
      <c r="I1389">
        <v>475537</v>
      </c>
      <c r="J1389" t="s">
        <v>2928</v>
      </c>
      <c r="K1389">
        <v>269</v>
      </c>
      <c r="L1389" t="s">
        <v>108</v>
      </c>
      <c r="M1389">
        <v>44</v>
      </c>
      <c r="N1389" t="str">
        <f>HYPERLINK("Gene431-zp_tree_all.dnd", "Gene431-tree")</f>
        <v>Gene431-tree</v>
      </c>
      <c r="O1389">
        <v>12</v>
      </c>
      <c r="P1389">
        <v>6</v>
      </c>
      <c r="Q1389">
        <v>12</v>
      </c>
      <c r="R1389">
        <v>6</v>
      </c>
      <c r="S1389">
        <v>0.33333000000000002</v>
      </c>
      <c r="T1389" t="s">
        <v>109</v>
      </c>
      <c r="U1389" t="s">
        <v>90</v>
      </c>
      <c r="V1389" t="s">
        <v>62</v>
      </c>
      <c r="W1389" t="s">
        <v>62</v>
      </c>
      <c r="X1389">
        <v>2</v>
      </c>
      <c r="Y1389">
        <v>7</v>
      </c>
      <c r="Z1389">
        <v>7</v>
      </c>
      <c r="AA1389">
        <v>0.5</v>
      </c>
      <c r="AB1389">
        <v>0</v>
      </c>
      <c r="AC1389">
        <v>0</v>
      </c>
      <c r="AD1389">
        <v>0</v>
      </c>
      <c r="AE1389">
        <v>2</v>
      </c>
      <c r="AF1389">
        <v>0</v>
      </c>
      <c r="AG1389">
        <v>0</v>
      </c>
      <c r="AH1389">
        <v>0</v>
      </c>
      <c r="AI1389">
        <v>0</v>
      </c>
      <c r="AJ1389">
        <v>7</v>
      </c>
      <c r="AK1389">
        <v>0</v>
      </c>
      <c r="AL1389">
        <v>12</v>
      </c>
      <c r="AM1389">
        <v>12</v>
      </c>
      <c r="AN1389">
        <v>33</v>
      </c>
      <c r="AO1389">
        <v>6</v>
      </c>
      <c r="AP1389">
        <v>48</v>
      </c>
      <c r="AQ1389">
        <v>8</v>
      </c>
      <c r="AR1389" t="s">
        <v>2929</v>
      </c>
      <c r="AS1389" t="s">
        <v>2930</v>
      </c>
      <c r="AT1389">
        <v>0.104</v>
      </c>
      <c r="AU1389" t="s">
        <v>65</v>
      </c>
      <c r="AV1389">
        <v>81</v>
      </c>
      <c r="AW1389">
        <v>14</v>
      </c>
      <c r="AX1389" t="s">
        <v>2931</v>
      </c>
      <c r="AY1389">
        <v>7.3679999999999995E-2</v>
      </c>
      <c r="AZ1389">
        <v>-2.81E-3</v>
      </c>
      <c r="BA1389">
        <v>3.3500000000000001E-3</v>
      </c>
      <c r="BB1389">
        <v>-1.7000000000000001E-4</v>
      </c>
      <c r="BC1389">
        <v>4.5490000000000003E-2</v>
      </c>
      <c r="BD1389">
        <v>1</v>
      </c>
      <c r="BE1389" t="s">
        <v>69</v>
      </c>
      <c r="BF1389">
        <v>0.192</v>
      </c>
      <c r="BG1389">
        <v>-0.40400000000000003</v>
      </c>
    </row>
    <row r="1390" spans="1:59">
      <c r="A1390">
        <v>0</v>
      </c>
      <c r="B1390">
        <v>2</v>
      </c>
      <c r="C1390">
        <v>0</v>
      </c>
      <c r="D1390" t="s">
        <v>25022</v>
      </c>
      <c r="E1390">
        <v>2598</v>
      </c>
      <c r="F1390" t="s">
        <v>15206</v>
      </c>
      <c r="G1390" t="s">
        <v>62</v>
      </c>
      <c r="H1390">
        <v>2578006</v>
      </c>
      <c r="I1390">
        <v>2578812</v>
      </c>
      <c r="J1390" t="s">
        <v>15201</v>
      </c>
      <c r="K1390">
        <v>269</v>
      </c>
      <c r="L1390" t="s">
        <v>108</v>
      </c>
      <c r="M1390">
        <v>44</v>
      </c>
      <c r="N1390" t="str">
        <f>HYPERLINK("Gene2598-zp_tree_all.dnd", "Gene2598-tree")</f>
        <v>Gene2598-tree</v>
      </c>
      <c r="O1390">
        <v>10</v>
      </c>
      <c r="P1390">
        <v>5</v>
      </c>
      <c r="Q1390">
        <v>10</v>
      </c>
      <c r="R1390">
        <v>5</v>
      </c>
      <c r="S1390">
        <v>0.33333000000000002</v>
      </c>
      <c r="T1390" t="s">
        <v>117</v>
      </c>
      <c r="U1390" t="s">
        <v>199</v>
      </c>
      <c r="V1390" t="s">
        <v>62</v>
      </c>
      <c r="W1390" t="s">
        <v>62</v>
      </c>
      <c r="X1390">
        <v>1</v>
      </c>
      <c r="Y1390">
        <v>2</v>
      </c>
      <c r="Z1390">
        <v>5</v>
      </c>
      <c r="AA1390">
        <v>0.28571000000000002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5</v>
      </c>
      <c r="AK1390">
        <v>0</v>
      </c>
      <c r="AL1390">
        <v>12</v>
      </c>
      <c r="AM1390">
        <v>10</v>
      </c>
      <c r="AN1390">
        <v>28</v>
      </c>
      <c r="AO1390">
        <v>5</v>
      </c>
      <c r="AP1390">
        <v>16</v>
      </c>
      <c r="AQ1390">
        <v>2</v>
      </c>
      <c r="AR1390" t="s">
        <v>15207</v>
      </c>
      <c r="AS1390" t="s">
        <v>15208</v>
      </c>
      <c r="AT1390">
        <v>0.248</v>
      </c>
      <c r="AU1390" t="s">
        <v>65</v>
      </c>
      <c r="AV1390">
        <v>44</v>
      </c>
      <c r="AW1390">
        <v>7</v>
      </c>
      <c r="AX1390" t="s">
        <v>15209</v>
      </c>
      <c r="AY1390">
        <v>4.6640000000000001E-2</v>
      </c>
      <c r="AZ1390">
        <v>-2.2100000000000002E-3</v>
      </c>
      <c r="BA1390">
        <v>1.74E-3</v>
      </c>
      <c r="BB1390">
        <v>-1.1E-4</v>
      </c>
      <c r="BC1390">
        <v>3.7260000000000001E-2</v>
      </c>
      <c r="BD1390">
        <v>1</v>
      </c>
      <c r="BE1390" t="s">
        <v>69</v>
      </c>
      <c r="BF1390">
        <v>-0.504</v>
      </c>
      <c r="BG1390">
        <v>-1.653</v>
      </c>
    </row>
    <row r="1391" spans="1:59">
      <c r="A1391">
        <v>0</v>
      </c>
      <c r="B1391">
        <v>0</v>
      </c>
      <c r="C1391">
        <v>2</v>
      </c>
      <c r="D1391" t="s">
        <v>25022</v>
      </c>
      <c r="E1391">
        <v>3100</v>
      </c>
      <c r="F1391" t="s">
        <v>17976</v>
      </c>
      <c r="G1391" t="s">
        <v>62</v>
      </c>
      <c r="H1391">
        <v>3053367</v>
      </c>
      <c r="I1391">
        <v>3054173</v>
      </c>
      <c r="J1391" t="s">
        <v>17977</v>
      </c>
      <c r="K1391">
        <v>269</v>
      </c>
      <c r="L1391" t="s">
        <v>59</v>
      </c>
      <c r="M1391">
        <v>49</v>
      </c>
      <c r="N1391" t="str">
        <f>HYPERLINK("Gene3100-zp_tree_all.dnd", "Gene3100-tree")</f>
        <v>Gene3100-tree</v>
      </c>
      <c r="O1391">
        <v>16</v>
      </c>
      <c r="P1391">
        <v>3</v>
      </c>
      <c r="Q1391">
        <v>16</v>
      </c>
      <c r="R1391">
        <v>3</v>
      </c>
      <c r="S1391">
        <v>0.15789</v>
      </c>
      <c r="T1391" t="s">
        <v>60</v>
      </c>
      <c r="U1391" t="s">
        <v>324</v>
      </c>
      <c r="V1391" t="s">
        <v>62</v>
      </c>
      <c r="W1391" t="s">
        <v>62</v>
      </c>
      <c r="X1391">
        <v>1</v>
      </c>
      <c r="Y1391">
        <v>2</v>
      </c>
      <c r="Z1391">
        <v>7</v>
      </c>
      <c r="AA1391">
        <v>0.22222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2</v>
      </c>
      <c r="AI1391">
        <v>2</v>
      </c>
      <c r="AJ1391">
        <v>4</v>
      </c>
      <c r="AK1391">
        <v>0.33333000000000002</v>
      </c>
      <c r="AL1391">
        <v>16</v>
      </c>
      <c r="AM1391">
        <v>13</v>
      </c>
      <c r="AN1391">
        <v>33</v>
      </c>
      <c r="AO1391">
        <v>6</v>
      </c>
      <c r="AP1391">
        <v>53</v>
      </c>
      <c r="AQ1391">
        <v>3</v>
      </c>
      <c r="AR1391" t="s">
        <v>17978</v>
      </c>
      <c r="AS1391" t="s">
        <v>17979</v>
      </c>
      <c r="AT1391">
        <v>0.32300000000000001</v>
      </c>
      <c r="AU1391" t="s">
        <v>65</v>
      </c>
      <c r="AV1391">
        <v>86</v>
      </c>
      <c r="AW1391">
        <v>9</v>
      </c>
      <c r="AX1391" t="s">
        <v>17980</v>
      </c>
      <c r="AY1391">
        <v>0.10777</v>
      </c>
      <c r="AZ1391">
        <v>-6.43E-3</v>
      </c>
      <c r="BA1391">
        <v>3.0100000000000001E-3</v>
      </c>
      <c r="BB1391">
        <v>-2.7E-4</v>
      </c>
      <c r="BC1391">
        <v>2.7890000000000002E-2</v>
      </c>
      <c r="BD1391">
        <v>1</v>
      </c>
      <c r="BE1391" t="s">
        <v>69</v>
      </c>
      <c r="BF1391">
        <v>-1.3340000000000001</v>
      </c>
      <c r="BG1391">
        <v>-0.89500000000000002</v>
      </c>
    </row>
    <row r="1392" spans="1:59">
      <c r="A1392">
        <v>0</v>
      </c>
      <c r="B1392">
        <v>2</v>
      </c>
      <c r="C1392">
        <v>0</v>
      </c>
      <c r="D1392" t="s">
        <v>25022</v>
      </c>
      <c r="E1392">
        <v>1267</v>
      </c>
      <c r="F1392" t="s">
        <v>7943</v>
      </c>
      <c r="G1392" t="s">
        <v>57</v>
      </c>
      <c r="H1392">
        <v>1294138</v>
      </c>
      <c r="I1392">
        <v>1294947</v>
      </c>
      <c r="J1392" t="s">
        <v>1340</v>
      </c>
      <c r="K1392">
        <v>270</v>
      </c>
      <c r="L1392" t="s">
        <v>7944</v>
      </c>
      <c r="M1392">
        <v>37</v>
      </c>
      <c r="N1392" t="str">
        <f>HYPERLINK("Gene1267-zp_tree_all.dnd", "Gene1267-tree")</f>
        <v>Gene1267-tree</v>
      </c>
      <c r="O1392">
        <v>3</v>
      </c>
      <c r="P1392">
        <v>6</v>
      </c>
      <c r="Q1392">
        <v>3</v>
      </c>
      <c r="R1392">
        <v>6</v>
      </c>
      <c r="S1392">
        <v>0.66666999999999998</v>
      </c>
      <c r="T1392" t="s">
        <v>324</v>
      </c>
      <c r="U1392" t="s">
        <v>90</v>
      </c>
      <c r="V1392" t="s">
        <v>62</v>
      </c>
      <c r="W1392" t="s">
        <v>62</v>
      </c>
      <c r="X1392">
        <v>1</v>
      </c>
      <c r="Y1392">
        <v>2</v>
      </c>
      <c r="Z1392">
        <v>9</v>
      </c>
      <c r="AA1392">
        <v>0.18182000000000001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9</v>
      </c>
      <c r="AK1392">
        <v>0</v>
      </c>
      <c r="AL1392">
        <v>5</v>
      </c>
      <c r="AM1392">
        <v>6</v>
      </c>
      <c r="AN1392">
        <v>5</v>
      </c>
      <c r="AO1392">
        <v>7</v>
      </c>
      <c r="AP1392">
        <v>7</v>
      </c>
      <c r="AQ1392">
        <v>4</v>
      </c>
      <c r="AR1392" t="s">
        <v>7945</v>
      </c>
      <c r="AS1392" t="s">
        <v>7946</v>
      </c>
      <c r="AT1392">
        <v>0.44400000000000001</v>
      </c>
      <c r="AU1392" t="s">
        <v>65</v>
      </c>
      <c r="AV1392">
        <v>12</v>
      </c>
      <c r="AW1392">
        <v>11</v>
      </c>
      <c r="AX1392" t="s">
        <v>7947</v>
      </c>
      <c r="AY1392">
        <v>2.0590000000000001E-2</v>
      </c>
      <c r="AZ1392">
        <v>-1.8500000000000001E-3</v>
      </c>
      <c r="BA1392">
        <v>5.0099999999999997E-3</v>
      </c>
      <c r="BB1392">
        <v>-4.4999999999999999E-4</v>
      </c>
      <c r="BC1392">
        <v>0.24356</v>
      </c>
      <c r="BD1392">
        <v>0.97</v>
      </c>
      <c r="BE1392" t="s">
        <v>69</v>
      </c>
      <c r="BF1392">
        <v>-1.165</v>
      </c>
      <c r="BG1392">
        <v>-1.8819999999999999</v>
      </c>
    </row>
    <row r="1393" spans="1:59">
      <c r="A1393">
        <v>0</v>
      </c>
      <c r="B1393">
        <v>4</v>
      </c>
      <c r="C1393">
        <v>1</v>
      </c>
      <c r="D1393" t="s">
        <v>25022</v>
      </c>
      <c r="E1393">
        <v>3055</v>
      </c>
      <c r="F1393" t="s">
        <v>17682</v>
      </c>
      <c r="G1393" t="s">
        <v>62</v>
      </c>
      <c r="H1393">
        <v>3006603</v>
      </c>
      <c r="I1393">
        <v>3007412</v>
      </c>
      <c r="J1393" t="s">
        <v>17683</v>
      </c>
      <c r="K1393">
        <v>270</v>
      </c>
      <c r="L1393" t="s">
        <v>2555</v>
      </c>
      <c r="M1393">
        <v>34</v>
      </c>
      <c r="N1393" t="str">
        <f>HYPERLINK("Gene3055-zp_tree_all.dnd", "Gene3055-tree")</f>
        <v>Gene3055-tree</v>
      </c>
      <c r="O1393">
        <v>1</v>
      </c>
      <c r="P1393">
        <v>10</v>
      </c>
      <c r="Q1393">
        <v>1</v>
      </c>
      <c r="R1393">
        <v>10</v>
      </c>
      <c r="S1393">
        <v>0.90908999999999995</v>
      </c>
      <c r="T1393" t="s">
        <v>175</v>
      </c>
      <c r="U1393" t="s">
        <v>117</v>
      </c>
      <c r="V1393" t="s">
        <v>62</v>
      </c>
      <c r="W1393" t="s">
        <v>62</v>
      </c>
      <c r="X1393">
        <v>2</v>
      </c>
      <c r="Y1393">
        <v>5</v>
      </c>
      <c r="Z1393">
        <v>12</v>
      </c>
      <c r="AA1393">
        <v>0.29411999999999999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</v>
      </c>
      <c r="AH1393">
        <v>1</v>
      </c>
      <c r="AI1393">
        <v>3</v>
      </c>
      <c r="AJ1393">
        <v>12</v>
      </c>
      <c r="AK1393">
        <v>0.2</v>
      </c>
      <c r="AL1393">
        <v>10</v>
      </c>
      <c r="AM1393">
        <v>3</v>
      </c>
      <c r="AN1393">
        <v>25</v>
      </c>
      <c r="AO1393">
        <v>14</v>
      </c>
      <c r="AP1393">
        <v>2</v>
      </c>
      <c r="AQ1393">
        <v>3</v>
      </c>
      <c r="AR1393" t="s">
        <v>17684</v>
      </c>
      <c r="AS1393" t="s">
        <v>17685</v>
      </c>
      <c r="AT1393">
        <v>1.4279999999999999</v>
      </c>
      <c r="AU1393" t="s">
        <v>65</v>
      </c>
      <c r="AV1393">
        <v>27</v>
      </c>
      <c r="AW1393">
        <v>17</v>
      </c>
      <c r="AX1393" t="s">
        <v>17686</v>
      </c>
      <c r="AY1393">
        <v>2.8420000000000001E-2</v>
      </c>
      <c r="AZ1393">
        <v>-4.4400000000000004E-3</v>
      </c>
      <c r="BA1393">
        <v>5.1900000000000002E-3</v>
      </c>
      <c r="BB1393">
        <v>-2.5000000000000001E-4</v>
      </c>
      <c r="BC1393">
        <v>0.18265999999999999</v>
      </c>
      <c r="BD1393">
        <v>1</v>
      </c>
      <c r="BE1393" t="s">
        <v>69</v>
      </c>
      <c r="BF1393">
        <v>-1.766</v>
      </c>
      <c r="BG1393">
        <v>-3.6709999999999998</v>
      </c>
    </row>
    <row r="1394" spans="1:59">
      <c r="A1394">
        <v>0</v>
      </c>
      <c r="B1394">
        <v>2</v>
      </c>
      <c r="C1394">
        <v>0</v>
      </c>
      <c r="D1394" t="s">
        <v>25022</v>
      </c>
      <c r="E1394">
        <v>3773</v>
      </c>
      <c r="F1394" t="s">
        <v>22107</v>
      </c>
      <c r="G1394" t="s">
        <v>62</v>
      </c>
      <c r="H1394">
        <v>3746282</v>
      </c>
      <c r="I1394">
        <v>3747091</v>
      </c>
      <c r="J1394" t="s">
        <v>22108</v>
      </c>
      <c r="K1394">
        <v>270</v>
      </c>
      <c r="L1394" t="s">
        <v>108</v>
      </c>
      <c r="M1394">
        <v>44</v>
      </c>
      <c r="N1394" t="str">
        <f>HYPERLINK("Gene3773-zp_tree_all.dnd", "Gene3773-tree")</f>
        <v>Gene3773-tree</v>
      </c>
      <c r="O1394">
        <v>5</v>
      </c>
      <c r="P1394">
        <v>8</v>
      </c>
      <c r="Q1394">
        <v>5</v>
      </c>
      <c r="R1394">
        <v>8</v>
      </c>
      <c r="S1394">
        <v>0.61538000000000004</v>
      </c>
      <c r="T1394" t="s">
        <v>199</v>
      </c>
      <c r="U1394" t="s">
        <v>136</v>
      </c>
      <c r="V1394" t="s">
        <v>62</v>
      </c>
      <c r="W1394" t="s">
        <v>62</v>
      </c>
      <c r="X1394">
        <v>1</v>
      </c>
      <c r="Y1394">
        <v>2</v>
      </c>
      <c r="Z1394">
        <v>11</v>
      </c>
      <c r="AA1394">
        <v>0.15384999999999999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</v>
      </c>
      <c r="AH1394">
        <v>0</v>
      </c>
      <c r="AI1394">
        <v>2</v>
      </c>
      <c r="AJ1394">
        <v>9</v>
      </c>
      <c r="AK1394">
        <v>0.18182000000000001</v>
      </c>
      <c r="AL1394">
        <v>10</v>
      </c>
      <c r="AM1394">
        <v>8</v>
      </c>
      <c r="AN1394">
        <v>30</v>
      </c>
      <c r="AO1394">
        <v>11</v>
      </c>
      <c r="AP1394">
        <v>16</v>
      </c>
      <c r="AQ1394">
        <v>2</v>
      </c>
      <c r="AR1394" t="s">
        <v>22109</v>
      </c>
      <c r="AS1394" t="s">
        <v>22110</v>
      </c>
      <c r="AT1394">
        <v>0.82099999999999995</v>
      </c>
      <c r="AU1394" t="s">
        <v>65</v>
      </c>
      <c r="AV1394">
        <v>46</v>
      </c>
      <c r="AW1394">
        <v>13</v>
      </c>
      <c r="AX1394" t="s">
        <v>22111</v>
      </c>
      <c r="AY1394">
        <v>4.8079999999999998E-2</v>
      </c>
      <c r="AZ1394">
        <v>-3.5000000000000001E-3</v>
      </c>
      <c r="BA1394">
        <v>3.79E-3</v>
      </c>
      <c r="BB1394">
        <v>-2.4000000000000001E-4</v>
      </c>
      <c r="BC1394">
        <v>7.8799999999999995E-2</v>
      </c>
      <c r="BD1394">
        <v>1</v>
      </c>
      <c r="BE1394" t="s">
        <v>69</v>
      </c>
      <c r="BF1394">
        <v>-0.433</v>
      </c>
      <c r="BG1394">
        <v>-0.16400000000000001</v>
      </c>
    </row>
    <row r="1395" spans="1:59">
      <c r="A1395">
        <v>0</v>
      </c>
      <c r="B1395">
        <v>10</v>
      </c>
      <c r="C1395">
        <v>0</v>
      </c>
      <c r="D1395" t="s">
        <v>25022</v>
      </c>
      <c r="E1395">
        <v>4096</v>
      </c>
      <c r="F1395" t="s">
        <v>24117</v>
      </c>
      <c r="G1395" t="s">
        <v>62</v>
      </c>
      <c r="H1395">
        <v>4063687</v>
      </c>
      <c r="I1395">
        <v>4064496</v>
      </c>
      <c r="J1395" t="s">
        <v>24118</v>
      </c>
      <c r="K1395">
        <v>270</v>
      </c>
      <c r="L1395" t="s">
        <v>698</v>
      </c>
      <c r="M1395">
        <v>47</v>
      </c>
      <c r="N1395" t="str">
        <f>HYPERLINK("Gene4096-zp_tree_all.dnd", "Gene4096-tree")</f>
        <v>Gene4096-tree</v>
      </c>
      <c r="O1395">
        <v>10</v>
      </c>
      <c r="P1395">
        <v>8</v>
      </c>
      <c r="Q1395">
        <v>10</v>
      </c>
      <c r="R1395">
        <v>8</v>
      </c>
      <c r="S1395">
        <v>0.44444</v>
      </c>
      <c r="T1395" t="s">
        <v>117</v>
      </c>
      <c r="U1395" t="s">
        <v>136</v>
      </c>
      <c r="V1395" t="s">
        <v>62</v>
      </c>
      <c r="W1395" t="s">
        <v>62</v>
      </c>
      <c r="X1395">
        <v>5</v>
      </c>
      <c r="Y1395">
        <v>10</v>
      </c>
      <c r="Z1395">
        <v>12</v>
      </c>
      <c r="AA1395">
        <v>0.45455000000000001</v>
      </c>
      <c r="AB1395">
        <v>0</v>
      </c>
      <c r="AC1395">
        <v>0</v>
      </c>
      <c r="AD1395">
        <v>0</v>
      </c>
      <c r="AE1395">
        <v>3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14</v>
      </c>
      <c r="AM1395">
        <v>13</v>
      </c>
      <c r="AN1395">
        <v>48</v>
      </c>
      <c r="AO1395">
        <v>9</v>
      </c>
      <c r="AP1395">
        <v>39</v>
      </c>
      <c r="AQ1395">
        <v>13</v>
      </c>
      <c r="AR1395" t="s">
        <v>24119</v>
      </c>
      <c r="AS1395" t="s">
        <v>24120</v>
      </c>
      <c r="AT1395">
        <v>0.41699999999999998</v>
      </c>
      <c r="AU1395" t="s">
        <v>65</v>
      </c>
      <c r="AV1395">
        <v>87</v>
      </c>
      <c r="AW1395">
        <v>22</v>
      </c>
      <c r="AX1395" t="s">
        <v>24121</v>
      </c>
      <c r="AY1395">
        <v>8.6959999999999996E-2</v>
      </c>
      <c r="AZ1395">
        <v>-4.64E-3</v>
      </c>
      <c r="BA1395">
        <v>6.6499999999999997E-3</v>
      </c>
      <c r="BB1395">
        <v>-3.8999999999999999E-4</v>
      </c>
      <c r="BC1395">
        <v>7.6480000000000006E-2</v>
      </c>
      <c r="BD1395">
        <v>1</v>
      </c>
      <c r="BE1395" t="s">
        <v>69</v>
      </c>
      <c r="BF1395">
        <v>-1.3839999999999999</v>
      </c>
      <c r="BG1395">
        <v>-1.6950000000000001</v>
      </c>
    </row>
    <row r="1396" spans="1:59">
      <c r="A1396">
        <v>0</v>
      </c>
      <c r="B1396">
        <v>0</v>
      </c>
      <c r="C1396">
        <v>0</v>
      </c>
      <c r="D1396" t="s">
        <v>25022</v>
      </c>
      <c r="E1396">
        <v>2626</v>
      </c>
      <c r="F1396" t="s">
        <v>15384</v>
      </c>
      <c r="G1396" t="s">
        <v>62</v>
      </c>
      <c r="H1396">
        <v>2604124</v>
      </c>
      <c r="I1396">
        <v>2604933</v>
      </c>
      <c r="J1396" t="s">
        <v>15385</v>
      </c>
      <c r="K1396">
        <v>270</v>
      </c>
      <c r="L1396" t="s">
        <v>59</v>
      </c>
      <c r="M1396">
        <v>49</v>
      </c>
      <c r="N1396" t="str">
        <f>HYPERLINK("Gene2626-zp_tree_all.dnd", "Gene2626-tree")</f>
        <v>Gene2626-tree</v>
      </c>
      <c r="O1396">
        <v>17</v>
      </c>
      <c r="P1396">
        <v>1</v>
      </c>
      <c r="Q1396">
        <v>17</v>
      </c>
      <c r="R1396">
        <v>1</v>
      </c>
      <c r="S1396">
        <v>5.5559999999999998E-2</v>
      </c>
      <c r="T1396" t="s">
        <v>266</v>
      </c>
      <c r="U1396" t="s">
        <v>175</v>
      </c>
      <c r="V1396" t="s">
        <v>62</v>
      </c>
      <c r="W1396" t="s">
        <v>62</v>
      </c>
      <c r="X1396">
        <v>0</v>
      </c>
      <c r="Y1396">
        <v>0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13</v>
      </c>
      <c r="AM1396">
        <v>9</v>
      </c>
      <c r="AN1396">
        <v>29</v>
      </c>
      <c r="AO1396">
        <v>1</v>
      </c>
      <c r="AP1396">
        <v>42</v>
      </c>
      <c r="AQ1396">
        <v>1</v>
      </c>
      <c r="AR1396" t="s">
        <v>15386</v>
      </c>
      <c r="AS1396" t="s">
        <v>15387</v>
      </c>
      <c r="AT1396">
        <v>7.8E-2</v>
      </c>
      <c r="AU1396" t="s">
        <v>65</v>
      </c>
      <c r="AV1396">
        <v>71</v>
      </c>
      <c r="AW1396">
        <v>2</v>
      </c>
      <c r="AX1396" t="s">
        <v>15388</v>
      </c>
      <c r="AY1396">
        <v>9.2399999999999996E-2</v>
      </c>
      <c r="AZ1396">
        <v>-7.4799999999999997E-3</v>
      </c>
      <c r="BA1396">
        <v>5.1999999999999995E-4</v>
      </c>
      <c r="BB1396">
        <v>-6.0000000000000002E-5</v>
      </c>
      <c r="BC1396">
        <v>5.5900000000000004E-3</v>
      </c>
      <c r="BD1396">
        <v>1</v>
      </c>
      <c r="BE1396" t="s">
        <v>69</v>
      </c>
      <c r="BF1396">
        <v>-1.327</v>
      </c>
      <c r="BG1396">
        <v>2.8000000000000001E-2</v>
      </c>
    </row>
    <row r="1397" spans="1:59">
      <c r="A1397">
        <v>0</v>
      </c>
      <c r="B1397">
        <v>5</v>
      </c>
      <c r="C1397">
        <v>0</v>
      </c>
      <c r="D1397" t="s">
        <v>25022</v>
      </c>
      <c r="E1397">
        <v>4116</v>
      </c>
      <c r="F1397" t="s">
        <v>24255</v>
      </c>
      <c r="G1397" t="s">
        <v>62</v>
      </c>
      <c r="H1397">
        <v>4082033</v>
      </c>
      <c r="I1397">
        <v>4082845</v>
      </c>
      <c r="J1397" t="s">
        <v>24256</v>
      </c>
      <c r="K1397">
        <v>271</v>
      </c>
      <c r="L1397" t="s">
        <v>108</v>
      </c>
      <c r="M1397">
        <v>44</v>
      </c>
      <c r="N1397" t="str">
        <f>HYPERLINK("Gene4116-zp_tree_all.dnd", "Gene4116-tree")</f>
        <v>Gene4116-tree</v>
      </c>
      <c r="O1397">
        <v>5</v>
      </c>
      <c r="P1397">
        <v>8</v>
      </c>
      <c r="Q1397">
        <v>5</v>
      </c>
      <c r="R1397">
        <v>8</v>
      </c>
      <c r="S1397">
        <v>0.61538000000000004</v>
      </c>
      <c r="T1397" t="s">
        <v>199</v>
      </c>
      <c r="U1397" t="s">
        <v>136</v>
      </c>
      <c r="V1397" t="s">
        <v>62</v>
      </c>
      <c r="W1397" t="s">
        <v>62</v>
      </c>
      <c r="X1397">
        <v>2</v>
      </c>
      <c r="Y1397">
        <v>5</v>
      </c>
      <c r="Z1397">
        <v>13</v>
      </c>
      <c r="AA1397">
        <v>0.27778000000000003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13</v>
      </c>
      <c r="AK1397">
        <v>0</v>
      </c>
      <c r="AL1397">
        <v>10</v>
      </c>
      <c r="AM1397">
        <v>9</v>
      </c>
      <c r="AN1397">
        <v>35</v>
      </c>
      <c r="AO1397">
        <v>13</v>
      </c>
      <c r="AP1397">
        <v>14</v>
      </c>
      <c r="AQ1397">
        <v>5</v>
      </c>
      <c r="AR1397" t="s">
        <v>24257</v>
      </c>
      <c r="AS1397" t="s">
        <v>24258</v>
      </c>
      <c r="AT1397">
        <v>8.0000000000000002E-3</v>
      </c>
      <c r="AU1397" t="s">
        <v>65</v>
      </c>
      <c r="AV1397">
        <v>49</v>
      </c>
      <c r="AW1397">
        <v>18</v>
      </c>
      <c r="AX1397" t="s">
        <v>24259</v>
      </c>
      <c r="AY1397">
        <v>5.0509999999999999E-2</v>
      </c>
      <c r="AZ1397">
        <v>-4.6699999999999997E-3</v>
      </c>
      <c r="BA1397">
        <v>5.11E-3</v>
      </c>
      <c r="BB1397">
        <v>-3.5E-4</v>
      </c>
      <c r="BC1397">
        <v>0.1012</v>
      </c>
      <c r="BD1397">
        <v>1</v>
      </c>
      <c r="BE1397" t="s">
        <v>69</v>
      </c>
      <c r="BF1397">
        <v>-1.4019999999999999</v>
      </c>
      <c r="BG1397">
        <v>-3.1720000000000002</v>
      </c>
    </row>
    <row r="1398" spans="1:59">
      <c r="A1398">
        <v>0</v>
      </c>
      <c r="B1398">
        <v>0</v>
      </c>
      <c r="C1398">
        <v>0</v>
      </c>
      <c r="D1398" t="s">
        <v>25022</v>
      </c>
      <c r="E1398">
        <v>1209</v>
      </c>
      <c r="F1398" t="s">
        <v>7611</v>
      </c>
      <c r="G1398" t="s">
        <v>57</v>
      </c>
      <c r="H1398">
        <v>1246837</v>
      </c>
      <c r="I1398">
        <v>1247649</v>
      </c>
      <c r="J1398" t="s">
        <v>7612</v>
      </c>
      <c r="K1398">
        <v>271</v>
      </c>
      <c r="L1398" t="s">
        <v>108</v>
      </c>
      <c r="M1398">
        <v>44</v>
      </c>
      <c r="N1398" t="str">
        <f>HYPERLINK("Gene1209-zp_tree_all.dnd", "Gene1209-tree")</f>
        <v>Gene1209-tree</v>
      </c>
      <c r="O1398">
        <v>28</v>
      </c>
      <c r="P1398">
        <v>3</v>
      </c>
      <c r="Q1398">
        <v>10</v>
      </c>
      <c r="R1398">
        <v>3</v>
      </c>
      <c r="S1398">
        <v>0.23077</v>
      </c>
      <c r="T1398" t="s">
        <v>7613</v>
      </c>
      <c r="U1398" t="s">
        <v>324</v>
      </c>
      <c r="V1398" t="s">
        <v>62</v>
      </c>
      <c r="W1398" t="s">
        <v>62</v>
      </c>
      <c r="X1398">
        <v>0</v>
      </c>
      <c r="Y1398">
        <v>0</v>
      </c>
      <c r="Z1398">
        <v>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3</v>
      </c>
      <c r="AK1398">
        <v>0</v>
      </c>
      <c r="AL1398">
        <v>11</v>
      </c>
      <c r="AM1398">
        <v>7</v>
      </c>
      <c r="AN1398">
        <v>20</v>
      </c>
      <c r="AO1398">
        <v>2</v>
      </c>
      <c r="AP1398">
        <v>8</v>
      </c>
      <c r="AQ1398">
        <v>3</v>
      </c>
      <c r="AR1398" t="s">
        <v>7614</v>
      </c>
      <c r="AS1398" t="s">
        <v>7615</v>
      </c>
      <c r="AT1398">
        <v>1.0329999999999999</v>
      </c>
      <c r="AU1398" t="s">
        <v>65</v>
      </c>
      <c r="AV1398">
        <v>28</v>
      </c>
      <c r="AW1398">
        <v>5</v>
      </c>
      <c r="AX1398" t="s">
        <v>7616</v>
      </c>
      <c r="AY1398">
        <v>3.0110000000000001E-2</v>
      </c>
      <c r="AZ1398">
        <v>-1.6900000000000001E-3</v>
      </c>
      <c r="BA1398">
        <v>2.32E-3</v>
      </c>
      <c r="BB1398">
        <v>-2.0000000000000001E-4</v>
      </c>
      <c r="BC1398">
        <v>7.7119999999999994E-2</v>
      </c>
      <c r="BD1398">
        <v>1</v>
      </c>
      <c r="BE1398" t="s">
        <v>69</v>
      </c>
      <c r="BF1398">
        <v>7.1999999999999995E-2</v>
      </c>
      <c r="BG1398">
        <v>-0.74</v>
      </c>
    </row>
    <row r="1399" spans="1:59">
      <c r="A1399">
        <v>0</v>
      </c>
      <c r="B1399">
        <v>0</v>
      </c>
      <c r="C1399">
        <v>0</v>
      </c>
      <c r="D1399" t="s">
        <v>25022</v>
      </c>
      <c r="E1399">
        <v>2447</v>
      </c>
      <c r="F1399" t="s">
        <v>14249</v>
      </c>
      <c r="G1399" t="s">
        <v>62</v>
      </c>
      <c r="H1399">
        <v>2446421</v>
      </c>
      <c r="I1399">
        <v>2447233</v>
      </c>
      <c r="J1399" t="s">
        <v>12730</v>
      </c>
      <c r="K1399">
        <v>271</v>
      </c>
      <c r="L1399" t="s">
        <v>108</v>
      </c>
      <c r="M1399">
        <v>44</v>
      </c>
      <c r="N1399" t="str">
        <f>HYPERLINK("Gene2447-zp_tree_all.dnd", "Gene2447-tree")</f>
        <v>Gene2447-tree</v>
      </c>
      <c r="O1399">
        <v>9</v>
      </c>
      <c r="P1399">
        <v>3</v>
      </c>
      <c r="Q1399">
        <v>9</v>
      </c>
      <c r="R1399">
        <v>3</v>
      </c>
      <c r="S1399">
        <v>0.25</v>
      </c>
      <c r="T1399" t="s">
        <v>135</v>
      </c>
      <c r="U1399" t="s">
        <v>324</v>
      </c>
      <c r="V1399" t="s">
        <v>62</v>
      </c>
      <c r="W1399" t="s">
        <v>62</v>
      </c>
      <c r="X1399">
        <v>0</v>
      </c>
      <c r="Y1399">
        <v>0</v>
      </c>
      <c r="Z1399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3</v>
      </c>
      <c r="AK1399">
        <v>0</v>
      </c>
      <c r="AL1399">
        <v>12</v>
      </c>
      <c r="AM1399">
        <v>7</v>
      </c>
      <c r="AN1399">
        <v>23</v>
      </c>
      <c r="AO1399">
        <v>3</v>
      </c>
      <c r="AP1399">
        <v>13</v>
      </c>
      <c r="AQ1399">
        <v>1</v>
      </c>
      <c r="AR1399" t="s">
        <v>14250</v>
      </c>
      <c r="AS1399" t="s">
        <v>14251</v>
      </c>
      <c r="AT1399">
        <v>0.24199999999999999</v>
      </c>
      <c r="AU1399" t="s">
        <v>65</v>
      </c>
      <c r="AV1399">
        <v>36</v>
      </c>
      <c r="AW1399">
        <v>4</v>
      </c>
      <c r="AX1399" t="s">
        <v>14252</v>
      </c>
      <c r="AY1399">
        <v>4.3299999999999998E-2</v>
      </c>
      <c r="AZ1399">
        <v>-1.7600000000000001E-3</v>
      </c>
      <c r="BA1399">
        <v>1.31E-3</v>
      </c>
      <c r="BB1399">
        <v>-1.2999999999999999E-4</v>
      </c>
      <c r="BC1399">
        <v>3.0280000000000001E-2</v>
      </c>
      <c r="BD1399">
        <v>1</v>
      </c>
      <c r="BE1399" t="s">
        <v>69</v>
      </c>
      <c r="BF1399">
        <v>-0.629</v>
      </c>
      <c r="BG1399">
        <v>-0.42499999999999999</v>
      </c>
    </row>
    <row r="1400" spans="1:59">
      <c r="A1400">
        <v>0</v>
      </c>
      <c r="B1400">
        <v>0</v>
      </c>
      <c r="C1400">
        <v>0</v>
      </c>
      <c r="D1400" t="s">
        <v>25022</v>
      </c>
      <c r="E1400">
        <v>3196</v>
      </c>
      <c r="F1400" t="s">
        <v>18606</v>
      </c>
      <c r="G1400" t="s">
        <v>62</v>
      </c>
      <c r="H1400">
        <v>3148904</v>
      </c>
      <c r="I1400">
        <v>3149716</v>
      </c>
      <c r="J1400" t="s">
        <v>18607</v>
      </c>
      <c r="K1400">
        <v>271</v>
      </c>
      <c r="L1400" t="s">
        <v>11324</v>
      </c>
      <c r="M1400">
        <v>46</v>
      </c>
      <c r="N1400" t="str">
        <f>HYPERLINK("Gene3196-zp_tree_all.dnd", "Gene3196-tree")</f>
        <v>Gene3196-tree</v>
      </c>
      <c r="O1400">
        <v>11</v>
      </c>
      <c r="P1400">
        <v>0</v>
      </c>
      <c r="Q1400">
        <v>11</v>
      </c>
      <c r="R1400">
        <v>0</v>
      </c>
      <c r="S1400">
        <v>0</v>
      </c>
      <c r="T1400" t="s">
        <v>73</v>
      </c>
      <c r="U1400" t="s">
        <v>62</v>
      </c>
      <c r="V1400" t="s">
        <v>62</v>
      </c>
      <c r="W1400" t="s">
        <v>62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8</v>
      </c>
      <c r="AM1400">
        <v>5</v>
      </c>
      <c r="AN1400">
        <v>41</v>
      </c>
      <c r="AO1400">
        <v>0</v>
      </c>
      <c r="AP1400">
        <v>26</v>
      </c>
      <c r="AQ1400">
        <v>0</v>
      </c>
      <c r="AR1400" t="s">
        <v>193</v>
      </c>
      <c r="AS1400" t="s">
        <v>193</v>
      </c>
      <c r="AT1400">
        <v>0</v>
      </c>
      <c r="AU1400" t="s">
        <v>65</v>
      </c>
      <c r="AV1400">
        <v>67</v>
      </c>
      <c r="AW1400">
        <v>0</v>
      </c>
      <c r="AX1400" t="s">
        <v>18608</v>
      </c>
      <c r="AY1400">
        <v>9.4479999999999995E-2</v>
      </c>
      <c r="AZ1400">
        <v>-1.3469999999999999E-2</v>
      </c>
      <c r="BA1400">
        <v>0</v>
      </c>
      <c r="BB1400">
        <v>0</v>
      </c>
      <c r="BC1400">
        <v>0</v>
      </c>
      <c r="BD1400">
        <v>1</v>
      </c>
      <c r="BE1400" t="s">
        <v>69</v>
      </c>
      <c r="BF1400">
        <v>-1.8320000000000001</v>
      </c>
      <c r="BG1400">
        <v>-2.2909999999999999</v>
      </c>
    </row>
    <row r="1401" spans="1:59">
      <c r="A1401">
        <v>0</v>
      </c>
      <c r="B1401">
        <v>5</v>
      </c>
      <c r="C1401">
        <v>2</v>
      </c>
      <c r="D1401" t="s">
        <v>25022</v>
      </c>
      <c r="E1401">
        <v>3201</v>
      </c>
      <c r="F1401" t="s">
        <v>18636</v>
      </c>
      <c r="G1401" t="s">
        <v>62</v>
      </c>
      <c r="H1401">
        <v>3154738</v>
      </c>
      <c r="I1401">
        <v>3155553</v>
      </c>
      <c r="J1401" t="s">
        <v>11802</v>
      </c>
      <c r="K1401">
        <v>272</v>
      </c>
      <c r="L1401" t="s">
        <v>108</v>
      </c>
      <c r="M1401">
        <v>44</v>
      </c>
      <c r="N1401" t="str">
        <f>HYPERLINK("Gene3201-zp_tree_all.dnd", "Gene3201-tree")</f>
        <v>Gene3201-tree</v>
      </c>
      <c r="O1401">
        <v>5</v>
      </c>
      <c r="P1401">
        <v>8</v>
      </c>
      <c r="Q1401">
        <v>5</v>
      </c>
      <c r="R1401">
        <v>8</v>
      </c>
      <c r="S1401">
        <v>0.61538000000000004</v>
      </c>
      <c r="T1401" t="s">
        <v>199</v>
      </c>
      <c r="U1401" t="s">
        <v>136</v>
      </c>
      <c r="V1401" t="s">
        <v>62</v>
      </c>
      <c r="W1401" t="s">
        <v>62</v>
      </c>
      <c r="X1401">
        <v>3</v>
      </c>
      <c r="Y1401">
        <v>7</v>
      </c>
      <c r="Z1401">
        <v>13</v>
      </c>
      <c r="AA1401">
        <v>0.35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</v>
      </c>
      <c r="AH1401">
        <v>0</v>
      </c>
      <c r="AI1401">
        <v>4</v>
      </c>
      <c r="AJ1401">
        <v>12</v>
      </c>
      <c r="AK1401">
        <v>0.25</v>
      </c>
      <c r="AL1401">
        <v>11</v>
      </c>
      <c r="AM1401">
        <v>7</v>
      </c>
      <c r="AN1401">
        <v>32</v>
      </c>
      <c r="AO1401">
        <v>18</v>
      </c>
      <c r="AP1401">
        <v>11</v>
      </c>
      <c r="AQ1401">
        <v>5</v>
      </c>
      <c r="AR1401" t="s">
        <v>18637</v>
      </c>
      <c r="AS1401" t="s">
        <v>18638</v>
      </c>
      <c r="AT1401">
        <v>0.34599999999999997</v>
      </c>
      <c r="AU1401" t="s">
        <v>65</v>
      </c>
      <c r="AV1401">
        <v>43</v>
      </c>
      <c r="AW1401">
        <v>23</v>
      </c>
      <c r="AX1401" t="s">
        <v>18639</v>
      </c>
      <c r="AY1401">
        <v>3.814E-2</v>
      </c>
      <c r="AZ1401">
        <v>-1.7799999999999999E-3</v>
      </c>
      <c r="BA1401">
        <v>6.7000000000000002E-3</v>
      </c>
      <c r="BB1401">
        <v>-3.5E-4</v>
      </c>
      <c r="BC1401">
        <v>0.17560999999999999</v>
      </c>
      <c r="BD1401">
        <v>1</v>
      </c>
      <c r="BE1401" t="s">
        <v>69</v>
      </c>
      <c r="BF1401">
        <v>-1.0620000000000001</v>
      </c>
      <c r="BG1401">
        <v>-1.59</v>
      </c>
    </row>
    <row r="1402" spans="1:59">
      <c r="A1402">
        <v>0</v>
      </c>
      <c r="B1402">
        <v>6</v>
      </c>
      <c r="C1402">
        <v>5</v>
      </c>
      <c r="D1402" t="s">
        <v>25022</v>
      </c>
      <c r="E1402">
        <v>1341</v>
      </c>
      <c r="F1402" t="s">
        <v>8386</v>
      </c>
      <c r="G1402" t="s">
        <v>57</v>
      </c>
      <c r="H1402">
        <v>1359454</v>
      </c>
      <c r="I1402">
        <v>1360269</v>
      </c>
      <c r="J1402" t="s">
        <v>8387</v>
      </c>
      <c r="K1402">
        <v>272</v>
      </c>
      <c r="L1402" t="s">
        <v>5228</v>
      </c>
      <c r="M1402">
        <v>43</v>
      </c>
      <c r="N1402" t="str">
        <f>HYPERLINK("Gene1341-zp_tree_all.dnd", "Gene1341-tree")</f>
        <v>Gene1341-tree</v>
      </c>
      <c r="O1402">
        <v>4</v>
      </c>
      <c r="P1402">
        <v>9</v>
      </c>
      <c r="Q1402">
        <v>4</v>
      </c>
      <c r="R1402">
        <v>9</v>
      </c>
      <c r="S1402">
        <v>0.69230999999999998</v>
      </c>
      <c r="T1402" t="s">
        <v>61</v>
      </c>
      <c r="U1402" t="s">
        <v>135</v>
      </c>
      <c r="V1402" t="s">
        <v>62</v>
      </c>
      <c r="W1402" t="s">
        <v>62</v>
      </c>
      <c r="X1402">
        <v>5</v>
      </c>
      <c r="Y1402">
        <v>11</v>
      </c>
      <c r="Z1402">
        <v>11</v>
      </c>
      <c r="AA1402">
        <v>0.5</v>
      </c>
      <c r="AB1402">
        <v>0</v>
      </c>
      <c r="AC1402">
        <v>0</v>
      </c>
      <c r="AD1402">
        <v>0</v>
      </c>
      <c r="AE1402">
        <v>3</v>
      </c>
      <c r="AF1402">
        <v>0</v>
      </c>
      <c r="AG1402">
        <v>4</v>
      </c>
      <c r="AH1402">
        <v>2</v>
      </c>
      <c r="AI1402">
        <v>6</v>
      </c>
      <c r="AJ1402">
        <v>10</v>
      </c>
      <c r="AK1402">
        <v>0.375</v>
      </c>
      <c r="AL1402">
        <v>11</v>
      </c>
      <c r="AM1402">
        <v>7</v>
      </c>
      <c r="AN1402">
        <v>30</v>
      </c>
      <c r="AO1402">
        <v>17</v>
      </c>
      <c r="AP1402">
        <v>20</v>
      </c>
      <c r="AQ1402">
        <v>6</v>
      </c>
      <c r="AR1402" t="s">
        <v>8388</v>
      </c>
      <c r="AS1402" t="s">
        <v>8389</v>
      </c>
      <c r="AT1402">
        <v>1.079</v>
      </c>
      <c r="AU1402" t="s">
        <v>65</v>
      </c>
      <c r="AV1402">
        <v>50</v>
      </c>
      <c r="AW1402">
        <v>23</v>
      </c>
      <c r="AX1402" t="s">
        <v>8390</v>
      </c>
      <c r="AY1402">
        <v>5.2350000000000001E-2</v>
      </c>
      <c r="AZ1402">
        <v>-2.15E-3</v>
      </c>
      <c r="BA1402">
        <v>7.3200000000000001E-3</v>
      </c>
      <c r="BB1402">
        <v>-3.2000000000000003E-4</v>
      </c>
      <c r="BC1402">
        <v>0.13988999999999999</v>
      </c>
      <c r="BD1402">
        <v>1</v>
      </c>
      <c r="BE1402" t="s">
        <v>69</v>
      </c>
      <c r="BF1402">
        <v>0.316</v>
      </c>
      <c r="BG1402">
        <v>-0.79200000000000004</v>
      </c>
    </row>
    <row r="1403" spans="1:59">
      <c r="A1403">
        <v>0</v>
      </c>
      <c r="B1403">
        <v>6</v>
      </c>
      <c r="C1403">
        <v>2</v>
      </c>
      <c r="D1403" t="s">
        <v>25022</v>
      </c>
      <c r="E1403">
        <v>447</v>
      </c>
      <c r="F1403" t="s">
        <v>3033</v>
      </c>
      <c r="G1403" t="s">
        <v>57</v>
      </c>
      <c r="H1403">
        <v>493559</v>
      </c>
      <c r="I1403">
        <v>494374</v>
      </c>
      <c r="J1403" t="s">
        <v>116</v>
      </c>
      <c r="K1403">
        <v>272</v>
      </c>
      <c r="L1403" t="s">
        <v>265</v>
      </c>
      <c r="M1403">
        <v>43</v>
      </c>
      <c r="N1403" t="str">
        <f>HYPERLINK("Gene447-zp_tree_all.dnd", "Gene447-tree")</f>
        <v>Gene447-tree</v>
      </c>
      <c r="O1403">
        <v>4</v>
      </c>
      <c r="P1403">
        <v>8</v>
      </c>
      <c r="Q1403">
        <v>4</v>
      </c>
      <c r="R1403">
        <v>8</v>
      </c>
      <c r="S1403">
        <v>0.66666999999999998</v>
      </c>
      <c r="T1403" t="s">
        <v>61</v>
      </c>
      <c r="U1403" t="s">
        <v>136</v>
      </c>
      <c r="V1403" t="s">
        <v>62</v>
      </c>
      <c r="W1403" t="s">
        <v>62</v>
      </c>
      <c r="X1403">
        <v>4</v>
      </c>
      <c r="Y1403">
        <v>8</v>
      </c>
      <c r="Z1403">
        <v>5</v>
      </c>
      <c r="AA1403">
        <v>0.61538000000000004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</v>
      </c>
      <c r="AH1403">
        <v>0</v>
      </c>
      <c r="AI1403">
        <v>2</v>
      </c>
      <c r="AJ1403">
        <v>8</v>
      </c>
      <c r="AK1403">
        <v>0.2</v>
      </c>
      <c r="AL1403">
        <v>9</v>
      </c>
      <c r="AM1403">
        <v>7</v>
      </c>
      <c r="AN1403">
        <v>21</v>
      </c>
      <c r="AO1403">
        <v>9</v>
      </c>
      <c r="AP1403">
        <v>9</v>
      </c>
      <c r="AQ1403">
        <v>4</v>
      </c>
      <c r="AR1403" t="s">
        <v>3034</v>
      </c>
      <c r="AS1403" t="s">
        <v>3035</v>
      </c>
      <c r="AT1403">
        <v>4.3999999999999997E-2</v>
      </c>
      <c r="AU1403" t="s">
        <v>65</v>
      </c>
      <c r="AV1403">
        <v>30</v>
      </c>
      <c r="AW1403">
        <v>13</v>
      </c>
      <c r="AX1403" t="s">
        <v>3036</v>
      </c>
      <c r="AY1403">
        <v>3.4889999999999997E-2</v>
      </c>
      <c r="AZ1403">
        <v>-1.89E-3</v>
      </c>
      <c r="BA1403">
        <v>4.0600000000000002E-3</v>
      </c>
      <c r="BB1403">
        <v>-2.7E-4</v>
      </c>
      <c r="BC1403">
        <v>0.11638</v>
      </c>
      <c r="BD1403">
        <v>1</v>
      </c>
      <c r="BE1403" t="s">
        <v>69</v>
      </c>
      <c r="BF1403">
        <v>-0.91100000000000003</v>
      </c>
      <c r="BG1403">
        <v>-1.8169999999999999</v>
      </c>
    </row>
    <row r="1404" spans="1:59">
      <c r="A1404">
        <v>0</v>
      </c>
      <c r="B1404">
        <v>9</v>
      </c>
      <c r="C1404">
        <v>0</v>
      </c>
      <c r="D1404" t="s">
        <v>25022</v>
      </c>
      <c r="E1404">
        <v>2994</v>
      </c>
      <c r="F1404" t="s">
        <v>17285</v>
      </c>
      <c r="G1404" t="s">
        <v>62</v>
      </c>
      <c r="H1404">
        <v>2944190</v>
      </c>
      <c r="I1404">
        <v>2945005</v>
      </c>
      <c r="J1404" t="s">
        <v>17286</v>
      </c>
      <c r="K1404">
        <v>272</v>
      </c>
      <c r="L1404" t="s">
        <v>108</v>
      </c>
      <c r="M1404">
        <v>44</v>
      </c>
      <c r="N1404" t="str">
        <f>HYPERLINK("Gene2994-zp_tree_all.dnd", "Gene2994-tree")</f>
        <v>Gene2994-tree</v>
      </c>
      <c r="O1404">
        <v>4</v>
      </c>
      <c r="P1404">
        <v>9</v>
      </c>
      <c r="Q1404">
        <v>4</v>
      </c>
      <c r="R1404">
        <v>9</v>
      </c>
      <c r="S1404">
        <v>0.69230999999999998</v>
      </c>
      <c r="T1404" t="s">
        <v>61</v>
      </c>
      <c r="U1404" t="s">
        <v>135</v>
      </c>
      <c r="V1404" t="s">
        <v>62</v>
      </c>
      <c r="W1404" t="s">
        <v>62</v>
      </c>
      <c r="X1404">
        <v>4</v>
      </c>
      <c r="Y1404">
        <v>9</v>
      </c>
      <c r="Z1404">
        <v>8</v>
      </c>
      <c r="AA1404">
        <v>0.52941000000000005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4</v>
      </c>
      <c r="AH1404">
        <v>0</v>
      </c>
      <c r="AI1404">
        <v>4</v>
      </c>
      <c r="AJ1404">
        <v>10</v>
      </c>
      <c r="AK1404">
        <v>0.28571000000000002</v>
      </c>
      <c r="AL1404">
        <v>10</v>
      </c>
      <c r="AM1404">
        <v>8</v>
      </c>
      <c r="AN1404">
        <v>28</v>
      </c>
      <c r="AO1404">
        <v>13</v>
      </c>
      <c r="AP1404">
        <v>18</v>
      </c>
      <c r="AQ1404">
        <v>4</v>
      </c>
      <c r="AR1404" t="s">
        <v>17287</v>
      </c>
      <c r="AS1404" t="s">
        <v>17288</v>
      </c>
      <c r="AT1404">
        <v>1.056</v>
      </c>
      <c r="AU1404" t="s">
        <v>65</v>
      </c>
      <c r="AV1404">
        <v>46</v>
      </c>
      <c r="AW1404">
        <v>17</v>
      </c>
      <c r="AX1404" t="s">
        <v>17289</v>
      </c>
      <c r="AY1404">
        <v>4.761E-2</v>
      </c>
      <c r="AZ1404">
        <v>-2.48E-3</v>
      </c>
      <c r="BA1404">
        <v>4.5999999999999999E-3</v>
      </c>
      <c r="BB1404">
        <v>-2.2000000000000001E-4</v>
      </c>
      <c r="BC1404">
        <v>9.6610000000000001E-2</v>
      </c>
      <c r="BD1404">
        <v>1</v>
      </c>
      <c r="BE1404" t="s">
        <v>69</v>
      </c>
      <c r="BF1404">
        <v>-1.9E-2</v>
      </c>
      <c r="BG1404">
        <v>-0.26600000000000001</v>
      </c>
    </row>
    <row r="1405" spans="1:59">
      <c r="A1405">
        <v>0</v>
      </c>
      <c r="B1405">
        <v>7</v>
      </c>
      <c r="C1405">
        <v>0</v>
      </c>
      <c r="D1405" t="s">
        <v>25022</v>
      </c>
      <c r="E1405">
        <v>3967</v>
      </c>
      <c r="F1405" t="s">
        <v>23312</v>
      </c>
      <c r="G1405" t="s">
        <v>62</v>
      </c>
      <c r="H1405">
        <v>3931375</v>
      </c>
      <c r="I1405">
        <v>3932190</v>
      </c>
      <c r="J1405" t="s">
        <v>23313</v>
      </c>
      <c r="K1405">
        <v>272</v>
      </c>
      <c r="L1405" t="s">
        <v>108</v>
      </c>
      <c r="M1405">
        <v>44</v>
      </c>
      <c r="N1405" t="str">
        <f>HYPERLINK("Gene3967-zp_tree_all.dnd", "Gene3967-tree")</f>
        <v>Gene3967-tree</v>
      </c>
      <c r="O1405">
        <v>5</v>
      </c>
      <c r="P1405">
        <v>10</v>
      </c>
      <c r="Q1405">
        <v>5</v>
      </c>
      <c r="R1405">
        <v>10</v>
      </c>
      <c r="S1405">
        <v>0.66666999999999998</v>
      </c>
      <c r="T1405" t="s">
        <v>199</v>
      </c>
      <c r="U1405" t="s">
        <v>117</v>
      </c>
      <c r="V1405" t="s">
        <v>62</v>
      </c>
      <c r="W1405" t="s">
        <v>62</v>
      </c>
      <c r="X1405">
        <v>3</v>
      </c>
      <c r="Y1405">
        <v>7</v>
      </c>
      <c r="Z1405">
        <v>8</v>
      </c>
      <c r="AA1405">
        <v>0.46666999999999997</v>
      </c>
      <c r="AB1405">
        <v>0</v>
      </c>
      <c r="AC1405">
        <v>0</v>
      </c>
      <c r="AD1405">
        <v>0</v>
      </c>
      <c r="AE1405">
        <v>2</v>
      </c>
      <c r="AF1405">
        <v>0</v>
      </c>
      <c r="AG1405">
        <v>2</v>
      </c>
      <c r="AH1405">
        <v>0</v>
      </c>
      <c r="AI1405">
        <v>2</v>
      </c>
      <c r="AJ1405">
        <v>9</v>
      </c>
      <c r="AK1405">
        <v>0.18182000000000001</v>
      </c>
      <c r="AL1405">
        <v>12</v>
      </c>
      <c r="AM1405">
        <v>9</v>
      </c>
      <c r="AN1405">
        <v>41</v>
      </c>
      <c r="AO1405">
        <v>12</v>
      </c>
      <c r="AP1405">
        <v>26</v>
      </c>
      <c r="AQ1405">
        <v>4</v>
      </c>
      <c r="AR1405" t="s">
        <v>23314</v>
      </c>
      <c r="AS1405" t="s">
        <v>23315</v>
      </c>
      <c r="AT1405">
        <v>0.73399999999999999</v>
      </c>
      <c r="AU1405" t="s">
        <v>65</v>
      </c>
      <c r="AV1405">
        <v>67</v>
      </c>
      <c r="AW1405">
        <v>16</v>
      </c>
      <c r="AX1405" t="s">
        <v>23316</v>
      </c>
      <c r="AY1405">
        <v>5.6460000000000003E-2</v>
      </c>
      <c r="AZ1405">
        <v>-2.6700000000000001E-3</v>
      </c>
      <c r="BA1405">
        <v>4.28E-3</v>
      </c>
      <c r="BB1405">
        <v>-2.2000000000000001E-4</v>
      </c>
      <c r="BC1405">
        <v>7.5870000000000007E-2</v>
      </c>
      <c r="BD1405">
        <v>1</v>
      </c>
      <c r="BE1405" t="s">
        <v>69</v>
      </c>
      <c r="BF1405">
        <v>-1.08</v>
      </c>
      <c r="BG1405">
        <v>-1.64</v>
      </c>
    </row>
    <row r="1406" spans="1:59">
      <c r="A1406">
        <v>0</v>
      </c>
      <c r="B1406">
        <v>2</v>
      </c>
      <c r="C1406">
        <v>0</v>
      </c>
      <c r="D1406" t="s">
        <v>25022</v>
      </c>
      <c r="E1406">
        <v>314</v>
      </c>
      <c r="F1406" t="s">
        <v>2140</v>
      </c>
      <c r="G1406" t="s">
        <v>57</v>
      </c>
      <c r="H1406">
        <v>338288</v>
      </c>
      <c r="I1406">
        <v>339103</v>
      </c>
      <c r="J1406" t="s">
        <v>2141</v>
      </c>
      <c r="K1406">
        <v>272</v>
      </c>
      <c r="L1406" t="s">
        <v>108</v>
      </c>
      <c r="M1406">
        <v>44</v>
      </c>
      <c r="N1406" t="str">
        <f>HYPERLINK("Gene314-zp_tree_all.dnd", "Gene314-tree")</f>
        <v>Gene314-tree</v>
      </c>
      <c r="O1406">
        <v>30</v>
      </c>
      <c r="P1406">
        <v>5</v>
      </c>
      <c r="Q1406">
        <v>9</v>
      </c>
      <c r="R1406">
        <v>5</v>
      </c>
      <c r="S1406">
        <v>0.35714000000000001</v>
      </c>
      <c r="T1406" t="s">
        <v>2142</v>
      </c>
      <c r="U1406" t="s">
        <v>199</v>
      </c>
      <c r="V1406" t="s">
        <v>62</v>
      </c>
      <c r="W1406" t="s">
        <v>62</v>
      </c>
      <c r="X1406">
        <v>1</v>
      </c>
      <c r="Y1406">
        <v>2</v>
      </c>
      <c r="Z1406">
        <v>4</v>
      </c>
      <c r="AA1406">
        <v>0.33333000000000002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5</v>
      </c>
      <c r="AK1406">
        <v>0</v>
      </c>
      <c r="AL1406">
        <v>11</v>
      </c>
      <c r="AM1406">
        <v>9</v>
      </c>
      <c r="AN1406">
        <v>17</v>
      </c>
      <c r="AO1406">
        <v>5</v>
      </c>
      <c r="AP1406">
        <v>12</v>
      </c>
      <c r="AQ1406">
        <v>1</v>
      </c>
      <c r="AR1406" t="s">
        <v>2143</v>
      </c>
      <c r="AS1406" t="s">
        <v>2144</v>
      </c>
      <c r="AT1406">
        <v>0.68799999999999994</v>
      </c>
      <c r="AU1406" t="s">
        <v>65</v>
      </c>
      <c r="AV1406">
        <v>29</v>
      </c>
      <c r="AW1406">
        <v>6</v>
      </c>
      <c r="AX1406" t="s">
        <v>2145</v>
      </c>
      <c r="AY1406">
        <v>3.1949999999999999E-2</v>
      </c>
      <c r="AZ1406">
        <v>-1.4499999999999999E-3</v>
      </c>
      <c r="BA1406">
        <v>1.48E-3</v>
      </c>
      <c r="BB1406">
        <v>-1.2999999999999999E-4</v>
      </c>
      <c r="BC1406">
        <v>4.6289999999999998E-2</v>
      </c>
      <c r="BD1406">
        <v>1</v>
      </c>
      <c r="BE1406" t="s">
        <v>69</v>
      </c>
      <c r="BF1406">
        <v>-0.64900000000000002</v>
      </c>
      <c r="BG1406">
        <v>-1.2250000000000001</v>
      </c>
    </row>
    <row r="1407" spans="1:59">
      <c r="A1407">
        <v>0</v>
      </c>
      <c r="B1407">
        <v>0</v>
      </c>
      <c r="C1407">
        <v>0</v>
      </c>
      <c r="D1407" t="s">
        <v>25022</v>
      </c>
      <c r="E1407">
        <v>3091</v>
      </c>
      <c r="F1407" t="s">
        <v>17917</v>
      </c>
      <c r="G1407" t="s">
        <v>62</v>
      </c>
      <c r="H1407">
        <v>3043287</v>
      </c>
      <c r="I1407">
        <v>3044102</v>
      </c>
      <c r="J1407" t="s">
        <v>17918</v>
      </c>
      <c r="K1407">
        <v>272</v>
      </c>
      <c r="L1407" t="s">
        <v>108</v>
      </c>
      <c r="M1407">
        <v>44</v>
      </c>
      <c r="N1407" t="str">
        <f>HYPERLINK("Gene3091-zp_tree_all.dnd", "Gene3091-tree")</f>
        <v>Gene3091-tree</v>
      </c>
      <c r="O1407">
        <v>6</v>
      </c>
      <c r="P1407">
        <v>4</v>
      </c>
      <c r="Q1407">
        <v>6</v>
      </c>
      <c r="R1407">
        <v>4</v>
      </c>
      <c r="S1407">
        <v>0.4</v>
      </c>
      <c r="T1407" t="s">
        <v>90</v>
      </c>
      <c r="U1407" t="s">
        <v>61</v>
      </c>
      <c r="V1407" t="s">
        <v>62</v>
      </c>
      <c r="W1407" t="s">
        <v>62</v>
      </c>
      <c r="X1407">
        <v>0</v>
      </c>
      <c r="Y1407">
        <v>0</v>
      </c>
      <c r="Z1407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4</v>
      </c>
      <c r="AK1407">
        <v>0</v>
      </c>
      <c r="AL1407">
        <v>9</v>
      </c>
      <c r="AM1407">
        <v>6</v>
      </c>
      <c r="AN1407">
        <v>14</v>
      </c>
      <c r="AO1407">
        <v>4</v>
      </c>
      <c r="AP1407">
        <v>10</v>
      </c>
      <c r="AQ1407">
        <v>0</v>
      </c>
      <c r="AR1407" t="s">
        <v>17919</v>
      </c>
      <c r="AS1407" t="s">
        <v>193</v>
      </c>
      <c r="AT1407">
        <v>1.742</v>
      </c>
      <c r="AU1407" t="s">
        <v>65</v>
      </c>
      <c r="AV1407">
        <v>24</v>
      </c>
      <c r="AW1407">
        <v>4</v>
      </c>
      <c r="AX1407" t="s">
        <v>17920</v>
      </c>
      <c r="AY1407">
        <v>3.3709999999999997E-2</v>
      </c>
      <c r="AZ1407">
        <v>-1.6800000000000001E-3</v>
      </c>
      <c r="BA1407">
        <v>1.2800000000000001E-3</v>
      </c>
      <c r="BB1407">
        <v>-1.6000000000000001E-4</v>
      </c>
      <c r="BC1407">
        <v>3.7949999999999998E-2</v>
      </c>
      <c r="BD1407">
        <v>1</v>
      </c>
      <c r="BE1407" t="s">
        <v>69</v>
      </c>
      <c r="BF1407">
        <v>-0.74199999999999999</v>
      </c>
      <c r="BG1407">
        <v>-0.27200000000000002</v>
      </c>
    </row>
    <row r="1408" spans="1:59">
      <c r="A1408">
        <v>0</v>
      </c>
      <c r="B1408">
        <v>0</v>
      </c>
      <c r="C1408">
        <v>0</v>
      </c>
      <c r="D1408" t="s">
        <v>25022</v>
      </c>
      <c r="E1408">
        <v>2956</v>
      </c>
      <c r="F1408" t="s">
        <v>17055</v>
      </c>
      <c r="G1408" t="s">
        <v>62</v>
      </c>
      <c r="H1408">
        <v>2903220</v>
      </c>
      <c r="I1408">
        <v>2904035</v>
      </c>
      <c r="J1408" t="s">
        <v>16003</v>
      </c>
      <c r="K1408">
        <v>272</v>
      </c>
      <c r="L1408" t="s">
        <v>108</v>
      </c>
      <c r="M1408">
        <v>44</v>
      </c>
      <c r="N1408" t="str">
        <f>HYPERLINK("Gene2956-zp_tree_all.dnd", "Gene2956-tree")</f>
        <v>Gene2956-tree</v>
      </c>
      <c r="O1408">
        <v>13</v>
      </c>
      <c r="P1408">
        <v>0</v>
      </c>
      <c r="Q1408">
        <v>13</v>
      </c>
      <c r="R1408">
        <v>0</v>
      </c>
      <c r="S1408">
        <v>0</v>
      </c>
      <c r="T1408" t="s">
        <v>507</v>
      </c>
      <c r="U1408" t="s">
        <v>62</v>
      </c>
      <c r="V1408" t="s">
        <v>62</v>
      </c>
      <c r="W1408" t="s">
        <v>62</v>
      </c>
      <c r="X1408">
        <v>0</v>
      </c>
      <c r="Y1408">
        <v>0</v>
      </c>
      <c r="Z1408">
        <v>4</v>
      </c>
      <c r="AA1408">
        <v>0</v>
      </c>
      <c r="AB1408">
        <v>0</v>
      </c>
      <c r="AC1408">
        <v>0</v>
      </c>
      <c r="AD1408">
        <v>0</v>
      </c>
      <c r="AE1408">
        <v>4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10</v>
      </c>
      <c r="AM1408">
        <v>10</v>
      </c>
      <c r="AN1408">
        <v>33</v>
      </c>
      <c r="AO1408">
        <v>0</v>
      </c>
      <c r="AP1408">
        <v>41</v>
      </c>
      <c r="AQ1408">
        <v>4</v>
      </c>
      <c r="AR1408" t="s">
        <v>193</v>
      </c>
      <c r="AS1408" t="s">
        <v>17056</v>
      </c>
      <c r="AT1408">
        <v>0.48099999999999998</v>
      </c>
      <c r="AU1408" t="s">
        <v>65</v>
      </c>
      <c r="AV1408">
        <v>74</v>
      </c>
      <c r="AW1408">
        <v>4</v>
      </c>
      <c r="AX1408" t="s">
        <v>17057</v>
      </c>
      <c r="AY1408">
        <v>9.2829999999999996E-2</v>
      </c>
      <c r="AZ1408">
        <v>-6.0299999999999998E-3</v>
      </c>
      <c r="BA1408">
        <v>1.82E-3</v>
      </c>
      <c r="BB1408">
        <v>-2.5000000000000001E-4</v>
      </c>
      <c r="BC1408">
        <v>1.9560000000000001E-2</v>
      </c>
      <c r="BD1408">
        <v>1</v>
      </c>
      <c r="BE1408" t="s">
        <v>69</v>
      </c>
      <c r="BF1408">
        <v>1.204</v>
      </c>
      <c r="BG1408">
        <v>0.78500000000000003</v>
      </c>
    </row>
    <row r="1409" spans="1:59">
      <c r="A1409">
        <v>0</v>
      </c>
      <c r="B1409">
        <v>2</v>
      </c>
      <c r="C1409">
        <v>0</v>
      </c>
      <c r="D1409" t="s">
        <v>25022</v>
      </c>
      <c r="E1409">
        <v>2764</v>
      </c>
      <c r="F1409" t="s">
        <v>15857</v>
      </c>
      <c r="G1409" t="s">
        <v>62</v>
      </c>
      <c r="H1409">
        <v>2716038</v>
      </c>
      <c r="I1409">
        <v>2716856</v>
      </c>
      <c r="J1409" t="s">
        <v>15858</v>
      </c>
      <c r="K1409">
        <v>273</v>
      </c>
      <c r="L1409" t="s">
        <v>108</v>
      </c>
      <c r="M1409">
        <v>44</v>
      </c>
      <c r="N1409" t="str">
        <f>HYPERLINK("Gene2764-zp_tree_all.dnd", "Gene2764-tree")</f>
        <v>Gene2764-tree</v>
      </c>
      <c r="O1409">
        <v>5</v>
      </c>
      <c r="P1409">
        <v>7</v>
      </c>
      <c r="Q1409">
        <v>5</v>
      </c>
      <c r="R1409">
        <v>7</v>
      </c>
      <c r="S1409">
        <v>0.58333000000000002</v>
      </c>
      <c r="T1409" t="s">
        <v>199</v>
      </c>
      <c r="U1409" t="s">
        <v>152</v>
      </c>
      <c r="V1409" t="s">
        <v>62</v>
      </c>
      <c r="W1409" t="s">
        <v>62</v>
      </c>
      <c r="X1409">
        <v>1</v>
      </c>
      <c r="Y1409">
        <v>2</v>
      </c>
      <c r="Z1409">
        <v>14</v>
      </c>
      <c r="AA1409">
        <v>0.125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</v>
      </c>
      <c r="AH1409">
        <v>0</v>
      </c>
      <c r="AI1409">
        <v>2</v>
      </c>
      <c r="AJ1409">
        <v>11</v>
      </c>
      <c r="AK1409">
        <v>0.15384999999999999</v>
      </c>
      <c r="AL1409">
        <v>8</v>
      </c>
      <c r="AM1409">
        <v>7</v>
      </c>
      <c r="AN1409">
        <v>18</v>
      </c>
      <c r="AO1409">
        <v>11</v>
      </c>
      <c r="AP1409">
        <v>9</v>
      </c>
      <c r="AQ1409">
        <v>5</v>
      </c>
      <c r="AR1409" t="s">
        <v>15859</v>
      </c>
      <c r="AS1409" t="s">
        <v>15860</v>
      </c>
      <c r="AT1409">
        <v>8.6999999999999994E-2</v>
      </c>
      <c r="AU1409" t="s">
        <v>65</v>
      </c>
      <c r="AV1409">
        <v>27</v>
      </c>
      <c r="AW1409">
        <v>16</v>
      </c>
      <c r="AX1409" t="s">
        <v>15861</v>
      </c>
      <c r="AY1409">
        <v>3.1859999999999999E-2</v>
      </c>
      <c r="AZ1409">
        <v>-2.1900000000000001E-3</v>
      </c>
      <c r="BA1409">
        <v>5.5700000000000003E-3</v>
      </c>
      <c r="BB1409">
        <v>-4.6000000000000001E-4</v>
      </c>
      <c r="BC1409">
        <v>0.17493</v>
      </c>
      <c r="BD1409">
        <v>1</v>
      </c>
      <c r="BE1409" t="s">
        <v>69</v>
      </c>
      <c r="BF1409">
        <v>-1.1559999999999999</v>
      </c>
      <c r="BG1409">
        <v>-1.9710000000000001</v>
      </c>
    </row>
    <row r="1410" spans="1:59">
      <c r="A1410">
        <v>0</v>
      </c>
      <c r="B1410">
        <v>4</v>
      </c>
      <c r="C1410">
        <v>2</v>
      </c>
      <c r="D1410" t="s">
        <v>25022</v>
      </c>
      <c r="E1410">
        <v>2043</v>
      </c>
      <c r="F1410" t="s">
        <v>12722</v>
      </c>
      <c r="G1410" t="s">
        <v>62</v>
      </c>
      <c r="H1410">
        <v>2134569</v>
      </c>
      <c r="I1410">
        <v>2135387</v>
      </c>
      <c r="J1410" t="s">
        <v>12723</v>
      </c>
      <c r="K1410">
        <v>273</v>
      </c>
      <c r="L1410" t="s">
        <v>698</v>
      </c>
      <c r="M1410">
        <v>47</v>
      </c>
      <c r="N1410" t="str">
        <f>HYPERLINK("Gene2043-zp_tree_all.dnd", "Gene2043-tree")</f>
        <v>Gene2043-tree</v>
      </c>
      <c r="O1410">
        <v>8</v>
      </c>
      <c r="P1410">
        <v>11</v>
      </c>
      <c r="Q1410">
        <v>8</v>
      </c>
      <c r="R1410">
        <v>11</v>
      </c>
      <c r="S1410">
        <v>0.57894999999999996</v>
      </c>
      <c r="T1410" t="s">
        <v>136</v>
      </c>
      <c r="U1410" t="s">
        <v>73</v>
      </c>
      <c r="V1410">
        <v>42922973.636</v>
      </c>
      <c r="W1410" t="s">
        <v>267</v>
      </c>
      <c r="X1410">
        <v>3</v>
      </c>
      <c r="Y1410">
        <v>6</v>
      </c>
      <c r="Z1410">
        <v>17</v>
      </c>
      <c r="AA1410">
        <v>0.26086999999999999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2</v>
      </c>
      <c r="AI1410">
        <v>2</v>
      </c>
      <c r="AJ1410">
        <v>13</v>
      </c>
      <c r="AK1410">
        <v>0.13333</v>
      </c>
      <c r="AL1410">
        <v>15</v>
      </c>
      <c r="AM1410">
        <v>10</v>
      </c>
      <c r="AN1410">
        <v>34</v>
      </c>
      <c r="AO1410">
        <v>15</v>
      </c>
      <c r="AP1410">
        <v>36</v>
      </c>
      <c r="AQ1410">
        <v>8</v>
      </c>
      <c r="AR1410" t="s">
        <v>12724</v>
      </c>
      <c r="AS1410" t="s">
        <v>12725</v>
      </c>
      <c r="AT1410">
        <v>0.46</v>
      </c>
      <c r="AU1410" t="s">
        <v>65</v>
      </c>
      <c r="AV1410">
        <v>70</v>
      </c>
      <c r="AW1410">
        <v>23</v>
      </c>
      <c r="AX1410" t="s">
        <v>12726</v>
      </c>
      <c r="AY1410">
        <v>7.5700000000000003E-2</v>
      </c>
      <c r="AZ1410">
        <v>-5.4099999999999999E-3</v>
      </c>
      <c r="BA1410">
        <v>5.8799999999999998E-3</v>
      </c>
      <c r="BB1410">
        <v>-4.2000000000000002E-4</v>
      </c>
      <c r="BC1410">
        <v>7.7729999999999994E-2</v>
      </c>
      <c r="BD1410">
        <v>1</v>
      </c>
      <c r="BE1410" t="s">
        <v>69</v>
      </c>
      <c r="BF1410">
        <v>-1.7629999999999999</v>
      </c>
      <c r="BG1410">
        <v>-1.4279999999999999</v>
      </c>
    </row>
    <row r="1411" spans="1:59">
      <c r="A1411">
        <v>0</v>
      </c>
      <c r="B1411">
        <v>4</v>
      </c>
      <c r="C1411">
        <v>0</v>
      </c>
      <c r="D1411" t="s">
        <v>25022</v>
      </c>
      <c r="E1411">
        <v>3356</v>
      </c>
      <c r="F1411" t="s">
        <v>19609</v>
      </c>
      <c r="G1411" t="s">
        <v>62</v>
      </c>
      <c r="H1411">
        <v>3325081</v>
      </c>
      <c r="I1411">
        <v>3325899</v>
      </c>
      <c r="J1411" t="s">
        <v>2569</v>
      </c>
      <c r="K1411">
        <v>273</v>
      </c>
      <c r="L1411" t="s">
        <v>108</v>
      </c>
      <c r="M1411">
        <v>44</v>
      </c>
      <c r="N1411" t="str">
        <f>HYPERLINK("Gene3356-zp_tree_all.dnd", "Gene3356-tree")</f>
        <v>Gene3356-tree</v>
      </c>
      <c r="O1411">
        <v>10</v>
      </c>
      <c r="P1411">
        <v>5</v>
      </c>
      <c r="Q1411">
        <v>10</v>
      </c>
      <c r="R1411">
        <v>5</v>
      </c>
      <c r="S1411">
        <v>0.33333000000000002</v>
      </c>
      <c r="T1411" t="s">
        <v>117</v>
      </c>
      <c r="U1411" t="s">
        <v>199</v>
      </c>
      <c r="V1411" t="s">
        <v>62</v>
      </c>
      <c r="W1411" t="s">
        <v>62</v>
      </c>
      <c r="X1411">
        <v>2</v>
      </c>
      <c r="Y1411">
        <v>4</v>
      </c>
      <c r="Z1411">
        <v>5</v>
      </c>
      <c r="AA1411">
        <v>0.44444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4</v>
      </c>
      <c r="AH1411">
        <v>0</v>
      </c>
      <c r="AI1411">
        <v>4</v>
      </c>
      <c r="AJ1411">
        <v>4</v>
      </c>
      <c r="AK1411">
        <v>0.5</v>
      </c>
      <c r="AL1411">
        <v>10</v>
      </c>
      <c r="AM1411">
        <v>9</v>
      </c>
      <c r="AN1411">
        <v>30</v>
      </c>
      <c r="AO1411">
        <v>7</v>
      </c>
      <c r="AP1411">
        <v>9</v>
      </c>
      <c r="AQ1411">
        <v>2</v>
      </c>
      <c r="AR1411" t="s">
        <v>19610</v>
      </c>
      <c r="AS1411" t="s">
        <v>19611</v>
      </c>
      <c r="AT1411">
        <v>0.02</v>
      </c>
      <c r="AU1411" t="s">
        <v>65</v>
      </c>
      <c r="AV1411">
        <v>39</v>
      </c>
      <c r="AW1411">
        <v>9</v>
      </c>
      <c r="AX1411" t="s">
        <v>19612</v>
      </c>
      <c r="AY1411">
        <v>3.2059999999999998E-2</v>
      </c>
      <c r="AZ1411">
        <v>-2.0400000000000001E-3</v>
      </c>
      <c r="BA1411">
        <v>2.4499999999999999E-3</v>
      </c>
      <c r="BB1411">
        <v>-2.2000000000000001E-4</v>
      </c>
      <c r="BC1411">
        <v>7.6310000000000003E-2</v>
      </c>
      <c r="BD1411">
        <v>1</v>
      </c>
      <c r="BE1411" t="s">
        <v>69</v>
      </c>
      <c r="BF1411">
        <v>-1.1319999999999999</v>
      </c>
      <c r="BG1411">
        <v>-2.5350000000000001</v>
      </c>
    </row>
    <row r="1412" spans="1:59">
      <c r="A1412">
        <v>0</v>
      </c>
      <c r="B1412">
        <v>0</v>
      </c>
      <c r="C1412">
        <v>0</v>
      </c>
      <c r="D1412" t="s">
        <v>25022</v>
      </c>
      <c r="E1412">
        <v>176</v>
      </c>
      <c r="F1412" t="s">
        <v>1243</v>
      </c>
      <c r="G1412" t="s">
        <v>57</v>
      </c>
      <c r="H1412">
        <v>196213</v>
      </c>
      <c r="I1412">
        <v>197031</v>
      </c>
      <c r="J1412" t="s">
        <v>1244</v>
      </c>
      <c r="K1412">
        <v>273</v>
      </c>
      <c r="L1412" t="s">
        <v>59</v>
      </c>
      <c r="M1412">
        <v>49</v>
      </c>
      <c r="N1412" t="str">
        <f>HYPERLINK("Gene176-zp_tree_all.dnd", "Gene176-tree")</f>
        <v>Gene176-tree</v>
      </c>
      <c r="O1412">
        <v>17</v>
      </c>
      <c r="P1412">
        <v>3</v>
      </c>
      <c r="Q1412">
        <v>17</v>
      </c>
      <c r="R1412">
        <v>3</v>
      </c>
      <c r="S1412">
        <v>0.15</v>
      </c>
      <c r="T1412" t="s">
        <v>266</v>
      </c>
      <c r="U1412" t="s">
        <v>324</v>
      </c>
      <c r="V1412" t="s">
        <v>62</v>
      </c>
      <c r="W1412" t="s">
        <v>62</v>
      </c>
      <c r="X1412">
        <v>0</v>
      </c>
      <c r="Y1412">
        <v>0</v>
      </c>
      <c r="Z1412">
        <v>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</v>
      </c>
      <c r="AK1412">
        <v>0</v>
      </c>
      <c r="AL1412">
        <v>18</v>
      </c>
      <c r="AM1412">
        <v>13</v>
      </c>
      <c r="AN1412">
        <v>48</v>
      </c>
      <c r="AO1412">
        <v>3</v>
      </c>
      <c r="AP1412">
        <v>55</v>
      </c>
      <c r="AQ1412">
        <v>0</v>
      </c>
      <c r="AR1412" t="s">
        <v>1245</v>
      </c>
      <c r="AS1412" t="s">
        <v>193</v>
      </c>
      <c r="AT1412">
        <v>0.76800000000000002</v>
      </c>
      <c r="AU1412" t="s">
        <v>65</v>
      </c>
      <c r="AV1412">
        <v>103</v>
      </c>
      <c r="AW1412">
        <v>3</v>
      </c>
      <c r="AX1412" t="s">
        <v>1246</v>
      </c>
      <c r="AY1412">
        <v>9.9879999999999997E-2</v>
      </c>
      <c r="AZ1412">
        <v>-5.3699999999999998E-3</v>
      </c>
      <c r="BA1412">
        <v>5.1999999999999995E-4</v>
      </c>
      <c r="BB1412">
        <v>-6.0000000000000002E-5</v>
      </c>
      <c r="BC1412">
        <v>5.2199999999999998E-3</v>
      </c>
      <c r="BD1412">
        <v>1</v>
      </c>
      <c r="BE1412" t="s">
        <v>69</v>
      </c>
      <c r="BF1412">
        <v>-1.0609999999999999</v>
      </c>
      <c r="BG1412">
        <v>-1.19</v>
      </c>
    </row>
    <row r="1413" spans="1:59">
      <c r="A1413">
        <v>0</v>
      </c>
      <c r="B1413">
        <v>2</v>
      </c>
      <c r="C1413">
        <v>0</v>
      </c>
      <c r="D1413" t="s">
        <v>25022</v>
      </c>
      <c r="E1413">
        <v>3197</v>
      </c>
      <c r="F1413" t="s">
        <v>18610</v>
      </c>
      <c r="G1413" t="s">
        <v>62</v>
      </c>
      <c r="H1413">
        <v>3149754</v>
      </c>
      <c r="I1413">
        <v>3150575</v>
      </c>
      <c r="J1413" t="s">
        <v>18611</v>
      </c>
      <c r="K1413">
        <v>274</v>
      </c>
      <c r="L1413" t="s">
        <v>108</v>
      </c>
      <c r="M1413">
        <v>44</v>
      </c>
      <c r="N1413" t="str">
        <f>HYPERLINK("Gene3197-zp_tree_all.dnd", "Gene3197-tree")</f>
        <v>Gene3197-tree</v>
      </c>
      <c r="O1413">
        <v>5</v>
      </c>
      <c r="P1413">
        <v>9</v>
      </c>
      <c r="Q1413">
        <v>5</v>
      </c>
      <c r="R1413">
        <v>9</v>
      </c>
      <c r="S1413">
        <v>0.64285999999999999</v>
      </c>
      <c r="T1413" t="s">
        <v>199</v>
      </c>
      <c r="U1413" t="s">
        <v>135</v>
      </c>
      <c r="V1413" t="s">
        <v>62</v>
      </c>
      <c r="W1413" t="s">
        <v>62</v>
      </c>
      <c r="X1413">
        <v>1</v>
      </c>
      <c r="Y1413">
        <v>2</v>
      </c>
      <c r="Z1413">
        <v>19</v>
      </c>
      <c r="AA1413">
        <v>9.5240000000000005E-2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2</v>
      </c>
      <c r="AH1413">
        <v>0</v>
      </c>
      <c r="AI1413">
        <v>2</v>
      </c>
      <c r="AJ1413">
        <v>17</v>
      </c>
      <c r="AK1413">
        <v>0.10526000000000001</v>
      </c>
      <c r="AL1413">
        <v>10</v>
      </c>
      <c r="AM1413">
        <v>8</v>
      </c>
      <c r="AN1413">
        <v>17</v>
      </c>
      <c r="AO1413">
        <v>17</v>
      </c>
      <c r="AP1413">
        <v>10</v>
      </c>
      <c r="AQ1413">
        <v>4</v>
      </c>
      <c r="AR1413" t="s">
        <v>18612</v>
      </c>
      <c r="AS1413" t="s">
        <v>18613</v>
      </c>
      <c r="AT1413">
        <v>1.0049999999999999</v>
      </c>
      <c r="AU1413" t="s">
        <v>65</v>
      </c>
      <c r="AV1413">
        <v>27</v>
      </c>
      <c r="AW1413">
        <v>21</v>
      </c>
      <c r="AX1413" t="s">
        <v>18614</v>
      </c>
      <c r="AY1413">
        <v>2.716E-2</v>
      </c>
      <c r="AZ1413">
        <v>-1.5E-3</v>
      </c>
      <c r="BA1413">
        <v>6.3299999999999997E-3</v>
      </c>
      <c r="BB1413">
        <v>-3.5E-4</v>
      </c>
      <c r="BC1413">
        <v>0.23299</v>
      </c>
      <c r="BD1413">
        <v>1</v>
      </c>
      <c r="BE1413" t="s">
        <v>69</v>
      </c>
      <c r="BF1413">
        <v>-0.41199999999999998</v>
      </c>
      <c r="BG1413">
        <v>-1.2470000000000001</v>
      </c>
    </row>
    <row r="1414" spans="1:59">
      <c r="A1414">
        <v>0</v>
      </c>
      <c r="B1414">
        <v>4</v>
      </c>
      <c r="C1414">
        <v>2</v>
      </c>
      <c r="D1414" t="s">
        <v>25022</v>
      </c>
      <c r="E1414">
        <v>3394</v>
      </c>
      <c r="F1414" t="s">
        <v>19851</v>
      </c>
      <c r="G1414" t="s">
        <v>62</v>
      </c>
      <c r="H1414">
        <v>3361770</v>
      </c>
      <c r="I1414">
        <v>3362591</v>
      </c>
      <c r="J1414" t="s">
        <v>19852</v>
      </c>
      <c r="K1414">
        <v>274</v>
      </c>
      <c r="L1414" t="s">
        <v>59</v>
      </c>
      <c r="M1414">
        <v>49</v>
      </c>
      <c r="N1414" t="str">
        <f>HYPERLINK("Gene3394-zp_tree_all.dnd", "Gene3394-tree")</f>
        <v>Gene3394-tree</v>
      </c>
      <c r="O1414">
        <v>13</v>
      </c>
      <c r="P1414">
        <v>7</v>
      </c>
      <c r="Q1414">
        <v>13</v>
      </c>
      <c r="R1414">
        <v>7</v>
      </c>
      <c r="S1414">
        <v>0.35</v>
      </c>
      <c r="T1414" t="s">
        <v>507</v>
      </c>
      <c r="U1414" t="s">
        <v>152</v>
      </c>
      <c r="V1414" t="s">
        <v>62</v>
      </c>
      <c r="W1414" t="s">
        <v>62</v>
      </c>
      <c r="X1414">
        <v>3</v>
      </c>
      <c r="Y1414">
        <v>6</v>
      </c>
      <c r="Z1414">
        <v>12</v>
      </c>
      <c r="AA1414">
        <v>0.33333000000000002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</v>
      </c>
      <c r="AK1414">
        <v>0</v>
      </c>
      <c r="AL1414">
        <v>13</v>
      </c>
      <c r="AM1414">
        <v>15</v>
      </c>
      <c r="AN1414">
        <v>24</v>
      </c>
      <c r="AO1414">
        <v>7</v>
      </c>
      <c r="AP1414">
        <v>44</v>
      </c>
      <c r="AQ1414">
        <v>11</v>
      </c>
      <c r="AR1414" t="s">
        <v>19853</v>
      </c>
      <c r="AS1414" t="s">
        <v>19854</v>
      </c>
      <c r="AT1414">
        <v>0.158</v>
      </c>
      <c r="AU1414" t="s">
        <v>65</v>
      </c>
      <c r="AV1414">
        <v>68</v>
      </c>
      <c r="AW1414">
        <v>18</v>
      </c>
      <c r="AX1414" t="s">
        <v>19855</v>
      </c>
      <c r="AY1414">
        <v>7.961E-2</v>
      </c>
      <c r="AZ1414">
        <v>-3.6099999999999999E-3</v>
      </c>
      <c r="BA1414">
        <v>5.6800000000000002E-3</v>
      </c>
      <c r="BB1414">
        <v>-3.2000000000000003E-4</v>
      </c>
      <c r="BC1414">
        <v>7.1400000000000005E-2</v>
      </c>
      <c r="BD1414">
        <v>1</v>
      </c>
      <c r="BE1414" t="s">
        <v>69</v>
      </c>
      <c r="BF1414">
        <v>-1.292</v>
      </c>
      <c r="BG1414">
        <v>0.46700000000000003</v>
      </c>
    </row>
    <row r="1415" spans="1:59">
      <c r="A1415">
        <v>0</v>
      </c>
      <c r="B1415">
        <v>0</v>
      </c>
      <c r="C1415">
        <v>0</v>
      </c>
      <c r="D1415" t="s">
        <v>25022</v>
      </c>
      <c r="E1415">
        <v>1342</v>
      </c>
      <c r="F1415" t="s">
        <v>8393</v>
      </c>
      <c r="G1415" t="s">
        <v>57</v>
      </c>
      <c r="H1415">
        <v>1360401</v>
      </c>
      <c r="I1415">
        <v>1361222</v>
      </c>
      <c r="J1415" t="s">
        <v>8394</v>
      </c>
      <c r="K1415">
        <v>274</v>
      </c>
      <c r="L1415" t="s">
        <v>108</v>
      </c>
      <c r="M1415">
        <v>44</v>
      </c>
      <c r="N1415" t="str">
        <f>HYPERLINK("Gene1342-zp_tree_all.dnd", "Gene1342-tree")</f>
        <v>Gene1342-tree</v>
      </c>
      <c r="O1415">
        <v>8</v>
      </c>
      <c r="P1415">
        <v>2</v>
      </c>
      <c r="Q1415">
        <v>8</v>
      </c>
      <c r="R1415">
        <v>2</v>
      </c>
      <c r="S1415">
        <v>0.2</v>
      </c>
      <c r="T1415" t="s">
        <v>136</v>
      </c>
      <c r="U1415" t="s">
        <v>81</v>
      </c>
      <c r="V1415" t="s">
        <v>62</v>
      </c>
      <c r="W1415" t="s">
        <v>62</v>
      </c>
      <c r="X1415">
        <v>0</v>
      </c>
      <c r="Y1415">
        <v>0</v>
      </c>
      <c r="Z1415">
        <v>3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2</v>
      </c>
      <c r="AK1415">
        <v>0</v>
      </c>
      <c r="AL1415">
        <v>5</v>
      </c>
      <c r="AM1415">
        <v>6</v>
      </c>
      <c r="AN1415">
        <v>9</v>
      </c>
      <c r="AO1415">
        <v>2</v>
      </c>
      <c r="AP1415">
        <v>8</v>
      </c>
      <c r="AQ1415">
        <v>1</v>
      </c>
      <c r="AR1415" t="s">
        <v>8395</v>
      </c>
      <c r="AS1415" t="s">
        <v>8396</v>
      </c>
      <c r="AT1415">
        <v>0.28499999999999998</v>
      </c>
      <c r="AU1415" t="s">
        <v>65</v>
      </c>
      <c r="AV1415">
        <v>17</v>
      </c>
      <c r="AW1415">
        <v>3</v>
      </c>
      <c r="AX1415" t="s">
        <v>8397</v>
      </c>
      <c r="AY1415">
        <v>2.3650000000000001E-2</v>
      </c>
      <c r="AZ1415">
        <v>-1.6100000000000001E-3</v>
      </c>
      <c r="BA1415">
        <v>1.2099999999999999E-3</v>
      </c>
      <c r="BB1415">
        <v>-1.4999999999999999E-4</v>
      </c>
      <c r="BC1415">
        <v>5.0999999999999997E-2</v>
      </c>
      <c r="BD1415">
        <v>1</v>
      </c>
      <c r="BE1415" t="s">
        <v>69</v>
      </c>
      <c r="BF1415">
        <v>0.51600000000000001</v>
      </c>
      <c r="BG1415">
        <v>-0.40400000000000003</v>
      </c>
    </row>
    <row r="1416" spans="1:59">
      <c r="A1416">
        <v>0</v>
      </c>
      <c r="B1416">
        <v>2</v>
      </c>
      <c r="C1416">
        <v>0</v>
      </c>
      <c r="D1416" t="s">
        <v>25022</v>
      </c>
      <c r="E1416">
        <v>963</v>
      </c>
      <c r="F1416" t="s">
        <v>6037</v>
      </c>
      <c r="G1416" t="s">
        <v>57</v>
      </c>
      <c r="H1416">
        <v>1002501</v>
      </c>
      <c r="I1416">
        <v>1003322</v>
      </c>
      <c r="J1416" t="s">
        <v>6038</v>
      </c>
      <c r="K1416">
        <v>274</v>
      </c>
      <c r="L1416" t="s">
        <v>465</v>
      </c>
      <c r="M1416">
        <v>46</v>
      </c>
      <c r="N1416" t="str">
        <f>HYPERLINK("Gene963-zp_tree_all.dnd", "Gene963-tree")</f>
        <v>Gene963-tree</v>
      </c>
      <c r="O1416">
        <v>14</v>
      </c>
      <c r="P1416">
        <v>3</v>
      </c>
      <c r="Q1416">
        <v>14</v>
      </c>
      <c r="R1416">
        <v>3</v>
      </c>
      <c r="S1416">
        <v>0.17646999999999999</v>
      </c>
      <c r="T1416" t="s">
        <v>543</v>
      </c>
      <c r="U1416" t="s">
        <v>324</v>
      </c>
      <c r="V1416" t="s">
        <v>62</v>
      </c>
      <c r="W1416" t="s">
        <v>62</v>
      </c>
      <c r="X1416">
        <v>1</v>
      </c>
      <c r="Y1416">
        <v>2</v>
      </c>
      <c r="Z1416">
        <v>4</v>
      </c>
      <c r="AA1416">
        <v>0.33333000000000002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4</v>
      </c>
      <c r="AK1416">
        <v>0</v>
      </c>
      <c r="AL1416">
        <v>14</v>
      </c>
      <c r="AM1416">
        <v>8</v>
      </c>
      <c r="AN1416">
        <v>27</v>
      </c>
      <c r="AO1416">
        <v>4</v>
      </c>
      <c r="AP1416">
        <v>41</v>
      </c>
      <c r="AQ1416">
        <v>2</v>
      </c>
      <c r="AR1416" t="s">
        <v>6039</v>
      </c>
      <c r="AS1416" t="s">
        <v>6040</v>
      </c>
      <c r="AT1416">
        <v>0.40400000000000003</v>
      </c>
      <c r="AU1416" t="s">
        <v>65</v>
      </c>
      <c r="AV1416">
        <v>68</v>
      </c>
      <c r="AW1416">
        <v>6</v>
      </c>
      <c r="AX1416" t="s">
        <v>6041</v>
      </c>
      <c r="AY1416">
        <v>6.6049999999999998E-2</v>
      </c>
      <c r="AZ1416">
        <v>-5.77E-3</v>
      </c>
      <c r="BA1416">
        <v>1.4400000000000001E-3</v>
      </c>
      <c r="BB1416">
        <v>-1.3999999999999999E-4</v>
      </c>
      <c r="BC1416">
        <v>2.1860000000000001E-2</v>
      </c>
      <c r="BD1416">
        <v>1</v>
      </c>
      <c r="BE1416" t="s">
        <v>69</v>
      </c>
      <c r="BF1416">
        <v>-1.4730000000000001</v>
      </c>
      <c r="BG1416">
        <v>-0.29199999999999998</v>
      </c>
    </row>
    <row r="1417" spans="1:59">
      <c r="A1417">
        <v>0</v>
      </c>
      <c r="B1417">
        <v>2</v>
      </c>
      <c r="C1417">
        <v>0</v>
      </c>
      <c r="D1417" t="s">
        <v>25022</v>
      </c>
      <c r="E1417">
        <v>476</v>
      </c>
      <c r="F1417" t="s">
        <v>3223</v>
      </c>
      <c r="G1417" t="s">
        <v>57</v>
      </c>
      <c r="H1417">
        <v>519408</v>
      </c>
      <c r="I1417">
        <v>520229</v>
      </c>
      <c r="J1417" t="s">
        <v>3224</v>
      </c>
      <c r="K1417">
        <v>274</v>
      </c>
      <c r="L1417" t="s">
        <v>108</v>
      </c>
      <c r="M1417">
        <v>44</v>
      </c>
      <c r="N1417" t="str">
        <f>HYPERLINK("Gene476-zp_tree_all.dnd", "Gene476-tree")</f>
        <v>Gene476-tree</v>
      </c>
      <c r="O1417">
        <v>13</v>
      </c>
      <c r="P1417">
        <v>3</v>
      </c>
      <c r="Q1417">
        <v>13</v>
      </c>
      <c r="R1417">
        <v>3</v>
      </c>
      <c r="S1417">
        <v>0.1875</v>
      </c>
      <c r="T1417" t="s">
        <v>507</v>
      </c>
      <c r="U1417" t="s">
        <v>324</v>
      </c>
      <c r="V1417" t="s">
        <v>62</v>
      </c>
      <c r="W1417" t="s">
        <v>62</v>
      </c>
      <c r="X1417">
        <v>1</v>
      </c>
      <c r="Y1417">
        <v>2</v>
      </c>
      <c r="Z1417">
        <v>2</v>
      </c>
      <c r="AA1417">
        <v>0.5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</v>
      </c>
      <c r="AH1417">
        <v>0</v>
      </c>
      <c r="AI1417">
        <v>2</v>
      </c>
      <c r="AJ1417">
        <v>2</v>
      </c>
      <c r="AK1417">
        <v>0.5</v>
      </c>
      <c r="AL1417">
        <v>13</v>
      </c>
      <c r="AM1417">
        <v>11</v>
      </c>
      <c r="AN1417">
        <v>52</v>
      </c>
      <c r="AO1417">
        <v>4</v>
      </c>
      <c r="AP1417">
        <v>18</v>
      </c>
      <c r="AQ1417">
        <v>0</v>
      </c>
      <c r="AR1417" t="s">
        <v>3225</v>
      </c>
      <c r="AS1417" t="s">
        <v>193</v>
      </c>
      <c r="AT1417">
        <v>0.68</v>
      </c>
      <c r="AU1417" t="s">
        <v>65</v>
      </c>
      <c r="AV1417">
        <v>70</v>
      </c>
      <c r="AW1417">
        <v>4</v>
      </c>
      <c r="AX1417" t="s">
        <v>3226</v>
      </c>
      <c r="AY1417">
        <v>5.5899999999999998E-2</v>
      </c>
      <c r="AZ1417">
        <v>-3.2499999999999999E-3</v>
      </c>
      <c r="BA1417">
        <v>7.6999999999999996E-4</v>
      </c>
      <c r="BB1417">
        <v>-1.1E-4</v>
      </c>
      <c r="BC1417">
        <v>1.37E-2</v>
      </c>
      <c r="BD1417">
        <v>1</v>
      </c>
      <c r="BE1417" t="s">
        <v>69</v>
      </c>
      <c r="BF1417">
        <v>-1.0740000000000001</v>
      </c>
      <c r="BG1417">
        <v>-0.64900000000000002</v>
      </c>
    </row>
    <row r="1418" spans="1:59">
      <c r="A1418">
        <v>0</v>
      </c>
      <c r="B1418">
        <v>2</v>
      </c>
      <c r="C1418">
        <v>4</v>
      </c>
      <c r="D1418" t="s">
        <v>25022</v>
      </c>
      <c r="E1418">
        <v>2054</v>
      </c>
      <c r="F1418" t="s">
        <v>12788</v>
      </c>
      <c r="G1418" t="s">
        <v>62</v>
      </c>
      <c r="H1418">
        <v>2140901</v>
      </c>
      <c r="I1418">
        <v>2141725</v>
      </c>
      <c r="J1418" t="s">
        <v>12789</v>
      </c>
      <c r="K1418">
        <v>275</v>
      </c>
      <c r="L1418" t="s">
        <v>108</v>
      </c>
      <c r="M1418">
        <v>44</v>
      </c>
      <c r="N1418" t="str">
        <f>HYPERLINK("Gene2054-zp_tree_all.dnd", "Gene2054-tree")</f>
        <v>Gene2054-tree</v>
      </c>
      <c r="O1418">
        <v>8</v>
      </c>
      <c r="P1418">
        <v>7</v>
      </c>
      <c r="Q1418">
        <v>8</v>
      </c>
      <c r="R1418">
        <v>7</v>
      </c>
      <c r="S1418">
        <v>0.46666999999999997</v>
      </c>
      <c r="T1418" t="s">
        <v>136</v>
      </c>
      <c r="U1418" t="s">
        <v>152</v>
      </c>
      <c r="V1418" t="s">
        <v>62</v>
      </c>
      <c r="W1418" t="s">
        <v>62</v>
      </c>
      <c r="X1418">
        <v>3</v>
      </c>
      <c r="Y1418">
        <v>6</v>
      </c>
      <c r="Z1418">
        <v>18</v>
      </c>
      <c r="AA1418">
        <v>0.25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</v>
      </c>
      <c r="AH1418">
        <v>4</v>
      </c>
      <c r="AI1418">
        <v>6</v>
      </c>
      <c r="AJ1418">
        <v>13</v>
      </c>
      <c r="AK1418">
        <v>0.31579000000000002</v>
      </c>
      <c r="AL1418">
        <v>12</v>
      </c>
      <c r="AM1418">
        <v>8</v>
      </c>
      <c r="AN1418">
        <v>23</v>
      </c>
      <c r="AO1418">
        <v>19</v>
      </c>
      <c r="AP1418">
        <v>16</v>
      </c>
      <c r="AQ1418">
        <v>5</v>
      </c>
      <c r="AR1418" t="s">
        <v>12790</v>
      </c>
      <c r="AS1418" t="s">
        <v>12791</v>
      </c>
      <c r="AT1418">
        <v>0.88600000000000001</v>
      </c>
      <c r="AU1418" t="s">
        <v>65</v>
      </c>
      <c r="AV1418">
        <v>39</v>
      </c>
      <c r="AW1418">
        <v>24</v>
      </c>
      <c r="AX1418" t="s">
        <v>12792</v>
      </c>
      <c r="AY1418">
        <v>3.7560000000000003E-2</v>
      </c>
      <c r="AZ1418">
        <v>-1.8799999999999999E-3</v>
      </c>
      <c r="BA1418">
        <v>6.8500000000000002E-3</v>
      </c>
      <c r="BB1418">
        <v>-4.0000000000000002E-4</v>
      </c>
      <c r="BC1418">
        <v>0.18242</v>
      </c>
      <c r="BD1418">
        <v>1</v>
      </c>
      <c r="BE1418" t="s">
        <v>69</v>
      </c>
      <c r="BF1418">
        <v>-0.69499999999999995</v>
      </c>
      <c r="BG1418">
        <v>-1.7829999999999999</v>
      </c>
    </row>
    <row r="1419" spans="1:59">
      <c r="A1419">
        <v>0</v>
      </c>
      <c r="B1419">
        <v>4</v>
      </c>
      <c r="C1419">
        <v>0</v>
      </c>
      <c r="D1419" t="s">
        <v>25022</v>
      </c>
      <c r="E1419">
        <v>2079</v>
      </c>
      <c r="F1419" t="s">
        <v>12881</v>
      </c>
      <c r="G1419" t="s">
        <v>62</v>
      </c>
      <c r="H1419">
        <v>2155296</v>
      </c>
      <c r="I1419">
        <v>2156120</v>
      </c>
      <c r="J1419" t="s">
        <v>12882</v>
      </c>
      <c r="K1419">
        <v>275</v>
      </c>
      <c r="L1419" t="s">
        <v>12883</v>
      </c>
      <c r="M1419">
        <v>17</v>
      </c>
      <c r="N1419" t="str">
        <f>HYPERLINK("Gene2079-zp_tree_all.dnd", "Gene2079-tree")</f>
        <v>Gene2079-tree</v>
      </c>
      <c r="O1419">
        <v>0</v>
      </c>
      <c r="P1419">
        <v>17</v>
      </c>
      <c r="Q1419">
        <v>0</v>
      </c>
      <c r="R1419">
        <v>4</v>
      </c>
      <c r="S1419">
        <v>1</v>
      </c>
      <c r="T1419" t="s">
        <v>62</v>
      </c>
      <c r="U1419" t="s">
        <v>12884</v>
      </c>
      <c r="V1419">
        <v>4.8689999999999998</v>
      </c>
      <c r="W1419" t="s">
        <v>65</v>
      </c>
      <c r="X1419">
        <v>2</v>
      </c>
      <c r="Y1419">
        <v>4</v>
      </c>
      <c r="Z1419">
        <v>17</v>
      </c>
      <c r="AA1419">
        <v>0.19048000000000001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4</v>
      </c>
      <c r="AH1419">
        <v>0</v>
      </c>
      <c r="AI1419">
        <v>4</v>
      </c>
      <c r="AJ1419">
        <v>17</v>
      </c>
      <c r="AK1419">
        <v>0.19048000000000001</v>
      </c>
      <c r="AL1419">
        <v>4</v>
      </c>
      <c r="AM1419">
        <v>1</v>
      </c>
      <c r="AN1419">
        <v>47</v>
      </c>
      <c r="AO1419">
        <v>21</v>
      </c>
      <c r="AP1419">
        <v>4</v>
      </c>
      <c r="AQ1419">
        <v>0</v>
      </c>
      <c r="AR1419" t="s">
        <v>12885</v>
      </c>
      <c r="AS1419" t="s">
        <v>193</v>
      </c>
      <c r="AT1419">
        <v>3.9529999999999998</v>
      </c>
      <c r="AU1419" t="s">
        <v>267</v>
      </c>
      <c r="AV1419">
        <v>51</v>
      </c>
      <c r="AW1419">
        <v>21</v>
      </c>
      <c r="AX1419" t="s">
        <v>12886</v>
      </c>
      <c r="AY1419">
        <v>0.15212000000000001</v>
      </c>
      <c r="AZ1419">
        <v>-2.647E-2</v>
      </c>
      <c r="BA1419">
        <v>1.519E-2</v>
      </c>
      <c r="BB1419">
        <v>-2.82E-3</v>
      </c>
      <c r="BC1419">
        <v>9.9890000000000007E-2</v>
      </c>
      <c r="BD1419">
        <v>1</v>
      </c>
      <c r="BE1419" t="s">
        <v>69</v>
      </c>
      <c r="BF1419">
        <v>-2.2400000000000002</v>
      </c>
      <c r="BG1419">
        <v>-3.008</v>
      </c>
    </row>
    <row r="1420" spans="1:59">
      <c r="A1420">
        <v>0</v>
      </c>
      <c r="B1420">
        <v>0</v>
      </c>
      <c r="C1420">
        <v>0</v>
      </c>
      <c r="D1420" t="s">
        <v>25022</v>
      </c>
      <c r="E1420">
        <v>3703</v>
      </c>
      <c r="F1420" t="s">
        <v>21697</v>
      </c>
      <c r="G1420" t="s">
        <v>62</v>
      </c>
      <c r="H1420">
        <v>3675170</v>
      </c>
      <c r="I1420">
        <v>3675994</v>
      </c>
      <c r="J1420" t="s">
        <v>21698</v>
      </c>
      <c r="K1420">
        <v>275</v>
      </c>
      <c r="L1420" t="s">
        <v>12343</v>
      </c>
      <c r="M1420">
        <v>25</v>
      </c>
      <c r="N1420" t="str">
        <f>HYPERLINK("Gene3703-zp_tree_all.dnd", "Gene3703-tree")</f>
        <v>Gene3703-tree</v>
      </c>
      <c r="O1420">
        <v>3</v>
      </c>
      <c r="P1420">
        <v>1</v>
      </c>
      <c r="Q1420">
        <v>3</v>
      </c>
      <c r="R1420">
        <v>1</v>
      </c>
      <c r="S1420">
        <v>0.25</v>
      </c>
      <c r="T1420" t="s">
        <v>324</v>
      </c>
      <c r="U1420" t="s">
        <v>175</v>
      </c>
      <c r="V1420" t="s">
        <v>62</v>
      </c>
      <c r="W1420" t="s">
        <v>62</v>
      </c>
      <c r="X1420">
        <v>0</v>
      </c>
      <c r="Y1420">
        <v>0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</v>
      </c>
      <c r="AK1420">
        <v>0</v>
      </c>
      <c r="AL1420">
        <v>4</v>
      </c>
      <c r="AM1420">
        <v>1</v>
      </c>
      <c r="AN1420">
        <v>6</v>
      </c>
      <c r="AO1420">
        <v>2</v>
      </c>
      <c r="AP1420">
        <v>1</v>
      </c>
      <c r="AQ1420">
        <v>0</v>
      </c>
      <c r="AR1420" t="s">
        <v>21699</v>
      </c>
      <c r="AS1420" t="s">
        <v>193</v>
      </c>
      <c r="AT1420">
        <v>0.64300000000000002</v>
      </c>
      <c r="AU1420" t="s">
        <v>65</v>
      </c>
      <c r="AV1420">
        <v>7</v>
      </c>
      <c r="AW1420">
        <v>2</v>
      </c>
      <c r="AX1420" t="s">
        <v>21700</v>
      </c>
      <c r="AY1420">
        <v>2.0650000000000002E-2</v>
      </c>
      <c r="AZ1420">
        <v>-1.74E-3</v>
      </c>
      <c r="BA1420">
        <v>1.5499999999999999E-3</v>
      </c>
      <c r="BB1420">
        <v>-6.3000000000000003E-4</v>
      </c>
      <c r="BC1420">
        <v>7.5230000000000005E-2</v>
      </c>
      <c r="BD1420">
        <v>1</v>
      </c>
      <c r="BE1420" t="s">
        <v>69</v>
      </c>
      <c r="BF1420">
        <v>-1.974</v>
      </c>
      <c r="BG1420">
        <v>-2.496</v>
      </c>
    </row>
    <row r="1421" spans="1:59">
      <c r="A1421">
        <v>0</v>
      </c>
      <c r="B1421">
        <v>6</v>
      </c>
      <c r="C1421">
        <v>1</v>
      </c>
      <c r="D1421" t="s">
        <v>25022</v>
      </c>
      <c r="E1421">
        <v>1306</v>
      </c>
      <c r="F1421" t="s">
        <v>8200</v>
      </c>
      <c r="G1421" t="s">
        <v>57</v>
      </c>
      <c r="H1421">
        <v>1328702</v>
      </c>
      <c r="I1421">
        <v>1329526</v>
      </c>
      <c r="J1421" t="s">
        <v>8099</v>
      </c>
      <c r="K1421">
        <v>275</v>
      </c>
      <c r="L1421" t="s">
        <v>727</v>
      </c>
      <c r="M1421">
        <v>48</v>
      </c>
      <c r="N1421" t="str">
        <f>HYPERLINK("Gene1306-zp_tree_all.dnd", "Gene1306-tree")</f>
        <v>Gene1306-tree</v>
      </c>
      <c r="O1421">
        <v>9</v>
      </c>
      <c r="P1421">
        <v>9</v>
      </c>
      <c r="Q1421">
        <v>9</v>
      </c>
      <c r="R1421">
        <v>9</v>
      </c>
      <c r="S1421">
        <v>0.5</v>
      </c>
      <c r="T1421" t="s">
        <v>135</v>
      </c>
      <c r="U1421" t="s">
        <v>135</v>
      </c>
      <c r="V1421" t="s">
        <v>62</v>
      </c>
      <c r="W1421" t="s">
        <v>62</v>
      </c>
      <c r="X1421">
        <v>2</v>
      </c>
      <c r="Y1421">
        <v>7</v>
      </c>
      <c r="Z1421">
        <v>18</v>
      </c>
      <c r="AA1421">
        <v>0.28000000000000003</v>
      </c>
      <c r="AB1421">
        <v>2</v>
      </c>
      <c r="AC1421">
        <v>0</v>
      </c>
      <c r="AD1421">
        <v>2</v>
      </c>
      <c r="AE1421">
        <v>1</v>
      </c>
      <c r="AF1421">
        <v>0.66666999999999998</v>
      </c>
      <c r="AG1421">
        <v>0</v>
      </c>
      <c r="AH1421">
        <v>0</v>
      </c>
      <c r="AI1421">
        <v>0</v>
      </c>
      <c r="AJ1421">
        <v>11</v>
      </c>
      <c r="AK1421">
        <v>0</v>
      </c>
      <c r="AL1421">
        <v>14</v>
      </c>
      <c r="AM1421">
        <v>13</v>
      </c>
      <c r="AN1421">
        <v>35</v>
      </c>
      <c r="AO1421">
        <v>11</v>
      </c>
      <c r="AP1421">
        <v>45</v>
      </c>
      <c r="AQ1421">
        <v>16</v>
      </c>
      <c r="AR1421" t="s">
        <v>8201</v>
      </c>
      <c r="AS1421" t="s">
        <v>8202</v>
      </c>
      <c r="AT1421">
        <v>0.16500000000000001</v>
      </c>
      <c r="AU1421" t="s">
        <v>65</v>
      </c>
      <c r="AV1421">
        <v>80</v>
      </c>
      <c r="AW1421">
        <v>27</v>
      </c>
      <c r="AX1421" t="s">
        <v>8203</v>
      </c>
      <c r="AY1421">
        <v>0.10384</v>
      </c>
      <c r="AZ1421">
        <v>-5.2399999999999999E-3</v>
      </c>
      <c r="BA1421">
        <v>7.8100000000000001E-3</v>
      </c>
      <c r="BB1421">
        <v>-4.0999999999999999E-4</v>
      </c>
      <c r="BC1421">
        <v>7.5209999999999999E-2</v>
      </c>
      <c r="BD1421">
        <v>1</v>
      </c>
      <c r="BE1421" t="s">
        <v>69</v>
      </c>
      <c r="BF1421">
        <v>-1.4750000000000001</v>
      </c>
      <c r="BG1421">
        <v>-1.3260000000000001</v>
      </c>
    </row>
    <row r="1422" spans="1:59">
      <c r="A1422">
        <v>0</v>
      </c>
      <c r="B1422">
        <v>2</v>
      </c>
      <c r="C1422">
        <v>2</v>
      </c>
      <c r="D1422" t="s">
        <v>25022</v>
      </c>
      <c r="E1422">
        <v>4085</v>
      </c>
      <c r="F1422" t="s">
        <v>24048</v>
      </c>
      <c r="G1422" t="s">
        <v>62</v>
      </c>
      <c r="H1422">
        <v>4053457</v>
      </c>
      <c r="I1422">
        <v>4054281</v>
      </c>
      <c r="J1422" t="s">
        <v>6103</v>
      </c>
      <c r="K1422">
        <v>275</v>
      </c>
      <c r="L1422" t="s">
        <v>108</v>
      </c>
      <c r="M1422">
        <v>44</v>
      </c>
      <c r="N1422" t="str">
        <f>HYPERLINK("Gene4085-zp_tree_all.dnd", "Gene4085-tree")</f>
        <v>Gene4085-tree</v>
      </c>
      <c r="O1422">
        <v>6</v>
      </c>
      <c r="P1422">
        <v>9</v>
      </c>
      <c r="Q1422">
        <v>6</v>
      </c>
      <c r="R1422">
        <v>9</v>
      </c>
      <c r="S1422">
        <v>0.6</v>
      </c>
      <c r="T1422" t="s">
        <v>90</v>
      </c>
      <c r="U1422" t="s">
        <v>135</v>
      </c>
      <c r="V1422" t="s">
        <v>62</v>
      </c>
      <c r="W1422" t="s">
        <v>62</v>
      </c>
      <c r="X1422">
        <v>2</v>
      </c>
      <c r="Y1422">
        <v>4</v>
      </c>
      <c r="Z1422">
        <v>19</v>
      </c>
      <c r="AA1422">
        <v>0.17391000000000001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2</v>
      </c>
      <c r="AH1422">
        <v>2</v>
      </c>
      <c r="AI1422">
        <v>4</v>
      </c>
      <c r="AJ1422">
        <v>18</v>
      </c>
      <c r="AK1422">
        <v>0.18182000000000001</v>
      </c>
      <c r="AL1422">
        <v>13</v>
      </c>
      <c r="AM1422">
        <v>11</v>
      </c>
      <c r="AN1422">
        <v>67</v>
      </c>
      <c r="AO1422">
        <v>18</v>
      </c>
      <c r="AP1422">
        <v>28</v>
      </c>
      <c r="AQ1422">
        <v>5</v>
      </c>
      <c r="AR1422" t="s">
        <v>24049</v>
      </c>
      <c r="AS1422" t="s">
        <v>24050</v>
      </c>
      <c r="AT1422">
        <v>0.19900000000000001</v>
      </c>
      <c r="AU1422" t="s">
        <v>65</v>
      </c>
      <c r="AV1422">
        <v>95</v>
      </c>
      <c r="AW1422">
        <v>23</v>
      </c>
      <c r="AX1422" t="s">
        <v>24051</v>
      </c>
      <c r="AY1422">
        <v>8.1059999999999993E-2</v>
      </c>
      <c r="AZ1422">
        <v>-2.7499999999999998E-3</v>
      </c>
      <c r="BA1422">
        <v>5.8399999999999997E-3</v>
      </c>
      <c r="BB1422">
        <v>-5.1000000000000004E-4</v>
      </c>
      <c r="BC1422">
        <v>7.2010000000000005E-2</v>
      </c>
      <c r="BD1422">
        <v>1</v>
      </c>
      <c r="BE1422" t="s">
        <v>69</v>
      </c>
      <c r="BF1422">
        <v>-1.109</v>
      </c>
      <c r="BG1422">
        <v>-2.2879999999999998</v>
      </c>
    </row>
    <row r="1423" spans="1:59">
      <c r="A1423">
        <v>0</v>
      </c>
      <c r="B1423">
        <v>3</v>
      </c>
      <c r="C1423">
        <v>0</v>
      </c>
      <c r="D1423" t="s">
        <v>25022</v>
      </c>
      <c r="E1423">
        <v>824</v>
      </c>
      <c r="F1423" t="s">
        <v>5133</v>
      </c>
      <c r="G1423" t="s">
        <v>57</v>
      </c>
      <c r="H1423">
        <v>862836</v>
      </c>
      <c r="I1423">
        <v>863660</v>
      </c>
      <c r="J1423" t="s">
        <v>5134</v>
      </c>
      <c r="K1423">
        <v>275</v>
      </c>
      <c r="L1423" t="s">
        <v>108</v>
      </c>
      <c r="M1423">
        <v>44</v>
      </c>
      <c r="N1423" t="str">
        <f>HYPERLINK("Gene824-zp_tree_all.dnd", "Gene824-tree")</f>
        <v>Gene824-tree</v>
      </c>
      <c r="O1423">
        <v>8</v>
      </c>
      <c r="P1423">
        <v>3</v>
      </c>
      <c r="Q1423">
        <v>8</v>
      </c>
      <c r="R1423">
        <v>3</v>
      </c>
      <c r="S1423">
        <v>0.27272999999999997</v>
      </c>
      <c r="T1423" t="s">
        <v>136</v>
      </c>
      <c r="U1423" t="s">
        <v>324</v>
      </c>
      <c r="V1423" t="s">
        <v>62</v>
      </c>
      <c r="W1423" t="s">
        <v>62</v>
      </c>
      <c r="X1423">
        <v>1</v>
      </c>
      <c r="Y1423">
        <v>3</v>
      </c>
      <c r="Z1423">
        <v>1</v>
      </c>
      <c r="AA1423">
        <v>0.75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</v>
      </c>
      <c r="AH1423">
        <v>0</v>
      </c>
      <c r="AI1423">
        <v>2</v>
      </c>
      <c r="AJ1423">
        <v>1</v>
      </c>
      <c r="AK1423">
        <v>0.66666999999999998</v>
      </c>
      <c r="AL1423">
        <v>10</v>
      </c>
      <c r="AM1423">
        <v>6</v>
      </c>
      <c r="AN1423">
        <v>31</v>
      </c>
      <c r="AO1423">
        <v>3</v>
      </c>
      <c r="AP1423">
        <v>14</v>
      </c>
      <c r="AQ1423">
        <v>1</v>
      </c>
      <c r="AR1423" t="s">
        <v>5135</v>
      </c>
      <c r="AS1423" t="s">
        <v>5136</v>
      </c>
      <c r="AT1423">
        <v>0.13800000000000001</v>
      </c>
      <c r="AU1423" t="s">
        <v>65</v>
      </c>
      <c r="AV1423">
        <v>45</v>
      </c>
      <c r="AW1423">
        <v>4</v>
      </c>
      <c r="AX1423" t="s">
        <v>5137</v>
      </c>
      <c r="AY1423">
        <v>3.9449999999999999E-2</v>
      </c>
      <c r="AZ1423">
        <v>-2.1199999999999999E-3</v>
      </c>
      <c r="BA1423">
        <v>1.16E-3</v>
      </c>
      <c r="BB1423">
        <v>-1.4999999999999999E-4</v>
      </c>
      <c r="BC1423">
        <v>2.9340000000000001E-2</v>
      </c>
      <c r="BD1423">
        <v>1</v>
      </c>
      <c r="BE1423" t="s">
        <v>69</v>
      </c>
      <c r="BF1423">
        <v>-1.0669999999999999</v>
      </c>
      <c r="BG1423">
        <v>-2.9159999999999999</v>
      </c>
    </row>
    <row r="1424" spans="1:59">
      <c r="A1424">
        <v>0</v>
      </c>
      <c r="B1424">
        <v>0</v>
      </c>
      <c r="C1424">
        <v>4</v>
      </c>
      <c r="D1424" t="s">
        <v>25022</v>
      </c>
      <c r="E1424">
        <v>3417</v>
      </c>
      <c r="F1424" t="s">
        <v>20000</v>
      </c>
      <c r="G1424" t="s">
        <v>62</v>
      </c>
      <c r="H1424">
        <v>3379115</v>
      </c>
      <c r="I1424">
        <v>3379939</v>
      </c>
      <c r="J1424" t="s">
        <v>20001</v>
      </c>
      <c r="K1424">
        <v>275</v>
      </c>
      <c r="L1424" t="s">
        <v>59</v>
      </c>
      <c r="M1424">
        <v>49</v>
      </c>
      <c r="N1424" t="str">
        <f>HYPERLINK("Gene3417-zp_tree_all.dnd", "Gene3417-tree")</f>
        <v>Gene3417-tree</v>
      </c>
      <c r="O1424">
        <v>13</v>
      </c>
      <c r="P1424">
        <v>4</v>
      </c>
      <c r="Q1424">
        <v>13</v>
      </c>
      <c r="R1424">
        <v>4</v>
      </c>
      <c r="S1424">
        <v>0.23529</v>
      </c>
      <c r="T1424" t="s">
        <v>507</v>
      </c>
      <c r="U1424" t="s">
        <v>61</v>
      </c>
      <c r="V1424" t="s">
        <v>62</v>
      </c>
      <c r="W1424" t="s">
        <v>62</v>
      </c>
      <c r="X1424">
        <v>2</v>
      </c>
      <c r="Y1424">
        <v>4</v>
      </c>
      <c r="Z1424">
        <v>4</v>
      </c>
      <c r="AA1424">
        <v>0.5</v>
      </c>
      <c r="AB1424">
        <v>0</v>
      </c>
      <c r="AC1424">
        <v>0</v>
      </c>
      <c r="AD1424">
        <v>0</v>
      </c>
      <c r="AE1424">
        <v>2</v>
      </c>
      <c r="AF1424">
        <v>0</v>
      </c>
      <c r="AG1424">
        <v>0</v>
      </c>
      <c r="AH1424">
        <v>0</v>
      </c>
      <c r="AI1424">
        <v>0</v>
      </c>
      <c r="AJ1424">
        <v>4</v>
      </c>
      <c r="AK1424">
        <v>0</v>
      </c>
      <c r="AL1424">
        <v>14</v>
      </c>
      <c r="AM1424">
        <v>12</v>
      </c>
      <c r="AN1424">
        <v>41</v>
      </c>
      <c r="AO1424">
        <v>4</v>
      </c>
      <c r="AP1424">
        <v>57</v>
      </c>
      <c r="AQ1424">
        <v>4</v>
      </c>
      <c r="AR1424" t="s">
        <v>20002</v>
      </c>
      <c r="AS1424" t="s">
        <v>20003</v>
      </c>
      <c r="AT1424">
        <v>0.28199999999999997</v>
      </c>
      <c r="AU1424" t="s">
        <v>65</v>
      </c>
      <c r="AV1424">
        <v>98</v>
      </c>
      <c r="AW1424">
        <v>8</v>
      </c>
      <c r="AX1424" t="s">
        <v>20004</v>
      </c>
      <c r="AY1424">
        <v>0.11087</v>
      </c>
      <c r="AZ1424">
        <v>-6.3E-3</v>
      </c>
      <c r="BA1424">
        <v>2.98E-3</v>
      </c>
      <c r="BB1424">
        <v>-1.9000000000000001E-4</v>
      </c>
      <c r="BC1424">
        <v>2.69E-2</v>
      </c>
      <c r="BD1424">
        <v>1</v>
      </c>
      <c r="BE1424" t="s">
        <v>69</v>
      </c>
      <c r="BF1424">
        <v>-1.292</v>
      </c>
      <c r="BG1424">
        <v>-0.36299999999999999</v>
      </c>
    </row>
    <row r="1425" spans="1:59">
      <c r="A1425">
        <v>0</v>
      </c>
      <c r="B1425">
        <v>2</v>
      </c>
      <c r="C1425">
        <v>0</v>
      </c>
      <c r="D1425" t="s">
        <v>25022</v>
      </c>
      <c r="E1425">
        <v>32</v>
      </c>
      <c r="F1425" t="s">
        <v>302</v>
      </c>
      <c r="G1425" t="s">
        <v>57</v>
      </c>
      <c r="H1425">
        <v>41657</v>
      </c>
      <c r="I1425">
        <v>42481</v>
      </c>
      <c r="J1425" t="s">
        <v>303</v>
      </c>
      <c r="K1425">
        <v>275</v>
      </c>
      <c r="L1425" t="s">
        <v>59</v>
      </c>
      <c r="M1425">
        <v>49</v>
      </c>
      <c r="N1425" t="str">
        <f>HYPERLINK("Gene32-zp_tree_all.dnd", "Gene32-tree")</f>
        <v>Gene32-tree</v>
      </c>
      <c r="O1425">
        <v>16</v>
      </c>
      <c r="P1425">
        <v>2</v>
      </c>
      <c r="Q1425">
        <v>16</v>
      </c>
      <c r="R1425">
        <v>2</v>
      </c>
      <c r="S1425">
        <v>0.11111</v>
      </c>
      <c r="T1425" t="s">
        <v>60</v>
      </c>
      <c r="U1425" t="s">
        <v>81</v>
      </c>
      <c r="V1425" t="s">
        <v>62</v>
      </c>
      <c r="W1425" t="s">
        <v>62</v>
      </c>
      <c r="X1425">
        <v>1</v>
      </c>
      <c r="Y1425">
        <v>2</v>
      </c>
      <c r="Z1425">
        <v>3</v>
      </c>
      <c r="AA1425">
        <v>0.4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2</v>
      </c>
      <c r="AK1425">
        <v>0</v>
      </c>
      <c r="AL1425">
        <v>13</v>
      </c>
      <c r="AM1425">
        <v>8</v>
      </c>
      <c r="AN1425">
        <v>25</v>
      </c>
      <c r="AO1425">
        <v>2</v>
      </c>
      <c r="AP1425">
        <v>40</v>
      </c>
      <c r="AQ1425">
        <v>3</v>
      </c>
      <c r="AR1425" t="s">
        <v>304</v>
      </c>
      <c r="AS1425" t="s">
        <v>305</v>
      </c>
      <c r="AT1425">
        <v>0.04</v>
      </c>
      <c r="AU1425" t="s">
        <v>65</v>
      </c>
      <c r="AV1425">
        <v>65</v>
      </c>
      <c r="AW1425">
        <v>5</v>
      </c>
      <c r="AX1425" t="s">
        <v>306</v>
      </c>
      <c r="AY1425">
        <v>8.9590000000000003E-2</v>
      </c>
      <c r="AZ1425">
        <v>-6.1900000000000002E-3</v>
      </c>
      <c r="BA1425">
        <v>1.3799999999999999E-3</v>
      </c>
      <c r="BB1425">
        <v>-1.1E-4</v>
      </c>
      <c r="BC1425">
        <v>1.542E-2</v>
      </c>
      <c r="BD1425">
        <v>1</v>
      </c>
      <c r="BE1425" t="s">
        <v>69</v>
      </c>
      <c r="BF1425">
        <v>-1.1399999999999999</v>
      </c>
      <c r="BG1425">
        <v>-0.58499999999999996</v>
      </c>
    </row>
    <row r="1426" spans="1:59">
      <c r="A1426">
        <v>0</v>
      </c>
      <c r="B1426">
        <v>4</v>
      </c>
      <c r="C1426">
        <v>0</v>
      </c>
      <c r="D1426" t="s">
        <v>25022</v>
      </c>
      <c r="E1426">
        <v>4010</v>
      </c>
      <c r="F1426" t="s">
        <v>23589</v>
      </c>
      <c r="G1426" t="s">
        <v>62</v>
      </c>
      <c r="H1426">
        <v>3972451</v>
      </c>
      <c r="I1426">
        <v>3973278</v>
      </c>
      <c r="J1426" t="s">
        <v>23590</v>
      </c>
      <c r="K1426">
        <v>276</v>
      </c>
      <c r="L1426" t="s">
        <v>5228</v>
      </c>
      <c r="M1426">
        <v>43</v>
      </c>
      <c r="N1426" t="str">
        <f>HYPERLINK("Gene4010-zp_tree_all.dnd", "Gene4010-tree")</f>
        <v>Gene4010-tree</v>
      </c>
      <c r="O1426">
        <v>5</v>
      </c>
      <c r="P1426">
        <v>9</v>
      </c>
      <c r="Q1426">
        <v>5</v>
      </c>
      <c r="R1426">
        <v>9</v>
      </c>
      <c r="S1426">
        <v>0.64285999999999999</v>
      </c>
      <c r="T1426" t="s">
        <v>199</v>
      </c>
      <c r="U1426" t="s">
        <v>135</v>
      </c>
      <c r="V1426" t="s">
        <v>62</v>
      </c>
      <c r="W1426" t="s">
        <v>62</v>
      </c>
      <c r="X1426">
        <v>2</v>
      </c>
      <c r="Y1426">
        <v>4</v>
      </c>
      <c r="Z1426">
        <v>18</v>
      </c>
      <c r="AA1426">
        <v>0.18182000000000001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2</v>
      </c>
      <c r="AH1426">
        <v>0</v>
      </c>
      <c r="AI1426">
        <v>2</v>
      </c>
      <c r="AJ1426">
        <v>12</v>
      </c>
      <c r="AK1426">
        <v>0.14285999999999999</v>
      </c>
      <c r="AL1426">
        <v>13</v>
      </c>
      <c r="AM1426">
        <v>7</v>
      </c>
      <c r="AN1426">
        <v>18</v>
      </c>
      <c r="AO1426">
        <v>15</v>
      </c>
      <c r="AP1426">
        <v>9</v>
      </c>
      <c r="AQ1426">
        <v>8</v>
      </c>
      <c r="AR1426" t="s">
        <v>23591</v>
      </c>
      <c r="AS1426" t="s">
        <v>23592</v>
      </c>
      <c r="AT1426">
        <v>4.7E-2</v>
      </c>
      <c r="AU1426" t="s">
        <v>65</v>
      </c>
      <c r="AV1426">
        <v>27</v>
      </c>
      <c r="AW1426">
        <v>23</v>
      </c>
      <c r="AX1426" t="s">
        <v>23593</v>
      </c>
      <c r="AY1426">
        <v>2.5350000000000001E-2</v>
      </c>
      <c r="AZ1426">
        <v>-1.83E-3</v>
      </c>
      <c r="BA1426">
        <v>7.4999999999999997E-3</v>
      </c>
      <c r="BB1426">
        <v>-4.0999999999999999E-4</v>
      </c>
      <c r="BC1426">
        <v>0.29592000000000002</v>
      </c>
      <c r="BD1426">
        <v>1</v>
      </c>
      <c r="BE1426" t="s">
        <v>69</v>
      </c>
      <c r="BF1426">
        <v>-0.30099999999999999</v>
      </c>
      <c r="BG1426">
        <v>-5.8000000000000003E-2</v>
      </c>
    </row>
    <row r="1427" spans="1:59">
      <c r="A1427">
        <v>0</v>
      </c>
      <c r="B1427">
        <v>0</v>
      </c>
      <c r="C1427">
        <v>4</v>
      </c>
      <c r="D1427" t="s">
        <v>25022</v>
      </c>
      <c r="E1427">
        <v>946</v>
      </c>
      <c r="F1427" t="s">
        <v>5929</v>
      </c>
      <c r="G1427" t="s">
        <v>57</v>
      </c>
      <c r="H1427">
        <v>984901</v>
      </c>
      <c r="I1427">
        <v>985728</v>
      </c>
      <c r="J1427" t="s">
        <v>5930</v>
      </c>
      <c r="K1427">
        <v>276</v>
      </c>
      <c r="L1427" t="s">
        <v>5762</v>
      </c>
      <c r="M1427">
        <v>43</v>
      </c>
      <c r="N1427" t="str">
        <f>HYPERLINK("Gene946-zp_tree_all.dnd", "Gene946-tree")</f>
        <v>Gene946-tree</v>
      </c>
      <c r="O1427">
        <v>4</v>
      </c>
      <c r="P1427">
        <v>5</v>
      </c>
      <c r="Q1427">
        <v>4</v>
      </c>
      <c r="R1427">
        <v>5</v>
      </c>
      <c r="S1427">
        <v>0.55556000000000005</v>
      </c>
      <c r="T1427" t="s">
        <v>61</v>
      </c>
      <c r="U1427" t="s">
        <v>199</v>
      </c>
      <c r="V1427" t="s">
        <v>62</v>
      </c>
      <c r="W1427" t="s">
        <v>62</v>
      </c>
      <c r="X1427">
        <v>2</v>
      </c>
      <c r="Y1427">
        <v>4</v>
      </c>
      <c r="Z1427">
        <v>15</v>
      </c>
      <c r="AA1427">
        <v>0.21052999999999999</v>
      </c>
      <c r="AB1427">
        <v>0</v>
      </c>
      <c r="AC1427">
        <v>0</v>
      </c>
      <c r="AD1427">
        <v>0</v>
      </c>
      <c r="AE1427">
        <v>2</v>
      </c>
      <c r="AF1427">
        <v>0</v>
      </c>
      <c r="AG1427">
        <v>0</v>
      </c>
      <c r="AH1427">
        <v>0</v>
      </c>
      <c r="AI1427">
        <v>0</v>
      </c>
      <c r="AJ1427">
        <v>12</v>
      </c>
      <c r="AK1427">
        <v>0</v>
      </c>
      <c r="AL1427">
        <v>8</v>
      </c>
      <c r="AM1427">
        <v>5</v>
      </c>
      <c r="AN1427">
        <v>23</v>
      </c>
      <c r="AO1427">
        <v>12</v>
      </c>
      <c r="AP1427">
        <v>9</v>
      </c>
      <c r="AQ1427">
        <v>7</v>
      </c>
      <c r="AR1427" t="s">
        <v>5931</v>
      </c>
      <c r="AS1427" t="s">
        <v>5932</v>
      </c>
      <c r="AT1427">
        <v>0.60399999999999998</v>
      </c>
      <c r="AU1427" t="s">
        <v>65</v>
      </c>
      <c r="AV1427">
        <v>32</v>
      </c>
      <c r="AW1427">
        <v>19</v>
      </c>
      <c r="AX1427" t="s">
        <v>5933</v>
      </c>
      <c r="AY1427">
        <v>4.8300000000000003E-2</v>
      </c>
      <c r="AZ1427">
        <v>-3.3999999999999998E-3</v>
      </c>
      <c r="BA1427">
        <v>8.8400000000000006E-3</v>
      </c>
      <c r="BB1427">
        <v>-5.1000000000000004E-4</v>
      </c>
      <c r="BC1427">
        <v>0.18295</v>
      </c>
      <c r="BD1427">
        <v>1</v>
      </c>
      <c r="BE1427" t="s">
        <v>69</v>
      </c>
      <c r="BF1427">
        <v>-1.0269999999999999</v>
      </c>
      <c r="BG1427">
        <v>-1.73</v>
      </c>
    </row>
    <row r="1428" spans="1:59">
      <c r="A1428">
        <v>0</v>
      </c>
      <c r="B1428">
        <v>4</v>
      </c>
      <c r="C1428">
        <v>2</v>
      </c>
      <c r="D1428" t="s">
        <v>25022</v>
      </c>
      <c r="E1428">
        <v>919</v>
      </c>
      <c r="F1428" t="s">
        <v>5747</v>
      </c>
      <c r="G1428" t="s">
        <v>57</v>
      </c>
      <c r="H1428">
        <v>963174</v>
      </c>
      <c r="I1428">
        <v>964001</v>
      </c>
      <c r="J1428" t="s">
        <v>5748</v>
      </c>
      <c r="K1428">
        <v>276</v>
      </c>
      <c r="L1428" t="s">
        <v>108</v>
      </c>
      <c r="M1428">
        <v>44</v>
      </c>
      <c r="N1428" t="str">
        <f>HYPERLINK("Gene919-zp_tree_all.dnd", "Gene919-tree")</f>
        <v>Gene919-tree</v>
      </c>
      <c r="O1428">
        <v>5</v>
      </c>
      <c r="P1428">
        <v>9</v>
      </c>
      <c r="Q1428">
        <v>5</v>
      </c>
      <c r="R1428">
        <v>9</v>
      </c>
      <c r="S1428">
        <v>0.64285999999999999</v>
      </c>
      <c r="T1428" t="s">
        <v>199</v>
      </c>
      <c r="U1428" t="s">
        <v>135</v>
      </c>
      <c r="V1428" t="s">
        <v>62</v>
      </c>
      <c r="W1428" t="s">
        <v>62</v>
      </c>
      <c r="X1428">
        <v>3</v>
      </c>
      <c r="Y1428">
        <v>6</v>
      </c>
      <c r="Z1428">
        <v>9</v>
      </c>
      <c r="AA1428">
        <v>0.4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</v>
      </c>
      <c r="AH1428">
        <v>2</v>
      </c>
      <c r="AI1428">
        <v>4</v>
      </c>
      <c r="AJ1428">
        <v>8</v>
      </c>
      <c r="AK1428">
        <v>0.33333000000000002</v>
      </c>
      <c r="AL1428">
        <v>11</v>
      </c>
      <c r="AM1428">
        <v>7</v>
      </c>
      <c r="AN1428">
        <v>21</v>
      </c>
      <c r="AO1428">
        <v>11</v>
      </c>
      <c r="AP1428">
        <v>17</v>
      </c>
      <c r="AQ1428">
        <v>5</v>
      </c>
      <c r="AR1428" t="s">
        <v>5749</v>
      </c>
      <c r="AS1428" t="s">
        <v>5750</v>
      </c>
      <c r="AT1428">
        <v>0.58399999999999996</v>
      </c>
      <c r="AU1428" t="s">
        <v>65</v>
      </c>
      <c r="AV1428">
        <v>38</v>
      </c>
      <c r="AW1428">
        <v>16</v>
      </c>
      <c r="AX1428" t="s">
        <v>5751</v>
      </c>
      <c r="AY1428">
        <v>3.6150000000000002E-2</v>
      </c>
      <c r="AZ1428">
        <v>-1.8400000000000001E-3</v>
      </c>
      <c r="BA1428">
        <v>4.7800000000000004E-3</v>
      </c>
      <c r="BB1428">
        <v>-2.9999999999999997E-4</v>
      </c>
      <c r="BC1428">
        <v>0.13224</v>
      </c>
      <c r="BD1428">
        <v>1</v>
      </c>
      <c r="BE1428" t="s">
        <v>69</v>
      </c>
      <c r="BF1428">
        <v>-1.2010000000000001</v>
      </c>
      <c r="BG1428">
        <v>-1.161</v>
      </c>
    </row>
    <row r="1429" spans="1:59">
      <c r="A1429">
        <v>0</v>
      </c>
      <c r="B1429">
        <v>0</v>
      </c>
      <c r="C1429">
        <v>2</v>
      </c>
      <c r="D1429" t="s">
        <v>25022</v>
      </c>
      <c r="E1429">
        <v>147</v>
      </c>
      <c r="F1429" t="s">
        <v>1040</v>
      </c>
      <c r="G1429" t="s">
        <v>57</v>
      </c>
      <c r="H1429">
        <v>151303</v>
      </c>
      <c r="I1429">
        <v>152130</v>
      </c>
      <c r="J1429" t="s">
        <v>1034</v>
      </c>
      <c r="K1429">
        <v>276</v>
      </c>
      <c r="L1429" t="s">
        <v>108</v>
      </c>
      <c r="M1429">
        <v>44</v>
      </c>
      <c r="N1429" t="str">
        <f>HYPERLINK("Gene147-zp_tree_all.dnd", "Gene147-tree")</f>
        <v>Gene147-tree</v>
      </c>
      <c r="O1429">
        <v>9</v>
      </c>
      <c r="P1429">
        <v>7</v>
      </c>
      <c r="Q1429">
        <v>9</v>
      </c>
      <c r="R1429">
        <v>7</v>
      </c>
      <c r="S1429">
        <v>0.4375</v>
      </c>
      <c r="T1429" t="s">
        <v>135</v>
      </c>
      <c r="U1429" t="s">
        <v>152</v>
      </c>
      <c r="V1429" t="s">
        <v>62</v>
      </c>
      <c r="W1429" t="s">
        <v>62</v>
      </c>
      <c r="X1429">
        <v>1</v>
      </c>
      <c r="Y1429">
        <v>2</v>
      </c>
      <c r="Z1429">
        <v>11</v>
      </c>
      <c r="AA1429">
        <v>0.15384999999999999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2</v>
      </c>
      <c r="AI1429">
        <v>2</v>
      </c>
      <c r="AJ1429">
        <v>7</v>
      </c>
      <c r="AK1429">
        <v>0.22222</v>
      </c>
      <c r="AL1429">
        <v>13</v>
      </c>
      <c r="AM1429">
        <v>9</v>
      </c>
      <c r="AN1429">
        <v>29</v>
      </c>
      <c r="AO1429">
        <v>9</v>
      </c>
      <c r="AP1429">
        <v>12</v>
      </c>
      <c r="AQ1429">
        <v>4</v>
      </c>
      <c r="AR1429" t="s">
        <v>1041</v>
      </c>
      <c r="AS1429" t="s">
        <v>1042</v>
      </c>
      <c r="AT1429">
        <v>8.7999999999999995E-2</v>
      </c>
      <c r="AU1429" t="s">
        <v>65</v>
      </c>
      <c r="AV1429">
        <v>41</v>
      </c>
      <c r="AW1429">
        <v>13</v>
      </c>
      <c r="AX1429" t="s">
        <v>1043</v>
      </c>
      <c r="AY1429">
        <v>3.5529999999999999E-2</v>
      </c>
      <c r="AZ1429">
        <v>-1.1999999999999999E-3</v>
      </c>
      <c r="BA1429">
        <v>3.9699999999999996E-3</v>
      </c>
      <c r="BB1429">
        <v>-1.9000000000000001E-4</v>
      </c>
      <c r="BC1429">
        <v>0.11165</v>
      </c>
      <c r="BD1429">
        <v>1</v>
      </c>
      <c r="BE1429" t="s">
        <v>69</v>
      </c>
      <c r="BF1429">
        <v>-1.22</v>
      </c>
      <c r="BG1429">
        <v>-1.9650000000000001</v>
      </c>
    </row>
    <row r="1430" spans="1:59">
      <c r="A1430">
        <v>0</v>
      </c>
      <c r="B1430">
        <v>4</v>
      </c>
      <c r="C1430">
        <v>0</v>
      </c>
      <c r="D1430" t="s">
        <v>25022</v>
      </c>
      <c r="E1430">
        <v>3024</v>
      </c>
      <c r="F1430" t="s">
        <v>17479</v>
      </c>
      <c r="G1430" t="s">
        <v>62</v>
      </c>
      <c r="H1430">
        <v>2972332</v>
      </c>
      <c r="I1430">
        <v>2973159</v>
      </c>
      <c r="J1430" t="s">
        <v>17480</v>
      </c>
      <c r="K1430">
        <v>276</v>
      </c>
      <c r="L1430" t="s">
        <v>108</v>
      </c>
      <c r="M1430">
        <v>44</v>
      </c>
      <c r="N1430" t="str">
        <f>HYPERLINK("Gene3024-zp_tree_all.dnd", "Gene3024-tree")</f>
        <v>Gene3024-tree</v>
      </c>
      <c r="O1430">
        <v>7</v>
      </c>
      <c r="P1430">
        <v>6</v>
      </c>
      <c r="Q1430">
        <v>7</v>
      </c>
      <c r="R1430">
        <v>6</v>
      </c>
      <c r="S1430">
        <v>0.46154000000000001</v>
      </c>
      <c r="T1430" t="s">
        <v>152</v>
      </c>
      <c r="U1430" t="s">
        <v>90</v>
      </c>
      <c r="V1430" t="s">
        <v>62</v>
      </c>
      <c r="W1430" t="s">
        <v>62</v>
      </c>
      <c r="X1430">
        <v>2</v>
      </c>
      <c r="Y1430">
        <v>4</v>
      </c>
      <c r="Z1430">
        <v>7</v>
      </c>
      <c r="AA1430">
        <v>0.36364000000000002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8</v>
      </c>
      <c r="AK1430">
        <v>0</v>
      </c>
      <c r="AL1430">
        <v>10</v>
      </c>
      <c r="AM1430">
        <v>9</v>
      </c>
      <c r="AN1430">
        <v>20</v>
      </c>
      <c r="AO1430">
        <v>7</v>
      </c>
      <c r="AP1430">
        <v>14</v>
      </c>
      <c r="AQ1430">
        <v>4</v>
      </c>
      <c r="AR1430" t="s">
        <v>17481</v>
      </c>
      <c r="AS1430" t="s">
        <v>17482</v>
      </c>
      <c r="AT1430">
        <v>0.125</v>
      </c>
      <c r="AU1430" t="s">
        <v>65</v>
      </c>
      <c r="AV1430">
        <v>34</v>
      </c>
      <c r="AW1430">
        <v>11</v>
      </c>
      <c r="AX1430" t="s">
        <v>17483</v>
      </c>
      <c r="AY1430">
        <v>3.6020000000000003E-2</v>
      </c>
      <c r="AZ1430">
        <v>-2.5999999999999999E-3</v>
      </c>
      <c r="BA1430">
        <v>3.4499999999999999E-3</v>
      </c>
      <c r="BB1430">
        <v>-2.3000000000000001E-4</v>
      </c>
      <c r="BC1430">
        <v>9.5740000000000006E-2</v>
      </c>
      <c r="BD1430">
        <v>1</v>
      </c>
      <c r="BE1430" t="s">
        <v>69</v>
      </c>
      <c r="BF1430">
        <v>-1.046</v>
      </c>
      <c r="BG1430">
        <v>-2.1949999999999998</v>
      </c>
    </row>
    <row r="1431" spans="1:59">
      <c r="A1431">
        <v>0</v>
      </c>
      <c r="B1431">
        <v>0</v>
      </c>
      <c r="C1431">
        <v>0</v>
      </c>
      <c r="D1431" t="s">
        <v>25022</v>
      </c>
      <c r="E1431">
        <v>3943</v>
      </c>
      <c r="F1431" t="s">
        <v>23150</v>
      </c>
      <c r="G1431" t="s">
        <v>62</v>
      </c>
      <c r="H1431">
        <v>3906145</v>
      </c>
      <c r="I1431">
        <v>3906972</v>
      </c>
      <c r="J1431" t="s">
        <v>23151</v>
      </c>
      <c r="K1431">
        <v>276</v>
      </c>
      <c r="L1431" t="s">
        <v>23152</v>
      </c>
      <c r="M1431">
        <v>43</v>
      </c>
      <c r="N1431" t="str">
        <f>HYPERLINK("Gene3943-zp_tree_all.dnd", "Gene3943-tree")</f>
        <v>Gene3943-tree</v>
      </c>
      <c r="O1431">
        <v>14</v>
      </c>
      <c r="P1431">
        <v>4</v>
      </c>
      <c r="Q1431">
        <v>14</v>
      </c>
      <c r="R1431">
        <v>4</v>
      </c>
      <c r="S1431">
        <v>0.22222</v>
      </c>
      <c r="T1431" t="s">
        <v>543</v>
      </c>
      <c r="U1431" t="s">
        <v>61</v>
      </c>
      <c r="V1431" t="s">
        <v>62</v>
      </c>
      <c r="W1431" t="s">
        <v>62</v>
      </c>
      <c r="X1431">
        <v>0</v>
      </c>
      <c r="Y1431">
        <v>0</v>
      </c>
      <c r="Z1431">
        <v>11</v>
      </c>
      <c r="AA1431">
        <v>0</v>
      </c>
      <c r="AB1431">
        <v>0</v>
      </c>
      <c r="AC1431">
        <v>0</v>
      </c>
      <c r="AD1431">
        <v>0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5</v>
      </c>
      <c r="AK1431">
        <v>0</v>
      </c>
      <c r="AL1431">
        <v>13</v>
      </c>
      <c r="AM1431">
        <v>12</v>
      </c>
      <c r="AN1431">
        <v>27</v>
      </c>
      <c r="AO1431">
        <v>3</v>
      </c>
      <c r="AP1431">
        <v>37</v>
      </c>
      <c r="AQ1431">
        <v>9</v>
      </c>
      <c r="AR1431" t="s">
        <v>23153</v>
      </c>
      <c r="AS1431" t="s">
        <v>23154</v>
      </c>
      <c r="AT1431">
        <v>0.57399999999999995</v>
      </c>
      <c r="AU1431" t="s">
        <v>65</v>
      </c>
      <c r="AV1431">
        <v>64</v>
      </c>
      <c r="AW1431">
        <v>12</v>
      </c>
      <c r="AX1431" t="s">
        <v>23155</v>
      </c>
      <c r="AY1431">
        <v>6.8500000000000005E-2</v>
      </c>
      <c r="AZ1431">
        <v>-3.82E-3</v>
      </c>
      <c r="BA1431">
        <v>3.8999999999999998E-3</v>
      </c>
      <c r="BB1431">
        <v>-2.5000000000000001E-4</v>
      </c>
      <c r="BC1431">
        <v>5.6890000000000003E-2</v>
      </c>
      <c r="BD1431">
        <v>1</v>
      </c>
      <c r="BE1431" t="s">
        <v>69</v>
      </c>
      <c r="BF1431">
        <v>-0.65500000000000003</v>
      </c>
      <c r="BG1431">
        <v>7.0999999999999994E-2</v>
      </c>
    </row>
    <row r="1432" spans="1:59">
      <c r="A1432">
        <v>0</v>
      </c>
      <c r="B1432">
        <v>2</v>
      </c>
      <c r="C1432">
        <v>2</v>
      </c>
      <c r="D1432" t="s">
        <v>25022</v>
      </c>
      <c r="E1432">
        <v>3467</v>
      </c>
      <c r="F1432" t="s">
        <v>20304</v>
      </c>
      <c r="G1432" t="s">
        <v>62</v>
      </c>
      <c r="H1432">
        <v>3426752</v>
      </c>
      <c r="I1432">
        <v>3427579</v>
      </c>
      <c r="J1432" t="s">
        <v>20305</v>
      </c>
      <c r="K1432">
        <v>276</v>
      </c>
      <c r="L1432" t="s">
        <v>465</v>
      </c>
      <c r="M1432">
        <v>46</v>
      </c>
      <c r="N1432" t="str">
        <f>HYPERLINK("Gene3467-zp_tree_all.dnd", "Gene3467-tree")</f>
        <v>Gene3467-tree</v>
      </c>
      <c r="O1432">
        <v>7</v>
      </c>
      <c r="P1432">
        <v>9</v>
      </c>
      <c r="Q1432">
        <v>7</v>
      </c>
      <c r="R1432">
        <v>9</v>
      </c>
      <c r="S1432">
        <v>0.5625</v>
      </c>
      <c r="T1432" t="s">
        <v>152</v>
      </c>
      <c r="U1432" t="s">
        <v>135</v>
      </c>
      <c r="V1432" t="s">
        <v>62</v>
      </c>
      <c r="W1432" t="s">
        <v>62</v>
      </c>
      <c r="X1432">
        <v>2</v>
      </c>
      <c r="Y1432">
        <v>4</v>
      </c>
      <c r="Z1432">
        <v>7</v>
      </c>
      <c r="AA1432">
        <v>0.36364000000000002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</v>
      </c>
      <c r="AI1432">
        <v>2</v>
      </c>
      <c r="AJ1432">
        <v>8</v>
      </c>
      <c r="AK1432">
        <v>0.2</v>
      </c>
      <c r="AL1432">
        <v>11</v>
      </c>
      <c r="AM1432">
        <v>10</v>
      </c>
      <c r="AN1432">
        <v>15</v>
      </c>
      <c r="AO1432">
        <v>8</v>
      </c>
      <c r="AP1432">
        <v>45</v>
      </c>
      <c r="AQ1432">
        <v>4</v>
      </c>
      <c r="AR1432" t="s">
        <v>20306</v>
      </c>
      <c r="AS1432" t="s">
        <v>20307</v>
      </c>
      <c r="AT1432">
        <v>1.3640000000000001</v>
      </c>
      <c r="AU1432" t="s">
        <v>65</v>
      </c>
      <c r="AV1432">
        <v>60</v>
      </c>
      <c r="AW1432">
        <v>12</v>
      </c>
      <c r="AX1432" t="s">
        <v>20308</v>
      </c>
      <c r="AY1432">
        <v>8.029E-2</v>
      </c>
      <c r="AZ1432">
        <v>-4.8199999999999996E-3</v>
      </c>
      <c r="BA1432">
        <v>2.8E-3</v>
      </c>
      <c r="BB1432">
        <v>-2.0000000000000001E-4</v>
      </c>
      <c r="BC1432">
        <v>3.4810000000000001E-2</v>
      </c>
      <c r="BD1432">
        <v>1</v>
      </c>
      <c r="BE1432" t="s">
        <v>69</v>
      </c>
      <c r="BF1432">
        <v>-0.42499999999999999</v>
      </c>
      <c r="BG1432">
        <v>0.40200000000000002</v>
      </c>
    </row>
    <row r="1433" spans="1:59">
      <c r="A1433">
        <v>0</v>
      </c>
      <c r="B1433">
        <v>0</v>
      </c>
      <c r="C1433">
        <v>0</v>
      </c>
      <c r="D1433" t="s">
        <v>25022</v>
      </c>
      <c r="E1433">
        <v>3231</v>
      </c>
      <c r="F1433" t="s">
        <v>18829</v>
      </c>
      <c r="G1433" t="s">
        <v>62</v>
      </c>
      <c r="H1433">
        <v>3194638</v>
      </c>
      <c r="I1433">
        <v>3195465</v>
      </c>
      <c r="J1433" t="s">
        <v>18830</v>
      </c>
      <c r="K1433">
        <v>276</v>
      </c>
      <c r="L1433" t="s">
        <v>108</v>
      </c>
      <c r="M1433">
        <v>44</v>
      </c>
      <c r="N1433" t="str">
        <f>HYPERLINK("Gene3231-zp_tree_all.dnd", "Gene3231-tree")</f>
        <v>Gene3231-tree</v>
      </c>
      <c r="O1433">
        <v>10</v>
      </c>
      <c r="P1433">
        <v>3</v>
      </c>
      <c r="Q1433">
        <v>10</v>
      </c>
      <c r="R1433">
        <v>3</v>
      </c>
      <c r="S1433">
        <v>0.23077</v>
      </c>
      <c r="T1433" t="s">
        <v>117</v>
      </c>
      <c r="U1433" t="s">
        <v>324</v>
      </c>
      <c r="V1433" t="s">
        <v>62</v>
      </c>
      <c r="W1433" t="s">
        <v>62</v>
      </c>
      <c r="X1433">
        <v>0</v>
      </c>
      <c r="Y1433">
        <v>0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3</v>
      </c>
      <c r="AK1433">
        <v>0</v>
      </c>
      <c r="AL1433">
        <v>8</v>
      </c>
      <c r="AM1433">
        <v>9</v>
      </c>
      <c r="AN1433">
        <v>20</v>
      </c>
      <c r="AO1433">
        <v>3</v>
      </c>
      <c r="AP1433">
        <v>17</v>
      </c>
      <c r="AQ1433">
        <v>0</v>
      </c>
      <c r="AR1433" t="s">
        <v>18831</v>
      </c>
      <c r="AS1433" t="s">
        <v>193</v>
      </c>
      <c r="AT1433">
        <v>1.246</v>
      </c>
      <c r="AU1433" t="s">
        <v>65</v>
      </c>
      <c r="AV1433">
        <v>37</v>
      </c>
      <c r="AW1433">
        <v>3</v>
      </c>
      <c r="AX1433" t="s">
        <v>18832</v>
      </c>
      <c r="AY1433">
        <v>4.5130000000000003E-2</v>
      </c>
      <c r="AZ1433">
        <v>-2.2499999999999998E-3</v>
      </c>
      <c r="BA1433">
        <v>7.2999999999999996E-4</v>
      </c>
      <c r="BB1433">
        <v>-1E-4</v>
      </c>
      <c r="BC1433">
        <v>1.6140000000000002E-2</v>
      </c>
      <c r="BD1433">
        <v>1</v>
      </c>
      <c r="BE1433" t="s">
        <v>69</v>
      </c>
      <c r="BF1433">
        <v>-5.8000000000000003E-2</v>
      </c>
      <c r="BG1433">
        <v>-1.327</v>
      </c>
    </row>
    <row r="1434" spans="1:59">
      <c r="A1434">
        <v>0</v>
      </c>
      <c r="B1434">
        <v>0</v>
      </c>
      <c r="C1434">
        <v>0</v>
      </c>
      <c r="D1434" t="s">
        <v>25022</v>
      </c>
      <c r="E1434">
        <v>3886</v>
      </c>
      <c r="F1434" t="s">
        <v>22784</v>
      </c>
      <c r="G1434" t="s">
        <v>62</v>
      </c>
      <c r="H1434">
        <v>3848789</v>
      </c>
      <c r="I1434">
        <v>3849616</v>
      </c>
      <c r="J1434" t="s">
        <v>22785</v>
      </c>
      <c r="K1434">
        <v>276</v>
      </c>
      <c r="L1434" t="s">
        <v>214</v>
      </c>
      <c r="M1434">
        <v>48</v>
      </c>
      <c r="N1434" t="str">
        <f>HYPERLINK("Gene3886-zp_tree_all.dnd", "Gene3886-tree")</f>
        <v>Gene3886-tree</v>
      </c>
      <c r="O1434">
        <v>19</v>
      </c>
      <c r="P1434">
        <v>1</v>
      </c>
      <c r="Q1434">
        <v>19</v>
      </c>
      <c r="R1434">
        <v>1</v>
      </c>
      <c r="S1434">
        <v>0.05</v>
      </c>
      <c r="T1434" t="s">
        <v>587</v>
      </c>
      <c r="U1434" t="s">
        <v>175</v>
      </c>
      <c r="V1434" t="s">
        <v>62</v>
      </c>
      <c r="W1434" t="s">
        <v>62</v>
      </c>
      <c r="X1434">
        <v>0</v>
      </c>
      <c r="Y1434">
        <v>0</v>
      </c>
      <c r="Z1434">
        <v>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13</v>
      </c>
      <c r="AM1434">
        <v>16</v>
      </c>
      <c r="AN1434">
        <v>54</v>
      </c>
      <c r="AO1434">
        <v>1</v>
      </c>
      <c r="AP1434">
        <v>67</v>
      </c>
      <c r="AQ1434">
        <v>2</v>
      </c>
      <c r="AR1434" t="s">
        <v>22786</v>
      </c>
      <c r="AS1434" t="s">
        <v>22787</v>
      </c>
      <c r="AT1434">
        <v>0.126</v>
      </c>
      <c r="AU1434" t="s">
        <v>65</v>
      </c>
      <c r="AV1434">
        <v>121</v>
      </c>
      <c r="AW1434">
        <v>3</v>
      </c>
      <c r="AX1434" t="s">
        <v>22788</v>
      </c>
      <c r="AY1434">
        <v>0.11837</v>
      </c>
      <c r="AZ1434">
        <v>-5.6299999999999996E-3</v>
      </c>
      <c r="BA1434">
        <v>9.7999999999999997E-4</v>
      </c>
      <c r="BB1434">
        <v>-9.0000000000000006E-5</v>
      </c>
      <c r="BC1434">
        <v>8.2500000000000004E-3</v>
      </c>
      <c r="BD1434">
        <v>1</v>
      </c>
      <c r="BE1434" t="s">
        <v>69</v>
      </c>
      <c r="BF1434">
        <v>-1.099</v>
      </c>
      <c r="BG1434">
        <v>-1.4790000000000001</v>
      </c>
    </row>
    <row r="1435" spans="1:59">
      <c r="A1435">
        <v>0</v>
      </c>
      <c r="B1435">
        <v>0</v>
      </c>
      <c r="C1435">
        <v>0</v>
      </c>
      <c r="D1435" t="s">
        <v>25022</v>
      </c>
      <c r="E1435">
        <v>2933</v>
      </c>
      <c r="F1435" t="s">
        <v>16901</v>
      </c>
      <c r="G1435" t="s">
        <v>62</v>
      </c>
      <c r="H1435">
        <v>2876931</v>
      </c>
      <c r="I1435">
        <v>2877758</v>
      </c>
      <c r="J1435" t="s">
        <v>16902</v>
      </c>
      <c r="K1435">
        <v>276</v>
      </c>
      <c r="L1435" t="s">
        <v>59</v>
      </c>
      <c r="M1435">
        <v>49</v>
      </c>
      <c r="N1435" t="str">
        <f>HYPERLINK("Gene2933-zp_tree_all.dnd", "Gene2933-tree")</f>
        <v>Gene2933-tree</v>
      </c>
      <c r="O1435">
        <v>15</v>
      </c>
      <c r="P1435">
        <v>1</v>
      </c>
      <c r="Q1435">
        <v>15</v>
      </c>
      <c r="R1435">
        <v>1</v>
      </c>
      <c r="S1435">
        <v>6.25E-2</v>
      </c>
      <c r="T1435" t="s">
        <v>100</v>
      </c>
      <c r="U1435" t="s">
        <v>175</v>
      </c>
      <c r="V1435" t="s">
        <v>62</v>
      </c>
      <c r="W1435" t="s">
        <v>62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10</v>
      </c>
      <c r="AM1435">
        <v>11</v>
      </c>
      <c r="AN1435">
        <v>22</v>
      </c>
      <c r="AO1435">
        <v>1</v>
      </c>
      <c r="AP1435">
        <v>56</v>
      </c>
      <c r="AQ1435">
        <v>0</v>
      </c>
      <c r="AR1435" t="s">
        <v>16903</v>
      </c>
      <c r="AS1435" t="s">
        <v>193</v>
      </c>
      <c r="AT1435">
        <v>0.33700000000000002</v>
      </c>
      <c r="AU1435" t="s">
        <v>65</v>
      </c>
      <c r="AV1435">
        <v>78</v>
      </c>
      <c r="AW1435">
        <v>1</v>
      </c>
      <c r="AX1435" t="s">
        <v>16885</v>
      </c>
      <c r="AY1435">
        <v>0.10075000000000001</v>
      </c>
      <c r="AZ1435">
        <v>-6.6699999999999997E-3</v>
      </c>
      <c r="BA1435">
        <v>3.8999999999999999E-4</v>
      </c>
      <c r="BB1435">
        <v>-9.0000000000000006E-5</v>
      </c>
      <c r="BC1435">
        <v>3.8500000000000001E-3</v>
      </c>
      <c r="BD1435">
        <v>1</v>
      </c>
      <c r="BE1435" t="s">
        <v>69</v>
      </c>
      <c r="BF1435">
        <v>-1.149</v>
      </c>
      <c r="BG1435">
        <v>0.2</v>
      </c>
    </row>
    <row r="1436" spans="1:59">
      <c r="A1436">
        <v>0</v>
      </c>
      <c r="B1436">
        <v>15</v>
      </c>
      <c r="C1436">
        <v>4</v>
      </c>
      <c r="D1436" t="s">
        <v>25022</v>
      </c>
      <c r="E1436">
        <v>3368</v>
      </c>
      <c r="F1436" t="s">
        <v>19687</v>
      </c>
      <c r="G1436" t="s">
        <v>62</v>
      </c>
      <c r="H1436">
        <v>3338504</v>
      </c>
      <c r="I1436">
        <v>3339334</v>
      </c>
      <c r="J1436" t="s">
        <v>19688</v>
      </c>
      <c r="K1436">
        <v>277</v>
      </c>
      <c r="L1436" t="s">
        <v>108</v>
      </c>
      <c r="M1436">
        <v>44</v>
      </c>
      <c r="N1436" t="str">
        <f>HYPERLINK("Gene3368-zp_tree_all.dnd", "Gene3368-tree")</f>
        <v>Gene3368-tree</v>
      </c>
      <c r="O1436">
        <v>1</v>
      </c>
      <c r="P1436">
        <v>13</v>
      </c>
      <c r="Q1436">
        <v>1</v>
      </c>
      <c r="R1436">
        <v>13</v>
      </c>
      <c r="S1436">
        <v>0.92857000000000001</v>
      </c>
      <c r="T1436" t="s">
        <v>175</v>
      </c>
      <c r="U1436" t="s">
        <v>507</v>
      </c>
      <c r="V1436" t="s">
        <v>62</v>
      </c>
      <c r="W1436" t="s">
        <v>62</v>
      </c>
      <c r="X1436">
        <v>8</v>
      </c>
      <c r="Y1436">
        <v>19</v>
      </c>
      <c r="Z1436">
        <v>27</v>
      </c>
      <c r="AA1436">
        <v>0.41304000000000002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11</v>
      </c>
      <c r="AH1436">
        <v>0</v>
      </c>
      <c r="AI1436">
        <v>11</v>
      </c>
      <c r="AJ1436">
        <v>21</v>
      </c>
      <c r="AK1436">
        <v>0.34375</v>
      </c>
      <c r="AL1436">
        <v>12</v>
      </c>
      <c r="AM1436">
        <v>10</v>
      </c>
      <c r="AN1436">
        <v>25</v>
      </c>
      <c r="AO1436">
        <v>31</v>
      </c>
      <c r="AP1436">
        <v>22</v>
      </c>
      <c r="AQ1436">
        <v>15</v>
      </c>
      <c r="AR1436" t="s">
        <v>19689</v>
      </c>
      <c r="AS1436" t="s">
        <v>19690</v>
      </c>
      <c r="AT1436">
        <v>1.163</v>
      </c>
      <c r="AU1436" t="s">
        <v>65</v>
      </c>
      <c r="AV1436">
        <v>47</v>
      </c>
      <c r="AW1436">
        <v>46</v>
      </c>
      <c r="AX1436" t="s">
        <v>19691</v>
      </c>
      <c r="AY1436">
        <v>4.725E-2</v>
      </c>
      <c r="AZ1436">
        <v>-2.1199999999999999E-3</v>
      </c>
      <c r="BA1436">
        <v>1.405E-2</v>
      </c>
      <c r="BB1436">
        <v>-5.4000000000000001E-4</v>
      </c>
      <c r="BC1436">
        <v>0.29737000000000002</v>
      </c>
      <c r="BD1436">
        <v>1</v>
      </c>
      <c r="BE1436" t="s">
        <v>69</v>
      </c>
      <c r="BF1436">
        <v>-0.72399999999999998</v>
      </c>
      <c r="BG1436">
        <v>-1.405</v>
      </c>
    </row>
    <row r="1437" spans="1:59">
      <c r="A1437">
        <v>0</v>
      </c>
      <c r="B1437">
        <v>14</v>
      </c>
      <c r="C1437">
        <v>1</v>
      </c>
      <c r="D1437" t="s">
        <v>25022</v>
      </c>
      <c r="E1437">
        <v>1507</v>
      </c>
      <c r="F1437" t="s">
        <v>9419</v>
      </c>
      <c r="G1437" t="s">
        <v>57</v>
      </c>
      <c r="H1437">
        <v>1519635</v>
      </c>
      <c r="I1437">
        <v>1520465</v>
      </c>
      <c r="J1437" t="s">
        <v>9420</v>
      </c>
      <c r="K1437">
        <v>277</v>
      </c>
      <c r="L1437" t="s">
        <v>108</v>
      </c>
      <c r="M1437">
        <v>44</v>
      </c>
      <c r="N1437" t="str">
        <f>HYPERLINK("Gene1507-zp_tree_all.dnd", "Gene1507-tree")</f>
        <v>Gene1507-tree</v>
      </c>
      <c r="O1437">
        <v>2</v>
      </c>
      <c r="P1437">
        <v>10</v>
      </c>
      <c r="Q1437">
        <v>2</v>
      </c>
      <c r="R1437">
        <v>10</v>
      </c>
      <c r="S1437">
        <v>0.83333000000000002</v>
      </c>
      <c r="T1437" t="s">
        <v>81</v>
      </c>
      <c r="U1437" t="s">
        <v>117</v>
      </c>
      <c r="V1437" t="s">
        <v>62</v>
      </c>
      <c r="W1437" t="s">
        <v>62</v>
      </c>
      <c r="X1437">
        <v>6</v>
      </c>
      <c r="Y1437">
        <v>15</v>
      </c>
      <c r="Z1437">
        <v>13</v>
      </c>
      <c r="AA1437">
        <v>0.53571000000000002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6</v>
      </c>
      <c r="AH1437">
        <v>0</v>
      </c>
      <c r="AI1437">
        <v>6</v>
      </c>
      <c r="AJ1437">
        <v>13</v>
      </c>
      <c r="AK1437">
        <v>0.31579000000000002</v>
      </c>
      <c r="AL1437">
        <v>10</v>
      </c>
      <c r="AM1437">
        <v>9</v>
      </c>
      <c r="AN1437">
        <v>15</v>
      </c>
      <c r="AO1437">
        <v>18</v>
      </c>
      <c r="AP1437">
        <v>14</v>
      </c>
      <c r="AQ1437">
        <v>10</v>
      </c>
      <c r="AR1437" t="s">
        <v>9421</v>
      </c>
      <c r="AS1437" t="s">
        <v>9422</v>
      </c>
      <c r="AT1437">
        <v>0.68600000000000005</v>
      </c>
      <c r="AU1437" t="s">
        <v>65</v>
      </c>
      <c r="AV1437">
        <v>29</v>
      </c>
      <c r="AW1437">
        <v>28</v>
      </c>
      <c r="AX1437" t="s">
        <v>9423</v>
      </c>
      <c r="AY1437">
        <v>3.2969999999999999E-2</v>
      </c>
      <c r="AZ1437">
        <v>-1.47E-3</v>
      </c>
      <c r="BA1437">
        <v>8.7500000000000008E-3</v>
      </c>
      <c r="BB1437">
        <v>-3.5E-4</v>
      </c>
      <c r="BC1437">
        <v>0.26535999999999998</v>
      </c>
      <c r="BD1437">
        <v>1</v>
      </c>
      <c r="BE1437" t="s">
        <v>69</v>
      </c>
      <c r="BF1437">
        <v>-0.56200000000000006</v>
      </c>
      <c r="BG1437">
        <v>-1.8360000000000001</v>
      </c>
    </row>
    <row r="1438" spans="1:59">
      <c r="A1438">
        <v>0</v>
      </c>
      <c r="B1438">
        <v>5</v>
      </c>
      <c r="C1438">
        <v>0</v>
      </c>
      <c r="D1438" t="s">
        <v>25022</v>
      </c>
      <c r="E1438">
        <v>2800</v>
      </c>
      <c r="F1438" t="s">
        <v>16052</v>
      </c>
      <c r="G1438" t="s">
        <v>62</v>
      </c>
      <c r="H1438">
        <v>2747987</v>
      </c>
      <c r="I1438">
        <v>2748817</v>
      </c>
      <c r="J1438" t="s">
        <v>16053</v>
      </c>
      <c r="K1438">
        <v>277</v>
      </c>
      <c r="L1438" t="s">
        <v>5762</v>
      </c>
      <c r="M1438">
        <v>43</v>
      </c>
      <c r="N1438" t="str">
        <f>HYPERLINK("Gene2800-zp_tree_all.dnd", "Gene2800-tree")</f>
        <v>Gene2800-tree</v>
      </c>
      <c r="O1438">
        <v>6</v>
      </c>
      <c r="P1438">
        <v>8</v>
      </c>
      <c r="Q1438">
        <v>6</v>
      </c>
      <c r="R1438">
        <v>8</v>
      </c>
      <c r="S1438">
        <v>0.57142999999999999</v>
      </c>
      <c r="T1438" t="s">
        <v>90</v>
      </c>
      <c r="U1438" t="s">
        <v>136</v>
      </c>
      <c r="V1438" t="s">
        <v>62</v>
      </c>
      <c r="W1438" t="s">
        <v>62</v>
      </c>
      <c r="X1438">
        <v>1</v>
      </c>
      <c r="Y1438">
        <v>5</v>
      </c>
      <c r="Z1438">
        <v>7</v>
      </c>
      <c r="AA1438">
        <v>0.41666999999999998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</v>
      </c>
      <c r="AH1438">
        <v>0</v>
      </c>
      <c r="AI1438">
        <v>2</v>
      </c>
      <c r="AJ1438">
        <v>6</v>
      </c>
      <c r="AK1438">
        <v>0.25</v>
      </c>
      <c r="AL1438">
        <v>11</v>
      </c>
      <c r="AM1438">
        <v>7</v>
      </c>
      <c r="AN1438">
        <v>16</v>
      </c>
      <c r="AO1438">
        <v>8</v>
      </c>
      <c r="AP1438">
        <v>13</v>
      </c>
      <c r="AQ1438">
        <v>4</v>
      </c>
      <c r="AR1438" t="s">
        <v>16054</v>
      </c>
      <c r="AS1438" t="s">
        <v>16055</v>
      </c>
      <c r="AT1438">
        <v>0.873</v>
      </c>
      <c r="AU1438" t="s">
        <v>65</v>
      </c>
      <c r="AV1438">
        <v>29</v>
      </c>
      <c r="AW1438">
        <v>12</v>
      </c>
      <c r="AX1438" t="s">
        <v>16056</v>
      </c>
      <c r="AY1438">
        <v>3.7240000000000002E-2</v>
      </c>
      <c r="AZ1438">
        <v>-1.91E-3</v>
      </c>
      <c r="BA1438">
        <v>2.5899999999999999E-3</v>
      </c>
      <c r="BB1438">
        <v>-1.6000000000000001E-4</v>
      </c>
      <c r="BC1438">
        <v>6.9440000000000002E-2</v>
      </c>
      <c r="BD1438">
        <v>1</v>
      </c>
      <c r="BE1438" t="s">
        <v>69</v>
      </c>
      <c r="BF1438">
        <v>-1.214</v>
      </c>
      <c r="BG1438">
        <v>-0.90300000000000002</v>
      </c>
    </row>
    <row r="1439" spans="1:59">
      <c r="A1439">
        <v>0</v>
      </c>
      <c r="B1439">
        <v>6</v>
      </c>
      <c r="C1439">
        <v>0</v>
      </c>
      <c r="D1439" t="s">
        <v>25022</v>
      </c>
      <c r="E1439">
        <v>2337</v>
      </c>
      <c r="F1439" t="s">
        <v>13559</v>
      </c>
      <c r="G1439" t="s">
        <v>62</v>
      </c>
      <c r="H1439">
        <v>2353842</v>
      </c>
      <c r="I1439">
        <v>2354672</v>
      </c>
      <c r="J1439" t="s">
        <v>13560</v>
      </c>
      <c r="K1439">
        <v>277</v>
      </c>
      <c r="L1439" t="s">
        <v>572</v>
      </c>
      <c r="M1439">
        <v>48</v>
      </c>
      <c r="N1439" t="str">
        <f>HYPERLINK("Gene2337-zp_tree_all.dnd", "Gene2337-tree")</f>
        <v>Gene2337-tree</v>
      </c>
      <c r="O1439">
        <v>10</v>
      </c>
      <c r="P1439">
        <v>9</v>
      </c>
      <c r="Q1439">
        <v>10</v>
      </c>
      <c r="R1439">
        <v>9</v>
      </c>
      <c r="S1439">
        <v>0.47367999999999999</v>
      </c>
      <c r="T1439" t="s">
        <v>117</v>
      </c>
      <c r="U1439" t="s">
        <v>135</v>
      </c>
      <c r="V1439" t="s">
        <v>62</v>
      </c>
      <c r="W1439" t="s">
        <v>62</v>
      </c>
      <c r="X1439">
        <v>3</v>
      </c>
      <c r="Y1439">
        <v>6</v>
      </c>
      <c r="Z1439">
        <v>10</v>
      </c>
      <c r="AA1439">
        <v>0.375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4</v>
      </c>
      <c r="AH1439">
        <v>0</v>
      </c>
      <c r="AI1439">
        <v>4</v>
      </c>
      <c r="AJ1439">
        <v>9</v>
      </c>
      <c r="AK1439">
        <v>0.30769000000000002</v>
      </c>
      <c r="AL1439">
        <v>12</v>
      </c>
      <c r="AM1439">
        <v>13</v>
      </c>
      <c r="AN1439">
        <v>37</v>
      </c>
      <c r="AO1439">
        <v>9</v>
      </c>
      <c r="AP1439">
        <v>52</v>
      </c>
      <c r="AQ1439">
        <v>9</v>
      </c>
      <c r="AR1439" t="s">
        <v>13561</v>
      </c>
      <c r="AS1439" t="s">
        <v>13562</v>
      </c>
      <c r="AT1439">
        <v>0.16400000000000001</v>
      </c>
      <c r="AU1439" t="s">
        <v>65</v>
      </c>
      <c r="AV1439">
        <v>89</v>
      </c>
      <c r="AW1439">
        <v>18</v>
      </c>
      <c r="AX1439" t="s">
        <v>13563</v>
      </c>
      <c r="AY1439">
        <v>9.7210000000000005E-2</v>
      </c>
      <c r="AZ1439">
        <v>-6.1900000000000002E-3</v>
      </c>
      <c r="BA1439">
        <v>4.7099999999999998E-3</v>
      </c>
      <c r="BB1439">
        <v>-2.5000000000000001E-4</v>
      </c>
      <c r="BC1439">
        <v>4.8500000000000001E-2</v>
      </c>
      <c r="BD1439">
        <v>1</v>
      </c>
      <c r="BE1439" t="s">
        <v>69</v>
      </c>
      <c r="BF1439">
        <v>-0.98299999999999998</v>
      </c>
      <c r="BG1439">
        <v>-1.97</v>
      </c>
    </row>
    <row r="1440" spans="1:59">
      <c r="A1440">
        <v>0</v>
      </c>
      <c r="B1440">
        <v>2</v>
      </c>
      <c r="C1440">
        <v>2</v>
      </c>
      <c r="D1440" t="s">
        <v>25022</v>
      </c>
      <c r="E1440">
        <v>4047</v>
      </c>
      <c r="F1440" t="s">
        <v>23821</v>
      </c>
      <c r="G1440" t="s">
        <v>62</v>
      </c>
      <c r="H1440">
        <v>4012869</v>
      </c>
      <c r="I1440">
        <v>4013699</v>
      </c>
      <c r="J1440" t="s">
        <v>9037</v>
      </c>
      <c r="K1440">
        <v>277</v>
      </c>
      <c r="L1440" t="s">
        <v>7691</v>
      </c>
      <c r="M1440">
        <v>46</v>
      </c>
      <c r="N1440" t="str">
        <f>HYPERLINK("Gene4047-zp_tree_all.dnd", "Gene4047-tree")</f>
        <v>Gene4047-tree</v>
      </c>
      <c r="O1440">
        <v>11</v>
      </c>
      <c r="P1440">
        <v>6</v>
      </c>
      <c r="Q1440">
        <v>11</v>
      </c>
      <c r="R1440">
        <v>6</v>
      </c>
      <c r="S1440">
        <v>0.35293999999999998</v>
      </c>
      <c r="T1440" t="s">
        <v>73</v>
      </c>
      <c r="U1440" t="s">
        <v>90</v>
      </c>
      <c r="V1440" t="s">
        <v>62</v>
      </c>
      <c r="W1440" t="s">
        <v>62</v>
      </c>
      <c r="X1440">
        <v>2</v>
      </c>
      <c r="Y1440">
        <v>4</v>
      </c>
      <c r="Z1440">
        <v>10</v>
      </c>
      <c r="AA1440">
        <v>0.28571000000000002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9</v>
      </c>
      <c r="AK1440">
        <v>0</v>
      </c>
      <c r="AL1440">
        <v>11</v>
      </c>
      <c r="AM1440">
        <v>12</v>
      </c>
      <c r="AN1440">
        <v>47</v>
      </c>
      <c r="AO1440">
        <v>10</v>
      </c>
      <c r="AP1440">
        <v>40</v>
      </c>
      <c r="AQ1440">
        <v>6</v>
      </c>
      <c r="AR1440" t="s">
        <v>23822</v>
      </c>
      <c r="AS1440" t="s">
        <v>23823</v>
      </c>
      <c r="AT1440">
        <v>0.17699999999999999</v>
      </c>
      <c r="AU1440" t="s">
        <v>65</v>
      </c>
      <c r="AV1440">
        <v>87</v>
      </c>
      <c r="AW1440">
        <v>16</v>
      </c>
      <c r="AX1440" t="s">
        <v>23824</v>
      </c>
      <c r="AY1440">
        <v>9.1509999999999994E-2</v>
      </c>
      <c r="AZ1440">
        <v>-7.26E-3</v>
      </c>
      <c r="BA1440">
        <v>3.82E-3</v>
      </c>
      <c r="BB1440">
        <v>-3.6999999999999999E-4</v>
      </c>
      <c r="BC1440">
        <v>4.1709999999999997E-2</v>
      </c>
      <c r="BD1440">
        <v>1</v>
      </c>
      <c r="BE1440" t="s">
        <v>69</v>
      </c>
      <c r="BF1440">
        <v>-1.786</v>
      </c>
      <c r="BG1440">
        <v>-2.2999999999999998</v>
      </c>
    </row>
    <row r="1441" spans="1:59">
      <c r="A1441">
        <v>0</v>
      </c>
      <c r="B1441">
        <v>0</v>
      </c>
      <c r="C1441">
        <v>0</v>
      </c>
      <c r="D1441" t="s">
        <v>25022</v>
      </c>
      <c r="E1441">
        <v>1371</v>
      </c>
      <c r="F1441" t="s">
        <v>8579</v>
      </c>
      <c r="G1441" t="s">
        <v>57</v>
      </c>
      <c r="H1441">
        <v>1387206</v>
      </c>
      <c r="I1441">
        <v>1388036</v>
      </c>
      <c r="J1441" t="s">
        <v>8580</v>
      </c>
      <c r="K1441">
        <v>277</v>
      </c>
      <c r="L1441" t="s">
        <v>108</v>
      </c>
      <c r="M1441">
        <v>44</v>
      </c>
      <c r="N1441" t="str">
        <f>HYPERLINK("Gene1371-zp_tree_all.dnd", "Gene1371-tree")</f>
        <v>Gene1371-tree</v>
      </c>
      <c r="O1441">
        <v>11</v>
      </c>
      <c r="P1441">
        <v>5</v>
      </c>
      <c r="Q1441">
        <v>11</v>
      </c>
      <c r="R1441">
        <v>5</v>
      </c>
      <c r="S1441">
        <v>0.3125</v>
      </c>
      <c r="T1441" t="s">
        <v>73</v>
      </c>
      <c r="U1441" t="s">
        <v>199</v>
      </c>
      <c r="V1441" t="s">
        <v>62</v>
      </c>
      <c r="W1441" t="s">
        <v>62</v>
      </c>
      <c r="X1441">
        <v>0</v>
      </c>
      <c r="Y1441">
        <v>0</v>
      </c>
      <c r="Z1441">
        <v>6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6</v>
      </c>
      <c r="AK1441">
        <v>0</v>
      </c>
      <c r="AL1441">
        <v>11</v>
      </c>
      <c r="AM1441">
        <v>8</v>
      </c>
      <c r="AN1441">
        <v>23</v>
      </c>
      <c r="AO1441">
        <v>6</v>
      </c>
      <c r="AP1441">
        <v>17</v>
      </c>
      <c r="AQ1441">
        <v>0</v>
      </c>
      <c r="AR1441" t="s">
        <v>8581</v>
      </c>
      <c r="AS1441" t="s">
        <v>193</v>
      </c>
      <c r="AT1441">
        <v>1.7609999999999999</v>
      </c>
      <c r="AU1441" t="s">
        <v>65</v>
      </c>
      <c r="AV1441">
        <v>40</v>
      </c>
      <c r="AW1441">
        <v>6</v>
      </c>
      <c r="AX1441" t="s">
        <v>8582</v>
      </c>
      <c r="AY1441">
        <v>4.3279999999999999E-2</v>
      </c>
      <c r="AZ1441">
        <v>-2.0899999999999998E-3</v>
      </c>
      <c r="BA1441">
        <v>1.15E-3</v>
      </c>
      <c r="BB1441">
        <v>-1.2E-4</v>
      </c>
      <c r="BC1441">
        <v>2.6679999999999999E-2</v>
      </c>
      <c r="BD1441">
        <v>1</v>
      </c>
      <c r="BE1441" t="s">
        <v>69</v>
      </c>
      <c r="BF1441">
        <v>-1.196</v>
      </c>
      <c r="BG1441">
        <v>-2.3170000000000002</v>
      </c>
    </row>
    <row r="1442" spans="1:59">
      <c r="A1442">
        <v>0</v>
      </c>
      <c r="B1442">
        <v>0</v>
      </c>
      <c r="C1442">
        <v>0</v>
      </c>
      <c r="D1442" t="s">
        <v>25022</v>
      </c>
      <c r="E1442">
        <v>119</v>
      </c>
      <c r="F1442" t="s">
        <v>897</v>
      </c>
      <c r="G1442" t="s">
        <v>57</v>
      </c>
      <c r="H1442">
        <v>137311</v>
      </c>
      <c r="I1442">
        <v>138141</v>
      </c>
      <c r="J1442" t="s">
        <v>898</v>
      </c>
      <c r="K1442">
        <v>277</v>
      </c>
      <c r="L1442" t="s">
        <v>515</v>
      </c>
      <c r="M1442">
        <v>51</v>
      </c>
      <c r="N1442" t="str">
        <f>HYPERLINK("Gene119-zp_tree_all.dnd", "Gene119-tree")</f>
        <v>Gene119-tree</v>
      </c>
      <c r="O1442">
        <v>10</v>
      </c>
      <c r="P1442">
        <v>1</v>
      </c>
      <c r="Q1442">
        <v>10</v>
      </c>
      <c r="R1442">
        <v>1</v>
      </c>
      <c r="S1442">
        <v>9.0910000000000005E-2</v>
      </c>
      <c r="T1442" t="s">
        <v>117</v>
      </c>
      <c r="U1442" t="s">
        <v>175</v>
      </c>
      <c r="V1442" t="s">
        <v>62</v>
      </c>
      <c r="W1442" t="s">
        <v>62</v>
      </c>
      <c r="X1442">
        <v>0</v>
      </c>
      <c r="Y1442">
        <v>0</v>
      </c>
      <c r="Z1442">
        <v>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10</v>
      </c>
      <c r="AM1442">
        <v>5</v>
      </c>
      <c r="AN1442">
        <v>14</v>
      </c>
      <c r="AO1442">
        <v>1</v>
      </c>
      <c r="AP1442">
        <v>36</v>
      </c>
      <c r="AQ1442">
        <v>3</v>
      </c>
      <c r="AR1442" t="s">
        <v>899</v>
      </c>
      <c r="AS1442" t="s">
        <v>900</v>
      </c>
      <c r="AT1442">
        <v>2.5000000000000001E-2</v>
      </c>
      <c r="AU1442" t="s">
        <v>65</v>
      </c>
      <c r="AV1442">
        <v>50</v>
      </c>
      <c r="AW1442">
        <v>4</v>
      </c>
      <c r="AX1442" t="s">
        <v>901</v>
      </c>
      <c r="AY1442">
        <v>7.7219999999999997E-2</v>
      </c>
      <c r="AZ1442">
        <v>-8.94E-3</v>
      </c>
      <c r="BA1442">
        <v>1.8600000000000001E-3</v>
      </c>
      <c r="BB1442">
        <v>-2.9999999999999997E-4</v>
      </c>
      <c r="BC1442">
        <v>2.4080000000000001E-2</v>
      </c>
      <c r="BD1442">
        <v>1</v>
      </c>
      <c r="BE1442" t="s">
        <v>69</v>
      </c>
      <c r="BF1442">
        <v>-2.0539999999999998</v>
      </c>
      <c r="BG1442">
        <v>1.9E-2</v>
      </c>
    </row>
    <row r="1443" spans="1:59">
      <c r="A1443">
        <v>0</v>
      </c>
      <c r="B1443">
        <v>2</v>
      </c>
      <c r="C1443">
        <v>4</v>
      </c>
      <c r="D1443" t="s">
        <v>25022</v>
      </c>
      <c r="E1443">
        <v>1598</v>
      </c>
      <c r="F1443" t="s">
        <v>9998</v>
      </c>
      <c r="G1443" t="s">
        <v>57</v>
      </c>
      <c r="H1443">
        <v>1609327</v>
      </c>
      <c r="I1443">
        <v>1610160</v>
      </c>
      <c r="J1443" t="s">
        <v>9999</v>
      </c>
      <c r="K1443">
        <v>278</v>
      </c>
      <c r="L1443" t="s">
        <v>465</v>
      </c>
      <c r="M1443">
        <v>46</v>
      </c>
      <c r="N1443" t="str">
        <f>HYPERLINK("Gene1598-zp_tree_all.dnd", "Gene1598-tree")</f>
        <v>Gene1598-tree</v>
      </c>
      <c r="O1443">
        <v>5</v>
      </c>
      <c r="P1443">
        <v>10</v>
      </c>
      <c r="Q1443">
        <v>5</v>
      </c>
      <c r="R1443">
        <v>10</v>
      </c>
      <c r="S1443">
        <v>0.66666999999999998</v>
      </c>
      <c r="T1443" t="s">
        <v>199</v>
      </c>
      <c r="U1443" t="s">
        <v>117</v>
      </c>
      <c r="V1443" t="s">
        <v>62</v>
      </c>
      <c r="W1443" t="s">
        <v>62</v>
      </c>
      <c r="X1443">
        <v>3</v>
      </c>
      <c r="Y1443">
        <v>6</v>
      </c>
      <c r="Z1443">
        <v>19</v>
      </c>
      <c r="AA1443">
        <v>0.24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11</v>
      </c>
      <c r="AK1443">
        <v>0</v>
      </c>
      <c r="AL1443">
        <v>12</v>
      </c>
      <c r="AM1443">
        <v>9</v>
      </c>
      <c r="AN1443">
        <v>10</v>
      </c>
      <c r="AO1443">
        <v>10</v>
      </c>
      <c r="AP1443">
        <v>32</v>
      </c>
      <c r="AQ1443">
        <v>15</v>
      </c>
      <c r="AR1443" t="s">
        <v>10000</v>
      </c>
      <c r="AS1443" t="s">
        <v>10001</v>
      </c>
      <c r="AT1443">
        <v>0.42899999999999999</v>
      </c>
      <c r="AU1443" t="s">
        <v>65</v>
      </c>
      <c r="AV1443">
        <v>42</v>
      </c>
      <c r="AW1443">
        <v>25</v>
      </c>
      <c r="AX1443" t="s">
        <v>10002</v>
      </c>
      <c r="AY1443">
        <v>5.4850000000000003E-2</v>
      </c>
      <c r="AZ1443">
        <v>-6.43E-3</v>
      </c>
      <c r="BA1443">
        <v>7.9600000000000001E-3</v>
      </c>
      <c r="BB1443">
        <v>-6.8000000000000005E-4</v>
      </c>
      <c r="BC1443">
        <v>0.14510000000000001</v>
      </c>
      <c r="BD1443">
        <v>1</v>
      </c>
      <c r="BE1443" t="s">
        <v>69</v>
      </c>
      <c r="BF1443">
        <v>-1.613</v>
      </c>
      <c r="BG1443">
        <v>-6.0000000000000001E-3</v>
      </c>
    </row>
    <row r="1444" spans="1:59">
      <c r="A1444">
        <v>0</v>
      </c>
      <c r="B1444">
        <v>2</v>
      </c>
      <c r="C1444">
        <v>2</v>
      </c>
      <c r="D1444" t="s">
        <v>25022</v>
      </c>
      <c r="E1444">
        <v>2578</v>
      </c>
      <c r="F1444" t="s">
        <v>15089</v>
      </c>
      <c r="G1444" t="s">
        <v>62</v>
      </c>
      <c r="H1444">
        <v>2562969</v>
      </c>
      <c r="I1444">
        <v>2563802</v>
      </c>
      <c r="J1444" t="s">
        <v>8580</v>
      </c>
      <c r="K1444">
        <v>278</v>
      </c>
      <c r="L1444" t="s">
        <v>108</v>
      </c>
      <c r="M1444">
        <v>44</v>
      </c>
      <c r="N1444" t="str">
        <f>HYPERLINK("Gene2578-zp_tree_all.dnd", "Gene2578-tree")</f>
        <v>Gene2578-tree</v>
      </c>
      <c r="O1444">
        <v>4</v>
      </c>
      <c r="P1444">
        <v>6</v>
      </c>
      <c r="Q1444">
        <v>4</v>
      </c>
      <c r="R1444">
        <v>6</v>
      </c>
      <c r="S1444">
        <v>0.6</v>
      </c>
      <c r="T1444" t="s">
        <v>61</v>
      </c>
      <c r="U1444" t="s">
        <v>90</v>
      </c>
      <c r="V1444" t="s">
        <v>62</v>
      </c>
      <c r="W1444" t="s">
        <v>62</v>
      </c>
      <c r="X1444">
        <v>2</v>
      </c>
      <c r="Y1444">
        <v>4</v>
      </c>
      <c r="Z1444">
        <v>9</v>
      </c>
      <c r="AA1444">
        <v>0.30769000000000002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7</v>
      </c>
      <c r="AK1444">
        <v>0</v>
      </c>
      <c r="AL1444">
        <v>9</v>
      </c>
      <c r="AM1444">
        <v>5</v>
      </c>
      <c r="AN1444">
        <v>24</v>
      </c>
      <c r="AO1444">
        <v>7</v>
      </c>
      <c r="AP1444">
        <v>3</v>
      </c>
      <c r="AQ1444">
        <v>6</v>
      </c>
      <c r="AR1444" t="s">
        <v>15090</v>
      </c>
      <c r="AS1444" t="s">
        <v>15091</v>
      </c>
      <c r="AT1444">
        <v>1.395</v>
      </c>
      <c r="AU1444" t="s">
        <v>65</v>
      </c>
      <c r="AV1444">
        <v>27</v>
      </c>
      <c r="AW1444">
        <v>13</v>
      </c>
      <c r="AX1444" t="s">
        <v>15092</v>
      </c>
      <c r="AY1444">
        <v>3.7519999999999998E-2</v>
      </c>
      <c r="AZ1444">
        <v>-4.7000000000000002E-3</v>
      </c>
      <c r="BA1444">
        <v>5.2199999999999998E-3</v>
      </c>
      <c r="BB1444">
        <v>-3.8999999999999999E-4</v>
      </c>
      <c r="BC1444">
        <v>0.13911000000000001</v>
      </c>
      <c r="BD1444">
        <v>1</v>
      </c>
      <c r="BE1444" t="s">
        <v>69</v>
      </c>
      <c r="BF1444">
        <v>-0.69599999999999995</v>
      </c>
      <c r="BG1444">
        <v>-2.423</v>
      </c>
    </row>
    <row r="1445" spans="1:59">
      <c r="A1445">
        <v>0</v>
      </c>
      <c r="B1445">
        <v>0</v>
      </c>
      <c r="C1445">
        <v>0</v>
      </c>
      <c r="D1445" t="s">
        <v>25022</v>
      </c>
      <c r="E1445">
        <v>1297</v>
      </c>
      <c r="F1445" t="s">
        <v>8141</v>
      </c>
      <c r="G1445" t="s">
        <v>57</v>
      </c>
      <c r="H1445">
        <v>1322014</v>
      </c>
      <c r="I1445">
        <v>1322847</v>
      </c>
      <c r="J1445" t="s">
        <v>8099</v>
      </c>
      <c r="K1445">
        <v>278</v>
      </c>
      <c r="L1445" t="s">
        <v>1305</v>
      </c>
      <c r="M1445">
        <v>43</v>
      </c>
      <c r="N1445" t="str">
        <f>HYPERLINK("Gene1297-zp_tree_all.dnd", "Gene1297-tree")</f>
        <v>Gene1297-tree</v>
      </c>
      <c r="O1445">
        <v>4</v>
      </c>
      <c r="P1445">
        <v>8</v>
      </c>
      <c r="Q1445">
        <v>4</v>
      </c>
      <c r="R1445">
        <v>8</v>
      </c>
      <c r="S1445">
        <v>0.66666999999999998</v>
      </c>
      <c r="T1445" t="s">
        <v>61</v>
      </c>
      <c r="U1445" t="s">
        <v>136</v>
      </c>
      <c r="V1445" t="s">
        <v>62</v>
      </c>
      <c r="W1445" t="s">
        <v>62</v>
      </c>
      <c r="X1445">
        <v>0</v>
      </c>
      <c r="Y1445">
        <v>0</v>
      </c>
      <c r="Z1445">
        <v>14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14</v>
      </c>
      <c r="AK1445">
        <v>0</v>
      </c>
      <c r="AL1445">
        <v>8</v>
      </c>
      <c r="AM1445">
        <v>7</v>
      </c>
      <c r="AN1445">
        <v>11</v>
      </c>
      <c r="AO1445">
        <v>11</v>
      </c>
      <c r="AP1445">
        <v>14</v>
      </c>
      <c r="AQ1445">
        <v>3</v>
      </c>
      <c r="AR1445" t="s">
        <v>8142</v>
      </c>
      <c r="AS1445" t="s">
        <v>8143</v>
      </c>
      <c r="AT1445">
        <v>1.36</v>
      </c>
      <c r="AU1445" t="s">
        <v>65</v>
      </c>
      <c r="AV1445">
        <v>25</v>
      </c>
      <c r="AW1445">
        <v>14</v>
      </c>
      <c r="AX1445" t="s">
        <v>8144</v>
      </c>
      <c r="AY1445">
        <v>3.6110000000000003E-2</v>
      </c>
      <c r="AZ1445">
        <v>-1.91E-3</v>
      </c>
      <c r="BA1445">
        <v>4.4400000000000004E-3</v>
      </c>
      <c r="BB1445">
        <v>-4.0999999999999999E-4</v>
      </c>
      <c r="BC1445">
        <v>0.12305000000000001</v>
      </c>
      <c r="BD1445">
        <v>1</v>
      </c>
      <c r="BE1445" t="s">
        <v>69</v>
      </c>
      <c r="BF1445">
        <v>-0.45500000000000002</v>
      </c>
      <c r="BG1445">
        <v>-1.0509999999999999</v>
      </c>
    </row>
    <row r="1446" spans="1:59">
      <c r="A1446">
        <v>0</v>
      </c>
      <c r="B1446">
        <v>16</v>
      </c>
      <c r="C1446">
        <v>0</v>
      </c>
      <c r="D1446" t="s">
        <v>25022</v>
      </c>
      <c r="E1446">
        <v>3585</v>
      </c>
      <c r="F1446" t="s">
        <v>21037</v>
      </c>
      <c r="G1446" t="s">
        <v>62</v>
      </c>
      <c r="H1446">
        <v>3552372</v>
      </c>
      <c r="I1446">
        <v>3553205</v>
      </c>
      <c r="J1446" t="s">
        <v>21038</v>
      </c>
      <c r="K1446">
        <v>278</v>
      </c>
      <c r="L1446" t="s">
        <v>108</v>
      </c>
      <c r="M1446">
        <v>44</v>
      </c>
      <c r="N1446" t="str">
        <f>HYPERLINK("Gene3585-zp_tree_all.dnd", "Gene3585-tree")</f>
        <v>Gene3585-tree</v>
      </c>
      <c r="O1446">
        <v>6</v>
      </c>
      <c r="P1446">
        <v>10</v>
      </c>
      <c r="Q1446">
        <v>6</v>
      </c>
      <c r="R1446">
        <v>10</v>
      </c>
      <c r="S1446">
        <v>0.625</v>
      </c>
      <c r="T1446" t="s">
        <v>90</v>
      </c>
      <c r="U1446" t="s">
        <v>117</v>
      </c>
      <c r="V1446" t="s">
        <v>62</v>
      </c>
      <c r="W1446" t="s">
        <v>62</v>
      </c>
      <c r="X1446">
        <v>6</v>
      </c>
      <c r="Y1446">
        <v>16</v>
      </c>
      <c r="Z1446">
        <v>9</v>
      </c>
      <c r="AA1446">
        <v>0.64</v>
      </c>
      <c r="AB1446">
        <v>0</v>
      </c>
      <c r="AC1446">
        <v>0</v>
      </c>
      <c r="AD1446">
        <v>0</v>
      </c>
      <c r="AE1446">
        <v>2</v>
      </c>
      <c r="AF1446">
        <v>0</v>
      </c>
      <c r="AG1446">
        <v>12</v>
      </c>
      <c r="AH1446">
        <v>0</v>
      </c>
      <c r="AI1446">
        <v>12</v>
      </c>
      <c r="AJ1446">
        <v>8</v>
      </c>
      <c r="AK1446">
        <v>0.6</v>
      </c>
      <c r="AL1446">
        <v>13</v>
      </c>
      <c r="AM1446">
        <v>13</v>
      </c>
      <c r="AN1446">
        <v>43</v>
      </c>
      <c r="AO1446">
        <v>21</v>
      </c>
      <c r="AP1446">
        <v>29</v>
      </c>
      <c r="AQ1446">
        <v>6</v>
      </c>
      <c r="AR1446" t="s">
        <v>21039</v>
      </c>
      <c r="AS1446" t="s">
        <v>21040</v>
      </c>
      <c r="AT1446">
        <v>1.2609999999999999</v>
      </c>
      <c r="AU1446" t="s">
        <v>65</v>
      </c>
      <c r="AV1446">
        <v>72</v>
      </c>
      <c r="AW1446">
        <v>27</v>
      </c>
      <c r="AX1446" t="s">
        <v>21041</v>
      </c>
      <c r="AY1446">
        <v>6.0909999999999999E-2</v>
      </c>
      <c r="AZ1446">
        <v>-2E-3</v>
      </c>
      <c r="BA1446">
        <v>5.6800000000000002E-3</v>
      </c>
      <c r="BB1446">
        <v>-3.1E-4</v>
      </c>
      <c r="BC1446">
        <v>9.3219999999999997E-2</v>
      </c>
      <c r="BD1446">
        <v>1</v>
      </c>
      <c r="BE1446" t="s">
        <v>69</v>
      </c>
      <c r="BF1446">
        <v>-0.28999999999999998</v>
      </c>
      <c r="BG1446">
        <v>-0.23400000000000001</v>
      </c>
    </row>
    <row r="1447" spans="1:59">
      <c r="A1447">
        <v>0</v>
      </c>
      <c r="B1447">
        <v>2</v>
      </c>
      <c r="C1447">
        <v>0</v>
      </c>
      <c r="D1447" t="s">
        <v>25022</v>
      </c>
      <c r="E1447">
        <v>3559</v>
      </c>
      <c r="F1447" t="s">
        <v>20870</v>
      </c>
      <c r="G1447" t="s">
        <v>62</v>
      </c>
      <c r="H1447">
        <v>3524420</v>
      </c>
      <c r="I1447">
        <v>3525253</v>
      </c>
      <c r="J1447" t="s">
        <v>20871</v>
      </c>
      <c r="K1447">
        <v>278</v>
      </c>
      <c r="L1447" t="s">
        <v>108</v>
      </c>
      <c r="M1447">
        <v>44</v>
      </c>
      <c r="N1447" t="str">
        <f>HYPERLINK("Gene3559-zp_tree_all.dnd", "Gene3559-tree")</f>
        <v>Gene3559-tree</v>
      </c>
      <c r="O1447">
        <v>5</v>
      </c>
      <c r="P1447">
        <v>8</v>
      </c>
      <c r="Q1447">
        <v>5</v>
      </c>
      <c r="R1447">
        <v>8</v>
      </c>
      <c r="S1447">
        <v>0.61538000000000004</v>
      </c>
      <c r="T1447" t="s">
        <v>199</v>
      </c>
      <c r="U1447" t="s">
        <v>136</v>
      </c>
      <c r="V1447" t="s">
        <v>62</v>
      </c>
      <c r="W1447" t="s">
        <v>62</v>
      </c>
      <c r="X1447">
        <v>1</v>
      </c>
      <c r="Y1447">
        <v>2</v>
      </c>
      <c r="Z1447">
        <v>10</v>
      </c>
      <c r="AA1447">
        <v>0.16667000000000001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11</v>
      </c>
      <c r="AK1447">
        <v>0</v>
      </c>
      <c r="AL1447">
        <v>11</v>
      </c>
      <c r="AM1447">
        <v>9</v>
      </c>
      <c r="AN1447">
        <v>31</v>
      </c>
      <c r="AO1447">
        <v>10</v>
      </c>
      <c r="AP1447">
        <v>18</v>
      </c>
      <c r="AQ1447">
        <v>2</v>
      </c>
      <c r="AR1447" t="s">
        <v>20872</v>
      </c>
      <c r="AS1447" t="s">
        <v>20873</v>
      </c>
      <c r="AT1447">
        <v>0.77800000000000002</v>
      </c>
      <c r="AU1447" t="s">
        <v>65</v>
      </c>
      <c r="AV1447">
        <v>49</v>
      </c>
      <c r="AW1447">
        <v>12</v>
      </c>
      <c r="AX1447" t="s">
        <v>20874</v>
      </c>
      <c r="AY1447">
        <v>5.1860000000000003E-2</v>
      </c>
      <c r="AZ1447">
        <v>-2.49E-3</v>
      </c>
      <c r="BA1447">
        <v>3.5799999999999998E-3</v>
      </c>
      <c r="BB1447">
        <v>-2.7E-4</v>
      </c>
      <c r="BC1447">
        <v>6.9110000000000005E-2</v>
      </c>
      <c r="BD1447">
        <v>1</v>
      </c>
      <c r="BE1447" t="s">
        <v>69</v>
      </c>
      <c r="BF1447">
        <v>-1.0580000000000001</v>
      </c>
      <c r="BG1447">
        <v>-1.411</v>
      </c>
    </row>
    <row r="1448" spans="1:59">
      <c r="A1448">
        <v>0</v>
      </c>
      <c r="B1448">
        <v>8</v>
      </c>
      <c r="C1448">
        <v>0</v>
      </c>
      <c r="D1448" t="s">
        <v>25022</v>
      </c>
      <c r="E1448">
        <v>1279</v>
      </c>
      <c r="F1448" t="s">
        <v>8020</v>
      </c>
      <c r="G1448" t="s">
        <v>57</v>
      </c>
      <c r="H1448">
        <v>1306562</v>
      </c>
      <c r="I1448">
        <v>1307395</v>
      </c>
      <c r="J1448" t="s">
        <v>8021</v>
      </c>
      <c r="K1448">
        <v>278</v>
      </c>
      <c r="L1448" t="s">
        <v>108</v>
      </c>
      <c r="M1448">
        <v>44</v>
      </c>
      <c r="N1448" t="str">
        <f>HYPERLINK("Gene1279-zp_tree_all.dnd", "Gene1279-tree")</f>
        <v>Gene1279-tree</v>
      </c>
      <c r="O1448">
        <v>8</v>
      </c>
      <c r="P1448">
        <v>7</v>
      </c>
      <c r="Q1448">
        <v>8</v>
      </c>
      <c r="R1448">
        <v>7</v>
      </c>
      <c r="S1448">
        <v>0.46666999999999997</v>
      </c>
      <c r="T1448" t="s">
        <v>136</v>
      </c>
      <c r="U1448" t="s">
        <v>152</v>
      </c>
      <c r="V1448" t="s">
        <v>62</v>
      </c>
      <c r="W1448" t="s">
        <v>62</v>
      </c>
      <c r="X1448">
        <v>3</v>
      </c>
      <c r="Y1448">
        <v>8</v>
      </c>
      <c r="Z1448">
        <v>5</v>
      </c>
      <c r="AA1448">
        <v>0.61538000000000004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7</v>
      </c>
      <c r="AH1448">
        <v>0</v>
      </c>
      <c r="AI1448">
        <v>7</v>
      </c>
      <c r="AJ1448">
        <v>4</v>
      </c>
      <c r="AK1448">
        <v>0.63636000000000004</v>
      </c>
      <c r="AL1448">
        <v>12</v>
      </c>
      <c r="AM1448">
        <v>11</v>
      </c>
      <c r="AN1448">
        <v>32</v>
      </c>
      <c r="AO1448">
        <v>11</v>
      </c>
      <c r="AP1448">
        <v>21</v>
      </c>
      <c r="AQ1448">
        <v>2</v>
      </c>
      <c r="AR1448" t="s">
        <v>8022</v>
      </c>
      <c r="AS1448" t="s">
        <v>8023</v>
      </c>
      <c r="AT1448">
        <v>1.234</v>
      </c>
      <c r="AU1448" t="s">
        <v>65</v>
      </c>
      <c r="AV1448">
        <v>53</v>
      </c>
      <c r="AW1448">
        <v>13</v>
      </c>
      <c r="AX1448" t="s">
        <v>8024</v>
      </c>
      <c r="AY1448">
        <v>5.2179999999999997E-2</v>
      </c>
      <c r="AZ1448">
        <v>-1.97E-3</v>
      </c>
      <c r="BA1448">
        <v>3.0100000000000001E-3</v>
      </c>
      <c r="BB1448">
        <v>-1.8000000000000001E-4</v>
      </c>
      <c r="BC1448">
        <v>5.7660000000000003E-2</v>
      </c>
      <c r="BD1448">
        <v>1</v>
      </c>
      <c r="BE1448" t="s">
        <v>69</v>
      </c>
      <c r="BF1448">
        <v>0.495</v>
      </c>
      <c r="BG1448">
        <v>-1.135</v>
      </c>
    </row>
    <row r="1449" spans="1:59">
      <c r="A1449">
        <v>0</v>
      </c>
      <c r="B1449">
        <v>6</v>
      </c>
      <c r="C1449">
        <v>0</v>
      </c>
      <c r="D1449" t="s">
        <v>25022</v>
      </c>
      <c r="E1449">
        <v>4109</v>
      </c>
      <c r="F1449" t="s">
        <v>24208</v>
      </c>
      <c r="G1449" t="s">
        <v>62</v>
      </c>
      <c r="H1449">
        <v>4073977</v>
      </c>
      <c r="I1449">
        <v>4074810</v>
      </c>
      <c r="J1449" t="s">
        <v>24209</v>
      </c>
      <c r="K1449">
        <v>278</v>
      </c>
      <c r="L1449" t="s">
        <v>409</v>
      </c>
      <c r="M1449">
        <v>45</v>
      </c>
      <c r="N1449" t="str">
        <f>HYPERLINK("Gene4109-zp_tree_all.dnd", "Gene4109-tree")</f>
        <v>Gene4109-tree</v>
      </c>
      <c r="O1449">
        <v>8</v>
      </c>
      <c r="P1449">
        <v>6</v>
      </c>
      <c r="Q1449">
        <v>8</v>
      </c>
      <c r="R1449">
        <v>6</v>
      </c>
      <c r="S1449">
        <v>0.42857000000000001</v>
      </c>
      <c r="T1449" t="s">
        <v>136</v>
      </c>
      <c r="U1449" t="s">
        <v>90</v>
      </c>
      <c r="V1449" t="s">
        <v>62</v>
      </c>
      <c r="W1449" t="s">
        <v>62</v>
      </c>
      <c r="X1449">
        <v>3</v>
      </c>
      <c r="Y1449">
        <v>6</v>
      </c>
      <c r="Z1449">
        <v>5</v>
      </c>
      <c r="AA1449">
        <v>0.54544999999999999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7</v>
      </c>
      <c r="AK1449">
        <v>0</v>
      </c>
      <c r="AL1449">
        <v>13</v>
      </c>
      <c r="AM1449">
        <v>10</v>
      </c>
      <c r="AN1449">
        <v>60</v>
      </c>
      <c r="AO1449">
        <v>6</v>
      </c>
      <c r="AP1449">
        <v>26</v>
      </c>
      <c r="AQ1449">
        <v>5</v>
      </c>
      <c r="AR1449" t="s">
        <v>24210</v>
      </c>
      <c r="AS1449" t="s">
        <v>24211</v>
      </c>
      <c r="AT1449">
        <v>0.76</v>
      </c>
      <c r="AU1449" t="s">
        <v>65</v>
      </c>
      <c r="AV1449">
        <v>86</v>
      </c>
      <c r="AW1449">
        <v>11</v>
      </c>
      <c r="AX1449" t="s">
        <v>24212</v>
      </c>
      <c r="AY1449">
        <v>8.7679999999999994E-2</v>
      </c>
      <c r="AZ1449">
        <v>-5.3499999999999997E-3</v>
      </c>
      <c r="BA1449">
        <v>3.6800000000000001E-3</v>
      </c>
      <c r="BB1449">
        <v>-2.1000000000000001E-4</v>
      </c>
      <c r="BC1449">
        <v>4.197E-2</v>
      </c>
      <c r="BD1449">
        <v>1</v>
      </c>
      <c r="BE1449" t="s">
        <v>69</v>
      </c>
      <c r="BF1449">
        <v>-0.64</v>
      </c>
      <c r="BG1449">
        <v>-2.5390000000000001</v>
      </c>
    </row>
    <row r="1450" spans="1:59">
      <c r="A1450">
        <v>0</v>
      </c>
      <c r="B1450">
        <v>0</v>
      </c>
      <c r="C1450">
        <v>2</v>
      </c>
      <c r="D1450" t="s">
        <v>25022</v>
      </c>
      <c r="E1450">
        <v>2555</v>
      </c>
      <c r="F1450" t="s">
        <v>14934</v>
      </c>
      <c r="G1450" t="s">
        <v>62</v>
      </c>
      <c r="H1450">
        <v>2543971</v>
      </c>
      <c r="I1450">
        <v>2544804</v>
      </c>
      <c r="J1450" t="s">
        <v>14935</v>
      </c>
      <c r="K1450">
        <v>278</v>
      </c>
      <c r="L1450" t="s">
        <v>2803</v>
      </c>
      <c r="M1450">
        <v>45</v>
      </c>
      <c r="N1450" t="str">
        <f>HYPERLINK("Gene2555-zp_tree_all.dnd", "Gene2555-tree")</f>
        <v>Gene2555-tree</v>
      </c>
      <c r="O1450">
        <v>11</v>
      </c>
      <c r="P1450">
        <v>5</v>
      </c>
      <c r="Q1450">
        <v>11</v>
      </c>
      <c r="R1450">
        <v>5</v>
      </c>
      <c r="S1450">
        <v>0.3125</v>
      </c>
      <c r="T1450" t="s">
        <v>73</v>
      </c>
      <c r="U1450" t="s">
        <v>199</v>
      </c>
      <c r="V1450" t="s">
        <v>62</v>
      </c>
      <c r="W1450" t="s">
        <v>62</v>
      </c>
      <c r="X1450">
        <v>1</v>
      </c>
      <c r="Y1450">
        <v>2</v>
      </c>
      <c r="Z1450">
        <v>8</v>
      </c>
      <c r="AA1450">
        <v>0.2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8</v>
      </c>
      <c r="AK1450">
        <v>0</v>
      </c>
      <c r="AL1450">
        <v>14</v>
      </c>
      <c r="AM1450">
        <v>8</v>
      </c>
      <c r="AN1450">
        <v>55</v>
      </c>
      <c r="AO1450">
        <v>8</v>
      </c>
      <c r="AP1450">
        <v>21</v>
      </c>
      <c r="AQ1450">
        <v>2</v>
      </c>
      <c r="AR1450" t="s">
        <v>14936</v>
      </c>
      <c r="AS1450" t="s">
        <v>14937</v>
      </c>
      <c r="AT1450">
        <v>0.13900000000000001</v>
      </c>
      <c r="AU1450" t="s">
        <v>65</v>
      </c>
      <c r="AV1450">
        <v>76</v>
      </c>
      <c r="AW1450">
        <v>10</v>
      </c>
      <c r="AX1450" t="s">
        <v>14938</v>
      </c>
      <c r="AY1450">
        <v>6.3500000000000001E-2</v>
      </c>
      <c r="AZ1450">
        <v>-6.43E-3</v>
      </c>
      <c r="BA1450">
        <v>2.2699999999999999E-3</v>
      </c>
      <c r="BB1450">
        <v>-1.7000000000000001E-4</v>
      </c>
      <c r="BC1450">
        <v>3.5740000000000001E-2</v>
      </c>
      <c r="BD1450">
        <v>1</v>
      </c>
      <c r="BE1450" t="s">
        <v>69</v>
      </c>
      <c r="BF1450">
        <v>-1.756</v>
      </c>
      <c r="BG1450">
        <v>-3.0579999999999998</v>
      </c>
    </row>
    <row r="1451" spans="1:59">
      <c r="A1451">
        <v>0</v>
      </c>
      <c r="B1451">
        <v>0</v>
      </c>
      <c r="C1451">
        <v>0</v>
      </c>
      <c r="D1451" t="s">
        <v>25022</v>
      </c>
      <c r="E1451">
        <v>4022</v>
      </c>
      <c r="F1451" t="s">
        <v>23668</v>
      </c>
      <c r="G1451" t="s">
        <v>62</v>
      </c>
      <c r="H1451">
        <v>3987930</v>
      </c>
      <c r="I1451">
        <v>3988763</v>
      </c>
      <c r="J1451" t="s">
        <v>23669</v>
      </c>
      <c r="K1451">
        <v>278</v>
      </c>
      <c r="L1451" t="s">
        <v>108</v>
      </c>
      <c r="M1451">
        <v>44</v>
      </c>
      <c r="N1451" t="str">
        <f>HYPERLINK("Gene4022-zp_tree_all.dnd", "Gene4022-tree")</f>
        <v>Gene4022-tree</v>
      </c>
      <c r="O1451">
        <v>9</v>
      </c>
      <c r="P1451">
        <v>5</v>
      </c>
      <c r="Q1451">
        <v>9</v>
      </c>
      <c r="R1451">
        <v>5</v>
      </c>
      <c r="S1451">
        <v>0.35714000000000001</v>
      </c>
      <c r="T1451" t="s">
        <v>135</v>
      </c>
      <c r="U1451" t="s">
        <v>199</v>
      </c>
      <c r="V1451" t="s">
        <v>62</v>
      </c>
      <c r="W1451" t="s">
        <v>62</v>
      </c>
      <c r="X1451">
        <v>0</v>
      </c>
      <c r="Y1451">
        <v>0</v>
      </c>
      <c r="Z1451">
        <v>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6</v>
      </c>
      <c r="AK1451">
        <v>0</v>
      </c>
      <c r="AL1451">
        <v>11</v>
      </c>
      <c r="AM1451">
        <v>8</v>
      </c>
      <c r="AN1451">
        <v>31</v>
      </c>
      <c r="AO1451">
        <v>6</v>
      </c>
      <c r="AP1451">
        <v>16</v>
      </c>
      <c r="AQ1451">
        <v>0</v>
      </c>
      <c r="AR1451" t="s">
        <v>23670</v>
      </c>
      <c r="AS1451" t="s">
        <v>193</v>
      </c>
      <c r="AT1451">
        <v>1.4219999999999999</v>
      </c>
      <c r="AU1451" t="s">
        <v>65</v>
      </c>
      <c r="AV1451">
        <v>47</v>
      </c>
      <c r="AW1451">
        <v>6</v>
      </c>
      <c r="AX1451" t="s">
        <v>23671</v>
      </c>
      <c r="AY1451">
        <v>4.8500000000000001E-2</v>
      </c>
      <c r="AZ1451">
        <v>-2.1700000000000001E-3</v>
      </c>
      <c r="BA1451">
        <v>1.34E-3</v>
      </c>
      <c r="BB1451">
        <v>-1.3999999999999999E-4</v>
      </c>
      <c r="BC1451">
        <v>2.7730000000000001E-2</v>
      </c>
      <c r="BD1451">
        <v>1</v>
      </c>
      <c r="BE1451" t="s">
        <v>69</v>
      </c>
      <c r="BF1451">
        <v>-1.181</v>
      </c>
      <c r="BG1451">
        <v>-1.4790000000000001</v>
      </c>
    </row>
    <row r="1452" spans="1:59">
      <c r="A1452">
        <v>0</v>
      </c>
      <c r="B1452">
        <v>0</v>
      </c>
      <c r="C1452">
        <v>0</v>
      </c>
      <c r="D1452" t="s">
        <v>25022</v>
      </c>
      <c r="E1452">
        <v>1293</v>
      </c>
      <c r="F1452" t="s">
        <v>8114</v>
      </c>
      <c r="G1452" t="s">
        <v>57</v>
      </c>
      <c r="H1452">
        <v>1319690</v>
      </c>
      <c r="I1452">
        <v>1320523</v>
      </c>
      <c r="J1452" t="s">
        <v>8115</v>
      </c>
      <c r="K1452">
        <v>278</v>
      </c>
      <c r="L1452" t="s">
        <v>1305</v>
      </c>
      <c r="M1452">
        <v>43</v>
      </c>
      <c r="N1452" t="str">
        <f>HYPERLINK("Gene1293-zp_tree_all.dnd", "Gene1293-tree")</f>
        <v>Gene1293-tree</v>
      </c>
      <c r="O1452">
        <v>10</v>
      </c>
      <c r="P1452">
        <v>1</v>
      </c>
      <c r="Q1452">
        <v>10</v>
      </c>
      <c r="R1452">
        <v>1</v>
      </c>
      <c r="S1452">
        <v>9.0910000000000005E-2</v>
      </c>
      <c r="T1452" t="s">
        <v>117</v>
      </c>
      <c r="U1452" t="s">
        <v>175</v>
      </c>
      <c r="V1452" t="s">
        <v>62</v>
      </c>
      <c r="W1452" t="s">
        <v>62</v>
      </c>
      <c r="X1452">
        <v>0</v>
      </c>
      <c r="Y1452">
        <v>0</v>
      </c>
      <c r="Z1452">
        <v>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3</v>
      </c>
      <c r="AK1452">
        <v>0</v>
      </c>
      <c r="AL1452">
        <v>8</v>
      </c>
      <c r="AM1452">
        <v>6</v>
      </c>
      <c r="AN1452">
        <v>30</v>
      </c>
      <c r="AO1452">
        <v>3</v>
      </c>
      <c r="AP1452">
        <v>14</v>
      </c>
      <c r="AQ1452">
        <v>0</v>
      </c>
      <c r="AR1452" t="s">
        <v>8116</v>
      </c>
      <c r="AS1452" t="s">
        <v>193</v>
      </c>
      <c r="AT1452">
        <v>0.29699999999999999</v>
      </c>
      <c r="AU1452" t="s">
        <v>65</v>
      </c>
      <c r="AV1452">
        <v>44</v>
      </c>
      <c r="AW1452">
        <v>3</v>
      </c>
      <c r="AX1452" t="s">
        <v>8117</v>
      </c>
      <c r="AY1452">
        <v>5.3129999999999997E-2</v>
      </c>
      <c r="AZ1452">
        <v>-5.5799999999999999E-3</v>
      </c>
      <c r="BA1452">
        <v>8.4999999999999995E-4</v>
      </c>
      <c r="BB1452">
        <v>-2.4000000000000001E-4</v>
      </c>
      <c r="BC1452">
        <v>1.602E-2</v>
      </c>
      <c r="BD1452">
        <v>1</v>
      </c>
      <c r="BE1452" t="s">
        <v>69</v>
      </c>
      <c r="BF1452">
        <v>-1.121</v>
      </c>
      <c r="BG1452">
        <v>-2.4900000000000002</v>
      </c>
    </row>
    <row r="1453" spans="1:59">
      <c r="A1453">
        <v>0</v>
      </c>
      <c r="B1453">
        <v>4</v>
      </c>
      <c r="C1453">
        <v>0</v>
      </c>
      <c r="D1453" t="s">
        <v>25022</v>
      </c>
      <c r="E1453">
        <v>4018</v>
      </c>
      <c r="F1453" t="s">
        <v>23643</v>
      </c>
      <c r="G1453" t="s">
        <v>62</v>
      </c>
      <c r="H1453">
        <v>3983190</v>
      </c>
      <c r="I1453">
        <v>3984026</v>
      </c>
      <c r="J1453" t="s">
        <v>23644</v>
      </c>
      <c r="K1453">
        <v>279</v>
      </c>
      <c r="L1453" t="s">
        <v>108</v>
      </c>
      <c r="M1453">
        <v>44</v>
      </c>
      <c r="N1453" t="str">
        <f>HYPERLINK("Gene4018-zp_tree_all.dnd", "Gene4018-tree")</f>
        <v>Gene4018-tree</v>
      </c>
      <c r="O1453">
        <v>5</v>
      </c>
      <c r="P1453">
        <v>7</v>
      </c>
      <c r="Q1453">
        <v>5</v>
      </c>
      <c r="R1453">
        <v>7</v>
      </c>
      <c r="S1453">
        <v>0.58333000000000002</v>
      </c>
      <c r="T1453" t="s">
        <v>199</v>
      </c>
      <c r="U1453" t="s">
        <v>152</v>
      </c>
      <c r="V1453" t="s">
        <v>62</v>
      </c>
      <c r="W1453" t="s">
        <v>62</v>
      </c>
      <c r="X1453">
        <v>2</v>
      </c>
      <c r="Y1453">
        <v>4</v>
      </c>
      <c r="Z1453">
        <v>13</v>
      </c>
      <c r="AA1453">
        <v>0.23529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10</v>
      </c>
      <c r="AK1453">
        <v>0</v>
      </c>
      <c r="AL1453">
        <v>9</v>
      </c>
      <c r="AM1453">
        <v>9</v>
      </c>
      <c r="AN1453">
        <v>13</v>
      </c>
      <c r="AO1453">
        <v>10</v>
      </c>
      <c r="AP1453">
        <v>14</v>
      </c>
      <c r="AQ1453">
        <v>8</v>
      </c>
      <c r="AR1453" t="s">
        <v>23645</v>
      </c>
      <c r="AS1453" t="s">
        <v>23646</v>
      </c>
      <c r="AT1453">
        <v>0.32500000000000001</v>
      </c>
      <c r="AU1453" t="s">
        <v>65</v>
      </c>
      <c r="AV1453">
        <v>27</v>
      </c>
      <c r="AW1453">
        <v>18</v>
      </c>
      <c r="AX1453" t="s">
        <v>23647</v>
      </c>
      <c r="AY1453">
        <v>3.8920000000000003E-2</v>
      </c>
      <c r="AZ1453">
        <v>-2.4499999999999999E-3</v>
      </c>
      <c r="BA1453">
        <v>6.0899999999999999E-3</v>
      </c>
      <c r="BB1453">
        <v>-3.4000000000000002E-4</v>
      </c>
      <c r="BC1453">
        <v>0.15637999999999999</v>
      </c>
      <c r="BD1453">
        <v>1</v>
      </c>
      <c r="BE1453" t="s">
        <v>69</v>
      </c>
      <c r="BF1453">
        <v>-0.871</v>
      </c>
      <c r="BG1453">
        <v>-1.194</v>
      </c>
    </row>
    <row r="1454" spans="1:59">
      <c r="A1454">
        <v>0</v>
      </c>
      <c r="B1454">
        <v>22</v>
      </c>
      <c r="C1454">
        <v>0</v>
      </c>
      <c r="D1454" t="s">
        <v>25022</v>
      </c>
      <c r="E1454">
        <v>1328</v>
      </c>
      <c r="F1454" t="s">
        <v>8314</v>
      </c>
      <c r="G1454" t="s">
        <v>57</v>
      </c>
      <c r="H1454">
        <v>1345839</v>
      </c>
      <c r="I1454">
        <v>1346675</v>
      </c>
      <c r="J1454" t="s">
        <v>8315</v>
      </c>
      <c r="K1454">
        <v>279</v>
      </c>
      <c r="L1454" t="s">
        <v>1305</v>
      </c>
      <c r="M1454">
        <v>43</v>
      </c>
      <c r="N1454" t="str">
        <f>HYPERLINK("Gene1328-zp_tree_all.dnd", "Gene1328-tree")</f>
        <v>Gene1328-tree</v>
      </c>
      <c r="O1454">
        <v>0</v>
      </c>
      <c r="P1454">
        <v>11</v>
      </c>
      <c r="Q1454">
        <v>0</v>
      </c>
      <c r="R1454">
        <v>11</v>
      </c>
      <c r="S1454">
        <v>1</v>
      </c>
      <c r="T1454" t="s">
        <v>62</v>
      </c>
      <c r="U1454" t="s">
        <v>73</v>
      </c>
      <c r="V1454">
        <v>114461263.029</v>
      </c>
      <c r="W1454" t="s">
        <v>65</v>
      </c>
      <c r="X1454">
        <v>9</v>
      </c>
      <c r="Y1454">
        <v>22</v>
      </c>
      <c r="Z1454">
        <v>9</v>
      </c>
      <c r="AA1454">
        <v>0.70967999999999998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9</v>
      </c>
      <c r="AH1454">
        <v>2</v>
      </c>
      <c r="AI1454">
        <v>11</v>
      </c>
      <c r="AJ1454">
        <v>11</v>
      </c>
      <c r="AK1454">
        <v>0.5</v>
      </c>
      <c r="AL1454">
        <v>10</v>
      </c>
      <c r="AM1454">
        <v>7</v>
      </c>
      <c r="AN1454">
        <v>30</v>
      </c>
      <c r="AO1454">
        <v>20</v>
      </c>
      <c r="AP1454">
        <v>30</v>
      </c>
      <c r="AQ1454">
        <v>11</v>
      </c>
      <c r="AR1454" t="s">
        <v>8316</v>
      </c>
      <c r="AS1454" t="s">
        <v>8317</v>
      </c>
      <c r="AT1454">
        <v>1.871</v>
      </c>
      <c r="AU1454" t="s">
        <v>65</v>
      </c>
      <c r="AV1454">
        <v>60</v>
      </c>
      <c r="AW1454">
        <v>31</v>
      </c>
      <c r="AX1454" t="s">
        <v>8318</v>
      </c>
      <c r="AY1454">
        <v>7.4770000000000003E-2</v>
      </c>
      <c r="AZ1454">
        <v>-3.62E-3</v>
      </c>
      <c r="BA1454">
        <v>1.005E-2</v>
      </c>
      <c r="BB1454">
        <v>-5.0000000000000001E-4</v>
      </c>
      <c r="BC1454">
        <v>0.13447000000000001</v>
      </c>
      <c r="BD1454">
        <v>1</v>
      </c>
      <c r="BE1454" t="s">
        <v>69</v>
      </c>
      <c r="BF1454">
        <v>7.8E-2</v>
      </c>
      <c r="BG1454">
        <v>0.55800000000000005</v>
      </c>
    </row>
    <row r="1455" spans="1:59">
      <c r="A1455">
        <v>0</v>
      </c>
      <c r="B1455">
        <v>0</v>
      </c>
      <c r="C1455">
        <v>0</v>
      </c>
      <c r="D1455" t="s">
        <v>25022</v>
      </c>
      <c r="E1455">
        <v>2670</v>
      </c>
      <c r="F1455" t="s">
        <v>15663</v>
      </c>
      <c r="G1455" t="s">
        <v>62</v>
      </c>
      <c r="H1455">
        <v>2644633</v>
      </c>
      <c r="I1455">
        <v>2645472</v>
      </c>
      <c r="J1455" t="s">
        <v>15664</v>
      </c>
      <c r="K1455">
        <v>280</v>
      </c>
      <c r="L1455" t="s">
        <v>108</v>
      </c>
      <c r="M1455">
        <v>44</v>
      </c>
      <c r="N1455" t="str">
        <f>HYPERLINK("Gene2670-zp_tree_all.dnd", "Gene2670-tree")</f>
        <v>Gene2670-tree</v>
      </c>
      <c r="O1455">
        <v>7</v>
      </c>
      <c r="P1455">
        <v>5</v>
      </c>
      <c r="Q1455">
        <v>7</v>
      </c>
      <c r="R1455">
        <v>5</v>
      </c>
      <c r="S1455">
        <v>0.41666999999999998</v>
      </c>
      <c r="T1455" t="s">
        <v>152</v>
      </c>
      <c r="U1455" t="s">
        <v>199</v>
      </c>
      <c r="V1455" t="s">
        <v>62</v>
      </c>
      <c r="W1455" t="s">
        <v>62</v>
      </c>
      <c r="X1455">
        <v>0</v>
      </c>
      <c r="Y1455">
        <v>0</v>
      </c>
      <c r="Z1455">
        <v>10</v>
      </c>
      <c r="AA1455">
        <v>0</v>
      </c>
      <c r="AB1455">
        <v>0</v>
      </c>
      <c r="AC1455">
        <v>0</v>
      </c>
      <c r="AD1455">
        <v>0</v>
      </c>
      <c r="AE1455">
        <v>2</v>
      </c>
      <c r="AF1455">
        <v>0</v>
      </c>
      <c r="AG1455">
        <v>0</v>
      </c>
      <c r="AH1455">
        <v>0</v>
      </c>
      <c r="AI1455">
        <v>0</v>
      </c>
      <c r="AJ1455">
        <v>5</v>
      </c>
      <c r="AK1455">
        <v>0</v>
      </c>
      <c r="AL1455">
        <v>9</v>
      </c>
      <c r="AM1455">
        <v>8</v>
      </c>
      <c r="AN1455">
        <v>10</v>
      </c>
      <c r="AO1455">
        <v>5</v>
      </c>
      <c r="AP1455">
        <v>9</v>
      </c>
      <c r="AQ1455">
        <v>5</v>
      </c>
      <c r="AR1455" t="s">
        <v>15665</v>
      </c>
      <c r="AS1455" t="s">
        <v>15666</v>
      </c>
      <c r="AT1455">
        <v>0.14599999999999999</v>
      </c>
      <c r="AU1455" t="s">
        <v>65</v>
      </c>
      <c r="AV1455">
        <v>19</v>
      </c>
      <c r="AW1455">
        <v>10</v>
      </c>
      <c r="AX1455" t="s">
        <v>15667</v>
      </c>
      <c r="AY1455">
        <v>2.3720000000000001E-2</v>
      </c>
      <c r="AZ1455">
        <v>-1.2899999999999999E-3</v>
      </c>
      <c r="BA1455">
        <v>4.15E-3</v>
      </c>
      <c r="BB1455">
        <v>-2.4000000000000001E-4</v>
      </c>
      <c r="BC1455">
        <v>0.17508000000000001</v>
      </c>
      <c r="BD1455">
        <v>1</v>
      </c>
      <c r="BE1455" t="s">
        <v>69</v>
      </c>
      <c r="BF1455">
        <v>4.3999999999999997E-2</v>
      </c>
      <c r="BG1455">
        <v>-1.0309999999999999</v>
      </c>
    </row>
    <row r="1456" spans="1:59">
      <c r="A1456">
        <v>0</v>
      </c>
      <c r="B1456">
        <v>4</v>
      </c>
      <c r="C1456">
        <v>1</v>
      </c>
      <c r="D1456" t="s">
        <v>25022</v>
      </c>
      <c r="E1456">
        <v>4184</v>
      </c>
      <c r="F1456" t="s">
        <v>24631</v>
      </c>
      <c r="G1456" t="s">
        <v>62</v>
      </c>
      <c r="H1456">
        <v>4149670</v>
      </c>
      <c r="I1456">
        <v>4150509</v>
      </c>
      <c r="J1456" t="s">
        <v>24632</v>
      </c>
      <c r="K1456">
        <v>280</v>
      </c>
      <c r="L1456" t="s">
        <v>160</v>
      </c>
      <c r="M1456">
        <v>45</v>
      </c>
      <c r="N1456" t="str">
        <f>HYPERLINK("Gene4184-zp_tree_all.dnd", "Gene4184-tree")</f>
        <v>Gene4184-tree</v>
      </c>
      <c r="O1456">
        <v>29</v>
      </c>
      <c r="P1456">
        <v>3</v>
      </c>
      <c r="Q1456">
        <v>11</v>
      </c>
      <c r="R1456">
        <v>3</v>
      </c>
      <c r="S1456">
        <v>0.21429000000000001</v>
      </c>
      <c r="T1456" t="s">
        <v>2086</v>
      </c>
      <c r="U1456" t="s">
        <v>324</v>
      </c>
      <c r="V1456" t="s">
        <v>62</v>
      </c>
      <c r="W1456" t="s">
        <v>62</v>
      </c>
      <c r="X1456">
        <v>2</v>
      </c>
      <c r="Y1456">
        <v>5</v>
      </c>
      <c r="Z1456">
        <v>11</v>
      </c>
      <c r="AA1456">
        <v>0.3125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2</v>
      </c>
      <c r="AI1456">
        <v>2</v>
      </c>
      <c r="AJ1456">
        <v>10</v>
      </c>
      <c r="AK1456">
        <v>0.16667000000000001</v>
      </c>
      <c r="AL1456">
        <v>11</v>
      </c>
      <c r="AM1456">
        <v>8</v>
      </c>
      <c r="AN1456">
        <v>54</v>
      </c>
      <c r="AO1456">
        <v>11</v>
      </c>
      <c r="AP1456">
        <v>16</v>
      </c>
      <c r="AQ1456">
        <v>5</v>
      </c>
      <c r="AR1456" t="s">
        <v>24633</v>
      </c>
      <c r="AS1456" t="s">
        <v>24634</v>
      </c>
      <c r="AT1456">
        <v>0.21</v>
      </c>
      <c r="AU1456" t="s">
        <v>65</v>
      </c>
      <c r="AV1456">
        <v>70</v>
      </c>
      <c r="AW1456">
        <v>16</v>
      </c>
      <c r="AX1456" t="s">
        <v>24635</v>
      </c>
      <c r="AY1456">
        <v>8.3860000000000004E-2</v>
      </c>
      <c r="AZ1456">
        <v>-5.8500000000000002E-3</v>
      </c>
      <c r="BA1456">
        <v>5.2300000000000003E-3</v>
      </c>
      <c r="BB1456">
        <v>-5.1000000000000004E-4</v>
      </c>
      <c r="BC1456">
        <v>6.2399999999999997E-2</v>
      </c>
      <c r="BD1456">
        <v>1</v>
      </c>
      <c r="BE1456" t="s">
        <v>69</v>
      </c>
      <c r="BF1456">
        <v>-1.151</v>
      </c>
      <c r="BG1456">
        <v>-2.669</v>
      </c>
    </row>
    <row r="1457" spans="1:59">
      <c r="A1457">
        <v>0</v>
      </c>
      <c r="B1457">
        <v>0</v>
      </c>
      <c r="C1457">
        <v>0</v>
      </c>
      <c r="D1457" t="s">
        <v>25022</v>
      </c>
      <c r="E1457">
        <v>288</v>
      </c>
      <c r="F1457" t="s">
        <v>1966</v>
      </c>
      <c r="G1457" t="s">
        <v>57</v>
      </c>
      <c r="H1457">
        <v>310000</v>
      </c>
      <c r="I1457">
        <v>310839</v>
      </c>
      <c r="J1457" t="s">
        <v>1967</v>
      </c>
      <c r="K1457">
        <v>280</v>
      </c>
      <c r="L1457" t="s">
        <v>108</v>
      </c>
      <c r="M1457">
        <v>44</v>
      </c>
      <c r="N1457" t="str">
        <f>HYPERLINK("Gene288-zp_tree_all.dnd", "Gene288-tree")</f>
        <v>Gene288-tree</v>
      </c>
      <c r="O1457">
        <v>11</v>
      </c>
      <c r="P1457">
        <v>2</v>
      </c>
      <c r="Q1457">
        <v>11</v>
      </c>
      <c r="R1457">
        <v>2</v>
      </c>
      <c r="S1457">
        <v>0.15384999999999999</v>
      </c>
      <c r="T1457" t="s">
        <v>73</v>
      </c>
      <c r="U1457" t="s">
        <v>81</v>
      </c>
      <c r="V1457" t="s">
        <v>62</v>
      </c>
      <c r="W1457" t="s">
        <v>62</v>
      </c>
      <c r="X1457">
        <v>0</v>
      </c>
      <c r="Y1457">
        <v>0</v>
      </c>
      <c r="Z1457">
        <v>3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2</v>
      </c>
      <c r="AK1457">
        <v>0</v>
      </c>
      <c r="AL1457">
        <v>10</v>
      </c>
      <c r="AM1457">
        <v>5</v>
      </c>
      <c r="AN1457">
        <v>21</v>
      </c>
      <c r="AO1457">
        <v>2</v>
      </c>
      <c r="AP1457">
        <v>8</v>
      </c>
      <c r="AQ1457">
        <v>1</v>
      </c>
      <c r="AR1457" t="s">
        <v>1968</v>
      </c>
      <c r="AS1457" t="s">
        <v>1969</v>
      </c>
      <c r="AT1457">
        <v>0.104</v>
      </c>
      <c r="AU1457" t="s">
        <v>65</v>
      </c>
      <c r="AV1457">
        <v>29</v>
      </c>
      <c r="AW1457">
        <v>3</v>
      </c>
      <c r="AX1457" t="s">
        <v>1970</v>
      </c>
      <c r="AY1457">
        <v>3.083E-2</v>
      </c>
      <c r="AZ1457">
        <v>-1.64E-3</v>
      </c>
      <c r="BA1457">
        <v>9.6000000000000002E-4</v>
      </c>
      <c r="BB1457">
        <v>-1.1E-4</v>
      </c>
      <c r="BC1457">
        <v>3.1199999999999999E-2</v>
      </c>
      <c r="BD1457">
        <v>1</v>
      </c>
      <c r="BE1457" t="s">
        <v>69</v>
      </c>
      <c r="BF1457">
        <v>-0.92700000000000005</v>
      </c>
      <c r="BG1457">
        <v>-2.2970000000000002</v>
      </c>
    </row>
    <row r="1458" spans="1:59">
      <c r="A1458">
        <v>0</v>
      </c>
      <c r="B1458">
        <v>2</v>
      </c>
      <c r="C1458">
        <v>0</v>
      </c>
      <c r="D1458" t="s">
        <v>25022</v>
      </c>
      <c r="E1458">
        <v>1147</v>
      </c>
      <c r="F1458" t="s">
        <v>7214</v>
      </c>
      <c r="G1458" t="s">
        <v>57</v>
      </c>
      <c r="H1458">
        <v>1188689</v>
      </c>
      <c r="I1458">
        <v>1189528</v>
      </c>
      <c r="J1458" t="s">
        <v>6103</v>
      </c>
      <c r="K1458">
        <v>280</v>
      </c>
      <c r="L1458" t="s">
        <v>59</v>
      </c>
      <c r="M1458">
        <v>49</v>
      </c>
      <c r="N1458" t="str">
        <f>HYPERLINK("Gene1147-zp_tree_all.dnd", "Gene1147-tree")</f>
        <v>Gene1147-tree</v>
      </c>
      <c r="O1458">
        <v>17</v>
      </c>
      <c r="P1458">
        <v>0</v>
      </c>
      <c r="Q1458">
        <v>17</v>
      </c>
      <c r="R1458">
        <v>0</v>
      </c>
      <c r="S1458">
        <v>0</v>
      </c>
      <c r="T1458" t="s">
        <v>266</v>
      </c>
      <c r="U1458" t="s">
        <v>62</v>
      </c>
      <c r="V1458" t="s">
        <v>62</v>
      </c>
      <c r="W1458" t="s">
        <v>62</v>
      </c>
      <c r="X1458">
        <v>1</v>
      </c>
      <c r="Y1458">
        <v>2</v>
      </c>
      <c r="Z1458">
        <v>2</v>
      </c>
      <c r="AA1458">
        <v>0.5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14</v>
      </c>
      <c r="AM1458">
        <v>12</v>
      </c>
      <c r="AN1458">
        <v>43</v>
      </c>
      <c r="AO1458">
        <v>0</v>
      </c>
      <c r="AP1458">
        <v>51</v>
      </c>
      <c r="AQ1458">
        <v>4</v>
      </c>
      <c r="AR1458" t="s">
        <v>193</v>
      </c>
      <c r="AS1458" t="s">
        <v>7215</v>
      </c>
      <c r="AT1458">
        <v>0.47799999999999998</v>
      </c>
      <c r="AU1458" t="s">
        <v>65</v>
      </c>
      <c r="AV1458">
        <v>94</v>
      </c>
      <c r="AW1458">
        <v>4</v>
      </c>
      <c r="AX1458" t="s">
        <v>7216</v>
      </c>
      <c r="AY1458">
        <v>9.7989999999999994E-2</v>
      </c>
      <c r="AZ1458">
        <v>-5.3200000000000001E-3</v>
      </c>
      <c r="BA1458">
        <v>1.8799999999999999E-3</v>
      </c>
      <c r="BB1458">
        <v>-1.8000000000000001E-4</v>
      </c>
      <c r="BC1458">
        <v>1.9230000000000001E-2</v>
      </c>
      <c r="BD1458">
        <v>1</v>
      </c>
      <c r="BE1458" t="s">
        <v>69</v>
      </c>
      <c r="BF1458">
        <v>-1.115</v>
      </c>
      <c r="BG1458">
        <v>-1.19</v>
      </c>
    </row>
    <row r="1459" spans="1:59">
      <c r="A1459">
        <v>0</v>
      </c>
      <c r="B1459">
        <v>20</v>
      </c>
      <c r="C1459">
        <v>0</v>
      </c>
      <c r="D1459" t="s">
        <v>25022</v>
      </c>
      <c r="E1459">
        <v>370</v>
      </c>
      <c r="F1459" t="s">
        <v>2511</v>
      </c>
      <c r="G1459" t="s">
        <v>57</v>
      </c>
      <c r="H1459">
        <v>415350</v>
      </c>
      <c r="I1459">
        <v>416192</v>
      </c>
      <c r="J1459" t="s">
        <v>2512</v>
      </c>
      <c r="K1459">
        <v>281</v>
      </c>
      <c r="L1459" t="s">
        <v>2513</v>
      </c>
      <c r="M1459">
        <v>43</v>
      </c>
      <c r="N1459" t="str">
        <f>HYPERLINK("Gene370-zp_tree_all.dnd", "Gene370-tree")</f>
        <v>Gene370-tree</v>
      </c>
      <c r="O1459">
        <v>4</v>
      </c>
      <c r="P1459">
        <v>11</v>
      </c>
      <c r="Q1459">
        <v>4</v>
      </c>
      <c r="R1459">
        <v>11</v>
      </c>
      <c r="S1459">
        <v>0.73333000000000004</v>
      </c>
      <c r="T1459" t="s">
        <v>61</v>
      </c>
      <c r="U1459" t="s">
        <v>73</v>
      </c>
      <c r="V1459">
        <v>200307210.301</v>
      </c>
      <c r="W1459" t="s">
        <v>267</v>
      </c>
      <c r="X1459">
        <v>9</v>
      </c>
      <c r="Y1459">
        <v>20</v>
      </c>
      <c r="Z1459">
        <v>30</v>
      </c>
      <c r="AA1459">
        <v>0.4</v>
      </c>
      <c r="AB1459">
        <v>0</v>
      </c>
      <c r="AC1459">
        <v>0</v>
      </c>
      <c r="AD1459">
        <v>0</v>
      </c>
      <c r="AE1459">
        <v>4</v>
      </c>
      <c r="AF1459">
        <v>0</v>
      </c>
      <c r="AG1459">
        <v>6</v>
      </c>
      <c r="AH1459">
        <v>2</v>
      </c>
      <c r="AI1459">
        <v>8</v>
      </c>
      <c r="AJ1459">
        <v>19</v>
      </c>
      <c r="AK1459">
        <v>0.29630000000000001</v>
      </c>
      <c r="AL1459">
        <v>13</v>
      </c>
      <c r="AM1459">
        <v>12</v>
      </c>
      <c r="AN1459">
        <v>33</v>
      </c>
      <c r="AO1459">
        <v>27</v>
      </c>
      <c r="AP1459">
        <v>23</v>
      </c>
      <c r="AQ1459">
        <v>23</v>
      </c>
      <c r="AR1459" t="s">
        <v>2514</v>
      </c>
      <c r="AS1459" t="s">
        <v>2515</v>
      </c>
      <c r="AT1459">
        <v>0.23100000000000001</v>
      </c>
      <c r="AU1459" t="s">
        <v>65</v>
      </c>
      <c r="AV1459">
        <v>56</v>
      </c>
      <c r="AW1459">
        <v>50</v>
      </c>
      <c r="AX1459" t="s">
        <v>2516</v>
      </c>
      <c r="AY1459">
        <v>5.8749999999999997E-2</v>
      </c>
      <c r="AZ1459">
        <v>-2.48E-3</v>
      </c>
      <c r="BA1459">
        <v>1.456E-2</v>
      </c>
      <c r="BB1459">
        <v>-5.1999999999999995E-4</v>
      </c>
      <c r="BC1459">
        <v>0.24782999999999999</v>
      </c>
      <c r="BD1459">
        <v>1</v>
      </c>
      <c r="BE1459" t="s">
        <v>69</v>
      </c>
      <c r="BF1459">
        <v>-0.52600000000000002</v>
      </c>
      <c r="BG1459">
        <v>0.20599999999999999</v>
      </c>
    </row>
    <row r="1460" spans="1:59">
      <c r="A1460">
        <v>0</v>
      </c>
      <c r="B1460">
        <v>2</v>
      </c>
      <c r="C1460">
        <v>0</v>
      </c>
      <c r="D1460" t="s">
        <v>25022</v>
      </c>
      <c r="E1460">
        <v>3012</v>
      </c>
      <c r="F1460" t="s">
        <v>17402</v>
      </c>
      <c r="G1460" t="s">
        <v>62</v>
      </c>
      <c r="H1460">
        <v>2961589</v>
      </c>
      <c r="I1460">
        <v>2962431</v>
      </c>
      <c r="J1460" t="s">
        <v>17403</v>
      </c>
      <c r="K1460">
        <v>281</v>
      </c>
      <c r="L1460" t="s">
        <v>108</v>
      </c>
      <c r="M1460">
        <v>44</v>
      </c>
      <c r="N1460" t="str">
        <f>HYPERLINK("Gene3012-zp_tree_all.dnd", "Gene3012-tree")</f>
        <v>Gene3012-tree</v>
      </c>
      <c r="O1460">
        <v>7</v>
      </c>
      <c r="P1460">
        <v>4</v>
      </c>
      <c r="Q1460">
        <v>7</v>
      </c>
      <c r="R1460">
        <v>4</v>
      </c>
      <c r="S1460">
        <v>0.36364000000000002</v>
      </c>
      <c r="T1460" t="s">
        <v>152</v>
      </c>
      <c r="U1460" t="s">
        <v>61</v>
      </c>
      <c r="V1460" t="s">
        <v>62</v>
      </c>
      <c r="W1460" t="s">
        <v>62</v>
      </c>
      <c r="X1460">
        <v>1</v>
      </c>
      <c r="Y1460">
        <v>2</v>
      </c>
      <c r="Z1460">
        <v>8</v>
      </c>
      <c r="AA1460">
        <v>0.2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7</v>
      </c>
      <c r="AK1460">
        <v>0</v>
      </c>
      <c r="AL1460">
        <v>8</v>
      </c>
      <c r="AM1460">
        <v>7</v>
      </c>
      <c r="AN1460">
        <v>13</v>
      </c>
      <c r="AO1460">
        <v>6</v>
      </c>
      <c r="AP1460">
        <v>8</v>
      </c>
      <c r="AQ1460">
        <v>4</v>
      </c>
      <c r="AR1460" t="s">
        <v>17404</v>
      </c>
      <c r="AS1460" t="s">
        <v>17405</v>
      </c>
      <c r="AT1460">
        <v>9.0999999999999998E-2</v>
      </c>
      <c r="AU1460" t="s">
        <v>65</v>
      </c>
      <c r="AV1460">
        <v>21</v>
      </c>
      <c r="AW1460">
        <v>10</v>
      </c>
      <c r="AX1460" t="s">
        <v>7631</v>
      </c>
      <c r="AY1460">
        <v>2.6880000000000001E-2</v>
      </c>
      <c r="AZ1460">
        <v>-1.3699999999999999E-3</v>
      </c>
      <c r="BA1460">
        <v>3.47E-3</v>
      </c>
      <c r="BB1460">
        <v>-3.3E-4</v>
      </c>
      <c r="BC1460">
        <v>0.12922</v>
      </c>
      <c r="BD1460">
        <v>1</v>
      </c>
      <c r="BE1460" t="s">
        <v>69</v>
      </c>
      <c r="BF1460">
        <v>-0.44600000000000001</v>
      </c>
      <c r="BG1460">
        <v>-1.0309999999999999</v>
      </c>
    </row>
    <row r="1461" spans="1:59">
      <c r="A1461">
        <v>0</v>
      </c>
      <c r="B1461">
        <v>0</v>
      </c>
      <c r="C1461">
        <v>0</v>
      </c>
      <c r="D1461" t="s">
        <v>25022</v>
      </c>
      <c r="E1461">
        <v>3676</v>
      </c>
      <c r="F1461" t="s">
        <v>21572</v>
      </c>
      <c r="G1461" t="s">
        <v>62</v>
      </c>
      <c r="H1461">
        <v>3643667</v>
      </c>
      <c r="I1461">
        <v>3644509</v>
      </c>
      <c r="J1461" t="s">
        <v>21573</v>
      </c>
      <c r="K1461">
        <v>281</v>
      </c>
      <c r="L1461" t="s">
        <v>108</v>
      </c>
      <c r="M1461">
        <v>44</v>
      </c>
      <c r="N1461" t="str">
        <f>HYPERLINK("Gene3676-zp_tree_all.dnd", "Gene3676-tree")</f>
        <v>Gene3676-tree</v>
      </c>
      <c r="O1461">
        <v>3</v>
      </c>
      <c r="P1461">
        <v>7</v>
      </c>
      <c r="Q1461">
        <v>3</v>
      </c>
      <c r="R1461">
        <v>7</v>
      </c>
      <c r="S1461">
        <v>0.7</v>
      </c>
      <c r="T1461" t="s">
        <v>324</v>
      </c>
      <c r="U1461" t="s">
        <v>152</v>
      </c>
      <c r="V1461" t="s">
        <v>62</v>
      </c>
      <c r="W1461" t="s">
        <v>62</v>
      </c>
      <c r="X1461">
        <v>0</v>
      </c>
      <c r="Y1461">
        <v>0</v>
      </c>
      <c r="Z1461">
        <v>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8</v>
      </c>
      <c r="AK1461">
        <v>0</v>
      </c>
      <c r="AL1461">
        <v>9</v>
      </c>
      <c r="AM1461">
        <v>3</v>
      </c>
      <c r="AN1461">
        <v>24</v>
      </c>
      <c r="AO1461">
        <v>8</v>
      </c>
      <c r="AP1461">
        <v>2</v>
      </c>
      <c r="AQ1461">
        <v>1</v>
      </c>
      <c r="AR1461" t="s">
        <v>21574</v>
      </c>
      <c r="AS1461" t="s">
        <v>21575</v>
      </c>
      <c r="AT1461">
        <v>0.22900000000000001</v>
      </c>
      <c r="AU1461" t="s">
        <v>65</v>
      </c>
      <c r="AV1461">
        <v>26</v>
      </c>
      <c r="AW1461">
        <v>9</v>
      </c>
      <c r="AX1461" t="s">
        <v>21576</v>
      </c>
      <c r="AY1461">
        <v>3.1350000000000003E-2</v>
      </c>
      <c r="AZ1461">
        <v>-3.98E-3</v>
      </c>
      <c r="BA1461">
        <v>3.2499999999999999E-3</v>
      </c>
      <c r="BB1461">
        <v>-2.1000000000000001E-4</v>
      </c>
      <c r="BC1461">
        <v>0.10382</v>
      </c>
      <c r="BD1461">
        <v>1</v>
      </c>
      <c r="BE1461" t="s">
        <v>69</v>
      </c>
      <c r="BF1461">
        <v>-2.0630000000000002</v>
      </c>
      <c r="BG1461">
        <v>-4.6680000000000001</v>
      </c>
    </row>
    <row r="1462" spans="1:59">
      <c r="A1462">
        <v>0</v>
      </c>
      <c r="B1462">
        <v>6</v>
      </c>
      <c r="C1462">
        <v>0</v>
      </c>
      <c r="D1462" t="s">
        <v>25022</v>
      </c>
      <c r="E1462">
        <v>3900</v>
      </c>
      <c r="F1462" t="s">
        <v>22867</v>
      </c>
      <c r="G1462" t="s">
        <v>62</v>
      </c>
      <c r="H1462">
        <v>3863418</v>
      </c>
      <c r="I1462">
        <v>3864260</v>
      </c>
      <c r="J1462" t="s">
        <v>22868</v>
      </c>
      <c r="K1462">
        <v>281</v>
      </c>
      <c r="L1462" t="s">
        <v>108</v>
      </c>
      <c r="M1462">
        <v>44</v>
      </c>
      <c r="N1462" t="str">
        <f>HYPERLINK("Gene3900-zp_tree_all.dnd", "Gene3900-tree")</f>
        <v>Gene3900-tree</v>
      </c>
      <c r="O1462">
        <v>5</v>
      </c>
      <c r="P1462">
        <v>9</v>
      </c>
      <c r="Q1462">
        <v>5</v>
      </c>
      <c r="R1462">
        <v>9</v>
      </c>
      <c r="S1462">
        <v>0.64285999999999999</v>
      </c>
      <c r="T1462" t="s">
        <v>199</v>
      </c>
      <c r="U1462" t="s">
        <v>135</v>
      </c>
      <c r="V1462" t="s">
        <v>62</v>
      </c>
      <c r="W1462" t="s">
        <v>62</v>
      </c>
      <c r="X1462">
        <v>1</v>
      </c>
      <c r="Y1462">
        <v>6</v>
      </c>
      <c r="Z1462">
        <v>6</v>
      </c>
      <c r="AA1462">
        <v>0.5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3</v>
      </c>
      <c r="AH1462">
        <v>1</v>
      </c>
      <c r="AI1462">
        <v>4</v>
      </c>
      <c r="AJ1462">
        <v>5</v>
      </c>
      <c r="AK1462">
        <v>0.44444</v>
      </c>
      <c r="AL1462">
        <v>13</v>
      </c>
      <c r="AM1462">
        <v>7</v>
      </c>
      <c r="AN1462">
        <v>23</v>
      </c>
      <c r="AO1462">
        <v>9</v>
      </c>
      <c r="AP1462">
        <v>13</v>
      </c>
      <c r="AQ1462">
        <v>3</v>
      </c>
      <c r="AR1462" t="s">
        <v>22869</v>
      </c>
      <c r="AS1462" t="s">
        <v>22870</v>
      </c>
      <c r="AT1462">
        <v>0.83899999999999997</v>
      </c>
      <c r="AU1462" t="s">
        <v>65</v>
      </c>
      <c r="AV1462">
        <v>36</v>
      </c>
      <c r="AW1462">
        <v>12</v>
      </c>
      <c r="AX1462" t="s">
        <v>22871</v>
      </c>
      <c r="AY1462">
        <v>4.1149999999999999E-2</v>
      </c>
      <c r="AZ1462">
        <v>-1.7099999999999999E-3</v>
      </c>
      <c r="BA1462">
        <v>2.6199999999999999E-3</v>
      </c>
      <c r="BB1462">
        <v>-1.4999999999999999E-4</v>
      </c>
      <c r="BC1462">
        <v>6.3600000000000004E-2</v>
      </c>
      <c r="BD1462">
        <v>1</v>
      </c>
      <c r="BE1462" t="s">
        <v>69</v>
      </c>
      <c r="BF1462">
        <v>-0.309</v>
      </c>
      <c r="BG1462">
        <v>-0.92200000000000004</v>
      </c>
    </row>
    <row r="1463" spans="1:59">
      <c r="A1463">
        <v>0</v>
      </c>
      <c r="B1463">
        <v>5</v>
      </c>
      <c r="C1463">
        <v>0</v>
      </c>
      <c r="D1463" t="s">
        <v>25022</v>
      </c>
      <c r="E1463">
        <v>146</v>
      </c>
      <c r="F1463" t="s">
        <v>1033</v>
      </c>
      <c r="G1463" t="s">
        <v>57</v>
      </c>
      <c r="H1463">
        <v>150443</v>
      </c>
      <c r="I1463">
        <v>151285</v>
      </c>
      <c r="J1463" t="s">
        <v>1034</v>
      </c>
      <c r="K1463">
        <v>281</v>
      </c>
      <c r="L1463" t="s">
        <v>59</v>
      </c>
      <c r="M1463">
        <v>49</v>
      </c>
      <c r="N1463" t="str">
        <f>HYPERLINK("Gene146-zp_tree_all.dnd", "Gene146-tree")</f>
        <v>Gene146-tree</v>
      </c>
      <c r="O1463">
        <v>12</v>
      </c>
      <c r="P1463">
        <v>7</v>
      </c>
      <c r="Q1463">
        <v>12</v>
      </c>
      <c r="R1463">
        <v>7</v>
      </c>
      <c r="S1463">
        <v>0.36842000000000003</v>
      </c>
      <c r="T1463" t="s">
        <v>109</v>
      </c>
      <c r="U1463" t="s">
        <v>152</v>
      </c>
      <c r="V1463" t="s">
        <v>62</v>
      </c>
      <c r="W1463" t="s">
        <v>62</v>
      </c>
      <c r="X1463">
        <v>2</v>
      </c>
      <c r="Y1463">
        <v>5</v>
      </c>
      <c r="Z1463">
        <v>10</v>
      </c>
      <c r="AA1463">
        <v>0.33333000000000002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8</v>
      </c>
      <c r="AK1463">
        <v>0</v>
      </c>
      <c r="AL1463">
        <v>15</v>
      </c>
      <c r="AM1463">
        <v>12</v>
      </c>
      <c r="AN1463">
        <v>26</v>
      </c>
      <c r="AO1463">
        <v>8</v>
      </c>
      <c r="AP1463">
        <v>35</v>
      </c>
      <c r="AQ1463">
        <v>7</v>
      </c>
      <c r="AR1463" t="s">
        <v>1035</v>
      </c>
      <c r="AS1463" t="s">
        <v>1036</v>
      </c>
      <c r="AT1463">
        <v>0.33800000000000002</v>
      </c>
      <c r="AU1463" t="s">
        <v>65</v>
      </c>
      <c r="AV1463">
        <v>61</v>
      </c>
      <c r="AW1463">
        <v>15</v>
      </c>
      <c r="AX1463" t="s">
        <v>1037</v>
      </c>
      <c r="AY1463">
        <v>7.0639999999999994E-2</v>
      </c>
      <c r="AZ1463">
        <v>-4.3600000000000002E-3</v>
      </c>
      <c r="BA1463">
        <v>3.81E-3</v>
      </c>
      <c r="BB1463">
        <v>-2.4000000000000001E-4</v>
      </c>
      <c r="BC1463">
        <v>5.391E-2</v>
      </c>
      <c r="BD1463">
        <v>1</v>
      </c>
      <c r="BE1463" t="s">
        <v>69</v>
      </c>
      <c r="BF1463">
        <v>-1.611</v>
      </c>
      <c r="BG1463">
        <v>-1.2929999999999999</v>
      </c>
    </row>
    <row r="1464" spans="1:59">
      <c r="A1464">
        <v>0</v>
      </c>
      <c r="B1464">
        <v>2</v>
      </c>
      <c r="C1464">
        <v>0</v>
      </c>
      <c r="D1464" t="s">
        <v>25022</v>
      </c>
      <c r="E1464">
        <v>2528</v>
      </c>
      <c r="F1464" t="s">
        <v>14761</v>
      </c>
      <c r="G1464" t="s">
        <v>62</v>
      </c>
      <c r="H1464">
        <v>2522874</v>
      </c>
      <c r="I1464">
        <v>2523716</v>
      </c>
      <c r="J1464" t="s">
        <v>14762</v>
      </c>
      <c r="K1464">
        <v>281</v>
      </c>
      <c r="L1464" t="s">
        <v>14763</v>
      </c>
      <c r="M1464">
        <v>44</v>
      </c>
      <c r="N1464" t="str">
        <f>HYPERLINK("Gene2528-zp_tree_all.dnd", "Gene2528-tree")</f>
        <v>Gene2528-tree</v>
      </c>
      <c r="O1464">
        <v>7</v>
      </c>
      <c r="P1464">
        <v>5</v>
      </c>
      <c r="Q1464">
        <v>7</v>
      </c>
      <c r="R1464">
        <v>5</v>
      </c>
      <c r="S1464">
        <v>0.41666999999999998</v>
      </c>
      <c r="T1464" t="s">
        <v>152</v>
      </c>
      <c r="U1464" t="s">
        <v>199</v>
      </c>
      <c r="V1464" t="s">
        <v>62</v>
      </c>
      <c r="W1464" t="s">
        <v>62</v>
      </c>
      <c r="X1464">
        <v>1</v>
      </c>
      <c r="Y1464">
        <v>2</v>
      </c>
      <c r="Z1464">
        <v>8</v>
      </c>
      <c r="AA1464">
        <v>0.2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</v>
      </c>
      <c r="AH1464">
        <v>0</v>
      </c>
      <c r="AI1464">
        <v>2</v>
      </c>
      <c r="AJ1464">
        <v>7</v>
      </c>
      <c r="AK1464">
        <v>0.22222</v>
      </c>
      <c r="AL1464">
        <v>11</v>
      </c>
      <c r="AM1464">
        <v>7</v>
      </c>
      <c r="AN1464">
        <v>38</v>
      </c>
      <c r="AO1464">
        <v>9</v>
      </c>
      <c r="AP1464">
        <v>15</v>
      </c>
      <c r="AQ1464">
        <v>1</v>
      </c>
      <c r="AR1464" t="s">
        <v>14764</v>
      </c>
      <c r="AS1464" t="s">
        <v>14765</v>
      </c>
      <c r="AT1464">
        <v>0.45300000000000001</v>
      </c>
      <c r="AU1464" t="s">
        <v>65</v>
      </c>
      <c r="AV1464">
        <v>53</v>
      </c>
      <c r="AW1464">
        <v>10</v>
      </c>
      <c r="AX1464" t="s">
        <v>14766</v>
      </c>
      <c r="AY1464">
        <v>5.706E-2</v>
      </c>
      <c r="AZ1464">
        <v>-4.5599999999999998E-3</v>
      </c>
      <c r="BA1464">
        <v>2.7599999999999999E-3</v>
      </c>
      <c r="BB1464">
        <v>-3.5E-4</v>
      </c>
      <c r="BC1464">
        <v>4.8340000000000001E-2</v>
      </c>
      <c r="BD1464">
        <v>1</v>
      </c>
      <c r="BE1464" t="s">
        <v>69</v>
      </c>
      <c r="BF1464">
        <v>-1.0569999999999999</v>
      </c>
      <c r="BG1464">
        <v>-2.7549999999999999</v>
      </c>
    </row>
    <row r="1465" spans="1:59">
      <c r="A1465">
        <v>0</v>
      </c>
      <c r="B1465">
        <v>8</v>
      </c>
      <c r="C1465">
        <v>0</v>
      </c>
      <c r="D1465" t="s">
        <v>25022</v>
      </c>
      <c r="E1465">
        <v>2990</v>
      </c>
      <c r="F1465" t="s">
        <v>17260</v>
      </c>
      <c r="G1465" t="s">
        <v>62</v>
      </c>
      <c r="H1465">
        <v>2939854</v>
      </c>
      <c r="I1465">
        <v>2940696</v>
      </c>
      <c r="J1465" t="s">
        <v>17261</v>
      </c>
      <c r="K1465">
        <v>281</v>
      </c>
      <c r="L1465" t="s">
        <v>394</v>
      </c>
      <c r="M1465">
        <v>48</v>
      </c>
      <c r="N1465" t="str">
        <f>HYPERLINK("Gene2990-zp_tree_all.dnd", "Gene2990-tree")</f>
        <v>Gene2990-tree</v>
      </c>
      <c r="O1465">
        <v>13</v>
      </c>
      <c r="P1465">
        <v>6</v>
      </c>
      <c r="Q1465">
        <v>13</v>
      </c>
      <c r="R1465">
        <v>6</v>
      </c>
      <c r="S1465">
        <v>0.31579000000000002</v>
      </c>
      <c r="T1465" t="s">
        <v>507</v>
      </c>
      <c r="U1465" t="s">
        <v>90</v>
      </c>
      <c r="V1465" t="s">
        <v>62</v>
      </c>
      <c r="W1465" t="s">
        <v>62</v>
      </c>
      <c r="X1465">
        <v>3</v>
      </c>
      <c r="Y1465">
        <v>8</v>
      </c>
      <c r="Z1465">
        <v>5</v>
      </c>
      <c r="AA1465">
        <v>0.61538000000000004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</v>
      </c>
      <c r="AH1465">
        <v>0</v>
      </c>
      <c r="AI1465">
        <v>2</v>
      </c>
      <c r="AJ1465">
        <v>5</v>
      </c>
      <c r="AK1465">
        <v>0.28571000000000002</v>
      </c>
      <c r="AL1465">
        <v>15</v>
      </c>
      <c r="AM1465">
        <v>16</v>
      </c>
      <c r="AN1465">
        <v>64</v>
      </c>
      <c r="AO1465">
        <v>7</v>
      </c>
      <c r="AP1465">
        <v>90</v>
      </c>
      <c r="AQ1465">
        <v>6</v>
      </c>
      <c r="AR1465" t="s">
        <v>17262</v>
      </c>
      <c r="AS1465" t="s">
        <v>17263</v>
      </c>
      <c r="AT1465">
        <v>0.44400000000000001</v>
      </c>
      <c r="AU1465" t="s">
        <v>65</v>
      </c>
      <c r="AV1465">
        <v>154</v>
      </c>
      <c r="AW1465">
        <v>13</v>
      </c>
      <c r="AX1465" t="s">
        <v>17264</v>
      </c>
      <c r="AY1465">
        <v>0.14649999999999999</v>
      </c>
      <c r="AZ1465">
        <v>-6.7299999999999999E-3</v>
      </c>
      <c r="BA1465">
        <v>3.7399999999999998E-3</v>
      </c>
      <c r="BB1465">
        <v>-1.7000000000000001E-4</v>
      </c>
      <c r="BC1465">
        <v>2.5499999999999998E-2</v>
      </c>
      <c r="BD1465">
        <v>1</v>
      </c>
      <c r="BE1465" t="s">
        <v>69</v>
      </c>
      <c r="BF1465">
        <v>0.308</v>
      </c>
      <c r="BG1465">
        <v>-0.30399999999999999</v>
      </c>
    </row>
    <row r="1466" spans="1:59">
      <c r="A1466">
        <v>0</v>
      </c>
      <c r="B1466">
        <v>26</v>
      </c>
      <c r="C1466">
        <v>6</v>
      </c>
      <c r="D1466" t="s">
        <v>25022</v>
      </c>
      <c r="E1466">
        <v>4039</v>
      </c>
      <c r="F1466" t="s">
        <v>23782</v>
      </c>
      <c r="G1466" t="s">
        <v>62</v>
      </c>
      <c r="H1466">
        <v>4004291</v>
      </c>
      <c r="I1466">
        <v>4005136</v>
      </c>
      <c r="J1466" t="s">
        <v>23783</v>
      </c>
      <c r="K1466">
        <v>282</v>
      </c>
      <c r="L1466" t="s">
        <v>108</v>
      </c>
      <c r="M1466">
        <v>44</v>
      </c>
      <c r="N1466" t="str">
        <f>HYPERLINK("Gene4039-zp_tree_all.dnd", "Gene4039-tree")</f>
        <v>Gene4039-tree</v>
      </c>
      <c r="O1466">
        <v>1</v>
      </c>
      <c r="P1466">
        <v>14</v>
      </c>
      <c r="Q1466">
        <v>1</v>
      </c>
      <c r="R1466">
        <v>14</v>
      </c>
      <c r="S1466">
        <v>0.93332999999999999</v>
      </c>
      <c r="T1466" t="s">
        <v>175</v>
      </c>
      <c r="U1466" t="s">
        <v>543</v>
      </c>
      <c r="V1466">
        <v>1865302226.941</v>
      </c>
      <c r="W1466" t="s">
        <v>267</v>
      </c>
      <c r="X1466">
        <v>13</v>
      </c>
      <c r="Y1466">
        <v>32</v>
      </c>
      <c r="Z1466">
        <v>20</v>
      </c>
      <c r="AA1466">
        <v>0.61538000000000004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9</v>
      </c>
      <c r="AH1466">
        <v>7</v>
      </c>
      <c r="AI1466">
        <v>16</v>
      </c>
      <c r="AJ1466">
        <v>21</v>
      </c>
      <c r="AK1466">
        <v>0.43242999999999998</v>
      </c>
      <c r="AL1466">
        <v>12</v>
      </c>
      <c r="AM1466">
        <v>11</v>
      </c>
      <c r="AN1466">
        <v>29</v>
      </c>
      <c r="AO1466">
        <v>35</v>
      </c>
      <c r="AP1466">
        <v>19</v>
      </c>
      <c r="AQ1466">
        <v>18</v>
      </c>
      <c r="AR1466" t="s">
        <v>23784</v>
      </c>
      <c r="AS1466" t="s">
        <v>23785</v>
      </c>
      <c r="AT1466">
        <v>0.40200000000000002</v>
      </c>
      <c r="AU1466" t="s">
        <v>65</v>
      </c>
      <c r="AV1466">
        <v>48</v>
      </c>
      <c r="AW1466">
        <v>53</v>
      </c>
      <c r="AX1466" t="s">
        <v>23786</v>
      </c>
      <c r="AY1466">
        <v>4.4519999999999997E-2</v>
      </c>
      <c r="AZ1466">
        <v>-2.5600000000000002E-3</v>
      </c>
      <c r="BA1466">
        <v>1.2659999999999999E-2</v>
      </c>
      <c r="BB1466">
        <v>-4.4999999999999999E-4</v>
      </c>
      <c r="BC1466">
        <v>0.28427000000000002</v>
      </c>
      <c r="BD1466">
        <v>1</v>
      </c>
      <c r="BE1466" t="s">
        <v>69</v>
      </c>
      <c r="BF1466">
        <v>-0.67600000000000005</v>
      </c>
      <c r="BG1466">
        <v>-0.91800000000000004</v>
      </c>
    </row>
    <row r="1467" spans="1:59">
      <c r="A1467">
        <v>0</v>
      </c>
      <c r="B1467">
        <v>0</v>
      </c>
      <c r="C1467">
        <v>0</v>
      </c>
      <c r="D1467" t="s">
        <v>25022</v>
      </c>
      <c r="E1467">
        <v>3228</v>
      </c>
      <c r="F1467" t="s">
        <v>18809</v>
      </c>
      <c r="G1467" t="s">
        <v>62</v>
      </c>
      <c r="H1467">
        <v>3190837</v>
      </c>
      <c r="I1467">
        <v>3191682</v>
      </c>
      <c r="J1467" t="s">
        <v>18810</v>
      </c>
      <c r="K1467">
        <v>282</v>
      </c>
      <c r="L1467" t="s">
        <v>108</v>
      </c>
      <c r="M1467">
        <v>44</v>
      </c>
      <c r="N1467" t="str">
        <f>HYPERLINK("Gene3228-zp_tree_all.dnd", "Gene3228-tree")</f>
        <v>Gene3228-tree</v>
      </c>
      <c r="O1467">
        <v>9</v>
      </c>
      <c r="P1467">
        <v>5</v>
      </c>
      <c r="Q1467">
        <v>9</v>
      </c>
      <c r="R1467">
        <v>5</v>
      </c>
      <c r="S1467">
        <v>0.35714000000000001</v>
      </c>
      <c r="T1467" t="s">
        <v>135</v>
      </c>
      <c r="U1467" t="s">
        <v>199</v>
      </c>
      <c r="V1467" t="s">
        <v>62</v>
      </c>
      <c r="W1467" t="s">
        <v>62</v>
      </c>
      <c r="X1467">
        <v>0</v>
      </c>
      <c r="Y1467">
        <v>0</v>
      </c>
      <c r="Z1467">
        <v>7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6</v>
      </c>
      <c r="AK1467">
        <v>0</v>
      </c>
      <c r="AL1467">
        <v>10</v>
      </c>
      <c r="AM1467">
        <v>7</v>
      </c>
      <c r="AN1467">
        <v>19</v>
      </c>
      <c r="AO1467">
        <v>5</v>
      </c>
      <c r="AP1467">
        <v>10</v>
      </c>
      <c r="AQ1467">
        <v>3</v>
      </c>
      <c r="AR1467" t="s">
        <v>18811</v>
      </c>
      <c r="AS1467" t="s">
        <v>18812</v>
      </c>
      <c r="AT1467">
        <v>9.9000000000000005E-2</v>
      </c>
      <c r="AU1467" t="s">
        <v>65</v>
      </c>
      <c r="AV1467">
        <v>29</v>
      </c>
      <c r="AW1467">
        <v>8</v>
      </c>
      <c r="AX1467" t="s">
        <v>18813</v>
      </c>
      <c r="AY1467">
        <v>2.52E-2</v>
      </c>
      <c r="AZ1467">
        <v>-9.3999999999999997E-4</v>
      </c>
      <c r="BA1467">
        <v>2.8400000000000001E-3</v>
      </c>
      <c r="BB1467">
        <v>-2.7999999999999998E-4</v>
      </c>
      <c r="BC1467">
        <v>0.11267000000000001</v>
      </c>
      <c r="BD1467">
        <v>1</v>
      </c>
      <c r="BE1467" t="s">
        <v>69</v>
      </c>
      <c r="BF1467">
        <v>-1.41</v>
      </c>
      <c r="BG1467">
        <v>-1.9830000000000001</v>
      </c>
    </row>
    <row r="1468" spans="1:59">
      <c r="A1468">
        <v>0</v>
      </c>
      <c r="B1468">
        <v>4</v>
      </c>
      <c r="C1468">
        <v>0</v>
      </c>
      <c r="D1468" t="s">
        <v>25022</v>
      </c>
      <c r="E1468">
        <v>1001</v>
      </c>
      <c r="F1468" t="s">
        <v>6280</v>
      </c>
      <c r="G1468" t="s">
        <v>57</v>
      </c>
      <c r="H1468">
        <v>1041994</v>
      </c>
      <c r="I1468">
        <v>1042839</v>
      </c>
      <c r="J1468" t="s">
        <v>6281</v>
      </c>
      <c r="K1468">
        <v>282</v>
      </c>
      <c r="L1468" t="s">
        <v>108</v>
      </c>
      <c r="M1468">
        <v>44</v>
      </c>
      <c r="N1468" t="str">
        <f>HYPERLINK("Gene1001-zp_tree_all.dnd", "Gene1001-tree")</f>
        <v>Gene1001-tree</v>
      </c>
      <c r="O1468">
        <v>4</v>
      </c>
      <c r="P1468">
        <v>9</v>
      </c>
      <c r="Q1468">
        <v>4</v>
      </c>
      <c r="R1468">
        <v>9</v>
      </c>
      <c r="S1468">
        <v>0.69230999999999998</v>
      </c>
      <c r="T1468" t="s">
        <v>61</v>
      </c>
      <c r="U1468" t="s">
        <v>135</v>
      </c>
      <c r="V1468" t="s">
        <v>62</v>
      </c>
      <c r="W1468" t="s">
        <v>62</v>
      </c>
      <c r="X1468">
        <v>2</v>
      </c>
      <c r="Y1468">
        <v>4</v>
      </c>
      <c r="Z1468">
        <v>8</v>
      </c>
      <c r="AA1468">
        <v>0.33333000000000002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</v>
      </c>
      <c r="AH1468">
        <v>0</v>
      </c>
      <c r="AI1468">
        <v>2</v>
      </c>
      <c r="AJ1468">
        <v>9</v>
      </c>
      <c r="AK1468">
        <v>0.18182000000000001</v>
      </c>
      <c r="AL1468">
        <v>12</v>
      </c>
      <c r="AM1468">
        <v>7</v>
      </c>
      <c r="AN1468">
        <v>41</v>
      </c>
      <c r="AO1468">
        <v>11</v>
      </c>
      <c r="AP1468">
        <v>10</v>
      </c>
      <c r="AQ1468">
        <v>1</v>
      </c>
      <c r="AR1468" t="s">
        <v>6282</v>
      </c>
      <c r="AS1468" t="s">
        <v>6283</v>
      </c>
      <c r="AT1468">
        <v>0.61099999999999999</v>
      </c>
      <c r="AU1468" t="s">
        <v>65</v>
      </c>
      <c r="AV1468">
        <v>51</v>
      </c>
      <c r="AW1468">
        <v>12</v>
      </c>
      <c r="AX1468" t="s">
        <v>6284</v>
      </c>
      <c r="AY1468">
        <v>4.7410000000000001E-2</v>
      </c>
      <c r="AZ1468">
        <v>-2.6800000000000001E-3</v>
      </c>
      <c r="BA1468">
        <v>2.96E-3</v>
      </c>
      <c r="BB1468">
        <v>-1.7000000000000001E-4</v>
      </c>
      <c r="BC1468">
        <v>6.2350000000000003E-2</v>
      </c>
      <c r="BD1468">
        <v>1</v>
      </c>
      <c r="BE1468" t="s">
        <v>69</v>
      </c>
      <c r="BF1468">
        <v>-1.1439999999999999</v>
      </c>
      <c r="BG1468">
        <v>-2.7650000000000001</v>
      </c>
    </row>
    <row r="1469" spans="1:59">
      <c r="A1469">
        <v>0</v>
      </c>
      <c r="B1469">
        <v>10</v>
      </c>
      <c r="C1469">
        <v>0</v>
      </c>
      <c r="D1469" t="s">
        <v>25022</v>
      </c>
      <c r="E1469">
        <v>1666</v>
      </c>
      <c r="F1469" t="s">
        <v>10432</v>
      </c>
      <c r="G1469" t="s">
        <v>57</v>
      </c>
      <c r="H1469">
        <v>1676532</v>
      </c>
      <c r="I1469">
        <v>1677377</v>
      </c>
      <c r="J1469" t="s">
        <v>10433</v>
      </c>
      <c r="K1469">
        <v>282</v>
      </c>
      <c r="L1469" t="s">
        <v>108</v>
      </c>
      <c r="M1469">
        <v>44</v>
      </c>
      <c r="N1469" t="str">
        <f>HYPERLINK("Gene1666-zp_tree_all.dnd", "Gene1666-tree")</f>
        <v>Gene1666-tree</v>
      </c>
      <c r="O1469">
        <v>8</v>
      </c>
      <c r="P1469">
        <v>7</v>
      </c>
      <c r="Q1469">
        <v>8</v>
      </c>
      <c r="R1469">
        <v>7</v>
      </c>
      <c r="S1469">
        <v>0.46666999999999997</v>
      </c>
      <c r="T1469" t="s">
        <v>136</v>
      </c>
      <c r="U1469" t="s">
        <v>152</v>
      </c>
      <c r="V1469" t="s">
        <v>62</v>
      </c>
      <c r="W1469" t="s">
        <v>62</v>
      </c>
      <c r="X1469">
        <v>3</v>
      </c>
      <c r="Y1469">
        <v>10</v>
      </c>
      <c r="Z1469">
        <v>2</v>
      </c>
      <c r="AA1469">
        <v>0.83333000000000002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6</v>
      </c>
      <c r="AH1469">
        <v>0</v>
      </c>
      <c r="AI1469">
        <v>6</v>
      </c>
      <c r="AJ1469">
        <v>3</v>
      </c>
      <c r="AK1469">
        <v>0.66666999999999998</v>
      </c>
      <c r="AL1469">
        <v>12</v>
      </c>
      <c r="AM1469">
        <v>9</v>
      </c>
      <c r="AN1469">
        <v>29</v>
      </c>
      <c r="AO1469">
        <v>9</v>
      </c>
      <c r="AP1469">
        <v>17</v>
      </c>
      <c r="AQ1469">
        <v>3</v>
      </c>
      <c r="AR1469" t="s">
        <v>10434</v>
      </c>
      <c r="AS1469" t="s">
        <v>10435</v>
      </c>
      <c r="AT1469">
        <v>0.66500000000000004</v>
      </c>
      <c r="AU1469" t="s">
        <v>65</v>
      </c>
      <c r="AV1469">
        <v>46</v>
      </c>
      <c r="AW1469">
        <v>12</v>
      </c>
      <c r="AX1469" t="s">
        <v>10436</v>
      </c>
      <c r="AY1469">
        <v>4.258E-2</v>
      </c>
      <c r="AZ1469">
        <v>-1.91E-3</v>
      </c>
      <c r="BA1469">
        <v>2.65E-3</v>
      </c>
      <c r="BB1469">
        <v>-1.2999999999999999E-4</v>
      </c>
      <c r="BC1469">
        <v>6.2179999999999999E-2</v>
      </c>
      <c r="BD1469">
        <v>1</v>
      </c>
      <c r="BE1469" t="s">
        <v>69</v>
      </c>
      <c r="BF1469">
        <v>-1.1679999999999999</v>
      </c>
      <c r="BG1469">
        <v>-1.4330000000000001</v>
      </c>
    </row>
    <row r="1470" spans="1:59">
      <c r="A1470">
        <v>0</v>
      </c>
      <c r="B1470">
        <v>0</v>
      </c>
      <c r="C1470">
        <v>0</v>
      </c>
      <c r="D1470" t="s">
        <v>25022</v>
      </c>
      <c r="E1470">
        <v>4248</v>
      </c>
      <c r="F1470" t="s">
        <v>24951</v>
      </c>
      <c r="G1470" t="s">
        <v>62</v>
      </c>
      <c r="H1470">
        <v>4205559</v>
      </c>
      <c r="I1470">
        <v>4206404</v>
      </c>
      <c r="J1470" t="s">
        <v>24952</v>
      </c>
      <c r="K1470">
        <v>282</v>
      </c>
      <c r="L1470" t="s">
        <v>2803</v>
      </c>
      <c r="M1470">
        <v>45</v>
      </c>
      <c r="N1470" t="str">
        <f>HYPERLINK("Gene4248-zp_tree_all.dnd", "Gene4248-tree")</f>
        <v>Gene4248-tree</v>
      </c>
      <c r="O1470">
        <v>9</v>
      </c>
      <c r="P1470">
        <v>6</v>
      </c>
      <c r="Q1470">
        <v>9</v>
      </c>
      <c r="R1470">
        <v>6</v>
      </c>
      <c r="S1470">
        <v>0.4</v>
      </c>
      <c r="T1470" t="s">
        <v>135</v>
      </c>
      <c r="U1470" t="s">
        <v>90</v>
      </c>
      <c r="V1470" t="s">
        <v>62</v>
      </c>
      <c r="W1470" t="s">
        <v>62</v>
      </c>
      <c r="X1470">
        <v>0</v>
      </c>
      <c r="Y1470">
        <v>0</v>
      </c>
      <c r="Z1470">
        <v>9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9</v>
      </c>
      <c r="AK1470">
        <v>0</v>
      </c>
      <c r="AL1470">
        <v>13</v>
      </c>
      <c r="AM1470">
        <v>9</v>
      </c>
      <c r="AN1470">
        <v>52</v>
      </c>
      <c r="AO1470">
        <v>9</v>
      </c>
      <c r="AP1470">
        <v>22</v>
      </c>
      <c r="AQ1470">
        <v>1</v>
      </c>
      <c r="AR1470" t="s">
        <v>24953</v>
      </c>
      <c r="AS1470" t="s">
        <v>24954</v>
      </c>
      <c r="AT1470">
        <v>0.42199999999999999</v>
      </c>
      <c r="AU1470" t="s">
        <v>65</v>
      </c>
      <c r="AV1470">
        <v>74</v>
      </c>
      <c r="AW1470">
        <v>10</v>
      </c>
      <c r="AX1470" t="s">
        <v>24955</v>
      </c>
      <c r="AY1470">
        <v>7.1550000000000002E-2</v>
      </c>
      <c r="AZ1470">
        <v>-5.79E-3</v>
      </c>
      <c r="BA1470">
        <v>2.2300000000000002E-3</v>
      </c>
      <c r="BB1470">
        <v>-2.1000000000000001E-4</v>
      </c>
      <c r="BC1470">
        <v>3.1130000000000001E-2</v>
      </c>
      <c r="BD1470">
        <v>1</v>
      </c>
      <c r="BE1470" t="s">
        <v>69</v>
      </c>
      <c r="BF1470">
        <v>-1.2749999999999999</v>
      </c>
      <c r="BG1470">
        <v>-2.7839999999999998</v>
      </c>
    </row>
    <row r="1471" spans="1:59">
      <c r="A1471">
        <v>0</v>
      </c>
      <c r="B1471">
        <v>2</v>
      </c>
      <c r="C1471">
        <v>0</v>
      </c>
      <c r="D1471" t="s">
        <v>25022</v>
      </c>
      <c r="E1471">
        <v>300</v>
      </c>
      <c r="F1471" t="s">
        <v>2047</v>
      </c>
      <c r="G1471" t="s">
        <v>57</v>
      </c>
      <c r="H1471">
        <v>322271</v>
      </c>
      <c r="I1471">
        <v>323116</v>
      </c>
      <c r="J1471" t="s">
        <v>2048</v>
      </c>
      <c r="K1471">
        <v>282</v>
      </c>
      <c r="L1471" t="s">
        <v>59</v>
      </c>
      <c r="M1471">
        <v>49</v>
      </c>
      <c r="N1471" t="str">
        <f>HYPERLINK("Gene300-zp_tree_all.dnd", "Gene300-tree")</f>
        <v>Gene300-tree</v>
      </c>
      <c r="O1471">
        <v>15</v>
      </c>
      <c r="P1471">
        <v>3</v>
      </c>
      <c r="Q1471">
        <v>15</v>
      </c>
      <c r="R1471">
        <v>3</v>
      </c>
      <c r="S1471">
        <v>0.16667000000000001</v>
      </c>
      <c r="T1471" t="s">
        <v>100</v>
      </c>
      <c r="U1471" t="s">
        <v>324</v>
      </c>
      <c r="V1471" t="s">
        <v>62</v>
      </c>
      <c r="W1471" t="s">
        <v>62</v>
      </c>
      <c r="X1471">
        <v>1</v>
      </c>
      <c r="Y1471">
        <v>2</v>
      </c>
      <c r="Z1471">
        <v>4</v>
      </c>
      <c r="AA1471">
        <v>0.33333000000000002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4</v>
      </c>
      <c r="AK1471">
        <v>0</v>
      </c>
      <c r="AL1471">
        <v>13</v>
      </c>
      <c r="AM1471">
        <v>13</v>
      </c>
      <c r="AN1471">
        <v>53</v>
      </c>
      <c r="AO1471">
        <v>4</v>
      </c>
      <c r="AP1471">
        <v>50</v>
      </c>
      <c r="AQ1471">
        <v>2</v>
      </c>
      <c r="AR1471" t="s">
        <v>2049</v>
      </c>
      <c r="AS1471" t="s">
        <v>2050</v>
      </c>
      <c r="AT1471">
        <v>0.29599999999999999</v>
      </c>
      <c r="AU1471" t="s">
        <v>65</v>
      </c>
      <c r="AV1471">
        <v>103</v>
      </c>
      <c r="AW1471">
        <v>6</v>
      </c>
      <c r="AX1471" t="s">
        <v>2051</v>
      </c>
      <c r="AY1471">
        <v>8.6510000000000004E-2</v>
      </c>
      <c r="AZ1471">
        <v>-3.4299999999999999E-3</v>
      </c>
      <c r="BA1471">
        <v>1.7899999999999999E-3</v>
      </c>
      <c r="BB1471">
        <v>-1.3999999999999999E-4</v>
      </c>
      <c r="BC1471">
        <v>2.0650000000000002E-2</v>
      </c>
      <c r="BD1471">
        <v>1</v>
      </c>
      <c r="BE1471" t="s">
        <v>69</v>
      </c>
      <c r="BF1471">
        <v>-0.94699999999999995</v>
      </c>
      <c r="BG1471">
        <v>-1.1839999999999999</v>
      </c>
    </row>
    <row r="1472" spans="1:59">
      <c r="A1472">
        <v>0</v>
      </c>
      <c r="B1472">
        <v>0</v>
      </c>
      <c r="C1472">
        <v>0</v>
      </c>
      <c r="D1472" t="s">
        <v>25022</v>
      </c>
      <c r="E1472">
        <v>3357</v>
      </c>
      <c r="F1472" t="s">
        <v>19615</v>
      </c>
      <c r="G1472" t="s">
        <v>62</v>
      </c>
      <c r="H1472">
        <v>3325920</v>
      </c>
      <c r="I1472">
        <v>3326765</v>
      </c>
      <c r="J1472" t="s">
        <v>116</v>
      </c>
      <c r="K1472">
        <v>282</v>
      </c>
      <c r="L1472" t="s">
        <v>59</v>
      </c>
      <c r="M1472">
        <v>49</v>
      </c>
      <c r="N1472" t="str">
        <f>HYPERLINK("Gene3357-zp_tree_all.dnd", "Gene3357-tree")</f>
        <v>Gene3357-tree</v>
      </c>
      <c r="O1472">
        <v>15</v>
      </c>
      <c r="P1472">
        <v>6</v>
      </c>
      <c r="Q1472">
        <v>15</v>
      </c>
      <c r="R1472">
        <v>6</v>
      </c>
      <c r="S1472">
        <v>0.28571000000000002</v>
      </c>
      <c r="T1472" t="s">
        <v>100</v>
      </c>
      <c r="U1472" t="s">
        <v>90</v>
      </c>
      <c r="V1472" t="s">
        <v>62</v>
      </c>
      <c r="W1472" t="s">
        <v>62</v>
      </c>
      <c r="X1472">
        <v>0</v>
      </c>
      <c r="Y1472">
        <v>0</v>
      </c>
      <c r="Z1472">
        <v>10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8</v>
      </c>
      <c r="AK1472">
        <v>0</v>
      </c>
      <c r="AL1472">
        <v>16</v>
      </c>
      <c r="AM1472">
        <v>15</v>
      </c>
      <c r="AN1472">
        <v>53</v>
      </c>
      <c r="AO1472">
        <v>8</v>
      </c>
      <c r="AP1472">
        <v>54</v>
      </c>
      <c r="AQ1472">
        <v>2</v>
      </c>
      <c r="AR1472" t="s">
        <v>19616</v>
      </c>
      <c r="AS1472" t="s">
        <v>19617</v>
      </c>
      <c r="AT1472">
        <v>0.90900000000000003</v>
      </c>
      <c r="AU1472" t="s">
        <v>65</v>
      </c>
      <c r="AV1472">
        <v>107</v>
      </c>
      <c r="AW1472">
        <v>10</v>
      </c>
      <c r="AX1472" t="s">
        <v>3410</v>
      </c>
      <c r="AY1472">
        <v>9.8489999999999994E-2</v>
      </c>
      <c r="AZ1472">
        <v>-4.0400000000000002E-3</v>
      </c>
      <c r="BA1472">
        <v>1.81E-3</v>
      </c>
      <c r="BB1472">
        <v>-1.2999999999999999E-4</v>
      </c>
      <c r="BC1472">
        <v>1.8360000000000001E-2</v>
      </c>
      <c r="BD1472">
        <v>1</v>
      </c>
      <c r="BE1472" t="s">
        <v>69</v>
      </c>
      <c r="BF1472">
        <v>-1.405</v>
      </c>
      <c r="BG1472">
        <v>-2.0979999999999999</v>
      </c>
    </row>
    <row r="1473" spans="1:59">
      <c r="A1473">
        <v>0</v>
      </c>
      <c r="B1473">
        <v>8</v>
      </c>
      <c r="C1473">
        <v>2</v>
      </c>
      <c r="D1473" t="s">
        <v>25022</v>
      </c>
      <c r="E1473">
        <v>3918</v>
      </c>
      <c r="F1473" t="s">
        <v>22986</v>
      </c>
      <c r="G1473" t="s">
        <v>62</v>
      </c>
      <c r="H1473">
        <v>3883430</v>
      </c>
      <c r="I1473">
        <v>3884278</v>
      </c>
      <c r="J1473" t="s">
        <v>22987</v>
      </c>
      <c r="K1473">
        <v>283</v>
      </c>
      <c r="L1473" t="s">
        <v>629</v>
      </c>
      <c r="M1473">
        <v>43</v>
      </c>
      <c r="N1473" t="str">
        <f>HYPERLINK("Gene3918-zp_tree_all.dnd", "Gene3918-tree")</f>
        <v>Gene3918-tree</v>
      </c>
      <c r="O1473">
        <v>8</v>
      </c>
      <c r="P1473">
        <v>9</v>
      </c>
      <c r="Q1473">
        <v>8</v>
      </c>
      <c r="R1473">
        <v>9</v>
      </c>
      <c r="S1473">
        <v>0.52941000000000005</v>
      </c>
      <c r="T1473" t="s">
        <v>136</v>
      </c>
      <c r="U1473" t="s">
        <v>135</v>
      </c>
      <c r="V1473" t="s">
        <v>62</v>
      </c>
      <c r="W1473" t="s">
        <v>62</v>
      </c>
      <c r="X1473">
        <v>5</v>
      </c>
      <c r="Y1473">
        <v>10</v>
      </c>
      <c r="Z1473">
        <v>11</v>
      </c>
      <c r="AA1473">
        <v>0.47619</v>
      </c>
      <c r="AB1473">
        <v>0</v>
      </c>
      <c r="AC1473">
        <v>0</v>
      </c>
      <c r="AD1473">
        <v>0</v>
      </c>
      <c r="AE1473">
        <v>2</v>
      </c>
      <c r="AF1473">
        <v>0</v>
      </c>
      <c r="AG1473">
        <v>6</v>
      </c>
      <c r="AH1473">
        <v>0</v>
      </c>
      <c r="AI1473">
        <v>6</v>
      </c>
      <c r="AJ1473">
        <v>12</v>
      </c>
      <c r="AK1473">
        <v>0.33333000000000002</v>
      </c>
      <c r="AL1473">
        <v>12</v>
      </c>
      <c r="AM1473">
        <v>11</v>
      </c>
      <c r="AN1473">
        <v>20</v>
      </c>
      <c r="AO1473">
        <v>15</v>
      </c>
      <c r="AP1473">
        <v>13</v>
      </c>
      <c r="AQ1473">
        <v>6</v>
      </c>
      <c r="AR1473" t="s">
        <v>22988</v>
      </c>
      <c r="AS1473" t="s">
        <v>22989</v>
      </c>
      <c r="AT1473">
        <v>0.59399999999999997</v>
      </c>
      <c r="AU1473" t="s">
        <v>65</v>
      </c>
      <c r="AV1473">
        <v>33</v>
      </c>
      <c r="AW1473">
        <v>21</v>
      </c>
      <c r="AX1473" t="s">
        <v>22990</v>
      </c>
      <c r="AY1473">
        <v>2.8289999999999999E-2</v>
      </c>
      <c r="AZ1473">
        <v>-8.8999999999999995E-4</v>
      </c>
      <c r="BA1473">
        <v>4.4900000000000001E-3</v>
      </c>
      <c r="BB1473">
        <v>-2.7999999999999998E-4</v>
      </c>
      <c r="BC1473">
        <v>0.15873000000000001</v>
      </c>
      <c r="BD1473">
        <v>1</v>
      </c>
      <c r="BE1473" t="s">
        <v>69</v>
      </c>
      <c r="BF1473">
        <v>-1.038</v>
      </c>
      <c r="BG1473">
        <v>-2.0019999999999998</v>
      </c>
    </row>
    <row r="1474" spans="1:59">
      <c r="A1474">
        <v>0</v>
      </c>
      <c r="B1474">
        <v>8</v>
      </c>
      <c r="C1474">
        <v>2</v>
      </c>
      <c r="D1474" t="s">
        <v>25022</v>
      </c>
      <c r="E1474">
        <v>436</v>
      </c>
      <c r="F1474" t="s">
        <v>2964</v>
      </c>
      <c r="G1474" t="s">
        <v>57</v>
      </c>
      <c r="H1474">
        <v>480013</v>
      </c>
      <c r="I1474">
        <v>480861</v>
      </c>
      <c r="J1474" t="s">
        <v>2965</v>
      </c>
      <c r="K1474">
        <v>283</v>
      </c>
      <c r="L1474" t="s">
        <v>2958</v>
      </c>
      <c r="M1474">
        <v>34</v>
      </c>
      <c r="N1474" t="str">
        <f>HYPERLINK("Gene436-zp_tree_all.dnd", "Gene436-tree")</f>
        <v>Gene436-tree</v>
      </c>
      <c r="O1474">
        <v>7</v>
      </c>
      <c r="P1474">
        <v>6</v>
      </c>
      <c r="Q1474">
        <v>7</v>
      </c>
      <c r="R1474">
        <v>6</v>
      </c>
      <c r="S1474">
        <v>0.46154000000000001</v>
      </c>
      <c r="T1474" t="s">
        <v>152</v>
      </c>
      <c r="U1474" t="s">
        <v>90</v>
      </c>
      <c r="V1474" t="s">
        <v>62</v>
      </c>
      <c r="W1474" t="s">
        <v>62</v>
      </c>
      <c r="X1474">
        <v>4</v>
      </c>
      <c r="Y1474">
        <v>10</v>
      </c>
      <c r="Z1474">
        <v>15</v>
      </c>
      <c r="AA1474">
        <v>0.4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</v>
      </c>
      <c r="AI1474">
        <v>2</v>
      </c>
      <c r="AJ1474">
        <v>11</v>
      </c>
      <c r="AK1474">
        <v>0.15384999999999999</v>
      </c>
      <c r="AL1474">
        <v>13</v>
      </c>
      <c r="AM1474">
        <v>10</v>
      </c>
      <c r="AN1474">
        <v>34</v>
      </c>
      <c r="AO1474">
        <v>13</v>
      </c>
      <c r="AP1474">
        <v>22</v>
      </c>
      <c r="AQ1474">
        <v>13</v>
      </c>
      <c r="AR1474" t="s">
        <v>2966</v>
      </c>
      <c r="AS1474" t="s">
        <v>2967</v>
      </c>
      <c r="AT1474">
        <v>0.44500000000000001</v>
      </c>
      <c r="AU1474" t="s">
        <v>65</v>
      </c>
      <c r="AV1474">
        <v>56</v>
      </c>
      <c r="AW1474">
        <v>26</v>
      </c>
      <c r="AX1474" t="s">
        <v>2968</v>
      </c>
      <c r="AY1474">
        <v>5.4899999999999997E-2</v>
      </c>
      <c r="AZ1474">
        <v>-2.49E-3</v>
      </c>
      <c r="BA1474">
        <v>8.3400000000000002E-3</v>
      </c>
      <c r="BB1474">
        <v>-5.9999999999999995E-4</v>
      </c>
      <c r="BC1474">
        <v>0.15190999999999999</v>
      </c>
      <c r="BD1474">
        <v>1</v>
      </c>
      <c r="BE1474" t="s">
        <v>69</v>
      </c>
      <c r="BF1474">
        <v>-1.006</v>
      </c>
      <c r="BG1474">
        <v>-0.96799999999999997</v>
      </c>
    </row>
    <row r="1475" spans="1:59">
      <c r="A1475">
        <v>0</v>
      </c>
      <c r="B1475">
        <v>7</v>
      </c>
      <c r="C1475">
        <v>0</v>
      </c>
      <c r="D1475" t="s">
        <v>25022</v>
      </c>
      <c r="E1475">
        <v>1200</v>
      </c>
      <c r="F1475" t="s">
        <v>7549</v>
      </c>
      <c r="G1475" t="s">
        <v>57</v>
      </c>
      <c r="H1475">
        <v>1238523</v>
      </c>
      <c r="I1475">
        <v>1239371</v>
      </c>
      <c r="J1475" t="s">
        <v>7550</v>
      </c>
      <c r="K1475">
        <v>283</v>
      </c>
      <c r="L1475" t="s">
        <v>108</v>
      </c>
      <c r="M1475">
        <v>44</v>
      </c>
      <c r="N1475" t="str">
        <f>HYPERLINK("Gene1200-zp_tree_all.dnd", "Gene1200-tree")</f>
        <v>Gene1200-tree</v>
      </c>
      <c r="O1475">
        <v>8</v>
      </c>
      <c r="P1475">
        <v>6</v>
      </c>
      <c r="Q1475">
        <v>8</v>
      </c>
      <c r="R1475">
        <v>6</v>
      </c>
      <c r="S1475">
        <v>0.42857000000000001</v>
      </c>
      <c r="T1475" t="s">
        <v>136</v>
      </c>
      <c r="U1475" t="s">
        <v>90</v>
      </c>
      <c r="V1475" t="s">
        <v>62</v>
      </c>
      <c r="W1475" t="s">
        <v>62</v>
      </c>
      <c r="X1475">
        <v>3</v>
      </c>
      <c r="Y1475">
        <v>7</v>
      </c>
      <c r="Z1475">
        <v>13</v>
      </c>
      <c r="AA1475">
        <v>0.35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4</v>
      </c>
      <c r="AH1475">
        <v>0</v>
      </c>
      <c r="AI1475">
        <v>4</v>
      </c>
      <c r="AJ1475">
        <v>7</v>
      </c>
      <c r="AK1475">
        <v>0.36364000000000002</v>
      </c>
      <c r="AL1475">
        <v>12</v>
      </c>
      <c r="AM1475">
        <v>9</v>
      </c>
      <c r="AN1475">
        <v>28</v>
      </c>
      <c r="AO1475">
        <v>11</v>
      </c>
      <c r="AP1475">
        <v>19</v>
      </c>
      <c r="AQ1475">
        <v>9</v>
      </c>
      <c r="AR1475" t="s">
        <v>7551</v>
      </c>
      <c r="AS1475" t="s">
        <v>7552</v>
      </c>
      <c r="AT1475">
        <v>0.26500000000000001</v>
      </c>
      <c r="AU1475" t="s">
        <v>65</v>
      </c>
      <c r="AV1475">
        <v>47</v>
      </c>
      <c r="AW1475">
        <v>20</v>
      </c>
      <c r="AX1475" t="s">
        <v>7553</v>
      </c>
      <c r="AY1475">
        <v>5.2920000000000002E-2</v>
      </c>
      <c r="AZ1475">
        <v>-2.5899999999999999E-3</v>
      </c>
      <c r="BA1475">
        <v>6.1799999999999997E-3</v>
      </c>
      <c r="BB1475">
        <v>-2.9E-4</v>
      </c>
      <c r="BC1475">
        <v>0.11677999999999999</v>
      </c>
      <c r="BD1475">
        <v>1</v>
      </c>
      <c r="BE1475" t="s">
        <v>69</v>
      </c>
      <c r="BF1475">
        <v>-0.35399999999999998</v>
      </c>
      <c r="BG1475">
        <v>-1.2969999999999999</v>
      </c>
    </row>
    <row r="1476" spans="1:59">
      <c r="A1476">
        <v>0</v>
      </c>
      <c r="B1476">
        <v>0</v>
      </c>
      <c r="C1476">
        <v>0</v>
      </c>
      <c r="D1476" t="s">
        <v>25022</v>
      </c>
      <c r="E1476">
        <v>2533</v>
      </c>
      <c r="F1476" t="s">
        <v>14795</v>
      </c>
      <c r="G1476" t="s">
        <v>62</v>
      </c>
      <c r="H1476">
        <v>2528407</v>
      </c>
      <c r="I1476">
        <v>2529255</v>
      </c>
      <c r="J1476" t="s">
        <v>14796</v>
      </c>
      <c r="K1476">
        <v>283</v>
      </c>
      <c r="L1476" t="s">
        <v>59</v>
      </c>
      <c r="M1476">
        <v>49</v>
      </c>
      <c r="N1476" t="str">
        <f>HYPERLINK("Gene2533-zp_tree_all.dnd", "Gene2533-tree")</f>
        <v>Gene2533-tree</v>
      </c>
      <c r="O1476">
        <v>10</v>
      </c>
      <c r="P1476">
        <v>5</v>
      </c>
      <c r="Q1476">
        <v>10</v>
      </c>
      <c r="R1476">
        <v>5</v>
      </c>
      <c r="S1476">
        <v>0.33333000000000002</v>
      </c>
      <c r="T1476" t="s">
        <v>117</v>
      </c>
      <c r="U1476" t="s">
        <v>199</v>
      </c>
      <c r="V1476" t="s">
        <v>62</v>
      </c>
      <c r="W1476" t="s">
        <v>62</v>
      </c>
      <c r="X1476">
        <v>0</v>
      </c>
      <c r="Y1476">
        <v>0</v>
      </c>
      <c r="Z1476">
        <v>7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5</v>
      </c>
      <c r="AK1476">
        <v>0</v>
      </c>
      <c r="AL1476">
        <v>10</v>
      </c>
      <c r="AM1476">
        <v>8</v>
      </c>
      <c r="AN1476">
        <v>17</v>
      </c>
      <c r="AO1476">
        <v>4</v>
      </c>
      <c r="AP1476">
        <v>35</v>
      </c>
      <c r="AQ1476">
        <v>3</v>
      </c>
      <c r="AR1476" t="s">
        <v>14797</v>
      </c>
      <c r="AS1476" t="s">
        <v>14798</v>
      </c>
      <c r="AT1476">
        <v>0.78800000000000003</v>
      </c>
      <c r="AU1476" t="s">
        <v>65</v>
      </c>
      <c r="AV1476">
        <v>52</v>
      </c>
      <c r="AW1476">
        <v>7</v>
      </c>
      <c r="AX1476" t="s">
        <v>14799</v>
      </c>
      <c r="AY1476">
        <v>7.4459999999999998E-2</v>
      </c>
      <c r="AZ1476">
        <v>-5.1000000000000004E-3</v>
      </c>
      <c r="BA1476">
        <v>2.3400000000000001E-3</v>
      </c>
      <c r="BB1476">
        <v>-1.6000000000000001E-4</v>
      </c>
      <c r="BC1476">
        <v>3.1469999999999998E-2</v>
      </c>
      <c r="BD1476">
        <v>1</v>
      </c>
      <c r="BE1476" t="s">
        <v>69</v>
      </c>
      <c r="BF1476">
        <v>-1.498</v>
      </c>
      <c r="BG1476">
        <v>-0.58499999999999996</v>
      </c>
    </row>
    <row r="1477" spans="1:59">
      <c r="A1477">
        <v>0</v>
      </c>
      <c r="B1477">
        <v>0</v>
      </c>
      <c r="C1477">
        <v>0</v>
      </c>
      <c r="D1477" t="s">
        <v>25022</v>
      </c>
      <c r="E1477">
        <v>3541</v>
      </c>
      <c r="F1477" t="s">
        <v>20753</v>
      </c>
      <c r="G1477" t="s">
        <v>62</v>
      </c>
      <c r="H1477">
        <v>3505105</v>
      </c>
      <c r="I1477">
        <v>3505953</v>
      </c>
      <c r="J1477" t="s">
        <v>20754</v>
      </c>
      <c r="K1477">
        <v>283</v>
      </c>
      <c r="L1477" t="s">
        <v>108</v>
      </c>
      <c r="M1477">
        <v>44</v>
      </c>
      <c r="N1477" t="str">
        <f>HYPERLINK("Gene3541-zp_tree_all.dnd", "Gene3541-tree")</f>
        <v>Gene3541-tree</v>
      </c>
      <c r="O1477">
        <v>7</v>
      </c>
      <c r="P1477">
        <v>5</v>
      </c>
      <c r="Q1477">
        <v>7</v>
      </c>
      <c r="R1477">
        <v>5</v>
      </c>
      <c r="S1477">
        <v>0.41666999999999998</v>
      </c>
      <c r="T1477" t="s">
        <v>152</v>
      </c>
      <c r="U1477" t="s">
        <v>199</v>
      </c>
      <c r="V1477" t="s">
        <v>62</v>
      </c>
      <c r="W1477" t="s">
        <v>62</v>
      </c>
      <c r="X1477">
        <v>0</v>
      </c>
      <c r="Y1477">
        <v>0</v>
      </c>
      <c r="Z1477">
        <v>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4</v>
      </c>
      <c r="AK1477">
        <v>0</v>
      </c>
      <c r="AL1477">
        <v>10</v>
      </c>
      <c r="AM1477">
        <v>8</v>
      </c>
      <c r="AN1477">
        <v>21</v>
      </c>
      <c r="AO1477">
        <v>4</v>
      </c>
      <c r="AP1477">
        <v>30</v>
      </c>
      <c r="AQ1477">
        <v>2</v>
      </c>
      <c r="AR1477" t="s">
        <v>20755</v>
      </c>
      <c r="AS1477" t="s">
        <v>20756</v>
      </c>
      <c r="AT1477">
        <v>0.86799999999999999</v>
      </c>
      <c r="AU1477" t="s">
        <v>65</v>
      </c>
      <c r="AV1477">
        <v>51</v>
      </c>
      <c r="AW1477">
        <v>6</v>
      </c>
      <c r="AX1477" t="s">
        <v>20757</v>
      </c>
      <c r="AY1477">
        <v>6.8430000000000005E-2</v>
      </c>
      <c r="AZ1477">
        <v>-3.2100000000000002E-3</v>
      </c>
      <c r="BA1477">
        <v>2.14E-3</v>
      </c>
      <c r="BB1477">
        <v>-1.8000000000000001E-4</v>
      </c>
      <c r="BC1477">
        <v>3.1199999999999999E-2</v>
      </c>
      <c r="BD1477">
        <v>1</v>
      </c>
      <c r="BE1477" t="s">
        <v>69</v>
      </c>
      <c r="BF1477">
        <v>-9.2999999999999999E-2</v>
      </c>
      <c r="BG1477">
        <v>-0.56399999999999995</v>
      </c>
    </row>
    <row r="1478" spans="1:59">
      <c r="A1478">
        <v>0</v>
      </c>
      <c r="B1478">
        <v>0</v>
      </c>
      <c r="C1478">
        <v>0</v>
      </c>
      <c r="D1478" t="s">
        <v>25022</v>
      </c>
      <c r="E1478">
        <v>4251</v>
      </c>
      <c r="F1478" t="s">
        <v>24969</v>
      </c>
      <c r="G1478" t="s">
        <v>62</v>
      </c>
      <c r="H1478">
        <v>4207900</v>
      </c>
      <c r="I1478">
        <v>4208748</v>
      </c>
      <c r="J1478" t="s">
        <v>24970</v>
      </c>
      <c r="K1478">
        <v>283</v>
      </c>
      <c r="L1478" t="s">
        <v>59</v>
      </c>
      <c r="M1478">
        <v>49</v>
      </c>
      <c r="N1478" t="str">
        <f>HYPERLINK("Gene4251-zp_tree_all.dnd", "Gene4251-tree")</f>
        <v>Gene4251-tree</v>
      </c>
      <c r="O1478">
        <v>20</v>
      </c>
      <c r="P1478">
        <v>0</v>
      </c>
      <c r="Q1478">
        <v>20</v>
      </c>
      <c r="R1478">
        <v>0</v>
      </c>
      <c r="S1478">
        <v>0</v>
      </c>
      <c r="T1478" t="s">
        <v>528</v>
      </c>
      <c r="U1478" t="s">
        <v>62</v>
      </c>
      <c r="V1478" t="s">
        <v>62</v>
      </c>
      <c r="W1478" t="s">
        <v>62</v>
      </c>
      <c r="X1478">
        <v>0</v>
      </c>
      <c r="Y1478">
        <v>0</v>
      </c>
      <c r="Z1478">
        <v>3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13</v>
      </c>
      <c r="AM1478">
        <v>12</v>
      </c>
      <c r="AN1478">
        <v>21</v>
      </c>
      <c r="AO1478">
        <v>0</v>
      </c>
      <c r="AP1478">
        <v>34</v>
      </c>
      <c r="AQ1478">
        <v>3</v>
      </c>
      <c r="AR1478" t="s">
        <v>193</v>
      </c>
      <c r="AS1478" t="s">
        <v>24971</v>
      </c>
      <c r="AT1478">
        <v>0.39100000000000001</v>
      </c>
      <c r="AU1478" t="s">
        <v>65</v>
      </c>
      <c r="AV1478">
        <v>55</v>
      </c>
      <c r="AW1478">
        <v>3</v>
      </c>
      <c r="AX1478" t="s">
        <v>24972</v>
      </c>
      <c r="AY1478">
        <v>7.1599999999999997E-2</v>
      </c>
      <c r="AZ1478">
        <v>-4.4400000000000004E-3</v>
      </c>
      <c r="BA1478">
        <v>1.7899999999999999E-3</v>
      </c>
      <c r="BB1478">
        <v>-1.1E-4</v>
      </c>
      <c r="BC1478">
        <v>2.504E-2</v>
      </c>
      <c r="BD1478">
        <v>1</v>
      </c>
      <c r="BE1478" t="s">
        <v>69</v>
      </c>
      <c r="BF1478">
        <v>-0.93</v>
      </c>
      <c r="BG1478">
        <v>-0.13200000000000001</v>
      </c>
    </row>
    <row r="1479" spans="1:59">
      <c r="A1479">
        <v>0</v>
      </c>
      <c r="B1479">
        <v>7</v>
      </c>
      <c r="C1479">
        <v>0</v>
      </c>
      <c r="D1479" t="s">
        <v>25022</v>
      </c>
      <c r="E1479">
        <v>2788</v>
      </c>
      <c r="F1479" t="s">
        <v>15989</v>
      </c>
      <c r="G1479" t="s">
        <v>62</v>
      </c>
      <c r="H1479">
        <v>2735685</v>
      </c>
      <c r="I1479">
        <v>2736536</v>
      </c>
      <c r="J1479" t="s">
        <v>15990</v>
      </c>
      <c r="K1479">
        <v>284</v>
      </c>
      <c r="L1479" t="s">
        <v>5762</v>
      </c>
      <c r="M1479">
        <v>43</v>
      </c>
      <c r="N1479" t="str">
        <f>HYPERLINK("Gene2788-zp_tree_all.dnd", "Gene2788-tree")</f>
        <v>Gene2788-tree</v>
      </c>
      <c r="O1479">
        <v>5</v>
      </c>
      <c r="P1479">
        <v>9</v>
      </c>
      <c r="Q1479">
        <v>5</v>
      </c>
      <c r="R1479">
        <v>9</v>
      </c>
      <c r="S1479">
        <v>0.64285999999999999</v>
      </c>
      <c r="T1479" t="s">
        <v>199</v>
      </c>
      <c r="U1479" t="s">
        <v>135</v>
      </c>
      <c r="V1479" t="s">
        <v>62</v>
      </c>
      <c r="W1479" t="s">
        <v>62</v>
      </c>
      <c r="X1479">
        <v>3</v>
      </c>
      <c r="Y1479">
        <v>7</v>
      </c>
      <c r="Z1479">
        <v>14</v>
      </c>
      <c r="AA1479">
        <v>0.33333000000000002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</v>
      </c>
      <c r="AH1479">
        <v>0</v>
      </c>
      <c r="AI1479">
        <v>2</v>
      </c>
      <c r="AJ1479">
        <v>15</v>
      </c>
      <c r="AK1479">
        <v>0.11765</v>
      </c>
      <c r="AL1479">
        <v>13</v>
      </c>
      <c r="AM1479">
        <v>11</v>
      </c>
      <c r="AN1479">
        <v>13</v>
      </c>
      <c r="AO1479">
        <v>16</v>
      </c>
      <c r="AP1479">
        <v>11</v>
      </c>
      <c r="AQ1479">
        <v>5</v>
      </c>
      <c r="AR1479" t="s">
        <v>15991</v>
      </c>
      <c r="AS1479" t="s">
        <v>15992</v>
      </c>
      <c r="AT1479">
        <v>0.92</v>
      </c>
      <c r="AU1479" t="s">
        <v>65</v>
      </c>
      <c r="AV1479">
        <v>24</v>
      </c>
      <c r="AW1479">
        <v>21</v>
      </c>
      <c r="AX1479" t="s">
        <v>15993</v>
      </c>
      <c r="AY1479">
        <v>3.4610000000000002E-2</v>
      </c>
      <c r="AZ1479">
        <v>-1.67E-3</v>
      </c>
      <c r="BA1479">
        <v>5.3E-3</v>
      </c>
      <c r="BB1479">
        <v>-3.2000000000000003E-4</v>
      </c>
      <c r="BC1479">
        <v>0.15312000000000001</v>
      </c>
      <c r="BD1479">
        <v>1</v>
      </c>
      <c r="BE1479" t="s">
        <v>69</v>
      </c>
      <c r="BF1479">
        <v>0.15</v>
      </c>
      <c r="BG1479">
        <v>-0.67500000000000004</v>
      </c>
    </row>
    <row r="1480" spans="1:59">
      <c r="A1480">
        <v>0</v>
      </c>
      <c r="B1480">
        <v>4</v>
      </c>
      <c r="C1480">
        <v>2</v>
      </c>
      <c r="D1480" t="s">
        <v>25022</v>
      </c>
      <c r="E1480">
        <v>3376</v>
      </c>
      <c r="F1480" t="s">
        <v>19736</v>
      </c>
      <c r="G1480" t="s">
        <v>62</v>
      </c>
      <c r="H1480">
        <v>3347054</v>
      </c>
      <c r="I1480">
        <v>3347905</v>
      </c>
      <c r="J1480" t="s">
        <v>19737</v>
      </c>
      <c r="K1480">
        <v>284</v>
      </c>
      <c r="L1480" t="s">
        <v>108</v>
      </c>
      <c r="M1480">
        <v>44</v>
      </c>
      <c r="N1480" t="str">
        <f>HYPERLINK("Gene3376-zp_tree_all.dnd", "Gene3376-tree")</f>
        <v>Gene3376-tree</v>
      </c>
      <c r="O1480">
        <v>25</v>
      </c>
      <c r="P1480">
        <v>10</v>
      </c>
      <c r="Q1480">
        <v>4</v>
      </c>
      <c r="R1480">
        <v>10</v>
      </c>
      <c r="S1480">
        <v>0.71428999999999998</v>
      </c>
      <c r="T1480" t="s">
        <v>2326</v>
      </c>
      <c r="U1480" t="s">
        <v>117</v>
      </c>
      <c r="V1480" t="s">
        <v>62</v>
      </c>
      <c r="W1480" t="s">
        <v>62</v>
      </c>
      <c r="X1480">
        <v>3</v>
      </c>
      <c r="Y1480">
        <v>6</v>
      </c>
      <c r="Z1480">
        <v>14</v>
      </c>
      <c r="AA1480">
        <v>0.3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</v>
      </c>
      <c r="AH1480">
        <v>2</v>
      </c>
      <c r="AI1480">
        <v>4</v>
      </c>
      <c r="AJ1480">
        <v>11</v>
      </c>
      <c r="AK1480">
        <v>0.26667000000000002</v>
      </c>
      <c r="AL1480">
        <v>11</v>
      </c>
      <c r="AM1480">
        <v>8</v>
      </c>
      <c r="AN1480">
        <v>42</v>
      </c>
      <c r="AO1480">
        <v>14</v>
      </c>
      <c r="AP1480">
        <v>20</v>
      </c>
      <c r="AQ1480">
        <v>6</v>
      </c>
      <c r="AR1480" t="s">
        <v>19738</v>
      </c>
      <c r="AS1480" t="s">
        <v>19739</v>
      </c>
      <c r="AT1480">
        <v>8.8999999999999996E-2</v>
      </c>
      <c r="AU1480" t="s">
        <v>65</v>
      </c>
      <c r="AV1480">
        <v>62</v>
      </c>
      <c r="AW1480">
        <v>20</v>
      </c>
      <c r="AX1480" t="s">
        <v>19740</v>
      </c>
      <c r="AY1480">
        <v>5.527E-2</v>
      </c>
      <c r="AZ1480">
        <v>-3.47E-3</v>
      </c>
      <c r="BA1480">
        <v>5.96E-3</v>
      </c>
      <c r="BB1480">
        <v>-4.8000000000000001E-4</v>
      </c>
      <c r="BC1480">
        <v>0.10785</v>
      </c>
      <c r="BD1480">
        <v>1</v>
      </c>
      <c r="BE1480" t="s">
        <v>69</v>
      </c>
      <c r="BF1480">
        <v>-1.143</v>
      </c>
      <c r="BG1480">
        <v>-1.946</v>
      </c>
    </row>
    <row r="1481" spans="1:59">
      <c r="A1481">
        <v>0</v>
      </c>
      <c r="B1481">
        <v>0</v>
      </c>
      <c r="C1481">
        <v>0</v>
      </c>
      <c r="D1481" t="s">
        <v>25022</v>
      </c>
      <c r="E1481">
        <v>3335</v>
      </c>
      <c r="F1481" t="s">
        <v>19479</v>
      </c>
      <c r="G1481" t="s">
        <v>62</v>
      </c>
      <c r="H1481">
        <v>3306043</v>
      </c>
      <c r="I1481">
        <v>3306894</v>
      </c>
      <c r="J1481" t="s">
        <v>19480</v>
      </c>
      <c r="K1481">
        <v>284</v>
      </c>
      <c r="L1481" t="s">
        <v>108</v>
      </c>
      <c r="M1481">
        <v>44</v>
      </c>
      <c r="N1481" t="str">
        <f>HYPERLINK("Gene3335-zp_tree_all.dnd", "Gene3335-tree")</f>
        <v>Gene3335-tree</v>
      </c>
      <c r="O1481">
        <v>9</v>
      </c>
      <c r="P1481">
        <v>6</v>
      </c>
      <c r="Q1481">
        <v>9</v>
      </c>
      <c r="R1481">
        <v>6</v>
      </c>
      <c r="S1481">
        <v>0.4</v>
      </c>
      <c r="T1481" t="s">
        <v>135</v>
      </c>
      <c r="U1481" t="s">
        <v>90</v>
      </c>
      <c r="V1481" t="s">
        <v>62</v>
      </c>
      <c r="W1481" t="s">
        <v>62</v>
      </c>
      <c r="X1481">
        <v>0</v>
      </c>
      <c r="Y1481">
        <v>0</v>
      </c>
      <c r="Z1481">
        <v>8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7</v>
      </c>
      <c r="AK1481">
        <v>0</v>
      </c>
      <c r="AL1481">
        <v>12</v>
      </c>
      <c r="AM1481">
        <v>5</v>
      </c>
      <c r="AN1481">
        <v>28</v>
      </c>
      <c r="AO1481">
        <v>7</v>
      </c>
      <c r="AP1481">
        <v>6</v>
      </c>
      <c r="AQ1481">
        <v>1</v>
      </c>
      <c r="AR1481" t="s">
        <v>19481</v>
      </c>
      <c r="AS1481" t="s">
        <v>19482</v>
      </c>
      <c r="AT1481">
        <v>0.21299999999999999</v>
      </c>
      <c r="AU1481" t="s">
        <v>65</v>
      </c>
      <c r="AV1481">
        <v>34</v>
      </c>
      <c r="AW1481">
        <v>8</v>
      </c>
      <c r="AX1481" t="s">
        <v>19483</v>
      </c>
      <c r="AY1481">
        <v>3.0509999999999999E-2</v>
      </c>
      <c r="AZ1481">
        <v>-2.0200000000000001E-3</v>
      </c>
      <c r="BA1481">
        <v>1.81E-3</v>
      </c>
      <c r="BB1481">
        <v>-1.2999999999999999E-4</v>
      </c>
      <c r="BC1481">
        <v>5.9319999999999998E-2</v>
      </c>
      <c r="BD1481">
        <v>1</v>
      </c>
      <c r="BE1481" t="s">
        <v>69</v>
      </c>
      <c r="BF1481">
        <v>-1.788</v>
      </c>
      <c r="BG1481">
        <v>-3.4929999999999999</v>
      </c>
    </row>
    <row r="1482" spans="1:59">
      <c r="A1482">
        <v>0</v>
      </c>
      <c r="B1482">
        <v>14</v>
      </c>
      <c r="C1482">
        <v>0</v>
      </c>
      <c r="D1482" t="s">
        <v>25022</v>
      </c>
      <c r="E1482">
        <v>3762</v>
      </c>
      <c r="F1482" t="s">
        <v>22044</v>
      </c>
      <c r="G1482" t="s">
        <v>62</v>
      </c>
      <c r="H1482">
        <v>3738346</v>
      </c>
      <c r="I1482">
        <v>3739200</v>
      </c>
      <c r="J1482" t="s">
        <v>22045</v>
      </c>
      <c r="K1482">
        <v>285</v>
      </c>
      <c r="L1482" t="s">
        <v>108</v>
      </c>
      <c r="M1482">
        <v>44</v>
      </c>
      <c r="N1482" t="str">
        <f>HYPERLINK("Gene3762-zp_tree_all.dnd", "Gene3762-tree")</f>
        <v>Gene3762-tree</v>
      </c>
      <c r="O1482">
        <v>2</v>
      </c>
      <c r="P1482">
        <v>12</v>
      </c>
      <c r="Q1482">
        <v>2</v>
      </c>
      <c r="R1482">
        <v>12</v>
      </c>
      <c r="S1482">
        <v>0.85714000000000001</v>
      </c>
      <c r="T1482" t="s">
        <v>81</v>
      </c>
      <c r="U1482" t="s">
        <v>109</v>
      </c>
      <c r="V1482" t="s">
        <v>62</v>
      </c>
      <c r="W1482" t="s">
        <v>62</v>
      </c>
      <c r="X1482">
        <v>5</v>
      </c>
      <c r="Y1482">
        <v>14</v>
      </c>
      <c r="Z1482">
        <v>12</v>
      </c>
      <c r="AA1482">
        <v>0.53846000000000005</v>
      </c>
      <c r="AB1482">
        <v>0</v>
      </c>
      <c r="AC1482">
        <v>0</v>
      </c>
      <c r="AD1482">
        <v>0</v>
      </c>
      <c r="AE1482">
        <v>2</v>
      </c>
      <c r="AF1482">
        <v>0</v>
      </c>
      <c r="AG1482">
        <v>7</v>
      </c>
      <c r="AH1482">
        <v>0</v>
      </c>
      <c r="AI1482">
        <v>7</v>
      </c>
      <c r="AJ1482">
        <v>13</v>
      </c>
      <c r="AK1482">
        <v>0.35</v>
      </c>
      <c r="AL1482">
        <v>13</v>
      </c>
      <c r="AM1482">
        <v>8</v>
      </c>
      <c r="AN1482">
        <v>31</v>
      </c>
      <c r="AO1482">
        <v>20</v>
      </c>
      <c r="AP1482">
        <v>16</v>
      </c>
      <c r="AQ1482">
        <v>6</v>
      </c>
      <c r="AR1482" t="s">
        <v>22046</v>
      </c>
      <c r="AS1482" t="s">
        <v>22047</v>
      </c>
      <c r="AT1482">
        <v>1.0629999999999999</v>
      </c>
      <c r="AU1482" t="s">
        <v>65</v>
      </c>
      <c r="AV1482">
        <v>47</v>
      </c>
      <c r="AW1482">
        <v>26</v>
      </c>
      <c r="AX1482" t="s">
        <v>22048</v>
      </c>
      <c r="AY1482">
        <v>4.453E-2</v>
      </c>
      <c r="AZ1482">
        <v>-1.72E-3</v>
      </c>
      <c r="BA1482">
        <v>5.8999999999999999E-3</v>
      </c>
      <c r="BB1482">
        <v>-2.2000000000000001E-4</v>
      </c>
      <c r="BC1482">
        <v>0.13256999999999999</v>
      </c>
      <c r="BD1482">
        <v>1</v>
      </c>
      <c r="BE1482" t="s">
        <v>69</v>
      </c>
      <c r="BF1482">
        <v>-0.627</v>
      </c>
      <c r="BG1482">
        <v>-1.621</v>
      </c>
    </row>
    <row r="1483" spans="1:59">
      <c r="A1483">
        <v>0</v>
      </c>
      <c r="B1483">
        <v>10</v>
      </c>
      <c r="C1483">
        <v>0</v>
      </c>
      <c r="D1483" t="s">
        <v>25022</v>
      </c>
      <c r="E1483">
        <v>77</v>
      </c>
      <c r="F1483" t="s">
        <v>614</v>
      </c>
      <c r="G1483" t="s">
        <v>57</v>
      </c>
      <c r="H1483">
        <v>85737</v>
      </c>
      <c r="I1483">
        <v>86591</v>
      </c>
      <c r="J1483" t="s">
        <v>615</v>
      </c>
      <c r="K1483">
        <v>285</v>
      </c>
      <c r="L1483" t="s">
        <v>108</v>
      </c>
      <c r="M1483">
        <v>44</v>
      </c>
      <c r="N1483" t="str">
        <f>HYPERLINK("Gene77-zp_tree_all.dnd", "Gene77-tree")</f>
        <v>Gene77-tree</v>
      </c>
      <c r="O1483">
        <v>4</v>
      </c>
      <c r="P1483">
        <v>12</v>
      </c>
      <c r="Q1483">
        <v>4</v>
      </c>
      <c r="R1483">
        <v>12</v>
      </c>
      <c r="S1483">
        <v>0.75</v>
      </c>
      <c r="T1483" t="s">
        <v>61</v>
      </c>
      <c r="U1483" t="s">
        <v>109</v>
      </c>
      <c r="V1483" t="s">
        <v>62</v>
      </c>
      <c r="W1483" t="s">
        <v>62</v>
      </c>
      <c r="X1483">
        <v>4</v>
      </c>
      <c r="Y1483">
        <v>10</v>
      </c>
      <c r="Z1483">
        <v>13</v>
      </c>
      <c r="AA1483">
        <v>0.43478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8</v>
      </c>
      <c r="AH1483">
        <v>0</v>
      </c>
      <c r="AI1483">
        <v>8</v>
      </c>
      <c r="AJ1483">
        <v>14</v>
      </c>
      <c r="AK1483">
        <v>0.36364000000000002</v>
      </c>
      <c r="AL1483">
        <v>13</v>
      </c>
      <c r="AM1483">
        <v>11</v>
      </c>
      <c r="AN1483">
        <v>16</v>
      </c>
      <c r="AO1483">
        <v>21</v>
      </c>
      <c r="AP1483">
        <v>18</v>
      </c>
      <c r="AQ1483">
        <v>2</v>
      </c>
      <c r="AR1483" t="s">
        <v>616</v>
      </c>
      <c r="AS1483" t="s">
        <v>617</v>
      </c>
      <c r="AT1483">
        <v>1.198</v>
      </c>
      <c r="AU1483" t="s">
        <v>65</v>
      </c>
      <c r="AV1483">
        <v>34</v>
      </c>
      <c r="AW1483">
        <v>23</v>
      </c>
      <c r="AX1483" t="s">
        <v>618</v>
      </c>
      <c r="AY1483">
        <v>3.6949999999999997E-2</v>
      </c>
      <c r="AZ1483">
        <v>-1.39E-3</v>
      </c>
      <c r="BA1483">
        <v>4.3400000000000001E-3</v>
      </c>
      <c r="BB1483">
        <v>-2.2000000000000001E-4</v>
      </c>
      <c r="BC1483">
        <v>0.11737</v>
      </c>
      <c r="BD1483">
        <v>1</v>
      </c>
      <c r="BE1483" t="s">
        <v>69</v>
      </c>
      <c r="BF1483">
        <v>-0.78700000000000003</v>
      </c>
      <c r="BG1483">
        <v>-1.1080000000000001</v>
      </c>
    </row>
    <row r="1484" spans="1:59">
      <c r="A1484">
        <v>0</v>
      </c>
      <c r="B1484">
        <v>8</v>
      </c>
      <c r="C1484">
        <v>1</v>
      </c>
      <c r="D1484" t="s">
        <v>25022</v>
      </c>
      <c r="E1484">
        <v>858</v>
      </c>
      <c r="F1484" t="s">
        <v>5363</v>
      </c>
      <c r="G1484" t="s">
        <v>57</v>
      </c>
      <c r="H1484">
        <v>898010</v>
      </c>
      <c r="I1484">
        <v>898864</v>
      </c>
      <c r="J1484" t="s">
        <v>5364</v>
      </c>
      <c r="K1484">
        <v>285</v>
      </c>
      <c r="L1484" t="s">
        <v>108</v>
      </c>
      <c r="M1484">
        <v>44</v>
      </c>
      <c r="N1484" t="str">
        <f>HYPERLINK("Gene858-zp_tree_all.dnd", "Gene858-tree")</f>
        <v>Gene858-tree</v>
      </c>
      <c r="O1484">
        <v>25</v>
      </c>
      <c r="P1484">
        <v>10</v>
      </c>
      <c r="Q1484">
        <v>5</v>
      </c>
      <c r="R1484">
        <v>10</v>
      </c>
      <c r="S1484">
        <v>0.66666999999999998</v>
      </c>
      <c r="T1484" t="s">
        <v>4839</v>
      </c>
      <c r="U1484" t="s">
        <v>117</v>
      </c>
      <c r="V1484" t="s">
        <v>62</v>
      </c>
      <c r="W1484" t="s">
        <v>62</v>
      </c>
      <c r="X1484">
        <v>3</v>
      </c>
      <c r="Y1484">
        <v>9</v>
      </c>
      <c r="Z1484">
        <v>6</v>
      </c>
      <c r="AA1484">
        <v>0.6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4</v>
      </c>
      <c r="AH1484">
        <v>3</v>
      </c>
      <c r="AI1484">
        <v>7</v>
      </c>
      <c r="AJ1484">
        <v>6</v>
      </c>
      <c r="AK1484">
        <v>0.53846000000000005</v>
      </c>
      <c r="AL1484">
        <v>12</v>
      </c>
      <c r="AM1484">
        <v>9</v>
      </c>
      <c r="AN1484">
        <v>26</v>
      </c>
      <c r="AO1484">
        <v>12</v>
      </c>
      <c r="AP1484">
        <v>15</v>
      </c>
      <c r="AQ1484">
        <v>3</v>
      </c>
      <c r="AR1484" t="s">
        <v>5365</v>
      </c>
      <c r="AS1484" t="s">
        <v>5366</v>
      </c>
      <c r="AT1484">
        <v>1.26</v>
      </c>
      <c r="AU1484" t="s">
        <v>65</v>
      </c>
      <c r="AV1484">
        <v>41</v>
      </c>
      <c r="AW1484">
        <v>15</v>
      </c>
      <c r="AX1484" t="s">
        <v>5367</v>
      </c>
      <c r="AY1484">
        <v>3.8490000000000003E-2</v>
      </c>
      <c r="AZ1484">
        <v>-1.58E-3</v>
      </c>
      <c r="BA1484">
        <v>2.9199999999999999E-3</v>
      </c>
      <c r="BB1484">
        <v>-1.8000000000000001E-4</v>
      </c>
      <c r="BC1484">
        <v>7.5939999999999994E-2</v>
      </c>
      <c r="BD1484">
        <v>1</v>
      </c>
      <c r="BE1484" t="s">
        <v>69</v>
      </c>
      <c r="BF1484">
        <v>-1.0089999999999999</v>
      </c>
      <c r="BG1484">
        <v>-1.161</v>
      </c>
    </row>
    <row r="1485" spans="1:59">
      <c r="A1485">
        <v>0</v>
      </c>
      <c r="B1485">
        <v>2</v>
      </c>
      <c r="C1485">
        <v>2</v>
      </c>
      <c r="D1485" t="s">
        <v>25022</v>
      </c>
      <c r="E1485">
        <v>2906</v>
      </c>
      <c r="F1485" t="s">
        <v>16732</v>
      </c>
      <c r="G1485" t="s">
        <v>62</v>
      </c>
      <c r="H1485">
        <v>2851286</v>
      </c>
      <c r="I1485">
        <v>2852140</v>
      </c>
      <c r="J1485" t="s">
        <v>16733</v>
      </c>
      <c r="K1485">
        <v>285</v>
      </c>
      <c r="L1485" t="s">
        <v>108</v>
      </c>
      <c r="M1485">
        <v>44</v>
      </c>
      <c r="N1485" t="str">
        <f>HYPERLINK("Gene2906-zp_tree_all.dnd", "Gene2906-tree")</f>
        <v>Gene2906-tree</v>
      </c>
      <c r="O1485">
        <v>6</v>
      </c>
      <c r="P1485">
        <v>8</v>
      </c>
      <c r="Q1485">
        <v>6</v>
      </c>
      <c r="R1485">
        <v>8</v>
      </c>
      <c r="S1485">
        <v>0.57142999999999999</v>
      </c>
      <c r="T1485" t="s">
        <v>90</v>
      </c>
      <c r="U1485" t="s">
        <v>136</v>
      </c>
      <c r="V1485" t="s">
        <v>62</v>
      </c>
      <c r="W1485" t="s">
        <v>62</v>
      </c>
      <c r="X1485">
        <v>2</v>
      </c>
      <c r="Y1485">
        <v>4</v>
      </c>
      <c r="Z1485">
        <v>7</v>
      </c>
      <c r="AA1485">
        <v>0.36364000000000002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</v>
      </c>
      <c r="AI1485">
        <v>2</v>
      </c>
      <c r="AJ1485">
        <v>7</v>
      </c>
      <c r="AK1485">
        <v>0.22222</v>
      </c>
      <c r="AL1485">
        <v>12</v>
      </c>
      <c r="AM1485">
        <v>9</v>
      </c>
      <c r="AN1485">
        <v>21</v>
      </c>
      <c r="AO1485">
        <v>8</v>
      </c>
      <c r="AP1485">
        <v>27</v>
      </c>
      <c r="AQ1485">
        <v>3</v>
      </c>
      <c r="AR1485" t="s">
        <v>16734</v>
      </c>
      <c r="AS1485" t="s">
        <v>16735</v>
      </c>
      <c r="AT1485">
        <v>1.355</v>
      </c>
      <c r="AU1485" t="s">
        <v>65</v>
      </c>
      <c r="AV1485">
        <v>48</v>
      </c>
      <c r="AW1485">
        <v>11</v>
      </c>
      <c r="AX1485" t="s">
        <v>16736</v>
      </c>
      <c r="AY1485">
        <v>4.727E-2</v>
      </c>
      <c r="AZ1485">
        <v>-1.7600000000000001E-3</v>
      </c>
      <c r="BA1485">
        <v>3.1700000000000001E-3</v>
      </c>
      <c r="BB1485">
        <v>-1.6000000000000001E-4</v>
      </c>
      <c r="BC1485">
        <v>6.7000000000000004E-2</v>
      </c>
      <c r="BD1485">
        <v>1</v>
      </c>
      <c r="BE1485" t="s">
        <v>69</v>
      </c>
      <c r="BF1485">
        <v>-0.71899999999999997</v>
      </c>
      <c r="BG1485">
        <v>-0.92</v>
      </c>
    </row>
    <row r="1486" spans="1:59">
      <c r="A1486">
        <v>0</v>
      </c>
      <c r="B1486">
        <v>2</v>
      </c>
      <c r="C1486">
        <v>0</v>
      </c>
      <c r="D1486" t="s">
        <v>25022</v>
      </c>
      <c r="E1486">
        <v>3848</v>
      </c>
      <c r="F1486" t="s">
        <v>22553</v>
      </c>
      <c r="G1486" t="s">
        <v>62</v>
      </c>
      <c r="H1486">
        <v>3808515</v>
      </c>
      <c r="I1486">
        <v>3809369</v>
      </c>
      <c r="J1486" t="s">
        <v>22554</v>
      </c>
      <c r="K1486">
        <v>285</v>
      </c>
      <c r="L1486" t="s">
        <v>59</v>
      </c>
      <c r="M1486">
        <v>49</v>
      </c>
      <c r="N1486" t="str">
        <f>HYPERLINK("Gene3848-zp_tree_all.dnd", "Gene3848-tree")</f>
        <v>Gene3848-tree</v>
      </c>
      <c r="O1486">
        <v>15</v>
      </c>
      <c r="P1486">
        <v>2</v>
      </c>
      <c r="Q1486">
        <v>15</v>
      </c>
      <c r="R1486">
        <v>2</v>
      </c>
      <c r="S1486">
        <v>0.11765</v>
      </c>
      <c r="T1486" t="s">
        <v>100</v>
      </c>
      <c r="U1486" t="s">
        <v>81</v>
      </c>
      <c r="V1486" t="s">
        <v>62</v>
      </c>
      <c r="W1486" t="s">
        <v>62</v>
      </c>
      <c r="X1486">
        <v>1</v>
      </c>
      <c r="Y1486">
        <v>2</v>
      </c>
      <c r="Z1486">
        <v>4</v>
      </c>
      <c r="AA1486">
        <v>0.33333000000000002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3</v>
      </c>
      <c r="AK1486">
        <v>0</v>
      </c>
      <c r="AL1486">
        <v>11</v>
      </c>
      <c r="AM1486">
        <v>10</v>
      </c>
      <c r="AN1486">
        <v>18</v>
      </c>
      <c r="AO1486">
        <v>3</v>
      </c>
      <c r="AP1486">
        <v>17</v>
      </c>
      <c r="AQ1486">
        <v>3</v>
      </c>
      <c r="AR1486" t="s">
        <v>22555</v>
      </c>
      <c r="AS1486" t="s">
        <v>22556</v>
      </c>
      <c r="AT1486">
        <v>2.5000000000000001E-2</v>
      </c>
      <c r="AU1486" t="s">
        <v>65</v>
      </c>
      <c r="AV1486">
        <v>35</v>
      </c>
      <c r="AW1486">
        <v>6</v>
      </c>
      <c r="AX1486" t="s">
        <v>22557</v>
      </c>
      <c r="AY1486">
        <v>3.091E-2</v>
      </c>
      <c r="AZ1486">
        <v>-1.2199999999999999E-3</v>
      </c>
      <c r="BA1486">
        <v>1.6299999999999999E-3</v>
      </c>
      <c r="BB1486">
        <v>-1.8000000000000001E-4</v>
      </c>
      <c r="BC1486">
        <v>5.2699999999999997E-2</v>
      </c>
      <c r="BD1486">
        <v>1</v>
      </c>
      <c r="BE1486" t="s">
        <v>69</v>
      </c>
      <c r="BF1486">
        <v>-1.585</v>
      </c>
      <c r="BG1486">
        <v>-1.83</v>
      </c>
    </row>
    <row r="1487" spans="1:59">
      <c r="A1487">
        <v>0</v>
      </c>
      <c r="B1487">
        <v>0</v>
      </c>
      <c r="C1487">
        <v>0</v>
      </c>
      <c r="D1487" t="s">
        <v>25022</v>
      </c>
      <c r="E1487">
        <v>1075</v>
      </c>
      <c r="F1487" t="s">
        <v>6754</v>
      </c>
      <c r="G1487" t="s">
        <v>57</v>
      </c>
      <c r="H1487">
        <v>1115698</v>
      </c>
      <c r="I1487">
        <v>1116552</v>
      </c>
      <c r="J1487" t="s">
        <v>1940</v>
      </c>
      <c r="K1487">
        <v>285</v>
      </c>
      <c r="L1487" t="s">
        <v>108</v>
      </c>
      <c r="M1487">
        <v>44</v>
      </c>
      <c r="N1487" t="str">
        <f>HYPERLINK("Gene1075-zp_tree_all.dnd", "Gene1075-tree")</f>
        <v>Gene1075-tree</v>
      </c>
      <c r="O1487">
        <v>10</v>
      </c>
      <c r="P1487">
        <v>4</v>
      </c>
      <c r="Q1487">
        <v>10</v>
      </c>
      <c r="R1487">
        <v>4</v>
      </c>
      <c r="S1487">
        <v>0.28571000000000002</v>
      </c>
      <c r="T1487" t="s">
        <v>117</v>
      </c>
      <c r="U1487" t="s">
        <v>61</v>
      </c>
      <c r="V1487" t="s">
        <v>62</v>
      </c>
      <c r="W1487" t="s">
        <v>62</v>
      </c>
      <c r="X1487">
        <v>0</v>
      </c>
      <c r="Y1487">
        <v>0</v>
      </c>
      <c r="Z1487">
        <v>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4</v>
      </c>
      <c r="AK1487">
        <v>0</v>
      </c>
      <c r="AL1487">
        <v>12</v>
      </c>
      <c r="AM1487">
        <v>8</v>
      </c>
      <c r="AN1487">
        <v>31</v>
      </c>
      <c r="AO1487">
        <v>4</v>
      </c>
      <c r="AP1487">
        <v>14</v>
      </c>
      <c r="AQ1487">
        <v>1</v>
      </c>
      <c r="AR1487" t="s">
        <v>6755</v>
      </c>
      <c r="AS1487" t="s">
        <v>6756</v>
      </c>
      <c r="AT1487">
        <v>0.27200000000000002</v>
      </c>
      <c r="AU1487" t="s">
        <v>65</v>
      </c>
      <c r="AV1487">
        <v>45</v>
      </c>
      <c r="AW1487">
        <v>5</v>
      </c>
      <c r="AX1487" t="s">
        <v>6757</v>
      </c>
      <c r="AY1487">
        <v>3.7769999999999998E-2</v>
      </c>
      <c r="AZ1487">
        <v>-1.82E-3</v>
      </c>
      <c r="BA1487">
        <v>1.4300000000000001E-3</v>
      </c>
      <c r="BB1487">
        <v>-1.2999999999999999E-4</v>
      </c>
      <c r="BC1487">
        <v>3.7940000000000002E-2</v>
      </c>
      <c r="BD1487">
        <v>1</v>
      </c>
      <c r="BE1487" t="s">
        <v>69</v>
      </c>
      <c r="BF1487">
        <v>-1.498</v>
      </c>
      <c r="BG1487">
        <v>-2.9460000000000002</v>
      </c>
    </row>
    <row r="1488" spans="1:59">
      <c r="A1488">
        <v>0</v>
      </c>
      <c r="B1488">
        <v>0</v>
      </c>
      <c r="C1488">
        <v>0</v>
      </c>
      <c r="D1488" t="s">
        <v>25022</v>
      </c>
      <c r="E1488">
        <v>47</v>
      </c>
      <c r="F1488" t="s">
        <v>400</v>
      </c>
      <c r="G1488" t="s">
        <v>57</v>
      </c>
      <c r="H1488">
        <v>54441</v>
      </c>
      <c r="I1488">
        <v>55295</v>
      </c>
      <c r="J1488" t="s">
        <v>401</v>
      </c>
      <c r="K1488">
        <v>285</v>
      </c>
      <c r="L1488" t="s">
        <v>59</v>
      </c>
      <c r="M1488">
        <v>49</v>
      </c>
      <c r="N1488" t="str">
        <f>HYPERLINK("Gene47-zp_tree_all.dnd", "Gene47-tree")</f>
        <v>Gene47-tree</v>
      </c>
      <c r="O1488">
        <v>16</v>
      </c>
      <c r="P1488">
        <v>1</v>
      </c>
      <c r="Q1488">
        <v>16</v>
      </c>
      <c r="R1488">
        <v>1</v>
      </c>
      <c r="S1488">
        <v>5.8819999999999997E-2</v>
      </c>
      <c r="T1488" t="s">
        <v>60</v>
      </c>
      <c r="U1488" t="s">
        <v>175</v>
      </c>
      <c r="V1488" t="s">
        <v>62</v>
      </c>
      <c r="W1488" t="s">
        <v>62</v>
      </c>
      <c r="X1488">
        <v>0</v>
      </c>
      <c r="Y1488">
        <v>0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12</v>
      </c>
      <c r="AM1488">
        <v>10</v>
      </c>
      <c r="AN1488">
        <v>26</v>
      </c>
      <c r="AO1488">
        <v>1</v>
      </c>
      <c r="AP1488">
        <v>37</v>
      </c>
      <c r="AQ1488">
        <v>2</v>
      </c>
      <c r="AR1488" t="s">
        <v>402</v>
      </c>
      <c r="AS1488" t="s">
        <v>403</v>
      </c>
      <c r="AT1488">
        <v>0.09</v>
      </c>
      <c r="AU1488" t="s">
        <v>65</v>
      </c>
      <c r="AV1488">
        <v>63</v>
      </c>
      <c r="AW1488">
        <v>3</v>
      </c>
      <c r="AX1488" t="s">
        <v>404</v>
      </c>
      <c r="AY1488">
        <v>7.8589999999999993E-2</v>
      </c>
      <c r="AZ1488">
        <v>-5.6600000000000001E-3</v>
      </c>
      <c r="BA1488">
        <v>1.15E-3</v>
      </c>
      <c r="BB1488">
        <v>-1.3999999999999999E-4</v>
      </c>
      <c r="BC1488">
        <v>1.468E-2</v>
      </c>
      <c r="BD1488">
        <v>1</v>
      </c>
      <c r="BE1488" t="s">
        <v>69</v>
      </c>
      <c r="BF1488">
        <v>-1.196</v>
      </c>
      <c r="BG1488">
        <v>-0.52</v>
      </c>
    </row>
    <row r="1489" spans="1:59">
      <c r="A1489">
        <v>0</v>
      </c>
      <c r="B1489">
        <v>0</v>
      </c>
      <c r="C1489">
        <v>0</v>
      </c>
      <c r="D1489" t="s">
        <v>25022</v>
      </c>
      <c r="E1489">
        <v>725</v>
      </c>
      <c r="F1489" t="s">
        <v>4488</v>
      </c>
      <c r="G1489" t="s">
        <v>57</v>
      </c>
      <c r="H1489">
        <v>754920</v>
      </c>
      <c r="I1489">
        <v>755777</v>
      </c>
      <c r="J1489" t="s">
        <v>1940</v>
      </c>
      <c r="K1489">
        <v>286</v>
      </c>
      <c r="L1489" t="s">
        <v>4489</v>
      </c>
      <c r="M1489">
        <v>33</v>
      </c>
      <c r="N1489" t="str">
        <f>HYPERLINK("Gene725-zp_tree_all.dnd", "Gene725-tree")</f>
        <v>Gene725-tree</v>
      </c>
      <c r="O1489">
        <v>5</v>
      </c>
      <c r="P1489">
        <v>6</v>
      </c>
      <c r="Q1489">
        <v>5</v>
      </c>
      <c r="R1489">
        <v>6</v>
      </c>
      <c r="S1489">
        <v>0.54544999999999999</v>
      </c>
      <c r="T1489" t="s">
        <v>199</v>
      </c>
      <c r="U1489" t="s">
        <v>90</v>
      </c>
      <c r="V1489" t="s">
        <v>62</v>
      </c>
      <c r="W1489" t="s">
        <v>62</v>
      </c>
      <c r="X1489">
        <v>0</v>
      </c>
      <c r="Y1489">
        <v>0</v>
      </c>
      <c r="Z1489">
        <v>24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17</v>
      </c>
      <c r="AK1489">
        <v>0</v>
      </c>
      <c r="AL1489">
        <v>10</v>
      </c>
      <c r="AM1489">
        <v>7</v>
      </c>
      <c r="AN1489">
        <v>31</v>
      </c>
      <c r="AO1489">
        <v>20</v>
      </c>
      <c r="AP1489">
        <v>17</v>
      </c>
      <c r="AQ1489">
        <v>10</v>
      </c>
      <c r="AR1489" t="s">
        <v>4490</v>
      </c>
      <c r="AS1489" t="s">
        <v>4491</v>
      </c>
      <c r="AT1489">
        <v>0.06</v>
      </c>
      <c r="AU1489" t="s">
        <v>65</v>
      </c>
      <c r="AV1489">
        <v>48</v>
      </c>
      <c r="AW1489">
        <v>30</v>
      </c>
      <c r="AX1489" t="s">
        <v>4492</v>
      </c>
      <c r="AY1489">
        <v>5.9360000000000003E-2</v>
      </c>
      <c r="AZ1489">
        <v>-5.7099999999999998E-3</v>
      </c>
      <c r="BA1489">
        <v>1.2120000000000001E-2</v>
      </c>
      <c r="BB1489">
        <v>-1.2199999999999999E-3</v>
      </c>
      <c r="BC1489">
        <v>0.20422999999999999</v>
      </c>
      <c r="BD1489">
        <v>1</v>
      </c>
      <c r="BE1489" t="s">
        <v>69</v>
      </c>
      <c r="BF1489">
        <v>-0.93799999999999994</v>
      </c>
      <c r="BG1489">
        <v>-1.5820000000000001</v>
      </c>
    </row>
    <row r="1490" spans="1:59">
      <c r="A1490">
        <v>0</v>
      </c>
      <c r="B1490">
        <v>2</v>
      </c>
      <c r="C1490">
        <v>0</v>
      </c>
      <c r="D1490" t="s">
        <v>25022</v>
      </c>
      <c r="E1490">
        <v>2336</v>
      </c>
      <c r="F1490" t="s">
        <v>13552</v>
      </c>
      <c r="G1490" t="s">
        <v>62</v>
      </c>
      <c r="H1490">
        <v>2352980</v>
      </c>
      <c r="I1490">
        <v>2353837</v>
      </c>
      <c r="J1490" t="s">
        <v>13553</v>
      </c>
      <c r="K1490">
        <v>286</v>
      </c>
      <c r="L1490" t="s">
        <v>108</v>
      </c>
      <c r="M1490">
        <v>44</v>
      </c>
      <c r="N1490" t="str">
        <f>HYPERLINK("Gene2336-zp_tree_all.dnd", "Gene2336-tree")</f>
        <v>Gene2336-tree</v>
      </c>
      <c r="O1490">
        <v>4</v>
      </c>
      <c r="P1490">
        <v>9</v>
      </c>
      <c r="Q1490">
        <v>4</v>
      </c>
      <c r="R1490">
        <v>9</v>
      </c>
      <c r="S1490">
        <v>0.69230999999999998</v>
      </c>
      <c r="T1490" t="s">
        <v>61</v>
      </c>
      <c r="U1490" t="s">
        <v>135</v>
      </c>
      <c r="V1490" t="s">
        <v>62</v>
      </c>
      <c r="W1490" t="s">
        <v>62</v>
      </c>
      <c r="X1490">
        <v>1</v>
      </c>
      <c r="Y1490">
        <v>2</v>
      </c>
      <c r="Z1490">
        <v>12</v>
      </c>
      <c r="AA1490">
        <v>0.14285999999999999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11</v>
      </c>
      <c r="AK1490">
        <v>0</v>
      </c>
      <c r="AL1490">
        <v>12</v>
      </c>
      <c r="AM1490">
        <v>9</v>
      </c>
      <c r="AN1490">
        <v>22</v>
      </c>
      <c r="AO1490">
        <v>11</v>
      </c>
      <c r="AP1490">
        <v>13</v>
      </c>
      <c r="AQ1490">
        <v>5</v>
      </c>
      <c r="AR1490" t="s">
        <v>13554</v>
      </c>
      <c r="AS1490" t="s">
        <v>13555</v>
      </c>
      <c r="AT1490">
        <v>0.29599999999999999</v>
      </c>
      <c r="AU1490" t="s">
        <v>65</v>
      </c>
      <c r="AV1490">
        <v>35</v>
      </c>
      <c r="AW1490">
        <v>16</v>
      </c>
      <c r="AX1490" t="s">
        <v>13556</v>
      </c>
      <c r="AY1490">
        <v>3.6659999999999998E-2</v>
      </c>
      <c r="AZ1490">
        <v>-2.1099999999999999E-3</v>
      </c>
      <c r="BA1490">
        <v>5.1999999999999998E-3</v>
      </c>
      <c r="BB1490">
        <v>-2.7999999999999998E-4</v>
      </c>
      <c r="BC1490">
        <v>0.14174</v>
      </c>
      <c r="BD1490">
        <v>1</v>
      </c>
      <c r="BE1490" t="s">
        <v>69</v>
      </c>
      <c r="BF1490">
        <v>-0.42</v>
      </c>
      <c r="BG1490">
        <v>-1.3979999999999999</v>
      </c>
    </row>
    <row r="1491" spans="1:59">
      <c r="A1491">
        <v>0</v>
      </c>
      <c r="B1491">
        <v>8</v>
      </c>
      <c r="C1491">
        <v>0</v>
      </c>
      <c r="D1491" t="s">
        <v>25022</v>
      </c>
      <c r="E1491">
        <v>3980</v>
      </c>
      <c r="F1491" t="s">
        <v>23394</v>
      </c>
      <c r="G1491" t="s">
        <v>62</v>
      </c>
      <c r="H1491">
        <v>3944563</v>
      </c>
      <c r="I1491">
        <v>3945420</v>
      </c>
      <c r="J1491" t="s">
        <v>23395</v>
      </c>
      <c r="K1491">
        <v>286</v>
      </c>
      <c r="L1491" t="s">
        <v>108</v>
      </c>
      <c r="M1491">
        <v>44</v>
      </c>
      <c r="N1491" t="str">
        <f>HYPERLINK("Gene3980-zp_tree_all.dnd", "Gene3980-tree")</f>
        <v>Gene3980-tree</v>
      </c>
      <c r="O1491">
        <v>10</v>
      </c>
      <c r="P1491">
        <v>6</v>
      </c>
      <c r="Q1491">
        <v>10</v>
      </c>
      <c r="R1491">
        <v>6</v>
      </c>
      <c r="S1491">
        <v>0.375</v>
      </c>
      <c r="T1491" t="s">
        <v>117</v>
      </c>
      <c r="U1491" t="s">
        <v>90</v>
      </c>
      <c r="V1491" t="s">
        <v>62</v>
      </c>
      <c r="W1491" t="s">
        <v>62</v>
      </c>
      <c r="X1491">
        <v>2</v>
      </c>
      <c r="Y1491">
        <v>8</v>
      </c>
      <c r="Z1491">
        <v>11</v>
      </c>
      <c r="AA1491">
        <v>0.42104999999999998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4</v>
      </c>
      <c r="AH1491">
        <v>0</v>
      </c>
      <c r="AI1491">
        <v>4</v>
      </c>
      <c r="AJ1491">
        <v>8</v>
      </c>
      <c r="AK1491">
        <v>0.33333000000000002</v>
      </c>
      <c r="AL1491">
        <v>12</v>
      </c>
      <c r="AM1491">
        <v>9</v>
      </c>
      <c r="AN1491">
        <v>23</v>
      </c>
      <c r="AO1491">
        <v>11</v>
      </c>
      <c r="AP1491">
        <v>13</v>
      </c>
      <c r="AQ1491">
        <v>8</v>
      </c>
      <c r="AR1491" t="s">
        <v>23396</v>
      </c>
      <c r="AS1491" t="s">
        <v>23397</v>
      </c>
      <c r="AT1491">
        <v>0.14799999999999999</v>
      </c>
      <c r="AU1491" t="s">
        <v>65</v>
      </c>
      <c r="AV1491">
        <v>36</v>
      </c>
      <c r="AW1491">
        <v>19</v>
      </c>
      <c r="AX1491" t="s">
        <v>23398</v>
      </c>
      <c r="AY1491">
        <v>3.533E-2</v>
      </c>
      <c r="AZ1491">
        <v>-2.4399999999999999E-3</v>
      </c>
      <c r="BA1491">
        <v>4.2199999999999998E-3</v>
      </c>
      <c r="BB1491">
        <v>-3.5E-4</v>
      </c>
      <c r="BC1491">
        <v>0.11946</v>
      </c>
      <c r="BD1491">
        <v>1</v>
      </c>
      <c r="BE1491" t="s">
        <v>69</v>
      </c>
      <c r="BF1491">
        <v>-0.442</v>
      </c>
      <c r="BG1491">
        <v>0.93799999999999994</v>
      </c>
    </row>
    <row r="1492" spans="1:59">
      <c r="A1492">
        <v>0</v>
      </c>
      <c r="B1492">
        <v>2</v>
      </c>
      <c r="C1492">
        <v>2</v>
      </c>
      <c r="D1492" t="s">
        <v>25022</v>
      </c>
      <c r="E1492">
        <v>892</v>
      </c>
      <c r="F1492" t="s">
        <v>5568</v>
      </c>
      <c r="G1492" t="s">
        <v>57</v>
      </c>
      <c r="H1492">
        <v>929725</v>
      </c>
      <c r="I1492">
        <v>930582</v>
      </c>
      <c r="J1492" t="s">
        <v>5569</v>
      </c>
      <c r="K1492">
        <v>286</v>
      </c>
      <c r="L1492" t="s">
        <v>108</v>
      </c>
      <c r="M1492">
        <v>44</v>
      </c>
      <c r="N1492" t="str">
        <f>HYPERLINK("Gene892-zp_tree_all.dnd", "Gene892-tree")</f>
        <v>Gene892-tree</v>
      </c>
      <c r="O1492">
        <v>4</v>
      </c>
      <c r="P1492">
        <v>9</v>
      </c>
      <c r="Q1492">
        <v>4</v>
      </c>
      <c r="R1492">
        <v>9</v>
      </c>
      <c r="S1492">
        <v>0.69230999999999998</v>
      </c>
      <c r="T1492" t="s">
        <v>61</v>
      </c>
      <c r="U1492" t="s">
        <v>135</v>
      </c>
      <c r="V1492" t="s">
        <v>62</v>
      </c>
      <c r="W1492" t="s">
        <v>62</v>
      </c>
      <c r="X1492">
        <v>2</v>
      </c>
      <c r="Y1492">
        <v>4</v>
      </c>
      <c r="Z1492">
        <v>12</v>
      </c>
      <c r="AA1492">
        <v>0.25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</v>
      </c>
      <c r="AH1492">
        <v>0</v>
      </c>
      <c r="AI1492">
        <v>2</v>
      </c>
      <c r="AJ1492">
        <v>12</v>
      </c>
      <c r="AK1492">
        <v>0.14285999999999999</v>
      </c>
      <c r="AL1492">
        <v>10</v>
      </c>
      <c r="AM1492">
        <v>8</v>
      </c>
      <c r="AN1492">
        <v>22</v>
      </c>
      <c r="AO1492">
        <v>14</v>
      </c>
      <c r="AP1492">
        <v>12</v>
      </c>
      <c r="AQ1492">
        <v>2</v>
      </c>
      <c r="AR1492" t="s">
        <v>5570</v>
      </c>
      <c r="AS1492" t="s">
        <v>5571</v>
      </c>
      <c r="AT1492">
        <v>1.7350000000000001</v>
      </c>
      <c r="AU1492" t="s">
        <v>65</v>
      </c>
      <c r="AV1492">
        <v>34</v>
      </c>
      <c r="AW1492">
        <v>16</v>
      </c>
      <c r="AX1492" t="s">
        <v>5572</v>
      </c>
      <c r="AY1492">
        <v>4.0439999999999997E-2</v>
      </c>
      <c r="AZ1492">
        <v>-2.1099999999999999E-3</v>
      </c>
      <c r="BA1492">
        <v>4.3600000000000002E-3</v>
      </c>
      <c r="BB1492">
        <v>-2.4000000000000001E-4</v>
      </c>
      <c r="BC1492">
        <v>0.10785</v>
      </c>
      <c r="BD1492">
        <v>1</v>
      </c>
      <c r="BE1492" t="s">
        <v>69</v>
      </c>
      <c r="BF1492">
        <v>-0.9</v>
      </c>
      <c r="BG1492">
        <v>-1.8360000000000001</v>
      </c>
    </row>
    <row r="1493" spans="1:59">
      <c r="A1493">
        <v>0</v>
      </c>
      <c r="B1493">
        <v>2</v>
      </c>
      <c r="C1493">
        <v>0</v>
      </c>
      <c r="D1493" t="s">
        <v>25022</v>
      </c>
      <c r="E1493">
        <v>427</v>
      </c>
      <c r="F1493" t="s">
        <v>2899</v>
      </c>
      <c r="G1493" t="s">
        <v>57</v>
      </c>
      <c r="H1493">
        <v>471709</v>
      </c>
      <c r="I1493">
        <v>472566</v>
      </c>
      <c r="J1493" t="s">
        <v>2900</v>
      </c>
      <c r="K1493">
        <v>286</v>
      </c>
      <c r="L1493" t="s">
        <v>108</v>
      </c>
      <c r="M1493">
        <v>44</v>
      </c>
      <c r="N1493" t="str">
        <f>HYPERLINK("Gene427-zp_tree_all.dnd", "Gene427-tree")</f>
        <v>Gene427-tree</v>
      </c>
      <c r="O1493">
        <v>9</v>
      </c>
      <c r="P1493">
        <v>6</v>
      </c>
      <c r="Q1493">
        <v>9</v>
      </c>
      <c r="R1493">
        <v>6</v>
      </c>
      <c r="S1493">
        <v>0.4</v>
      </c>
      <c r="T1493" t="s">
        <v>135</v>
      </c>
      <c r="U1493" t="s">
        <v>90</v>
      </c>
      <c r="V1493" t="s">
        <v>62</v>
      </c>
      <c r="W1493" t="s">
        <v>62</v>
      </c>
      <c r="X1493">
        <v>1</v>
      </c>
      <c r="Y1493">
        <v>2</v>
      </c>
      <c r="Z1493">
        <v>6</v>
      </c>
      <c r="AA1493">
        <v>0.25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5</v>
      </c>
      <c r="AK1493">
        <v>0</v>
      </c>
      <c r="AL1493">
        <v>13</v>
      </c>
      <c r="AM1493">
        <v>10</v>
      </c>
      <c r="AN1493">
        <v>24</v>
      </c>
      <c r="AO1493">
        <v>5</v>
      </c>
      <c r="AP1493">
        <v>21</v>
      </c>
      <c r="AQ1493">
        <v>3</v>
      </c>
      <c r="AR1493" t="s">
        <v>2901</v>
      </c>
      <c r="AS1493" t="s">
        <v>2902</v>
      </c>
      <c r="AT1493">
        <v>0.34799999999999998</v>
      </c>
      <c r="AU1493" t="s">
        <v>65</v>
      </c>
      <c r="AV1493">
        <v>45</v>
      </c>
      <c r="AW1493">
        <v>8</v>
      </c>
      <c r="AX1493" t="s">
        <v>2903</v>
      </c>
      <c r="AY1493">
        <v>3.9750000000000001E-2</v>
      </c>
      <c r="AZ1493">
        <v>-1.6299999999999999E-3</v>
      </c>
      <c r="BA1493">
        <v>2.66E-3</v>
      </c>
      <c r="BB1493">
        <v>-1.7000000000000001E-4</v>
      </c>
      <c r="BC1493">
        <v>6.6900000000000001E-2</v>
      </c>
      <c r="BD1493">
        <v>1</v>
      </c>
      <c r="BE1493" t="s">
        <v>69</v>
      </c>
      <c r="BF1493">
        <v>-0.50600000000000001</v>
      </c>
      <c r="BG1493">
        <v>-1.135</v>
      </c>
    </row>
    <row r="1494" spans="1:59">
      <c r="A1494">
        <v>0</v>
      </c>
      <c r="B1494">
        <v>3</v>
      </c>
      <c r="C1494">
        <v>0</v>
      </c>
      <c r="D1494" t="s">
        <v>25022</v>
      </c>
      <c r="E1494">
        <v>3132</v>
      </c>
      <c r="F1494" t="s">
        <v>18181</v>
      </c>
      <c r="G1494" t="s">
        <v>62</v>
      </c>
      <c r="H1494">
        <v>3087324</v>
      </c>
      <c r="I1494">
        <v>3088181</v>
      </c>
      <c r="J1494" t="s">
        <v>5916</v>
      </c>
      <c r="K1494">
        <v>286</v>
      </c>
      <c r="L1494" t="s">
        <v>698</v>
      </c>
      <c r="M1494">
        <v>47</v>
      </c>
      <c r="N1494" t="str">
        <f>HYPERLINK("Gene3132-zp_tree_all.dnd", "Gene3132-tree")</f>
        <v>Gene3132-tree</v>
      </c>
      <c r="O1494">
        <v>31</v>
      </c>
      <c r="P1494">
        <v>5</v>
      </c>
      <c r="Q1494">
        <v>14</v>
      </c>
      <c r="R1494">
        <v>5</v>
      </c>
      <c r="S1494">
        <v>0.26316000000000001</v>
      </c>
      <c r="T1494" t="s">
        <v>4627</v>
      </c>
      <c r="U1494" t="s">
        <v>199</v>
      </c>
      <c r="V1494" t="s">
        <v>62</v>
      </c>
      <c r="W1494" t="s">
        <v>62</v>
      </c>
      <c r="X1494">
        <v>1</v>
      </c>
      <c r="Y1494">
        <v>3</v>
      </c>
      <c r="Z1494">
        <v>4</v>
      </c>
      <c r="AA1494">
        <v>0.42857000000000001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</v>
      </c>
      <c r="AH1494">
        <v>0</v>
      </c>
      <c r="AI1494">
        <v>2</v>
      </c>
      <c r="AJ1494">
        <v>4</v>
      </c>
      <c r="AK1494">
        <v>0.33333000000000002</v>
      </c>
      <c r="AL1494">
        <v>15</v>
      </c>
      <c r="AM1494">
        <v>11</v>
      </c>
      <c r="AN1494">
        <v>47</v>
      </c>
      <c r="AO1494">
        <v>6</v>
      </c>
      <c r="AP1494">
        <v>41</v>
      </c>
      <c r="AQ1494">
        <v>1</v>
      </c>
      <c r="AR1494" t="s">
        <v>18182</v>
      </c>
      <c r="AS1494" t="s">
        <v>18183</v>
      </c>
      <c r="AT1494">
        <v>0.82699999999999996</v>
      </c>
      <c r="AU1494" t="s">
        <v>65</v>
      </c>
      <c r="AV1494">
        <v>88</v>
      </c>
      <c r="AW1494">
        <v>7</v>
      </c>
      <c r="AX1494" t="s">
        <v>18184</v>
      </c>
      <c r="AY1494">
        <v>6.9349999999999995E-2</v>
      </c>
      <c r="AZ1494">
        <v>-4.5300000000000002E-3</v>
      </c>
      <c r="BA1494">
        <v>1.47E-3</v>
      </c>
      <c r="BB1494">
        <v>-9.0000000000000006E-5</v>
      </c>
      <c r="BC1494">
        <v>2.12E-2</v>
      </c>
      <c r="BD1494">
        <v>1</v>
      </c>
      <c r="BE1494" t="s">
        <v>69</v>
      </c>
      <c r="BF1494">
        <v>-1.429</v>
      </c>
      <c r="BG1494">
        <v>-1.605</v>
      </c>
    </row>
    <row r="1495" spans="1:59">
      <c r="A1495">
        <v>0</v>
      </c>
      <c r="B1495">
        <v>0</v>
      </c>
      <c r="C1495">
        <v>0</v>
      </c>
      <c r="D1495" t="s">
        <v>25022</v>
      </c>
      <c r="E1495">
        <v>773</v>
      </c>
      <c r="F1495" t="s">
        <v>4804</v>
      </c>
      <c r="G1495" t="s">
        <v>57</v>
      </c>
      <c r="H1495">
        <v>808562</v>
      </c>
      <c r="I1495">
        <v>809419</v>
      </c>
      <c r="J1495" t="s">
        <v>4805</v>
      </c>
      <c r="K1495">
        <v>286</v>
      </c>
      <c r="L1495" t="s">
        <v>108</v>
      </c>
      <c r="M1495">
        <v>44</v>
      </c>
      <c r="N1495" t="str">
        <f>HYPERLINK("Gene773-zp_tree_all.dnd", "Gene773-tree")</f>
        <v>Gene773-tree</v>
      </c>
      <c r="O1495">
        <v>30</v>
      </c>
      <c r="P1495">
        <v>3</v>
      </c>
      <c r="Q1495">
        <v>10</v>
      </c>
      <c r="R1495">
        <v>3</v>
      </c>
      <c r="S1495">
        <v>0.23077</v>
      </c>
      <c r="T1495" t="s">
        <v>250</v>
      </c>
      <c r="U1495" t="s">
        <v>324</v>
      </c>
      <c r="V1495" t="s">
        <v>62</v>
      </c>
      <c r="W1495" t="s">
        <v>62</v>
      </c>
      <c r="X1495">
        <v>0</v>
      </c>
      <c r="Y1495">
        <v>0</v>
      </c>
      <c r="Z1495">
        <v>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6</v>
      </c>
      <c r="AK1495">
        <v>0</v>
      </c>
      <c r="AL1495">
        <v>12</v>
      </c>
      <c r="AM1495">
        <v>8</v>
      </c>
      <c r="AN1495">
        <v>57</v>
      </c>
      <c r="AO1495">
        <v>6</v>
      </c>
      <c r="AP1495">
        <v>22</v>
      </c>
      <c r="AQ1495">
        <v>0</v>
      </c>
      <c r="AR1495" t="s">
        <v>4806</v>
      </c>
      <c r="AS1495" t="s">
        <v>193</v>
      </c>
      <c r="AT1495">
        <v>0.61399999999999999</v>
      </c>
      <c r="AU1495" t="s">
        <v>65</v>
      </c>
      <c r="AV1495">
        <v>79</v>
      </c>
      <c r="AW1495">
        <v>6</v>
      </c>
      <c r="AX1495" t="s">
        <v>4807</v>
      </c>
      <c r="AY1495">
        <v>6.8940000000000001E-2</v>
      </c>
      <c r="AZ1495">
        <v>-3.3999999999999998E-3</v>
      </c>
      <c r="BA1495">
        <v>1.4E-3</v>
      </c>
      <c r="BB1495">
        <v>-2.5000000000000001E-4</v>
      </c>
      <c r="BC1495">
        <v>2.0379999999999999E-2</v>
      </c>
      <c r="BD1495">
        <v>1</v>
      </c>
      <c r="BE1495" t="s">
        <v>69</v>
      </c>
      <c r="BF1495">
        <v>-0.89500000000000002</v>
      </c>
      <c r="BG1495">
        <v>-1.758</v>
      </c>
    </row>
    <row r="1496" spans="1:59">
      <c r="A1496">
        <v>0</v>
      </c>
      <c r="B1496">
        <v>12</v>
      </c>
      <c r="C1496">
        <v>2</v>
      </c>
      <c r="D1496" t="s">
        <v>25022</v>
      </c>
      <c r="E1496">
        <v>2518</v>
      </c>
      <c r="F1496" t="s">
        <v>14696</v>
      </c>
      <c r="G1496" t="s">
        <v>62</v>
      </c>
      <c r="H1496">
        <v>2511976</v>
      </c>
      <c r="I1496">
        <v>2512836</v>
      </c>
      <c r="J1496" t="s">
        <v>14697</v>
      </c>
      <c r="K1496">
        <v>287</v>
      </c>
      <c r="L1496" t="s">
        <v>108</v>
      </c>
      <c r="M1496">
        <v>44</v>
      </c>
      <c r="N1496" t="str">
        <f>HYPERLINK("Gene2518-zp_tree_all.dnd", "Gene2518-tree")</f>
        <v>Gene2518-tree</v>
      </c>
      <c r="O1496">
        <v>26</v>
      </c>
      <c r="P1496">
        <v>8</v>
      </c>
      <c r="Q1496">
        <v>6</v>
      </c>
      <c r="R1496">
        <v>8</v>
      </c>
      <c r="S1496">
        <v>0.57142999999999999</v>
      </c>
      <c r="T1496" t="s">
        <v>1030</v>
      </c>
      <c r="U1496" t="s">
        <v>136</v>
      </c>
      <c r="V1496" t="s">
        <v>62</v>
      </c>
      <c r="W1496" t="s">
        <v>62</v>
      </c>
      <c r="X1496">
        <v>6</v>
      </c>
      <c r="Y1496">
        <v>14</v>
      </c>
      <c r="Z1496">
        <v>13</v>
      </c>
      <c r="AA1496">
        <v>0.51851999999999998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4</v>
      </c>
      <c r="AH1496">
        <v>4</v>
      </c>
      <c r="AI1496">
        <v>8</v>
      </c>
      <c r="AJ1496">
        <v>14</v>
      </c>
      <c r="AK1496">
        <v>0.36364000000000002</v>
      </c>
      <c r="AL1496">
        <v>13</v>
      </c>
      <c r="AM1496">
        <v>7</v>
      </c>
      <c r="AN1496">
        <v>29</v>
      </c>
      <c r="AO1496">
        <v>23</v>
      </c>
      <c r="AP1496">
        <v>15</v>
      </c>
      <c r="AQ1496">
        <v>6</v>
      </c>
      <c r="AR1496" t="s">
        <v>14698</v>
      </c>
      <c r="AS1496" t="s">
        <v>14699</v>
      </c>
      <c r="AT1496">
        <v>0.42599999999999999</v>
      </c>
      <c r="AU1496" t="s">
        <v>65</v>
      </c>
      <c r="AV1496">
        <v>44</v>
      </c>
      <c r="AW1496">
        <v>29</v>
      </c>
      <c r="AX1496" t="s">
        <v>14700</v>
      </c>
      <c r="AY1496">
        <v>4.036E-2</v>
      </c>
      <c r="AZ1496">
        <v>-2.14E-3</v>
      </c>
      <c r="BA1496">
        <v>7.1900000000000002E-3</v>
      </c>
      <c r="BB1496">
        <v>-6.0999999999999997E-4</v>
      </c>
      <c r="BC1496">
        <v>0.17815</v>
      </c>
      <c r="BD1496">
        <v>1</v>
      </c>
      <c r="BE1496" t="s">
        <v>69</v>
      </c>
      <c r="BF1496">
        <v>-1.1419999999999999</v>
      </c>
      <c r="BG1496">
        <v>-2.282</v>
      </c>
    </row>
    <row r="1497" spans="1:59">
      <c r="A1497">
        <v>0</v>
      </c>
      <c r="B1497">
        <v>4</v>
      </c>
      <c r="C1497">
        <v>0</v>
      </c>
      <c r="D1497" t="s">
        <v>25022</v>
      </c>
      <c r="E1497">
        <v>2000</v>
      </c>
      <c r="F1497" t="s">
        <v>12454</v>
      </c>
      <c r="G1497" t="s">
        <v>62</v>
      </c>
      <c r="H1497">
        <v>2092902</v>
      </c>
      <c r="I1497">
        <v>2093762</v>
      </c>
      <c r="J1497" t="s">
        <v>12455</v>
      </c>
      <c r="K1497">
        <v>287</v>
      </c>
      <c r="L1497" t="s">
        <v>289</v>
      </c>
      <c r="M1497">
        <v>46</v>
      </c>
      <c r="N1497" t="str">
        <f>HYPERLINK("Gene2000-zp_tree_all.dnd", "Gene2000-tree")</f>
        <v>Gene2000-tree</v>
      </c>
      <c r="O1497">
        <v>10</v>
      </c>
      <c r="P1497">
        <v>4</v>
      </c>
      <c r="Q1497">
        <v>10</v>
      </c>
      <c r="R1497">
        <v>4</v>
      </c>
      <c r="S1497">
        <v>0.28571000000000002</v>
      </c>
      <c r="T1497" t="s">
        <v>117</v>
      </c>
      <c r="U1497" t="s">
        <v>61</v>
      </c>
      <c r="V1497" t="s">
        <v>62</v>
      </c>
      <c r="W1497" t="s">
        <v>62</v>
      </c>
      <c r="X1497">
        <v>2</v>
      </c>
      <c r="Y1497">
        <v>4</v>
      </c>
      <c r="Z1497">
        <v>10</v>
      </c>
      <c r="AA1497">
        <v>0.28571000000000002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4</v>
      </c>
      <c r="AK1497">
        <v>0</v>
      </c>
      <c r="AL1497">
        <v>11</v>
      </c>
      <c r="AM1497">
        <v>7</v>
      </c>
      <c r="AN1497">
        <v>14</v>
      </c>
      <c r="AO1497">
        <v>3</v>
      </c>
      <c r="AP1497">
        <v>26</v>
      </c>
      <c r="AQ1497">
        <v>12</v>
      </c>
      <c r="AR1497" t="s">
        <v>12456</v>
      </c>
      <c r="AS1497" t="s">
        <v>12457</v>
      </c>
      <c r="AT1497">
        <v>0.502</v>
      </c>
      <c r="AU1497" t="s">
        <v>65</v>
      </c>
      <c r="AV1497">
        <v>40</v>
      </c>
      <c r="AW1497">
        <v>15</v>
      </c>
      <c r="AX1497" t="s">
        <v>12458</v>
      </c>
      <c r="AY1497">
        <v>4.514E-2</v>
      </c>
      <c r="AZ1497">
        <v>-4.2700000000000004E-3</v>
      </c>
      <c r="BA1497">
        <v>6.1599999999999997E-3</v>
      </c>
      <c r="BB1497">
        <v>-4.8000000000000001E-4</v>
      </c>
      <c r="BC1497">
        <v>0.13642000000000001</v>
      </c>
      <c r="BD1497">
        <v>1</v>
      </c>
      <c r="BE1497" t="s">
        <v>69</v>
      </c>
      <c r="BF1497">
        <v>-1.2430000000000001</v>
      </c>
      <c r="BG1497">
        <v>-0.46700000000000003</v>
      </c>
    </row>
    <row r="1498" spans="1:59">
      <c r="A1498">
        <v>0</v>
      </c>
      <c r="B1498">
        <v>5</v>
      </c>
      <c r="C1498">
        <v>0</v>
      </c>
      <c r="D1498" t="s">
        <v>25022</v>
      </c>
      <c r="E1498">
        <v>834</v>
      </c>
      <c r="F1498" t="s">
        <v>5198</v>
      </c>
      <c r="G1498" t="s">
        <v>57</v>
      </c>
      <c r="H1498">
        <v>872425</v>
      </c>
      <c r="I1498">
        <v>873285</v>
      </c>
      <c r="J1498" t="s">
        <v>5199</v>
      </c>
      <c r="K1498">
        <v>287</v>
      </c>
      <c r="L1498" t="s">
        <v>108</v>
      </c>
      <c r="M1498">
        <v>44</v>
      </c>
      <c r="N1498" t="str">
        <f>HYPERLINK("Gene834-zp_tree_all.dnd", "Gene834-tree")</f>
        <v>Gene834-tree</v>
      </c>
      <c r="O1498">
        <v>7</v>
      </c>
      <c r="P1498">
        <v>7</v>
      </c>
      <c r="Q1498">
        <v>7</v>
      </c>
      <c r="R1498">
        <v>7</v>
      </c>
      <c r="S1498">
        <v>0.5</v>
      </c>
      <c r="T1498" t="s">
        <v>152</v>
      </c>
      <c r="U1498" t="s">
        <v>152</v>
      </c>
      <c r="V1498" t="s">
        <v>62</v>
      </c>
      <c r="W1498" t="s">
        <v>62</v>
      </c>
      <c r="X1498">
        <v>2</v>
      </c>
      <c r="Y1498">
        <v>5</v>
      </c>
      <c r="Z1498">
        <v>6</v>
      </c>
      <c r="AA1498">
        <v>0.45455000000000001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</v>
      </c>
      <c r="AH1498">
        <v>0</v>
      </c>
      <c r="AI1498">
        <v>2</v>
      </c>
      <c r="AJ1498">
        <v>7</v>
      </c>
      <c r="AK1498">
        <v>0.22222</v>
      </c>
      <c r="AL1498">
        <v>14</v>
      </c>
      <c r="AM1498">
        <v>10</v>
      </c>
      <c r="AN1498">
        <v>35</v>
      </c>
      <c r="AO1498">
        <v>10</v>
      </c>
      <c r="AP1498">
        <v>20</v>
      </c>
      <c r="AQ1498">
        <v>2</v>
      </c>
      <c r="AR1498" t="s">
        <v>5200</v>
      </c>
      <c r="AS1498" t="s">
        <v>5201</v>
      </c>
      <c r="AT1498">
        <v>0.88600000000000001</v>
      </c>
      <c r="AU1498" t="s">
        <v>65</v>
      </c>
      <c r="AV1498">
        <v>55</v>
      </c>
      <c r="AW1498">
        <v>12</v>
      </c>
      <c r="AX1498" t="s">
        <v>5202</v>
      </c>
      <c r="AY1498">
        <v>5.2920000000000002E-2</v>
      </c>
      <c r="AZ1498">
        <v>-1.7099999999999999E-3</v>
      </c>
      <c r="BA1498">
        <v>2.96E-3</v>
      </c>
      <c r="BB1498">
        <v>-2.1000000000000001E-4</v>
      </c>
      <c r="BC1498">
        <v>5.5919999999999997E-2</v>
      </c>
      <c r="BD1498">
        <v>1</v>
      </c>
      <c r="BE1498" t="s">
        <v>69</v>
      </c>
      <c r="BF1498">
        <v>-0.32100000000000001</v>
      </c>
      <c r="BG1498">
        <v>-0.70699999999999996</v>
      </c>
    </row>
    <row r="1499" spans="1:59">
      <c r="A1499">
        <v>0</v>
      </c>
      <c r="B1499">
        <v>5</v>
      </c>
      <c r="C1499">
        <v>0</v>
      </c>
      <c r="D1499" t="s">
        <v>25022</v>
      </c>
      <c r="E1499">
        <v>1118</v>
      </c>
      <c r="F1499" t="s">
        <v>7025</v>
      </c>
      <c r="G1499" t="s">
        <v>57</v>
      </c>
      <c r="H1499">
        <v>1162267</v>
      </c>
      <c r="I1499">
        <v>1163127</v>
      </c>
      <c r="J1499" t="s">
        <v>1572</v>
      </c>
      <c r="K1499">
        <v>287</v>
      </c>
      <c r="L1499" t="s">
        <v>2220</v>
      </c>
      <c r="M1499">
        <v>46</v>
      </c>
      <c r="N1499" t="str">
        <f>HYPERLINK("Gene1118-zp_tree_all.dnd", "Gene1118-tree")</f>
        <v>Gene1118-tree</v>
      </c>
      <c r="O1499">
        <v>8</v>
      </c>
      <c r="P1499">
        <v>10</v>
      </c>
      <c r="Q1499">
        <v>8</v>
      </c>
      <c r="R1499">
        <v>10</v>
      </c>
      <c r="S1499">
        <v>0.55556000000000005</v>
      </c>
      <c r="T1499" t="s">
        <v>136</v>
      </c>
      <c r="U1499" t="s">
        <v>117</v>
      </c>
      <c r="V1499" t="s">
        <v>62</v>
      </c>
      <c r="W1499" t="s">
        <v>62</v>
      </c>
      <c r="X1499">
        <v>2</v>
      </c>
      <c r="Y1499">
        <v>5</v>
      </c>
      <c r="Z1499">
        <v>12</v>
      </c>
      <c r="AA1499">
        <v>0.29411999999999999</v>
      </c>
      <c r="AB1499">
        <v>0</v>
      </c>
      <c r="AC1499">
        <v>0</v>
      </c>
      <c r="AD1499">
        <v>0</v>
      </c>
      <c r="AE1499">
        <v>3</v>
      </c>
      <c r="AF1499">
        <v>0</v>
      </c>
      <c r="AG1499">
        <v>4</v>
      </c>
      <c r="AH1499">
        <v>0</v>
      </c>
      <c r="AI1499">
        <v>4</v>
      </c>
      <c r="AJ1499">
        <v>9</v>
      </c>
      <c r="AK1499">
        <v>0.30769000000000002</v>
      </c>
      <c r="AL1499">
        <v>13</v>
      </c>
      <c r="AM1499">
        <v>8</v>
      </c>
      <c r="AN1499">
        <v>39</v>
      </c>
      <c r="AO1499">
        <v>13</v>
      </c>
      <c r="AP1499">
        <v>31</v>
      </c>
      <c r="AQ1499">
        <v>4</v>
      </c>
      <c r="AR1499" t="s">
        <v>7026</v>
      </c>
      <c r="AS1499" t="s">
        <v>7027</v>
      </c>
      <c r="AT1499">
        <v>0.68799999999999994</v>
      </c>
      <c r="AU1499" t="s">
        <v>65</v>
      </c>
      <c r="AV1499">
        <v>70</v>
      </c>
      <c r="AW1499">
        <v>17</v>
      </c>
      <c r="AX1499" t="s">
        <v>7028</v>
      </c>
      <c r="AY1499">
        <v>6.0900000000000003E-2</v>
      </c>
      <c r="AZ1499">
        <v>-6.1999999999999998E-3</v>
      </c>
      <c r="BA1499">
        <v>3.2299999999999998E-3</v>
      </c>
      <c r="BB1499">
        <v>-1.7000000000000001E-4</v>
      </c>
      <c r="BC1499">
        <v>5.3069999999999999E-2</v>
      </c>
      <c r="BD1499">
        <v>1</v>
      </c>
      <c r="BE1499" t="s">
        <v>69</v>
      </c>
      <c r="BF1499">
        <v>-2.008</v>
      </c>
      <c r="BG1499">
        <v>-2.5150000000000001</v>
      </c>
    </row>
    <row r="1500" spans="1:59">
      <c r="A1500">
        <v>0</v>
      </c>
      <c r="B1500">
        <v>0</v>
      </c>
      <c r="C1500">
        <v>0</v>
      </c>
      <c r="D1500" t="s">
        <v>25022</v>
      </c>
      <c r="E1500">
        <v>3817</v>
      </c>
      <c r="F1500" t="s">
        <v>22370</v>
      </c>
      <c r="G1500" t="s">
        <v>62</v>
      </c>
      <c r="H1500">
        <v>3782941</v>
      </c>
      <c r="I1500">
        <v>3783801</v>
      </c>
      <c r="J1500" t="s">
        <v>22371</v>
      </c>
      <c r="K1500">
        <v>287</v>
      </c>
      <c r="L1500" t="s">
        <v>59</v>
      </c>
      <c r="M1500">
        <v>49</v>
      </c>
      <c r="N1500" t="str">
        <f>HYPERLINK("Gene3817-zp_tree_all.dnd", "Gene3817-tree")</f>
        <v>Gene3817-tree</v>
      </c>
      <c r="O1500">
        <v>13</v>
      </c>
      <c r="P1500">
        <v>3</v>
      </c>
      <c r="Q1500">
        <v>13</v>
      </c>
      <c r="R1500">
        <v>3</v>
      </c>
      <c r="S1500">
        <v>0.1875</v>
      </c>
      <c r="T1500" t="s">
        <v>507</v>
      </c>
      <c r="U1500" t="s">
        <v>324</v>
      </c>
      <c r="V1500" t="s">
        <v>62</v>
      </c>
      <c r="W1500" t="s">
        <v>62</v>
      </c>
      <c r="X1500">
        <v>0</v>
      </c>
      <c r="Y1500">
        <v>0</v>
      </c>
      <c r="Z1500">
        <v>5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3</v>
      </c>
      <c r="AK1500">
        <v>0</v>
      </c>
      <c r="AL1500">
        <v>11</v>
      </c>
      <c r="AM1500">
        <v>10</v>
      </c>
      <c r="AN1500">
        <v>19</v>
      </c>
      <c r="AO1500">
        <v>3</v>
      </c>
      <c r="AP1500">
        <v>44</v>
      </c>
      <c r="AQ1500">
        <v>2</v>
      </c>
      <c r="AR1500" t="s">
        <v>22372</v>
      </c>
      <c r="AS1500" t="s">
        <v>22373</v>
      </c>
      <c r="AT1500">
        <v>0.55300000000000005</v>
      </c>
      <c r="AU1500" t="s">
        <v>65</v>
      </c>
      <c r="AV1500">
        <v>63</v>
      </c>
      <c r="AW1500">
        <v>5</v>
      </c>
      <c r="AX1500" t="s">
        <v>22374</v>
      </c>
      <c r="AY1500">
        <v>8.233E-2</v>
      </c>
      <c r="AZ1500">
        <v>-5.0800000000000003E-3</v>
      </c>
      <c r="BA1500">
        <v>1.9599999999999999E-3</v>
      </c>
      <c r="BB1500">
        <v>-1.6000000000000001E-4</v>
      </c>
      <c r="BC1500">
        <v>2.3779999999999999E-2</v>
      </c>
      <c r="BD1500">
        <v>1</v>
      </c>
      <c r="BE1500" t="s">
        <v>69</v>
      </c>
      <c r="BF1500">
        <v>-1.1020000000000001</v>
      </c>
      <c r="BG1500">
        <v>-0.26</v>
      </c>
    </row>
    <row r="1501" spans="1:59">
      <c r="A1501">
        <v>0</v>
      </c>
      <c r="B1501">
        <v>0</v>
      </c>
      <c r="C1501">
        <v>0</v>
      </c>
      <c r="D1501" t="s">
        <v>25022</v>
      </c>
      <c r="E1501">
        <v>398</v>
      </c>
      <c r="F1501" t="s">
        <v>2696</v>
      </c>
      <c r="G1501" t="s">
        <v>57</v>
      </c>
      <c r="H1501">
        <v>444461</v>
      </c>
      <c r="I1501">
        <v>445321</v>
      </c>
      <c r="J1501" t="s">
        <v>2697</v>
      </c>
      <c r="K1501">
        <v>287</v>
      </c>
      <c r="L1501" t="s">
        <v>108</v>
      </c>
      <c r="M1501">
        <v>44</v>
      </c>
      <c r="N1501" t="str">
        <f>HYPERLINK("Gene398-zp_tree_all.dnd", "Gene398-tree")</f>
        <v>Gene398-tree</v>
      </c>
      <c r="O1501">
        <v>14</v>
      </c>
      <c r="P1501">
        <v>0</v>
      </c>
      <c r="Q1501">
        <v>14</v>
      </c>
      <c r="R1501">
        <v>0</v>
      </c>
      <c r="S1501">
        <v>0</v>
      </c>
      <c r="T1501" t="s">
        <v>543</v>
      </c>
      <c r="U1501" t="s">
        <v>62</v>
      </c>
      <c r="V1501" t="s">
        <v>62</v>
      </c>
      <c r="W1501" t="s">
        <v>62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14</v>
      </c>
      <c r="AM1501">
        <v>6</v>
      </c>
      <c r="AN1501">
        <v>40</v>
      </c>
      <c r="AO1501">
        <v>0</v>
      </c>
      <c r="AP1501">
        <v>8</v>
      </c>
      <c r="AQ1501">
        <v>0</v>
      </c>
      <c r="AR1501" t="s">
        <v>193</v>
      </c>
      <c r="AS1501" t="s">
        <v>193</v>
      </c>
      <c r="AT1501">
        <v>0</v>
      </c>
      <c r="AU1501" t="s">
        <v>65</v>
      </c>
      <c r="AV1501">
        <v>48</v>
      </c>
      <c r="AW1501">
        <v>0</v>
      </c>
      <c r="AX1501" t="s">
        <v>2698</v>
      </c>
      <c r="AY1501">
        <v>4.0430000000000001E-2</v>
      </c>
      <c r="AZ1501">
        <v>-1.24E-3</v>
      </c>
      <c r="BA1501">
        <v>5.0000000000000002E-5</v>
      </c>
      <c r="BB1501">
        <v>-3.0000000000000001E-5</v>
      </c>
      <c r="BC1501">
        <v>1.2800000000000001E-3</v>
      </c>
      <c r="BD1501">
        <v>1</v>
      </c>
      <c r="BE1501" t="s">
        <v>69</v>
      </c>
      <c r="BF1501">
        <v>-1.387</v>
      </c>
      <c r="BG1501">
        <v>-1.321</v>
      </c>
    </row>
    <row r="1502" spans="1:59">
      <c r="A1502">
        <v>0</v>
      </c>
      <c r="B1502">
        <v>5</v>
      </c>
      <c r="C1502">
        <v>1</v>
      </c>
      <c r="D1502" t="s">
        <v>25022</v>
      </c>
      <c r="E1502">
        <v>3835</v>
      </c>
      <c r="F1502" t="s">
        <v>22483</v>
      </c>
      <c r="G1502" t="s">
        <v>62</v>
      </c>
      <c r="H1502">
        <v>3796220</v>
      </c>
      <c r="I1502">
        <v>3797083</v>
      </c>
      <c r="J1502" t="s">
        <v>22484</v>
      </c>
      <c r="K1502">
        <v>288</v>
      </c>
      <c r="L1502" t="s">
        <v>22465</v>
      </c>
      <c r="M1502">
        <v>43</v>
      </c>
      <c r="N1502" t="str">
        <f>HYPERLINK("Gene3835-zp_tree_all.dnd", "Gene3835-tree")</f>
        <v>Gene3835-tree</v>
      </c>
      <c r="O1502">
        <v>8</v>
      </c>
      <c r="P1502">
        <v>7</v>
      </c>
      <c r="Q1502">
        <v>8</v>
      </c>
      <c r="R1502">
        <v>7</v>
      </c>
      <c r="S1502">
        <v>0.46666999999999997</v>
      </c>
      <c r="T1502" t="s">
        <v>136</v>
      </c>
      <c r="U1502" t="s">
        <v>152</v>
      </c>
      <c r="V1502" t="s">
        <v>62</v>
      </c>
      <c r="W1502" t="s">
        <v>62</v>
      </c>
      <c r="X1502">
        <v>2</v>
      </c>
      <c r="Y1502">
        <v>6</v>
      </c>
      <c r="Z1502">
        <v>12</v>
      </c>
      <c r="AA1502">
        <v>0.33333000000000002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</v>
      </c>
      <c r="AH1502">
        <v>1</v>
      </c>
      <c r="AI1502">
        <v>3</v>
      </c>
      <c r="AJ1502">
        <v>12</v>
      </c>
      <c r="AK1502">
        <v>0.2</v>
      </c>
      <c r="AL1502">
        <v>12</v>
      </c>
      <c r="AM1502">
        <v>10</v>
      </c>
      <c r="AN1502">
        <v>27</v>
      </c>
      <c r="AO1502">
        <v>14</v>
      </c>
      <c r="AP1502">
        <v>18</v>
      </c>
      <c r="AQ1502">
        <v>4</v>
      </c>
      <c r="AR1502" t="s">
        <v>22485</v>
      </c>
      <c r="AS1502" t="s">
        <v>22486</v>
      </c>
      <c r="AT1502">
        <v>0.628</v>
      </c>
      <c r="AU1502" t="s">
        <v>65</v>
      </c>
      <c r="AV1502">
        <v>45</v>
      </c>
      <c r="AW1502">
        <v>18</v>
      </c>
      <c r="AX1502" t="s">
        <v>22487</v>
      </c>
      <c r="AY1502">
        <v>3.884E-2</v>
      </c>
      <c r="AZ1502">
        <v>-1.4599999999999999E-3</v>
      </c>
      <c r="BA1502">
        <v>3.8500000000000001E-3</v>
      </c>
      <c r="BB1502">
        <v>-3.8999999999999999E-4</v>
      </c>
      <c r="BC1502">
        <v>9.9099999999999994E-2</v>
      </c>
      <c r="BD1502">
        <v>1</v>
      </c>
      <c r="BE1502" t="s">
        <v>69</v>
      </c>
      <c r="BF1502">
        <v>-0.92500000000000004</v>
      </c>
      <c r="BG1502">
        <v>-0.105</v>
      </c>
    </row>
    <row r="1503" spans="1:59">
      <c r="A1503">
        <v>0</v>
      </c>
      <c r="B1503">
        <v>0</v>
      </c>
      <c r="C1503">
        <v>0</v>
      </c>
      <c r="D1503" t="s">
        <v>25022</v>
      </c>
      <c r="E1503">
        <v>1752</v>
      </c>
      <c r="F1503" t="s">
        <v>10973</v>
      </c>
      <c r="G1503" t="s">
        <v>57</v>
      </c>
      <c r="H1503">
        <v>1761707</v>
      </c>
      <c r="I1503">
        <v>1762570</v>
      </c>
      <c r="J1503" t="s">
        <v>10974</v>
      </c>
      <c r="K1503">
        <v>288</v>
      </c>
      <c r="L1503" t="s">
        <v>289</v>
      </c>
      <c r="M1503">
        <v>46</v>
      </c>
      <c r="N1503" t="str">
        <f>HYPERLINK("Gene1752-zp_tree_all.dnd", "Gene1752-tree")</f>
        <v>Gene1752-tree</v>
      </c>
      <c r="O1503">
        <v>9</v>
      </c>
      <c r="P1503">
        <v>4</v>
      </c>
      <c r="Q1503">
        <v>9</v>
      </c>
      <c r="R1503">
        <v>4</v>
      </c>
      <c r="S1503">
        <v>0.30769000000000002</v>
      </c>
      <c r="T1503" t="s">
        <v>135</v>
      </c>
      <c r="U1503" t="s">
        <v>61</v>
      </c>
      <c r="V1503" t="s">
        <v>62</v>
      </c>
      <c r="W1503" t="s">
        <v>62</v>
      </c>
      <c r="X1503">
        <v>0</v>
      </c>
      <c r="Y1503">
        <v>0</v>
      </c>
      <c r="Z1503">
        <v>15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6</v>
      </c>
      <c r="AK1503">
        <v>0</v>
      </c>
      <c r="AL1503">
        <v>10</v>
      </c>
      <c r="AM1503">
        <v>8</v>
      </c>
      <c r="AN1503">
        <v>19</v>
      </c>
      <c r="AO1503">
        <v>6</v>
      </c>
      <c r="AP1503">
        <v>35</v>
      </c>
      <c r="AQ1503">
        <v>10</v>
      </c>
      <c r="AR1503" t="s">
        <v>10975</v>
      </c>
      <c r="AS1503" t="s">
        <v>10976</v>
      </c>
      <c r="AT1503">
        <v>5.0999999999999997E-2</v>
      </c>
      <c r="AU1503" t="s">
        <v>65</v>
      </c>
      <c r="AV1503">
        <v>54</v>
      </c>
      <c r="AW1503">
        <v>16</v>
      </c>
      <c r="AX1503" t="s">
        <v>10977</v>
      </c>
      <c r="AY1503">
        <v>6.9279999999999994E-2</v>
      </c>
      <c r="AZ1503">
        <v>-7.3699999999999998E-3</v>
      </c>
      <c r="BA1503">
        <v>6.0000000000000001E-3</v>
      </c>
      <c r="BB1503">
        <v>-6.8999999999999997E-4</v>
      </c>
      <c r="BC1503">
        <v>8.6569999999999994E-2</v>
      </c>
      <c r="BD1503">
        <v>1</v>
      </c>
      <c r="BE1503" t="s">
        <v>69</v>
      </c>
      <c r="BF1503">
        <v>-1.431</v>
      </c>
      <c r="BG1503">
        <v>-0.114</v>
      </c>
    </row>
    <row r="1504" spans="1:59">
      <c r="A1504">
        <v>0</v>
      </c>
      <c r="B1504">
        <v>3</v>
      </c>
      <c r="C1504">
        <v>0</v>
      </c>
      <c r="D1504" t="s">
        <v>25022</v>
      </c>
      <c r="E1504">
        <v>1451</v>
      </c>
      <c r="F1504" t="s">
        <v>9092</v>
      </c>
      <c r="G1504" t="s">
        <v>57</v>
      </c>
      <c r="H1504">
        <v>1465733</v>
      </c>
      <c r="I1504">
        <v>1466596</v>
      </c>
      <c r="J1504" t="s">
        <v>9093</v>
      </c>
      <c r="K1504">
        <v>288</v>
      </c>
      <c r="L1504" t="s">
        <v>108</v>
      </c>
      <c r="M1504">
        <v>44</v>
      </c>
      <c r="N1504" t="str">
        <f>HYPERLINK("Gene1451-zp_tree_all.dnd", "Gene1451-tree")</f>
        <v>Gene1451-tree</v>
      </c>
      <c r="O1504">
        <v>7</v>
      </c>
      <c r="P1504">
        <v>7</v>
      </c>
      <c r="Q1504">
        <v>7</v>
      </c>
      <c r="R1504">
        <v>7</v>
      </c>
      <c r="S1504">
        <v>0.5</v>
      </c>
      <c r="T1504" t="s">
        <v>152</v>
      </c>
      <c r="U1504" t="s">
        <v>152</v>
      </c>
      <c r="V1504" t="s">
        <v>62</v>
      </c>
      <c r="W1504" t="s">
        <v>62</v>
      </c>
      <c r="X1504">
        <v>1</v>
      </c>
      <c r="Y1504">
        <v>3</v>
      </c>
      <c r="Z1504">
        <v>9</v>
      </c>
      <c r="AA1504">
        <v>0.25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9</v>
      </c>
      <c r="AK1504">
        <v>0</v>
      </c>
      <c r="AL1504">
        <v>12</v>
      </c>
      <c r="AM1504">
        <v>8</v>
      </c>
      <c r="AN1504">
        <v>17</v>
      </c>
      <c r="AO1504">
        <v>9</v>
      </c>
      <c r="AP1504">
        <v>18</v>
      </c>
      <c r="AQ1504">
        <v>3</v>
      </c>
      <c r="AR1504" t="s">
        <v>9094</v>
      </c>
      <c r="AS1504" t="s">
        <v>9095</v>
      </c>
      <c r="AT1504">
        <v>1.4810000000000001</v>
      </c>
      <c r="AU1504" t="s">
        <v>65</v>
      </c>
      <c r="AV1504">
        <v>35</v>
      </c>
      <c r="AW1504">
        <v>12</v>
      </c>
      <c r="AX1504" t="s">
        <v>9096</v>
      </c>
      <c r="AY1504">
        <v>4.0259999999999997E-2</v>
      </c>
      <c r="AZ1504">
        <v>-1.65E-3</v>
      </c>
      <c r="BA1504">
        <v>2.9099999999999998E-3</v>
      </c>
      <c r="BB1504">
        <v>-2.1000000000000001E-4</v>
      </c>
      <c r="BC1504">
        <v>7.2410000000000002E-2</v>
      </c>
      <c r="BD1504">
        <v>1</v>
      </c>
      <c r="BE1504" t="s">
        <v>69</v>
      </c>
      <c r="BF1504">
        <v>-0.25800000000000001</v>
      </c>
      <c r="BG1504">
        <v>-0.77500000000000002</v>
      </c>
    </row>
    <row r="1505" spans="1:59">
      <c r="A1505">
        <v>0</v>
      </c>
      <c r="B1505">
        <v>2</v>
      </c>
      <c r="C1505">
        <v>0</v>
      </c>
      <c r="D1505" t="s">
        <v>25022</v>
      </c>
      <c r="E1505">
        <v>2913</v>
      </c>
      <c r="F1505" t="s">
        <v>16771</v>
      </c>
      <c r="G1505" t="s">
        <v>62</v>
      </c>
      <c r="H1505">
        <v>2855976</v>
      </c>
      <c r="I1505">
        <v>2856839</v>
      </c>
      <c r="J1505" t="s">
        <v>16772</v>
      </c>
      <c r="K1505">
        <v>288</v>
      </c>
      <c r="L1505" t="s">
        <v>108</v>
      </c>
      <c r="M1505">
        <v>44</v>
      </c>
      <c r="N1505" t="str">
        <f>HYPERLINK("Gene2913-zp_tree_all.dnd", "Gene2913-tree")</f>
        <v>Gene2913-tree</v>
      </c>
      <c r="O1505">
        <v>9</v>
      </c>
      <c r="P1505">
        <v>2</v>
      </c>
      <c r="Q1505">
        <v>9</v>
      </c>
      <c r="R1505">
        <v>2</v>
      </c>
      <c r="S1505">
        <v>0.18182000000000001</v>
      </c>
      <c r="T1505" t="s">
        <v>135</v>
      </c>
      <c r="U1505" t="s">
        <v>81</v>
      </c>
      <c r="V1505" t="s">
        <v>62</v>
      </c>
      <c r="W1505" t="s">
        <v>62</v>
      </c>
      <c r="X1505">
        <v>1</v>
      </c>
      <c r="Y1505">
        <v>2</v>
      </c>
      <c r="Z1505">
        <v>3</v>
      </c>
      <c r="AA1505">
        <v>0.4</v>
      </c>
      <c r="AB1505">
        <v>0</v>
      </c>
      <c r="AC1505">
        <v>0</v>
      </c>
      <c r="AD1505">
        <v>0</v>
      </c>
      <c r="AE1505">
        <v>3</v>
      </c>
      <c r="AF1505">
        <v>0</v>
      </c>
      <c r="AG1505">
        <v>0</v>
      </c>
      <c r="AH1505">
        <v>0</v>
      </c>
      <c r="AI1505">
        <v>0</v>
      </c>
      <c r="AJ1505">
        <v>2</v>
      </c>
      <c r="AK1505">
        <v>0</v>
      </c>
      <c r="AL1505">
        <v>9</v>
      </c>
      <c r="AM1505">
        <v>6</v>
      </c>
      <c r="AN1505">
        <v>27</v>
      </c>
      <c r="AO1505">
        <v>2</v>
      </c>
      <c r="AP1505">
        <v>12</v>
      </c>
      <c r="AQ1505">
        <v>3</v>
      </c>
      <c r="AR1505" t="s">
        <v>16773</v>
      </c>
      <c r="AS1505" t="s">
        <v>16774</v>
      </c>
      <c r="AT1505">
        <v>0.55500000000000005</v>
      </c>
      <c r="AU1505" t="s">
        <v>65</v>
      </c>
      <c r="AV1505">
        <v>39</v>
      </c>
      <c r="AW1505">
        <v>5</v>
      </c>
      <c r="AX1505" t="s">
        <v>16775</v>
      </c>
      <c r="AY1505">
        <v>4.138E-2</v>
      </c>
      <c r="AZ1505">
        <v>-2.8300000000000001E-3</v>
      </c>
      <c r="BA1505">
        <v>2.0799999999999998E-3</v>
      </c>
      <c r="BB1505">
        <v>-2.0000000000000001E-4</v>
      </c>
      <c r="BC1505">
        <v>5.0360000000000002E-2</v>
      </c>
      <c r="BD1505">
        <v>1</v>
      </c>
      <c r="BE1505" t="s">
        <v>69</v>
      </c>
      <c r="BF1505">
        <v>-0.86099999999999999</v>
      </c>
      <c r="BG1505">
        <v>-2.1949999999999998</v>
      </c>
    </row>
    <row r="1506" spans="1:59">
      <c r="A1506">
        <v>0</v>
      </c>
      <c r="B1506">
        <v>4</v>
      </c>
      <c r="C1506">
        <v>0</v>
      </c>
      <c r="D1506" t="s">
        <v>25022</v>
      </c>
      <c r="E1506">
        <v>1443</v>
      </c>
      <c r="F1506" t="s">
        <v>9036</v>
      </c>
      <c r="G1506" t="s">
        <v>57</v>
      </c>
      <c r="H1506">
        <v>1456092</v>
      </c>
      <c r="I1506">
        <v>1456955</v>
      </c>
      <c r="J1506" t="s">
        <v>9037</v>
      </c>
      <c r="K1506">
        <v>288</v>
      </c>
      <c r="L1506" t="s">
        <v>698</v>
      </c>
      <c r="M1506">
        <v>47</v>
      </c>
      <c r="N1506" t="str">
        <f>HYPERLINK("Gene1443-zp_tree_all.dnd", "Gene1443-tree")</f>
        <v>Gene1443-tree</v>
      </c>
      <c r="O1506">
        <v>12</v>
      </c>
      <c r="P1506">
        <v>5</v>
      </c>
      <c r="Q1506">
        <v>12</v>
      </c>
      <c r="R1506">
        <v>5</v>
      </c>
      <c r="S1506">
        <v>0.29411999999999999</v>
      </c>
      <c r="T1506" t="s">
        <v>109</v>
      </c>
      <c r="U1506" t="s">
        <v>199</v>
      </c>
      <c r="V1506" t="s">
        <v>62</v>
      </c>
      <c r="W1506" t="s">
        <v>62</v>
      </c>
      <c r="X1506">
        <v>2</v>
      </c>
      <c r="Y1506">
        <v>4</v>
      </c>
      <c r="Z1506">
        <v>4</v>
      </c>
      <c r="AA1506">
        <v>0.5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2</v>
      </c>
      <c r="AH1506">
        <v>0</v>
      </c>
      <c r="AI1506">
        <v>2</v>
      </c>
      <c r="AJ1506">
        <v>4</v>
      </c>
      <c r="AK1506">
        <v>0.33333000000000002</v>
      </c>
      <c r="AL1506">
        <v>12</v>
      </c>
      <c r="AM1506">
        <v>10</v>
      </c>
      <c r="AN1506">
        <v>20</v>
      </c>
      <c r="AO1506">
        <v>6</v>
      </c>
      <c r="AP1506">
        <v>36</v>
      </c>
      <c r="AQ1506">
        <v>2</v>
      </c>
      <c r="AR1506" t="s">
        <v>9038</v>
      </c>
      <c r="AS1506" t="s">
        <v>9039</v>
      </c>
      <c r="AT1506">
        <v>0.73099999999999998</v>
      </c>
      <c r="AU1506" t="s">
        <v>65</v>
      </c>
      <c r="AV1506">
        <v>56</v>
      </c>
      <c r="AW1506">
        <v>8</v>
      </c>
      <c r="AX1506" t="s">
        <v>9040</v>
      </c>
      <c r="AY1506">
        <v>7.7909999999999993E-2</v>
      </c>
      <c r="AZ1506">
        <v>-7.0499999999999998E-3</v>
      </c>
      <c r="BA1506">
        <v>1.6199999999999999E-3</v>
      </c>
      <c r="BB1506">
        <v>-1.1E-4</v>
      </c>
      <c r="BC1506">
        <v>2.0729999999999998E-2</v>
      </c>
      <c r="BD1506">
        <v>1</v>
      </c>
      <c r="BE1506" t="s">
        <v>69</v>
      </c>
      <c r="BF1506">
        <v>-1.3340000000000001</v>
      </c>
      <c r="BG1506">
        <v>-0.159</v>
      </c>
    </row>
    <row r="1507" spans="1:59">
      <c r="A1507">
        <v>0</v>
      </c>
      <c r="B1507">
        <v>0</v>
      </c>
      <c r="C1507">
        <v>0</v>
      </c>
      <c r="D1507" t="s">
        <v>25022</v>
      </c>
      <c r="E1507">
        <v>1016</v>
      </c>
      <c r="F1507" t="s">
        <v>6383</v>
      </c>
      <c r="G1507" t="s">
        <v>57</v>
      </c>
      <c r="H1507">
        <v>1056702</v>
      </c>
      <c r="I1507">
        <v>1057565</v>
      </c>
      <c r="J1507" t="s">
        <v>2512</v>
      </c>
      <c r="K1507">
        <v>288</v>
      </c>
      <c r="L1507" t="s">
        <v>108</v>
      </c>
      <c r="M1507">
        <v>44</v>
      </c>
      <c r="N1507" t="str">
        <f>HYPERLINK("Gene1016-zp_tree_all.dnd", "Gene1016-tree")</f>
        <v>Gene1016-tree</v>
      </c>
      <c r="O1507">
        <v>11</v>
      </c>
      <c r="P1507">
        <v>1</v>
      </c>
      <c r="Q1507">
        <v>11</v>
      </c>
      <c r="R1507">
        <v>1</v>
      </c>
      <c r="S1507">
        <v>8.3330000000000001E-2</v>
      </c>
      <c r="T1507" t="s">
        <v>73</v>
      </c>
      <c r="U1507" t="s">
        <v>175</v>
      </c>
      <c r="V1507" t="s">
        <v>62</v>
      </c>
      <c r="W1507" t="s">
        <v>62</v>
      </c>
      <c r="X1507">
        <v>0</v>
      </c>
      <c r="Y1507">
        <v>0</v>
      </c>
      <c r="Z1507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4</v>
      </c>
      <c r="AK1507">
        <v>0</v>
      </c>
      <c r="AL1507">
        <v>9</v>
      </c>
      <c r="AM1507">
        <v>5</v>
      </c>
      <c r="AN1507">
        <v>43</v>
      </c>
      <c r="AO1507">
        <v>4</v>
      </c>
      <c r="AP1507">
        <v>7</v>
      </c>
      <c r="AQ1507">
        <v>0</v>
      </c>
      <c r="AR1507" t="s">
        <v>6384</v>
      </c>
      <c r="AS1507" t="s">
        <v>193</v>
      </c>
      <c r="AT1507">
        <v>0.27300000000000002</v>
      </c>
      <c r="AU1507" t="s">
        <v>65</v>
      </c>
      <c r="AV1507">
        <v>50</v>
      </c>
      <c r="AW1507">
        <v>4</v>
      </c>
      <c r="AX1507" t="s">
        <v>6385</v>
      </c>
      <c r="AY1507">
        <v>5.4339999999999999E-2</v>
      </c>
      <c r="AZ1507">
        <v>-6.8999999999999999E-3</v>
      </c>
      <c r="BA1507">
        <v>1E-3</v>
      </c>
      <c r="BB1507">
        <v>-2.7999999999999998E-4</v>
      </c>
      <c r="BC1507">
        <v>1.8429999999999998E-2</v>
      </c>
      <c r="BD1507">
        <v>1</v>
      </c>
      <c r="BE1507" t="s">
        <v>69</v>
      </c>
      <c r="BF1507">
        <v>-1.732</v>
      </c>
      <c r="BG1507">
        <v>-4.2629999999999999</v>
      </c>
    </row>
    <row r="1508" spans="1:59">
      <c r="A1508">
        <v>0</v>
      </c>
      <c r="B1508">
        <v>4</v>
      </c>
      <c r="C1508">
        <v>9</v>
      </c>
      <c r="D1508" t="s">
        <v>25022</v>
      </c>
      <c r="E1508">
        <v>2902</v>
      </c>
      <c r="F1508" t="s">
        <v>16704</v>
      </c>
      <c r="G1508" t="s">
        <v>62</v>
      </c>
      <c r="H1508">
        <v>2847051</v>
      </c>
      <c r="I1508">
        <v>2847917</v>
      </c>
      <c r="J1508" t="s">
        <v>16705</v>
      </c>
      <c r="K1508">
        <v>289</v>
      </c>
      <c r="L1508" t="s">
        <v>108</v>
      </c>
      <c r="M1508">
        <v>44</v>
      </c>
      <c r="N1508" t="str">
        <f>HYPERLINK("Gene2902-zp_tree_all.dnd", "Gene2902-tree")</f>
        <v>Gene2902-tree</v>
      </c>
      <c r="O1508">
        <v>4</v>
      </c>
      <c r="P1508">
        <v>10</v>
      </c>
      <c r="Q1508">
        <v>4</v>
      </c>
      <c r="R1508">
        <v>10</v>
      </c>
      <c r="S1508">
        <v>0.71428999999999998</v>
      </c>
      <c r="T1508" t="s">
        <v>61</v>
      </c>
      <c r="U1508" t="s">
        <v>117</v>
      </c>
      <c r="V1508" t="s">
        <v>62</v>
      </c>
      <c r="W1508" t="s">
        <v>62</v>
      </c>
      <c r="X1508">
        <v>6</v>
      </c>
      <c r="Y1508">
        <v>13</v>
      </c>
      <c r="Z1508">
        <v>15</v>
      </c>
      <c r="AA1508">
        <v>0.46428999999999998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</v>
      </c>
      <c r="AH1508">
        <v>4</v>
      </c>
      <c r="AI1508">
        <v>6</v>
      </c>
      <c r="AJ1508">
        <v>14</v>
      </c>
      <c r="AK1508">
        <v>0.3</v>
      </c>
      <c r="AL1508">
        <v>13</v>
      </c>
      <c r="AM1508">
        <v>8</v>
      </c>
      <c r="AN1508">
        <v>31</v>
      </c>
      <c r="AO1508">
        <v>18</v>
      </c>
      <c r="AP1508">
        <v>11</v>
      </c>
      <c r="AQ1508">
        <v>11</v>
      </c>
      <c r="AR1508" t="s">
        <v>16706</v>
      </c>
      <c r="AS1508" t="s">
        <v>16707</v>
      </c>
      <c r="AT1508">
        <v>0.80300000000000005</v>
      </c>
      <c r="AU1508" t="s">
        <v>65</v>
      </c>
      <c r="AV1508">
        <v>42</v>
      </c>
      <c r="AW1508">
        <v>29</v>
      </c>
      <c r="AX1508" t="s">
        <v>16708</v>
      </c>
      <c r="AY1508">
        <v>3.9210000000000002E-2</v>
      </c>
      <c r="AZ1508">
        <v>-2.2699999999999999E-3</v>
      </c>
      <c r="BA1508">
        <v>1.0200000000000001E-2</v>
      </c>
      <c r="BB1508">
        <v>-6.0999999999999997E-4</v>
      </c>
      <c r="BC1508">
        <v>0.26003999999999999</v>
      </c>
      <c r="BD1508">
        <v>1</v>
      </c>
      <c r="BE1508" t="s">
        <v>69</v>
      </c>
      <c r="BF1508">
        <v>-1.133</v>
      </c>
      <c r="BG1508">
        <v>-2.8740000000000001</v>
      </c>
    </row>
    <row r="1509" spans="1:59">
      <c r="A1509">
        <v>0</v>
      </c>
      <c r="B1509">
        <v>2</v>
      </c>
      <c r="C1509">
        <v>1</v>
      </c>
      <c r="D1509" t="s">
        <v>25022</v>
      </c>
      <c r="E1509">
        <v>2798</v>
      </c>
      <c r="F1509" t="s">
        <v>16038</v>
      </c>
      <c r="G1509" t="s">
        <v>62</v>
      </c>
      <c r="H1509">
        <v>2745597</v>
      </c>
      <c r="I1509">
        <v>2746463</v>
      </c>
      <c r="J1509" t="s">
        <v>16039</v>
      </c>
      <c r="K1509">
        <v>289</v>
      </c>
      <c r="L1509" t="s">
        <v>16040</v>
      </c>
      <c r="M1509">
        <v>30</v>
      </c>
      <c r="N1509" t="str">
        <f>HYPERLINK("Gene2798-zp_tree_all.dnd", "Gene2798-tree")</f>
        <v>Gene2798-tree</v>
      </c>
      <c r="O1509">
        <v>3</v>
      </c>
      <c r="P1509">
        <v>4</v>
      </c>
      <c r="Q1509">
        <v>3</v>
      </c>
      <c r="R1509">
        <v>4</v>
      </c>
      <c r="S1509">
        <v>0.57142999999999999</v>
      </c>
      <c r="T1509" t="s">
        <v>324</v>
      </c>
      <c r="U1509" t="s">
        <v>61</v>
      </c>
      <c r="V1509" t="s">
        <v>62</v>
      </c>
      <c r="W1509" t="s">
        <v>62</v>
      </c>
      <c r="X1509">
        <v>1</v>
      </c>
      <c r="Y1509">
        <v>3</v>
      </c>
      <c r="Z1509">
        <v>11</v>
      </c>
      <c r="AA1509">
        <v>0.21429000000000001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</v>
      </c>
      <c r="AH1509">
        <v>1</v>
      </c>
      <c r="AI1509">
        <v>3</v>
      </c>
      <c r="AJ1509">
        <v>11</v>
      </c>
      <c r="AK1509">
        <v>0.21429000000000001</v>
      </c>
      <c r="AL1509">
        <v>5</v>
      </c>
      <c r="AM1509">
        <v>3</v>
      </c>
      <c r="AN1509">
        <v>20</v>
      </c>
      <c r="AO1509">
        <v>14</v>
      </c>
      <c r="AP1509">
        <v>3</v>
      </c>
      <c r="AQ1509">
        <v>0</v>
      </c>
      <c r="AR1509" t="s">
        <v>16041</v>
      </c>
      <c r="AS1509" t="s">
        <v>193</v>
      </c>
      <c r="AT1509">
        <v>0.39</v>
      </c>
      <c r="AU1509" t="s">
        <v>65</v>
      </c>
      <c r="AV1509">
        <v>23</v>
      </c>
      <c r="AW1509">
        <v>14</v>
      </c>
      <c r="AX1509" t="s">
        <v>16042</v>
      </c>
      <c r="AY1509">
        <v>4.2220000000000001E-2</v>
      </c>
      <c r="AZ1509">
        <v>-1.093E-2</v>
      </c>
      <c r="BA1509">
        <v>5.79E-3</v>
      </c>
      <c r="BB1509">
        <v>-1.57E-3</v>
      </c>
      <c r="BC1509">
        <v>0.13705999999999999</v>
      </c>
      <c r="BD1509">
        <v>1</v>
      </c>
      <c r="BE1509" t="s">
        <v>69</v>
      </c>
      <c r="BF1509">
        <v>-2.2999999999999998</v>
      </c>
      <c r="BG1509">
        <v>-4.0640000000000001</v>
      </c>
    </row>
    <row r="1510" spans="1:59">
      <c r="A1510">
        <v>0</v>
      </c>
      <c r="B1510">
        <v>3</v>
      </c>
      <c r="C1510">
        <v>2</v>
      </c>
      <c r="D1510" t="s">
        <v>25022</v>
      </c>
      <c r="E1510">
        <v>3319</v>
      </c>
      <c r="F1510" t="s">
        <v>19375</v>
      </c>
      <c r="G1510" t="s">
        <v>62</v>
      </c>
      <c r="H1510">
        <v>3292493</v>
      </c>
      <c r="I1510">
        <v>3293359</v>
      </c>
      <c r="J1510" t="s">
        <v>19376</v>
      </c>
      <c r="K1510">
        <v>289</v>
      </c>
      <c r="L1510" t="s">
        <v>108</v>
      </c>
      <c r="M1510">
        <v>44</v>
      </c>
      <c r="N1510" t="str">
        <f>HYPERLINK("Gene3319-zp_tree_all.dnd", "Gene3319-tree")</f>
        <v>Gene3319-tree</v>
      </c>
      <c r="O1510">
        <v>2</v>
      </c>
      <c r="P1510">
        <v>13</v>
      </c>
      <c r="Q1510">
        <v>2</v>
      </c>
      <c r="R1510">
        <v>13</v>
      </c>
      <c r="S1510">
        <v>0.86667000000000005</v>
      </c>
      <c r="T1510" t="s">
        <v>81</v>
      </c>
      <c r="U1510" t="s">
        <v>507</v>
      </c>
      <c r="V1510" t="s">
        <v>62</v>
      </c>
      <c r="W1510" t="s">
        <v>62</v>
      </c>
      <c r="X1510">
        <v>2</v>
      </c>
      <c r="Y1510">
        <v>5</v>
      </c>
      <c r="Z1510">
        <v>17</v>
      </c>
      <c r="AA1510">
        <v>0.22727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3</v>
      </c>
      <c r="AH1510">
        <v>2</v>
      </c>
      <c r="AI1510">
        <v>5</v>
      </c>
      <c r="AJ1510">
        <v>15</v>
      </c>
      <c r="AK1510">
        <v>0.25</v>
      </c>
      <c r="AL1510">
        <v>14</v>
      </c>
      <c r="AM1510">
        <v>10</v>
      </c>
      <c r="AN1510">
        <v>26</v>
      </c>
      <c r="AO1510">
        <v>19</v>
      </c>
      <c r="AP1510">
        <v>18</v>
      </c>
      <c r="AQ1510">
        <v>3</v>
      </c>
      <c r="AR1510" t="s">
        <v>19377</v>
      </c>
      <c r="AS1510" t="s">
        <v>19378</v>
      </c>
      <c r="AT1510">
        <v>1.7170000000000001</v>
      </c>
      <c r="AU1510" t="s">
        <v>65</v>
      </c>
      <c r="AV1510">
        <v>44</v>
      </c>
      <c r="AW1510">
        <v>22</v>
      </c>
      <c r="AX1510" t="s">
        <v>19379</v>
      </c>
      <c r="AY1510">
        <v>4.0719999999999999E-2</v>
      </c>
      <c r="AZ1510">
        <v>-1.49E-3</v>
      </c>
      <c r="BA1510">
        <v>5.0099999999999997E-3</v>
      </c>
      <c r="BB1510">
        <v>-2.7999999999999998E-4</v>
      </c>
      <c r="BC1510">
        <v>0.12306</v>
      </c>
      <c r="BD1510">
        <v>1</v>
      </c>
      <c r="BE1510" t="s">
        <v>69</v>
      </c>
      <c r="BF1510">
        <v>-1.171</v>
      </c>
      <c r="BG1510">
        <v>-1.556</v>
      </c>
    </row>
    <row r="1511" spans="1:59">
      <c r="A1511">
        <v>0</v>
      </c>
      <c r="B1511">
        <v>4</v>
      </c>
      <c r="C1511">
        <v>2</v>
      </c>
      <c r="D1511" t="s">
        <v>25022</v>
      </c>
      <c r="E1511">
        <v>3924</v>
      </c>
      <c r="F1511" t="s">
        <v>23024</v>
      </c>
      <c r="G1511" t="s">
        <v>62</v>
      </c>
      <c r="H1511">
        <v>3888865</v>
      </c>
      <c r="I1511">
        <v>3889731</v>
      </c>
      <c r="J1511" t="s">
        <v>23025</v>
      </c>
      <c r="K1511">
        <v>289</v>
      </c>
      <c r="L1511" t="s">
        <v>108</v>
      </c>
      <c r="M1511">
        <v>44</v>
      </c>
      <c r="N1511" t="str">
        <f>HYPERLINK("Gene3924-zp_tree_all.dnd", "Gene3924-tree")</f>
        <v>Gene3924-tree</v>
      </c>
      <c r="O1511">
        <v>6</v>
      </c>
      <c r="P1511">
        <v>8</v>
      </c>
      <c r="Q1511">
        <v>6</v>
      </c>
      <c r="R1511">
        <v>8</v>
      </c>
      <c r="S1511">
        <v>0.57142999999999999</v>
      </c>
      <c r="T1511" t="s">
        <v>90</v>
      </c>
      <c r="U1511" t="s">
        <v>136</v>
      </c>
      <c r="V1511" t="s">
        <v>62</v>
      </c>
      <c r="W1511" t="s">
        <v>62</v>
      </c>
      <c r="X1511">
        <v>3</v>
      </c>
      <c r="Y1511">
        <v>6</v>
      </c>
      <c r="Z1511">
        <v>8</v>
      </c>
      <c r="AA1511">
        <v>0.42857000000000001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</v>
      </c>
      <c r="AH1511">
        <v>2</v>
      </c>
      <c r="AI1511">
        <v>4</v>
      </c>
      <c r="AJ1511">
        <v>7</v>
      </c>
      <c r="AK1511">
        <v>0.36364000000000002</v>
      </c>
      <c r="AL1511">
        <v>14</v>
      </c>
      <c r="AM1511">
        <v>8</v>
      </c>
      <c r="AN1511">
        <v>34</v>
      </c>
      <c r="AO1511">
        <v>11</v>
      </c>
      <c r="AP1511">
        <v>10</v>
      </c>
      <c r="AQ1511">
        <v>5</v>
      </c>
      <c r="AR1511" t="s">
        <v>23026</v>
      </c>
      <c r="AS1511" t="s">
        <v>23027</v>
      </c>
      <c r="AT1511">
        <v>0.47299999999999998</v>
      </c>
      <c r="AU1511" t="s">
        <v>65</v>
      </c>
      <c r="AV1511">
        <v>44</v>
      </c>
      <c r="AW1511">
        <v>16</v>
      </c>
      <c r="AX1511" t="s">
        <v>23028</v>
      </c>
      <c r="AY1511">
        <v>3.737E-2</v>
      </c>
      <c r="AZ1511">
        <v>-1.32E-3</v>
      </c>
      <c r="BA1511">
        <v>4.5700000000000003E-3</v>
      </c>
      <c r="BB1511">
        <v>-2.5000000000000001E-4</v>
      </c>
      <c r="BC1511">
        <v>0.12222</v>
      </c>
      <c r="BD1511">
        <v>1</v>
      </c>
      <c r="BE1511" t="s">
        <v>69</v>
      </c>
      <c r="BF1511">
        <v>-0.57999999999999996</v>
      </c>
      <c r="BG1511">
        <v>-0.65800000000000003</v>
      </c>
    </row>
    <row r="1512" spans="1:59">
      <c r="A1512">
        <v>0</v>
      </c>
      <c r="B1512">
        <v>0</v>
      </c>
      <c r="C1512">
        <v>0</v>
      </c>
      <c r="D1512" t="s">
        <v>25022</v>
      </c>
      <c r="E1512">
        <v>980</v>
      </c>
      <c r="F1512" t="s">
        <v>6143</v>
      </c>
      <c r="G1512" t="s">
        <v>57</v>
      </c>
      <c r="H1512">
        <v>1022231</v>
      </c>
      <c r="I1512">
        <v>1023097</v>
      </c>
      <c r="J1512" t="s">
        <v>6144</v>
      </c>
      <c r="K1512">
        <v>289</v>
      </c>
      <c r="L1512" t="s">
        <v>108</v>
      </c>
      <c r="M1512">
        <v>44</v>
      </c>
      <c r="N1512" t="str">
        <f>HYPERLINK("Gene980-zp_tree_all.dnd", "Gene980-tree")</f>
        <v>Gene980-tree</v>
      </c>
      <c r="O1512">
        <v>10</v>
      </c>
      <c r="P1512">
        <v>4</v>
      </c>
      <c r="Q1512">
        <v>10</v>
      </c>
      <c r="R1512">
        <v>4</v>
      </c>
      <c r="S1512">
        <v>0.28571000000000002</v>
      </c>
      <c r="T1512" t="s">
        <v>117</v>
      </c>
      <c r="U1512" t="s">
        <v>61</v>
      </c>
      <c r="V1512" t="s">
        <v>62</v>
      </c>
      <c r="W1512" t="s">
        <v>62</v>
      </c>
      <c r="X1512">
        <v>0</v>
      </c>
      <c r="Y1512">
        <v>0</v>
      </c>
      <c r="Z1512">
        <v>8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5</v>
      </c>
      <c r="AK1512">
        <v>0</v>
      </c>
      <c r="AL1512">
        <v>11</v>
      </c>
      <c r="AM1512">
        <v>8</v>
      </c>
      <c r="AN1512">
        <v>34</v>
      </c>
      <c r="AO1512">
        <v>5</v>
      </c>
      <c r="AP1512">
        <v>13</v>
      </c>
      <c r="AQ1512">
        <v>3</v>
      </c>
      <c r="AR1512" t="s">
        <v>6145</v>
      </c>
      <c r="AS1512" t="s">
        <v>6146</v>
      </c>
      <c r="AT1512">
        <v>0.373</v>
      </c>
      <c r="AU1512" t="s">
        <v>65</v>
      </c>
      <c r="AV1512">
        <v>47</v>
      </c>
      <c r="AW1512">
        <v>8</v>
      </c>
      <c r="AX1512" t="s">
        <v>6147</v>
      </c>
      <c r="AY1512">
        <v>4.2590000000000003E-2</v>
      </c>
      <c r="AZ1512">
        <v>-1.72E-3</v>
      </c>
      <c r="BA1512">
        <v>2.4199999999999998E-3</v>
      </c>
      <c r="BB1512">
        <v>-2.0000000000000001E-4</v>
      </c>
      <c r="BC1512">
        <v>5.6770000000000001E-2</v>
      </c>
      <c r="BD1512">
        <v>1</v>
      </c>
      <c r="BE1512" t="s">
        <v>69</v>
      </c>
      <c r="BF1512">
        <v>-0.91900000000000004</v>
      </c>
      <c r="BG1512">
        <v>-1.5960000000000001</v>
      </c>
    </row>
    <row r="1513" spans="1:59">
      <c r="A1513">
        <v>0</v>
      </c>
      <c r="B1513">
        <v>0</v>
      </c>
      <c r="C1513">
        <v>0</v>
      </c>
      <c r="D1513" t="s">
        <v>25022</v>
      </c>
      <c r="E1513">
        <v>46</v>
      </c>
      <c r="F1513" t="s">
        <v>392</v>
      </c>
      <c r="G1513" t="s">
        <v>57</v>
      </c>
      <c r="H1513">
        <v>53516</v>
      </c>
      <c r="I1513">
        <v>54382</v>
      </c>
      <c r="J1513" t="s">
        <v>393</v>
      </c>
      <c r="K1513">
        <v>289</v>
      </c>
      <c r="L1513" t="s">
        <v>394</v>
      </c>
      <c r="M1513">
        <v>48</v>
      </c>
      <c r="N1513" t="str">
        <f>HYPERLINK("Gene46-zp_tree_all.dnd", "Gene46-tree")</f>
        <v>Gene46-tree</v>
      </c>
      <c r="O1513">
        <v>16</v>
      </c>
      <c r="P1513">
        <v>1</v>
      </c>
      <c r="Q1513">
        <v>16</v>
      </c>
      <c r="R1513">
        <v>1</v>
      </c>
      <c r="S1513">
        <v>5.8819999999999997E-2</v>
      </c>
      <c r="T1513" t="s">
        <v>60</v>
      </c>
      <c r="U1513" t="s">
        <v>175</v>
      </c>
      <c r="V1513" t="s">
        <v>62</v>
      </c>
      <c r="W1513" t="s">
        <v>62</v>
      </c>
      <c r="X1513">
        <v>0</v>
      </c>
      <c r="Y1513">
        <v>0</v>
      </c>
      <c r="Z1513">
        <v>6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12</v>
      </c>
      <c r="AM1513">
        <v>12</v>
      </c>
      <c r="AN1513">
        <v>45</v>
      </c>
      <c r="AO1513">
        <v>1</v>
      </c>
      <c r="AP1513">
        <v>47</v>
      </c>
      <c r="AQ1513">
        <v>6</v>
      </c>
      <c r="AR1513" t="s">
        <v>395</v>
      </c>
      <c r="AS1513" t="s">
        <v>396</v>
      </c>
      <c r="AT1513">
        <v>0.35499999999999998</v>
      </c>
      <c r="AU1513" t="s">
        <v>65</v>
      </c>
      <c r="AV1513">
        <v>92</v>
      </c>
      <c r="AW1513">
        <v>7</v>
      </c>
      <c r="AX1513" t="s">
        <v>397</v>
      </c>
      <c r="AY1513">
        <v>0.10519000000000001</v>
      </c>
      <c r="AZ1513">
        <v>-6.8700000000000002E-3</v>
      </c>
      <c r="BA1513">
        <v>3.4199999999999999E-3</v>
      </c>
      <c r="BB1513">
        <v>-3.5E-4</v>
      </c>
      <c r="BC1513">
        <v>3.2530000000000003E-2</v>
      </c>
      <c r="BD1513">
        <v>1</v>
      </c>
      <c r="BE1513" t="s">
        <v>69</v>
      </c>
      <c r="BF1513">
        <v>-1.4359999999999999</v>
      </c>
      <c r="BG1513">
        <v>-1.5469999999999999</v>
      </c>
    </row>
    <row r="1514" spans="1:59">
      <c r="A1514">
        <v>0</v>
      </c>
      <c r="B1514">
        <v>2</v>
      </c>
      <c r="C1514">
        <v>1</v>
      </c>
      <c r="D1514" t="s">
        <v>25022</v>
      </c>
      <c r="E1514">
        <v>4110</v>
      </c>
      <c r="F1514" t="s">
        <v>24215</v>
      </c>
      <c r="G1514" t="s">
        <v>62</v>
      </c>
      <c r="H1514">
        <v>4074899</v>
      </c>
      <c r="I1514">
        <v>4075765</v>
      </c>
      <c r="J1514" t="s">
        <v>5379</v>
      </c>
      <c r="K1514">
        <v>289</v>
      </c>
      <c r="L1514" t="s">
        <v>572</v>
      </c>
      <c r="M1514">
        <v>48</v>
      </c>
      <c r="N1514" t="str">
        <f>HYPERLINK("Gene4110-zp_tree_all.dnd", "Gene4110-tree")</f>
        <v>Gene4110-tree</v>
      </c>
      <c r="O1514">
        <v>14</v>
      </c>
      <c r="P1514">
        <v>4</v>
      </c>
      <c r="Q1514">
        <v>14</v>
      </c>
      <c r="R1514">
        <v>4</v>
      </c>
      <c r="S1514">
        <v>0.22222</v>
      </c>
      <c r="T1514" t="s">
        <v>543</v>
      </c>
      <c r="U1514" t="s">
        <v>61</v>
      </c>
      <c r="V1514" t="s">
        <v>62</v>
      </c>
      <c r="W1514" t="s">
        <v>62</v>
      </c>
      <c r="X1514">
        <v>1</v>
      </c>
      <c r="Y1514">
        <v>3</v>
      </c>
      <c r="Z1514">
        <v>8</v>
      </c>
      <c r="AA1514">
        <v>0.27272999999999997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6</v>
      </c>
      <c r="AK1514">
        <v>0</v>
      </c>
      <c r="AL1514">
        <v>16</v>
      </c>
      <c r="AM1514">
        <v>14</v>
      </c>
      <c r="AN1514">
        <v>70</v>
      </c>
      <c r="AO1514">
        <v>7</v>
      </c>
      <c r="AP1514">
        <v>67</v>
      </c>
      <c r="AQ1514">
        <v>5</v>
      </c>
      <c r="AR1514" t="s">
        <v>24216</v>
      </c>
      <c r="AS1514" t="s">
        <v>24217</v>
      </c>
      <c r="AT1514">
        <v>0.13700000000000001</v>
      </c>
      <c r="AU1514" t="s">
        <v>65</v>
      </c>
      <c r="AV1514">
        <v>137</v>
      </c>
      <c r="AW1514">
        <v>12</v>
      </c>
      <c r="AX1514" t="s">
        <v>24218</v>
      </c>
      <c r="AY1514">
        <v>0.1308</v>
      </c>
      <c r="AZ1514">
        <v>-6.8100000000000001E-3</v>
      </c>
      <c r="BA1514">
        <v>3.3400000000000001E-3</v>
      </c>
      <c r="BB1514">
        <v>-2.1000000000000001E-4</v>
      </c>
      <c r="BC1514">
        <v>2.5530000000000001E-2</v>
      </c>
      <c r="BD1514">
        <v>1</v>
      </c>
      <c r="BE1514" t="s">
        <v>69</v>
      </c>
      <c r="BF1514">
        <v>-0.90500000000000003</v>
      </c>
      <c r="BG1514">
        <v>-1.7729999999999999</v>
      </c>
    </row>
    <row r="1515" spans="1:59">
      <c r="A1515">
        <v>0</v>
      </c>
      <c r="B1515">
        <v>16</v>
      </c>
      <c r="C1515">
        <v>7</v>
      </c>
      <c r="D1515" t="s">
        <v>25022</v>
      </c>
      <c r="E1515">
        <v>3436</v>
      </c>
      <c r="F1515" t="s">
        <v>20112</v>
      </c>
      <c r="G1515" t="s">
        <v>62</v>
      </c>
      <c r="H1515">
        <v>3396876</v>
      </c>
      <c r="I1515">
        <v>3397745</v>
      </c>
      <c r="J1515" t="s">
        <v>20113</v>
      </c>
      <c r="K1515">
        <v>290</v>
      </c>
      <c r="L1515" t="s">
        <v>108</v>
      </c>
      <c r="M1515">
        <v>44</v>
      </c>
      <c r="N1515" t="str">
        <f>HYPERLINK("Gene3436-zp_tree_all.dnd", "Gene3436-tree")</f>
        <v>Gene3436-tree</v>
      </c>
      <c r="O1515">
        <v>1</v>
      </c>
      <c r="P1515">
        <v>10</v>
      </c>
      <c r="Q1515">
        <v>1</v>
      </c>
      <c r="R1515">
        <v>10</v>
      </c>
      <c r="S1515">
        <v>0.90908999999999995</v>
      </c>
      <c r="T1515" t="s">
        <v>175</v>
      </c>
      <c r="U1515" t="s">
        <v>117</v>
      </c>
      <c r="V1515" t="s">
        <v>62</v>
      </c>
      <c r="W1515" t="s">
        <v>62</v>
      </c>
      <c r="X1515">
        <v>10</v>
      </c>
      <c r="Y1515">
        <v>23</v>
      </c>
      <c r="Z1515">
        <v>24</v>
      </c>
      <c r="AA1515">
        <v>0.48936000000000002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4</v>
      </c>
      <c r="AH1515">
        <v>2</v>
      </c>
      <c r="AI1515">
        <v>6</v>
      </c>
      <c r="AJ1515">
        <v>25</v>
      </c>
      <c r="AK1515">
        <v>0.19355</v>
      </c>
      <c r="AL1515">
        <v>10</v>
      </c>
      <c r="AM1515">
        <v>8</v>
      </c>
      <c r="AN1515">
        <v>38</v>
      </c>
      <c r="AO1515">
        <v>31</v>
      </c>
      <c r="AP1515">
        <v>18</v>
      </c>
      <c r="AQ1515">
        <v>17</v>
      </c>
      <c r="AR1515" t="s">
        <v>20114</v>
      </c>
      <c r="AS1515" t="s">
        <v>20115</v>
      </c>
      <c r="AT1515">
        <v>0.21299999999999999</v>
      </c>
      <c r="AU1515" t="s">
        <v>65</v>
      </c>
      <c r="AV1515">
        <v>56</v>
      </c>
      <c r="AW1515">
        <v>48</v>
      </c>
      <c r="AX1515" t="s">
        <v>20116</v>
      </c>
      <c r="AY1515">
        <v>6.3259999999999997E-2</v>
      </c>
      <c r="AZ1515">
        <v>-4.7299999999999998E-3</v>
      </c>
      <c r="BA1515">
        <v>1.6539999999999999E-2</v>
      </c>
      <c r="BB1515">
        <v>-1.1000000000000001E-3</v>
      </c>
      <c r="BC1515">
        <v>0.26140999999999998</v>
      </c>
      <c r="BD1515">
        <v>1</v>
      </c>
      <c r="BE1515" t="s">
        <v>69</v>
      </c>
      <c r="BF1515">
        <v>-0.95299999999999996</v>
      </c>
      <c r="BG1515">
        <v>-1.7170000000000001</v>
      </c>
    </row>
    <row r="1516" spans="1:59">
      <c r="A1516">
        <v>0</v>
      </c>
      <c r="B1516">
        <v>8</v>
      </c>
      <c r="C1516">
        <v>0</v>
      </c>
      <c r="D1516" t="s">
        <v>25022</v>
      </c>
      <c r="E1516">
        <v>540</v>
      </c>
      <c r="F1516" t="s">
        <v>3485</v>
      </c>
      <c r="G1516" t="s">
        <v>57</v>
      </c>
      <c r="H1516">
        <v>574690</v>
      </c>
      <c r="I1516">
        <v>575559</v>
      </c>
      <c r="J1516" t="s">
        <v>3095</v>
      </c>
      <c r="K1516">
        <v>290</v>
      </c>
      <c r="L1516" t="s">
        <v>1196</v>
      </c>
      <c r="M1516">
        <v>39</v>
      </c>
      <c r="N1516" t="str">
        <f>HYPERLINK("Gene540-zp_tree_all.dnd", "Gene540-tree")</f>
        <v>Gene540-tree</v>
      </c>
      <c r="O1516">
        <v>6</v>
      </c>
      <c r="P1516">
        <v>5</v>
      </c>
      <c r="Q1516">
        <v>6</v>
      </c>
      <c r="R1516">
        <v>5</v>
      </c>
      <c r="S1516">
        <v>0.45455000000000001</v>
      </c>
      <c r="T1516" t="s">
        <v>90</v>
      </c>
      <c r="U1516" t="s">
        <v>199</v>
      </c>
      <c r="V1516" t="s">
        <v>62</v>
      </c>
      <c r="W1516" t="s">
        <v>62</v>
      </c>
      <c r="X1516">
        <v>3</v>
      </c>
      <c r="Y1516">
        <v>8</v>
      </c>
      <c r="Z1516">
        <v>2</v>
      </c>
      <c r="AA1516">
        <v>0.8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</v>
      </c>
      <c r="AH1516">
        <v>0</v>
      </c>
      <c r="AI1516">
        <v>2</v>
      </c>
      <c r="AJ1516">
        <v>3</v>
      </c>
      <c r="AK1516">
        <v>0.4</v>
      </c>
      <c r="AL1516">
        <v>10</v>
      </c>
      <c r="AM1516">
        <v>7</v>
      </c>
      <c r="AN1516">
        <v>24</v>
      </c>
      <c r="AO1516">
        <v>4</v>
      </c>
      <c r="AP1516">
        <v>12</v>
      </c>
      <c r="AQ1516">
        <v>6</v>
      </c>
      <c r="AR1516" t="s">
        <v>3486</v>
      </c>
      <c r="AS1516" t="s">
        <v>3487</v>
      </c>
      <c r="AT1516">
        <v>1.2649999999999999</v>
      </c>
      <c r="AU1516" t="s">
        <v>65</v>
      </c>
      <c r="AV1516">
        <v>36</v>
      </c>
      <c r="AW1516">
        <v>10</v>
      </c>
      <c r="AX1516" t="s">
        <v>3488</v>
      </c>
      <c r="AY1516">
        <v>4.0309999999999999E-2</v>
      </c>
      <c r="AZ1516">
        <v>-2.2100000000000002E-3</v>
      </c>
      <c r="BA1516">
        <v>3.2599999999999999E-3</v>
      </c>
      <c r="BB1516">
        <v>-2.2000000000000001E-4</v>
      </c>
      <c r="BC1516">
        <v>8.0990000000000006E-2</v>
      </c>
      <c r="BD1516">
        <v>1</v>
      </c>
      <c r="BE1516" t="s">
        <v>69</v>
      </c>
      <c r="BF1516">
        <v>-0.217</v>
      </c>
      <c r="BG1516">
        <v>-0.67500000000000004</v>
      </c>
    </row>
    <row r="1517" spans="1:59">
      <c r="A1517">
        <v>0</v>
      </c>
      <c r="B1517">
        <v>4</v>
      </c>
      <c r="C1517">
        <v>2</v>
      </c>
      <c r="D1517" t="s">
        <v>25022</v>
      </c>
      <c r="E1517">
        <v>4108</v>
      </c>
      <c r="F1517" t="s">
        <v>24201</v>
      </c>
      <c r="G1517" t="s">
        <v>62</v>
      </c>
      <c r="H1517">
        <v>4073084</v>
      </c>
      <c r="I1517">
        <v>4073953</v>
      </c>
      <c r="J1517" t="s">
        <v>24202</v>
      </c>
      <c r="K1517">
        <v>290</v>
      </c>
      <c r="L1517" t="s">
        <v>572</v>
      </c>
      <c r="M1517">
        <v>48</v>
      </c>
      <c r="N1517" t="str">
        <f>HYPERLINK("Gene4108-zp_tree_all.dnd", "Gene4108-tree")</f>
        <v>Gene4108-tree</v>
      </c>
      <c r="O1517">
        <v>9</v>
      </c>
      <c r="P1517">
        <v>7</v>
      </c>
      <c r="Q1517">
        <v>9</v>
      </c>
      <c r="R1517">
        <v>7</v>
      </c>
      <c r="S1517">
        <v>0.4375</v>
      </c>
      <c r="T1517" t="s">
        <v>135</v>
      </c>
      <c r="U1517" t="s">
        <v>152</v>
      </c>
      <c r="V1517" t="s">
        <v>62</v>
      </c>
      <c r="W1517" t="s">
        <v>62</v>
      </c>
      <c r="X1517">
        <v>3</v>
      </c>
      <c r="Y1517">
        <v>6</v>
      </c>
      <c r="Z1517">
        <v>16</v>
      </c>
      <c r="AA1517">
        <v>0.27272999999999997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2</v>
      </c>
      <c r="AH1517">
        <v>0</v>
      </c>
      <c r="AI1517">
        <v>2</v>
      </c>
      <c r="AJ1517">
        <v>16</v>
      </c>
      <c r="AK1517">
        <v>0.11111</v>
      </c>
      <c r="AL1517">
        <v>13</v>
      </c>
      <c r="AM1517">
        <v>11</v>
      </c>
      <c r="AN1517">
        <v>50</v>
      </c>
      <c r="AO1517">
        <v>19</v>
      </c>
      <c r="AP1517">
        <v>25</v>
      </c>
      <c r="AQ1517">
        <v>4</v>
      </c>
      <c r="AR1517" t="s">
        <v>24203</v>
      </c>
      <c r="AS1517" t="s">
        <v>24204</v>
      </c>
      <c r="AT1517">
        <v>0.66100000000000003</v>
      </c>
      <c r="AU1517" t="s">
        <v>65</v>
      </c>
      <c r="AV1517">
        <v>75</v>
      </c>
      <c r="AW1517">
        <v>23</v>
      </c>
      <c r="AX1517" t="s">
        <v>24205</v>
      </c>
      <c r="AY1517">
        <v>6.7470000000000002E-2</v>
      </c>
      <c r="AZ1517">
        <v>-3.13E-3</v>
      </c>
      <c r="BA1517">
        <v>5.4099999999999999E-3</v>
      </c>
      <c r="BB1517">
        <v>-4.0999999999999999E-4</v>
      </c>
      <c r="BC1517">
        <v>8.0149999999999999E-2</v>
      </c>
      <c r="BD1517">
        <v>1</v>
      </c>
      <c r="BE1517" t="s">
        <v>69</v>
      </c>
      <c r="BF1517">
        <v>-1.7</v>
      </c>
      <c r="BG1517">
        <v>-1.9059999999999999</v>
      </c>
    </row>
    <row r="1518" spans="1:59">
      <c r="A1518">
        <v>0</v>
      </c>
      <c r="B1518">
        <v>4</v>
      </c>
      <c r="C1518">
        <v>0</v>
      </c>
      <c r="D1518" t="s">
        <v>25022</v>
      </c>
      <c r="E1518">
        <v>666</v>
      </c>
      <c r="F1518" t="s">
        <v>4148</v>
      </c>
      <c r="G1518" t="s">
        <v>57</v>
      </c>
      <c r="H1518">
        <v>686962</v>
      </c>
      <c r="I1518">
        <v>687831</v>
      </c>
      <c r="J1518" t="s">
        <v>4149</v>
      </c>
      <c r="K1518">
        <v>290</v>
      </c>
      <c r="L1518" t="s">
        <v>4150</v>
      </c>
      <c r="M1518">
        <v>42</v>
      </c>
      <c r="N1518" t="str">
        <f>HYPERLINK("Gene666-zp_tree_all.dnd", "Gene666-tree")</f>
        <v>Gene666-tree</v>
      </c>
      <c r="O1518">
        <v>8</v>
      </c>
      <c r="P1518">
        <v>5</v>
      </c>
      <c r="Q1518">
        <v>8</v>
      </c>
      <c r="R1518">
        <v>5</v>
      </c>
      <c r="S1518">
        <v>0.38462000000000002</v>
      </c>
      <c r="T1518" t="s">
        <v>136</v>
      </c>
      <c r="U1518" t="s">
        <v>199</v>
      </c>
      <c r="V1518" t="s">
        <v>62</v>
      </c>
      <c r="W1518" t="s">
        <v>62</v>
      </c>
      <c r="X1518">
        <v>2</v>
      </c>
      <c r="Y1518">
        <v>4</v>
      </c>
      <c r="Z1518">
        <v>5</v>
      </c>
      <c r="AA1518">
        <v>0.44444</v>
      </c>
      <c r="AB1518">
        <v>0</v>
      </c>
      <c r="AC1518">
        <v>0</v>
      </c>
      <c r="AD1518">
        <v>0</v>
      </c>
      <c r="AE1518">
        <v>3</v>
      </c>
      <c r="AF1518">
        <v>0</v>
      </c>
      <c r="AG1518">
        <v>0</v>
      </c>
      <c r="AH1518">
        <v>0</v>
      </c>
      <c r="AI1518">
        <v>0</v>
      </c>
      <c r="AJ1518">
        <v>5</v>
      </c>
      <c r="AK1518">
        <v>0</v>
      </c>
      <c r="AL1518">
        <v>11</v>
      </c>
      <c r="AM1518">
        <v>9</v>
      </c>
      <c r="AN1518">
        <v>25</v>
      </c>
      <c r="AO1518">
        <v>5</v>
      </c>
      <c r="AP1518">
        <v>16</v>
      </c>
      <c r="AQ1518">
        <v>4</v>
      </c>
      <c r="AR1518" t="s">
        <v>4151</v>
      </c>
      <c r="AS1518" t="s">
        <v>4152</v>
      </c>
      <c r="AT1518">
        <v>0.11600000000000001</v>
      </c>
      <c r="AU1518" t="s">
        <v>65</v>
      </c>
      <c r="AV1518">
        <v>41</v>
      </c>
      <c r="AW1518">
        <v>9</v>
      </c>
      <c r="AX1518" t="s">
        <v>4153</v>
      </c>
      <c r="AY1518">
        <v>3.9289999999999999E-2</v>
      </c>
      <c r="AZ1518">
        <v>-1.5E-3</v>
      </c>
      <c r="BA1518">
        <v>2.7100000000000002E-3</v>
      </c>
      <c r="BB1518">
        <v>-2.1000000000000001E-4</v>
      </c>
      <c r="BC1518">
        <v>6.8970000000000004E-2</v>
      </c>
      <c r="BD1518">
        <v>1</v>
      </c>
      <c r="BE1518" t="s">
        <v>69</v>
      </c>
      <c r="BF1518">
        <v>-0.20499999999999999</v>
      </c>
      <c r="BG1518">
        <v>-0.81</v>
      </c>
    </row>
    <row r="1519" spans="1:59">
      <c r="A1519">
        <v>0</v>
      </c>
      <c r="B1519">
        <v>2</v>
      </c>
      <c r="C1519">
        <v>0</v>
      </c>
      <c r="D1519" t="s">
        <v>25022</v>
      </c>
      <c r="E1519">
        <v>1948</v>
      </c>
      <c r="F1519" t="s">
        <v>12201</v>
      </c>
      <c r="G1519" t="s">
        <v>62</v>
      </c>
      <c r="H1519">
        <v>2044959</v>
      </c>
      <c r="I1519">
        <v>2045828</v>
      </c>
      <c r="J1519" t="s">
        <v>2170</v>
      </c>
      <c r="K1519">
        <v>290</v>
      </c>
      <c r="L1519" t="s">
        <v>12189</v>
      </c>
      <c r="M1519">
        <v>37</v>
      </c>
      <c r="N1519" t="str">
        <f>HYPERLINK("Gene1948-zp_tree_all.dnd", "Gene1948-tree")</f>
        <v>Gene1948-tree</v>
      </c>
      <c r="O1519">
        <v>7</v>
      </c>
      <c r="P1519">
        <v>5</v>
      </c>
      <c r="Q1519">
        <v>7</v>
      </c>
      <c r="R1519">
        <v>5</v>
      </c>
      <c r="S1519">
        <v>0.41666999999999998</v>
      </c>
      <c r="T1519" t="s">
        <v>152</v>
      </c>
      <c r="U1519" t="s">
        <v>199</v>
      </c>
      <c r="V1519" t="s">
        <v>62</v>
      </c>
      <c r="W1519" t="s">
        <v>62</v>
      </c>
      <c r="X1519">
        <v>1</v>
      </c>
      <c r="Y1519">
        <v>2</v>
      </c>
      <c r="Z1519">
        <v>7</v>
      </c>
      <c r="AA1519">
        <v>0.22222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6</v>
      </c>
      <c r="AK1519">
        <v>0</v>
      </c>
      <c r="AL1519">
        <v>12</v>
      </c>
      <c r="AM1519">
        <v>7</v>
      </c>
      <c r="AN1519">
        <v>28</v>
      </c>
      <c r="AO1519">
        <v>6</v>
      </c>
      <c r="AP1519">
        <v>18</v>
      </c>
      <c r="AQ1519">
        <v>3</v>
      </c>
      <c r="AR1519" t="s">
        <v>12202</v>
      </c>
      <c r="AS1519" t="s">
        <v>12203</v>
      </c>
      <c r="AT1519">
        <v>0.20100000000000001</v>
      </c>
      <c r="AU1519" t="s">
        <v>65</v>
      </c>
      <c r="AV1519">
        <v>46</v>
      </c>
      <c r="AW1519">
        <v>9</v>
      </c>
      <c r="AX1519" t="s">
        <v>12204</v>
      </c>
      <c r="AY1519">
        <v>5.3260000000000002E-2</v>
      </c>
      <c r="AZ1519">
        <v>-2.3900000000000002E-3</v>
      </c>
      <c r="BA1519">
        <v>2.7299999999999998E-3</v>
      </c>
      <c r="BB1519">
        <v>-2.2000000000000001E-4</v>
      </c>
      <c r="BC1519">
        <v>5.1290000000000002E-2</v>
      </c>
      <c r="BD1519">
        <v>1</v>
      </c>
      <c r="BE1519" t="s">
        <v>69</v>
      </c>
      <c r="BF1519">
        <v>-1.204</v>
      </c>
      <c r="BG1519">
        <v>-1.1930000000000001</v>
      </c>
    </row>
    <row r="1520" spans="1:59">
      <c r="A1520">
        <v>0</v>
      </c>
      <c r="B1520">
        <v>2</v>
      </c>
      <c r="C1520">
        <v>2</v>
      </c>
      <c r="D1520" t="s">
        <v>25022</v>
      </c>
      <c r="E1520">
        <v>3037</v>
      </c>
      <c r="F1520" t="s">
        <v>17564</v>
      </c>
      <c r="G1520" t="s">
        <v>62</v>
      </c>
      <c r="H1520">
        <v>2988696</v>
      </c>
      <c r="I1520">
        <v>2989565</v>
      </c>
      <c r="J1520" t="s">
        <v>17565</v>
      </c>
      <c r="K1520">
        <v>290</v>
      </c>
      <c r="L1520" t="s">
        <v>572</v>
      </c>
      <c r="M1520">
        <v>48</v>
      </c>
      <c r="N1520" t="str">
        <f>HYPERLINK("Gene3037-zp_tree_all.dnd", "Gene3037-tree")</f>
        <v>Gene3037-tree</v>
      </c>
      <c r="O1520">
        <v>8</v>
      </c>
      <c r="P1520">
        <v>7</v>
      </c>
      <c r="Q1520">
        <v>8</v>
      </c>
      <c r="R1520">
        <v>7</v>
      </c>
      <c r="S1520">
        <v>0.46666999999999997</v>
      </c>
      <c r="T1520" t="s">
        <v>136</v>
      </c>
      <c r="U1520" t="s">
        <v>152</v>
      </c>
      <c r="V1520" t="s">
        <v>62</v>
      </c>
      <c r="W1520" t="s">
        <v>62</v>
      </c>
      <c r="X1520">
        <v>2</v>
      </c>
      <c r="Y1520">
        <v>4</v>
      </c>
      <c r="Z1520">
        <v>9</v>
      </c>
      <c r="AA1520">
        <v>0.30769000000000002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</v>
      </c>
      <c r="AH1520">
        <v>2</v>
      </c>
      <c r="AI1520">
        <v>4</v>
      </c>
      <c r="AJ1520">
        <v>7</v>
      </c>
      <c r="AK1520">
        <v>0.36364000000000002</v>
      </c>
      <c r="AL1520">
        <v>11</v>
      </c>
      <c r="AM1520">
        <v>8</v>
      </c>
      <c r="AN1520">
        <v>36</v>
      </c>
      <c r="AO1520">
        <v>11</v>
      </c>
      <c r="AP1520">
        <v>30</v>
      </c>
      <c r="AQ1520">
        <v>3</v>
      </c>
      <c r="AR1520" t="s">
        <v>17566</v>
      </c>
      <c r="AS1520" t="s">
        <v>17567</v>
      </c>
      <c r="AT1520">
        <v>0.40899999999999997</v>
      </c>
      <c r="AU1520" t="s">
        <v>65</v>
      </c>
      <c r="AV1520">
        <v>66</v>
      </c>
      <c r="AW1520">
        <v>14</v>
      </c>
      <c r="AX1520" t="s">
        <v>17568</v>
      </c>
      <c r="AY1520">
        <v>7.8649999999999998E-2</v>
      </c>
      <c r="AZ1520">
        <v>-5.8799999999999998E-3</v>
      </c>
      <c r="BA1520">
        <v>3.4099999999999998E-3</v>
      </c>
      <c r="BB1520">
        <v>-3.2000000000000003E-4</v>
      </c>
      <c r="BC1520">
        <v>4.3380000000000002E-2</v>
      </c>
      <c r="BD1520">
        <v>1</v>
      </c>
      <c r="BE1520" t="s">
        <v>69</v>
      </c>
      <c r="BF1520">
        <v>-1.615</v>
      </c>
      <c r="BG1520">
        <v>-2.972</v>
      </c>
    </row>
    <row r="1521" spans="1:59">
      <c r="A1521">
        <v>0</v>
      </c>
      <c r="B1521">
        <v>2</v>
      </c>
      <c r="C1521">
        <v>0</v>
      </c>
      <c r="D1521" t="s">
        <v>25022</v>
      </c>
      <c r="E1521">
        <v>43</v>
      </c>
      <c r="F1521" t="s">
        <v>377</v>
      </c>
      <c r="G1521" t="s">
        <v>57</v>
      </c>
      <c r="H1521">
        <v>51680</v>
      </c>
      <c r="I1521">
        <v>52549</v>
      </c>
      <c r="J1521" t="s">
        <v>378</v>
      </c>
      <c r="K1521">
        <v>290</v>
      </c>
      <c r="L1521" t="s">
        <v>108</v>
      </c>
      <c r="M1521">
        <v>44</v>
      </c>
      <c r="N1521" t="str">
        <f>HYPERLINK("Gene43-zp_tree_all.dnd", "Gene43-tree")</f>
        <v>Gene43-tree</v>
      </c>
      <c r="O1521">
        <v>11</v>
      </c>
      <c r="P1521">
        <v>3</v>
      </c>
      <c r="Q1521">
        <v>11</v>
      </c>
      <c r="R1521">
        <v>3</v>
      </c>
      <c r="S1521">
        <v>0.21429000000000001</v>
      </c>
      <c r="T1521" t="s">
        <v>73</v>
      </c>
      <c r="U1521" t="s">
        <v>324</v>
      </c>
      <c r="V1521" t="s">
        <v>62</v>
      </c>
      <c r="W1521" t="s">
        <v>62</v>
      </c>
      <c r="X1521">
        <v>1</v>
      </c>
      <c r="Y1521">
        <v>2</v>
      </c>
      <c r="Z1521">
        <v>5</v>
      </c>
      <c r="AA1521">
        <v>0.28571000000000002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6</v>
      </c>
      <c r="AK1521">
        <v>0</v>
      </c>
      <c r="AL1521">
        <v>10</v>
      </c>
      <c r="AM1521">
        <v>7</v>
      </c>
      <c r="AN1521">
        <v>27</v>
      </c>
      <c r="AO1521">
        <v>6</v>
      </c>
      <c r="AP1521">
        <v>19</v>
      </c>
      <c r="AQ1521">
        <v>1</v>
      </c>
      <c r="AR1521" t="s">
        <v>379</v>
      </c>
      <c r="AS1521" t="s">
        <v>380</v>
      </c>
      <c r="AT1521">
        <v>0.46500000000000002</v>
      </c>
      <c r="AU1521" t="s">
        <v>65</v>
      </c>
      <c r="AV1521">
        <v>46</v>
      </c>
      <c r="AW1521">
        <v>7</v>
      </c>
      <c r="AX1521" t="s">
        <v>381</v>
      </c>
      <c r="AY1521">
        <v>4.5260000000000002E-2</v>
      </c>
      <c r="AZ1521">
        <v>-2.4399999999999999E-3</v>
      </c>
      <c r="BA1521">
        <v>1.5900000000000001E-3</v>
      </c>
      <c r="BB1521">
        <v>-2.1000000000000001E-4</v>
      </c>
      <c r="BC1521">
        <v>3.5229999999999997E-2</v>
      </c>
      <c r="BD1521">
        <v>1</v>
      </c>
      <c r="BE1521" t="s">
        <v>69</v>
      </c>
      <c r="BF1521">
        <v>-0.39200000000000002</v>
      </c>
      <c r="BG1521">
        <v>-2.3039999999999998</v>
      </c>
    </row>
    <row r="1522" spans="1:59">
      <c r="A1522">
        <v>0</v>
      </c>
      <c r="B1522">
        <v>0</v>
      </c>
      <c r="C1522">
        <v>0</v>
      </c>
      <c r="D1522" t="s">
        <v>25022</v>
      </c>
      <c r="E1522">
        <v>463</v>
      </c>
      <c r="F1522" t="s">
        <v>3141</v>
      </c>
      <c r="G1522" t="s">
        <v>57</v>
      </c>
      <c r="H1522">
        <v>506866</v>
      </c>
      <c r="I1522">
        <v>507735</v>
      </c>
      <c r="J1522" t="s">
        <v>3142</v>
      </c>
      <c r="K1522">
        <v>290</v>
      </c>
      <c r="L1522" t="s">
        <v>3143</v>
      </c>
      <c r="M1522">
        <v>41</v>
      </c>
      <c r="N1522" t="str">
        <f>HYPERLINK("Gene463-zp_tree_all.dnd", "Gene463-tree")</f>
        <v>Gene463-tree</v>
      </c>
      <c r="O1522">
        <v>9</v>
      </c>
      <c r="P1522">
        <v>5</v>
      </c>
      <c r="Q1522">
        <v>9</v>
      </c>
      <c r="R1522">
        <v>5</v>
      </c>
      <c r="S1522">
        <v>0.35714000000000001</v>
      </c>
      <c r="T1522" t="s">
        <v>135</v>
      </c>
      <c r="U1522" t="s">
        <v>199</v>
      </c>
      <c r="V1522" t="s">
        <v>62</v>
      </c>
      <c r="W1522" t="s">
        <v>62</v>
      </c>
      <c r="X1522">
        <v>0</v>
      </c>
      <c r="Y1522">
        <v>0</v>
      </c>
      <c r="Z1522">
        <v>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5</v>
      </c>
      <c r="AK1522">
        <v>0</v>
      </c>
      <c r="AL1522">
        <v>12</v>
      </c>
      <c r="AM1522">
        <v>8</v>
      </c>
      <c r="AN1522">
        <v>30</v>
      </c>
      <c r="AO1522">
        <v>5</v>
      </c>
      <c r="AP1522">
        <v>11</v>
      </c>
      <c r="AQ1522">
        <v>0</v>
      </c>
      <c r="AR1522" t="s">
        <v>3144</v>
      </c>
      <c r="AS1522" t="s">
        <v>193</v>
      </c>
      <c r="AT1522">
        <v>1.6120000000000001</v>
      </c>
      <c r="AU1522" t="s">
        <v>65</v>
      </c>
      <c r="AV1522">
        <v>41</v>
      </c>
      <c r="AW1522">
        <v>5</v>
      </c>
      <c r="AX1522" t="s">
        <v>3145</v>
      </c>
      <c r="AY1522">
        <v>3.5779999999999999E-2</v>
      </c>
      <c r="AZ1522">
        <v>-1.57E-3</v>
      </c>
      <c r="BA1522">
        <v>1.08E-3</v>
      </c>
      <c r="BB1522">
        <v>-1E-4</v>
      </c>
      <c r="BC1522">
        <v>3.024E-2</v>
      </c>
      <c r="BD1522">
        <v>1</v>
      </c>
      <c r="BE1522" t="s">
        <v>69</v>
      </c>
      <c r="BF1522">
        <v>-1.2410000000000001</v>
      </c>
      <c r="BG1522">
        <v>-1.202</v>
      </c>
    </row>
    <row r="1523" spans="1:59">
      <c r="A1523">
        <v>0</v>
      </c>
      <c r="B1523">
        <v>0</v>
      </c>
      <c r="C1523">
        <v>0</v>
      </c>
      <c r="D1523" t="s">
        <v>25022</v>
      </c>
      <c r="E1523">
        <v>1739</v>
      </c>
      <c r="F1523" t="s">
        <v>10910</v>
      </c>
      <c r="G1523" t="s">
        <v>57</v>
      </c>
      <c r="H1523">
        <v>1748368</v>
      </c>
      <c r="I1523">
        <v>1749237</v>
      </c>
      <c r="J1523" t="s">
        <v>10911</v>
      </c>
      <c r="K1523">
        <v>290</v>
      </c>
      <c r="L1523" t="s">
        <v>465</v>
      </c>
      <c r="M1523">
        <v>46</v>
      </c>
      <c r="N1523" t="str">
        <f>HYPERLINK("Gene1739-zp_tree_all.dnd", "Gene1739-tree")</f>
        <v>Gene1739-tree</v>
      </c>
      <c r="O1523">
        <v>10</v>
      </c>
      <c r="P1523">
        <v>2</v>
      </c>
      <c r="Q1523">
        <v>10</v>
      </c>
      <c r="R1523">
        <v>2</v>
      </c>
      <c r="S1523">
        <v>0.16667000000000001</v>
      </c>
      <c r="T1523" t="s">
        <v>117</v>
      </c>
      <c r="U1523" t="s">
        <v>81</v>
      </c>
      <c r="V1523" t="s">
        <v>62</v>
      </c>
      <c r="W1523" t="s">
        <v>62</v>
      </c>
      <c r="X1523">
        <v>0</v>
      </c>
      <c r="Y1523">
        <v>0</v>
      </c>
      <c r="Z1523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3</v>
      </c>
      <c r="AK1523">
        <v>0</v>
      </c>
      <c r="AL1523">
        <v>8</v>
      </c>
      <c r="AM1523">
        <v>7</v>
      </c>
      <c r="AN1523">
        <v>45</v>
      </c>
      <c r="AO1523">
        <v>3</v>
      </c>
      <c r="AP1523">
        <v>11</v>
      </c>
      <c r="AQ1523">
        <v>1</v>
      </c>
      <c r="AR1523" t="s">
        <v>10912</v>
      </c>
      <c r="AS1523" t="s">
        <v>10913</v>
      </c>
      <c r="AT1523">
        <v>0.111</v>
      </c>
      <c r="AU1523" t="s">
        <v>65</v>
      </c>
      <c r="AV1523">
        <v>56</v>
      </c>
      <c r="AW1523">
        <v>4</v>
      </c>
      <c r="AX1523" t="s">
        <v>10914</v>
      </c>
      <c r="AY1523">
        <v>5.8340000000000003E-2</v>
      </c>
      <c r="AZ1523">
        <v>-7.0299999999999998E-3</v>
      </c>
      <c r="BA1523">
        <v>1.6100000000000001E-3</v>
      </c>
      <c r="BB1523">
        <v>-1.8000000000000001E-4</v>
      </c>
      <c r="BC1523">
        <v>2.7529999999999999E-2</v>
      </c>
      <c r="BD1523">
        <v>1</v>
      </c>
      <c r="BE1523" t="s">
        <v>69</v>
      </c>
      <c r="BF1523">
        <v>-0.86</v>
      </c>
      <c r="BG1523">
        <v>1.169</v>
      </c>
    </row>
    <row r="1524" spans="1:59">
      <c r="A1524">
        <v>0</v>
      </c>
      <c r="B1524">
        <v>2</v>
      </c>
      <c r="C1524">
        <v>0</v>
      </c>
      <c r="D1524" t="s">
        <v>25022</v>
      </c>
      <c r="E1524">
        <v>2918</v>
      </c>
      <c r="F1524" t="s">
        <v>16803</v>
      </c>
      <c r="G1524" t="s">
        <v>62</v>
      </c>
      <c r="H1524">
        <v>2859835</v>
      </c>
      <c r="I1524">
        <v>2860704</v>
      </c>
      <c r="J1524" t="s">
        <v>9407</v>
      </c>
      <c r="K1524">
        <v>290</v>
      </c>
      <c r="L1524" t="s">
        <v>59</v>
      </c>
      <c r="M1524">
        <v>49</v>
      </c>
      <c r="N1524" t="str">
        <f>HYPERLINK("Gene2918-zp_tree_all.dnd", "Gene2918-tree")</f>
        <v>Gene2918-tree</v>
      </c>
      <c r="O1524">
        <v>12</v>
      </c>
      <c r="P1524">
        <v>2</v>
      </c>
      <c r="Q1524">
        <v>12</v>
      </c>
      <c r="R1524">
        <v>2</v>
      </c>
      <c r="S1524">
        <v>0.14285999999999999</v>
      </c>
      <c r="T1524" t="s">
        <v>109</v>
      </c>
      <c r="U1524" t="s">
        <v>81</v>
      </c>
      <c r="V1524" t="s">
        <v>62</v>
      </c>
      <c r="W1524" t="s">
        <v>62</v>
      </c>
      <c r="X1524">
        <v>1</v>
      </c>
      <c r="Y1524">
        <v>2</v>
      </c>
      <c r="Z1524">
        <v>3</v>
      </c>
      <c r="AA1524">
        <v>0.4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</v>
      </c>
      <c r="AH1524">
        <v>0</v>
      </c>
      <c r="AI1524">
        <v>2</v>
      </c>
      <c r="AJ1524">
        <v>0</v>
      </c>
      <c r="AK1524">
        <v>1</v>
      </c>
      <c r="AL1524">
        <v>12</v>
      </c>
      <c r="AM1524">
        <v>8</v>
      </c>
      <c r="AN1524">
        <v>34</v>
      </c>
      <c r="AO1524">
        <v>2</v>
      </c>
      <c r="AP1524">
        <v>46</v>
      </c>
      <c r="AQ1524">
        <v>3</v>
      </c>
      <c r="AR1524" t="s">
        <v>16804</v>
      </c>
      <c r="AS1524" t="s">
        <v>16805</v>
      </c>
      <c r="AT1524">
        <v>2.7E-2</v>
      </c>
      <c r="AU1524" t="s">
        <v>65</v>
      </c>
      <c r="AV1524">
        <v>80</v>
      </c>
      <c r="AW1524">
        <v>5</v>
      </c>
      <c r="AX1524" t="s">
        <v>16806</v>
      </c>
      <c r="AY1524">
        <v>0.10963000000000001</v>
      </c>
      <c r="AZ1524">
        <v>-8.3000000000000001E-3</v>
      </c>
      <c r="BA1524">
        <v>1.57E-3</v>
      </c>
      <c r="BB1524">
        <v>-2.1000000000000001E-4</v>
      </c>
      <c r="BC1524">
        <v>1.431E-2</v>
      </c>
      <c r="BD1524">
        <v>1</v>
      </c>
      <c r="BE1524" t="s">
        <v>69</v>
      </c>
      <c r="BF1524">
        <v>-1.238</v>
      </c>
      <c r="BG1524">
        <v>0.10299999999999999</v>
      </c>
    </row>
    <row r="1525" spans="1:59">
      <c r="A1525">
        <v>0</v>
      </c>
      <c r="B1525">
        <v>0</v>
      </c>
      <c r="C1525">
        <v>0</v>
      </c>
      <c r="D1525" t="s">
        <v>25022</v>
      </c>
      <c r="E1525">
        <v>3885</v>
      </c>
      <c r="F1525" t="s">
        <v>22778</v>
      </c>
      <c r="G1525" t="s">
        <v>62</v>
      </c>
      <c r="H1525">
        <v>3847856</v>
      </c>
      <c r="I1525">
        <v>3848725</v>
      </c>
      <c r="J1525" t="s">
        <v>22779</v>
      </c>
      <c r="K1525">
        <v>290</v>
      </c>
      <c r="L1525" t="s">
        <v>108</v>
      </c>
      <c r="M1525">
        <v>44</v>
      </c>
      <c r="N1525" t="str">
        <f>HYPERLINK("Gene3885-zp_tree_all.dnd", "Gene3885-tree")</f>
        <v>Gene3885-tree</v>
      </c>
      <c r="O1525">
        <v>13</v>
      </c>
      <c r="P1525">
        <v>2</v>
      </c>
      <c r="Q1525">
        <v>13</v>
      </c>
      <c r="R1525">
        <v>2</v>
      </c>
      <c r="S1525">
        <v>0.13333</v>
      </c>
      <c r="T1525" t="s">
        <v>507</v>
      </c>
      <c r="U1525" t="s">
        <v>81</v>
      </c>
      <c r="V1525" t="s">
        <v>62</v>
      </c>
      <c r="W1525" t="s">
        <v>62</v>
      </c>
      <c r="X1525">
        <v>0</v>
      </c>
      <c r="Y1525">
        <v>0</v>
      </c>
      <c r="Z1525">
        <v>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</v>
      </c>
      <c r="AK1525">
        <v>0</v>
      </c>
      <c r="AL1525">
        <v>11</v>
      </c>
      <c r="AM1525">
        <v>8</v>
      </c>
      <c r="AN1525">
        <v>25</v>
      </c>
      <c r="AO1525">
        <v>2</v>
      </c>
      <c r="AP1525">
        <v>18</v>
      </c>
      <c r="AQ1525">
        <v>0</v>
      </c>
      <c r="AR1525" t="s">
        <v>22780</v>
      </c>
      <c r="AS1525" t="s">
        <v>193</v>
      </c>
      <c r="AT1525">
        <v>0.70799999999999996</v>
      </c>
      <c r="AU1525" t="s">
        <v>65</v>
      </c>
      <c r="AV1525">
        <v>43</v>
      </c>
      <c r="AW1525">
        <v>2</v>
      </c>
      <c r="AX1525" t="s">
        <v>22781</v>
      </c>
      <c r="AY1525">
        <v>4.0250000000000001E-2</v>
      </c>
      <c r="AZ1525">
        <v>-1.6299999999999999E-3</v>
      </c>
      <c r="BA1525">
        <v>4.0999999999999999E-4</v>
      </c>
      <c r="BB1525">
        <v>-6.9999999999999994E-5</v>
      </c>
      <c r="BC1525">
        <v>1.03E-2</v>
      </c>
      <c r="BD1525">
        <v>1</v>
      </c>
      <c r="BE1525" t="s">
        <v>69</v>
      </c>
      <c r="BF1525">
        <v>-0.79200000000000004</v>
      </c>
      <c r="BG1525">
        <v>-0.69199999999999995</v>
      </c>
    </row>
    <row r="1526" spans="1:59">
      <c r="A1526">
        <v>0</v>
      </c>
      <c r="B1526">
        <v>2</v>
      </c>
      <c r="C1526">
        <v>4</v>
      </c>
      <c r="D1526" t="s">
        <v>25022</v>
      </c>
      <c r="E1526">
        <v>1627</v>
      </c>
      <c r="F1526" t="s">
        <v>10195</v>
      </c>
      <c r="G1526" t="s">
        <v>57</v>
      </c>
      <c r="H1526">
        <v>1640720</v>
      </c>
      <c r="I1526">
        <v>1641592</v>
      </c>
      <c r="J1526" t="s">
        <v>116</v>
      </c>
      <c r="K1526">
        <v>291</v>
      </c>
      <c r="L1526" t="s">
        <v>59</v>
      </c>
      <c r="M1526">
        <v>49</v>
      </c>
      <c r="N1526" t="str">
        <f>HYPERLINK("Gene1627-zp_tree_all.dnd", "Gene1627-tree")</f>
        <v>Gene1627-tree</v>
      </c>
      <c r="O1526">
        <v>14</v>
      </c>
      <c r="P1526">
        <v>5</v>
      </c>
      <c r="Q1526">
        <v>14</v>
      </c>
      <c r="R1526">
        <v>5</v>
      </c>
      <c r="S1526">
        <v>0.26316000000000001</v>
      </c>
      <c r="T1526" t="s">
        <v>543</v>
      </c>
      <c r="U1526" t="s">
        <v>199</v>
      </c>
      <c r="V1526" t="s">
        <v>62</v>
      </c>
      <c r="W1526" t="s">
        <v>62</v>
      </c>
      <c r="X1526">
        <v>3</v>
      </c>
      <c r="Y1526">
        <v>6</v>
      </c>
      <c r="Z1526">
        <v>12</v>
      </c>
      <c r="AA1526">
        <v>0.33333000000000002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6</v>
      </c>
      <c r="AK1526">
        <v>0</v>
      </c>
      <c r="AL1526">
        <v>15</v>
      </c>
      <c r="AM1526">
        <v>11</v>
      </c>
      <c r="AN1526">
        <v>17</v>
      </c>
      <c r="AO1526">
        <v>6</v>
      </c>
      <c r="AP1526">
        <v>44</v>
      </c>
      <c r="AQ1526">
        <v>12</v>
      </c>
      <c r="AR1526" t="s">
        <v>10196</v>
      </c>
      <c r="AS1526" t="s">
        <v>10197</v>
      </c>
      <c r="AT1526">
        <v>0.17299999999999999</v>
      </c>
      <c r="AU1526" t="s">
        <v>65</v>
      </c>
      <c r="AV1526">
        <v>61</v>
      </c>
      <c r="AW1526">
        <v>18</v>
      </c>
      <c r="AX1526" t="s">
        <v>10198</v>
      </c>
      <c r="AY1526">
        <v>8.2239999999999994E-2</v>
      </c>
      <c r="AZ1526">
        <v>-5.1799999999999997E-3</v>
      </c>
      <c r="BA1526">
        <v>6.0699999999999999E-3</v>
      </c>
      <c r="BB1526">
        <v>-4.6000000000000001E-4</v>
      </c>
      <c r="BC1526">
        <v>7.3789999999999994E-2</v>
      </c>
      <c r="BD1526">
        <v>1</v>
      </c>
      <c r="BE1526" t="s">
        <v>69</v>
      </c>
      <c r="BF1526">
        <v>-1.3380000000000001</v>
      </c>
      <c r="BG1526">
        <v>0.38600000000000001</v>
      </c>
    </row>
    <row r="1527" spans="1:59">
      <c r="A1527">
        <v>0</v>
      </c>
      <c r="B1527">
        <v>7</v>
      </c>
      <c r="C1527">
        <v>0</v>
      </c>
      <c r="D1527" t="s">
        <v>25022</v>
      </c>
      <c r="E1527">
        <v>2553</v>
      </c>
      <c r="F1527" t="s">
        <v>14921</v>
      </c>
      <c r="G1527" t="s">
        <v>62</v>
      </c>
      <c r="H1527">
        <v>2542442</v>
      </c>
      <c r="I1527">
        <v>2543314</v>
      </c>
      <c r="J1527" t="s">
        <v>14922</v>
      </c>
      <c r="K1527">
        <v>291</v>
      </c>
      <c r="L1527" t="s">
        <v>59</v>
      </c>
      <c r="M1527">
        <v>49</v>
      </c>
      <c r="N1527" t="str">
        <f>HYPERLINK("Gene2553-zp_tree_all.dnd", "Gene2553-tree")</f>
        <v>Gene2553-tree</v>
      </c>
      <c r="O1527">
        <v>9</v>
      </c>
      <c r="P1527">
        <v>8</v>
      </c>
      <c r="Q1527">
        <v>9</v>
      </c>
      <c r="R1527">
        <v>8</v>
      </c>
      <c r="S1527">
        <v>0.47059000000000001</v>
      </c>
      <c r="T1527" t="s">
        <v>135</v>
      </c>
      <c r="U1527" t="s">
        <v>136</v>
      </c>
      <c r="V1527" t="s">
        <v>62</v>
      </c>
      <c r="W1527" t="s">
        <v>62</v>
      </c>
      <c r="X1527">
        <v>3</v>
      </c>
      <c r="Y1527">
        <v>7</v>
      </c>
      <c r="Z1527">
        <v>13</v>
      </c>
      <c r="AA1527">
        <v>0.35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</v>
      </c>
      <c r="AH1527">
        <v>0</v>
      </c>
      <c r="AI1527">
        <v>2</v>
      </c>
      <c r="AJ1527">
        <v>11</v>
      </c>
      <c r="AK1527">
        <v>0.15384999999999999</v>
      </c>
      <c r="AL1527">
        <v>15</v>
      </c>
      <c r="AM1527">
        <v>14</v>
      </c>
      <c r="AN1527">
        <v>43</v>
      </c>
      <c r="AO1527">
        <v>13</v>
      </c>
      <c r="AP1527">
        <v>73</v>
      </c>
      <c r="AQ1527">
        <v>7</v>
      </c>
      <c r="AR1527" t="s">
        <v>14923</v>
      </c>
      <c r="AS1527" t="s">
        <v>14924</v>
      </c>
      <c r="AT1527">
        <v>1.3520000000000001</v>
      </c>
      <c r="AU1527" t="s">
        <v>65</v>
      </c>
      <c r="AV1527">
        <v>116</v>
      </c>
      <c r="AW1527">
        <v>20</v>
      </c>
      <c r="AX1527" t="s">
        <v>14925</v>
      </c>
      <c r="AY1527">
        <v>0.13003999999999999</v>
      </c>
      <c r="AZ1527">
        <v>-6.6400000000000001E-3</v>
      </c>
      <c r="BA1527">
        <v>5.1000000000000004E-3</v>
      </c>
      <c r="BB1527">
        <v>-2.4000000000000001E-4</v>
      </c>
      <c r="BC1527">
        <v>3.9230000000000001E-2</v>
      </c>
      <c r="BD1527">
        <v>1</v>
      </c>
      <c r="BE1527" t="s">
        <v>69</v>
      </c>
      <c r="BF1527">
        <v>-0.91500000000000004</v>
      </c>
      <c r="BG1527">
        <v>-0.92600000000000005</v>
      </c>
    </row>
    <row r="1528" spans="1:59">
      <c r="A1528">
        <v>0</v>
      </c>
      <c r="B1528">
        <v>0</v>
      </c>
      <c r="C1528">
        <v>0</v>
      </c>
      <c r="D1528" t="s">
        <v>25022</v>
      </c>
      <c r="E1528">
        <v>71</v>
      </c>
      <c r="F1528" t="s">
        <v>570</v>
      </c>
      <c r="G1528" t="s">
        <v>57</v>
      </c>
      <c r="H1528">
        <v>79880</v>
      </c>
      <c r="I1528">
        <v>80752</v>
      </c>
      <c r="J1528" t="s">
        <v>571</v>
      </c>
      <c r="K1528">
        <v>291</v>
      </c>
      <c r="L1528" t="s">
        <v>572</v>
      </c>
      <c r="M1528">
        <v>48</v>
      </c>
      <c r="N1528" t="str">
        <f>HYPERLINK("Gene71-zp_tree_all.dnd", "Gene71-tree")</f>
        <v>Gene71-tree</v>
      </c>
      <c r="O1528">
        <v>16</v>
      </c>
      <c r="P1528">
        <v>5</v>
      </c>
      <c r="Q1528">
        <v>16</v>
      </c>
      <c r="R1528">
        <v>5</v>
      </c>
      <c r="S1528">
        <v>0.23810000000000001</v>
      </c>
      <c r="T1528" t="s">
        <v>60</v>
      </c>
      <c r="U1528" t="s">
        <v>199</v>
      </c>
      <c r="V1528" t="s">
        <v>62</v>
      </c>
      <c r="W1528" t="s">
        <v>62</v>
      </c>
      <c r="X1528">
        <v>0</v>
      </c>
      <c r="Y1528">
        <v>0</v>
      </c>
      <c r="Z1528">
        <v>10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8</v>
      </c>
      <c r="AK1528">
        <v>0</v>
      </c>
      <c r="AL1528">
        <v>16</v>
      </c>
      <c r="AM1528">
        <v>13</v>
      </c>
      <c r="AN1528">
        <v>61</v>
      </c>
      <c r="AO1528">
        <v>7</v>
      </c>
      <c r="AP1528">
        <v>54</v>
      </c>
      <c r="AQ1528">
        <v>3</v>
      </c>
      <c r="AR1528" t="s">
        <v>573</v>
      </c>
      <c r="AS1528" t="s">
        <v>574</v>
      </c>
      <c r="AT1528">
        <v>0.31900000000000001</v>
      </c>
      <c r="AU1528" t="s">
        <v>65</v>
      </c>
      <c r="AV1528">
        <v>115</v>
      </c>
      <c r="AW1528">
        <v>10</v>
      </c>
      <c r="AX1528" t="s">
        <v>575</v>
      </c>
      <c r="AY1528">
        <v>9.0459999999999999E-2</v>
      </c>
      <c r="AZ1528">
        <v>-5.2700000000000004E-3</v>
      </c>
      <c r="BA1528">
        <v>2.0500000000000002E-3</v>
      </c>
      <c r="BB1528">
        <v>-1.6000000000000001E-4</v>
      </c>
      <c r="BC1528">
        <v>2.2689999999999998E-2</v>
      </c>
      <c r="BD1528">
        <v>1</v>
      </c>
      <c r="BE1528" t="s">
        <v>69</v>
      </c>
      <c r="BF1528">
        <v>-1.504</v>
      </c>
      <c r="BG1528">
        <v>-3.1440000000000001</v>
      </c>
    </row>
    <row r="1529" spans="1:59">
      <c r="A1529">
        <v>0</v>
      </c>
      <c r="B1529">
        <v>5</v>
      </c>
      <c r="C1529">
        <v>0</v>
      </c>
      <c r="D1529" t="s">
        <v>25022</v>
      </c>
      <c r="E1529">
        <v>3526</v>
      </c>
      <c r="F1529" t="s">
        <v>20652</v>
      </c>
      <c r="G1529" t="s">
        <v>62</v>
      </c>
      <c r="H1529">
        <v>3487977</v>
      </c>
      <c r="I1529">
        <v>3488852</v>
      </c>
      <c r="J1529" t="s">
        <v>2170</v>
      </c>
      <c r="K1529">
        <v>292</v>
      </c>
      <c r="L1529" t="s">
        <v>108</v>
      </c>
      <c r="M1529">
        <v>44</v>
      </c>
      <c r="N1529" t="str">
        <f>HYPERLINK("Gene3526-zp_tree_all.dnd", "Gene3526-tree")</f>
        <v>Gene3526-tree</v>
      </c>
      <c r="O1529">
        <v>10</v>
      </c>
      <c r="P1529">
        <v>6</v>
      </c>
      <c r="Q1529">
        <v>10</v>
      </c>
      <c r="R1529">
        <v>6</v>
      </c>
      <c r="S1529">
        <v>0.375</v>
      </c>
      <c r="T1529" t="s">
        <v>117</v>
      </c>
      <c r="U1529" t="s">
        <v>90</v>
      </c>
      <c r="V1529" t="s">
        <v>62</v>
      </c>
      <c r="W1529" t="s">
        <v>62</v>
      </c>
      <c r="X1529">
        <v>2</v>
      </c>
      <c r="Y1529">
        <v>5</v>
      </c>
      <c r="Z1529">
        <v>5</v>
      </c>
      <c r="AA1529">
        <v>0.5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4</v>
      </c>
      <c r="AH1529">
        <v>0</v>
      </c>
      <c r="AI1529">
        <v>4</v>
      </c>
      <c r="AJ1529">
        <v>2</v>
      </c>
      <c r="AK1529">
        <v>0.66666999999999998</v>
      </c>
      <c r="AL1529">
        <v>13</v>
      </c>
      <c r="AM1529">
        <v>11</v>
      </c>
      <c r="AN1529">
        <v>43</v>
      </c>
      <c r="AO1529">
        <v>6</v>
      </c>
      <c r="AP1529">
        <v>22</v>
      </c>
      <c r="AQ1529">
        <v>4</v>
      </c>
      <c r="AR1529" t="s">
        <v>20653</v>
      </c>
      <c r="AS1529" t="s">
        <v>20654</v>
      </c>
      <c r="AT1529">
        <v>0.33700000000000002</v>
      </c>
      <c r="AU1529" t="s">
        <v>65</v>
      </c>
      <c r="AV1529">
        <v>65</v>
      </c>
      <c r="AW1529">
        <v>10</v>
      </c>
      <c r="AX1529" t="s">
        <v>20655</v>
      </c>
      <c r="AY1529">
        <v>5.2150000000000002E-2</v>
      </c>
      <c r="AZ1529">
        <v>-1.74E-3</v>
      </c>
      <c r="BA1529">
        <v>2.5999999999999999E-3</v>
      </c>
      <c r="BB1529">
        <v>-1.6000000000000001E-4</v>
      </c>
      <c r="BC1529">
        <v>4.9889999999999997E-2</v>
      </c>
      <c r="BD1529">
        <v>1</v>
      </c>
      <c r="BE1529" t="s">
        <v>69</v>
      </c>
      <c r="BF1529">
        <v>-6.7000000000000004E-2</v>
      </c>
      <c r="BG1529">
        <v>-0.97599999999999998</v>
      </c>
    </row>
    <row r="1530" spans="1:59">
      <c r="A1530">
        <v>0</v>
      </c>
      <c r="B1530">
        <v>5</v>
      </c>
      <c r="C1530">
        <v>0</v>
      </c>
      <c r="D1530" t="s">
        <v>25022</v>
      </c>
      <c r="E1530">
        <v>42</v>
      </c>
      <c r="F1530" t="s">
        <v>369</v>
      </c>
      <c r="G1530" t="s">
        <v>57</v>
      </c>
      <c r="H1530">
        <v>50640</v>
      </c>
      <c r="I1530">
        <v>51515</v>
      </c>
      <c r="J1530" t="s">
        <v>370</v>
      </c>
      <c r="K1530">
        <v>292</v>
      </c>
      <c r="L1530" t="s">
        <v>108</v>
      </c>
      <c r="M1530">
        <v>44</v>
      </c>
      <c r="N1530" t="str">
        <f>HYPERLINK("Gene42-zp_tree_all.dnd", "Gene42-tree")</f>
        <v>Gene42-tree</v>
      </c>
      <c r="O1530">
        <v>7</v>
      </c>
      <c r="P1530">
        <v>32</v>
      </c>
      <c r="Q1530">
        <v>7</v>
      </c>
      <c r="R1530">
        <v>6</v>
      </c>
      <c r="S1530">
        <v>0.46154000000000001</v>
      </c>
      <c r="T1530" t="s">
        <v>152</v>
      </c>
      <c r="U1530" t="s">
        <v>371</v>
      </c>
      <c r="V1530">
        <v>5.5030000000000001</v>
      </c>
      <c r="W1530" t="s">
        <v>65</v>
      </c>
      <c r="X1530">
        <v>2</v>
      </c>
      <c r="Y1530">
        <v>5</v>
      </c>
      <c r="Z1530">
        <v>5</v>
      </c>
      <c r="AA1530">
        <v>0.5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4</v>
      </c>
      <c r="AH1530">
        <v>0</v>
      </c>
      <c r="AI1530">
        <v>4</v>
      </c>
      <c r="AJ1530">
        <v>4</v>
      </c>
      <c r="AK1530">
        <v>0.5</v>
      </c>
      <c r="AL1530">
        <v>13</v>
      </c>
      <c r="AM1530">
        <v>8</v>
      </c>
      <c r="AN1530">
        <v>49</v>
      </c>
      <c r="AO1530">
        <v>8</v>
      </c>
      <c r="AP1530">
        <v>28</v>
      </c>
      <c r="AQ1530">
        <v>2</v>
      </c>
      <c r="AR1530" t="s">
        <v>372</v>
      </c>
      <c r="AS1530" t="s">
        <v>373</v>
      </c>
      <c r="AT1530">
        <v>0.77200000000000002</v>
      </c>
      <c r="AU1530" t="s">
        <v>65</v>
      </c>
      <c r="AV1530">
        <v>77</v>
      </c>
      <c r="AW1530">
        <v>10</v>
      </c>
      <c r="AX1530" t="s">
        <v>374</v>
      </c>
      <c r="AY1530">
        <v>6.4740000000000006E-2</v>
      </c>
      <c r="AZ1530">
        <v>-2.1099999999999999E-3</v>
      </c>
      <c r="BA1530">
        <v>2.7399999999999998E-3</v>
      </c>
      <c r="BB1530">
        <v>-1.9000000000000001E-4</v>
      </c>
      <c r="BC1530">
        <v>4.2279999999999998E-2</v>
      </c>
      <c r="BD1530">
        <v>1</v>
      </c>
      <c r="BE1530" t="s">
        <v>69</v>
      </c>
      <c r="BF1530">
        <v>-0.95499999999999996</v>
      </c>
      <c r="BG1530">
        <v>-1.4590000000000001</v>
      </c>
    </row>
    <row r="1531" spans="1:59">
      <c r="A1531">
        <v>0</v>
      </c>
      <c r="B1531">
        <v>2</v>
      </c>
      <c r="C1531">
        <v>2</v>
      </c>
      <c r="D1531" t="s">
        <v>25022</v>
      </c>
      <c r="E1531">
        <v>36</v>
      </c>
      <c r="F1531" t="s">
        <v>330</v>
      </c>
      <c r="G1531" t="s">
        <v>57</v>
      </c>
      <c r="H1531">
        <v>43921</v>
      </c>
      <c r="I1531">
        <v>44796</v>
      </c>
      <c r="J1531" t="s">
        <v>331</v>
      </c>
      <c r="K1531">
        <v>292</v>
      </c>
      <c r="L1531" t="s">
        <v>108</v>
      </c>
      <c r="M1531">
        <v>44</v>
      </c>
      <c r="N1531" t="str">
        <f>HYPERLINK("Gene36-zp_tree_all.dnd", "Gene36-tree")</f>
        <v>Gene36-tree</v>
      </c>
      <c r="O1531">
        <v>9</v>
      </c>
      <c r="P1531">
        <v>6</v>
      </c>
      <c r="Q1531">
        <v>9</v>
      </c>
      <c r="R1531">
        <v>6</v>
      </c>
      <c r="S1531">
        <v>0.4</v>
      </c>
      <c r="T1531" t="s">
        <v>135</v>
      </c>
      <c r="U1531" t="s">
        <v>90</v>
      </c>
      <c r="V1531" t="s">
        <v>62</v>
      </c>
      <c r="W1531" t="s">
        <v>62</v>
      </c>
      <c r="X1531">
        <v>2</v>
      </c>
      <c r="Y1531">
        <v>4</v>
      </c>
      <c r="Z1531">
        <v>4</v>
      </c>
      <c r="AA1531">
        <v>0.5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6</v>
      </c>
      <c r="AK1531">
        <v>0</v>
      </c>
      <c r="AL1531">
        <v>14</v>
      </c>
      <c r="AM1531">
        <v>7</v>
      </c>
      <c r="AN1531">
        <v>37</v>
      </c>
      <c r="AO1531">
        <v>6</v>
      </c>
      <c r="AP1531">
        <v>17</v>
      </c>
      <c r="AQ1531">
        <v>2</v>
      </c>
      <c r="AR1531" t="s">
        <v>332</v>
      </c>
      <c r="AS1531" t="s">
        <v>333</v>
      </c>
      <c r="AT1531">
        <v>0.313</v>
      </c>
      <c r="AU1531" t="s">
        <v>65</v>
      </c>
      <c r="AV1531">
        <v>54</v>
      </c>
      <c r="AW1531">
        <v>8</v>
      </c>
      <c r="AX1531" t="s">
        <v>334</v>
      </c>
      <c r="AY1531">
        <v>4.795E-2</v>
      </c>
      <c r="AZ1531">
        <v>-1.8799999999999999E-3</v>
      </c>
      <c r="BA1531">
        <v>1.8500000000000001E-3</v>
      </c>
      <c r="BB1531">
        <v>-1.1E-4</v>
      </c>
      <c r="BC1531">
        <v>3.8580000000000003E-2</v>
      </c>
      <c r="BD1531">
        <v>1</v>
      </c>
      <c r="BE1531" t="s">
        <v>69</v>
      </c>
      <c r="BF1531">
        <v>-0.157</v>
      </c>
      <c r="BG1531">
        <v>-0.6</v>
      </c>
    </row>
    <row r="1532" spans="1:59">
      <c r="A1532">
        <v>0</v>
      </c>
      <c r="B1532">
        <v>3</v>
      </c>
      <c r="C1532">
        <v>0</v>
      </c>
      <c r="D1532" t="s">
        <v>25022</v>
      </c>
      <c r="E1532">
        <v>3445</v>
      </c>
      <c r="F1532" t="s">
        <v>20172</v>
      </c>
      <c r="G1532" t="s">
        <v>62</v>
      </c>
      <c r="H1532">
        <v>3405667</v>
      </c>
      <c r="I1532">
        <v>3406542</v>
      </c>
      <c r="J1532" t="s">
        <v>20173</v>
      </c>
      <c r="K1532">
        <v>292</v>
      </c>
      <c r="L1532" t="s">
        <v>108</v>
      </c>
      <c r="M1532">
        <v>44</v>
      </c>
      <c r="N1532" t="str">
        <f>HYPERLINK("Gene3445-zp_tree_all.dnd", "Gene3445-tree")</f>
        <v>Gene3445-tree</v>
      </c>
      <c r="O1532">
        <v>11</v>
      </c>
      <c r="P1532">
        <v>4</v>
      </c>
      <c r="Q1532">
        <v>11</v>
      </c>
      <c r="R1532">
        <v>4</v>
      </c>
      <c r="S1532">
        <v>0.26667000000000002</v>
      </c>
      <c r="T1532" t="s">
        <v>73</v>
      </c>
      <c r="U1532" t="s">
        <v>61</v>
      </c>
      <c r="V1532" t="s">
        <v>62</v>
      </c>
      <c r="W1532" t="s">
        <v>62</v>
      </c>
      <c r="X1532">
        <v>1</v>
      </c>
      <c r="Y1532">
        <v>3</v>
      </c>
      <c r="Z1532">
        <v>3</v>
      </c>
      <c r="AA1532">
        <v>0.5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</v>
      </c>
      <c r="AH1532">
        <v>0</v>
      </c>
      <c r="AI1532">
        <v>2</v>
      </c>
      <c r="AJ1532">
        <v>2</v>
      </c>
      <c r="AK1532">
        <v>0.5</v>
      </c>
      <c r="AL1532">
        <v>13</v>
      </c>
      <c r="AM1532">
        <v>8</v>
      </c>
      <c r="AN1532">
        <v>36</v>
      </c>
      <c r="AO1532">
        <v>4</v>
      </c>
      <c r="AP1532">
        <v>13</v>
      </c>
      <c r="AQ1532">
        <v>2</v>
      </c>
      <c r="AR1532" t="s">
        <v>20174</v>
      </c>
      <c r="AS1532" t="s">
        <v>20175</v>
      </c>
      <c r="AT1532">
        <v>0.22800000000000001</v>
      </c>
      <c r="AU1532" t="s">
        <v>65</v>
      </c>
      <c r="AV1532">
        <v>49</v>
      </c>
      <c r="AW1532">
        <v>6</v>
      </c>
      <c r="AX1532" t="s">
        <v>20176</v>
      </c>
      <c r="AY1532">
        <v>3.875E-2</v>
      </c>
      <c r="AZ1532">
        <v>-1.2600000000000001E-3</v>
      </c>
      <c r="BA1532">
        <v>1.41E-3</v>
      </c>
      <c r="BB1532">
        <v>-1.2999999999999999E-4</v>
      </c>
      <c r="BC1532">
        <v>3.6269999999999997E-2</v>
      </c>
      <c r="BD1532">
        <v>1</v>
      </c>
      <c r="BE1532" t="s">
        <v>69</v>
      </c>
      <c r="BF1532">
        <v>-0.70799999999999996</v>
      </c>
      <c r="BG1532">
        <v>-0.69199999999999995</v>
      </c>
    </row>
    <row r="1533" spans="1:59">
      <c r="A1533">
        <v>0</v>
      </c>
      <c r="B1533">
        <v>0</v>
      </c>
      <c r="C1533">
        <v>0</v>
      </c>
      <c r="D1533" t="s">
        <v>25022</v>
      </c>
      <c r="E1533">
        <v>3378</v>
      </c>
      <c r="F1533" t="s">
        <v>19750</v>
      </c>
      <c r="G1533" t="s">
        <v>62</v>
      </c>
      <c r="H1533">
        <v>3348828</v>
      </c>
      <c r="I1533">
        <v>3349703</v>
      </c>
      <c r="J1533" t="s">
        <v>19744</v>
      </c>
      <c r="K1533">
        <v>292</v>
      </c>
      <c r="L1533" t="s">
        <v>59</v>
      </c>
      <c r="M1533">
        <v>49</v>
      </c>
      <c r="N1533" t="str">
        <f>HYPERLINK("Gene3378-zp_tree_all.dnd", "Gene3378-tree")</f>
        <v>Gene3378-tree</v>
      </c>
      <c r="O1533">
        <v>14</v>
      </c>
      <c r="P1533">
        <v>5</v>
      </c>
      <c r="Q1533">
        <v>14</v>
      </c>
      <c r="R1533">
        <v>5</v>
      </c>
      <c r="S1533">
        <v>0.26316000000000001</v>
      </c>
      <c r="T1533" t="s">
        <v>543</v>
      </c>
      <c r="U1533" t="s">
        <v>199</v>
      </c>
      <c r="V1533" t="s">
        <v>62</v>
      </c>
      <c r="W1533" t="s">
        <v>62</v>
      </c>
      <c r="X1533">
        <v>0</v>
      </c>
      <c r="Y1533">
        <v>0</v>
      </c>
      <c r="Z1533">
        <v>8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6</v>
      </c>
      <c r="AK1533">
        <v>0</v>
      </c>
      <c r="AL1533">
        <v>14</v>
      </c>
      <c r="AM1533">
        <v>11</v>
      </c>
      <c r="AN1533">
        <v>35</v>
      </c>
      <c r="AO1533">
        <v>6</v>
      </c>
      <c r="AP1533">
        <v>56</v>
      </c>
      <c r="AQ1533">
        <v>2</v>
      </c>
      <c r="AR1533" t="s">
        <v>19751</v>
      </c>
      <c r="AS1533" t="s">
        <v>19752</v>
      </c>
      <c r="AT1533">
        <v>0.78</v>
      </c>
      <c r="AU1533" t="s">
        <v>65</v>
      </c>
      <c r="AV1533">
        <v>91</v>
      </c>
      <c r="AW1533">
        <v>8</v>
      </c>
      <c r="AX1533" t="s">
        <v>19753</v>
      </c>
      <c r="AY1533">
        <v>0.10657</v>
      </c>
      <c r="AZ1533">
        <v>-6.8100000000000001E-3</v>
      </c>
      <c r="BA1533">
        <v>1.8E-3</v>
      </c>
      <c r="BB1533">
        <v>-1.2E-4</v>
      </c>
      <c r="BC1533">
        <v>1.686E-2</v>
      </c>
      <c r="BD1533">
        <v>1</v>
      </c>
      <c r="BE1533" t="s">
        <v>69</v>
      </c>
      <c r="BF1533">
        <v>-1.298</v>
      </c>
      <c r="BG1533">
        <v>-1.0189999999999999</v>
      </c>
    </row>
    <row r="1534" spans="1:59">
      <c r="A1534">
        <v>0</v>
      </c>
      <c r="B1534">
        <v>3</v>
      </c>
      <c r="C1534">
        <v>2</v>
      </c>
      <c r="D1534" t="s">
        <v>25022</v>
      </c>
      <c r="E1534">
        <v>3160</v>
      </c>
      <c r="F1534" t="s">
        <v>18368</v>
      </c>
      <c r="G1534" t="s">
        <v>62</v>
      </c>
      <c r="H1534">
        <v>3117979</v>
      </c>
      <c r="I1534">
        <v>3118854</v>
      </c>
      <c r="J1534" t="s">
        <v>18347</v>
      </c>
      <c r="K1534">
        <v>292</v>
      </c>
      <c r="L1534" t="s">
        <v>108</v>
      </c>
      <c r="M1534">
        <v>44</v>
      </c>
      <c r="N1534" t="str">
        <f>HYPERLINK("Gene3160-zp_tree_all.dnd", "Gene3160-tree")</f>
        <v>Gene3160-tree</v>
      </c>
      <c r="O1534">
        <v>8</v>
      </c>
      <c r="P1534">
        <v>4</v>
      </c>
      <c r="Q1534">
        <v>8</v>
      </c>
      <c r="R1534">
        <v>4</v>
      </c>
      <c r="S1534">
        <v>0.33333000000000002</v>
      </c>
      <c r="T1534" t="s">
        <v>136</v>
      </c>
      <c r="U1534" t="s">
        <v>61</v>
      </c>
      <c r="V1534" t="s">
        <v>62</v>
      </c>
      <c r="W1534" t="s">
        <v>62</v>
      </c>
      <c r="X1534">
        <v>2</v>
      </c>
      <c r="Y1534">
        <v>5</v>
      </c>
      <c r="Z1534">
        <v>2</v>
      </c>
      <c r="AA1534">
        <v>0.71428999999999998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</v>
      </c>
      <c r="AI1534">
        <v>2</v>
      </c>
      <c r="AJ1534">
        <v>3</v>
      </c>
      <c r="AK1534">
        <v>0.4</v>
      </c>
      <c r="AL1534">
        <v>10</v>
      </c>
      <c r="AM1534">
        <v>9</v>
      </c>
      <c r="AN1534">
        <v>63</v>
      </c>
      <c r="AO1534">
        <v>5</v>
      </c>
      <c r="AP1534">
        <v>55</v>
      </c>
      <c r="AQ1534">
        <v>3</v>
      </c>
      <c r="AR1534" t="s">
        <v>18369</v>
      </c>
      <c r="AS1534" t="s">
        <v>18370</v>
      </c>
      <c r="AT1534">
        <v>0.224</v>
      </c>
      <c r="AU1534" t="s">
        <v>65</v>
      </c>
      <c r="AV1534">
        <v>118</v>
      </c>
      <c r="AW1534">
        <v>8</v>
      </c>
      <c r="AX1534" t="s">
        <v>18371</v>
      </c>
      <c r="AY1534">
        <v>0.13250999999999999</v>
      </c>
      <c r="AZ1534">
        <v>-8.3700000000000007E-3</v>
      </c>
      <c r="BA1534">
        <v>2.1900000000000001E-3</v>
      </c>
      <c r="BB1534">
        <v>-2.0000000000000001E-4</v>
      </c>
      <c r="BC1534">
        <v>1.6500000000000001E-2</v>
      </c>
      <c r="BD1534">
        <v>1</v>
      </c>
      <c r="BE1534" t="s">
        <v>69</v>
      </c>
      <c r="BF1534">
        <v>9.6000000000000002E-2</v>
      </c>
      <c r="BG1534">
        <v>-1.655</v>
      </c>
    </row>
    <row r="1535" spans="1:59">
      <c r="A1535">
        <v>0</v>
      </c>
      <c r="B1535">
        <v>12</v>
      </c>
      <c r="C1535">
        <v>3</v>
      </c>
      <c r="D1535" t="s">
        <v>25022</v>
      </c>
      <c r="E1535">
        <v>880</v>
      </c>
      <c r="F1535" t="s">
        <v>5495</v>
      </c>
      <c r="G1535" t="s">
        <v>57</v>
      </c>
      <c r="H1535">
        <v>922618</v>
      </c>
      <c r="I1535">
        <v>923496</v>
      </c>
      <c r="J1535" t="s">
        <v>5496</v>
      </c>
      <c r="K1535">
        <v>293</v>
      </c>
      <c r="L1535" t="s">
        <v>108</v>
      </c>
      <c r="M1535">
        <v>44</v>
      </c>
      <c r="N1535" t="str">
        <f>HYPERLINK("Gene880-zp_tree_all.dnd", "Gene880-tree")</f>
        <v>Gene880-tree</v>
      </c>
      <c r="O1535">
        <v>28</v>
      </c>
      <c r="P1535">
        <v>7</v>
      </c>
      <c r="Q1535">
        <v>6</v>
      </c>
      <c r="R1535">
        <v>7</v>
      </c>
      <c r="S1535">
        <v>0.53846000000000005</v>
      </c>
      <c r="T1535" t="s">
        <v>5497</v>
      </c>
      <c r="U1535" t="s">
        <v>152</v>
      </c>
      <c r="V1535" t="s">
        <v>62</v>
      </c>
      <c r="W1535" t="s">
        <v>62</v>
      </c>
      <c r="X1535">
        <v>6</v>
      </c>
      <c r="Y1535">
        <v>15</v>
      </c>
      <c r="Z1535">
        <v>9</v>
      </c>
      <c r="AA1535">
        <v>0.625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8</v>
      </c>
      <c r="AH1535">
        <v>3</v>
      </c>
      <c r="AI1535">
        <v>11</v>
      </c>
      <c r="AJ1535">
        <v>6</v>
      </c>
      <c r="AK1535">
        <v>0.64705999999999997</v>
      </c>
      <c r="AL1535">
        <v>12</v>
      </c>
      <c r="AM1535">
        <v>10</v>
      </c>
      <c r="AN1535">
        <v>46</v>
      </c>
      <c r="AO1535">
        <v>19</v>
      </c>
      <c r="AP1535">
        <v>16</v>
      </c>
      <c r="AQ1535">
        <v>7</v>
      </c>
      <c r="AR1535" t="s">
        <v>5498</v>
      </c>
      <c r="AS1535" t="s">
        <v>5499</v>
      </c>
      <c r="AT1535">
        <v>7.6999999999999999E-2</v>
      </c>
      <c r="AU1535" t="s">
        <v>65</v>
      </c>
      <c r="AV1535">
        <v>62</v>
      </c>
      <c r="AW1535">
        <v>26</v>
      </c>
      <c r="AX1535" t="s">
        <v>5500</v>
      </c>
      <c r="AY1535">
        <v>5.765E-2</v>
      </c>
      <c r="AZ1535">
        <v>-4.6600000000000001E-3</v>
      </c>
      <c r="BA1535">
        <v>7.3099999999999997E-3</v>
      </c>
      <c r="BB1535">
        <v>-4.4000000000000002E-4</v>
      </c>
      <c r="BC1535">
        <v>0.12689</v>
      </c>
      <c r="BD1535">
        <v>1</v>
      </c>
      <c r="BE1535" t="s">
        <v>69</v>
      </c>
      <c r="BF1535">
        <v>-1.6220000000000001</v>
      </c>
      <c r="BG1535">
        <v>-2.9740000000000002</v>
      </c>
    </row>
    <row r="1536" spans="1:59">
      <c r="A1536">
        <v>2</v>
      </c>
      <c r="B1536">
        <v>11</v>
      </c>
      <c r="C1536">
        <v>0</v>
      </c>
      <c r="D1536" t="s">
        <v>25022</v>
      </c>
      <c r="E1536">
        <v>76</v>
      </c>
      <c r="F1536" t="s">
        <v>607</v>
      </c>
      <c r="G1536" t="s">
        <v>57</v>
      </c>
      <c r="H1536">
        <v>84874</v>
      </c>
      <c r="I1536">
        <v>85752</v>
      </c>
      <c r="J1536" t="s">
        <v>608</v>
      </c>
      <c r="K1536">
        <v>293</v>
      </c>
      <c r="L1536" t="s">
        <v>108</v>
      </c>
      <c r="M1536">
        <v>44</v>
      </c>
      <c r="N1536" t="str">
        <f>HYPERLINK("Gene76-zp_tree_all.dnd", "Gene76-tree")</f>
        <v>Gene76-tree</v>
      </c>
      <c r="O1536">
        <v>7</v>
      </c>
      <c r="P1536">
        <v>11</v>
      </c>
      <c r="Q1536">
        <v>7</v>
      </c>
      <c r="R1536">
        <v>11</v>
      </c>
      <c r="S1536">
        <v>0.61111000000000004</v>
      </c>
      <c r="T1536" t="s">
        <v>152</v>
      </c>
      <c r="U1536" t="s">
        <v>73</v>
      </c>
      <c r="V1536">
        <v>65406436.016999997</v>
      </c>
      <c r="W1536" t="s">
        <v>267</v>
      </c>
      <c r="X1536">
        <v>3</v>
      </c>
      <c r="Y1536">
        <v>13</v>
      </c>
      <c r="Z1536">
        <v>16</v>
      </c>
      <c r="AA1536">
        <v>0.44828000000000001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8</v>
      </c>
      <c r="AH1536">
        <v>2</v>
      </c>
      <c r="AI1536">
        <v>10</v>
      </c>
      <c r="AJ1536">
        <v>14</v>
      </c>
      <c r="AK1536">
        <v>0.41666999999999998</v>
      </c>
      <c r="AL1536">
        <v>12</v>
      </c>
      <c r="AM1536">
        <v>14</v>
      </c>
      <c r="AN1536">
        <v>18</v>
      </c>
      <c r="AO1536">
        <v>22</v>
      </c>
      <c r="AP1536">
        <v>23</v>
      </c>
      <c r="AQ1536">
        <v>7</v>
      </c>
      <c r="AR1536" t="s">
        <v>609</v>
      </c>
      <c r="AS1536" t="s">
        <v>610</v>
      </c>
      <c r="AT1536">
        <v>1.83</v>
      </c>
      <c r="AU1536" t="s">
        <v>65</v>
      </c>
      <c r="AV1536">
        <v>41</v>
      </c>
      <c r="AW1536">
        <v>29</v>
      </c>
      <c r="AX1536" t="s">
        <v>611</v>
      </c>
      <c r="AY1536">
        <v>4.2529999999999998E-2</v>
      </c>
      <c r="AZ1536">
        <v>-1.5E-3</v>
      </c>
      <c r="BA1536">
        <v>5.1399999999999996E-3</v>
      </c>
      <c r="BB1536">
        <v>-2.2000000000000001E-4</v>
      </c>
      <c r="BC1536">
        <v>0.12092</v>
      </c>
      <c r="BD1536">
        <v>1</v>
      </c>
      <c r="BE1536" t="s">
        <v>69</v>
      </c>
      <c r="BF1536">
        <v>-0.66300000000000003</v>
      </c>
      <c r="BG1536">
        <v>-0.751</v>
      </c>
    </row>
    <row r="1537" spans="1:59">
      <c r="A1537">
        <v>0</v>
      </c>
      <c r="B1537">
        <v>0</v>
      </c>
      <c r="C1537">
        <v>0</v>
      </c>
      <c r="D1537" t="s">
        <v>25022</v>
      </c>
      <c r="E1537">
        <v>2613</v>
      </c>
      <c r="F1537" t="s">
        <v>15298</v>
      </c>
      <c r="G1537" t="s">
        <v>62</v>
      </c>
      <c r="H1537">
        <v>2592006</v>
      </c>
      <c r="I1537">
        <v>2592884</v>
      </c>
      <c r="J1537" t="s">
        <v>3095</v>
      </c>
      <c r="K1537">
        <v>293</v>
      </c>
      <c r="L1537" t="s">
        <v>108</v>
      </c>
      <c r="M1537">
        <v>44</v>
      </c>
      <c r="N1537" t="str">
        <f>HYPERLINK("Gene2613-zp_tree_all.dnd", "Gene2613-tree")</f>
        <v>Gene2613-tree</v>
      </c>
      <c r="O1537">
        <v>15</v>
      </c>
      <c r="P1537">
        <v>1</v>
      </c>
      <c r="Q1537">
        <v>15</v>
      </c>
      <c r="R1537">
        <v>1</v>
      </c>
      <c r="S1537">
        <v>6.25E-2</v>
      </c>
      <c r="T1537" t="s">
        <v>100</v>
      </c>
      <c r="U1537" t="s">
        <v>175</v>
      </c>
      <c r="V1537" t="s">
        <v>62</v>
      </c>
      <c r="W1537" t="s">
        <v>62</v>
      </c>
      <c r="X1537">
        <v>0</v>
      </c>
      <c r="Y1537">
        <v>0</v>
      </c>
      <c r="Z1537">
        <v>10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9</v>
      </c>
      <c r="AK1537">
        <v>0</v>
      </c>
      <c r="AL1537">
        <v>11</v>
      </c>
      <c r="AM1537">
        <v>8</v>
      </c>
      <c r="AN1537">
        <v>39</v>
      </c>
      <c r="AO1537">
        <v>11</v>
      </c>
      <c r="AP1537">
        <v>10</v>
      </c>
      <c r="AQ1537">
        <v>1</v>
      </c>
      <c r="AR1537" t="s">
        <v>15299</v>
      </c>
      <c r="AS1537" t="s">
        <v>15300</v>
      </c>
      <c r="AT1537">
        <v>0.161</v>
      </c>
      <c r="AU1537" t="s">
        <v>65</v>
      </c>
      <c r="AV1537">
        <v>49</v>
      </c>
      <c r="AW1537">
        <v>12</v>
      </c>
      <c r="AX1537" t="s">
        <v>15301</v>
      </c>
      <c r="AY1537">
        <v>3.7600000000000001E-2</v>
      </c>
      <c r="AZ1537">
        <v>-3.0500000000000002E-3</v>
      </c>
      <c r="BA1537">
        <v>2.5500000000000002E-3</v>
      </c>
      <c r="BB1537">
        <v>-5.2999999999999998E-4</v>
      </c>
      <c r="BC1537">
        <v>6.7820000000000005E-2</v>
      </c>
      <c r="BD1537">
        <v>1</v>
      </c>
      <c r="BE1537" t="s">
        <v>69</v>
      </c>
      <c r="BF1537">
        <v>-1.39</v>
      </c>
      <c r="BG1537">
        <v>0.62</v>
      </c>
    </row>
    <row r="1538" spans="1:59">
      <c r="A1538">
        <v>0</v>
      </c>
      <c r="B1538">
        <v>4</v>
      </c>
      <c r="C1538">
        <v>2</v>
      </c>
      <c r="D1538" t="s">
        <v>25022</v>
      </c>
      <c r="E1538">
        <v>1712</v>
      </c>
      <c r="F1538" t="s">
        <v>10736</v>
      </c>
      <c r="G1538" t="s">
        <v>57</v>
      </c>
      <c r="H1538">
        <v>1718775</v>
      </c>
      <c r="I1538">
        <v>1719653</v>
      </c>
      <c r="J1538" t="s">
        <v>10737</v>
      </c>
      <c r="K1538">
        <v>293</v>
      </c>
      <c r="L1538" t="s">
        <v>59</v>
      </c>
      <c r="M1538">
        <v>49</v>
      </c>
      <c r="N1538" t="str">
        <f>HYPERLINK("Gene1712-zp_tree_all.dnd", "Gene1712-tree")</f>
        <v>Gene1712-tree</v>
      </c>
      <c r="O1538">
        <v>10</v>
      </c>
      <c r="P1538">
        <v>4</v>
      </c>
      <c r="Q1538">
        <v>10</v>
      </c>
      <c r="R1538">
        <v>4</v>
      </c>
      <c r="S1538">
        <v>0.28571000000000002</v>
      </c>
      <c r="T1538" t="s">
        <v>117</v>
      </c>
      <c r="U1538" t="s">
        <v>61</v>
      </c>
      <c r="V1538" t="s">
        <v>62</v>
      </c>
      <c r="W1538" t="s">
        <v>62</v>
      </c>
      <c r="X1538">
        <v>3</v>
      </c>
      <c r="Y1538">
        <v>6</v>
      </c>
      <c r="Z1538">
        <v>5</v>
      </c>
      <c r="AA1538">
        <v>0.54544999999999999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4</v>
      </c>
      <c r="AK1538">
        <v>0</v>
      </c>
      <c r="AL1538">
        <v>13</v>
      </c>
      <c r="AM1538">
        <v>7</v>
      </c>
      <c r="AN1538">
        <v>23</v>
      </c>
      <c r="AO1538">
        <v>4</v>
      </c>
      <c r="AP1538">
        <v>32</v>
      </c>
      <c r="AQ1538">
        <v>7</v>
      </c>
      <c r="AR1538" t="s">
        <v>10738</v>
      </c>
      <c r="AS1538" t="s">
        <v>10739</v>
      </c>
      <c r="AT1538">
        <v>0.193</v>
      </c>
      <c r="AU1538" t="s">
        <v>65</v>
      </c>
      <c r="AV1538">
        <v>55</v>
      </c>
      <c r="AW1538">
        <v>11</v>
      </c>
      <c r="AX1538" t="s">
        <v>10740</v>
      </c>
      <c r="AY1538">
        <v>7.8189999999999996E-2</v>
      </c>
      <c r="AZ1538">
        <v>-5.4599999999999996E-3</v>
      </c>
      <c r="BA1538">
        <v>3.9399999999999999E-3</v>
      </c>
      <c r="BB1538">
        <v>-3.6999999999999999E-4</v>
      </c>
      <c r="BC1538">
        <v>5.033E-2</v>
      </c>
      <c r="BD1538">
        <v>1</v>
      </c>
      <c r="BE1538" t="s">
        <v>69</v>
      </c>
      <c r="BF1538">
        <v>-1.1779999999999999</v>
      </c>
      <c r="BG1538">
        <v>-0.85599999999999998</v>
      </c>
    </row>
    <row r="1539" spans="1:59">
      <c r="A1539">
        <v>0</v>
      </c>
      <c r="B1539">
        <v>2</v>
      </c>
      <c r="C1539">
        <v>0</v>
      </c>
      <c r="D1539" t="s">
        <v>25022</v>
      </c>
      <c r="E1539">
        <v>301</v>
      </c>
      <c r="F1539" t="s">
        <v>2054</v>
      </c>
      <c r="G1539" t="s">
        <v>57</v>
      </c>
      <c r="H1539">
        <v>323119</v>
      </c>
      <c r="I1539">
        <v>323997</v>
      </c>
      <c r="J1539" t="s">
        <v>2055</v>
      </c>
      <c r="K1539">
        <v>293</v>
      </c>
      <c r="L1539" t="s">
        <v>108</v>
      </c>
      <c r="M1539">
        <v>44</v>
      </c>
      <c r="N1539" t="str">
        <f>HYPERLINK("Gene301-zp_tree_all.dnd", "Gene301-tree")</f>
        <v>Gene301-tree</v>
      </c>
      <c r="O1539">
        <v>11</v>
      </c>
      <c r="P1539">
        <v>4</v>
      </c>
      <c r="Q1539">
        <v>11</v>
      </c>
      <c r="R1539">
        <v>4</v>
      </c>
      <c r="S1539">
        <v>0.26667000000000002</v>
      </c>
      <c r="T1539" t="s">
        <v>73</v>
      </c>
      <c r="U1539" t="s">
        <v>61</v>
      </c>
      <c r="V1539" t="s">
        <v>62</v>
      </c>
      <c r="W1539" t="s">
        <v>62</v>
      </c>
      <c r="X1539">
        <v>1</v>
      </c>
      <c r="Y1539">
        <v>2</v>
      </c>
      <c r="Z1539">
        <v>5</v>
      </c>
      <c r="AA1539">
        <v>0.28571000000000002</v>
      </c>
      <c r="AB1539">
        <v>0</v>
      </c>
      <c r="AC1539">
        <v>0</v>
      </c>
      <c r="AD1539">
        <v>0</v>
      </c>
      <c r="AE1539">
        <v>3</v>
      </c>
      <c r="AF1539">
        <v>0</v>
      </c>
      <c r="AG1539">
        <v>0</v>
      </c>
      <c r="AH1539">
        <v>0</v>
      </c>
      <c r="AI1539">
        <v>0</v>
      </c>
      <c r="AJ1539">
        <v>4</v>
      </c>
      <c r="AK1539">
        <v>0</v>
      </c>
      <c r="AL1539">
        <v>11</v>
      </c>
      <c r="AM1539">
        <v>9</v>
      </c>
      <c r="AN1539">
        <v>23</v>
      </c>
      <c r="AO1539">
        <v>4</v>
      </c>
      <c r="AP1539">
        <v>20</v>
      </c>
      <c r="AQ1539">
        <v>3</v>
      </c>
      <c r="AR1539" t="s">
        <v>2056</v>
      </c>
      <c r="AS1539" t="s">
        <v>2057</v>
      </c>
      <c r="AT1539">
        <v>0.09</v>
      </c>
      <c r="AU1539" t="s">
        <v>65</v>
      </c>
      <c r="AV1539">
        <v>43</v>
      </c>
      <c r="AW1539">
        <v>7</v>
      </c>
      <c r="AX1539" t="s">
        <v>2058</v>
      </c>
      <c r="AY1539">
        <v>4.3110000000000002E-2</v>
      </c>
      <c r="AZ1539">
        <v>-1.7899999999999999E-3</v>
      </c>
      <c r="BA1539">
        <v>1.97E-3</v>
      </c>
      <c r="BB1539">
        <v>-1.3999999999999999E-4</v>
      </c>
      <c r="BC1539">
        <v>4.5690000000000001E-2</v>
      </c>
      <c r="BD1539">
        <v>1</v>
      </c>
      <c r="BE1539" t="s">
        <v>69</v>
      </c>
      <c r="BF1539">
        <v>-0.49099999999999999</v>
      </c>
      <c r="BG1539">
        <v>-1.2999999999999999E-2</v>
      </c>
    </row>
    <row r="1540" spans="1:59">
      <c r="A1540">
        <v>0</v>
      </c>
      <c r="B1540">
        <v>0</v>
      </c>
      <c r="C1540">
        <v>0</v>
      </c>
      <c r="D1540" t="s">
        <v>25022</v>
      </c>
      <c r="E1540">
        <v>1471</v>
      </c>
      <c r="F1540" t="s">
        <v>9192</v>
      </c>
      <c r="G1540" t="s">
        <v>57</v>
      </c>
      <c r="H1540">
        <v>1486045</v>
      </c>
      <c r="I1540">
        <v>1486923</v>
      </c>
      <c r="J1540" t="s">
        <v>9193</v>
      </c>
      <c r="K1540">
        <v>293</v>
      </c>
      <c r="L1540" t="s">
        <v>108</v>
      </c>
      <c r="M1540">
        <v>44</v>
      </c>
      <c r="N1540" t="str">
        <f>HYPERLINK("Gene1471-zp_tree_all.dnd", "Gene1471-tree")</f>
        <v>Gene1471-tree</v>
      </c>
      <c r="O1540">
        <v>9</v>
      </c>
      <c r="P1540">
        <v>4</v>
      </c>
      <c r="Q1540">
        <v>9</v>
      </c>
      <c r="R1540">
        <v>4</v>
      </c>
      <c r="S1540">
        <v>0.30769000000000002</v>
      </c>
      <c r="T1540" t="s">
        <v>135</v>
      </c>
      <c r="U1540" t="s">
        <v>61</v>
      </c>
      <c r="V1540" t="s">
        <v>62</v>
      </c>
      <c r="W1540" t="s">
        <v>62</v>
      </c>
      <c r="X1540">
        <v>0</v>
      </c>
      <c r="Y1540">
        <v>0</v>
      </c>
      <c r="Z1540">
        <v>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5</v>
      </c>
      <c r="AK1540">
        <v>0</v>
      </c>
      <c r="AL1540">
        <v>10</v>
      </c>
      <c r="AM1540">
        <v>8</v>
      </c>
      <c r="AN1540">
        <v>18</v>
      </c>
      <c r="AO1540">
        <v>5</v>
      </c>
      <c r="AP1540">
        <v>11</v>
      </c>
      <c r="AQ1540">
        <v>0</v>
      </c>
      <c r="AR1540" t="s">
        <v>9194</v>
      </c>
      <c r="AS1540" t="s">
        <v>193</v>
      </c>
      <c r="AT1540">
        <v>1.4630000000000001</v>
      </c>
      <c r="AU1540" t="s">
        <v>65</v>
      </c>
      <c r="AV1540">
        <v>29</v>
      </c>
      <c r="AW1540">
        <v>5</v>
      </c>
      <c r="AX1540" t="s">
        <v>9195</v>
      </c>
      <c r="AY1540">
        <v>3.2050000000000002E-2</v>
      </c>
      <c r="AZ1540">
        <v>-1.25E-3</v>
      </c>
      <c r="BA1540">
        <v>1.1100000000000001E-3</v>
      </c>
      <c r="BB1540">
        <v>-1.3999999999999999E-4</v>
      </c>
      <c r="BC1540">
        <v>3.4610000000000002E-2</v>
      </c>
      <c r="BD1540">
        <v>1</v>
      </c>
      <c r="BE1540" t="s">
        <v>69</v>
      </c>
      <c r="BF1540">
        <v>-0.73599999999999999</v>
      </c>
      <c r="BG1540">
        <v>-0.63</v>
      </c>
    </row>
    <row r="1541" spans="1:59">
      <c r="A1541">
        <v>0</v>
      </c>
      <c r="B1541">
        <v>31</v>
      </c>
      <c r="C1541">
        <v>5</v>
      </c>
      <c r="D1541" t="s">
        <v>25022</v>
      </c>
      <c r="E1541">
        <v>3584</v>
      </c>
      <c r="F1541" t="s">
        <v>21030</v>
      </c>
      <c r="G1541" t="s">
        <v>62</v>
      </c>
      <c r="H1541">
        <v>3551482</v>
      </c>
      <c r="I1541">
        <v>3552363</v>
      </c>
      <c r="J1541" t="s">
        <v>21031</v>
      </c>
      <c r="K1541">
        <v>294</v>
      </c>
      <c r="L1541" t="s">
        <v>108</v>
      </c>
      <c r="M1541">
        <v>44</v>
      </c>
      <c r="N1541" t="str">
        <f>HYPERLINK("Gene3584-zp_tree_all.dnd", "Gene3584-tree")</f>
        <v>Gene3584-tree</v>
      </c>
      <c r="O1541">
        <v>1</v>
      </c>
      <c r="P1541">
        <v>14</v>
      </c>
      <c r="Q1541">
        <v>1</v>
      </c>
      <c r="R1541">
        <v>14</v>
      </c>
      <c r="S1541">
        <v>0.93332999999999999</v>
      </c>
      <c r="T1541" t="s">
        <v>175</v>
      </c>
      <c r="U1541" t="s">
        <v>543</v>
      </c>
      <c r="V1541">
        <v>1865302226.941</v>
      </c>
      <c r="W1541" t="s">
        <v>267</v>
      </c>
      <c r="X1541">
        <v>14</v>
      </c>
      <c r="Y1541">
        <v>36</v>
      </c>
      <c r="Z1541">
        <v>25</v>
      </c>
      <c r="AA1541">
        <v>0.59016000000000002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14</v>
      </c>
      <c r="AH1541">
        <v>7</v>
      </c>
      <c r="AI1541">
        <v>21</v>
      </c>
      <c r="AJ1541">
        <v>25</v>
      </c>
      <c r="AK1541">
        <v>0.45651999999999998</v>
      </c>
      <c r="AL1541">
        <v>14</v>
      </c>
      <c r="AM1541">
        <v>12</v>
      </c>
      <c r="AN1541">
        <v>58</v>
      </c>
      <c r="AO1541">
        <v>45</v>
      </c>
      <c r="AP1541">
        <v>24</v>
      </c>
      <c r="AQ1541">
        <v>16</v>
      </c>
      <c r="AR1541" t="s">
        <v>21032</v>
      </c>
      <c r="AS1541" t="s">
        <v>21033</v>
      </c>
      <c r="AT1541">
        <v>0.34599999999999997</v>
      </c>
      <c r="AU1541" t="s">
        <v>65</v>
      </c>
      <c r="AV1541">
        <v>82</v>
      </c>
      <c r="AW1541">
        <v>61</v>
      </c>
      <c r="AX1541" t="s">
        <v>21034</v>
      </c>
      <c r="AY1541">
        <v>6.9150000000000003E-2</v>
      </c>
      <c r="AZ1541">
        <v>-2.3400000000000001E-3</v>
      </c>
      <c r="BA1541">
        <v>1.468E-2</v>
      </c>
      <c r="BB1541">
        <v>-5.2999999999999998E-4</v>
      </c>
      <c r="BC1541">
        <v>0.21226</v>
      </c>
      <c r="BD1541">
        <v>1</v>
      </c>
      <c r="BE1541" t="s">
        <v>69</v>
      </c>
      <c r="BF1541">
        <v>-0.373</v>
      </c>
      <c r="BG1541">
        <v>-1.55</v>
      </c>
    </row>
    <row r="1542" spans="1:59">
      <c r="A1542">
        <v>0</v>
      </c>
      <c r="B1542">
        <v>2</v>
      </c>
      <c r="C1542">
        <v>0</v>
      </c>
      <c r="D1542" t="s">
        <v>25022</v>
      </c>
      <c r="E1542">
        <v>2599</v>
      </c>
      <c r="F1542" t="s">
        <v>15212</v>
      </c>
      <c r="G1542" t="s">
        <v>62</v>
      </c>
      <c r="H1542">
        <v>2578836</v>
      </c>
      <c r="I1542">
        <v>2579717</v>
      </c>
      <c r="J1542" t="s">
        <v>15213</v>
      </c>
      <c r="K1542">
        <v>294</v>
      </c>
      <c r="L1542" t="s">
        <v>108</v>
      </c>
      <c r="M1542">
        <v>44</v>
      </c>
      <c r="N1542" t="str">
        <f>HYPERLINK("Gene2599-zp_tree_all.dnd", "Gene2599-tree")</f>
        <v>Gene2599-tree</v>
      </c>
      <c r="O1542">
        <v>9</v>
      </c>
      <c r="P1542">
        <v>4</v>
      </c>
      <c r="Q1542">
        <v>9</v>
      </c>
      <c r="R1542">
        <v>4</v>
      </c>
      <c r="S1542">
        <v>0.30769000000000002</v>
      </c>
      <c r="T1542" t="s">
        <v>135</v>
      </c>
      <c r="U1542" t="s">
        <v>61</v>
      </c>
      <c r="V1542" t="s">
        <v>62</v>
      </c>
      <c r="W1542" t="s">
        <v>62</v>
      </c>
      <c r="X1542">
        <v>1</v>
      </c>
      <c r="Y1542">
        <v>2</v>
      </c>
      <c r="Z1542">
        <v>4</v>
      </c>
      <c r="AA1542">
        <v>0.33333000000000002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</v>
      </c>
      <c r="AH1542">
        <v>0</v>
      </c>
      <c r="AI1542">
        <v>2</v>
      </c>
      <c r="AJ1542">
        <v>3</v>
      </c>
      <c r="AK1542">
        <v>0.4</v>
      </c>
      <c r="AL1542">
        <v>12</v>
      </c>
      <c r="AM1542">
        <v>5</v>
      </c>
      <c r="AN1542">
        <v>19</v>
      </c>
      <c r="AO1542">
        <v>5</v>
      </c>
      <c r="AP1542">
        <v>10</v>
      </c>
      <c r="AQ1542">
        <v>1</v>
      </c>
      <c r="AR1542" t="s">
        <v>15214</v>
      </c>
      <c r="AS1542" t="s">
        <v>15215</v>
      </c>
      <c r="AT1542">
        <v>0.58399999999999996</v>
      </c>
      <c r="AU1542" t="s">
        <v>65</v>
      </c>
      <c r="AV1542">
        <v>29</v>
      </c>
      <c r="AW1542">
        <v>6</v>
      </c>
      <c r="AX1542" t="s">
        <v>15216</v>
      </c>
      <c r="AY1542">
        <v>2.7019999999999999E-2</v>
      </c>
      <c r="AZ1542">
        <v>-1.5399999999999999E-3</v>
      </c>
      <c r="BA1542">
        <v>1.5499999999999999E-3</v>
      </c>
      <c r="BB1542">
        <v>-1.6000000000000001E-4</v>
      </c>
      <c r="BC1542">
        <v>5.7489999999999999E-2</v>
      </c>
      <c r="BD1542">
        <v>1</v>
      </c>
      <c r="BE1542" t="s">
        <v>69</v>
      </c>
      <c r="BF1542">
        <v>-0.66800000000000004</v>
      </c>
      <c r="BG1542">
        <v>-2.153</v>
      </c>
    </row>
    <row r="1543" spans="1:59">
      <c r="A1543">
        <v>0</v>
      </c>
      <c r="B1543">
        <v>2</v>
      </c>
      <c r="C1543">
        <v>1</v>
      </c>
      <c r="D1543" t="s">
        <v>25022</v>
      </c>
      <c r="E1543">
        <v>3656</v>
      </c>
      <c r="F1543" t="s">
        <v>21452</v>
      </c>
      <c r="G1543" t="s">
        <v>62</v>
      </c>
      <c r="H1543">
        <v>3626131</v>
      </c>
      <c r="I1543">
        <v>3627012</v>
      </c>
      <c r="J1543" t="s">
        <v>3095</v>
      </c>
      <c r="K1543">
        <v>294</v>
      </c>
      <c r="L1543" t="s">
        <v>108</v>
      </c>
      <c r="M1543">
        <v>44</v>
      </c>
      <c r="N1543" t="str">
        <f>HYPERLINK("Gene3656-zp_tree_all.dnd", "Gene3656-tree")</f>
        <v>Gene3656-tree</v>
      </c>
      <c r="O1543">
        <v>7</v>
      </c>
      <c r="P1543">
        <v>4</v>
      </c>
      <c r="Q1543">
        <v>7</v>
      </c>
      <c r="R1543">
        <v>4</v>
      </c>
      <c r="S1543">
        <v>0.36364000000000002</v>
      </c>
      <c r="T1543" t="s">
        <v>152</v>
      </c>
      <c r="U1543" t="s">
        <v>61</v>
      </c>
      <c r="V1543" t="s">
        <v>62</v>
      </c>
      <c r="W1543" t="s">
        <v>62</v>
      </c>
      <c r="X1543">
        <v>1</v>
      </c>
      <c r="Y1543">
        <v>3</v>
      </c>
      <c r="Z1543">
        <v>3</v>
      </c>
      <c r="AA1543">
        <v>0.5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2</v>
      </c>
      <c r="AH1543">
        <v>0</v>
      </c>
      <c r="AI1543">
        <v>2</v>
      </c>
      <c r="AJ1543">
        <v>3</v>
      </c>
      <c r="AK1543">
        <v>0.4</v>
      </c>
      <c r="AL1543">
        <v>10</v>
      </c>
      <c r="AM1543">
        <v>7</v>
      </c>
      <c r="AN1543">
        <v>32</v>
      </c>
      <c r="AO1543">
        <v>5</v>
      </c>
      <c r="AP1543">
        <v>20</v>
      </c>
      <c r="AQ1543">
        <v>1</v>
      </c>
      <c r="AR1543" t="s">
        <v>21453</v>
      </c>
      <c r="AS1543" t="s">
        <v>21454</v>
      </c>
      <c r="AT1543">
        <v>0.64</v>
      </c>
      <c r="AU1543" t="s">
        <v>65</v>
      </c>
      <c r="AV1543">
        <v>52</v>
      </c>
      <c r="AW1543">
        <v>6</v>
      </c>
      <c r="AX1543" t="s">
        <v>21455</v>
      </c>
      <c r="AY1543">
        <v>5.6129999999999999E-2</v>
      </c>
      <c r="AZ1543">
        <v>-2.5100000000000001E-3</v>
      </c>
      <c r="BA1543">
        <v>1.6900000000000001E-3</v>
      </c>
      <c r="BB1543">
        <v>-1.7000000000000001E-4</v>
      </c>
      <c r="BC1543">
        <v>3.015E-2</v>
      </c>
      <c r="BD1543">
        <v>1</v>
      </c>
      <c r="BE1543" t="s">
        <v>69</v>
      </c>
      <c r="BF1543">
        <v>-0.63300000000000001</v>
      </c>
      <c r="BG1543">
        <v>-2.0649999999999999</v>
      </c>
    </row>
    <row r="1544" spans="1:59">
      <c r="A1544">
        <v>0</v>
      </c>
      <c r="B1544">
        <v>0</v>
      </c>
      <c r="C1544">
        <v>0</v>
      </c>
      <c r="D1544" t="s">
        <v>25022</v>
      </c>
      <c r="E1544">
        <v>11</v>
      </c>
      <c r="F1544" t="s">
        <v>142</v>
      </c>
      <c r="G1544" t="s">
        <v>57</v>
      </c>
      <c r="H1544">
        <v>19062</v>
      </c>
      <c r="I1544">
        <v>19943</v>
      </c>
      <c r="J1544" t="s">
        <v>143</v>
      </c>
      <c r="K1544">
        <v>294</v>
      </c>
      <c r="L1544" t="s">
        <v>59</v>
      </c>
      <c r="M1544">
        <v>49</v>
      </c>
      <c r="N1544" t="str">
        <f>HYPERLINK("Gene11-zp_tree_all.dnd", "Gene11-tree")</f>
        <v>Gene11-tree</v>
      </c>
      <c r="O1544">
        <v>18</v>
      </c>
      <c r="P1544">
        <v>2</v>
      </c>
      <c r="Q1544">
        <v>18</v>
      </c>
      <c r="R1544">
        <v>2</v>
      </c>
      <c r="S1544">
        <v>0.1</v>
      </c>
      <c r="T1544" t="s">
        <v>144</v>
      </c>
      <c r="U1544" t="s">
        <v>81</v>
      </c>
      <c r="V1544" t="s">
        <v>62</v>
      </c>
      <c r="W1544" t="s">
        <v>62</v>
      </c>
      <c r="X1544">
        <v>0</v>
      </c>
      <c r="Y1544">
        <v>0</v>
      </c>
      <c r="Z1544">
        <v>9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5</v>
      </c>
      <c r="AK1544">
        <v>0</v>
      </c>
      <c r="AL1544">
        <v>15</v>
      </c>
      <c r="AM1544">
        <v>13</v>
      </c>
      <c r="AN1544">
        <v>33</v>
      </c>
      <c r="AO1544">
        <v>5</v>
      </c>
      <c r="AP1544">
        <v>51</v>
      </c>
      <c r="AQ1544">
        <v>4</v>
      </c>
      <c r="AR1544" t="s">
        <v>145</v>
      </c>
      <c r="AS1544" t="s">
        <v>146</v>
      </c>
      <c r="AT1544">
        <v>0.17499999999999999</v>
      </c>
      <c r="AU1544" t="s">
        <v>65</v>
      </c>
      <c r="AV1544">
        <v>84</v>
      </c>
      <c r="AW1544">
        <v>9</v>
      </c>
      <c r="AX1544" t="s">
        <v>147</v>
      </c>
      <c r="AY1544">
        <v>8.9260000000000006E-2</v>
      </c>
      <c r="AZ1544">
        <v>-5.2300000000000003E-3</v>
      </c>
      <c r="BA1544">
        <v>2.5000000000000001E-3</v>
      </c>
      <c r="BB1544">
        <v>-2.1000000000000001E-4</v>
      </c>
      <c r="BC1544">
        <v>2.8039999999999999E-2</v>
      </c>
      <c r="BD1544">
        <v>1</v>
      </c>
      <c r="BE1544" t="s">
        <v>69</v>
      </c>
      <c r="BF1544">
        <v>-1.1160000000000001</v>
      </c>
      <c r="BG1544">
        <v>-0.56200000000000006</v>
      </c>
    </row>
    <row r="1545" spans="1:59">
      <c r="A1545">
        <v>0</v>
      </c>
      <c r="B1545">
        <v>0</v>
      </c>
      <c r="C1545">
        <v>0</v>
      </c>
      <c r="D1545" t="s">
        <v>25022</v>
      </c>
      <c r="E1545">
        <v>908</v>
      </c>
      <c r="F1545" t="s">
        <v>5671</v>
      </c>
      <c r="G1545" t="s">
        <v>57</v>
      </c>
      <c r="H1545">
        <v>945520</v>
      </c>
      <c r="I1545">
        <v>946401</v>
      </c>
      <c r="J1545" t="s">
        <v>288</v>
      </c>
      <c r="K1545">
        <v>294</v>
      </c>
      <c r="L1545" t="s">
        <v>108</v>
      </c>
      <c r="M1545">
        <v>44</v>
      </c>
      <c r="N1545" t="str">
        <f>HYPERLINK("Gene908-zp_tree_all.dnd", "Gene908-tree")</f>
        <v>Gene908-tree</v>
      </c>
      <c r="O1545">
        <v>7</v>
      </c>
      <c r="P1545">
        <v>3</v>
      </c>
      <c r="Q1545">
        <v>7</v>
      </c>
      <c r="R1545">
        <v>3</v>
      </c>
      <c r="S1545">
        <v>0.3</v>
      </c>
      <c r="T1545" t="s">
        <v>152</v>
      </c>
      <c r="U1545" t="s">
        <v>324</v>
      </c>
      <c r="V1545" t="s">
        <v>62</v>
      </c>
      <c r="W1545" t="s">
        <v>62</v>
      </c>
      <c r="X1545">
        <v>0</v>
      </c>
      <c r="Y1545">
        <v>0</v>
      </c>
      <c r="Z1545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4</v>
      </c>
      <c r="AK1545">
        <v>0</v>
      </c>
      <c r="AL1545">
        <v>7</v>
      </c>
      <c r="AM1545">
        <v>5</v>
      </c>
      <c r="AN1545">
        <v>23</v>
      </c>
      <c r="AO1545">
        <v>4</v>
      </c>
      <c r="AP1545">
        <v>12</v>
      </c>
      <c r="AQ1545">
        <v>0</v>
      </c>
      <c r="AR1545" t="s">
        <v>5672</v>
      </c>
      <c r="AS1545" t="s">
        <v>193</v>
      </c>
      <c r="AT1545">
        <v>1.224</v>
      </c>
      <c r="AU1545" t="s">
        <v>65</v>
      </c>
      <c r="AV1545">
        <v>35</v>
      </c>
      <c r="AW1545">
        <v>4</v>
      </c>
      <c r="AX1545" t="s">
        <v>5673</v>
      </c>
      <c r="AY1545">
        <v>4.3770000000000003E-2</v>
      </c>
      <c r="AZ1545">
        <v>-2.97E-3</v>
      </c>
      <c r="BA1545">
        <v>1.16E-3</v>
      </c>
      <c r="BB1545">
        <v>-1.9000000000000001E-4</v>
      </c>
      <c r="BC1545">
        <v>2.6589999999999999E-2</v>
      </c>
      <c r="BD1545">
        <v>1</v>
      </c>
      <c r="BE1545" t="s">
        <v>69</v>
      </c>
      <c r="BF1545">
        <v>-0.505</v>
      </c>
      <c r="BG1545">
        <v>-1.2649999999999999</v>
      </c>
    </row>
    <row r="1546" spans="1:59">
      <c r="A1546">
        <v>0</v>
      </c>
      <c r="B1546">
        <v>13</v>
      </c>
      <c r="C1546">
        <v>2</v>
      </c>
      <c r="D1546" t="s">
        <v>25022</v>
      </c>
      <c r="E1546">
        <v>4004</v>
      </c>
      <c r="F1546" t="s">
        <v>23550</v>
      </c>
      <c r="G1546" t="s">
        <v>62</v>
      </c>
      <c r="H1546">
        <v>3968720</v>
      </c>
      <c r="I1546">
        <v>3969604</v>
      </c>
      <c r="J1546" t="s">
        <v>23551</v>
      </c>
      <c r="K1546">
        <v>295</v>
      </c>
      <c r="L1546" t="s">
        <v>1392</v>
      </c>
      <c r="M1546">
        <v>43</v>
      </c>
      <c r="N1546" t="str">
        <f>HYPERLINK("Gene4004-zp_tree_all.dnd", "Gene4004-tree")</f>
        <v>Gene4004-tree</v>
      </c>
      <c r="O1546">
        <v>3</v>
      </c>
      <c r="P1546">
        <v>13</v>
      </c>
      <c r="Q1546">
        <v>3</v>
      </c>
      <c r="R1546">
        <v>13</v>
      </c>
      <c r="S1546">
        <v>0.8125</v>
      </c>
      <c r="T1546" t="s">
        <v>324</v>
      </c>
      <c r="U1546" t="s">
        <v>507</v>
      </c>
      <c r="V1546" t="s">
        <v>62</v>
      </c>
      <c r="W1546" t="s">
        <v>62</v>
      </c>
      <c r="X1546">
        <v>7</v>
      </c>
      <c r="Y1546">
        <v>15</v>
      </c>
      <c r="Z1546">
        <v>17</v>
      </c>
      <c r="AA1546">
        <v>0.46875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3</v>
      </c>
      <c r="AH1546">
        <v>2</v>
      </c>
      <c r="AI1546">
        <v>5</v>
      </c>
      <c r="AJ1546">
        <v>18</v>
      </c>
      <c r="AK1546">
        <v>0.21739</v>
      </c>
      <c r="AL1546">
        <v>10</v>
      </c>
      <c r="AM1546">
        <v>11</v>
      </c>
      <c r="AN1546">
        <v>13</v>
      </c>
      <c r="AO1546">
        <v>13</v>
      </c>
      <c r="AP1546">
        <v>47</v>
      </c>
      <c r="AQ1546">
        <v>19</v>
      </c>
      <c r="AR1546" t="s">
        <v>23552</v>
      </c>
      <c r="AS1546" t="s">
        <v>23553</v>
      </c>
      <c r="AT1546">
        <v>0.77100000000000002</v>
      </c>
      <c r="AU1546" t="s">
        <v>65</v>
      </c>
      <c r="AV1546">
        <v>60</v>
      </c>
      <c r="AW1546">
        <v>32</v>
      </c>
      <c r="AX1546" t="s">
        <v>23554</v>
      </c>
      <c r="AY1546">
        <v>8.0939999999999998E-2</v>
      </c>
      <c r="AZ1546">
        <v>-3.3300000000000001E-3</v>
      </c>
      <c r="BA1546">
        <v>1.0240000000000001E-2</v>
      </c>
      <c r="BB1546">
        <v>-4.0999999999999999E-4</v>
      </c>
      <c r="BC1546">
        <v>0.12656000000000001</v>
      </c>
      <c r="BD1546">
        <v>1</v>
      </c>
      <c r="BE1546" t="s">
        <v>69</v>
      </c>
      <c r="BF1546">
        <v>2.7E-2</v>
      </c>
      <c r="BG1546">
        <v>-0.20899999999999999</v>
      </c>
    </row>
    <row r="1547" spans="1:59">
      <c r="A1547">
        <v>0</v>
      </c>
      <c r="B1547">
        <v>7</v>
      </c>
      <c r="C1547">
        <v>0</v>
      </c>
      <c r="D1547" t="s">
        <v>25022</v>
      </c>
      <c r="E1547">
        <v>3190</v>
      </c>
      <c r="F1547" t="s">
        <v>18565</v>
      </c>
      <c r="G1547" t="s">
        <v>62</v>
      </c>
      <c r="H1547">
        <v>3142080</v>
      </c>
      <c r="I1547">
        <v>3142964</v>
      </c>
      <c r="J1547" t="s">
        <v>18566</v>
      </c>
      <c r="K1547">
        <v>295</v>
      </c>
      <c r="L1547" t="s">
        <v>108</v>
      </c>
      <c r="M1547">
        <v>44</v>
      </c>
      <c r="N1547" t="str">
        <f>HYPERLINK("Gene3190-zp_tree_all.dnd", "Gene3190-tree")</f>
        <v>Gene3190-tree</v>
      </c>
      <c r="O1547">
        <v>4</v>
      </c>
      <c r="P1547">
        <v>11</v>
      </c>
      <c r="Q1547">
        <v>4</v>
      </c>
      <c r="R1547">
        <v>11</v>
      </c>
      <c r="S1547">
        <v>0.73333000000000004</v>
      </c>
      <c r="T1547" t="s">
        <v>61</v>
      </c>
      <c r="U1547" t="s">
        <v>73</v>
      </c>
      <c r="V1547">
        <v>200307210.301</v>
      </c>
      <c r="W1547" t="s">
        <v>267</v>
      </c>
      <c r="X1547">
        <v>3</v>
      </c>
      <c r="Y1547">
        <v>7</v>
      </c>
      <c r="Z1547">
        <v>14</v>
      </c>
      <c r="AA1547">
        <v>0.33333000000000002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4</v>
      </c>
      <c r="AH1547">
        <v>0</v>
      </c>
      <c r="AI1547">
        <v>4</v>
      </c>
      <c r="AJ1547">
        <v>13</v>
      </c>
      <c r="AK1547">
        <v>0.23529</v>
      </c>
      <c r="AL1547">
        <v>12</v>
      </c>
      <c r="AM1547">
        <v>10</v>
      </c>
      <c r="AN1547">
        <v>27</v>
      </c>
      <c r="AO1547">
        <v>13</v>
      </c>
      <c r="AP1547">
        <v>23</v>
      </c>
      <c r="AQ1547">
        <v>8</v>
      </c>
      <c r="AR1547" t="s">
        <v>18567</v>
      </c>
      <c r="AS1547" t="s">
        <v>18568</v>
      </c>
      <c r="AT1547">
        <v>0.41399999999999998</v>
      </c>
      <c r="AU1547" t="s">
        <v>65</v>
      </c>
      <c r="AV1547">
        <v>50</v>
      </c>
      <c r="AW1547">
        <v>21</v>
      </c>
      <c r="AX1547" t="s">
        <v>18569</v>
      </c>
      <c r="AY1547">
        <v>4.3130000000000002E-2</v>
      </c>
      <c r="AZ1547">
        <v>-1.47E-3</v>
      </c>
      <c r="BA1547">
        <v>5.4200000000000003E-3</v>
      </c>
      <c r="BB1547">
        <v>-2.9999999999999997E-4</v>
      </c>
      <c r="BC1547">
        <v>0.12573999999999999</v>
      </c>
      <c r="BD1547">
        <v>1</v>
      </c>
      <c r="BE1547" t="s">
        <v>69</v>
      </c>
      <c r="BF1547">
        <v>-1.0129999999999999</v>
      </c>
      <c r="BG1547">
        <v>-1.278</v>
      </c>
    </row>
    <row r="1548" spans="1:59">
      <c r="A1548">
        <v>0</v>
      </c>
      <c r="B1548">
        <v>0</v>
      </c>
      <c r="C1548">
        <v>0</v>
      </c>
      <c r="D1548" t="s">
        <v>25022</v>
      </c>
      <c r="E1548">
        <v>232</v>
      </c>
      <c r="F1548" t="s">
        <v>1571</v>
      </c>
      <c r="G1548" t="s">
        <v>57</v>
      </c>
      <c r="H1548">
        <v>251427</v>
      </c>
      <c r="I1548">
        <v>252311</v>
      </c>
      <c r="J1548" t="s">
        <v>1572</v>
      </c>
      <c r="K1548">
        <v>295</v>
      </c>
      <c r="L1548" t="s">
        <v>1573</v>
      </c>
      <c r="M1548">
        <v>33</v>
      </c>
      <c r="N1548" t="str">
        <f>HYPERLINK("Gene232-zp_tree_all.dnd", "Gene232-tree")</f>
        <v>Gene232-tree</v>
      </c>
      <c r="O1548">
        <v>4</v>
      </c>
      <c r="P1548">
        <v>1</v>
      </c>
      <c r="Q1548">
        <v>4</v>
      </c>
      <c r="R1548">
        <v>1</v>
      </c>
      <c r="S1548">
        <v>0.2</v>
      </c>
      <c r="T1548" t="s">
        <v>61</v>
      </c>
      <c r="U1548" t="s">
        <v>175</v>
      </c>
      <c r="V1548" t="s">
        <v>62</v>
      </c>
      <c r="W1548" t="s">
        <v>62</v>
      </c>
      <c r="X1548">
        <v>0</v>
      </c>
      <c r="Y1548">
        <v>0</v>
      </c>
      <c r="Z1548">
        <v>5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5</v>
      </c>
      <c r="AK1548">
        <v>0</v>
      </c>
      <c r="AL1548">
        <v>2</v>
      </c>
      <c r="AM1548">
        <v>2</v>
      </c>
      <c r="AN1548">
        <v>19</v>
      </c>
      <c r="AO1548">
        <v>5</v>
      </c>
      <c r="AP1548">
        <v>2</v>
      </c>
      <c r="AQ1548">
        <v>0</v>
      </c>
      <c r="AR1548" t="s">
        <v>1574</v>
      </c>
      <c r="AS1548" t="s">
        <v>193</v>
      </c>
      <c r="AT1548">
        <v>0.78100000000000003</v>
      </c>
      <c r="AU1548" t="s">
        <v>65</v>
      </c>
      <c r="AV1548">
        <v>21</v>
      </c>
      <c r="AW1548">
        <v>5</v>
      </c>
      <c r="AX1548" t="s">
        <v>1575</v>
      </c>
      <c r="AY1548">
        <v>5.0520000000000002E-2</v>
      </c>
      <c r="AZ1548">
        <v>-1.617E-2</v>
      </c>
      <c r="BA1548">
        <v>2.8800000000000002E-3</v>
      </c>
      <c r="BB1548">
        <v>-1.1100000000000001E-3</v>
      </c>
      <c r="BC1548">
        <v>5.6930000000000001E-2</v>
      </c>
      <c r="BD1548">
        <v>1</v>
      </c>
      <c r="BE1548" t="s">
        <v>69</v>
      </c>
      <c r="BF1548">
        <v>-2.556</v>
      </c>
      <c r="BG1548">
        <v>-4.5110000000000001</v>
      </c>
    </row>
    <row r="1549" spans="1:59">
      <c r="A1549">
        <v>0</v>
      </c>
      <c r="B1549">
        <v>0</v>
      </c>
      <c r="C1549">
        <v>0</v>
      </c>
      <c r="D1549" t="s">
        <v>25022</v>
      </c>
      <c r="E1549">
        <v>3604</v>
      </c>
      <c r="F1549" t="s">
        <v>21164</v>
      </c>
      <c r="G1549" t="s">
        <v>62</v>
      </c>
      <c r="H1549">
        <v>3571504</v>
      </c>
      <c r="I1549">
        <v>3572388</v>
      </c>
      <c r="J1549" t="s">
        <v>21165</v>
      </c>
      <c r="K1549">
        <v>295</v>
      </c>
      <c r="L1549" t="s">
        <v>465</v>
      </c>
      <c r="M1549">
        <v>46</v>
      </c>
      <c r="N1549" t="str">
        <f>HYPERLINK("Gene3604-zp_tree_all.dnd", "Gene3604-tree")</f>
        <v>Gene3604-tree</v>
      </c>
      <c r="O1549">
        <v>11</v>
      </c>
      <c r="P1549">
        <v>2</v>
      </c>
      <c r="Q1549">
        <v>11</v>
      </c>
      <c r="R1549">
        <v>2</v>
      </c>
      <c r="S1549">
        <v>0.15384999999999999</v>
      </c>
      <c r="T1549" t="s">
        <v>73</v>
      </c>
      <c r="U1549" t="s">
        <v>81</v>
      </c>
      <c r="V1549" t="s">
        <v>62</v>
      </c>
      <c r="W1549" t="s">
        <v>62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2</v>
      </c>
      <c r="AK1549">
        <v>0</v>
      </c>
      <c r="AL1549">
        <v>12</v>
      </c>
      <c r="AM1549">
        <v>9</v>
      </c>
      <c r="AN1549">
        <v>31</v>
      </c>
      <c r="AO1549">
        <v>2</v>
      </c>
      <c r="AP1549">
        <v>49</v>
      </c>
      <c r="AQ1549">
        <v>5</v>
      </c>
      <c r="AR1549" t="s">
        <v>21166</v>
      </c>
      <c r="AS1549" t="s">
        <v>21167</v>
      </c>
      <c r="AT1549">
        <v>9.2999999999999999E-2</v>
      </c>
      <c r="AU1549" t="s">
        <v>65</v>
      </c>
      <c r="AV1549">
        <v>80</v>
      </c>
      <c r="AW1549">
        <v>7</v>
      </c>
      <c r="AX1549" t="s">
        <v>21168</v>
      </c>
      <c r="AY1549">
        <v>9.6089999999999995E-2</v>
      </c>
      <c r="AZ1549">
        <v>-8.8100000000000001E-3</v>
      </c>
      <c r="BA1549">
        <v>2.5300000000000001E-3</v>
      </c>
      <c r="BB1549">
        <v>-4.0999999999999999E-4</v>
      </c>
      <c r="BC1549">
        <v>2.6329999999999999E-2</v>
      </c>
      <c r="BD1549">
        <v>1</v>
      </c>
      <c r="BE1549" t="s">
        <v>69</v>
      </c>
      <c r="BF1549">
        <v>-1.3720000000000001</v>
      </c>
      <c r="BG1549">
        <v>0.13200000000000001</v>
      </c>
    </row>
    <row r="1550" spans="1:59">
      <c r="A1550">
        <v>0</v>
      </c>
      <c r="B1550">
        <v>2</v>
      </c>
      <c r="C1550">
        <v>0</v>
      </c>
      <c r="D1550" t="s">
        <v>25022</v>
      </c>
      <c r="E1550">
        <v>749</v>
      </c>
      <c r="F1550" t="s">
        <v>4656</v>
      </c>
      <c r="G1550" t="s">
        <v>57</v>
      </c>
      <c r="H1550">
        <v>782062</v>
      </c>
      <c r="I1550">
        <v>782946</v>
      </c>
      <c r="J1550" t="s">
        <v>4649</v>
      </c>
      <c r="K1550">
        <v>295</v>
      </c>
      <c r="L1550" t="s">
        <v>4657</v>
      </c>
      <c r="M1550">
        <v>46</v>
      </c>
      <c r="N1550" t="str">
        <f>HYPERLINK("Gene749-zp_tree_all.dnd", "Gene749-tree")</f>
        <v>Gene749-tree</v>
      </c>
      <c r="O1550">
        <v>15</v>
      </c>
      <c r="P1550">
        <v>4</v>
      </c>
      <c r="Q1550">
        <v>15</v>
      </c>
      <c r="R1550">
        <v>4</v>
      </c>
      <c r="S1550">
        <v>0.21052999999999999</v>
      </c>
      <c r="T1550" t="s">
        <v>100</v>
      </c>
      <c r="U1550" t="s">
        <v>61</v>
      </c>
      <c r="V1550" t="s">
        <v>62</v>
      </c>
      <c r="W1550" t="s">
        <v>62</v>
      </c>
      <c r="X1550">
        <v>1</v>
      </c>
      <c r="Y1550">
        <v>2</v>
      </c>
      <c r="Z1550">
        <v>6</v>
      </c>
      <c r="AA1550">
        <v>0.25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</v>
      </c>
      <c r="AH1550">
        <v>0</v>
      </c>
      <c r="AI1550">
        <v>2</v>
      </c>
      <c r="AJ1550">
        <v>4</v>
      </c>
      <c r="AK1550">
        <v>0.33333000000000002</v>
      </c>
      <c r="AL1550">
        <v>15</v>
      </c>
      <c r="AM1550">
        <v>16</v>
      </c>
      <c r="AN1550">
        <v>55</v>
      </c>
      <c r="AO1550">
        <v>6</v>
      </c>
      <c r="AP1550">
        <v>74</v>
      </c>
      <c r="AQ1550">
        <v>2</v>
      </c>
      <c r="AR1550" t="s">
        <v>4658</v>
      </c>
      <c r="AS1550" t="s">
        <v>4659</v>
      </c>
      <c r="AT1550">
        <v>0.54600000000000004</v>
      </c>
      <c r="AU1550" t="s">
        <v>65</v>
      </c>
      <c r="AV1550">
        <v>129</v>
      </c>
      <c r="AW1550">
        <v>8</v>
      </c>
      <c r="AX1550" t="s">
        <v>4660</v>
      </c>
      <c r="AY1550">
        <v>0.11533</v>
      </c>
      <c r="AZ1550">
        <v>-5.9899999999999997E-3</v>
      </c>
      <c r="BA1550">
        <v>1.98E-3</v>
      </c>
      <c r="BB1550">
        <v>-1.6000000000000001E-4</v>
      </c>
      <c r="BC1550">
        <v>1.7180000000000001E-2</v>
      </c>
      <c r="BD1550">
        <v>1</v>
      </c>
      <c r="BE1550" t="s">
        <v>69</v>
      </c>
      <c r="BF1550">
        <v>-1.159</v>
      </c>
      <c r="BG1550">
        <v>-0.48599999999999999</v>
      </c>
    </row>
    <row r="1551" spans="1:59">
      <c r="A1551">
        <v>0</v>
      </c>
      <c r="B1551">
        <v>0</v>
      </c>
      <c r="C1551">
        <v>0</v>
      </c>
      <c r="D1551" t="s">
        <v>25022</v>
      </c>
      <c r="E1551">
        <v>2629</v>
      </c>
      <c r="F1551" t="s">
        <v>15401</v>
      </c>
      <c r="G1551" t="s">
        <v>62</v>
      </c>
      <c r="H1551">
        <v>2607765</v>
      </c>
      <c r="I1551">
        <v>2608649</v>
      </c>
      <c r="J1551" t="s">
        <v>15402</v>
      </c>
      <c r="K1551">
        <v>295</v>
      </c>
      <c r="L1551" t="s">
        <v>465</v>
      </c>
      <c r="M1551">
        <v>46</v>
      </c>
      <c r="N1551" t="str">
        <f>HYPERLINK("Gene2629-zp_tree_all.dnd", "Gene2629-tree")</f>
        <v>Gene2629-tree</v>
      </c>
      <c r="O1551">
        <v>14</v>
      </c>
      <c r="P1551">
        <v>1</v>
      </c>
      <c r="Q1551">
        <v>14</v>
      </c>
      <c r="R1551">
        <v>1</v>
      </c>
      <c r="S1551">
        <v>6.6669999999999993E-2</v>
      </c>
      <c r="T1551" t="s">
        <v>543</v>
      </c>
      <c r="U1551" t="s">
        <v>175</v>
      </c>
      <c r="V1551" t="s">
        <v>62</v>
      </c>
      <c r="W1551" t="s">
        <v>62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13</v>
      </c>
      <c r="AM1551">
        <v>5</v>
      </c>
      <c r="AN1551">
        <v>37</v>
      </c>
      <c r="AO1551">
        <v>1</v>
      </c>
      <c r="AP1551">
        <v>46</v>
      </c>
      <c r="AQ1551">
        <v>0</v>
      </c>
      <c r="AR1551" t="s">
        <v>15403</v>
      </c>
      <c r="AS1551" t="s">
        <v>193</v>
      </c>
      <c r="AT1551">
        <v>0.28999999999999998</v>
      </c>
      <c r="AU1551" t="s">
        <v>65</v>
      </c>
      <c r="AV1551">
        <v>83</v>
      </c>
      <c r="AW1551">
        <v>1</v>
      </c>
      <c r="AX1551" t="s">
        <v>15404</v>
      </c>
      <c r="AY1551">
        <v>9.2429999999999998E-2</v>
      </c>
      <c r="AZ1551">
        <v>-8.7399999999999995E-3</v>
      </c>
      <c r="BA1551">
        <v>1.9000000000000001E-4</v>
      </c>
      <c r="BB1551">
        <v>-5.0000000000000002E-5</v>
      </c>
      <c r="BC1551">
        <v>2.0999999999999999E-3</v>
      </c>
      <c r="BD1551">
        <v>1</v>
      </c>
      <c r="BE1551" t="s">
        <v>69</v>
      </c>
      <c r="BF1551">
        <v>-1.206</v>
      </c>
      <c r="BG1551">
        <v>-1.4999999999999999E-2</v>
      </c>
    </row>
    <row r="1552" spans="1:59">
      <c r="A1552">
        <v>0</v>
      </c>
      <c r="B1552">
        <v>16</v>
      </c>
      <c r="C1552">
        <v>1</v>
      </c>
      <c r="D1552" t="s">
        <v>25022</v>
      </c>
      <c r="E1552">
        <v>226</v>
      </c>
      <c r="F1552" t="s">
        <v>1529</v>
      </c>
      <c r="G1552" t="s">
        <v>57</v>
      </c>
      <c r="H1552">
        <v>246658</v>
      </c>
      <c r="I1552">
        <v>247545</v>
      </c>
      <c r="J1552" t="s">
        <v>1530</v>
      </c>
      <c r="K1552">
        <v>296</v>
      </c>
      <c r="L1552" t="s">
        <v>108</v>
      </c>
      <c r="M1552">
        <v>44</v>
      </c>
      <c r="N1552" t="str">
        <f>HYPERLINK("Gene226-zp_tree_all.dnd", "Gene226-tree")</f>
        <v>Gene226-tree</v>
      </c>
      <c r="O1552">
        <v>1</v>
      </c>
      <c r="P1552">
        <v>11</v>
      </c>
      <c r="Q1552">
        <v>1</v>
      </c>
      <c r="R1552">
        <v>11</v>
      </c>
      <c r="S1552">
        <v>0.91666999999999998</v>
      </c>
      <c r="T1552" t="s">
        <v>175</v>
      </c>
      <c r="U1552" t="s">
        <v>73</v>
      </c>
      <c r="V1552">
        <v>1144612630.289</v>
      </c>
      <c r="W1552" t="s">
        <v>267</v>
      </c>
      <c r="X1552">
        <v>7</v>
      </c>
      <c r="Y1552">
        <v>17</v>
      </c>
      <c r="Z1552">
        <v>11</v>
      </c>
      <c r="AA1552">
        <v>0.60714000000000001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12</v>
      </c>
      <c r="AH1552">
        <v>1</v>
      </c>
      <c r="AI1552">
        <v>13</v>
      </c>
      <c r="AJ1552">
        <v>11</v>
      </c>
      <c r="AK1552">
        <v>0.54166999999999998</v>
      </c>
      <c r="AL1552">
        <v>9</v>
      </c>
      <c r="AM1552">
        <v>7</v>
      </c>
      <c r="AN1552">
        <v>26</v>
      </c>
      <c r="AO1552">
        <v>20</v>
      </c>
      <c r="AP1552">
        <v>4</v>
      </c>
      <c r="AQ1552">
        <v>8</v>
      </c>
      <c r="AR1552" t="s">
        <v>1531</v>
      </c>
      <c r="AS1552" t="s">
        <v>1532</v>
      </c>
      <c r="AT1552">
        <v>0.747</v>
      </c>
      <c r="AU1552" t="s">
        <v>65</v>
      </c>
      <c r="AV1552">
        <v>30</v>
      </c>
      <c r="AW1552">
        <v>28</v>
      </c>
      <c r="AX1552" t="s">
        <v>1533</v>
      </c>
      <c r="AY1552">
        <v>2.9319999999999999E-2</v>
      </c>
      <c r="AZ1552">
        <v>-2.2200000000000002E-3</v>
      </c>
      <c r="BA1552">
        <v>8.5000000000000006E-3</v>
      </c>
      <c r="BB1552">
        <v>-4.0000000000000002E-4</v>
      </c>
      <c r="BC1552">
        <v>0.28991</v>
      </c>
      <c r="BD1552">
        <v>1</v>
      </c>
      <c r="BE1552" t="s">
        <v>69</v>
      </c>
      <c r="BF1552">
        <v>-0.44400000000000001</v>
      </c>
      <c r="BG1552">
        <v>-2.15</v>
      </c>
    </row>
    <row r="1553" spans="1:59">
      <c r="A1553">
        <v>0</v>
      </c>
      <c r="B1553">
        <v>28</v>
      </c>
      <c r="C1553">
        <v>5</v>
      </c>
      <c r="D1553" t="s">
        <v>25022</v>
      </c>
      <c r="E1553">
        <v>1349</v>
      </c>
      <c r="F1553" t="s">
        <v>8442</v>
      </c>
      <c r="G1553" t="s">
        <v>57</v>
      </c>
      <c r="H1553">
        <v>1367941</v>
      </c>
      <c r="I1553">
        <v>1368828</v>
      </c>
      <c r="J1553" t="s">
        <v>8443</v>
      </c>
      <c r="K1553">
        <v>296</v>
      </c>
      <c r="L1553" t="s">
        <v>108</v>
      </c>
      <c r="M1553">
        <v>44</v>
      </c>
      <c r="N1553" t="str">
        <f>HYPERLINK("Gene1349-zp_tree_all.dnd", "Gene1349-tree")</f>
        <v>Gene1349-tree</v>
      </c>
      <c r="O1553">
        <v>1</v>
      </c>
      <c r="P1553">
        <v>12</v>
      </c>
      <c r="Q1553">
        <v>1</v>
      </c>
      <c r="R1553">
        <v>12</v>
      </c>
      <c r="S1553">
        <v>0.92308000000000001</v>
      </c>
      <c r="T1553" t="s">
        <v>175</v>
      </c>
      <c r="U1553" t="s">
        <v>109</v>
      </c>
      <c r="V1553" t="s">
        <v>62</v>
      </c>
      <c r="W1553" t="s">
        <v>62</v>
      </c>
      <c r="X1553">
        <v>12</v>
      </c>
      <c r="Y1553">
        <v>33</v>
      </c>
      <c r="Z1553">
        <v>18</v>
      </c>
      <c r="AA1553">
        <v>0.64705999999999997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8</v>
      </c>
      <c r="AH1553">
        <v>5</v>
      </c>
      <c r="AI1553">
        <v>13</v>
      </c>
      <c r="AJ1553">
        <v>19</v>
      </c>
      <c r="AK1553">
        <v>0.40625</v>
      </c>
      <c r="AL1553">
        <v>10</v>
      </c>
      <c r="AM1553">
        <v>10</v>
      </c>
      <c r="AN1553">
        <v>42</v>
      </c>
      <c r="AO1553">
        <v>28</v>
      </c>
      <c r="AP1553">
        <v>42</v>
      </c>
      <c r="AQ1553">
        <v>26</v>
      </c>
      <c r="AR1553" t="s">
        <v>8444</v>
      </c>
      <c r="AS1553" t="s">
        <v>8445</v>
      </c>
      <c r="AT1553">
        <v>9.8000000000000004E-2</v>
      </c>
      <c r="AU1553" t="s">
        <v>65</v>
      </c>
      <c r="AV1553">
        <v>84</v>
      </c>
      <c r="AW1553">
        <v>54</v>
      </c>
      <c r="AX1553" t="s">
        <v>8446</v>
      </c>
      <c r="AY1553">
        <v>9.2429999999999998E-2</v>
      </c>
      <c r="AZ1553">
        <v>-3.9100000000000003E-3</v>
      </c>
      <c r="BA1553">
        <v>1.5879999999999998E-2</v>
      </c>
      <c r="BB1553">
        <v>-6.3000000000000003E-4</v>
      </c>
      <c r="BC1553">
        <v>0.17183000000000001</v>
      </c>
      <c r="BD1553">
        <v>1</v>
      </c>
      <c r="BE1553" t="s">
        <v>69</v>
      </c>
      <c r="BF1553">
        <v>1.107</v>
      </c>
      <c r="BG1553">
        <v>0.432</v>
      </c>
    </row>
    <row r="1554" spans="1:59">
      <c r="A1554">
        <v>0</v>
      </c>
      <c r="B1554">
        <v>15</v>
      </c>
      <c r="C1554">
        <v>0</v>
      </c>
      <c r="D1554" t="s">
        <v>25022</v>
      </c>
      <c r="E1554">
        <v>3899</v>
      </c>
      <c r="F1554" t="s">
        <v>22860</v>
      </c>
      <c r="G1554" t="s">
        <v>62</v>
      </c>
      <c r="H1554">
        <v>3862360</v>
      </c>
      <c r="I1554">
        <v>3863247</v>
      </c>
      <c r="J1554" t="s">
        <v>22861</v>
      </c>
      <c r="K1554">
        <v>296</v>
      </c>
      <c r="L1554" t="s">
        <v>11485</v>
      </c>
      <c r="M1554">
        <v>43</v>
      </c>
      <c r="N1554" t="str">
        <f>HYPERLINK("Gene3899-zp_tree_all.dnd", "Gene3899-tree")</f>
        <v>Gene3899-tree</v>
      </c>
      <c r="O1554">
        <v>3</v>
      </c>
      <c r="P1554">
        <v>10</v>
      </c>
      <c r="Q1554">
        <v>3</v>
      </c>
      <c r="R1554">
        <v>10</v>
      </c>
      <c r="S1554">
        <v>0.76922999999999997</v>
      </c>
      <c r="T1554" t="s">
        <v>324</v>
      </c>
      <c r="U1554" t="s">
        <v>117</v>
      </c>
      <c r="V1554" t="s">
        <v>62</v>
      </c>
      <c r="W1554" t="s">
        <v>62</v>
      </c>
      <c r="X1554">
        <v>6</v>
      </c>
      <c r="Y1554">
        <v>15</v>
      </c>
      <c r="Z1554">
        <v>10</v>
      </c>
      <c r="AA1554">
        <v>0.6</v>
      </c>
      <c r="AB1554">
        <v>0</v>
      </c>
      <c r="AC1554">
        <v>0</v>
      </c>
      <c r="AD1554">
        <v>0</v>
      </c>
      <c r="AE1554">
        <v>2</v>
      </c>
      <c r="AF1554">
        <v>0</v>
      </c>
      <c r="AG1554">
        <v>11</v>
      </c>
      <c r="AH1554">
        <v>0</v>
      </c>
      <c r="AI1554">
        <v>11</v>
      </c>
      <c r="AJ1554">
        <v>8</v>
      </c>
      <c r="AK1554">
        <v>0.57894999999999996</v>
      </c>
      <c r="AL1554">
        <v>12</v>
      </c>
      <c r="AM1554">
        <v>10</v>
      </c>
      <c r="AN1554">
        <v>34</v>
      </c>
      <c r="AO1554">
        <v>21</v>
      </c>
      <c r="AP1554">
        <v>22</v>
      </c>
      <c r="AQ1554">
        <v>6</v>
      </c>
      <c r="AR1554" t="s">
        <v>22862</v>
      </c>
      <c r="AS1554" t="s">
        <v>22863</v>
      </c>
      <c r="AT1554">
        <v>0.86599999999999999</v>
      </c>
      <c r="AU1554" t="s">
        <v>65</v>
      </c>
      <c r="AV1554">
        <v>56</v>
      </c>
      <c r="AW1554">
        <v>27</v>
      </c>
      <c r="AX1554" t="s">
        <v>22864</v>
      </c>
      <c r="AY1554">
        <v>5.4699999999999999E-2</v>
      </c>
      <c r="AZ1554">
        <v>-3.1800000000000001E-3</v>
      </c>
      <c r="BA1554">
        <v>6.5399999999999998E-3</v>
      </c>
      <c r="BB1554">
        <v>-3.2000000000000003E-4</v>
      </c>
      <c r="BC1554">
        <v>0.11951000000000001</v>
      </c>
      <c r="BD1554">
        <v>1</v>
      </c>
      <c r="BE1554" t="s">
        <v>69</v>
      </c>
      <c r="BF1554">
        <v>-0.16600000000000001</v>
      </c>
      <c r="BG1554">
        <v>-0.183</v>
      </c>
    </row>
    <row r="1555" spans="1:59">
      <c r="A1555">
        <v>0</v>
      </c>
      <c r="B1555">
        <v>0</v>
      </c>
      <c r="C1555">
        <v>0</v>
      </c>
      <c r="D1555" t="s">
        <v>25022</v>
      </c>
      <c r="E1555">
        <v>2530</v>
      </c>
      <c r="F1555" t="s">
        <v>8572</v>
      </c>
      <c r="G1555" t="s">
        <v>62</v>
      </c>
      <c r="H1555">
        <v>2525792</v>
      </c>
      <c r="I1555">
        <v>2526679</v>
      </c>
      <c r="J1555" t="s">
        <v>14776</v>
      </c>
      <c r="K1555">
        <v>296</v>
      </c>
      <c r="L1555" t="s">
        <v>108</v>
      </c>
      <c r="M1555">
        <v>44</v>
      </c>
      <c r="N1555" t="str">
        <f>HYPERLINK("Gene2530-zp_tree_all.dnd", "Gene2530-tree")</f>
        <v>Gene2530-tree</v>
      </c>
      <c r="O1555">
        <v>6</v>
      </c>
      <c r="P1555">
        <v>5</v>
      </c>
      <c r="Q1555">
        <v>6</v>
      </c>
      <c r="R1555">
        <v>5</v>
      </c>
      <c r="S1555">
        <v>0.45455000000000001</v>
      </c>
      <c r="T1555" t="s">
        <v>90</v>
      </c>
      <c r="U1555" t="s">
        <v>199</v>
      </c>
      <c r="V1555" t="s">
        <v>62</v>
      </c>
      <c r="W1555" t="s">
        <v>62</v>
      </c>
      <c r="X1555">
        <v>0</v>
      </c>
      <c r="Y1555">
        <v>0</v>
      </c>
      <c r="Z1555">
        <v>8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7</v>
      </c>
      <c r="AK1555">
        <v>0</v>
      </c>
      <c r="AL1555">
        <v>10</v>
      </c>
      <c r="AM1555">
        <v>7</v>
      </c>
      <c r="AN1555">
        <v>18</v>
      </c>
      <c r="AO1555">
        <v>7</v>
      </c>
      <c r="AP1555">
        <v>11</v>
      </c>
      <c r="AQ1555">
        <v>1</v>
      </c>
      <c r="AR1555" t="s">
        <v>14777</v>
      </c>
      <c r="AS1555" t="s">
        <v>14778</v>
      </c>
      <c r="AT1555">
        <v>0.79500000000000004</v>
      </c>
      <c r="AU1555" t="s">
        <v>65</v>
      </c>
      <c r="AV1555">
        <v>29</v>
      </c>
      <c r="AW1555">
        <v>8</v>
      </c>
      <c r="AX1555" t="s">
        <v>14779</v>
      </c>
      <c r="AY1555">
        <v>3.1210000000000002E-2</v>
      </c>
      <c r="AZ1555">
        <v>-1.65E-3</v>
      </c>
      <c r="BA1555">
        <v>2.64E-3</v>
      </c>
      <c r="BB1555">
        <v>-2.5000000000000001E-4</v>
      </c>
      <c r="BC1555">
        <v>8.4449999999999997E-2</v>
      </c>
      <c r="BD1555">
        <v>1</v>
      </c>
      <c r="BE1555" t="s">
        <v>69</v>
      </c>
      <c r="BF1555">
        <v>-1.504</v>
      </c>
      <c r="BG1555">
        <v>-1.5209999999999999</v>
      </c>
    </row>
    <row r="1556" spans="1:59">
      <c r="A1556">
        <v>0</v>
      </c>
      <c r="B1556">
        <v>0</v>
      </c>
      <c r="C1556">
        <v>0</v>
      </c>
      <c r="D1556" t="s">
        <v>25022</v>
      </c>
      <c r="E1556">
        <v>2292</v>
      </c>
      <c r="F1556" t="s">
        <v>13276</v>
      </c>
      <c r="G1556" t="s">
        <v>62</v>
      </c>
      <c r="H1556">
        <v>2310998</v>
      </c>
      <c r="I1556">
        <v>2311885</v>
      </c>
      <c r="J1556" t="s">
        <v>13277</v>
      </c>
      <c r="K1556">
        <v>296</v>
      </c>
      <c r="L1556" t="s">
        <v>108</v>
      </c>
      <c r="M1556">
        <v>44</v>
      </c>
      <c r="N1556" t="str">
        <f>HYPERLINK("Gene2292-zp_tree_all.dnd", "Gene2292-tree")</f>
        <v>Gene2292-tree</v>
      </c>
      <c r="O1556">
        <v>10</v>
      </c>
      <c r="P1556">
        <v>3</v>
      </c>
      <c r="Q1556">
        <v>10</v>
      </c>
      <c r="R1556">
        <v>3</v>
      </c>
      <c r="S1556">
        <v>0.23077</v>
      </c>
      <c r="T1556" t="s">
        <v>117</v>
      </c>
      <c r="U1556" t="s">
        <v>324</v>
      </c>
      <c r="V1556" t="s">
        <v>62</v>
      </c>
      <c r="W1556" t="s">
        <v>62</v>
      </c>
      <c r="X1556">
        <v>0</v>
      </c>
      <c r="Y1556">
        <v>0</v>
      </c>
      <c r="Z1556">
        <v>7</v>
      </c>
      <c r="AA1556">
        <v>0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0</v>
      </c>
      <c r="AH1556">
        <v>0</v>
      </c>
      <c r="AI1556">
        <v>0</v>
      </c>
      <c r="AJ1556">
        <v>4</v>
      </c>
      <c r="AK1556">
        <v>0</v>
      </c>
      <c r="AL1556">
        <v>9</v>
      </c>
      <c r="AM1556">
        <v>7</v>
      </c>
      <c r="AN1556">
        <v>16</v>
      </c>
      <c r="AO1556">
        <v>3</v>
      </c>
      <c r="AP1556">
        <v>9</v>
      </c>
      <c r="AQ1556">
        <v>4</v>
      </c>
      <c r="AR1556" t="s">
        <v>13278</v>
      </c>
      <c r="AS1556" t="s">
        <v>13279</v>
      </c>
      <c r="AT1556">
        <v>0.34899999999999998</v>
      </c>
      <c r="AU1556" t="s">
        <v>65</v>
      </c>
      <c r="AV1556">
        <v>25</v>
      </c>
      <c r="AW1556">
        <v>7</v>
      </c>
      <c r="AX1556" t="s">
        <v>13280</v>
      </c>
      <c r="AY1556">
        <v>2.8549999999999999E-2</v>
      </c>
      <c r="AZ1556">
        <v>-1.5399999999999999E-3</v>
      </c>
      <c r="BA1556">
        <v>2.31E-3</v>
      </c>
      <c r="BB1556">
        <v>-2.5000000000000001E-4</v>
      </c>
      <c r="BC1556">
        <v>8.09E-2</v>
      </c>
      <c r="BD1556">
        <v>1</v>
      </c>
      <c r="BE1556" t="s">
        <v>69</v>
      </c>
      <c r="BF1556">
        <v>-1.0549999999999999</v>
      </c>
      <c r="BG1556">
        <v>-1.92</v>
      </c>
    </row>
    <row r="1557" spans="1:59">
      <c r="A1557">
        <v>0</v>
      </c>
      <c r="B1557">
        <v>13</v>
      </c>
      <c r="C1557">
        <v>2</v>
      </c>
      <c r="D1557" t="s">
        <v>25022</v>
      </c>
      <c r="E1557">
        <v>736</v>
      </c>
      <c r="F1557" t="s">
        <v>4562</v>
      </c>
      <c r="G1557" t="s">
        <v>57</v>
      </c>
      <c r="H1557">
        <v>763875</v>
      </c>
      <c r="I1557">
        <v>764762</v>
      </c>
      <c r="J1557" t="s">
        <v>4556</v>
      </c>
      <c r="K1557">
        <v>296</v>
      </c>
      <c r="L1557" t="s">
        <v>289</v>
      </c>
      <c r="M1557">
        <v>46</v>
      </c>
      <c r="N1557" t="str">
        <f>HYPERLINK("Gene736-zp_tree_all.dnd", "Gene736-tree")</f>
        <v>Gene736-tree</v>
      </c>
      <c r="O1557">
        <v>7</v>
      </c>
      <c r="P1557">
        <v>11</v>
      </c>
      <c r="Q1557">
        <v>7</v>
      </c>
      <c r="R1557">
        <v>11</v>
      </c>
      <c r="S1557">
        <v>0.61111000000000004</v>
      </c>
      <c r="T1557" t="s">
        <v>152</v>
      </c>
      <c r="U1557" t="s">
        <v>73</v>
      </c>
      <c r="V1557">
        <v>65406436.016999997</v>
      </c>
      <c r="W1557" t="s">
        <v>267</v>
      </c>
      <c r="X1557">
        <v>5</v>
      </c>
      <c r="Y1557">
        <v>15</v>
      </c>
      <c r="Z1557">
        <v>10</v>
      </c>
      <c r="AA1557">
        <v>0.6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4</v>
      </c>
      <c r="AH1557">
        <v>0</v>
      </c>
      <c r="AI1557">
        <v>4</v>
      </c>
      <c r="AJ1557">
        <v>9</v>
      </c>
      <c r="AK1557">
        <v>0.30769000000000002</v>
      </c>
      <c r="AL1557">
        <v>16</v>
      </c>
      <c r="AM1557">
        <v>11</v>
      </c>
      <c r="AN1557">
        <v>50</v>
      </c>
      <c r="AO1557">
        <v>13</v>
      </c>
      <c r="AP1557">
        <v>63</v>
      </c>
      <c r="AQ1557">
        <v>12</v>
      </c>
      <c r="AR1557" t="s">
        <v>4563</v>
      </c>
      <c r="AS1557" t="s">
        <v>4564</v>
      </c>
      <c r="AT1557">
        <v>0.33900000000000002</v>
      </c>
      <c r="AU1557" t="s">
        <v>65</v>
      </c>
      <c r="AV1557">
        <v>113</v>
      </c>
      <c r="AW1557">
        <v>25</v>
      </c>
      <c r="AX1557" t="s">
        <v>4565</v>
      </c>
      <c r="AY1557">
        <v>8.9539999999999995E-2</v>
      </c>
      <c r="AZ1557">
        <v>-5.2700000000000004E-3</v>
      </c>
      <c r="BA1557">
        <v>5.7200000000000003E-3</v>
      </c>
      <c r="BB1557">
        <v>-2.7E-4</v>
      </c>
      <c r="BC1557">
        <v>6.3850000000000004E-2</v>
      </c>
      <c r="BD1557">
        <v>1</v>
      </c>
      <c r="BE1557" t="s">
        <v>69</v>
      </c>
      <c r="BF1557">
        <v>-0.92200000000000004</v>
      </c>
      <c r="BG1557">
        <v>-1.401</v>
      </c>
    </row>
    <row r="1558" spans="1:59">
      <c r="A1558">
        <v>0</v>
      </c>
      <c r="B1558">
        <v>5</v>
      </c>
      <c r="C1558">
        <v>0</v>
      </c>
      <c r="D1558" t="s">
        <v>25022</v>
      </c>
      <c r="E1558">
        <v>3653</v>
      </c>
      <c r="F1558" t="s">
        <v>21430</v>
      </c>
      <c r="G1558" t="s">
        <v>62</v>
      </c>
      <c r="H1558">
        <v>3623941</v>
      </c>
      <c r="I1558">
        <v>3624828</v>
      </c>
      <c r="J1558" t="s">
        <v>21431</v>
      </c>
      <c r="K1558">
        <v>296</v>
      </c>
      <c r="L1558" t="s">
        <v>59</v>
      </c>
      <c r="M1558">
        <v>49</v>
      </c>
      <c r="N1558" t="str">
        <f>HYPERLINK("Gene3653-zp_tree_all.dnd", "Gene3653-tree")</f>
        <v>Gene3653-tree</v>
      </c>
      <c r="O1558">
        <v>13</v>
      </c>
      <c r="P1558">
        <v>5</v>
      </c>
      <c r="Q1558">
        <v>13</v>
      </c>
      <c r="R1558">
        <v>5</v>
      </c>
      <c r="S1558">
        <v>0.27778000000000003</v>
      </c>
      <c r="T1558" t="s">
        <v>507</v>
      </c>
      <c r="U1558" t="s">
        <v>199</v>
      </c>
      <c r="V1558" t="s">
        <v>62</v>
      </c>
      <c r="W1558" t="s">
        <v>62</v>
      </c>
      <c r="X1558">
        <v>2</v>
      </c>
      <c r="Y1558">
        <v>5</v>
      </c>
      <c r="Z1558">
        <v>8</v>
      </c>
      <c r="AA1558">
        <v>0.38462000000000002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2</v>
      </c>
      <c r="AH1558">
        <v>0</v>
      </c>
      <c r="AI1558">
        <v>2</v>
      </c>
      <c r="AJ1558">
        <v>3</v>
      </c>
      <c r="AK1558">
        <v>0.4</v>
      </c>
      <c r="AL1558">
        <v>15</v>
      </c>
      <c r="AM1558">
        <v>13</v>
      </c>
      <c r="AN1558">
        <v>51</v>
      </c>
      <c r="AO1558">
        <v>5</v>
      </c>
      <c r="AP1558">
        <v>54</v>
      </c>
      <c r="AQ1558">
        <v>8</v>
      </c>
      <c r="AR1558" t="s">
        <v>21432</v>
      </c>
      <c r="AS1558" t="s">
        <v>21433</v>
      </c>
      <c r="AT1558">
        <v>0.31900000000000001</v>
      </c>
      <c r="AU1558" t="s">
        <v>65</v>
      </c>
      <c r="AV1558">
        <v>105</v>
      </c>
      <c r="AW1558">
        <v>13</v>
      </c>
      <c r="AX1558" t="s">
        <v>21434</v>
      </c>
      <c r="AY1558">
        <v>0.10015</v>
      </c>
      <c r="AZ1558">
        <v>-5.3899999999999998E-3</v>
      </c>
      <c r="BA1558">
        <v>3.8600000000000001E-3</v>
      </c>
      <c r="BB1558">
        <v>-2.7999999999999998E-4</v>
      </c>
      <c r="BC1558">
        <v>3.8510000000000003E-2</v>
      </c>
      <c r="BD1558">
        <v>1</v>
      </c>
      <c r="BE1558" t="s">
        <v>69</v>
      </c>
      <c r="BF1558">
        <v>-1.7589999999999999</v>
      </c>
      <c r="BG1558">
        <v>-1.216</v>
      </c>
    </row>
    <row r="1559" spans="1:59">
      <c r="A1559">
        <v>0</v>
      </c>
      <c r="B1559">
        <v>0</v>
      </c>
      <c r="C1559">
        <v>0</v>
      </c>
      <c r="D1559" t="s">
        <v>25022</v>
      </c>
      <c r="E1559">
        <v>2449</v>
      </c>
      <c r="F1559" t="s">
        <v>14262</v>
      </c>
      <c r="G1559" t="s">
        <v>62</v>
      </c>
      <c r="H1559">
        <v>2448594</v>
      </c>
      <c r="I1559">
        <v>2449481</v>
      </c>
      <c r="J1559" t="s">
        <v>10493</v>
      </c>
      <c r="K1559">
        <v>296</v>
      </c>
      <c r="L1559" t="s">
        <v>108</v>
      </c>
      <c r="M1559">
        <v>44</v>
      </c>
      <c r="N1559" t="str">
        <f>HYPERLINK("Gene2449-zp_tree_all.dnd", "Gene2449-tree")</f>
        <v>Gene2449-tree</v>
      </c>
      <c r="O1559">
        <v>8</v>
      </c>
      <c r="P1559">
        <v>5</v>
      </c>
      <c r="Q1559">
        <v>8</v>
      </c>
      <c r="R1559">
        <v>5</v>
      </c>
      <c r="S1559">
        <v>0.38462000000000002</v>
      </c>
      <c r="T1559" t="s">
        <v>136</v>
      </c>
      <c r="U1559" t="s">
        <v>199</v>
      </c>
      <c r="V1559" t="s">
        <v>62</v>
      </c>
      <c r="W1559" t="s">
        <v>62</v>
      </c>
      <c r="X1559">
        <v>0</v>
      </c>
      <c r="Y1559">
        <v>0</v>
      </c>
      <c r="Z1559">
        <v>6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6</v>
      </c>
      <c r="AK1559">
        <v>0</v>
      </c>
      <c r="AL1559">
        <v>10</v>
      </c>
      <c r="AM1559">
        <v>9</v>
      </c>
      <c r="AN1559">
        <v>19</v>
      </c>
      <c r="AO1559">
        <v>4</v>
      </c>
      <c r="AP1559">
        <v>24</v>
      </c>
      <c r="AQ1559">
        <v>2</v>
      </c>
      <c r="AR1559" t="s">
        <v>14263</v>
      </c>
      <c r="AS1559" t="s">
        <v>14264</v>
      </c>
      <c r="AT1559">
        <v>0.48199999999999998</v>
      </c>
      <c r="AU1559" t="s">
        <v>65</v>
      </c>
      <c r="AV1559">
        <v>43</v>
      </c>
      <c r="AW1559">
        <v>6</v>
      </c>
      <c r="AX1559" t="s">
        <v>14265</v>
      </c>
      <c r="AY1559">
        <v>5.7579999999999999E-2</v>
      </c>
      <c r="AZ1559">
        <v>-2.9499999999999999E-3</v>
      </c>
      <c r="BA1559">
        <v>1.73E-3</v>
      </c>
      <c r="BB1559">
        <v>-1.8000000000000001E-4</v>
      </c>
      <c r="BC1559">
        <v>3.0020000000000002E-2</v>
      </c>
      <c r="BD1559">
        <v>1</v>
      </c>
      <c r="BE1559" t="s">
        <v>69</v>
      </c>
      <c r="BF1559">
        <v>0.57899999999999996</v>
      </c>
      <c r="BG1559">
        <v>0.27700000000000002</v>
      </c>
    </row>
    <row r="1560" spans="1:59">
      <c r="A1560">
        <v>0</v>
      </c>
      <c r="B1560">
        <v>0</v>
      </c>
      <c r="C1560">
        <v>0</v>
      </c>
      <c r="D1560" t="s">
        <v>25022</v>
      </c>
      <c r="E1560">
        <v>4177</v>
      </c>
      <c r="F1560" t="s">
        <v>24590</v>
      </c>
      <c r="G1560" t="s">
        <v>62</v>
      </c>
      <c r="H1560">
        <v>4141714</v>
      </c>
      <c r="I1560">
        <v>4142601</v>
      </c>
      <c r="J1560" t="s">
        <v>24591</v>
      </c>
      <c r="K1560">
        <v>296</v>
      </c>
      <c r="L1560" t="s">
        <v>108</v>
      </c>
      <c r="M1560">
        <v>44</v>
      </c>
      <c r="N1560" t="str">
        <f>HYPERLINK("Gene4177-zp_tree_all.dnd", "Gene4177-tree")</f>
        <v>Gene4177-tree</v>
      </c>
      <c r="O1560">
        <v>31</v>
      </c>
      <c r="P1560">
        <v>1</v>
      </c>
      <c r="Q1560">
        <v>14</v>
      </c>
      <c r="R1560">
        <v>1</v>
      </c>
      <c r="S1560">
        <v>6.6669999999999993E-2</v>
      </c>
      <c r="T1560" t="s">
        <v>4627</v>
      </c>
      <c r="U1560" t="s">
        <v>175</v>
      </c>
      <c r="V1560" t="s">
        <v>62</v>
      </c>
      <c r="W1560" t="s">
        <v>62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14</v>
      </c>
      <c r="AM1560">
        <v>12</v>
      </c>
      <c r="AN1560">
        <v>44</v>
      </c>
      <c r="AO1560">
        <v>1</v>
      </c>
      <c r="AP1560">
        <v>20</v>
      </c>
      <c r="AQ1560">
        <v>0</v>
      </c>
      <c r="AR1560" t="s">
        <v>24592</v>
      </c>
      <c r="AS1560" t="s">
        <v>193</v>
      </c>
      <c r="AT1560">
        <v>0.28000000000000003</v>
      </c>
      <c r="AU1560" t="s">
        <v>65</v>
      </c>
      <c r="AV1560">
        <v>64</v>
      </c>
      <c r="AW1560">
        <v>1</v>
      </c>
      <c r="AX1560" t="s">
        <v>24593</v>
      </c>
      <c r="AY1560">
        <v>5.0790000000000002E-2</v>
      </c>
      <c r="AZ1560">
        <v>-1.2700000000000001E-3</v>
      </c>
      <c r="BA1560">
        <v>2.0000000000000001E-4</v>
      </c>
      <c r="BB1560">
        <v>-5.0000000000000002E-5</v>
      </c>
      <c r="BC1560">
        <v>3.8899999999999998E-3</v>
      </c>
      <c r="BD1560">
        <v>1</v>
      </c>
      <c r="BE1560" t="s">
        <v>69</v>
      </c>
      <c r="BF1560">
        <v>-0.71699999999999997</v>
      </c>
      <c r="BG1560">
        <v>-1.5960000000000001</v>
      </c>
    </row>
    <row r="1561" spans="1:59">
      <c r="A1561">
        <v>0</v>
      </c>
      <c r="B1561">
        <v>0</v>
      </c>
      <c r="C1561">
        <v>0</v>
      </c>
      <c r="D1561" t="s">
        <v>25022</v>
      </c>
      <c r="E1561">
        <v>1672</v>
      </c>
      <c r="F1561" t="s">
        <v>10472</v>
      </c>
      <c r="G1561" t="s">
        <v>57</v>
      </c>
      <c r="H1561">
        <v>1682580</v>
      </c>
      <c r="I1561">
        <v>1683470</v>
      </c>
      <c r="J1561" t="s">
        <v>10473</v>
      </c>
      <c r="K1561">
        <v>297</v>
      </c>
      <c r="L1561" t="s">
        <v>1557</v>
      </c>
      <c r="M1561">
        <v>40</v>
      </c>
      <c r="N1561" t="str">
        <f>HYPERLINK("Gene1672-zp_tree_all.dnd", "Gene1672-tree")</f>
        <v>Gene1672-tree</v>
      </c>
      <c r="O1561">
        <v>7</v>
      </c>
      <c r="P1561">
        <v>7</v>
      </c>
      <c r="Q1561">
        <v>7</v>
      </c>
      <c r="R1561">
        <v>7</v>
      </c>
      <c r="S1561">
        <v>0.5</v>
      </c>
      <c r="T1561" t="s">
        <v>152</v>
      </c>
      <c r="U1561" t="s">
        <v>152</v>
      </c>
      <c r="V1561" t="s">
        <v>62</v>
      </c>
      <c r="W1561" t="s">
        <v>62</v>
      </c>
      <c r="X1561">
        <v>0</v>
      </c>
      <c r="Y1561">
        <v>0</v>
      </c>
      <c r="Z1561">
        <v>12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10</v>
      </c>
      <c r="AK1561">
        <v>0</v>
      </c>
      <c r="AL1561">
        <v>10</v>
      </c>
      <c r="AM1561">
        <v>7</v>
      </c>
      <c r="AN1561">
        <v>11</v>
      </c>
      <c r="AO1561">
        <v>9</v>
      </c>
      <c r="AP1561">
        <v>6</v>
      </c>
      <c r="AQ1561">
        <v>3</v>
      </c>
      <c r="AR1561" t="s">
        <v>10474</v>
      </c>
      <c r="AS1561" t="s">
        <v>10475</v>
      </c>
      <c r="AT1561">
        <v>0.56699999999999995</v>
      </c>
      <c r="AU1561" t="s">
        <v>65</v>
      </c>
      <c r="AV1561">
        <v>17</v>
      </c>
      <c r="AW1561">
        <v>12</v>
      </c>
      <c r="AX1561" t="s">
        <v>10476</v>
      </c>
      <c r="AY1561">
        <v>1.6580000000000001E-2</v>
      </c>
      <c r="AZ1561">
        <v>-7.7999999999999999E-4</v>
      </c>
      <c r="BA1561">
        <v>3.9399999999999999E-3</v>
      </c>
      <c r="BB1561">
        <v>-2.5999999999999998E-4</v>
      </c>
      <c r="BC1561">
        <v>0.23738000000000001</v>
      </c>
      <c r="BD1561">
        <v>1</v>
      </c>
      <c r="BE1561" t="s">
        <v>69</v>
      </c>
      <c r="BF1561">
        <v>-0.998</v>
      </c>
      <c r="BG1561">
        <v>-0.65800000000000003</v>
      </c>
    </row>
    <row r="1562" spans="1:59">
      <c r="A1562">
        <v>0</v>
      </c>
      <c r="B1562">
        <v>7</v>
      </c>
      <c r="C1562">
        <v>0</v>
      </c>
      <c r="D1562" t="s">
        <v>25022</v>
      </c>
      <c r="E1562">
        <v>4020</v>
      </c>
      <c r="F1562" t="s">
        <v>23655</v>
      </c>
      <c r="G1562" t="s">
        <v>62</v>
      </c>
      <c r="H1562">
        <v>3985354</v>
      </c>
      <c r="I1562">
        <v>3986244</v>
      </c>
      <c r="J1562" t="s">
        <v>23656</v>
      </c>
      <c r="K1562">
        <v>297</v>
      </c>
      <c r="L1562" t="s">
        <v>108</v>
      </c>
      <c r="M1562">
        <v>44</v>
      </c>
      <c r="N1562" t="str">
        <f>HYPERLINK("Gene4020-zp_tree_all.dnd", "Gene4020-tree")</f>
        <v>Gene4020-tree</v>
      </c>
      <c r="O1562">
        <v>4</v>
      </c>
      <c r="P1562">
        <v>6</v>
      </c>
      <c r="Q1562">
        <v>4</v>
      </c>
      <c r="R1562">
        <v>6</v>
      </c>
      <c r="S1562">
        <v>0.6</v>
      </c>
      <c r="T1562" t="s">
        <v>61</v>
      </c>
      <c r="U1562" t="s">
        <v>90</v>
      </c>
      <c r="V1562" t="s">
        <v>62</v>
      </c>
      <c r="W1562" t="s">
        <v>62</v>
      </c>
      <c r="X1562">
        <v>3</v>
      </c>
      <c r="Y1562">
        <v>7</v>
      </c>
      <c r="Z1562">
        <v>10</v>
      </c>
      <c r="AA1562">
        <v>0.41176000000000001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2</v>
      </c>
      <c r="AH1562">
        <v>0</v>
      </c>
      <c r="AI1562">
        <v>2</v>
      </c>
      <c r="AJ1562">
        <v>9</v>
      </c>
      <c r="AK1562">
        <v>0.18182000000000001</v>
      </c>
      <c r="AL1562">
        <v>9</v>
      </c>
      <c r="AM1562">
        <v>6</v>
      </c>
      <c r="AN1562">
        <v>18</v>
      </c>
      <c r="AO1562">
        <v>11</v>
      </c>
      <c r="AP1562">
        <v>13</v>
      </c>
      <c r="AQ1562">
        <v>6</v>
      </c>
      <c r="AR1562" t="s">
        <v>23657</v>
      </c>
      <c r="AS1562" t="s">
        <v>23658</v>
      </c>
      <c r="AT1562">
        <v>0.48199999999999998</v>
      </c>
      <c r="AU1562" t="s">
        <v>65</v>
      </c>
      <c r="AV1562">
        <v>31</v>
      </c>
      <c r="AW1562">
        <v>17</v>
      </c>
      <c r="AX1562" t="s">
        <v>23659</v>
      </c>
      <c r="AY1562">
        <v>3.4700000000000002E-2</v>
      </c>
      <c r="AZ1562">
        <v>-1.4499999999999999E-3</v>
      </c>
      <c r="BA1562">
        <v>6.3099999999999996E-3</v>
      </c>
      <c r="BB1562">
        <v>-4.6999999999999999E-4</v>
      </c>
      <c r="BC1562">
        <v>0.18187</v>
      </c>
      <c r="BD1562">
        <v>1</v>
      </c>
      <c r="BE1562" t="s">
        <v>69</v>
      </c>
      <c r="BF1562">
        <v>0.31900000000000001</v>
      </c>
      <c r="BG1562">
        <v>-0.69199999999999995</v>
      </c>
    </row>
    <row r="1563" spans="1:59">
      <c r="A1563">
        <v>0</v>
      </c>
      <c r="B1563">
        <v>6</v>
      </c>
      <c r="C1563">
        <v>0</v>
      </c>
      <c r="D1563" t="s">
        <v>25022</v>
      </c>
      <c r="E1563">
        <v>4113</v>
      </c>
      <c r="F1563" t="s">
        <v>24234</v>
      </c>
      <c r="G1563" t="s">
        <v>62</v>
      </c>
      <c r="H1563">
        <v>4078176</v>
      </c>
      <c r="I1563">
        <v>4079066</v>
      </c>
      <c r="J1563" t="s">
        <v>24235</v>
      </c>
      <c r="K1563">
        <v>297</v>
      </c>
      <c r="L1563" t="s">
        <v>108</v>
      </c>
      <c r="M1563">
        <v>44</v>
      </c>
      <c r="N1563" t="str">
        <f>HYPERLINK("Gene4113-zp_tree_all.dnd", "Gene4113-tree")</f>
        <v>Gene4113-tree</v>
      </c>
      <c r="O1563">
        <v>25</v>
      </c>
      <c r="P1563">
        <v>10</v>
      </c>
      <c r="Q1563">
        <v>6</v>
      </c>
      <c r="R1563">
        <v>10</v>
      </c>
      <c r="S1563">
        <v>0.625</v>
      </c>
      <c r="T1563" t="s">
        <v>965</v>
      </c>
      <c r="U1563" t="s">
        <v>117</v>
      </c>
      <c r="V1563" t="s">
        <v>62</v>
      </c>
      <c r="W1563" t="s">
        <v>62</v>
      </c>
      <c r="X1563">
        <v>2</v>
      </c>
      <c r="Y1563">
        <v>6</v>
      </c>
      <c r="Z1563">
        <v>12</v>
      </c>
      <c r="AA1563">
        <v>0.33333000000000002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</v>
      </c>
      <c r="AH1563">
        <v>0</v>
      </c>
      <c r="AI1563">
        <v>4</v>
      </c>
      <c r="AJ1563">
        <v>11</v>
      </c>
      <c r="AK1563">
        <v>0.26667000000000002</v>
      </c>
      <c r="AL1563">
        <v>12</v>
      </c>
      <c r="AM1563">
        <v>9</v>
      </c>
      <c r="AN1563">
        <v>22</v>
      </c>
      <c r="AO1563">
        <v>14</v>
      </c>
      <c r="AP1563">
        <v>8</v>
      </c>
      <c r="AQ1563">
        <v>4</v>
      </c>
      <c r="AR1563" t="s">
        <v>24236</v>
      </c>
      <c r="AS1563" t="s">
        <v>24237</v>
      </c>
      <c r="AT1563">
        <v>0.33200000000000002</v>
      </c>
      <c r="AU1563" t="s">
        <v>65</v>
      </c>
      <c r="AV1563">
        <v>30</v>
      </c>
      <c r="AW1563">
        <v>18</v>
      </c>
      <c r="AX1563" t="s">
        <v>24238</v>
      </c>
      <c r="AY1563">
        <v>2.495E-2</v>
      </c>
      <c r="AZ1563">
        <v>-1.01E-3</v>
      </c>
      <c r="BA1563">
        <v>4.0000000000000001E-3</v>
      </c>
      <c r="BB1563">
        <v>-2.0000000000000001E-4</v>
      </c>
      <c r="BC1563">
        <v>0.16033</v>
      </c>
      <c r="BD1563">
        <v>1</v>
      </c>
      <c r="BE1563" t="s">
        <v>69</v>
      </c>
      <c r="BF1563">
        <v>-1.49</v>
      </c>
      <c r="BG1563">
        <v>-2.75</v>
      </c>
    </row>
    <row r="1564" spans="1:59">
      <c r="A1564">
        <v>0</v>
      </c>
      <c r="B1564">
        <v>7</v>
      </c>
      <c r="C1564">
        <v>0</v>
      </c>
      <c r="D1564" t="s">
        <v>25022</v>
      </c>
      <c r="E1564">
        <v>2677</v>
      </c>
      <c r="F1564" t="s">
        <v>15703</v>
      </c>
      <c r="G1564" t="s">
        <v>62</v>
      </c>
      <c r="H1564">
        <v>2650490</v>
      </c>
      <c r="I1564">
        <v>2651380</v>
      </c>
      <c r="J1564" t="s">
        <v>15704</v>
      </c>
      <c r="K1564">
        <v>297</v>
      </c>
      <c r="L1564" t="s">
        <v>108</v>
      </c>
      <c r="M1564">
        <v>44</v>
      </c>
      <c r="N1564" t="str">
        <f>HYPERLINK("Gene2677-zp_tree_all.dnd", "Gene2677-tree")</f>
        <v>Gene2677-tree</v>
      </c>
      <c r="O1564">
        <v>5</v>
      </c>
      <c r="P1564">
        <v>11</v>
      </c>
      <c r="Q1564">
        <v>5</v>
      </c>
      <c r="R1564">
        <v>11</v>
      </c>
      <c r="S1564">
        <v>0.6875</v>
      </c>
      <c r="T1564" t="s">
        <v>199</v>
      </c>
      <c r="U1564" t="s">
        <v>73</v>
      </c>
      <c r="V1564">
        <v>137353515.63499999</v>
      </c>
      <c r="W1564" t="s">
        <v>267</v>
      </c>
      <c r="X1564">
        <v>3</v>
      </c>
      <c r="Y1564">
        <v>7</v>
      </c>
      <c r="Z1564">
        <v>17</v>
      </c>
      <c r="AA1564">
        <v>0.29166999999999998</v>
      </c>
      <c r="AB1564">
        <v>0</v>
      </c>
      <c r="AC1564">
        <v>0</v>
      </c>
      <c r="AD1564">
        <v>0</v>
      </c>
      <c r="AE1564">
        <v>2</v>
      </c>
      <c r="AF1564">
        <v>0</v>
      </c>
      <c r="AG1564">
        <v>4</v>
      </c>
      <c r="AH1564">
        <v>0</v>
      </c>
      <c r="AI1564">
        <v>4</v>
      </c>
      <c r="AJ1564">
        <v>16</v>
      </c>
      <c r="AK1564">
        <v>0.2</v>
      </c>
      <c r="AL1564">
        <v>11</v>
      </c>
      <c r="AM1564">
        <v>10</v>
      </c>
      <c r="AN1564">
        <v>15</v>
      </c>
      <c r="AO1564">
        <v>15</v>
      </c>
      <c r="AP1564">
        <v>19</v>
      </c>
      <c r="AQ1564">
        <v>9</v>
      </c>
      <c r="AR1564" t="s">
        <v>15705</v>
      </c>
      <c r="AS1564" t="s">
        <v>15706</v>
      </c>
      <c r="AT1564">
        <v>0.66500000000000004</v>
      </c>
      <c r="AU1564" t="s">
        <v>65</v>
      </c>
      <c r="AV1564">
        <v>34</v>
      </c>
      <c r="AW1564">
        <v>24</v>
      </c>
      <c r="AX1564" t="s">
        <v>15707</v>
      </c>
      <c r="AY1564">
        <v>4.1480000000000003E-2</v>
      </c>
      <c r="AZ1564">
        <v>-1.91E-3</v>
      </c>
      <c r="BA1564">
        <v>6.4999999999999997E-3</v>
      </c>
      <c r="BB1564">
        <v>-3.3E-4</v>
      </c>
      <c r="BC1564">
        <v>0.15684000000000001</v>
      </c>
      <c r="BD1564">
        <v>1</v>
      </c>
      <c r="BE1564" t="s">
        <v>69</v>
      </c>
      <c r="BF1564">
        <v>2.3E-2</v>
      </c>
      <c r="BG1564">
        <v>-0.437</v>
      </c>
    </row>
    <row r="1565" spans="1:59">
      <c r="A1565">
        <v>0</v>
      </c>
      <c r="B1565">
        <v>12</v>
      </c>
      <c r="C1565">
        <v>4</v>
      </c>
      <c r="D1565" t="s">
        <v>25022</v>
      </c>
      <c r="E1565">
        <v>1473</v>
      </c>
      <c r="F1565" t="s">
        <v>9205</v>
      </c>
      <c r="G1565" t="s">
        <v>57</v>
      </c>
      <c r="H1565">
        <v>1487504</v>
      </c>
      <c r="I1565">
        <v>1488394</v>
      </c>
      <c r="J1565" t="s">
        <v>288</v>
      </c>
      <c r="K1565">
        <v>297</v>
      </c>
      <c r="L1565" t="s">
        <v>108</v>
      </c>
      <c r="M1565">
        <v>44</v>
      </c>
      <c r="N1565" t="str">
        <f>HYPERLINK("Gene1473-zp_tree_all.dnd", "Gene1473-tree")</f>
        <v>Gene1473-tree</v>
      </c>
      <c r="O1565">
        <v>6</v>
      </c>
      <c r="P1565">
        <v>10</v>
      </c>
      <c r="Q1565">
        <v>6</v>
      </c>
      <c r="R1565">
        <v>10</v>
      </c>
      <c r="S1565">
        <v>0.625</v>
      </c>
      <c r="T1565" t="s">
        <v>90</v>
      </c>
      <c r="U1565" t="s">
        <v>117</v>
      </c>
      <c r="V1565" t="s">
        <v>62</v>
      </c>
      <c r="W1565" t="s">
        <v>62</v>
      </c>
      <c r="X1565">
        <v>7</v>
      </c>
      <c r="Y1565">
        <v>16</v>
      </c>
      <c r="Z1565">
        <v>11</v>
      </c>
      <c r="AA1565">
        <v>0.59258999999999995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7</v>
      </c>
      <c r="AH1565">
        <v>2</v>
      </c>
      <c r="AI1565">
        <v>9</v>
      </c>
      <c r="AJ1565">
        <v>10</v>
      </c>
      <c r="AK1565">
        <v>0.47367999999999999</v>
      </c>
      <c r="AL1565">
        <v>13</v>
      </c>
      <c r="AM1565">
        <v>11</v>
      </c>
      <c r="AN1565">
        <v>37</v>
      </c>
      <c r="AO1565">
        <v>18</v>
      </c>
      <c r="AP1565">
        <v>24</v>
      </c>
      <c r="AQ1565">
        <v>9</v>
      </c>
      <c r="AR1565" t="s">
        <v>9206</v>
      </c>
      <c r="AS1565" t="s">
        <v>9207</v>
      </c>
      <c r="AT1565">
        <v>0.48199999999999998</v>
      </c>
      <c r="AU1565" t="s">
        <v>65</v>
      </c>
      <c r="AV1565">
        <v>61</v>
      </c>
      <c r="AW1565">
        <v>27</v>
      </c>
      <c r="AX1565" t="s">
        <v>9208</v>
      </c>
      <c r="AY1565">
        <v>4.9619999999999997E-2</v>
      </c>
      <c r="AZ1565">
        <v>-1.83E-3</v>
      </c>
      <c r="BA1565">
        <v>7.0200000000000002E-3</v>
      </c>
      <c r="BB1565">
        <v>-2.9E-4</v>
      </c>
      <c r="BC1565">
        <v>0.14147000000000001</v>
      </c>
      <c r="BD1565">
        <v>1</v>
      </c>
      <c r="BE1565" t="s">
        <v>69</v>
      </c>
      <c r="BF1565">
        <v>-0.47899999999999998</v>
      </c>
      <c r="BG1565">
        <v>-1.556</v>
      </c>
    </row>
    <row r="1566" spans="1:59">
      <c r="A1566">
        <v>0</v>
      </c>
      <c r="B1566">
        <v>10</v>
      </c>
      <c r="C1566">
        <v>2</v>
      </c>
      <c r="D1566" t="s">
        <v>25022</v>
      </c>
      <c r="E1566">
        <v>1886</v>
      </c>
      <c r="F1566" t="s">
        <v>11801</v>
      </c>
      <c r="G1566" t="s">
        <v>57</v>
      </c>
      <c r="H1566">
        <v>1946702</v>
      </c>
      <c r="I1566">
        <v>1947592</v>
      </c>
      <c r="J1566" t="s">
        <v>11802</v>
      </c>
      <c r="K1566">
        <v>297</v>
      </c>
      <c r="L1566" t="s">
        <v>11803</v>
      </c>
      <c r="M1566">
        <v>47</v>
      </c>
      <c r="N1566" t="str">
        <f>HYPERLINK("Gene1886-zp_tree_all.dnd", "Gene1886-tree")</f>
        <v>Gene1886-tree</v>
      </c>
      <c r="O1566">
        <v>7</v>
      </c>
      <c r="P1566">
        <v>9</v>
      </c>
      <c r="Q1566">
        <v>7</v>
      </c>
      <c r="R1566">
        <v>9</v>
      </c>
      <c r="S1566">
        <v>0.5625</v>
      </c>
      <c r="T1566" t="s">
        <v>152</v>
      </c>
      <c r="U1566" t="s">
        <v>135</v>
      </c>
      <c r="V1566" t="s">
        <v>62</v>
      </c>
      <c r="W1566" t="s">
        <v>62</v>
      </c>
      <c r="X1566">
        <v>6</v>
      </c>
      <c r="Y1566">
        <v>12</v>
      </c>
      <c r="Z1566">
        <v>24</v>
      </c>
      <c r="AA1566">
        <v>0.33333000000000002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  <c r="AH1566">
        <v>4</v>
      </c>
      <c r="AI1566">
        <v>6</v>
      </c>
      <c r="AJ1566">
        <v>22</v>
      </c>
      <c r="AK1566">
        <v>0.21429000000000001</v>
      </c>
      <c r="AL1566">
        <v>14</v>
      </c>
      <c r="AM1566">
        <v>11</v>
      </c>
      <c r="AN1566">
        <v>49</v>
      </c>
      <c r="AO1566">
        <v>28</v>
      </c>
      <c r="AP1566">
        <v>36</v>
      </c>
      <c r="AQ1566">
        <v>9</v>
      </c>
      <c r="AR1566" t="s">
        <v>11804</v>
      </c>
      <c r="AS1566" t="s">
        <v>11805</v>
      </c>
      <c r="AT1566">
        <v>0.47799999999999998</v>
      </c>
      <c r="AU1566" t="s">
        <v>65</v>
      </c>
      <c r="AV1566">
        <v>85</v>
      </c>
      <c r="AW1566">
        <v>37</v>
      </c>
      <c r="AX1566" t="s">
        <v>11806</v>
      </c>
      <c r="AY1566">
        <v>7.8409999999999994E-2</v>
      </c>
      <c r="AZ1566">
        <v>-5.6800000000000002E-3</v>
      </c>
      <c r="BA1566">
        <v>8.7100000000000007E-3</v>
      </c>
      <c r="BB1566">
        <v>-6.4999999999999997E-4</v>
      </c>
      <c r="BC1566">
        <v>0.11107</v>
      </c>
      <c r="BD1566">
        <v>1</v>
      </c>
      <c r="BE1566" t="s">
        <v>69</v>
      </c>
      <c r="BF1566">
        <v>-1.8660000000000001</v>
      </c>
      <c r="BG1566">
        <v>-2.2450000000000001</v>
      </c>
    </row>
    <row r="1567" spans="1:59">
      <c r="A1567">
        <v>0</v>
      </c>
      <c r="B1567">
        <v>9</v>
      </c>
      <c r="C1567">
        <v>1</v>
      </c>
      <c r="D1567" t="s">
        <v>25022</v>
      </c>
      <c r="E1567">
        <v>1553</v>
      </c>
      <c r="F1567" t="s">
        <v>9709</v>
      </c>
      <c r="G1567" t="s">
        <v>57</v>
      </c>
      <c r="H1567">
        <v>1564422</v>
      </c>
      <c r="I1567">
        <v>1565312</v>
      </c>
      <c r="J1567" t="s">
        <v>9710</v>
      </c>
      <c r="K1567">
        <v>297</v>
      </c>
      <c r="L1567" t="s">
        <v>108</v>
      </c>
      <c r="M1567">
        <v>44</v>
      </c>
      <c r="N1567" t="str">
        <f>HYPERLINK("Gene1553-zp_tree_all.dnd", "Gene1553-tree")</f>
        <v>Gene1553-tree</v>
      </c>
      <c r="O1567">
        <v>8</v>
      </c>
      <c r="P1567">
        <v>7</v>
      </c>
      <c r="Q1567">
        <v>8</v>
      </c>
      <c r="R1567">
        <v>7</v>
      </c>
      <c r="S1567">
        <v>0.46666999999999997</v>
      </c>
      <c r="T1567" t="s">
        <v>136</v>
      </c>
      <c r="U1567" t="s">
        <v>152</v>
      </c>
      <c r="V1567" t="s">
        <v>62</v>
      </c>
      <c r="W1567" t="s">
        <v>62</v>
      </c>
      <c r="X1567">
        <v>3</v>
      </c>
      <c r="Y1567">
        <v>10</v>
      </c>
      <c r="Z1567">
        <v>9</v>
      </c>
      <c r="AA1567">
        <v>0.52632000000000001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4</v>
      </c>
      <c r="AH1567">
        <v>0</v>
      </c>
      <c r="AI1567">
        <v>4</v>
      </c>
      <c r="AJ1567">
        <v>6</v>
      </c>
      <c r="AK1567">
        <v>0.4</v>
      </c>
      <c r="AL1567">
        <v>14</v>
      </c>
      <c r="AM1567">
        <v>9</v>
      </c>
      <c r="AN1567">
        <v>23</v>
      </c>
      <c r="AO1567">
        <v>9</v>
      </c>
      <c r="AP1567">
        <v>28</v>
      </c>
      <c r="AQ1567">
        <v>12</v>
      </c>
      <c r="AR1567" t="s">
        <v>9711</v>
      </c>
      <c r="AS1567" t="s">
        <v>9712</v>
      </c>
      <c r="AT1567">
        <v>4.2999999999999997E-2</v>
      </c>
      <c r="AU1567" t="s">
        <v>65</v>
      </c>
      <c r="AV1567">
        <v>51</v>
      </c>
      <c r="AW1567">
        <v>21</v>
      </c>
      <c r="AX1567" t="s">
        <v>9713</v>
      </c>
      <c r="AY1567">
        <v>5.3560000000000003E-2</v>
      </c>
      <c r="AZ1567">
        <v>-3.7399999999999998E-3</v>
      </c>
      <c r="BA1567">
        <v>5.1399999999999996E-3</v>
      </c>
      <c r="BB1567">
        <v>-3.8000000000000002E-4</v>
      </c>
      <c r="BC1567">
        <v>9.604E-2</v>
      </c>
      <c r="BD1567">
        <v>1</v>
      </c>
      <c r="BE1567" t="s">
        <v>69</v>
      </c>
      <c r="BF1567">
        <v>9.7000000000000003E-2</v>
      </c>
      <c r="BG1567">
        <v>-4.5999999999999999E-2</v>
      </c>
    </row>
    <row r="1568" spans="1:59">
      <c r="A1568">
        <v>0</v>
      </c>
      <c r="B1568">
        <v>7</v>
      </c>
      <c r="C1568">
        <v>2</v>
      </c>
      <c r="D1568" t="s">
        <v>25022</v>
      </c>
      <c r="E1568">
        <v>72</v>
      </c>
      <c r="F1568" t="s">
        <v>578</v>
      </c>
      <c r="G1568" t="s">
        <v>57</v>
      </c>
      <c r="H1568">
        <v>80802</v>
      </c>
      <c r="I1568">
        <v>81692</v>
      </c>
      <c r="J1568" t="s">
        <v>579</v>
      </c>
      <c r="K1568">
        <v>297</v>
      </c>
      <c r="L1568" t="s">
        <v>108</v>
      </c>
      <c r="M1568">
        <v>44</v>
      </c>
      <c r="N1568" t="str">
        <f>HYPERLINK("Gene72-zp_tree_all.dnd", "Gene72-tree")</f>
        <v>Gene72-tree</v>
      </c>
      <c r="O1568">
        <v>9</v>
      </c>
      <c r="P1568">
        <v>7</v>
      </c>
      <c r="Q1568">
        <v>9</v>
      </c>
      <c r="R1568">
        <v>7</v>
      </c>
      <c r="S1568">
        <v>0.4375</v>
      </c>
      <c r="T1568" t="s">
        <v>135</v>
      </c>
      <c r="U1568" t="s">
        <v>152</v>
      </c>
      <c r="V1568" t="s">
        <v>62</v>
      </c>
      <c r="W1568" t="s">
        <v>62</v>
      </c>
      <c r="X1568">
        <v>4</v>
      </c>
      <c r="Y1568">
        <v>9</v>
      </c>
      <c r="Z1568">
        <v>2</v>
      </c>
      <c r="AA1568">
        <v>0.81818000000000002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4</v>
      </c>
      <c r="AH1568">
        <v>0</v>
      </c>
      <c r="AI1568">
        <v>4</v>
      </c>
      <c r="AJ1568">
        <v>3</v>
      </c>
      <c r="AK1568">
        <v>0.57142999999999999</v>
      </c>
      <c r="AL1568">
        <v>10</v>
      </c>
      <c r="AM1568">
        <v>10</v>
      </c>
      <c r="AN1568">
        <v>27</v>
      </c>
      <c r="AO1568">
        <v>4</v>
      </c>
      <c r="AP1568">
        <v>11</v>
      </c>
      <c r="AQ1568">
        <v>7</v>
      </c>
      <c r="AR1568" t="s">
        <v>580</v>
      </c>
      <c r="AS1568" t="s">
        <v>581</v>
      </c>
      <c r="AT1568">
        <v>2.5720000000000001</v>
      </c>
      <c r="AU1568" t="s">
        <v>65</v>
      </c>
      <c r="AV1568">
        <v>38</v>
      </c>
      <c r="AW1568">
        <v>11</v>
      </c>
      <c r="AX1568" t="s">
        <v>582</v>
      </c>
      <c r="AY1568">
        <v>3.1379999999999998E-2</v>
      </c>
      <c r="AZ1568">
        <v>-1.2700000000000001E-3</v>
      </c>
      <c r="BA1568">
        <v>2.9299999999999999E-3</v>
      </c>
      <c r="BB1568">
        <v>-1.8000000000000001E-4</v>
      </c>
      <c r="BC1568">
        <v>9.3240000000000003E-2</v>
      </c>
      <c r="BD1568">
        <v>1</v>
      </c>
      <c r="BE1568" t="s">
        <v>69</v>
      </c>
      <c r="BF1568">
        <v>-0.503</v>
      </c>
      <c r="BG1568">
        <v>-0.69199999999999995</v>
      </c>
    </row>
    <row r="1569" spans="1:59">
      <c r="A1569">
        <v>0</v>
      </c>
      <c r="B1569">
        <v>7</v>
      </c>
      <c r="C1569">
        <v>0</v>
      </c>
      <c r="D1569" t="s">
        <v>25022</v>
      </c>
      <c r="E1569">
        <v>1331</v>
      </c>
      <c r="F1569" t="s">
        <v>8335</v>
      </c>
      <c r="G1569" t="s">
        <v>57</v>
      </c>
      <c r="H1569">
        <v>1347289</v>
      </c>
      <c r="I1569">
        <v>1348179</v>
      </c>
      <c r="J1569" t="s">
        <v>8092</v>
      </c>
      <c r="K1569">
        <v>297</v>
      </c>
      <c r="L1569" t="s">
        <v>1305</v>
      </c>
      <c r="M1569">
        <v>43</v>
      </c>
      <c r="N1569" t="str">
        <f>HYPERLINK("Gene1331-zp_tree_all.dnd", "Gene1331-tree")</f>
        <v>Gene1331-tree</v>
      </c>
      <c r="O1569">
        <v>9</v>
      </c>
      <c r="P1569">
        <v>5</v>
      </c>
      <c r="Q1569">
        <v>9</v>
      </c>
      <c r="R1569">
        <v>5</v>
      </c>
      <c r="S1569">
        <v>0.35714000000000001</v>
      </c>
      <c r="T1569" t="s">
        <v>135</v>
      </c>
      <c r="U1569" t="s">
        <v>199</v>
      </c>
      <c r="V1569" t="s">
        <v>62</v>
      </c>
      <c r="W1569" t="s">
        <v>62</v>
      </c>
      <c r="X1569">
        <v>3</v>
      </c>
      <c r="Y1569">
        <v>7</v>
      </c>
      <c r="Z1569">
        <v>9</v>
      </c>
      <c r="AA1569">
        <v>0.4375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2</v>
      </c>
      <c r="AH1569">
        <v>0</v>
      </c>
      <c r="AI1569">
        <v>2</v>
      </c>
      <c r="AJ1569">
        <v>7</v>
      </c>
      <c r="AK1569">
        <v>0.22222</v>
      </c>
      <c r="AL1569">
        <v>13</v>
      </c>
      <c r="AM1569">
        <v>9</v>
      </c>
      <c r="AN1569">
        <v>39</v>
      </c>
      <c r="AO1569">
        <v>11</v>
      </c>
      <c r="AP1569">
        <v>33</v>
      </c>
      <c r="AQ1569">
        <v>7</v>
      </c>
      <c r="AR1569" t="s">
        <v>8336</v>
      </c>
      <c r="AS1569" t="s">
        <v>8337</v>
      </c>
      <c r="AT1569">
        <v>0.29899999999999999</v>
      </c>
      <c r="AU1569" t="s">
        <v>65</v>
      </c>
      <c r="AV1569">
        <v>72</v>
      </c>
      <c r="AW1569">
        <v>18</v>
      </c>
      <c r="AX1569" t="s">
        <v>8338</v>
      </c>
      <c r="AY1569">
        <v>7.1660000000000001E-2</v>
      </c>
      <c r="AZ1569">
        <v>-2.9299999999999999E-3</v>
      </c>
      <c r="BA1569">
        <v>5.1700000000000001E-3</v>
      </c>
      <c r="BB1569">
        <v>-2.9E-4</v>
      </c>
      <c r="BC1569">
        <v>7.2209999999999996E-2</v>
      </c>
      <c r="BD1569">
        <v>1</v>
      </c>
      <c r="BE1569" t="s">
        <v>69</v>
      </c>
      <c r="BF1569">
        <v>-0.51600000000000001</v>
      </c>
      <c r="BG1569">
        <v>-0.71799999999999997</v>
      </c>
    </row>
    <row r="1570" spans="1:59">
      <c r="A1570">
        <v>0</v>
      </c>
      <c r="B1570">
        <v>2</v>
      </c>
      <c r="C1570">
        <v>2</v>
      </c>
      <c r="D1570" t="s">
        <v>25022</v>
      </c>
      <c r="E1570">
        <v>1735</v>
      </c>
      <c r="F1570" t="s">
        <v>10883</v>
      </c>
      <c r="G1570" t="s">
        <v>57</v>
      </c>
      <c r="H1570">
        <v>1744367</v>
      </c>
      <c r="I1570">
        <v>1745257</v>
      </c>
      <c r="J1570" t="s">
        <v>10884</v>
      </c>
      <c r="K1570">
        <v>297</v>
      </c>
      <c r="L1570" t="s">
        <v>59</v>
      </c>
      <c r="M1570">
        <v>49</v>
      </c>
      <c r="N1570" t="str">
        <f>HYPERLINK("Gene1735-zp_tree_all.dnd", "Gene1735-tree")</f>
        <v>Gene1735-tree</v>
      </c>
      <c r="O1570">
        <v>33</v>
      </c>
      <c r="P1570">
        <v>4</v>
      </c>
      <c r="Q1570">
        <v>14</v>
      </c>
      <c r="R1570">
        <v>4</v>
      </c>
      <c r="S1570">
        <v>0.22222</v>
      </c>
      <c r="T1570" t="s">
        <v>126</v>
      </c>
      <c r="U1570" t="s">
        <v>61</v>
      </c>
      <c r="V1570" t="s">
        <v>62</v>
      </c>
      <c r="W1570" t="s">
        <v>62</v>
      </c>
      <c r="X1570">
        <v>2</v>
      </c>
      <c r="Y1570">
        <v>4</v>
      </c>
      <c r="Z1570">
        <v>9</v>
      </c>
      <c r="AA1570">
        <v>0.30769000000000002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5</v>
      </c>
      <c r="AK1570">
        <v>0</v>
      </c>
      <c r="AL1570">
        <v>13</v>
      </c>
      <c r="AM1570">
        <v>11</v>
      </c>
      <c r="AN1570">
        <v>20</v>
      </c>
      <c r="AO1570">
        <v>5</v>
      </c>
      <c r="AP1570">
        <v>45</v>
      </c>
      <c r="AQ1570">
        <v>8</v>
      </c>
      <c r="AR1570" t="s">
        <v>10885</v>
      </c>
      <c r="AS1570" t="s">
        <v>10886</v>
      </c>
      <c r="AT1570">
        <v>0.26300000000000001</v>
      </c>
      <c r="AU1570" t="s">
        <v>65</v>
      </c>
      <c r="AV1570">
        <v>65</v>
      </c>
      <c r="AW1570">
        <v>13</v>
      </c>
      <c r="AX1570" t="s">
        <v>10887</v>
      </c>
      <c r="AY1570">
        <v>8.2100000000000006E-2</v>
      </c>
      <c r="AZ1570">
        <v>-5.7400000000000003E-3</v>
      </c>
      <c r="BA1570">
        <v>3.8400000000000001E-3</v>
      </c>
      <c r="BB1570">
        <v>-2.5000000000000001E-4</v>
      </c>
      <c r="BC1570">
        <v>4.6800000000000001E-2</v>
      </c>
      <c r="BD1570">
        <v>1</v>
      </c>
      <c r="BE1570" t="s">
        <v>69</v>
      </c>
      <c r="BF1570">
        <v>-1.085</v>
      </c>
      <c r="BG1570">
        <v>-0.115</v>
      </c>
    </row>
    <row r="1571" spans="1:59">
      <c r="A1571">
        <v>0</v>
      </c>
      <c r="B1571">
        <v>3</v>
      </c>
      <c r="C1571">
        <v>0</v>
      </c>
      <c r="D1571" t="s">
        <v>25022</v>
      </c>
      <c r="E1571">
        <v>2615</v>
      </c>
      <c r="F1571" t="s">
        <v>15311</v>
      </c>
      <c r="G1571" t="s">
        <v>62</v>
      </c>
      <c r="H1571">
        <v>2593284</v>
      </c>
      <c r="I1571">
        <v>2594174</v>
      </c>
      <c r="J1571" t="s">
        <v>15312</v>
      </c>
      <c r="K1571">
        <v>297</v>
      </c>
      <c r="L1571" t="s">
        <v>15313</v>
      </c>
      <c r="M1571">
        <v>43</v>
      </c>
      <c r="N1571" t="str">
        <f>HYPERLINK("Gene2615-zp_tree_all.dnd", "Gene2615-tree")</f>
        <v>Gene2615-tree</v>
      </c>
      <c r="O1571">
        <v>28</v>
      </c>
      <c r="P1571">
        <v>5</v>
      </c>
      <c r="Q1571">
        <v>6</v>
      </c>
      <c r="R1571">
        <v>5</v>
      </c>
      <c r="S1571">
        <v>0.45455000000000001</v>
      </c>
      <c r="T1571" t="s">
        <v>5497</v>
      </c>
      <c r="U1571" t="s">
        <v>199</v>
      </c>
      <c r="V1571" t="s">
        <v>62</v>
      </c>
      <c r="W1571" t="s">
        <v>62</v>
      </c>
      <c r="X1571">
        <v>1</v>
      </c>
      <c r="Y1571">
        <v>3</v>
      </c>
      <c r="Z1571">
        <v>7</v>
      </c>
      <c r="AA1571">
        <v>0.3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3</v>
      </c>
      <c r="AH1571">
        <v>0</v>
      </c>
      <c r="AI1571">
        <v>3</v>
      </c>
      <c r="AJ1571">
        <v>7</v>
      </c>
      <c r="AK1571">
        <v>0.3</v>
      </c>
      <c r="AL1571">
        <v>9</v>
      </c>
      <c r="AM1571">
        <v>6</v>
      </c>
      <c r="AN1571">
        <v>55</v>
      </c>
      <c r="AO1571">
        <v>9</v>
      </c>
      <c r="AP1571">
        <v>11</v>
      </c>
      <c r="AQ1571">
        <v>1</v>
      </c>
      <c r="AR1571" t="s">
        <v>15314</v>
      </c>
      <c r="AS1571" t="s">
        <v>15315</v>
      </c>
      <c r="AT1571">
        <v>0.17299999999999999</v>
      </c>
      <c r="AU1571" t="s">
        <v>65</v>
      </c>
      <c r="AV1571">
        <v>66</v>
      </c>
      <c r="AW1571">
        <v>10</v>
      </c>
      <c r="AX1571" t="s">
        <v>15316</v>
      </c>
      <c r="AY1571">
        <v>7.4999999999999997E-2</v>
      </c>
      <c r="AZ1571">
        <v>-1.111E-2</v>
      </c>
      <c r="BA1571">
        <v>2.31E-3</v>
      </c>
      <c r="BB1571">
        <v>-3.3E-4</v>
      </c>
      <c r="BC1571">
        <v>3.074E-2</v>
      </c>
      <c r="BD1571">
        <v>1</v>
      </c>
      <c r="BE1571" t="s">
        <v>69</v>
      </c>
      <c r="BF1571">
        <v>-2.0009999999999999</v>
      </c>
      <c r="BG1571">
        <v>-4.9539999999999997</v>
      </c>
    </row>
    <row r="1572" spans="1:59">
      <c r="A1572">
        <v>0</v>
      </c>
      <c r="B1572">
        <v>0</v>
      </c>
      <c r="C1572">
        <v>0</v>
      </c>
      <c r="D1572" t="s">
        <v>25022</v>
      </c>
      <c r="E1572">
        <v>2380</v>
      </c>
      <c r="F1572" t="s">
        <v>13846</v>
      </c>
      <c r="G1572" t="s">
        <v>62</v>
      </c>
      <c r="H1572">
        <v>2391864</v>
      </c>
      <c r="I1572">
        <v>2392754</v>
      </c>
      <c r="J1572" t="s">
        <v>3674</v>
      </c>
      <c r="K1572">
        <v>297</v>
      </c>
      <c r="L1572" t="s">
        <v>108</v>
      </c>
      <c r="M1572">
        <v>44</v>
      </c>
      <c r="N1572" t="str">
        <f>HYPERLINK("Gene2380-zp_tree_all.dnd", "Gene2380-tree")</f>
        <v>Gene2380-tree</v>
      </c>
      <c r="O1572">
        <v>7</v>
      </c>
      <c r="P1572">
        <v>3</v>
      </c>
      <c r="Q1572">
        <v>7</v>
      </c>
      <c r="R1572">
        <v>3</v>
      </c>
      <c r="S1572">
        <v>0.3</v>
      </c>
      <c r="T1572" t="s">
        <v>152</v>
      </c>
      <c r="U1572" t="s">
        <v>324</v>
      </c>
      <c r="V1572" t="s">
        <v>62</v>
      </c>
      <c r="W1572" t="s">
        <v>62</v>
      </c>
      <c r="X1572">
        <v>0</v>
      </c>
      <c r="Y1572">
        <v>0</v>
      </c>
      <c r="Z1572">
        <v>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3</v>
      </c>
      <c r="AK1572">
        <v>0</v>
      </c>
      <c r="AL1572">
        <v>8</v>
      </c>
      <c r="AM1572">
        <v>5</v>
      </c>
      <c r="AN1572">
        <v>27</v>
      </c>
      <c r="AO1572">
        <v>3</v>
      </c>
      <c r="AP1572">
        <v>8</v>
      </c>
      <c r="AQ1572">
        <v>0</v>
      </c>
      <c r="AR1572" t="s">
        <v>13847</v>
      </c>
      <c r="AS1572" t="s">
        <v>193</v>
      </c>
      <c r="AT1572">
        <v>1.5720000000000001</v>
      </c>
      <c r="AU1572" t="s">
        <v>65</v>
      </c>
      <c r="AV1572">
        <v>35</v>
      </c>
      <c r="AW1572">
        <v>3</v>
      </c>
      <c r="AX1572" t="s">
        <v>13848</v>
      </c>
      <c r="AY1572">
        <v>3.9739999999999998E-2</v>
      </c>
      <c r="AZ1572">
        <v>-2.1199999999999999E-3</v>
      </c>
      <c r="BA1572">
        <v>8.8000000000000003E-4</v>
      </c>
      <c r="BB1572">
        <v>-1.2999999999999999E-4</v>
      </c>
      <c r="BC1572">
        <v>2.222E-2</v>
      </c>
      <c r="BD1572">
        <v>1</v>
      </c>
      <c r="BE1572" t="s">
        <v>69</v>
      </c>
      <c r="BF1572">
        <v>-0.94199999999999995</v>
      </c>
      <c r="BG1572">
        <v>-1.627</v>
      </c>
    </row>
    <row r="1573" spans="1:59">
      <c r="A1573">
        <v>0</v>
      </c>
      <c r="B1573">
        <v>4</v>
      </c>
      <c r="C1573">
        <v>0</v>
      </c>
      <c r="D1573" t="s">
        <v>25022</v>
      </c>
      <c r="E1573">
        <v>1138</v>
      </c>
      <c r="F1573" t="s">
        <v>7154</v>
      </c>
      <c r="G1573" t="s">
        <v>57</v>
      </c>
      <c r="H1573">
        <v>1181499</v>
      </c>
      <c r="I1573">
        <v>1182392</v>
      </c>
      <c r="J1573" t="s">
        <v>7155</v>
      </c>
      <c r="K1573">
        <v>298</v>
      </c>
      <c r="L1573" t="s">
        <v>7156</v>
      </c>
      <c r="M1573">
        <v>31</v>
      </c>
      <c r="N1573" t="str">
        <f>HYPERLINK("Gene1138-zp_tree_all.dnd", "Gene1138-tree")</f>
        <v>Gene1138-tree</v>
      </c>
      <c r="O1573">
        <v>5</v>
      </c>
      <c r="P1573">
        <v>4</v>
      </c>
      <c r="Q1573">
        <v>5</v>
      </c>
      <c r="R1573">
        <v>4</v>
      </c>
      <c r="S1573">
        <v>0.44444</v>
      </c>
      <c r="T1573" t="s">
        <v>199</v>
      </c>
      <c r="U1573" t="s">
        <v>61</v>
      </c>
      <c r="V1573" t="s">
        <v>62</v>
      </c>
      <c r="W1573" t="s">
        <v>62</v>
      </c>
      <c r="X1573">
        <v>2</v>
      </c>
      <c r="Y1573">
        <v>4</v>
      </c>
      <c r="Z1573">
        <v>7</v>
      </c>
      <c r="AA1573">
        <v>0.36364000000000002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2</v>
      </c>
      <c r="AH1573">
        <v>0</v>
      </c>
      <c r="AI1573">
        <v>2</v>
      </c>
      <c r="AJ1573">
        <v>6</v>
      </c>
      <c r="AK1573">
        <v>0.25</v>
      </c>
      <c r="AL1573">
        <v>6</v>
      </c>
      <c r="AM1573">
        <v>5</v>
      </c>
      <c r="AN1573">
        <v>14</v>
      </c>
      <c r="AO1573">
        <v>7</v>
      </c>
      <c r="AP1573">
        <v>5</v>
      </c>
      <c r="AQ1573">
        <v>4</v>
      </c>
      <c r="AR1573" t="s">
        <v>7157</v>
      </c>
      <c r="AS1573" t="s">
        <v>7158</v>
      </c>
      <c r="AT1573">
        <v>0.45500000000000002</v>
      </c>
      <c r="AU1573" t="s">
        <v>65</v>
      </c>
      <c r="AV1573">
        <v>19</v>
      </c>
      <c r="AW1573">
        <v>11</v>
      </c>
      <c r="AX1573" t="s">
        <v>7159</v>
      </c>
      <c r="AY1573">
        <v>2.5770000000000001E-2</v>
      </c>
      <c r="AZ1573">
        <v>-2.3700000000000001E-3</v>
      </c>
      <c r="BA1573">
        <v>3.98E-3</v>
      </c>
      <c r="BB1573">
        <v>-5.1000000000000004E-4</v>
      </c>
      <c r="BC1573">
        <v>0.15447</v>
      </c>
      <c r="BD1573">
        <v>1</v>
      </c>
      <c r="BE1573" t="s">
        <v>69</v>
      </c>
      <c r="BF1573">
        <v>-1.478</v>
      </c>
      <c r="BG1573">
        <v>-2.262</v>
      </c>
    </row>
    <row r="1574" spans="1:59">
      <c r="A1574">
        <v>0</v>
      </c>
      <c r="B1574">
        <v>4</v>
      </c>
      <c r="C1574">
        <v>0</v>
      </c>
      <c r="D1574" t="s">
        <v>25022</v>
      </c>
      <c r="E1574">
        <v>1572</v>
      </c>
      <c r="F1574" t="s">
        <v>9387</v>
      </c>
      <c r="G1574" t="s">
        <v>57</v>
      </c>
      <c r="H1574">
        <v>1577409</v>
      </c>
      <c r="I1574">
        <v>1578302</v>
      </c>
      <c r="J1574" t="s">
        <v>9826</v>
      </c>
      <c r="K1574">
        <v>298</v>
      </c>
      <c r="L1574" t="s">
        <v>108</v>
      </c>
      <c r="M1574">
        <v>44</v>
      </c>
      <c r="N1574" t="str">
        <f>HYPERLINK("Gene1572-zp_tree_all.dnd", "Gene1572-tree")</f>
        <v>Gene1572-tree</v>
      </c>
      <c r="O1574">
        <v>22</v>
      </c>
      <c r="P1574">
        <v>7</v>
      </c>
      <c r="Q1574">
        <v>3</v>
      </c>
      <c r="R1574">
        <v>7</v>
      </c>
      <c r="S1574">
        <v>0.7</v>
      </c>
      <c r="T1574" t="s">
        <v>1005</v>
      </c>
      <c r="U1574" t="s">
        <v>152</v>
      </c>
      <c r="V1574" t="s">
        <v>62</v>
      </c>
      <c r="W1574" t="s">
        <v>62</v>
      </c>
      <c r="X1574">
        <v>2</v>
      </c>
      <c r="Y1574">
        <v>4</v>
      </c>
      <c r="Z1574">
        <v>11</v>
      </c>
      <c r="AA1574">
        <v>0.26667000000000002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0</v>
      </c>
      <c r="AL1574">
        <v>9</v>
      </c>
      <c r="AM1574">
        <v>6</v>
      </c>
      <c r="AN1574">
        <v>30</v>
      </c>
      <c r="AO1574">
        <v>9</v>
      </c>
      <c r="AP1574">
        <v>7</v>
      </c>
      <c r="AQ1574">
        <v>6</v>
      </c>
      <c r="AR1574" t="s">
        <v>9827</v>
      </c>
      <c r="AS1574" t="s">
        <v>9828</v>
      </c>
      <c r="AT1574">
        <v>0.99399999999999999</v>
      </c>
      <c r="AU1574" t="s">
        <v>65</v>
      </c>
      <c r="AV1574">
        <v>37</v>
      </c>
      <c r="AW1574">
        <v>15</v>
      </c>
      <c r="AX1574" t="s">
        <v>9829</v>
      </c>
      <c r="AY1574">
        <v>4.0660000000000002E-2</v>
      </c>
      <c r="AZ1574">
        <v>-1.56E-3</v>
      </c>
      <c r="BA1574">
        <v>5.8300000000000001E-3</v>
      </c>
      <c r="BB1574">
        <v>-3.6000000000000002E-4</v>
      </c>
      <c r="BC1574">
        <v>0.14327000000000001</v>
      </c>
      <c r="BD1574">
        <v>1</v>
      </c>
      <c r="BE1574" t="s">
        <v>69</v>
      </c>
      <c r="BF1574">
        <v>-0.56899999999999995</v>
      </c>
      <c r="BG1574">
        <v>-1.861</v>
      </c>
    </row>
    <row r="1575" spans="1:59">
      <c r="A1575">
        <v>0</v>
      </c>
      <c r="B1575">
        <v>4</v>
      </c>
      <c r="C1575">
        <v>3</v>
      </c>
      <c r="D1575" t="s">
        <v>25022</v>
      </c>
      <c r="E1575">
        <v>2029</v>
      </c>
      <c r="F1575" t="s">
        <v>12627</v>
      </c>
      <c r="G1575" t="s">
        <v>62</v>
      </c>
      <c r="H1575">
        <v>2123029</v>
      </c>
      <c r="I1575">
        <v>2123922</v>
      </c>
      <c r="J1575" t="s">
        <v>12628</v>
      </c>
      <c r="K1575">
        <v>298</v>
      </c>
      <c r="L1575" t="s">
        <v>108</v>
      </c>
      <c r="M1575">
        <v>44</v>
      </c>
      <c r="N1575" t="str">
        <f>HYPERLINK("Gene2029-zp_tree_all.dnd", "Gene2029-tree")</f>
        <v>Gene2029-tree</v>
      </c>
      <c r="O1575">
        <v>6</v>
      </c>
      <c r="P1575">
        <v>27</v>
      </c>
      <c r="Q1575">
        <v>6</v>
      </c>
      <c r="R1575">
        <v>8</v>
      </c>
      <c r="S1575">
        <v>0.57142999999999999</v>
      </c>
      <c r="T1575" t="s">
        <v>90</v>
      </c>
      <c r="U1575" t="s">
        <v>282</v>
      </c>
      <c r="V1575">
        <v>3.2989999999999999</v>
      </c>
      <c r="W1575" t="s">
        <v>65</v>
      </c>
      <c r="X1575">
        <v>3</v>
      </c>
      <c r="Y1575">
        <v>7</v>
      </c>
      <c r="Z1575">
        <v>10</v>
      </c>
      <c r="AA1575">
        <v>0.41176000000000001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2</v>
      </c>
      <c r="AI1575">
        <v>2</v>
      </c>
      <c r="AJ1575">
        <v>8</v>
      </c>
      <c r="AK1575">
        <v>0.2</v>
      </c>
      <c r="AL1575">
        <v>11</v>
      </c>
      <c r="AM1575">
        <v>10</v>
      </c>
      <c r="AN1575">
        <v>27</v>
      </c>
      <c r="AO1575">
        <v>9</v>
      </c>
      <c r="AP1575">
        <v>18</v>
      </c>
      <c r="AQ1575">
        <v>8</v>
      </c>
      <c r="AR1575" t="s">
        <v>12629</v>
      </c>
      <c r="AS1575" t="s">
        <v>12630</v>
      </c>
      <c r="AT1575">
        <v>0.39600000000000002</v>
      </c>
      <c r="AU1575" t="s">
        <v>65</v>
      </c>
      <c r="AV1575">
        <v>45</v>
      </c>
      <c r="AW1575">
        <v>17</v>
      </c>
      <c r="AX1575" t="s">
        <v>12631</v>
      </c>
      <c r="AY1575">
        <v>3.764E-2</v>
      </c>
      <c r="AZ1575">
        <v>-1.4300000000000001E-3</v>
      </c>
      <c r="BA1575">
        <v>5.1000000000000004E-3</v>
      </c>
      <c r="BB1575">
        <v>-2.5000000000000001E-4</v>
      </c>
      <c r="BC1575">
        <v>0.13561999999999999</v>
      </c>
      <c r="BD1575">
        <v>1</v>
      </c>
      <c r="BE1575" t="s">
        <v>69</v>
      </c>
      <c r="BF1575">
        <v>-0.57199999999999995</v>
      </c>
      <c r="BG1575">
        <v>-1.1080000000000001</v>
      </c>
    </row>
    <row r="1576" spans="1:59">
      <c r="A1576">
        <v>0</v>
      </c>
      <c r="B1576">
        <v>5</v>
      </c>
      <c r="C1576">
        <v>0</v>
      </c>
      <c r="D1576" t="s">
        <v>25022</v>
      </c>
      <c r="E1576">
        <v>1703</v>
      </c>
      <c r="F1576" t="s">
        <v>10674</v>
      </c>
      <c r="G1576" t="s">
        <v>57</v>
      </c>
      <c r="H1576">
        <v>1710838</v>
      </c>
      <c r="I1576">
        <v>1711731</v>
      </c>
      <c r="J1576" t="s">
        <v>10675</v>
      </c>
      <c r="K1576">
        <v>298</v>
      </c>
      <c r="L1576" t="s">
        <v>108</v>
      </c>
      <c r="M1576">
        <v>44</v>
      </c>
      <c r="N1576" t="str">
        <f>HYPERLINK("Gene1703-zp_tree_all.dnd", "Gene1703-tree")</f>
        <v>Gene1703-tree</v>
      </c>
      <c r="O1576">
        <v>31</v>
      </c>
      <c r="P1576">
        <v>5</v>
      </c>
      <c r="Q1576">
        <v>7</v>
      </c>
      <c r="R1576">
        <v>5</v>
      </c>
      <c r="S1576">
        <v>0.41666999999999998</v>
      </c>
      <c r="T1576" t="s">
        <v>6799</v>
      </c>
      <c r="U1576" t="s">
        <v>199</v>
      </c>
      <c r="V1576" t="s">
        <v>62</v>
      </c>
      <c r="W1576" t="s">
        <v>62</v>
      </c>
      <c r="X1576">
        <v>2</v>
      </c>
      <c r="Y1576">
        <v>5</v>
      </c>
      <c r="Z1576">
        <v>6</v>
      </c>
      <c r="AA1576">
        <v>0.45455000000000001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3</v>
      </c>
      <c r="AH1576">
        <v>0</v>
      </c>
      <c r="AI1576">
        <v>3</v>
      </c>
      <c r="AJ1576">
        <v>6</v>
      </c>
      <c r="AK1576">
        <v>0.33333000000000002</v>
      </c>
      <c r="AL1576">
        <v>10</v>
      </c>
      <c r="AM1576">
        <v>5</v>
      </c>
      <c r="AN1576">
        <v>22</v>
      </c>
      <c r="AO1576">
        <v>9</v>
      </c>
      <c r="AP1576">
        <v>8</v>
      </c>
      <c r="AQ1576">
        <v>2</v>
      </c>
      <c r="AR1576" t="s">
        <v>10676</v>
      </c>
      <c r="AS1576" t="s">
        <v>10677</v>
      </c>
      <c r="AT1576">
        <v>0.47</v>
      </c>
      <c r="AU1576" t="s">
        <v>65</v>
      </c>
      <c r="AV1576">
        <v>30</v>
      </c>
      <c r="AW1576">
        <v>11</v>
      </c>
      <c r="AX1576" t="s">
        <v>10678</v>
      </c>
      <c r="AY1576">
        <v>3.4110000000000001E-2</v>
      </c>
      <c r="AZ1576">
        <v>-1.72E-3</v>
      </c>
      <c r="BA1576">
        <v>3.0999999999999999E-3</v>
      </c>
      <c r="BB1576">
        <v>-2.1000000000000001E-4</v>
      </c>
      <c r="BC1576">
        <v>9.0889999999999999E-2</v>
      </c>
      <c r="BD1576">
        <v>1</v>
      </c>
      <c r="BE1576" t="s">
        <v>69</v>
      </c>
      <c r="BF1576">
        <v>-0.79700000000000004</v>
      </c>
      <c r="BG1576">
        <v>-1.085</v>
      </c>
    </row>
    <row r="1577" spans="1:59">
      <c r="A1577">
        <v>0</v>
      </c>
      <c r="B1577">
        <v>2</v>
      </c>
      <c r="C1577">
        <v>0</v>
      </c>
      <c r="D1577" t="s">
        <v>25022</v>
      </c>
      <c r="E1577">
        <v>1400</v>
      </c>
      <c r="F1577" t="s">
        <v>8763</v>
      </c>
      <c r="G1577" t="s">
        <v>57</v>
      </c>
      <c r="H1577">
        <v>1414997</v>
      </c>
      <c r="I1577">
        <v>1415890</v>
      </c>
      <c r="J1577" t="s">
        <v>8764</v>
      </c>
      <c r="K1577">
        <v>298</v>
      </c>
      <c r="L1577" t="s">
        <v>108</v>
      </c>
      <c r="M1577">
        <v>44</v>
      </c>
      <c r="N1577" t="str">
        <f>HYPERLINK("Gene1400-zp_tree_all.dnd", "Gene1400-tree")</f>
        <v>Gene1400-tree</v>
      </c>
      <c r="O1577">
        <v>9</v>
      </c>
      <c r="P1577">
        <v>6</v>
      </c>
      <c r="Q1577">
        <v>9</v>
      </c>
      <c r="R1577">
        <v>6</v>
      </c>
      <c r="S1577">
        <v>0.4</v>
      </c>
      <c r="T1577" t="s">
        <v>135</v>
      </c>
      <c r="U1577" t="s">
        <v>90</v>
      </c>
      <c r="V1577" t="s">
        <v>62</v>
      </c>
      <c r="W1577" t="s">
        <v>62</v>
      </c>
      <c r="X1577">
        <v>1</v>
      </c>
      <c r="Y1577">
        <v>2</v>
      </c>
      <c r="Z1577">
        <v>8</v>
      </c>
      <c r="AA1577">
        <v>0.2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</v>
      </c>
      <c r="AH1577">
        <v>0</v>
      </c>
      <c r="AI1577">
        <v>2</v>
      </c>
      <c r="AJ1577">
        <v>6</v>
      </c>
      <c r="AK1577">
        <v>0.25</v>
      </c>
      <c r="AL1577">
        <v>14</v>
      </c>
      <c r="AM1577">
        <v>6</v>
      </c>
      <c r="AN1577">
        <v>32</v>
      </c>
      <c r="AO1577">
        <v>8</v>
      </c>
      <c r="AP1577">
        <v>19</v>
      </c>
      <c r="AQ1577">
        <v>2</v>
      </c>
      <c r="AR1577" t="s">
        <v>8765</v>
      </c>
      <c r="AS1577" t="s">
        <v>8766</v>
      </c>
      <c r="AT1577">
        <v>0.51</v>
      </c>
      <c r="AU1577" t="s">
        <v>65</v>
      </c>
      <c r="AV1577">
        <v>51</v>
      </c>
      <c r="AW1577">
        <v>10</v>
      </c>
      <c r="AX1577" t="s">
        <v>8767</v>
      </c>
      <c r="AY1577">
        <v>3.569E-2</v>
      </c>
      <c r="AZ1577">
        <v>-1.4499999999999999E-3</v>
      </c>
      <c r="BA1577">
        <v>2.31E-3</v>
      </c>
      <c r="BB1577">
        <v>-1.8000000000000001E-4</v>
      </c>
      <c r="BC1577">
        <v>6.4780000000000004E-2</v>
      </c>
      <c r="BD1577">
        <v>1</v>
      </c>
      <c r="BE1577" t="s">
        <v>69</v>
      </c>
      <c r="BF1577">
        <v>-1.0760000000000001</v>
      </c>
      <c r="BG1577">
        <v>-1.673</v>
      </c>
    </row>
    <row r="1578" spans="1:59">
      <c r="A1578">
        <v>0</v>
      </c>
      <c r="B1578">
        <v>0</v>
      </c>
      <c r="C1578">
        <v>2</v>
      </c>
      <c r="D1578" t="s">
        <v>25022</v>
      </c>
      <c r="E1578">
        <v>3668</v>
      </c>
      <c r="F1578" t="s">
        <v>21519</v>
      </c>
      <c r="G1578" t="s">
        <v>62</v>
      </c>
      <c r="H1578">
        <v>3637341</v>
      </c>
      <c r="I1578">
        <v>3638234</v>
      </c>
      <c r="J1578" t="s">
        <v>21520</v>
      </c>
      <c r="K1578">
        <v>298</v>
      </c>
      <c r="L1578" t="s">
        <v>108</v>
      </c>
      <c r="M1578">
        <v>44</v>
      </c>
      <c r="N1578" t="str">
        <f>HYPERLINK("Gene3668-zp_tree_all.dnd", "Gene3668-tree")</f>
        <v>Gene3668-tree</v>
      </c>
      <c r="O1578">
        <v>10</v>
      </c>
      <c r="P1578">
        <v>1</v>
      </c>
      <c r="Q1578">
        <v>10</v>
      </c>
      <c r="R1578">
        <v>1</v>
      </c>
      <c r="S1578">
        <v>9.0910000000000005E-2</v>
      </c>
      <c r="T1578" t="s">
        <v>117</v>
      </c>
      <c r="U1578" t="s">
        <v>175</v>
      </c>
      <c r="V1578" t="s">
        <v>62</v>
      </c>
      <c r="W1578" t="s">
        <v>62</v>
      </c>
      <c r="X1578">
        <v>1</v>
      </c>
      <c r="Y1578">
        <v>2</v>
      </c>
      <c r="Z1578">
        <v>4</v>
      </c>
      <c r="AA1578">
        <v>0.33333000000000002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0</v>
      </c>
      <c r="AI1578">
        <v>0</v>
      </c>
      <c r="AJ1578">
        <v>2</v>
      </c>
      <c r="AK1578">
        <v>0</v>
      </c>
      <c r="AL1578">
        <v>9</v>
      </c>
      <c r="AM1578">
        <v>7</v>
      </c>
      <c r="AN1578">
        <v>19</v>
      </c>
      <c r="AO1578">
        <v>2</v>
      </c>
      <c r="AP1578">
        <v>14</v>
      </c>
      <c r="AQ1578">
        <v>4</v>
      </c>
      <c r="AR1578" t="s">
        <v>21521</v>
      </c>
      <c r="AS1578" t="s">
        <v>21522</v>
      </c>
      <c r="AT1578">
        <v>0.46600000000000003</v>
      </c>
      <c r="AU1578" t="s">
        <v>65</v>
      </c>
      <c r="AV1578">
        <v>33</v>
      </c>
      <c r="AW1578">
        <v>6</v>
      </c>
      <c r="AX1578" t="s">
        <v>21523</v>
      </c>
      <c r="AY1578">
        <v>4.2049999999999997E-2</v>
      </c>
      <c r="AZ1578">
        <v>-2.2499999999999998E-3</v>
      </c>
      <c r="BA1578">
        <v>2.63E-3</v>
      </c>
      <c r="BB1578">
        <v>-2.3000000000000001E-4</v>
      </c>
      <c r="BC1578">
        <v>6.2539999999999998E-2</v>
      </c>
      <c r="BD1578">
        <v>1</v>
      </c>
      <c r="BE1578" t="s">
        <v>69</v>
      </c>
      <c r="BF1578">
        <v>4.0000000000000001E-3</v>
      </c>
      <c r="BG1578">
        <v>-0.52900000000000003</v>
      </c>
    </row>
    <row r="1579" spans="1:59">
      <c r="A1579">
        <v>0</v>
      </c>
      <c r="B1579">
        <v>6</v>
      </c>
      <c r="C1579">
        <v>2</v>
      </c>
      <c r="D1579" t="s">
        <v>25022</v>
      </c>
      <c r="E1579">
        <v>1639</v>
      </c>
      <c r="F1579" t="s">
        <v>10272</v>
      </c>
      <c r="G1579" t="s">
        <v>57</v>
      </c>
      <c r="H1579">
        <v>1653103</v>
      </c>
      <c r="I1579">
        <v>1653996</v>
      </c>
      <c r="J1579" t="s">
        <v>10273</v>
      </c>
      <c r="K1579">
        <v>298</v>
      </c>
      <c r="L1579" t="s">
        <v>698</v>
      </c>
      <c r="M1579">
        <v>47</v>
      </c>
      <c r="N1579" t="str">
        <f>HYPERLINK("Gene1639-zp_tree_all.dnd", "Gene1639-tree")</f>
        <v>Gene1639-tree</v>
      </c>
      <c r="O1579">
        <v>8</v>
      </c>
      <c r="P1579">
        <v>8</v>
      </c>
      <c r="Q1579">
        <v>8</v>
      </c>
      <c r="R1579">
        <v>8</v>
      </c>
      <c r="S1579">
        <v>0.5</v>
      </c>
      <c r="T1579" t="s">
        <v>136</v>
      </c>
      <c r="U1579" t="s">
        <v>136</v>
      </c>
      <c r="V1579" t="s">
        <v>62</v>
      </c>
      <c r="W1579" t="s">
        <v>62</v>
      </c>
      <c r="X1579">
        <v>3</v>
      </c>
      <c r="Y1579">
        <v>8</v>
      </c>
      <c r="Z1579">
        <v>10</v>
      </c>
      <c r="AA1579">
        <v>0.44444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3</v>
      </c>
      <c r="AH1579">
        <v>0</v>
      </c>
      <c r="AI1579">
        <v>3</v>
      </c>
      <c r="AJ1579">
        <v>8</v>
      </c>
      <c r="AK1579">
        <v>0.27272999999999997</v>
      </c>
      <c r="AL1579">
        <v>11</v>
      </c>
      <c r="AM1579">
        <v>13</v>
      </c>
      <c r="AN1579">
        <v>25</v>
      </c>
      <c r="AO1579">
        <v>10</v>
      </c>
      <c r="AP1579">
        <v>56</v>
      </c>
      <c r="AQ1579">
        <v>8</v>
      </c>
      <c r="AR1579" t="s">
        <v>10274</v>
      </c>
      <c r="AS1579" t="s">
        <v>10275</v>
      </c>
      <c r="AT1579">
        <v>0.746</v>
      </c>
      <c r="AU1579" t="s">
        <v>65</v>
      </c>
      <c r="AV1579">
        <v>81</v>
      </c>
      <c r="AW1579">
        <v>18</v>
      </c>
      <c r="AX1579" t="s">
        <v>10276</v>
      </c>
      <c r="AY1579">
        <v>9.7309999999999994E-2</v>
      </c>
      <c r="AZ1579">
        <v>-6.3800000000000003E-3</v>
      </c>
      <c r="BA1579">
        <v>4.5799999999999999E-3</v>
      </c>
      <c r="BB1579">
        <v>-3.2000000000000003E-4</v>
      </c>
      <c r="BC1579">
        <v>4.7120000000000002E-2</v>
      </c>
      <c r="BD1579">
        <v>1</v>
      </c>
      <c r="BE1579" t="s">
        <v>69</v>
      </c>
      <c r="BF1579">
        <v>-1.1379999999999999</v>
      </c>
      <c r="BG1579">
        <v>-0.224</v>
      </c>
    </row>
    <row r="1580" spans="1:59">
      <c r="A1580">
        <v>0</v>
      </c>
      <c r="B1580">
        <v>2</v>
      </c>
      <c r="C1580">
        <v>0</v>
      </c>
      <c r="D1580" t="s">
        <v>25022</v>
      </c>
      <c r="E1580">
        <v>1023</v>
      </c>
      <c r="F1580" t="s">
        <v>6427</v>
      </c>
      <c r="G1580" t="s">
        <v>57</v>
      </c>
      <c r="H1580">
        <v>1062591</v>
      </c>
      <c r="I1580">
        <v>1063484</v>
      </c>
      <c r="J1580" t="s">
        <v>6428</v>
      </c>
      <c r="K1580">
        <v>298</v>
      </c>
      <c r="L1580" t="s">
        <v>108</v>
      </c>
      <c r="M1580">
        <v>44</v>
      </c>
      <c r="N1580" t="str">
        <f>HYPERLINK("Gene1023-zp_tree_all.dnd", "Gene1023-tree")</f>
        <v>Gene1023-tree</v>
      </c>
      <c r="O1580">
        <v>7</v>
      </c>
      <c r="P1580">
        <v>4</v>
      </c>
      <c r="Q1580">
        <v>7</v>
      </c>
      <c r="R1580">
        <v>4</v>
      </c>
      <c r="S1580">
        <v>0.36364000000000002</v>
      </c>
      <c r="T1580" t="s">
        <v>152</v>
      </c>
      <c r="U1580" t="s">
        <v>61</v>
      </c>
      <c r="V1580" t="s">
        <v>62</v>
      </c>
      <c r="W1580" t="s">
        <v>62</v>
      </c>
      <c r="X1580">
        <v>1</v>
      </c>
      <c r="Y1580">
        <v>2</v>
      </c>
      <c r="Z1580">
        <v>8</v>
      </c>
      <c r="AA1580">
        <v>0.2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</v>
      </c>
      <c r="AK1580">
        <v>0</v>
      </c>
      <c r="AL1580">
        <v>11</v>
      </c>
      <c r="AM1580">
        <v>8</v>
      </c>
      <c r="AN1580">
        <v>49</v>
      </c>
      <c r="AO1580">
        <v>9</v>
      </c>
      <c r="AP1580">
        <v>37</v>
      </c>
      <c r="AQ1580">
        <v>3</v>
      </c>
      <c r="AR1580" t="s">
        <v>6429</v>
      </c>
      <c r="AS1580" t="s">
        <v>6430</v>
      </c>
      <c r="AT1580">
        <v>0.51500000000000001</v>
      </c>
      <c r="AU1580" t="s">
        <v>65</v>
      </c>
      <c r="AV1580">
        <v>86</v>
      </c>
      <c r="AW1580">
        <v>12</v>
      </c>
      <c r="AX1580" t="s">
        <v>6431</v>
      </c>
      <c r="AY1580">
        <v>0.1052</v>
      </c>
      <c r="AZ1580">
        <v>-6.2599999999999999E-3</v>
      </c>
      <c r="BA1580">
        <v>4.0000000000000001E-3</v>
      </c>
      <c r="BB1580">
        <v>-3.8000000000000002E-4</v>
      </c>
      <c r="BC1580">
        <v>3.8010000000000002E-2</v>
      </c>
      <c r="BD1580">
        <v>1</v>
      </c>
      <c r="BE1580" t="s">
        <v>69</v>
      </c>
      <c r="BF1580">
        <v>-1.194</v>
      </c>
      <c r="BG1580">
        <v>-1.579</v>
      </c>
    </row>
    <row r="1581" spans="1:59">
      <c r="A1581">
        <v>0</v>
      </c>
      <c r="B1581">
        <v>0</v>
      </c>
      <c r="C1581">
        <v>0</v>
      </c>
      <c r="D1581" t="s">
        <v>25022</v>
      </c>
      <c r="E1581">
        <v>3351</v>
      </c>
      <c r="F1581" t="s">
        <v>19583</v>
      </c>
      <c r="G1581" t="s">
        <v>62</v>
      </c>
      <c r="H1581">
        <v>3320327</v>
      </c>
      <c r="I1581">
        <v>3321220</v>
      </c>
      <c r="J1581" t="s">
        <v>19584</v>
      </c>
      <c r="K1581">
        <v>298</v>
      </c>
      <c r="L1581" t="s">
        <v>59</v>
      </c>
      <c r="M1581">
        <v>49</v>
      </c>
      <c r="N1581" t="str">
        <f>HYPERLINK("Gene3351-zp_tree_all.dnd", "Gene3351-tree")</f>
        <v>Gene3351-tree</v>
      </c>
      <c r="O1581">
        <v>16</v>
      </c>
      <c r="P1581">
        <v>2</v>
      </c>
      <c r="Q1581">
        <v>16</v>
      </c>
      <c r="R1581">
        <v>2</v>
      </c>
      <c r="S1581">
        <v>0.11111</v>
      </c>
      <c r="T1581" t="s">
        <v>60</v>
      </c>
      <c r="U1581" t="s">
        <v>81</v>
      </c>
      <c r="V1581" t="s">
        <v>62</v>
      </c>
      <c r="W1581" t="s">
        <v>62</v>
      </c>
      <c r="X1581">
        <v>0</v>
      </c>
      <c r="Y1581">
        <v>0</v>
      </c>
      <c r="Z1581">
        <v>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</v>
      </c>
      <c r="AK1581">
        <v>0</v>
      </c>
      <c r="AL1581">
        <v>12</v>
      </c>
      <c r="AM1581">
        <v>12</v>
      </c>
      <c r="AN1581">
        <v>33</v>
      </c>
      <c r="AO1581">
        <v>2</v>
      </c>
      <c r="AP1581">
        <v>73</v>
      </c>
      <c r="AQ1581">
        <v>0</v>
      </c>
      <c r="AR1581" t="s">
        <v>19585</v>
      </c>
      <c r="AS1581" t="s">
        <v>193</v>
      </c>
      <c r="AT1581">
        <v>0.56100000000000005</v>
      </c>
      <c r="AU1581" t="s">
        <v>65</v>
      </c>
      <c r="AV1581">
        <v>106</v>
      </c>
      <c r="AW1581">
        <v>2</v>
      </c>
      <c r="AX1581" t="s">
        <v>19586</v>
      </c>
      <c r="AY1581">
        <v>0.13482</v>
      </c>
      <c r="AZ1581">
        <v>-7.3800000000000003E-3</v>
      </c>
      <c r="BA1581">
        <v>3.2000000000000003E-4</v>
      </c>
      <c r="BB1581">
        <v>-5.0000000000000002E-5</v>
      </c>
      <c r="BC1581">
        <v>2.3800000000000002E-3</v>
      </c>
      <c r="BD1581">
        <v>1</v>
      </c>
      <c r="BE1581" t="s">
        <v>69</v>
      </c>
      <c r="BF1581">
        <v>-0.92100000000000004</v>
      </c>
      <c r="BG1581">
        <v>0.375</v>
      </c>
    </row>
    <row r="1582" spans="1:59">
      <c r="A1582">
        <v>0</v>
      </c>
      <c r="B1582">
        <v>19</v>
      </c>
      <c r="C1582">
        <v>3</v>
      </c>
      <c r="D1582" t="s">
        <v>25022</v>
      </c>
      <c r="E1582">
        <v>1256</v>
      </c>
      <c r="F1582" t="s">
        <v>7871</v>
      </c>
      <c r="G1582" t="s">
        <v>57</v>
      </c>
      <c r="H1582">
        <v>1283463</v>
      </c>
      <c r="I1582">
        <v>1284359</v>
      </c>
      <c r="J1582" t="s">
        <v>288</v>
      </c>
      <c r="K1582">
        <v>299</v>
      </c>
      <c r="L1582" t="s">
        <v>108</v>
      </c>
      <c r="M1582">
        <v>44</v>
      </c>
      <c r="N1582" t="str">
        <f>HYPERLINK("Gene1256-zp_tree_all.dnd", "Gene1256-tree")</f>
        <v>Gene1256-tree</v>
      </c>
      <c r="O1582">
        <v>2</v>
      </c>
      <c r="P1582">
        <v>11</v>
      </c>
      <c r="Q1582">
        <v>2</v>
      </c>
      <c r="R1582">
        <v>11</v>
      </c>
      <c r="S1582">
        <v>0.84614999999999996</v>
      </c>
      <c r="T1582" t="s">
        <v>81</v>
      </c>
      <c r="U1582" t="s">
        <v>73</v>
      </c>
      <c r="V1582">
        <v>515075683.63</v>
      </c>
      <c r="W1582" t="s">
        <v>267</v>
      </c>
      <c r="X1582">
        <v>10</v>
      </c>
      <c r="Y1582">
        <v>22</v>
      </c>
      <c r="Z1582">
        <v>31</v>
      </c>
      <c r="AA1582">
        <v>0.41509000000000001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16</v>
      </c>
      <c r="AH1582">
        <v>3</v>
      </c>
      <c r="AI1582">
        <v>19</v>
      </c>
      <c r="AJ1582">
        <v>24</v>
      </c>
      <c r="AK1582">
        <v>0.44185999999999998</v>
      </c>
      <c r="AL1582">
        <v>11</v>
      </c>
      <c r="AM1582">
        <v>10</v>
      </c>
      <c r="AN1582">
        <v>31</v>
      </c>
      <c r="AO1582">
        <v>35</v>
      </c>
      <c r="AP1582">
        <v>34</v>
      </c>
      <c r="AQ1582">
        <v>19</v>
      </c>
      <c r="AR1582" t="s">
        <v>7872</v>
      </c>
      <c r="AS1582" t="s">
        <v>7873</v>
      </c>
      <c r="AT1582">
        <v>1.014</v>
      </c>
      <c r="AU1582" t="s">
        <v>65</v>
      </c>
      <c r="AV1582">
        <v>65</v>
      </c>
      <c r="AW1582">
        <v>54</v>
      </c>
      <c r="AX1582" t="s">
        <v>7874</v>
      </c>
      <c r="AY1582">
        <v>6.8390000000000006E-2</v>
      </c>
      <c r="AZ1582">
        <v>-2.7599999999999999E-3</v>
      </c>
      <c r="BA1582">
        <v>1.55E-2</v>
      </c>
      <c r="BB1582">
        <v>-8.8000000000000003E-4</v>
      </c>
      <c r="BC1582">
        <v>0.22661999999999999</v>
      </c>
      <c r="BD1582">
        <v>1</v>
      </c>
      <c r="BE1582" t="s">
        <v>69</v>
      </c>
      <c r="BF1582">
        <v>-0.28199999999999997</v>
      </c>
      <c r="BG1582">
        <v>-0.51300000000000001</v>
      </c>
    </row>
    <row r="1583" spans="1:59">
      <c r="A1583">
        <v>0</v>
      </c>
      <c r="B1583">
        <v>11</v>
      </c>
      <c r="C1583">
        <v>4</v>
      </c>
      <c r="D1583" t="s">
        <v>25022</v>
      </c>
      <c r="E1583">
        <v>3140</v>
      </c>
      <c r="F1583" t="s">
        <v>18236</v>
      </c>
      <c r="G1583" t="s">
        <v>62</v>
      </c>
      <c r="H1583">
        <v>3095668</v>
      </c>
      <c r="I1583">
        <v>3096564</v>
      </c>
      <c r="J1583" t="s">
        <v>2512</v>
      </c>
      <c r="K1583">
        <v>299</v>
      </c>
      <c r="L1583" t="s">
        <v>108</v>
      </c>
      <c r="M1583">
        <v>44</v>
      </c>
      <c r="N1583" t="str">
        <f>HYPERLINK("Gene3140-zp_tree_all.dnd", "Gene3140-tree")</f>
        <v>Gene3140-tree</v>
      </c>
      <c r="O1583">
        <v>5</v>
      </c>
      <c r="P1583">
        <v>11</v>
      </c>
      <c r="Q1583">
        <v>5</v>
      </c>
      <c r="R1583">
        <v>11</v>
      </c>
      <c r="S1583">
        <v>0.6875</v>
      </c>
      <c r="T1583" t="s">
        <v>199</v>
      </c>
      <c r="U1583" t="s">
        <v>73</v>
      </c>
      <c r="V1583">
        <v>137353515.63499999</v>
      </c>
      <c r="W1583" t="s">
        <v>267</v>
      </c>
      <c r="X1583">
        <v>6</v>
      </c>
      <c r="Y1583">
        <v>15</v>
      </c>
      <c r="Z1583">
        <v>13</v>
      </c>
      <c r="AA1583">
        <v>0.53571000000000002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5</v>
      </c>
      <c r="AH1583">
        <v>2</v>
      </c>
      <c r="AI1583">
        <v>7</v>
      </c>
      <c r="AJ1583">
        <v>13</v>
      </c>
      <c r="AK1583">
        <v>0.35</v>
      </c>
      <c r="AL1583">
        <v>14</v>
      </c>
      <c r="AM1583">
        <v>8</v>
      </c>
      <c r="AN1583">
        <v>39</v>
      </c>
      <c r="AO1583">
        <v>20</v>
      </c>
      <c r="AP1583">
        <v>8</v>
      </c>
      <c r="AQ1583">
        <v>8</v>
      </c>
      <c r="AR1583" t="s">
        <v>18237</v>
      </c>
      <c r="AS1583" t="s">
        <v>18238</v>
      </c>
      <c r="AT1583">
        <v>0.65400000000000003</v>
      </c>
      <c r="AU1583" t="s">
        <v>65</v>
      </c>
      <c r="AV1583">
        <v>47</v>
      </c>
      <c r="AW1583">
        <v>28</v>
      </c>
      <c r="AX1583" t="s">
        <v>18239</v>
      </c>
      <c r="AY1583">
        <v>3.5540000000000002E-2</v>
      </c>
      <c r="AZ1583">
        <v>-1.6900000000000001E-3</v>
      </c>
      <c r="BA1583">
        <v>6.0299999999999998E-3</v>
      </c>
      <c r="BB1583">
        <v>-2.9999999999999997E-4</v>
      </c>
      <c r="BC1583">
        <v>0.16965</v>
      </c>
      <c r="BD1583">
        <v>1</v>
      </c>
      <c r="BE1583" t="s">
        <v>69</v>
      </c>
      <c r="BF1583">
        <v>-1.32</v>
      </c>
      <c r="BG1583">
        <v>-2.141</v>
      </c>
    </row>
    <row r="1584" spans="1:59">
      <c r="A1584">
        <v>0</v>
      </c>
      <c r="B1584">
        <v>21</v>
      </c>
      <c r="C1584">
        <v>5</v>
      </c>
      <c r="D1584" t="s">
        <v>25022</v>
      </c>
      <c r="E1584">
        <v>604</v>
      </c>
      <c r="F1584" t="s">
        <v>3893</v>
      </c>
      <c r="G1584" t="s">
        <v>57</v>
      </c>
      <c r="H1584">
        <v>630912</v>
      </c>
      <c r="I1584">
        <v>631808</v>
      </c>
      <c r="J1584" t="s">
        <v>3894</v>
      </c>
      <c r="K1584">
        <v>299</v>
      </c>
      <c r="L1584" t="s">
        <v>3859</v>
      </c>
      <c r="M1584">
        <v>42</v>
      </c>
      <c r="N1584" t="str">
        <f>HYPERLINK("Gene604-zp_tree_all.dnd", "Gene604-tree")</f>
        <v>Gene604-tree</v>
      </c>
      <c r="O1584">
        <v>4</v>
      </c>
      <c r="P1584">
        <v>9</v>
      </c>
      <c r="Q1584">
        <v>4</v>
      </c>
      <c r="R1584">
        <v>9</v>
      </c>
      <c r="S1584">
        <v>0.69230999999999998</v>
      </c>
      <c r="T1584" t="s">
        <v>61</v>
      </c>
      <c r="U1584" t="s">
        <v>135</v>
      </c>
      <c r="V1584" t="s">
        <v>62</v>
      </c>
      <c r="W1584" t="s">
        <v>62</v>
      </c>
      <c r="X1584">
        <v>11</v>
      </c>
      <c r="Y1584">
        <v>26</v>
      </c>
      <c r="Z1584">
        <v>21</v>
      </c>
      <c r="AA1584">
        <v>0.55318999999999996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4</v>
      </c>
      <c r="AH1584">
        <v>6</v>
      </c>
      <c r="AI1584">
        <v>10</v>
      </c>
      <c r="AJ1584">
        <v>20</v>
      </c>
      <c r="AK1584">
        <v>0.33333000000000002</v>
      </c>
      <c r="AL1584">
        <v>11</v>
      </c>
      <c r="AM1584">
        <v>9</v>
      </c>
      <c r="AN1584">
        <v>37</v>
      </c>
      <c r="AO1584">
        <v>33</v>
      </c>
      <c r="AP1584">
        <v>49</v>
      </c>
      <c r="AQ1584">
        <v>21</v>
      </c>
      <c r="AR1584" t="s">
        <v>3895</v>
      </c>
      <c r="AS1584" t="s">
        <v>3896</v>
      </c>
      <c r="AT1584">
        <v>0.79100000000000004</v>
      </c>
      <c r="AU1584" t="s">
        <v>65</v>
      </c>
      <c r="AV1584">
        <v>86</v>
      </c>
      <c r="AW1584">
        <v>54</v>
      </c>
      <c r="AX1584" t="s">
        <v>3897</v>
      </c>
      <c r="AY1584">
        <v>0.10299</v>
      </c>
      <c r="AZ1584">
        <v>-4.5599999999999998E-3</v>
      </c>
      <c r="BA1584">
        <v>1.465E-2</v>
      </c>
      <c r="BB1584">
        <v>-6.7000000000000002E-4</v>
      </c>
      <c r="BC1584">
        <v>0.14224000000000001</v>
      </c>
      <c r="BD1584">
        <v>1</v>
      </c>
      <c r="BE1584" t="s">
        <v>69</v>
      </c>
      <c r="BF1584">
        <v>0.38500000000000001</v>
      </c>
      <c r="BG1584">
        <v>-1.056</v>
      </c>
    </row>
    <row r="1585" spans="1:59">
      <c r="A1585">
        <v>0</v>
      </c>
      <c r="B1585">
        <v>2</v>
      </c>
      <c r="C1585">
        <v>2</v>
      </c>
      <c r="D1585" t="s">
        <v>25022</v>
      </c>
      <c r="E1585">
        <v>4234</v>
      </c>
      <c r="F1585" t="s">
        <v>24865</v>
      </c>
      <c r="G1585" t="s">
        <v>62</v>
      </c>
      <c r="H1585">
        <v>4193267</v>
      </c>
      <c r="I1585">
        <v>4194163</v>
      </c>
      <c r="J1585" t="s">
        <v>24866</v>
      </c>
      <c r="K1585">
        <v>299</v>
      </c>
      <c r="L1585" t="s">
        <v>108</v>
      </c>
      <c r="M1585">
        <v>44</v>
      </c>
      <c r="N1585" t="str">
        <f>HYPERLINK("Gene4234-zp_tree_all.dnd", "Gene4234-tree")</f>
        <v>Gene4234-tree</v>
      </c>
      <c r="O1585">
        <v>5</v>
      </c>
      <c r="P1585">
        <v>28</v>
      </c>
      <c r="Q1585">
        <v>5</v>
      </c>
      <c r="R1585">
        <v>9</v>
      </c>
      <c r="S1585">
        <v>0.64285999999999999</v>
      </c>
      <c r="T1585" t="s">
        <v>199</v>
      </c>
      <c r="U1585" t="s">
        <v>2825</v>
      </c>
      <c r="V1585">
        <v>2.7650000000000001</v>
      </c>
      <c r="W1585" t="s">
        <v>65</v>
      </c>
      <c r="X1585">
        <v>2</v>
      </c>
      <c r="Y1585">
        <v>4</v>
      </c>
      <c r="Z1585">
        <v>16</v>
      </c>
      <c r="AA1585">
        <v>0.2</v>
      </c>
      <c r="AB1585">
        <v>0</v>
      </c>
      <c r="AC1585">
        <v>0</v>
      </c>
      <c r="AD1585">
        <v>0</v>
      </c>
      <c r="AE1585">
        <v>3</v>
      </c>
      <c r="AF1585">
        <v>0</v>
      </c>
      <c r="AG1585">
        <v>0</v>
      </c>
      <c r="AH1585">
        <v>2</v>
      </c>
      <c r="AI1585">
        <v>2</v>
      </c>
      <c r="AJ1585">
        <v>13</v>
      </c>
      <c r="AK1585">
        <v>0.13333</v>
      </c>
      <c r="AL1585">
        <v>13</v>
      </c>
      <c r="AM1585">
        <v>9</v>
      </c>
      <c r="AN1585">
        <v>45</v>
      </c>
      <c r="AO1585">
        <v>16</v>
      </c>
      <c r="AP1585">
        <v>23</v>
      </c>
      <c r="AQ1585">
        <v>5</v>
      </c>
      <c r="AR1585" t="s">
        <v>24867</v>
      </c>
      <c r="AS1585" t="s">
        <v>24868</v>
      </c>
      <c r="AT1585">
        <v>0.45900000000000002</v>
      </c>
      <c r="AU1585" t="s">
        <v>65</v>
      </c>
      <c r="AV1585">
        <v>68</v>
      </c>
      <c r="AW1585">
        <v>21</v>
      </c>
      <c r="AX1585" t="s">
        <v>24869</v>
      </c>
      <c r="AY1585">
        <v>5.969E-2</v>
      </c>
      <c r="AZ1585">
        <v>-3.0100000000000001E-3</v>
      </c>
      <c r="BA1585">
        <v>6.1599999999999997E-3</v>
      </c>
      <c r="BB1585">
        <v>-4.4999999999999999E-4</v>
      </c>
      <c r="BC1585">
        <v>0.10316</v>
      </c>
      <c r="BD1585">
        <v>1</v>
      </c>
      <c r="BE1585" t="s">
        <v>69</v>
      </c>
      <c r="BF1585">
        <v>-2.5999999999999999E-2</v>
      </c>
      <c r="BG1585">
        <v>-0.48399999999999999</v>
      </c>
    </row>
    <row r="1586" spans="1:59">
      <c r="A1586">
        <v>0</v>
      </c>
      <c r="B1586">
        <v>12</v>
      </c>
      <c r="C1586">
        <v>0</v>
      </c>
      <c r="D1586" t="s">
        <v>25022</v>
      </c>
      <c r="E1586">
        <v>2511</v>
      </c>
      <c r="F1586" t="s">
        <v>14651</v>
      </c>
      <c r="G1586" t="s">
        <v>62</v>
      </c>
      <c r="H1586">
        <v>2503768</v>
      </c>
      <c r="I1586">
        <v>2504664</v>
      </c>
      <c r="J1586" t="s">
        <v>14652</v>
      </c>
      <c r="K1586">
        <v>299</v>
      </c>
      <c r="L1586" t="s">
        <v>108</v>
      </c>
      <c r="M1586">
        <v>44</v>
      </c>
      <c r="N1586" t="str">
        <f>HYPERLINK("Gene2511-zp_tree_all.dnd", "Gene2511-tree")</f>
        <v>Gene2511-tree</v>
      </c>
      <c r="O1586">
        <v>2</v>
      </c>
      <c r="P1586">
        <v>12</v>
      </c>
      <c r="Q1586">
        <v>2</v>
      </c>
      <c r="R1586">
        <v>12</v>
      </c>
      <c r="S1586">
        <v>0.85714000000000001</v>
      </c>
      <c r="T1586" t="s">
        <v>81</v>
      </c>
      <c r="U1586" t="s">
        <v>109</v>
      </c>
      <c r="V1586" t="s">
        <v>62</v>
      </c>
      <c r="W1586" t="s">
        <v>62</v>
      </c>
      <c r="X1586">
        <v>4</v>
      </c>
      <c r="Y1586">
        <v>12</v>
      </c>
      <c r="Z1586">
        <v>9</v>
      </c>
      <c r="AA1586">
        <v>0.57142999999999999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5</v>
      </c>
      <c r="AH1586">
        <v>0</v>
      </c>
      <c r="AI1586">
        <v>5</v>
      </c>
      <c r="AJ1586">
        <v>10</v>
      </c>
      <c r="AK1586">
        <v>0.33333000000000002</v>
      </c>
      <c r="AL1586">
        <v>13</v>
      </c>
      <c r="AM1586">
        <v>9</v>
      </c>
      <c r="AN1586">
        <v>32</v>
      </c>
      <c r="AO1586">
        <v>14</v>
      </c>
      <c r="AP1586">
        <v>34</v>
      </c>
      <c r="AQ1586">
        <v>7</v>
      </c>
      <c r="AR1586" t="s">
        <v>14653</v>
      </c>
      <c r="AS1586" t="s">
        <v>14654</v>
      </c>
      <c r="AT1586">
        <v>0.90400000000000003</v>
      </c>
      <c r="AU1586" t="s">
        <v>65</v>
      </c>
      <c r="AV1586">
        <v>66</v>
      </c>
      <c r="AW1586">
        <v>21</v>
      </c>
      <c r="AX1586" t="s">
        <v>14655</v>
      </c>
      <c r="AY1586">
        <v>6.2549999999999994E-2</v>
      </c>
      <c r="AZ1586">
        <v>-3.9899999999999996E-3</v>
      </c>
      <c r="BA1586">
        <v>4.7800000000000004E-3</v>
      </c>
      <c r="BB1586">
        <v>-2.2000000000000001E-4</v>
      </c>
      <c r="BC1586">
        <v>7.6369999999999993E-2</v>
      </c>
      <c r="BD1586">
        <v>1</v>
      </c>
      <c r="BE1586" t="s">
        <v>69</v>
      </c>
      <c r="BF1586">
        <v>-0.23300000000000001</v>
      </c>
      <c r="BG1586">
        <v>-0.72</v>
      </c>
    </row>
    <row r="1587" spans="1:59">
      <c r="A1587">
        <v>0</v>
      </c>
      <c r="B1587">
        <v>4</v>
      </c>
      <c r="C1587">
        <v>0</v>
      </c>
      <c r="D1587" t="s">
        <v>25022</v>
      </c>
      <c r="E1587">
        <v>3901</v>
      </c>
      <c r="F1587" t="s">
        <v>22874</v>
      </c>
      <c r="G1587" t="s">
        <v>62</v>
      </c>
      <c r="H1587">
        <v>3864312</v>
      </c>
      <c r="I1587">
        <v>3865208</v>
      </c>
      <c r="J1587" t="s">
        <v>22875</v>
      </c>
      <c r="K1587">
        <v>299</v>
      </c>
      <c r="L1587" t="s">
        <v>108</v>
      </c>
      <c r="M1587">
        <v>44</v>
      </c>
      <c r="N1587" t="str">
        <f>HYPERLINK("Gene3901-zp_tree_all.dnd", "Gene3901-tree")</f>
        <v>Gene3901-tree</v>
      </c>
      <c r="O1587">
        <v>10</v>
      </c>
      <c r="P1587">
        <v>4</v>
      </c>
      <c r="Q1587">
        <v>10</v>
      </c>
      <c r="R1587">
        <v>4</v>
      </c>
      <c r="S1587">
        <v>0.28571000000000002</v>
      </c>
      <c r="T1587" t="s">
        <v>117</v>
      </c>
      <c r="U1587" t="s">
        <v>61</v>
      </c>
      <c r="V1587" t="s">
        <v>62</v>
      </c>
      <c r="W1587" t="s">
        <v>62</v>
      </c>
      <c r="X1587">
        <v>2</v>
      </c>
      <c r="Y1587">
        <v>4</v>
      </c>
      <c r="Z1587">
        <v>7</v>
      </c>
      <c r="AA1587">
        <v>0.36364000000000002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8</v>
      </c>
      <c r="AK1587">
        <v>0</v>
      </c>
      <c r="AL1587">
        <v>11</v>
      </c>
      <c r="AM1587">
        <v>9</v>
      </c>
      <c r="AN1587">
        <v>28</v>
      </c>
      <c r="AO1587">
        <v>6</v>
      </c>
      <c r="AP1587">
        <v>21</v>
      </c>
      <c r="AQ1587">
        <v>5</v>
      </c>
      <c r="AR1587" t="s">
        <v>22876</v>
      </c>
      <c r="AS1587" t="s">
        <v>22877</v>
      </c>
      <c r="AT1587">
        <v>6.6000000000000003E-2</v>
      </c>
      <c r="AU1587" t="s">
        <v>65</v>
      </c>
      <c r="AV1587">
        <v>49</v>
      </c>
      <c r="AW1587">
        <v>11</v>
      </c>
      <c r="AX1587" t="s">
        <v>22878</v>
      </c>
      <c r="AY1587">
        <v>4.5080000000000002E-2</v>
      </c>
      <c r="AZ1587">
        <v>-1.8699999999999999E-3</v>
      </c>
      <c r="BA1587">
        <v>3.0100000000000001E-3</v>
      </c>
      <c r="BB1587">
        <v>-2.5999999999999998E-4</v>
      </c>
      <c r="BC1587">
        <v>6.676E-2</v>
      </c>
      <c r="BD1587">
        <v>1</v>
      </c>
      <c r="BE1587" t="s">
        <v>69</v>
      </c>
      <c r="BF1587">
        <v>-0.40899999999999997</v>
      </c>
      <c r="BG1587">
        <v>-0.70699999999999996</v>
      </c>
    </row>
    <row r="1588" spans="1:59">
      <c r="A1588">
        <v>0</v>
      </c>
      <c r="B1588">
        <v>4</v>
      </c>
      <c r="C1588">
        <v>0</v>
      </c>
      <c r="D1588" t="s">
        <v>25022</v>
      </c>
      <c r="E1588">
        <v>3046</v>
      </c>
      <c r="F1588" t="s">
        <v>17622</v>
      </c>
      <c r="G1588" t="s">
        <v>62</v>
      </c>
      <c r="H1588">
        <v>2998799</v>
      </c>
      <c r="I1588">
        <v>2999698</v>
      </c>
      <c r="J1588" t="s">
        <v>2569</v>
      </c>
      <c r="K1588">
        <v>300</v>
      </c>
      <c r="L1588" t="s">
        <v>2555</v>
      </c>
      <c r="M1588">
        <v>34</v>
      </c>
      <c r="N1588" t="str">
        <f>HYPERLINK("Gene3046-zp_tree_all.dnd", "Gene3046-tree")</f>
        <v>Gene3046-tree</v>
      </c>
      <c r="O1588">
        <v>8</v>
      </c>
      <c r="P1588">
        <v>2</v>
      </c>
      <c r="Q1588">
        <v>8</v>
      </c>
      <c r="R1588">
        <v>2</v>
      </c>
      <c r="S1588">
        <v>0.2</v>
      </c>
      <c r="T1588" t="s">
        <v>136</v>
      </c>
      <c r="U1588" t="s">
        <v>81</v>
      </c>
      <c r="V1588" t="s">
        <v>62</v>
      </c>
      <c r="W1588" t="s">
        <v>62</v>
      </c>
      <c r="X1588">
        <v>2</v>
      </c>
      <c r="Y1588">
        <v>4</v>
      </c>
      <c r="Z1588">
        <v>5</v>
      </c>
      <c r="AA1588">
        <v>0.44444</v>
      </c>
      <c r="AB1588">
        <v>0</v>
      </c>
      <c r="AC1588">
        <v>0</v>
      </c>
      <c r="AD1588">
        <v>0</v>
      </c>
      <c r="AE1588">
        <v>3</v>
      </c>
      <c r="AF1588">
        <v>0</v>
      </c>
      <c r="AG1588">
        <v>4</v>
      </c>
      <c r="AH1588">
        <v>0</v>
      </c>
      <c r="AI1588">
        <v>4</v>
      </c>
      <c r="AJ1588">
        <v>0</v>
      </c>
      <c r="AK1588">
        <v>1</v>
      </c>
      <c r="AL1588">
        <v>7</v>
      </c>
      <c r="AM1588">
        <v>6</v>
      </c>
      <c r="AN1588">
        <v>13</v>
      </c>
      <c r="AO1588">
        <v>4</v>
      </c>
      <c r="AP1588">
        <v>10</v>
      </c>
      <c r="AQ1588">
        <v>5</v>
      </c>
      <c r="AR1588" t="s">
        <v>17623</v>
      </c>
      <c r="AS1588" t="s">
        <v>17624</v>
      </c>
      <c r="AT1588">
        <v>0.39</v>
      </c>
      <c r="AU1588" t="s">
        <v>65</v>
      </c>
      <c r="AV1588">
        <v>23</v>
      </c>
      <c r="AW1588">
        <v>9</v>
      </c>
      <c r="AX1588" t="s">
        <v>17625</v>
      </c>
      <c r="AY1588">
        <v>2.7439999999999999E-2</v>
      </c>
      <c r="AZ1588">
        <v>-2.0999999999999999E-3</v>
      </c>
      <c r="BA1588">
        <v>3.9699999999999996E-3</v>
      </c>
      <c r="BB1588">
        <v>-2.7E-4</v>
      </c>
      <c r="BC1588">
        <v>0.14452999999999999</v>
      </c>
      <c r="BD1588">
        <v>1</v>
      </c>
      <c r="BE1588" t="s">
        <v>69</v>
      </c>
      <c r="BF1588">
        <v>-1.081</v>
      </c>
      <c r="BG1588">
        <v>-0.72499999999999998</v>
      </c>
    </row>
    <row r="1589" spans="1:59">
      <c r="A1589">
        <v>0</v>
      </c>
      <c r="B1589">
        <v>16</v>
      </c>
      <c r="C1589">
        <v>0</v>
      </c>
      <c r="D1589" t="s">
        <v>25022</v>
      </c>
      <c r="E1589">
        <v>423</v>
      </c>
      <c r="F1589" t="s">
        <v>2873</v>
      </c>
      <c r="G1589" t="s">
        <v>57</v>
      </c>
      <c r="H1589">
        <v>466042</v>
      </c>
      <c r="I1589">
        <v>466941</v>
      </c>
      <c r="J1589" t="s">
        <v>1940</v>
      </c>
      <c r="K1589">
        <v>300</v>
      </c>
      <c r="L1589" t="s">
        <v>108</v>
      </c>
      <c r="M1589">
        <v>44</v>
      </c>
      <c r="N1589" t="str">
        <f>HYPERLINK("Gene423-zp_tree_all.dnd", "Gene423-tree")</f>
        <v>Gene423-tree</v>
      </c>
      <c r="O1589">
        <v>5</v>
      </c>
      <c r="P1589">
        <v>8</v>
      </c>
      <c r="Q1589">
        <v>5</v>
      </c>
      <c r="R1589">
        <v>8</v>
      </c>
      <c r="S1589">
        <v>0.61538000000000004</v>
      </c>
      <c r="T1589" t="s">
        <v>199</v>
      </c>
      <c r="U1589" t="s">
        <v>136</v>
      </c>
      <c r="V1589" t="s">
        <v>62</v>
      </c>
      <c r="W1589" t="s">
        <v>62</v>
      </c>
      <c r="X1589">
        <v>6</v>
      </c>
      <c r="Y1589">
        <v>16</v>
      </c>
      <c r="Z1589">
        <v>12</v>
      </c>
      <c r="AA1589">
        <v>0.57142999999999999</v>
      </c>
      <c r="AB1589">
        <v>0</v>
      </c>
      <c r="AC1589">
        <v>0</v>
      </c>
      <c r="AD1589">
        <v>0</v>
      </c>
      <c r="AE1589">
        <v>3</v>
      </c>
      <c r="AF1589">
        <v>0</v>
      </c>
      <c r="AG1589">
        <v>4</v>
      </c>
      <c r="AH1589">
        <v>0</v>
      </c>
      <c r="AI1589">
        <v>4</v>
      </c>
      <c r="AJ1589">
        <v>14</v>
      </c>
      <c r="AK1589">
        <v>0.22222</v>
      </c>
      <c r="AL1589">
        <v>12</v>
      </c>
      <c r="AM1589">
        <v>9</v>
      </c>
      <c r="AN1589">
        <v>49</v>
      </c>
      <c r="AO1589">
        <v>18</v>
      </c>
      <c r="AP1589">
        <v>27</v>
      </c>
      <c r="AQ1589">
        <v>12</v>
      </c>
      <c r="AR1589" t="s">
        <v>2874</v>
      </c>
      <c r="AS1589" t="s">
        <v>2875</v>
      </c>
      <c r="AT1589">
        <v>0.34200000000000003</v>
      </c>
      <c r="AU1589" t="s">
        <v>65</v>
      </c>
      <c r="AV1589">
        <v>76</v>
      </c>
      <c r="AW1589">
        <v>30</v>
      </c>
      <c r="AX1589" t="s">
        <v>2876</v>
      </c>
      <c r="AY1589">
        <v>7.7399999999999997E-2</v>
      </c>
      <c r="AZ1589">
        <v>-4.0800000000000003E-3</v>
      </c>
      <c r="BA1589">
        <v>8.6499999999999997E-3</v>
      </c>
      <c r="BB1589">
        <v>-4.4000000000000002E-4</v>
      </c>
      <c r="BC1589">
        <v>0.11179</v>
      </c>
      <c r="BD1589">
        <v>1</v>
      </c>
      <c r="BE1589" t="s">
        <v>69</v>
      </c>
      <c r="BF1589">
        <v>-0.27800000000000002</v>
      </c>
      <c r="BG1589">
        <v>-1.823</v>
      </c>
    </row>
    <row r="1590" spans="1:59">
      <c r="A1590">
        <v>0</v>
      </c>
      <c r="B1590">
        <v>9</v>
      </c>
      <c r="C1590">
        <v>0</v>
      </c>
      <c r="D1590" t="s">
        <v>25022</v>
      </c>
      <c r="E1590">
        <v>2601</v>
      </c>
      <c r="F1590" t="s">
        <v>15225</v>
      </c>
      <c r="G1590" t="s">
        <v>62</v>
      </c>
      <c r="H1590">
        <v>2580718</v>
      </c>
      <c r="I1590">
        <v>2581617</v>
      </c>
      <c r="J1590" t="s">
        <v>15226</v>
      </c>
      <c r="K1590">
        <v>300</v>
      </c>
      <c r="L1590" t="s">
        <v>59</v>
      </c>
      <c r="M1590">
        <v>49</v>
      </c>
      <c r="N1590" t="str">
        <f>HYPERLINK("Gene2601-zp_tree_all.dnd", "Gene2601-tree")</f>
        <v>Gene2601-tree</v>
      </c>
      <c r="O1590">
        <v>8</v>
      </c>
      <c r="P1590">
        <v>11</v>
      </c>
      <c r="Q1590">
        <v>8</v>
      </c>
      <c r="R1590">
        <v>11</v>
      </c>
      <c r="S1590">
        <v>0.57894999999999996</v>
      </c>
      <c r="T1590" t="s">
        <v>136</v>
      </c>
      <c r="U1590" t="s">
        <v>73</v>
      </c>
      <c r="V1590">
        <v>42922973.636</v>
      </c>
      <c r="W1590" t="s">
        <v>267</v>
      </c>
      <c r="X1590">
        <v>3</v>
      </c>
      <c r="Y1590">
        <v>9</v>
      </c>
      <c r="Z1590">
        <v>14</v>
      </c>
      <c r="AA1590">
        <v>0.39129999999999998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4</v>
      </c>
      <c r="AH1590">
        <v>0</v>
      </c>
      <c r="AI1590">
        <v>4</v>
      </c>
      <c r="AJ1590">
        <v>10</v>
      </c>
      <c r="AK1590">
        <v>0.28571000000000002</v>
      </c>
      <c r="AL1590">
        <v>13</v>
      </c>
      <c r="AM1590">
        <v>14</v>
      </c>
      <c r="AN1590">
        <v>38</v>
      </c>
      <c r="AO1590">
        <v>10</v>
      </c>
      <c r="AP1590">
        <v>51</v>
      </c>
      <c r="AQ1590">
        <v>13</v>
      </c>
      <c r="AR1590" t="s">
        <v>15227</v>
      </c>
      <c r="AS1590" t="s">
        <v>15228</v>
      </c>
      <c r="AT1590">
        <v>5.0999999999999997E-2</v>
      </c>
      <c r="AU1590" t="s">
        <v>65</v>
      </c>
      <c r="AV1590">
        <v>89</v>
      </c>
      <c r="AW1590">
        <v>23</v>
      </c>
      <c r="AX1590" t="s">
        <v>15229</v>
      </c>
      <c r="AY1590">
        <v>8.2250000000000004E-2</v>
      </c>
      <c r="AZ1590">
        <v>-4.1700000000000001E-3</v>
      </c>
      <c r="BA1590">
        <v>6.1199999999999996E-3</v>
      </c>
      <c r="BB1590">
        <v>-2.5000000000000001E-4</v>
      </c>
      <c r="BC1590">
        <v>7.4450000000000002E-2</v>
      </c>
      <c r="BD1590">
        <v>1</v>
      </c>
      <c r="BE1590" t="s">
        <v>69</v>
      </c>
      <c r="BF1590">
        <v>-1.054</v>
      </c>
      <c r="BG1590">
        <v>-0.498</v>
      </c>
    </row>
    <row r="1591" spans="1:59">
      <c r="A1591">
        <v>0</v>
      </c>
      <c r="B1591">
        <v>4</v>
      </c>
      <c r="C1591">
        <v>0</v>
      </c>
      <c r="D1591" t="s">
        <v>25022</v>
      </c>
      <c r="E1591">
        <v>3377</v>
      </c>
      <c r="F1591" t="s">
        <v>19743</v>
      </c>
      <c r="G1591" t="s">
        <v>62</v>
      </c>
      <c r="H1591">
        <v>3347922</v>
      </c>
      <c r="I1591">
        <v>3348821</v>
      </c>
      <c r="J1591" t="s">
        <v>19744</v>
      </c>
      <c r="K1591">
        <v>300</v>
      </c>
      <c r="L1591" t="s">
        <v>698</v>
      </c>
      <c r="M1591">
        <v>47</v>
      </c>
      <c r="N1591" t="str">
        <f>HYPERLINK("Gene3377-zp_tree_all.dnd", "Gene3377-tree")</f>
        <v>Gene3377-tree</v>
      </c>
      <c r="O1591">
        <v>9</v>
      </c>
      <c r="P1591">
        <v>8</v>
      </c>
      <c r="Q1591">
        <v>9</v>
      </c>
      <c r="R1591">
        <v>8</v>
      </c>
      <c r="S1591">
        <v>0.47059000000000001</v>
      </c>
      <c r="T1591" t="s">
        <v>135</v>
      </c>
      <c r="U1591" t="s">
        <v>136</v>
      </c>
      <c r="V1591" t="s">
        <v>62</v>
      </c>
      <c r="W1591" t="s">
        <v>62</v>
      </c>
      <c r="X1591">
        <v>2</v>
      </c>
      <c r="Y1591">
        <v>4</v>
      </c>
      <c r="Z1591">
        <v>10</v>
      </c>
      <c r="AA1591">
        <v>0.28571000000000002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9</v>
      </c>
      <c r="AK1591">
        <v>0</v>
      </c>
      <c r="AL1591">
        <v>17</v>
      </c>
      <c r="AM1591">
        <v>10</v>
      </c>
      <c r="AN1591">
        <v>38</v>
      </c>
      <c r="AO1591">
        <v>11</v>
      </c>
      <c r="AP1591">
        <v>48</v>
      </c>
      <c r="AQ1591">
        <v>7</v>
      </c>
      <c r="AR1591" t="s">
        <v>19745</v>
      </c>
      <c r="AS1591" t="s">
        <v>19746</v>
      </c>
      <c r="AT1591">
        <v>0.49</v>
      </c>
      <c r="AU1591" t="s">
        <v>65</v>
      </c>
      <c r="AV1591">
        <v>86</v>
      </c>
      <c r="AW1591">
        <v>18</v>
      </c>
      <c r="AX1591" t="s">
        <v>19747</v>
      </c>
      <c r="AY1591">
        <v>8.9889999999999998E-2</v>
      </c>
      <c r="AZ1591">
        <v>-6.7799999999999996E-3</v>
      </c>
      <c r="BA1591">
        <v>4.4000000000000003E-3</v>
      </c>
      <c r="BB1591">
        <v>-2.9999999999999997E-4</v>
      </c>
      <c r="BC1591">
        <v>4.9000000000000002E-2</v>
      </c>
      <c r="BD1591">
        <v>1</v>
      </c>
      <c r="BE1591" t="s">
        <v>69</v>
      </c>
      <c r="BF1591">
        <v>-1.2210000000000001</v>
      </c>
      <c r="BG1591">
        <v>-0.79700000000000004</v>
      </c>
    </row>
    <row r="1592" spans="1:59">
      <c r="A1592">
        <v>0</v>
      </c>
      <c r="B1592">
        <v>3</v>
      </c>
      <c r="C1592">
        <v>2</v>
      </c>
      <c r="D1592" t="s">
        <v>25022</v>
      </c>
      <c r="E1592">
        <v>1361</v>
      </c>
      <c r="F1592" t="s">
        <v>8519</v>
      </c>
      <c r="G1592" t="s">
        <v>57</v>
      </c>
      <c r="H1592">
        <v>1377243</v>
      </c>
      <c r="I1592">
        <v>1378142</v>
      </c>
      <c r="J1592" t="s">
        <v>8520</v>
      </c>
      <c r="K1592">
        <v>300</v>
      </c>
      <c r="L1592" t="s">
        <v>108</v>
      </c>
      <c r="M1592">
        <v>44</v>
      </c>
      <c r="N1592" t="str">
        <f>HYPERLINK("Gene1361-zp_tree_all.dnd", "Gene1361-tree")</f>
        <v>Gene1361-tree</v>
      </c>
      <c r="O1592">
        <v>7</v>
      </c>
      <c r="P1592">
        <v>6</v>
      </c>
      <c r="Q1592">
        <v>7</v>
      </c>
      <c r="R1592">
        <v>6</v>
      </c>
      <c r="S1592">
        <v>0.46154000000000001</v>
      </c>
      <c r="T1592" t="s">
        <v>152</v>
      </c>
      <c r="U1592" t="s">
        <v>90</v>
      </c>
      <c r="V1592" t="s">
        <v>62</v>
      </c>
      <c r="W1592" t="s">
        <v>62</v>
      </c>
      <c r="X1592">
        <v>2</v>
      </c>
      <c r="Y1592">
        <v>5</v>
      </c>
      <c r="Z1592">
        <v>5</v>
      </c>
      <c r="AA1592">
        <v>0.5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</v>
      </c>
      <c r="AH1592">
        <v>0</v>
      </c>
      <c r="AI1592">
        <v>2</v>
      </c>
      <c r="AJ1592">
        <v>4</v>
      </c>
      <c r="AK1592">
        <v>0.33333000000000002</v>
      </c>
      <c r="AL1592">
        <v>11</v>
      </c>
      <c r="AM1592">
        <v>8</v>
      </c>
      <c r="AN1592">
        <v>28</v>
      </c>
      <c r="AO1592">
        <v>6</v>
      </c>
      <c r="AP1592">
        <v>29</v>
      </c>
      <c r="AQ1592">
        <v>4</v>
      </c>
      <c r="AR1592" t="s">
        <v>8521</v>
      </c>
      <c r="AS1592" t="s">
        <v>8522</v>
      </c>
      <c r="AT1592">
        <v>0.44</v>
      </c>
      <c r="AU1592" t="s">
        <v>65</v>
      </c>
      <c r="AV1592">
        <v>57</v>
      </c>
      <c r="AW1592">
        <v>10</v>
      </c>
      <c r="AX1592" t="s">
        <v>8523</v>
      </c>
      <c r="AY1592">
        <v>6.2449999999999999E-2</v>
      </c>
      <c r="AZ1592">
        <v>-3.1700000000000001E-3</v>
      </c>
      <c r="BA1592">
        <v>2.8800000000000002E-3</v>
      </c>
      <c r="BB1592">
        <v>-1.6000000000000001E-4</v>
      </c>
      <c r="BC1592">
        <v>4.607E-2</v>
      </c>
      <c r="BD1592">
        <v>1</v>
      </c>
      <c r="BE1592" t="s">
        <v>69</v>
      </c>
      <c r="BF1592">
        <v>0.53300000000000003</v>
      </c>
      <c r="BG1592">
        <v>0.21</v>
      </c>
    </row>
    <row r="1593" spans="1:59">
      <c r="A1593">
        <v>0</v>
      </c>
      <c r="B1593">
        <v>0</v>
      </c>
      <c r="C1593">
        <v>0</v>
      </c>
      <c r="D1593" t="s">
        <v>25022</v>
      </c>
      <c r="E1593">
        <v>1915</v>
      </c>
      <c r="F1593" t="s">
        <v>11995</v>
      </c>
      <c r="G1593" t="s">
        <v>57</v>
      </c>
      <c r="H1593">
        <v>2014779</v>
      </c>
      <c r="I1593">
        <v>2015678</v>
      </c>
      <c r="J1593" t="s">
        <v>11996</v>
      </c>
      <c r="K1593">
        <v>300</v>
      </c>
      <c r="L1593" t="s">
        <v>698</v>
      </c>
      <c r="M1593">
        <v>47</v>
      </c>
      <c r="N1593" t="str">
        <f>HYPERLINK("Gene1915-zp_tree_all.dnd", "Gene1915-tree")</f>
        <v>Gene1915-tree</v>
      </c>
      <c r="O1593">
        <v>16</v>
      </c>
      <c r="P1593">
        <v>1</v>
      </c>
      <c r="Q1593">
        <v>16</v>
      </c>
      <c r="R1593">
        <v>1</v>
      </c>
      <c r="S1593">
        <v>5.8819999999999997E-2</v>
      </c>
      <c r="T1593" t="s">
        <v>60</v>
      </c>
      <c r="U1593" t="s">
        <v>175</v>
      </c>
      <c r="V1593" t="s">
        <v>62</v>
      </c>
      <c r="W1593" t="s">
        <v>62</v>
      </c>
      <c r="X1593">
        <v>0</v>
      </c>
      <c r="Y1593">
        <v>0</v>
      </c>
      <c r="Z1593">
        <v>5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</v>
      </c>
      <c r="AK1593">
        <v>0</v>
      </c>
      <c r="AL1593">
        <v>12</v>
      </c>
      <c r="AM1593">
        <v>9</v>
      </c>
      <c r="AN1593">
        <v>36</v>
      </c>
      <c r="AO1593">
        <v>2</v>
      </c>
      <c r="AP1593">
        <v>41</v>
      </c>
      <c r="AQ1593">
        <v>3</v>
      </c>
      <c r="AR1593" t="s">
        <v>11997</v>
      </c>
      <c r="AS1593" t="s">
        <v>11998</v>
      </c>
      <c r="AT1593">
        <v>4.2000000000000003E-2</v>
      </c>
      <c r="AU1593" t="s">
        <v>65</v>
      </c>
      <c r="AV1593">
        <v>77</v>
      </c>
      <c r="AW1593">
        <v>5</v>
      </c>
      <c r="AX1593" t="s">
        <v>11999</v>
      </c>
      <c r="AY1593">
        <v>6.9409999999999999E-2</v>
      </c>
      <c r="AZ1593">
        <v>-6.7299999999999999E-3</v>
      </c>
      <c r="BA1593">
        <v>1.2999999999999999E-3</v>
      </c>
      <c r="BB1593">
        <v>-2.1000000000000001E-4</v>
      </c>
      <c r="BC1593">
        <v>1.8700000000000001E-2</v>
      </c>
      <c r="BD1593">
        <v>1</v>
      </c>
      <c r="BE1593" t="s">
        <v>69</v>
      </c>
      <c r="BF1593">
        <v>-1.2010000000000001</v>
      </c>
      <c r="BG1593">
        <v>-0.372</v>
      </c>
    </row>
    <row r="1594" spans="1:59">
      <c r="A1594">
        <v>0</v>
      </c>
      <c r="B1594">
        <v>0</v>
      </c>
      <c r="C1594">
        <v>0</v>
      </c>
      <c r="D1594" t="s">
        <v>25022</v>
      </c>
      <c r="E1594">
        <v>1647</v>
      </c>
      <c r="F1594" t="s">
        <v>10312</v>
      </c>
      <c r="G1594" t="s">
        <v>57</v>
      </c>
      <c r="H1594">
        <v>1658930</v>
      </c>
      <c r="I1594">
        <v>1659829</v>
      </c>
      <c r="J1594" t="s">
        <v>10313</v>
      </c>
      <c r="K1594">
        <v>300</v>
      </c>
      <c r="L1594" t="s">
        <v>108</v>
      </c>
      <c r="M1594">
        <v>44</v>
      </c>
      <c r="N1594" t="str">
        <f>HYPERLINK("Gene1647-zp_tree_all.dnd", "Gene1647-tree")</f>
        <v>Gene1647-tree</v>
      </c>
      <c r="O1594">
        <v>13</v>
      </c>
      <c r="P1594">
        <v>1</v>
      </c>
      <c r="Q1594">
        <v>13</v>
      </c>
      <c r="R1594">
        <v>1</v>
      </c>
      <c r="S1594">
        <v>7.1429999999999993E-2</v>
      </c>
      <c r="T1594" t="s">
        <v>507</v>
      </c>
      <c r="U1594" t="s">
        <v>175</v>
      </c>
      <c r="V1594" t="s">
        <v>62</v>
      </c>
      <c r="W1594" t="s">
        <v>62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12</v>
      </c>
      <c r="AM1594">
        <v>6</v>
      </c>
      <c r="AN1594">
        <v>22</v>
      </c>
      <c r="AO1594">
        <v>1</v>
      </c>
      <c r="AP1594">
        <v>8</v>
      </c>
      <c r="AQ1594">
        <v>0</v>
      </c>
      <c r="AR1594" t="s">
        <v>10314</v>
      </c>
      <c r="AS1594" t="s">
        <v>193</v>
      </c>
      <c r="AT1594">
        <v>0.3</v>
      </c>
      <c r="AU1594" t="s">
        <v>65</v>
      </c>
      <c r="AV1594">
        <v>30</v>
      </c>
      <c r="AW1594">
        <v>1</v>
      </c>
      <c r="AX1594" t="s">
        <v>10315</v>
      </c>
      <c r="AY1594">
        <v>2.5020000000000001E-2</v>
      </c>
      <c r="AZ1594">
        <v>-1.23E-3</v>
      </c>
      <c r="BA1594">
        <v>2.1000000000000001E-4</v>
      </c>
      <c r="BB1594">
        <v>-5.0000000000000002E-5</v>
      </c>
      <c r="BC1594">
        <v>8.3499999999999998E-3</v>
      </c>
      <c r="BD1594">
        <v>1</v>
      </c>
      <c r="BE1594" t="s">
        <v>69</v>
      </c>
      <c r="BF1594">
        <v>-0.57499999999999996</v>
      </c>
      <c r="BG1594">
        <v>-1.1419999999999999</v>
      </c>
    </row>
    <row r="1595" spans="1:59">
      <c r="A1595">
        <v>0</v>
      </c>
      <c r="B1595">
        <v>0</v>
      </c>
      <c r="C1595">
        <v>0</v>
      </c>
      <c r="D1595" t="s">
        <v>25022</v>
      </c>
      <c r="E1595">
        <v>1671</v>
      </c>
      <c r="F1595" t="s">
        <v>10465</v>
      </c>
      <c r="G1595" t="s">
        <v>57</v>
      </c>
      <c r="H1595">
        <v>1681617</v>
      </c>
      <c r="I1595">
        <v>1682516</v>
      </c>
      <c r="J1595" t="s">
        <v>10466</v>
      </c>
      <c r="K1595">
        <v>300</v>
      </c>
      <c r="L1595" t="s">
        <v>59</v>
      </c>
      <c r="M1595">
        <v>49</v>
      </c>
      <c r="N1595" t="str">
        <f>HYPERLINK("Gene1671-zp_tree_all.dnd", "Gene1671-tree")</f>
        <v>Gene1671-tree</v>
      </c>
      <c r="O1595">
        <v>16</v>
      </c>
      <c r="P1595">
        <v>2</v>
      </c>
      <c r="Q1595">
        <v>16</v>
      </c>
      <c r="R1595">
        <v>2</v>
      </c>
      <c r="S1595">
        <v>0.11111</v>
      </c>
      <c r="T1595" t="s">
        <v>60</v>
      </c>
      <c r="U1595" t="s">
        <v>81</v>
      </c>
      <c r="V1595" t="s">
        <v>62</v>
      </c>
      <c r="W1595" t="s">
        <v>62</v>
      </c>
      <c r="X1595">
        <v>0</v>
      </c>
      <c r="Y1595">
        <v>0</v>
      </c>
      <c r="Z1595">
        <v>3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0</v>
      </c>
      <c r="AL1595">
        <v>13</v>
      </c>
      <c r="AM1595">
        <v>10</v>
      </c>
      <c r="AN1595">
        <v>40</v>
      </c>
      <c r="AO1595">
        <v>2</v>
      </c>
      <c r="AP1595">
        <v>43</v>
      </c>
      <c r="AQ1595">
        <v>1</v>
      </c>
      <c r="AR1595" t="s">
        <v>10467</v>
      </c>
      <c r="AS1595" t="s">
        <v>10468</v>
      </c>
      <c r="AT1595">
        <v>0.24399999999999999</v>
      </c>
      <c r="AU1595" t="s">
        <v>65</v>
      </c>
      <c r="AV1595">
        <v>83</v>
      </c>
      <c r="AW1595">
        <v>3</v>
      </c>
      <c r="AX1595" t="s">
        <v>10469</v>
      </c>
      <c r="AY1595">
        <v>8.7959999999999997E-2</v>
      </c>
      <c r="AZ1595">
        <v>-5.5300000000000002E-3</v>
      </c>
      <c r="BA1595">
        <v>6.3000000000000003E-4</v>
      </c>
      <c r="BB1595">
        <v>-8.0000000000000007E-5</v>
      </c>
      <c r="BC1595">
        <v>7.1799999999999998E-3</v>
      </c>
      <c r="BD1595">
        <v>1</v>
      </c>
      <c r="BE1595" t="s">
        <v>69</v>
      </c>
      <c r="BF1595">
        <v>-1.252</v>
      </c>
      <c r="BG1595">
        <v>-1.0169999999999999</v>
      </c>
    </row>
    <row r="1596" spans="1:59">
      <c r="A1596">
        <v>0</v>
      </c>
      <c r="B1596">
        <v>19</v>
      </c>
      <c r="C1596">
        <v>0</v>
      </c>
      <c r="D1596" t="s">
        <v>25022</v>
      </c>
      <c r="E1596">
        <v>3536</v>
      </c>
      <c r="F1596" t="s">
        <v>20717</v>
      </c>
      <c r="G1596" t="s">
        <v>62</v>
      </c>
      <c r="H1596">
        <v>3498355</v>
      </c>
      <c r="I1596">
        <v>3499257</v>
      </c>
      <c r="J1596" t="s">
        <v>1752</v>
      </c>
      <c r="K1596">
        <v>301</v>
      </c>
      <c r="L1596" t="s">
        <v>108</v>
      </c>
      <c r="M1596">
        <v>44</v>
      </c>
      <c r="N1596" t="str">
        <f>HYPERLINK("Gene3536-zp_tree_all.dnd", "Gene3536-tree")</f>
        <v>Gene3536-tree</v>
      </c>
      <c r="O1596">
        <v>23</v>
      </c>
      <c r="P1596">
        <v>9</v>
      </c>
      <c r="Q1596">
        <v>4</v>
      </c>
      <c r="R1596">
        <v>9</v>
      </c>
      <c r="S1596">
        <v>0.69230999999999998</v>
      </c>
      <c r="T1596" t="s">
        <v>690</v>
      </c>
      <c r="U1596" t="s">
        <v>135</v>
      </c>
      <c r="V1596" t="s">
        <v>62</v>
      </c>
      <c r="W1596" t="s">
        <v>62</v>
      </c>
      <c r="X1596">
        <v>8</v>
      </c>
      <c r="Y1596">
        <v>19</v>
      </c>
      <c r="Z1596">
        <v>12</v>
      </c>
      <c r="AA1596">
        <v>0.6129</v>
      </c>
      <c r="AB1596">
        <v>0</v>
      </c>
      <c r="AC1596">
        <v>0</v>
      </c>
      <c r="AD1596">
        <v>0</v>
      </c>
      <c r="AE1596">
        <v>2</v>
      </c>
      <c r="AF1596">
        <v>0</v>
      </c>
      <c r="AG1596">
        <v>6</v>
      </c>
      <c r="AH1596">
        <v>1</v>
      </c>
      <c r="AI1596">
        <v>7</v>
      </c>
      <c r="AJ1596">
        <v>13</v>
      </c>
      <c r="AK1596">
        <v>0.35</v>
      </c>
      <c r="AL1596">
        <v>10</v>
      </c>
      <c r="AM1596">
        <v>8</v>
      </c>
      <c r="AN1596">
        <v>20</v>
      </c>
      <c r="AO1596">
        <v>20</v>
      </c>
      <c r="AP1596">
        <v>14</v>
      </c>
      <c r="AQ1596">
        <v>11</v>
      </c>
      <c r="AR1596" t="s">
        <v>20718</v>
      </c>
      <c r="AS1596" t="s">
        <v>20719</v>
      </c>
      <c r="AT1596">
        <v>0.53700000000000003</v>
      </c>
      <c r="AU1596" t="s">
        <v>65</v>
      </c>
      <c r="AV1596">
        <v>34</v>
      </c>
      <c r="AW1596">
        <v>31</v>
      </c>
      <c r="AX1596" t="s">
        <v>20720</v>
      </c>
      <c r="AY1596">
        <v>4.2229999999999997E-2</v>
      </c>
      <c r="AZ1596">
        <v>-2.3600000000000001E-3</v>
      </c>
      <c r="BA1596">
        <v>8.6999999999999994E-3</v>
      </c>
      <c r="BB1596">
        <v>-3.5E-4</v>
      </c>
      <c r="BC1596">
        <v>0.20588999999999999</v>
      </c>
      <c r="BD1596">
        <v>1</v>
      </c>
      <c r="BE1596" t="s">
        <v>69</v>
      </c>
      <c r="BF1596">
        <v>-0.24299999999999999</v>
      </c>
      <c r="BG1596">
        <v>-0.86099999999999999</v>
      </c>
    </row>
    <row r="1597" spans="1:59">
      <c r="A1597">
        <v>0</v>
      </c>
      <c r="B1597">
        <v>8</v>
      </c>
      <c r="C1597">
        <v>0</v>
      </c>
      <c r="D1597" t="s">
        <v>25022</v>
      </c>
      <c r="E1597">
        <v>2514</v>
      </c>
      <c r="F1597" t="s">
        <v>14667</v>
      </c>
      <c r="G1597" t="s">
        <v>62</v>
      </c>
      <c r="H1597">
        <v>2507301</v>
      </c>
      <c r="I1597">
        <v>2508203</v>
      </c>
      <c r="J1597" t="s">
        <v>14668</v>
      </c>
      <c r="K1597">
        <v>301</v>
      </c>
      <c r="L1597" t="s">
        <v>108</v>
      </c>
      <c r="M1597">
        <v>44</v>
      </c>
      <c r="N1597" t="str">
        <f>HYPERLINK("Gene2514-zp_tree_all.dnd", "Gene2514-tree")</f>
        <v>Gene2514-tree</v>
      </c>
      <c r="O1597">
        <v>6</v>
      </c>
      <c r="P1597">
        <v>8</v>
      </c>
      <c r="Q1597">
        <v>6</v>
      </c>
      <c r="R1597">
        <v>8</v>
      </c>
      <c r="S1597">
        <v>0.57142999999999999</v>
      </c>
      <c r="T1597" t="s">
        <v>90</v>
      </c>
      <c r="U1597" t="s">
        <v>136</v>
      </c>
      <c r="V1597" t="s">
        <v>62</v>
      </c>
      <c r="W1597" t="s">
        <v>62</v>
      </c>
      <c r="X1597">
        <v>3</v>
      </c>
      <c r="Y1597">
        <v>8</v>
      </c>
      <c r="Z1597">
        <v>10</v>
      </c>
      <c r="AA1597">
        <v>0.44444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2</v>
      </c>
      <c r="AH1597">
        <v>0</v>
      </c>
      <c r="AI1597">
        <v>2</v>
      </c>
      <c r="AJ1597">
        <v>11</v>
      </c>
      <c r="AK1597">
        <v>0.15384999999999999</v>
      </c>
      <c r="AL1597">
        <v>9</v>
      </c>
      <c r="AM1597">
        <v>10</v>
      </c>
      <c r="AN1597">
        <v>20</v>
      </c>
      <c r="AO1597">
        <v>12</v>
      </c>
      <c r="AP1597">
        <v>14</v>
      </c>
      <c r="AQ1597">
        <v>6</v>
      </c>
      <c r="AR1597" t="s">
        <v>14669</v>
      </c>
      <c r="AS1597" t="s">
        <v>14670</v>
      </c>
      <c r="AT1597">
        <v>0.51400000000000001</v>
      </c>
      <c r="AU1597" t="s">
        <v>65</v>
      </c>
      <c r="AV1597">
        <v>34</v>
      </c>
      <c r="AW1597">
        <v>18</v>
      </c>
      <c r="AX1597" t="s">
        <v>14671</v>
      </c>
      <c r="AY1597">
        <v>3.143E-2</v>
      </c>
      <c r="AZ1597">
        <v>-1.3699999999999999E-3</v>
      </c>
      <c r="BA1597">
        <v>4.3299999999999996E-3</v>
      </c>
      <c r="BB1597">
        <v>-2.5000000000000001E-4</v>
      </c>
      <c r="BC1597">
        <v>0.13775999999999999</v>
      </c>
      <c r="BD1597">
        <v>1</v>
      </c>
      <c r="BE1597" t="s">
        <v>69</v>
      </c>
      <c r="BF1597">
        <v>-1.06</v>
      </c>
      <c r="BG1597">
        <v>-2.9249999999999998</v>
      </c>
    </row>
    <row r="1598" spans="1:59">
      <c r="A1598">
        <v>0</v>
      </c>
      <c r="B1598">
        <v>2</v>
      </c>
      <c r="C1598">
        <v>0</v>
      </c>
      <c r="D1598" t="s">
        <v>25022</v>
      </c>
      <c r="E1598">
        <v>1110</v>
      </c>
      <c r="F1598" t="s">
        <v>6978</v>
      </c>
      <c r="G1598" t="s">
        <v>57</v>
      </c>
      <c r="H1598">
        <v>1152244</v>
      </c>
      <c r="I1598">
        <v>1153146</v>
      </c>
      <c r="J1598" t="s">
        <v>6979</v>
      </c>
      <c r="K1598">
        <v>301</v>
      </c>
      <c r="L1598" t="s">
        <v>2803</v>
      </c>
      <c r="M1598">
        <v>45</v>
      </c>
      <c r="N1598" t="str">
        <f>HYPERLINK("Gene1110-zp_tree_all.dnd", "Gene1110-tree")</f>
        <v>Gene1110-tree</v>
      </c>
      <c r="O1598">
        <v>27</v>
      </c>
      <c r="P1598">
        <v>4</v>
      </c>
      <c r="Q1598">
        <v>10</v>
      </c>
      <c r="R1598">
        <v>4</v>
      </c>
      <c r="S1598">
        <v>0.28571000000000002</v>
      </c>
      <c r="T1598" t="s">
        <v>2980</v>
      </c>
      <c r="U1598" t="s">
        <v>61</v>
      </c>
      <c r="V1598" t="s">
        <v>62</v>
      </c>
      <c r="W1598" t="s">
        <v>62</v>
      </c>
      <c r="X1598">
        <v>1</v>
      </c>
      <c r="Y1598">
        <v>2</v>
      </c>
      <c r="Z1598">
        <v>12</v>
      </c>
      <c r="AA1598">
        <v>0.14285999999999999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12</v>
      </c>
      <c r="AK1598">
        <v>0</v>
      </c>
      <c r="AL1598">
        <v>12</v>
      </c>
      <c r="AM1598">
        <v>9</v>
      </c>
      <c r="AN1598">
        <v>51</v>
      </c>
      <c r="AO1598">
        <v>12</v>
      </c>
      <c r="AP1598">
        <v>11</v>
      </c>
      <c r="AQ1598">
        <v>2</v>
      </c>
      <c r="AR1598" t="s">
        <v>6980</v>
      </c>
      <c r="AS1598" t="s">
        <v>6981</v>
      </c>
      <c r="AT1598">
        <v>7.0999999999999994E-2</v>
      </c>
      <c r="AU1598" t="s">
        <v>65</v>
      </c>
      <c r="AV1598">
        <v>62</v>
      </c>
      <c r="AW1598">
        <v>14</v>
      </c>
      <c r="AX1598" t="s">
        <v>6982</v>
      </c>
      <c r="AY1598">
        <v>5.4579999999999997E-2</v>
      </c>
      <c r="AZ1598">
        <v>-6.3800000000000003E-3</v>
      </c>
      <c r="BA1598">
        <v>3.29E-3</v>
      </c>
      <c r="BB1598">
        <v>-3.4000000000000002E-4</v>
      </c>
      <c r="BC1598">
        <v>6.0269999999999997E-2</v>
      </c>
      <c r="BD1598">
        <v>1</v>
      </c>
      <c r="BE1598" t="s">
        <v>69</v>
      </c>
      <c r="BF1598">
        <v>-1.889</v>
      </c>
      <c r="BG1598">
        <v>-4.0970000000000004</v>
      </c>
    </row>
    <row r="1599" spans="1:59">
      <c r="A1599">
        <v>0</v>
      </c>
      <c r="B1599">
        <v>4</v>
      </c>
      <c r="C1599">
        <v>0</v>
      </c>
      <c r="D1599" t="s">
        <v>25022</v>
      </c>
      <c r="E1599">
        <v>3968</v>
      </c>
      <c r="F1599" t="s">
        <v>23319</v>
      </c>
      <c r="G1599" t="s">
        <v>62</v>
      </c>
      <c r="H1599">
        <v>3932201</v>
      </c>
      <c r="I1599">
        <v>3933103</v>
      </c>
      <c r="J1599" t="s">
        <v>23320</v>
      </c>
      <c r="K1599">
        <v>301</v>
      </c>
      <c r="L1599" t="s">
        <v>6390</v>
      </c>
      <c r="M1599">
        <v>45</v>
      </c>
      <c r="N1599" t="str">
        <f>HYPERLINK("Gene3968-zp_tree_all.dnd", "Gene3968-tree")</f>
        <v>Gene3968-tree</v>
      </c>
      <c r="O1599">
        <v>11</v>
      </c>
      <c r="P1599">
        <v>4</v>
      </c>
      <c r="Q1599">
        <v>11</v>
      </c>
      <c r="R1599">
        <v>4</v>
      </c>
      <c r="S1599">
        <v>0.26667000000000002</v>
      </c>
      <c r="T1599" t="s">
        <v>73</v>
      </c>
      <c r="U1599" t="s">
        <v>61</v>
      </c>
      <c r="V1599" t="s">
        <v>62</v>
      </c>
      <c r="W1599" t="s">
        <v>62</v>
      </c>
      <c r="X1599">
        <v>1</v>
      </c>
      <c r="Y1599">
        <v>4</v>
      </c>
      <c r="Z1599">
        <v>10</v>
      </c>
      <c r="AA1599">
        <v>0.28571000000000002</v>
      </c>
      <c r="AB1599">
        <v>0</v>
      </c>
      <c r="AC1599">
        <v>0</v>
      </c>
      <c r="AD1599">
        <v>0</v>
      </c>
      <c r="AE1599">
        <v>2</v>
      </c>
      <c r="AF1599">
        <v>0</v>
      </c>
      <c r="AG1599">
        <v>2</v>
      </c>
      <c r="AH1599">
        <v>0</v>
      </c>
      <c r="AI1599">
        <v>2</v>
      </c>
      <c r="AJ1599">
        <v>9</v>
      </c>
      <c r="AK1599">
        <v>0.18182000000000001</v>
      </c>
      <c r="AL1599">
        <v>12</v>
      </c>
      <c r="AM1599">
        <v>11</v>
      </c>
      <c r="AN1599">
        <v>60</v>
      </c>
      <c r="AO1599">
        <v>10</v>
      </c>
      <c r="AP1599">
        <v>17</v>
      </c>
      <c r="AQ1599">
        <v>5</v>
      </c>
      <c r="AR1599" t="s">
        <v>23321</v>
      </c>
      <c r="AS1599" t="s">
        <v>23322</v>
      </c>
      <c r="AT1599">
        <v>0.27200000000000002</v>
      </c>
      <c r="AU1599" t="s">
        <v>65</v>
      </c>
      <c r="AV1599">
        <v>77</v>
      </c>
      <c r="AW1599">
        <v>15</v>
      </c>
      <c r="AX1599" t="s">
        <v>23323</v>
      </c>
      <c r="AY1599">
        <v>6.2420000000000003E-2</v>
      </c>
      <c r="AZ1599">
        <v>-5.8300000000000001E-3</v>
      </c>
      <c r="BA1599">
        <v>3.5699999999999998E-3</v>
      </c>
      <c r="BB1599">
        <v>-3.6000000000000002E-4</v>
      </c>
      <c r="BC1599">
        <v>5.7250000000000002E-2</v>
      </c>
      <c r="BD1599">
        <v>1</v>
      </c>
      <c r="BE1599" t="s">
        <v>69</v>
      </c>
      <c r="BF1599">
        <v>-1.714</v>
      </c>
      <c r="BG1599">
        <v>-3.423</v>
      </c>
    </row>
    <row r="1600" spans="1:59">
      <c r="A1600">
        <v>0</v>
      </c>
      <c r="B1600">
        <v>0</v>
      </c>
      <c r="C1600">
        <v>4</v>
      </c>
      <c r="D1600" t="s">
        <v>25022</v>
      </c>
      <c r="E1600">
        <v>2632</v>
      </c>
      <c r="F1600" t="s">
        <v>15414</v>
      </c>
      <c r="G1600" t="s">
        <v>62</v>
      </c>
      <c r="H1600">
        <v>2610044</v>
      </c>
      <c r="I1600">
        <v>2610946</v>
      </c>
      <c r="J1600" t="s">
        <v>15415</v>
      </c>
      <c r="K1600">
        <v>301</v>
      </c>
      <c r="L1600" t="s">
        <v>59</v>
      </c>
      <c r="M1600">
        <v>49</v>
      </c>
      <c r="N1600" t="str">
        <f>HYPERLINK("Gene2632-zp_tree_all.dnd", "Gene2632-tree")</f>
        <v>Gene2632-tree</v>
      </c>
      <c r="O1600">
        <v>16</v>
      </c>
      <c r="P1600">
        <v>1</v>
      </c>
      <c r="Q1600">
        <v>16</v>
      </c>
      <c r="R1600">
        <v>1</v>
      </c>
      <c r="S1600">
        <v>5.8819999999999997E-2</v>
      </c>
      <c r="T1600" t="s">
        <v>60</v>
      </c>
      <c r="U1600" t="s">
        <v>175</v>
      </c>
      <c r="V1600" t="s">
        <v>62</v>
      </c>
      <c r="W1600" t="s">
        <v>62</v>
      </c>
      <c r="X1600">
        <v>2</v>
      </c>
      <c r="Y1600">
        <v>4</v>
      </c>
      <c r="Z1600">
        <v>2</v>
      </c>
      <c r="AA1600">
        <v>0.66666999999999998</v>
      </c>
      <c r="AB1600">
        <v>0</v>
      </c>
      <c r="AC1600">
        <v>0</v>
      </c>
      <c r="AD1600">
        <v>0</v>
      </c>
      <c r="AE1600">
        <v>2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12</v>
      </c>
      <c r="AM1600">
        <v>11</v>
      </c>
      <c r="AN1600">
        <v>30</v>
      </c>
      <c r="AO1600">
        <v>1</v>
      </c>
      <c r="AP1600">
        <v>59</v>
      </c>
      <c r="AQ1600">
        <v>5</v>
      </c>
      <c r="AR1600" t="s">
        <v>15416</v>
      </c>
      <c r="AS1600" t="s">
        <v>15417</v>
      </c>
      <c r="AT1600">
        <v>0.30599999999999999</v>
      </c>
      <c r="AU1600" t="s">
        <v>65</v>
      </c>
      <c r="AV1600">
        <v>89</v>
      </c>
      <c r="AW1600">
        <v>6</v>
      </c>
      <c r="AX1600" t="s">
        <v>15418</v>
      </c>
      <c r="AY1600">
        <v>0.11675000000000001</v>
      </c>
      <c r="AZ1600">
        <v>-7.8499999999999993E-3</v>
      </c>
      <c r="BA1600">
        <v>2.49E-3</v>
      </c>
      <c r="BB1600">
        <v>-1.9000000000000001E-4</v>
      </c>
      <c r="BC1600">
        <v>2.1350000000000001E-2</v>
      </c>
      <c r="BD1600">
        <v>1</v>
      </c>
      <c r="BE1600" t="s">
        <v>69</v>
      </c>
      <c r="BF1600">
        <v>-1.371</v>
      </c>
      <c r="BG1600">
        <v>-0.78200000000000003</v>
      </c>
    </row>
    <row r="1601" spans="1:59">
      <c r="A1601">
        <v>0</v>
      </c>
      <c r="B1601">
        <v>8</v>
      </c>
      <c r="C1601">
        <v>2</v>
      </c>
      <c r="D1601" t="s">
        <v>25022</v>
      </c>
      <c r="E1601">
        <v>3407</v>
      </c>
      <c r="F1601" t="s">
        <v>19932</v>
      </c>
      <c r="G1601" t="s">
        <v>62</v>
      </c>
      <c r="H1601">
        <v>3372743</v>
      </c>
      <c r="I1601">
        <v>3373648</v>
      </c>
      <c r="J1601" t="s">
        <v>19933</v>
      </c>
      <c r="K1601">
        <v>302</v>
      </c>
      <c r="L1601" t="s">
        <v>108</v>
      </c>
      <c r="M1601">
        <v>44</v>
      </c>
      <c r="N1601" t="str">
        <f>HYPERLINK("Gene3407-zp_tree_all.dnd", "Gene3407-tree")</f>
        <v>Gene3407-tree</v>
      </c>
      <c r="O1601">
        <v>4</v>
      </c>
      <c r="P1601">
        <v>10</v>
      </c>
      <c r="Q1601">
        <v>4</v>
      </c>
      <c r="R1601">
        <v>10</v>
      </c>
      <c r="S1601">
        <v>0.71428999999999998</v>
      </c>
      <c r="T1601" t="s">
        <v>61</v>
      </c>
      <c r="U1601" t="s">
        <v>117</v>
      </c>
      <c r="V1601" t="s">
        <v>62</v>
      </c>
      <c r="W1601" t="s">
        <v>62</v>
      </c>
      <c r="X1601">
        <v>3</v>
      </c>
      <c r="Y1601">
        <v>10</v>
      </c>
      <c r="Z1601">
        <v>13</v>
      </c>
      <c r="AA1601">
        <v>0.43478</v>
      </c>
      <c r="AB1601">
        <v>0</v>
      </c>
      <c r="AC1601">
        <v>0</v>
      </c>
      <c r="AD1601">
        <v>0</v>
      </c>
      <c r="AE1601">
        <v>3</v>
      </c>
      <c r="AF1601">
        <v>0</v>
      </c>
      <c r="AG1601">
        <v>7</v>
      </c>
      <c r="AH1601">
        <v>2</v>
      </c>
      <c r="AI1601">
        <v>9</v>
      </c>
      <c r="AJ1601">
        <v>8</v>
      </c>
      <c r="AK1601">
        <v>0.52941000000000005</v>
      </c>
      <c r="AL1601">
        <v>10</v>
      </c>
      <c r="AM1601">
        <v>9</v>
      </c>
      <c r="AN1601">
        <v>17</v>
      </c>
      <c r="AO1601">
        <v>16</v>
      </c>
      <c r="AP1601">
        <v>14</v>
      </c>
      <c r="AQ1601">
        <v>7</v>
      </c>
      <c r="AR1601" t="s">
        <v>19934</v>
      </c>
      <c r="AS1601" t="s">
        <v>19935</v>
      </c>
      <c r="AT1601">
        <v>0.34699999999999998</v>
      </c>
      <c r="AU1601" t="s">
        <v>65</v>
      </c>
      <c r="AV1601">
        <v>31</v>
      </c>
      <c r="AW1601">
        <v>23</v>
      </c>
      <c r="AX1601" t="s">
        <v>19936</v>
      </c>
      <c r="AY1601">
        <v>3.2829999999999998E-2</v>
      </c>
      <c r="AZ1601">
        <v>-2.14E-3</v>
      </c>
      <c r="BA1601">
        <v>5.3299999999999997E-3</v>
      </c>
      <c r="BB1601">
        <v>-3.2000000000000003E-4</v>
      </c>
      <c r="BC1601">
        <v>0.16228000000000001</v>
      </c>
      <c r="BD1601">
        <v>1</v>
      </c>
      <c r="BE1601" t="s">
        <v>69</v>
      </c>
      <c r="BF1601">
        <v>-0.96199999999999997</v>
      </c>
      <c r="BG1601">
        <v>-2.5190000000000001</v>
      </c>
    </row>
    <row r="1602" spans="1:59">
      <c r="A1602">
        <v>2</v>
      </c>
      <c r="B1602">
        <v>10</v>
      </c>
      <c r="C1602">
        <v>5</v>
      </c>
      <c r="D1602" t="s">
        <v>25022</v>
      </c>
      <c r="E1602">
        <v>2037</v>
      </c>
      <c r="F1602" t="s">
        <v>12680</v>
      </c>
      <c r="G1602" t="s">
        <v>62</v>
      </c>
      <c r="H1602">
        <v>2129085</v>
      </c>
      <c r="I1602">
        <v>2129993</v>
      </c>
      <c r="J1602" t="s">
        <v>12681</v>
      </c>
      <c r="K1602">
        <v>303</v>
      </c>
      <c r="L1602" t="s">
        <v>108</v>
      </c>
      <c r="M1602">
        <v>44</v>
      </c>
      <c r="N1602" t="str">
        <f>HYPERLINK("Gene2037-zp_tree_all.dnd", "Gene2037-tree")</f>
        <v>Gene2037-tree</v>
      </c>
      <c r="O1602">
        <v>1</v>
      </c>
      <c r="P1602">
        <v>13</v>
      </c>
      <c r="Q1602">
        <v>1</v>
      </c>
      <c r="R1602">
        <v>13</v>
      </c>
      <c r="S1602">
        <v>0.92857000000000001</v>
      </c>
      <c r="T1602" t="s">
        <v>175</v>
      </c>
      <c r="U1602" t="s">
        <v>507</v>
      </c>
      <c r="V1602" t="s">
        <v>62</v>
      </c>
      <c r="W1602" t="s">
        <v>62</v>
      </c>
      <c r="X1602">
        <v>6</v>
      </c>
      <c r="Y1602">
        <v>17</v>
      </c>
      <c r="Z1602">
        <v>13</v>
      </c>
      <c r="AA1602">
        <v>0.56667000000000001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5</v>
      </c>
      <c r="AH1602">
        <v>4</v>
      </c>
      <c r="AI1602">
        <v>9</v>
      </c>
      <c r="AJ1602">
        <v>13</v>
      </c>
      <c r="AK1602">
        <v>0.40909000000000001</v>
      </c>
      <c r="AL1602">
        <v>11</v>
      </c>
      <c r="AM1602">
        <v>10</v>
      </c>
      <c r="AN1602">
        <v>31</v>
      </c>
      <c r="AO1602">
        <v>20</v>
      </c>
      <c r="AP1602">
        <v>9</v>
      </c>
      <c r="AQ1602">
        <v>11</v>
      </c>
      <c r="AR1602" t="s">
        <v>12682</v>
      </c>
      <c r="AS1602" t="s">
        <v>12683</v>
      </c>
      <c r="AT1602">
        <v>1.202</v>
      </c>
      <c r="AU1602" t="s">
        <v>65</v>
      </c>
      <c r="AV1602">
        <v>40</v>
      </c>
      <c r="AW1602">
        <v>31</v>
      </c>
      <c r="AX1602" t="s">
        <v>12684</v>
      </c>
      <c r="AY1602">
        <v>3.594E-2</v>
      </c>
      <c r="AZ1602">
        <v>-2.0400000000000001E-3</v>
      </c>
      <c r="BA1602">
        <v>7.3099999999999997E-3</v>
      </c>
      <c r="BB1602">
        <v>-3.2000000000000003E-4</v>
      </c>
      <c r="BC1602">
        <v>0.20354</v>
      </c>
      <c r="BD1602">
        <v>1</v>
      </c>
      <c r="BE1602" t="s">
        <v>69</v>
      </c>
      <c r="BF1602">
        <v>-0.97699999999999998</v>
      </c>
      <c r="BG1602">
        <v>-1.7629999999999999</v>
      </c>
    </row>
    <row r="1603" spans="1:59">
      <c r="A1603">
        <v>0</v>
      </c>
      <c r="B1603">
        <v>10</v>
      </c>
      <c r="C1603">
        <v>0</v>
      </c>
      <c r="D1603" t="s">
        <v>25022</v>
      </c>
      <c r="E1603">
        <v>1501</v>
      </c>
      <c r="F1603" t="s">
        <v>9387</v>
      </c>
      <c r="G1603" t="s">
        <v>57</v>
      </c>
      <c r="H1603">
        <v>1514052</v>
      </c>
      <c r="I1603">
        <v>1514960</v>
      </c>
      <c r="J1603" t="s">
        <v>9388</v>
      </c>
      <c r="K1603">
        <v>303</v>
      </c>
      <c r="L1603" t="s">
        <v>108</v>
      </c>
      <c r="M1603">
        <v>44</v>
      </c>
      <c r="N1603" t="str">
        <f>HYPERLINK("Gene1501-zp_tree_all.dnd", "Gene1501-tree")</f>
        <v>Gene1501-tree</v>
      </c>
      <c r="O1603">
        <v>1</v>
      </c>
      <c r="P1603">
        <v>13</v>
      </c>
      <c r="Q1603">
        <v>1</v>
      </c>
      <c r="R1603">
        <v>13</v>
      </c>
      <c r="S1603">
        <v>0.92857000000000001</v>
      </c>
      <c r="T1603" t="s">
        <v>175</v>
      </c>
      <c r="U1603" t="s">
        <v>507</v>
      </c>
      <c r="V1603" t="s">
        <v>62</v>
      </c>
      <c r="W1603" t="s">
        <v>62</v>
      </c>
      <c r="X1603">
        <v>5</v>
      </c>
      <c r="Y1603">
        <v>10</v>
      </c>
      <c r="Z1603">
        <v>24</v>
      </c>
      <c r="AA1603">
        <v>0.29411999999999999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4</v>
      </c>
      <c r="AH1603">
        <v>2</v>
      </c>
      <c r="AI1603">
        <v>6</v>
      </c>
      <c r="AJ1603">
        <v>23</v>
      </c>
      <c r="AK1603">
        <v>0.2069</v>
      </c>
      <c r="AL1603">
        <v>13</v>
      </c>
      <c r="AM1603">
        <v>10</v>
      </c>
      <c r="AN1603">
        <v>35</v>
      </c>
      <c r="AO1603">
        <v>29</v>
      </c>
      <c r="AP1603">
        <v>20</v>
      </c>
      <c r="AQ1603">
        <v>5</v>
      </c>
      <c r="AR1603" t="s">
        <v>9389</v>
      </c>
      <c r="AS1603" t="s">
        <v>9390</v>
      </c>
      <c r="AT1603">
        <v>2.6339999999999999</v>
      </c>
      <c r="AU1603" t="s">
        <v>267</v>
      </c>
      <c r="AV1603">
        <v>55</v>
      </c>
      <c r="AW1603">
        <v>34</v>
      </c>
      <c r="AX1603" t="s">
        <v>9391</v>
      </c>
      <c r="AY1603">
        <v>4.5409999999999999E-2</v>
      </c>
      <c r="AZ1603">
        <v>-1.67E-3</v>
      </c>
      <c r="BA1603">
        <v>7.9900000000000006E-3</v>
      </c>
      <c r="BB1603">
        <v>-2.9E-4</v>
      </c>
      <c r="BC1603">
        <v>0.17595</v>
      </c>
      <c r="BD1603">
        <v>1</v>
      </c>
      <c r="BE1603" t="s">
        <v>69</v>
      </c>
      <c r="BF1603">
        <v>-0.70599999999999996</v>
      </c>
      <c r="BG1603">
        <v>-1.0629999999999999</v>
      </c>
    </row>
    <row r="1604" spans="1:59">
      <c r="A1604">
        <v>0</v>
      </c>
      <c r="B1604">
        <v>0</v>
      </c>
      <c r="C1604">
        <v>0</v>
      </c>
      <c r="D1604" t="s">
        <v>25022</v>
      </c>
      <c r="E1604">
        <v>1944</v>
      </c>
      <c r="F1604" t="s">
        <v>12180</v>
      </c>
      <c r="G1604" t="s">
        <v>62</v>
      </c>
      <c r="H1604">
        <v>2041931</v>
      </c>
      <c r="I1604">
        <v>2042839</v>
      </c>
      <c r="J1604" t="s">
        <v>12181</v>
      </c>
      <c r="K1604">
        <v>303</v>
      </c>
      <c r="L1604" t="s">
        <v>12182</v>
      </c>
      <c r="M1604">
        <v>36</v>
      </c>
      <c r="N1604" t="str">
        <f>HYPERLINK("Gene1944-zp_tree_all.dnd", "Gene1944-tree")</f>
        <v>Gene1944-tree</v>
      </c>
      <c r="O1604">
        <v>5</v>
      </c>
      <c r="P1604">
        <v>7</v>
      </c>
      <c r="Q1604">
        <v>5</v>
      </c>
      <c r="R1604">
        <v>7</v>
      </c>
      <c r="S1604">
        <v>0.58333000000000002</v>
      </c>
      <c r="T1604" t="s">
        <v>199</v>
      </c>
      <c r="U1604" t="s">
        <v>152</v>
      </c>
      <c r="V1604" t="s">
        <v>62</v>
      </c>
      <c r="W1604" t="s">
        <v>62</v>
      </c>
      <c r="X1604">
        <v>0</v>
      </c>
      <c r="Y1604">
        <v>0</v>
      </c>
      <c r="Z1604">
        <v>16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14</v>
      </c>
      <c r="AK1604">
        <v>0</v>
      </c>
      <c r="AL1604">
        <v>10</v>
      </c>
      <c r="AM1604">
        <v>5</v>
      </c>
      <c r="AN1604">
        <v>19</v>
      </c>
      <c r="AO1604">
        <v>14</v>
      </c>
      <c r="AP1604">
        <v>12</v>
      </c>
      <c r="AQ1604">
        <v>2</v>
      </c>
      <c r="AR1604" t="s">
        <v>12183</v>
      </c>
      <c r="AS1604" t="s">
        <v>12184</v>
      </c>
      <c r="AT1604">
        <v>0.84</v>
      </c>
      <c r="AU1604" t="s">
        <v>65</v>
      </c>
      <c r="AV1604">
        <v>31</v>
      </c>
      <c r="AW1604">
        <v>16</v>
      </c>
      <c r="AX1604" t="s">
        <v>12185</v>
      </c>
      <c r="AY1604">
        <v>3.0030000000000001E-2</v>
      </c>
      <c r="AZ1604">
        <v>-1.89E-3</v>
      </c>
      <c r="BA1604">
        <v>4.2300000000000003E-3</v>
      </c>
      <c r="BB1604">
        <v>-3.8000000000000002E-4</v>
      </c>
      <c r="BC1604">
        <v>0.14088000000000001</v>
      </c>
      <c r="BD1604">
        <v>1</v>
      </c>
      <c r="BE1604" t="s">
        <v>69</v>
      </c>
      <c r="BF1604">
        <v>-1.1539999999999999</v>
      </c>
      <c r="BG1604">
        <v>-1.385</v>
      </c>
    </row>
    <row r="1605" spans="1:59">
      <c r="A1605">
        <v>0</v>
      </c>
      <c r="B1605">
        <v>8</v>
      </c>
      <c r="C1605">
        <v>0</v>
      </c>
      <c r="D1605" t="s">
        <v>25022</v>
      </c>
      <c r="E1605">
        <v>766</v>
      </c>
      <c r="F1605" t="s">
        <v>4758</v>
      </c>
      <c r="G1605" t="s">
        <v>57</v>
      </c>
      <c r="H1605">
        <v>800232</v>
      </c>
      <c r="I1605">
        <v>801140</v>
      </c>
      <c r="J1605" t="s">
        <v>3798</v>
      </c>
      <c r="K1605">
        <v>303</v>
      </c>
      <c r="L1605" t="s">
        <v>108</v>
      </c>
      <c r="M1605">
        <v>44</v>
      </c>
      <c r="N1605" t="str">
        <f>HYPERLINK("Gene766-zp_tree_all.dnd", "Gene766-tree")</f>
        <v>Gene766-tree</v>
      </c>
      <c r="O1605">
        <v>6</v>
      </c>
      <c r="P1605">
        <v>9</v>
      </c>
      <c r="Q1605">
        <v>6</v>
      </c>
      <c r="R1605">
        <v>9</v>
      </c>
      <c r="S1605">
        <v>0.6</v>
      </c>
      <c r="T1605" t="s">
        <v>90</v>
      </c>
      <c r="U1605" t="s">
        <v>135</v>
      </c>
      <c r="V1605" t="s">
        <v>62</v>
      </c>
      <c r="W1605" t="s">
        <v>62</v>
      </c>
      <c r="X1605">
        <v>3</v>
      </c>
      <c r="Y1605">
        <v>8</v>
      </c>
      <c r="Z1605">
        <v>9</v>
      </c>
      <c r="AA1605">
        <v>0.47059000000000001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4</v>
      </c>
      <c r="AH1605">
        <v>0</v>
      </c>
      <c r="AI1605">
        <v>4</v>
      </c>
      <c r="AJ1605">
        <v>9</v>
      </c>
      <c r="AK1605">
        <v>0.30769000000000002</v>
      </c>
      <c r="AL1605">
        <v>14</v>
      </c>
      <c r="AM1605">
        <v>9</v>
      </c>
      <c r="AN1605">
        <v>28</v>
      </c>
      <c r="AO1605">
        <v>13</v>
      </c>
      <c r="AP1605">
        <v>18</v>
      </c>
      <c r="AQ1605">
        <v>4</v>
      </c>
      <c r="AR1605" t="s">
        <v>4759</v>
      </c>
      <c r="AS1605" t="s">
        <v>4760</v>
      </c>
      <c r="AT1605">
        <v>0.89300000000000002</v>
      </c>
      <c r="AU1605" t="s">
        <v>65</v>
      </c>
      <c r="AV1605">
        <v>46</v>
      </c>
      <c r="AW1605">
        <v>17</v>
      </c>
      <c r="AX1605" t="s">
        <v>4761</v>
      </c>
      <c r="AY1605">
        <v>3.671E-2</v>
      </c>
      <c r="AZ1605">
        <v>-1.2199999999999999E-3</v>
      </c>
      <c r="BA1605">
        <v>3.79E-3</v>
      </c>
      <c r="BB1605">
        <v>-1.9000000000000001E-4</v>
      </c>
      <c r="BC1605">
        <v>0.10317999999999999</v>
      </c>
      <c r="BD1605">
        <v>1</v>
      </c>
      <c r="BE1605" t="s">
        <v>69</v>
      </c>
      <c r="BF1605">
        <v>-0.54800000000000004</v>
      </c>
      <c r="BG1605">
        <v>-0.70699999999999996</v>
      </c>
    </row>
    <row r="1606" spans="1:59">
      <c r="A1606">
        <v>0</v>
      </c>
      <c r="B1606">
        <v>4</v>
      </c>
      <c r="C1606">
        <v>0</v>
      </c>
      <c r="D1606" t="s">
        <v>25022</v>
      </c>
      <c r="E1606">
        <v>321</v>
      </c>
      <c r="F1606" t="s">
        <v>2190</v>
      </c>
      <c r="G1606" t="s">
        <v>57</v>
      </c>
      <c r="H1606">
        <v>344551</v>
      </c>
      <c r="I1606">
        <v>345459</v>
      </c>
      <c r="J1606" t="s">
        <v>2191</v>
      </c>
      <c r="K1606">
        <v>303</v>
      </c>
      <c r="L1606" t="s">
        <v>59</v>
      </c>
      <c r="M1606">
        <v>49</v>
      </c>
      <c r="N1606" t="str">
        <f>HYPERLINK("Gene321-zp_tree_all.dnd", "Gene321-tree")</f>
        <v>Gene321-tree</v>
      </c>
      <c r="O1606">
        <v>9</v>
      </c>
      <c r="P1606">
        <v>7</v>
      </c>
      <c r="Q1606">
        <v>9</v>
      </c>
      <c r="R1606">
        <v>7</v>
      </c>
      <c r="S1606">
        <v>0.4375</v>
      </c>
      <c r="T1606" t="s">
        <v>135</v>
      </c>
      <c r="U1606" t="s">
        <v>152</v>
      </c>
      <c r="V1606" t="s">
        <v>62</v>
      </c>
      <c r="W1606" t="s">
        <v>62</v>
      </c>
      <c r="X1606">
        <v>2</v>
      </c>
      <c r="Y1606">
        <v>4</v>
      </c>
      <c r="Z1606">
        <v>17</v>
      </c>
      <c r="AA1606">
        <v>0.19048000000000001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2</v>
      </c>
      <c r="AH1606">
        <v>0</v>
      </c>
      <c r="AI1606">
        <v>2</v>
      </c>
      <c r="AJ1606">
        <v>10</v>
      </c>
      <c r="AK1606">
        <v>0.16667000000000001</v>
      </c>
      <c r="AL1606">
        <v>13</v>
      </c>
      <c r="AM1606">
        <v>9</v>
      </c>
      <c r="AN1606">
        <v>36</v>
      </c>
      <c r="AO1606">
        <v>12</v>
      </c>
      <c r="AP1606">
        <v>35</v>
      </c>
      <c r="AQ1606">
        <v>9</v>
      </c>
      <c r="AR1606" t="s">
        <v>2192</v>
      </c>
      <c r="AS1606" t="s">
        <v>2193</v>
      </c>
      <c r="AT1606">
        <v>0.24099999999999999</v>
      </c>
      <c r="AU1606" t="s">
        <v>65</v>
      </c>
      <c r="AV1606">
        <v>71</v>
      </c>
      <c r="AW1606">
        <v>21</v>
      </c>
      <c r="AX1606" t="s">
        <v>2194</v>
      </c>
      <c r="AY1606">
        <v>7.4959999999999999E-2</v>
      </c>
      <c r="AZ1606">
        <v>-4.9699999999999996E-3</v>
      </c>
      <c r="BA1606">
        <v>6.5700000000000003E-3</v>
      </c>
      <c r="BB1606">
        <v>-4.6999999999999999E-4</v>
      </c>
      <c r="BC1606">
        <v>8.7609999999999993E-2</v>
      </c>
      <c r="BD1606">
        <v>1</v>
      </c>
      <c r="BE1606" t="s">
        <v>69</v>
      </c>
      <c r="BF1606">
        <v>-1.734</v>
      </c>
      <c r="BG1606">
        <v>-1.6819999999999999</v>
      </c>
    </row>
    <row r="1607" spans="1:59">
      <c r="A1607">
        <v>0</v>
      </c>
      <c r="B1607">
        <v>0</v>
      </c>
      <c r="C1607">
        <v>0</v>
      </c>
      <c r="D1607" t="s">
        <v>25022</v>
      </c>
      <c r="E1607">
        <v>1177</v>
      </c>
      <c r="F1607" t="s">
        <v>7401</v>
      </c>
      <c r="G1607" t="s">
        <v>57</v>
      </c>
      <c r="H1607">
        <v>1216210</v>
      </c>
      <c r="I1607">
        <v>1217118</v>
      </c>
      <c r="J1607" t="s">
        <v>7395</v>
      </c>
      <c r="K1607">
        <v>303</v>
      </c>
      <c r="L1607" t="s">
        <v>7402</v>
      </c>
      <c r="M1607">
        <v>38</v>
      </c>
      <c r="N1607" t="str">
        <f>HYPERLINK("Gene1177-zp_tree_all.dnd", "Gene1177-tree")</f>
        <v>Gene1177-tree</v>
      </c>
      <c r="O1607">
        <v>6</v>
      </c>
      <c r="P1607">
        <v>3</v>
      </c>
      <c r="Q1607">
        <v>6</v>
      </c>
      <c r="R1607">
        <v>3</v>
      </c>
      <c r="S1607">
        <v>0.33333000000000002</v>
      </c>
      <c r="T1607" t="s">
        <v>90</v>
      </c>
      <c r="U1607" t="s">
        <v>324</v>
      </c>
      <c r="V1607" t="s">
        <v>62</v>
      </c>
      <c r="W1607" t="s">
        <v>62</v>
      </c>
      <c r="X1607">
        <v>0</v>
      </c>
      <c r="Y1607">
        <v>0</v>
      </c>
      <c r="Z1607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4</v>
      </c>
      <c r="AK1607">
        <v>0</v>
      </c>
      <c r="AL1607">
        <v>7</v>
      </c>
      <c r="AM1607">
        <v>4</v>
      </c>
      <c r="AN1607">
        <v>10</v>
      </c>
      <c r="AO1607">
        <v>4</v>
      </c>
      <c r="AP1607">
        <v>4</v>
      </c>
      <c r="AQ1607">
        <v>0</v>
      </c>
      <c r="AR1607" t="s">
        <v>7403</v>
      </c>
      <c r="AS1607" t="s">
        <v>193</v>
      </c>
      <c r="AT1607">
        <v>1.304</v>
      </c>
      <c r="AU1607" t="s">
        <v>65</v>
      </c>
      <c r="AV1607">
        <v>14</v>
      </c>
      <c r="AW1607">
        <v>4</v>
      </c>
      <c r="AX1607" t="s">
        <v>7404</v>
      </c>
      <c r="AY1607">
        <v>1.7559999999999999E-2</v>
      </c>
      <c r="AZ1607">
        <v>-1.2600000000000001E-3</v>
      </c>
      <c r="BA1607">
        <v>1.2899999999999999E-3</v>
      </c>
      <c r="BB1607">
        <v>-2.2000000000000001E-4</v>
      </c>
      <c r="BC1607">
        <v>7.3749999999999996E-2</v>
      </c>
      <c r="BD1607">
        <v>1</v>
      </c>
      <c r="BE1607" t="s">
        <v>69</v>
      </c>
      <c r="BF1607">
        <v>-0.55600000000000005</v>
      </c>
      <c r="BG1607">
        <v>-1.097</v>
      </c>
    </row>
    <row r="1608" spans="1:59">
      <c r="A1608">
        <v>0</v>
      </c>
      <c r="B1608">
        <v>0</v>
      </c>
      <c r="C1608">
        <v>3</v>
      </c>
      <c r="D1608" t="s">
        <v>25022</v>
      </c>
      <c r="E1608">
        <v>1496</v>
      </c>
      <c r="F1608" t="s">
        <v>9356</v>
      </c>
      <c r="G1608" t="s">
        <v>57</v>
      </c>
      <c r="H1608">
        <v>1508330</v>
      </c>
      <c r="I1608">
        <v>1509238</v>
      </c>
      <c r="J1608" t="s">
        <v>9357</v>
      </c>
      <c r="K1608">
        <v>303</v>
      </c>
      <c r="L1608" t="s">
        <v>125</v>
      </c>
      <c r="M1608">
        <v>48</v>
      </c>
      <c r="N1608" t="str">
        <f>HYPERLINK("Gene1496-zp_tree_all.dnd", "Gene1496-tree")</f>
        <v>Gene1496-tree</v>
      </c>
      <c r="O1608">
        <v>28</v>
      </c>
      <c r="P1608">
        <v>9</v>
      </c>
      <c r="Q1608">
        <v>9</v>
      </c>
      <c r="R1608">
        <v>9</v>
      </c>
      <c r="S1608">
        <v>0.5</v>
      </c>
      <c r="T1608" t="s">
        <v>2825</v>
      </c>
      <c r="U1608" t="s">
        <v>135</v>
      </c>
      <c r="V1608" t="s">
        <v>62</v>
      </c>
      <c r="W1608" t="s">
        <v>62</v>
      </c>
      <c r="X1608">
        <v>1</v>
      </c>
      <c r="Y1608">
        <v>3</v>
      </c>
      <c r="Z1608">
        <v>11</v>
      </c>
      <c r="AA1608">
        <v>0.21429000000000001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</v>
      </c>
      <c r="AI1608">
        <v>2</v>
      </c>
      <c r="AJ1608">
        <v>8</v>
      </c>
      <c r="AK1608">
        <v>0.2</v>
      </c>
      <c r="AL1608">
        <v>15</v>
      </c>
      <c r="AM1608">
        <v>6</v>
      </c>
      <c r="AN1608">
        <v>40</v>
      </c>
      <c r="AO1608">
        <v>8</v>
      </c>
      <c r="AP1608">
        <v>40</v>
      </c>
      <c r="AQ1608">
        <v>7</v>
      </c>
      <c r="AR1608" t="s">
        <v>9358</v>
      </c>
      <c r="AS1608" t="s">
        <v>9359</v>
      </c>
      <c r="AT1608">
        <v>0.16200000000000001</v>
      </c>
      <c r="AU1608" t="s">
        <v>65</v>
      </c>
      <c r="AV1608">
        <v>80</v>
      </c>
      <c r="AW1608">
        <v>15</v>
      </c>
      <c r="AX1608" t="s">
        <v>9360</v>
      </c>
      <c r="AY1608">
        <v>7.8579999999999997E-2</v>
      </c>
      <c r="AZ1608">
        <v>-5.8500000000000002E-3</v>
      </c>
      <c r="BA1608">
        <v>4.5999999999999999E-3</v>
      </c>
      <c r="BB1608">
        <v>-3.1E-4</v>
      </c>
      <c r="BC1608">
        <v>5.851E-2</v>
      </c>
      <c r="BD1608">
        <v>1</v>
      </c>
      <c r="BE1608" t="s">
        <v>69</v>
      </c>
      <c r="BF1608">
        <v>-1.5760000000000001</v>
      </c>
      <c r="BG1608">
        <v>-1.1919999999999999</v>
      </c>
    </row>
    <row r="1609" spans="1:59">
      <c r="A1609">
        <v>0</v>
      </c>
      <c r="B1609">
        <v>9</v>
      </c>
      <c r="C1609">
        <v>0</v>
      </c>
      <c r="D1609" t="s">
        <v>25022</v>
      </c>
      <c r="E1609">
        <v>3508</v>
      </c>
      <c r="F1609" t="s">
        <v>20535</v>
      </c>
      <c r="G1609" t="s">
        <v>62</v>
      </c>
      <c r="H1609">
        <v>3468256</v>
      </c>
      <c r="I1609">
        <v>3469164</v>
      </c>
      <c r="J1609" t="s">
        <v>20536</v>
      </c>
      <c r="K1609">
        <v>303</v>
      </c>
      <c r="L1609" t="s">
        <v>108</v>
      </c>
      <c r="M1609">
        <v>44</v>
      </c>
      <c r="N1609" t="str">
        <f>HYPERLINK("Gene3508-zp_tree_all.dnd", "Gene3508-tree")</f>
        <v>Gene3508-tree</v>
      </c>
      <c r="O1609">
        <v>8</v>
      </c>
      <c r="P1609">
        <v>25</v>
      </c>
      <c r="Q1609">
        <v>8</v>
      </c>
      <c r="R1609">
        <v>6</v>
      </c>
      <c r="S1609">
        <v>0.42857000000000001</v>
      </c>
      <c r="T1609" t="s">
        <v>136</v>
      </c>
      <c r="U1609" t="s">
        <v>965</v>
      </c>
      <c r="V1609">
        <v>4.3010000000000002</v>
      </c>
      <c r="W1609" t="s">
        <v>65</v>
      </c>
      <c r="X1609">
        <v>3</v>
      </c>
      <c r="Y1609">
        <v>9</v>
      </c>
      <c r="Z1609">
        <v>8</v>
      </c>
      <c r="AA1609">
        <v>0.52941000000000005</v>
      </c>
      <c r="AB1609">
        <v>0</v>
      </c>
      <c r="AC1609">
        <v>0</v>
      </c>
      <c r="AD1609">
        <v>0</v>
      </c>
      <c r="AE1609">
        <v>2</v>
      </c>
      <c r="AF1609">
        <v>0</v>
      </c>
      <c r="AG1609">
        <v>4</v>
      </c>
      <c r="AH1609">
        <v>0</v>
      </c>
      <c r="AI1609">
        <v>4</v>
      </c>
      <c r="AJ1609">
        <v>5</v>
      </c>
      <c r="AK1609">
        <v>0.44444</v>
      </c>
      <c r="AL1609">
        <v>13</v>
      </c>
      <c r="AM1609">
        <v>9</v>
      </c>
      <c r="AN1609">
        <v>39</v>
      </c>
      <c r="AO1609">
        <v>10</v>
      </c>
      <c r="AP1609">
        <v>47</v>
      </c>
      <c r="AQ1609">
        <v>8</v>
      </c>
      <c r="AR1609" t="s">
        <v>20537</v>
      </c>
      <c r="AS1609" t="s">
        <v>20538</v>
      </c>
      <c r="AT1609">
        <v>0.32500000000000001</v>
      </c>
      <c r="AU1609" t="s">
        <v>65</v>
      </c>
      <c r="AV1609">
        <v>86</v>
      </c>
      <c r="AW1609">
        <v>18</v>
      </c>
      <c r="AX1609" t="s">
        <v>20539</v>
      </c>
      <c r="AY1609">
        <v>9.0679999999999997E-2</v>
      </c>
      <c r="AZ1609">
        <v>-3.8700000000000002E-3</v>
      </c>
      <c r="BA1609">
        <v>4.1700000000000001E-3</v>
      </c>
      <c r="BB1609">
        <v>-2.7999999999999998E-4</v>
      </c>
      <c r="BC1609">
        <v>4.6010000000000002E-2</v>
      </c>
      <c r="BD1609">
        <v>1</v>
      </c>
      <c r="BE1609" t="s">
        <v>69</v>
      </c>
      <c r="BF1609">
        <v>5.0999999999999997E-2</v>
      </c>
      <c r="BG1609">
        <v>-0.09</v>
      </c>
    </row>
    <row r="1610" spans="1:59">
      <c r="A1610">
        <v>0</v>
      </c>
      <c r="B1610">
        <v>2</v>
      </c>
      <c r="C1610">
        <v>0</v>
      </c>
      <c r="D1610" t="s">
        <v>25022</v>
      </c>
      <c r="E1610">
        <v>1457</v>
      </c>
      <c r="F1610" t="s">
        <v>9125</v>
      </c>
      <c r="G1610" t="s">
        <v>57</v>
      </c>
      <c r="H1610">
        <v>1473605</v>
      </c>
      <c r="I1610">
        <v>1474513</v>
      </c>
      <c r="J1610" t="s">
        <v>9126</v>
      </c>
      <c r="K1610">
        <v>303</v>
      </c>
      <c r="L1610" t="s">
        <v>289</v>
      </c>
      <c r="M1610">
        <v>46</v>
      </c>
      <c r="N1610" t="str">
        <f>HYPERLINK("Gene1457-zp_tree_all.dnd", "Gene1457-tree")</f>
        <v>Gene1457-tree</v>
      </c>
      <c r="O1610">
        <v>11</v>
      </c>
      <c r="P1610">
        <v>3</v>
      </c>
      <c r="Q1610">
        <v>11</v>
      </c>
      <c r="R1610">
        <v>3</v>
      </c>
      <c r="S1610">
        <v>0.21429000000000001</v>
      </c>
      <c r="T1610" t="s">
        <v>73</v>
      </c>
      <c r="U1610" t="s">
        <v>324</v>
      </c>
      <c r="V1610" t="s">
        <v>62</v>
      </c>
      <c r="W1610" t="s">
        <v>62</v>
      </c>
      <c r="X1610">
        <v>1</v>
      </c>
      <c r="Y1610">
        <v>2</v>
      </c>
      <c r="Z1610">
        <v>7</v>
      </c>
      <c r="AA1610">
        <v>0.22222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</v>
      </c>
      <c r="AK1610">
        <v>0</v>
      </c>
      <c r="AL1610">
        <v>11</v>
      </c>
      <c r="AM1610">
        <v>7</v>
      </c>
      <c r="AN1610">
        <v>21</v>
      </c>
      <c r="AO1610">
        <v>2</v>
      </c>
      <c r="AP1610">
        <v>34</v>
      </c>
      <c r="AQ1610">
        <v>7</v>
      </c>
      <c r="AR1610" t="s">
        <v>9127</v>
      </c>
      <c r="AS1610" t="s">
        <v>9128</v>
      </c>
      <c r="AT1610">
        <v>0.17</v>
      </c>
      <c r="AU1610" t="s">
        <v>65</v>
      </c>
      <c r="AV1610">
        <v>55</v>
      </c>
      <c r="AW1610">
        <v>9</v>
      </c>
      <c r="AX1610" t="s">
        <v>9129</v>
      </c>
      <c r="AY1610">
        <v>6.5790000000000001E-2</v>
      </c>
      <c r="AZ1610">
        <v>-7.1999999999999998E-3</v>
      </c>
      <c r="BA1610">
        <v>2.9399999999999999E-3</v>
      </c>
      <c r="BB1610">
        <v>-4.0999999999999999E-4</v>
      </c>
      <c r="BC1610">
        <v>4.4630000000000003E-2</v>
      </c>
      <c r="BD1610">
        <v>1</v>
      </c>
      <c r="BE1610" t="s">
        <v>69</v>
      </c>
      <c r="BF1610">
        <v>-1.5</v>
      </c>
      <c r="BG1610">
        <v>0.872</v>
      </c>
    </row>
    <row r="1611" spans="1:59">
      <c r="A1611">
        <v>0</v>
      </c>
      <c r="B1611">
        <v>3</v>
      </c>
      <c r="C1611">
        <v>0</v>
      </c>
      <c r="D1611" t="s">
        <v>25022</v>
      </c>
      <c r="E1611">
        <v>1607</v>
      </c>
      <c r="F1611" t="s">
        <v>10059</v>
      </c>
      <c r="G1611" t="s">
        <v>57</v>
      </c>
      <c r="H1611">
        <v>1617210</v>
      </c>
      <c r="I1611">
        <v>1618118</v>
      </c>
      <c r="J1611" t="s">
        <v>7550</v>
      </c>
      <c r="K1611">
        <v>303</v>
      </c>
      <c r="L1611" t="s">
        <v>108</v>
      </c>
      <c r="M1611">
        <v>44</v>
      </c>
      <c r="N1611" t="str">
        <f>HYPERLINK("Gene1607-zp_tree_all.dnd", "Gene1607-tree")</f>
        <v>Gene1607-tree</v>
      </c>
      <c r="O1611">
        <v>4</v>
      </c>
      <c r="P1611">
        <v>11</v>
      </c>
      <c r="Q1611">
        <v>4</v>
      </c>
      <c r="R1611">
        <v>11</v>
      </c>
      <c r="S1611">
        <v>0.73333000000000004</v>
      </c>
      <c r="T1611" t="s">
        <v>61</v>
      </c>
      <c r="U1611" t="s">
        <v>73</v>
      </c>
      <c r="V1611">
        <v>200307210.301</v>
      </c>
      <c r="W1611" t="s">
        <v>267</v>
      </c>
      <c r="X1611">
        <v>1</v>
      </c>
      <c r="Y1611">
        <v>3</v>
      </c>
      <c r="Z1611">
        <v>11</v>
      </c>
      <c r="AA1611">
        <v>0.21429000000000001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</v>
      </c>
      <c r="AH1611">
        <v>0</v>
      </c>
      <c r="AI1611">
        <v>2</v>
      </c>
      <c r="AJ1611">
        <v>11</v>
      </c>
      <c r="AK1611">
        <v>0.15384999999999999</v>
      </c>
      <c r="AL1611">
        <v>12</v>
      </c>
      <c r="AM1611">
        <v>10</v>
      </c>
      <c r="AN1611">
        <v>43</v>
      </c>
      <c r="AO1611">
        <v>11</v>
      </c>
      <c r="AP1611">
        <v>33</v>
      </c>
      <c r="AQ1611">
        <v>3</v>
      </c>
      <c r="AR1611" t="s">
        <v>10060</v>
      </c>
      <c r="AS1611" t="s">
        <v>10061</v>
      </c>
      <c r="AT1611">
        <v>0.61499999999999999</v>
      </c>
      <c r="AU1611" t="s">
        <v>65</v>
      </c>
      <c r="AV1611">
        <v>76</v>
      </c>
      <c r="AW1611">
        <v>14</v>
      </c>
      <c r="AX1611" t="s">
        <v>10062</v>
      </c>
      <c r="AY1611">
        <v>7.0620000000000002E-2</v>
      </c>
      <c r="AZ1611">
        <v>-4.2599999999999999E-3</v>
      </c>
      <c r="BA1611">
        <v>3.0999999999999999E-3</v>
      </c>
      <c r="BB1611">
        <v>-1.3999999999999999E-4</v>
      </c>
      <c r="BC1611">
        <v>4.3869999999999999E-2</v>
      </c>
      <c r="BD1611">
        <v>1</v>
      </c>
      <c r="BE1611" t="s">
        <v>69</v>
      </c>
      <c r="BF1611">
        <v>-0.16</v>
      </c>
      <c r="BG1611">
        <v>-1.9750000000000001</v>
      </c>
    </row>
    <row r="1612" spans="1:59">
      <c r="A1612">
        <v>0</v>
      </c>
      <c r="B1612">
        <v>0</v>
      </c>
      <c r="C1612">
        <v>0</v>
      </c>
      <c r="D1612" t="s">
        <v>25022</v>
      </c>
      <c r="E1612">
        <v>707</v>
      </c>
      <c r="F1612" t="s">
        <v>4423</v>
      </c>
      <c r="G1612" t="s">
        <v>57</v>
      </c>
      <c r="H1612">
        <v>736436</v>
      </c>
      <c r="I1612">
        <v>737344</v>
      </c>
      <c r="J1612" t="s">
        <v>4424</v>
      </c>
      <c r="K1612">
        <v>303</v>
      </c>
      <c r="L1612" t="s">
        <v>59</v>
      </c>
      <c r="M1612">
        <v>49</v>
      </c>
      <c r="N1612" t="str">
        <f>HYPERLINK("Gene707-zp_tree_all.dnd", "Gene707-tree")</f>
        <v>Gene707-tree</v>
      </c>
      <c r="O1612">
        <v>18</v>
      </c>
      <c r="P1612">
        <v>2</v>
      </c>
      <c r="Q1612">
        <v>18</v>
      </c>
      <c r="R1612">
        <v>2</v>
      </c>
      <c r="S1612">
        <v>0.1</v>
      </c>
      <c r="T1612" t="s">
        <v>144</v>
      </c>
      <c r="U1612" t="s">
        <v>81</v>
      </c>
      <c r="V1612" t="s">
        <v>62</v>
      </c>
      <c r="W1612" t="s">
        <v>62</v>
      </c>
      <c r="X1612">
        <v>0</v>
      </c>
      <c r="Y1612">
        <v>0</v>
      </c>
      <c r="Z1612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</v>
      </c>
      <c r="AK1612">
        <v>0</v>
      </c>
      <c r="AL1612">
        <v>18</v>
      </c>
      <c r="AM1612">
        <v>14</v>
      </c>
      <c r="AN1612">
        <v>102</v>
      </c>
      <c r="AO1612">
        <v>2</v>
      </c>
      <c r="AP1612">
        <v>57</v>
      </c>
      <c r="AQ1612">
        <v>3</v>
      </c>
      <c r="AR1612" t="s">
        <v>4425</v>
      </c>
      <c r="AS1612" t="s">
        <v>4426</v>
      </c>
      <c r="AT1612">
        <v>0.17100000000000001</v>
      </c>
      <c r="AU1612" t="s">
        <v>65</v>
      </c>
      <c r="AV1612">
        <v>159</v>
      </c>
      <c r="AW1612">
        <v>5</v>
      </c>
      <c r="AX1612" t="s">
        <v>4427</v>
      </c>
      <c r="AY1612">
        <v>0.1082</v>
      </c>
      <c r="AZ1612">
        <v>-3.6700000000000001E-3</v>
      </c>
      <c r="BA1612">
        <v>2.1700000000000001E-3</v>
      </c>
      <c r="BB1612">
        <v>-1.7000000000000001E-4</v>
      </c>
      <c r="BC1612">
        <v>2.0060000000000001E-2</v>
      </c>
      <c r="BD1612">
        <v>1</v>
      </c>
      <c r="BE1612" t="s">
        <v>69</v>
      </c>
      <c r="BF1612">
        <v>-0.76600000000000001</v>
      </c>
      <c r="BG1612">
        <v>-1.7030000000000001</v>
      </c>
    </row>
    <row r="1613" spans="1:59">
      <c r="A1613">
        <v>0</v>
      </c>
      <c r="B1613">
        <v>0</v>
      </c>
      <c r="C1613">
        <v>0</v>
      </c>
      <c r="D1613" t="s">
        <v>25022</v>
      </c>
      <c r="E1613">
        <v>1584</v>
      </c>
      <c r="F1613" t="s">
        <v>9909</v>
      </c>
      <c r="G1613" t="s">
        <v>57</v>
      </c>
      <c r="H1613">
        <v>1592663</v>
      </c>
      <c r="I1613">
        <v>1593571</v>
      </c>
      <c r="J1613" t="s">
        <v>9910</v>
      </c>
      <c r="K1613">
        <v>303</v>
      </c>
      <c r="L1613" t="s">
        <v>59</v>
      </c>
      <c r="M1613">
        <v>49</v>
      </c>
      <c r="N1613" t="str">
        <f>HYPERLINK("Gene1584-zp_tree_all.dnd", "Gene1584-tree")</f>
        <v>Gene1584-tree</v>
      </c>
      <c r="O1613">
        <v>14</v>
      </c>
      <c r="P1613">
        <v>3</v>
      </c>
      <c r="Q1613">
        <v>14</v>
      </c>
      <c r="R1613">
        <v>3</v>
      </c>
      <c r="S1613">
        <v>0.17646999999999999</v>
      </c>
      <c r="T1613" t="s">
        <v>543</v>
      </c>
      <c r="U1613" t="s">
        <v>324</v>
      </c>
      <c r="V1613" t="s">
        <v>62</v>
      </c>
      <c r="W1613" t="s">
        <v>62</v>
      </c>
      <c r="X1613">
        <v>0</v>
      </c>
      <c r="Y1613">
        <v>0</v>
      </c>
      <c r="Z1613">
        <v>6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4</v>
      </c>
      <c r="AK1613">
        <v>0</v>
      </c>
      <c r="AL1613">
        <v>15</v>
      </c>
      <c r="AM1613">
        <v>11</v>
      </c>
      <c r="AN1613">
        <v>41</v>
      </c>
      <c r="AO1613">
        <v>4</v>
      </c>
      <c r="AP1613">
        <v>50</v>
      </c>
      <c r="AQ1613">
        <v>2</v>
      </c>
      <c r="AR1613" t="s">
        <v>9911</v>
      </c>
      <c r="AS1613" t="s">
        <v>9912</v>
      </c>
      <c r="AT1613">
        <v>0.38100000000000001</v>
      </c>
      <c r="AU1613" t="s">
        <v>65</v>
      </c>
      <c r="AV1613">
        <v>91</v>
      </c>
      <c r="AW1613">
        <v>6</v>
      </c>
      <c r="AX1613" t="s">
        <v>9913</v>
      </c>
      <c r="AY1613">
        <v>9.9110000000000004E-2</v>
      </c>
      <c r="AZ1613">
        <v>-6.8599999999999998E-3</v>
      </c>
      <c r="BA1613">
        <v>1.58E-3</v>
      </c>
      <c r="BB1613">
        <v>-1.2999999999999999E-4</v>
      </c>
      <c r="BC1613">
        <v>1.5910000000000001E-2</v>
      </c>
      <c r="BD1613">
        <v>1</v>
      </c>
      <c r="BE1613" t="s">
        <v>69</v>
      </c>
      <c r="BF1613">
        <v>-1.107</v>
      </c>
      <c r="BG1613">
        <v>-0.90500000000000003</v>
      </c>
    </row>
    <row r="1614" spans="1:59">
      <c r="A1614">
        <v>0</v>
      </c>
      <c r="B1614">
        <v>10</v>
      </c>
      <c r="C1614">
        <v>3</v>
      </c>
      <c r="D1614" t="s">
        <v>25022</v>
      </c>
      <c r="E1614">
        <v>335</v>
      </c>
      <c r="F1614" t="s">
        <v>2287</v>
      </c>
      <c r="G1614" t="s">
        <v>57</v>
      </c>
      <c r="H1614">
        <v>364259</v>
      </c>
      <c r="I1614">
        <v>365170</v>
      </c>
      <c r="J1614" t="s">
        <v>2288</v>
      </c>
      <c r="K1614">
        <v>304</v>
      </c>
      <c r="L1614" t="s">
        <v>2289</v>
      </c>
      <c r="M1614">
        <v>37</v>
      </c>
      <c r="N1614" t="str">
        <f>HYPERLINK("Gene335-zp_tree_all.dnd", "Gene335-tree")</f>
        <v>Gene335-tree</v>
      </c>
      <c r="O1614">
        <v>4</v>
      </c>
      <c r="P1614">
        <v>9</v>
      </c>
      <c r="Q1614">
        <v>4</v>
      </c>
      <c r="R1614">
        <v>9</v>
      </c>
      <c r="S1614">
        <v>0.69230999999999998</v>
      </c>
      <c r="T1614" t="s">
        <v>61</v>
      </c>
      <c r="U1614" t="s">
        <v>135</v>
      </c>
      <c r="V1614" t="s">
        <v>62</v>
      </c>
      <c r="W1614" t="s">
        <v>62</v>
      </c>
      <c r="X1614">
        <v>6</v>
      </c>
      <c r="Y1614">
        <v>13</v>
      </c>
      <c r="Z1614">
        <v>14</v>
      </c>
      <c r="AA1614">
        <v>0.48148000000000002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</v>
      </c>
      <c r="AH1614">
        <v>2</v>
      </c>
      <c r="AI1614">
        <v>4</v>
      </c>
      <c r="AJ1614">
        <v>17</v>
      </c>
      <c r="AK1614">
        <v>0.19048000000000001</v>
      </c>
      <c r="AL1614">
        <v>11</v>
      </c>
      <c r="AM1614">
        <v>9</v>
      </c>
      <c r="AN1614">
        <v>35</v>
      </c>
      <c r="AO1614">
        <v>22</v>
      </c>
      <c r="AP1614">
        <v>14</v>
      </c>
      <c r="AQ1614">
        <v>6</v>
      </c>
      <c r="AR1614" t="s">
        <v>2290</v>
      </c>
      <c r="AS1614" t="s">
        <v>2291</v>
      </c>
      <c r="AT1614">
        <v>0.69199999999999995</v>
      </c>
      <c r="AU1614" t="s">
        <v>65</v>
      </c>
      <c r="AV1614">
        <v>49</v>
      </c>
      <c r="AW1614">
        <v>28</v>
      </c>
      <c r="AX1614" t="s">
        <v>2292</v>
      </c>
      <c r="AY1614">
        <v>4.5159999999999999E-2</v>
      </c>
      <c r="AZ1614">
        <v>-2.1800000000000001E-3</v>
      </c>
      <c r="BA1614">
        <v>7.2100000000000003E-3</v>
      </c>
      <c r="BB1614">
        <v>-3.8000000000000002E-4</v>
      </c>
      <c r="BC1614">
        <v>0.15967999999999999</v>
      </c>
      <c r="BD1614">
        <v>1</v>
      </c>
      <c r="BE1614" t="s">
        <v>69</v>
      </c>
      <c r="BF1614">
        <v>-1.349</v>
      </c>
      <c r="BG1614">
        <v>-2.1749999999999998</v>
      </c>
    </row>
    <row r="1615" spans="1:59">
      <c r="A1615">
        <v>0</v>
      </c>
      <c r="B1615">
        <v>2</v>
      </c>
      <c r="C1615">
        <v>2</v>
      </c>
      <c r="D1615" t="s">
        <v>25022</v>
      </c>
      <c r="E1615">
        <v>1610</v>
      </c>
      <c r="F1615" t="s">
        <v>10078</v>
      </c>
      <c r="G1615" t="s">
        <v>57</v>
      </c>
      <c r="H1615">
        <v>1620476</v>
      </c>
      <c r="I1615">
        <v>1621387</v>
      </c>
      <c r="J1615" t="s">
        <v>10079</v>
      </c>
      <c r="K1615">
        <v>304</v>
      </c>
      <c r="L1615" t="s">
        <v>108</v>
      </c>
      <c r="M1615">
        <v>44</v>
      </c>
      <c r="N1615" t="str">
        <f>HYPERLINK("Gene1610-zp_tree_all.dnd", "Gene1610-tree")</f>
        <v>Gene1610-tree</v>
      </c>
      <c r="O1615">
        <v>4</v>
      </c>
      <c r="P1615">
        <v>9</v>
      </c>
      <c r="Q1615">
        <v>4</v>
      </c>
      <c r="R1615">
        <v>9</v>
      </c>
      <c r="S1615">
        <v>0.69230999999999998</v>
      </c>
      <c r="T1615" t="s">
        <v>61</v>
      </c>
      <c r="U1615" t="s">
        <v>135</v>
      </c>
      <c r="V1615" t="s">
        <v>62</v>
      </c>
      <c r="W1615" t="s">
        <v>62</v>
      </c>
      <c r="X1615">
        <v>2</v>
      </c>
      <c r="Y1615">
        <v>4</v>
      </c>
      <c r="Z1615">
        <v>13</v>
      </c>
      <c r="AA1615">
        <v>0.23529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</v>
      </c>
      <c r="AH1615">
        <v>0</v>
      </c>
      <c r="AI1615">
        <v>2</v>
      </c>
      <c r="AJ1615">
        <v>13</v>
      </c>
      <c r="AK1615">
        <v>0.13333</v>
      </c>
      <c r="AL1615">
        <v>11</v>
      </c>
      <c r="AM1615">
        <v>9</v>
      </c>
      <c r="AN1615">
        <v>26</v>
      </c>
      <c r="AO1615">
        <v>11</v>
      </c>
      <c r="AP1615">
        <v>16</v>
      </c>
      <c r="AQ1615">
        <v>6</v>
      </c>
      <c r="AR1615" t="s">
        <v>10080</v>
      </c>
      <c r="AS1615" t="s">
        <v>10081</v>
      </c>
      <c r="AT1615">
        <v>0.13</v>
      </c>
      <c r="AU1615" t="s">
        <v>65</v>
      </c>
      <c r="AV1615">
        <v>42</v>
      </c>
      <c r="AW1615">
        <v>17</v>
      </c>
      <c r="AX1615" t="s">
        <v>10082</v>
      </c>
      <c r="AY1615">
        <v>3.4590000000000003E-2</v>
      </c>
      <c r="AZ1615">
        <v>-1.34E-3</v>
      </c>
      <c r="BA1615">
        <v>4.5199999999999997E-3</v>
      </c>
      <c r="BB1615">
        <v>-2.7E-4</v>
      </c>
      <c r="BC1615">
        <v>0.13078000000000001</v>
      </c>
      <c r="BD1615">
        <v>1</v>
      </c>
      <c r="BE1615" t="s">
        <v>69</v>
      </c>
      <c r="BF1615">
        <v>0.20599999999999999</v>
      </c>
      <c r="BG1615">
        <v>-0.16900000000000001</v>
      </c>
    </row>
    <row r="1616" spans="1:59">
      <c r="A1616">
        <v>0</v>
      </c>
      <c r="B1616">
        <v>3</v>
      </c>
      <c r="C1616">
        <v>4</v>
      </c>
      <c r="D1616" t="s">
        <v>25022</v>
      </c>
      <c r="E1616">
        <v>1675</v>
      </c>
      <c r="F1616" t="s">
        <v>10492</v>
      </c>
      <c r="G1616" t="s">
        <v>57</v>
      </c>
      <c r="H1616">
        <v>1687187</v>
      </c>
      <c r="I1616">
        <v>1688098</v>
      </c>
      <c r="J1616" t="s">
        <v>10493</v>
      </c>
      <c r="K1616">
        <v>304</v>
      </c>
      <c r="L1616" t="s">
        <v>59</v>
      </c>
      <c r="M1616">
        <v>49</v>
      </c>
      <c r="N1616" t="str">
        <f>HYPERLINK("Gene1675-zp_tree_all.dnd", "Gene1675-tree")</f>
        <v>Gene1675-tree</v>
      </c>
      <c r="O1616">
        <v>9</v>
      </c>
      <c r="P1616">
        <v>7</v>
      </c>
      <c r="Q1616">
        <v>9</v>
      </c>
      <c r="R1616">
        <v>7</v>
      </c>
      <c r="S1616">
        <v>0.4375</v>
      </c>
      <c r="T1616" t="s">
        <v>135</v>
      </c>
      <c r="U1616" t="s">
        <v>152</v>
      </c>
      <c r="V1616" t="s">
        <v>62</v>
      </c>
      <c r="W1616" t="s">
        <v>62</v>
      </c>
      <c r="X1616">
        <v>3</v>
      </c>
      <c r="Y1616">
        <v>7</v>
      </c>
      <c r="Z1616">
        <v>11</v>
      </c>
      <c r="AA1616">
        <v>0.38889000000000001</v>
      </c>
      <c r="AB1616">
        <v>0</v>
      </c>
      <c r="AC1616">
        <v>0</v>
      </c>
      <c r="AD1616">
        <v>0</v>
      </c>
      <c r="AE1616">
        <v>4</v>
      </c>
      <c r="AF1616">
        <v>0</v>
      </c>
      <c r="AG1616">
        <v>2</v>
      </c>
      <c r="AH1616">
        <v>0</v>
      </c>
      <c r="AI1616">
        <v>2</v>
      </c>
      <c r="AJ1616">
        <v>8</v>
      </c>
      <c r="AK1616">
        <v>0.2</v>
      </c>
      <c r="AL1616">
        <v>11</v>
      </c>
      <c r="AM1616">
        <v>7</v>
      </c>
      <c r="AN1616">
        <v>24</v>
      </c>
      <c r="AO1616">
        <v>10</v>
      </c>
      <c r="AP1616">
        <v>33</v>
      </c>
      <c r="AQ1616">
        <v>8</v>
      </c>
      <c r="AR1616" t="s">
        <v>10494</v>
      </c>
      <c r="AS1616" t="s">
        <v>10495</v>
      </c>
      <c r="AT1616">
        <v>0.48399999999999999</v>
      </c>
      <c r="AU1616" t="s">
        <v>65</v>
      </c>
      <c r="AV1616">
        <v>57</v>
      </c>
      <c r="AW1616">
        <v>18</v>
      </c>
      <c r="AX1616" t="s">
        <v>10496</v>
      </c>
      <c r="AY1616">
        <v>7.4370000000000006E-2</v>
      </c>
      <c r="AZ1616">
        <v>-5.7499999999999999E-3</v>
      </c>
      <c r="BA1616">
        <v>5.3499999999999997E-3</v>
      </c>
      <c r="BB1616">
        <v>-3.6000000000000002E-4</v>
      </c>
      <c r="BC1616">
        <v>7.1940000000000004E-2</v>
      </c>
      <c r="BD1616">
        <v>1</v>
      </c>
      <c r="BE1616" t="s">
        <v>69</v>
      </c>
      <c r="BF1616">
        <v>-1.752</v>
      </c>
      <c r="BG1616">
        <v>-1.6</v>
      </c>
    </row>
    <row r="1617" spans="1:59">
      <c r="A1617">
        <v>0</v>
      </c>
      <c r="B1617">
        <v>0</v>
      </c>
      <c r="C1617">
        <v>0</v>
      </c>
      <c r="D1617" t="s">
        <v>25022</v>
      </c>
      <c r="E1617">
        <v>3112</v>
      </c>
      <c r="F1617" t="s">
        <v>18055</v>
      </c>
      <c r="G1617" t="s">
        <v>62</v>
      </c>
      <c r="H1617">
        <v>3064814</v>
      </c>
      <c r="I1617">
        <v>3065725</v>
      </c>
      <c r="J1617" t="s">
        <v>2512</v>
      </c>
      <c r="K1617">
        <v>304</v>
      </c>
      <c r="L1617" t="s">
        <v>108</v>
      </c>
      <c r="M1617">
        <v>44</v>
      </c>
      <c r="N1617" t="str">
        <f>HYPERLINK("Gene3112-zp_tree_all.dnd", "Gene3112-tree")</f>
        <v>Gene3112-tree</v>
      </c>
      <c r="O1617">
        <v>11</v>
      </c>
      <c r="P1617">
        <v>5</v>
      </c>
      <c r="Q1617">
        <v>11</v>
      </c>
      <c r="R1617">
        <v>5</v>
      </c>
      <c r="S1617">
        <v>0.3125</v>
      </c>
      <c r="T1617" t="s">
        <v>73</v>
      </c>
      <c r="U1617" t="s">
        <v>199</v>
      </c>
      <c r="V1617" t="s">
        <v>62</v>
      </c>
      <c r="W1617" t="s">
        <v>62</v>
      </c>
      <c r="X1617">
        <v>0</v>
      </c>
      <c r="Y1617">
        <v>0</v>
      </c>
      <c r="Z1617">
        <v>6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5</v>
      </c>
      <c r="AK1617">
        <v>0</v>
      </c>
      <c r="AL1617">
        <v>13</v>
      </c>
      <c r="AM1617">
        <v>7</v>
      </c>
      <c r="AN1617">
        <v>19</v>
      </c>
      <c r="AO1617">
        <v>5</v>
      </c>
      <c r="AP1617">
        <v>8</v>
      </c>
      <c r="AQ1617">
        <v>1</v>
      </c>
      <c r="AR1617" t="s">
        <v>18056</v>
      </c>
      <c r="AS1617" t="s">
        <v>18057</v>
      </c>
      <c r="AT1617">
        <v>0.41099999999999998</v>
      </c>
      <c r="AU1617" t="s">
        <v>65</v>
      </c>
      <c r="AV1617">
        <v>27</v>
      </c>
      <c r="AW1617">
        <v>6</v>
      </c>
      <c r="AX1617" t="s">
        <v>18058</v>
      </c>
      <c r="AY1617">
        <v>2.367E-2</v>
      </c>
      <c r="AZ1617">
        <v>-7.6999999999999996E-4</v>
      </c>
      <c r="BA1617">
        <v>1.5299999999999999E-3</v>
      </c>
      <c r="BB1617">
        <v>-1E-4</v>
      </c>
      <c r="BC1617">
        <v>6.447E-2</v>
      </c>
      <c r="BD1617">
        <v>1</v>
      </c>
      <c r="BE1617" t="s">
        <v>69</v>
      </c>
      <c r="BF1617">
        <v>-0.98299999999999998</v>
      </c>
      <c r="BG1617">
        <v>-0.92500000000000004</v>
      </c>
    </row>
    <row r="1618" spans="1:59">
      <c r="A1618">
        <v>0</v>
      </c>
      <c r="B1618">
        <v>2</v>
      </c>
      <c r="C1618">
        <v>0</v>
      </c>
      <c r="D1618" t="s">
        <v>25022</v>
      </c>
      <c r="E1618">
        <v>2019</v>
      </c>
      <c r="F1618" t="s">
        <v>12559</v>
      </c>
      <c r="G1618" t="s">
        <v>62</v>
      </c>
      <c r="H1618">
        <v>2113767</v>
      </c>
      <c r="I1618">
        <v>2114678</v>
      </c>
      <c r="J1618" t="s">
        <v>12560</v>
      </c>
      <c r="K1618">
        <v>304</v>
      </c>
      <c r="L1618" t="s">
        <v>108</v>
      </c>
      <c r="M1618">
        <v>44</v>
      </c>
      <c r="N1618" t="str">
        <f>HYPERLINK("Gene2019-zp_tree_all.dnd", "Gene2019-tree")</f>
        <v>Gene2019-tree</v>
      </c>
      <c r="O1618">
        <v>9</v>
      </c>
      <c r="P1618">
        <v>6</v>
      </c>
      <c r="Q1618">
        <v>9</v>
      </c>
      <c r="R1618">
        <v>6</v>
      </c>
      <c r="S1618">
        <v>0.4</v>
      </c>
      <c r="T1618" t="s">
        <v>135</v>
      </c>
      <c r="U1618" t="s">
        <v>90</v>
      </c>
      <c r="V1618" t="s">
        <v>62</v>
      </c>
      <c r="W1618" t="s">
        <v>62</v>
      </c>
      <c r="X1618">
        <v>1</v>
      </c>
      <c r="Y1618">
        <v>2</v>
      </c>
      <c r="Z1618">
        <v>8</v>
      </c>
      <c r="AA1618">
        <v>0.2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</v>
      </c>
      <c r="AH1618">
        <v>0</v>
      </c>
      <c r="AI1618">
        <v>2</v>
      </c>
      <c r="AJ1618">
        <v>7</v>
      </c>
      <c r="AK1618">
        <v>0.22222</v>
      </c>
      <c r="AL1618">
        <v>13</v>
      </c>
      <c r="AM1618">
        <v>7</v>
      </c>
      <c r="AN1618">
        <v>32</v>
      </c>
      <c r="AO1618">
        <v>9</v>
      </c>
      <c r="AP1618">
        <v>10</v>
      </c>
      <c r="AQ1618">
        <v>1</v>
      </c>
      <c r="AR1618" t="s">
        <v>12561</v>
      </c>
      <c r="AS1618" t="s">
        <v>12562</v>
      </c>
      <c r="AT1618">
        <v>0.624</v>
      </c>
      <c r="AU1618" t="s">
        <v>65</v>
      </c>
      <c r="AV1618">
        <v>42</v>
      </c>
      <c r="AW1618">
        <v>10</v>
      </c>
      <c r="AX1618" t="s">
        <v>12563</v>
      </c>
      <c r="AY1618">
        <v>3.49E-2</v>
      </c>
      <c r="AZ1618">
        <v>-1.32E-3</v>
      </c>
      <c r="BA1618">
        <v>2.0400000000000001E-3</v>
      </c>
      <c r="BB1618">
        <v>-1.6000000000000001E-4</v>
      </c>
      <c r="BC1618">
        <v>5.8590000000000003E-2</v>
      </c>
      <c r="BD1618">
        <v>1</v>
      </c>
      <c r="BE1618" t="s">
        <v>69</v>
      </c>
      <c r="BF1618">
        <v>-1.1379999999999999</v>
      </c>
      <c r="BG1618">
        <v>-1.296</v>
      </c>
    </row>
    <row r="1619" spans="1:59">
      <c r="A1619">
        <v>0</v>
      </c>
      <c r="B1619">
        <v>7</v>
      </c>
      <c r="C1619">
        <v>4</v>
      </c>
      <c r="D1619" t="s">
        <v>25022</v>
      </c>
      <c r="E1619">
        <v>215</v>
      </c>
      <c r="F1619" t="s">
        <v>1465</v>
      </c>
      <c r="G1619" t="s">
        <v>57</v>
      </c>
      <c r="H1619">
        <v>235965</v>
      </c>
      <c r="I1619">
        <v>236879</v>
      </c>
      <c r="J1619" t="s">
        <v>1466</v>
      </c>
      <c r="K1619">
        <v>305</v>
      </c>
      <c r="L1619" t="s">
        <v>108</v>
      </c>
      <c r="M1619">
        <v>44</v>
      </c>
      <c r="N1619" t="str">
        <f>HYPERLINK("Gene215-zp_tree_all.dnd", "Gene215-tree")</f>
        <v>Gene215-tree</v>
      </c>
      <c r="O1619">
        <v>3</v>
      </c>
      <c r="P1619">
        <v>9</v>
      </c>
      <c r="Q1619">
        <v>3</v>
      </c>
      <c r="R1619">
        <v>9</v>
      </c>
      <c r="S1619">
        <v>0.75</v>
      </c>
      <c r="T1619" t="s">
        <v>324</v>
      </c>
      <c r="U1619" t="s">
        <v>135</v>
      </c>
      <c r="V1619" t="s">
        <v>62</v>
      </c>
      <c r="W1619" t="s">
        <v>62</v>
      </c>
      <c r="X1619">
        <v>4</v>
      </c>
      <c r="Y1619">
        <v>11</v>
      </c>
      <c r="Z1619">
        <v>15</v>
      </c>
      <c r="AA1619">
        <v>0.42308000000000001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</v>
      </c>
      <c r="AH1619">
        <v>4</v>
      </c>
      <c r="AI1619">
        <v>6</v>
      </c>
      <c r="AJ1619">
        <v>15</v>
      </c>
      <c r="AK1619">
        <v>0.28571000000000002</v>
      </c>
      <c r="AL1619">
        <v>9</v>
      </c>
      <c r="AM1619">
        <v>8</v>
      </c>
      <c r="AN1619">
        <v>20</v>
      </c>
      <c r="AO1619">
        <v>22</v>
      </c>
      <c r="AP1619">
        <v>19</v>
      </c>
      <c r="AQ1619">
        <v>6</v>
      </c>
      <c r="AR1619" t="s">
        <v>1467</v>
      </c>
      <c r="AS1619" t="s">
        <v>1468</v>
      </c>
      <c r="AT1619">
        <v>1.0089999999999999</v>
      </c>
      <c r="AU1619" t="s">
        <v>65</v>
      </c>
      <c r="AV1619">
        <v>39</v>
      </c>
      <c r="AW1619">
        <v>28</v>
      </c>
      <c r="AX1619" t="s">
        <v>1469</v>
      </c>
      <c r="AY1619">
        <v>4.8059999999999999E-2</v>
      </c>
      <c r="AZ1619">
        <v>-2.5200000000000001E-3</v>
      </c>
      <c r="BA1619">
        <v>7.4700000000000001E-3</v>
      </c>
      <c r="BB1619">
        <v>-4.4999999999999999E-4</v>
      </c>
      <c r="BC1619">
        <v>0.15554000000000001</v>
      </c>
      <c r="BD1619">
        <v>1</v>
      </c>
      <c r="BE1619" t="s">
        <v>69</v>
      </c>
      <c r="BF1619">
        <v>-0.97499999999999998</v>
      </c>
      <c r="BG1619">
        <v>-2.1190000000000002</v>
      </c>
    </row>
    <row r="1620" spans="1:59">
      <c r="A1620">
        <v>0</v>
      </c>
      <c r="B1620">
        <v>6</v>
      </c>
      <c r="C1620">
        <v>0</v>
      </c>
      <c r="D1620" t="s">
        <v>25022</v>
      </c>
      <c r="E1620">
        <v>943</v>
      </c>
      <c r="F1620" t="s">
        <v>5910</v>
      </c>
      <c r="G1620" t="s">
        <v>57</v>
      </c>
      <c r="H1620">
        <v>982319</v>
      </c>
      <c r="I1620">
        <v>983233</v>
      </c>
      <c r="J1620" t="s">
        <v>5350</v>
      </c>
      <c r="K1620">
        <v>305</v>
      </c>
      <c r="L1620" t="s">
        <v>5228</v>
      </c>
      <c r="M1620">
        <v>43</v>
      </c>
      <c r="N1620" t="str">
        <f>HYPERLINK("Gene943-zp_tree_all.dnd", "Gene943-tree")</f>
        <v>Gene943-tree</v>
      </c>
      <c r="O1620">
        <v>4</v>
      </c>
      <c r="P1620">
        <v>8</v>
      </c>
      <c r="Q1620">
        <v>4</v>
      </c>
      <c r="R1620">
        <v>8</v>
      </c>
      <c r="S1620">
        <v>0.66666999999999998</v>
      </c>
      <c r="T1620" t="s">
        <v>61</v>
      </c>
      <c r="U1620" t="s">
        <v>136</v>
      </c>
      <c r="V1620" t="s">
        <v>62</v>
      </c>
      <c r="W1620" t="s">
        <v>62</v>
      </c>
      <c r="X1620">
        <v>2</v>
      </c>
      <c r="Y1620">
        <v>6</v>
      </c>
      <c r="Z1620">
        <v>9</v>
      </c>
      <c r="AA1620">
        <v>0.4</v>
      </c>
      <c r="AB1620">
        <v>0</v>
      </c>
      <c r="AC1620">
        <v>0</v>
      </c>
      <c r="AD1620">
        <v>0</v>
      </c>
      <c r="AE1620">
        <v>2</v>
      </c>
      <c r="AF1620">
        <v>0</v>
      </c>
      <c r="AG1620">
        <v>5</v>
      </c>
      <c r="AH1620">
        <v>0</v>
      </c>
      <c r="AI1620">
        <v>5</v>
      </c>
      <c r="AJ1620">
        <v>7</v>
      </c>
      <c r="AK1620">
        <v>0.41666999999999998</v>
      </c>
      <c r="AL1620">
        <v>10</v>
      </c>
      <c r="AM1620">
        <v>7</v>
      </c>
      <c r="AN1620">
        <v>24</v>
      </c>
      <c r="AO1620">
        <v>12</v>
      </c>
      <c r="AP1620">
        <v>10</v>
      </c>
      <c r="AQ1620">
        <v>4</v>
      </c>
      <c r="AR1620" t="s">
        <v>5911</v>
      </c>
      <c r="AS1620" t="s">
        <v>5912</v>
      </c>
      <c r="AT1620">
        <v>0.19900000000000001</v>
      </c>
      <c r="AU1620" t="s">
        <v>65</v>
      </c>
      <c r="AV1620">
        <v>34</v>
      </c>
      <c r="AW1620">
        <v>16</v>
      </c>
      <c r="AX1620" t="s">
        <v>5913</v>
      </c>
      <c r="AY1620">
        <v>2.981E-2</v>
      </c>
      <c r="AZ1620">
        <v>-1.6100000000000001E-3</v>
      </c>
      <c r="BA1620">
        <v>4.5999999999999999E-3</v>
      </c>
      <c r="BB1620">
        <v>-3.3E-4</v>
      </c>
      <c r="BC1620">
        <v>0.15445999999999999</v>
      </c>
      <c r="BD1620">
        <v>1</v>
      </c>
      <c r="BE1620" t="s">
        <v>69</v>
      </c>
      <c r="BF1620">
        <v>-1.0209999999999999</v>
      </c>
      <c r="BG1620">
        <v>-1.845</v>
      </c>
    </row>
    <row r="1621" spans="1:59">
      <c r="A1621">
        <v>0</v>
      </c>
      <c r="B1621">
        <v>0</v>
      </c>
      <c r="C1621">
        <v>0</v>
      </c>
      <c r="D1621" t="s">
        <v>25022</v>
      </c>
      <c r="E1621">
        <v>2389</v>
      </c>
      <c r="F1621" t="s">
        <v>13904</v>
      </c>
      <c r="G1621" t="s">
        <v>62</v>
      </c>
      <c r="H1621">
        <v>2399155</v>
      </c>
      <c r="I1621">
        <v>2400069</v>
      </c>
      <c r="J1621" t="s">
        <v>13905</v>
      </c>
      <c r="K1621">
        <v>305</v>
      </c>
      <c r="L1621" t="s">
        <v>108</v>
      </c>
      <c r="M1621">
        <v>44</v>
      </c>
      <c r="N1621" t="str">
        <f>HYPERLINK("Gene2389-zp_tree_all.dnd", "Gene2389-tree")</f>
        <v>Gene2389-tree</v>
      </c>
      <c r="O1621">
        <v>7</v>
      </c>
      <c r="P1621">
        <v>5</v>
      </c>
      <c r="Q1621">
        <v>7</v>
      </c>
      <c r="R1621">
        <v>5</v>
      </c>
      <c r="S1621">
        <v>0.41666999999999998</v>
      </c>
      <c r="T1621" t="s">
        <v>152</v>
      </c>
      <c r="U1621" t="s">
        <v>199</v>
      </c>
      <c r="V1621" t="s">
        <v>62</v>
      </c>
      <c r="W1621" t="s">
        <v>62</v>
      </c>
      <c r="X1621">
        <v>0</v>
      </c>
      <c r="Y1621">
        <v>0</v>
      </c>
      <c r="Z1621">
        <v>9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</v>
      </c>
      <c r="AK1621">
        <v>0</v>
      </c>
      <c r="AL1621">
        <v>11</v>
      </c>
      <c r="AM1621">
        <v>6</v>
      </c>
      <c r="AN1621">
        <v>31</v>
      </c>
      <c r="AO1621">
        <v>7</v>
      </c>
      <c r="AP1621">
        <v>23</v>
      </c>
      <c r="AQ1621">
        <v>2</v>
      </c>
      <c r="AR1621" t="s">
        <v>13906</v>
      </c>
      <c r="AS1621" t="s">
        <v>13907</v>
      </c>
      <c r="AT1621">
        <v>0.36599999999999999</v>
      </c>
      <c r="AU1621" t="s">
        <v>65</v>
      </c>
      <c r="AV1621">
        <v>54</v>
      </c>
      <c r="AW1621">
        <v>9</v>
      </c>
      <c r="AX1621" t="s">
        <v>13908</v>
      </c>
      <c r="AY1621">
        <v>5.6599999999999998E-2</v>
      </c>
      <c r="AZ1621">
        <v>-4.5500000000000002E-3</v>
      </c>
      <c r="BA1621">
        <v>2.6800000000000001E-3</v>
      </c>
      <c r="BB1621">
        <v>-2.7E-4</v>
      </c>
      <c r="BC1621">
        <v>4.7280000000000003E-2</v>
      </c>
      <c r="BD1621">
        <v>1</v>
      </c>
      <c r="BE1621" t="s">
        <v>69</v>
      </c>
      <c r="BF1621">
        <v>-1.159</v>
      </c>
      <c r="BG1621">
        <v>-2.0019999999999998</v>
      </c>
    </row>
    <row r="1622" spans="1:59">
      <c r="A1622">
        <v>0</v>
      </c>
      <c r="B1622">
        <v>2</v>
      </c>
      <c r="C1622">
        <v>0</v>
      </c>
      <c r="D1622" t="s">
        <v>25022</v>
      </c>
      <c r="E1622">
        <v>1184</v>
      </c>
      <c r="F1622" t="s">
        <v>7450</v>
      </c>
      <c r="G1622" t="s">
        <v>57</v>
      </c>
      <c r="H1622">
        <v>1224533</v>
      </c>
      <c r="I1622">
        <v>1225447</v>
      </c>
      <c r="J1622" t="s">
        <v>7382</v>
      </c>
      <c r="K1622">
        <v>305</v>
      </c>
      <c r="L1622" t="s">
        <v>7451</v>
      </c>
      <c r="M1622">
        <v>43</v>
      </c>
      <c r="N1622" t="str">
        <f>HYPERLINK("Gene1184-zp_tree_all.dnd", "Gene1184-tree")</f>
        <v>Gene1184-tree</v>
      </c>
      <c r="O1622">
        <v>10</v>
      </c>
      <c r="P1622">
        <v>3</v>
      </c>
      <c r="Q1622">
        <v>10</v>
      </c>
      <c r="R1622">
        <v>3</v>
      </c>
      <c r="S1622">
        <v>0.23077</v>
      </c>
      <c r="T1622" t="s">
        <v>117</v>
      </c>
      <c r="U1622" t="s">
        <v>324</v>
      </c>
      <c r="V1622" t="s">
        <v>62</v>
      </c>
      <c r="W1622" t="s">
        <v>62</v>
      </c>
      <c r="X1622">
        <v>1</v>
      </c>
      <c r="Y1622">
        <v>2</v>
      </c>
      <c r="Z1622">
        <v>5</v>
      </c>
      <c r="AA1622">
        <v>0.28571000000000002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3</v>
      </c>
      <c r="AK1622">
        <v>0</v>
      </c>
      <c r="AL1622">
        <v>11</v>
      </c>
      <c r="AM1622">
        <v>9</v>
      </c>
      <c r="AN1622">
        <v>51</v>
      </c>
      <c r="AO1622">
        <v>3</v>
      </c>
      <c r="AP1622">
        <v>50</v>
      </c>
      <c r="AQ1622">
        <v>4</v>
      </c>
      <c r="AR1622" t="s">
        <v>7452</v>
      </c>
      <c r="AS1622" t="s">
        <v>7453</v>
      </c>
      <c r="AT1622">
        <v>7.5999999999999998E-2</v>
      </c>
      <c r="AU1622" t="s">
        <v>65</v>
      </c>
      <c r="AV1622">
        <v>101</v>
      </c>
      <c r="AW1622">
        <v>7</v>
      </c>
      <c r="AX1622" t="s">
        <v>7454</v>
      </c>
      <c r="AY1622">
        <v>0.10796</v>
      </c>
      <c r="AZ1622">
        <v>-7.4900000000000001E-3</v>
      </c>
      <c r="BA1622">
        <v>2.1900000000000001E-3</v>
      </c>
      <c r="BB1622">
        <v>-3.1E-4</v>
      </c>
      <c r="BC1622">
        <v>2.027E-2</v>
      </c>
      <c r="BD1622">
        <v>1</v>
      </c>
      <c r="BE1622" t="s">
        <v>69</v>
      </c>
      <c r="BF1622">
        <v>-0.91</v>
      </c>
      <c r="BG1622">
        <v>-0.41799999999999998</v>
      </c>
    </row>
    <row r="1623" spans="1:59">
      <c r="A1623">
        <v>0</v>
      </c>
      <c r="B1623">
        <v>2</v>
      </c>
      <c r="C1623">
        <v>0</v>
      </c>
      <c r="D1623" t="s">
        <v>25022</v>
      </c>
      <c r="E1623">
        <v>1548</v>
      </c>
      <c r="F1623" t="s">
        <v>9676</v>
      </c>
      <c r="G1623" t="s">
        <v>57</v>
      </c>
      <c r="H1623">
        <v>1559309</v>
      </c>
      <c r="I1623">
        <v>1560223</v>
      </c>
      <c r="J1623" t="s">
        <v>9677</v>
      </c>
      <c r="K1623">
        <v>305</v>
      </c>
      <c r="L1623" t="s">
        <v>59</v>
      </c>
      <c r="M1623">
        <v>49</v>
      </c>
      <c r="N1623" t="str">
        <f>HYPERLINK("Gene1548-zp_tree_all.dnd", "Gene1548-tree")</f>
        <v>Gene1548-tree</v>
      </c>
      <c r="O1623">
        <v>16</v>
      </c>
      <c r="P1623">
        <v>3</v>
      </c>
      <c r="Q1623">
        <v>16</v>
      </c>
      <c r="R1623">
        <v>3</v>
      </c>
      <c r="S1623">
        <v>0.15789</v>
      </c>
      <c r="T1623" t="s">
        <v>60</v>
      </c>
      <c r="U1623" t="s">
        <v>324</v>
      </c>
      <c r="V1623" t="s">
        <v>62</v>
      </c>
      <c r="W1623" t="s">
        <v>62</v>
      </c>
      <c r="X1623">
        <v>1</v>
      </c>
      <c r="Y1623">
        <v>2</v>
      </c>
      <c r="Z1623">
        <v>3</v>
      </c>
      <c r="AA1623">
        <v>0.4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3</v>
      </c>
      <c r="AK1623">
        <v>0</v>
      </c>
      <c r="AL1623">
        <v>14</v>
      </c>
      <c r="AM1623">
        <v>10</v>
      </c>
      <c r="AN1623">
        <v>38</v>
      </c>
      <c r="AO1623">
        <v>3</v>
      </c>
      <c r="AP1623">
        <v>52</v>
      </c>
      <c r="AQ1623">
        <v>2</v>
      </c>
      <c r="AR1623" t="s">
        <v>9678</v>
      </c>
      <c r="AS1623" t="s">
        <v>9679</v>
      </c>
      <c r="AT1623">
        <v>0.26900000000000002</v>
      </c>
      <c r="AU1623" t="s">
        <v>65</v>
      </c>
      <c r="AV1623">
        <v>90</v>
      </c>
      <c r="AW1623">
        <v>5</v>
      </c>
      <c r="AX1623" t="s">
        <v>9680</v>
      </c>
      <c r="AY1623">
        <v>8.3040000000000003E-2</v>
      </c>
      <c r="AZ1623">
        <v>-5.2500000000000003E-3</v>
      </c>
      <c r="BA1623">
        <v>1.4E-3</v>
      </c>
      <c r="BB1623">
        <v>-1E-4</v>
      </c>
      <c r="BC1623">
        <v>1.6830000000000001E-2</v>
      </c>
      <c r="BD1623">
        <v>1</v>
      </c>
      <c r="BE1623" t="s">
        <v>69</v>
      </c>
      <c r="BF1623">
        <v>-1.619</v>
      </c>
      <c r="BG1623">
        <v>-0.56200000000000006</v>
      </c>
    </row>
    <row r="1624" spans="1:59">
      <c r="A1624">
        <v>0</v>
      </c>
      <c r="B1624">
        <v>0</v>
      </c>
      <c r="C1624">
        <v>0</v>
      </c>
      <c r="D1624" t="s">
        <v>25022</v>
      </c>
      <c r="E1624">
        <v>1182</v>
      </c>
      <c r="F1624" t="s">
        <v>7435</v>
      </c>
      <c r="G1624" t="s">
        <v>57</v>
      </c>
      <c r="H1624">
        <v>1222533</v>
      </c>
      <c r="I1624">
        <v>1223447</v>
      </c>
      <c r="J1624" t="s">
        <v>7395</v>
      </c>
      <c r="K1624">
        <v>305</v>
      </c>
      <c r="L1624" t="s">
        <v>7436</v>
      </c>
      <c r="M1624">
        <v>46</v>
      </c>
      <c r="N1624" t="str">
        <f>HYPERLINK("Gene1182-zp_tree_all.dnd", "Gene1182-tree")</f>
        <v>Gene1182-tree</v>
      </c>
      <c r="O1624">
        <v>16</v>
      </c>
      <c r="P1624">
        <v>4</v>
      </c>
      <c r="Q1624">
        <v>16</v>
      </c>
      <c r="R1624">
        <v>4</v>
      </c>
      <c r="S1624">
        <v>0.2</v>
      </c>
      <c r="T1624" t="s">
        <v>60</v>
      </c>
      <c r="U1624" t="s">
        <v>61</v>
      </c>
      <c r="V1624" t="s">
        <v>62</v>
      </c>
      <c r="W1624" t="s">
        <v>62</v>
      </c>
      <c r="X1624">
        <v>0</v>
      </c>
      <c r="Y1624">
        <v>0</v>
      </c>
      <c r="Z1624">
        <v>7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5</v>
      </c>
      <c r="AK1624">
        <v>0</v>
      </c>
      <c r="AL1624">
        <v>15</v>
      </c>
      <c r="AM1624">
        <v>16</v>
      </c>
      <c r="AN1624">
        <v>56</v>
      </c>
      <c r="AO1624">
        <v>5</v>
      </c>
      <c r="AP1624">
        <v>68</v>
      </c>
      <c r="AQ1624">
        <v>2</v>
      </c>
      <c r="AR1624" t="s">
        <v>7437</v>
      </c>
      <c r="AS1624" t="s">
        <v>7438</v>
      </c>
      <c r="AT1624">
        <v>0.58299999999999996</v>
      </c>
      <c r="AU1624" t="s">
        <v>65</v>
      </c>
      <c r="AV1624">
        <v>124</v>
      </c>
      <c r="AW1624">
        <v>7</v>
      </c>
      <c r="AX1624" t="s">
        <v>7439</v>
      </c>
      <c r="AY1624">
        <v>0.1031</v>
      </c>
      <c r="AZ1624">
        <v>-4.3600000000000002E-3</v>
      </c>
      <c r="BA1624">
        <v>1.5E-3</v>
      </c>
      <c r="BB1624">
        <v>-9.0000000000000006E-5</v>
      </c>
      <c r="BC1624">
        <v>1.4579999999999999E-2</v>
      </c>
      <c r="BD1624">
        <v>1</v>
      </c>
      <c r="BE1624" t="s">
        <v>69</v>
      </c>
      <c r="BF1624">
        <v>-1.24</v>
      </c>
      <c r="BG1624">
        <v>-1.024</v>
      </c>
    </row>
    <row r="1625" spans="1:59">
      <c r="A1625">
        <v>0</v>
      </c>
      <c r="B1625">
        <v>2</v>
      </c>
      <c r="C1625">
        <v>0</v>
      </c>
      <c r="D1625" t="s">
        <v>25022</v>
      </c>
      <c r="E1625">
        <v>3193</v>
      </c>
      <c r="F1625" t="s">
        <v>18585</v>
      </c>
      <c r="G1625" t="s">
        <v>62</v>
      </c>
      <c r="H1625">
        <v>3145041</v>
      </c>
      <c r="I1625">
        <v>3145958</v>
      </c>
      <c r="J1625" t="s">
        <v>18586</v>
      </c>
      <c r="K1625">
        <v>306</v>
      </c>
      <c r="L1625" t="s">
        <v>108</v>
      </c>
      <c r="M1625">
        <v>44</v>
      </c>
      <c r="N1625" t="str">
        <f>HYPERLINK("Gene3193-zp_tree_all.dnd", "Gene3193-tree")</f>
        <v>Gene3193-tree</v>
      </c>
      <c r="O1625">
        <v>6</v>
      </c>
      <c r="P1625">
        <v>9</v>
      </c>
      <c r="Q1625">
        <v>6</v>
      </c>
      <c r="R1625">
        <v>9</v>
      </c>
      <c r="S1625">
        <v>0.6</v>
      </c>
      <c r="T1625" t="s">
        <v>90</v>
      </c>
      <c r="U1625" t="s">
        <v>135</v>
      </c>
      <c r="V1625" t="s">
        <v>62</v>
      </c>
      <c r="W1625" t="s">
        <v>62</v>
      </c>
      <c r="X1625">
        <v>1</v>
      </c>
      <c r="Y1625">
        <v>2</v>
      </c>
      <c r="Z1625">
        <v>16</v>
      </c>
      <c r="AA1625">
        <v>0.11111</v>
      </c>
      <c r="AB1625">
        <v>0</v>
      </c>
      <c r="AC1625">
        <v>0</v>
      </c>
      <c r="AD1625">
        <v>0</v>
      </c>
      <c r="AE1625">
        <v>2</v>
      </c>
      <c r="AF1625">
        <v>0</v>
      </c>
      <c r="AG1625">
        <v>0</v>
      </c>
      <c r="AH1625">
        <v>0</v>
      </c>
      <c r="AI1625">
        <v>0</v>
      </c>
      <c r="AJ1625">
        <v>16</v>
      </c>
      <c r="AK1625">
        <v>0</v>
      </c>
      <c r="AL1625">
        <v>12</v>
      </c>
      <c r="AM1625">
        <v>5</v>
      </c>
      <c r="AN1625">
        <v>16</v>
      </c>
      <c r="AO1625">
        <v>16</v>
      </c>
      <c r="AP1625">
        <v>4</v>
      </c>
      <c r="AQ1625">
        <v>2</v>
      </c>
      <c r="AR1625" t="s">
        <v>18587</v>
      </c>
      <c r="AS1625" t="s">
        <v>18588</v>
      </c>
      <c r="AT1625">
        <v>0.751</v>
      </c>
      <c r="AU1625" t="s">
        <v>65</v>
      </c>
      <c r="AV1625">
        <v>20</v>
      </c>
      <c r="AW1625">
        <v>18</v>
      </c>
      <c r="AX1625" t="s">
        <v>18589</v>
      </c>
      <c r="AY1625">
        <v>1.489E-2</v>
      </c>
      <c r="AZ1625">
        <v>-1.0300000000000001E-3</v>
      </c>
      <c r="BA1625">
        <v>4.1000000000000003E-3</v>
      </c>
      <c r="BB1625">
        <v>-2.1000000000000001E-4</v>
      </c>
      <c r="BC1625">
        <v>0.27539000000000002</v>
      </c>
      <c r="BD1625">
        <v>1</v>
      </c>
      <c r="BE1625" t="s">
        <v>69</v>
      </c>
      <c r="BF1625">
        <v>-1.625</v>
      </c>
      <c r="BG1625">
        <v>-2.87</v>
      </c>
    </row>
    <row r="1626" spans="1:59">
      <c r="A1626">
        <v>0</v>
      </c>
      <c r="B1626">
        <v>21</v>
      </c>
      <c r="C1626">
        <v>1</v>
      </c>
      <c r="D1626" t="s">
        <v>25022</v>
      </c>
      <c r="E1626">
        <v>3498</v>
      </c>
      <c r="F1626" t="s">
        <v>20502</v>
      </c>
      <c r="G1626" t="s">
        <v>62</v>
      </c>
      <c r="H1626">
        <v>3460506</v>
      </c>
      <c r="I1626">
        <v>3461423</v>
      </c>
      <c r="J1626" t="s">
        <v>20503</v>
      </c>
      <c r="K1626">
        <v>306</v>
      </c>
      <c r="L1626" t="s">
        <v>108</v>
      </c>
      <c r="M1626">
        <v>44</v>
      </c>
      <c r="N1626" t="str">
        <f>HYPERLINK("Gene3498-zp_tree_all.dnd", "Gene3498-tree")</f>
        <v>Gene3498-tree</v>
      </c>
      <c r="O1626">
        <v>4</v>
      </c>
      <c r="P1626">
        <v>10</v>
      </c>
      <c r="Q1626">
        <v>4</v>
      </c>
      <c r="R1626">
        <v>10</v>
      </c>
      <c r="S1626">
        <v>0.71428999999999998</v>
      </c>
      <c r="T1626" t="s">
        <v>61</v>
      </c>
      <c r="U1626" t="s">
        <v>117</v>
      </c>
      <c r="V1626" t="s">
        <v>62</v>
      </c>
      <c r="W1626" t="s">
        <v>62</v>
      </c>
      <c r="X1626">
        <v>8</v>
      </c>
      <c r="Y1626">
        <v>22</v>
      </c>
      <c r="Z1626">
        <v>7</v>
      </c>
      <c r="AA1626">
        <v>0.75861999999999996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12</v>
      </c>
      <c r="AH1626">
        <v>2</v>
      </c>
      <c r="AI1626">
        <v>14</v>
      </c>
      <c r="AJ1626">
        <v>8</v>
      </c>
      <c r="AK1626">
        <v>0.63636000000000004</v>
      </c>
      <c r="AL1626">
        <v>13</v>
      </c>
      <c r="AM1626">
        <v>8</v>
      </c>
      <c r="AN1626">
        <v>37</v>
      </c>
      <c r="AO1626">
        <v>22</v>
      </c>
      <c r="AP1626">
        <v>17</v>
      </c>
      <c r="AQ1626">
        <v>7</v>
      </c>
      <c r="AR1626" t="s">
        <v>20504</v>
      </c>
      <c r="AS1626" t="s">
        <v>20505</v>
      </c>
      <c r="AT1626">
        <v>0.69699999999999995</v>
      </c>
      <c r="AU1626" t="s">
        <v>65</v>
      </c>
      <c r="AV1626">
        <v>54</v>
      </c>
      <c r="AW1626">
        <v>29</v>
      </c>
      <c r="AX1626" t="s">
        <v>20506</v>
      </c>
      <c r="AY1626">
        <v>4.1770000000000002E-2</v>
      </c>
      <c r="AZ1626">
        <v>-1.6199999999999999E-3</v>
      </c>
      <c r="BA1626">
        <v>5.79E-3</v>
      </c>
      <c r="BB1626">
        <v>-2.5999999999999998E-4</v>
      </c>
      <c r="BC1626">
        <v>0.13854</v>
      </c>
      <c r="BD1626">
        <v>1</v>
      </c>
      <c r="BE1626" t="s">
        <v>69</v>
      </c>
      <c r="BF1626">
        <v>-0.88500000000000001</v>
      </c>
      <c r="BG1626">
        <v>-0.69899999999999995</v>
      </c>
    </row>
    <row r="1627" spans="1:59">
      <c r="A1627">
        <v>0</v>
      </c>
      <c r="B1627">
        <v>14</v>
      </c>
      <c r="C1627">
        <v>3</v>
      </c>
      <c r="D1627" t="s">
        <v>25022</v>
      </c>
      <c r="E1627">
        <v>252</v>
      </c>
      <c r="F1627" t="s">
        <v>1716</v>
      </c>
      <c r="G1627" t="s">
        <v>57</v>
      </c>
      <c r="H1627">
        <v>275838</v>
      </c>
      <c r="I1627">
        <v>276755</v>
      </c>
      <c r="J1627" t="s">
        <v>1717</v>
      </c>
      <c r="K1627">
        <v>306</v>
      </c>
      <c r="L1627" t="s">
        <v>1392</v>
      </c>
      <c r="M1627">
        <v>43</v>
      </c>
      <c r="N1627" t="str">
        <f>HYPERLINK("Gene252-zp_tree_all.dnd", "Gene252-tree")</f>
        <v>Gene252-tree</v>
      </c>
      <c r="O1627">
        <v>3</v>
      </c>
      <c r="P1627">
        <v>10</v>
      </c>
      <c r="Q1627">
        <v>3</v>
      </c>
      <c r="R1627">
        <v>10</v>
      </c>
      <c r="S1627">
        <v>0.76922999999999997</v>
      </c>
      <c r="T1627" t="s">
        <v>324</v>
      </c>
      <c r="U1627" t="s">
        <v>117</v>
      </c>
      <c r="V1627" t="s">
        <v>62</v>
      </c>
      <c r="W1627" t="s">
        <v>62</v>
      </c>
      <c r="X1627">
        <v>7</v>
      </c>
      <c r="Y1627">
        <v>17</v>
      </c>
      <c r="Z1627">
        <v>17</v>
      </c>
      <c r="AA1627">
        <v>0.5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</v>
      </c>
      <c r="AH1627">
        <v>0</v>
      </c>
      <c r="AI1627">
        <v>2</v>
      </c>
      <c r="AJ1627">
        <v>15</v>
      </c>
      <c r="AK1627">
        <v>0.11765</v>
      </c>
      <c r="AL1627">
        <v>10</v>
      </c>
      <c r="AM1627">
        <v>10</v>
      </c>
      <c r="AN1627">
        <v>27</v>
      </c>
      <c r="AO1627">
        <v>15</v>
      </c>
      <c r="AP1627">
        <v>47</v>
      </c>
      <c r="AQ1627">
        <v>20</v>
      </c>
      <c r="AR1627" t="s">
        <v>1718</v>
      </c>
      <c r="AS1627" t="s">
        <v>1719</v>
      </c>
      <c r="AT1627">
        <v>0.47099999999999997</v>
      </c>
      <c r="AU1627" t="s">
        <v>65</v>
      </c>
      <c r="AV1627">
        <v>74</v>
      </c>
      <c r="AW1627">
        <v>35</v>
      </c>
      <c r="AX1627" t="s">
        <v>1720</v>
      </c>
      <c r="AY1627">
        <v>9.3259999999999996E-2</v>
      </c>
      <c r="AZ1627">
        <v>-4.8399999999999997E-3</v>
      </c>
      <c r="BA1627">
        <v>1.078E-2</v>
      </c>
      <c r="BB1627">
        <v>-4.4999999999999999E-4</v>
      </c>
      <c r="BC1627">
        <v>0.11563</v>
      </c>
      <c r="BD1627">
        <v>1</v>
      </c>
      <c r="BE1627" t="s">
        <v>69</v>
      </c>
      <c r="BF1627">
        <v>-0.42</v>
      </c>
      <c r="BG1627">
        <v>-0.35699999999999998</v>
      </c>
    </row>
    <row r="1628" spans="1:59">
      <c r="A1628">
        <v>0</v>
      </c>
      <c r="B1628">
        <v>4</v>
      </c>
      <c r="C1628">
        <v>0</v>
      </c>
      <c r="D1628" t="s">
        <v>25022</v>
      </c>
      <c r="E1628">
        <v>160</v>
      </c>
      <c r="F1628" t="s">
        <v>1130</v>
      </c>
      <c r="G1628" t="s">
        <v>57</v>
      </c>
      <c r="H1628">
        <v>178665</v>
      </c>
      <c r="I1628">
        <v>179582</v>
      </c>
      <c r="J1628" t="s">
        <v>1131</v>
      </c>
      <c r="K1628">
        <v>306</v>
      </c>
      <c r="L1628" t="s">
        <v>108</v>
      </c>
      <c r="M1628">
        <v>44</v>
      </c>
      <c r="N1628" t="str">
        <f>HYPERLINK("Gene160-zp_tree_all.dnd", "Gene160-tree")</f>
        <v>Gene160-tree</v>
      </c>
      <c r="O1628">
        <v>9</v>
      </c>
      <c r="P1628">
        <v>5</v>
      </c>
      <c r="Q1628">
        <v>9</v>
      </c>
      <c r="R1628">
        <v>5</v>
      </c>
      <c r="S1628">
        <v>0.35714000000000001</v>
      </c>
      <c r="T1628" t="s">
        <v>135</v>
      </c>
      <c r="U1628" t="s">
        <v>199</v>
      </c>
      <c r="V1628" t="s">
        <v>62</v>
      </c>
      <c r="W1628" t="s">
        <v>62</v>
      </c>
      <c r="X1628">
        <v>2</v>
      </c>
      <c r="Y1628">
        <v>4</v>
      </c>
      <c r="Z1628">
        <v>6</v>
      </c>
      <c r="AA1628">
        <v>0.4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</v>
      </c>
      <c r="AH1628">
        <v>0</v>
      </c>
      <c r="AI1628">
        <v>2</v>
      </c>
      <c r="AJ1628">
        <v>5</v>
      </c>
      <c r="AK1628">
        <v>0.28571000000000002</v>
      </c>
      <c r="AL1628">
        <v>13</v>
      </c>
      <c r="AM1628">
        <v>7</v>
      </c>
      <c r="AN1628">
        <v>43</v>
      </c>
      <c r="AO1628">
        <v>8</v>
      </c>
      <c r="AP1628">
        <v>15</v>
      </c>
      <c r="AQ1628">
        <v>3</v>
      </c>
      <c r="AR1628" t="s">
        <v>1132</v>
      </c>
      <c r="AS1628" t="s">
        <v>1133</v>
      </c>
      <c r="AT1628">
        <v>5.8000000000000003E-2</v>
      </c>
      <c r="AU1628" t="s">
        <v>65</v>
      </c>
      <c r="AV1628">
        <v>58</v>
      </c>
      <c r="AW1628">
        <v>11</v>
      </c>
      <c r="AX1628" t="s">
        <v>1134</v>
      </c>
      <c r="AY1628">
        <v>4.1910000000000003E-2</v>
      </c>
      <c r="AZ1628">
        <v>-2.2599999999999999E-3</v>
      </c>
      <c r="BA1628">
        <v>2.81E-3</v>
      </c>
      <c r="BB1628">
        <v>-2.0000000000000001E-4</v>
      </c>
      <c r="BC1628">
        <v>6.6960000000000006E-2</v>
      </c>
      <c r="BD1628">
        <v>1</v>
      </c>
      <c r="BE1628" t="s">
        <v>69</v>
      </c>
      <c r="BF1628">
        <v>-1.196</v>
      </c>
      <c r="BG1628">
        <v>-2.871</v>
      </c>
    </row>
    <row r="1629" spans="1:59">
      <c r="A1629">
        <v>3</v>
      </c>
      <c r="B1629">
        <v>1</v>
      </c>
      <c r="C1629">
        <v>4</v>
      </c>
      <c r="D1629" t="s">
        <v>25022</v>
      </c>
      <c r="E1629">
        <v>2545</v>
      </c>
      <c r="F1629" t="s">
        <v>14870</v>
      </c>
      <c r="G1629" t="s">
        <v>62</v>
      </c>
      <c r="H1629">
        <v>2536693</v>
      </c>
      <c r="I1629">
        <v>2537613</v>
      </c>
      <c r="J1629" t="s">
        <v>14871</v>
      </c>
      <c r="K1629">
        <v>307</v>
      </c>
      <c r="L1629" t="s">
        <v>108</v>
      </c>
      <c r="M1629">
        <v>44</v>
      </c>
      <c r="N1629" t="str">
        <f>HYPERLINK("Gene2545-zp_tree_all.dnd", "Gene2545-tree")</f>
        <v>Gene2545-tree</v>
      </c>
      <c r="O1629">
        <v>8</v>
      </c>
      <c r="P1629">
        <v>26</v>
      </c>
      <c r="Q1629">
        <v>8</v>
      </c>
      <c r="R1629">
        <v>7</v>
      </c>
      <c r="S1629">
        <v>0.46666999999999997</v>
      </c>
      <c r="T1629" t="s">
        <v>136</v>
      </c>
      <c r="U1629" t="s">
        <v>191</v>
      </c>
      <c r="V1629">
        <v>3.9380000000000002</v>
      </c>
      <c r="W1629" t="s">
        <v>65</v>
      </c>
      <c r="X1629">
        <v>2</v>
      </c>
      <c r="Y1629">
        <v>8</v>
      </c>
      <c r="Z1629">
        <v>6</v>
      </c>
      <c r="AA1629">
        <v>0.57142999999999999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2</v>
      </c>
      <c r="AI1629">
        <v>2</v>
      </c>
      <c r="AJ1629">
        <v>5</v>
      </c>
      <c r="AK1629">
        <v>0.28571000000000002</v>
      </c>
      <c r="AL1629">
        <v>11</v>
      </c>
      <c r="AM1629">
        <v>11</v>
      </c>
      <c r="AN1629">
        <v>17</v>
      </c>
      <c r="AO1629">
        <v>6</v>
      </c>
      <c r="AP1629">
        <v>21</v>
      </c>
      <c r="AQ1629">
        <v>9</v>
      </c>
      <c r="AR1629" t="s">
        <v>14872</v>
      </c>
      <c r="AS1629" t="s">
        <v>14873</v>
      </c>
      <c r="AT1629">
        <v>0.36399999999999999</v>
      </c>
      <c r="AU1629" t="s">
        <v>65</v>
      </c>
      <c r="AV1629">
        <v>38</v>
      </c>
      <c r="AW1629">
        <v>15</v>
      </c>
      <c r="AX1629" t="s">
        <v>14874</v>
      </c>
      <c r="AY1629">
        <v>3.8789999999999998E-2</v>
      </c>
      <c r="AZ1629">
        <v>-1.3799999999999999E-3</v>
      </c>
      <c r="BA1629">
        <v>4.1000000000000003E-3</v>
      </c>
      <c r="BB1629">
        <v>-1.9000000000000001E-4</v>
      </c>
      <c r="BC1629">
        <v>0.10580000000000001</v>
      </c>
      <c r="BD1629">
        <v>1</v>
      </c>
      <c r="BE1629" t="s">
        <v>69</v>
      </c>
      <c r="BF1629">
        <v>-0.68400000000000005</v>
      </c>
      <c r="BG1629">
        <v>-0.374</v>
      </c>
    </row>
    <row r="1630" spans="1:59">
      <c r="A1630">
        <v>0</v>
      </c>
      <c r="B1630">
        <v>12</v>
      </c>
      <c r="C1630">
        <v>3</v>
      </c>
      <c r="D1630" t="s">
        <v>25022</v>
      </c>
      <c r="E1630">
        <v>257</v>
      </c>
      <c r="F1630" t="s">
        <v>1751</v>
      </c>
      <c r="G1630" t="s">
        <v>57</v>
      </c>
      <c r="H1630">
        <v>280086</v>
      </c>
      <c r="I1630">
        <v>281006</v>
      </c>
      <c r="J1630" t="s">
        <v>1752</v>
      </c>
      <c r="K1630">
        <v>307</v>
      </c>
      <c r="L1630" t="s">
        <v>1753</v>
      </c>
      <c r="M1630">
        <v>44</v>
      </c>
      <c r="N1630" t="str">
        <f>HYPERLINK("Gene257-zp_tree_all.dnd", "Gene257-tree")</f>
        <v>Gene257-tree</v>
      </c>
      <c r="O1630">
        <v>2</v>
      </c>
      <c r="P1630">
        <v>11</v>
      </c>
      <c r="Q1630">
        <v>2</v>
      </c>
      <c r="R1630">
        <v>11</v>
      </c>
      <c r="S1630">
        <v>0.84614999999999996</v>
      </c>
      <c r="T1630" t="s">
        <v>81</v>
      </c>
      <c r="U1630" t="s">
        <v>73</v>
      </c>
      <c r="V1630">
        <v>515075683.63</v>
      </c>
      <c r="W1630" t="s">
        <v>267</v>
      </c>
      <c r="X1630">
        <v>6</v>
      </c>
      <c r="Y1630">
        <v>15</v>
      </c>
      <c r="Z1630">
        <v>18</v>
      </c>
      <c r="AA1630">
        <v>0.45455000000000001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4</v>
      </c>
      <c r="AH1630">
        <v>4</v>
      </c>
      <c r="AI1630">
        <v>8</v>
      </c>
      <c r="AJ1630">
        <v>18</v>
      </c>
      <c r="AK1630">
        <v>0.30769000000000002</v>
      </c>
      <c r="AL1630">
        <v>13</v>
      </c>
      <c r="AM1630">
        <v>10</v>
      </c>
      <c r="AN1630">
        <v>50</v>
      </c>
      <c r="AO1630">
        <v>26</v>
      </c>
      <c r="AP1630">
        <v>50</v>
      </c>
      <c r="AQ1630">
        <v>7</v>
      </c>
      <c r="AR1630" t="s">
        <v>1754</v>
      </c>
      <c r="AS1630" t="s">
        <v>1755</v>
      </c>
      <c r="AT1630">
        <v>0.66900000000000004</v>
      </c>
      <c r="AU1630" t="s">
        <v>65</v>
      </c>
      <c r="AV1630">
        <v>100</v>
      </c>
      <c r="AW1630">
        <v>33</v>
      </c>
      <c r="AX1630" t="s">
        <v>1756</v>
      </c>
      <c r="AY1630">
        <v>0.11090999999999999</v>
      </c>
      <c r="AZ1630">
        <v>-7.0600000000000003E-3</v>
      </c>
      <c r="BA1630">
        <v>8.2000000000000007E-3</v>
      </c>
      <c r="BB1630">
        <v>-5.2999999999999998E-4</v>
      </c>
      <c r="BC1630">
        <v>7.3899999999999993E-2</v>
      </c>
      <c r="BD1630">
        <v>1</v>
      </c>
      <c r="BE1630" t="s">
        <v>69</v>
      </c>
      <c r="BF1630">
        <v>-0.98699999999999999</v>
      </c>
      <c r="BG1630">
        <v>-1.337</v>
      </c>
    </row>
    <row r="1631" spans="1:59">
      <c r="A1631">
        <v>0</v>
      </c>
      <c r="B1631">
        <v>7</v>
      </c>
      <c r="C1631">
        <v>0</v>
      </c>
      <c r="D1631" t="s">
        <v>25022</v>
      </c>
      <c r="E1631">
        <v>2838</v>
      </c>
      <c r="F1631" t="s">
        <v>16298</v>
      </c>
      <c r="G1631" t="s">
        <v>62</v>
      </c>
      <c r="H1631">
        <v>2786145</v>
      </c>
      <c r="I1631">
        <v>2787065</v>
      </c>
      <c r="J1631" t="s">
        <v>16299</v>
      </c>
      <c r="K1631">
        <v>307</v>
      </c>
      <c r="L1631" t="s">
        <v>108</v>
      </c>
      <c r="M1631">
        <v>44</v>
      </c>
      <c r="N1631" t="str">
        <f>HYPERLINK("Gene2838-zp_tree_all.dnd", "Gene2838-tree")</f>
        <v>Gene2838-tree</v>
      </c>
      <c r="O1631">
        <v>7</v>
      </c>
      <c r="P1631">
        <v>8</v>
      </c>
      <c r="Q1631">
        <v>7</v>
      </c>
      <c r="R1631">
        <v>8</v>
      </c>
      <c r="S1631">
        <v>0.53332999999999997</v>
      </c>
      <c r="T1631" t="s">
        <v>152</v>
      </c>
      <c r="U1631" t="s">
        <v>136</v>
      </c>
      <c r="V1631" t="s">
        <v>62</v>
      </c>
      <c r="W1631" t="s">
        <v>62</v>
      </c>
      <c r="X1631">
        <v>3</v>
      </c>
      <c r="Y1631">
        <v>7</v>
      </c>
      <c r="Z1631">
        <v>8</v>
      </c>
      <c r="AA1631">
        <v>0.46666999999999997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4</v>
      </c>
      <c r="AH1631">
        <v>0</v>
      </c>
      <c r="AI1631">
        <v>4</v>
      </c>
      <c r="AJ1631">
        <v>8</v>
      </c>
      <c r="AK1631">
        <v>0.33333000000000002</v>
      </c>
      <c r="AL1631">
        <v>15</v>
      </c>
      <c r="AM1631">
        <v>10</v>
      </c>
      <c r="AN1631">
        <v>43</v>
      </c>
      <c r="AO1631">
        <v>12</v>
      </c>
      <c r="AP1631">
        <v>26</v>
      </c>
      <c r="AQ1631">
        <v>3</v>
      </c>
      <c r="AR1631" t="s">
        <v>16300</v>
      </c>
      <c r="AS1631" t="s">
        <v>16301</v>
      </c>
      <c r="AT1631">
        <v>0.94699999999999995</v>
      </c>
      <c r="AU1631" t="s">
        <v>65</v>
      </c>
      <c r="AV1631">
        <v>69</v>
      </c>
      <c r="AW1631">
        <v>15</v>
      </c>
      <c r="AX1631" t="s">
        <v>16302</v>
      </c>
      <c r="AY1631">
        <v>5.697E-2</v>
      </c>
      <c r="AZ1631">
        <v>-2.4199999999999998E-3</v>
      </c>
      <c r="BA1631">
        <v>3.1900000000000001E-3</v>
      </c>
      <c r="BB1631">
        <v>-2.0000000000000001E-4</v>
      </c>
      <c r="BC1631">
        <v>5.6079999999999998E-2</v>
      </c>
      <c r="BD1631">
        <v>1</v>
      </c>
      <c r="BE1631" t="s">
        <v>69</v>
      </c>
      <c r="BF1631">
        <v>-0.22500000000000001</v>
      </c>
      <c r="BG1631">
        <v>-0.2</v>
      </c>
    </row>
    <row r="1632" spans="1:59">
      <c r="A1632">
        <v>0</v>
      </c>
      <c r="B1632">
        <v>2</v>
      </c>
      <c r="C1632">
        <v>0</v>
      </c>
      <c r="D1632" t="s">
        <v>25022</v>
      </c>
      <c r="E1632">
        <v>2486</v>
      </c>
      <c r="F1632" t="s">
        <v>14485</v>
      </c>
      <c r="G1632" t="s">
        <v>62</v>
      </c>
      <c r="H1632">
        <v>2478009</v>
      </c>
      <c r="I1632">
        <v>2478929</v>
      </c>
      <c r="J1632" t="s">
        <v>14486</v>
      </c>
      <c r="K1632">
        <v>307</v>
      </c>
      <c r="L1632" t="s">
        <v>108</v>
      </c>
      <c r="M1632">
        <v>44</v>
      </c>
      <c r="N1632" t="str">
        <f>HYPERLINK("Gene2486-zp_tree_all.dnd", "Gene2486-tree")</f>
        <v>Gene2486-tree</v>
      </c>
      <c r="O1632">
        <v>6</v>
      </c>
      <c r="P1632">
        <v>4</v>
      </c>
      <c r="Q1632">
        <v>6</v>
      </c>
      <c r="R1632">
        <v>4</v>
      </c>
      <c r="S1632">
        <v>0.4</v>
      </c>
      <c r="T1632" t="s">
        <v>90</v>
      </c>
      <c r="U1632" t="s">
        <v>61</v>
      </c>
      <c r="V1632" t="s">
        <v>62</v>
      </c>
      <c r="W1632" t="s">
        <v>62</v>
      </c>
      <c r="X1632">
        <v>1</v>
      </c>
      <c r="Y1632">
        <v>2</v>
      </c>
      <c r="Z1632">
        <v>3</v>
      </c>
      <c r="AA1632">
        <v>0.4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</v>
      </c>
      <c r="AH1632">
        <v>0</v>
      </c>
      <c r="AI1632">
        <v>2</v>
      </c>
      <c r="AJ1632">
        <v>3</v>
      </c>
      <c r="AK1632">
        <v>0.4</v>
      </c>
      <c r="AL1632">
        <v>8</v>
      </c>
      <c r="AM1632">
        <v>4</v>
      </c>
      <c r="AN1632">
        <v>21</v>
      </c>
      <c r="AO1632">
        <v>5</v>
      </c>
      <c r="AP1632">
        <v>13</v>
      </c>
      <c r="AQ1632">
        <v>0</v>
      </c>
      <c r="AR1632" t="s">
        <v>14487</v>
      </c>
      <c r="AS1632" t="s">
        <v>193</v>
      </c>
      <c r="AT1632">
        <v>1.488</v>
      </c>
      <c r="AU1632" t="s">
        <v>65</v>
      </c>
      <c r="AV1632">
        <v>34</v>
      </c>
      <c r="AW1632">
        <v>5</v>
      </c>
      <c r="AX1632" t="s">
        <v>14488</v>
      </c>
      <c r="AY1632">
        <v>3.9940000000000003E-2</v>
      </c>
      <c r="AZ1632">
        <v>-2.7299999999999998E-3</v>
      </c>
      <c r="BA1632">
        <v>1.3600000000000001E-3</v>
      </c>
      <c r="BB1632">
        <v>-1.9000000000000001E-4</v>
      </c>
      <c r="BC1632">
        <v>3.4110000000000001E-2</v>
      </c>
      <c r="BD1632">
        <v>1</v>
      </c>
      <c r="BE1632" t="s">
        <v>69</v>
      </c>
      <c r="BF1632">
        <v>-0.92200000000000004</v>
      </c>
      <c r="BG1632">
        <v>-1.57</v>
      </c>
    </row>
    <row r="1633" spans="1:59">
      <c r="A1633">
        <v>0</v>
      </c>
      <c r="B1633">
        <v>14</v>
      </c>
      <c r="C1633">
        <v>0</v>
      </c>
      <c r="D1633" t="s">
        <v>25022</v>
      </c>
      <c r="E1633">
        <v>3464</v>
      </c>
      <c r="F1633" t="s">
        <v>20283</v>
      </c>
      <c r="G1633" t="s">
        <v>62</v>
      </c>
      <c r="H1633">
        <v>3424238</v>
      </c>
      <c r="I1633">
        <v>3425161</v>
      </c>
      <c r="J1633" t="s">
        <v>20284</v>
      </c>
      <c r="K1633">
        <v>308</v>
      </c>
      <c r="L1633" t="s">
        <v>108</v>
      </c>
      <c r="M1633">
        <v>44</v>
      </c>
      <c r="N1633" t="str">
        <f>HYPERLINK("Gene3464-zp_tree_all.dnd", "Gene3464-tree")</f>
        <v>Gene3464-tree</v>
      </c>
      <c r="O1633">
        <v>3</v>
      </c>
      <c r="P1633">
        <v>10</v>
      </c>
      <c r="Q1633">
        <v>3</v>
      </c>
      <c r="R1633">
        <v>10</v>
      </c>
      <c r="S1633">
        <v>0.76922999999999997</v>
      </c>
      <c r="T1633" t="s">
        <v>324</v>
      </c>
      <c r="U1633" t="s">
        <v>117</v>
      </c>
      <c r="V1633" t="s">
        <v>62</v>
      </c>
      <c r="W1633" t="s">
        <v>62</v>
      </c>
      <c r="X1633">
        <v>7</v>
      </c>
      <c r="Y1633">
        <v>14</v>
      </c>
      <c r="Z1633">
        <v>16</v>
      </c>
      <c r="AA1633">
        <v>0.46666999999999997</v>
      </c>
      <c r="AB1633">
        <v>0</v>
      </c>
      <c r="AC1633">
        <v>0</v>
      </c>
      <c r="AD1633">
        <v>0</v>
      </c>
      <c r="AE1633">
        <v>2</v>
      </c>
      <c r="AF1633">
        <v>0</v>
      </c>
      <c r="AG1633">
        <v>4</v>
      </c>
      <c r="AH1633">
        <v>0</v>
      </c>
      <c r="AI1633">
        <v>4</v>
      </c>
      <c r="AJ1633">
        <v>15</v>
      </c>
      <c r="AK1633">
        <v>0.21052999999999999</v>
      </c>
      <c r="AL1633">
        <v>8</v>
      </c>
      <c r="AM1633">
        <v>9</v>
      </c>
      <c r="AN1633">
        <v>30</v>
      </c>
      <c r="AO1633">
        <v>16</v>
      </c>
      <c r="AP1633">
        <v>19</v>
      </c>
      <c r="AQ1633">
        <v>16</v>
      </c>
      <c r="AR1633" t="s">
        <v>20285</v>
      </c>
      <c r="AS1633" t="s">
        <v>20286</v>
      </c>
      <c r="AT1633">
        <v>1.2509999999999999</v>
      </c>
      <c r="AU1633" t="s">
        <v>65</v>
      </c>
      <c r="AV1633">
        <v>49</v>
      </c>
      <c r="AW1633">
        <v>32</v>
      </c>
      <c r="AX1633" t="s">
        <v>20287</v>
      </c>
      <c r="AY1633">
        <v>4.7199999999999999E-2</v>
      </c>
      <c r="AZ1633">
        <v>-2.0100000000000001E-3</v>
      </c>
      <c r="BA1633">
        <v>9.8300000000000002E-3</v>
      </c>
      <c r="BB1633">
        <v>-4.6999999999999999E-4</v>
      </c>
      <c r="BC1633">
        <v>0.20829</v>
      </c>
      <c r="BD1633">
        <v>1</v>
      </c>
      <c r="BE1633" t="s">
        <v>69</v>
      </c>
      <c r="BF1633">
        <v>-0.01</v>
      </c>
      <c r="BG1633">
        <v>-1.2609999999999999</v>
      </c>
    </row>
    <row r="1634" spans="1:59">
      <c r="A1634">
        <v>0</v>
      </c>
      <c r="B1634">
        <v>4</v>
      </c>
      <c r="C1634">
        <v>0</v>
      </c>
      <c r="D1634" t="s">
        <v>25022</v>
      </c>
      <c r="E1634">
        <v>457</v>
      </c>
      <c r="F1634" t="s">
        <v>3100</v>
      </c>
      <c r="G1634" t="s">
        <v>57</v>
      </c>
      <c r="H1634">
        <v>502908</v>
      </c>
      <c r="I1634">
        <v>503831</v>
      </c>
      <c r="J1634" t="s">
        <v>3101</v>
      </c>
      <c r="K1634">
        <v>308</v>
      </c>
      <c r="L1634" t="s">
        <v>108</v>
      </c>
      <c r="M1634">
        <v>44</v>
      </c>
      <c r="N1634" t="str">
        <f>HYPERLINK("Gene457-zp_tree_all.dnd", "Gene457-tree")</f>
        <v>Gene457-tree</v>
      </c>
      <c r="O1634">
        <v>7</v>
      </c>
      <c r="P1634">
        <v>9</v>
      </c>
      <c r="Q1634">
        <v>7</v>
      </c>
      <c r="R1634">
        <v>9</v>
      </c>
      <c r="S1634">
        <v>0.5625</v>
      </c>
      <c r="T1634" t="s">
        <v>152</v>
      </c>
      <c r="U1634" t="s">
        <v>135</v>
      </c>
      <c r="V1634" t="s">
        <v>62</v>
      </c>
      <c r="W1634" t="s">
        <v>62</v>
      </c>
      <c r="X1634">
        <v>2</v>
      </c>
      <c r="Y1634">
        <v>4</v>
      </c>
      <c r="Z1634">
        <v>13</v>
      </c>
      <c r="AA1634">
        <v>0.23529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12</v>
      </c>
      <c r="AK1634">
        <v>0</v>
      </c>
      <c r="AL1634">
        <v>13</v>
      </c>
      <c r="AM1634">
        <v>10</v>
      </c>
      <c r="AN1634">
        <v>41</v>
      </c>
      <c r="AO1634">
        <v>11</v>
      </c>
      <c r="AP1634">
        <v>35</v>
      </c>
      <c r="AQ1634">
        <v>6</v>
      </c>
      <c r="AR1634" t="s">
        <v>3102</v>
      </c>
      <c r="AS1634" t="s">
        <v>3103</v>
      </c>
      <c r="AT1634">
        <v>0.48099999999999998</v>
      </c>
      <c r="AU1634" t="s">
        <v>65</v>
      </c>
      <c r="AV1634">
        <v>76</v>
      </c>
      <c r="AW1634">
        <v>17</v>
      </c>
      <c r="AX1634" t="s">
        <v>3104</v>
      </c>
      <c r="AY1634">
        <v>6.3210000000000002E-2</v>
      </c>
      <c r="AZ1634">
        <v>-1.98E-3</v>
      </c>
      <c r="BA1634">
        <v>4.3600000000000002E-3</v>
      </c>
      <c r="BB1634">
        <v>-2.3000000000000001E-4</v>
      </c>
      <c r="BC1634">
        <v>6.9010000000000002E-2</v>
      </c>
      <c r="BD1634">
        <v>1</v>
      </c>
      <c r="BE1634" t="s">
        <v>69</v>
      </c>
      <c r="BF1634">
        <v>-1.073</v>
      </c>
      <c r="BG1634">
        <v>-1.359</v>
      </c>
    </row>
    <row r="1635" spans="1:59">
      <c r="A1635">
        <v>0</v>
      </c>
      <c r="B1635">
        <v>0</v>
      </c>
      <c r="C1635">
        <v>0</v>
      </c>
      <c r="D1635" t="s">
        <v>25022</v>
      </c>
      <c r="E1635">
        <v>246</v>
      </c>
      <c r="F1635" t="s">
        <v>1673</v>
      </c>
      <c r="G1635" t="s">
        <v>57</v>
      </c>
      <c r="H1635">
        <v>267890</v>
      </c>
      <c r="I1635">
        <v>268813</v>
      </c>
      <c r="J1635" t="s">
        <v>1674</v>
      </c>
      <c r="K1635">
        <v>308</v>
      </c>
      <c r="L1635" t="s">
        <v>108</v>
      </c>
      <c r="M1635">
        <v>44</v>
      </c>
      <c r="N1635" t="str">
        <f>HYPERLINK("Gene246-zp_tree_all.dnd", "Gene246-tree")</f>
        <v>Gene246-tree</v>
      </c>
      <c r="O1635">
        <v>11</v>
      </c>
      <c r="P1635">
        <v>3</v>
      </c>
      <c r="Q1635">
        <v>11</v>
      </c>
      <c r="R1635">
        <v>3</v>
      </c>
      <c r="S1635">
        <v>0.21429000000000001</v>
      </c>
      <c r="T1635" t="s">
        <v>73</v>
      </c>
      <c r="U1635" t="s">
        <v>324</v>
      </c>
      <c r="V1635" t="s">
        <v>62</v>
      </c>
      <c r="W1635" t="s">
        <v>62</v>
      </c>
      <c r="X1635">
        <v>0</v>
      </c>
      <c r="Y1635">
        <v>0</v>
      </c>
      <c r="Z1635">
        <v>5</v>
      </c>
      <c r="AA1635">
        <v>0</v>
      </c>
      <c r="AB1635">
        <v>0</v>
      </c>
      <c r="AC1635">
        <v>0</v>
      </c>
      <c r="AD1635">
        <v>0</v>
      </c>
      <c r="AE1635">
        <v>2</v>
      </c>
      <c r="AF1635">
        <v>0</v>
      </c>
      <c r="AG1635">
        <v>0</v>
      </c>
      <c r="AH1635">
        <v>0</v>
      </c>
      <c r="AI1635">
        <v>0</v>
      </c>
      <c r="AJ1635">
        <v>3</v>
      </c>
      <c r="AK1635">
        <v>0</v>
      </c>
      <c r="AL1635">
        <v>8</v>
      </c>
      <c r="AM1635">
        <v>7</v>
      </c>
      <c r="AN1635">
        <v>19</v>
      </c>
      <c r="AO1635">
        <v>3</v>
      </c>
      <c r="AP1635">
        <v>13</v>
      </c>
      <c r="AQ1635">
        <v>3</v>
      </c>
      <c r="AR1635" t="s">
        <v>1675</v>
      </c>
      <c r="AS1635" t="s">
        <v>1676</v>
      </c>
      <c r="AT1635">
        <v>0.124</v>
      </c>
      <c r="AU1635" t="s">
        <v>65</v>
      </c>
      <c r="AV1635">
        <v>32</v>
      </c>
      <c r="AW1635">
        <v>6</v>
      </c>
      <c r="AX1635" t="s">
        <v>1677</v>
      </c>
      <c r="AY1635">
        <v>2.8889999999999999E-2</v>
      </c>
      <c r="AZ1635">
        <v>-1.7099999999999999E-3</v>
      </c>
      <c r="BA1635">
        <v>1.73E-3</v>
      </c>
      <c r="BB1635">
        <v>-2.0000000000000001E-4</v>
      </c>
      <c r="BC1635">
        <v>5.9929999999999997E-2</v>
      </c>
      <c r="BD1635">
        <v>1</v>
      </c>
      <c r="BE1635" t="s">
        <v>69</v>
      </c>
      <c r="BF1635">
        <v>-0.56799999999999995</v>
      </c>
      <c r="BG1635">
        <v>-1.67</v>
      </c>
    </row>
    <row r="1636" spans="1:59">
      <c r="A1636">
        <v>0</v>
      </c>
      <c r="B1636">
        <v>4</v>
      </c>
      <c r="C1636">
        <v>0</v>
      </c>
      <c r="D1636" t="s">
        <v>25022</v>
      </c>
      <c r="E1636">
        <v>1343</v>
      </c>
      <c r="F1636" t="s">
        <v>8400</v>
      </c>
      <c r="G1636" t="s">
        <v>57</v>
      </c>
      <c r="H1636">
        <v>1361242</v>
      </c>
      <c r="I1636">
        <v>1362165</v>
      </c>
      <c r="J1636" t="s">
        <v>8401</v>
      </c>
      <c r="K1636">
        <v>308</v>
      </c>
      <c r="L1636" t="s">
        <v>59</v>
      </c>
      <c r="M1636">
        <v>49</v>
      </c>
      <c r="N1636" t="str">
        <f>HYPERLINK("Gene1343-zp_tree_all.dnd", "Gene1343-tree")</f>
        <v>Gene1343-tree</v>
      </c>
      <c r="O1636">
        <v>33</v>
      </c>
      <c r="P1636">
        <v>4</v>
      </c>
      <c r="Q1636">
        <v>14</v>
      </c>
      <c r="R1636">
        <v>4</v>
      </c>
      <c r="S1636">
        <v>0.22222</v>
      </c>
      <c r="T1636" t="s">
        <v>126</v>
      </c>
      <c r="U1636" t="s">
        <v>61</v>
      </c>
      <c r="V1636" t="s">
        <v>62</v>
      </c>
      <c r="W1636" t="s">
        <v>62</v>
      </c>
      <c r="X1636">
        <v>2</v>
      </c>
      <c r="Y1636">
        <v>4</v>
      </c>
      <c r="Z1636">
        <v>5</v>
      </c>
      <c r="AA1636">
        <v>0.44444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6</v>
      </c>
      <c r="AK1636">
        <v>0</v>
      </c>
      <c r="AL1636">
        <v>15</v>
      </c>
      <c r="AM1636">
        <v>12</v>
      </c>
      <c r="AN1636">
        <v>45</v>
      </c>
      <c r="AO1636">
        <v>6</v>
      </c>
      <c r="AP1636">
        <v>53</v>
      </c>
      <c r="AQ1636">
        <v>4</v>
      </c>
      <c r="AR1636" t="s">
        <v>8402</v>
      </c>
      <c r="AS1636" t="s">
        <v>8403</v>
      </c>
      <c r="AT1636">
        <v>0.28299999999999997</v>
      </c>
      <c r="AU1636" t="s">
        <v>65</v>
      </c>
      <c r="AV1636">
        <v>98</v>
      </c>
      <c r="AW1636">
        <v>10</v>
      </c>
      <c r="AX1636" t="s">
        <v>8404</v>
      </c>
      <c r="AY1636">
        <v>9.3240000000000003E-2</v>
      </c>
      <c r="AZ1636">
        <v>-5.5599999999999998E-3</v>
      </c>
      <c r="BA1636">
        <v>2.4299999999999999E-3</v>
      </c>
      <c r="BB1636">
        <v>-1.9000000000000001E-4</v>
      </c>
      <c r="BC1636">
        <v>2.605E-2</v>
      </c>
      <c r="BD1636">
        <v>1</v>
      </c>
      <c r="BE1636" t="s">
        <v>69</v>
      </c>
      <c r="BF1636">
        <v>-1.827</v>
      </c>
      <c r="BG1636">
        <v>-1.6830000000000001</v>
      </c>
    </row>
    <row r="1637" spans="1:59">
      <c r="A1637">
        <v>0</v>
      </c>
      <c r="B1637">
        <v>0</v>
      </c>
      <c r="C1637">
        <v>2</v>
      </c>
      <c r="D1637" t="s">
        <v>25022</v>
      </c>
      <c r="E1637">
        <v>73</v>
      </c>
      <c r="F1637" t="s">
        <v>585</v>
      </c>
      <c r="G1637" t="s">
        <v>57</v>
      </c>
      <c r="H1637">
        <v>81771</v>
      </c>
      <c r="I1637">
        <v>82694</v>
      </c>
      <c r="J1637" t="s">
        <v>586</v>
      </c>
      <c r="K1637">
        <v>308</v>
      </c>
      <c r="L1637" t="s">
        <v>59</v>
      </c>
      <c r="M1637">
        <v>49</v>
      </c>
      <c r="N1637" t="str">
        <f>HYPERLINK("Gene73-zp_tree_all.dnd", "Gene73-tree")</f>
        <v>Gene73-tree</v>
      </c>
      <c r="O1637">
        <v>19</v>
      </c>
      <c r="P1637">
        <v>2</v>
      </c>
      <c r="Q1637">
        <v>19</v>
      </c>
      <c r="R1637">
        <v>2</v>
      </c>
      <c r="S1637">
        <v>9.5240000000000005E-2</v>
      </c>
      <c r="T1637" t="s">
        <v>587</v>
      </c>
      <c r="U1637" t="s">
        <v>81</v>
      </c>
      <c r="V1637" t="s">
        <v>62</v>
      </c>
      <c r="W1637" t="s">
        <v>62</v>
      </c>
      <c r="X1637">
        <v>1</v>
      </c>
      <c r="Y1637">
        <v>2</v>
      </c>
      <c r="Z1637">
        <v>4</v>
      </c>
      <c r="AA1637">
        <v>0.33333000000000002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2</v>
      </c>
      <c r="AK1637">
        <v>0</v>
      </c>
      <c r="AL1637">
        <v>18</v>
      </c>
      <c r="AM1637">
        <v>16</v>
      </c>
      <c r="AN1637">
        <v>62</v>
      </c>
      <c r="AO1637">
        <v>2</v>
      </c>
      <c r="AP1637">
        <v>71</v>
      </c>
      <c r="AQ1637">
        <v>4</v>
      </c>
      <c r="AR1637" t="s">
        <v>588</v>
      </c>
      <c r="AS1637" t="s">
        <v>589</v>
      </c>
      <c r="AT1637">
        <v>0.22800000000000001</v>
      </c>
      <c r="AU1637" t="s">
        <v>65</v>
      </c>
      <c r="AV1637">
        <v>133</v>
      </c>
      <c r="AW1637">
        <v>6</v>
      </c>
      <c r="AX1637" t="s">
        <v>590</v>
      </c>
      <c r="AY1637">
        <v>0.10153</v>
      </c>
      <c r="AZ1637">
        <v>-4.3600000000000002E-3</v>
      </c>
      <c r="BA1637">
        <v>1.2899999999999999E-3</v>
      </c>
      <c r="BB1637">
        <v>-9.0000000000000006E-5</v>
      </c>
      <c r="BC1637">
        <v>1.274E-2</v>
      </c>
      <c r="BD1637">
        <v>1</v>
      </c>
      <c r="BE1637" t="s">
        <v>69</v>
      </c>
      <c r="BF1637">
        <v>-0.78400000000000003</v>
      </c>
      <c r="BG1637">
        <v>-9.2999999999999999E-2</v>
      </c>
    </row>
    <row r="1638" spans="1:59">
      <c r="A1638">
        <v>0</v>
      </c>
      <c r="B1638">
        <v>10</v>
      </c>
      <c r="C1638">
        <v>9</v>
      </c>
      <c r="D1638" t="s">
        <v>25022</v>
      </c>
      <c r="E1638">
        <v>4198</v>
      </c>
      <c r="F1638" t="s">
        <v>24722</v>
      </c>
      <c r="G1638" t="s">
        <v>62</v>
      </c>
      <c r="H1638">
        <v>4165662</v>
      </c>
      <c r="I1638">
        <v>4166588</v>
      </c>
      <c r="J1638" t="s">
        <v>3095</v>
      </c>
      <c r="K1638">
        <v>309</v>
      </c>
      <c r="L1638" t="s">
        <v>24723</v>
      </c>
      <c r="M1638">
        <v>46</v>
      </c>
      <c r="N1638" t="str">
        <f>HYPERLINK("Gene4198-zp_tree_all.dnd", "Gene4198-tree")</f>
        <v>Gene4198-tree</v>
      </c>
      <c r="O1638">
        <v>2</v>
      </c>
      <c r="P1638">
        <v>14</v>
      </c>
      <c r="Q1638">
        <v>2</v>
      </c>
      <c r="R1638">
        <v>14</v>
      </c>
      <c r="S1638">
        <v>0.875</v>
      </c>
      <c r="T1638" t="s">
        <v>81</v>
      </c>
      <c r="U1638" t="s">
        <v>543</v>
      </c>
      <c r="V1638">
        <v>860908720.12699997</v>
      </c>
      <c r="W1638" t="s">
        <v>267</v>
      </c>
      <c r="X1638">
        <v>7</v>
      </c>
      <c r="Y1638">
        <v>19</v>
      </c>
      <c r="Z1638">
        <v>24</v>
      </c>
      <c r="AA1638">
        <v>0.44185999999999998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3</v>
      </c>
      <c r="AH1638">
        <v>6</v>
      </c>
      <c r="AI1638">
        <v>9</v>
      </c>
      <c r="AJ1638">
        <v>13</v>
      </c>
      <c r="AK1638">
        <v>0.40909000000000001</v>
      </c>
      <c r="AL1638">
        <v>12</v>
      </c>
      <c r="AM1638">
        <v>9</v>
      </c>
      <c r="AN1638">
        <v>20</v>
      </c>
      <c r="AO1638">
        <v>16</v>
      </c>
      <c r="AP1638">
        <v>38</v>
      </c>
      <c r="AQ1638">
        <v>27</v>
      </c>
      <c r="AR1638" t="s">
        <v>24724</v>
      </c>
      <c r="AS1638" t="s">
        <v>24725</v>
      </c>
      <c r="AT1638">
        <v>0.16200000000000001</v>
      </c>
      <c r="AU1638" t="s">
        <v>65</v>
      </c>
      <c r="AV1638">
        <v>58</v>
      </c>
      <c r="AW1638">
        <v>43</v>
      </c>
      <c r="AX1638" t="s">
        <v>24726</v>
      </c>
      <c r="AY1638">
        <v>7.3779999999999998E-2</v>
      </c>
      <c r="AZ1638">
        <v>-5.1000000000000004E-3</v>
      </c>
      <c r="BA1638">
        <v>1.3950000000000001E-2</v>
      </c>
      <c r="BB1638">
        <v>-9.1E-4</v>
      </c>
      <c r="BC1638">
        <v>0.18905</v>
      </c>
      <c r="BD1638">
        <v>1</v>
      </c>
      <c r="BE1638" t="s">
        <v>69</v>
      </c>
      <c r="BF1638">
        <v>-1.3340000000000001</v>
      </c>
      <c r="BG1638">
        <v>-0.54400000000000004</v>
      </c>
    </row>
    <row r="1639" spans="1:59">
      <c r="A1639">
        <v>0</v>
      </c>
      <c r="B1639">
        <v>2</v>
      </c>
      <c r="C1639">
        <v>0</v>
      </c>
      <c r="D1639" t="s">
        <v>25022</v>
      </c>
      <c r="E1639">
        <v>1592</v>
      </c>
      <c r="F1639" t="s">
        <v>9961</v>
      </c>
      <c r="G1639" t="s">
        <v>57</v>
      </c>
      <c r="H1639">
        <v>1603779</v>
      </c>
      <c r="I1639">
        <v>1604705</v>
      </c>
      <c r="J1639" t="s">
        <v>9962</v>
      </c>
      <c r="K1639">
        <v>309</v>
      </c>
      <c r="L1639" t="s">
        <v>108</v>
      </c>
      <c r="M1639">
        <v>44</v>
      </c>
      <c r="N1639" t="str">
        <f>HYPERLINK("Gene1592-zp_tree_all.dnd", "Gene1592-tree")</f>
        <v>Gene1592-tree</v>
      </c>
      <c r="O1639">
        <v>8</v>
      </c>
      <c r="P1639">
        <v>5</v>
      </c>
      <c r="Q1639">
        <v>8</v>
      </c>
      <c r="R1639">
        <v>5</v>
      </c>
      <c r="S1639">
        <v>0.38462000000000002</v>
      </c>
      <c r="T1639" t="s">
        <v>136</v>
      </c>
      <c r="U1639" t="s">
        <v>199</v>
      </c>
      <c r="V1639" t="s">
        <v>62</v>
      </c>
      <c r="W1639" t="s">
        <v>62</v>
      </c>
      <c r="X1639">
        <v>1</v>
      </c>
      <c r="Y1639">
        <v>2</v>
      </c>
      <c r="Z1639">
        <v>4</v>
      </c>
      <c r="AA1639">
        <v>0.33333000000000002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</v>
      </c>
      <c r="AH1639">
        <v>0</v>
      </c>
      <c r="AI1639">
        <v>2</v>
      </c>
      <c r="AJ1639">
        <v>3</v>
      </c>
      <c r="AK1639">
        <v>0.4</v>
      </c>
      <c r="AL1639">
        <v>11</v>
      </c>
      <c r="AM1639">
        <v>6</v>
      </c>
      <c r="AN1639">
        <v>15</v>
      </c>
      <c r="AO1639">
        <v>4</v>
      </c>
      <c r="AP1639">
        <v>7</v>
      </c>
      <c r="AQ1639">
        <v>2</v>
      </c>
      <c r="AR1639" t="s">
        <v>9963</v>
      </c>
      <c r="AS1639" t="s">
        <v>9964</v>
      </c>
      <c r="AT1639">
        <v>6.4000000000000001E-2</v>
      </c>
      <c r="AU1639" t="s">
        <v>65</v>
      </c>
      <c r="AV1639">
        <v>22</v>
      </c>
      <c r="AW1639">
        <v>6</v>
      </c>
      <c r="AX1639" t="s">
        <v>9965</v>
      </c>
      <c r="AY1639">
        <v>0.02</v>
      </c>
      <c r="AZ1639">
        <v>-9.5E-4</v>
      </c>
      <c r="BA1639">
        <v>1.58E-3</v>
      </c>
      <c r="BB1639">
        <v>-1.4999999999999999E-4</v>
      </c>
      <c r="BC1639">
        <v>7.8820000000000001E-2</v>
      </c>
      <c r="BD1639">
        <v>1</v>
      </c>
      <c r="BE1639" t="s">
        <v>69</v>
      </c>
      <c r="BF1639">
        <v>-1.0680000000000001</v>
      </c>
      <c r="BG1639">
        <v>-1.7789999999999999</v>
      </c>
    </row>
    <row r="1640" spans="1:59">
      <c r="A1640">
        <v>0</v>
      </c>
      <c r="B1640">
        <v>2</v>
      </c>
      <c r="C1640">
        <v>0</v>
      </c>
      <c r="D1640" t="s">
        <v>25022</v>
      </c>
      <c r="E1640">
        <v>3342</v>
      </c>
      <c r="F1640" t="s">
        <v>19524</v>
      </c>
      <c r="G1640" t="s">
        <v>62</v>
      </c>
      <c r="H1640">
        <v>3312847</v>
      </c>
      <c r="I1640">
        <v>3313773</v>
      </c>
      <c r="J1640" t="s">
        <v>19525</v>
      </c>
      <c r="K1640">
        <v>309</v>
      </c>
      <c r="L1640" t="s">
        <v>108</v>
      </c>
      <c r="M1640">
        <v>44</v>
      </c>
      <c r="N1640" t="str">
        <f>HYPERLINK("Gene3342-zp_tree_all.dnd", "Gene3342-tree")</f>
        <v>Gene3342-tree</v>
      </c>
      <c r="O1640">
        <v>11</v>
      </c>
      <c r="P1640">
        <v>3</v>
      </c>
      <c r="Q1640">
        <v>11</v>
      </c>
      <c r="R1640">
        <v>3</v>
      </c>
      <c r="S1640">
        <v>0.21429000000000001</v>
      </c>
      <c r="T1640" t="s">
        <v>73</v>
      </c>
      <c r="U1640" t="s">
        <v>324</v>
      </c>
      <c r="V1640" t="s">
        <v>62</v>
      </c>
      <c r="W1640" t="s">
        <v>62</v>
      </c>
      <c r="X1640">
        <v>1</v>
      </c>
      <c r="Y1640">
        <v>2</v>
      </c>
      <c r="Z1640">
        <v>5</v>
      </c>
      <c r="AA1640">
        <v>0.28571000000000002</v>
      </c>
      <c r="AB1640">
        <v>0</v>
      </c>
      <c r="AC1640">
        <v>0</v>
      </c>
      <c r="AD1640">
        <v>0</v>
      </c>
      <c r="AE1640">
        <v>2</v>
      </c>
      <c r="AF1640">
        <v>0</v>
      </c>
      <c r="AG1640">
        <v>0</v>
      </c>
      <c r="AH1640">
        <v>0</v>
      </c>
      <c r="AI1640">
        <v>0</v>
      </c>
      <c r="AJ1640">
        <v>5</v>
      </c>
      <c r="AK1640">
        <v>0</v>
      </c>
      <c r="AL1640">
        <v>9</v>
      </c>
      <c r="AM1640">
        <v>7</v>
      </c>
      <c r="AN1640">
        <v>20</v>
      </c>
      <c r="AO1640">
        <v>5</v>
      </c>
      <c r="AP1640">
        <v>9</v>
      </c>
      <c r="AQ1640">
        <v>2</v>
      </c>
      <c r="AR1640" t="s">
        <v>19526</v>
      </c>
      <c r="AS1640" t="s">
        <v>19527</v>
      </c>
      <c r="AT1640">
        <v>8.2000000000000003E-2</v>
      </c>
      <c r="AU1640" t="s">
        <v>65</v>
      </c>
      <c r="AV1640">
        <v>29</v>
      </c>
      <c r="AW1640">
        <v>7</v>
      </c>
      <c r="AX1640" t="s">
        <v>19528</v>
      </c>
      <c r="AY1640">
        <v>2.6610000000000002E-2</v>
      </c>
      <c r="AZ1640">
        <v>-1.34E-3</v>
      </c>
      <c r="BA1640">
        <v>1.9499999999999999E-3</v>
      </c>
      <c r="BB1640">
        <v>-1.4999999999999999E-4</v>
      </c>
      <c r="BC1640">
        <v>7.3160000000000003E-2</v>
      </c>
      <c r="BD1640">
        <v>1</v>
      </c>
      <c r="BE1640" t="s">
        <v>69</v>
      </c>
      <c r="BF1640">
        <v>-0.46600000000000003</v>
      </c>
      <c r="BG1640">
        <v>-1.9830000000000001</v>
      </c>
    </row>
    <row r="1641" spans="1:59">
      <c r="A1641">
        <v>0</v>
      </c>
      <c r="B1641">
        <v>2</v>
      </c>
      <c r="C1641">
        <v>1</v>
      </c>
      <c r="D1641" t="s">
        <v>25022</v>
      </c>
      <c r="E1641">
        <v>1728</v>
      </c>
      <c r="F1641" t="s">
        <v>10835</v>
      </c>
      <c r="G1641" t="s">
        <v>57</v>
      </c>
      <c r="H1641">
        <v>1736886</v>
      </c>
      <c r="I1641">
        <v>1737812</v>
      </c>
      <c r="J1641" t="s">
        <v>10836</v>
      </c>
      <c r="K1641">
        <v>309</v>
      </c>
      <c r="L1641" t="s">
        <v>108</v>
      </c>
      <c r="M1641">
        <v>44</v>
      </c>
      <c r="N1641" t="str">
        <f>HYPERLINK("Gene1728-zp_tree_all.dnd", "Gene1728-tree")</f>
        <v>Gene1728-tree</v>
      </c>
      <c r="O1641">
        <v>6</v>
      </c>
      <c r="P1641">
        <v>7</v>
      </c>
      <c r="Q1641">
        <v>6</v>
      </c>
      <c r="R1641">
        <v>7</v>
      </c>
      <c r="S1641">
        <v>0.53846000000000005</v>
      </c>
      <c r="T1641" t="s">
        <v>90</v>
      </c>
      <c r="U1641" t="s">
        <v>152</v>
      </c>
      <c r="V1641" t="s">
        <v>62</v>
      </c>
      <c r="W1641" t="s">
        <v>62</v>
      </c>
      <c r="X1641">
        <v>1</v>
      </c>
      <c r="Y1641">
        <v>3</v>
      </c>
      <c r="Z1641">
        <v>6</v>
      </c>
      <c r="AA1641">
        <v>0.33333000000000002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</v>
      </c>
      <c r="AH1641">
        <v>1</v>
      </c>
      <c r="AI1641">
        <v>3</v>
      </c>
      <c r="AJ1641">
        <v>7</v>
      </c>
      <c r="AK1641">
        <v>0.3</v>
      </c>
      <c r="AL1641">
        <v>9</v>
      </c>
      <c r="AM1641">
        <v>6</v>
      </c>
      <c r="AN1641">
        <v>19</v>
      </c>
      <c r="AO1641">
        <v>9</v>
      </c>
      <c r="AP1641">
        <v>10</v>
      </c>
      <c r="AQ1641">
        <v>1</v>
      </c>
      <c r="AR1641" t="s">
        <v>10837</v>
      </c>
      <c r="AS1641" t="s">
        <v>10838</v>
      </c>
      <c r="AT1641">
        <v>1.0309999999999999</v>
      </c>
      <c r="AU1641" t="s">
        <v>65</v>
      </c>
      <c r="AV1641">
        <v>29</v>
      </c>
      <c r="AW1641">
        <v>10</v>
      </c>
      <c r="AX1641" t="s">
        <v>10839</v>
      </c>
      <c r="AY1641">
        <v>3.2719999999999999E-2</v>
      </c>
      <c r="AZ1641">
        <v>-1.72E-3</v>
      </c>
      <c r="BA1641">
        <v>2.3900000000000002E-3</v>
      </c>
      <c r="BB1641">
        <v>-2.1000000000000001E-4</v>
      </c>
      <c r="BC1641">
        <v>7.3120000000000004E-2</v>
      </c>
      <c r="BD1641">
        <v>1</v>
      </c>
      <c r="BE1641" t="s">
        <v>69</v>
      </c>
      <c r="BF1641">
        <v>-3.6999999999999998E-2</v>
      </c>
      <c r="BG1641">
        <v>-1.085</v>
      </c>
    </row>
    <row r="1642" spans="1:59">
      <c r="A1642">
        <v>0</v>
      </c>
      <c r="B1642">
        <v>0</v>
      </c>
      <c r="C1642">
        <v>2</v>
      </c>
      <c r="D1642" t="s">
        <v>25022</v>
      </c>
      <c r="E1642">
        <v>735</v>
      </c>
      <c r="F1642" t="s">
        <v>4555</v>
      </c>
      <c r="G1642" t="s">
        <v>57</v>
      </c>
      <c r="H1642">
        <v>762942</v>
      </c>
      <c r="I1642">
        <v>763868</v>
      </c>
      <c r="J1642" t="s">
        <v>4556</v>
      </c>
      <c r="K1642">
        <v>309</v>
      </c>
      <c r="L1642" t="s">
        <v>99</v>
      </c>
      <c r="M1642">
        <v>47</v>
      </c>
      <c r="N1642" t="str">
        <f>HYPERLINK("Gene735-zp_tree_all.dnd", "Gene735-tree")</f>
        <v>Gene735-tree</v>
      </c>
      <c r="O1642">
        <v>14</v>
      </c>
      <c r="P1642">
        <v>5</v>
      </c>
      <c r="Q1642">
        <v>14</v>
      </c>
      <c r="R1642">
        <v>5</v>
      </c>
      <c r="S1642">
        <v>0.26316000000000001</v>
      </c>
      <c r="T1642" t="s">
        <v>543</v>
      </c>
      <c r="U1642" t="s">
        <v>199</v>
      </c>
      <c r="V1642" t="s">
        <v>62</v>
      </c>
      <c r="W1642" t="s">
        <v>62</v>
      </c>
      <c r="X1642">
        <v>1</v>
      </c>
      <c r="Y1642">
        <v>2</v>
      </c>
      <c r="Z1642">
        <v>12</v>
      </c>
      <c r="AA1642">
        <v>0.14285999999999999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8</v>
      </c>
      <c r="AK1642">
        <v>0</v>
      </c>
      <c r="AL1642">
        <v>16</v>
      </c>
      <c r="AM1642">
        <v>10</v>
      </c>
      <c r="AN1642">
        <v>53</v>
      </c>
      <c r="AO1642">
        <v>8</v>
      </c>
      <c r="AP1642">
        <v>43</v>
      </c>
      <c r="AQ1642">
        <v>6</v>
      </c>
      <c r="AR1642" t="s">
        <v>4557</v>
      </c>
      <c r="AS1642" t="s">
        <v>4558</v>
      </c>
      <c r="AT1642">
        <v>0.03</v>
      </c>
      <c r="AU1642" t="s">
        <v>65</v>
      </c>
      <c r="AV1642">
        <v>96</v>
      </c>
      <c r="AW1642">
        <v>14</v>
      </c>
      <c r="AX1642" t="s">
        <v>4559</v>
      </c>
      <c r="AY1642">
        <v>7.4310000000000001E-2</v>
      </c>
      <c r="AZ1642">
        <v>-5.0800000000000003E-3</v>
      </c>
      <c r="BA1642">
        <v>3.7299999999999998E-3</v>
      </c>
      <c r="BB1642">
        <v>-3.6999999999999999E-4</v>
      </c>
      <c r="BC1642">
        <v>5.0139999999999997E-2</v>
      </c>
      <c r="BD1642">
        <v>1</v>
      </c>
      <c r="BE1642" t="s">
        <v>69</v>
      </c>
      <c r="BF1642">
        <v>-1.756</v>
      </c>
      <c r="BG1642">
        <v>-1.984</v>
      </c>
    </row>
    <row r="1643" spans="1:59">
      <c r="A1643">
        <v>0</v>
      </c>
      <c r="B1643">
        <v>2</v>
      </c>
      <c r="C1643">
        <v>2</v>
      </c>
      <c r="D1643" t="s">
        <v>25022</v>
      </c>
      <c r="E1643">
        <v>2847</v>
      </c>
      <c r="F1643" t="s">
        <v>16355</v>
      </c>
      <c r="G1643" t="s">
        <v>62</v>
      </c>
      <c r="H1643">
        <v>2794150</v>
      </c>
      <c r="I1643">
        <v>2795076</v>
      </c>
      <c r="J1643" t="s">
        <v>16356</v>
      </c>
      <c r="K1643">
        <v>309</v>
      </c>
      <c r="L1643" t="s">
        <v>698</v>
      </c>
      <c r="M1643">
        <v>47</v>
      </c>
      <c r="N1643" t="str">
        <f>HYPERLINK("Gene2847-zp_tree_all.dnd", "Gene2847-tree")</f>
        <v>Gene2847-tree</v>
      </c>
      <c r="O1643">
        <v>7</v>
      </c>
      <c r="P1643">
        <v>7</v>
      </c>
      <c r="Q1643">
        <v>7</v>
      </c>
      <c r="R1643">
        <v>7</v>
      </c>
      <c r="S1643">
        <v>0.5</v>
      </c>
      <c r="T1643" t="s">
        <v>152</v>
      </c>
      <c r="U1643" t="s">
        <v>152</v>
      </c>
      <c r="V1643" t="s">
        <v>62</v>
      </c>
      <c r="W1643" t="s">
        <v>62</v>
      </c>
      <c r="X1643">
        <v>2</v>
      </c>
      <c r="Y1643">
        <v>4</v>
      </c>
      <c r="Z1643">
        <v>10</v>
      </c>
      <c r="AA1643">
        <v>0.28571000000000002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8</v>
      </c>
      <c r="AK1643">
        <v>0</v>
      </c>
      <c r="AL1643">
        <v>12</v>
      </c>
      <c r="AM1643">
        <v>9</v>
      </c>
      <c r="AN1643">
        <v>37</v>
      </c>
      <c r="AO1643">
        <v>8</v>
      </c>
      <c r="AP1643">
        <v>52</v>
      </c>
      <c r="AQ1643">
        <v>6</v>
      </c>
      <c r="AR1643" t="s">
        <v>16357</v>
      </c>
      <c r="AS1643" t="s">
        <v>16358</v>
      </c>
      <c r="AT1643">
        <v>0.50800000000000001</v>
      </c>
      <c r="AU1643" t="s">
        <v>65</v>
      </c>
      <c r="AV1643">
        <v>89</v>
      </c>
      <c r="AW1643">
        <v>14</v>
      </c>
      <c r="AX1643" t="s">
        <v>16359</v>
      </c>
      <c r="AY1643">
        <v>0.11709</v>
      </c>
      <c r="AZ1643">
        <v>-1.0319999999999999E-2</v>
      </c>
      <c r="BA1643">
        <v>4.3600000000000002E-3</v>
      </c>
      <c r="BB1643">
        <v>-2.5000000000000001E-4</v>
      </c>
      <c r="BC1643">
        <v>3.7280000000000001E-2</v>
      </c>
      <c r="BD1643">
        <v>1</v>
      </c>
      <c r="BE1643" t="s">
        <v>69</v>
      </c>
      <c r="BF1643">
        <v>-1.3109999999999999</v>
      </c>
      <c r="BG1643">
        <v>-0.379</v>
      </c>
    </row>
    <row r="1644" spans="1:59">
      <c r="A1644">
        <v>0</v>
      </c>
      <c r="B1644">
        <v>2</v>
      </c>
      <c r="C1644">
        <v>1</v>
      </c>
      <c r="D1644" t="s">
        <v>25022</v>
      </c>
      <c r="E1644">
        <v>2600</v>
      </c>
      <c r="F1644" t="s">
        <v>15219</v>
      </c>
      <c r="G1644" t="s">
        <v>62</v>
      </c>
      <c r="H1644">
        <v>2579720</v>
      </c>
      <c r="I1644">
        <v>2580646</v>
      </c>
      <c r="J1644" t="s">
        <v>15213</v>
      </c>
      <c r="K1644">
        <v>309</v>
      </c>
      <c r="L1644" t="s">
        <v>72</v>
      </c>
      <c r="M1644">
        <v>45</v>
      </c>
      <c r="N1644" t="str">
        <f>HYPERLINK("Gene2600-zp_tree_all.dnd", "Gene2600-tree")</f>
        <v>Gene2600-tree</v>
      </c>
      <c r="O1644">
        <v>10</v>
      </c>
      <c r="P1644">
        <v>4</v>
      </c>
      <c r="Q1644">
        <v>10</v>
      </c>
      <c r="R1644">
        <v>4</v>
      </c>
      <c r="S1644">
        <v>0.28571000000000002</v>
      </c>
      <c r="T1644" t="s">
        <v>117</v>
      </c>
      <c r="U1644" t="s">
        <v>61</v>
      </c>
      <c r="V1644" t="s">
        <v>62</v>
      </c>
      <c r="W1644" t="s">
        <v>62</v>
      </c>
      <c r="X1644">
        <v>1</v>
      </c>
      <c r="Y1644">
        <v>3</v>
      </c>
      <c r="Z1644">
        <v>3</v>
      </c>
      <c r="AA1644">
        <v>0.5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2</v>
      </c>
      <c r="AJ1644">
        <v>3</v>
      </c>
      <c r="AK1644">
        <v>0.4</v>
      </c>
      <c r="AL1644">
        <v>14</v>
      </c>
      <c r="AM1644">
        <v>7</v>
      </c>
      <c r="AN1644">
        <v>57</v>
      </c>
      <c r="AO1644">
        <v>6</v>
      </c>
      <c r="AP1644">
        <v>17</v>
      </c>
      <c r="AQ1644">
        <v>1</v>
      </c>
      <c r="AR1644" t="s">
        <v>15220</v>
      </c>
      <c r="AS1644" t="s">
        <v>15221</v>
      </c>
      <c r="AT1644">
        <v>0.156</v>
      </c>
      <c r="AU1644" t="s">
        <v>65</v>
      </c>
      <c r="AV1644">
        <v>74</v>
      </c>
      <c r="AW1644">
        <v>7</v>
      </c>
      <c r="AX1644" t="s">
        <v>15222</v>
      </c>
      <c r="AY1644">
        <v>5.4210000000000001E-2</v>
      </c>
      <c r="AZ1644">
        <v>-5.6899999999999997E-3</v>
      </c>
      <c r="BA1644">
        <v>1.82E-3</v>
      </c>
      <c r="BB1644">
        <v>-1.9000000000000001E-4</v>
      </c>
      <c r="BC1644">
        <v>3.3660000000000002E-2</v>
      </c>
      <c r="BD1644">
        <v>1</v>
      </c>
      <c r="BE1644" t="s">
        <v>69</v>
      </c>
      <c r="BF1644">
        <v>-1.0189999999999999</v>
      </c>
      <c r="BG1644">
        <v>-3.7759999999999998</v>
      </c>
    </row>
    <row r="1645" spans="1:59">
      <c r="A1645">
        <v>0</v>
      </c>
      <c r="B1645">
        <v>0</v>
      </c>
      <c r="C1645">
        <v>0</v>
      </c>
      <c r="D1645" t="s">
        <v>25022</v>
      </c>
      <c r="E1645">
        <v>3111</v>
      </c>
      <c r="F1645" t="s">
        <v>18049</v>
      </c>
      <c r="G1645" t="s">
        <v>62</v>
      </c>
      <c r="H1645">
        <v>3063836</v>
      </c>
      <c r="I1645">
        <v>3064762</v>
      </c>
      <c r="J1645" t="s">
        <v>18050</v>
      </c>
      <c r="K1645">
        <v>309</v>
      </c>
      <c r="L1645" t="s">
        <v>108</v>
      </c>
      <c r="M1645">
        <v>44</v>
      </c>
      <c r="N1645" t="str">
        <f>HYPERLINK("Gene3111-zp_tree_all.dnd", "Gene3111-tree")</f>
        <v>Gene3111-tree</v>
      </c>
      <c r="O1645">
        <v>9</v>
      </c>
      <c r="P1645">
        <v>5</v>
      </c>
      <c r="Q1645">
        <v>9</v>
      </c>
      <c r="R1645">
        <v>5</v>
      </c>
      <c r="S1645">
        <v>0.35714000000000001</v>
      </c>
      <c r="T1645" t="s">
        <v>135</v>
      </c>
      <c r="U1645" t="s">
        <v>199</v>
      </c>
      <c r="V1645" t="s">
        <v>62</v>
      </c>
      <c r="W1645" t="s">
        <v>62</v>
      </c>
      <c r="X1645">
        <v>0</v>
      </c>
      <c r="Y1645">
        <v>0</v>
      </c>
      <c r="Z1645">
        <v>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6</v>
      </c>
      <c r="AK1645">
        <v>0</v>
      </c>
      <c r="AL1645">
        <v>11</v>
      </c>
      <c r="AM1645">
        <v>9</v>
      </c>
      <c r="AN1645">
        <v>30</v>
      </c>
      <c r="AO1645">
        <v>6</v>
      </c>
      <c r="AP1645">
        <v>12</v>
      </c>
      <c r="AQ1645">
        <v>0</v>
      </c>
      <c r="AR1645" t="s">
        <v>18051</v>
      </c>
      <c r="AS1645" t="s">
        <v>193</v>
      </c>
      <c r="AT1645">
        <v>1.5629999999999999</v>
      </c>
      <c r="AU1645" t="s">
        <v>65</v>
      </c>
      <c r="AV1645">
        <v>42</v>
      </c>
      <c r="AW1645">
        <v>6</v>
      </c>
      <c r="AX1645" t="s">
        <v>18052</v>
      </c>
      <c r="AY1645">
        <v>3.7330000000000002E-2</v>
      </c>
      <c r="AZ1645">
        <v>-1.8400000000000001E-3</v>
      </c>
      <c r="BA1645">
        <v>1.1900000000000001E-3</v>
      </c>
      <c r="BB1645">
        <v>-1.2E-4</v>
      </c>
      <c r="BC1645">
        <v>3.1949999999999999E-2</v>
      </c>
      <c r="BD1645">
        <v>1</v>
      </c>
      <c r="BE1645" t="s">
        <v>69</v>
      </c>
      <c r="BF1645">
        <v>-1.508</v>
      </c>
      <c r="BG1645">
        <v>-2.8330000000000002</v>
      </c>
    </row>
    <row r="1646" spans="1:59">
      <c r="A1646">
        <v>0</v>
      </c>
      <c r="B1646">
        <v>2</v>
      </c>
      <c r="C1646">
        <v>0</v>
      </c>
      <c r="D1646" t="s">
        <v>25022</v>
      </c>
      <c r="E1646">
        <v>1543</v>
      </c>
      <c r="F1646" t="s">
        <v>9642</v>
      </c>
      <c r="G1646" t="s">
        <v>57</v>
      </c>
      <c r="H1646">
        <v>1551385</v>
      </c>
      <c r="I1646">
        <v>1552311</v>
      </c>
      <c r="J1646" t="s">
        <v>9643</v>
      </c>
      <c r="K1646">
        <v>309</v>
      </c>
      <c r="L1646" t="s">
        <v>108</v>
      </c>
      <c r="M1646">
        <v>44</v>
      </c>
      <c r="N1646" t="str">
        <f>HYPERLINK("Gene1543-zp_tree_all.dnd", "Gene1543-tree")</f>
        <v>Gene1543-tree</v>
      </c>
      <c r="O1646">
        <v>10</v>
      </c>
      <c r="P1646">
        <v>23</v>
      </c>
      <c r="Q1646">
        <v>10</v>
      </c>
      <c r="R1646">
        <v>3</v>
      </c>
      <c r="S1646">
        <v>0.23077</v>
      </c>
      <c r="T1646" t="s">
        <v>117</v>
      </c>
      <c r="U1646" t="s">
        <v>1725</v>
      </c>
      <c r="V1646">
        <v>7.2169999999999996</v>
      </c>
      <c r="W1646" t="s">
        <v>65</v>
      </c>
      <c r="X1646">
        <v>1</v>
      </c>
      <c r="Y1646">
        <v>2</v>
      </c>
      <c r="Z1646">
        <v>2</v>
      </c>
      <c r="AA1646">
        <v>0.5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0</v>
      </c>
      <c r="AL1646">
        <v>10</v>
      </c>
      <c r="AM1646">
        <v>8</v>
      </c>
      <c r="AN1646">
        <v>25</v>
      </c>
      <c r="AO1646">
        <v>3</v>
      </c>
      <c r="AP1646">
        <v>10</v>
      </c>
      <c r="AQ1646">
        <v>1</v>
      </c>
      <c r="AR1646" t="s">
        <v>9644</v>
      </c>
      <c r="AS1646" t="s">
        <v>9645</v>
      </c>
      <c r="AT1646">
        <v>7.0000000000000007E-2</v>
      </c>
      <c r="AU1646" t="s">
        <v>65</v>
      </c>
      <c r="AV1646">
        <v>35</v>
      </c>
      <c r="AW1646">
        <v>4</v>
      </c>
      <c r="AX1646" t="s">
        <v>9646</v>
      </c>
      <c r="AY1646">
        <v>3.3980000000000003E-2</v>
      </c>
      <c r="AZ1646">
        <v>-1.6199999999999999E-3</v>
      </c>
      <c r="BA1646">
        <v>1.07E-3</v>
      </c>
      <c r="BB1646">
        <v>-9.0000000000000006E-5</v>
      </c>
      <c r="BC1646">
        <v>3.1539999999999999E-2</v>
      </c>
      <c r="BD1646">
        <v>1</v>
      </c>
      <c r="BE1646" t="s">
        <v>69</v>
      </c>
      <c r="BF1646">
        <v>0.28699999999999998</v>
      </c>
      <c r="BG1646">
        <v>0.128</v>
      </c>
    </row>
    <row r="1647" spans="1:59">
      <c r="A1647">
        <v>0</v>
      </c>
      <c r="B1647">
        <v>9</v>
      </c>
      <c r="C1647">
        <v>2</v>
      </c>
      <c r="D1647" t="s">
        <v>25022</v>
      </c>
      <c r="E1647">
        <v>278</v>
      </c>
      <c r="F1647" t="s">
        <v>1898</v>
      </c>
      <c r="G1647" t="s">
        <v>57</v>
      </c>
      <c r="H1647">
        <v>298466</v>
      </c>
      <c r="I1647">
        <v>299395</v>
      </c>
      <c r="J1647" t="s">
        <v>1899</v>
      </c>
      <c r="K1647">
        <v>310</v>
      </c>
      <c r="L1647" t="s">
        <v>1174</v>
      </c>
      <c r="M1647">
        <v>42</v>
      </c>
      <c r="N1647" t="str">
        <f>HYPERLINK("Gene278-zp_tree_all.dnd", "Gene278-tree")</f>
        <v>Gene278-tree</v>
      </c>
      <c r="O1647">
        <v>6</v>
      </c>
      <c r="P1647">
        <v>8</v>
      </c>
      <c r="Q1647">
        <v>6</v>
      </c>
      <c r="R1647">
        <v>8</v>
      </c>
      <c r="S1647">
        <v>0.57142999999999999</v>
      </c>
      <c r="T1647" t="s">
        <v>90</v>
      </c>
      <c r="U1647" t="s">
        <v>136</v>
      </c>
      <c r="V1647" t="s">
        <v>62</v>
      </c>
      <c r="W1647" t="s">
        <v>62</v>
      </c>
      <c r="X1647">
        <v>4</v>
      </c>
      <c r="Y1647">
        <v>11</v>
      </c>
      <c r="Z1647">
        <v>19</v>
      </c>
      <c r="AA1647">
        <v>0.36667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4</v>
      </c>
      <c r="AH1647">
        <v>0</v>
      </c>
      <c r="AI1647">
        <v>4</v>
      </c>
      <c r="AJ1647">
        <v>19</v>
      </c>
      <c r="AK1647">
        <v>0.17391000000000001</v>
      </c>
      <c r="AL1647">
        <v>14</v>
      </c>
      <c r="AM1647">
        <v>11</v>
      </c>
      <c r="AN1647">
        <v>48</v>
      </c>
      <c r="AO1647">
        <v>23</v>
      </c>
      <c r="AP1647">
        <v>19</v>
      </c>
      <c r="AQ1647">
        <v>7</v>
      </c>
      <c r="AR1647" t="s">
        <v>1900</v>
      </c>
      <c r="AS1647" t="s">
        <v>1901</v>
      </c>
      <c r="AT1647">
        <v>0.10100000000000001</v>
      </c>
      <c r="AU1647" t="s">
        <v>65</v>
      </c>
      <c r="AV1647">
        <v>67</v>
      </c>
      <c r="AW1647">
        <v>30</v>
      </c>
      <c r="AX1647" t="s">
        <v>1902</v>
      </c>
      <c r="AY1647">
        <v>5.432E-2</v>
      </c>
      <c r="AZ1647">
        <v>-4.8799999999999998E-3</v>
      </c>
      <c r="BA1647">
        <v>6.94E-3</v>
      </c>
      <c r="BB1647">
        <v>-5.9999999999999995E-4</v>
      </c>
      <c r="BC1647">
        <v>0.12776999999999999</v>
      </c>
      <c r="BD1647">
        <v>1</v>
      </c>
      <c r="BE1647" t="s">
        <v>69</v>
      </c>
      <c r="BF1647">
        <v>-1.4470000000000001</v>
      </c>
      <c r="BG1647">
        <v>-3.266</v>
      </c>
    </row>
    <row r="1648" spans="1:59">
      <c r="A1648">
        <v>0</v>
      </c>
      <c r="B1648">
        <v>4</v>
      </c>
      <c r="C1648">
        <v>0</v>
      </c>
      <c r="D1648" t="s">
        <v>25022</v>
      </c>
      <c r="E1648">
        <v>1049</v>
      </c>
      <c r="F1648" t="s">
        <v>6578</v>
      </c>
      <c r="G1648" t="s">
        <v>57</v>
      </c>
      <c r="H1648">
        <v>1087250</v>
      </c>
      <c r="I1648">
        <v>1088179</v>
      </c>
      <c r="J1648" t="s">
        <v>6579</v>
      </c>
      <c r="K1648">
        <v>310</v>
      </c>
      <c r="L1648" t="s">
        <v>108</v>
      </c>
      <c r="M1648">
        <v>44</v>
      </c>
      <c r="N1648" t="str">
        <f>HYPERLINK("Gene1049-zp_tree_all.dnd", "Gene1049-tree")</f>
        <v>Gene1049-tree</v>
      </c>
      <c r="O1648">
        <v>8</v>
      </c>
      <c r="P1648">
        <v>6</v>
      </c>
      <c r="Q1648">
        <v>8</v>
      </c>
      <c r="R1648">
        <v>6</v>
      </c>
      <c r="S1648">
        <v>0.42857000000000001</v>
      </c>
      <c r="T1648" t="s">
        <v>136</v>
      </c>
      <c r="U1648" t="s">
        <v>90</v>
      </c>
      <c r="V1648" t="s">
        <v>62</v>
      </c>
      <c r="W1648" t="s">
        <v>62</v>
      </c>
      <c r="X1648">
        <v>2</v>
      </c>
      <c r="Y1648">
        <v>4</v>
      </c>
      <c r="Z1648">
        <v>5</v>
      </c>
      <c r="AA1648">
        <v>0.44444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</v>
      </c>
      <c r="AH1648">
        <v>0</v>
      </c>
      <c r="AI1648">
        <v>2</v>
      </c>
      <c r="AJ1648">
        <v>6</v>
      </c>
      <c r="AK1648">
        <v>0.25</v>
      </c>
      <c r="AL1648">
        <v>13</v>
      </c>
      <c r="AM1648">
        <v>8</v>
      </c>
      <c r="AN1648">
        <v>24</v>
      </c>
      <c r="AO1648">
        <v>8</v>
      </c>
      <c r="AP1648">
        <v>10</v>
      </c>
      <c r="AQ1648">
        <v>1</v>
      </c>
      <c r="AR1648" t="s">
        <v>6580</v>
      </c>
      <c r="AS1648" t="s">
        <v>6581</v>
      </c>
      <c r="AT1648">
        <v>0.73</v>
      </c>
      <c r="AU1648" t="s">
        <v>65</v>
      </c>
      <c r="AV1648">
        <v>34</v>
      </c>
      <c r="AW1648">
        <v>9</v>
      </c>
      <c r="AX1648" t="s">
        <v>6582</v>
      </c>
      <c r="AY1648">
        <v>2.8580000000000001E-2</v>
      </c>
      <c r="AZ1648">
        <v>-1.07E-3</v>
      </c>
      <c r="BA1648">
        <v>2.0899999999999998E-3</v>
      </c>
      <c r="BB1648">
        <v>-1.3999999999999999E-4</v>
      </c>
      <c r="BC1648">
        <v>7.3279999999999998E-2</v>
      </c>
      <c r="BD1648">
        <v>1</v>
      </c>
      <c r="BE1648" t="s">
        <v>69</v>
      </c>
      <c r="BF1648">
        <v>-0.25700000000000001</v>
      </c>
      <c r="BG1648">
        <v>-1.0089999999999999</v>
      </c>
    </row>
    <row r="1649" spans="1:59">
      <c r="A1649">
        <v>0</v>
      </c>
      <c r="B1649">
        <v>2</v>
      </c>
      <c r="C1649">
        <v>0</v>
      </c>
      <c r="D1649" t="s">
        <v>25022</v>
      </c>
      <c r="E1649">
        <v>3627</v>
      </c>
      <c r="F1649" t="s">
        <v>21306</v>
      </c>
      <c r="G1649" t="s">
        <v>62</v>
      </c>
      <c r="H1649">
        <v>3594245</v>
      </c>
      <c r="I1649">
        <v>3595174</v>
      </c>
      <c r="J1649" t="s">
        <v>21307</v>
      </c>
      <c r="K1649">
        <v>310</v>
      </c>
      <c r="L1649" t="s">
        <v>108</v>
      </c>
      <c r="M1649">
        <v>44</v>
      </c>
      <c r="N1649" t="str">
        <f>HYPERLINK("Gene3627-zp_tree_all.dnd", "Gene3627-tree")</f>
        <v>Gene3627-tree</v>
      </c>
      <c r="O1649">
        <v>11</v>
      </c>
      <c r="P1649">
        <v>2</v>
      </c>
      <c r="Q1649">
        <v>11</v>
      </c>
      <c r="R1649">
        <v>2</v>
      </c>
      <c r="S1649">
        <v>0.15384999999999999</v>
      </c>
      <c r="T1649" t="s">
        <v>73</v>
      </c>
      <c r="U1649" t="s">
        <v>81</v>
      </c>
      <c r="V1649" t="s">
        <v>62</v>
      </c>
      <c r="W1649" t="s">
        <v>62</v>
      </c>
      <c r="X1649">
        <v>1</v>
      </c>
      <c r="Y1649">
        <v>2</v>
      </c>
      <c r="Z1649">
        <v>2</v>
      </c>
      <c r="AA1649">
        <v>0.5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</v>
      </c>
      <c r="AH1649">
        <v>0</v>
      </c>
      <c r="AI1649">
        <v>2</v>
      </c>
      <c r="AJ1649">
        <v>1</v>
      </c>
      <c r="AK1649">
        <v>0.66666999999999998</v>
      </c>
      <c r="AL1649">
        <v>11</v>
      </c>
      <c r="AM1649">
        <v>7</v>
      </c>
      <c r="AN1649">
        <v>33</v>
      </c>
      <c r="AO1649">
        <v>3</v>
      </c>
      <c r="AP1649">
        <v>27</v>
      </c>
      <c r="AQ1649">
        <v>1</v>
      </c>
      <c r="AR1649" t="s">
        <v>21308</v>
      </c>
      <c r="AS1649" t="s">
        <v>21309</v>
      </c>
      <c r="AT1649">
        <v>0.30199999999999999</v>
      </c>
      <c r="AU1649" t="s">
        <v>65</v>
      </c>
      <c r="AV1649">
        <v>60</v>
      </c>
      <c r="AW1649">
        <v>4</v>
      </c>
      <c r="AX1649" t="s">
        <v>21310</v>
      </c>
      <c r="AY1649">
        <v>5.978E-2</v>
      </c>
      <c r="AZ1649">
        <v>-4.7400000000000003E-3</v>
      </c>
      <c r="BA1649">
        <v>1.01E-3</v>
      </c>
      <c r="BB1649">
        <v>-1.3999999999999999E-4</v>
      </c>
      <c r="BC1649">
        <v>1.6920000000000001E-2</v>
      </c>
      <c r="BD1649">
        <v>1</v>
      </c>
      <c r="BE1649" t="s">
        <v>69</v>
      </c>
      <c r="BF1649">
        <v>-1.0069999999999999</v>
      </c>
      <c r="BG1649">
        <v>-0.121</v>
      </c>
    </row>
    <row r="1650" spans="1:59">
      <c r="A1650">
        <v>0</v>
      </c>
      <c r="B1650">
        <v>18</v>
      </c>
      <c r="C1650">
        <v>6</v>
      </c>
      <c r="D1650" t="s">
        <v>25022</v>
      </c>
      <c r="E1650">
        <v>4238</v>
      </c>
      <c r="F1650" t="s">
        <v>24892</v>
      </c>
      <c r="G1650" t="s">
        <v>62</v>
      </c>
      <c r="H1650">
        <v>4196789</v>
      </c>
      <c r="I1650">
        <v>4197721</v>
      </c>
      <c r="J1650" t="s">
        <v>24893</v>
      </c>
      <c r="K1650">
        <v>311</v>
      </c>
      <c r="L1650" t="s">
        <v>1933</v>
      </c>
      <c r="M1650">
        <v>39</v>
      </c>
      <c r="N1650" t="str">
        <f>HYPERLINK("Gene4238-zp_tree_all.dnd", "Gene4238-tree")</f>
        <v>Gene4238-tree</v>
      </c>
      <c r="O1650">
        <v>2</v>
      </c>
      <c r="P1650">
        <v>14</v>
      </c>
      <c r="Q1650">
        <v>2</v>
      </c>
      <c r="R1650">
        <v>14</v>
      </c>
      <c r="S1650">
        <v>0.875</v>
      </c>
      <c r="T1650" t="s">
        <v>81</v>
      </c>
      <c r="U1650" t="s">
        <v>543</v>
      </c>
      <c r="V1650">
        <v>860908720.12699997</v>
      </c>
      <c r="W1650" t="s">
        <v>267</v>
      </c>
      <c r="X1650">
        <v>9</v>
      </c>
      <c r="Y1650">
        <v>24</v>
      </c>
      <c r="Z1650">
        <v>17</v>
      </c>
      <c r="AA1650">
        <v>0.58536999999999995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6</v>
      </c>
      <c r="AH1650">
        <v>7</v>
      </c>
      <c r="AI1650">
        <v>13</v>
      </c>
      <c r="AJ1650">
        <v>18</v>
      </c>
      <c r="AK1650">
        <v>0.41935</v>
      </c>
      <c r="AL1650">
        <v>16</v>
      </c>
      <c r="AM1650">
        <v>9</v>
      </c>
      <c r="AN1650">
        <v>42</v>
      </c>
      <c r="AO1650">
        <v>31</v>
      </c>
      <c r="AP1650">
        <v>12</v>
      </c>
      <c r="AQ1650">
        <v>10</v>
      </c>
      <c r="AR1650" t="s">
        <v>24894</v>
      </c>
      <c r="AS1650" t="s">
        <v>24895</v>
      </c>
      <c r="AT1650">
        <v>0.249</v>
      </c>
      <c r="AU1650" t="s">
        <v>65</v>
      </c>
      <c r="AV1650">
        <v>54</v>
      </c>
      <c r="AW1650">
        <v>41</v>
      </c>
      <c r="AX1650" t="s">
        <v>24896</v>
      </c>
      <c r="AY1650">
        <v>3.755E-2</v>
      </c>
      <c r="AZ1650">
        <v>-1.2800000000000001E-3</v>
      </c>
      <c r="BA1650">
        <v>8.26E-3</v>
      </c>
      <c r="BB1650">
        <v>-3.2000000000000003E-4</v>
      </c>
      <c r="BC1650">
        <v>0.21994</v>
      </c>
      <c r="BD1650">
        <v>1</v>
      </c>
      <c r="BE1650" t="s">
        <v>69</v>
      </c>
      <c r="BF1650">
        <v>-1.8280000000000001</v>
      </c>
      <c r="BG1650">
        <v>-2.7879999999999998</v>
      </c>
    </row>
    <row r="1651" spans="1:59">
      <c r="A1651">
        <v>0</v>
      </c>
      <c r="B1651">
        <v>15</v>
      </c>
      <c r="C1651">
        <v>3</v>
      </c>
      <c r="D1651" t="s">
        <v>25022</v>
      </c>
      <c r="E1651">
        <v>256</v>
      </c>
      <c r="F1651" t="s">
        <v>1744</v>
      </c>
      <c r="G1651" t="s">
        <v>57</v>
      </c>
      <c r="H1651">
        <v>279059</v>
      </c>
      <c r="I1651">
        <v>279991</v>
      </c>
      <c r="J1651" t="s">
        <v>1745</v>
      </c>
      <c r="K1651">
        <v>311</v>
      </c>
      <c r="L1651" t="s">
        <v>1392</v>
      </c>
      <c r="M1651">
        <v>43</v>
      </c>
      <c r="N1651" t="str">
        <f>HYPERLINK("Gene256-zp_tree_all.dnd", "Gene256-tree")</f>
        <v>Gene256-tree</v>
      </c>
      <c r="O1651">
        <v>8</v>
      </c>
      <c r="P1651">
        <v>6</v>
      </c>
      <c r="Q1651">
        <v>8</v>
      </c>
      <c r="R1651">
        <v>6</v>
      </c>
      <c r="S1651">
        <v>0.42857000000000001</v>
      </c>
      <c r="T1651" t="s">
        <v>136</v>
      </c>
      <c r="U1651" t="s">
        <v>90</v>
      </c>
      <c r="V1651" t="s">
        <v>62</v>
      </c>
      <c r="W1651" t="s">
        <v>62</v>
      </c>
      <c r="X1651">
        <v>7</v>
      </c>
      <c r="Y1651">
        <v>18</v>
      </c>
      <c r="Z1651">
        <v>11</v>
      </c>
      <c r="AA1651">
        <v>0.62068999999999996</v>
      </c>
      <c r="AB1651">
        <v>0</v>
      </c>
      <c r="AC1651">
        <v>0</v>
      </c>
      <c r="AD1651">
        <v>0</v>
      </c>
      <c r="AE1651">
        <v>3</v>
      </c>
      <c r="AF1651">
        <v>0</v>
      </c>
      <c r="AG1651">
        <v>2</v>
      </c>
      <c r="AH1651">
        <v>2</v>
      </c>
      <c r="AI1651">
        <v>4</v>
      </c>
      <c r="AJ1651">
        <v>12</v>
      </c>
      <c r="AK1651">
        <v>0.25</v>
      </c>
      <c r="AL1651">
        <v>12</v>
      </c>
      <c r="AM1651">
        <v>11</v>
      </c>
      <c r="AN1651">
        <v>21</v>
      </c>
      <c r="AO1651">
        <v>16</v>
      </c>
      <c r="AP1651">
        <v>32</v>
      </c>
      <c r="AQ1651">
        <v>14</v>
      </c>
      <c r="AR1651" t="s">
        <v>1746</v>
      </c>
      <c r="AS1651" t="s">
        <v>1747</v>
      </c>
      <c r="AT1651">
        <v>0.7</v>
      </c>
      <c r="AU1651" t="s">
        <v>65</v>
      </c>
      <c r="AV1651">
        <v>53</v>
      </c>
      <c r="AW1651">
        <v>30</v>
      </c>
      <c r="AX1651" t="s">
        <v>1748</v>
      </c>
      <c r="AY1651">
        <v>5.6710000000000003E-2</v>
      </c>
      <c r="AZ1651">
        <v>-2.15E-3</v>
      </c>
      <c r="BA1651">
        <v>8.2000000000000007E-3</v>
      </c>
      <c r="BB1651">
        <v>-3.3E-4</v>
      </c>
      <c r="BC1651">
        <v>0.14465</v>
      </c>
      <c r="BD1651">
        <v>1</v>
      </c>
      <c r="BE1651" t="s">
        <v>69</v>
      </c>
      <c r="BF1651">
        <v>-0.39300000000000002</v>
      </c>
      <c r="BG1651">
        <v>-0.48699999999999999</v>
      </c>
    </row>
    <row r="1652" spans="1:59">
      <c r="A1652">
        <v>0</v>
      </c>
      <c r="B1652">
        <v>2</v>
      </c>
      <c r="C1652">
        <v>0</v>
      </c>
      <c r="D1652" t="s">
        <v>25022</v>
      </c>
      <c r="E1652">
        <v>2772</v>
      </c>
      <c r="F1652" t="s">
        <v>15908</v>
      </c>
      <c r="G1652" t="s">
        <v>62</v>
      </c>
      <c r="H1652">
        <v>2723895</v>
      </c>
      <c r="I1652">
        <v>2724827</v>
      </c>
      <c r="J1652" t="s">
        <v>15909</v>
      </c>
      <c r="K1652">
        <v>311</v>
      </c>
      <c r="L1652" t="s">
        <v>1392</v>
      </c>
      <c r="M1652">
        <v>43</v>
      </c>
      <c r="N1652" t="str">
        <f>HYPERLINK("Gene2772-zp_tree_all.dnd", "Gene2772-tree")</f>
        <v>Gene2772-tree</v>
      </c>
      <c r="O1652">
        <v>8</v>
      </c>
      <c r="P1652">
        <v>6</v>
      </c>
      <c r="Q1652">
        <v>8</v>
      </c>
      <c r="R1652">
        <v>6</v>
      </c>
      <c r="S1652">
        <v>0.42857000000000001</v>
      </c>
      <c r="T1652" t="s">
        <v>136</v>
      </c>
      <c r="U1652" t="s">
        <v>90</v>
      </c>
      <c r="V1652" t="s">
        <v>62</v>
      </c>
      <c r="W1652" t="s">
        <v>62</v>
      </c>
      <c r="X1652">
        <v>1</v>
      </c>
      <c r="Y1652">
        <v>2</v>
      </c>
      <c r="Z1652">
        <v>11</v>
      </c>
      <c r="AA1652">
        <v>0.15384999999999999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7</v>
      </c>
      <c r="AK1652">
        <v>0</v>
      </c>
      <c r="AL1652">
        <v>12</v>
      </c>
      <c r="AM1652">
        <v>9</v>
      </c>
      <c r="AN1652">
        <v>15</v>
      </c>
      <c r="AO1652">
        <v>7</v>
      </c>
      <c r="AP1652">
        <v>15</v>
      </c>
      <c r="AQ1652">
        <v>6</v>
      </c>
      <c r="AR1652" t="s">
        <v>15910</v>
      </c>
      <c r="AS1652" t="s">
        <v>15911</v>
      </c>
      <c r="AT1652">
        <v>0.20300000000000001</v>
      </c>
      <c r="AU1652" t="s">
        <v>65</v>
      </c>
      <c r="AV1652">
        <v>30</v>
      </c>
      <c r="AW1652">
        <v>13</v>
      </c>
      <c r="AX1652" t="s">
        <v>15912</v>
      </c>
      <c r="AY1652">
        <v>3.056E-2</v>
      </c>
      <c r="AZ1652">
        <v>-1.5399999999999999E-3</v>
      </c>
      <c r="BA1652">
        <v>3.6099999999999999E-3</v>
      </c>
      <c r="BB1652">
        <v>-1.9000000000000001E-4</v>
      </c>
      <c r="BC1652">
        <v>0.11811000000000001</v>
      </c>
      <c r="BD1652">
        <v>1</v>
      </c>
      <c r="BE1652" t="s">
        <v>69</v>
      </c>
      <c r="BF1652">
        <v>7.0999999999999994E-2</v>
      </c>
      <c r="BG1652">
        <v>-0.27900000000000003</v>
      </c>
    </row>
    <row r="1653" spans="1:59">
      <c r="A1653">
        <v>0</v>
      </c>
      <c r="B1653">
        <v>15</v>
      </c>
      <c r="C1653">
        <v>0</v>
      </c>
      <c r="D1653" t="s">
        <v>25022</v>
      </c>
      <c r="E1653">
        <v>4064</v>
      </c>
      <c r="F1653" t="s">
        <v>23921</v>
      </c>
      <c r="G1653" t="s">
        <v>62</v>
      </c>
      <c r="H1653">
        <v>4030713</v>
      </c>
      <c r="I1653">
        <v>4031645</v>
      </c>
      <c r="J1653" t="s">
        <v>2569</v>
      </c>
      <c r="K1653">
        <v>311</v>
      </c>
      <c r="L1653" t="s">
        <v>108</v>
      </c>
      <c r="M1653">
        <v>44</v>
      </c>
      <c r="N1653" t="str">
        <f>HYPERLINK("Gene4064-zp_tree_all.dnd", "Gene4064-tree")</f>
        <v>Gene4064-tree</v>
      </c>
      <c r="O1653">
        <v>2</v>
      </c>
      <c r="P1653">
        <v>13</v>
      </c>
      <c r="Q1653">
        <v>2</v>
      </c>
      <c r="R1653">
        <v>13</v>
      </c>
      <c r="S1653">
        <v>0.86667000000000005</v>
      </c>
      <c r="T1653" t="s">
        <v>81</v>
      </c>
      <c r="U1653" t="s">
        <v>507</v>
      </c>
      <c r="V1653" t="s">
        <v>62</v>
      </c>
      <c r="W1653" t="s">
        <v>62</v>
      </c>
      <c r="X1653">
        <v>4</v>
      </c>
      <c r="Y1653">
        <v>15</v>
      </c>
      <c r="Z1653">
        <v>7</v>
      </c>
      <c r="AA1653">
        <v>0.68181999999999998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10</v>
      </c>
      <c r="AH1653">
        <v>0</v>
      </c>
      <c r="AI1653">
        <v>10</v>
      </c>
      <c r="AJ1653">
        <v>7</v>
      </c>
      <c r="AK1653">
        <v>0.58823999999999999</v>
      </c>
      <c r="AL1653">
        <v>15</v>
      </c>
      <c r="AM1653">
        <v>9</v>
      </c>
      <c r="AN1653">
        <v>48</v>
      </c>
      <c r="AO1653">
        <v>17</v>
      </c>
      <c r="AP1653">
        <v>11</v>
      </c>
      <c r="AQ1653">
        <v>5</v>
      </c>
      <c r="AR1653" t="s">
        <v>23922</v>
      </c>
      <c r="AS1653" t="s">
        <v>23923</v>
      </c>
      <c r="AT1653">
        <v>0.49099999999999999</v>
      </c>
      <c r="AU1653" t="s">
        <v>65</v>
      </c>
      <c r="AV1653">
        <v>59</v>
      </c>
      <c r="AW1653">
        <v>22</v>
      </c>
      <c r="AX1653" t="s">
        <v>23924</v>
      </c>
      <c r="AY1653">
        <v>4.2259999999999999E-2</v>
      </c>
      <c r="AZ1653">
        <v>-2.1800000000000001E-3</v>
      </c>
      <c r="BA1653">
        <v>4.4000000000000003E-3</v>
      </c>
      <c r="BB1653">
        <v>-1.9000000000000001E-4</v>
      </c>
      <c r="BC1653">
        <v>0.1042</v>
      </c>
      <c r="BD1653">
        <v>1</v>
      </c>
      <c r="BE1653" t="s">
        <v>69</v>
      </c>
      <c r="BF1653">
        <v>-0.38</v>
      </c>
      <c r="BG1653">
        <v>-1.3320000000000001</v>
      </c>
    </row>
    <row r="1654" spans="1:59">
      <c r="A1654">
        <v>2</v>
      </c>
      <c r="B1654">
        <v>7</v>
      </c>
      <c r="C1654">
        <v>2</v>
      </c>
      <c r="D1654" t="s">
        <v>25022</v>
      </c>
      <c r="E1654">
        <v>1615</v>
      </c>
      <c r="F1654" t="s">
        <v>10112</v>
      </c>
      <c r="G1654" t="s">
        <v>57</v>
      </c>
      <c r="H1654">
        <v>1627718</v>
      </c>
      <c r="I1654">
        <v>1628650</v>
      </c>
      <c r="J1654" t="s">
        <v>10113</v>
      </c>
      <c r="K1654">
        <v>311</v>
      </c>
      <c r="L1654" t="s">
        <v>108</v>
      </c>
      <c r="M1654">
        <v>44</v>
      </c>
      <c r="N1654" t="str">
        <f>HYPERLINK("Gene1615-zp_tree_all.dnd", "Gene1615-tree")</f>
        <v>Gene1615-tree</v>
      </c>
      <c r="O1654">
        <v>2</v>
      </c>
      <c r="P1654">
        <v>10</v>
      </c>
      <c r="Q1654">
        <v>2</v>
      </c>
      <c r="R1654">
        <v>10</v>
      </c>
      <c r="S1654">
        <v>0.83333000000000002</v>
      </c>
      <c r="T1654" t="s">
        <v>81</v>
      </c>
      <c r="U1654" t="s">
        <v>117</v>
      </c>
      <c r="V1654" t="s">
        <v>62</v>
      </c>
      <c r="W1654" t="s">
        <v>62</v>
      </c>
      <c r="X1654">
        <v>3</v>
      </c>
      <c r="Y1654">
        <v>11</v>
      </c>
      <c r="Z1654">
        <v>10</v>
      </c>
      <c r="AA1654">
        <v>0.52381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5</v>
      </c>
      <c r="AH1654">
        <v>1</v>
      </c>
      <c r="AI1654">
        <v>6</v>
      </c>
      <c r="AJ1654">
        <v>9</v>
      </c>
      <c r="AK1654">
        <v>0.4</v>
      </c>
      <c r="AL1654">
        <v>12</v>
      </c>
      <c r="AM1654">
        <v>9</v>
      </c>
      <c r="AN1654">
        <v>52</v>
      </c>
      <c r="AO1654">
        <v>16</v>
      </c>
      <c r="AP1654">
        <v>19</v>
      </c>
      <c r="AQ1654">
        <v>6</v>
      </c>
      <c r="AR1654" t="s">
        <v>10114</v>
      </c>
      <c r="AS1654" t="s">
        <v>10115</v>
      </c>
      <c r="AT1654">
        <v>6.9000000000000006E-2</v>
      </c>
      <c r="AU1654" t="s">
        <v>65</v>
      </c>
      <c r="AV1654">
        <v>71</v>
      </c>
      <c r="AW1654">
        <v>22</v>
      </c>
      <c r="AX1654" t="s">
        <v>10116</v>
      </c>
      <c r="AY1654">
        <v>5.9990000000000002E-2</v>
      </c>
      <c r="AZ1654">
        <v>-2.2000000000000001E-3</v>
      </c>
      <c r="BA1654">
        <v>6.0000000000000001E-3</v>
      </c>
      <c r="BB1654">
        <v>-2.5999999999999998E-4</v>
      </c>
      <c r="BC1654">
        <v>9.9979999999999999E-2</v>
      </c>
      <c r="BD1654">
        <v>1</v>
      </c>
      <c r="BE1654" t="s">
        <v>69</v>
      </c>
      <c r="BF1654">
        <v>-0.54500000000000004</v>
      </c>
      <c r="BG1654">
        <v>-2.2879999999999998</v>
      </c>
    </row>
    <row r="1655" spans="1:59">
      <c r="A1655">
        <v>0</v>
      </c>
      <c r="B1655">
        <v>13</v>
      </c>
      <c r="C1655">
        <v>2</v>
      </c>
      <c r="D1655" t="s">
        <v>25022</v>
      </c>
      <c r="E1655">
        <v>865</v>
      </c>
      <c r="F1655" t="s">
        <v>5400</v>
      </c>
      <c r="G1655" t="s">
        <v>57</v>
      </c>
      <c r="H1655">
        <v>905816</v>
      </c>
      <c r="I1655">
        <v>906748</v>
      </c>
      <c r="J1655" t="s">
        <v>5401</v>
      </c>
      <c r="K1655">
        <v>311</v>
      </c>
      <c r="L1655" t="s">
        <v>108</v>
      </c>
      <c r="M1655">
        <v>44</v>
      </c>
      <c r="N1655" t="str">
        <f>HYPERLINK("Gene865-zp_tree_all.dnd", "Gene865-tree")</f>
        <v>Gene865-tree</v>
      </c>
      <c r="O1655">
        <v>25</v>
      </c>
      <c r="P1655">
        <v>11</v>
      </c>
      <c r="Q1655">
        <v>6</v>
      </c>
      <c r="R1655">
        <v>11</v>
      </c>
      <c r="S1655">
        <v>0.64705999999999997</v>
      </c>
      <c r="T1655" t="s">
        <v>965</v>
      </c>
      <c r="U1655" t="s">
        <v>73</v>
      </c>
      <c r="V1655">
        <v>4.5810000000000004</v>
      </c>
      <c r="W1655" t="s">
        <v>267</v>
      </c>
      <c r="X1655">
        <v>6</v>
      </c>
      <c r="Y1655">
        <v>15</v>
      </c>
      <c r="Z1655">
        <v>19</v>
      </c>
      <c r="AA1655">
        <v>0.44118000000000002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7</v>
      </c>
      <c r="AH1655">
        <v>2</v>
      </c>
      <c r="AI1655">
        <v>9</v>
      </c>
      <c r="AJ1655">
        <v>12</v>
      </c>
      <c r="AK1655">
        <v>0.42857000000000001</v>
      </c>
      <c r="AL1655">
        <v>15</v>
      </c>
      <c r="AM1655">
        <v>12</v>
      </c>
      <c r="AN1655">
        <v>54</v>
      </c>
      <c r="AO1655">
        <v>21</v>
      </c>
      <c r="AP1655">
        <v>65</v>
      </c>
      <c r="AQ1655">
        <v>13</v>
      </c>
      <c r="AR1655" t="s">
        <v>5402</v>
      </c>
      <c r="AS1655" t="s">
        <v>5403</v>
      </c>
      <c r="AT1655">
        <v>0.87</v>
      </c>
      <c r="AU1655" t="s">
        <v>65</v>
      </c>
      <c r="AV1655">
        <v>119</v>
      </c>
      <c r="AW1655">
        <v>34</v>
      </c>
      <c r="AX1655" t="s">
        <v>5404</v>
      </c>
      <c r="AY1655">
        <v>9.3289999999999998E-2</v>
      </c>
      <c r="AZ1655">
        <v>-3.14E-3</v>
      </c>
      <c r="BA1655">
        <v>9.0399999999999994E-3</v>
      </c>
      <c r="BB1655">
        <v>-3.5E-4</v>
      </c>
      <c r="BC1655">
        <v>9.6890000000000004E-2</v>
      </c>
      <c r="BD1655">
        <v>1</v>
      </c>
      <c r="BE1655" t="s">
        <v>69</v>
      </c>
      <c r="BF1655">
        <v>7.3999999999999996E-2</v>
      </c>
      <c r="BG1655">
        <v>-0.32600000000000001</v>
      </c>
    </row>
    <row r="1656" spans="1:59">
      <c r="A1656">
        <v>0</v>
      </c>
      <c r="B1656">
        <v>4</v>
      </c>
      <c r="C1656">
        <v>0</v>
      </c>
      <c r="D1656" t="s">
        <v>25022</v>
      </c>
      <c r="E1656">
        <v>927</v>
      </c>
      <c r="F1656" t="s">
        <v>5801</v>
      </c>
      <c r="G1656" t="s">
        <v>57</v>
      </c>
      <c r="H1656">
        <v>969162</v>
      </c>
      <c r="I1656">
        <v>970094</v>
      </c>
      <c r="J1656" t="s">
        <v>288</v>
      </c>
      <c r="K1656">
        <v>311</v>
      </c>
      <c r="L1656" t="s">
        <v>108</v>
      </c>
      <c r="M1656">
        <v>44</v>
      </c>
      <c r="N1656" t="str">
        <f>HYPERLINK("Gene927-zp_tree_all.dnd", "Gene927-tree")</f>
        <v>Gene927-tree</v>
      </c>
      <c r="O1656">
        <v>4</v>
      </c>
      <c r="P1656">
        <v>10</v>
      </c>
      <c r="Q1656">
        <v>4</v>
      </c>
      <c r="R1656">
        <v>10</v>
      </c>
      <c r="S1656">
        <v>0.71428999999999998</v>
      </c>
      <c r="T1656" t="s">
        <v>61</v>
      </c>
      <c r="U1656" t="s">
        <v>117</v>
      </c>
      <c r="V1656" t="s">
        <v>62</v>
      </c>
      <c r="W1656" t="s">
        <v>62</v>
      </c>
      <c r="X1656">
        <v>1</v>
      </c>
      <c r="Y1656">
        <v>4</v>
      </c>
      <c r="Z1656">
        <v>9</v>
      </c>
      <c r="AA1656">
        <v>0.30769000000000002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2</v>
      </c>
      <c r="AH1656">
        <v>0</v>
      </c>
      <c r="AI1656">
        <v>2</v>
      </c>
      <c r="AJ1656">
        <v>8</v>
      </c>
      <c r="AK1656">
        <v>0.2</v>
      </c>
      <c r="AL1656">
        <v>11</v>
      </c>
      <c r="AM1656">
        <v>9</v>
      </c>
      <c r="AN1656">
        <v>24</v>
      </c>
      <c r="AO1656">
        <v>10</v>
      </c>
      <c r="AP1656">
        <v>10</v>
      </c>
      <c r="AQ1656">
        <v>3</v>
      </c>
      <c r="AR1656" t="s">
        <v>5802</v>
      </c>
      <c r="AS1656" t="s">
        <v>5803</v>
      </c>
      <c r="AT1656">
        <v>0.36299999999999999</v>
      </c>
      <c r="AU1656" t="s">
        <v>65</v>
      </c>
      <c r="AV1656">
        <v>34</v>
      </c>
      <c r="AW1656">
        <v>13</v>
      </c>
      <c r="AX1656" t="s">
        <v>5804</v>
      </c>
      <c r="AY1656">
        <v>3.2370000000000003E-2</v>
      </c>
      <c r="AZ1656">
        <v>-2.0799999999999998E-3</v>
      </c>
      <c r="BA1656">
        <v>2.99E-3</v>
      </c>
      <c r="BB1656">
        <v>-1.2999999999999999E-4</v>
      </c>
      <c r="BC1656">
        <v>9.2450000000000004E-2</v>
      </c>
      <c r="BD1656">
        <v>1</v>
      </c>
      <c r="BE1656" t="s">
        <v>69</v>
      </c>
      <c r="BF1656">
        <v>-1.081</v>
      </c>
      <c r="BG1656">
        <v>-2.6360000000000001</v>
      </c>
    </row>
    <row r="1657" spans="1:59">
      <c r="A1657">
        <v>0</v>
      </c>
      <c r="B1657">
        <v>2</v>
      </c>
      <c r="C1657">
        <v>0</v>
      </c>
      <c r="D1657" t="s">
        <v>25022</v>
      </c>
      <c r="E1657">
        <v>768</v>
      </c>
      <c r="F1657" t="s">
        <v>4771</v>
      </c>
      <c r="G1657" t="s">
        <v>57</v>
      </c>
      <c r="H1657">
        <v>802351</v>
      </c>
      <c r="I1657">
        <v>803283</v>
      </c>
      <c r="J1657" t="s">
        <v>4765</v>
      </c>
      <c r="K1657">
        <v>311</v>
      </c>
      <c r="L1657" t="s">
        <v>108</v>
      </c>
      <c r="M1657">
        <v>44</v>
      </c>
      <c r="N1657" t="str">
        <f>HYPERLINK("Gene768-zp_tree_all.dnd", "Gene768-tree")</f>
        <v>Gene768-tree</v>
      </c>
      <c r="O1657">
        <v>9</v>
      </c>
      <c r="P1657">
        <v>5</v>
      </c>
      <c r="Q1657">
        <v>9</v>
      </c>
      <c r="R1657">
        <v>5</v>
      </c>
      <c r="S1657">
        <v>0.35714000000000001</v>
      </c>
      <c r="T1657" t="s">
        <v>135</v>
      </c>
      <c r="U1657" t="s">
        <v>199</v>
      </c>
      <c r="V1657" t="s">
        <v>62</v>
      </c>
      <c r="W1657" t="s">
        <v>62</v>
      </c>
      <c r="X1657">
        <v>1</v>
      </c>
      <c r="Y1657">
        <v>2</v>
      </c>
      <c r="Z1657">
        <v>9</v>
      </c>
      <c r="AA1657">
        <v>0.18182000000000001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8</v>
      </c>
      <c r="AK1657">
        <v>0</v>
      </c>
      <c r="AL1657">
        <v>11</v>
      </c>
      <c r="AM1657">
        <v>9</v>
      </c>
      <c r="AN1657">
        <v>24</v>
      </c>
      <c r="AO1657">
        <v>8</v>
      </c>
      <c r="AP1657">
        <v>17</v>
      </c>
      <c r="AQ1657">
        <v>3</v>
      </c>
      <c r="AR1657" t="s">
        <v>4772</v>
      </c>
      <c r="AS1657" t="s">
        <v>4773</v>
      </c>
      <c r="AT1657">
        <v>0.48199999999999998</v>
      </c>
      <c r="AU1657" t="s">
        <v>65</v>
      </c>
      <c r="AV1657">
        <v>41</v>
      </c>
      <c r="AW1657">
        <v>11</v>
      </c>
      <c r="AX1657" t="s">
        <v>4774</v>
      </c>
      <c r="AY1657">
        <v>3.2939999999999997E-2</v>
      </c>
      <c r="AZ1657">
        <v>-1.34E-3</v>
      </c>
      <c r="BA1657">
        <v>2.5899999999999999E-3</v>
      </c>
      <c r="BB1657">
        <v>-1.9000000000000001E-4</v>
      </c>
      <c r="BC1657">
        <v>7.8700000000000006E-2</v>
      </c>
      <c r="BD1657">
        <v>1</v>
      </c>
      <c r="BE1657" t="s">
        <v>69</v>
      </c>
      <c r="BF1657">
        <v>-0.7</v>
      </c>
      <c r="BG1657">
        <v>-1.421</v>
      </c>
    </row>
    <row r="1658" spans="1:59">
      <c r="A1658">
        <v>0</v>
      </c>
      <c r="B1658">
        <v>2</v>
      </c>
      <c r="C1658">
        <v>2</v>
      </c>
      <c r="D1658" t="s">
        <v>25022</v>
      </c>
      <c r="E1658">
        <v>1575</v>
      </c>
      <c r="F1658" t="s">
        <v>9844</v>
      </c>
      <c r="G1658" t="s">
        <v>57</v>
      </c>
      <c r="H1658">
        <v>1580622</v>
      </c>
      <c r="I1658">
        <v>1581554</v>
      </c>
      <c r="J1658" t="s">
        <v>9845</v>
      </c>
      <c r="K1658">
        <v>311</v>
      </c>
      <c r="L1658" t="s">
        <v>125</v>
      </c>
      <c r="M1658">
        <v>48</v>
      </c>
      <c r="N1658" t="str">
        <f>HYPERLINK("Gene1575-zp_tree_all.dnd", "Gene1575-tree")</f>
        <v>Gene1575-tree</v>
      </c>
      <c r="O1658">
        <v>7</v>
      </c>
      <c r="P1658">
        <v>7</v>
      </c>
      <c r="Q1658">
        <v>7</v>
      </c>
      <c r="R1658">
        <v>7</v>
      </c>
      <c r="S1658">
        <v>0.5</v>
      </c>
      <c r="T1658" t="s">
        <v>152</v>
      </c>
      <c r="U1658" t="s">
        <v>152</v>
      </c>
      <c r="V1658" t="s">
        <v>62</v>
      </c>
      <c r="W1658" t="s">
        <v>62</v>
      </c>
      <c r="X1658">
        <v>2</v>
      </c>
      <c r="Y1658">
        <v>4</v>
      </c>
      <c r="Z1658">
        <v>11</v>
      </c>
      <c r="AA1658">
        <v>0.26667000000000002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</v>
      </c>
      <c r="AH1658">
        <v>0</v>
      </c>
      <c r="AI1658">
        <v>2</v>
      </c>
      <c r="AJ1658">
        <v>9</v>
      </c>
      <c r="AK1658">
        <v>0.18182000000000001</v>
      </c>
      <c r="AL1658">
        <v>10</v>
      </c>
      <c r="AM1658">
        <v>6</v>
      </c>
      <c r="AN1658">
        <v>32</v>
      </c>
      <c r="AO1658">
        <v>12</v>
      </c>
      <c r="AP1658">
        <v>27</v>
      </c>
      <c r="AQ1658">
        <v>4</v>
      </c>
      <c r="AR1658" t="s">
        <v>9846</v>
      </c>
      <c r="AS1658" t="s">
        <v>9847</v>
      </c>
      <c r="AT1658">
        <v>0.48399999999999999</v>
      </c>
      <c r="AU1658" t="s">
        <v>65</v>
      </c>
      <c r="AV1658">
        <v>59</v>
      </c>
      <c r="AW1658">
        <v>16</v>
      </c>
      <c r="AX1658" t="s">
        <v>9848</v>
      </c>
      <c r="AY1658">
        <v>5.9279999999999999E-2</v>
      </c>
      <c r="AZ1658">
        <v>-7.7000000000000002E-3</v>
      </c>
      <c r="BA1658">
        <v>4.1900000000000001E-3</v>
      </c>
      <c r="BB1658">
        <v>-3.6999999999999999E-4</v>
      </c>
      <c r="BC1658">
        <v>7.0730000000000001E-2</v>
      </c>
      <c r="BD1658">
        <v>1</v>
      </c>
      <c r="BE1658" t="s">
        <v>69</v>
      </c>
      <c r="BF1658">
        <v>-1.161</v>
      </c>
      <c r="BG1658">
        <v>1.226</v>
      </c>
    </row>
    <row r="1659" spans="1:59">
      <c r="A1659">
        <v>2</v>
      </c>
      <c r="B1659">
        <v>8</v>
      </c>
      <c r="C1659">
        <v>0</v>
      </c>
      <c r="D1659" t="s">
        <v>25022</v>
      </c>
      <c r="E1659">
        <v>3986</v>
      </c>
      <c r="F1659" t="s">
        <v>23432</v>
      </c>
      <c r="G1659" t="s">
        <v>62</v>
      </c>
      <c r="H1659">
        <v>3950729</v>
      </c>
      <c r="I1659">
        <v>3951661</v>
      </c>
      <c r="J1659" t="s">
        <v>23433</v>
      </c>
      <c r="K1659">
        <v>311</v>
      </c>
      <c r="L1659" t="s">
        <v>698</v>
      </c>
      <c r="M1659">
        <v>47</v>
      </c>
      <c r="N1659" t="str">
        <f>HYPERLINK("Gene3986-zp_tree_all.dnd", "Gene3986-tree")</f>
        <v>Gene3986-tree</v>
      </c>
      <c r="O1659">
        <v>13</v>
      </c>
      <c r="P1659">
        <v>4</v>
      </c>
      <c r="Q1659">
        <v>13</v>
      </c>
      <c r="R1659">
        <v>4</v>
      </c>
      <c r="S1659">
        <v>0.23529</v>
      </c>
      <c r="T1659" t="s">
        <v>507</v>
      </c>
      <c r="U1659" t="s">
        <v>61</v>
      </c>
      <c r="V1659" t="s">
        <v>62</v>
      </c>
      <c r="W1659" t="s">
        <v>62</v>
      </c>
      <c r="X1659">
        <v>3</v>
      </c>
      <c r="Y1659">
        <v>10</v>
      </c>
      <c r="Z1659">
        <v>3</v>
      </c>
      <c r="AA1659">
        <v>0.76922999999999997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</v>
      </c>
      <c r="AI1659">
        <v>2</v>
      </c>
      <c r="AJ1659">
        <v>3</v>
      </c>
      <c r="AK1659">
        <v>0.4</v>
      </c>
      <c r="AL1659">
        <v>13</v>
      </c>
      <c r="AM1659">
        <v>13</v>
      </c>
      <c r="AN1659">
        <v>44</v>
      </c>
      <c r="AO1659">
        <v>3</v>
      </c>
      <c r="AP1659">
        <v>61</v>
      </c>
      <c r="AQ1659">
        <v>10</v>
      </c>
      <c r="AR1659" t="s">
        <v>23434</v>
      </c>
      <c r="AS1659" t="s">
        <v>23435</v>
      </c>
      <c r="AT1659">
        <v>0.83299999999999996</v>
      </c>
      <c r="AU1659" t="s">
        <v>65</v>
      </c>
      <c r="AV1659">
        <v>105</v>
      </c>
      <c r="AW1659">
        <v>13</v>
      </c>
      <c r="AX1659" t="s">
        <v>23436</v>
      </c>
      <c r="AY1659">
        <v>8.3979999999999999E-2</v>
      </c>
      <c r="AZ1659">
        <v>-3.8800000000000002E-3</v>
      </c>
      <c r="BA1659">
        <v>3.2299999999999998E-3</v>
      </c>
      <c r="BB1659">
        <v>-1.7000000000000001E-4</v>
      </c>
      <c r="BC1659">
        <v>3.8460000000000001E-2</v>
      </c>
      <c r="BD1659">
        <v>1</v>
      </c>
      <c r="BE1659" t="s">
        <v>69</v>
      </c>
      <c r="BF1659">
        <v>-0.60399999999999998</v>
      </c>
      <c r="BG1659">
        <v>-0.72799999999999998</v>
      </c>
    </row>
    <row r="1660" spans="1:59">
      <c r="A1660">
        <v>0</v>
      </c>
      <c r="B1660">
        <v>4</v>
      </c>
      <c r="C1660">
        <v>0</v>
      </c>
      <c r="D1660" t="s">
        <v>25022</v>
      </c>
      <c r="E1660">
        <v>1181</v>
      </c>
      <c r="F1660" t="s">
        <v>7428</v>
      </c>
      <c r="G1660" t="s">
        <v>57</v>
      </c>
      <c r="H1660">
        <v>1221594</v>
      </c>
      <c r="I1660">
        <v>1222526</v>
      </c>
      <c r="J1660" t="s">
        <v>7395</v>
      </c>
      <c r="K1660">
        <v>311</v>
      </c>
      <c r="L1660" t="s">
        <v>7429</v>
      </c>
      <c r="M1660">
        <v>45</v>
      </c>
      <c r="N1660" t="str">
        <f>HYPERLINK("Gene1181-zp_tree_all.dnd", "Gene1181-tree")</f>
        <v>Gene1181-tree</v>
      </c>
      <c r="O1660">
        <v>16</v>
      </c>
      <c r="P1660">
        <v>1</v>
      </c>
      <c r="Q1660">
        <v>16</v>
      </c>
      <c r="R1660">
        <v>1</v>
      </c>
      <c r="S1660">
        <v>5.8819999999999997E-2</v>
      </c>
      <c r="T1660" t="s">
        <v>60</v>
      </c>
      <c r="U1660" t="s">
        <v>175</v>
      </c>
      <c r="V1660" t="s">
        <v>62</v>
      </c>
      <c r="W1660" t="s">
        <v>62</v>
      </c>
      <c r="X1660">
        <v>2</v>
      </c>
      <c r="Y1660">
        <v>4</v>
      </c>
      <c r="Z1660">
        <v>4</v>
      </c>
      <c r="AA1660">
        <v>0.5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15</v>
      </c>
      <c r="AM1660">
        <v>11</v>
      </c>
      <c r="AN1660">
        <v>41</v>
      </c>
      <c r="AO1660">
        <v>1</v>
      </c>
      <c r="AP1660">
        <v>66</v>
      </c>
      <c r="AQ1660">
        <v>8</v>
      </c>
      <c r="AR1660" t="s">
        <v>7430</v>
      </c>
      <c r="AS1660" t="s">
        <v>7431</v>
      </c>
      <c r="AT1660">
        <v>0.64</v>
      </c>
      <c r="AU1660" t="s">
        <v>65</v>
      </c>
      <c r="AV1660">
        <v>107</v>
      </c>
      <c r="AW1660">
        <v>9</v>
      </c>
      <c r="AX1660" t="s">
        <v>7432</v>
      </c>
      <c r="AY1660">
        <v>9.9349999999999994E-2</v>
      </c>
      <c r="AZ1660">
        <v>-5.5300000000000002E-3</v>
      </c>
      <c r="BA1660">
        <v>2.9299999999999999E-3</v>
      </c>
      <c r="BB1660">
        <v>-2.2000000000000001E-4</v>
      </c>
      <c r="BC1660">
        <v>2.947E-2</v>
      </c>
      <c r="BD1660">
        <v>1</v>
      </c>
      <c r="BE1660" t="s">
        <v>69</v>
      </c>
      <c r="BF1660">
        <v>-0.23400000000000001</v>
      </c>
      <c r="BG1660">
        <v>0.254</v>
      </c>
    </row>
    <row r="1661" spans="1:59">
      <c r="A1661">
        <v>0</v>
      </c>
      <c r="B1661">
        <v>2</v>
      </c>
      <c r="C1661">
        <v>0</v>
      </c>
      <c r="D1661" t="s">
        <v>25022</v>
      </c>
      <c r="E1661">
        <v>3014</v>
      </c>
      <c r="F1661" t="s">
        <v>17415</v>
      </c>
      <c r="G1661" t="s">
        <v>62</v>
      </c>
      <c r="H1661">
        <v>2963188</v>
      </c>
      <c r="I1661">
        <v>2964120</v>
      </c>
      <c r="J1661" t="s">
        <v>17416</v>
      </c>
      <c r="K1661">
        <v>311</v>
      </c>
      <c r="L1661" t="s">
        <v>108</v>
      </c>
      <c r="M1661">
        <v>44</v>
      </c>
      <c r="N1661" t="str">
        <f>HYPERLINK("Gene3014-zp_tree_all.dnd", "Gene3014-tree")</f>
        <v>Gene3014-tree</v>
      </c>
      <c r="O1661">
        <v>11</v>
      </c>
      <c r="P1661">
        <v>3</v>
      </c>
      <c r="Q1661">
        <v>11</v>
      </c>
      <c r="R1661">
        <v>3</v>
      </c>
      <c r="S1661">
        <v>0.21429000000000001</v>
      </c>
      <c r="T1661" t="s">
        <v>73</v>
      </c>
      <c r="U1661" t="s">
        <v>324</v>
      </c>
      <c r="V1661" t="s">
        <v>62</v>
      </c>
      <c r="W1661" t="s">
        <v>62</v>
      </c>
      <c r="X1661">
        <v>1</v>
      </c>
      <c r="Y1661">
        <v>2</v>
      </c>
      <c r="Z1661">
        <v>5</v>
      </c>
      <c r="AA1661">
        <v>0.28571000000000002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5</v>
      </c>
      <c r="AK1661">
        <v>0</v>
      </c>
      <c r="AL1661">
        <v>10</v>
      </c>
      <c r="AM1661">
        <v>8</v>
      </c>
      <c r="AN1661">
        <v>28</v>
      </c>
      <c r="AO1661">
        <v>4</v>
      </c>
      <c r="AP1661">
        <v>30</v>
      </c>
      <c r="AQ1661">
        <v>3</v>
      </c>
      <c r="AR1661" t="s">
        <v>17417</v>
      </c>
      <c r="AS1661" t="s">
        <v>17418</v>
      </c>
      <c r="AT1661">
        <v>0.16300000000000001</v>
      </c>
      <c r="AU1661" t="s">
        <v>65</v>
      </c>
      <c r="AV1661">
        <v>58</v>
      </c>
      <c r="AW1661">
        <v>7</v>
      </c>
      <c r="AX1661" t="s">
        <v>17419</v>
      </c>
      <c r="AY1661">
        <v>6.7820000000000005E-2</v>
      </c>
      <c r="AZ1661">
        <v>-2.5799999999999998E-3</v>
      </c>
      <c r="BA1661">
        <v>1.8699999999999999E-3</v>
      </c>
      <c r="BB1661">
        <v>-1.7000000000000001E-4</v>
      </c>
      <c r="BC1661">
        <v>2.759E-2</v>
      </c>
      <c r="BD1661">
        <v>1</v>
      </c>
      <c r="BE1661" t="s">
        <v>69</v>
      </c>
      <c r="BF1661">
        <v>0.23</v>
      </c>
      <c r="BG1661">
        <v>-0.33900000000000002</v>
      </c>
    </row>
    <row r="1662" spans="1:59">
      <c r="A1662">
        <v>0</v>
      </c>
      <c r="B1662">
        <v>0</v>
      </c>
      <c r="C1662">
        <v>0</v>
      </c>
      <c r="D1662" t="s">
        <v>25022</v>
      </c>
      <c r="E1662">
        <v>2648</v>
      </c>
      <c r="F1662" t="s">
        <v>15516</v>
      </c>
      <c r="G1662" t="s">
        <v>62</v>
      </c>
      <c r="H1662">
        <v>2623828</v>
      </c>
      <c r="I1662">
        <v>2624760</v>
      </c>
      <c r="J1662" t="s">
        <v>15517</v>
      </c>
      <c r="K1662">
        <v>311</v>
      </c>
      <c r="L1662" t="s">
        <v>125</v>
      </c>
      <c r="M1662">
        <v>48</v>
      </c>
      <c r="N1662" t="str">
        <f>HYPERLINK("Gene2648-zp_tree_all.dnd", "Gene2648-tree")</f>
        <v>Gene2648-tree</v>
      </c>
      <c r="O1662">
        <v>12</v>
      </c>
      <c r="P1662">
        <v>3</v>
      </c>
      <c r="Q1662">
        <v>12</v>
      </c>
      <c r="R1662">
        <v>3</v>
      </c>
      <c r="S1662">
        <v>0.2</v>
      </c>
      <c r="T1662" t="s">
        <v>109</v>
      </c>
      <c r="U1662" t="s">
        <v>324</v>
      </c>
      <c r="V1662" t="s">
        <v>62</v>
      </c>
      <c r="W1662" t="s">
        <v>62</v>
      </c>
      <c r="X1662">
        <v>0</v>
      </c>
      <c r="Y1662">
        <v>0</v>
      </c>
      <c r="Z1662">
        <v>5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4</v>
      </c>
      <c r="AK1662">
        <v>0</v>
      </c>
      <c r="AL1662">
        <v>10</v>
      </c>
      <c r="AM1662">
        <v>7</v>
      </c>
      <c r="AN1662">
        <v>16</v>
      </c>
      <c r="AO1662">
        <v>2</v>
      </c>
      <c r="AP1662">
        <v>51</v>
      </c>
      <c r="AQ1662">
        <v>3</v>
      </c>
      <c r="AR1662" t="s">
        <v>15518</v>
      </c>
      <c r="AS1662" t="s">
        <v>15519</v>
      </c>
      <c r="AT1662">
        <v>0.34899999999999998</v>
      </c>
      <c r="AU1662" t="s">
        <v>65</v>
      </c>
      <c r="AV1662">
        <v>67</v>
      </c>
      <c r="AW1662">
        <v>5</v>
      </c>
      <c r="AX1662" t="s">
        <v>15520</v>
      </c>
      <c r="AY1662">
        <v>9.2170000000000002E-2</v>
      </c>
      <c r="AZ1662">
        <v>-7.9799999999999992E-3</v>
      </c>
      <c r="BA1662">
        <v>1.4E-3</v>
      </c>
      <c r="BB1662">
        <v>-1.4999999999999999E-4</v>
      </c>
      <c r="BC1662">
        <v>1.521E-2</v>
      </c>
      <c r="BD1662">
        <v>1</v>
      </c>
      <c r="BE1662" t="s">
        <v>69</v>
      </c>
      <c r="BF1662">
        <v>-1.6830000000000001</v>
      </c>
      <c r="BG1662">
        <v>0.51100000000000001</v>
      </c>
    </row>
    <row r="1663" spans="1:59">
      <c r="A1663">
        <v>0</v>
      </c>
      <c r="B1663">
        <v>0</v>
      </c>
      <c r="C1663">
        <v>2</v>
      </c>
      <c r="D1663" t="s">
        <v>25022</v>
      </c>
      <c r="E1663">
        <v>1307</v>
      </c>
      <c r="F1663" t="s">
        <v>8206</v>
      </c>
      <c r="G1663" t="s">
        <v>57</v>
      </c>
      <c r="H1663">
        <v>1329555</v>
      </c>
      <c r="I1663">
        <v>1330487</v>
      </c>
      <c r="J1663" t="s">
        <v>8207</v>
      </c>
      <c r="K1663">
        <v>311</v>
      </c>
      <c r="L1663" t="s">
        <v>727</v>
      </c>
      <c r="M1663">
        <v>48</v>
      </c>
      <c r="N1663" t="str">
        <f>HYPERLINK("Gene1307-zp_tree_all.dnd", "Gene1307-tree")</f>
        <v>Gene1307-tree</v>
      </c>
      <c r="O1663">
        <v>14</v>
      </c>
      <c r="P1663">
        <v>4</v>
      </c>
      <c r="Q1663">
        <v>14</v>
      </c>
      <c r="R1663">
        <v>4</v>
      </c>
      <c r="S1663">
        <v>0.22222</v>
      </c>
      <c r="T1663" t="s">
        <v>543</v>
      </c>
      <c r="U1663" t="s">
        <v>61</v>
      </c>
      <c r="V1663" t="s">
        <v>62</v>
      </c>
      <c r="W1663" t="s">
        <v>62</v>
      </c>
      <c r="X1663">
        <v>1</v>
      </c>
      <c r="Y1663">
        <v>2</v>
      </c>
      <c r="Z1663">
        <v>4</v>
      </c>
      <c r="AA1663">
        <v>0.33333000000000002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4</v>
      </c>
      <c r="AK1663">
        <v>0</v>
      </c>
      <c r="AL1663">
        <v>16</v>
      </c>
      <c r="AM1663">
        <v>14</v>
      </c>
      <c r="AN1663">
        <v>61</v>
      </c>
      <c r="AO1663">
        <v>3</v>
      </c>
      <c r="AP1663">
        <v>62</v>
      </c>
      <c r="AQ1663">
        <v>3</v>
      </c>
      <c r="AR1663" t="s">
        <v>8208</v>
      </c>
      <c r="AS1663" t="s">
        <v>8209</v>
      </c>
      <c r="AT1663">
        <v>1.2E-2</v>
      </c>
      <c r="AU1663" t="s">
        <v>65</v>
      </c>
      <c r="AV1663">
        <v>123</v>
      </c>
      <c r="AW1663">
        <v>6</v>
      </c>
      <c r="AX1663" t="s">
        <v>8210</v>
      </c>
      <c r="AY1663">
        <v>0.10795</v>
      </c>
      <c r="AZ1663">
        <v>-4.9100000000000003E-3</v>
      </c>
      <c r="BA1663">
        <v>1.4599999999999999E-3</v>
      </c>
      <c r="BB1663">
        <v>-1E-4</v>
      </c>
      <c r="BC1663">
        <v>1.35E-2</v>
      </c>
      <c r="BD1663">
        <v>1</v>
      </c>
      <c r="BE1663" t="s">
        <v>69</v>
      </c>
      <c r="BF1663">
        <v>-1.2669999999999999</v>
      </c>
      <c r="BG1663">
        <v>-1.88</v>
      </c>
    </row>
    <row r="1664" spans="1:59">
      <c r="A1664">
        <v>0</v>
      </c>
      <c r="B1664">
        <v>8</v>
      </c>
      <c r="C1664">
        <v>2</v>
      </c>
      <c r="D1664" t="s">
        <v>25022</v>
      </c>
      <c r="E1664">
        <v>254</v>
      </c>
      <c r="F1664" t="s">
        <v>1730</v>
      </c>
      <c r="G1664" t="s">
        <v>57</v>
      </c>
      <c r="H1664">
        <v>277342</v>
      </c>
      <c r="I1664">
        <v>278277</v>
      </c>
      <c r="J1664" t="s">
        <v>1731</v>
      </c>
      <c r="K1664">
        <v>312</v>
      </c>
      <c r="L1664" t="s">
        <v>1124</v>
      </c>
      <c r="M1664">
        <v>43</v>
      </c>
      <c r="N1664" t="str">
        <f>HYPERLINK("Gene254-zp_tree_all.dnd", "Gene254-tree")</f>
        <v>Gene254-tree</v>
      </c>
      <c r="O1664">
        <v>0</v>
      </c>
      <c r="P1664">
        <v>14</v>
      </c>
      <c r="Q1664">
        <v>0</v>
      </c>
      <c r="R1664">
        <v>14</v>
      </c>
      <c r="S1664">
        <v>1</v>
      </c>
      <c r="T1664" t="s">
        <v>62</v>
      </c>
      <c r="U1664" t="s">
        <v>543</v>
      </c>
      <c r="V1664">
        <v>143484786.68799999</v>
      </c>
      <c r="W1664" t="s">
        <v>65</v>
      </c>
      <c r="X1664">
        <v>5</v>
      </c>
      <c r="Y1664">
        <v>10</v>
      </c>
      <c r="Z1664">
        <v>16</v>
      </c>
      <c r="AA1664">
        <v>0.38462000000000002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6</v>
      </c>
      <c r="AH1664">
        <v>0</v>
      </c>
      <c r="AI1664">
        <v>6</v>
      </c>
      <c r="AJ1664">
        <v>12</v>
      </c>
      <c r="AK1664">
        <v>0.33333000000000002</v>
      </c>
      <c r="AL1664">
        <v>11</v>
      </c>
      <c r="AM1664">
        <v>9</v>
      </c>
      <c r="AN1664">
        <v>14</v>
      </c>
      <c r="AO1664">
        <v>14</v>
      </c>
      <c r="AP1664">
        <v>20</v>
      </c>
      <c r="AQ1664">
        <v>12</v>
      </c>
      <c r="AR1664" t="s">
        <v>1732</v>
      </c>
      <c r="AS1664" t="s">
        <v>1733</v>
      </c>
      <c r="AT1664">
        <v>0.82</v>
      </c>
      <c r="AU1664" t="s">
        <v>65</v>
      </c>
      <c r="AV1664">
        <v>34</v>
      </c>
      <c r="AW1664">
        <v>26</v>
      </c>
      <c r="AX1664" t="s">
        <v>1734</v>
      </c>
      <c r="AY1664">
        <v>3.075E-2</v>
      </c>
      <c r="AZ1664">
        <v>-1.2199999999999999E-3</v>
      </c>
      <c r="BA1664">
        <v>8.3899999999999999E-3</v>
      </c>
      <c r="BB1664">
        <v>-4.0999999999999999E-4</v>
      </c>
      <c r="BC1664">
        <v>0.27298</v>
      </c>
      <c r="BD1664">
        <v>1</v>
      </c>
      <c r="BE1664" t="s">
        <v>69</v>
      </c>
      <c r="BF1664">
        <v>0.108</v>
      </c>
      <c r="BG1664">
        <v>3.3000000000000002E-2</v>
      </c>
    </row>
    <row r="1665" spans="1:59">
      <c r="A1665">
        <v>0</v>
      </c>
      <c r="B1665">
        <v>4</v>
      </c>
      <c r="C1665">
        <v>2</v>
      </c>
      <c r="D1665" t="s">
        <v>25022</v>
      </c>
      <c r="E1665">
        <v>566</v>
      </c>
      <c r="F1665" t="s">
        <v>3642</v>
      </c>
      <c r="G1665" t="s">
        <v>57</v>
      </c>
      <c r="H1665">
        <v>597114</v>
      </c>
      <c r="I1665">
        <v>598049</v>
      </c>
      <c r="J1665" t="s">
        <v>3643</v>
      </c>
      <c r="K1665">
        <v>312</v>
      </c>
      <c r="L1665" t="s">
        <v>108</v>
      </c>
      <c r="M1665">
        <v>44</v>
      </c>
      <c r="N1665" t="str">
        <f>HYPERLINK("Gene566-zp_tree_all.dnd", "Gene566-tree")</f>
        <v>Gene566-tree</v>
      </c>
      <c r="O1665">
        <v>2</v>
      </c>
      <c r="P1665">
        <v>11</v>
      </c>
      <c r="Q1665">
        <v>2</v>
      </c>
      <c r="R1665">
        <v>11</v>
      </c>
      <c r="S1665">
        <v>0.84614999999999996</v>
      </c>
      <c r="T1665" t="s">
        <v>81</v>
      </c>
      <c r="U1665" t="s">
        <v>73</v>
      </c>
      <c r="V1665">
        <v>515075683.63</v>
      </c>
      <c r="W1665" t="s">
        <v>267</v>
      </c>
      <c r="X1665">
        <v>3</v>
      </c>
      <c r="Y1665">
        <v>6</v>
      </c>
      <c r="Z1665">
        <v>12</v>
      </c>
      <c r="AA1665">
        <v>0.33333000000000002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2</v>
      </c>
      <c r="AI1665">
        <v>2</v>
      </c>
      <c r="AJ1665">
        <v>12</v>
      </c>
      <c r="AK1665">
        <v>0.14285999999999999</v>
      </c>
      <c r="AL1665">
        <v>12</v>
      </c>
      <c r="AM1665">
        <v>8</v>
      </c>
      <c r="AN1665">
        <v>20</v>
      </c>
      <c r="AO1665">
        <v>13</v>
      </c>
      <c r="AP1665">
        <v>19</v>
      </c>
      <c r="AQ1665">
        <v>5</v>
      </c>
      <c r="AR1665" t="s">
        <v>3644</v>
      </c>
      <c r="AS1665" t="s">
        <v>3645</v>
      </c>
      <c r="AT1665">
        <v>2.3719999999999999</v>
      </c>
      <c r="AU1665" t="s">
        <v>267</v>
      </c>
      <c r="AV1665">
        <v>39</v>
      </c>
      <c r="AW1665">
        <v>18</v>
      </c>
      <c r="AX1665" t="s">
        <v>3646</v>
      </c>
      <c r="AY1665">
        <v>3.576E-2</v>
      </c>
      <c r="AZ1665">
        <v>-1.5399999999999999E-3</v>
      </c>
      <c r="BA1665">
        <v>4.7499999999999999E-3</v>
      </c>
      <c r="BB1665">
        <v>-1.8000000000000001E-4</v>
      </c>
      <c r="BC1665">
        <v>0.13270999999999999</v>
      </c>
      <c r="BD1665">
        <v>1</v>
      </c>
      <c r="BE1665" t="s">
        <v>69</v>
      </c>
      <c r="BF1665">
        <v>-0.67100000000000004</v>
      </c>
      <c r="BG1665">
        <v>-1.56</v>
      </c>
    </row>
    <row r="1666" spans="1:59">
      <c r="A1666">
        <v>0</v>
      </c>
      <c r="B1666">
        <v>4</v>
      </c>
      <c r="C1666">
        <v>0</v>
      </c>
      <c r="D1666" t="s">
        <v>25022</v>
      </c>
      <c r="E1666">
        <v>3315</v>
      </c>
      <c r="F1666" t="s">
        <v>19347</v>
      </c>
      <c r="G1666" t="s">
        <v>62</v>
      </c>
      <c r="H1666">
        <v>3287678</v>
      </c>
      <c r="I1666">
        <v>3288613</v>
      </c>
      <c r="J1666" t="s">
        <v>19348</v>
      </c>
      <c r="K1666">
        <v>312</v>
      </c>
      <c r="L1666" t="s">
        <v>108</v>
      </c>
      <c r="M1666">
        <v>44</v>
      </c>
      <c r="N1666" t="str">
        <f>HYPERLINK("Gene3315-zp_tree_all.dnd", "Gene3315-tree")</f>
        <v>Gene3315-tree</v>
      </c>
      <c r="O1666">
        <v>5</v>
      </c>
      <c r="P1666">
        <v>10</v>
      </c>
      <c r="Q1666">
        <v>5</v>
      </c>
      <c r="R1666">
        <v>10</v>
      </c>
      <c r="S1666">
        <v>0.66666999999999998</v>
      </c>
      <c r="T1666" t="s">
        <v>199</v>
      </c>
      <c r="U1666" t="s">
        <v>117</v>
      </c>
      <c r="V1666" t="s">
        <v>62</v>
      </c>
      <c r="W1666" t="s">
        <v>62</v>
      </c>
      <c r="X1666">
        <v>2</v>
      </c>
      <c r="Y1666">
        <v>4</v>
      </c>
      <c r="Z1666">
        <v>15</v>
      </c>
      <c r="AA1666">
        <v>0.21052999999999999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15</v>
      </c>
      <c r="AK1666">
        <v>0</v>
      </c>
      <c r="AL1666">
        <v>14</v>
      </c>
      <c r="AM1666">
        <v>10</v>
      </c>
      <c r="AN1666">
        <v>28</v>
      </c>
      <c r="AO1666">
        <v>15</v>
      </c>
      <c r="AP1666">
        <v>20</v>
      </c>
      <c r="AQ1666">
        <v>4</v>
      </c>
      <c r="AR1666" t="s">
        <v>19349</v>
      </c>
      <c r="AS1666" t="s">
        <v>19350</v>
      </c>
      <c r="AT1666">
        <v>1.319</v>
      </c>
      <c r="AU1666" t="s">
        <v>65</v>
      </c>
      <c r="AV1666">
        <v>48</v>
      </c>
      <c r="AW1666">
        <v>19</v>
      </c>
      <c r="AX1666" t="s">
        <v>19351</v>
      </c>
      <c r="AY1666">
        <v>4.0379999999999999E-2</v>
      </c>
      <c r="AZ1666">
        <v>-1.8500000000000001E-3</v>
      </c>
      <c r="BA1666">
        <v>4.5199999999999997E-3</v>
      </c>
      <c r="BB1666">
        <v>-2.0000000000000001E-4</v>
      </c>
      <c r="BC1666">
        <v>0.11197</v>
      </c>
      <c r="BD1666">
        <v>1</v>
      </c>
      <c r="BE1666" t="s">
        <v>69</v>
      </c>
      <c r="BF1666">
        <v>-1.127</v>
      </c>
      <c r="BG1666">
        <v>-1.2549999999999999</v>
      </c>
    </row>
    <row r="1667" spans="1:59">
      <c r="A1667">
        <v>0</v>
      </c>
      <c r="B1667">
        <v>12</v>
      </c>
      <c r="C1667">
        <v>1</v>
      </c>
      <c r="D1667" t="s">
        <v>25022</v>
      </c>
      <c r="E1667">
        <v>3625</v>
      </c>
      <c r="F1667" t="s">
        <v>21292</v>
      </c>
      <c r="G1667" t="s">
        <v>62</v>
      </c>
      <c r="H1667">
        <v>3592460</v>
      </c>
      <c r="I1667">
        <v>3593395</v>
      </c>
      <c r="J1667" t="s">
        <v>21293</v>
      </c>
      <c r="K1667">
        <v>312</v>
      </c>
      <c r="L1667" t="s">
        <v>108</v>
      </c>
      <c r="M1667">
        <v>44</v>
      </c>
      <c r="N1667" t="str">
        <f>HYPERLINK("Gene3625-zp_tree_all.dnd", "Gene3625-tree")</f>
        <v>Gene3625-tree</v>
      </c>
      <c r="O1667">
        <v>3</v>
      </c>
      <c r="P1667">
        <v>11</v>
      </c>
      <c r="Q1667">
        <v>3</v>
      </c>
      <c r="R1667">
        <v>11</v>
      </c>
      <c r="S1667">
        <v>0.78571000000000002</v>
      </c>
      <c r="T1667" t="s">
        <v>324</v>
      </c>
      <c r="U1667" t="s">
        <v>73</v>
      </c>
      <c r="V1667">
        <v>305230034.74400002</v>
      </c>
      <c r="W1667" t="s">
        <v>267</v>
      </c>
      <c r="X1667">
        <v>5</v>
      </c>
      <c r="Y1667">
        <v>13</v>
      </c>
      <c r="Z1667">
        <v>14</v>
      </c>
      <c r="AA1667">
        <v>0.48148000000000002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3</v>
      </c>
      <c r="AH1667">
        <v>0</v>
      </c>
      <c r="AI1667">
        <v>3</v>
      </c>
      <c r="AJ1667">
        <v>15</v>
      </c>
      <c r="AK1667">
        <v>0.16667000000000001</v>
      </c>
      <c r="AL1667">
        <v>13</v>
      </c>
      <c r="AM1667">
        <v>10</v>
      </c>
      <c r="AN1667">
        <v>38</v>
      </c>
      <c r="AO1667">
        <v>15</v>
      </c>
      <c r="AP1667">
        <v>44</v>
      </c>
      <c r="AQ1667">
        <v>12</v>
      </c>
      <c r="AR1667" t="s">
        <v>21294</v>
      </c>
      <c r="AS1667" t="s">
        <v>21295</v>
      </c>
      <c r="AT1667">
        <v>0.67</v>
      </c>
      <c r="AU1667" t="s">
        <v>65</v>
      </c>
      <c r="AV1667">
        <v>82</v>
      </c>
      <c r="AW1667">
        <v>27</v>
      </c>
      <c r="AX1667" t="s">
        <v>21296</v>
      </c>
      <c r="AY1667">
        <v>7.3370000000000005E-2</v>
      </c>
      <c r="AZ1667">
        <v>-2.47E-3</v>
      </c>
      <c r="BA1667">
        <v>8.1300000000000001E-3</v>
      </c>
      <c r="BB1667">
        <v>-3.6999999999999999E-4</v>
      </c>
      <c r="BC1667">
        <v>0.11076999999999999</v>
      </c>
      <c r="BD1667">
        <v>1</v>
      </c>
      <c r="BE1667" t="s">
        <v>69</v>
      </c>
      <c r="BF1667">
        <v>-9.7000000000000003E-2</v>
      </c>
      <c r="BG1667">
        <v>-1.04</v>
      </c>
    </row>
    <row r="1668" spans="1:59">
      <c r="A1668">
        <v>0</v>
      </c>
      <c r="B1668">
        <v>0</v>
      </c>
      <c r="C1668">
        <v>0</v>
      </c>
      <c r="D1668" t="s">
        <v>25022</v>
      </c>
      <c r="E1668">
        <v>1169</v>
      </c>
      <c r="F1668" t="s">
        <v>7361</v>
      </c>
      <c r="G1668" t="s">
        <v>57</v>
      </c>
      <c r="H1668">
        <v>1208222</v>
      </c>
      <c r="I1668">
        <v>1209157</v>
      </c>
      <c r="J1668" t="s">
        <v>7362</v>
      </c>
      <c r="K1668">
        <v>312</v>
      </c>
      <c r="L1668" t="s">
        <v>289</v>
      </c>
      <c r="M1668">
        <v>46</v>
      </c>
      <c r="N1668" t="str">
        <f>HYPERLINK("Gene1169-zp_tree_all.dnd", "Gene1169-tree")</f>
        <v>Gene1169-tree</v>
      </c>
      <c r="O1668">
        <v>30</v>
      </c>
      <c r="P1668">
        <v>2</v>
      </c>
      <c r="Q1668">
        <v>14</v>
      </c>
      <c r="R1668">
        <v>2</v>
      </c>
      <c r="S1668">
        <v>0.125</v>
      </c>
      <c r="T1668" t="s">
        <v>4097</v>
      </c>
      <c r="U1668" t="s">
        <v>81</v>
      </c>
      <c r="V1668" t="s">
        <v>62</v>
      </c>
      <c r="W1668" t="s">
        <v>62</v>
      </c>
      <c r="X1668">
        <v>0</v>
      </c>
      <c r="Y1668">
        <v>0</v>
      </c>
      <c r="Z1668">
        <v>9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3</v>
      </c>
      <c r="AK1668">
        <v>0</v>
      </c>
      <c r="AL1668">
        <v>10</v>
      </c>
      <c r="AM1668">
        <v>10</v>
      </c>
      <c r="AN1668">
        <v>20</v>
      </c>
      <c r="AO1668">
        <v>3</v>
      </c>
      <c r="AP1668">
        <v>33</v>
      </c>
      <c r="AQ1668">
        <v>6</v>
      </c>
      <c r="AR1668" t="s">
        <v>7363</v>
      </c>
      <c r="AS1668" t="s">
        <v>7364</v>
      </c>
      <c r="AT1668">
        <v>4.5999999999999999E-2</v>
      </c>
      <c r="AU1668" t="s">
        <v>65</v>
      </c>
      <c r="AV1668">
        <v>53</v>
      </c>
      <c r="AW1668">
        <v>9</v>
      </c>
      <c r="AX1668" t="s">
        <v>7365</v>
      </c>
      <c r="AY1668">
        <v>5.0970000000000001E-2</v>
      </c>
      <c r="AZ1668">
        <v>-4.5900000000000003E-3</v>
      </c>
      <c r="BA1668">
        <v>2.6199999999999999E-3</v>
      </c>
      <c r="BB1668">
        <v>-3.1E-4</v>
      </c>
      <c r="BC1668">
        <v>5.1400000000000001E-2</v>
      </c>
      <c r="BD1668">
        <v>1</v>
      </c>
      <c r="BE1668" t="s">
        <v>69</v>
      </c>
      <c r="BF1668">
        <v>-1.704</v>
      </c>
      <c r="BG1668">
        <v>-1.01</v>
      </c>
    </row>
    <row r="1669" spans="1:59">
      <c r="A1669">
        <v>0</v>
      </c>
      <c r="B1669">
        <v>0</v>
      </c>
      <c r="C1669">
        <v>0</v>
      </c>
      <c r="D1669" t="s">
        <v>25022</v>
      </c>
      <c r="E1669">
        <v>3028</v>
      </c>
      <c r="F1669" t="s">
        <v>17505</v>
      </c>
      <c r="G1669" t="s">
        <v>62</v>
      </c>
      <c r="H1669">
        <v>2978737</v>
      </c>
      <c r="I1669">
        <v>2979672</v>
      </c>
      <c r="J1669" t="s">
        <v>17506</v>
      </c>
      <c r="K1669">
        <v>312</v>
      </c>
      <c r="L1669" t="s">
        <v>59</v>
      </c>
      <c r="M1669">
        <v>49</v>
      </c>
      <c r="N1669" t="str">
        <f>HYPERLINK("Gene3028-zp_tree_all.dnd", "Gene3028-tree")</f>
        <v>Gene3028-tree</v>
      </c>
      <c r="O1669">
        <v>11</v>
      </c>
      <c r="P1669">
        <v>27</v>
      </c>
      <c r="Q1669">
        <v>11</v>
      </c>
      <c r="R1669">
        <v>8</v>
      </c>
      <c r="S1669">
        <v>0.42104999999999998</v>
      </c>
      <c r="T1669" t="s">
        <v>73</v>
      </c>
      <c r="U1669" t="s">
        <v>282</v>
      </c>
      <c r="V1669">
        <v>3.9380000000000002</v>
      </c>
      <c r="W1669" t="s">
        <v>65</v>
      </c>
      <c r="X1669">
        <v>0</v>
      </c>
      <c r="Y1669">
        <v>0</v>
      </c>
      <c r="Z1669">
        <v>11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10</v>
      </c>
      <c r="AK1669">
        <v>0</v>
      </c>
      <c r="AL1669">
        <v>17</v>
      </c>
      <c r="AM1669">
        <v>11</v>
      </c>
      <c r="AN1669">
        <v>27</v>
      </c>
      <c r="AO1669">
        <v>10</v>
      </c>
      <c r="AP1669">
        <v>45</v>
      </c>
      <c r="AQ1669">
        <v>1</v>
      </c>
      <c r="AR1669" t="s">
        <v>17507</v>
      </c>
      <c r="AS1669" t="s">
        <v>17508</v>
      </c>
      <c r="AT1669">
        <v>1.8360000000000001</v>
      </c>
      <c r="AU1669" t="s">
        <v>65</v>
      </c>
      <c r="AV1669">
        <v>72</v>
      </c>
      <c r="AW1669">
        <v>11</v>
      </c>
      <c r="AX1669" t="s">
        <v>17509</v>
      </c>
      <c r="AY1669">
        <v>6.6930000000000003E-2</v>
      </c>
      <c r="AZ1669">
        <v>-4.1000000000000003E-3</v>
      </c>
      <c r="BA1669">
        <v>1.92E-3</v>
      </c>
      <c r="BB1669">
        <v>-1.1E-4</v>
      </c>
      <c r="BC1669">
        <v>2.8660000000000001E-2</v>
      </c>
      <c r="BD1669">
        <v>1</v>
      </c>
      <c r="BE1669" t="s">
        <v>69</v>
      </c>
      <c r="BF1669">
        <v>-1.353</v>
      </c>
      <c r="BG1669">
        <v>-0.54300000000000004</v>
      </c>
    </row>
    <row r="1670" spans="1:59">
      <c r="A1670">
        <v>0</v>
      </c>
      <c r="B1670">
        <v>0</v>
      </c>
      <c r="C1670">
        <v>0</v>
      </c>
      <c r="D1670" t="s">
        <v>25022</v>
      </c>
      <c r="E1670">
        <v>861</v>
      </c>
      <c r="F1670" t="s">
        <v>5378</v>
      </c>
      <c r="G1670" t="s">
        <v>57</v>
      </c>
      <c r="H1670">
        <v>901555</v>
      </c>
      <c r="I1670">
        <v>902493</v>
      </c>
      <c r="J1670" t="s">
        <v>5379</v>
      </c>
      <c r="K1670">
        <v>313</v>
      </c>
      <c r="L1670" t="s">
        <v>5380</v>
      </c>
      <c r="M1670">
        <v>28</v>
      </c>
      <c r="N1670" t="str">
        <f>HYPERLINK("Gene861-zp_tree_all.dnd", "Gene861-tree")</f>
        <v>Gene861-tree</v>
      </c>
      <c r="O1670">
        <v>2</v>
      </c>
      <c r="P1670">
        <v>2</v>
      </c>
      <c r="Q1670">
        <v>2</v>
      </c>
      <c r="R1670">
        <v>2</v>
      </c>
      <c r="S1670">
        <v>0.5</v>
      </c>
      <c r="T1670" t="s">
        <v>81</v>
      </c>
      <c r="U1670" t="s">
        <v>81</v>
      </c>
      <c r="V1670" t="s">
        <v>62</v>
      </c>
      <c r="W1670" t="s">
        <v>62</v>
      </c>
      <c r="X1670">
        <v>0</v>
      </c>
      <c r="Y1670">
        <v>0</v>
      </c>
      <c r="Z1670">
        <v>7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7</v>
      </c>
      <c r="AK1670">
        <v>0</v>
      </c>
      <c r="AL1670">
        <v>3</v>
      </c>
      <c r="AM1670">
        <v>0</v>
      </c>
      <c r="AN1670">
        <v>15</v>
      </c>
      <c r="AO1670">
        <v>7</v>
      </c>
      <c r="AP1670">
        <v>0</v>
      </c>
      <c r="AQ1670">
        <v>0</v>
      </c>
      <c r="AR1670" t="s">
        <v>5381</v>
      </c>
      <c r="AS1670" t="s">
        <v>193</v>
      </c>
      <c r="AT1670">
        <v>0.66800000000000004</v>
      </c>
      <c r="AU1670" t="s">
        <v>65</v>
      </c>
      <c r="AV1670">
        <v>15</v>
      </c>
      <c r="AW1670">
        <v>7</v>
      </c>
      <c r="AX1670" t="s">
        <v>5382</v>
      </c>
      <c r="AY1670">
        <v>3.7760000000000002E-2</v>
      </c>
      <c r="AZ1670">
        <v>-1.2919999999999999E-2</v>
      </c>
      <c r="BA1670">
        <v>4.81E-3</v>
      </c>
      <c r="BB1670">
        <v>-1.6100000000000001E-3</v>
      </c>
      <c r="BC1670">
        <v>0.12736</v>
      </c>
      <c r="BD1670">
        <v>1</v>
      </c>
      <c r="BE1670" t="s">
        <v>69</v>
      </c>
      <c r="BF1670">
        <v>-2.1739999999999999</v>
      </c>
      <c r="BG1670">
        <v>-3.9670000000000001</v>
      </c>
    </row>
    <row r="1671" spans="1:59">
      <c r="A1671">
        <v>0</v>
      </c>
      <c r="B1671">
        <v>14</v>
      </c>
      <c r="C1671">
        <v>0</v>
      </c>
      <c r="D1671" t="s">
        <v>25022</v>
      </c>
      <c r="E1671">
        <v>1989</v>
      </c>
      <c r="F1671" t="s">
        <v>12387</v>
      </c>
      <c r="G1671" t="s">
        <v>62</v>
      </c>
      <c r="H1671">
        <v>2083070</v>
      </c>
      <c r="I1671">
        <v>2084008</v>
      </c>
      <c r="J1671" t="s">
        <v>637</v>
      </c>
      <c r="K1671">
        <v>313</v>
      </c>
      <c r="L1671" t="s">
        <v>108</v>
      </c>
      <c r="M1671">
        <v>44</v>
      </c>
      <c r="N1671" t="str">
        <f>HYPERLINK("Gene1989-zp_tree_all.dnd", "Gene1989-tree")</f>
        <v>Gene1989-tree</v>
      </c>
      <c r="O1671">
        <v>1</v>
      </c>
      <c r="P1671">
        <v>12</v>
      </c>
      <c r="Q1671">
        <v>1</v>
      </c>
      <c r="R1671">
        <v>12</v>
      </c>
      <c r="S1671">
        <v>0.92308000000000001</v>
      </c>
      <c r="T1671" t="s">
        <v>175</v>
      </c>
      <c r="U1671" t="s">
        <v>109</v>
      </c>
      <c r="V1671" t="s">
        <v>62</v>
      </c>
      <c r="W1671" t="s">
        <v>62</v>
      </c>
      <c r="X1671">
        <v>6</v>
      </c>
      <c r="Y1671">
        <v>14</v>
      </c>
      <c r="Z1671">
        <v>27</v>
      </c>
      <c r="AA1671">
        <v>0.34145999999999999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</v>
      </c>
      <c r="AH1671">
        <v>0</v>
      </c>
      <c r="AI1671">
        <v>2</v>
      </c>
      <c r="AJ1671">
        <v>23</v>
      </c>
      <c r="AK1671">
        <v>0.08</v>
      </c>
      <c r="AL1671">
        <v>13</v>
      </c>
      <c r="AM1671">
        <v>10</v>
      </c>
      <c r="AN1671">
        <v>60</v>
      </c>
      <c r="AO1671">
        <v>25</v>
      </c>
      <c r="AP1671">
        <v>41</v>
      </c>
      <c r="AQ1671">
        <v>16</v>
      </c>
      <c r="AR1671" t="s">
        <v>12388</v>
      </c>
      <c r="AS1671" t="s">
        <v>12389</v>
      </c>
      <c r="AT1671">
        <v>8.2000000000000003E-2</v>
      </c>
      <c r="AU1671" t="s">
        <v>65</v>
      </c>
      <c r="AV1671">
        <v>101</v>
      </c>
      <c r="AW1671">
        <v>41</v>
      </c>
      <c r="AX1671" t="s">
        <v>12390</v>
      </c>
      <c r="AY1671">
        <v>0.10362</v>
      </c>
      <c r="AZ1671">
        <v>-5.0800000000000003E-3</v>
      </c>
      <c r="BA1671">
        <v>1.12E-2</v>
      </c>
      <c r="BB1671">
        <v>-4.0999999999999999E-4</v>
      </c>
      <c r="BC1671">
        <v>0.10811</v>
      </c>
      <c r="BD1671">
        <v>1</v>
      </c>
      <c r="BE1671" t="s">
        <v>69</v>
      </c>
      <c r="BF1671">
        <v>-0.158</v>
      </c>
      <c r="BG1671">
        <v>5.2999999999999999E-2</v>
      </c>
    </row>
    <row r="1672" spans="1:59">
      <c r="A1672">
        <v>0</v>
      </c>
      <c r="B1672">
        <v>3</v>
      </c>
      <c r="C1672">
        <v>0</v>
      </c>
      <c r="D1672" t="s">
        <v>25022</v>
      </c>
      <c r="E1672">
        <v>944</v>
      </c>
      <c r="F1672" t="s">
        <v>5915</v>
      </c>
      <c r="G1672" t="s">
        <v>57</v>
      </c>
      <c r="H1672">
        <v>983229</v>
      </c>
      <c r="I1672">
        <v>984167</v>
      </c>
      <c r="J1672" t="s">
        <v>5916</v>
      </c>
      <c r="K1672">
        <v>313</v>
      </c>
      <c r="L1672" t="s">
        <v>5762</v>
      </c>
      <c r="M1672">
        <v>43</v>
      </c>
      <c r="N1672" t="str">
        <f>HYPERLINK("Gene944-zp_tree_all.dnd", "Gene944-tree")</f>
        <v>Gene944-tree</v>
      </c>
      <c r="O1672">
        <v>6</v>
      </c>
      <c r="P1672">
        <v>6</v>
      </c>
      <c r="Q1672">
        <v>6</v>
      </c>
      <c r="R1672">
        <v>6</v>
      </c>
      <c r="S1672">
        <v>0.5</v>
      </c>
      <c r="T1672" t="s">
        <v>90</v>
      </c>
      <c r="U1672" t="s">
        <v>90</v>
      </c>
      <c r="V1672" t="s">
        <v>62</v>
      </c>
      <c r="W1672" t="s">
        <v>62</v>
      </c>
      <c r="X1672">
        <v>1</v>
      </c>
      <c r="Y1672">
        <v>3</v>
      </c>
      <c r="Z1672">
        <v>16</v>
      </c>
      <c r="AA1672">
        <v>0.15789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</v>
      </c>
      <c r="AH1672">
        <v>0</v>
      </c>
      <c r="AI1672">
        <v>3</v>
      </c>
      <c r="AJ1672">
        <v>14</v>
      </c>
      <c r="AK1672">
        <v>0.17646999999999999</v>
      </c>
      <c r="AL1672">
        <v>12</v>
      </c>
      <c r="AM1672">
        <v>7</v>
      </c>
      <c r="AN1672">
        <v>52</v>
      </c>
      <c r="AO1672">
        <v>18</v>
      </c>
      <c r="AP1672">
        <v>7</v>
      </c>
      <c r="AQ1672">
        <v>2</v>
      </c>
      <c r="AR1672" t="s">
        <v>5917</v>
      </c>
      <c r="AS1672" t="s">
        <v>5918</v>
      </c>
      <c r="AT1672">
        <v>9.0999999999999998E-2</v>
      </c>
      <c r="AU1672" t="s">
        <v>65</v>
      </c>
      <c r="AV1672">
        <v>59</v>
      </c>
      <c r="AW1672">
        <v>20</v>
      </c>
      <c r="AX1672" t="s">
        <v>5919</v>
      </c>
      <c r="AY1672">
        <v>5.006E-2</v>
      </c>
      <c r="AZ1672">
        <v>-4.1799999999999997E-3</v>
      </c>
      <c r="BA1672">
        <v>5.2399999999999999E-3</v>
      </c>
      <c r="BB1672">
        <v>-6.8000000000000005E-4</v>
      </c>
      <c r="BC1672">
        <v>0.10471999999999999</v>
      </c>
      <c r="BD1672">
        <v>1</v>
      </c>
      <c r="BE1672" t="s">
        <v>69</v>
      </c>
      <c r="BF1672">
        <v>-1.758</v>
      </c>
      <c r="BG1672">
        <v>-3.5329999999999999</v>
      </c>
    </row>
    <row r="1673" spans="1:59">
      <c r="A1673">
        <v>0</v>
      </c>
      <c r="B1673">
        <v>2</v>
      </c>
      <c r="C1673">
        <v>0</v>
      </c>
      <c r="D1673" t="s">
        <v>25022</v>
      </c>
      <c r="E1673">
        <v>224</v>
      </c>
      <c r="F1673" t="s">
        <v>1515</v>
      </c>
      <c r="G1673" t="s">
        <v>57</v>
      </c>
      <c r="H1673">
        <v>245190</v>
      </c>
      <c r="I1673">
        <v>246128</v>
      </c>
      <c r="J1673" t="s">
        <v>1516</v>
      </c>
      <c r="K1673">
        <v>313</v>
      </c>
      <c r="L1673" t="s">
        <v>108</v>
      </c>
      <c r="M1673">
        <v>44</v>
      </c>
      <c r="N1673" t="str">
        <f>HYPERLINK("Gene224-zp_tree_all.dnd", "Gene224-tree")</f>
        <v>Gene224-tree</v>
      </c>
      <c r="O1673">
        <v>10</v>
      </c>
      <c r="P1673">
        <v>4</v>
      </c>
      <c r="Q1673">
        <v>10</v>
      </c>
      <c r="R1673">
        <v>4</v>
      </c>
      <c r="S1673">
        <v>0.28571000000000002</v>
      </c>
      <c r="T1673" t="s">
        <v>117</v>
      </c>
      <c r="U1673" t="s">
        <v>61</v>
      </c>
      <c r="V1673" t="s">
        <v>62</v>
      </c>
      <c r="W1673" t="s">
        <v>62</v>
      </c>
      <c r="X1673">
        <v>1</v>
      </c>
      <c r="Y1673">
        <v>2</v>
      </c>
      <c r="Z1673">
        <v>9</v>
      </c>
      <c r="AA1673">
        <v>0.18182000000000001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6</v>
      </c>
      <c r="AK1673">
        <v>0</v>
      </c>
      <c r="AL1673">
        <v>13</v>
      </c>
      <c r="AM1673">
        <v>10</v>
      </c>
      <c r="AN1673">
        <v>39</v>
      </c>
      <c r="AO1673">
        <v>6</v>
      </c>
      <c r="AP1673">
        <v>18</v>
      </c>
      <c r="AQ1673">
        <v>5</v>
      </c>
      <c r="AR1673" t="s">
        <v>1517</v>
      </c>
      <c r="AS1673" t="s">
        <v>1518</v>
      </c>
      <c r="AT1673">
        <v>0.34100000000000003</v>
      </c>
      <c r="AU1673" t="s">
        <v>65</v>
      </c>
      <c r="AV1673">
        <v>57</v>
      </c>
      <c r="AW1673">
        <v>11</v>
      </c>
      <c r="AX1673" t="s">
        <v>1519</v>
      </c>
      <c r="AY1673">
        <v>4.1590000000000002E-2</v>
      </c>
      <c r="AZ1673">
        <v>-1.5399999999999999E-3</v>
      </c>
      <c r="BA1673">
        <v>3.2299999999999998E-3</v>
      </c>
      <c r="BB1673">
        <v>-2.4000000000000001E-4</v>
      </c>
      <c r="BC1673">
        <v>7.7579999999999996E-2</v>
      </c>
      <c r="BD1673">
        <v>1</v>
      </c>
      <c r="BE1673" t="s">
        <v>69</v>
      </c>
      <c r="BF1673">
        <v>-0.84099999999999997</v>
      </c>
      <c r="BG1673">
        <v>-1.161</v>
      </c>
    </row>
    <row r="1674" spans="1:59">
      <c r="A1674">
        <v>0</v>
      </c>
      <c r="B1674">
        <v>2</v>
      </c>
      <c r="C1674">
        <v>1</v>
      </c>
      <c r="D1674" t="s">
        <v>25022</v>
      </c>
      <c r="E1674">
        <v>2991</v>
      </c>
      <c r="F1674" t="s">
        <v>17267</v>
      </c>
      <c r="G1674" t="s">
        <v>62</v>
      </c>
      <c r="H1674">
        <v>2940700</v>
      </c>
      <c r="I1674">
        <v>2941638</v>
      </c>
      <c r="J1674" t="s">
        <v>17261</v>
      </c>
      <c r="K1674">
        <v>313</v>
      </c>
      <c r="L1674" t="s">
        <v>572</v>
      </c>
      <c r="M1674">
        <v>48</v>
      </c>
      <c r="N1674" t="str">
        <f>HYPERLINK("Gene2991-zp_tree_all.dnd", "Gene2991-tree")</f>
        <v>Gene2991-tree</v>
      </c>
      <c r="O1674">
        <v>13</v>
      </c>
      <c r="P1674">
        <v>5</v>
      </c>
      <c r="Q1674">
        <v>13</v>
      </c>
      <c r="R1674">
        <v>5</v>
      </c>
      <c r="S1674">
        <v>0.27778000000000003</v>
      </c>
      <c r="T1674" t="s">
        <v>507</v>
      </c>
      <c r="U1674" t="s">
        <v>199</v>
      </c>
      <c r="V1674" t="s">
        <v>62</v>
      </c>
      <c r="W1674" t="s">
        <v>62</v>
      </c>
      <c r="X1674">
        <v>1</v>
      </c>
      <c r="Y1674">
        <v>3</v>
      </c>
      <c r="Z1674">
        <v>10</v>
      </c>
      <c r="AA1674">
        <v>0.23077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</v>
      </c>
      <c r="AK1674">
        <v>0</v>
      </c>
      <c r="AL1674">
        <v>17</v>
      </c>
      <c r="AM1674">
        <v>14</v>
      </c>
      <c r="AN1674">
        <v>52</v>
      </c>
      <c r="AO1674">
        <v>8</v>
      </c>
      <c r="AP1674">
        <v>69</v>
      </c>
      <c r="AQ1674">
        <v>6</v>
      </c>
      <c r="AR1674" t="s">
        <v>17268</v>
      </c>
      <c r="AS1674" t="s">
        <v>17269</v>
      </c>
      <c r="AT1674">
        <v>0.35699999999999998</v>
      </c>
      <c r="AU1674" t="s">
        <v>65</v>
      </c>
      <c r="AV1674">
        <v>121</v>
      </c>
      <c r="AW1674">
        <v>14</v>
      </c>
      <c r="AX1674" t="s">
        <v>17270</v>
      </c>
      <c r="AY1674">
        <v>0.11137</v>
      </c>
      <c r="AZ1674">
        <v>-6.45E-3</v>
      </c>
      <c r="BA1674">
        <v>3.29E-3</v>
      </c>
      <c r="BB1674">
        <v>-1.7000000000000001E-4</v>
      </c>
      <c r="BC1674">
        <v>2.9559999999999999E-2</v>
      </c>
      <c r="BD1674">
        <v>1</v>
      </c>
      <c r="BE1674" t="s">
        <v>69</v>
      </c>
      <c r="BF1674">
        <v>-0.63700000000000001</v>
      </c>
      <c r="BG1674">
        <v>-1.0009999999999999</v>
      </c>
    </row>
    <row r="1675" spans="1:59">
      <c r="A1675">
        <v>0</v>
      </c>
      <c r="B1675">
        <v>3</v>
      </c>
      <c r="C1675">
        <v>0</v>
      </c>
      <c r="D1675" t="s">
        <v>25022</v>
      </c>
      <c r="E1675">
        <v>4084</v>
      </c>
      <c r="F1675" t="s">
        <v>24041</v>
      </c>
      <c r="G1675" t="s">
        <v>62</v>
      </c>
      <c r="H1675">
        <v>4052382</v>
      </c>
      <c r="I1675">
        <v>4053320</v>
      </c>
      <c r="J1675" t="s">
        <v>24042</v>
      </c>
      <c r="K1675">
        <v>313</v>
      </c>
      <c r="L1675" t="s">
        <v>108</v>
      </c>
      <c r="M1675">
        <v>44</v>
      </c>
      <c r="N1675" t="str">
        <f>HYPERLINK("Gene4084-zp_tree_all.dnd", "Gene4084-tree")</f>
        <v>Gene4084-tree</v>
      </c>
      <c r="O1675">
        <v>11</v>
      </c>
      <c r="P1675">
        <v>3</v>
      </c>
      <c r="Q1675">
        <v>11</v>
      </c>
      <c r="R1675">
        <v>3</v>
      </c>
      <c r="S1675">
        <v>0.21429000000000001</v>
      </c>
      <c r="T1675" t="s">
        <v>73</v>
      </c>
      <c r="U1675" t="s">
        <v>324</v>
      </c>
      <c r="V1675" t="s">
        <v>62</v>
      </c>
      <c r="W1675" t="s">
        <v>62</v>
      </c>
      <c r="X1675">
        <v>1</v>
      </c>
      <c r="Y1675">
        <v>3</v>
      </c>
      <c r="Z1675">
        <v>4</v>
      </c>
      <c r="AA1675">
        <v>0.42857000000000001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3</v>
      </c>
      <c r="AK1675">
        <v>0</v>
      </c>
      <c r="AL1675">
        <v>12</v>
      </c>
      <c r="AM1675">
        <v>9</v>
      </c>
      <c r="AN1675">
        <v>32</v>
      </c>
      <c r="AO1675">
        <v>3</v>
      </c>
      <c r="AP1675">
        <v>28</v>
      </c>
      <c r="AQ1675">
        <v>4</v>
      </c>
      <c r="AR1675" t="s">
        <v>24043</v>
      </c>
      <c r="AS1675" t="s">
        <v>24044</v>
      </c>
      <c r="AT1675">
        <v>0.38100000000000001</v>
      </c>
      <c r="AU1675" t="s">
        <v>65</v>
      </c>
      <c r="AV1675">
        <v>60</v>
      </c>
      <c r="AW1675">
        <v>7</v>
      </c>
      <c r="AX1675" t="s">
        <v>24045</v>
      </c>
      <c r="AY1675">
        <v>5.8529999999999999E-2</v>
      </c>
      <c r="AZ1675">
        <v>-2.2699999999999999E-3</v>
      </c>
      <c r="BA1675">
        <v>1.5E-3</v>
      </c>
      <c r="BB1675">
        <v>-1E-4</v>
      </c>
      <c r="BC1675">
        <v>2.5569999999999999E-2</v>
      </c>
      <c r="BD1675">
        <v>1</v>
      </c>
      <c r="BE1675" t="s">
        <v>69</v>
      </c>
      <c r="BF1675">
        <v>0.14000000000000001</v>
      </c>
      <c r="BG1675">
        <v>0.221</v>
      </c>
    </row>
    <row r="1676" spans="1:59">
      <c r="A1676">
        <v>0</v>
      </c>
      <c r="B1676">
        <v>2</v>
      </c>
      <c r="C1676">
        <v>2</v>
      </c>
      <c r="D1676" t="s">
        <v>25022</v>
      </c>
      <c r="E1676">
        <v>3043</v>
      </c>
      <c r="F1676" t="s">
        <v>17603</v>
      </c>
      <c r="G1676" t="s">
        <v>62</v>
      </c>
      <c r="H1676">
        <v>2995911</v>
      </c>
      <c r="I1676">
        <v>2996849</v>
      </c>
      <c r="J1676" t="s">
        <v>17604</v>
      </c>
      <c r="K1676">
        <v>313</v>
      </c>
      <c r="L1676" t="s">
        <v>59</v>
      </c>
      <c r="M1676">
        <v>49</v>
      </c>
      <c r="N1676" t="str">
        <f>HYPERLINK("Gene3043-zp_tree_all.dnd", "Gene3043-tree")</f>
        <v>Gene3043-tree</v>
      </c>
      <c r="O1676">
        <v>15</v>
      </c>
      <c r="P1676">
        <v>3</v>
      </c>
      <c r="Q1676">
        <v>15</v>
      </c>
      <c r="R1676">
        <v>3</v>
      </c>
      <c r="S1676">
        <v>0.16667000000000001</v>
      </c>
      <c r="T1676" t="s">
        <v>100</v>
      </c>
      <c r="U1676" t="s">
        <v>324</v>
      </c>
      <c r="V1676" t="s">
        <v>62</v>
      </c>
      <c r="W1676" t="s">
        <v>62</v>
      </c>
      <c r="X1676">
        <v>2</v>
      </c>
      <c r="Y1676">
        <v>4</v>
      </c>
      <c r="Z1676">
        <v>4</v>
      </c>
      <c r="AA1676">
        <v>0.5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</v>
      </c>
      <c r="AI1676">
        <v>2</v>
      </c>
      <c r="AJ1676">
        <v>3</v>
      </c>
      <c r="AK1676">
        <v>0.4</v>
      </c>
      <c r="AL1676">
        <v>14</v>
      </c>
      <c r="AM1676">
        <v>9</v>
      </c>
      <c r="AN1676">
        <v>36</v>
      </c>
      <c r="AO1676">
        <v>5</v>
      </c>
      <c r="AP1676">
        <v>40</v>
      </c>
      <c r="AQ1676">
        <v>3</v>
      </c>
      <c r="AR1676" t="s">
        <v>17605</v>
      </c>
      <c r="AS1676" t="s">
        <v>17606</v>
      </c>
      <c r="AT1676">
        <v>0.25</v>
      </c>
      <c r="AU1676" t="s">
        <v>65</v>
      </c>
      <c r="AV1676">
        <v>76</v>
      </c>
      <c r="AW1676">
        <v>8</v>
      </c>
      <c r="AX1676" t="s">
        <v>17607</v>
      </c>
      <c r="AY1676">
        <v>7.3120000000000004E-2</v>
      </c>
      <c r="AZ1676">
        <v>-4.7200000000000002E-3</v>
      </c>
      <c r="BA1676">
        <v>1.8500000000000001E-3</v>
      </c>
      <c r="BB1676">
        <v>-1.8000000000000001E-4</v>
      </c>
      <c r="BC1676">
        <v>2.5260000000000001E-2</v>
      </c>
      <c r="BD1676">
        <v>1</v>
      </c>
      <c r="BE1676" t="s">
        <v>69</v>
      </c>
      <c r="BF1676">
        <v>-1.4770000000000001</v>
      </c>
      <c r="BG1676">
        <v>-1.331</v>
      </c>
    </row>
    <row r="1677" spans="1:59">
      <c r="A1677">
        <v>0</v>
      </c>
      <c r="B1677">
        <v>16</v>
      </c>
      <c r="C1677">
        <v>0</v>
      </c>
      <c r="D1677" t="s">
        <v>25022</v>
      </c>
      <c r="E1677">
        <v>3443</v>
      </c>
      <c r="F1677" t="s">
        <v>20159</v>
      </c>
      <c r="G1677" t="s">
        <v>62</v>
      </c>
      <c r="H1677">
        <v>3403496</v>
      </c>
      <c r="I1677">
        <v>3404437</v>
      </c>
      <c r="J1677" t="s">
        <v>20160</v>
      </c>
      <c r="K1677">
        <v>314</v>
      </c>
      <c r="L1677" t="s">
        <v>108</v>
      </c>
      <c r="M1677">
        <v>44</v>
      </c>
      <c r="N1677" t="str">
        <f>HYPERLINK("Gene3443-zp_tree_all.dnd", "Gene3443-tree")</f>
        <v>Gene3443-tree</v>
      </c>
      <c r="O1677">
        <v>4</v>
      </c>
      <c r="P1677">
        <v>9</v>
      </c>
      <c r="Q1677">
        <v>4</v>
      </c>
      <c r="R1677">
        <v>9</v>
      </c>
      <c r="S1677">
        <v>0.69230999999999998</v>
      </c>
      <c r="T1677" t="s">
        <v>61</v>
      </c>
      <c r="U1677" t="s">
        <v>135</v>
      </c>
      <c r="V1677" t="s">
        <v>62</v>
      </c>
      <c r="W1677" t="s">
        <v>62</v>
      </c>
      <c r="X1677">
        <v>7</v>
      </c>
      <c r="Y1677">
        <v>16</v>
      </c>
      <c r="Z1677">
        <v>11</v>
      </c>
      <c r="AA1677">
        <v>0.59258999999999995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11</v>
      </c>
      <c r="AH1677">
        <v>2</v>
      </c>
      <c r="AI1677">
        <v>13</v>
      </c>
      <c r="AJ1677">
        <v>7</v>
      </c>
      <c r="AK1677">
        <v>0.65</v>
      </c>
      <c r="AL1677">
        <v>11</v>
      </c>
      <c r="AM1677">
        <v>8</v>
      </c>
      <c r="AN1677">
        <v>38</v>
      </c>
      <c r="AO1677">
        <v>19</v>
      </c>
      <c r="AP1677">
        <v>9</v>
      </c>
      <c r="AQ1677">
        <v>8</v>
      </c>
      <c r="AR1677" t="s">
        <v>20161</v>
      </c>
      <c r="AS1677" t="s">
        <v>20162</v>
      </c>
      <c r="AT1677">
        <v>0.67200000000000004</v>
      </c>
      <c r="AU1677" t="s">
        <v>65</v>
      </c>
      <c r="AV1677">
        <v>47</v>
      </c>
      <c r="AW1677">
        <v>27</v>
      </c>
      <c r="AX1677" t="s">
        <v>20163</v>
      </c>
      <c r="AY1677">
        <v>3.8780000000000002E-2</v>
      </c>
      <c r="AZ1677">
        <v>-3.0100000000000001E-3</v>
      </c>
      <c r="BA1677">
        <v>6.6499999999999997E-3</v>
      </c>
      <c r="BB1677">
        <v>-3.6000000000000002E-4</v>
      </c>
      <c r="BC1677">
        <v>0.17154</v>
      </c>
      <c r="BD1677">
        <v>1</v>
      </c>
      <c r="BE1677" t="s">
        <v>69</v>
      </c>
      <c r="BF1677">
        <v>-1.397</v>
      </c>
      <c r="BG1677">
        <v>-2.1190000000000002</v>
      </c>
    </row>
    <row r="1678" spans="1:59">
      <c r="A1678">
        <v>0</v>
      </c>
      <c r="B1678">
        <v>2</v>
      </c>
      <c r="C1678">
        <v>2</v>
      </c>
      <c r="D1678" t="s">
        <v>25022</v>
      </c>
      <c r="E1678">
        <v>1796</v>
      </c>
      <c r="F1678" t="s">
        <v>11249</v>
      </c>
      <c r="G1678" t="s">
        <v>57</v>
      </c>
      <c r="H1678">
        <v>1866389</v>
      </c>
      <c r="I1678">
        <v>1867330</v>
      </c>
      <c r="J1678" t="s">
        <v>11250</v>
      </c>
      <c r="K1678">
        <v>314</v>
      </c>
      <c r="L1678" t="s">
        <v>265</v>
      </c>
      <c r="M1678">
        <v>43</v>
      </c>
      <c r="N1678" t="str">
        <f>HYPERLINK("Gene1796-zp_tree_all.dnd", "Gene1796-tree")</f>
        <v>Gene1796-tree</v>
      </c>
      <c r="O1678">
        <v>12</v>
      </c>
      <c r="P1678">
        <v>4</v>
      </c>
      <c r="Q1678">
        <v>12</v>
      </c>
      <c r="R1678">
        <v>4</v>
      </c>
      <c r="S1678">
        <v>0.25</v>
      </c>
      <c r="T1678" t="s">
        <v>109</v>
      </c>
      <c r="U1678" t="s">
        <v>61</v>
      </c>
      <c r="V1678" t="s">
        <v>62</v>
      </c>
      <c r="W1678" t="s">
        <v>62</v>
      </c>
      <c r="X1678">
        <v>2</v>
      </c>
      <c r="Y1678">
        <v>4</v>
      </c>
      <c r="Z1678">
        <v>7</v>
      </c>
      <c r="AA1678">
        <v>0.36364000000000002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2</v>
      </c>
      <c r="AI1678">
        <v>2</v>
      </c>
      <c r="AJ1678">
        <v>4</v>
      </c>
      <c r="AK1678">
        <v>0.33333000000000002</v>
      </c>
      <c r="AL1678">
        <v>11</v>
      </c>
      <c r="AM1678">
        <v>11</v>
      </c>
      <c r="AN1678">
        <v>24</v>
      </c>
      <c r="AO1678">
        <v>6</v>
      </c>
      <c r="AP1678">
        <v>10</v>
      </c>
      <c r="AQ1678">
        <v>5</v>
      </c>
      <c r="AR1678" t="s">
        <v>11251</v>
      </c>
      <c r="AS1678" t="s">
        <v>11252</v>
      </c>
      <c r="AT1678">
        <v>0.76900000000000002</v>
      </c>
      <c r="AU1678" t="s">
        <v>65</v>
      </c>
      <c r="AV1678">
        <v>34</v>
      </c>
      <c r="AW1678">
        <v>11</v>
      </c>
      <c r="AX1678" t="s">
        <v>11253</v>
      </c>
      <c r="AY1678">
        <v>2.5850000000000001E-2</v>
      </c>
      <c r="AZ1678">
        <v>-1.16E-3</v>
      </c>
      <c r="BA1678">
        <v>3.1199999999999999E-3</v>
      </c>
      <c r="BB1678">
        <v>-1.4999999999999999E-4</v>
      </c>
      <c r="BC1678">
        <v>0.12077</v>
      </c>
      <c r="BD1678">
        <v>1</v>
      </c>
      <c r="BE1678" t="s">
        <v>69</v>
      </c>
      <c r="BF1678">
        <v>-1.4259999999999999</v>
      </c>
      <c r="BG1678">
        <v>-2.0779999999999998</v>
      </c>
    </row>
    <row r="1679" spans="1:59">
      <c r="A1679">
        <v>0</v>
      </c>
      <c r="B1679">
        <v>0</v>
      </c>
      <c r="C1679">
        <v>0</v>
      </c>
      <c r="D1679" t="s">
        <v>25022</v>
      </c>
      <c r="E1679">
        <v>2932</v>
      </c>
      <c r="F1679" t="s">
        <v>16894</v>
      </c>
      <c r="G1679" t="s">
        <v>62</v>
      </c>
      <c r="H1679">
        <v>2875954</v>
      </c>
      <c r="I1679">
        <v>2876895</v>
      </c>
      <c r="J1679" t="s">
        <v>16895</v>
      </c>
      <c r="K1679">
        <v>314</v>
      </c>
      <c r="L1679" t="s">
        <v>108</v>
      </c>
      <c r="M1679">
        <v>44</v>
      </c>
      <c r="N1679" t="str">
        <f>HYPERLINK("Gene2932-zp_tree_all.dnd", "Gene2932-tree")</f>
        <v>Gene2932-tree</v>
      </c>
      <c r="O1679">
        <v>4</v>
      </c>
      <c r="P1679">
        <v>9</v>
      </c>
      <c r="Q1679">
        <v>4</v>
      </c>
      <c r="R1679">
        <v>9</v>
      </c>
      <c r="S1679">
        <v>0.69230999999999998</v>
      </c>
      <c r="T1679" t="s">
        <v>61</v>
      </c>
      <c r="U1679" t="s">
        <v>135</v>
      </c>
      <c r="V1679" t="s">
        <v>62</v>
      </c>
      <c r="W1679" t="s">
        <v>62</v>
      </c>
      <c r="X1679">
        <v>0</v>
      </c>
      <c r="Y1679">
        <v>0</v>
      </c>
      <c r="Z1679">
        <v>13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10</v>
      </c>
      <c r="AK1679">
        <v>0</v>
      </c>
      <c r="AL1679">
        <v>11</v>
      </c>
      <c r="AM1679">
        <v>10</v>
      </c>
      <c r="AN1679">
        <v>21</v>
      </c>
      <c r="AO1679">
        <v>9</v>
      </c>
      <c r="AP1679">
        <v>16</v>
      </c>
      <c r="AQ1679">
        <v>4</v>
      </c>
      <c r="AR1679" t="s">
        <v>16896</v>
      </c>
      <c r="AS1679" t="s">
        <v>16897</v>
      </c>
      <c r="AT1679">
        <v>0.72899999999999998</v>
      </c>
      <c r="AU1679" t="s">
        <v>65</v>
      </c>
      <c r="AV1679">
        <v>37</v>
      </c>
      <c r="AW1679">
        <v>13</v>
      </c>
      <c r="AX1679" t="s">
        <v>16898</v>
      </c>
      <c r="AY1679">
        <v>3.7859999999999998E-2</v>
      </c>
      <c r="AZ1679">
        <v>-1.4499999999999999E-3</v>
      </c>
      <c r="BA1679">
        <v>3.4499999999999999E-3</v>
      </c>
      <c r="BB1679">
        <v>-1.3999999999999999E-4</v>
      </c>
      <c r="BC1679">
        <v>9.1069999999999998E-2</v>
      </c>
      <c r="BD1679">
        <v>1</v>
      </c>
      <c r="BE1679" t="s">
        <v>69</v>
      </c>
      <c r="BF1679">
        <v>-4.2000000000000003E-2</v>
      </c>
      <c r="BG1679">
        <v>-1.35</v>
      </c>
    </row>
    <row r="1680" spans="1:59">
      <c r="A1680">
        <v>0</v>
      </c>
      <c r="B1680">
        <v>2</v>
      </c>
      <c r="C1680">
        <v>0</v>
      </c>
      <c r="D1680" t="s">
        <v>25022</v>
      </c>
      <c r="E1680">
        <v>245</v>
      </c>
      <c r="F1680" t="s">
        <v>1665</v>
      </c>
      <c r="G1680" t="s">
        <v>57</v>
      </c>
      <c r="H1680">
        <v>266719</v>
      </c>
      <c r="I1680">
        <v>267660</v>
      </c>
      <c r="J1680" t="s">
        <v>1666</v>
      </c>
      <c r="K1680">
        <v>314</v>
      </c>
      <c r="L1680" t="s">
        <v>265</v>
      </c>
      <c r="M1680">
        <v>43</v>
      </c>
      <c r="N1680" t="str">
        <f>HYPERLINK("Gene245-zp_tree_all.dnd", "Gene245-tree")</f>
        <v>Gene245-tree</v>
      </c>
      <c r="O1680">
        <v>25</v>
      </c>
      <c r="P1680">
        <v>6</v>
      </c>
      <c r="Q1680">
        <v>8</v>
      </c>
      <c r="R1680">
        <v>6</v>
      </c>
      <c r="S1680">
        <v>0.42857000000000001</v>
      </c>
      <c r="T1680" t="s">
        <v>1667</v>
      </c>
      <c r="U1680" t="s">
        <v>90</v>
      </c>
      <c r="V1680" t="s">
        <v>62</v>
      </c>
      <c r="W1680" t="s">
        <v>62</v>
      </c>
      <c r="X1680">
        <v>1</v>
      </c>
      <c r="Y1680">
        <v>2</v>
      </c>
      <c r="Z1680">
        <v>16</v>
      </c>
      <c r="AA1680">
        <v>0.11111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</v>
      </c>
      <c r="AH1680">
        <v>0</v>
      </c>
      <c r="AI1680">
        <v>2</v>
      </c>
      <c r="AJ1680">
        <v>14</v>
      </c>
      <c r="AK1680">
        <v>0.125</v>
      </c>
      <c r="AL1680">
        <v>10</v>
      </c>
      <c r="AM1680">
        <v>6</v>
      </c>
      <c r="AN1680">
        <v>46</v>
      </c>
      <c r="AO1680">
        <v>16</v>
      </c>
      <c r="AP1680">
        <v>8</v>
      </c>
      <c r="AQ1680">
        <v>2</v>
      </c>
      <c r="AR1680" t="s">
        <v>1668</v>
      </c>
      <c r="AS1680" t="s">
        <v>1669</v>
      </c>
      <c r="AT1680">
        <v>0.107</v>
      </c>
      <c r="AU1680" t="s">
        <v>65</v>
      </c>
      <c r="AV1680">
        <v>54</v>
      </c>
      <c r="AW1680">
        <v>18</v>
      </c>
      <c r="AX1680" t="s">
        <v>1670</v>
      </c>
      <c r="AY1680">
        <v>4.4269999999999997E-2</v>
      </c>
      <c r="AZ1680">
        <v>-5.3800000000000002E-3</v>
      </c>
      <c r="BA1680">
        <v>3.81E-3</v>
      </c>
      <c r="BB1680">
        <v>-4.0999999999999999E-4</v>
      </c>
      <c r="BC1680">
        <v>8.6180000000000007E-2</v>
      </c>
      <c r="BD1680">
        <v>1</v>
      </c>
      <c r="BE1680" t="s">
        <v>69</v>
      </c>
      <c r="BF1680">
        <v>-2.0539999999999998</v>
      </c>
      <c r="BG1680">
        <v>-4.6589999999999998</v>
      </c>
    </row>
    <row r="1681" spans="1:59">
      <c r="A1681">
        <v>0</v>
      </c>
      <c r="B1681">
        <v>0</v>
      </c>
      <c r="C1681">
        <v>0</v>
      </c>
      <c r="D1681" t="s">
        <v>25022</v>
      </c>
      <c r="E1681">
        <v>144</v>
      </c>
      <c r="F1681" t="s">
        <v>1023</v>
      </c>
      <c r="G1681" t="s">
        <v>57</v>
      </c>
      <c r="H1681">
        <v>148931</v>
      </c>
      <c r="I1681">
        <v>149872</v>
      </c>
      <c r="J1681" t="s">
        <v>1024</v>
      </c>
      <c r="K1681">
        <v>314</v>
      </c>
      <c r="L1681" t="s">
        <v>59</v>
      </c>
      <c r="M1681">
        <v>49</v>
      </c>
      <c r="N1681" t="str">
        <f>HYPERLINK("Gene144-zp_tree_all.dnd", "Gene144-tree")</f>
        <v>Gene144-tree</v>
      </c>
      <c r="O1681">
        <v>49</v>
      </c>
      <c r="P1681">
        <v>0</v>
      </c>
      <c r="Q1681">
        <v>8</v>
      </c>
      <c r="R1681">
        <v>0</v>
      </c>
      <c r="S1681">
        <v>0</v>
      </c>
      <c r="T1681" t="s">
        <v>1025</v>
      </c>
      <c r="U1681" t="s">
        <v>62</v>
      </c>
      <c r="V1681" t="s">
        <v>62</v>
      </c>
      <c r="W1681" t="s">
        <v>62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5</v>
      </c>
      <c r="AM1681">
        <v>2</v>
      </c>
      <c r="AN1681">
        <v>11</v>
      </c>
      <c r="AO1681">
        <v>0</v>
      </c>
      <c r="AP1681">
        <v>5</v>
      </c>
      <c r="AQ1681">
        <v>0</v>
      </c>
      <c r="AR1681" t="s">
        <v>193</v>
      </c>
      <c r="AS1681" t="s">
        <v>193</v>
      </c>
      <c r="AT1681">
        <v>0</v>
      </c>
      <c r="AU1681" t="s">
        <v>65</v>
      </c>
      <c r="AV1681">
        <v>16</v>
      </c>
      <c r="AW1681">
        <v>0</v>
      </c>
      <c r="AX1681" t="s">
        <v>1026</v>
      </c>
      <c r="AY1681">
        <v>2.4670000000000001E-2</v>
      </c>
      <c r="AZ1681">
        <v>-2.4299999999999999E-3</v>
      </c>
      <c r="BA1681">
        <v>0</v>
      </c>
      <c r="BB1681">
        <v>0</v>
      </c>
      <c r="BC1681">
        <v>0</v>
      </c>
      <c r="BD1681">
        <v>1</v>
      </c>
      <c r="BE1681" t="s">
        <v>69</v>
      </c>
      <c r="BF1681">
        <v>-2.0009999999999999</v>
      </c>
      <c r="BG1681">
        <v>-3.198</v>
      </c>
    </row>
    <row r="1682" spans="1:59">
      <c r="A1682">
        <v>0</v>
      </c>
      <c r="B1682">
        <v>0</v>
      </c>
      <c r="C1682">
        <v>0</v>
      </c>
      <c r="D1682" t="s">
        <v>25022</v>
      </c>
      <c r="E1682">
        <v>1027</v>
      </c>
      <c r="F1682" t="s">
        <v>6454</v>
      </c>
      <c r="G1682" t="s">
        <v>57</v>
      </c>
      <c r="H1682">
        <v>1069042</v>
      </c>
      <c r="I1682">
        <v>1069983</v>
      </c>
      <c r="J1682" t="s">
        <v>6455</v>
      </c>
      <c r="K1682">
        <v>314</v>
      </c>
      <c r="L1682" t="s">
        <v>108</v>
      </c>
      <c r="M1682">
        <v>44</v>
      </c>
      <c r="N1682" t="str">
        <f>HYPERLINK("Gene1027-zp_tree_all.dnd", "Gene1027-tree")</f>
        <v>Gene1027-tree</v>
      </c>
      <c r="O1682">
        <v>12</v>
      </c>
      <c r="P1682">
        <v>0</v>
      </c>
      <c r="Q1682">
        <v>12</v>
      </c>
      <c r="R1682">
        <v>0</v>
      </c>
      <c r="S1682">
        <v>0</v>
      </c>
      <c r="T1682" t="s">
        <v>109</v>
      </c>
      <c r="U1682" t="s">
        <v>62</v>
      </c>
      <c r="V1682" t="s">
        <v>62</v>
      </c>
      <c r="W1682" t="s">
        <v>62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10</v>
      </c>
      <c r="AM1682">
        <v>7</v>
      </c>
      <c r="AN1682">
        <v>30</v>
      </c>
      <c r="AO1682">
        <v>0</v>
      </c>
      <c r="AP1682">
        <v>17</v>
      </c>
      <c r="AQ1682">
        <v>0</v>
      </c>
      <c r="AR1682" t="s">
        <v>193</v>
      </c>
      <c r="AS1682" t="s">
        <v>193</v>
      </c>
      <c r="AT1682">
        <v>0</v>
      </c>
      <c r="AU1682" t="s">
        <v>65</v>
      </c>
      <c r="AV1682">
        <v>47</v>
      </c>
      <c r="AW1682">
        <v>0</v>
      </c>
      <c r="AX1682" t="s">
        <v>6456</v>
      </c>
      <c r="AY1682">
        <v>4.7289999999999999E-2</v>
      </c>
      <c r="AZ1682">
        <v>-1.81E-3</v>
      </c>
      <c r="BA1682">
        <v>0</v>
      </c>
      <c r="BB1682">
        <v>0</v>
      </c>
      <c r="BC1682">
        <v>0</v>
      </c>
      <c r="BD1682">
        <v>1</v>
      </c>
      <c r="BE1682" t="s">
        <v>69</v>
      </c>
      <c r="BF1682">
        <v>-0.437</v>
      </c>
      <c r="BG1682">
        <v>0.27100000000000002</v>
      </c>
    </row>
    <row r="1683" spans="1:59">
      <c r="A1683">
        <v>0</v>
      </c>
      <c r="B1683">
        <v>6</v>
      </c>
      <c r="C1683">
        <v>0</v>
      </c>
      <c r="D1683" t="s">
        <v>25022</v>
      </c>
      <c r="E1683">
        <v>1244</v>
      </c>
      <c r="F1683" t="s">
        <v>7796</v>
      </c>
      <c r="G1683" t="s">
        <v>57</v>
      </c>
      <c r="H1683">
        <v>1274692</v>
      </c>
      <c r="I1683">
        <v>1275636</v>
      </c>
      <c r="J1683" t="s">
        <v>7797</v>
      </c>
      <c r="K1683">
        <v>315</v>
      </c>
      <c r="L1683" t="s">
        <v>5762</v>
      </c>
      <c r="M1683">
        <v>43</v>
      </c>
      <c r="N1683" t="str">
        <f>HYPERLINK("Gene1244-zp_tree_all.dnd", "Gene1244-tree")</f>
        <v>Gene1244-tree</v>
      </c>
      <c r="O1683">
        <v>8</v>
      </c>
      <c r="P1683">
        <v>6</v>
      </c>
      <c r="Q1683">
        <v>8</v>
      </c>
      <c r="R1683">
        <v>6</v>
      </c>
      <c r="S1683">
        <v>0.42857000000000001</v>
      </c>
      <c r="T1683" t="s">
        <v>136</v>
      </c>
      <c r="U1683" t="s">
        <v>90</v>
      </c>
      <c r="V1683" t="s">
        <v>62</v>
      </c>
      <c r="W1683" t="s">
        <v>62</v>
      </c>
      <c r="X1683">
        <v>3</v>
      </c>
      <c r="Y1683">
        <v>6</v>
      </c>
      <c r="Z1683">
        <v>15</v>
      </c>
      <c r="AA1683">
        <v>0.28571000000000002</v>
      </c>
      <c r="AB1683">
        <v>0</v>
      </c>
      <c r="AC1683">
        <v>0</v>
      </c>
      <c r="AD1683">
        <v>0</v>
      </c>
      <c r="AE1683">
        <v>2</v>
      </c>
      <c r="AF1683">
        <v>0</v>
      </c>
      <c r="AG1683">
        <v>0</v>
      </c>
      <c r="AH1683">
        <v>0</v>
      </c>
      <c r="AI1683">
        <v>0</v>
      </c>
      <c r="AJ1683">
        <v>13</v>
      </c>
      <c r="AK1683">
        <v>0</v>
      </c>
      <c r="AL1683">
        <v>11</v>
      </c>
      <c r="AM1683">
        <v>9</v>
      </c>
      <c r="AN1683">
        <v>23</v>
      </c>
      <c r="AO1683">
        <v>13</v>
      </c>
      <c r="AP1683">
        <v>20</v>
      </c>
      <c r="AQ1683">
        <v>8</v>
      </c>
      <c r="AR1683" t="s">
        <v>7798</v>
      </c>
      <c r="AS1683" t="s">
        <v>7799</v>
      </c>
      <c r="AT1683">
        <v>0.30299999999999999</v>
      </c>
      <c r="AU1683" t="s">
        <v>65</v>
      </c>
      <c r="AV1683">
        <v>43</v>
      </c>
      <c r="AW1683">
        <v>21</v>
      </c>
      <c r="AX1683" t="s">
        <v>7800</v>
      </c>
      <c r="AY1683">
        <v>4.7820000000000001E-2</v>
      </c>
      <c r="AZ1683">
        <v>-2.2399999999999998E-3</v>
      </c>
      <c r="BA1683">
        <v>5.77E-3</v>
      </c>
      <c r="BB1683">
        <v>-3.5E-4</v>
      </c>
      <c r="BC1683">
        <v>0.12075</v>
      </c>
      <c r="BD1683">
        <v>1</v>
      </c>
      <c r="BE1683" t="s">
        <v>69</v>
      </c>
      <c r="BF1683">
        <v>-1.1399999999999999</v>
      </c>
      <c r="BG1683">
        <v>-1.845</v>
      </c>
    </row>
    <row r="1684" spans="1:59">
      <c r="A1684">
        <v>0</v>
      </c>
      <c r="B1684">
        <v>14</v>
      </c>
      <c r="C1684">
        <v>2</v>
      </c>
      <c r="D1684" t="s">
        <v>25022</v>
      </c>
      <c r="E1684">
        <v>605</v>
      </c>
      <c r="F1684" t="s">
        <v>3900</v>
      </c>
      <c r="G1684" t="s">
        <v>57</v>
      </c>
      <c r="H1684">
        <v>631808</v>
      </c>
      <c r="I1684">
        <v>632752</v>
      </c>
      <c r="J1684" t="s">
        <v>3901</v>
      </c>
      <c r="K1684">
        <v>315</v>
      </c>
      <c r="L1684" t="s">
        <v>3902</v>
      </c>
      <c r="M1684">
        <v>35</v>
      </c>
      <c r="N1684" t="str">
        <f>HYPERLINK("Gene605-zp_tree_all.dnd", "Gene605-tree")</f>
        <v>Gene605-tree</v>
      </c>
      <c r="O1684">
        <v>6</v>
      </c>
      <c r="P1684">
        <v>8</v>
      </c>
      <c r="Q1684">
        <v>6</v>
      </c>
      <c r="R1684">
        <v>8</v>
      </c>
      <c r="S1684">
        <v>0.57142999999999999</v>
      </c>
      <c r="T1684" t="s">
        <v>90</v>
      </c>
      <c r="U1684" t="s">
        <v>136</v>
      </c>
      <c r="V1684" t="s">
        <v>62</v>
      </c>
      <c r="W1684" t="s">
        <v>62</v>
      </c>
      <c r="X1684">
        <v>7</v>
      </c>
      <c r="Y1684">
        <v>16</v>
      </c>
      <c r="Z1684">
        <v>14</v>
      </c>
      <c r="AA1684">
        <v>0.53332999999999997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9</v>
      </c>
      <c r="AH1684">
        <v>0</v>
      </c>
      <c r="AI1684">
        <v>9</v>
      </c>
      <c r="AJ1684">
        <v>14</v>
      </c>
      <c r="AK1684">
        <v>0.39129999999999998</v>
      </c>
      <c r="AL1684">
        <v>11</v>
      </c>
      <c r="AM1684">
        <v>7</v>
      </c>
      <c r="AN1684">
        <v>45</v>
      </c>
      <c r="AO1684">
        <v>21</v>
      </c>
      <c r="AP1684">
        <v>30</v>
      </c>
      <c r="AQ1684">
        <v>10</v>
      </c>
      <c r="AR1684" t="s">
        <v>3903</v>
      </c>
      <c r="AS1684" t="s">
        <v>3904</v>
      </c>
      <c r="AT1684">
        <v>0.59</v>
      </c>
      <c r="AU1684" t="s">
        <v>65</v>
      </c>
      <c r="AV1684">
        <v>75</v>
      </c>
      <c r="AW1684">
        <v>31</v>
      </c>
      <c r="AX1684" t="s">
        <v>3905</v>
      </c>
      <c r="AY1684">
        <v>7.4389999999999998E-2</v>
      </c>
      <c r="AZ1684">
        <v>-3.0000000000000001E-3</v>
      </c>
      <c r="BA1684">
        <v>7.4999999999999997E-3</v>
      </c>
      <c r="BB1684">
        <v>-4.2999999999999999E-4</v>
      </c>
      <c r="BC1684">
        <v>0.10086000000000001</v>
      </c>
      <c r="BD1684">
        <v>1</v>
      </c>
      <c r="BE1684" t="s">
        <v>69</v>
      </c>
      <c r="BF1684">
        <v>-0.129</v>
      </c>
      <c r="BG1684">
        <v>-1.1379999999999999</v>
      </c>
    </row>
    <row r="1685" spans="1:59">
      <c r="A1685">
        <v>0</v>
      </c>
      <c r="B1685">
        <v>6</v>
      </c>
      <c r="C1685">
        <v>1</v>
      </c>
      <c r="D1685" t="s">
        <v>25022</v>
      </c>
      <c r="E1685">
        <v>3919</v>
      </c>
      <c r="F1685" t="s">
        <v>22993</v>
      </c>
      <c r="G1685" t="s">
        <v>62</v>
      </c>
      <c r="H1685">
        <v>3884295</v>
      </c>
      <c r="I1685">
        <v>3885239</v>
      </c>
      <c r="J1685" t="s">
        <v>22994</v>
      </c>
      <c r="K1685">
        <v>315</v>
      </c>
      <c r="L1685" t="s">
        <v>108</v>
      </c>
      <c r="M1685">
        <v>44</v>
      </c>
      <c r="N1685" t="str">
        <f>HYPERLINK("Gene3919-zp_tree_all.dnd", "Gene3919-tree")</f>
        <v>Gene3919-tree</v>
      </c>
      <c r="O1685">
        <v>9</v>
      </c>
      <c r="P1685">
        <v>8</v>
      </c>
      <c r="Q1685">
        <v>9</v>
      </c>
      <c r="R1685">
        <v>8</v>
      </c>
      <c r="S1685">
        <v>0.47059000000000001</v>
      </c>
      <c r="T1685" t="s">
        <v>135</v>
      </c>
      <c r="U1685" t="s">
        <v>136</v>
      </c>
      <c r="V1685" t="s">
        <v>62</v>
      </c>
      <c r="W1685" t="s">
        <v>62</v>
      </c>
      <c r="X1685">
        <v>3</v>
      </c>
      <c r="Y1685">
        <v>7</v>
      </c>
      <c r="Z1685">
        <v>12</v>
      </c>
      <c r="AA1685">
        <v>0.36842000000000003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2</v>
      </c>
      <c r="AI1685">
        <v>2</v>
      </c>
      <c r="AJ1685">
        <v>14</v>
      </c>
      <c r="AK1685">
        <v>0.125</v>
      </c>
      <c r="AL1685">
        <v>13</v>
      </c>
      <c r="AM1685">
        <v>11</v>
      </c>
      <c r="AN1685">
        <v>37</v>
      </c>
      <c r="AO1685">
        <v>13</v>
      </c>
      <c r="AP1685">
        <v>25</v>
      </c>
      <c r="AQ1685">
        <v>6</v>
      </c>
      <c r="AR1685" t="s">
        <v>22995</v>
      </c>
      <c r="AS1685" t="s">
        <v>22996</v>
      </c>
      <c r="AT1685">
        <v>0.41399999999999998</v>
      </c>
      <c r="AU1685" t="s">
        <v>65</v>
      </c>
      <c r="AV1685">
        <v>62</v>
      </c>
      <c r="AW1685">
        <v>19</v>
      </c>
      <c r="AX1685" t="s">
        <v>22997</v>
      </c>
      <c r="AY1685">
        <v>4.7759999999999997E-2</v>
      </c>
      <c r="AZ1685">
        <v>-1.65E-3</v>
      </c>
      <c r="BA1685">
        <v>3.96E-3</v>
      </c>
      <c r="BB1685">
        <v>-2.7E-4</v>
      </c>
      <c r="BC1685">
        <v>8.2860000000000003E-2</v>
      </c>
      <c r="BD1685">
        <v>1</v>
      </c>
      <c r="BE1685" t="s">
        <v>69</v>
      </c>
      <c r="BF1685">
        <v>-1.3520000000000001</v>
      </c>
      <c r="BG1685">
        <v>-2.3559999999999999</v>
      </c>
    </row>
    <row r="1686" spans="1:59">
      <c r="A1686">
        <v>0</v>
      </c>
      <c r="B1686">
        <v>4</v>
      </c>
      <c r="C1686">
        <v>0</v>
      </c>
      <c r="D1686" t="s">
        <v>25022</v>
      </c>
      <c r="E1686">
        <v>387</v>
      </c>
      <c r="F1686" t="s">
        <v>2618</v>
      </c>
      <c r="G1686" t="s">
        <v>57</v>
      </c>
      <c r="H1686">
        <v>433315</v>
      </c>
      <c r="I1686">
        <v>434259</v>
      </c>
      <c r="J1686" t="s">
        <v>2612</v>
      </c>
      <c r="K1686">
        <v>315</v>
      </c>
      <c r="L1686" t="s">
        <v>59</v>
      </c>
      <c r="M1686">
        <v>49</v>
      </c>
      <c r="N1686" t="str">
        <f>HYPERLINK("Gene387-zp_tree_all.dnd", "Gene387-tree")</f>
        <v>Gene387-tree</v>
      </c>
      <c r="O1686">
        <v>12</v>
      </c>
      <c r="P1686">
        <v>7</v>
      </c>
      <c r="Q1686">
        <v>12</v>
      </c>
      <c r="R1686">
        <v>7</v>
      </c>
      <c r="S1686">
        <v>0.36842000000000003</v>
      </c>
      <c r="T1686" t="s">
        <v>109</v>
      </c>
      <c r="U1686" t="s">
        <v>152</v>
      </c>
      <c r="V1686" t="s">
        <v>62</v>
      </c>
      <c r="W1686" t="s">
        <v>62</v>
      </c>
      <c r="X1686">
        <v>2</v>
      </c>
      <c r="Y1686">
        <v>4</v>
      </c>
      <c r="Z1686">
        <v>14</v>
      </c>
      <c r="AA1686">
        <v>0.22222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10</v>
      </c>
      <c r="AK1686">
        <v>0</v>
      </c>
      <c r="AL1686">
        <v>16</v>
      </c>
      <c r="AM1686">
        <v>11</v>
      </c>
      <c r="AN1686">
        <v>41</v>
      </c>
      <c r="AO1686">
        <v>10</v>
      </c>
      <c r="AP1686">
        <v>47</v>
      </c>
      <c r="AQ1686">
        <v>10</v>
      </c>
      <c r="AR1686" t="s">
        <v>2619</v>
      </c>
      <c r="AS1686" t="s">
        <v>2620</v>
      </c>
      <c r="AT1686">
        <v>0.111</v>
      </c>
      <c r="AU1686" t="s">
        <v>65</v>
      </c>
      <c r="AV1686">
        <v>88</v>
      </c>
      <c r="AW1686">
        <v>20</v>
      </c>
      <c r="AX1686" t="s">
        <v>2621</v>
      </c>
      <c r="AY1686">
        <v>8.1449999999999995E-2</v>
      </c>
      <c r="AZ1686">
        <v>-4.6100000000000004E-3</v>
      </c>
      <c r="BA1686">
        <v>5.5799999999999999E-3</v>
      </c>
      <c r="BB1686">
        <v>-4.0999999999999999E-4</v>
      </c>
      <c r="BC1686">
        <v>6.8559999999999996E-2</v>
      </c>
      <c r="BD1686">
        <v>1</v>
      </c>
      <c r="BE1686" t="s">
        <v>69</v>
      </c>
      <c r="BF1686">
        <v>-1.3660000000000001</v>
      </c>
      <c r="BG1686">
        <v>-0.98299999999999998</v>
      </c>
    </row>
    <row r="1687" spans="1:59">
      <c r="A1687">
        <v>0</v>
      </c>
      <c r="B1687">
        <v>14</v>
      </c>
      <c r="C1687">
        <v>6</v>
      </c>
      <c r="D1687" t="s">
        <v>25022</v>
      </c>
      <c r="E1687">
        <v>3711</v>
      </c>
      <c r="F1687" t="s">
        <v>21737</v>
      </c>
      <c r="G1687" t="s">
        <v>62</v>
      </c>
      <c r="H1687">
        <v>3687600</v>
      </c>
      <c r="I1687">
        <v>3688547</v>
      </c>
      <c r="J1687" t="s">
        <v>21738</v>
      </c>
      <c r="K1687">
        <v>316</v>
      </c>
      <c r="L1687" t="s">
        <v>108</v>
      </c>
      <c r="M1687">
        <v>44</v>
      </c>
      <c r="N1687" t="str">
        <f>HYPERLINK("Gene3711-zp_tree_all.dnd", "Gene3711-tree")</f>
        <v>Gene3711-tree</v>
      </c>
      <c r="O1687">
        <v>5</v>
      </c>
      <c r="P1687">
        <v>9</v>
      </c>
      <c r="Q1687">
        <v>5</v>
      </c>
      <c r="R1687">
        <v>9</v>
      </c>
      <c r="S1687">
        <v>0.64285999999999999</v>
      </c>
      <c r="T1687" t="s">
        <v>199</v>
      </c>
      <c r="U1687" t="s">
        <v>135</v>
      </c>
      <c r="V1687" t="s">
        <v>62</v>
      </c>
      <c r="W1687" t="s">
        <v>62</v>
      </c>
      <c r="X1687">
        <v>8</v>
      </c>
      <c r="Y1687">
        <v>20</v>
      </c>
      <c r="Z1687">
        <v>16</v>
      </c>
      <c r="AA1687">
        <v>0.55556000000000005</v>
      </c>
      <c r="AB1687">
        <v>0</v>
      </c>
      <c r="AC1687">
        <v>0</v>
      </c>
      <c r="AD1687">
        <v>0</v>
      </c>
      <c r="AE1687">
        <v>2</v>
      </c>
      <c r="AF1687">
        <v>0</v>
      </c>
      <c r="AG1687">
        <v>6</v>
      </c>
      <c r="AH1687">
        <v>3</v>
      </c>
      <c r="AI1687">
        <v>9</v>
      </c>
      <c r="AJ1687">
        <v>16</v>
      </c>
      <c r="AK1687">
        <v>0.36</v>
      </c>
      <c r="AL1687">
        <v>12</v>
      </c>
      <c r="AM1687">
        <v>11</v>
      </c>
      <c r="AN1687">
        <v>39</v>
      </c>
      <c r="AO1687">
        <v>29</v>
      </c>
      <c r="AP1687">
        <v>23</v>
      </c>
      <c r="AQ1687">
        <v>12</v>
      </c>
      <c r="AR1687" t="s">
        <v>21739</v>
      </c>
      <c r="AS1687" t="s">
        <v>21740</v>
      </c>
      <c r="AT1687">
        <v>0.30499999999999999</v>
      </c>
      <c r="AU1687" t="s">
        <v>65</v>
      </c>
      <c r="AV1687">
        <v>62</v>
      </c>
      <c r="AW1687">
        <v>41</v>
      </c>
      <c r="AX1687" t="s">
        <v>21741</v>
      </c>
      <c r="AY1687">
        <v>5.2880000000000003E-2</v>
      </c>
      <c r="AZ1687">
        <v>-3.0999999999999999E-3</v>
      </c>
      <c r="BA1687">
        <v>1.018E-2</v>
      </c>
      <c r="BB1687">
        <v>-6.6E-4</v>
      </c>
      <c r="BC1687">
        <v>0.19253000000000001</v>
      </c>
      <c r="BD1687">
        <v>1</v>
      </c>
      <c r="BE1687" t="s">
        <v>69</v>
      </c>
      <c r="BF1687">
        <v>-0.755</v>
      </c>
      <c r="BG1687">
        <v>-2.0259999999999998</v>
      </c>
    </row>
    <row r="1688" spans="1:59">
      <c r="A1688">
        <v>0</v>
      </c>
      <c r="B1688">
        <v>3</v>
      </c>
      <c r="C1688">
        <v>0</v>
      </c>
      <c r="D1688" t="s">
        <v>25022</v>
      </c>
      <c r="E1688">
        <v>3589</v>
      </c>
      <c r="F1688" t="s">
        <v>21065</v>
      </c>
      <c r="G1688" t="s">
        <v>62</v>
      </c>
      <c r="H1688">
        <v>3557787</v>
      </c>
      <c r="I1688">
        <v>3558734</v>
      </c>
      <c r="J1688" t="s">
        <v>21066</v>
      </c>
      <c r="K1688">
        <v>316</v>
      </c>
      <c r="L1688" t="s">
        <v>108</v>
      </c>
      <c r="M1688">
        <v>44</v>
      </c>
      <c r="N1688" t="str">
        <f>HYPERLINK("Gene3589-zp_tree_all.dnd", "Gene3589-tree")</f>
        <v>Gene3589-tree</v>
      </c>
      <c r="O1688">
        <v>9</v>
      </c>
      <c r="P1688">
        <v>5</v>
      </c>
      <c r="Q1688">
        <v>9</v>
      </c>
      <c r="R1688">
        <v>5</v>
      </c>
      <c r="S1688">
        <v>0.35714000000000001</v>
      </c>
      <c r="T1688" t="s">
        <v>135</v>
      </c>
      <c r="U1688" t="s">
        <v>199</v>
      </c>
      <c r="V1688" t="s">
        <v>62</v>
      </c>
      <c r="W1688" t="s">
        <v>62</v>
      </c>
      <c r="X1688">
        <v>1</v>
      </c>
      <c r="Y1688">
        <v>3</v>
      </c>
      <c r="Z1688">
        <v>7</v>
      </c>
      <c r="AA1688">
        <v>0.3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</v>
      </c>
      <c r="AH1688">
        <v>0</v>
      </c>
      <c r="AI1688">
        <v>2</v>
      </c>
      <c r="AJ1688">
        <v>5</v>
      </c>
      <c r="AK1688">
        <v>0.28571000000000002</v>
      </c>
      <c r="AL1688">
        <v>14</v>
      </c>
      <c r="AM1688">
        <v>10</v>
      </c>
      <c r="AN1688">
        <v>26</v>
      </c>
      <c r="AO1688">
        <v>7</v>
      </c>
      <c r="AP1688">
        <v>16</v>
      </c>
      <c r="AQ1688">
        <v>3</v>
      </c>
      <c r="AR1688" t="s">
        <v>21067</v>
      </c>
      <c r="AS1688" t="s">
        <v>21068</v>
      </c>
      <c r="AT1688">
        <v>0.35499999999999998</v>
      </c>
      <c r="AU1688" t="s">
        <v>65</v>
      </c>
      <c r="AV1688">
        <v>42</v>
      </c>
      <c r="AW1688">
        <v>10</v>
      </c>
      <c r="AX1688" t="s">
        <v>21069</v>
      </c>
      <c r="AY1688">
        <v>3.628E-2</v>
      </c>
      <c r="AZ1688">
        <v>-1.17E-3</v>
      </c>
      <c r="BA1688">
        <v>2.4199999999999998E-3</v>
      </c>
      <c r="BB1688">
        <v>-1.7000000000000001E-4</v>
      </c>
      <c r="BC1688">
        <v>6.6729999999999998E-2</v>
      </c>
      <c r="BD1688">
        <v>1</v>
      </c>
      <c r="BE1688" t="s">
        <v>69</v>
      </c>
      <c r="BF1688">
        <v>-0.373</v>
      </c>
      <c r="BG1688">
        <v>-0.11700000000000001</v>
      </c>
    </row>
    <row r="1689" spans="1:59">
      <c r="A1689">
        <v>0</v>
      </c>
      <c r="B1689">
        <v>0</v>
      </c>
      <c r="C1689">
        <v>2</v>
      </c>
      <c r="D1689" t="s">
        <v>25022</v>
      </c>
      <c r="E1689">
        <v>386</v>
      </c>
      <c r="F1689" t="s">
        <v>2611</v>
      </c>
      <c r="G1689" t="s">
        <v>57</v>
      </c>
      <c r="H1689">
        <v>432372</v>
      </c>
      <c r="I1689">
        <v>433319</v>
      </c>
      <c r="J1689" t="s">
        <v>2612</v>
      </c>
      <c r="K1689">
        <v>316</v>
      </c>
      <c r="L1689" t="s">
        <v>96</v>
      </c>
      <c r="M1689">
        <v>48</v>
      </c>
      <c r="N1689" t="str">
        <f>HYPERLINK("Gene386-zp_tree_all.dnd", "Gene386-tree")</f>
        <v>Gene386-tree</v>
      </c>
      <c r="O1689">
        <v>10</v>
      </c>
      <c r="P1689">
        <v>6</v>
      </c>
      <c r="Q1689">
        <v>10</v>
      </c>
      <c r="R1689">
        <v>6</v>
      </c>
      <c r="S1689">
        <v>0.375</v>
      </c>
      <c r="T1689" t="s">
        <v>117</v>
      </c>
      <c r="U1689" t="s">
        <v>90</v>
      </c>
      <c r="V1689" t="s">
        <v>62</v>
      </c>
      <c r="W1689" t="s">
        <v>62</v>
      </c>
      <c r="X1689">
        <v>1</v>
      </c>
      <c r="Y1689">
        <v>2</v>
      </c>
      <c r="Z1689">
        <v>13</v>
      </c>
      <c r="AA1689">
        <v>0.13333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7</v>
      </c>
      <c r="AK1689">
        <v>0</v>
      </c>
      <c r="AL1689">
        <v>15</v>
      </c>
      <c r="AM1689">
        <v>11</v>
      </c>
      <c r="AN1689">
        <v>54</v>
      </c>
      <c r="AO1689">
        <v>7</v>
      </c>
      <c r="AP1689">
        <v>45</v>
      </c>
      <c r="AQ1689">
        <v>8</v>
      </c>
      <c r="AR1689" t="s">
        <v>2613</v>
      </c>
      <c r="AS1689" t="s">
        <v>2614</v>
      </c>
      <c r="AT1689">
        <v>0.18</v>
      </c>
      <c r="AU1689" t="s">
        <v>65</v>
      </c>
      <c r="AV1689">
        <v>99</v>
      </c>
      <c r="AW1689">
        <v>15</v>
      </c>
      <c r="AX1689" t="s">
        <v>2615</v>
      </c>
      <c r="AY1689">
        <v>8.6230000000000001E-2</v>
      </c>
      <c r="AZ1689">
        <v>-4.8199999999999996E-3</v>
      </c>
      <c r="BA1689">
        <v>4.3200000000000001E-3</v>
      </c>
      <c r="BB1689">
        <v>-3.6000000000000002E-4</v>
      </c>
      <c r="BC1689">
        <v>5.0099999999999999E-2</v>
      </c>
      <c r="BD1689">
        <v>1</v>
      </c>
      <c r="BE1689" t="s">
        <v>69</v>
      </c>
      <c r="BF1689">
        <v>-1.6719999999999999</v>
      </c>
      <c r="BG1689">
        <v>-2.4950000000000001</v>
      </c>
    </row>
    <row r="1690" spans="1:59">
      <c r="A1690">
        <v>0</v>
      </c>
      <c r="B1690">
        <v>0</v>
      </c>
      <c r="C1690">
        <v>0</v>
      </c>
      <c r="D1690" t="s">
        <v>25022</v>
      </c>
      <c r="E1690">
        <v>1176</v>
      </c>
      <c r="F1690" t="s">
        <v>7394</v>
      </c>
      <c r="G1690" t="s">
        <v>57</v>
      </c>
      <c r="H1690">
        <v>1215243</v>
      </c>
      <c r="I1690">
        <v>1216190</v>
      </c>
      <c r="J1690" t="s">
        <v>7395</v>
      </c>
      <c r="K1690">
        <v>316</v>
      </c>
      <c r="L1690" t="s">
        <v>7396</v>
      </c>
      <c r="M1690">
        <v>33</v>
      </c>
      <c r="N1690" t="str">
        <f>HYPERLINK("Gene1176-zp_tree_all.dnd", "Gene1176-tree")</f>
        <v>Gene1176-tree</v>
      </c>
      <c r="O1690">
        <v>26</v>
      </c>
      <c r="P1690">
        <v>1</v>
      </c>
      <c r="Q1690">
        <v>3</v>
      </c>
      <c r="R1690">
        <v>1</v>
      </c>
      <c r="S1690">
        <v>0.25</v>
      </c>
      <c r="T1690" t="s">
        <v>7285</v>
      </c>
      <c r="U1690" t="s">
        <v>175</v>
      </c>
      <c r="V1690" t="s">
        <v>62</v>
      </c>
      <c r="W1690" t="s">
        <v>62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3</v>
      </c>
      <c r="AM1690">
        <v>1</v>
      </c>
      <c r="AN1690">
        <v>5</v>
      </c>
      <c r="AO1690">
        <v>1</v>
      </c>
      <c r="AP1690">
        <v>1</v>
      </c>
      <c r="AQ1690">
        <v>0</v>
      </c>
      <c r="AR1690" t="s">
        <v>7397</v>
      </c>
      <c r="AS1690" t="s">
        <v>193</v>
      </c>
      <c r="AT1690">
        <v>0.83199999999999996</v>
      </c>
      <c r="AU1690" t="s">
        <v>65</v>
      </c>
      <c r="AV1690">
        <v>6</v>
      </c>
      <c r="AW1690">
        <v>1</v>
      </c>
      <c r="AX1690" t="s">
        <v>7398</v>
      </c>
      <c r="AY1690">
        <v>1.397E-2</v>
      </c>
      <c r="AZ1690">
        <v>-1.9300000000000001E-3</v>
      </c>
      <c r="BA1690">
        <v>6.9999999999999999E-4</v>
      </c>
      <c r="BB1690">
        <v>-2.7999999999999998E-4</v>
      </c>
      <c r="BC1690">
        <v>4.9820000000000003E-2</v>
      </c>
      <c r="BD1690">
        <v>1</v>
      </c>
      <c r="BE1690" t="s">
        <v>69</v>
      </c>
      <c r="BF1690">
        <v>-0.47799999999999998</v>
      </c>
      <c r="BG1690">
        <v>-1.583</v>
      </c>
    </row>
    <row r="1691" spans="1:59">
      <c r="A1691">
        <v>0</v>
      </c>
      <c r="B1691">
        <v>7</v>
      </c>
      <c r="C1691">
        <v>0</v>
      </c>
      <c r="D1691" t="s">
        <v>25022</v>
      </c>
      <c r="E1691">
        <v>1337</v>
      </c>
      <c r="F1691" t="s">
        <v>8365</v>
      </c>
      <c r="G1691" t="s">
        <v>57</v>
      </c>
      <c r="H1691">
        <v>1353080</v>
      </c>
      <c r="I1691">
        <v>1354027</v>
      </c>
      <c r="J1691" t="s">
        <v>8366</v>
      </c>
      <c r="K1691">
        <v>316</v>
      </c>
      <c r="L1691" t="s">
        <v>1124</v>
      </c>
      <c r="M1691">
        <v>43</v>
      </c>
      <c r="N1691" t="str">
        <f>HYPERLINK("Gene1337-zp_tree_all.dnd", "Gene1337-tree")</f>
        <v>Gene1337-tree</v>
      </c>
      <c r="O1691">
        <v>3</v>
      </c>
      <c r="P1691">
        <v>10</v>
      </c>
      <c r="Q1691">
        <v>3</v>
      </c>
      <c r="R1691">
        <v>10</v>
      </c>
      <c r="S1691">
        <v>0.76922999999999997</v>
      </c>
      <c r="T1691" t="s">
        <v>324</v>
      </c>
      <c r="U1691" t="s">
        <v>117</v>
      </c>
      <c r="V1691" t="s">
        <v>62</v>
      </c>
      <c r="W1691" t="s">
        <v>62</v>
      </c>
      <c r="X1691">
        <v>2</v>
      </c>
      <c r="Y1691">
        <v>7</v>
      </c>
      <c r="Z1691">
        <v>5</v>
      </c>
      <c r="AA1691">
        <v>0.58333000000000002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5</v>
      </c>
      <c r="AH1691">
        <v>0</v>
      </c>
      <c r="AI1691">
        <v>5</v>
      </c>
      <c r="AJ1691">
        <v>5</v>
      </c>
      <c r="AK1691">
        <v>0.5</v>
      </c>
      <c r="AL1691">
        <v>11</v>
      </c>
      <c r="AM1691">
        <v>9</v>
      </c>
      <c r="AN1691">
        <v>44</v>
      </c>
      <c r="AO1691">
        <v>10</v>
      </c>
      <c r="AP1691">
        <v>19</v>
      </c>
      <c r="AQ1691">
        <v>2</v>
      </c>
      <c r="AR1691" t="s">
        <v>8367</v>
      </c>
      <c r="AS1691" t="s">
        <v>8368</v>
      </c>
      <c r="AT1691">
        <v>0.85899999999999999</v>
      </c>
      <c r="AU1691" t="s">
        <v>65</v>
      </c>
      <c r="AV1691">
        <v>63</v>
      </c>
      <c r="AW1691">
        <v>12</v>
      </c>
      <c r="AX1691" t="s">
        <v>8369</v>
      </c>
      <c r="AY1691">
        <v>5.5300000000000002E-2</v>
      </c>
      <c r="AZ1691">
        <v>-2.7799999999999999E-3</v>
      </c>
      <c r="BA1691">
        <v>2.4499999999999999E-3</v>
      </c>
      <c r="BB1691">
        <v>-1.3999999999999999E-4</v>
      </c>
      <c r="BC1691">
        <v>4.4269999999999997E-2</v>
      </c>
      <c r="BD1691">
        <v>1</v>
      </c>
      <c r="BE1691" t="s">
        <v>69</v>
      </c>
      <c r="BF1691">
        <v>-8.4000000000000005E-2</v>
      </c>
      <c r="BG1691">
        <v>-1.008</v>
      </c>
    </row>
    <row r="1692" spans="1:59">
      <c r="A1692">
        <v>0</v>
      </c>
      <c r="B1692">
        <v>2</v>
      </c>
      <c r="C1692">
        <v>1</v>
      </c>
      <c r="D1692" t="s">
        <v>25022</v>
      </c>
      <c r="E1692">
        <v>1729</v>
      </c>
      <c r="F1692" t="s">
        <v>10842</v>
      </c>
      <c r="G1692" t="s">
        <v>57</v>
      </c>
      <c r="H1692">
        <v>1737834</v>
      </c>
      <c r="I1692">
        <v>1738781</v>
      </c>
      <c r="J1692" t="s">
        <v>10843</v>
      </c>
      <c r="K1692">
        <v>316</v>
      </c>
      <c r="L1692" t="s">
        <v>108</v>
      </c>
      <c r="M1692">
        <v>44</v>
      </c>
      <c r="N1692" t="str">
        <f>HYPERLINK("Gene1729-zp_tree_all.dnd", "Gene1729-tree")</f>
        <v>Gene1729-tree</v>
      </c>
      <c r="O1692">
        <v>6</v>
      </c>
      <c r="P1692">
        <v>6</v>
      </c>
      <c r="Q1692">
        <v>6</v>
      </c>
      <c r="R1692">
        <v>6</v>
      </c>
      <c r="S1692">
        <v>0.5</v>
      </c>
      <c r="T1692" t="s">
        <v>90</v>
      </c>
      <c r="U1692" t="s">
        <v>90</v>
      </c>
      <c r="V1692" t="s">
        <v>62</v>
      </c>
      <c r="W1692" t="s">
        <v>62</v>
      </c>
      <c r="X1692">
        <v>1</v>
      </c>
      <c r="Y1692">
        <v>3</v>
      </c>
      <c r="Z1692">
        <v>6</v>
      </c>
      <c r="AA1692">
        <v>0.33333000000000002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2</v>
      </c>
      <c r="AI1692">
        <v>2</v>
      </c>
      <c r="AJ1692">
        <v>4</v>
      </c>
      <c r="AK1692">
        <v>0.33333000000000002</v>
      </c>
      <c r="AL1692">
        <v>11</v>
      </c>
      <c r="AM1692">
        <v>7</v>
      </c>
      <c r="AN1692">
        <v>34</v>
      </c>
      <c r="AO1692">
        <v>6</v>
      </c>
      <c r="AP1692">
        <v>21</v>
      </c>
      <c r="AQ1692">
        <v>3</v>
      </c>
      <c r="AR1692" t="s">
        <v>10844</v>
      </c>
      <c r="AS1692" t="s">
        <v>10845</v>
      </c>
      <c r="AT1692">
        <v>0.32100000000000001</v>
      </c>
      <c r="AU1692" t="s">
        <v>65</v>
      </c>
      <c r="AV1692">
        <v>55</v>
      </c>
      <c r="AW1692">
        <v>9</v>
      </c>
      <c r="AX1692" t="s">
        <v>10846</v>
      </c>
      <c r="AY1692">
        <v>6.2469999999999998E-2</v>
      </c>
      <c r="AZ1692">
        <v>-2.7200000000000002E-3</v>
      </c>
      <c r="BA1692">
        <v>2.7000000000000001E-3</v>
      </c>
      <c r="BB1692">
        <v>-1.8000000000000001E-4</v>
      </c>
      <c r="BC1692">
        <v>4.3270000000000003E-2</v>
      </c>
      <c r="BD1692">
        <v>1</v>
      </c>
      <c r="BE1692" t="s">
        <v>69</v>
      </c>
      <c r="BF1692">
        <v>-0.49</v>
      </c>
      <c r="BG1692">
        <v>-0.91900000000000004</v>
      </c>
    </row>
    <row r="1693" spans="1:59">
      <c r="A1693">
        <v>0</v>
      </c>
      <c r="B1693">
        <v>2</v>
      </c>
      <c r="C1693">
        <v>0</v>
      </c>
      <c r="D1693" t="s">
        <v>25022</v>
      </c>
      <c r="E1693">
        <v>3602</v>
      </c>
      <c r="F1693" t="s">
        <v>21152</v>
      </c>
      <c r="G1693" t="s">
        <v>62</v>
      </c>
      <c r="H1693">
        <v>3569576</v>
      </c>
      <c r="I1693">
        <v>3570523</v>
      </c>
      <c r="J1693" t="s">
        <v>21153</v>
      </c>
      <c r="K1693">
        <v>316</v>
      </c>
      <c r="L1693" t="s">
        <v>59</v>
      </c>
      <c r="M1693">
        <v>49</v>
      </c>
      <c r="N1693" t="str">
        <f>HYPERLINK("Gene3602-zp_tree_all.dnd", "Gene3602-tree")</f>
        <v>Gene3602-tree</v>
      </c>
      <c r="O1693">
        <v>16</v>
      </c>
      <c r="P1693">
        <v>2</v>
      </c>
      <c r="Q1693">
        <v>16</v>
      </c>
      <c r="R1693">
        <v>2</v>
      </c>
      <c r="S1693">
        <v>0.11111</v>
      </c>
      <c r="T1693" t="s">
        <v>60</v>
      </c>
      <c r="U1693" t="s">
        <v>81</v>
      </c>
      <c r="V1693" t="s">
        <v>62</v>
      </c>
      <c r="W1693" t="s">
        <v>62</v>
      </c>
      <c r="X1693">
        <v>1</v>
      </c>
      <c r="Y1693">
        <v>2</v>
      </c>
      <c r="Z1693">
        <v>5</v>
      </c>
      <c r="AA1693">
        <v>0.28571000000000002</v>
      </c>
      <c r="AB1693">
        <v>2</v>
      </c>
      <c r="AC1693">
        <v>0</v>
      </c>
      <c r="AD1693">
        <v>2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3</v>
      </c>
      <c r="AK1693">
        <v>0</v>
      </c>
      <c r="AL1693">
        <v>14</v>
      </c>
      <c r="AM1693">
        <v>13</v>
      </c>
      <c r="AN1693">
        <v>41</v>
      </c>
      <c r="AO1693">
        <v>3</v>
      </c>
      <c r="AP1693">
        <v>55</v>
      </c>
      <c r="AQ1693">
        <v>4</v>
      </c>
      <c r="AR1693" t="s">
        <v>21154</v>
      </c>
      <c r="AS1693" t="s">
        <v>21155</v>
      </c>
      <c r="AT1693">
        <v>1.2E-2</v>
      </c>
      <c r="AU1693" t="s">
        <v>65</v>
      </c>
      <c r="AV1693">
        <v>96</v>
      </c>
      <c r="AW1693">
        <v>7</v>
      </c>
      <c r="AX1693" t="s">
        <v>21156</v>
      </c>
      <c r="AY1693">
        <v>0.10138999999999999</v>
      </c>
      <c r="AZ1693">
        <v>-6.0299999999999998E-3</v>
      </c>
      <c r="BA1693">
        <v>1.83E-3</v>
      </c>
      <c r="BB1693">
        <v>-1.2E-4</v>
      </c>
      <c r="BC1693">
        <v>1.8079999999999999E-2</v>
      </c>
      <c r="BD1693">
        <v>1</v>
      </c>
      <c r="BE1693" t="s">
        <v>69</v>
      </c>
      <c r="BF1693">
        <v>-1.3180000000000001</v>
      </c>
      <c r="BG1693">
        <v>-1.2470000000000001</v>
      </c>
    </row>
    <row r="1694" spans="1:59">
      <c r="A1694">
        <v>0</v>
      </c>
      <c r="B1694">
        <v>2</v>
      </c>
      <c r="C1694">
        <v>0</v>
      </c>
      <c r="D1694" t="s">
        <v>25022</v>
      </c>
      <c r="E1694">
        <v>3606</v>
      </c>
      <c r="F1694" t="s">
        <v>21178</v>
      </c>
      <c r="G1694" t="s">
        <v>62</v>
      </c>
      <c r="H1694">
        <v>3573210</v>
      </c>
      <c r="I1694">
        <v>3574157</v>
      </c>
      <c r="J1694" t="s">
        <v>21179</v>
      </c>
      <c r="K1694">
        <v>316</v>
      </c>
      <c r="L1694" t="s">
        <v>125</v>
      </c>
      <c r="M1694">
        <v>48</v>
      </c>
      <c r="N1694" t="str">
        <f>HYPERLINK("Gene3606-zp_tree_all.dnd", "Gene3606-tree")</f>
        <v>Gene3606-tree</v>
      </c>
      <c r="O1694">
        <v>11</v>
      </c>
      <c r="P1694">
        <v>5</v>
      </c>
      <c r="Q1694">
        <v>11</v>
      </c>
      <c r="R1694">
        <v>5</v>
      </c>
      <c r="S1694">
        <v>0.3125</v>
      </c>
      <c r="T1694" t="s">
        <v>73</v>
      </c>
      <c r="U1694" t="s">
        <v>199</v>
      </c>
      <c r="V1694" t="s">
        <v>62</v>
      </c>
      <c r="W1694" t="s">
        <v>62</v>
      </c>
      <c r="X1694">
        <v>1</v>
      </c>
      <c r="Y1694">
        <v>2</v>
      </c>
      <c r="Z1694">
        <v>6</v>
      </c>
      <c r="AA1694">
        <v>0.25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7</v>
      </c>
      <c r="AK1694">
        <v>0</v>
      </c>
      <c r="AL1694">
        <v>14</v>
      </c>
      <c r="AM1694">
        <v>13</v>
      </c>
      <c r="AN1694">
        <v>60</v>
      </c>
      <c r="AO1694">
        <v>7</v>
      </c>
      <c r="AP1694">
        <v>84</v>
      </c>
      <c r="AQ1694">
        <v>1</v>
      </c>
      <c r="AR1694" t="s">
        <v>21180</v>
      </c>
      <c r="AS1694" t="s">
        <v>21181</v>
      </c>
      <c r="AT1694">
        <v>0.998</v>
      </c>
      <c r="AU1694" t="s">
        <v>65</v>
      </c>
      <c r="AV1694">
        <v>144</v>
      </c>
      <c r="AW1694">
        <v>8</v>
      </c>
      <c r="AX1694" t="s">
        <v>21182</v>
      </c>
      <c r="AY1694">
        <v>0.13874</v>
      </c>
      <c r="AZ1694">
        <v>-6.6699999999999997E-3</v>
      </c>
      <c r="BA1694">
        <v>1.49E-3</v>
      </c>
      <c r="BB1694">
        <v>-1.2999999999999999E-4</v>
      </c>
      <c r="BC1694">
        <v>1.0710000000000001E-2</v>
      </c>
      <c r="BD1694">
        <v>1</v>
      </c>
      <c r="BE1694" t="s">
        <v>69</v>
      </c>
      <c r="BF1694">
        <v>-1.139</v>
      </c>
      <c r="BG1694">
        <v>-0.79700000000000004</v>
      </c>
    </row>
    <row r="1695" spans="1:59">
      <c r="A1695">
        <v>0</v>
      </c>
      <c r="B1695">
        <v>12</v>
      </c>
      <c r="C1695">
        <v>0</v>
      </c>
      <c r="D1695" t="s">
        <v>25022</v>
      </c>
      <c r="E1695">
        <v>1290</v>
      </c>
      <c r="F1695" t="s">
        <v>8091</v>
      </c>
      <c r="G1695" t="s">
        <v>57</v>
      </c>
      <c r="H1695">
        <v>1317535</v>
      </c>
      <c r="I1695">
        <v>1318485</v>
      </c>
      <c r="J1695" t="s">
        <v>8092</v>
      </c>
      <c r="K1695">
        <v>317</v>
      </c>
      <c r="L1695" t="s">
        <v>1305</v>
      </c>
      <c r="M1695">
        <v>43</v>
      </c>
      <c r="N1695" t="str">
        <f>HYPERLINK("Gene1290-zp_tree_all.dnd", "Gene1290-tree")</f>
        <v>Gene1290-tree</v>
      </c>
      <c r="O1695">
        <v>25</v>
      </c>
      <c r="P1695">
        <v>6</v>
      </c>
      <c r="Q1695">
        <v>7</v>
      </c>
      <c r="R1695">
        <v>6</v>
      </c>
      <c r="S1695">
        <v>0.46154000000000001</v>
      </c>
      <c r="T1695" t="s">
        <v>2683</v>
      </c>
      <c r="U1695" t="s">
        <v>90</v>
      </c>
      <c r="V1695" t="s">
        <v>62</v>
      </c>
      <c r="W1695" t="s">
        <v>62</v>
      </c>
      <c r="X1695">
        <v>5</v>
      </c>
      <c r="Y1695">
        <v>12</v>
      </c>
      <c r="Z1695">
        <v>10</v>
      </c>
      <c r="AA1695">
        <v>0.54544999999999999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3</v>
      </c>
      <c r="AH1695">
        <v>0</v>
      </c>
      <c r="AI1695">
        <v>3</v>
      </c>
      <c r="AJ1695">
        <v>8</v>
      </c>
      <c r="AK1695">
        <v>0.27272999999999997</v>
      </c>
      <c r="AL1695">
        <v>12</v>
      </c>
      <c r="AM1695">
        <v>8</v>
      </c>
      <c r="AN1695">
        <v>30</v>
      </c>
      <c r="AO1695">
        <v>11</v>
      </c>
      <c r="AP1695">
        <v>30</v>
      </c>
      <c r="AQ1695">
        <v>12</v>
      </c>
      <c r="AR1695" t="s">
        <v>8093</v>
      </c>
      <c r="AS1695" t="s">
        <v>8094</v>
      </c>
      <c r="AT1695">
        <v>0.11899999999999999</v>
      </c>
      <c r="AU1695" t="s">
        <v>65</v>
      </c>
      <c r="AV1695">
        <v>60</v>
      </c>
      <c r="AW1695">
        <v>23</v>
      </c>
      <c r="AX1695" t="s">
        <v>8095</v>
      </c>
      <c r="AY1695">
        <v>6.8360000000000004E-2</v>
      </c>
      <c r="AZ1695">
        <v>-3.5500000000000002E-3</v>
      </c>
      <c r="BA1695">
        <v>7.26E-3</v>
      </c>
      <c r="BB1695">
        <v>-4.0000000000000002E-4</v>
      </c>
      <c r="BC1695">
        <v>0.10621</v>
      </c>
      <c r="BD1695">
        <v>1</v>
      </c>
      <c r="BE1695" t="s">
        <v>69</v>
      </c>
      <c r="BF1695">
        <v>0.6</v>
      </c>
      <c r="BG1695">
        <v>-0.38900000000000001</v>
      </c>
    </row>
    <row r="1696" spans="1:59">
      <c r="A1696">
        <v>0</v>
      </c>
      <c r="B1696">
        <v>6</v>
      </c>
      <c r="C1696">
        <v>0</v>
      </c>
      <c r="D1696" t="s">
        <v>25022</v>
      </c>
      <c r="E1696">
        <v>389</v>
      </c>
      <c r="F1696" t="s">
        <v>2631</v>
      </c>
      <c r="G1696" t="s">
        <v>57</v>
      </c>
      <c r="H1696">
        <v>435036</v>
      </c>
      <c r="I1696">
        <v>435986</v>
      </c>
      <c r="J1696" t="s">
        <v>2632</v>
      </c>
      <c r="K1696">
        <v>317</v>
      </c>
      <c r="L1696" t="s">
        <v>2633</v>
      </c>
      <c r="M1696">
        <v>25</v>
      </c>
      <c r="N1696" t="str">
        <f>HYPERLINK("Gene389-zp_tree_all.dnd", "Gene389-tree")</f>
        <v>Gene389-tree</v>
      </c>
      <c r="O1696">
        <v>0</v>
      </c>
      <c r="P1696">
        <v>22</v>
      </c>
      <c r="Q1696">
        <v>0</v>
      </c>
      <c r="R1696">
        <v>4</v>
      </c>
      <c r="S1696">
        <v>1</v>
      </c>
      <c r="T1696" t="s">
        <v>62</v>
      </c>
      <c r="U1696" t="s">
        <v>2634</v>
      </c>
      <c r="V1696">
        <v>6.282</v>
      </c>
      <c r="W1696" t="s">
        <v>65</v>
      </c>
      <c r="X1696">
        <v>3</v>
      </c>
      <c r="Y1696">
        <v>6</v>
      </c>
      <c r="Z1696">
        <v>13</v>
      </c>
      <c r="AA1696">
        <v>0.31579000000000002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6</v>
      </c>
      <c r="AH1696">
        <v>0</v>
      </c>
      <c r="AI1696">
        <v>6</v>
      </c>
      <c r="AJ1696">
        <v>13</v>
      </c>
      <c r="AK1696">
        <v>0.31579000000000002</v>
      </c>
      <c r="AL1696">
        <v>3</v>
      </c>
      <c r="AM1696">
        <v>1</v>
      </c>
      <c r="AN1696">
        <v>55</v>
      </c>
      <c r="AO1696">
        <v>13</v>
      </c>
      <c r="AP1696">
        <v>19</v>
      </c>
      <c r="AQ1696">
        <v>6</v>
      </c>
      <c r="AR1696" t="s">
        <v>2635</v>
      </c>
      <c r="AS1696" t="s">
        <v>2636</v>
      </c>
      <c r="AT1696">
        <v>7.7489999999999997</v>
      </c>
      <c r="AU1696" t="s">
        <v>65</v>
      </c>
      <c r="AV1696">
        <v>74</v>
      </c>
      <c r="AW1696">
        <v>19</v>
      </c>
      <c r="AX1696" t="s">
        <v>2637</v>
      </c>
      <c r="AY1696">
        <v>0.18351000000000001</v>
      </c>
      <c r="AZ1696">
        <v>-2.869E-2</v>
      </c>
      <c r="BA1696">
        <v>1.2999999999999999E-2</v>
      </c>
      <c r="BB1696">
        <v>-1.92E-3</v>
      </c>
      <c r="BC1696">
        <v>7.0849999999999996E-2</v>
      </c>
      <c r="BD1696">
        <v>1</v>
      </c>
      <c r="BE1696" t="s">
        <v>69</v>
      </c>
      <c r="BF1696">
        <v>-0.33900000000000002</v>
      </c>
      <c r="BG1696">
        <v>-0.56200000000000006</v>
      </c>
    </row>
    <row r="1697" spans="1:59">
      <c r="A1697">
        <v>0</v>
      </c>
      <c r="B1697">
        <v>13</v>
      </c>
      <c r="C1697">
        <v>0</v>
      </c>
      <c r="D1697" t="s">
        <v>25022</v>
      </c>
      <c r="E1697">
        <v>1634</v>
      </c>
      <c r="F1697" t="s">
        <v>10237</v>
      </c>
      <c r="G1697" t="s">
        <v>57</v>
      </c>
      <c r="H1697">
        <v>1646999</v>
      </c>
      <c r="I1697">
        <v>1647949</v>
      </c>
      <c r="J1697" t="s">
        <v>10238</v>
      </c>
      <c r="K1697">
        <v>317</v>
      </c>
      <c r="L1697" t="s">
        <v>108</v>
      </c>
      <c r="M1697">
        <v>44</v>
      </c>
      <c r="N1697" t="str">
        <f>HYPERLINK("Gene1634-zp_tree_all.dnd", "Gene1634-tree")</f>
        <v>Gene1634-tree</v>
      </c>
      <c r="O1697">
        <v>2</v>
      </c>
      <c r="P1697">
        <v>11</v>
      </c>
      <c r="Q1697">
        <v>2</v>
      </c>
      <c r="R1697">
        <v>11</v>
      </c>
      <c r="S1697">
        <v>0.84614999999999996</v>
      </c>
      <c r="T1697" t="s">
        <v>81</v>
      </c>
      <c r="U1697" t="s">
        <v>73</v>
      </c>
      <c r="V1697">
        <v>515075683.63</v>
      </c>
      <c r="W1697" t="s">
        <v>267</v>
      </c>
      <c r="X1697">
        <v>5</v>
      </c>
      <c r="Y1697">
        <v>13</v>
      </c>
      <c r="Z1697">
        <v>9</v>
      </c>
      <c r="AA1697">
        <v>0.59091000000000005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6</v>
      </c>
      <c r="AH1697">
        <v>0</v>
      </c>
      <c r="AI1697">
        <v>6</v>
      </c>
      <c r="AJ1697">
        <v>8</v>
      </c>
      <c r="AK1697">
        <v>0.42857000000000001</v>
      </c>
      <c r="AL1697">
        <v>10</v>
      </c>
      <c r="AM1697">
        <v>9</v>
      </c>
      <c r="AN1697">
        <v>69</v>
      </c>
      <c r="AO1697">
        <v>8</v>
      </c>
      <c r="AP1697">
        <v>46</v>
      </c>
      <c r="AQ1697">
        <v>14</v>
      </c>
      <c r="AR1697" t="s">
        <v>10239</v>
      </c>
      <c r="AS1697" t="s">
        <v>10240</v>
      </c>
      <c r="AT1697">
        <v>3.2069999999999999</v>
      </c>
      <c r="AU1697" t="s">
        <v>65</v>
      </c>
      <c r="AV1697">
        <v>115</v>
      </c>
      <c r="AW1697">
        <v>22</v>
      </c>
      <c r="AX1697" t="s">
        <v>10241</v>
      </c>
      <c r="AY1697">
        <v>0.10387</v>
      </c>
      <c r="AZ1697">
        <v>-3.8400000000000001E-3</v>
      </c>
      <c r="BA1697">
        <v>7.0499999999999998E-3</v>
      </c>
      <c r="BB1697">
        <v>-3.8999999999999999E-4</v>
      </c>
      <c r="BC1697">
        <v>6.7900000000000002E-2</v>
      </c>
      <c r="BD1697">
        <v>1</v>
      </c>
      <c r="BE1697" t="s">
        <v>69</v>
      </c>
      <c r="BF1697">
        <v>0.99199999999999999</v>
      </c>
      <c r="BG1697">
        <v>0.46700000000000003</v>
      </c>
    </row>
    <row r="1698" spans="1:59">
      <c r="A1698">
        <v>0</v>
      </c>
      <c r="B1698">
        <v>2</v>
      </c>
      <c r="C1698">
        <v>0</v>
      </c>
      <c r="D1698" t="s">
        <v>25022</v>
      </c>
      <c r="E1698">
        <v>1651</v>
      </c>
      <c r="F1698" t="s">
        <v>10337</v>
      </c>
      <c r="G1698" t="s">
        <v>57</v>
      </c>
      <c r="H1698">
        <v>1663567</v>
      </c>
      <c r="I1698">
        <v>1664517</v>
      </c>
      <c r="J1698" t="s">
        <v>10338</v>
      </c>
      <c r="K1698">
        <v>317</v>
      </c>
      <c r="L1698" t="s">
        <v>108</v>
      </c>
      <c r="M1698">
        <v>44</v>
      </c>
      <c r="N1698" t="str">
        <f>HYPERLINK("Gene1651-zp_tree_all.dnd", "Gene1651-tree")</f>
        <v>Gene1651-tree</v>
      </c>
      <c r="O1698">
        <v>8</v>
      </c>
      <c r="P1698">
        <v>4</v>
      </c>
      <c r="Q1698">
        <v>8</v>
      </c>
      <c r="R1698">
        <v>4</v>
      </c>
      <c r="S1698">
        <v>0.33333000000000002</v>
      </c>
      <c r="T1698" t="s">
        <v>136</v>
      </c>
      <c r="U1698" t="s">
        <v>61</v>
      </c>
      <c r="V1698" t="s">
        <v>62</v>
      </c>
      <c r="W1698" t="s">
        <v>62</v>
      </c>
      <c r="X1698">
        <v>1</v>
      </c>
      <c r="Y1698">
        <v>2</v>
      </c>
      <c r="Z1698">
        <v>6</v>
      </c>
      <c r="AA1698">
        <v>0.25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</v>
      </c>
      <c r="AK1698">
        <v>0</v>
      </c>
      <c r="AL1698">
        <v>9</v>
      </c>
      <c r="AM1698">
        <v>6</v>
      </c>
      <c r="AN1698">
        <v>14</v>
      </c>
      <c r="AO1698">
        <v>7</v>
      </c>
      <c r="AP1698">
        <v>12</v>
      </c>
      <c r="AQ1698">
        <v>1</v>
      </c>
      <c r="AR1698" t="s">
        <v>10339</v>
      </c>
      <c r="AS1698" t="s">
        <v>10340</v>
      </c>
      <c r="AT1698">
        <v>0.999</v>
      </c>
      <c r="AU1698" t="s">
        <v>65</v>
      </c>
      <c r="AV1698">
        <v>26</v>
      </c>
      <c r="AW1698">
        <v>8</v>
      </c>
      <c r="AX1698" t="s">
        <v>10341</v>
      </c>
      <c r="AY1698">
        <v>2.7349999999999999E-2</v>
      </c>
      <c r="AZ1698">
        <v>-1.4400000000000001E-3</v>
      </c>
      <c r="BA1698">
        <v>1.81E-3</v>
      </c>
      <c r="BB1698">
        <v>-1.7000000000000001E-4</v>
      </c>
      <c r="BC1698">
        <v>6.6129999999999994E-2</v>
      </c>
      <c r="BD1698">
        <v>1</v>
      </c>
      <c r="BE1698" t="s">
        <v>69</v>
      </c>
      <c r="BF1698">
        <v>-0.73199999999999998</v>
      </c>
      <c r="BG1698">
        <v>-1.1719999999999999</v>
      </c>
    </row>
    <row r="1699" spans="1:59">
      <c r="A1699">
        <v>0</v>
      </c>
      <c r="B1699">
        <v>2</v>
      </c>
      <c r="C1699">
        <v>0</v>
      </c>
      <c r="D1699" t="s">
        <v>25022</v>
      </c>
      <c r="E1699">
        <v>1166</v>
      </c>
      <c r="F1699" t="s">
        <v>7344</v>
      </c>
      <c r="G1699" t="s">
        <v>57</v>
      </c>
      <c r="H1699">
        <v>1206629</v>
      </c>
      <c r="I1699">
        <v>1207579</v>
      </c>
      <c r="J1699" t="s">
        <v>7345</v>
      </c>
      <c r="K1699">
        <v>317</v>
      </c>
      <c r="L1699" t="s">
        <v>108</v>
      </c>
      <c r="M1699">
        <v>44</v>
      </c>
      <c r="N1699" t="str">
        <f>HYPERLINK("Gene1166-zp_tree_all.dnd", "Gene1166-tree")</f>
        <v>Gene1166-tree</v>
      </c>
      <c r="O1699">
        <v>9</v>
      </c>
      <c r="P1699">
        <v>4</v>
      </c>
      <c r="Q1699">
        <v>9</v>
      </c>
      <c r="R1699">
        <v>4</v>
      </c>
      <c r="S1699">
        <v>0.30769000000000002</v>
      </c>
      <c r="T1699" t="s">
        <v>135</v>
      </c>
      <c r="U1699" t="s">
        <v>61</v>
      </c>
      <c r="V1699" t="s">
        <v>62</v>
      </c>
      <c r="W1699" t="s">
        <v>62</v>
      </c>
      <c r="X1699">
        <v>1</v>
      </c>
      <c r="Y1699">
        <v>2</v>
      </c>
      <c r="Z1699">
        <v>4</v>
      </c>
      <c r="AA1699">
        <v>0.33333000000000002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4</v>
      </c>
      <c r="AK1699">
        <v>0</v>
      </c>
      <c r="AL1699">
        <v>9</v>
      </c>
      <c r="AM1699">
        <v>8</v>
      </c>
      <c r="AN1699">
        <v>17</v>
      </c>
      <c r="AO1699">
        <v>4</v>
      </c>
      <c r="AP1699">
        <v>11</v>
      </c>
      <c r="AQ1699">
        <v>2</v>
      </c>
      <c r="AR1699" t="s">
        <v>7346</v>
      </c>
      <c r="AS1699" t="s">
        <v>7347</v>
      </c>
      <c r="AT1699">
        <v>0.21199999999999999</v>
      </c>
      <c r="AU1699" t="s">
        <v>65</v>
      </c>
      <c r="AV1699">
        <v>28</v>
      </c>
      <c r="AW1699">
        <v>6</v>
      </c>
      <c r="AX1699" t="s">
        <v>3615</v>
      </c>
      <c r="AY1699">
        <v>2.7119999999999998E-2</v>
      </c>
      <c r="AZ1699">
        <v>-1.4400000000000001E-3</v>
      </c>
      <c r="BA1699">
        <v>1.64E-3</v>
      </c>
      <c r="BB1699">
        <v>-1.2999999999999999E-4</v>
      </c>
      <c r="BC1699">
        <v>6.0440000000000001E-2</v>
      </c>
      <c r="BD1699">
        <v>1</v>
      </c>
      <c r="BE1699" t="s">
        <v>69</v>
      </c>
      <c r="BF1699">
        <v>-0.80500000000000005</v>
      </c>
      <c r="BG1699">
        <v>-1.857</v>
      </c>
    </row>
    <row r="1700" spans="1:59">
      <c r="A1700">
        <v>0</v>
      </c>
      <c r="B1700">
        <v>6</v>
      </c>
      <c r="C1700">
        <v>0</v>
      </c>
      <c r="D1700" t="s">
        <v>25022</v>
      </c>
      <c r="E1700">
        <v>3603</v>
      </c>
      <c r="F1700" t="s">
        <v>21158</v>
      </c>
      <c r="G1700" t="s">
        <v>62</v>
      </c>
      <c r="H1700">
        <v>3570549</v>
      </c>
      <c r="I1700">
        <v>3571499</v>
      </c>
      <c r="J1700" t="s">
        <v>21159</v>
      </c>
      <c r="K1700">
        <v>317</v>
      </c>
      <c r="L1700" t="s">
        <v>59</v>
      </c>
      <c r="M1700">
        <v>49</v>
      </c>
      <c r="N1700" t="str">
        <f>HYPERLINK("Gene3603-zp_tree_all.dnd", "Gene3603-tree")</f>
        <v>Gene3603-tree</v>
      </c>
      <c r="O1700">
        <v>31</v>
      </c>
      <c r="P1700">
        <v>8</v>
      </c>
      <c r="Q1700">
        <v>11</v>
      </c>
      <c r="R1700">
        <v>8</v>
      </c>
      <c r="S1700">
        <v>0.42104999999999998</v>
      </c>
      <c r="T1700" t="s">
        <v>2860</v>
      </c>
      <c r="U1700" t="s">
        <v>136</v>
      </c>
      <c r="V1700" t="s">
        <v>62</v>
      </c>
      <c r="W1700" t="s">
        <v>62</v>
      </c>
      <c r="X1700">
        <v>3</v>
      </c>
      <c r="Y1700">
        <v>6</v>
      </c>
      <c r="Z1700">
        <v>10</v>
      </c>
      <c r="AA1700">
        <v>0.375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</v>
      </c>
      <c r="AH1700">
        <v>0</v>
      </c>
      <c r="AI1700">
        <v>2</v>
      </c>
      <c r="AJ1700">
        <v>8</v>
      </c>
      <c r="AK1700">
        <v>0.2</v>
      </c>
      <c r="AL1700">
        <v>16</v>
      </c>
      <c r="AM1700">
        <v>15</v>
      </c>
      <c r="AN1700">
        <v>53</v>
      </c>
      <c r="AO1700">
        <v>9</v>
      </c>
      <c r="AP1700">
        <v>65</v>
      </c>
      <c r="AQ1700">
        <v>7</v>
      </c>
      <c r="AR1700" t="s">
        <v>21160</v>
      </c>
      <c r="AS1700" t="s">
        <v>21161</v>
      </c>
      <c r="AT1700">
        <v>0.28599999999999998</v>
      </c>
      <c r="AU1700" t="s">
        <v>65</v>
      </c>
      <c r="AV1700">
        <v>118</v>
      </c>
      <c r="AW1700">
        <v>16</v>
      </c>
      <c r="AX1700" t="s">
        <v>21162</v>
      </c>
      <c r="AY1700">
        <v>0.1086</v>
      </c>
      <c r="AZ1700">
        <v>-5.3699999999999998E-3</v>
      </c>
      <c r="BA1700">
        <v>3.9300000000000003E-3</v>
      </c>
      <c r="BB1700">
        <v>-2.9E-4</v>
      </c>
      <c r="BC1700">
        <v>3.6159999999999998E-2</v>
      </c>
      <c r="BD1700">
        <v>1</v>
      </c>
      <c r="BE1700" t="s">
        <v>69</v>
      </c>
      <c r="BF1700">
        <v>-1.19</v>
      </c>
      <c r="BG1700">
        <v>-0.61499999999999999</v>
      </c>
    </row>
    <row r="1701" spans="1:59">
      <c r="A1701">
        <v>0</v>
      </c>
      <c r="B1701">
        <v>2</v>
      </c>
      <c r="C1701">
        <v>0</v>
      </c>
      <c r="D1701" t="s">
        <v>25022</v>
      </c>
      <c r="E1701">
        <v>2576</v>
      </c>
      <c r="F1701" t="s">
        <v>15075</v>
      </c>
      <c r="G1701" t="s">
        <v>62</v>
      </c>
      <c r="H1701">
        <v>2560492</v>
      </c>
      <c r="I1701">
        <v>2561442</v>
      </c>
      <c r="J1701" t="s">
        <v>15076</v>
      </c>
      <c r="K1701">
        <v>317</v>
      </c>
      <c r="L1701" t="s">
        <v>108</v>
      </c>
      <c r="M1701">
        <v>44</v>
      </c>
      <c r="N1701" t="str">
        <f>HYPERLINK("Gene2576-zp_tree_all.dnd", "Gene2576-tree")</f>
        <v>Gene2576-tree</v>
      </c>
      <c r="O1701">
        <v>9</v>
      </c>
      <c r="P1701">
        <v>5</v>
      </c>
      <c r="Q1701">
        <v>9</v>
      </c>
      <c r="R1701">
        <v>5</v>
      </c>
      <c r="S1701">
        <v>0.35714000000000001</v>
      </c>
      <c r="T1701" t="s">
        <v>135</v>
      </c>
      <c r="U1701" t="s">
        <v>199</v>
      </c>
      <c r="V1701" t="s">
        <v>62</v>
      </c>
      <c r="W1701" t="s">
        <v>62</v>
      </c>
      <c r="X1701">
        <v>1</v>
      </c>
      <c r="Y1701">
        <v>2</v>
      </c>
      <c r="Z1701">
        <v>5</v>
      </c>
      <c r="AA1701">
        <v>0.28571000000000002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6</v>
      </c>
      <c r="AK1701">
        <v>0</v>
      </c>
      <c r="AL1701">
        <v>14</v>
      </c>
      <c r="AM1701">
        <v>10</v>
      </c>
      <c r="AN1701">
        <v>56</v>
      </c>
      <c r="AO1701">
        <v>6</v>
      </c>
      <c r="AP1701">
        <v>29</v>
      </c>
      <c r="AQ1701">
        <v>1</v>
      </c>
      <c r="AR1701" t="s">
        <v>15077</v>
      </c>
      <c r="AS1701" t="s">
        <v>15078</v>
      </c>
      <c r="AT1701">
        <v>0.58299999999999996</v>
      </c>
      <c r="AU1701" t="s">
        <v>65</v>
      </c>
      <c r="AV1701">
        <v>85</v>
      </c>
      <c r="AW1701">
        <v>7</v>
      </c>
      <c r="AX1701" t="s">
        <v>15079</v>
      </c>
      <c r="AY1701">
        <v>7.281E-2</v>
      </c>
      <c r="AZ1701">
        <v>-2.1700000000000001E-3</v>
      </c>
      <c r="BA1701">
        <v>1.6100000000000001E-3</v>
      </c>
      <c r="BB1701">
        <v>-1.3999999999999999E-4</v>
      </c>
      <c r="BC1701">
        <v>2.2159999999999999E-2</v>
      </c>
      <c r="BD1701">
        <v>1</v>
      </c>
      <c r="BE1701" t="s">
        <v>69</v>
      </c>
      <c r="BF1701">
        <v>0.77900000000000003</v>
      </c>
      <c r="BG1701">
        <v>0.90400000000000003</v>
      </c>
    </row>
    <row r="1702" spans="1:59">
      <c r="A1702">
        <v>0</v>
      </c>
      <c r="B1702">
        <v>2</v>
      </c>
      <c r="C1702">
        <v>0</v>
      </c>
      <c r="D1702" t="s">
        <v>25022</v>
      </c>
      <c r="E1702">
        <v>51</v>
      </c>
      <c r="F1702" t="s">
        <v>429</v>
      </c>
      <c r="G1702" t="s">
        <v>57</v>
      </c>
      <c r="H1702">
        <v>57745</v>
      </c>
      <c r="I1702">
        <v>58695</v>
      </c>
      <c r="J1702" t="s">
        <v>430</v>
      </c>
      <c r="K1702">
        <v>317</v>
      </c>
      <c r="L1702" t="s">
        <v>59</v>
      </c>
      <c r="M1702">
        <v>49</v>
      </c>
      <c r="N1702" t="str">
        <f>HYPERLINK("Gene51-zp_tree_all.dnd", "Gene51-tree")</f>
        <v>Gene51-tree</v>
      </c>
      <c r="O1702">
        <v>11</v>
      </c>
      <c r="P1702">
        <v>3</v>
      </c>
      <c r="Q1702">
        <v>11</v>
      </c>
      <c r="R1702">
        <v>3</v>
      </c>
      <c r="S1702">
        <v>0.21429000000000001</v>
      </c>
      <c r="T1702" t="s">
        <v>73</v>
      </c>
      <c r="U1702" t="s">
        <v>324</v>
      </c>
      <c r="V1702" t="s">
        <v>62</v>
      </c>
      <c r="W1702" t="s">
        <v>62</v>
      </c>
      <c r="X1702">
        <v>1</v>
      </c>
      <c r="Y1702">
        <v>2</v>
      </c>
      <c r="Z1702">
        <v>1</v>
      </c>
      <c r="AA1702">
        <v>0.66666999999999998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</v>
      </c>
      <c r="AH1702">
        <v>0</v>
      </c>
      <c r="AI1702">
        <v>2</v>
      </c>
      <c r="AJ1702">
        <v>1</v>
      </c>
      <c r="AK1702">
        <v>0.66666999999999998</v>
      </c>
      <c r="AL1702">
        <v>10</v>
      </c>
      <c r="AM1702">
        <v>8</v>
      </c>
      <c r="AN1702">
        <v>23</v>
      </c>
      <c r="AO1702">
        <v>3</v>
      </c>
      <c r="AP1702">
        <v>36</v>
      </c>
      <c r="AQ1702">
        <v>0</v>
      </c>
      <c r="AR1702" t="s">
        <v>431</v>
      </c>
      <c r="AS1702" t="s">
        <v>193</v>
      </c>
      <c r="AT1702">
        <v>1.0860000000000001</v>
      </c>
      <c r="AU1702" t="s">
        <v>65</v>
      </c>
      <c r="AV1702">
        <v>59</v>
      </c>
      <c r="AW1702">
        <v>3</v>
      </c>
      <c r="AX1702" t="s">
        <v>432</v>
      </c>
      <c r="AY1702">
        <v>7.4759999999999993E-2</v>
      </c>
      <c r="AZ1702">
        <v>-5.1999999999999998E-3</v>
      </c>
      <c r="BA1702">
        <v>5.5999999999999995E-4</v>
      </c>
      <c r="BB1702">
        <v>-6.9999999999999994E-5</v>
      </c>
      <c r="BC1702">
        <v>7.4999999999999997E-3</v>
      </c>
      <c r="BD1702">
        <v>1</v>
      </c>
      <c r="BE1702" t="s">
        <v>69</v>
      </c>
      <c r="BF1702">
        <v>-1.369</v>
      </c>
      <c r="BG1702">
        <v>-0.224</v>
      </c>
    </row>
    <row r="1703" spans="1:59">
      <c r="A1703">
        <v>0</v>
      </c>
      <c r="B1703">
        <v>10</v>
      </c>
      <c r="C1703">
        <v>7</v>
      </c>
      <c r="D1703" t="s">
        <v>25022</v>
      </c>
      <c r="E1703">
        <v>114</v>
      </c>
      <c r="F1703" t="s">
        <v>867</v>
      </c>
      <c r="G1703" t="s">
        <v>57</v>
      </c>
      <c r="H1703">
        <v>134171</v>
      </c>
      <c r="I1703">
        <v>135124</v>
      </c>
      <c r="J1703" t="s">
        <v>868</v>
      </c>
      <c r="K1703">
        <v>318</v>
      </c>
      <c r="L1703" t="s">
        <v>108</v>
      </c>
      <c r="M1703">
        <v>44</v>
      </c>
      <c r="N1703" t="str">
        <f>HYPERLINK("Gene114-zp_tree_all.dnd", "Gene114-tree")</f>
        <v>Gene114-tree</v>
      </c>
      <c r="O1703">
        <v>0</v>
      </c>
      <c r="P1703">
        <v>16</v>
      </c>
      <c r="Q1703">
        <v>0</v>
      </c>
      <c r="R1703">
        <v>16</v>
      </c>
      <c r="S1703">
        <v>1</v>
      </c>
      <c r="T1703" t="s">
        <v>62</v>
      </c>
      <c r="U1703" t="s">
        <v>60</v>
      </c>
      <c r="V1703" t="s">
        <v>62</v>
      </c>
      <c r="W1703" t="s">
        <v>62</v>
      </c>
      <c r="X1703">
        <v>7</v>
      </c>
      <c r="Y1703">
        <v>17</v>
      </c>
      <c r="Z1703">
        <v>27</v>
      </c>
      <c r="AA1703">
        <v>0.38635999999999998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5</v>
      </c>
      <c r="AJ1703">
        <v>25</v>
      </c>
      <c r="AK1703">
        <v>0.16667000000000001</v>
      </c>
      <c r="AL1703">
        <v>13</v>
      </c>
      <c r="AM1703">
        <v>12</v>
      </c>
      <c r="AN1703">
        <v>17</v>
      </c>
      <c r="AO1703">
        <v>21</v>
      </c>
      <c r="AP1703">
        <v>31</v>
      </c>
      <c r="AQ1703">
        <v>23</v>
      </c>
      <c r="AR1703" t="s">
        <v>869</v>
      </c>
      <c r="AS1703" t="s">
        <v>870</v>
      </c>
      <c r="AT1703">
        <v>0.85499999999999998</v>
      </c>
      <c r="AU1703" t="s">
        <v>65</v>
      </c>
      <c r="AV1703">
        <v>48</v>
      </c>
      <c r="AW1703">
        <v>44</v>
      </c>
      <c r="AX1703" t="s">
        <v>871</v>
      </c>
      <c r="AY1703">
        <v>4.8590000000000001E-2</v>
      </c>
      <c r="AZ1703">
        <v>-1.74E-3</v>
      </c>
      <c r="BA1703">
        <v>1.1339999999999999E-2</v>
      </c>
      <c r="BB1703">
        <v>-3.6000000000000002E-4</v>
      </c>
      <c r="BC1703">
        <v>0.23341999999999999</v>
      </c>
      <c r="BD1703">
        <v>1</v>
      </c>
      <c r="BE1703" t="s">
        <v>69</v>
      </c>
      <c r="BF1703">
        <v>0.248</v>
      </c>
      <c r="BG1703">
        <v>-0.55200000000000005</v>
      </c>
    </row>
    <row r="1704" spans="1:59">
      <c r="A1704">
        <v>0</v>
      </c>
      <c r="B1704">
        <v>7</v>
      </c>
      <c r="C1704">
        <v>2</v>
      </c>
      <c r="D1704" t="s">
        <v>25022</v>
      </c>
      <c r="E1704">
        <v>319</v>
      </c>
      <c r="F1704" t="s">
        <v>2176</v>
      </c>
      <c r="G1704" t="s">
        <v>57</v>
      </c>
      <c r="H1704">
        <v>342538</v>
      </c>
      <c r="I1704">
        <v>343491</v>
      </c>
      <c r="J1704" t="s">
        <v>2177</v>
      </c>
      <c r="K1704">
        <v>318</v>
      </c>
      <c r="L1704" t="s">
        <v>108</v>
      </c>
      <c r="M1704">
        <v>44</v>
      </c>
      <c r="N1704" t="str">
        <f>HYPERLINK("Gene319-zp_tree_all.dnd", "Gene319-tree")</f>
        <v>Gene319-tree</v>
      </c>
      <c r="O1704">
        <v>6</v>
      </c>
      <c r="P1704">
        <v>8</v>
      </c>
      <c r="Q1704">
        <v>6</v>
      </c>
      <c r="R1704">
        <v>8</v>
      </c>
      <c r="S1704">
        <v>0.57142999999999999</v>
      </c>
      <c r="T1704" t="s">
        <v>90</v>
      </c>
      <c r="U1704" t="s">
        <v>136</v>
      </c>
      <c r="V1704" t="s">
        <v>62</v>
      </c>
      <c r="W1704" t="s">
        <v>62</v>
      </c>
      <c r="X1704">
        <v>3</v>
      </c>
      <c r="Y1704">
        <v>9</v>
      </c>
      <c r="Z1704">
        <v>9</v>
      </c>
      <c r="AA1704">
        <v>0.5</v>
      </c>
      <c r="AB1704">
        <v>0</v>
      </c>
      <c r="AC1704">
        <v>0</v>
      </c>
      <c r="AD1704">
        <v>0</v>
      </c>
      <c r="AE1704">
        <v>2</v>
      </c>
      <c r="AF1704">
        <v>0</v>
      </c>
      <c r="AG1704">
        <v>5</v>
      </c>
      <c r="AH1704">
        <v>0</v>
      </c>
      <c r="AI1704">
        <v>5</v>
      </c>
      <c r="AJ1704">
        <v>9</v>
      </c>
      <c r="AK1704">
        <v>0.35714000000000001</v>
      </c>
      <c r="AL1704">
        <v>11</v>
      </c>
      <c r="AM1704">
        <v>8</v>
      </c>
      <c r="AN1704">
        <v>23</v>
      </c>
      <c r="AO1704">
        <v>13</v>
      </c>
      <c r="AP1704">
        <v>12</v>
      </c>
      <c r="AQ1704">
        <v>5</v>
      </c>
      <c r="AR1704" t="s">
        <v>2178</v>
      </c>
      <c r="AS1704" t="s">
        <v>2179</v>
      </c>
      <c r="AT1704">
        <v>0.312</v>
      </c>
      <c r="AU1704" t="s">
        <v>65</v>
      </c>
      <c r="AV1704">
        <v>35</v>
      </c>
      <c r="AW1704">
        <v>18</v>
      </c>
      <c r="AX1704" t="s">
        <v>2180</v>
      </c>
      <c r="AY1704">
        <v>3.0460000000000001E-2</v>
      </c>
      <c r="AZ1704">
        <v>-1.2099999999999999E-3</v>
      </c>
      <c r="BA1704">
        <v>3.6700000000000001E-3</v>
      </c>
      <c r="BB1704">
        <v>-2.7999999999999998E-4</v>
      </c>
      <c r="BC1704">
        <v>0.12062</v>
      </c>
      <c r="BD1704">
        <v>1</v>
      </c>
      <c r="BE1704" t="s">
        <v>69</v>
      </c>
      <c r="BF1704">
        <v>-0.84899999999999998</v>
      </c>
      <c r="BG1704">
        <v>-0.46200000000000002</v>
      </c>
    </row>
    <row r="1705" spans="1:59">
      <c r="A1705">
        <v>0</v>
      </c>
      <c r="B1705">
        <v>9</v>
      </c>
      <c r="C1705">
        <v>0</v>
      </c>
      <c r="D1705" t="s">
        <v>25022</v>
      </c>
      <c r="E1705">
        <v>748</v>
      </c>
      <c r="F1705" t="s">
        <v>4648</v>
      </c>
      <c r="G1705" t="s">
        <v>57</v>
      </c>
      <c r="H1705">
        <v>781092</v>
      </c>
      <c r="I1705">
        <v>782045</v>
      </c>
      <c r="J1705" t="s">
        <v>4649</v>
      </c>
      <c r="K1705">
        <v>318</v>
      </c>
      <c r="L1705" t="s">
        <v>4650</v>
      </c>
      <c r="M1705">
        <v>43</v>
      </c>
      <c r="N1705" t="str">
        <f>HYPERLINK("Gene748-zp_tree_all.dnd", "Gene748-tree")</f>
        <v>Gene748-tree</v>
      </c>
      <c r="O1705">
        <v>6</v>
      </c>
      <c r="P1705">
        <v>11</v>
      </c>
      <c r="Q1705">
        <v>6</v>
      </c>
      <c r="R1705">
        <v>11</v>
      </c>
      <c r="S1705">
        <v>0.64705999999999997</v>
      </c>
      <c r="T1705" t="s">
        <v>90</v>
      </c>
      <c r="U1705" t="s">
        <v>73</v>
      </c>
      <c r="V1705">
        <v>95384385.856999993</v>
      </c>
      <c r="W1705" t="s">
        <v>267</v>
      </c>
      <c r="X1705">
        <v>3</v>
      </c>
      <c r="Y1705">
        <v>9</v>
      </c>
      <c r="Z1705">
        <v>10</v>
      </c>
      <c r="AA1705">
        <v>0.47367999999999999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5</v>
      </c>
      <c r="AH1705">
        <v>0</v>
      </c>
      <c r="AI1705">
        <v>5</v>
      </c>
      <c r="AJ1705">
        <v>10</v>
      </c>
      <c r="AK1705">
        <v>0.33333000000000002</v>
      </c>
      <c r="AL1705">
        <v>16</v>
      </c>
      <c r="AM1705">
        <v>10</v>
      </c>
      <c r="AN1705">
        <v>84</v>
      </c>
      <c r="AO1705">
        <v>13</v>
      </c>
      <c r="AP1705">
        <v>27</v>
      </c>
      <c r="AQ1705">
        <v>6</v>
      </c>
      <c r="AR1705" t="s">
        <v>4651</v>
      </c>
      <c r="AS1705" t="s">
        <v>4652</v>
      </c>
      <c r="AT1705">
        <v>0.4</v>
      </c>
      <c r="AU1705" t="s">
        <v>65</v>
      </c>
      <c r="AV1705">
        <v>111</v>
      </c>
      <c r="AW1705">
        <v>19</v>
      </c>
      <c r="AX1705" t="s">
        <v>4653</v>
      </c>
      <c r="AY1705">
        <v>7.8289999999999998E-2</v>
      </c>
      <c r="AZ1705">
        <v>-5.4400000000000004E-3</v>
      </c>
      <c r="BA1705">
        <v>3.9100000000000003E-3</v>
      </c>
      <c r="BB1705">
        <v>-1.6000000000000001E-4</v>
      </c>
      <c r="BC1705">
        <v>4.999E-2</v>
      </c>
      <c r="BD1705">
        <v>1</v>
      </c>
      <c r="BE1705" t="s">
        <v>69</v>
      </c>
      <c r="BF1705">
        <v>-1.3</v>
      </c>
      <c r="BG1705">
        <v>-3.2989999999999999</v>
      </c>
    </row>
    <row r="1706" spans="1:59">
      <c r="A1706">
        <v>0</v>
      </c>
      <c r="B1706">
        <v>5</v>
      </c>
      <c r="C1706">
        <v>7</v>
      </c>
      <c r="D1706" t="s">
        <v>25022</v>
      </c>
      <c r="E1706">
        <v>528</v>
      </c>
      <c r="F1706" t="s">
        <v>3407</v>
      </c>
      <c r="G1706" t="s">
        <v>57</v>
      </c>
      <c r="H1706">
        <v>562502</v>
      </c>
      <c r="I1706">
        <v>563458</v>
      </c>
      <c r="J1706" t="s">
        <v>1123</v>
      </c>
      <c r="K1706">
        <v>319</v>
      </c>
      <c r="L1706" t="s">
        <v>108</v>
      </c>
      <c r="M1706">
        <v>44</v>
      </c>
      <c r="N1706" t="str">
        <f>HYPERLINK("Gene528-zp_tree_all.dnd", "Gene528-tree")</f>
        <v>Gene528-tree</v>
      </c>
      <c r="O1706">
        <v>8</v>
      </c>
      <c r="P1706">
        <v>7</v>
      </c>
      <c r="Q1706">
        <v>8</v>
      </c>
      <c r="R1706">
        <v>7</v>
      </c>
      <c r="S1706">
        <v>0.46666999999999997</v>
      </c>
      <c r="T1706" t="s">
        <v>136</v>
      </c>
      <c r="U1706" t="s">
        <v>152</v>
      </c>
      <c r="V1706" t="s">
        <v>62</v>
      </c>
      <c r="W1706" t="s">
        <v>62</v>
      </c>
      <c r="X1706">
        <v>5</v>
      </c>
      <c r="Y1706">
        <v>12</v>
      </c>
      <c r="Z1706">
        <v>17</v>
      </c>
      <c r="AA1706">
        <v>0.41378999999999999</v>
      </c>
      <c r="AB1706">
        <v>0</v>
      </c>
      <c r="AC1706">
        <v>0</v>
      </c>
      <c r="AD1706">
        <v>0</v>
      </c>
      <c r="AE1706">
        <v>2</v>
      </c>
      <c r="AF1706">
        <v>0</v>
      </c>
      <c r="AG1706">
        <v>2</v>
      </c>
      <c r="AH1706">
        <v>2</v>
      </c>
      <c r="AI1706">
        <v>4</v>
      </c>
      <c r="AJ1706">
        <v>11</v>
      </c>
      <c r="AK1706">
        <v>0.26667000000000002</v>
      </c>
      <c r="AL1706">
        <v>12</v>
      </c>
      <c r="AM1706">
        <v>11</v>
      </c>
      <c r="AN1706">
        <v>31</v>
      </c>
      <c r="AO1706">
        <v>14</v>
      </c>
      <c r="AP1706">
        <v>29</v>
      </c>
      <c r="AQ1706">
        <v>15</v>
      </c>
      <c r="AR1706" t="s">
        <v>3408</v>
      </c>
      <c r="AS1706" t="s">
        <v>3409</v>
      </c>
      <c r="AT1706">
        <v>0.115</v>
      </c>
      <c r="AU1706" t="s">
        <v>65</v>
      </c>
      <c r="AV1706">
        <v>60</v>
      </c>
      <c r="AW1706">
        <v>29</v>
      </c>
      <c r="AX1706" t="s">
        <v>3410</v>
      </c>
      <c r="AY1706">
        <v>5.9310000000000002E-2</v>
      </c>
      <c r="AZ1706">
        <v>-2.6099999999999999E-3</v>
      </c>
      <c r="BA1706">
        <v>8.7899999999999992E-3</v>
      </c>
      <c r="BB1706">
        <v>-4.6000000000000001E-4</v>
      </c>
      <c r="BC1706">
        <v>0.1482</v>
      </c>
      <c r="BD1706">
        <v>1</v>
      </c>
      <c r="BE1706" t="s">
        <v>69</v>
      </c>
      <c r="BF1706">
        <v>0.57099999999999995</v>
      </c>
      <c r="BG1706">
        <v>-0.91800000000000004</v>
      </c>
    </row>
    <row r="1707" spans="1:59">
      <c r="A1707">
        <v>0</v>
      </c>
      <c r="B1707">
        <v>10</v>
      </c>
      <c r="C1707">
        <v>2</v>
      </c>
      <c r="D1707" t="s">
        <v>25022</v>
      </c>
      <c r="E1707">
        <v>2479</v>
      </c>
      <c r="F1707" t="s">
        <v>14453</v>
      </c>
      <c r="G1707" t="s">
        <v>62</v>
      </c>
      <c r="H1707">
        <v>2471790</v>
      </c>
      <c r="I1707">
        <v>2472746</v>
      </c>
      <c r="J1707" t="s">
        <v>3354</v>
      </c>
      <c r="K1707">
        <v>319</v>
      </c>
      <c r="L1707" t="s">
        <v>108</v>
      </c>
      <c r="M1707">
        <v>44</v>
      </c>
      <c r="N1707" t="str">
        <f>HYPERLINK("Gene2479-zp_tree_all.dnd", "Gene2479-tree")</f>
        <v>Gene2479-tree</v>
      </c>
      <c r="O1707">
        <v>6</v>
      </c>
      <c r="P1707">
        <v>9</v>
      </c>
      <c r="Q1707">
        <v>6</v>
      </c>
      <c r="R1707">
        <v>9</v>
      </c>
      <c r="S1707">
        <v>0.6</v>
      </c>
      <c r="T1707" t="s">
        <v>90</v>
      </c>
      <c r="U1707" t="s">
        <v>135</v>
      </c>
      <c r="V1707" t="s">
        <v>62</v>
      </c>
      <c r="W1707" t="s">
        <v>62</v>
      </c>
      <c r="X1707">
        <v>5</v>
      </c>
      <c r="Y1707">
        <v>12</v>
      </c>
      <c r="Z1707">
        <v>8</v>
      </c>
      <c r="AA1707">
        <v>0.6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</v>
      </c>
      <c r="AH1707">
        <v>4</v>
      </c>
      <c r="AI1707">
        <v>6</v>
      </c>
      <c r="AJ1707">
        <v>8</v>
      </c>
      <c r="AK1707">
        <v>0.42857000000000001</v>
      </c>
      <c r="AL1707">
        <v>12</v>
      </c>
      <c r="AM1707">
        <v>12</v>
      </c>
      <c r="AN1707">
        <v>26</v>
      </c>
      <c r="AO1707">
        <v>11</v>
      </c>
      <c r="AP1707">
        <v>17</v>
      </c>
      <c r="AQ1707">
        <v>9</v>
      </c>
      <c r="AR1707" t="s">
        <v>14454</v>
      </c>
      <c r="AS1707" t="s">
        <v>14455</v>
      </c>
      <c r="AT1707">
        <v>0.38100000000000001</v>
      </c>
      <c r="AU1707" t="s">
        <v>65</v>
      </c>
      <c r="AV1707">
        <v>43</v>
      </c>
      <c r="AW1707">
        <v>20</v>
      </c>
      <c r="AX1707" t="s">
        <v>14456</v>
      </c>
      <c r="AY1707">
        <v>3.5069999999999997E-2</v>
      </c>
      <c r="AZ1707">
        <v>-1.49E-3</v>
      </c>
      <c r="BA1707">
        <v>5.0299999999999997E-3</v>
      </c>
      <c r="BB1707">
        <v>-1.9000000000000001E-4</v>
      </c>
      <c r="BC1707">
        <v>0.14332</v>
      </c>
      <c r="BD1707">
        <v>1</v>
      </c>
      <c r="BE1707" t="s">
        <v>69</v>
      </c>
      <c r="BF1707">
        <v>-0.73199999999999998</v>
      </c>
      <c r="BG1707">
        <v>-1.2090000000000001</v>
      </c>
    </row>
    <row r="1708" spans="1:59">
      <c r="A1708">
        <v>0</v>
      </c>
      <c r="B1708">
        <v>4</v>
      </c>
      <c r="C1708">
        <v>3</v>
      </c>
      <c r="D1708" t="s">
        <v>25022</v>
      </c>
      <c r="E1708">
        <v>1732</v>
      </c>
      <c r="F1708" t="s">
        <v>10863</v>
      </c>
      <c r="G1708" t="s">
        <v>57</v>
      </c>
      <c r="H1708">
        <v>1741618</v>
      </c>
      <c r="I1708">
        <v>1742574</v>
      </c>
      <c r="J1708" t="s">
        <v>10864</v>
      </c>
      <c r="K1708">
        <v>319</v>
      </c>
      <c r="L1708" t="s">
        <v>108</v>
      </c>
      <c r="M1708">
        <v>44</v>
      </c>
      <c r="N1708" t="str">
        <f>HYPERLINK("Gene1732-zp_tree_all.dnd", "Gene1732-tree")</f>
        <v>Gene1732-tree</v>
      </c>
      <c r="O1708">
        <v>5</v>
      </c>
      <c r="P1708">
        <v>8</v>
      </c>
      <c r="Q1708">
        <v>5</v>
      </c>
      <c r="R1708">
        <v>8</v>
      </c>
      <c r="S1708">
        <v>0.61538000000000004</v>
      </c>
      <c r="T1708" t="s">
        <v>199</v>
      </c>
      <c r="U1708" t="s">
        <v>136</v>
      </c>
      <c r="V1708" t="s">
        <v>62</v>
      </c>
      <c r="W1708" t="s">
        <v>62</v>
      </c>
      <c r="X1708">
        <v>3</v>
      </c>
      <c r="Y1708">
        <v>7</v>
      </c>
      <c r="Z1708">
        <v>12</v>
      </c>
      <c r="AA1708">
        <v>0.36842000000000003</v>
      </c>
      <c r="AB1708">
        <v>0</v>
      </c>
      <c r="AC1708">
        <v>0</v>
      </c>
      <c r="AD1708">
        <v>0</v>
      </c>
      <c r="AE1708">
        <v>2</v>
      </c>
      <c r="AF1708">
        <v>0</v>
      </c>
      <c r="AG1708">
        <v>0</v>
      </c>
      <c r="AH1708">
        <v>2</v>
      </c>
      <c r="AI1708">
        <v>2</v>
      </c>
      <c r="AJ1708">
        <v>11</v>
      </c>
      <c r="AK1708">
        <v>0.15384999999999999</v>
      </c>
      <c r="AL1708">
        <v>7</v>
      </c>
      <c r="AM1708">
        <v>9</v>
      </c>
      <c r="AN1708">
        <v>15</v>
      </c>
      <c r="AO1708">
        <v>9</v>
      </c>
      <c r="AP1708">
        <v>19</v>
      </c>
      <c r="AQ1708">
        <v>10</v>
      </c>
      <c r="AR1708" t="s">
        <v>10865</v>
      </c>
      <c r="AS1708" t="s">
        <v>10866</v>
      </c>
      <c r="AT1708">
        <v>0.126</v>
      </c>
      <c r="AU1708" t="s">
        <v>65</v>
      </c>
      <c r="AV1708">
        <v>34</v>
      </c>
      <c r="AW1708">
        <v>19</v>
      </c>
      <c r="AX1708" t="s">
        <v>10867</v>
      </c>
      <c r="AY1708">
        <v>3.952E-2</v>
      </c>
      <c r="AZ1708">
        <v>-2.9099999999999998E-3</v>
      </c>
      <c r="BA1708">
        <v>5.6600000000000001E-3</v>
      </c>
      <c r="BB1708">
        <v>-3.3E-4</v>
      </c>
      <c r="BC1708">
        <v>0.14319000000000001</v>
      </c>
      <c r="BD1708">
        <v>1</v>
      </c>
      <c r="BE1708" t="s">
        <v>69</v>
      </c>
      <c r="BF1708">
        <v>-0.877</v>
      </c>
      <c r="BG1708">
        <v>-1.042</v>
      </c>
    </row>
    <row r="1709" spans="1:59">
      <c r="A1709">
        <v>0</v>
      </c>
      <c r="B1709">
        <v>9</v>
      </c>
      <c r="C1709">
        <v>1</v>
      </c>
      <c r="D1709" t="s">
        <v>25022</v>
      </c>
      <c r="E1709">
        <v>795</v>
      </c>
      <c r="F1709" t="s">
        <v>4940</v>
      </c>
      <c r="G1709" t="s">
        <v>57</v>
      </c>
      <c r="H1709">
        <v>833228</v>
      </c>
      <c r="I1709">
        <v>834184</v>
      </c>
      <c r="J1709" t="s">
        <v>4941</v>
      </c>
      <c r="K1709">
        <v>319</v>
      </c>
      <c r="L1709" t="s">
        <v>108</v>
      </c>
      <c r="M1709">
        <v>44</v>
      </c>
      <c r="N1709" t="str">
        <f>HYPERLINK("Gene795-zp_tree_all.dnd", "Gene795-tree")</f>
        <v>Gene795-tree</v>
      </c>
      <c r="O1709">
        <v>1</v>
      </c>
      <c r="P1709">
        <v>12</v>
      </c>
      <c r="Q1709">
        <v>1</v>
      </c>
      <c r="R1709">
        <v>12</v>
      </c>
      <c r="S1709">
        <v>0.92308000000000001</v>
      </c>
      <c r="T1709" t="s">
        <v>175</v>
      </c>
      <c r="U1709" t="s">
        <v>109</v>
      </c>
      <c r="V1709" t="s">
        <v>62</v>
      </c>
      <c r="W1709" t="s">
        <v>62</v>
      </c>
      <c r="X1709">
        <v>4</v>
      </c>
      <c r="Y1709">
        <v>10</v>
      </c>
      <c r="Z1709">
        <v>15</v>
      </c>
      <c r="AA1709">
        <v>0.4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4</v>
      </c>
      <c r="AH1709">
        <v>2</v>
      </c>
      <c r="AI1709">
        <v>6</v>
      </c>
      <c r="AJ1709">
        <v>13</v>
      </c>
      <c r="AK1709">
        <v>0.31579000000000002</v>
      </c>
      <c r="AL1709">
        <v>11</v>
      </c>
      <c r="AM1709">
        <v>8</v>
      </c>
      <c r="AN1709">
        <v>29</v>
      </c>
      <c r="AO1709">
        <v>17</v>
      </c>
      <c r="AP1709">
        <v>22</v>
      </c>
      <c r="AQ1709">
        <v>8</v>
      </c>
      <c r="AR1709" t="s">
        <v>4942</v>
      </c>
      <c r="AS1709" t="s">
        <v>4943</v>
      </c>
      <c r="AT1709">
        <v>0.33</v>
      </c>
      <c r="AU1709" t="s">
        <v>65</v>
      </c>
      <c r="AV1709">
        <v>51</v>
      </c>
      <c r="AW1709">
        <v>25</v>
      </c>
      <c r="AX1709" t="s">
        <v>4944</v>
      </c>
      <c r="AY1709">
        <v>5.4829999999999997E-2</v>
      </c>
      <c r="AZ1709">
        <v>-2.7399999999999998E-3</v>
      </c>
      <c r="BA1709">
        <v>6.6800000000000002E-3</v>
      </c>
      <c r="BB1709">
        <v>-4.4000000000000002E-4</v>
      </c>
      <c r="BC1709">
        <v>0.12188</v>
      </c>
      <c r="BD1709">
        <v>1</v>
      </c>
      <c r="BE1709" t="s">
        <v>69</v>
      </c>
      <c r="BF1709">
        <v>-0.89300000000000002</v>
      </c>
      <c r="BG1709">
        <v>-1.7849999999999999</v>
      </c>
    </row>
    <row r="1710" spans="1:59">
      <c r="A1710">
        <v>0</v>
      </c>
      <c r="B1710">
        <v>2</v>
      </c>
      <c r="C1710">
        <v>0</v>
      </c>
      <c r="D1710" t="s">
        <v>25022</v>
      </c>
      <c r="E1710">
        <v>2637</v>
      </c>
      <c r="F1710" t="s">
        <v>15447</v>
      </c>
      <c r="G1710" t="s">
        <v>62</v>
      </c>
      <c r="H1710">
        <v>2614499</v>
      </c>
      <c r="I1710">
        <v>2615455</v>
      </c>
      <c r="J1710" t="s">
        <v>15448</v>
      </c>
      <c r="K1710">
        <v>319</v>
      </c>
      <c r="L1710" t="s">
        <v>59</v>
      </c>
      <c r="M1710">
        <v>49</v>
      </c>
      <c r="N1710" t="str">
        <f>HYPERLINK("Gene2637-zp_tree_all.dnd", "Gene2637-tree")</f>
        <v>Gene2637-tree</v>
      </c>
      <c r="O1710">
        <v>11</v>
      </c>
      <c r="P1710">
        <v>4</v>
      </c>
      <c r="Q1710">
        <v>11</v>
      </c>
      <c r="R1710">
        <v>4</v>
      </c>
      <c r="S1710">
        <v>0.26667000000000002</v>
      </c>
      <c r="T1710" t="s">
        <v>73</v>
      </c>
      <c r="U1710" t="s">
        <v>61</v>
      </c>
      <c r="V1710" t="s">
        <v>62</v>
      </c>
      <c r="W1710" t="s">
        <v>62</v>
      </c>
      <c r="X1710">
        <v>1</v>
      </c>
      <c r="Y1710">
        <v>2</v>
      </c>
      <c r="Z1710">
        <v>10</v>
      </c>
      <c r="AA1710">
        <v>0.16667000000000001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</v>
      </c>
      <c r="AH1710">
        <v>0</v>
      </c>
      <c r="AI1710">
        <v>2</v>
      </c>
      <c r="AJ1710">
        <v>4</v>
      </c>
      <c r="AK1710">
        <v>0.33333000000000002</v>
      </c>
      <c r="AL1710">
        <v>11</v>
      </c>
      <c r="AM1710">
        <v>8</v>
      </c>
      <c r="AN1710">
        <v>25</v>
      </c>
      <c r="AO1710">
        <v>6</v>
      </c>
      <c r="AP1710">
        <v>21</v>
      </c>
      <c r="AQ1710">
        <v>6</v>
      </c>
      <c r="AR1710" t="s">
        <v>15449</v>
      </c>
      <c r="AS1710" t="s">
        <v>15450</v>
      </c>
      <c r="AT1710">
        <v>8.6999999999999994E-2</v>
      </c>
      <c r="AU1710" t="s">
        <v>65</v>
      </c>
      <c r="AV1710">
        <v>46</v>
      </c>
      <c r="AW1710">
        <v>12</v>
      </c>
      <c r="AX1710" t="s">
        <v>15451</v>
      </c>
      <c r="AY1710">
        <v>4.8640000000000003E-2</v>
      </c>
      <c r="AZ1710">
        <v>-2.97E-3</v>
      </c>
      <c r="BA1710">
        <v>4.8199999999999996E-3</v>
      </c>
      <c r="BB1710">
        <v>-4.2000000000000002E-4</v>
      </c>
      <c r="BC1710">
        <v>9.9089999999999998E-2</v>
      </c>
      <c r="BD1710">
        <v>1</v>
      </c>
      <c r="BE1710" t="s">
        <v>69</v>
      </c>
      <c r="BF1710">
        <v>-1.5329999999999999</v>
      </c>
      <c r="BG1710">
        <v>-1.99</v>
      </c>
    </row>
    <row r="1711" spans="1:59">
      <c r="A1711">
        <v>0</v>
      </c>
      <c r="B1711">
        <v>4</v>
      </c>
      <c r="C1711">
        <v>0</v>
      </c>
      <c r="D1711" t="s">
        <v>25022</v>
      </c>
      <c r="E1711">
        <v>1161</v>
      </c>
      <c r="F1711" t="s">
        <v>7312</v>
      </c>
      <c r="G1711" t="s">
        <v>57</v>
      </c>
      <c r="H1711">
        <v>1203461</v>
      </c>
      <c r="I1711">
        <v>1204417</v>
      </c>
      <c r="J1711" t="s">
        <v>7313</v>
      </c>
      <c r="K1711">
        <v>319</v>
      </c>
      <c r="L1711" t="s">
        <v>108</v>
      </c>
      <c r="M1711">
        <v>44</v>
      </c>
      <c r="N1711" t="str">
        <f>HYPERLINK("Gene1161-zp_tree_all.dnd", "Gene1161-tree")</f>
        <v>Gene1161-tree</v>
      </c>
      <c r="O1711">
        <v>0</v>
      </c>
      <c r="P1711">
        <v>34</v>
      </c>
      <c r="Q1711">
        <v>0</v>
      </c>
      <c r="R1711">
        <v>11</v>
      </c>
      <c r="S1711">
        <v>1</v>
      </c>
      <c r="T1711" t="s">
        <v>62</v>
      </c>
      <c r="U1711" t="s">
        <v>7314</v>
      </c>
      <c r="V1711">
        <v>4.7949999999999999</v>
      </c>
      <c r="W1711" t="s">
        <v>65</v>
      </c>
      <c r="X1711">
        <v>2</v>
      </c>
      <c r="Y1711">
        <v>4</v>
      </c>
      <c r="Z1711">
        <v>12</v>
      </c>
      <c r="AA1711">
        <v>0.25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4</v>
      </c>
      <c r="AH1711">
        <v>0</v>
      </c>
      <c r="AI1711">
        <v>4</v>
      </c>
      <c r="AJ1711">
        <v>11</v>
      </c>
      <c r="AK1711">
        <v>0.26667000000000002</v>
      </c>
      <c r="AL1711">
        <v>10</v>
      </c>
      <c r="AM1711">
        <v>8</v>
      </c>
      <c r="AN1711">
        <v>28</v>
      </c>
      <c r="AO1711">
        <v>14</v>
      </c>
      <c r="AP1711">
        <v>18</v>
      </c>
      <c r="AQ1711">
        <v>2</v>
      </c>
      <c r="AR1711" t="s">
        <v>7315</v>
      </c>
      <c r="AS1711" t="s">
        <v>7316</v>
      </c>
      <c r="AT1711">
        <v>2.4590000000000001</v>
      </c>
      <c r="AU1711" t="s">
        <v>267</v>
      </c>
      <c r="AV1711">
        <v>46</v>
      </c>
      <c r="AW1711">
        <v>16</v>
      </c>
      <c r="AX1711" t="s">
        <v>7317</v>
      </c>
      <c r="AY1711">
        <v>4.614E-2</v>
      </c>
      <c r="AZ1711">
        <v>-1.99E-3</v>
      </c>
      <c r="BA1711">
        <v>4.5399999999999998E-3</v>
      </c>
      <c r="BB1711">
        <v>-1.7000000000000001E-4</v>
      </c>
      <c r="BC1711">
        <v>9.8360000000000003E-2</v>
      </c>
      <c r="BD1711">
        <v>1</v>
      </c>
      <c r="BE1711" t="s">
        <v>69</v>
      </c>
      <c r="BF1711">
        <v>-0.45300000000000001</v>
      </c>
      <c r="BG1711">
        <v>-1.161</v>
      </c>
    </row>
    <row r="1712" spans="1:59">
      <c r="A1712">
        <v>0</v>
      </c>
      <c r="B1712">
        <v>5</v>
      </c>
      <c r="C1712">
        <v>2</v>
      </c>
      <c r="D1712" t="s">
        <v>25022</v>
      </c>
      <c r="E1712">
        <v>1347</v>
      </c>
      <c r="F1712" t="s">
        <v>8427</v>
      </c>
      <c r="G1712" t="s">
        <v>57</v>
      </c>
      <c r="H1712">
        <v>1365888</v>
      </c>
      <c r="I1712">
        <v>1366844</v>
      </c>
      <c r="J1712" t="s">
        <v>8428</v>
      </c>
      <c r="K1712">
        <v>319</v>
      </c>
      <c r="L1712" t="s">
        <v>108</v>
      </c>
      <c r="M1712">
        <v>44</v>
      </c>
      <c r="N1712" t="str">
        <f>HYPERLINK("Gene1347-zp_tree_all.dnd", "Gene1347-tree")</f>
        <v>Gene1347-tree</v>
      </c>
      <c r="O1712">
        <v>7</v>
      </c>
      <c r="P1712">
        <v>27</v>
      </c>
      <c r="Q1712">
        <v>7</v>
      </c>
      <c r="R1712">
        <v>7</v>
      </c>
      <c r="S1712">
        <v>0.5</v>
      </c>
      <c r="T1712" t="s">
        <v>152</v>
      </c>
      <c r="U1712" t="s">
        <v>8429</v>
      </c>
      <c r="V1712">
        <v>3.968</v>
      </c>
      <c r="W1712" t="s">
        <v>65</v>
      </c>
      <c r="X1712">
        <v>2</v>
      </c>
      <c r="Y1712">
        <v>7</v>
      </c>
      <c r="Z1712">
        <v>13</v>
      </c>
      <c r="AA1712">
        <v>0.35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</v>
      </c>
      <c r="AH1712">
        <v>1</v>
      </c>
      <c r="AI1712">
        <v>3</v>
      </c>
      <c r="AJ1712">
        <v>11</v>
      </c>
      <c r="AK1712">
        <v>0.21429000000000001</v>
      </c>
      <c r="AL1712">
        <v>11</v>
      </c>
      <c r="AM1712">
        <v>10</v>
      </c>
      <c r="AN1712">
        <v>37</v>
      </c>
      <c r="AO1712">
        <v>14</v>
      </c>
      <c r="AP1712">
        <v>29</v>
      </c>
      <c r="AQ1712">
        <v>6</v>
      </c>
      <c r="AR1712" t="s">
        <v>8430</v>
      </c>
      <c r="AS1712" t="s">
        <v>8431</v>
      </c>
      <c r="AT1712">
        <v>0.45800000000000002</v>
      </c>
      <c r="AU1712" t="s">
        <v>65</v>
      </c>
      <c r="AV1712">
        <v>66</v>
      </c>
      <c r="AW1712">
        <v>20</v>
      </c>
      <c r="AX1712" t="s">
        <v>8432</v>
      </c>
      <c r="AY1712">
        <v>5.96E-2</v>
      </c>
      <c r="AZ1712">
        <v>-2.7799999999999999E-3</v>
      </c>
      <c r="BA1712">
        <v>5.4599999999999996E-3</v>
      </c>
      <c r="BB1712">
        <v>-3.5E-4</v>
      </c>
      <c r="BC1712">
        <v>9.1619999999999993E-2</v>
      </c>
      <c r="BD1712">
        <v>1</v>
      </c>
      <c r="BE1712" t="s">
        <v>69</v>
      </c>
      <c r="BF1712">
        <v>-0.81299999999999994</v>
      </c>
      <c r="BG1712">
        <v>-2.0470000000000002</v>
      </c>
    </row>
    <row r="1713" spans="1:59">
      <c r="A1713">
        <v>0</v>
      </c>
      <c r="B1713">
        <v>0</v>
      </c>
      <c r="C1713">
        <v>0</v>
      </c>
      <c r="D1713" t="s">
        <v>25022</v>
      </c>
      <c r="E1713">
        <v>286</v>
      </c>
      <c r="F1713" t="s">
        <v>1953</v>
      </c>
      <c r="G1713" t="s">
        <v>57</v>
      </c>
      <c r="H1713">
        <v>308332</v>
      </c>
      <c r="I1713">
        <v>309288</v>
      </c>
      <c r="J1713" t="s">
        <v>1954</v>
      </c>
      <c r="K1713">
        <v>319</v>
      </c>
      <c r="L1713" t="s">
        <v>108</v>
      </c>
      <c r="M1713">
        <v>44</v>
      </c>
      <c r="N1713" t="str">
        <f>HYPERLINK("Gene286-zp_tree_all.dnd", "Gene286-tree")</f>
        <v>Gene286-tree</v>
      </c>
      <c r="O1713">
        <v>9</v>
      </c>
      <c r="P1713">
        <v>5</v>
      </c>
      <c r="Q1713">
        <v>9</v>
      </c>
      <c r="R1713">
        <v>5</v>
      </c>
      <c r="S1713">
        <v>0.35714000000000001</v>
      </c>
      <c r="T1713" t="s">
        <v>135</v>
      </c>
      <c r="U1713" t="s">
        <v>199</v>
      </c>
      <c r="V1713" t="s">
        <v>62</v>
      </c>
      <c r="W1713" t="s">
        <v>62</v>
      </c>
      <c r="X1713">
        <v>0</v>
      </c>
      <c r="Y1713">
        <v>0</v>
      </c>
      <c r="Z1713">
        <v>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6</v>
      </c>
      <c r="AK1713">
        <v>0</v>
      </c>
      <c r="AL1713">
        <v>13</v>
      </c>
      <c r="AM1713">
        <v>7</v>
      </c>
      <c r="AN1713">
        <v>30</v>
      </c>
      <c r="AO1713">
        <v>6</v>
      </c>
      <c r="AP1713">
        <v>17</v>
      </c>
      <c r="AQ1713">
        <v>1</v>
      </c>
      <c r="AR1713" t="s">
        <v>1955</v>
      </c>
      <c r="AS1713" t="s">
        <v>1956</v>
      </c>
      <c r="AT1713">
        <v>0.76400000000000001</v>
      </c>
      <c r="AU1713" t="s">
        <v>65</v>
      </c>
      <c r="AV1713">
        <v>47</v>
      </c>
      <c r="AW1713">
        <v>7</v>
      </c>
      <c r="AX1713" t="s">
        <v>1957</v>
      </c>
      <c r="AY1713">
        <v>3.1969999999999998E-2</v>
      </c>
      <c r="AZ1713">
        <v>-1.17E-3</v>
      </c>
      <c r="BA1713">
        <v>1.6299999999999999E-3</v>
      </c>
      <c r="BB1713">
        <v>-1.2E-4</v>
      </c>
      <c r="BC1713">
        <v>5.0900000000000001E-2</v>
      </c>
      <c r="BD1713">
        <v>1</v>
      </c>
      <c r="BE1713" t="s">
        <v>69</v>
      </c>
      <c r="BF1713">
        <v>-0.64800000000000002</v>
      </c>
      <c r="BG1713">
        <v>-1.738</v>
      </c>
    </row>
    <row r="1714" spans="1:59">
      <c r="A1714">
        <v>0</v>
      </c>
      <c r="B1714">
        <v>0</v>
      </c>
      <c r="C1714">
        <v>0</v>
      </c>
      <c r="D1714" t="s">
        <v>25022</v>
      </c>
      <c r="E1714">
        <v>4160</v>
      </c>
      <c r="F1714" t="s">
        <v>24499</v>
      </c>
      <c r="G1714" t="s">
        <v>62</v>
      </c>
      <c r="H1714">
        <v>4126484</v>
      </c>
      <c r="I1714">
        <v>4127440</v>
      </c>
      <c r="J1714" t="s">
        <v>24500</v>
      </c>
      <c r="K1714">
        <v>319</v>
      </c>
      <c r="L1714" t="s">
        <v>24494</v>
      </c>
      <c r="M1714">
        <v>22</v>
      </c>
      <c r="N1714" t="str">
        <f>HYPERLINK("Gene4160-zp_tree_all.dnd", "Gene4160-tree")</f>
        <v>Gene4160-tree</v>
      </c>
      <c r="O1714">
        <v>2</v>
      </c>
      <c r="P1714">
        <v>2</v>
      </c>
      <c r="Q1714">
        <v>2</v>
      </c>
      <c r="R1714">
        <v>2</v>
      </c>
      <c r="S1714">
        <v>0.5</v>
      </c>
      <c r="T1714" t="s">
        <v>81</v>
      </c>
      <c r="U1714" t="s">
        <v>81</v>
      </c>
      <c r="V1714" t="s">
        <v>62</v>
      </c>
      <c r="W1714" t="s">
        <v>62</v>
      </c>
      <c r="X1714">
        <v>0</v>
      </c>
      <c r="Y1714">
        <v>0</v>
      </c>
      <c r="Z1714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4</v>
      </c>
      <c r="AK1714">
        <v>0</v>
      </c>
      <c r="AL1714">
        <v>4</v>
      </c>
      <c r="AM1714">
        <v>1</v>
      </c>
      <c r="AN1714">
        <v>19</v>
      </c>
      <c r="AO1714">
        <v>4</v>
      </c>
      <c r="AP1714">
        <v>1</v>
      </c>
      <c r="AQ1714">
        <v>0</v>
      </c>
      <c r="AR1714" t="s">
        <v>24501</v>
      </c>
      <c r="AS1714" t="s">
        <v>193</v>
      </c>
      <c r="AT1714">
        <v>0.53200000000000003</v>
      </c>
      <c r="AU1714" t="s">
        <v>65</v>
      </c>
      <c r="AV1714">
        <v>20</v>
      </c>
      <c r="AW1714">
        <v>4</v>
      </c>
      <c r="AX1714" t="s">
        <v>24502</v>
      </c>
      <c r="AY1714">
        <v>5.5500000000000001E-2</v>
      </c>
      <c r="AZ1714">
        <v>-1.8489999999999999E-2</v>
      </c>
      <c r="BA1714">
        <v>2.63E-3</v>
      </c>
      <c r="BB1714">
        <v>-7.6000000000000004E-4</v>
      </c>
      <c r="BC1714">
        <v>4.7399999999999998E-2</v>
      </c>
      <c r="BD1714">
        <v>1</v>
      </c>
      <c r="BE1714" t="s">
        <v>69</v>
      </c>
      <c r="BF1714">
        <v>-2.3039999999999998</v>
      </c>
      <c r="BG1714">
        <v>-3.335</v>
      </c>
    </row>
    <row r="1715" spans="1:59">
      <c r="A1715">
        <v>0</v>
      </c>
      <c r="B1715">
        <v>0</v>
      </c>
      <c r="C1715">
        <v>0</v>
      </c>
      <c r="D1715" t="s">
        <v>25022</v>
      </c>
      <c r="E1715">
        <v>3839</v>
      </c>
      <c r="F1715" t="s">
        <v>22511</v>
      </c>
      <c r="G1715" t="s">
        <v>62</v>
      </c>
      <c r="H1715">
        <v>3799380</v>
      </c>
      <c r="I1715">
        <v>3800336</v>
      </c>
      <c r="J1715" t="s">
        <v>22512</v>
      </c>
      <c r="K1715">
        <v>319</v>
      </c>
      <c r="L1715" t="s">
        <v>289</v>
      </c>
      <c r="M1715">
        <v>46</v>
      </c>
      <c r="N1715" t="str">
        <f>HYPERLINK("Gene3839-zp_tree_all.dnd", "Gene3839-tree")</f>
        <v>Gene3839-tree</v>
      </c>
      <c r="O1715">
        <v>16</v>
      </c>
      <c r="P1715">
        <v>1</v>
      </c>
      <c r="Q1715">
        <v>16</v>
      </c>
      <c r="R1715">
        <v>1</v>
      </c>
      <c r="S1715">
        <v>5.8819999999999997E-2</v>
      </c>
      <c r="T1715" t="s">
        <v>60</v>
      </c>
      <c r="U1715" t="s">
        <v>175</v>
      </c>
      <c r="V1715" t="s">
        <v>62</v>
      </c>
      <c r="W1715" t="s">
        <v>62</v>
      </c>
      <c r="X1715">
        <v>0</v>
      </c>
      <c r="Y1715">
        <v>0</v>
      </c>
      <c r="Z1715">
        <v>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2</v>
      </c>
      <c r="AK1715">
        <v>0</v>
      </c>
      <c r="AL1715">
        <v>11</v>
      </c>
      <c r="AM1715">
        <v>10</v>
      </c>
      <c r="AN1715">
        <v>36</v>
      </c>
      <c r="AO1715">
        <v>2</v>
      </c>
      <c r="AP1715">
        <v>36</v>
      </c>
      <c r="AQ1715">
        <v>6</v>
      </c>
      <c r="AR1715" t="s">
        <v>22513</v>
      </c>
      <c r="AS1715" t="s">
        <v>22514</v>
      </c>
      <c r="AT1715">
        <v>0.311</v>
      </c>
      <c r="AU1715" t="s">
        <v>65</v>
      </c>
      <c r="AV1715">
        <v>72</v>
      </c>
      <c r="AW1715">
        <v>8</v>
      </c>
      <c r="AX1715" t="s">
        <v>22515</v>
      </c>
      <c r="AY1715">
        <v>6.2179999999999999E-2</v>
      </c>
      <c r="AZ1715">
        <v>-5.4599999999999996E-3</v>
      </c>
      <c r="BA1715">
        <v>2.5600000000000002E-3</v>
      </c>
      <c r="BB1715">
        <v>-3.2000000000000003E-4</v>
      </c>
      <c r="BC1715">
        <v>4.122E-2</v>
      </c>
      <c r="BD1715">
        <v>1</v>
      </c>
      <c r="BE1715" t="s">
        <v>69</v>
      </c>
      <c r="BF1715">
        <v>-1.7450000000000001</v>
      </c>
      <c r="BG1715">
        <v>-1.554</v>
      </c>
    </row>
    <row r="1716" spans="1:59">
      <c r="A1716">
        <v>0</v>
      </c>
      <c r="B1716">
        <v>0</v>
      </c>
      <c r="C1716">
        <v>0</v>
      </c>
      <c r="D1716" t="s">
        <v>25022</v>
      </c>
      <c r="E1716">
        <v>2476</v>
      </c>
      <c r="F1716" t="s">
        <v>14431</v>
      </c>
      <c r="G1716" t="s">
        <v>62</v>
      </c>
      <c r="H1716">
        <v>2468552</v>
      </c>
      <c r="I1716">
        <v>2469508</v>
      </c>
      <c r="J1716" t="s">
        <v>14432</v>
      </c>
      <c r="K1716">
        <v>319</v>
      </c>
      <c r="L1716" t="s">
        <v>14433</v>
      </c>
      <c r="M1716">
        <v>43</v>
      </c>
      <c r="N1716" t="str">
        <f>HYPERLINK("Gene2476-zp_tree_all.dnd", "Gene2476-tree")</f>
        <v>Gene2476-tree</v>
      </c>
      <c r="O1716">
        <v>11</v>
      </c>
      <c r="P1716">
        <v>2</v>
      </c>
      <c r="Q1716">
        <v>11</v>
      </c>
      <c r="R1716">
        <v>2</v>
      </c>
      <c r="S1716">
        <v>0.15384999999999999</v>
      </c>
      <c r="T1716" t="s">
        <v>73</v>
      </c>
      <c r="U1716" t="s">
        <v>81</v>
      </c>
      <c r="V1716" t="s">
        <v>62</v>
      </c>
      <c r="W1716" t="s">
        <v>62</v>
      </c>
      <c r="X1716">
        <v>0</v>
      </c>
      <c r="Y1716">
        <v>0</v>
      </c>
      <c r="Z1716">
        <v>3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0</v>
      </c>
      <c r="AL1716">
        <v>11</v>
      </c>
      <c r="AM1716">
        <v>6</v>
      </c>
      <c r="AN1716">
        <v>24</v>
      </c>
      <c r="AO1716">
        <v>2</v>
      </c>
      <c r="AP1716">
        <v>12</v>
      </c>
      <c r="AQ1716">
        <v>1</v>
      </c>
      <c r="AR1716" t="s">
        <v>14434</v>
      </c>
      <c r="AS1716" t="s">
        <v>14435</v>
      </c>
      <c r="AT1716">
        <v>1E-3</v>
      </c>
      <c r="AU1716" t="s">
        <v>65</v>
      </c>
      <c r="AV1716">
        <v>36</v>
      </c>
      <c r="AW1716">
        <v>3</v>
      </c>
      <c r="AX1716" t="s">
        <v>14436</v>
      </c>
      <c r="AY1716">
        <v>3.1019999999999999E-2</v>
      </c>
      <c r="AZ1716">
        <v>-1.5299999999999999E-3</v>
      </c>
      <c r="BA1716">
        <v>1.0399999999999999E-3</v>
      </c>
      <c r="BB1716">
        <v>-1E-4</v>
      </c>
      <c r="BC1716">
        <v>3.3640000000000003E-2</v>
      </c>
      <c r="BD1716">
        <v>1</v>
      </c>
      <c r="BE1716" t="s">
        <v>69</v>
      </c>
      <c r="BF1716">
        <v>-0.13800000000000001</v>
      </c>
      <c r="BG1716">
        <v>-0.61499999999999999</v>
      </c>
    </row>
    <row r="1717" spans="1:59">
      <c r="A1717">
        <v>0</v>
      </c>
      <c r="B1717">
        <v>0</v>
      </c>
      <c r="C1717">
        <v>0</v>
      </c>
      <c r="D1717" t="s">
        <v>25022</v>
      </c>
      <c r="E1717">
        <v>3035</v>
      </c>
      <c r="F1717" t="s">
        <v>17550</v>
      </c>
      <c r="G1717" t="s">
        <v>62</v>
      </c>
      <c r="H1717">
        <v>2986591</v>
      </c>
      <c r="I1717">
        <v>2987547</v>
      </c>
      <c r="J1717" t="s">
        <v>17551</v>
      </c>
      <c r="K1717">
        <v>319</v>
      </c>
      <c r="L1717" t="s">
        <v>59</v>
      </c>
      <c r="M1717">
        <v>49</v>
      </c>
      <c r="N1717" t="str">
        <f>HYPERLINK("Gene3035-zp_tree_all.dnd", "Gene3035-tree")</f>
        <v>Gene3035-tree</v>
      </c>
      <c r="O1717">
        <v>16</v>
      </c>
      <c r="P1717">
        <v>1</v>
      </c>
      <c r="Q1717">
        <v>16</v>
      </c>
      <c r="R1717">
        <v>1</v>
      </c>
      <c r="S1717">
        <v>5.8819999999999997E-2</v>
      </c>
      <c r="T1717" t="s">
        <v>60</v>
      </c>
      <c r="U1717" t="s">
        <v>175</v>
      </c>
      <c r="V1717" t="s">
        <v>62</v>
      </c>
      <c r="W1717" t="s">
        <v>62</v>
      </c>
      <c r="X1717">
        <v>0</v>
      </c>
      <c r="Y1717">
        <v>0</v>
      </c>
      <c r="Z1717">
        <v>3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13</v>
      </c>
      <c r="AM1717">
        <v>11</v>
      </c>
      <c r="AN1717">
        <v>25</v>
      </c>
      <c r="AO1717">
        <v>1</v>
      </c>
      <c r="AP1717">
        <v>51</v>
      </c>
      <c r="AQ1717">
        <v>2</v>
      </c>
      <c r="AR1717" t="s">
        <v>17552</v>
      </c>
      <c r="AS1717" t="s">
        <v>17553</v>
      </c>
      <c r="AT1717">
        <v>8.9999999999999993E-3</v>
      </c>
      <c r="AU1717" t="s">
        <v>65</v>
      </c>
      <c r="AV1717">
        <v>76</v>
      </c>
      <c r="AW1717">
        <v>3</v>
      </c>
      <c r="AX1717" t="s">
        <v>17554</v>
      </c>
      <c r="AY1717">
        <v>8.8609999999999994E-2</v>
      </c>
      <c r="AZ1717">
        <v>-5.0699999999999999E-3</v>
      </c>
      <c r="BA1717">
        <v>1.3500000000000001E-3</v>
      </c>
      <c r="BB1717">
        <v>-9.0000000000000006E-5</v>
      </c>
      <c r="BC1717">
        <v>1.5270000000000001E-2</v>
      </c>
      <c r="BD1717">
        <v>1</v>
      </c>
      <c r="BE1717" t="s">
        <v>69</v>
      </c>
      <c r="BF1717">
        <v>-0.84099999999999997</v>
      </c>
      <c r="BG1717">
        <v>-0.38900000000000001</v>
      </c>
    </row>
    <row r="1718" spans="1:59">
      <c r="A1718">
        <v>0</v>
      </c>
      <c r="B1718">
        <v>16</v>
      </c>
      <c r="C1718">
        <v>1</v>
      </c>
      <c r="D1718" t="s">
        <v>25022</v>
      </c>
      <c r="E1718">
        <v>200</v>
      </c>
      <c r="F1718" t="s">
        <v>1362</v>
      </c>
      <c r="G1718" t="s">
        <v>57</v>
      </c>
      <c r="H1718">
        <v>221950</v>
      </c>
      <c r="I1718">
        <v>222909</v>
      </c>
      <c r="J1718" t="s">
        <v>1363</v>
      </c>
      <c r="K1718">
        <v>320</v>
      </c>
      <c r="L1718" t="s">
        <v>1364</v>
      </c>
      <c r="M1718">
        <v>42</v>
      </c>
      <c r="N1718" t="str">
        <f>HYPERLINK("Gene200-zp_tree_all.dnd", "Gene200-tree")</f>
        <v>Gene200-tree</v>
      </c>
      <c r="O1718">
        <v>1</v>
      </c>
      <c r="P1718">
        <v>13</v>
      </c>
      <c r="Q1718">
        <v>1</v>
      </c>
      <c r="R1718">
        <v>13</v>
      </c>
      <c r="S1718">
        <v>0.92857000000000001</v>
      </c>
      <c r="T1718" t="s">
        <v>175</v>
      </c>
      <c r="U1718" t="s">
        <v>507</v>
      </c>
      <c r="V1718" t="s">
        <v>62</v>
      </c>
      <c r="W1718" t="s">
        <v>62</v>
      </c>
      <c r="X1718">
        <v>6</v>
      </c>
      <c r="Y1718">
        <v>17</v>
      </c>
      <c r="Z1718">
        <v>16</v>
      </c>
      <c r="AA1718">
        <v>0.51515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16</v>
      </c>
      <c r="AH1718">
        <v>1</v>
      </c>
      <c r="AI1718">
        <v>17</v>
      </c>
      <c r="AJ1718">
        <v>13</v>
      </c>
      <c r="AK1718">
        <v>0.56667000000000001</v>
      </c>
      <c r="AL1718">
        <v>12</v>
      </c>
      <c r="AM1718">
        <v>8</v>
      </c>
      <c r="AN1718">
        <v>17</v>
      </c>
      <c r="AO1718">
        <v>22</v>
      </c>
      <c r="AP1718">
        <v>15</v>
      </c>
      <c r="AQ1718">
        <v>12</v>
      </c>
      <c r="AR1718" t="s">
        <v>1365</v>
      </c>
      <c r="AS1718" t="s">
        <v>1366</v>
      </c>
      <c r="AT1718">
        <v>0.57999999999999996</v>
      </c>
      <c r="AU1718" t="s">
        <v>65</v>
      </c>
      <c r="AV1718">
        <v>32</v>
      </c>
      <c r="AW1718">
        <v>34</v>
      </c>
      <c r="AX1718" t="s">
        <v>1367</v>
      </c>
      <c r="AY1718">
        <v>0.03</v>
      </c>
      <c r="AZ1718">
        <v>-1.1199999999999999E-3</v>
      </c>
      <c r="BA1718">
        <v>8.1499999999999993E-3</v>
      </c>
      <c r="BB1718">
        <v>-3.6000000000000002E-4</v>
      </c>
      <c r="BC1718">
        <v>0.27167000000000002</v>
      </c>
      <c r="BD1718">
        <v>1</v>
      </c>
      <c r="BE1718" t="s">
        <v>69</v>
      </c>
      <c r="BF1718">
        <v>-0.53500000000000003</v>
      </c>
      <c r="BG1718">
        <v>-0.99299999999999999</v>
      </c>
    </row>
    <row r="1719" spans="1:59">
      <c r="A1719">
        <v>0</v>
      </c>
      <c r="B1719">
        <v>12</v>
      </c>
      <c r="C1719">
        <v>0</v>
      </c>
      <c r="D1719" t="s">
        <v>25022</v>
      </c>
      <c r="E1719">
        <v>2324</v>
      </c>
      <c r="F1719" t="s">
        <v>13472</v>
      </c>
      <c r="G1719" t="s">
        <v>62</v>
      </c>
      <c r="H1719">
        <v>2339802</v>
      </c>
      <c r="I1719">
        <v>2340761</v>
      </c>
      <c r="J1719" t="s">
        <v>116</v>
      </c>
      <c r="K1719">
        <v>320</v>
      </c>
      <c r="L1719" t="s">
        <v>108</v>
      </c>
      <c r="M1719">
        <v>44</v>
      </c>
      <c r="N1719" t="str">
        <f>HYPERLINK("Gene2324-zp_tree_all.dnd", "Gene2324-tree")</f>
        <v>Gene2324-tree</v>
      </c>
      <c r="O1719">
        <v>5</v>
      </c>
      <c r="P1719">
        <v>8</v>
      </c>
      <c r="Q1719">
        <v>5</v>
      </c>
      <c r="R1719">
        <v>8</v>
      </c>
      <c r="S1719">
        <v>0.61538000000000004</v>
      </c>
      <c r="T1719" t="s">
        <v>199</v>
      </c>
      <c r="U1719" t="s">
        <v>136</v>
      </c>
      <c r="V1719" t="s">
        <v>62</v>
      </c>
      <c r="W1719" t="s">
        <v>62</v>
      </c>
      <c r="X1719">
        <v>6</v>
      </c>
      <c r="Y1719">
        <v>12</v>
      </c>
      <c r="Z1719">
        <v>9</v>
      </c>
      <c r="AA1719">
        <v>0.57142999999999999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4</v>
      </c>
      <c r="AH1719">
        <v>0</v>
      </c>
      <c r="AI1719">
        <v>4</v>
      </c>
      <c r="AJ1719">
        <v>12</v>
      </c>
      <c r="AK1719">
        <v>0.25</v>
      </c>
      <c r="AL1719">
        <v>11</v>
      </c>
      <c r="AM1719">
        <v>9</v>
      </c>
      <c r="AN1719">
        <v>18</v>
      </c>
      <c r="AO1719">
        <v>17</v>
      </c>
      <c r="AP1719">
        <v>24</v>
      </c>
      <c r="AQ1719">
        <v>5</v>
      </c>
      <c r="AR1719" t="s">
        <v>13473</v>
      </c>
      <c r="AS1719" t="s">
        <v>13474</v>
      </c>
      <c r="AT1719">
        <v>1.992</v>
      </c>
      <c r="AU1719" t="s">
        <v>267</v>
      </c>
      <c r="AV1719">
        <v>42</v>
      </c>
      <c r="AW1719">
        <v>22</v>
      </c>
      <c r="AX1719" t="s">
        <v>13475</v>
      </c>
      <c r="AY1719">
        <v>3.8940000000000002E-2</v>
      </c>
      <c r="AZ1719">
        <v>-1.5299999999999999E-3</v>
      </c>
      <c r="BA1719">
        <v>5.2500000000000003E-3</v>
      </c>
      <c r="BB1719">
        <v>-3.1E-4</v>
      </c>
      <c r="BC1719">
        <v>0.13492999999999999</v>
      </c>
      <c r="BD1719">
        <v>1</v>
      </c>
      <c r="BE1719" t="s">
        <v>69</v>
      </c>
      <c r="BF1719">
        <v>-0.51800000000000002</v>
      </c>
      <c r="BG1719">
        <v>-1.3979999999999999</v>
      </c>
    </row>
    <row r="1720" spans="1:59">
      <c r="A1720">
        <v>2</v>
      </c>
      <c r="B1720">
        <v>6</v>
      </c>
      <c r="C1720">
        <v>1</v>
      </c>
      <c r="D1720" t="s">
        <v>25022</v>
      </c>
      <c r="E1720">
        <v>667</v>
      </c>
      <c r="F1720" t="s">
        <v>4156</v>
      </c>
      <c r="G1720" t="s">
        <v>57</v>
      </c>
      <c r="H1720">
        <v>688184</v>
      </c>
      <c r="I1720">
        <v>689143</v>
      </c>
      <c r="J1720" t="s">
        <v>4157</v>
      </c>
      <c r="K1720">
        <v>320</v>
      </c>
      <c r="L1720" t="s">
        <v>4158</v>
      </c>
      <c r="M1720">
        <v>42</v>
      </c>
      <c r="N1720" t="str">
        <f>HYPERLINK("Gene667-zp_tree_all.dnd", "Gene667-tree")</f>
        <v>Gene667-tree</v>
      </c>
      <c r="O1720">
        <v>5</v>
      </c>
      <c r="P1720">
        <v>9</v>
      </c>
      <c r="Q1720">
        <v>5</v>
      </c>
      <c r="R1720">
        <v>9</v>
      </c>
      <c r="S1720">
        <v>0.64285999999999999</v>
      </c>
      <c r="T1720" t="s">
        <v>199</v>
      </c>
      <c r="U1720" t="s">
        <v>135</v>
      </c>
      <c r="V1720" t="s">
        <v>62</v>
      </c>
      <c r="W1720" t="s">
        <v>62</v>
      </c>
      <c r="X1720">
        <v>3</v>
      </c>
      <c r="Y1720">
        <v>9</v>
      </c>
      <c r="Z1720">
        <v>8</v>
      </c>
      <c r="AA1720">
        <v>0.52941000000000005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</v>
      </c>
      <c r="AH1720">
        <v>2</v>
      </c>
      <c r="AI1720">
        <v>4</v>
      </c>
      <c r="AJ1720">
        <v>8</v>
      </c>
      <c r="AK1720">
        <v>0.33333000000000002</v>
      </c>
      <c r="AL1720">
        <v>11</v>
      </c>
      <c r="AM1720">
        <v>11</v>
      </c>
      <c r="AN1720">
        <v>28</v>
      </c>
      <c r="AO1720">
        <v>9</v>
      </c>
      <c r="AP1720">
        <v>15</v>
      </c>
      <c r="AQ1720">
        <v>8</v>
      </c>
      <c r="AR1720" t="s">
        <v>4159</v>
      </c>
      <c r="AS1720" t="s">
        <v>4160</v>
      </c>
      <c r="AT1720">
        <v>1.034</v>
      </c>
      <c r="AU1720" t="s">
        <v>65</v>
      </c>
      <c r="AV1720">
        <v>43</v>
      </c>
      <c r="AW1720">
        <v>17</v>
      </c>
      <c r="AX1720" t="s">
        <v>4161</v>
      </c>
      <c r="AY1720">
        <v>3.9789999999999999E-2</v>
      </c>
      <c r="AZ1720">
        <v>-1.4599999999999999E-3</v>
      </c>
      <c r="BA1720">
        <v>4.4600000000000004E-3</v>
      </c>
      <c r="BB1720">
        <v>-2.2000000000000001E-4</v>
      </c>
      <c r="BC1720">
        <v>0.11204</v>
      </c>
      <c r="BD1720">
        <v>1</v>
      </c>
      <c r="BE1720" t="s">
        <v>69</v>
      </c>
      <c r="BF1720">
        <v>-0.23200000000000001</v>
      </c>
      <c r="BG1720">
        <v>-0.81899999999999995</v>
      </c>
    </row>
    <row r="1721" spans="1:59">
      <c r="A1721">
        <v>0</v>
      </c>
      <c r="B1721">
        <v>19</v>
      </c>
      <c r="C1721">
        <v>0</v>
      </c>
      <c r="D1721" t="s">
        <v>25022</v>
      </c>
      <c r="E1721">
        <v>649</v>
      </c>
      <c r="F1721" t="s">
        <v>4026</v>
      </c>
      <c r="G1721" t="s">
        <v>57</v>
      </c>
      <c r="H1721">
        <v>670087</v>
      </c>
      <c r="I1721">
        <v>671046</v>
      </c>
      <c r="J1721" t="s">
        <v>4027</v>
      </c>
      <c r="K1721">
        <v>320</v>
      </c>
      <c r="L1721" t="s">
        <v>4013</v>
      </c>
      <c r="M1721">
        <v>43</v>
      </c>
      <c r="N1721" t="str">
        <f>HYPERLINK("Gene649-zp_tree_all.dnd", "Gene649-tree")</f>
        <v>Gene649-tree</v>
      </c>
      <c r="O1721">
        <v>5</v>
      </c>
      <c r="P1721">
        <v>10</v>
      </c>
      <c r="Q1721">
        <v>5</v>
      </c>
      <c r="R1721">
        <v>10</v>
      </c>
      <c r="S1721">
        <v>0.66666999999999998</v>
      </c>
      <c r="T1721" t="s">
        <v>199</v>
      </c>
      <c r="U1721" t="s">
        <v>117</v>
      </c>
      <c r="V1721" t="s">
        <v>62</v>
      </c>
      <c r="W1721" t="s">
        <v>62</v>
      </c>
      <c r="X1721">
        <v>8</v>
      </c>
      <c r="Y1721">
        <v>19</v>
      </c>
      <c r="Z1721">
        <v>15</v>
      </c>
      <c r="AA1721">
        <v>0.55881999999999998</v>
      </c>
      <c r="AB1721">
        <v>0</v>
      </c>
      <c r="AC1721">
        <v>0</v>
      </c>
      <c r="AD1721">
        <v>0</v>
      </c>
      <c r="AE1721">
        <v>5</v>
      </c>
      <c r="AF1721">
        <v>0</v>
      </c>
      <c r="AG1721">
        <v>4</v>
      </c>
      <c r="AH1721">
        <v>0</v>
      </c>
      <c r="AI1721">
        <v>4</v>
      </c>
      <c r="AJ1721">
        <v>15</v>
      </c>
      <c r="AK1721">
        <v>0.21052999999999999</v>
      </c>
      <c r="AL1721">
        <v>13</v>
      </c>
      <c r="AM1721">
        <v>12</v>
      </c>
      <c r="AN1721">
        <v>40</v>
      </c>
      <c r="AO1721">
        <v>18</v>
      </c>
      <c r="AP1721">
        <v>49</v>
      </c>
      <c r="AQ1721">
        <v>16</v>
      </c>
      <c r="AR1721" t="s">
        <v>4028</v>
      </c>
      <c r="AS1721" t="s">
        <v>4029</v>
      </c>
      <c r="AT1721">
        <v>0.57199999999999995</v>
      </c>
      <c r="AU1721" t="s">
        <v>65</v>
      </c>
      <c r="AV1721">
        <v>89</v>
      </c>
      <c r="AW1721">
        <v>34</v>
      </c>
      <c r="AX1721" t="s">
        <v>4030</v>
      </c>
      <c r="AY1721">
        <v>7.6499999999999999E-2</v>
      </c>
      <c r="AZ1721">
        <v>-2.98E-3</v>
      </c>
      <c r="BA1721">
        <v>7.8399999999999997E-3</v>
      </c>
      <c r="BB1721">
        <v>-2.3000000000000001E-4</v>
      </c>
      <c r="BC1721">
        <v>0.10254000000000001</v>
      </c>
      <c r="BD1721">
        <v>1</v>
      </c>
      <c r="BE1721" t="s">
        <v>69</v>
      </c>
      <c r="BF1721">
        <v>-0.128</v>
      </c>
      <c r="BG1721">
        <v>0.23899999999999999</v>
      </c>
    </row>
    <row r="1722" spans="1:59">
      <c r="A1722">
        <v>0</v>
      </c>
      <c r="B1722">
        <v>4</v>
      </c>
      <c r="C1722">
        <v>0</v>
      </c>
      <c r="D1722" t="s">
        <v>25022</v>
      </c>
      <c r="E1722">
        <v>1344</v>
      </c>
      <c r="F1722" t="s">
        <v>8407</v>
      </c>
      <c r="G1722" t="s">
        <v>57</v>
      </c>
      <c r="H1722">
        <v>1362174</v>
      </c>
      <c r="I1722">
        <v>1363133</v>
      </c>
      <c r="J1722" t="s">
        <v>8401</v>
      </c>
      <c r="K1722">
        <v>320</v>
      </c>
      <c r="L1722" t="s">
        <v>108</v>
      </c>
      <c r="M1722">
        <v>44</v>
      </c>
      <c r="N1722" t="str">
        <f>HYPERLINK("Gene1344-zp_tree_all.dnd", "Gene1344-tree")</f>
        <v>Gene1344-tree</v>
      </c>
      <c r="O1722">
        <v>10</v>
      </c>
      <c r="P1722">
        <v>5</v>
      </c>
      <c r="Q1722">
        <v>10</v>
      </c>
      <c r="R1722">
        <v>5</v>
      </c>
      <c r="S1722">
        <v>0.33333000000000002</v>
      </c>
      <c r="T1722" t="s">
        <v>117</v>
      </c>
      <c r="U1722" t="s">
        <v>199</v>
      </c>
      <c r="V1722" t="s">
        <v>62</v>
      </c>
      <c r="W1722" t="s">
        <v>62</v>
      </c>
      <c r="X1722">
        <v>2</v>
      </c>
      <c r="Y1722">
        <v>4</v>
      </c>
      <c r="Z1722">
        <v>3</v>
      </c>
      <c r="AA1722">
        <v>0.57142999999999999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2</v>
      </c>
      <c r="AH1722">
        <v>0</v>
      </c>
      <c r="AI1722">
        <v>2</v>
      </c>
      <c r="AJ1722">
        <v>4</v>
      </c>
      <c r="AK1722">
        <v>0.33333000000000002</v>
      </c>
      <c r="AL1722">
        <v>12</v>
      </c>
      <c r="AM1722">
        <v>9</v>
      </c>
      <c r="AN1722">
        <v>27</v>
      </c>
      <c r="AO1722">
        <v>4</v>
      </c>
      <c r="AP1722">
        <v>14</v>
      </c>
      <c r="AQ1722">
        <v>3</v>
      </c>
      <c r="AR1722" t="s">
        <v>8408</v>
      </c>
      <c r="AS1722" t="s">
        <v>8409</v>
      </c>
      <c r="AT1722">
        <v>0.252</v>
      </c>
      <c r="AU1722" t="s">
        <v>65</v>
      </c>
      <c r="AV1722">
        <v>41</v>
      </c>
      <c r="AW1722">
        <v>7</v>
      </c>
      <c r="AX1722" t="s">
        <v>8410</v>
      </c>
      <c r="AY1722">
        <v>3.3849999999999998E-2</v>
      </c>
      <c r="AZ1722">
        <v>-1.09E-3</v>
      </c>
      <c r="BA1722">
        <v>1.82E-3</v>
      </c>
      <c r="BB1722">
        <v>-1.6000000000000001E-4</v>
      </c>
      <c r="BC1722">
        <v>5.3699999999999998E-2</v>
      </c>
      <c r="BD1722">
        <v>1</v>
      </c>
      <c r="BE1722" t="s">
        <v>69</v>
      </c>
      <c r="BF1722">
        <v>-0.504</v>
      </c>
      <c r="BG1722">
        <v>-0.92100000000000004</v>
      </c>
    </row>
    <row r="1723" spans="1:59">
      <c r="A1723">
        <v>0</v>
      </c>
      <c r="B1723">
        <v>12</v>
      </c>
      <c r="C1723">
        <v>0</v>
      </c>
      <c r="D1723" t="s">
        <v>25022</v>
      </c>
      <c r="E1723">
        <v>2769</v>
      </c>
      <c r="F1723" t="s">
        <v>15890</v>
      </c>
      <c r="G1723" t="s">
        <v>62</v>
      </c>
      <c r="H1723">
        <v>2720690</v>
      </c>
      <c r="I1723">
        <v>2721652</v>
      </c>
      <c r="J1723" t="s">
        <v>2641</v>
      </c>
      <c r="K1723">
        <v>321</v>
      </c>
      <c r="L1723" t="s">
        <v>108</v>
      </c>
      <c r="M1723">
        <v>44</v>
      </c>
      <c r="N1723" t="str">
        <f>HYPERLINK("Gene2769-zp_tree_all.dnd", "Gene2769-tree")</f>
        <v>Gene2769-tree</v>
      </c>
      <c r="O1723">
        <v>2</v>
      </c>
      <c r="P1723">
        <v>10</v>
      </c>
      <c r="Q1723">
        <v>2</v>
      </c>
      <c r="R1723">
        <v>10</v>
      </c>
      <c r="S1723">
        <v>0.83333000000000002</v>
      </c>
      <c r="T1723" t="s">
        <v>81</v>
      </c>
      <c r="U1723" t="s">
        <v>117</v>
      </c>
      <c r="V1723" t="s">
        <v>62</v>
      </c>
      <c r="W1723" t="s">
        <v>62</v>
      </c>
      <c r="X1723">
        <v>6</v>
      </c>
      <c r="Y1723">
        <v>12</v>
      </c>
      <c r="Z1723">
        <v>10</v>
      </c>
      <c r="AA1723">
        <v>0.54544999999999999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4</v>
      </c>
      <c r="AH1723">
        <v>2</v>
      </c>
      <c r="AI1723">
        <v>6</v>
      </c>
      <c r="AJ1723">
        <v>8</v>
      </c>
      <c r="AK1723">
        <v>0.42857000000000001</v>
      </c>
      <c r="AL1723">
        <v>11</v>
      </c>
      <c r="AM1723">
        <v>9</v>
      </c>
      <c r="AN1723">
        <v>17</v>
      </c>
      <c r="AO1723">
        <v>13</v>
      </c>
      <c r="AP1723">
        <v>17</v>
      </c>
      <c r="AQ1723">
        <v>9</v>
      </c>
      <c r="AR1723" t="s">
        <v>15891</v>
      </c>
      <c r="AS1723" t="s">
        <v>15892</v>
      </c>
      <c r="AT1723">
        <v>0.68700000000000006</v>
      </c>
      <c r="AU1723" t="s">
        <v>65</v>
      </c>
      <c r="AV1723">
        <v>34</v>
      </c>
      <c r="AW1723">
        <v>22</v>
      </c>
      <c r="AX1723" t="s">
        <v>15893</v>
      </c>
      <c r="AY1723">
        <v>3.3029999999999997E-2</v>
      </c>
      <c r="AZ1723">
        <v>-1.74E-3</v>
      </c>
      <c r="BA1723">
        <v>6.7400000000000003E-3</v>
      </c>
      <c r="BB1723">
        <v>-3.8999999999999999E-4</v>
      </c>
      <c r="BC1723">
        <v>0.20401</v>
      </c>
      <c r="BD1723">
        <v>1</v>
      </c>
      <c r="BE1723" t="s">
        <v>69</v>
      </c>
      <c r="BF1723">
        <v>0.58799999999999997</v>
      </c>
      <c r="BG1723">
        <v>0.61599999999999999</v>
      </c>
    </row>
    <row r="1724" spans="1:59">
      <c r="A1724">
        <v>0</v>
      </c>
      <c r="B1724">
        <v>8</v>
      </c>
      <c r="C1724">
        <v>0</v>
      </c>
      <c r="D1724" t="s">
        <v>25022</v>
      </c>
      <c r="E1724">
        <v>1442</v>
      </c>
      <c r="F1724" t="s">
        <v>9029</v>
      </c>
      <c r="G1724" t="s">
        <v>57</v>
      </c>
      <c r="H1724">
        <v>1455064</v>
      </c>
      <c r="I1724">
        <v>1456026</v>
      </c>
      <c r="J1724" t="s">
        <v>9030</v>
      </c>
      <c r="K1724">
        <v>321</v>
      </c>
      <c r="L1724" t="s">
        <v>108</v>
      </c>
      <c r="M1724">
        <v>44</v>
      </c>
      <c r="N1724" t="str">
        <f>HYPERLINK("Gene1442-zp_tree_all.dnd", "Gene1442-tree")</f>
        <v>Gene1442-tree</v>
      </c>
      <c r="O1724">
        <v>4</v>
      </c>
      <c r="P1724">
        <v>11</v>
      </c>
      <c r="Q1724">
        <v>4</v>
      </c>
      <c r="R1724">
        <v>11</v>
      </c>
      <c r="S1724">
        <v>0.73333000000000004</v>
      </c>
      <c r="T1724" t="s">
        <v>61</v>
      </c>
      <c r="U1724" t="s">
        <v>73</v>
      </c>
      <c r="V1724">
        <v>200307210.301</v>
      </c>
      <c r="W1724" t="s">
        <v>267</v>
      </c>
      <c r="X1724">
        <v>4</v>
      </c>
      <c r="Y1724">
        <v>8</v>
      </c>
      <c r="Z1724">
        <v>11</v>
      </c>
      <c r="AA1724">
        <v>0.42104999999999998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4</v>
      </c>
      <c r="AH1724">
        <v>0</v>
      </c>
      <c r="AI1724">
        <v>4</v>
      </c>
      <c r="AJ1724">
        <v>12</v>
      </c>
      <c r="AK1724">
        <v>0.25</v>
      </c>
      <c r="AL1724">
        <v>13</v>
      </c>
      <c r="AM1724">
        <v>8</v>
      </c>
      <c r="AN1724">
        <v>20</v>
      </c>
      <c r="AO1724">
        <v>15</v>
      </c>
      <c r="AP1724">
        <v>9</v>
      </c>
      <c r="AQ1724">
        <v>4</v>
      </c>
      <c r="AR1724" t="s">
        <v>9031</v>
      </c>
      <c r="AS1724" t="s">
        <v>9032</v>
      </c>
      <c r="AT1724">
        <v>0.96799999999999997</v>
      </c>
      <c r="AU1724" t="s">
        <v>65</v>
      </c>
      <c r="AV1724">
        <v>29</v>
      </c>
      <c r="AW1724">
        <v>19</v>
      </c>
      <c r="AX1724" t="s">
        <v>9033</v>
      </c>
      <c r="AY1724">
        <v>2.4680000000000001E-2</v>
      </c>
      <c r="AZ1724">
        <v>-8.0999999999999996E-4</v>
      </c>
      <c r="BA1724">
        <v>4.3200000000000001E-3</v>
      </c>
      <c r="BB1724">
        <v>-2.0000000000000001E-4</v>
      </c>
      <c r="BC1724">
        <v>0.17502000000000001</v>
      </c>
      <c r="BD1724">
        <v>1</v>
      </c>
      <c r="BE1724" t="s">
        <v>69</v>
      </c>
      <c r="BF1724">
        <v>-1.0249999999999999</v>
      </c>
      <c r="BG1724">
        <v>-1.194</v>
      </c>
    </row>
    <row r="1725" spans="1:59">
      <c r="A1725">
        <v>0</v>
      </c>
      <c r="B1725">
        <v>2</v>
      </c>
      <c r="C1725">
        <v>0</v>
      </c>
      <c r="D1725" t="s">
        <v>25022</v>
      </c>
      <c r="E1725">
        <v>2587</v>
      </c>
      <c r="F1725" t="s">
        <v>15144</v>
      </c>
      <c r="G1725" t="s">
        <v>62</v>
      </c>
      <c r="H1725">
        <v>2570609</v>
      </c>
      <c r="I1725">
        <v>2571571</v>
      </c>
      <c r="J1725" t="s">
        <v>15145</v>
      </c>
      <c r="K1725">
        <v>321</v>
      </c>
      <c r="L1725" t="s">
        <v>108</v>
      </c>
      <c r="M1725">
        <v>44</v>
      </c>
      <c r="N1725" t="str">
        <f>HYPERLINK("Gene2587-zp_tree_all.dnd", "Gene2587-tree")</f>
        <v>Gene2587-tree</v>
      </c>
      <c r="O1725">
        <v>7</v>
      </c>
      <c r="P1725">
        <v>5</v>
      </c>
      <c r="Q1725">
        <v>7</v>
      </c>
      <c r="R1725">
        <v>5</v>
      </c>
      <c r="S1725">
        <v>0.41666999999999998</v>
      </c>
      <c r="T1725" t="s">
        <v>152</v>
      </c>
      <c r="U1725" t="s">
        <v>199</v>
      </c>
      <c r="V1725" t="s">
        <v>62</v>
      </c>
      <c r="W1725" t="s">
        <v>62</v>
      </c>
      <c r="X1725">
        <v>1</v>
      </c>
      <c r="Y1725">
        <v>2</v>
      </c>
      <c r="Z1725">
        <v>9</v>
      </c>
      <c r="AA1725">
        <v>0.18182000000000001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9</v>
      </c>
      <c r="AK1725">
        <v>0</v>
      </c>
      <c r="AL1725">
        <v>9</v>
      </c>
      <c r="AM1725">
        <v>8</v>
      </c>
      <c r="AN1725">
        <v>24</v>
      </c>
      <c r="AO1725">
        <v>9</v>
      </c>
      <c r="AP1725">
        <v>12</v>
      </c>
      <c r="AQ1725">
        <v>2</v>
      </c>
      <c r="AR1725" t="s">
        <v>15146</v>
      </c>
      <c r="AS1725" t="s">
        <v>15147</v>
      </c>
      <c r="AT1725">
        <v>0.60199999999999998</v>
      </c>
      <c r="AU1725" t="s">
        <v>65</v>
      </c>
      <c r="AV1725">
        <v>36</v>
      </c>
      <c r="AW1725">
        <v>11</v>
      </c>
      <c r="AX1725" t="s">
        <v>15148</v>
      </c>
      <c r="AY1725">
        <v>3.073E-2</v>
      </c>
      <c r="AZ1725">
        <v>-1.3699999999999999E-3</v>
      </c>
      <c r="BA1725">
        <v>2.9399999999999999E-3</v>
      </c>
      <c r="BB1725">
        <v>-2.5000000000000001E-4</v>
      </c>
      <c r="BC1725">
        <v>9.579E-2</v>
      </c>
      <c r="BD1725">
        <v>1</v>
      </c>
      <c r="BE1725" t="s">
        <v>69</v>
      </c>
      <c r="BF1725">
        <v>-0.65</v>
      </c>
      <c r="BG1725">
        <v>-2.0920000000000001</v>
      </c>
    </row>
    <row r="1726" spans="1:59">
      <c r="A1726">
        <v>0</v>
      </c>
      <c r="B1726">
        <v>0</v>
      </c>
      <c r="C1726">
        <v>0</v>
      </c>
      <c r="D1726" t="s">
        <v>25022</v>
      </c>
      <c r="E1726">
        <v>3953</v>
      </c>
      <c r="F1726" t="s">
        <v>23218</v>
      </c>
      <c r="G1726" t="s">
        <v>62</v>
      </c>
      <c r="H1726">
        <v>3917299</v>
      </c>
      <c r="I1726">
        <v>3918261</v>
      </c>
      <c r="J1726" t="s">
        <v>23219</v>
      </c>
      <c r="K1726">
        <v>321</v>
      </c>
      <c r="L1726" t="s">
        <v>59</v>
      </c>
      <c r="M1726">
        <v>49</v>
      </c>
      <c r="N1726" t="str">
        <f>HYPERLINK("Gene3953-zp_tree_all.dnd", "Gene3953-tree")</f>
        <v>Gene3953-tree</v>
      </c>
      <c r="O1726">
        <v>11</v>
      </c>
      <c r="P1726">
        <v>3</v>
      </c>
      <c r="Q1726">
        <v>11</v>
      </c>
      <c r="R1726">
        <v>3</v>
      </c>
      <c r="S1726">
        <v>0.21429000000000001</v>
      </c>
      <c r="T1726" t="s">
        <v>73</v>
      </c>
      <c r="U1726" t="s">
        <v>324</v>
      </c>
      <c r="V1726" t="s">
        <v>62</v>
      </c>
      <c r="W1726" t="s">
        <v>62</v>
      </c>
      <c r="X1726">
        <v>0</v>
      </c>
      <c r="Y1726">
        <v>0</v>
      </c>
      <c r="Z1726">
        <v>9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5</v>
      </c>
      <c r="AK1726">
        <v>0</v>
      </c>
      <c r="AL1726">
        <v>12</v>
      </c>
      <c r="AM1726">
        <v>6</v>
      </c>
      <c r="AN1726">
        <v>35</v>
      </c>
      <c r="AO1726">
        <v>5</v>
      </c>
      <c r="AP1726">
        <v>35</v>
      </c>
      <c r="AQ1726">
        <v>4</v>
      </c>
      <c r="AR1726" t="s">
        <v>23220</v>
      </c>
      <c r="AS1726" t="s">
        <v>23221</v>
      </c>
      <c r="AT1726">
        <v>0.11700000000000001</v>
      </c>
      <c r="AU1726" t="s">
        <v>65</v>
      </c>
      <c r="AV1726">
        <v>70</v>
      </c>
      <c r="AW1726">
        <v>9</v>
      </c>
      <c r="AX1726" t="s">
        <v>23222</v>
      </c>
      <c r="AY1726">
        <v>7.2459999999999997E-2</v>
      </c>
      <c r="AZ1726">
        <v>-7.2199999999999999E-3</v>
      </c>
      <c r="BA1726">
        <v>2.7899999999999999E-3</v>
      </c>
      <c r="BB1726">
        <v>-3.4000000000000002E-4</v>
      </c>
      <c r="BC1726">
        <v>3.8469999999999997E-2</v>
      </c>
      <c r="BD1726">
        <v>1</v>
      </c>
      <c r="BE1726" t="s">
        <v>69</v>
      </c>
      <c r="BF1726">
        <v>-1.0569999999999999</v>
      </c>
      <c r="BG1726">
        <v>0.59699999999999998</v>
      </c>
    </row>
    <row r="1727" spans="1:59">
      <c r="A1727">
        <v>0</v>
      </c>
      <c r="B1727">
        <v>6</v>
      </c>
      <c r="C1727">
        <v>0</v>
      </c>
      <c r="D1727" t="s">
        <v>25022</v>
      </c>
      <c r="E1727">
        <v>306</v>
      </c>
      <c r="F1727" t="s">
        <v>2084</v>
      </c>
      <c r="G1727" t="s">
        <v>57</v>
      </c>
      <c r="H1727">
        <v>329774</v>
      </c>
      <c r="I1727">
        <v>330736</v>
      </c>
      <c r="J1727" t="s">
        <v>2085</v>
      </c>
      <c r="K1727">
        <v>321</v>
      </c>
      <c r="L1727" t="s">
        <v>465</v>
      </c>
      <c r="M1727">
        <v>46</v>
      </c>
      <c r="N1727" t="str">
        <f>HYPERLINK("Gene306-zp_tree_all.dnd", "Gene306-tree")</f>
        <v>Gene306-tree</v>
      </c>
      <c r="O1727">
        <v>29</v>
      </c>
      <c r="P1727">
        <v>6</v>
      </c>
      <c r="Q1727">
        <v>11</v>
      </c>
      <c r="R1727">
        <v>6</v>
      </c>
      <c r="S1727">
        <v>0.35293999999999998</v>
      </c>
      <c r="T1727" t="s">
        <v>2086</v>
      </c>
      <c r="U1727" t="s">
        <v>90</v>
      </c>
      <c r="V1727" t="s">
        <v>62</v>
      </c>
      <c r="W1727" t="s">
        <v>62</v>
      </c>
      <c r="X1727">
        <v>3</v>
      </c>
      <c r="Y1727">
        <v>6</v>
      </c>
      <c r="Z1727">
        <v>7</v>
      </c>
      <c r="AA1727">
        <v>0.46154000000000001</v>
      </c>
      <c r="AB1727">
        <v>0</v>
      </c>
      <c r="AC1727">
        <v>0</v>
      </c>
      <c r="AD1727">
        <v>0</v>
      </c>
      <c r="AE1727">
        <v>3</v>
      </c>
      <c r="AF1727">
        <v>0</v>
      </c>
      <c r="AG1727">
        <v>2</v>
      </c>
      <c r="AH1727">
        <v>0</v>
      </c>
      <c r="AI1727">
        <v>2</v>
      </c>
      <c r="AJ1727">
        <v>7</v>
      </c>
      <c r="AK1727">
        <v>0.22222</v>
      </c>
      <c r="AL1727">
        <v>14</v>
      </c>
      <c r="AM1727">
        <v>9</v>
      </c>
      <c r="AN1727">
        <v>32</v>
      </c>
      <c r="AO1727">
        <v>9</v>
      </c>
      <c r="AP1727">
        <v>46</v>
      </c>
      <c r="AQ1727">
        <v>4</v>
      </c>
      <c r="AR1727" t="s">
        <v>2087</v>
      </c>
      <c r="AS1727" t="s">
        <v>2088</v>
      </c>
      <c r="AT1727">
        <v>0.81399999999999995</v>
      </c>
      <c r="AU1727" t="s">
        <v>65</v>
      </c>
      <c r="AV1727">
        <v>78</v>
      </c>
      <c r="AW1727">
        <v>13</v>
      </c>
      <c r="AX1727" t="s">
        <v>2089</v>
      </c>
      <c r="AY1727">
        <v>6.9080000000000003E-2</v>
      </c>
      <c r="AZ1727">
        <v>-6.1000000000000004E-3</v>
      </c>
      <c r="BA1727">
        <v>2.5500000000000002E-3</v>
      </c>
      <c r="BB1727">
        <v>-1.4999999999999999E-4</v>
      </c>
      <c r="BC1727">
        <v>3.6979999999999999E-2</v>
      </c>
      <c r="BD1727">
        <v>1</v>
      </c>
      <c r="BE1727" t="s">
        <v>69</v>
      </c>
      <c r="BF1727">
        <v>-1.3859999999999999</v>
      </c>
      <c r="BG1727">
        <v>-2E-3</v>
      </c>
    </row>
    <row r="1728" spans="1:59">
      <c r="A1728">
        <v>0</v>
      </c>
      <c r="B1728">
        <v>4</v>
      </c>
      <c r="C1728">
        <v>4</v>
      </c>
      <c r="D1728" t="s">
        <v>25022</v>
      </c>
      <c r="E1728">
        <v>3129</v>
      </c>
      <c r="F1728" t="s">
        <v>18161</v>
      </c>
      <c r="G1728" t="s">
        <v>62</v>
      </c>
      <c r="H1728">
        <v>3082263</v>
      </c>
      <c r="I1728">
        <v>3083225</v>
      </c>
      <c r="J1728" t="s">
        <v>18162</v>
      </c>
      <c r="K1728">
        <v>321</v>
      </c>
      <c r="L1728" t="s">
        <v>59</v>
      </c>
      <c r="M1728">
        <v>49</v>
      </c>
      <c r="N1728" t="str">
        <f>HYPERLINK("Gene3129-zp_tree_all.dnd", "Gene3129-tree")</f>
        <v>Gene3129-tree</v>
      </c>
      <c r="O1728">
        <v>12</v>
      </c>
      <c r="P1728">
        <v>8</v>
      </c>
      <c r="Q1728">
        <v>12</v>
      </c>
      <c r="R1728">
        <v>8</v>
      </c>
      <c r="S1728">
        <v>0.4</v>
      </c>
      <c r="T1728" t="s">
        <v>109</v>
      </c>
      <c r="U1728" t="s">
        <v>136</v>
      </c>
      <c r="V1728" t="s">
        <v>62</v>
      </c>
      <c r="W1728" t="s">
        <v>62</v>
      </c>
      <c r="X1728">
        <v>3</v>
      </c>
      <c r="Y1728">
        <v>8</v>
      </c>
      <c r="Z1728">
        <v>5</v>
      </c>
      <c r="AA1728">
        <v>0.61538000000000004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4</v>
      </c>
      <c r="AH1728">
        <v>0</v>
      </c>
      <c r="AI1728">
        <v>4</v>
      </c>
      <c r="AJ1728">
        <v>5</v>
      </c>
      <c r="AK1728">
        <v>0.44444</v>
      </c>
      <c r="AL1728">
        <v>17</v>
      </c>
      <c r="AM1728">
        <v>14</v>
      </c>
      <c r="AN1728">
        <v>58</v>
      </c>
      <c r="AO1728">
        <v>8</v>
      </c>
      <c r="AP1728">
        <v>54</v>
      </c>
      <c r="AQ1728">
        <v>6</v>
      </c>
      <c r="AR1728" t="s">
        <v>18163</v>
      </c>
      <c r="AS1728" t="s">
        <v>18164</v>
      </c>
      <c r="AT1728">
        <v>0.23200000000000001</v>
      </c>
      <c r="AU1728" t="s">
        <v>65</v>
      </c>
      <c r="AV1728">
        <v>112</v>
      </c>
      <c r="AW1728">
        <v>14</v>
      </c>
      <c r="AX1728" t="s">
        <v>18165</v>
      </c>
      <c r="AY1728">
        <v>8.2930000000000004E-2</v>
      </c>
      <c r="AZ1728">
        <v>-3.7799999999999999E-3</v>
      </c>
      <c r="BA1728">
        <v>3.0300000000000001E-3</v>
      </c>
      <c r="BB1728">
        <v>-1.2E-4</v>
      </c>
      <c r="BC1728">
        <v>3.6589999999999998E-2</v>
      </c>
      <c r="BD1728">
        <v>1</v>
      </c>
      <c r="BE1728" t="s">
        <v>69</v>
      </c>
      <c r="BF1728">
        <v>-1.2150000000000001</v>
      </c>
      <c r="BG1728">
        <v>-1.1299999999999999</v>
      </c>
    </row>
    <row r="1729" spans="1:59">
      <c r="A1729">
        <v>0</v>
      </c>
      <c r="B1729">
        <v>2</v>
      </c>
      <c r="C1729">
        <v>0</v>
      </c>
      <c r="D1729" t="s">
        <v>25022</v>
      </c>
      <c r="E1729">
        <v>3845</v>
      </c>
      <c r="F1729" t="s">
        <v>22533</v>
      </c>
      <c r="G1729" t="s">
        <v>62</v>
      </c>
      <c r="H1729">
        <v>3805093</v>
      </c>
      <c r="I1729">
        <v>3806055</v>
      </c>
      <c r="J1729" t="s">
        <v>22534</v>
      </c>
      <c r="K1729">
        <v>321</v>
      </c>
      <c r="L1729" t="s">
        <v>22535</v>
      </c>
      <c r="M1729">
        <v>46</v>
      </c>
      <c r="N1729" t="str">
        <f>HYPERLINK("Gene3845-zp_tree_all.dnd", "Gene3845-tree")</f>
        <v>Gene3845-tree</v>
      </c>
      <c r="O1729">
        <v>34</v>
      </c>
      <c r="P1729">
        <v>1</v>
      </c>
      <c r="Q1729">
        <v>17</v>
      </c>
      <c r="R1729">
        <v>1</v>
      </c>
      <c r="S1729">
        <v>5.5559999999999998E-2</v>
      </c>
      <c r="T1729" t="s">
        <v>22536</v>
      </c>
      <c r="U1729" t="s">
        <v>175</v>
      </c>
      <c r="V1729" t="s">
        <v>62</v>
      </c>
      <c r="W1729" t="s">
        <v>62</v>
      </c>
      <c r="X1729">
        <v>1</v>
      </c>
      <c r="Y1729">
        <v>2</v>
      </c>
      <c r="Z1729">
        <v>1</v>
      </c>
      <c r="AA1729">
        <v>0.66666999999999998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16</v>
      </c>
      <c r="AM1729">
        <v>8</v>
      </c>
      <c r="AN1729">
        <v>60</v>
      </c>
      <c r="AO1729">
        <v>1</v>
      </c>
      <c r="AP1729">
        <v>54</v>
      </c>
      <c r="AQ1729">
        <v>2</v>
      </c>
      <c r="AR1729" t="s">
        <v>22537</v>
      </c>
      <c r="AS1729" t="s">
        <v>22538</v>
      </c>
      <c r="AT1729">
        <v>0.224</v>
      </c>
      <c r="AU1729" t="s">
        <v>65</v>
      </c>
      <c r="AV1729">
        <v>114</v>
      </c>
      <c r="AW1729">
        <v>3</v>
      </c>
      <c r="AX1729" t="s">
        <v>22539</v>
      </c>
      <c r="AY1729">
        <v>9.3759999999999996E-2</v>
      </c>
      <c r="AZ1729">
        <v>-6.7099999999999998E-3</v>
      </c>
      <c r="BA1729">
        <v>7.3999999999999999E-4</v>
      </c>
      <c r="BB1729">
        <v>-6.0000000000000002E-5</v>
      </c>
      <c r="BC1729">
        <v>7.8499999999999993E-3</v>
      </c>
      <c r="BD1729">
        <v>1</v>
      </c>
      <c r="BE1729" t="s">
        <v>69</v>
      </c>
      <c r="BF1729">
        <v>-1.3160000000000001</v>
      </c>
      <c r="BG1729">
        <v>-0.55700000000000005</v>
      </c>
    </row>
    <row r="1730" spans="1:59">
      <c r="A1730">
        <v>0</v>
      </c>
      <c r="B1730">
        <v>7</v>
      </c>
      <c r="C1730">
        <v>4</v>
      </c>
      <c r="D1730" t="s">
        <v>25022</v>
      </c>
      <c r="E1730">
        <v>951</v>
      </c>
      <c r="F1730" t="s">
        <v>5964</v>
      </c>
      <c r="G1730" t="s">
        <v>57</v>
      </c>
      <c r="H1730">
        <v>989712</v>
      </c>
      <c r="I1730">
        <v>990677</v>
      </c>
      <c r="J1730" t="s">
        <v>5965</v>
      </c>
      <c r="K1730">
        <v>322</v>
      </c>
      <c r="L1730" t="s">
        <v>5966</v>
      </c>
      <c r="M1730">
        <v>36</v>
      </c>
      <c r="N1730" t="str">
        <f>HYPERLINK("Gene951-zp_tree_all.dnd", "Gene951-tree")</f>
        <v>Gene951-tree</v>
      </c>
      <c r="O1730">
        <v>7</v>
      </c>
      <c r="P1730">
        <v>6</v>
      </c>
      <c r="Q1730">
        <v>7</v>
      </c>
      <c r="R1730">
        <v>6</v>
      </c>
      <c r="S1730">
        <v>0.46154000000000001</v>
      </c>
      <c r="T1730" t="s">
        <v>152</v>
      </c>
      <c r="U1730" t="s">
        <v>90</v>
      </c>
      <c r="V1730" t="s">
        <v>62</v>
      </c>
      <c r="W1730" t="s">
        <v>62</v>
      </c>
      <c r="X1730">
        <v>5</v>
      </c>
      <c r="Y1730">
        <v>11</v>
      </c>
      <c r="Z1730">
        <v>28</v>
      </c>
      <c r="AA1730">
        <v>0.28205000000000002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7</v>
      </c>
      <c r="AH1730">
        <v>4</v>
      </c>
      <c r="AI1730">
        <v>11</v>
      </c>
      <c r="AJ1730">
        <v>26</v>
      </c>
      <c r="AK1730">
        <v>0.29730000000000001</v>
      </c>
      <c r="AL1730">
        <v>9</v>
      </c>
      <c r="AM1730">
        <v>8</v>
      </c>
      <c r="AN1730">
        <v>38</v>
      </c>
      <c r="AO1730">
        <v>36</v>
      </c>
      <c r="AP1730">
        <v>17</v>
      </c>
      <c r="AQ1730">
        <v>4</v>
      </c>
      <c r="AR1730" t="s">
        <v>5967</v>
      </c>
      <c r="AS1730" t="s">
        <v>5968</v>
      </c>
      <c r="AT1730">
        <v>0.38100000000000001</v>
      </c>
      <c r="AU1730" t="s">
        <v>65</v>
      </c>
      <c r="AV1730">
        <v>55</v>
      </c>
      <c r="AW1730">
        <v>40</v>
      </c>
      <c r="AX1730" t="s">
        <v>5969</v>
      </c>
      <c r="AY1730">
        <v>5.4460000000000001E-2</v>
      </c>
      <c r="AZ1730">
        <v>-4.7699999999999999E-3</v>
      </c>
      <c r="BA1730">
        <v>8.9599999999999992E-3</v>
      </c>
      <c r="BB1730">
        <v>-1.2199999999999999E-3</v>
      </c>
      <c r="BC1730">
        <v>0.16458999999999999</v>
      </c>
      <c r="BD1730">
        <v>1</v>
      </c>
      <c r="BE1730" t="s">
        <v>69</v>
      </c>
      <c r="BF1730">
        <v>-2.1829999999999998</v>
      </c>
      <c r="BG1730">
        <v>-3.6579999999999999</v>
      </c>
    </row>
    <row r="1731" spans="1:59">
      <c r="A1731">
        <v>0</v>
      </c>
      <c r="B1731">
        <v>3</v>
      </c>
      <c r="C1731">
        <v>4</v>
      </c>
      <c r="D1731" t="s">
        <v>25022</v>
      </c>
      <c r="E1731">
        <v>3549</v>
      </c>
      <c r="F1731" t="s">
        <v>20802</v>
      </c>
      <c r="G1731" t="s">
        <v>62</v>
      </c>
      <c r="H1731">
        <v>3514118</v>
      </c>
      <c r="I1731">
        <v>3515083</v>
      </c>
      <c r="J1731" t="s">
        <v>20803</v>
      </c>
      <c r="K1731">
        <v>322</v>
      </c>
      <c r="L1731" t="s">
        <v>108</v>
      </c>
      <c r="M1731">
        <v>44</v>
      </c>
      <c r="N1731" t="str">
        <f>HYPERLINK("Gene3549-zp_tree_all.dnd", "Gene3549-tree")</f>
        <v>Gene3549-tree</v>
      </c>
      <c r="O1731">
        <v>5</v>
      </c>
      <c r="P1731">
        <v>9</v>
      </c>
      <c r="Q1731">
        <v>5</v>
      </c>
      <c r="R1731">
        <v>9</v>
      </c>
      <c r="S1731">
        <v>0.64285999999999999</v>
      </c>
      <c r="T1731" t="s">
        <v>199</v>
      </c>
      <c r="U1731" t="s">
        <v>135</v>
      </c>
      <c r="V1731" t="s">
        <v>62</v>
      </c>
      <c r="W1731" t="s">
        <v>62</v>
      </c>
      <c r="X1731">
        <v>3</v>
      </c>
      <c r="Y1731">
        <v>7</v>
      </c>
      <c r="Z1731">
        <v>21</v>
      </c>
      <c r="AA1731">
        <v>0.25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</v>
      </c>
      <c r="AH1731">
        <v>2</v>
      </c>
      <c r="AI1731">
        <v>5</v>
      </c>
      <c r="AJ1731">
        <v>10</v>
      </c>
      <c r="AK1731">
        <v>0.33333000000000002</v>
      </c>
      <c r="AL1731">
        <v>13</v>
      </c>
      <c r="AM1731">
        <v>10</v>
      </c>
      <c r="AN1731">
        <v>34</v>
      </c>
      <c r="AO1731">
        <v>15</v>
      </c>
      <c r="AP1731">
        <v>42</v>
      </c>
      <c r="AQ1731">
        <v>14</v>
      </c>
      <c r="AR1731" t="s">
        <v>20804</v>
      </c>
      <c r="AS1731" t="s">
        <v>20805</v>
      </c>
      <c r="AT1731">
        <v>0.318</v>
      </c>
      <c r="AU1731" t="s">
        <v>65</v>
      </c>
      <c r="AV1731">
        <v>76</v>
      </c>
      <c r="AW1731">
        <v>29</v>
      </c>
      <c r="AX1731" t="s">
        <v>20806</v>
      </c>
      <c r="AY1731">
        <v>7.7649999999999997E-2</v>
      </c>
      <c r="AZ1731">
        <v>-3.5599999999999998E-3</v>
      </c>
      <c r="BA1731">
        <v>9.3299999999999998E-3</v>
      </c>
      <c r="BB1731">
        <v>-4.8000000000000001E-4</v>
      </c>
      <c r="BC1731">
        <v>0.12015000000000001</v>
      </c>
      <c r="BD1731">
        <v>1</v>
      </c>
      <c r="BE1731" t="s">
        <v>69</v>
      </c>
      <c r="BF1731">
        <v>-0.21</v>
      </c>
      <c r="BG1731">
        <v>-0.73399999999999999</v>
      </c>
    </row>
    <row r="1732" spans="1:59">
      <c r="A1732">
        <v>0</v>
      </c>
      <c r="B1732">
        <v>6</v>
      </c>
      <c r="C1732">
        <v>0</v>
      </c>
      <c r="D1732" t="s">
        <v>25022</v>
      </c>
      <c r="E1732">
        <v>2497</v>
      </c>
      <c r="F1732" t="s">
        <v>14559</v>
      </c>
      <c r="G1732" t="s">
        <v>62</v>
      </c>
      <c r="H1732">
        <v>2489538</v>
      </c>
      <c r="I1732">
        <v>2490503</v>
      </c>
      <c r="J1732" t="s">
        <v>116</v>
      </c>
      <c r="K1732">
        <v>322</v>
      </c>
      <c r="L1732" t="s">
        <v>108</v>
      </c>
      <c r="M1732">
        <v>44</v>
      </c>
      <c r="N1732" t="str">
        <f>HYPERLINK("Gene2497-zp_tree_all.dnd", "Gene2497-tree")</f>
        <v>Gene2497-tree</v>
      </c>
      <c r="O1732">
        <v>11</v>
      </c>
      <c r="P1732">
        <v>4</v>
      </c>
      <c r="Q1732">
        <v>11</v>
      </c>
      <c r="R1732">
        <v>4</v>
      </c>
      <c r="S1732">
        <v>0.26667000000000002</v>
      </c>
      <c r="T1732" t="s">
        <v>73</v>
      </c>
      <c r="U1732" t="s">
        <v>61</v>
      </c>
      <c r="V1732" t="s">
        <v>62</v>
      </c>
      <c r="W1732" t="s">
        <v>62</v>
      </c>
      <c r="X1732">
        <v>3</v>
      </c>
      <c r="Y1732">
        <v>6</v>
      </c>
      <c r="Z1732">
        <v>4</v>
      </c>
      <c r="AA1732">
        <v>0.6</v>
      </c>
      <c r="AB1732">
        <v>0</v>
      </c>
      <c r="AC1732">
        <v>0</v>
      </c>
      <c r="AD1732">
        <v>0</v>
      </c>
      <c r="AE1732">
        <v>2</v>
      </c>
      <c r="AF1732">
        <v>0</v>
      </c>
      <c r="AG1732">
        <v>0</v>
      </c>
      <c r="AH1732">
        <v>0</v>
      </c>
      <c r="AI1732">
        <v>0</v>
      </c>
      <c r="AJ1732">
        <v>6</v>
      </c>
      <c r="AK1732">
        <v>0</v>
      </c>
      <c r="AL1732">
        <v>12</v>
      </c>
      <c r="AM1732">
        <v>9</v>
      </c>
      <c r="AN1732">
        <v>26</v>
      </c>
      <c r="AO1732">
        <v>6</v>
      </c>
      <c r="AP1732">
        <v>22</v>
      </c>
      <c r="AQ1732">
        <v>4</v>
      </c>
      <c r="AR1732" t="s">
        <v>14560</v>
      </c>
      <c r="AS1732" t="s">
        <v>14561</v>
      </c>
      <c r="AT1732">
        <v>0.17</v>
      </c>
      <c r="AU1732" t="s">
        <v>65</v>
      </c>
      <c r="AV1732">
        <v>48</v>
      </c>
      <c r="AW1732">
        <v>10</v>
      </c>
      <c r="AX1732" t="s">
        <v>14562</v>
      </c>
      <c r="AY1732">
        <v>5.5289999999999999E-2</v>
      </c>
      <c r="AZ1732">
        <v>-2.9299999999999999E-3</v>
      </c>
      <c r="BA1732">
        <v>2.82E-3</v>
      </c>
      <c r="BB1732">
        <v>-1.8000000000000001E-4</v>
      </c>
      <c r="BC1732">
        <v>5.0950000000000002E-2</v>
      </c>
      <c r="BD1732">
        <v>1</v>
      </c>
      <c r="BE1732" t="s">
        <v>69</v>
      </c>
      <c r="BF1732">
        <v>0.67100000000000004</v>
      </c>
      <c r="BG1732">
        <v>-7.0000000000000007E-2</v>
      </c>
    </row>
    <row r="1733" spans="1:59">
      <c r="A1733">
        <v>0</v>
      </c>
      <c r="B1733">
        <v>2</v>
      </c>
      <c r="C1733">
        <v>2</v>
      </c>
      <c r="D1733" t="s">
        <v>25022</v>
      </c>
      <c r="E1733">
        <v>233</v>
      </c>
      <c r="F1733" t="s">
        <v>1578</v>
      </c>
      <c r="G1733" t="s">
        <v>57</v>
      </c>
      <c r="H1733">
        <v>252514</v>
      </c>
      <c r="I1733">
        <v>253479</v>
      </c>
      <c r="J1733" t="s">
        <v>1579</v>
      </c>
      <c r="K1733">
        <v>322</v>
      </c>
      <c r="L1733" t="s">
        <v>698</v>
      </c>
      <c r="M1733">
        <v>47</v>
      </c>
      <c r="N1733" t="str">
        <f>HYPERLINK("Gene233-zp_tree_all.dnd", "Gene233-tree")</f>
        <v>Gene233-tree</v>
      </c>
      <c r="O1733">
        <v>12</v>
      </c>
      <c r="P1733">
        <v>4</v>
      </c>
      <c r="Q1733">
        <v>12</v>
      </c>
      <c r="R1733">
        <v>4</v>
      </c>
      <c r="S1733">
        <v>0.25</v>
      </c>
      <c r="T1733" t="s">
        <v>109</v>
      </c>
      <c r="U1733" t="s">
        <v>61</v>
      </c>
      <c r="V1733" t="s">
        <v>62</v>
      </c>
      <c r="W1733" t="s">
        <v>62</v>
      </c>
      <c r="X1733">
        <v>2</v>
      </c>
      <c r="Y1733">
        <v>4</v>
      </c>
      <c r="Z1733">
        <v>8</v>
      </c>
      <c r="AA1733">
        <v>0.33333000000000002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2</v>
      </c>
      <c r="AH1733">
        <v>0</v>
      </c>
      <c r="AI1733">
        <v>2</v>
      </c>
      <c r="AJ1733">
        <v>4</v>
      </c>
      <c r="AK1733">
        <v>0.33333000000000002</v>
      </c>
      <c r="AL1733">
        <v>13</v>
      </c>
      <c r="AM1733">
        <v>12</v>
      </c>
      <c r="AN1733">
        <v>27</v>
      </c>
      <c r="AO1733">
        <v>6</v>
      </c>
      <c r="AP1733">
        <v>43</v>
      </c>
      <c r="AQ1733">
        <v>7</v>
      </c>
      <c r="AR1733" t="s">
        <v>1580</v>
      </c>
      <c r="AS1733" t="s">
        <v>1581</v>
      </c>
      <c r="AT1733">
        <v>0.114</v>
      </c>
      <c r="AU1733" t="s">
        <v>65</v>
      </c>
      <c r="AV1733">
        <v>70</v>
      </c>
      <c r="AW1733">
        <v>13</v>
      </c>
      <c r="AX1733" t="s">
        <v>1582</v>
      </c>
      <c r="AY1733">
        <v>8.2159999999999997E-2</v>
      </c>
      <c r="AZ1733">
        <v>-6.6800000000000002E-3</v>
      </c>
      <c r="BA1733">
        <v>3.8300000000000001E-3</v>
      </c>
      <c r="BB1733">
        <v>-3.2000000000000003E-4</v>
      </c>
      <c r="BC1733">
        <v>4.6649999999999997E-2</v>
      </c>
      <c r="BD1733">
        <v>1</v>
      </c>
      <c r="BE1733" t="s">
        <v>69</v>
      </c>
      <c r="BF1733">
        <v>-0.98799999999999999</v>
      </c>
      <c r="BG1733">
        <v>0.13900000000000001</v>
      </c>
    </row>
    <row r="1734" spans="1:59">
      <c r="A1734">
        <v>0</v>
      </c>
      <c r="B1734">
        <v>0</v>
      </c>
      <c r="C1734">
        <v>0</v>
      </c>
      <c r="D1734" t="s">
        <v>25022</v>
      </c>
      <c r="E1734">
        <v>765</v>
      </c>
      <c r="F1734" t="s">
        <v>4751</v>
      </c>
      <c r="G1734" t="s">
        <v>57</v>
      </c>
      <c r="H1734">
        <v>799240</v>
      </c>
      <c r="I1734">
        <v>800205</v>
      </c>
      <c r="J1734" t="s">
        <v>4752</v>
      </c>
      <c r="K1734">
        <v>322</v>
      </c>
      <c r="L1734" t="s">
        <v>108</v>
      </c>
      <c r="M1734">
        <v>44</v>
      </c>
      <c r="N1734" t="str">
        <f>HYPERLINK("Gene765-zp_tree_all.dnd", "Gene765-tree")</f>
        <v>Gene765-tree</v>
      </c>
      <c r="O1734">
        <v>10</v>
      </c>
      <c r="P1734">
        <v>5</v>
      </c>
      <c r="Q1734">
        <v>10</v>
      </c>
      <c r="R1734">
        <v>5</v>
      </c>
      <c r="S1734">
        <v>0.33333000000000002</v>
      </c>
      <c r="T1734" t="s">
        <v>117</v>
      </c>
      <c r="U1734" t="s">
        <v>199</v>
      </c>
      <c r="V1734" t="s">
        <v>62</v>
      </c>
      <c r="W1734" t="s">
        <v>62</v>
      </c>
      <c r="X1734">
        <v>0</v>
      </c>
      <c r="Y1734">
        <v>0</v>
      </c>
      <c r="Z1734">
        <v>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5</v>
      </c>
      <c r="AK1734">
        <v>0</v>
      </c>
      <c r="AL1734">
        <v>12</v>
      </c>
      <c r="AM1734">
        <v>12</v>
      </c>
      <c r="AN1734">
        <v>26</v>
      </c>
      <c r="AO1734">
        <v>5</v>
      </c>
      <c r="AP1734">
        <v>21</v>
      </c>
      <c r="AQ1734">
        <v>1</v>
      </c>
      <c r="AR1734" t="s">
        <v>4753</v>
      </c>
      <c r="AS1734" t="s">
        <v>4754</v>
      </c>
      <c r="AT1734">
        <v>0.65400000000000003</v>
      </c>
      <c r="AU1734" t="s">
        <v>65</v>
      </c>
      <c r="AV1734">
        <v>47</v>
      </c>
      <c r="AW1734">
        <v>6</v>
      </c>
      <c r="AX1734" t="s">
        <v>4755</v>
      </c>
      <c r="AY1734">
        <v>4.215E-2</v>
      </c>
      <c r="AZ1734">
        <v>-1.6000000000000001E-3</v>
      </c>
      <c r="BA1734">
        <v>1.3600000000000001E-3</v>
      </c>
      <c r="BB1734">
        <v>-1.2E-4</v>
      </c>
      <c r="BC1734">
        <v>3.2190000000000003E-2</v>
      </c>
      <c r="BD1734">
        <v>1</v>
      </c>
      <c r="BE1734" t="s">
        <v>69</v>
      </c>
      <c r="BF1734">
        <v>-0.92100000000000004</v>
      </c>
      <c r="BG1734">
        <v>-0.98899999999999999</v>
      </c>
    </row>
    <row r="1735" spans="1:59">
      <c r="A1735">
        <v>0</v>
      </c>
      <c r="B1735">
        <v>0</v>
      </c>
      <c r="C1735">
        <v>0</v>
      </c>
      <c r="D1735" t="s">
        <v>25022</v>
      </c>
      <c r="E1735">
        <v>1805</v>
      </c>
      <c r="F1735" t="s">
        <v>11307</v>
      </c>
      <c r="G1735" t="s">
        <v>57</v>
      </c>
      <c r="H1735">
        <v>1874203</v>
      </c>
      <c r="I1735">
        <v>1875168</v>
      </c>
      <c r="J1735" t="s">
        <v>11308</v>
      </c>
      <c r="K1735">
        <v>322</v>
      </c>
      <c r="L1735" t="s">
        <v>11309</v>
      </c>
      <c r="M1735">
        <v>46</v>
      </c>
      <c r="N1735" t="str">
        <f>HYPERLINK("Gene1805-zp_tree_all.dnd", "Gene1805-tree")</f>
        <v>Gene1805-tree</v>
      </c>
      <c r="O1735">
        <v>16</v>
      </c>
      <c r="P1735">
        <v>1</v>
      </c>
      <c r="Q1735">
        <v>16</v>
      </c>
      <c r="R1735">
        <v>1</v>
      </c>
      <c r="S1735">
        <v>5.8819999999999997E-2</v>
      </c>
      <c r="T1735" t="s">
        <v>60</v>
      </c>
      <c r="U1735" t="s">
        <v>175</v>
      </c>
      <c r="V1735" t="s">
        <v>62</v>
      </c>
      <c r="W1735" t="s">
        <v>62</v>
      </c>
      <c r="X1735">
        <v>0</v>
      </c>
      <c r="Y1735">
        <v>0</v>
      </c>
      <c r="Z1735">
        <v>3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12</v>
      </c>
      <c r="AM1735">
        <v>11</v>
      </c>
      <c r="AN1735">
        <v>37</v>
      </c>
      <c r="AO1735">
        <v>1</v>
      </c>
      <c r="AP1735">
        <v>54</v>
      </c>
      <c r="AQ1735">
        <v>2</v>
      </c>
      <c r="AR1735" t="s">
        <v>11310</v>
      </c>
      <c r="AS1735" t="s">
        <v>11311</v>
      </c>
      <c r="AT1735">
        <v>4.9000000000000002E-2</v>
      </c>
      <c r="AU1735" t="s">
        <v>65</v>
      </c>
      <c r="AV1735">
        <v>91</v>
      </c>
      <c r="AW1735">
        <v>3</v>
      </c>
      <c r="AX1735" t="s">
        <v>11312</v>
      </c>
      <c r="AY1735">
        <v>0.1041</v>
      </c>
      <c r="AZ1735">
        <v>-9.6600000000000002E-3</v>
      </c>
      <c r="BA1735">
        <v>9.7000000000000005E-4</v>
      </c>
      <c r="BB1735">
        <v>-1.2E-4</v>
      </c>
      <c r="BC1735">
        <v>9.3100000000000006E-3</v>
      </c>
      <c r="BD1735">
        <v>1</v>
      </c>
      <c r="BE1735" t="s">
        <v>69</v>
      </c>
      <c r="BF1735">
        <v>-1.76</v>
      </c>
      <c r="BG1735">
        <v>-0.88700000000000001</v>
      </c>
    </row>
    <row r="1736" spans="1:59">
      <c r="A1736">
        <v>0</v>
      </c>
      <c r="B1736">
        <v>12</v>
      </c>
      <c r="C1736">
        <v>1</v>
      </c>
      <c r="D1736" t="s">
        <v>25022</v>
      </c>
      <c r="E1736">
        <v>2574</v>
      </c>
      <c r="F1736" t="s">
        <v>15061</v>
      </c>
      <c r="G1736" t="s">
        <v>62</v>
      </c>
      <c r="H1736">
        <v>2557986</v>
      </c>
      <c r="I1736">
        <v>2558954</v>
      </c>
      <c r="J1736" t="s">
        <v>15062</v>
      </c>
      <c r="K1736">
        <v>323</v>
      </c>
      <c r="L1736" t="s">
        <v>108</v>
      </c>
      <c r="M1736">
        <v>44</v>
      </c>
      <c r="N1736" t="str">
        <f>HYPERLINK("Gene2574-zp_tree_all.dnd", "Gene2574-tree")</f>
        <v>Gene2574-tree</v>
      </c>
      <c r="O1736">
        <v>5</v>
      </c>
      <c r="P1736">
        <v>9</v>
      </c>
      <c r="Q1736">
        <v>5</v>
      </c>
      <c r="R1736">
        <v>9</v>
      </c>
      <c r="S1736">
        <v>0.64285999999999999</v>
      </c>
      <c r="T1736" t="s">
        <v>199</v>
      </c>
      <c r="U1736" t="s">
        <v>135</v>
      </c>
      <c r="V1736" t="s">
        <v>62</v>
      </c>
      <c r="W1736" t="s">
        <v>62</v>
      </c>
      <c r="X1736">
        <v>6</v>
      </c>
      <c r="Y1736">
        <v>13</v>
      </c>
      <c r="Z1736">
        <v>12</v>
      </c>
      <c r="AA1736">
        <v>0.52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4</v>
      </c>
      <c r="AH1736">
        <v>2</v>
      </c>
      <c r="AI1736">
        <v>6</v>
      </c>
      <c r="AJ1736">
        <v>12</v>
      </c>
      <c r="AK1736">
        <v>0.33333000000000002</v>
      </c>
      <c r="AL1736">
        <v>11</v>
      </c>
      <c r="AM1736">
        <v>10</v>
      </c>
      <c r="AN1736">
        <v>11</v>
      </c>
      <c r="AO1736">
        <v>13</v>
      </c>
      <c r="AP1736">
        <v>15</v>
      </c>
      <c r="AQ1736">
        <v>13</v>
      </c>
      <c r="AR1736" t="s">
        <v>15063</v>
      </c>
      <c r="AS1736" t="s">
        <v>15064</v>
      </c>
      <c r="AT1736">
        <v>0.27900000000000003</v>
      </c>
      <c r="AU1736" t="s">
        <v>65</v>
      </c>
      <c r="AV1736">
        <v>26</v>
      </c>
      <c r="AW1736">
        <v>26</v>
      </c>
      <c r="AX1736" t="s">
        <v>15065</v>
      </c>
      <c r="AY1736">
        <v>2.8150000000000001E-2</v>
      </c>
      <c r="AZ1736">
        <v>-1.9E-3</v>
      </c>
      <c r="BA1736">
        <v>7.4200000000000004E-3</v>
      </c>
      <c r="BB1736">
        <v>-5.1000000000000004E-4</v>
      </c>
      <c r="BC1736">
        <v>0.26340999999999998</v>
      </c>
      <c r="BD1736">
        <v>1</v>
      </c>
      <c r="BE1736" t="s">
        <v>69</v>
      </c>
      <c r="BF1736">
        <v>-0.44500000000000001</v>
      </c>
      <c r="BG1736">
        <v>-0.40699999999999997</v>
      </c>
    </row>
    <row r="1737" spans="1:59">
      <c r="A1737">
        <v>0</v>
      </c>
      <c r="B1737">
        <v>0</v>
      </c>
      <c r="C1737">
        <v>0</v>
      </c>
      <c r="D1737" t="s">
        <v>25022</v>
      </c>
      <c r="E1737">
        <v>653</v>
      </c>
      <c r="F1737" t="s">
        <v>4056</v>
      </c>
      <c r="G1737" t="s">
        <v>57</v>
      </c>
      <c r="H1737">
        <v>673814</v>
      </c>
      <c r="I1737">
        <v>674782</v>
      </c>
      <c r="J1737" t="s">
        <v>4057</v>
      </c>
      <c r="K1737">
        <v>323</v>
      </c>
      <c r="L1737" t="s">
        <v>4058</v>
      </c>
      <c r="M1737">
        <v>41</v>
      </c>
      <c r="N1737" t="str">
        <f>HYPERLINK("Gene653-zp_tree_all.dnd", "Gene653-tree")</f>
        <v>Gene653-tree</v>
      </c>
      <c r="O1737">
        <v>3</v>
      </c>
      <c r="P1737">
        <v>23</v>
      </c>
      <c r="Q1737">
        <v>3</v>
      </c>
      <c r="R1737">
        <v>6</v>
      </c>
      <c r="S1737">
        <v>0.66666999999999998</v>
      </c>
      <c r="T1737" t="s">
        <v>324</v>
      </c>
      <c r="U1737" t="s">
        <v>3589</v>
      </c>
      <c r="V1737">
        <v>2.27</v>
      </c>
      <c r="W1737" t="s">
        <v>65</v>
      </c>
      <c r="X1737">
        <v>0</v>
      </c>
      <c r="Y1737">
        <v>0</v>
      </c>
      <c r="Z1737">
        <v>14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12</v>
      </c>
      <c r="AK1737">
        <v>0</v>
      </c>
      <c r="AL1737">
        <v>8</v>
      </c>
      <c r="AM1737">
        <v>4</v>
      </c>
      <c r="AN1737">
        <v>11</v>
      </c>
      <c r="AO1737">
        <v>13</v>
      </c>
      <c r="AP1737">
        <v>6</v>
      </c>
      <c r="AQ1737">
        <v>2</v>
      </c>
      <c r="AR1737" t="s">
        <v>4059</v>
      </c>
      <c r="AS1737" t="s">
        <v>4060</v>
      </c>
      <c r="AT1737">
        <v>1.7829999999999999</v>
      </c>
      <c r="AU1737" t="s">
        <v>65</v>
      </c>
      <c r="AV1737">
        <v>17</v>
      </c>
      <c r="AW1737">
        <v>15</v>
      </c>
      <c r="AX1737" t="s">
        <v>4061</v>
      </c>
      <c r="AY1737">
        <v>2.5170000000000001E-2</v>
      </c>
      <c r="AZ1737">
        <v>-1.82E-3</v>
      </c>
      <c r="BA1737">
        <v>4.7699999999999999E-3</v>
      </c>
      <c r="BB1737">
        <v>-4.6000000000000001E-4</v>
      </c>
      <c r="BC1737">
        <v>0.18937000000000001</v>
      </c>
      <c r="BD1737">
        <v>1</v>
      </c>
      <c r="BE1737" t="s">
        <v>69</v>
      </c>
      <c r="BF1737">
        <v>-1.117</v>
      </c>
      <c r="BG1737">
        <v>-0.95099999999999996</v>
      </c>
    </row>
    <row r="1738" spans="1:59">
      <c r="A1738">
        <v>0</v>
      </c>
      <c r="B1738">
        <v>0</v>
      </c>
      <c r="C1738">
        <v>0</v>
      </c>
      <c r="D1738" t="s">
        <v>25022</v>
      </c>
      <c r="E1738">
        <v>1068</v>
      </c>
      <c r="F1738" t="s">
        <v>6705</v>
      </c>
      <c r="G1738" t="s">
        <v>57</v>
      </c>
      <c r="H1738">
        <v>1107733</v>
      </c>
      <c r="I1738">
        <v>1108701</v>
      </c>
      <c r="J1738" t="s">
        <v>6706</v>
      </c>
      <c r="K1738">
        <v>323</v>
      </c>
      <c r="L1738" t="s">
        <v>108</v>
      </c>
      <c r="M1738">
        <v>44</v>
      </c>
      <c r="N1738" t="str">
        <f>HYPERLINK("Gene1068-zp_tree_all.dnd", "Gene1068-tree")</f>
        <v>Gene1068-tree</v>
      </c>
      <c r="O1738">
        <v>9</v>
      </c>
      <c r="P1738">
        <v>7</v>
      </c>
      <c r="Q1738">
        <v>9</v>
      </c>
      <c r="R1738">
        <v>7</v>
      </c>
      <c r="S1738">
        <v>0.4375</v>
      </c>
      <c r="T1738" t="s">
        <v>135</v>
      </c>
      <c r="U1738" t="s">
        <v>152</v>
      </c>
      <c r="V1738" t="s">
        <v>62</v>
      </c>
      <c r="W1738" t="s">
        <v>62</v>
      </c>
      <c r="X1738">
        <v>0</v>
      </c>
      <c r="Y1738">
        <v>0</v>
      </c>
      <c r="Z1738">
        <v>13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10</v>
      </c>
      <c r="AK1738">
        <v>0</v>
      </c>
      <c r="AL1738">
        <v>13</v>
      </c>
      <c r="AM1738">
        <v>11</v>
      </c>
      <c r="AN1738">
        <v>29</v>
      </c>
      <c r="AO1738">
        <v>9</v>
      </c>
      <c r="AP1738">
        <v>15</v>
      </c>
      <c r="AQ1738">
        <v>4</v>
      </c>
      <c r="AR1738" t="s">
        <v>6707</v>
      </c>
      <c r="AS1738" t="s">
        <v>6708</v>
      </c>
      <c r="AT1738">
        <v>0.16400000000000001</v>
      </c>
      <c r="AU1738" t="s">
        <v>65</v>
      </c>
      <c r="AV1738">
        <v>44</v>
      </c>
      <c r="AW1738">
        <v>13</v>
      </c>
      <c r="AX1738" t="s">
        <v>6709</v>
      </c>
      <c r="AY1738">
        <v>3.8440000000000002E-2</v>
      </c>
      <c r="AZ1738">
        <v>-1.5299999999999999E-3</v>
      </c>
      <c r="BA1738">
        <v>3.0200000000000001E-3</v>
      </c>
      <c r="BB1738">
        <v>-2.2000000000000001E-4</v>
      </c>
      <c r="BC1738">
        <v>7.8539999999999999E-2</v>
      </c>
      <c r="BD1738">
        <v>1</v>
      </c>
      <c r="BE1738" t="s">
        <v>69</v>
      </c>
      <c r="BF1738">
        <v>-0.59</v>
      </c>
      <c r="BG1738">
        <v>-1.296</v>
      </c>
    </row>
    <row r="1739" spans="1:59">
      <c r="A1739">
        <v>0</v>
      </c>
      <c r="B1739">
        <v>7</v>
      </c>
      <c r="C1739">
        <v>0</v>
      </c>
      <c r="D1739" t="s">
        <v>25022</v>
      </c>
      <c r="E1739">
        <v>2998</v>
      </c>
      <c r="F1739" t="s">
        <v>17312</v>
      </c>
      <c r="G1739" t="s">
        <v>62</v>
      </c>
      <c r="H1739">
        <v>2949056</v>
      </c>
      <c r="I1739">
        <v>2950024</v>
      </c>
      <c r="J1739" t="s">
        <v>17313</v>
      </c>
      <c r="K1739">
        <v>323</v>
      </c>
      <c r="L1739" t="s">
        <v>1196</v>
      </c>
      <c r="M1739">
        <v>39</v>
      </c>
      <c r="N1739" t="str">
        <f>HYPERLINK("Gene2998-zp_tree_all.dnd", "Gene2998-tree")</f>
        <v>Gene2998-tree</v>
      </c>
      <c r="O1739">
        <v>8</v>
      </c>
      <c r="P1739">
        <v>5</v>
      </c>
      <c r="Q1739">
        <v>8</v>
      </c>
      <c r="R1739">
        <v>5</v>
      </c>
      <c r="S1739">
        <v>0.38462000000000002</v>
      </c>
      <c r="T1739" t="s">
        <v>136</v>
      </c>
      <c r="U1739" t="s">
        <v>199</v>
      </c>
      <c r="V1739" t="s">
        <v>62</v>
      </c>
      <c r="W1739" t="s">
        <v>62</v>
      </c>
      <c r="X1739">
        <v>3</v>
      </c>
      <c r="Y1739">
        <v>7</v>
      </c>
      <c r="Z1739">
        <v>10</v>
      </c>
      <c r="AA1739">
        <v>0.41176000000000001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5</v>
      </c>
      <c r="AH1739">
        <v>2</v>
      </c>
      <c r="AI1739">
        <v>7</v>
      </c>
      <c r="AJ1739">
        <v>8</v>
      </c>
      <c r="AK1739">
        <v>0.46666999999999997</v>
      </c>
      <c r="AL1739">
        <v>13</v>
      </c>
      <c r="AM1739">
        <v>10</v>
      </c>
      <c r="AN1739">
        <v>61</v>
      </c>
      <c r="AO1739">
        <v>16</v>
      </c>
      <c r="AP1739">
        <v>32</v>
      </c>
      <c r="AQ1739">
        <v>2</v>
      </c>
      <c r="AR1739" t="s">
        <v>17314</v>
      </c>
      <c r="AS1739" t="s">
        <v>17315</v>
      </c>
      <c r="AT1739">
        <v>0.46500000000000002</v>
      </c>
      <c r="AU1739" t="s">
        <v>65</v>
      </c>
      <c r="AV1739">
        <v>93</v>
      </c>
      <c r="AW1739">
        <v>18</v>
      </c>
      <c r="AX1739" t="s">
        <v>17316</v>
      </c>
      <c r="AY1739">
        <v>8.3729999999999999E-2</v>
      </c>
      <c r="AZ1739">
        <v>-5.62E-3</v>
      </c>
      <c r="BA1739">
        <v>4.4099999999999999E-3</v>
      </c>
      <c r="BB1739">
        <v>-3.8999999999999999E-4</v>
      </c>
      <c r="BC1739">
        <v>5.2650000000000002E-2</v>
      </c>
      <c r="BD1739">
        <v>1</v>
      </c>
      <c r="BE1739" t="s">
        <v>69</v>
      </c>
      <c r="BF1739">
        <v>-0.86</v>
      </c>
      <c r="BG1739">
        <v>-1.514</v>
      </c>
    </row>
    <row r="1740" spans="1:59">
      <c r="A1740">
        <v>0</v>
      </c>
      <c r="B1740">
        <v>2</v>
      </c>
      <c r="C1740">
        <v>2</v>
      </c>
      <c r="D1740" t="s">
        <v>25022</v>
      </c>
      <c r="E1740">
        <v>1339</v>
      </c>
      <c r="F1740" t="s">
        <v>8380</v>
      </c>
      <c r="G1740" t="s">
        <v>57</v>
      </c>
      <c r="H1740">
        <v>1356447</v>
      </c>
      <c r="I1740">
        <v>1357415</v>
      </c>
      <c r="J1740" t="s">
        <v>3798</v>
      </c>
      <c r="K1740">
        <v>323</v>
      </c>
      <c r="L1740" t="s">
        <v>6329</v>
      </c>
      <c r="M1740">
        <v>47</v>
      </c>
      <c r="N1740" t="str">
        <f>HYPERLINK("Gene1339-zp_tree_all.dnd", "Gene1339-tree")</f>
        <v>Gene1339-tree</v>
      </c>
      <c r="O1740">
        <v>7</v>
      </c>
      <c r="P1740">
        <v>9</v>
      </c>
      <c r="Q1740">
        <v>7</v>
      </c>
      <c r="R1740">
        <v>9</v>
      </c>
      <c r="S1740">
        <v>0.5625</v>
      </c>
      <c r="T1740" t="s">
        <v>152</v>
      </c>
      <c r="U1740" t="s">
        <v>135</v>
      </c>
      <c r="V1740" t="s">
        <v>62</v>
      </c>
      <c r="W1740" t="s">
        <v>62</v>
      </c>
      <c r="X1740">
        <v>2</v>
      </c>
      <c r="Y1740">
        <v>4</v>
      </c>
      <c r="Z1740">
        <v>14</v>
      </c>
      <c r="AA1740">
        <v>0.22222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0</v>
      </c>
      <c r="AI1740">
        <v>2</v>
      </c>
      <c r="AJ1740">
        <v>11</v>
      </c>
      <c r="AK1740">
        <v>0.15384999999999999</v>
      </c>
      <c r="AL1740">
        <v>14</v>
      </c>
      <c r="AM1740">
        <v>10</v>
      </c>
      <c r="AN1740">
        <v>39</v>
      </c>
      <c r="AO1740">
        <v>13</v>
      </c>
      <c r="AP1740">
        <v>56</v>
      </c>
      <c r="AQ1740">
        <v>5</v>
      </c>
      <c r="AR1740" t="s">
        <v>8381</v>
      </c>
      <c r="AS1740" t="s">
        <v>8382</v>
      </c>
      <c r="AT1740">
        <v>1.1779999999999999</v>
      </c>
      <c r="AU1740" t="s">
        <v>65</v>
      </c>
      <c r="AV1740">
        <v>95</v>
      </c>
      <c r="AW1740">
        <v>18</v>
      </c>
      <c r="AX1740" t="s">
        <v>8383</v>
      </c>
      <c r="AY1740">
        <v>0.1055</v>
      </c>
      <c r="AZ1740">
        <v>-7.8399999999999997E-3</v>
      </c>
      <c r="BA1740">
        <v>4.2500000000000003E-3</v>
      </c>
      <c r="BB1740">
        <v>-2.7999999999999998E-4</v>
      </c>
      <c r="BC1740">
        <v>4.0320000000000002E-2</v>
      </c>
      <c r="BD1740">
        <v>1</v>
      </c>
      <c r="BE1740" t="s">
        <v>69</v>
      </c>
      <c r="BF1740">
        <v>-1.038</v>
      </c>
      <c r="BG1740">
        <v>-0.46</v>
      </c>
    </row>
    <row r="1741" spans="1:59">
      <c r="A1741">
        <v>0</v>
      </c>
      <c r="B1741">
        <v>0</v>
      </c>
      <c r="C1741">
        <v>2</v>
      </c>
      <c r="D1741" t="s">
        <v>25022</v>
      </c>
      <c r="E1741">
        <v>3902</v>
      </c>
      <c r="F1741" t="s">
        <v>22881</v>
      </c>
      <c r="G1741" t="s">
        <v>62</v>
      </c>
      <c r="H1741">
        <v>3865358</v>
      </c>
      <c r="I1741">
        <v>3866326</v>
      </c>
      <c r="J1741" t="s">
        <v>22882</v>
      </c>
      <c r="K1741">
        <v>323</v>
      </c>
      <c r="L1741" t="s">
        <v>59</v>
      </c>
      <c r="M1741">
        <v>49</v>
      </c>
      <c r="N1741" t="str">
        <f>HYPERLINK("Gene3902-zp_tree_all.dnd", "Gene3902-tree")</f>
        <v>Gene3902-tree</v>
      </c>
      <c r="O1741">
        <v>12</v>
      </c>
      <c r="P1741">
        <v>23</v>
      </c>
      <c r="Q1741">
        <v>12</v>
      </c>
      <c r="R1741">
        <v>6</v>
      </c>
      <c r="S1741">
        <v>0.33333000000000002</v>
      </c>
      <c r="T1741" t="s">
        <v>109</v>
      </c>
      <c r="U1741" t="s">
        <v>3589</v>
      </c>
      <c r="V1741">
        <v>4.2359999999999998</v>
      </c>
      <c r="W1741" t="s">
        <v>65</v>
      </c>
      <c r="X1741">
        <v>1</v>
      </c>
      <c r="Y1741">
        <v>2</v>
      </c>
      <c r="Z1741">
        <v>7</v>
      </c>
      <c r="AA1741">
        <v>0.22222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6</v>
      </c>
      <c r="AK1741">
        <v>0</v>
      </c>
      <c r="AL1741">
        <v>16</v>
      </c>
      <c r="AM1741">
        <v>11</v>
      </c>
      <c r="AN1741">
        <v>47</v>
      </c>
      <c r="AO1741">
        <v>6</v>
      </c>
      <c r="AP1741">
        <v>37</v>
      </c>
      <c r="AQ1741">
        <v>3</v>
      </c>
      <c r="AR1741" t="s">
        <v>22883</v>
      </c>
      <c r="AS1741" t="s">
        <v>22884</v>
      </c>
      <c r="AT1741">
        <v>0.17</v>
      </c>
      <c r="AU1741" t="s">
        <v>65</v>
      </c>
      <c r="AV1741">
        <v>84</v>
      </c>
      <c r="AW1741">
        <v>9</v>
      </c>
      <c r="AX1741" t="s">
        <v>22885</v>
      </c>
      <c r="AY1741">
        <v>6.4259999999999998E-2</v>
      </c>
      <c r="AZ1741">
        <v>-3.3500000000000001E-3</v>
      </c>
      <c r="BA1741">
        <v>1.74E-3</v>
      </c>
      <c r="BB1741">
        <v>-1.8000000000000001E-4</v>
      </c>
      <c r="BC1741">
        <v>2.7130000000000001E-2</v>
      </c>
      <c r="BD1741">
        <v>1</v>
      </c>
      <c r="BE1741" t="s">
        <v>69</v>
      </c>
      <c r="BF1741">
        <v>-0.72899999999999998</v>
      </c>
      <c r="BG1741">
        <v>-0.878</v>
      </c>
    </row>
    <row r="1742" spans="1:59">
      <c r="A1742">
        <v>0</v>
      </c>
      <c r="B1742">
        <v>5</v>
      </c>
      <c r="C1742">
        <v>7</v>
      </c>
      <c r="D1742" t="s">
        <v>25022</v>
      </c>
      <c r="E1742">
        <v>1772</v>
      </c>
      <c r="F1742" t="s">
        <v>11098</v>
      </c>
      <c r="G1742" t="s">
        <v>57</v>
      </c>
      <c r="H1742">
        <v>1785133</v>
      </c>
      <c r="I1742">
        <v>1786104</v>
      </c>
      <c r="J1742" t="s">
        <v>11099</v>
      </c>
      <c r="K1742">
        <v>324</v>
      </c>
      <c r="L1742" t="s">
        <v>8085</v>
      </c>
      <c r="M1742">
        <v>35</v>
      </c>
      <c r="N1742" t="str">
        <f>HYPERLINK("Gene1772-zp_tree_all.dnd", "Gene1772-tree")</f>
        <v>Gene1772-tree</v>
      </c>
      <c r="O1742">
        <v>0</v>
      </c>
      <c r="P1742">
        <v>11</v>
      </c>
      <c r="Q1742">
        <v>0</v>
      </c>
      <c r="R1742">
        <v>11</v>
      </c>
      <c r="S1742">
        <v>1</v>
      </c>
      <c r="T1742" t="s">
        <v>62</v>
      </c>
      <c r="U1742" t="s">
        <v>73</v>
      </c>
      <c r="V1742">
        <v>114461263.029</v>
      </c>
      <c r="W1742" t="s">
        <v>65</v>
      </c>
      <c r="X1742">
        <v>5</v>
      </c>
      <c r="Y1742">
        <v>12</v>
      </c>
      <c r="Z1742">
        <v>24</v>
      </c>
      <c r="AA1742">
        <v>0.33333000000000002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</v>
      </c>
      <c r="AH1742">
        <v>2</v>
      </c>
      <c r="AI1742">
        <v>4</v>
      </c>
      <c r="AJ1742">
        <v>24</v>
      </c>
      <c r="AK1742">
        <v>0.14285999999999999</v>
      </c>
      <c r="AL1742">
        <v>10</v>
      </c>
      <c r="AM1742">
        <v>6</v>
      </c>
      <c r="AN1742">
        <v>17</v>
      </c>
      <c r="AO1742">
        <v>28</v>
      </c>
      <c r="AP1742">
        <v>5</v>
      </c>
      <c r="AQ1742">
        <v>8</v>
      </c>
      <c r="AR1742" t="s">
        <v>11100</v>
      </c>
      <c r="AS1742" t="s">
        <v>11101</v>
      </c>
      <c r="AT1742">
        <v>0.02</v>
      </c>
      <c r="AU1742" t="s">
        <v>65</v>
      </c>
      <c r="AV1742">
        <v>22</v>
      </c>
      <c r="AW1742">
        <v>36</v>
      </c>
      <c r="AX1742" t="s">
        <v>11102</v>
      </c>
      <c r="AY1742">
        <v>2.1930000000000002E-2</v>
      </c>
      <c r="AZ1742">
        <v>-1.8699999999999999E-3</v>
      </c>
      <c r="BA1742">
        <v>1.005E-2</v>
      </c>
      <c r="BB1742">
        <v>-6.4999999999999997E-4</v>
      </c>
      <c r="BC1742">
        <v>0.45812999999999998</v>
      </c>
      <c r="BD1742">
        <v>0.98</v>
      </c>
      <c r="BE1742" t="s">
        <v>69</v>
      </c>
      <c r="BF1742">
        <v>-1.202</v>
      </c>
      <c r="BG1742">
        <v>-1.7090000000000001</v>
      </c>
    </row>
    <row r="1743" spans="1:59">
      <c r="A1743">
        <v>0</v>
      </c>
      <c r="B1743">
        <v>21</v>
      </c>
      <c r="C1743">
        <v>1</v>
      </c>
      <c r="D1743" t="s">
        <v>25022</v>
      </c>
      <c r="E1743">
        <v>318</v>
      </c>
      <c r="F1743" t="s">
        <v>2169</v>
      </c>
      <c r="G1743" t="s">
        <v>57</v>
      </c>
      <c r="H1743">
        <v>341492</v>
      </c>
      <c r="I1743">
        <v>342463</v>
      </c>
      <c r="J1743" t="s">
        <v>2170</v>
      </c>
      <c r="K1743">
        <v>324</v>
      </c>
      <c r="L1743" t="s">
        <v>108</v>
      </c>
      <c r="M1743">
        <v>44</v>
      </c>
      <c r="N1743" t="str">
        <f>HYPERLINK("Gene318-zp_tree_all.dnd", "Gene318-tree")</f>
        <v>Gene318-tree</v>
      </c>
      <c r="O1743">
        <v>3</v>
      </c>
      <c r="P1743">
        <v>12</v>
      </c>
      <c r="Q1743">
        <v>3</v>
      </c>
      <c r="R1743">
        <v>12</v>
      </c>
      <c r="S1743">
        <v>0.8</v>
      </c>
      <c r="T1743" t="s">
        <v>324</v>
      </c>
      <c r="U1743" t="s">
        <v>109</v>
      </c>
      <c r="V1743" t="s">
        <v>62</v>
      </c>
      <c r="W1743" t="s">
        <v>62</v>
      </c>
      <c r="X1743">
        <v>7</v>
      </c>
      <c r="Y1743">
        <v>22</v>
      </c>
      <c r="Z1743">
        <v>21</v>
      </c>
      <c r="AA1743">
        <v>0.51163000000000003</v>
      </c>
      <c r="AB1743">
        <v>0</v>
      </c>
      <c r="AC1743">
        <v>0</v>
      </c>
      <c r="AD1743">
        <v>0</v>
      </c>
      <c r="AE1743">
        <v>5</v>
      </c>
      <c r="AF1743">
        <v>0</v>
      </c>
      <c r="AG1743">
        <v>12</v>
      </c>
      <c r="AH1743">
        <v>3</v>
      </c>
      <c r="AI1743">
        <v>15</v>
      </c>
      <c r="AJ1743">
        <v>13</v>
      </c>
      <c r="AK1743">
        <v>0.53571000000000002</v>
      </c>
      <c r="AL1743">
        <v>14</v>
      </c>
      <c r="AM1743">
        <v>10</v>
      </c>
      <c r="AN1743">
        <v>37</v>
      </c>
      <c r="AO1743">
        <v>28</v>
      </c>
      <c r="AP1743">
        <v>28</v>
      </c>
      <c r="AQ1743">
        <v>16</v>
      </c>
      <c r="AR1743" t="s">
        <v>2171</v>
      </c>
      <c r="AS1743" t="s">
        <v>2172</v>
      </c>
      <c r="AT1743">
        <v>0.51400000000000001</v>
      </c>
      <c r="AU1743" t="s">
        <v>65</v>
      </c>
      <c r="AV1743">
        <v>65</v>
      </c>
      <c r="AW1743">
        <v>44</v>
      </c>
      <c r="AX1743" t="s">
        <v>2173</v>
      </c>
      <c r="AY1743">
        <v>5.074E-2</v>
      </c>
      <c r="AZ1743">
        <v>-1.4300000000000001E-3</v>
      </c>
      <c r="BA1743">
        <v>9.8899999999999995E-3</v>
      </c>
      <c r="BB1743">
        <v>-3.5E-4</v>
      </c>
      <c r="BC1743">
        <v>0.19484000000000001</v>
      </c>
      <c r="BD1743">
        <v>1</v>
      </c>
      <c r="BE1743" t="s">
        <v>69</v>
      </c>
      <c r="BF1743">
        <v>-0.82599999999999996</v>
      </c>
      <c r="BG1743">
        <v>-0.41599999999999998</v>
      </c>
    </row>
    <row r="1744" spans="1:59">
      <c r="A1744">
        <v>0</v>
      </c>
      <c r="B1744">
        <v>15</v>
      </c>
      <c r="C1744">
        <v>0</v>
      </c>
      <c r="D1744" t="s">
        <v>25022</v>
      </c>
      <c r="E1744">
        <v>2391</v>
      </c>
      <c r="F1744" t="s">
        <v>13918</v>
      </c>
      <c r="G1744" t="s">
        <v>62</v>
      </c>
      <c r="H1744">
        <v>2400987</v>
      </c>
      <c r="I1744">
        <v>2401958</v>
      </c>
      <c r="J1744" t="s">
        <v>13919</v>
      </c>
      <c r="K1744">
        <v>324</v>
      </c>
      <c r="L1744" t="s">
        <v>108</v>
      </c>
      <c r="M1744">
        <v>44</v>
      </c>
      <c r="N1744" t="str">
        <f>HYPERLINK("Gene2391-zp_tree_all.dnd", "Gene2391-tree")</f>
        <v>Gene2391-tree</v>
      </c>
      <c r="O1744">
        <v>4</v>
      </c>
      <c r="P1744">
        <v>9</v>
      </c>
      <c r="Q1744">
        <v>4</v>
      </c>
      <c r="R1744">
        <v>9</v>
      </c>
      <c r="S1744">
        <v>0.69230999999999998</v>
      </c>
      <c r="T1744" t="s">
        <v>61</v>
      </c>
      <c r="U1744" t="s">
        <v>135</v>
      </c>
      <c r="V1744" t="s">
        <v>62</v>
      </c>
      <c r="W1744" t="s">
        <v>62</v>
      </c>
      <c r="X1744">
        <v>6</v>
      </c>
      <c r="Y1744">
        <v>15</v>
      </c>
      <c r="Z1744">
        <v>11</v>
      </c>
      <c r="AA1744">
        <v>0.57691999999999999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6</v>
      </c>
      <c r="AH1744">
        <v>0</v>
      </c>
      <c r="AI1744">
        <v>6</v>
      </c>
      <c r="AJ1744">
        <v>10</v>
      </c>
      <c r="AK1744">
        <v>0.375</v>
      </c>
      <c r="AL1744">
        <v>12</v>
      </c>
      <c r="AM1744">
        <v>10</v>
      </c>
      <c r="AN1744">
        <v>40</v>
      </c>
      <c r="AO1744">
        <v>16</v>
      </c>
      <c r="AP1744">
        <v>33</v>
      </c>
      <c r="AQ1744">
        <v>12</v>
      </c>
      <c r="AR1744" t="s">
        <v>13920</v>
      </c>
      <c r="AS1744" t="s">
        <v>13921</v>
      </c>
      <c r="AT1744">
        <v>0.13300000000000001</v>
      </c>
      <c r="AU1744" t="s">
        <v>65</v>
      </c>
      <c r="AV1744">
        <v>73</v>
      </c>
      <c r="AW1744">
        <v>28</v>
      </c>
      <c r="AX1744" t="s">
        <v>13922</v>
      </c>
      <c r="AY1744">
        <v>7.6679999999999998E-2</v>
      </c>
      <c r="AZ1744">
        <v>-3.5000000000000001E-3</v>
      </c>
      <c r="BA1744">
        <v>7.8300000000000002E-3</v>
      </c>
      <c r="BB1744">
        <v>-3.6000000000000002E-4</v>
      </c>
      <c r="BC1744">
        <v>0.1021</v>
      </c>
      <c r="BD1744">
        <v>1</v>
      </c>
      <c r="BE1744" t="s">
        <v>69</v>
      </c>
      <c r="BF1744">
        <v>0.66300000000000003</v>
      </c>
      <c r="BG1744">
        <v>-6.0999999999999999E-2</v>
      </c>
    </row>
    <row r="1745" spans="1:59">
      <c r="A1745">
        <v>0</v>
      </c>
      <c r="B1745">
        <v>2</v>
      </c>
      <c r="C1745">
        <v>0</v>
      </c>
      <c r="D1745" t="s">
        <v>25022</v>
      </c>
      <c r="E1745">
        <v>1395</v>
      </c>
      <c r="F1745" t="s">
        <v>8732</v>
      </c>
      <c r="G1745" t="s">
        <v>57</v>
      </c>
      <c r="H1745">
        <v>1410654</v>
      </c>
      <c r="I1745">
        <v>1411625</v>
      </c>
      <c r="J1745" t="s">
        <v>8733</v>
      </c>
      <c r="K1745">
        <v>324</v>
      </c>
      <c r="L1745" t="s">
        <v>108</v>
      </c>
      <c r="M1745">
        <v>44</v>
      </c>
      <c r="N1745" t="str">
        <f>HYPERLINK("Gene1395-zp_tree_all.dnd", "Gene1395-tree")</f>
        <v>Gene1395-tree</v>
      </c>
      <c r="O1745">
        <v>9</v>
      </c>
      <c r="P1745">
        <v>6</v>
      </c>
      <c r="Q1745">
        <v>9</v>
      </c>
      <c r="R1745">
        <v>6</v>
      </c>
      <c r="S1745">
        <v>0.4</v>
      </c>
      <c r="T1745" t="s">
        <v>135</v>
      </c>
      <c r="U1745" t="s">
        <v>90</v>
      </c>
      <c r="V1745" t="s">
        <v>62</v>
      </c>
      <c r="W1745" t="s">
        <v>62</v>
      </c>
      <c r="X1745">
        <v>1</v>
      </c>
      <c r="Y1745">
        <v>2</v>
      </c>
      <c r="Z1745">
        <v>7</v>
      </c>
      <c r="AA1745">
        <v>0.22222</v>
      </c>
      <c r="AB1745">
        <v>0</v>
      </c>
      <c r="AC1745">
        <v>0</v>
      </c>
      <c r="AD1745">
        <v>0</v>
      </c>
      <c r="AE1745">
        <v>2</v>
      </c>
      <c r="AF1745">
        <v>0</v>
      </c>
      <c r="AG1745">
        <v>0</v>
      </c>
      <c r="AH1745">
        <v>0</v>
      </c>
      <c r="AI1745">
        <v>0</v>
      </c>
      <c r="AJ1745">
        <v>7</v>
      </c>
      <c r="AK1745">
        <v>0</v>
      </c>
      <c r="AL1745">
        <v>9</v>
      </c>
      <c r="AM1745">
        <v>8</v>
      </c>
      <c r="AN1745">
        <v>13</v>
      </c>
      <c r="AO1745">
        <v>6</v>
      </c>
      <c r="AP1745">
        <v>13</v>
      </c>
      <c r="AQ1745">
        <v>3</v>
      </c>
      <c r="AR1745" t="s">
        <v>8734</v>
      </c>
      <c r="AS1745" t="s">
        <v>8735</v>
      </c>
      <c r="AT1745">
        <v>0.76700000000000002</v>
      </c>
      <c r="AU1745" t="s">
        <v>65</v>
      </c>
      <c r="AV1745">
        <v>26</v>
      </c>
      <c r="AW1745">
        <v>9</v>
      </c>
      <c r="AX1745" t="s">
        <v>8736</v>
      </c>
      <c r="AY1745">
        <v>2.332E-2</v>
      </c>
      <c r="AZ1745">
        <v>-1.2600000000000001E-3</v>
      </c>
      <c r="BA1745">
        <v>2.0400000000000001E-3</v>
      </c>
      <c r="BB1745">
        <v>-1.3999999999999999E-4</v>
      </c>
      <c r="BC1745">
        <v>8.763E-2</v>
      </c>
      <c r="BD1745">
        <v>1</v>
      </c>
      <c r="BE1745" t="s">
        <v>69</v>
      </c>
      <c r="BF1745">
        <v>-0.246</v>
      </c>
      <c r="BG1745">
        <v>-1.0189999999999999</v>
      </c>
    </row>
    <row r="1746" spans="1:59">
      <c r="A1746">
        <v>0</v>
      </c>
      <c r="B1746">
        <v>0</v>
      </c>
      <c r="C1746">
        <v>0</v>
      </c>
      <c r="D1746" t="s">
        <v>25022</v>
      </c>
      <c r="E1746">
        <v>2304</v>
      </c>
      <c r="F1746" t="s">
        <v>13353</v>
      </c>
      <c r="G1746" t="s">
        <v>62</v>
      </c>
      <c r="H1746">
        <v>2323604</v>
      </c>
      <c r="I1746">
        <v>2324575</v>
      </c>
      <c r="J1746" t="s">
        <v>13354</v>
      </c>
      <c r="K1746">
        <v>324</v>
      </c>
      <c r="L1746" t="s">
        <v>108</v>
      </c>
      <c r="M1746">
        <v>44</v>
      </c>
      <c r="N1746" t="str">
        <f>HYPERLINK("Gene2304-zp_tree_all.dnd", "Gene2304-tree")</f>
        <v>Gene2304-tree</v>
      </c>
      <c r="O1746">
        <v>9</v>
      </c>
      <c r="P1746">
        <v>4</v>
      </c>
      <c r="Q1746">
        <v>9</v>
      </c>
      <c r="R1746">
        <v>4</v>
      </c>
      <c r="S1746">
        <v>0.30769000000000002</v>
      </c>
      <c r="T1746" t="s">
        <v>135</v>
      </c>
      <c r="U1746" t="s">
        <v>61</v>
      </c>
      <c r="V1746" t="s">
        <v>62</v>
      </c>
      <c r="W1746" t="s">
        <v>62</v>
      </c>
      <c r="X1746">
        <v>0</v>
      </c>
      <c r="Y1746">
        <v>0</v>
      </c>
      <c r="Z1746">
        <v>7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5</v>
      </c>
      <c r="AK1746">
        <v>0</v>
      </c>
      <c r="AL1746">
        <v>10</v>
      </c>
      <c r="AM1746">
        <v>8</v>
      </c>
      <c r="AN1746">
        <v>27</v>
      </c>
      <c r="AO1746">
        <v>5</v>
      </c>
      <c r="AP1746">
        <v>21</v>
      </c>
      <c r="AQ1746">
        <v>2</v>
      </c>
      <c r="AR1746" t="s">
        <v>13355</v>
      </c>
      <c r="AS1746" t="s">
        <v>13356</v>
      </c>
      <c r="AT1746">
        <v>0.49299999999999999</v>
      </c>
      <c r="AU1746" t="s">
        <v>65</v>
      </c>
      <c r="AV1746">
        <v>48</v>
      </c>
      <c r="AW1746">
        <v>7</v>
      </c>
      <c r="AX1746" t="s">
        <v>13357</v>
      </c>
      <c r="AY1746">
        <v>4.7579999999999997E-2</v>
      </c>
      <c r="AZ1746">
        <v>-2.32E-3</v>
      </c>
      <c r="BA1746">
        <v>2.0799999999999998E-3</v>
      </c>
      <c r="BB1746">
        <v>-1.6000000000000001E-4</v>
      </c>
      <c r="BC1746">
        <v>4.3619999999999999E-2</v>
      </c>
      <c r="BD1746">
        <v>1</v>
      </c>
      <c r="BE1746" t="s">
        <v>69</v>
      </c>
      <c r="BF1746">
        <v>-0.54200000000000004</v>
      </c>
      <c r="BG1746">
        <v>-1.56</v>
      </c>
    </row>
    <row r="1747" spans="1:59">
      <c r="A1747">
        <v>0</v>
      </c>
      <c r="B1747">
        <v>7</v>
      </c>
      <c r="C1747">
        <v>1</v>
      </c>
      <c r="D1747" t="s">
        <v>25022</v>
      </c>
      <c r="E1747">
        <v>2930</v>
      </c>
      <c r="F1747" t="s">
        <v>16881</v>
      </c>
      <c r="G1747" t="s">
        <v>62</v>
      </c>
      <c r="H1747">
        <v>2874205</v>
      </c>
      <c r="I1747">
        <v>2875176</v>
      </c>
      <c r="J1747" t="s">
        <v>16882</v>
      </c>
      <c r="K1747">
        <v>324</v>
      </c>
      <c r="L1747" t="s">
        <v>125</v>
      </c>
      <c r="M1747">
        <v>48</v>
      </c>
      <c r="N1747" t="str">
        <f>HYPERLINK("Gene2930-zp_tree_all.dnd", "Gene2930-tree")</f>
        <v>Gene2930-tree</v>
      </c>
      <c r="O1747">
        <v>9</v>
      </c>
      <c r="P1747">
        <v>8</v>
      </c>
      <c r="Q1747">
        <v>9</v>
      </c>
      <c r="R1747">
        <v>8</v>
      </c>
      <c r="S1747">
        <v>0.47059000000000001</v>
      </c>
      <c r="T1747" t="s">
        <v>135</v>
      </c>
      <c r="U1747" t="s">
        <v>136</v>
      </c>
      <c r="V1747" t="s">
        <v>62</v>
      </c>
      <c r="W1747" t="s">
        <v>62</v>
      </c>
      <c r="X1747">
        <v>3</v>
      </c>
      <c r="Y1747">
        <v>8</v>
      </c>
      <c r="Z1747">
        <v>8</v>
      </c>
      <c r="AA1747">
        <v>0.5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4</v>
      </c>
      <c r="AH1747">
        <v>0</v>
      </c>
      <c r="AI1747">
        <v>4</v>
      </c>
      <c r="AJ1747">
        <v>7</v>
      </c>
      <c r="AK1747">
        <v>0.36364000000000002</v>
      </c>
      <c r="AL1747">
        <v>15</v>
      </c>
      <c r="AM1747">
        <v>11</v>
      </c>
      <c r="AN1747">
        <v>33</v>
      </c>
      <c r="AO1747">
        <v>11</v>
      </c>
      <c r="AP1747">
        <v>66</v>
      </c>
      <c r="AQ1747">
        <v>5</v>
      </c>
      <c r="AR1747" t="s">
        <v>16883</v>
      </c>
      <c r="AS1747" t="s">
        <v>16884</v>
      </c>
      <c r="AT1747">
        <v>1.512</v>
      </c>
      <c r="AU1747" t="s">
        <v>65</v>
      </c>
      <c r="AV1747">
        <v>99</v>
      </c>
      <c r="AW1747">
        <v>16</v>
      </c>
      <c r="AX1747" t="s">
        <v>16885</v>
      </c>
      <c r="AY1747">
        <v>9.9489999999999995E-2</v>
      </c>
      <c r="AZ1747">
        <v>-6.96E-3</v>
      </c>
      <c r="BA1747">
        <v>3.31E-3</v>
      </c>
      <c r="BB1747">
        <v>-1.8000000000000001E-4</v>
      </c>
      <c r="BC1747">
        <v>3.3250000000000002E-2</v>
      </c>
      <c r="BD1747">
        <v>1</v>
      </c>
      <c r="BE1747" t="s">
        <v>69</v>
      </c>
      <c r="BF1747">
        <v>-1.228</v>
      </c>
      <c r="BG1747">
        <v>0.11899999999999999</v>
      </c>
    </row>
    <row r="1748" spans="1:59">
      <c r="A1748">
        <v>0</v>
      </c>
      <c r="B1748">
        <v>2</v>
      </c>
      <c r="C1748">
        <v>0</v>
      </c>
      <c r="D1748" t="s">
        <v>25022</v>
      </c>
      <c r="E1748">
        <v>1580</v>
      </c>
      <c r="F1748" t="s">
        <v>9880</v>
      </c>
      <c r="G1748" t="s">
        <v>57</v>
      </c>
      <c r="H1748">
        <v>1587926</v>
      </c>
      <c r="I1748">
        <v>1588897</v>
      </c>
      <c r="J1748" t="s">
        <v>9881</v>
      </c>
      <c r="K1748">
        <v>324</v>
      </c>
      <c r="L1748" t="s">
        <v>59</v>
      </c>
      <c r="M1748">
        <v>49</v>
      </c>
      <c r="N1748" t="str">
        <f>HYPERLINK("Gene1580-zp_tree_all.dnd", "Gene1580-tree")</f>
        <v>Gene1580-tree</v>
      </c>
      <c r="O1748">
        <v>13</v>
      </c>
      <c r="P1748">
        <v>3</v>
      </c>
      <c r="Q1748">
        <v>13</v>
      </c>
      <c r="R1748">
        <v>3</v>
      </c>
      <c r="S1748">
        <v>0.1875</v>
      </c>
      <c r="T1748" t="s">
        <v>507</v>
      </c>
      <c r="U1748" t="s">
        <v>324</v>
      </c>
      <c r="V1748" t="s">
        <v>62</v>
      </c>
      <c r="W1748" t="s">
        <v>62</v>
      </c>
      <c r="X1748">
        <v>1</v>
      </c>
      <c r="Y1748">
        <v>2</v>
      </c>
      <c r="Z1748">
        <v>4</v>
      </c>
      <c r="AA1748">
        <v>0.33333000000000002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</v>
      </c>
      <c r="AH1748">
        <v>0</v>
      </c>
      <c r="AI1748">
        <v>2</v>
      </c>
      <c r="AJ1748">
        <v>3</v>
      </c>
      <c r="AK1748">
        <v>0.4</v>
      </c>
      <c r="AL1748">
        <v>13</v>
      </c>
      <c r="AM1748">
        <v>11</v>
      </c>
      <c r="AN1748">
        <v>33</v>
      </c>
      <c r="AO1748">
        <v>5</v>
      </c>
      <c r="AP1748">
        <v>53</v>
      </c>
      <c r="AQ1748">
        <v>1</v>
      </c>
      <c r="AR1748" t="s">
        <v>9882</v>
      </c>
      <c r="AS1748" t="s">
        <v>9883</v>
      </c>
      <c r="AT1748">
        <v>0.73099999999999998</v>
      </c>
      <c r="AU1748" t="s">
        <v>65</v>
      </c>
      <c r="AV1748">
        <v>86</v>
      </c>
      <c r="AW1748">
        <v>6</v>
      </c>
      <c r="AX1748" t="s">
        <v>9884</v>
      </c>
      <c r="AY1748">
        <v>9.6409999999999996E-2</v>
      </c>
      <c r="AZ1748">
        <v>-6.3099999999999996E-3</v>
      </c>
      <c r="BA1748">
        <v>1.4599999999999999E-3</v>
      </c>
      <c r="BB1748">
        <v>-1.2999999999999999E-4</v>
      </c>
      <c r="BC1748">
        <v>1.5129999999999999E-2</v>
      </c>
      <c r="BD1748">
        <v>1</v>
      </c>
      <c r="BE1748" t="s">
        <v>69</v>
      </c>
      <c r="BF1748">
        <v>-1.421</v>
      </c>
      <c r="BG1748">
        <v>-0.57899999999999996</v>
      </c>
    </row>
    <row r="1749" spans="1:59">
      <c r="A1749">
        <v>0</v>
      </c>
      <c r="B1749">
        <v>22</v>
      </c>
      <c r="C1749">
        <v>3</v>
      </c>
      <c r="D1749" t="s">
        <v>25022</v>
      </c>
      <c r="E1749">
        <v>609</v>
      </c>
      <c r="F1749" t="s">
        <v>3915</v>
      </c>
      <c r="G1749" t="s">
        <v>57</v>
      </c>
      <c r="H1749">
        <v>640662</v>
      </c>
      <c r="I1749">
        <v>641636</v>
      </c>
      <c r="J1749" t="s">
        <v>3916</v>
      </c>
      <c r="K1749">
        <v>325</v>
      </c>
      <c r="L1749" t="s">
        <v>108</v>
      </c>
      <c r="M1749">
        <v>44</v>
      </c>
      <c r="N1749" t="str">
        <f>HYPERLINK("Gene609-zp_tree_all.dnd", "Gene609-tree")</f>
        <v>Gene609-tree</v>
      </c>
      <c r="O1749">
        <v>1</v>
      </c>
      <c r="P1749">
        <v>11</v>
      </c>
      <c r="Q1749">
        <v>1</v>
      </c>
      <c r="R1749">
        <v>11</v>
      </c>
      <c r="S1749">
        <v>0.91666999999999998</v>
      </c>
      <c r="T1749" t="s">
        <v>175</v>
      </c>
      <c r="U1749" t="s">
        <v>73</v>
      </c>
      <c r="V1749">
        <v>1144612630.289</v>
      </c>
      <c r="W1749" t="s">
        <v>267</v>
      </c>
      <c r="X1749">
        <v>11</v>
      </c>
      <c r="Y1749">
        <v>25</v>
      </c>
      <c r="Z1749">
        <v>19</v>
      </c>
      <c r="AA1749">
        <v>0.56818000000000002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</v>
      </c>
      <c r="AH1749">
        <v>4</v>
      </c>
      <c r="AI1749">
        <v>6</v>
      </c>
      <c r="AJ1749">
        <v>23</v>
      </c>
      <c r="AK1749">
        <v>0.2069</v>
      </c>
      <c r="AL1749">
        <v>11</v>
      </c>
      <c r="AM1749">
        <v>8</v>
      </c>
      <c r="AN1749">
        <v>33</v>
      </c>
      <c r="AO1749">
        <v>29</v>
      </c>
      <c r="AP1749">
        <v>22</v>
      </c>
      <c r="AQ1749">
        <v>15</v>
      </c>
      <c r="AR1749" t="s">
        <v>3917</v>
      </c>
      <c r="AS1749" t="s">
        <v>3918</v>
      </c>
      <c r="AT1749">
        <v>0.42599999999999999</v>
      </c>
      <c r="AU1749" t="s">
        <v>65</v>
      </c>
      <c r="AV1749">
        <v>55</v>
      </c>
      <c r="AW1749">
        <v>44</v>
      </c>
      <c r="AX1749" t="s">
        <v>3919</v>
      </c>
      <c r="AY1749">
        <v>5.5030000000000003E-2</v>
      </c>
      <c r="AZ1749">
        <v>-2.8800000000000002E-3</v>
      </c>
      <c r="BA1749">
        <v>1.1679999999999999E-2</v>
      </c>
      <c r="BB1749">
        <v>-6.3000000000000003E-4</v>
      </c>
      <c r="BC1749">
        <v>0.21228</v>
      </c>
      <c r="BD1749">
        <v>1</v>
      </c>
      <c r="BE1749" t="s">
        <v>69</v>
      </c>
      <c r="BF1749">
        <v>-4.2999999999999997E-2</v>
      </c>
      <c r="BG1749">
        <v>-0.626</v>
      </c>
    </row>
    <row r="1750" spans="1:59">
      <c r="A1750">
        <v>0</v>
      </c>
      <c r="B1750">
        <v>26</v>
      </c>
      <c r="C1750">
        <v>1</v>
      </c>
      <c r="D1750" t="s">
        <v>25022</v>
      </c>
      <c r="E1750">
        <v>596</v>
      </c>
      <c r="F1750" t="s">
        <v>3838</v>
      </c>
      <c r="G1750" t="s">
        <v>57</v>
      </c>
      <c r="H1750">
        <v>623373</v>
      </c>
      <c r="I1750">
        <v>624347</v>
      </c>
      <c r="J1750" t="s">
        <v>3839</v>
      </c>
      <c r="K1750">
        <v>325</v>
      </c>
      <c r="L1750" t="s">
        <v>108</v>
      </c>
      <c r="M1750">
        <v>44</v>
      </c>
      <c r="N1750" t="str">
        <f>HYPERLINK("Gene596-zp_tree_all.dnd", "Gene596-tree")</f>
        <v>Gene596-tree</v>
      </c>
      <c r="O1750">
        <v>1</v>
      </c>
      <c r="P1750">
        <v>13</v>
      </c>
      <c r="Q1750">
        <v>1</v>
      </c>
      <c r="R1750">
        <v>13</v>
      </c>
      <c r="S1750">
        <v>0.92857000000000001</v>
      </c>
      <c r="T1750" t="s">
        <v>175</v>
      </c>
      <c r="U1750" t="s">
        <v>507</v>
      </c>
      <c r="V1750" t="s">
        <v>62</v>
      </c>
      <c r="W1750" t="s">
        <v>62</v>
      </c>
      <c r="X1750">
        <v>10</v>
      </c>
      <c r="Y1750">
        <v>27</v>
      </c>
      <c r="Z1750">
        <v>24</v>
      </c>
      <c r="AA1750">
        <v>0.52941000000000005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15</v>
      </c>
      <c r="AH1750">
        <v>1</v>
      </c>
      <c r="AI1750">
        <v>16</v>
      </c>
      <c r="AJ1750">
        <v>24</v>
      </c>
      <c r="AK1750">
        <v>0.4</v>
      </c>
      <c r="AL1750">
        <v>13</v>
      </c>
      <c r="AM1750">
        <v>11</v>
      </c>
      <c r="AN1750">
        <v>53</v>
      </c>
      <c r="AO1750">
        <v>35</v>
      </c>
      <c r="AP1750">
        <v>27</v>
      </c>
      <c r="AQ1750">
        <v>16</v>
      </c>
      <c r="AR1750" t="s">
        <v>3840</v>
      </c>
      <c r="AS1750" t="s">
        <v>3841</v>
      </c>
      <c r="AT1750">
        <v>0.157</v>
      </c>
      <c r="AU1750" t="s">
        <v>65</v>
      </c>
      <c r="AV1750">
        <v>80</v>
      </c>
      <c r="AW1750">
        <v>51</v>
      </c>
      <c r="AX1750" t="s">
        <v>3842</v>
      </c>
      <c r="AY1750">
        <v>6.1449999999999998E-2</v>
      </c>
      <c r="AZ1750">
        <v>-2.1199999999999999E-3</v>
      </c>
      <c r="BA1750">
        <v>1.1560000000000001E-2</v>
      </c>
      <c r="BB1750">
        <v>-4.6999999999999999E-4</v>
      </c>
      <c r="BC1750">
        <v>0.18819</v>
      </c>
      <c r="BD1750">
        <v>1</v>
      </c>
      <c r="BE1750" t="s">
        <v>69</v>
      </c>
      <c r="BF1750">
        <v>-0.377</v>
      </c>
      <c r="BG1750">
        <v>-1.506</v>
      </c>
    </row>
    <row r="1751" spans="1:59">
      <c r="A1751">
        <v>0</v>
      </c>
      <c r="B1751">
        <v>17</v>
      </c>
      <c r="C1751">
        <v>2</v>
      </c>
      <c r="D1751" t="s">
        <v>25022</v>
      </c>
      <c r="E1751">
        <v>3158</v>
      </c>
      <c r="F1751" t="s">
        <v>18353</v>
      </c>
      <c r="G1751" t="s">
        <v>62</v>
      </c>
      <c r="H1751">
        <v>3115992</v>
      </c>
      <c r="I1751">
        <v>3116966</v>
      </c>
      <c r="J1751" t="s">
        <v>18354</v>
      </c>
      <c r="K1751">
        <v>325</v>
      </c>
      <c r="L1751" t="s">
        <v>18355</v>
      </c>
      <c r="M1751">
        <v>28</v>
      </c>
      <c r="N1751" t="str">
        <f>HYPERLINK("Gene3158-zp_tree_all.dnd", "Gene3158-tree")</f>
        <v>Gene3158-tree</v>
      </c>
      <c r="O1751">
        <v>1</v>
      </c>
      <c r="P1751">
        <v>7</v>
      </c>
      <c r="Q1751">
        <v>1</v>
      </c>
      <c r="R1751">
        <v>7</v>
      </c>
      <c r="S1751">
        <v>0.875</v>
      </c>
      <c r="T1751" t="s">
        <v>175</v>
      </c>
      <c r="U1751" t="s">
        <v>152</v>
      </c>
      <c r="V1751" t="s">
        <v>62</v>
      </c>
      <c r="W1751" t="s">
        <v>62</v>
      </c>
      <c r="X1751">
        <v>9</v>
      </c>
      <c r="Y1751">
        <v>19</v>
      </c>
      <c r="Z1751">
        <v>21</v>
      </c>
      <c r="AA1751">
        <v>0.47499999999999998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13</v>
      </c>
      <c r="AH1751">
        <v>2</v>
      </c>
      <c r="AI1751">
        <v>15</v>
      </c>
      <c r="AJ1751">
        <v>22</v>
      </c>
      <c r="AK1751">
        <v>0.40540999999999999</v>
      </c>
      <c r="AL1751">
        <v>8</v>
      </c>
      <c r="AM1751">
        <v>5</v>
      </c>
      <c r="AN1751">
        <v>74</v>
      </c>
      <c r="AO1751">
        <v>39</v>
      </c>
      <c r="AP1751">
        <v>25</v>
      </c>
      <c r="AQ1751">
        <v>4</v>
      </c>
      <c r="AR1751" t="s">
        <v>18356</v>
      </c>
      <c r="AS1751" t="s">
        <v>18357</v>
      </c>
      <c r="AT1751">
        <v>1.768</v>
      </c>
      <c r="AU1751" t="s">
        <v>65</v>
      </c>
      <c r="AV1751">
        <v>99</v>
      </c>
      <c r="AW1751">
        <v>43</v>
      </c>
      <c r="AX1751" t="s">
        <v>18358</v>
      </c>
      <c r="AY1751">
        <v>0.12053999999999999</v>
      </c>
      <c r="AZ1751">
        <v>-7.8899999999999994E-3</v>
      </c>
      <c r="BA1751">
        <v>1.456E-2</v>
      </c>
      <c r="BB1751">
        <v>-1.14E-3</v>
      </c>
      <c r="BC1751">
        <v>0.12082</v>
      </c>
      <c r="BD1751">
        <v>1</v>
      </c>
      <c r="BE1751" t="s">
        <v>69</v>
      </c>
      <c r="BF1751">
        <v>-0.81399999999999995</v>
      </c>
      <c r="BG1751">
        <v>-1.655</v>
      </c>
    </row>
    <row r="1752" spans="1:59">
      <c r="A1752">
        <v>0</v>
      </c>
      <c r="B1752">
        <v>0</v>
      </c>
      <c r="C1752">
        <v>0</v>
      </c>
      <c r="D1752" t="s">
        <v>25022</v>
      </c>
      <c r="E1752">
        <v>2338</v>
      </c>
      <c r="F1752" t="s">
        <v>13566</v>
      </c>
      <c r="G1752" t="s">
        <v>62</v>
      </c>
      <c r="H1752">
        <v>2354921</v>
      </c>
      <c r="I1752">
        <v>2355895</v>
      </c>
      <c r="J1752" t="s">
        <v>13567</v>
      </c>
      <c r="K1752">
        <v>325</v>
      </c>
      <c r="L1752" t="s">
        <v>13568</v>
      </c>
      <c r="M1752">
        <v>40</v>
      </c>
      <c r="N1752" t="str">
        <f>HYPERLINK("Gene2338-zp_tree_all.dnd", "Gene2338-tree")</f>
        <v>Gene2338-tree</v>
      </c>
      <c r="O1752">
        <v>23</v>
      </c>
      <c r="P1752">
        <v>7</v>
      </c>
      <c r="Q1752">
        <v>7</v>
      </c>
      <c r="R1752">
        <v>7</v>
      </c>
      <c r="S1752">
        <v>0.5</v>
      </c>
      <c r="T1752" t="s">
        <v>8350</v>
      </c>
      <c r="U1752" t="s">
        <v>152</v>
      </c>
      <c r="V1752" t="s">
        <v>62</v>
      </c>
      <c r="W1752" t="s">
        <v>62</v>
      </c>
      <c r="X1752">
        <v>0</v>
      </c>
      <c r="Y1752">
        <v>0</v>
      </c>
      <c r="Z1752">
        <v>12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10</v>
      </c>
      <c r="AK1752">
        <v>0</v>
      </c>
      <c r="AL1752">
        <v>11</v>
      </c>
      <c r="AM1752">
        <v>8</v>
      </c>
      <c r="AN1752">
        <v>25</v>
      </c>
      <c r="AO1752">
        <v>10</v>
      </c>
      <c r="AP1752">
        <v>14</v>
      </c>
      <c r="AQ1752">
        <v>2</v>
      </c>
      <c r="AR1752" t="s">
        <v>13569</v>
      </c>
      <c r="AS1752" t="s">
        <v>13570</v>
      </c>
      <c r="AT1752">
        <v>0.77900000000000003</v>
      </c>
      <c r="AU1752" t="s">
        <v>65</v>
      </c>
      <c r="AV1752">
        <v>39</v>
      </c>
      <c r="AW1752">
        <v>12</v>
      </c>
      <c r="AX1752" t="s">
        <v>13571</v>
      </c>
      <c r="AY1752">
        <v>3.1600000000000003E-2</v>
      </c>
      <c r="AZ1752">
        <v>-1.6999999999999999E-3</v>
      </c>
      <c r="BA1752">
        <v>3.0799999999999998E-3</v>
      </c>
      <c r="BB1752">
        <v>-1.9000000000000001E-4</v>
      </c>
      <c r="BC1752">
        <v>9.7420000000000007E-2</v>
      </c>
      <c r="BD1752">
        <v>1</v>
      </c>
      <c r="BE1752" t="s">
        <v>69</v>
      </c>
      <c r="BF1752">
        <v>-1.212</v>
      </c>
      <c r="BG1752">
        <v>-2.6659999999999999</v>
      </c>
    </row>
    <row r="1753" spans="1:59">
      <c r="A1753">
        <v>0</v>
      </c>
      <c r="B1753">
        <v>2</v>
      </c>
      <c r="C1753">
        <v>0</v>
      </c>
      <c r="D1753" t="s">
        <v>25022</v>
      </c>
      <c r="E1753">
        <v>198</v>
      </c>
      <c r="F1753" t="s">
        <v>1347</v>
      </c>
      <c r="G1753" t="s">
        <v>57</v>
      </c>
      <c r="H1753">
        <v>220279</v>
      </c>
      <c r="I1753">
        <v>221253</v>
      </c>
      <c r="J1753" t="s">
        <v>1348</v>
      </c>
      <c r="K1753">
        <v>325</v>
      </c>
      <c r="L1753" t="s">
        <v>1349</v>
      </c>
      <c r="M1753">
        <v>34</v>
      </c>
      <c r="N1753" t="str">
        <f>HYPERLINK("Gene198-zp_tree_all.dnd", "Gene198-tree")</f>
        <v>Gene198-tree</v>
      </c>
      <c r="O1753">
        <v>4</v>
      </c>
      <c r="P1753">
        <v>4</v>
      </c>
      <c r="Q1753">
        <v>4</v>
      </c>
      <c r="R1753">
        <v>4</v>
      </c>
      <c r="S1753">
        <v>0.5</v>
      </c>
      <c r="T1753" t="s">
        <v>61</v>
      </c>
      <c r="U1753" t="s">
        <v>61</v>
      </c>
      <c r="V1753" t="s">
        <v>62</v>
      </c>
      <c r="W1753" t="s">
        <v>62</v>
      </c>
      <c r="X1753">
        <v>1</v>
      </c>
      <c r="Y1753">
        <v>2</v>
      </c>
      <c r="Z1753">
        <v>9</v>
      </c>
      <c r="AA1753">
        <v>0.18182000000000001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</v>
      </c>
      <c r="AH1753">
        <v>0</v>
      </c>
      <c r="AI1753">
        <v>2</v>
      </c>
      <c r="AJ1753">
        <v>7</v>
      </c>
      <c r="AK1753">
        <v>0.22222</v>
      </c>
      <c r="AL1753">
        <v>7</v>
      </c>
      <c r="AM1753">
        <v>5</v>
      </c>
      <c r="AN1753">
        <v>26</v>
      </c>
      <c r="AO1753">
        <v>9</v>
      </c>
      <c r="AP1753">
        <v>6</v>
      </c>
      <c r="AQ1753">
        <v>2</v>
      </c>
      <c r="AR1753" t="s">
        <v>1350</v>
      </c>
      <c r="AS1753" t="s">
        <v>1351</v>
      </c>
      <c r="AT1753">
        <v>2.9000000000000001E-2</v>
      </c>
      <c r="AU1753" t="s">
        <v>65</v>
      </c>
      <c r="AV1753">
        <v>32</v>
      </c>
      <c r="AW1753">
        <v>11</v>
      </c>
      <c r="AX1753" t="s">
        <v>1352</v>
      </c>
      <c r="AY1753">
        <v>4.1610000000000001E-2</v>
      </c>
      <c r="AZ1753">
        <v>-3.0599999999999998E-3</v>
      </c>
      <c r="BA1753">
        <v>4.0099999999999997E-3</v>
      </c>
      <c r="BB1753">
        <v>-4.8000000000000001E-4</v>
      </c>
      <c r="BC1753">
        <v>9.6390000000000003E-2</v>
      </c>
      <c r="BD1753">
        <v>1</v>
      </c>
      <c r="BE1753" t="s">
        <v>69</v>
      </c>
      <c r="BF1753">
        <v>-1.0529999999999999</v>
      </c>
      <c r="BG1753">
        <v>-1.97</v>
      </c>
    </row>
    <row r="1754" spans="1:59">
      <c r="A1754">
        <v>0</v>
      </c>
      <c r="B1754">
        <v>5</v>
      </c>
      <c r="C1754">
        <v>4</v>
      </c>
      <c r="D1754" t="s">
        <v>25022</v>
      </c>
      <c r="E1754">
        <v>4106</v>
      </c>
      <c r="F1754" t="s">
        <v>24185</v>
      </c>
      <c r="G1754" t="s">
        <v>62</v>
      </c>
      <c r="H1754">
        <v>4071313</v>
      </c>
      <c r="I1754">
        <v>4072287</v>
      </c>
      <c r="J1754" t="s">
        <v>24186</v>
      </c>
      <c r="K1754">
        <v>325</v>
      </c>
      <c r="L1754" t="s">
        <v>24187</v>
      </c>
      <c r="M1754">
        <v>48</v>
      </c>
      <c r="N1754" t="str">
        <f>HYPERLINK("Gene4106-zp_tree_all.dnd", "Gene4106-tree")</f>
        <v>Gene4106-tree</v>
      </c>
      <c r="O1754">
        <v>27</v>
      </c>
      <c r="P1754">
        <v>10</v>
      </c>
      <c r="Q1754">
        <v>8</v>
      </c>
      <c r="R1754">
        <v>10</v>
      </c>
      <c r="S1754">
        <v>0.55556000000000005</v>
      </c>
      <c r="T1754" t="s">
        <v>282</v>
      </c>
      <c r="U1754" t="s">
        <v>117</v>
      </c>
      <c r="V1754" t="s">
        <v>62</v>
      </c>
      <c r="W1754" t="s">
        <v>62</v>
      </c>
      <c r="X1754">
        <v>4</v>
      </c>
      <c r="Y1754">
        <v>9</v>
      </c>
      <c r="Z1754">
        <v>20</v>
      </c>
      <c r="AA1754">
        <v>0.31034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4</v>
      </c>
      <c r="AI1754">
        <v>4</v>
      </c>
      <c r="AJ1754">
        <v>15</v>
      </c>
      <c r="AK1754">
        <v>0.21052999999999999</v>
      </c>
      <c r="AL1754">
        <v>16</v>
      </c>
      <c r="AM1754">
        <v>11</v>
      </c>
      <c r="AN1754">
        <v>77</v>
      </c>
      <c r="AO1754">
        <v>19</v>
      </c>
      <c r="AP1754">
        <v>34</v>
      </c>
      <c r="AQ1754">
        <v>10</v>
      </c>
      <c r="AR1754" t="s">
        <v>24188</v>
      </c>
      <c r="AS1754" t="s">
        <v>24189</v>
      </c>
      <c r="AT1754">
        <v>0.215</v>
      </c>
      <c r="AU1754" t="s">
        <v>65</v>
      </c>
      <c r="AV1754">
        <v>111</v>
      </c>
      <c r="AW1754">
        <v>29</v>
      </c>
      <c r="AX1754" t="s">
        <v>24190</v>
      </c>
      <c r="AY1754">
        <v>7.0870000000000002E-2</v>
      </c>
      <c r="AZ1754">
        <v>-3.9399999999999999E-3</v>
      </c>
      <c r="BA1754">
        <v>5.77E-3</v>
      </c>
      <c r="BB1754">
        <v>-2.7999999999999998E-4</v>
      </c>
      <c r="BC1754">
        <v>8.1360000000000002E-2</v>
      </c>
      <c r="BD1754">
        <v>1</v>
      </c>
      <c r="BE1754" t="s">
        <v>69</v>
      </c>
      <c r="BF1754">
        <v>-1.6120000000000001</v>
      </c>
      <c r="BG1754">
        <v>-3.0129999999999999</v>
      </c>
    </row>
    <row r="1755" spans="1:59">
      <c r="A1755">
        <v>0</v>
      </c>
      <c r="B1755">
        <v>11</v>
      </c>
      <c r="C1755">
        <v>1</v>
      </c>
      <c r="D1755" t="s">
        <v>25022</v>
      </c>
      <c r="E1755">
        <v>4115</v>
      </c>
      <c r="F1755" t="s">
        <v>24248</v>
      </c>
      <c r="G1755" t="s">
        <v>62</v>
      </c>
      <c r="H1755">
        <v>4081032</v>
      </c>
      <c r="I1755">
        <v>4082006</v>
      </c>
      <c r="J1755" t="s">
        <v>24249</v>
      </c>
      <c r="K1755">
        <v>325</v>
      </c>
      <c r="L1755" t="s">
        <v>59</v>
      </c>
      <c r="M1755">
        <v>49</v>
      </c>
      <c r="N1755" t="str">
        <f>HYPERLINK("Gene4115-zp_tree_all.dnd", "Gene4115-tree")</f>
        <v>Gene4115-tree</v>
      </c>
      <c r="O1755">
        <v>10</v>
      </c>
      <c r="P1755">
        <v>30</v>
      </c>
      <c r="Q1755">
        <v>10</v>
      </c>
      <c r="R1755">
        <v>11</v>
      </c>
      <c r="S1755">
        <v>0.52381</v>
      </c>
      <c r="T1755" t="s">
        <v>117</v>
      </c>
      <c r="U1755" t="s">
        <v>89</v>
      </c>
      <c r="V1755">
        <v>3.2610000000000001</v>
      </c>
      <c r="W1755" t="s">
        <v>65</v>
      </c>
      <c r="X1755">
        <v>5</v>
      </c>
      <c r="Y1755">
        <v>12</v>
      </c>
      <c r="Z1755">
        <v>15</v>
      </c>
      <c r="AA1755">
        <v>0.44444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2</v>
      </c>
      <c r="AI1755">
        <v>2</v>
      </c>
      <c r="AJ1755">
        <v>16</v>
      </c>
      <c r="AK1755">
        <v>0.11111</v>
      </c>
      <c r="AL1755">
        <v>17</v>
      </c>
      <c r="AM1755">
        <v>16</v>
      </c>
      <c r="AN1755">
        <v>58</v>
      </c>
      <c r="AO1755">
        <v>18</v>
      </c>
      <c r="AP1755">
        <v>73</v>
      </c>
      <c r="AQ1755">
        <v>9</v>
      </c>
      <c r="AR1755" t="s">
        <v>24250</v>
      </c>
      <c r="AS1755" t="s">
        <v>24251</v>
      </c>
      <c r="AT1755">
        <v>0.877</v>
      </c>
      <c r="AU1755" t="s">
        <v>65</v>
      </c>
      <c r="AV1755">
        <v>131</v>
      </c>
      <c r="AW1755">
        <v>27</v>
      </c>
      <c r="AX1755" t="s">
        <v>24252</v>
      </c>
      <c r="AY1755">
        <v>0.10034</v>
      </c>
      <c r="AZ1755">
        <v>-3.6900000000000001E-3</v>
      </c>
      <c r="BA1755">
        <v>5.5500000000000002E-3</v>
      </c>
      <c r="BB1755">
        <v>-2.4000000000000001E-4</v>
      </c>
      <c r="BC1755">
        <v>5.5300000000000002E-2</v>
      </c>
      <c r="BD1755">
        <v>1</v>
      </c>
      <c r="BE1755" t="s">
        <v>69</v>
      </c>
      <c r="BF1755">
        <v>-0.68500000000000005</v>
      </c>
      <c r="BG1755">
        <v>-1.968</v>
      </c>
    </row>
    <row r="1756" spans="1:59">
      <c r="A1756">
        <v>0</v>
      </c>
      <c r="B1756">
        <v>6</v>
      </c>
      <c r="C1756">
        <v>0</v>
      </c>
      <c r="D1756" t="s">
        <v>25022</v>
      </c>
      <c r="E1756">
        <v>2969</v>
      </c>
      <c r="F1756" t="s">
        <v>17122</v>
      </c>
      <c r="G1756" t="s">
        <v>62</v>
      </c>
      <c r="H1756">
        <v>2915368</v>
      </c>
      <c r="I1756">
        <v>2916342</v>
      </c>
      <c r="J1756" t="s">
        <v>17123</v>
      </c>
      <c r="K1756">
        <v>325</v>
      </c>
      <c r="L1756" t="s">
        <v>108</v>
      </c>
      <c r="M1756">
        <v>44</v>
      </c>
      <c r="N1756" t="str">
        <f>HYPERLINK("Gene2969-zp_tree_all.dnd", "Gene2969-tree")</f>
        <v>Gene2969-tree</v>
      </c>
      <c r="O1756">
        <v>6</v>
      </c>
      <c r="P1756">
        <v>7</v>
      </c>
      <c r="Q1756">
        <v>6</v>
      </c>
      <c r="R1756">
        <v>7</v>
      </c>
      <c r="S1756">
        <v>0.53846000000000005</v>
      </c>
      <c r="T1756" t="s">
        <v>90</v>
      </c>
      <c r="U1756" t="s">
        <v>152</v>
      </c>
      <c r="V1756" t="s">
        <v>62</v>
      </c>
      <c r="W1756" t="s">
        <v>62</v>
      </c>
      <c r="X1756">
        <v>2</v>
      </c>
      <c r="Y1756">
        <v>6</v>
      </c>
      <c r="Z1756">
        <v>9</v>
      </c>
      <c r="AA1756">
        <v>0.4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9</v>
      </c>
      <c r="AK1756">
        <v>0</v>
      </c>
      <c r="AL1756">
        <v>11</v>
      </c>
      <c r="AM1756">
        <v>10</v>
      </c>
      <c r="AN1756">
        <v>35</v>
      </c>
      <c r="AO1756">
        <v>9</v>
      </c>
      <c r="AP1756">
        <v>34</v>
      </c>
      <c r="AQ1756">
        <v>6</v>
      </c>
      <c r="AR1756" t="s">
        <v>17124</v>
      </c>
      <c r="AS1756" t="s">
        <v>17125</v>
      </c>
      <c r="AT1756">
        <v>0.36799999999999999</v>
      </c>
      <c r="AU1756" t="s">
        <v>65</v>
      </c>
      <c r="AV1756">
        <v>69</v>
      </c>
      <c r="AW1756">
        <v>15</v>
      </c>
      <c r="AX1756" t="s">
        <v>17126</v>
      </c>
      <c r="AY1756">
        <v>6.7979999999999999E-2</v>
      </c>
      <c r="AZ1756">
        <v>-2.5799999999999998E-3</v>
      </c>
      <c r="BA1756">
        <v>3.3300000000000001E-3</v>
      </c>
      <c r="BB1756">
        <v>-2.3000000000000001E-4</v>
      </c>
      <c r="BC1756">
        <v>4.9020000000000001E-2</v>
      </c>
      <c r="BD1756">
        <v>1</v>
      </c>
      <c r="BE1756" t="s">
        <v>69</v>
      </c>
      <c r="BF1756">
        <v>0.42199999999999999</v>
      </c>
      <c r="BG1756">
        <v>-0.39700000000000002</v>
      </c>
    </row>
    <row r="1757" spans="1:59">
      <c r="A1757">
        <v>0</v>
      </c>
      <c r="B1757">
        <v>5</v>
      </c>
      <c r="C1757">
        <v>0</v>
      </c>
      <c r="D1757" t="s">
        <v>25022</v>
      </c>
      <c r="E1757">
        <v>837</v>
      </c>
      <c r="F1757" t="s">
        <v>5219</v>
      </c>
      <c r="G1757" t="s">
        <v>57</v>
      </c>
      <c r="H1757">
        <v>876426</v>
      </c>
      <c r="I1757">
        <v>877400</v>
      </c>
      <c r="J1757" t="s">
        <v>5220</v>
      </c>
      <c r="K1757">
        <v>325</v>
      </c>
      <c r="L1757" t="s">
        <v>5221</v>
      </c>
      <c r="M1757">
        <v>33</v>
      </c>
      <c r="N1757" t="str">
        <f>HYPERLINK("Gene837-zp_tree_all.dnd", "Gene837-tree")</f>
        <v>Gene837-tree</v>
      </c>
      <c r="O1757">
        <v>3</v>
      </c>
      <c r="P1757">
        <v>6</v>
      </c>
      <c r="Q1757">
        <v>3</v>
      </c>
      <c r="R1757">
        <v>6</v>
      </c>
      <c r="S1757">
        <v>0.66666999999999998</v>
      </c>
      <c r="T1757" t="s">
        <v>324</v>
      </c>
      <c r="U1757" t="s">
        <v>90</v>
      </c>
      <c r="V1757" t="s">
        <v>62</v>
      </c>
      <c r="W1757" t="s">
        <v>62</v>
      </c>
      <c r="X1757">
        <v>2</v>
      </c>
      <c r="Y1757">
        <v>5</v>
      </c>
      <c r="Z1757">
        <v>12</v>
      </c>
      <c r="AA1757">
        <v>0.29411999999999999</v>
      </c>
      <c r="AB1757">
        <v>0</v>
      </c>
      <c r="AC1757">
        <v>0</v>
      </c>
      <c r="AD1757">
        <v>0</v>
      </c>
      <c r="AE1757">
        <v>2</v>
      </c>
      <c r="AF1757">
        <v>0</v>
      </c>
      <c r="AG1757">
        <v>2</v>
      </c>
      <c r="AH1757">
        <v>0</v>
      </c>
      <c r="AI1757">
        <v>2</v>
      </c>
      <c r="AJ1757">
        <v>11</v>
      </c>
      <c r="AK1757">
        <v>0.15384999999999999</v>
      </c>
      <c r="AL1757">
        <v>8</v>
      </c>
      <c r="AM1757">
        <v>6</v>
      </c>
      <c r="AN1757">
        <v>82</v>
      </c>
      <c r="AO1757">
        <v>17</v>
      </c>
      <c r="AP1757">
        <v>41</v>
      </c>
      <c r="AQ1757">
        <v>5</v>
      </c>
      <c r="AR1757" t="s">
        <v>5222</v>
      </c>
      <c r="AS1757" t="s">
        <v>5223</v>
      </c>
      <c r="AT1757">
        <v>0.56999999999999995</v>
      </c>
      <c r="AU1757" t="s">
        <v>65</v>
      </c>
      <c r="AV1757">
        <v>123</v>
      </c>
      <c r="AW1757">
        <v>22</v>
      </c>
      <c r="AX1757" t="s">
        <v>5224</v>
      </c>
      <c r="AY1757">
        <v>0.15889</v>
      </c>
      <c r="AZ1757">
        <v>-8.3199999999999993E-3</v>
      </c>
      <c r="BA1757">
        <v>7.0699999999999999E-3</v>
      </c>
      <c r="BB1757">
        <v>-6.3000000000000003E-4</v>
      </c>
      <c r="BC1757">
        <v>4.4519999999999997E-2</v>
      </c>
      <c r="BD1757">
        <v>1</v>
      </c>
      <c r="BE1757" t="s">
        <v>69</v>
      </c>
      <c r="BF1757">
        <v>-5.3999999999999999E-2</v>
      </c>
      <c r="BG1757">
        <v>-1.2569999999999999</v>
      </c>
    </row>
    <row r="1758" spans="1:59">
      <c r="A1758">
        <v>0</v>
      </c>
      <c r="B1758">
        <v>0</v>
      </c>
      <c r="C1758">
        <v>0</v>
      </c>
      <c r="D1758" t="s">
        <v>25022</v>
      </c>
      <c r="E1758">
        <v>3036</v>
      </c>
      <c r="F1758" t="s">
        <v>17557</v>
      </c>
      <c r="G1758" t="s">
        <v>62</v>
      </c>
      <c r="H1758">
        <v>2987734</v>
      </c>
      <c r="I1758">
        <v>2988708</v>
      </c>
      <c r="J1758" t="s">
        <v>17558</v>
      </c>
      <c r="K1758">
        <v>325</v>
      </c>
      <c r="L1758" t="s">
        <v>59</v>
      </c>
      <c r="M1758">
        <v>49</v>
      </c>
      <c r="N1758" t="str">
        <f>HYPERLINK("Gene3036-zp_tree_all.dnd", "Gene3036-tree")</f>
        <v>Gene3036-tree</v>
      </c>
      <c r="O1758">
        <v>14</v>
      </c>
      <c r="P1758">
        <v>4</v>
      </c>
      <c r="Q1758">
        <v>14</v>
      </c>
      <c r="R1758">
        <v>4</v>
      </c>
      <c r="S1758">
        <v>0.22222</v>
      </c>
      <c r="T1758" t="s">
        <v>543</v>
      </c>
      <c r="U1758" t="s">
        <v>61</v>
      </c>
      <c r="V1758" t="s">
        <v>62</v>
      </c>
      <c r="W1758" t="s">
        <v>62</v>
      </c>
      <c r="X1758">
        <v>0</v>
      </c>
      <c r="Y1758">
        <v>0</v>
      </c>
      <c r="Z1758">
        <v>10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6</v>
      </c>
      <c r="AK1758">
        <v>0</v>
      </c>
      <c r="AL1758">
        <v>16</v>
      </c>
      <c r="AM1758">
        <v>14</v>
      </c>
      <c r="AN1758">
        <v>43</v>
      </c>
      <c r="AO1758">
        <v>6</v>
      </c>
      <c r="AP1758">
        <v>53</v>
      </c>
      <c r="AQ1758">
        <v>4</v>
      </c>
      <c r="AR1758" t="s">
        <v>17559</v>
      </c>
      <c r="AS1758" t="s">
        <v>17560</v>
      </c>
      <c r="AT1758">
        <v>0.33100000000000002</v>
      </c>
      <c r="AU1758" t="s">
        <v>65</v>
      </c>
      <c r="AV1758">
        <v>96</v>
      </c>
      <c r="AW1758">
        <v>10</v>
      </c>
      <c r="AX1758" t="s">
        <v>17561</v>
      </c>
      <c r="AY1758">
        <v>9.5589999999999994E-2</v>
      </c>
      <c r="AZ1758">
        <v>-5.1999999999999998E-3</v>
      </c>
      <c r="BA1758">
        <v>2.2899999999999999E-3</v>
      </c>
      <c r="BB1758">
        <v>-1.6000000000000001E-4</v>
      </c>
      <c r="BC1758">
        <v>2.3949999999999999E-2</v>
      </c>
      <c r="BD1758">
        <v>1</v>
      </c>
      <c r="BE1758" t="s">
        <v>69</v>
      </c>
      <c r="BF1758">
        <v>-1.3660000000000001</v>
      </c>
      <c r="BG1758">
        <v>-0.95</v>
      </c>
    </row>
    <row r="1759" spans="1:59">
      <c r="A1759">
        <v>0</v>
      </c>
      <c r="B1759">
        <v>0</v>
      </c>
      <c r="C1759">
        <v>0</v>
      </c>
      <c r="D1759" t="s">
        <v>25022</v>
      </c>
      <c r="E1759">
        <v>1319</v>
      </c>
      <c r="F1759" t="s">
        <v>8268</v>
      </c>
      <c r="G1759" t="s">
        <v>57</v>
      </c>
      <c r="H1759">
        <v>1339632</v>
      </c>
      <c r="I1759">
        <v>1340606</v>
      </c>
      <c r="J1759" t="s">
        <v>8099</v>
      </c>
      <c r="K1759">
        <v>325</v>
      </c>
      <c r="L1759" t="s">
        <v>1305</v>
      </c>
      <c r="M1759">
        <v>43</v>
      </c>
      <c r="N1759" t="str">
        <f>HYPERLINK("Gene1319-zp_tree_all.dnd", "Gene1319-tree")</f>
        <v>Gene1319-tree</v>
      </c>
      <c r="O1759">
        <v>10</v>
      </c>
      <c r="P1759">
        <v>3</v>
      </c>
      <c r="Q1759">
        <v>10</v>
      </c>
      <c r="R1759">
        <v>3</v>
      </c>
      <c r="S1759">
        <v>0.23077</v>
      </c>
      <c r="T1759" t="s">
        <v>117</v>
      </c>
      <c r="U1759" t="s">
        <v>324</v>
      </c>
      <c r="V1759" t="s">
        <v>62</v>
      </c>
      <c r="W1759" t="s">
        <v>62</v>
      </c>
      <c r="X1759">
        <v>0</v>
      </c>
      <c r="Y1759">
        <v>0</v>
      </c>
      <c r="Z1759">
        <v>5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4</v>
      </c>
      <c r="AK1759">
        <v>0</v>
      </c>
      <c r="AL1759">
        <v>10</v>
      </c>
      <c r="AM1759">
        <v>9</v>
      </c>
      <c r="AN1759">
        <v>47</v>
      </c>
      <c r="AO1759">
        <v>4</v>
      </c>
      <c r="AP1759">
        <v>24</v>
      </c>
      <c r="AQ1759">
        <v>1</v>
      </c>
      <c r="AR1759" t="s">
        <v>8269</v>
      </c>
      <c r="AS1759" t="s">
        <v>8270</v>
      </c>
      <c r="AT1759">
        <v>0.26900000000000002</v>
      </c>
      <c r="AU1759" t="s">
        <v>65</v>
      </c>
      <c r="AV1759">
        <v>71</v>
      </c>
      <c r="AW1759">
        <v>5</v>
      </c>
      <c r="AX1759" t="s">
        <v>8271</v>
      </c>
      <c r="AY1759">
        <v>6.2309999999999997E-2</v>
      </c>
      <c r="AZ1759">
        <v>-3.6099999999999999E-3</v>
      </c>
      <c r="BA1759">
        <v>1.1999999999999999E-3</v>
      </c>
      <c r="BB1759">
        <v>-1.2999999999999999E-4</v>
      </c>
      <c r="BC1759">
        <v>1.9259999999999999E-2</v>
      </c>
      <c r="BD1759">
        <v>1</v>
      </c>
      <c r="BE1759" t="s">
        <v>69</v>
      </c>
      <c r="BF1759">
        <v>-0.84399999999999997</v>
      </c>
      <c r="BG1759">
        <v>-3.0379999999999998</v>
      </c>
    </row>
    <row r="1760" spans="1:59">
      <c r="A1760">
        <v>0</v>
      </c>
      <c r="B1760">
        <v>0</v>
      </c>
      <c r="C1760">
        <v>0</v>
      </c>
      <c r="D1760" t="s">
        <v>25022</v>
      </c>
      <c r="E1760">
        <v>1518</v>
      </c>
      <c r="F1760" t="s">
        <v>9483</v>
      </c>
      <c r="G1760" t="s">
        <v>57</v>
      </c>
      <c r="H1760">
        <v>1529445</v>
      </c>
      <c r="I1760">
        <v>1530419</v>
      </c>
      <c r="J1760" t="s">
        <v>9484</v>
      </c>
      <c r="K1760">
        <v>325</v>
      </c>
      <c r="L1760" t="s">
        <v>59</v>
      </c>
      <c r="M1760">
        <v>49</v>
      </c>
      <c r="N1760" t="str">
        <f>HYPERLINK("Gene1518-zp_tree_all.dnd", "Gene1518-tree")</f>
        <v>Gene1518-tree</v>
      </c>
      <c r="O1760">
        <v>15</v>
      </c>
      <c r="P1760">
        <v>2</v>
      </c>
      <c r="Q1760">
        <v>15</v>
      </c>
      <c r="R1760">
        <v>2</v>
      </c>
      <c r="S1760">
        <v>0.11765</v>
      </c>
      <c r="T1760" t="s">
        <v>100</v>
      </c>
      <c r="U1760" t="s">
        <v>81</v>
      </c>
      <c r="V1760" t="s">
        <v>62</v>
      </c>
      <c r="W1760" t="s">
        <v>62</v>
      </c>
      <c r="X1760">
        <v>0</v>
      </c>
      <c r="Y1760">
        <v>0</v>
      </c>
      <c r="Z1760">
        <v>3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2</v>
      </c>
      <c r="AK1760">
        <v>0</v>
      </c>
      <c r="AL1760">
        <v>12</v>
      </c>
      <c r="AM1760">
        <v>11</v>
      </c>
      <c r="AN1760">
        <v>29</v>
      </c>
      <c r="AO1760">
        <v>2</v>
      </c>
      <c r="AP1760">
        <v>43</v>
      </c>
      <c r="AQ1760">
        <v>1</v>
      </c>
      <c r="AR1760" t="s">
        <v>9485</v>
      </c>
      <c r="AS1760" t="s">
        <v>9486</v>
      </c>
      <c r="AT1760">
        <v>0.34699999999999998</v>
      </c>
      <c r="AU1760" t="s">
        <v>65</v>
      </c>
      <c r="AV1760">
        <v>72</v>
      </c>
      <c r="AW1760">
        <v>3</v>
      </c>
      <c r="AX1760" t="s">
        <v>9487</v>
      </c>
      <c r="AY1760">
        <v>7.3749999999999996E-2</v>
      </c>
      <c r="AZ1760">
        <v>-4.7499999999999999E-3</v>
      </c>
      <c r="BA1760">
        <v>7.2999999999999996E-4</v>
      </c>
      <c r="BB1760">
        <v>-6.9999999999999994E-5</v>
      </c>
      <c r="BC1760">
        <v>9.9699999999999997E-3</v>
      </c>
      <c r="BD1760">
        <v>1</v>
      </c>
      <c r="BE1760" t="s">
        <v>69</v>
      </c>
      <c r="BF1760">
        <v>-1.0629999999999999</v>
      </c>
      <c r="BG1760">
        <v>-0.65100000000000002</v>
      </c>
    </row>
    <row r="1761" spans="1:59">
      <c r="A1761">
        <v>0</v>
      </c>
      <c r="B1761">
        <v>0</v>
      </c>
      <c r="C1761">
        <v>0</v>
      </c>
      <c r="D1761" t="s">
        <v>25022</v>
      </c>
      <c r="E1761">
        <v>2506</v>
      </c>
      <c r="F1761" t="s">
        <v>14619</v>
      </c>
      <c r="G1761" t="s">
        <v>62</v>
      </c>
      <c r="H1761">
        <v>2498096</v>
      </c>
      <c r="I1761">
        <v>2499076</v>
      </c>
      <c r="J1761" t="s">
        <v>14620</v>
      </c>
      <c r="K1761">
        <v>327</v>
      </c>
      <c r="L1761" t="s">
        <v>1124</v>
      </c>
      <c r="M1761">
        <v>43</v>
      </c>
      <c r="N1761" t="str">
        <f>HYPERLINK("Gene2506-zp_tree_all.dnd", "Gene2506-tree")</f>
        <v>Gene2506-tree</v>
      </c>
      <c r="O1761">
        <v>12</v>
      </c>
      <c r="P1761">
        <v>2</v>
      </c>
      <c r="Q1761">
        <v>12</v>
      </c>
      <c r="R1761">
        <v>2</v>
      </c>
      <c r="S1761">
        <v>0.14285999999999999</v>
      </c>
      <c r="T1761" t="s">
        <v>109</v>
      </c>
      <c r="U1761" t="s">
        <v>81</v>
      </c>
      <c r="V1761" t="s">
        <v>62</v>
      </c>
      <c r="W1761" t="s">
        <v>62</v>
      </c>
      <c r="X1761">
        <v>0</v>
      </c>
      <c r="Y1761">
        <v>0</v>
      </c>
      <c r="Z1761">
        <v>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</v>
      </c>
      <c r="AK1761">
        <v>0</v>
      </c>
      <c r="AL1761">
        <v>12</v>
      </c>
      <c r="AM1761">
        <v>11</v>
      </c>
      <c r="AN1761">
        <v>39</v>
      </c>
      <c r="AO1761">
        <v>2</v>
      </c>
      <c r="AP1761">
        <v>29</v>
      </c>
      <c r="AQ1761">
        <v>0</v>
      </c>
      <c r="AR1761" t="s">
        <v>14621</v>
      </c>
      <c r="AS1761" t="s">
        <v>193</v>
      </c>
      <c r="AT1761">
        <v>0.64100000000000001</v>
      </c>
      <c r="AU1761" t="s">
        <v>65</v>
      </c>
      <c r="AV1761">
        <v>68</v>
      </c>
      <c r="AW1761">
        <v>2</v>
      </c>
      <c r="AX1761" t="s">
        <v>14622</v>
      </c>
      <c r="AY1761">
        <v>6.198E-2</v>
      </c>
      <c r="AZ1761">
        <v>-2.1700000000000001E-3</v>
      </c>
      <c r="BA1761">
        <v>3.8000000000000002E-4</v>
      </c>
      <c r="BB1761">
        <v>-6.9999999999999994E-5</v>
      </c>
      <c r="BC1761">
        <v>6.1500000000000001E-3</v>
      </c>
      <c r="BD1761">
        <v>1</v>
      </c>
      <c r="BE1761" t="s">
        <v>69</v>
      </c>
      <c r="BF1761">
        <v>-0.14299999999999999</v>
      </c>
      <c r="BG1761">
        <v>-1.427</v>
      </c>
    </row>
    <row r="1762" spans="1:59">
      <c r="A1762">
        <v>0</v>
      </c>
      <c r="B1762">
        <v>2</v>
      </c>
      <c r="C1762">
        <v>0</v>
      </c>
      <c r="D1762" t="s">
        <v>25022</v>
      </c>
      <c r="E1762">
        <v>3159</v>
      </c>
      <c r="F1762" t="s">
        <v>18361</v>
      </c>
      <c r="G1762" t="s">
        <v>62</v>
      </c>
      <c r="H1762">
        <v>3116999</v>
      </c>
      <c r="I1762">
        <v>3117982</v>
      </c>
      <c r="J1762" t="s">
        <v>18354</v>
      </c>
      <c r="K1762">
        <v>328</v>
      </c>
      <c r="L1762" t="s">
        <v>18362</v>
      </c>
      <c r="M1762">
        <v>25</v>
      </c>
      <c r="N1762" t="str">
        <f>HYPERLINK("Gene3159-zp_tree_all.dnd", "Gene3159-tree")</f>
        <v>Gene3159-tree</v>
      </c>
      <c r="O1762">
        <v>2</v>
      </c>
      <c r="P1762">
        <v>3</v>
      </c>
      <c r="Q1762">
        <v>2</v>
      </c>
      <c r="R1762">
        <v>3</v>
      </c>
      <c r="S1762">
        <v>0.6</v>
      </c>
      <c r="T1762" t="s">
        <v>81</v>
      </c>
      <c r="U1762" t="s">
        <v>324</v>
      </c>
      <c r="V1762" t="s">
        <v>62</v>
      </c>
      <c r="W1762" t="s">
        <v>62</v>
      </c>
      <c r="X1762">
        <v>1</v>
      </c>
      <c r="Y1762">
        <v>2</v>
      </c>
      <c r="Z1762">
        <v>20</v>
      </c>
      <c r="AA1762">
        <v>9.0910000000000005E-2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17</v>
      </c>
      <c r="AK1762">
        <v>0</v>
      </c>
      <c r="AL1762">
        <v>4</v>
      </c>
      <c r="AM1762">
        <v>2</v>
      </c>
      <c r="AN1762">
        <v>22</v>
      </c>
      <c r="AO1762">
        <v>17</v>
      </c>
      <c r="AP1762">
        <v>9</v>
      </c>
      <c r="AQ1762">
        <v>5</v>
      </c>
      <c r="AR1762" t="s">
        <v>18363</v>
      </c>
      <c r="AS1762" t="s">
        <v>18364</v>
      </c>
      <c r="AT1762">
        <v>0.41099999999999998</v>
      </c>
      <c r="AU1762" t="s">
        <v>65</v>
      </c>
      <c r="AV1762">
        <v>31</v>
      </c>
      <c r="AW1762">
        <v>22</v>
      </c>
      <c r="AX1762" t="s">
        <v>18365</v>
      </c>
      <c r="AY1762">
        <v>6.3950000000000007E-2</v>
      </c>
      <c r="AZ1762">
        <v>-9.2099999999999994E-3</v>
      </c>
      <c r="BA1762">
        <v>1.26E-2</v>
      </c>
      <c r="BB1762">
        <v>-2.16E-3</v>
      </c>
      <c r="BC1762">
        <v>0.1971</v>
      </c>
      <c r="BD1762">
        <v>1</v>
      </c>
      <c r="BE1762" t="s">
        <v>69</v>
      </c>
      <c r="BF1762">
        <v>-0.48099999999999998</v>
      </c>
      <c r="BG1762">
        <v>-0.371</v>
      </c>
    </row>
    <row r="1763" spans="1:59">
      <c r="A1763">
        <v>0</v>
      </c>
      <c r="B1763">
        <v>28</v>
      </c>
      <c r="C1763">
        <v>2</v>
      </c>
      <c r="D1763" t="s">
        <v>25022</v>
      </c>
      <c r="E1763">
        <v>4095</v>
      </c>
      <c r="F1763" t="s">
        <v>24110</v>
      </c>
      <c r="G1763" t="s">
        <v>62</v>
      </c>
      <c r="H1763">
        <v>4062546</v>
      </c>
      <c r="I1763">
        <v>4063529</v>
      </c>
      <c r="J1763" t="s">
        <v>24111</v>
      </c>
      <c r="K1763">
        <v>328</v>
      </c>
      <c r="L1763" t="s">
        <v>108</v>
      </c>
      <c r="M1763">
        <v>44</v>
      </c>
      <c r="N1763" t="str">
        <f>HYPERLINK("Gene4095-zp_tree_all.dnd", "Gene4095-tree")</f>
        <v>Gene4095-tree</v>
      </c>
      <c r="O1763">
        <v>2</v>
      </c>
      <c r="P1763">
        <v>32</v>
      </c>
      <c r="Q1763">
        <v>2</v>
      </c>
      <c r="R1763">
        <v>13</v>
      </c>
      <c r="S1763">
        <v>0.86667000000000005</v>
      </c>
      <c r="T1763" t="s">
        <v>81</v>
      </c>
      <c r="U1763" t="s">
        <v>10857</v>
      </c>
      <c r="V1763">
        <v>0.96099999999999997</v>
      </c>
      <c r="W1763" t="s">
        <v>65</v>
      </c>
      <c r="X1763">
        <v>11</v>
      </c>
      <c r="Y1763">
        <v>30</v>
      </c>
      <c r="Z1763">
        <v>15</v>
      </c>
      <c r="AA1763">
        <v>0.66666999999999998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11</v>
      </c>
      <c r="AH1763">
        <v>2</v>
      </c>
      <c r="AI1763">
        <v>13</v>
      </c>
      <c r="AJ1763">
        <v>20</v>
      </c>
      <c r="AK1763">
        <v>0.39394000000000001</v>
      </c>
      <c r="AL1763">
        <v>13</v>
      </c>
      <c r="AM1763">
        <v>12</v>
      </c>
      <c r="AN1763">
        <v>43</v>
      </c>
      <c r="AO1763">
        <v>26</v>
      </c>
      <c r="AP1763">
        <v>51</v>
      </c>
      <c r="AQ1763">
        <v>22</v>
      </c>
      <c r="AR1763" t="s">
        <v>24112</v>
      </c>
      <c r="AS1763" t="s">
        <v>24113</v>
      </c>
      <c r="AT1763">
        <v>0.51800000000000002</v>
      </c>
      <c r="AU1763" t="s">
        <v>65</v>
      </c>
      <c r="AV1763">
        <v>94</v>
      </c>
      <c r="AW1763">
        <v>48</v>
      </c>
      <c r="AX1763" t="s">
        <v>24114</v>
      </c>
      <c r="AY1763">
        <v>8.1280000000000005E-2</v>
      </c>
      <c r="AZ1763">
        <v>-2.99E-3</v>
      </c>
      <c r="BA1763">
        <v>1.0800000000000001E-2</v>
      </c>
      <c r="BB1763">
        <v>-3.6999999999999999E-4</v>
      </c>
      <c r="BC1763">
        <v>0.13289999999999999</v>
      </c>
      <c r="BD1763">
        <v>1</v>
      </c>
      <c r="BE1763" t="s">
        <v>69</v>
      </c>
      <c r="BF1763">
        <v>0.40300000000000002</v>
      </c>
      <c r="BG1763">
        <v>0.14899999999999999</v>
      </c>
    </row>
    <row r="1764" spans="1:59">
      <c r="A1764">
        <v>0</v>
      </c>
      <c r="B1764">
        <v>6</v>
      </c>
      <c r="C1764">
        <v>0</v>
      </c>
      <c r="D1764" t="s">
        <v>25022</v>
      </c>
      <c r="E1764">
        <v>3380</v>
      </c>
      <c r="F1764" t="s">
        <v>19763</v>
      </c>
      <c r="G1764" t="s">
        <v>62</v>
      </c>
      <c r="H1764">
        <v>3351113</v>
      </c>
      <c r="I1764">
        <v>3352096</v>
      </c>
      <c r="J1764" t="s">
        <v>19764</v>
      </c>
      <c r="K1764">
        <v>328</v>
      </c>
      <c r="L1764" t="s">
        <v>59</v>
      </c>
      <c r="M1764">
        <v>49</v>
      </c>
      <c r="N1764" t="str">
        <f>HYPERLINK("Gene3380-zp_tree_all.dnd", "Gene3380-tree")</f>
        <v>Gene3380-tree</v>
      </c>
      <c r="O1764">
        <v>9</v>
      </c>
      <c r="P1764">
        <v>8</v>
      </c>
      <c r="Q1764">
        <v>9</v>
      </c>
      <c r="R1764">
        <v>8</v>
      </c>
      <c r="S1764">
        <v>0.47059000000000001</v>
      </c>
      <c r="T1764" t="s">
        <v>135</v>
      </c>
      <c r="U1764" t="s">
        <v>136</v>
      </c>
      <c r="V1764" t="s">
        <v>62</v>
      </c>
      <c r="W1764" t="s">
        <v>62</v>
      </c>
      <c r="X1764">
        <v>3</v>
      </c>
      <c r="Y1764">
        <v>6</v>
      </c>
      <c r="Z1764">
        <v>15</v>
      </c>
      <c r="AA1764">
        <v>0.28571000000000002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</v>
      </c>
      <c r="AH1764">
        <v>0</v>
      </c>
      <c r="AI1764">
        <v>2</v>
      </c>
      <c r="AJ1764">
        <v>9</v>
      </c>
      <c r="AK1764">
        <v>0.18182000000000001</v>
      </c>
      <c r="AL1764">
        <v>16</v>
      </c>
      <c r="AM1764">
        <v>10</v>
      </c>
      <c r="AN1764">
        <v>30</v>
      </c>
      <c r="AO1764">
        <v>11</v>
      </c>
      <c r="AP1764">
        <v>47</v>
      </c>
      <c r="AQ1764">
        <v>10</v>
      </c>
      <c r="AR1764" t="s">
        <v>19765</v>
      </c>
      <c r="AS1764" t="s">
        <v>19766</v>
      </c>
      <c r="AT1764">
        <v>0.57899999999999996</v>
      </c>
      <c r="AU1764" t="s">
        <v>65</v>
      </c>
      <c r="AV1764">
        <v>77</v>
      </c>
      <c r="AW1764">
        <v>21</v>
      </c>
      <c r="AX1764" t="s">
        <v>19767</v>
      </c>
      <c r="AY1764">
        <v>9.1600000000000001E-2</v>
      </c>
      <c r="AZ1764">
        <v>-6.0499999999999998E-3</v>
      </c>
      <c r="BA1764">
        <v>5.7299999999999999E-3</v>
      </c>
      <c r="BB1764">
        <v>-3.5E-4</v>
      </c>
      <c r="BC1764">
        <v>6.2570000000000001E-2</v>
      </c>
      <c r="BD1764">
        <v>1</v>
      </c>
      <c r="BE1764" t="s">
        <v>69</v>
      </c>
      <c r="BF1764">
        <v>-1.1619999999999999</v>
      </c>
      <c r="BG1764">
        <v>-0.13500000000000001</v>
      </c>
    </row>
    <row r="1765" spans="1:59">
      <c r="A1765">
        <v>0</v>
      </c>
      <c r="B1765">
        <v>4</v>
      </c>
      <c r="C1765">
        <v>0</v>
      </c>
      <c r="D1765" t="s">
        <v>25022</v>
      </c>
      <c r="E1765">
        <v>1172</v>
      </c>
      <c r="F1765" t="s">
        <v>7381</v>
      </c>
      <c r="G1765" t="s">
        <v>57</v>
      </c>
      <c r="H1765">
        <v>1211477</v>
      </c>
      <c r="I1765">
        <v>1212460</v>
      </c>
      <c r="J1765" t="s">
        <v>7382</v>
      </c>
      <c r="K1765">
        <v>328</v>
      </c>
      <c r="L1765" t="s">
        <v>394</v>
      </c>
      <c r="M1765">
        <v>48</v>
      </c>
      <c r="N1765" t="str">
        <f>HYPERLINK("Gene1172-zp_tree_all.dnd", "Gene1172-tree")</f>
        <v>Gene1172-tree</v>
      </c>
      <c r="O1765">
        <v>12</v>
      </c>
      <c r="P1765">
        <v>6</v>
      </c>
      <c r="Q1765">
        <v>12</v>
      </c>
      <c r="R1765">
        <v>6</v>
      </c>
      <c r="S1765">
        <v>0.33333000000000002</v>
      </c>
      <c r="T1765" t="s">
        <v>109</v>
      </c>
      <c r="U1765" t="s">
        <v>90</v>
      </c>
      <c r="V1765" t="s">
        <v>62</v>
      </c>
      <c r="W1765" t="s">
        <v>62</v>
      </c>
      <c r="X1765">
        <v>2</v>
      </c>
      <c r="Y1765">
        <v>4</v>
      </c>
      <c r="Z1765">
        <v>8</v>
      </c>
      <c r="AA1765">
        <v>0.33333000000000002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</v>
      </c>
      <c r="AH1765">
        <v>0</v>
      </c>
      <c r="AI1765">
        <v>2</v>
      </c>
      <c r="AJ1765">
        <v>8</v>
      </c>
      <c r="AK1765">
        <v>0.2</v>
      </c>
      <c r="AL1765">
        <v>16</v>
      </c>
      <c r="AM1765">
        <v>13</v>
      </c>
      <c r="AN1765">
        <v>65</v>
      </c>
      <c r="AO1765">
        <v>10</v>
      </c>
      <c r="AP1765">
        <v>61</v>
      </c>
      <c r="AQ1765">
        <v>2</v>
      </c>
      <c r="AR1765" t="s">
        <v>7383</v>
      </c>
      <c r="AS1765" t="s">
        <v>7384</v>
      </c>
      <c r="AT1765">
        <v>0.78700000000000003</v>
      </c>
      <c r="AU1765" t="s">
        <v>65</v>
      </c>
      <c r="AV1765">
        <v>126</v>
      </c>
      <c r="AW1765">
        <v>12</v>
      </c>
      <c r="AX1765" t="s">
        <v>7385</v>
      </c>
      <c r="AY1765">
        <v>0.11761000000000001</v>
      </c>
      <c r="AZ1765">
        <v>-7.8899999999999994E-3</v>
      </c>
      <c r="BA1765">
        <v>2.4499999999999999E-3</v>
      </c>
      <c r="BB1765">
        <v>-1.9000000000000001E-4</v>
      </c>
      <c r="BC1765">
        <v>2.0789999999999999E-2</v>
      </c>
      <c r="BD1765">
        <v>1</v>
      </c>
      <c r="BE1765" t="s">
        <v>69</v>
      </c>
      <c r="BF1765">
        <v>-1.5960000000000001</v>
      </c>
      <c r="BG1765">
        <v>-1.7130000000000001</v>
      </c>
    </row>
    <row r="1766" spans="1:59">
      <c r="A1766">
        <v>0</v>
      </c>
      <c r="B1766">
        <v>4</v>
      </c>
      <c r="C1766">
        <v>0</v>
      </c>
      <c r="D1766" t="s">
        <v>25022</v>
      </c>
      <c r="E1766">
        <v>1912</v>
      </c>
      <c r="F1766" t="s">
        <v>11975</v>
      </c>
      <c r="G1766" t="s">
        <v>57</v>
      </c>
      <c r="H1766">
        <v>2007526</v>
      </c>
      <c r="I1766">
        <v>2008512</v>
      </c>
      <c r="J1766" t="s">
        <v>1940</v>
      </c>
      <c r="K1766">
        <v>329</v>
      </c>
      <c r="L1766" t="s">
        <v>108</v>
      </c>
      <c r="M1766">
        <v>44</v>
      </c>
      <c r="N1766" t="str">
        <f>HYPERLINK("Gene1912-zp_tree_all.dnd", "Gene1912-tree")</f>
        <v>Gene1912-tree</v>
      </c>
      <c r="O1766">
        <v>3</v>
      </c>
      <c r="P1766">
        <v>10</v>
      </c>
      <c r="Q1766">
        <v>3</v>
      </c>
      <c r="R1766">
        <v>10</v>
      </c>
      <c r="S1766">
        <v>0.76922999999999997</v>
      </c>
      <c r="T1766" t="s">
        <v>324</v>
      </c>
      <c r="U1766" t="s">
        <v>117</v>
      </c>
      <c r="V1766" t="s">
        <v>62</v>
      </c>
      <c r="W1766" t="s">
        <v>62</v>
      </c>
      <c r="X1766">
        <v>2</v>
      </c>
      <c r="Y1766">
        <v>4</v>
      </c>
      <c r="Z1766">
        <v>22</v>
      </c>
      <c r="AA1766">
        <v>0.15384999999999999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20</v>
      </c>
      <c r="AK1766">
        <v>0</v>
      </c>
      <c r="AL1766">
        <v>12</v>
      </c>
      <c r="AM1766">
        <v>6</v>
      </c>
      <c r="AN1766">
        <v>40</v>
      </c>
      <c r="AO1766">
        <v>19</v>
      </c>
      <c r="AP1766">
        <v>13</v>
      </c>
      <c r="AQ1766">
        <v>9</v>
      </c>
      <c r="AR1766" t="s">
        <v>11976</v>
      </c>
      <c r="AS1766" t="s">
        <v>11977</v>
      </c>
      <c r="AT1766">
        <v>0.50700000000000001</v>
      </c>
      <c r="AU1766" t="s">
        <v>65</v>
      </c>
      <c r="AV1766">
        <v>53</v>
      </c>
      <c r="AW1766">
        <v>28</v>
      </c>
      <c r="AX1766" t="s">
        <v>11978</v>
      </c>
      <c r="AY1766">
        <v>4.0939999999999997E-2</v>
      </c>
      <c r="AZ1766">
        <v>-2.49E-3</v>
      </c>
      <c r="BA1766">
        <v>7.0600000000000003E-3</v>
      </c>
      <c r="BB1766">
        <v>-5.4000000000000001E-4</v>
      </c>
      <c r="BC1766">
        <v>0.17255000000000001</v>
      </c>
      <c r="BD1766">
        <v>1</v>
      </c>
      <c r="BE1766" t="s">
        <v>69</v>
      </c>
      <c r="BF1766">
        <v>-1.405</v>
      </c>
      <c r="BG1766">
        <v>-2.6459999999999999</v>
      </c>
    </row>
    <row r="1767" spans="1:59">
      <c r="A1767">
        <v>0</v>
      </c>
      <c r="B1767">
        <v>16</v>
      </c>
      <c r="C1767">
        <v>7</v>
      </c>
      <c r="D1767" t="s">
        <v>25022</v>
      </c>
      <c r="E1767">
        <v>1091</v>
      </c>
      <c r="F1767" t="s">
        <v>6858</v>
      </c>
      <c r="G1767" t="s">
        <v>57</v>
      </c>
      <c r="H1767">
        <v>1129715</v>
      </c>
      <c r="I1767">
        <v>1130701</v>
      </c>
      <c r="J1767" t="s">
        <v>6859</v>
      </c>
      <c r="K1767">
        <v>329</v>
      </c>
      <c r="L1767" t="s">
        <v>698</v>
      </c>
      <c r="M1767">
        <v>47</v>
      </c>
      <c r="N1767" t="str">
        <f>HYPERLINK("Gene1091-zp_tree_all.dnd", "Gene1091-tree")</f>
        <v>Gene1091-tree</v>
      </c>
      <c r="O1767">
        <v>5</v>
      </c>
      <c r="P1767">
        <v>12</v>
      </c>
      <c r="Q1767">
        <v>5</v>
      </c>
      <c r="R1767">
        <v>12</v>
      </c>
      <c r="S1767">
        <v>0.70587999999999995</v>
      </c>
      <c r="T1767" t="s">
        <v>199</v>
      </c>
      <c r="U1767" t="s">
        <v>109</v>
      </c>
      <c r="V1767" t="s">
        <v>62</v>
      </c>
      <c r="W1767" t="s">
        <v>62</v>
      </c>
      <c r="X1767">
        <v>9</v>
      </c>
      <c r="Y1767">
        <v>23</v>
      </c>
      <c r="Z1767">
        <v>16</v>
      </c>
      <c r="AA1767">
        <v>0.58974000000000004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8</v>
      </c>
      <c r="AH1767">
        <v>2</v>
      </c>
      <c r="AI1767">
        <v>10</v>
      </c>
      <c r="AJ1767">
        <v>13</v>
      </c>
      <c r="AK1767">
        <v>0.43478</v>
      </c>
      <c r="AL1767">
        <v>16</v>
      </c>
      <c r="AM1767">
        <v>12</v>
      </c>
      <c r="AN1767">
        <v>55</v>
      </c>
      <c r="AO1767">
        <v>24</v>
      </c>
      <c r="AP1767">
        <v>37</v>
      </c>
      <c r="AQ1767">
        <v>17</v>
      </c>
      <c r="AR1767" t="s">
        <v>6860</v>
      </c>
      <c r="AS1767" t="s">
        <v>6861</v>
      </c>
      <c r="AT1767">
        <v>4.2000000000000003E-2</v>
      </c>
      <c r="AU1767" t="s">
        <v>65</v>
      </c>
      <c r="AV1767">
        <v>92</v>
      </c>
      <c r="AW1767">
        <v>41</v>
      </c>
      <c r="AX1767" t="s">
        <v>6862</v>
      </c>
      <c r="AY1767">
        <v>7.4099999999999999E-2</v>
      </c>
      <c r="AZ1767">
        <v>-3.9100000000000003E-3</v>
      </c>
      <c r="BA1767">
        <v>8.94E-3</v>
      </c>
      <c r="BB1767">
        <v>-6.8000000000000005E-4</v>
      </c>
      <c r="BC1767">
        <v>0.12069000000000001</v>
      </c>
      <c r="BD1767">
        <v>1</v>
      </c>
      <c r="BE1767" t="s">
        <v>69</v>
      </c>
      <c r="BF1767">
        <v>-1.107</v>
      </c>
      <c r="BG1767">
        <v>-1.014</v>
      </c>
    </row>
    <row r="1768" spans="1:59">
      <c r="A1768">
        <v>0</v>
      </c>
      <c r="B1768">
        <v>4</v>
      </c>
      <c r="C1768">
        <v>0</v>
      </c>
      <c r="D1768" t="s">
        <v>25022</v>
      </c>
      <c r="E1768">
        <v>1173</v>
      </c>
      <c r="F1768" t="s">
        <v>7388</v>
      </c>
      <c r="G1768" t="s">
        <v>57</v>
      </c>
      <c r="H1768">
        <v>1212460</v>
      </c>
      <c r="I1768">
        <v>1213446</v>
      </c>
      <c r="J1768" t="s">
        <v>7382</v>
      </c>
      <c r="K1768">
        <v>329</v>
      </c>
      <c r="L1768" t="s">
        <v>108</v>
      </c>
      <c r="M1768">
        <v>44</v>
      </c>
      <c r="N1768" t="str">
        <f>HYPERLINK("Gene1173-zp_tree_all.dnd", "Gene1173-tree")</f>
        <v>Gene1173-tree</v>
      </c>
      <c r="O1768">
        <v>7</v>
      </c>
      <c r="P1768">
        <v>6</v>
      </c>
      <c r="Q1768">
        <v>7</v>
      </c>
      <c r="R1768">
        <v>6</v>
      </c>
      <c r="S1768">
        <v>0.46154000000000001</v>
      </c>
      <c r="T1768" t="s">
        <v>152</v>
      </c>
      <c r="U1768" t="s">
        <v>90</v>
      </c>
      <c r="V1768" t="s">
        <v>62</v>
      </c>
      <c r="W1768" t="s">
        <v>62</v>
      </c>
      <c r="X1768">
        <v>2</v>
      </c>
      <c r="Y1768">
        <v>4</v>
      </c>
      <c r="Z1768">
        <v>6</v>
      </c>
      <c r="AA1768">
        <v>0.4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</v>
      </c>
      <c r="AH1768">
        <v>0</v>
      </c>
      <c r="AI1768">
        <v>2</v>
      </c>
      <c r="AJ1768">
        <v>7</v>
      </c>
      <c r="AK1768">
        <v>0.22222</v>
      </c>
      <c r="AL1768">
        <v>12</v>
      </c>
      <c r="AM1768">
        <v>7</v>
      </c>
      <c r="AN1768">
        <v>32</v>
      </c>
      <c r="AO1768">
        <v>9</v>
      </c>
      <c r="AP1768">
        <v>10</v>
      </c>
      <c r="AQ1768">
        <v>1</v>
      </c>
      <c r="AR1768" t="s">
        <v>7389</v>
      </c>
      <c r="AS1768" t="s">
        <v>7390</v>
      </c>
      <c r="AT1768">
        <v>0.61199999999999999</v>
      </c>
      <c r="AU1768" t="s">
        <v>65</v>
      </c>
      <c r="AV1768">
        <v>42</v>
      </c>
      <c r="AW1768">
        <v>10</v>
      </c>
      <c r="AX1768" t="s">
        <v>7391</v>
      </c>
      <c r="AY1768">
        <v>3.2410000000000001E-2</v>
      </c>
      <c r="AZ1768">
        <v>-1.57E-3</v>
      </c>
      <c r="BA1768">
        <v>2.1099999999999999E-3</v>
      </c>
      <c r="BB1768">
        <v>-1.7000000000000001E-4</v>
      </c>
      <c r="BC1768">
        <v>6.5000000000000002E-2</v>
      </c>
      <c r="BD1768">
        <v>1</v>
      </c>
      <c r="BE1768" t="s">
        <v>69</v>
      </c>
      <c r="BF1768">
        <v>-1.76</v>
      </c>
      <c r="BG1768">
        <v>-2.7240000000000002</v>
      </c>
    </row>
    <row r="1769" spans="1:59">
      <c r="A1769">
        <v>0</v>
      </c>
      <c r="B1769">
        <v>2</v>
      </c>
      <c r="C1769">
        <v>0</v>
      </c>
      <c r="D1769" t="s">
        <v>25022</v>
      </c>
      <c r="E1769">
        <v>507</v>
      </c>
      <c r="F1769" t="s">
        <v>3324</v>
      </c>
      <c r="G1769" t="s">
        <v>57</v>
      </c>
      <c r="H1769">
        <v>544022</v>
      </c>
      <c r="I1769">
        <v>545008</v>
      </c>
      <c r="J1769" t="s">
        <v>3325</v>
      </c>
      <c r="K1769">
        <v>329</v>
      </c>
      <c r="L1769" t="s">
        <v>3326</v>
      </c>
      <c r="M1769">
        <v>19</v>
      </c>
      <c r="N1769" t="str">
        <f>HYPERLINK("Gene507-zp_tree_all.dnd", "Gene507-tree")</f>
        <v>Gene507-tree</v>
      </c>
      <c r="O1769">
        <v>1</v>
      </c>
      <c r="P1769">
        <v>4</v>
      </c>
      <c r="Q1769">
        <v>1</v>
      </c>
      <c r="R1769">
        <v>4</v>
      </c>
      <c r="S1769">
        <v>0.8</v>
      </c>
      <c r="T1769" t="s">
        <v>175</v>
      </c>
      <c r="U1769" t="s">
        <v>61</v>
      </c>
      <c r="V1769" t="s">
        <v>62</v>
      </c>
      <c r="W1769" t="s">
        <v>62</v>
      </c>
      <c r="X1769">
        <v>1</v>
      </c>
      <c r="Y1769">
        <v>2</v>
      </c>
      <c r="Z1769">
        <v>15</v>
      </c>
      <c r="AA1769">
        <v>0.11765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</v>
      </c>
      <c r="AH1769">
        <v>0</v>
      </c>
      <c r="AI1769">
        <v>2</v>
      </c>
      <c r="AJ1769">
        <v>15</v>
      </c>
      <c r="AK1769">
        <v>0.11765</v>
      </c>
      <c r="AL1769">
        <v>5</v>
      </c>
      <c r="AM1769">
        <v>2</v>
      </c>
      <c r="AN1769">
        <v>47</v>
      </c>
      <c r="AO1769">
        <v>17</v>
      </c>
      <c r="AP1769">
        <v>17</v>
      </c>
      <c r="AQ1769">
        <v>0</v>
      </c>
      <c r="AR1769" t="s">
        <v>3327</v>
      </c>
      <c r="AS1769" t="s">
        <v>193</v>
      </c>
      <c r="AT1769">
        <v>1.2110000000000001</v>
      </c>
      <c r="AU1769" t="s">
        <v>65</v>
      </c>
      <c r="AV1769">
        <v>64</v>
      </c>
      <c r="AW1769">
        <v>17</v>
      </c>
      <c r="AX1769" t="s">
        <v>3328</v>
      </c>
      <c r="AY1769">
        <v>0.14432</v>
      </c>
      <c r="AZ1769">
        <v>-2.3369999999999998E-2</v>
      </c>
      <c r="BA1769">
        <v>9.0900000000000009E-3</v>
      </c>
      <c r="BB1769">
        <v>-1.23E-3</v>
      </c>
      <c r="BC1769">
        <v>6.2960000000000002E-2</v>
      </c>
      <c r="BD1769">
        <v>1</v>
      </c>
      <c r="BE1769" t="s">
        <v>69</v>
      </c>
      <c r="BF1769">
        <v>-0.51500000000000001</v>
      </c>
      <c r="BG1769">
        <v>-1.74</v>
      </c>
    </row>
    <row r="1770" spans="1:59">
      <c r="A1770">
        <v>0</v>
      </c>
      <c r="B1770">
        <v>0</v>
      </c>
      <c r="C1770">
        <v>0</v>
      </c>
      <c r="D1770" t="s">
        <v>25022</v>
      </c>
      <c r="E1770">
        <v>1350</v>
      </c>
      <c r="F1770" t="s">
        <v>8449</v>
      </c>
      <c r="G1770" t="s">
        <v>57</v>
      </c>
      <c r="H1770">
        <v>1368844</v>
      </c>
      <c r="I1770">
        <v>1369830</v>
      </c>
      <c r="J1770" t="s">
        <v>8450</v>
      </c>
      <c r="K1770">
        <v>329</v>
      </c>
      <c r="L1770" t="s">
        <v>108</v>
      </c>
      <c r="M1770">
        <v>44</v>
      </c>
      <c r="N1770" t="str">
        <f>HYPERLINK("Gene1350-zp_tree_all.dnd", "Gene1350-tree")</f>
        <v>Gene1350-tree</v>
      </c>
      <c r="O1770">
        <v>7</v>
      </c>
      <c r="P1770">
        <v>6</v>
      </c>
      <c r="Q1770">
        <v>7</v>
      </c>
      <c r="R1770">
        <v>6</v>
      </c>
      <c r="S1770">
        <v>0.46154000000000001</v>
      </c>
      <c r="T1770" t="s">
        <v>152</v>
      </c>
      <c r="U1770" t="s">
        <v>90</v>
      </c>
      <c r="V1770" t="s">
        <v>62</v>
      </c>
      <c r="W1770" t="s">
        <v>62</v>
      </c>
      <c r="X1770">
        <v>0</v>
      </c>
      <c r="Y1770">
        <v>0</v>
      </c>
      <c r="Z1770">
        <v>14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11</v>
      </c>
      <c r="AK1770">
        <v>0</v>
      </c>
      <c r="AL1770">
        <v>13</v>
      </c>
      <c r="AM1770">
        <v>10</v>
      </c>
      <c r="AN1770">
        <v>75</v>
      </c>
      <c r="AO1770">
        <v>13</v>
      </c>
      <c r="AP1770">
        <v>42</v>
      </c>
      <c r="AQ1770">
        <v>4</v>
      </c>
      <c r="AR1770" t="s">
        <v>8451</v>
      </c>
      <c r="AS1770" t="s">
        <v>8452</v>
      </c>
      <c r="AT1770">
        <v>0.32800000000000001</v>
      </c>
      <c r="AU1770" t="s">
        <v>65</v>
      </c>
      <c r="AV1770">
        <v>117</v>
      </c>
      <c r="AW1770">
        <v>17</v>
      </c>
      <c r="AX1770" t="s">
        <v>8453</v>
      </c>
      <c r="AY1770">
        <v>9.1079999999999994E-2</v>
      </c>
      <c r="AZ1770">
        <v>-5.0499999999999998E-3</v>
      </c>
      <c r="BA1770">
        <v>4.81E-3</v>
      </c>
      <c r="BB1770">
        <v>-3.8000000000000002E-4</v>
      </c>
      <c r="BC1770">
        <v>5.2819999999999999E-2</v>
      </c>
      <c r="BD1770">
        <v>1</v>
      </c>
      <c r="BE1770" t="s">
        <v>69</v>
      </c>
      <c r="BF1770">
        <v>-0.69099999999999995</v>
      </c>
      <c r="BG1770">
        <v>-2.0859999999999999</v>
      </c>
    </row>
    <row r="1771" spans="1:59">
      <c r="A1771">
        <v>0</v>
      </c>
      <c r="B1771">
        <v>0</v>
      </c>
      <c r="C1771">
        <v>0</v>
      </c>
      <c r="D1771" t="s">
        <v>25022</v>
      </c>
      <c r="E1771">
        <v>31</v>
      </c>
      <c r="F1771" t="s">
        <v>295</v>
      </c>
      <c r="G1771" t="s">
        <v>57</v>
      </c>
      <c r="H1771">
        <v>40665</v>
      </c>
      <c r="I1771">
        <v>41651</v>
      </c>
      <c r="J1771" t="s">
        <v>296</v>
      </c>
      <c r="K1771">
        <v>329</v>
      </c>
      <c r="L1771" t="s">
        <v>59</v>
      </c>
      <c r="M1771">
        <v>49</v>
      </c>
      <c r="N1771" t="str">
        <f>HYPERLINK("Gene31-zp_tree_all.dnd", "Gene31-tree")</f>
        <v>Gene31-tree</v>
      </c>
      <c r="O1771">
        <v>12</v>
      </c>
      <c r="P1771">
        <v>5</v>
      </c>
      <c r="Q1771">
        <v>12</v>
      </c>
      <c r="R1771">
        <v>5</v>
      </c>
      <c r="S1771">
        <v>0.29411999999999999</v>
      </c>
      <c r="T1771" t="s">
        <v>109</v>
      </c>
      <c r="U1771" t="s">
        <v>199</v>
      </c>
      <c r="V1771" t="s">
        <v>62</v>
      </c>
      <c r="W1771" t="s">
        <v>62</v>
      </c>
      <c r="X1771">
        <v>0</v>
      </c>
      <c r="Y1771">
        <v>0</v>
      </c>
      <c r="Z1771">
        <v>10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5</v>
      </c>
      <c r="AK1771">
        <v>0</v>
      </c>
      <c r="AL1771">
        <v>14</v>
      </c>
      <c r="AM1771">
        <v>9</v>
      </c>
      <c r="AN1771">
        <v>25</v>
      </c>
      <c r="AO1771">
        <v>5</v>
      </c>
      <c r="AP1771">
        <v>40</v>
      </c>
      <c r="AQ1771">
        <v>5</v>
      </c>
      <c r="AR1771" t="s">
        <v>297</v>
      </c>
      <c r="AS1771" t="s">
        <v>298</v>
      </c>
      <c r="AT1771">
        <v>0.35199999999999998</v>
      </c>
      <c r="AU1771" t="s">
        <v>65</v>
      </c>
      <c r="AV1771">
        <v>65</v>
      </c>
      <c r="AW1771">
        <v>10</v>
      </c>
      <c r="AX1771" t="s">
        <v>299</v>
      </c>
      <c r="AY1771">
        <v>7.2239999999999999E-2</v>
      </c>
      <c r="AZ1771">
        <v>-4.7600000000000003E-3</v>
      </c>
      <c r="BA1771">
        <v>2.6800000000000001E-3</v>
      </c>
      <c r="BB1771">
        <v>-1.8000000000000001E-4</v>
      </c>
      <c r="BC1771">
        <v>3.712E-2</v>
      </c>
      <c r="BD1771">
        <v>1</v>
      </c>
      <c r="BE1771" t="s">
        <v>69</v>
      </c>
      <c r="BF1771">
        <v>-1.57</v>
      </c>
      <c r="BG1771">
        <v>-0.78200000000000003</v>
      </c>
    </row>
    <row r="1772" spans="1:59">
      <c r="A1772">
        <v>0</v>
      </c>
      <c r="B1772">
        <v>0</v>
      </c>
      <c r="C1772">
        <v>0</v>
      </c>
      <c r="D1772" t="s">
        <v>25022</v>
      </c>
      <c r="E1772">
        <v>1656</v>
      </c>
      <c r="F1772" t="s">
        <v>10369</v>
      </c>
      <c r="G1772" t="s">
        <v>57</v>
      </c>
      <c r="H1772">
        <v>1670140</v>
      </c>
      <c r="I1772">
        <v>1671126</v>
      </c>
      <c r="J1772" t="s">
        <v>10370</v>
      </c>
      <c r="K1772">
        <v>329</v>
      </c>
      <c r="L1772" t="s">
        <v>108</v>
      </c>
      <c r="M1772">
        <v>44</v>
      </c>
      <c r="N1772" t="str">
        <f>HYPERLINK("Gene1656-zp_tree_all.dnd", "Gene1656-tree")</f>
        <v>Gene1656-tree</v>
      </c>
      <c r="O1772">
        <v>9</v>
      </c>
      <c r="P1772">
        <v>2</v>
      </c>
      <c r="Q1772">
        <v>9</v>
      </c>
      <c r="R1772">
        <v>2</v>
      </c>
      <c r="S1772">
        <v>0.18182000000000001</v>
      </c>
      <c r="T1772" t="s">
        <v>135</v>
      </c>
      <c r="U1772" t="s">
        <v>81</v>
      </c>
      <c r="V1772" t="s">
        <v>62</v>
      </c>
      <c r="W1772" t="s">
        <v>62</v>
      </c>
      <c r="X1772">
        <v>0</v>
      </c>
      <c r="Y1772">
        <v>0</v>
      </c>
      <c r="Z1772">
        <v>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</v>
      </c>
      <c r="AK1772">
        <v>0</v>
      </c>
      <c r="AL1772">
        <v>10</v>
      </c>
      <c r="AM1772">
        <v>8</v>
      </c>
      <c r="AN1772">
        <v>24</v>
      </c>
      <c r="AO1772">
        <v>1</v>
      </c>
      <c r="AP1772">
        <v>16</v>
      </c>
      <c r="AQ1772">
        <v>1</v>
      </c>
      <c r="AR1772" t="s">
        <v>10371</v>
      </c>
      <c r="AS1772" t="s">
        <v>10372</v>
      </c>
      <c r="AT1772">
        <v>0.104</v>
      </c>
      <c r="AU1772" t="s">
        <v>65</v>
      </c>
      <c r="AV1772">
        <v>40</v>
      </c>
      <c r="AW1772">
        <v>2</v>
      </c>
      <c r="AX1772" t="s">
        <v>10373</v>
      </c>
      <c r="AY1772">
        <v>4.1730000000000003E-2</v>
      </c>
      <c r="AZ1772">
        <v>-1.72E-3</v>
      </c>
      <c r="BA1772">
        <v>6.7000000000000002E-4</v>
      </c>
      <c r="BB1772">
        <v>-1.2999999999999999E-4</v>
      </c>
      <c r="BC1772">
        <v>1.6029999999999999E-2</v>
      </c>
      <c r="BD1772">
        <v>1</v>
      </c>
      <c r="BE1772" t="s">
        <v>69</v>
      </c>
      <c r="BF1772">
        <v>-0.154</v>
      </c>
      <c r="BG1772">
        <v>-0.42499999999999999</v>
      </c>
    </row>
    <row r="1773" spans="1:59">
      <c r="A1773">
        <v>0</v>
      </c>
      <c r="B1773">
        <v>0</v>
      </c>
      <c r="C1773">
        <v>0</v>
      </c>
      <c r="D1773" t="s">
        <v>25022</v>
      </c>
      <c r="E1773">
        <v>2457</v>
      </c>
      <c r="F1773" t="s">
        <v>14311</v>
      </c>
      <c r="G1773" t="s">
        <v>62</v>
      </c>
      <c r="H1773">
        <v>2455822</v>
      </c>
      <c r="I1773">
        <v>2456808</v>
      </c>
      <c r="J1773" t="s">
        <v>14312</v>
      </c>
      <c r="K1773">
        <v>329</v>
      </c>
      <c r="L1773" t="s">
        <v>59</v>
      </c>
      <c r="M1773">
        <v>49</v>
      </c>
      <c r="N1773" t="str">
        <f>HYPERLINK("Gene2457-zp_tree_all.dnd", "Gene2457-tree")</f>
        <v>Gene2457-tree</v>
      </c>
      <c r="O1773">
        <v>13</v>
      </c>
      <c r="P1773">
        <v>5</v>
      </c>
      <c r="Q1773">
        <v>13</v>
      </c>
      <c r="R1773">
        <v>5</v>
      </c>
      <c r="S1773">
        <v>0.27778000000000003</v>
      </c>
      <c r="T1773" t="s">
        <v>507</v>
      </c>
      <c r="U1773" t="s">
        <v>199</v>
      </c>
      <c r="V1773" t="s">
        <v>62</v>
      </c>
      <c r="W1773" t="s">
        <v>62</v>
      </c>
      <c r="X1773">
        <v>0</v>
      </c>
      <c r="Y1773">
        <v>0</v>
      </c>
      <c r="Z1773">
        <v>7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5</v>
      </c>
      <c r="AK1773">
        <v>0</v>
      </c>
      <c r="AL1773">
        <v>14</v>
      </c>
      <c r="AM1773">
        <v>13</v>
      </c>
      <c r="AN1773">
        <v>31</v>
      </c>
      <c r="AO1773">
        <v>5</v>
      </c>
      <c r="AP1773">
        <v>74</v>
      </c>
      <c r="AQ1773">
        <v>2</v>
      </c>
      <c r="AR1773" t="s">
        <v>14313</v>
      </c>
      <c r="AS1773" t="s">
        <v>14314</v>
      </c>
      <c r="AT1773">
        <v>0.86199999999999999</v>
      </c>
      <c r="AU1773" t="s">
        <v>65</v>
      </c>
      <c r="AV1773">
        <v>105</v>
      </c>
      <c r="AW1773">
        <v>7</v>
      </c>
      <c r="AX1773" t="s">
        <v>14315</v>
      </c>
      <c r="AY1773">
        <v>0.10988000000000001</v>
      </c>
      <c r="AZ1773">
        <v>-6.4900000000000001E-3</v>
      </c>
      <c r="BA1773">
        <v>1.4300000000000001E-3</v>
      </c>
      <c r="BB1773">
        <v>-9.0000000000000006E-5</v>
      </c>
      <c r="BC1773">
        <v>1.304E-2</v>
      </c>
      <c r="BD1773">
        <v>1</v>
      </c>
      <c r="BE1773" t="s">
        <v>69</v>
      </c>
      <c r="BF1773">
        <v>-1.21</v>
      </c>
      <c r="BG1773">
        <v>-0.45600000000000002</v>
      </c>
    </row>
    <row r="1774" spans="1:59">
      <c r="A1774">
        <v>0</v>
      </c>
      <c r="B1774">
        <v>0</v>
      </c>
      <c r="C1774">
        <v>0</v>
      </c>
      <c r="D1774" t="s">
        <v>25022</v>
      </c>
      <c r="E1774">
        <v>1802</v>
      </c>
      <c r="F1774" t="s">
        <v>11286</v>
      </c>
      <c r="G1774" t="s">
        <v>57</v>
      </c>
      <c r="H1774">
        <v>1871089</v>
      </c>
      <c r="I1774">
        <v>1872075</v>
      </c>
      <c r="J1774" t="s">
        <v>11287</v>
      </c>
      <c r="K1774">
        <v>329</v>
      </c>
      <c r="L1774" t="s">
        <v>125</v>
      </c>
      <c r="M1774">
        <v>48</v>
      </c>
      <c r="N1774" t="str">
        <f>HYPERLINK("Gene1802-zp_tree_all.dnd", "Gene1802-tree")</f>
        <v>Gene1802-tree</v>
      </c>
      <c r="O1774">
        <v>17</v>
      </c>
      <c r="P1774">
        <v>1</v>
      </c>
      <c r="Q1774">
        <v>17</v>
      </c>
      <c r="R1774">
        <v>1</v>
      </c>
      <c r="S1774">
        <v>5.5559999999999998E-2</v>
      </c>
      <c r="T1774" t="s">
        <v>266</v>
      </c>
      <c r="U1774" t="s">
        <v>175</v>
      </c>
      <c r="V1774" t="s">
        <v>62</v>
      </c>
      <c r="W1774" t="s">
        <v>62</v>
      </c>
      <c r="X1774">
        <v>0</v>
      </c>
      <c r="Y1774">
        <v>0</v>
      </c>
      <c r="Z1774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16</v>
      </c>
      <c r="AM1774">
        <v>13</v>
      </c>
      <c r="AN1774">
        <v>46</v>
      </c>
      <c r="AO1774">
        <v>1</v>
      </c>
      <c r="AP1774">
        <v>65</v>
      </c>
      <c r="AQ1774">
        <v>3</v>
      </c>
      <c r="AR1774" t="s">
        <v>11288</v>
      </c>
      <c r="AS1774" t="s">
        <v>11289</v>
      </c>
      <c r="AT1774">
        <v>0.125</v>
      </c>
      <c r="AU1774" t="s">
        <v>65</v>
      </c>
      <c r="AV1774">
        <v>111</v>
      </c>
      <c r="AW1774">
        <v>4</v>
      </c>
      <c r="AX1774" t="s">
        <v>11290</v>
      </c>
      <c r="AY1774">
        <v>0.12003999999999999</v>
      </c>
      <c r="AZ1774">
        <v>-7.0000000000000001E-3</v>
      </c>
      <c r="BA1774">
        <v>1.56E-3</v>
      </c>
      <c r="BB1774">
        <v>-1.6000000000000001E-4</v>
      </c>
      <c r="BC1774">
        <v>1.298E-2</v>
      </c>
      <c r="BD1774">
        <v>1</v>
      </c>
      <c r="BE1774" t="s">
        <v>69</v>
      </c>
      <c r="BF1774">
        <v>-0.95399999999999996</v>
      </c>
      <c r="BG1774">
        <v>0.16500000000000001</v>
      </c>
    </row>
    <row r="1775" spans="1:59">
      <c r="A1775">
        <v>0</v>
      </c>
      <c r="B1775">
        <v>0</v>
      </c>
      <c r="C1775">
        <v>0</v>
      </c>
      <c r="D1775" t="s">
        <v>25022</v>
      </c>
      <c r="E1775">
        <v>893</v>
      </c>
      <c r="F1775" t="s">
        <v>5575</v>
      </c>
      <c r="G1775" t="s">
        <v>57</v>
      </c>
      <c r="H1775">
        <v>930818</v>
      </c>
      <c r="I1775">
        <v>931804</v>
      </c>
      <c r="J1775" t="s">
        <v>5576</v>
      </c>
      <c r="K1775">
        <v>329</v>
      </c>
      <c r="L1775" t="s">
        <v>5577</v>
      </c>
      <c r="M1775">
        <v>43</v>
      </c>
      <c r="N1775" t="str">
        <f>HYPERLINK("Gene893-zp_tree_all.dnd", "Gene893-tree")</f>
        <v>Gene893-tree</v>
      </c>
      <c r="O1775">
        <v>11</v>
      </c>
      <c r="P1775">
        <v>2</v>
      </c>
      <c r="Q1775">
        <v>11</v>
      </c>
      <c r="R1775">
        <v>2</v>
      </c>
      <c r="S1775">
        <v>0.15384999999999999</v>
      </c>
      <c r="T1775" t="s">
        <v>73</v>
      </c>
      <c r="U1775" t="s">
        <v>81</v>
      </c>
      <c r="V1775" t="s">
        <v>62</v>
      </c>
      <c r="W1775" t="s">
        <v>62</v>
      </c>
      <c r="X1775">
        <v>0</v>
      </c>
      <c r="Y1775">
        <v>0</v>
      </c>
      <c r="Z1775">
        <v>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</v>
      </c>
      <c r="AK1775">
        <v>0</v>
      </c>
      <c r="AL1775">
        <v>10</v>
      </c>
      <c r="AM1775">
        <v>7</v>
      </c>
      <c r="AN1775">
        <v>37</v>
      </c>
      <c r="AO1775">
        <v>2</v>
      </c>
      <c r="AP1775">
        <v>11</v>
      </c>
      <c r="AQ1775">
        <v>0</v>
      </c>
      <c r="AR1775" t="s">
        <v>5578</v>
      </c>
      <c r="AS1775" t="s">
        <v>193</v>
      </c>
      <c r="AT1775">
        <v>0.72</v>
      </c>
      <c r="AU1775" t="s">
        <v>65</v>
      </c>
      <c r="AV1775">
        <v>48</v>
      </c>
      <c r="AW1775">
        <v>2</v>
      </c>
      <c r="AX1775" t="s">
        <v>5579</v>
      </c>
      <c r="AY1775">
        <v>4.0899999999999999E-2</v>
      </c>
      <c r="AZ1775">
        <v>-1.9300000000000001E-3</v>
      </c>
      <c r="BA1775">
        <v>4.0000000000000002E-4</v>
      </c>
      <c r="BB1775">
        <v>-6.9999999999999994E-5</v>
      </c>
      <c r="BC1775">
        <v>9.8399999999999998E-3</v>
      </c>
      <c r="BD1775">
        <v>1</v>
      </c>
      <c r="BE1775" t="s">
        <v>69</v>
      </c>
      <c r="BF1775">
        <v>-0.91700000000000004</v>
      </c>
      <c r="BG1775">
        <v>-3.532</v>
      </c>
    </row>
    <row r="1776" spans="1:59">
      <c r="A1776">
        <v>0</v>
      </c>
      <c r="B1776">
        <v>33</v>
      </c>
      <c r="C1776">
        <v>6</v>
      </c>
      <c r="D1776" t="s">
        <v>25022</v>
      </c>
      <c r="E1776">
        <v>3370</v>
      </c>
      <c r="F1776" t="s">
        <v>19701</v>
      </c>
      <c r="G1776" t="s">
        <v>62</v>
      </c>
      <c r="H1776">
        <v>3339948</v>
      </c>
      <c r="I1776">
        <v>3340937</v>
      </c>
      <c r="J1776" t="s">
        <v>19702</v>
      </c>
      <c r="K1776">
        <v>330</v>
      </c>
      <c r="L1776" t="s">
        <v>108</v>
      </c>
      <c r="M1776">
        <v>44</v>
      </c>
      <c r="N1776" t="str">
        <f>HYPERLINK("Gene3370-zp_tree_all.dnd", "Gene3370-tree")</f>
        <v>Gene3370-tree</v>
      </c>
      <c r="O1776">
        <v>4</v>
      </c>
      <c r="P1776">
        <v>11</v>
      </c>
      <c r="Q1776">
        <v>4</v>
      </c>
      <c r="R1776">
        <v>11</v>
      </c>
      <c r="S1776">
        <v>0.73333000000000004</v>
      </c>
      <c r="T1776" t="s">
        <v>61</v>
      </c>
      <c r="U1776" t="s">
        <v>73</v>
      </c>
      <c r="V1776">
        <v>200307210.301</v>
      </c>
      <c r="W1776" t="s">
        <v>267</v>
      </c>
      <c r="X1776">
        <v>13</v>
      </c>
      <c r="Y1776">
        <v>39</v>
      </c>
      <c r="Z1776">
        <v>26</v>
      </c>
      <c r="AA1776">
        <v>0.6</v>
      </c>
      <c r="AB1776">
        <v>0</v>
      </c>
      <c r="AC1776">
        <v>0</v>
      </c>
      <c r="AD1776">
        <v>0</v>
      </c>
      <c r="AE1776">
        <v>4</v>
      </c>
      <c r="AF1776">
        <v>0</v>
      </c>
      <c r="AG1776">
        <v>20</v>
      </c>
      <c r="AH1776">
        <v>4</v>
      </c>
      <c r="AI1776">
        <v>24</v>
      </c>
      <c r="AJ1776">
        <v>25</v>
      </c>
      <c r="AK1776">
        <v>0.48980000000000001</v>
      </c>
      <c r="AL1776">
        <v>14</v>
      </c>
      <c r="AM1776">
        <v>9</v>
      </c>
      <c r="AN1776">
        <v>64</v>
      </c>
      <c r="AO1776">
        <v>49</v>
      </c>
      <c r="AP1776">
        <v>19</v>
      </c>
      <c r="AQ1776">
        <v>16</v>
      </c>
      <c r="AR1776" t="s">
        <v>19703</v>
      </c>
      <c r="AS1776" t="s">
        <v>19704</v>
      </c>
      <c r="AT1776">
        <v>0.186</v>
      </c>
      <c r="AU1776" t="s">
        <v>65</v>
      </c>
      <c r="AV1776">
        <v>83</v>
      </c>
      <c r="AW1776">
        <v>65</v>
      </c>
      <c r="AX1776" t="s">
        <v>19705</v>
      </c>
      <c r="AY1776">
        <v>5.5050000000000002E-2</v>
      </c>
      <c r="AZ1776">
        <v>-2.5100000000000001E-3</v>
      </c>
      <c r="BA1776">
        <v>1.2999999999999999E-2</v>
      </c>
      <c r="BB1776">
        <v>-5.1000000000000004E-4</v>
      </c>
      <c r="BC1776">
        <v>0.23613999999999999</v>
      </c>
      <c r="BD1776">
        <v>1</v>
      </c>
      <c r="BE1776" t="s">
        <v>69</v>
      </c>
      <c r="BF1776">
        <v>-0.89400000000000002</v>
      </c>
      <c r="BG1776">
        <v>-0.97699999999999998</v>
      </c>
    </row>
    <row r="1777" spans="1:59">
      <c r="A1777">
        <v>0</v>
      </c>
      <c r="B1777">
        <v>6</v>
      </c>
      <c r="C1777">
        <v>0</v>
      </c>
      <c r="D1777" t="s">
        <v>25022</v>
      </c>
      <c r="E1777">
        <v>2302</v>
      </c>
      <c r="F1777" t="s">
        <v>13339</v>
      </c>
      <c r="G1777" t="s">
        <v>62</v>
      </c>
      <c r="H1777">
        <v>2321975</v>
      </c>
      <c r="I1777">
        <v>2322964</v>
      </c>
      <c r="J1777" t="s">
        <v>13340</v>
      </c>
      <c r="K1777">
        <v>330</v>
      </c>
      <c r="L1777" t="s">
        <v>108</v>
      </c>
      <c r="M1777">
        <v>44</v>
      </c>
      <c r="N1777" t="str">
        <f>HYPERLINK("Gene2302-zp_tree_all.dnd", "Gene2302-tree")</f>
        <v>Gene2302-tree</v>
      </c>
      <c r="O1777">
        <v>4</v>
      </c>
      <c r="P1777">
        <v>29</v>
      </c>
      <c r="Q1777">
        <v>4</v>
      </c>
      <c r="R1777">
        <v>9</v>
      </c>
      <c r="S1777">
        <v>0.69230999999999998</v>
      </c>
      <c r="T1777" t="s">
        <v>61</v>
      </c>
      <c r="U1777" t="s">
        <v>234</v>
      </c>
      <c r="V1777">
        <v>2.48</v>
      </c>
      <c r="W1777" t="s">
        <v>65</v>
      </c>
      <c r="X1777">
        <v>2</v>
      </c>
      <c r="Y1777">
        <v>6</v>
      </c>
      <c r="Z1777">
        <v>9</v>
      </c>
      <c r="AA1777">
        <v>0.4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4</v>
      </c>
      <c r="AH1777">
        <v>0</v>
      </c>
      <c r="AI1777">
        <v>4</v>
      </c>
      <c r="AJ1777">
        <v>7</v>
      </c>
      <c r="AK1777">
        <v>0.36364000000000002</v>
      </c>
      <c r="AL1777">
        <v>12</v>
      </c>
      <c r="AM1777">
        <v>8</v>
      </c>
      <c r="AN1777">
        <v>33</v>
      </c>
      <c r="AO1777">
        <v>11</v>
      </c>
      <c r="AP1777">
        <v>23</v>
      </c>
      <c r="AQ1777">
        <v>4</v>
      </c>
      <c r="AR1777" t="s">
        <v>13341</v>
      </c>
      <c r="AS1777" t="s">
        <v>13342</v>
      </c>
      <c r="AT1777">
        <v>0.69899999999999995</v>
      </c>
      <c r="AU1777" t="s">
        <v>65</v>
      </c>
      <c r="AV1777">
        <v>56</v>
      </c>
      <c r="AW1777">
        <v>15</v>
      </c>
      <c r="AX1777" t="s">
        <v>13343</v>
      </c>
      <c r="AY1777">
        <v>5.0009999999999999E-2</v>
      </c>
      <c r="AZ1777">
        <v>-2.7799999999999999E-3</v>
      </c>
      <c r="BA1777">
        <v>3.49E-3</v>
      </c>
      <c r="BB1777">
        <v>-2.1000000000000001E-4</v>
      </c>
      <c r="BC1777">
        <v>6.9699999999999998E-2</v>
      </c>
      <c r="BD1777">
        <v>1</v>
      </c>
      <c r="BE1777" t="s">
        <v>69</v>
      </c>
      <c r="BF1777">
        <v>-1.3169999999999999</v>
      </c>
      <c r="BG1777">
        <v>-1.827</v>
      </c>
    </row>
    <row r="1778" spans="1:59">
      <c r="A1778">
        <v>0</v>
      </c>
      <c r="B1778">
        <v>0</v>
      </c>
      <c r="C1778">
        <v>0</v>
      </c>
      <c r="D1778" t="s">
        <v>25022</v>
      </c>
      <c r="E1778">
        <v>3544</v>
      </c>
      <c r="F1778" t="s">
        <v>20771</v>
      </c>
      <c r="G1778" t="s">
        <v>62</v>
      </c>
      <c r="H1778">
        <v>3508662</v>
      </c>
      <c r="I1778">
        <v>3509651</v>
      </c>
      <c r="J1778" t="s">
        <v>20772</v>
      </c>
      <c r="K1778">
        <v>330</v>
      </c>
      <c r="L1778" t="s">
        <v>108</v>
      </c>
      <c r="M1778">
        <v>44</v>
      </c>
      <c r="N1778" t="str">
        <f>HYPERLINK("Gene3544-zp_tree_all.dnd", "Gene3544-tree")</f>
        <v>Gene3544-tree</v>
      </c>
      <c r="O1778">
        <v>8</v>
      </c>
      <c r="P1778">
        <v>5</v>
      </c>
      <c r="Q1778">
        <v>8</v>
      </c>
      <c r="R1778">
        <v>5</v>
      </c>
      <c r="S1778">
        <v>0.38462000000000002</v>
      </c>
      <c r="T1778" t="s">
        <v>136</v>
      </c>
      <c r="U1778" t="s">
        <v>199</v>
      </c>
      <c r="V1778" t="s">
        <v>62</v>
      </c>
      <c r="W1778" t="s">
        <v>62</v>
      </c>
      <c r="X1778">
        <v>0</v>
      </c>
      <c r="Y1778">
        <v>0</v>
      </c>
      <c r="Z1778">
        <v>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8</v>
      </c>
      <c r="AK1778">
        <v>0</v>
      </c>
      <c r="AL1778">
        <v>11</v>
      </c>
      <c r="AM1778">
        <v>7</v>
      </c>
      <c r="AN1778">
        <v>34</v>
      </c>
      <c r="AO1778">
        <v>8</v>
      </c>
      <c r="AP1778">
        <v>7</v>
      </c>
      <c r="AQ1778">
        <v>0</v>
      </c>
      <c r="AR1778" t="s">
        <v>20773</v>
      </c>
      <c r="AS1778" t="s">
        <v>193</v>
      </c>
      <c r="AT1778">
        <v>1.78</v>
      </c>
      <c r="AU1778" t="s">
        <v>65</v>
      </c>
      <c r="AV1778">
        <v>41</v>
      </c>
      <c r="AW1778">
        <v>8</v>
      </c>
      <c r="AX1778" t="s">
        <v>20774</v>
      </c>
      <c r="AY1778">
        <v>3.5430000000000003E-2</v>
      </c>
      <c r="AZ1778">
        <v>-1.8E-3</v>
      </c>
      <c r="BA1778">
        <v>1.6000000000000001E-3</v>
      </c>
      <c r="BB1778">
        <v>-1.7000000000000001E-4</v>
      </c>
      <c r="BC1778">
        <v>4.5260000000000002E-2</v>
      </c>
      <c r="BD1778">
        <v>1</v>
      </c>
      <c r="BE1778" t="s">
        <v>69</v>
      </c>
      <c r="BF1778">
        <v>-1.913</v>
      </c>
      <c r="BG1778">
        <v>-3.1509999999999998</v>
      </c>
    </row>
    <row r="1779" spans="1:59">
      <c r="A1779">
        <v>0</v>
      </c>
      <c r="B1779">
        <v>0</v>
      </c>
      <c r="C1779">
        <v>0</v>
      </c>
      <c r="D1779" t="s">
        <v>25022</v>
      </c>
      <c r="E1779">
        <v>1067</v>
      </c>
      <c r="F1779" t="s">
        <v>6700</v>
      </c>
      <c r="G1779" t="s">
        <v>57</v>
      </c>
      <c r="H1779">
        <v>1106524</v>
      </c>
      <c r="I1779">
        <v>1107513</v>
      </c>
      <c r="J1779" t="s">
        <v>1940</v>
      </c>
      <c r="K1779">
        <v>330</v>
      </c>
      <c r="L1779" t="s">
        <v>108</v>
      </c>
      <c r="M1779">
        <v>44</v>
      </c>
      <c r="N1779" t="str">
        <f>HYPERLINK("Gene1067-zp_tree_all.dnd", "Gene1067-tree")</f>
        <v>Gene1067-tree</v>
      </c>
      <c r="O1779">
        <v>9</v>
      </c>
      <c r="P1779">
        <v>7</v>
      </c>
      <c r="Q1779">
        <v>9</v>
      </c>
      <c r="R1779">
        <v>7</v>
      </c>
      <c r="S1779">
        <v>0.4375</v>
      </c>
      <c r="T1779" t="s">
        <v>135</v>
      </c>
      <c r="U1779" t="s">
        <v>152</v>
      </c>
      <c r="V1779" t="s">
        <v>62</v>
      </c>
      <c r="W1779" t="s">
        <v>62</v>
      </c>
      <c r="X1779">
        <v>0</v>
      </c>
      <c r="Y1779">
        <v>0</v>
      </c>
      <c r="Z1779">
        <v>9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9</v>
      </c>
      <c r="AK1779">
        <v>0</v>
      </c>
      <c r="AL1779">
        <v>12</v>
      </c>
      <c r="AM1779">
        <v>10</v>
      </c>
      <c r="AN1779">
        <v>26</v>
      </c>
      <c r="AO1779">
        <v>9</v>
      </c>
      <c r="AP1779">
        <v>22</v>
      </c>
      <c r="AQ1779">
        <v>0</v>
      </c>
      <c r="AR1779" t="s">
        <v>6701</v>
      </c>
      <c r="AS1779" t="s">
        <v>193</v>
      </c>
      <c r="AT1779">
        <v>2.1619999999999999</v>
      </c>
      <c r="AU1779" t="s">
        <v>267</v>
      </c>
      <c r="AV1779">
        <v>48</v>
      </c>
      <c r="AW1779">
        <v>9</v>
      </c>
      <c r="AX1779" t="s">
        <v>6702</v>
      </c>
      <c r="AY1779">
        <v>3.6159999999999998E-2</v>
      </c>
      <c r="AZ1779">
        <v>-1.17E-3</v>
      </c>
      <c r="BA1779">
        <v>1.5200000000000001E-3</v>
      </c>
      <c r="BB1779">
        <v>-1.2E-4</v>
      </c>
      <c r="BC1779">
        <v>4.2169999999999999E-2</v>
      </c>
      <c r="BD1779">
        <v>1</v>
      </c>
      <c r="BE1779" t="s">
        <v>69</v>
      </c>
      <c r="BF1779">
        <v>-0.68600000000000005</v>
      </c>
      <c r="BG1779">
        <v>-0.98</v>
      </c>
    </row>
    <row r="1780" spans="1:59">
      <c r="A1780">
        <v>0</v>
      </c>
      <c r="B1780">
        <v>5</v>
      </c>
      <c r="C1780">
        <v>1</v>
      </c>
      <c r="D1780" t="s">
        <v>25022</v>
      </c>
      <c r="E1780">
        <v>2507</v>
      </c>
      <c r="F1780" t="s">
        <v>14625</v>
      </c>
      <c r="G1780" t="s">
        <v>62</v>
      </c>
      <c r="H1780">
        <v>2499093</v>
      </c>
      <c r="I1780">
        <v>2500082</v>
      </c>
      <c r="J1780" t="s">
        <v>14620</v>
      </c>
      <c r="K1780">
        <v>330</v>
      </c>
      <c r="L1780" t="s">
        <v>14626</v>
      </c>
      <c r="M1780">
        <v>46</v>
      </c>
      <c r="N1780" t="str">
        <f>HYPERLINK("Gene2507-zp_tree_all.dnd", "Gene2507-tree")</f>
        <v>Gene2507-tree</v>
      </c>
      <c r="O1780">
        <v>12</v>
      </c>
      <c r="P1780">
        <v>5</v>
      </c>
      <c r="Q1780">
        <v>12</v>
      </c>
      <c r="R1780">
        <v>5</v>
      </c>
      <c r="S1780">
        <v>0.29411999999999999</v>
      </c>
      <c r="T1780" t="s">
        <v>109</v>
      </c>
      <c r="U1780" t="s">
        <v>199</v>
      </c>
      <c r="V1780" t="s">
        <v>62</v>
      </c>
      <c r="W1780" t="s">
        <v>62</v>
      </c>
      <c r="X1780">
        <v>2</v>
      </c>
      <c r="Y1780">
        <v>6</v>
      </c>
      <c r="Z1780">
        <v>4</v>
      </c>
      <c r="AA1780">
        <v>0.6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4</v>
      </c>
      <c r="AH1780">
        <v>0</v>
      </c>
      <c r="AI1780">
        <v>4</v>
      </c>
      <c r="AJ1780">
        <v>2</v>
      </c>
      <c r="AK1780">
        <v>0.66666999999999998</v>
      </c>
      <c r="AL1780">
        <v>14</v>
      </c>
      <c r="AM1780">
        <v>11</v>
      </c>
      <c r="AN1780">
        <v>56</v>
      </c>
      <c r="AO1780">
        <v>6</v>
      </c>
      <c r="AP1780">
        <v>43</v>
      </c>
      <c r="AQ1780">
        <v>4</v>
      </c>
      <c r="AR1780" t="s">
        <v>14627</v>
      </c>
      <c r="AS1780" t="s">
        <v>14628</v>
      </c>
      <c r="AT1780">
        <v>7.3999999999999996E-2</v>
      </c>
      <c r="AU1780" t="s">
        <v>65</v>
      </c>
      <c r="AV1780">
        <v>99</v>
      </c>
      <c r="AW1780">
        <v>10</v>
      </c>
      <c r="AX1780" t="s">
        <v>14629</v>
      </c>
      <c r="AY1780">
        <v>8.2409999999999997E-2</v>
      </c>
      <c r="AZ1780">
        <v>-6.62E-3</v>
      </c>
      <c r="BA1780">
        <v>2.3800000000000002E-3</v>
      </c>
      <c r="BB1780">
        <v>-1.6000000000000001E-4</v>
      </c>
      <c r="BC1780">
        <v>2.8920000000000001E-2</v>
      </c>
      <c r="BD1780">
        <v>1</v>
      </c>
      <c r="BE1780" t="s">
        <v>69</v>
      </c>
      <c r="BF1780">
        <v>-1.6779999999999999</v>
      </c>
      <c r="BG1780">
        <v>-2.2679999999999998</v>
      </c>
    </row>
    <row r="1781" spans="1:59">
      <c r="A1781">
        <v>0</v>
      </c>
      <c r="B1781">
        <v>16</v>
      </c>
      <c r="C1781">
        <v>9</v>
      </c>
      <c r="D1781" t="s">
        <v>25022</v>
      </c>
      <c r="E1781">
        <v>692</v>
      </c>
      <c r="F1781" t="s">
        <v>4327</v>
      </c>
      <c r="G1781" t="s">
        <v>57</v>
      </c>
      <c r="H1781">
        <v>715433</v>
      </c>
      <c r="I1781">
        <v>716425</v>
      </c>
      <c r="J1781" t="s">
        <v>1523</v>
      </c>
      <c r="K1781">
        <v>331</v>
      </c>
      <c r="L1781" t="s">
        <v>125</v>
      </c>
      <c r="M1781">
        <v>48</v>
      </c>
      <c r="N1781" t="str">
        <f>HYPERLINK("Gene692-zp_tree_all.dnd", "Gene692-tree")</f>
        <v>Gene692-tree</v>
      </c>
      <c r="O1781">
        <v>5</v>
      </c>
      <c r="P1781">
        <v>14</v>
      </c>
      <c r="Q1781">
        <v>5</v>
      </c>
      <c r="R1781">
        <v>14</v>
      </c>
      <c r="S1781">
        <v>0.73684000000000005</v>
      </c>
      <c r="T1781" t="s">
        <v>199</v>
      </c>
      <c r="U1781" t="s">
        <v>543</v>
      </c>
      <c r="V1781">
        <v>258272616.03799999</v>
      </c>
      <c r="W1781" t="s">
        <v>267</v>
      </c>
      <c r="X1781">
        <v>10</v>
      </c>
      <c r="Y1781">
        <v>25</v>
      </c>
      <c r="Z1781">
        <v>24</v>
      </c>
      <c r="AA1781">
        <v>0.51019999999999999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8</v>
      </c>
      <c r="AH1781">
        <v>1</v>
      </c>
      <c r="AI1781">
        <v>9</v>
      </c>
      <c r="AJ1781">
        <v>20</v>
      </c>
      <c r="AK1781">
        <v>0.31034</v>
      </c>
      <c r="AL1781">
        <v>17</v>
      </c>
      <c r="AM1781">
        <v>13</v>
      </c>
      <c r="AN1781">
        <v>27</v>
      </c>
      <c r="AO1781">
        <v>25</v>
      </c>
      <c r="AP1781">
        <v>36</v>
      </c>
      <c r="AQ1781">
        <v>24</v>
      </c>
      <c r="AR1781" t="s">
        <v>4328</v>
      </c>
      <c r="AS1781" t="s">
        <v>4329</v>
      </c>
      <c r="AT1781">
        <v>0.28499999999999998</v>
      </c>
      <c r="AU1781" t="s">
        <v>65</v>
      </c>
      <c r="AV1781">
        <v>63</v>
      </c>
      <c r="AW1781">
        <v>49</v>
      </c>
      <c r="AX1781" t="s">
        <v>4330</v>
      </c>
      <c r="AY1781">
        <v>5.4609999999999999E-2</v>
      </c>
      <c r="AZ1781">
        <v>-4.2500000000000003E-3</v>
      </c>
      <c r="BA1781">
        <v>1.0319999999999999E-2</v>
      </c>
      <c r="BB1781">
        <v>-5.9999999999999995E-4</v>
      </c>
      <c r="BC1781">
        <v>0.189</v>
      </c>
      <c r="BD1781">
        <v>1</v>
      </c>
      <c r="BE1781" t="s">
        <v>69</v>
      </c>
      <c r="BF1781">
        <v>-1.1970000000000001</v>
      </c>
      <c r="BG1781">
        <v>0.21</v>
      </c>
    </row>
    <row r="1782" spans="1:59">
      <c r="A1782">
        <v>0</v>
      </c>
      <c r="B1782">
        <v>0</v>
      </c>
      <c r="C1782">
        <v>0</v>
      </c>
      <c r="D1782" t="s">
        <v>25022</v>
      </c>
      <c r="E1782">
        <v>988</v>
      </c>
      <c r="F1782" t="s">
        <v>6191</v>
      </c>
      <c r="G1782" t="s">
        <v>57</v>
      </c>
      <c r="H1782">
        <v>1030265</v>
      </c>
      <c r="I1782">
        <v>1031257</v>
      </c>
      <c r="J1782" t="s">
        <v>6192</v>
      </c>
      <c r="K1782">
        <v>331</v>
      </c>
      <c r="L1782" t="s">
        <v>108</v>
      </c>
      <c r="M1782">
        <v>44</v>
      </c>
      <c r="N1782" t="str">
        <f>HYPERLINK("Gene988-zp_tree_all.dnd", "Gene988-tree")</f>
        <v>Gene988-tree</v>
      </c>
      <c r="O1782">
        <v>7</v>
      </c>
      <c r="P1782">
        <v>9</v>
      </c>
      <c r="Q1782">
        <v>7</v>
      </c>
      <c r="R1782">
        <v>9</v>
      </c>
      <c r="S1782">
        <v>0.5625</v>
      </c>
      <c r="T1782" t="s">
        <v>152</v>
      </c>
      <c r="U1782" t="s">
        <v>135</v>
      </c>
      <c r="V1782" t="s">
        <v>62</v>
      </c>
      <c r="W1782" t="s">
        <v>62</v>
      </c>
      <c r="X1782">
        <v>0</v>
      </c>
      <c r="Y1782">
        <v>0</v>
      </c>
      <c r="Z1782">
        <v>14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13</v>
      </c>
      <c r="AK1782">
        <v>0</v>
      </c>
      <c r="AL1782">
        <v>12</v>
      </c>
      <c r="AM1782">
        <v>11</v>
      </c>
      <c r="AN1782">
        <v>13</v>
      </c>
      <c r="AO1782">
        <v>13</v>
      </c>
      <c r="AP1782">
        <v>13</v>
      </c>
      <c r="AQ1782">
        <v>3</v>
      </c>
      <c r="AR1782" t="s">
        <v>6193</v>
      </c>
      <c r="AS1782" t="s">
        <v>6194</v>
      </c>
      <c r="AT1782">
        <v>1.123</v>
      </c>
      <c r="AU1782" t="s">
        <v>65</v>
      </c>
      <c r="AV1782">
        <v>26</v>
      </c>
      <c r="AW1782">
        <v>16</v>
      </c>
      <c r="AX1782" t="s">
        <v>6195</v>
      </c>
      <c r="AY1782">
        <v>2.733E-2</v>
      </c>
      <c r="AZ1782">
        <v>-1.14E-3</v>
      </c>
      <c r="BA1782">
        <v>3.2599999999999999E-3</v>
      </c>
      <c r="BB1782">
        <v>-1.9000000000000001E-4</v>
      </c>
      <c r="BC1782">
        <v>0.11940000000000001</v>
      </c>
      <c r="BD1782">
        <v>1</v>
      </c>
      <c r="BE1782" t="s">
        <v>69</v>
      </c>
      <c r="BF1782">
        <v>-0.65700000000000003</v>
      </c>
      <c r="BG1782">
        <v>-2.0920000000000001</v>
      </c>
    </row>
    <row r="1783" spans="1:59">
      <c r="A1783">
        <v>0</v>
      </c>
      <c r="B1783">
        <v>0</v>
      </c>
      <c r="C1783">
        <v>2</v>
      </c>
      <c r="D1783" t="s">
        <v>25022</v>
      </c>
      <c r="E1783">
        <v>1060</v>
      </c>
      <c r="F1783" t="s">
        <v>6653</v>
      </c>
      <c r="G1783" t="s">
        <v>57</v>
      </c>
      <c r="H1783">
        <v>1099159</v>
      </c>
      <c r="I1783">
        <v>1100151</v>
      </c>
      <c r="J1783" t="s">
        <v>6654</v>
      </c>
      <c r="K1783">
        <v>331</v>
      </c>
      <c r="L1783" t="s">
        <v>108</v>
      </c>
      <c r="M1783">
        <v>44</v>
      </c>
      <c r="N1783" t="str">
        <f>HYPERLINK("Gene1060-zp_tree_all.dnd", "Gene1060-tree")</f>
        <v>Gene1060-tree</v>
      </c>
      <c r="O1783">
        <v>6</v>
      </c>
      <c r="P1783">
        <v>6</v>
      </c>
      <c r="Q1783">
        <v>6</v>
      </c>
      <c r="R1783">
        <v>6</v>
      </c>
      <c r="S1783">
        <v>0.5</v>
      </c>
      <c r="T1783" t="s">
        <v>90</v>
      </c>
      <c r="U1783" t="s">
        <v>90</v>
      </c>
      <c r="V1783" t="s">
        <v>62</v>
      </c>
      <c r="W1783" t="s">
        <v>62</v>
      </c>
      <c r="X1783">
        <v>1</v>
      </c>
      <c r="Y1783">
        <v>2</v>
      </c>
      <c r="Z1783">
        <v>6</v>
      </c>
      <c r="AA1783">
        <v>0.25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</v>
      </c>
      <c r="AI1783">
        <v>2</v>
      </c>
      <c r="AJ1783">
        <v>5</v>
      </c>
      <c r="AK1783">
        <v>0.28571000000000002</v>
      </c>
      <c r="AL1783">
        <v>12</v>
      </c>
      <c r="AM1783">
        <v>9</v>
      </c>
      <c r="AN1783">
        <v>29</v>
      </c>
      <c r="AO1783">
        <v>7</v>
      </c>
      <c r="AP1783">
        <v>19</v>
      </c>
      <c r="AQ1783">
        <v>1</v>
      </c>
      <c r="AR1783" t="s">
        <v>6655</v>
      </c>
      <c r="AS1783" t="s">
        <v>6656</v>
      </c>
      <c r="AT1783">
        <v>1.056</v>
      </c>
      <c r="AU1783" t="s">
        <v>65</v>
      </c>
      <c r="AV1783">
        <v>48</v>
      </c>
      <c r="AW1783">
        <v>8</v>
      </c>
      <c r="AX1783" t="s">
        <v>6657</v>
      </c>
      <c r="AY1783">
        <v>4.4940000000000001E-2</v>
      </c>
      <c r="AZ1783">
        <v>-1.65E-3</v>
      </c>
      <c r="BA1783">
        <v>1.89E-3</v>
      </c>
      <c r="BB1783">
        <v>-1.4999999999999999E-4</v>
      </c>
      <c r="BC1783">
        <v>4.2020000000000002E-2</v>
      </c>
      <c r="BD1783">
        <v>1</v>
      </c>
      <c r="BE1783" t="s">
        <v>69</v>
      </c>
      <c r="BF1783">
        <v>-0.121</v>
      </c>
      <c r="BG1783">
        <v>-1.135</v>
      </c>
    </row>
    <row r="1784" spans="1:59">
      <c r="A1784">
        <v>0</v>
      </c>
      <c r="B1784">
        <v>2</v>
      </c>
      <c r="C1784">
        <v>0</v>
      </c>
      <c r="D1784" t="s">
        <v>25022</v>
      </c>
      <c r="E1784">
        <v>2641</v>
      </c>
      <c r="F1784" t="s">
        <v>15474</v>
      </c>
      <c r="G1784" t="s">
        <v>62</v>
      </c>
      <c r="H1784">
        <v>2617452</v>
      </c>
      <c r="I1784">
        <v>2618444</v>
      </c>
      <c r="J1784" t="s">
        <v>15475</v>
      </c>
      <c r="K1784">
        <v>331</v>
      </c>
      <c r="L1784" t="s">
        <v>1196</v>
      </c>
      <c r="M1784">
        <v>39</v>
      </c>
      <c r="N1784" t="str">
        <f>HYPERLINK("Gene2641-zp_tree_all.dnd", "Gene2641-tree")</f>
        <v>Gene2641-tree</v>
      </c>
      <c r="O1784">
        <v>10</v>
      </c>
      <c r="P1784">
        <v>1</v>
      </c>
      <c r="Q1784">
        <v>10</v>
      </c>
      <c r="R1784">
        <v>1</v>
      </c>
      <c r="S1784">
        <v>9.0910000000000005E-2</v>
      </c>
      <c r="T1784" t="s">
        <v>117</v>
      </c>
      <c r="U1784" t="s">
        <v>175</v>
      </c>
      <c r="V1784" t="s">
        <v>62</v>
      </c>
      <c r="W1784" t="s">
        <v>62</v>
      </c>
      <c r="X1784">
        <v>1</v>
      </c>
      <c r="Y1784">
        <v>2</v>
      </c>
      <c r="Z1784">
        <v>1</v>
      </c>
      <c r="AA1784">
        <v>0.66666999999999998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9</v>
      </c>
      <c r="AM1784">
        <v>7</v>
      </c>
      <c r="AN1784">
        <v>32</v>
      </c>
      <c r="AO1784">
        <v>1</v>
      </c>
      <c r="AP1784">
        <v>17</v>
      </c>
      <c r="AQ1784">
        <v>2</v>
      </c>
      <c r="AR1784" t="s">
        <v>15476</v>
      </c>
      <c r="AS1784" t="s">
        <v>15477</v>
      </c>
      <c r="AT1784">
        <v>0.59199999999999997</v>
      </c>
      <c r="AU1784" t="s">
        <v>65</v>
      </c>
      <c r="AV1784">
        <v>49</v>
      </c>
      <c r="AW1784">
        <v>3</v>
      </c>
      <c r="AX1784" t="s">
        <v>15478</v>
      </c>
      <c r="AY1784">
        <v>4.3360000000000003E-2</v>
      </c>
      <c r="AZ1784">
        <v>-2.7200000000000002E-3</v>
      </c>
      <c r="BA1784">
        <v>6.7000000000000002E-4</v>
      </c>
      <c r="BB1784">
        <v>-1E-4</v>
      </c>
      <c r="BC1784">
        <v>1.5559999999999999E-2</v>
      </c>
      <c r="BD1784">
        <v>1</v>
      </c>
      <c r="BE1784" t="s">
        <v>69</v>
      </c>
      <c r="BF1784">
        <v>-0.59199999999999997</v>
      </c>
      <c r="BG1784">
        <v>-1.484</v>
      </c>
    </row>
    <row r="1785" spans="1:59">
      <c r="A1785">
        <v>0</v>
      </c>
      <c r="B1785">
        <v>21</v>
      </c>
      <c r="C1785">
        <v>2</v>
      </c>
      <c r="D1785" t="s">
        <v>25022</v>
      </c>
      <c r="E1785">
        <v>2922</v>
      </c>
      <c r="F1785" t="s">
        <v>16829</v>
      </c>
      <c r="G1785" t="s">
        <v>62</v>
      </c>
      <c r="H1785">
        <v>2863297</v>
      </c>
      <c r="I1785">
        <v>2864292</v>
      </c>
      <c r="J1785" t="s">
        <v>16830</v>
      </c>
      <c r="K1785">
        <v>332</v>
      </c>
      <c r="L1785" t="s">
        <v>108</v>
      </c>
      <c r="M1785">
        <v>44</v>
      </c>
      <c r="N1785" t="str">
        <f>HYPERLINK("Gene2922-zp_tree_all.dnd", "Gene2922-tree")</f>
        <v>Gene2922-tree</v>
      </c>
      <c r="O1785">
        <v>1</v>
      </c>
      <c r="P1785">
        <v>11</v>
      </c>
      <c r="Q1785">
        <v>1</v>
      </c>
      <c r="R1785">
        <v>11</v>
      </c>
      <c r="S1785">
        <v>0.91666999999999998</v>
      </c>
      <c r="T1785" t="s">
        <v>175</v>
      </c>
      <c r="U1785" t="s">
        <v>73</v>
      </c>
      <c r="V1785">
        <v>1144612630.289</v>
      </c>
      <c r="W1785" t="s">
        <v>267</v>
      </c>
      <c r="X1785">
        <v>10</v>
      </c>
      <c r="Y1785">
        <v>23</v>
      </c>
      <c r="Z1785">
        <v>7</v>
      </c>
      <c r="AA1785">
        <v>0.76666999999999996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8</v>
      </c>
      <c r="AH1785">
        <v>0</v>
      </c>
      <c r="AI1785">
        <v>8</v>
      </c>
      <c r="AJ1785">
        <v>11</v>
      </c>
      <c r="AK1785">
        <v>0.42104999999999998</v>
      </c>
      <c r="AL1785">
        <v>8</v>
      </c>
      <c r="AM1785">
        <v>9</v>
      </c>
      <c r="AN1785">
        <v>24</v>
      </c>
      <c r="AO1785">
        <v>15</v>
      </c>
      <c r="AP1785">
        <v>38</v>
      </c>
      <c r="AQ1785">
        <v>18</v>
      </c>
      <c r="AR1785" t="s">
        <v>16831</v>
      </c>
      <c r="AS1785" t="s">
        <v>16832</v>
      </c>
      <c r="AT1785">
        <v>0.56699999999999995</v>
      </c>
      <c r="AU1785" t="s">
        <v>65</v>
      </c>
      <c r="AV1785">
        <v>62</v>
      </c>
      <c r="AW1785">
        <v>33</v>
      </c>
      <c r="AX1785" t="s">
        <v>16833</v>
      </c>
      <c r="AY1785">
        <v>7.6050000000000006E-2</v>
      </c>
      <c r="AZ1785">
        <v>-3.5699999999999998E-3</v>
      </c>
      <c r="BA1785">
        <v>9.4999999999999998E-3</v>
      </c>
      <c r="BB1785">
        <v>-4.8000000000000001E-4</v>
      </c>
      <c r="BC1785">
        <v>0.12493</v>
      </c>
      <c r="BD1785">
        <v>1</v>
      </c>
      <c r="BE1785" t="s">
        <v>69</v>
      </c>
      <c r="BF1785">
        <v>1.109</v>
      </c>
      <c r="BG1785">
        <v>0.48799999999999999</v>
      </c>
    </row>
    <row r="1786" spans="1:59">
      <c r="A1786">
        <v>0</v>
      </c>
      <c r="B1786">
        <v>7</v>
      </c>
      <c r="C1786">
        <v>0</v>
      </c>
      <c r="D1786" t="s">
        <v>25022</v>
      </c>
      <c r="E1786">
        <v>918</v>
      </c>
      <c r="F1786" t="s">
        <v>5740</v>
      </c>
      <c r="G1786" t="s">
        <v>57</v>
      </c>
      <c r="H1786">
        <v>962179</v>
      </c>
      <c r="I1786">
        <v>963174</v>
      </c>
      <c r="J1786" t="s">
        <v>5741</v>
      </c>
      <c r="K1786">
        <v>332</v>
      </c>
      <c r="L1786" t="s">
        <v>108</v>
      </c>
      <c r="M1786">
        <v>44</v>
      </c>
      <c r="N1786" t="str">
        <f>HYPERLINK("Gene918-zp_tree_all.dnd", "Gene918-tree")</f>
        <v>Gene918-tree</v>
      </c>
      <c r="O1786">
        <v>4</v>
      </c>
      <c r="P1786">
        <v>9</v>
      </c>
      <c r="Q1786">
        <v>4</v>
      </c>
      <c r="R1786">
        <v>9</v>
      </c>
      <c r="S1786">
        <v>0.69230999999999998</v>
      </c>
      <c r="T1786" t="s">
        <v>61</v>
      </c>
      <c r="U1786" t="s">
        <v>135</v>
      </c>
      <c r="V1786" t="s">
        <v>62</v>
      </c>
      <c r="W1786" t="s">
        <v>62</v>
      </c>
      <c r="X1786">
        <v>3</v>
      </c>
      <c r="Y1786">
        <v>7</v>
      </c>
      <c r="Z1786">
        <v>13</v>
      </c>
      <c r="AA1786">
        <v>0.35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4</v>
      </c>
      <c r="AH1786">
        <v>0</v>
      </c>
      <c r="AI1786">
        <v>4</v>
      </c>
      <c r="AJ1786">
        <v>12</v>
      </c>
      <c r="AK1786">
        <v>0.25</v>
      </c>
      <c r="AL1786">
        <v>13</v>
      </c>
      <c r="AM1786">
        <v>8</v>
      </c>
      <c r="AN1786">
        <v>37</v>
      </c>
      <c r="AO1786">
        <v>16</v>
      </c>
      <c r="AP1786">
        <v>21</v>
      </c>
      <c r="AQ1786">
        <v>4</v>
      </c>
      <c r="AR1786" t="s">
        <v>5742</v>
      </c>
      <c r="AS1786" t="s">
        <v>5743</v>
      </c>
      <c r="AT1786">
        <v>0.91</v>
      </c>
      <c r="AU1786" t="s">
        <v>65</v>
      </c>
      <c r="AV1786">
        <v>58</v>
      </c>
      <c r="AW1786">
        <v>20</v>
      </c>
      <c r="AX1786" t="s">
        <v>5744</v>
      </c>
      <c r="AY1786">
        <v>5.7829999999999999E-2</v>
      </c>
      <c r="AZ1786">
        <v>-3.1199999999999999E-3</v>
      </c>
      <c r="BA1786">
        <v>4.5999999999999999E-3</v>
      </c>
      <c r="BB1786">
        <v>-2.2000000000000001E-4</v>
      </c>
      <c r="BC1786">
        <v>7.954E-2</v>
      </c>
      <c r="BD1786">
        <v>1</v>
      </c>
      <c r="BE1786" t="s">
        <v>69</v>
      </c>
      <c r="BF1786">
        <v>-0.67100000000000004</v>
      </c>
      <c r="BG1786">
        <v>-1.145</v>
      </c>
    </row>
    <row r="1787" spans="1:59">
      <c r="A1787">
        <v>0</v>
      </c>
      <c r="B1787">
        <v>0</v>
      </c>
      <c r="C1787">
        <v>0</v>
      </c>
      <c r="D1787" t="s">
        <v>25022</v>
      </c>
      <c r="E1787">
        <v>1693</v>
      </c>
      <c r="F1787" t="s">
        <v>10615</v>
      </c>
      <c r="G1787" t="s">
        <v>57</v>
      </c>
      <c r="H1787">
        <v>1701684</v>
      </c>
      <c r="I1787">
        <v>1702679</v>
      </c>
      <c r="J1787" t="s">
        <v>10546</v>
      </c>
      <c r="K1787">
        <v>332</v>
      </c>
      <c r="L1787" t="s">
        <v>59</v>
      </c>
      <c r="M1787">
        <v>49</v>
      </c>
      <c r="N1787" t="str">
        <f>HYPERLINK("Gene1693-zp_tree_all.dnd", "Gene1693-tree")</f>
        <v>Gene1693-tree</v>
      </c>
      <c r="O1787">
        <v>15</v>
      </c>
      <c r="P1787">
        <v>1</v>
      </c>
      <c r="Q1787">
        <v>15</v>
      </c>
      <c r="R1787">
        <v>1</v>
      </c>
      <c r="S1787">
        <v>6.25E-2</v>
      </c>
      <c r="T1787" t="s">
        <v>100</v>
      </c>
      <c r="U1787" t="s">
        <v>175</v>
      </c>
      <c r="V1787" t="s">
        <v>62</v>
      </c>
      <c r="W1787" t="s">
        <v>62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10</v>
      </c>
      <c r="AM1787">
        <v>12</v>
      </c>
      <c r="AN1787">
        <v>25</v>
      </c>
      <c r="AO1787">
        <v>1</v>
      </c>
      <c r="AP1787">
        <v>64</v>
      </c>
      <c r="AQ1787">
        <v>0</v>
      </c>
      <c r="AR1787" t="s">
        <v>10616</v>
      </c>
      <c r="AS1787" t="s">
        <v>193</v>
      </c>
      <c r="AT1787">
        <v>0.317</v>
      </c>
      <c r="AU1787" t="s">
        <v>65</v>
      </c>
      <c r="AV1787">
        <v>89</v>
      </c>
      <c r="AW1787">
        <v>1</v>
      </c>
      <c r="AX1787" t="s">
        <v>10617</v>
      </c>
      <c r="AY1787">
        <v>0.12465</v>
      </c>
      <c r="AZ1787">
        <v>-8.7799999999999996E-3</v>
      </c>
      <c r="BA1787">
        <v>1.6000000000000001E-4</v>
      </c>
      <c r="BB1787">
        <v>-4.0000000000000003E-5</v>
      </c>
      <c r="BC1787">
        <v>1.2999999999999999E-3</v>
      </c>
      <c r="BD1787">
        <v>1</v>
      </c>
      <c r="BE1787" t="s">
        <v>69</v>
      </c>
      <c r="BF1787">
        <v>-0.97799999999999998</v>
      </c>
      <c r="BG1787">
        <v>-0.49199999999999999</v>
      </c>
    </row>
    <row r="1788" spans="1:59">
      <c r="A1788">
        <v>0</v>
      </c>
      <c r="B1788">
        <v>4</v>
      </c>
      <c r="C1788">
        <v>0</v>
      </c>
      <c r="D1788" t="s">
        <v>25022</v>
      </c>
      <c r="E1788">
        <v>3946</v>
      </c>
      <c r="F1788" t="s">
        <v>23171</v>
      </c>
      <c r="G1788" t="s">
        <v>62</v>
      </c>
      <c r="H1788">
        <v>3910305</v>
      </c>
      <c r="I1788">
        <v>3911303</v>
      </c>
      <c r="J1788" t="s">
        <v>23172</v>
      </c>
      <c r="K1788">
        <v>333</v>
      </c>
      <c r="L1788" t="s">
        <v>108</v>
      </c>
      <c r="M1788">
        <v>44</v>
      </c>
      <c r="N1788" t="str">
        <f>HYPERLINK("Gene3946-zp_tree_all.dnd", "Gene3946-tree")</f>
        <v>Gene3946-tree</v>
      </c>
      <c r="O1788">
        <v>4</v>
      </c>
      <c r="P1788">
        <v>11</v>
      </c>
      <c r="Q1788">
        <v>4</v>
      </c>
      <c r="R1788">
        <v>11</v>
      </c>
      <c r="S1788">
        <v>0.73333000000000004</v>
      </c>
      <c r="T1788" t="s">
        <v>61</v>
      </c>
      <c r="U1788" t="s">
        <v>73</v>
      </c>
      <c r="V1788">
        <v>200307210.301</v>
      </c>
      <c r="W1788" t="s">
        <v>267</v>
      </c>
      <c r="X1788">
        <v>2</v>
      </c>
      <c r="Y1788">
        <v>4</v>
      </c>
      <c r="Z1788">
        <v>17</v>
      </c>
      <c r="AA1788">
        <v>0.19048000000000001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4</v>
      </c>
      <c r="AH1788">
        <v>0</v>
      </c>
      <c r="AI1788">
        <v>4</v>
      </c>
      <c r="AJ1788">
        <v>15</v>
      </c>
      <c r="AK1788">
        <v>0.21052999999999999</v>
      </c>
      <c r="AL1788">
        <v>13</v>
      </c>
      <c r="AM1788">
        <v>10</v>
      </c>
      <c r="AN1788">
        <v>35</v>
      </c>
      <c r="AO1788">
        <v>19</v>
      </c>
      <c r="AP1788">
        <v>39</v>
      </c>
      <c r="AQ1788">
        <v>2</v>
      </c>
      <c r="AR1788" t="s">
        <v>23173</v>
      </c>
      <c r="AS1788" t="s">
        <v>23174</v>
      </c>
      <c r="AT1788">
        <v>1.956</v>
      </c>
      <c r="AU1788" t="s">
        <v>65</v>
      </c>
      <c r="AV1788">
        <v>74</v>
      </c>
      <c r="AW1788">
        <v>21</v>
      </c>
      <c r="AX1788" t="s">
        <v>23175</v>
      </c>
      <c r="AY1788">
        <v>5.4420000000000003E-2</v>
      </c>
      <c r="AZ1788">
        <v>-2.32E-3</v>
      </c>
      <c r="BA1788">
        <v>3.98E-3</v>
      </c>
      <c r="BB1788">
        <v>-2.7E-4</v>
      </c>
      <c r="BC1788">
        <v>7.3109999999999994E-2</v>
      </c>
      <c r="BD1788">
        <v>1</v>
      </c>
      <c r="BE1788" t="s">
        <v>69</v>
      </c>
      <c r="BF1788">
        <v>-0.47699999999999998</v>
      </c>
      <c r="BG1788">
        <v>0.24399999999999999</v>
      </c>
    </row>
    <row r="1789" spans="1:59">
      <c r="A1789">
        <v>0</v>
      </c>
      <c r="B1789">
        <v>2</v>
      </c>
      <c r="C1789">
        <v>2</v>
      </c>
      <c r="D1789" t="s">
        <v>25022</v>
      </c>
      <c r="E1789">
        <v>1650</v>
      </c>
      <c r="F1789" t="s">
        <v>10330</v>
      </c>
      <c r="G1789" t="s">
        <v>57</v>
      </c>
      <c r="H1789">
        <v>1662547</v>
      </c>
      <c r="I1789">
        <v>1663545</v>
      </c>
      <c r="J1789" t="s">
        <v>10331</v>
      </c>
      <c r="K1789">
        <v>333</v>
      </c>
      <c r="L1789" t="s">
        <v>59</v>
      </c>
      <c r="M1789">
        <v>49</v>
      </c>
      <c r="N1789" t="str">
        <f>HYPERLINK("Gene1650-zp_tree_all.dnd", "Gene1650-tree")</f>
        <v>Gene1650-tree</v>
      </c>
      <c r="O1789">
        <v>12</v>
      </c>
      <c r="P1789">
        <v>6</v>
      </c>
      <c r="Q1789">
        <v>12</v>
      </c>
      <c r="R1789">
        <v>6</v>
      </c>
      <c r="S1789">
        <v>0.33333000000000002</v>
      </c>
      <c r="T1789" t="s">
        <v>109</v>
      </c>
      <c r="U1789" t="s">
        <v>90</v>
      </c>
      <c r="V1789" t="s">
        <v>62</v>
      </c>
      <c r="W1789" t="s">
        <v>62</v>
      </c>
      <c r="X1789">
        <v>2</v>
      </c>
      <c r="Y1789">
        <v>4</v>
      </c>
      <c r="Z1789">
        <v>10</v>
      </c>
      <c r="AA1789">
        <v>0.28571000000000002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2</v>
      </c>
      <c r="AI1789">
        <v>4</v>
      </c>
      <c r="AJ1789">
        <v>5</v>
      </c>
      <c r="AK1789">
        <v>0.44444</v>
      </c>
      <c r="AL1789">
        <v>15</v>
      </c>
      <c r="AM1789">
        <v>12</v>
      </c>
      <c r="AN1789">
        <v>35</v>
      </c>
      <c r="AO1789">
        <v>9</v>
      </c>
      <c r="AP1789">
        <v>57</v>
      </c>
      <c r="AQ1789">
        <v>6</v>
      </c>
      <c r="AR1789" t="s">
        <v>10332</v>
      </c>
      <c r="AS1789" t="s">
        <v>10333</v>
      </c>
      <c r="AT1789">
        <v>0.60199999999999998</v>
      </c>
      <c r="AU1789" t="s">
        <v>65</v>
      </c>
      <c r="AV1789">
        <v>92</v>
      </c>
      <c r="AW1789">
        <v>15</v>
      </c>
      <c r="AX1789" t="s">
        <v>10334</v>
      </c>
      <c r="AY1789">
        <v>8.3589999999999998E-2</v>
      </c>
      <c r="AZ1789">
        <v>-4.8500000000000001E-3</v>
      </c>
      <c r="BA1789">
        <v>3.9300000000000003E-3</v>
      </c>
      <c r="BB1789">
        <v>-2.7E-4</v>
      </c>
      <c r="BC1789">
        <v>4.7050000000000002E-2</v>
      </c>
      <c r="BD1789">
        <v>1</v>
      </c>
      <c r="BE1789" t="s">
        <v>69</v>
      </c>
      <c r="BF1789">
        <v>-1.2509999999999999</v>
      </c>
      <c r="BG1789">
        <v>-0.67600000000000005</v>
      </c>
    </row>
    <row r="1790" spans="1:59">
      <c r="A1790">
        <v>0</v>
      </c>
      <c r="B1790">
        <v>7</v>
      </c>
      <c r="C1790">
        <v>0</v>
      </c>
      <c r="D1790" t="s">
        <v>25022</v>
      </c>
      <c r="E1790">
        <v>840</v>
      </c>
      <c r="F1790" t="s">
        <v>5241</v>
      </c>
      <c r="G1790" t="s">
        <v>57</v>
      </c>
      <c r="H1790">
        <v>879002</v>
      </c>
      <c r="I1790">
        <v>880000</v>
      </c>
      <c r="J1790" t="s">
        <v>5242</v>
      </c>
      <c r="K1790">
        <v>333</v>
      </c>
      <c r="L1790" t="s">
        <v>108</v>
      </c>
      <c r="M1790">
        <v>44</v>
      </c>
      <c r="N1790" t="str">
        <f>HYPERLINK("Gene840-zp_tree_all.dnd", "Gene840-tree")</f>
        <v>Gene840-tree</v>
      </c>
      <c r="O1790">
        <v>8</v>
      </c>
      <c r="P1790">
        <v>8</v>
      </c>
      <c r="Q1790">
        <v>8</v>
      </c>
      <c r="R1790">
        <v>8</v>
      </c>
      <c r="S1790">
        <v>0.5</v>
      </c>
      <c r="T1790" t="s">
        <v>136</v>
      </c>
      <c r="U1790" t="s">
        <v>136</v>
      </c>
      <c r="V1790" t="s">
        <v>62</v>
      </c>
      <c r="W1790" t="s">
        <v>62</v>
      </c>
      <c r="X1790">
        <v>2</v>
      </c>
      <c r="Y1790">
        <v>7</v>
      </c>
      <c r="Z1790">
        <v>7</v>
      </c>
      <c r="AA1790">
        <v>0.5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6</v>
      </c>
      <c r="AH1790">
        <v>0</v>
      </c>
      <c r="AI1790">
        <v>6</v>
      </c>
      <c r="AJ1790">
        <v>7</v>
      </c>
      <c r="AK1790">
        <v>0.46154000000000001</v>
      </c>
      <c r="AL1790">
        <v>14</v>
      </c>
      <c r="AM1790">
        <v>10</v>
      </c>
      <c r="AN1790">
        <v>46</v>
      </c>
      <c r="AO1790">
        <v>14</v>
      </c>
      <c r="AP1790">
        <v>30</v>
      </c>
      <c r="AQ1790">
        <v>1</v>
      </c>
      <c r="AR1790" t="s">
        <v>5243</v>
      </c>
      <c r="AS1790" t="s">
        <v>5244</v>
      </c>
      <c r="AT1790">
        <v>1.621</v>
      </c>
      <c r="AU1790" t="s">
        <v>65</v>
      </c>
      <c r="AV1790">
        <v>76</v>
      </c>
      <c r="AW1790">
        <v>15</v>
      </c>
      <c r="AX1790" t="s">
        <v>5245</v>
      </c>
      <c r="AY1790">
        <v>5.5809999999999998E-2</v>
      </c>
      <c r="AZ1790">
        <v>-2.7200000000000002E-3</v>
      </c>
      <c r="BA1790">
        <v>2.4099999999999998E-3</v>
      </c>
      <c r="BB1790">
        <v>-1.6000000000000001E-4</v>
      </c>
      <c r="BC1790">
        <v>4.3180000000000003E-2</v>
      </c>
      <c r="BD1790">
        <v>1</v>
      </c>
      <c r="BE1790" t="s">
        <v>69</v>
      </c>
      <c r="BF1790">
        <v>-1.4039999999999999</v>
      </c>
      <c r="BG1790">
        <v>-1.056</v>
      </c>
    </row>
    <row r="1791" spans="1:59">
      <c r="A1791">
        <v>0</v>
      </c>
      <c r="B1791">
        <v>0</v>
      </c>
      <c r="C1791">
        <v>0</v>
      </c>
      <c r="D1791" t="s">
        <v>25022</v>
      </c>
      <c r="E1791">
        <v>81</v>
      </c>
      <c r="F1791" t="s">
        <v>644</v>
      </c>
      <c r="G1791" t="s">
        <v>57</v>
      </c>
      <c r="H1791">
        <v>87634</v>
      </c>
      <c r="I1791">
        <v>88632</v>
      </c>
      <c r="J1791" t="s">
        <v>645</v>
      </c>
      <c r="K1791">
        <v>333</v>
      </c>
      <c r="L1791" t="s">
        <v>465</v>
      </c>
      <c r="M1791">
        <v>46</v>
      </c>
      <c r="N1791" t="str">
        <f>HYPERLINK("Gene81-zp_tree_all.dnd", "Gene81-tree")</f>
        <v>Gene81-tree</v>
      </c>
      <c r="O1791">
        <v>13</v>
      </c>
      <c r="P1791">
        <v>5</v>
      </c>
      <c r="Q1791">
        <v>13</v>
      </c>
      <c r="R1791">
        <v>5</v>
      </c>
      <c r="S1791">
        <v>0.27778000000000003</v>
      </c>
      <c r="T1791" t="s">
        <v>507</v>
      </c>
      <c r="U1791" t="s">
        <v>199</v>
      </c>
      <c r="V1791" t="s">
        <v>62</v>
      </c>
      <c r="W1791" t="s">
        <v>62</v>
      </c>
      <c r="X1791">
        <v>0</v>
      </c>
      <c r="Y1791">
        <v>0</v>
      </c>
      <c r="Z1791">
        <v>11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6</v>
      </c>
      <c r="AK1791">
        <v>0</v>
      </c>
      <c r="AL1791">
        <v>14</v>
      </c>
      <c r="AM1791">
        <v>9</v>
      </c>
      <c r="AN1791">
        <v>25</v>
      </c>
      <c r="AO1791">
        <v>6</v>
      </c>
      <c r="AP1791">
        <v>45</v>
      </c>
      <c r="AQ1791">
        <v>5</v>
      </c>
      <c r="AR1791" t="s">
        <v>646</v>
      </c>
      <c r="AS1791" t="s">
        <v>647</v>
      </c>
      <c r="AT1791">
        <v>0.36699999999999999</v>
      </c>
      <c r="AU1791" t="s">
        <v>65</v>
      </c>
      <c r="AV1791">
        <v>70</v>
      </c>
      <c r="AW1791">
        <v>11</v>
      </c>
      <c r="AX1791" t="s">
        <v>648</v>
      </c>
      <c r="AY1791">
        <v>5.978E-2</v>
      </c>
      <c r="AZ1791">
        <v>-5.7499999999999999E-3</v>
      </c>
      <c r="BA1791">
        <v>2.2300000000000002E-3</v>
      </c>
      <c r="BB1791">
        <v>-2.2000000000000001E-4</v>
      </c>
      <c r="BC1791">
        <v>3.7359999999999997E-2</v>
      </c>
      <c r="BD1791">
        <v>1</v>
      </c>
      <c r="BE1791" t="s">
        <v>69</v>
      </c>
      <c r="BF1791">
        <v>-1.6259999999999999</v>
      </c>
      <c r="BG1791">
        <v>6.0000000000000001E-3</v>
      </c>
    </row>
    <row r="1792" spans="1:59">
      <c r="A1792">
        <v>0</v>
      </c>
      <c r="B1792">
        <v>7</v>
      </c>
      <c r="C1792">
        <v>0</v>
      </c>
      <c r="D1792" t="s">
        <v>25022</v>
      </c>
      <c r="E1792">
        <v>1281</v>
      </c>
      <c r="F1792" t="s">
        <v>8034</v>
      </c>
      <c r="G1792" t="s">
        <v>57</v>
      </c>
      <c r="H1792">
        <v>1308802</v>
      </c>
      <c r="I1792">
        <v>1309800</v>
      </c>
      <c r="J1792" t="s">
        <v>8035</v>
      </c>
      <c r="K1792">
        <v>333</v>
      </c>
      <c r="L1792" t="s">
        <v>108</v>
      </c>
      <c r="M1792">
        <v>44</v>
      </c>
      <c r="N1792" t="str">
        <f>HYPERLINK("Gene1281-zp_tree_all.dnd", "Gene1281-tree")</f>
        <v>Gene1281-tree</v>
      </c>
      <c r="O1792">
        <v>8</v>
      </c>
      <c r="P1792">
        <v>7</v>
      </c>
      <c r="Q1792">
        <v>8</v>
      </c>
      <c r="R1792">
        <v>7</v>
      </c>
      <c r="S1792">
        <v>0.46666999999999997</v>
      </c>
      <c r="T1792" t="s">
        <v>136</v>
      </c>
      <c r="U1792" t="s">
        <v>152</v>
      </c>
      <c r="V1792" t="s">
        <v>62</v>
      </c>
      <c r="W1792" t="s">
        <v>62</v>
      </c>
      <c r="X1792">
        <v>3</v>
      </c>
      <c r="Y1792">
        <v>7</v>
      </c>
      <c r="Z1792">
        <v>5</v>
      </c>
      <c r="AA1792">
        <v>0.58333000000000002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2</v>
      </c>
      <c r="AH1792">
        <v>0</v>
      </c>
      <c r="AI1792">
        <v>2</v>
      </c>
      <c r="AJ1792">
        <v>7</v>
      </c>
      <c r="AK1792">
        <v>0.22222</v>
      </c>
      <c r="AL1792">
        <v>13</v>
      </c>
      <c r="AM1792">
        <v>12</v>
      </c>
      <c r="AN1792">
        <v>47</v>
      </c>
      <c r="AO1792">
        <v>9</v>
      </c>
      <c r="AP1792">
        <v>35</v>
      </c>
      <c r="AQ1792">
        <v>3</v>
      </c>
      <c r="AR1792" t="s">
        <v>8036</v>
      </c>
      <c r="AS1792" t="s">
        <v>8037</v>
      </c>
      <c r="AT1792">
        <v>0.65200000000000002</v>
      </c>
      <c r="AU1792" t="s">
        <v>65</v>
      </c>
      <c r="AV1792">
        <v>82</v>
      </c>
      <c r="AW1792">
        <v>12</v>
      </c>
      <c r="AX1792" t="s">
        <v>8038</v>
      </c>
      <c r="AY1792">
        <v>6.5960000000000005E-2</v>
      </c>
      <c r="AZ1792">
        <v>-2.4599999999999999E-3</v>
      </c>
      <c r="BA1792">
        <v>2.4199999999999998E-3</v>
      </c>
      <c r="BB1792">
        <v>-1.2999999999999999E-4</v>
      </c>
      <c r="BC1792">
        <v>3.6659999999999998E-2</v>
      </c>
      <c r="BD1792">
        <v>1</v>
      </c>
      <c r="BE1792" t="s">
        <v>69</v>
      </c>
      <c r="BF1792">
        <v>-0.32400000000000001</v>
      </c>
      <c r="BG1792">
        <v>-1.3320000000000001</v>
      </c>
    </row>
    <row r="1793" spans="1:59">
      <c r="A1793">
        <v>0</v>
      </c>
      <c r="B1793">
        <v>0</v>
      </c>
      <c r="C1793">
        <v>0</v>
      </c>
      <c r="D1793" t="s">
        <v>25022</v>
      </c>
      <c r="E1793">
        <v>878</v>
      </c>
      <c r="F1793" t="s">
        <v>5482</v>
      </c>
      <c r="G1793" t="s">
        <v>57</v>
      </c>
      <c r="H1793">
        <v>920474</v>
      </c>
      <c r="I1793">
        <v>921472</v>
      </c>
      <c r="J1793" t="s">
        <v>5483</v>
      </c>
      <c r="K1793">
        <v>333</v>
      </c>
      <c r="L1793" t="s">
        <v>108</v>
      </c>
      <c r="M1793">
        <v>44</v>
      </c>
      <c r="N1793" t="str">
        <f>HYPERLINK("Gene878-zp_tree_all.dnd", "Gene878-tree")</f>
        <v>Gene878-tree</v>
      </c>
      <c r="O1793">
        <v>11</v>
      </c>
      <c r="P1793">
        <v>3</v>
      </c>
      <c r="Q1793">
        <v>11</v>
      </c>
      <c r="R1793">
        <v>3</v>
      </c>
      <c r="S1793">
        <v>0.21429000000000001</v>
      </c>
      <c r="T1793" t="s">
        <v>73</v>
      </c>
      <c r="U1793" t="s">
        <v>324</v>
      </c>
      <c r="V1793" t="s">
        <v>62</v>
      </c>
      <c r="W1793" t="s">
        <v>62</v>
      </c>
      <c r="X1793">
        <v>0</v>
      </c>
      <c r="Y1793">
        <v>0</v>
      </c>
      <c r="Z1793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3</v>
      </c>
      <c r="AK1793">
        <v>0</v>
      </c>
      <c r="AL1793">
        <v>13</v>
      </c>
      <c r="AM1793">
        <v>8</v>
      </c>
      <c r="AN1793">
        <v>36</v>
      </c>
      <c r="AO1793">
        <v>3</v>
      </c>
      <c r="AP1793">
        <v>24</v>
      </c>
      <c r="AQ1793">
        <v>1</v>
      </c>
      <c r="AR1793" t="s">
        <v>5484</v>
      </c>
      <c r="AS1793" t="s">
        <v>5485</v>
      </c>
      <c r="AT1793">
        <v>0.253</v>
      </c>
      <c r="AU1793" t="s">
        <v>65</v>
      </c>
      <c r="AV1793">
        <v>60</v>
      </c>
      <c r="AW1793">
        <v>4</v>
      </c>
      <c r="AX1793" t="s">
        <v>5486</v>
      </c>
      <c r="AY1793">
        <v>5.0340000000000003E-2</v>
      </c>
      <c r="AZ1793">
        <v>-2.7299999999999998E-3</v>
      </c>
      <c r="BA1793">
        <v>9.3999999999999997E-4</v>
      </c>
      <c r="BB1793">
        <v>-8.0000000000000007E-5</v>
      </c>
      <c r="BC1793">
        <v>1.8620000000000001E-2</v>
      </c>
      <c r="BD1793">
        <v>1</v>
      </c>
      <c r="BE1793" t="s">
        <v>69</v>
      </c>
      <c r="BF1793">
        <v>-0.105</v>
      </c>
      <c r="BG1793">
        <v>0.58599999999999997</v>
      </c>
    </row>
    <row r="1794" spans="1:59">
      <c r="A1794">
        <v>0</v>
      </c>
      <c r="B1794">
        <v>0</v>
      </c>
      <c r="C1794">
        <v>0</v>
      </c>
      <c r="D1794" t="s">
        <v>25022</v>
      </c>
      <c r="E1794">
        <v>3774</v>
      </c>
      <c r="F1794" t="s">
        <v>22114</v>
      </c>
      <c r="G1794" t="s">
        <v>62</v>
      </c>
      <c r="H1794">
        <v>3747257</v>
      </c>
      <c r="I1794">
        <v>3748255</v>
      </c>
      <c r="J1794" t="s">
        <v>22115</v>
      </c>
      <c r="K1794">
        <v>333</v>
      </c>
      <c r="L1794" t="s">
        <v>59</v>
      </c>
      <c r="M1794">
        <v>49</v>
      </c>
      <c r="N1794" t="str">
        <f>HYPERLINK("Gene3774-zp_tree_all.dnd", "Gene3774-tree")</f>
        <v>Gene3774-tree</v>
      </c>
      <c r="O1794">
        <v>34</v>
      </c>
      <c r="P1794">
        <v>2</v>
      </c>
      <c r="Q1794">
        <v>16</v>
      </c>
      <c r="R1794">
        <v>2</v>
      </c>
      <c r="S1794">
        <v>0.11111</v>
      </c>
      <c r="T1794" t="s">
        <v>22116</v>
      </c>
      <c r="U1794" t="s">
        <v>81</v>
      </c>
      <c r="V1794" t="s">
        <v>62</v>
      </c>
      <c r="W1794" t="s">
        <v>62</v>
      </c>
      <c r="X1794">
        <v>0</v>
      </c>
      <c r="Y1794">
        <v>0</v>
      </c>
      <c r="Z1794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</v>
      </c>
      <c r="AK1794">
        <v>0</v>
      </c>
      <c r="AL1794">
        <v>14</v>
      </c>
      <c r="AM1794">
        <v>9</v>
      </c>
      <c r="AN1794">
        <v>27</v>
      </c>
      <c r="AO1794">
        <v>2</v>
      </c>
      <c r="AP1794">
        <v>54</v>
      </c>
      <c r="AQ1794">
        <v>2</v>
      </c>
      <c r="AR1794" t="s">
        <v>22117</v>
      </c>
      <c r="AS1794" t="s">
        <v>22118</v>
      </c>
      <c r="AT1794">
        <v>0.223</v>
      </c>
      <c r="AU1794" t="s">
        <v>65</v>
      </c>
      <c r="AV1794">
        <v>81</v>
      </c>
      <c r="AW1794">
        <v>4</v>
      </c>
      <c r="AX1794" t="s">
        <v>22119</v>
      </c>
      <c r="AY1794">
        <v>7.0550000000000002E-2</v>
      </c>
      <c r="AZ1794">
        <v>-4.4999999999999997E-3</v>
      </c>
      <c r="BA1794">
        <v>8.4000000000000003E-4</v>
      </c>
      <c r="BB1794">
        <v>-9.0000000000000006E-5</v>
      </c>
      <c r="BC1794">
        <v>1.196E-2</v>
      </c>
      <c r="BD1794">
        <v>1</v>
      </c>
      <c r="BE1794" t="s">
        <v>69</v>
      </c>
      <c r="BF1794">
        <v>-1.571</v>
      </c>
      <c r="BG1794">
        <v>-8.1000000000000003E-2</v>
      </c>
    </row>
    <row r="1795" spans="1:59">
      <c r="A1795">
        <v>0</v>
      </c>
      <c r="B1795">
        <v>4</v>
      </c>
      <c r="C1795">
        <v>2</v>
      </c>
      <c r="D1795" t="s">
        <v>25022</v>
      </c>
      <c r="E1795">
        <v>3051</v>
      </c>
      <c r="F1795" t="s">
        <v>17655</v>
      </c>
      <c r="G1795" t="s">
        <v>62</v>
      </c>
      <c r="H1795">
        <v>3003348</v>
      </c>
      <c r="I1795">
        <v>3004349</v>
      </c>
      <c r="J1795" t="s">
        <v>17643</v>
      </c>
      <c r="K1795">
        <v>334</v>
      </c>
      <c r="L1795" t="s">
        <v>2555</v>
      </c>
      <c r="M1795">
        <v>34</v>
      </c>
      <c r="N1795" t="str">
        <f>HYPERLINK("Gene3051-zp_tree_all.dnd", "Gene3051-tree")</f>
        <v>Gene3051-tree</v>
      </c>
      <c r="O1795">
        <v>3</v>
      </c>
      <c r="P1795">
        <v>6</v>
      </c>
      <c r="Q1795">
        <v>3</v>
      </c>
      <c r="R1795">
        <v>6</v>
      </c>
      <c r="S1795">
        <v>0.66666999999999998</v>
      </c>
      <c r="T1795" t="s">
        <v>324</v>
      </c>
      <c r="U1795" t="s">
        <v>90</v>
      </c>
      <c r="V1795" t="s">
        <v>62</v>
      </c>
      <c r="W1795" t="s">
        <v>62</v>
      </c>
      <c r="X1795">
        <v>3</v>
      </c>
      <c r="Y1795">
        <v>6</v>
      </c>
      <c r="Z1795">
        <v>11</v>
      </c>
      <c r="AA1795">
        <v>0.35293999999999998</v>
      </c>
      <c r="AB1795">
        <v>0</v>
      </c>
      <c r="AC1795">
        <v>0</v>
      </c>
      <c r="AD1795">
        <v>0</v>
      </c>
      <c r="AE1795">
        <v>2</v>
      </c>
      <c r="AF1795">
        <v>0</v>
      </c>
      <c r="AG1795">
        <v>0</v>
      </c>
      <c r="AH1795">
        <v>2</v>
      </c>
      <c r="AI1795">
        <v>2</v>
      </c>
      <c r="AJ1795">
        <v>9</v>
      </c>
      <c r="AK1795">
        <v>0.18182000000000001</v>
      </c>
      <c r="AL1795">
        <v>6</v>
      </c>
      <c r="AM1795">
        <v>5</v>
      </c>
      <c r="AN1795">
        <v>10</v>
      </c>
      <c r="AO1795">
        <v>11</v>
      </c>
      <c r="AP1795">
        <v>9</v>
      </c>
      <c r="AQ1795">
        <v>6</v>
      </c>
      <c r="AR1795" t="s">
        <v>17656</v>
      </c>
      <c r="AS1795" t="s">
        <v>17657</v>
      </c>
      <c r="AT1795">
        <v>0.32600000000000001</v>
      </c>
      <c r="AU1795" t="s">
        <v>65</v>
      </c>
      <c r="AV1795">
        <v>19</v>
      </c>
      <c r="AW1795">
        <v>17</v>
      </c>
      <c r="AX1795" t="s">
        <v>17658</v>
      </c>
      <c r="AY1795">
        <v>2.5430000000000001E-2</v>
      </c>
      <c r="AZ1795">
        <v>-2.1199999999999999E-3</v>
      </c>
      <c r="BA1795">
        <v>6.1500000000000001E-3</v>
      </c>
      <c r="BB1795">
        <v>-4.6999999999999999E-4</v>
      </c>
      <c r="BC1795">
        <v>0.24203</v>
      </c>
      <c r="BD1795">
        <v>1</v>
      </c>
      <c r="BE1795" t="s">
        <v>69</v>
      </c>
      <c r="BF1795">
        <v>-1.2589999999999999</v>
      </c>
      <c r="BG1795">
        <v>-2.0710000000000002</v>
      </c>
    </row>
    <row r="1796" spans="1:59">
      <c r="A1796">
        <v>0</v>
      </c>
      <c r="B1796">
        <v>0</v>
      </c>
      <c r="C1796">
        <v>4</v>
      </c>
      <c r="D1796" t="s">
        <v>25022</v>
      </c>
      <c r="E1796">
        <v>3154</v>
      </c>
      <c r="F1796" t="s">
        <v>18325</v>
      </c>
      <c r="G1796" t="s">
        <v>62</v>
      </c>
      <c r="H1796">
        <v>3112193</v>
      </c>
      <c r="I1796">
        <v>3113194</v>
      </c>
      <c r="J1796" t="s">
        <v>18326</v>
      </c>
      <c r="K1796">
        <v>334</v>
      </c>
      <c r="L1796" t="s">
        <v>108</v>
      </c>
      <c r="M1796">
        <v>44</v>
      </c>
      <c r="N1796" t="str">
        <f>HYPERLINK("Gene3154-zp_tree_all.dnd", "Gene3154-tree")</f>
        <v>Gene3154-tree</v>
      </c>
      <c r="O1796">
        <v>8</v>
      </c>
      <c r="P1796">
        <v>7</v>
      </c>
      <c r="Q1796">
        <v>8</v>
      </c>
      <c r="R1796">
        <v>7</v>
      </c>
      <c r="S1796">
        <v>0.46666999999999997</v>
      </c>
      <c r="T1796" t="s">
        <v>136</v>
      </c>
      <c r="U1796" t="s">
        <v>152</v>
      </c>
      <c r="V1796" t="s">
        <v>62</v>
      </c>
      <c r="W1796" t="s">
        <v>62</v>
      </c>
      <c r="X1796">
        <v>2</v>
      </c>
      <c r="Y1796">
        <v>4</v>
      </c>
      <c r="Z1796">
        <v>17</v>
      </c>
      <c r="AA1796">
        <v>0.19048000000000001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17</v>
      </c>
      <c r="AK1796">
        <v>0</v>
      </c>
      <c r="AL1796">
        <v>13</v>
      </c>
      <c r="AM1796">
        <v>9</v>
      </c>
      <c r="AN1796">
        <v>44</v>
      </c>
      <c r="AO1796">
        <v>17</v>
      </c>
      <c r="AP1796">
        <v>15</v>
      </c>
      <c r="AQ1796">
        <v>4</v>
      </c>
      <c r="AR1796" t="s">
        <v>18327</v>
      </c>
      <c r="AS1796" t="s">
        <v>18328</v>
      </c>
      <c r="AT1796">
        <v>0.27300000000000002</v>
      </c>
      <c r="AU1796" t="s">
        <v>65</v>
      </c>
      <c r="AV1796">
        <v>59</v>
      </c>
      <c r="AW1796">
        <v>21</v>
      </c>
      <c r="AX1796" t="s">
        <v>18329</v>
      </c>
      <c r="AY1796">
        <v>4.2880000000000001E-2</v>
      </c>
      <c r="AZ1796">
        <v>-2.2599999999999999E-3</v>
      </c>
      <c r="BA1796">
        <v>5.0000000000000001E-3</v>
      </c>
      <c r="BB1796">
        <v>-3.8000000000000002E-4</v>
      </c>
      <c r="BC1796">
        <v>0.1167</v>
      </c>
      <c r="BD1796">
        <v>1</v>
      </c>
      <c r="BE1796" t="s">
        <v>69</v>
      </c>
      <c r="BF1796">
        <v>-1.1879999999999999</v>
      </c>
      <c r="BG1796">
        <v>-2.141</v>
      </c>
    </row>
    <row r="1797" spans="1:59">
      <c r="A1797">
        <v>0</v>
      </c>
      <c r="B1797">
        <v>4</v>
      </c>
      <c r="C1797">
        <v>0</v>
      </c>
      <c r="D1797" t="s">
        <v>25022</v>
      </c>
      <c r="E1797">
        <v>2941</v>
      </c>
      <c r="F1797" t="s">
        <v>16950</v>
      </c>
      <c r="G1797" t="s">
        <v>62</v>
      </c>
      <c r="H1797">
        <v>2887820</v>
      </c>
      <c r="I1797">
        <v>2888821</v>
      </c>
      <c r="J1797" t="s">
        <v>2512</v>
      </c>
      <c r="K1797">
        <v>334</v>
      </c>
      <c r="L1797" t="s">
        <v>108</v>
      </c>
      <c r="M1797">
        <v>44</v>
      </c>
      <c r="N1797" t="str">
        <f>HYPERLINK("Gene2941-zp_tree_all.dnd", "Gene2941-tree")</f>
        <v>Gene2941-tree</v>
      </c>
      <c r="O1797">
        <v>10</v>
      </c>
      <c r="P1797">
        <v>5</v>
      </c>
      <c r="Q1797">
        <v>10</v>
      </c>
      <c r="R1797">
        <v>5</v>
      </c>
      <c r="S1797">
        <v>0.33333000000000002</v>
      </c>
      <c r="T1797" t="s">
        <v>117</v>
      </c>
      <c r="U1797" t="s">
        <v>199</v>
      </c>
      <c r="V1797" t="s">
        <v>62</v>
      </c>
      <c r="W1797" t="s">
        <v>62</v>
      </c>
      <c r="X1797">
        <v>2</v>
      </c>
      <c r="Y1797">
        <v>4</v>
      </c>
      <c r="Z1797">
        <v>7</v>
      </c>
      <c r="AA1797">
        <v>0.36364000000000002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7</v>
      </c>
      <c r="AK1797">
        <v>0</v>
      </c>
      <c r="AL1797">
        <v>13</v>
      </c>
      <c r="AM1797">
        <v>12</v>
      </c>
      <c r="AN1797">
        <v>45</v>
      </c>
      <c r="AO1797">
        <v>8</v>
      </c>
      <c r="AP1797">
        <v>26</v>
      </c>
      <c r="AQ1797">
        <v>4</v>
      </c>
      <c r="AR1797" t="s">
        <v>16951</v>
      </c>
      <c r="AS1797" t="s">
        <v>16952</v>
      </c>
      <c r="AT1797">
        <v>0.14799999999999999</v>
      </c>
      <c r="AU1797" t="s">
        <v>65</v>
      </c>
      <c r="AV1797">
        <v>71</v>
      </c>
      <c r="AW1797">
        <v>12</v>
      </c>
      <c r="AX1797" t="s">
        <v>16953</v>
      </c>
      <c r="AY1797">
        <v>5.8560000000000001E-2</v>
      </c>
      <c r="AZ1797">
        <v>-2.0400000000000001E-3</v>
      </c>
      <c r="BA1797">
        <v>2.8900000000000002E-3</v>
      </c>
      <c r="BB1797">
        <v>-1.4999999999999999E-4</v>
      </c>
      <c r="BC1797">
        <v>4.9329999999999999E-2</v>
      </c>
      <c r="BD1797">
        <v>1</v>
      </c>
      <c r="BE1797" t="s">
        <v>69</v>
      </c>
      <c r="BF1797">
        <v>-0.504</v>
      </c>
      <c r="BG1797">
        <v>-1.407</v>
      </c>
    </row>
    <row r="1798" spans="1:59">
      <c r="A1798">
        <v>0</v>
      </c>
      <c r="B1798">
        <v>0</v>
      </c>
      <c r="C1798">
        <v>0</v>
      </c>
      <c r="D1798" t="s">
        <v>25022</v>
      </c>
      <c r="E1798">
        <v>977</v>
      </c>
      <c r="F1798" t="s">
        <v>6123</v>
      </c>
      <c r="G1798" t="s">
        <v>57</v>
      </c>
      <c r="H1798">
        <v>1018998</v>
      </c>
      <c r="I1798">
        <v>1019999</v>
      </c>
      <c r="J1798" t="s">
        <v>6124</v>
      </c>
      <c r="K1798">
        <v>334</v>
      </c>
      <c r="L1798" t="s">
        <v>6125</v>
      </c>
      <c r="M1798">
        <v>39</v>
      </c>
      <c r="N1798" t="str">
        <f>HYPERLINK("Gene977-zp_tree_all.dnd", "Gene977-tree")</f>
        <v>Gene977-tree</v>
      </c>
      <c r="O1798">
        <v>9</v>
      </c>
      <c r="P1798">
        <v>4</v>
      </c>
      <c r="Q1798">
        <v>9</v>
      </c>
      <c r="R1798">
        <v>4</v>
      </c>
      <c r="S1798">
        <v>0.30769000000000002</v>
      </c>
      <c r="T1798" t="s">
        <v>135</v>
      </c>
      <c r="U1798" t="s">
        <v>61</v>
      </c>
      <c r="V1798" t="s">
        <v>62</v>
      </c>
      <c r="W1798" t="s">
        <v>62</v>
      </c>
      <c r="X1798">
        <v>0</v>
      </c>
      <c r="Y1798">
        <v>0</v>
      </c>
      <c r="Z1798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4</v>
      </c>
      <c r="AK1798">
        <v>0</v>
      </c>
      <c r="AL1798">
        <v>11</v>
      </c>
      <c r="AM1798">
        <v>6</v>
      </c>
      <c r="AN1798">
        <v>18</v>
      </c>
      <c r="AO1798">
        <v>4</v>
      </c>
      <c r="AP1798">
        <v>8</v>
      </c>
      <c r="AQ1798">
        <v>0</v>
      </c>
      <c r="AR1798" t="s">
        <v>6126</v>
      </c>
      <c r="AS1798" t="s">
        <v>193</v>
      </c>
      <c r="AT1798">
        <v>1.6240000000000001</v>
      </c>
      <c r="AU1798" t="s">
        <v>65</v>
      </c>
      <c r="AV1798">
        <v>26</v>
      </c>
      <c r="AW1798">
        <v>4</v>
      </c>
      <c r="AX1798" t="s">
        <v>6127</v>
      </c>
      <c r="AY1798">
        <v>2.223E-2</v>
      </c>
      <c r="AZ1798">
        <v>-9.8999999999999999E-4</v>
      </c>
      <c r="BA1798">
        <v>8.0999999999999996E-4</v>
      </c>
      <c r="BB1798">
        <v>-9.0000000000000006E-5</v>
      </c>
      <c r="BC1798">
        <v>3.6220000000000002E-2</v>
      </c>
      <c r="BD1798">
        <v>1</v>
      </c>
      <c r="BE1798" t="s">
        <v>69</v>
      </c>
      <c r="BF1798">
        <v>-1.3080000000000001</v>
      </c>
      <c r="BG1798">
        <v>-2.2610000000000001</v>
      </c>
    </row>
    <row r="1799" spans="1:59">
      <c r="A1799">
        <v>0</v>
      </c>
      <c r="B1799">
        <v>4</v>
      </c>
      <c r="C1799">
        <v>2</v>
      </c>
      <c r="D1799" t="s">
        <v>25022</v>
      </c>
      <c r="E1799">
        <v>3092</v>
      </c>
      <c r="F1799" t="s">
        <v>17923</v>
      </c>
      <c r="G1799" t="s">
        <v>62</v>
      </c>
      <c r="H1799">
        <v>3044168</v>
      </c>
      <c r="I1799">
        <v>3045169</v>
      </c>
      <c r="J1799" t="s">
        <v>17924</v>
      </c>
      <c r="K1799">
        <v>334</v>
      </c>
      <c r="L1799" t="s">
        <v>59</v>
      </c>
      <c r="M1799">
        <v>49</v>
      </c>
      <c r="N1799" t="str">
        <f>HYPERLINK("Gene3092-zp_tree_all.dnd", "Gene3092-tree")</f>
        <v>Gene3092-tree</v>
      </c>
      <c r="O1799">
        <v>12</v>
      </c>
      <c r="P1799">
        <v>6</v>
      </c>
      <c r="Q1799">
        <v>12</v>
      </c>
      <c r="R1799">
        <v>6</v>
      </c>
      <c r="S1799">
        <v>0.33333000000000002</v>
      </c>
      <c r="T1799" t="s">
        <v>109</v>
      </c>
      <c r="U1799" t="s">
        <v>90</v>
      </c>
      <c r="V1799" t="s">
        <v>62</v>
      </c>
      <c r="W1799" t="s">
        <v>62</v>
      </c>
      <c r="X1799">
        <v>2</v>
      </c>
      <c r="Y1799">
        <v>6</v>
      </c>
      <c r="Z1799">
        <v>8</v>
      </c>
      <c r="AA1799">
        <v>0.42857000000000001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2</v>
      </c>
      <c r="AH1799">
        <v>0</v>
      </c>
      <c r="AI1799">
        <v>2</v>
      </c>
      <c r="AJ1799">
        <v>4</v>
      </c>
      <c r="AK1799">
        <v>0.33333000000000002</v>
      </c>
      <c r="AL1799">
        <v>13</v>
      </c>
      <c r="AM1799">
        <v>14</v>
      </c>
      <c r="AN1799">
        <v>46</v>
      </c>
      <c r="AO1799">
        <v>5</v>
      </c>
      <c r="AP1799">
        <v>74</v>
      </c>
      <c r="AQ1799">
        <v>9</v>
      </c>
      <c r="AR1799" t="s">
        <v>17925</v>
      </c>
      <c r="AS1799" t="s">
        <v>17926</v>
      </c>
      <c r="AT1799">
        <v>8.5000000000000006E-2</v>
      </c>
      <c r="AU1799" t="s">
        <v>65</v>
      </c>
      <c r="AV1799">
        <v>120</v>
      </c>
      <c r="AW1799">
        <v>14</v>
      </c>
      <c r="AX1799" t="s">
        <v>17927</v>
      </c>
      <c r="AY1799">
        <v>0.10884000000000001</v>
      </c>
      <c r="AZ1799">
        <v>-5.7299999999999999E-3</v>
      </c>
      <c r="BA1799">
        <v>3.7599999999999999E-3</v>
      </c>
      <c r="BB1799">
        <v>-2.9E-4</v>
      </c>
      <c r="BC1799">
        <v>3.4509999999999999E-2</v>
      </c>
      <c r="BD1799">
        <v>1</v>
      </c>
      <c r="BE1799" t="s">
        <v>69</v>
      </c>
      <c r="BF1799">
        <v>-1.431</v>
      </c>
      <c r="BG1799">
        <v>-1.0209999999999999</v>
      </c>
    </row>
    <row r="1800" spans="1:59">
      <c r="A1800">
        <v>0</v>
      </c>
      <c r="B1800">
        <v>0</v>
      </c>
      <c r="C1800">
        <v>0</v>
      </c>
      <c r="D1800" t="s">
        <v>25022</v>
      </c>
      <c r="E1800">
        <v>2888</v>
      </c>
      <c r="F1800" t="s">
        <v>16619</v>
      </c>
      <c r="G1800" t="s">
        <v>62</v>
      </c>
      <c r="H1800">
        <v>2835153</v>
      </c>
      <c r="I1800">
        <v>2836154</v>
      </c>
      <c r="J1800" t="s">
        <v>16620</v>
      </c>
      <c r="K1800">
        <v>334</v>
      </c>
      <c r="L1800" t="s">
        <v>108</v>
      </c>
      <c r="M1800">
        <v>44</v>
      </c>
      <c r="N1800" t="str">
        <f>HYPERLINK("Gene2888-zp_tree_all.dnd", "Gene2888-tree")</f>
        <v>Gene2888-tree</v>
      </c>
      <c r="O1800">
        <v>10</v>
      </c>
      <c r="P1800">
        <v>1</v>
      </c>
      <c r="Q1800">
        <v>10</v>
      </c>
      <c r="R1800">
        <v>1</v>
      </c>
      <c r="S1800">
        <v>9.0910000000000005E-2</v>
      </c>
      <c r="T1800" t="s">
        <v>117</v>
      </c>
      <c r="U1800" t="s">
        <v>175</v>
      </c>
      <c r="V1800" t="s">
        <v>62</v>
      </c>
      <c r="W1800" t="s">
        <v>62</v>
      </c>
      <c r="X1800">
        <v>0</v>
      </c>
      <c r="Y1800">
        <v>0</v>
      </c>
      <c r="Z1800">
        <v>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</v>
      </c>
      <c r="AK1800">
        <v>0</v>
      </c>
      <c r="AL1800">
        <v>8</v>
      </c>
      <c r="AM1800">
        <v>5</v>
      </c>
      <c r="AN1800">
        <v>23</v>
      </c>
      <c r="AO1800">
        <v>2</v>
      </c>
      <c r="AP1800">
        <v>9</v>
      </c>
      <c r="AQ1800">
        <v>0</v>
      </c>
      <c r="AR1800" t="s">
        <v>16621</v>
      </c>
      <c r="AS1800" t="s">
        <v>193</v>
      </c>
      <c r="AT1800">
        <v>0.33200000000000002</v>
      </c>
      <c r="AU1800" t="s">
        <v>65</v>
      </c>
      <c r="AV1800">
        <v>32</v>
      </c>
      <c r="AW1800">
        <v>2</v>
      </c>
      <c r="AX1800" t="s">
        <v>16622</v>
      </c>
      <c r="AY1800">
        <v>2.9929999999999998E-2</v>
      </c>
      <c r="AZ1800">
        <v>-2.6099999999999999E-3</v>
      </c>
      <c r="BA1800">
        <v>4.8000000000000001E-4</v>
      </c>
      <c r="BB1800">
        <v>-1.3999999999999999E-4</v>
      </c>
      <c r="BC1800">
        <v>1.6129999999999999E-2</v>
      </c>
      <c r="BD1800">
        <v>1</v>
      </c>
      <c r="BE1800" t="s">
        <v>69</v>
      </c>
      <c r="BF1800">
        <v>-1.6850000000000001</v>
      </c>
      <c r="BG1800">
        <v>-2.4159999999999999</v>
      </c>
    </row>
    <row r="1801" spans="1:59">
      <c r="A1801">
        <v>0</v>
      </c>
      <c r="B1801">
        <v>9</v>
      </c>
      <c r="C1801">
        <v>0</v>
      </c>
      <c r="D1801" t="s">
        <v>25022</v>
      </c>
      <c r="E1801">
        <v>3071</v>
      </c>
      <c r="F1801" t="s">
        <v>17786</v>
      </c>
      <c r="G1801" t="s">
        <v>62</v>
      </c>
      <c r="H1801">
        <v>3020043</v>
      </c>
      <c r="I1801">
        <v>3021047</v>
      </c>
      <c r="J1801" t="s">
        <v>17787</v>
      </c>
      <c r="K1801">
        <v>335</v>
      </c>
      <c r="L1801" t="s">
        <v>108</v>
      </c>
      <c r="M1801">
        <v>44</v>
      </c>
      <c r="N1801" t="str">
        <f>HYPERLINK("Gene3071-zp_tree_all.dnd", "Gene3071-tree")</f>
        <v>Gene3071-tree</v>
      </c>
      <c r="O1801">
        <v>2</v>
      </c>
      <c r="P1801">
        <v>12</v>
      </c>
      <c r="Q1801">
        <v>2</v>
      </c>
      <c r="R1801">
        <v>12</v>
      </c>
      <c r="S1801">
        <v>0.85714000000000001</v>
      </c>
      <c r="T1801" t="s">
        <v>81</v>
      </c>
      <c r="U1801" t="s">
        <v>109</v>
      </c>
      <c r="V1801" t="s">
        <v>62</v>
      </c>
      <c r="W1801" t="s">
        <v>62</v>
      </c>
      <c r="X1801">
        <v>3</v>
      </c>
      <c r="Y1801">
        <v>9</v>
      </c>
      <c r="Z1801">
        <v>13</v>
      </c>
      <c r="AA1801">
        <v>0.40909000000000001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6</v>
      </c>
      <c r="AH1801">
        <v>0</v>
      </c>
      <c r="AI1801">
        <v>6</v>
      </c>
      <c r="AJ1801">
        <v>12</v>
      </c>
      <c r="AK1801">
        <v>0.33333000000000002</v>
      </c>
      <c r="AL1801">
        <v>13</v>
      </c>
      <c r="AM1801">
        <v>7</v>
      </c>
      <c r="AN1801">
        <v>27</v>
      </c>
      <c r="AO1801">
        <v>17</v>
      </c>
      <c r="AP1801">
        <v>8</v>
      </c>
      <c r="AQ1801">
        <v>5</v>
      </c>
      <c r="AR1801" t="s">
        <v>17788</v>
      </c>
      <c r="AS1801" t="s">
        <v>17789</v>
      </c>
      <c r="AT1801">
        <v>1E-3</v>
      </c>
      <c r="AU1801" t="s">
        <v>65</v>
      </c>
      <c r="AV1801">
        <v>35</v>
      </c>
      <c r="AW1801">
        <v>22</v>
      </c>
      <c r="AX1801" t="s">
        <v>17378</v>
      </c>
      <c r="AY1801">
        <v>2.4930000000000001E-2</v>
      </c>
      <c r="AZ1801">
        <v>-1.65E-3</v>
      </c>
      <c r="BA1801">
        <v>4.2100000000000002E-3</v>
      </c>
      <c r="BB1801">
        <v>-2.1000000000000001E-4</v>
      </c>
      <c r="BC1801">
        <v>0.16891999999999999</v>
      </c>
      <c r="BD1801">
        <v>1</v>
      </c>
      <c r="BE1801" t="s">
        <v>69</v>
      </c>
      <c r="BF1801">
        <v>-1.2809999999999999</v>
      </c>
      <c r="BG1801">
        <v>-1.639</v>
      </c>
    </row>
    <row r="1802" spans="1:59">
      <c r="A1802">
        <v>0</v>
      </c>
      <c r="B1802">
        <v>8</v>
      </c>
      <c r="C1802">
        <v>2</v>
      </c>
      <c r="D1802" t="s">
        <v>25022</v>
      </c>
      <c r="E1802">
        <v>1345</v>
      </c>
      <c r="F1802" t="s">
        <v>8413</v>
      </c>
      <c r="G1802" t="s">
        <v>57</v>
      </c>
      <c r="H1802">
        <v>1363141</v>
      </c>
      <c r="I1802">
        <v>1364145</v>
      </c>
      <c r="J1802" t="s">
        <v>8414</v>
      </c>
      <c r="K1802">
        <v>335</v>
      </c>
      <c r="L1802" t="s">
        <v>108</v>
      </c>
      <c r="M1802">
        <v>44</v>
      </c>
      <c r="N1802" t="str">
        <f>HYPERLINK("Gene1345-zp_tree_all.dnd", "Gene1345-tree")</f>
        <v>Gene1345-tree</v>
      </c>
      <c r="O1802">
        <v>4</v>
      </c>
      <c r="P1802">
        <v>8</v>
      </c>
      <c r="Q1802">
        <v>4</v>
      </c>
      <c r="R1802">
        <v>8</v>
      </c>
      <c r="S1802">
        <v>0.66666999999999998</v>
      </c>
      <c r="T1802" t="s">
        <v>61</v>
      </c>
      <c r="U1802" t="s">
        <v>136</v>
      </c>
      <c r="V1802" t="s">
        <v>62</v>
      </c>
      <c r="W1802" t="s">
        <v>62</v>
      </c>
      <c r="X1802">
        <v>5</v>
      </c>
      <c r="Y1802">
        <v>10</v>
      </c>
      <c r="Z1802">
        <v>15</v>
      </c>
      <c r="AA1802">
        <v>0.4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</v>
      </c>
      <c r="AH1802">
        <v>2</v>
      </c>
      <c r="AI1802">
        <v>4</v>
      </c>
      <c r="AJ1802">
        <v>13</v>
      </c>
      <c r="AK1802">
        <v>0.23529</v>
      </c>
      <c r="AL1802">
        <v>11</v>
      </c>
      <c r="AM1802">
        <v>8</v>
      </c>
      <c r="AN1802">
        <v>23</v>
      </c>
      <c r="AO1802">
        <v>17</v>
      </c>
      <c r="AP1802">
        <v>17</v>
      </c>
      <c r="AQ1802">
        <v>8</v>
      </c>
      <c r="AR1802" t="s">
        <v>8415</v>
      </c>
      <c r="AS1802" t="s">
        <v>8416</v>
      </c>
      <c r="AT1802">
        <v>0.45800000000000002</v>
      </c>
      <c r="AU1802" t="s">
        <v>65</v>
      </c>
      <c r="AV1802">
        <v>40</v>
      </c>
      <c r="AW1802">
        <v>25</v>
      </c>
      <c r="AX1802" t="s">
        <v>8417</v>
      </c>
      <c r="AY1802">
        <v>4.283E-2</v>
      </c>
      <c r="AZ1802">
        <v>-2.32E-3</v>
      </c>
      <c r="BA1802">
        <v>6.7600000000000004E-3</v>
      </c>
      <c r="BB1802">
        <v>-3.6999999999999999E-4</v>
      </c>
      <c r="BC1802">
        <v>0.15792999999999999</v>
      </c>
      <c r="BD1802">
        <v>1</v>
      </c>
      <c r="BE1802" t="s">
        <v>69</v>
      </c>
      <c r="BF1802">
        <v>-9.9000000000000005E-2</v>
      </c>
      <c r="BG1802">
        <v>-1.07</v>
      </c>
    </row>
    <row r="1803" spans="1:59">
      <c r="A1803">
        <v>0</v>
      </c>
      <c r="B1803">
        <v>4</v>
      </c>
      <c r="C1803">
        <v>0</v>
      </c>
      <c r="D1803" t="s">
        <v>25022</v>
      </c>
      <c r="E1803">
        <v>417</v>
      </c>
      <c r="F1803" t="s">
        <v>2831</v>
      </c>
      <c r="G1803" t="s">
        <v>57</v>
      </c>
      <c r="H1803">
        <v>460592</v>
      </c>
      <c r="I1803">
        <v>461596</v>
      </c>
      <c r="J1803" t="s">
        <v>2832</v>
      </c>
      <c r="K1803">
        <v>335</v>
      </c>
      <c r="L1803" t="s">
        <v>108</v>
      </c>
      <c r="M1803">
        <v>44</v>
      </c>
      <c r="N1803" t="str">
        <f>HYPERLINK("Gene417-zp_tree_all.dnd", "Gene417-tree")</f>
        <v>Gene417-tree</v>
      </c>
      <c r="O1803">
        <v>6</v>
      </c>
      <c r="P1803">
        <v>7</v>
      </c>
      <c r="Q1803">
        <v>6</v>
      </c>
      <c r="R1803">
        <v>7</v>
      </c>
      <c r="S1803">
        <v>0.53846000000000005</v>
      </c>
      <c r="T1803" t="s">
        <v>90</v>
      </c>
      <c r="U1803" t="s">
        <v>152</v>
      </c>
      <c r="V1803" t="s">
        <v>62</v>
      </c>
      <c r="W1803" t="s">
        <v>62</v>
      </c>
      <c r="X1803">
        <v>2</v>
      </c>
      <c r="Y1803">
        <v>4</v>
      </c>
      <c r="Z1803">
        <v>11</v>
      </c>
      <c r="AA1803">
        <v>0.26667000000000002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4</v>
      </c>
      <c r="AH1803">
        <v>0</v>
      </c>
      <c r="AI1803">
        <v>4</v>
      </c>
      <c r="AJ1803">
        <v>10</v>
      </c>
      <c r="AK1803">
        <v>0.28571000000000002</v>
      </c>
      <c r="AL1803">
        <v>11</v>
      </c>
      <c r="AM1803">
        <v>6</v>
      </c>
      <c r="AN1803">
        <v>29</v>
      </c>
      <c r="AO1803">
        <v>14</v>
      </c>
      <c r="AP1803">
        <v>19</v>
      </c>
      <c r="AQ1803">
        <v>1</v>
      </c>
      <c r="AR1803" t="s">
        <v>2833</v>
      </c>
      <c r="AS1803" t="s">
        <v>2834</v>
      </c>
      <c r="AT1803">
        <v>1.522</v>
      </c>
      <c r="AU1803" t="s">
        <v>65</v>
      </c>
      <c r="AV1803">
        <v>48</v>
      </c>
      <c r="AW1803">
        <v>15</v>
      </c>
      <c r="AX1803" t="s">
        <v>2835</v>
      </c>
      <c r="AY1803">
        <v>3.6999999999999998E-2</v>
      </c>
      <c r="AZ1803">
        <v>-1.7600000000000001E-3</v>
      </c>
      <c r="BA1803">
        <v>3.15E-3</v>
      </c>
      <c r="BB1803">
        <v>-3.1E-4</v>
      </c>
      <c r="BC1803">
        <v>8.5050000000000001E-2</v>
      </c>
      <c r="BD1803">
        <v>1</v>
      </c>
      <c r="BE1803" t="s">
        <v>69</v>
      </c>
      <c r="BF1803">
        <v>-1.121</v>
      </c>
      <c r="BG1803">
        <v>-1.7030000000000001</v>
      </c>
    </row>
    <row r="1804" spans="1:59">
      <c r="A1804">
        <v>0</v>
      </c>
      <c r="B1804">
        <v>8</v>
      </c>
      <c r="C1804">
        <v>0</v>
      </c>
      <c r="D1804" t="s">
        <v>25022</v>
      </c>
      <c r="E1804">
        <v>3135</v>
      </c>
      <c r="F1804" t="s">
        <v>18201</v>
      </c>
      <c r="G1804" t="s">
        <v>62</v>
      </c>
      <c r="H1804">
        <v>3090485</v>
      </c>
      <c r="I1804">
        <v>3091489</v>
      </c>
      <c r="J1804" t="s">
        <v>18202</v>
      </c>
      <c r="K1804">
        <v>335</v>
      </c>
      <c r="L1804" t="s">
        <v>108</v>
      </c>
      <c r="M1804">
        <v>44</v>
      </c>
      <c r="N1804" t="str">
        <f>HYPERLINK("Gene3135-zp_tree_all.dnd", "Gene3135-tree")</f>
        <v>Gene3135-tree</v>
      </c>
      <c r="O1804">
        <v>8</v>
      </c>
      <c r="P1804">
        <v>25</v>
      </c>
      <c r="Q1804">
        <v>8</v>
      </c>
      <c r="R1804">
        <v>8</v>
      </c>
      <c r="S1804">
        <v>0.5</v>
      </c>
      <c r="T1804" t="s">
        <v>136</v>
      </c>
      <c r="U1804" t="s">
        <v>1667</v>
      </c>
      <c r="V1804">
        <v>3.3130000000000002</v>
      </c>
      <c r="W1804" t="s">
        <v>65</v>
      </c>
      <c r="X1804">
        <v>3</v>
      </c>
      <c r="Y1804">
        <v>8</v>
      </c>
      <c r="Z1804">
        <v>6</v>
      </c>
      <c r="AA1804">
        <v>0.57142999999999999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</v>
      </c>
      <c r="AH1804">
        <v>0</v>
      </c>
      <c r="AI1804">
        <v>2</v>
      </c>
      <c r="AJ1804">
        <v>7</v>
      </c>
      <c r="AK1804">
        <v>0.22222</v>
      </c>
      <c r="AL1804">
        <v>15</v>
      </c>
      <c r="AM1804">
        <v>9</v>
      </c>
      <c r="AN1804">
        <v>51</v>
      </c>
      <c r="AO1804">
        <v>9</v>
      </c>
      <c r="AP1804">
        <v>15</v>
      </c>
      <c r="AQ1804">
        <v>5</v>
      </c>
      <c r="AR1804" t="s">
        <v>18203</v>
      </c>
      <c r="AS1804" t="s">
        <v>18204</v>
      </c>
      <c r="AT1804">
        <v>0.502</v>
      </c>
      <c r="AU1804" t="s">
        <v>65</v>
      </c>
      <c r="AV1804">
        <v>66</v>
      </c>
      <c r="AW1804">
        <v>14</v>
      </c>
      <c r="AX1804" t="s">
        <v>18205</v>
      </c>
      <c r="AY1804">
        <v>4.5449999999999997E-2</v>
      </c>
      <c r="AZ1804">
        <v>-1.82E-3</v>
      </c>
      <c r="BA1804">
        <v>2.65E-3</v>
      </c>
      <c r="BB1804">
        <v>-1.3999999999999999E-4</v>
      </c>
      <c r="BC1804">
        <v>5.8220000000000001E-2</v>
      </c>
      <c r="BD1804">
        <v>1</v>
      </c>
      <c r="BE1804" t="s">
        <v>69</v>
      </c>
      <c r="BF1804">
        <v>-0.38100000000000001</v>
      </c>
      <c r="BG1804">
        <v>-0.67400000000000004</v>
      </c>
    </row>
    <row r="1805" spans="1:59">
      <c r="A1805">
        <v>0</v>
      </c>
      <c r="B1805">
        <v>0</v>
      </c>
      <c r="C1805">
        <v>0</v>
      </c>
      <c r="D1805" t="s">
        <v>25022</v>
      </c>
      <c r="E1805">
        <v>3521</v>
      </c>
      <c r="F1805" t="s">
        <v>20621</v>
      </c>
      <c r="G1805" t="s">
        <v>62</v>
      </c>
      <c r="H1805">
        <v>3481701</v>
      </c>
      <c r="I1805">
        <v>3482705</v>
      </c>
      <c r="J1805" t="s">
        <v>20622</v>
      </c>
      <c r="K1805">
        <v>335</v>
      </c>
      <c r="L1805" t="s">
        <v>515</v>
      </c>
      <c r="M1805">
        <v>51</v>
      </c>
      <c r="N1805" t="str">
        <f>HYPERLINK("Gene3521-zp_tree_all.dnd", "Gene3521-tree")</f>
        <v>Gene3521-tree</v>
      </c>
      <c r="O1805">
        <v>14</v>
      </c>
      <c r="P1805">
        <v>1</v>
      </c>
      <c r="Q1805">
        <v>14</v>
      </c>
      <c r="R1805">
        <v>1</v>
      </c>
      <c r="S1805">
        <v>6.6669999999999993E-2</v>
      </c>
      <c r="T1805" t="s">
        <v>543</v>
      </c>
      <c r="U1805" t="s">
        <v>175</v>
      </c>
      <c r="V1805" t="s">
        <v>62</v>
      </c>
      <c r="W1805" t="s">
        <v>62</v>
      </c>
      <c r="X1805">
        <v>0</v>
      </c>
      <c r="Y1805">
        <v>0</v>
      </c>
      <c r="Z1805">
        <v>8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10</v>
      </c>
      <c r="AM1805">
        <v>7</v>
      </c>
      <c r="AN1805">
        <v>21</v>
      </c>
      <c r="AO1805">
        <v>1</v>
      </c>
      <c r="AP1805">
        <v>43</v>
      </c>
      <c r="AQ1805">
        <v>9</v>
      </c>
      <c r="AR1805" t="s">
        <v>20623</v>
      </c>
      <c r="AS1805" t="s">
        <v>20624</v>
      </c>
      <c r="AT1805">
        <v>0.19900000000000001</v>
      </c>
      <c r="AU1805" t="s">
        <v>65</v>
      </c>
      <c r="AV1805">
        <v>64</v>
      </c>
      <c r="AW1805">
        <v>10</v>
      </c>
      <c r="AX1805" t="s">
        <v>20625</v>
      </c>
      <c r="AY1805">
        <v>6.0499999999999998E-2</v>
      </c>
      <c r="AZ1805">
        <v>-7.1999999999999998E-3</v>
      </c>
      <c r="BA1805">
        <v>3.1099999999999999E-3</v>
      </c>
      <c r="BB1805">
        <v>-5.0000000000000001E-4</v>
      </c>
      <c r="BC1805">
        <v>5.1470000000000002E-2</v>
      </c>
      <c r="BD1805">
        <v>1</v>
      </c>
      <c r="BE1805" t="s">
        <v>69</v>
      </c>
      <c r="BF1805">
        <v>-2.2189999999999999</v>
      </c>
      <c r="BG1805">
        <v>-0.109</v>
      </c>
    </row>
    <row r="1806" spans="1:59">
      <c r="A1806">
        <v>0</v>
      </c>
      <c r="B1806">
        <v>0</v>
      </c>
      <c r="C1806">
        <v>0</v>
      </c>
      <c r="D1806" t="s">
        <v>25022</v>
      </c>
      <c r="E1806">
        <v>479</v>
      </c>
      <c r="F1806" t="s">
        <v>3242</v>
      </c>
      <c r="G1806" t="s">
        <v>57</v>
      </c>
      <c r="H1806">
        <v>521019</v>
      </c>
      <c r="I1806">
        <v>522023</v>
      </c>
      <c r="J1806" t="s">
        <v>3243</v>
      </c>
      <c r="K1806">
        <v>335</v>
      </c>
      <c r="L1806" t="s">
        <v>394</v>
      </c>
      <c r="M1806">
        <v>48</v>
      </c>
      <c r="N1806" t="str">
        <f>HYPERLINK("Gene479-zp_tree_all.dnd", "Gene479-tree")</f>
        <v>Gene479-tree</v>
      </c>
      <c r="O1806">
        <v>31</v>
      </c>
      <c r="P1806">
        <v>6</v>
      </c>
      <c r="Q1806">
        <v>11</v>
      </c>
      <c r="R1806">
        <v>6</v>
      </c>
      <c r="S1806">
        <v>0.35293999999999998</v>
      </c>
      <c r="T1806" t="s">
        <v>2860</v>
      </c>
      <c r="U1806" t="s">
        <v>90</v>
      </c>
      <c r="V1806" t="s">
        <v>62</v>
      </c>
      <c r="W1806" t="s">
        <v>62</v>
      </c>
      <c r="X1806">
        <v>0</v>
      </c>
      <c r="Y1806">
        <v>0</v>
      </c>
      <c r="Z1806">
        <v>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</v>
      </c>
      <c r="AK1806">
        <v>0</v>
      </c>
      <c r="AL1806">
        <v>15</v>
      </c>
      <c r="AM1806">
        <v>11</v>
      </c>
      <c r="AN1806">
        <v>53</v>
      </c>
      <c r="AO1806">
        <v>6</v>
      </c>
      <c r="AP1806">
        <v>53</v>
      </c>
      <c r="AQ1806">
        <v>5</v>
      </c>
      <c r="AR1806" t="s">
        <v>3244</v>
      </c>
      <c r="AS1806" t="s">
        <v>3245</v>
      </c>
      <c r="AT1806">
        <v>0.113</v>
      </c>
      <c r="AU1806" t="s">
        <v>65</v>
      </c>
      <c r="AV1806">
        <v>106</v>
      </c>
      <c r="AW1806">
        <v>11</v>
      </c>
      <c r="AX1806" t="s">
        <v>3246</v>
      </c>
      <c r="AY1806">
        <v>0.11069</v>
      </c>
      <c r="AZ1806">
        <v>-7.6800000000000002E-3</v>
      </c>
      <c r="BA1806">
        <v>2.96E-3</v>
      </c>
      <c r="BB1806">
        <v>-2.2000000000000001E-4</v>
      </c>
      <c r="BC1806">
        <v>2.6769999999999999E-2</v>
      </c>
      <c r="BD1806">
        <v>1</v>
      </c>
      <c r="BE1806" t="s">
        <v>69</v>
      </c>
      <c r="BF1806">
        <v>-1.4059999999999999</v>
      </c>
      <c r="BG1806">
        <v>-1</v>
      </c>
    </row>
    <row r="1807" spans="1:59">
      <c r="A1807">
        <v>0</v>
      </c>
      <c r="B1807">
        <v>11</v>
      </c>
      <c r="C1807">
        <v>0</v>
      </c>
      <c r="D1807" t="s">
        <v>25022</v>
      </c>
      <c r="E1807">
        <v>699</v>
      </c>
      <c r="F1807" t="s">
        <v>4374</v>
      </c>
      <c r="G1807" t="s">
        <v>57</v>
      </c>
      <c r="H1807">
        <v>724987</v>
      </c>
      <c r="I1807">
        <v>725994</v>
      </c>
      <c r="J1807" t="s">
        <v>4375</v>
      </c>
      <c r="K1807">
        <v>336</v>
      </c>
      <c r="L1807" t="s">
        <v>108</v>
      </c>
      <c r="M1807">
        <v>44</v>
      </c>
      <c r="N1807" t="str">
        <f>HYPERLINK("Gene699-zp_tree_all.dnd", "Gene699-tree")</f>
        <v>Gene699-tree</v>
      </c>
      <c r="O1807">
        <v>4</v>
      </c>
      <c r="P1807">
        <v>10</v>
      </c>
      <c r="Q1807">
        <v>4</v>
      </c>
      <c r="R1807">
        <v>10</v>
      </c>
      <c r="S1807">
        <v>0.71428999999999998</v>
      </c>
      <c r="T1807" t="s">
        <v>61</v>
      </c>
      <c r="U1807" t="s">
        <v>117</v>
      </c>
      <c r="V1807" t="s">
        <v>62</v>
      </c>
      <c r="W1807" t="s">
        <v>62</v>
      </c>
      <c r="X1807">
        <v>4</v>
      </c>
      <c r="Y1807">
        <v>11</v>
      </c>
      <c r="Z1807">
        <v>13</v>
      </c>
      <c r="AA1807">
        <v>0.45833000000000002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7</v>
      </c>
      <c r="AH1807">
        <v>0</v>
      </c>
      <c r="AI1807">
        <v>7</v>
      </c>
      <c r="AJ1807">
        <v>10</v>
      </c>
      <c r="AK1807">
        <v>0.41176000000000001</v>
      </c>
      <c r="AL1807">
        <v>12</v>
      </c>
      <c r="AM1807">
        <v>8</v>
      </c>
      <c r="AN1807">
        <v>27</v>
      </c>
      <c r="AO1807">
        <v>17</v>
      </c>
      <c r="AP1807">
        <v>7</v>
      </c>
      <c r="AQ1807">
        <v>9</v>
      </c>
      <c r="AR1807" t="s">
        <v>4376</v>
      </c>
      <c r="AS1807" t="s">
        <v>4377</v>
      </c>
      <c r="AT1807">
        <v>1.1719999999999999</v>
      </c>
      <c r="AU1807" t="s">
        <v>65</v>
      </c>
      <c r="AV1807">
        <v>34</v>
      </c>
      <c r="AW1807">
        <v>26</v>
      </c>
      <c r="AX1807" t="s">
        <v>4378</v>
      </c>
      <c r="AY1807">
        <v>2.7130000000000001E-2</v>
      </c>
      <c r="AZ1807">
        <v>-1.2199999999999999E-3</v>
      </c>
      <c r="BA1807">
        <v>5.5500000000000002E-3</v>
      </c>
      <c r="BB1807">
        <v>-2.5000000000000001E-4</v>
      </c>
      <c r="BC1807">
        <v>0.20474999999999999</v>
      </c>
      <c r="BD1807">
        <v>1</v>
      </c>
      <c r="BE1807" t="s">
        <v>69</v>
      </c>
      <c r="BF1807">
        <v>-1.1379999999999999</v>
      </c>
      <c r="BG1807">
        <v>-1.2270000000000001</v>
      </c>
    </row>
    <row r="1808" spans="1:59">
      <c r="A1808">
        <v>0</v>
      </c>
      <c r="B1808">
        <v>2</v>
      </c>
      <c r="C1808">
        <v>2</v>
      </c>
      <c r="D1808" t="s">
        <v>25022</v>
      </c>
      <c r="E1808">
        <v>3457</v>
      </c>
      <c r="F1808" t="s">
        <v>20240</v>
      </c>
      <c r="G1808" t="s">
        <v>62</v>
      </c>
      <c r="H1808">
        <v>3416215</v>
      </c>
      <c r="I1808">
        <v>3417222</v>
      </c>
      <c r="J1808" t="s">
        <v>20241</v>
      </c>
      <c r="K1808">
        <v>336</v>
      </c>
      <c r="L1808" t="s">
        <v>108</v>
      </c>
      <c r="M1808">
        <v>44</v>
      </c>
      <c r="N1808" t="str">
        <f>HYPERLINK("Gene3457-zp_tree_all.dnd", "Gene3457-tree")</f>
        <v>Gene3457-tree</v>
      </c>
      <c r="O1808">
        <v>4</v>
      </c>
      <c r="P1808">
        <v>10</v>
      </c>
      <c r="Q1808">
        <v>4</v>
      </c>
      <c r="R1808">
        <v>10</v>
      </c>
      <c r="S1808">
        <v>0.71428999999999998</v>
      </c>
      <c r="T1808" t="s">
        <v>61</v>
      </c>
      <c r="U1808" t="s">
        <v>117</v>
      </c>
      <c r="V1808" t="s">
        <v>62</v>
      </c>
      <c r="W1808" t="s">
        <v>62</v>
      </c>
      <c r="X1808">
        <v>2</v>
      </c>
      <c r="Y1808">
        <v>4</v>
      </c>
      <c r="Z1808">
        <v>11</v>
      </c>
      <c r="AA1808">
        <v>0.26667000000000002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</v>
      </c>
      <c r="AH1808">
        <v>0</v>
      </c>
      <c r="AI1808">
        <v>2</v>
      </c>
      <c r="AJ1808">
        <v>8</v>
      </c>
      <c r="AK1808">
        <v>0.2</v>
      </c>
      <c r="AL1808">
        <v>9</v>
      </c>
      <c r="AM1808">
        <v>7</v>
      </c>
      <c r="AN1808">
        <v>23</v>
      </c>
      <c r="AO1808">
        <v>9</v>
      </c>
      <c r="AP1808">
        <v>11</v>
      </c>
      <c r="AQ1808">
        <v>6</v>
      </c>
      <c r="AR1808" t="s">
        <v>20242</v>
      </c>
      <c r="AS1808" t="s">
        <v>20243</v>
      </c>
      <c r="AT1808">
        <v>0.32100000000000001</v>
      </c>
      <c r="AU1808" t="s">
        <v>65</v>
      </c>
      <c r="AV1808">
        <v>34</v>
      </c>
      <c r="AW1808">
        <v>15</v>
      </c>
      <c r="AX1808" t="s">
        <v>20244</v>
      </c>
      <c r="AY1808">
        <v>2.562E-2</v>
      </c>
      <c r="AZ1808">
        <v>-1.9599999999999999E-3</v>
      </c>
      <c r="BA1808">
        <v>4.3E-3</v>
      </c>
      <c r="BB1808">
        <v>-2.5999999999999998E-4</v>
      </c>
      <c r="BC1808">
        <v>0.16800000000000001</v>
      </c>
      <c r="BD1808">
        <v>1</v>
      </c>
      <c r="BE1808" t="s">
        <v>69</v>
      </c>
      <c r="BF1808">
        <v>-1.34</v>
      </c>
      <c r="BG1808">
        <v>-2.9049999999999998</v>
      </c>
    </row>
    <row r="1809" spans="1:59">
      <c r="A1809">
        <v>0</v>
      </c>
      <c r="B1809">
        <v>7</v>
      </c>
      <c r="C1809">
        <v>0</v>
      </c>
      <c r="D1809" t="s">
        <v>25022</v>
      </c>
      <c r="E1809">
        <v>1208</v>
      </c>
      <c r="F1809" t="s">
        <v>7604</v>
      </c>
      <c r="G1809" t="s">
        <v>57</v>
      </c>
      <c r="H1809">
        <v>1245808</v>
      </c>
      <c r="I1809">
        <v>1246815</v>
      </c>
      <c r="J1809" t="s">
        <v>7605</v>
      </c>
      <c r="K1809">
        <v>336</v>
      </c>
      <c r="L1809" t="s">
        <v>108</v>
      </c>
      <c r="M1809">
        <v>44</v>
      </c>
      <c r="N1809" t="str">
        <f>HYPERLINK("Gene1208-zp_tree_all.dnd", "Gene1208-tree")</f>
        <v>Gene1208-tree</v>
      </c>
      <c r="O1809">
        <v>3</v>
      </c>
      <c r="P1809">
        <v>11</v>
      </c>
      <c r="Q1809">
        <v>3</v>
      </c>
      <c r="R1809">
        <v>11</v>
      </c>
      <c r="S1809">
        <v>0.78571000000000002</v>
      </c>
      <c r="T1809" t="s">
        <v>324</v>
      </c>
      <c r="U1809" t="s">
        <v>73</v>
      </c>
      <c r="V1809">
        <v>305230034.74400002</v>
      </c>
      <c r="W1809" t="s">
        <v>267</v>
      </c>
      <c r="X1809">
        <v>3</v>
      </c>
      <c r="Y1809">
        <v>7</v>
      </c>
      <c r="Z1809">
        <v>16</v>
      </c>
      <c r="AA1809">
        <v>0.30435000000000001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3</v>
      </c>
      <c r="AH1809">
        <v>0</v>
      </c>
      <c r="AI1809">
        <v>3</v>
      </c>
      <c r="AJ1809">
        <v>13</v>
      </c>
      <c r="AK1809">
        <v>0.1875</v>
      </c>
      <c r="AL1809">
        <v>12</v>
      </c>
      <c r="AM1809">
        <v>9</v>
      </c>
      <c r="AN1809">
        <v>17</v>
      </c>
      <c r="AO1809">
        <v>17</v>
      </c>
      <c r="AP1809">
        <v>25</v>
      </c>
      <c r="AQ1809">
        <v>7</v>
      </c>
      <c r="AR1809" t="s">
        <v>7606</v>
      </c>
      <c r="AS1809" t="s">
        <v>7607</v>
      </c>
      <c r="AT1809">
        <v>1.7509999999999999</v>
      </c>
      <c r="AU1809" t="s">
        <v>65</v>
      </c>
      <c r="AV1809">
        <v>42</v>
      </c>
      <c r="AW1809">
        <v>24</v>
      </c>
      <c r="AX1809" t="s">
        <v>7608</v>
      </c>
      <c r="AY1809">
        <v>3.499E-2</v>
      </c>
      <c r="AZ1809">
        <v>-1.91E-3</v>
      </c>
      <c r="BA1809">
        <v>5.5199999999999997E-3</v>
      </c>
      <c r="BB1809">
        <v>-2.9E-4</v>
      </c>
      <c r="BC1809">
        <v>0.15773000000000001</v>
      </c>
      <c r="BD1809">
        <v>1</v>
      </c>
      <c r="BE1809" t="s">
        <v>69</v>
      </c>
      <c r="BF1809">
        <v>-0.105</v>
      </c>
      <c r="BG1809">
        <v>-0.32500000000000001</v>
      </c>
    </row>
    <row r="1810" spans="1:59">
      <c r="A1810">
        <v>0</v>
      </c>
      <c r="B1810">
        <v>25</v>
      </c>
      <c r="C1810">
        <v>0</v>
      </c>
      <c r="D1810" t="s">
        <v>25022</v>
      </c>
      <c r="E1810">
        <v>328</v>
      </c>
      <c r="F1810" t="s">
        <v>2239</v>
      </c>
      <c r="G1810" t="s">
        <v>57</v>
      </c>
      <c r="H1810">
        <v>352858</v>
      </c>
      <c r="I1810">
        <v>353865</v>
      </c>
      <c r="J1810" t="s">
        <v>2240</v>
      </c>
      <c r="K1810">
        <v>336</v>
      </c>
      <c r="L1810" t="s">
        <v>108</v>
      </c>
      <c r="M1810">
        <v>44</v>
      </c>
      <c r="N1810" t="str">
        <f>HYPERLINK("Gene328-zp_tree_all.dnd", "Gene328-tree")</f>
        <v>Gene328-tree</v>
      </c>
      <c r="O1810">
        <v>6</v>
      </c>
      <c r="P1810">
        <v>10</v>
      </c>
      <c r="Q1810">
        <v>6</v>
      </c>
      <c r="R1810">
        <v>10</v>
      </c>
      <c r="S1810">
        <v>0.625</v>
      </c>
      <c r="T1810" t="s">
        <v>90</v>
      </c>
      <c r="U1810" t="s">
        <v>117</v>
      </c>
      <c r="V1810" t="s">
        <v>62</v>
      </c>
      <c r="W1810" t="s">
        <v>62</v>
      </c>
      <c r="X1810">
        <v>9</v>
      </c>
      <c r="Y1810">
        <v>25</v>
      </c>
      <c r="Z1810">
        <v>18</v>
      </c>
      <c r="AA1810">
        <v>0.58140000000000003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10</v>
      </c>
      <c r="AH1810">
        <v>0</v>
      </c>
      <c r="AI1810">
        <v>10</v>
      </c>
      <c r="AJ1810">
        <v>13</v>
      </c>
      <c r="AK1810">
        <v>0.43478</v>
      </c>
      <c r="AL1810">
        <v>14</v>
      </c>
      <c r="AM1810">
        <v>11</v>
      </c>
      <c r="AN1810">
        <v>82</v>
      </c>
      <c r="AO1810">
        <v>23</v>
      </c>
      <c r="AP1810">
        <v>63</v>
      </c>
      <c r="AQ1810">
        <v>21</v>
      </c>
      <c r="AR1810" t="s">
        <v>2241</v>
      </c>
      <c r="AS1810" t="s">
        <v>2242</v>
      </c>
      <c r="AT1810">
        <v>0.26400000000000001</v>
      </c>
      <c r="AU1810" t="s">
        <v>65</v>
      </c>
      <c r="AV1810">
        <v>145</v>
      </c>
      <c r="AW1810">
        <v>44</v>
      </c>
      <c r="AX1810" t="s">
        <v>2243</v>
      </c>
      <c r="AY1810">
        <v>0.11681</v>
      </c>
      <c r="AZ1810">
        <v>-3.8600000000000001E-3</v>
      </c>
      <c r="BA1810">
        <v>1.047E-2</v>
      </c>
      <c r="BB1810">
        <v>-4.4000000000000002E-4</v>
      </c>
      <c r="BC1810">
        <v>8.9639999999999997E-2</v>
      </c>
      <c r="BD1810">
        <v>1</v>
      </c>
      <c r="BE1810" t="s">
        <v>69</v>
      </c>
      <c r="BF1810">
        <v>0.41899999999999998</v>
      </c>
      <c r="BG1810">
        <v>0.114</v>
      </c>
    </row>
    <row r="1811" spans="1:59">
      <c r="A1811">
        <v>0</v>
      </c>
      <c r="B1811">
        <v>4</v>
      </c>
      <c r="C1811">
        <v>0</v>
      </c>
      <c r="D1811" t="s">
        <v>25022</v>
      </c>
      <c r="E1811">
        <v>3525</v>
      </c>
      <c r="F1811" t="s">
        <v>20646</v>
      </c>
      <c r="G1811" t="s">
        <v>62</v>
      </c>
      <c r="H1811">
        <v>3486810</v>
      </c>
      <c r="I1811">
        <v>3487817</v>
      </c>
      <c r="J1811" t="s">
        <v>3332</v>
      </c>
      <c r="K1811">
        <v>336</v>
      </c>
      <c r="L1811" t="s">
        <v>108</v>
      </c>
      <c r="M1811">
        <v>44</v>
      </c>
      <c r="N1811" t="str">
        <f>HYPERLINK("Gene3525-zp_tree_all.dnd", "Gene3525-tree")</f>
        <v>Gene3525-tree</v>
      </c>
      <c r="O1811">
        <v>11</v>
      </c>
      <c r="P1811">
        <v>3</v>
      </c>
      <c r="Q1811">
        <v>11</v>
      </c>
      <c r="R1811">
        <v>3</v>
      </c>
      <c r="S1811">
        <v>0.21429000000000001</v>
      </c>
      <c r="T1811" t="s">
        <v>73</v>
      </c>
      <c r="U1811" t="s">
        <v>324</v>
      </c>
      <c r="V1811" t="s">
        <v>62</v>
      </c>
      <c r="W1811" t="s">
        <v>62</v>
      </c>
      <c r="X1811">
        <v>2</v>
      </c>
      <c r="Y1811">
        <v>4</v>
      </c>
      <c r="Z1811">
        <v>3</v>
      </c>
      <c r="AA1811">
        <v>0.57142999999999999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</v>
      </c>
      <c r="AH1811">
        <v>0</v>
      </c>
      <c r="AI1811">
        <v>2</v>
      </c>
      <c r="AJ1811">
        <v>3</v>
      </c>
      <c r="AK1811">
        <v>0.4</v>
      </c>
      <c r="AL1811">
        <v>11</v>
      </c>
      <c r="AM1811">
        <v>10</v>
      </c>
      <c r="AN1811">
        <v>35</v>
      </c>
      <c r="AO1811">
        <v>7</v>
      </c>
      <c r="AP1811">
        <v>28</v>
      </c>
      <c r="AQ1811">
        <v>2</v>
      </c>
      <c r="AR1811" t="s">
        <v>20647</v>
      </c>
      <c r="AS1811" t="s">
        <v>20648</v>
      </c>
      <c r="AT1811">
        <v>0.51600000000000001</v>
      </c>
      <c r="AU1811" t="s">
        <v>65</v>
      </c>
      <c r="AV1811">
        <v>63</v>
      </c>
      <c r="AW1811">
        <v>9</v>
      </c>
      <c r="AX1811" t="s">
        <v>20649</v>
      </c>
      <c r="AY1811">
        <v>5.9830000000000001E-2</v>
      </c>
      <c r="AZ1811">
        <v>-2.5500000000000002E-3</v>
      </c>
      <c r="BA1811">
        <v>1.74E-3</v>
      </c>
      <c r="BB1811">
        <v>-1.8000000000000001E-4</v>
      </c>
      <c r="BC1811">
        <v>2.9020000000000001E-2</v>
      </c>
      <c r="BD1811">
        <v>1</v>
      </c>
      <c r="BE1811" t="s">
        <v>69</v>
      </c>
      <c r="BF1811">
        <v>-0.73</v>
      </c>
      <c r="BG1811">
        <v>-1.6140000000000001</v>
      </c>
    </row>
    <row r="1812" spans="1:59">
      <c r="A1812">
        <v>0</v>
      </c>
      <c r="B1812">
        <v>20</v>
      </c>
      <c r="C1812">
        <v>0</v>
      </c>
      <c r="D1812" t="s">
        <v>25022</v>
      </c>
      <c r="E1812">
        <v>1276</v>
      </c>
      <c r="F1812" t="s">
        <v>8001</v>
      </c>
      <c r="G1812" t="s">
        <v>57</v>
      </c>
      <c r="H1812">
        <v>1303423</v>
      </c>
      <c r="I1812">
        <v>1304433</v>
      </c>
      <c r="J1812" t="s">
        <v>1940</v>
      </c>
      <c r="K1812">
        <v>337</v>
      </c>
      <c r="L1812" t="s">
        <v>108</v>
      </c>
      <c r="M1812">
        <v>44</v>
      </c>
      <c r="N1812" t="str">
        <f>HYPERLINK("Gene1276-zp_tree_all.dnd", "Gene1276-tree")</f>
        <v>Gene1276-tree</v>
      </c>
      <c r="O1812">
        <v>4</v>
      </c>
      <c r="P1812">
        <v>10</v>
      </c>
      <c r="Q1812">
        <v>4</v>
      </c>
      <c r="R1812">
        <v>10</v>
      </c>
      <c r="S1812">
        <v>0.71428999999999998</v>
      </c>
      <c r="T1812" t="s">
        <v>61</v>
      </c>
      <c r="U1812" t="s">
        <v>117</v>
      </c>
      <c r="V1812" t="s">
        <v>62</v>
      </c>
      <c r="W1812" t="s">
        <v>62</v>
      </c>
      <c r="X1812">
        <v>7</v>
      </c>
      <c r="Y1812">
        <v>20</v>
      </c>
      <c r="Z1812">
        <v>24</v>
      </c>
      <c r="AA1812">
        <v>0.45455000000000001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9</v>
      </c>
      <c r="AH1812">
        <v>0</v>
      </c>
      <c r="AI1812">
        <v>9</v>
      </c>
      <c r="AJ1812">
        <v>23</v>
      </c>
      <c r="AK1812">
        <v>0.28125</v>
      </c>
      <c r="AL1812">
        <v>14</v>
      </c>
      <c r="AM1812">
        <v>8</v>
      </c>
      <c r="AN1812">
        <v>44</v>
      </c>
      <c r="AO1812">
        <v>33</v>
      </c>
      <c r="AP1812">
        <v>8</v>
      </c>
      <c r="AQ1812">
        <v>12</v>
      </c>
      <c r="AR1812" t="s">
        <v>8002</v>
      </c>
      <c r="AS1812" t="s">
        <v>8003</v>
      </c>
      <c r="AT1812">
        <v>1.33</v>
      </c>
      <c r="AU1812" t="s">
        <v>65</v>
      </c>
      <c r="AV1812">
        <v>52</v>
      </c>
      <c r="AW1812">
        <v>45</v>
      </c>
      <c r="AX1812" t="s">
        <v>8004</v>
      </c>
      <c r="AY1812">
        <v>3.7429999999999998E-2</v>
      </c>
      <c r="AZ1812">
        <v>-1.74E-3</v>
      </c>
      <c r="BA1812">
        <v>8.3800000000000003E-3</v>
      </c>
      <c r="BB1812">
        <v>-4.4999999999999999E-4</v>
      </c>
      <c r="BC1812">
        <v>0.22398999999999999</v>
      </c>
      <c r="BD1812">
        <v>1</v>
      </c>
      <c r="BE1812" t="s">
        <v>69</v>
      </c>
      <c r="BF1812">
        <v>-0.54500000000000004</v>
      </c>
      <c r="BG1812">
        <v>-1.405</v>
      </c>
    </row>
    <row r="1813" spans="1:59">
      <c r="A1813">
        <v>0</v>
      </c>
      <c r="B1813">
        <v>9</v>
      </c>
      <c r="C1813">
        <v>0</v>
      </c>
      <c r="D1813" t="s">
        <v>25022</v>
      </c>
      <c r="E1813">
        <v>4139</v>
      </c>
      <c r="F1813" t="s">
        <v>24356</v>
      </c>
      <c r="G1813" t="s">
        <v>62</v>
      </c>
      <c r="H1813">
        <v>4106248</v>
      </c>
      <c r="I1813">
        <v>4107258</v>
      </c>
      <c r="J1813" t="s">
        <v>24357</v>
      </c>
      <c r="K1813">
        <v>337</v>
      </c>
      <c r="L1813" t="s">
        <v>1933</v>
      </c>
      <c r="M1813">
        <v>39</v>
      </c>
      <c r="N1813" t="str">
        <f>HYPERLINK("Gene4139-zp_tree_all.dnd", "Gene4139-tree")</f>
        <v>Gene4139-tree</v>
      </c>
      <c r="O1813">
        <v>4</v>
      </c>
      <c r="P1813">
        <v>10</v>
      </c>
      <c r="Q1813">
        <v>4</v>
      </c>
      <c r="R1813">
        <v>10</v>
      </c>
      <c r="S1813">
        <v>0.71428999999999998</v>
      </c>
      <c r="T1813" t="s">
        <v>61</v>
      </c>
      <c r="U1813" t="s">
        <v>117</v>
      </c>
      <c r="V1813" t="s">
        <v>62</v>
      </c>
      <c r="W1813" t="s">
        <v>62</v>
      </c>
      <c r="X1813">
        <v>3</v>
      </c>
      <c r="Y1813">
        <v>9</v>
      </c>
      <c r="Z1813">
        <v>19</v>
      </c>
      <c r="AA1813">
        <v>0.32142999999999999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</v>
      </c>
      <c r="AH1813">
        <v>3</v>
      </c>
      <c r="AI1813">
        <v>5</v>
      </c>
      <c r="AJ1813">
        <v>20</v>
      </c>
      <c r="AK1813">
        <v>0.2</v>
      </c>
      <c r="AL1813">
        <v>10</v>
      </c>
      <c r="AM1813">
        <v>10</v>
      </c>
      <c r="AN1813">
        <v>31</v>
      </c>
      <c r="AO1813">
        <v>21</v>
      </c>
      <c r="AP1813">
        <v>19</v>
      </c>
      <c r="AQ1813">
        <v>7</v>
      </c>
      <c r="AR1813" t="s">
        <v>24358</v>
      </c>
      <c r="AS1813" t="s">
        <v>24359</v>
      </c>
      <c r="AT1813">
        <v>0.72099999999999997</v>
      </c>
      <c r="AU1813" t="s">
        <v>65</v>
      </c>
      <c r="AV1813">
        <v>50</v>
      </c>
      <c r="AW1813">
        <v>28</v>
      </c>
      <c r="AX1813" t="s">
        <v>24360</v>
      </c>
      <c r="AY1813">
        <v>4.0399999999999998E-2</v>
      </c>
      <c r="AZ1813">
        <v>-2.16E-3</v>
      </c>
      <c r="BA1813">
        <v>5.6600000000000001E-3</v>
      </c>
      <c r="BB1813">
        <v>-3.1E-4</v>
      </c>
      <c r="BC1813">
        <v>0.1401</v>
      </c>
      <c r="BD1813">
        <v>1</v>
      </c>
      <c r="BE1813" t="s">
        <v>69</v>
      </c>
      <c r="BF1813">
        <v>-0.85599999999999998</v>
      </c>
      <c r="BG1813">
        <v>-1.224</v>
      </c>
    </row>
    <row r="1814" spans="1:59">
      <c r="A1814">
        <v>0</v>
      </c>
      <c r="B1814">
        <v>3</v>
      </c>
      <c r="C1814">
        <v>2</v>
      </c>
      <c r="D1814" t="s">
        <v>25022</v>
      </c>
      <c r="E1814">
        <v>1119</v>
      </c>
      <c r="F1814" t="s">
        <v>7031</v>
      </c>
      <c r="G1814" t="s">
        <v>57</v>
      </c>
      <c r="H1814">
        <v>1163148</v>
      </c>
      <c r="I1814">
        <v>1164158</v>
      </c>
      <c r="J1814" t="s">
        <v>7032</v>
      </c>
      <c r="K1814">
        <v>337</v>
      </c>
      <c r="L1814" t="s">
        <v>108</v>
      </c>
      <c r="M1814">
        <v>44</v>
      </c>
      <c r="N1814" t="str">
        <f>HYPERLINK("Gene1119-zp_tree_all.dnd", "Gene1119-tree")</f>
        <v>Gene1119-tree</v>
      </c>
      <c r="O1814">
        <v>6</v>
      </c>
      <c r="P1814">
        <v>8</v>
      </c>
      <c r="Q1814">
        <v>6</v>
      </c>
      <c r="R1814">
        <v>8</v>
      </c>
      <c r="S1814">
        <v>0.57142999999999999</v>
      </c>
      <c r="T1814" t="s">
        <v>90</v>
      </c>
      <c r="U1814" t="s">
        <v>136</v>
      </c>
      <c r="V1814" t="s">
        <v>62</v>
      </c>
      <c r="W1814" t="s">
        <v>62</v>
      </c>
      <c r="X1814">
        <v>2</v>
      </c>
      <c r="Y1814">
        <v>5</v>
      </c>
      <c r="Z1814">
        <v>13</v>
      </c>
      <c r="AA1814">
        <v>0.27778000000000003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</v>
      </c>
      <c r="AH1814">
        <v>2</v>
      </c>
      <c r="AI1814">
        <v>4</v>
      </c>
      <c r="AJ1814">
        <v>11</v>
      </c>
      <c r="AK1814">
        <v>0.26667000000000002</v>
      </c>
      <c r="AL1814">
        <v>13</v>
      </c>
      <c r="AM1814">
        <v>8</v>
      </c>
      <c r="AN1814">
        <v>35</v>
      </c>
      <c r="AO1814">
        <v>15</v>
      </c>
      <c r="AP1814">
        <v>11</v>
      </c>
      <c r="AQ1814">
        <v>3</v>
      </c>
      <c r="AR1814" t="s">
        <v>7033</v>
      </c>
      <c r="AS1814" t="s">
        <v>7034</v>
      </c>
      <c r="AT1814">
        <v>0.48499999999999999</v>
      </c>
      <c r="AU1814" t="s">
        <v>65</v>
      </c>
      <c r="AV1814">
        <v>46</v>
      </c>
      <c r="AW1814">
        <v>18</v>
      </c>
      <c r="AX1814" t="s">
        <v>7035</v>
      </c>
      <c r="AY1814">
        <v>3.7010000000000001E-2</v>
      </c>
      <c r="AZ1814">
        <v>-2.0600000000000002E-3</v>
      </c>
      <c r="BA1814">
        <v>3.7100000000000002E-3</v>
      </c>
      <c r="BB1814">
        <v>-2.5000000000000001E-4</v>
      </c>
      <c r="BC1814">
        <v>0.10014000000000001</v>
      </c>
      <c r="BD1814">
        <v>1</v>
      </c>
      <c r="BE1814" t="s">
        <v>69</v>
      </c>
      <c r="BF1814">
        <v>-0.73599999999999999</v>
      </c>
      <c r="BG1814">
        <v>-0.64900000000000002</v>
      </c>
    </row>
    <row r="1815" spans="1:59">
      <c r="A1815">
        <v>0</v>
      </c>
      <c r="B1815">
        <v>0</v>
      </c>
      <c r="C1815">
        <v>0</v>
      </c>
      <c r="D1815" t="s">
        <v>25022</v>
      </c>
      <c r="E1815">
        <v>1390</v>
      </c>
      <c r="F1815" t="s">
        <v>8700</v>
      </c>
      <c r="G1815" t="s">
        <v>57</v>
      </c>
      <c r="H1815">
        <v>1403479</v>
      </c>
      <c r="I1815">
        <v>1404489</v>
      </c>
      <c r="J1815" t="s">
        <v>3798</v>
      </c>
      <c r="K1815">
        <v>337</v>
      </c>
      <c r="L1815" t="s">
        <v>108</v>
      </c>
      <c r="M1815">
        <v>44</v>
      </c>
      <c r="N1815" t="str">
        <f>HYPERLINK("Gene1390-zp_tree_all.dnd", "Gene1390-tree")</f>
        <v>Gene1390-tree</v>
      </c>
      <c r="O1815">
        <v>11</v>
      </c>
      <c r="P1815">
        <v>2</v>
      </c>
      <c r="Q1815">
        <v>11</v>
      </c>
      <c r="R1815">
        <v>2</v>
      </c>
      <c r="S1815">
        <v>0.15384999999999999</v>
      </c>
      <c r="T1815" t="s">
        <v>73</v>
      </c>
      <c r="U1815" t="s">
        <v>81</v>
      </c>
      <c r="V1815" t="s">
        <v>62</v>
      </c>
      <c r="W1815" t="s">
        <v>62</v>
      </c>
      <c r="X1815">
        <v>0</v>
      </c>
      <c r="Y1815">
        <v>0</v>
      </c>
      <c r="Z1815">
        <v>6</v>
      </c>
      <c r="AA1815">
        <v>0</v>
      </c>
      <c r="AB1815">
        <v>0</v>
      </c>
      <c r="AC1815">
        <v>0</v>
      </c>
      <c r="AD1815">
        <v>0</v>
      </c>
      <c r="AE1815">
        <v>3</v>
      </c>
      <c r="AF1815">
        <v>0</v>
      </c>
      <c r="AG1815">
        <v>0</v>
      </c>
      <c r="AH1815">
        <v>0</v>
      </c>
      <c r="AI1815">
        <v>0</v>
      </c>
      <c r="AJ1815">
        <v>2</v>
      </c>
      <c r="AK1815">
        <v>0</v>
      </c>
      <c r="AL1815">
        <v>10</v>
      </c>
      <c r="AM1815">
        <v>8</v>
      </c>
      <c r="AN1815">
        <v>17</v>
      </c>
      <c r="AO1815">
        <v>2</v>
      </c>
      <c r="AP1815">
        <v>19</v>
      </c>
      <c r="AQ1815">
        <v>4</v>
      </c>
      <c r="AR1815" t="s">
        <v>8701</v>
      </c>
      <c r="AS1815" t="s">
        <v>8702</v>
      </c>
      <c r="AT1815">
        <v>0.26500000000000001</v>
      </c>
      <c r="AU1815" t="s">
        <v>65</v>
      </c>
      <c r="AV1815">
        <v>36</v>
      </c>
      <c r="AW1815">
        <v>6</v>
      </c>
      <c r="AX1815" t="s">
        <v>8703</v>
      </c>
      <c r="AY1815">
        <v>3.6049999999999999E-2</v>
      </c>
      <c r="AZ1815">
        <v>-1.5299999999999999E-3</v>
      </c>
      <c r="BA1815">
        <v>2.1199999999999999E-3</v>
      </c>
      <c r="BB1815">
        <v>-2.4000000000000001E-4</v>
      </c>
      <c r="BC1815">
        <v>5.8740000000000001E-2</v>
      </c>
      <c r="BD1815">
        <v>1</v>
      </c>
      <c r="BE1815" t="s">
        <v>69</v>
      </c>
      <c r="BF1815">
        <v>-0.55200000000000005</v>
      </c>
      <c r="BG1815">
        <v>-0.39700000000000002</v>
      </c>
    </row>
    <row r="1816" spans="1:59">
      <c r="A1816">
        <v>0</v>
      </c>
      <c r="B1816">
        <v>0</v>
      </c>
      <c r="C1816">
        <v>0</v>
      </c>
      <c r="D1816" t="s">
        <v>25022</v>
      </c>
      <c r="E1816">
        <v>2919</v>
      </c>
      <c r="F1816" t="s">
        <v>16808</v>
      </c>
      <c r="G1816" t="s">
        <v>62</v>
      </c>
      <c r="H1816">
        <v>2860738</v>
      </c>
      <c r="I1816">
        <v>2861748</v>
      </c>
      <c r="J1816" t="s">
        <v>9407</v>
      </c>
      <c r="K1816">
        <v>337</v>
      </c>
      <c r="L1816" t="s">
        <v>394</v>
      </c>
      <c r="M1816">
        <v>48</v>
      </c>
      <c r="N1816" t="str">
        <f>HYPERLINK("Gene2919-zp_tree_all.dnd", "Gene2919-tree")</f>
        <v>Gene2919-tree</v>
      </c>
      <c r="O1816">
        <v>12</v>
      </c>
      <c r="P1816">
        <v>2</v>
      </c>
      <c r="Q1816">
        <v>12</v>
      </c>
      <c r="R1816">
        <v>2</v>
      </c>
      <c r="S1816">
        <v>0.14285999999999999</v>
      </c>
      <c r="T1816" t="s">
        <v>109</v>
      </c>
      <c r="U1816" t="s">
        <v>81</v>
      </c>
      <c r="V1816" t="s">
        <v>62</v>
      </c>
      <c r="W1816" t="s">
        <v>62</v>
      </c>
      <c r="X1816">
        <v>0</v>
      </c>
      <c r="Y1816">
        <v>0</v>
      </c>
      <c r="Z1816">
        <v>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</v>
      </c>
      <c r="AK1816">
        <v>0</v>
      </c>
      <c r="AL1816">
        <v>13</v>
      </c>
      <c r="AM1816">
        <v>8</v>
      </c>
      <c r="AN1816">
        <v>63</v>
      </c>
      <c r="AO1816">
        <v>2</v>
      </c>
      <c r="AP1816">
        <v>60</v>
      </c>
      <c r="AQ1816">
        <v>2</v>
      </c>
      <c r="AR1816" t="s">
        <v>16809</v>
      </c>
      <c r="AS1816" t="s">
        <v>16810</v>
      </c>
      <c r="AT1816">
        <v>8.9999999999999993E-3</v>
      </c>
      <c r="AU1816" t="s">
        <v>65</v>
      </c>
      <c r="AV1816">
        <v>123</v>
      </c>
      <c r="AW1816">
        <v>4</v>
      </c>
      <c r="AX1816" t="s">
        <v>16811</v>
      </c>
      <c r="AY1816">
        <v>0.11187999999999999</v>
      </c>
      <c r="AZ1816">
        <v>-9.11E-3</v>
      </c>
      <c r="BA1816">
        <v>1.2099999999999999E-3</v>
      </c>
      <c r="BB1816">
        <v>-1.6000000000000001E-4</v>
      </c>
      <c r="BC1816">
        <v>1.081E-2</v>
      </c>
      <c r="BD1816">
        <v>1</v>
      </c>
      <c r="BE1816" t="s">
        <v>69</v>
      </c>
      <c r="BF1816">
        <v>-1.276</v>
      </c>
      <c r="BG1816">
        <v>-1.2989999999999999</v>
      </c>
    </row>
    <row r="1817" spans="1:59">
      <c r="A1817">
        <v>0</v>
      </c>
      <c r="B1817">
        <v>10</v>
      </c>
      <c r="C1817">
        <v>6</v>
      </c>
      <c r="D1817" t="s">
        <v>25022</v>
      </c>
      <c r="E1817">
        <v>66</v>
      </c>
      <c r="F1817" t="s">
        <v>534</v>
      </c>
      <c r="G1817" t="s">
        <v>57</v>
      </c>
      <c r="H1817">
        <v>73809</v>
      </c>
      <c r="I1817">
        <v>74822</v>
      </c>
      <c r="J1817" t="s">
        <v>535</v>
      </c>
      <c r="K1817">
        <v>338</v>
      </c>
      <c r="L1817" t="s">
        <v>72</v>
      </c>
      <c r="M1817">
        <v>45</v>
      </c>
      <c r="N1817" t="str">
        <f>HYPERLINK("Gene66-zp_tree_all.dnd", "Gene66-tree")</f>
        <v>Gene66-tree</v>
      </c>
      <c r="O1817">
        <v>6</v>
      </c>
      <c r="P1817">
        <v>12</v>
      </c>
      <c r="Q1817">
        <v>6</v>
      </c>
      <c r="R1817">
        <v>12</v>
      </c>
      <c r="S1817">
        <v>0.66666999999999998</v>
      </c>
      <c r="T1817" t="s">
        <v>90</v>
      </c>
      <c r="U1817" t="s">
        <v>109</v>
      </c>
      <c r="V1817" t="s">
        <v>62</v>
      </c>
      <c r="W1817" t="s">
        <v>62</v>
      </c>
      <c r="X1817">
        <v>7</v>
      </c>
      <c r="Y1817">
        <v>16</v>
      </c>
      <c r="Z1817">
        <v>18</v>
      </c>
      <c r="AA1817">
        <v>0.47059000000000001</v>
      </c>
      <c r="AB1817">
        <v>0</v>
      </c>
      <c r="AC1817">
        <v>0</v>
      </c>
      <c r="AD1817">
        <v>0</v>
      </c>
      <c r="AE1817">
        <v>2</v>
      </c>
      <c r="AF1817">
        <v>0</v>
      </c>
      <c r="AG1817">
        <v>0</v>
      </c>
      <c r="AH1817">
        <v>10</v>
      </c>
      <c r="AI1817">
        <v>10</v>
      </c>
      <c r="AJ1817">
        <v>17</v>
      </c>
      <c r="AK1817">
        <v>0.37036999999999998</v>
      </c>
      <c r="AL1817">
        <v>15</v>
      </c>
      <c r="AM1817">
        <v>8</v>
      </c>
      <c r="AN1817">
        <v>57</v>
      </c>
      <c r="AO1817">
        <v>30</v>
      </c>
      <c r="AP1817">
        <v>11</v>
      </c>
      <c r="AQ1817">
        <v>7</v>
      </c>
      <c r="AR1817" t="s">
        <v>536</v>
      </c>
      <c r="AS1817" t="s">
        <v>537</v>
      </c>
      <c r="AT1817">
        <v>0.16</v>
      </c>
      <c r="AU1817" t="s">
        <v>65</v>
      </c>
      <c r="AV1817">
        <v>68</v>
      </c>
      <c r="AW1817">
        <v>37</v>
      </c>
      <c r="AX1817" t="s">
        <v>538</v>
      </c>
      <c r="AY1817">
        <v>4.1189999999999997E-2</v>
      </c>
      <c r="AZ1817">
        <v>-4.5300000000000002E-3</v>
      </c>
      <c r="BA1817">
        <v>7.1500000000000001E-3</v>
      </c>
      <c r="BB1817">
        <v>-3.5E-4</v>
      </c>
      <c r="BC1817">
        <v>0.17352999999999999</v>
      </c>
      <c r="BD1817">
        <v>1</v>
      </c>
      <c r="BE1817" t="s">
        <v>69</v>
      </c>
      <c r="BF1817">
        <v>-1.944</v>
      </c>
      <c r="BG1817">
        <v>-4.0640000000000001</v>
      </c>
    </row>
    <row r="1818" spans="1:59">
      <c r="A1818">
        <v>0</v>
      </c>
      <c r="B1818">
        <v>4</v>
      </c>
      <c r="C1818">
        <v>2</v>
      </c>
      <c r="D1818" t="s">
        <v>25022</v>
      </c>
      <c r="E1818">
        <v>2361</v>
      </c>
      <c r="F1818" t="s">
        <v>13715</v>
      </c>
      <c r="G1818" t="s">
        <v>62</v>
      </c>
      <c r="H1818">
        <v>2374884</v>
      </c>
      <c r="I1818">
        <v>2375897</v>
      </c>
      <c r="J1818" t="s">
        <v>13716</v>
      </c>
      <c r="K1818">
        <v>338</v>
      </c>
      <c r="L1818" t="s">
        <v>13717</v>
      </c>
      <c r="M1818">
        <v>40</v>
      </c>
      <c r="N1818" t="str">
        <f>HYPERLINK("Gene2361-zp_tree_all.dnd", "Gene2361-tree")</f>
        <v>Gene2361-tree</v>
      </c>
      <c r="O1818">
        <v>23</v>
      </c>
      <c r="P1818">
        <v>7</v>
      </c>
      <c r="Q1818">
        <v>9</v>
      </c>
      <c r="R1818">
        <v>7</v>
      </c>
      <c r="S1818">
        <v>0.4375</v>
      </c>
      <c r="T1818" t="s">
        <v>13718</v>
      </c>
      <c r="U1818" t="s">
        <v>152</v>
      </c>
      <c r="V1818" t="s">
        <v>62</v>
      </c>
      <c r="W1818" t="s">
        <v>62</v>
      </c>
      <c r="X1818">
        <v>3</v>
      </c>
      <c r="Y1818">
        <v>6</v>
      </c>
      <c r="Z1818">
        <v>10</v>
      </c>
      <c r="AA1818">
        <v>0.375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</v>
      </c>
      <c r="AH1818">
        <v>0</v>
      </c>
      <c r="AI1818">
        <v>2</v>
      </c>
      <c r="AJ1818">
        <v>11</v>
      </c>
      <c r="AK1818">
        <v>0.15384999999999999</v>
      </c>
      <c r="AL1818">
        <v>14</v>
      </c>
      <c r="AM1818">
        <v>11</v>
      </c>
      <c r="AN1818">
        <v>38</v>
      </c>
      <c r="AO1818">
        <v>13</v>
      </c>
      <c r="AP1818">
        <v>21</v>
      </c>
      <c r="AQ1818">
        <v>3</v>
      </c>
      <c r="AR1818" t="s">
        <v>13719</v>
      </c>
      <c r="AS1818" t="s">
        <v>13720</v>
      </c>
      <c r="AT1818">
        <v>0.88600000000000001</v>
      </c>
      <c r="AU1818" t="s">
        <v>65</v>
      </c>
      <c r="AV1818">
        <v>59</v>
      </c>
      <c r="AW1818">
        <v>16</v>
      </c>
      <c r="AX1818" t="s">
        <v>13721</v>
      </c>
      <c r="AY1818">
        <v>3.8539999999999998E-2</v>
      </c>
      <c r="AZ1818">
        <v>-1.3799999999999999E-3</v>
      </c>
      <c r="BA1818">
        <v>3.0699999999999998E-3</v>
      </c>
      <c r="BB1818">
        <v>-1.6000000000000001E-4</v>
      </c>
      <c r="BC1818">
        <v>7.9699999999999993E-2</v>
      </c>
      <c r="BD1818">
        <v>1</v>
      </c>
      <c r="BE1818" t="s">
        <v>69</v>
      </c>
      <c r="BF1818">
        <v>-0.95799999999999996</v>
      </c>
      <c r="BG1818">
        <v>-1.2370000000000001</v>
      </c>
    </row>
    <row r="1819" spans="1:59">
      <c r="A1819">
        <v>0</v>
      </c>
      <c r="B1819">
        <v>3</v>
      </c>
      <c r="C1819">
        <v>2</v>
      </c>
      <c r="D1819" t="s">
        <v>25022</v>
      </c>
      <c r="E1819">
        <v>4246</v>
      </c>
      <c r="F1819" t="s">
        <v>24939</v>
      </c>
      <c r="G1819" t="s">
        <v>62</v>
      </c>
      <c r="H1819">
        <v>4203427</v>
      </c>
      <c r="I1819">
        <v>4204440</v>
      </c>
      <c r="J1819" t="s">
        <v>2569</v>
      </c>
      <c r="K1819">
        <v>338</v>
      </c>
      <c r="L1819" t="s">
        <v>2498</v>
      </c>
      <c r="M1819">
        <v>44</v>
      </c>
      <c r="N1819" t="str">
        <f>HYPERLINK("Gene4246-zp_tree_all.dnd", "Gene4246-tree")</f>
        <v>Gene4246-tree</v>
      </c>
      <c r="O1819">
        <v>12</v>
      </c>
      <c r="P1819">
        <v>4</v>
      </c>
      <c r="Q1819">
        <v>12</v>
      </c>
      <c r="R1819">
        <v>4</v>
      </c>
      <c r="S1819">
        <v>0.25</v>
      </c>
      <c r="T1819" t="s">
        <v>109</v>
      </c>
      <c r="U1819" t="s">
        <v>61</v>
      </c>
      <c r="V1819" t="s">
        <v>62</v>
      </c>
      <c r="W1819" t="s">
        <v>62</v>
      </c>
      <c r="X1819">
        <v>2</v>
      </c>
      <c r="Y1819">
        <v>5</v>
      </c>
      <c r="Z1819">
        <v>10</v>
      </c>
      <c r="AA1819">
        <v>0.33333000000000002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4</v>
      </c>
      <c r="AI1819">
        <v>4</v>
      </c>
      <c r="AJ1819">
        <v>10</v>
      </c>
      <c r="AK1819">
        <v>0.28571000000000002</v>
      </c>
      <c r="AL1819">
        <v>13</v>
      </c>
      <c r="AM1819">
        <v>6</v>
      </c>
      <c r="AN1819">
        <v>65</v>
      </c>
      <c r="AO1819">
        <v>14</v>
      </c>
      <c r="AP1819">
        <v>9</v>
      </c>
      <c r="AQ1819">
        <v>1</v>
      </c>
      <c r="AR1819" t="s">
        <v>24940</v>
      </c>
      <c r="AS1819" t="s">
        <v>24941</v>
      </c>
      <c r="AT1819">
        <v>0.14399999999999999</v>
      </c>
      <c r="AU1819" t="s">
        <v>65</v>
      </c>
      <c r="AV1819">
        <v>74</v>
      </c>
      <c r="AW1819">
        <v>15</v>
      </c>
      <c r="AX1819" t="s">
        <v>24942</v>
      </c>
      <c r="AY1819">
        <v>4.4639999999999999E-2</v>
      </c>
      <c r="AZ1819">
        <v>-5.3099999999999996E-3</v>
      </c>
      <c r="BA1819">
        <v>2.5600000000000002E-3</v>
      </c>
      <c r="BB1819">
        <v>-3.6999999999999999E-4</v>
      </c>
      <c r="BC1819">
        <v>5.7270000000000001E-2</v>
      </c>
      <c r="BD1819">
        <v>1</v>
      </c>
      <c r="BE1819" t="s">
        <v>69</v>
      </c>
      <c r="BF1819">
        <v>-2.0979999999999999</v>
      </c>
      <c r="BG1819">
        <v>-4.6159999999999997</v>
      </c>
    </row>
    <row r="1820" spans="1:59">
      <c r="A1820">
        <v>0</v>
      </c>
      <c r="B1820">
        <v>8</v>
      </c>
      <c r="C1820">
        <v>3</v>
      </c>
      <c r="D1820" t="s">
        <v>25022</v>
      </c>
      <c r="E1820">
        <v>4013</v>
      </c>
      <c r="F1820" t="s">
        <v>23609</v>
      </c>
      <c r="G1820" t="s">
        <v>62</v>
      </c>
      <c r="H1820">
        <v>3976794</v>
      </c>
      <c r="I1820">
        <v>3977807</v>
      </c>
      <c r="J1820" t="s">
        <v>23610</v>
      </c>
      <c r="K1820">
        <v>338</v>
      </c>
      <c r="L1820" t="s">
        <v>59</v>
      </c>
      <c r="M1820">
        <v>49</v>
      </c>
      <c r="N1820" t="str">
        <f>HYPERLINK("Gene4013-zp_tree_all.dnd", "Gene4013-tree")</f>
        <v>Gene4013-tree</v>
      </c>
      <c r="O1820">
        <v>9</v>
      </c>
      <c r="P1820">
        <v>8</v>
      </c>
      <c r="Q1820">
        <v>9</v>
      </c>
      <c r="R1820">
        <v>8</v>
      </c>
      <c r="S1820">
        <v>0.47059000000000001</v>
      </c>
      <c r="T1820" t="s">
        <v>135</v>
      </c>
      <c r="U1820" t="s">
        <v>136</v>
      </c>
      <c r="V1820" t="s">
        <v>62</v>
      </c>
      <c r="W1820" t="s">
        <v>62</v>
      </c>
      <c r="X1820">
        <v>5</v>
      </c>
      <c r="Y1820">
        <v>11</v>
      </c>
      <c r="Z1820">
        <v>6</v>
      </c>
      <c r="AA1820">
        <v>0.64705999999999997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</v>
      </c>
      <c r="AH1820">
        <v>0</v>
      </c>
      <c r="AI1820">
        <v>2</v>
      </c>
      <c r="AJ1820">
        <v>10</v>
      </c>
      <c r="AK1820">
        <v>0.16667000000000001</v>
      </c>
      <c r="AL1820">
        <v>12</v>
      </c>
      <c r="AM1820">
        <v>11</v>
      </c>
      <c r="AN1820">
        <v>48</v>
      </c>
      <c r="AO1820">
        <v>9</v>
      </c>
      <c r="AP1820">
        <v>54</v>
      </c>
      <c r="AQ1820">
        <v>8</v>
      </c>
      <c r="AR1820" t="s">
        <v>23611</v>
      </c>
      <c r="AS1820" t="s">
        <v>23612</v>
      </c>
      <c r="AT1820">
        <v>0.19</v>
      </c>
      <c r="AU1820" t="s">
        <v>65</v>
      </c>
      <c r="AV1820">
        <v>102</v>
      </c>
      <c r="AW1820">
        <v>17</v>
      </c>
      <c r="AX1820" t="s">
        <v>23613</v>
      </c>
      <c r="AY1820">
        <v>8.6610000000000006E-2</v>
      </c>
      <c r="AZ1820">
        <v>-6.1799999999999997E-3</v>
      </c>
      <c r="BA1820">
        <v>4.0600000000000002E-3</v>
      </c>
      <c r="BB1820">
        <v>-2.5000000000000001E-4</v>
      </c>
      <c r="BC1820">
        <v>4.6829999999999997E-2</v>
      </c>
      <c r="BD1820">
        <v>1</v>
      </c>
      <c r="BE1820" t="s">
        <v>69</v>
      </c>
      <c r="BF1820">
        <v>-1.17</v>
      </c>
      <c r="BG1820">
        <v>-1.2929999999999999</v>
      </c>
    </row>
    <row r="1821" spans="1:59">
      <c r="A1821">
        <v>0</v>
      </c>
      <c r="B1821">
        <v>0</v>
      </c>
      <c r="C1821">
        <v>0</v>
      </c>
      <c r="D1821" t="s">
        <v>25022</v>
      </c>
      <c r="E1821">
        <v>2439</v>
      </c>
      <c r="F1821" t="s">
        <v>14196</v>
      </c>
      <c r="G1821" t="s">
        <v>62</v>
      </c>
      <c r="H1821">
        <v>2440778</v>
      </c>
      <c r="I1821">
        <v>2441791</v>
      </c>
      <c r="J1821" t="s">
        <v>14197</v>
      </c>
      <c r="K1821">
        <v>338</v>
      </c>
      <c r="L1821" t="s">
        <v>5451</v>
      </c>
      <c r="M1821">
        <v>43</v>
      </c>
      <c r="N1821" t="str">
        <f>HYPERLINK("Gene2439-zp_tree_all.dnd", "Gene2439-tree")</f>
        <v>Gene2439-tree</v>
      </c>
      <c r="O1821">
        <v>11</v>
      </c>
      <c r="P1821">
        <v>3</v>
      </c>
      <c r="Q1821">
        <v>11</v>
      </c>
      <c r="R1821">
        <v>3</v>
      </c>
      <c r="S1821">
        <v>0.21429000000000001</v>
      </c>
      <c r="T1821" t="s">
        <v>73</v>
      </c>
      <c r="U1821" t="s">
        <v>324</v>
      </c>
      <c r="V1821" t="s">
        <v>62</v>
      </c>
      <c r="W1821" t="s">
        <v>62</v>
      </c>
      <c r="X1821">
        <v>0</v>
      </c>
      <c r="Y1821">
        <v>0</v>
      </c>
      <c r="Z1821">
        <v>7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6</v>
      </c>
      <c r="AK1821">
        <v>0</v>
      </c>
      <c r="AL1821">
        <v>9</v>
      </c>
      <c r="AM1821">
        <v>11</v>
      </c>
      <c r="AN1821">
        <v>29</v>
      </c>
      <c r="AO1821">
        <v>6</v>
      </c>
      <c r="AP1821">
        <v>24</v>
      </c>
      <c r="AQ1821">
        <v>1</v>
      </c>
      <c r="AR1821" t="s">
        <v>14198</v>
      </c>
      <c r="AS1821" t="s">
        <v>14199</v>
      </c>
      <c r="AT1821">
        <v>0.53100000000000003</v>
      </c>
      <c r="AU1821" t="s">
        <v>65</v>
      </c>
      <c r="AV1821">
        <v>53</v>
      </c>
      <c r="AW1821">
        <v>7</v>
      </c>
      <c r="AX1821" t="s">
        <v>14200</v>
      </c>
      <c r="AY1821">
        <v>4.3490000000000001E-2</v>
      </c>
      <c r="AZ1821">
        <v>-1.7099999999999999E-3</v>
      </c>
      <c r="BA1821">
        <v>1.4499999999999999E-3</v>
      </c>
      <c r="BB1821">
        <v>-1.9000000000000001E-4</v>
      </c>
      <c r="BC1821">
        <v>3.3450000000000001E-2</v>
      </c>
      <c r="BD1821">
        <v>1</v>
      </c>
      <c r="BE1821" t="s">
        <v>69</v>
      </c>
      <c r="BF1821">
        <v>-0.83399999999999996</v>
      </c>
      <c r="BG1821">
        <v>-1.8560000000000001</v>
      </c>
    </row>
    <row r="1822" spans="1:59">
      <c r="A1822">
        <v>0</v>
      </c>
      <c r="B1822">
        <v>2</v>
      </c>
      <c r="C1822">
        <v>0</v>
      </c>
      <c r="D1822" t="s">
        <v>25022</v>
      </c>
      <c r="E1822">
        <v>472</v>
      </c>
      <c r="F1822" t="s">
        <v>3206</v>
      </c>
      <c r="G1822" t="s">
        <v>57</v>
      </c>
      <c r="H1822">
        <v>516241</v>
      </c>
      <c r="I1822">
        <v>517254</v>
      </c>
      <c r="J1822" t="s">
        <v>1523</v>
      </c>
      <c r="K1822">
        <v>338</v>
      </c>
      <c r="L1822" t="s">
        <v>289</v>
      </c>
      <c r="M1822">
        <v>46</v>
      </c>
      <c r="N1822" t="str">
        <f>HYPERLINK("Gene472-zp_tree_all.dnd", "Gene472-tree")</f>
        <v>Gene472-tree</v>
      </c>
      <c r="O1822">
        <v>30</v>
      </c>
      <c r="P1822">
        <v>3</v>
      </c>
      <c r="Q1822">
        <v>13</v>
      </c>
      <c r="R1822">
        <v>3</v>
      </c>
      <c r="S1822">
        <v>0.1875</v>
      </c>
      <c r="T1822" t="s">
        <v>2704</v>
      </c>
      <c r="U1822" t="s">
        <v>324</v>
      </c>
      <c r="V1822" t="s">
        <v>62</v>
      </c>
      <c r="W1822" t="s">
        <v>62</v>
      </c>
      <c r="X1822">
        <v>1</v>
      </c>
      <c r="Y1822">
        <v>2</v>
      </c>
      <c r="Z1822">
        <v>4</v>
      </c>
      <c r="AA1822">
        <v>0.33333000000000002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</v>
      </c>
      <c r="AH1822">
        <v>0</v>
      </c>
      <c r="AI1822">
        <v>2</v>
      </c>
      <c r="AJ1822">
        <v>1</v>
      </c>
      <c r="AK1822">
        <v>0.66666999999999998</v>
      </c>
      <c r="AL1822">
        <v>14</v>
      </c>
      <c r="AM1822">
        <v>10</v>
      </c>
      <c r="AN1822">
        <v>40</v>
      </c>
      <c r="AO1822">
        <v>3</v>
      </c>
      <c r="AP1822">
        <v>63</v>
      </c>
      <c r="AQ1822">
        <v>3</v>
      </c>
      <c r="AR1822" t="s">
        <v>3207</v>
      </c>
      <c r="AS1822" t="s">
        <v>3208</v>
      </c>
      <c r="AT1822">
        <v>0.30299999999999999</v>
      </c>
      <c r="AU1822" t="s">
        <v>65</v>
      </c>
      <c r="AV1822">
        <v>103</v>
      </c>
      <c r="AW1822">
        <v>6</v>
      </c>
      <c r="AX1822" t="s">
        <v>3209</v>
      </c>
      <c r="AY1822">
        <v>0.11061</v>
      </c>
      <c r="AZ1822">
        <v>-7.7099999999999998E-3</v>
      </c>
      <c r="BA1822">
        <v>1.7700000000000001E-3</v>
      </c>
      <c r="BB1822">
        <v>-1.1E-4</v>
      </c>
      <c r="BC1822">
        <v>1.5959999999999998E-2</v>
      </c>
      <c r="BD1822">
        <v>1</v>
      </c>
      <c r="BE1822" t="s">
        <v>69</v>
      </c>
      <c r="BF1822">
        <v>-0.97599999999999998</v>
      </c>
      <c r="BG1822">
        <v>0.46600000000000003</v>
      </c>
    </row>
    <row r="1823" spans="1:59">
      <c r="A1823">
        <v>0</v>
      </c>
      <c r="B1823">
        <v>0</v>
      </c>
      <c r="C1823">
        <v>0</v>
      </c>
      <c r="D1823" t="s">
        <v>25022</v>
      </c>
      <c r="E1823">
        <v>1683</v>
      </c>
      <c r="F1823" t="s">
        <v>10545</v>
      </c>
      <c r="G1823" t="s">
        <v>57</v>
      </c>
      <c r="H1823">
        <v>1694119</v>
      </c>
      <c r="I1823">
        <v>1695132</v>
      </c>
      <c r="J1823" t="s">
        <v>10546</v>
      </c>
      <c r="K1823">
        <v>338</v>
      </c>
      <c r="L1823" t="s">
        <v>59</v>
      </c>
      <c r="M1823">
        <v>49</v>
      </c>
      <c r="N1823" t="str">
        <f>HYPERLINK("Gene1683-zp_tree_all.dnd", "Gene1683-tree")</f>
        <v>Gene1683-tree</v>
      </c>
      <c r="O1823">
        <v>17</v>
      </c>
      <c r="P1823">
        <v>1</v>
      </c>
      <c r="Q1823">
        <v>17</v>
      </c>
      <c r="R1823">
        <v>1</v>
      </c>
      <c r="S1823">
        <v>5.5559999999999998E-2</v>
      </c>
      <c r="T1823" t="s">
        <v>266</v>
      </c>
      <c r="U1823" t="s">
        <v>175</v>
      </c>
      <c r="V1823" t="s">
        <v>62</v>
      </c>
      <c r="W1823" t="s">
        <v>62</v>
      </c>
      <c r="X1823">
        <v>0</v>
      </c>
      <c r="Y1823">
        <v>0</v>
      </c>
      <c r="Z1823">
        <v>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14</v>
      </c>
      <c r="AM1823">
        <v>11</v>
      </c>
      <c r="AN1823">
        <v>44</v>
      </c>
      <c r="AO1823">
        <v>1</v>
      </c>
      <c r="AP1823">
        <v>71</v>
      </c>
      <c r="AQ1823">
        <v>1</v>
      </c>
      <c r="AR1823" t="s">
        <v>10547</v>
      </c>
      <c r="AS1823" t="s">
        <v>10548</v>
      </c>
      <c r="AT1823">
        <v>8.5000000000000006E-2</v>
      </c>
      <c r="AU1823" t="s">
        <v>65</v>
      </c>
      <c r="AV1823">
        <v>115</v>
      </c>
      <c r="AW1823">
        <v>2</v>
      </c>
      <c r="AX1823" t="s">
        <v>10549</v>
      </c>
      <c r="AY1823">
        <v>0.12458</v>
      </c>
      <c r="AZ1823">
        <v>-6.6800000000000002E-3</v>
      </c>
      <c r="BA1823">
        <v>5.1000000000000004E-4</v>
      </c>
      <c r="BB1823">
        <v>-5.0000000000000002E-5</v>
      </c>
      <c r="BC1823">
        <v>4.1200000000000004E-3</v>
      </c>
      <c r="BD1823">
        <v>1</v>
      </c>
      <c r="BE1823" t="s">
        <v>69</v>
      </c>
      <c r="BF1823">
        <v>-1.022</v>
      </c>
      <c r="BG1823">
        <v>-1.0900000000000001</v>
      </c>
    </row>
    <row r="1824" spans="1:59">
      <c r="A1824">
        <v>0</v>
      </c>
      <c r="B1824">
        <v>23</v>
      </c>
      <c r="C1824">
        <v>5</v>
      </c>
      <c r="D1824" t="s">
        <v>25022</v>
      </c>
      <c r="E1824">
        <v>3921</v>
      </c>
      <c r="F1824" t="s">
        <v>23005</v>
      </c>
      <c r="G1824" t="s">
        <v>62</v>
      </c>
      <c r="H1824">
        <v>3886007</v>
      </c>
      <c r="I1824">
        <v>3887023</v>
      </c>
      <c r="J1824" t="s">
        <v>3798</v>
      </c>
      <c r="K1824">
        <v>339</v>
      </c>
      <c r="L1824" t="s">
        <v>108</v>
      </c>
      <c r="M1824">
        <v>44</v>
      </c>
      <c r="N1824" t="str">
        <f>HYPERLINK("Gene3921-zp_tree_all.dnd", "Gene3921-tree")</f>
        <v>Gene3921-tree</v>
      </c>
      <c r="O1824">
        <v>22</v>
      </c>
      <c r="P1824">
        <v>12</v>
      </c>
      <c r="Q1824">
        <v>4</v>
      </c>
      <c r="R1824">
        <v>12</v>
      </c>
      <c r="S1824">
        <v>0.75</v>
      </c>
      <c r="T1824" t="s">
        <v>2634</v>
      </c>
      <c r="U1824" t="s">
        <v>109</v>
      </c>
      <c r="V1824" t="s">
        <v>62</v>
      </c>
      <c r="W1824" t="s">
        <v>62</v>
      </c>
      <c r="X1824">
        <v>11</v>
      </c>
      <c r="Y1824">
        <v>28</v>
      </c>
      <c r="Z1824">
        <v>24</v>
      </c>
      <c r="AA1824">
        <v>0.53846000000000005</v>
      </c>
      <c r="AB1824">
        <v>0</v>
      </c>
      <c r="AC1824">
        <v>0</v>
      </c>
      <c r="AD1824">
        <v>0</v>
      </c>
      <c r="AE1824">
        <v>2</v>
      </c>
      <c r="AF1824">
        <v>0</v>
      </c>
      <c r="AG1824">
        <v>11</v>
      </c>
      <c r="AH1824">
        <v>4</v>
      </c>
      <c r="AI1824">
        <v>15</v>
      </c>
      <c r="AJ1824">
        <v>27</v>
      </c>
      <c r="AK1824">
        <v>0.35714000000000001</v>
      </c>
      <c r="AL1824">
        <v>14</v>
      </c>
      <c r="AM1824">
        <v>11</v>
      </c>
      <c r="AN1824">
        <v>25</v>
      </c>
      <c r="AO1824">
        <v>37</v>
      </c>
      <c r="AP1824">
        <v>30</v>
      </c>
      <c r="AQ1824">
        <v>15</v>
      </c>
      <c r="AR1824" t="s">
        <v>23006</v>
      </c>
      <c r="AS1824" t="s">
        <v>23007</v>
      </c>
      <c r="AT1824">
        <v>1.696</v>
      </c>
      <c r="AU1824" t="s">
        <v>65</v>
      </c>
      <c r="AV1824">
        <v>55</v>
      </c>
      <c r="AW1824">
        <v>52</v>
      </c>
      <c r="AX1824" t="s">
        <v>23008</v>
      </c>
      <c r="AY1824">
        <v>4.573E-2</v>
      </c>
      <c r="AZ1824">
        <v>-1.49E-3</v>
      </c>
      <c r="BA1824">
        <v>1.0789999999999999E-2</v>
      </c>
      <c r="BB1824">
        <v>-3.8999999999999999E-4</v>
      </c>
      <c r="BC1824">
        <v>0.23587</v>
      </c>
      <c r="BD1824">
        <v>1</v>
      </c>
      <c r="BE1824" t="s">
        <v>69</v>
      </c>
      <c r="BF1824">
        <v>-0.66200000000000003</v>
      </c>
      <c r="BG1824">
        <v>-1.329</v>
      </c>
    </row>
    <row r="1825" spans="1:59">
      <c r="A1825">
        <v>0</v>
      </c>
      <c r="B1825">
        <v>14</v>
      </c>
      <c r="C1825">
        <v>1</v>
      </c>
      <c r="D1825" t="s">
        <v>25022</v>
      </c>
      <c r="E1825">
        <v>1277</v>
      </c>
      <c r="F1825" t="s">
        <v>8007</v>
      </c>
      <c r="G1825" t="s">
        <v>57</v>
      </c>
      <c r="H1825">
        <v>1304442</v>
      </c>
      <c r="I1825">
        <v>1305458</v>
      </c>
      <c r="J1825" t="s">
        <v>1940</v>
      </c>
      <c r="K1825">
        <v>339</v>
      </c>
      <c r="L1825" t="s">
        <v>108</v>
      </c>
      <c r="M1825">
        <v>44</v>
      </c>
      <c r="N1825" t="str">
        <f>HYPERLINK("Gene1277-zp_tree_all.dnd", "Gene1277-tree")</f>
        <v>Gene1277-tree</v>
      </c>
      <c r="O1825">
        <v>2</v>
      </c>
      <c r="P1825">
        <v>12</v>
      </c>
      <c r="Q1825">
        <v>2</v>
      </c>
      <c r="R1825">
        <v>12</v>
      </c>
      <c r="S1825">
        <v>0.85714000000000001</v>
      </c>
      <c r="T1825" t="s">
        <v>81</v>
      </c>
      <c r="U1825" t="s">
        <v>109</v>
      </c>
      <c r="V1825" t="s">
        <v>62</v>
      </c>
      <c r="W1825" t="s">
        <v>62</v>
      </c>
      <c r="X1825">
        <v>6</v>
      </c>
      <c r="Y1825">
        <v>15</v>
      </c>
      <c r="Z1825">
        <v>22</v>
      </c>
      <c r="AA1825">
        <v>0.40540999999999999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</v>
      </c>
      <c r="AH1825">
        <v>0</v>
      </c>
      <c r="AI1825">
        <v>2</v>
      </c>
      <c r="AJ1825">
        <v>23</v>
      </c>
      <c r="AK1825">
        <v>0.08</v>
      </c>
      <c r="AL1825">
        <v>12</v>
      </c>
      <c r="AM1825">
        <v>11</v>
      </c>
      <c r="AN1825">
        <v>28</v>
      </c>
      <c r="AO1825">
        <v>18</v>
      </c>
      <c r="AP1825">
        <v>30</v>
      </c>
      <c r="AQ1825">
        <v>22</v>
      </c>
      <c r="AR1825" t="s">
        <v>8008</v>
      </c>
      <c r="AS1825" t="s">
        <v>8009</v>
      </c>
      <c r="AT1825">
        <v>0.23599999999999999</v>
      </c>
      <c r="AU1825" t="s">
        <v>65</v>
      </c>
      <c r="AV1825">
        <v>58</v>
      </c>
      <c r="AW1825">
        <v>40</v>
      </c>
      <c r="AX1825" t="s">
        <v>8010</v>
      </c>
      <c r="AY1825">
        <v>4.5339999999999998E-2</v>
      </c>
      <c r="AZ1825">
        <v>-1.73E-3</v>
      </c>
      <c r="BA1825">
        <v>9.92E-3</v>
      </c>
      <c r="BB1825">
        <v>-4.4999999999999999E-4</v>
      </c>
      <c r="BC1825">
        <v>0.21875</v>
      </c>
      <c r="BD1825">
        <v>1</v>
      </c>
      <c r="BE1825" t="s">
        <v>69</v>
      </c>
      <c r="BF1825">
        <v>-0.61399999999999999</v>
      </c>
      <c r="BG1825">
        <v>-0.70399999999999996</v>
      </c>
    </row>
    <row r="1826" spans="1:59">
      <c r="A1826">
        <v>0</v>
      </c>
      <c r="B1826">
        <v>6</v>
      </c>
      <c r="C1826">
        <v>0</v>
      </c>
      <c r="D1826" t="s">
        <v>25022</v>
      </c>
      <c r="E1826">
        <v>1484</v>
      </c>
      <c r="F1826" t="s">
        <v>9276</v>
      </c>
      <c r="G1826" t="s">
        <v>57</v>
      </c>
      <c r="H1826">
        <v>1496155</v>
      </c>
      <c r="I1826">
        <v>1497171</v>
      </c>
      <c r="J1826" t="s">
        <v>9277</v>
      </c>
      <c r="K1826">
        <v>339</v>
      </c>
      <c r="L1826" t="s">
        <v>108</v>
      </c>
      <c r="M1826">
        <v>44</v>
      </c>
      <c r="N1826" t="str">
        <f>HYPERLINK("Gene1484-zp_tree_all.dnd", "Gene1484-tree")</f>
        <v>Gene1484-tree</v>
      </c>
      <c r="O1826">
        <v>7</v>
      </c>
      <c r="P1826">
        <v>7</v>
      </c>
      <c r="Q1826">
        <v>7</v>
      </c>
      <c r="R1826">
        <v>7</v>
      </c>
      <c r="S1826">
        <v>0.5</v>
      </c>
      <c r="T1826" t="s">
        <v>152</v>
      </c>
      <c r="U1826" t="s">
        <v>152</v>
      </c>
      <c r="V1826" t="s">
        <v>62</v>
      </c>
      <c r="W1826" t="s">
        <v>62</v>
      </c>
      <c r="X1826">
        <v>3</v>
      </c>
      <c r="Y1826">
        <v>6</v>
      </c>
      <c r="Z1826">
        <v>11</v>
      </c>
      <c r="AA1826">
        <v>0.35293999999999998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2</v>
      </c>
      <c r="AH1826">
        <v>0</v>
      </c>
      <c r="AI1826">
        <v>2</v>
      </c>
      <c r="AJ1826">
        <v>8</v>
      </c>
      <c r="AK1826">
        <v>0.2</v>
      </c>
      <c r="AL1826">
        <v>10</v>
      </c>
      <c r="AM1826">
        <v>11</v>
      </c>
      <c r="AN1826">
        <v>30</v>
      </c>
      <c r="AO1826">
        <v>9</v>
      </c>
      <c r="AP1826">
        <v>19</v>
      </c>
      <c r="AQ1826">
        <v>8</v>
      </c>
      <c r="AR1826" t="s">
        <v>9278</v>
      </c>
      <c r="AS1826" t="s">
        <v>9279</v>
      </c>
      <c r="AT1826">
        <v>0.38100000000000001</v>
      </c>
      <c r="AU1826" t="s">
        <v>65</v>
      </c>
      <c r="AV1826">
        <v>49</v>
      </c>
      <c r="AW1826">
        <v>17</v>
      </c>
      <c r="AX1826" t="s">
        <v>9280</v>
      </c>
      <c r="AY1826">
        <v>4.1169999999999998E-2</v>
      </c>
      <c r="AZ1826">
        <v>-2.3400000000000001E-3</v>
      </c>
      <c r="BA1826">
        <v>4.5300000000000002E-3</v>
      </c>
      <c r="BB1826">
        <v>-2.1000000000000001E-4</v>
      </c>
      <c r="BC1826">
        <v>0.11002000000000001</v>
      </c>
      <c r="BD1826">
        <v>1</v>
      </c>
      <c r="BE1826" t="s">
        <v>69</v>
      </c>
      <c r="BF1826">
        <v>-1.268</v>
      </c>
      <c r="BG1826">
        <v>-2.5110000000000001</v>
      </c>
    </row>
    <row r="1827" spans="1:59">
      <c r="A1827">
        <v>0</v>
      </c>
      <c r="B1827">
        <v>2</v>
      </c>
      <c r="C1827">
        <v>0</v>
      </c>
      <c r="D1827" t="s">
        <v>25022</v>
      </c>
      <c r="E1827">
        <v>3345</v>
      </c>
      <c r="F1827" t="s">
        <v>19545</v>
      </c>
      <c r="G1827" t="s">
        <v>62</v>
      </c>
      <c r="H1827">
        <v>3316333</v>
      </c>
      <c r="I1827">
        <v>3317349</v>
      </c>
      <c r="J1827" t="s">
        <v>19546</v>
      </c>
      <c r="K1827">
        <v>339</v>
      </c>
      <c r="L1827" t="s">
        <v>108</v>
      </c>
      <c r="M1827">
        <v>44</v>
      </c>
      <c r="N1827" t="str">
        <f>HYPERLINK("Gene3345-zp_tree_all.dnd", "Gene3345-tree")</f>
        <v>Gene3345-tree</v>
      </c>
      <c r="O1827">
        <v>7</v>
      </c>
      <c r="P1827">
        <v>7</v>
      </c>
      <c r="Q1827">
        <v>7</v>
      </c>
      <c r="R1827">
        <v>7</v>
      </c>
      <c r="S1827">
        <v>0.5</v>
      </c>
      <c r="T1827" t="s">
        <v>152</v>
      </c>
      <c r="U1827" t="s">
        <v>152</v>
      </c>
      <c r="V1827" t="s">
        <v>62</v>
      </c>
      <c r="W1827" t="s">
        <v>62</v>
      </c>
      <c r="X1827">
        <v>1</v>
      </c>
      <c r="Y1827">
        <v>2</v>
      </c>
      <c r="Z1827">
        <v>9</v>
      </c>
      <c r="AA1827">
        <v>0.18182000000000001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</v>
      </c>
      <c r="AH1827">
        <v>0</v>
      </c>
      <c r="AI1827">
        <v>2</v>
      </c>
      <c r="AJ1827">
        <v>7</v>
      </c>
      <c r="AK1827">
        <v>0.22222</v>
      </c>
      <c r="AL1827">
        <v>8</v>
      </c>
      <c r="AM1827">
        <v>10</v>
      </c>
      <c r="AN1827">
        <v>24</v>
      </c>
      <c r="AO1827">
        <v>7</v>
      </c>
      <c r="AP1827">
        <v>12</v>
      </c>
      <c r="AQ1827">
        <v>4</v>
      </c>
      <c r="AR1827" t="s">
        <v>19547</v>
      </c>
      <c r="AS1827" t="s">
        <v>19548</v>
      </c>
      <c r="AT1827">
        <v>0.14000000000000001</v>
      </c>
      <c r="AU1827" t="s">
        <v>65</v>
      </c>
      <c r="AV1827">
        <v>36</v>
      </c>
      <c r="AW1827">
        <v>11</v>
      </c>
      <c r="AX1827" t="s">
        <v>19549</v>
      </c>
      <c r="AY1827">
        <v>3.2439999999999997E-2</v>
      </c>
      <c r="AZ1827">
        <v>-2E-3</v>
      </c>
      <c r="BA1827">
        <v>2.63E-3</v>
      </c>
      <c r="BB1827">
        <v>-1.7000000000000001E-4</v>
      </c>
      <c r="BC1827">
        <v>8.1129999999999994E-2</v>
      </c>
      <c r="BD1827">
        <v>1</v>
      </c>
      <c r="BE1827" t="s">
        <v>69</v>
      </c>
      <c r="BF1827">
        <v>-0.68600000000000005</v>
      </c>
      <c r="BG1827">
        <v>-0.11700000000000001</v>
      </c>
    </row>
    <row r="1828" spans="1:59">
      <c r="A1828">
        <v>0</v>
      </c>
      <c r="B1828">
        <v>0</v>
      </c>
      <c r="C1828">
        <v>0</v>
      </c>
      <c r="D1828" t="s">
        <v>25022</v>
      </c>
      <c r="E1828">
        <v>2305</v>
      </c>
      <c r="F1828" t="s">
        <v>13360</v>
      </c>
      <c r="G1828" t="s">
        <v>62</v>
      </c>
      <c r="H1828">
        <v>2324616</v>
      </c>
      <c r="I1828">
        <v>2325632</v>
      </c>
      <c r="J1828" t="s">
        <v>13361</v>
      </c>
      <c r="K1828">
        <v>339</v>
      </c>
      <c r="L1828" t="s">
        <v>108</v>
      </c>
      <c r="M1828">
        <v>44</v>
      </c>
      <c r="N1828" t="str">
        <f>HYPERLINK("Gene2305-zp_tree_all.dnd", "Gene2305-tree")</f>
        <v>Gene2305-tree</v>
      </c>
      <c r="O1828">
        <v>5</v>
      </c>
      <c r="P1828">
        <v>9</v>
      </c>
      <c r="Q1828">
        <v>5</v>
      </c>
      <c r="R1828">
        <v>9</v>
      </c>
      <c r="S1828">
        <v>0.64285999999999999</v>
      </c>
      <c r="T1828" t="s">
        <v>199</v>
      </c>
      <c r="U1828" t="s">
        <v>135</v>
      </c>
      <c r="V1828" t="s">
        <v>62</v>
      </c>
      <c r="W1828" t="s">
        <v>62</v>
      </c>
      <c r="X1828">
        <v>0</v>
      </c>
      <c r="Y1828">
        <v>0</v>
      </c>
      <c r="Z1828">
        <v>10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9</v>
      </c>
      <c r="AK1828">
        <v>0</v>
      </c>
      <c r="AL1828">
        <v>11</v>
      </c>
      <c r="AM1828">
        <v>7</v>
      </c>
      <c r="AN1828">
        <v>24</v>
      </c>
      <c r="AO1828">
        <v>8</v>
      </c>
      <c r="AP1828">
        <v>15</v>
      </c>
      <c r="AQ1828">
        <v>2</v>
      </c>
      <c r="AR1828" t="s">
        <v>13362</v>
      </c>
      <c r="AS1828" t="s">
        <v>13363</v>
      </c>
      <c r="AT1828">
        <v>1.25</v>
      </c>
      <c r="AU1828" t="s">
        <v>65</v>
      </c>
      <c r="AV1828">
        <v>39</v>
      </c>
      <c r="AW1828">
        <v>10</v>
      </c>
      <c r="AX1828" t="s">
        <v>13364</v>
      </c>
      <c r="AY1828">
        <v>3.1699999999999999E-2</v>
      </c>
      <c r="AZ1828">
        <v>-1.1299999999999999E-3</v>
      </c>
      <c r="BA1828">
        <v>2.2499999999999998E-3</v>
      </c>
      <c r="BB1828">
        <v>-1E-4</v>
      </c>
      <c r="BC1828">
        <v>7.1029999999999996E-2</v>
      </c>
      <c r="BD1828">
        <v>1</v>
      </c>
      <c r="BE1828" t="s">
        <v>69</v>
      </c>
      <c r="BF1828">
        <v>-0.83299999999999996</v>
      </c>
      <c r="BG1828">
        <v>-1.613</v>
      </c>
    </row>
    <row r="1829" spans="1:59">
      <c r="A1829">
        <v>0</v>
      </c>
      <c r="B1829">
        <v>8</v>
      </c>
      <c r="C1829">
        <v>1</v>
      </c>
      <c r="D1829" t="s">
        <v>25022</v>
      </c>
      <c r="E1829">
        <v>4024</v>
      </c>
      <c r="F1829" t="s">
        <v>23681</v>
      </c>
      <c r="G1829" t="s">
        <v>62</v>
      </c>
      <c r="H1829">
        <v>3989951</v>
      </c>
      <c r="I1829">
        <v>3990967</v>
      </c>
      <c r="J1829" t="s">
        <v>23682</v>
      </c>
      <c r="K1829">
        <v>339</v>
      </c>
      <c r="L1829" t="s">
        <v>108</v>
      </c>
      <c r="M1829">
        <v>44</v>
      </c>
      <c r="N1829" t="str">
        <f>HYPERLINK("Gene4024-zp_tree_all.dnd", "Gene4024-tree")</f>
        <v>Gene4024-tree</v>
      </c>
      <c r="O1829">
        <v>10</v>
      </c>
      <c r="P1829">
        <v>5</v>
      </c>
      <c r="Q1829">
        <v>10</v>
      </c>
      <c r="R1829">
        <v>5</v>
      </c>
      <c r="S1829">
        <v>0.33333000000000002</v>
      </c>
      <c r="T1829" t="s">
        <v>117</v>
      </c>
      <c r="U1829" t="s">
        <v>199</v>
      </c>
      <c r="V1829" t="s">
        <v>62</v>
      </c>
      <c r="W1829" t="s">
        <v>62</v>
      </c>
      <c r="X1829">
        <v>3</v>
      </c>
      <c r="Y1829">
        <v>9</v>
      </c>
      <c r="Z1829">
        <v>3</v>
      </c>
      <c r="AA1829">
        <v>0.75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2</v>
      </c>
      <c r="AH1829">
        <v>0</v>
      </c>
      <c r="AI1829">
        <v>2</v>
      </c>
      <c r="AJ1829">
        <v>4</v>
      </c>
      <c r="AK1829">
        <v>0.33333000000000002</v>
      </c>
      <c r="AL1829">
        <v>12</v>
      </c>
      <c r="AM1829">
        <v>10</v>
      </c>
      <c r="AN1829">
        <v>42</v>
      </c>
      <c r="AO1829">
        <v>6</v>
      </c>
      <c r="AP1829">
        <v>36</v>
      </c>
      <c r="AQ1829">
        <v>6</v>
      </c>
      <c r="AR1829" t="s">
        <v>23683</v>
      </c>
      <c r="AS1829" t="s">
        <v>23684</v>
      </c>
      <c r="AT1829">
        <v>0.19500000000000001</v>
      </c>
      <c r="AU1829" t="s">
        <v>65</v>
      </c>
      <c r="AV1829">
        <v>78</v>
      </c>
      <c r="AW1829">
        <v>12</v>
      </c>
      <c r="AX1829" t="s">
        <v>23685</v>
      </c>
      <c r="AY1829">
        <v>6.6729999999999998E-2</v>
      </c>
      <c r="AZ1829">
        <v>-2.8600000000000001E-3</v>
      </c>
      <c r="BA1829">
        <v>2.8999999999999998E-3</v>
      </c>
      <c r="BB1829">
        <v>-1.3999999999999999E-4</v>
      </c>
      <c r="BC1829">
        <v>4.342E-2</v>
      </c>
      <c r="BD1829">
        <v>1</v>
      </c>
      <c r="BE1829" t="s">
        <v>69</v>
      </c>
      <c r="BF1829">
        <v>0.71</v>
      </c>
      <c r="BG1829">
        <v>0.55200000000000005</v>
      </c>
    </row>
    <row r="1830" spans="1:59">
      <c r="A1830">
        <v>0</v>
      </c>
      <c r="B1830">
        <v>0</v>
      </c>
      <c r="C1830">
        <v>4</v>
      </c>
      <c r="D1830" t="s">
        <v>25022</v>
      </c>
      <c r="E1830">
        <v>718</v>
      </c>
      <c r="F1830" t="s">
        <v>4446</v>
      </c>
      <c r="G1830" t="s">
        <v>57</v>
      </c>
      <c r="H1830">
        <v>749775</v>
      </c>
      <c r="I1830">
        <v>750794</v>
      </c>
      <c r="J1830" t="s">
        <v>4447</v>
      </c>
      <c r="K1830">
        <v>340</v>
      </c>
      <c r="L1830" t="s">
        <v>4448</v>
      </c>
      <c r="M1830">
        <v>23</v>
      </c>
      <c r="N1830" t="str">
        <f>HYPERLINK("Gene718-zp_tree_all.dnd", "Gene718-tree")</f>
        <v>Gene718-tree</v>
      </c>
      <c r="O1830">
        <v>2</v>
      </c>
      <c r="P1830">
        <v>2</v>
      </c>
      <c r="Q1830">
        <v>2</v>
      </c>
      <c r="R1830">
        <v>2</v>
      </c>
      <c r="S1830">
        <v>0.5</v>
      </c>
      <c r="T1830" t="s">
        <v>81</v>
      </c>
      <c r="U1830" t="s">
        <v>81</v>
      </c>
      <c r="V1830" t="s">
        <v>62</v>
      </c>
      <c r="W1830" t="s">
        <v>62</v>
      </c>
      <c r="X1830">
        <v>2</v>
      </c>
      <c r="Y1830">
        <v>4</v>
      </c>
      <c r="Z1830">
        <v>32</v>
      </c>
      <c r="AA1830">
        <v>0.11111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24</v>
      </c>
      <c r="AK1830">
        <v>0</v>
      </c>
      <c r="AL1830">
        <v>3</v>
      </c>
      <c r="AM1830">
        <v>1</v>
      </c>
      <c r="AN1830">
        <v>24</v>
      </c>
      <c r="AO1830">
        <v>24</v>
      </c>
      <c r="AP1830">
        <v>10</v>
      </c>
      <c r="AQ1830">
        <v>12</v>
      </c>
      <c r="AR1830" t="s">
        <v>4449</v>
      </c>
      <c r="AS1830" t="s">
        <v>4450</v>
      </c>
      <c r="AT1830">
        <v>0.316</v>
      </c>
      <c r="AU1830" t="s">
        <v>65</v>
      </c>
      <c r="AV1830">
        <v>34</v>
      </c>
      <c r="AW1830">
        <v>36</v>
      </c>
      <c r="AX1830" t="s">
        <v>4451</v>
      </c>
      <c r="AY1830">
        <v>8.8789999999999994E-2</v>
      </c>
      <c r="AZ1830">
        <v>-1.7219999999999999E-2</v>
      </c>
      <c r="BA1830">
        <v>2.5569999999999999E-2</v>
      </c>
      <c r="BB1830">
        <v>-4.7200000000000002E-3</v>
      </c>
      <c r="BC1830">
        <v>0.28793999999999997</v>
      </c>
      <c r="BD1830">
        <v>1</v>
      </c>
      <c r="BE1830" t="s">
        <v>69</v>
      </c>
      <c r="BF1830">
        <v>-1.224</v>
      </c>
      <c r="BG1830">
        <v>-0.91900000000000004</v>
      </c>
    </row>
    <row r="1831" spans="1:59">
      <c r="A1831">
        <v>0</v>
      </c>
      <c r="B1831">
        <v>10</v>
      </c>
      <c r="C1831">
        <v>0</v>
      </c>
      <c r="D1831" t="s">
        <v>25022</v>
      </c>
      <c r="E1831">
        <v>3522</v>
      </c>
      <c r="F1831" t="s">
        <v>20628</v>
      </c>
      <c r="G1831" t="s">
        <v>62</v>
      </c>
      <c r="H1831">
        <v>3482755</v>
      </c>
      <c r="I1831">
        <v>3483774</v>
      </c>
      <c r="J1831" t="s">
        <v>20629</v>
      </c>
      <c r="K1831">
        <v>340</v>
      </c>
      <c r="L1831" t="s">
        <v>59</v>
      </c>
      <c r="M1831">
        <v>49</v>
      </c>
      <c r="N1831" t="str">
        <f>HYPERLINK("Gene3522-zp_tree_all.dnd", "Gene3522-tree")</f>
        <v>Gene3522-tree</v>
      </c>
      <c r="O1831">
        <v>9</v>
      </c>
      <c r="P1831">
        <v>10</v>
      </c>
      <c r="Q1831">
        <v>9</v>
      </c>
      <c r="R1831">
        <v>10</v>
      </c>
      <c r="S1831">
        <v>0.52632000000000001</v>
      </c>
      <c r="T1831" t="s">
        <v>135</v>
      </c>
      <c r="U1831" t="s">
        <v>117</v>
      </c>
      <c r="V1831" t="s">
        <v>62</v>
      </c>
      <c r="W1831" t="s">
        <v>62</v>
      </c>
      <c r="X1831">
        <v>0</v>
      </c>
      <c r="Y1831">
        <v>0</v>
      </c>
      <c r="Z1831">
        <v>9</v>
      </c>
      <c r="AA1831">
        <v>0</v>
      </c>
      <c r="AB1831">
        <v>0</v>
      </c>
      <c r="AC1831">
        <v>0</v>
      </c>
      <c r="AD1831">
        <v>0</v>
      </c>
      <c r="AE1831">
        <v>2</v>
      </c>
      <c r="AF1831">
        <v>0</v>
      </c>
      <c r="AG1831">
        <v>0</v>
      </c>
      <c r="AH1831">
        <v>0</v>
      </c>
      <c r="AI1831">
        <v>0</v>
      </c>
      <c r="AJ1831">
        <v>12</v>
      </c>
      <c r="AK1831">
        <v>0</v>
      </c>
      <c r="AL1831">
        <v>16</v>
      </c>
      <c r="AM1831">
        <v>10</v>
      </c>
      <c r="AN1831">
        <v>35</v>
      </c>
      <c r="AO1831">
        <v>11</v>
      </c>
      <c r="AP1831">
        <v>31</v>
      </c>
      <c r="AQ1831">
        <v>8</v>
      </c>
      <c r="AR1831" t="s">
        <v>20630</v>
      </c>
      <c r="AS1831" t="s">
        <v>20631</v>
      </c>
      <c r="AT1831">
        <v>0.35399999999999998</v>
      </c>
      <c r="AU1831" t="s">
        <v>65</v>
      </c>
      <c r="AV1831">
        <v>66</v>
      </c>
      <c r="AW1831">
        <v>19</v>
      </c>
      <c r="AX1831" t="s">
        <v>20632</v>
      </c>
      <c r="AY1831">
        <v>5.0659999999999997E-2</v>
      </c>
      <c r="AZ1831">
        <v>-2.7200000000000002E-3</v>
      </c>
      <c r="BA1831">
        <v>1.92E-3</v>
      </c>
      <c r="BB1831">
        <v>-1.1E-4</v>
      </c>
      <c r="BC1831">
        <v>3.7960000000000001E-2</v>
      </c>
      <c r="BD1831">
        <v>1</v>
      </c>
      <c r="BE1831" t="s">
        <v>69</v>
      </c>
      <c r="BF1831">
        <v>-1.4510000000000001</v>
      </c>
      <c r="BG1831">
        <v>-0.60599999999999998</v>
      </c>
    </row>
    <row r="1832" spans="1:59">
      <c r="A1832">
        <v>0</v>
      </c>
      <c r="B1832">
        <v>0</v>
      </c>
      <c r="C1832">
        <v>0</v>
      </c>
      <c r="D1832" t="s">
        <v>25022</v>
      </c>
      <c r="E1832">
        <v>3018</v>
      </c>
      <c r="F1832" t="s">
        <v>17439</v>
      </c>
      <c r="G1832" t="s">
        <v>62</v>
      </c>
      <c r="H1832">
        <v>2967035</v>
      </c>
      <c r="I1832">
        <v>2968054</v>
      </c>
      <c r="J1832" t="s">
        <v>17440</v>
      </c>
      <c r="K1832">
        <v>340</v>
      </c>
      <c r="L1832" t="s">
        <v>108</v>
      </c>
      <c r="M1832">
        <v>44</v>
      </c>
      <c r="N1832" t="str">
        <f>HYPERLINK("Gene3018-zp_tree_all.dnd", "Gene3018-tree")</f>
        <v>Gene3018-tree</v>
      </c>
      <c r="O1832">
        <v>12</v>
      </c>
      <c r="P1832">
        <v>1</v>
      </c>
      <c r="Q1832">
        <v>12</v>
      </c>
      <c r="R1832">
        <v>1</v>
      </c>
      <c r="S1832">
        <v>7.6920000000000002E-2</v>
      </c>
      <c r="T1832" t="s">
        <v>109</v>
      </c>
      <c r="U1832" t="s">
        <v>175</v>
      </c>
      <c r="V1832" t="s">
        <v>62</v>
      </c>
      <c r="W1832" t="s">
        <v>62</v>
      </c>
      <c r="X1832">
        <v>0</v>
      </c>
      <c r="Y1832">
        <v>0</v>
      </c>
      <c r="Z1832">
        <v>2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9</v>
      </c>
      <c r="AM1832">
        <v>7</v>
      </c>
      <c r="AN1832">
        <v>14</v>
      </c>
      <c r="AO1832">
        <v>1</v>
      </c>
      <c r="AP1832">
        <v>18</v>
      </c>
      <c r="AQ1832">
        <v>1</v>
      </c>
      <c r="AR1832" t="s">
        <v>17441</v>
      </c>
      <c r="AS1832" t="s">
        <v>17442</v>
      </c>
      <c r="AT1832">
        <v>6.6000000000000003E-2</v>
      </c>
      <c r="AU1832" t="s">
        <v>65</v>
      </c>
      <c r="AV1832">
        <v>32</v>
      </c>
      <c r="AW1832">
        <v>2</v>
      </c>
      <c r="AX1832" t="s">
        <v>16283</v>
      </c>
      <c r="AY1832">
        <v>3.116E-2</v>
      </c>
      <c r="AZ1832">
        <v>-1.34E-3</v>
      </c>
      <c r="BA1832">
        <v>5.5999999999999995E-4</v>
      </c>
      <c r="BB1832">
        <v>-8.0000000000000007E-5</v>
      </c>
      <c r="BC1832">
        <v>1.8020000000000001E-2</v>
      </c>
      <c r="BD1832">
        <v>1</v>
      </c>
      <c r="BE1832" t="s">
        <v>69</v>
      </c>
      <c r="BF1832">
        <v>-0.33</v>
      </c>
      <c r="BG1832">
        <v>0.55900000000000005</v>
      </c>
    </row>
    <row r="1833" spans="1:59">
      <c r="A1833">
        <v>0</v>
      </c>
      <c r="B1833">
        <v>4</v>
      </c>
      <c r="C1833">
        <v>0</v>
      </c>
      <c r="D1833" t="s">
        <v>25022</v>
      </c>
      <c r="E1833">
        <v>2892</v>
      </c>
      <c r="F1833" t="s">
        <v>16645</v>
      </c>
      <c r="G1833" t="s">
        <v>62</v>
      </c>
      <c r="H1833">
        <v>2838850</v>
      </c>
      <c r="I1833">
        <v>2839872</v>
      </c>
      <c r="J1833" t="s">
        <v>16646</v>
      </c>
      <c r="K1833">
        <v>341</v>
      </c>
      <c r="L1833" t="s">
        <v>108</v>
      </c>
      <c r="M1833">
        <v>44</v>
      </c>
      <c r="N1833" t="str">
        <f>HYPERLINK("Gene2892-zp_tree_all.dnd", "Gene2892-tree")</f>
        <v>Gene2892-tree</v>
      </c>
      <c r="O1833">
        <v>6</v>
      </c>
      <c r="P1833">
        <v>7</v>
      </c>
      <c r="Q1833">
        <v>6</v>
      </c>
      <c r="R1833">
        <v>7</v>
      </c>
      <c r="S1833">
        <v>0.53846000000000005</v>
      </c>
      <c r="T1833" t="s">
        <v>90</v>
      </c>
      <c r="U1833" t="s">
        <v>152</v>
      </c>
      <c r="V1833" t="s">
        <v>62</v>
      </c>
      <c r="W1833" t="s">
        <v>62</v>
      </c>
      <c r="X1833">
        <v>2</v>
      </c>
      <c r="Y1833">
        <v>4</v>
      </c>
      <c r="Z1833">
        <v>15</v>
      </c>
      <c r="AA1833">
        <v>0.21052999999999999</v>
      </c>
      <c r="AB1833">
        <v>0</v>
      </c>
      <c r="AC1833">
        <v>0</v>
      </c>
      <c r="AD1833">
        <v>0</v>
      </c>
      <c r="AE1833">
        <v>2</v>
      </c>
      <c r="AF1833">
        <v>0</v>
      </c>
      <c r="AG1833">
        <v>2</v>
      </c>
      <c r="AH1833">
        <v>0</v>
      </c>
      <c r="AI1833">
        <v>2</v>
      </c>
      <c r="AJ1833">
        <v>13</v>
      </c>
      <c r="AK1833">
        <v>0.13333</v>
      </c>
      <c r="AL1833">
        <v>11</v>
      </c>
      <c r="AM1833">
        <v>7</v>
      </c>
      <c r="AN1833">
        <v>28</v>
      </c>
      <c r="AO1833">
        <v>16</v>
      </c>
      <c r="AP1833">
        <v>8</v>
      </c>
      <c r="AQ1833">
        <v>4</v>
      </c>
      <c r="AR1833" t="s">
        <v>16647</v>
      </c>
      <c r="AS1833" t="s">
        <v>16648</v>
      </c>
      <c r="AT1833">
        <v>0.10199999999999999</v>
      </c>
      <c r="AU1833" t="s">
        <v>65</v>
      </c>
      <c r="AV1833">
        <v>36</v>
      </c>
      <c r="AW1833">
        <v>20</v>
      </c>
      <c r="AX1833" t="s">
        <v>16649</v>
      </c>
      <c r="AY1833">
        <v>3.1690000000000003E-2</v>
      </c>
      <c r="AZ1833">
        <v>-1.92E-3</v>
      </c>
      <c r="BA1833">
        <v>4.9300000000000004E-3</v>
      </c>
      <c r="BB1833">
        <v>-4.2000000000000002E-4</v>
      </c>
      <c r="BC1833">
        <v>0.15540999999999999</v>
      </c>
      <c r="BD1833">
        <v>1</v>
      </c>
      <c r="BE1833" t="s">
        <v>69</v>
      </c>
      <c r="BF1833">
        <v>-1.419</v>
      </c>
      <c r="BG1833">
        <v>-3.125</v>
      </c>
    </row>
    <row r="1834" spans="1:59">
      <c r="A1834">
        <v>0</v>
      </c>
      <c r="B1834">
        <v>7</v>
      </c>
      <c r="C1834">
        <v>2</v>
      </c>
      <c r="D1834" t="s">
        <v>25022</v>
      </c>
      <c r="E1834">
        <v>651</v>
      </c>
      <c r="F1834" t="s">
        <v>4041</v>
      </c>
      <c r="G1834" t="s">
        <v>57</v>
      </c>
      <c r="H1834">
        <v>671994</v>
      </c>
      <c r="I1834">
        <v>673016</v>
      </c>
      <c r="J1834" t="s">
        <v>4042</v>
      </c>
      <c r="K1834">
        <v>341</v>
      </c>
      <c r="L1834" t="s">
        <v>4043</v>
      </c>
      <c r="M1834">
        <v>44</v>
      </c>
      <c r="N1834" t="str">
        <f>HYPERLINK("Gene651-zp_tree_all.dnd", "Gene651-tree")</f>
        <v>Gene651-tree</v>
      </c>
      <c r="O1834">
        <v>6</v>
      </c>
      <c r="P1834">
        <v>10</v>
      </c>
      <c r="Q1834">
        <v>6</v>
      </c>
      <c r="R1834">
        <v>10</v>
      </c>
      <c r="S1834">
        <v>0.625</v>
      </c>
      <c r="T1834" t="s">
        <v>90</v>
      </c>
      <c r="U1834" t="s">
        <v>117</v>
      </c>
      <c r="V1834" t="s">
        <v>62</v>
      </c>
      <c r="W1834" t="s">
        <v>62</v>
      </c>
      <c r="X1834">
        <v>3</v>
      </c>
      <c r="Y1834">
        <v>9</v>
      </c>
      <c r="Z1834">
        <v>18</v>
      </c>
      <c r="AA1834">
        <v>0.33333000000000002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4</v>
      </c>
      <c r="AH1834">
        <v>0</v>
      </c>
      <c r="AI1834">
        <v>4</v>
      </c>
      <c r="AJ1834">
        <v>12</v>
      </c>
      <c r="AK1834">
        <v>0.25</v>
      </c>
      <c r="AL1834">
        <v>13</v>
      </c>
      <c r="AM1834">
        <v>11</v>
      </c>
      <c r="AN1834">
        <v>35</v>
      </c>
      <c r="AO1834">
        <v>16</v>
      </c>
      <c r="AP1834">
        <v>46</v>
      </c>
      <c r="AQ1834">
        <v>12</v>
      </c>
      <c r="AR1834" t="s">
        <v>4044</v>
      </c>
      <c r="AS1834" t="s">
        <v>4045</v>
      </c>
      <c r="AT1834">
        <v>0.34100000000000003</v>
      </c>
      <c r="AU1834" t="s">
        <v>65</v>
      </c>
      <c r="AV1834">
        <v>81</v>
      </c>
      <c r="AW1834">
        <v>28</v>
      </c>
      <c r="AX1834" t="s">
        <v>4046</v>
      </c>
      <c r="AY1834">
        <v>7.3349999999999999E-2</v>
      </c>
      <c r="AZ1834">
        <v>-5.0699999999999999E-3</v>
      </c>
      <c r="BA1834">
        <v>5.8999999999999999E-3</v>
      </c>
      <c r="BB1834">
        <v>-4.2999999999999999E-4</v>
      </c>
      <c r="BC1834">
        <v>8.0449999999999994E-2</v>
      </c>
      <c r="BD1834">
        <v>1</v>
      </c>
      <c r="BE1834" t="s">
        <v>69</v>
      </c>
      <c r="BF1834">
        <v>-1.03</v>
      </c>
      <c r="BG1834">
        <v>-0.34300000000000003</v>
      </c>
    </row>
    <row r="1835" spans="1:59">
      <c r="A1835">
        <v>0</v>
      </c>
      <c r="B1835">
        <v>9</v>
      </c>
      <c r="C1835">
        <v>0</v>
      </c>
      <c r="D1835" t="s">
        <v>25022</v>
      </c>
      <c r="E1835">
        <v>2927</v>
      </c>
      <c r="F1835" t="s">
        <v>16862</v>
      </c>
      <c r="G1835" t="s">
        <v>62</v>
      </c>
      <c r="H1835">
        <v>2869967</v>
      </c>
      <c r="I1835">
        <v>2870989</v>
      </c>
      <c r="J1835" t="s">
        <v>3688</v>
      </c>
      <c r="K1835">
        <v>341</v>
      </c>
      <c r="L1835" t="s">
        <v>108</v>
      </c>
      <c r="M1835">
        <v>44</v>
      </c>
      <c r="N1835" t="str">
        <f>HYPERLINK("Gene2927-zp_tree_all.dnd", "Gene2927-tree")</f>
        <v>Gene2927-tree</v>
      </c>
      <c r="O1835">
        <v>5</v>
      </c>
      <c r="P1835">
        <v>28</v>
      </c>
      <c r="Q1835">
        <v>5</v>
      </c>
      <c r="R1835">
        <v>9</v>
      </c>
      <c r="S1835">
        <v>0.64285999999999999</v>
      </c>
      <c r="T1835" t="s">
        <v>199</v>
      </c>
      <c r="U1835" t="s">
        <v>2825</v>
      </c>
      <c r="V1835">
        <v>2.7650000000000001</v>
      </c>
      <c r="W1835" t="s">
        <v>65</v>
      </c>
      <c r="X1835">
        <v>4</v>
      </c>
      <c r="Y1835">
        <v>9</v>
      </c>
      <c r="Z1835">
        <v>10</v>
      </c>
      <c r="AA1835">
        <v>0.47367999999999999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6</v>
      </c>
      <c r="AH1835">
        <v>0</v>
      </c>
      <c r="AI1835">
        <v>6</v>
      </c>
      <c r="AJ1835">
        <v>11</v>
      </c>
      <c r="AK1835">
        <v>0.35293999999999998</v>
      </c>
      <c r="AL1835">
        <v>11</v>
      </c>
      <c r="AM1835">
        <v>10</v>
      </c>
      <c r="AN1835">
        <v>40</v>
      </c>
      <c r="AO1835">
        <v>16</v>
      </c>
      <c r="AP1835">
        <v>18</v>
      </c>
      <c r="AQ1835">
        <v>3</v>
      </c>
      <c r="AR1835" t="s">
        <v>16863</v>
      </c>
      <c r="AS1835" t="s">
        <v>16864</v>
      </c>
      <c r="AT1835">
        <v>1.2849999999999999</v>
      </c>
      <c r="AU1835" t="s">
        <v>65</v>
      </c>
      <c r="AV1835">
        <v>58</v>
      </c>
      <c r="AW1835">
        <v>19</v>
      </c>
      <c r="AX1835" t="s">
        <v>16865</v>
      </c>
      <c r="AY1835">
        <v>5.1200000000000002E-2</v>
      </c>
      <c r="AZ1835">
        <v>-2.0300000000000001E-3</v>
      </c>
      <c r="BA1835">
        <v>3.4099999999999998E-3</v>
      </c>
      <c r="BB1835">
        <v>-2.5000000000000001E-4</v>
      </c>
      <c r="BC1835">
        <v>6.6650000000000001E-2</v>
      </c>
      <c r="BD1835">
        <v>1</v>
      </c>
      <c r="BE1835" t="s">
        <v>69</v>
      </c>
      <c r="BF1835">
        <v>-0.78400000000000003</v>
      </c>
      <c r="BG1835">
        <v>-1.5229999999999999</v>
      </c>
    </row>
    <row r="1836" spans="1:59">
      <c r="A1836">
        <v>0</v>
      </c>
      <c r="B1836">
        <v>2</v>
      </c>
      <c r="C1836">
        <v>2</v>
      </c>
      <c r="D1836" t="s">
        <v>25022</v>
      </c>
      <c r="E1836">
        <v>1565</v>
      </c>
      <c r="F1836" t="s">
        <v>9786</v>
      </c>
      <c r="G1836" t="s">
        <v>57</v>
      </c>
      <c r="H1836">
        <v>1572765</v>
      </c>
      <c r="I1836">
        <v>1573787</v>
      </c>
      <c r="J1836" t="s">
        <v>9787</v>
      </c>
      <c r="K1836">
        <v>341</v>
      </c>
      <c r="L1836" t="s">
        <v>59</v>
      </c>
      <c r="M1836">
        <v>49</v>
      </c>
      <c r="N1836" t="str">
        <f>HYPERLINK("Gene1565-zp_tree_all.dnd", "Gene1565-tree")</f>
        <v>Gene1565-tree</v>
      </c>
      <c r="O1836">
        <v>9</v>
      </c>
      <c r="P1836">
        <v>7</v>
      </c>
      <c r="Q1836">
        <v>9</v>
      </c>
      <c r="R1836">
        <v>7</v>
      </c>
      <c r="S1836">
        <v>0.4375</v>
      </c>
      <c r="T1836" t="s">
        <v>135</v>
      </c>
      <c r="U1836" t="s">
        <v>152</v>
      </c>
      <c r="V1836" t="s">
        <v>62</v>
      </c>
      <c r="W1836" t="s">
        <v>62</v>
      </c>
      <c r="X1836">
        <v>2</v>
      </c>
      <c r="Y1836">
        <v>4</v>
      </c>
      <c r="Z1836">
        <v>20</v>
      </c>
      <c r="AA1836">
        <v>0.16667000000000001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11</v>
      </c>
      <c r="AK1836">
        <v>0</v>
      </c>
      <c r="AL1836">
        <v>15</v>
      </c>
      <c r="AM1836">
        <v>12</v>
      </c>
      <c r="AN1836">
        <v>42</v>
      </c>
      <c r="AO1836">
        <v>11</v>
      </c>
      <c r="AP1836">
        <v>62</v>
      </c>
      <c r="AQ1836">
        <v>13</v>
      </c>
      <c r="AR1836" t="s">
        <v>9788</v>
      </c>
      <c r="AS1836" t="s">
        <v>9789</v>
      </c>
      <c r="AT1836">
        <v>0.19</v>
      </c>
      <c r="AU1836" t="s">
        <v>65</v>
      </c>
      <c r="AV1836">
        <v>104</v>
      </c>
      <c r="AW1836">
        <v>24</v>
      </c>
      <c r="AX1836" t="s">
        <v>9790</v>
      </c>
      <c r="AY1836">
        <v>0.12211</v>
      </c>
      <c r="AZ1836">
        <v>-8.3199999999999993E-3</v>
      </c>
      <c r="BA1836">
        <v>6.5100000000000002E-3</v>
      </c>
      <c r="BB1836">
        <v>-4.6999999999999999E-4</v>
      </c>
      <c r="BC1836">
        <v>5.3350000000000002E-2</v>
      </c>
      <c r="BD1836">
        <v>1</v>
      </c>
      <c r="BE1836" t="s">
        <v>69</v>
      </c>
      <c r="BF1836">
        <v>-1.466</v>
      </c>
      <c r="BG1836">
        <v>-0.79400000000000004</v>
      </c>
    </row>
    <row r="1837" spans="1:59">
      <c r="A1837">
        <v>0</v>
      </c>
      <c r="B1837">
        <v>2</v>
      </c>
      <c r="C1837">
        <v>4</v>
      </c>
      <c r="D1837" t="s">
        <v>25022</v>
      </c>
      <c r="E1837">
        <v>3396</v>
      </c>
      <c r="F1837" t="s">
        <v>19864</v>
      </c>
      <c r="G1837" t="s">
        <v>62</v>
      </c>
      <c r="H1837">
        <v>3363269</v>
      </c>
      <c r="I1837">
        <v>3364291</v>
      </c>
      <c r="J1837" t="s">
        <v>19865</v>
      </c>
      <c r="K1837">
        <v>341</v>
      </c>
      <c r="L1837" t="s">
        <v>59</v>
      </c>
      <c r="M1837">
        <v>49</v>
      </c>
      <c r="N1837" t="str">
        <f>HYPERLINK("Gene3396-zp_tree_all.dnd", "Gene3396-tree")</f>
        <v>Gene3396-tree</v>
      </c>
      <c r="O1837">
        <v>19</v>
      </c>
      <c r="P1837">
        <v>2</v>
      </c>
      <c r="Q1837">
        <v>19</v>
      </c>
      <c r="R1837">
        <v>2</v>
      </c>
      <c r="S1837">
        <v>9.5240000000000005E-2</v>
      </c>
      <c r="T1837" t="s">
        <v>587</v>
      </c>
      <c r="U1837" t="s">
        <v>81</v>
      </c>
      <c r="V1837" t="s">
        <v>62</v>
      </c>
      <c r="W1837" t="s">
        <v>62</v>
      </c>
      <c r="X1837">
        <v>3</v>
      </c>
      <c r="Y1837">
        <v>6</v>
      </c>
      <c r="Z1837">
        <v>9</v>
      </c>
      <c r="AA1837">
        <v>0.4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2</v>
      </c>
      <c r="AK1837">
        <v>0</v>
      </c>
      <c r="AL1837">
        <v>19</v>
      </c>
      <c r="AM1837">
        <v>17</v>
      </c>
      <c r="AN1837">
        <v>56</v>
      </c>
      <c r="AO1837">
        <v>2</v>
      </c>
      <c r="AP1837">
        <v>71</v>
      </c>
      <c r="AQ1837">
        <v>13</v>
      </c>
      <c r="AR1837" t="s">
        <v>19866</v>
      </c>
      <c r="AS1837" t="s">
        <v>19867</v>
      </c>
      <c r="AT1837">
        <v>0.61799999999999999</v>
      </c>
      <c r="AU1837" t="s">
        <v>65</v>
      </c>
      <c r="AV1837">
        <v>127</v>
      </c>
      <c r="AW1837">
        <v>15</v>
      </c>
      <c r="AX1837" t="s">
        <v>19868</v>
      </c>
      <c r="AY1837">
        <v>0.10403</v>
      </c>
      <c r="AZ1837">
        <v>-5.3499999999999997E-3</v>
      </c>
      <c r="BA1837">
        <v>4.1000000000000003E-3</v>
      </c>
      <c r="BB1837">
        <v>-2.9E-4</v>
      </c>
      <c r="BC1837">
        <v>3.9449999999999999E-2</v>
      </c>
      <c r="BD1837">
        <v>1</v>
      </c>
      <c r="BE1837" t="s">
        <v>69</v>
      </c>
      <c r="BF1837">
        <v>-1.052</v>
      </c>
      <c r="BG1837">
        <v>-0.42799999999999999</v>
      </c>
    </row>
    <row r="1838" spans="1:59">
      <c r="A1838">
        <v>0</v>
      </c>
      <c r="B1838">
        <v>0</v>
      </c>
      <c r="C1838">
        <v>0</v>
      </c>
      <c r="D1838" t="s">
        <v>25022</v>
      </c>
      <c r="E1838">
        <v>3805</v>
      </c>
      <c r="F1838" t="s">
        <v>22294</v>
      </c>
      <c r="G1838" t="s">
        <v>62</v>
      </c>
      <c r="H1838">
        <v>3772328</v>
      </c>
      <c r="I1838">
        <v>3773350</v>
      </c>
      <c r="J1838" t="s">
        <v>22295</v>
      </c>
      <c r="K1838">
        <v>341</v>
      </c>
      <c r="L1838" t="s">
        <v>108</v>
      </c>
      <c r="M1838">
        <v>44</v>
      </c>
      <c r="N1838" t="str">
        <f>HYPERLINK("Gene3805-zp_tree_all.dnd", "Gene3805-tree")</f>
        <v>Gene3805-tree</v>
      </c>
      <c r="O1838">
        <v>8</v>
      </c>
      <c r="P1838">
        <v>4</v>
      </c>
      <c r="Q1838">
        <v>8</v>
      </c>
      <c r="R1838">
        <v>4</v>
      </c>
      <c r="S1838">
        <v>0.33333000000000002</v>
      </c>
      <c r="T1838" t="s">
        <v>136</v>
      </c>
      <c r="U1838" t="s">
        <v>61</v>
      </c>
      <c r="V1838" t="s">
        <v>62</v>
      </c>
      <c r="W1838" t="s">
        <v>62</v>
      </c>
      <c r="X1838">
        <v>0</v>
      </c>
      <c r="Y1838">
        <v>0</v>
      </c>
      <c r="Z1838">
        <v>8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6</v>
      </c>
      <c r="AK1838">
        <v>0</v>
      </c>
      <c r="AL1838">
        <v>9</v>
      </c>
      <c r="AM1838">
        <v>8</v>
      </c>
      <c r="AN1838">
        <v>55</v>
      </c>
      <c r="AO1838">
        <v>6</v>
      </c>
      <c r="AP1838">
        <v>13</v>
      </c>
      <c r="AQ1838">
        <v>2</v>
      </c>
      <c r="AR1838" t="s">
        <v>22296</v>
      </c>
      <c r="AS1838" t="s">
        <v>22297</v>
      </c>
      <c r="AT1838">
        <v>0.2</v>
      </c>
      <c r="AU1838" t="s">
        <v>65</v>
      </c>
      <c r="AV1838">
        <v>68</v>
      </c>
      <c r="AW1838">
        <v>8</v>
      </c>
      <c r="AX1838" t="s">
        <v>22298</v>
      </c>
      <c r="AY1838">
        <v>6.0769999999999998E-2</v>
      </c>
      <c r="AZ1838">
        <v>-8.1899999999999994E-3</v>
      </c>
      <c r="BA1838">
        <v>2.0500000000000002E-3</v>
      </c>
      <c r="BB1838">
        <v>-2.3000000000000001E-4</v>
      </c>
      <c r="BC1838">
        <v>3.372E-2</v>
      </c>
      <c r="BD1838">
        <v>1</v>
      </c>
      <c r="BE1838" t="s">
        <v>69</v>
      </c>
      <c r="BF1838">
        <v>-1.819</v>
      </c>
      <c r="BG1838">
        <v>-4.3929999999999998</v>
      </c>
    </row>
    <row r="1839" spans="1:59">
      <c r="A1839">
        <v>0</v>
      </c>
      <c r="B1839">
        <v>19</v>
      </c>
      <c r="C1839">
        <v>4</v>
      </c>
      <c r="D1839" t="s">
        <v>25022</v>
      </c>
      <c r="E1839">
        <v>1120</v>
      </c>
      <c r="F1839" t="s">
        <v>7038</v>
      </c>
      <c r="G1839" t="s">
        <v>57</v>
      </c>
      <c r="H1839">
        <v>1164370</v>
      </c>
      <c r="I1839">
        <v>1165395</v>
      </c>
      <c r="J1839" t="s">
        <v>7039</v>
      </c>
      <c r="K1839">
        <v>342</v>
      </c>
      <c r="L1839" t="s">
        <v>108</v>
      </c>
      <c r="M1839">
        <v>44</v>
      </c>
      <c r="N1839" t="str">
        <f>HYPERLINK("Gene1120-zp_tree_all.dnd", "Gene1120-tree")</f>
        <v>Gene1120-tree</v>
      </c>
      <c r="O1839">
        <v>5</v>
      </c>
      <c r="P1839">
        <v>27</v>
      </c>
      <c r="Q1839">
        <v>5</v>
      </c>
      <c r="R1839">
        <v>10</v>
      </c>
      <c r="S1839">
        <v>0.66666999999999998</v>
      </c>
      <c r="T1839" t="s">
        <v>199</v>
      </c>
      <c r="U1839" t="s">
        <v>2980</v>
      </c>
      <c r="V1839">
        <v>2.2480000000000002</v>
      </c>
      <c r="W1839" t="s">
        <v>65</v>
      </c>
      <c r="X1839">
        <v>10</v>
      </c>
      <c r="Y1839">
        <v>23</v>
      </c>
      <c r="Z1839">
        <v>17</v>
      </c>
      <c r="AA1839">
        <v>0.57499999999999996</v>
      </c>
      <c r="AB1839">
        <v>0</v>
      </c>
      <c r="AC1839">
        <v>0</v>
      </c>
      <c r="AD1839">
        <v>0</v>
      </c>
      <c r="AE1839">
        <v>2</v>
      </c>
      <c r="AF1839">
        <v>0</v>
      </c>
      <c r="AG1839">
        <v>5</v>
      </c>
      <c r="AH1839">
        <v>0</v>
      </c>
      <c r="AI1839">
        <v>5</v>
      </c>
      <c r="AJ1839">
        <v>18</v>
      </c>
      <c r="AK1839">
        <v>0.21739</v>
      </c>
      <c r="AL1839">
        <v>14</v>
      </c>
      <c r="AM1839">
        <v>12</v>
      </c>
      <c r="AN1839">
        <v>44</v>
      </c>
      <c r="AO1839">
        <v>23</v>
      </c>
      <c r="AP1839">
        <v>55</v>
      </c>
      <c r="AQ1839">
        <v>18</v>
      </c>
      <c r="AR1839" t="s">
        <v>7040</v>
      </c>
      <c r="AS1839" t="s">
        <v>7041</v>
      </c>
      <c r="AT1839">
        <v>0.90200000000000002</v>
      </c>
      <c r="AU1839" t="s">
        <v>65</v>
      </c>
      <c r="AV1839">
        <v>99</v>
      </c>
      <c r="AW1839">
        <v>41</v>
      </c>
      <c r="AX1839" t="s">
        <v>7042</v>
      </c>
      <c r="AY1839">
        <v>8.5690000000000002E-2</v>
      </c>
      <c r="AZ1839">
        <v>-3.3E-3</v>
      </c>
      <c r="BA1839">
        <v>1.0500000000000001E-2</v>
      </c>
      <c r="BB1839">
        <v>-4.4999999999999999E-4</v>
      </c>
      <c r="BC1839">
        <v>0.12259</v>
      </c>
      <c r="BD1839">
        <v>1</v>
      </c>
      <c r="BE1839" t="s">
        <v>69</v>
      </c>
      <c r="BF1839">
        <v>0.17499999999999999</v>
      </c>
      <c r="BG1839">
        <v>0.92600000000000005</v>
      </c>
    </row>
    <row r="1840" spans="1:59">
      <c r="A1840">
        <v>0</v>
      </c>
      <c r="B1840">
        <v>16</v>
      </c>
      <c r="C1840">
        <v>0</v>
      </c>
      <c r="D1840" t="s">
        <v>25022</v>
      </c>
      <c r="E1840">
        <v>841</v>
      </c>
      <c r="F1840" t="s">
        <v>5248</v>
      </c>
      <c r="G1840" t="s">
        <v>57</v>
      </c>
      <c r="H1840">
        <v>880007</v>
      </c>
      <c r="I1840">
        <v>881032</v>
      </c>
      <c r="J1840" t="s">
        <v>5249</v>
      </c>
      <c r="K1840">
        <v>342</v>
      </c>
      <c r="L1840" t="s">
        <v>108</v>
      </c>
      <c r="M1840">
        <v>44</v>
      </c>
      <c r="N1840" t="str">
        <f>HYPERLINK("Gene841-zp_tree_all.dnd", "Gene841-tree")</f>
        <v>Gene841-tree</v>
      </c>
      <c r="O1840">
        <v>5</v>
      </c>
      <c r="P1840">
        <v>12</v>
      </c>
      <c r="Q1840">
        <v>5</v>
      </c>
      <c r="R1840">
        <v>12</v>
      </c>
      <c r="S1840">
        <v>0.70587999999999995</v>
      </c>
      <c r="T1840" t="s">
        <v>199</v>
      </c>
      <c r="U1840" t="s">
        <v>109</v>
      </c>
      <c r="V1840" t="s">
        <v>62</v>
      </c>
      <c r="W1840" t="s">
        <v>62</v>
      </c>
      <c r="X1840">
        <v>4</v>
      </c>
      <c r="Y1840">
        <v>16</v>
      </c>
      <c r="Z1840">
        <v>10</v>
      </c>
      <c r="AA1840">
        <v>0.61538000000000004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8</v>
      </c>
      <c r="AH1840">
        <v>0</v>
      </c>
      <c r="AI1840">
        <v>8</v>
      </c>
      <c r="AJ1840">
        <v>11</v>
      </c>
      <c r="AK1840">
        <v>0.42104999999999998</v>
      </c>
      <c r="AL1840">
        <v>15</v>
      </c>
      <c r="AM1840">
        <v>13</v>
      </c>
      <c r="AN1840">
        <v>51</v>
      </c>
      <c r="AO1840">
        <v>18</v>
      </c>
      <c r="AP1840">
        <v>46</v>
      </c>
      <c r="AQ1840">
        <v>8</v>
      </c>
      <c r="AR1840" t="s">
        <v>5250</v>
      </c>
      <c r="AS1840" t="s">
        <v>5251</v>
      </c>
      <c r="AT1840">
        <v>1.29</v>
      </c>
      <c r="AU1840" t="s">
        <v>65</v>
      </c>
      <c r="AV1840">
        <v>97</v>
      </c>
      <c r="AW1840">
        <v>26</v>
      </c>
      <c r="AX1840" t="s">
        <v>5252</v>
      </c>
      <c r="AY1840">
        <v>6.268E-2</v>
      </c>
      <c r="AZ1840">
        <v>-1.7700000000000001E-3</v>
      </c>
      <c r="BA1840">
        <v>3.81E-3</v>
      </c>
      <c r="BB1840">
        <v>-1.6000000000000001E-4</v>
      </c>
      <c r="BC1840">
        <v>6.071E-2</v>
      </c>
      <c r="BD1840">
        <v>1</v>
      </c>
      <c r="BE1840" t="s">
        <v>69</v>
      </c>
      <c r="BF1840">
        <v>-0.57399999999999995</v>
      </c>
      <c r="BG1840">
        <v>-1.4790000000000001</v>
      </c>
    </row>
    <row r="1841" spans="1:59">
      <c r="A1841">
        <v>0</v>
      </c>
      <c r="B1841">
        <v>3</v>
      </c>
      <c r="C1841">
        <v>0</v>
      </c>
      <c r="D1841" t="s">
        <v>25022</v>
      </c>
      <c r="E1841">
        <v>2886</v>
      </c>
      <c r="F1841" t="s">
        <v>16605</v>
      </c>
      <c r="G1841" t="s">
        <v>62</v>
      </c>
      <c r="H1841">
        <v>2833902</v>
      </c>
      <c r="I1841">
        <v>2834927</v>
      </c>
      <c r="J1841" t="s">
        <v>16606</v>
      </c>
      <c r="K1841">
        <v>342</v>
      </c>
      <c r="L1841" t="s">
        <v>108</v>
      </c>
      <c r="M1841">
        <v>44</v>
      </c>
      <c r="N1841" t="str">
        <f>HYPERLINK("Gene2886-zp_tree_all.dnd", "Gene2886-tree")</f>
        <v>Gene2886-tree</v>
      </c>
      <c r="O1841">
        <v>32</v>
      </c>
      <c r="P1841">
        <v>2</v>
      </c>
      <c r="Q1841">
        <v>10</v>
      </c>
      <c r="R1841">
        <v>2</v>
      </c>
      <c r="S1841">
        <v>0.16667000000000001</v>
      </c>
      <c r="T1841" t="s">
        <v>16607</v>
      </c>
      <c r="U1841" t="s">
        <v>81</v>
      </c>
      <c r="V1841" t="s">
        <v>62</v>
      </c>
      <c r="W1841" t="s">
        <v>62</v>
      </c>
      <c r="X1841">
        <v>1</v>
      </c>
      <c r="Y1841">
        <v>3</v>
      </c>
      <c r="Z1841">
        <v>3</v>
      </c>
      <c r="AA1841">
        <v>0.5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</v>
      </c>
      <c r="AK1841">
        <v>0</v>
      </c>
      <c r="AL1841">
        <v>9</v>
      </c>
      <c r="AM1841">
        <v>5</v>
      </c>
      <c r="AN1841">
        <v>24</v>
      </c>
      <c r="AO1841">
        <v>3</v>
      </c>
      <c r="AP1841">
        <v>13</v>
      </c>
      <c r="AQ1841">
        <v>3</v>
      </c>
      <c r="AR1841" t="s">
        <v>16608</v>
      </c>
      <c r="AS1841" t="s">
        <v>16609</v>
      </c>
      <c r="AT1841">
        <v>0.34399999999999997</v>
      </c>
      <c r="AU1841" t="s">
        <v>65</v>
      </c>
      <c r="AV1841">
        <v>37</v>
      </c>
      <c r="AW1841">
        <v>6</v>
      </c>
      <c r="AX1841" t="s">
        <v>16610</v>
      </c>
      <c r="AY1841">
        <v>3.517E-2</v>
      </c>
      <c r="AZ1841">
        <v>-2.6800000000000001E-3</v>
      </c>
      <c r="BA1841">
        <v>1.32E-3</v>
      </c>
      <c r="BB1841">
        <v>-1.6000000000000001E-4</v>
      </c>
      <c r="BC1841">
        <v>3.7560000000000003E-2</v>
      </c>
      <c r="BD1841">
        <v>1</v>
      </c>
      <c r="BE1841" t="s">
        <v>69</v>
      </c>
      <c r="BF1841">
        <v>-1.629</v>
      </c>
      <c r="BG1841">
        <v>-3.0939999999999999</v>
      </c>
    </row>
    <row r="1842" spans="1:59">
      <c r="A1842">
        <v>0</v>
      </c>
      <c r="B1842">
        <v>5</v>
      </c>
      <c r="C1842">
        <v>0</v>
      </c>
      <c r="D1842" t="s">
        <v>25022</v>
      </c>
      <c r="E1842">
        <v>1448</v>
      </c>
      <c r="F1842" t="s">
        <v>9070</v>
      </c>
      <c r="G1842" t="s">
        <v>57</v>
      </c>
      <c r="H1842">
        <v>1461770</v>
      </c>
      <c r="I1842">
        <v>1462795</v>
      </c>
      <c r="J1842" t="s">
        <v>9071</v>
      </c>
      <c r="K1842">
        <v>342</v>
      </c>
      <c r="L1842" t="s">
        <v>108</v>
      </c>
      <c r="M1842">
        <v>44</v>
      </c>
      <c r="N1842" t="str">
        <f>HYPERLINK("Gene1448-zp_tree_all.dnd", "Gene1448-tree")</f>
        <v>Gene1448-tree</v>
      </c>
      <c r="O1842">
        <v>32</v>
      </c>
      <c r="P1842">
        <v>4</v>
      </c>
      <c r="Q1842">
        <v>11</v>
      </c>
      <c r="R1842">
        <v>4</v>
      </c>
      <c r="S1842">
        <v>0.26667000000000002</v>
      </c>
      <c r="T1842" t="s">
        <v>9072</v>
      </c>
      <c r="U1842" t="s">
        <v>61</v>
      </c>
      <c r="V1842" t="s">
        <v>62</v>
      </c>
      <c r="W1842" t="s">
        <v>62</v>
      </c>
      <c r="X1842">
        <v>1</v>
      </c>
      <c r="Y1842">
        <v>5</v>
      </c>
      <c r="Z1842">
        <v>4</v>
      </c>
      <c r="AA1842">
        <v>0.55556000000000005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2</v>
      </c>
      <c r="AH1842">
        <v>0</v>
      </c>
      <c r="AI1842">
        <v>2</v>
      </c>
      <c r="AJ1842">
        <v>3</v>
      </c>
      <c r="AK1842">
        <v>0.4</v>
      </c>
      <c r="AL1842">
        <v>13</v>
      </c>
      <c r="AM1842">
        <v>9</v>
      </c>
      <c r="AN1842">
        <v>40</v>
      </c>
      <c r="AO1842">
        <v>5</v>
      </c>
      <c r="AP1842">
        <v>18</v>
      </c>
      <c r="AQ1842">
        <v>4</v>
      </c>
      <c r="AR1842" t="s">
        <v>9073</v>
      </c>
      <c r="AS1842" t="s">
        <v>9074</v>
      </c>
      <c r="AT1842">
        <v>0.59499999999999997</v>
      </c>
      <c r="AU1842" t="s">
        <v>65</v>
      </c>
      <c r="AV1842">
        <v>58</v>
      </c>
      <c r="AW1842">
        <v>9</v>
      </c>
      <c r="AX1842" t="s">
        <v>9075</v>
      </c>
      <c r="AY1842">
        <v>4.4519999999999997E-2</v>
      </c>
      <c r="AZ1842">
        <v>-1.31E-3</v>
      </c>
      <c r="BA1842">
        <v>1.4599999999999999E-3</v>
      </c>
      <c r="BB1842">
        <v>-1.2E-4</v>
      </c>
      <c r="BC1842">
        <v>3.2849999999999997E-2</v>
      </c>
      <c r="BD1842">
        <v>1</v>
      </c>
      <c r="BE1842" t="s">
        <v>69</v>
      </c>
      <c r="BF1842">
        <v>-0.158</v>
      </c>
      <c r="BG1842">
        <v>-0.20899999999999999</v>
      </c>
    </row>
    <row r="1843" spans="1:59">
      <c r="A1843">
        <v>0</v>
      </c>
      <c r="B1843">
        <v>0</v>
      </c>
      <c r="C1843">
        <v>0</v>
      </c>
      <c r="D1843" t="s">
        <v>25022</v>
      </c>
      <c r="E1843">
        <v>2946</v>
      </c>
      <c r="F1843" t="s">
        <v>16984</v>
      </c>
      <c r="G1843" t="s">
        <v>62</v>
      </c>
      <c r="H1843">
        <v>2893684</v>
      </c>
      <c r="I1843">
        <v>2894709</v>
      </c>
      <c r="J1843" t="s">
        <v>16985</v>
      </c>
      <c r="K1843">
        <v>342</v>
      </c>
      <c r="L1843" t="s">
        <v>214</v>
      </c>
      <c r="M1843">
        <v>48</v>
      </c>
      <c r="N1843" t="str">
        <f>HYPERLINK("Gene2946-zp_tree_all.dnd", "Gene2946-tree")</f>
        <v>Gene2946-tree</v>
      </c>
      <c r="O1843">
        <v>19</v>
      </c>
      <c r="P1843">
        <v>4</v>
      </c>
      <c r="Q1843">
        <v>15</v>
      </c>
      <c r="R1843">
        <v>4</v>
      </c>
      <c r="S1843">
        <v>0.21052999999999999</v>
      </c>
      <c r="T1843" t="s">
        <v>16986</v>
      </c>
      <c r="U1843" t="s">
        <v>61</v>
      </c>
      <c r="V1843" t="s">
        <v>62</v>
      </c>
      <c r="W1843" t="s">
        <v>62</v>
      </c>
      <c r="X1843">
        <v>0</v>
      </c>
      <c r="Y1843">
        <v>0</v>
      </c>
      <c r="Z1843">
        <v>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4</v>
      </c>
      <c r="AK1843">
        <v>0</v>
      </c>
      <c r="AL1843">
        <v>16</v>
      </c>
      <c r="AM1843">
        <v>15</v>
      </c>
      <c r="AN1843">
        <v>64</v>
      </c>
      <c r="AO1843">
        <v>4</v>
      </c>
      <c r="AP1843">
        <v>83</v>
      </c>
      <c r="AQ1843">
        <v>1</v>
      </c>
      <c r="AR1843" t="s">
        <v>16987</v>
      </c>
      <c r="AS1843" t="s">
        <v>16988</v>
      </c>
      <c r="AT1843">
        <v>0.66800000000000004</v>
      </c>
      <c r="AU1843" t="s">
        <v>65</v>
      </c>
      <c r="AV1843">
        <v>147</v>
      </c>
      <c r="AW1843">
        <v>5</v>
      </c>
      <c r="AX1843" t="s">
        <v>16989</v>
      </c>
      <c r="AY1843">
        <v>0.12224</v>
      </c>
      <c r="AZ1843">
        <v>-6.8500000000000002E-3</v>
      </c>
      <c r="BA1843">
        <v>8.9999999999999998E-4</v>
      </c>
      <c r="BB1843">
        <v>-8.0000000000000007E-5</v>
      </c>
      <c r="BC1843">
        <v>7.3899999999999999E-3</v>
      </c>
      <c r="BD1843">
        <v>1</v>
      </c>
      <c r="BE1843" t="s">
        <v>69</v>
      </c>
      <c r="BF1843">
        <v>-0.745</v>
      </c>
      <c r="BG1843">
        <v>-1.4450000000000001</v>
      </c>
    </row>
    <row r="1844" spans="1:59">
      <c r="A1844">
        <v>0</v>
      </c>
      <c r="B1844">
        <v>28</v>
      </c>
      <c r="C1844">
        <v>0</v>
      </c>
      <c r="D1844" t="s">
        <v>25022</v>
      </c>
      <c r="E1844">
        <v>2467</v>
      </c>
      <c r="F1844" t="s">
        <v>14372</v>
      </c>
      <c r="G1844" t="s">
        <v>62</v>
      </c>
      <c r="H1844">
        <v>2462196</v>
      </c>
      <c r="I1844">
        <v>2463224</v>
      </c>
      <c r="J1844" t="s">
        <v>116</v>
      </c>
      <c r="K1844">
        <v>343</v>
      </c>
      <c r="L1844" t="s">
        <v>108</v>
      </c>
      <c r="M1844">
        <v>44</v>
      </c>
      <c r="N1844" t="str">
        <f>HYPERLINK("Gene2467-zp_tree_all.dnd", "Gene2467-tree")</f>
        <v>Gene2467-tree</v>
      </c>
      <c r="O1844">
        <v>1</v>
      </c>
      <c r="P1844">
        <v>13</v>
      </c>
      <c r="Q1844">
        <v>1</v>
      </c>
      <c r="R1844">
        <v>13</v>
      </c>
      <c r="S1844">
        <v>0.92857000000000001</v>
      </c>
      <c r="T1844" t="s">
        <v>175</v>
      </c>
      <c r="U1844" t="s">
        <v>507</v>
      </c>
      <c r="V1844" t="s">
        <v>62</v>
      </c>
      <c r="W1844" t="s">
        <v>62</v>
      </c>
      <c r="X1844">
        <v>10</v>
      </c>
      <c r="Y1844">
        <v>28</v>
      </c>
      <c r="Z1844">
        <v>13</v>
      </c>
      <c r="AA1844">
        <v>0.68293000000000004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20</v>
      </c>
      <c r="AH1844">
        <v>1</v>
      </c>
      <c r="AI1844">
        <v>21</v>
      </c>
      <c r="AJ1844">
        <v>10</v>
      </c>
      <c r="AK1844">
        <v>0.67742000000000002</v>
      </c>
      <c r="AL1844">
        <v>14</v>
      </c>
      <c r="AM1844">
        <v>9</v>
      </c>
      <c r="AN1844">
        <v>28</v>
      </c>
      <c r="AO1844">
        <v>31</v>
      </c>
      <c r="AP1844">
        <v>13</v>
      </c>
      <c r="AQ1844">
        <v>10</v>
      </c>
      <c r="AR1844" t="s">
        <v>14373</v>
      </c>
      <c r="AS1844" t="s">
        <v>14374</v>
      </c>
      <c r="AT1844">
        <v>0.40100000000000002</v>
      </c>
      <c r="AU1844" t="s">
        <v>65</v>
      </c>
      <c r="AV1844">
        <v>41</v>
      </c>
      <c r="AW1844">
        <v>41</v>
      </c>
      <c r="AX1844" t="s">
        <v>14375</v>
      </c>
      <c r="AY1844">
        <v>3.5650000000000001E-2</v>
      </c>
      <c r="AZ1844">
        <v>-1.9E-3</v>
      </c>
      <c r="BA1844">
        <v>8.3800000000000003E-3</v>
      </c>
      <c r="BB1844">
        <v>-3.1E-4</v>
      </c>
      <c r="BC1844">
        <v>0.23497999999999999</v>
      </c>
      <c r="BD1844">
        <v>1</v>
      </c>
      <c r="BE1844" t="s">
        <v>69</v>
      </c>
      <c r="BF1844">
        <v>-0.13200000000000001</v>
      </c>
      <c r="BG1844">
        <v>-0.36899999999999999</v>
      </c>
    </row>
    <row r="1845" spans="1:59">
      <c r="A1845">
        <v>0</v>
      </c>
      <c r="B1845">
        <v>5</v>
      </c>
      <c r="C1845">
        <v>0</v>
      </c>
      <c r="D1845" t="s">
        <v>25022</v>
      </c>
      <c r="E1845">
        <v>3810</v>
      </c>
      <c r="F1845" t="s">
        <v>22324</v>
      </c>
      <c r="G1845" t="s">
        <v>62</v>
      </c>
      <c r="H1845">
        <v>3776725</v>
      </c>
      <c r="I1845">
        <v>3777753</v>
      </c>
      <c r="J1845" t="s">
        <v>22325</v>
      </c>
      <c r="K1845">
        <v>343</v>
      </c>
      <c r="L1845" t="s">
        <v>108</v>
      </c>
      <c r="M1845">
        <v>44</v>
      </c>
      <c r="N1845" t="str">
        <f>HYPERLINK("Gene3810-zp_tree_all.dnd", "Gene3810-tree")</f>
        <v>Gene3810-tree</v>
      </c>
      <c r="O1845">
        <v>7</v>
      </c>
      <c r="P1845">
        <v>9</v>
      </c>
      <c r="Q1845">
        <v>7</v>
      </c>
      <c r="R1845">
        <v>9</v>
      </c>
      <c r="S1845">
        <v>0.5625</v>
      </c>
      <c r="T1845" t="s">
        <v>152</v>
      </c>
      <c r="U1845" t="s">
        <v>135</v>
      </c>
      <c r="V1845" t="s">
        <v>62</v>
      </c>
      <c r="W1845" t="s">
        <v>62</v>
      </c>
      <c r="X1845">
        <v>2</v>
      </c>
      <c r="Y1845">
        <v>5</v>
      </c>
      <c r="Z1845">
        <v>12</v>
      </c>
      <c r="AA1845">
        <v>0.29411999999999999</v>
      </c>
      <c r="AB1845">
        <v>0</v>
      </c>
      <c r="AC1845">
        <v>0</v>
      </c>
      <c r="AD1845">
        <v>0</v>
      </c>
      <c r="AE1845">
        <v>2</v>
      </c>
      <c r="AF1845">
        <v>0</v>
      </c>
      <c r="AG1845">
        <v>0</v>
      </c>
      <c r="AH1845">
        <v>0</v>
      </c>
      <c r="AI1845">
        <v>0</v>
      </c>
      <c r="AJ1845">
        <v>10</v>
      </c>
      <c r="AK1845">
        <v>0</v>
      </c>
      <c r="AL1845">
        <v>14</v>
      </c>
      <c r="AM1845">
        <v>8</v>
      </c>
      <c r="AN1845">
        <v>19</v>
      </c>
      <c r="AO1845">
        <v>10</v>
      </c>
      <c r="AP1845">
        <v>20</v>
      </c>
      <c r="AQ1845">
        <v>7</v>
      </c>
      <c r="AR1845" t="s">
        <v>22326</v>
      </c>
      <c r="AS1845" t="s">
        <v>22327</v>
      </c>
      <c r="AT1845">
        <v>0.61799999999999999</v>
      </c>
      <c r="AU1845" t="s">
        <v>65</v>
      </c>
      <c r="AV1845">
        <v>39</v>
      </c>
      <c r="AW1845">
        <v>17</v>
      </c>
      <c r="AX1845" t="s">
        <v>22328</v>
      </c>
      <c r="AY1845">
        <v>3.2739999999999998E-2</v>
      </c>
      <c r="AZ1845">
        <v>-1.2800000000000001E-3</v>
      </c>
      <c r="BA1845">
        <v>4.4299999999999999E-3</v>
      </c>
      <c r="BB1845">
        <v>-2.3000000000000001E-4</v>
      </c>
      <c r="BC1845">
        <v>0.13533000000000001</v>
      </c>
      <c r="BD1845">
        <v>1</v>
      </c>
      <c r="BE1845" t="s">
        <v>69</v>
      </c>
      <c r="BF1845">
        <v>-0.313</v>
      </c>
      <c r="BG1845">
        <v>-0.25600000000000001</v>
      </c>
    </row>
    <row r="1846" spans="1:59">
      <c r="A1846">
        <v>0</v>
      </c>
      <c r="B1846">
        <v>5</v>
      </c>
      <c r="C1846">
        <v>0</v>
      </c>
      <c r="D1846" t="s">
        <v>25022</v>
      </c>
      <c r="E1846">
        <v>4145</v>
      </c>
      <c r="F1846" t="s">
        <v>24395</v>
      </c>
      <c r="G1846" t="s">
        <v>62</v>
      </c>
      <c r="H1846">
        <v>4110952</v>
      </c>
      <c r="I1846">
        <v>4111980</v>
      </c>
      <c r="J1846" t="s">
        <v>24396</v>
      </c>
      <c r="K1846">
        <v>343</v>
      </c>
      <c r="L1846" t="s">
        <v>108</v>
      </c>
      <c r="M1846">
        <v>44</v>
      </c>
      <c r="N1846" t="str">
        <f>HYPERLINK("Gene4145-zp_tree_all.dnd", "Gene4145-tree")</f>
        <v>Gene4145-tree</v>
      </c>
      <c r="O1846">
        <v>9</v>
      </c>
      <c r="P1846">
        <v>5</v>
      </c>
      <c r="Q1846">
        <v>9</v>
      </c>
      <c r="R1846">
        <v>5</v>
      </c>
      <c r="S1846">
        <v>0.35714000000000001</v>
      </c>
      <c r="T1846" t="s">
        <v>135</v>
      </c>
      <c r="U1846" t="s">
        <v>199</v>
      </c>
      <c r="V1846" t="s">
        <v>62</v>
      </c>
      <c r="W1846" t="s">
        <v>62</v>
      </c>
      <c r="X1846">
        <v>2</v>
      </c>
      <c r="Y1846">
        <v>5</v>
      </c>
      <c r="Z1846">
        <v>11</v>
      </c>
      <c r="AA1846">
        <v>0.3125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</v>
      </c>
      <c r="AH1846">
        <v>0</v>
      </c>
      <c r="AI1846">
        <v>2</v>
      </c>
      <c r="AJ1846">
        <v>10</v>
      </c>
      <c r="AK1846">
        <v>0.16667000000000001</v>
      </c>
      <c r="AL1846">
        <v>10</v>
      </c>
      <c r="AM1846">
        <v>9</v>
      </c>
      <c r="AN1846">
        <v>41</v>
      </c>
      <c r="AO1846">
        <v>11</v>
      </c>
      <c r="AP1846">
        <v>12</v>
      </c>
      <c r="AQ1846">
        <v>5</v>
      </c>
      <c r="AR1846" t="s">
        <v>24397</v>
      </c>
      <c r="AS1846" t="s">
        <v>24398</v>
      </c>
      <c r="AT1846">
        <v>0.35799999999999998</v>
      </c>
      <c r="AU1846" t="s">
        <v>65</v>
      </c>
      <c r="AV1846">
        <v>53</v>
      </c>
      <c r="AW1846">
        <v>16</v>
      </c>
      <c r="AX1846" t="s">
        <v>24399</v>
      </c>
      <c r="AY1846">
        <v>4.1889999999999997E-2</v>
      </c>
      <c r="AZ1846">
        <v>-2.6199999999999999E-3</v>
      </c>
      <c r="BA1846">
        <v>3.5300000000000002E-3</v>
      </c>
      <c r="BB1846">
        <v>-2.7E-4</v>
      </c>
      <c r="BC1846">
        <v>8.4250000000000005E-2</v>
      </c>
      <c r="BD1846">
        <v>1</v>
      </c>
      <c r="BE1846" t="s">
        <v>69</v>
      </c>
      <c r="BF1846">
        <v>-1.1200000000000001</v>
      </c>
      <c r="BG1846">
        <v>-1.9450000000000001</v>
      </c>
    </row>
    <row r="1847" spans="1:59">
      <c r="A1847">
        <v>0</v>
      </c>
      <c r="B1847">
        <v>7</v>
      </c>
      <c r="C1847">
        <v>0</v>
      </c>
      <c r="D1847" t="s">
        <v>25022</v>
      </c>
      <c r="E1847">
        <v>879</v>
      </c>
      <c r="F1847" t="s">
        <v>5489</v>
      </c>
      <c r="G1847" t="s">
        <v>57</v>
      </c>
      <c r="H1847">
        <v>921472</v>
      </c>
      <c r="I1847">
        <v>922500</v>
      </c>
      <c r="J1847" t="s">
        <v>5483</v>
      </c>
      <c r="K1847">
        <v>343</v>
      </c>
      <c r="L1847" t="s">
        <v>108</v>
      </c>
      <c r="M1847">
        <v>44</v>
      </c>
      <c r="N1847" t="str">
        <f>HYPERLINK("Gene879-zp_tree_all.dnd", "Gene879-tree")</f>
        <v>Gene879-tree</v>
      </c>
      <c r="O1847">
        <v>9</v>
      </c>
      <c r="P1847">
        <v>6</v>
      </c>
      <c r="Q1847">
        <v>9</v>
      </c>
      <c r="R1847">
        <v>6</v>
      </c>
      <c r="S1847">
        <v>0.4</v>
      </c>
      <c r="T1847" t="s">
        <v>135</v>
      </c>
      <c r="U1847" t="s">
        <v>90</v>
      </c>
      <c r="V1847" t="s">
        <v>62</v>
      </c>
      <c r="W1847" t="s">
        <v>62</v>
      </c>
      <c r="X1847">
        <v>2</v>
      </c>
      <c r="Y1847">
        <v>7</v>
      </c>
      <c r="Z1847">
        <v>6</v>
      </c>
      <c r="AA1847">
        <v>0.53846000000000005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4</v>
      </c>
      <c r="AH1847">
        <v>0</v>
      </c>
      <c r="AI1847">
        <v>4</v>
      </c>
      <c r="AJ1847">
        <v>6</v>
      </c>
      <c r="AK1847">
        <v>0.4</v>
      </c>
      <c r="AL1847">
        <v>12</v>
      </c>
      <c r="AM1847">
        <v>11</v>
      </c>
      <c r="AN1847">
        <v>24</v>
      </c>
      <c r="AO1847">
        <v>10</v>
      </c>
      <c r="AP1847">
        <v>22</v>
      </c>
      <c r="AQ1847">
        <v>3</v>
      </c>
      <c r="AR1847" t="s">
        <v>5490</v>
      </c>
      <c r="AS1847" t="s">
        <v>5491</v>
      </c>
      <c r="AT1847">
        <v>1.1160000000000001</v>
      </c>
      <c r="AU1847" t="s">
        <v>65</v>
      </c>
      <c r="AV1847">
        <v>46</v>
      </c>
      <c r="AW1847">
        <v>13</v>
      </c>
      <c r="AX1847" t="s">
        <v>5492</v>
      </c>
      <c r="AY1847">
        <v>3.4090000000000002E-2</v>
      </c>
      <c r="AZ1847">
        <v>-1.17E-3</v>
      </c>
      <c r="BA1847">
        <v>2.0899999999999998E-3</v>
      </c>
      <c r="BB1847">
        <v>-1.4999999999999999E-4</v>
      </c>
      <c r="BC1847">
        <v>6.1260000000000002E-2</v>
      </c>
      <c r="BD1847">
        <v>1</v>
      </c>
      <c r="BE1847" t="s">
        <v>69</v>
      </c>
      <c r="BF1847">
        <v>-0.86699999999999999</v>
      </c>
      <c r="BG1847">
        <v>-1.3979999999999999</v>
      </c>
    </row>
    <row r="1848" spans="1:59">
      <c r="A1848">
        <v>0</v>
      </c>
      <c r="B1848">
        <v>8</v>
      </c>
      <c r="C1848">
        <v>0</v>
      </c>
      <c r="D1848" t="s">
        <v>25022</v>
      </c>
      <c r="E1848">
        <v>3212</v>
      </c>
      <c r="F1848" t="s">
        <v>18709</v>
      </c>
      <c r="G1848" t="s">
        <v>62</v>
      </c>
      <c r="H1848">
        <v>3167572</v>
      </c>
      <c r="I1848">
        <v>3168600</v>
      </c>
      <c r="J1848" t="s">
        <v>18710</v>
      </c>
      <c r="K1848">
        <v>343</v>
      </c>
      <c r="L1848" t="s">
        <v>289</v>
      </c>
      <c r="M1848">
        <v>46</v>
      </c>
      <c r="N1848" t="str">
        <f>HYPERLINK("Gene3212-zp_tree_all.dnd", "Gene3212-tree")</f>
        <v>Gene3212-tree</v>
      </c>
      <c r="O1848">
        <v>9</v>
      </c>
      <c r="P1848">
        <v>8</v>
      </c>
      <c r="Q1848">
        <v>9</v>
      </c>
      <c r="R1848">
        <v>8</v>
      </c>
      <c r="S1848">
        <v>0.47059000000000001</v>
      </c>
      <c r="T1848" t="s">
        <v>135</v>
      </c>
      <c r="U1848" t="s">
        <v>136</v>
      </c>
      <c r="V1848" t="s">
        <v>62</v>
      </c>
      <c r="W1848" t="s">
        <v>62</v>
      </c>
      <c r="X1848">
        <v>4</v>
      </c>
      <c r="Y1848">
        <v>8</v>
      </c>
      <c r="Z1848">
        <v>11</v>
      </c>
      <c r="AA1848">
        <v>0.42104999999999998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2</v>
      </c>
      <c r="AH1848">
        <v>0</v>
      </c>
      <c r="AI1848">
        <v>2</v>
      </c>
      <c r="AJ1848">
        <v>8</v>
      </c>
      <c r="AK1848">
        <v>0.2</v>
      </c>
      <c r="AL1848">
        <v>14</v>
      </c>
      <c r="AM1848">
        <v>9</v>
      </c>
      <c r="AN1848">
        <v>46</v>
      </c>
      <c r="AO1848">
        <v>10</v>
      </c>
      <c r="AP1848">
        <v>62</v>
      </c>
      <c r="AQ1848">
        <v>9</v>
      </c>
      <c r="AR1848" t="s">
        <v>18711</v>
      </c>
      <c r="AS1848" t="s">
        <v>18712</v>
      </c>
      <c r="AT1848">
        <v>0.32300000000000001</v>
      </c>
      <c r="AU1848" t="s">
        <v>65</v>
      </c>
      <c r="AV1848">
        <v>108</v>
      </c>
      <c r="AW1848">
        <v>19</v>
      </c>
      <c r="AX1848" t="s">
        <v>18713</v>
      </c>
      <c r="AY1848">
        <v>8.8279999999999997E-2</v>
      </c>
      <c r="AZ1848">
        <v>-7.0099999999999997E-3</v>
      </c>
      <c r="BA1848">
        <v>3.7100000000000002E-3</v>
      </c>
      <c r="BB1848">
        <v>-2.4000000000000001E-4</v>
      </c>
      <c r="BC1848">
        <v>4.206E-2</v>
      </c>
      <c r="BD1848">
        <v>1</v>
      </c>
      <c r="BE1848" t="s">
        <v>69</v>
      </c>
      <c r="BF1848">
        <v>-1.5089999999999999</v>
      </c>
      <c r="BG1848">
        <v>-0.85899999999999999</v>
      </c>
    </row>
    <row r="1849" spans="1:59">
      <c r="A1849">
        <v>0</v>
      </c>
      <c r="B1849">
        <v>0</v>
      </c>
      <c r="C1849">
        <v>0</v>
      </c>
      <c r="D1849" t="s">
        <v>25022</v>
      </c>
      <c r="E1849">
        <v>2652</v>
      </c>
      <c r="F1849" t="s">
        <v>15544</v>
      </c>
      <c r="G1849" t="s">
        <v>62</v>
      </c>
      <c r="H1849">
        <v>2628609</v>
      </c>
      <c r="I1849">
        <v>2629637</v>
      </c>
      <c r="J1849" t="s">
        <v>15545</v>
      </c>
      <c r="K1849">
        <v>343</v>
      </c>
      <c r="L1849" t="s">
        <v>572</v>
      </c>
      <c r="M1849">
        <v>48</v>
      </c>
      <c r="N1849" t="str">
        <f>HYPERLINK("Gene2652-zp_tree_all.dnd", "Gene2652-tree")</f>
        <v>Gene2652-tree</v>
      </c>
      <c r="O1849">
        <v>12</v>
      </c>
      <c r="P1849">
        <v>3</v>
      </c>
      <c r="Q1849">
        <v>12</v>
      </c>
      <c r="R1849">
        <v>3</v>
      </c>
      <c r="S1849">
        <v>0.2</v>
      </c>
      <c r="T1849" t="s">
        <v>109</v>
      </c>
      <c r="U1849" t="s">
        <v>324</v>
      </c>
      <c r="V1849" t="s">
        <v>62</v>
      </c>
      <c r="W1849" t="s">
        <v>62</v>
      </c>
      <c r="X1849">
        <v>0</v>
      </c>
      <c r="Y1849">
        <v>0</v>
      </c>
      <c r="Z1849">
        <v>6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5</v>
      </c>
      <c r="AK1849">
        <v>0</v>
      </c>
      <c r="AL1849">
        <v>14</v>
      </c>
      <c r="AM1849">
        <v>8</v>
      </c>
      <c r="AN1849">
        <v>55</v>
      </c>
      <c r="AO1849">
        <v>6</v>
      </c>
      <c r="AP1849">
        <v>42</v>
      </c>
      <c r="AQ1849">
        <v>1</v>
      </c>
      <c r="AR1849" t="s">
        <v>15546</v>
      </c>
      <c r="AS1849" t="s">
        <v>15547</v>
      </c>
      <c r="AT1849">
        <v>0.442</v>
      </c>
      <c r="AU1849" t="s">
        <v>65</v>
      </c>
      <c r="AV1849">
        <v>97</v>
      </c>
      <c r="AW1849">
        <v>7</v>
      </c>
      <c r="AX1849" t="s">
        <v>15548</v>
      </c>
      <c r="AY1849">
        <v>0.10281</v>
      </c>
      <c r="AZ1849">
        <v>-8.3999999999999995E-3</v>
      </c>
      <c r="BA1849">
        <v>1.4E-3</v>
      </c>
      <c r="BB1849">
        <v>-1.4999999999999999E-4</v>
      </c>
      <c r="BC1849">
        <v>1.366E-2</v>
      </c>
      <c r="BD1849">
        <v>1</v>
      </c>
      <c r="BE1849" t="s">
        <v>69</v>
      </c>
      <c r="BF1849">
        <v>-1.623</v>
      </c>
      <c r="BG1849">
        <v>-1.847</v>
      </c>
    </row>
    <row r="1850" spans="1:59">
      <c r="A1850">
        <v>3</v>
      </c>
      <c r="B1850">
        <v>38</v>
      </c>
      <c r="C1850">
        <v>7</v>
      </c>
      <c r="D1850" t="s">
        <v>25022</v>
      </c>
      <c r="E1850">
        <v>3554</v>
      </c>
      <c r="F1850" t="s">
        <v>2956</v>
      </c>
      <c r="G1850" t="s">
        <v>62</v>
      </c>
      <c r="H1850">
        <v>3519002</v>
      </c>
      <c r="I1850">
        <v>3520033</v>
      </c>
      <c r="J1850" t="s">
        <v>20837</v>
      </c>
      <c r="K1850">
        <v>344</v>
      </c>
      <c r="L1850" t="s">
        <v>4013</v>
      </c>
      <c r="M1850">
        <v>43</v>
      </c>
      <c r="N1850" t="str">
        <f>HYPERLINK("Gene3554-zp_tree_all.dnd", "Gene3554-tree")</f>
        <v>Gene3554-tree</v>
      </c>
      <c r="O1850">
        <v>22</v>
      </c>
      <c r="P1850">
        <v>13</v>
      </c>
      <c r="Q1850">
        <v>4</v>
      </c>
      <c r="R1850">
        <v>13</v>
      </c>
      <c r="S1850">
        <v>0.76471</v>
      </c>
      <c r="T1850" t="s">
        <v>2634</v>
      </c>
      <c r="U1850" t="s">
        <v>507</v>
      </c>
      <c r="V1850" t="s">
        <v>62</v>
      </c>
      <c r="W1850" t="s">
        <v>62</v>
      </c>
      <c r="X1850">
        <v>19</v>
      </c>
      <c r="Y1850">
        <v>48</v>
      </c>
      <c r="Z1850">
        <v>19</v>
      </c>
      <c r="AA1850">
        <v>0.71641999999999995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14</v>
      </c>
      <c r="AH1850">
        <v>8</v>
      </c>
      <c r="AI1850">
        <v>22</v>
      </c>
      <c r="AJ1850">
        <v>21</v>
      </c>
      <c r="AK1850">
        <v>0.51163000000000003</v>
      </c>
      <c r="AL1850">
        <v>15</v>
      </c>
      <c r="AM1850">
        <v>14</v>
      </c>
      <c r="AN1850">
        <v>37</v>
      </c>
      <c r="AO1850">
        <v>42</v>
      </c>
      <c r="AP1850">
        <v>29</v>
      </c>
      <c r="AQ1850">
        <v>25</v>
      </c>
      <c r="AR1850" t="s">
        <v>20838</v>
      </c>
      <c r="AS1850" t="s">
        <v>20839</v>
      </c>
      <c r="AT1850">
        <v>0.55000000000000004</v>
      </c>
      <c r="AU1850" t="s">
        <v>65</v>
      </c>
      <c r="AV1850">
        <v>66</v>
      </c>
      <c r="AW1850">
        <v>67</v>
      </c>
      <c r="AX1850" t="s">
        <v>20840</v>
      </c>
      <c r="AY1850">
        <v>5.1839999999999997E-2</v>
      </c>
      <c r="AZ1850">
        <v>-1.6199999999999999E-3</v>
      </c>
      <c r="BA1850">
        <v>1.4460000000000001E-2</v>
      </c>
      <c r="BB1850">
        <v>-4.2000000000000002E-4</v>
      </c>
      <c r="BC1850">
        <v>0.27892</v>
      </c>
      <c r="BD1850">
        <v>1</v>
      </c>
      <c r="BE1850" t="s">
        <v>69</v>
      </c>
      <c r="BF1850">
        <v>-4.9000000000000002E-2</v>
      </c>
      <c r="BG1850">
        <v>-0.86</v>
      </c>
    </row>
    <row r="1851" spans="1:59">
      <c r="A1851">
        <v>0</v>
      </c>
      <c r="B1851">
        <v>12</v>
      </c>
      <c r="C1851">
        <v>3</v>
      </c>
      <c r="D1851" t="s">
        <v>25022</v>
      </c>
      <c r="E1851">
        <v>1925</v>
      </c>
      <c r="F1851" t="s">
        <v>12062</v>
      </c>
      <c r="G1851" t="s">
        <v>62</v>
      </c>
      <c r="H1851">
        <v>2024045</v>
      </c>
      <c r="I1851">
        <v>2025076</v>
      </c>
      <c r="J1851" t="s">
        <v>12063</v>
      </c>
      <c r="K1851">
        <v>344</v>
      </c>
      <c r="L1851" t="s">
        <v>12064</v>
      </c>
      <c r="M1851">
        <v>33</v>
      </c>
      <c r="N1851" t="str">
        <f>HYPERLINK("Gene1925-zp_tree_all.dnd", "Gene1925-tree")</f>
        <v>Gene1925-tree</v>
      </c>
      <c r="O1851">
        <v>2</v>
      </c>
      <c r="P1851">
        <v>8</v>
      </c>
      <c r="Q1851">
        <v>2</v>
      </c>
      <c r="R1851">
        <v>8</v>
      </c>
      <c r="S1851">
        <v>0.8</v>
      </c>
      <c r="T1851" t="s">
        <v>81</v>
      </c>
      <c r="U1851" t="s">
        <v>136</v>
      </c>
      <c r="V1851" t="s">
        <v>62</v>
      </c>
      <c r="W1851" t="s">
        <v>62</v>
      </c>
      <c r="X1851">
        <v>7</v>
      </c>
      <c r="Y1851">
        <v>15</v>
      </c>
      <c r="Z1851">
        <v>20</v>
      </c>
      <c r="AA1851">
        <v>0.42857000000000001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6</v>
      </c>
      <c r="AH1851">
        <v>3</v>
      </c>
      <c r="AI1851">
        <v>9</v>
      </c>
      <c r="AJ1851">
        <v>16</v>
      </c>
      <c r="AK1851">
        <v>0.36</v>
      </c>
      <c r="AL1851">
        <v>9</v>
      </c>
      <c r="AM1851">
        <v>7</v>
      </c>
      <c r="AN1851">
        <v>22</v>
      </c>
      <c r="AO1851">
        <v>23</v>
      </c>
      <c r="AP1851">
        <v>30</v>
      </c>
      <c r="AQ1851">
        <v>12</v>
      </c>
      <c r="AR1851" t="s">
        <v>12065</v>
      </c>
      <c r="AS1851" t="s">
        <v>12066</v>
      </c>
      <c r="AT1851">
        <v>0.748</v>
      </c>
      <c r="AU1851" t="s">
        <v>65</v>
      </c>
      <c r="AV1851">
        <v>52</v>
      </c>
      <c r="AW1851">
        <v>35</v>
      </c>
      <c r="AX1851" t="s">
        <v>12067</v>
      </c>
      <c r="AY1851">
        <v>6.0670000000000002E-2</v>
      </c>
      <c r="AZ1851">
        <v>-6.1599999999999997E-3</v>
      </c>
      <c r="BA1851">
        <v>1.1610000000000001E-2</v>
      </c>
      <c r="BB1851">
        <v>-7.1000000000000002E-4</v>
      </c>
      <c r="BC1851">
        <v>0.1913</v>
      </c>
      <c r="BD1851">
        <v>1</v>
      </c>
      <c r="BE1851" t="s">
        <v>69</v>
      </c>
      <c r="BF1851">
        <v>1.6180000000000001</v>
      </c>
      <c r="BG1851">
        <v>0.99199999999999999</v>
      </c>
    </row>
    <row r="1852" spans="1:59">
      <c r="A1852">
        <v>2</v>
      </c>
      <c r="B1852">
        <v>8</v>
      </c>
      <c r="C1852">
        <v>5</v>
      </c>
      <c r="D1852" t="s">
        <v>25022</v>
      </c>
      <c r="E1852">
        <v>3529</v>
      </c>
      <c r="F1852" t="s">
        <v>20670</v>
      </c>
      <c r="G1852" t="s">
        <v>62</v>
      </c>
      <c r="H1852">
        <v>3491658</v>
      </c>
      <c r="I1852">
        <v>3492689</v>
      </c>
      <c r="J1852" t="s">
        <v>20671</v>
      </c>
      <c r="K1852">
        <v>344</v>
      </c>
      <c r="L1852" t="s">
        <v>2513</v>
      </c>
      <c r="M1852">
        <v>43</v>
      </c>
      <c r="N1852" t="str">
        <f>HYPERLINK("Gene3529-zp_tree_all.dnd", "Gene3529-tree")</f>
        <v>Gene3529-tree</v>
      </c>
      <c r="O1852">
        <v>2</v>
      </c>
      <c r="P1852">
        <v>11</v>
      </c>
      <c r="Q1852">
        <v>2</v>
      </c>
      <c r="R1852">
        <v>11</v>
      </c>
      <c r="S1852">
        <v>0.84614999999999996</v>
      </c>
      <c r="T1852" t="s">
        <v>81</v>
      </c>
      <c r="U1852" t="s">
        <v>73</v>
      </c>
      <c r="V1852">
        <v>515075683.63</v>
      </c>
      <c r="W1852" t="s">
        <v>267</v>
      </c>
      <c r="X1852">
        <v>5</v>
      </c>
      <c r="Y1852">
        <v>15</v>
      </c>
      <c r="Z1852">
        <v>10</v>
      </c>
      <c r="AA1852">
        <v>0.6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4</v>
      </c>
      <c r="AH1852">
        <v>4</v>
      </c>
      <c r="AI1852">
        <v>8</v>
      </c>
      <c r="AJ1852">
        <v>11</v>
      </c>
      <c r="AK1852">
        <v>0.42104999999999998</v>
      </c>
      <c r="AL1852">
        <v>11</v>
      </c>
      <c r="AM1852">
        <v>9</v>
      </c>
      <c r="AN1852">
        <v>37</v>
      </c>
      <c r="AO1852">
        <v>17</v>
      </c>
      <c r="AP1852">
        <v>18</v>
      </c>
      <c r="AQ1852">
        <v>10</v>
      </c>
      <c r="AR1852" t="s">
        <v>20672</v>
      </c>
      <c r="AS1852" t="s">
        <v>20673</v>
      </c>
      <c r="AT1852">
        <v>0.49099999999999999</v>
      </c>
      <c r="AU1852" t="s">
        <v>65</v>
      </c>
      <c r="AV1852">
        <v>55</v>
      </c>
      <c r="AW1852">
        <v>27</v>
      </c>
      <c r="AX1852" t="s">
        <v>1876</v>
      </c>
      <c r="AY1852">
        <v>4.5960000000000001E-2</v>
      </c>
      <c r="AZ1852">
        <v>-1.58E-3</v>
      </c>
      <c r="BA1852">
        <v>6.7299999999999999E-3</v>
      </c>
      <c r="BB1852">
        <v>-3.8999999999999999E-4</v>
      </c>
      <c r="BC1852">
        <v>0.14649999999999999</v>
      </c>
      <c r="BD1852">
        <v>1</v>
      </c>
      <c r="BE1852" t="s">
        <v>69</v>
      </c>
      <c r="BF1852">
        <v>-0.59699999999999998</v>
      </c>
      <c r="BG1852">
        <v>-1.498</v>
      </c>
    </row>
    <row r="1853" spans="1:59">
      <c r="A1853">
        <v>0</v>
      </c>
      <c r="B1853">
        <v>7</v>
      </c>
      <c r="C1853">
        <v>0</v>
      </c>
      <c r="D1853" t="s">
        <v>25022</v>
      </c>
      <c r="E1853">
        <v>3556</v>
      </c>
      <c r="F1853" t="s">
        <v>20850</v>
      </c>
      <c r="G1853" t="s">
        <v>62</v>
      </c>
      <c r="H1853">
        <v>3521114</v>
      </c>
      <c r="I1853">
        <v>3522145</v>
      </c>
      <c r="J1853" t="s">
        <v>20851</v>
      </c>
      <c r="K1853">
        <v>344</v>
      </c>
      <c r="L1853" t="s">
        <v>4013</v>
      </c>
      <c r="M1853">
        <v>43</v>
      </c>
      <c r="N1853" t="str">
        <f>HYPERLINK("Gene3556-zp_tree_all.dnd", "Gene3556-tree")</f>
        <v>Gene3556-tree</v>
      </c>
      <c r="O1853">
        <v>7</v>
      </c>
      <c r="P1853">
        <v>8</v>
      </c>
      <c r="Q1853">
        <v>7</v>
      </c>
      <c r="R1853">
        <v>8</v>
      </c>
      <c r="S1853">
        <v>0.53332999999999997</v>
      </c>
      <c r="T1853" t="s">
        <v>152</v>
      </c>
      <c r="U1853" t="s">
        <v>136</v>
      </c>
      <c r="V1853" t="s">
        <v>62</v>
      </c>
      <c r="W1853" t="s">
        <v>62</v>
      </c>
      <c r="X1853">
        <v>3</v>
      </c>
      <c r="Y1853">
        <v>7</v>
      </c>
      <c r="Z1853">
        <v>14</v>
      </c>
      <c r="AA1853">
        <v>0.33333000000000002</v>
      </c>
      <c r="AB1853">
        <v>0</v>
      </c>
      <c r="AC1853">
        <v>0</v>
      </c>
      <c r="AD1853">
        <v>0</v>
      </c>
      <c r="AE1853">
        <v>4</v>
      </c>
      <c r="AF1853">
        <v>0</v>
      </c>
      <c r="AG1853">
        <v>2</v>
      </c>
      <c r="AH1853">
        <v>0</v>
      </c>
      <c r="AI1853">
        <v>2</v>
      </c>
      <c r="AJ1853">
        <v>10</v>
      </c>
      <c r="AK1853">
        <v>0.16667000000000001</v>
      </c>
      <c r="AL1853">
        <v>12</v>
      </c>
      <c r="AM1853">
        <v>11</v>
      </c>
      <c r="AN1853">
        <v>29</v>
      </c>
      <c r="AO1853">
        <v>12</v>
      </c>
      <c r="AP1853">
        <v>36</v>
      </c>
      <c r="AQ1853">
        <v>10</v>
      </c>
      <c r="AR1853" t="s">
        <v>20852</v>
      </c>
      <c r="AS1853" t="s">
        <v>20853</v>
      </c>
      <c r="AT1853">
        <v>0.58899999999999997</v>
      </c>
      <c r="AU1853" t="s">
        <v>65</v>
      </c>
      <c r="AV1853">
        <v>65</v>
      </c>
      <c r="AW1853">
        <v>22</v>
      </c>
      <c r="AX1853" t="s">
        <v>20854</v>
      </c>
      <c r="AY1853">
        <v>5.552E-2</v>
      </c>
      <c r="AZ1853">
        <v>-1.7799999999999999E-3</v>
      </c>
      <c r="BA1853">
        <v>4.7499999999999999E-3</v>
      </c>
      <c r="BB1853">
        <v>-1.9000000000000001E-4</v>
      </c>
      <c r="BC1853">
        <v>8.5529999999999995E-2</v>
      </c>
      <c r="BD1853">
        <v>1</v>
      </c>
      <c r="BE1853" t="s">
        <v>69</v>
      </c>
      <c r="BF1853">
        <v>5.8000000000000003E-2</v>
      </c>
      <c r="BG1853">
        <v>-0.755</v>
      </c>
    </row>
    <row r="1854" spans="1:59">
      <c r="A1854">
        <v>0</v>
      </c>
      <c r="B1854">
        <v>10</v>
      </c>
      <c r="C1854">
        <v>0</v>
      </c>
      <c r="D1854" t="s">
        <v>25022</v>
      </c>
      <c r="E1854">
        <v>737</v>
      </c>
      <c r="F1854" t="s">
        <v>4568</v>
      </c>
      <c r="G1854" t="s">
        <v>57</v>
      </c>
      <c r="H1854">
        <v>764781</v>
      </c>
      <c r="I1854">
        <v>765812</v>
      </c>
      <c r="J1854" t="s">
        <v>4569</v>
      </c>
      <c r="K1854">
        <v>344</v>
      </c>
      <c r="L1854" t="s">
        <v>3401</v>
      </c>
      <c r="M1854">
        <v>42</v>
      </c>
      <c r="N1854" t="str">
        <f>HYPERLINK("Gene737-zp_tree_all.dnd", "Gene737-tree")</f>
        <v>Gene737-tree</v>
      </c>
      <c r="O1854">
        <v>5</v>
      </c>
      <c r="P1854">
        <v>10</v>
      </c>
      <c r="Q1854">
        <v>5</v>
      </c>
      <c r="R1854">
        <v>10</v>
      </c>
      <c r="S1854">
        <v>0.66666999999999998</v>
      </c>
      <c r="T1854" t="s">
        <v>199</v>
      </c>
      <c r="U1854" t="s">
        <v>117</v>
      </c>
      <c r="V1854" t="s">
        <v>62</v>
      </c>
      <c r="W1854" t="s">
        <v>62</v>
      </c>
      <c r="X1854">
        <v>3</v>
      </c>
      <c r="Y1854">
        <v>10</v>
      </c>
      <c r="Z1854">
        <v>10</v>
      </c>
      <c r="AA1854">
        <v>0.5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6</v>
      </c>
      <c r="AH1854">
        <v>0</v>
      </c>
      <c r="AI1854">
        <v>6</v>
      </c>
      <c r="AJ1854">
        <v>10</v>
      </c>
      <c r="AK1854">
        <v>0.375</v>
      </c>
      <c r="AL1854">
        <v>12</v>
      </c>
      <c r="AM1854">
        <v>11</v>
      </c>
      <c r="AN1854">
        <v>34</v>
      </c>
      <c r="AO1854">
        <v>16</v>
      </c>
      <c r="AP1854">
        <v>29</v>
      </c>
      <c r="AQ1854">
        <v>4</v>
      </c>
      <c r="AR1854" t="s">
        <v>4570</v>
      </c>
      <c r="AS1854" t="s">
        <v>4571</v>
      </c>
      <c r="AT1854">
        <v>1.966</v>
      </c>
      <c r="AU1854" t="s">
        <v>267</v>
      </c>
      <c r="AV1854">
        <v>63</v>
      </c>
      <c r="AW1854">
        <v>20</v>
      </c>
      <c r="AX1854" t="s">
        <v>4572</v>
      </c>
      <c r="AY1854">
        <v>4.9950000000000001E-2</v>
      </c>
      <c r="AZ1854">
        <v>-1.6900000000000001E-3</v>
      </c>
      <c r="BA1854">
        <v>3.0500000000000002E-3</v>
      </c>
      <c r="BB1854">
        <v>-1.3999999999999999E-4</v>
      </c>
      <c r="BC1854">
        <v>6.1150000000000003E-2</v>
      </c>
      <c r="BD1854">
        <v>1</v>
      </c>
      <c r="BE1854" t="s">
        <v>69</v>
      </c>
      <c r="BF1854">
        <v>-0.19400000000000001</v>
      </c>
      <c r="BG1854">
        <v>-0.51900000000000002</v>
      </c>
    </row>
    <row r="1855" spans="1:59">
      <c r="A1855">
        <v>0</v>
      </c>
      <c r="B1855">
        <v>4</v>
      </c>
      <c r="C1855">
        <v>3</v>
      </c>
      <c r="D1855" t="s">
        <v>25022</v>
      </c>
      <c r="E1855">
        <v>2981</v>
      </c>
      <c r="F1855" t="s">
        <v>17201</v>
      </c>
      <c r="G1855" t="s">
        <v>62</v>
      </c>
      <c r="H1855">
        <v>2929441</v>
      </c>
      <c r="I1855">
        <v>2930472</v>
      </c>
      <c r="J1855" t="s">
        <v>17202</v>
      </c>
      <c r="K1855">
        <v>344</v>
      </c>
      <c r="L1855" t="s">
        <v>59</v>
      </c>
      <c r="M1855">
        <v>49</v>
      </c>
      <c r="N1855" t="str">
        <f>HYPERLINK("Gene2981-zp_tree_all.dnd", "Gene2981-tree")</f>
        <v>Gene2981-tree</v>
      </c>
      <c r="O1855">
        <v>15</v>
      </c>
      <c r="P1855">
        <v>5</v>
      </c>
      <c r="Q1855">
        <v>15</v>
      </c>
      <c r="R1855">
        <v>5</v>
      </c>
      <c r="S1855">
        <v>0.25</v>
      </c>
      <c r="T1855" t="s">
        <v>100</v>
      </c>
      <c r="U1855" t="s">
        <v>199</v>
      </c>
      <c r="V1855" t="s">
        <v>62</v>
      </c>
      <c r="W1855" t="s">
        <v>62</v>
      </c>
      <c r="X1855">
        <v>3</v>
      </c>
      <c r="Y1855">
        <v>7</v>
      </c>
      <c r="Z1855">
        <v>7</v>
      </c>
      <c r="AA1855">
        <v>0.5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6</v>
      </c>
      <c r="AK1855">
        <v>0</v>
      </c>
      <c r="AL1855">
        <v>17</v>
      </c>
      <c r="AM1855">
        <v>17</v>
      </c>
      <c r="AN1855">
        <v>56</v>
      </c>
      <c r="AO1855">
        <v>6</v>
      </c>
      <c r="AP1855">
        <v>69</v>
      </c>
      <c r="AQ1855">
        <v>8</v>
      </c>
      <c r="AR1855" t="s">
        <v>17203</v>
      </c>
      <c r="AS1855" t="s">
        <v>17204</v>
      </c>
      <c r="AT1855">
        <v>3.1E-2</v>
      </c>
      <c r="AU1855" t="s">
        <v>65</v>
      </c>
      <c r="AV1855">
        <v>125</v>
      </c>
      <c r="AW1855">
        <v>14</v>
      </c>
      <c r="AX1855" t="s">
        <v>17205</v>
      </c>
      <c r="AY1855">
        <v>0.11247</v>
      </c>
      <c r="AZ1855">
        <v>-6.2700000000000004E-3</v>
      </c>
      <c r="BA1855">
        <v>3.16E-3</v>
      </c>
      <c r="BB1855">
        <v>-1.8000000000000001E-4</v>
      </c>
      <c r="BC1855">
        <v>2.8060000000000002E-2</v>
      </c>
      <c r="BD1855">
        <v>1</v>
      </c>
      <c r="BE1855" t="s">
        <v>69</v>
      </c>
      <c r="BF1855">
        <v>-1.131</v>
      </c>
      <c r="BG1855">
        <v>-0.26200000000000001</v>
      </c>
    </row>
    <row r="1856" spans="1:59">
      <c r="A1856">
        <v>0</v>
      </c>
      <c r="B1856">
        <v>5</v>
      </c>
      <c r="C1856">
        <v>0</v>
      </c>
      <c r="D1856" t="s">
        <v>25022</v>
      </c>
      <c r="E1856">
        <v>4111</v>
      </c>
      <c r="F1856" t="s">
        <v>24221</v>
      </c>
      <c r="G1856" t="s">
        <v>62</v>
      </c>
      <c r="H1856">
        <v>4075788</v>
      </c>
      <c r="I1856">
        <v>4076819</v>
      </c>
      <c r="J1856" t="s">
        <v>24222</v>
      </c>
      <c r="K1856">
        <v>344</v>
      </c>
      <c r="L1856" t="s">
        <v>108</v>
      </c>
      <c r="M1856">
        <v>44</v>
      </c>
      <c r="N1856" t="str">
        <f>HYPERLINK("Gene4111-zp_tree_all.dnd", "Gene4111-tree")</f>
        <v>Gene4111-tree</v>
      </c>
      <c r="O1856">
        <v>25</v>
      </c>
      <c r="P1856">
        <v>7</v>
      </c>
      <c r="Q1856">
        <v>8</v>
      </c>
      <c r="R1856">
        <v>7</v>
      </c>
      <c r="S1856">
        <v>0.46666999999999997</v>
      </c>
      <c r="T1856" t="s">
        <v>1667</v>
      </c>
      <c r="U1856" t="s">
        <v>152</v>
      </c>
      <c r="V1856" t="s">
        <v>62</v>
      </c>
      <c r="W1856" t="s">
        <v>62</v>
      </c>
      <c r="X1856">
        <v>1</v>
      </c>
      <c r="Y1856">
        <v>5</v>
      </c>
      <c r="Z1856">
        <v>9</v>
      </c>
      <c r="AA1856">
        <v>0.35714000000000001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</v>
      </c>
      <c r="AH1856">
        <v>0</v>
      </c>
      <c r="AI1856">
        <v>3</v>
      </c>
      <c r="AJ1856">
        <v>9</v>
      </c>
      <c r="AK1856">
        <v>0.25</v>
      </c>
      <c r="AL1856">
        <v>15</v>
      </c>
      <c r="AM1856">
        <v>12</v>
      </c>
      <c r="AN1856">
        <v>98</v>
      </c>
      <c r="AO1856">
        <v>12</v>
      </c>
      <c r="AP1856">
        <v>43</v>
      </c>
      <c r="AQ1856">
        <v>2</v>
      </c>
      <c r="AR1856" t="s">
        <v>24223</v>
      </c>
      <c r="AS1856" t="s">
        <v>24224</v>
      </c>
      <c r="AT1856">
        <v>0.82199999999999995</v>
      </c>
      <c r="AU1856" t="s">
        <v>65</v>
      </c>
      <c r="AV1856">
        <v>141</v>
      </c>
      <c r="AW1856">
        <v>14</v>
      </c>
      <c r="AX1856" t="s">
        <v>24225</v>
      </c>
      <c r="AY1856">
        <v>9.4420000000000004E-2</v>
      </c>
      <c r="AZ1856">
        <v>-3.5599999999999998E-3</v>
      </c>
      <c r="BA1856">
        <v>2.1800000000000001E-3</v>
      </c>
      <c r="BB1856">
        <v>-1.4999999999999999E-4</v>
      </c>
      <c r="BC1856">
        <v>2.3060000000000001E-2</v>
      </c>
      <c r="BD1856">
        <v>1</v>
      </c>
      <c r="BE1856" t="s">
        <v>69</v>
      </c>
      <c r="BF1856">
        <v>0.317</v>
      </c>
      <c r="BG1856">
        <v>-0.22700000000000001</v>
      </c>
    </row>
    <row r="1857" spans="1:59">
      <c r="A1857">
        <v>0</v>
      </c>
      <c r="B1857">
        <v>4</v>
      </c>
      <c r="C1857">
        <v>5</v>
      </c>
      <c r="D1857" t="s">
        <v>25022</v>
      </c>
      <c r="E1857">
        <v>2771</v>
      </c>
      <c r="F1857" t="s">
        <v>15902</v>
      </c>
      <c r="G1857" t="s">
        <v>62</v>
      </c>
      <c r="H1857">
        <v>2722770</v>
      </c>
      <c r="I1857">
        <v>2723804</v>
      </c>
      <c r="J1857" t="s">
        <v>1940</v>
      </c>
      <c r="K1857">
        <v>345</v>
      </c>
      <c r="L1857" t="s">
        <v>1392</v>
      </c>
      <c r="M1857">
        <v>43</v>
      </c>
      <c r="N1857" t="str">
        <f>HYPERLINK("Gene2771-zp_tree_all.dnd", "Gene2771-tree")</f>
        <v>Gene2771-tree</v>
      </c>
      <c r="O1857">
        <v>7</v>
      </c>
      <c r="P1857">
        <v>8</v>
      </c>
      <c r="Q1857">
        <v>7</v>
      </c>
      <c r="R1857">
        <v>8</v>
      </c>
      <c r="S1857">
        <v>0.53332999999999997</v>
      </c>
      <c r="T1857" t="s">
        <v>152</v>
      </c>
      <c r="U1857" t="s">
        <v>136</v>
      </c>
      <c r="V1857" t="s">
        <v>62</v>
      </c>
      <c r="W1857" t="s">
        <v>62</v>
      </c>
      <c r="X1857">
        <v>4</v>
      </c>
      <c r="Y1857">
        <v>9</v>
      </c>
      <c r="Z1857">
        <v>19</v>
      </c>
      <c r="AA1857">
        <v>0.32142999999999999</v>
      </c>
      <c r="AB1857">
        <v>0</v>
      </c>
      <c r="AC1857">
        <v>0</v>
      </c>
      <c r="AD1857">
        <v>0</v>
      </c>
      <c r="AE1857">
        <v>2</v>
      </c>
      <c r="AF1857">
        <v>0</v>
      </c>
      <c r="AG1857">
        <v>0</v>
      </c>
      <c r="AH1857">
        <v>2</v>
      </c>
      <c r="AI1857">
        <v>2</v>
      </c>
      <c r="AJ1857">
        <v>15</v>
      </c>
      <c r="AK1857">
        <v>0.11765</v>
      </c>
      <c r="AL1857">
        <v>11</v>
      </c>
      <c r="AM1857">
        <v>12</v>
      </c>
      <c r="AN1857">
        <v>18</v>
      </c>
      <c r="AO1857">
        <v>8</v>
      </c>
      <c r="AP1857">
        <v>23</v>
      </c>
      <c r="AQ1857">
        <v>21</v>
      </c>
      <c r="AR1857" t="s">
        <v>15903</v>
      </c>
      <c r="AS1857" t="s">
        <v>15904</v>
      </c>
      <c r="AT1857">
        <v>0.68400000000000005</v>
      </c>
      <c r="AU1857" t="s">
        <v>65</v>
      </c>
      <c r="AV1857">
        <v>41</v>
      </c>
      <c r="AW1857">
        <v>29</v>
      </c>
      <c r="AX1857" t="s">
        <v>15905</v>
      </c>
      <c r="AY1857">
        <v>3.6400000000000002E-2</v>
      </c>
      <c r="AZ1857">
        <v>-1.33E-3</v>
      </c>
      <c r="BA1857">
        <v>8.2900000000000005E-3</v>
      </c>
      <c r="BB1857">
        <v>-5.2999999999999998E-4</v>
      </c>
      <c r="BC1857">
        <v>0.22774</v>
      </c>
      <c r="BD1857">
        <v>1</v>
      </c>
      <c r="BE1857" t="s">
        <v>69</v>
      </c>
      <c r="BF1857">
        <v>-5.7000000000000002E-2</v>
      </c>
      <c r="BG1857">
        <v>0.78900000000000003</v>
      </c>
    </row>
    <row r="1858" spans="1:59">
      <c r="A1858">
        <v>0</v>
      </c>
      <c r="B1858">
        <v>7</v>
      </c>
      <c r="C1858">
        <v>0</v>
      </c>
      <c r="D1858" t="s">
        <v>25022</v>
      </c>
      <c r="E1858">
        <v>1155</v>
      </c>
      <c r="F1858" t="s">
        <v>7269</v>
      </c>
      <c r="G1858" t="s">
        <v>57</v>
      </c>
      <c r="H1858">
        <v>1195034</v>
      </c>
      <c r="I1858">
        <v>1196068</v>
      </c>
      <c r="J1858" t="s">
        <v>7270</v>
      </c>
      <c r="K1858">
        <v>345</v>
      </c>
      <c r="L1858" t="s">
        <v>108</v>
      </c>
      <c r="M1858">
        <v>44</v>
      </c>
      <c r="N1858" t="str">
        <f>HYPERLINK("Gene1155-zp_tree_all.dnd", "Gene1155-tree")</f>
        <v>Gene1155-tree</v>
      </c>
      <c r="O1858">
        <v>3</v>
      </c>
      <c r="P1858">
        <v>31</v>
      </c>
      <c r="Q1858">
        <v>3</v>
      </c>
      <c r="R1858">
        <v>11</v>
      </c>
      <c r="S1858">
        <v>0.78571000000000002</v>
      </c>
      <c r="T1858" t="s">
        <v>324</v>
      </c>
      <c r="U1858" t="s">
        <v>2860</v>
      </c>
      <c r="V1858">
        <v>1.2549999999999999</v>
      </c>
      <c r="W1858" t="s">
        <v>65</v>
      </c>
      <c r="X1858">
        <v>3</v>
      </c>
      <c r="Y1858">
        <v>7</v>
      </c>
      <c r="Z1858">
        <v>14</v>
      </c>
      <c r="AA1858">
        <v>0.33333000000000002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4</v>
      </c>
      <c r="AH1858">
        <v>0</v>
      </c>
      <c r="AI1858">
        <v>4</v>
      </c>
      <c r="AJ1858">
        <v>14</v>
      </c>
      <c r="AK1858">
        <v>0.22222</v>
      </c>
      <c r="AL1858">
        <v>12</v>
      </c>
      <c r="AM1858">
        <v>10</v>
      </c>
      <c r="AN1858">
        <v>21</v>
      </c>
      <c r="AO1858">
        <v>15</v>
      </c>
      <c r="AP1858">
        <v>14</v>
      </c>
      <c r="AQ1858">
        <v>6</v>
      </c>
      <c r="AR1858" t="s">
        <v>7271</v>
      </c>
      <c r="AS1858" t="s">
        <v>7272</v>
      </c>
      <c r="AT1858">
        <v>0.47699999999999998</v>
      </c>
      <c r="AU1858" t="s">
        <v>65</v>
      </c>
      <c r="AV1858">
        <v>35</v>
      </c>
      <c r="AW1858">
        <v>21</v>
      </c>
      <c r="AX1858" t="s">
        <v>7273</v>
      </c>
      <c r="AY1858">
        <v>3.023E-2</v>
      </c>
      <c r="AZ1858">
        <v>-1.5499999999999999E-3</v>
      </c>
      <c r="BA1858">
        <v>4.64E-3</v>
      </c>
      <c r="BB1858">
        <v>-2.0000000000000001E-4</v>
      </c>
      <c r="BC1858">
        <v>0.15337000000000001</v>
      </c>
      <c r="BD1858">
        <v>1</v>
      </c>
      <c r="BE1858" t="s">
        <v>69</v>
      </c>
      <c r="BF1858">
        <v>-0.85899999999999999</v>
      </c>
      <c r="BG1858">
        <v>-1.341</v>
      </c>
    </row>
    <row r="1859" spans="1:59">
      <c r="A1859">
        <v>0</v>
      </c>
      <c r="B1859">
        <v>7</v>
      </c>
      <c r="C1859">
        <v>0</v>
      </c>
      <c r="D1859" t="s">
        <v>25022</v>
      </c>
      <c r="E1859">
        <v>2377</v>
      </c>
      <c r="F1859" t="s">
        <v>13826</v>
      </c>
      <c r="G1859" t="s">
        <v>62</v>
      </c>
      <c r="H1859">
        <v>2389154</v>
      </c>
      <c r="I1859">
        <v>2390188</v>
      </c>
      <c r="J1859" t="s">
        <v>13827</v>
      </c>
      <c r="K1859">
        <v>345</v>
      </c>
      <c r="L1859" t="s">
        <v>1124</v>
      </c>
      <c r="M1859">
        <v>43</v>
      </c>
      <c r="N1859" t="str">
        <f>HYPERLINK("Gene2377-zp_tree_all.dnd", "Gene2377-tree")</f>
        <v>Gene2377-tree</v>
      </c>
      <c r="O1859">
        <v>5</v>
      </c>
      <c r="P1859">
        <v>6</v>
      </c>
      <c r="Q1859">
        <v>5</v>
      </c>
      <c r="R1859">
        <v>6</v>
      </c>
      <c r="S1859">
        <v>0.54544999999999999</v>
      </c>
      <c r="T1859" t="s">
        <v>199</v>
      </c>
      <c r="U1859" t="s">
        <v>90</v>
      </c>
      <c r="V1859" t="s">
        <v>62</v>
      </c>
      <c r="W1859" t="s">
        <v>62</v>
      </c>
      <c r="X1859">
        <v>3</v>
      </c>
      <c r="Y1859">
        <v>7</v>
      </c>
      <c r="Z1859">
        <v>17</v>
      </c>
      <c r="AA1859">
        <v>0.29166999999999998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3</v>
      </c>
      <c r="AH1859">
        <v>0</v>
      </c>
      <c r="AI1859">
        <v>3</v>
      </c>
      <c r="AJ1859">
        <v>6</v>
      </c>
      <c r="AK1859">
        <v>0.33333000000000002</v>
      </c>
      <c r="AL1859">
        <v>11</v>
      </c>
      <c r="AM1859">
        <v>7</v>
      </c>
      <c r="AN1859">
        <v>42</v>
      </c>
      <c r="AO1859">
        <v>10</v>
      </c>
      <c r="AP1859">
        <v>34</v>
      </c>
      <c r="AQ1859">
        <v>20</v>
      </c>
      <c r="AR1859" t="s">
        <v>13828</v>
      </c>
      <c r="AS1859" t="s">
        <v>13829</v>
      </c>
      <c r="AT1859">
        <v>0.19900000000000001</v>
      </c>
      <c r="AU1859" t="s">
        <v>65</v>
      </c>
      <c r="AV1859">
        <v>76</v>
      </c>
      <c r="AW1859">
        <v>30</v>
      </c>
      <c r="AX1859" t="s">
        <v>13830</v>
      </c>
      <c r="AY1859">
        <v>0.10340000000000001</v>
      </c>
      <c r="AZ1859">
        <v>-8.0400000000000003E-3</v>
      </c>
      <c r="BA1859">
        <v>1.536E-2</v>
      </c>
      <c r="BB1859">
        <v>-1.6199999999999999E-3</v>
      </c>
      <c r="BC1859">
        <v>0.14851</v>
      </c>
      <c r="BD1859">
        <v>1</v>
      </c>
      <c r="BE1859" t="s">
        <v>69</v>
      </c>
      <c r="BF1859">
        <v>0.378</v>
      </c>
      <c r="BG1859">
        <v>-0.39200000000000002</v>
      </c>
    </row>
    <row r="1860" spans="1:59">
      <c r="A1860">
        <v>0</v>
      </c>
      <c r="B1860">
        <v>3</v>
      </c>
      <c r="C1860">
        <v>0</v>
      </c>
      <c r="D1860" t="s">
        <v>25022</v>
      </c>
      <c r="E1860">
        <v>613</v>
      </c>
      <c r="F1860" t="s">
        <v>3943</v>
      </c>
      <c r="G1860" t="s">
        <v>57</v>
      </c>
      <c r="H1860">
        <v>643258</v>
      </c>
      <c r="I1860">
        <v>644295</v>
      </c>
      <c r="J1860" t="s">
        <v>3944</v>
      </c>
      <c r="K1860">
        <v>346</v>
      </c>
      <c r="L1860" t="s">
        <v>108</v>
      </c>
      <c r="M1860">
        <v>44</v>
      </c>
      <c r="N1860" t="str">
        <f>HYPERLINK("Gene613-zp_tree_all.dnd", "Gene613-tree")</f>
        <v>Gene613-tree</v>
      </c>
      <c r="O1860">
        <v>5</v>
      </c>
      <c r="P1860">
        <v>9</v>
      </c>
      <c r="Q1860">
        <v>5</v>
      </c>
      <c r="R1860">
        <v>9</v>
      </c>
      <c r="S1860">
        <v>0.64285999999999999</v>
      </c>
      <c r="T1860" t="s">
        <v>199</v>
      </c>
      <c r="U1860" t="s">
        <v>135</v>
      </c>
      <c r="V1860" t="s">
        <v>62</v>
      </c>
      <c r="W1860" t="s">
        <v>62</v>
      </c>
      <c r="X1860">
        <v>1</v>
      </c>
      <c r="Y1860">
        <v>3</v>
      </c>
      <c r="Z1860">
        <v>8</v>
      </c>
      <c r="AA1860">
        <v>0.27272999999999997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</v>
      </c>
      <c r="AH1860">
        <v>0</v>
      </c>
      <c r="AI1860">
        <v>3</v>
      </c>
      <c r="AJ1860">
        <v>8</v>
      </c>
      <c r="AK1860">
        <v>0.27272999999999997</v>
      </c>
      <c r="AL1860">
        <v>12</v>
      </c>
      <c r="AM1860">
        <v>6</v>
      </c>
      <c r="AN1860">
        <v>13</v>
      </c>
      <c r="AO1860">
        <v>10</v>
      </c>
      <c r="AP1860">
        <v>12</v>
      </c>
      <c r="AQ1860">
        <v>1</v>
      </c>
      <c r="AR1860" t="s">
        <v>3945</v>
      </c>
      <c r="AS1860" t="s">
        <v>3946</v>
      </c>
      <c r="AT1860">
        <v>1.3160000000000001</v>
      </c>
      <c r="AU1860" t="s">
        <v>65</v>
      </c>
      <c r="AV1860">
        <v>25</v>
      </c>
      <c r="AW1860">
        <v>11</v>
      </c>
      <c r="AX1860" t="s">
        <v>3947</v>
      </c>
      <c r="AY1860">
        <v>2.3570000000000001E-2</v>
      </c>
      <c r="AZ1860">
        <v>-1.1900000000000001E-3</v>
      </c>
      <c r="BA1860">
        <v>2.0600000000000002E-3</v>
      </c>
      <c r="BB1860">
        <v>-1.2999999999999999E-4</v>
      </c>
      <c r="BC1860">
        <v>8.7359999999999993E-2</v>
      </c>
      <c r="BD1860">
        <v>1</v>
      </c>
      <c r="BE1860" t="s">
        <v>69</v>
      </c>
      <c r="BF1860">
        <v>-1.3320000000000001</v>
      </c>
      <c r="BG1860">
        <v>-2.0539999999999998</v>
      </c>
    </row>
    <row r="1861" spans="1:59">
      <c r="A1861">
        <v>0</v>
      </c>
      <c r="B1861">
        <v>6</v>
      </c>
      <c r="C1861">
        <v>0</v>
      </c>
      <c r="D1861" t="s">
        <v>25022</v>
      </c>
      <c r="E1861">
        <v>3830</v>
      </c>
      <c r="F1861" t="s">
        <v>22451</v>
      </c>
      <c r="G1861" t="s">
        <v>62</v>
      </c>
      <c r="H1861">
        <v>3792972</v>
      </c>
      <c r="I1861">
        <v>3794009</v>
      </c>
      <c r="J1861" t="s">
        <v>22452</v>
      </c>
      <c r="K1861">
        <v>346</v>
      </c>
      <c r="L1861" t="s">
        <v>108</v>
      </c>
      <c r="M1861">
        <v>44</v>
      </c>
      <c r="N1861" t="str">
        <f>HYPERLINK("Gene3830-zp_tree_all.dnd", "Gene3830-tree")</f>
        <v>Gene3830-tree</v>
      </c>
      <c r="O1861">
        <v>6</v>
      </c>
      <c r="P1861">
        <v>9</v>
      </c>
      <c r="Q1861">
        <v>6</v>
      </c>
      <c r="R1861">
        <v>9</v>
      </c>
      <c r="S1861">
        <v>0.6</v>
      </c>
      <c r="T1861" t="s">
        <v>90</v>
      </c>
      <c r="U1861" t="s">
        <v>135</v>
      </c>
      <c r="V1861" t="s">
        <v>62</v>
      </c>
      <c r="W1861" t="s">
        <v>62</v>
      </c>
      <c r="X1861">
        <v>2</v>
      </c>
      <c r="Y1861">
        <v>6</v>
      </c>
      <c r="Z1861">
        <v>15</v>
      </c>
      <c r="AA1861">
        <v>0.28571000000000002</v>
      </c>
      <c r="AB1861">
        <v>0</v>
      </c>
      <c r="AC1861">
        <v>0</v>
      </c>
      <c r="AD1861">
        <v>0</v>
      </c>
      <c r="AE1861">
        <v>3</v>
      </c>
      <c r="AF1861">
        <v>0</v>
      </c>
      <c r="AG1861">
        <v>2</v>
      </c>
      <c r="AH1861">
        <v>0</v>
      </c>
      <c r="AI1861">
        <v>2</v>
      </c>
      <c r="AJ1861">
        <v>11</v>
      </c>
      <c r="AK1861">
        <v>0.15384999999999999</v>
      </c>
      <c r="AL1861">
        <v>12</v>
      </c>
      <c r="AM1861">
        <v>11</v>
      </c>
      <c r="AN1861">
        <v>41</v>
      </c>
      <c r="AO1861">
        <v>13</v>
      </c>
      <c r="AP1861">
        <v>41</v>
      </c>
      <c r="AQ1861">
        <v>8</v>
      </c>
      <c r="AR1861" t="s">
        <v>22453</v>
      </c>
      <c r="AS1861" t="s">
        <v>22454</v>
      </c>
      <c r="AT1861">
        <v>0.70399999999999996</v>
      </c>
      <c r="AU1861" t="s">
        <v>65</v>
      </c>
      <c r="AV1861">
        <v>82</v>
      </c>
      <c r="AW1861">
        <v>21</v>
      </c>
      <c r="AX1861" t="s">
        <v>22455</v>
      </c>
      <c r="AY1861">
        <v>6.4030000000000004E-2</v>
      </c>
      <c r="AZ1861">
        <v>-2.47E-3</v>
      </c>
      <c r="BA1861">
        <v>4.6699999999999997E-3</v>
      </c>
      <c r="BB1861">
        <v>-2.2000000000000001E-4</v>
      </c>
      <c r="BC1861">
        <v>7.2959999999999997E-2</v>
      </c>
      <c r="BD1861">
        <v>1</v>
      </c>
      <c r="BE1861" t="s">
        <v>69</v>
      </c>
      <c r="BF1861">
        <v>-0.29599999999999999</v>
      </c>
      <c r="BG1861">
        <v>-1.7390000000000001</v>
      </c>
    </row>
    <row r="1862" spans="1:59">
      <c r="A1862">
        <v>0</v>
      </c>
      <c r="B1862">
        <v>4</v>
      </c>
      <c r="C1862">
        <v>1</v>
      </c>
      <c r="D1862" t="s">
        <v>25022</v>
      </c>
      <c r="E1862">
        <v>1556</v>
      </c>
      <c r="F1862" t="s">
        <v>9728</v>
      </c>
      <c r="G1862" t="s">
        <v>57</v>
      </c>
      <c r="H1862">
        <v>1566379</v>
      </c>
      <c r="I1862">
        <v>1567416</v>
      </c>
      <c r="J1862" t="s">
        <v>288</v>
      </c>
      <c r="K1862">
        <v>346</v>
      </c>
      <c r="L1862" t="s">
        <v>108</v>
      </c>
      <c r="M1862">
        <v>44</v>
      </c>
      <c r="N1862" t="str">
        <f>HYPERLINK("Gene1556-zp_tree_all.dnd", "Gene1556-tree")</f>
        <v>Gene1556-tree</v>
      </c>
      <c r="O1862">
        <v>29</v>
      </c>
      <c r="P1862">
        <v>7</v>
      </c>
      <c r="Q1862">
        <v>9</v>
      </c>
      <c r="R1862">
        <v>7</v>
      </c>
      <c r="S1862">
        <v>0.4375</v>
      </c>
      <c r="T1862" t="s">
        <v>234</v>
      </c>
      <c r="U1862" t="s">
        <v>152</v>
      </c>
      <c r="V1862" t="s">
        <v>62</v>
      </c>
      <c r="W1862" t="s">
        <v>62</v>
      </c>
      <c r="X1862">
        <v>2</v>
      </c>
      <c r="Y1862">
        <v>5</v>
      </c>
      <c r="Z1862">
        <v>9</v>
      </c>
      <c r="AA1862">
        <v>0.35714000000000001</v>
      </c>
      <c r="AB1862">
        <v>0</v>
      </c>
      <c r="AC1862">
        <v>2</v>
      </c>
      <c r="AD1862">
        <v>2</v>
      </c>
      <c r="AE1862">
        <v>1</v>
      </c>
      <c r="AF1862">
        <v>0.66666999999999998</v>
      </c>
      <c r="AG1862">
        <v>0</v>
      </c>
      <c r="AH1862">
        <v>0</v>
      </c>
      <c r="AI1862">
        <v>0</v>
      </c>
      <c r="AJ1862">
        <v>9</v>
      </c>
      <c r="AK1862">
        <v>0</v>
      </c>
      <c r="AL1862">
        <v>12</v>
      </c>
      <c r="AM1862">
        <v>11</v>
      </c>
      <c r="AN1862">
        <v>28</v>
      </c>
      <c r="AO1862">
        <v>10</v>
      </c>
      <c r="AP1862">
        <v>34</v>
      </c>
      <c r="AQ1862">
        <v>6</v>
      </c>
      <c r="AR1862" t="s">
        <v>9729</v>
      </c>
      <c r="AS1862" t="s">
        <v>9730</v>
      </c>
      <c r="AT1862">
        <v>0.63100000000000001</v>
      </c>
      <c r="AU1862" t="s">
        <v>65</v>
      </c>
      <c r="AV1862">
        <v>62</v>
      </c>
      <c r="AW1862">
        <v>16</v>
      </c>
      <c r="AX1862" t="s">
        <v>9731</v>
      </c>
      <c r="AY1862">
        <v>5.373E-2</v>
      </c>
      <c r="AZ1862">
        <v>-2.47E-3</v>
      </c>
      <c r="BA1862">
        <v>3.5899999999999999E-3</v>
      </c>
      <c r="BB1862">
        <v>-1.7000000000000001E-4</v>
      </c>
      <c r="BC1862">
        <v>6.6769999999999996E-2</v>
      </c>
      <c r="BD1862">
        <v>1</v>
      </c>
      <c r="BE1862" t="s">
        <v>69</v>
      </c>
      <c r="BF1862">
        <v>-1.17</v>
      </c>
      <c r="BG1862">
        <v>-0.82</v>
      </c>
    </row>
    <row r="1863" spans="1:59">
      <c r="A1863">
        <v>0</v>
      </c>
      <c r="B1863">
        <v>2</v>
      </c>
      <c r="C1863">
        <v>2</v>
      </c>
      <c r="D1863" t="s">
        <v>25022</v>
      </c>
      <c r="E1863">
        <v>1737</v>
      </c>
      <c r="F1863" t="s">
        <v>10896</v>
      </c>
      <c r="G1863" t="s">
        <v>57</v>
      </c>
      <c r="H1863">
        <v>1745991</v>
      </c>
      <c r="I1863">
        <v>1747028</v>
      </c>
      <c r="J1863" t="s">
        <v>10897</v>
      </c>
      <c r="K1863">
        <v>346</v>
      </c>
      <c r="L1863" t="s">
        <v>59</v>
      </c>
      <c r="M1863">
        <v>49</v>
      </c>
      <c r="N1863" t="str">
        <f>HYPERLINK("Gene1737-zp_tree_all.dnd", "Gene1737-tree")</f>
        <v>Gene1737-tree</v>
      </c>
      <c r="O1863">
        <v>10</v>
      </c>
      <c r="P1863">
        <v>7</v>
      </c>
      <c r="Q1863">
        <v>10</v>
      </c>
      <c r="R1863">
        <v>7</v>
      </c>
      <c r="S1863">
        <v>0.41176000000000001</v>
      </c>
      <c r="T1863" t="s">
        <v>117</v>
      </c>
      <c r="U1863" t="s">
        <v>152</v>
      </c>
      <c r="V1863" t="s">
        <v>62</v>
      </c>
      <c r="W1863" t="s">
        <v>62</v>
      </c>
      <c r="X1863">
        <v>2</v>
      </c>
      <c r="Y1863">
        <v>4</v>
      </c>
      <c r="Z1863">
        <v>11</v>
      </c>
      <c r="AA1863">
        <v>0.26667000000000002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7</v>
      </c>
      <c r="AK1863">
        <v>0</v>
      </c>
      <c r="AL1863">
        <v>12</v>
      </c>
      <c r="AM1863">
        <v>10</v>
      </c>
      <c r="AN1863">
        <v>27</v>
      </c>
      <c r="AO1863">
        <v>7</v>
      </c>
      <c r="AP1863">
        <v>45</v>
      </c>
      <c r="AQ1863">
        <v>8</v>
      </c>
      <c r="AR1863" t="s">
        <v>10898</v>
      </c>
      <c r="AS1863" t="s">
        <v>10899</v>
      </c>
      <c r="AT1863">
        <v>0.50900000000000001</v>
      </c>
      <c r="AU1863" t="s">
        <v>65</v>
      </c>
      <c r="AV1863">
        <v>72</v>
      </c>
      <c r="AW1863">
        <v>15</v>
      </c>
      <c r="AX1863" t="s">
        <v>10900</v>
      </c>
      <c r="AY1863">
        <v>7.263E-2</v>
      </c>
      <c r="AZ1863">
        <v>-4.4999999999999997E-3</v>
      </c>
      <c r="BA1863">
        <v>3.81E-3</v>
      </c>
      <c r="BB1863">
        <v>-2.2000000000000001E-4</v>
      </c>
      <c r="BC1863">
        <v>5.2510000000000001E-2</v>
      </c>
      <c r="BD1863">
        <v>1</v>
      </c>
      <c r="BE1863" t="s">
        <v>69</v>
      </c>
      <c r="BF1863">
        <v>-1.417</v>
      </c>
      <c r="BG1863">
        <v>-0.61399999999999999</v>
      </c>
    </row>
    <row r="1864" spans="1:59">
      <c r="A1864">
        <v>0</v>
      </c>
      <c r="B1864">
        <v>3</v>
      </c>
      <c r="C1864">
        <v>0</v>
      </c>
      <c r="D1864" t="s">
        <v>25022</v>
      </c>
      <c r="E1864">
        <v>1055</v>
      </c>
      <c r="F1864" t="s">
        <v>6620</v>
      </c>
      <c r="G1864" t="s">
        <v>57</v>
      </c>
      <c r="H1864">
        <v>1095063</v>
      </c>
      <c r="I1864">
        <v>1096100</v>
      </c>
      <c r="J1864" t="s">
        <v>6621</v>
      </c>
      <c r="K1864">
        <v>346</v>
      </c>
      <c r="L1864" t="s">
        <v>72</v>
      </c>
      <c r="M1864">
        <v>45</v>
      </c>
      <c r="N1864" t="str">
        <f>HYPERLINK("Gene1055-zp_tree_all.dnd", "Gene1055-tree")</f>
        <v>Gene1055-tree</v>
      </c>
      <c r="O1864">
        <v>7</v>
      </c>
      <c r="P1864">
        <v>6</v>
      </c>
      <c r="Q1864">
        <v>7</v>
      </c>
      <c r="R1864">
        <v>6</v>
      </c>
      <c r="S1864">
        <v>0.46154000000000001</v>
      </c>
      <c r="T1864" t="s">
        <v>152</v>
      </c>
      <c r="U1864" t="s">
        <v>90</v>
      </c>
      <c r="V1864" t="s">
        <v>62</v>
      </c>
      <c r="W1864" t="s">
        <v>62</v>
      </c>
      <c r="X1864">
        <v>1</v>
      </c>
      <c r="Y1864">
        <v>3</v>
      </c>
      <c r="Z1864">
        <v>9</v>
      </c>
      <c r="AA1864">
        <v>0.25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2</v>
      </c>
      <c r="AH1864">
        <v>0</v>
      </c>
      <c r="AI1864">
        <v>2</v>
      </c>
      <c r="AJ1864">
        <v>8</v>
      </c>
      <c r="AK1864">
        <v>0.2</v>
      </c>
      <c r="AL1864">
        <v>12</v>
      </c>
      <c r="AM1864">
        <v>9</v>
      </c>
      <c r="AN1864">
        <v>72</v>
      </c>
      <c r="AO1864">
        <v>10</v>
      </c>
      <c r="AP1864">
        <v>23</v>
      </c>
      <c r="AQ1864">
        <v>2</v>
      </c>
      <c r="AR1864" t="s">
        <v>6622</v>
      </c>
      <c r="AS1864" t="s">
        <v>6623</v>
      </c>
      <c r="AT1864">
        <v>0.21</v>
      </c>
      <c r="AU1864" t="s">
        <v>65</v>
      </c>
      <c r="AV1864">
        <v>95</v>
      </c>
      <c r="AW1864">
        <v>12</v>
      </c>
      <c r="AX1864" t="s">
        <v>6624</v>
      </c>
      <c r="AY1864">
        <v>7.9450000000000007E-2</v>
      </c>
      <c r="AZ1864">
        <v>-7.0299999999999998E-3</v>
      </c>
      <c r="BA1864">
        <v>2.5600000000000002E-3</v>
      </c>
      <c r="BB1864">
        <v>-1.7000000000000001E-4</v>
      </c>
      <c r="BC1864">
        <v>3.2250000000000001E-2</v>
      </c>
      <c r="BD1864">
        <v>1</v>
      </c>
      <c r="BE1864" t="s">
        <v>69</v>
      </c>
      <c r="BF1864">
        <v>-1.571</v>
      </c>
      <c r="BG1864">
        <v>-4.0270000000000001</v>
      </c>
    </row>
    <row r="1865" spans="1:59">
      <c r="A1865">
        <v>0</v>
      </c>
      <c r="B1865">
        <v>0</v>
      </c>
      <c r="C1865">
        <v>0</v>
      </c>
      <c r="D1865" t="s">
        <v>25022</v>
      </c>
      <c r="E1865">
        <v>684</v>
      </c>
      <c r="F1865" t="s">
        <v>4272</v>
      </c>
      <c r="G1865" t="s">
        <v>57</v>
      </c>
      <c r="H1865">
        <v>706973</v>
      </c>
      <c r="I1865">
        <v>708010</v>
      </c>
      <c r="J1865" t="s">
        <v>4273</v>
      </c>
      <c r="K1865">
        <v>346</v>
      </c>
      <c r="L1865" t="s">
        <v>108</v>
      </c>
      <c r="M1865">
        <v>44</v>
      </c>
      <c r="N1865" t="str">
        <f>HYPERLINK("Gene684-zp_tree_all.dnd", "Gene684-tree")</f>
        <v>Gene684-tree</v>
      </c>
      <c r="O1865">
        <v>9</v>
      </c>
      <c r="P1865">
        <v>5</v>
      </c>
      <c r="Q1865">
        <v>9</v>
      </c>
      <c r="R1865">
        <v>5</v>
      </c>
      <c r="S1865">
        <v>0.35714000000000001</v>
      </c>
      <c r="T1865" t="s">
        <v>135</v>
      </c>
      <c r="U1865" t="s">
        <v>199</v>
      </c>
      <c r="V1865" t="s">
        <v>62</v>
      </c>
      <c r="W1865" t="s">
        <v>62</v>
      </c>
      <c r="X1865">
        <v>0</v>
      </c>
      <c r="Y1865">
        <v>0</v>
      </c>
      <c r="Z1865">
        <v>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</v>
      </c>
      <c r="AK1865">
        <v>0</v>
      </c>
      <c r="AL1865">
        <v>14</v>
      </c>
      <c r="AM1865">
        <v>10</v>
      </c>
      <c r="AN1865">
        <v>55</v>
      </c>
      <c r="AO1865">
        <v>6</v>
      </c>
      <c r="AP1865">
        <v>21</v>
      </c>
      <c r="AQ1865">
        <v>0</v>
      </c>
      <c r="AR1865" t="s">
        <v>4274</v>
      </c>
      <c r="AS1865" t="s">
        <v>193</v>
      </c>
      <c r="AT1865">
        <v>1.4279999999999999</v>
      </c>
      <c r="AU1865" t="s">
        <v>65</v>
      </c>
      <c r="AV1865">
        <v>76</v>
      </c>
      <c r="AW1865">
        <v>6</v>
      </c>
      <c r="AX1865" t="s">
        <v>4275</v>
      </c>
      <c r="AY1865">
        <v>5.2310000000000002E-2</v>
      </c>
      <c r="AZ1865">
        <v>-1.9E-3</v>
      </c>
      <c r="BA1865">
        <v>1.08E-3</v>
      </c>
      <c r="BB1865">
        <v>-1.1E-4</v>
      </c>
      <c r="BC1865">
        <v>2.0719999999999999E-2</v>
      </c>
      <c r="BD1865">
        <v>1</v>
      </c>
      <c r="BE1865" t="s">
        <v>69</v>
      </c>
      <c r="BF1865">
        <v>-2.9000000000000001E-2</v>
      </c>
      <c r="BG1865">
        <v>-0.16300000000000001</v>
      </c>
    </row>
    <row r="1866" spans="1:59">
      <c r="A1866">
        <v>0</v>
      </c>
      <c r="B1866">
        <v>7</v>
      </c>
      <c r="C1866">
        <v>0</v>
      </c>
      <c r="D1866" t="s">
        <v>25022</v>
      </c>
      <c r="E1866">
        <v>1760</v>
      </c>
      <c r="F1866" t="s">
        <v>11020</v>
      </c>
      <c r="G1866" t="s">
        <v>57</v>
      </c>
      <c r="H1866">
        <v>1770461</v>
      </c>
      <c r="I1866">
        <v>1771501</v>
      </c>
      <c r="J1866" t="s">
        <v>11021</v>
      </c>
      <c r="K1866">
        <v>347</v>
      </c>
      <c r="L1866" t="s">
        <v>108</v>
      </c>
      <c r="M1866">
        <v>44</v>
      </c>
      <c r="N1866" t="str">
        <f>HYPERLINK("Gene1760-zp_tree_all.dnd", "Gene1760-tree")</f>
        <v>Gene1760-tree</v>
      </c>
      <c r="O1866">
        <v>5</v>
      </c>
      <c r="P1866">
        <v>8</v>
      </c>
      <c r="Q1866">
        <v>5</v>
      </c>
      <c r="R1866">
        <v>8</v>
      </c>
      <c r="S1866">
        <v>0.61538000000000004</v>
      </c>
      <c r="T1866" t="s">
        <v>199</v>
      </c>
      <c r="U1866" t="s">
        <v>136</v>
      </c>
      <c r="V1866" t="s">
        <v>62</v>
      </c>
      <c r="W1866" t="s">
        <v>62</v>
      </c>
      <c r="X1866">
        <v>3</v>
      </c>
      <c r="Y1866">
        <v>7</v>
      </c>
      <c r="Z1866">
        <v>11</v>
      </c>
      <c r="AA1866">
        <v>0.38889000000000001</v>
      </c>
      <c r="AB1866">
        <v>0</v>
      </c>
      <c r="AC1866">
        <v>0</v>
      </c>
      <c r="AD1866">
        <v>0</v>
      </c>
      <c r="AE1866">
        <v>4</v>
      </c>
      <c r="AF1866">
        <v>0</v>
      </c>
      <c r="AG1866">
        <v>0</v>
      </c>
      <c r="AH1866">
        <v>0</v>
      </c>
      <c r="AI1866">
        <v>0</v>
      </c>
      <c r="AJ1866">
        <v>10</v>
      </c>
      <c r="AK1866">
        <v>0</v>
      </c>
      <c r="AL1866">
        <v>11</v>
      </c>
      <c r="AM1866">
        <v>9</v>
      </c>
      <c r="AN1866">
        <v>20</v>
      </c>
      <c r="AO1866">
        <v>10</v>
      </c>
      <c r="AP1866">
        <v>12</v>
      </c>
      <c r="AQ1866">
        <v>8</v>
      </c>
      <c r="AR1866" t="s">
        <v>11022</v>
      </c>
      <c r="AS1866" t="s">
        <v>11023</v>
      </c>
      <c r="AT1866">
        <v>0.25600000000000001</v>
      </c>
      <c r="AU1866" t="s">
        <v>65</v>
      </c>
      <c r="AV1866">
        <v>32</v>
      </c>
      <c r="AW1866">
        <v>18</v>
      </c>
      <c r="AX1866" t="s">
        <v>11024</v>
      </c>
      <c r="AY1866">
        <v>2.9329999999999998E-2</v>
      </c>
      <c r="AZ1866">
        <v>-1.3500000000000001E-3</v>
      </c>
      <c r="BA1866">
        <v>4.2399999999999998E-3</v>
      </c>
      <c r="BB1866">
        <v>-1.9000000000000001E-4</v>
      </c>
      <c r="BC1866">
        <v>0.14454</v>
      </c>
      <c r="BD1866">
        <v>1</v>
      </c>
      <c r="BE1866" t="s">
        <v>69</v>
      </c>
      <c r="BF1866">
        <v>-0.505</v>
      </c>
      <c r="BG1866">
        <v>-1.121</v>
      </c>
    </row>
    <row r="1867" spans="1:59">
      <c r="A1867">
        <v>0</v>
      </c>
      <c r="B1867">
        <v>10</v>
      </c>
      <c r="C1867">
        <v>0</v>
      </c>
      <c r="D1867" t="s">
        <v>25022</v>
      </c>
      <c r="E1867">
        <v>1423</v>
      </c>
      <c r="F1867" t="s">
        <v>8913</v>
      </c>
      <c r="G1867" t="s">
        <v>57</v>
      </c>
      <c r="H1867">
        <v>1438092</v>
      </c>
      <c r="I1867">
        <v>1439132</v>
      </c>
      <c r="J1867" t="s">
        <v>2569</v>
      </c>
      <c r="K1867">
        <v>347</v>
      </c>
      <c r="L1867" t="s">
        <v>108</v>
      </c>
      <c r="M1867">
        <v>44</v>
      </c>
      <c r="N1867" t="str">
        <f>HYPERLINK("Gene1423-zp_tree_all.dnd", "Gene1423-tree")</f>
        <v>Gene1423-tree</v>
      </c>
      <c r="O1867">
        <v>8</v>
      </c>
      <c r="P1867">
        <v>5</v>
      </c>
      <c r="Q1867">
        <v>8</v>
      </c>
      <c r="R1867">
        <v>5</v>
      </c>
      <c r="S1867">
        <v>0.38462000000000002</v>
      </c>
      <c r="T1867" t="s">
        <v>136</v>
      </c>
      <c r="U1867" t="s">
        <v>199</v>
      </c>
      <c r="V1867" t="s">
        <v>62</v>
      </c>
      <c r="W1867" t="s">
        <v>62</v>
      </c>
      <c r="X1867">
        <v>4</v>
      </c>
      <c r="Y1867">
        <v>10</v>
      </c>
      <c r="Z1867">
        <v>6</v>
      </c>
      <c r="AA1867">
        <v>0.625</v>
      </c>
      <c r="AB1867">
        <v>0</v>
      </c>
      <c r="AC1867">
        <v>0</v>
      </c>
      <c r="AD1867">
        <v>0</v>
      </c>
      <c r="AE1867">
        <v>2</v>
      </c>
      <c r="AF1867">
        <v>0</v>
      </c>
      <c r="AG1867">
        <v>2</v>
      </c>
      <c r="AH1867">
        <v>0</v>
      </c>
      <c r="AI1867">
        <v>2</v>
      </c>
      <c r="AJ1867">
        <v>6</v>
      </c>
      <c r="AK1867">
        <v>0.25</v>
      </c>
      <c r="AL1867">
        <v>11</v>
      </c>
      <c r="AM1867">
        <v>10</v>
      </c>
      <c r="AN1867">
        <v>32</v>
      </c>
      <c r="AO1867">
        <v>8</v>
      </c>
      <c r="AP1867">
        <v>38</v>
      </c>
      <c r="AQ1867">
        <v>8</v>
      </c>
      <c r="AR1867" t="s">
        <v>8914</v>
      </c>
      <c r="AS1867" t="s">
        <v>8915</v>
      </c>
      <c r="AT1867">
        <v>0.152</v>
      </c>
      <c r="AU1867" t="s">
        <v>65</v>
      </c>
      <c r="AV1867">
        <v>70</v>
      </c>
      <c r="AW1867">
        <v>16</v>
      </c>
      <c r="AX1867" t="s">
        <v>8916</v>
      </c>
      <c r="AY1867">
        <v>6.8519999999999998E-2</v>
      </c>
      <c r="AZ1867">
        <v>-3.29E-3</v>
      </c>
      <c r="BA1867">
        <v>4.5199999999999997E-3</v>
      </c>
      <c r="BB1867">
        <v>-2.7999999999999998E-4</v>
      </c>
      <c r="BC1867">
        <v>6.5960000000000005E-2</v>
      </c>
      <c r="BD1867">
        <v>1</v>
      </c>
      <c r="BE1867" t="s">
        <v>69</v>
      </c>
      <c r="BF1867">
        <v>0.13500000000000001</v>
      </c>
      <c r="BG1867">
        <v>-0.30199999999999999</v>
      </c>
    </row>
    <row r="1868" spans="1:59">
      <c r="A1868">
        <v>0</v>
      </c>
      <c r="B1868">
        <v>4</v>
      </c>
      <c r="C1868">
        <v>2</v>
      </c>
      <c r="D1868" t="s">
        <v>25022</v>
      </c>
      <c r="E1868">
        <v>2659</v>
      </c>
      <c r="F1868" t="s">
        <v>15589</v>
      </c>
      <c r="G1868" t="s">
        <v>62</v>
      </c>
      <c r="H1868">
        <v>2636099</v>
      </c>
      <c r="I1868">
        <v>2637139</v>
      </c>
      <c r="J1868" t="s">
        <v>15590</v>
      </c>
      <c r="K1868">
        <v>347</v>
      </c>
      <c r="L1868" t="s">
        <v>59</v>
      </c>
      <c r="M1868">
        <v>49</v>
      </c>
      <c r="N1868" t="str">
        <f>HYPERLINK("Gene2659-zp_tree_all.dnd", "Gene2659-tree")</f>
        <v>Gene2659-tree</v>
      </c>
      <c r="O1868">
        <v>5</v>
      </c>
      <c r="P1868">
        <v>13</v>
      </c>
      <c r="Q1868">
        <v>5</v>
      </c>
      <c r="R1868">
        <v>13</v>
      </c>
      <c r="S1868">
        <v>0.72221999999999997</v>
      </c>
      <c r="T1868" t="s">
        <v>199</v>
      </c>
      <c r="U1868" t="s">
        <v>507</v>
      </c>
      <c r="V1868" t="s">
        <v>62</v>
      </c>
      <c r="W1868" t="s">
        <v>62</v>
      </c>
      <c r="X1868">
        <v>2</v>
      </c>
      <c r="Y1868">
        <v>6</v>
      </c>
      <c r="Z1868">
        <v>15</v>
      </c>
      <c r="AA1868">
        <v>0.28571000000000002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</v>
      </c>
      <c r="AH1868">
        <v>0</v>
      </c>
      <c r="AI1868">
        <v>3</v>
      </c>
      <c r="AJ1868">
        <v>13</v>
      </c>
      <c r="AK1868">
        <v>0.1875</v>
      </c>
      <c r="AL1868">
        <v>17</v>
      </c>
      <c r="AM1868">
        <v>12</v>
      </c>
      <c r="AN1868">
        <v>66</v>
      </c>
      <c r="AO1868">
        <v>16</v>
      </c>
      <c r="AP1868">
        <v>74</v>
      </c>
      <c r="AQ1868">
        <v>5</v>
      </c>
      <c r="AR1868" t="s">
        <v>15591</v>
      </c>
      <c r="AS1868" t="s">
        <v>15592</v>
      </c>
      <c r="AT1868">
        <v>1.353</v>
      </c>
      <c r="AU1868" t="s">
        <v>65</v>
      </c>
      <c r="AV1868">
        <v>140</v>
      </c>
      <c r="AW1868">
        <v>21</v>
      </c>
      <c r="AX1868" t="s">
        <v>15593</v>
      </c>
      <c r="AY1868">
        <v>0.12273000000000001</v>
      </c>
      <c r="AZ1868">
        <v>-6.5199999999999998E-3</v>
      </c>
      <c r="BA1868">
        <v>4.0800000000000003E-3</v>
      </c>
      <c r="BB1868">
        <v>-1.9000000000000001E-4</v>
      </c>
      <c r="BC1868">
        <v>3.3210000000000003E-2</v>
      </c>
      <c r="BD1868">
        <v>1</v>
      </c>
      <c r="BE1868" t="s">
        <v>69</v>
      </c>
      <c r="BF1868">
        <v>-1.3680000000000001</v>
      </c>
      <c r="BG1868">
        <v>-1.5880000000000001</v>
      </c>
    </row>
    <row r="1869" spans="1:59">
      <c r="A1869">
        <v>0</v>
      </c>
      <c r="B1869">
        <v>24</v>
      </c>
      <c r="C1869">
        <v>4</v>
      </c>
      <c r="D1869" t="s">
        <v>25022</v>
      </c>
      <c r="E1869">
        <v>658</v>
      </c>
      <c r="F1869" t="s">
        <v>4094</v>
      </c>
      <c r="G1869" t="s">
        <v>57</v>
      </c>
      <c r="H1869">
        <v>679827</v>
      </c>
      <c r="I1869">
        <v>680870</v>
      </c>
      <c r="J1869" t="s">
        <v>4095</v>
      </c>
      <c r="K1869">
        <v>348</v>
      </c>
      <c r="L1869" t="s">
        <v>4096</v>
      </c>
      <c r="M1869">
        <v>42</v>
      </c>
      <c r="N1869" t="str">
        <f>HYPERLINK("Gene658-zp_tree_all.dnd", "Gene658-tree")</f>
        <v>Gene658-tree</v>
      </c>
      <c r="O1869">
        <v>3</v>
      </c>
      <c r="P1869">
        <v>30</v>
      </c>
      <c r="Q1869">
        <v>3</v>
      </c>
      <c r="R1869">
        <v>14</v>
      </c>
      <c r="S1869">
        <v>0.82352999999999998</v>
      </c>
      <c r="T1869" t="s">
        <v>324</v>
      </c>
      <c r="U1869" t="s">
        <v>4097</v>
      </c>
      <c r="V1869">
        <v>2.3E-2</v>
      </c>
      <c r="W1869" t="s">
        <v>65</v>
      </c>
      <c r="X1869">
        <v>11</v>
      </c>
      <c r="Y1869">
        <v>28</v>
      </c>
      <c r="Z1869">
        <v>16</v>
      </c>
      <c r="AA1869">
        <v>0.63636000000000004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7</v>
      </c>
      <c r="AH1869">
        <v>2</v>
      </c>
      <c r="AI1869">
        <v>9</v>
      </c>
      <c r="AJ1869">
        <v>20</v>
      </c>
      <c r="AK1869">
        <v>0.31034</v>
      </c>
      <c r="AL1869">
        <v>15</v>
      </c>
      <c r="AM1869">
        <v>12</v>
      </c>
      <c r="AN1869">
        <v>36</v>
      </c>
      <c r="AO1869">
        <v>27</v>
      </c>
      <c r="AP1869">
        <v>28</v>
      </c>
      <c r="AQ1869">
        <v>17</v>
      </c>
      <c r="AR1869" t="s">
        <v>4098</v>
      </c>
      <c r="AS1869" t="s">
        <v>4099</v>
      </c>
      <c r="AT1869">
        <v>0.36099999999999999</v>
      </c>
      <c r="AU1869" t="s">
        <v>65</v>
      </c>
      <c r="AV1869">
        <v>64</v>
      </c>
      <c r="AW1869">
        <v>44</v>
      </c>
      <c r="AX1869" t="s">
        <v>4100</v>
      </c>
      <c r="AY1869">
        <v>4.9070000000000003E-2</v>
      </c>
      <c r="AZ1869">
        <v>-1.8699999999999999E-3</v>
      </c>
      <c r="BA1869">
        <v>7.8899999999999994E-3</v>
      </c>
      <c r="BB1869">
        <v>-2.5999999999999998E-4</v>
      </c>
      <c r="BC1869">
        <v>0.16088</v>
      </c>
      <c r="BD1869">
        <v>1</v>
      </c>
      <c r="BE1869" t="s">
        <v>69</v>
      </c>
      <c r="BF1869">
        <v>-0.504</v>
      </c>
      <c r="BG1869">
        <v>-1.325</v>
      </c>
    </row>
    <row r="1870" spans="1:59">
      <c r="A1870">
        <v>0</v>
      </c>
      <c r="B1870">
        <v>4</v>
      </c>
      <c r="C1870">
        <v>1</v>
      </c>
      <c r="D1870" t="s">
        <v>25022</v>
      </c>
      <c r="E1870">
        <v>1322</v>
      </c>
      <c r="F1870" t="s">
        <v>8287</v>
      </c>
      <c r="G1870" t="s">
        <v>57</v>
      </c>
      <c r="H1870">
        <v>1341350</v>
      </c>
      <c r="I1870">
        <v>1342393</v>
      </c>
      <c r="J1870" t="s">
        <v>8288</v>
      </c>
      <c r="K1870">
        <v>348</v>
      </c>
      <c r="L1870" t="s">
        <v>1305</v>
      </c>
      <c r="M1870">
        <v>43</v>
      </c>
      <c r="N1870" t="str">
        <f>HYPERLINK("Gene1322-zp_tree_all.dnd", "Gene1322-tree")</f>
        <v>Gene1322-tree</v>
      </c>
      <c r="O1870">
        <v>4</v>
      </c>
      <c r="P1870">
        <v>8</v>
      </c>
      <c r="Q1870">
        <v>4</v>
      </c>
      <c r="R1870">
        <v>8</v>
      </c>
      <c r="S1870">
        <v>0.66666999999999998</v>
      </c>
      <c r="T1870" t="s">
        <v>61</v>
      </c>
      <c r="U1870" t="s">
        <v>136</v>
      </c>
      <c r="V1870" t="s">
        <v>62</v>
      </c>
      <c r="W1870" t="s">
        <v>62</v>
      </c>
      <c r="X1870">
        <v>1</v>
      </c>
      <c r="Y1870">
        <v>5</v>
      </c>
      <c r="Z1870">
        <v>6</v>
      </c>
      <c r="AA1870">
        <v>0.45455000000000001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3</v>
      </c>
      <c r="AH1870">
        <v>0</v>
      </c>
      <c r="AI1870">
        <v>3</v>
      </c>
      <c r="AJ1870">
        <v>6</v>
      </c>
      <c r="AK1870">
        <v>0.33333000000000002</v>
      </c>
      <c r="AL1870">
        <v>10</v>
      </c>
      <c r="AM1870">
        <v>7</v>
      </c>
      <c r="AN1870">
        <v>39</v>
      </c>
      <c r="AO1870">
        <v>8</v>
      </c>
      <c r="AP1870">
        <v>33</v>
      </c>
      <c r="AQ1870">
        <v>3</v>
      </c>
      <c r="AR1870" t="s">
        <v>8289</v>
      </c>
      <c r="AS1870" t="s">
        <v>8290</v>
      </c>
      <c r="AT1870">
        <v>1.1759999999999999</v>
      </c>
      <c r="AU1870" t="s">
        <v>65</v>
      </c>
      <c r="AV1870">
        <v>72</v>
      </c>
      <c r="AW1870">
        <v>11</v>
      </c>
      <c r="AX1870" t="s">
        <v>8291</v>
      </c>
      <c r="AY1870">
        <v>7.1870000000000003E-2</v>
      </c>
      <c r="AZ1870">
        <v>-3.5100000000000001E-3</v>
      </c>
      <c r="BA1870">
        <v>2.2000000000000001E-3</v>
      </c>
      <c r="BB1870">
        <v>-1.6000000000000001E-4</v>
      </c>
      <c r="BC1870">
        <v>3.066E-2</v>
      </c>
      <c r="BD1870">
        <v>1</v>
      </c>
      <c r="BE1870" t="s">
        <v>69</v>
      </c>
      <c r="BF1870">
        <v>0.15</v>
      </c>
      <c r="BG1870">
        <v>0.30499999999999999</v>
      </c>
    </row>
    <row r="1871" spans="1:59">
      <c r="A1871">
        <v>0</v>
      </c>
      <c r="B1871">
        <v>2</v>
      </c>
      <c r="C1871">
        <v>0</v>
      </c>
      <c r="D1871" t="s">
        <v>25022</v>
      </c>
      <c r="E1871">
        <v>2368</v>
      </c>
      <c r="F1871" t="s">
        <v>13768</v>
      </c>
      <c r="G1871" t="s">
        <v>62</v>
      </c>
      <c r="H1871">
        <v>2381922</v>
      </c>
      <c r="I1871">
        <v>2382965</v>
      </c>
      <c r="J1871" t="s">
        <v>13769</v>
      </c>
      <c r="K1871">
        <v>348</v>
      </c>
      <c r="L1871" t="s">
        <v>59</v>
      </c>
      <c r="M1871">
        <v>49</v>
      </c>
      <c r="N1871" t="str">
        <f>HYPERLINK("Gene2368-zp_tree_all.dnd", "Gene2368-tree")</f>
        <v>Gene2368-tree</v>
      </c>
      <c r="O1871">
        <v>16</v>
      </c>
      <c r="P1871">
        <v>5</v>
      </c>
      <c r="Q1871">
        <v>16</v>
      </c>
      <c r="R1871">
        <v>5</v>
      </c>
      <c r="S1871">
        <v>0.23810000000000001</v>
      </c>
      <c r="T1871" t="s">
        <v>60</v>
      </c>
      <c r="U1871" t="s">
        <v>199</v>
      </c>
      <c r="V1871" t="s">
        <v>62</v>
      </c>
      <c r="W1871" t="s">
        <v>62</v>
      </c>
      <c r="X1871">
        <v>1</v>
      </c>
      <c r="Y1871">
        <v>2</v>
      </c>
      <c r="Z1871">
        <v>7</v>
      </c>
      <c r="AA1871">
        <v>0.22222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7</v>
      </c>
      <c r="AK1871">
        <v>0</v>
      </c>
      <c r="AL1871">
        <v>16</v>
      </c>
      <c r="AM1871">
        <v>16</v>
      </c>
      <c r="AN1871">
        <v>32</v>
      </c>
      <c r="AO1871">
        <v>5</v>
      </c>
      <c r="AP1871">
        <v>88</v>
      </c>
      <c r="AQ1871">
        <v>4</v>
      </c>
      <c r="AR1871" t="s">
        <v>13770</v>
      </c>
      <c r="AS1871" t="s">
        <v>13771</v>
      </c>
      <c r="AT1871">
        <v>0.65</v>
      </c>
      <c r="AU1871" t="s">
        <v>65</v>
      </c>
      <c r="AV1871">
        <v>120</v>
      </c>
      <c r="AW1871">
        <v>9</v>
      </c>
      <c r="AX1871" t="s">
        <v>13772</v>
      </c>
      <c r="AY1871">
        <v>0.12230000000000001</v>
      </c>
      <c r="AZ1871">
        <v>-6.0800000000000003E-3</v>
      </c>
      <c r="BA1871">
        <v>1.65E-3</v>
      </c>
      <c r="BB1871">
        <v>-1E-4</v>
      </c>
      <c r="BC1871">
        <v>1.345E-2</v>
      </c>
      <c r="BD1871">
        <v>1</v>
      </c>
      <c r="BE1871" t="s">
        <v>69</v>
      </c>
      <c r="BF1871">
        <v>-0.14399999999999999</v>
      </c>
      <c r="BG1871">
        <v>0.91400000000000003</v>
      </c>
    </row>
    <row r="1872" spans="1:59">
      <c r="A1872">
        <v>0</v>
      </c>
      <c r="B1872">
        <v>0</v>
      </c>
      <c r="C1872">
        <v>0</v>
      </c>
      <c r="D1872" t="s">
        <v>25022</v>
      </c>
      <c r="E1872">
        <v>1755</v>
      </c>
      <c r="F1872" t="s">
        <v>10992</v>
      </c>
      <c r="G1872" t="s">
        <v>57</v>
      </c>
      <c r="H1872">
        <v>1764645</v>
      </c>
      <c r="I1872">
        <v>1765688</v>
      </c>
      <c r="J1872" t="s">
        <v>10993</v>
      </c>
      <c r="K1872">
        <v>348</v>
      </c>
      <c r="L1872" t="s">
        <v>59</v>
      </c>
      <c r="M1872">
        <v>49</v>
      </c>
      <c r="N1872" t="str">
        <f>HYPERLINK("Gene1755-zp_tree_all.dnd", "Gene1755-tree")</f>
        <v>Gene1755-tree</v>
      </c>
      <c r="O1872">
        <v>14</v>
      </c>
      <c r="P1872">
        <v>1</v>
      </c>
      <c r="Q1872">
        <v>14</v>
      </c>
      <c r="R1872">
        <v>1</v>
      </c>
      <c r="S1872">
        <v>6.6669999999999993E-2</v>
      </c>
      <c r="T1872" t="s">
        <v>543</v>
      </c>
      <c r="U1872" t="s">
        <v>175</v>
      </c>
      <c r="V1872" t="s">
        <v>62</v>
      </c>
      <c r="W1872" t="s">
        <v>62</v>
      </c>
      <c r="X1872">
        <v>0</v>
      </c>
      <c r="Y1872">
        <v>0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</v>
      </c>
      <c r="AK1872">
        <v>0</v>
      </c>
      <c r="AL1872">
        <v>12</v>
      </c>
      <c r="AM1872">
        <v>11</v>
      </c>
      <c r="AN1872">
        <v>43</v>
      </c>
      <c r="AO1872">
        <v>2</v>
      </c>
      <c r="AP1872">
        <v>45</v>
      </c>
      <c r="AQ1872">
        <v>1</v>
      </c>
      <c r="AR1872" t="s">
        <v>10994</v>
      </c>
      <c r="AS1872" t="s">
        <v>10995</v>
      </c>
      <c r="AT1872">
        <v>0.14399999999999999</v>
      </c>
      <c r="AU1872" t="s">
        <v>65</v>
      </c>
      <c r="AV1872">
        <v>88</v>
      </c>
      <c r="AW1872">
        <v>3</v>
      </c>
      <c r="AX1872" t="s">
        <v>10996</v>
      </c>
      <c r="AY1872">
        <v>8.6599999999999996E-2</v>
      </c>
      <c r="AZ1872">
        <v>-5.6600000000000001E-3</v>
      </c>
      <c r="BA1872">
        <v>8.9999999999999998E-4</v>
      </c>
      <c r="BB1872">
        <v>-1E-4</v>
      </c>
      <c r="BC1872">
        <v>1.043E-2</v>
      </c>
      <c r="BD1872">
        <v>1</v>
      </c>
      <c r="BE1872" t="s">
        <v>69</v>
      </c>
      <c r="BF1872">
        <v>-1.5169999999999999</v>
      </c>
      <c r="BG1872">
        <v>-0.76400000000000001</v>
      </c>
    </row>
    <row r="1873" spans="1:59">
      <c r="A1873">
        <v>0</v>
      </c>
      <c r="B1873">
        <v>17</v>
      </c>
      <c r="C1873">
        <v>1</v>
      </c>
      <c r="D1873" t="s">
        <v>25022</v>
      </c>
      <c r="E1873">
        <v>2383</v>
      </c>
      <c r="F1873" t="s">
        <v>13863</v>
      </c>
      <c r="G1873" t="s">
        <v>62</v>
      </c>
      <c r="H1873">
        <v>2393605</v>
      </c>
      <c r="I1873">
        <v>2394651</v>
      </c>
      <c r="J1873" t="s">
        <v>13864</v>
      </c>
      <c r="K1873">
        <v>349</v>
      </c>
      <c r="L1873" t="s">
        <v>108</v>
      </c>
      <c r="M1873">
        <v>44</v>
      </c>
      <c r="N1873" t="str">
        <f>HYPERLINK("Gene2383-zp_tree_all.dnd", "Gene2383-tree")</f>
        <v>Gene2383-tree</v>
      </c>
      <c r="O1873">
        <v>4</v>
      </c>
      <c r="P1873">
        <v>30</v>
      </c>
      <c r="Q1873">
        <v>4</v>
      </c>
      <c r="R1873">
        <v>9</v>
      </c>
      <c r="S1873">
        <v>0.69230999999999998</v>
      </c>
      <c r="T1873" t="s">
        <v>61</v>
      </c>
      <c r="U1873" t="s">
        <v>2142</v>
      </c>
      <c r="V1873">
        <v>2.625</v>
      </c>
      <c r="W1873" t="s">
        <v>65</v>
      </c>
      <c r="X1873">
        <v>8</v>
      </c>
      <c r="Y1873">
        <v>18</v>
      </c>
      <c r="Z1873">
        <v>14</v>
      </c>
      <c r="AA1873">
        <v>0.5625</v>
      </c>
      <c r="AB1873">
        <v>0</v>
      </c>
      <c r="AC1873">
        <v>0</v>
      </c>
      <c r="AD1873">
        <v>0</v>
      </c>
      <c r="AE1873">
        <v>2</v>
      </c>
      <c r="AF1873">
        <v>0</v>
      </c>
      <c r="AG1873">
        <v>8</v>
      </c>
      <c r="AH1873">
        <v>1</v>
      </c>
      <c r="AI1873">
        <v>9</v>
      </c>
      <c r="AJ1873">
        <v>13</v>
      </c>
      <c r="AK1873">
        <v>0.40909000000000001</v>
      </c>
      <c r="AL1873">
        <v>12</v>
      </c>
      <c r="AM1873">
        <v>10</v>
      </c>
      <c r="AN1873">
        <v>51</v>
      </c>
      <c r="AO1873">
        <v>22</v>
      </c>
      <c r="AP1873">
        <v>29</v>
      </c>
      <c r="AQ1873">
        <v>10</v>
      </c>
      <c r="AR1873" t="s">
        <v>13865</v>
      </c>
      <c r="AS1873" t="s">
        <v>13866</v>
      </c>
      <c r="AT1873">
        <v>0.28399999999999997</v>
      </c>
      <c r="AU1873" t="s">
        <v>65</v>
      </c>
      <c r="AV1873">
        <v>80</v>
      </c>
      <c r="AW1873">
        <v>32</v>
      </c>
      <c r="AX1873" t="s">
        <v>13867</v>
      </c>
      <c r="AY1873">
        <v>6.6589999999999996E-2</v>
      </c>
      <c r="AZ1873">
        <v>-3.0599999999999998E-3</v>
      </c>
      <c r="BA1873">
        <v>7.5300000000000002E-3</v>
      </c>
      <c r="BB1873">
        <v>-4.4000000000000002E-4</v>
      </c>
      <c r="BC1873">
        <v>0.11307</v>
      </c>
      <c r="BD1873">
        <v>1</v>
      </c>
      <c r="BE1873" t="s">
        <v>69</v>
      </c>
      <c r="BF1873">
        <v>-0.307</v>
      </c>
      <c r="BG1873">
        <v>-0.46600000000000003</v>
      </c>
    </row>
    <row r="1874" spans="1:59">
      <c r="A1874">
        <v>0</v>
      </c>
      <c r="B1874">
        <v>0</v>
      </c>
      <c r="C1874">
        <v>0</v>
      </c>
      <c r="D1874" t="s">
        <v>25022</v>
      </c>
      <c r="E1874">
        <v>456</v>
      </c>
      <c r="F1874" t="s">
        <v>3094</v>
      </c>
      <c r="G1874" t="s">
        <v>57</v>
      </c>
      <c r="H1874">
        <v>501579</v>
      </c>
      <c r="I1874">
        <v>502628</v>
      </c>
      <c r="J1874" t="s">
        <v>3095</v>
      </c>
      <c r="K1874">
        <v>350</v>
      </c>
      <c r="L1874" t="s">
        <v>108</v>
      </c>
      <c r="M1874">
        <v>44</v>
      </c>
      <c r="N1874" t="str">
        <f>HYPERLINK("Gene456-zp_tree_all.dnd", "Gene456-tree")</f>
        <v>Gene456-tree</v>
      </c>
      <c r="O1874">
        <v>12</v>
      </c>
      <c r="P1874">
        <v>2</v>
      </c>
      <c r="Q1874">
        <v>12</v>
      </c>
      <c r="R1874">
        <v>2</v>
      </c>
      <c r="S1874">
        <v>0.14285999999999999</v>
      </c>
      <c r="T1874" t="s">
        <v>109</v>
      </c>
      <c r="U1874" t="s">
        <v>81</v>
      </c>
      <c r="V1874" t="s">
        <v>62</v>
      </c>
      <c r="W1874" t="s">
        <v>62</v>
      </c>
      <c r="X1874">
        <v>0</v>
      </c>
      <c r="Y1874">
        <v>0</v>
      </c>
      <c r="Z1874">
        <v>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</v>
      </c>
      <c r="AK1874">
        <v>0</v>
      </c>
      <c r="AL1874">
        <v>11</v>
      </c>
      <c r="AM1874">
        <v>8</v>
      </c>
      <c r="AN1874">
        <v>28</v>
      </c>
      <c r="AO1874">
        <v>3</v>
      </c>
      <c r="AP1874">
        <v>18</v>
      </c>
      <c r="AQ1874">
        <v>0</v>
      </c>
      <c r="AR1874" t="s">
        <v>3096</v>
      </c>
      <c r="AS1874" t="s">
        <v>193</v>
      </c>
      <c r="AT1874">
        <v>0.53800000000000003</v>
      </c>
      <c r="AU1874" t="s">
        <v>65</v>
      </c>
      <c r="AV1874">
        <v>46</v>
      </c>
      <c r="AW1874">
        <v>3</v>
      </c>
      <c r="AX1874" t="s">
        <v>3097</v>
      </c>
      <c r="AY1874">
        <v>4.0599999999999997E-2</v>
      </c>
      <c r="AZ1874">
        <v>-2.1900000000000001E-3</v>
      </c>
      <c r="BA1874">
        <v>5.2999999999999998E-4</v>
      </c>
      <c r="BB1874">
        <v>-9.0000000000000006E-5</v>
      </c>
      <c r="BC1874">
        <v>1.315E-2</v>
      </c>
      <c r="BD1874">
        <v>1</v>
      </c>
      <c r="BE1874" t="s">
        <v>69</v>
      </c>
      <c r="BF1874">
        <v>-0.79200000000000004</v>
      </c>
      <c r="BG1874">
        <v>-1.752</v>
      </c>
    </row>
    <row r="1875" spans="1:59">
      <c r="A1875">
        <v>0</v>
      </c>
      <c r="B1875">
        <v>5</v>
      </c>
      <c r="C1875">
        <v>2</v>
      </c>
      <c r="D1875" t="s">
        <v>25022</v>
      </c>
      <c r="E1875">
        <v>3206</v>
      </c>
      <c r="F1875" t="s">
        <v>18670</v>
      </c>
      <c r="G1875" t="s">
        <v>62</v>
      </c>
      <c r="H1875">
        <v>3159694</v>
      </c>
      <c r="I1875">
        <v>3160746</v>
      </c>
      <c r="J1875" t="s">
        <v>3688</v>
      </c>
      <c r="K1875">
        <v>351</v>
      </c>
      <c r="L1875" t="s">
        <v>108</v>
      </c>
      <c r="M1875">
        <v>44</v>
      </c>
      <c r="N1875" t="str">
        <f>HYPERLINK("Gene3206-zp_tree_all.dnd", "Gene3206-tree")</f>
        <v>Gene3206-tree</v>
      </c>
      <c r="O1875">
        <v>9</v>
      </c>
      <c r="P1875">
        <v>4</v>
      </c>
      <c r="Q1875">
        <v>9</v>
      </c>
      <c r="R1875">
        <v>4</v>
      </c>
      <c r="S1875">
        <v>0.30769000000000002</v>
      </c>
      <c r="T1875" t="s">
        <v>135</v>
      </c>
      <c r="U1875" t="s">
        <v>61</v>
      </c>
      <c r="V1875" t="s">
        <v>62</v>
      </c>
      <c r="W1875" t="s">
        <v>62</v>
      </c>
      <c r="X1875">
        <v>3</v>
      </c>
      <c r="Y1875">
        <v>7</v>
      </c>
      <c r="Z1875">
        <v>8</v>
      </c>
      <c r="AA1875">
        <v>0.46666999999999997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</v>
      </c>
      <c r="AI1875">
        <v>2</v>
      </c>
      <c r="AJ1875">
        <v>7</v>
      </c>
      <c r="AK1875">
        <v>0.22222</v>
      </c>
      <c r="AL1875">
        <v>12</v>
      </c>
      <c r="AM1875">
        <v>9</v>
      </c>
      <c r="AN1875">
        <v>29</v>
      </c>
      <c r="AO1875">
        <v>6</v>
      </c>
      <c r="AP1875">
        <v>33</v>
      </c>
      <c r="AQ1875">
        <v>10</v>
      </c>
      <c r="AR1875" t="s">
        <v>18671</v>
      </c>
      <c r="AS1875" t="s">
        <v>18672</v>
      </c>
      <c r="AT1875">
        <v>0.38200000000000001</v>
      </c>
      <c r="AU1875" t="s">
        <v>65</v>
      </c>
      <c r="AV1875">
        <v>62</v>
      </c>
      <c r="AW1875">
        <v>16</v>
      </c>
      <c r="AX1875" t="s">
        <v>18673</v>
      </c>
      <c r="AY1875">
        <v>6.2780000000000002E-2</v>
      </c>
      <c r="AZ1875">
        <v>-2.7399999999999998E-3</v>
      </c>
      <c r="BA1875">
        <v>4.8300000000000001E-3</v>
      </c>
      <c r="BB1875">
        <v>-2.9999999999999997E-4</v>
      </c>
      <c r="BC1875">
        <v>7.6880000000000004E-2</v>
      </c>
      <c r="BD1875">
        <v>1</v>
      </c>
      <c r="BE1875" t="s">
        <v>69</v>
      </c>
      <c r="BF1875">
        <v>0.14599999999999999</v>
      </c>
      <c r="BG1875">
        <v>2.5999999999999999E-2</v>
      </c>
    </row>
    <row r="1876" spans="1:59">
      <c r="A1876">
        <v>0</v>
      </c>
      <c r="B1876">
        <v>0</v>
      </c>
      <c r="C1876">
        <v>2</v>
      </c>
      <c r="D1876" t="s">
        <v>25022</v>
      </c>
      <c r="E1876">
        <v>826</v>
      </c>
      <c r="F1876" t="s">
        <v>5146</v>
      </c>
      <c r="G1876" t="s">
        <v>57</v>
      </c>
      <c r="H1876">
        <v>865205</v>
      </c>
      <c r="I1876">
        <v>866257</v>
      </c>
      <c r="J1876" t="s">
        <v>5147</v>
      </c>
      <c r="K1876">
        <v>351</v>
      </c>
      <c r="L1876" t="s">
        <v>108</v>
      </c>
      <c r="M1876">
        <v>44</v>
      </c>
      <c r="N1876" t="str">
        <f>HYPERLINK("Gene826-zp_tree_all.dnd", "Gene826-tree")</f>
        <v>Gene826-tree</v>
      </c>
      <c r="O1876">
        <v>13</v>
      </c>
      <c r="P1876">
        <v>3</v>
      </c>
      <c r="Q1876">
        <v>13</v>
      </c>
      <c r="R1876">
        <v>3</v>
      </c>
      <c r="S1876">
        <v>0.1875</v>
      </c>
      <c r="T1876" t="s">
        <v>507</v>
      </c>
      <c r="U1876" t="s">
        <v>324</v>
      </c>
      <c r="V1876" t="s">
        <v>62</v>
      </c>
      <c r="W1876" t="s">
        <v>62</v>
      </c>
      <c r="X1876">
        <v>1</v>
      </c>
      <c r="Y1876">
        <v>2</v>
      </c>
      <c r="Z1876">
        <v>3</v>
      </c>
      <c r="AA1876">
        <v>0.4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4</v>
      </c>
      <c r="AK1876">
        <v>0</v>
      </c>
      <c r="AL1876">
        <v>13</v>
      </c>
      <c r="AM1876">
        <v>10</v>
      </c>
      <c r="AN1876">
        <v>45</v>
      </c>
      <c r="AO1876">
        <v>4</v>
      </c>
      <c r="AP1876">
        <v>18</v>
      </c>
      <c r="AQ1876">
        <v>1</v>
      </c>
      <c r="AR1876" t="s">
        <v>5148</v>
      </c>
      <c r="AS1876" t="s">
        <v>5149</v>
      </c>
      <c r="AT1876">
        <v>0.159</v>
      </c>
      <c r="AU1876" t="s">
        <v>65</v>
      </c>
      <c r="AV1876">
        <v>63</v>
      </c>
      <c r="AW1876">
        <v>5</v>
      </c>
      <c r="AX1876" t="s">
        <v>5150</v>
      </c>
      <c r="AY1876">
        <v>4.036E-2</v>
      </c>
      <c r="AZ1876">
        <v>-1.6000000000000001E-3</v>
      </c>
      <c r="BA1876">
        <v>1.1000000000000001E-3</v>
      </c>
      <c r="BB1876">
        <v>-9.0000000000000006E-5</v>
      </c>
      <c r="BC1876">
        <v>2.7269999999999999E-2</v>
      </c>
      <c r="BD1876">
        <v>1</v>
      </c>
      <c r="BE1876" t="s">
        <v>69</v>
      </c>
      <c r="BF1876">
        <v>-1.004</v>
      </c>
      <c r="BG1876">
        <v>-2.8420000000000001</v>
      </c>
    </row>
    <row r="1877" spans="1:59">
      <c r="A1877">
        <v>0</v>
      </c>
      <c r="B1877">
        <v>6</v>
      </c>
      <c r="C1877">
        <v>0</v>
      </c>
      <c r="D1877" t="s">
        <v>25022</v>
      </c>
      <c r="E1877">
        <v>2399</v>
      </c>
      <c r="F1877" t="s">
        <v>13963</v>
      </c>
      <c r="G1877" t="s">
        <v>62</v>
      </c>
      <c r="H1877">
        <v>2408408</v>
      </c>
      <c r="I1877">
        <v>2409463</v>
      </c>
      <c r="J1877" t="s">
        <v>13964</v>
      </c>
      <c r="K1877">
        <v>352</v>
      </c>
      <c r="L1877" t="s">
        <v>108</v>
      </c>
      <c r="M1877">
        <v>44</v>
      </c>
      <c r="N1877" t="str">
        <f>HYPERLINK("Gene2399-zp_tree_all.dnd", "Gene2399-tree")</f>
        <v>Gene2399-tree</v>
      </c>
      <c r="O1877">
        <v>5</v>
      </c>
      <c r="P1877">
        <v>6</v>
      </c>
      <c r="Q1877">
        <v>5</v>
      </c>
      <c r="R1877">
        <v>6</v>
      </c>
      <c r="S1877">
        <v>0.54544999999999999</v>
      </c>
      <c r="T1877" t="s">
        <v>199</v>
      </c>
      <c r="U1877" t="s">
        <v>90</v>
      </c>
      <c r="V1877" t="s">
        <v>62</v>
      </c>
      <c r="W1877" t="s">
        <v>62</v>
      </c>
      <c r="X1877">
        <v>3</v>
      </c>
      <c r="Y1877">
        <v>6</v>
      </c>
      <c r="Z1877">
        <v>12</v>
      </c>
      <c r="AA1877">
        <v>0.33333000000000002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8</v>
      </c>
      <c r="AK1877">
        <v>0</v>
      </c>
      <c r="AL1877">
        <v>7</v>
      </c>
      <c r="AM1877">
        <v>7</v>
      </c>
      <c r="AN1877">
        <v>10</v>
      </c>
      <c r="AO1877">
        <v>5</v>
      </c>
      <c r="AP1877">
        <v>18</v>
      </c>
      <c r="AQ1877">
        <v>13</v>
      </c>
      <c r="AR1877" t="s">
        <v>13965</v>
      </c>
      <c r="AS1877" t="s">
        <v>13966</v>
      </c>
      <c r="AT1877">
        <v>0.55400000000000005</v>
      </c>
      <c r="AU1877" t="s">
        <v>65</v>
      </c>
      <c r="AV1877">
        <v>28</v>
      </c>
      <c r="AW1877">
        <v>18</v>
      </c>
      <c r="AX1877" t="s">
        <v>13967</v>
      </c>
      <c r="AY1877">
        <v>3.8190000000000002E-2</v>
      </c>
      <c r="AZ1877">
        <v>-2.4499999999999999E-3</v>
      </c>
      <c r="BA1877">
        <v>6.9800000000000001E-3</v>
      </c>
      <c r="BB1877">
        <v>-4.6000000000000001E-4</v>
      </c>
      <c r="BC1877">
        <v>0.18265999999999999</v>
      </c>
      <c r="BD1877">
        <v>1</v>
      </c>
      <c r="BE1877" t="s">
        <v>69</v>
      </c>
      <c r="BF1877">
        <v>0.19600000000000001</v>
      </c>
      <c r="BG1877">
        <v>0.19700000000000001</v>
      </c>
    </row>
    <row r="1878" spans="1:59">
      <c r="A1878">
        <v>0</v>
      </c>
      <c r="B1878">
        <v>8</v>
      </c>
      <c r="C1878">
        <v>2</v>
      </c>
      <c r="D1878" t="s">
        <v>25022</v>
      </c>
      <c r="E1878">
        <v>497</v>
      </c>
      <c r="F1878" t="s">
        <v>3302</v>
      </c>
      <c r="G1878" t="s">
        <v>57</v>
      </c>
      <c r="H1878">
        <v>534773</v>
      </c>
      <c r="I1878">
        <v>535828</v>
      </c>
      <c r="J1878" t="s">
        <v>3303</v>
      </c>
      <c r="K1878">
        <v>352</v>
      </c>
      <c r="L1878" t="s">
        <v>3304</v>
      </c>
      <c r="M1878">
        <v>18</v>
      </c>
      <c r="N1878" t="str">
        <f>HYPERLINK("Gene497-zp_tree_all.dnd", "Gene497-tree")</f>
        <v>Gene497-tree</v>
      </c>
      <c r="O1878">
        <v>0</v>
      </c>
      <c r="P1878">
        <v>4</v>
      </c>
      <c r="Q1878">
        <v>0</v>
      </c>
      <c r="R1878">
        <v>4</v>
      </c>
      <c r="S1878">
        <v>1</v>
      </c>
      <c r="T1878" t="s">
        <v>62</v>
      </c>
      <c r="U1878" t="s">
        <v>61</v>
      </c>
      <c r="V1878" t="s">
        <v>62</v>
      </c>
      <c r="W1878" t="s">
        <v>62</v>
      </c>
      <c r="X1878">
        <v>5</v>
      </c>
      <c r="Y1878">
        <v>10</v>
      </c>
      <c r="Z1878">
        <v>15</v>
      </c>
      <c r="AA1878">
        <v>0.4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8</v>
      </c>
      <c r="AH1878">
        <v>2</v>
      </c>
      <c r="AI1878">
        <v>10</v>
      </c>
      <c r="AJ1878">
        <v>14</v>
      </c>
      <c r="AK1878">
        <v>0.41666999999999998</v>
      </c>
      <c r="AL1878">
        <v>4</v>
      </c>
      <c r="AM1878">
        <v>1</v>
      </c>
      <c r="AN1878">
        <v>47</v>
      </c>
      <c r="AO1878">
        <v>24</v>
      </c>
      <c r="AP1878">
        <v>13</v>
      </c>
      <c r="AQ1878">
        <v>2</v>
      </c>
      <c r="AR1878" t="s">
        <v>3305</v>
      </c>
      <c r="AS1878" t="s">
        <v>3306</v>
      </c>
      <c r="AT1878">
        <v>4.7510000000000003</v>
      </c>
      <c r="AU1878" t="s">
        <v>267</v>
      </c>
      <c r="AV1878">
        <v>60</v>
      </c>
      <c r="AW1878">
        <v>26</v>
      </c>
      <c r="AX1878" t="s">
        <v>3307</v>
      </c>
      <c r="AY1878">
        <v>0.15482000000000001</v>
      </c>
      <c r="AZ1878">
        <v>-1.6670000000000001E-2</v>
      </c>
      <c r="BA1878">
        <v>1.438E-2</v>
      </c>
      <c r="BB1878">
        <v>-2.0500000000000002E-3</v>
      </c>
      <c r="BC1878">
        <v>9.289E-2</v>
      </c>
      <c r="BD1878">
        <v>1</v>
      </c>
      <c r="BE1878" t="s">
        <v>69</v>
      </c>
      <c r="BF1878">
        <v>-0.214</v>
      </c>
      <c r="BG1878">
        <v>-0.64900000000000002</v>
      </c>
    </row>
    <row r="1879" spans="1:59">
      <c r="A1879">
        <v>0</v>
      </c>
      <c r="B1879">
        <v>4</v>
      </c>
      <c r="C1879">
        <v>0</v>
      </c>
      <c r="D1879" t="s">
        <v>25022</v>
      </c>
      <c r="E1879">
        <v>3343</v>
      </c>
      <c r="F1879" t="s">
        <v>19531</v>
      </c>
      <c r="G1879" t="s">
        <v>62</v>
      </c>
      <c r="H1879">
        <v>3313773</v>
      </c>
      <c r="I1879">
        <v>3314828</v>
      </c>
      <c r="J1879" t="s">
        <v>19532</v>
      </c>
      <c r="K1879">
        <v>352</v>
      </c>
      <c r="L1879" t="s">
        <v>289</v>
      </c>
      <c r="M1879">
        <v>46</v>
      </c>
      <c r="N1879" t="str">
        <f>HYPERLINK("Gene3343-zp_tree_all.dnd", "Gene3343-tree")</f>
        <v>Gene3343-tree</v>
      </c>
      <c r="O1879">
        <v>9</v>
      </c>
      <c r="P1879">
        <v>8</v>
      </c>
      <c r="Q1879">
        <v>9</v>
      </c>
      <c r="R1879">
        <v>8</v>
      </c>
      <c r="S1879">
        <v>0.47059000000000001</v>
      </c>
      <c r="T1879" t="s">
        <v>135</v>
      </c>
      <c r="U1879" t="s">
        <v>136</v>
      </c>
      <c r="V1879" t="s">
        <v>62</v>
      </c>
      <c r="W1879" t="s">
        <v>62</v>
      </c>
      <c r="X1879">
        <v>2</v>
      </c>
      <c r="Y1879">
        <v>4</v>
      </c>
      <c r="Z1879">
        <v>11</v>
      </c>
      <c r="AA1879">
        <v>0.26667000000000002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</v>
      </c>
      <c r="AH1879">
        <v>0</v>
      </c>
      <c r="AI1879">
        <v>2</v>
      </c>
      <c r="AJ1879">
        <v>9</v>
      </c>
      <c r="AK1879">
        <v>0.18182000000000001</v>
      </c>
      <c r="AL1879">
        <v>13</v>
      </c>
      <c r="AM1879">
        <v>10</v>
      </c>
      <c r="AN1879">
        <v>35</v>
      </c>
      <c r="AO1879">
        <v>11</v>
      </c>
      <c r="AP1879">
        <v>54</v>
      </c>
      <c r="AQ1879">
        <v>4</v>
      </c>
      <c r="AR1879" t="s">
        <v>19533</v>
      </c>
      <c r="AS1879" t="s">
        <v>19534</v>
      </c>
      <c r="AT1879">
        <v>1.1859999999999999</v>
      </c>
      <c r="AU1879" t="s">
        <v>65</v>
      </c>
      <c r="AV1879">
        <v>89</v>
      </c>
      <c r="AW1879">
        <v>15</v>
      </c>
      <c r="AX1879" t="s">
        <v>19535</v>
      </c>
      <c r="AY1879">
        <v>7.1650000000000005E-2</v>
      </c>
      <c r="AZ1879">
        <v>-6.45E-3</v>
      </c>
      <c r="BA1879">
        <v>2.7699999999999999E-3</v>
      </c>
      <c r="BB1879">
        <v>-1.4999999999999999E-4</v>
      </c>
      <c r="BC1879">
        <v>3.8679999999999999E-2</v>
      </c>
      <c r="BD1879">
        <v>1</v>
      </c>
      <c r="BE1879" t="s">
        <v>69</v>
      </c>
      <c r="BF1879">
        <v>-2.0299999999999998</v>
      </c>
      <c r="BG1879">
        <v>-1.411</v>
      </c>
    </row>
    <row r="1880" spans="1:59">
      <c r="A1880">
        <v>0</v>
      </c>
      <c r="B1880">
        <v>0</v>
      </c>
      <c r="C1880">
        <v>0</v>
      </c>
      <c r="D1880" t="s">
        <v>25022</v>
      </c>
      <c r="E1880">
        <v>155</v>
      </c>
      <c r="F1880" t="s">
        <v>1094</v>
      </c>
      <c r="G1880" t="s">
        <v>57</v>
      </c>
      <c r="H1880">
        <v>157421</v>
      </c>
      <c r="I1880">
        <v>158476</v>
      </c>
      <c r="J1880" t="s">
        <v>1095</v>
      </c>
      <c r="K1880">
        <v>352</v>
      </c>
      <c r="L1880" t="s">
        <v>108</v>
      </c>
      <c r="M1880">
        <v>44</v>
      </c>
      <c r="N1880" t="str">
        <f>HYPERLINK("Gene155-zp_tree_all.dnd", "Gene155-tree")</f>
        <v>Gene155-tree</v>
      </c>
      <c r="O1880">
        <v>7</v>
      </c>
      <c r="P1880">
        <v>4</v>
      </c>
      <c r="Q1880">
        <v>7</v>
      </c>
      <c r="R1880">
        <v>4</v>
      </c>
      <c r="S1880">
        <v>0.36364000000000002</v>
      </c>
      <c r="T1880" t="s">
        <v>152</v>
      </c>
      <c r="U1880" t="s">
        <v>61</v>
      </c>
      <c r="V1880" t="s">
        <v>62</v>
      </c>
      <c r="W1880" t="s">
        <v>62</v>
      </c>
      <c r="X1880">
        <v>0</v>
      </c>
      <c r="Y1880">
        <v>0</v>
      </c>
      <c r="Z1880">
        <v>6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</v>
      </c>
      <c r="AK1880">
        <v>0</v>
      </c>
      <c r="AL1880">
        <v>10</v>
      </c>
      <c r="AM1880">
        <v>6</v>
      </c>
      <c r="AN1880">
        <v>32</v>
      </c>
      <c r="AO1880">
        <v>5</v>
      </c>
      <c r="AP1880">
        <v>19</v>
      </c>
      <c r="AQ1880">
        <v>1</v>
      </c>
      <c r="AR1880" t="s">
        <v>1096</v>
      </c>
      <c r="AS1880" t="s">
        <v>1097</v>
      </c>
      <c r="AT1880">
        <v>0.61599999999999999</v>
      </c>
      <c r="AU1880" t="s">
        <v>65</v>
      </c>
      <c r="AV1880">
        <v>51</v>
      </c>
      <c r="AW1880">
        <v>6</v>
      </c>
      <c r="AX1880" t="s">
        <v>1098</v>
      </c>
      <c r="AY1880">
        <v>5.4339999999999999E-2</v>
      </c>
      <c r="AZ1880">
        <v>-3.2100000000000002E-3</v>
      </c>
      <c r="BA1880">
        <v>1.5399999999999999E-3</v>
      </c>
      <c r="BB1880">
        <v>-1.9000000000000001E-4</v>
      </c>
      <c r="BC1880">
        <v>2.8400000000000002E-2</v>
      </c>
      <c r="BD1880">
        <v>1</v>
      </c>
      <c r="BE1880" t="s">
        <v>69</v>
      </c>
      <c r="BF1880">
        <v>-0.58399999999999996</v>
      </c>
      <c r="BG1880">
        <v>-1.4219999999999999</v>
      </c>
    </row>
    <row r="1881" spans="1:59">
      <c r="A1881">
        <v>0</v>
      </c>
      <c r="B1881">
        <v>6</v>
      </c>
      <c r="C1881">
        <v>0</v>
      </c>
      <c r="D1881" t="s">
        <v>25022</v>
      </c>
      <c r="E1881">
        <v>2584</v>
      </c>
      <c r="F1881" t="s">
        <v>15126</v>
      </c>
      <c r="G1881" t="s">
        <v>62</v>
      </c>
      <c r="H1881">
        <v>2566240</v>
      </c>
      <c r="I1881">
        <v>2567298</v>
      </c>
      <c r="J1881" t="s">
        <v>1523</v>
      </c>
      <c r="K1881">
        <v>353</v>
      </c>
      <c r="L1881" t="s">
        <v>108</v>
      </c>
      <c r="M1881">
        <v>44</v>
      </c>
      <c r="N1881" t="str">
        <f>HYPERLINK("Gene2584-zp_tree_all.dnd", "Gene2584-tree")</f>
        <v>Gene2584-tree</v>
      </c>
      <c r="O1881">
        <v>4</v>
      </c>
      <c r="P1881">
        <v>9</v>
      </c>
      <c r="Q1881">
        <v>4</v>
      </c>
      <c r="R1881">
        <v>9</v>
      </c>
      <c r="S1881">
        <v>0.69230999999999998</v>
      </c>
      <c r="T1881" t="s">
        <v>61</v>
      </c>
      <c r="U1881" t="s">
        <v>135</v>
      </c>
      <c r="V1881" t="s">
        <v>62</v>
      </c>
      <c r="W1881" t="s">
        <v>62</v>
      </c>
      <c r="X1881">
        <v>3</v>
      </c>
      <c r="Y1881">
        <v>6</v>
      </c>
      <c r="Z1881">
        <v>21</v>
      </c>
      <c r="AA1881">
        <v>0.22222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</v>
      </c>
      <c r="AH1881">
        <v>0</v>
      </c>
      <c r="AI1881">
        <v>2</v>
      </c>
      <c r="AJ1881">
        <v>19</v>
      </c>
      <c r="AK1881">
        <v>9.5240000000000005E-2</v>
      </c>
      <c r="AL1881">
        <v>13</v>
      </c>
      <c r="AM1881">
        <v>8</v>
      </c>
      <c r="AN1881">
        <v>25</v>
      </c>
      <c r="AO1881">
        <v>21</v>
      </c>
      <c r="AP1881">
        <v>7</v>
      </c>
      <c r="AQ1881">
        <v>6</v>
      </c>
      <c r="AR1881" t="s">
        <v>15127</v>
      </c>
      <c r="AS1881" t="s">
        <v>15128</v>
      </c>
      <c r="AT1881">
        <v>2.8000000000000001E-2</v>
      </c>
      <c r="AU1881" t="s">
        <v>65</v>
      </c>
      <c r="AV1881">
        <v>32</v>
      </c>
      <c r="AW1881">
        <v>27</v>
      </c>
      <c r="AX1881" t="s">
        <v>15129</v>
      </c>
      <c r="AY1881">
        <v>2.767E-2</v>
      </c>
      <c r="AZ1881">
        <v>-2.3999999999999998E-3</v>
      </c>
      <c r="BA1881">
        <v>6.2599999999999999E-3</v>
      </c>
      <c r="BB1881">
        <v>-3.8999999999999999E-4</v>
      </c>
      <c r="BC1881">
        <v>0.22638</v>
      </c>
      <c r="BD1881">
        <v>1</v>
      </c>
      <c r="BE1881" t="s">
        <v>69</v>
      </c>
      <c r="BF1881">
        <v>-1.5409999999999999</v>
      </c>
      <c r="BG1881">
        <v>-2.9020000000000001</v>
      </c>
    </row>
    <row r="1882" spans="1:59">
      <c r="A1882">
        <v>0</v>
      </c>
      <c r="B1882">
        <v>7</v>
      </c>
      <c r="C1882">
        <v>0</v>
      </c>
      <c r="D1882" t="s">
        <v>25022</v>
      </c>
      <c r="E1882">
        <v>3442</v>
      </c>
      <c r="F1882" t="s">
        <v>20152</v>
      </c>
      <c r="G1882" t="s">
        <v>62</v>
      </c>
      <c r="H1882">
        <v>3402472</v>
      </c>
      <c r="I1882">
        <v>3403530</v>
      </c>
      <c r="J1882" t="s">
        <v>20153</v>
      </c>
      <c r="K1882">
        <v>353</v>
      </c>
      <c r="L1882" t="s">
        <v>108</v>
      </c>
      <c r="M1882">
        <v>44</v>
      </c>
      <c r="N1882" t="str">
        <f>HYPERLINK("Gene3442-zp_tree_all.dnd", "Gene3442-tree")</f>
        <v>Gene3442-tree</v>
      </c>
      <c r="O1882">
        <v>6</v>
      </c>
      <c r="P1882">
        <v>6</v>
      </c>
      <c r="Q1882">
        <v>6</v>
      </c>
      <c r="R1882">
        <v>6</v>
      </c>
      <c r="S1882">
        <v>0.5</v>
      </c>
      <c r="T1882" t="s">
        <v>90</v>
      </c>
      <c r="U1882" t="s">
        <v>90</v>
      </c>
      <c r="V1882" t="s">
        <v>62</v>
      </c>
      <c r="W1882" t="s">
        <v>62</v>
      </c>
      <c r="X1882">
        <v>3</v>
      </c>
      <c r="Y1882">
        <v>7</v>
      </c>
      <c r="Z1882">
        <v>11</v>
      </c>
      <c r="AA1882">
        <v>0.38889000000000001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</v>
      </c>
      <c r="AH1882">
        <v>0</v>
      </c>
      <c r="AI1882">
        <v>2</v>
      </c>
      <c r="AJ1882">
        <v>8</v>
      </c>
      <c r="AK1882">
        <v>0.2</v>
      </c>
      <c r="AL1882">
        <v>12</v>
      </c>
      <c r="AM1882">
        <v>8</v>
      </c>
      <c r="AN1882">
        <v>31</v>
      </c>
      <c r="AO1882">
        <v>10</v>
      </c>
      <c r="AP1882">
        <v>20</v>
      </c>
      <c r="AQ1882">
        <v>8</v>
      </c>
      <c r="AR1882" t="s">
        <v>20154</v>
      </c>
      <c r="AS1882" t="s">
        <v>20155</v>
      </c>
      <c r="AT1882">
        <v>0.218</v>
      </c>
      <c r="AU1882" t="s">
        <v>65</v>
      </c>
      <c r="AV1882">
        <v>51</v>
      </c>
      <c r="AW1882">
        <v>18</v>
      </c>
      <c r="AX1882" t="s">
        <v>20156</v>
      </c>
      <c r="AY1882">
        <v>3.8870000000000002E-2</v>
      </c>
      <c r="AZ1882">
        <v>-1.65E-3</v>
      </c>
      <c r="BA1882">
        <v>5.0899999999999999E-3</v>
      </c>
      <c r="BB1882">
        <v>-2.4000000000000001E-4</v>
      </c>
      <c r="BC1882">
        <v>0.13100999999999999</v>
      </c>
      <c r="BD1882">
        <v>1</v>
      </c>
      <c r="BE1882" t="s">
        <v>69</v>
      </c>
      <c r="BF1882">
        <v>-0.52300000000000002</v>
      </c>
      <c r="BG1882">
        <v>-1.0229999999999999</v>
      </c>
    </row>
    <row r="1883" spans="1:59">
      <c r="A1883">
        <v>0</v>
      </c>
      <c r="B1883">
        <v>4</v>
      </c>
      <c r="C1883">
        <v>2</v>
      </c>
      <c r="D1883" t="s">
        <v>25022</v>
      </c>
      <c r="E1883">
        <v>1159</v>
      </c>
      <c r="F1883" t="s">
        <v>7298</v>
      </c>
      <c r="G1883" t="s">
        <v>57</v>
      </c>
      <c r="H1883">
        <v>1199327</v>
      </c>
      <c r="I1883">
        <v>1200385</v>
      </c>
      <c r="J1883" t="s">
        <v>7299</v>
      </c>
      <c r="K1883">
        <v>353</v>
      </c>
      <c r="L1883" t="s">
        <v>265</v>
      </c>
      <c r="M1883">
        <v>43</v>
      </c>
      <c r="N1883" t="str">
        <f>HYPERLINK("Gene1159-zp_tree_all.dnd", "Gene1159-tree")</f>
        <v>Gene1159-tree</v>
      </c>
      <c r="O1883">
        <v>4</v>
      </c>
      <c r="P1883">
        <v>9</v>
      </c>
      <c r="Q1883">
        <v>4</v>
      </c>
      <c r="R1883">
        <v>9</v>
      </c>
      <c r="S1883">
        <v>0.69230999999999998</v>
      </c>
      <c r="T1883" t="s">
        <v>61</v>
      </c>
      <c r="U1883" t="s">
        <v>135</v>
      </c>
      <c r="V1883" t="s">
        <v>62</v>
      </c>
      <c r="W1883" t="s">
        <v>62</v>
      </c>
      <c r="X1883">
        <v>3</v>
      </c>
      <c r="Y1883">
        <v>6</v>
      </c>
      <c r="Z1883">
        <v>9</v>
      </c>
      <c r="AA1883">
        <v>0.4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4</v>
      </c>
      <c r="AH1883">
        <v>2</v>
      </c>
      <c r="AI1883">
        <v>6</v>
      </c>
      <c r="AJ1883">
        <v>4</v>
      </c>
      <c r="AK1883">
        <v>0.6</v>
      </c>
      <c r="AL1883">
        <v>10</v>
      </c>
      <c r="AM1883">
        <v>9</v>
      </c>
      <c r="AN1883">
        <v>20</v>
      </c>
      <c r="AO1883">
        <v>8</v>
      </c>
      <c r="AP1883">
        <v>32</v>
      </c>
      <c r="AQ1883">
        <v>7</v>
      </c>
      <c r="AR1883" t="s">
        <v>7300</v>
      </c>
      <c r="AS1883" t="s">
        <v>7301</v>
      </c>
      <c r="AT1883">
        <v>0.67</v>
      </c>
      <c r="AU1883" t="s">
        <v>65</v>
      </c>
      <c r="AV1883">
        <v>52</v>
      </c>
      <c r="AW1883">
        <v>15</v>
      </c>
      <c r="AX1883" t="s">
        <v>7302</v>
      </c>
      <c r="AY1883">
        <v>5.3249999999999999E-2</v>
      </c>
      <c r="AZ1883">
        <v>-2.5899999999999999E-3</v>
      </c>
      <c r="BA1883">
        <v>4.2599999999999999E-3</v>
      </c>
      <c r="BB1883">
        <v>-1.9000000000000001E-4</v>
      </c>
      <c r="BC1883">
        <v>7.9920000000000005E-2</v>
      </c>
      <c r="BD1883">
        <v>1</v>
      </c>
      <c r="BE1883" t="s">
        <v>69</v>
      </c>
      <c r="BF1883">
        <v>0.36399999999999999</v>
      </c>
      <c r="BG1883">
        <v>-0.89900000000000002</v>
      </c>
    </row>
    <row r="1884" spans="1:59">
      <c r="A1884">
        <v>0</v>
      </c>
      <c r="B1884">
        <v>4</v>
      </c>
      <c r="C1884">
        <v>2</v>
      </c>
      <c r="D1884" t="s">
        <v>25022</v>
      </c>
      <c r="E1884">
        <v>1048</v>
      </c>
      <c r="F1884" t="s">
        <v>6571</v>
      </c>
      <c r="G1884" t="s">
        <v>57</v>
      </c>
      <c r="H1884">
        <v>1086117</v>
      </c>
      <c r="I1884">
        <v>1087175</v>
      </c>
      <c r="J1884" t="s">
        <v>6572</v>
      </c>
      <c r="K1884">
        <v>353</v>
      </c>
      <c r="L1884" t="s">
        <v>465</v>
      </c>
      <c r="M1884">
        <v>46</v>
      </c>
      <c r="N1884" t="str">
        <f>HYPERLINK("Gene1048-zp_tree_all.dnd", "Gene1048-tree")</f>
        <v>Gene1048-tree</v>
      </c>
      <c r="O1884">
        <v>8</v>
      </c>
      <c r="P1884">
        <v>8</v>
      </c>
      <c r="Q1884">
        <v>8</v>
      </c>
      <c r="R1884">
        <v>8</v>
      </c>
      <c r="S1884">
        <v>0.5</v>
      </c>
      <c r="T1884" t="s">
        <v>136</v>
      </c>
      <c r="U1884" t="s">
        <v>136</v>
      </c>
      <c r="V1884" t="s">
        <v>62</v>
      </c>
      <c r="W1884" t="s">
        <v>62</v>
      </c>
      <c r="X1884">
        <v>3</v>
      </c>
      <c r="Y1884">
        <v>6</v>
      </c>
      <c r="Z1884">
        <v>17</v>
      </c>
      <c r="AA1884">
        <v>0.26086999999999999</v>
      </c>
      <c r="AB1884">
        <v>0</v>
      </c>
      <c r="AC1884">
        <v>0</v>
      </c>
      <c r="AD1884">
        <v>0</v>
      </c>
      <c r="AE1884">
        <v>4</v>
      </c>
      <c r="AF1884">
        <v>0</v>
      </c>
      <c r="AG1884">
        <v>0</v>
      </c>
      <c r="AH1884">
        <v>0</v>
      </c>
      <c r="AI1884">
        <v>0</v>
      </c>
      <c r="AJ1884">
        <v>8</v>
      </c>
      <c r="AK1884">
        <v>0</v>
      </c>
      <c r="AL1884">
        <v>15</v>
      </c>
      <c r="AM1884">
        <v>13</v>
      </c>
      <c r="AN1884">
        <v>28</v>
      </c>
      <c r="AO1884">
        <v>8</v>
      </c>
      <c r="AP1884">
        <v>66</v>
      </c>
      <c r="AQ1884">
        <v>15</v>
      </c>
      <c r="AR1884" t="s">
        <v>6573</v>
      </c>
      <c r="AS1884" t="s">
        <v>6574</v>
      </c>
      <c r="AT1884">
        <v>0.24299999999999999</v>
      </c>
      <c r="AU1884" t="s">
        <v>65</v>
      </c>
      <c r="AV1884">
        <v>94</v>
      </c>
      <c r="AW1884">
        <v>23</v>
      </c>
      <c r="AX1884" t="s">
        <v>6575</v>
      </c>
      <c r="AY1884">
        <v>8.5019999999999998E-2</v>
      </c>
      <c r="AZ1884">
        <v>-6.8199999999999997E-3</v>
      </c>
      <c r="BA1884">
        <v>6.3299999999999997E-3</v>
      </c>
      <c r="BB1884">
        <v>-2.5999999999999998E-4</v>
      </c>
      <c r="BC1884">
        <v>7.4490000000000001E-2</v>
      </c>
      <c r="BD1884">
        <v>1</v>
      </c>
      <c r="BE1884" t="s">
        <v>69</v>
      </c>
      <c r="BF1884">
        <v>-1.1240000000000001</v>
      </c>
      <c r="BG1884">
        <v>7.0000000000000007E-2</v>
      </c>
    </row>
    <row r="1885" spans="1:59">
      <c r="A1885">
        <v>0</v>
      </c>
      <c r="B1885">
        <v>5</v>
      </c>
      <c r="C1885">
        <v>0</v>
      </c>
      <c r="D1885" t="s">
        <v>25022</v>
      </c>
      <c r="E1885">
        <v>2548</v>
      </c>
      <c r="F1885" t="s">
        <v>14889</v>
      </c>
      <c r="G1885" t="s">
        <v>62</v>
      </c>
      <c r="H1885">
        <v>2538700</v>
      </c>
      <c r="I1885">
        <v>2539758</v>
      </c>
      <c r="J1885" t="s">
        <v>14890</v>
      </c>
      <c r="K1885">
        <v>353</v>
      </c>
      <c r="L1885" t="s">
        <v>99</v>
      </c>
      <c r="M1885">
        <v>47</v>
      </c>
      <c r="N1885" t="str">
        <f>HYPERLINK("Gene2548-zp_tree_all.dnd", "Gene2548-tree")</f>
        <v>Gene2548-tree</v>
      </c>
      <c r="O1885">
        <v>10</v>
      </c>
      <c r="P1885">
        <v>8</v>
      </c>
      <c r="Q1885">
        <v>10</v>
      </c>
      <c r="R1885">
        <v>8</v>
      </c>
      <c r="S1885">
        <v>0.44444</v>
      </c>
      <c r="T1885" t="s">
        <v>117</v>
      </c>
      <c r="U1885" t="s">
        <v>136</v>
      </c>
      <c r="V1885" t="s">
        <v>62</v>
      </c>
      <c r="W1885" t="s">
        <v>62</v>
      </c>
      <c r="X1885">
        <v>2</v>
      </c>
      <c r="Y1885">
        <v>5</v>
      </c>
      <c r="Z1885">
        <v>16</v>
      </c>
      <c r="AA1885">
        <v>0.23810000000000001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3</v>
      </c>
      <c r="AH1885">
        <v>0</v>
      </c>
      <c r="AI1885">
        <v>3</v>
      </c>
      <c r="AJ1885">
        <v>12</v>
      </c>
      <c r="AK1885">
        <v>0.2</v>
      </c>
      <c r="AL1885">
        <v>14</v>
      </c>
      <c r="AM1885">
        <v>8</v>
      </c>
      <c r="AN1885">
        <v>43</v>
      </c>
      <c r="AO1885">
        <v>13</v>
      </c>
      <c r="AP1885">
        <v>37</v>
      </c>
      <c r="AQ1885">
        <v>8</v>
      </c>
      <c r="AR1885" t="s">
        <v>14891</v>
      </c>
      <c r="AS1885" t="s">
        <v>14892</v>
      </c>
      <c r="AT1885">
        <v>0.185</v>
      </c>
      <c r="AU1885" t="s">
        <v>65</v>
      </c>
      <c r="AV1885">
        <v>80</v>
      </c>
      <c r="AW1885">
        <v>21</v>
      </c>
      <c r="AX1885" t="s">
        <v>14893</v>
      </c>
      <c r="AY1885">
        <v>5.493E-2</v>
      </c>
      <c r="AZ1885">
        <v>-6.1399999999999996E-3</v>
      </c>
      <c r="BA1885">
        <v>3.6600000000000001E-3</v>
      </c>
      <c r="BB1885">
        <v>-2.9E-4</v>
      </c>
      <c r="BC1885">
        <v>6.6559999999999994E-2</v>
      </c>
      <c r="BD1885">
        <v>1</v>
      </c>
      <c r="BE1885" t="s">
        <v>69</v>
      </c>
      <c r="BF1885">
        <v>-1.742</v>
      </c>
      <c r="BG1885">
        <v>-0.77</v>
      </c>
    </row>
    <row r="1886" spans="1:59">
      <c r="A1886">
        <v>0</v>
      </c>
      <c r="B1886">
        <v>4</v>
      </c>
      <c r="C1886">
        <v>0</v>
      </c>
      <c r="D1886" t="s">
        <v>25022</v>
      </c>
      <c r="E1886">
        <v>2854</v>
      </c>
      <c r="F1886" t="s">
        <v>16399</v>
      </c>
      <c r="G1886" t="s">
        <v>62</v>
      </c>
      <c r="H1886">
        <v>2801144</v>
      </c>
      <c r="I1886">
        <v>2802202</v>
      </c>
      <c r="J1886" t="s">
        <v>7478</v>
      </c>
      <c r="K1886">
        <v>353</v>
      </c>
      <c r="L1886" t="s">
        <v>108</v>
      </c>
      <c r="M1886">
        <v>44</v>
      </c>
      <c r="N1886" t="str">
        <f>HYPERLINK("Gene2854-zp_tree_all.dnd", "Gene2854-tree")</f>
        <v>Gene2854-tree</v>
      </c>
      <c r="O1886">
        <v>6</v>
      </c>
      <c r="P1886">
        <v>5</v>
      </c>
      <c r="Q1886">
        <v>6</v>
      </c>
      <c r="R1886">
        <v>5</v>
      </c>
      <c r="S1886">
        <v>0.45455000000000001</v>
      </c>
      <c r="T1886" t="s">
        <v>90</v>
      </c>
      <c r="U1886" t="s">
        <v>199</v>
      </c>
      <c r="V1886" t="s">
        <v>62</v>
      </c>
      <c r="W1886" t="s">
        <v>62</v>
      </c>
      <c r="X1886">
        <v>2</v>
      </c>
      <c r="Y1886">
        <v>4</v>
      </c>
      <c r="Z1886">
        <v>3</v>
      </c>
      <c r="AA1886">
        <v>0.57142999999999999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</v>
      </c>
      <c r="AH1886">
        <v>0</v>
      </c>
      <c r="AI1886">
        <v>2</v>
      </c>
      <c r="AJ1886">
        <v>4</v>
      </c>
      <c r="AK1886">
        <v>0.33333000000000002</v>
      </c>
      <c r="AL1886">
        <v>10</v>
      </c>
      <c r="AM1886">
        <v>6</v>
      </c>
      <c r="AN1886">
        <v>27</v>
      </c>
      <c r="AO1886">
        <v>6</v>
      </c>
      <c r="AP1886">
        <v>7</v>
      </c>
      <c r="AQ1886">
        <v>1</v>
      </c>
      <c r="AR1886" t="s">
        <v>16400</v>
      </c>
      <c r="AS1886" t="s">
        <v>16401</v>
      </c>
      <c r="AT1886">
        <v>0.23100000000000001</v>
      </c>
      <c r="AU1886" t="s">
        <v>65</v>
      </c>
      <c r="AV1886">
        <v>34</v>
      </c>
      <c r="AW1886">
        <v>7</v>
      </c>
      <c r="AX1886" t="s">
        <v>16402</v>
      </c>
      <c r="AY1886">
        <v>2.8910000000000002E-2</v>
      </c>
      <c r="AZ1886">
        <v>-1.98E-3</v>
      </c>
      <c r="BA1886">
        <v>1.6199999999999999E-3</v>
      </c>
      <c r="BB1886">
        <v>-1.3999999999999999E-4</v>
      </c>
      <c r="BC1886">
        <v>5.6189999999999997E-2</v>
      </c>
      <c r="BD1886">
        <v>1</v>
      </c>
      <c r="BE1886" t="s">
        <v>69</v>
      </c>
      <c r="BF1886">
        <v>-0.56899999999999995</v>
      </c>
      <c r="BG1886">
        <v>-0.753</v>
      </c>
    </row>
    <row r="1887" spans="1:59">
      <c r="A1887">
        <v>0</v>
      </c>
      <c r="B1887">
        <v>8</v>
      </c>
      <c r="C1887">
        <v>0</v>
      </c>
      <c r="D1887" t="s">
        <v>25022</v>
      </c>
      <c r="E1887">
        <v>647</v>
      </c>
      <c r="F1887" t="s">
        <v>4011</v>
      </c>
      <c r="G1887" t="s">
        <v>57</v>
      </c>
      <c r="H1887">
        <v>667466</v>
      </c>
      <c r="I1887">
        <v>668524</v>
      </c>
      <c r="J1887" t="s">
        <v>4012</v>
      </c>
      <c r="K1887">
        <v>353</v>
      </c>
      <c r="L1887" t="s">
        <v>4013</v>
      </c>
      <c r="M1887">
        <v>43</v>
      </c>
      <c r="N1887" t="str">
        <f>HYPERLINK("Gene647-zp_tree_all.dnd", "Gene647-tree")</f>
        <v>Gene647-tree</v>
      </c>
      <c r="O1887">
        <v>3</v>
      </c>
      <c r="P1887">
        <v>9</v>
      </c>
      <c r="Q1887">
        <v>3</v>
      </c>
      <c r="R1887">
        <v>9</v>
      </c>
      <c r="S1887">
        <v>0.75</v>
      </c>
      <c r="T1887" t="s">
        <v>324</v>
      </c>
      <c r="U1887" t="s">
        <v>135</v>
      </c>
      <c r="V1887" t="s">
        <v>62</v>
      </c>
      <c r="W1887" t="s">
        <v>62</v>
      </c>
      <c r="X1887">
        <v>3</v>
      </c>
      <c r="Y1887">
        <v>8</v>
      </c>
      <c r="Z1887">
        <v>12</v>
      </c>
      <c r="AA1887">
        <v>0.4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</v>
      </c>
      <c r="AH1887">
        <v>0</v>
      </c>
      <c r="AI1887">
        <v>2</v>
      </c>
      <c r="AJ1887">
        <v>13</v>
      </c>
      <c r="AK1887">
        <v>0.13333</v>
      </c>
      <c r="AL1887">
        <v>11</v>
      </c>
      <c r="AM1887">
        <v>9</v>
      </c>
      <c r="AN1887">
        <v>82</v>
      </c>
      <c r="AO1887">
        <v>16</v>
      </c>
      <c r="AP1887">
        <v>51</v>
      </c>
      <c r="AQ1887">
        <v>5</v>
      </c>
      <c r="AR1887" t="s">
        <v>4014</v>
      </c>
      <c r="AS1887" t="s">
        <v>4015</v>
      </c>
      <c r="AT1887">
        <v>0.82499999999999996</v>
      </c>
      <c r="AU1887" t="s">
        <v>65</v>
      </c>
      <c r="AV1887">
        <v>133</v>
      </c>
      <c r="AW1887">
        <v>21</v>
      </c>
      <c r="AX1887" t="s">
        <v>4016</v>
      </c>
      <c r="AY1887">
        <v>0.11409</v>
      </c>
      <c r="AZ1887">
        <v>-6.7499999999999999E-3</v>
      </c>
      <c r="BA1887">
        <v>4.81E-3</v>
      </c>
      <c r="BB1887">
        <v>-3.1E-4</v>
      </c>
      <c r="BC1887">
        <v>4.215E-2</v>
      </c>
      <c r="BD1887">
        <v>1</v>
      </c>
      <c r="BE1887" t="s">
        <v>69</v>
      </c>
      <c r="BF1887">
        <v>-0.67900000000000005</v>
      </c>
      <c r="BG1887">
        <v>-1.18</v>
      </c>
    </row>
    <row r="1888" spans="1:59">
      <c r="A1888">
        <v>0</v>
      </c>
      <c r="B1888">
        <v>5</v>
      </c>
      <c r="C1888">
        <v>0</v>
      </c>
      <c r="D1888" t="s">
        <v>25022</v>
      </c>
      <c r="E1888">
        <v>1619</v>
      </c>
      <c r="F1888" t="s">
        <v>10139</v>
      </c>
      <c r="G1888" t="s">
        <v>57</v>
      </c>
      <c r="H1888">
        <v>1631095</v>
      </c>
      <c r="I1888">
        <v>1632156</v>
      </c>
      <c r="J1888" t="s">
        <v>10140</v>
      </c>
      <c r="K1888">
        <v>354</v>
      </c>
      <c r="L1888" t="s">
        <v>108</v>
      </c>
      <c r="M1888">
        <v>44</v>
      </c>
      <c r="N1888" t="str">
        <f>HYPERLINK("Gene1619-zp_tree_all.dnd", "Gene1619-tree")</f>
        <v>Gene1619-tree</v>
      </c>
      <c r="O1888">
        <v>3</v>
      </c>
      <c r="P1888">
        <v>10</v>
      </c>
      <c r="Q1888">
        <v>3</v>
      </c>
      <c r="R1888">
        <v>10</v>
      </c>
      <c r="S1888">
        <v>0.76922999999999997</v>
      </c>
      <c r="T1888" t="s">
        <v>324</v>
      </c>
      <c r="U1888" t="s">
        <v>117</v>
      </c>
      <c r="V1888" t="s">
        <v>62</v>
      </c>
      <c r="W1888" t="s">
        <v>62</v>
      </c>
      <c r="X1888">
        <v>2</v>
      </c>
      <c r="Y1888">
        <v>5</v>
      </c>
      <c r="Z1888">
        <v>8</v>
      </c>
      <c r="AA1888">
        <v>0.38462000000000002</v>
      </c>
      <c r="AB1888">
        <v>0</v>
      </c>
      <c r="AC1888">
        <v>0</v>
      </c>
      <c r="AD1888">
        <v>0</v>
      </c>
      <c r="AE1888">
        <v>2</v>
      </c>
      <c r="AF1888">
        <v>0</v>
      </c>
      <c r="AG1888">
        <v>2</v>
      </c>
      <c r="AH1888">
        <v>0</v>
      </c>
      <c r="AI1888">
        <v>2</v>
      </c>
      <c r="AJ1888">
        <v>8</v>
      </c>
      <c r="AK1888">
        <v>0.2</v>
      </c>
      <c r="AL1888">
        <v>10</v>
      </c>
      <c r="AM1888">
        <v>6</v>
      </c>
      <c r="AN1888">
        <v>21</v>
      </c>
      <c r="AO1888">
        <v>10</v>
      </c>
      <c r="AP1888">
        <v>8</v>
      </c>
      <c r="AQ1888">
        <v>3</v>
      </c>
      <c r="AR1888" t="s">
        <v>10141</v>
      </c>
      <c r="AS1888" t="s">
        <v>10142</v>
      </c>
      <c r="AT1888">
        <v>0.31900000000000001</v>
      </c>
      <c r="AU1888" t="s">
        <v>65</v>
      </c>
      <c r="AV1888">
        <v>29</v>
      </c>
      <c r="AW1888">
        <v>13</v>
      </c>
      <c r="AX1888" t="s">
        <v>10143</v>
      </c>
      <c r="AY1888">
        <v>2.181E-2</v>
      </c>
      <c r="AZ1888">
        <v>-1.33E-3</v>
      </c>
      <c r="BA1888">
        <v>3.0300000000000001E-3</v>
      </c>
      <c r="BB1888">
        <v>-1.3999999999999999E-4</v>
      </c>
      <c r="BC1888">
        <v>0.13916000000000001</v>
      </c>
      <c r="BD1888">
        <v>1</v>
      </c>
      <c r="BE1888" t="s">
        <v>69</v>
      </c>
      <c r="BF1888">
        <v>-0.92600000000000005</v>
      </c>
      <c r="BG1888">
        <v>-2.5310000000000001</v>
      </c>
    </row>
    <row r="1889" spans="1:59">
      <c r="A1889">
        <v>0</v>
      </c>
      <c r="B1889">
        <v>4</v>
      </c>
      <c r="C1889">
        <v>0</v>
      </c>
      <c r="D1889" t="s">
        <v>25022</v>
      </c>
      <c r="E1889">
        <v>407</v>
      </c>
      <c r="F1889" t="s">
        <v>2760</v>
      </c>
      <c r="G1889" t="s">
        <v>57</v>
      </c>
      <c r="H1889">
        <v>452830</v>
      </c>
      <c r="I1889">
        <v>453891</v>
      </c>
      <c r="J1889" t="s">
        <v>2761</v>
      </c>
      <c r="K1889">
        <v>354</v>
      </c>
      <c r="L1889" t="s">
        <v>265</v>
      </c>
      <c r="M1889">
        <v>43</v>
      </c>
      <c r="N1889" t="str">
        <f>HYPERLINK("Gene407-zp_tree_all.dnd", "Gene407-tree")</f>
        <v>Gene407-tree</v>
      </c>
      <c r="O1889">
        <v>7</v>
      </c>
      <c r="P1889">
        <v>9</v>
      </c>
      <c r="Q1889">
        <v>7</v>
      </c>
      <c r="R1889">
        <v>9</v>
      </c>
      <c r="S1889">
        <v>0.5625</v>
      </c>
      <c r="T1889" t="s">
        <v>152</v>
      </c>
      <c r="U1889" t="s">
        <v>135</v>
      </c>
      <c r="V1889" t="s">
        <v>62</v>
      </c>
      <c r="W1889" t="s">
        <v>62</v>
      </c>
      <c r="X1889">
        <v>2</v>
      </c>
      <c r="Y1889">
        <v>4</v>
      </c>
      <c r="Z1889">
        <v>12</v>
      </c>
      <c r="AA1889">
        <v>0.25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4</v>
      </c>
      <c r="AH1889">
        <v>0</v>
      </c>
      <c r="AI1889">
        <v>4</v>
      </c>
      <c r="AJ1889">
        <v>11</v>
      </c>
      <c r="AK1889">
        <v>0.26667000000000002</v>
      </c>
      <c r="AL1889">
        <v>15</v>
      </c>
      <c r="AM1889">
        <v>11</v>
      </c>
      <c r="AN1889">
        <v>41</v>
      </c>
      <c r="AO1889">
        <v>15</v>
      </c>
      <c r="AP1889">
        <v>17</v>
      </c>
      <c r="AQ1889">
        <v>1</v>
      </c>
      <c r="AR1889" t="s">
        <v>2762</v>
      </c>
      <c r="AS1889" t="s">
        <v>2763</v>
      </c>
      <c r="AT1889">
        <v>0.59799999999999998</v>
      </c>
      <c r="AU1889" t="s">
        <v>65</v>
      </c>
      <c r="AV1889">
        <v>58</v>
      </c>
      <c r="AW1889">
        <v>16</v>
      </c>
      <c r="AX1889" t="s">
        <v>2764</v>
      </c>
      <c r="AY1889">
        <v>4.4790000000000003E-2</v>
      </c>
      <c r="AZ1889">
        <v>-2.4599999999999999E-3</v>
      </c>
      <c r="BA1889">
        <v>2.5400000000000002E-3</v>
      </c>
      <c r="BB1889">
        <v>-2.4000000000000001E-4</v>
      </c>
      <c r="BC1889">
        <v>5.6759999999999998E-2</v>
      </c>
      <c r="BD1889">
        <v>1</v>
      </c>
      <c r="BE1889" t="s">
        <v>69</v>
      </c>
      <c r="BF1889">
        <v>-1.3440000000000001</v>
      </c>
      <c r="BG1889">
        <v>-3.1419999999999999</v>
      </c>
    </row>
    <row r="1890" spans="1:59">
      <c r="A1890">
        <v>0</v>
      </c>
      <c r="B1890">
        <v>9</v>
      </c>
      <c r="C1890">
        <v>2</v>
      </c>
      <c r="D1890" t="s">
        <v>25022</v>
      </c>
      <c r="E1890">
        <v>465</v>
      </c>
      <c r="F1890" t="s">
        <v>3155</v>
      </c>
      <c r="G1890" t="s">
        <v>57</v>
      </c>
      <c r="H1890">
        <v>508248</v>
      </c>
      <c r="I1890">
        <v>509309</v>
      </c>
      <c r="J1890" t="s">
        <v>3156</v>
      </c>
      <c r="K1890">
        <v>354</v>
      </c>
      <c r="L1890" t="s">
        <v>394</v>
      </c>
      <c r="M1890">
        <v>48</v>
      </c>
      <c r="N1890" t="str">
        <f>HYPERLINK("Gene465-zp_tree_all.dnd", "Gene465-tree")</f>
        <v>Gene465-tree</v>
      </c>
      <c r="O1890">
        <v>10</v>
      </c>
      <c r="P1890">
        <v>9</v>
      </c>
      <c r="Q1890">
        <v>10</v>
      </c>
      <c r="R1890">
        <v>9</v>
      </c>
      <c r="S1890">
        <v>0.47367999999999999</v>
      </c>
      <c r="T1890" t="s">
        <v>117</v>
      </c>
      <c r="U1890" t="s">
        <v>135</v>
      </c>
      <c r="V1890" t="s">
        <v>62</v>
      </c>
      <c r="W1890" t="s">
        <v>62</v>
      </c>
      <c r="X1890">
        <v>5</v>
      </c>
      <c r="Y1890">
        <v>11</v>
      </c>
      <c r="Z1890">
        <v>16</v>
      </c>
      <c r="AA1890">
        <v>0.40740999999999999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</v>
      </c>
      <c r="AH1890">
        <v>2</v>
      </c>
      <c r="AI1890">
        <v>5</v>
      </c>
      <c r="AJ1890">
        <v>17</v>
      </c>
      <c r="AK1890">
        <v>0.22727</v>
      </c>
      <c r="AL1890">
        <v>17</v>
      </c>
      <c r="AM1890">
        <v>16</v>
      </c>
      <c r="AN1890">
        <v>81</v>
      </c>
      <c r="AO1890">
        <v>22</v>
      </c>
      <c r="AP1890">
        <v>70</v>
      </c>
      <c r="AQ1890">
        <v>5</v>
      </c>
      <c r="AR1890" t="s">
        <v>3157</v>
      </c>
      <c r="AS1890" t="s">
        <v>3158</v>
      </c>
      <c r="AT1890">
        <v>0.90200000000000002</v>
      </c>
      <c r="AU1890" t="s">
        <v>65</v>
      </c>
      <c r="AV1890">
        <v>151</v>
      </c>
      <c r="AW1890">
        <v>27</v>
      </c>
      <c r="AX1890" t="s">
        <v>3159</v>
      </c>
      <c r="AY1890">
        <v>9.9809999999999996E-2</v>
      </c>
      <c r="AZ1890">
        <v>-4.7800000000000004E-3</v>
      </c>
      <c r="BA1890">
        <v>4.15E-3</v>
      </c>
      <c r="BB1890">
        <v>-2.9E-4</v>
      </c>
      <c r="BC1890">
        <v>4.1619999999999997E-2</v>
      </c>
      <c r="BD1890">
        <v>1</v>
      </c>
      <c r="BE1890" t="s">
        <v>69</v>
      </c>
      <c r="BF1890">
        <v>-0.63800000000000001</v>
      </c>
      <c r="BG1890">
        <v>-0.78200000000000003</v>
      </c>
    </row>
    <row r="1891" spans="1:59">
      <c r="A1891">
        <v>0</v>
      </c>
      <c r="B1891">
        <v>21</v>
      </c>
      <c r="C1891">
        <v>0</v>
      </c>
      <c r="D1891" t="s">
        <v>25022</v>
      </c>
      <c r="E1891">
        <v>3597</v>
      </c>
      <c r="F1891" t="s">
        <v>21119</v>
      </c>
      <c r="G1891" t="s">
        <v>62</v>
      </c>
      <c r="H1891">
        <v>3566361</v>
      </c>
      <c r="I1891">
        <v>3567428</v>
      </c>
      <c r="J1891" t="s">
        <v>21120</v>
      </c>
      <c r="K1891">
        <v>356</v>
      </c>
      <c r="L1891" t="s">
        <v>108</v>
      </c>
      <c r="M1891">
        <v>44</v>
      </c>
      <c r="N1891" t="str">
        <f>HYPERLINK("Gene3597-zp_tree_all.dnd", "Gene3597-tree")</f>
        <v>Gene3597-tree</v>
      </c>
      <c r="O1891">
        <v>5</v>
      </c>
      <c r="P1891">
        <v>11</v>
      </c>
      <c r="Q1891">
        <v>5</v>
      </c>
      <c r="R1891">
        <v>11</v>
      </c>
      <c r="S1891">
        <v>0.6875</v>
      </c>
      <c r="T1891" t="s">
        <v>199</v>
      </c>
      <c r="U1891" t="s">
        <v>73</v>
      </c>
      <c r="V1891">
        <v>137353515.63499999</v>
      </c>
      <c r="W1891" t="s">
        <v>267</v>
      </c>
      <c r="X1891">
        <v>8</v>
      </c>
      <c r="Y1891">
        <v>21</v>
      </c>
      <c r="Z1891">
        <v>11</v>
      </c>
      <c r="AA1891">
        <v>0.65625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13</v>
      </c>
      <c r="AH1891">
        <v>0</v>
      </c>
      <c r="AI1891">
        <v>13</v>
      </c>
      <c r="AJ1891">
        <v>12</v>
      </c>
      <c r="AK1891">
        <v>0.52</v>
      </c>
      <c r="AL1891">
        <v>15</v>
      </c>
      <c r="AM1891">
        <v>12</v>
      </c>
      <c r="AN1891">
        <v>39</v>
      </c>
      <c r="AO1891">
        <v>25</v>
      </c>
      <c r="AP1891">
        <v>23</v>
      </c>
      <c r="AQ1891">
        <v>7</v>
      </c>
      <c r="AR1891" t="s">
        <v>21121</v>
      </c>
      <c r="AS1891" t="s">
        <v>21122</v>
      </c>
      <c r="AT1891">
        <v>1.3680000000000001</v>
      </c>
      <c r="AU1891" t="s">
        <v>65</v>
      </c>
      <c r="AV1891">
        <v>62</v>
      </c>
      <c r="AW1891">
        <v>32</v>
      </c>
      <c r="AX1891" t="s">
        <v>21123</v>
      </c>
      <c r="AY1891">
        <v>4.258E-2</v>
      </c>
      <c r="AZ1891">
        <v>-1.4E-3</v>
      </c>
      <c r="BA1891">
        <v>5.2300000000000003E-3</v>
      </c>
      <c r="BB1891">
        <v>-2.3000000000000001E-4</v>
      </c>
      <c r="BC1891">
        <v>0.12278</v>
      </c>
      <c r="BD1891">
        <v>1</v>
      </c>
      <c r="BE1891" t="s">
        <v>69</v>
      </c>
      <c r="BF1891">
        <v>-0.71199999999999997</v>
      </c>
      <c r="BG1891">
        <v>-0.96699999999999997</v>
      </c>
    </row>
    <row r="1892" spans="1:59">
      <c r="A1892">
        <v>0</v>
      </c>
      <c r="B1892">
        <v>8</v>
      </c>
      <c r="C1892">
        <v>0</v>
      </c>
      <c r="D1892" t="s">
        <v>25022</v>
      </c>
      <c r="E1892">
        <v>239</v>
      </c>
      <c r="F1892" t="s">
        <v>1622</v>
      </c>
      <c r="G1892" t="s">
        <v>57</v>
      </c>
      <c r="H1892">
        <v>259016</v>
      </c>
      <c r="I1892">
        <v>260083</v>
      </c>
      <c r="J1892" t="s">
        <v>1623</v>
      </c>
      <c r="K1892">
        <v>356</v>
      </c>
      <c r="L1892" t="s">
        <v>108</v>
      </c>
      <c r="M1892">
        <v>44</v>
      </c>
      <c r="N1892" t="str">
        <f>HYPERLINK("Gene239-zp_tree_all.dnd", "Gene239-tree")</f>
        <v>Gene239-tree</v>
      </c>
      <c r="O1892">
        <v>6</v>
      </c>
      <c r="P1892">
        <v>8</v>
      </c>
      <c r="Q1892">
        <v>6</v>
      </c>
      <c r="R1892">
        <v>8</v>
      </c>
      <c r="S1892">
        <v>0.57142999999999999</v>
      </c>
      <c r="T1892" t="s">
        <v>90</v>
      </c>
      <c r="U1892" t="s">
        <v>136</v>
      </c>
      <c r="V1892" t="s">
        <v>62</v>
      </c>
      <c r="W1892" t="s">
        <v>62</v>
      </c>
      <c r="X1892">
        <v>4</v>
      </c>
      <c r="Y1892">
        <v>8</v>
      </c>
      <c r="Z1892">
        <v>18</v>
      </c>
      <c r="AA1892">
        <v>0.30769000000000002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16</v>
      </c>
      <c r="AK1892">
        <v>0</v>
      </c>
      <c r="AL1892">
        <v>12</v>
      </c>
      <c r="AM1892">
        <v>10</v>
      </c>
      <c r="AN1892">
        <v>51</v>
      </c>
      <c r="AO1892">
        <v>14</v>
      </c>
      <c r="AP1892">
        <v>47</v>
      </c>
      <c r="AQ1892">
        <v>12</v>
      </c>
      <c r="AR1892" t="s">
        <v>1624</v>
      </c>
      <c r="AS1892" t="s">
        <v>1625</v>
      </c>
      <c r="AT1892">
        <v>4.9000000000000002E-2</v>
      </c>
      <c r="AU1892" t="s">
        <v>65</v>
      </c>
      <c r="AV1892">
        <v>98</v>
      </c>
      <c r="AW1892">
        <v>26</v>
      </c>
      <c r="AX1892" t="s">
        <v>1626</v>
      </c>
      <c r="AY1892">
        <v>9.1259999999999994E-2</v>
      </c>
      <c r="AZ1892">
        <v>-5.6899999999999997E-3</v>
      </c>
      <c r="BA1892">
        <v>7.7099999999999998E-3</v>
      </c>
      <c r="BB1892">
        <v>-6.7000000000000002E-4</v>
      </c>
      <c r="BC1892">
        <v>8.4470000000000003E-2</v>
      </c>
      <c r="BD1892">
        <v>1</v>
      </c>
      <c r="BE1892" t="s">
        <v>69</v>
      </c>
      <c r="BF1892">
        <v>-0.45500000000000002</v>
      </c>
      <c r="BG1892">
        <v>-0.27300000000000002</v>
      </c>
    </row>
    <row r="1893" spans="1:59">
      <c r="A1893">
        <v>0</v>
      </c>
      <c r="B1893">
        <v>2</v>
      </c>
      <c r="C1893">
        <v>0</v>
      </c>
      <c r="D1893" t="s">
        <v>25022</v>
      </c>
      <c r="E1893">
        <v>1549</v>
      </c>
      <c r="F1893" t="s">
        <v>9683</v>
      </c>
      <c r="G1893" t="s">
        <v>57</v>
      </c>
      <c r="H1893">
        <v>1560466</v>
      </c>
      <c r="I1893">
        <v>1561533</v>
      </c>
      <c r="J1893" t="s">
        <v>9684</v>
      </c>
      <c r="K1893">
        <v>356</v>
      </c>
      <c r="L1893" t="s">
        <v>6329</v>
      </c>
      <c r="M1893">
        <v>47</v>
      </c>
      <c r="N1893" t="str">
        <f>HYPERLINK("Gene1549-zp_tree_all.dnd", "Gene1549-tree")</f>
        <v>Gene1549-tree</v>
      </c>
      <c r="O1893">
        <v>8</v>
      </c>
      <c r="P1893">
        <v>9</v>
      </c>
      <c r="Q1893">
        <v>8</v>
      </c>
      <c r="R1893">
        <v>9</v>
      </c>
      <c r="S1893">
        <v>0.52941000000000005</v>
      </c>
      <c r="T1893" t="s">
        <v>136</v>
      </c>
      <c r="U1893" t="s">
        <v>135</v>
      </c>
      <c r="V1893" t="s">
        <v>62</v>
      </c>
      <c r="W1893" t="s">
        <v>62</v>
      </c>
      <c r="X1893">
        <v>1</v>
      </c>
      <c r="Y1893">
        <v>2</v>
      </c>
      <c r="Z1893">
        <v>15</v>
      </c>
      <c r="AA1893">
        <v>0.11765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10</v>
      </c>
      <c r="AK1893">
        <v>0</v>
      </c>
      <c r="AL1893">
        <v>12</v>
      </c>
      <c r="AM1893">
        <v>11</v>
      </c>
      <c r="AN1893">
        <v>27</v>
      </c>
      <c r="AO1893">
        <v>8</v>
      </c>
      <c r="AP1893">
        <v>56</v>
      </c>
      <c r="AQ1893">
        <v>9</v>
      </c>
      <c r="AR1893" t="s">
        <v>9685</v>
      </c>
      <c r="AS1893" t="s">
        <v>9686</v>
      </c>
      <c r="AT1893">
        <v>0.32800000000000001</v>
      </c>
      <c r="AU1893" t="s">
        <v>65</v>
      </c>
      <c r="AV1893">
        <v>83</v>
      </c>
      <c r="AW1893">
        <v>17</v>
      </c>
      <c r="AX1893" t="s">
        <v>9687</v>
      </c>
      <c r="AY1893">
        <v>8.6139999999999994E-2</v>
      </c>
      <c r="AZ1893">
        <v>-7.8499999999999993E-3</v>
      </c>
      <c r="BA1893">
        <v>3.7100000000000002E-3</v>
      </c>
      <c r="BB1893">
        <v>-2.7999999999999998E-4</v>
      </c>
      <c r="BC1893">
        <v>4.3069999999999997E-2</v>
      </c>
      <c r="BD1893">
        <v>1</v>
      </c>
      <c r="BE1893" t="s">
        <v>69</v>
      </c>
      <c r="BF1893">
        <v>-1.708</v>
      </c>
      <c r="BG1893">
        <v>-0.64500000000000002</v>
      </c>
    </row>
    <row r="1894" spans="1:59">
      <c r="A1894">
        <v>0</v>
      </c>
      <c r="B1894">
        <v>0</v>
      </c>
      <c r="C1894">
        <v>0</v>
      </c>
      <c r="D1894" t="s">
        <v>25022</v>
      </c>
      <c r="E1894">
        <v>2575</v>
      </c>
      <c r="F1894" t="s">
        <v>15068</v>
      </c>
      <c r="G1894" t="s">
        <v>62</v>
      </c>
      <c r="H1894">
        <v>2559010</v>
      </c>
      <c r="I1894">
        <v>2560077</v>
      </c>
      <c r="J1894" t="s">
        <v>15069</v>
      </c>
      <c r="K1894">
        <v>356</v>
      </c>
      <c r="L1894" t="s">
        <v>108</v>
      </c>
      <c r="M1894">
        <v>44</v>
      </c>
      <c r="N1894" t="str">
        <f>HYPERLINK("Gene2575-zp_tree_all.dnd", "Gene2575-tree")</f>
        <v>Gene2575-tree</v>
      </c>
      <c r="O1894">
        <v>11</v>
      </c>
      <c r="P1894">
        <v>2</v>
      </c>
      <c r="Q1894">
        <v>11</v>
      </c>
      <c r="R1894">
        <v>2</v>
      </c>
      <c r="S1894">
        <v>0.15384999999999999</v>
      </c>
      <c r="T1894" t="s">
        <v>73</v>
      </c>
      <c r="U1894" t="s">
        <v>81</v>
      </c>
      <c r="V1894" t="s">
        <v>62</v>
      </c>
      <c r="W1894" t="s">
        <v>62</v>
      </c>
      <c r="X1894">
        <v>0</v>
      </c>
      <c r="Y1894">
        <v>0</v>
      </c>
      <c r="Z1894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0</v>
      </c>
      <c r="AL1894">
        <v>10</v>
      </c>
      <c r="AM1894">
        <v>9</v>
      </c>
      <c r="AN1894">
        <v>17</v>
      </c>
      <c r="AO1894">
        <v>2</v>
      </c>
      <c r="AP1894">
        <v>19</v>
      </c>
      <c r="AQ1894">
        <v>2</v>
      </c>
      <c r="AR1894" t="s">
        <v>15070</v>
      </c>
      <c r="AS1894" t="s">
        <v>15071</v>
      </c>
      <c r="AT1894">
        <v>5.5E-2</v>
      </c>
      <c r="AU1894" t="s">
        <v>65</v>
      </c>
      <c r="AV1894">
        <v>36</v>
      </c>
      <c r="AW1894">
        <v>4</v>
      </c>
      <c r="AX1894" t="s">
        <v>15072</v>
      </c>
      <c r="AY1894">
        <v>3.261E-2</v>
      </c>
      <c r="AZ1894">
        <v>-1.5200000000000001E-3</v>
      </c>
      <c r="BA1894">
        <v>1.06E-3</v>
      </c>
      <c r="BB1894">
        <v>-9.0000000000000006E-5</v>
      </c>
      <c r="BC1894">
        <v>3.2590000000000001E-2</v>
      </c>
      <c r="BD1894">
        <v>1</v>
      </c>
      <c r="BE1894" t="s">
        <v>69</v>
      </c>
      <c r="BF1894">
        <v>0.29299999999999998</v>
      </c>
      <c r="BG1894">
        <v>0.216</v>
      </c>
    </row>
    <row r="1895" spans="1:59">
      <c r="A1895">
        <v>0</v>
      </c>
      <c r="B1895">
        <v>2</v>
      </c>
      <c r="C1895">
        <v>0</v>
      </c>
      <c r="D1895" t="s">
        <v>25022</v>
      </c>
      <c r="E1895">
        <v>3836</v>
      </c>
      <c r="F1895" t="s">
        <v>22490</v>
      </c>
      <c r="G1895" t="s">
        <v>62</v>
      </c>
      <c r="H1895">
        <v>3797088</v>
      </c>
      <c r="I1895">
        <v>3798155</v>
      </c>
      <c r="J1895" t="s">
        <v>22491</v>
      </c>
      <c r="K1895">
        <v>356</v>
      </c>
      <c r="L1895" t="s">
        <v>22492</v>
      </c>
      <c r="M1895">
        <v>48</v>
      </c>
      <c r="N1895" t="str">
        <f>HYPERLINK("Gene3836-zp_tree_all.dnd", "Gene3836-tree")</f>
        <v>Gene3836-tree</v>
      </c>
      <c r="O1895">
        <v>16</v>
      </c>
      <c r="P1895">
        <v>1</v>
      </c>
      <c r="Q1895">
        <v>16</v>
      </c>
      <c r="R1895">
        <v>1</v>
      </c>
      <c r="S1895">
        <v>5.8819999999999997E-2</v>
      </c>
      <c r="T1895" t="s">
        <v>60</v>
      </c>
      <c r="U1895" t="s">
        <v>175</v>
      </c>
      <c r="V1895" t="s">
        <v>62</v>
      </c>
      <c r="W1895" t="s">
        <v>62</v>
      </c>
      <c r="X1895">
        <v>1</v>
      </c>
      <c r="Y1895">
        <v>2</v>
      </c>
      <c r="Z1895">
        <v>2</v>
      </c>
      <c r="AA1895">
        <v>0.5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13</v>
      </c>
      <c r="AM1895">
        <v>13</v>
      </c>
      <c r="AN1895">
        <v>49</v>
      </c>
      <c r="AO1895">
        <v>1</v>
      </c>
      <c r="AP1895">
        <v>76</v>
      </c>
      <c r="AQ1895">
        <v>3</v>
      </c>
      <c r="AR1895" t="s">
        <v>22493</v>
      </c>
      <c r="AS1895" t="s">
        <v>22494</v>
      </c>
      <c r="AT1895">
        <v>0.23599999999999999</v>
      </c>
      <c r="AU1895" t="s">
        <v>65</v>
      </c>
      <c r="AV1895">
        <v>125</v>
      </c>
      <c r="AW1895">
        <v>4</v>
      </c>
      <c r="AX1895" t="s">
        <v>22495</v>
      </c>
      <c r="AY1895">
        <v>0.11012</v>
      </c>
      <c r="AZ1895">
        <v>-4.1999999999999997E-3</v>
      </c>
      <c r="BA1895">
        <v>7.9000000000000001E-4</v>
      </c>
      <c r="BB1895">
        <v>-1E-4</v>
      </c>
      <c r="BC1895">
        <v>7.1700000000000002E-3</v>
      </c>
      <c r="BD1895">
        <v>1</v>
      </c>
      <c r="BE1895" t="s">
        <v>69</v>
      </c>
      <c r="BF1895">
        <v>-0.61099999999999999</v>
      </c>
      <c r="BG1895">
        <v>-0.28999999999999998</v>
      </c>
    </row>
    <row r="1896" spans="1:59">
      <c r="A1896">
        <v>0</v>
      </c>
      <c r="B1896">
        <v>0</v>
      </c>
      <c r="C1896">
        <v>0</v>
      </c>
      <c r="D1896" t="s">
        <v>25022</v>
      </c>
      <c r="E1896">
        <v>1704</v>
      </c>
      <c r="F1896" t="s">
        <v>10681</v>
      </c>
      <c r="G1896" t="s">
        <v>57</v>
      </c>
      <c r="H1896">
        <v>1711736</v>
      </c>
      <c r="I1896">
        <v>1712806</v>
      </c>
      <c r="J1896" t="s">
        <v>10682</v>
      </c>
      <c r="K1896">
        <v>357</v>
      </c>
      <c r="L1896" t="s">
        <v>108</v>
      </c>
      <c r="M1896">
        <v>44</v>
      </c>
      <c r="N1896" t="str">
        <f>HYPERLINK("Gene1704-zp_tree_all.dnd", "Gene1704-tree")</f>
        <v>Gene1704-tree</v>
      </c>
      <c r="O1896">
        <v>5</v>
      </c>
      <c r="P1896">
        <v>8</v>
      </c>
      <c r="Q1896">
        <v>5</v>
      </c>
      <c r="R1896">
        <v>8</v>
      </c>
      <c r="S1896">
        <v>0.61538000000000004</v>
      </c>
      <c r="T1896" t="s">
        <v>199</v>
      </c>
      <c r="U1896" t="s">
        <v>136</v>
      </c>
      <c r="V1896" t="s">
        <v>62</v>
      </c>
      <c r="W1896" t="s">
        <v>62</v>
      </c>
      <c r="X1896">
        <v>0</v>
      </c>
      <c r="Y1896">
        <v>0</v>
      </c>
      <c r="Z1896">
        <v>10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9</v>
      </c>
      <c r="AK1896">
        <v>0</v>
      </c>
      <c r="AL1896">
        <v>10</v>
      </c>
      <c r="AM1896">
        <v>8</v>
      </c>
      <c r="AN1896">
        <v>14</v>
      </c>
      <c r="AO1896">
        <v>8</v>
      </c>
      <c r="AP1896">
        <v>10</v>
      </c>
      <c r="AQ1896">
        <v>2</v>
      </c>
      <c r="AR1896" t="s">
        <v>10683</v>
      </c>
      <c r="AS1896" t="s">
        <v>10684</v>
      </c>
      <c r="AT1896">
        <v>1.0149999999999999</v>
      </c>
      <c r="AU1896" t="s">
        <v>65</v>
      </c>
      <c r="AV1896">
        <v>24</v>
      </c>
      <c r="AW1896">
        <v>10</v>
      </c>
      <c r="AX1896" t="s">
        <v>10685</v>
      </c>
      <c r="AY1896">
        <v>2.1309999999999999E-2</v>
      </c>
      <c r="AZ1896">
        <v>-1.0300000000000001E-3</v>
      </c>
      <c r="BA1896">
        <v>2.4199999999999998E-3</v>
      </c>
      <c r="BB1896">
        <v>-1.4999999999999999E-4</v>
      </c>
      <c r="BC1896">
        <v>0.11335000000000001</v>
      </c>
      <c r="BD1896">
        <v>1</v>
      </c>
      <c r="BE1896" t="s">
        <v>69</v>
      </c>
      <c r="BF1896">
        <v>-0.98</v>
      </c>
      <c r="BG1896">
        <v>-1.67</v>
      </c>
    </row>
    <row r="1897" spans="1:59">
      <c r="A1897">
        <v>0</v>
      </c>
      <c r="B1897">
        <v>0</v>
      </c>
      <c r="C1897">
        <v>0</v>
      </c>
      <c r="D1897" t="s">
        <v>25022</v>
      </c>
      <c r="E1897">
        <v>3103</v>
      </c>
      <c r="F1897" t="s">
        <v>17997</v>
      </c>
      <c r="G1897" t="s">
        <v>62</v>
      </c>
      <c r="H1897">
        <v>3055250</v>
      </c>
      <c r="I1897">
        <v>3056320</v>
      </c>
      <c r="J1897" t="s">
        <v>17998</v>
      </c>
      <c r="K1897">
        <v>357</v>
      </c>
      <c r="L1897" t="s">
        <v>108</v>
      </c>
      <c r="M1897">
        <v>44</v>
      </c>
      <c r="N1897" t="str">
        <f>HYPERLINK("Gene3103-zp_tree_all.dnd", "Gene3103-tree")</f>
        <v>Gene3103-tree</v>
      </c>
      <c r="O1897">
        <v>10</v>
      </c>
      <c r="P1897">
        <v>3</v>
      </c>
      <c r="Q1897">
        <v>10</v>
      </c>
      <c r="R1897">
        <v>3</v>
      </c>
      <c r="S1897">
        <v>0.23077</v>
      </c>
      <c r="T1897" t="s">
        <v>117</v>
      </c>
      <c r="U1897" t="s">
        <v>324</v>
      </c>
      <c r="V1897" t="s">
        <v>62</v>
      </c>
      <c r="W1897" t="s">
        <v>62</v>
      </c>
      <c r="X1897">
        <v>0</v>
      </c>
      <c r="Y1897">
        <v>0</v>
      </c>
      <c r="Z1897">
        <v>5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3</v>
      </c>
      <c r="AK1897">
        <v>0</v>
      </c>
      <c r="AL1897">
        <v>12</v>
      </c>
      <c r="AM1897">
        <v>5</v>
      </c>
      <c r="AN1897">
        <v>31</v>
      </c>
      <c r="AO1897">
        <v>3</v>
      </c>
      <c r="AP1897">
        <v>8</v>
      </c>
      <c r="AQ1897">
        <v>2</v>
      </c>
      <c r="AR1897" t="s">
        <v>17999</v>
      </c>
      <c r="AS1897" t="s">
        <v>18000</v>
      </c>
      <c r="AT1897">
        <v>0.70699999999999996</v>
      </c>
      <c r="AU1897" t="s">
        <v>65</v>
      </c>
      <c r="AV1897">
        <v>39</v>
      </c>
      <c r="AW1897">
        <v>5</v>
      </c>
      <c r="AX1897" t="s">
        <v>18001</v>
      </c>
      <c r="AY1897">
        <v>2.435E-2</v>
      </c>
      <c r="AZ1897">
        <v>-2.2300000000000002E-3</v>
      </c>
      <c r="BA1897">
        <v>1.4499999999999999E-3</v>
      </c>
      <c r="BB1897">
        <v>-1.1E-4</v>
      </c>
      <c r="BC1897">
        <v>5.9650000000000002E-2</v>
      </c>
      <c r="BD1897">
        <v>1</v>
      </c>
      <c r="BE1897" t="s">
        <v>69</v>
      </c>
      <c r="BF1897">
        <v>-0.98199999999999998</v>
      </c>
      <c r="BG1897">
        <v>-2.9159999999999999</v>
      </c>
    </row>
    <row r="1898" spans="1:59">
      <c r="A1898">
        <v>0</v>
      </c>
      <c r="B1898">
        <v>0</v>
      </c>
      <c r="C1898">
        <v>0</v>
      </c>
      <c r="D1898" t="s">
        <v>25022</v>
      </c>
      <c r="E1898">
        <v>2164</v>
      </c>
      <c r="F1898" t="s">
        <v>12921</v>
      </c>
      <c r="G1898" t="s">
        <v>62</v>
      </c>
      <c r="H1898">
        <v>2206685</v>
      </c>
      <c r="I1898">
        <v>2207758</v>
      </c>
      <c r="J1898" t="s">
        <v>12922</v>
      </c>
      <c r="K1898">
        <v>358</v>
      </c>
      <c r="L1898" t="s">
        <v>12901</v>
      </c>
      <c r="M1898">
        <v>17</v>
      </c>
      <c r="N1898" t="str">
        <f>HYPERLINK("Gene2164-zp_tree_all.dnd", "Gene2164-tree")</f>
        <v>Gene2164-tree</v>
      </c>
      <c r="O1898">
        <v>1</v>
      </c>
      <c r="P1898">
        <v>16</v>
      </c>
      <c r="Q1898">
        <v>1</v>
      </c>
      <c r="R1898">
        <v>3</v>
      </c>
      <c r="S1898">
        <v>0.75</v>
      </c>
      <c r="T1898" t="s">
        <v>175</v>
      </c>
      <c r="U1898" t="s">
        <v>12874</v>
      </c>
      <c r="V1898">
        <v>1.6859999999999999</v>
      </c>
      <c r="W1898" t="s">
        <v>65</v>
      </c>
      <c r="X1898">
        <v>0</v>
      </c>
      <c r="Y1898">
        <v>0</v>
      </c>
      <c r="Z1898">
        <v>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</v>
      </c>
      <c r="AK1898">
        <v>0</v>
      </c>
      <c r="AL1898">
        <v>4</v>
      </c>
      <c r="AM1898">
        <v>0</v>
      </c>
      <c r="AN1898">
        <v>3</v>
      </c>
      <c r="AO1898">
        <v>5</v>
      </c>
      <c r="AP1898">
        <v>0</v>
      </c>
      <c r="AQ1898">
        <v>0</v>
      </c>
      <c r="AR1898" t="s">
        <v>12923</v>
      </c>
      <c r="AS1898" t="s">
        <v>193</v>
      </c>
      <c r="AT1898">
        <v>2.5859999999999999</v>
      </c>
      <c r="AU1898" t="s">
        <v>267</v>
      </c>
      <c r="AV1898">
        <v>3</v>
      </c>
      <c r="AW1898">
        <v>5</v>
      </c>
      <c r="AX1898" t="s">
        <v>12924</v>
      </c>
      <c r="AY1898">
        <v>6.7600000000000004E-3</v>
      </c>
      <c r="AZ1898">
        <v>-9.2000000000000003E-4</v>
      </c>
      <c r="BA1898">
        <v>2.9399999999999999E-3</v>
      </c>
      <c r="BB1898">
        <v>-4.6000000000000001E-4</v>
      </c>
      <c r="BC1898">
        <v>0.43595</v>
      </c>
      <c r="BD1898">
        <v>0.755</v>
      </c>
      <c r="BE1898" t="s">
        <v>635</v>
      </c>
      <c r="BF1898">
        <v>-1.5589999999999999</v>
      </c>
      <c r="BG1898">
        <v>-1.8740000000000001</v>
      </c>
    </row>
    <row r="1899" spans="1:59">
      <c r="A1899">
        <v>0</v>
      </c>
      <c r="B1899">
        <v>22</v>
      </c>
      <c r="C1899">
        <v>0</v>
      </c>
      <c r="D1899" t="s">
        <v>25022</v>
      </c>
      <c r="E1899">
        <v>3555</v>
      </c>
      <c r="F1899" t="s">
        <v>20843</v>
      </c>
      <c r="G1899" t="s">
        <v>62</v>
      </c>
      <c r="H1899">
        <v>3520033</v>
      </c>
      <c r="I1899">
        <v>3521106</v>
      </c>
      <c r="J1899" t="s">
        <v>20844</v>
      </c>
      <c r="K1899">
        <v>358</v>
      </c>
      <c r="L1899" t="s">
        <v>4013</v>
      </c>
      <c r="M1899">
        <v>43</v>
      </c>
      <c r="N1899" t="str">
        <f>HYPERLINK("Gene3555-zp_tree_all.dnd", "Gene3555-tree")</f>
        <v>Gene3555-tree</v>
      </c>
      <c r="O1899">
        <v>4</v>
      </c>
      <c r="P1899">
        <v>12</v>
      </c>
      <c r="Q1899">
        <v>4</v>
      </c>
      <c r="R1899">
        <v>12</v>
      </c>
      <c r="S1899">
        <v>0.75</v>
      </c>
      <c r="T1899" t="s">
        <v>61</v>
      </c>
      <c r="U1899" t="s">
        <v>109</v>
      </c>
      <c r="V1899" t="s">
        <v>62</v>
      </c>
      <c r="W1899" t="s">
        <v>62</v>
      </c>
      <c r="X1899">
        <v>9</v>
      </c>
      <c r="Y1899">
        <v>22</v>
      </c>
      <c r="Z1899">
        <v>18</v>
      </c>
      <c r="AA1899">
        <v>0.55000000000000004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6</v>
      </c>
      <c r="AH1899">
        <v>2</v>
      </c>
      <c r="AI1899">
        <v>8</v>
      </c>
      <c r="AJ1899">
        <v>16</v>
      </c>
      <c r="AK1899">
        <v>0.33333000000000002</v>
      </c>
      <c r="AL1899">
        <v>14</v>
      </c>
      <c r="AM1899">
        <v>12</v>
      </c>
      <c r="AN1899">
        <v>30</v>
      </c>
      <c r="AO1899">
        <v>24</v>
      </c>
      <c r="AP1899">
        <v>27</v>
      </c>
      <c r="AQ1899">
        <v>16</v>
      </c>
      <c r="AR1899" t="s">
        <v>20845</v>
      </c>
      <c r="AS1899" t="s">
        <v>20846</v>
      </c>
      <c r="AT1899">
        <v>0.55200000000000005</v>
      </c>
      <c r="AU1899" t="s">
        <v>65</v>
      </c>
      <c r="AV1899">
        <v>57</v>
      </c>
      <c r="AW1899">
        <v>40</v>
      </c>
      <c r="AX1899" t="s">
        <v>20847</v>
      </c>
      <c r="AY1899">
        <v>3.9980000000000002E-2</v>
      </c>
      <c r="AZ1899">
        <v>-1.39E-3</v>
      </c>
      <c r="BA1899">
        <v>8.0199999999999994E-3</v>
      </c>
      <c r="BB1899">
        <v>-2.9E-4</v>
      </c>
      <c r="BC1899">
        <v>0.20066999999999999</v>
      </c>
      <c r="BD1899">
        <v>1</v>
      </c>
      <c r="BE1899" t="s">
        <v>69</v>
      </c>
      <c r="BF1899">
        <v>-0.378</v>
      </c>
      <c r="BG1899">
        <v>-0.85099999999999998</v>
      </c>
    </row>
    <row r="1900" spans="1:59">
      <c r="A1900">
        <v>0</v>
      </c>
      <c r="B1900">
        <v>2</v>
      </c>
      <c r="C1900">
        <v>0</v>
      </c>
      <c r="D1900" t="s">
        <v>25022</v>
      </c>
      <c r="E1900">
        <v>273</v>
      </c>
      <c r="F1900" t="s">
        <v>1863</v>
      </c>
      <c r="G1900" t="s">
        <v>57</v>
      </c>
      <c r="H1900">
        <v>293499</v>
      </c>
      <c r="I1900">
        <v>294572</v>
      </c>
      <c r="J1900" t="s">
        <v>116</v>
      </c>
      <c r="K1900">
        <v>358</v>
      </c>
      <c r="L1900" t="s">
        <v>108</v>
      </c>
      <c r="M1900">
        <v>44</v>
      </c>
      <c r="N1900" t="str">
        <f>HYPERLINK("Gene273-zp_tree_all.dnd", "Gene273-tree")</f>
        <v>Gene273-tree</v>
      </c>
      <c r="O1900">
        <v>7</v>
      </c>
      <c r="P1900">
        <v>9</v>
      </c>
      <c r="Q1900">
        <v>7</v>
      </c>
      <c r="R1900">
        <v>9</v>
      </c>
      <c r="S1900">
        <v>0.5625</v>
      </c>
      <c r="T1900" t="s">
        <v>152</v>
      </c>
      <c r="U1900" t="s">
        <v>135</v>
      </c>
      <c r="V1900" t="s">
        <v>62</v>
      </c>
      <c r="W1900" t="s">
        <v>62</v>
      </c>
      <c r="X1900">
        <v>1</v>
      </c>
      <c r="Y1900">
        <v>2</v>
      </c>
      <c r="Z1900">
        <v>11</v>
      </c>
      <c r="AA1900">
        <v>0.15384999999999999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12</v>
      </c>
      <c r="AK1900">
        <v>0</v>
      </c>
      <c r="AL1900">
        <v>13</v>
      </c>
      <c r="AM1900">
        <v>12</v>
      </c>
      <c r="AN1900">
        <v>34</v>
      </c>
      <c r="AO1900">
        <v>12</v>
      </c>
      <c r="AP1900">
        <v>23</v>
      </c>
      <c r="AQ1900">
        <v>1</v>
      </c>
      <c r="AR1900" t="s">
        <v>1864</v>
      </c>
      <c r="AS1900" t="s">
        <v>1865</v>
      </c>
      <c r="AT1900">
        <v>1.575</v>
      </c>
      <c r="AU1900" t="s">
        <v>65</v>
      </c>
      <c r="AV1900">
        <v>57</v>
      </c>
      <c r="AW1900">
        <v>13</v>
      </c>
      <c r="AX1900" t="s">
        <v>1866</v>
      </c>
      <c r="AY1900">
        <v>4.2029999999999998E-2</v>
      </c>
      <c r="AZ1900">
        <v>-1.57E-3</v>
      </c>
      <c r="BA1900">
        <v>2.1800000000000001E-3</v>
      </c>
      <c r="BB1900">
        <v>-1.1E-4</v>
      </c>
      <c r="BC1900">
        <v>5.1950000000000003E-2</v>
      </c>
      <c r="BD1900">
        <v>1</v>
      </c>
      <c r="BE1900" t="s">
        <v>69</v>
      </c>
      <c r="BF1900">
        <v>-1.0589999999999999</v>
      </c>
      <c r="BG1900">
        <v>-1.59</v>
      </c>
    </row>
    <row r="1901" spans="1:59">
      <c r="A1901">
        <v>0</v>
      </c>
      <c r="B1901">
        <v>6</v>
      </c>
      <c r="C1901">
        <v>2</v>
      </c>
      <c r="D1901" t="s">
        <v>25022</v>
      </c>
      <c r="E1901">
        <v>1183</v>
      </c>
      <c r="F1901" t="s">
        <v>7442</v>
      </c>
      <c r="G1901" t="s">
        <v>57</v>
      </c>
      <c r="H1901">
        <v>1223455</v>
      </c>
      <c r="I1901">
        <v>1224528</v>
      </c>
      <c r="J1901" t="s">
        <v>7382</v>
      </c>
      <c r="K1901">
        <v>358</v>
      </c>
      <c r="L1901" t="s">
        <v>7443</v>
      </c>
      <c r="M1901">
        <v>44</v>
      </c>
      <c r="N1901" t="str">
        <f>HYPERLINK("Gene1183-zp_tree_all.dnd", "Gene1183-tree")</f>
        <v>Gene1183-tree</v>
      </c>
      <c r="O1901">
        <v>10</v>
      </c>
      <c r="P1901">
        <v>11</v>
      </c>
      <c r="Q1901">
        <v>10</v>
      </c>
      <c r="R1901">
        <v>8</v>
      </c>
      <c r="S1901">
        <v>0.44444</v>
      </c>
      <c r="T1901" t="s">
        <v>117</v>
      </c>
      <c r="U1901" t="s">
        <v>7444</v>
      </c>
      <c r="V1901">
        <v>1.139</v>
      </c>
      <c r="W1901" t="s">
        <v>65</v>
      </c>
      <c r="X1901">
        <v>3</v>
      </c>
      <c r="Y1901">
        <v>8</v>
      </c>
      <c r="Z1901">
        <v>7</v>
      </c>
      <c r="AA1901">
        <v>0.53332999999999997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</v>
      </c>
      <c r="AH1901">
        <v>2</v>
      </c>
      <c r="AI1901">
        <v>4</v>
      </c>
      <c r="AJ1901">
        <v>7</v>
      </c>
      <c r="AK1901">
        <v>0.36364000000000002</v>
      </c>
      <c r="AL1901">
        <v>15</v>
      </c>
      <c r="AM1901">
        <v>13</v>
      </c>
      <c r="AN1901">
        <v>58</v>
      </c>
      <c r="AO1901">
        <v>10</v>
      </c>
      <c r="AP1901">
        <v>83</v>
      </c>
      <c r="AQ1901">
        <v>5</v>
      </c>
      <c r="AR1901" t="s">
        <v>7445</v>
      </c>
      <c r="AS1901" t="s">
        <v>7446</v>
      </c>
      <c r="AT1901">
        <v>0.69799999999999995</v>
      </c>
      <c r="AU1901" t="s">
        <v>65</v>
      </c>
      <c r="AV1901">
        <v>141</v>
      </c>
      <c r="AW1901">
        <v>15</v>
      </c>
      <c r="AX1901" t="s">
        <v>7447</v>
      </c>
      <c r="AY1901">
        <v>0.10313</v>
      </c>
      <c r="AZ1901">
        <v>-5.3899999999999998E-3</v>
      </c>
      <c r="BA1901">
        <v>2.64E-3</v>
      </c>
      <c r="BB1901">
        <v>-1.6000000000000001E-4</v>
      </c>
      <c r="BC1901">
        <v>2.555E-2</v>
      </c>
      <c r="BD1901">
        <v>1</v>
      </c>
      <c r="BE1901" t="s">
        <v>69</v>
      </c>
      <c r="BF1901">
        <v>-0.59799999999999998</v>
      </c>
      <c r="BG1901">
        <v>-0.49299999999999999</v>
      </c>
    </row>
    <row r="1902" spans="1:59">
      <c r="A1902">
        <v>0</v>
      </c>
      <c r="B1902">
        <v>0</v>
      </c>
      <c r="C1902">
        <v>0</v>
      </c>
      <c r="D1902" t="s">
        <v>25022</v>
      </c>
      <c r="E1902">
        <v>3681</v>
      </c>
      <c r="F1902" t="s">
        <v>21604</v>
      </c>
      <c r="G1902" t="s">
        <v>62</v>
      </c>
      <c r="H1902">
        <v>3648657</v>
      </c>
      <c r="I1902">
        <v>3649730</v>
      </c>
      <c r="J1902" t="s">
        <v>21605</v>
      </c>
      <c r="K1902">
        <v>358</v>
      </c>
      <c r="L1902" t="s">
        <v>108</v>
      </c>
      <c r="M1902">
        <v>44</v>
      </c>
      <c r="N1902" t="str">
        <f>HYPERLINK("Gene3681-zp_tree_all.dnd", "Gene3681-tree")</f>
        <v>Gene3681-tree</v>
      </c>
      <c r="O1902">
        <v>15</v>
      </c>
      <c r="P1902">
        <v>0</v>
      </c>
      <c r="Q1902">
        <v>15</v>
      </c>
      <c r="R1902">
        <v>0</v>
      </c>
      <c r="S1902">
        <v>0</v>
      </c>
      <c r="T1902" t="s">
        <v>100</v>
      </c>
      <c r="U1902" t="s">
        <v>62</v>
      </c>
      <c r="V1902" t="s">
        <v>62</v>
      </c>
      <c r="W1902" t="s">
        <v>62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9</v>
      </c>
      <c r="AM1902">
        <v>11</v>
      </c>
      <c r="AN1902">
        <v>20</v>
      </c>
      <c r="AO1902">
        <v>0</v>
      </c>
      <c r="AP1902">
        <v>31</v>
      </c>
      <c r="AQ1902">
        <v>1</v>
      </c>
      <c r="AR1902" t="s">
        <v>193</v>
      </c>
      <c r="AS1902" t="s">
        <v>21606</v>
      </c>
      <c r="AT1902">
        <v>0.32</v>
      </c>
      <c r="AU1902" t="s">
        <v>65</v>
      </c>
      <c r="AV1902">
        <v>51</v>
      </c>
      <c r="AW1902">
        <v>1</v>
      </c>
      <c r="AX1902" t="s">
        <v>21607</v>
      </c>
      <c r="AY1902">
        <v>4.1110000000000001E-2</v>
      </c>
      <c r="AZ1902">
        <v>-1.7600000000000001E-3</v>
      </c>
      <c r="BA1902">
        <v>2.9999999999999997E-4</v>
      </c>
      <c r="BB1902">
        <v>-5.0000000000000002E-5</v>
      </c>
      <c r="BC1902">
        <v>7.4200000000000004E-3</v>
      </c>
      <c r="BD1902">
        <v>1</v>
      </c>
      <c r="BE1902" t="s">
        <v>69</v>
      </c>
      <c r="BF1902">
        <v>-0.23300000000000001</v>
      </c>
      <c r="BG1902">
        <v>-1.194</v>
      </c>
    </row>
    <row r="1903" spans="1:59">
      <c r="A1903">
        <v>0</v>
      </c>
      <c r="B1903">
        <v>0</v>
      </c>
      <c r="C1903">
        <v>0</v>
      </c>
      <c r="D1903" t="s">
        <v>25022</v>
      </c>
      <c r="E1903">
        <v>3093</v>
      </c>
      <c r="F1903" t="s">
        <v>17930</v>
      </c>
      <c r="G1903" t="s">
        <v>62</v>
      </c>
      <c r="H1903">
        <v>3045448</v>
      </c>
      <c r="I1903">
        <v>3046521</v>
      </c>
      <c r="J1903" t="s">
        <v>17931</v>
      </c>
      <c r="K1903">
        <v>358</v>
      </c>
      <c r="L1903" t="s">
        <v>59</v>
      </c>
      <c r="M1903">
        <v>49</v>
      </c>
      <c r="N1903" t="str">
        <f>HYPERLINK("Gene3093-zp_tree_all.dnd", "Gene3093-tree")</f>
        <v>Gene3093-tree</v>
      </c>
      <c r="O1903">
        <v>18</v>
      </c>
      <c r="P1903">
        <v>1</v>
      </c>
      <c r="Q1903">
        <v>18</v>
      </c>
      <c r="R1903">
        <v>1</v>
      </c>
      <c r="S1903">
        <v>5.2630000000000003E-2</v>
      </c>
      <c r="T1903" t="s">
        <v>144</v>
      </c>
      <c r="U1903" t="s">
        <v>175</v>
      </c>
      <c r="V1903" t="s">
        <v>62</v>
      </c>
      <c r="W1903" t="s">
        <v>62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13</v>
      </c>
      <c r="AM1903">
        <v>14</v>
      </c>
      <c r="AN1903">
        <v>39</v>
      </c>
      <c r="AO1903">
        <v>1</v>
      </c>
      <c r="AP1903">
        <v>76</v>
      </c>
      <c r="AQ1903">
        <v>0</v>
      </c>
      <c r="AR1903" t="s">
        <v>17932</v>
      </c>
      <c r="AS1903" t="s">
        <v>193</v>
      </c>
      <c r="AT1903">
        <v>0.27600000000000002</v>
      </c>
      <c r="AU1903" t="s">
        <v>65</v>
      </c>
      <c r="AV1903">
        <v>115</v>
      </c>
      <c r="AW1903">
        <v>1</v>
      </c>
      <c r="AX1903" t="s">
        <v>17933</v>
      </c>
      <c r="AY1903">
        <v>0.10739</v>
      </c>
      <c r="AZ1903">
        <v>-6.77E-3</v>
      </c>
      <c r="BA1903">
        <v>1.2999999999999999E-4</v>
      </c>
      <c r="BB1903">
        <v>-3.0000000000000001E-5</v>
      </c>
      <c r="BC1903">
        <v>1.1800000000000001E-3</v>
      </c>
      <c r="BD1903">
        <v>1</v>
      </c>
      <c r="BE1903" t="s">
        <v>69</v>
      </c>
      <c r="BF1903">
        <v>-1.5409999999999999</v>
      </c>
      <c r="BG1903">
        <v>-0.75800000000000001</v>
      </c>
    </row>
    <row r="1904" spans="1:59">
      <c r="A1904">
        <v>0</v>
      </c>
      <c r="B1904">
        <v>28</v>
      </c>
      <c r="C1904">
        <v>4</v>
      </c>
      <c r="D1904" t="s">
        <v>25022</v>
      </c>
      <c r="E1904">
        <v>2593</v>
      </c>
      <c r="F1904" t="s">
        <v>15175</v>
      </c>
      <c r="G1904" t="s">
        <v>62</v>
      </c>
      <c r="H1904">
        <v>2574644</v>
      </c>
      <c r="I1904">
        <v>2575720</v>
      </c>
      <c r="J1904" t="s">
        <v>3798</v>
      </c>
      <c r="K1904">
        <v>359</v>
      </c>
      <c r="L1904" t="s">
        <v>3401</v>
      </c>
      <c r="M1904">
        <v>42</v>
      </c>
      <c r="N1904" t="str">
        <f>HYPERLINK("Gene2593-zp_tree_all.dnd", "Gene2593-tree")</f>
        <v>Gene2593-tree</v>
      </c>
      <c r="O1904">
        <v>2</v>
      </c>
      <c r="P1904">
        <v>11</v>
      </c>
      <c r="Q1904">
        <v>2</v>
      </c>
      <c r="R1904">
        <v>11</v>
      </c>
      <c r="S1904">
        <v>0.84614999999999996</v>
      </c>
      <c r="T1904" t="s">
        <v>81</v>
      </c>
      <c r="U1904" t="s">
        <v>73</v>
      </c>
      <c r="V1904">
        <v>515075683.63</v>
      </c>
      <c r="W1904" t="s">
        <v>267</v>
      </c>
      <c r="X1904">
        <v>13</v>
      </c>
      <c r="Y1904">
        <v>32</v>
      </c>
      <c r="Z1904">
        <v>30</v>
      </c>
      <c r="AA1904">
        <v>0.51612999999999998</v>
      </c>
      <c r="AB1904">
        <v>0</v>
      </c>
      <c r="AC1904">
        <v>0</v>
      </c>
      <c r="AD1904">
        <v>0</v>
      </c>
      <c r="AE1904">
        <v>3</v>
      </c>
      <c r="AF1904">
        <v>0</v>
      </c>
      <c r="AG1904">
        <v>10</v>
      </c>
      <c r="AH1904">
        <v>6</v>
      </c>
      <c r="AI1904">
        <v>16</v>
      </c>
      <c r="AJ1904">
        <v>27</v>
      </c>
      <c r="AK1904">
        <v>0.37208999999999998</v>
      </c>
      <c r="AL1904">
        <v>11</v>
      </c>
      <c r="AM1904">
        <v>10</v>
      </c>
      <c r="AN1904">
        <v>32</v>
      </c>
      <c r="AO1904">
        <v>37</v>
      </c>
      <c r="AP1904">
        <v>36</v>
      </c>
      <c r="AQ1904">
        <v>25</v>
      </c>
      <c r="AR1904" t="s">
        <v>15176</v>
      </c>
      <c r="AS1904" t="s">
        <v>15177</v>
      </c>
      <c r="AT1904">
        <v>0.64500000000000002</v>
      </c>
      <c r="AU1904" t="s">
        <v>65</v>
      </c>
      <c r="AV1904">
        <v>68</v>
      </c>
      <c r="AW1904">
        <v>62</v>
      </c>
      <c r="AX1904" t="s">
        <v>15178</v>
      </c>
      <c r="AY1904">
        <v>6.3769999999999993E-2</v>
      </c>
      <c r="AZ1904">
        <v>-2.5600000000000002E-3</v>
      </c>
      <c r="BA1904">
        <v>1.6129999999999999E-2</v>
      </c>
      <c r="BB1904">
        <v>-6.3000000000000003E-4</v>
      </c>
      <c r="BC1904">
        <v>0.25294</v>
      </c>
      <c r="BD1904">
        <v>1</v>
      </c>
      <c r="BE1904" t="s">
        <v>69</v>
      </c>
      <c r="BF1904">
        <v>7.3999999999999996E-2</v>
      </c>
      <c r="BG1904">
        <v>-0.63</v>
      </c>
    </row>
    <row r="1905" spans="1:59">
      <c r="A1905">
        <v>0</v>
      </c>
      <c r="B1905">
        <v>4</v>
      </c>
      <c r="C1905">
        <v>3</v>
      </c>
      <c r="D1905" t="s">
        <v>25022</v>
      </c>
      <c r="E1905">
        <v>1278</v>
      </c>
      <c r="F1905" t="s">
        <v>8013</v>
      </c>
      <c r="G1905" t="s">
        <v>57</v>
      </c>
      <c r="H1905">
        <v>1305486</v>
      </c>
      <c r="I1905">
        <v>1306562</v>
      </c>
      <c r="J1905" t="s">
        <v>8014</v>
      </c>
      <c r="K1905">
        <v>359</v>
      </c>
      <c r="L1905" t="s">
        <v>5762</v>
      </c>
      <c r="M1905">
        <v>43</v>
      </c>
      <c r="N1905" t="str">
        <f>HYPERLINK("Gene1278-zp_tree_all.dnd", "Gene1278-tree")</f>
        <v>Gene1278-tree</v>
      </c>
      <c r="O1905">
        <v>2</v>
      </c>
      <c r="P1905">
        <v>12</v>
      </c>
      <c r="Q1905">
        <v>2</v>
      </c>
      <c r="R1905">
        <v>12</v>
      </c>
      <c r="S1905">
        <v>0.85714000000000001</v>
      </c>
      <c r="T1905" t="s">
        <v>81</v>
      </c>
      <c r="U1905" t="s">
        <v>109</v>
      </c>
      <c r="V1905" t="s">
        <v>62</v>
      </c>
      <c r="W1905" t="s">
        <v>62</v>
      </c>
      <c r="X1905">
        <v>3</v>
      </c>
      <c r="Y1905">
        <v>7</v>
      </c>
      <c r="Z1905">
        <v>21</v>
      </c>
      <c r="AA1905">
        <v>0.25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</v>
      </c>
      <c r="AH1905">
        <v>3</v>
      </c>
      <c r="AI1905">
        <v>5</v>
      </c>
      <c r="AJ1905">
        <v>20</v>
      </c>
      <c r="AK1905">
        <v>0.2</v>
      </c>
      <c r="AL1905">
        <v>12</v>
      </c>
      <c r="AM1905">
        <v>8</v>
      </c>
      <c r="AN1905">
        <v>30</v>
      </c>
      <c r="AO1905">
        <v>26</v>
      </c>
      <c r="AP1905">
        <v>11</v>
      </c>
      <c r="AQ1905">
        <v>3</v>
      </c>
      <c r="AR1905" t="s">
        <v>8015</v>
      </c>
      <c r="AS1905" t="s">
        <v>8016</v>
      </c>
      <c r="AT1905">
        <v>0.94499999999999995</v>
      </c>
      <c r="AU1905" t="s">
        <v>65</v>
      </c>
      <c r="AV1905">
        <v>41</v>
      </c>
      <c r="AW1905">
        <v>29</v>
      </c>
      <c r="AX1905" t="s">
        <v>8017</v>
      </c>
      <c r="AY1905">
        <v>3.5520000000000003E-2</v>
      </c>
      <c r="AZ1905">
        <v>-2.0400000000000001E-3</v>
      </c>
      <c r="BA1905">
        <v>5.5900000000000004E-3</v>
      </c>
      <c r="BB1905">
        <v>-2.9E-4</v>
      </c>
      <c r="BC1905">
        <v>0.15742999999999999</v>
      </c>
      <c r="BD1905">
        <v>1</v>
      </c>
      <c r="BE1905" t="s">
        <v>69</v>
      </c>
      <c r="BF1905">
        <v>-1.254</v>
      </c>
      <c r="BG1905">
        <v>-2.4700000000000002</v>
      </c>
    </row>
    <row r="1906" spans="1:59">
      <c r="A1906">
        <v>0</v>
      </c>
      <c r="B1906">
        <v>2</v>
      </c>
      <c r="C1906">
        <v>0</v>
      </c>
      <c r="D1906" t="s">
        <v>25022</v>
      </c>
      <c r="E1906">
        <v>2849</v>
      </c>
      <c r="F1906" t="s">
        <v>16369</v>
      </c>
      <c r="G1906" t="s">
        <v>62</v>
      </c>
      <c r="H1906">
        <v>2795890</v>
      </c>
      <c r="I1906">
        <v>2796969</v>
      </c>
      <c r="J1906" t="s">
        <v>16370</v>
      </c>
      <c r="K1906">
        <v>360</v>
      </c>
      <c r="L1906" t="s">
        <v>108</v>
      </c>
      <c r="M1906">
        <v>44</v>
      </c>
      <c r="N1906" t="str">
        <f>HYPERLINK("Gene2849-zp_tree_all.dnd", "Gene2849-tree")</f>
        <v>Gene2849-tree</v>
      </c>
      <c r="O1906">
        <v>5</v>
      </c>
      <c r="P1906">
        <v>8</v>
      </c>
      <c r="Q1906">
        <v>5</v>
      </c>
      <c r="R1906">
        <v>8</v>
      </c>
      <c r="S1906">
        <v>0.61538000000000004</v>
      </c>
      <c r="T1906" t="s">
        <v>199</v>
      </c>
      <c r="U1906" t="s">
        <v>136</v>
      </c>
      <c r="V1906" t="s">
        <v>62</v>
      </c>
      <c r="W1906" t="s">
        <v>62</v>
      </c>
      <c r="X1906">
        <v>1</v>
      </c>
      <c r="Y1906">
        <v>2</v>
      </c>
      <c r="Z1906">
        <v>8</v>
      </c>
      <c r="AA1906">
        <v>0.2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</v>
      </c>
      <c r="AH1906">
        <v>0</v>
      </c>
      <c r="AI1906">
        <v>2</v>
      </c>
      <c r="AJ1906">
        <v>7</v>
      </c>
      <c r="AK1906">
        <v>0.22222</v>
      </c>
      <c r="AL1906">
        <v>13</v>
      </c>
      <c r="AM1906">
        <v>4</v>
      </c>
      <c r="AN1906">
        <v>25</v>
      </c>
      <c r="AO1906">
        <v>9</v>
      </c>
      <c r="AP1906">
        <v>10</v>
      </c>
      <c r="AQ1906">
        <v>1</v>
      </c>
      <c r="AR1906" t="s">
        <v>16371</v>
      </c>
      <c r="AS1906" t="s">
        <v>16372</v>
      </c>
      <c r="AT1906">
        <v>1.133</v>
      </c>
      <c r="AU1906" t="s">
        <v>65</v>
      </c>
      <c r="AV1906">
        <v>35</v>
      </c>
      <c r="AW1906">
        <v>10</v>
      </c>
      <c r="AX1906" t="s">
        <v>16373</v>
      </c>
      <c r="AY1906">
        <v>2.5520000000000001E-2</v>
      </c>
      <c r="AZ1906">
        <v>-1.57E-3</v>
      </c>
      <c r="BA1906">
        <v>2.2799999999999999E-3</v>
      </c>
      <c r="BB1906">
        <v>-1.2999999999999999E-4</v>
      </c>
      <c r="BC1906">
        <v>8.9480000000000004E-2</v>
      </c>
      <c r="BD1906">
        <v>1</v>
      </c>
      <c r="BE1906" t="s">
        <v>69</v>
      </c>
      <c r="BF1906">
        <v>-1.008</v>
      </c>
      <c r="BG1906">
        <v>-1.474</v>
      </c>
    </row>
    <row r="1907" spans="1:59">
      <c r="A1907">
        <v>0</v>
      </c>
      <c r="B1907">
        <v>2</v>
      </c>
      <c r="C1907">
        <v>0</v>
      </c>
      <c r="D1907" t="s">
        <v>25022</v>
      </c>
      <c r="E1907">
        <v>2356</v>
      </c>
      <c r="F1907" t="s">
        <v>13685</v>
      </c>
      <c r="G1907" t="s">
        <v>62</v>
      </c>
      <c r="H1907">
        <v>2370418</v>
      </c>
      <c r="I1907">
        <v>2371497</v>
      </c>
      <c r="J1907" t="s">
        <v>13686</v>
      </c>
      <c r="K1907">
        <v>360</v>
      </c>
      <c r="L1907" t="s">
        <v>13679</v>
      </c>
      <c r="M1907">
        <v>39</v>
      </c>
      <c r="N1907" t="str">
        <f>HYPERLINK("Gene2356-zp_tree_all.dnd", "Gene2356-tree")</f>
        <v>Gene2356-tree</v>
      </c>
      <c r="O1907">
        <v>5</v>
      </c>
      <c r="P1907">
        <v>7</v>
      </c>
      <c r="Q1907">
        <v>5</v>
      </c>
      <c r="R1907">
        <v>7</v>
      </c>
      <c r="S1907">
        <v>0.58333000000000002</v>
      </c>
      <c r="T1907" t="s">
        <v>199</v>
      </c>
      <c r="U1907" t="s">
        <v>152</v>
      </c>
      <c r="V1907" t="s">
        <v>62</v>
      </c>
      <c r="W1907" t="s">
        <v>62</v>
      </c>
      <c r="X1907">
        <v>1</v>
      </c>
      <c r="Y1907">
        <v>2</v>
      </c>
      <c r="Z1907">
        <v>8</v>
      </c>
      <c r="AA1907">
        <v>0.2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7</v>
      </c>
      <c r="AK1907">
        <v>0</v>
      </c>
      <c r="AL1907">
        <v>9</v>
      </c>
      <c r="AM1907">
        <v>6</v>
      </c>
      <c r="AN1907">
        <v>23</v>
      </c>
      <c r="AO1907">
        <v>6</v>
      </c>
      <c r="AP1907">
        <v>20</v>
      </c>
      <c r="AQ1907">
        <v>4</v>
      </c>
      <c r="AR1907" t="s">
        <v>13687</v>
      </c>
      <c r="AS1907" t="s">
        <v>13688</v>
      </c>
      <c r="AT1907">
        <v>0.21299999999999999</v>
      </c>
      <c r="AU1907" t="s">
        <v>65</v>
      </c>
      <c r="AV1907">
        <v>43</v>
      </c>
      <c r="AW1907">
        <v>10</v>
      </c>
      <c r="AX1907" t="s">
        <v>13689</v>
      </c>
      <c r="AY1907">
        <v>4.3290000000000002E-2</v>
      </c>
      <c r="AZ1907">
        <v>-2.6700000000000001E-3</v>
      </c>
      <c r="BA1907">
        <v>3.2799999999999999E-3</v>
      </c>
      <c r="BB1907">
        <v>-2.2000000000000001E-4</v>
      </c>
      <c r="BC1907">
        <v>7.5700000000000003E-2</v>
      </c>
      <c r="BD1907">
        <v>1</v>
      </c>
      <c r="BE1907" t="s">
        <v>69</v>
      </c>
      <c r="BF1907">
        <v>-0.17799999999999999</v>
      </c>
      <c r="BG1907">
        <v>-1.177</v>
      </c>
    </row>
    <row r="1908" spans="1:59">
      <c r="A1908">
        <v>0</v>
      </c>
      <c r="B1908">
        <v>9</v>
      </c>
      <c r="C1908">
        <v>0</v>
      </c>
      <c r="D1908" t="s">
        <v>25022</v>
      </c>
      <c r="E1908">
        <v>3434</v>
      </c>
      <c r="F1908" t="s">
        <v>20098</v>
      </c>
      <c r="G1908" t="s">
        <v>62</v>
      </c>
      <c r="H1908">
        <v>3395038</v>
      </c>
      <c r="I1908">
        <v>3396117</v>
      </c>
      <c r="J1908" t="s">
        <v>20099</v>
      </c>
      <c r="K1908">
        <v>360</v>
      </c>
      <c r="L1908" t="s">
        <v>108</v>
      </c>
      <c r="M1908">
        <v>44</v>
      </c>
      <c r="N1908" t="str">
        <f>HYPERLINK("Gene3434-zp_tree_all.dnd", "Gene3434-tree")</f>
        <v>Gene3434-tree</v>
      </c>
      <c r="O1908">
        <v>27</v>
      </c>
      <c r="P1908">
        <v>7</v>
      </c>
      <c r="Q1908">
        <v>6</v>
      </c>
      <c r="R1908">
        <v>7</v>
      </c>
      <c r="S1908">
        <v>0.53846000000000005</v>
      </c>
      <c r="T1908" t="s">
        <v>1055</v>
      </c>
      <c r="U1908" t="s">
        <v>152</v>
      </c>
      <c r="V1908" t="s">
        <v>62</v>
      </c>
      <c r="W1908" t="s">
        <v>62</v>
      </c>
      <c r="X1908">
        <v>3</v>
      </c>
      <c r="Y1908">
        <v>9</v>
      </c>
      <c r="Z1908">
        <v>4</v>
      </c>
      <c r="AA1908">
        <v>0.69230999999999998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6</v>
      </c>
      <c r="AH1908">
        <v>0</v>
      </c>
      <c r="AI1908">
        <v>6</v>
      </c>
      <c r="AJ1908">
        <v>4</v>
      </c>
      <c r="AK1908">
        <v>0.6</v>
      </c>
      <c r="AL1908">
        <v>11</v>
      </c>
      <c r="AM1908">
        <v>9</v>
      </c>
      <c r="AN1908">
        <v>45</v>
      </c>
      <c r="AO1908">
        <v>10</v>
      </c>
      <c r="AP1908">
        <v>30</v>
      </c>
      <c r="AQ1908">
        <v>3</v>
      </c>
      <c r="AR1908" t="s">
        <v>20100</v>
      </c>
      <c r="AS1908" t="s">
        <v>20101</v>
      </c>
      <c r="AT1908">
        <v>0.78800000000000003</v>
      </c>
      <c r="AU1908" t="s">
        <v>65</v>
      </c>
      <c r="AV1908">
        <v>75</v>
      </c>
      <c r="AW1908">
        <v>13</v>
      </c>
      <c r="AX1908" t="s">
        <v>20102</v>
      </c>
      <c r="AY1908">
        <v>5.7529999999999998E-2</v>
      </c>
      <c r="AZ1908">
        <v>-2.2000000000000001E-3</v>
      </c>
      <c r="BA1908">
        <v>2.2399999999999998E-3</v>
      </c>
      <c r="BB1908">
        <v>-1.4999999999999999E-4</v>
      </c>
      <c r="BC1908">
        <v>3.8980000000000001E-2</v>
      </c>
      <c r="BD1908">
        <v>1</v>
      </c>
      <c r="BE1908" t="s">
        <v>69</v>
      </c>
      <c r="BF1908">
        <v>-0.85399999999999998</v>
      </c>
      <c r="BG1908">
        <v>-1.1140000000000001</v>
      </c>
    </row>
    <row r="1909" spans="1:59">
      <c r="A1909">
        <v>0</v>
      </c>
      <c r="B1909">
        <v>0</v>
      </c>
      <c r="C1909">
        <v>0</v>
      </c>
      <c r="D1909" t="s">
        <v>25022</v>
      </c>
      <c r="E1909">
        <v>1700</v>
      </c>
      <c r="F1909" t="s">
        <v>10656</v>
      </c>
      <c r="G1909" t="s">
        <v>57</v>
      </c>
      <c r="H1909">
        <v>1706599</v>
      </c>
      <c r="I1909">
        <v>1707678</v>
      </c>
      <c r="J1909" t="s">
        <v>10639</v>
      </c>
      <c r="K1909">
        <v>360</v>
      </c>
      <c r="L1909" t="s">
        <v>108</v>
      </c>
      <c r="M1909">
        <v>44</v>
      </c>
      <c r="N1909" t="str">
        <f>HYPERLINK("Gene1700-zp_tree_all.dnd", "Gene1700-tree")</f>
        <v>Gene1700-tree</v>
      </c>
      <c r="O1909">
        <v>14</v>
      </c>
      <c r="P1909">
        <v>0</v>
      </c>
      <c r="Q1909">
        <v>14</v>
      </c>
      <c r="R1909">
        <v>0</v>
      </c>
      <c r="S1909">
        <v>0</v>
      </c>
      <c r="T1909" t="s">
        <v>543</v>
      </c>
      <c r="U1909" t="s">
        <v>62</v>
      </c>
      <c r="V1909" t="s">
        <v>62</v>
      </c>
      <c r="W1909" t="s">
        <v>62</v>
      </c>
      <c r="X1909">
        <v>0</v>
      </c>
      <c r="Y1909">
        <v>0</v>
      </c>
      <c r="Z1909">
        <v>2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11</v>
      </c>
      <c r="AM1909">
        <v>9</v>
      </c>
      <c r="AN1909">
        <v>24</v>
      </c>
      <c r="AO1909">
        <v>0</v>
      </c>
      <c r="AP1909">
        <v>30</v>
      </c>
      <c r="AQ1909">
        <v>2</v>
      </c>
      <c r="AR1909" t="s">
        <v>193</v>
      </c>
      <c r="AS1909" t="s">
        <v>10657</v>
      </c>
      <c r="AT1909">
        <v>0.77600000000000002</v>
      </c>
      <c r="AU1909" t="s">
        <v>65</v>
      </c>
      <c r="AV1909">
        <v>54</v>
      </c>
      <c r="AW1909">
        <v>2</v>
      </c>
      <c r="AX1909" t="s">
        <v>10658</v>
      </c>
      <c r="AY1909">
        <v>4.9509999999999998E-2</v>
      </c>
      <c r="AZ1909">
        <v>-2.5300000000000001E-3</v>
      </c>
      <c r="BA1909">
        <v>7.5000000000000002E-4</v>
      </c>
      <c r="BB1909">
        <v>-6.9999999999999994E-5</v>
      </c>
      <c r="BC1909">
        <v>1.519E-2</v>
      </c>
      <c r="BD1909">
        <v>1</v>
      </c>
      <c r="BE1909" t="s">
        <v>69</v>
      </c>
      <c r="BF1909">
        <v>1.2999999999999999E-2</v>
      </c>
      <c r="BG1909">
        <v>-0.79200000000000004</v>
      </c>
    </row>
    <row r="1910" spans="1:59">
      <c r="A1910">
        <v>0</v>
      </c>
      <c r="B1910">
        <v>0</v>
      </c>
      <c r="C1910">
        <v>0</v>
      </c>
      <c r="D1910" t="s">
        <v>25022</v>
      </c>
      <c r="E1910">
        <v>88</v>
      </c>
      <c r="F1910" t="s">
        <v>696</v>
      </c>
      <c r="G1910" t="s">
        <v>57</v>
      </c>
      <c r="H1910">
        <v>107476</v>
      </c>
      <c r="I1910">
        <v>108555</v>
      </c>
      <c r="J1910" t="s">
        <v>697</v>
      </c>
      <c r="K1910">
        <v>360</v>
      </c>
      <c r="L1910" t="s">
        <v>698</v>
      </c>
      <c r="M1910">
        <v>47</v>
      </c>
      <c r="N1910" t="str">
        <f>HYPERLINK("Gene88-zp_tree_all.dnd", "Gene88-tree")</f>
        <v>Gene88-tree</v>
      </c>
      <c r="O1910">
        <v>16</v>
      </c>
      <c r="P1910">
        <v>0</v>
      </c>
      <c r="Q1910">
        <v>16</v>
      </c>
      <c r="R1910">
        <v>0</v>
      </c>
      <c r="S1910">
        <v>0</v>
      </c>
      <c r="T1910" t="s">
        <v>60</v>
      </c>
      <c r="U1910" t="s">
        <v>62</v>
      </c>
      <c r="V1910" t="s">
        <v>62</v>
      </c>
      <c r="W1910" t="s">
        <v>62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11</v>
      </c>
      <c r="AM1910">
        <v>10</v>
      </c>
      <c r="AN1910">
        <v>31</v>
      </c>
      <c r="AO1910">
        <v>0</v>
      </c>
      <c r="AP1910">
        <v>48</v>
      </c>
      <c r="AQ1910">
        <v>2</v>
      </c>
      <c r="AR1910" t="s">
        <v>193</v>
      </c>
      <c r="AS1910" t="s">
        <v>699</v>
      </c>
      <c r="AT1910">
        <v>0.43</v>
      </c>
      <c r="AU1910" t="s">
        <v>65</v>
      </c>
      <c r="AV1910">
        <v>79</v>
      </c>
      <c r="AW1910">
        <v>2</v>
      </c>
      <c r="AX1910" t="s">
        <v>700</v>
      </c>
      <c r="AY1910">
        <v>8.1589999999999996E-2</v>
      </c>
      <c r="AZ1910">
        <v>-7.0200000000000002E-3</v>
      </c>
      <c r="BA1910">
        <v>6.7000000000000002E-4</v>
      </c>
      <c r="BB1910">
        <v>-9.0000000000000006E-5</v>
      </c>
      <c r="BC1910">
        <v>8.2299999999999995E-3</v>
      </c>
      <c r="BD1910">
        <v>1</v>
      </c>
      <c r="BE1910" t="s">
        <v>69</v>
      </c>
      <c r="BF1910">
        <v>-1.4550000000000001</v>
      </c>
      <c r="BG1910">
        <v>-0.81399999999999995</v>
      </c>
    </row>
    <row r="1911" spans="1:59">
      <c r="A1911">
        <v>0</v>
      </c>
      <c r="B1911">
        <v>6</v>
      </c>
      <c r="C1911">
        <v>0</v>
      </c>
      <c r="D1911" t="s">
        <v>25022</v>
      </c>
      <c r="E1911">
        <v>2423</v>
      </c>
      <c r="F1911" t="s">
        <v>14117</v>
      </c>
      <c r="G1911" t="s">
        <v>62</v>
      </c>
      <c r="H1911">
        <v>2430261</v>
      </c>
      <c r="I1911">
        <v>2431343</v>
      </c>
      <c r="J1911" t="s">
        <v>14118</v>
      </c>
      <c r="K1911">
        <v>361</v>
      </c>
      <c r="L1911" t="s">
        <v>108</v>
      </c>
      <c r="M1911">
        <v>44</v>
      </c>
      <c r="N1911" t="str">
        <f>HYPERLINK("Gene2423-zp_tree_all.dnd", "Gene2423-tree")</f>
        <v>Gene2423-tree</v>
      </c>
      <c r="O1911">
        <v>8</v>
      </c>
      <c r="P1911">
        <v>7</v>
      </c>
      <c r="Q1911">
        <v>8</v>
      </c>
      <c r="R1911">
        <v>7</v>
      </c>
      <c r="S1911">
        <v>0.46666999999999997</v>
      </c>
      <c r="T1911" t="s">
        <v>136</v>
      </c>
      <c r="U1911" t="s">
        <v>152</v>
      </c>
      <c r="V1911" t="s">
        <v>62</v>
      </c>
      <c r="W1911" t="s">
        <v>62</v>
      </c>
      <c r="X1911">
        <v>3</v>
      </c>
      <c r="Y1911">
        <v>6</v>
      </c>
      <c r="Z1911">
        <v>8</v>
      </c>
      <c r="AA1911">
        <v>0.42857000000000001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</v>
      </c>
      <c r="AH1911">
        <v>0</v>
      </c>
      <c r="AI1911">
        <v>2</v>
      </c>
      <c r="AJ1911">
        <v>7</v>
      </c>
      <c r="AK1911">
        <v>0.22222</v>
      </c>
      <c r="AL1911">
        <v>15</v>
      </c>
      <c r="AM1911">
        <v>7</v>
      </c>
      <c r="AN1911">
        <v>27</v>
      </c>
      <c r="AO1911">
        <v>9</v>
      </c>
      <c r="AP1911">
        <v>9</v>
      </c>
      <c r="AQ1911">
        <v>5</v>
      </c>
      <c r="AR1911" t="s">
        <v>14119</v>
      </c>
      <c r="AS1911" t="s">
        <v>14120</v>
      </c>
      <c r="AT1911">
        <v>1.0609999999999999</v>
      </c>
      <c r="AU1911" t="s">
        <v>65</v>
      </c>
      <c r="AV1911">
        <v>36</v>
      </c>
      <c r="AW1911">
        <v>14</v>
      </c>
      <c r="AX1911" t="s">
        <v>14121</v>
      </c>
      <c r="AY1911">
        <v>2.1940000000000001E-2</v>
      </c>
      <c r="AZ1911">
        <v>-8.8999999999999995E-4</v>
      </c>
      <c r="BA1911">
        <v>3.2599999999999999E-3</v>
      </c>
      <c r="BB1911">
        <v>-1.4999999999999999E-4</v>
      </c>
      <c r="BC1911">
        <v>0.14871000000000001</v>
      </c>
      <c r="BD1911">
        <v>1</v>
      </c>
      <c r="BE1911" t="s">
        <v>69</v>
      </c>
      <c r="BF1911">
        <v>-1.0620000000000001</v>
      </c>
      <c r="BG1911">
        <v>-0.99399999999999999</v>
      </c>
    </row>
    <row r="1912" spans="1:59">
      <c r="A1912">
        <v>0</v>
      </c>
      <c r="B1912">
        <v>0</v>
      </c>
      <c r="C1912">
        <v>0</v>
      </c>
      <c r="D1912" t="s">
        <v>25022</v>
      </c>
      <c r="E1912">
        <v>2999</v>
      </c>
      <c r="F1912" t="s">
        <v>17319</v>
      </c>
      <c r="G1912" t="s">
        <v>62</v>
      </c>
      <c r="H1912">
        <v>2950224</v>
      </c>
      <c r="I1912">
        <v>2951306</v>
      </c>
      <c r="J1912" t="s">
        <v>17320</v>
      </c>
      <c r="K1912">
        <v>361</v>
      </c>
      <c r="L1912" t="s">
        <v>108</v>
      </c>
      <c r="M1912">
        <v>44</v>
      </c>
      <c r="N1912" t="str">
        <f>HYPERLINK("Gene2999-zp_tree_all.dnd", "Gene2999-tree")</f>
        <v>Gene2999-tree</v>
      </c>
      <c r="O1912">
        <v>8</v>
      </c>
      <c r="P1912">
        <v>6</v>
      </c>
      <c r="Q1912">
        <v>8</v>
      </c>
      <c r="R1912">
        <v>6</v>
      </c>
      <c r="S1912">
        <v>0.42857000000000001</v>
      </c>
      <c r="T1912" t="s">
        <v>136</v>
      </c>
      <c r="U1912" t="s">
        <v>90</v>
      </c>
      <c r="V1912" t="s">
        <v>62</v>
      </c>
      <c r="W1912" t="s">
        <v>62</v>
      </c>
      <c r="X1912">
        <v>0</v>
      </c>
      <c r="Y1912">
        <v>0</v>
      </c>
      <c r="Z1912">
        <v>9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7</v>
      </c>
      <c r="AK1912">
        <v>0</v>
      </c>
      <c r="AL1912">
        <v>11</v>
      </c>
      <c r="AM1912">
        <v>11</v>
      </c>
      <c r="AN1912">
        <v>31</v>
      </c>
      <c r="AO1912">
        <v>7</v>
      </c>
      <c r="AP1912">
        <v>31</v>
      </c>
      <c r="AQ1912">
        <v>2</v>
      </c>
      <c r="AR1912" t="s">
        <v>17321</v>
      </c>
      <c r="AS1912" t="s">
        <v>17322</v>
      </c>
      <c r="AT1912">
        <v>1.03</v>
      </c>
      <c r="AU1912" t="s">
        <v>65</v>
      </c>
      <c r="AV1912">
        <v>62</v>
      </c>
      <c r="AW1912">
        <v>9</v>
      </c>
      <c r="AX1912" t="s">
        <v>17323</v>
      </c>
      <c r="AY1912">
        <v>5.0990000000000001E-2</v>
      </c>
      <c r="AZ1912">
        <v>-1.81E-3</v>
      </c>
      <c r="BA1912">
        <v>1.8400000000000001E-3</v>
      </c>
      <c r="BB1912">
        <v>-1.2999999999999999E-4</v>
      </c>
      <c r="BC1912">
        <v>3.6159999999999998E-2</v>
      </c>
      <c r="BD1912">
        <v>1</v>
      </c>
      <c r="BE1912" t="s">
        <v>69</v>
      </c>
      <c r="BF1912">
        <v>-0.40699999999999997</v>
      </c>
      <c r="BG1912">
        <v>-0.81100000000000005</v>
      </c>
    </row>
    <row r="1913" spans="1:59">
      <c r="A1913">
        <v>0</v>
      </c>
      <c r="B1913">
        <v>8</v>
      </c>
      <c r="C1913">
        <v>1</v>
      </c>
      <c r="D1913" t="s">
        <v>25022</v>
      </c>
      <c r="E1913">
        <v>435</v>
      </c>
      <c r="F1913" t="s">
        <v>2956</v>
      </c>
      <c r="G1913" t="s">
        <v>57</v>
      </c>
      <c r="H1913">
        <v>478944</v>
      </c>
      <c r="I1913">
        <v>480029</v>
      </c>
      <c r="J1913" t="s">
        <v>2957</v>
      </c>
      <c r="K1913">
        <v>362</v>
      </c>
      <c r="L1913" t="s">
        <v>2958</v>
      </c>
      <c r="M1913">
        <v>34</v>
      </c>
      <c r="N1913" t="str">
        <f>HYPERLINK("Gene435-zp_tree_all.dnd", "Gene435-tree")</f>
        <v>Gene435-tree</v>
      </c>
      <c r="O1913">
        <v>2</v>
      </c>
      <c r="P1913">
        <v>11</v>
      </c>
      <c r="Q1913">
        <v>2</v>
      </c>
      <c r="R1913">
        <v>11</v>
      </c>
      <c r="S1913">
        <v>0.84614999999999996</v>
      </c>
      <c r="T1913" t="s">
        <v>81</v>
      </c>
      <c r="U1913" t="s">
        <v>73</v>
      </c>
      <c r="V1913">
        <v>515075683.63</v>
      </c>
      <c r="W1913" t="s">
        <v>267</v>
      </c>
      <c r="X1913">
        <v>4</v>
      </c>
      <c r="Y1913">
        <v>9</v>
      </c>
      <c r="Z1913">
        <v>20</v>
      </c>
      <c r="AA1913">
        <v>0.31034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4</v>
      </c>
      <c r="AH1913">
        <v>0</v>
      </c>
      <c r="AI1913">
        <v>4</v>
      </c>
      <c r="AJ1913">
        <v>16</v>
      </c>
      <c r="AK1913">
        <v>0.2</v>
      </c>
      <c r="AL1913">
        <v>11</v>
      </c>
      <c r="AM1913">
        <v>9</v>
      </c>
      <c r="AN1913">
        <v>20</v>
      </c>
      <c r="AO1913">
        <v>20</v>
      </c>
      <c r="AP1913">
        <v>11</v>
      </c>
      <c r="AQ1913">
        <v>10</v>
      </c>
      <c r="AR1913" t="s">
        <v>2959</v>
      </c>
      <c r="AS1913" t="s">
        <v>2960</v>
      </c>
      <c r="AT1913">
        <v>0.16600000000000001</v>
      </c>
      <c r="AU1913" t="s">
        <v>65</v>
      </c>
      <c r="AV1913">
        <v>31</v>
      </c>
      <c r="AW1913">
        <v>30</v>
      </c>
      <c r="AX1913" t="s">
        <v>2961</v>
      </c>
      <c r="AY1913">
        <v>2.767E-2</v>
      </c>
      <c r="AZ1913">
        <v>-1.4499999999999999E-3</v>
      </c>
      <c r="BA1913">
        <v>7.7200000000000003E-3</v>
      </c>
      <c r="BB1913">
        <v>-4.6000000000000001E-4</v>
      </c>
      <c r="BC1913">
        <v>0.27900999999999998</v>
      </c>
      <c r="BD1913">
        <v>1</v>
      </c>
      <c r="BE1913" t="s">
        <v>69</v>
      </c>
      <c r="BF1913">
        <v>-0.80800000000000005</v>
      </c>
      <c r="BG1913">
        <v>-0.84099999999999997</v>
      </c>
    </row>
    <row r="1914" spans="1:59">
      <c r="A1914">
        <v>0</v>
      </c>
      <c r="B1914">
        <v>12</v>
      </c>
      <c r="C1914">
        <v>0</v>
      </c>
      <c r="D1914" t="s">
        <v>25022</v>
      </c>
      <c r="E1914">
        <v>2559</v>
      </c>
      <c r="F1914" t="s">
        <v>14962</v>
      </c>
      <c r="G1914" t="s">
        <v>62</v>
      </c>
      <c r="H1914">
        <v>2548248</v>
      </c>
      <c r="I1914">
        <v>2549333</v>
      </c>
      <c r="J1914" t="s">
        <v>14963</v>
      </c>
      <c r="K1914">
        <v>362</v>
      </c>
      <c r="L1914" t="s">
        <v>108</v>
      </c>
      <c r="M1914">
        <v>44</v>
      </c>
      <c r="N1914" t="str">
        <f>HYPERLINK("Gene2559-zp_tree_all.dnd", "Gene2559-tree")</f>
        <v>Gene2559-tree</v>
      </c>
      <c r="O1914">
        <v>6</v>
      </c>
      <c r="P1914">
        <v>26</v>
      </c>
      <c r="Q1914">
        <v>6</v>
      </c>
      <c r="R1914">
        <v>9</v>
      </c>
      <c r="S1914">
        <v>0.6</v>
      </c>
      <c r="T1914" t="s">
        <v>90</v>
      </c>
      <c r="U1914" t="s">
        <v>4723</v>
      </c>
      <c r="V1914">
        <v>2.7410000000000001</v>
      </c>
      <c r="W1914" t="s">
        <v>65</v>
      </c>
      <c r="X1914">
        <v>5</v>
      </c>
      <c r="Y1914">
        <v>12</v>
      </c>
      <c r="Z1914">
        <v>8</v>
      </c>
      <c r="AA1914">
        <v>0.6</v>
      </c>
      <c r="AB1914">
        <v>0</v>
      </c>
      <c r="AC1914">
        <v>0</v>
      </c>
      <c r="AD1914">
        <v>0</v>
      </c>
      <c r="AE1914">
        <v>3</v>
      </c>
      <c r="AF1914">
        <v>0</v>
      </c>
      <c r="AG1914">
        <v>6</v>
      </c>
      <c r="AH1914">
        <v>0</v>
      </c>
      <c r="AI1914">
        <v>6</v>
      </c>
      <c r="AJ1914">
        <v>6</v>
      </c>
      <c r="AK1914">
        <v>0.5</v>
      </c>
      <c r="AL1914">
        <v>12</v>
      </c>
      <c r="AM1914">
        <v>12</v>
      </c>
      <c r="AN1914">
        <v>23</v>
      </c>
      <c r="AO1914">
        <v>12</v>
      </c>
      <c r="AP1914">
        <v>17</v>
      </c>
      <c r="AQ1914">
        <v>8</v>
      </c>
      <c r="AR1914" t="s">
        <v>14964</v>
      </c>
      <c r="AS1914" t="s">
        <v>14965</v>
      </c>
      <c r="AT1914">
        <v>0.13500000000000001</v>
      </c>
      <c r="AU1914" t="s">
        <v>65</v>
      </c>
      <c r="AV1914">
        <v>40</v>
      </c>
      <c r="AW1914">
        <v>20</v>
      </c>
      <c r="AX1914" t="s">
        <v>14966</v>
      </c>
      <c r="AY1914">
        <v>2.912E-2</v>
      </c>
      <c r="AZ1914">
        <v>-1.2600000000000001E-3</v>
      </c>
      <c r="BA1914">
        <v>4.4000000000000003E-3</v>
      </c>
      <c r="BB1914">
        <v>-1.8000000000000001E-4</v>
      </c>
      <c r="BC1914">
        <v>0.15118999999999999</v>
      </c>
      <c r="BD1914">
        <v>1</v>
      </c>
      <c r="BE1914" t="s">
        <v>69</v>
      </c>
      <c r="BF1914">
        <v>-0.35399999999999998</v>
      </c>
      <c r="BG1914">
        <v>-0.46200000000000002</v>
      </c>
    </row>
    <row r="1915" spans="1:59">
      <c r="A1915">
        <v>0</v>
      </c>
      <c r="B1915">
        <v>19</v>
      </c>
      <c r="C1915">
        <v>3</v>
      </c>
      <c r="D1915" t="s">
        <v>25022</v>
      </c>
      <c r="E1915">
        <v>606</v>
      </c>
      <c r="F1915" t="s">
        <v>3908</v>
      </c>
      <c r="G1915" t="s">
        <v>57</v>
      </c>
      <c r="H1915">
        <v>632774</v>
      </c>
      <c r="I1915">
        <v>633859</v>
      </c>
      <c r="J1915" t="s">
        <v>3909</v>
      </c>
      <c r="K1915">
        <v>362</v>
      </c>
      <c r="L1915" t="s">
        <v>3859</v>
      </c>
      <c r="M1915">
        <v>42</v>
      </c>
      <c r="N1915" t="str">
        <f>HYPERLINK("Gene606-zp_tree_all.dnd", "Gene606-tree")</f>
        <v>Gene606-tree</v>
      </c>
      <c r="O1915">
        <v>2</v>
      </c>
      <c r="P1915">
        <v>12</v>
      </c>
      <c r="Q1915">
        <v>2</v>
      </c>
      <c r="R1915">
        <v>12</v>
      </c>
      <c r="S1915">
        <v>0.85714000000000001</v>
      </c>
      <c r="T1915" t="s">
        <v>81</v>
      </c>
      <c r="U1915" t="s">
        <v>109</v>
      </c>
      <c r="V1915" t="s">
        <v>62</v>
      </c>
      <c r="W1915" t="s">
        <v>62</v>
      </c>
      <c r="X1915">
        <v>8</v>
      </c>
      <c r="Y1915">
        <v>22</v>
      </c>
      <c r="Z1915">
        <v>20</v>
      </c>
      <c r="AA1915">
        <v>0.52381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8</v>
      </c>
      <c r="AH1915">
        <v>3</v>
      </c>
      <c r="AI1915">
        <v>11</v>
      </c>
      <c r="AJ1915">
        <v>17</v>
      </c>
      <c r="AK1915">
        <v>0.39285999999999999</v>
      </c>
      <c r="AL1915">
        <v>14</v>
      </c>
      <c r="AM1915">
        <v>10</v>
      </c>
      <c r="AN1915">
        <v>45</v>
      </c>
      <c r="AO1915">
        <v>29</v>
      </c>
      <c r="AP1915">
        <v>41</v>
      </c>
      <c r="AQ1915">
        <v>14</v>
      </c>
      <c r="AR1915" t="s">
        <v>3910</v>
      </c>
      <c r="AS1915" t="s">
        <v>3911</v>
      </c>
      <c r="AT1915">
        <v>0.84899999999999998</v>
      </c>
      <c r="AU1915" t="s">
        <v>65</v>
      </c>
      <c r="AV1915">
        <v>86</v>
      </c>
      <c r="AW1915">
        <v>43</v>
      </c>
      <c r="AX1915" t="s">
        <v>3912</v>
      </c>
      <c r="AY1915">
        <v>7.4740000000000001E-2</v>
      </c>
      <c r="AZ1915">
        <v>-2.9299999999999999E-3</v>
      </c>
      <c r="BA1915">
        <v>9.0799999999999995E-3</v>
      </c>
      <c r="BB1915">
        <v>-3.6999999999999999E-4</v>
      </c>
      <c r="BC1915">
        <v>0.12145</v>
      </c>
      <c r="BD1915">
        <v>1</v>
      </c>
      <c r="BE1915" t="s">
        <v>69</v>
      </c>
      <c r="BF1915">
        <v>0.124</v>
      </c>
      <c r="BG1915">
        <v>-0.49199999999999999</v>
      </c>
    </row>
    <row r="1916" spans="1:59">
      <c r="A1916">
        <v>0</v>
      </c>
      <c r="B1916">
        <v>10</v>
      </c>
      <c r="C1916">
        <v>2</v>
      </c>
      <c r="D1916" t="s">
        <v>25022</v>
      </c>
      <c r="E1916">
        <v>870</v>
      </c>
      <c r="F1916" t="s">
        <v>5434</v>
      </c>
      <c r="G1916" t="s">
        <v>57</v>
      </c>
      <c r="H1916">
        <v>910840</v>
      </c>
      <c r="I1916">
        <v>911925</v>
      </c>
      <c r="J1916" t="s">
        <v>5435</v>
      </c>
      <c r="K1916">
        <v>362</v>
      </c>
      <c r="L1916" t="s">
        <v>1557</v>
      </c>
      <c r="M1916">
        <v>40</v>
      </c>
      <c r="N1916" t="str">
        <f>HYPERLINK("Gene870-zp_tree_all.dnd", "Gene870-tree")</f>
        <v>Gene870-tree</v>
      </c>
      <c r="O1916">
        <v>3</v>
      </c>
      <c r="P1916">
        <v>10</v>
      </c>
      <c r="Q1916">
        <v>3</v>
      </c>
      <c r="R1916">
        <v>10</v>
      </c>
      <c r="S1916">
        <v>0.76922999999999997</v>
      </c>
      <c r="T1916" t="s">
        <v>324</v>
      </c>
      <c r="U1916" t="s">
        <v>117</v>
      </c>
      <c r="V1916" t="s">
        <v>62</v>
      </c>
      <c r="W1916" t="s">
        <v>62</v>
      </c>
      <c r="X1916">
        <v>5</v>
      </c>
      <c r="Y1916">
        <v>12</v>
      </c>
      <c r="Z1916">
        <v>7</v>
      </c>
      <c r="AA1916">
        <v>0.63158000000000003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4</v>
      </c>
      <c r="AH1916">
        <v>1</v>
      </c>
      <c r="AI1916">
        <v>5</v>
      </c>
      <c r="AJ1916">
        <v>9</v>
      </c>
      <c r="AK1916">
        <v>0.35714000000000001</v>
      </c>
      <c r="AL1916">
        <v>12</v>
      </c>
      <c r="AM1916">
        <v>8</v>
      </c>
      <c r="AN1916">
        <v>36</v>
      </c>
      <c r="AO1916">
        <v>14</v>
      </c>
      <c r="AP1916">
        <v>28</v>
      </c>
      <c r="AQ1916">
        <v>5</v>
      </c>
      <c r="AR1916" t="s">
        <v>5436</v>
      </c>
      <c r="AS1916" t="s">
        <v>5437</v>
      </c>
      <c r="AT1916">
        <v>1.29</v>
      </c>
      <c r="AU1916" t="s">
        <v>65</v>
      </c>
      <c r="AV1916">
        <v>64</v>
      </c>
      <c r="AW1916">
        <v>19</v>
      </c>
      <c r="AX1916" t="s">
        <v>5438</v>
      </c>
      <c r="AY1916">
        <v>4.7129999999999998E-2</v>
      </c>
      <c r="AZ1916">
        <v>-1.9499999999999999E-3</v>
      </c>
      <c r="BA1916">
        <v>4.3499999999999997E-3</v>
      </c>
      <c r="BB1916">
        <v>-2.1000000000000001E-4</v>
      </c>
      <c r="BC1916">
        <v>9.2329999999999995E-2</v>
      </c>
      <c r="BD1916">
        <v>1</v>
      </c>
      <c r="BE1916" t="s">
        <v>69</v>
      </c>
      <c r="BF1916">
        <v>-0.95599999999999996</v>
      </c>
      <c r="BG1916">
        <v>-1.18</v>
      </c>
    </row>
    <row r="1917" spans="1:59">
      <c r="A1917">
        <v>0</v>
      </c>
      <c r="B1917">
        <v>5</v>
      </c>
      <c r="C1917">
        <v>0</v>
      </c>
      <c r="D1917" t="s">
        <v>25022</v>
      </c>
      <c r="E1917">
        <v>3738</v>
      </c>
      <c r="F1917" t="s">
        <v>21919</v>
      </c>
      <c r="G1917" t="s">
        <v>62</v>
      </c>
      <c r="H1917">
        <v>3716012</v>
      </c>
      <c r="I1917">
        <v>3717097</v>
      </c>
      <c r="J1917" t="s">
        <v>21920</v>
      </c>
      <c r="K1917">
        <v>362</v>
      </c>
      <c r="L1917" t="s">
        <v>108</v>
      </c>
      <c r="M1917">
        <v>44</v>
      </c>
      <c r="N1917" t="str">
        <f>HYPERLINK("Gene3738-zp_tree_all.dnd", "Gene3738-tree")</f>
        <v>Gene3738-tree</v>
      </c>
      <c r="O1917">
        <v>7</v>
      </c>
      <c r="P1917">
        <v>5</v>
      </c>
      <c r="Q1917">
        <v>7</v>
      </c>
      <c r="R1917">
        <v>5</v>
      </c>
      <c r="S1917">
        <v>0.41666999999999998</v>
      </c>
      <c r="T1917" t="s">
        <v>152</v>
      </c>
      <c r="U1917" t="s">
        <v>199</v>
      </c>
      <c r="V1917" t="s">
        <v>62</v>
      </c>
      <c r="W1917" t="s">
        <v>62</v>
      </c>
      <c r="X1917">
        <v>2</v>
      </c>
      <c r="Y1917">
        <v>5</v>
      </c>
      <c r="Z1917">
        <v>10</v>
      </c>
      <c r="AA1917">
        <v>0.33333000000000002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2</v>
      </c>
      <c r="AH1917">
        <v>0</v>
      </c>
      <c r="AI1917">
        <v>2</v>
      </c>
      <c r="AJ1917">
        <v>4</v>
      </c>
      <c r="AK1917">
        <v>0.33333000000000002</v>
      </c>
      <c r="AL1917">
        <v>9</v>
      </c>
      <c r="AM1917">
        <v>9</v>
      </c>
      <c r="AN1917">
        <v>21</v>
      </c>
      <c r="AO1917">
        <v>5</v>
      </c>
      <c r="AP1917">
        <v>42</v>
      </c>
      <c r="AQ1917">
        <v>11</v>
      </c>
      <c r="AR1917" t="s">
        <v>21921</v>
      </c>
      <c r="AS1917" t="s">
        <v>21922</v>
      </c>
      <c r="AT1917">
        <v>8.2000000000000003E-2</v>
      </c>
      <c r="AU1917" t="s">
        <v>65</v>
      </c>
      <c r="AV1917">
        <v>63</v>
      </c>
      <c r="AW1917">
        <v>16</v>
      </c>
      <c r="AX1917" t="s">
        <v>21923</v>
      </c>
      <c r="AY1917">
        <v>8.0740000000000006E-2</v>
      </c>
      <c r="AZ1917">
        <v>-4.6299999999999996E-3</v>
      </c>
      <c r="BA1917">
        <v>5.9300000000000004E-3</v>
      </c>
      <c r="BB1917">
        <v>-4.6000000000000001E-4</v>
      </c>
      <c r="BC1917">
        <v>7.349E-2</v>
      </c>
      <c r="BD1917">
        <v>1</v>
      </c>
      <c r="BE1917" t="s">
        <v>69</v>
      </c>
      <c r="BF1917">
        <v>1.33</v>
      </c>
      <c r="BG1917">
        <v>1.032</v>
      </c>
    </row>
    <row r="1918" spans="1:59">
      <c r="A1918">
        <v>0</v>
      </c>
      <c r="B1918">
        <v>8</v>
      </c>
      <c r="C1918">
        <v>3</v>
      </c>
      <c r="D1918" t="s">
        <v>25022</v>
      </c>
      <c r="E1918">
        <v>2364</v>
      </c>
      <c r="F1918" t="s">
        <v>13738</v>
      </c>
      <c r="G1918" t="s">
        <v>62</v>
      </c>
      <c r="H1918">
        <v>2378015</v>
      </c>
      <c r="I1918">
        <v>2379100</v>
      </c>
      <c r="J1918" t="s">
        <v>13739</v>
      </c>
      <c r="K1918">
        <v>362</v>
      </c>
      <c r="L1918" t="s">
        <v>13740</v>
      </c>
      <c r="M1918">
        <v>41</v>
      </c>
      <c r="N1918" t="str">
        <f>HYPERLINK("Gene2364-zp_tree_all.dnd", "Gene2364-tree")</f>
        <v>Gene2364-tree</v>
      </c>
      <c r="O1918">
        <v>4</v>
      </c>
      <c r="P1918">
        <v>10</v>
      </c>
      <c r="Q1918">
        <v>4</v>
      </c>
      <c r="R1918">
        <v>10</v>
      </c>
      <c r="S1918">
        <v>0.71428999999999998</v>
      </c>
      <c r="T1918" t="s">
        <v>61</v>
      </c>
      <c r="U1918" t="s">
        <v>117</v>
      </c>
      <c r="V1918" t="s">
        <v>62</v>
      </c>
      <c r="W1918" t="s">
        <v>62</v>
      </c>
      <c r="X1918">
        <v>5</v>
      </c>
      <c r="Y1918">
        <v>11</v>
      </c>
      <c r="Z1918">
        <v>19</v>
      </c>
      <c r="AA1918">
        <v>0.36667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</v>
      </c>
      <c r="AH1918">
        <v>4</v>
      </c>
      <c r="AI1918">
        <v>6</v>
      </c>
      <c r="AJ1918">
        <v>16</v>
      </c>
      <c r="AK1918">
        <v>0.27272999999999997</v>
      </c>
      <c r="AL1918">
        <v>13</v>
      </c>
      <c r="AM1918">
        <v>9</v>
      </c>
      <c r="AN1918">
        <v>77</v>
      </c>
      <c r="AO1918">
        <v>22</v>
      </c>
      <c r="AP1918">
        <v>60</v>
      </c>
      <c r="AQ1918">
        <v>8</v>
      </c>
      <c r="AR1918" t="s">
        <v>13741</v>
      </c>
      <c r="AS1918" t="s">
        <v>13742</v>
      </c>
      <c r="AT1918">
        <v>0.75800000000000001</v>
      </c>
      <c r="AU1918" t="s">
        <v>65</v>
      </c>
      <c r="AV1918">
        <v>137</v>
      </c>
      <c r="AW1918">
        <v>30</v>
      </c>
      <c r="AX1918" t="s">
        <v>13743</v>
      </c>
      <c r="AY1918">
        <v>0.11094</v>
      </c>
      <c r="AZ1918">
        <v>-7.28E-3</v>
      </c>
      <c r="BA1918">
        <v>7.0600000000000003E-3</v>
      </c>
      <c r="BB1918">
        <v>-4.0000000000000002E-4</v>
      </c>
      <c r="BC1918">
        <v>6.3649999999999998E-2</v>
      </c>
      <c r="BD1918">
        <v>1</v>
      </c>
      <c r="BE1918" t="s">
        <v>69</v>
      </c>
      <c r="BF1918">
        <v>-1.25</v>
      </c>
      <c r="BG1918">
        <v>-2.6230000000000002</v>
      </c>
    </row>
    <row r="1919" spans="1:59">
      <c r="A1919">
        <v>0</v>
      </c>
      <c r="B1919">
        <v>6</v>
      </c>
      <c r="C1919">
        <v>0</v>
      </c>
      <c r="D1919" t="s">
        <v>25022</v>
      </c>
      <c r="E1919">
        <v>1842</v>
      </c>
      <c r="F1919" t="s">
        <v>11539</v>
      </c>
      <c r="G1919" t="s">
        <v>57</v>
      </c>
      <c r="H1919">
        <v>1909086</v>
      </c>
      <c r="I1919">
        <v>1910174</v>
      </c>
      <c r="J1919" t="s">
        <v>11540</v>
      </c>
      <c r="K1919">
        <v>363</v>
      </c>
      <c r="L1919" t="s">
        <v>11541</v>
      </c>
      <c r="M1919">
        <v>35</v>
      </c>
      <c r="N1919" t="str">
        <f>HYPERLINK("Gene1842-zp_tree_all.dnd", "Gene1842-tree")</f>
        <v>Gene1842-tree</v>
      </c>
      <c r="O1919">
        <v>5</v>
      </c>
      <c r="P1919">
        <v>6</v>
      </c>
      <c r="Q1919">
        <v>5</v>
      </c>
      <c r="R1919">
        <v>6</v>
      </c>
      <c r="S1919">
        <v>0.54544999999999999</v>
      </c>
      <c r="T1919" t="s">
        <v>199</v>
      </c>
      <c r="U1919" t="s">
        <v>90</v>
      </c>
      <c r="V1919" t="s">
        <v>62</v>
      </c>
      <c r="W1919" t="s">
        <v>62</v>
      </c>
      <c r="X1919">
        <v>3</v>
      </c>
      <c r="Y1919">
        <v>6</v>
      </c>
      <c r="Z1919">
        <v>12</v>
      </c>
      <c r="AA1919">
        <v>0.33333000000000002</v>
      </c>
      <c r="AB1919">
        <v>0</v>
      </c>
      <c r="AC1919">
        <v>0</v>
      </c>
      <c r="AD1919">
        <v>0</v>
      </c>
      <c r="AE1919">
        <v>3</v>
      </c>
      <c r="AF1919">
        <v>0</v>
      </c>
      <c r="AG1919">
        <v>0</v>
      </c>
      <c r="AH1919">
        <v>0</v>
      </c>
      <c r="AI1919">
        <v>0</v>
      </c>
      <c r="AJ1919">
        <v>12</v>
      </c>
      <c r="AK1919">
        <v>0</v>
      </c>
      <c r="AL1919">
        <v>7</v>
      </c>
      <c r="AM1919">
        <v>7</v>
      </c>
      <c r="AN1919">
        <v>21</v>
      </c>
      <c r="AO1919">
        <v>12</v>
      </c>
      <c r="AP1919">
        <v>12</v>
      </c>
      <c r="AQ1919">
        <v>6</v>
      </c>
      <c r="AR1919" t="s">
        <v>11542</v>
      </c>
      <c r="AS1919" t="s">
        <v>11543</v>
      </c>
      <c r="AT1919">
        <v>0.16400000000000001</v>
      </c>
      <c r="AU1919" t="s">
        <v>65</v>
      </c>
      <c r="AV1919">
        <v>33</v>
      </c>
      <c r="AW1919">
        <v>18</v>
      </c>
      <c r="AX1919" t="s">
        <v>11544</v>
      </c>
      <c r="AY1919">
        <v>3.279E-2</v>
      </c>
      <c r="AZ1919">
        <v>-2.31E-3</v>
      </c>
      <c r="BA1919">
        <v>5.1000000000000004E-3</v>
      </c>
      <c r="BB1919">
        <v>-2.9999999999999997E-4</v>
      </c>
      <c r="BC1919">
        <v>0.15559999999999999</v>
      </c>
      <c r="BD1919">
        <v>1</v>
      </c>
      <c r="BE1919" t="s">
        <v>69</v>
      </c>
      <c r="BF1919">
        <v>-1.2010000000000001</v>
      </c>
      <c r="BG1919">
        <v>-1.0489999999999999</v>
      </c>
    </row>
    <row r="1920" spans="1:59">
      <c r="A1920">
        <v>0</v>
      </c>
      <c r="B1920">
        <v>0</v>
      </c>
      <c r="C1920">
        <v>8</v>
      </c>
      <c r="D1920" t="s">
        <v>25022</v>
      </c>
      <c r="E1920">
        <v>1583</v>
      </c>
      <c r="F1920" t="s">
        <v>9901</v>
      </c>
      <c r="G1920" t="s">
        <v>57</v>
      </c>
      <c r="H1920">
        <v>1591540</v>
      </c>
      <c r="I1920">
        <v>1592628</v>
      </c>
      <c r="J1920" t="s">
        <v>9902</v>
      </c>
      <c r="K1920">
        <v>363</v>
      </c>
      <c r="L1920" t="s">
        <v>9903</v>
      </c>
      <c r="M1920">
        <v>45</v>
      </c>
      <c r="N1920" t="str">
        <f>HYPERLINK("Gene1583-zp_tree_all.dnd", "Gene1583-tree")</f>
        <v>Gene1583-tree</v>
      </c>
      <c r="O1920">
        <v>4</v>
      </c>
      <c r="P1920">
        <v>10</v>
      </c>
      <c r="Q1920">
        <v>4</v>
      </c>
      <c r="R1920">
        <v>10</v>
      </c>
      <c r="S1920">
        <v>0.71428999999999998</v>
      </c>
      <c r="T1920" t="s">
        <v>61</v>
      </c>
      <c r="U1920" t="s">
        <v>117</v>
      </c>
      <c r="V1920" t="s">
        <v>62</v>
      </c>
      <c r="W1920" t="s">
        <v>62</v>
      </c>
      <c r="X1920">
        <v>4</v>
      </c>
      <c r="Y1920">
        <v>8</v>
      </c>
      <c r="Z1920">
        <v>9</v>
      </c>
      <c r="AA1920">
        <v>0.47059000000000001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6</v>
      </c>
      <c r="AI1920">
        <v>6</v>
      </c>
      <c r="AJ1920">
        <v>10</v>
      </c>
      <c r="AK1920">
        <v>0.375</v>
      </c>
      <c r="AL1920">
        <v>10</v>
      </c>
      <c r="AM1920">
        <v>7</v>
      </c>
      <c r="AN1920">
        <v>18</v>
      </c>
      <c r="AO1920">
        <v>10</v>
      </c>
      <c r="AP1920">
        <v>47</v>
      </c>
      <c r="AQ1920">
        <v>8</v>
      </c>
      <c r="AR1920" t="s">
        <v>9904</v>
      </c>
      <c r="AS1920" t="s">
        <v>9905</v>
      </c>
      <c r="AT1920">
        <v>0.99199999999999999</v>
      </c>
      <c r="AU1920" t="s">
        <v>65</v>
      </c>
      <c r="AV1920">
        <v>65</v>
      </c>
      <c r="AW1920">
        <v>18</v>
      </c>
      <c r="AX1920" t="s">
        <v>9906</v>
      </c>
      <c r="AY1920">
        <v>6.1740000000000003E-2</v>
      </c>
      <c r="AZ1920">
        <v>-7.0000000000000001E-3</v>
      </c>
      <c r="BA1920">
        <v>4.5900000000000003E-3</v>
      </c>
      <c r="BB1920">
        <v>-3.6000000000000002E-4</v>
      </c>
      <c r="BC1920">
        <v>7.4340000000000003E-2</v>
      </c>
      <c r="BD1920">
        <v>1</v>
      </c>
      <c r="BE1920" t="s">
        <v>69</v>
      </c>
      <c r="BF1920">
        <v>-1.351</v>
      </c>
      <c r="BG1920">
        <v>-8.1000000000000003E-2</v>
      </c>
    </row>
    <row r="1921" spans="1:59">
      <c r="A1921">
        <v>0</v>
      </c>
      <c r="B1921">
        <v>4</v>
      </c>
      <c r="C1921">
        <v>0</v>
      </c>
      <c r="D1921" t="s">
        <v>25022</v>
      </c>
      <c r="E1921">
        <v>1441</v>
      </c>
      <c r="F1921" t="s">
        <v>9022</v>
      </c>
      <c r="G1921" t="s">
        <v>57</v>
      </c>
      <c r="H1921">
        <v>1453691</v>
      </c>
      <c r="I1921">
        <v>1454779</v>
      </c>
      <c r="J1921" t="s">
        <v>9023</v>
      </c>
      <c r="K1921">
        <v>363</v>
      </c>
      <c r="L1921" t="s">
        <v>108</v>
      </c>
      <c r="M1921">
        <v>44</v>
      </c>
      <c r="N1921" t="str">
        <f>HYPERLINK("Gene1441-zp_tree_all.dnd", "Gene1441-tree")</f>
        <v>Gene1441-tree</v>
      </c>
      <c r="O1921">
        <v>6</v>
      </c>
      <c r="P1921">
        <v>10</v>
      </c>
      <c r="Q1921">
        <v>6</v>
      </c>
      <c r="R1921">
        <v>10</v>
      </c>
      <c r="S1921">
        <v>0.625</v>
      </c>
      <c r="T1921" t="s">
        <v>90</v>
      </c>
      <c r="U1921" t="s">
        <v>117</v>
      </c>
      <c r="V1921" t="s">
        <v>62</v>
      </c>
      <c r="W1921" t="s">
        <v>62</v>
      </c>
      <c r="X1921">
        <v>2</v>
      </c>
      <c r="Y1921">
        <v>4</v>
      </c>
      <c r="Z1921">
        <v>12</v>
      </c>
      <c r="AA1921">
        <v>0.25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4</v>
      </c>
      <c r="AH1921">
        <v>0</v>
      </c>
      <c r="AI1921">
        <v>4</v>
      </c>
      <c r="AJ1921">
        <v>9</v>
      </c>
      <c r="AK1921">
        <v>0.30769000000000002</v>
      </c>
      <c r="AL1921">
        <v>16</v>
      </c>
      <c r="AM1921">
        <v>11</v>
      </c>
      <c r="AN1921">
        <v>47</v>
      </c>
      <c r="AO1921">
        <v>13</v>
      </c>
      <c r="AP1921">
        <v>27</v>
      </c>
      <c r="AQ1921">
        <v>3</v>
      </c>
      <c r="AR1921" t="s">
        <v>9024</v>
      </c>
      <c r="AS1921" t="s">
        <v>9025</v>
      </c>
      <c r="AT1921">
        <v>0.997</v>
      </c>
      <c r="AU1921" t="s">
        <v>65</v>
      </c>
      <c r="AV1921">
        <v>74</v>
      </c>
      <c r="AW1921">
        <v>16</v>
      </c>
      <c r="AX1921" t="s">
        <v>9026</v>
      </c>
      <c r="AY1921">
        <v>4.4589999999999998E-2</v>
      </c>
      <c r="AZ1921">
        <v>-1.64E-3</v>
      </c>
      <c r="BA1921">
        <v>2.97E-3</v>
      </c>
      <c r="BB1921">
        <v>-1.3999999999999999E-4</v>
      </c>
      <c r="BC1921">
        <v>6.6680000000000003E-2</v>
      </c>
      <c r="BD1921">
        <v>1</v>
      </c>
      <c r="BE1921" t="s">
        <v>69</v>
      </c>
      <c r="BF1921">
        <v>-0.45500000000000002</v>
      </c>
      <c r="BG1921">
        <v>-0.48499999999999999</v>
      </c>
    </row>
    <row r="1922" spans="1:59">
      <c r="A1922">
        <v>0</v>
      </c>
      <c r="B1922">
        <v>4</v>
      </c>
      <c r="C1922">
        <v>0</v>
      </c>
      <c r="D1922" t="s">
        <v>25022</v>
      </c>
      <c r="E1922">
        <v>798</v>
      </c>
      <c r="F1922" t="s">
        <v>4959</v>
      </c>
      <c r="G1922" t="s">
        <v>57</v>
      </c>
      <c r="H1922">
        <v>836653</v>
      </c>
      <c r="I1922">
        <v>837741</v>
      </c>
      <c r="J1922" t="s">
        <v>4960</v>
      </c>
      <c r="K1922">
        <v>363</v>
      </c>
      <c r="L1922" t="s">
        <v>108</v>
      </c>
      <c r="M1922">
        <v>44</v>
      </c>
      <c r="N1922" t="str">
        <f>HYPERLINK("Gene798-zp_tree_all.dnd", "Gene798-tree")</f>
        <v>Gene798-tree</v>
      </c>
      <c r="O1922">
        <v>5</v>
      </c>
      <c r="P1922">
        <v>29</v>
      </c>
      <c r="Q1922">
        <v>5</v>
      </c>
      <c r="R1922">
        <v>10</v>
      </c>
      <c r="S1922">
        <v>0.66666999999999998</v>
      </c>
      <c r="T1922" t="s">
        <v>199</v>
      </c>
      <c r="U1922" t="s">
        <v>2184</v>
      </c>
      <c r="V1922">
        <v>2.544</v>
      </c>
      <c r="W1922" t="s">
        <v>65</v>
      </c>
      <c r="X1922">
        <v>2</v>
      </c>
      <c r="Y1922">
        <v>4</v>
      </c>
      <c r="Z1922">
        <v>12</v>
      </c>
      <c r="AA1922">
        <v>0.25</v>
      </c>
      <c r="AB1922">
        <v>2</v>
      </c>
      <c r="AC1922">
        <v>0</v>
      </c>
      <c r="AD1922">
        <v>2</v>
      </c>
      <c r="AE1922">
        <v>0</v>
      </c>
      <c r="AF1922">
        <v>1</v>
      </c>
      <c r="AG1922">
        <v>2</v>
      </c>
      <c r="AH1922">
        <v>0</v>
      </c>
      <c r="AI1922">
        <v>2</v>
      </c>
      <c r="AJ1922">
        <v>12</v>
      </c>
      <c r="AK1922">
        <v>0.14285999999999999</v>
      </c>
      <c r="AL1922">
        <v>10</v>
      </c>
      <c r="AM1922">
        <v>11</v>
      </c>
      <c r="AN1922">
        <v>28</v>
      </c>
      <c r="AO1922">
        <v>11</v>
      </c>
      <c r="AP1922">
        <v>37</v>
      </c>
      <c r="AQ1922">
        <v>5</v>
      </c>
      <c r="AR1922" t="s">
        <v>4961</v>
      </c>
      <c r="AS1922" t="s">
        <v>4962</v>
      </c>
      <c r="AT1922">
        <v>1.431</v>
      </c>
      <c r="AU1922" t="s">
        <v>65</v>
      </c>
      <c r="AV1922">
        <v>65</v>
      </c>
      <c r="AW1922">
        <v>16</v>
      </c>
      <c r="AX1922" t="s">
        <v>4963</v>
      </c>
      <c r="AY1922">
        <v>5.373E-2</v>
      </c>
      <c r="AZ1922">
        <v>-2.0799999999999998E-3</v>
      </c>
      <c r="BA1922">
        <v>3.13E-3</v>
      </c>
      <c r="BB1922">
        <v>-1.6000000000000001E-4</v>
      </c>
      <c r="BC1922">
        <v>5.8290000000000002E-2</v>
      </c>
      <c r="BD1922">
        <v>1</v>
      </c>
      <c r="BE1922" t="s">
        <v>69</v>
      </c>
      <c r="BF1922">
        <v>-0.28899999999999998</v>
      </c>
      <c r="BG1922">
        <v>-1.9119999999999999</v>
      </c>
    </row>
    <row r="1923" spans="1:59">
      <c r="A1923">
        <v>0</v>
      </c>
      <c r="B1923">
        <v>0</v>
      </c>
      <c r="C1923">
        <v>0</v>
      </c>
      <c r="D1923" t="s">
        <v>25022</v>
      </c>
      <c r="E1923">
        <v>1636</v>
      </c>
      <c r="F1923" t="s">
        <v>10251</v>
      </c>
      <c r="G1923" t="s">
        <v>57</v>
      </c>
      <c r="H1923">
        <v>1649286</v>
      </c>
      <c r="I1923">
        <v>1650374</v>
      </c>
      <c r="J1923" t="s">
        <v>10252</v>
      </c>
      <c r="K1923">
        <v>363</v>
      </c>
      <c r="L1923" t="s">
        <v>465</v>
      </c>
      <c r="M1923">
        <v>46</v>
      </c>
      <c r="N1923" t="str">
        <f>HYPERLINK("Gene1636-zp_tree_all.dnd", "Gene1636-tree")</f>
        <v>Gene1636-tree</v>
      </c>
      <c r="O1923">
        <v>13</v>
      </c>
      <c r="P1923">
        <v>3</v>
      </c>
      <c r="Q1923">
        <v>13</v>
      </c>
      <c r="R1923">
        <v>3</v>
      </c>
      <c r="S1923">
        <v>0.1875</v>
      </c>
      <c r="T1923" t="s">
        <v>507</v>
      </c>
      <c r="U1923" t="s">
        <v>324</v>
      </c>
      <c r="V1923" t="s">
        <v>62</v>
      </c>
      <c r="W1923" t="s">
        <v>62</v>
      </c>
      <c r="X1923">
        <v>0</v>
      </c>
      <c r="Y1923">
        <v>0</v>
      </c>
      <c r="Z1923">
        <v>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4</v>
      </c>
      <c r="AK1923">
        <v>0</v>
      </c>
      <c r="AL1923">
        <v>13</v>
      </c>
      <c r="AM1923">
        <v>11</v>
      </c>
      <c r="AN1923">
        <v>28</v>
      </c>
      <c r="AO1923">
        <v>4</v>
      </c>
      <c r="AP1923">
        <v>60</v>
      </c>
      <c r="AQ1923">
        <v>8</v>
      </c>
      <c r="AR1923" t="s">
        <v>10253</v>
      </c>
      <c r="AS1923" t="s">
        <v>10254</v>
      </c>
      <c r="AT1923">
        <v>4.3999999999999997E-2</v>
      </c>
      <c r="AU1923" t="s">
        <v>65</v>
      </c>
      <c r="AV1923">
        <v>88</v>
      </c>
      <c r="AW1923">
        <v>12</v>
      </c>
      <c r="AX1923" t="s">
        <v>10255</v>
      </c>
      <c r="AY1923">
        <v>7.7329999999999996E-2</v>
      </c>
      <c r="AZ1923">
        <v>-7.1300000000000001E-3</v>
      </c>
      <c r="BA1923">
        <v>2.9299999999999999E-3</v>
      </c>
      <c r="BB1923">
        <v>-2.9999999999999997E-4</v>
      </c>
      <c r="BC1923">
        <v>3.7859999999999998E-2</v>
      </c>
      <c r="BD1923">
        <v>1</v>
      </c>
      <c r="BE1923" t="s">
        <v>69</v>
      </c>
      <c r="BF1923">
        <v>-1.0940000000000001</v>
      </c>
      <c r="BG1923">
        <v>0.53900000000000003</v>
      </c>
    </row>
    <row r="1924" spans="1:59">
      <c r="A1924">
        <v>0</v>
      </c>
      <c r="B1924">
        <v>0</v>
      </c>
      <c r="C1924">
        <v>0</v>
      </c>
      <c r="D1924" t="s">
        <v>25022</v>
      </c>
      <c r="E1924">
        <v>85</v>
      </c>
      <c r="F1924" t="s">
        <v>674</v>
      </c>
      <c r="G1924" t="s">
        <v>57</v>
      </c>
      <c r="H1924">
        <v>102484</v>
      </c>
      <c r="I1924">
        <v>103572</v>
      </c>
      <c r="J1924" t="s">
        <v>675</v>
      </c>
      <c r="K1924">
        <v>363</v>
      </c>
      <c r="L1924" t="s">
        <v>59</v>
      </c>
      <c r="M1924">
        <v>49</v>
      </c>
      <c r="N1924" t="str">
        <f>HYPERLINK("Gene85-zp_tree_all.dnd", "Gene85-tree")</f>
        <v>Gene85-tree</v>
      </c>
      <c r="O1924">
        <v>15</v>
      </c>
      <c r="P1924">
        <v>5</v>
      </c>
      <c r="Q1924">
        <v>15</v>
      </c>
      <c r="R1924">
        <v>5</v>
      </c>
      <c r="S1924">
        <v>0.25</v>
      </c>
      <c r="T1924" t="s">
        <v>100</v>
      </c>
      <c r="U1924" t="s">
        <v>199</v>
      </c>
      <c r="V1924" t="s">
        <v>62</v>
      </c>
      <c r="W1924" t="s">
        <v>62</v>
      </c>
      <c r="X1924">
        <v>0</v>
      </c>
      <c r="Y1924">
        <v>0</v>
      </c>
      <c r="Z1924">
        <v>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</v>
      </c>
      <c r="AK1924">
        <v>0</v>
      </c>
      <c r="AL1924">
        <v>17</v>
      </c>
      <c r="AM1924">
        <v>13</v>
      </c>
      <c r="AN1924">
        <v>44</v>
      </c>
      <c r="AO1924">
        <v>5</v>
      </c>
      <c r="AP1924">
        <v>63</v>
      </c>
      <c r="AQ1924">
        <v>8</v>
      </c>
      <c r="AR1924" t="s">
        <v>676</v>
      </c>
      <c r="AS1924" t="s">
        <v>677</v>
      </c>
      <c r="AT1924">
        <v>4.3999999999999997E-2</v>
      </c>
      <c r="AU1924" t="s">
        <v>65</v>
      </c>
      <c r="AV1924">
        <v>107</v>
      </c>
      <c r="AW1924">
        <v>13</v>
      </c>
      <c r="AX1924" t="s">
        <v>678</v>
      </c>
      <c r="AY1924">
        <v>9.8169999999999993E-2</v>
      </c>
      <c r="AZ1924">
        <v>-5.7499999999999999E-3</v>
      </c>
      <c r="BA1924">
        <v>3.5400000000000002E-3</v>
      </c>
      <c r="BB1924">
        <v>-2.9E-4</v>
      </c>
      <c r="BC1924">
        <v>3.6069999999999998E-2</v>
      </c>
      <c r="BD1924">
        <v>1</v>
      </c>
      <c r="BE1924" t="s">
        <v>69</v>
      </c>
      <c r="BF1924">
        <v>-1.163</v>
      </c>
      <c r="BG1924">
        <v>-1.238</v>
      </c>
    </row>
    <row r="1925" spans="1:59">
      <c r="A1925">
        <v>0</v>
      </c>
      <c r="B1925">
        <v>4</v>
      </c>
      <c r="C1925">
        <v>0</v>
      </c>
      <c r="D1925" t="s">
        <v>25022</v>
      </c>
      <c r="E1925">
        <v>2509</v>
      </c>
      <c r="F1925" t="s">
        <v>14639</v>
      </c>
      <c r="G1925" t="s">
        <v>62</v>
      </c>
      <c r="H1925">
        <v>2501552</v>
      </c>
      <c r="I1925">
        <v>2502640</v>
      </c>
      <c r="J1925" t="s">
        <v>14640</v>
      </c>
      <c r="K1925">
        <v>363</v>
      </c>
      <c r="L1925" t="s">
        <v>108</v>
      </c>
      <c r="M1925">
        <v>44</v>
      </c>
      <c r="N1925" t="str">
        <f>HYPERLINK("Gene2509-zp_tree_all.dnd", "Gene2509-tree")</f>
        <v>Gene2509-tree</v>
      </c>
      <c r="O1925">
        <v>28</v>
      </c>
      <c r="P1925">
        <v>7</v>
      </c>
      <c r="Q1925">
        <v>7</v>
      </c>
      <c r="R1925">
        <v>7</v>
      </c>
      <c r="S1925">
        <v>0.5</v>
      </c>
      <c r="T1925" t="s">
        <v>4142</v>
      </c>
      <c r="U1925" t="s">
        <v>152</v>
      </c>
      <c r="V1925" t="s">
        <v>62</v>
      </c>
      <c r="W1925" t="s">
        <v>62</v>
      </c>
      <c r="X1925">
        <v>2</v>
      </c>
      <c r="Y1925">
        <v>4</v>
      </c>
      <c r="Z1925">
        <v>5</v>
      </c>
      <c r="AA1925">
        <v>0.44444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7</v>
      </c>
      <c r="AK1925">
        <v>0</v>
      </c>
      <c r="AL1925">
        <v>13</v>
      </c>
      <c r="AM1925">
        <v>10</v>
      </c>
      <c r="AN1925">
        <v>39</v>
      </c>
      <c r="AO1925">
        <v>7</v>
      </c>
      <c r="AP1925">
        <v>29</v>
      </c>
      <c r="AQ1925">
        <v>2</v>
      </c>
      <c r="AR1925" t="s">
        <v>14641</v>
      </c>
      <c r="AS1925" t="s">
        <v>14642</v>
      </c>
      <c r="AT1925">
        <v>0.85199999999999998</v>
      </c>
      <c r="AU1925" t="s">
        <v>65</v>
      </c>
      <c r="AV1925">
        <v>68</v>
      </c>
      <c r="AW1925">
        <v>9</v>
      </c>
      <c r="AX1925" t="s">
        <v>14643</v>
      </c>
      <c r="AY1925">
        <v>5.2499999999999998E-2</v>
      </c>
      <c r="AZ1925">
        <v>-1.92E-3</v>
      </c>
      <c r="BA1925">
        <v>1.82E-3</v>
      </c>
      <c r="BB1925">
        <v>-1.2E-4</v>
      </c>
      <c r="BC1925">
        <v>3.4729999999999997E-2</v>
      </c>
      <c r="BD1925">
        <v>1</v>
      </c>
      <c r="BE1925" t="s">
        <v>69</v>
      </c>
      <c r="BF1925">
        <v>-0.51700000000000002</v>
      </c>
      <c r="BG1925">
        <v>-8.3000000000000004E-2</v>
      </c>
    </row>
    <row r="1926" spans="1:59">
      <c r="A1926">
        <v>0</v>
      </c>
      <c r="B1926">
        <v>2</v>
      </c>
      <c r="C1926">
        <v>0</v>
      </c>
      <c r="D1926" t="s">
        <v>25022</v>
      </c>
      <c r="E1926">
        <v>295</v>
      </c>
      <c r="F1926" t="s">
        <v>2011</v>
      </c>
      <c r="G1926" t="s">
        <v>57</v>
      </c>
      <c r="H1926">
        <v>316512</v>
      </c>
      <c r="I1926">
        <v>317600</v>
      </c>
      <c r="J1926" t="s">
        <v>2012</v>
      </c>
      <c r="K1926">
        <v>363</v>
      </c>
      <c r="L1926" t="s">
        <v>1607</v>
      </c>
      <c r="M1926">
        <v>47</v>
      </c>
      <c r="N1926" t="str">
        <f>HYPERLINK("Gene295-zp_tree_all.dnd", "Gene295-tree")</f>
        <v>Gene295-tree</v>
      </c>
      <c r="O1926">
        <v>12</v>
      </c>
      <c r="P1926">
        <v>6</v>
      </c>
      <c r="Q1926">
        <v>12</v>
      </c>
      <c r="R1926">
        <v>6</v>
      </c>
      <c r="S1926">
        <v>0.33333000000000002</v>
      </c>
      <c r="T1926" t="s">
        <v>109</v>
      </c>
      <c r="U1926" t="s">
        <v>90</v>
      </c>
      <c r="V1926" t="s">
        <v>62</v>
      </c>
      <c r="W1926" t="s">
        <v>62</v>
      </c>
      <c r="X1926">
        <v>1</v>
      </c>
      <c r="Y1926">
        <v>2</v>
      </c>
      <c r="Z1926">
        <v>8</v>
      </c>
      <c r="AA1926">
        <v>0.2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</v>
      </c>
      <c r="AH1926">
        <v>0</v>
      </c>
      <c r="AI1926">
        <v>2</v>
      </c>
      <c r="AJ1926">
        <v>5</v>
      </c>
      <c r="AK1926">
        <v>0.28571000000000002</v>
      </c>
      <c r="AL1926">
        <v>16</v>
      </c>
      <c r="AM1926">
        <v>14</v>
      </c>
      <c r="AN1926">
        <v>60</v>
      </c>
      <c r="AO1926">
        <v>7</v>
      </c>
      <c r="AP1926">
        <v>64</v>
      </c>
      <c r="AQ1926">
        <v>3</v>
      </c>
      <c r="AR1926" t="s">
        <v>2013</v>
      </c>
      <c r="AS1926" t="s">
        <v>2014</v>
      </c>
      <c r="AT1926">
        <v>0.50700000000000001</v>
      </c>
      <c r="AU1926" t="s">
        <v>65</v>
      </c>
      <c r="AV1926">
        <v>124</v>
      </c>
      <c r="AW1926">
        <v>10</v>
      </c>
      <c r="AX1926" t="s">
        <v>2015</v>
      </c>
      <c r="AY1926">
        <v>0.10947999999999999</v>
      </c>
      <c r="AZ1926">
        <v>-7.77E-3</v>
      </c>
      <c r="BA1926">
        <v>1.8500000000000001E-3</v>
      </c>
      <c r="BB1926">
        <v>-1.6000000000000001E-4</v>
      </c>
      <c r="BC1926">
        <v>1.6930000000000001E-2</v>
      </c>
      <c r="BD1926">
        <v>1</v>
      </c>
      <c r="BE1926" t="s">
        <v>69</v>
      </c>
      <c r="BF1926">
        <v>-1.49</v>
      </c>
      <c r="BG1926">
        <v>-1.2689999999999999</v>
      </c>
    </row>
    <row r="1927" spans="1:59">
      <c r="A1927">
        <v>0</v>
      </c>
      <c r="B1927">
        <v>0</v>
      </c>
      <c r="C1927">
        <v>4</v>
      </c>
      <c r="D1927" t="s">
        <v>25022</v>
      </c>
      <c r="E1927">
        <v>1612</v>
      </c>
      <c r="F1927" t="s">
        <v>10092</v>
      </c>
      <c r="G1927" t="s">
        <v>57</v>
      </c>
      <c r="H1927">
        <v>1622657</v>
      </c>
      <c r="I1927">
        <v>1623748</v>
      </c>
      <c r="J1927" t="s">
        <v>10093</v>
      </c>
      <c r="K1927">
        <v>364</v>
      </c>
      <c r="L1927" t="s">
        <v>465</v>
      </c>
      <c r="M1927">
        <v>46</v>
      </c>
      <c r="N1927" t="str">
        <f>HYPERLINK("Gene1612-zp_tree_all.dnd", "Gene1612-tree")</f>
        <v>Gene1612-tree</v>
      </c>
      <c r="O1927">
        <v>9</v>
      </c>
      <c r="P1927">
        <v>5</v>
      </c>
      <c r="Q1927">
        <v>9</v>
      </c>
      <c r="R1927">
        <v>5</v>
      </c>
      <c r="S1927">
        <v>0.35714000000000001</v>
      </c>
      <c r="T1927" t="s">
        <v>135</v>
      </c>
      <c r="U1927" t="s">
        <v>199</v>
      </c>
      <c r="V1927" t="s">
        <v>62</v>
      </c>
      <c r="W1927" t="s">
        <v>62</v>
      </c>
      <c r="X1927">
        <v>2</v>
      </c>
      <c r="Y1927">
        <v>4</v>
      </c>
      <c r="Z1927">
        <v>5</v>
      </c>
      <c r="AA1927">
        <v>0.44444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4</v>
      </c>
      <c r="AI1927">
        <v>4</v>
      </c>
      <c r="AJ1927">
        <v>5</v>
      </c>
      <c r="AK1927">
        <v>0.44444</v>
      </c>
      <c r="AL1927">
        <v>12</v>
      </c>
      <c r="AM1927">
        <v>8</v>
      </c>
      <c r="AN1927">
        <v>71</v>
      </c>
      <c r="AO1927">
        <v>9</v>
      </c>
      <c r="AP1927">
        <v>12</v>
      </c>
      <c r="AQ1927">
        <v>0</v>
      </c>
      <c r="AR1927" t="s">
        <v>10094</v>
      </c>
      <c r="AS1927" t="s">
        <v>193</v>
      </c>
      <c r="AT1927">
        <v>0.45800000000000002</v>
      </c>
      <c r="AU1927" t="s">
        <v>65</v>
      </c>
      <c r="AV1927">
        <v>83</v>
      </c>
      <c r="AW1927">
        <v>9</v>
      </c>
      <c r="AX1927" t="s">
        <v>10095</v>
      </c>
      <c r="AY1927">
        <v>5.654E-2</v>
      </c>
      <c r="AZ1927">
        <v>-7.11E-3</v>
      </c>
      <c r="BA1927">
        <v>1.5399999999999999E-3</v>
      </c>
      <c r="BB1927">
        <v>-2.2000000000000001E-4</v>
      </c>
      <c r="BC1927">
        <v>2.7220000000000001E-2</v>
      </c>
      <c r="BD1927">
        <v>1</v>
      </c>
      <c r="BE1927" t="s">
        <v>69</v>
      </c>
      <c r="BF1927">
        <v>-1.653</v>
      </c>
      <c r="BG1927">
        <v>0.9</v>
      </c>
    </row>
    <row r="1928" spans="1:59">
      <c r="A1928">
        <v>0</v>
      </c>
      <c r="B1928">
        <v>0</v>
      </c>
      <c r="C1928">
        <v>0</v>
      </c>
      <c r="D1928" t="s">
        <v>25022</v>
      </c>
      <c r="E1928">
        <v>2510</v>
      </c>
      <c r="F1928" t="s">
        <v>14646</v>
      </c>
      <c r="G1928" t="s">
        <v>62</v>
      </c>
      <c r="H1928">
        <v>2502662</v>
      </c>
      <c r="I1928">
        <v>2503753</v>
      </c>
      <c r="J1928" t="s">
        <v>14647</v>
      </c>
      <c r="K1928">
        <v>364</v>
      </c>
      <c r="L1928" t="s">
        <v>108</v>
      </c>
      <c r="M1928">
        <v>44</v>
      </c>
      <c r="N1928" t="str">
        <f>HYPERLINK("Gene2510-zp_tree_all.dnd", "Gene2510-tree")</f>
        <v>Gene2510-tree</v>
      </c>
      <c r="O1928">
        <v>13</v>
      </c>
      <c r="P1928">
        <v>3</v>
      </c>
      <c r="Q1928">
        <v>13</v>
      </c>
      <c r="R1928">
        <v>3</v>
      </c>
      <c r="S1928">
        <v>0.1875</v>
      </c>
      <c r="T1928" t="s">
        <v>507</v>
      </c>
      <c r="U1928" t="s">
        <v>324</v>
      </c>
      <c r="V1928" t="s">
        <v>62</v>
      </c>
      <c r="W1928" t="s">
        <v>62</v>
      </c>
      <c r="X1928">
        <v>0</v>
      </c>
      <c r="Y1928">
        <v>0</v>
      </c>
      <c r="Z1928">
        <v>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3</v>
      </c>
      <c r="AK1928">
        <v>0</v>
      </c>
      <c r="AL1928">
        <v>12</v>
      </c>
      <c r="AM1928">
        <v>10</v>
      </c>
      <c r="AN1928">
        <v>49</v>
      </c>
      <c r="AO1928">
        <v>3</v>
      </c>
      <c r="AP1928">
        <v>37</v>
      </c>
      <c r="AQ1928">
        <v>0</v>
      </c>
      <c r="AR1928" t="s">
        <v>14648</v>
      </c>
      <c r="AS1928" t="s">
        <v>193</v>
      </c>
      <c r="AT1928">
        <v>0.98</v>
      </c>
      <c r="AU1928" t="s">
        <v>65</v>
      </c>
      <c r="AV1928">
        <v>86</v>
      </c>
      <c r="AW1928">
        <v>3</v>
      </c>
      <c r="AX1928" t="s">
        <v>14649</v>
      </c>
      <c r="AY1928">
        <v>5.5390000000000002E-2</v>
      </c>
      <c r="AZ1928">
        <v>-1.6900000000000001E-3</v>
      </c>
      <c r="BA1928">
        <v>4.4999999999999999E-4</v>
      </c>
      <c r="BB1928">
        <v>-6.0000000000000002E-5</v>
      </c>
      <c r="BC1928">
        <v>8.1200000000000005E-3</v>
      </c>
      <c r="BD1928">
        <v>1</v>
      </c>
      <c r="BE1928" t="s">
        <v>69</v>
      </c>
      <c r="BF1928">
        <v>-1.9E-2</v>
      </c>
      <c r="BG1928">
        <v>-0.16300000000000001</v>
      </c>
    </row>
    <row r="1929" spans="1:59">
      <c r="A1929">
        <v>0</v>
      </c>
      <c r="B1929">
        <v>6</v>
      </c>
      <c r="C1929">
        <v>2</v>
      </c>
      <c r="D1929" t="s">
        <v>25022</v>
      </c>
      <c r="E1929">
        <v>2298</v>
      </c>
      <c r="F1929" t="s">
        <v>13311</v>
      </c>
      <c r="G1929" t="s">
        <v>62</v>
      </c>
      <c r="H1929">
        <v>2316959</v>
      </c>
      <c r="I1929">
        <v>2318053</v>
      </c>
      <c r="J1929" t="s">
        <v>13312</v>
      </c>
      <c r="K1929">
        <v>365</v>
      </c>
      <c r="L1929" t="s">
        <v>108</v>
      </c>
      <c r="M1929">
        <v>44</v>
      </c>
      <c r="N1929" t="str">
        <f>HYPERLINK("Gene2298-zp_tree_all.dnd", "Gene2298-tree")</f>
        <v>Gene2298-tree</v>
      </c>
      <c r="O1929">
        <v>3</v>
      </c>
      <c r="P1929">
        <v>11</v>
      </c>
      <c r="Q1929">
        <v>3</v>
      </c>
      <c r="R1929">
        <v>11</v>
      </c>
      <c r="S1929">
        <v>0.78571000000000002</v>
      </c>
      <c r="T1929" t="s">
        <v>324</v>
      </c>
      <c r="U1929" t="s">
        <v>73</v>
      </c>
      <c r="V1929">
        <v>305230034.74400002</v>
      </c>
      <c r="W1929" t="s">
        <v>267</v>
      </c>
      <c r="X1929">
        <v>4</v>
      </c>
      <c r="Y1929">
        <v>8</v>
      </c>
      <c r="Z1929">
        <v>10</v>
      </c>
      <c r="AA1929">
        <v>0.44444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4</v>
      </c>
      <c r="AH1929">
        <v>0</v>
      </c>
      <c r="AI1929">
        <v>4</v>
      </c>
      <c r="AJ1929">
        <v>10</v>
      </c>
      <c r="AK1929">
        <v>0.28571000000000002</v>
      </c>
      <c r="AL1929">
        <v>12</v>
      </c>
      <c r="AM1929">
        <v>9</v>
      </c>
      <c r="AN1929">
        <v>20</v>
      </c>
      <c r="AO1929">
        <v>12</v>
      </c>
      <c r="AP1929">
        <v>18</v>
      </c>
      <c r="AQ1929">
        <v>6</v>
      </c>
      <c r="AR1929" t="s">
        <v>13313</v>
      </c>
      <c r="AS1929" t="s">
        <v>13314</v>
      </c>
      <c r="AT1929">
        <v>0.92500000000000004</v>
      </c>
      <c r="AU1929" t="s">
        <v>65</v>
      </c>
      <c r="AV1929">
        <v>38</v>
      </c>
      <c r="AW1929">
        <v>18</v>
      </c>
      <c r="AX1929" t="s">
        <v>13315</v>
      </c>
      <c r="AY1929">
        <v>3.1230000000000001E-2</v>
      </c>
      <c r="AZ1929">
        <v>-1.1999999999999999E-3</v>
      </c>
      <c r="BA1929">
        <v>4.2399999999999998E-3</v>
      </c>
      <c r="BB1929">
        <v>-1.8000000000000001E-4</v>
      </c>
      <c r="BC1929">
        <v>0.13589999999999999</v>
      </c>
      <c r="BD1929">
        <v>1</v>
      </c>
      <c r="BE1929" t="s">
        <v>69</v>
      </c>
      <c r="BF1929">
        <v>-0.47299999999999998</v>
      </c>
      <c r="BG1929">
        <v>-0.16700000000000001</v>
      </c>
    </row>
    <row r="1930" spans="1:59">
      <c r="A1930">
        <v>0</v>
      </c>
      <c r="B1930">
        <v>4</v>
      </c>
      <c r="C1930">
        <v>0</v>
      </c>
      <c r="D1930" t="s">
        <v>25022</v>
      </c>
      <c r="E1930">
        <v>2944</v>
      </c>
      <c r="F1930" t="s">
        <v>16970</v>
      </c>
      <c r="G1930" t="s">
        <v>62</v>
      </c>
      <c r="H1930">
        <v>2891023</v>
      </c>
      <c r="I1930">
        <v>2892117</v>
      </c>
      <c r="J1930" t="s">
        <v>16971</v>
      </c>
      <c r="K1930">
        <v>365</v>
      </c>
      <c r="L1930" t="s">
        <v>160</v>
      </c>
      <c r="M1930">
        <v>45</v>
      </c>
      <c r="N1930" t="str">
        <f>HYPERLINK("Gene2944-zp_tree_all.dnd", "Gene2944-tree")</f>
        <v>Gene2944-tree</v>
      </c>
      <c r="O1930">
        <v>5</v>
      </c>
      <c r="P1930">
        <v>9</v>
      </c>
      <c r="Q1930">
        <v>5</v>
      </c>
      <c r="R1930">
        <v>9</v>
      </c>
      <c r="S1930">
        <v>0.64285999999999999</v>
      </c>
      <c r="T1930" t="s">
        <v>199</v>
      </c>
      <c r="U1930" t="s">
        <v>135</v>
      </c>
      <c r="V1930" t="s">
        <v>62</v>
      </c>
      <c r="W1930" t="s">
        <v>62</v>
      </c>
      <c r="X1930">
        <v>2</v>
      </c>
      <c r="Y1930">
        <v>4</v>
      </c>
      <c r="Z1930">
        <v>10</v>
      </c>
      <c r="AA1930">
        <v>0.28571000000000002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</v>
      </c>
      <c r="AH1930">
        <v>0</v>
      </c>
      <c r="AI1930">
        <v>2</v>
      </c>
      <c r="AJ1930">
        <v>10</v>
      </c>
      <c r="AK1930">
        <v>0.16667000000000001</v>
      </c>
      <c r="AL1930">
        <v>10</v>
      </c>
      <c r="AM1930">
        <v>10</v>
      </c>
      <c r="AN1930">
        <v>61</v>
      </c>
      <c r="AO1930">
        <v>10</v>
      </c>
      <c r="AP1930">
        <v>16</v>
      </c>
      <c r="AQ1930">
        <v>4</v>
      </c>
      <c r="AR1930" t="s">
        <v>16972</v>
      </c>
      <c r="AS1930" t="s">
        <v>16973</v>
      </c>
      <c r="AT1930">
        <v>0.30299999999999999</v>
      </c>
      <c r="AU1930" t="s">
        <v>65</v>
      </c>
      <c r="AV1930">
        <v>77</v>
      </c>
      <c r="AW1930">
        <v>14</v>
      </c>
      <c r="AX1930" t="s">
        <v>16974</v>
      </c>
      <c r="AY1930">
        <v>5.57E-2</v>
      </c>
      <c r="AZ1930">
        <v>-7.1500000000000001E-3</v>
      </c>
      <c r="BA1930">
        <v>3.0699999999999998E-3</v>
      </c>
      <c r="BB1930">
        <v>-1.8000000000000001E-4</v>
      </c>
      <c r="BC1930">
        <v>5.5050000000000002E-2</v>
      </c>
      <c r="BD1930">
        <v>1</v>
      </c>
      <c r="BE1930" t="s">
        <v>69</v>
      </c>
      <c r="BF1930">
        <v>-1.5449999999999999</v>
      </c>
      <c r="BG1930">
        <v>-4.2539999999999996</v>
      </c>
    </row>
    <row r="1931" spans="1:59">
      <c r="A1931">
        <v>0</v>
      </c>
      <c r="B1931">
        <v>0</v>
      </c>
      <c r="C1931">
        <v>0</v>
      </c>
      <c r="D1931" t="s">
        <v>25022</v>
      </c>
      <c r="E1931">
        <v>3639</v>
      </c>
      <c r="F1931" t="s">
        <v>21364</v>
      </c>
      <c r="G1931" t="s">
        <v>62</v>
      </c>
      <c r="H1931">
        <v>3607328</v>
      </c>
      <c r="I1931">
        <v>3608422</v>
      </c>
      <c r="J1931" t="s">
        <v>21365</v>
      </c>
      <c r="K1931">
        <v>365</v>
      </c>
      <c r="L1931" t="s">
        <v>108</v>
      </c>
      <c r="M1931">
        <v>44</v>
      </c>
      <c r="N1931" t="str">
        <f>HYPERLINK("Gene3639-zp_tree_all.dnd", "Gene3639-tree")</f>
        <v>Gene3639-tree</v>
      </c>
      <c r="O1931">
        <v>7</v>
      </c>
      <c r="P1931">
        <v>4</v>
      </c>
      <c r="Q1931">
        <v>7</v>
      </c>
      <c r="R1931">
        <v>4</v>
      </c>
      <c r="S1931">
        <v>0.36364000000000002</v>
      </c>
      <c r="T1931" t="s">
        <v>152</v>
      </c>
      <c r="U1931" t="s">
        <v>61</v>
      </c>
      <c r="V1931" t="s">
        <v>62</v>
      </c>
      <c r="W1931" t="s">
        <v>62</v>
      </c>
      <c r="X1931">
        <v>0</v>
      </c>
      <c r="Y1931">
        <v>0</v>
      </c>
      <c r="Z1931">
        <v>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4</v>
      </c>
      <c r="AK1931">
        <v>0</v>
      </c>
      <c r="AL1931">
        <v>10</v>
      </c>
      <c r="AM1931">
        <v>6</v>
      </c>
      <c r="AN1931">
        <v>37</v>
      </c>
      <c r="AO1931">
        <v>4</v>
      </c>
      <c r="AP1931">
        <v>15</v>
      </c>
      <c r="AQ1931">
        <v>3</v>
      </c>
      <c r="AR1931" t="s">
        <v>21366</v>
      </c>
      <c r="AS1931" t="s">
        <v>21367</v>
      </c>
      <c r="AT1931">
        <v>0.20499999999999999</v>
      </c>
      <c r="AU1931" t="s">
        <v>65</v>
      </c>
      <c r="AV1931">
        <v>52</v>
      </c>
      <c r="AW1931">
        <v>7</v>
      </c>
      <c r="AX1931" t="s">
        <v>21368</v>
      </c>
      <c r="AY1931">
        <v>5.3809999999999997E-2</v>
      </c>
      <c r="AZ1931">
        <v>-3.0599999999999998E-3</v>
      </c>
      <c r="BA1931">
        <v>2.65E-3</v>
      </c>
      <c r="BB1931">
        <v>-2.5000000000000001E-4</v>
      </c>
      <c r="BC1931">
        <v>4.9160000000000002E-2</v>
      </c>
      <c r="BD1931">
        <v>1</v>
      </c>
      <c r="BE1931" t="s">
        <v>69</v>
      </c>
      <c r="BF1931">
        <v>-7.0000000000000001E-3</v>
      </c>
      <c r="BG1931">
        <v>-1.732</v>
      </c>
    </row>
    <row r="1932" spans="1:59">
      <c r="A1932">
        <v>0</v>
      </c>
      <c r="B1932">
        <v>4</v>
      </c>
      <c r="C1932">
        <v>0</v>
      </c>
      <c r="D1932" t="s">
        <v>25022</v>
      </c>
      <c r="E1932">
        <v>1362</v>
      </c>
      <c r="F1932" t="s">
        <v>8526</v>
      </c>
      <c r="G1932" t="s">
        <v>57</v>
      </c>
      <c r="H1932">
        <v>1378496</v>
      </c>
      <c r="I1932">
        <v>1379590</v>
      </c>
      <c r="J1932" t="s">
        <v>8527</v>
      </c>
      <c r="K1932">
        <v>365</v>
      </c>
      <c r="L1932" t="s">
        <v>4013</v>
      </c>
      <c r="M1932">
        <v>43</v>
      </c>
      <c r="N1932" t="str">
        <f>HYPERLINK("Gene1362-zp_tree_all.dnd", "Gene1362-tree")</f>
        <v>Gene1362-tree</v>
      </c>
      <c r="O1932">
        <v>8</v>
      </c>
      <c r="P1932">
        <v>4</v>
      </c>
      <c r="Q1932">
        <v>8</v>
      </c>
      <c r="R1932">
        <v>4</v>
      </c>
      <c r="S1932">
        <v>0.33333000000000002</v>
      </c>
      <c r="T1932" t="s">
        <v>136</v>
      </c>
      <c r="U1932" t="s">
        <v>61</v>
      </c>
      <c r="V1932" t="s">
        <v>62</v>
      </c>
      <c r="W1932" t="s">
        <v>62</v>
      </c>
      <c r="X1932">
        <v>1</v>
      </c>
      <c r="Y1932">
        <v>4</v>
      </c>
      <c r="Z1932">
        <v>6</v>
      </c>
      <c r="AA1932">
        <v>0.4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6</v>
      </c>
      <c r="AK1932">
        <v>0</v>
      </c>
      <c r="AL1932">
        <v>12</v>
      </c>
      <c r="AM1932">
        <v>8</v>
      </c>
      <c r="AN1932">
        <v>62</v>
      </c>
      <c r="AO1932">
        <v>6</v>
      </c>
      <c r="AP1932">
        <v>30</v>
      </c>
      <c r="AQ1932">
        <v>4</v>
      </c>
      <c r="AR1932" t="s">
        <v>8528</v>
      </c>
      <c r="AS1932" t="s">
        <v>8529</v>
      </c>
      <c r="AT1932">
        <v>0.34100000000000003</v>
      </c>
      <c r="AU1932" t="s">
        <v>65</v>
      </c>
      <c r="AV1932">
        <v>92</v>
      </c>
      <c r="AW1932">
        <v>10</v>
      </c>
      <c r="AX1932" t="s">
        <v>8530</v>
      </c>
      <c r="AY1932">
        <v>6.5559999999999993E-2</v>
      </c>
      <c r="AZ1932">
        <v>-1.9300000000000001E-3</v>
      </c>
      <c r="BA1932">
        <v>1.72E-3</v>
      </c>
      <c r="BB1932">
        <v>-2.2000000000000001E-4</v>
      </c>
      <c r="BC1932">
        <v>2.6190000000000001E-2</v>
      </c>
      <c r="BD1932">
        <v>1</v>
      </c>
      <c r="BE1932" t="s">
        <v>69</v>
      </c>
      <c r="BF1932">
        <v>-0.26300000000000001</v>
      </c>
      <c r="BG1932">
        <v>-1.171</v>
      </c>
    </row>
    <row r="1933" spans="1:59">
      <c r="A1933">
        <v>0</v>
      </c>
      <c r="B1933">
        <v>0</v>
      </c>
      <c r="C1933">
        <v>0</v>
      </c>
      <c r="D1933" t="s">
        <v>25022</v>
      </c>
      <c r="E1933">
        <v>4019</v>
      </c>
      <c r="F1933" t="s">
        <v>23650</v>
      </c>
      <c r="G1933" t="s">
        <v>62</v>
      </c>
      <c r="H1933">
        <v>3984136</v>
      </c>
      <c r="I1933">
        <v>3985230</v>
      </c>
      <c r="J1933" t="s">
        <v>23651</v>
      </c>
      <c r="K1933">
        <v>365</v>
      </c>
      <c r="L1933" t="s">
        <v>108</v>
      </c>
      <c r="M1933">
        <v>44</v>
      </c>
      <c r="N1933" t="str">
        <f>HYPERLINK("Gene4019-zp_tree_all.dnd", "Gene4019-tree")</f>
        <v>Gene4019-tree</v>
      </c>
      <c r="O1933">
        <v>13</v>
      </c>
      <c r="P1933">
        <v>1</v>
      </c>
      <c r="Q1933">
        <v>13</v>
      </c>
      <c r="R1933">
        <v>1</v>
      </c>
      <c r="S1933">
        <v>7.1429999999999993E-2</v>
      </c>
      <c r="T1933" t="s">
        <v>507</v>
      </c>
      <c r="U1933" t="s">
        <v>175</v>
      </c>
      <c r="V1933" t="s">
        <v>62</v>
      </c>
      <c r="W1933" t="s">
        <v>62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9</v>
      </c>
      <c r="AM1933">
        <v>10</v>
      </c>
      <c r="AN1933">
        <v>35</v>
      </c>
      <c r="AO1933">
        <v>1</v>
      </c>
      <c r="AP1933">
        <v>39</v>
      </c>
      <c r="AQ1933">
        <v>0</v>
      </c>
      <c r="AR1933" t="s">
        <v>23652</v>
      </c>
      <c r="AS1933" t="s">
        <v>193</v>
      </c>
      <c r="AT1933">
        <v>0.35399999999999998</v>
      </c>
      <c r="AU1933" t="s">
        <v>65</v>
      </c>
      <c r="AV1933">
        <v>74</v>
      </c>
      <c r="AW1933">
        <v>1</v>
      </c>
      <c r="AX1933" t="s">
        <v>23653</v>
      </c>
      <c r="AY1933">
        <v>6.1550000000000001E-2</v>
      </c>
      <c r="AZ1933">
        <v>-2.3400000000000001E-3</v>
      </c>
      <c r="BA1933">
        <v>1.7000000000000001E-4</v>
      </c>
      <c r="BB1933">
        <v>-4.0000000000000003E-5</v>
      </c>
      <c r="BC1933">
        <v>2.7699999999999999E-3</v>
      </c>
      <c r="BD1933">
        <v>1</v>
      </c>
      <c r="BE1933" t="s">
        <v>69</v>
      </c>
      <c r="BF1933">
        <v>0.71699999999999997</v>
      </c>
      <c r="BG1933">
        <v>-0.437</v>
      </c>
    </row>
    <row r="1934" spans="1:59">
      <c r="A1934">
        <v>0</v>
      </c>
      <c r="B1934">
        <v>21</v>
      </c>
      <c r="C1934">
        <v>0</v>
      </c>
      <c r="D1934" t="s">
        <v>25022</v>
      </c>
      <c r="E1934">
        <v>1348</v>
      </c>
      <c r="F1934" t="s">
        <v>8435</v>
      </c>
      <c r="G1934" t="s">
        <v>57</v>
      </c>
      <c r="H1934">
        <v>1366844</v>
      </c>
      <c r="I1934">
        <v>1367941</v>
      </c>
      <c r="J1934" t="s">
        <v>8436</v>
      </c>
      <c r="K1934">
        <v>366</v>
      </c>
      <c r="L1934" t="s">
        <v>108</v>
      </c>
      <c r="M1934">
        <v>44</v>
      </c>
      <c r="N1934" t="str">
        <f>HYPERLINK("Gene1348-zp_tree_all.dnd", "Gene1348-tree")</f>
        <v>Gene1348-tree</v>
      </c>
      <c r="O1934">
        <v>2</v>
      </c>
      <c r="P1934">
        <v>11</v>
      </c>
      <c r="Q1934">
        <v>2</v>
      </c>
      <c r="R1934">
        <v>11</v>
      </c>
      <c r="S1934">
        <v>0.84614999999999996</v>
      </c>
      <c r="T1934" t="s">
        <v>81</v>
      </c>
      <c r="U1934" t="s">
        <v>73</v>
      </c>
      <c r="V1934">
        <v>515075683.63</v>
      </c>
      <c r="W1934" t="s">
        <v>267</v>
      </c>
      <c r="X1934">
        <v>9</v>
      </c>
      <c r="Y1934">
        <v>21</v>
      </c>
      <c r="Z1934">
        <v>13</v>
      </c>
      <c r="AA1934">
        <v>0.61765000000000003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10</v>
      </c>
      <c r="AH1934">
        <v>0</v>
      </c>
      <c r="AI1934">
        <v>10</v>
      </c>
      <c r="AJ1934">
        <v>13</v>
      </c>
      <c r="AK1934">
        <v>0.43478</v>
      </c>
      <c r="AL1934">
        <v>12</v>
      </c>
      <c r="AM1934">
        <v>9</v>
      </c>
      <c r="AN1934">
        <v>48</v>
      </c>
      <c r="AO1934">
        <v>23</v>
      </c>
      <c r="AP1934">
        <v>23</v>
      </c>
      <c r="AQ1934">
        <v>11</v>
      </c>
      <c r="AR1934" t="s">
        <v>8437</v>
      </c>
      <c r="AS1934" t="s">
        <v>8438</v>
      </c>
      <c r="AT1934">
        <v>1.6E-2</v>
      </c>
      <c r="AU1934" t="s">
        <v>65</v>
      </c>
      <c r="AV1934">
        <v>71</v>
      </c>
      <c r="AW1934">
        <v>34</v>
      </c>
      <c r="AX1934" t="s">
        <v>8439</v>
      </c>
      <c r="AY1934">
        <v>5.4519999999999999E-2</v>
      </c>
      <c r="AZ1934">
        <v>-2.2799999999999999E-3</v>
      </c>
      <c r="BA1934">
        <v>7.1399999999999996E-3</v>
      </c>
      <c r="BB1934">
        <v>-3.1E-4</v>
      </c>
      <c r="BC1934">
        <v>0.13086999999999999</v>
      </c>
      <c r="BD1934">
        <v>1</v>
      </c>
      <c r="BE1934" t="s">
        <v>69</v>
      </c>
      <c r="BF1934">
        <v>-0.41299999999999998</v>
      </c>
      <c r="BG1934">
        <v>-1.1180000000000001</v>
      </c>
    </row>
    <row r="1935" spans="1:59">
      <c r="A1935">
        <v>0</v>
      </c>
      <c r="B1935">
        <v>13</v>
      </c>
      <c r="C1935">
        <v>0</v>
      </c>
      <c r="D1935" t="s">
        <v>25022</v>
      </c>
      <c r="E1935">
        <v>979</v>
      </c>
      <c r="F1935" t="s">
        <v>6136</v>
      </c>
      <c r="G1935" t="s">
        <v>57</v>
      </c>
      <c r="H1935">
        <v>1021057</v>
      </c>
      <c r="I1935">
        <v>1022154</v>
      </c>
      <c r="J1935" t="s">
        <v>6137</v>
      </c>
      <c r="K1935">
        <v>366</v>
      </c>
      <c r="L1935" t="s">
        <v>108</v>
      </c>
      <c r="M1935">
        <v>44</v>
      </c>
      <c r="N1935" t="str">
        <f>HYPERLINK("Gene979-zp_tree_all.dnd", "Gene979-tree")</f>
        <v>Gene979-tree</v>
      </c>
      <c r="O1935">
        <v>5</v>
      </c>
      <c r="P1935">
        <v>10</v>
      </c>
      <c r="Q1935">
        <v>5</v>
      </c>
      <c r="R1935">
        <v>10</v>
      </c>
      <c r="S1935">
        <v>0.66666999999999998</v>
      </c>
      <c r="T1935" t="s">
        <v>199</v>
      </c>
      <c r="U1935" t="s">
        <v>117</v>
      </c>
      <c r="V1935" t="s">
        <v>62</v>
      </c>
      <c r="W1935" t="s">
        <v>62</v>
      </c>
      <c r="X1935">
        <v>5</v>
      </c>
      <c r="Y1935">
        <v>13</v>
      </c>
      <c r="Z1935">
        <v>11</v>
      </c>
      <c r="AA1935">
        <v>0.54166999999999998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7</v>
      </c>
      <c r="AH1935">
        <v>0</v>
      </c>
      <c r="AI1935">
        <v>7</v>
      </c>
      <c r="AJ1935">
        <v>11</v>
      </c>
      <c r="AK1935">
        <v>0.38889000000000001</v>
      </c>
      <c r="AL1935">
        <v>14</v>
      </c>
      <c r="AM1935">
        <v>11</v>
      </c>
      <c r="AN1935">
        <v>44</v>
      </c>
      <c r="AO1935">
        <v>18</v>
      </c>
      <c r="AP1935">
        <v>22</v>
      </c>
      <c r="AQ1935">
        <v>7</v>
      </c>
      <c r="AR1935" t="s">
        <v>6138</v>
      </c>
      <c r="AS1935" t="s">
        <v>6139</v>
      </c>
      <c r="AT1935">
        <v>0.24299999999999999</v>
      </c>
      <c r="AU1935" t="s">
        <v>65</v>
      </c>
      <c r="AV1935">
        <v>66</v>
      </c>
      <c r="AW1935">
        <v>25</v>
      </c>
      <c r="AX1935" t="s">
        <v>6140</v>
      </c>
      <c r="AY1935">
        <v>4.5629999999999997E-2</v>
      </c>
      <c r="AZ1935">
        <v>-1.6000000000000001E-3</v>
      </c>
      <c r="BA1935">
        <v>4.4600000000000004E-3</v>
      </c>
      <c r="BB1935">
        <v>-2.9E-4</v>
      </c>
      <c r="BC1935">
        <v>9.7769999999999996E-2</v>
      </c>
      <c r="BD1935">
        <v>1</v>
      </c>
      <c r="BE1935" t="s">
        <v>69</v>
      </c>
      <c r="BF1935">
        <v>-0.29499999999999998</v>
      </c>
      <c r="BG1935">
        <v>-2.0089999999999999</v>
      </c>
    </row>
    <row r="1936" spans="1:59">
      <c r="A1936">
        <v>0</v>
      </c>
      <c r="B1936">
        <v>4</v>
      </c>
      <c r="C1936">
        <v>0</v>
      </c>
      <c r="D1936" t="s">
        <v>25022</v>
      </c>
      <c r="E1936">
        <v>1702</v>
      </c>
      <c r="F1936" t="s">
        <v>10666</v>
      </c>
      <c r="G1936" t="s">
        <v>57</v>
      </c>
      <c r="H1936">
        <v>1709747</v>
      </c>
      <c r="I1936">
        <v>1710844</v>
      </c>
      <c r="J1936" t="s">
        <v>10667</v>
      </c>
      <c r="K1936">
        <v>366</v>
      </c>
      <c r="L1936" t="s">
        <v>108</v>
      </c>
      <c r="M1936">
        <v>44</v>
      </c>
      <c r="N1936" t="str">
        <f>HYPERLINK("Gene1702-zp_tree_all.dnd", "Gene1702-tree")</f>
        <v>Gene1702-tree</v>
      </c>
      <c r="O1936">
        <v>29</v>
      </c>
      <c r="P1936">
        <v>6</v>
      </c>
      <c r="Q1936">
        <v>3</v>
      </c>
      <c r="R1936">
        <v>6</v>
      </c>
      <c r="S1936">
        <v>0.66666999999999998</v>
      </c>
      <c r="T1936" t="s">
        <v>10668</v>
      </c>
      <c r="U1936" t="s">
        <v>90</v>
      </c>
      <c r="V1936" t="s">
        <v>62</v>
      </c>
      <c r="W1936" t="s">
        <v>62</v>
      </c>
      <c r="X1936">
        <v>2</v>
      </c>
      <c r="Y1936">
        <v>4</v>
      </c>
      <c r="Z1936">
        <v>5</v>
      </c>
      <c r="AA1936">
        <v>0.44444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4</v>
      </c>
      <c r="AH1936">
        <v>0</v>
      </c>
      <c r="AI1936">
        <v>4</v>
      </c>
      <c r="AJ1936">
        <v>5</v>
      </c>
      <c r="AK1936">
        <v>0.44444</v>
      </c>
      <c r="AL1936">
        <v>7</v>
      </c>
      <c r="AM1936">
        <v>4</v>
      </c>
      <c r="AN1936">
        <v>17</v>
      </c>
      <c r="AO1936">
        <v>8</v>
      </c>
      <c r="AP1936">
        <v>6</v>
      </c>
      <c r="AQ1936">
        <v>1</v>
      </c>
      <c r="AR1936" t="s">
        <v>10669</v>
      </c>
      <c r="AS1936" t="s">
        <v>10670</v>
      </c>
      <c r="AT1936">
        <v>0.86699999999999999</v>
      </c>
      <c r="AU1936" t="s">
        <v>65</v>
      </c>
      <c r="AV1936">
        <v>23</v>
      </c>
      <c r="AW1936">
        <v>9</v>
      </c>
      <c r="AX1936" t="s">
        <v>10671</v>
      </c>
      <c r="AY1936">
        <v>2.5260000000000001E-2</v>
      </c>
      <c r="AZ1936">
        <v>-1.8600000000000001E-3</v>
      </c>
      <c r="BA1936">
        <v>2.4299999999999999E-3</v>
      </c>
      <c r="BB1936">
        <v>-2.2000000000000001E-4</v>
      </c>
      <c r="BC1936">
        <v>9.6299999999999997E-2</v>
      </c>
      <c r="BD1936">
        <v>1</v>
      </c>
      <c r="BE1936" t="s">
        <v>69</v>
      </c>
      <c r="BF1936">
        <v>-0.503</v>
      </c>
      <c r="BG1936">
        <v>-2.153</v>
      </c>
    </row>
    <row r="1937" spans="1:59">
      <c r="A1937">
        <v>0</v>
      </c>
      <c r="B1937">
        <v>4</v>
      </c>
      <c r="C1937">
        <v>2</v>
      </c>
      <c r="D1937" t="s">
        <v>25022</v>
      </c>
      <c r="E1937">
        <v>2955</v>
      </c>
      <c r="F1937" t="s">
        <v>17048</v>
      </c>
      <c r="G1937" t="s">
        <v>62</v>
      </c>
      <c r="H1937">
        <v>2902005</v>
      </c>
      <c r="I1937">
        <v>2903102</v>
      </c>
      <c r="J1937" t="s">
        <v>17049</v>
      </c>
      <c r="K1937">
        <v>366</v>
      </c>
      <c r="L1937" t="s">
        <v>108</v>
      </c>
      <c r="M1937">
        <v>44</v>
      </c>
      <c r="N1937" t="str">
        <f>HYPERLINK("Gene2955-zp_tree_all.dnd", "Gene2955-tree")</f>
        <v>Gene2955-tree</v>
      </c>
      <c r="O1937">
        <v>7</v>
      </c>
      <c r="P1937">
        <v>6</v>
      </c>
      <c r="Q1937">
        <v>7</v>
      </c>
      <c r="R1937">
        <v>6</v>
      </c>
      <c r="S1937">
        <v>0.46154000000000001</v>
      </c>
      <c r="T1937" t="s">
        <v>152</v>
      </c>
      <c r="U1937" t="s">
        <v>90</v>
      </c>
      <c r="V1937" t="s">
        <v>62</v>
      </c>
      <c r="W1937" t="s">
        <v>62</v>
      </c>
      <c r="X1937">
        <v>3</v>
      </c>
      <c r="Y1937">
        <v>6</v>
      </c>
      <c r="Z1937">
        <v>9</v>
      </c>
      <c r="AA1937">
        <v>0.4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</v>
      </c>
      <c r="AH1937">
        <v>2</v>
      </c>
      <c r="AI1937">
        <v>4</v>
      </c>
      <c r="AJ1937">
        <v>8</v>
      </c>
      <c r="AK1937">
        <v>0.33333000000000002</v>
      </c>
      <c r="AL1937">
        <v>13</v>
      </c>
      <c r="AM1937">
        <v>8</v>
      </c>
      <c r="AN1937">
        <v>58</v>
      </c>
      <c r="AO1937">
        <v>12</v>
      </c>
      <c r="AP1937">
        <v>29</v>
      </c>
      <c r="AQ1937">
        <v>3</v>
      </c>
      <c r="AR1937" t="s">
        <v>17050</v>
      </c>
      <c r="AS1937" t="s">
        <v>17051</v>
      </c>
      <c r="AT1937">
        <v>0.45300000000000001</v>
      </c>
      <c r="AU1937" t="s">
        <v>65</v>
      </c>
      <c r="AV1937">
        <v>87</v>
      </c>
      <c r="AW1937">
        <v>15</v>
      </c>
      <c r="AX1937" t="s">
        <v>17052</v>
      </c>
      <c r="AY1937">
        <v>5.7410000000000003E-2</v>
      </c>
      <c r="AZ1937">
        <v>-3.0300000000000001E-3</v>
      </c>
      <c r="BA1937">
        <v>3.5300000000000002E-3</v>
      </c>
      <c r="BB1937">
        <v>-2.5000000000000001E-4</v>
      </c>
      <c r="BC1937">
        <v>6.1530000000000001E-2</v>
      </c>
      <c r="BD1937">
        <v>1</v>
      </c>
      <c r="BE1937" t="s">
        <v>69</v>
      </c>
      <c r="BF1937">
        <v>-1.22</v>
      </c>
      <c r="BG1937">
        <v>-3.1459999999999999</v>
      </c>
    </row>
    <row r="1938" spans="1:59">
      <c r="A1938">
        <v>0</v>
      </c>
      <c r="B1938">
        <v>0</v>
      </c>
      <c r="C1938">
        <v>0</v>
      </c>
      <c r="D1938" t="s">
        <v>25022</v>
      </c>
      <c r="E1938">
        <v>2671</v>
      </c>
      <c r="F1938" t="s">
        <v>15669</v>
      </c>
      <c r="G1938" t="s">
        <v>62</v>
      </c>
      <c r="H1938">
        <v>2645493</v>
      </c>
      <c r="I1938">
        <v>2646590</v>
      </c>
      <c r="J1938" t="s">
        <v>15670</v>
      </c>
      <c r="K1938">
        <v>366</v>
      </c>
      <c r="L1938" t="s">
        <v>108</v>
      </c>
      <c r="M1938">
        <v>44</v>
      </c>
      <c r="N1938" t="str">
        <f>HYPERLINK("Gene2671-zp_tree_all.dnd", "Gene2671-tree")</f>
        <v>Gene2671-tree</v>
      </c>
      <c r="O1938">
        <v>8</v>
      </c>
      <c r="P1938">
        <v>3</v>
      </c>
      <c r="Q1938">
        <v>8</v>
      </c>
      <c r="R1938">
        <v>3</v>
      </c>
      <c r="S1938">
        <v>0.27272999999999997</v>
      </c>
      <c r="T1938" t="s">
        <v>136</v>
      </c>
      <c r="U1938" t="s">
        <v>324</v>
      </c>
      <c r="V1938" t="s">
        <v>62</v>
      </c>
      <c r="W1938" t="s">
        <v>62</v>
      </c>
      <c r="X1938">
        <v>0</v>
      </c>
      <c r="Y1938">
        <v>0</v>
      </c>
      <c r="Z1938">
        <v>3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</v>
      </c>
      <c r="AK1938">
        <v>0</v>
      </c>
      <c r="AL1938">
        <v>9</v>
      </c>
      <c r="AM1938">
        <v>5</v>
      </c>
      <c r="AN1938">
        <v>16</v>
      </c>
      <c r="AO1938">
        <v>3</v>
      </c>
      <c r="AP1938">
        <v>8</v>
      </c>
      <c r="AQ1938">
        <v>0</v>
      </c>
      <c r="AR1938" t="s">
        <v>15671</v>
      </c>
      <c r="AS1938" t="s">
        <v>193</v>
      </c>
      <c r="AT1938">
        <v>1.244</v>
      </c>
      <c r="AU1938" t="s">
        <v>65</v>
      </c>
      <c r="AV1938">
        <v>24</v>
      </c>
      <c r="AW1938">
        <v>3</v>
      </c>
      <c r="AX1938" t="s">
        <v>15672</v>
      </c>
      <c r="AY1938">
        <v>2.3560000000000001E-2</v>
      </c>
      <c r="AZ1938">
        <v>-1.3500000000000001E-3</v>
      </c>
      <c r="BA1938">
        <v>6.4999999999999997E-4</v>
      </c>
      <c r="BB1938">
        <v>-9.0000000000000006E-5</v>
      </c>
      <c r="BC1938">
        <v>2.743E-2</v>
      </c>
      <c r="BD1938">
        <v>1</v>
      </c>
      <c r="BE1938" t="s">
        <v>69</v>
      </c>
      <c r="BF1938">
        <v>-0.89300000000000002</v>
      </c>
      <c r="BG1938">
        <v>-2.1360000000000001</v>
      </c>
    </row>
    <row r="1939" spans="1:59">
      <c r="A1939">
        <v>0</v>
      </c>
      <c r="B1939">
        <v>0</v>
      </c>
      <c r="C1939">
        <v>0</v>
      </c>
      <c r="D1939" t="s">
        <v>25022</v>
      </c>
      <c r="E1939">
        <v>4243</v>
      </c>
      <c r="F1939" t="s">
        <v>24921</v>
      </c>
      <c r="G1939" t="s">
        <v>62</v>
      </c>
      <c r="H1939">
        <v>4199846</v>
      </c>
      <c r="I1939">
        <v>4200943</v>
      </c>
      <c r="J1939" t="s">
        <v>24922</v>
      </c>
      <c r="K1939">
        <v>366</v>
      </c>
      <c r="L1939" t="s">
        <v>108</v>
      </c>
      <c r="M1939">
        <v>44</v>
      </c>
      <c r="N1939" t="str">
        <f>HYPERLINK("Gene4243-zp_tree_all.dnd", "Gene4243-tree")</f>
        <v>Gene4243-tree</v>
      </c>
      <c r="O1939">
        <v>11</v>
      </c>
      <c r="P1939">
        <v>1</v>
      </c>
      <c r="Q1939">
        <v>11</v>
      </c>
      <c r="R1939">
        <v>1</v>
      </c>
      <c r="S1939">
        <v>8.3330000000000001E-2</v>
      </c>
      <c r="T1939" t="s">
        <v>73</v>
      </c>
      <c r="U1939" t="s">
        <v>175</v>
      </c>
      <c r="V1939" t="s">
        <v>62</v>
      </c>
      <c r="W1939" t="s">
        <v>62</v>
      </c>
      <c r="X1939">
        <v>0</v>
      </c>
      <c r="Y1939">
        <v>0</v>
      </c>
      <c r="Z1939">
        <v>2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10</v>
      </c>
      <c r="AM1939">
        <v>3</v>
      </c>
      <c r="AN1939">
        <v>18</v>
      </c>
      <c r="AO1939">
        <v>1</v>
      </c>
      <c r="AP1939">
        <v>11</v>
      </c>
      <c r="AQ1939">
        <v>1</v>
      </c>
      <c r="AR1939" t="s">
        <v>24923</v>
      </c>
      <c r="AS1939" t="s">
        <v>24924</v>
      </c>
      <c r="AT1939">
        <v>0.16900000000000001</v>
      </c>
      <c r="AU1939" t="s">
        <v>65</v>
      </c>
      <c r="AV1939">
        <v>29</v>
      </c>
      <c r="AW1939">
        <v>2</v>
      </c>
      <c r="AX1939" t="s">
        <v>24925</v>
      </c>
      <c r="AY1939">
        <v>2.0820000000000002E-2</v>
      </c>
      <c r="AZ1939">
        <v>-1.5200000000000001E-3</v>
      </c>
      <c r="BA1939">
        <v>5.5999999999999995E-4</v>
      </c>
      <c r="BB1939">
        <v>-8.0000000000000007E-5</v>
      </c>
      <c r="BC1939">
        <v>2.6790000000000001E-2</v>
      </c>
      <c r="BD1939">
        <v>1</v>
      </c>
      <c r="BE1939" t="s">
        <v>69</v>
      </c>
      <c r="BF1939">
        <v>-0.24299999999999999</v>
      </c>
      <c r="BG1939">
        <v>0.60599999999999998</v>
      </c>
    </row>
    <row r="1940" spans="1:59">
      <c r="A1940">
        <v>0</v>
      </c>
      <c r="B1940">
        <v>4</v>
      </c>
      <c r="C1940">
        <v>0</v>
      </c>
      <c r="D1940" t="s">
        <v>25022</v>
      </c>
      <c r="E1940">
        <v>89</v>
      </c>
      <c r="F1940" t="s">
        <v>703</v>
      </c>
      <c r="G1940" t="s">
        <v>57</v>
      </c>
      <c r="H1940">
        <v>108674</v>
      </c>
      <c r="I1940">
        <v>109771</v>
      </c>
      <c r="J1940" t="s">
        <v>704</v>
      </c>
      <c r="K1940">
        <v>366</v>
      </c>
      <c r="L1940" t="s">
        <v>59</v>
      </c>
      <c r="M1940">
        <v>49</v>
      </c>
      <c r="N1940" t="str">
        <f>HYPERLINK("Gene89-zp_tree_all.dnd", "Gene89-tree")</f>
        <v>Gene89-tree</v>
      </c>
      <c r="O1940">
        <v>33</v>
      </c>
      <c r="P1940">
        <v>2</v>
      </c>
      <c r="Q1940">
        <v>12</v>
      </c>
      <c r="R1940">
        <v>2</v>
      </c>
      <c r="S1940">
        <v>0.14285999999999999</v>
      </c>
      <c r="T1940" t="s">
        <v>705</v>
      </c>
      <c r="U1940" t="s">
        <v>81</v>
      </c>
      <c r="V1940" t="s">
        <v>62</v>
      </c>
      <c r="W1940" t="s">
        <v>62</v>
      </c>
      <c r="X1940">
        <v>2</v>
      </c>
      <c r="Y1940">
        <v>4</v>
      </c>
      <c r="Z1940">
        <v>1</v>
      </c>
      <c r="AA1940">
        <v>0.8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</v>
      </c>
      <c r="AK1940">
        <v>0</v>
      </c>
      <c r="AL1940">
        <v>10</v>
      </c>
      <c r="AM1940">
        <v>7</v>
      </c>
      <c r="AN1940">
        <v>37</v>
      </c>
      <c r="AO1940">
        <v>2</v>
      </c>
      <c r="AP1940">
        <v>40</v>
      </c>
      <c r="AQ1940">
        <v>3</v>
      </c>
      <c r="AR1940" t="s">
        <v>706</v>
      </c>
      <c r="AS1940" t="s">
        <v>707</v>
      </c>
      <c r="AT1940">
        <v>0.125</v>
      </c>
      <c r="AU1940" t="s">
        <v>65</v>
      </c>
      <c r="AV1940">
        <v>77</v>
      </c>
      <c r="AW1940">
        <v>5</v>
      </c>
      <c r="AX1940" t="s">
        <v>708</v>
      </c>
      <c r="AY1940">
        <v>8.1970000000000001E-2</v>
      </c>
      <c r="AZ1940">
        <v>-7.1900000000000002E-3</v>
      </c>
      <c r="BA1940">
        <v>1.3799999999999999E-3</v>
      </c>
      <c r="BB1940">
        <v>-1.3999999999999999E-4</v>
      </c>
      <c r="BC1940">
        <v>1.678E-2</v>
      </c>
      <c r="BD1940">
        <v>1</v>
      </c>
      <c r="BE1940" t="s">
        <v>69</v>
      </c>
      <c r="BF1940">
        <v>-1.546</v>
      </c>
      <c r="BG1940">
        <v>-0.71099999999999997</v>
      </c>
    </row>
    <row r="1941" spans="1:59">
      <c r="A1941">
        <v>0</v>
      </c>
      <c r="B1941">
        <v>0</v>
      </c>
      <c r="C1941">
        <v>0</v>
      </c>
      <c r="D1941" t="s">
        <v>25022</v>
      </c>
      <c r="E1941">
        <v>1582</v>
      </c>
      <c r="F1941" t="s">
        <v>9894</v>
      </c>
      <c r="G1941" t="s">
        <v>57</v>
      </c>
      <c r="H1941">
        <v>1590317</v>
      </c>
      <c r="I1941">
        <v>1591414</v>
      </c>
      <c r="J1941" t="s">
        <v>9895</v>
      </c>
      <c r="K1941">
        <v>366</v>
      </c>
      <c r="L1941" t="s">
        <v>698</v>
      </c>
      <c r="M1941">
        <v>47</v>
      </c>
      <c r="N1941" t="str">
        <f>HYPERLINK("Gene1582-zp_tree_all.dnd", "Gene1582-tree")</f>
        <v>Gene1582-tree</v>
      </c>
      <c r="O1941">
        <v>14</v>
      </c>
      <c r="P1941">
        <v>2</v>
      </c>
      <c r="Q1941">
        <v>14</v>
      </c>
      <c r="R1941">
        <v>2</v>
      </c>
      <c r="S1941">
        <v>0.125</v>
      </c>
      <c r="T1941" t="s">
        <v>543</v>
      </c>
      <c r="U1941" t="s">
        <v>81</v>
      </c>
      <c r="V1941" t="s">
        <v>62</v>
      </c>
      <c r="W1941" t="s">
        <v>62</v>
      </c>
      <c r="X1941">
        <v>0</v>
      </c>
      <c r="Y1941">
        <v>0</v>
      </c>
      <c r="Z1941">
        <v>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</v>
      </c>
      <c r="AK1941">
        <v>0</v>
      </c>
      <c r="AL1941">
        <v>13</v>
      </c>
      <c r="AM1941">
        <v>11</v>
      </c>
      <c r="AN1941">
        <v>34</v>
      </c>
      <c r="AO1941">
        <v>2</v>
      </c>
      <c r="AP1941">
        <v>75</v>
      </c>
      <c r="AQ1941">
        <v>1</v>
      </c>
      <c r="AR1941" t="s">
        <v>9896</v>
      </c>
      <c r="AS1941" t="s">
        <v>9897</v>
      </c>
      <c r="AT1941">
        <v>0.40400000000000003</v>
      </c>
      <c r="AU1941" t="s">
        <v>65</v>
      </c>
      <c r="AV1941">
        <v>109</v>
      </c>
      <c r="AW1941">
        <v>3</v>
      </c>
      <c r="AX1941" t="s">
        <v>9898</v>
      </c>
      <c r="AY1941">
        <v>9.5460000000000003E-2</v>
      </c>
      <c r="AZ1941">
        <v>-7.62E-3</v>
      </c>
      <c r="BA1941">
        <v>5.8E-4</v>
      </c>
      <c r="BB1941">
        <v>-6.0000000000000002E-5</v>
      </c>
      <c r="BC1941">
        <v>6.11E-3</v>
      </c>
      <c r="BD1941">
        <v>1</v>
      </c>
      <c r="BE1941" t="s">
        <v>69</v>
      </c>
      <c r="BF1941">
        <v>-1.117</v>
      </c>
      <c r="BG1941">
        <v>-0.59099999999999997</v>
      </c>
    </row>
    <row r="1942" spans="1:59">
      <c r="A1942">
        <v>0</v>
      </c>
      <c r="B1942">
        <v>0</v>
      </c>
      <c r="C1942">
        <v>2</v>
      </c>
      <c r="D1942" t="s">
        <v>25022</v>
      </c>
      <c r="E1942">
        <v>3374</v>
      </c>
      <c r="F1942" t="s">
        <v>19722</v>
      </c>
      <c r="G1942" t="s">
        <v>62</v>
      </c>
      <c r="H1942">
        <v>3345016</v>
      </c>
      <c r="I1942">
        <v>3346116</v>
      </c>
      <c r="J1942" t="s">
        <v>19723</v>
      </c>
      <c r="K1942">
        <v>367</v>
      </c>
      <c r="L1942" t="s">
        <v>108</v>
      </c>
      <c r="M1942">
        <v>44</v>
      </c>
      <c r="N1942" t="str">
        <f>HYPERLINK("Gene3374-zp_tree_all.dnd", "Gene3374-tree")</f>
        <v>Gene3374-tree</v>
      </c>
      <c r="O1942">
        <v>6</v>
      </c>
      <c r="P1942">
        <v>5</v>
      </c>
      <c r="Q1942">
        <v>6</v>
      </c>
      <c r="R1942">
        <v>5</v>
      </c>
      <c r="S1942">
        <v>0.45455000000000001</v>
      </c>
      <c r="T1942" t="s">
        <v>90</v>
      </c>
      <c r="U1942" t="s">
        <v>199</v>
      </c>
      <c r="V1942" t="s">
        <v>62</v>
      </c>
      <c r="W1942" t="s">
        <v>62</v>
      </c>
      <c r="X1942">
        <v>1</v>
      </c>
      <c r="Y1942">
        <v>2</v>
      </c>
      <c r="Z1942">
        <v>8</v>
      </c>
      <c r="AA1942">
        <v>0.2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2</v>
      </c>
      <c r="AI1942">
        <v>2</v>
      </c>
      <c r="AJ1942">
        <v>6</v>
      </c>
      <c r="AK1942">
        <v>0.25</v>
      </c>
      <c r="AL1942">
        <v>8</v>
      </c>
      <c r="AM1942">
        <v>6</v>
      </c>
      <c r="AN1942">
        <v>23</v>
      </c>
      <c r="AO1942">
        <v>8</v>
      </c>
      <c r="AP1942">
        <v>11</v>
      </c>
      <c r="AQ1942">
        <v>2</v>
      </c>
      <c r="AR1942" t="s">
        <v>19724</v>
      </c>
      <c r="AS1942" t="s">
        <v>19725</v>
      </c>
      <c r="AT1942">
        <v>0.56100000000000005</v>
      </c>
      <c r="AU1942" t="s">
        <v>65</v>
      </c>
      <c r="AV1942">
        <v>34</v>
      </c>
      <c r="AW1942">
        <v>10</v>
      </c>
      <c r="AX1942" t="s">
        <v>19726</v>
      </c>
      <c r="AY1942">
        <v>2.9659999999999999E-2</v>
      </c>
      <c r="AZ1942">
        <v>-2.1199999999999999E-3</v>
      </c>
      <c r="BA1942">
        <v>2.82E-3</v>
      </c>
      <c r="BB1942">
        <v>-2.1000000000000001E-4</v>
      </c>
      <c r="BC1942">
        <v>9.5049999999999996E-2</v>
      </c>
      <c r="BD1942">
        <v>1</v>
      </c>
      <c r="BE1942" t="s">
        <v>69</v>
      </c>
      <c r="BF1942">
        <v>-1.357</v>
      </c>
      <c r="BG1942">
        <v>-1.071</v>
      </c>
    </row>
    <row r="1943" spans="1:59">
      <c r="A1943">
        <v>0</v>
      </c>
      <c r="B1943">
        <v>4</v>
      </c>
      <c r="C1943">
        <v>0</v>
      </c>
      <c r="D1943" t="s">
        <v>25022</v>
      </c>
      <c r="E1943">
        <v>3557</v>
      </c>
      <c r="F1943" t="s">
        <v>20856</v>
      </c>
      <c r="G1943" t="s">
        <v>62</v>
      </c>
      <c r="H1943">
        <v>3522173</v>
      </c>
      <c r="I1943">
        <v>3523273</v>
      </c>
      <c r="J1943" t="s">
        <v>20857</v>
      </c>
      <c r="K1943">
        <v>367</v>
      </c>
      <c r="L1943" t="s">
        <v>4013</v>
      </c>
      <c r="M1943">
        <v>43</v>
      </c>
      <c r="N1943" t="str">
        <f>HYPERLINK("Gene3557-zp_tree_all.dnd", "Gene3557-tree")</f>
        <v>Gene3557-tree</v>
      </c>
      <c r="O1943">
        <v>8</v>
      </c>
      <c r="P1943">
        <v>5</v>
      </c>
      <c r="Q1943">
        <v>8</v>
      </c>
      <c r="R1943">
        <v>5</v>
      </c>
      <c r="S1943">
        <v>0.38462000000000002</v>
      </c>
      <c r="T1943" t="s">
        <v>136</v>
      </c>
      <c r="U1943" t="s">
        <v>199</v>
      </c>
      <c r="V1943" t="s">
        <v>62</v>
      </c>
      <c r="W1943" t="s">
        <v>62</v>
      </c>
      <c r="X1943">
        <v>2</v>
      </c>
      <c r="Y1943">
        <v>4</v>
      </c>
      <c r="Z1943">
        <v>9</v>
      </c>
      <c r="AA1943">
        <v>0.30769000000000002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</v>
      </c>
      <c r="AH1943">
        <v>0</v>
      </c>
      <c r="AI1943">
        <v>2</v>
      </c>
      <c r="AJ1943">
        <v>8</v>
      </c>
      <c r="AK1943">
        <v>0.2</v>
      </c>
      <c r="AL1943">
        <v>13</v>
      </c>
      <c r="AM1943">
        <v>10</v>
      </c>
      <c r="AN1943">
        <v>41</v>
      </c>
      <c r="AO1943">
        <v>10</v>
      </c>
      <c r="AP1943">
        <v>28</v>
      </c>
      <c r="AQ1943">
        <v>3</v>
      </c>
      <c r="AR1943" t="s">
        <v>20858</v>
      </c>
      <c r="AS1943" t="s">
        <v>20859</v>
      </c>
      <c r="AT1943">
        <v>0.56000000000000005</v>
      </c>
      <c r="AU1943" t="s">
        <v>65</v>
      </c>
      <c r="AV1943">
        <v>69</v>
      </c>
      <c r="AW1943">
        <v>13</v>
      </c>
      <c r="AX1943" t="s">
        <v>20860</v>
      </c>
      <c r="AY1943">
        <v>5.2949999999999997E-2</v>
      </c>
      <c r="AZ1943">
        <v>-2.7299999999999998E-3</v>
      </c>
      <c r="BA1943">
        <v>2.8600000000000001E-3</v>
      </c>
      <c r="BB1943">
        <v>-2.3000000000000001E-4</v>
      </c>
      <c r="BC1943">
        <v>5.4050000000000001E-2</v>
      </c>
      <c r="BD1943">
        <v>1</v>
      </c>
      <c r="BE1943" t="s">
        <v>69</v>
      </c>
      <c r="BF1943">
        <v>0.157</v>
      </c>
      <c r="BG1943">
        <v>-0.94599999999999995</v>
      </c>
    </row>
    <row r="1944" spans="1:59">
      <c r="A1944">
        <v>0</v>
      </c>
      <c r="B1944">
        <v>2</v>
      </c>
      <c r="C1944">
        <v>0</v>
      </c>
      <c r="D1944" t="s">
        <v>25022</v>
      </c>
      <c r="E1944">
        <v>3166</v>
      </c>
      <c r="F1944" t="s">
        <v>18405</v>
      </c>
      <c r="G1944" t="s">
        <v>62</v>
      </c>
      <c r="H1944">
        <v>3121541</v>
      </c>
      <c r="I1944">
        <v>3122641</v>
      </c>
      <c r="J1944" t="s">
        <v>18406</v>
      </c>
      <c r="K1944">
        <v>367</v>
      </c>
      <c r="L1944" t="s">
        <v>108</v>
      </c>
      <c r="M1944">
        <v>44</v>
      </c>
      <c r="N1944" t="str">
        <f>HYPERLINK("Gene3166-zp_tree_all.dnd", "Gene3166-tree")</f>
        <v>Gene3166-tree</v>
      </c>
      <c r="O1944">
        <v>9</v>
      </c>
      <c r="P1944">
        <v>7</v>
      </c>
      <c r="Q1944">
        <v>9</v>
      </c>
      <c r="R1944">
        <v>7</v>
      </c>
      <c r="S1944">
        <v>0.4375</v>
      </c>
      <c r="T1944" t="s">
        <v>135</v>
      </c>
      <c r="U1944" t="s">
        <v>152</v>
      </c>
      <c r="V1944" t="s">
        <v>62</v>
      </c>
      <c r="W1944" t="s">
        <v>62</v>
      </c>
      <c r="X1944">
        <v>1</v>
      </c>
      <c r="Y1944">
        <v>2</v>
      </c>
      <c r="Z1944">
        <v>9</v>
      </c>
      <c r="AA1944">
        <v>0.18182000000000001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9</v>
      </c>
      <c r="AK1944">
        <v>0</v>
      </c>
      <c r="AL1944">
        <v>12</v>
      </c>
      <c r="AM1944">
        <v>11</v>
      </c>
      <c r="AN1944">
        <v>24</v>
      </c>
      <c r="AO1944">
        <v>8</v>
      </c>
      <c r="AP1944">
        <v>27</v>
      </c>
      <c r="AQ1944">
        <v>3</v>
      </c>
      <c r="AR1944" t="s">
        <v>18407</v>
      </c>
      <c r="AS1944" t="s">
        <v>18408</v>
      </c>
      <c r="AT1944">
        <v>0.95099999999999996</v>
      </c>
      <c r="AU1944" t="s">
        <v>65</v>
      </c>
      <c r="AV1944">
        <v>51</v>
      </c>
      <c r="AW1944">
        <v>11</v>
      </c>
      <c r="AX1944" t="s">
        <v>18409</v>
      </c>
      <c r="AY1944">
        <v>4.6980000000000001E-2</v>
      </c>
      <c r="AZ1944">
        <v>-1.7600000000000001E-3</v>
      </c>
      <c r="BA1944">
        <v>2.16E-3</v>
      </c>
      <c r="BB1944">
        <v>-1.2999999999999999E-4</v>
      </c>
      <c r="BC1944">
        <v>4.6019999999999998E-2</v>
      </c>
      <c r="BD1944">
        <v>1</v>
      </c>
      <c r="BE1944" t="s">
        <v>69</v>
      </c>
      <c r="BF1944">
        <v>0.35799999999999998</v>
      </c>
      <c r="BG1944">
        <v>-0.25600000000000001</v>
      </c>
    </row>
    <row r="1945" spans="1:59">
      <c r="A1945">
        <v>0</v>
      </c>
      <c r="B1945">
        <v>13</v>
      </c>
      <c r="C1945">
        <v>3</v>
      </c>
      <c r="D1945" t="s">
        <v>25022</v>
      </c>
      <c r="E1945">
        <v>2404</v>
      </c>
      <c r="F1945" t="s">
        <v>13997</v>
      </c>
      <c r="G1945" t="s">
        <v>62</v>
      </c>
      <c r="H1945">
        <v>2413588</v>
      </c>
      <c r="I1945">
        <v>2414691</v>
      </c>
      <c r="J1945" t="s">
        <v>13998</v>
      </c>
      <c r="K1945">
        <v>368</v>
      </c>
      <c r="L1945" t="s">
        <v>13999</v>
      </c>
      <c r="M1945">
        <v>40</v>
      </c>
      <c r="N1945" t="str">
        <f>HYPERLINK("Gene2404-zp_tree_all.dnd", "Gene2404-tree")</f>
        <v>Gene2404-tree</v>
      </c>
      <c r="O1945">
        <v>1</v>
      </c>
      <c r="P1945">
        <v>10</v>
      </c>
      <c r="Q1945">
        <v>1</v>
      </c>
      <c r="R1945">
        <v>10</v>
      </c>
      <c r="S1945">
        <v>0.90908999999999995</v>
      </c>
      <c r="T1945" t="s">
        <v>175</v>
      </c>
      <c r="U1945" t="s">
        <v>117</v>
      </c>
      <c r="V1945" t="s">
        <v>62</v>
      </c>
      <c r="W1945" t="s">
        <v>62</v>
      </c>
      <c r="X1945">
        <v>7</v>
      </c>
      <c r="Y1945">
        <v>16</v>
      </c>
      <c r="Z1945">
        <v>22</v>
      </c>
      <c r="AA1945">
        <v>0.42104999999999998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</v>
      </c>
      <c r="AI1945">
        <v>2</v>
      </c>
      <c r="AJ1945">
        <v>10</v>
      </c>
      <c r="AK1945">
        <v>0.16667000000000001</v>
      </c>
      <c r="AL1945">
        <v>8</v>
      </c>
      <c r="AM1945">
        <v>8</v>
      </c>
      <c r="AN1945">
        <v>18</v>
      </c>
      <c r="AO1945">
        <v>8</v>
      </c>
      <c r="AP1945">
        <v>41</v>
      </c>
      <c r="AQ1945">
        <v>34</v>
      </c>
      <c r="AR1945" t="s">
        <v>14000</v>
      </c>
      <c r="AS1945" t="s">
        <v>14001</v>
      </c>
      <c r="AT1945">
        <v>1.177</v>
      </c>
      <c r="AU1945" t="s">
        <v>65</v>
      </c>
      <c r="AV1945">
        <v>59</v>
      </c>
      <c r="AW1945">
        <v>42</v>
      </c>
      <c r="AX1945" t="s">
        <v>14002</v>
      </c>
      <c r="AY1945">
        <v>6.4600000000000005E-2</v>
      </c>
      <c r="AZ1945">
        <v>-3.5100000000000001E-3</v>
      </c>
      <c r="BA1945">
        <v>1.482E-2</v>
      </c>
      <c r="BB1945">
        <v>-8.3000000000000001E-4</v>
      </c>
      <c r="BC1945">
        <v>0.22943</v>
      </c>
      <c r="BD1945">
        <v>1</v>
      </c>
      <c r="BE1945" t="s">
        <v>69</v>
      </c>
      <c r="BF1945">
        <v>0.95799999999999996</v>
      </c>
      <c r="BG1945">
        <v>1.0369999999999999</v>
      </c>
    </row>
    <row r="1946" spans="1:59">
      <c r="A1946">
        <v>2</v>
      </c>
      <c r="B1946">
        <v>8</v>
      </c>
      <c r="C1946">
        <v>0</v>
      </c>
      <c r="D1946" t="s">
        <v>25022</v>
      </c>
      <c r="E1946">
        <v>733</v>
      </c>
      <c r="F1946" t="s">
        <v>4541</v>
      </c>
      <c r="G1946" t="s">
        <v>57</v>
      </c>
      <c r="H1946">
        <v>760452</v>
      </c>
      <c r="I1946">
        <v>761555</v>
      </c>
      <c r="J1946" t="s">
        <v>4542</v>
      </c>
      <c r="K1946">
        <v>368</v>
      </c>
      <c r="L1946" t="s">
        <v>108</v>
      </c>
      <c r="M1946">
        <v>44</v>
      </c>
      <c r="N1946" t="str">
        <f>HYPERLINK("Gene733-zp_tree_all.dnd", "Gene733-tree")</f>
        <v>Gene733-tree</v>
      </c>
      <c r="O1946">
        <v>3</v>
      </c>
      <c r="P1946">
        <v>11</v>
      </c>
      <c r="Q1946">
        <v>3</v>
      </c>
      <c r="R1946">
        <v>11</v>
      </c>
      <c r="S1946">
        <v>0.78571000000000002</v>
      </c>
      <c r="T1946" t="s">
        <v>324</v>
      </c>
      <c r="U1946" t="s">
        <v>73</v>
      </c>
      <c r="V1946">
        <v>305230034.74400002</v>
      </c>
      <c r="W1946" t="s">
        <v>267</v>
      </c>
      <c r="X1946">
        <v>4</v>
      </c>
      <c r="Y1946">
        <v>10</v>
      </c>
      <c r="Z1946">
        <v>17</v>
      </c>
      <c r="AA1946">
        <v>0.37036999999999998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</v>
      </c>
      <c r="AI1946">
        <v>3</v>
      </c>
      <c r="AJ1946">
        <v>15</v>
      </c>
      <c r="AK1946">
        <v>0.16667000000000001</v>
      </c>
      <c r="AL1946">
        <v>13</v>
      </c>
      <c r="AM1946">
        <v>11</v>
      </c>
      <c r="AN1946">
        <v>34</v>
      </c>
      <c r="AO1946">
        <v>16</v>
      </c>
      <c r="AP1946">
        <v>36</v>
      </c>
      <c r="AQ1946">
        <v>12</v>
      </c>
      <c r="AR1946" t="s">
        <v>4543</v>
      </c>
      <c r="AS1946" t="s">
        <v>4544</v>
      </c>
      <c r="AT1946">
        <v>0.69799999999999995</v>
      </c>
      <c r="AU1946" t="s">
        <v>65</v>
      </c>
      <c r="AV1946">
        <v>70</v>
      </c>
      <c r="AW1946">
        <v>28</v>
      </c>
      <c r="AX1946" t="s">
        <v>4545</v>
      </c>
      <c r="AY1946">
        <v>5.8139999999999997E-2</v>
      </c>
      <c r="AZ1946">
        <v>-1.89E-3</v>
      </c>
      <c r="BA1946">
        <v>6.8300000000000001E-3</v>
      </c>
      <c r="BB1946">
        <v>-2.7E-4</v>
      </c>
      <c r="BC1946">
        <v>0.11749</v>
      </c>
      <c r="BD1946">
        <v>1</v>
      </c>
      <c r="BE1946" t="s">
        <v>69</v>
      </c>
      <c r="BF1946">
        <v>0.54600000000000004</v>
      </c>
      <c r="BG1946">
        <v>0.60399999999999998</v>
      </c>
    </row>
    <row r="1947" spans="1:59">
      <c r="A1947">
        <v>0</v>
      </c>
      <c r="B1947">
        <v>2</v>
      </c>
      <c r="C1947">
        <v>2</v>
      </c>
      <c r="D1947" t="s">
        <v>25022</v>
      </c>
      <c r="E1947">
        <v>2901</v>
      </c>
      <c r="F1947" t="s">
        <v>16697</v>
      </c>
      <c r="G1947" t="s">
        <v>62</v>
      </c>
      <c r="H1947">
        <v>2845958</v>
      </c>
      <c r="I1947">
        <v>2847061</v>
      </c>
      <c r="J1947" t="s">
        <v>16698</v>
      </c>
      <c r="K1947">
        <v>368</v>
      </c>
      <c r="L1947" t="s">
        <v>108</v>
      </c>
      <c r="M1947">
        <v>44</v>
      </c>
      <c r="N1947" t="str">
        <f>HYPERLINK("Gene2901-zp_tree_all.dnd", "Gene2901-tree")</f>
        <v>Gene2901-tree</v>
      </c>
      <c r="O1947">
        <v>5</v>
      </c>
      <c r="P1947">
        <v>8</v>
      </c>
      <c r="Q1947">
        <v>5</v>
      </c>
      <c r="R1947">
        <v>8</v>
      </c>
      <c r="S1947">
        <v>0.61538000000000004</v>
      </c>
      <c r="T1947" t="s">
        <v>199</v>
      </c>
      <c r="U1947" t="s">
        <v>136</v>
      </c>
      <c r="V1947" t="s">
        <v>62</v>
      </c>
      <c r="W1947" t="s">
        <v>62</v>
      </c>
      <c r="X1947">
        <v>2</v>
      </c>
      <c r="Y1947">
        <v>4</v>
      </c>
      <c r="Z1947">
        <v>10</v>
      </c>
      <c r="AA1947">
        <v>0.28571000000000002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11</v>
      </c>
      <c r="AK1947">
        <v>0</v>
      </c>
      <c r="AL1947">
        <v>11</v>
      </c>
      <c r="AM1947">
        <v>8</v>
      </c>
      <c r="AN1947">
        <v>25</v>
      </c>
      <c r="AO1947">
        <v>11</v>
      </c>
      <c r="AP1947">
        <v>9</v>
      </c>
      <c r="AQ1947">
        <v>3</v>
      </c>
      <c r="AR1947" t="s">
        <v>16699</v>
      </c>
      <c r="AS1947" t="s">
        <v>16700</v>
      </c>
      <c r="AT1947">
        <v>0.42799999999999999</v>
      </c>
      <c r="AU1947" t="s">
        <v>65</v>
      </c>
      <c r="AV1947">
        <v>34</v>
      </c>
      <c r="AW1947">
        <v>14</v>
      </c>
      <c r="AX1947" t="s">
        <v>16701</v>
      </c>
      <c r="AY1947">
        <v>2.8080000000000001E-2</v>
      </c>
      <c r="AZ1947">
        <v>-1.1800000000000001E-3</v>
      </c>
      <c r="BA1947">
        <v>2.8400000000000001E-3</v>
      </c>
      <c r="BB1947">
        <v>-1.9000000000000001E-4</v>
      </c>
      <c r="BC1947">
        <v>0.10102999999999999</v>
      </c>
      <c r="BD1947">
        <v>1</v>
      </c>
      <c r="BE1947" t="s">
        <v>69</v>
      </c>
      <c r="BF1947">
        <v>-1.157</v>
      </c>
      <c r="BG1947">
        <v>-1.9219999999999999</v>
      </c>
    </row>
    <row r="1948" spans="1:59">
      <c r="A1948">
        <v>0</v>
      </c>
      <c r="B1948">
        <v>0</v>
      </c>
      <c r="C1948">
        <v>0</v>
      </c>
      <c r="D1948" t="s">
        <v>25022</v>
      </c>
      <c r="E1948">
        <v>2657</v>
      </c>
      <c r="F1948" t="s">
        <v>15576</v>
      </c>
      <c r="G1948" t="s">
        <v>62</v>
      </c>
      <c r="H1948">
        <v>2634508</v>
      </c>
      <c r="I1948">
        <v>2635611</v>
      </c>
      <c r="J1948" t="s">
        <v>15577</v>
      </c>
      <c r="K1948">
        <v>368</v>
      </c>
      <c r="L1948" t="s">
        <v>108</v>
      </c>
      <c r="M1948">
        <v>44</v>
      </c>
      <c r="N1948" t="str">
        <f>HYPERLINK("Gene2657-zp_tree_all.dnd", "Gene2657-tree")</f>
        <v>Gene2657-tree</v>
      </c>
      <c r="O1948">
        <v>10</v>
      </c>
      <c r="P1948">
        <v>3</v>
      </c>
      <c r="Q1948">
        <v>10</v>
      </c>
      <c r="R1948">
        <v>3</v>
      </c>
      <c r="S1948">
        <v>0.23077</v>
      </c>
      <c r="T1948" t="s">
        <v>117</v>
      </c>
      <c r="U1948" t="s">
        <v>324</v>
      </c>
      <c r="V1948" t="s">
        <v>62</v>
      </c>
      <c r="W1948" t="s">
        <v>62</v>
      </c>
      <c r="X1948">
        <v>0</v>
      </c>
      <c r="Y1948">
        <v>0</v>
      </c>
      <c r="Z1948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4</v>
      </c>
      <c r="AK1948">
        <v>0</v>
      </c>
      <c r="AL1948">
        <v>11</v>
      </c>
      <c r="AM1948">
        <v>9</v>
      </c>
      <c r="AN1948">
        <v>28</v>
      </c>
      <c r="AO1948">
        <v>3</v>
      </c>
      <c r="AP1948">
        <v>14</v>
      </c>
      <c r="AQ1948">
        <v>1</v>
      </c>
      <c r="AR1948" t="s">
        <v>15578</v>
      </c>
      <c r="AS1948" t="s">
        <v>15579</v>
      </c>
      <c r="AT1948">
        <v>0.127</v>
      </c>
      <c r="AU1948" t="s">
        <v>65</v>
      </c>
      <c r="AV1948">
        <v>42</v>
      </c>
      <c r="AW1948">
        <v>4</v>
      </c>
      <c r="AX1948" t="s">
        <v>15580</v>
      </c>
      <c r="AY1948">
        <v>3.3300000000000003E-2</v>
      </c>
      <c r="AZ1948">
        <v>-1.39E-3</v>
      </c>
      <c r="BA1948">
        <v>8.8000000000000003E-4</v>
      </c>
      <c r="BB1948">
        <v>-1.2999999999999999E-4</v>
      </c>
      <c r="BC1948">
        <v>2.6270000000000002E-2</v>
      </c>
      <c r="BD1948">
        <v>1</v>
      </c>
      <c r="BE1948" t="s">
        <v>69</v>
      </c>
      <c r="BF1948">
        <v>-1.121</v>
      </c>
      <c r="BG1948">
        <v>-2.5310000000000001</v>
      </c>
    </row>
    <row r="1949" spans="1:59">
      <c r="A1949">
        <v>0</v>
      </c>
      <c r="B1949">
        <v>9</v>
      </c>
      <c r="C1949">
        <v>2</v>
      </c>
      <c r="D1949" t="s">
        <v>25022</v>
      </c>
      <c r="E1949">
        <v>760</v>
      </c>
      <c r="F1949" t="s">
        <v>4714</v>
      </c>
      <c r="G1949" t="s">
        <v>57</v>
      </c>
      <c r="H1949">
        <v>790318</v>
      </c>
      <c r="I1949">
        <v>791424</v>
      </c>
      <c r="J1949" t="s">
        <v>4715</v>
      </c>
      <c r="K1949">
        <v>369</v>
      </c>
      <c r="L1949" t="s">
        <v>4716</v>
      </c>
      <c r="M1949">
        <v>29</v>
      </c>
      <c r="N1949" t="str">
        <f>HYPERLINK("Gene760-zp_tree_all.dnd", "Gene760-tree")</f>
        <v>Gene760-tree</v>
      </c>
      <c r="O1949">
        <v>0</v>
      </c>
      <c r="P1949">
        <v>7</v>
      </c>
      <c r="Q1949">
        <v>0</v>
      </c>
      <c r="R1949">
        <v>7</v>
      </c>
      <c r="S1949">
        <v>1</v>
      </c>
      <c r="T1949" t="s">
        <v>62</v>
      </c>
      <c r="U1949" t="s">
        <v>152</v>
      </c>
      <c r="V1949" t="s">
        <v>62</v>
      </c>
      <c r="W1949" t="s">
        <v>62</v>
      </c>
      <c r="X1949">
        <v>5</v>
      </c>
      <c r="Y1949">
        <v>11</v>
      </c>
      <c r="Z1949">
        <v>24</v>
      </c>
      <c r="AA1949">
        <v>0.31429000000000001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</v>
      </c>
      <c r="AH1949">
        <v>0</v>
      </c>
      <c r="AI1949">
        <v>2</v>
      </c>
      <c r="AJ1949">
        <v>23</v>
      </c>
      <c r="AK1949">
        <v>0.08</v>
      </c>
      <c r="AL1949">
        <v>7</v>
      </c>
      <c r="AM1949">
        <v>4</v>
      </c>
      <c r="AN1949">
        <v>43</v>
      </c>
      <c r="AO1949">
        <v>26</v>
      </c>
      <c r="AP1949">
        <v>20</v>
      </c>
      <c r="AQ1949">
        <v>10</v>
      </c>
      <c r="AR1949" t="s">
        <v>4717</v>
      </c>
      <c r="AS1949" t="s">
        <v>4718</v>
      </c>
      <c r="AT1949">
        <v>0.32200000000000001</v>
      </c>
      <c r="AU1949" t="s">
        <v>65</v>
      </c>
      <c r="AV1949">
        <v>63</v>
      </c>
      <c r="AW1949">
        <v>36</v>
      </c>
      <c r="AX1949" t="s">
        <v>4719</v>
      </c>
      <c r="AY1949">
        <v>8.3890000000000006E-2</v>
      </c>
      <c r="AZ1949">
        <v>-6.4099999999999999E-3</v>
      </c>
      <c r="BA1949">
        <v>1.3429999999999999E-2</v>
      </c>
      <c r="BB1949">
        <v>-1.24E-3</v>
      </c>
      <c r="BC1949">
        <v>0.16009999999999999</v>
      </c>
      <c r="BD1949">
        <v>1</v>
      </c>
      <c r="BE1949" t="s">
        <v>69</v>
      </c>
      <c r="BF1949">
        <v>-0.35</v>
      </c>
      <c r="BG1949">
        <v>-0.46500000000000002</v>
      </c>
    </row>
    <row r="1950" spans="1:59">
      <c r="A1950">
        <v>0</v>
      </c>
      <c r="B1950">
        <v>12</v>
      </c>
      <c r="C1950">
        <v>0</v>
      </c>
      <c r="D1950" t="s">
        <v>25022</v>
      </c>
      <c r="E1950">
        <v>1205</v>
      </c>
      <c r="F1950" t="s">
        <v>7584</v>
      </c>
      <c r="G1950" t="s">
        <v>57</v>
      </c>
      <c r="H1950">
        <v>1243735</v>
      </c>
      <c r="I1950">
        <v>1244841</v>
      </c>
      <c r="J1950" t="s">
        <v>7585</v>
      </c>
      <c r="K1950">
        <v>369</v>
      </c>
      <c r="L1950" t="s">
        <v>108</v>
      </c>
      <c r="M1950">
        <v>44</v>
      </c>
      <c r="N1950" t="str">
        <f>HYPERLINK("Gene1205-zp_tree_all.dnd", "Gene1205-tree")</f>
        <v>Gene1205-tree</v>
      </c>
      <c r="O1950">
        <v>7</v>
      </c>
      <c r="P1950">
        <v>9</v>
      </c>
      <c r="Q1950">
        <v>7</v>
      </c>
      <c r="R1950">
        <v>9</v>
      </c>
      <c r="S1950">
        <v>0.5625</v>
      </c>
      <c r="T1950" t="s">
        <v>152</v>
      </c>
      <c r="U1950" t="s">
        <v>135</v>
      </c>
      <c r="V1950" t="s">
        <v>62</v>
      </c>
      <c r="W1950" t="s">
        <v>62</v>
      </c>
      <c r="X1950">
        <v>4</v>
      </c>
      <c r="Y1950">
        <v>12</v>
      </c>
      <c r="Z1950">
        <v>14</v>
      </c>
      <c r="AA1950">
        <v>0.46154000000000001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4</v>
      </c>
      <c r="AH1950">
        <v>0</v>
      </c>
      <c r="AI1950">
        <v>4</v>
      </c>
      <c r="AJ1950">
        <v>13</v>
      </c>
      <c r="AK1950">
        <v>0.23529</v>
      </c>
      <c r="AL1950">
        <v>12</v>
      </c>
      <c r="AM1950">
        <v>11</v>
      </c>
      <c r="AN1950">
        <v>30</v>
      </c>
      <c r="AO1950">
        <v>17</v>
      </c>
      <c r="AP1950">
        <v>23</v>
      </c>
      <c r="AQ1950">
        <v>9</v>
      </c>
      <c r="AR1950" t="s">
        <v>7586</v>
      </c>
      <c r="AS1950" t="s">
        <v>7587</v>
      </c>
      <c r="AT1950">
        <v>0.55200000000000005</v>
      </c>
      <c r="AU1950" t="s">
        <v>65</v>
      </c>
      <c r="AV1950">
        <v>53</v>
      </c>
      <c r="AW1950">
        <v>26</v>
      </c>
      <c r="AX1950" t="s">
        <v>7588</v>
      </c>
      <c r="AY1950">
        <v>3.7379999999999997E-2</v>
      </c>
      <c r="AZ1950">
        <v>-1.49E-3</v>
      </c>
      <c r="BA1950">
        <v>4.9100000000000003E-3</v>
      </c>
      <c r="BB1950">
        <v>-2.2000000000000001E-4</v>
      </c>
      <c r="BC1950">
        <v>0.13145000000000001</v>
      </c>
      <c r="BD1950">
        <v>1</v>
      </c>
      <c r="BE1950" t="s">
        <v>69</v>
      </c>
      <c r="BF1950">
        <v>-0.443</v>
      </c>
      <c r="BG1950">
        <v>-2.0329999999999999</v>
      </c>
    </row>
    <row r="1951" spans="1:59">
      <c r="A1951">
        <v>0</v>
      </c>
      <c r="B1951">
        <v>2</v>
      </c>
      <c r="C1951">
        <v>0</v>
      </c>
      <c r="D1951" t="s">
        <v>25022</v>
      </c>
      <c r="E1951">
        <v>896</v>
      </c>
      <c r="F1951" t="s">
        <v>5595</v>
      </c>
      <c r="G1951" t="s">
        <v>57</v>
      </c>
      <c r="H1951">
        <v>935656</v>
      </c>
      <c r="I1951">
        <v>936762</v>
      </c>
      <c r="J1951" t="s">
        <v>5596</v>
      </c>
      <c r="K1951">
        <v>369</v>
      </c>
      <c r="L1951" t="s">
        <v>108</v>
      </c>
      <c r="M1951">
        <v>44</v>
      </c>
      <c r="N1951" t="str">
        <f>HYPERLINK("Gene896-zp_tree_all.dnd", "Gene896-tree")</f>
        <v>Gene896-tree</v>
      </c>
      <c r="O1951">
        <v>30</v>
      </c>
      <c r="P1951">
        <v>2</v>
      </c>
      <c r="Q1951">
        <v>10</v>
      </c>
      <c r="R1951">
        <v>2</v>
      </c>
      <c r="S1951">
        <v>0.16667000000000001</v>
      </c>
      <c r="T1951" t="s">
        <v>250</v>
      </c>
      <c r="U1951" t="s">
        <v>81</v>
      </c>
      <c r="V1951" t="s">
        <v>62</v>
      </c>
      <c r="W1951" t="s">
        <v>62</v>
      </c>
      <c r="X1951">
        <v>1</v>
      </c>
      <c r="Y1951">
        <v>2</v>
      </c>
      <c r="Z1951">
        <v>4</v>
      </c>
      <c r="AA1951">
        <v>0.33333000000000002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3</v>
      </c>
      <c r="AK1951">
        <v>0</v>
      </c>
      <c r="AL1951">
        <v>9</v>
      </c>
      <c r="AM1951">
        <v>8</v>
      </c>
      <c r="AN1951">
        <v>20</v>
      </c>
      <c r="AO1951">
        <v>3</v>
      </c>
      <c r="AP1951">
        <v>22</v>
      </c>
      <c r="AQ1951">
        <v>3</v>
      </c>
      <c r="AR1951" t="s">
        <v>5597</v>
      </c>
      <c r="AS1951" t="s">
        <v>5598</v>
      </c>
      <c r="AT1951">
        <v>5.3999999999999999E-2</v>
      </c>
      <c r="AU1951" t="s">
        <v>65</v>
      </c>
      <c r="AV1951">
        <v>42</v>
      </c>
      <c r="AW1951">
        <v>6</v>
      </c>
      <c r="AX1951" t="s">
        <v>5599</v>
      </c>
      <c r="AY1951">
        <v>4.3439999999999999E-2</v>
      </c>
      <c r="AZ1951">
        <v>-2.2799999999999999E-3</v>
      </c>
      <c r="BA1951">
        <v>1.8400000000000001E-3</v>
      </c>
      <c r="BB1951">
        <v>-1.4999999999999999E-4</v>
      </c>
      <c r="BC1951">
        <v>4.2320000000000003E-2</v>
      </c>
      <c r="BD1951">
        <v>1</v>
      </c>
      <c r="BE1951" t="s">
        <v>69</v>
      </c>
      <c r="BF1951">
        <v>-0.98099999999999998</v>
      </c>
      <c r="BG1951">
        <v>-1.2470000000000001</v>
      </c>
    </row>
    <row r="1952" spans="1:59">
      <c r="A1952">
        <v>0</v>
      </c>
      <c r="B1952">
        <v>5</v>
      </c>
      <c r="C1952">
        <v>0</v>
      </c>
      <c r="D1952" t="s">
        <v>25022</v>
      </c>
      <c r="E1952">
        <v>3299</v>
      </c>
      <c r="F1952" t="s">
        <v>19254</v>
      </c>
      <c r="G1952" t="s">
        <v>62</v>
      </c>
      <c r="H1952">
        <v>3262614</v>
      </c>
      <c r="I1952">
        <v>3263720</v>
      </c>
      <c r="J1952" t="s">
        <v>3095</v>
      </c>
      <c r="K1952">
        <v>369</v>
      </c>
      <c r="L1952" t="s">
        <v>108</v>
      </c>
      <c r="M1952">
        <v>44</v>
      </c>
      <c r="N1952" t="str">
        <f>HYPERLINK("Gene3299-zp_tree_all.dnd", "Gene3299-tree")</f>
        <v>Gene3299-tree</v>
      </c>
      <c r="O1952">
        <v>7</v>
      </c>
      <c r="P1952">
        <v>25</v>
      </c>
      <c r="Q1952">
        <v>7</v>
      </c>
      <c r="R1952">
        <v>7</v>
      </c>
      <c r="S1952">
        <v>0.5</v>
      </c>
      <c r="T1952" t="s">
        <v>152</v>
      </c>
      <c r="U1952" t="s">
        <v>2683</v>
      </c>
      <c r="V1952">
        <v>3.613</v>
      </c>
      <c r="W1952" t="s">
        <v>65</v>
      </c>
      <c r="X1952">
        <v>2</v>
      </c>
      <c r="Y1952">
        <v>5</v>
      </c>
      <c r="Z1952">
        <v>3</v>
      </c>
      <c r="AA1952">
        <v>0.625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5</v>
      </c>
      <c r="AH1952">
        <v>0</v>
      </c>
      <c r="AI1952">
        <v>5</v>
      </c>
      <c r="AJ1952">
        <v>3</v>
      </c>
      <c r="AK1952">
        <v>0.625</v>
      </c>
      <c r="AL1952">
        <v>11</v>
      </c>
      <c r="AM1952">
        <v>8</v>
      </c>
      <c r="AN1952">
        <v>41</v>
      </c>
      <c r="AO1952">
        <v>7</v>
      </c>
      <c r="AP1952">
        <v>16</v>
      </c>
      <c r="AQ1952">
        <v>1</v>
      </c>
      <c r="AR1952" t="s">
        <v>19255</v>
      </c>
      <c r="AS1952" t="s">
        <v>19256</v>
      </c>
      <c r="AT1952">
        <v>0.57199999999999995</v>
      </c>
      <c r="AU1952" t="s">
        <v>65</v>
      </c>
      <c r="AV1952">
        <v>57</v>
      </c>
      <c r="AW1952">
        <v>8</v>
      </c>
      <c r="AX1952" t="s">
        <v>19257</v>
      </c>
      <c r="AY1952">
        <v>3.7249999999999998E-2</v>
      </c>
      <c r="AZ1952">
        <v>-1.6999999999999999E-3</v>
      </c>
      <c r="BA1952">
        <v>1.3699999999999999E-3</v>
      </c>
      <c r="BB1952">
        <v>-1.1E-4</v>
      </c>
      <c r="BC1952">
        <v>3.6810000000000002E-2</v>
      </c>
      <c r="BD1952">
        <v>1</v>
      </c>
      <c r="BE1952" t="s">
        <v>69</v>
      </c>
      <c r="BF1952">
        <v>-0.61099999999999999</v>
      </c>
      <c r="BG1952">
        <v>-0.6</v>
      </c>
    </row>
    <row r="1953" spans="1:59">
      <c r="A1953">
        <v>3</v>
      </c>
      <c r="B1953">
        <v>20</v>
      </c>
      <c r="C1953">
        <v>4</v>
      </c>
      <c r="D1953" t="s">
        <v>25022</v>
      </c>
      <c r="E1953">
        <v>267</v>
      </c>
      <c r="F1953" t="s">
        <v>1820</v>
      </c>
      <c r="G1953" t="s">
        <v>57</v>
      </c>
      <c r="H1953">
        <v>287499</v>
      </c>
      <c r="I1953">
        <v>288608</v>
      </c>
      <c r="J1953" t="s">
        <v>1821</v>
      </c>
      <c r="K1953">
        <v>370</v>
      </c>
      <c r="L1953" t="s">
        <v>108</v>
      </c>
      <c r="M1953">
        <v>44</v>
      </c>
      <c r="N1953" t="str">
        <f>HYPERLINK("Gene267-zp_tree_all.dnd", "Gene267-tree")</f>
        <v>Gene267-tree</v>
      </c>
      <c r="O1953">
        <v>5</v>
      </c>
      <c r="P1953">
        <v>11</v>
      </c>
      <c r="Q1953">
        <v>5</v>
      </c>
      <c r="R1953">
        <v>11</v>
      </c>
      <c r="S1953">
        <v>0.6875</v>
      </c>
      <c r="T1953" t="s">
        <v>199</v>
      </c>
      <c r="U1953" t="s">
        <v>73</v>
      </c>
      <c r="V1953">
        <v>137353515.63499999</v>
      </c>
      <c r="W1953" t="s">
        <v>267</v>
      </c>
      <c r="X1953">
        <v>11</v>
      </c>
      <c r="Y1953">
        <v>27</v>
      </c>
      <c r="Z1953">
        <v>31</v>
      </c>
      <c r="AA1953">
        <v>0.46551999999999999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8</v>
      </c>
      <c r="AH1953">
        <v>4</v>
      </c>
      <c r="AI1953">
        <v>12</v>
      </c>
      <c r="AJ1953">
        <v>31</v>
      </c>
      <c r="AK1953">
        <v>0.27906999999999998</v>
      </c>
      <c r="AL1953">
        <v>14</v>
      </c>
      <c r="AM1953">
        <v>12</v>
      </c>
      <c r="AN1953">
        <v>48</v>
      </c>
      <c r="AO1953">
        <v>38</v>
      </c>
      <c r="AP1953">
        <v>25</v>
      </c>
      <c r="AQ1953">
        <v>23</v>
      </c>
      <c r="AR1953" t="s">
        <v>1822</v>
      </c>
      <c r="AS1953" t="s">
        <v>1823</v>
      </c>
      <c r="AT1953">
        <v>0.29599999999999999</v>
      </c>
      <c r="AU1953" t="s">
        <v>65</v>
      </c>
      <c r="AV1953">
        <v>73</v>
      </c>
      <c r="AW1953">
        <v>61</v>
      </c>
      <c r="AX1953" t="s">
        <v>1824</v>
      </c>
      <c r="AY1953">
        <v>4.4859999999999997E-2</v>
      </c>
      <c r="AZ1953">
        <v>-1.4499999999999999E-3</v>
      </c>
      <c r="BA1953">
        <v>1.2749999999999999E-2</v>
      </c>
      <c r="BB1953">
        <v>-4.2000000000000002E-4</v>
      </c>
      <c r="BC1953">
        <v>0.28414</v>
      </c>
      <c r="BD1953">
        <v>1</v>
      </c>
      <c r="BE1953" t="s">
        <v>69</v>
      </c>
      <c r="BF1953">
        <v>-0.54600000000000004</v>
      </c>
      <c r="BG1953">
        <v>-1.163</v>
      </c>
    </row>
    <row r="1954" spans="1:59">
      <c r="A1954">
        <v>2</v>
      </c>
      <c r="B1954">
        <v>18</v>
      </c>
      <c r="C1954">
        <v>3</v>
      </c>
      <c r="D1954" t="s">
        <v>25022</v>
      </c>
      <c r="E1954">
        <v>4086</v>
      </c>
      <c r="F1954" t="s">
        <v>24054</v>
      </c>
      <c r="G1954" t="s">
        <v>62</v>
      </c>
      <c r="H1954">
        <v>4054357</v>
      </c>
      <c r="I1954">
        <v>4055466</v>
      </c>
      <c r="J1954" t="s">
        <v>24055</v>
      </c>
      <c r="K1954">
        <v>370</v>
      </c>
      <c r="L1954" t="s">
        <v>1174</v>
      </c>
      <c r="M1954">
        <v>42</v>
      </c>
      <c r="N1954" t="str">
        <f>HYPERLINK("Gene4086-zp_tree_all.dnd", "Gene4086-tree")</f>
        <v>Gene4086-tree</v>
      </c>
      <c r="O1954">
        <v>23</v>
      </c>
      <c r="P1954">
        <v>12</v>
      </c>
      <c r="Q1954">
        <v>4</v>
      </c>
      <c r="R1954">
        <v>12</v>
      </c>
      <c r="S1954">
        <v>0.75</v>
      </c>
      <c r="T1954" t="s">
        <v>690</v>
      </c>
      <c r="U1954" t="s">
        <v>109</v>
      </c>
      <c r="V1954" t="s">
        <v>62</v>
      </c>
      <c r="W1954" t="s">
        <v>62</v>
      </c>
      <c r="X1954">
        <v>10</v>
      </c>
      <c r="Y1954">
        <v>23</v>
      </c>
      <c r="Z1954">
        <v>22</v>
      </c>
      <c r="AA1954">
        <v>0.51110999999999995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6</v>
      </c>
      <c r="AH1954">
        <v>4</v>
      </c>
      <c r="AI1954">
        <v>10</v>
      </c>
      <c r="AJ1954">
        <v>25</v>
      </c>
      <c r="AK1954">
        <v>0.28571000000000002</v>
      </c>
      <c r="AL1954">
        <v>14</v>
      </c>
      <c r="AM1954">
        <v>12</v>
      </c>
      <c r="AN1954">
        <v>73</v>
      </c>
      <c r="AO1954">
        <v>36</v>
      </c>
      <c r="AP1954">
        <v>43</v>
      </c>
      <c r="AQ1954">
        <v>14</v>
      </c>
      <c r="AR1954" t="s">
        <v>24056</v>
      </c>
      <c r="AS1954" t="s">
        <v>24057</v>
      </c>
      <c r="AT1954">
        <v>0.55600000000000005</v>
      </c>
      <c r="AU1954" t="s">
        <v>65</v>
      </c>
      <c r="AV1954">
        <v>116</v>
      </c>
      <c r="AW1954">
        <v>50</v>
      </c>
      <c r="AX1954" t="s">
        <v>24058</v>
      </c>
      <c r="AY1954">
        <v>7.6230000000000006E-2</v>
      </c>
      <c r="AZ1954">
        <v>-3.0100000000000001E-3</v>
      </c>
      <c r="BA1954">
        <v>1.021E-2</v>
      </c>
      <c r="BB1954">
        <v>-4.0000000000000002E-4</v>
      </c>
      <c r="BC1954">
        <v>0.13392000000000001</v>
      </c>
      <c r="BD1954">
        <v>1</v>
      </c>
      <c r="BE1954" t="s">
        <v>69</v>
      </c>
      <c r="BF1954">
        <v>-0.61199999999999999</v>
      </c>
      <c r="BG1954">
        <v>-1.885</v>
      </c>
    </row>
    <row r="1955" spans="1:59">
      <c r="A1955">
        <v>0</v>
      </c>
      <c r="B1955">
        <v>2</v>
      </c>
      <c r="C1955">
        <v>2</v>
      </c>
      <c r="D1955" t="s">
        <v>25022</v>
      </c>
      <c r="E1955">
        <v>4</v>
      </c>
      <c r="F1955" t="s">
        <v>87</v>
      </c>
      <c r="G1955" t="s">
        <v>57</v>
      </c>
      <c r="H1955">
        <v>3437</v>
      </c>
      <c r="I1955">
        <v>4546</v>
      </c>
      <c r="J1955" t="s">
        <v>88</v>
      </c>
      <c r="K1955">
        <v>370</v>
      </c>
      <c r="L1955" t="s">
        <v>59</v>
      </c>
      <c r="M1955">
        <v>49</v>
      </c>
      <c r="N1955" t="str">
        <f>HYPERLINK("Gene4-zp_tree_all.dnd", "Gene4-tree")</f>
        <v>Gene4-tree</v>
      </c>
      <c r="O1955">
        <v>30</v>
      </c>
      <c r="P1955">
        <v>6</v>
      </c>
      <c r="Q1955">
        <v>11</v>
      </c>
      <c r="R1955">
        <v>6</v>
      </c>
      <c r="S1955">
        <v>0.35293999999999998</v>
      </c>
      <c r="T1955" t="s">
        <v>89</v>
      </c>
      <c r="U1955" t="s">
        <v>90</v>
      </c>
      <c r="V1955" t="s">
        <v>62</v>
      </c>
      <c r="W1955" t="s">
        <v>62</v>
      </c>
      <c r="X1955">
        <v>2</v>
      </c>
      <c r="Y1955">
        <v>4</v>
      </c>
      <c r="Z1955">
        <v>8</v>
      </c>
      <c r="AA1955">
        <v>0.33333000000000002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7</v>
      </c>
      <c r="AK1955">
        <v>0</v>
      </c>
      <c r="AL1955">
        <v>16</v>
      </c>
      <c r="AM1955">
        <v>7</v>
      </c>
      <c r="AN1955">
        <v>30</v>
      </c>
      <c r="AO1955">
        <v>7</v>
      </c>
      <c r="AP1955">
        <v>53</v>
      </c>
      <c r="AQ1955">
        <v>7</v>
      </c>
      <c r="AR1955" t="s">
        <v>91</v>
      </c>
      <c r="AS1955" t="s">
        <v>92</v>
      </c>
      <c r="AT1955">
        <v>0.496</v>
      </c>
      <c r="AU1955" t="s">
        <v>65</v>
      </c>
      <c r="AV1955">
        <v>83</v>
      </c>
      <c r="AW1955">
        <v>14</v>
      </c>
      <c r="AX1955" t="s">
        <v>93</v>
      </c>
      <c r="AY1955">
        <v>8.5809999999999997E-2</v>
      </c>
      <c r="AZ1955">
        <v>-6.2599999999999999E-3</v>
      </c>
      <c r="BA1955">
        <v>3.2699999999999999E-3</v>
      </c>
      <c r="BB1955">
        <v>-1.9000000000000001E-4</v>
      </c>
      <c r="BC1955">
        <v>3.8089999999999999E-2</v>
      </c>
      <c r="BD1955">
        <v>1</v>
      </c>
      <c r="BE1955" t="s">
        <v>69</v>
      </c>
      <c r="BF1955">
        <v>-1.446</v>
      </c>
      <c r="BG1955">
        <v>0.19600000000000001</v>
      </c>
    </row>
    <row r="1956" spans="1:59">
      <c r="A1956">
        <v>0</v>
      </c>
      <c r="B1956">
        <v>16</v>
      </c>
      <c r="C1956">
        <v>0</v>
      </c>
      <c r="D1956" t="s">
        <v>25022</v>
      </c>
      <c r="E1956">
        <v>3534</v>
      </c>
      <c r="F1956" t="s">
        <v>20704</v>
      </c>
      <c r="G1956" t="s">
        <v>62</v>
      </c>
      <c r="H1956">
        <v>3496498</v>
      </c>
      <c r="I1956">
        <v>3497610</v>
      </c>
      <c r="J1956" t="s">
        <v>20705</v>
      </c>
      <c r="K1956">
        <v>371</v>
      </c>
      <c r="L1956" t="s">
        <v>108</v>
      </c>
      <c r="M1956">
        <v>44</v>
      </c>
      <c r="N1956" t="str">
        <f>HYPERLINK("Gene3534-zp_tree_all.dnd", "Gene3534-tree")</f>
        <v>Gene3534-tree</v>
      </c>
      <c r="O1956">
        <v>6</v>
      </c>
      <c r="P1956">
        <v>10</v>
      </c>
      <c r="Q1956">
        <v>6</v>
      </c>
      <c r="R1956">
        <v>10</v>
      </c>
      <c r="S1956">
        <v>0.625</v>
      </c>
      <c r="T1956" t="s">
        <v>90</v>
      </c>
      <c r="U1956" t="s">
        <v>117</v>
      </c>
      <c r="V1956" t="s">
        <v>62</v>
      </c>
      <c r="W1956" t="s">
        <v>62</v>
      </c>
      <c r="X1956">
        <v>7</v>
      </c>
      <c r="Y1956">
        <v>16</v>
      </c>
      <c r="Z1956">
        <v>12</v>
      </c>
      <c r="AA1956">
        <v>0.57142999999999999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6</v>
      </c>
      <c r="AH1956">
        <v>0</v>
      </c>
      <c r="AI1956">
        <v>6</v>
      </c>
      <c r="AJ1956">
        <v>14</v>
      </c>
      <c r="AK1956">
        <v>0.3</v>
      </c>
      <c r="AL1956">
        <v>15</v>
      </c>
      <c r="AM1956">
        <v>12</v>
      </c>
      <c r="AN1956">
        <v>37</v>
      </c>
      <c r="AO1956">
        <v>21</v>
      </c>
      <c r="AP1956">
        <v>21</v>
      </c>
      <c r="AQ1956">
        <v>11</v>
      </c>
      <c r="AR1956" t="s">
        <v>20706</v>
      </c>
      <c r="AS1956" t="s">
        <v>20707</v>
      </c>
      <c r="AT1956">
        <v>0.107</v>
      </c>
      <c r="AU1956" t="s">
        <v>65</v>
      </c>
      <c r="AV1956">
        <v>58</v>
      </c>
      <c r="AW1956">
        <v>32</v>
      </c>
      <c r="AX1956" t="s">
        <v>20708</v>
      </c>
      <c r="AY1956">
        <v>4.0169999999999997E-2</v>
      </c>
      <c r="AZ1956">
        <v>-1.32E-3</v>
      </c>
      <c r="BA1956">
        <v>6.2899999999999996E-3</v>
      </c>
      <c r="BB1956">
        <v>-2.9999999999999997E-4</v>
      </c>
      <c r="BC1956">
        <v>0.15665000000000001</v>
      </c>
      <c r="BD1956">
        <v>1</v>
      </c>
      <c r="BE1956" t="s">
        <v>69</v>
      </c>
      <c r="BF1956">
        <v>-0.11600000000000001</v>
      </c>
      <c r="BG1956">
        <v>-0.82</v>
      </c>
    </row>
    <row r="1957" spans="1:59">
      <c r="A1957">
        <v>0</v>
      </c>
      <c r="B1957">
        <v>0</v>
      </c>
      <c r="C1957">
        <v>0</v>
      </c>
      <c r="D1957" t="s">
        <v>25022</v>
      </c>
      <c r="E1957">
        <v>2493</v>
      </c>
      <c r="F1957" t="s">
        <v>14531</v>
      </c>
      <c r="G1957" t="s">
        <v>62</v>
      </c>
      <c r="H1957">
        <v>2485683</v>
      </c>
      <c r="I1957">
        <v>2486795</v>
      </c>
      <c r="J1957" t="s">
        <v>14532</v>
      </c>
      <c r="K1957">
        <v>371</v>
      </c>
      <c r="L1957" t="s">
        <v>108</v>
      </c>
      <c r="M1957">
        <v>44</v>
      </c>
      <c r="N1957" t="str">
        <f>HYPERLINK("Gene2493-zp_tree_all.dnd", "Gene2493-tree")</f>
        <v>Gene2493-tree</v>
      </c>
      <c r="O1957">
        <v>9</v>
      </c>
      <c r="P1957">
        <v>5</v>
      </c>
      <c r="Q1957">
        <v>9</v>
      </c>
      <c r="R1957">
        <v>5</v>
      </c>
      <c r="S1957">
        <v>0.35714000000000001</v>
      </c>
      <c r="T1957" t="s">
        <v>135</v>
      </c>
      <c r="U1957" t="s">
        <v>199</v>
      </c>
      <c r="V1957" t="s">
        <v>62</v>
      </c>
      <c r="W1957" t="s">
        <v>62</v>
      </c>
      <c r="X1957">
        <v>0</v>
      </c>
      <c r="Y1957">
        <v>0</v>
      </c>
      <c r="Z1957">
        <v>10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9</v>
      </c>
      <c r="AK1957">
        <v>0</v>
      </c>
      <c r="AL1957">
        <v>9</v>
      </c>
      <c r="AM1957">
        <v>7</v>
      </c>
      <c r="AN1957">
        <v>17</v>
      </c>
      <c r="AO1957">
        <v>9</v>
      </c>
      <c r="AP1957">
        <v>13</v>
      </c>
      <c r="AQ1957">
        <v>1</v>
      </c>
      <c r="AR1957" t="s">
        <v>14533</v>
      </c>
      <c r="AS1957" t="s">
        <v>14534</v>
      </c>
      <c r="AT1957">
        <v>1.0680000000000001</v>
      </c>
      <c r="AU1957" t="s">
        <v>65</v>
      </c>
      <c r="AV1957">
        <v>30</v>
      </c>
      <c r="AW1957">
        <v>10</v>
      </c>
      <c r="AX1957" t="s">
        <v>14535</v>
      </c>
      <c r="AY1957">
        <v>3.0700000000000002E-2</v>
      </c>
      <c r="AZ1957">
        <v>-1.65E-3</v>
      </c>
      <c r="BA1957">
        <v>2.0200000000000001E-3</v>
      </c>
      <c r="BB1957">
        <v>-1.9000000000000001E-4</v>
      </c>
      <c r="BC1957">
        <v>6.5909999999999996E-2</v>
      </c>
      <c r="BD1957">
        <v>1</v>
      </c>
      <c r="BE1957" t="s">
        <v>69</v>
      </c>
      <c r="BF1957">
        <v>-0.89900000000000002</v>
      </c>
      <c r="BG1957">
        <v>-1.778</v>
      </c>
    </row>
    <row r="1958" spans="1:59">
      <c r="A1958">
        <v>0</v>
      </c>
      <c r="B1958">
        <v>13</v>
      </c>
      <c r="C1958">
        <v>1</v>
      </c>
      <c r="D1958" t="s">
        <v>25022</v>
      </c>
      <c r="E1958">
        <v>3194</v>
      </c>
      <c r="F1958" t="s">
        <v>18592</v>
      </c>
      <c r="G1958" t="s">
        <v>62</v>
      </c>
      <c r="H1958">
        <v>3146241</v>
      </c>
      <c r="I1958">
        <v>3147353</v>
      </c>
      <c r="J1958" t="s">
        <v>18593</v>
      </c>
      <c r="K1958">
        <v>371</v>
      </c>
      <c r="L1958" t="s">
        <v>108</v>
      </c>
      <c r="M1958">
        <v>44</v>
      </c>
      <c r="N1958" t="str">
        <f>HYPERLINK("Gene3194-zp_tree_all.dnd", "Gene3194-tree")</f>
        <v>Gene3194-tree</v>
      </c>
      <c r="O1958">
        <v>3</v>
      </c>
      <c r="P1958">
        <v>11</v>
      </c>
      <c r="Q1958">
        <v>3</v>
      </c>
      <c r="R1958">
        <v>11</v>
      </c>
      <c r="S1958">
        <v>0.78571000000000002</v>
      </c>
      <c r="T1958" t="s">
        <v>324</v>
      </c>
      <c r="U1958" t="s">
        <v>73</v>
      </c>
      <c r="V1958">
        <v>305230034.74400002</v>
      </c>
      <c r="W1958" t="s">
        <v>267</v>
      </c>
      <c r="X1958">
        <v>5</v>
      </c>
      <c r="Y1958">
        <v>14</v>
      </c>
      <c r="Z1958">
        <v>7</v>
      </c>
      <c r="AA1958">
        <v>0.66666999999999998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7</v>
      </c>
      <c r="AH1958">
        <v>1</v>
      </c>
      <c r="AI1958">
        <v>8</v>
      </c>
      <c r="AJ1958">
        <v>7</v>
      </c>
      <c r="AK1958">
        <v>0.53332999999999997</v>
      </c>
      <c r="AL1958">
        <v>12</v>
      </c>
      <c r="AM1958">
        <v>9</v>
      </c>
      <c r="AN1958">
        <v>49</v>
      </c>
      <c r="AO1958">
        <v>15</v>
      </c>
      <c r="AP1958">
        <v>30</v>
      </c>
      <c r="AQ1958">
        <v>6</v>
      </c>
      <c r="AR1958" t="s">
        <v>18594</v>
      </c>
      <c r="AS1958" t="s">
        <v>18595</v>
      </c>
      <c r="AT1958">
        <v>0.54800000000000004</v>
      </c>
      <c r="AU1958" t="s">
        <v>65</v>
      </c>
      <c r="AV1958">
        <v>79</v>
      </c>
      <c r="AW1958">
        <v>21</v>
      </c>
      <c r="AX1958" t="s">
        <v>18596</v>
      </c>
      <c r="AY1958">
        <v>6.429E-2</v>
      </c>
      <c r="AZ1958">
        <v>-2.7799999999999999E-3</v>
      </c>
      <c r="BA1958">
        <v>3.82E-3</v>
      </c>
      <c r="BB1958">
        <v>-2.1000000000000001E-4</v>
      </c>
      <c r="BC1958">
        <v>5.9380000000000002E-2</v>
      </c>
      <c r="BD1958">
        <v>1</v>
      </c>
      <c r="BE1958" t="s">
        <v>69</v>
      </c>
      <c r="BF1958">
        <v>-0.78100000000000003</v>
      </c>
      <c r="BG1958">
        <v>-1.5269999999999999</v>
      </c>
    </row>
    <row r="1959" spans="1:59">
      <c r="A1959">
        <v>0</v>
      </c>
      <c r="B1959">
        <v>0</v>
      </c>
      <c r="C1959">
        <v>0</v>
      </c>
      <c r="D1959" t="s">
        <v>25022</v>
      </c>
      <c r="E1959">
        <v>998</v>
      </c>
      <c r="F1959" t="s">
        <v>6259</v>
      </c>
      <c r="G1959" t="s">
        <v>57</v>
      </c>
      <c r="H1959">
        <v>1038909</v>
      </c>
      <c r="I1959">
        <v>1040021</v>
      </c>
      <c r="J1959" t="s">
        <v>6260</v>
      </c>
      <c r="K1959">
        <v>371</v>
      </c>
      <c r="L1959" t="s">
        <v>108</v>
      </c>
      <c r="M1959">
        <v>44</v>
      </c>
      <c r="N1959" t="str">
        <f>HYPERLINK("Gene998-zp_tree_all.dnd", "Gene998-tree")</f>
        <v>Gene998-tree</v>
      </c>
      <c r="O1959">
        <v>9</v>
      </c>
      <c r="P1959">
        <v>25</v>
      </c>
      <c r="Q1959">
        <v>9</v>
      </c>
      <c r="R1959">
        <v>6</v>
      </c>
      <c r="S1959">
        <v>0.4</v>
      </c>
      <c r="T1959" t="s">
        <v>135</v>
      </c>
      <c r="U1959" t="s">
        <v>965</v>
      </c>
      <c r="V1959">
        <v>4.415</v>
      </c>
      <c r="W1959" t="s">
        <v>65</v>
      </c>
      <c r="X1959">
        <v>0</v>
      </c>
      <c r="Y1959">
        <v>0</v>
      </c>
      <c r="Z1959">
        <v>7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6</v>
      </c>
      <c r="AK1959">
        <v>0</v>
      </c>
      <c r="AL1959">
        <v>14</v>
      </c>
      <c r="AM1959">
        <v>11</v>
      </c>
      <c r="AN1959">
        <v>43</v>
      </c>
      <c r="AO1959">
        <v>5</v>
      </c>
      <c r="AP1959">
        <v>15</v>
      </c>
      <c r="AQ1959">
        <v>2</v>
      </c>
      <c r="AR1959" t="s">
        <v>6261</v>
      </c>
      <c r="AS1959" t="s">
        <v>6262</v>
      </c>
      <c r="AT1959">
        <v>8.5000000000000006E-2</v>
      </c>
      <c r="AU1959" t="s">
        <v>65</v>
      </c>
      <c r="AV1959">
        <v>58</v>
      </c>
      <c r="AW1959">
        <v>7</v>
      </c>
      <c r="AX1959" t="s">
        <v>6263</v>
      </c>
      <c r="AY1959">
        <v>3.737E-2</v>
      </c>
      <c r="AZ1959">
        <v>-1.33E-3</v>
      </c>
      <c r="BA1959">
        <v>1.67E-3</v>
      </c>
      <c r="BB1959">
        <v>-1E-4</v>
      </c>
      <c r="BC1959">
        <v>4.48E-2</v>
      </c>
      <c r="BD1959">
        <v>1</v>
      </c>
      <c r="BE1959" t="s">
        <v>69</v>
      </c>
      <c r="BF1959">
        <v>-0.28100000000000003</v>
      </c>
      <c r="BG1959">
        <v>-1.2270000000000001</v>
      </c>
    </row>
    <row r="1960" spans="1:59">
      <c r="A1960">
        <v>0</v>
      </c>
      <c r="B1960">
        <v>4</v>
      </c>
      <c r="C1960">
        <v>2</v>
      </c>
      <c r="D1960" t="s">
        <v>25022</v>
      </c>
      <c r="E1960">
        <v>2864</v>
      </c>
      <c r="F1960" t="s">
        <v>16460</v>
      </c>
      <c r="G1960" t="s">
        <v>62</v>
      </c>
      <c r="H1960">
        <v>2809416</v>
      </c>
      <c r="I1960">
        <v>2810528</v>
      </c>
      <c r="J1960" t="s">
        <v>16461</v>
      </c>
      <c r="K1960">
        <v>371</v>
      </c>
      <c r="L1960" t="s">
        <v>59</v>
      </c>
      <c r="M1960">
        <v>49</v>
      </c>
      <c r="N1960" t="str">
        <f>HYPERLINK("Gene2864-zp_tree_all.dnd", "Gene2864-tree")</f>
        <v>Gene2864-tree</v>
      </c>
      <c r="O1960">
        <v>9</v>
      </c>
      <c r="P1960">
        <v>28</v>
      </c>
      <c r="Q1960">
        <v>9</v>
      </c>
      <c r="R1960">
        <v>10</v>
      </c>
      <c r="S1960">
        <v>0.52632000000000001</v>
      </c>
      <c r="T1960" t="s">
        <v>135</v>
      </c>
      <c r="U1960" t="s">
        <v>7613</v>
      </c>
      <c r="V1960">
        <v>3.18</v>
      </c>
      <c r="W1960" t="s">
        <v>65</v>
      </c>
      <c r="X1960">
        <v>3</v>
      </c>
      <c r="Y1960">
        <v>6</v>
      </c>
      <c r="Z1960">
        <v>12</v>
      </c>
      <c r="AA1960">
        <v>0.33333000000000002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</v>
      </c>
      <c r="AH1960">
        <v>0</v>
      </c>
      <c r="AI1960">
        <v>2</v>
      </c>
      <c r="AJ1960">
        <v>12</v>
      </c>
      <c r="AK1960">
        <v>0.14285999999999999</v>
      </c>
      <c r="AL1960">
        <v>16</v>
      </c>
      <c r="AM1960">
        <v>16</v>
      </c>
      <c r="AN1960">
        <v>68</v>
      </c>
      <c r="AO1960">
        <v>14</v>
      </c>
      <c r="AP1960">
        <v>73</v>
      </c>
      <c r="AQ1960">
        <v>5</v>
      </c>
      <c r="AR1960" t="s">
        <v>16462</v>
      </c>
      <c r="AS1960" t="s">
        <v>16463</v>
      </c>
      <c r="AT1960">
        <v>1.131</v>
      </c>
      <c r="AU1960" t="s">
        <v>65</v>
      </c>
      <c r="AV1960">
        <v>141</v>
      </c>
      <c r="AW1960">
        <v>19</v>
      </c>
      <c r="AX1960" t="s">
        <v>16464</v>
      </c>
      <c r="AY1960">
        <v>0.11937</v>
      </c>
      <c r="AZ1960">
        <v>-6.4200000000000004E-3</v>
      </c>
      <c r="BA1960">
        <v>3.6099999999999999E-3</v>
      </c>
      <c r="BB1960">
        <v>-1.6000000000000001E-4</v>
      </c>
      <c r="BC1960">
        <v>3.0210000000000001E-2</v>
      </c>
      <c r="BD1960">
        <v>1</v>
      </c>
      <c r="BE1960" t="s">
        <v>69</v>
      </c>
      <c r="BF1960">
        <v>-1.23</v>
      </c>
      <c r="BG1960">
        <v>-1.236</v>
      </c>
    </row>
    <row r="1961" spans="1:59">
      <c r="A1961">
        <v>0</v>
      </c>
      <c r="B1961">
        <v>2</v>
      </c>
      <c r="C1961">
        <v>0</v>
      </c>
      <c r="D1961" t="s">
        <v>25022</v>
      </c>
      <c r="E1961">
        <v>2355</v>
      </c>
      <c r="F1961" t="s">
        <v>13677</v>
      </c>
      <c r="G1961" t="s">
        <v>62</v>
      </c>
      <c r="H1961">
        <v>2369254</v>
      </c>
      <c r="I1961">
        <v>2370366</v>
      </c>
      <c r="J1961" t="s">
        <v>13678</v>
      </c>
      <c r="K1961">
        <v>371</v>
      </c>
      <c r="L1961" t="s">
        <v>13679</v>
      </c>
      <c r="M1961">
        <v>39</v>
      </c>
      <c r="N1961" t="str">
        <f>HYPERLINK("Gene2355-zp_tree_all.dnd", "Gene2355-tree")</f>
        <v>Gene2355-tree</v>
      </c>
      <c r="O1961">
        <v>11</v>
      </c>
      <c r="P1961">
        <v>2</v>
      </c>
      <c r="Q1961">
        <v>11</v>
      </c>
      <c r="R1961">
        <v>2</v>
      </c>
      <c r="S1961">
        <v>0.15384999999999999</v>
      </c>
      <c r="T1961" t="s">
        <v>73</v>
      </c>
      <c r="U1961" t="s">
        <v>81</v>
      </c>
      <c r="V1961" t="s">
        <v>62</v>
      </c>
      <c r="W1961" t="s">
        <v>62</v>
      </c>
      <c r="X1961">
        <v>1</v>
      </c>
      <c r="Y1961">
        <v>2</v>
      </c>
      <c r="Z1961">
        <v>3</v>
      </c>
      <c r="AA1961">
        <v>0.4</v>
      </c>
      <c r="AB1961">
        <v>2</v>
      </c>
      <c r="AC1961">
        <v>0</v>
      </c>
      <c r="AD1961">
        <v>2</v>
      </c>
      <c r="AE1961">
        <v>1</v>
      </c>
      <c r="AF1961">
        <v>0.66666999999999998</v>
      </c>
      <c r="AG1961">
        <v>0</v>
      </c>
      <c r="AH1961">
        <v>0</v>
      </c>
      <c r="AI1961">
        <v>0</v>
      </c>
      <c r="AJ1961">
        <v>2</v>
      </c>
      <c r="AK1961">
        <v>0</v>
      </c>
      <c r="AL1961">
        <v>10</v>
      </c>
      <c r="AM1961">
        <v>10</v>
      </c>
      <c r="AN1961">
        <v>26</v>
      </c>
      <c r="AO1961">
        <v>2</v>
      </c>
      <c r="AP1961">
        <v>26</v>
      </c>
      <c r="AQ1961">
        <v>3</v>
      </c>
      <c r="AR1961" t="s">
        <v>13680</v>
      </c>
      <c r="AS1961" t="s">
        <v>13681</v>
      </c>
      <c r="AT1961">
        <v>0.184</v>
      </c>
      <c r="AU1961" t="s">
        <v>65</v>
      </c>
      <c r="AV1961">
        <v>52</v>
      </c>
      <c r="AW1961">
        <v>5</v>
      </c>
      <c r="AX1961" t="s">
        <v>13682</v>
      </c>
      <c r="AY1961">
        <v>4.4170000000000001E-2</v>
      </c>
      <c r="AZ1961">
        <v>-1.6299999999999999E-3</v>
      </c>
      <c r="BA1961">
        <v>1.23E-3</v>
      </c>
      <c r="BB1961">
        <v>-1.1E-4</v>
      </c>
      <c r="BC1961">
        <v>2.776E-2</v>
      </c>
      <c r="BD1961">
        <v>1</v>
      </c>
      <c r="BE1961" t="s">
        <v>69</v>
      </c>
      <c r="BF1961">
        <v>-0.14099999999999999</v>
      </c>
      <c r="BG1961">
        <v>-0.55500000000000005</v>
      </c>
    </row>
    <row r="1962" spans="1:59">
      <c r="A1962">
        <v>0</v>
      </c>
      <c r="B1962">
        <v>0</v>
      </c>
      <c r="C1962">
        <v>0</v>
      </c>
      <c r="D1962" t="s">
        <v>25022</v>
      </c>
      <c r="E1962">
        <v>2622</v>
      </c>
      <c r="F1962" t="s">
        <v>15359</v>
      </c>
      <c r="G1962" t="s">
        <v>62</v>
      </c>
      <c r="H1962">
        <v>2600217</v>
      </c>
      <c r="I1962">
        <v>2601329</v>
      </c>
      <c r="J1962" t="s">
        <v>15360</v>
      </c>
      <c r="K1962">
        <v>371</v>
      </c>
      <c r="L1962" t="s">
        <v>15361</v>
      </c>
      <c r="M1962">
        <v>48</v>
      </c>
      <c r="N1962" t="str">
        <f>HYPERLINK("Gene2622-zp_tree_all.dnd", "Gene2622-tree")</f>
        <v>Gene2622-tree</v>
      </c>
      <c r="O1962">
        <v>14</v>
      </c>
      <c r="P1962">
        <v>0</v>
      </c>
      <c r="Q1962">
        <v>14</v>
      </c>
      <c r="R1962">
        <v>0</v>
      </c>
      <c r="S1962">
        <v>0</v>
      </c>
      <c r="T1962" t="s">
        <v>543</v>
      </c>
      <c r="U1962" t="s">
        <v>62</v>
      </c>
      <c r="V1962" t="s">
        <v>62</v>
      </c>
      <c r="W1962" t="s">
        <v>62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10</v>
      </c>
      <c r="AM1962">
        <v>10</v>
      </c>
      <c r="AN1962">
        <v>34</v>
      </c>
      <c r="AO1962">
        <v>0</v>
      </c>
      <c r="AP1962">
        <v>34</v>
      </c>
      <c r="AQ1962">
        <v>1</v>
      </c>
      <c r="AR1962" t="s">
        <v>193</v>
      </c>
      <c r="AS1962" t="s">
        <v>15362</v>
      </c>
      <c r="AT1962">
        <v>0.29499999999999998</v>
      </c>
      <c r="AU1962" t="s">
        <v>65</v>
      </c>
      <c r="AV1962">
        <v>68</v>
      </c>
      <c r="AW1962">
        <v>1</v>
      </c>
      <c r="AX1962" t="s">
        <v>15363</v>
      </c>
      <c r="AY1962">
        <v>7.0110000000000006E-2</v>
      </c>
      <c r="AZ1962">
        <v>-5.47E-3</v>
      </c>
      <c r="BA1962">
        <v>2.9999999999999997E-4</v>
      </c>
      <c r="BB1962">
        <v>-5.0000000000000002E-5</v>
      </c>
      <c r="BC1962">
        <v>4.3400000000000001E-3</v>
      </c>
      <c r="BD1962">
        <v>1</v>
      </c>
      <c r="BE1962" t="s">
        <v>69</v>
      </c>
      <c r="BF1962">
        <v>-0.499</v>
      </c>
      <c r="BG1962">
        <v>0.95099999999999996</v>
      </c>
    </row>
    <row r="1963" spans="1:59">
      <c r="A1963">
        <v>0</v>
      </c>
      <c r="B1963">
        <v>0</v>
      </c>
      <c r="C1963">
        <v>0</v>
      </c>
      <c r="D1963" t="s">
        <v>25022</v>
      </c>
      <c r="E1963">
        <v>1517</v>
      </c>
      <c r="F1963" t="s">
        <v>9476</v>
      </c>
      <c r="G1963" t="s">
        <v>57</v>
      </c>
      <c r="H1963">
        <v>1528326</v>
      </c>
      <c r="I1963">
        <v>1529438</v>
      </c>
      <c r="J1963" t="s">
        <v>9477</v>
      </c>
      <c r="K1963">
        <v>371</v>
      </c>
      <c r="L1963" t="s">
        <v>59</v>
      </c>
      <c r="M1963">
        <v>49</v>
      </c>
      <c r="N1963" t="str">
        <f>HYPERLINK("Gene1517-zp_tree_all.dnd", "Gene1517-tree")</f>
        <v>Gene1517-tree</v>
      </c>
      <c r="O1963">
        <v>37</v>
      </c>
      <c r="P1963">
        <v>0</v>
      </c>
      <c r="Q1963">
        <v>18</v>
      </c>
      <c r="R1963">
        <v>0</v>
      </c>
      <c r="S1963">
        <v>0</v>
      </c>
      <c r="T1963" t="s">
        <v>9478</v>
      </c>
      <c r="U1963" t="s">
        <v>62</v>
      </c>
      <c r="V1963" t="s">
        <v>62</v>
      </c>
      <c r="W1963" t="s">
        <v>62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15</v>
      </c>
      <c r="AM1963">
        <v>7</v>
      </c>
      <c r="AN1963">
        <v>36</v>
      </c>
      <c r="AO1963">
        <v>0</v>
      </c>
      <c r="AP1963">
        <v>41</v>
      </c>
      <c r="AQ1963">
        <v>1</v>
      </c>
      <c r="AR1963" t="s">
        <v>193</v>
      </c>
      <c r="AS1963" t="s">
        <v>9479</v>
      </c>
      <c r="AT1963">
        <v>0.38900000000000001</v>
      </c>
      <c r="AU1963" t="s">
        <v>65</v>
      </c>
      <c r="AV1963">
        <v>77</v>
      </c>
      <c r="AW1963">
        <v>1</v>
      </c>
      <c r="AX1963" t="s">
        <v>9480</v>
      </c>
      <c r="AY1963">
        <v>6.4710000000000004E-2</v>
      </c>
      <c r="AZ1963">
        <v>-4.3800000000000002E-3</v>
      </c>
      <c r="BA1963">
        <v>2.4000000000000001E-4</v>
      </c>
      <c r="BB1963">
        <v>-3.0000000000000001E-5</v>
      </c>
      <c r="BC1963">
        <v>3.7599999999999999E-3</v>
      </c>
      <c r="BD1963">
        <v>1</v>
      </c>
      <c r="BE1963" t="s">
        <v>69</v>
      </c>
      <c r="BF1963">
        <v>-1.591</v>
      </c>
      <c r="BG1963">
        <v>-1.1599999999999999</v>
      </c>
    </row>
    <row r="1964" spans="1:59">
      <c r="A1964">
        <v>0</v>
      </c>
      <c r="B1964">
        <v>0</v>
      </c>
      <c r="C1964">
        <v>0</v>
      </c>
      <c r="D1964" t="s">
        <v>25022</v>
      </c>
      <c r="E1964">
        <v>1722</v>
      </c>
      <c r="F1964" t="s">
        <v>10803</v>
      </c>
      <c r="G1964" t="s">
        <v>57</v>
      </c>
      <c r="H1964">
        <v>1732281</v>
      </c>
      <c r="I1964">
        <v>1733393</v>
      </c>
      <c r="J1964" t="s">
        <v>10804</v>
      </c>
      <c r="K1964">
        <v>371</v>
      </c>
      <c r="L1964" t="s">
        <v>6390</v>
      </c>
      <c r="M1964">
        <v>45</v>
      </c>
      <c r="N1964" t="str">
        <f>HYPERLINK("Gene1722-zp_tree_all.dnd", "Gene1722-tree")</f>
        <v>Gene1722-tree</v>
      </c>
      <c r="O1964">
        <v>13</v>
      </c>
      <c r="P1964">
        <v>1</v>
      </c>
      <c r="Q1964">
        <v>13</v>
      </c>
      <c r="R1964">
        <v>1</v>
      </c>
      <c r="S1964">
        <v>7.1429999999999993E-2</v>
      </c>
      <c r="T1964" t="s">
        <v>507</v>
      </c>
      <c r="U1964" t="s">
        <v>175</v>
      </c>
      <c r="V1964" t="s">
        <v>62</v>
      </c>
      <c r="W1964" t="s">
        <v>62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13</v>
      </c>
      <c r="AM1964">
        <v>7</v>
      </c>
      <c r="AN1964">
        <v>66</v>
      </c>
      <c r="AO1964">
        <v>1</v>
      </c>
      <c r="AP1964">
        <v>9</v>
      </c>
      <c r="AQ1964">
        <v>0</v>
      </c>
      <c r="AR1964" t="s">
        <v>10805</v>
      </c>
      <c r="AS1964" t="s">
        <v>193</v>
      </c>
      <c r="AT1964">
        <v>0.22700000000000001</v>
      </c>
      <c r="AU1964" t="s">
        <v>65</v>
      </c>
      <c r="AV1964">
        <v>75</v>
      </c>
      <c r="AW1964">
        <v>1</v>
      </c>
      <c r="AX1964" t="s">
        <v>10806</v>
      </c>
      <c r="AY1964">
        <v>4.7539999999999999E-2</v>
      </c>
      <c r="AZ1964">
        <v>-6.0200000000000002E-3</v>
      </c>
      <c r="BA1964">
        <v>1.7000000000000001E-4</v>
      </c>
      <c r="BB1964">
        <v>-4.0000000000000003E-5</v>
      </c>
      <c r="BC1964">
        <v>3.5100000000000001E-3</v>
      </c>
      <c r="BD1964">
        <v>1</v>
      </c>
      <c r="BE1964" t="s">
        <v>69</v>
      </c>
      <c r="BF1964">
        <v>-1.696</v>
      </c>
      <c r="BG1964">
        <v>-4.6630000000000003</v>
      </c>
    </row>
    <row r="1965" spans="1:59">
      <c r="A1965">
        <v>0</v>
      </c>
      <c r="B1965">
        <v>15</v>
      </c>
      <c r="C1965">
        <v>0</v>
      </c>
      <c r="D1965" t="s">
        <v>25022</v>
      </c>
      <c r="E1965">
        <v>2516</v>
      </c>
      <c r="F1965" t="s">
        <v>14681</v>
      </c>
      <c r="G1965" t="s">
        <v>62</v>
      </c>
      <c r="H1965">
        <v>2509657</v>
      </c>
      <c r="I1965">
        <v>2510772</v>
      </c>
      <c r="J1965" t="s">
        <v>14682</v>
      </c>
      <c r="K1965">
        <v>372</v>
      </c>
      <c r="L1965" t="s">
        <v>108</v>
      </c>
      <c r="M1965">
        <v>44</v>
      </c>
      <c r="N1965" t="str">
        <f>HYPERLINK("Gene2516-zp_tree_all.dnd", "Gene2516-tree")</f>
        <v>Gene2516-tree</v>
      </c>
      <c r="O1965">
        <v>24</v>
      </c>
      <c r="P1965">
        <v>11</v>
      </c>
      <c r="Q1965">
        <v>3</v>
      </c>
      <c r="R1965">
        <v>11</v>
      </c>
      <c r="S1965">
        <v>0.78571000000000002</v>
      </c>
      <c r="T1965" t="s">
        <v>14683</v>
      </c>
      <c r="U1965" t="s">
        <v>73</v>
      </c>
      <c r="V1965">
        <v>7.625</v>
      </c>
      <c r="W1965" t="s">
        <v>267</v>
      </c>
      <c r="X1965">
        <v>6</v>
      </c>
      <c r="Y1965">
        <v>15</v>
      </c>
      <c r="Z1965">
        <v>12</v>
      </c>
      <c r="AA1965">
        <v>0.55556000000000005</v>
      </c>
      <c r="AB1965">
        <v>0</v>
      </c>
      <c r="AC1965">
        <v>0</v>
      </c>
      <c r="AD1965">
        <v>0</v>
      </c>
      <c r="AE1965">
        <v>2</v>
      </c>
      <c r="AF1965">
        <v>0</v>
      </c>
      <c r="AG1965">
        <v>2</v>
      </c>
      <c r="AH1965">
        <v>0</v>
      </c>
      <c r="AI1965">
        <v>2</v>
      </c>
      <c r="AJ1965">
        <v>15</v>
      </c>
      <c r="AK1965">
        <v>0.11765</v>
      </c>
      <c r="AL1965">
        <v>11</v>
      </c>
      <c r="AM1965">
        <v>8</v>
      </c>
      <c r="AN1965">
        <v>31</v>
      </c>
      <c r="AO1965">
        <v>16</v>
      </c>
      <c r="AP1965">
        <v>12</v>
      </c>
      <c r="AQ1965">
        <v>11</v>
      </c>
      <c r="AR1965" t="s">
        <v>14684</v>
      </c>
      <c r="AS1965" t="s">
        <v>14685</v>
      </c>
      <c r="AT1965">
        <v>0.86599999999999999</v>
      </c>
      <c r="AU1965" t="s">
        <v>65</v>
      </c>
      <c r="AV1965">
        <v>43</v>
      </c>
      <c r="AW1965">
        <v>27</v>
      </c>
      <c r="AX1965" t="s">
        <v>14686</v>
      </c>
      <c r="AY1965">
        <v>3.0839999999999999E-2</v>
      </c>
      <c r="AZ1965">
        <v>-1.6800000000000001E-3</v>
      </c>
      <c r="BA1965">
        <v>5.1799999999999997E-3</v>
      </c>
      <c r="BB1965">
        <v>-2.5000000000000001E-4</v>
      </c>
      <c r="BC1965">
        <v>0.16789999999999999</v>
      </c>
      <c r="BD1965">
        <v>1</v>
      </c>
      <c r="BE1965" t="s">
        <v>69</v>
      </c>
      <c r="BF1965">
        <v>-1.2889999999999999</v>
      </c>
      <c r="BG1965">
        <v>-2.0179999999999998</v>
      </c>
    </row>
    <row r="1966" spans="1:59">
      <c r="A1966">
        <v>0</v>
      </c>
      <c r="B1966">
        <v>24</v>
      </c>
      <c r="C1966">
        <v>7</v>
      </c>
      <c r="D1966" t="s">
        <v>25022</v>
      </c>
      <c r="E1966">
        <v>3382</v>
      </c>
      <c r="F1966" t="s">
        <v>19777</v>
      </c>
      <c r="G1966" t="s">
        <v>62</v>
      </c>
      <c r="H1966">
        <v>3352792</v>
      </c>
      <c r="I1966">
        <v>3353907</v>
      </c>
      <c r="J1966" t="s">
        <v>19778</v>
      </c>
      <c r="K1966">
        <v>372</v>
      </c>
      <c r="L1966" t="s">
        <v>108</v>
      </c>
      <c r="M1966">
        <v>44</v>
      </c>
      <c r="N1966" t="str">
        <f>HYPERLINK("Gene3382-zp_tree_all.dnd", "Gene3382-tree")</f>
        <v>Gene3382-tree</v>
      </c>
      <c r="O1966">
        <v>2</v>
      </c>
      <c r="P1966">
        <v>12</v>
      </c>
      <c r="Q1966">
        <v>2</v>
      </c>
      <c r="R1966">
        <v>12</v>
      </c>
      <c r="S1966">
        <v>0.85714000000000001</v>
      </c>
      <c r="T1966" t="s">
        <v>81</v>
      </c>
      <c r="U1966" t="s">
        <v>109</v>
      </c>
      <c r="V1966" t="s">
        <v>62</v>
      </c>
      <c r="W1966" t="s">
        <v>62</v>
      </c>
      <c r="X1966">
        <v>11</v>
      </c>
      <c r="Y1966">
        <v>31</v>
      </c>
      <c r="Z1966">
        <v>31</v>
      </c>
      <c r="AA1966">
        <v>0.5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8</v>
      </c>
      <c r="AH1966">
        <v>3</v>
      </c>
      <c r="AI1966">
        <v>11</v>
      </c>
      <c r="AJ1966">
        <v>36</v>
      </c>
      <c r="AK1966">
        <v>0.23404</v>
      </c>
      <c r="AL1966">
        <v>13</v>
      </c>
      <c r="AM1966">
        <v>10</v>
      </c>
      <c r="AN1966">
        <v>92</v>
      </c>
      <c r="AO1966">
        <v>48</v>
      </c>
      <c r="AP1966">
        <v>59</v>
      </c>
      <c r="AQ1966">
        <v>16</v>
      </c>
      <c r="AR1966" t="s">
        <v>19779</v>
      </c>
      <c r="AS1966" t="s">
        <v>19780</v>
      </c>
      <c r="AT1966">
        <v>0.92600000000000005</v>
      </c>
      <c r="AU1966" t="s">
        <v>65</v>
      </c>
      <c r="AV1966">
        <v>151</v>
      </c>
      <c r="AW1966">
        <v>64</v>
      </c>
      <c r="AX1966" t="s">
        <v>19781</v>
      </c>
      <c r="AY1966">
        <v>0.10383000000000001</v>
      </c>
      <c r="AZ1966">
        <v>-5.4200000000000003E-3</v>
      </c>
      <c r="BA1966">
        <v>1.2030000000000001E-2</v>
      </c>
      <c r="BB1966">
        <v>-5.4000000000000001E-4</v>
      </c>
      <c r="BC1966">
        <v>0.1159</v>
      </c>
      <c r="BD1966">
        <v>1</v>
      </c>
      <c r="BE1966" t="s">
        <v>69</v>
      </c>
      <c r="BF1966">
        <v>-1.3819999999999999</v>
      </c>
      <c r="BG1966">
        <v>-0.71399999999999997</v>
      </c>
    </row>
    <row r="1967" spans="1:59">
      <c r="A1967">
        <v>0</v>
      </c>
      <c r="B1967">
        <v>3</v>
      </c>
      <c r="C1967">
        <v>0</v>
      </c>
      <c r="D1967" t="s">
        <v>25022</v>
      </c>
      <c r="E1967">
        <v>3030</v>
      </c>
      <c r="F1967" t="s">
        <v>17518</v>
      </c>
      <c r="G1967" t="s">
        <v>62</v>
      </c>
      <c r="H1967">
        <v>2981154</v>
      </c>
      <c r="I1967">
        <v>2982269</v>
      </c>
      <c r="J1967" t="s">
        <v>17519</v>
      </c>
      <c r="K1967">
        <v>372</v>
      </c>
      <c r="L1967" t="s">
        <v>59</v>
      </c>
      <c r="M1967">
        <v>49</v>
      </c>
      <c r="N1967" t="str">
        <f>HYPERLINK("Gene3030-zp_tree_all.dnd", "Gene3030-tree")</f>
        <v>Gene3030-tree</v>
      </c>
      <c r="O1967">
        <v>12</v>
      </c>
      <c r="P1967">
        <v>5</v>
      </c>
      <c r="Q1967">
        <v>12</v>
      </c>
      <c r="R1967">
        <v>5</v>
      </c>
      <c r="S1967">
        <v>0.29411999999999999</v>
      </c>
      <c r="T1967" t="s">
        <v>109</v>
      </c>
      <c r="U1967" t="s">
        <v>199</v>
      </c>
      <c r="V1967" t="s">
        <v>62</v>
      </c>
      <c r="W1967" t="s">
        <v>62</v>
      </c>
      <c r="X1967">
        <v>1</v>
      </c>
      <c r="Y1967">
        <v>3</v>
      </c>
      <c r="Z1967">
        <v>13</v>
      </c>
      <c r="AA1967">
        <v>0.1875</v>
      </c>
      <c r="AB1967">
        <v>0</v>
      </c>
      <c r="AC1967">
        <v>0</v>
      </c>
      <c r="AD1967">
        <v>0</v>
      </c>
      <c r="AE1967">
        <v>3</v>
      </c>
      <c r="AF1967">
        <v>0</v>
      </c>
      <c r="AG1967">
        <v>3</v>
      </c>
      <c r="AH1967">
        <v>0</v>
      </c>
      <c r="AI1967">
        <v>3</v>
      </c>
      <c r="AJ1967">
        <v>4</v>
      </c>
      <c r="AK1967">
        <v>0.42857000000000001</v>
      </c>
      <c r="AL1967">
        <v>13</v>
      </c>
      <c r="AM1967">
        <v>8</v>
      </c>
      <c r="AN1967">
        <v>31</v>
      </c>
      <c r="AO1967">
        <v>7</v>
      </c>
      <c r="AP1967">
        <v>64</v>
      </c>
      <c r="AQ1967">
        <v>10</v>
      </c>
      <c r="AR1967" t="s">
        <v>17520</v>
      </c>
      <c r="AS1967" t="s">
        <v>17521</v>
      </c>
      <c r="AT1967">
        <v>0.34399999999999997</v>
      </c>
      <c r="AU1967" t="s">
        <v>65</v>
      </c>
      <c r="AV1967">
        <v>95</v>
      </c>
      <c r="AW1967">
        <v>17</v>
      </c>
      <c r="AX1967" t="s">
        <v>17522</v>
      </c>
      <c r="AY1967">
        <v>9.7350000000000006E-2</v>
      </c>
      <c r="AZ1967">
        <v>-7.3200000000000001E-3</v>
      </c>
      <c r="BA1967">
        <v>4.4999999999999997E-3</v>
      </c>
      <c r="BB1967">
        <v>-2.9999999999999997E-4</v>
      </c>
      <c r="BC1967">
        <v>4.6249999999999999E-2</v>
      </c>
      <c r="BD1967">
        <v>1</v>
      </c>
      <c r="BE1967" t="s">
        <v>69</v>
      </c>
      <c r="BF1967">
        <v>-1.542</v>
      </c>
      <c r="BG1967">
        <v>0.246</v>
      </c>
    </row>
    <row r="1968" spans="1:59">
      <c r="A1968">
        <v>0</v>
      </c>
      <c r="B1968">
        <v>14</v>
      </c>
      <c r="C1968">
        <v>0</v>
      </c>
      <c r="D1968" t="s">
        <v>25022</v>
      </c>
      <c r="E1968">
        <v>3923</v>
      </c>
      <c r="F1968" t="s">
        <v>23017</v>
      </c>
      <c r="G1968" t="s">
        <v>62</v>
      </c>
      <c r="H1968">
        <v>3887744</v>
      </c>
      <c r="I1968">
        <v>3888862</v>
      </c>
      <c r="J1968" t="s">
        <v>23018</v>
      </c>
      <c r="K1968">
        <v>373</v>
      </c>
      <c r="L1968" t="s">
        <v>108</v>
      </c>
      <c r="M1968">
        <v>44</v>
      </c>
      <c r="N1968" t="str">
        <f>HYPERLINK("Gene3923-zp_tree_all.dnd", "Gene3923-tree")</f>
        <v>Gene3923-tree</v>
      </c>
      <c r="O1968">
        <v>4</v>
      </c>
      <c r="P1968">
        <v>10</v>
      </c>
      <c r="Q1968">
        <v>4</v>
      </c>
      <c r="R1968">
        <v>10</v>
      </c>
      <c r="S1968">
        <v>0.71428999999999998</v>
      </c>
      <c r="T1968" t="s">
        <v>61</v>
      </c>
      <c r="U1968" t="s">
        <v>117</v>
      </c>
      <c r="V1968" t="s">
        <v>62</v>
      </c>
      <c r="W1968" t="s">
        <v>62</v>
      </c>
      <c r="X1968">
        <v>5</v>
      </c>
      <c r="Y1968">
        <v>14</v>
      </c>
      <c r="Z1968">
        <v>8</v>
      </c>
      <c r="AA1968">
        <v>0.63636000000000004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9</v>
      </c>
      <c r="AH1968">
        <v>0</v>
      </c>
      <c r="AI1968">
        <v>9</v>
      </c>
      <c r="AJ1968">
        <v>8</v>
      </c>
      <c r="AK1968">
        <v>0.52941000000000005</v>
      </c>
      <c r="AL1968">
        <v>13</v>
      </c>
      <c r="AM1968">
        <v>9</v>
      </c>
      <c r="AN1968">
        <v>42</v>
      </c>
      <c r="AO1968">
        <v>16</v>
      </c>
      <c r="AP1968">
        <v>15</v>
      </c>
      <c r="AQ1968">
        <v>6</v>
      </c>
      <c r="AR1968" t="s">
        <v>23019</v>
      </c>
      <c r="AS1968" t="s">
        <v>23020</v>
      </c>
      <c r="AT1968">
        <v>9.4E-2</v>
      </c>
      <c r="AU1968" t="s">
        <v>65</v>
      </c>
      <c r="AV1968">
        <v>57</v>
      </c>
      <c r="AW1968">
        <v>22</v>
      </c>
      <c r="AX1968" t="s">
        <v>23021</v>
      </c>
      <c r="AY1968">
        <v>3.669E-2</v>
      </c>
      <c r="AZ1968">
        <v>-1.5299999999999999E-3</v>
      </c>
      <c r="BA1968">
        <v>3.8500000000000001E-3</v>
      </c>
      <c r="BB1968">
        <v>-1.9000000000000001E-4</v>
      </c>
      <c r="BC1968">
        <v>0.10498</v>
      </c>
      <c r="BD1968">
        <v>1</v>
      </c>
      <c r="BE1968" t="s">
        <v>69</v>
      </c>
      <c r="BF1968">
        <v>-1.296</v>
      </c>
      <c r="BG1968">
        <v>-1.9119999999999999</v>
      </c>
    </row>
    <row r="1969" spans="1:59">
      <c r="A1969">
        <v>2</v>
      </c>
      <c r="B1969">
        <v>8</v>
      </c>
      <c r="C1969">
        <v>5</v>
      </c>
      <c r="D1969" t="s">
        <v>25022</v>
      </c>
      <c r="E1969">
        <v>3128</v>
      </c>
      <c r="F1969" t="s">
        <v>18154</v>
      </c>
      <c r="G1969" t="s">
        <v>62</v>
      </c>
      <c r="H1969">
        <v>3081134</v>
      </c>
      <c r="I1969">
        <v>3082252</v>
      </c>
      <c r="J1969" t="s">
        <v>18155</v>
      </c>
      <c r="K1969">
        <v>373</v>
      </c>
      <c r="L1969" t="s">
        <v>108</v>
      </c>
      <c r="M1969">
        <v>44</v>
      </c>
      <c r="N1969" t="str">
        <f>HYPERLINK("Gene3128-zp_tree_all.dnd", "Gene3128-tree")</f>
        <v>Gene3128-tree</v>
      </c>
      <c r="O1969">
        <v>3</v>
      </c>
      <c r="P1969">
        <v>12</v>
      </c>
      <c r="Q1969">
        <v>3</v>
      </c>
      <c r="R1969">
        <v>12</v>
      </c>
      <c r="S1969">
        <v>0.8</v>
      </c>
      <c r="T1969" t="s">
        <v>324</v>
      </c>
      <c r="U1969" t="s">
        <v>109</v>
      </c>
      <c r="V1969" t="s">
        <v>62</v>
      </c>
      <c r="W1969" t="s">
        <v>62</v>
      </c>
      <c r="X1969">
        <v>6</v>
      </c>
      <c r="Y1969">
        <v>15</v>
      </c>
      <c r="Z1969">
        <v>20</v>
      </c>
      <c r="AA1969">
        <v>0.42857000000000001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</v>
      </c>
      <c r="AH1969">
        <v>0</v>
      </c>
      <c r="AI1969">
        <v>2</v>
      </c>
      <c r="AJ1969">
        <v>22</v>
      </c>
      <c r="AK1969">
        <v>8.3330000000000001E-2</v>
      </c>
      <c r="AL1969">
        <v>14</v>
      </c>
      <c r="AM1969">
        <v>12</v>
      </c>
      <c r="AN1969">
        <v>59</v>
      </c>
      <c r="AO1969">
        <v>19</v>
      </c>
      <c r="AP1969">
        <v>57</v>
      </c>
      <c r="AQ1969">
        <v>16</v>
      </c>
      <c r="AR1969" t="s">
        <v>18156</v>
      </c>
      <c r="AS1969" t="s">
        <v>18157</v>
      </c>
      <c r="AT1969">
        <v>0.24299999999999999</v>
      </c>
      <c r="AU1969" t="s">
        <v>65</v>
      </c>
      <c r="AV1969">
        <v>116</v>
      </c>
      <c r="AW1969">
        <v>35</v>
      </c>
      <c r="AX1969" t="s">
        <v>18158</v>
      </c>
      <c r="AY1969">
        <v>7.6259999999999994E-2</v>
      </c>
      <c r="AZ1969">
        <v>-2.2200000000000002E-3</v>
      </c>
      <c r="BA1969">
        <v>7.7299999999999999E-3</v>
      </c>
      <c r="BB1969">
        <v>-2.9E-4</v>
      </c>
      <c r="BC1969">
        <v>0.10135</v>
      </c>
      <c r="BD1969">
        <v>1</v>
      </c>
      <c r="BE1969" t="s">
        <v>69</v>
      </c>
      <c r="BF1969">
        <v>0.16300000000000001</v>
      </c>
      <c r="BG1969">
        <v>-0.85299999999999998</v>
      </c>
    </row>
    <row r="1970" spans="1:59">
      <c r="A1970">
        <v>0</v>
      </c>
      <c r="B1970">
        <v>10</v>
      </c>
      <c r="C1970">
        <v>2</v>
      </c>
      <c r="D1970" t="s">
        <v>25022</v>
      </c>
      <c r="E1970">
        <v>2619</v>
      </c>
      <c r="F1970" t="s">
        <v>15340</v>
      </c>
      <c r="G1970" t="s">
        <v>62</v>
      </c>
      <c r="H1970">
        <v>2597505</v>
      </c>
      <c r="I1970">
        <v>2598623</v>
      </c>
      <c r="J1970" t="s">
        <v>15341</v>
      </c>
      <c r="K1970">
        <v>373</v>
      </c>
      <c r="L1970" t="s">
        <v>3859</v>
      </c>
      <c r="M1970">
        <v>42</v>
      </c>
      <c r="N1970" t="str">
        <f>HYPERLINK("Gene2619-zp_tree_all.dnd", "Gene2619-tree")</f>
        <v>Gene2619-tree</v>
      </c>
      <c r="O1970">
        <v>5</v>
      </c>
      <c r="P1970">
        <v>11</v>
      </c>
      <c r="Q1970">
        <v>5</v>
      </c>
      <c r="R1970">
        <v>11</v>
      </c>
      <c r="S1970">
        <v>0.6875</v>
      </c>
      <c r="T1970" t="s">
        <v>199</v>
      </c>
      <c r="U1970" t="s">
        <v>73</v>
      </c>
      <c r="V1970">
        <v>137353515.63499999</v>
      </c>
      <c r="W1970" t="s">
        <v>267</v>
      </c>
      <c r="X1970">
        <v>5</v>
      </c>
      <c r="Y1970">
        <v>12</v>
      </c>
      <c r="Z1970">
        <v>13</v>
      </c>
      <c r="AA1970">
        <v>0.48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4</v>
      </c>
      <c r="AH1970">
        <v>4</v>
      </c>
      <c r="AI1970">
        <v>8</v>
      </c>
      <c r="AJ1970">
        <v>10</v>
      </c>
      <c r="AK1970">
        <v>0.44444</v>
      </c>
      <c r="AL1970">
        <v>14</v>
      </c>
      <c r="AM1970">
        <v>12</v>
      </c>
      <c r="AN1970">
        <v>31</v>
      </c>
      <c r="AO1970">
        <v>17</v>
      </c>
      <c r="AP1970">
        <v>34</v>
      </c>
      <c r="AQ1970">
        <v>8</v>
      </c>
      <c r="AR1970" t="s">
        <v>15342</v>
      </c>
      <c r="AS1970" t="s">
        <v>15343</v>
      </c>
      <c r="AT1970">
        <v>0.92100000000000004</v>
      </c>
      <c r="AU1970" t="s">
        <v>65</v>
      </c>
      <c r="AV1970">
        <v>65</v>
      </c>
      <c r="AW1970">
        <v>25</v>
      </c>
      <c r="AX1970" t="s">
        <v>15344</v>
      </c>
      <c r="AY1970">
        <v>4.9979999999999997E-2</v>
      </c>
      <c r="AZ1970">
        <v>-1.65E-3</v>
      </c>
      <c r="BA1970">
        <v>4.4600000000000004E-3</v>
      </c>
      <c r="BB1970">
        <v>-1.9000000000000001E-4</v>
      </c>
      <c r="BC1970">
        <v>8.9279999999999998E-2</v>
      </c>
      <c r="BD1970">
        <v>1</v>
      </c>
      <c r="BE1970" t="s">
        <v>69</v>
      </c>
      <c r="BF1970">
        <v>-0.23899999999999999</v>
      </c>
      <c r="BG1970">
        <v>-1.06</v>
      </c>
    </row>
    <row r="1971" spans="1:59">
      <c r="A1971">
        <v>2</v>
      </c>
      <c r="B1971">
        <v>8</v>
      </c>
      <c r="C1971">
        <v>0</v>
      </c>
      <c r="D1971" t="s">
        <v>25022</v>
      </c>
      <c r="E1971">
        <v>376</v>
      </c>
      <c r="F1971" t="s">
        <v>2554</v>
      </c>
      <c r="G1971" t="s">
        <v>57</v>
      </c>
      <c r="H1971">
        <v>422982</v>
      </c>
      <c r="I1971">
        <v>424100</v>
      </c>
      <c r="J1971" t="s">
        <v>2541</v>
      </c>
      <c r="K1971">
        <v>373</v>
      </c>
      <c r="L1971" t="s">
        <v>2555</v>
      </c>
      <c r="M1971">
        <v>34</v>
      </c>
      <c r="N1971" t="str">
        <f>HYPERLINK("Gene376-zp_tree_all.dnd", "Gene376-tree")</f>
        <v>Gene376-tree</v>
      </c>
      <c r="O1971">
        <v>4</v>
      </c>
      <c r="P1971">
        <v>6</v>
      </c>
      <c r="Q1971">
        <v>4</v>
      </c>
      <c r="R1971">
        <v>6</v>
      </c>
      <c r="S1971">
        <v>0.6</v>
      </c>
      <c r="T1971" t="s">
        <v>61</v>
      </c>
      <c r="U1971" t="s">
        <v>90</v>
      </c>
      <c r="V1971" t="s">
        <v>62</v>
      </c>
      <c r="W1971" t="s">
        <v>62</v>
      </c>
      <c r="X1971">
        <v>4</v>
      </c>
      <c r="Y1971">
        <v>10</v>
      </c>
      <c r="Z1971">
        <v>18</v>
      </c>
      <c r="AA1971">
        <v>0.35714000000000001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  <c r="AH1971">
        <v>3</v>
      </c>
      <c r="AI1971">
        <v>5</v>
      </c>
      <c r="AJ1971">
        <v>11</v>
      </c>
      <c r="AK1971">
        <v>0.3125</v>
      </c>
      <c r="AL1971">
        <v>10</v>
      </c>
      <c r="AM1971">
        <v>7</v>
      </c>
      <c r="AN1971">
        <v>31</v>
      </c>
      <c r="AO1971">
        <v>17</v>
      </c>
      <c r="AP1971">
        <v>60</v>
      </c>
      <c r="AQ1971">
        <v>13</v>
      </c>
      <c r="AR1971" t="s">
        <v>2556</v>
      </c>
      <c r="AS1971" t="s">
        <v>2557</v>
      </c>
      <c r="AT1971">
        <v>0.85699999999999998</v>
      </c>
      <c r="AU1971" t="s">
        <v>65</v>
      </c>
      <c r="AV1971">
        <v>91</v>
      </c>
      <c r="AW1971">
        <v>30</v>
      </c>
      <c r="AX1971" t="s">
        <v>2558</v>
      </c>
      <c r="AY1971">
        <v>0.10299999999999999</v>
      </c>
      <c r="AZ1971">
        <v>-9.4199999999999996E-3</v>
      </c>
      <c r="BA1971">
        <v>8.94E-3</v>
      </c>
      <c r="BB1971">
        <v>-1.0300000000000001E-3</v>
      </c>
      <c r="BC1971">
        <v>8.6819999999999994E-2</v>
      </c>
      <c r="BD1971">
        <v>1</v>
      </c>
      <c r="BE1971" t="s">
        <v>69</v>
      </c>
      <c r="BF1971">
        <v>-0.372</v>
      </c>
      <c r="BG1971">
        <v>0.53600000000000003</v>
      </c>
    </row>
    <row r="1972" spans="1:59">
      <c r="A1972">
        <v>0</v>
      </c>
      <c r="B1972">
        <v>9</v>
      </c>
      <c r="C1972">
        <v>0</v>
      </c>
      <c r="D1972" t="s">
        <v>25022</v>
      </c>
      <c r="E1972">
        <v>406</v>
      </c>
      <c r="F1972" t="s">
        <v>2753</v>
      </c>
      <c r="G1972" t="s">
        <v>57</v>
      </c>
      <c r="H1972">
        <v>451618</v>
      </c>
      <c r="I1972">
        <v>452736</v>
      </c>
      <c r="J1972" t="s">
        <v>2754</v>
      </c>
      <c r="K1972">
        <v>373</v>
      </c>
      <c r="L1972" t="s">
        <v>1392</v>
      </c>
      <c r="M1972">
        <v>43</v>
      </c>
      <c r="N1972" t="str">
        <f>HYPERLINK("Gene406-zp_tree_all.dnd", "Gene406-tree")</f>
        <v>Gene406-tree</v>
      </c>
      <c r="O1972">
        <v>5</v>
      </c>
      <c r="P1972">
        <v>10</v>
      </c>
      <c r="Q1972">
        <v>5</v>
      </c>
      <c r="R1972">
        <v>10</v>
      </c>
      <c r="S1972">
        <v>0.66666999999999998</v>
      </c>
      <c r="T1972" t="s">
        <v>199</v>
      </c>
      <c r="U1972" t="s">
        <v>117</v>
      </c>
      <c r="V1972" t="s">
        <v>62</v>
      </c>
      <c r="W1972" t="s">
        <v>62</v>
      </c>
      <c r="X1972">
        <v>4</v>
      </c>
      <c r="Y1972">
        <v>9</v>
      </c>
      <c r="Z1972">
        <v>12</v>
      </c>
      <c r="AA1972">
        <v>0.42857000000000001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11</v>
      </c>
      <c r="AK1972">
        <v>0</v>
      </c>
      <c r="AL1972">
        <v>13</v>
      </c>
      <c r="AM1972">
        <v>11</v>
      </c>
      <c r="AN1972">
        <v>45</v>
      </c>
      <c r="AO1972">
        <v>9</v>
      </c>
      <c r="AP1972">
        <v>40</v>
      </c>
      <c r="AQ1972">
        <v>12</v>
      </c>
      <c r="AR1972" t="s">
        <v>2755</v>
      </c>
      <c r="AS1972" t="s">
        <v>2756</v>
      </c>
      <c r="AT1972">
        <v>0.97599999999999998</v>
      </c>
      <c r="AU1972" t="s">
        <v>65</v>
      </c>
      <c r="AV1972">
        <v>85</v>
      </c>
      <c r="AW1972">
        <v>21</v>
      </c>
      <c r="AX1972" t="s">
        <v>2757</v>
      </c>
      <c r="AY1972">
        <v>6.5809999999999994E-2</v>
      </c>
      <c r="AZ1972">
        <v>-2.47E-3</v>
      </c>
      <c r="BA1972">
        <v>5.0499999999999998E-3</v>
      </c>
      <c r="BB1972">
        <v>-2.3000000000000001E-4</v>
      </c>
      <c r="BC1972">
        <v>7.6749999999999999E-2</v>
      </c>
      <c r="BD1972">
        <v>1</v>
      </c>
      <c r="BE1972" t="s">
        <v>69</v>
      </c>
      <c r="BF1972">
        <v>0.23699999999999999</v>
      </c>
      <c r="BG1972">
        <v>0.107</v>
      </c>
    </row>
    <row r="1973" spans="1:59">
      <c r="A1973">
        <v>0</v>
      </c>
      <c r="B1973">
        <v>4</v>
      </c>
      <c r="C1973">
        <v>0</v>
      </c>
      <c r="D1973" t="s">
        <v>25022</v>
      </c>
      <c r="E1973">
        <v>283</v>
      </c>
      <c r="F1973" t="s">
        <v>1931</v>
      </c>
      <c r="G1973" t="s">
        <v>57</v>
      </c>
      <c r="H1973">
        <v>304430</v>
      </c>
      <c r="I1973">
        <v>305548</v>
      </c>
      <c r="J1973" t="s">
        <v>1932</v>
      </c>
      <c r="K1973">
        <v>373</v>
      </c>
      <c r="L1973" t="s">
        <v>1933</v>
      </c>
      <c r="M1973">
        <v>39</v>
      </c>
      <c r="N1973" t="str">
        <f>HYPERLINK("Gene283-zp_tree_all.dnd", "Gene283-tree")</f>
        <v>Gene283-tree</v>
      </c>
      <c r="O1973">
        <v>8</v>
      </c>
      <c r="P1973">
        <v>8</v>
      </c>
      <c r="Q1973">
        <v>8</v>
      </c>
      <c r="R1973">
        <v>8</v>
      </c>
      <c r="S1973">
        <v>0.5</v>
      </c>
      <c r="T1973" t="s">
        <v>136</v>
      </c>
      <c r="U1973" t="s">
        <v>136</v>
      </c>
      <c r="V1973" t="s">
        <v>62</v>
      </c>
      <c r="W1973" t="s">
        <v>62</v>
      </c>
      <c r="X1973">
        <v>2</v>
      </c>
      <c r="Y1973">
        <v>4</v>
      </c>
      <c r="Z1973">
        <v>12</v>
      </c>
      <c r="AA1973">
        <v>0.25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</v>
      </c>
      <c r="AH1973">
        <v>0</v>
      </c>
      <c r="AI1973">
        <v>2</v>
      </c>
      <c r="AJ1973">
        <v>12</v>
      </c>
      <c r="AK1973">
        <v>0.14285999999999999</v>
      </c>
      <c r="AL1973">
        <v>12</v>
      </c>
      <c r="AM1973">
        <v>11</v>
      </c>
      <c r="AN1973">
        <v>39</v>
      </c>
      <c r="AO1973">
        <v>14</v>
      </c>
      <c r="AP1973">
        <v>21</v>
      </c>
      <c r="AQ1973">
        <v>2</v>
      </c>
      <c r="AR1973" t="s">
        <v>1934</v>
      </c>
      <c r="AS1973" t="s">
        <v>1935</v>
      </c>
      <c r="AT1973">
        <v>0.75900000000000001</v>
      </c>
      <c r="AU1973" t="s">
        <v>65</v>
      </c>
      <c r="AV1973">
        <v>60</v>
      </c>
      <c r="AW1973">
        <v>16</v>
      </c>
      <c r="AX1973" t="s">
        <v>1936</v>
      </c>
      <c r="AY1973">
        <v>3.9559999999999998E-2</v>
      </c>
      <c r="AZ1973">
        <v>-1.9E-3</v>
      </c>
      <c r="BA1973">
        <v>2.5600000000000002E-3</v>
      </c>
      <c r="BB1973">
        <v>-2.1000000000000001E-4</v>
      </c>
      <c r="BC1973">
        <v>6.4769999999999994E-2</v>
      </c>
      <c r="BD1973">
        <v>1</v>
      </c>
      <c r="BE1973" t="s">
        <v>69</v>
      </c>
      <c r="BF1973">
        <v>-1.1120000000000001</v>
      </c>
      <c r="BG1973">
        <v>-2.109</v>
      </c>
    </row>
    <row r="1974" spans="1:59">
      <c r="A1974">
        <v>0</v>
      </c>
      <c r="B1974">
        <v>5</v>
      </c>
      <c r="C1974">
        <v>0</v>
      </c>
      <c r="D1974" t="s">
        <v>25022</v>
      </c>
      <c r="E1974">
        <v>1227</v>
      </c>
      <c r="F1974" t="s">
        <v>7711</v>
      </c>
      <c r="G1974" t="s">
        <v>57</v>
      </c>
      <c r="H1974">
        <v>1258492</v>
      </c>
      <c r="I1974">
        <v>1259610</v>
      </c>
      <c r="J1974" t="s">
        <v>7712</v>
      </c>
      <c r="K1974">
        <v>373</v>
      </c>
      <c r="L1974" t="s">
        <v>108</v>
      </c>
      <c r="M1974">
        <v>44</v>
      </c>
      <c r="N1974" t="str">
        <f>HYPERLINK("Gene1227-zp_tree_all.dnd", "Gene1227-tree")</f>
        <v>Gene1227-tree</v>
      </c>
      <c r="O1974">
        <v>8</v>
      </c>
      <c r="P1974">
        <v>7</v>
      </c>
      <c r="Q1974">
        <v>8</v>
      </c>
      <c r="R1974">
        <v>7</v>
      </c>
      <c r="S1974">
        <v>0.46666999999999997</v>
      </c>
      <c r="T1974" t="s">
        <v>136</v>
      </c>
      <c r="U1974" t="s">
        <v>152</v>
      </c>
      <c r="V1974" t="s">
        <v>62</v>
      </c>
      <c r="W1974" t="s">
        <v>62</v>
      </c>
      <c r="X1974">
        <v>2</v>
      </c>
      <c r="Y1974">
        <v>5</v>
      </c>
      <c r="Z1974">
        <v>6</v>
      </c>
      <c r="AA1974">
        <v>0.45455000000000001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8</v>
      </c>
      <c r="AK1974">
        <v>0</v>
      </c>
      <c r="AL1974">
        <v>13</v>
      </c>
      <c r="AM1974">
        <v>12</v>
      </c>
      <c r="AN1974">
        <v>29</v>
      </c>
      <c r="AO1974">
        <v>8</v>
      </c>
      <c r="AP1974">
        <v>25</v>
      </c>
      <c r="AQ1974">
        <v>3</v>
      </c>
      <c r="AR1974" t="s">
        <v>7713</v>
      </c>
      <c r="AS1974" t="s">
        <v>7714</v>
      </c>
      <c r="AT1974">
        <v>0.66</v>
      </c>
      <c r="AU1974" t="s">
        <v>65</v>
      </c>
      <c r="AV1974">
        <v>54</v>
      </c>
      <c r="AW1974">
        <v>11</v>
      </c>
      <c r="AX1974" t="s">
        <v>7715</v>
      </c>
      <c r="AY1974">
        <v>4.4049999999999999E-2</v>
      </c>
      <c r="AZ1974">
        <v>-1.65E-3</v>
      </c>
      <c r="BA1974">
        <v>1.9300000000000001E-3</v>
      </c>
      <c r="BB1974">
        <v>-1.3999999999999999E-4</v>
      </c>
      <c r="BC1974">
        <v>4.3779999999999999E-2</v>
      </c>
      <c r="BD1974">
        <v>1</v>
      </c>
      <c r="BE1974" t="s">
        <v>69</v>
      </c>
      <c r="BF1974">
        <v>-0.95099999999999996</v>
      </c>
      <c r="BG1974">
        <v>-1.4219999999999999</v>
      </c>
    </row>
    <row r="1975" spans="1:59">
      <c r="A1975">
        <v>0</v>
      </c>
      <c r="B1975">
        <v>10</v>
      </c>
      <c r="C1975">
        <v>0</v>
      </c>
      <c r="D1975" t="s">
        <v>25022</v>
      </c>
      <c r="E1975">
        <v>1476</v>
      </c>
      <c r="F1975" t="s">
        <v>9225</v>
      </c>
      <c r="G1975" t="s">
        <v>57</v>
      </c>
      <c r="H1975">
        <v>1489753</v>
      </c>
      <c r="I1975">
        <v>1490874</v>
      </c>
      <c r="J1975" t="s">
        <v>9226</v>
      </c>
      <c r="K1975">
        <v>374</v>
      </c>
      <c r="L1975" t="s">
        <v>108</v>
      </c>
      <c r="M1975">
        <v>44</v>
      </c>
      <c r="N1975" t="str">
        <f>HYPERLINK("Gene1476-zp_tree_all.dnd", "Gene1476-tree")</f>
        <v>Gene1476-tree</v>
      </c>
      <c r="O1975">
        <v>10</v>
      </c>
      <c r="P1975">
        <v>5</v>
      </c>
      <c r="Q1975">
        <v>10</v>
      </c>
      <c r="R1975">
        <v>5</v>
      </c>
      <c r="S1975">
        <v>0.33333000000000002</v>
      </c>
      <c r="T1975" t="s">
        <v>117</v>
      </c>
      <c r="U1975" t="s">
        <v>199</v>
      </c>
      <c r="V1975" t="s">
        <v>62</v>
      </c>
      <c r="W1975" t="s">
        <v>62</v>
      </c>
      <c r="X1975">
        <v>4</v>
      </c>
      <c r="Y1975">
        <v>10</v>
      </c>
      <c r="Z1975">
        <v>4</v>
      </c>
      <c r="AA1975">
        <v>0.71428999999999998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5</v>
      </c>
      <c r="AK1975">
        <v>0</v>
      </c>
      <c r="AL1975">
        <v>14</v>
      </c>
      <c r="AM1975">
        <v>11</v>
      </c>
      <c r="AN1975">
        <v>27</v>
      </c>
      <c r="AO1975">
        <v>5</v>
      </c>
      <c r="AP1975">
        <v>25</v>
      </c>
      <c r="AQ1975">
        <v>9</v>
      </c>
      <c r="AR1975" t="s">
        <v>9227</v>
      </c>
      <c r="AS1975" t="s">
        <v>9228</v>
      </c>
      <c r="AT1975">
        <v>1.0189999999999999</v>
      </c>
      <c r="AU1975" t="s">
        <v>65</v>
      </c>
      <c r="AV1975">
        <v>52</v>
      </c>
      <c r="AW1975">
        <v>14</v>
      </c>
      <c r="AX1975" t="s">
        <v>9229</v>
      </c>
      <c r="AY1975">
        <v>4.2029999999999998E-2</v>
      </c>
      <c r="AZ1975">
        <v>-1.75E-3</v>
      </c>
      <c r="BA1975">
        <v>2.97E-3</v>
      </c>
      <c r="BB1975">
        <v>-1.3999999999999999E-4</v>
      </c>
      <c r="BC1975">
        <v>7.0620000000000002E-2</v>
      </c>
      <c r="BD1975">
        <v>1</v>
      </c>
      <c r="BE1975" t="s">
        <v>69</v>
      </c>
      <c r="BF1975">
        <v>-3.9E-2</v>
      </c>
      <c r="BG1975">
        <v>-0.48899999999999999</v>
      </c>
    </row>
    <row r="1976" spans="1:59">
      <c r="A1976">
        <v>0</v>
      </c>
      <c r="B1976">
        <v>6</v>
      </c>
      <c r="C1976">
        <v>2</v>
      </c>
      <c r="D1976" t="s">
        <v>25022</v>
      </c>
      <c r="E1976">
        <v>270</v>
      </c>
      <c r="F1976" t="s">
        <v>1841</v>
      </c>
      <c r="G1976" t="s">
        <v>57</v>
      </c>
      <c r="H1976">
        <v>290915</v>
      </c>
      <c r="I1976">
        <v>292039</v>
      </c>
      <c r="J1976" t="s">
        <v>1842</v>
      </c>
      <c r="K1976">
        <v>375</v>
      </c>
      <c r="L1976" t="s">
        <v>108</v>
      </c>
      <c r="M1976">
        <v>44</v>
      </c>
      <c r="N1976" t="str">
        <f>HYPERLINK("Gene270-zp_tree_all.dnd", "Gene270-tree")</f>
        <v>Gene270-tree</v>
      </c>
      <c r="O1976">
        <v>5</v>
      </c>
      <c r="P1976">
        <v>10</v>
      </c>
      <c r="Q1976">
        <v>5</v>
      </c>
      <c r="R1976">
        <v>10</v>
      </c>
      <c r="S1976">
        <v>0.66666999999999998</v>
      </c>
      <c r="T1976" t="s">
        <v>199</v>
      </c>
      <c r="U1976" t="s">
        <v>117</v>
      </c>
      <c r="V1976" t="s">
        <v>62</v>
      </c>
      <c r="W1976" t="s">
        <v>62</v>
      </c>
      <c r="X1976">
        <v>4</v>
      </c>
      <c r="Y1976">
        <v>8</v>
      </c>
      <c r="Z1976">
        <v>12</v>
      </c>
      <c r="AA1976">
        <v>0.4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</v>
      </c>
      <c r="AH1976">
        <v>2</v>
      </c>
      <c r="AI1976">
        <v>4</v>
      </c>
      <c r="AJ1976">
        <v>11</v>
      </c>
      <c r="AK1976">
        <v>0.26667000000000002</v>
      </c>
      <c r="AL1976">
        <v>12</v>
      </c>
      <c r="AM1976">
        <v>10</v>
      </c>
      <c r="AN1976">
        <v>25</v>
      </c>
      <c r="AO1976">
        <v>16</v>
      </c>
      <c r="AP1976">
        <v>22</v>
      </c>
      <c r="AQ1976">
        <v>5</v>
      </c>
      <c r="AR1976" t="s">
        <v>1843</v>
      </c>
      <c r="AS1976" t="s">
        <v>1844</v>
      </c>
      <c r="AT1976">
        <v>0.98</v>
      </c>
      <c r="AU1976" t="s">
        <v>65</v>
      </c>
      <c r="AV1976">
        <v>47</v>
      </c>
      <c r="AW1976">
        <v>21</v>
      </c>
      <c r="AX1976" t="s">
        <v>1845</v>
      </c>
      <c r="AY1976">
        <v>3.6510000000000001E-2</v>
      </c>
      <c r="AZ1976">
        <v>-1.57E-3</v>
      </c>
      <c r="BA1976">
        <v>4.3099999999999996E-3</v>
      </c>
      <c r="BB1976">
        <v>-2.0000000000000001E-4</v>
      </c>
      <c r="BC1976">
        <v>0.1181</v>
      </c>
      <c r="BD1976">
        <v>1</v>
      </c>
      <c r="BE1976" t="s">
        <v>69</v>
      </c>
      <c r="BF1976">
        <v>-0.56799999999999995</v>
      </c>
      <c r="BG1976">
        <v>-1.0780000000000001</v>
      </c>
    </row>
    <row r="1977" spans="1:59">
      <c r="A1977">
        <v>0</v>
      </c>
      <c r="B1977">
        <v>0</v>
      </c>
      <c r="C1977">
        <v>0</v>
      </c>
      <c r="D1977" t="s">
        <v>25022</v>
      </c>
      <c r="E1977">
        <v>2649</v>
      </c>
      <c r="F1977" t="s">
        <v>15523</v>
      </c>
      <c r="G1977" t="s">
        <v>62</v>
      </c>
      <c r="H1977">
        <v>2624788</v>
      </c>
      <c r="I1977">
        <v>2625912</v>
      </c>
      <c r="J1977" t="s">
        <v>15524</v>
      </c>
      <c r="K1977">
        <v>375</v>
      </c>
      <c r="L1977" t="s">
        <v>125</v>
      </c>
      <c r="M1977">
        <v>48</v>
      </c>
      <c r="N1977" t="str">
        <f>HYPERLINK("Gene2649-zp_tree_all.dnd", "Gene2649-tree")</f>
        <v>Gene2649-tree</v>
      </c>
      <c r="O1977">
        <v>16</v>
      </c>
      <c r="P1977">
        <v>3</v>
      </c>
      <c r="Q1977">
        <v>16</v>
      </c>
      <c r="R1977">
        <v>3</v>
      </c>
      <c r="S1977">
        <v>0.15789</v>
      </c>
      <c r="T1977" t="s">
        <v>60</v>
      </c>
      <c r="U1977" t="s">
        <v>324</v>
      </c>
      <c r="V1977" t="s">
        <v>62</v>
      </c>
      <c r="W1977" t="s">
        <v>62</v>
      </c>
      <c r="X1977">
        <v>0</v>
      </c>
      <c r="Y1977">
        <v>0</v>
      </c>
      <c r="Z1977">
        <v>9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3</v>
      </c>
      <c r="AK1977">
        <v>0</v>
      </c>
      <c r="AL1977">
        <v>17</v>
      </c>
      <c r="AM1977">
        <v>13</v>
      </c>
      <c r="AN1977">
        <v>45</v>
      </c>
      <c r="AO1977">
        <v>3</v>
      </c>
      <c r="AP1977">
        <v>68</v>
      </c>
      <c r="AQ1977">
        <v>6</v>
      </c>
      <c r="AR1977" t="s">
        <v>15525</v>
      </c>
      <c r="AS1977" t="s">
        <v>15526</v>
      </c>
      <c r="AT1977">
        <v>9.2999999999999999E-2</v>
      </c>
      <c r="AU1977" t="s">
        <v>65</v>
      </c>
      <c r="AV1977">
        <v>113</v>
      </c>
      <c r="AW1977">
        <v>9</v>
      </c>
      <c r="AX1977" t="s">
        <v>15527</v>
      </c>
      <c r="AY1977">
        <v>0.10206999999999999</v>
      </c>
      <c r="AZ1977">
        <v>-6.8199999999999997E-3</v>
      </c>
      <c r="BA1977">
        <v>2.2599999999999999E-3</v>
      </c>
      <c r="BB1977">
        <v>-2.0000000000000001E-4</v>
      </c>
      <c r="BC1977">
        <v>2.214E-2</v>
      </c>
      <c r="BD1977">
        <v>1</v>
      </c>
      <c r="BE1977" t="s">
        <v>69</v>
      </c>
      <c r="BF1977">
        <v>-1.3069999999999999</v>
      </c>
      <c r="BG1977">
        <v>-0.44800000000000001</v>
      </c>
    </row>
    <row r="1978" spans="1:59">
      <c r="A1978">
        <v>0</v>
      </c>
      <c r="B1978">
        <v>8</v>
      </c>
      <c r="C1978">
        <v>4</v>
      </c>
      <c r="D1978" t="s">
        <v>25022</v>
      </c>
      <c r="E1978">
        <v>2585</v>
      </c>
      <c r="F1978" t="s">
        <v>15132</v>
      </c>
      <c r="G1978" t="s">
        <v>62</v>
      </c>
      <c r="H1978">
        <v>2567363</v>
      </c>
      <c r="I1978">
        <v>2568490</v>
      </c>
      <c r="J1978" t="s">
        <v>15133</v>
      </c>
      <c r="K1978">
        <v>376</v>
      </c>
      <c r="L1978" t="s">
        <v>108</v>
      </c>
      <c r="M1978">
        <v>44</v>
      </c>
      <c r="N1978" t="str">
        <f>HYPERLINK("Gene2585-zp_tree_all.dnd", "Gene2585-tree")</f>
        <v>Gene2585-tree</v>
      </c>
      <c r="O1978">
        <v>7</v>
      </c>
      <c r="P1978">
        <v>7</v>
      </c>
      <c r="Q1978">
        <v>7</v>
      </c>
      <c r="R1978">
        <v>7</v>
      </c>
      <c r="S1978">
        <v>0.5</v>
      </c>
      <c r="T1978" t="s">
        <v>152</v>
      </c>
      <c r="U1978" t="s">
        <v>152</v>
      </c>
      <c r="V1978" t="s">
        <v>62</v>
      </c>
      <c r="W1978" t="s">
        <v>62</v>
      </c>
      <c r="X1978">
        <v>5</v>
      </c>
      <c r="Y1978">
        <v>12</v>
      </c>
      <c r="Z1978">
        <v>18</v>
      </c>
      <c r="AA1978">
        <v>0.4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4</v>
      </c>
      <c r="AH1978">
        <v>0</v>
      </c>
      <c r="AI1978">
        <v>4</v>
      </c>
      <c r="AJ1978">
        <v>19</v>
      </c>
      <c r="AK1978">
        <v>0.17391000000000001</v>
      </c>
      <c r="AL1978">
        <v>12</v>
      </c>
      <c r="AM1978">
        <v>7</v>
      </c>
      <c r="AN1978">
        <v>27</v>
      </c>
      <c r="AO1978">
        <v>24</v>
      </c>
      <c r="AP1978">
        <v>8</v>
      </c>
      <c r="AQ1978">
        <v>8</v>
      </c>
      <c r="AR1978" t="s">
        <v>15134</v>
      </c>
      <c r="AS1978" t="s">
        <v>15135</v>
      </c>
      <c r="AT1978">
        <v>0.11700000000000001</v>
      </c>
      <c r="AU1978" t="s">
        <v>65</v>
      </c>
      <c r="AV1978">
        <v>35</v>
      </c>
      <c r="AW1978">
        <v>32</v>
      </c>
      <c r="AX1978" t="s">
        <v>15136</v>
      </c>
      <c r="AY1978">
        <v>2.392E-2</v>
      </c>
      <c r="AZ1978">
        <v>-1.9599999999999999E-3</v>
      </c>
      <c r="BA1978">
        <v>6.6600000000000001E-3</v>
      </c>
      <c r="BB1978">
        <v>-5.2999999999999998E-4</v>
      </c>
      <c r="BC1978">
        <v>0.27833999999999998</v>
      </c>
      <c r="BD1978">
        <v>1</v>
      </c>
      <c r="BE1978" t="s">
        <v>69</v>
      </c>
      <c r="BF1978">
        <v>-1.492</v>
      </c>
      <c r="BG1978">
        <v>-3.528</v>
      </c>
    </row>
    <row r="1979" spans="1:59">
      <c r="A1979">
        <v>0</v>
      </c>
      <c r="B1979">
        <v>18</v>
      </c>
      <c r="C1979">
        <v>4</v>
      </c>
      <c r="D1979" t="s">
        <v>25022</v>
      </c>
      <c r="E1979">
        <v>719</v>
      </c>
      <c r="F1979" t="s">
        <v>4454</v>
      </c>
      <c r="G1979" t="s">
        <v>57</v>
      </c>
      <c r="H1979">
        <v>750959</v>
      </c>
      <c r="I1979">
        <v>752086</v>
      </c>
      <c r="J1979" t="s">
        <v>1932</v>
      </c>
      <c r="K1979">
        <v>376</v>
      </c>
      <c r="L1979" t="s">
        <v>108</v>
      </c>
      <c r="M1979">
        <v>44</v>
      </c>
      <c r="N1979" t="str">
        <f>HYPERLINK("Gene719-zp_tree_all.dnd", "Gene719-tree")</f>
        <v>Gene719-tree</v>
      </c>
      <c r="O1979">
        <v>5</v>
      </c>
      <c r="P1979">
        <v>12</v>
      </c>
      <c r="Q1979">
        <v>5</v>
      </c>
      <c r="R1979">
        <v>12</v>
      </c>
      <c r="S1979">
        <v>0.70587999999999995</v>
      </c>
      <c r="T1979" t="s">
        <v>199</v>
      </c>
      <c r="U1979" t="s">
        <v>109</v>
      </c>
      <c r="V1979" t="s">
        <v>62</v>
      </c>
      <c r="W1979" t="s">
        <v>62</v>
      </c>
      <c r="X1979">
        <v>8</v>
      </c>
      <c r="Y1979">
        <v>22</v>
      </c>
      <c r="Z1979">
        <v>24</v>
      </c>
      <c r="AA1979">
        <v>0.47826000000000002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4</v>
      </c>
      <c r="AH1979">
        <v>1</v>
      </c>
      <c r="AI1979">
        <v>5</v>
      </c>
      <c r="AJ1979">
        <v>28</v>
      </c>
      <c r="AK1979">
        <v>0.15151999999999999</v>
      </c>
      <c r="AL1979">
        <v>16</v>
      </c>
      <c r="AM1979">
        <v>13</v>
      </c>
      <c r="AN1979">
        <v>77</v>
      </c>
      <c r="AO1979">
        <v>33</v>
      </c>
      <c r="AP1979">
        <v>55</v>
      </c>
      <c r="AQ1979">
        <v>17</v>
      </c>
      <c r="AR1979" t="s">
        <v>4455</v>
      </c>
      <c r="AS1979" t="s">
        <v>4456</v>
      </c>
      <c r="AT1979">
        <v>0.56899999999999995</v>
      </c>
      <c r="AU1979" t="s">
        <v>65</v>
      </c>
      <c r="AV1979">
        <v>132</v>
      </c>
      <c r="AW1979">
        <v>50</v>
      </c>
      <c r="AX1979" t="s">
        <v>4457</v>
      </c>
      <c r="AY1979">
        <v>8.5300000000000001E-2</v>
      </c>
      <c r="AZ1979">
        <v>-2.31E-3</v>
      </c>
      <c r="BA1979">
        <v>9.1000000000000004E-3</v>
      </c>
      <c r="BB1979">
        <v>-3.4000000000000002E-4</v>
      </c>
      <c r="BC1979">
        <v>0.1067</v>
      </c>
      <c r="BD1979">
        <v>1</v>
      </c>
      <c r="BE1979" t="s">
        <v>69</v>
      </c>
      <c r="BF1979">
        <v>-0.19900000000000001</v>
      </c>
      <c r="BG1979">
        <v>-0.52700000000000002</v>
      </c>
    </row>
    <row r="1980" spans="1:59">
      <c r="A1980">
        <v>0</v>
      </c>
      <c r="B1980">
        <v>10</v>
      </c>
      <c r="C1980">
        <v>2</v>
      </c>
      <c r="D1980" t="s">
        <v>25022</v>
      </c>
      <c r="E1980">
        <v>780</v>
      </c>
      <c r="F1980" t="s">
        <v>4850</v>
      </c>
      <c r="G1980" t="s">
        <v>57</v>
      </c>
      <c r="H1980">
        <v>816113</v>
      </c>
      <c r="I1980">
        <v>817240</v>
      </c>
      <c r="J1980" t="s">
        <v>4851</v>
      </c>
      <c r="K1980">
        <v>376</v>
      </c>
      <c r="L1980" t="s">
        <v>108</v>
      </c>
      <c r="M1980">
        <v>44</v>
      </c>
      <c r="N1980" t="str">
        <f>HYPERLINK("Gene780-zp_tree_all.dnd", "Gene780-tree")</f>
        <v>Gene780-tree</v>
      </c>
      <c r="O1980">
        <v>6</v>
      </c>
      <c r="P1980">
        <v>8</v>
      </c>
      <c r="Q1980">
        <v>6</v>
      </c>
      <c r="R1980">
        <v>8</v>
      </c>
      <c r="S1980">
        <v>0.57142999999999999</v>
      </c>
      <c r="T1980" t="s">
        <v>90</v>
      </c>
      <c r="U1980" t="s">
        <v>136</v>
      </c>
      <c r="V1980" t="s">
        <v>62</v>
      </c>
      <c r="W1980" t="s">
        <v>62</v>
      </c>
      <c r="X1980">
        <v>6</v>
      </c>
      <c r="Y1980">
        <v>12</v>
      </c>
      <c r="Z1980">
        <v>14</v>
      </c>
      <c r="AA1980">
        <v>0.46154000000000001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15</v>
      </c>
      <c r="AK1980">
        <v>0</v>
      </c>
      <c r="AL1980">
        <v>12</v>
      </c>
      <c r="AM1980">
        <v>11</v>
      </c>
      <c r="AN1980">
        <v>41</v>
      </c>
      <c r="AO1980">
        <v>15</v>
      </c>
      <c r="AP1980">
        <v>63</v>
      </c>
      <c r="AQ1980">
        <v>11</v>
      </c>
      <c r="AR1980" t="s">
        <v>4852</v>
      </c>
      <c r="AS1980" t="s">
        <v>4853</v>
      </c>
      <c r="AT1980">
        <v>0.435</v>
      </c>
      <c r="AU1980" t="s">
        <v>65</v>
      </c>
      <c r="AV1980">
        <v>104</v>
      </c>
      <c r="AW1980">
        <v>26</v>
      </c>
      <c r="AX1980" t="s">
        <v>4854</v>
      </c>
      <c r="AY1980">
        <v>9.0440000000000006E-2</v>
      </c>
      <c r="AZ1980">
        <v>-3.5000000000000001E-3</v>
      </c>
      <c r="BA1980">
        <v>5.3899999999999998E-3</v>
      </c>
      <c r="BB1980">
        <v>-2.5999999999999998E-4</v>
      </c>
      <c r="BC1980">
        <v>5.9580000000000001E-2</v>
      </c>
      <c r="BD1980">
        <v>1</v>
      </c>
      <c r="BE1980" t="s">
        <v>69</v>
      </c>
      <c r="BF1980">
        <v>0.28599999999999998</v>
      </c>
      <c r="BG1980">
        <v>-0.82199999999999995</v>
      </c>
    </row>
    <row r="1981" spans="1:59">
      <c r="A1981">
        <v>0</v>
      </c>
      <c r="B1981">
        <v>2</v>
      </c>
      <c r="C1981">
        <v>0</v>
      </c>
      <c r="D1981" t="s">
        <v>25022</v>
      </c>
      <c r="E1981">
        <v>920</v>
      </c>
      <c r="F1981" t="s">
        <v>5754</v>
      </c>
      <c r="G1981" t="s">
        <v>57</v>
      </c>
      <c r="H1981">
        <v>964027</v>
      </c>
      <c r="I1981">
        <v>965154</v>
      </c>
      <c r="J1981" t="s">
        <v>5755</v>
      </c>
      <c r="K1981">
        <v>376</v>
      </c>
      <c r="L1981" t="s">
        <v>108</v>
      </c>
      <c r="M1981">
        <v>44</v>
      </c>
      <c r="N1981" t="str">
        <f>HYPERLINK("Gene920-zp_tree_all.dnd", "Gene920-tree")</f>
        <v>Gene920-tree</v>
      </c>
      <c r="O1981">
        <v>5</v>
      </c>
      <c r="P1981">
        <v>10</v>
      </c>
      <c r="Q1981">
        <v>5</v>
      </c>
      <c r="R1981">
        <v>10</v>
      </c>
      <c r="S1981">
        <v>0.66666999999999998</v>
      </c>
      <c r="T1981" t="s">
        <v>199</v>
      </c>
      <c r="U1981" t="s">
        <v>117</v>
      </c>
      <c r="V1981" t="s">
        <v>62</v>
      </c>
      <c r="W1981" t="s">
        <v>62</v>
      </c>
      <c r="X1981">
        <v>1</v>
      </c>
      <c r="Y1981">
        <v>2</v>
      </c>
      <c r="Z1981">
        <v>14</v>
      </c>
      <c r="AA1981">
        <v>0.125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13</v>
      </c>
      <c r="AK1981">
        <v>0</v>
      </c>
      <c r="AL1981">
        <v>13</v>
      </c>
      <c r="AM1981">
        <v>10</v>
      </c>
      <c r="AN1981">
        <v>51</v>
      </c>
      <c r="AO1981">
        <v>13</v>
      </c>
      <c r="AP1981">
        <v>36</v>
      </c>
      <c r="AQ1981">
        <v>4</v>
      </c>
      <c r="AR1981" t="s">
        <v>5756</v>
      </c>
      <c r="AS1981" t="s">
        <v>5757</v>
      </c>
      <c r="AT1981">
        <v>1.05</v>
      </c>
      <c r="AU1981" t="s">
        <v>65</v>
      </c>
      <c r="AV1981">
        <v>87</v>
      </c>
      <c r="AW1981">
        <v>17</v>
      </c>
      <c r="AX1981" t="s">
        <v>5758</v>
      </c>
      <c r="AY1981">
        <v>5.8319999999999997E-2</v>
      </c>
      <c r="AZ1981">
        <v>-2.63E-3</v>
      </c>
      <c r="BA1981">
        <v>3.3500000000000001E-3</v>
      </c>
      <c r="BB1981">
        <v>-1.7000000000000001E-4</v>
      </c>
      <c r="BC1981">
        <v>5.7520000000000002E-2</v>
      </c>
      <c r="BD1981">
        <v>1</v>
      </c>
      <c r="BE1981" t="s">
        <v>69</v>
      </c>
      <c r="BF1981">
        <v>-1.161</v>
      </c>
      <c r="BG1981">
        <v>-1.7569999999999999</v>
      </c>
    </row>
    <row r="1982" spans="1:59">
      <c r="A1982">
        <v>0</v>
      </c>
      <c r="B1982">
        <v>5</v>
      </c>
      <c r="C1982">
        <v>0</v>
      </c>
      <c r="D1982" t="s">
        <v>25022</v>
      </c>
      <c r="E1982">
        <v>3207</v>
      </c>
      <c r="F1982" t="s">
        <v>18676</v>
      </c>
      <c r="G1982" t="s">
        <v>62</v>
      </c>
      <c r="H1982">
        <v>3160764</v>
      </c>
      <c r="I1982">
        <v>3161894</v>
      </c>
      <c r="J1982" t="s">
        <v>3688</v>
      </c>
      <c r="K1982">
        <v>377</v>
      </c>
      <c r="L1982" t="s">
        <v>108</v>
      </c>
      <c r="M1982">
        <v>44</v>
      </c>
      <c r="N1982" t="str">
        <f>HYPERLINK("Gene3207-zp_tree_all.dnd", "Gene3207-tree")</f>
        <v>Gene3207-tree</v>
      </c>
      <c r="O1982">
        <v>6</v>
      </c>
      <c r="P1982">
        <v>10</v>
      </c>
      <c r="Q1982">
        <v>6</v>
      </c>
      <c r="R1982">
        <v>10</v>
      </c>
      <c r="S1982">
        <v>0.625</v>
      </c>
      <c r="T1982" t="s">
        <v>90</v>
      </c>
      <c r="U1982" t="s">
        <v>117</v>
      </c>
      <c r="V1982" t="s">
        <v>62</v>
      </c>
      <c r="W1982" t="s">
        <v>62</v>
      </c>
      <c r="X1982">
        <v>1</v>
      </c>
      <c r="Y1982">
        <v>5</v>
      </c>
      <c r="Z1982">
        <v>15</v>
      </c>
      <c r="AA1982">
        <v>0.25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2</v>
      </c>
      <c r="AH1982">
        <v>0</v>
      </c>
      <c r="AI1982">
        <v>2</v>
      </c>
      <c r="AJ1982">
        <v>12</v>
      </c>
      <c r="AK1982">
        <v>0.14285999999999999</v>
      </c>
      <c r="AL1982">
        <v>14</v>
      </c>
      <c r="AM1982">
        <v>7</v>
      </c>
      <c r="AN1982">
        <v>17</v>
      </c>
      <c r="AO1982">
        <v>14</v>
      </c>
      <c r="AP1982">
        <v>14</v>
      </c>
      <c r="AQ1982">
        <v>6</v>
      </c>
      <c r="AR1982" t="s">
        <v>18677</v>
      </c>
      <c r="AS1982" t="s">
        <v>18678</v>
      </c>
      <c r="AT1982">
        <v>0.755</v>
      </c>
      <c r="AU1982" t="s">
        <v>65</v>
      </c>
      <c r="AV1982">
        <v>31</v>
      </c>
      <c r="AW1982">
        <v>20</v>
      </c>
      <c r="AX1982" t="s">
        <v>18679</v>
      </c>
      <c r="AY1982">
        <v>2.1389999999999999E-2</v>
      </c>
      <c r="AZ1982">
        <v>-9.6000000000000002E-4</v>
      </c>
      <c r="BA1982">
        <v>3.4299999999999999E-3</v>
      </c>
      <c r="BB1982">
        <v>-2.1000000000000001E-4</v>
      </c>
      <c r="BC1982">
        <v>0.16034000000000001</v>
      </c>
      <c r="BD1982">
        <v>1</v>
      </c>
      <c r="BE1982" t="s">
        <v>69</v>
      </c>
      <c r="BF1982">
        <v>-0.47299999999999998</v>
      </c>
      <c r="BG1982">
        <v>-0.77500000000000002</v>
      </c>
    </row>
    <row r="1983" spans="1:59">
      <c r="A1983">
        <v>0</v>
      </c>
      <c r="B1983">
        <v>2</v>
      </c>
      <c r="C1983">
        <v>2</v>
      </c>
      <c r="D1983" t="s">
        <v>25022</v>
      </c>
      <c r="E1983">
        <v>1492</v>
      </c>
      <c r="F1983" t="s">
        <v>9328</v>
      </c>
      <c r="G1983" t="s">
        <v>57</v>
      </c>
      <c r="H1983">
        <v>1504282</v>
      </c>
      <c r="I1983">
        <v>1505412</v>
      </c>
      <c r="J1983" t="s">
        <v>9329</v>
      </c>
      <c r="K1983">
        <v>377</v>
      </c>
      <c r="L1983" t="s">
        <v>108</v>
      </c>
      <c r="M1983">
        <v>44</v>
      </c>
      <c r="N1983" t="str">
        <f>HYPERLINK("Gene1492-zp_tree_all.dnd", "Gene1492-tree")</f>
        <v>Gene1492-tree</v>
      </c>
      <c r="O1983">
        <v>5</v>
      </c>
      <c r="P1983">
        <v>8</v>
      </c>
      <c r="Q1983">
        <v>5</v>
      </c>
      <c r="R1983">
        <v>8</v>
      </c>
      <c r="S1983">
        <v>0.61538000000000004</v>
      </c>
      <c r="T1983" t="s">
        <v>199</v>
      </c>
      <c r="U1983" t="s">
        <v>136</v>
      </c>
      <c r="V1983" t="s">
        <v>62</v>
      </c>
      <c r="W1983" t="s">
        <v>62</v>
      </c>
      <c r="X1983">
        <v>2</v>
      </c>
      <c r="Y1983">
        <v>4</v>
      </c>
      <c r="Z1983">
        <v>10</v>
      </c>
      <c r="AA1983">
        <v>0.28571000000000002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11</v>
      </c>
      <c r="AK1983">
        <v>0</v>
      </c>
      <c r="AL1983">
        <v>10</v>
      </c>
      <c r="AM1983">
        <v>9</v>
      </c>
      <c r="AN1983">
        <v>14</v>
      </c>
      <c r="AO1983">
        <v>11</v>
      </c>
      <c r="AP1983">
        <v>17</v>
      </c>
      <c r="AQ1983">
        <v>5</v>
      </c>
      <c r="AR1983" t="s">
        <v>9330</v>
      </c>
      <c r="AS1983" t="s">
        <v>9331</v>
      </c>
      <c r="AT1983">
        <v>1.1060000000000001</v>
      </c>
      <c r="AU1983" t="s">
        <v>65</v>
      </c>
      <c r="AV1983">
        <v>31</v>
      </c>
      <c r="AW1983">
        <v>16</v>
      </c>
      <c r="AX1983" t="s">
        <v>9332</v>
      </c>
      <c r="AY1983">
        <v>2.8400000000000002E-2</v>
      </c>
      <c r="AZ1983">
        <v>-1.2800000000000001E-3</v>
      </c>
      <c r="BA1983">
        <v>3.6900000000000001E-3</v>
      </c>
      <c r="BB1983">
        <v>-2.1000000000000001E-4</v>
      </c>
      <c r="BC1983">
        <v>0.12998000000000001</v>
      </c>
      <c r="BD1983">
        <v>1</v>
      </c>
      <c r="BE1983" t="s">
        <v>69</v>
      </c>
      <c r="BF1983">
        <v>-0.33400000000000002</v>
      </c>
      <c r="BG1983">
        <v>-0.57899999999999996</v>
      </c>
    </row>
    <row r="1984" spans="1:59">
      <c r="A1984">
        <v>0</v>
      </c>
      <c r="B1984">
        <v>6</v>
      </c>
      <c r="C1984">
        <v>0</v>
      </c>
      <c r="D1984" t="s">
        <v>25022</v>
      </c>
      <c r="E1984">
        <v>1013</v>
      </c>
      <c r="F1984" t="s">
        <v>6365</v>
      </c>
      <c r="G1984" t="s">
        <v>57</v>
      </c>
      <c r="H1984">
        <v>1053520</v>
      </c>
      <c r="I1984">
        <v>1054650</v>
      </c>
      <c r="J1984" t="s">
        <v>288</v>
      </c>
      <c r="K1984">
        <v>377</v>
      </c>
      <c r="L1984" t="s">
        <v>108</v>
      </c>
      <c r="M1984">
        <v>44</v>
      </c>
      <c r="N1984" t="str">
        <f>HYPERLINK("Gene1013-zp_tree_all.dnd", "Gene1013-tree")</f>
        <v>Gene1013-tree</v>
      </c>
      <c r="O1984">
        <v>7</v>
      </c>
      <c r="P1984">
        <v>7</v>
      </c>
      <c r="Q1984">
        <v>7</v>
      </c>
      <c r="R1984">
        <v>7</v>
      </c>
      <c r="S1984">
        <v>0.5</v>
      </c>
      <c r="T1984" t="s">
        <v>152</v>
      </c>
      <c r="U1984" t="s">
        <v>152</v>
      </c>
      <c r="V1984" t="s">
        <v>62</v>
      </c>
      <c r="W1984" t="s">
        <v>62</v>
      </c>
      <c r="X1984">
        <v>3</v>
      </c>
      <c r="Y1984">
        <v>6</v>
      </c>
      <c r="Z1984">
        <v>11</v>
      </c>
      <c r="AA1984">
        <v>0.35293999999999998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11</v>
      </c>
      <c r="AK1984">
        <v>0</v>
      </c>
      <c r="AL1984">
        <v>14</v>
      </c>
      <c r="AM1984">
        <v>8</v>
      </c>
      <c r="AN1984">
        <v>34</v>
      </c>
      <c r="AO1984">
        <v>12</v>
      </c>
      <c r="AP1984">
        <v>14</v>
      </c>
      <c r="AQ1984">
        <v>6</v>
      </c>
      <c r="AR1984" t="s">
        <v>6366</v>
      </c>
      <c r="AS1984" t="s">
        <v>6367</v>
      </c>
      <c r="AT1984">
        <v>0.25800000000000001</v>
      </c>
      <c r="AU1984" t="s">
        <v>65</v>
      </c>
      <c r="AV1984">
        <v>48</v>
      </c>
      <c r="AW1984">
        <v>18</v>
      </c>
      <c r="AX1984" t="s">
        <v>6368</v>
      </c>
      <c r="AY1984">
        <v>3.143E-2</v>
      </c>
      <c r="AZ1984">
        <v>-1.23E-3</v>
      </c>
      <c r="BA1984">
        <v>3.9399999999999999E-3</v>
      </c>
      <c r="BB1984">
        <v>-1.7000000000000001E-4</v>
      </c>
      <c r="BC1984">
        <v>0.12545000000000001</v>
      </c>
      <c r="BD1984">
        <v>1</v>
      </c>
      <c r="BE1984" t="s">
        <v>69</v>
      </c>
      <c r="BF1984">
        <v>-0.72399999999999998</v>
      </c>
      <c r="BG1984">
        <v>-1.0349999999999999</v>
      </c>
    </row>
    <row r="1985" spans="1:59">
      <c r="A1985">
        <v>0</v>
      </c>
      <c r="B1985">
        <v>8</v>
      </c>
      <c r="C1985">
        <v>0</v>
      </c>
      <c r="D1985" t="s">
        <v>25022</v>
      </c>
      <c r="E1985">
        <v>3804</v>
      </c>
      <c r="F1985" t="s">
        <v>22288</v>
      </c>
      <c r="G1985" t="s">
        <v>62</v>
      </c>
      <c r="H1985">
        <v>3771003</v>
      </c>
      <c r="I1985">
        <v>3772133</v>
      </c>
      <c r="J1985" t="s">
        <v>1932</v>
      </c>
      <c r="K1985">
        <v>377</v>
      </c>
      <c r="L1985" t="s">
        <v>108</v>
      </c>
      <c r="M1985">
        <v>44</v>
      </c>
      <c r="N1985" t="str">
        <f>HYPERLINK("Gene3804-zp_tree_all.dnd", "Gene3804-tree")</f>
        <v>Gene3804-tree</v>
      </c>
      <c r="O1985">
        <v>6</v>
      </c>
      <c r="P1985">
        <v>8</v>
      </c>
      <c r="Q1985">
        <v>6</v>
      </c>
      <c r="R1985">
        <v>8</v>
      </c>
      <c r="S1985">
        <v>0.57142999999999999</v>
      </c>
      <c r="T1985" t="s">
        <v>90</v>
      </c>
      <c r="U1985" t="s">
        <v>136</v>
      </c>
      <c r="V1985" t="s">
        <v>62</v>
      </c>
      <c r="W1985" t="s">
        <v>62</v>
      </c>
      <c r="X1985">
        <v>3</v>
      </c>
      <c r="Y1985">
        <v>8</v>
      </c>
      <c r="Z1985">
        <v>14</v>
      </c>
      <c r="AA1985">
        <v>0.36364000000000002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4</v>
      </c>
      <c r="AH1985">
        <v>0</v>
      </c>
      <c r="AI1985">
        <v>4</v>
      </c>
      <c r="AJ1985">
        <v>12</v>
      </c>
      <c r="AK1985">
        <v>0.25</v>
      </c>
      <c r="AL1985">
        <v>11</v>
      </c>
      <c r="AM1985">
        <v>10</v>
      </c>
      <c r="AN1985">
        <v>52</v>
      </c>
      <c r="AO1985">
        <v>17</v>
      </c>
      <c r="AP1985">
        <v>23</v>
      </c>
      <c r="AQ1985">
        <v>6</v>
      </c>
      <c r="AR1985" t="s">
        <v>22289</v>
      </c>
      <c r="AS1985" t="s">
        <v>22290</v>
      </c>
      <c r="AT1985">
        <v>8.3000000000000004E-2</v>
      </c>
      <c r="AU1985" t="s">
        <v>65</v>
      </c>
      <c r="AV1985">
        <v>75</v>
      </c>
      <c r="AW1985">
        <v>23</v>
      </c>
      <c r="AX1985" t="s">
        <v>22291</v>
      </c>
      <c r="AY1985">
        <v>5.6989999999999999E-2</v>
      </c>
      <c r="AZ1985">
        <v>-5.4099999999999999E-3</v>
      </c>
      <c r="BA1985">
        <v>4.3499999999999997E-3</v>
      </c>
      <c r="BB1985">
        <v>-3.8000000000000002E-4</v>
      </c>
      <c r="BC1985">
        <v>7.6350000000000001E-2</v>
      </c>
      <c r="BD1985">
        <v>1</v>
      </c>
      <c r="BE1985" t="s">
        <v>69</v>
      </c>
      <c r="BF1985">
        <v>-1.4279999999999999</v>
      </c>
      <c r="BG1985">
        <v>-3.3109999999999999</v>
      </c>
    </row>
    <row r="1986" spans="1:59">
      <c r="A1986">
        <v>0</v>
      </c>
      <c r="B1986">
        <v>4</v>
      </c>
      <c r="C1986">
        <v>0</v>
      </c>
      <c r="D1986" t="s">
        <v>25022</v>
      </c>
      <c r="E1986">
        <v>2279</v>
      </c>
      <c r="F1986" t="s">
        <v>13189</v>
      </c>
      <c r="G1986" t="s">
        <v>62</v>
      </c>
      <c r="H1986">
        <v>2302730</v>
      </c>
      <c r="I1986">
        <v>2303860</v>
      </c>
      <c r="J1986" t="s">
        <v>13190</v>
      </c>
      <c r="K1986">
        <v>377</v>
      </c>
      <c r="L1986" t="s">
        <v>108</v>
      </c>
      <c r="M1986">
        <v>44</v>
      </c>
      <c r="N1986" t="str">
        <f>HYPERLINK("Gene2279-zp_tree_all.dnd", "Gene2279-tree")</f>
        <v>Gene2279-tree</v>
      </c>
      <c r="O1986">
        <v>24</v>
      </c>
      <c r="P1986">
        <v>9</v>
      </c>
      <c r="Q1986">
        <v>5</v>
      </c>
      <c r="R1986">
        <v>9</v>
      </c>
      <c r="S1986">
        <v>0.64285999999999999</v>
      </c>
      <c r="T1986" t="s">
        <v>2668</v>
      </c>
      <c r="U1986" t="s">
        <v>135</v>
      </c>
      <c r="V1986" t="s">
        <v>62</v>
      </c>
      <c r="W1986" t="s">
        <v>62</v>
      </c>
      <c r="X1986">
        <v>2</v>
      </c>
      <c r="Y1986">
        <v>4</v>
      </c>
      <c r="Z1986">
        <v>10</v>
      </c>
      <c r="AA1986">
        <v>0.28571000000000002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10</v>
      </c>
      <c r="AK1986">
        <v>0</v>
      </c>
      <c r="AL1986">
        <v>12</v>
      </c>
      <c r="AM1986">
        <v>7</v>
      </c>
      <c r="AN1986">
        <v>35</v>
      </c>
      <c r="AO1986">
        <v>10</v>
      </c>
      <c r="AP1986">
        <v>17</v>
      </c>
      <c r="AQ1986">
        <v>4</v>
      </c>
      <c r="AR1986" t="s">
        <v>13191</v>
      </c>
      <c r="AS1986" t="s">
        <v>13192</v>
      </c>
      <c r="AT1986">
        <v>0.25800000000000001</v>
      </c>
      <c r="AU1986" t="s">
        <v>65</v>
      </c>
      <c r="AV1986">
        <v>52</v>
      </c>
      <c r="AW1986">
        <v>14</v>
      </c>
      <c r="AX1986" t="s">
        <v>13193</v>
      </c>
      <c r="AY1986">
        <v>3.8420000000000003E-2</v>
      </c>
      <c r="AZ1986">
        <v>-1.64E-3</v>
      </c>
      <c r="BA1986">
        <v>2.8700000000000002E-3</v>
      </c>
      <c r="BB1986">
        <v>-1.8000000000000001E-4</v>
      </c>
      <c r="BC1986">
        <v>7.4800000000000005E-2</v>
      </c>
      <c r="BD1986">
        <v>1</v>
      </c>
      <c r="BE1986" t="s">
        <v>69</v>
      </c>
      <c r="BF1986">
        <v>-1.0189999999999999</v>
      </c>
      <c r="BG1986">
        <v>-2.254</v>
      </c>
    </row>
    <row r="1987" spans="1:59">
      <c r="A1987">
        <v>0</v>
      </c>
      <c r="B1987">
        <v>4</v>
      </c>
      <c r="C1987">
        <v>4</v>
      </c>
      <c r="D1987" t="s">
        <v>25022</v>
      </c>
      <c r="E1987">
        <v>2340</v>
      </c>
      <c r="F1987" t="s">
        <v>13580</v>
      </c>
      <c r="G1987" t="s">
        <v>62</v>
      </c>
      <c r="H1987">
        <v>2357081</v>
      </c>
      <c r="I1987">
        <v>2358211</v>
      </c>
      <c r="J1987" t="s">
        <v>13581</v>
      </c>
      <c r="K1987">
        <v>377</v>
      </c>
      <c r="L1987" t="s">
        <v>13568</v>
      </c>
      <c r="M1987">
        <v>40</v>
      </c>
      <c r="N1987" t="str">
        <f>HYPERLINK("Gene2340-zp_tree_all.dnd", "Gene2340-tree")</f>
        <v>Gene2340-tree</v>
      </c>
      <c r="O1987">
        <v>7</v>
      </c>
      <c r="P1987">
        <v>7</v>
      </c>
      <c r="Q1987">
        <v>7</v>
      </c>
      <c r="R1987">
        <v>7</v>
      </c>
      <c r="S1987">
        <v>0.5</v>
      </c>
      <c r="T1987" t="s">
        <v>152</v>
      </c>
      <c r="U1987" t="s">
        <v>152</v>
      </c>
      <c r="V1987" t="s">
        <v>62</v>
      </c>
      <c r="W1987" t="s">
        <v>62</v>
      </c>
      <c r="X1987">
        <v>3</v>
      </c>
      <c r="Y1987">
        <v>8</v>
      </c>
      <c r="Z1987">
        <v>5</v>
      </c>
      <c r="AA1987">
        <v>0.61538000000000004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4</v>
      </c>
      <c r="AJ1987">
        <v>5</v>
      </c>
      <c r="AK1987">
        <v>0.44444</v>
      </c>
      <c r="AL1987">
        <v>13</v>
      </c>
      <c r="AM1987">
        <v>10</v>
      </c>
      <c r="AN1987">
        <v>47</v>
      </c>
      <c r="AO1987">
        <v>9</v>
      </c>
      <c r="AP1987">
        <v>20</v>
      </c>
      <c r="AQ1987">
        <v>4</v>
      </c>
      <c r="AR1987" t="s">
        <v>13582</v>
      </c>
      <c r="AS1987" t="s">
        <v>13583</v>
      </c>
      <c r="AT1987">
        <v>6.4000000000000001E-2</v>
      </c>
      <c r="AU1987" t="s">
        <v>65</v>
      </c>
      <c r="AV1987">
        <v>67</v>
      </c>
      <c r="AW1987">
        <v>13</v>
      </c>
      <c r="AX1987" t="s">
        <v>13584</v>
      </c>
      <c r="AY1987">
        <v>4.5949999999999998E-2</v>
      </c>
      <c r="AZ1987">
        <v>-2.96E-3</v>
      </c>
      <c r="BA1987">
        <v>3.0599999999999998E-3</v>
      </c>
      <c r="BB1987">
        <v>-1.3999999999999999E-4</v>
      </c>
      <c r="BC1987">
        <v>6.658E-2</v>
      </c>
      <c r="BD1987">
        <v>1</v>
      </c>
      <c r="BE1987" t="s">
        <v>69</v>
      </c>
      <c r="BF1987">
        <v>-1.034</v>
      </c>
      <c r="BG1987">
        <v>-2.8959999999999999</v>
      </c>
    </row>
    <row r="1988" spans="1:59">
      <c r="A1988">
        <v>0</v>
      </c>
      <c r="B1988">
        <v>0</v>
      </c>
      <c r="C1988">
        <v>0</v>
      </c>
      <c r="D1988" t="s">
        <v>25022</v>
      </c>
      <c r="E1988">
        <v>1694</v>
      </c>
      <c r="F1988" t="s">
        <v>10620</v>
      </c>
      <c r="G1988" t="s">
        <v>57</v>
      </c>
      <c r="H1988">
        <v>1702672</v>
      </c>
      <c r="I1988">
        <v>1703805</v>
      </c>
      <c r="J1988" t="s">
        <v>10621</v>
      </c>
      <c r="K1988">
        <v>378</v>
      </c>
      <c r="L1988" t="s">
        <v>108</v>
      </c>
      <c r="M1988">
        <v>44</v>
      </c>
      <c r="N1988" t="str">
        <f>HYPERLINK("Gene1694-zp_tree_all.dnd", "Gene1694-tree")</f>
        <v>Gene1694-tree</v>
      </c>
      <c r="O1988">
        <v>10</v>
      </c>
      <c r="P1988">
        <v>3</v>
      </c>
      <c r="Q1988">
        <v>10</v>
      </c>
      <c r="R1988">
        <v>3</v>
      </c>
      <c r="S1988">
        <v>0.23077</v>
      </c>
      <c r="T1988" t="s">
        <v>117</v>
      </c>
      <c r="U1988" t="s">
        <v>324</v>
      </c>
      <c r="V1988" t="s">
        <v>62</v>
      </c>
      <c r="W1988" t="s">
        <v>62</v>
      </c>
      <c r="X1988">
        <v>0</v>
      </c>
      <c r="Y1988">
        <v>0</v>
      </c>
      <c r="Z1988">
        <v>6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5</v>
      </c>
      <c r="AK1988">
        <v>0</v>
      </c>
      <c r="AL1988">
        <v>12</v>
      </c>
      <c r="AM1988">
        <v>8</v>
      </c>
      <c r="AN1988">
        <v>20</v>
      </c>
      <c r="AO1988">
        <v>5</v>
      </c>
      <c r="AP1988">
        <v>11</v>
      </c>
      <c r="AQ1988">
        <v>1</v>
      </c>
      <c r="AR1988" t="s">
        <v>10622</v>
      </c>
      <c r="AS1988" t="s">
        <v>10623</v>
      </c>
      <c r="AT1988">
        <v>0.4</v>
      </c>
      <c r="AU1988" t="s">
        <v>65</v>
      </c>
      <c r="AV1988">
        <v>31</v>
      </c>
      <c r="AW1988">
        <v>6</v>
      </c>
      <c r="AX1988" t="s">
        <v>10624</v>
      </c>
      <c r="AY1988">
        <v>2.5850000000000001E-2</v>
      </c>
      <c r="AZ1988">
        <v>-1.23E-3</v>
      </c>
      <c r="BA1988">
        <v>1.31E-3</v>
      </c>
      <c r="BB1988">
        <v>-1.3999999999999999E-4</v>
      </c>
      <c r="BC1988">
        <v>5.0860000000000002E-2</v>
      </c>
      <c r="BD1988">
        <v>1</v>
      </c>
      <c r="BE1988" t="s">
        <v>69</v>
      </c>
      <c r="BF1988">
        <v>-0.96799999999999997</v>
      </c>
      <c r="BG1988">
        <v>-1.2370000000000001</v>
      </c>
    </row>
    <row r="1989" spans="1:59">
      <c r="A1989">
        <v>0</v>
      </c>
      <c r="B1989">
        <v>4</v>
      </c>
      <c r="C1989">
        <v>1</v>
      </c>
      <c r="D1989" t="s">
        <v>25022</v>
      </c>
      <c r="E1989">
        <v>2</v>
      </c>
      <c r="F1989" t="s">
        <v>70</v>
      </c>
      <c r="G1989" t="s">
        <v>57</v>
      </c>
      <c r="H1989">
        <v>1939</v>
      </c>
      <c r="I1989">
        <v>3072</v>
      </c>
      <c r="J1989" t="s">
        <v>71</v>
      </c>
      <c r="K1989">
        <v>378</v>
      </c>
      <c r="L1989" t="s">
        <v>72</v>
      </c>
      <c r="M1989">
        <v>45</v>
      </c>
      <c r="N1989" t="str">
        <f>HYPERLINK("Gene2-zp_tree_all.dnd", "Gene2-tree")</f>
        <v>Gene2-tree</v>
      </c>
      <c r="O1989">
        <v>11</v>
      </c>
      <c r="P1989">
        <v>4</v>
      </c>
      <c r="Q1989">
        <v>11</v>
      </c>
      <c r="R1989">
        <v>4</v>
      </c>
      <c r="S1989">
        <v>0.26667000000000002</v>
      </c>
      <c r="T1989" t="s">
        <v>73</v>
      </c>
      <c r="U1989" t="s">
        <v>61</v>
      </c>
      <c r="V1989" t="s">
        <v>62</v>
      </c>
      <c r="W1989" t="s">
        <v>62</v>
      </c>
      <c r="X1989">
        <v>1</v>
      </c>
      <c r="Y1989">
        <v>5</v>
      </c>
      <c r="Z1989">
        <v>2</v>
      </c>
      <c r="AA1989">
        <v>0.71428999999999998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</v>
      </c>
      <c r="AH1989">
        <v>1</v>
      </c>
      <c r="AI1989">
        <v>3</v>
      </c>
      <c r="AJ1989">
        <v>2</v>
      </c>
      <c r="AK1989">
        <v>0.6</v>
      </c>
      <c r="AL1989">
        <v>12</v>
      </c>
      <c r="AM1989">
        <v>12</v>
      </c>
      <c r="AN1989">
        <v>77</v>
      </c>
      <c r="AO1989">
        <v>5</v>
      </c>
      <c r="AP1989">
        <v>26</v>
      </c>
      <c r="AQ1989">
        <v>2</v>
      </c>
      <c r="AR1989" t="s">
        <v>74</v>
      </c>
      <c r="AS1989" t="s">
        <v>75</v>
      </c>
      <c r="AT1989">
        <v>0.105</v>
      </c>
      <c r="AU1989" t="s">
        <v>65</v>
      </c>
      <c r="AV1989">
        <v>103</v>
      </c>
      <c r="AW1989">
        <v>7</v>
      </c>
      <c r="AX1989" t="s">
        <v>76</v>
      </c>
      <c r="AY1989">
        <v>6.7860000000000004E-2</v>
      </c>
      <c r="AZ1989">
        <v>-6.9199999999999999E-3</v>
      </c>
      <c r="BA1989">
        <v>1E-3</v>
      </c>
      <c r="BB1989">
        <v>-1.1E-4</v>
      </c>
      <c r="BC1989">
        <v>1.4800000000000001E-2</v>
      </c>
      <c r="BD1989">
        <v>1</v>
      </c>
      <c r="BE1989" t="s">
        <v>69</v>
      </c>
      <c r="BF1989">
        <v>-1.5289999999999999</v>
      </c>
      <c r="BG1989">
        <v>-4.3529999999999998</v>
      </c>
    </row>
    <row r="1990" spans="1:59">
      <c r="A1990">
        <v>0</v>
      </c>
      <c r="B1990">
        <v>2</v>
      </c>
      <c r="C1990">
        <v>0</v>
      </c>
      <c r="D1990" t="s">
        <v>25022</v>
      </c>
      <c r="E1990">
        <v>1287</v>
      </c>
      <c r="F1990" t="s">
        <v>8078</v>
      </c>
      <c r="G1990" t="s">
        <v>57</v>
      </c>
      <c r="H1990">
        <v>1315869</v>
      </c>
      <c r="I1990">
        <v>1317002</v>
      </c>
      <c r="J1990" t="s">
        <v>1932</v>
      </c>
      <c r="K1990">
        <v>378</v>
      </c>
      <c r="L1990" t="s">
        <v>727</v>
      </c>
      <c r="M1990">
        <v>48</v>
      </c>
      <c r="N1990" t="str">
        <f>HYPERLINK("Gene1287-zp_tree_all.dnd", "Gene1287-tree")</f>
        <v>Gene1287-tree</v>
      </c>
      <c r="O1990">
        <v>16</v>
      </c>
      <c r="P1990">
        <v>1</v>
      </c>
      <c r="Q1990">
        <v>16</v>
      </c>
      <c r="R1990">
        <v>1</v>
      </c>
      <c r="S1990">
        <v>5.8819999999999997E-2</v>
      </c>
      <c r="T1990" t="s">
        <v>60</v>
      </c>
      <c r="U1990" t="s">
        <v>175</v>
      </c>
      <c r="V1990" t="s">
        <v>62</v>
      </c>
      <c r="W1990" t="s">
        <v>62</v>
      </c>
      <c r="X1990">
        <v>1</v>
      </c>
      <c r="Y1990">
        <v>2</v>
      </c>
      <c r="Z1990">
        <v>2</v>
      </c>
      <c r="AA1990">
        <v>0.5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16</v>
      </c>
      <c r="AM1990">
        <v>13</v>
      </c>
      <c r="AN1990">
        <v>38</v>
      </c>
      <c r="AO1990">
        <v>1</v>
      </c>
      <c r="AP1990">
        <v>46</v>
      </c>
      <c r="AQ1990">
        <v>3</v>
      </c>
      <c r="AR1990" t="s">
        <v>8079</v>
      </c>
      <c r="AS1990" t="s">
        <v>8080</v>
      </c>
      <c r="AT1990">
        <v>0.23200000000000001</v>
      </c>
      <c r="AU1990" t="s">
        <v>65</v>
      </c>
      <c r="AV1990">
        <v>84</v>
      </c>
      <c r="AW1990">
        <v>4</v>
      </c>
      <c r="AX1990" t="s">
        <v>8081</v>
      </c>
      <c r="AY1990">
        <v>7.4740000000000001E-2</v>
      </c>
      <c r="AZ1990">
        <v>-3.9699999999999996E-3</v>
      </c>
      <c r="BA1990">
        <v>8.0999999999999996E-4</v>
      </c>
      <c r="BB1990">
        <v>-8.0000000000000007E-5</v>
      </c>
      <c r="BC1990">
        <v>1.085E-2</v>
      </c>
      <c r="BD1990">
        <v>1</v>
      </c>
      <c r="BE1990" t="s">
        <v>69</v>
      </c>
      <c r="BF1990">
        <v>-1.0980000000000001</v>
      </c>
      <c r="BG1990">
        <v>-0.50900000000000001</v>
      </c>
    </row>
    <row r="1991" spans="1:59">
      <c r="A1991">
        <v>0</v>
      </c>
      <c r="B1991">
        <v>9</v>
      </c>
      <c r="C1991">
        <v>0</v>
      </c>
      <c r="D1991" t="s">
        <v>25022</v>
      </c>
      <c r="E1991">
        <v>2865</v>
      </c>
      <c r="F1991" t="s">
        <v>16466</v>
      </c>
      <c r="G1991" t="s">
        <v>62</v>
      </c>
      <c r="H1991">
        <v>2810562</v>
      </c>
      <c r="I1991">
        <v>2811698</v>
      </c>
      <c r="J1991" t="s">
        <v>16467</v>
      </c>
      <c r="K1991">
        <v>379</v>
      </c>
      <c r="L1991" t="s">
        <v>108</v>
      </c>
      <c r="M1991">
        <v>44</v>
      </c>
      <c r="N1991" t="str">
        <f>HYPERLINK("Gene2865-zp_tree_all.dnd", "Gene2865-tree")</f>
        <v>Gene2865-tree</v>
      </c>
      <c r="O1991">
        <v>4</v>
      </c>
      <c r="P1991">
        <v>9</v>
      </c>
      <c r="Q1991">
        <v>4</v>
      </c>
      <c r="R1991">
        <v>9</v>
      </c>
      <c r="S1991">
        <v>0.69230999999999998</v>
      </c>
      <c r="T1991" t="s">
        <v>61</v>
      </c>
      <c r="U1991" t="s">
        <v>135</v>
      </c>
      <c r="V1991" t="s">
        <v>62</v>
      </c>
      <c r="W1991" t="s">
        <v>62</v>
      </c>
      <c r="X1991">
        <v>4</v>
      </c>
      <c r="Y1991">
        <v>9</v>
      </c>
      <c r="Z1991">
        <v>9</v>
      </c>
      <c r="AA1991">
        <v>0.5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4</v>
      </c>
      <c r="AH1991">
        <v>0</v>
      </c>
      <c r="AI1991">
        <v>4</v>
      </c>
      <c r="AJ1991">
        <v>11</v>
      </c>
      <c r="AK1991">
        <v>0.26667000000000002</v>
      </c>
      <c r="AL1991">
        <v>10</v>
      </c>
      <c r="AM1991">
        <v>8</v>
      </c>
      <c r="AN1991">
        <v>21</v>
      </c>
      <c r="AO1991">
        <v>13</v>
      </c>
      <c r="AP1991">
        <v>13</v>
      </c>
      <c r="AQ1991">
        <v>5</v>
      </c>
      <c r="AR1991" t="s">
        <v>16468</v>
      </c>
      <c r="AS1991" t="s">
        <v>16469</v>
      </c>
      <c r="AT1991">
        <v>0.65900000000000003</v>
      </c>
      <c r="AU1991" t="s">
        <v>65</v>
      </c>
      <c r="AV1991">
        <v>34</v>
      </c>
      <c r="AW1991">
        <v>18</v>
      </c>
      <c r="AX1991" t="s">
        <v>16470</v>
      </c>
      <c r="AY1991">
        <v>2.5420000000000002E-2</v>
      </c>
      <c r="AZ1991">
        <v>-1.1199999999999999E-3</v>
      </c>
      <c r="BA1991">
        <v>3.49E-3</v>
      </c>
      <c r="BB1991">
        <v>-2.1000000000000001E-4</v>
      </c>
      <c r="BC1991">
        <v>0.13743</v>
      </c>
      <c r="BD1991">
        <v>1</v>
      </c>
      <c r="BE1991" t="s">
        <v>69</v>
      </c>
      <c r="BF1991">
        <v>-0.46700000000000003</v>
      </c>
      <c r="BG1991">
        <v>-1.8979999999999999</v>
      </c>
    </row>
    <row r="1992" spans="1:59">
      <c r="A1992">
        <v>0</v>
      </c>
      <c r="B1992">
        <v>10</v>
      </c>
      <c r="C1992">
        <v>0</v>
      </c>
      <c r="D1992" t="s">
        <v>25022</v>
      </c>
      <c r="E1992">
        <v>967</v>
      </c>
      <c r="F1992" t="s">
        <v>6063</v>
      </c>
      <c r="G1992" t="s">
        <v>57</v>
      </c>
      <c r="H1992">
        <v>1008668</v>
      </c>
      <c r="I1992">
        <v>1009804</v>
      </c>
      <c r="J1992" t="s">
        <v>6064</v>
      </c>
      <c r="K1992">
        <v>379</v>
      </c>
      <c r="L1992" t="s">
        <v>108</v>
      </c>
      <c r="M1992">
        <v>44</v>
      </c>
      <c r="N1992" t="str">
        <f>HYPERLINK("Gene967-zp_tree_all.dnd", "Gene967-tree")</f>
        <v>Gene967-tree</v>
      </c>
      <c r="O1992">
        <v>4</v>
      </c>
      <c r="P1992">
        <v>10</v>
      </c>
      <c r="Q1992">
        <v>4</v>
      </c>
      <c r="R1992">
        <v>10</v>
      </c>
      <c r="S1992">
        <v>0.71428999999999998</v>
      </c>
      <c r="T1992" t="s">
        <v>61</v>
      </c>
      <c r="U1992" t="s">
        <v>117</v>
      </c>
      <c r="V1992" t="s">
        <v>62</v>
      </c>
      <c r="W1992" t="s">
        <v>62</v>
      </c>
      <c r="X1992">
        <v>4</v>
      </c>
      <c r="Y1992">
        <v>10</v>
      </c>
      <c r="Z1992">
        <v>14</v>
      </c>
      <c r="AA1992">
        <v>0.41666999999999998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7</v>
      </c>
      <c r="AH1992">
        <v>0</v>
      </c>
      <c r="AI1992">
        <v>7</v>
      </c>
      <c r="AJ1992">
        <v>12</v>
      </c>
      <c r="AK1992">
        <v>0.36842000000000003</v>
      </c>
      <c r="AL1992">
        <v>14</v>
      </c>
      <c r="AM1992">
        <v>8</v>
      </c>
      <c r="AN1992">
        <v>55</v>
      </c>
      <c r="AO1992">
        <v>19</v>
      </c>
      <c r="AP1992">
        <v>19</v>
      </c>
      <c r="AQ1992">
        <v>5</v>
      </c>
      <c r="AR1992" t="s">
        <v>6065</v>
      </c>
      <c r="AS1992" t="s">
        <v>6066</v>
      </c>
      <c r="AT1992">
        <v>0.60399999999999998</v>
      </c>
      <c r="AU1992" t="s">
        <v>65</v>
      </c>
      <c r="AV1992">
        <v>74</v>
      </c>
      <c r="AW1992">
        <v>24</v>
      </c>
      <c r="AX1992" t="s">
        <v>6067</v>
      </c>
      <c r="AY1992">
        <v>4.8070000000000002E-2</v>
      </c>
      <c r="AZ1992">
        <v>-1.74E-3</v>
      </c>
      <c r="BA1992">
        <v>4.2300000000000003E-3</v>
      </c>
      <c r="BB1992">
        <v>-1.7000000000000001E-4</v>
      </c>
      <c r="BC1992">
        <v>8.7929999999999994E-2</v>
      </c>
      <c r="BD1992">
        <v>1</v>
      </c>
      <c r="BE1992" t="s">
        <v>69</v>
      </c>
      <c r="BF1992">
        <v>-0.83599999999999997</v>
      </c>
      <c r="BG1992">
        <v>-0.876</v>
      </c>
    </row>
    <row r="1993" spans="1:59">
      <c r="A1993">
        <v>0</v>
      </c>
      <c r="B1993">
        <v>11</v>
      </c>
      <c r="C1993">
        <v>0</v>
      </c>
      <c r="D1993" t="s">
        <v>25022</v>
      </c>
      <c r="E1993">
        <v>3853</v>
      </c>
      <c r="F1993" t="s">
        <v>22585</v>
      </c>
      <c r="G1993" t="s">
        <v>62</v>
      </c>
      <c r="H1993">
        <v>3813249</v>
      </c>
      <c r="I1993">
        <v>3814385</v>
      </c>
      <c r="J1993" t="s">
        <v>22586</v>
      </c>
      <c r="K1993">
        <v>379</v>
      </c>
      <c r="L1993" t="s">
        <v>1378</v>
      </c>
      <c r="M1993">
        <v>43</v>
      </c>
      <c r="N1993" t="str">
        <f>HYPERLINK("Gene3853-zp_tree_all.dnd", "Gene3853-tree")</f>
        <v>Gene3853-tree</v>
      </c>
      <c r="O1993">
        <v>7</v>
      </c>
      <c r="P1993">
        <v>8</v>
      </c>
      <c r="Q1993">
        <v>7</v>
      </c>
      <c r="R1993">
        <v>8</v>
      </c>
      <c r="S1993">
        <v>0.53332999999999997</v>
      </c>
      <c r="T1993" t="s">
        <v>152</v>
      </c>
      <c r="U1993" t="s">
        <v>136</v>
      </c>
      <c r="V1993" t="s">
        <v>62</v>
      </c>
      <c r="W1993" t="s">
        <v>62</v>
      </c>
      <c r="X1993">
        <v>5</v>
      </c>
      <c r="Y1993">
        <v>11</v>
      </c>
      <c r="Z1993">
        <v>9</v>
      </c>
      <c r="AA1993">
        <v>0.55000000000000004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4</v>
      </c>
      <c r="AH1993">
        <v>0</v>
      </c>
      <c r="AI1993">
        <v>4</v>
      </c>
      <c r="AJ1993">
        <v>9</v>
      </c>
      <c r="AK1993">
        <v>0.30769000000000002</v>
      </c>
      <c r="AL1993">
        <v>13</v>
      </c>
      <c r="AM1993">
        <v>12</v>
      </c>
      <c r="AN1993">
        <v>58</v>
      </c>
      <c r="AO1993">
        <v>13</v>
      </c>
      <c r="AP1993">
        <v>33</v>
      </c>
      <c r="AQ1993">
        <v>7</v>
      </c>
      <c r="AR1993" t="s">
        <v>22587</v>
      </c>
      <c r="AS1993" t="s">
        <v>22588</v>
      </c>
      <c r="AT1993">
        <v>0.04</v>
      </c>
      <c r="AU1993" t="s">
        <v>65</v>
      </c>
      <c r="AV1993">
        <v>91</v>
      </c>
      <c r="AW1993">
        <v>20</v>
      </c>
      <c r="AX1993" t="s">
        <v>22589</v>
      </c>
      <c r="AY1993">
        <v>5.9670000000000001E-2</v>
      </c>
      <c r="AZ1993">
        <v>-1.7099999999999999E-3</v>
      </c>
      <c r="BA1993">
        <v>4.2900000000000004E-3</v>
      </c>
      <c r="BB1993">
        <v>-2.1000000000000001E-4</v>
      </c>
      <c r="BC1993">
        <v>7.195E-2</v>
      </c>
      <c r="BD1993">
        <v>1</v>
      </c>
      <c r="BE1993" t="s">
        <v>69</v>
      </c>
      <c r="BF1993">
        <v>-4.1000000000000002E-2</v>
      </c>
      <c r="BG1993">
        <v>0.189</v>
      </c>
    </row>
    <row r="1994" spans="1:59">
      <c r="A1994">
        <v>0</v>
      </c>
      <c r="B1994">
        <v>2</v>
      </c>
      <c r="C1994">
        <v>0</v>
      </c>
      <c r="D1994" t="s">
        <v>25022</v>
      </c>
      <c r="E1994">
        <v>2837</v>
      </c>
      <c r="F1994" t="s">
        <v>16292</v>
      </c>
      <c r="G1994" t="s">
        <v>62</v>
      </c>
      <c r="H1994">
        <v>2785004</v>
      </c>
      <c r="I1994">
        <v>2786140</v>
      </c>
      <c r="J1994" t="s">
        <v>16293</v>
      </c>
      <c r="K1994">
        <v>379</v>
      </c>
      <c r="L1994" t="s">
        <v>108</v>
      </c>
      <c r="M1994">
        <v>44</v>
      </c>
      <c r="N1994" t="str">
        <f>HYPERLINK("Gene2837-zp_tree_all.dnd", "Gene2837-tree")</f>
        <v>Gene2837-tree</v>
      </c>
      <c r="O1994">
        <v>5</v>
      </c>
      <c r="P1994">
        <v>9</v>
      </c>
      <c r="Q1994">
        <v>5</v>
      </c>
      <c r="R1994">
        <v>9</v>
      </c>
      <c r="S1994">
        <v>0.64285999999999999</v>
      </c>
      <c r="T1994" t="s">
        <v>199</v>
      </c>
      <c r="U1994" t="s">
        <v>135</v>
      </c>
      <c r="V1994" t="s">
        <v>62</v>
      </c>
      <c r="W1994" t="s">
        <v>62</v>
      </c>
      <c r="X1994">
        <v>1</v>
      </c>
      <c r="Y1994">
        <v>2</v>
      </c>
      <c r="Z1994">
        <v>16</v>
      </c>
      <c r="AA1994">
        <v>0.11111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13</v>
      </c>
      <c r="AK1994">
        <v>0</v>
      </c>
      <c r="AL1994">
        <v>13</v>
      </c>
      <c r="AM1994">
        <v>11</v>
      </c>
      <c r="AN1994">
        <v>48</v>
      </c>
      <c r="AO1994">
        <v>13</v>
      </c>
      <c r="AP1994">
        <v>30</v>
      </c>
      <c r="AQ1994">
        <v>5</v>
      </c>
      <c r="AR1994" t="s">
        <v>16294</v>
      </c>
      <c r="AS1994" t="s">
        <v>16295</v>
      </c>
      <c r="AT1994">
        <v>0.45300000000000001</v>
      </c>
      <c r="AU1994" t="s">
        <v>65</v>
      </c>
      <c r="AV1994">
        <v>78</v>
      </c>
      <c r="AW1994">
        <v>18</v>
      </c>
      <c r="AX1994" t="s">
        <v>16296</v>
      </c>
      <c r="AY1994">
        <v>5.3269999999999998E-2</v>
      </c>
      <c r="AZ1994">
        <v>-2.0200000000000001E-3</v>
      </c>
      <c r="BA1994">
        <v>3.5899999999999999E-3</v>
      </c>
      <c r="BB1994">
        <v>-2.3000000000000001E-4</v>
      </c>
      <c r="BC1994">
        <v>6.7449999999999996E-2</v>
      </c>
      <c r="BD1994">
        <v>1</v>
      </c>
      <c r="BE1994" t="s">
        <v>69</v>
      </c>
      <c r="BF1994">
        <v>-0.94099999999999995</v>
      </c>
      <c r="BG1994">
        <v>-1.72</v>
      </c>
    </row>
    <row r="1995" spans="1:59">
      <c r="A1995">
        <v>0</v>
      </c>
      <c r="B1995">
        <v>13</v>
      </c>
      <c r="C1995">
        <v>0</v>
      </c>
      <c r="D1995" t="s">
        <v>25022</v>
      </c>
      <c r="E1995">
        <v>2517</v>
      </c>
      <c r="F1995" t="s">
        <v>14689</v>
      </c>
      <c r="G1995" t="s">
        <v>62</v>
      </c>
      <c r="H1995">
        <v>2510809</v>
      </c>
      <c r="I1995">
        <v>2511945</v>
      </c>
      <c r="J1995" t="s">
        <v>14690</v>
      </c>
      <c r="K1995">
        <v>379</v>
      </c>
      <c r="L1995" t="s">
        <v>108</v>
      </c>
      <c r="M1995">
        <v>44</v>
      </c>
      <c r="N1995" t="str">
        <f>HYPERLINK("Gene2517-zp_tree_all.dnd", "Gene2517-tree")</f>
        <v>Gene2517-tree</v>
      </c>
      <c r="O1995">
        <v>5</v>
      </c>
      <c r="P1995">
        <v>9</v>
      </c>
      <c r="Q1995">
        <v>5</v>
      </c>
      <c r="R1995">
        <v>9</v>
      </c>
      <c r="S1995">
        <v>0.64285999999999999</v>
      </c>
      <c r="T1995" t="s">
        <v>199</v>
      </c>
      <c r="U1995" t="s">
        <v>135</v>
      </c>
      <c r="V1995" t="s">
        <v>62</v>
      </c>
      <c r="W1995" t="s">
        <v>62</v>
      </c>
      <c r="X1995">
        <v>6</v>
      </c>
      <c r="Y1995">
        <v>13</v>
      </c>
      <c r="Z1995">
        <v>12</v>
      </c>
      <c r="AA1995">
        <v>0.52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6</v>
      </c>
      <c r="AH1995">
        <v>0</v>
      </c>
      <c r="AI1995">
        <v>6</v>
      </c>
      <c r="AJ1995">
        <v>11</v>
      </c>
      <c r="AK1995">
        <v>0.35293999999999998</v>
      </c>
      <c r="AL1995">
        <v>12</v>
      </c>
      <c r="AM1995">
        <v>10</v>
      </c>
      <c r="AN1995">
        <v>58</v>
      </c>
      <c r="AO1995">
        <v>17</v>
      </c>
      <c r="AP1995">
        <v>51</v>
      </c>
      <c r="AQ1995">
        <v>8</v>
      </c>
      <c r="AR1995" t="s">
        <v>14691</v>
      </c>
      <c r="AS1995" t="s">
        <v>14692</v>
      </c>
      <c r="AT1995">
        <v>0.55100000000000005</v>
      </c>
      <c r="AU1995" t="s">
        <v>65</v>
      </c>
      <c r="AV1995">
        <v>109</v>
      </c>
      <c r="AW1995">
        <v>25</v>
      </c>
      <c r="AX1995" t="s">
        <v>14693</v>
      </c>
      <c r="AY1995">
        <v>8.0500000000000002E-2</v>
      </c>
      <c r="AZ1995">
        <v>-4.2199999999999998E-3</v>
      </c>
      <c r="BA1995">
        <v>5.3899999999999998E-3</v>
      </c>
      <c r="BB1995">
        <v>-2.5000000000000001E-4</v>
      </c>
      <c r="BC1995">
        <v>6.6909999999999997E-2</v>
      </c>
      <c r="BD1995">
        <v>1</v>
      </c>
      <c r="BE1995" t="s">
        <v>69</v>
      </c>
      <c r="BF1995">
        <v>-0.77</v>
      </c>
      <c r="BG1995">
        <v>-1.7070000000000001</v>
      </c>
    </row>
    <row r="1996" spans="1:59">
      <c r="A1996">
        <v>0</v>
      </c>
      <c r="B1996">
        <v>5</v>
      </c>
      <c r="C1996">
        <v>0</v>
      </c>
      <c r="D1996" t="s">
        <v>25022</v>
      </c>
      <c r="E1996">
        <v>2653</v>
      </c>
      <c r="F1996" t="s">
        <v>15550</v>
      </c>
      <c r="G1996" t="s">
        <v>62</v>
      </c>
      <c r="H1996">
        <v>2629721</v>
      </c>
      <c r="I1996">
        <v>2630857</v>
      </c>
      <c r="J1996" t="s">
        <v>6389</v>
      </c>
      <c r="K1996">
        <v>379</v>
      </c>
      <c r="L1996" t="s">
        <v>108</v>
      </c>
      <c r="M1996">
        <v>44</v>
      </c>
      <c r="N1996" t="str">
        <f>HYPERLINK("Gene2653-zp_tree_all.dnd", "Gene2653-tree")</f>
        <v>Gene2653-tree</v>
      </c>
      <c r="O1996">
        <v>7</v>
      </c>
      <c r="P1996">
        <v>8</v>
      </c>
      <c r="Q1996">
        <v>7</v>
      </c>
      <c r="R1996">
        <v>8</v>
      </c>
      <c r="S1996">
        <v>0.53332999999999997</v>
      </c>
      <c r="T1996" t="s">
        <v>152</v>
      </c>
      <c r="U1996" t="s">
        <v>136</v>
      </c>
      <c r="V1996" t="s">
        <v>62</v>
      </c>
      <c r="W1996" t="s">
        <v>62</v>
      </c>
      <c r="X1996">
        <v>2</v>
      </c>
      <c r="Y1996">
        <v>5</v>
      </c>
      <c r="Z1996">
        <v>7</v>
      </c>
      <c r="AA1996">
        <v>0.41666999999999998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2</v>
      </c>
      <c r="AH1996">
        <v>0</v>
      </c>
      <c r="AI1996">
        <v>2</v>
      </c>
      <c r="AJ1996">
        <v>7</v>
      </c>
      <c r="AK1996">
        <v>0.22222</v>
      </c>
      <c r="AL1996">
        <v>12</v>
      </c>
      <c r="AM1996">
        <v>10</v>
      </c>
      <c r="AN1996">
        <v>34</v>
      </c>
      <c r="AO1996">
        <v>8</v>
      </c>
      <c r="AP1996">
        <v>21</v>
      </c>
      <c r="AQ1996">
        <v>4</v>
      </c>
      <c r="AR1996" t="s">
        <v>15551</v>
      </c>
      <c r="AS1996" t="s">
        <v>15552</v>
      </c>
      <c r="AT1996">
        <v>0.28199999999999997</v>
      </c>
      <c r="AU1996" t="s">
        <v>65</v>
      </c>
      <c r="AV1996">
        <v>55</v>
      </c>
      <c r="AW1996">
        <v>12</v>
      </c>
      <c r="AX1996" t="s">
        <v>15553</v>
      </c>
      <c r="AY1996">
        <v>4.2970000000000001E-2</v>
      </c>
      <c r="AZ1996">
        <v>-1.9E-3</v>
      </c>
      <c r="BA1996">
        <v>2.3900000000000002E-3</v>
      </c>
      <c r="BB1996">
        <v>-1.1E-4</v>
      </c>
      <c r="BC1996">
        <v>5.5509999999999997E-2</v>
      </c>
      <c r="BD1996">
        <v>1</v>
      </c>
      <c r="BE1996" t="s">
        <v>69</v>
      </c>
      <c r="BF1996">
        <v>-0.13600000000000001</v>
      </c>
      <c r="BG1996">
        <v>-1.383</v>
      </c>
    </row>
    <row r="1997" spans="1:59">
      <c r="A1997">
        <v>0</v>
      </c>
      <c r="B1997">
        <v>18</v>
      </c>
      <c r="C1997">
        <v>5</v>
      </c>
      <c r="D1997" t="s">
        <v>25022</v>
      </c>
      <c r="E1997">
        <v>4126</v>
      </c>
      <c r="F1997" t="s">
        <v>24317</v>
      </c>
      <c r="G1997" t="s">
        <v>62</v>
      </c>
      <c r="H1997">
        <v>4092698</v>
      </c>
      <c r="I1997">
        <v>4093837</v>
      </c>
      <c r="J1997" t="s">
        <v>637</v>
      </c>
      <c r="K1997">
        <v>380</v>
      </c>
      <c r="L1997" t="s">
        <v>24318</v>
      </c>
      <c r="M1997">
        <v>37</v>
      </c>
      <c r="N1997" t="str">
        <f>HYPERLINK("Gene4126-zp_tree_all.dnd", "Gene4126-tree")</f>
        <v>Gene4126-tree</v>
      </c>
      <c r="O1997">
        <v>0</v>
      </c>
      <c r="P1997">
        <v>32</v>
      </c>
      <c r="Q1997">
        <v>0</v>
      </c>
      <c r="R1997">
        <v>13</v>
      </c>
      <c r="S1997">
        <v>1</v>
      </c>
      <c r="T1997" t="s">
        <v>62</v>
      </c>
      <c r="U1997" t="s">
        <v>10857</v>
      </c>
      <c r="V1997">
        <v>3.9590000000000001</v>
      </c>
      <c r="W1997" t="s">
        <v>65</v>
      </c>
      <c r="X1997">
        <v>9</v>
      </c>
      <c r="Y1997">
        <v>23</v>
      </c>
      <c r="Z1997">
        <v>34</v>
      </c>
      <c r="AA1997">
        <v>0.40350999999999998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4</v>
      </c>
      <c r="AH1997">
        <v>8</v>
      </c>
      <c r="AI1997">
        <v>12</v>
      </c>
      <c r="AJ1997">
        <v>31</v>
      </c>
      <c r="AK1997">
        <v>0.27906999999999998</v>
      </c>
      <c r="AL1997">
        <v>11</v>
      </c>
      <c r="AM1997">
        <v>10</v>
      </c>
      <c r="AN1997">
        <v>40</v>
      </c>
      <c r="AO1997">
        <v>35</v>
      </c>
      <c r="AP1997">
        <v>47</v>
      </c>
      <c r="AQ1997">
        <v>23</v>
      </c>
      <c r="AR1997" t="s">
        <v>24319</v>
      </c>
      <c r="AS1997" t="s">
        <v>24320</v>
      </c>
      <c r="AT1997">
        <v>0.65200000000000002</v>
      </c>
      <c r="AU1997" t="s">
        <v>65</v>
      </c>
      <c r="AV1997">
        <v>87</v>
      </c>
      <c r="AW1997">
        <v>58</v>
      </c>
      <c r="AX1997" t="s">
        <v>24321</v>
      </c>
      <c r="AY1997">
        <v>7.3370000000000005E-2</v>
      </c>
      <c r="AZ1997">
        <v>-5.0600000000000003E-3</v>
      </c>
      <c r="BA1997">
        <v>1.247E-2</v>
      </c>
      <c r="BB1997">
        <v>-4.6999999999999999E-4</v>
      </c>
      <c r="BC1997">
        <v>0.17000999999999999</v>
      </c>
      <c r="BD1997">
        <v>1</v>
      </c>
      <c r="BE1997" t="s">
        <v>69</v>
      </c>
      <c r="BF1997">
        <v>0.13800000000000001</v>
      </c>
      <c r="BG1997">
        <v>-1.008</v>
      </c>
    </row>
    <row r="1998" spans="1:59">
      <c r="A1998">
        <v>0</v>
      </c>
      <c r="B1998">
        <v>0</v>
      </c>
      <c r="C1998">
        <v>0</v>
      </c>
      <c r="D1998" t="s">
        <v>25022</v>
      </c>
      <c r="E1998">
        <v>3737</v>
      </c>
      <c r="F1998" t="s">
        <v>21912</v>
      </c>
      <c r="G1998" t="s">
        <v>62</v>
      </c>
      <c r="H1998">
        <v>3714742</v>
      </c>
      <c r="I1998">
        <v>3715881</v>
      </c>
      <c r="J1998" t="s">
        <v>11506</v>
      </c>
      <c r="K1998">
        <v>380</v>
      </c>
      <c r="L1998" t="s">
        <v>21913</v>
      </c>
      <c r="M1998">
        <v>24</v>
      </c>
      <c r="N1998" t="str">
        <f>HYPERLINK("Gene3737-zp_tree_all.dnd", "Gene3737-tree")</f>
        <v>Gene3737-tree</v>
      </c>
      <c r="O1998">
        <v>1</v>
      </c>
      <c r="P1998">
        <v>4</v>
      </c>
      <c r="Q1998">
        <v>1</v>
      </c>
      <c r="R1998">
        <v>4</v>
      </c>
      <c r="S1998">
        <v>0.8</v>
      </c>
      <c r="T1998" t="s">
        <v>175</v>
      </c>
      <c r="U1998" t="s">
        <v>61</v>
      </c>
      <c r="V1998" t="s">
        <v>62</v>
      </c>
      <c r="W1998" t="s">
        <v>62</v>
      </c>
      <c r="X1998">
        <v>0</v>
      </c>
      <c r="Y1998">
        <v>0</v>
      </c>
      <c r="Z1998">
        <v>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9</v>
      </c>
      <c r="AK1998">
        <v>0</v>
      </c>
      <c r="AL1998">
        <v>3</v>
      </c>
      <c r="AM1998">
        <v>2</v>
      </c>
      <c r="AN1998">
        <v>12</v>
      </c>
      <c r="AO1998">
        <v>7</v>
      </c>
      <c r="AP1998">
        <v>3</v>
      </c>
      <c r="AQ1998">
        <v>2</v>
      </c>
      <c r="AR1998" t="s">
        <v>21914</v>
      </c>
      <c r="AS1998" t="s">
        <v>21915</v>
      </c>
      <c r="AT1998">
        <v>0.16200000000000001</v>
      </c>
      <c r="AU1998" t="s">
        <v>65</v>
      </c>
      <c r="AV1998">
        <v>15</v>
      </c>
      <c r="AW1998">
        <v>9</v>
      </c>
      <c r="AX1998" t="s">
        <v>21916</v>
      </c>
      <c r="AY1998">
        <v>2.6970000000000001E-2</v>
      </c>
      <c r="AZ1998">
        <v>-3.5899999999999999E-3</v>
      </c>
      <c r="BA1998">
        <v>4.5399999999999998E-3</v>
      </c>
      <c r="BB1998">
        <v>-6.8000000000000005E-4</v>
      </c>
      <c r="BC1998">
        <v>0.16839000000000001</v>
      </c>
      <c r="BD1998">
        <v>1</v>
      </c>
      <c r="BE1998" t="s">
        <v>69</v>
      </c>
      <c r="BF1998">
        <v>-1.6859999999999999</v>
      </c>
      <c r="BG1998">
        <v>-1.2969999999999999</v>
      </c>
    </row>
    <row r="1999" spans="1:59">
      <c r="A1999">
        <v>0</v>
      </c>
      <c r="B1999">
        <v>9</v>
      </c>
      <c r="C1999">
        <v>7</v>
      </c>
      <c r="D1999" t="s">
        <v>25022</v>
      </c>
      <c r="E1999">
        <v>677</v>
      </c>
      <c r="F1999" t="s">
        <v>4222</v>
      </c>
      <c r="G1999" t="s">
        <v>57</v>
      </c>
      <c r="H1999">
        <v>699093</v>
      </c>
      <c r="I1999">
        <v>700232</v>
      </c>
      <c r="J1999" t="s">
        <v>4223</v>
      </c>
      <c r="K1999">
        <v>380</v>
      </c>
      <c r="L1999" t="s">
        <v>4224</v>
      </c>
      <c r="M1999">
        <v>44</v>
      </c>
      <c r="N1999" t="str">
        <f>HYPERLINK("Gene677-zp_tree_all.dnd", "Gene677-tree")</f>
        <v>Gene677-tree</v>
      </c>
      <c r="O1999">
        <v>4</v>
      </c>
      <c r="P1999">
        <v>11</v>
      </c>
      <c r="Q1999">
        <v>4</v>
      </c>
      <c r="R1999">
        <v>11</v>
      </c>
      <c r="S1999">
        <v>0.73333000000000004</v>
      </c>
      <c r="T1999" t="s">
        <v>61</v>
      </c>
      <c r="U1999" t="s">
        <v>73</v>
      </c>
      <c r="V1999">
        <v>200307210.301</v>
      </c>
      <c r="W1999" t="s">
        <v>267</v>
      </c>
      <c r="X1999">
        <v>7</v>
      </c>
      <c r="Y1999">
        <v>16</v>
      </c>
      <c r="Z1999">
        <v>26</v>
      </c>
      <c r="AA1999">
        <v>0.38095000000000001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6</v>
      </c>
      <c r="AH1999">
        <v>6</v>
      </c>
      <c r="AI1999">
        <v>12</v>
      </c>
      <c r="AJ1999">
        <v>21</v>
      </c>
      <c r="AK1999">
        <v>0.36364000000000002</v>
      </c>
      <c r="AL1999">
        <v>15</v>
      </c>
      <c r="AM1999">
        <v>10</v>
      </c>
      <c r="AN1999">
        <v>74</v>
      </c>
      <c r="AO1999">
        <v>35</v>
      </c>
      <c r="AP1999">
        <v>15</v>
      </c>
      <c r="AQ1999">
        <v>10</v>
      </c>
      <c r="AR1999" t="s">
        <v>4225</v>
      </c>
      <c r="AS1999" t="s">
        <v>4226</v>
      </c>
      <c r="AT1999">
        <v>0.32100000000000001</v>
      </c>
      <c r="AU1999" t="s">
        <v>65</v>
      </c>
      <c r="AV1999">
        <v>89</v>
      </c>
      <c r="AW1999">
        <v>45</v>
      </c>
      <c r="AX1999" t="s">
        <v>4227</v>
      </c>
      <c r="AY1999">
        <v>5.4989999999999997E-2</v>
      </c>
      <c r="AZ1999">
        <v>-4.7400000000000003E-3</v>
      </c>
      <c r="BA1999">
        <v>8.6700000000000006E-3</v>
      </c>
      <c r="BB1999">
        <v>-5.9000000000000003E-4</v>
      </c>
      <c r="BC1999">
        <v>0.15770999999999999</v>
      </c>
      <c r="BD1999">
        <v>1</v>
      </c>
      <c r="BE1999" t="s">
        <v>69</v>
      </c>
      <c r="BF1999">
        <v>-1.3819999999999999</v>
      </c>
      <c r="BG1999">
        <v>-3.613</v>
      </c>
    </row>
    <row r="2000" spans="1:59">
      <c r="A2000">
        <v>0</v>
      </c>
      <c r="B2000">
        <v>30</v>
      </c>
      <c r="C2000">
        <v>2</v>
      </c>
      <c r="D2000" t="s">
        <v>25022</v>
      </c>
      <c r="E2000">
        <v>4088</v>
      </c>
      <c r="F2000" t="s">
        <v>24068</v>
      </c>
      <c r="G2000" t="s">
        <v>62</v>
      </c>
      <c r="H2000">
        <v>4056873</v>
      </c>
      <c r="I2000">
        <v>4058012</v>
      </c>
      <c r="J2000" t="s">
        <v>24069</v>
      </c>
      <c r="K2000">
        <v>380</v>
      </c>
      <c r="L2000" t="s">
        <v>108</v>
      </c>
      <c r="M2000">
        <v>44</v>
      </c>
      <c r="N2000" t="str">
        <f>HYPERLINK("Gene4088-zp_tree_all.dnd", "Gene4088-tree")</f>
        <v>Gene4088-tree</v>
      </c>
      <c r="O2000">
        <v>2</v>
      </c>
      <c r="P2000">
        <v>13</v>
      </c>
      <c r="Q2000">
        <v>2</v>
      </c>
      <c r="R2000">
        <v>13</v>
      </c>
      <c r="S2000">
        <v>0.86667000000000005</v>
      </c>
      <c r="T2000" t="s">
        <v>81</v>
      </c>
      <c r="U2000" t="s">
        <v>507</v>
      </c>
      <c r="V2000" t="s">
        <v>62</v>
      </c>
      <c r="W2000" t="s">
        <v>62</v>
      </c>
      <c r="X2000">
        <v>11</v>
      </c>
      <c r="Y2000">
        <v>32</v>
      </c>
      <c r="Z2000">
        <v>9</v>
      </c>
      <c r="AA2000">
        <v>0.78049000000000002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19</v>
      </c>
      <c r="AH2000">
        <v>2</v>
      </c>
      <c r="AI2000">
        <v>21</v>
      </c>
      <c r="AJ2000">
        <v>10</v>
      </c>
      <c r="AK2000">
        <v>0.67742000000000002</v>
      </c>
      <c r="AL2000">
        <v>15</v>
      </c>
      <c r="AM2000">
        <v>12</v>
      </c>
      <c r="AN2000">
        <v>50</v>
      </c>
      <c r="AO2000">
        <v>31</v>
      </c>
      <c r="AP2000">
        <v>35</v>
      </c>
      <c r="AQ2000">
        <v>10</v>
      </c>
      <c r="AR2000" t="s">
        <v>24070</v>
      </c>
      <c r="AS2000" t="s">
        <v>24071</v>
      </c>
      <c r="AT2000">
        <v>1.605</v>
      </c>
      <c r="AU2000" t="s">
        <v>65</v>
      </c>
      <c r="AV2000">
        <v>85</v>
      </c>
      <c r="AW2000">
        <v>41</v>
      </c>
      <c r="AX2000" t="s">
        <v>24072</v>
      </c>
      <c r="AY2000">
        <v>5.2389999999999999E-2</v>
      </c>
      <c r="AZ2000">
        <v>-1.3699999999999999E-3</v>
      </c>
      <c r="BA2000">
        <v>6.8199999999999997E-3</v>
      </c>
      <c r="BB2000">
        <v>-2.1000000000000001E-4</v>
      </c>
      <c r="BC2000">
        <v>0.13023000000000001</v>
      </c>
      <c r="BD2000">
        <v>1</v>
      </c>
      <c r="BE2000" t="s">
        <v>69</v>
      </c>
      <c r="BF2000">
        <v>0.42199999999999999</v>
      </c>
      <c r="BG2000">
        <v>0.216</v>
      </c>
    </row>
    <row r="2001" spans="1:59">
      <c r="A2001">
        <v>0</v>
      </c>
      <c r="B2001">
        <v>14</v>
      </c>
      <c r="C2001">
        <v>2</v>
      </c>
      <c r="D2001" t="s">
        <v>25022</v>
      </c>
      <c r="E2001">
        <v>3695</v>
      </c>
      <c r="F2001" t="s">
        <v>21675</v>
      </c>
      <c r="G2001" t="s">
        <v>62</v>
      </c>
      <c r="H2001">
        <v>3664244</v>
      </c>
      <c r="I2001">
        <v>3665383</v>
      </c>
      <c r="J2001" t="s">
        <v>21676</v>
      </c>
      <c r="K2001">
        <v>380</v>
      </c>
      <c r="L2001" t="s">
        <v>2078</v>
      </c>
      <c r="M2001">
        <v>36</v>
      </c>
      <c r="N2001" t="str">
        <f>HYPERLINK("Gene3695-zp_tree_all.dnd", "Gene3695-tree")</f>
        <v>Gene3695-tree</v>
      </c>
      <c r="O2001">
        <v>3</v>
      </c>
      <c r="P2001">
        <v>10</v>
      </c>
      <c r="Q2001">
        <v>3</v>
      </c>
      <c r="R2001">
        <v>10</v>
      </c>
      <c r="S2001">
        <v>0.76922999999999997</v>
      </c>
      <c r="T2001" t="s">
        <v>324</v>
      </c>
      <c r="U2001" t="s">
        <v>117</v>
      </c>
      <c r="V2001" t="s">
        <v>62</v>
      </c>
      <c r="W2001" t="s">
        <v>62</v>
      </c>
      <c r="X2001">
        <v>7</v>
      </c>
      <c r="Y2001">
        <v>16</v>
      </c>
      <c r="Z2001">
        <v>9</v>
      </c>
      <c r="AA2001">
        <v>0.64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6</v>
      </c>
      <c r="AH2001">
        <v>2</v>
      </c>
      <c r="AI2001">
        <v>8</v>
      </c>
      <c r="AJ2001">
        <v>12</v>
      </c>
      <c r="AK2001">
        <v>0.4</v>
      </c>
      <c r="AL2001">
        <v>11</v>
      </c>
      <c r="AM2001">
        <v>7</v>
      </c>
      <c r="AN2001">
        <v>45</v>
      </c>
      <c r="AO2001">
        <v>20</v>
      </c>
      <c r="AP2001">
        <v>16</v>
      </c>
      <c r="AQ2001">
        <v>5</v>
      </c>
      <c r="AR2001" t="s">
        <v>21677</v>
      </c>
      <c r="AS2001" t="s">
        <v>21678</v>
      </c>
      <c r="AT2001">
        <v>0.65900000000000003</v>
      </c>
      <c r="AU2001" t="s">
        <v>65</v>
      </c>
      <c r="AV2001">
        <v>61</v>
      </c>
      <c r="AW2001">
        <v>25</v>
      </c>
      <c r="AX2001" t="s">
        <v>21679</v>
      </c>
      <c r="AY2001">
        <v>3.789E-2</v>
      </c>
      <c r="AZ2001">
        <v>-2.0999999999999999E-3</v>
      </c>
      <c r="BA2001">
        <v>4.8399999999999997E-3</v>
      </c>
      <c r="BB2001">
        <v>-2.3000000000000001E-4</v>
      </c>
      <c r="BC2001">
        <v>0.12783</v>
      </c>
      <c r="BD2001">
        <v>1</v>
      </c>
      <c r="BE2001" t="s">
        <v>69</v>
      </c>
      <c r="BF2001">
        <v>-1.0609999999999999</v>
      </c>
      <c r="BG2001">
        <v>-1.804</v>
      </c>
    </row>
    <row r="2002" spans="1:59">
      <c r="A2002">
        <v>0</v>
      </c>
      <c r="B2002">
        <v>0</v>
      </c>
      <c r="C2002">
        <v>2</v>
      </c>
      <c r="D2002" t="s">
        <v>25022</v>
      </c>
      <c r="E2002">
        <v>3510</v>
      </c>
      <c r="F2002" t="s">
        <v>20547</v>
      </c>
      <c r="G2002" t="s">
        <v>62</v>
      </c>
      <c r="H2002">
        <v>3469863</v>
      </c>
      <c r="I2002">
        <v>3471002</v>
      </c>
      <c r="J2002" t="s">
        <v>20548</v>
      </c>
      <c r="K2002">
        <v>380</v>
      </c>
      <c r="L2002" t="s">
        <v>108</v>
      </c>
      <c r="M2002">
        <v>44</v>
      </c>
      <c r="N2002" t="str">
        <f>HYPERLINK("Gene3510-zp_tree_all.dnd", "Gene3510-tree")</f>
        <v>Gene3510-tree</v>
      </c>
      <c r="O2002">
        <v>8</v>
      </c>
      <c r="P2002">
        <v>6</v>
      </c>
      <c r="Q2002">
        <v>8</v>
      </c>
      <c r="R2002">
        <v>6</v>
      </c>
      <c r="S2002">
        <v>0.42857000000000001</v>
      </c>
      <c r="T2002" t="s">
        <v>136</v>
      </c>
      <c r="U2002" t="s">
        <v>90</v>
      </c>
      <c r="V2002" t="s">
        <v>62</v>
      </c>
      <c r="W2002" t="s">
        <v>62</v>
      </c>
      <c r="X2002">
        <v>1</v>
      </c>
      <c r="Y2002">
        <v>2</v>
      </c>
      <c r="Z2002">
        <v>5</v>
      </c>
      <c r="AA2002">
        <v>0.28571000000000002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</v>
      </c>
      <c r="AI2002">
        <v>2</v>
      </c>
      <c r="AJ2002">
        <v>5</v>
      </c>
      <c r="AK2002">
        <v>0.28571000000000002</v>
      </c>
      <c r="AL2002">
        <v>12</v>
      </c>
      <c r="AM2002">
        <v>10</v>
      </c>
      <c r="AN2002">
        <v>33</v>
      </c>
      <c r="AO2002">
        <v>6</v>
      </c>
      <c r="AP2002">
        <v>19</v>
      </c>
      <c r="AQ2002">
        <v>1</v>
      </c>
      <c r="AR2002" t="s">
        <v>20549</v>
      </c>
      <c r="AS2002" t="s">
        <v>20550</v>
      </c>
      <c r="AT2002">
        <v>0.69</v>
      </c>
      <c r="AU2002" t="s">
        <v>65</v>
      </c>
      <c r="AV2002">
        <v>52</v>
      </c>
      <c r="AW2002">
        <v>7</v>
      </c>
      <c r="AX2002" t="s">
        <v>20551</v>
      </c>
      <c r="AY2002">
        <v>3.8179999999999999E-2</v>
      </c>
      <c r="AZ2002">
        <v>-1.42E-3</v>
      </c>
      <c r="BA2002">
        <v>1.2700000000000001E-3</v>
      </c>
      <c r="BB2002">
        <v>-1.2E-4</v>
      </c>
      <c r="BC2002">
        <v>3.3340000000000002E-2</v>
      </c>
      <c r="BD2002">
        <v>1</v>
      </c>
      <c r="BE2002" t="s">
        <v>69</v>
      </c>
      <c r="BF2002">
        <v>-1.014</v>
      </c>
      <c r="BG2002">
        <v>-1.1759999999999999</v>
      </c>
    </row>
    <row r="2003" spans="1:59">
      <c r="A2003">
        <v>0</v>
      </c>
      <c r="B2003">
        <v>0</v>
      </c>
      <c r="C2003">
        <v>0</v>
      </c>
      <c r="D2003" t="s">
        <v>25022</v>
      </c>
      <c r="E2003">
        <v>3213</v>
      </c>
      <c r="F2003" t="s">
        <v>18716</v>
      </c>
      <c r="G2003" t="s">
        <v>62</v>
      </c>
      <c r="H2003">
        <v>3168627</v>
      </c>
      <c r="I2003">
        <v>3169766</v>
      </c>
      <c r="J2003" t="s">
        <v>18717</v>
      </c>
      <c r="K2003">
        <v>380</v>
      </c>
      <c r="L2003" t="s">
        <v>108</v>
      </c>
      <c r="M2003">
        <v>44</v>
      </c>
      <c r="N2003" t="str">
        <f>HYPERLINK("Gene3213-zp_tree_all.dnd", "Gene3213-tree")</f>
        <v>Gene3213-tree</v>
      </c>
      <c r="O2003">
        <v>10</v>
      </c>
      <c r="P2003">
        <v>5</v>
      </c>
      <c r="Q2003">
        <v>10</v>
      </c>
      <c r="R2003">
        <v>5</v>
      </c>
      <c r="S2003">
        <v>0.33333000000000002</v>
      </c>
      <c r="T2003" t="s">
        <v>117</v>
      </c>
      <c r="U2003" t="s">
        <v>199</v>
      </c>
      <c r="V2003" t="s">
        <v>62</v>
      </c>
      <c r="W2003" t="s">
        <v>62</v>
      </c>
      <c r="X2003">
        <v>0</v>
      </c>
      <c r="Y2003">
        <v>0</v>
      </c>
      <c r="Z2003">
        <v>5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5</v>
      </c>
      <c r="AK2003">
        <v>0</v>
      </c>
      <c r="AL2003">
        <v>13</v>
      </c>
      <c r="AM2003">
        <v>8</v>
      </c>
      <c r="AN2003">
        <v>24</v>
      </c>
      <c r="AO2003">
        <v>5</v>
      </c>
      <c r="AP2003">
        <v>19</v>
      </c>
      <c r="AQ2003">
        <v>0</v>
      </c>
      <c r="AR2003" t="s">
        <v>18718</v>
      </c>
      <c r="AS2003" t="s">
        <v>193</v>
      </c>
      <c r="AT2003">
        <v>1.681</v>
      </c>
      <c r="AU2003" t="s">
        <v>65</v>
      </c>
      <c r="AV2003">
        <v>43</v>
      </c>
      <c r="AW2003">
        <v>5</v>
      </c>
      <c r="AX2003" t="s">
        <v>18719</v>
      </c>
      <c r="AY2003">
        <v>2.6530000000000001E-2</v>
      </c>
      <c r="AZ2003">
        <v>-9.3999999999999997E-4</v>
      </c>
      <c r="BA2003">
        <v>7.6000000000000004E-4</v>
      </c>
      <c r="BB2003">
        <v>-6.9999999999999994E-5</v>
      </c>
      <c r="BC2003">
        <v>2.8490000000000001E-2</v>
      </c>
      <c r="BD2003">
        <v>1</v>
      </c>
      <c r="BE2003" t="s">
        <v>69</v>
      </c>
      <c r="BF2003">
        <v>-0.52900000000000003</v>
      </c>
      <c r="BG2003">
        <v>-0.67400000000000004</v>
      </c>
    </row>
    <row r="2004" spans="1:59">
      <c r="A2004">
        <v>0</v>
      </c>
      <c r="B2004">
        <v>2</v>
      </c>
      <c r="C2004">
        <v>0</v>
      </c>
      <c r="D2004" t="s">
        <v>25022</v>
      </c>
      <c r="E2004">
        <v>3720</v>
      </c>
      <c r="F2004" t="s">
        <v>21801</v>
      </c>
      <c r="G2004" t="s">
        <v>62</v>
      </c>
      <c r="H2004">
        <v>3697824</v>
      </c>
      <c r="I2004">
        <v>3698963</v>
      </c>
      <c r="J2004" t="s">
        <v>21802</v>
      </c>
      <c r="K2004">
        <v>380</v>
      </c>
      <c r="L2004" t="s">
        <v>108</v>
      </c>
      <c r="M2004">
        <v>44</v>
      </c>
      <c r="N2004" t="str">
        <f>HYPERLINK("Gene3720-zp_tree_all.dnd", "Gene3720-tree")</f>
        <v>Gene3720-tree</v>
      </c>
      <c r="O2004">
        <v>9</v>
      </c>
      <c r="P2004">
        <v>3</v>
      </c>
      <c r="Q2004">
        <v>9</v>
      </c>
      <c r="R2004">
        <v>3</v>
      </c>
      <c r="S2004">
        <v>0.25</v>
      </c>
      <c r="T2004" t="s">
        <v>135</v>
      </c>
      <c r="U2004" t="s">
        <v>324</v>
      </c>
      <c r="V2004" t="s">
        <v>62</v>
      </c>
      <c r="W2004" t="s">
        <v>62</v>
      </c>
      <c r="X2004">
        <v>1</v>
      </c>
      <c r="Y2004">
        <v>2</v>
      </c>
      <c r="Z2004">
        <v>2</v>
      </c>
      <c r="AA2004">
        <v>0.5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3</v>
      </c>
      <c r="AK2004">
        <v>0</v>
      </c>
      <c r="AL2004">
        <v>12</v>
      </c>
      <c r="AM2004">
        <v>7</v>
      </c>
      <c r="AN2004">
        <v>33</v>
      </c>
      <c r="AO2004">
        <v>3</v>
      </c>
      <c r="AP2004">
        <v>16</v>
      </c>
      <c r="AQ2004">
        <v>1</v>
      </c>
      <c r="AR2004" t="s">
        <v>21803</v>
      </c>
      <c r="AS2004" t="s">
        <v>21804</v>
      </c>
      <c r="AT2004">
        <v>0.16200000000000001</v>
      </c>
      <c r="AU2004" t="s">
        <v>65</v>
      </c>
      <c r="AV2004">
        <v>49</v>
      </c>
      <c r="AW2004">
        <v>4</v>
      </c>
      <c r="AX2004" t="s">
        <v>2870</v>
      </c>
      <c r="AY2004">
        <v>3.8240000000000003E-2</v>
      </c>
      <c r="AZ2004">
        <v>-2E-3</v>
      </c>
      <c r="BA2004">
        <v>7.2000000000000005E-4</v>
      </c>
      <c r="BB2004">
        <v>-9.0000000000000006E-5</v>
      </c>
      <c r="BC2004">
        <v>1.8749999999999999E-2</v>
      </c>
      <c r="BD2004">
        <v>1</v>
      </c>
      <c r="BE2004" t="s">
        <v>69</v>
      </c>
      <c r="BF2004">
        <v>-0.26</v>
      </c>
      <c r="BG2004">
        <v>-0.35699999999999998</v>
      </c>
    </row>
    <row r="2005" spans="1:59">
      <c r="A2005">
        <v>0</v>
      </c>
      <c r="B2005">
        <v>15</v>
      </c>
      <c r="C2005">
        <v>0</v>
      </c>
      <c r="D2005" t="s">
        <v>25022</v>
      </c>
      <c r="E2005">
        <v>1397</v>
      </c>
      <c r="F2005" t="s">
        <v>8746</v>
      </c>
      <c r="G2005" t="s">
        <v>57</v>
      </c>
      <c r="H2005">
        <v>1412644</v>
      </c>
      <c r="I2005">
        <v>1413786</v>
      </c>
      <c r="J2005" t="s">
        <v>8747</v>
      </c>
      <c r="K2005">
        <v>381</v>
      </c>
      <c r="L2005" t="s">
        <v>108</v>
      </c>
      <c r="M2005">
        <v>44</v>
      </c>
      <c r="N2005" t="str">
        <f>HYPERLINK("Gene1397-zp_tree_all.dnd", "Gene1397-tree")</f>
        <v>Gene1397-tree</v>
      </c>
      <c r="O2005">
        <v>2</v>
      </c>
      <c r="P2005">
        <v>13</v>
      </c>
      <c r="Q2005">
        <v>2</v>
      </c>
      <c r="R2005">
        <v>13</v>
      </c>
      <c r="S2005">
        <v>0.86667000000000005</v>
      </c>
      <c r="T2005" t="s">
        <v>81</v>
      </c>
      <c r="U2005" t="s">
        <v>507</v>
      </c>
      <c r="V2005" t="s">
        <v>62</v>
      </c>
      <c r="W2005" t="s">
        <v>62</v>
      </c>
      <c r="X2005">
        <v>5</v>
      </c>
      <c r="Y2005">
        <v>15</v>
      </c>
      <c r="Z2005">
        <v>13</v>
      </c>
      <c r="AA2005">
        <v>0.53571000000000002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9</v>
      </c>
      <c r="AH2005">
        <v>0</v>
      </c>
      <c r="AI2005">
        <v>9</v>
      </c>
      <c r="AJ2005">
        <v>13</v>
      </c>
      <c r="AK2005">
        <v>0.40909000000000001</v>
      </c>
      <c r="AL2005">
        <v>13</v>
      </c>
      <c r="AM2005">
        <v>11</v>
      </c>
      <c r="AN2005">
        <v>13</v>
      </c>
      <c r="AO2005">
        <v>20</v>
      </c>
      <c r="AP2005">
        <v>9</v>
      </c>
      <c r="AQ2005">
        <v>9</v>
      </c>
      <c r="AR2005" t="s">
        <v>8748</v>
      </c>
      <c r="AS2005" t="s">
        <v>8749</v>
      </c>
      <c r="AT2005">
        <v>0.61599999999999999</v>
      </c>
      <c r="AU2005" t="s">
        <v>65</v>
      </c>
      <c r="AV2005">
        <v>22</v>
      </c>
      <c r="AW2005">
        <v>29</v>
      </c>
      <c r="AX2005" t="s">
        <v>8750</v>
      </c>
      <c r="AY2005">
        <v>2.002E-2</v>
      </c>
      <c r="AZ2005">
        <v>-8.8000000000000003E-4</v>
      </c>
      <c r="BA2005">
        <v>4.4900000000000001E-3</v>
      </c>
      <c r="BB2005">
        <v>-2.3000000000000001E-4</v>
      </c>
      <c r="BC2005">
        <v>0.22405</v>
      </c>
      <c r="BD2005">
        <v>1</v>
      </c>
      <c r="BE2005" t="s">
        <v>69</v>
      </c>
      <c r="BF2005">
        <v>-1.2190000000000001</v>
      </c>
      <c r="BG2005">
        <v>-2.2069999999999999</v>
      </c>
    </row>
    <row r="2006" spans="1:59">
      <c r="A2006">
        <v>0</v>
      </c>
      <c r="B2006">
        <v>14</v>
      </c>
      <c r="C2006">
        <v>0</v>
      </c>
      <c r="D2006" t="s">
        <v>25022</v>
      </c>
      <c r="E2006">
        <v>3500</v>
      </c>
      <c r="F2006" t="s">
        <v>20514</v>
      </c>
      <c r="G2006" t="s">
        <v>62</v>
      </c>
      <c r="H2006">
        <v>3462108</v>
      </c>
      <c r="I2006">
        <v>3463250</v>
      </c>
      <c r="J2006" t="s">
        <v>20515</v>
      </c>
      <c r="K2006">
        <v>381</v>
      </c>
      <c r="L2006" t="s">
        <v>108</v>
      </c>
      <c r="M2006">
        <v>44</v>
      </c>
      <c r="N2006" t="str">
        <f>HYPERLINK("Gene3500-zp_tree_all.dnd", "Gene3500-tree")</f>
        <v>Gene3500-tree</v>
      </c>
      <c r="O2006">
        <v>2</v>
      </c>
      <c r="P2006">
        <v>11</v>
      </c>
      <c r="Q2006">
        <v>2</v>
      </c>
      <c r="R2006">
        <v>11</v>
      </c>
      <c r="S2006">
        <v>0.84614999999999996</v>
      </c>
      <c r="T2006" t="s">
        <v>81</v>
      </c>
      <c r="U2006" t="s">
        <v>73</v>
      </c>
      <c r="V2006">
        <v>515075683.63</v>
      </c>
      <c r="W2006" t="s">
        <v>267</v>
      </c>
      <c r="X2006">
        <v>5</v>
      </c>
      <c r="Y2006">
        <v>14</v>
      </c>
      <c r="Z2006">
        <v>10</v>
      </c>
      <c r="AA2006">
        <v>0.58333000000000002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7</v>
      </c>
      <c r="AH2006">
        <v>0</v>
      </c>
      <c r="AI2006">
        <v>7</v>
      </c>
      <c r="AJ2006">
        <v>11</v>
      </c>
      <c r="AK2006">
        <v>0.38889000000000001</v>
      </c>
      <c r="AL2006">
        <v>13</v>
      </c>
      <c r="AM2006">
        <v>8</v>
      </c>
      <c r="AN2006">
        <v>36</v>
      </c>
      <c r="AO2006">
        <v>18</v>
      </c>
      <c r="AP2006">
        <v>7</v>
      </c>
      <c r="AQ2006">
        <v>6</v>
      </c>
      <c r="AR2006" t="s">
        <v>20516</v>
      </c>
      <c r="AS2006" t="s">
        <v>20517</v>
      </c>
      <c r="AT2006">
        <v>0.67800000000000005</v>
      </c>
      <c r="AU2006" t="s">
        <v>65</v>
      </c>
      <c r="AV2006">
        <v>43</v>
      </c>
      <c r="AW2006">
        <v>24</v>
      </c>
      <c r="AX2006" t="s">
        <v>20518</v>
      </c>
      <c r="AY2006">
        <v>2.6839999999999999E-2</v>
      </c>
      <c r="AZ2006">
        <v>-1.2199999999999999E-3</v>
      </c>
      <c r="BA2006">
        <v>4.5799999999999999E-3</v>
      </c>
      <c r="BB2006">
        <v>-2.0000000000000001E-4</v>
      </c>
      <c r="BC2006">
        <v>0.17054</v>
      </c>
      <c r="BD2006">
        <v>1</v>
      </c>
      <c r="BE2006" t="s">
        <v>69</v>
      </c>
      <c r="BF2006">
        <v>-0.93200000000000005</v>
      </c>
      <c r="BG2006">
        <v>-1.2090000000000001</v>
      </c>
    </row>
    <row r="2007" spans="1:59">
      <c r="A2007">
        <v>0</v>
      </c>
      <c r="B2007">
        <v>7</v>
      </c>
      <c r="C2007">
        <v>3</v>
      </c>
      <c r="D2007" t="s">
        <v>25022</v>
      </c>
      <c r="E2007">
        <v>3560</v>
      </c>
      <c r="F2007" t="s">
        <v>20877</v>
      </c>
      <c r="G2007" t="s">
        <v>62</v>
      </c>
      <c r="H2007">
        <v>3525253</v>
      </c>
      <c r="I2007">
        <v>3526395</v>
      </c>
      <c r="J2007" t="s">
        <v>20878</v>
      </c>
      <c r="K2007">
        <v>381</v>
      </c>
      <c r="L2007" t="s">
        <v>108</v>
      </c>
      <c r="M2007">
        <v>44</v>
      </c>
      <c r="N2007" t="str">
        <f>HYPERLINK("Gene3560-zp_tree_all.dnd", "Gene3560-tree")</f>
        <v>Gene3560-tree</v>
      </c>
      <c r="O2007">
        <v>8</v>
      </c>
      <c r="P2007">
        <v>7</v>
      </c>
      <c r="Q2007">
        <v>8</v>
      </c>
      <c r="R2007">
        <v>7</v>
      </c>
      <c r="S2007">
        <v>0.46666999999999997</v>
      </c>
      <c r="T2007" t="s">
        <v>136</v>
      </c>
      <c r="U2007" t="s">
        <v>152</v>
      </c>
      <c r="V2007" t="s">
        <v>62</v>
      </c>
      <c r="W2007" t="s">
        <v>62</v>
      </c>
      <c r="X2007">
        <v>4</v>
      </c>
      <c r="Y2007">
        <v>10</v>
      </c>
      <c r="Z2007">
        <v>20</v>
      </c>
      <c r="AA2007">
        <v>0.33333000000000002</v>
      </c>
      <c r="AB2007">
        <v>0</v>
      </c>
      <c r="AC2007">
        <v>0</v>
      </c>
      <c r="AD2007">
        <v>0</v>
      </c>
      <c r="AE2007">
        <v>2</v>
      </c>
      <c r="AF2007">
        <v>0</v>
      </c>
      <c r="AG2007">
        <v>2</v>
      </c>
      <c r="AH2007">
        <v>1</v>
      </c>
      <c r="AI2007">
        <v>3</v>
      </c>
      <c r="AJ2007">
        <v>15</v>
      </c>
      <c r="AK2007">
        <v>0.16667000000000001</v>
      </c>
      <c r="AL2007">
        <v>12</v>
      </c>
      <c r="AM2007">
        <v>11</v>
      </c>
      <c r="AN2007">
        <v>26</v>
      </c>
      <c r="AO2007">
        <v>16</v>
      </c>
      <c r="AP2007">
        <v>38</v>
      </c>
      <c r="AQ2007">
        <v>15</v>
      </c>
      <c r="AR2007" t="s">
        <v>20879</v>
      </c>
      <c r="AS2007" t="s">
        <v>20880</v>
      </c>
      <c r="AT2007">
        <v>0.50700000000000001</v>
      </c>
      <c r="AU2007" t="s">
        <v>65</v>
      </c>
      <c r="AV2007">
        <v>64</v>
      </c>
      <c r="AW2007">
        <v>31</v>
      </c>
      <c r="AX2007" t="s">
        <v>20881</v>
      </c>
      <c r="AY2007">
        <v>5.7950000000000002E-2</v>
      </c>
      <c r="AZ2007">
        <v>-2.7699999999999999E-3</v>
      </c>
      <c r="BA2007">
        <v>6.8700000000000002E-3</v>
      </c>
      <c r="BB2007">
        <v>-2.7999999999999998E-4</v>
      </c>
      <c r="BC2007">
        <v>0.11846</v>
      </c>
      <c r="BD2007">
        <v>1</v>
      </c>
      <c r="BE2007" t="s">
        <v>69</v>
      </c>
      <c r="BF2007">
        <v>0.14099999999999999</v>
      </c>
      <c r="BG2007">
        <v>-0.19</v>
      </c>
    </row>
    <row r="2008" spans="1:59">
      <c r="A2008">
        <v>0</v>
      </c>
      <c r="B2008">
        <v>9</v>
      </c>
      <c r="C2008">
        <v>2</v>
      </c>
      <c r="D2008" t="s">
        <v>25022</v>
      </c>
      <c r="E2008">
        <v>3077</v>
      </c>
      <c r="F2008" t="s">
        <v>17825</v>
      </c>
      <c r="G2008" t="s">
        <v>62</v>
      </c>
      <c r="H2008">
        <v>3026960</v>
      </c>
      <c r="I2008">
        <v>3028102</v>
      </c>
      <c r="J2008" t="s">
        <v>17826</v>
      </c>
      <c r="K2008">
        <v>381</v>
      </c>
      <c r="L2008" t="s">
        <v>108</v>
      </c>
      <c r="M2008">
        <v>44</v>
      </c>
      <c r="N2008" t="str">
        <f>HYPERLINK("Gene3077-zp_tree_all.dnd", "Gene3077-tree")</f>
        <v>Gene3077-tree</v>
      </c>
      <c r="O2008">
        <v>3</v>
      </c>
      <c r="P2008">
        <v>12</v>
      </c>
      <c r="Q2008">
        <v>3</v>
      </c>
      <c r="R2008">
        <v>12</v>
      </c>
      <c r="S2008">
        <v>0.8</v>
      </c>
      <c r="T2008" t="s">
        <v>324</v>
      </c>
      <c r="U2008" t="s">
        <v>109</v>
      </c>
      <c r="V2008" t="s">
        <v>62</v>
      </c>
      <c r="W2008" t="s">
        <v>62</v>
      </c>
      <c r="X2008">
        <v>4</v>
      </c>
      <c r="Y2008">
        <v>11</v>
      </c>
      <c r="Z2008">
        <v>14</v>
      </c>
      <c r="AA2008">
        <v>0.44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</v>
      </c>
      <c r="AH2008">
        <v>2</v>
      </c>
      <c r="AI2008">
        <v>5</v>
      </c>
      <c r="AJ2008">
        <v>12</v>
      </c>
      <c r="AK2008">
        <v>0.29411999999999999</v>
      </c>
      <c r="AL2008">
        <v>12</v>
      </c>
      <c r="AM2008">
        <v>10</v>
      </c>
      <c r="AN2008">
        <v>35</v>
      </c>
      <c r="AO2008">
        <v>15</v>
      </c>
      <c r="AP2008">
        <v>27</v>
      </c>
      <c r="AQ2008">
        <v>10</v>
      </c>
      <c r="AR2008" t="s">
        <v>17827</v>
      </c>
      <c r="AS2008" t="s">
        <v>17828</v>
      </c>
      <c r="AT2008">
        <v>0.33700000000000002</v>
      </c>
      <c r="AU2008" t="s">
        <v>65</v>
      </c>
      <c r="AV2008">
        <v>62</v>
      </c>
      <c r="AW2008">
        <v>25</v>
      </c>
      <c r="AX2008" t="s">
        <v>17829</v>
      </c>
      <c r="AY2008">
        <v>4.3389999999999998E-2</v>
      </c>
      <c r="AZ2008">
        <v>-1.56E-3</v>
      </c>
      <c r="BA2008">
        <v>4.9800000000000001E-3</v>
      </c>
      <c r="BB2008">
        <v>-2.3000000000000001E-4</v>
      </c>
      <c r="BC2008">
        <v>0.11476</v>
      </c>
      <c r="BD2008">
        <v>1</v>
      </c>
      <c r="BE2008" t="s">
        <v>69</v>
      </c>
      <c r="BF2008">
        <v>-6.6000000000000003E-2</v>
      </c>
      <c r="BG2008">
        <v>-0.61499999999999999</v>
      </c>
    </row>
    <row r="2009" spans="1:59">
      <c r="A2009">
        <v>0</v>
      </c>
      <c r="B2009">
        <v>6</v>
      </c>
      <c r="C2009">
        <v>2</v>
      </c>
      <c r="D2009" t="s">
        <v>25022</v>
      </c>
      <c r="E2009">
        <v>460</v>
      </c>
      <c r="F2009" t="s">
        <v>3121</v>
      </c>
      <c r="G2009" t="s">
        <v>57</v>
      </c>
      <c r="H2009">
        <v>505152</v>
      </c>
      <c r="I2009">
        <v>506294</v>
      </c>
      <c r="J2009" t="s">
        <v>3122</v>
      </c>
      <c r="K2009">
        <v>381</v>
      </c>
      <c r="L2009" t="s">
        <v>629</v>
      </c>
      <c r="M2009">
        <v>43</v>
      </c>
      <c r="N2009" t="str">
        <f>HYPERLINK("Gene460-zp_tree_all.dnd", "Gene460-tree")</f>
        <v>Gene460-tree</v>
      </c>
      <c r="O2009">
        <v>4</v>
      </c>
      <c r="P2009">
        <v>10</v>
      </c>
      <c r="Q2009">
        <v>4</v>
      </c>
      <c r="R2009">
        <v>10</v>
      </c>
      <c r="S2009">
        <v>0.71428999999999998</v>
      </c>
      <c r="T2009" t="s">
        <v>61</v>
      </c>
      <c r="U2009" t="s">
        <v>117</v>
      </c>
      <c r="V2009" t="s">
        <v>62</v>
      </c>
      <c r="W2009" t="s">
        <v>62</v>
      </c>
      <c r="X2009">
        <v>4</v>
      </c>
      <c r="Y2009">
        <v>8</v>
      </c>
      <c r="Z2009">
        <v>22</v>
      </c>
      <c r="AA2009">
        <v>0.26667000000000002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6</v>
      </c>
      <c r="AH2009">
        <v>2</v>
      </c>
      <c r="AI2009">
        <v>8</v>
      </c>
      <c r="AJ2009">
        <v>20</v>
      </c>
      <c r="AK2009">
        <v>0.28571000000000002</v>
      </c>
      <c r="AL2009">
        <v>11</v>
      </c>
      <c r="AM2009">
        <v>10</v>
      </c>
      <c r="AN2009">
        <v>94</v>
      </c>
      <c r="AO2009">
        <v>28</v>
      </c>
      <c r="AP2009">
        <v>38</v>
      </c>
      <c r="AQ2009">
        <v>3</v>
      </c>
      <c r="AR2009" t="s">
        <v>3123</v>
      </c>
      <c r="AS2009" t="s">
        <v>3124</v>
      </c>
      <c r="AT2009">
        <v>0.84599999999999997</v>
      </c>
      <c r="AU2009" t="s">
        <v>65</v>
      </c>
      <c r="AV2009">
        <v>132</v>
      </c>
      <c r="AW2009">
        <v>31</v>
      </c>
      <c r="AX2009" t="s">
        <v>3125</v>
      </c>
      <c r="AY2009">
        <v>8.8639999999999997E-2</v>
      </c>
      <c r="AZ2009">
        <v>-6.0400000000000002E-3</v>
      </c>
      <c r="BA2009">
        <v>5.5199999999999997E-3</v>
      </c>
      <c r="BB2009">
        <v>-4.6000000000000001E-4</v>
      </c>
      <c r="BC2009">
        <v>6.2260000000000003E-2</v>
      </c>
      <c r="BD2009">
        <v>1</v>
      </c>
      <c r="BE2009" t="s">
        <v>69</v>
      </c>
      <c r="BF2009">
        <v>-1.1919999999999999</v>
      </c>
      <c r="BG2009">
        <v>-0.76800000000000002</v>
      </c>
    </row>
    <row r="2010" spans="1:59">
      <c r="A2010">
        <v>0</v>
      </c>
      <c r="B2010">
        <v>0</v>
      </c>
      <c r="C2010">
        <v>0</v>
      </c>
      <c r="D2010" t="s">
        <v>25022</v>
      </c>
      <c r="E2010">
        <v>2885</v>
      </c>
      <c r="F2010" t="s">
        <v>16599</v>
      </c>
      <c r="G2010" t="s">
        <v>62</v>
      </c>
      <c r="H2010">
        <v>2832730</v>
      </c>
      <c r="I2010">
        <v>2833872</v>
      </c>
      <c r="J2010" t="s">
        <v>16600</v>
      </c>
      <c r="K2010">
        <v>381</v>
      </c>
      <c r="L2010" t="s">
        <v>465</v>
      </c>
      <c r="M2010">
        <v>46</v>
      </c>
      <c r="N2010" t="str">
        <f>HYPERLINK("Gene2885-zp_tree_all.dnd", "Gene2885-tree")</f>
        <v>Gene2885-tree</v>
      </c>
      <c r="O2010">
        <v>13</v>
      </c>
      <c r="P2010">
        <v>0</v>
      </c>
      <c r="Q2010">
        <v>13</v>
      </c>
      <c r="R2010">
        <v>0</v>
      </c>
      <c r="S2010">
        <v>0</v>
      </c>
      <c r="T2010" t="s">
        <v>507</v>
      </c>
      <c r="U2010" t="s">
        <v>62</v>
      </c>
      <c r="V2010" t="s">
        <v>62</v>
      </c>
      <c r="W2010" t="s">
        <v>62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11</v>
      </c>
      <c r="AM2010">
        <v>7</v>
      </c>
      <c r="AN2010">
        <v>28</v>
      </c>
      <c r="AO2010">
        <v>0</v>
      </c>
      <c r="AP2010">
        <v>61</v>
      </c>
      <c r="AQ2010">
        <v>1</v>
      </c>
      <c r="AR2010" t="s">
        <v>193</v>
      </c>
      <c r="AS2010" t="s">
        <v>16601</v>
      </c>
      <c r="AT2010">
        <v>0.30099999999999999</v>
      </c>
      <c r="AU2010" t="s">
        <v>65</v>
      </c>
      <c r="AV2010">
        <v>89</v>
      </c>
      <c r="AW2010">
        <v>1</v>
      </c>
      <c r="AX2010" t="s">
        <v>16602</v>
      </c>
      <c r="AY2010">
        <v>9.3640000000000001E-2</v>
      </c>
      <c r="AZ2010">
        <v>-1.145E-2</v>
      </c>
      <c r="BA2010">
        <v>3.2000000000000003E-4</v>
      </c>
      <c r="BB2010">
        <v>-6.0000000000000002E-5</v>
      </c>
      <c r="BC2010">
        <v>3.4099999999999998E-3</v>
      </c>
      <c r="BD2010">
        <v>1</v>
      </c>
      <c r="BE2010" t="s">
        <v>69</v>
      </c>
      <c r="BF2010">
        <v>-1.7749999999999999</v>
      </c>
      <c r="BG2010">
        <v>-0.124</v>
      </c>
    </row>
    <row r="2011" spans="1:59">
      <c r="A2011">
        <v>0</v>
      </c>
      <c r="B2011">
        <v>25</v>
      </c>
      <c r="C2011">
        <v>0</v>
      </c>
      <c r="D2011" t="s">
        <v>25022</v>
      </c>
      <c r="E2011">
        <v>4146</v>
      </c>
      <c r="F2011" t="s">
        <v>24402</v>
      </c>
      <c r="G2011" t="s">
        <v>62</v>
      </c>
      <c r="H2011">
        <v>4112076</v>
      </c>
      <c r="I2011">
        <v>4113221</v>
      </c>
      <c r="J2011" t="s">
        <v>24403</v>
      </c>
      <c r="K2011">
        <v>382</v>
      </c>
      <c r="L2011" t="s">
        <v>108</v>
      </c>
      <c r="M2011">
        <v>44</v>
      </c>
      <c r="N2011" t="str">
        <f>HYPERLINK("Gene4146-zp_tree_all.dnd", "Gene4146-tree")</f>
        <v>Gene4146-tree</v>
      </c>
      <c r="O2011">
        <v>4</v>
      </c>
      <c r="P2011">
        <v>29</v>
      </c>
      <c r="Q2011">
        <v>4</v>
      </c>
      <c r="R2011">
        <v>12</v>
      </c>
      <c r="S2011">
        <v>0.75</v>
      </c>
      <c r="T2011" t="s">
        <v>61</v>
      </c>
      <c r="U2011" t="s">
        <v>1455</v>
      </c>
      <c r="V2011">
        <v>1.4039999999999999</v>
      </c>
      <c r="W2011" t="s">
        <v>65</v>
      </c>
      <c r="X2011">
        <v>10</v>
      </c>
      <c r="Y2011">
        <v>25</v>
      </c>
      <c r="Z2011">
        <v>20</v>
      </c>
      <c r="AA2011">
        <v>0.55556000000000005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11</v>
      </c>
      <c r="AH2011">
        <v>0</v>
      </c>
      <c r="AI2011">
        <v>11</v>
      </c>
      <c r="AJ2011">
        <v>17</v>
      </c>
      <c r="AK2011">
        <v>0.39285999999999999</v>
      </c>
      <c r="AL2011">
        <v>13</v>
      </c>
      <c r="AM2011">
        <v>12</v>
      </c>
      <c r="AN2011">
        <v>46</v>
      </c>
      <c r="AO2011">
        <v>26</v>
      </c>
      <c r="AP2011">
        <v>54</v>
      </c>
      <c r="AQ2011">
        <v>23</v>
      </c>
      <c r="AR2011" t="s">
        <v>24404</v>
      </c>
      <c r="AS2011" t="s">
        <v>24405</v>
      </c>
      <c r="AT2011">
        <v>0.54400000000000004</v>
      </c>
      <c r="AU2011" t="s">
        <v>65</v>
      </c>
      <c r="AV2011">
        <v>100</v>
      </c>
      <c r="AW2011">
        <v>49</v>
      </c>
      <c r="AX2011" t="s">
        <v>24406</v>
      </c>
      <c r="AY2011">
        <v>6.447E-2</v>
      </c>
      <c r="AZ2011">
        <v>-2.3700000000000001E-3</v>
      </c>
      <c r="BA2011">
        <v>9.41E-3</v>
      </c>
      <c r="BB2011">
        <v>-3.4000000000000002E-4</v>
      </c>
      <c r="BC2011">
        <v>0.14593</v>
      </c>
      <c r="BD2011">
        <v>1</v>
      </c>
      <c r="BE2011" t="s">
        <v>69</v>
      </c>
      <c r="BF2011">
        <v>0.29299999999999998</v>
      </c>
      <c r="BG2011">
        <v>-5.7000000000000002E-2</v>
      </c>
    </row>
    <row r="2012" spans="1:59">
      <c r="A2012">
        <v>3</v>
      </c>
      <c r="B2012">
        <v>50</v>
      </c>
      <c r="C2012">
        <v>4</v>
      </c>
      <c r="D2012" t="s">
        <v>25022</v>
      </c>
      <c r="E2012">
        <v>4051</v>
      </c>
      <c r="F2012" t="s">
        <v>23846</v>
      </c>
      <c r="G2012" t="s">
        <v>62</v>
      </c>
      <c r="H2012">
        <v>4017511</v>
      </c>
      <c r="I2012">
        <v>4018656</v>
      </c>
      <c r="J2012" t="s">
        <v>23847</v>
      </c>
      <c r="K2012">
        <v>382</v>
      </c>
      <c r="L2012" t="s">
        <v>108</v>
      </c>
      <c r="M2012">
        <v>44</v>
      </c>
      <c r="N2012" t="str">
        <f>HYPERLINK("Gene4051-zp_tree_all.dnd", "Gene4051-tree")</f>
        <v>Gene4051-tree</v>
      </c>
      <c r="O2012">
        <v>0</v>
      </c>
      <c r="P2012">
        <v>16</v>
      </c>
      <c r="Q2012">
        <v>0</v>
      </c>
      <c r="R2012">
        <v>16</v>
      </c>
      <c r="S2012">
        <v>1</v>
      </c>
      <c r="T2012" t="s">
        <v>62</v>
      </c>
      <c r="U2012" t="s">
        <v>60</v>
      </c>
      <c r="V2012" t="s">
        <v>62</v>
      </c>
      <c r="W2012" t="s">
        <v>62</v>
      </c>
      <c r="X2012">
        <v>16</v>
      </c>
      <c r="Y2012">
        <v>57</v>
      </c>
      <c r="Z2012">
        <v>18</v>
      </c>
      <c r="AA2012">
        <v>0.76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32</v>
      </c>
      <c r="AH2012">
        <v>6</v>
      </c>
      <c r="AI2012">
        <v>38</v>
      </c>
      <c r="AJ2012">
        <v>19</v>
      </c>
      <c r="AK2012">
        <v>0.66666999999999998</v>
      </c>
      <c r="AL2012">
        <v>14</v>
      </c>
      <c r="AM2012">
        <v>13</v>
      </c>
      <c r="AN2012">
        <v>115</v>
      </c>
      <c r="AO2012">
        <v>52</v>
      </c>
      <c r="AP2012">
        <v>74</v>
      </c>
      <c r="AQ2012">
        <v>26</v>
      </c>
      <c r="AR2012" t="s">
        <v>23848</v>
      </c>
      <c r="AS2012" t="s">
        <v>23849</v>
      </c>
      <c r="AT2012">
        <v>0.69699999999999995</v>
      </c>
      <c r="AU2012" t="s">
        <v>65</v>
      </c>
      <c r="AV2012">
        <v>189</v>
      </c>
      <c r="AW2012">
        <v>78</v>
      </c>
      <c r="AX2012" t="s">
        <v>23850</v>
      </c>
      <c r="AY2012">
        <v>0.10552</v>
      </c>
      <c r="AZ2012">
        <v>-2.3600000000000001E-3</v>
      </c>
      <c r="BA2012">
        <v>1.208E-2</v>
      </c>
      <c r="BB2012">
        <v>-3.8000000000000002E-4</v>
      </c>
      <c r="BC2012">
        <v>0.1145</v>
      </c>
      <c r="BD2012">
        <v>1</v>
      </c>
      <c r="BE2012" t="s">
        <v>69</v>
      </c>
      <c r="BF2012">
        <v>-2.4E-2</v>
      </c>
      <c r="BG2012">
        <v>-1.0609999999999999</v>
      </c>
    </row>
    <row r="2013" spans="1:59">
      <c r="A2013">
        <v>0</v>
      </c>
      <c r="B2013">
        <v>16</v>
      </c>
      <c r="C2013">
        <v>2</v>
      </c>
      <c r="D2013" t="s">
        <v>25022</v>
      </c>
      <c r="E2013">
        <v>2065</v>
      </c>
      <c r="F2013" t="s">
        <v>12863</v>
      </c>
      <c r="G2013" t="s">
        <v>62</v>
      </c>
      <c r="H2013">
        <v>2150111</v>
      </c>
      <c r="I2013">
        <v>2151256</v>
      </c>
      <c r="J2013" t="s">
        <v>12864</v>
      </c>
      <c r="K2013">
        <v>382</v>
      </c>
      <c r="L2013" t="s">
        <v>108</v>
      </c>
      <c r="M2013">
        <v>44</v>
      </c>
      <c r="N2013" t="str">
        <f>HYPERLINK("Gene2065-zp_tree_all.dnd", "Gene2065-tree")</f>
        <v>Gene2065-tree</v>
      </c>
      <c r="O2013">
        <v>5</v>
      </c>
      <c r="P2013">
        <v>11</v>
      </c>
      <c r="Q2013">
        <v>5</v>
      </c>
      <c r="R2013">
        <v>11</v>
      </c>
      <c r="S2013">
        <v>0.6875</v>
      </c>
      <c r="T2013" t="s">
        <v>199</v>
      </c>
      <c r="U2013" t="s">
        <v>73</v>
      </c>
      <c r="V2013">
        <v>137353515.63499999</v>
      </c>
      <c r="W2013" t="s">
        <v>267</v>
      </c>
      <c r="X2013">
        <v>5</v>
      </c>
      <c r="Y2013">
        <v>18</v>
      </c>
      <c r="Z2013">
        <v>14</v>
      </c>
      <c r="AA2013">
        <v>0.5625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7</v>
      </c>
      <c r="AH2013">
        <v>2</v>
      </c>
      <c r="AI2013">
        <v>9</v>
      </c>
      <c r="AJ2013">
        <v>14</v>
      </c>
      <c r="AK2013">
        <v>0.39129999999999998</v>
      </c>
      <c r="AL2013">
        <v>15</v>
      </c>
      <c r="AM2013">
        <v>12</v>
      </c>
      <c r="AN2013">
        <v>42</v>
      </c>
      <c r="AO2013">
        <v>23</v>
      </c>
      <c r="AP2013">
        <v>22</v>
      </c>
      <c r="AQ2013">
        <v>9</v>
      </c>
      <c r="AR2013" t="s">
        <v>12865</v>
      </c>
      <c r="AS2013" t="s">
        <v>12866</v>
      </c>
      <c r="AT2013">
        <v>0.50600000000000001</v>
      </c>
      <c r="AU2013" t="s">
        <v>65</v>
      </c>
      <c r="AV2013">
        <v>64</v>
      </c>
      <c r="AW2013">
        <v>32</v>
      </c>
      <c r="AX2013" t="s">
        <v>12867</v>
      </c>
      <c r="AY2013">
        <v>4.2930000000000003E-2</v>
      </c>
      <c r="AZ2013">
        <v>-1.3699999999999999E-3</v>
      </c>
      <c r="BA2013">
        <v>4.8700000000000002E-3</v>
      </c>
      <c r="BB2013">
        <v>-2.3000000000000001E-4</v>
      </c>
      <c r="BC2013">
        <v>0.11354</v>
      </c>
      <c r="BD2013">
        <v>1</v>
      </c>
      <c r="BE2013" t="s">
        <v>69</v>
      </c>
      <c r="BF2013">
        <v>-1.046</v>
      </c>
      <c r="BG2013">
        <v>-2.504</v>
      </c>
    </row>
    <row r="2014" spans="1:59">
      <c r="A2014">
        <v>0</v>
      </c>
      <c r="B2014">
        <v>2</v>
      </c>
      <c r="C2014">
        <v>0</v>
      </c>
      <c r="D2014" t="s">
        <v>25022</v>
      </c>
      <c r="E2014">
        <v>2414</v>
      </c>
      <c r="F2014" t="s">
        <v>14064</v>
      </c>
      <c r="G2014" t="s">
        <v>62</v>
      </c>
      <c r="H2014">
        <v>2423386</v>
      </c>
      <c r="I2014">
        <v>2424531</v>
      </c>
      <c r="J2014" t="s">
        <v>14065</v>
      </c>
      <c r="K2014">
        <v>382</v>
      </c>
      <c r="L2014" t="s">
        <v>108</v>
      </c>
      <c r="M2014">
        <v>44</v>
      </c>
      <c r="N2014" t="str">
        <f>HYPERLINK("Gene2414-zp_tree_all.dnd", "Gene2414-tree")</f>
        <v>Gene2414-tree</v>
      </c>
      <c r="O2014">
        <v>5</v>
      </c>
      <c r="P2014">
        <v>7</v>
      </c>
      <c r="Q2014">
        <v>5</v>
      </c>
      <c r="R2014">
        <v>7</v>
      </c>
      <c r="S2014">
        <v>0.58333000000000002</v>
      </c>
      <c r="T2014" t="s">
        <v>199</v>
      </c>
      <c r="U2014" t="s">
        <v>152</v>
      </c>
      <c r="V2014" t="s">
        <v>62</v>
      </c>
      <c r="W2014" t="s">
        <v>62</v>
      </c>
      <c r="X2014">
        <v>1</v>
      </c>
      <c r="Y2014">
        <v>2</v>
      </c>
      <c r="Z2014">
        <v>7</v>
      </c>
      <c r="AA2014">
        <v>0.22222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</v>
      </c>
      <c r="AH2014">
        <v>0</v>
      </c>
      <c r="AI2014">
        <v>2</v>
      </c>
      <c r="AJ2014">
        <v>7</v>
      </c>
      <c r="AK2014">
        <v>0.22222</v>
      </c>
      <c r="AL2014">
        <v>9</v>
      </c>
      <c r="AM2014">
        <v>7</v>
      </c>
      <c r="AN2014">
        <v>19</v>
      </c>
      <c r="AO2014">
        <v>9</v>
      </c>
      <c r="AP2014">
        <v>16</v>
      </c>
      <c r="AQ2014">
        <v>0</v>
      </c>
      <c r="AR2014" t="s">
        <v>14066</v>
      </c>
      <c r="AS2014" t="s">
        <v>193</v>
      </c>
      <c r="AT2014">
        <v>2.359</v>
      </c>
      <c r="AU2014" t="s">
        <v>267</v>
      </c>
      <c r="AV2014">
        <v>35</v>
      </c>
      <c r="AW2014">
        <v>9</v>
      </c>
      <c r="AX2014" t="s">
        <v>14067</v>
      </c>
      <c r="AY2014">
        <v>2.8889999999999999E-2</v>
      </c>
      <c r="AZ2014">
        <v>-1.5499999999999999E-3</v>
      </c>
      <c r="BA2014">
        <v>1.65E-3</v>
      </c>
      <c r="BB2014">
        <v>-1.3999999999999999E-4</v>
      </c>
      <c r="BC2014">
        <v>5.722E-2</v>
      </c>
      <c r="BD2014">
        <v>1</v>
      </c>
      <c r="BE2014" t="s">
        <v>69</v>
      </c>
      <c r="BF2014">
        <v>-0.25</v>
      </c>
      <c r="BG2014">
        <v>-1.1719999999999999</v>
      </c>
    </row>
    <row r="2015" spans="1:59">
      <c r="A2015">
        <v>0</v>
      </c>
      <c r="B2015">
        <v>8</v>
      </c>
      <c r="C2015">
        <v>2</v>
      </c>
      <c r="D2015" t="s">
        <v>25022</v>
      </c>
      <c r="E2015">
        <v>381</v>
      </c>
      <c r="F2015" t="s">
        <v>2590</v>
      </c>
      <c r="G2015" t="s">
        <v>57</v>
      </c>
      <c r="H2015">
        <v>428831</v>
      </c>
      <c r="I2015">
        <v>429976</v>
      </c>
      <c r="J2015" t="s">
        <v>1932</v>
      </c>
      <c r="K2015">
        <v>382</v>
      </c>
      <c r="L2015" t="s">
        <v>59</v>
      </c>
      <c r="M2015">
        <v>49</v>
      </c>
      <c r="N2015" t="str">
        <f>HYPERLINK("Gene381-zp_tree_all.dnd", "Gene381-tree")</f>
        <v>Gene381-tree</v>
      </c>
      <c r="O2015">
        <v>12</v>
      </c>
      <c r="P2015">
        <v>6</v>
      </c>
      <c r="Q2015">
        <v>12</v>
      </c>
      <c r="R2015">
        <v>6</v>
      </c>
      <c r="S2015">
        <v>0.33333000000000002</v>
      </c>
      <c r="T2015" t="s">
        <v>109</v>
      </c>
      <c r="U2015" t="s">
        <v>90</v>
      </c>
      <c r="V2015" t="s">
        <v>62</v>
      </c>
      <c r="W2015" t="s">
        <v>62</v>
      </c>
      <c r="X2015">
        <v>5</v>
      </c>
      <c r="Y2015">
        <v>10</v>
      </c>
      <c r="Z2015">
        <v>9</v>
      </c>
      <c r="AA2015">
        <v>0.52632000000000001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2</v>
      </c>
      <c r="AH2015">
        <v>0</v>
      </c>
      <c r="AI2015">
        <v>2</v>
      </c>
      <c r="AJ2015">
        <v>5</v>
      </c>
      <c r="AK2015">
        <v>0.28571000000000002</v>
      </c>
      <c r="AL2015">
        <v>15</v>
      </c>
      <c r="AM2015">
        <v>11</v>
      </c>
      <c r="AN2015">
        <v>47</v>
      </c>
      <c r="AO2015">
        <v>7</v>
      </c>
      <c r="AP2015">
        <v>65</v>
      </c>
      <c r="AQ2015">
        <v>12</v>
      </c>
      <c r="AR2015" t="s">
        <v>2591</v>
      </c>
      <c r="AS2015" t="s">
        <v>2592</v>
      </c>
      <c r="AT2015">
        <v>0.14699999999999999</v>
      </c>
      <c r="AU2015" t="s">
        <v>65</v>
      </c>
      <c r="AV2015">
        <v>112</v>
      </c>
      <c r="AW2015">
        <v>19</v>
      </c>
      <c r="AX2015" t="s">
        <v>2593</v>
      </c>
      <c r="AY2015">
        <v>0.10223</v>
      </c>
      <c r="AZ2015">
        <v>-5.7400000000000003E-3</v>
      </c>
      <c r="BA2015">
        <v>4.79E-3</v>
      </c>
      <c r="BB2015">
        <v>-3.3E-4</v>
      </c>
      <c r="BC2015">
        <v>4.6809999999999997E-2</v>
      </c>
      <c r="BD2015">
        <v>1</v>
      </c>
      <c r="BE2015" t="s">
        <v>69</v>
      </c>
      <c r="BF2015">
        <v>-1.0349999999999999</v>
      </c>
      <c r="BG2015">
        <v>-0.41</v>
      </c>
    </row>
    <row r="2016" spans="1:59">
      <c r="A2016">
        <v>0</v>
      </c>
      <c r="B2016">
        <v>8</v>
      </c>
      <c r="C2016">
        <v>0</v>
      </c>
      <c r="D2016" t="s">
        <v>25022</v>
      </c>
      <c r="E2016">
        <v>1620</v>
      </c>
      <c r="F2016" t="s">
        <v>10146</v>
      </c>
      <c r="G2016" t="s">
        <v>57</v>
      </c>
      <c r="H2016">
        <v>1632208</v>
      </c>
      <c r="I2016">
        <v>1633353</v>
      </c>
      <c r="J2016" t="s">
        <v>10147</v>
      </c>
      <c r="K2016">
        <v>382</v>
      </c>
      <c r="L2016" t="s">
        <v>108</v>
      </c>
      <c r="M2016">
        <v>44</v>
      </c>
      <c r="N2016" t="str">
        <f>HYPERLINK("Gene1620-zp_tree_all.dnd", "Gene1620-tree")</f>
        <v>Gene1620-tree</v>
      </c>
      <c r="O2016">
        <v>9</v>
      </c>
      <c r="P2016">
        <v>24</v>
      </c>
      <c r="Q2016">
        <v>9</v>
      </c>
      <c r="R2016">
        <v>4</v>
      </c>
      <c r="S2016">
        <v>0.30769000000000002</v>
      </c>
      <c r="T2016" t="s">
        <v>135</v>
      </c>
      <c r="U2016" t="s">
        <v>1495</v>
      </c>
      <c r="V2016">
        <v>5.8639999999999999</v>
      </c>
      <c r="W2016" t="s">
        <v>65</v>
      </c>
      <c r="X2016">
        <v>3</v>
      </c>
      <c r="Y2016">
        <v>8</v>
      </c>
      <c r="Z2016">
        <v>3</v>
      </c>
      <c r="AA2016">
        <v>0.72726999999999997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5</v>
      </c>
      <c r="AH2016">
        <v>0</v>
      </c>
      <c r="AI2016">
        <v>5</v>
      </c>
      <c r="AJ2016">
        <v>4</v>
      </c>
      <c r="AK2016">
        <v>0.55556000000000005</v>
      </c>
      <c r="AL2016">
        <v>9</v>
      </c>
      <c r="AM2016">
        <v>9</v>
      </c>
      <c r="AN2016">
        <v>38</v>
      </c>
      <c r="AO2016">
        <v>9</v>
      </c>
      <c r="AP2016">
        <v>14</v>
      </c>
      <c r="AQ2016">
        <v>2</v>
      </c>
      <c r="AR2016" t="s">
        <v>10148</v>
      </c>
      <c r="AS2016" t="s">
        <v>10149</v>
      </c>
      <c r="AT2016">
        <v>0.36799999999999999</v>
      </c>
      <c r="AU2016" t="s">
        <v>65</v>
      </c>
      <c r="AV2016">
        <v>52</v>
      </c>
      <c r="AW2016">
        <v>11</v>
      </c>
      <c r="AX2016" t="s">
        <v>10150</v>
      </c>
      <c r="AY2016">
        <v>4.274E-2</v>
      </c>
      <c r="AZ2016">
        <v>-2.2799999999999999E-3</v>
      </c>
      <c r="BA2016">
        <v>1.8699999999999999E-3</v>
      </c>
      <c r="BB2016">
        <v>-1.8000000000000001E-4</v>
      </c>
      <c r="BC2016">
        <v>4.3779999999999999E-2</v>
      </c>
      <c r="BD2016">
        <v>1</v>
      </c>
      <c r="BE2016" t="s">
        <v>69</v>
      </c>
      <c r="BF2016">
        <v>-0.64900000000000002</v>
      </c>
      <c r="BG2016">
        <v>-2.08</v>
      </c>
    </row>
    <row r="2017" spans="1:59">
      <c r="A2017">
        <v>0</v>
      </c>
      <c r="B2017">
        <v>0</v>
      </c>
      <c r="C2017">
        <v>0</v>
      </c>
      <c r="D2017" t="s">
        <v>25022</v>
      </c>
      <c r="E2017">
        <v>1590</v>
      </c>
      <c r="F2017" t="s">
        <v>9948</v>
      </c>
      <c r="G2017" t="s">
        <v>57</v>
      </c>
      <c r="H2017">
        <v>1597832</v>
      </c>
      <c r="I2017">
        <v>1598977</v>
      </c>
      <c r="J2017" t="s">
        <v>506</v>
      </c>
      <c r="K2017">
        <v>382</v>
      </c>
      <c r="L2017" t="s">
        <v>59</v>
      </c>
      <c r="M2017">
        <v>49</v>
      </c>
      <c r="N2017" t="str">
        <f>HYPERLINK("Gene1590-zp_tree_all.dnd", "Gene1590-tree")</f>
        <v>Gene1590-tree</v>
      </c>
      <c r="O2017">
        <v>12</v>
      </c>
      <c r="P2017">
        <v>3</v>
      </c>
      <c r="Q2017">
        <v>12</v>
      </c>
      <c r="R2017">
        <v>3</v>
      </c>
      <c r="S2017">
        <v>0.2</v>
      </c>
      <c r="T2017" t="s">
        <v>109</v>
      </c>
      <c r="U2017" t="s">
        <v>324</v>
      </c>
      <c r="V2017" t="s">
        <v>62</v>
      </c>
      <c r="W2017" t="s">
        <v>62</v>
      </c>
      <c r="X2017">
        <v>0</v>
      </c>
      <c r="Y2017">
        <v>0</v>
      </c>
      <c r="Z2017">
        <v>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4</v>
      </c>
      <c r="AK2017">
        <v>0</v>
      </c>
      <c r="AL2017">
        <v>14</v>
      </c>
      <c r="AM2017">
        <v>11</v>
      </c>
      <c r="AN2017">
        <v>28</v>
      </c>
      <c r="AO2017">
        <v>4</v>
      </c>
      <c r="AP2017">
        <v>73</v>
      </c>
      <c r="AQ2017">
        <v>3</v>
      </c>
      <c r="AR2017" t="s">
        <v>9949</v>
      </c>
      <c r="AS2017" t="s">
        <v>9950</v>
      </c>
      <c r="AT2017">
        <v>0.42499999999999999</v>
      </c>
      <c r="AU2017" t="s">
        <v>65</v>
      </c>
      <c r="AV2017">
        <v>101</v>
      </c>
      <c r="AW2017">
        <v>7</v>
      </c>
      <c r="AX2017" t="s">
        <v>9951</v>
      </c>
      <c r="AY2017">
        <v>0.11756</v>
      </c>
      <c r="AZ2017">
        <v>-8.3800000000000003E-3</v>
      </c>
      <c r="BA2017">
        <v>1.72E-3</v>
      </c>
      <c r="BB2017">
        <v>-1.3999999999999999E-4</v>
      </c>
      <c r="BC2017">
        <v>1.465E-2</v>
      </c>
      <c r="BD2017">
        <v>1</v>
      </c>
      <c r="BE2017" t="s">
        <v>69</v>
      </c>
      <c r="BF2017">
        <v>-1.4970000000000001</v>
      </c>
      <c r="BG2017">
        <v>-0.313</v>
      </c>
    </row>
    <row r="2018" spans="1:59">
      <c r="A2018">
        <v>0</v>
      </c>
      <c r="B2018">
        <v>0</v>
      </c>
      <c r="C2018">
        <v>0</v>
      </c>
      <c r="D2018" t="s">
        <v>25022</v>
      </c>
      <c r="E2018">
        <v>2384</v>
      </c>
      <c r="F2018" t="s">
        <v>13870</v>
      </c>
      <c r="G2018" t="s">
        <v>62</v>
      </c>
      <c r="H2018">
        <v>2394667</v>
      </c>
      <c r="I2018">
        <v>2395812</v>
      </c>
      <c r="J2018" t="s">
        <v>13871</v>
      </c>
      <c r="K2018">
        <v>382</v>
      </c>
      <c r="L2018" t="s">
        <v>59</v>
      </c>
      <c r="M2018">
        <v>49</v>
      </c>
      <c r="N2018" t="str">
        <f>HYPERLINK("Gene2384-zp_tree_all.dnd", "Gene2384-tree")</f>
        <v>Gene2384-tree</v>
      </c>
      <c r="O2018">
        <v>15</v>
      </c>
      <c r="P2018">
        <v>3</v>
      </c>
      <c r="Q2018">
        <v>15</v>
      </c>
      <c r="R2018">
        <v>3</v>
      </c>
      <c r="S2018">
        <v>0.16667000000000001</v>
      </c>
      <c r="T2018" t="s">
        <v>100</v>
      </c>
      <c r="U2018" t="s">
        <v>324</v>
      </c>
      <c r="V2018" t="s">
        <v>62</v>
      </c>
      <c r="W2018" t="s">
        <v>62</v>
      </c>
      <c r="X2018">
        <v>0</v>
      </c>
      <c r="Y2018">
        <v>0</v>
      </c>
      <c r="Z2018">
        <v>5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3</v>
      </c>
      <c r="AK2018">
        <v>0</v>
      </c>
      <c r="AL2018">
        <v>15</v>
      </c>
      <c r="AM2018">
        <v>13</v>
      </c>
      <c r="AN2018">
        <v>36</v>
      </c>
      <c r="AO2018">
        <v>3</v>
      </c>
      <c r="AP2018">
        <v>69</v>
      </c>
      <c r="AQ2018">
        <v>2</v>
      </c>
      <c r="AR2018" t="s">
        <v>13872</v>
      </c>
      <c r="AS2018" t="s">
        <v>13873</v>
      </c>
      <c r="AT2018">
        <v>0.51200000000000001</v>
      </c>
      <c r="AU2018" t="s">
        <v>65</v>
      </c>
      <c r="AV2018">
        <v>105</v>
      </c>
      <c r="AW2018">
        <v>5</v>
      </c>
      <c r="AX2018" t="s">
        <v>13874</v>
      </c>
      <c r="AY2018">
        <v>8.9039999999999994E-2</v>
      </c>
      <c r="AZ2018">
        <v>-5.2300000000000003E-3</v>
      </c>
      <c r="BA2018">
        <v>1.09E-3</v>
      </c>
      <c r="BB2018">
        <v>-6.9999999999999994E-5</v>
      </c>
      <c r="BC2018">
        <v>1.2279999999999999E-2</v>
      </c>
      <c r="BD2018">
        <v>1</v>
      </c>
      <c r="BE2018" t="s">
        <v>69</v>
      </c>
      <c r="BF2018">
        <v>-1.246</v>
      </c>
      <c r="BG2018">
        <v>-0.46700000000000003</v>
      </c>
    </row>
    <row r="2019" spans="1:59">
      <c r="A2019">
        <v>0</v>
      </c>
      <c r="B2019">
        <v>0</v>
      </c>
      <c r="C2019">
        <v>6</v>
      </c>
      <c r="D2019" t="s">
        <v>25022</v>
      </c>
      <c r="E2019">
        <v>1717</v>
      </c>
      <c r="F2019" t="s">
        <v>10770</v>
      </c>
      <c r="G2019" t="s">
        <v>57</v>
      </c>
      <c r="H2019">
        <v>1722871</v>
      </c>
      <c r="I2019">
        <v>1724019</v>
      </c>
      <c r="J2019" t="s">
        <v>10771</v>
      </c>
      <c r="K2019">
        <v>383</v>
      </c>
      <c r="L2019" t="s">
        <v>59</v>
      </c>
      <c r="M2019">
        <v>49</v>
      </c>
      <c r="N2019" t="str">
        <f>HYPERLINK("Gene1717-zp_tree_all.dnd", "Gene1717-tree")</f>
        <v>Gene1717-tree</v>
      </c>
      <c r="O2019">
        <v>7</v>
      </c>
      <c r="P2019">
        <v>8</v>
      </c>
      <c r="Q2019">
        <v>7</v>
      </c>
      <c r="R2019">
        <v>8</v>
      </c>
      <c r="S2019">
        <v>0.53332999999999997</v>
      </c>
      <c r="T2019" t="s">
        <v>152</v>
      </c>
      <c r="U2019" t="s">
        <v>136</v>
      </c>
      <c r="V2019" t="s">
        <v>62</v>
      </c>
      <c r="W2019" t="s">
        <v>62</v>
      </c>
      <c r="X2019">
        <v>3</v>
      </c>
      <c r="Y2019">
        <v>6</v>
      </c>
      <c r="Z2019">
        <v>11</v>
      </c>
      <c r="AA2019">
        <v>0.35293999999999998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</v>
      </c>
      <c r="AI2019">
        <v>2</v>
      </c>
      <c r="AJ2019">
        <v>10</v>
      </c>
      <c r="AK2019">
        <v>0.16667000000000001</v>
      </c>
      <c r="AL2019">
        <v>12</v>
      </c>
      <c r="AM2019">
        <v>8</v>
      </c>
      <c r="AN2019">
        <v>33</v>
      </c>
      <c r="AO2019">
        <v>12</v>
      </c>
      <c r="AP2019">
        <v>52</v>
      </c>
      <c r="AQ2019">
        <v>5</v>
      </c>
      <c r="AR2019" t="s">
        <v>10772</v>
      </c>
      <c r="AS2019" t="s">
        <v>10773</v>
      </c>
      <c r="AT2019">
        <v>1.1399999999999999</v>
      </c>
      <c r="AU2019" t="s">
        <v>65</v>
      </c>
      <c r="AV2019">
        <v>85</v>
      </c>
      <c r="AW2019">
        <v>17</v>
      </c>
      <c r="AX2019" t="s">
        <v>10774</v>
      </c>
      <c r="AY2019">
        <v>9.3920000000000003E-2</v>
      </c>
      <c r="AZ2019">
        <v>-6.8500000000000002E-3</v>
      </c>
      <c r="BA2019">
        <v>4.0499999999999998E-3</v>
      </c>
      <c r="BB2019">
        <v>-2.7999999999999998E-4</v>
      </c>
      <c r="BC2019">
        <v>4.308E-2</v>
      </c>
      <c r="BD2019">
        <v>1</v>
      </c>
      <c r="BE2019" t="s">
        <v>69</v>
      </c>
      <c r="BF2019">
        <v>-1.4770000000000001</v>
      </c>
      <c r="BG2019">
        <v>-1.3580000000000001</v>
      </c>
    </row>
    <row r="2020" spans="1:59">
      <c r="A2020">
        <v>0</v>
      </c>
      <c r="B2020">
        <v>4</v>
      </c>
      <c r="C2020">
        <v>0</v>
      </c>
      <c r="D2020" t="s">
        <v>25022</v>
      </c>
      <c r="E2020">
        <v>3458</v>
      </c>
      <c r="F2020" t="s">
        <v>20247</v>
      </c>
      <c r="G2020" t="s">
        <v>62</v>
      </c>
      <c r="H2020">
        <v>3417225</v>
      </c>
      <c r="I2020">
        <v>3418376</v>
      </c>
      <c r="J2020" t="s">
        <v>20241</v>
      </c>
      <c r="K2020">
        <v>384</v>
      </c>
      <c r="L2020" t="s">
        <v>629</v>
      </c>
      <c r="M2020">
        <v>43</v>
      </c>
      <c r="N2020" t="str">
        <f>HYPERLINK("Gene3458-zp_tree_all.dnd", "Gene3458-tree")</f>
        <v>Gene3458-tree</v>
      </c>
      <c r="O2020">
        <v>5</v>
      </c>
      <c r="P2020">
        <v>10</v>
      </c>
      <c r="Q2020">
        <v>5</v>
      </c>
      <c r="R2020">
        <v>10</v>
      </c>
      <c r="S2020">
        <v>0.66666999999999998</v>
      </c>
      <c r="T2020" t="s">
        <v>199</v>
      </c>
      <c r="U2020" t="s">
        <v>117</v>
      </c>
      <c r="V2020" t="s">
        <v>62</v>
      </c>
      <c r="W2020" t="s">
        <v>62</v>
      </c>
      <c r="X2020">
        <v>2</v>
      </c>
      <c r="Y2020">
        <v>4</v>
      </c>
      <c r="Z2020">
        <v>21</v>
      </c>
      <c r="AA2020">
        <v>0.16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20</v>
      </c>
      <c r="AK2020">
        <v>0</v>
      </c>
      <c r="AL2020">
        <v>13</v>
      </c>
      <c r="AM2020">
        <v>12</v>
      </c>
      <c r="AN2020">
        <v>35</v>
      </c>
      <c r="AO2020">
        <v>17</v>
      </c>
      <c r="AP2020">
        <v>36</v>
      </c>
      <c r="AQ2020">
        <v>8</v>
      </c>
      <c r="AR2020" t="s">
        <v>20248</v>
      </c>
      <c r="AS2020" t="s">
        <v>20249</v>
      </c>
      <c r="AT2020">
        <v>0.47799999999999998</v>
      </c>
      <c r="AU2020" t="s">
        <v>65</v>
      </c>
      <c r="AV2020">
        <v>71</v>
      </c>
      <c r="AW2020">
        <v>25</v>
      </c>
      <c r="AX2020" t="s">
        <v>20250</v>
      </c>
      <c r="AY2020">
        <v>4.7379999999999999E-2</v>
      </c>
      <c r="AZ2020">
        <v>-2.4599999999999999E-3</v>
      </c>
      <c r="BA2020">
        <v>5.2900000000000004E-3</v>
      </c>
      <c r="BB2020">
        <v>-2.5999999999999998E-4</v>
      </c>
      <c r="BC2020">
        <v>0.11165</v>
      </c>
      <c r="BD2020">
        <v>1</v>
      </c>
      <c r="BE2020" t="s">
        <v>69</v>
      </c>
      <c r="BF2020">
        <v>-0.84399999999999997</v>
      </c>
      <c r="BG2020">
        <v>-1.5680000000000001</v>
      </c>
    </row>
    <row r="2021" spans="1:59">
      <c r="A2021">
        <v>0</v>
      </c>
      <c r="B2021">
        <v>9</v>
      </c>
      <c r="C2021">
        <v>0</v>
      </c>
      <c r="D2021" t="s">
        <v>25022</v>
      </c>
      <c r="E2021">
        <v>223</v>
      </c>
      <c r="F2021" t="s">
        <v>1508</v>
      </c>
      <c r="G2021" t="s">
        <v>57</v>
      </c>
      <c r="H2021">
        <v>243892</v>
      </c>
      <c r="I2021">
        <v>245043</v>
      </c>
      <c r="J2021" t="s">
        <v>1509</v>
      </c>
      <c r="K2021">
        <v>384</v>
      </c>
      <c r="L2021" t="s">
        <v>108</v>
      </c>
      <c r="M2021">
        <v>44</v>
      </c>
      <c r="N2021" t="str">
        <f>HYPERLINK("Gene223-zp_tree_all.dnd", "Gene223-tree")</f>
        <v>Gene223-tree</v>
      </c>
      <c r="O2021">
        <v>6</v>
      </c>
      <c r="P2021">
        <v>9</v>
      </c>
      <c r="Q2021">
        <v>6</v>
      </c>
      <c r="R2021">
        <v>9</v>
      </c>
      <c r="S2021">
        <v>0.6</v>
      </c>
      <c r="T2021" t="s">
        <v>90</v>
      </c>
      <c r="U2021" t="s">
        <v>135</v>
      </c>
      <c r="V2021" t="s">
        <v>62</v>
      </c>
      <c r="W2021" t="s">
        <v>62</v>
      </c>
      <c r="X2021">
        <v>4</v>
      </c>
      <c r="Y2021">
        <v>9</v>
      </c>
      <c r="Z2021">
        <v>18</v>
      </c>
      <c r="AA2021">
        <v>0.33333000000000002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8</v>
      </c>
      <c r="AH2021">
        <v>0</v>
      </c>
      <c r="AI2021">
        <v>8</v>
      </c>
      <c r="AJ2021">
        <v>14</v>
      </c>
      <c r="AK2021">
        <v>0.36364000000000002</v>
      </c>
      <c r="AL2021">
        <v>13</v>
      </c>
      <c r="AM2021">
        <v>11</v>
      </c>
      <c r="AN2021">
        <v>43</v>
      </c>
      <c r="AO2021">
        <v>22</v>
      </c>
      <c r="AP2021">
        <v>36</v>
      </c>
      <c r="AQ2021">
        <v>5</v>
      </c>
      <c r="AR2021" t="s">
        <v>1510</v>
      </c>
      <c r="AS2021" t="s">
        <v>1511</v>
      </c>
      <c r="AT2021">
        <v>1.6160000000000001</v>
      </c>
      <c r="AU2021" t="s">
        <v>65</v>
      </c>
      <c r="AV2021">
        <v>79</v>
      </c>
      <c r="AW2021">
        <v>27</v>
      </c>
      <c r="AX2021" t="s">
        <v>1512</v>
      </c>
      <c r="AY2021">
        <v>4.8250000000000001E-2</v>
      </c>
      <c r="AZ2021">
        <v>-2.15E-3</v>
      </c>
      <c r="BA2021">
        <v>4.81E-3</v>
      </c>
      <c r="BB2021">
        <v>-1.9000000000000001E-4</v>
      </c>
      <c r="BC2021">
        <v>9.9750000000000005E-2</v>
      </c>
      <c r="BD2021">
        <v>1</v>
      </c>
      <c r="BE2021" t="s">
        <v>69</v>
      </c>
      <c r="BF2021">
        <v>-0.245</v>
      </c>
      <c r="BG2021">
        <v>-1.1439999999999999</v>
      </c>
    </row>
    <row r="2022" spans="1:59">
      <c r="A2022">
        <v>0</v>
      </c>
      <c r="B2022">
        <v>8</v>
      </c>
      <c r="C2022">
        <v>1</v>
      </c>
      <c r="D2022" t="s">
        <v>25022</v>
      </c>
      <c r="E2022">
        <v>3558</v>
      </c>
      <c r="F2022" t="s">
        <v>20863</v>
      </c>
      <c r="G2022" t="s">
        <v>62</v>
      </c>
      <c r="H2022">
        <v>3523273</v>
      </c>
      <c r="I2022">
        <v>3524424</v>
      </c>
      <c r="J2022" t="s">
        <v>20864</v>
      </c>
      <c r="K2022">
        <v>384</v>
      </c>
      <c r="L2022" t="s">
        <v>4013</v>
      </c>
      <c r="M2022">
        <v>43</v>
      </c>
      <c r="N2022" t="str">
        <f>HYPERLINK("Gene3558-zp_tree_all.dnd", "Gene3558-tree")</f>
        <v>Gene3558-tree</v>
      </c>
      <c r="O2022">
        <v>8</v>
      </c>
      <c r="P2022">
        <v>8</v>
      </c>
      <c r="Q2022">
        <v>8</v>
      </c>
      <c r="R2022">
        <v>8</v>
      </c>
      <c r="S2022">
        <v>0.5</v>
      </c>
      <c r="T2022" t="s">
        <v>136</v>
      </c>
      <c r="U2022" t="s">
        <v>136</v>
      </c>
      <c r="V2022" t="s">
        <v>62</v>
      </c>
      <c r="W2022" t="s">
        <v>62</v>
      </c>
      <c r="X2022">
        <v>3</v>
      </c>
      <c r="Y2022">
        <v>9</v>
      </c>
      <c r="Z2022">
        <v>8</v>
      </c>
      <c r="AA2022">
        <v>0.52941000000000005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</v>
      </c>
      <c r="AH2022">
        <v>2</v>
      </c>
      <c r="AI2022">
        <v>4</v>
      </c>
      <c r="AJ2022">
        <v>6</v>
      </c>
      <c r="AK2022">
        <v>0.4</v>
      </c>
      <c r="AL2022">
        <v>15</v>
      </c>
      <c r="AM2022">
        <v>12</v>
      </c>
      <c r="AN2022">
        <v>41</v>
      </c>
      <c r="AO2022">
        <v>10</v>
      </c>
      <c r="AP2022">
        <v>55</v>
      </c>
      <c r="AQ2022">
        <v>7</v>
      </c>
      <c r="AR2022" t="s">
        <v>20865</v>
      </c>
      <c r="AS2022" t="s">
        <v>20866</v>
      </c>
      <c r="AT2022">
        <v>0.71299999999999997</v>
      </c>
      <c r="AU2022" t="s">
        <v>65</v>
      </c>
      <c r="AV2022">
        <v>96</v>
      </c>
      <c r="AW2022">
        <v>17</v>
      </c>
      <c r="AX2022" t="s">
        <v>20867</v>
      </c>
      <c r="AY2022">
        <v>7.2429999999999994E-2</v>
      </c>
      <c r="AZ2022">
        <v>-2.7000000000000001E-3</v>
      </c>
      <c r="BA2022">
        <v>3.3E-3</v>
      </c>
      <c r="BB2022">
        <v>-1.3999999999999999E-4</v>
      </c>
      <c r="BC2022">
        <v>4.5580000000000002E-2</v>
      </c>
      <c r="BD2022">
        <v>1</v>
      </c>
      <c r="BE2022" t="s">
        <v>69</v>
      </c>
      <c r="BF2022">
        <v>-0.38800000000000001</v>
      </c>
      <c r="BG2022">
        <v>-0.20399999999999999</v>
      </c>
    </row>
    <row r="2023" spans="1:59">
      <c r="A2023">
        <v>0</v>
      </c>
      <c r="B2023">
        <v>34</v>
      </c>
      <c r="C2023">
        <v>3</v>
      </c>
      <c r="D2023" t="s">
        <v>25022</v>
      </c>
      <c r="E2023">
        <v>3117</v>
      </c>
      <c r="F2023" t="s">
        <v>18087</v>
      </c>
      <c r="G2023" t="s">
        <v>62</v>
      </c>
      <c r="H2023">
        <v>3070249</v>
      </c>
      <c r="I2023">
        <v>3071403</v>
      </c>
      <c r="J2023" t="s">
        <v>5916</v>
      </c>
      <c r="K2023">
        <v>385</v>
      </c>
      <c r="L2023" t="s">
        <v>108</v>
      </c>
      <c r="M2023">
        <v>44</v>
      </c>
      <c r="N2023" t="str">
        <f>HYPERLINK("Gene3117-zp_tree_all.dnd", "Gene3117-tree")</f>
        <v>Gene3117-tree</v>
      </c>
      <c r="O2023">
        <v>1</v>
      </c>
      <c r="P2023">
        <v>15</v>
      </c>
      <c r="Q2023">
        <v>1</v>
      </c>
      <c r="R2023">
        <v>15</v>
      </c>
      <c r="S2023">
        <v>0.9375</v>
      </c>
      <c r="T2023" t="s">
        <v>175</v>
      </c>
      <c r="U2023" t="s">
        <v>100</v>
      </c>
      <c r="V2023" t="s">
        <v>62</v>
      </c>
      <c r="W2023" t="s">
        <v>62</v>
      </c>
      <c r="X2023">
        <v>15</v>
      </c>
      <c r="Y2023">
        <v>37</v>
      </c>
      <c r="Z2023">
        <v>21</v>
      </c>
      <c r="AA2023">
        <v>0.63793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10</v>
      </c>
      <c r="AH2023">
        <v>3</v>
      </c>
      <c r="AI2023">
        <v>13</v>
      </c>
      <c r="AJ2023">
        <v>28</v>
      </c>
      <c r="AK2023">
        <v>0.31707000000000002</v>
      </c>
      <c r="AL2023">
        <v>14</v>
      </c>
      <c r="AM2023">
        <v>13</v>
      </c>
      <c r="AN2023">
        <v>50</v>
      </c>
      <c r="AO2023">
        <v>42</v>
      </c>
      <c r="AP2023">
        <v>33</v>
      </c>
      <c r="AQ2023">
        <v>18</v>
      </c>
      <c r="AR2023" t="s">
        <v>18088</v>
      </c>
      <c r="AS2023" t="s">
        <v>18089</v>
      </c>
      <c r="AT2023">
        <v>0.82499999999999996</v>
      </c>
      <c r="AU2023" t="s">
        <v>65</v>
      </c>
      <c r="AV2023">
        <v>83</v>
      </c>
      <c r="AW2023">
        <v>60</v>
      </c>
      <c r="AX2023" t="s">
        <v>18090</v>
      </c>
      <c r="AY2023">
        <v>5.3780000000000001E-2</v>
      </c>
      <c r="AZ2023">
        <v>-2.1099999999999999E-3</v>
      </c>
      <c r="BA2023">
        <v>1.09E-2</v>
      </c>
      <c r="BB2023">
        <v>-4.0999999999999999E-4</v>
      </c>
      <c r="BC2023">
        <v>0.20258000000000001</v>
      </c>
      <c r="BD2023">
        <v>1</v>
      </c>
      <c r="BE2023" t="s">
        <v>69</v>
      </c>
      <c r="BF2023">
        <v>0.51300000000000001</v>
      </c>
      <c r="BG2023">
        <v>-0.36199999999999999</v>
      </c>
    </row>
    <row r="2024" spans="1:59">
      <c r="A2024">
        <v>2</v>
      </c>
      <c r="B2024">
        <v>40</v>
      </c>
      <c r="C2024">
        <v>7</v>
      </c>
      <c r="D2024" t="s">
        <v>25022</v>
      </c>
      <c r="E2024">
        <v>867</v>
      </c>
      <c r="F2024" t="s">
        <v>5414</v>
      </c>
      <c r="G2024" t="s">
        <v>57</v>
      </c>
      <c r="H2024">
        <v>907968</v>
      </c>
      <c r="I2024">
        <v>909122</v>
      </c>
      <c r="J2024" t="s">
        <v>5408</v>
      </c>
      <c r="K2024">
        <v>385</v>
      </c>
      <c r="L2024" t="s">
        <v>108</v>
      </c>
      <c r="M2024">
        <v>44</v>
      </c>
      <c r="N2024" t="str">
        <f>HYPERLINK("Gene867-zp_tree_all.dnd", "Gene867-tree")</f>
        <v>Gene867-tree</v>
      </c>
      <c r="O2024">
        <v>3</v>
      </c>
      <c r="P2024">
        <v>12</v>
      </c>
      <c r="Q2024">
        <v>3</v>
      </c>
      <c r="R2024">
        <v>12</v>
      </c>
      <c r="S2024">
        <v>0.8</v>
      </c>
      <c r="T2024" t="s">
        <v>324</v>
      </c>
      <c r="U2024" t="s">
        <v>109</v>
      </c>
      <c r="V2024" t="s">
        <v>62</v>
      </c>
      <c r="W2024" t="s">
        <v>62</v>
      </c>
      <c r="X2024">
        <v>17</v>
      </c>
      <c r="Y2024">
        <v>49</v>
      </c>
      <c r="Z2024">
        <v>24</v>
      </c>
      <c r="AA2024">
        <v>0.67122999999999999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19</v>
      </c>
      <c r="AH2024">
        <v>11</v>
      </c>
      <c r="AI2024">
        <v>30</v>
      </c>
      <c r="AJ2024">
        <v>24</v>
      </c>
      <c r="AK2024">
        <v>0.55556000000000005</v>
      </c>
      <c r="AL2024">
        <v>15</v>
      </c>
      <c r="AM2024">
        <v>11</v>
      </c>
      <c r="AN2024">
        <v>73</v>
      </c>
      <c r="AO2024">
        <v>57</v>
      </c>
      <c r="AP2024">
        <v>63</v>
      </c>
      <c r="AQ2024">
        <v>21</v>
      </c>
      <c r="AR2024" t="s">
        <v>5415</v>
      </c>
      <c r="AS2024" t="s">
        <v>5416</v>
      </c>
      <c r="AT2024">
        <v>1.234</v>
      </c>
      <c r="AU2024" t="s">
        <v>65</v>
      </c>
      <c r="AV2024">
        <v>136</v>
      </c>
      <c r="AW2024">
        <v>78</v>
      </c>
      <c r="AX2024" t="s">
        <v>5417</v>
      </c>
      <c r="AY2024">
        <v>8.5300000000000001E-2</v>
      </c>
      <c r="AZ2024">
        <v>-2.6199999999999999E-3</v>
      </c>
      <c r="BA2024">
        <v>1.349E-2</v>
      </c>
      <c r="BB2024">
        <v>-5.2999999999999998E-4</v>
      </c>
      <c r="BC2024">
        <v>0.15819</v>
      </c>
      <c r="BD2024">
        <v>1</v>
      </c>
      <c r="BE2024" t="s">
        <v>69</v>
      </c>
      <c r="BF2024">
        <v>0.27100000000000002</v>
      </c>
      <c r="BG2024">
        <v>0.20200000000000001</v>
      </c>
    </row>
    <row r="2025" spans="1:59">
      <c r="A2025">
        <v>0</v>
      </c>
      <c r="B2025">
        <v>6</v>
      </c>
      <c r="C2025">
        <v>2</v>
      </c>
      <c r="D2025" t="s">
        <v>25022</v>
      </c>
      <c r="E2025">
        <v>1158</v>
      </c>
      <c r="F2025" t="s">
        <v>7291</v>
      </c>
      <c r="G2025" t="s">
        <v>57</v>
      </c>
      <c r="H2025">
        <v>1198099</v>
      </c>
      <c r="I2025">
        <v>1199253</v>
      </c>
      <c r="J2025" t="s">
        <v>7292</v>
      </c>
      <c r="K2025">
        <v>385</v>
      </c>
      <c r="L2025" t="s">
        <v>108</v>
      </c>
      <c r="M2025">
        <v>44</v>
      </c>
      <c r="N2025" t="str">
        <f>HYPERLINK("Gene1158-zp_tree_all.dnd", "Gene1158-tree")</f>
        <v>Gene1158-tree</v>
      </c>
      <c r="O2025">
        <v>4</v>
      </c>
      <c r="P2025">
        <v>31</v>
      </c>
      <c r="Q2025">
        <v>4</v>
      </c>
      <c r="R2025">
        <v>8</v>
      </c>
      <c r="S2025">
        <v>0.66666999999999998</v>
      </c>
      <c r="T2025" t="s">
        <v>61</v>
      </c>
      <c r="U2025" t="s">
        <v>7249</v>
      </c>
      <c r="V2025">
        <v>3.2010000000000001</v>
      </c>
      <c r="W2025" t="s">
        <v>65</v>
      </c>
      <c r="X2025">
        <v>4</v>
      </c>
      <c r="Y2025">
        <v>8</v>
      </c>
      <c r="Z2025">
        <v>9</v>
      </c>
      <c r="AA2025">
        <v>0.47059000000000001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4</v>
      </c>
      <c r="AH2025">
        <v>2</v>
      </c>
      <c r="AI2025">
        <v>6</v>
      </c>
      <c r="AJ2025">
        <v>8</v>
      </c>
      <c r="AK2025">
        <v>0.42857000000000001</v>
      </c>
      <c r="AL2025">
        <v>12</v>
      </c>
      <c r="AM2025">
        <v>7</v>
      </c>
      <c r="AN2025">
        <v>42</v>
      </c>
      <c r="AO2025">
        <v>15</v>
      </c>
      <c r="AP2025">
        <v>10</v>
      </c>
      <c r="AQ2025">
        <v>3</v>
      </c>
      <c r="AR2025" t="s">
        <v>7293</v>
      </c>
      <c r="AS2025" t="s">
        <v>7294</v>
      </c>
      <c r="AT2025">
        <v>0.22900000000000001</v>
      </c>
      <c r="AU2025" t="s">
        <v>65</v>
      </c>
      <c r="AV2025">
        <v>52</v>
      </c>
      <c r="AW2025">
        <v>18</v>
      </c>
      <c r="AX2025" t="s">
        <v>7295</v>
      </c>
      <c r="AY2025">
        <v>3.7350000000000001E-2</v>
      </c>
      <c r="AZ2025">
        <v>-1.74E-3</v>
      </c>
      <c r="BA2025">
        <v>3.9399999999999999E-3</v>
      </c>
      <c r="BB2025">
        <v>-2.3000000000000001E-4</v>
      </c>
      <c r="BC2025">
        <v>0.10546999999999999</v>
      </c>
      <c r="BD2025">
        <v>1</v>
      </c>
      <c r="BE2025" t="s">
        <v>69</v>
      </c>
      <c r="BF2025">
        <v>-1.29</v>
      </c>
      <c r="BG2025">
        <v>-2.5099999999999998</v>
      </c>
    </row>
    <row r="2026" spans="1:59">
      <c r="A2026">
        <v>0</v>
      </c>
      <c r="B2026">
        <v>8</v>
      </c>
      <c r="C2026">
        <v>1</v>
      </c>
      <c r="D2026" t="s">
        <v>25022</v>
      </c>
      <c r="E2026">
        <v>3964</v>
      </c>
      <c r="F2026" t="s">
        <v>23291</v>
      </c>
      <c r="G2026" t="s">
        <v>62</v>
      </c>
      <c r="H2026">
        <v>3927954</v>
      </c>
      <c r="I2026">
        <v>3929108</v>
      </c>
      <c r="J2026" t="s">
        <v>23292</v>
      </c>
      <c r="K2026">
        <v>385</v>
      </c>
      <c r="L2026" t="s">
        <v>108</v>
      </c>
      <c r="M2026">
        <v>44</v>
      </c>
      <c r="N2026" t="str">
        <f>HYPERLINK("Gene3964-zp_tree_all.dnd", "Gene3964-tree")</f>
        <v>Gene3964-tree</v>
      </c>
      <c r="O2026">
        <v>5</v>
      </c>
      <c r="P2026">
        <v>10</v>
      </c>
      <c r="Q2026">
        <v>5</v>
      </c>
      <c r="R2026">
        <v>10</v>
      </c>
      <c r="S2026">
        <v>0.66666999999999998</v>
      </c>
      <c r="T2026" t="s">
        <v>199</v>
      </c>
      <c r="U2026" t="s">
        <v>117</v>
      </c>
      <c r="V2026" t="s">
        <v>62</v>
      </c>
      <c r="W2026" t="s">
        <v>62</v>
      </c>
      <c r="X2026">
        <v>4</v>
      </c>
      <c r="Y2026">
        <v>9</v>
      </c>
      <c r="Z2026">
        <v>14</v>
      </c>
      <c r="AA2026">
        <v>0.39129999999999998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</v>
      </c>
      <c r="AH2026">
        <v>1</v>
      </c>
      <c r="AI2026">
        <v>3</v>
      </c>
      <c r="AJ2026">
        <v>12</v>
      </c>
      <c r="AK2026">
        <v>0.2</v>
      </c>
      <c r="AL2026">
        <v>14</v>
      </c>
      <c r="AM2026">
        <v>12</v>
      </c>
      <c r="AN2026">
        <v>48</v>
      </c>
      <c r="AO2026">
        <v>15</v>
      </c>
      <c r="AP2026">
        <v>40</v>
      </c>
      <c r="AQ2026">
        <v>8</v>
      </c>
      <c r="AR2026" t="s">
        <v>23293</v>
      </c>
      <c r="AS2026" t="s">
        <v>23294</v>
      </c>
      <c r="AT2026">
        <v>0.73799999999999999</v>
      </c>
      <c r="AU2026" t="s">
        <v>65</v>
      </c>
      <c r="AV2026">
        <v>88</v>
      </c>
      <c r="AW2026">
        <v>23</v>
      </c>
      <c r="AX2026" t="s">
        <v>23295</v>
      </c>
      <c r="AY2026">
        <v>6.0769999999999998E-2</v>
      </c>
      <c r="AZ2026">
        <v>-2.1199999999999999E-3</v>
      </c>
      <c r="BA2026">
        <v>5.2900000000000004E-3</v>
      </c>
      <c r="BB2026">
        <v>-2.2000000000000001E-4</v>
      </c>
      <c r="BC2026">
        <v>8.7029999999999996E-2</v>
      </c>
      <c r="BD2026">
        <v>1</v>
      </c>
      <c r="BE2026" t="s">
        <v>69</v>
      </c>
      <c r="BF2026">
        <v>-1.2E-2</v>
      </c>
      <c r="BG2026">
        <v>-0.48399999999999999</v>
      </c>
    </row>
    <row r="2027" spans="1:59">
      <c r="A2027">
        <v>0</v>
      </c>
      <c r="B2027">
        <v>6</v>
      </c>
      <c r="C2027">
        <v>2</v>
      </c>
      <c r="D2027" t="s">
        <v>25022</v>
      </c>
      <c r="E2027">
        <v>2311</v>
      </c>
      <c r="F2027" t="s">
        <v>13397</v>
      </c>
      <c r="G2027" t="s">
        <v>62</v>
      </c>
      <c r="H2027">
        <v>2330078</v>
      </c>
      <c r="I2027">
        <v>2331232</v>
      </c>
      <c r="J2027" t="s">
        <v>13398</v>
      </c>
      <c r="K2027">
        <v>385</v>
      </c>
      <c r="L2027" t="s">
        <v>108</v>
      </c>
      <c r="M2027">
        <v>44</v>
      </c>
      <c r="N2027" t="str">
        <f>HYPERLINK("Gene2311-zp_tree_all.dnd", "Gene2311-tree")</f>
        <v>Gene2311-tree</v>
      </c>
      <c r="O2027">
        <v>7</v>
      </c>
      <c r="P2027">
        <v>7</v>
      </c>
      <c r="Q2027">
        <v>7</v>
      </c>
      <c r="R2027">
        <v>7</v>
      </c>
      <c r="S2027">
        <v>0.5</v>
      </c>
      <c r="T2027" t="s">
        <v>152</v>
      </c>
      <c r="U2027" t="s">
        <v>152</v>
      </c>
      <c r="V2027" t="s">
        <v>62</v>
      </c>
      <c r="W2027" t="s">
        <v>62</v>
      </c>
      <c r="X2027">
        <v>3</v>
      </c>
      <c r="Y2027">
        <v>8</v>
      </c>
      <c r="Z2027">
        <v>4</v>
      </c>
      <c r="AA2027">
        <v>0.66666999999999998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</v>
      </c>
      <c r="AH2027">
        <v>2</v>
      </c>
      <c r="AI2027">
        <v>4</v>
      </c>
      <c r="AJ2027">
        <v>5</v>
      </c>
      <c r="AK2027">
        <v>0.44444</v>
      </c>
      <c r="AL2027">
        <v>14</v>
      </c>
      <c r="AM2027">
        <v>9</v>
      </c>
      <c r="AN2027">
        <v>45</v>
      </c>
      <c r="AO2027">
        <v>9</v>
      </c>
      <c r="AP2027">
        <v>28</v>
      </c>
      <c r="AQ2027">
        <v>3</v>
      </c>
      <c r="AR2027" t="s">
        <v>13399</v>
      </c>
      <c r="AS2027" t="s">
        <v>13400</v>
      </c>
      <c r="AT2027">
        <v>0.72399999999999998</v>
      </c>
      <c r="AU2027" t="s">
        <v>65</v>
      </c>
      <c r="AV2027">
        <v>73</v>
      </c>
      <c r="AW2027">
        <v>12</v>
      </c>
      <c r="AX2027" t="s">
        <v>13401</v>
      </c>
      <c r="AY2027">
        <v>5.1999999999999998E-2</v>
      </c>
      <c r="AZ2027">
        <v>-2.0200000000000001E-3</v>
      </c>
      <c r="BA2027">
        <v>2.0100000000000001E-3</v>
      </c>
      <c r="BB2027">
        <v>-1.3999999999999999E-4</v>
      </c>
      <c r="BC2027">
        <v>3.8679999999999999E-2</v>
      </c>
      <c r="BD2027">
        <v>1</v>
      </c>
      <c r="BE2027" t="s">
        <v>69</v>
      </c>
      <c r="BF2027">
        <v>-3.2000000000000001E-2</v>
      </c>
      <c r="BG2027">
        <v>-0.24</v>
      </c>
    </row>
    <row r="2028" spans="1:59">
      <c r="A2028">
        <v>0</v>
      </c>
      <c r="B2028">
        <v>2</v>
      </c>
      <c r="C2028">
        <v>0</v>
      </c>
      <c r="D2028" t="s">
        <v>25022</v>
      </c>
      <c r="E2028">
        <v>1670</v>
      </c>
      <c r="F2028" t="s">
        <v>10458</v>
      </c>
      <c r="G2028" t="s">
        <v>57</v>
      </c>
      <c r="H2028">
        <v>1680431</v>
      </c>
      <c r="I2028">
        <v>1681585</v>
      </c>
      <c r="J2028" t="s">
        <v>10459</v>
      </c>
      <c r="K2028">
        <v>385</v>
      </c>
      <c r="L2028" t="s">
        <v>59</v>
      </c>
      <c r="M2028">
        <v>49</v>
      </c>
      <c r="N2028" t="str">
        <f>HYPERLINK("Gene1670-zp_tree_all.dnd", "Gene1670-tree")</f>
        <v>Gene1670-tree</v>
      </c>
      <c r="O2028">
        <v>14</v>
      </c>
      <c r="P2028">
        <v>5</v>
      </c>
      <c r="Q2028">
        <v>14</v>
      </c>
      <c r="R2028">
        <v>5</v>
      </c>
      <c r="S2028">
        <v>0.26316000000000001</v>
      </c>
      <c r="T2028" t="s">
        <v>543</v>
      </c>
      <c r="U2028" t="s">
        <v>199</v>
      </c>
      <c r="V2028" t="s">
        <v>62</v>
      </c>
      <c r="W2028" t="s">
        <v>62</v>
      </c>
      <c r="X2028">
        <v>1</v>
      </c>
      <c r="Y2028">
        <v>2</v>
      </c>
      <c r="Z2028">
        <v>7</v>
      </c>
      <c r="AA2028">
        <v>0.22222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6</v>
      </c>
      <c r="AK2028">
        <v>0</v>
      </c>
      <c r="AL2028">
        <v>17</v>
      </c>
      <c r="AM2028">
        <v>10</v>
      </c>
      <c r="AN2028">
        <v>37</v>
      </c>
      <c r="AO2028">
        <v>6</v>
      </c>
      <c r="AP2028">
        <v>55</v>
      </c>
      <c r="AQ2028">
        <v>4</v>
      </c>
      <c r="AR2028" t="s">
        <v>10460</v>
      </c>
      <c r="AS2028" t="s">
        <v>10461</v>
      </c>
      <c r="AT2028">
        <v>0.433</v>
      </c>
      <c r="AU2028" t="s">
        <v>65</v>
      </c>
      <c r="AV2028">
        <v>92</v>
      </c>
      <c r="AW2028">
        <v>10</v>
      </c>
      <c r="AX2028" t="s">
        <v>10462</v>
      </c>
      <c r="AY2028">
        <v>8.1699999999999995E-2</v>
      </c>
      <c r="AZ2028">
        <v>-5.0400000000000002E-3</v>
      </c>
      <c r="BA2028">
        <v>2.5300000000000001E-3</v>
      </c>
      <c r="BB2028">
        <v>-1.9000000000000001E-4</v>
      </c>
      <c r="BC2028">
        <v>3.0980000000000001E-2</v>
      </c>
      <c r="BD2028">
        <v>1</v>
      </c>
      <c r="BE2028" t="s">
        <v>69</v>
      </c>
      <c r="BF2028">
        <v>-1.083</v>
      </c>
      <c r="BG2028">
        <v>-1.0940000000000001</v>
      </c>
    </row>
    <row r="2029" spans="1:59">
      <c r="A2029">
        <v>0</v>
      </c>
      <c r="B2029">
        <v>2</v>
      </c>
      <c r="C2029">
        <v>0</v>
      </c>
      <c r="D2029" t="s">
        <v>25022</v>
      </c>
      <c r="E2029">
        <v>3678</v>
      </c>
      <c r="F2029" t="s">
        <v>21583</v>
      </c>
      <c r="G2029" t="s">
        <v>62</v>
      </c>
      <c r="H2029">
        <v>3645382</v>
      </c>
      <c r="I2029">
        <v>3646536</v>
      </c>
      <c r="J2029" t="s">
        <v>21584</v>
      </c>
      <c r="K2029">
        <v>385</v>
      </c>
      <c r="L2029" t="s">
        <v>59</v>
      </c>
      <c r="M2029">
        <v>49</v>
      </c>
      <c r="N2029" t="str">
        <f>HYPERLINK("Gene3678-zp_tree_all.dnd", "Gene3678-tree")</f>
        <v>Gene3678-tree</v>
      </c>
      <c r="O2029">
        <v>14</v>
      </c>
      <c r="P2029">
        <v>3</v>
      </c>
      <c r="Q2029">
        <v>14</v>
      </c>
      <c r="R2029">
        <v>3</v>
      </c>
      <c r="S2029">
        <v>0.17646999999999999</v>
      </c>
      <c r="T2029" t="s">
        <v>543</v>
      </c>
      <c r="U2029" t="s">
        <v>324</v>
      </c>
      <c r="V2029" t="s">
        <v>62</v>
      </c>
      <c r="W2029" t="s">
        <v>62</v>
      </c>
      <c r="X2029">
        <v>1</v>
      </c>
      <c r="Y2029">
        <v>2</v>
      </c>
      <c r="Z2029">
        <v>4</v>
      </c>
      <c r="AA2029">
        <v>0.33333000000000002</v>
      </c>
      <c r="AB2029">
        <v>0</v>
      </c>
      <c r="AC2029">
        <v>0</v>
      </c>
      <c r="AD2029">
        <v>0</v>
      </c>
      <c r="AE2029">
        <v>2</v>
      </c>
      <c r="AF2029">
        <v>0</v>
      </c>
      <c r="AG2029">
        <v>0</v>
      </c>
      <c r="AH2029">
        <v>0</v>
      </c>
      <c r="AI2029">
        <v>0</v>
      </c>
      <c r="AJ2029">
        <v>3</v>
      </c>
      <c r="AK2029">
        <v>0</v>
      </c>
      <c r="AL2029">
        <v>11</v>
      </c>
      <c r="AM2029">
        <v>12</v>
      </c>
      <c r="AN2029">
        <v>33</v>
      </c>
      <c r="AO2029">
        <v>3</v>
      </c>
      <c r="AP2029">
        <v>60</v>
      </c>
      <c r="AQ2029">
        <v>3</v>
      </c>
      <c r="AR2029" t="s">
        <v>21585</v>
      </c>
      <c r="AS2029" t="s">
        <v>21586</v>
      </c>
      <c r="AT2029">
        <v>0.27200000000000002</v>
      </c>
      <c r="AU2029" t="s">
        <v>65</v>
      </c>
      <c r="AV2029">
        <v>93</v>
      </c>
      <c r="AW2029">
        <v>6</v>
      </c>
      <c r="AX2029" t="s">
        <v>21587</v>
      </c>
      <c r="AY2029">
        <v>0.1026</v>
      </c>
      <c r="AZ2029">
        <v>-7.3800000000000003E-3</v>
      </c>
      <c r="BA2029">
        <v>1.15E-3</v>
      </c>
      <c r="BB2029">
        <v>-9.0000000000000006E-5</v>
      </c>
      <c r="BC2029">
        <v>1.125E-2</v>
      </c>
      <c r="BD2029">
        <v>1</v>
      </c>
      <c r="BE2029" t="s">
        <v>69</v>
      </c>
      <c r="BF2029">
        <v>-1.462</v>
      </c>
      <c r="BG2029">
        <v>-1.02</v>
      </c>
    </row>
    <row r="2030" spans="1:59">
      <c r="A2030">
        <v>0</v>
      </c>
      <c r="B2030">
        <v>0</v>
      </c>
      <c r="C2030">
        <v>0</v>
      </c>
      <c r="D2030" t="s">
        <v>25022</v>
      </c>
      <c r="E2030">
        <v>2169</v>
      </c>
      <c r="F2030" t="s">
        <v>12931</v>
      </c>
      <c r="G2030" t="s">
        <v>62</v>
      </c>
      <c r="H2030">
        <v>2208997</v>
      </c>
      <c r="I2030">
        <v>2210154</v>
      </c>
      <c r="J2030" t="s">
        <v>12932</v>
      </c>
      <c r="K2030">
        <v>386</v>
      </c>
      <c r="L2030" t="s">
        <v>12901</v>
      </c>
      <c r="M2030">
        <v>17</v>
      </c>
      <c r="N2030" t="str">
        <f>HYPERLINK("Gene2169-zp_tree_all.dnd", "Gene2169-tree")</f>
        <v>Gene2169-tree</v>
      </c>
      <c r="O2030">
        <v>0</v>
      </c>
      <c r="P2030">
        <v>17</v>
      </c>
      <c r="Q2030">
        <v>0</v>
      </c>
      <c r="R2030">
        <v>4</v>
      </c>
      <c r="S2030">
        <v>1</v>
      </c>
      <c r="T2030" t="s">
        <v>62</v>
      </c>
      <c r="U2030" t="s">
        <v>12884</v>
      </c>
      <c r="V2030">
        <v>4.8689999999999998</v>
      </c>
      <c r="W2030" t="s">
        <v>65</v>
      </c>
      <c r="X2030">
        <v>0</v>
      </c>
      <c r="Y2030">
        <v>0</v>
      </c>
      <c r="Z2030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4</v>
      </c>
      <c r="AK2030">
        <v>0</v>
      </c>
      <c r="AL2030">
        <v>4</v>
      </c>
      <c r="AM2030">
        <v>0</v>
      </c>
      <c r="AN2030">
        <v>6</v>
      </c>
      <c r="AO2030">
        <v>4</v>
      </c>
      <c r="AP2030">
        <v>0</v>
      </c>
      <c r="AQ2030">
        <v>0</v>
      </c>
      <c r="AR2030" t="s">
        <v>12933</v>
      </c>
      <c r="AS2030" t="s">
        <v>193</v>
      </c>
      <c r="AT2030">
        <v>2</v>
      </c>
      <c r="AU2030" t="s">
        <v>267</v>
      </c>
      <c r="AV2030">
        <v>6</v>
      </c>
      <c r="AW2030">
        <v>4</v>
      </c>
      <c r="AX2030" t="s">
        <v>12934</v>
      </c>
      <c r="AY2030">
        <v>1.311E-2</v>
      </c>
      <c r="AZ2030">
        <v>-3.1099999999999999E-3</v>
      </c>
      <c r="BA2030">
        <v>2.16E-3</v>
      </c>
      <c r="BB2030">
        <v>0</v>
      </c>
      <c r="BC2030">
        <v>0.16488</v>
      </c>
      <c r="BD2030">
        <v>0.98899999999999999</v>
      </c>
      <c r="BE2030" t="s">
        <v>69</v>
      </c>
      <c r="BF2030">
        <v>-1.9690000000000001</v>
      </c>
      <c r="BG2030">
        <v>-2.6349999999999998</v>
      </c>
    </row>
    <row r="2031" spans="1:59">
      <c r="A2031">
        <v>0</v>
      </c>
      <c r="B2031">
        <v>14</v>
      </c>
      <c r="C2031">
        <v>0</v>
      </c>
      <c r="D2031" t="s">
        <v>25022</v>
      </c>
      <c r="E2031">
        <v>277</v>
      </c>
      <c r="F2031" t="s">
        <v>1891</v>
      </c>
      <c r="G2031" t="s">
        <v>57</v>
      </c>
      <c r="H2031">
        <v>297170</v>
      </c>
      <c r="I2031">
        <v>298327</v>
      </c>
      <c r="J2031" t="s">
        <v>1892</v>
      </c>
      <c r="K2031">
        <v>386</v>
      </c>
      <c r="L2031" t="s">
        <v>465</v>
      </c>
      <c r="M2031">
        <v>46</v>
      </c>
      <c r="N2031" t="str">
        <f>HYPERLINK("Gene277-zp_tree_all.dnd", "Gene277-tree")</f>
        <v>Gene277-tree</v>
      </c>
      <c r="O2031">
        <v>7</v>
      </c>
      <c r="P2031">
        <v>11</v>
      </c>
      <c r="Q2031">
        <v>7</v>
      </c>
      <c r="R2031">
        <v>11</v>
      </c>
      <c r="S2031">
        <v>0.61111000000000004</v>
      </c>
      <c r="T2031" t="s">
        <v>152</v>
      </c>
      <c r="U2031" t="s">
        <v>73</v>
      </c>
      <c r="V2031">
        <v>65406436.016999997</v>
      </c>
      <c r="W2031" t="s">
        <v>267</v>
      </c>
      <c r="X2031">
        <v>6</v>
      </c>
      <c r="Y2031">
        <v>14</v>
      </c>
      <c r="Z2031">
        <v>27</v>
      </c>
      <c r="AA2031">
        <v>0.34145999999999999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4</v>
      </c>
      <c r="AH2031">
        <v>0</v>
      </c>
      <c r="AI2031">
        <v>4</v>
      </c>
      <c r="AJ2031">
        <v>16</v>
      </c>
      <c r="AK2031">
        <v>0.2</v>
      </c>
      <c r="AL2031">
        <v>16</v>
      </c>
      <c r="AM2031">
        <v>13</v>
      </c>
      <c r="AN2031">
        <v>41</v>
      </c>
      <c r="AO2031">
        <v>19</v>
      </c>
      <c r="AP2031">
        <v>51</v>
      </c>
      <c r="AQ2031">
        <v>22</v>
      </c>
      <c r="AR2031" t="s">
        <v>1893</v>
      </c>
      <c r="AS2031" t="s">
        <v>1894</v>
      </c>
      <c r="AT2031">
        <v>5.0999999999999997E-2</v>
      </c>
      <c r="AU2031" t="s">
        <v>65</v>
      </c>
      <c r="AV2031">
        <v>92</v>
      </c>
      <c r="AW2031">
        <v>41</v>
      </c>
      <c r="AX2031" t="s">
        <v>1895</v>
      </c>
      <c r="AY2031">
        <v>6.3329999999999997E-2</v>
      </c>
      <c r="AZ2031">
        <v>-4.5500000000000002E-3</v>
      </c>
      <c r="BA2031">
        <v>7.7000000000000002E-3</v>
      </c>
      <c r="BB2031">
        <v>-4.2000000000000002E-4</v>
      </c>
      <c r="BC2031">
        <v>0.12154</v>
      </c>
      <c r="BD2031">
        <v>1</v>
      </c>
      <c r="BE2031" t="s">
        <v>69</v>
      </c>
      <c r="BF2031">
        <v>-1.522</v>
      </c>
      <c r="BG2031">
        <v>1.6E-2</v>
      </c>
    </row>
    <row r="2032" spans="1:59">
      <c r="A2032">
        <v>0</v>
      </c>
      <c r="B2032">
        <v>6</v>
      </c>
      <c r="C2032">
        <v>0</v>
      </c>
      <c r="D2032" t="s">
        <v>25022</v>
      </c>
      <c r="E2032">
        <v>26</v>
      </c>
      <c r="F2032" t="s">
        <v>256</v>
      </c>
      <c r="G2032" t="s">
        <v>57</v>
      </c>
      <c r="H2032">
        <v>36478</v>
      </c>
      <c r="I2032">
        <v>37635</v>
      </c>
      <c r="J2032" t="s">
        <v>257</v>
      </c>
      <c r="K2032">
        <v>386</v>
      </c>
      <c r="L2032" t="s">
        <v>108</v>
      </c>
      <c r="M2032">
        <v>44</v>
      </c>
      <c r="N2032" t="str">
        <f>HYPERLINK("Gene26-zp_tree_all.dnd", "Gene26-tree")</f>
        <v>Gene26-tree</v>
      </c>
      <c r="O2032">
        <v>6</v>
      </c>
      <c r="P2032">
        <v>8</v>
      </c>
      <c r="Q2032">
        <v>6</v>
      </c>
      <c r="R2032">
        <v>8</v>
      </c>
      <c r="S2032">
        <v>0.57142999999999999</v>
      </c>
      <c r="T2032" t="s">
        <v>90</v>
      </c>
      <c r="U2032" t="s">
        <v>136</v>
      </c>
      <c r="V2032" t="s">
        <v>62</v>
      </c>
      <c r="W2032" t="s">
        <v>62</v>
      </c>
      <c r="X2032">
        <v>2</v>
      </c>
      <c r="Y2032">
        <v>6</v>
      </c>
      <c r="Z2032">
        <v>12</v>
      </c>
      <c r="AA2032">
        <v>0.33333000000000002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2</v>
      </c>
      <c r="AH2032">
        <v>0</v>
      </c>
      <c r="AI2032">
        <v>2</v>
      </c>
      <c r="AJ2032">
        <v>11</v>
      </c>
      <c r="AK2032">
        <v>0.15384999999999999</v>
      </c>
      <c r="AL2032">
        <v>13</v>
      </c>
      <c r="AM2032">
        <v>9</v>
      </c>
      <c r="AN2032">
        <v>31</v>
      </c>
      <c r="AO2032">
        <v>13</v>
      </c>
      <c r="AP2032">
        <v>28</v>
      </c>
      <c r="AQ2032">
        <v>5</v>
      </c>
      <c r="AR2032" t="s">
        <v>258</v>
      </c>
      <c r="AS2032" t="s">
        <v>259</v>
      </c>
      <c r="AT2032">
        <v>0.98299999999999998</v>
      </c>
      <c r="AU2032" t="s">
        <v>65</v>
      </c>
      <c r="AV2032">
        <v>59</v>
      </c>
      <c r="AW2032">
        <v>18</v>
      </c>
      <c r="AX2032" t="s">
        <v>260</v>
      </c>
      <c r="AY2032">
        <v>4.7759999999999997E-2</v>
      </c>
      <c r="AZ2032">
        <v>-1.9300000000000001E-3</v>
      </c>
      <c r="BA2032">
        <v>3.13E-3</v>
      </c>
      <c r="BB2032">
        <v>-2.3000000000000001E-4</v>
      </c>
      <c r="BC2032">
        <v>6.5629999999999994E-2</v>
      </c>
      <c r="BD2032">
        <v>1</v>
      </c>
      <c r="BE2032" t="s">
        <v>69</v>
      </c>
      <c r="BF2032">
        <v>-1.036</v>
      </c>
      <c r="BG2032">
        <v>-1.2809999999999999</v>
      </c>
    </row>
    <row r="2033" spans="1:59">
      <c r="A2033">
        <v>0</v>
      </c>
      <c r="B2033">
        <v>2</v>
      </c>
      <c r="C2033">
        <v>0</v>
      </c>
      <c r="D2033" t="s">
        <v>25022</v>
      </c>
      <c r="E2033">
        <v>926</v>
      </c>
      <c r="F2033" t="s">
        <v>5795</v>
      </c>
      <c r="G2033" t="s">
        <v>57</v>
      </c>
      <c r="H2033">
        <v>967935</v>
      </c>
      <c r="I2033">
        <v>969092</v>
      </c>
      <c r="J2033" t="s">
        <v>5796</v>
      </c>
      <c r="K2033">
        <v>386</v>
      </c>
      <c r="L2033" t="s">
        <v>108</v>
      </c>
      <c r="M2033">
        <v>44</v>
      </c>
      <c r="N2033" t="str">
        <f>HYPERLINK("Gene926-zp_tree_all.dnd", "Gene926-tree")</f>
        <v>Gene926-tree</v>
      </c>
      <c r="O2033">
        <v>9</v>
      </c>
      <c r="P2033">
        <v>5</v>
      </c>
      <c r="Q2033">
        <v>9</v>
      </c>
      <c r="R2033">
        <v>5</v>
      </c>
      <c r="S2033">
        <v>0.35714000000000001</v>
      </c>
      <c r="T2033" t="s">
        <v>135</v>
      </c>
      <c r="U2033" t="s">
        <v>199</v>
      </c>
      <c r="V2033" t="s">
        <v>62</v>
      </c>
      <c r="W2033" t="s">
        <v>62</v>
      </c>
      <c r="X2033">
        <v>1</v>
      </c>
      <c r="Y2033">
        <v>2</v>
      </c>
      <c r="Z2033">
        <v>6</v>
      </c>
      <c r="AA2033">
        <v>0.25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2</v>
      </c>
      <c r="AH2033">
        <v>0</v>
      </c>
      <c r="AI2033">
        <v>2</v>
      </c>
      <c r="AJ2033">
        <v>3</v>
      </c>
      <c r="AK2033">
        <v>0.4</v>
      </c>
      <c r="AL2033">
        <v>13</v>
      </c>
      <c r="AM2033">
        <v>9</v>
      </c>
      <c r="AN2033">
        <v>50</v>
      </c>
      <c r="AO2033">
        <v>5</v>
      </c>
      <c r="AP2033">
        <v>27</v>
      </c>
      <c r="AQ2033">
        <v>3</v>
      </c>
      <c r="AR2033" t="s">
        <v>5797</v>
      </c>
      <c r="AS2033" t="s">
        <v>5798</v>
      </c>
      <c r="AT2033">
        <v>0.122</v>
      </c>
      <c r="AU2033" t="s">
        <v>65</v>
      </c>
      <c r="AV2033">
        <v>77</v>
      </c>
      <c r="AW2033">
        <v>8</v>
      </c>
      <c r="AX2033" t="s">
        <v>5799</v>
      </c>
      <c r="AY2033">
        <v>4.7160000000000001E-2</v>
      </c>
      <c r="AZ2033">
        <v>-1.7099999999999999E-3</v>
      </c>
      <c r="BA2033">
        <v>2.1800000000000001E-3</v>
      </c>
      <c r="BB2033">
        <v>-1.1E-4</v>
      </c>
      <c r="BC2033">
        <v>4.6170000000000003E-2</v>
      </c>
      <c r="BD2033">
        <v>1</v>
      </c>
      <c r="BE2033" t="s">
        <v>69</v>
      </c>
      <c r="BF2033">
        <v>-0.307</v>
      </c>
      <c r="BG2033">
        <v>-0.6</v>
      </c>
    </row>
    <row r="2034" spans="1:59">
      <c r="A2034">
        <v>0</v>
      </c>
      <c r="B2034">
        <v>0</v>
      </c>
      <c r="C2034">
        <v>0</v>
      </c>
      <c r="D2034" t="s">
        <v>25022</v>
      </c>
      <c r="E2034">
        <v>3259</v>
      </c>
      <c r="F2034" t="s">
        <v>19002</v>
      </c>
      <c r="G2034" t="s">
        <v>62</v>
      </c>
      <c r="H2034">
        <v>3225775</v>
      </c>
      <c r="I2034">
        <v>3226932</v>
      </c>
      <c r="J2034" t="s">
        <v>6221</v>
      </c>
      <c r="K2034">
        <v>386</v>
      </c>
      <c r="L2034" t="s">
        <v>465</v>
      </c>
      <c r="M2034">
        <v>46</v>
      </c>
      <c r="N2034" t="str">
        <f>HYPERLINK("Gene3259-zp_tree_all.dnd", "Gene3259-tree")</f>
        <v>Gene3259-tree</v>
      </c>
      <c r="O2034">
        <v>15</v>
      </c>
      <c r="P2034">
        <v>3</v>
      </c>
      <c r="Q2034">
        <v>15</v>
      </c>
      <c r="R2034">
        <v>3</v>
      </c>
      <c r="S2034">
        <v>0.16667000000000001</v>
      </c>
      <c r="T2034" t="s">
        <v>100</v>
      </c>
      <c r="U2034" t="s">
        <v>324</v>
      </c>
      <c r="V2034" t="s">
        <v>62</v>
      </c>
      <c r="W2034" t="s">
        <v>62</v>
      </c>
      <c r="X2034">
        <v>0</v>
      </c>
      <c r="Y2034">
        <v>0</v>
      </c>
      <c r="Z2034">
        <v>8</v>
      </c>
      <c r="AA2034">
        <v>0</v>
      </c>
      <c r="AB2034">
        <v>0</v>
      </c>
      <c r="AC2034">
        <v>0</v>
      </c>
      <c r="AD2034">
        <v>0</v>
      </c>
      <c r="AE2034">
        <v>4</v>
      </c>
      <c r="AF2034">
        <v>0</v>
      </c>
      <c r="AG2034">
        <v>0</v>
      </c>
      <c r="AH2034">
        <v>0</v>
      </c>
      <c r="AI2034">
        <v>0</v>
      </c>
      <c r="AJ2034">
        <v>4</v>
      </c>
      <c r="AK2034">
        <v>0</v>
      </c>
      <c r="AL2034">
        <v>15</v>
      </c>
      <c r="AM2034">
        <v>12</v>
      </c>
      <c r="AN2034">
        <v>41</v>
      </c>
      <c r="AO2034">
        <v>4</v>
      </c>
      <c r="AP2034">
        <v>82</v>
      </c>
      <c r="AQ2034">
        <v>4</v>
      </c>
      <c r="AR2034" t="s">
        <v>19003</v>
      </c>
      <c r="AS2034" t="s">
        <v>19004</v>
      </c>
      <c r="AT2034">
        <v>0.217</v>
      </c>
      <c r="AU2034" t="s">
        <v>65</v>
      </c>
      <c r="AV2034">
        <v>123</v>
      </c>
      <c r="AW2034">
        <v>8</v>
      </c>
      <c r="AX2034" t="s">
        <v>19005</v>
      </c>
      <c r="AY2034">
        <v>8.3419999999999994E-2</v>
      </c>
      <c r="AZ2034">
        <v>-6.4700000000000001E-3</v>
      </c>
      <c r="BA2034">
        <v>1.4499999999999999E-3</v>
      </c>
      <c r="BB2034">
        <v>-1.4999999999999999E-4</v>
      </c>
      <c r="BC2034">
        <v>1.7409999999999998E-2</v>
      </c>
      <c r="BD2034">
        <v>1</v>
      </c>
      <c r="BE2034" t="s">
        <v>69</v>
      </c>
      <c r="BF2034">
        <v>-1.2390000000000001</v>
      </c>
      <c r="BG2034">
        <v>0.114</v>
      </c>
    </row>
    <row r="2035" spans="1:59">
      <c r="A2035">
        <v>0</v>
      </c>
      <c r="B2035">
        <v>53</v>
      </c>
      <c r="C2035">
        <v>7</v>
      </c>
      <c r="D2035" t="s">
        <v>25022</v>
      </c>
      <c r="E2035">
        <v>4172</v>
      </c>
      <c r="F2035" t="s">
        <v>24558</v>
      </c>
      <c r="G2035" t="s">
        <v>62</v>
      </c>
      <c r="H2035">
        <v>4137629</v>
      </c>
      <c r="I2035">
        <v>4138789</v>
      </c>
      <c r="J2035" t="s">
        <v>288</v>
      </c>
      <c r="K2035">
        <v>387</v>
      </c>
      <c r="L2035" t="s">
        <v>24559</v>
      </c>
      <c r="M2035">
        <v>35</v>
      </c>
      <c r="N2035" t="str">
        <f>HYPERLINK("Gene4172-zp_tree_all.dnd", "Gene4172-tree")</f>
        <v>Gene4172-tree</v>
      </c>
      <c r="O2035">
        <v>1</v>
      </c>
      <c r="P2035">
        <v>11</v>
      </c>
      <c r="Q2035">
        <v>1</v>
      </c>
      <c r="R2035">
        <v>11</v>
      </c>
      <c r="S2035">
        <v>0.91666999999999998</v>
      </c>
      <c r="T2035" t="s">
        <v>175</v>
      </c>
      <c r="U2035" t="s">
        <v>73</v>
      </c>
      <c r="V2035">
        <v>1144612630.289</v>
      </c>
      <c r="W2035" t="s">
        <v>267</v>
      </c>
      <c r="X2035">
        <v>22</v>
      </c>
      <c r="Y2035">
        <v>60</v>
      </c>
      <c r="Z2035">
        <v>32</v>
      </c>
      <c r="AA2035">
        <v>0.65217000000000003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16</v>
      </c>
      <c r="AH2035">
        <v>9</v>
      </c>
      <c r="AI2035">
        <v>25</v>
      </c>
      <c r="AJ2035">
        <v>36</v>
      </c>
      <c r="AK2035">
        <v>0.40983999999999998</v>
      </c>
      <c r="AL2035">
        <v>12</v>
      </c>
      <c r="AM2035">
        <v>9</v>
      </c>
      <c r="AN2035">
        <v>75</v>
      </c>
      <c r="AO2035">
        <v>64</v>
      </c>
      <c r="AP2035">
        <v>48</v>
      </c>
      <c r="AQ2035">
        <v>33</v>
      </c>
      <c r="AR2035" t="s">
        <v>24560</v>
      </c>
      <c r="AS2035" t="s">
        <v>24561</v>
      </c>
      <c r="AT2035">
        <v>0.64500000000000002</v>
      </c>
      <c r="AU2035" t="s">
        <v>65</v>
      </c>
      <c r="AV2035">
        <v>123</v>
      </c>
      <c r="AW2035">
        <v>97</v>
      </c>
      <c r="AX2035" t="s">
        <v>24562</v>
      </c>
      <c r="AY2035">
        <v>9.3770000000000006E-2</v>
      </c>
      <c r="AZ2035">
        <v>-2.97E-3</v>
      </c>
      <c r="BA2035">
        <v>1.975E-2</v>
      </c>
      <c r="BB2035">
        <v>-7.6000000000000004E-4</v>
      </c>
      <c r="BC2035">
        <v>0.21065999999999999</v>
      </c>
      <c r="BD2035">
        <v>1</v>
      </c>
      <c r="BE2035" t="s">
        <v>69</v>
      </c>
      <c r="BF2035">
        <v>-0.29599999999999999</v>
      </c>
      <c r="BG2035">
        <v>-0.70599999999999996</v>
      </c>
    </row>
    <row r="2036" spans="1:59">
      <c r="A2036">
        <v>0</v>
      </c>
      <c r="B2036">
        <v>10</v>
      </c>
      <c r="C2036">
        <v>2</v>
      </c>
      <c r="D2036" t="s">
        <v>25022</v>
      </c>
      <c r="E2036">
        <v>2459</v>
      </c>
      <c r="F2036" t="s">
        <v>14324</v>
      </c>
      <c r="G2036" t="s">
        <v>62</v>
      </c>
      <c r="H2036">
        <v>2457352</v>
      </c>
      <c r="I2036">
        <v>2458512</v>
      </c>
      <c r="J2036" t="s">
        <v>14325</v>
      </c>
      <c r="K2036">
        <v>387</v>
      </c>
      <c r="L2036" t="s">
        <v>265</v>
      </c>
      <c r="M2036">
        <v>43</v>
      </c>
      <c r="N2036" t="str">
        <f>HYPERLINK("Gene2459-zp_tree_all.dnd", "Gene2459-tree")</f>
        <v>Gene2459-tree</v>
      </c>
      <c r="O2036">
        <v>4</v>
      </c>
      <c r="P2036">
        <v>11</v>
      </c>
      <c r="Q2036">
        <v>4</v>
      </c>
      <c r="R2036">
        <v>11</v>
      </c>
      <c r="S2036">
        <v>0.73333000000000004</v>
      </c>
      <c r="T2036" t="s">
        <v>61</v>
      </c>
      <c r="U2036" t="s">
        <v>73</v>
      </c>
      <c r="V2036">
        <v>200307210.301</v>
      </c>
      <c r="W2036" t="s">
        <v>267</v>
      </c>
      <c r="X2036">
        <v>5</v>
      </c>
      <c r="Y2036">
        <v>12</v>
      </c>
      <c r="Z2036">
        <v>16</v>
      </c>
      <c r="AA2036">
        <v>0.42857000000000001</v>
      </c>
      <c r="AB2036">
        <v>0</v>
      </c>
      <c r="AC2036">
        <v>0</v>
      </c>
      <c r="AD2036">
        <v>0</v>
      </c>
      <c r="AE2036">
        <v>2</v>
      </c>
      <c r="AF2036">
        <v>0</v>
      </c>
      <c r="AG2036">
        <v>4</v>
      </c>
      <c r="AH2036">
        <v>0</v>
      </c>
      <c r="AI2036">
        <v>4</v>
      </c>
      <c r="AJ2036">
        <v>12</v>
      </c>
      <c r="AK2036">
        <v>0.25</v>
      </c>
      <c r="AL2036">
        <v>13</v>
      </c>
      <c r="AM2036">
        <v>11</v>
      </c>
      <c r="AN2036">
        <v>36</v>
      </c>
      <c r="AO2036">
        <v>15</v>
      </c>
      <c r="AP2036">
        <v>15</v>
      </c>
      <c r="AQ2036">
        <v>14</v>
      </c>
      <c r="AR2036" t="s">
        <v>14326</v>
      </c>
      <c r="AS2036" t="s">
        <v>14327</v>
      </c>
      <c r="AT2036">
        <v>1.357</v>
      </c>
      <c r="AU2036" t="s">
        <v>65</v>
      </c>
      <c r="AV2036">
        <v>51</v>
      </c>
      <c r="AW2036">
        <v>29</v>
      </c>
      <c r="AX2036" t="s">
        <v>14328</v>
      </c>
      <c r="AY2036">
        <v>3.1179999999999999E-2</v>
      </c>
      <c r="AZ2036">
        <v>-1.2800000000000001E-3</v>
      </c>
      <c r="BA2036">
        <v>6.2500000000000003E-3</v>
      </c>
      <c r="BB2036">
        <v>-2.3000000000000001E-4</v>
      </c>
      <c r="BC2036">
        <v>0.20049</v>
      </c>
      <c r="BD2036">
        <v>1</v>
      </c>
      <c r="BE2036" t="s">
        <v>69</v>
      </c>
      <c r="BF2036">
        <v>-1.006</v>
      </c>
      <c r="BG2036">
        <v>-1.756</v>
      </c>
    </row>
    <row r="2037" spans="1:59">
      <c r="A2037">
        <v>0</v>
      </c>
      <c r="B2037">
        <v>2</v>
      </c>
      <c r="C2037">
        <v>0</v>
      </c>
      <c r="D2037" t="s">
        <v>25022</v>
      </c>
      <c r="E2037">
        <v>2900</v>
      </c>
      <c r="F2037" t="s">
        <v>16690</v>
      </c>
      <c r="G2037" t="s">
        <v>62</v>
      </c>
      <c r="H2037">
        <v>2844678</v>
      </c>
      <c r="I2037">
        <v>2845838</v>
      </c>
      <c r="J2037" t="s">
        <v>16691</v>
      </c>
      <c r="K2037">
        <v>387</v>
      </c>
      <c r="L2037" t="s">
        <v>108</v>
      </c>
      <c r="M2037">
        <v>44</v>
      </c>
      <c r="N2037" t="str">
        <f>HYPERLINK("Gene2900-zp_tree_all.dnd", "Gene2900-tree")</f>
        <v>Gene2900-tree</v>
      </c>
      <c r="O2037">
        <v>6</v>
      </c>
      <c r="P2037">
        <v>7</v>
      </c>
      <c r="Q2037">
        <v>6</v>
      </c>
      <c r="R2037">
        <v>7</v>
      </c>
      <c r="S2037">
        <v>0.53846000000000005</v>
      </c>
      <c r="T2037" t="s">
        <v>90</v>
      </c>
      <c r="U2037" t="s">
        <v>152</v>
      </c>
      <c r="V2037" t="s">
        <v>62</v>
      </c>
      <c r="W2037" t="s">
        <v>62</v>
      </c>
      <c r="X2037">
        <v>1</v>
      </c>
      <c r="Y2037">
        <v>2</v>
      </c>
      <c r="Z2037">
        <v>8</v>
      </c>
      <c r="AA2037">
        <v>0.2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</v>
      </c>
      <c r="AH2037">
        <v>0</v>
      </c>
      <c r="AI2037">
        <v>2</v>
      </c>
      <c r="AJ2037">
        <v>7</v>
      </c>
      <c r="AK2037">
        <v>0.22222</v>
      </c>
      <c r="AL2037">
        <v>10</v>
      </c>
      <c r="AM2037">
        <v>5</v>
      </c>
      <c r="AN2037">
        <v>21</v>
      </c>
      <c r="AO2037">
        <v>7</v>
      </c>
      <c r="AP2037">
        <v>9</v>
      </c>
      <c r="AQ2037">
        <v>3</v>
      </c>
      <c r="AR2037" t="s">
        <v>16692</v>
      </c>
      <c r="AS2037" t="s">
        <v>16693</v>
      </c>
      <c r="AT2037">
        <v>4.0000000000000001E-3</v>
      </c>
      <c r="AU2037" t="s">
        <v>65</v>
      </c>
      <c r="AV2037">
        <v>30</v>
      </c>
      <c r="AW2037">
        <v>10</v>
      </c>
      <c r="AX2037" t="s">
        <v>16694</v>
      </c>
      <c r="AY2037">
        <v>2.1680000000000001E-2</v>
      </c>
      <c r="AZ2037">
        <v>-1.17E-3</v>
      </c>
      <c r="BA2037">
        <v>2.3500000000000001E-3</v>
      </c>
      <c r="BB2037">
        <v>-1.6000000000000001E-4</v>
      </c>
      <c r="BC2037">
        <v>0.10831</v>
      </c>
      <c r="BD2037">
        <v>1</v>
      </c>
      <c r="BE2037" t="s">
        <v>69</v>
      </c>
      <c r="BF2037">
        <v>-0.86399999999999999</v>
      </c>
      <c r="BG2037">
        <v>-1.1719999999999999</v>
      </c>
    </row>
    <row r="2038" spans="1:59">
      <c r="A2038">
        <v>0</v>
      </c>
      <c r="B2038">
        <v>2</v>
      </c>
      <c r="C2038">
        <v>1</v>
      </c>
      <c r="D2038" t="s">
        <v>25022</v>
      </c>
      <c r="E2038">
        <v>3256</v>
      </c>
      <c r="F2038" t="s">
        <v>18985</v>
      </c>
      <c r="G2038" t="s">
        <v>62</v>
      </c>
      <c r="H2038">
        <v>3223474</v>
      </c>
      <c r="I2038">
        <v>3224634</v>
      </c>
      <c r="J2038" t="s">
        <v>18986</v>
      </c>
      <c r="K2038">
        <v>387</v>
      </c>
      <c r="L2038" t="s">
        <v>289</v>
      </c>
      <c r="M2038">
        <v>46</v>
      </c>
      <c r="N2038" t="str">
        <f>HYPERLINK("Gene3256-zp_tree_all.dnd", "Gene3256-tree")</f>
        <v>Gene3256-tree</v>
      </c>
      <c r="O2038">
        <v>14</v>
      </c>
      <c r="P2038">
        <v>4</v>
      </c>
      <c r="Q2038">
        <v>14</v>
      </c>
      <c r="R2038">
        <v>4</v>
      </c>
      <c r="S2038">
        <v>0.22222</v>
      </c>
      <c r="T2038" t="s">
        <v>543</v>
      </c>
      <c r="U2038" t="s">
        <v>61</v>
      </c>
      <c r="V2038" t="s">
        <v>62</v>
      </c>
      <c r="W2038" t="s">
        <v>62</v>
      </c>
      <c r="X2038">
        <v>1</v>
      </c>
      <c r="Y2038">
        <v>3</v>
      </c>
      <c r="Z2038">
        <v>8</v>
      </c>
      <c r="AA2038">
        <v>0.27272999999999997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2</v>
      </c>
      <c r="AI2038">
        <v>2</v>
      </c>
      <c r="AJ2038">
        <v>3</v>
      </c>
      <c r="AK2038">
        <v>0.4</v>
      </c>
      <c r="AL2038">
        <v>16</v>
      </c>
      <c r="AM2038">
        <v>12</v>
      </c>
      <c r="AN2038">
        <v>44</v>
      </c>
      <c r="AO2038">
        <v>5</v>
      </c>
      <c r="AP2038">
        <v>75</v>
      </c>
      <c r="AQ2038">
        <v>6</v>
      </c>
      <c r="AR2038" t="s">
        <v>18987</v>
      </c>
      <c r="AS2038" t="s">
        <v>18988</v>
      </c>
      <c r="AT2038">
        <v>0.14599999999999999</v>
      </c>
      <c r="AU2038" t="s">
        <v>65</v>
      </c>
      <c r="AV2038">
        <v>119</v>
      </c>
      <c r="AW2038">
        <v>11</v>
      </c>
      <c r="AX2038" t="s">
        <v>18989</v>
      </c>
      <c r="AY2038">
        <v>8.3540000000000003E-2</v>
      </c>
      <c r="AZ2038">
        <v>-5.7000000000000002E-3</v>
      </c>
      <c r="BA2038">
        <v>2.0100000000000001E-3</v>
      </c>
      <c r="BB2038">
        <v>-1.8000000000000001E-4</v>
      </c>
      <c r="BC2038">
        <v>2.401E-2</v>
      </c>
      <c r="BD2038">
        <v>1</v>
      </c>
      <c r="BE2038" t="s">
        <v>69</v>
      </c>
      <c r="BF2038">
        <v>-1.048</v>
      </c>
      <c r="BG2038">
        <v>0.28999999999999998</v>
      </c>
    </row>
    <row r="2039" spans="1:59">
      <c r="A2039">
        <v>0</v>
      </c>
      <c r="B2039">
        <v>21</v>
      </c>
      <c r="C2039">
        <v>2</v>
      </c>
      <c r="D2039" t="s">
        <v>25022</v>
      </c>
      <c r="E2039">
        <v>3550</v>
      </c>
      <c r="F2039" t="s">
        <v>20809</v>
      </c>
      <c r="G2039" t="s">
        <v>62</v>
      </c>
      <c r="H2039">
        <v>3515065</v>
      </c>
      <c r="I2039">
        <v>3516228</v>
      </c>
      <c r="J2039" t="s">
        <v>20810</v>
      </c>
      <c r="K2039">
        <v>388</v>
      </c>
      <c r="L2039" t="s">
        <v>108</v>
      </c>
      <c r="M2039">
        <v>44</v>
      </c>
      <c r="N2039" t="str">
        <f>HYPERLINK("Gene3550-zp_tree_all.dnd", "Gene3550-tree")</f>
        <v>Gene3550-tree</v>
      </c>
      <c r="O2039">
        <v>6</v>
      </c>
      <c r="P2039">
        <v>29</v>
      </c>
      <c r="Q2039">
        <v>6</v>
      </c>
      <c r="R2039">
        <v>12</v>
      </c>
      <c r="S2039">
        <v>0.66666999999999998</v>
      </c>
      <c r="T2039" t="s">
        <v>90</v>
      </c>
      <c r="U2039" t="s">
        <v>1455</v>
      </c>
      <c r="V2039">
        <v>2.1930000000000001</v>
      </c>
      <c r="W2039" t="s">
        <v>65</v>
      </c>
      <c r="X2039">
        <v>9</v>
      </c>
      <c r="Y2039">
        <v>23</v>
      </c>
      <c r="Z2039">
        <v>22</v>
      </c>
      <c r="AA2039">
        <v>0.51110999999999995</v>
      </c>
      <c r="AB2039">
        <v>0</v>
      </c>
      <c r="AC2039">
        <v>0</v>
      </c>
      <c r="AD2039">
        <v>0</v>
      </c>
      <c r="AE2039">
        <v>4</v>
      </c>
      <c r="AF2039">
        <v>0</v>
      </c>
      <c r="AG2039">
        <v>7</v>
      </c>
      <c r="AH2039">
        <v>0</v>
      </c>
      <c r="AI2039">
        <v>7</v>
      </c>
      <c r="AJ2039">
        <v>21</v>
      </c>
      <c r="AK2039">
        <v>0.25</v>
      </c>
      <c r="AL2039">
        <v>13</v>
      </c>
      <c r="AM2039">
        <v>13</v>
      </c>
      <c r="AN2039">
        <v>44</v>
      </c>
      <c r="AO2039">
        <v>24</v>
      </c>
      <c r="AP2039">
        <v>48</v>
      </c>
      <c r="AQ2039">
        <v>21</v>
      </c>
      <c r="AR2039" t="s">
        <v>20811</v>
      </c>
      <c r="AS2039" t="s">
        <v>20812</v>
      </c>
      <c r="AT2039">
        <v>0.26800000000000002</v>
      </c>
      <c r="AU2039" t="s">
        <v>65</v>
      </c>
      <c r="AV2039">
        <v>92</v>
      </c>
      <c r="AW2039">
        <v>45</v>
      </c>
      <c r="AX2039" t="s">
        <v>20813</v>
      </c>
      <c r="AY2039">
        <v>5.4820000000000001E-2</v>
      </c>
      <c r="AZ2039">
        <v>-2.0300000000000001E-3</v>
      </c>
      <c r="BA2039">
        <v>8.77E-3</v>
      </c>
      <c r="BB2039">
        <v>-2.7999999999999998E-4</v>
      </c>
      <c r="BC2039">
        <v>0.15998000000000001</v>
      </c>
      <c r="BD2039">
        <v>1</v>
      </c>
      <c r="BE2039" t="s">
        <v>69</v>
      </c>
      <c r="BF2039">
        <v>-0.47199999999999998</v>
      </c>
      <c r="BG2039">
        <v>-1.792</v>
      </c>
    </row>
    <row r="2040" spans="1:59">
      <c r="A2040">
        <v>0</v>
      </c>
      <c r="B2040">
        <v>5</v>
      </c>
      <c r="C2040">
        <v>0</v>
      </c>
      <c r="D2040" t="s">
        <v>25022</v>
      </c>
      <c r="E2040">
        <v>3232</v>
      </c>
      <c r="F2040" t="s">
        <v>18835</v>
      </c>
      <c r="G2040" t="s">
        <v>62</v>
      </c>
      <c r="H2040">
        <v>3195561</v>
      </c>
      <c r="I2040">
        <v>3196724</v>
      </c>
      <c r="J2040" t="s">
        <v>6103</v>
      </c>
      <c r="K2040">
        <v>388</v>
      </c>
      <c r="L2040" t="s">
        <v>18836</v>
      </c>
      <c r="M2040">
        <v>38</v>
      </c>
      <c r="N2040" t="str">
        <f>HYPERLINK("Gene3232-zp_tree_all.dnd", "Gene3232-tree")</f>
        <v>Gene3232-tree</v>
      </c>
      <c r="O2040">
        <v>9</v>
      </c>
      <c r="P2040">
        <v>3</v>
      </c>
      <c r="Q2040">
        <v>9</v>
      </c>
      <c r="R2040">
        <v>3</v>
      </c>
      <c r="S2040">
        <v>0.25</v>
      </c>
      <c r="T2040" t="s">
        <v>135</v>
      </c>
      <c r="U2040" t="s">
        <v>324</v>
      </c>
      <c r="V2040" t="s">
        <v>62</v>
      </c>
      <c r="W2040" t="s">
        <v>62</v>
      </c>
      <c r="X2040">
        <v>2</v>
      </c>
      <c r="Y2040">
        <v>5</v>
      </c>
      <c r="Z2040">
        <v>7</v>
      </c>
      <c r="AA2040">
        <v>0.41666999999999998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4</v>
      </c>
      <c r="AH2040">
        <v>0</v>
      </c>
      <c r="AI2040">
        <v>4</v>
      </c>
      <c r="AJ2040">
        <v>1</v>
      </c>
      <c r="AK2040">
        <v>0.8</v>
      </c>
      <c r="AL2040">
        <v>8</v>
      </c>
      <c r="AM2040">
        <v>9</v>
      </c>
      <c r="AN2040">
        <v>43</v>
      </c>
      <c r="AO2040">
        <v>5</v>
      </c>
      <c r="AP2040">
        <v>50</v>
      </c>
      <c r="AQ2040">
        <v>7</v>
      </c>
      <c r="AR2040" t="s">
        <v>18837</v>
      </c>
      <c r="AS2040" t="s">
        <v>18838</v>
      </c>
      <c r="AT2040">
        <v>7.4999999999999997E-2</v>
      </c>
      <c r="AU2040" t="s">
        <v>65</v>
      </c>
      <c r="AV2040">
        <v>93</v>
      </c>
      <c r="AW2040">
        <v>12</v>
      </c>
      <c r="AX2040" t="s">
        <v>18839</v>
      </c>
      <c r="AY2040">
        <v>9.7699999999999995E-2</v>
      </c>
      <c r="AZ2040">
        <v>-7.2100000000000003E-3</v>
      </c>
      <c r="BA2040">
        <v>4.5799999999999999E-3</v>
      </c>
      <c r="BB2040">
        <v>-3.8000000000000002E-4</v>
      </c>
      <c r="BC2040">
        <v>4.691E-2</v>
      </c>
      <c r="BD2040">
        <v>1</v>
      </c>
      <c r="BE2040" t="s">
        <v>69</v>
      </c>
      <c r="BF2040">
        <v>0.80800000000000005</v>
      </c>
      <c r="BG2040">
        <v>-0.30299999999999999</v>
      </c>
    </row>
    <row r="2041" spans="1:59">
      <c r="A2041">
        <v>0</v>
      </c>
      <c r="B2041">
        <v>5</v>
      </c>
      <c r="C2041">
        <v>0</v>
      </c>
      <c r="D2041" t="s">
        <v>25022</v>
      </c>
      <c r="E2041">
        <v>3925</v>
      </c>
      <c r="F2041" t="s">
        <v>19415</v>
      </c>
      <c r="G2041" t="s">
        <v>62</v>
      </c>
      <c r="H2041">
        <v>3889735</v>
      </c>
      <c r="I2041">
        <v>3890901</v>
      </c>
      <c r="J2041" t="s">
        <v>23031</v>
      </c>
      <c r="K2041">
        <v>389</v>
      </c>
      <c r="L2041" t="s">
        <v>108</v>
      </c>
      <c r="M2041">
        <v>44</v>
      </c>
      <c r="N2041" t="str">
        <f>HYPERLINK("Gene3925-zp_tree_all.dnd", "Gene3925-tree")</f>
        <v>Gene3925-tree</v>
      </c>
      <c r="O2041">
        <v>4</v>
      </c>
      <c r="P2041">
        <v>11</v>
      </c>
      <c r="Q2041">
        <v>4</v>
      </c>
      <c r="R2041">
        <v>11</v>
      </c>
      <c r="S2041">
        <v>0.73333000000000004</v>
      </c>
      <c r="T2041" t="s">
        <v>61</v>
      </c>
      <c r="U2041" t="s">
        <v>73</v>
      </c>
      <c r="V2041">
        <v>200307210.301</v>
      </c>
      <c r="W2041" t="s">
        <v>267</v>
      </c>
      <c r="X2041">
        <v>2</v>
      </c>
      <c r="Y2041">
        <v>5</v>
      </c>
      <c r="Z2041">
        <v>13</v>
      </c>
      <c r="AA2041">
        <v>0.27778000000000003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5</v>
      </c>
      <c r="AH2041">
        <v>0</v>
      </c>
      <c r="AI2041">
        <v>5</v>
      </c>
      <c r="AJ2041">
        <v>9</v>
      </c>
      <c r="AK2041">
        <v>0.35714000000000001</v>
      </c>
      <c r="AL2041">
        <v>13</v>
      </c>
      <c r="AM2041">
        <v>10</v>
      </c>
      <c r="AN2041">
        <v>26</v>
      </c>
      <c r="AO2041">
        <v>13</v>
      </c>
      <c r="AP2041">
        <v>9</v>
      </c>
      <c r="AQ2041">
        <v>5</v>
      </c>
      <c r="AR2041" t="s">
        <v>23032</v>
      </c>
      <c r="AS2041" t="s">
        <v>23033</v>
      </c>
      <c r="AT2041">
        <v>0.17499999999999999</v>
      </c>
      <c r="AU2041" t="s">
        <v>65</v>
      </c>
      <c r="AV2041">
        <v>35</v>
      </c>
      <c r="AW2041">
        <v>18</v>
      </c>
      <c r="AX2041" t="s">
        <v>23034</v>
      </c>
      <c r="AY2041">
        <v>1.9279999999999999E-2</v>
      </c>
      <c r="AZ2041">
        <v>-8.4999999999999995E-4</v>
      </c>
      <c r="BA2041">
        <v>3.9300000000000003E-3</v>
      </c>
      <c r="BB2041">
        <v>-1.8000000000000001E-4</v>
      </c>
      <c r="BC2041">
        <v>0.20402999999999999</v>
      </c>
      <c r="BD2041">
        <v>0.99</v>
      </c>
      <c r="BE2041" t="s">
        <v>69</v>
      </c>
      <c r="BF2041">
        <v>-0.77</v>
      </c>
      <c r="BG2041">
        <v>-0.98399999999999999</v>
      </c>
    </row>
    <row r="2042" spans="1:59">
      <c r="A2042">
        <v>2</v>
      </c>
      <c r="B2042">
        <v>32</v>
      </c>
      <c r="C2042">
        <v>2</v>
      </c>
      <c r="D2042" t="s">
        <v>25022</v>
      </c>
      <c r="E2042">
        <v>3137</v>
      </c>
      <c r="F2042" t="s">
        <v>18215</v>
      </c>
      <c r="G2042" t="s">
        <v>62</v>
      </c>
      <c r="H2042">
        <v>3092187</v>
      </c>
      <c r="I2042">
        <v>3093353</v>
      </c>
      <c r="J2042" t="s">
        <v>18216</v>
      </c>
      <c r="K2042">
        <v>389</v>
      </c>
      <c r="L2042" t="s">
        <v>1933</v>
      </c>
      <c r="M2042">
        <v>39</v>
      </c>
      <c r="N2042" t="str">
        <f>HYPERLINK("Gene3137-zp_tree_all.dnd", "Gene3137-tree")</f>
        <v>Gene3137-tree</v>
      </c>
      <c r="O2042">
        <v>9</v>
      </c>
      <c r="P2042">
        <v>9</v>
      </c>
      <c r="Q2042">
        <v>9</v>
      </c>
      <c r="R2042">
        <v>9</v>
      </c>
      <c r="S2042">
        <v>0.5</v>
      </c>
      <c r="T2042" t="s">
        <v>135</v>
      </c>
      <c r="U2042" t="s">
        <v>135</v>
      </c>
      <c r="V2042" t="s">
        <v>62</v>
      </c>
      <c r="W2042" t="s">
        <v>62</v>
      </c>
      <c r="X2042">
        <v>14</v>
      </c>
      <c r="Y2042">
        <v>36</v>
      </c>
      <c r="Z2042">
        <v>29</v>
      </c>
      <c r="AA2042">
        <v>0.55384999999999995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8</v>
      </c>
      <c r="AH2042">
        <v>2</v>
      </c>
      <c r="AI2042">
        <v>10</v>
      </c>
      <c r="AJ2042">
        <v>25</v>
      </c>
      <c r="AK2042">
        <v>0.28571000000000002</v>
      </c>
      <c r="AL2042">
        <v>15</v>
      </c>
      <c r="AM2042">
        <v>14</v>
      </c>
      <c r="AN2042">
        <v>79</v>
      </c>
      <c r="AO2042">
        <v>35</v>
      </c>
      <c r="AP2042">
        <v>60</v>
      </c>
      <c r="AQ2042">
        <v>31</v>
      </c>
      <c r="AR2042" t="s">
        <v>18217</v>
      </c>
      <c r="AS2042" t="s">
        <v>18218</v>
      </c>
      <c r="AT2042">
        <v>0.16200000000000001</v>
      </c>
      <c r="AU2042" t="s">
        <v>65</v>
      </c>
      <c r="AV2042">
        <v>139</v>
      </c>
      <c r="AW2042">
        <v>66</v>
      </c>
      <c r="AX2042" t="s">
        <v>18219</v>
      </c>
      <c r="AY2042">
        <v>8.3669999999999994E-2</v>
      </c>
      <c r="AZ2042">
        <v>-3.5599999999999998E-3</v>
      </c>
      <c r="BA2042">
        <v>1.304E-2</v>
      </c>
      <c r="BB2042">
        <v>-3.8999999999999999E-4</v>
      </c>
      <c r="BC2042">
        <v>0.15583</v>
      </c>
      <c r="BD2042">
        <v>1</v>
      </c>
      <c r="BE2042" t="s">
        <v>69</v>
      </c>
      <c r="BF2042">
        <v>-0.69799999999999995</v>
      </c>
      <c r="BG2042">
        <v>-1.4510000000000001</v>
      </c>
    </row>
    <row r="2043" spans="1:59">
      <c r="A2043">
        <v>0</v>
      </c>
      <c r="B2043">
        <v>8</v>
      </c>
      <c r="C2043">
        <v>0</v>
      </c>
      <c r="D2043" t="s">
        <v>25022</v>
      </c>
      <c r="E2043">
        <v>3687</v>
      </c>
      <c r="F2043" t="s">
        <v>21641</v>
      </c>
      <c r="G2043" t="s">
        <v>62</v>
      </c>
      <c r="H2043">
        <v>3655589</v>
      </c>
      <c r="I2043">
        <v>3656755</v>
      </c>
      <c r="J2043" t="s">
        <v>21610</v>
      </c>
      <c r="K2043">
        <v>389</v>
      </c>
      <c r="L2043" t="s">
        <v>2078</v>
      </c>
      <c r="M2043">
        <v>36</v>
      </c>
      <c r="N2043" t="str">
        <f>HYPERLINK("Gene3687-zp_tree_all.dnd", "Gene3687-tree")</f>
        <v>Gene3687-tree</v>
      </c>
      <c r="O2043">
        <v>5</v>
      </c>
      <c r="P2043">
        <v>8</v>
      </c>
      <c r="Q2043">
        <v>5</v>
      </c>
      <c r="R2043">
        <v>8</v>
      </c>
      <c r="S2043">
        <v>0.61538000000000004</v>
      </c>
      <c r="T2043" t="s">
        <v>199</v>
      </c>
      <c r="U2043" t="s">
        <v>136</v>
      </c>
      <c r="V2043" t="s">
        <v>62</v>
      </c>
      <c r="W2043" t="s">
        <v>62</v>
      </c>
      <c r="X2043">
        <v>4</v>
      </c>
      <c r="Y2043">
        <v>8</v>
      </c>
      <c r="Z2043">
        <v>16</v>
      </c>
      <c r="AA2043">
        <v>0.33333000000000002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16</v>
      </c>
      <c r="AK2043">
        <v>0</v>
      </c>
      <c r="AL2043">
        <v>13</v>
      </c>
      <c r="AM2043">
        <v>10</v>
      </c>
      <c r="AN2043">
        <v>61</v>
      </c>
      <c r="AO2043">
        <v>16</v>
      </c>
      <c r="AP2043">
        <v>27</v>
      </c>
      <c r="AQ2043">
        <v>8</v>
      </c>
      <c r="AR2043" t="s">
        <v>21642</v>
      </c>
      <c r="AS2043" t="s">
        <v>21643</v>
      </c>
      <c r="AT2043">
        <v>0.14099999999999999</v>
      </c>
      <c r="AU2043" t="s">
        <v>65</v>
      </c>
      <c r="AV2043">
        <v>88</v>
      </c>
      <c r="AW2043">
        <v>24</v>
      </c>
      <c r="AX2043" t="s">
        <v>21644</v>
      </c>
      <c r="AY2043">
        <v>5.6939999999999998E-2</v>
      </c>
      <c r="AZ2043">
        <v>-1.82E-3</v>
      </c>
      <c r="BA2043">
        <v>5.9100000000000003E-3</v>
      </c>
      <c r="BB2043">
        <v>-3.5E-4</v>
      </c>
      <c r="BC2043">
        <v>0.10388</v>
      </c>
      <c r="BD2043">
        <v>1</v>
      </c>
      <c r="BE2043" t="s">
        <v>69</v>
      </c>
      <c r="BF2043">
        <v>-1.0389999999999999</v>
      </c>
      <c r="BG2043">
        <v>-1.9179999999999999</v>
      </c>
    </row>
    <row r="2044" spans="1:59">
      <c r="A2044">
        <v>0</v>
      </c>
      <c r="B2044">
        <v>6</v>
      </c>
      <c r="C2044">
        <v>0</v>
      </c>
      <c r="D2044" t="s">
        <v>25022</v>
      </c>
      <c r="E2044">
        <v>2446</v>
      </c>
      <c r="F2044" t="s">
        <v>14242</v>
      </c>
      <c r="G2044" t="s">
        <v>62</v>
      </c>
      <c r="H2044">
        <v>2445097</v>
      </c>
      <c r="I2044">
        <v>2446263</v>
      </c>
      <c r="J2044" t="s">
        <v>14243</v>
      </c>
      <c r="K2044">
        <v>389</v>
      </c>
      <c r="L2044" t="s">
        <v>265</v>
      </c>
      <c r="M2044">
        <v>43</v>
      </c>
      <c r="N2044" t="str">
        <f>HYPERLINK("Gene2446-zp_tree_all.dnd", "Gene2446-tree")</f>
        <v>Gene2446-tree</v>
      </c>
      <c r="O2044">
        <v>5</v>
      </c>
      <c r="P2044">
        <v>7</v>
      </c>
      <c r="Q2044">
        <v>5</v>
      </c>
      <c r="R2044">
        <v>7</v>
      </c>
      <c r="S2044">
        <v>0.58333000000000002</v>
      </c>
      <c r="T2044" t="s">
        <v>199</v>
      </c>
      <c r="U2044" t="s">
        <v>152</v>
      </c>
      <c r="V2044" t="s">
        <v>62</v>
      </c>
      <c r="W2044" t="s">
        <v>62</v>
      </c>
      <c r="X2044">
        <v>2</v>
      </c>
      <c r="Y2044">
        <v>6</v>
      </c>
      <c r="Z2044">
        <v>9</v>
      </c>
      <c r="AA2044">
        <v>0.4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3</v>
      </c>
      <c r="AH2044">
        <v>0</v>
      </c>
      <c r="AI2044">
        <v>3</v>
      </c>
      <c r="AJ2044">
        <v>9</v>
      </c>
      <c r="AK2044">
        <v>0.25</v>
      </c>
      <c r="AL2044">
        <v>11</v>
      </c>
      <c r="AM2044">
        <v>9</v>
      </c>
      <c r="AN2044">
        <v>26</v>
      </c>
      <c r="AO2044">
        <v>13</v>
      </c>
      <c r="AP2044">
        <v>20</v>
      </c>
      <c r="AQ2044">
        <v>3</v>
      </c>
      <c r="AR2044" t="s">
        <v>14244</v>
      </c>
      <c r="AS2044" t="s">
        <v>14245</v>
      </c>
      <c r="AT2044">
        <v>0.871</v>
      </c>
      <c r="AU2044" t="s">
        <v>65</v>
      </c>
      <c r="AV2044">
        <v>46</v>
      </c>
      <c r="AW2044">
        <v>16</v>
      </c>
      <c r="AX2044" t="s">
        <v>14246</v>
      </c>
      <c r="AY2044">
        <v>4.444E-2</v>
      </c>
      <c r="AZ2044">
        <v>-3.29E-3</v>
      </c>
      <c r="BA2044">
        <v>3.0400000000000002E-3</v>
      </c>
      <c r="BB2044">
        <v>-2.4000000000000001E-4</v>
      </c>
      <c r="BC2044">
        <v>6.8440000000000001E-2</v>
      </c>
      <c r="BD2044">
        <v>1</v>
      </c>
      <c r="BE2044" t="s">
        <v>69</v>
      </c>
      <c r="BF2044">
        <v>-1.0680000000000001</v>
      </c>
      <c r="BG2044">
        <v>-0.72399999999999998</v>
      </c>
    </row>
    <row r="2045" spans="1:59">
      <c r="A2045">
        <v>0</v>
      </c>
      <c r="B2045">
        <v>6</v>
      </c>
      <c r="C2045">
        <v>0</v>
      </c>
      <c r="D2045" t="s">
        <v>25022</v>
      </c>
      <c r="E2045">
        <v>473</v>
      </c>
      <c r="F2045" t="s">
        <v>3212</v>
      </c>
      <c r="G2045" t="s">
        <v>57</v>
      </c>
      <c r="H2045">
        <v>517372</v>
      </c>
      <c r="I2045">
        <v>518538</v>
      </c>
      <c r="J2045" t="s">
        <v>3213</v>
      </c>
      <c r="K2045">
        <v>389</v>
      </c>
      <c r="L2045" t="s">
        <v>108</v>
      </c>
      <c r="M2045">
        <v>44</v>
      </c>
      <c r="N2045" t="str">
        <f>HYPERLINK("Gene473-zp_tree_all.dnd", "Gene473-tree")</f>
        <v>Gene473-tree</v>
      </c>
      <c r="O2045">
        <v>5</v>
      </c>
      <c r="P2045">
        <v>8</v>
      </c>
      <c r="Q2045">
        <v>5</v>
      </c>
      <c r="R2045">
        <v>8</v>
      </c>
      <c r="S2045">
        <v>0.61538000000000004</v>
      </c>
      <c r="T2045" t="s">
        <v>199</v>
      </c>
      <c r="U2045" t="s">
        <v>136</v>
      </c>
      <c r="V2045" t="s">
        <v>62</v>
      </c>
      <c r="W2045" t="s">
        <v>62</v>
      </c>
      <c r="X2045">
        <v>3</v>
      </c>
      <c r="Y2045">
        <v>6</v>
      </c>
      <c r="Z2045">
        <v>8</v>
      </c>
      <c r="AA2045">
        <v>0.42857000000000001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6</v>
      </c>
      <c r="AH2045">
        <v>0</v>
      </c>
      <c r="AI2045">
        <v>6</v>
      </c>
      <c r="AJ2045">
        <v>8</v>
      </c>
      <c r="AK2045">
        <v>0.42857000000000001</v>
      </c>
      <c r="AL2045">
        <v>13</v>
      </c>
      <c r="AM2045">
        <v>8</v>
      </c>
      <c r="AN2045">
        <v>43</v>
      </c>
      <c r="AO2045">
        <v>14</v>
      </c>
      <c r="AP2045">
        <v>25</v>
      </c>
      <c r="AQ2045">
        <v>0</v>
      </c>
      <c r="AR2045" t="s">
        <v>3214</v>
      </c>
      <c r="AS2045" t="s">
        <v>193</v>
      </c>
      <c r="AT2045">
        <v>2.637</v>
      </c>
      <c r="AU2045" t="s">
        <v>267</v>
      </c>
      <c r="AV2045">
        <v>68</v>
      </c>
      <c r="AW2045">
        <v>14</v>
      </c>
      <c r="AX2045" t="s">
        <v>3215</v>
      </c>
      <c r="AY2045">
        <v>4.9239999999999999E-2</v>
      </c>
      <c r="AZ2045">
        <v>-1.5499999999999999E-3</v>
      </c>
      <c r="BA2045">
        <v>2.3400000000000001E-3</v>
      </c>
      <c r="BB2045">
        <v>-1.8000000000000001E-4</v>
      </c>
      <c r="BC2045">
        <v>4.759E-2</v>
      </c>
      <c r="BD2045">
        <v>1</v>
      </c>
      <c r="BE2045" t="s">
        <v>69</v>
      </c>
      <c r="BF2045">
        <v>-0.08</v>
      </c>
      <c r="BG2045">
        <v>9.2999999999999999E-2</v>
      </c>
    </row>
    <row r="2046" spans="1:59">
      <c r="A2046">
        <v>0</v>
      </c>
      <c r="B2046">
        <v>5</v>
      </c>
      <c r="C2046">
        <v>0</v>
      </c>
      <c r="D2046" t="s">
        <v>25022</v>
      </c>
      <c r="E2046">
        <v>3956</v>
      </c>
      <c r="F2046" t="s">
        <v>23238</v>
      </c>
      <c r="G2046" t="s">
        <v>62</v>
      </c>
      <c r="H2046">
        <v>3920641</v>
      </c>
      <c r="I2046">
        <v>3921810</v>
      </c>
      <c r="J2046" t="s">
        <v>23239</v>
      </c>
      <c r="K2046">
        <v>390</v>
      </c>
      <c r="L2046" t="s">
        <v>108</v>
      </c>
      <c r="M2046">
        <v>44</v>
      </c>
      <c r="N2046" t="str">
        <f>HYPERLINK("Gene3956-zp_tree_all.dnd", "Gene3956-tree")</f>
        <v>Gene3956-tree</v>
      </c>
      <c r="O2046">
        <v>30</v>
      </c>
      <c r="P2046">
        <v>4</v>
      </c>
      <c r="Q2046">
        <v>10</v>
      </c>
      <c r="R2046">
        <v>4</v>
      </c>
      <c r="S2046">
        <v>0.28571000000000002</v>
      </c>
      <c r="T2046" t="s">
        <v>250</v>
      </c>
      <c r="U2046" t="s">
        <v>61</v>
      </c>
      <c r="V2046" t="s">
        <v>62</v>
      </c>
      <c r="W2046" t="s">
        <v>62</v>
      </c>
      <c r="X2046">
        <v>2</v>
      </c>
      <c r="Y2046">
        <v>5</v>
      </c>
      <c r="Z2046">
        <v>13</v>
      </c>
      <c r="AA2046">
        <v>0.27778000000000003</v>
      </c>
      <c r="AB2046">
        <v>0</v>
      </c>
      <c r="AC2046">
        <v>0</v>
      </c>
      <c r="AD2046">
        <v>0</v>
      </c>
      <c r="AE2046">
        <v>3</v>
      </c>
      <c r="AF2046">
        <v>0</v>
      </c>
      <c r="AG2046">
        <v>0</v>
      </c>
      <c r="AH2046">
        <v>0</v>
      </c>
      <c r="AI2046">
        <v>0</v>
      </c>
      <c r="AJ2046">
        <v>8</v>
      </c>
      <c r="AK2046">
        <v>0</v>
      </c>
      <c r="AL2046">
        <v>10</v>
      </c>
      <c r="AM2046">
        <v>10</v>
      </c>
      <c r="AN2046">
        <v>22</v>
      </c>
      <c r="AO2046">
        <v>7</v>
      </c>
      <c r="AP2046">
        <v>21</v>
      </c>
      <c r="AQ2046">
        <v>11</v>
      </c>
      <c r="AR2046" t="s">
        <v>23240</v>
      </c>
      <c r="AS2046" t="s">
        <v>23241</v>
      </c>
      <c r="AT2046">
        <v>0.44</v>
      </c>
      <c r="AU2046" t="s">
        <v>65</v>
      </c>
      <c r="AV2046">
        <v>43</v>
      </c>
      <c r="AW2046">
        <v>18</v>
      </c>
      <c r="AX2046" t="s">
        <v>23242</v>
      </c>
      <c r="AY2046">
        <v>3.8550000000000001E-2</v>
      </c>
      <c r="AZ2046">
        <v>-1.48E-3</v>
      </c>
      <c r="BA2046">
        <v>4.2599999999999999E-3</v>
      </c>
      <c r="BB2046">
        <v>-2.5000000000000001E-4</v>
      </c>
      <c r="BC2046">
        <v>0.11043</v>
      </c>
      <c r="BD2046">
        <v>1</v>
      </c>
      <c r="BE2046" t="s">
        <v>69</v>
      </c>
      <c r="BF2046">
        <v>-0.54100000000000004</v>
      </c>
      <c r="BG2046">
        <v>-0.86399999999999999</v>
      </c>
    </row>
    <row r="2047" spans="1:59">
      <c r="A2047">
        <v>0</v>
      </c>
      <c r="B2047">
        <v>18</v>
      </c>
      <c r="C2047">
        <v>5</v>
      </c>
      <c r="D2047" t="s">
        <v>25022</v>
      </c>
      <c r="E2047">
        <v>189</v>
      </c>
      <c r="F2047" t="s">
        <v>1332</v>
      </c>
      <c r="G2047" t="s">
        <v>57</v>
      </c>
      <c r="H2047">
        <v>211859</v>
      </c>
      <c r="I2047">
        <v>213028</v>
      </c>
      <c r="J2047" t="s">
        <v>1333</v>
      </c>
      <c r="K2047">
        <v>390</v>
      </c>
      <c r="L2047" t="s">
        <v>1334</v>
      </c>
      <c r="M2047">
        <v>37</v>
      </c>
      <c r="N2047" t="str">
        <f>HYPERLINK("Gene189-zp_tree_all.dnd", "Gene189-tree")</f>
        <v>Gene189-tree</v>
      </c>
      <c r="O2047">
        <v>2</v>
      </c>
      <c r="P2047">
        <v>14</v>
      </c>
      <c r="Q2047">
        <v>2</v>
      </c>
      <c r="R2047">
        <v>14</v>
      </c>
      <c r="S2047">
        <v>0.875</v>
      </c>
      <c r="T2047" t="s">
        <v>81</v>
      </c>
      <c r="U2047" t="s">
        <v>543</v>
      </c>
      <c r="V2047">
        <v>860908720.12699997</v>
      </c>
      <c r="W2047" t="s">
        <v>267</v>
      </c>
      <c r="X2047">
        <v>9</v>
      </c>
      <c r="Y2047">
        <v>23</v>
      </c>
      <c r="Z2047">
        <v>18</v>
      </c>
      <c r="AA2047">
        <v>0.56098000000000003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13</v>
      </c>
      <c r="AH2047">
        <v>5</v>
      </c>
      <c r="AI2047">
        <v>18</v>
      </c>
      <c r="AJ2047">
        <v>12</v>
      </c>
      <c r="AK2047">
        <v>0.6</v>
      </c>
      <c r="AL2047">
        <v>13</v>
      </c>
      <c r="AM2047">
        <v>12</v>
      </c>
      <c r="AN2047">
        <v>70</v>
      </c>
      <c r="AO2047">
        <v>29</v>
      </c>
      <c r="AP2047">
        <v>57</v>
      </c>
      <c r="AQ2047">
        <v>13</v>
      </c>
      <c r="AR2047" t="s">
        <v>1335</v>
      </c>
      <c r="AS2047" t="s">
        <v>1336</v>
      </c>
      <c r="AT2047">
        <v>0.67600000000000005</v>
      </c>
      <c r="AU2047" t="s">
        <v>65</v>
      </c>
      <c r="AV2047">
        <v>127</v>
      </c>
      <c r="AW2047">
        <v>42</v>
      </c>
      <c r="AX2047" t="s">
        <v>1337</v>
      </c>
      <c r="AY2047">
        <v>8.3169999999999994E-2</v>
      </c>
      <c r="AZ2047">
        <v>-4.6100000000000004E-3</v>
      </c>
      <c r="BA2047">
        <v>7.3299999999999997E-3</v>
      </c>
      <c r="BB2047">
        <v>-4.0999999999999999E-4</v>
      </c>
      <c r="BC2047">
        <v>8.8179999999999994E-2</v>
      </c>
      <c r="BD2047">
        <v>1</v>
      </c>
      <c r="BE2047" t="s">
        <v>69</v>
      </c>
      <c r="BF2047">
        <v>-1.349</v>
      </c>
      <c r="BG2047">
        <v>-1.395</v>
      </c>
    </row>
    <row r="2048" spans="1:59">
      <c r="A2048">
        <v>0</v>
      </c>
      <c r="B2048">
        <v>15</v>
      </c>
      <c r="C2048">
        <v>2</v>
      </c>
      <c r="D2048" t="s">
        <v>25022</v>
      </c>
      <c r="E2048">
        <v>3255</v>
      </c>
      <c r="F2048" t="s">
        <v>18978</v>
      </c>
      <c r="G2048" t="s">
        <v>62</v>
      </c>
      <c r="H2048">
        <v>3222198</v>
      </c>
      <c r="I2048">
        <v>3223367</v>
      </c>
      <c r="J2048" t="s">
        <v>18979</v>
      </c>
      <c r="K2048">
        <v>390</v>
      </c>
      <c r="L2048" t="s">
        <v>108</v>
      </c>
      <c r="M2048">
        <v>44</v>
      </c>
      <c r="N2048" t="str">
        <f>HYPERLINK("Gene3255-zp_tree_all.dnd", "Gene3255-tree")</f>
        <v>Gene3255-tree</v>
      </c>
      <c r="O2048">
        <v>7</v>
      </c>
      <c r="P2048">
        <v>9</v>
      </c>
      <c r="Q2048">
        <v>7</v>
      </c>
      <c r="R2048">
        <v>9</v>
      </c>
      <c r="S2048">
        <v>0.5625</v>
      </c>
      <c r="T2048" t="s">
        <v>152</v>
      </c>
      <c r="U2048" t="s">
        <v>135</v>
      </c>
      <c r="V2048" t="s">
        <v>62</v>
      </c>
      <c r="W2048" t="s">
        <v>62</v>
      </c>
      <c r="X2048">
        <v>7</v>
      </c>
      <c r="Y2048">
        <v>17</v>
      </c>
      <c r="Z2048">
        <v>7</v>
      </c>
      <c r="AA2048">
        <v>0.70833000000000002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9</v>
      </c>
      <c r="AH2048">
        <v>0</v>
      </c>
      <c r="AI2048">
        <v>9</v>
      </c>
      <c r="AJ2048">
        <v>9</v>
      </c>
      <c r="AK2048">
        <v>0.5</v>
      </c>
      <c r="AL2048">
        <v>14</v>
      </c>
      <c r="AM2048">
        <v>12</v>
      </c>
      <c r="AN2048">
        <v>49</v>
      </c>
      <c r="AO2048">
        <v>17</v>
      </c>
      <c r="AP2048">
        <v>45</v>
      </c>
      <c r="AQ2048">
        <v>7</v>
      </c>
      <c r="AR2048" t="s">
        <v>18980</v>
      </c>
      <c r="AS2048" t="s">
        <v>18981</v>
      </c>
      <c r="AT2048">
        <v>0.78100000000000003</v>
      </c>
      <c r="AU2048" t="s">
        <v>65</v>
      </c>
      <c r="AV2048">
        <v>94</v>
      </c>
      <c r="AW2048">
        <v>24</v>
      </c>
      <c r="AX2048" t="s">
        <v>18982</v>
      </c>
      <c r="AY2048">
        <v>6.6280000000000006E-2</v>
      </c>
      <c r="AZ2048">
        <v>-2.4399999999999999E-3</v>
      </c>
      <c r="BA2048">
        <v>4.0499999999999998E-3</v>
      </c>
      <c r="BB2048">
        <v>-2.2000000000000001E-4</v>
      </c>
      <c r="BC2048">
        <v>6.1089999999999998E-2</v>
      </c>
      <c r="BD2048">
        <v>1</v>
      </c>
      <c r="BE2048" t="s">
        <v>69</v>
      </c>
      <c r="BF2048">
        <v>-0.55400000000000005</v>
      </c>
      <c r="BG2048">
        <v>-0.46600000000000003</v>
      </c>
    </row>
    <row r="2049" spans="1:59">
      <c r="A2049">
        <v>0</v>
      </c>
      <c r="B2049">
        <v>5</v>
      </c>
      <c r="C2049">
        <v>2</v>
      </c>
      <c r="D2049" t="s">
        <v>25022</v>
      </c>
      <c r="E2049">
        <v>1228</v>
      </c>
      <c r="F2049" t="s">
        <v>7718</v>
      </c>
      <c r="G2049" t="s">
        <v>57</v>
      </c>
      <c r="H2049">
        <v>1259606</v>
      </c>
      <c r="I2049">
        <v>1260775</v>
      </c>
      <c r="J2049" t="s">
        <v>7719</v>
      </c>
      <c r="K2049">
        <v>390</v>
      </c>
      <c r="L2049" t="s">
        <v>108</v>
      </c>
      <c r="M2049">
        <v>44</v>
      </c>
      <c r="N2049" t="str">
        <f>HYPERLINK("Gene1228-zp_tree_all.dnd", "Gene1228-tree")</f>
        <v>Gene1228-tree</v>
      </c>
      <c r="O2049">
        <v>3</v>
      </c>
      <c r="P2049">
        <v>11</v>
      </c>
      <c r="Q2049">
        <v>3</v>
      </c>
      <c r="R2049">
        <v>11</v>
      </c>
      <c r="S2049">
        <v>0.78571000000000002</v>
      </c>
      <c r="T2049" t="s">
        <v>324</v>
      </c>
      <c r="U2049" t="s">
        <v>73</v>
      </c>
      <c r="V2049">
        <v>305230034.74400002</v>
      </c>
      <c r="W2049" t="s">
        <v>267</v>
      </c>
      <c r="X2049">
        <v>3</v>
      </c>
      <c r="Y2049">
        <v>7</v>
      </c>
      <c r="Z2049">
        <v>14</v>
      </c>
      <c r="AA2049">
        <v>0.33333000000000002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</v>
      </c>
      <c r="AH2049">
        <v>0</v>
      </c>
      <c r="AI2049">
        <v>2</v>
      </c>
      <c r="AJ2049">
        <v>15</v>
      </c>
      <c r="AK2049">
        <v>0.11765</v>
      </c>
      <c r="AL2049">
        <v>12</v>
      </c>
      <c r="AM2049">
        <v>10</v>
      </c>
      <c r="AN2049">
        <v>41</v>
      </c>
      <c r="AO2049">
        <v>17</v>
      </c>
      <c r="AP2049">
        <v>54</v>
      </c>
      <c r="AQ2049">
        <v>4</v>
      </c>
      <c r="AR2049" t="s">
        <v>7720</v>
      </c>
      <c r="AS2049" t="s">
        <v>7721</v>
      </c>
      <c r="AT2049">
        <v>1.2969999999999999</v>
      </c>
      <c r="AU2049" t="s">
        <v>65</v>
      </c>
      <c r="AV2049">
        <v>95</v>
      </c>
      <c r="AW2049">
        <v>21</v>
      </c>
      <c r="AX2049" t="s">
        <v>7722</v>
      </c>
      <c r="AY2049">
        <v>6.8900000000000003E-2</v>
      </c>
      <c r="AZ2049">
        <v>-2.5200000000000001E-3</v>
      </c>
      <c r="BA2049">
        <v>3.6800000000000001E-3</v>
      </c>
      <c r="BB2049">
        <v>-2.2000000000000001E-4</v>
      </c>
      <c r="BC2049">
        <v>5.3359999999999998E-2</v>
      </c>
      <c r="BD2049">
        <v>1</v>
      </c>
      <c r="BE2049" t="s">
        <v>69</v>
      </c>
      <c r="BF2049">
        <v>-0.33400000000000002</v>
      </c>
      <c r="BG2049">
        <v>-0.84399999999999997</v>
      </c>
    </row>
    <row r="2050" spans="1:59">
      <c r="A2050">
        <v>0</v>
      </c>
      <c r="B2050">
        <v>3</v>
      </c>
      <c r="C2050">
        <v>0</v>
      </c>
      <c r="D2050" t="s">
        <v>25022</v>
      </c>
      <c r="E2050">
        <v>2365</v>
      </c>
      <c r="F2050" t="s">
        <v>13746</v>
      </c>
      <c r="G2050" t="s">
        <v>62</v>
      </c>
      <c r="H2050">
        <v>2379103</v>
      </c>
      <c r="I2050">
        <v>2380272</v>
      </c>
      <c r="J2050" t="s">
        <v>13747</v>
      </c>
      <c r="K2050">
        <v>390</v>
      </c>
      <c r="L2050" t="s">
        <v>13748</v>
      </c>
      <c r="M2050">
        <v>41</v>
      </c>
      <c r="N2050" t="str">
        <f>HYPERLINK("Gene2365-zp_tree_all.dnd", "Gene2365-tree")</f>
        <v>Gene2365-tree</v>
      </c>
      <c r="O2050">
        <v>12</v>
      </c>
      <c r="P2050">
        <v>3</v>
      </c>
      <c r="Q2050">
        <v>12</v>
      </c>
      <c r="R2050">
        <v>3</v>
      </c>
      <c r="S2050">
        <v>0.2</v>
      </c>
      <c r="T2050" t="s">
        <v>109</v>
      </c>
      <c r="U2050" t="s">
        <v>324</v>
      </c>
      <c r="V2050" t="s">
        <v>62</v>
      </c>
      <c r="W2050" t="s">
        <v>62</v>
      </c>
      <c r="X2050">
        <v>1</v>
      </c>
      <c r="Y2050">
        <v>3</v>
      </c>
      <c r="Z2050">
        <v>3</v>
      </c>
      <c r="AA2050">
        <v>0.5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3</v>
      </c>
      <c r="AK2050">
        <v>0</v>
      </c>
      <c r="AL2050">
        <v>13</v>
      </c>
      <c r="AM2050">
        <v>10</v>
      </c>
      <c r="AN2050">
        <v>54</v>
      </c>
      <c r="AO2050">
        <v>3</v>
      </c>
      <c r="AP2050">
        <v>65</v>
      </c>
      <c r="AQ2050">
        <v>3</v>
      </c>
      <c r="AR2050" t="s">
        <v>13749</v>
      </c>
      <c r="AS2050" t="s">
        <v>13750</v>
      </c>
      <c r="AT2050">
        <v>0.111</v>
      </c>
      <c r="AU2050" t="s">
        <v>65</v>
      </c>
      <c r="AV2050">
        <v>119</v>
      </c>
      <c r="AW2050">
        <v>6</v>
      </c>
      <c r="AX2050" t="s">
        <v>13751</v>
      </c>
      <c r="AY2050">
        <v>9.8780000000000007E-2</v>
      </c>
      <c r="AZ2050">
        <v>-9.5499999999999995E-3</v>
      </c>
      <c r="BA2050">
        <v>8.4999999999999995E-4</v>
      </c>
      <c r="BB2050">
        <v>-6.9999999999999994E-5</v>
      </c>
      <c r="BC2050">
        <v>8.6300000000000005E-3</v>
      </c>
      <c r="BD2050">
        <v>1</v>
      </c>
      <c r="BE2050" t="s">
        <v>69</v>
      </c>
      <c r="BF2050">
        <v>-0.98399999999999999</v>
      </c>
      <c r="BG2050">
        <v>0.29799999999999999</v>
      </c>
    </row>
    <row r="2051" spans="1:59">
      <c r="A2051">
        <v>0</v>
      </c>
      <c r="B2051">
        <v>9</v>
      </c>
      <c r="C2051">
        <v>0</v>
      </c>
      <c r="D2051" t="s">
        <v>25022</v>
      </c>
      <c r="E2051">
        <v>1756</v>
      </c>
      <c r="F2051" t="s">
        <v>10999</v>
      </c>
      <c r="G2051" t="s">
        <v>57</v>
      </c>
      <c r="H2051">
        <v>1765859</v>
      </c>
      <c r="I2051">
        <v>1767031</v>
      </c>
      <c r="J2051" t="s">
        <v>11000</v>
      </c>
      <c r="K2051">
        <v>391</v>
      </c>
      <c r="L2051" t="s">
        <v>108</v>
      </c>
      <c r="M2051">
        <v>44</v>
      </c>
      <c r="N2051" t="str">
        <f>HYPERLINK("Gene1756-zp_tree_all.dnd", "Gene1756-tree")</f>
        <v>Gene1756-tree</v>
      </c>
      <c r="O2051">
        <v>4</v>
      </c>
      <c r="P2051">
        <v>9</v>
      </c>
      <c r="Q2051">
        <v>4</v>
      </c>
      <c r="R2051">
        <v>9</v>
      </c>
      <c r="S2051">
        <v>0.69230999999999998</v>
      </c>
      <c r="T2051" t="s">
        <v>61</v>
      </c>
      <c r="U2051" t="s">
        <v>135</v>
      </c>
      <c r="V2051" t="s">
        <v>62</v>
      </c>
      <c r="W2051" t="s">
        <v>62</v>
      </c>
      <c r="X2051">
        <v>4</v>
      </c>
      <c r="Y2051">
        <v>9</v>
      </c>
      <c r="Z2051">
        <v>16</v>
      </c>
      <c r="AA2051">
        <v>0.36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6</v>
      </c>
      <c r="AH2051">
        <v>0</v>
      </c>
      <c r="AI2051">
        <v>6</v>
      </c>
      <c r="AJ2051">
        <v>14</v>
      </c>
      <c r="AK2051">
        <v>0.3</v>
      </c>
      <c r="AL2051">
        <v>11</v>
      </c>
      <c r="AM2051">
        <v>10</v>
      </c>
      <c r="AN2051">
        <v>21</v>
      </c>
      <c r="AO2051">
        <v>16</v>
      </c>
      <c r="AP2051">
        <v>19</v>
      </c>
      <c r="AQ2051">
        <v>9</v>
      </c>
      <c r="AR2051" t="s">
        <v>11001</v>
      </c>
      <c r="AS2051" t="s">
        <v>11002</v>
      </c>
      <c r="AT2051">
        <v>0.48799999999999999</v>
      </c>
      <c r="AU2051" t="s">
        <v>65</v>
      </c>
      <c r="AV2051">
        <v>40</v>
      </c>
      <c r="AW2051">
        <v>25</v>
      </c>
      <c r="AX2051" t="s">
        <v>11003</v>
      </c>
      <c r="AY2051">
        <v>3.4779999999999998E-2</v>
      </c>
      <c r="AZ2051">
        <v>-1.3799999999999999E-3</v>
      </c>
      <c r="BA2051">
        <v>5.3E-3</v>
      </c>
      <c r="BB2051">
        <v>-3.5E-4</v>
      </c>
      <c r="BC2051">
        <v>0.15237999999999999</v>
      </c>
      <c r="BD2051">
        <v>1</v>
      </c>
      <c r="BE2051" t="s">
        <v>69</v>
      </c>
      <c r="BF2051">
        <v>0.46300000000000002</v>
      </c>
      <c r="BG2051">
        <v>0.32300000000000001</v>
      </c>
    </row>
    <row r="2052" spans="1:59">
      <c r="A2052">
        <v>0</v>
      </c>
      <c r="B2052">
        <v>9</v>
      </c>
      <c r="C2052">
        <v>2</v>
      </c>
      <c r="D2052" t="s">
        <v>25022</v>
      </c>
      <c r="E2052">
        <v>1099</v>
      </c>
      <c r="F2052" t="s">
        <v>6915</v>
      </c>
      <c r="G2052" t="s">
        <v>57</v>
      </c>
      <c r="H2052">
        <v>1143577</v>
      </c>
      <c r="I2052">
        <v>1144749</v>
      </c>
      <c r="J2052" t="s">
        <v>6916</v>
      </c>
      <c r="K2052">
        <v>391</v>
      </c>
      <c r="L2052" t="s">
        <v>108</v>
      </c>
      <c r="M2052">
        <v>44</v>
      </c>
      <c r="N2052" t="str">
        <f>HYPERLINK("Gene1099-zp_tree_all.dnd", "Gene1099-tree")</f>
        <v>Gene1099-tree</v>
      </c>
      <c r="O2052">
        <v>8</v>
      </c>
      <c r="P2052">
        <v>10</v>
      </c>
      <c r="Q2052">
        <v>8</v>
      </c>
      <c r="R2052">
        <v>10</v>
      </c>
      <c r="S2052">
        <v>0.55556000000000005</v>
      </c>
      <c r="T2052" t="s">
        <v>136</v>
      </c>
      <c r="U2052" t="s">
        <v>117</v>
      </c>
      <c r="V2052" t="s">
        <v>62</v>
      </c>
      <c r="W2052" t="s">
        <v>62</v>
      </c>
      <c r="X2052">
        <v>4</v>
      </c>
      <c r="Y2052">
        <v>11</v>
      </c>
      <c r="Z2052">
        <v>13</v>
      </c>
      <c r="AA2052">
        <v>0.45833000000000002</v>
      </c>
      <c r="AB2052">
        <v>0</v>
      </c>
      <c r="AC2052">
        <v>0</v>
      </c>
      <c r="AD2052">
        <v>0</v>
      </c>
      <c r="AE2052">
        <v>2</v>
      </c>
      <c r="AF2052">
        <v>0</v>
      </c>
      <c r="AG2052">
        <v>2</v>
      </c>
      <c r="AH2052">
        <v>1</v>
      </c>
      <c r="AI2052">
        <v>3</v>
      </c>
      <c r="AJ2052">
        <v>12</v>
      </c>
      <c r="AK2052">
        <v>0.2</v>
      </c>
      <c r="AL2052">
        <v>16</v>
      </c>
      <c r="AM2052">
        <v>13</v>
      </c>
      <c r="AN2052">
        <v>43</v>
      </c>
      <c r="AO2052">
        <v>15</v>
      </c>
      <c r="AP2052">
        <v>19</v>
      </c>
      <c r="AQ2052">
        <v>9</v>
      </c>
      <c r="AR2052" t="s">
        <v>6917</v>
      </c>
      <c r="AS2052" t="s">
        <v>6918</v>
      </c>
      <c r="AT2052">
        <v>0.29499999999999998</v>
      </c>
      <c r="AU2052" t="s">
        <v>65</v>
      </c>
      <c r="AV2052">
        <v>62</v>
      </c>
      <c r="AW2052">
        <v>24</v>
      </c>
      <c r="AX2052" t="s">
        <v>6919</v>
      </c>
      <c r="AY2052">
        <v>3.4479999999999997E-2</v>
      </c>
      <c r="AZ2052">
        <v>-1.4400000000000001E-3</v>
      </c>
      <c r="BA2052">
        <v>3.98E-3</v>
      </c>
      <c r="BB2052">
        <v>-1.2E-4</v>
      </c>
      <c r="BC2052">
        <v>0.11552</v>
      </c>
      <c r="BD2052">
        <v>1</v>
      </c>
      <c r="BE2052" t="s">
        <v>69</v>
      </c>
      <c r="BF2052">
        <v>-1.581</v>
      </c>
      <c r="BG2052">
        <v>-2.7530000000000001</v>
      </c>
    </row>
    <row r="2053" spans="1:59">
      <c r="A2053">
        <v>0</v>
      </c>
      <c r="B2053">
        <v>2</v>
      </c>
      <c r="C2053">
        <v>2</v>
      </c>
      <c r="D2053" t="s">
        <v>25022</v>
      </c>
      <c r="E2053">
        <v>2408</v>
      </c>
      <c r="F2053" t="s">
        <v>14025</v>
      </c>
      <c r="G2053" t="s">
        <v>62</v>
      </c>
      <c r="H2053">
        <v>2417987</v>
      </c>
      <c r="I2053">
        <v>2419159</v>
      </c>
      <c r="J2053" t="s">
        <v>14026</v>
      </c>
      <c r="K2053">
        <v>391</v>
      </c>
      <c r="L2053" t="s">
        <v>108</v>
      </c>
      <c r="M2053">
        <v>44</v>
      </c>
      <c r="N2053" t="str">
        <f>HYPERLINK("Gene2408-zp_tree_all.dnd", "Gene2408-tree")</f>
        <v>Gene2408-tree</v>
      </c>
      <c r="O2053">
        <v>4</v>
      </c>
      <c r="P2053">
        <v>9</v>
      </c>
      <c r="Q2053">
        <v>4</v>
      </c>
      <c r="R2053">
        <v>9</v>
      </c>
      <c r="S2053">
        <v>0.69230999999999998</v>
      </c>
      <c r="T2053" t="s">
        <v>61</v>
      </c>
      <c r="U2053" t="s">
        <v>135</v>
      </c>
      <c r="V2053" t="s">
        <v>62</v>
      </c>
      <c r="W2053" t="s">
        <v>62</v>
      </c>
      <c r="X2053">
        <v>2</v>
      </c>
      <c r="Y2053">
        <v>4</v>
      </c>
      <c r="Z2053">
        <v>8</v>
      </c>
      <c r="AA2053">
        <v>0.33333000000000002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2</v>
      </c>
      <c r="AI2053">
        <v>2</v>
      </c>
      <c r="AJ2053">
        <v>8</v>
      </c>
      <c r="AK2053">
        <v>0.2</v>
      </c>
      <c r="AL2053">
        <v>10</v>
      </c>
      <c r="AM2053">
        <v>9</v>
      </c>
      <c r="AN2053">
        <v>20</v>
      </c>
      <c r="AO2053">
        <v>9</v>
      </c>
      <c r="AP2053">
        <v>17</v>
      </c>
      <c r="AQ2053">
        <v>3</v>
      </c>
      <c r="AR2053" t="s">
        <v>14027</v>
      </c>
      <c r="AS2053" t="s">
        <v>14028</v>
      </c>
      <c r="AT2053">
        <v>1.532</v>
      </c>
      <c r="AU2053" t="s">
        <v>65</v>
      </c>
      <c r="AV2053">
        <v>37</v>
      </c>
      <c r="AW2053">
        <v>12</v>
      </c>
      <c r="AX2053" t="s">
        <v>14029</v>
      </c>
      <c r="AY2053">
        <v>3.041E-2</v>
      </c>
      <c r="AZ2053">
        <v>-1.25E-3</v>
      </c>
      <c r="BA2053">
        <v>2.7200000000000002E-3</v>
      </c>
      <c r="BB2053">
        <v>-1.7000000000000001E-4</v>
      </c>
      <c r="BC2053">
        <v>8.9459999999999998E-2</v>
      </c>
      <c r="BD2053">
        <v>1</v>
      </c>
      <c r="BE2053" t="s">
        <v>69</v>
      </c>
      <c r="BF2053">
        <v>-0.22500000000000001</v>
      </c>
      <c r="BG2053">
        <v>-0.72</v>
      </c>
    </row>
    <row r="2054" spans="1:59">
      <c r="A2054">
        <v>0</v>
      </c>
      <c r="B2054">
        <v>7</v>
      </c>
      <c r="C2054">
        <v>1</v>
      </c>
      <c r="D2054" t="s">
        <v>25022</v>
      </c>
      <c r="E2054">
        <v>3620</v>
      </c>
      <c r="F2054" t="s">
        <v>21259</v>
      </c>
      <c r="G2054" t="s">
        <v>62</v>
      </c>
      <c r="H2054">
        <v>3588188</v>
      </c>
      <c r="I2054">
        <v>3589360</v>
      </c>
      <c r="J2054" t="s">
        <v>21260</v>
      </c>
      <c r="K2054">
        <v>391</v>
      </c>
      <c r="L2054" t="s">
        <v>108</v>
      </c>
      <c r="M2054">
        <v>44</v>
      </c>
      <c r="N2054" t="str">
        <f>HYPERLINK("Gene3620-zp_tree_all.dnd", "Gene3620-tree")</f>
        <v>Gene3620-tree</v>
      </c>
      <c r="O2054">
        <v>5</v>
      </c>
      <c r="P2054">
        <v>7</v>
      </c>
      <c r="Q2054">
        <v>5</v>
      </c>
      <c r="R2054">
        <v>7</v>
      </c>
      <c r="S2054">
        <v>0.58333000000000002</v>
      </c>
      <c r="T2054" t="s">
        <v>199</v>
      </c>
      <c r="U2054" t="s">
        <v>152</v>
      </c>
      <c r="V2054" t="s">
        <v>62</v>
      </c>
      <c r="W2054" t="s">
        <v>62</v>
      </c>
      <c r="X2054">
        <v>3</v>
      </c>
      <c r="Y2054">
        <v>8</v>
      </c>
      <c r="Z2054">
        <v>7</v>
      </c>
      <c r="AA2054">
        <v>0.53332999999999997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4</v>
      </c>
      <c r="AH2054">
        <v>1</v>
      </c>
      <c r="AI2054">
        <v>5</v>
      </c>
      <c r="AJ2054">
        <v>8</v>
      </c>
      <c r="AK2054">
        <v>0.38462000000000002</v>
      </c>
      <c r="AL2054">
        <v>12</v>
      </c>
      <c r="AM2054">
        <v>9</v>
      </c>
      <c r="AN2054">
        <v>31</v>
      </c>
      <c r="AO2054">
        <v>13</v>
      </c>
      <c r="AP2054">
        <v>17</v>
      </c>
      <c r="AQ2054">
        <v>2</v>
      </c>
      <c r="AR2054" t="s">
        <v>21261</v>
      </c>
      <c r="AS2054" t="s">
        <v>21262</v>
      </c>
      <c r="AT2054">
        <v>1.3440000000000001</v>
      </c>
      <c r="AU2054" t="s">
        <v>65</v>
      </c>
      <c r="AV2054">
        <v>48</v>
      </c>
      <c r="AW2054">
        <v>15</v>
      </c>
      <c r="AX2054" t="s">
        <v>13193</v>
      </c>
      <c r="AY2054">
        <v>3.6080000000000001E-2</v>
      </c>
      <c r="AZ2054">
        <v>-1.4300000000000001E-3</v>
      </c>
      <c r="BA2054">
        <v>2.7799999999999999E-3</v>
      </c>
      <c r="BB2054">
        <v>-2.1000000000000001E-4</v>
      </c>
      <c r="BC2054">
        <v>7.6960000000000001E-2</v>
      </c>
      <c r="BD2054">
        <v>1</v>
      </c>
      <c r="BE2054" t="s">
        <v>69</v>
      </c>
      <c r="BF2054">
        <v>-0.76500000000000001</v>
      </c>
      <c r="BG2054">
        <v>-2.161</v>
      </c>
    </row>
    <row r="2055" spans="1:59">
      <c r="A2055">
        <v>0</v>
      </c>
      <c r="B2055">
        <v>0</v>
      </c>
      <c r="C2055">
        <v>2</v>
      </c>
      <c r="D2055" t="s">
        <v>25022</v>
      </c>
      <c r="E2055">
        <v>3404</v>
      </c>
      <c r="F2055" t="s">
        <v>19913</v>
      </c>
      <c r="G2055" t="s">
        <v>62</v>
      </c>
      <c r="H2055">
        <v>3368842</v>
      </c>
      <c r="I2055">
        <v>3370014</v>
      </c>
      <c r="J2055" t="s">
        <v>19914</v>
      </c>
      <c r="K2055">
        <v>391</v>
      </c>
      <c r="L2055" t="s">
        <v>108</v>
      </c>
      <c r="M2055">
        <v>44</v>
      </c>
      <c r="N2055" t="str">
        <f>HYPERLINK("Gene3404-zp_tree_all.dnd", "Gene3404-tree")</f>
        <v>Gene3404-tree</v>
      </c>
      <c r="O2055">
        <v>8</v>
      </c>
      <c r="P2055">
        <v>6</v>
      </c>
      <c r="Q2055">
        <v>8</v>
      </c>
      <c r="R2055">
        <v>6</v>
      </c>
      <c r="S2055">
        <v>0.42857000000000001</v>
      </c>
      <c r="T2055" t="s">
        <v>136</v>
      </c>
      <c r="U2055" t="s">
        <v>90</v>
      </c>
      <c r="V2055" t="s">
        <v>62</v>
      </c>
      <c r="W2055" t="s">
        <v>62</v>
      </c>
      <c r="X2055">
        <v>1</v>
      </c>
      <c r="Y2055">
        <v>2</v>
      </c>
      <c r="Z2055">
        <v>10</v>
      </c>
      <c r="AA2055">
        <v>0.16667000000000001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9</v>
      </c>
      <c r="AK2055">
        <v>0</v>
      </c>
      <c r="AL2055">
        <v>13</v>
      </c>
      <c r="AM2055">
        <v>10</v>
      </c>
      <c r="AN2055">
        <v>59</v>
      </c>
      <c r="AO2055">
        <v>9</v>
      </c>
      <c r="AP2055">
        <v>48</v>
      </c>
      <c r="AQ2055">
        <v>4</v>
      </c>
      <c r="AR2055" t="s">
        <v>19915</v>
      </c>
      <c r="AS2055" t="s">
        <v>19916</v>
      </c>
      <c r="AT2055">
        <v>0.55900000000000005</v>
      </c>
      <c r="AU2055" t="s">
        <v>65</v>
      </c>
      <c r="AV2055">
        <v>107</v>
      </c>
      <c r="AW2055">
        <v>13</v>
      </c>
      <c r="AX2055" t="s">
        <v>19917</v>
      </c>
      <c r="AY2055">
        <v>7.3260000000000006E-2</v>
      </c>
      <c r="AZ2055">
        <v>-2.2300000000000002E-3</v>
      </c>
      <c r="BA2055">
        <v>2.7100000000000002E-3</v>
      </c>
      <c r="BB2055">
        <v>-2.2000000000000001E-4</v>
      </c>
      <c r="BC2055">
        <v>3.6999999999999998E-2</v>
      </c>
      <c r="BD2055">
        <v>1</v>
      </c>
      <c r="BE2055" t="s">
        <v>69</v>
      </c>
      <c r="BF2055">
        <v>-0.437</v>
      </c>
      <c r="BG2055">
        <v>-0.78300000000000003</v>
      </c>
    </row>
    <row r="2056" spans="1:59">
      <c r="A2056">
        <v>0</v>
      </c>
      <c r="B2056">
        <v>5</v>
      </c>
      <c r="C2056">
        <v>0</v>
      </c>
      <c r="D2056" t="s">
        <v>25022</v>
      </c>
      <c r="E2056">
        <v>1761</v>
      </c>
      <c r="F2056" t="s">
        <v>11027</v>
      </c>
      <c r="G2056" t="s">
        <v>57</v>
      </c>
      <c r="H2056">
        <v>1771517</v>
      </c>
      <c r="I2056">
        <v>1772692</v>
      </c>
      <c r="J2056" t="s">
        <v>11028</v>
      </c>
      <c r="K2056">
        <v>392</v>
      </c>
      <c r="L2056" t="s">
        <v>108</v>
      </c>
      <c r="M2056">
        <v>44</v>
      </c>
      <c r="N2056" t="str">
        <f>HYPERLINK("Gene1761-zp_tree_all.dnd", "Gene1761-tree")</f>
        <v>Gene1761-tree</v>
      </c>
      <c r="O2056">
        <v>4</v>
      </c>
      <c r="P2056">
        <v>8</v>
      </c>
      <c r="Q2056">
        <v>4</v>
      </c>
      <c r="R2056">
        <v>8</v>
      </c>
      <c r="S2056">
        <v>0.66666999999999998</v>
      </c>
      <c r="T2056" t="s">
        <v>61</v>
      </c>
      <c r="U2056" t="s">
        <v>136</v>
      </c>
      <c r="V2056" t="s">
        <v>62</v>
      </c>
      <c r="W2056" t="s">
        <v>62</v>
      </c>
      <c r="X2056">
        <v>2</v>
      </c>
      <c r="Y2056">
        <v>5</v>
      </c>
      <c r="Z2056">
        <v>12</v>
      </c>
      <c r="AA2056">
        <v>0.29411999999999999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</v>
      </c>
      <c r="AH2056">
        <v>0</v>
      </c>
      <c r="AI2056">
        <v>2</v>
      </c>
      <c r="AJ2056">
        <v>8</v>
      </c>
      <c r="AK2056">
        <v>0.2</v>
      </c>
      <c r="AL2056">
        <v>11</v>
      </c>
      <c r="AM2056">
        <v>8</v>
      </c>
      <c r="AN2056">
        <v>25</v>
      </c>
      <c r="AO2056">
        <v>9</v>
      </c>
      <c r="AP2056">
        <v>15</v>
      </c>
      <c r="AQ2056">
        <v>8</v>
      </c>
      <c r="AR2056" t="s">
        <v>11029</v>
      </c>
      <c r="AS2056" t="s">
        <v>11030</v>
      </c>
      <c r="AT2056">
        <v>0.89200000000000002</v>
      </c>
      <c r="AU2056" t="s">
        <v>65</v>
      </c>
      <c r="AV2056">
        <v>40</v>
      </c>
      <c r="AW2056">
        <v>17</v>
      </c>
      <c r="AX2056" t="s">
        <v>11031</v>
      </c>
      <c r="AY2056">
        <v>3.4279999999999998E-2</v>
      </c>
      <c r="AZ2056">
        <v>-1.82E-3</v>
      </c>
      <c r="BA2056">
        <v>4.6299999999999996E-3</v>
      </c>
      <c r="BB2056">
        <v>-2.4000000000000001E-4</v>
      </c>
      <c r="BC2056">
        <v>0.1351</v>
      </c>
      <c r="BD2056">
        <v>1</v>
      </c>
      <c r="BE2056" t="s">
        <v>69</v>
      </c>
      <c r="BF2056">
        <v>-0.36699999999999999</v>
      </c>
      <c r="BG2056">
        <v>-0.51300000000000001</v>
      </c>
    </row>
    <row r="2057" spans="1:59">
      <c r="A2057">
        <v>0</v>
      </c>
      <c r="B2057">
        <v>8</v>
      </c>
      <c r="C2057">
        <v>0</v>
      </c>
      <c r="D2057" t="s">
        <v>25022</v>
      </c>
      <c r="E2057">
        <v>1265</v>
      </c>
      <c r="F2057" t="s">
        <v>7931</v>
      </c>
      <c r="G2057" t="s">
        <v>57</v>
      </c>
      <c r="H2057">
        <v>1292557</v>
      </c>
      <c r="I2057">
        <v>1293732</v>
      </c>
      <c r="J2057" t="s">
        <v>7932</v>
      </c>
      <c r="K2057">
        <v>392</v>
      </c>
      <c r="L2057" t="s">
        <v>108</v>
      </c>
      <c r="M2057">
        <v>44</v>
      </c>
      <c r="N2057" t="str">
        <f>HYPERLINK("Gene1265-zp_tree_all.dnd", "Gene1265-tree")</f>
        <v>Gene1265-tree</v>
      </c>
      <c r="O2057">
        <v>4</v>
      </c>
      <c r="P2057">
        <v>9</v>
      </c>
      <c r="Q2057">
        <v>4</v>
      </c>
      <c r="R2057">
        <v>9</v>
      </c>
      <c r="S2057">
        <v>0.69230999999999998</v>
      </c>
      <c r="T2057" t="s">
        <v>61</v>
      </c>
      <c r="U2057" t="s">
        <v>135</v>
      </c>
      <c r="V2057" t="s">
        <v>62</v>
      </c>
      <c r="W2057" t="s">
        <v>62</v>
      </c>
      <c r="X2057">
        <v>3</v>
      </c>
      <c r="Y2057">
        <v>8</v>
      </c>
      <c r="Z2057">
        <v>15</v>
      </c>
      <c r="AA2057">
        <v>0.34782999999999997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4</v>
      </c>
      <c r="AH2057">
        <v>0</v>
      </c>
      <c r="AI2057">
        <v>4</v>
      </c>
      <c r="AJ2057">
        <v>17</v>
      </c>
      <c r="AK2057">
        <v>0.19048000000000001</v>
      </c>
      <c r="AL2057">
        <v>9</v>
      </c>
      <c r="AM2057">
        <v>8</v>
      </c>
      <c r="AN2057">
        <v>41</v>
      </c>
      <c r="AO2057">
        <v>16</v>
      </c>
      <c r="AP2057">
        <v>8</v>
      </c>
      <c r="AQ2057">
        <v>7</v>
      </c>
      <c r="AR2057" t="s">
        <v>7933</v>
      </c>
      <c r="AS2057" t="s">
        <v>7934</v>
      </c>
      <c r="AT2057">
        <v>0.57199999999999995</v>
      </c>
      <c r="AU2057" t="s">
        <v>65</v>
      </c>
      <c r="AV2057">
        <v>49</v>
      </c>
      <c r="AW2057">
        <v>23</v>
      </c>
      <c r="AX2057" t="s">
        <v>7935</v>
      </c>
      <c r="AY2057">
        <v>3.4500000000000003E-2</v>
      </c>
      <c r="AZ2057">
        <v>-3.0899999999999999E-3</v>
      </c>
      <c r="BA2057">
        <v>4.47E-3</v>
      </c>
      <c r="BB2057">
        <v>-3.2000000000000003E-4</v>
      </c>
      <c r="BC2057">
        <v>0.12952</v>
      </c>
      <c r="BD2057">
        <v>1</v>
      </c>
      <c r="BE2057" t="s">
        <v>69</v>
      </c>
      <c r="BF2057">
        <v>-1.5449999999999999</v>
      </c>
      <c r="BG2057">
        <v>-2.16</v>
      </c>
    </row>
    <row r="2058" spans="1:59">
      <c r="A2058">
        <v>0</v>
      </c>
      <c r="B2058">
        <v>7</v>
      </c>
      <c r="C2058">
        <v>4</v>
      </c>
      <c r="D2058" t="s">
        <v>25022</v>
      </c>
      <c r="E2058">
        <v>1938</v>
      </c>
      <c r="F2058" t="s">
        <v>12148</v>
      </c>
      <c r="G2058" t="s">
        <v>62</v>
      </c>
      <c r="H2058">
        <v>2037604</v>
      </c>
      <c r="I2058">
        <v>2038779</v>
      </c>
      <c r="J2058" t="s">
        <v>12149</v>
      </c>
      <c r="K2058">
        <v>392</v>
      </c>
      <c r="L2058" t="s">
        <v>2078</v>
      </c>
      <c r="M2058">
        <v>36</v>
      </c>
      <c r="N2058" t="str">
        <f>HYPERLINK("Gene1938-zp_tree_all.dnd", "Gene1938-tree")</f>
        <v>Gene1938-tree</v>
      </c>
      <c r="O2058">
        <v>3</v>
      </c>
      <c r="P2058">
        <v>8</v>
      </c>
      <c r="Q2058">
        <v>3</v>
      </c>
      <c r="R2058">
        <v>8</v>
      </c>
      <c r="S2058">
        <v>0.72726999999999997</v>
      </c>
      <c r="T2058" t="s">
        <v>324</v>
      </c>
      <c r="U2058" t="s">
        <v>136</v>
      </c>
      <c r="V2058" t="s">
        <v>62</v>
      </c>
      <c r="W2058" t="s">
        <v>62</v>
      </c>
      <c r="X2058">
        <v>5</v>
      </c>
      <c r="Y2058">
        <v>11</v>
      </c>
      <c r="Z2058">
        <v>13</v>
      </c>
      <c r="AA2058">
        <v>0.45833000000000002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2</v>
      </c>
      <c r="AH2058">
        <v>2</v>
      </c>
      <c r="AI2058">
        <v>4</v>
      </c>
      <c r="AJ2058">
        <v>14</v>
      </c>
      <c r="AK2058">
        <v>0.22222</v>
      </c>
      <c r="AL2058">
        <v>9</v>
      </c>
      <c r="AM2058">
        <v>8</v>
      </c>
      <c r="AN2058">
        <v>59</v>
      </c>
      <c r="AO2058">
        <v>16</v>
      </c>
      <c r="AP2058">
        <v>32</v>
      </c>
      <c r="AQ2058">
        <v>8</v>
      </c>
      <c r="AR2058" t="s">
        <v>12150</v>
      </c>
      <c r="AS2058" t="s">
        <v>12151</v>
      </c>
      <c r="AT2058">
        <v>0.1</v>
      </c>
      <c r="AU2058" t="s">
        <v>65</v>
      </c>
      <c r="AV2058">
        <v>91</v>
      </c>
      <c r="AW2058">
        <v>24</v>
      </c>
      <c r="AX2058" t="s">
        <v>12152</v>
      </c>
      <c r="AY2058">
        <v>7.7310000000000004E-2</v>
      </c>
      <c r="AZ2058">
        <v>-5.6299999999999996E-3</v>
      </c>
      <c r="BA2058">
        <v>5.8300000000000001E-3</v>
      </c>
      <c r="BB2058">
        <v>-3.6000000000000002E-4</v>
      </c>
      <c r="BC2058">
        <v>7.5439999999999993E-2</v>
      </c>
      <c r="BD2058">
        <v>1</v>
      </c>
      <c r="BE2058" t="s">
        <v>69</v>
      </c>
      <c r="BF2058">
        <v>-1.45</v>
      </c>
      <c r="BG2058">
        <v>-2.86</v>
      </c>
    </row>
    <row r="2059" spans="1:59">
      <c r="A2059">
        <v>0</v>
      </c>
      <c r="B2059">
        <v>2</v>
      </c>
      <c r="C2059">
        <v>0</v>
      </c>
      <c r="D2059" t="s">
        <v>25022</v>
      </c>
      <c r="E2059">
        <v>767</v>
      </c>
      <c r="F2059" t="s">
        <v>4764</v>
      </c>
      <c r="G2059" t="s">
        <v>57</v>
      </c>
      <c r="H2059">
        <v>801172</v>
      </c>
      <c r="I2059">
        <v>802347</v>
      </c>
      <c r="J2059" t="s">
        <v>4765</v>
      </c>
      <c r="K2059">
        <v>392</v>
      </c>
      <c r="L2059" t="s">
        <v>108</v>
      </c>
      <c r="M2059">
        <v>44</v>
      </c>
      <c r="N2059" t="str">
        <f>HYPERLINK("Gene767-zp_tree_all.dnd", "Gene767-tree")</f>
        <v>Gene767-tree</v>
      </c>
      <c r="O2059">
        <v>7</v>
      </c>
      <c r="P2059">
        <v>5</v>
      </c>
      <c r="Q2059">
        <v>7</v>
      </c>
      <c r="R2059">
        <v>5</v>
      </c>
      <c r="S2059">
        <v>0.41666999999999998</v>
      </c>
      <c r="T2059" t="s">
        <v>152</v>
      </c>
      <c r="U2059" t="s">
        <v>199</v>
      </c>
      <c r="V2059" t="s">
        <v>62</v>
      </c>
      <c r="W2059" t="s">
        <v>62</v>
      </c>
      <c r="X2059">
        <v>1</v>
      </c>
      <c r="Y2059">
        <v>2</v>
      </c>
      <c r="Z2059">
        <v>8</v>
      </c>
      <c r="AA2059">
        <v>0.2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</v>
      </c>
      <c r="AK2059">
        <v>0</v>
      </c>
      <c r="AL2059">
        <v>11</v>
      </c>
      <c r="AM2059">
        <v>7</v>
      </c>
      <c r="AN2059">
        <v>25</v>
      </c>
      <c r="AO2059">
        <v>7</v>
      </c>
      <c r="AP2059">
        <v>23</v>
      </c>
      <c r="AQ2059">
        <v>3</v>
      </c>
      <c r="AR2059" t="s">
        <v>4766</v>
      </c>
      <c r="AS2059" t="s">
        <v>4767</v>
      </c>
      <c r="AT2059">
        <v>0.58499999999999996</v>
      </c>
      <c r="AU2059" t="s">
        <v>65</v>
      </c>
      <c r="AV2059">
        <v>48</v>
      </c>
      <c r="AW2059">
        <v>10</v>
      </c>
      <c r="AX2059" t="s">
        <v>4768</v>
      </c>
      <c r="AY2059">
        <v>4.4909999999999999E-2</v>
      </c>
      <c r="AZ2059">
        <v>-2.15E-3</v>
      </c>
      <c r="BA2059">
        <v>2.31E-3</v>
      </c>
      <c r="BB2059">
        <v>-1.9000000000000001E-4</v>
      </c>
      <c r="BC2059">
        <v>5.1409999999999997E-2</v>
      </c>
      <c r="BD2059">
        <v>1</v>
      </c>
      <c r="BE2059" t="s">
        <v>69</v>
      </c>
      <c r="BF2059">
        <v>-0.47699999999999998</v>
      </c>
      <c r="BG2059">
        <v>-0.16700000000000001</v>
      </c>
    </row>
    <row r="2060" spans="1:59">
      <c r="A2060">
        <v>0</v>
      </c>
      <c r="B2060">
        <v>4</v>
      </c>
      <c r="C2060">
        <v>0</v>
      </c>
      <c r="D2060" t="s">
        <v>25022</v>
      </c>
      <c r="E2060">
        <v>1273</v>
      </c>
      <c r="F2060" t="s">
        <v>7980</v>
      </c>
      <c r="G2060" t="s">
        <v>57</v>
      </c>
      <c r="H2060">
        <v>1299074</v>
      </c>
      <c r="I2060">
        <v>1300249</v>
      </c>
      <c r="J2060" t="s">
        <v>7981</v>
      </c>
      <c r="K2060">
        <v>392</v>
      </c>
      <c r="L2060" t="s">
        <v>59</v>
      </c>
      <c r="M2060">
        <v>49</v>
      </c>
      <c r="N2060" t="str">
        <f>HYPERLINK("Gene1273-zp_tree_all.dnd", "Gene1273-tree")</f>
        <v>Gene1273-tree</v>
      </c>
      <c r="O2060">
        <v>17</v>
      </c>
      <c r="P2060">
        <v>3</v>
      </c>
      <c r="Q2060">
        <v>17</v>
      </c>
      <c r="R2060">
        <v>3</v>
      </c>
      <c r="S2060">
        <v>0.15</v>
      </c>
      <c r="T2060" t="s">
        <v>266</v>
      </c>
      <c r="U2060" t="s">
        <v>324</v>
      </c>
      <c r="V2060" t="s">
        <v>62</v>
      </c>
      <c r="W2060" t="s">
        <v>62</v>
      </c>
      <c r="X2060">
        <v>2</v>
      </c>
      <c r="Y2060">
        <v>4</v>
      </c>
      <c r="Z2060">
        <v>4</v>
      </c>
      <c r="AA2060">
        <v>0.5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3</v>
      </c>
      <c r="AK2060">
        <v>0</v>
      </c>
      <c r="AL2060">
        <v>17</v>
      </c>
      <c r="AM2060">
        <v>14</v>
      </c>
      <c r="AN2060">
        <v>56</v>
      </c>
      <c r="AO2060">
        <v>3</v>
      </c>
      <c r="AP2060">
        <v>64</v>
      </c>
      <c r="AQ2060">
        <v>5</v>
      </c>
      <c r="AR2060" t="s">
        <v>7982</v>
      </c>
      <c r="AS2060" t="s">
        <v>7983</v>
      </c>
      <c r="AT2060">
        <v>0.17699999999999999</v>
      </c>
      <c r="AU2060" t="s">
        <v>65</v>
      </c>
      <c r="AV2060">
        <v>120</v>
      </c>
      <c r="AW2060">
        <v>8</v>
      </c>
      <c r="AX2060" t="s">
        <v>7984</v>
      </c>
      <c r="AY2060">
        <v>7.0779999999999996E-2</v>
      </c>
      <c r="AZ2060">
        <v>-2.9299999999999999E-3</v>
      </c>
      <c r="BA2060">
        <v>2.0200000000000001E-3</v>
      </c>
      <c r="BB2060">
        <v>-1.2999999999999999E-4</v>
      </c>
      <c r="BC2060">
        <v>2.8469999999999999E-2</v>
      </c>
      <c r="BD2060">
        <v>1</v>
      </c>
      <c r="BE2060" t="s">
        <v>69</v>
      </c>
      <c r="BF2060">
        <v>-0.99099999999999999</v>
      </c>
      <c r="BG2060">
        <v>-1.6830000000000001</v>
      </c>
    </row>
    <row r="2061" spans="1:59">
      <c r="A2061">
        <v>0</v>
      </c>
      <c r="B2061">
        <v>0</v>
      </c>
      <c r="C2061">
        <v>0</v>
      </c>
      <c r="D2061" t="s">
        <v>25022</v>
      </c>
      <c r="E2061">
        <v>933</v>
      </c>
      <c r="F2061" t="s">
        <v>5841</v>
      </c>
      <c r="G2061" t="s">
        <v>57</v>
      </c>
      <c r="H2061">
        <v>975231</v>
      </c>
      <c r="I2061">
        <v>976406</v>
      </c>
      <c r="J2061" t="s">
        <v>5842</v>
      </c>
      <c r="K2061">
        <v>392</v>
      </c>
      <c r="L2061" t="s">
        <v>465</v>
      </c>
      <c r="M2061">
        <v>46</v>
      </c>
      <c r="N2061" t="str">
        <f>HYPERLINK("Gene933-zp_tree_all.dnd", "Gene933-tree")</f>
        <v>Gene933-tree</v>
      </c>
      <c r="O2061">
        <v>14</v>
      </c>
      <c r="P2061">
        <v>1</v>
      </c>
      <c r="Q2061">
        <v>14</v>
      </c>
      <c r="R2061">
        <v>1</v>
      </c>
      <c r="S2061">
        <v>6.6669999999999993E-2</v>
      </c>
      <c r="T2061" t="s">
        <v>543</v>
      </c>
      <c r="U2061" t="s">
        <v>175</v>
      </c>
      <c r="V2061" t="s">
        <v>62</v>
      </c>
      <c r="W2061" t="s">
        <v>62</v>
      </c>
      <c r="X2061">
        <v>0</v>
      </c>
      <c r="Y2061">
        <v>0</v>
      </c>
      <c r="Z2061">
        <v>4</v>
      </c>
      <c r="AA2061">
        <v>0</v>
      </c>
      <c r="AB2061">
        <v>0</v>
      </c>
      <c r="AC2061">
        <v>0</v>
      </c>
      <c r="AD2061">
        <v>0</v>
      </c>
      <c r="AE2061">
        <v>3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12</v>
      </c>
      <c r="AM2061">
        <v>7</v>
      </c>
      <c r="AN2061">
        <v>24</v>
      </c>
      <c r="AO2061">
        <v>1</v>
      </c>
      <c r="AP2061">
        <v>60</v>
      </c>
      <c r="AQ2061">
        <v>3</v>
      </c>
      <c r="AR2061" t="s">
        <v>5843</v>
      </c>
      <c r="AS2061" t="s">
        <v>5844</v>
      </c>
      <c r="AT2061">
        <v>1.6E-2</v>
      </c>
      <c r="AU2061" t="s">
        <v>65</v>
      </c>
      <c r="AV2061">
        <v>84</v>
      </c>
      <c r="AW2061">
        <v>4</v>
      </c>
      <c r="AX2061" t="s">
        <v>5845</v>
      </c>
      <c r="AY2061">
        <v>8.3919999999999995E-2</v>
      </c>
      <c r="AZ2061">
        <v>-9.75E-3</v>
      </c>
      <c r="BA2061">
        <v>9.3999999999999997E-4</v>
      </c>
      <c r="BB2061">
        <v>-1.3999999999999999E-4</v>
      </c>
      <c r="BC2061">
        <v>1.123E-2</v>
      </c>
      <c r="BD2061">
        <v>1</v>
      </c>
      <c r="BE2061" t="s">
        <v>69</v>
      </c>
      <c r="BF2061">
        <v>-1.7450000000000001</v>
      </c>
      <c r="BG2061">
        <v>0.73299999999999998</v>
      </c>
    </row>
    <row r="2062" spans="1:59">
      <c r="A2062">
        <v>0</v>
      </c>
      <c r="B2062">
        <v>2</v>
      </c>
      <c r="C2062">
        <v>4</v>
      </c>
      <c r="D2062" t="s">
        <v>25022</v>
      </c>
      <c r="E2062">
        <v>992</v>
      </c>
      <c r="F2062" t="s">
        <v>6220</v>
      </c>
      <c r="G2062" t="s">
        <v>57</v>
      </c>
      <c r="H2062">
        <v>1034046</v>
      </c>
      <c r="I2062">
        <v>1035224</v>
      </c>
      <c r="J2062" t="s">
        <v>6221</v>
      </c>
      <c r="K2062">
        <v>393</v>
      </c>
      <c r="L2062" t="s">
        <v>108</v>
      </c>
      <c r="M2062">
        <v>44</v>
      </c>
      <c r="N2062" t="str">
        <f>HYPERLINK("Gene992-zp_tree_all.dnd", "Gene992-tree")</f>
        <v>Gene992-tree</v>
      </c>
      <c r="O2062">
        <v>5</v>
      </c>
      <c r="P2062">
        <v>9</v>
      </c>
      <c r="Q2062">
        <v>5</v>
      </c>
      <c r="R2062">
        <v>9</v>
      </c>
      <c r="S2062">
        <v>0.64285999999999999</v>
      </c>
      <c r="T2062" t="s">
        <v>199</v>
      </c>
      <c r="U2062" t="s">
        <v>135</v>
      </c>
      <c r="V2062" t="s">
        <v>62</v>
      </c>
      <c r="W2062" t="s">
        <v>62</v>
      </c>
      <c r="X2062">
        <v>3</v>
      </c>
      <c r="Y2062">
        <v>6</v>
      </c>
      <c r="Z2062">
        <v>13</v>
      </c>
      <c r="AA2062">
        <v>0.31579000000000002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4</v>
      </c>
      <c r="AI2062">
        <v>4</v>
      </c>
      <c r="AJ2062">
        <v>13</v>
      </c>
      <c r="AK2062">
        <v>0.23529</v>
      </c>
      <c r="AL2062">
        <v>13</v>
      </c>
      <c r="AM2062">
        <v>9</v>
      </c>
      <c r="AN2062">
        <v>26</v>
      </c>
      <c r="AO2062">
        <v>17</v>
      </c>
      <c r="AP2062">
        <v>21</v>
      </c>
      <c r="AQ2062">
        <v>2</v>
      </c>
      <c r="AR2062" t="s">
        <v>6222</v>
      </c>
      <c r="AS2062" t="s">
        <v>6223</v>
      </c>
      <c r="AT2062">
        <v>2.206</v>
      </c>
      <c r="AU2062" t="s">
        <v>267</v>
      </c>
      <c r="AV2062">
        <v>47</v>
      </c>
      <c r="AW2062">
        <v>19</v>
      </c>
      <c r="AX2062" t="s">
        <v>6224</v>
      </c>
      <c r="AY2062">
        <v>3.3770000000000001E-2</v>
      </c>
      <c r="AZ2062">
        <v>-1.09E-3</v>
      </c>
      <c r="BA2062">
        <v>3.29E-3</v>
      </c>
      <c r="BB2062">
        <v>-1.7000000000000001E-4</v>
      </c>
      <c r="BC2062">
        <v>9.7390000000000004E-2</v>
      </c>
      <c r="BD2062">
        <v>1</v>
      </c>
      <c r="BE2062" t="s">
        <v>69</v>
      </c>
      <c r="BF2062">
        <v>-0.74099999999999999</v>
      </c>
      <c r="BG2062">
        <v>-2.173</v>
      </c>
    </row>
    <row r="2063" spans="1:59">
      <c r="A2063">
        <v>0</v>
      </c>
      <c r="B2063">
        <v>11</v>
      </c>
      <c r="C2063">
        <v>0</v>
      </c>
      <c r="D2063" t="s">
        <v>25022</v>
      </c>
      <c r="E2063">
        <v>2519</v>
      </c>
      <c r="F2063" t="s">
        <v>14703</v>
      </c>
      <c r="G2063" t="s">
        <v>62</v>
      </c>
      <c r="H2063">
        <v>2512864</v>
      </c>
      <c r="I2063">
        <v>2514042</v>
      </c>
      <c r="J2063" t="s">
        <v>14704</v>
      </c>
      <c r="K2063">
        <v>393</v>
      </c>
      <c r="L2063" t="s">
        <v>108</v>
      </c>
      <c r="M2063">
        <v>44</v>
      </c>
      <c r="N2063" t="str">
        <f>HYPERLINK("Gene2519-zp_tree_all.dnd", "Gene2519-tree")</f>
        <v>Gene2519-tree</v>
      </c>
      <c r="O2063">
        <v>4</v>
      </c>
      <c r="P2063">
        <v>10</v>
      </c>
      <c r="Q2063">
        <v>4</v>
      </c>
      <c r="R2063">
        <v>10</v>
      </c>
      <c r="S2063">
        <v>0.71428999999999998</v>
      </c>
      <c r="T2063" t="s">
        <v>61</v>
      </c>
      <c r="U2063" t="s">
        <v>117</v>
      </c>
      <c r="V2063" t="s">
        <v>62</v>
      </c>
      <c r="W2063" t="s">
        <v>62</v>
      </c>
      <c r="X2063">
        <v>3</v>
      </c>
      <c r="Y2063">
        <v>11</v>
      </c>
      <c r="Z2063">
        <v>15</v>
      </c>
      <c r="AA2063">
        <v>0.42308000000000001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4</v>
      </c>
      <c r="AH2063">
        <v>0</v>
      </c>
      <c r="AI2063">
        <v>4</v>
      </c>
      <c r="AJ2063">
        <v>16</v>
      </c>
      <c r="AK2063">
        <v>0.2</v>
      </c>
      <c r="AL2063">
        <v>14</v>
      </c>
      <c r="AM2063">
        <v>9</v>
      </c>
      <c r="AN2063">
        <v>47</v>
      </c>
      <c r="AO2063">
        <v>21</v>
      </c>
      <c r="AP2063">
        <v>22</v>
      </c>
      <c r="AQ2063">
        <v>6</v>
      </c>
      <c r="AR2063" t="s">
        <v>14705</v>
      </c>
      <c r="AS2063" t="s">
        <v>14706</v>
      </c>
      <c r="AT2063">
        <v>0.73199999999999998</v>
      </c>
      <c r="AU2063" t="s">
        <v>65</v>
      </c>
      <c r="AV2063">
        <v>69</v>
      </c>
      <c r="AW2063">
        <v>27</v>
      </c>
      <c r="AX2063" t="s">
        <v>14707</v>
      </c>
      <c r="AY2063">
        <v>4.1689999999999998E-2</v>
      </c>
      <c r="AZ2063">
        <v>-1.4499999999999999E-3</v>
      </c>
      <c r="BA2063">
        <v>3.6600000000000001E-3</v>
      </c>
      <c r="BB2063">
        <v>-2.7E-4</v>
      </c>
      <c r="BC2063">
        <v>8.7730000000000002E-2</v>
      </c>
      <c r="BD2063">
        <v>1</v>
      </c>
      <c r="BE2063" t="s">
        <v>69</v>
      </c>
      <c r="BF2063">
        <v>-0.51600000000000001</v>
      </c>
      <c r="BG2063">
        <v>-0.40400000000000003</v>
      </c>
    </row>
    <row r="2064" spans="1:59">
      <c r="A2064">
        <v>0</v>
      </c>
      <c r="B2064">
        <v>0</v>
      </c>
      <c r="C2064">
        <v>0</v>
      </c>
      <c r="D2064" t="s">
        <v>25022</v>
      </c>
      <c r="E2064">
        <v>2331</v>
      </c>
      <c r="F2064" t="s">
        <v>13519</v>
      </c>
      <c r="G2064" t="s">
        <v>62</v>
      </c>
      <c r="H2064">
        <v>2347663</v>
      </c>
      <c r="I2064">
        <v>2348841</v>
      </c>
      <c r="J2064" t="s">
        <v>13520</v>
      </c>
      <c r="K2064">
        <v>393</v>
      </c>
      <c r="L2064" t="s">
        <v>108</v>
      </c>
      <c r="M2064">
        <v>44</v>
      </c>
      <c r="N2064" t="str">
        <f>HYPERLINK("Gene2331-zp_tree_all.dnd", "Gene2331-tree")</f>
        <v>Gene2331-tree</v>
      </c>
      <c r="O2064">
        <v>7</v>
      </c>
      <c r="P2064">
        <v>6</v>
      </c>
      <c r="Q2064">
        <v>7</v>
      </c>
      <c r="R2064">
        <v>6</v>
      </c>
      <c r="S2064">
        <v>0.46154000000000001</v>
      </c>
      <c r="T2064" t="s">
        <v>152</v>
      </c>
      <c r="U2064" t="s">
        <v>90</v>
      </c>
      <c r="V2064" t="s">
        <v>62</v>
      </c>
      <c r="W2064" t="s">
        <v>62</v>
      </c>
      <c r="X2064">
        <v>0</v>
      </c>
      <c r="Y2064">
        <v>0</v>
      </c>
      <c r="Z2064">
        <v>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</v>
      </c>
      <c r="AK2064">
        <v>0</v>
      </c>
      <c r="AL2064">
        <v>12</v>
      </c>
      <c r="AM2064">
        <v>6</v>
      </c>
      <c r="AN2064">
        <v>29</v>
      </c>
      <c r="AO2064">
        <v>7</v>
      </c>
      <c r="AP2064">
        <v>10</v>
      </c>
      <c r="AQ2064">
        <v>1</v>
      </c>
      <c r="AR2064" t="s">
        <v>13521</v>
      </c>
      <c r="AS2064" t="s">
        <v>13522</v>
      </c>
      <c r="AT2064">
        <v>0.55800000000000005</v>
      </c>
      <c r="AU2064" t="s">
        <v>65</v>
      </c>
      <c r="AV2064">
        <v>39</v>
      </c>
      <c r="AW2064">
        <v>8</v>
      </c>
      <c r="AX2064" t="s">
        <v>13523</v>
      </c>
      <c r="AY2064">
        <v>2.7189999999999999E-2</v>
      </c>
      <c r="AZ2064">
        <v>-1.2199999999999999E-3</v>
      </c>
      <c r="BA2064">
        <v>1.5100000000000001E-3</v>
      </c>
      <c r="BB2064">
        <v>-1E-4</v>
      </c>
      <c r="BC2064">
        <v>5.5449999999999999E-2</v>
      </c>
      <c r="BD2064">
        <v>1</v>
      </c>
      <c r="BE2064" t="s">
        <v>69</v>
      </c>
      <c r="BF2064">
        <v>-1.129</v>
      </c>
      <c r="BG2064">
        <v>-1.5640000000000001</v>
      </c>
    </row>
    <row r="2065" spans="1:59">
      <c r="A2065">
        <v>0</v>
      </c>
      <c r="B2065">
        <v>2</v>
      </c>
      <c r="C2065">
        <v>0</v>
      </c>
      <c r="D2065" t="s">
        <v>25022</v>
      </c>
      <c r="E2065">
        <v>3948</v>
      </c>
      <c r="F2065" t="s">
        <v>23185</v>
      </c>
      <c r="G2065" t="s">
        <v>62</v>
      </c>
      <c r="H2065">
        <v>3912335</v>
      </c>
      <c r="I2065">
        <v>3913513</v>
      </c>
      <c r="J2065" t="s">
        <v>23186</v>
      </c>
      <c r="K2065">
        <v>393</v>
      </c>
      <c r="L2065" t="s">
        <v>1174</v>
      </c>
      <c r="M2065">
        <v>42</v>
      </c>
      <c r="N2065" t="str">
        <f>HYPERLINK("Gene3948-zp_tree_all.dnd", "Gene3948-tree")</f>
        <v>Gene3948-tree</v>
      </c>
      <c r="O2065">
        <v>29</v>
      </c>
      <c r="P2065">
        <v>2</v>
      </c>
      <c r="Q2065">
        <v>11</v>
      </c>
      <c r="R2065">
        <v>2</v>
      </c>
      <c r="S2065">
        <v>0.15384999999999999</v>
      </c>
      <c r="T2065" t="s">
        <v>2086</v>
      </c>
      <c r="U2065" t="s">
        <v>81</v>
      </c>
      <c r="V2065" t="s">
        <v>62</v>
      </c>
      <c r="W2065" t="s">
        <v>62</v>
      </c>
      <c r="X2065">
        <v>1</v>
      </c>
      <c r="Y2065">
        <v>2</v>
      </c>
      <c r="Z2065">
        <v>3</v>
      </c>
      <c r="AA2065">
        <v>0.4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3</v>
      </c>
      <c r="AK2065">
        <v>0</v>
      </c>
      <c r="AL2065">
        <v>10</v>
      </c>
      <c r="AM2065">
        <v>10</v>
      </c>
      <c r="AN2065">
        <v>30</v>
      </c>
      <c r="AO2065">
        <v>3</v>
      </c>
      <c r="AP2065">
        <v>21</v>
      </c>
      <c r="AQ2065">
        <v>2</v>
      </c>
      <c r="AR2065" t="s">
        <v>23187</v>
      </c>
      <c r="AS2065" t="s">
        <v>23188</v>
      </c>
      <c r="AT2065">
        <v>2.1999999999999999E-2</v>
      </c>
      <c r="AU2065" t="s">
        <v>65</v>
      </c>
      <c r="AV2065">
        <v>51</v>
      </c>
      <c r="AW2065">
        <v>5</v>
      </c>
      <c r="AX2065" t="s">
        <v>23189</v>
      </c>
      <c r="AY2065">
        <v>3.4860000000000002E-2</v>
      </c>
      <c r="AZ2065">
        <v>-1.4499999999999999E-3</v>
      </c>
      <c r="BA2065">
        <v>1.24E-3</v>
      </c>
      <c r="BB2065">
        <v>-1E-4</v>
      </c>
      <c r="BC2065">
        <v>3.5700000000000003E-2</v>
      </c>
      <c r="BD2065">
        <v>1</v>
      </c>
      <c r="BE2065" t="s">
        <v>69</v>
      </c>
      <c r="BF2065">
        <v>-0.66800000000000004</v>
      </c>
      <c r="BG2065">
        <v>-0.48799999999999999</v>
      </c>
    </row>
    <row r="2066" spans="1:59">
      <c r="A2066">
        <v>0</v>
      </c>
      <c r="B2066">
        <v>0</v>
      </c>
      <c r="C2066">
        <v>0</v>
      </c>
      <c r="D2066" t="s">
        <v>25022</v>
      </c>
      <c r="E2066">
        <v>3722</v>
      </c>
      <c r="F2066" t="s">
        <v>21812</v>
      </c>
      <c r="G2066" t="s">
        <v>62</v>
      </c>
      <c r="H2066">
        <v>3699449</v>
      </c>
      <c r="I2066">
        <v>3700627</v>
      </c>
      <c r="J2066" t="s">
        <v>21813</v>
      </c>
      <c r="K2066">
        <v>393</v>
      </c>
      <c r="L2066" t="s">
        <v>59</v>
      </c>
      <c r="M2066">
        <v>49</v>
      </c>
      <c r="N2066" t="str">
        <f>HYPERLINK("Gene3722-zp_tree_all.dnd", "Gene3722-tree")</f>
        <v>Gene3722-tree</v>
      </c>
      <c r="O2066">
        <v>14</v>
      </c>
      <c r="P2066">
        <v>1</v>
      </c>
      <c r="Q2066">
        <v>14</v>
      </c>
      <c r="R2066">
        <v>1</v>
      </c>
      <c r="S2066">
        <v>6.6669999999999993E-2</v>
      </c>
      <c r="T2066" t="s">
        <v>543</v>
      </c>
      <c r="U2066" t="s">
        <v>175</v>
      </c>
      <c r="V2066" t="s">
        <v>62</v>
      </c>
      <c r="W2066" t="s">
        <v>62</v>
      </c>
      <c r="X2066">
        <v>0</v>
      </c>
      <c r="Y2066">
        <v>0</v>
      </c>
      <c r="Z2066">
        <v>3</v>
      </c>
      <c r="AA2066">
        <v>0</v>
      </c>
      <c r="AB2066">
        <v>0</v>
      </c>
      <c r="AC2066">
        <v>0</v>
      </c>
      <c r="AD2066">
        <v>0</v>
      </c>
      <c r="AE2066">
        <v>2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10</v>
      </c>
      <c r="AM2066">
        <v>10</v>
      </c>
      <c r="AN2066">
        <v>40</v>
      </c>
      <c r="AO2066">
        <v>1</v>
      </c>
      <c r="AP2066">
        <v>50</v>
      </c>
      <c r="AQ2066">
        <v>3</v>
      </c>
      <c r="AR2066" t="s">
        <v>21814</v>
      </c>
      <c r="AS2066" t="s">
        <v>21815</v>
      </c>
      <c r="AT2066">
        <v>0.26200000000000001</v>
      </c>
      <c r="AU2066" t="s">
        <v>65</v>
      </c>
      <c r="AV2066">
        <v>90</v>
      </c>
      <c r="AW2066">
        <v>4</v>
      </c>
      <c r="AX2066" t="s">
        <v>21816</v>
      </c>
      <c r="AY2066">
        <v>8.2710000000000006E-2</v>
      </c>
      <c r="AZ2066">
        <v>-6.2100000000000002E-3</v>
      </c>
      <c r="BA2066">
        <v>1.57E-3</v>
      </c>
      <c r="BB2066">
        <v>-1.2E-4</v>
      </c>
      <c r="BC2066">
        <v>1.8970000000000001E-2</v>
      </c>
      <c r="BD2066">
        <v>1</v>
      </c>
      <c r="BE2066" t="s">
        <v>69</v>
      </c>
      <c r="BF2066">
        <v>-1.617</v>
      </c>
      <c r="BG2066">
        <v>-1.5649999999999999</v>
      </c>
    </row>
    <row r="2067" spans="1:59">
      <c r="A2067">
        <v>0</v>
      </c>
      <c r="B2067">
        <v>0</v>
      </c>
      <c r="C2067">
        <v>0</v>
      </c>
      <c r="D2067" t="s">
        <v>25022</v>
      </c>
      <c r="E2067">
        <v>4082</v>
      </c>
      <c r="F2067" t="s">
        <v>24029</v>
      </c>
      <c r="G2067" t="s">
        <v>62</v>
      </c>
      <c r="H2067">
        <v>4050343</v>
      </c>
      <c r="I2067">
        <v>4051521</v>
      </c>
      <c r="J2067" t="s">
        <v>24030</v>
      </c>
      <c r="K2067">
        <v>393</v>
      </c>
      <c r="L2067" t="s">
        <v>108</v>
      </c>
      <c r="M2067">
        <v>44</v>
      </c>
      <c r="N2067" t="str">
        <f>HYPERLINK("Gene4082-zp_tree_all.dnd", "Gene4082-tree")</f>
        <v>Gene4082-tree</v>
      </c>
      <c r="O2067">
        <v>14</v>
      </c>
      <c r="P2067">
        <v>1</v>
      </c>
      <c r="Q2067">
        <v>14</v>
      </c>
      <c r="R2067">
        <v>1</v>
      </c>
      <c r="S2067">
        <v>6.6669999999999993E-2</v>
      </c>
      <c r="T2067" t="s">
        <v>543</v>
      </c>
      <c r="U2067" t="s">
        <v>175</v>
      </c>
      <c r="V2067" t="s">
        <v>62</v>
      </c>
      <c r="W2067" t="s">
        <v>62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14</v>
      </c>
      <c r="AM2067">
        <v>11</v>
      </c>
      <c r="AN2067">
        <v>35</v>
      </c>
      <c r="AO2067">
        <v>1</v>
      </c>
      <c r="AP2067">
        <v>31</v>
      </c>
      <c r="AQ2067">
        <v>0</v>
      </c>
      <c r="AR2067" t="s">
        <v>24031</v>
      </c>
      <c r="AS2067" t="s">
        <v>193</v>
      </c>
      <c r="AT2067">
        <v>0.28199999999999997</v>
      </c>
      <c r="AU2067" t="s">
        <v>65</v>
      </c>
      <c r="AV2067">
        <v>66</v>
      </c>
      <c r="AW2067">
        <v>1</v>
      </c>
      <c r="AX2067" t="s">
        <v>24032</v>
      </c>
      <c r="AY2067">
        <v>4.3450000000000003E-2</v>
      </c>
      <c r="AZ2067">
        <v>-1.33E-3</v>
      </c>
      <c r="BA2067">
        <v>2.7999999999999998E-4</v>
      </c>
      <c r="BB2067">
        <v>-5.0000000000000002E-5</v>
      </c>
      <c r="BC2067">
        <v>6.3800000000000003E-3</v>
      </c>
      <c r="BD2067">
        <v>1</v>
      </c>
      <c r="BE2067" t="s">
        <v>69</v>
      </c>
      <c r="BF2067">
        <v>-0.14899999999999999</v>
      </c>
      <c r="BG2067">
        <v>-0.215</v>
      </c>
    </row>
    <row r="2068" spans="1:59">
      <c r="A2068">
        <v>0</v>
      </c>
      <c r="B2068">
        <v>18</v>
      </c>
      <c r="C2068">
        <v>3</v>
      </c>
      <c r="D2068" t="s">
        <v>25022</v>
      </c>
      <c r="E2068">
        <v>204</v>
      </c>
      <c r="F2068" t="s">
        <v>1391</v>
      </c>
      <c r="G2068" t="s">
        <v>57</v>
      </c>
      <c r="H2068">
        <v>225064</v>
      </c>
      <c r="I2068">
        <v>226245</v>
      </c>
      <c r="J2068" t="s">
        <v>1385</v>
      </c>
      <c r="K2068">
        <v>394</v>
      </c>
      <c r="L2068" t="s">
        <v>1392</v>
      </c>
      <c r="M2068">
        <v>43</v>
      </c>
      <c r="N2068" t="str">
        <f>HYPERLINK("Gene204-zp_tree_all.dnd", "Gene204-tree")</f>
        <v>Gene204-tree</v>
      </c>
      <c r="O2068">
        <v>3</v>
      </c>
      <c r="P2068">
        <v>10</v>
      </c>
      <c r="Q2068">
        <v>3</v>
      </c>
      <c r="R2068">
        <v>10</v>
      </c>
      <c r="S2068">
        <v>0.76922999999999997</v>
      </c>
      <c r="T2068" t="s">
        <v>324</v>
      </c>
      <c r="U2068" t="s">
        <v>117</v>
      </c>
      <c r="V2068" t="s">
        <v>62</v>
      </c>
      <c r="W2068" t="s">
        <v>62</v>
      </c>
      <c r="X2068">
        <v>9</v>
      </c>
      <c r="Y2068">
        <v>21</v>
      </c>
      <c r="Z2068">
        <v>20</v>
      </c>
      <c r="AA2068">
        <v>0.51219999999999999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6</v>
      </c>
      <c r="AH2068">
        <v>0</v>
      </c>
      <c r="AI2068">
        <v>6</v>
      </c>
      <c r="AJ2068">
        <v>19</v>
      </c>
      <c r="AK2068">
        <v>0.24</v>
      </c>
      <c r="AL2068">
        <v>12</v>
      </c>
      <c r="AM2068">
        <v>9</v>
      </c>
      <c r="AN2068">
        <v>33</v>
      </c>
      <c r="AO2068">
        <v>26</v>
      </c>
      <c r="AP2068">
        <v>30</v>
      </c>
      <c r="AQ2068">
        <v>16</v>
      </c>
      <c r="AR2068" t="s">
        <v>1393</v>
      </c>
      <c r="AS2068" t="s">
        <v>1394</v>
      </c>
      <c r="AT2068">
        <v>0.64900000000000002</v>
      </c>
      <c r="AU2068" t="s">
        <v>65</v>
      </c>
      <c r="AV2068">
        <v>63</v>
      </c>
      <c r="AW2068">
        <v>42</v>
      </c>
      <c r="AX2068" t="s">
        <v>1395</v>
      </c>
      <c r="AY2068">
        <v>5.0070000000000003E-2</v>
      </c>
      <c r="AZ2068">
        <v>-2.5699999999999998E-3</v>
      </c>
      <c r="BA2068">
        <v>9.2899999999999996E-3</v>
      </c>
      <c r="BB2068">
        <v>-3.6000000000000002E-4</v>
      </c>
      <c r="BC2068">
        <v>0.18559</v>
      </c>
      <c r="BD2068">
        <v>1</v>
      </c>
      <c r="BE2068" t="s">
        <v>69</v>
      </c>
      <c r="BF2068">
        <v>-0.8</v>
      </c>
      <c r="BG2068">
        <v>-0.78100000000000003</v>
      </c>
    </row>
    <row r="2069" spans="1:59">
      <c r="A2069">
        <v>0</v>
      </c>
      <c r="B2069">
        <v>28</v>
      </c>
      <c r="C2069">
        <v>2</v>
      </c>
      <c r="D2069" t="s">
        <v>25022</v>
      </c>
      <c r="E2069">
        <v>2993</v>
      </c>
      <c r="F2069" t="s">
        <v>17279</v>
      </c>
      <c r="G2069" t="s">
        <v>62</v>
      </c>
      <c r="H2069">
        <v>2943009</v>
      </c>
      <c r="I2069">
        <v>2944190</v>
      </c>
      <c r="J2069" t="s">
        <v>17280</v>
      </c>
      <c r="K2069">
        <v>394</v>
      </c>
      <c r="L2069" t="s">
        <v>108</v>
      </c>
      <c r="M2069">
        <v>44</v>
      </c>
      <c r="N2069" t="str">
        <f>HYPERLINK("Gene2993-zp_tree_all.dnd", "Gene2993-tree")</f>
        <v>Gene2993-tree</v>
      </c>
      <c r="O2069">
        <v>2</v>
      </c>
      <c r="P2069">
        <v>32</v>
      </c>
      <c r="Q2069">
        <v>2</v>
      </c>
      <c r="R2069">
        <v>13</v>
      </c>
      <c r="S2069">
        <v>0.86667000000000005</v>
      </c>
      <c r="T2069" t="s">
        <v>81</v>
      </c>
      <c r="U2069" t="s">
        <v>10857</v>
      </c>
      <c r="V2069">
        <v>0.96099999999999997</v>
      </c>
      <c r="W2069" t="s">
        <v>65</v>
      </c>
      <c r="X2069">
        <v>11</v>
      </c>
      <c r="Y2069">
        <v>30</v>
      </c>
      <c r="Z2069">
        <v>23</v>
      </c>
      <c r="AA2069">
        <v>0.56603999999999999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11</v>
      </c>
      <c r="AH2069">
        <v>2</v>
      </c>
      <c r="AI2069">
        <v>13</v>
      </c>
      <c r="AJ2069">
        <v>19</v>
      </c>
      <c r="AK2069">
        <v>0.40625</v>
      </c>
      <c r="AL2069">
        <v>14</v>
      </c>
      <c r="AM2069">
        <v>11</v>
      </c>
      <c r="AN2069">
        <v>80</v>
      </c>
      <c r="AO2069">
        <v>34</v>
      </c>
      <c r="AP2069">
        <v>50</v>
      </c>
      <c r="AQ2069">
        <v>22</v>
      </c>
      <c r="AR2069" t="s">
        <v>17281</v>
      </c>
      <c r="AS2069" t="s">
        <v>17282</v>
      </c>
      <c r="AT2069">
        <v>0.11</v>
      </c>
      <c r="AU2069" t="s">
        <v>65</v>
      </c>
      <c r="AV2069">
        <v>130</v>
      </c>
      <c r="AW2069">
        <v>56</v>
      </c>
      <c r="AX2069" t="s">
        <v>17283</v>
      </c>
      <c r="AY2069">
        <v>8.2360000000000003E-2</v>
      </c>
      <c r="AZ2069">
        <v>-2.8999999999999998E-3</v>
      </c>
      <c r="BA2069">
        <v>9.9799999999999993E-3</v>
      </c>
      <c r="BB2069">
        <v>-3.8000000000000002E-4</v>
      </c>
      <c r="BC2069">
        <v>0.12114</v>
      </c>
      <c r="BD2069">
        <v>1</v>
      </c>
      <c r="BE2069" t="s">
        <v>69</v>
      </c>
      <c r="BF2069">
        <v>0.56499999999999995</v>
      </c>
      <c r="BG2069">
        <v>-0.66200000000000003</v>
      </c>
    </row>
    <row r="2070" spans="1:59">
      <c r="A2070">
        <v>0</v>
      </c>
      <c r="B2070">
        <v>0</v>
      </c>
      <c r="C2070">
        <v>2</v>
      </c>
      <c r="D2070" t="s">
        <v>25022</v>
      </c>
      <c r="E2070">
        <v>3520</v>
      </c>
      <c r="F2070" t="s">
        <v>20613</v>
      </c>
      <c r="G2070" t="s">
        <v>62</v>
      </c>
      <c r="H2070">
        <v>3480200</v>
      </c>
      <c r="I2070">
        <v>3481381</v>
      </c>
      <c r="J2070" t="s">
        <v>20614</v>
      </c>
      <c r="K2070">
        <v>394</v>
      </c>
      <c r="L2070" t="s">
        <v>59</v>
      </c>
      <c r="M2070">
        <v>49</v>
      </c>
      <c r="N2070" t="str">
        <f>HYPERLINK("Gene3520-zp_tree_all.dnd", "Gene3520-tree")</f>
        <v>Gene3520-tree</v>
      </c>
      <c r="O2070">
        <v>32</v>
      </c>
      <c r="P2070">
        <v>5</v>
      </c>
      <c r="Q2070">
        <v>14</v>
      </c>
      <c r="R2070">
        <v>5</v>
      </c>
      <c r="S2070">
        <v>0.26316000000000001</v>
      </c>
      <c r="T2070" t="s">
        <v>20615</v>
      </c>
      <c r="U2070" t="s">
        <v>199</v>
      </c>
      <c r="V2070" t="s">
        <v>62</v>
      </c>
      <c r="W2070" t="s">
        <v>62</v>
      </c>
      <c r="X2070">
        <v>1</v>
      </c>
      <c r="Y2070">
        <v>2</v>
      </c>
      <c r="Z2070">
        <v>9</v>
      </c>
      <c r="AA2070">
        <v>0.18182000000000001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</v>
      </c>
      <c r="AK2070">
        <v>0</v>
      </c>
      <c r="AL2070">
        <v>13</v>
      </c>
      <c r="AM2070">
        <v>12</v>
      </c>
      <c r="AN2070">
        <v>32</v>
      </c>
      <c r="AO2070">
        <v>7</v>
      </c>
      <c r="AP2070">
        <v>29</v>
      </c>
      <c r="AQ2070">
        <v>4</v>
      </c>
      <c r="AR2070" t="s">
        <v>20616</v>
      </c>
      <c r="AS2070" t="s">
        <v>20617</v>
      </c>
      <c r="AT2070">
        <v>0.218</v>
      </c>
      <c r="AU2070" t="s">
        <v>65</v>
      </c>
      <c r="AV2070">
        <v>61</v>
      </c>
      <c r="AW2070">
        <v>11</v>
      </c>
      <c r="AX2070" t="s">
        <v>20618</v>
      </c>
      <c r="AY2070">
        <v>4.2819999999999997E-2</v>
      </c>
      <c r="AZ2070">
        <v>-2.3500000000000001E-3</v>
      </c>
      <c r="BA2070">
        <v>2.3900000000000002E-3</v>
      </c>
      <c r="BB2070">
        <v>-1.6000000000000001E-4</v>
      </c>
      <c r="BC2070">
        <v>5.5730000000000002E-2</v>
      </c>
      <c r="BD2070">
        <v>1</v>
      </c>
      <c r="BE2070" t="s">
        <v>69</v>
      </c>
      <c r="BF2070">
        <v>-1.1160000000000001</v>
      </c>
      <c r="BG2070">
        <v>-2.0859999999999999</v>
      </c>
    </row>
    <row r="2071" spans="1:59">
      <c r="A2071">
        <v>0</v>
      </c>
      <c r="B2071">
        <v>2</v>
      </c>
      <c r="C2071">
        <v>0</v>
      </c>
      <c r="D2071" t="s">
        <v>25022</v>
      </c>
      <c r="E2071">
        <v>2448</v>
      </c>
      <c r="F2071" t="s">
        <v>14255</v>
      </c>
      <c r="G2071" t="s">
        <v>62</v>
      </c>
      <c r="H2071">
        <v>2447249</v>
      </c>
      <c r="I2071">
        <v>2448430</v>
      </c>
      <c r="J2071" t="s">
        <v>14256</v>
      </c>
      <c r="K2071">
        <v>394</v>
      </c>
      <c r="L2071" t="s">
        <v>108</v>
      </c>
      <c r="M2071">
        <v>44</v>
      </c>
      <c r="N2071" t="str">
        <f>HYPERLINK("Gene2448-zp_tree_all.dnd", "Gene2448-tree")</f>
        <v>Gene2448-tree</v>
      </c>
      <c r="O2071">
        <v>5</v>
      </c>
      <c r="P2071">
        <v>9</v>
      </c>
      <c r="Q2071">
        <v>5</v>
      </c>
      <c r="R2071">
        <v>9</v>
      </c>
      <c r="S2071">
        <v>0.64285999999999999</v>
      </c>
      <c r="T2071" t="s">
        <v>199</v>
      </c>
      <c r="U2071" t="s">
        <v>135</v>
      </c>
      <c r="V2071" t="s">
        <v>62</v>
      </c>
      <c r="W2071" t="s">
        <v>62</v>
      </c>
      <c r="X2071">
        <v>1</v>
      </c>
      <c r="Y2071">
        <v>2</v>
      </c>
      <c r="Z2071">
        <v>9</v>
      </c>
      <c r="AA2071">
        <v>0.18182000000000001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</v>
      </c>
      <c r="AH2071">
        <v>0</v>
      </c>
      <c r="AI2071">
        <v>2</v>
      </c>
      <c r="AJ2071">
        <v>9</v>
      </c>
      <c r="AK2071">
        <v>0.18182000000000001</v>
      </c>
      <c r="AL2071">
        <v>13</v>
      </c>
      <c r="AM2071">
        <v>10</v>
      </c>
      <c r="AN2071">
        <v>43</v>
      </c>
      <c r="AO2071">
        <v>9</v>
      </c>
      <c r="AP2071">
        <v>20</v>
      </c>
      <c r="AQ2071">
        <v>2</v>
      </c>
      <c r="AR2071" t="s">
        <v>14257</v>
      </c>
      <c r="AS2071" t="s">
        <v>14258</v>
      </c>
      <c r="AT2071">
        <v>0.36199999999999999</v>
      </c>
      <c r="AU2071" t="s">
        <v>65</v>
      </c>
      <c r="AV2071">
        <v>63</v>
      </c>
      <c r="AW2071">
        <v>11</v>
      </c>
      <c r="AX2071" t="s">
        <v>14259</v>
      </c>
      <c r="AY2071">
        <v>4.2459999999999998E-2</v>
      </c>
      <c r="AZ2071">
        <v>-1.49E-3</v>
      </c>
      <c r="BA2071">
        <v>1.9599999999999999E-3</v>
      </c>
      <c r="BB2071">
        <v>-1.4999999999999999E-4</v>
      </c>
      <c r="BC2071">
        <v>4.6219999999999997E-2</v>
      </c>
      <c r="BD2071">
        <v>1</v>
      </c>
      <c r="BE2071" t="s">
        <v>69</v>
      </c>
      <c r="BF2071">
        <v>-0.107</v>
      </c>
      <c r="BG2071">
        <v>-0.58299999999999996</v>
      </c>
    </row>
    <row r="2072" spans="1:59">
      <c r="A2072">
        <v>0</v>
      </c>
      <c r="B2072">
        <v>2</v>
      </c>
      <c r="C2072">
        <v>0</v>
      </c>
      <c r="D2072" t="s">
        <v>25022</v>
      </c>
      <c r="E2072">
        <v>3906</v>
      </c>
      <c r="F2072" t="s">
        <v>22906</v>
      </c>
      <c r="G2072" t="s">
        <v>62</v>
      </c>
      <c r="H2072">
        <v>3869490</v>
      </c>
      <c r="I2072">
        <v>3870671</v>
      </c>
      <c r="J2072" t="s">
        <v>22907</v>
      </c>
      <c r="K2072">
        <v>394</v>
      </c>
      <c r="L2072" t="s">
        <v>108</v>
      </c>
      <c r="M2072">
        <v>44</v>
      </c>
      <c r="N2072" t="str">
        <f>HYPERLINK("Gene3906-zp_tree_all.dnd", "Gene3906-tree")</f>
        <v>Gene3906-tree</v>
      </c>
      <c r="O2072">
        <v>11</v>
      </c>
      <c r="P2072">
        <v>4</v>
      </c>
      <c r="Q2072">
        <v>11</v>
      </c>
      <c r="R2072">
        <v>4</v>
      </c>
      <c r="S2072">
        <v>0.26667000000000002</v>
      </c>
      <c r="T2072" t="s">
        <v>73</v>
      </c>
      <c r="U2072" t="s">
        <v>61</v>
      </c>
      <c r="V2072" t="s">
        <v>62</v>
      </c>
      <c r="W2072" t="s">
        <v>62</v>
      </c>
      <c r="X2072">
        <v>1</v>
      </c>
      <c r="Y2072">
        <v>2</v>
      </c>
      <c r="Z2072">
        <v>5</v>
      </c>
      <c r="AA2072">
        <v>0.28571000000000002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4</v>
      </c>
      <c r="AK2072">
        <v>0</v>
      </c>
      <c r="AL2072">
        <v>13</v>
      </c>
      <c r="AM2072">
        <v>12</v>
      </c>
      <c r="AN2072">
        <v>37</v>
      </c>
      <c r="AO2072">
        <v>4</v>
      </c>
      <c r="AP2072">
        <v>42</v>
      </c>
      <c r="AQ2072">
        <v>3</v>
      </c>
      <c r="AR2072" t="s">
        <v>22908</v>
      </c>
      <c r="AS2072" t="s">
        <v>22909</v>
      </c>
      <c r="AT2072">
        <v>0.36399999999999999</v>
      </c>
      <c r="AU2072" t="s">
        <v>65</v>
      </c>
      <c r="AV2072">
        <v>79</v>
      </c>
      <c r="AW2072">
        <v>7</v>
      </c>
      <c r="AX2072" t="s">
        <v>22910</v>
      </c>
      <c r="AY2072">
        <v>5.57E-2</v>
      </c>
      <c r="AZ2072">
        <v>-1.9E-3</v>
      </c>
      <c r="BA2072">
        <v>1.47E-3</v>
      </c>
      <c r="BB2072">
        <v>-1E-4</v>
      </c>
      <c r="BC2072">
        <v>2.639E-2</v>
      </c>
      <c r="BD2072">
        <v>1</v>
      </c>
      <c r="BE2072" t="s">
        <v>69</v>
      </c>
      <c r="BF2072">
        <v>0.16700000000000001</v>
      </c>
      <c r="BG2072">
        <v>-0.312</v>
      </c>
    </row>
    <row r="2073" spans="1:59">
      <c r="A2073">
        <v>0</v>
      </c>
      <c r="B2073">
        <v>31</v>
      </c>
      <c r="C2073">
        <v>3</v>
      </c>
      <c r="D2073" t="s">
        <v>25022</v>
      </c>
      <c r="E2073">
        <v>3134</v>
      </c>
      <c r="F2073" t="s">
        <v>18194</v>
      </c>
      <c r="G2073" t="s">
        <v>62</v>
      </c>
      <c r="H2073">
        <v>3089229</v>
      </c>
      <c r="I2073">
        <v>3090413</v>
      </c>
      <c r="J2073" t="s">
        <v>18195</v>
      </c>
      <c r="K2073">
        <v>395</v>
      </c>
      <c r="L2073" t="s">
        <v>108</v>
      </c>
      <c r="M2073">
        <v>44</v>
      </c>
      <c r="N2073" t="str">
        <f>HYPERLINK("Gene3134-zp_tree_all.dnd", "Gene3134-tree")</f>
        <v>Gene3134-tree</v>
      </c>
      <c r="O2073">
        <v>4</v>
      </c>
      <c r="P2073">
        <v>12</v>
      </c>
      <c r="Q2073">
        <v>4</v>
      </c>
      <c r="R2073">
        <v>12</v>
      </c>
      <c r="S2073">
        <v>0.75</v>
      </c>
      <c r="T2073" t="s">
        <v>61</v>
      </c>
      <c r="U2073" t="s">
        <v>109</v>
      </c>
      <c r="V2073" t="s">
        <v>62</v>
      </c>
      <c r="W2073" t="s">
        <v>62</v>
      </c>
      <c r="X2073">
        <v>14</v>
      </c>
      <c r="Y2073">
        <v>34</v>
      </c>
      <c r="Z2073">
        <v>18</v>
      </c>
      <c r="AA2073">
        <v>0.65385000000000004</v>
      </c>
      <c r="AB2073">
        <v>0</v>
      </c>
      <c r="AC2073">
        <v>0</v>
      </c>
      <c r="AD2073">
        <v>0</v>
      </c>
      <c r="AE2073">
        <v>2</v>
      </c>
      <c r="AF2073">
        <v>0</v>
      </c>
      <c r="AG2073">
        <v>14</v>
      </c>
      <c r="AH2073">
        <v>4</v>
      </c>
      <c r="AI2073">
        <v>18</v>
      </c>
      <c r="AJ2073">
        <v>17</v>
      </c>
      <c r="AK2073">
        <v>0.51429000000000002</v>
      </c>
      <c r="AL2073">
        <v>13</v>
      </c>
      <c r="AM2073">
        <v>13</v>
      </c>
      <c r="AN2073">
        <v>26</v>
      </c>
      <c r="AO2073">
        <v>31</v>
      </c>
      <c r="AP2073">
        <v>31</v>
      </c>
      <c r="AQ2073">
        <v>22</v>
      </c>
      <c r="AR2073" t="s">
        <v>18196</v>
      </c>
      <c r="AS2073" t="s">
        <v>18197</v>
      </c>
      <c r="AT2073">
        <v>0.93799999999999994</v>
      </c>
      <c r="AU2073" t="s">
        <v>65</v>
      </c>
      <c r="AV2073">
        <v>57</v>
      </c>
      <c r="AW2073">
        <v>53</v>
      </c>
      <c r="AX2073" t="s">
        <v>18198</v>
      </c>
      <c r="AY2073">
        <v>4.1079999999999998E-2</v>
      </c>
      <c r="AZ2073">
        <v>-1.47E-3</v>
      </c>
      <c r="BA2073">
        <v>1.0059999999999999E-2</v>
      </c>
      <c r="BB2073">
        <v>-3.4000000000000002E-4</v>
      </c>
      <c r="BC2073">
        <v>0.24493999999999999</v>
      </c>
      <c r="BD2073">
        <v>1</v>
      </c>
      <c r="BE2073" t="s">
        <v>69</v>
      </c>
      <c r="BF2073">
        <v>-0.125</v>
      </c>
      <c r="BG2073">
        <v>-0.96099999999999997</v>
      </c>
    </row>
    <row r="2074" spans="1:59">
      <c r="A2074">
        <v>0</v>
      </c>
      <c r="B2074">
        <v>4</v>
      </c>
      <c r="C2074">
        <v>2</v>
      </c>
      <c r="D2074" t="s">
        <v>25022</v>
      </c>
      <c r="E2074">
        <v>590</v>
      </c>
      <c r="F2074" t="s">
        <v>3797</v>
      </c>
      <c r="G2074" t="s">
        <v>57</v>
      </c>
      <c r="H2074">
        <v>618095</v>
      </c>
      <c r="I2074">
        <v>619279</v>
      </c>
      <c r="J2074" t="s">
        <v>3798</v>
      </c>
      <c r="K2074">
        <v>395</v>
      </c>
      <c r="L2074" t="s">
        <v>108</v>
      </c>
      <c r="M2074">
        <v>44</v>
      </c>
      <c r="N2074" t="str">
        <f>HYPERLINK("Gene590-zp_tree_all.dnd", "Gene590-tree")</f>
        <v>Gene590-tree</v>
      </c>
      <c r="O2074">
        <v>5</v>
      </c>
      <c r="P2074">
        <v>9</v>
      </c>
      <c r="Q2074">
        <v>5</v>
      </c>
      <c r="R2074">
        <v>9</v>
      </c>
      <c r="S2074">
        <v>0.64285999999999999</v>
      </c>
      <c r="T2074" t="s">
        <v>199</v>
      </c>
      <c r="U2074" t="s">
        <v>135</v>
      </c>
      <c r="V2074" t="s">
        <v>62</v>
      </c>
      <c r="W2074" t="s">
        <v>62</v>
      </c>
      <c r="X2074">
        <v>3</v>
      </c>
      <c r="Y2074">
        <v>6</v>
      </c>
      <c r="Z2074">
        <v>15</v>
      </c>
      <c r="AA2074">
        <v>0.28571000000000002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4</v>
      </c>
      <c r="AH2074">
        <v>0</v>
      </c>
      <c r="AI2074">
        <v>4</v>
      </c>
      <c r="AJ2074">
        <v>16</v>
      </c>
      <c r="AK2074">
        <v>0.2</v>
      </c>
      <c r="AL2074">
        <v>13</v>
      </c>
      <c r="AM2074">
        <v>10</v>
      </c>
      <c r="AN2074">
        <v>29</v>
      </c>
      <c r="AO2074">
        <v>20</v>
      </c>
      <c r="AP2074">
        <v>15</v>
      </c>
      <c r="AQ2074">
        <v>2</v>
      </c>
      <c r="AR2074" t="s">
        <v>3799</v>
      </c>
      <c r="AS2074" t="s">
        <v>3800</v>
      </c>
      <c r="AT2074">
        <v>0.89100000000000001</v>
      </c>
      <c r="AU2074" t="s">
        <v>65</v>
      </c>
      <c r="AV2074">
        <v>44</v>
      </c>
      <c r="AW2074">
        <v>22</v>
      </c>
      <c r="AX2074" t="s">
        <v>3801</v>
      </c>
      <c r="AY2074">
        <v>3.354E-2</v>
      </c>
      <c r="AZ2074">
        <v>-1.8E-3</v>
      </c>
      <c r="BA2074">
        <v>4.0099999999999997E-3</v>
      </c>
      <c r="BB2074">
        <v>-2.2000000000000001E-4</v>
      </c>
      <c r="BC2074">
        <v>0.11958000000000001</v>
      </c>
      <c r="BD2074">
        <v>1</v>
      </c>
      <c r="BE2074" t="s">
        <v>69</v>
      </c>
      <c r="BF2074">
        <v>-0.98899999999999999</v>
      </c>
      <c r="BG2074">
        <v>-3.2410000000000001</v>
      </c>
    </row>
    <row r="2075" spans="1:59">
      <c r="A2075">
        <v>0</v>
      </c>
      <c r="B2075">
        <v>5</v>
      </c>
      <c r="C2075">
        <v>0</v>
      </c>
      <c r="D2075" t="s">
        <v>25022</v>
      </c>
      <c r="E2075">
        <v>3868</v>
      </c>
      <c r="F2075" t="s">
        <v>22686</v>
      </c>
      <c r="G2075" t="s">
        <v>62</v>
      </c>
      <c r="H2075">
        <v>3832330</v>
      </c>
      <c r="I2075">
        <v>3833514</v>
      </c>
      <c r="J2075" t="s">
        <v>22687</v>
      </c>
      <c r="K2075">
        <v>395</v>
      </c>
      <c r="L2075" t="s">
        <v>1174</v>
      </c>
      <c r="M2075">
        <v>42</v>
      </c>
      <c r="N2075" t="str">
        <f>HYPERLINK("Gene3868-zp_tree_all.dnd", "Gene3868-tree")</f>
        <v>Gene3868-tree</v>
      </c>
      <c r="O2075">
        <v>9</v>
      </c>
      <c r="P2075">
        <v>5</v>
      </c>
      <c r="Q2075">
        <v>9</v>
      </c>
      <c r="R2075">
        <v>5</v>
      </c>
      <c r="S2075">
        <v>0.35714000000000001</v>
      </c>
      <c r="T2075" t="s">
        <v>135</v>
      </c>
      <c r="U2075" t="s">
        <v>199</v>
      </c>
      <c r="V2075" t="s">
        <v>62</v>
      </c>
      <c r="W2075" t="s">
        <v>62</v>
      </c>
      <c r="X2075">
        <v>2</v>
      </c>
      <c r="Y2075">
        <v>5</v>
      </c>
      <c r="Z2075">
        <v>3</v>
      </c>
      <c r="AA2075">
        <v>0.625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4</v>
      </c>
      <c r="AH2075">
        <v>0</v>
      </c>
      <c r="AI2075">
        <v>4</v>
      </c>
      <c r="AJ2075">
        <v>1</v>
      </c>
      <c r="AK2075">
        <v>0.8</v>
      </c>
      <c r="AL2075">
        <v>11</v>
      </c>
      <c r="AM2075">
        <v>10</v>
      </c>
      <c r="AN2075">
        <v>56</v>
      </c>
      <c r="AO2075">
        <v>5</v>
      </c>
      <c r="AP2075">
        <v>28</v>
      </c>
      <c r="AQ2075">
        <v>3</v>
      </c>
      <c r="AR2075" t="s">
        <v>22688</v>
      </c>
      <c r="AS2075" t="s">
        <v>22689</v>
      </c>
      <c r="AT2075">
        <v>0.184</v>
      </c>
      <c r="AU2075" t="s">
        <v>65</v>
      </c>
      <c r="AV2075">
        <v>84</v>
      </c>
      <c r="AW2075">
        <v>8</v>
      </c>
      <c r="AX2075" t="s">
        <v>22690</v>
      </c>
      <c r="AY2075">
        <v>5.3350000000000002E-2</v>
      </c>
      <c r="AZ2075">
        <v>-1.58E-3</v>
      </c>
      <c r="BA2075">
        <v>1.8500000000000001E-3</v>
      </c>
      <c r="BB2075">
        <v>-1.2999999999999999E-4</v>
      </c>
      <c r="BC2075">
        <v>3.4729999999999997E-2</v>
      </c>
      <c r="BD2075">
        <v>1</v>
      </c>
      <c r="BE2075" t="s">
        <v>69</v>
      </c>
      <c r="BF2075">
        <v>-0.64800000000000002</v>
      </c>
      <c r="BG2075">
        <v>-1.7829999999999999</v>
      </c>
    </row>
    <row r="2076" spans="1:59">
      <c r="A2076">
        <v>0</v>
      </c>
      <c r="B2076">
        <v>0</v>
      </c>
      <c r="C2076">
        <v>0</v>
      </c>
      <c r="D2076" t="s">
        <v>25022</v>
      </c>
      <c r="E2076">
        <v>3065</v>
      </c>
      <c r="F2076" t="s">
        <v>17749</v>
      </c>
      <c r="G2076" t="s">
        <v>62</v>
      </c>
      <c r="H2076">
        <v>3015114</v>
      </c>
      <c r="I2076">
        <v>3016298</v>
      </c>
      <c r="J2076" t="s">
        <v>17750</v>
      </c>
      <c r="K2076">
        <v>395</v>
      </c>
      <c r="L2076" t="s">
        <v>59</v>
      </c>
      <c r="M2076">
        <v>49</v>
      </c>
      <c r="N2076" t="str">
        <f>HYPERLINK("Gene3065-zp_tree_all.dnd", "Gene3065-tree")</f>
        <v>Gene3065-tree</v>
      </c>
      <c r="O2076">
        <v>17</v>
      </c>
      <c r="P2076">
        <v>1</v>
      </c>
      <c r="Q2076">
        <v>17</v>
      </c>
      <c r="R2076">
        <v>1</v>
      </c>
      <c r="S2076">
        <v>5.5559999999999998E-2</v>
      </c>
      <c r="T2076" t="s">
        <v>266</v>
      </c>
      <c r="U2076" t="s">
        <v>175</v>
      </c>
      <c r="V2076" t="s">
        <v>62</v>
      </c>
      <c r="W2076" t="s">
        <v>62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15</v>
      </c>
      <c r="AM2076">
        <v>14</v>
      </c>
      <c r="AN2076">
        <v>38</v>
      </c>
      <c r="AO2076">
        <v>1</v>
      </c>
      <c r="AP2076">
        <v>79</v>
      </c>
      <c r="AQ2076">
        <v>0</v>
      </c>
      <c r="AR2076" t="s">
        <v>17751</v>
      </c>
      <c r="AS2076" t="s">
        <v>193</v>
      </c>
      <c r="AT2076">
        <v>0.26900000000000002</v>
      </c>
      <c r="AU2076" t="s">
        <v>65</v>
      </c>
      <c r="AV2076">
        <v>117</v>
      </c>
      <c r="AW2076">
        <v>1</v>
      </c>
      <c r="AX2076" t="s">
        <v>16788</v>
      </c>
      <c r="AY2076">
        <v>0.11292000000000001</v>
      </c>
      <c r="AZ2076">
        <v>-5.64E-3</v>
      </c>
      <c r="BA2076">
        <v>1.2E-4</v>
      </c>
      <c r="BB2076">
        <v>-3.0000000000000001E-5</v>
      </c>
      <c r="BC2076">
        <v>1.09E-3</v>
      </c>
      <c r="BD2076">
        <v>1</v>
      </c>
      <c r="BE2076" t="s">
        <v>69</v>
      </c>
      <c r="BF2076">
        <v>-0.122</v>
      </c>
      <c r="BG2076">
        <v>0.39</v>
      </c>
    </row>
    <row r="2077" spans="1:59">
      <c r="A2077">
        <v>0</v>
      </c>
      <c r="B2077">
        <v>32</v>
      </c>
      <c r="C2077">
        <v>1</v>
      </c>
      <c r="D2077" t="s">
        <v>25022</v>
      </c>
      <c r="E2077">
        <v>866</v>
      </c>
      <c r="F2077" t="s">
        <v>5407</v>
      </c>
      <c r="G2077" t="s">
        <v>57</v>
      </c>
      <c r="H2077">
        <v>906764</v>
      </c>
      <c r="I2077">
        <v>907951</v>
      </c>
      <c r="J2077" t="s">
        <v>5408</v>
      </c>
      <c r="K2077">
        <v>396</v>
      </c>
      <c r="L2077" t="s">
        <v>108</v>
      </c>
      <c r="M2077">
        <v>44</v>
      </c>
      <c r="N2077" t="str">
        <f>HYPERLINK("Gene866-zp_tree_all.dnd", "Gene866-tree")</f>
        <v>Gene866-tree</v>
      </c>
      <c r="O2077">
        <v>1</v>
      </c>
      <c r="P2077">
        <v>33</v>
      </c>
      <c r="Q2077">
        <v>1</v>
      </c>
      <c r="R2077">
        <v>14</v>
      </c>
      <c r="S2077">
        <v>0.93332999999999999</v>
      </c>
      <c r="T2077" t="s">
        <v>175</v>
      </c>
      <c r="U2077" t="s">
        <v>126</v>
      </c>
      <c r="V2077">
        <v>6.3380000000000001</v>
      </c>
      <c r="W2077" t="s">
        <v>267</v>
      </c>
      <c r="X2077">
        <v>12</v>
      </c>
      <c r="Y2077">
        <v>33</v>
      </c>
      <c r="Z2077">
        <v>28</v>
      </c>
      <c r="AA2077">
        <v>0.54098000000000002</v>
      </c>
      <c r="AB2077">
        <v>0</v>
      </c>
      <c r="AC2077">
        <v>0</v>
      </c>
      <c r="AD2077">
        <v>0</v>
      </c>
      <c r="AE2077">
        <v>4</v>
      </c>
      <c r="AF2077">
        <v>0</v>
      </c>
      <c r="AG2077">
        <v>13</v>
      </c>
      <c r="AH2077">
        <v>2</v>
      </c>
      <c r="AI2077">
        <v>15</v>
      </c>
      <c r="AJ2077">
        <v>19</v>
      </c>
      <c r="AK2077">
        <v>0.44118000000000002</v>
      </c>
      <c r="AL2077">
        <v>13</v>
      </c>
      <c r="AM2077">
        <v>12</v>
      </c>
      <c r="AN2077">
        <v>56</v>
      </c>
      <c r="AO2077">
        <v>27</v>
      </c>
      <c r="AP2077">
        <v>68</v>
      </c>
      <c r="AQ2077">
        <v>34</v>
      </c>
      <c r="AR2077" t="s">
        <v>5409</v>
      </c>
      <c r="AS2077" t="s">
        <v>5410</v>
      </c>
      <c r="AT2077">
        <v>7.8E-2</v>
      </c>
      <c r="AU2077" t="s">
        <v>65</v>
      </c>
      <c r="AV2077">
        <v>124</v>
      </c>
      <c r="AW2077">
        <v>61</v>
      </c>
      <c r="AX2077" t="s">
        <v>5411</v>
      </c>
      <c r="AY2077">
        <v>9.0079999999999993E-2</v>
      </c>
      <c r="AZ2077">
        <v>-2.7499999999999998E-3</v>
      </c>
      <c r="BA2077">
        <v>1.251E-2</v>
      </c>
      <c r="BB2077">
        <v>-4.2000000000000002E-4</v>
      </c>
      <c r="BC2077">
        <v>0.13891000000000001</v>
      </c>
      <c r="BD2077">
        <v>1</v>
      </c>
      <c r="BE2077" t="s">
        <v>69</v>
      </c>
      <c r="BF2077">
        <v>0.39100000000000001</v>
      </c>
      <c r="BG2077">
        <v>0.28000000000000003</v>
      </c>
    </row>
    <row r="2078" spans="1:59">
      <c r="A2078">
        <v>0</v>
      </c>
      <c r="B2078">
        <v>6</v>
      </c>
      <c r="C2078">
        <v>0</v>
      </c>
      <c r="D2078" t="s">
        <v>25022</v>
      </c>
      <c r="E2078">
        <v>113</v>
      </c>
      <c r="F2078" t="s">
        <v>860</v>
      </c>
      <c r="G2078" t="s">
        <v>57</v>
      </c>
      <c r="H2078">
        <v>132882</v>
      </c>
      <c r="I2078">
        <v>134069</v>
      </c>
      <c r="J2078" t="s">
        <v>861</v>
      </c>
      <c r="K2078">
        <v>396</v>
      </c>
      <c r="L2078" t="s">
        <v>515</v>
      </c>
      <c r="M2078">
        <v>51</v>
      </c>
      <c r="N2078" t="str">
        <f>HYPERLINK("Gene113-zp_tree_all.dnd", "Gene113-tree")</f>
        <v>Gene113-tree</v>
      </c>
      <c r="O2078">
        <v>18</v>
      </c>
      <c r="P2078">
        <v>2</v>
      </c>
      <c r="Q2078">
        <v>18</v>
      </c>
      <c r="R2078">
        <v>2</v>
      </c>
      <c r="S2078">
        <v>0.1</v>
      </c>
      <c r="T2078" t="s">
        <v>144</v>
      </c>
      <c r="U2078" t="s">
        <v>81</v>
      </c>
      <c r="V2078" t="s">
        <v>62</v>
      </c>
      <c r="W2078" t="s">
        <v>62</v>
      </c>
      <c r="X2078">
        <v>3</v>
      </c>
      <c r="Y2078">
        <v>6</v>
      </c>
      <c r="Z2078">
        <v>12</v>
      </c>
      <c r="AA2078">
        <v>0.33333000000000002</v>
      </c>
      <c r="AB2078">
        <v>0</v>
      </c>
      <c r="AC2078">
        <v>0</v>
      </c>
      <c r="AD2078">
        <v>0</v>
      </c>
      <c r="AE2078">
        <v>12</v>
      </c>
      <c r="AF2078">
        <v>0</v>
      </c>
      <c r="AG2078">
        <v>0</v>
      </c>
      <c r="AH2078">
        <v>0</v>
      </c>
      <c r="AI2078">
        <v>0</v>
      </c>
      <c r="AJ2078">
        <v>3</v>
      </c>
      <c r="AK2078">
        <v>0</v>
      </c>
      <c r="AL2078">
        <v>16</v>
      </c>
      <c r="AM2078">
        <v>10</v>
      </c>
      <c r="AN2078">
        <v>29</v>
      </c>
      <c r="AO2078">
        <v>3</v>
      </c>
      <c r="AP2078">
        <v>39</v>
      </c>
      <c r="AQ2078">
        <v>18</v>
      </c>
      <c r="AR2078" t="s">
        <v>862</v>
      </c>
      <c r="AS2078" t="s">
        <v>863</v>
      </c>
      <c r="AT2078">
        <v>0.38600000000000001</v>
      </c>
      <c r="AU2078" t="s">
        <v>65</v>
      </c>
      <c r="AV2078">
        <v>68</v>
      </c>
      <c r="AW2078">
        <v>21</v>
      </c>
      <c r="AX2078" t="s">
        <v>864</v>
      </c>
      <c r="AY2078">
        <v>4.0509999999999997E-2</v>
      </c>
      <c r="AZ2078">
        <v>-2.1299999999999999E-3</v>
      </c>
      <c r="BA2078">
        <v>5.1700000000000001E-3</v>
      </c>
      <c r="BB2078">
        <v>-4.2000000000000002E-4</v>
      </c>
      <c r="BC2078">
        <v>0.12773999999999999</v>
      </c>
      <c r="BD2078">
        <v>1</v>
      </c>
      <c r="BE2078" t="s">
        <v>69</v>
      </c>
      <c r="BF2078">
        <v>-1.6739999999999999</v>
      </c>
      <c r="BG2078">
        <v>0.113</v>
      </c>
    </row>
    <row r="2079" spans="1:59">
      <c r="A2079">
        <v>0</v>
      </c>
      <c r="B2079">
        <v>15</v>
      </c>
      <c r="C2079">
        <v>2</v>
      </c>
      <c r="D2079" t="s">
        <v>25022</v>
      </c>
      <c r="E2079">
        <v>1264</v>
      </c>
      <c r="F2079" t="s">
        <v>7924</v>
      </c>
      <c r="G2079" t="s">
        <v>57</v>
      </c>
      <c r="H2079">
        <v>1291344</v>
      </c>
      <c r="I2079">
        <v>1292531</v>
      </c>
      <c r="J2079" t="s">
        <v>7925</v>
      </c>
      <c r="K2079">
        <v>396</v>
      </c>
      <c r="L2079" t="s">
        <v>108</v>
      </c>
      <c r="M2079">
        <v>44</v>
      </c>
      <c r="N2079" t="str">
        <f>HYPERLINK("Gene1264-zp_tree_all.dnd", "Gene1264-tree")</f>
        <v>Gene1264-tree</v>
      </c>
      <c r="O2079">
        <v>2</v>
      </c>
      <c r="P2079">
        <v>12</v>
      </c>
      <c r="Q2079">
        <v>2</v>
      </c>
      <c r="R2079">
        <v>12</v>
      </c>
      <c r="S2079">
        <v>0.85714000000000001</v>
      </c>
      <c r="T2079" t="s">
        <v>81</v>
      </c>
      <c r="U2079" t="s">
        <v>109</v>
      </c>
      <c r="V2079" t="s">
        <v>62</v>
      </c>
      <c r="W2079" t="s">
        <v>62</v>
      </c>
      <c r="X2079">
        <v>6</v>
      </c>
      <c r="Y2079">
        <v>17</v>
      </c>
      <c r="Z2079">
        <v>15</v>
      </c>
      <c r="AA2079">
        <v>0.53125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11</v>
      </c>
      <c r="AH2079">
        <v>4</v>
      </c>
      <c r="AI2079">
        <v>15</v>
      </c>
      <c r="AJ2079">
        <v>11</v>
      </c>
      <c r="AK2079">
        <v>0.57691999999999999</v>
      </c>
      <c r="AL2079">
        <v>12</v>
      </c>
      <c r="AM2079">
        <v>11</v>
      </c>
      <c r="AN2079">
        <v>45</v>
      </c>
      <c r="AO2079">
        <v>24</v>
      </c>
      <c r="AP2079">
        <v>22</v>
      </c>
      <c r="AQ2079">
        <v>10</v>
      </c>
      <c r="AR2079" t="s">
        <v>7926</v>
      </c>
      <c r="AS2079" t="s">
        <v>7927</v>
      </c>
      <c r="AT2079">
        <v>0.25800000000000001</v>
      </c>
      <c r="AU2079" t="s">
        <v>65</v>
      </c>
      <c r="AV2079">
        <v>67</v>
      </c>
      <c r="AW2079">
        <v>34</v>
      </c>
      <c r="AX2079" t="s">
        <v>7928</v>
      </c>
      <c r="AY2079">
        <v>4.795E-2</v>
      </c>
      <c r="AZ2079">
        <v>-1.7700000000000001E-3</v>
      </c>
      <c r="BA2079">
        <v>6.1199999999999996E-3</v>
      </c>
      <c r="BB2079">
        <v>-3.3E-4</v>
      </c>
      <c r="BC2079">
        <v>0.12756000000000001</v>
      </c>
      <c r="BD2079">
        <v>1</v>
      </c>
      <c r="BE2079" t="s">
        <v>69</v>
      </c>
      <c r="BF2079">
        <v>-0.55700000000000005</v>
      </c>
      <c r="BG2079">
        <v>-0.46500000000000002</v>
      </c>
    </row>
    <row r="2080" spans="1:59">
      <c r="A2080">
        <v>0</v>
      </c>
      <c r="B2080">
        <v>13</v>
      </c>
      <c r="C2080">
        <v>0</v>
      </c>
      <c r="D2080" t="s">
        <v>25022</v>
      </c>
      <c r="E2080">
        <v>3973</v>
      </c>
      <c r="F2080" t="s">
        <v>23346</v>
      </c>
      <c r="G2080" t="s">
        <v>62</v>
      </c>
      <c r="H2080">
        <v>3935827</v>
      </c>
      <c r="I2080">
        <v>3937014</v>
      </c>
      <c r="J2080" t="s">
        <v>23347</v>
      </c>
      <c r="K2080">
        <v>396</v>
      </c>
      <c r="L2080" t="s">
        <v>108</v>
      </c>
      <c r="M2080">
        <v>44</v>
      </c>
      <c r="N2080" t="str">
        <f>HYPERLINK("Gene3973-zp_tree_all.dnd", "Gene3973-tree")</f>
        <v>Gene3973-tree</v>
      </c>
      <c r="O2080">
        <v>4</v>
      </c>
      <c r="P2080">
        <v>29</v>
      </c>
      <c r="Q2080">
        <v>4</v>
      </c>
      <c r="R2080">
        <v>12</v>
      </c>
      <c r="S2080">
        <v>0.75</v>
      </c>
      <c r="T2080" t="s">
        <v>61</v>
      </c>
      <c r="U2080" t="s">
        <v>1455</v>
      </c>
      <c r="V2080">
        <v>1.4039999999999999</v>
      </c>
      <c r="W2080" t="s">
        <v>65</v>
      </c>
      <c r="X2080">
        <v>6</v>
      </c>
      <c r="Y2080">
        <v>13</v>
      </c>
      <c r="Z2080">
        <v>19</v>
      </c>
      <c r="AA2080">
        <v>0.40625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11</v>
      </c>
      <c r="AH2080">
        <v>0</v>
      </c>
      <c r="AI2080">
        <v>11</v>
      </c>
      <c r="AJ2080">
        <v>19</v>
      </c>
      <c r="AK2080">
        <v>0.36667</v>
      </c>
      <c r="AL2080">
        <v>15</v>
      </c>
      <c r="AM2080">
        <v>11</v>
      </c>
      <c r="AN2080">
        <v>75</v>
      </c>
      <c r="AO2080">
        <v>31</v>
      </c>
      <c r="AP2080">
        <v>31</v>
      </c>
      <c r="AQ2080">
        <v>2</v>
      </c>
      <c r="AR2080" t="s">
        <v>23348</v>
      </c>
      <c r="AS2080" t="s">
        <v>23349</v>
      </c>
      <c r="AT2080">
        <v>1.365</v>
      </c>
      <c r="AU2080" t="s">
        <v>65</v>
      </c>
      <c r="AV2080">
        <v>106</v>
      </c>
      <c r="AW2080">
        <v>33</v>
      </c>
      <c r="AX2080" t="s">
        <v>23350</v>
      </c>
      <c r="AY2080">
        <v>5.2749999999999998E-2</v>
      </c>
      <c r="AZ2080">
        <v>-2E-3</v>
      </c>
      <c r="BA2080">
        <v>4.9899999999999996E-3</v>
      </c>
      <c r="BB2080">
        <v>-2.3000000000000001E-4</v>
      </c>
      <c r="BC2080">
        <v>9.461E-2</v>
      </c>
      <c r="BD2080">
        <v>1</v>
      </c>
      <c r="BE2080" t="s">
        <v>69</v>
      </c>
      <c r="BF2080">
        <v>-0.21299999999999999</v>
      </c>
      <c r="BG2080">
        <v>-0.75700000000000001</v>
      </c>
    </row>
    <row r="2081" spans="1:59">
      <c r="A2081">
        <v>0</v>
      </c>
      <c r="B2081">
        <v>7</v>
      </c>
      <c r="C2081">
        <v>2</v>
      </c>
      <c r="D2081" t="s">
        <v>25022</v>
      </c>
      <c r="E2081">
        <v>777</v>
      </c>
      <c r="F2081" t="s">
        <v>4830</v>
      </c>
      <c r="G2081" t="s">
        <v>57</v>
      </c>
      <c r="H2081">
        <v>812628</v>
      </c>
      <c r="I2081">
        <v>813815</v>
      </c>
      <c r="J2081" t="s">
        <v>4831</v>
      </c>
      <c r="K2081">
        <v>396</v>
      </c>
      <c r="L2081" t="s">
        <v>72</v>
      </c>
      <c r="M2081">
        <v>45</v>
      </c>
      <c r="N2081" t="str">
        <f>HYPERLINK("Gene777-zp_tree_all.dnd", "Gene777-tree")</f>
        <v>Gene777-tree</v>
      </c>
      <c r="O2081">
        <v>6</v>
      </c>
      <c r="P2081">
        <v>9</v>
      </c>
      <c r="Q2081">
        <v>6</v>
      </c>
      <c r="R2081">
        <v>9</v>
      </c>
      <c r="S2081">
        <v>0.6</v>
      </c>
      <c r="T2081" t="s">
        <v>90</v>
      </c>
      <c r="U2081" t="s">
        <v>135</v>
      </c>
      <c r="V2081" t="s">
        <v>62</v>
      </c>
      <c r="W2081" t="s">
        <v>62</v>
      </c>
      <c r="X2081">
        <v>3</v>
      </c>
      <c r="Y2081">
        <v>9</v>
      </c>
      <c r="Z2081">
        <v>9</v>
      </c>
      <c r="AA2081">
        <v>0.5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5</v>
      </c>
      <c r="AH2081">
        <v>0</v>
      </c>
      <c r="AI2081">
        <v>5</v>
      </c>
      <c r="AJ2081">
        <v>8</v>
      </c>
      <c r="AK2081">
        <v>0.38462000000000002</v>
      </c>
      <c r="AL2081">
        <v>13</v>
      </c>
      <c r="AM2081">
        <v>11</v>
      </c>
      <c r="AN2081">
        <v>92</v>
      </c>
      <c r="AO2081">
        <v>13</v>
      </c>
      <c r="AP2081">
        <v>85</v>
      </c>
      <c r="AQ2081">
        <v>6</v>
      </c>
      <c r="AR2081" t="s">
        <v>4832</v>
      </c>
      <c r="AS2081" t="s">
        <v>4833</v>
      </c>
      <c r="AT2081">
        <v>0.82799999999999996</v>
      </c>
      <c r="AU2081" t="s">
        <v>65</v>
      </c>
      <c r="AV2081">
        <v>177</v>
      </c>
      <c r="AW2081">
        <v>19</v>
      </c>
      <c r="AX2081" t="s">
        <v>4834</v>
      </c>
      <c r="AY2081">
        <v>0.11384</v>
      </c>
      <c r="AZ2081">
        <v>-5.4799999999999996E-3</v>
      </c>
      <c r="BA2081">
        <v>3.3500000000000001E-3</v>
      </c>
      <c r="BB2081">
        <v>-2.2000000000000001E-4</v>
      </c>
      <c r="BC2081">
        <v>2.9389999999999999E-2</v>
      </c>
      <c r="BD2081">
        <v>1</v>
      </c>
      <c r="BE2081" t="s">
        <v>69</v>
      </c>
      <c r="BF2081">
        <v>-0.26800000000000002</v>
      </c>
      <c r="BG2081">
        <v>-1.5760000000000001</v>
      </c>
    </row>
    <row r="2082" spans="1:59">
      <c r="A2082">
        <v>0</v>
      </c>
      <c r="B2082">
        <v>4</v>
      </c>
      <c r="C2082">
        <v>0</v>
      </c>
      <c r="D2082" t="s">
        <v>25022</v>
      </c>
      <c r="E2082">
        <v>698</v>
      </c>
      <c r="F2082" t="s">
        <v>4368</v>
      </c>
      <c r="G2082" t="s">
        <v>57</v>
      </c>
      <c r="H2082">
        <v>723635</v>
      </c>
      <c r="I2082">
        <v>724822</v>
      </c>
      <c r="J2082" t="s">
        <v>1523</v>
      </c>
      <c r="K2082">
        <v>396</v>
      </c>
      <c r="L2082" t="s">
        <v>108</v>
      </c>
      <c r="M2082">
        <v>44</v>
      </c>
      <c r="N2082" t="str">
        <f>HYPERLINK("Gene698-zp_tree_all.dnd", "Gene698-tree")</f>
        <v>Gene698-tree</v>
      </c>
      <c r="O2082">
        <v>12</v>
      </c>
      <c r="P2082">
        <v>5</v>
      </c>
      <c r="Q2082">
        <v>12</v>
      </c>
      <c r="R2082">
        <v>5</v>
      </c>
      <c r="S2082">
        <v>0.29411999999999999</v>
      </c>
      <c r="T2082" t="s">
        <v>109</v>
      </c>
      <c r="U2082" t="s">
        <v>199</v>
      </c>
      <c r="V2082" t="s">
        <v>62</v>
      </c>
      <c r="W2082" t="s">
        <v>62</v>
      </c>
      <c r="X2082">
        <v>2</v>
      </c>
      <c r="Y2082">
        <v>4</v>
      </c>
      <c r="Z2082">
        <v>5</v>
      </c>
      <c r="AA2082">
        <v>0.44444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</v>
      </c>
      <c r="AK2082">
        <v>0</v>
      </c>
      <c r="AL2082">
        <v>14</v>
      </c>
      <c r="AM2082">
        <v>13</v>
      </c>
      <c r="AN2082">
        <v>84</v>
      </c>
      <c r="AO2082">
        <v>8</v>
      </c>
      <c r="AP2082">
        <v>44</v>
      </c>
      <c r="AQ2082">
        <v>2</v>
      </c>
      <c r="AR2082" t="s">
        <v>4369</v>
      </c>
      <c r="AS2082" t="s">
        <v>4370</v>
      </c>
      <c r="AT2082">
        <v>0.40400000000000003</v>
      </c>
      <c r="AU2082" t="s">
        <v>65</v>
      </c>
      <c r="AV2082">
        <v>128</v>
      </c>
      <c r="AW2082">
        <v>10</v>
      </c>
      <c r="AX2082" t="s">
        <v>4371</v>
      </c>
      <c r="AY2082">
        <v>6.3009999999999997E-2</v>
      </c>
      <c r="AZ2082">
        <v>-2.0400000000000001E-3</v>
      </c>
      <c r="BA2082">
        <v>1.5900000000000001E-3</v>
      </c>
      <c r="BB2082">
        <v>-1.4999999999999999E-4</v>
      </c>
      <c r="BC2082">
        <v>2.5250000000000002E-2</v>
      </c>
      <c r="BD2082">
        <v>1</v>
      </c>
      <c r="BE2082" t="s">
        <v>69</v>
      </c>
      <c r="BF2082">
        <v>-0.111</v>
      </c>
      <c r="BG2082">
        <v>-1.633</v>
      </c>
    </row>
    <row r="2083" spans="1:59">
      <c r="A2083">
        <v>0</v>
      </c>
      <c r="B2083">
        <v>9</v>
      </c>
      <c r="C2083">
        <v>0</v>
      </c>
      <c r="D2083" t="s">
        <v>25022</v>
      </c>
      <c r="E2083">
        <v>2339</v>
      </c>
      <c r="F2083" t="s">
        <v>13573</v>
      </c>
      <c r="G2083" t="s">
        <v>62</v>
      </c>
      <c r="H2083">
        <v>2355883</v>
      </c>
      <c r="I2083">
        <v>2357073</v>
      </c>
      <c r="J2083" t="s">
        <v>13574</v>
      </c>
      <c r="K2083">
        <v>397</v>
      </c>
      <c r="L2083" t="s">
        <v>13568</v>
      </c>
      <c r="M2083">
        <v>40</v>
      </c>
      <c r="N2083" t="str">
        <f>HYPERLINK("Gene2339-zp_tree_all.dnd", "Gene2339-tree")</f>
        <v>Gene2339-tree</v>
      </c>
      <c r="O2083">
        <v>4</v>
      </c>
      <c r="P2083">
        <v>9</v>
      </c>
      <c r="Q2083">
        <v>4</v>
      </c>
      <c r="R2083">
        <v>9</v>
      </c>
      <c r="S2083">
        <v>0.69230999999999998</v>
      </c>
      <c r="T2083" t="s">
        <v>61</v>
      </c>
      <c r="U2083" t="s">
        <v>135</v>
      </c>
      <c r="V2083" t="s">
        <v>62</v>
      </c>
      <c r="W2083" t="s">
        <v>62</v>
      </c>
      <c r="X2083">
        <v>4</v>
      </c>
      <c r="Y2083">
        <v>9</v>
      </c>
      <c r="Z2083">
        <v>14</v>
      </c>
      <c r="AA2083">
        <v>0.39129999999999998</v>
      </c>
      <c r="AB2083">
        <v>0</v>
      </c>
      <c r="AC2083">
        <v>0</v>
      </c>
      <c r="AD2083">
        <v>0</v>
      </c>
      <c r="AE2083">
        <v>2</v>
      </c>
      <c r="AF2083">
        <v>0</v>
      </c>
      <c r="AG2083">
        <v>0</v>
      </c>
      <c r="AH2083">
        <v>2</v>
      </c>
      <c r="AI2083">
        <v>2</v>
      </c>
      <c r="AJ2083">
        <v>14</v>
      </c>
      <c r="AK2083">
        <v>0.125</v>
      </c>
      <c r="AL2083">
        <v>11</v>
      </c>
      <c r="AM2083">
        <v>8</v>
      </c>
      <c r="AN2083">
        <v>27</v>
      </c>
      <c r="AO2083">
        <v>15</v>
      </c>
      <c r="AP2083">
        <v>9</v>
      </c>
      <c r="AQ2083">
        <v>8</v>
      </c>
      <c r="AR2083" t="s">
        <v>13575</v>
      </c>
      <c r="AS2083" t="s">
        <v>13576</v>
      </c>
      <c r="AT2083">
        <v>0.68200000000000005</v>
      </c>
      <c r="AU2083" t="s">
        <v>65</v>
      </c>
      <c r="AV2083">
        <v>36</v>
      </c>
      <c r="AW2083">
        <v>23</v>
      </c>
      <c r="AX2083" t="s">
        <v>13577</v>
      </c>
      <c r="AY2083">
        <v>2.4719999999999999E-2</v>
      </c>
      <c r="AZ2083">
        <v>-1.5100000000000001E-3</v>
      </c>
      <c r="BA2083">
        <v>4.7099999999999998E-3</v>
      </c>
      <c r="BB2083">
        <v>-2.1000000000000001E-4</v>
      </c>
      <c r="BC2083">
        <v>0.19040000000000001</v>
      </c>
      <c r="BD2083">
        <v>1</v>
      </c>
      <c r="BE2083" t="s">
        <v>69</v>
      </c>
      <c r="BF2083">
        <v>-0.92100000000000004</v>
      </c>
      <c r="BG2083">
        <v>-2.121</v>
      </c>
    </row>
    <row r="2084" spans="1:59">
      <c r="A2084">
        <v>0</v>
      </c>
      <c r="B2084">
        <v>6</v>
      </c>
      <c r="C2084">
        <v>2</v>
      </c>
      <c r="D2084" t="s">
        <v>25022</v>
      </c>
      <c r="E2084">
        <v>3455</v>
      </c>
      <c r="F2084" t="s">
        <v>20227</v>
      </c>
      <c r="G2084" t="s">
        <v>62</v>
      </c>
      <c r="H2084">
        <v>3414026</v>
      </c>
      <c r="I2084">
        <v>3415216</v>
      </c>
      <c r="J2084" t="s">
        <v>20228</v>
      </c>
      <c r="K2084">
        <v>397</v>
      </c>
      <c r="L2084" t="s">
        <v>108</v>
      </c>
      <c r="M2084">
        <v>44</v>
      </c>
      <c r="N2084" t="str">
        <f>HYPERLINK("Gene3455-zp_tree_all.dnd", "Gene3455-tree")</f>
        <v>Gene3455-tree</v>
      </c>
      <c r="O2084">
        <v>5</v>
      </c>
      <c r="P2084">
        <v>7</v>
      </c>
      <c r="Q2084">
        <v>5</v>
      </c>
      <c r="R2084">
        <v>7</v>
      </c>
      <c r="S2084">
        <v>0.58333000000000002</v>
      </c>
      <c r="T2084" t="s">
        <v>199</v>
      </c>
      <c r="U2084" t="s">
        <v>152</v>
      </c>
      <c r="V2084" t="s">
        <v>62</v>
      </c>
      <c r="W2084" t="s">
        <v>62</v>
      </c>
      <c r="X2084">
        <v>4</v>
      </c>
      <c r="Y2084">
        <v>8</v>
      </c>
      <c r="Z2084">
        <v>11</v>
      </c>
      <c r="AA2084">
        <v>0.42104999999999998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</v>
      </c>
      <c r="AH2084">
        <v>2</v>
      </c>
      <c r="AI2084">
        <v>4</v>
      </c>
      <c r="AJ2084">
        <v>8</v>
      </c>
      <c r="AK2084">
        <v>0.33333000000000002</v>
      </c>
      <c r="AL2084">
        <v>10</v>
      </c>
      <c r="AM2084">
        <v>8</v>
      </c>
      <c r="AN2084">
        <v>21</v>
      </c>
      <c r="AO2084">
        <v>12</v>
      </c>
      <c r="AP2084">
        <v>19</v>
      </c>
      <c r="AQ2084">
        <v>7</v>
      </c>
      <c r="AR2084" t="s">
        <v>20229</v>
      </c>
      <c r="AS2084" t="s">
        <v>20230</v>
      </c>
      <c r="AT2084">
        <v>0.41599999999999998</v>
      </c>
      <c r="AU2084" t="s">
        <v>65</v>
      </c>
      <c r="AV2084">
        <v>40</v>
      </c>
      <c r="AW2084">
        <v>19</v>
      </c>
      <c r="AX2084" t="s">
        <v>20231</v>
      </c>
      <c r="AY2084">
        <v>3.322E-2</v>
      </c>
      <c r="AZ2084">
        <v>-1.5399999999999999E-3</v>
      </c>
      <c r="BA2084">
        <v>4.7400000000000003E-3</v>
      </c>
      <c r="BB2084">
        <v>-2.9E-4</v>
      </c>
      <c r="BC2084">
        <v>0.14277999999999999</v>
      </c>
      <c r="BD2084">
        <v>1</v>
      </c>
      <c r="BE2084" t="s">
        <v>69</v>
      </c>
      <c r="BF2084">
        <v>0.39800000000000002</v>
      </c>
      <c r="BG2084">
        <v>-1.06</v>
      </c>
    </row>
    <row r="2085" spans="1:59">
      <c r="A2085">
        <v>0</v>
      </c>
      <c r="B2085">
        <v>10</v>
      </c>
      <c r="C2085">
        <v>0</v>
      </c>
      <c r="D2085" t="s">
        <v>25022</v>
      </c>
      <c r="E2085">
        <v>3150</v>
      </c>
      <c r="F2085" t="s">
        <v>18300</v>
      </c>
      <c r="G2085" t="s">
        <v>62</v>
      </c>
      <c r="H2085">
        <v>3107235</v>
      </c>
      <c r="I2085">
        <v>3108425</v>
      </c>
      <c r="J2085" t="s">
        <v>2641</v>
      </c>
      <c r="K2085">
        <v>397</v>
      </c>
      <c r="L2085" t="s">
        <v>108</v>
      </c>
      <c r="M2085">
        <v>44</v>
      </c>
      <c r="N2085" t="str">
        <f>HYPERLINK("Gene3150-zp_tree_all.dnd", "Gene3150-tree")</f>
        <v>Gene3150-tree</v>
      </c>
      <c r="O2085">
        <v>6</v>
      </c>
      <c r="P2085">
        <v>10</v>
      </c>
      <c r="Q2085">
        <v>6</v>
      </c>
      <c r="R2085">
        <v>10</v>
      </c>
      <c r="S2085">
        <v>0.625</v>
      </c>
      <c r="T2085" t="s">
        <v>90</v>
      </c>
      <c r="U2085" t="s">
        <v>117</v>
      </c>
      <c r="V2085" t="s">
        <v>62</v>
      </c>
      <c r="W2085" t="s">
        <v>62</v>
      </c>
      <c r="X2085">
        <v>4</v>
      </c>
      <c r="Y2085">
        <v>10</v>
      </c>
      <c r="Z2085">
        <v>19</v>
      </c>
      <c r="AA2085">
        <v>0.34483000000000003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7</v>
      </c>
      <c r="AH2085">
        <v>0</v>
      </c>
      <c r="AI2085">
        <v>7</v>
      </c>
      <c r="AJ2085">
        <v>15</v>
      </c>
      <c r="AK2085">
        <v>0.31818000000000002</v>
      </c>
      <c r="AL2085">
        <v>10</v>
      </c>
      <c r="AM2085">
        <v>12</v>
      </c>
      <c r="AN2085">
        <v>38</v>
      </c>
      <c r="AO2085">
        <v>23</v>
      </c>
      <c r="AP2085">
        <v>46</v>
      </c>
      <c r="AQ2085">
        <v>10</v>
      </c>
      <c r="AR2085" t="s">
        <v>18301</v>
      </c>
      <c r="AS2085" t="s">
        <v>18302</v>
      </c>
      <c r="AT2085">
        <v>0.71699999999999997</v>
      </c>
      <c r="AU2085" t="s">
        <v>65</v>
      </c>
      <c r="AV2085">
        <v>84</v>
      </c>
      <c r="AW2085">
        <v>33</v>
      </c>
      <c r="AX2085" t="s">
        <v>18303</v>
      </c>
      <c r="AY2085">
        <v>5.6590000000000001E-2</v>
      </c>
      <c r="AZ2085">
        <v>-2.0899999999999998E-3</v>
      </c>
      <c r="BA2085">
        <v>6.5900000000000004E-3</v>
      </c>
      <c r="BB2085">
        <v>-4.8000000000000001E-4</v>
      </c>
      <c r="BC2085">
        <v>0.11638</v>
      </c>
      <c r="BD2085">
        <v>1</v>
      </c>
      <c r="BE2085" t="s">
        <v>69</v>
      </c>
      <c r="BF2085">
        <v>3.5999999999999997E-2</v>
      </c>
      <c r="BG2085">
        <v>-1.1040000000000001</v>
      </c>
    </row>
    <row r="2086" spans="1:59">
      <c r="A2086">
        <v>0</v>
      </c>
      <c r="B2086">
        <v>17</v>
      </c>
      <c r="C2086">
        <v>0</v>
      </c>
      <c r="D2086" t="s">
        <v>25022</v>
      </c>
      <c r="E2086">
        <v>3682</v>
      </c>
      <c r="F2086" t="s">
        <v>21609</v>
      </c>
      <c r="G2086" t="s">
        <v>62</v>
      </c>
      <c r="H2086">
        <v>3649878</v>
      </c>
      <c r="I2086">
        <v>3651068</v>
      </c>
      <c r="J2086" t="s">
        <v>21610</v>
      </c>
      <c r="K2086">
        <v>397</v>
      </c>
      <c r="L2086" t="s">
        <v>108</v>
      </c>
      <c r="M2086">
        <v>44</v>
      </c>
      <c r="N2086" t="str">
        <f>HYPERLINK("Gene3682-zp_tree_all.dnd", "Gene3682-tree")</f>
        <v>Gene3682-tree</v>
      </c>
      <c r="O2086">
        <v>3</v>
      </c>
      <c r="P2086">
        <v>11</v>
      </c>
      <c r="Q2086">
        <v>3</v>
      </c>
      <c r="R2086">
        <v>11</v>
      </c>
      <c r="S2086">
        <v>0.78571000000000002</v>
      </c>
      <c r="T2086" t="s">
        <v>324</v>
      </c>
      <c r="U2086" t="s">
        <v>73</v>
      </c>
      <c r="V2086">
        <v>305230034.74400002</v>
      </c>
      <c r="W2086" t="s">
        <v>267</v>
      </c>
      <c r="X2086">
        <v>8</v>
      </c>
      <c r="Y2086">
        <v>17</v>
      </c>
      <c r="Z2086">
        <v>12</v>
      </c>
      <c r="AA2086">
        <v>0.58621000000000001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7</v>
      </c>
      <c r="AH2086">
        <v>0</v>
      </c>
      <c r="AI2086">
        <v>7</v>
      </c>
      <c r="AJ2086">
        <v>14</v>
      </c>
      <c r="AK2086">
        <v>0.33333000000000002</v>
      </c>
      <c r="AL2086">
        <v>12</v>
      </c>
      <c r="AM2086">
        <v>11</v>
      </c>
      <c r="AN2086">
        <v>55</v>
      </c>
      <c r="AO2086">
        <v>19</v>
      </c>
      <c r="AP2086">
        <v>37</v>
      </c>
      <c r="AQ2086">
        <v>12</v>
      </c>
      <c r="AR2086" t="s">
        <v>21611</v>
      </c>
      <c r="AS2086" t="s">
        <v>21612</v>
      </c>
      <c r="AT2086">
        <v>0.11</v>
      </c>
      <c r="AU2086" t="s">
        <v>65</v>
      </c>
      <c r="AV2086">
        <v>92</v>
      </c>
      <c r="AW2086">
        <v>31</v>
      </c>
      <c r="AX2086" t="s">
        <v>21613</v>
      </c>
      <c r="AY2086">
        <v>7.3599999999999999E-2</v>
      </c>
      <c r="AZ2086">
        <v>-2.8500000000000001E-3</v>
      </c>
      <c r="BA2086">
        <v>7.0000000000000001E-3</v>
      </c>
      <c r="BB2086">
        <v>-2.9999999999999997E-4</v>
      </c>
      <c r="BC2086">
        <v>9.5049999999999996E-2</v>
      </c>
      <c r="BD2086">
        <v>1</v>
      </c>
      <c r="BE2086" t="s">
        <v>69</v>
      </c>
      <c r="BF2086">
        <v>0.51</v>
      </c>
      <c r="BG2086">
        <v>-0.20399999999999999</v>
      </c>
    </row>
    <row r="2087" spans="1:59">
      <c r="A2087">
        <v>0</v>
      </c>
      <c r="B2087">
        <v>7</v>
      </c>
      <c r="C2087">
        <v>4</v>
      </c>
      <c r="D2087" t="s">
        <v>25022</v>
      </c>
      <c r="E2087">
        <v>338</v>
      </c>
      <c r="F2087" t="s">
        <v>2303</v>
      </c>
      <c r="G2087" t="s">
        <v>57</v>
      </c>
      <c r="H2087">
        <v>366063</v>
      </c>
      <c r="I2087">
        <v>367253</v>
      </c>
      <c r="J2087" t="s">
        <v>2304</v>
      </c>
      <c r="K2087">
        <v>397</v>
      </c>
      <c r="L2087" t="s">
        <v>108</v>
      </c>
      <c r="M2087">
        <v>44</v>
      </c>
      <c r="N2087" t="str">
        <f>HYPERLINK("Gene338-zp_tree_all.dnd", "Gene338-tree")</f>
        <v>Gene338-tree</v>
      </c>
      <c r="O2087">
        <v>5</v>
      </c>
      <c r="P2087">
        <v>9</v>
      </c>
      <c r="Q2087">
        <v>5</v>
      </c>
      <c r="R2087">
        <v>9</v>
      </c>
      <c r="S2087">
        <v>0.64285999999999999</v>
      </c>
      <c r="T2087" t="s">
        <v>199</v>
      </c>
      <c r="U2087" t="s">
        <v>135</v>
      </c>
      <c r="V2087" t="s">
        <v>62</v>
      </c>
      <c r="W2087" t="s">
        <v>62</v>
      </c>
      <c r="X2087">
        <v>4</v>
      </c>
      <c r="Y2087">
        <v>11</v>
      </c>
      <c r="Z2087">
        <v>13</v>
      </c>
      <c r="AA2087">
        <v>0.45833000000000002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2</v>
      </c>
      <c r="AH2087">
        <v>4</v>
      </c>
      <c r="AI2087">
        <v>6</v>
      </c>
      <c r="AJ2087">
        <v>12</v>
      </c>
      <c r="AK2087">
        <v>0.33333000000000002</v>
      </c>
      <c r="AL2087">
        <v>13</v>
      </c>
      <c r="AM2087">
        <v>11</v>
      </c>
      <c r="AN2087">
        <v>54</v>
      </c>
      <c r="AO2087">
        <v>19</v>
      </c>
      <c r="AP2087">
        <v>24</v>
      </c>
      <c r="AQ2087">
        <v>6</v>
      </c>
      <c r="AR2087" t="s">
        <v>2305</v>
      </c>
      <c r="AS2087" t="s">
        <v>2306</v>
      </c>
      <c r="AT2087">
        <v>0.53400000000000003</v>
      </c>
      <c r="AU2087" t="s">
        <v>65</v>
      </c>
      <c r="AV2087">
        <v>78</v>
      </c>
      <c r="AW2087">
        <v>25</v>
      </c>
      <c r="AX2087" t="s">
        <v>2307</v>
      </c>
      <c r="AY2087">
        <v>5.7070000000000003E-2</v>
      </c>
      <c r="AZ2087">
        <v>-1.7700000000000001E-3</v>
      </c>
      <c r="BA2087">
        <v>4.5300000000000002E-3</v>
      </c>
      <c r="BB2087">
        <v>-2.4000000000000001E-4</v>
      </c>
      <c r="BC2087">
        <v>7.9310000000000005E-2</v>
      </c>
      <c r="BD2087">
        <v>1</v>
      </c>
      <c r="BE2087" t="s">
        <v>69</v>
      </c>
      <c r="BF2087">
        <v>-0.92600000000000005</v>
      </c>
      <c r="BG2087">
        <v>-2.3319999999999999</v>
      </c>
    </row>
    <row r="2088" spans="1:59">
      <c r="A2088">
        <v>0</v>
      </c>
      <c r="B2088">
        <v>14</v>
      </c>
      <c r="C2088">
        <v>0</v>
      </c>
      <c r="D2088" t="s">
        <v>25022</v>
      </c>
      <c r="E2088">
        <v>1494</v>
      </c>
      <c r="F2088" t="s">
        <v>9342</v>
      </c>
      <c r="G2088" t="s">
        <v>57</v>
      </c>
      <c r="H2088">
        <v>1506105</v>
      </c>
      <c r="I2088">
        <v>1507295</v>
      </c>
      <c r="J2088" t="s">
        <v>9343</v>
      </c>
      <c r="K2088">
        <v>397</v>
      </c>
      <c r="L2088" t="s">
        <v>108</v>
      </c>
      <c r="M2088">
        <v>44</v>
      </c>
      <c r="N2088" t="str">
        <f>HYPERLINK("Gene1494-zp_tree_all.dnd", "Gene1494-tree")</f>
        <v>Gene1494-tree</v>
      </c>
      <c r="O2088">
        <v>26</v>
      </c>
      <c r="P2088">
        <v>7</v>
      </c>
      <c r="Q2088">
        <v>7</v>
      </c>
      <c r="R2088">
        <v>7</v>
      </c>
      <c r="S2088">
        <v>0.5</v>
      </c>
      <c r="T2088" t="s">
        <v>191</v>
      </c>
      <c r="U2088" t="s">
        <v>152</v>
      </c>
      <c r="V2088" t="s">
        <v>62</v>
      </c>
      <c r="W2088" t="s">
        <v>62</v>
      </c>
      <c r="X2088">
        <v>6</v>
      </c>
      <c r="Y2088">
        <v>14</v>
      </c>
      <c r="Z2088">
        <v>7</v>
      </c>
      <c r="AA2088">
        <v>0.66666999999999998</v>
      </c>
      <c r="AB2088">
        <v>0</v>
      </c>
      <c r="AC2088">
        <v>0</v>
      </c>
      <c r="AD2088">
        <v>0</v>
      </c>
      <c r="AE2088">
        <v>5</v>
      </c>
      <c r="AF2088">
        <v>0</v>
      </c>
      <c r="AG2088">
        <v>2</v>
      </c>
      <c r="AH2088">
        <v>2</v>
      </c>
      <c r="AI2088">
        <v>4</v>
      </c>
      <c r="AJ2088">
        <v>7</v>
      </c>
      <c r="AK2088">
        <v>0.36364000000000002</v>
      </c>
      <c r="AL2088">
        <v>11</v>
      </c>
      <c r="AM2088">
        <v>11</v>
      </c>
      <c r="AN2088">
        <v>40</v>
      </c>
      <c r="AO2088">
        <v>11</v>
      </c>
      <c r="AP2088">
        <v>30</v>
      </c>
      <c r="AQ2088">
        <v>10</v>
      </c>
      <c r="AR2088" t="s">
        <v>9344</v>
      </c>
      <c r="AS2088" t="s">
        <v>9345</v>
      </c>
      <c r="AT2088">
        <v>0.18099999999999999</v>
      </c>
      <c r="AU2088" t="s">
        <v>65</v>
      </c>
      <c r="AV2088">
        <v>70</v>
      </c>
      <c r="AW2088">
        <v>21</v>
      </c>
      <c r="AX2088" t="s">
        <v>9346</v>
      </c>
      <c r="AY2088">
        <v>5.0540000000000002E-2</v>
      </c>
      <c r="AZ2088">
        <v>-2.15E-3</v>
      </c>
      <c r="BA2088">
        <v>3.8400000000000001E-3</v>
      </c>
      <c r="BB2088">
        <v>-2.2000000000000001E-4</v>
      </c>
      <c r="BC2088">
        <v>7.5899999999999995E-2</v>
      </c>
      <c r="BD2088">
        <v>1</v>
      </c>
      <c r="BE2088" t="s">
        <v>69</v>
      </c>
      <c r="BF2088">
        <v>0.995</v>
      </c>
      <c r="BG2088">
        <v>-0.54400000000000004</v>
      </c>
    </row>
    <row r="2089" spans="1:59">
      <c r="A2089">
        <v>0</v>
      </c>
      <c r="B2089">
        <v>2</v>
      </c>
      <c r="C2089">
        <v>0</v>
      </c>
      <c r="D2089" t="s">
        <v>25022</v>
      </c>
      <c r="E2089">
        <v>3649</v>
      </c>
      <c r="F2089" t="s">
        <v>21417</v>
      </c>
      <c r="G2089" t="s">
        <v>62</v>
      </c>
      <c r="H2089">
        <v>3620349</v>
      </c>
      <c r="I2089">
        <v>3621539</v>
      </c>
      <c r="J2089" t="s">
        <v>21418</v>
      </c>
      <c r="K2089">
        <v>397</v>
      </c>
      <c r="L2089" t="s">
        <v>108</v>
      </c>
      <c r="M2089">
        <v>44</v>
      </c>
      <c r="N2089" t="str">
        <f>HYPERLINK("Gene3649-zp_tree_all.dnd", "Gene3649-tree")</f>
        <v>Gene3649-tree</v>
      </c>
      <c r="O2089">
        <v>8</v>
      </c>
      <c r="P2089">
        <v>5</v>
      </c>
      <c r="Q2089">
        <v>8</v>
      </c>
      <c r="R2089">
        <v>5</v>
      </c>
      <c r="S2089">
        <v>0.38462000000000002</v>
      </c>
      <c r="T2089" t="s">
        <v>136</v>
      </c>
      <c r="U2089" t="s">
        <v>199</v>
      </c>
      <c r="V2089" t="s">
        <v>62</v>
      </c>
      <c r="W2089" t="s">
        <v>62</v>
      </c>
      <c r="X2089">
        <v>1</v>
      </c>
      <c r="Y2089">
        <v>2</v>
      </c>
      <c r="Z2089">
        <v>7</v>
      </c>
      <c r="AA2089">
        <v>0.22222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2</v>
      </c>
      <c r="AH2089">
        <v>0</v>
      </c>
      <c r="AI2089">
        <v>2</v>
      </c>
      <c r="AJ2089">
        <v>6</v>
      </c>
      <c r="AK2089">
        <v>0.25</v>
      </c>
      <c r="AL2089">
        <v>11</v>
      </c>
      <c r="AM2089">
        <v>8</v>
      </c>
      <c r="AN2089">
        <v>35</v>
      </c>
      <c r="AO2089">
        <v>7</v>
      </c>
      <c r="AP2089">
        <v>13</v>
      </c>
      <c r="AQ2089">
        <v>2</v>
      </c>
      <c r="AR2089" t="s">
        <v>21419</v>
      </c>
      <c r="AS2089" t="s">
        <v>21420</v>
      </c>
      <c r="AT2089">
        <v>0.18099999999999999</v>
      </c>
      <c r="AU2089" t="s">
        <v>65</v>
      </c>
      <c r="AV2089">
        <v>48</v>
      </c>
      <c r="AW2089">
        <v>9</v>
      </c>
      <c r="AX2089" t="s">
        <v>21421</v>
      </c>
      <c r="AY2089">
        <v>3.09E-2</v>
      </c>
      <c r="AZ2089">
        <v>-1.16E-3</v>
      </c>
      <c r="BA2089">
        <v>1.7899999999999999E-3</v>
      </c>
      <c r="BB2089">
        <v>-1.4999999999999999E-4</v>
      </c>
      <c r="BC2089">
        <v>5.7979999999999997E-2</v>
      </c>
      <c r="BD2089">
        <v>1</v>
      </c>
      <c r="BE2089" t="s">
        <v>69</v>
      </c>
      <c r="BF2089">
        <v>-0.94199999999999995</v>
      </c>
      <c r="BG2089">
        <v>-1.9259999999999999</v>
      </c>
    </row>
    <row r="2090" spans="1:59">
      <c r="A2090">
        <v>0</v>
      </c>
      <c r="B2090">
        <v>0</v>
      </c>
      <c r="C2090">
        <v>0</v>
      </c>
      <c r="D2090" t="s">
        <v>25022</v>
      </c>
      <c r="E2090">
        <v>887</v>
      </c>
      <c r="F2090" t="s">
        <v>5540</v>
      </c>
      <c r="G2090" t="s">
        <v>57</v>
      </c>
      <c r="H2090">
        <v>926886</v>
      </c>
      <c r="I2090">
        <v>928076</v>
      </c>
      <c r="J2090" t="s">
        <v>2641</v>
      </c>
      <c r="K2090">
        <v>397</v>
      </c>
      <c r="L2090" t="s">
        <v>108</v>
      </c>
      <c r="M2090">
        <v>44</v>
      </c>
      <c r="N2090" t="str">
        <f>HYPERLINK("Gene887-zp_tree_all.dnd", "Gene887-tree")</f>
        <v>Gene887-tree</v>
      </c>
      <c r="O2090">
        <v>11</v>
      </c>
      <c r="P2090">
        <v>4</v>
      </c>
      <c r="Q2090">
        <v>11</v>
      </c>
      <c r="R2090">
        <v>4</v>
      </c>
      <c r="S2090">
        <v>0.26667000000000002</v>
      </c>
      <c r="T2090" t="s">
        <v>73</v>
      </c>
      <c r="U2090" t="s">
        <v>61</v>
      </c>
      <c r="V2090" t="s">
        <v>62</v>
      </c>
      <c r="W2090" t="s">
        <v>62</v>
      </c>
      <c r="X2090">
        <v>0</v>
      </c>
      <c r="Y2090">
        <v>0</v>
      </c>
      <c r="Z2090">
        <v>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6</v>
      </c>
      <c r="AK2090">
        <v>0</v>
      </c>
      <c r="AL2090">
        <v>14</v>
      </c>
      <c r="AM2090">
        <v>6</v>
      </c>
      <c r="AN2090">
        <v>39</v>
      </c>
      <c r="AO2090">
        <v>6</v>
      </c>
      <c r="AP2090">
        <v>25</v>
      </c>
      <c r="AQ2090">
        <v>1</v>
      </c>
      <c r="AR2090" t="s">
        <v>5541</v>
      </c>
      <c r="AS2090" t="s">
        <v>5542</v>
      </c>
      <c r="AT2090">
        <v>0.57999999999999996</v>
      </c>
      <c r="AU2090" t="s">
        <v>65</v>
      </c>
      <c r="AV2090">
        <v>64</v>
      </c>
      <c r="AW2090">
        <v>7</v>
      </c>
      <c r="AX2090" t="s">
        <v>5543</v>
      </c>
      <c r="AY2090">
        <v>3.3160000000000002E-2</v>
      </c>
      <c r="AZ2090">
        <v>-1.31E-3</v>
      </c>
      <c r="BA2090">
        <v>1.3799999999999999E-3</v>
      </c>
      <c r="BB2090">
        <v>-1.2999999999999999E-4</v>
      </c>
      <c r="BC2090">
        <v>4.1689999999999998E-2</v>
      </c>
      <c r="BD2090">
        <v>1</v>
      </c>
      <c r="BE2090" t="s">
        <v>69</v>
      </c>
      <c r="BF2090">
        <v>-0.5</v>
      </c>
      <c r="BG2090">
        <v>0.106</v>
      </c>
    </row>
    <row r="2091" spans="1:59">
      <c r="A2091">
        <v>0</v>
      </c>
      <c r="B2091">
        <v>16</v>
      </c>
      <c r="C2091">
        <v>0</v>
      </c>
      <c r="D2091" t="s">
        <v>25022</v>
      </c>
      <c r="E2091">
        <v>668</v>
      </c>
      <c r="F2091" t="s">
        <v>4164</v>
      </c>
      <c r="G2091" t="s">
        <v>57</v>
      </c>
      <c r="H2091">
        <v>689146</v>
      </c>
      <c r="I2091">
        <v>690339</v>
      </c>
      <c r="J2091" t="s">
        <v>288</v>
      </c>
      <c r="K2091">
        <v>398</v>
      </c>
      <c r="L2091" t="s">
        <v>4005</v>
      </c>
      <c r="M2091">
        <v>42</v>
      </c>
      <c r="N2091" t="str">
        <f>HYPERLINK("Gene668-zp_tree_all.dnd", "Gene668-tree")</f>
        <v>Gene668-tree</v>
      </c>
      <c r="O2091">
        <v>1</v>
      </c>
      <c r="P2091">
        <v>14</v>
      </c>
      <c r="Q2091">
        <v>1</v>
      </c>
      <c r="R2091">
        <v>14</v>
      </c>
      <c r="S2091">
        <v>0.93332999999999999</v>
      </c>
      <c r="T2091" t="s">
        <v>175</v>
      </c>
      <c r="U2091" t="s">
        <v>543</v>
      </c>
      <c r="V2091">
        <v>1865302226.941</v>
      </c>
      <c r="W2091" t="s">
        <v>267</v>
      </c>
      <c r="X2091">
        <v>7</v>
      </c>
      <c r="Y2091">
        <v>16</v>
      </c>
      <c r="Z2091">
        <v>15</v>
      </c>
      <c r="AA2091">
        <v>0.51612999999999998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10</v>
      </c>
      <c r="AH2091">
        <v>0</v>
      </c>
      <c r="AI2091">
        <v>10</v>
      </c>
      <c r="AJ2091">
        <v>13</v>
      </c>
      <c r="AK2091">
        <v>0.43478</v>
      </c>
      <c r="AL2091">
        <v>13</v>
      </c>
      <c r="AM2091">
        <v>10</v>
      </c>
      <c r="AN2091">
        <v>26</v>
      </c>
      <c r="AO2091">
        <v>22</v>
      </c>
      <c r="AP2091">
        <v>29</v>
      </c>
      <c r="AQ2091">
        <v>9</v>
      </c>
      <c r="AR2091" t="s">
        <v>4165</v>
      </c>
      <c r="AS2091" t="s">
        <v>4166</v>
      </c>
      <c r="AT2091">
        <v>1.325</v>
      </c>
      <c r="AU2091" t="s">
        <v>65</v>
      </c>
      <c r="AV2091">
        <v>55</v>
      </c>
      <c r="AW2091">
        <v>31</v>
      </c>
      <c r="AX2091" t="s">
        <v>4167</v>
      </c>
      <c r="AY2091">
        <v>3.5580000000000001E-2</v>
      </c>
      <c r="AZ2091">
        <v>-1.33E-3</v>
      </c>
      <c r="BA2091">
        <v>5.4900000000000001E-3</v>
      </c>
      <c r="BB2091">
        <v>-1.7000000000000001E-4</v>
      </c>
      <c r="BC2091">
        <v>0.1542</v>
      </c>
      <c r="BD2091">
        <v>1</v>
      </c>
      <c r="BE2091" t="s">
        <v>69</v>
      </c>
      <c r="BF2091">
        <v>-0.58099999999999996</v>
      </c>
      <c r="BG2091">
        <v>8.2000000000000003E-2</v>
      </c>
    </row>
    <row r="2092" spans="1:59">
      <c r="A2092">
        <v>0</v>
      </c>
      <c r="B2092">
        <v>19</v>
      </c>
      <c r="C2092">
        <v>4</v>
      </c>
      <c r="D2092" t="s">
        <v>25022</v>
      </c>
      <c r="E2092">
        <v>842</v>
      </c>
      <c r="F2092" t="s">
        <v>5255</v>
      </c>
      <c r="G2092" t="s">
        <v>57</v>
      </c>
      <c r="H2092">
        <v>881049</v>
      </c>
      <c r="I2092">
        <v>882242</v>
      </c>
      <c r="J2092" t="s">
        <v>5256</v>
      </c>
      <c r="K2092">
        <v>398</v>
      </c>
      <c r="L2092" t="s">
        <v>108</v>
      </c>
      <c r="M2092">
        <v>44</v>
      </c>
      <c r="N2092" t="str">
        <f>HYPERLINK("Gene842-zp_tree_all.dnd", "Gene842-tree")</f>
        <v>Gene842-tree</v>
      </c>
      <c r="O2092">
        <v>5</v>
      </c>
      <c r="P2092">
        <v>11</v>
      </c>
      <c r="Q2092">
        <v>5</v>
      </c>
      <c r="R2092">
        <v>11</v>
      </c>
      <c r="S2092">
        <v>0.6875</v>
      </c>
      <c r="T2092" t="s">
        <v>199</v>
      </c>
      <c r="U2092" t="s">
        <v>73</v>
      </c>
      <c r="V2092">
        <v>137353515.63499999</v>
      </c>
      <c r="W2092" t="s">
        <v>267</v>
      </c>
      <c r="X2092">
        <v>7</v>
      </c>
      <c r="Y2092">
        <v>23</v>
      </c>
      <c r="Z2092">
        <v>15</v>
      </c>
      <c r="AA2092">
        <v>0.60526000000000002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7</v>
      </c>
      <c r="AH2092">
        <v>2</v>
      </c>
      <c r="AI2092">
        <v>9</v>
      </c>
      <c r="AJ2092">
        <v>15</v>
      </c>
      <c r="AK2092">
        <v>0.375</v>
      </c>
      <c r="AL2092">
        <v>13</v>
      </c>
      <c r="AM2092">
        <v>11</v>
      </c>
      <c r="AN2092">
        <v>60</v>
      </c>
      <c r="AO2092">
        <v>22</v>
      </c>
      <c r="AP2092">
        <v>38</v>
      </c>
      <c r="AQ2092">
        <v>16</v>
      </c>
      <c r="AR2092" t="s">
        <v>5257</v>
      </c>
      <c r="AS2092" t="s">
        <v>5258</v>
      </c>
      <c r="AT2092">
        <v>0.30399999999999999</v>
      </c>
      <c r="AU2092" t="s">
        <v>65</v>
      </c>
      <c r="AV2092">
        <v>98</v>
      </c>
      <c r="AW2092">
        <v>38</v>
      </c>
      <c r="AX2092" t="s">
        <v>5259</v>
      </c>
      <c r="AY2092">
        <v>5.4219999999999997E-2</v>
      </c>
      <c r="AZ2092">
        <v>-1.73E-3</v>
      </c>
      <c r="BA2092">
        <v>5.5500000000000002E-3</v>
      </c>
      <c r="BB2092">
        <v>-2.7E-4</v>
      </c>
      <c r="BC2092">
        <v>0.1024</v>
      </c>
      <c r="BD2092">
        <v>1</v>
      </c>
      <c r="BE2092" t="s">
        <v>69</v>
      </c>
      <c r="BF2092">
        <v>-1.147</v>
      </c>
      <c r="BG2092">
        <v>-2.117</v>
      </c>
    </row>
    <row r="2093" spans="1:59">
      <c r="A2093">
        <v>0</v>
      </c>
      <c r="B2093">
        <v>12</v>
      </c>
      <c r="C2093">
        <v>1</v>
      </c>
      <c r="D2093" t="s">
        <v>25022</v>
      </c>
      <c r="E2093">
        <v>3317</v>
      </c>
      <c r="F2093" t="s">
        <v>19361</v>
      </c>
      <c r="G2093" t="s">
        <v>62</v>
      </c>
      <c r="H2093">
        <v>3290292</v>
      </c>
      <c r="I2093">
        <v>3291485</v>
      </c>
      <c r="J2093" t="s">
        <v>19362</v>
      </c>
      <c r="K2093">
        <v>398</v>
      </c>
      <c r="L2093" t="s">
        <v>629</v>
      </c>
      <c r="M2093">
        <v>43</v>
      </c>
      <c r="N2093" t="str">
        <f>HYPERLINK("Gene3317-zp_tree_all.dnd", "Gene3317-tree")</f>
        <v>Gene3317-tree</v>
      </c>
      <c r="O2093">
        <v>7</v>
      </c>
      <c r="P2093">
        <v>9</v>
      </c>
      <c r="Q2093">
        <v>7</v>
      </c>
      <c r="R2093">
        <v>9</v>
      </c>
      <c r="S2093">
        <v>0.5625</v>
      </c>
      <c r="T2093" t="s">
        <v>152</v>
      </c>
      <c r="U2093" t="s">
        <v>135</v>
      </c>
      <c r="V2093" t="s">
        <v>62</v>
      </c>
      <c r="W2093" t="s">
        <v>62</v>
      </c>
      <c r="X2093">
        <v>5</v>
      </c>
      <c r="Y2093">
        <v>13</v>
      </c>
      <c r="Z2093">
        <v>16</v>
      </c>
      <c r="AA2093">
        <v>0.44828000000000001</v>
      </c>
      <c r="AB2093">
        <v>0</v>
      </c>
      <c r="AC2093">
        <v>0</v>
      </c>
      <c r="AD2093">
        <v>0</v>
      </c>
      <c r="AE2093">
        <v>2</v>
      </c>
      <c r="AF2093">
        <v>0</v>
      </c>
      <c r="AG2093">
        <v>2</v>
      </c>
      <c r="AH2093">
        <v>4</v>
      </c>
      <c r="AI2093">
        <v>6</v>
      </c>
      <c r="AJ2093">
        <v>16</v>
      </c>
      <c r="AK2093">
        <v>0.27272999999999997</v>
      </c>
      <c r="AL2093">
        <v>14</v>
      </c>
      <c r="AM2093">
        <v>13</v>
      </c>
      <c r="AN2093">
        <v>62</v>
      </c>
      <c r="AO2093">
        <v>23</v>
      </c>
      <c r="AP2093">
        <v>28</v>
      </c>
      <c r="AQ2093">
        <v>7</v>
      </c>
      <c r="AR2093" t="s">
        <v>19363</v>
      </c>
      <c r="AS2093" t="s">
        <v>19364</v>
      </c>
      <c r="AT2093">
        <v>0.25</v>
      </c>
      <c r="AU2093" t="s">
        <v>65</v>
      </c>
      <c r="AV2093">
        <v>90</v>
      </c>
      <c r="AW2093">
        <v>30</v>
      </c>
      <c r="AX2093" t="s">
        <v>19365</v>
      </c>
      <c r="AY2093">
        <v>5.0509999999999999E-2</v>
      </c>
      <c r="AZ2093">
        <v>-3.13E-3</v>
      </c>
      <c r="BA2093">
        <v>5.1200000000000004E-3</v>
      </c>
      <c r="BB2093">
        <v>-3.1E-4</v>
      </c>
      <c r="BC2093">
        <v>0.10136000000000001</v>
      </c>
      <c r="BD2093">
        <v>1</v>
      </c>
      <c r="BE2093" t="s">
        <v>69</v>
      </c>
      <c r="BF2093">
        <v>-1.4370000000000001</v>
      </c>
      <c r="BG2093">
        <v>-2.746</v>
      </c>
    </row>
    <row r="2094" spans="1:59">
      <c r="A2094">
        <v>0</v>
      </c>
      <c r="B2094">
        <v>13</v>
      </c>
      <c r="C2094">
        <v>1</v>
      </c>
      <c r="D2094" t="s">
        <v>25022</v>
      </c>
      <c r="E2094">
        <v>1410</v>
      </c>
      <c r="F2094" t="s">
        <v>8829</v>
      </c>
      <c r="G2094" t="s">
        <v>57</v>
      </c>
      <c r="H2094">
        <v>1425641</v>
      </c>
      <c r="I2094">
        <v>1426834</v>
      </c>
      <c r="J2094" t="s">
        <v>8830</v>
      </c>
      <c r="K2094">
        <v>398</v>
      </c>
      <c r="L2094" t="s">
        <v>108</v>
      </c>
      <c r="M2094">
        <v>44</v>
      </c>
      <c r="N2094" t="str">
        <f>HYPERLINK("Gene1410-zp_tree_all.dnd", "Gene1410-tree")</f>
        <v>Gene1410-tree</v>
      </c>
      <c r="O2094">
        <v>5</v>
      </c>
      <c r="P2094">
        <v>10</v>
      </c>
      <c r="Q2094">
        <v>5</v>
      </c>
      <c r="R2094">
        <v>10</v>
      </c>
      <c r="S2094">
        <v>0.66666999999999998</v>
      </c>
      <c r="T2094" t="s">
        <v>199</v>
      </c>
      <c r="U2094" t="s">
        <v>117</v>
      </c>
      <c r="V2094" t="s">
        <v>62</v>
      </c>
      <c r="W2094" t="s">
        <v>62</v>
      </c>
      <c r="X2094">
        <v>4</v>
      </c>
      <c r="Y2094">
        <v>14</v>
      </c>
      <c r="Z2094">
        <v>11</v>
      </c>
      <c r="AA2094">
        <v>0.56000000000000005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7</v>
      </c>
      <c r="AH2094">
        <v>0</v>
      </c>
      <c r="AI2094">
        <v>7</v>
      </c>
      <c r="AJ2094">
        <v>11</v>
      </c>
      <c r="AK2094">
        <v>0.38889000000000001</v>
      </c>
      <c r="AL2094">
        <v>15</v>
      </c>
      <c r="AM2094">
        <v>12</v>
      </c>
      <c r="AN2094">
        <v>38</v>
      </c>
      <c r="AO2094">
        <v>18</v>
      </c>
      <c r="AP2094">
        <v>27</v>
      </c>
      <c r="AQ2094">
        <v>7</v>
      </c>
      <c r="AR2094" t="s">
        <v>8831</v>
      </c>
      <c r="AS2094" t="s">
        <v>8832</v>
      </c>
      <c r="AT2094">
        <v>0.88100000000000001</v>
      </c>
      <c r="AU2094" t="s">
        <v>65</v>
      </c>
      <c r="AV2094">
        <v>65</v>
      </c>
      <c r="AW2094">
        <v>25</v>
      </c>
      <c r="AX2094" t="s">
        <v>8833</v>
      </c>
      <c r="AY2094">
        <v>4.419E-2</v>
      </c>
      <c r="AZ2094">
        <v>-1.3699999999999999E-3</v>
      </c>
      <c r="BA2094">
        <v>3.96E-3</v>
      </c>
      <c r="BB2094">
        <v>-1.7000000000000001E-4</v>
      </c>
      <c r="BC2094">
        <v>8.9649999999999994E-2</v>
      </c>
      <c r="BD2094">
        <v>1</v>
      </c>
      <c r="BE2094" t="s">
        <v>69</v>
      </c>
      <c r="BF2094">
        <v>-0.77200000000000002</v>
      </c>
      <c r="BG2094">
        <v>-1.3320000000000001</v>
      </c>
    </row>
    <row r="2095" spans="1:59">
      <c r="A2095">
        <v>0</v>
      </c>
      <c r="B2095">
        <v>2</v>
      </c>
      <c r="C2095">
        <v>2</v>
      </c>
      <c r="D2095" t="s">
        <v>25022</v>
      </c>
      <c r="E2095">
        <v>2638</v>
      </c>
      <c r="F2095" t="s">
        <v>15454</v>
      </c>
      <c r="G2095" t="s">
        <v>62</v>
      </c>
      <c r="H2095">
        <v>2615455</v>
      </c>
      <c r="I2095">
        <v>2616648</v>
      </c>
      <c r="J2095" t="s">
        <v>15455</v>
      </c>
      <c r="K2095">
        <v>398</v>
      </c>
      <c r="L2095" t="s">
        <v>59</v>
      </c>
      <c r="M2095">
        <v>49</v>
      </c>
      <c r="N2095" t="str">
        <f>HYPERLINK("Gene2638-zp_tree_all.dnd", "Gene2638-tree")</f>
        <v>Gene2638-tree</v>
      </c>
      <c r="O2095">
        <v>34</v>
      </c>
      <c r="P2095">
        <v>7</v>
      </c>
      <c r="Q2095">
        <v>13</v>
      </c>
      <c r="R2095">
        <v>7</v>
      </c>
      <c r="S2095">
        <v>0.35</v>
      </c>
      <c r="T2095" t="s">
        <v>15456</v>
      </c>
      <c r="U2095" t="s">
        <v>152</v>
      </c>
      <c r="V2095" t="s">
        <v>62</v>
      </c>
      <c r="W2095" t="s">
        <v>62</v>
      </c>
      <c r="X2095">
        <v>2</v>
      </c>
      <c r="Y2095">
        <v>4</v>
      </c>
      <c r="Z2095">
        <v>23</v>
      </c>
      <c r="AA2095">
        <v>0.14815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9</v>
      </c>
      <c r="AK2095">
        <v>0</v>
      </c>
      <c r="AL2095">
        <v>16</v>
      </c>
      <c r="AM2095">
        <v>15</v>
      </c>
      <c r="AN2095">
        <v>59</v>
      </c>
      <c r="AO2095">
        <v>9</v>
      </c>
      <c r="AP2095">
        <v>57</v>
      </c>
      <c r="AQ2095">
        <v>18</v>
      </c>
      <c r="AR2095" t="s">
        <v>15457</v>
      </c>
      <c r="AS2095" t="s">
        <v>15458</v>
      </c>
      <c r="AT2095">
        <v>0.33400000000000002</v>
      </c>
      <c r="AU2095" t="s">
        <v>65</v>
      </c>
      <c r="AV2095">
        <v>116</v>
      </c>
      <c r="AW2095">
        <v>27</v>
      </c>
      <c r="AX2095" t="s">
        <v>15459</v>
      </c>
      <c r="AY2095">
        <v>8.7340000000000001E-2</v>
      </c>
      <c r="AZ2095">
        <v>-4.6299999999999996E-3</v>
      </c>
      <c r="BA2095">
        <v>6.0699999999999999E-3</v>
      </c>
      <c r="BB2095">
        <v>-3.8999999999999999E-4</v>
      </c>
      <c r="BC2095">
        <v>6.9529999999999995E-2</v>
      </c>
      <c r="BD2095">
        <v>1</v>
      </c>
      <c r="BE2095" t="s">
        <v>69</v>
      </c>
      <c r="BF2095">
        <v>-1.524</v>
      </c>
      <c r="BG2095">
        <v>-2.153</v>
      </c>
    </row>
    <row r="2096" spans="1:59">
      <c r="A2096">
        <v>0</v>
      </c>
      <c r="B2096">
        <v>9</v>
      </c>
      <c r="C2096">
        <v>0</v>
      </c>
      <c r="D2096" t="s">
        <v>25022</v>
      </c>
      <c r="E2096">
        <v>2421</v>
      </c>
      <c r="F2096" t="s">
        <v>14103</v>
      </c>
      <c r="G2096" t="s">
        <v>62</v>
      </c>
      <c r="H2096">
        <v>2428392</v>
      </c>
      <c r="I2096">
        <v>2429585</v>
      </c>
      <c r="J2096" t="s">
        <v>14104</v>
      </c>
      <c r="K2096">
        <v>398</v>
      </c>
      <c r="L2096" t="s">
        <v>465</v>
      </c>
      <c r="M2096">
        <v>46</v>
      </c>
      <c r="N2096" t="str">
        <f>HYPERLINK("Gene2421-zp_tree_all.dnd", "Gene2421-tree")</f>
        <v>Gene2421-tree</v>
      </c>
      <c r="O2096">
        <v>9</v>
      </c>
      <c r="P2096">
        <v>7</v>
      </c>
      <c r="Q2096">
        <v>9</v>
      </c>
      <c r="R2096">
        <v>7</v>
      </c>
      <c r="S2096">
        <v>0.4375</v>
      </c>
      <c r="T2096" t="s">
        <v>135</v>
      </c>
      <c r="U2096" t="s">
        <v>152</v>
      </c>
      <c r="V2096" t="s">
        <v>62</v>
      </c>
      <c r="W2096" t="s">
        <v>62</v>
      </c>
      <c r="X2096">
        <v>3</v>
      </c>
      <c r="Y2096">
        <v>9</v>
      </c>
      <c r="Z2096">
        <v>9</v>
      </c>
      <c r="AA2096">
        <v>0.5</v>
      </c>
      <c r="AB2096">
        <v>0</v>
      </c>
      <c r="AC2096">
        <v>0</v>
      </c>
      <c r="AD2096">
        <v>0</v>
      </c>
      <c r="AE2096">
        <v>5</v>
      </c>
      <c r="AF2096">
        <v>0</v>
      </c>
      <c r="AG2096">
        <v>3</v>
      </c>
      <c r="AH2096">
        <v>0</v>
      </c>
      <c r="AI2096">
        <v>3</v>
      </c>
      <c r="AJ2096">
        <v>6</v>
      </c>
      <c r="AK2096">
        <v>0.33333000000000002</v>
      </c>
      <c r="AL2096">
        <v>13</v>
      </c>
      <c r="AM2096">
        <v>13</v>
      </c>
      <c r="AN2096">
        <v>26</v>
      </c>
      <c r="AO2096">
        <v>9</v>
      </c>
      <c r="AP2096">
        <v>75</v>
      </c>
      <c r="AQ2096">
        <v>9</v>
      </c>
      <c r="AR2096" t="s">
        <v>14105</v>
      </c>
      <c r="AS2096" t="s">
        <v>14106</v>
      </c>
      <c r="AT2096">
        <v>0.71799999999999997</v>
      </c>
      <c r="AU2096" t="s">
        <v>65</v>
      </c>
      <c r="AV2096">
        <v>101</v>
      </c>
      <c r="AW2096">
        <v>18</v>
      </c>
      <c r="AX2096" t="s">
        <v>14107</v>
      </c>
      <c r="AY2096">
        <v>7.8560000000000005E-2</v>
      </c>
      <c r="AZ2096">
        <v>-7.5700000000000003E-3</v>
      </c>
      <c r="BA2096">
        <v>3.2499999999999999E-3</v>
      </c>
      <c r="BB2096">
        <v>-2.2000000000000001E-4</v>
      </c>
      <c r="BC2096">
        <v>4.1390000000000003E-2</v>
      </c>
      <c r="BD2096">
        <v>1</v>
      </c>
      <c r="BE2096" t="s">
        <v>69</v>
      </c>
      <c r="BF2096">
        <v>-1.25</v>
      </c>
      <c r="BG2096">
        <v>0.73599999999999999</v>
      </c>
    </row>
    <row r="2097" spans="1:59">
      <c r="A2097">
        <v>0</v>
      </c>
      <c r="B2097">
        <v>23</v>
      </c>
      <c r="C2097">
        <v>4</v>
      </c>
      <c r="D2097" t="s">
        <v>25022</v>
      </c>
      <c r="E2097">
        <v>1430</v>
      </c>
      <c r="F2097" t="s">
        <v>8961</v>
      </c>
      <c r="G2097" t="s">
        <v>57</v>
      </c>
      <c r="H2097">
        <v>1444099</v>
      </c>
      <c r="I2097">
        <v>1445295</v>
      </c>
      <c r="J2097" t="s">
        <v>8962</v>
      </c>
      <c r="K2097">
        <v>399</v>
      </c>
      <c r="L2097" t="s">
        <v>8963</v>
      </c>
      <c r="M2097">
        <v>38</v>
      </c>
      <c r="N2097" t="str">
        <f>HYPERLINK("Gene1430-zp_tree_all.dnd", "Gene1430-tree")</f>
        <v>Gene1430-tree</v>
      </c>
      <c r="O2097">
        <v>2</v>
      </c>
      <c r="P2097">
        <v>12</v>
      </c>
      <c r="Q2097">
        <v>2</v>
      </c>
      <c r="R2097">
        <v>12</v>
      </c>
      <c r="S2097">
        <v>0.85714000000000001</v>
      </c>
      <c r="T2097" t="s">
        <v>81</v>
      </c>
      <c r="U2097" t="s">
        <v>109</v>
      </c>
      <c r="V2097" t="s">
        <v>62</v>
      </c>
      <c r="W2097" t="s">
        <v>62</v>
      </c>
      <c r="X2097">
        <v>10</v>
      </c>
      <c r="Y2097">
        <v>27</v>
      </c>
      <c r="Z2097">
        <v>29</v>
      </c>
      <c r="AA2097">
        <v>0.48214000000000001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10</v>
      </c>
      <c r="AH2097">
        <v>7</v>
      </c>
      <c r="AI2097">
        <v>17</v>
      </c>
      <c r="AJ2097">
        <v>30</v>
      </c>
      <c r="AK2097">
        <v>0.36170000000000002</v>
      </c>
      <c r="AL2097">
        <v>13</v>
      </c>
      <c r="AM2097">
        <v>8</v>
      </c>
      <c r="AN2097">
        <v>57</v>
      </c>
      <c r="AO2097">
        <v>48</v>
      </c>
      <c r="AP2097">
        <v>15</v>
      </c>
      <c r="AQ2097">
        <v>9</v>
      </c>
      <c r="AR2097" t="s">
        <v>8964</v>
      </c>
      <c r="AS2097" t="s">
        <v>8965</v>
      </c>
      <c r="AT2097">
        <v>0.214</v>
      </c>
      <c r="AU2097" t="s">
        <v>65</v>
      </c>
      <c r="AV2097">
        <v>72</v>
      </c>
      <c r="AW2097">
        <v>57</v>
      </c>
      <c r="AX2097" t="s">
        <v>8966</v>
      </c>
      <c r="AY2097">
        <v>4.2880000000000001E-2</v>
      </c>
      <c r="AZ2097">
        <v>-4.0000000000000001E-3</v>
      </c>
      <c r="BA2097">
        <v>9.3799999999999994E-3</v>
      </c>
      <c r="BB2097">
        <v>-6.6E-4</v>
      </c>
      <c r="BC2097">
        <v>0.21883</v>
      </c>
      <c r="BD2097">
        <v>1</v>
      </c>
      <c r="BE2097" t="s">
        <v>69</v>
      </c>
      <c r="BF2097">
        <v>-1.5149999999999999</v>
      </c>
      <c r="BG2097">
        <v>-3.4990000000000001</v>
      </c>
    </row>
    <row r="2098" spans="1:59">
      <c r="A2098">
        <v>0</v>
      </c>
      <c r="B2098">
        <v>2</v>
      </c>
      <c r="C2098">
        <v>0</v>
      </c>
      <c r="D2098" t="s">
        <v>25022</v>
      </c>
      <c r="E2098">
        <v>1354</v>
      </c>
      <c r="F2098" t="s">
        <v>8477</v>
      </c>
      <c r="G2098" t="s">
        <v>57</v>
      </c>
      <c r="H2098">
        <v>1372792</v>
      </c>
      <c r="I2098">
        <v>1373988</v>
      </c>
      <c r="J2098" t="s">
        <v>8478</v>
      </c>
      <c r="K2098">
        <v>399</v>
      </c>
      <c r="L2098" t="s">
        <v>108</v>
      </c>
      <c r="M2098">
        <v>44</v>
      </c>
      <c r="N2098" t="str">
        <f>HYPERLINK("Gene1354-zp_tree_all.dnd", "Gene1354-tree")</f>
        <v>Gene1354-tree</v>
      </c>
      <c r="O2098">
        <v>2</v>
      </c>
      <c r="P2098">
        <v>11</v>
      </c>
      <c r="Q2098">
        <v>2</v>
      </c>
      <c r="R2098">
        <v>11</v>
      </c>
      <c r="S2098">
        <v>0.84614999999999996</v>
      </c>
      <c r="T2098" t="s">
        <v>81</v>
      </c>
      <c r="U2098" t="s">
        <v>73</v>
      </c>
      <c r="V2098">
        <v>515075683.63</v>
      </c>
      <c r="W2098" t="s">
        <v>267</v>
      </c>
      <c r="X2098">
        <v>1</v>
      </c>
      <c r="Y2098">
        <v>2</v>
      </c>
      <c r="Z2098">
        <v>24</v>
      </c>
      <c r="AA2098">
        <v>7.6920000000000002E-2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</v>
      </c>
      <c r="AH2098">
        <v>0</v>
      </c>
      <c r="AI2098">
        <v>2</v>
      </c>
      <c r="AJ2098">
        <v>20</v>
      </c>
      <c r="AK2098">
        <v>9.0910000000000005E-2</v>
      </c>
      <c r="AL2098">
        <v>10</v>
      </c>
      <c r="AM2098">
        <v>6</v>
      </c>
      <c r="AN2098">
        <v>24</v>
      </c>
      <c r="AO2098">
        <v>21</v>
      </c>
      <c r="AP2098">
        <v>17</v>
      </c>
      <c r="AQ2098">
        <v>5</v>
      </c>
      <c r="AR2098" t="s">
        <v>8479</v>
      </c>
      <c r="AS2098" t="s">
        <v>8480</v>
      </c>
      <c r="AT2098">
        <v>1.1870000000000001</v>
      </c>
      <c r="AU2098" t="s">
        <v>65</v>
      </c>
      <c r="AV2098">
        <v>41</v>
      </c>
      <c r="AW2098">
        <v>26</v>
      </c>
      <c r="AX2098" t="s">
        <v>8481</v>
      </c>
      <c r="AY2098">
        <v>3.252E-2</v>
      </c>
      <c r="AZ2098">
        <v>-2.2799999999999999E-3</v>
      </c>
      <c r="BA2098">
        <v>5.0699999999999999E-3</v>
      </c>
      <c r="BB2098">
        <v>-2.7E-4</v>
      </c>
      <c r="BC2098">
        <v>0.15598000000000001</v>
      </c>
      <c r="BD2098">
        <v>1</v>
      </c>
      <c r="BE2098" t="s">
        <v>69</v>
      </c>
      <c r="BF2098">
        <v>-1.298</v>
      </c>
      <c r="BG2098">
        <v>-1.825</v>
      </c>
    </row>
    <row r="2099" spans="1:59">
      <c r="A2099">
        <v>0</v>
      </c>
      <c r="B2099">
        <v>16</v>
      </c>
      <c r="C2099">
        <v>0</v>
      </c>
      <c r="D2099" t="s">
        <v>25022</v>
      </c>
      <c r="E2099">
        <v>3905</v>
      </c>
      <c r="F2099" t="s">
        <v>22900</v>
      </c>
      <c r="G2099" t="s">
        <v>62</v>
      </c>
      <c r="H2099">
        <v>3868290</v>
      </c>
      <c r="I2099">
        <v>3869486</v>
      </c>
      <c r="J2099" t="s">
        <v>22901</v>
      </c>
      <c r="K2099">
        <v>399</v>
      </c>
      <c r="L2099" t="s">
        <v>2078</v>
      </c>
      <c r="M2099">
        <v>36</v>
      </c>
      <c r="N2099" t="str">
        <f>HYPERLINK("Gene3905-zp_tree_all.dnd", "Gene3905-tree")</f>
        <v>Gene3905-tree</v>
      </c>
      <c r="O2099">
        <v>6</v>
      </c>
      <c r="P2099">
        <v>9</v>
      </c>
      <c r="Q2099">
        <v>6</v>
      </c>
      <c r="R2099">
        <v>9</v>
      </c>
      <c r="S2099">
        <v>0.6</v>
      </c>
      <c r="T2099" t="s">
        <v>90</v>
      </c>
      <c r="U2099" t="s">
        <v>135</v>
      </c>
      <c r="V2099" t="s">
        <v>62</v>
      </c>
      <c r="W2099" t="s">
        <v>62</v>
      </c>
      <c r="X2099">
        <v>6</v>
      </c>
      <c r="Y2099">
        <v>16</v>
      </c>
      <c r="Z2099">
        <v>12</v>
      </c>
      <c r="AA2099">
        <v>0.57142999999999999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2</v>
      </c>
      <c r="AH2099">
        <v>0</v>
      </c>
      <c r="AI2099">
        <v>2</v>
      </c>
      <c r="AJ2099">
        <v>14</v>
      </c>
      <c r="AK2099">
        <v>0.125</v>
      </c>
      <c r="AL2099">
        <v>12</v>
      </c>
      <c r="AM2099">
        <v>12</v>
      </c>
      <c r="AN2099">
        <v>32</v>
      </c>
      <c r="AO2099">
        <v>15</v>
      </c>
      <c r="AP2099">
        <v>37</v>
      </c>
      <c r="AQ2099">
        <v>13</v>
      </c>
      <c r="AR2099" t="s">
        <v>22902</v>
      </c>
      <c r="AS2099" t="s">
        <v>22903</v>
      </c>
      <c r="AT2099">
        <v>0.29399999999999998</v>
      </c>
      <c r="AU2099" t="s">
        <v>65</v>
      </c>
      <c r="AV2099">
        <v>69</v>
      </c>
      <c r="AW2099">
        <v>28</v>
      </c>
      <c r="AX2099" t="s">
        <v>22904</v>
      </c>
      <c r="AY2099">
        <v>5.4030000000000002E-2</v>
      </c>
      <c r="AZ2099">
        <v>-1.92E-3</v>
      </c>
      <c r="BA2099">
        <v>5.1700000000000001E-3</v>
      </c>
      <c r="BB2099">
        <v>-2.9E-4</v>
      </c>
      <c r="BC2099">
        <v>9.5769999999999994E-2</v>
      </c>
      <c r="BD2099">
        <v>1</v>
      </c>
      <c r="BE2099" t="s">
        <v>69</v>
      </c>
      <c r="BF2099">
        <v>-0.63200000000000001</v>
      </c>
      <c r="BG2099">
        <v>-0.29199999999999998</v>
      </c>
    </row>
    <row r="2100" spans="1:59">
      <c r="A2100">
        <v>0</v>
      </c>
      <c r="B2100">
        <v>0</v>
      </c>
      <c r="C2100">
        <v>0</v>
      </c>
      <c r="D2100" t="s">
        <v>25022</v>
      </c>
      <c r="E2100">
        <v>2541</v>
      </c>
      <c r="F2100" t="s">
        <v>14850</v>
      </c>
      <c r="G2100" t="s">
        <v>62</v>
      </c>
      <c r="H2100">
        <v>2534329</v>
      </c>
      <c r="I2100">
        <v>2535525</v>
      </c>
      <c r="J2100" t="s">
        <v>14844</v>
      </c>
      <c r="K2100">
        <v>399</v>
      </c>
      <c r="L2100" t="s">
        <v>265</v>
      </c>
      <c r="M2100">
        <v>43</v>
      </c>
      <c r="N2100" t="str">
        <f>HYPERLINK("Gene2541-zp_tree_all.dnd", "Gene2541-tree")</f>
        <v>Gene2541-tree</v>
      </c>
      <c r="O2100">
        <v>9</v>
      </c>
      <c r="P2100">
        <v>5</v>
      </c>
      <c r="Q2100">
        <v>9</v>
      </c>
      <c r="R2100">
        <v>5</v>
      </c>
      <c r="S2100">
        <v>0.35714000000000001</v>
      </c>
      <c r="T2100" t="s">
        <v>135</v>
      </c>
      <c r="U2100" t="s">
        <v>199</v>
      </c>
      <c r="V2100" t="s">
        <v>62</v>
      </c>
      <c r="W2100" t="s">
        <v>62</v>
      </c>
      <c r="X2100">
        <v>0</v>
      </c>
      <c r="Y2100">
        <v>0</v>
      </c>
      <c r="Z2100">
        <v>6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5</v>
      </c>
      <c r="AK2100">
        <v>0</v>
      </c>
      <c r="AL2100">
        <v>11</v>
      </c>
      <c r="AM2100">
        <v>9</v>
      </c>
      <c r="AN2100">
        <v>51</v>
      </c>
      <c r="AO2100">
        <v>5</v>
      </c>
      <c r="AP2100">
        <v>24</v>
      </c>
      <c r="AQ2100">
        <v>1</v>
      </c>
      <c r="AR2100" t="s">
        <v>14851</v>
      </c>
      <c r="AS2100" t="s">
        <v>14852</v>
      </c>
      <c r="AT2100">
        <v>0.41299999999999998</v>
      </c>
      <c r="AU2100" t="s">
        <v>65</v>
      </c>
      <c r="AV2100">
        <v>75</v>
      </c>
      <c r="AW2100">
        <v>6</v>
      </c>
      <c r="AX2100" t="s">
        <v>14853</v>
      </c>
      <c r="AY2100">
        <v>4.5710000000000001E-2</v>
      </c>
      <c r="AZ2100">
        <v>-2.7000000000000001E-3</v>
      </c>
      <c r="BA2100">
        <v>1.09E-3</v>
      </c>
      <c r="BB2100">
        <v>-1E-4</v>
      </c>
      <c r="BC2100">
        <v>2.376E-2</v>
      </c>
      <c r="BD2100">
        <v>1</v>
      </c>
      <c r="BE2100" t="s">
        <v>69</v>
      </c>
      <c r="BF2100">
        <v>-1.3919999999999999</v>
      </c>
      <c r="BG2100">
        <v>-2.331</v>
      </c>
    </row>
    <row r="2101" spans="1:59">
      <c r="A2101">
        <v>0</v>
      </c>
      <c r="B2101">
        <v>11</v>
      </c>
      <c r="C2101">
        <v>1</v>
      </c>
      <c r="D2101" t="s">
        <v>25022</v>
      </c>
      <c r="E2101">
        <v>863</v>
      </c>
      <c r="F2101" t="s">
        <v>5385</v>
      </c>
      <c r="G2101" t="s">
        <v>57</v>
      </c>
      <c r="H2101">
        <v>903811</v>
      </c>
      <c r="I2101">
        <v>905010</v>
      </c>
      <c r="J2101" t="s">
        <v>5386</v>
      </c>
      <c r="K2101">
        <v>400</v>
      </c>
      <c r="L2101" t="s">
        <v>5387</v>
      </c>
      <c r="M2101">
        <v>38</v>
      </c>
      <c r="N2101" t="str">
        <f>HYPERLINK("Gene863-zp_tree_all.dnd", "Gene863-tree")</f>
        <v>Gene863-tree</v>
      </c>
      <c r="O2101">
        <v>3</v>
      </c>
      <c r="P2101">
        <v>8</v>
      </c>
      <c r="Q2101">
        <v>3</v>
      </c>
      <c r="R2101">
        <v>8</v>
      </c>
      <c r="S2101">
        <v>0.72726999999999997</v>
      </c>
      <c r="T2101" t="s">
        <v>324</v>
      </c>
      <c r="U2101" t="s">
        <v>136</v>
      </c>
      <c r="V2101" t="s">
        <v>62</v>
      </c>
      <c r="W2101" t="s">
        <v>62</v>
      </c>
      <c r="X2101">
        <v>5</v>
      </c>
      <c r="Y2101">
        <v>12</v>
      </c>
      <c r="Z2101">
        <v>18</v>
      </c>
      <c r="AA2101">
        <v>0.4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</v>
      </c>
      <c r="AH2101">
        <v>4</v>
      </c>
      <c r="AI2101">
        <v>6</v>
      </c>
      <c r="AJ2101">
        <v>19</v>
      </c>
      <c r="AK2101">
        <v>0.24</v>
      </c>
      <c r="AL2101">
        <v>10</v>
      </c>
      <c r="AM2101">
        <v>7</v>
      </c>
      <c r="AN2101">
        <v>48</v>
      </c>
      <c r="AO2101">
        <v>26</v>
      </c>
      <c r="AP2101">
        <v>16</v>
      </c>
      <c r="AQ2101">
        <v>5</v>
      </c>
      <c r="AR2101" t="s">
        <v>5388</v>
      </c>
      <c r="AS2101" t="s">
        <v>5389</v>
      </c>
      <c r="AT2101">
        <v>0.45100000000000001</v>
      </c>
      <c r="AU2101" t="s">
        <v>65</v>
      </c>
      <c r="AV2101">
        <v>64</v>
      </c>
      <c r="AW2101">
        <v>31</v>
      </c>
      <c r="AX2101" t="s">
        <v>5390</v>
      </c>
      <c r="AY2101">
        <v>5.7680000000000002E-2</v>
      </c>
      <c r="AZ2101">
        <v>-4.3400000000000001E-3</v>
      </c>
      <c r="BA2101">
        <v>6.5799999999999999E-3</v>
      </c>
      <c r="BB2101">
        <v>-5.1999999999999995E-4</v>
      </c>
      <c r="BC2101">
        <v>0.114</v>
      </c>
      <c r="BD2101">
        <v>1</v>
      </c>
      <c r="BE2101" t="s">
        <v>69</v>
      </c>
      <c r="BF2101">
        <v>-1.157</v>
      </c>
      <c r="BG2101">
        <v>-2.11</v>
      </c>
    </row>
    <row r="2102" spans="1:59">
      <c r="A2102">
        <v>0</v>
      </c>
      <c r="B2102">
        <v>3</v>
      </c>
      <c r="C2102">
        <v>0</v>
      </c>
      <c r="D2102" t="s">
        <v>25022</v>
      </c>
      <c r="E2102">
        <v>2358</v>
      </c>
      <c r="F2102" t="s">
        <v>13700</v>
      </c>
      <c r="G2102" t="s">
        <v>62</v>
      </c>
      <c r="H2102">
        <v>2372307</v>
      </c>
      <c r="I2102">
        <v>2373506</v>
      </c>
      <c r="J2102" t="s">
        <v>13701</v>
      </c>
      <c r="K2102">
        <v>400</v>
      </c>
      <c r="L2102" t="s">
        <v>13679</v>
      </c>
      <c r="M2102">
        <v>39</v>
      </c>
      <c r="N2102" t="str">
        <f>HYPERLINK("Gene2358-zp_tree_all.dnd", "Gene2358-tree")</f>
        <v>Gene2358-tree</v>
      </c>
      <c r="O2102">
        <v>10</v>
      </c>
      <c r="P2102">
        <v>4</v>
      </c>
      <c r="Q2102">
        <v>10</v>
      </c>
      <c r="R2102">
        <v>4</v>
      </c>
      <c r="S2102">
        <v>0.28571000000000002</v>
      </c>
      <c r="T2102" t="s">
        <v>117</v>
      </c>
      <c r="U2102" t="s">
        <v>61</v>
      </c>
      <c r="V2102" t="s">
        <v>62</v>
      </c>
      <c r="W2102" t="s">
        <v>62</v>
      </c>
      <c r="X2102">
        <v>1</v>
      </c>
      <c r="Y2102">
        <v>3</v>
      </c>
      <c r="Z2102">
        <v>4</v>
      </c>
      <c r="AA2102">
        <v>0.42857000000000001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</v>
      </c>
      <c r="AH2102">
        <v>0</v>
      </c>
      <c r="AI2102">
        <v>2</v>
      </c>
      <c r="AJ2102">
        <v>3</v>
      </c>
      <c r="AK2102">
        <v>0.4</v>
      </c>
      <c r="AL2102">
        <v>13</v>
      </c>
      <c r="AM2102">
        <v>6</v>
      </c>
      <c r="AN2102">
        <v>34</v>
      </c>
      <c r="AO2102">
        <v>5</v>
      </c>
      <c r="AP2102">
        <v>9</v>
      </c>
      <c r="AQ2102">
        <v>2</v>
      </c>
      <c r="AR2102" t="s">
        <v>13702</v>
      </c>
      <c r="AS2102" t="s">
        <v>13703</v>
      </c>
      <c r="AT2102">
        <v>0.314</v>
      </c>
      <c r="AU2102" t="s">
        <v>65</v>
      </c>
      <c r="AV2102">
        <v>43</v>
      </c>
      <c r="AW2102">
        <v>7</v>
      </c>
      <c r="AX2102" t="s">
        <v>13704</v>
      </c>
      <c r="AY2102">
        <v>2.453E-2</v>
      </c>
      <c r="AZ2102">
        <v>-1.2899999999999999E-3</v>
      </c>
      <c r="BA2102">
        <v>1.33E-3</v>
      </c>
      <c r="BB2102">
        <v>-1.1E-4</v>
      </c>
      <c r="BC2102">
        <v>5.423E-2</v>
      </c>
      <c r="BD2102">
        <v>1</v>
      </c>
      <c r="BE2102" t="s">
        <v>69</v>
      </c>
      <c r="BF2102">
        <v>-0.21099999999999999</v>
      </c>
      <c r="BG2102">
        <v>-1.181</v>
      </c>
    </row>
    <row r="2103" spans="1:59">
      <c r="A2103">
        <v>0</v>
      </c>
      <c r="B2103">
        <v>4</v>
      </c>
      <c r="C2103">
        <v>0</v>
      </c>
      <c r="D2103" t="s">
        <v>25022</v>
      </c>
      <c r="E2103">
        <v>296</v>
      </c>
      <c r="F2103" t="s">
        <v>2018</v>
      </c>
      <c r="G2103" t="s">
        <v>57</v>
      </c>
      <c r="H2103">
        <v>317725</v>
      </c>
      <c r="I2103">
        <v>318924</v>
      </c>
      <c r="J2103" t="s">
        <v>2019</v>
      </c>
      <c r="K2103">
        <v>400</v>
      </c>
      <c r="L2103" t="s">
        <v>108</v>
      </c>
      <c r="M2103">
        <v>44</v>
      </c>
      <c r="N2103" t="str">
        <f>HYPERLINK("Gene296-zp_tree_all.dnd", "Gene296-tree")</f>
        <v>Gene296-tree</v>
      </c>
      <c r="O2103">
        <v>7</v>
      </c>
      <c r="P2103">
        <v>7</v>
      </c>
      <c r="Q2103">
        <v>7</v>
      </c>
      <c r="R2103">
        <v>7</v>
      </c>
      <c r="S2103">
        <v>0.5</v>
      </c>
      <c r="T2103" t="s">
        <v>152</v>
      </c>
      <c r="U2103" t="s">
        <v>152</v>
      </c>
      <c r="V2103" t="s">
        <v>62</v>
      </c>
      <c r="W2103" t="s">
        <v>62</v>
      </c>
      <c r="X2103">
        <v>2</v>
      </c>
      <c r="Y2103">
        <v>4</v>
      </c>
      <c r="Z2103">
        <v>8</v>
      </c>
      <c r="AA2103">
        <v>0.33333000000000002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</v>
      </c>
      <c r="AH2103">
        <v>0</v>
      </c>
      <c r="AI2103">
        <v>2</v>
      </c>
      <c r="AJ2103">
        <v>8</v>
      </c>
      <c r="AK2103">
        <v>0.2</v>
      </c>
      <c r="AL2103">
        <v>14</v>
      </c>
      <c r="AM2103">
        <v>9</v>
      </c>
      <c r="AN2103">
        <v>48</v>
      </c>
      <c r="AO2103">
        <v>10</v>
      </c>
      <c r="AP2103">
        <v>29</v>
      </c>
      <c r="AQ2103">
        <v>2</v>
      </c>
      <c r="AR2103" t="s">
        <v>2020</v>
      </c>
      <c r="AS2103" t="s">
        <v>2021</v>
      </c>
      <c r="AT2103">
        <v>1.008</v>
      </c>
      <c r="AU2103" t="s">
        <v>65</v>
      </c>
      <c r="AV2103">
        <v>77</v>
      </c>
      <c r="AW2103">
        <v>12</v>
      </c>
      <c r="AX2103" t="s">
        <v>2022</v>
      </c>
      <c r="AY2103">
        <v>4.3770000000000003E-2</v>
      </c>
      <c r="AZ2103">
        <v>-1.64E-3</v>
      </c>
      <c r="BA2103">
        <v>2.2599999999999999E-3</v>
      </c>
      <c r="BB2103">
        <v>-1.4999999999999999E-4</v>
      </c>
      <c r="BC2103">
        <v>5.1569999999999998E-2</v>
      </c>
      <c r="BD2103">
        <v>1</v>
      </c>
      <c r="BE2103" t="s">
        <v>69</v>
      </c>
      <c r="BF2103">
        <v>-0.20499999999999999</v>
      </c>
      <c r="BG2103">
        <v>-0.123</v>
      </c>
    </row>
    <row r="2104" spans="1:59">
      <c r="A2104">
        <v>0</v>
      </c>
      <c r="B2104">
        <v>2</v>
      </c>
      <c r="C2104">
        <v>1</v>
      </c>
      <c r="D2104" t="s">
        <v>25022</v>
      </c>
      <c r="E2104">
        <v>3171</v>
      </c>
      <c r="F2104" t="s">
        <v>18439</v>
      </c>
      <c r="G2104" t="s">
        <v>62</v>
      </c>
      <c r="H2104">
        <v>3127828</v>
      </c>
      <c r="I2104">
        <v>3129027</v>
      </c>
      <c r="J2104" t="s">
        <v>18440</v>
      </c>
      <c r="K2104">
        <v>400</v>
      </c>
      <c r="L2104" t="s">
        <v>59</v>
      </c>
      <c r="M2104">
        <v>49</v>
      </c>
      <c r="N2104" t="str">
        <f>HYPERLINK("Gene3171-zp_tree_all.dnd", "Gene3171-tree")</f>
        <v>Gene3171-tree</v>
      </c>
      <c r="O2104">
        <v>16</v>
      </c>
      <c r="P2104">
        <v>3</v>
      </c>
      <c r="Q2104">
        <v>16</v>
      </c>
      <c r="R2104">
        <v>3</v>
      </c>
      <c r="S2104">
        <v>0.15789</v>
      </c>
      <c r="T2104" t="s">
        <v>60</v>
      </c>
      <c r="U2104" t="s">
        <v>324</v>
      </c>
      <c r="V2104" t="s">
        <v>62</v>
      </c>
      <c r="W2104" t="s">
        <v>62</v>
      </c>
      <c r="X2104">
        <v>1</v>
      </c>
      <c r="Y2104">
        <v>3</v>
      </c>
      <c r="Z2104">
        <v>2</v>
      </c>
      <c r="AA2104">
        <v>0.6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</v>
      </c>
      <c r="AH2104">
        <v>1</v>
      </c>
      <c r="AI2104">
        <v>3</v>
      </c>
      <c r="AJ2104">
        <v>2</v>
      </c>
      <c r="AK2104">
        <v>0.6</v>
      </c>
      <c r="AL2104">
        <v>15</v>
      </c>
      <c r="AM2104">
        <v>11</v>
      </c>
      <c r="AN2104">
        <v>48</v>
      </c>
      <c r="AO2104">
        <v>5</v>
      </c>
      <c r="AP2104">
        <v>60</v>
      </c>
      <c r="AQ2104">
        <v>0</v>
      </c>
      <c r="AR2104" t="s">
        <v>18441</v>
      </c>
      <c r="AS2104" t="s">
        <v>193</v>
      </c>
      <c r="AT2104">
        <v>0.58099999999999996</v>
      </c>
      <c r="AU2104" t="s">
        <v>65</v>
      </c>
      <c r="AV2104">
        <v>108</v>
      </c>
      <c r="AW2104">
        <v>5</v>
      </c>
      <c r="AX2104" t="s">
        <v>18442</v>
      </c>
      <c r="AY2104">
        <v>8.2369999999999999E-2</v>
      </c>
      <c r="AZ2104">
        <v>-5.2700000000000004E-3</v>
      </c>
      <c r="BA2104">
        <v>5.5999999999999995E-4</v>
      </c>
      <c r="BB2104">
        <v>-8.0000000000000007E-5</v>
      </c>
      <c r="BC2104">
        <v>6.8500000000000002E-3</v>
      </c>
      <c r="BD2104">
        <v>1</v>
      </c>
      <c r="BE2104" t="s">
        <v>69</v>
      </c>
      <c r="BF2104">
        <v>-1.4490000000000001</v>
      </c>
      <c r="BG2104">
        <v>-1.127</v>
      </c>
    </row>
    <row r="2105" spans="1:59">
      <c r="A2105">
        <v>0</v>
      </c>
      <c r="B2105">
        <v>16</v>
      </c>
      <c r="C2105">
        <v>0</v>
      </c>
      <c r="D2105" t="s">
        <v>25022</v>
      </c>
      <c r="E2105">
        <v>4179</v>
      </c>
      <c r="F2105" t="s">
        <v>24603</v>
      </c>
      <c r="G2105" t="s">
        <v>62</v>
      </c>
      <c r="H2105">
        <v>4144304</v>
      </c>
      <c r="I2105">
        <v>4145506</v>
      </c>
      <c r="J2105" t="s">
        <v>24604</v>
      </c>
      <c r="K2105">
        <v>401</v>
      </c>
      <c r="L2105" t="s">
        <v>72</v>
      </c>
      <c r="M2105">
        <v>45</v>
      </c>
      <c r="N2105" t="str">
        <f>HYPERLINK("Gene4179-zp_tree_all.dnd", "Gene4179-tree")</f>
        <v>Gene4179-tree</v>
      </c>
      <c r="O2105">
        <v>4</v>
      </c>
      <c r="P2105">
        <v>30</v>
      </c>
      <c r="Q2105">
        <v>4</v>
      </c>
      <c r="R2105">
        <v>12</v>
      </c>
      <c r="S2105">
        <v>0.75</v>
      </c>
      <c r="T2105" t="s">
        <v>61</v>
      </c>
      <c r="U2105" t="s">
        <v>23505</v>
      </c>
      <c r="V2105">
        <v>1.5469999999999999</v>
      </c>
      <c r="W2105" t="s">
        <v>65</v>
      </c>
      <c r="X2105">
        <v>4</v>
      </c>
      <c r="Y2105">
        <v>16</v>
      </c>
      <c r="Z2105">
        <v>6</v>
      </c>
      <c r="AA2105">
        <v>0.72726999999999997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2</v>
      </c>
      <c r="AI2105">
        <v>12</v>
      </c>
      <c r="AJ2105">
        <v>5</v>
      </c>
      <c r="AK2105">
        <v>0.70587999999999995</v>
      </c>
      <c r="AL2105">
        <v>15</v>
      </c>
      <c r="AM2105">
        <v>13</v>
      </c>
      <c r="AN2105">
        <v>112</v>
      </c>
      <c r="AO2105">
        <v>16</v>
      </c>
      <c r="AP2105">
        <v>47</v>
      </c>
      <c r="AQ2105">
        <v>6</v>
      </c>
      <c r="AR2105" t="s">
        <v>24605</v>
      </c>
      <c r="AS2105" t="s">
        <v>24606</v>
      </c>
      <c r="AT2105">
        <v>9.8000000000000004E-2</v>
      </c>
      <c r="AU2105" t="s">
        <v>65</v>
      </c>
      <c r="AV2105">
        <v>159</v>
      </c>
      <c r="AW2105">
        <v>22</v>
      </c>
      <c r="AX2105" t="s">
        <v>24607</v>
      </c>
      <c r="AY2105">
        <v>8.6730000000000002E-2</v>
      </c>
      <c r="AZ2105">
        <v>-4.45E-3</v>
      </c>
      <c r="BA2105">
        <v>2.9199999999999999E-3</v>
      </c>
      <c r="BB2105">
        <v>-1.1E-4</v>
      </c>
      <c r="BC2105">
        <v>3.3709999999999997E-2</v>
      </c>
      <c r="BD2105">
        <v>1</v>
      </c>
      <c r="BE2105" t="s">
        <v>69</v>
      </c>
      <c r="BF2105">
        <v>-0.67300000000000004</v>
      </c>
      <c r="BG2105">
        <v>-2.613</v>
      </c>
    </row>
    <row r="2106" spans="1:59">
      <c r="A2106">
        <v>0</v>
      </c>
      <c r="B2106">
        <v>2</v>
      </c>
      <c r="C2106">
        <v>0</v>
      </c>
      <c r="D2106" t="s">
        <v>25022</v>
      </c>
      <c r="E2106">
        <v>334</v>
      </c>
      <c r="F2106" t="s">
        <v>2280</v>
      </c>
      <c r="G2106" t="s">
        <v>57</v>
      </c>
      <c r="H2106">
        <v>362937</v>
      </c>
      <c r="I2106">
        <v>364139</v>
      </c>
      <c r="J2106" t="s">
        <v>2281</v>
      </c>
      <c r="K2106">
        <v>401</v>
      </c>
      <c r="L2106" t="s">
        <v>108</v>
      </c>
      <c r="M2106">
        <v>44</v>
      </c>
      <c r="N2106" t="str">
        <f>HYPERLINK("Gene334-zp_tree_all.dnd", "Gene334-tree")</f>
        <v>Gene334-tree</v>
      </c>
      <c r="O2106">
        <v>9</v>
      </c>
      <c r="P2106">
        <v>6</v>
      </c>
      <c r="Q2106">
        <v>9</v>
      </c>
      <c r="R2106">
        <v>6</v>
      </c>
      <c r="S2106">
        <v>0.4</v>
      </c>
      <c r="T2106" t="s">
        <v>135</v>
      </c>
      <c r="U2106" t="s">
        <v>90</v>
      </c>
      <c r="V2106" t="s">
        <v>62</v>
      </c>
      <c r="W2106" t="s">
        <v>62</v>
      </c>
      <c r="X2106">
        <v>1</v>
      </c>
      <c r="Y2106">
        <v>2</v>
      </c>
      <c r="Z2106">
        <v>7</v>
      </c>
      <c r="AA2106">
        <v>0.22222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8</v>
      </c>
      <c r="AK2106">
        <v>0</v>
      </c>
      <c r="AL2106">
        <v>13</v>
      </c>
      <c r="AM2106">
        <v>11</v>
      </c>
      <c r="AN2106">
        <v>64</v>
      </c>
      <c r="AO2106">
        <v>8</v>
      </c>
      <c r="AP2106">
        <v>27</v>
      </c>
      <c r="AQ2106">
        <v>1</v>
      </c>
      <c r="AR2106" t="s">
        <v>2282</v>
      </c>
      <c r="AS2106" t="s">
        <v>2283</v>
      </c>
      <c r="AT2106">
        <v>0.64300000000000002</v>
      </c>
      <c r="AU2106" t="s">
        <v>65</v>
      </c>
      <c r="AV2106">
        <v>91</v>
      </c>
      <c r="AW2106">
        <v>9</v>
      </c>
      <c r="AX2106" t="s">
        <v>2284</v>
      </c>
      <c r="AY2106">
        <v>4.9680000000000002E-2</v>
      </c>
      <c r="AZ2106">
        <v>-1.82E-3</v>
      </c>
      <c r="BA2106">
        <v>1.65E-3</v>
      </c>
      <c r="BB2106">
        <v>-1.2E-4</v>
      </c>
      <c r="BC2106">
        <v>3.313E-2</v>
      </c>
      <c r="BD2106">
        <v>1</v>
      </c>
      <c r="BE2106" t="s">
        <v>69</v>
      </c>
      <c r="BF2106">
        <v>-0.42299999999999999</v>
      </c>
      <c r="BG2106">
        <v>-2.3079999999999998</v>
      </c>
    </row>
    <row r="2107" spans="1:59">
      <c r="A2107">
        <v>0</v>
      </c>
      <c r="B2107">
        <v>0</v>
      </c>
      <c r="C2107">
        <v>0</v>
      </c>
      <c r="D2107" t="s">
        <v>25022</v>
      </c>
      <c r="E2107">
        <v>3076</v>
      </c>
      <c r="F2107" t="s">
        <v>17820</v>
      </c>
      <c r="G2107" t="s">
        <v>62</v>
      </c>
      <c r="H2107">
        <v>3025751</v>
      </c>
      <c r="I2107">
        <v>3026953</v>
      </c>
      <c r="J2107" t="s">
        <v>17821</v>
      </c>
      <c r="K2107">
        <v>401</v>
      </c>
      <c r="L2107" t="s">
        <v>108</v>
      </c>
      <c r="M2107">
        <v>44</v>
      </c>
      <c r="N2107" t="str">
        <f>HYPERLINK("Gene3076-zp_tree_all.dnd", "Gene3076-tree")</f>
        <v>Gene3076-tree</v>
      </c>
      <c r="O2107">
        <v>7</v>
      </c>
      <c r="P2107">
        <v>6</v>
      </c>
      <c r="Q2107">
        <v>7</v>
      </c>
      <c r="R2107">
        <v>6</v>
      </c>
      <c r="S2107">
        <v>0.46154000000000001</v>
      </c>
      <c r="T2107" t="s">
        <v>152</v>
      </c>
      <c r="U2107" t="s">
        <v>90</v>
      </c>
      <c r="V2107" t="s">
        <v>62</v>
      </c>
      <c r="W2107" t="s">
        <v>62</v>
      </c>
      <c r="X2107">
        <v>0</v>
      </c>
      <c r="Y2107">
        <v>0</v>
      </c>
      <c r="Z2107">
        <v>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</v>
      </c>
      <c r="AK2107">
        <v>0</v>
      </c>
      <c r="AL2107">
        <v>12</v>
      </c>
      <c r="AM2107">
        <v>8</v>
      </c>
      <c r="AN2107">
        <v>36</v>
      </c>
      <c r="AO2107">
        <v>7</v>
      </c>
      <c r="AP2107">
        <v>17</v>
      </c>
      <c r="AQ2107">
        <v>0</v>
      </c>
      <c r="AR2107" t="s">
        <v>17822</v>
      </c>
      <c r="AS2107" t="s">
        <v>193</v>
      </c>
      <c r="AT2107">
        <v>2.09</v>
      </c>
      <c r="AU2107" t="s">
        <v>267</v>
      </c>
      <c r="AV2107">
        <v>53</v>
      </c>
      <c r="AW2107">
        <v>7</v>
      </c>
      <c r="AX2107" t="s">
        <v>15609</v>
      </c>
      <c r="AY2107">
        <v>3.7949999999999998E-2</v>
      </c>
      <c r="AZ2107">
        <v>-1.5200000000000001E-3</v>
      </c>
      <c r="BA2107">
        <v>1.15E-3</v>
      </c>
      <c r="BB2107">
        <v>-1E-4</v>
      </c>
      <c r="BC2107">
        <v>3.039E-2</v>
      </c>
      <c r="BD2107">
        <v>1</v>
      </c>
      <c r="BE2107" t="s">
        <v>69</v>
      </c>
      <c r="BF2107">
        <v>-0.84299999999999997</v>
      </c>
      <c r="BG2107">
        <v>-1.1080000000000001</v>
      </c>
    </row>
    <row r="2108" spans="1:59">
      <c r="A2108">
        <v>0</v>
      </c>
      <c r="B2108">
        <v>0</v>
      </c>
      <c r="C2108">
        <v>0</v>
      </c>
      <c r="D2108" t="s">
        <v>25022</v>
      </c>
      <c r="E2108">
        <v>2656</v>
      </c>
      <c r="F2108" t="s">
        <v>15569</v>
      </c>
      <c r="G2108" t="s">
        <v>62</v>
      </c>
      <c r="H2108">
        <v>2633240</v>
      </c>
      <c r="I2108">
        <v>2634442</v>
      </c>
      <c r="J2108" t="s">
        <v>15570</v>
      </c>
      <c r="K2108">
        <v>401</v>
      </c>
      <c r="L2108" t="s">
        <v>265</v>
      </c>
      <c r="M2108">
        <v>43</v>
      </c>
      <c r="N2108" t="str">
        <f>HYPERLINK("Gene2656-zp_tree_all.dnd", "Gene2656-tree")</f>
        <v>Gene2656-tree</v>
      </c>
      <c r="O2108">
        <v>10</v>
      </c>
      <c r="P2108">
        <v>3</v>
      </c>
      <c r="Q2108">
        <v>10</v>
      </c>
      <c r="R2108">
        <v>3</v>
      </c>
      <c r="S2108">
        <v>0.23077</v>
      </c>
      <c r="T2108" t="s">
        <v>117</v>
      </c>
      <c r="U2108" t="s">
        <v>324</v>
      </c>
      <c r="V2108" t="s">
        <v>62</v>
      </c>
      <c r="W2108" t="s">
        <v>62</v>
      </c>
      <c r="X2108">
        <v>0</v>
      </c>
      <c r="Y2108">
        <v>0</v>
      </c>
      <c r="Z2108">
        <v>4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3</v>
      </c>
      <c r="AK2108">
        <v>0</v>
      </c>
      <c r="AL2108">
        <v>11</v>
      </c>
      <c r="AM2108">
        <v>8</v>
      </c>
      <c r="AN2108">
        <v>36</v>
      </c>
      <c r="AO2108">
        <v>3</v>
      </c>
      <c r="AP2108">
        <v>34</v>
      </c>
      <c r="AQ2108">
        <v>1</v>
      </c>
      <c r="AR2108" t="s">
        <v>15571</v>
      </c>
      <c r="AS2108" t="s">
        <v>15572</v>
      </c>
      <c r="AT2108">
        <v>0.50800000000000001</v>
      </c>
      <c r="AU2108" t="s">
        <v>65</v>
      </c>
      <c r="AV2108">
        <v>70</v>
      </c>
      <c r="AW2108">
        <v>4</v>
      </c>
      <c r="AX2108" t="s">
        <v>15573</v>
      </c>
      <c r="AY2108">
        <v>4.6780000000000002E-2</v>
      </c>
      <c r="AZ2108">
        <v>-1.4499999999999999E-3</v>
      </c>
      <c r="BA2108">
        <v>8.0000000000000004E-4</v>
      </c>
      <c r="BB2108">
        <v>-8.0000000000000007E-5</v>
      </c>
      <c r="BC2108">
        <v>1.7160000000000002E-2</v>
      </c>
      <c r="BD2108">
        <v>1</v>
      </c>
      <c r="BE2108" t="s">
        <v>69</v>
      </c>
      <c r="BF2108">
        <v>0.13600000000000001</v>
      </c>
      <c r="BG2108">
        <v>0.36899999999999999</v>
      </c>
    </row>
    <row r="2109" spans="1:59">
      <c r="A2109">
        <v>0</v>
      </c>
      <c r="B2109">
        <v>12</v>
      </c>
      <c r="C2109">
        <v>1</v>
      </c>
      <c r="D2109" t="s">
        <v>25022</v>
      </c>
      <c r="E2109">
        <v>4138</v>
      </c>
      <c r="F2109" t="s">
        <v>24349</v>
      </c>
      <c r="G2109" t="s">
        <v>62</v>
      </c>
      <c r="H2109">
        <v>4104932</v>
      </c>
      <c r="I2109">
        <v>4106137</v>
      </c>
      <c r="J2109" t="s">
        <v>24350</v>
      </c>
      <c r="K2109">
        <v>402</v>
      </c>
      <c r="L2109" t="s">
        <v>1933</v>
      </c>
      <c r="M2109">
        <v>39</v>
      </c>
      <c r="N2109" t="str">
        <f>HYPERLINK("Gene4138-zp_tree_all.dnd", "Gene4138-tree")</f>
        <v>Gene4138-tree</v>
      </c>
      <c r="O2109">
        <v>0</v>
      </c>
      <c r="P2109">
        <v>13</v>
      </c>
      <c r="Q2109">
        <v>0</v>
      </c>
      <c r="R2109">
        <v>13</v>
      </c>
      <c r="S2109">
        <v>1</v>
      </c>
      <c r="T2109" t="s">
        <v>62</v>
      </c>
      <c r="U2109" t="s">
        <v>507</v>
      </c>
      <c r="V2109" t="s">
        <v>62</v>
      </c>
      <c r="W2109" t="s">
        <v>62</v>
      </c>
      <c r="X2109">
        <v>5</v>
      </c>
      <c r="Y2109">
        <v>13</v>
      </c>
      <c r="Z2109">
        <v>32</v>
      </c>
      <c r="AA2109">
        <v>0.28888999999999998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9</v>
      </c>
      <c r="AH2109">
        <v>3</v>
      </c>
      <c r="AI2109">
        <v>12</v>
      </c>
      <c r="AJ2109">
        <v>27</v>
      </c>
      <c r="AK2109">
        <v>0.30769000000000002</v>
      </c>
      <c r="AL2109">
        <v>13</v>
      </c>
      <c r="AM2109">
        <v>8</v>
      </c>
      <c r="AN2109">
        <v>63</v>
      </c>
      <c r="AO2109">
        <v>39</v>
      </c>
      <c r="AP2109">
        <v>22</v>
      </c>
      <c r="AQ2109">
        <v>6</v>
      </c>
      <c r="AR2109" t="s">
        <v>24351</v>
      </c>
      <c r="AS2109" t="s">
        <v>24352</v>
      </c>
      <c r="AT2109">
        <v>1.0529999999999999</v>
      </c>
      <c r="AU2109" t="s">
        <v>65</v>
      </c>
      <c r="AV2109">
        <v>85</v>
      </c>
      <c r="AW2109">
        <v>45</v>
      </c>
      <c r="AX2109" t="s">
        <v>24353</v>
      </c>
      <c r="AY2109">
        <v>5.6950000000000001E-2</v>
      </c>
      <c r="AZ2109">
        <v>-3.0699999999999998E-3</v>
      </c>
      <c r="BA2109">
        <v>9.1800000000000007E-3</v>
      </c>
      <c r="BB2109">
        <v>-4.0000000000000002E-4</v>
      </c>
      <c r="BC2109">
        <v>0.16113</v>
      </c>
      <c r="BD2109">
        <v>1</v>
      </c>
      <c r="BE2109" t="s">
        <v>69</v>
      </c>
      <c r="BF2109">
        <v>-1.246</v>
      </c>
      <c r="BG2109">
        <v>-1.9550000000000001</v>
      </c>
    </row>
    <row r="2110" spans="1:59">
      <c r="A2110">
        <v>0</v>
      </c>
      <c r="B2110">
        <v>4</v>
      </c>
      <c r="C2110">
        <v>0</v>
      </c>
      <c r="D2110" t="s">
        <v>25022</v>
      </c>
      <c r="E2110">
        <v>586</v>
      </c>
      <c r="F2110" t="s">
        <v>3771</v>
      </c>
      <c r="G2110" t="s">
        <v>57</v>
      </c>
      <c r="H2110">
        <v>613641</v>
      </c>
      <c r="I2110">
        <v>614846</v>
      </c>
      <c r="J2110" t="s">
        <v>2641</v>
      </c>
      <c r="K2110">
        <v>402</v>
      </c>
      <c r="L2110" t="s">
        <v>108</v>
      </c>
      <c r="M2110">
        <v>44</v>
      </c>
      <c r="N2110" t="str">
        <f>HYPERLINK("Gene586-zp_tree_all.dnd", "Gene586-tree")</f>
        <v>Gene586-tree</v>
      </c>
      <c r="O2110">
        <v>10</v>
      </c>
      <c r="P2110">
        <v>4</v>
      </c>
      <c r="Q2110">
        <v>10</v>
      </c>
      <c r="R2110">
        <v>4</v>
      </c>
      <c r="S2110">
        <v>0.28571000000000002</v>
      </c>
      <c r="T2110" t="s">
        <v>117</v>
      </c>
      <c r="U2110" t="s">
        <v>61</v>
      </c>
      <c r="V2110" t="s">
        <v>62</v>
      </c>
      <c r="W2110" t="s">
        <v>62</v>
      </c>
      <c r="X2110">
        <v>2</v>
      </c>
      <c r="Y2110">
        <v>4</v>
      </c>
      <c r="Z2110">
        <v>2</v>
      </c>
      <c r="AA2110">
        <v>0.66666999999999998</v>
      </c>
      <c r="AB2110">
        <v>0</v>
      </c>
      <c r="AC2110">
        <v>0</v>
      </c>
      <c r="AD2110">
        <v>0</v>
      </c>
      <c r="AE2110">
        <v>2</v>
      </c>
      <c r="AF2110">
        <v>0</v>
      </c>
      <c r="AG2110">
        <v>0</v>
      </c>
      <c r="AH2110">
        <v>0</v>
      </c>
      <c r="AI2110">
        <v>0</v>
      </c>
      <c r="AJ2110">
        <v>4</v>
      </c>
      <c r="AK2110">
        <v>0</v>
      </c>
      <c r="AL2110">
        <v>11</v>
      </c>
      <c r="AM2110">
        <v>10</v>
      </c>
      <c r="AN2110">
        <v>29</v>
      </c>
      <c r="AO2110">
        <v>3</v>
      </c>
      <c r="AP2110">
        <v>15</v>
      </c>
      <c r="AQ2110">
        <v>5</v>
      </c>
      <c r="AR2110" t="s">
        <v>3772</v>
      </c>
      <c r="AS2110" t="s">
        <v>3773</v>
      </c>
      <c r="AT2110">
        <v>1.3859999999999999</v>
      </c>
      <c r="AU2110" t="s">
        <v>65</v>
      </c>
      <c r="AV2110">
        <v>44</v>
      </c>
      <c r="AW2110">
        <v>8</v>
      </c>
      <c r="AX2110" t="s">
        <v>3774</v>
      </c>
      <c r="AY2110">
        <v>2.7099999999999999E-2</v>
      </c>
      <c r="AZ2110">
        <v>-1.0300000000000001E-3</v>
      </c>
      <c r="BA2110">
        <v>2.0500000000000002E-3</v>
      </c>
      <c r="BB2110">
        <v>-1.2999999999999999E-4</v>
      </c>
      <c r="BC2110">
        <v>7.5560000000000002E-2</v>
      </c>
      <c r="BD2110">
        <v>1</v>
      </c>
      <c r="BE2110" t="s">
        <v>69</v>
      </c>
      <c r="BF2110">
        <v>5.2999999999999999E-2</v>
      </c>
      <c r="BG2110">
        <v>-0.622</v>
      </c>
    </row>
    <row r="2111" spans="1:59">
      <c r="A2111">
        <v>0</v>
      </c>
      <c r="B2111">
        <v>5</v>
      </c>
      <c r="C2111">
        <v>0</v>
      </c>
      <c r="D2111" t="s">
        <v>25022</v>
      </c>
      <c r="E2111">
        <v>3221</v>
      </c>
      <c r="F2111" t="s">
        <v>18767</v>
      </c>
      <c r="G2111" t="s">
        <v>62</v>
      </c>
      <c r="H2111">
        <v>3183870</v>
      </c>
      <c r="I2111">
        <v>3185075</v>
      </c>
      <c r="J2111" t="s">
        <v>18768</v>
      </c>
      <c r="K2111">
        <v>402</v>
      </c>
      <c r="L2111" t="s">
        <v>108</v>
      </c>
      <c r="M2111">
        <v>44</v>
      </c>
      <c r="N2111" t="str">
        <f>HYPERLINK("Gene3221-zp_tree_all.dnd", "Gene3221-tree")</f>
        <v>Gene3221-tree</v>
      </c>
      <c r="O2111">
        <v>8</v>
      </c>
      <c r="P2111">
        <v>5</v>
      </c>
      <c r="Q2111">
        <v>8</v>
      </c>
      <c r="R2111">
        <v>5</v>
      </c>
      <c r="S2111">
        <v>0.38462000000000002</v>
      </c>
      <c r="T2111" t="s">
        <v>136</v>
      </c>
      <c r="U2111" t="s">
        <v>199</v>
      </c>
      <c r="V2111" t="s">
        <v>62</v>
      </c>
      <c r="W2111" t="s">
        <v>62</v>
      </c>
      <c r="X2111">
        <v>1</v>
      </c>
      <c r="Y2111">
        <v>5</v>
      </c>
      <c r="Z2111">
        <v>4</v>
      </c>
      <c r="AA2111">
        <v>0.55556000000000005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2</v>
      </c>
      <c r="AH2111">
        <v>0</v>
      </c>
      <c r="AI2111">
        <v>2</v>
      </c>
      <c r="AJ2111">
        <v>3</v>
      </c>
      <c r="AK2111">
        <v>0.4</v>
      </c>
      <c r="AL2111">
        <v>10</v>
      </c>
      <c r="AM2111">
        <v>7</v>
      </c>
      <c r="AN2111">
        <v>22</v>
      </c>
      <c r="AO2111">
        <v>5</v>
      </c>
      <c r="AP2111">
        <v>12</v>
      </c>
      <c r="AQ2111">
        <v>4</v>
      </c>
      <c r="AR2111" t="s">
        <v>18769</v>
      </c>
      <c r="AS2111" t="s">
        <v>18770</v>
      </c>
      <c r="AT2111">
        <v>0.39</v>
      </c>
      <c r="AU2111" t="s">
        <v>65</v>
      </c>
      <c r="AV2111">
        <v>34</v>
      </c>
      <c r="AW2111">
        <v>9</v>
      </c>
      <c r="AX2111" t="s">
        <v>18771</v>
      </c>
      <c r="AY2111">
        <v>2.6249999999999999E-2</v>
      </c>
      <c r="AZ2111">
        <v>-1.41E-3</v>
      </c>
      <c r="BA2111">
        <v>1.2199999999999999E-3</v>
      </c>
      <c r="BB2111">
        <v>-1.2999999999999999E-4</v>
      </c>
      <c r="BC2111">
        <v>4.6559999999999997E-2</v>
      </c>
      <c r="BD2111">
        <v>1</v>
      </c>
      <c r="BE2111" t="s">
        <v>69</v>
      </c>
      <c r="BF2111">
        <v>-0.30099999999999999</v>
      </c>
      <c r="BG2111">
        <v>-0.77500000000000002</v>
      </c>
    </row>
    <row r="2112" spans="1:59">
      <c r="A2112">
        <v>0</v>
      </c>
      <c r="B2112">
        <v>14</v>
      </c>
      <c r="C2112">
        <v>0</v>
      </c>
      <c r="D2112" t="s">
        <v>25022</v>
      </c>
      <c r="E2112">
        <v>1545</v>
      </c>
      <c r="F2112" t="s">
        <v>9655</v>
      </c>
      <c r="G2112" t="s">
        <v>57</v>
      </c>
      <c r="H2112">
        <v>1552899</v>
      </c>
      <c r="I2112">
        <v>1554107</v>
      </c>
      <c r="J2112" t="s">
        <v>9656</v>
      </c>
      <c r="K2112">
        <v>403</v>
      </c>
      <c r="L2112" t="s">
        <v>108</v>
      </c>
      <c r="M2112">
        <v>44</v>
      </c>
      <c r="N2112" t="str">
        <f>HYPERLINK("Gene1545-zp_tree_all.dnd", "Gene1545-tree")</f>
        <v>Gene1545-tree</v>
      </c>
      <c r="O2112">
        <v>26</v>
      </c>
      <c r="P2112">
        <v>7</v>
      </c>
      <c r="Q2112">
        <v>7</v>
      </c>
      <c r="R2112">
        <v>7</v>
      </c>
      <c r="S2112">
        <v>0.5</v>
      </c>
      <c r="T2112" t="s">
        <v>191</v>
      </c>
      <c r="U2112" t="s">
        <v>152</v>
      </c>
      <c r="V2112" t="s">
        <v>62</v>
      </c>
      <c r="W2112" t="s">
        <v>62</v>
      </c>
      <c r="X2112">
        <v>6</v>
      </c>
      <c r="Y2112">
        <v>14</v>
      </c>
      <c r="Z2112">
        <v>9</v>
      </c>
      <c r="AA2112">
        <v>0.60870000000000002</v>
      </c>
      <c r="AB2112">
        <v>0</v>
      </c>
      <c r="AC2112">
        <v>0</v>
      </c>
      <c r="AD2112">
        <v>0</v>
      </c>
      <c r="AE2112">
        <v>3</v>
      </c>
      <c r="AF2112">
        <v>0</v>
      </c>
      <c r="AG2112">
        <v>6</v>
      </c>
      <c r="AH2112">
        <v>0</v>
      </c>
      <c r="AI2112">
        <v>6</v>
      </c>
      <c r="AJ2112">
        <v>6</v>
      </c>
      <c r="AK2112">
        <v>0.5</v>
      </c>
      <c r="AL2112">
        <v>12</v>
      </c>
      <c r="AM2112">
        <v>9</v>
      </c>
      <c r="AN2112">
        <v>62</v>
      </c>
      <c r="AO2112">
        <v>12</v>
      </c>
      <c r="AP2112">
        <v>43</v>
      </c>
      <c r="AQ2112">
        <v>11</v>
      </c>
      <c r="AR2112" t="s">
        <v>9657</v>
      </c>
      <c r="AS2112" t="s">
        <v>9658</v>
      </c>
      <c r="AT2112">
        <v>0.27100000000000002</v>
      </c>
      <c r="AU2112" t="s">
        <v>65</v>
      </c>
      <c r="AV2112">
        <v>105</v>
      </c>
      <c r="AW2112">
        <v>23</v>
      </c>
      <c r="AX2112" t="s">
        <v>9659</v>
      </c>
      <c r="AY2112">
        <v>7.6660000000000006E-2</v>
      </c>
      <c r="AZ2112">
        <v>-3.1099999999999999E-3</v>
      </c>
      <c r="BA2112">
        <v>5.5599999999999998E-3</v>
      </c>
      <c r="BB2112">
        <v>-2.9999999999999997E-4</v>
      </c>
      <c r="BC2112">
        <v>7.2499999999999995E-2</v>
      </c>
      <c r="BD2112">
        <v>1</v>
      </c>
      <c r="BE2112" t="s">
        <v>69</v>
      </c>
      <c r="BF2112">
        <v>0.106</v>
      </c>
      <c r="BG2112">
        <v>0.95099999999999996</v>
      </c>
    </row>
    <row r="2113" spans="1:59">
      <c r="A2113">
        <v>0</v>
      </c>
      <c r="B2113">
        <v>0</v>
      </c>
      <c r="C2113">
        <v>0</v>
      </c>
      <c r="D2113" t="s">
        <v>25022</v>
      </c>
      <c r="E2113">
        <v>3063</v>
      </c>
      <c r="F2113" t="s">
        <v>17736</v>
      </c>
      <c r="G2113" t="s">
        <v>62</v>
      </c>
      <c r="H2113">
        <v>3013136</v>
      </c>
      <c r="I2113">
        <v>3014344</v>
      </c>
      <c r="J2113" t="s">
        <v>17737</v>
      </c>
      <c r="K2113">
        <v>403</v>
      </c>
      <c r="L2113" t="s">
        <v>4088</v>
      </c>
      <c r="M2113">
        <v>48</v>
      </c>
      <c r="N2113" t="str">
        <f>HYPERLINK("Gene3063-zp_tree_all.dnd", "Gene3063-tree")</f>
        <v>Gene3063-tree</v>
      </c>
      <c r="O2113">
        <v>14</v>
      </c>
      <c r="P2113">
        <v>4</v>
      </c>
      <c r="Q2113">
        <v>14</v>
      </c>
      <c r="R2113">
        <v>4</v>
      </c>
      <c r="S2113">
        <v>0.22222</v>
      </c>
      <c r="T2113" t="s">
        <v>543</v>
      </c>
      <c r="U2113" t="s">
        <v>61</v>
      </c>
      <c r="V2113" t="s">
        <v>62</v>
      </c>
      <c r="W2113" t="s">
        <v>62</v>
      </c>
      <c r="X2113">
        <v>0</v>
      </c>
      <c r="Y2113">
        <v>0</v>
      </c>
      <c r="Z2113">
        <v>8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4</v>
      </c>
      <c r="AK2113">
        <v>0</v>
      </c>
      <c r="AL2113">
        <v>16</v>
      </c>
      <c r="AM2113">
        <v>15</v>
      </c>
      <c r="AN2113">
        <v>69</v>
      </c>
      <c r="AO2113">
        <v>4</v>
      </c>
      <c r="AP2113">
        <v>91</v>
      </c>
      <c r="AQ2113">
        <v>4</v>
      </c>
      <c r="AR2113" t="s">
        <v>17738</v>
      </c>
      <c r="AS2113" t="s">
        <v>17739</v>
      </c>
      <c r="AT2113">
        <v>0.121</v>
      </c>
      <c r="AU2113" t="s">
        <v>65</v>
      </c>
      <c r="AV2113">
        <v>160</v>
      </c>
      <c r="AW2113">
        <v>8</v>
      </c>
      <c r="AX2113" t="s">
        <v>17740</v>
      </c>
      <c r="AY2113">
        <v>0.11939</v>
      </c>
      <c r="AZ2113">
        <v>-6.2500000000000003E-3</v>
      </c>
      <c r="BA2113">
        <v>1.3799999999999999E-3</v>
      </c>
      <c r="BB2113">
        <v>-1.1E-4</v>
      </c>
      <c r="BC2113">
        <v>1.158E-2</v>
      </c>
      <c r="BD2113">
        <v>1</v>
      </c>
      <c r="BE2113" t="s">
        <v>69</v>
      </c>
      <c r="BF2113">
        <v>-0.97599999999999998</v>
      </c>
      <c r="BG2113">
        <v>-0.60599999999999998</v>
      </c>
    </row>
    <row r="2114" spans="1:59">
      <c r="A2114">
        <v>0</v>
      </c>
      <c r="B2114">
        <v>11</v>
      </c>
      <c r="C2114">
        <v>1</v>
      </c>
      <c r="D2114" t="s">
        <v>25022</v>
      </c>
      <c r="E2114">
        <v>1843</v>
      </c>
      <c r="F2114" t="s">
        <v>11547</v>
      </c>
      <c r="G2114" t="s">
        <v>57</v>
      </c>
      <c r="H2114">
        <v>1910167</v>
      </c>
      <c r="I2114">
        <v>1911378</v>
      </c>
      <c r="J2114" t="s">
        <v>11548</v>
      </c>
      <c r="K2114">
        <v>404</v>
      </c>
      <c r="L2114" t="s">
        <v>2078</v>
      </c>
      <c r="M2114">
        <v>36</v>
      </c>
      <c r="N2114" t="str">
        <f>HYPERLINK("Gene1843-zp_tree_all.dnd", "Gene1843-tree")</f>
        <v>Gene1843-tree</v>
      </c>
      <c r="O2114">
        <v>6</v>
      </c>
      <c r="P2114">
        <v>5</v>
      </c>
      <c r="Q2114">
        <v>6</v>
      </c>
      <c r="R2114">
        <v>5</v>
      </c>
      <c r="S2114">
        <v>0.45455000000000001</v>
      </c>
      <c r="T2114" t="s">
        <v>90</v>
      </c>
      <c r="U2114" t="s">
        <v>199</v>
      </c>
      <c r="V2114" t="s">
        <v>62</v>
      </c>
      <c r="W2114" t="s">
        <v>62</v>
      </c>
      <c r="X2114">
        <v>5</v>
      </c>
      <c r="Y2114">
        <v>12</v>
      </c>
      <c r="Z2114">
        <v>23</v>
      </c>
      <c r="AA2114">
        <v>0.34286</v>
      </c>
      <c r="AB2114">
        <v>0</v>
      </c>
      <c r="AC2114">
        <v>0</v>
      </c>
      <c r="AD2114">
        <v>0</v>
      </c>
      <c r="AE2114">
        <v>9</v>
      </c>
      <c r="AF2114">
        <v>0</v>
      </c>
      <c r="AG2114">
        <v>0</v>
      </c>
      <c r="AH2114">
        <v>2</v>
      </c>
      <c r="AI2114">
        <v>2</v>
      </c>
      <c r="AJ2114">
        <v>16</v>
      </c>
      <c r="AK2114">
        <v>0.11111</v>
      </c>
      <c r="AL2114">
        <v>9</v>
      </c>
      <c r="AM2114">
        <v>8</v>
      </c>
      <c r="AN2114">
        <v>27</v>
      </c>
      <c r="AO2114">
        <v>18</v>
      </c>
      <c r="AP2114">
        <v>30</v>
      </c>
      <c r="AQ2114">
        <v>17</v>
      </c>
      <c r="AR2114" t="s">
        <v>11549</v>
      </c>
      <c r="AS2114" t="s">
        <v>11550</v>
      </c>
      <c r="AT2114">
        <v>0.156</v>
      </c>
      <c r="AU2114" t="s">
        <v>65</v>
      </c>
      <c r="AV2114">
        <v>57</v>
      </c>
      <c r="AW2114">
        <v>35</v>
      </c>
      <c r="AX2114" t="s">
        <v>11551</v>
      </c>
      <c r="AY2114">
        <v>5.0599999999999999E-2</v>
      </c>
      <c r="AZ2114">
        <v>-2.5600000000000002E-3</v>
      </c>
      <c r="BA2114">
        <v>9.1699999999999993E-3</v>
      </c>
      <c r="BB2114">
        <v>-7.5000000000000002E-4</v>
      </c>
      <c r="BC2114">
        <v>0.18121000000000001</v>
      </c>
      <c r="BD2114">
        <v>1</v>
      </c>
      <c r="BE2114" t="s">
        <v>69</v>
      </c>
      <c r="BF2114">
        <v>-1.0660000000000001</v>
      </c>
      <c r="BG2114">
        <v>-1.1859999999999999</v>
      </c>
    </row>
    <row r="2115" spans="1:59">
      <c r="A2115">
        <v>0</v>
      </c>
      <c r="B2115">
        <v>23</v>
      </c>
      <c r="C2115">
        <v>4</v>
      </c>
      <c r="D2115" t="s">
        <v>25022</v>
      </c>
      <c r="E2115">
        <v>4217</v>
      </c>
      <c r="F2115" t="s">
        <v>24786</v>
      </c>
      <c r="G2115" t="s">
        <v>62</v>
      </c>
      <c r="H2115">
        <v>4179166</v>
      </c>
      <c r="I2115">
        <v>4180377</v>
      </c>
      <c r="J2115" t="s">
        <v>1123</v>
      </c>
      <c r="K2115">
        <v>404</v>
      </c>
      <c r="L2115" t="s">
        <v>2078</v>
      </c>
      <c r="M2115">
        <v>36</v>
      </c>
      <c r="N2115" t="str">
        <f>HYPERLINK("Gene4217-zp_tree_all.dnd", "Gene4217-tree")</f>
        <v>Gene4217-tree</v>
      </c>
      <c r="O2115">
        <v>0</v>
      </c>
      <c r="P2115">
        <v>10</v>
      </c>
      <c r="Q2115">
        <v>0</v>
      </c>
      <c r="R2115">
        <v>10</v>
      </c>
      <c r="S2115">
        <v>1</v>
      </c>
      <c r="T2115" t="s">
        <v>62</v>
      </c>
      <c r="U2115" t="s">
        <v>117</v>
      </c>
      <c r="V2115" t="s">
        <v>62</v>
      </c>
      <c r="W2115" t="s">
        <v>62</v>
      </c>
      <c r="X2115">
        <v>11</v>
      </c>
      <c r="Y2115">
        <v>27</v>
      </c>
      <c r="Z2115">
        <v>13</v>
      </c>
      <c r="AA2115">
        <v>0.67500000000000004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4</v>
      </c>
      <c r="AH2115">
        <v>4</v>
      </c>
      <c r="AI2115">
        <v>8</v>
      </c>
      <c r="AJ2115">
        <v>15</v>
      </c>
      <c r="AK2115">
        <v>0.34782999999999997</v>
      </c>
      <c r="AL2115">
        <v>10</v>
      </c>
      <c r="AM2115">
        <v>7</v>
      </c>
      <c r="AN2115">
        <v>44</v>
      </c>
      <c r="AO2115">
        <v>23</v>
      </c>
      <c r="AP2115">
        <v>26</v>
      </c>
      <c r="AQ2115">
        <v>17</v>
      </c>
      <c r="AR2115" t="s">
        <v>24787</v>
      </c>
      <c r="AS2115" t="s">
        <v>24788</v>
      </c>
      <c r="AT2115">
        <v>0.63500000000000001</v>
      </c>
      <c r="AU2115" t="s">
        <v>65</v>
      </c>
      <c r="AV2115">
        <v>70</v>
      </c>
      <c r="AW2115">
        <v>40</v>
      </c>
      <c r="AX2115" t="s">
        <v>24789</v>
      </c>
      <c r="AY2115">
        <v>5.8770000000000003E-2</v>
      </c>
      <c r="AZ2115">
        <v>-3.0200000000000001E-3</v>
      </c>
      <c r="BA2115">
        <v>1.0319999999999999E-2</v>
      </c>
      <c r="BB2115">
        <v>-4.8000000000000001E-4</v>
      </c>
      <c r="BC2115">
        <v>0.17566000000000001</v>
      </c>
      <c r="BD2115">
        <v>1</v>
      </c>
      <c r="BE2115" t="s">
        <v>69</v>
      </c>
      <c r="BF2115">
        <v>8.9999999999999993E-3</v>
      </c>
      <c r="BG2115">
        <v>-0.20300000000000001</v>
      </c>
    </row>
    <row r="2116" spans="1:59">
      <c r="A2116">
        <v>0</v>
      </c>
      <c r="B2116">
        <v>2</v>
      </c>
      <c r="C2116">
        <v>0</v>
      </c>
      <c r="D2116" t="s">
        <v>25022</v>
      </c>
      <c r="E2116">
        <v>414</v>
      </c>
      <c r="F2116" t="s">
        <v>2809</v>
      </c>
      <c r="G2116" t="s">
        <v>57</v>
      </c>
      <c r="H2116">
        <v>457811</v>
      </c>
      <c r="I2116">
        <v>459022</v>
      </c>
      <c r="J2116" t="s">
        <v>2810</v>
      </c>
      <c r="K2116">
        <v>404</v>
      </c>
      <c r="L2116" t="s">
        <v>108</v>
      </c>
      <c r="M2116">
        <v>44</v>
      </c>
      <c r="N2116" t="str">
        <f>HYPERLINK("Gene414-zp_tree_all.dnd", "Gene414-tree")</f>
        <v>Gene414-tree</v>
      </c>
      <c r="O2116">
        <v>13</v>
      </c>
      <c r="P2116">
        <v>3</v>
      </c>
      <c r="Q2116">
        <v>13</v>
      </c>
      <c r="R2116">
        <v>3</v>
      </c>
      <c r="S2116">
        <v>0.1875</v>
      </c>
      <c r="T2116" t="s">
        <v>507</v>
      </c>
      <c r="U2116" t="s">
        <v>324</v>
      </c>
      <c r="V2116" t="s">
        <v>62</v>
      </c>
      <c r="W2116" t="s">
        <v>62</v>
      </c>
      <c r="X2116">
        <v>1</v>
      </c>
      <c r="Y2116">
        <v>2</v>
      </c>
      <c r="Z2116">
        <v>4</v>
      </c>
      <c r="AA2116">
        <v>0.33333000000000002</v>
      </c>
      <c r="AB2116">
        <v>0</v>
      </c>
      <c r="AC2116">
        <v>0</v>
      </c>
      <c r="AD2116">
        <v>0</v>
      </c>
      <c r="AE2116">
        <v>2</v>
      </c>
      <c r="AF2116">
        <v>0</v>
      </c>
      <c r="AG2116">
        <v>0</v>
      </c>
      <c r="AH2116">
        <v>0</v>
      </c>
      <c r="AI2116">
        <v>0</v>
      </c>
      <c r="AJ2116">
        <v>3</v>
      </c>
      <c r="AK2116">
        <v>0</v>
      </c>
      <c r="AL2116">
        <v>12</v>
      </c>
      <c r="AM2116">
        <v>11</v>
      </c>
      <c r="AN2116">
        <v>19</v>
      </c>
      <c r="AO2116">
        <v>3</v>
      </c>
      <c r="AP2116">
        <v>15</v>
      </c>
      <c r="AQ2116">
        <v>5</v>
      </c>
      <c r="AR2116" t="s">
        <v>2811</v>
      </c>
      <c r="AS2116" t="s">
        <v>2812</v>
      </c>
      <c r="AT2116">
        <v>0.437</v>
      </c>
      <c r="AU2116" t="s">
        <v>65</v>
      </c>
      <c r="AV2116">
        <v>34</v>
      </c>
      <c r="AW2116">
        <v>8</v>
      </c>
      <c r="AX2116" t="s">
        <v>2813</v>
      </c>
      <c r="AY2116">
        <v>2.1839999999999998E-2</v>
      </c>
      <c r="AZ2116">
        <v>-6.7000000000000002E-4</v>
      </c>
      <c r="BA2116">
        <v>1.7899999999999999E-3</v>
      </c>
      <c r="BB2116">
        <v>-1.2E-4</v>
      </c>
      <c r="BC2116">
        <v>8.1900000000000001E-2</v>
      </c>
      <c r="BD2116">
        <v>1</v>
      </c>
      <c r="BE2116" t="s">
        <v>69</v>
      </c>
      <c r="BF2116">
        <v>-0.32900000000000001</v>
      </c>
      <c r="BG2116">
        <v>-1.5209999999999999</v>
      </c>
    </row>
    <row r="2117" spans="1:59">
      <c r="A2117">
        <v>0</v>
      </c>
      <c r="B2117">
        <v>0</v>
      </c>
      <c r="C2117">
        <v>0</v>
      </c>
      <c r="D2117" t="s">
        <v>25022</v>
      </c>
      <c r="E2117">
        <v>1738</v>
      </c>
      <c r="F2117" t="s">
        <v>10903</v>
      </c>
      <c r="G2117" t="s">
        <v>57</v>
      </c>
      <c r="H2117">
        <v>1747123</v>
      </c>
      <c r="I2117">
        <v>1748334</v>
      </c>
      <c r="J2117" t="s">
        <v>10904</v>
      </c>
      <c r="K2117">
        <v>404</v>
      </c>
      <c r="L2117" t="s">
        <v>108</v>
      </c>
      <c r="M2117">
        <v>44</v>
      </c>
      <c r="N2117" t="str">
        <f>HYPERLINK("Gene1738-zp_tree_all.dnd", "Gene1738-tree")</f>
        <v>Gene1738-tree</v>
      </c>
      <c r="O2117">
        <v>10</v>
      </c>
      <c r="P2117">
        <v>5</v>
      </c>
      <c r="Q2117">
        <v>10</v>
      </c>
      <c r="R2117">
        <v>5</v>
      </c>
      <c r="S2117">
        <v>0.33333000000000002</v>
      </c>
      <c r="T2117" t="s">
        <v>117</v>
      </c>
      <c r="U2117" t="s">
        <v>199</v>
      </c>
      <c r="V2117" t="s">
        <v>62</v>
      </c>
      <c r="W2117" t="s">
        <v>62</v>
      </c>
      <c r="X2117">
        <v>0</v>
      </c>
      <c r="Y2117">
        <v>0</v>
      </c>
      <c r="Z2117">
        <v>5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5</v>
      </c>
      <c r="AK2117">
        <v>0</v>
      </c>
      <c r="AL2117">
        <v>12</v>
      </c>
      <c r="AM2117">
        <v>9</v>
      </c>
      <c r="AN2117">
        <v>26</v>
      </c>
      <c r="AO2117">
        <v>4</v>
      </c>
      <c r="AP2117">
        <v>15</v>
      </c>
      <c r="AQ2117">
        <v>2</v>
      </c>
      <c r="AR2117" t="s">
        <v>10905</v>
      </c>
      <c r="AS2117" t="s">
        <v>10906</v>
      </c>
      <c r="AT2117">
        <v>5.2999999999999999E-2</v>
      </c>
      <c r="AU2117" t="s">
        <v>65</v>
      </c>
      <c r="AV2117">
        <v>41</v>
      </c>
      <c r="AW2117">
        <v>6</v>
      </c>
      <c r="AX2117" t="s">
        <v>10907</v>
      </c>
      <c r="AY2117">
        <v>2.545E-2</v>
      </c>
      <c r="AZ2117">
        <v>-8.4999999999999995E-4</v>
      </c>
      <c r="BA2117">
        <v>1.1299999999999999E-3</v>
      </c>
      <c r="BB2117">
        <v>-1.2E-4</v>
      </c>
      <c r="BC2117">
        <v>4.4209999999999999E-2</v>
      </c>
      <c r="BD2117">
        <v>1</v>
      </c>
      <c r="BE2117" t="s">
        <v>69</v>
      </c>
      <c r="BF2117">
        <v>-0.35899999999999999</v>
      </c>
      <c r="BG2117">
        <v>-1.071</v>
      </c>
    </row>
    <row r="2118" spans="1:59">
      <c r="A2118">
        <v>0</v>
      </c>
      <c r="B2118">
        <v>0</v>
      </c>
      <c r="C2118">
        <v>0</v>
      </c>
      <c r="D2118" t="s">
        <v>25022</v>
      </c>
      <c r="E2118">
        <v>3336</v>
      </c>
      <c r="F2118" t="s">
        <v>19486</v>
      </c>
      <c r="G2118" t="s">
        <v>62</v>
      </c>
      <c r="H2118">
        <v>3307020</v>
      </c>
      <c r="I2118">
        <v>3308231</v>
      </c>
      <c r="J2118" t="s">
        <v>19487</v>
      </c>
      <c r="K2118">
        <v>404</v>
      </c>
      <c r="L2118" t="s">
        <v>19488</v>
      </c>
      <c r="M2118">
        <v>44</v>
      </c>
      <c r="N2118" t="str">
        <f>HYPERLINK("Gene3336-zp_tree_all.dnd", "Gene3336-tree")</f>
        <v>Gene3336-tree</v>
      </c>
      <c r="O2118">
        <v>11</v>
      </c>
      <c r="P2118">
        <v>21</v>
      </c>
      <c r="Q2118">
        <v>11</v>
      </c>
      <c r="R2118">
        <v>5</v>
      </c>
      <c r="S2118">
        <v>0.3125</v>
      </c>
      <c r="T2118" t="s">
        <v>73</v>
      </c>
      <c r="U2118" t="s">
        <v>19489</v>
      </c>
      <c r="V2118">
        <v>4.3920000000000003</v>
      </c>
      <c r="W2118" t="s">
        <v>65</v>
      </c>
      <c r="X2118">
        <v>0</v>
      </c>
      <c r="Y2118">
        <v>0</v>
      </c>
      <c r="Z2118">
        <v>10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10</v>
      </c>
      <c r="AK2118">
        <v>0</v>
      </c>
      <c r="AL2118">
        <v>14</v>
      </c>
      <c r="AM2118">
        <v>10</v>
      </c>
      <c r="AN2118">
        <v>86</v>
      </c>
      <c r="AO2118">
        <v>10</v>
      </c>
      <c r="AP2118">
        <v>17</v>
      </c>
      <c r="AQ2118">
        <v>0</v>
      </c>
      <c r="AR2118" t="s">
        <v>19490</v>
      </c>
      <c r="AS2118" t="s">
        <v>193</v>
      </c>
      <c r="AT2118">
        <v>0.47199999999999998</v>
      </c>
      <c r="AU2118" t="s">
        <v>65</v>
      </c>
      <c r="AV2118">
        <v>103</v>
      </c>
      <c r="AW2118">
        <v>10</v>
      </c>
      <c r="AX2118" t="s">
        <v>1020</v>
      </c>
      <c r="AY2118">
        <v>5.2679999999999998E-2</v>
      </c>
      <c r="AZ2118">
        <v>-5.5599999999999998E-3</v>
      </c>
      <c r="BA2118">
        <v>1.3799999999999999E-3</v>
      </c>
      <c r="BB2118">
        <v>-1.8000000000000001E-4</v>
      </c>
      <c r="BC2118">
        <v>2.6259999999999999E-2</v>
      </c>
      <c r="BD2118">
        <v>1</v>
      </c>
      <c r="BE2118" t="s">
        <v>69</v>
      </c>
      <c r="BF2118">
        <v>-1.93</v>
      </c>
      <c r="BG2118">
        <v>-4.4850000000000003</v>
      </c>
    </row>
    <row r="2119" spans="1:59">
      <c r="A2119">
        <v>0</v>
      </c>
      <c r="B2119">
        <v>0</v>
      </c>
      <c r="C2119">
        <v>0</v>
      </c>
      <c r="D2119" t="s">
        <v>25022</v>
      </c>
      <c r="E2119">
        <v>3633</v>
      </c>
      <c r="F2119" t="s">
        <v>21338</v>
      </c>
      <c r="G2119" t="s">
        <v>62</v>
      </c>
      <c r="H2119">
        <v>3602591</v>
      </c>
      <c r="I2119">
        <v>3603805</v>
      </c>
      <c r="J2119" t="s">
        <v>21339</v>
      </c>
      <c r="K2119">
        <v>405</v>
      </c>
      <c r="L2119" t="s">
        <v>21340</v>
      </c>
      <c r="M2119">
        <v>26</v>
      </c>
      <c r="N2119" t="str">
        <f>HYPERLINK("Gene3633-zp_tree_all.dnd", "Gene3633-tree")</f>
        <v>Gene3633-tree</v>
      </c>
      <c r="O2119">
        <v>0</v>
      </c>
      <c r="P2119">
        <v>6</v>
      </c>
      <c r="Q2119">
        <v>0</v>
      </c>
      <c r="R2119">
        <v>6</v>
      </c>
      <c r="S2119">
        <v>1</v>
      </c>
      <c r="T2119" t="s">
        <v>62</v>
      </c>
      <c r="U2119" t="s">
        <v>90</v>
      </c>
      <c r="V2119" t="s">
        <v>62</v>
      </c>
      <c r="W2119" t="s">
        <v>62</v>
      </c>
      <c r="X2119">
        <v>0</v>
      </c>
      <c r="Y2119">
        <v>0</v>
      </c>
      <c r="Z2119">
        <v>14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13</v>
      </c>
      <c r="AK2119">
        <v>0</v>
      </c>
      <c r="AL2119">
        <v>5</v>
      </c>
      <c r="AM2119">
        <v>2</v>
      </c>
      <c r="AN2119">
        <v>11</v>
      </c>
      <c r="AO2119">
        <v>13</v>
      </c>
      <c r="AP2119">
        <v>1</v>
      </c>
      <c r="AQ2119">
        <v>1</v>
      </c>
      <c r="AR2119" t="s">
        <v>21341</v>
      </c>
      <c r="AS2119" t="s">
        <v>21342</v>
      </c>
      <c r="AT2119">
        <v>7.0000000000000007E-2</v>
      </c>
      <c r="AU2119" t="s">
        <v>65</v>
      </c>
      <c r="AV2119">
        <v>12</v>
      </c>
      <c r="AW2119">
        <v>14</v>
      </c>
      <c r="AX2119" t="s">
        <v>21343</v>
      </c>
      <c r="AY2119">
        <v>1.5610000000000001E-2</v>
      </c>
      <c r="AZ2119">
        <v>-4.2599999999999999E-3</v>
      </c>
      <c r="BA2119">
        <v>5.2900000000000004E-3</v>
      </c>
      <c r="BB2119">
        <v>-9.2000000000000003E-4</v>
      </c>
      <c r="BC2119">
        <v>0.33867000000000003</v>
      </c>
      <c r="BD2119">
        <v>0.98</v>
      </c>
      <c r="BE2119" t="s">
        <v>69</v>
      </c>
      <c r="BF2119">
        <v>-2.2450000000000001</v>
      </c>
      <c r="BG2119">
        <v>-3.0489999999999999</v>
      </c>
    </row>
    <row r="2120" spans="1:59">
      <c r="A2120">
        <v>0</v>
      </c>
      <c r="B2120">
        <v>6</v>
      </c>
      <c r="C2120">
        <v>0</v>
      </c>
      <c r="D2120" t="s">
        <v>25022</v>
      </c>
      <c r="E2120">
        <v>1185</v>
      </c>
      <c r="F2120" t="s">
        <v>7457</v>
      </c>
      <c r="G2120" t="s">
        <v>57</v>
      </c>
      <c r="H2120">
        <v>1225557</v>
      </c>
      <c r="I2120">
        <v>1226771</v>
      </c>
      <c r="J2120" t="s">
        <v>470</v>
      </c>
      <c r="K2120">
        <v>405</v>
      </c>
      <c r="L2120" t="s">
        <v>108</v>
      </c>
      <c r="M2120">
        <v>44</v>
      </c>
      <c r="N2120" t="str">
        <f>HYPERLINK("Gene1185-zp_tree_all.dnd", "Gene1185-tree")</f>
        <v>Gene1185-tree</v>
      </c>
      <c r="O2120">
        <v>5</v>
      </c>
      <c r="P2120">
        <v>10</v>
      </c>
      <c r="Q2120">
        <v>5</v>
      </c>
      <c r="R2120">
        <v>10</v>
      </c>
      <c r="S2120">
        <v>0.66666999999999998</v>
      </c>
      <c r="T2120" t="s">
        <v>199</v>
      </c>
      <c r="U2120" t="s">
        <v>117</v>
      </c>
      <c r="V2120" t="s">
        <v>62</v>
      </c>
      <c r="W2120" t="s">
        <v>62</v>
      </c>
      <c r="X2120">
        <v>3</v>
      </c>
      <c r="Y2120">
        <v>6</v>
      </c>
      <c r="Z2120">
        <v>26</v>
      </c>
      <c r="AA2120">
        <v>0.1875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</v>
      </c>
      <c r="AH2120">
        <v>0</v>
      </c>
      <c r="AI2120">
        <v>2</v>
      </c>
      <c r="AJ2120">
        <v>20</v>
      </c>
      <c r="AK2120">
        <v>9.0910000000000005E-2</v>
      </c>
      <c r="AL2120">
        <v>11</v>
      </c>
      <c r="AM2120">
        <v>11</v>
      </c>
      <c r="AN2120">
        <v>23</v>
      </c>
      <c r="AO2120">
        <v>21</v>
      </c>
      <c r="AP2120">
        <v>24</v>
      </c>
      <c r="AQ2120">
        <v>11</v>
      </c>
      <c r="AR2120" t="s">
        <v>7458</v>
      </c>
      <c r="AS2120" t="s">
        <v>7459</v>
      </c>
      <c r="AT2120">
        <v>1.022</v>
      </c>
      <c r="AU2120" t="s">
        <v>65</v>
      </c>
      <c r="AV2120">
        <v>47</v>
      </c>
      <c r="AW2120">
        <v>32</v>
      </c>
      <c r="AX2120" t="s">
        <v>7460</v>
      </c>
      <c r="AY2120">
        <v>3.1739999999999997E-2</v>
      </c>
      <c r="AZ2120">
        <v>-9.8999999999999999E-4</v>
      </c>
      <c r="BA2120">
        <v>7.2199999999999999E-3</v>
      </c>
      <c r="BB2120">
        <v>-2.7999999999999998E-4</v>
      </c>
      <c r="BC2120">
        <v>0.2276</v>
      </c>
      <c r="BD2120">
        <v>1</v>
      </c>
      <c r="BE2120" t="s">
        <v>69</v>
      </c>
      <c r="BF2120">
        <v>-0.95</v>
      </c>
      <c r="BG2120">
        <v>-2.5659999999999998</v>
      </c>
    </row>
    <row r="2121" spans="1:59">
      <c r="A2121">
        <v>0</v>
      </c>
      <c r="B2121">
        <v>8</v>
      </c>
      <c r="C2121">
        <v>2</v>
      </c>
      <c r="D2121" t="s">
        <v>25022</v>
      </c>
      <c r="E2121">
        <v>1411</v>
      </c>
      <c r="F2121" t="s">
        <v>8836</v>
      </c>
      <c r="G2121" t="s">
        <v>57</v>
      </c>
      <c r="H2121">
        <v>1427061</v>
      </c>
      <c r="I2121">
        <v>1428275</v>
      </c>
      <c r="J2121" t="s">
        <v>8837</v>
      </c>
      <c r="K2121">
        <v>405</v>
      </c>
      <c r="L2121" t="s">
        <v>108</v>
      </c>
      <c r="M2121">
        <v>44</v>
      </c>
      <c r="N2121" t="str">
        <f>HYPERLINK("Gene1411-zp_tree_all.dnd", "Gene1411-tree")</f>
        <v>Gene1411-tree</v>
      </c>
      <c r="O2121">
        <v>2</v>
      </c>
      <c r="P2121">
        <v>12</v>
      </c>
      <c r="Q2121">
        <v>2</v>
      </c>
      <c r="R2121">
        <v>12</v>
      </c>
      <c r="S2121">
        <v>0.85714000000000001</v>
      </c>
      <c r="T2121" t="s">
        <v>81</v>
      </c>
      <c r="U2121" t="s">
        <v>109</v>
      </c>
      <c r="V2121" t="s">
        <v>62</v>
      </c>
      <c r="W2121" t="s">
        <v>62</v>
      </c>
      <c r="X2121">
        <v>3</v>
      </c>
      <c r="Y2121">
        <v>10</v>
      </c>
      <c r="Z2121">
        <v>12</v>
      </c>
      <c r="AA2121">
        <v>0.45455000000000001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5</v>
      </c>
      <c r="AH2121">
        <v>2</v>
      </c>
      <c r="AI2121">
        <v>7</v>
      </c>
      <c r="AJ2121">
        <v>12</v>
      </c>
      <c r="AK2121">
        <v>0.36842000000000003</v>
      </c>
      <c r="AL2121">
        <v>13</v>
      </c>
      <c r="AM2121">
        <v>7</v>
      </c>
      <c r="AN2121">
        <v>49</v>
      </c>
      <c r="AO2121">
        <v>20</v>
      </c>
      <c r="AP2121">
        <v>18</v>
      </c>
      <c r="AQ2121">
        <v>3</v>
      </c>
      <c r="AR2121" t="s">
        <v>8838</v>
      </c>
      <c r="AS2121" t="s">
        <v>8839</v>
      </c>
      <c r="AT2121">
        <v>1.2470000000000001</v>
      </c>
      <c r="AU2121" t="s">
        <v>65</v>
      </c>
      <c r="AV2121">
        <v>67</v>
      </c>
      <c r="AW2121">
        <v>23</v>
      </c>
      <c r="AX2121" t="s">
        <v>8840</v>
      </c>
      <c r="AY2121">
        <v>4.2369999999999998E-2</v>
      </c>
      <c r="AZ2121">
        <v>-2.1700000000000001E-3</v>
      </c>
      <c r="BA2121">
        <v>3.1700000000000001E-3</v>
      </c>
      <c r="BB2121">
        <v>-1.4999999999999999E-4</v>
      </c>
      <c r="BC2121">
        <v>7.4800000000000005E-2</v>
      </c>
      <c r="BD2121">
        <v>1</v>
      </c>
      <c r="BE2121" t="s">
        <v>69</v>
      </c>
      <c r="BF2121">
        <v>-1.1839999999999999</v>
      </c>
      <c r="BG2121">
        <v>-2.4380000000000002</v>
      </c>
    </row>
    <row r="2122" spans="1:59">
      <c r="A2122">
        <v>0</v>
      </c>
      <c r="B2122">
        <v>2</v>
      </c>
      <c r="C2122">
        <v>0</v>
      </c>
      <c r="D2122" t="s">
        <v>25022</v>
      </c>
      <c r="E2122">
        <v>2022</v>
      </c>
      <c r="F2122" t="s">
        <v>12580</v>
      </c>
      <c r="G2122" t="s">
        <v>62</v>
      </c>
      <c r="H2122">
        <v>2117054</v>
      </c>
      <c r="I2122">
        <v>2118268</v>
      </c>
      <c r="J2122" t="s">
        <v>12581</v>
      </c>
      <c r="K2122">
        <v>405</v>
      </c>
      <c r="L2122" t="s">
        <v>108</v>
      </c>
      <c r="M2122">
        <v>44</v>
      </c>
      <c r="N2122" t="str">
        <f>HYPERLINK("Gene2022-zp_tree_all.dnd", "Gene2022-tree")</f>
        <v>Gene2022-tree</v>
      </c>
      <c r="O2122">
        <v>24</v>
      </c>
      <c r="P2122">
        <v>8</v>
      </c>
      <c r="Q2122">
        <v>7</v>
      </c>
      <c r="R2122">
        <v>8</v>
      </c>
      <c r="S2122">
        <v>0.53332999999999997</v>
      </c>
      <c r="T2122" t="s">
        <v>638</v>
      </c>
      <c r="U2122" t="s">
        <v>136</v>
      </c>
      <c r="V2122" t="s">
        <v>62</v>
      </c>
      <c r="W2122" t="s">
        <v>62</v>
      </c>
      <c r="X2122">
        <v>1</v>
      </c>
      <c r="Y2122">
        <v>2</v>
      </c>
      <c r="Z2122">
        <v>13</v>
      </c>
      <c r="AA2122">
        <v>0.13333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</v>
      </c>
      <c r="AH2122">
        <v>0</v>
      </c>
      <c r="AI2122">
        <v>2</v>
      </c>
      <c r="AJ2122">
        <v>11</v>
      </c>
      <c r="AK2122">
        <v>0.15384999999999999</v>
      </c>
      <c r="AL2122">
        <v>13</v>
      </c>
      <c r="AM2122">
        <v>9</v>
      </c>
      <c r="AN2122">
        <v>47</v>
      </c>
      <c r="AO2122">
        <v>15</v>
      </c>
      <c r="AP2122">
        <v>25</v>
      </c>
      <c r="AQ2122">
        <v>2</v>
      </c>
      <c r="AR2122" t="s">
        <v>12582</v>
      </c>
      <c r="AS2122" t="s">
        <v>12583</v>
      </c>
      <c r="AT2122">
        <v>1.341</v>
      </c>
      <c r="AU2122" t="s">
        <v>65</v>
      </c>
      <c r="AV2122">
        <v>72</v>
      </c>
      <c r="AW2122">
        <v>17</v>
      </c>
      <c r="AX2122" t="s">
        <v>12584</v>
      </c>
      <c r="AY2122">
        <v>4.82E-2</v>
      </c>
      <c r="AZ2122">
        <v>-1.8600000000000001E-3</v>
      </c>
      <c r="BA2122">
        <v>3.16E-3</v>
      </c>
      <c r="BB2122">
        <v>-1.7000000000000001E-4</v>
      </c>
      <c r="BC2122">
        <v>6.5640000000000004E-2</v>
      </c>
      <c r="BD2122">
        <v>1</v>
      </c>
      <c r="BE2122" t="s">
        <v>69</v>
      </c>
      <c r="BF2122">
        <v>3.9E-2</v>
      </c>
      <c r="BG2122">
        <v>0.378</v>
      </c>
    </row>
    <row r="2123" spans="1:59">
      <c r="A2123">
        <v>0</v>
      </c>
      <c r="B2123">
        <v>2</v>
      </c>
      <c r="C2123">
        <v>0</v>
      </c>
      <c r="D2123" t="s">
        <v>25022</v>
      </c>
      <c r="E2123">
        <v>1631</v>
      </c>
      <c r="F2123" t="s">
        <v>10216</v>
      </c>
      <c r="G2123" t="s">
        <v>57</v>
      </c>
      <c r="H2123">
        <v>1642851</v>
      </c>
      <c r="I2123">
        <v>1644068</v>
      </c>
      <c r="J2123" t="s">
        <v>10217</v>
      </c>
      <c r="K2123">
        <v>406</v>
      </c>
      <c r="L2123" t="s">
        <v>108</v>
      </c>
      <c r="M2123">
        <v>44</v>
      </c>
      <c r="N2123" t="str">
        <f>HYPERLINK("Gene1631-zp_tree_all.dnd", "Gene1631-tree")</f>
        <v>Gene1631-tree</v>
      </c>
      <c r="O2123">
        <v>6</v>
      </c>
      <c r="P2123">
        <v>10</v>
      </c>
      <c r="Q2123">
        <v>6</v>
      </c>
      <c r="R2123">
        <v>10</v>
      </c>
      <c r="S2123">
        <v>0.625</v>
      </c>
      <c r="T2123" t="s">
        <v>90</v>
      </c>
      <c r="U2123" t="s">
        <v>117</v>
      </c>
      <c r="V2123" t="s">
        <v>62</v>
      </c>
      <c r="W2123" t="s">
        <v>62</v>
      </c>
      <c r="X2123">
        <v>1</v>
      </c>
      <c r="Y2123">
        <v>2</v>
      </c>
      <c r="Z2123">
        <v>13</v>
      </c>
      <c r="AA2123">
        <v>0.13333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12</v>
      </c>
      <c r="AK2123">
        <v>0</v>
      </c>
      <c r="AL2123">
        <v>12</v>
      </c>
      <c r="AM2123">
        <v>9</v>
      </c>
      <c r="AN2123">
        <v>25</v>
      </c>
      <c r="AO2123">
        <v>11</v>
      </c>
      <c r="AP2123">
        <v>22</v>
      </c>
      <c r="AQ2123">
        <v>4</v>
      </c>
      <c r="AR2123" t="s">
        <v>10218</v>
      </c>
      <c r="AS2123" t="s">
        <v>10219</v>
      </c>
      <c r="AT2123">
        <v>1.4219999999999999</v>
      </c>
      <c r="AU2123" t="s">
        <v>65</v>
      </c>
      <c r="AV2123">
        <v>47</v>
      </c>
      <c r="AW2123">
        <v>15</v>
      </c>
      <c r="AX2123" t="s">
        <v>10220</v>
      </c>
      <c r="AY2123">
        <v>3.2489999999999998E-2</v>
      </c>
      <c r="AZ2123">
        <v>-1.2199999999999999E-3</v>
      </c>
      <c r="BA2123">
        <v>2.66E-3</v>
      </c>
      <c r="BB2123">
        <v>-1.3999999999999999E-4</v>
      </c>
      <c r="BC2123">
        <v>8.1799999999999998E-2</v>
      </c>
      <c r="BD2123">
        <v>1</v>
      </c>
      <c r="BE2123" t="s">
        <v>69</v>
      </c>
      <c r="BF2123">
        <v>-0.55000000000000004</v>
      </c>
      <c r="BG2123">
        <v>-1.194</v>
      </c>
    </row>
    <row r="2124" spans="1:59">
      <c r="A2124">
        <v>0</v>
      </c>
      <c r="B2124">
        <v>4</v>
      </c>
      <c r="C2124">
        <v>0</v>
      </c>
      <c r="D2124" t="s">
        <v>25022</v>
      </c>
      <c r="E2124">
        <v>1156</v>
      </c>
      <c r="F2124" t="s">
        <v>7276</v>
      </c>
      <c r="G2124" t="s">
        <v>57</v>
      </c>
      <c r="H2124">
        <v>1196091</v>
      </c>
      <c r="I2124">
        <v>1197308</v>
      </c>
      <c r="J2124" t="s">
        <v>7277</v>
      </c>
      <c r="K2124">
        <v>406</v>
      </c>
      <c r="L2124" t="s">
        <v>265</v>
      </c>
      <c r="M2124">
        <v>43</v>
      </c>
      <c r="N2124" t="str">
        <f>HYPERLINK("Gene1156-zp_tree_all.dnd", "Gene1156-tree")</f>
        <v>Gene1156-tree</v>
      </c>
      <c r="O2124">
        <v>2</v>
      </c>
      <c r="P2124">
        <v>9</v>
      </c>
      <c r="Q2124">
        <v>2</v>
      </c>
      <c r="R2124">
        <v>9</v>
      </c>
      <c r="S2124">
        <v>0.81818000000000002</v>
      </c>
      <c r="T2124" t="s">
        <v>81</v>
      </c>
      <c r="U2124" t="s">
        <v>135</v>
      </c>
      <c r="V2124" t="s">
        <v>62</v>
      </c>
      <c r="W2124" t="s">
        <v>62</v>
      </c>
      <c r="X2124">
        <v>2</v>
      </c>
      <c r="Y2124">
        <v>4</v>
      </c>
      <c r="Z2124">
        <v>16</v>
      </c>
      <c r="AA2124">
        <v>0.2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17</v>
      </c>
      <c r="AK2124">
        <v>0</v>
      </c>
      <c r="AL2124">
        <v>10</v>
      </c>
      <c r="AM2124">
        <v>7</v>
      </c>
      <c r="AN2124">
        <v>47</v>
      </c>
      <c r="AO2124">
        <v>17</v>
      </c>
      <c r="AP2124">
        <v>38</v>
      </c>
      <c r="AQ2124">
        <v>3</v>
      </c>
      <c r="AR2124" t="s">
        <v>7278</v>
      </c>
      <c r="AS2124" t="s">
        <v>7279</v>
      </c>
      <c r="AT2124">
        <v>1.8939999999999999</v>
      </c>
      <c r="AU2124" t="s">
        <v>65</v>
      </c>
      <c r="AV2124">
        <v>85</v>
      </c>
      <c r="AW2124">
        <v>20</v>
      </c>
      <c r="AX2124" t="s">
        <v>7280</v>
      </c>
      <c r="AY2124">
        <v>7.1559999999999999E-2</v>
      </c>
      <c r="AZ2124">
        <v>-3.4499999999999999E-3</v>
      </c>
      <c r="BA2124">
        <v>4.0299999999999997E-3</v>
      </c>
      <c r="BB2124">
        <v>-1.7000000000000001E-4</v>
      </c>
      <c r="BC2124">
        <v>5.6300000000000003E-2</v>
      </c>
      <c r="BD2124">
        <v>1</v>
      </c>
      <c r="BE2124" t="s">
        <v>69</v>
      </c>
      <c r="BF2124">
        <v>-0.48799999999999999</v>
      </c>
      <c r="BG2124">
        <v>-1.7270000000000001</v>
      </c>
    </row>
    <row r="2125" spans="1:59">
      <c r="A2125">
        <v>0</v>
      </c>
      <c r="B2125">
        <v>2</v>
      </c>
      <c r="C2125">
        <v>0</v>
      </c>
      <c r="D2125" t="s">
        <v>25022</v>
      </c>
      <c r="E2125">
        <v>3389</v>
      </c>
      <c r="F2125" t="s">
        <v>19821</v>
      </c>
      <c r="G2125" t="s">
        <v>62</v>
      </c>
      <c r="H2125">
        <v>3357447</v>
      </c>
      <c r="I2125">
        <v>3358664</v>
      </c>
      <c r="J2125" t="s">
        <v>17826</v>
      </c>
      <c r="K2125">
        <v>406</v>
      </c>
      <c r="L2125" t="s">
        <v>59</v>
      </c>
      <c r="M2125">
        <v>49</v>
      </c>
      <c r="N2125" t="str">
        <f>HYPERLINK("Gene3389-zp_tree_all.dnd", "Gene3389-tree")</f>
        <v>Gene3389-tree</v>
      </c>
      <c r="O2125">
        <v>32</v>
      </c>
      <c r="P2125">
        <v>7</v>
      </c>
      <c r="Q2125">
        <v>13</v>
      </c>
      <c r="R2125">
        <v>7</v>
      </c>
      <c r="S2125">
        <v>0.35</v>
      </c>
      <c r="T2125" t="s">
        <v>10857</v>
      </c>
      <c r="U2125" t="s">
        <v>152</v>
      </c>
      <c r="V2125" t="s">
        <v>62</v>
      </c>
      <c r="W2125" t="s">
        <v>62</v>
      </c>
      <c r="X2125">
        <v>1</v>
      </c>
      <c r="Y2125">
        <v>2</v>
      </c>
      <c r="Z2125">
        <v>12</v>
      </c>
      <c r="AA2125">
        <v>0.14285999999999999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9</v>
      </c>
      <c r="AK2125">
        <v>0</v>
      </c>
      <c r="AL2125">
        <v>17</v>
      </c>
      <c r="AM2125">
        <v>13</v>
      </c>
      <c r="AN2125">
        <v>58</v>
      </c>
      <c r="AO2125">
        <v>9</v>
      </c>
      <c r="AP2125">
        <v>48</v>
      </c>
      <c r="AQ2125">
        <v>5</v>
      </c>
      <c r="AR2125" t="s">
        <v>19822</v>
      </c>
      <c r="AS2125" t="s">
        <v>19823</v>
      </c>
      <c r="AT2125">
        <v>0.32700000000000001</v>
      </c>
      <c r="AU2125" t="s">
        <v>65</v>
      </c>
      <c r="AV2125">
        <v>106</v>
      </c>
      <c r="AW2125">
        <v>14</v>
      </c>
      <c r="AX2125" t="s">
        <v>19824</v>
      </c>
      <c r="AY2125">
        <v>6.3930000000000001E-2</v>
      </c>
      <c r="AZ2125">
        <v>-3.3999999999999998E-3</v>
      </c>
      <c r="BA2125">
        <v>2.63E-3</v>
      </c>
      <c r="BB2125">
        <v>-1.6000000000000001E-4</v>
      </c>
      <c r="BC2125">
        <v>4.1140000000000003E-2</v>
      </c>
      <c r="BD2125">
        <v>1</v>
      </c>
      <c r="BE2125" t="s">
        <v>69</v>
      </c>
      <c r="BF2125">
        <v>-1.726</v>
      </c>
      <c r="BG2125">
        <v>-1.742</v>
      </c>
    </row>
    <row r="2126" spans="1:59">
      <c r="A2126">
        <v>0</v>
      </c>
      <c r="B2126">
        <v>3</v>
      </c>
      <c r="C2126">
        <v>0</v>
      </c>
      <c r="D2126" t="s">
        <v>25022</v>
      </c>
      <c r="E2126">
        <v>3328</v>
      </c>
      <c r="F2126" t="s">
        <v>19434</v>
      </c>
      <c r="G2126" t="s">
        <v>62</v>
      </c>
      <c r="H2126">
        <v>3300037</v>
      </c>
      <c r="I2126">
        <v>3301254</v>
      </c>
      <c r="J2126" t="s">
        <v>19435</v>
      </c>
      <c r="K2126">
        <v>406</v>
      </c>
      <c r="L2126" t="s">
        <v>108</v>
      </c>
      <c r="M2126">
        <v>44</v>
      </c>
      <c r="N2126" t="str">
        <f>HYPERLINK("Gene3328-zp_tree_all.dnd", "Gene3328-tree")</f>
        <v>Gene3328-tree</v>
      </c>
      <c r="O2126">
        <v>8</v>
      </c>
      <c r="P2126">
        <v>6</v>
      </c>
      <c r="Q2126">
        <v>8</v>
      </c>
      <c r="R2126">
        <v>6</v>
      </c>
      <c r="S2126">
        <v>0.42857000000000001</v>
      </c>
      <c r="T2126" t="s">
        <v>136</v>
      </c>
      <c r="U2126" t="s">
        <v>90</v>
      </c>
      <c r="V2126" t="s">
        <v>62</v>
      </c>
      <c r="W2126" t="s">
        <v>62</v>
      </c>
      <c r="X2126">
        <v>1</v>
      </c>
      <c r="Y2126">
        <v>3</v>
      </c>
      <c r="Z2126">
        <v>8</v>
      </c>
      <c r="AA2126">
        <v>0.27272999999999997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2</v>
      </c>
      <c r="AH2126">
        <v>0</v>
      </c>
      <c r="AI2126">
        <v>2</v>
      </c>
      <c r="AJ2126">
        <v>8</v>
      </c>
      <c r="AK2126">
        <v>0.2</v>
      </c>
      <c r="AL2126">
        <v>11</v>
      </c>
      <c r="AM2126">
        <v>11</v>
      </c>
      <c r="AN2126">
        <v>47</v>
      </c>
      <c r="AO2126">
        <v>10</v>
      </c>
      <c r="AP2126">
        <v>37</v>
      </c>
      <c r="AQ2126">
        <v>1</v>
      </c>
      <c r="AR2126" t="s">
        <v>19436</v>
      </c>
      <c r="AS2126" t="s">
        <v>19437</v>
      </c>
      <c r="AT2126">
        <v>1.107</v>
      </c>
      <c r="AU2126" t="s">
        <v>65</v>
      </c>
      <c r="AV2126">
        <v>84</v>
      </c>
      <c r="AW2126">
        <v>11</v>
      </c>
      <c r="AX2126" t="s">
        <v>8609</v>
      </c>
      <c r="AY2126">
        <v>5.9150000000000001E-2</v>
      </c>
      <c r="AZ2126">
        <v>-2.3E-3</v>
      </c>
      <c r="BA2126">
        <v>1.7099999999999999E-3</v>
      </c>
      <c r="BB2126">
        <v>-1.4999999999999999E-4</v>
      </c>
      <c r="BC2126">
        <v>2.887E-2</v>
      </c>
      <c r="BD2126">
        <v>1</v>
      </c>
      <c r="BE2126" t="s">
        <v>69</v>
      </c>
      <c r="BF2126">
        <v>-0.61799999999999999</v>
      </c>
      <c r="BG2126">
        <v>-1.05</v>
      </c>
    </row>
    <row r="2127" spans="1:59">
      <c r="A2127">
        <v>0</v>
      </c>
      <c r="B2127">
        <v>15</v>
      </c>
      <c r="C2127">
        <v>0</v>
      </c>
      <c r="D2127" t="s">
        <v>25022</v>
      </c>
      <c r="E2127">
        <v>558</v>
      </c>
      <c r="F2127" t="s">
        <v>3587</v>
      </c>
      <c r="G2127" t="s">
        <v>57</v>
      </c>
      <c r="H2127">
        <v>587744</v>
      </c>
      <c r="I2127">
        <v>588964</v>
      </c>
      <c r="J2127" t="s">
        <v>3588</v>
      </c>
      <c r="K2127">
        <v>407</v>
      </c>
      <c r="L2127" t="s">
        <v>2914</v>
      </c>
      <c r="M2127">
        <v>38</v>
      </c>
      <c r="N2127" t="str">
        <f>HYPERLINK("Gene558-zp_tree_all.dnd", "Gene558-tree")</f>
        <v>Gene558-tree</v>
      </c>
      <c r="O2127">
        <v>3</v>
      </c>
      <c r="P2127">
        <v>23</v>
      </c>
      <c r="Q2127">
        <v>3</v>
      </c>
      <c r="R2127">
        <v>6</v>
      </c>
      <c r="S2127">
        <v>0.66666999999999998</v>
      </c>
      <c r="T2127" t="s">
        <v>324</v>
      </c>
      <c r="U2127" t="s">
        <v>3589</v>
      </c>
      <c r="V2127">
        <v>2.27</v>
      </c>
      <c r="W2127" t="s">
        <v>65</v>
      </c>
      <c r="X2127">
        <v>7</v>
      </c>
      <c r="Y2127">
        <v>15</v>
      </c>
      <c r="Z2127">
        <v>13</v>
      </c>
      <c r="AA2127">
        <v>0.53571000000000002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8</v>
      </c>
      <c r="AH2127">
        <v>0</v>
      </c>
      <c r="AI2127">
        <v>8</v>
      </c>
      <c r="AJ2127">
        <v>11</v>
      </c>
      <c r="AK2127">
        <v>0.42104999999999998</v>
      </c>
      <c r="AL2127">
        <v>7</v>
      </c>
      <c r="AM2127">
        <v>6</v>
      </c>
      <c r="AN2127">
        <v>15</v>
      </c>
      <c r="AO2127">
        <v>10</v>
      </c>
      <c r="AP2127">
        <v>16</v>
      </c>
      <c r="AQ2127">
        <v>18</v>
      </c>
      <c r="AR2127" t="s">
        <v>3590</v>
      </c>
      <c r="AS2127" t="s">
        <v>3591</v>
      </c>
      <c r="AT2127">
        <v>0.69799999999999995</v>
      </c>
      <c r="AU2127" t="s">
        <v>65</v>
      </c>
      <c r="AV2127">
        <v>31</v>
      </c>
      <c r="AW2127">
        <v>28</v>
      </c>
      <c r="AX2127" t="s">
        <v>3592</v>
      </c>
      <c r="AY2127">
        <v>3.4380000000000001E-2</v>
      </c>
      <c r="AZ2127">
        <v>-2.3E-3</v>
      </c>
      <c r="BA2127">
        <v>9.0399999999999994E-3</v>
      </c>
      <c r="BB2127">
        <v>-6.4999999999999997E-4</v>
      </c>
      <c r="BC2127">
        <v>0.26289000000000001</v>
      </c>
      <c r="BD2127">
        <v>1</v>
      </c>
      <c r="BE2127" t="s">
        <v>69</v>
      </c>
      <c r="BF2127">
        <v>0.46600000000000003</v>
      </c>
      <c r="BG2127">
        <v>-0.34100000000000003</v>
      </c>
    </row>
    <row r="2128" spans="1:59">
      <c r="A2128">
        <v>0</v>
      </c>
      <c r="B2128">
        <v>0</v>
      </c>
      <c r="C2128">
        <v>2</v>
      </c>
      <c r="D2128" t="s">
        <v>25022</v>
      </c>
      <c r="E2128">
        <v>375</v>
      </c>
      <c r="F2128" t="s">
        <v>2547</v>
      </c>
      <c r="G2128" t="s">
        <v>57</v>
      </c>
      <c r="H2128">
        <v>421734</v>
      </c>
      <c r="I2128">
        <v>422954</v>
      </c>
      <c r="J2128" t="s">
        <v>2541</v>
      </c>
      <c r="K2128">
        <v>407</v>
      </c>
      <c r="L2128" t="s">
        <v>2548</v>
      </c>
      <c r="M2128">
        <v>37</v>
      </c>
      <c r="N2128" t="str">
        <f>HYPERLINK("Gene375-zp_tree_all.dnd", "Gene375-tree")</f>
        <v>Gene375-tree</v>
      </c>
      <c r="O2128">
        <v>7</v>
      </c>
      <c r="P2128">
        <v>2</v>
      </c>
      <c r="Q2128">
        <v>7</v>
      </c>
      <c r="R2128">
        <v>2</v>
      </c>
      <c r="S2128">
        <v>0.22222</v>
      </c>
      <c r="T2128" t="s">
        <v>152</v>
      </c>
      <c r="U2128" t="s">
        <v>81</v>
      </c>
      <c r="V2128" t="s">
        <v>62</v>
      </c>
      <c r="W2128" t="s">
        <v>62</v>
      </c>
      <c r="X2128">
        <v>1</v>
      </c>
      <c r="Y2128">
        <v>2</v>
      </c>
      <c r="Z2128">
        <v>13</v>
      </c>
      <c r="AA2128">
        <v>0.13333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4</v>
      </c>
      <c r="AK2128">
        <v>0</v>
      </c>
      <c r="AL2128">
        <v>8</v>
      </c>
      <c r="AM2128">
        <v>3</v>
      </c>
      <c r="AN2128">
        <v>10</v>
      </c>
      <c r="AO2128">
        <v>5</v>
      </c>
      <c r="AP2128">
        <v>15</v>
      </c>
      <c r="AQ2128">
        <v>12</v>
      </c>
      <c r="AR2128" t="s">
        <v>2549</v>
      </c>
      <c r="AS2128" t="s">
        <v>2550</v>
      </c>
      <c r="AT2128">
        <v>0.28699999999999998</v>
      </c>
      <c r="AU2128" t="s">
        <v>65</v>
      </c>
      <c r="AV2128">
        <v>25</v>
      </c>
      <c r="AW2128">
        <v>17</v>
      </c>
      <c r="AX2128" t="s">
        <v>2551</v>
      </c>
      <c r="AY2128">
        <v>3.8300000000000001E-2</v>
      </c>
      <c r="AZ2128">
        <v>-4.0099999999999997E-3</v>
      </c>
      <c r="BA2128">
        <v>8.1300000000000001E-3</v>
      </c>
      <c r="BB2128">
        <v>-7.9000000000000001E-4</v>
      </c>
      <c r="BC2128">
        <v>0.21224999999999999</v>
      </c>
      <c r="BD2128">
        <v>1</v>
      </c>
      <c r="BE2128" t="s">
        <v>69</v>
      </c>
      <c r="BF2128">
        <v>1.0089999999999999</v>
      </c>
      <c r="BG2128">
        <v>0.498</v>
      </c>
    </row>
    <row r="2129" spans="1:59">
      <c r="A2129">
        <v>0</v>
      </c>
      <c r="B2129">
        <v>2</v>
      </c>
      <c r="C2129">
        <v>2</v>
      </c>
      <c r="D2129" t="s">
        <v>25022</v>
      </c>
      <c r="E2129">
        <v>1466</v>
      </c>
      <c r="F2129" t="s">
        <v>9165</v>
      </c>
      <c r="G2129" t="s">
        <v>57</v>
      </c>
      <c r="H2129">
        <v>1482248</v>
      </c>
      <c r="I2129">
        <v>1483468</v>
      </c>
      <c r="J2129" t="s">
        <v>9166</v>
      </c>
      <c r="K2129">
        <v>407</v>
      </c>
      <c r="L2129" t="s">
        <v>289</v>
      </c>
      <c r="M2129">
        <v>46</v>
      </c>
      <c r="N2129" t="str">
        <f>HYPERLINK("Gene1466-zp_tree_all.dnd", "Gene1466-tree")</f>
        <v>Gene1466-tree</v>
      </c>
      <c r="O2129">
        <v>11</v>
      </c>
      <c r="P2129">
        <v>5</v>
      </c>
      <c r="Q2129">
        <v>11</v>
      </c>
      <c r="R2129">
        <v>5</v>
      </c>
      <c r="S2129">
        <v>0.3125</v>
      </c>
      <c r="T2129" t="s">
        <v>73</v>
      </c>
      <c r="U2129" t="s">
        <v>199</v>
      </c>
      <c r="V2129" t="s">
        <v>62</v>
      </c>
      <c r="W2129" t="s">
        <v>62</v>
      </c>
      <c r="X2129">
        <v>2</v>
      </c>
      <c r="Y2129">
        <v>4</v>
      </c>
      <c r="Z2129">
        <v>7</v>
      </c>
      <c r="AA2129">
        <v>0.36364000000000002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2</v>
      </c>
      <c r="AI2129">
        <v>2</v>
      </c>
      <c r="AJ2129">
        <v>3</v>
      </c>
      <c r="AK2129">
        <v>0.4</v>
      </c>
      <c r="AL2129">
        <v>13</v>
      </c>
      <c r="AM2129">
        <v>11</v>
      </c>
      <c r="AN2129">
        <v>39</v>
      </c>
      <c r="AO2129">
        <v>5</v>
      </c>
      <c r="AP2129">
        <v>69</v>
      </c>
      <c r="AQ2129">
        <v>6</v>
      </c>
      <c r="AR2129" t="s">
        <v>9167</v>
      </c>
      <c r="AS2129" t="s">
        <v>9168</v>
      </c>
      <c r="AT2129">
        <v>0.29099999999999998</v>
      </c>
      <c r="AU2129" t="s">
        <v>65</v>
      </c>
      <c r="AV2129">
        <v>108</v>
      </c>
      <c r="AW2129">
        <v>11</v>
      </c>
      <c r="AX2129" t="s">
        <v>9169</v>
      </c>
      <c r="AY2129">
        <v>9.0529999999999999E-2</v>
      </c>
      <c r="AZ2129">
        <v>-6.5199999999999998E-3</v>
      </c>
      <c r="BA2129">
        <v>2.16E-3</v>
      </c>
      <c r="BB2129">
        <v>-1.6000000000000001E-4</v>
      </c>
      <c r="BC2129">
        <v>2.3810000000000001E-2</v>
      </c>
      <c r="BD2129">
        <v>1</v>
      </c>
      <c r="BE2129" t="s">
        <v>69</v>
      </c>
      <c r="BF2129">
        <v>-1.268</v>
      </c>
      <c r="BG2129">
        <v>0.156</v>
      </c>
    </row>
    <row r="2130" spans="1:59">
      <c r="A2130">
        <v>0</v>
      </c>
      <c r="B2130">
        <v>13</v>
      </c>
      <c r="C2130">
        <v>4</v>
      </c>
      <c r="D2130" t="s">
        <v>25022</v>
      </c>
      <c r="E2130">
        <v>1025</v>
      </c>
      <c r="F2130" t="s">
        <v>6440</v>
      </c>
      <c r="G2130" t="s">
        <v>57</v>
      </c>
      <c r="H2130">
        <v>1064846</v>
      </c>
      <c r="I2130">
        <v>1066069</v>
      </c>
      <c r="J2130" t="s">
        <v>6441</v>
      </c>
      <c r="K2130">
        <v>408</v>
      </c>
      <c r="L2130" t="s">
        <v>108</v>
      </c>
      <c r="M2130">
        <v>44</v>
      </c>
      <c r="N2130" t="str">
        <f>HYPERLINK("Gene1025-zp_tree_all.dnd", "Gene1025-tree")</f>
        <v>Gene1025-tree</v>
      </c>
      <c r="O2130">
        <v>3</v>
      </c>
      <c r="P2130">
        <v>9</v>
      </c>
      <c r="Q2130">
        <v>3</v>
      </c>
      <c r="R2130">
        <v>9</v>
      </c>
      <c r="S2130">
        <v>0.75</v>
      </c>
      <c r="T2130" t="s">
        <v>324</v>
      </c>
      <c r="U2130" t="s">
        <v>135</v>
      </c>
      <c r="V2130" t="s">
        <v>62</v>
      </c>
      <c r="W2130" t="s">
        <v>62</v>
      </c>
      <c r="X2130">
        <v>8</v>
      </c>
      <c r="Y2130">
        <v>17</v>
      </c>
      <c r="Z2130">
        <v>12</v>
      </c>
      <c r="AA2130">
        <v>0.58621000000000001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7</v>
      </c>
      <c r="AH2130">
        <v>4</v>
      </c>
      <c r="AI2130">
        <v>11</v>
      </c>
      <c r="AJ2130">
        <v>12</v>
      </c>
      <c r="AK2130">
        <v>0.47826000000000002</v>
      </c>
      <c r="AL2130">
        <v>10</v>
      </c>
      <c r="AM2130">
        <v>7</v>
      </c>
      <c r="AN2130">
        <v>39</v>
      </c>
      <c r="AO2130">
        <v>23</v>
      </c>
      <c r="AP2130">
        <v>10</v>
      </c>
      <c r="AQ2130">
        <v>6</v>
      </c>
      <c r="AR2130" t="s">
        <v>6442</v>
      </c>
      <c r="AS2130" t="s">
        <v>6443</v>
      </c>
      <c r="AT2130">
        <v>0.05</v>
      </c>
      <c r="AU2130" t="s">
        <v>65</v>
      </c>
      <c r="AV2130">
        <v>49</v>
      </c>
      <c r="AW2130">
        <v>29</v>
      </c>
      <c r="AX2130" t="s">
        <v>6444</v>
      </c>
      <c r="AY2130">
        <v>3.5740000000000001E-2</v>
      </c>
      <c r="AZ2130">
        <v>-2.2599999999999999E-3</v>
      </c>
      <c r="BA2130">
        <v>6.0499999999999998E-3</v>
      </c>
      <c r="BB2130">
        <v>-3.2000000000000003E-4</v>
      </c>
      <c r="BC2130">
        <v>0.16925000000000001</v>
      </c>
      <c r="BD2130">
        <v>1</v>
      </c>
      <c r="BE2130" t="s">
        <v>69</v>
      </c>
      <c r="BF2130">
        <v>-0.67800000000000005</v>
      </c>
      <c r="BG2130">
        <v>-0.91800000000000004</v>
      </c>
    </row>
    <row r="2131" spans="1:59">
      <c r="A2131">
        <v>0</v>
      </c>
      <c r="B2131">
        <v>10</v>
      </c>
      <c r="C2131">
        <v>0</v>
      </c>
      <c r="D2131" t="s">
        <v>25022</v>
      </c>
      <c r="E2131">
        <v>355</v>
      </c>
      <c r="F2131" t="s">
        <v>2421</v>
      </c>
      <c r="G2131" t="s">
        <v>57</v>
      </c>
      <c r="H2131">
        <v>403217</v>
      </c>
      <c r="I2131">
        <v>404440</v>
      </c>
      <c r="J2131" t="s">
        <v>2422</v>
      </c>
      <c r="K2131">
        <v>408</v>
      </c>
      <c r="L2131" t="s">
        <v>265</v>
      </c>
      <c r="M2131">
        <v>43</v>
      </c>
      <c r="N2131" t="str">
        <f>HYPERLINK("Gene355-zp_tree_all.dnd", "Gene355-tree")</f>
        <v>Gene355-tree</v>
      </c>
      <c r="O2131">
        <v>6</v>
      </c>
      <c r="P2131">
        <v>11</v>
      </c>
      <c r="Q2131">
        <v>6</v>
      </c>
      <c r="R2131">
        <v>11</v>
      </c>
      <c r="S2131">
        <v>0.64705999999999997</v>
      </c>
      <c r="T2131" t="s">
        <v>90</v>
      </c>
      <c r="U2131" t="s">
        <v>73</v>
      </c>
      <c r="V2131">
        <v>95384385.856999993</v>
      </c>
      <c r="W2131" t="s">
        <v>267</v>
      </c>
      <c r="X2131">
        <v>4</v>
      </c>
      <c r="Y2131">
        <v>10</v>
      </c>
      <c r="Z2131">
        <v>22</v>
      </c>
      <c r="AA2131">
        <v>0.3125</v>
      </c>
      <c r="AB2131">
        <v>0</v>
      </c>
      <c r="AC2131">
        <v>0</v>
      </c>
      <c r="AD2131">
        <v>0</v>
      </c>
      <c r="AE2131">
        <v>2</v>
      </c>
      <c r="AF2131">
        <v>0</v>
      </c>
      <c r="AG2131">
        <v>4</v>
      </c>
      <c r="AH2131">
        <v>0</v>
      </c>
      <c r="AI2131">
        <v>4</v>
      </c>
      <c r="AJ2131">
        <v>17</v>
      </c>
      <c r="AK2131">
        <v>0.19048000000000001</v>
      </c>
      <c r="AL2131">
        <v>15</v>
      </c>
      <c r="AM2131">
        <v>13</v>
      </c>
      <c r="AN2131">
        <v>45</v>
      </c>
      <c r="AO2131">
        <v>20</v>
      </c>
      <c r="AP2131">
        <v>54</v>
      </c>
      <c r="AQ2131">
        <v>12</v>
      </c>
      <c r="AR2131" t="s">
        <v>2423</v>
      </c>
      <c r="AS2131" t="s">
        <v>2424</v>
      </c>
      <c r="AT2131">
        <v>0.97</v>
      </c>
      <c r="AU2131" t="s">
        <v>65</v>
      </c>
      <c r="AV2131">
        <v>99</v>
      </c>
      <c r="AW2131">
        <v>32</v>
      </c>
      <c r="AX2131" t="s">
        <v>2425</v>
      </c>
      <c r="AY2131">
        <v>6.1990000000000003E-2</v>
      </c>
      <c r="AZ2131">
        <v>-2.0400000000000001E-3</v>
      </c>
      <c r="BA2131">
        <v>5.8700000000000002E-3</v>
      </c>
      <c r="BB2131">
        <v>-2.5999999999999998E-4</v>
      </c>
      <c r="BC2131">
        <v>9.4759999999999997E-2</v>
      </c>
      <c r="BD2131">
        <v>1</v>
      </c>
      <c r="BE2131" t="s">
        <v>69</v>
      </c>
      <c r="BF2131">
        <v>-0.11600000000000001</v>
      </c>
      <c r="BG2131">
        <v>-0.73199999999999998</v>
      </c>
    </row>
    <row r="2132" spans="1:59">
      <c r="A2132">
        <v>0</v>
      </c>
      <c r="B2132">
        <v>4</v>
      </c>
      <c r="C2132">
        <v>0</v>
      </c>
      <c r="D2132" t="s">
        <v>25022</v>
      </c>
      <c r="E2132">
        <v>1041</v>
      </c>
      <c r="F2132" t="s">
        <v>6532</v>
      </c>
      <c r="G2132" t="s">
        <v>57</v>
      </c>
      <c r="H2132">
        <v>1078176</v>
      </c>
      <c r="I2132">
        <v>1079399</v>
      </c>
      <c r="J2132" t="s">
        <v>6533</v>
      </c>
      <c r="K2132">
        <v>408</v>
      </c>
      <c r="L2132" t="s">
        <v>265</v>
      </c>
      <c r="M2132">
        <v>43</v>
      </c>
      <c r="N2132" t="str">
        <f>HYPERLINK("Gene1041-zp_tree_all.dnd", "Gene1041-tree")</f>
        <v>Gene1041-tree</v>
      </c>
      <c r="O2132">
        <v>4</v>
      </c>
      <c r="P2132">
        <v>10</v>
      </c>
      <c r="Q2132">
        <v>4</v>
      </c>
      <c r="R2132">
        <v>10</v>
      </c>
      <c r="S2132">
        <v>0.71428999999999998</v>
      </c>
      <c r="T2132" t="s">
        <v>61</v>
      </c>
      <c r="U2132" t="s">
        <v>117</v>
      </c>
      <c r="V2132" t="s">
        <v>62</v>
      </c>
      <c r="W2132" t="s">
        <v>62</v>
      </c>
      <c r="X2132">
        <v>2</v>
      </c>
      <c r="Y2132">
        <v>4</v>
      </c>
      <c r="Z2132">
        <v>13</v>
      </c>
      <c r="AA2132">
        <v>0.23529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14</v>
      </c>
      <c r="AK2132">
        <v>0</v>
      </c>
      <c r="AL2132">
        <v>14</v>
      </c>
      <c r="AM2132">
        <v>10</v>
      </c>
      <c r="AN2132">
        <v>31</v>
      </c>
      <c r="AO2132">
        <v>14</v>
      </c>
      <c r="AP2132">
        <v>21</v>
      </c>
      <c r="AQ2132">
        <v>3</v>
      </c>
      <c r="AR2132" t="s">
        <v>6534</v>
      </c>
      <c r="AS2132" t="s">
        <v>6535</v>
      </c>
      <c r="AT2132">
        <v>1.077</v>
      </c>
      <c r="AU2132" t="s">
        <v>65</v>
      </c>
      <c r="AV2132">
        <v>52</v>
      </c>
      <c r="AW2132">
        <v>17</v>
      </c>
      <c r="AX2132" t="s">
        <v>6536</v>
      </c>
      <c r="AY2132">
        <v>3.4630000000000001E-2</v>
      </c>
      <c r="AZ2132">
        <v>-1.2199999999999999E-3</v>
      </c>
      <c r="BA2132">
        <v>3.0799999999999998E-3</v>
      </c>
      <c r="BB2132">
        <v>-1.7000000000000001E-4</v>
      </c>
      <c r="BC2132">
        <v>8.9050000000000004E-2</v>
      </c>
      <c r="BD2132">
        <v>1</v>
      </c>
      <c r="BE2132" t="s">
        <v>69</v>
      </c>
      <c r="BF2132">
        <v>-0.67100000000000004</v>
      </c>
      <c r="BG2132">
        <v>-1.4670000000000001</v>
      </c>
    </row>
    <row r="2133" spans="1:59">
      <c r="A2133">
        <v>0</v>
      </c>
      <c r="B2133">
        <v>0</v>
      </c>
      <c r="C2133">
        <v>0</v>
      </c>
      <c r="D2133" t="s">
        <v>25022</v>
      </c>
      <c r="E2133">
        <v>2964</v>
      </c>
      <c r="F2133" t="s">
        <v>17098</v>
      </c>
      <c r="G2133" t="s">
        <v>62</v>
      </c>
      <c r="H2133">
        <v>2909523</v>
      </c>
      <c r="I2133">
        <v>2910746</v>
      </c>
      <c r="J2133" t="s">
        <v>17099</v>
      </c>
      <c r="K2133">
        <v>408</v>
      </c>
      <c r="L2133" t="s">
        <v>108</v>
      </c>
      <c r="M2133">
        <v>44</v>
      </c>
      <c r="N2133" t="str">
        <f>HYPERLINK("Gene2964-zp_tree_all.dnd", "Gene2964-tree")</f>
        <v>Gene2964-tree</v>
      </c>
      <c r="O2133">
        <v>25</v>
      </c>
      <c r="P2133">
        <v>8</v>
      </c>
      <c r="Q2133">
        <v>7</v>
      </c>
      <c r="R2133">
        <v>8</v>
      </c>
      <c r="S2133">
        <v>0.53332999999999997</v>
      </c>
      <c r="T2133" t="s">
        <v>2683</v>
      </c>
      <c r="U2133" t="s">
        <v>136</v>
      </c>
      <c r="V2133" t="s">
        <v>62</v>
      </c>
      <c r="W2133" t="s">
        <v>62</v>
      </c>
      <c r="X2133">
        <v>0</v>
      </c>
      <c r="Y2133">
        <v>0</v>
      </c>
      <c r="Z2133">
        <v>12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10</v>
      </c>
      <c r="AK2133">
        <v>0</v>
      </c>
      <c r="AL2133">
        <v>13</v>
      </c>
      <c r="AM2133">
        <v>9</v>
      </c>
      <c r="AN2133">
        <v>34</v>
      </c>
      <c r="AO2133">
        <v>9</v>
      </c>
      <c r="AP2133">
        <v>13</v>
      </c>
      <c r="AQ2133">
        <v>3</v>
      </c>
      <c r="AR2133" t="s">
        <v>17100</v>
      </c>
      <c r="AS2133" t="s">
        <v>17101</v>
      </c>
      <c r="AT2133">
        <v>0.12</v>
      </c>
      <c r="AU2133" t="s">
        <v>65</v>
      </c>
      <c r="AV2133">
        <v>47</v>
      </c>
      <c r="AW2133">
        <v>12</v>
      </c>
      <c r="AX2133" t="s">
        <v>17102</v>
      </c>
      <c r="AY2133">
        <v>2.9159999999999998E-2</v>
      </c>
      <c r="AZ2133">
        <v>-1.47E-3</v>
      </c>
      <c r="BA2133">
        <v>2.2699999999999999E-3</v>
      </c>
      <c r="BB2133">
        <v>-1.2E-4</v>
      </c>
      <c r="BC2133">
        <v>7.782E-2</v>
      </c>
      <c r="BD2133">
        <v>1</v>
      </c>
      <c r="BE2133" t="s">
        <v>69</v>
      </c>
      <c r="BF2133">
        <v>-1.359</v>
      </c>
      <c r="BG2133">
        <v>-2.5129999999999999</v>
      </c>
    </row>
    <row r="2134" spans="1:59">
      <c r="A2134">
        <v>0</v>
      </c>
      <c r="B2134">
        <v>2</v>
      </c>
      <c r="C2134">
        <v>0</v>
      </c>
      <c r="D2134" t="s">
        <v>25022</v>
      </c>
      <c r="E2134">
        <v>4169</v>
      </c>
      <c r="F2134" t="s">
        <v>24538</v>
      </c>
      <c r="G2134" t="s">
        <v>62</v>
      </c>
      <c r="H2134">
        <v>4135801</v>
      </c>
      <c r="I2134">
        <v>4137024</v>
      </c>
      <c r="J2134" t="s">
        <v>2900</v>
      </c>
      <c r="K2134">
        <v>408</v>
      </c>
      <c r="L2134" t="s">
        <v>6390</v>
      </c>
      <c r="M2134">
        <v>45</v>
      </c>
      <c r="N2134" t="str">
        <f>HYPERLINK("Gene4169-zp_tree_all.dnd", "Gene4169-tree")</f>
        <v>Gene4169-tree</v>
      </c>
      <c r="O2134">
        <v>26</v>
      </c>
      <c r="P2134">
        <v>11</v>
      </c>
      <c r="Q2134">
        <v>7</v>
      </c>
      <c r="R2134">
        <v>11</v>
      </c>
      <c r="S2134">
        <v>0.61111000000000004</v>
      </c>
      <c r="T2134" t="s">
        <v>191</v>
      </c>
      <c r="U2134" t="s">
        <v>73</v>
      </c>
      <c r="V2134">
        <v>4.22</v>
      </c>
      <c r="W2134" t="s">
        <v>267</v>
      </c>
      <c r="X2134">
        <v>1</v>
      </c>
      <c r="Y2134">
        <v>2</v>
      </c>
      <c r="Z2134">
        <v>16</v>
      </c>
      <c r="AA2134">
        <v>0.11111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2</v>
      </c>
      <c r="AH2134">
        <v>0</v>
      </c>
      <c r="AI2134">
        <v>2</v>
      </c>
      <c r="AJ2134">
        <v>15</v>
      </c>
      <c r="AK2134">
        <v>0.11765</v>
      </c>
      <c r="AL2134">
        <v>15</v>
      </c>
      <c r="AM2134">
        <v>15</v>
      </c>
      <c r="AN2134">
        <v>150</v>
      </c>
      <c r="AO2134">
        <v>12</v>
      </c>
      <c r="AP2134">
        <v>109</v>
      </c>
      <c r="AQ2134">
        <v>6</v>
      </c>
      <c r="AR2134" t="s">
        <v>24539</v>
      </c>
      <c r="AS2134" t="s">
        <v>24540</v>
      </c>
      <c r="AT2134">
        <v>0.15</v>
      </c>
      <c r="AU2134" t="s">
        <v>65</v>
      </c>
      <c r="AV2134">
        <v>259</v>
      </c>
      <c r="AW2134">
        <v>18</v>
      </c>
      <c r="AX2134" t="s">
        <v>24541</v>
      </c>
      <c r="AY2134">
        <v>0.13125000000000001</v>
      </c>
      <c r="AZ2134">
        <v>-3.5400000000000002E-3</v>
      </c>
      <c r="BA2134">
        <v>2.8E-3</v>
      </c>
      <c r="BB2134">
        <v>-1.9000000000000001E-4</v>
      </c>
      <c r="BC2134">
        <v>2.1329999999999998E-2</v>
      </c>
      <c r="BD2134">
        <v>1</v>
      </c>
      <c r="BE2134" t="s">
        <v>69</v>
      </c>
      <c r="BF2134">
        <v>-0.54300000000000004</v>
      </c>
      <c r="BG2134">
        <v>-1.3380000000000001</v>
      </c>
    </row>
    <row r="2135" spans="1:59">
      <c r="A2135">
        <v>0</v>
      </c>
      <c r="B2135">
        <v>0</v>
      </c>
      <c r="C2135">
        <v>2</v>
      </c>
      <c r="D2135" t="s">
        <v>25022</v>
      </c>
      <c r="E2135">
        <v>3293</v>
      </c>
      <c r="F2135" t="s">
        <v>19215</v>
      </c>
      <c r="G2135" t="s">
        <v>62</v>
      </c>
      <c r="H2135">
        <v>3258040</v>
      </c>
      <c r="I2135">
        <v>3259266</v>
      </c>
      <c r="J2135" t="s">
        <v>19216</v>
      </c>
      <c r="K2135">
        <v>409</v>
      </c>
      <c r="L2135" t="s">
        <v>160</v>
      </c>
      <c r="M2135">
        <v>45</v>
      </c>
      <c r="N2135" t="str">
        <f>HYPERLINK("Gene3293-zp_tree_all.dnd", "Gene3293-tree")</f>
        <v>Gene3293-tree</v>
      </c>
      <c r="O2135">
        <v>11</v>
      </c>
      <c r="P2135">
        <v>7</v>
      </c>
      <c r="Q2135">
        <v>11</v>
      </c>
      <c r="R2135">
        <v>7</v>
      </c>
      <c r="S2135">
        <v>0.38889000000000001</v>
      </c>
      <c r="T2135" t="s">
        <v>73</v>
      </c>
      <c r="U2135" t="s">
        <v>152</v>
      </c>
      <c r="V2135" t="s">
        <v>62</v>
      </c>
      <c r="W2135" t="s">
        <v>62</v>
      </c>
      <c r="X2135">
        <v>1</v>
      </c>
      <c r="Y2135">
        <v>2</v>
      </c>
      <c r="Z2135">
        <v>19</v>
      </c>
      <c r="AA2135">
        <v>9.5240000000000005E-2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2</v>
      </c>
      <c r="AI2135">
        <v>2</v>
      </c>
      <c r="AJ2135">
        <v>17</v>
      </c>
      <c r="AK2135">
        <v>0.10526000000000001</v>
      </c>
      <c r="AL2135">
        <v>13</v>
      </c>
      <c r="AM2135">
        <v>11</v>
      </c>
      <c r="AN2135">
        <v>76</v>
      </c>
      <c r="AO2135">
        <v>18</v>
      </c>
      <c r="AP2135">
        <v>17</v>
      </c>
      <c r="AQ2135">
        <v>5</v>
      </c>
      <c r="AR2135" t="s">
        <v>19217</v>
      </c>
      <c r="AS2135" t="s">
        <v>19218</v>
      </c>
      <c r="AT2135">
        <v>0.125</v>
      </c>
      <c r="AU2135" t="s">
        <v>65</v>
      </c>
      <c r="AV2135">
        <v>93</v>
      </c>
      <c r="AW2135">
        <v>23</v>
      </c>
      <c r="AX2135" t="s">
        <v>19219</v>
      </c>
      <c r="AY2135">
        <v>4.7449999999999999E-2</v>
      </c>
      <c r="AZ2135">
        <v>-4.64E-3</v>
      </c>
      <c r="BA2135">
        <v>3.5300000000000002E-3</v>
      </c>
      <c r="BB2135">
        <v>-3.4000000000000002E-4</v>
      </c>
      <c r="BC2135">
        <v>7.4310000000000001E-2</v>
      </c>
      <c r="BD2135">
        <v>1</v>
      </c>
      <c r="BE2135" t="s">
        <v>69</v>
      </c>
      <c r="BF2135">
        <v>-2.0219999999999998</v>
      </c>
      <c r="BG2135">
        <v>-4.3090000000000002</v>
      </c>
    </row>
    <row r="2136" spans="1:59">
      <c r="A2136">
        <v>0</v>
      </c>
      <c r="B2136">
        <v>3</v>
      </c>
      <c r="C2136">
        <v>0</v>
      </c>
      <c r="D2136" t="s">
        <v>25022</v>
      </c>
      <c r="E2136">
        <v>3453</v>
      </c>
      <c r="F2136" t="s">
        <v>20216</v>
      </c>
      <c r="G2136" t="s">
        <v>62</v>
      </c>
      <c r="H2136">
        <v>3412131</v>
      </c>
      <c r="I2136">
        <v>3413357</v>
      </c>
      <c r="J2136" t="s">
        <v>5350</v>
      </c>
      <c r="K2136">
        <v>409</v>
      </c>
      <c r="L2136" t="s">
        <v>108</v>
      </c>
      <c r="M2136">
        <v>44</v>
      </c>
      <c r="N2136" t="str">
        <f>HYPERLINK("Gene3453-zp_tree_all.dnd", "Gene3453-tree")</f>
        <v>Gene3453-tree</v>
      </c>
      <c r="O2136">
        <v>9</v>
      </c>
      <c r="P2136">
        <v>4</v>
      </c>
      <c r="Q2136">
        <v>9</v>
      </c>
      <c r="R2136">
        <v>4</v>
      </c>
      <c r="S2136">
        <v>0.30769000000000002</v>
      </c>
      <c r="T2136" t="s">
        <v>135</v>
      </c>
      <c r="U2136" t="s">
        <v>61</v>
      </c>
      <c r="V2136" t="s">
        <v>62</v>
      </c>
      <c r="W2136" t="s">
        <v>62</v>
      </c>
      <c r="X2136">
        <v>1</v>
      </c>
      <c r="Y2136">
        <v>3</v>
      </c>
      <c r="Z2136">
        <v>7</v>
      </c>
      <c r="AA2136">
        <v>0.3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</v>
      </c>
      <c r="AH2136">
        <v>0</v>
      </c>
      <c r="AI2136">
        <v>2</v>
      </c>
      <c r="AJ2136">
        <v>6</v>
      </c>
      <c r="AK2136">
        <v>0.25</v>
      </c>
      <c r="AL2136">
        <v>11</v>
      </c>
      <c r="AM2136">
        <v>7</v>
      </c>
      <c r="AN2136">
        <v>68</v>
      </c>
      <c r="AO2136">
        <v>8</v>
      </c>
      <c r="AP2136">
        <v>17</v>
      </c>
      <c r="AQ2136">
        <v>2</v>
      </c>
      <c r="AR2136" t="s">
        <v>20217</v>
      </c>
      <c r="AS2136" t="s">
        <v>20218</v>
      </c>
      <c r="AT2136">
        <v>8.9999999999999993E-3</v>
      </c>
      <c r="AU2136" t="s">
        <v>65</v>
      </c>
      <c r="AV2136">
        <v>85</v>
      </c>
      <c r="AW2136">
        <v>10</v>
      </c>
      <c r="AX2136" t="s">
        <v>20219</v>
      </c>
      <c r="AY2136">
        <v>4.7489999999999997E-2</v>
      </c>
      <c r="AZ2136">
        <v>-2.5500000000000002E-3</v>
      </c>
      <c r="BA2136">
        <v>1.7799999999999999E-3</v>
      </c>
      <c r="BB2136">
        <v>-1.9000000000000001E-4</v>
      </c>
      <c r="BC2136">
        <v>3.7519999999999998E-2</v>
      </c>
      <c r="BD2136">
        <v>1</v>
      </c>
      <c r="BE2136" t="s">
        <v>69</v>
      </c>
      <c r="BF2136">
        <v>-1.0720000000000001</v>
      </c>
      <c r="BG2136">
        <v>-2.3690000000000002</v>
      </c>
    </row>
    <row r="2137" spans="1:59">
      <c r="A2137">
        <v>0</v>
      </c>
      <c r="B2137">
        <v>0</v>
      </c>
      <c r="C2137">
        <v>0</v>
      </c>
      <c r="D2137" t="s">
        <v>25022</v>
      </c>
      <c r="E2137">
        <v>1733</v>
      </c>
      <c r="F2137" t="s">
        <v>10870</v>
      </c>
      <c r="G2137" t="s">
        <v>57</v>
      </c>
      <c r="H2137">
        <v>1742617</v>
      </c>
      <c r="I2137">
        <v>1743843</v>
      </c>
      <c r="J2137" t="s">
        <v>10871</v>
      </c>
      <c r="K2137">
        <v>409</v>
      </c>
      <c r="L2137" t="s">
        <v>363</v>
      </c>
      <c r="M2137">
        <v>46</v>
      </c>
      <c r="N2137" t="str">
        <f>HYPERLINK("Gene1733-zp_tree_all.dnd", "Gene1733-tree")</f>
        <v>Gene1733-tree</v>
      </c>
      <c r="O2137">
        <v>11</v>
      </c>
      <c r="P2137">
        <v>3</v>
      </c>
      <c r="Q2137">
        <v>11</v>
      </c>
      <c r="R2137">
        <v>3</v>
      </c>
      <c r="S2137">
        <v>0.21429000000000001</v>
      </c>
      <c r="T2137" t="s">
        <v>73</v>
      </c>
      <c r="U2137" t="s">
        <v>324</v>
      </c>
      <c r="V2137" t="s">
        <v>62</v>
      </c>
      <c r="W2137" t="s">
        <v>62</v>
      </c>
      <c r="X2137">
        <v>0</v>
      </c>
      <c r="Y2137">
        <v>0</v>
      </c>
      <c r="Z2137">
        <v>8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5</v>
      </c>
      <c r="AK2137">
        <v>0</v>
      </c>
      <c r="AL2137">
        <v>13</v>
      </c>
      <c r="AM2137">
        <v>8</v>
      </c>
      <c r="AN2137">
        <v>73</v>
      </c>
      <c r="AO2137">
        <v>5</v>
      </c>
      <c r="AP2137">
        <v>45</v>
      </c>
      <c r="AQ2137">
        <v>4</v>
      </c>
      <c r="AR2137" t="s">
        <v>10872</v>
      </c>
      <c r="AS2137" t="s">
        <v>10873</v>
      </c>
      <c r="AT2137">
        <v>0.06</v>
      </c>
      <c r="AU2137" t="s">
        <v>65</v>
      </c>
      <c r="AV2137">
        <v>118</v>
      </c>
      <c r="AW2137">
        <v>9</v>
      </c>
      <c r="AX2137" t="s">
        <v>10874</v>
      </c>
      <c r="AY2137">
        <v>8.4220000000000003E-2</v>
      </c>
      <c r="AZ2137">
        <v>-8.3000000000000001E-3</v>
      </c>
      <c r="BA2137">
        <v>1.8799999999999999E-3</v>
      </c>
      <c r="BB2137">
        <v>-2.5000000000000001E-4</v>
      </c>
      <c r="BC2137">
        <v>2.2329999999999999E-2</v>
      </c>
      <c r="BD2137">
        <v>1</v>
      </c>
      <c r="BE2137" t="s">
        <v>69</v>
      </c>
      <c r="BF2137">
        <v>-1.748</v>
      </c>
      <c r="BG2137">
        <v>-2.9340000000000002</v>
      </c>
    </row>
    <row r="2138" spans="1:59">
      <c r="A2138">
        <v>0</v>
      </c>
      <c r="B2138">
        <v>3</v>
      </c>
      <c r="C2138">
        <v>2</v>
      </c>
      <c r="D2138" t="s">
        <v>25022</v>
      </c>
      <c r="E2138">
        <v>2781</v>
      </c>
      <c r="F2138" t="s">
        <v>15969</v>
      </c>
      <c r="G2138" t="s">
        <v>62</v>
      </c>
      <c r="H2138">
        <v>2731110</v>
      </c>
      <c r="I2138">
        <v>2732339</v>
      </c>
      <c r="J2138" t="s">
        <v>15970</v>
      </c>
      <c r="K2138">
        <v>410</v>
      </c>
      <c r="L2138" t="s">
        <v>15971</v>
      </c>
      <c r="M2138">
        <v>36</v>
      </c>
      <c r="N2138" t="str">
        <f>HYPERLINK("Gene2781-zp_tree_all.dnd", "Gene2781-tree")</f>
        <v>Gene2781-tree</v>
      </c>
      <c r="O2138">
        <v>2</v>
      </c>
      <c r="P2138">
        <v>9</v>
      </c>
      <c r="Q2138">
        <v>2</v>
      </c>
      <c r="R2138">
        <v>9</v>
      </c>
      <c r="S2138">
        <v>0.81818000000000002</v>
      </c>
      <c r="T2138" t="s">
        <v>81</v>
      </c>
      <c r="U2138" t="s">
        <v>135</v>
      </c>
      <c r="V2138" t="s">
        <v>62</v>
      </c>
      <c r="W2138" t="s">
        <v>62</v>
      </c>
      <c r="X2138">
        <v>2</v>
      </c>
      <c r="Y2138">
        <v>5</v>
      </c>
      <c r="Z2138">
        <v>23</v>
      </c>
      <c r="AA2138">
        <v>0.17857000000000001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</v>
      </c>
      <c r="AH2138">
        <v>1</v>
      </c>
      <c r="AI2138">
        <v>3</v>
      </c>
      <c r="AJ2138">
        <v>14</v>
      </c>
      <c r="AK2138">
        <v>0.17646999999999999</v>
      </c>
      <c r="AL2138">
        <v>11</v>
      </c>
      <c r="AM2138">
        <v>7</v>
      </c>
      <c r="AN2138">
        <v>26</v>
      </c>
      <c r="AO2138">
        <v>18</v>
      </c>
      <c r="AP2138">
        <v>18</v>
      </c>
      <c r="AQ2138">
        <v>13</v>
      </c>
      <c r="AR2138" t="s">
        <v>15972</v>
      </c>
      <c r="AS2138" t="s">
        <v>15973</v>
      </c>
      <c r="AT2138">
        <v>0.04</v>
      </c>
      <c r="AU2138" t="s">
        <v>65</v>
      </c>
      <c r="AV2138">
        <v>44</v>
      </c>
      <c r="AW2138">
        <v>31</v>
      </c>
      <c r="AX2138" t="s">
        <v>15974</v>
      </c>
      <c r="AY2138">
        <v>4.2880000000000001E-2</v>
      </c>
      <c r="AZ2138">
        <v>-2.8700000000000002E-3</v>
      </c>
      <c r="BA2138">
        <v>8.6099999999999996E-3</v>
      </c>
      <c r="BB2138">
        <v>-5.9999999999999995E-4</v>
      </c>
      <c r="BC2138">
        <v>0.20080000000000001</v>
      </c>
      <c r="BD2138">
        <v>1</v>
      </c>
      <c r="BE2138" t="s">
        <v>69</v>
      </c>
      <c r="BF2138">
        <v>-0.55500000000000005</v>
      </c>
      <c r="BG2138">
        <v>-0.90600000000000003</v>
      </c>
    </row>
    <row r="2139" spans="1:59">
      <c r="A2139">
        <v>0</v>
      </c>
      <c r="B2139">
        <v>2</v>
      </c>
      <c r="C2139">
        <v>0</v>
      </c>
      <c r="D2139" t="s">
        <v>25022</v>
      </c>
      <c r="E2139">
        <v>244</v>
      </c>
      <c r="F2139" t="s">
        <v>1658</v>
      </c>
      <c r="G2139" t="s">
        <v>57</v>
      </c>
      <c r="H2139">
        <v>265476</v>
      </c>
      <c r="I2139">
        <v>266705</v>
      </c>
      <c r="J2139" t="s">
        <v>1659</v>
      </c>
      <c r="K2139">
        <v>410</v>
      </c>
      <c r="L2139" t="s">
        <v>265</v>
      </c>
      <c r="M2139">
        <v>43</v>
      </c>
      <c r="N2139" t="str">
        <f>HYPERLINK("Gene244-zp_tree_all.dnd", "Gene244-tree")</f>
        <v>Gene244-tree</v>
      </c>
      <c r="O2139">
        <v>23</v>
      </c>
      <c r="P2139">
        <v>8</v>
      </c>
      <c r="Q2139">
        <v>5</v>
      </c>
      <c r="R2139">
        <v>8</v>
      </c>
      <c r="S2139">
        <v>0.61538000000000004</v>
      </c>
      <c r="T2139" t="s">
        <v>1652</v>
      </c>
      <c r="U2139" t="s">
        <v>136</v>
      </c>
      <c r="V2139" t="s">
        <v>62</v>
      </c>
      <c r="W2139" t="s">
        <v>62</v>
      </c>
      <c r="X2139">
        <v>1</v>
      </c>
      <c r="Y2139">
        <v>2</v>
      </c>
      <c r="Z2139">
        <v>9</v>
      </c>
      <c r="AA2139">
        <v>0.18182000000000001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8</v>
      </c>
      <c r="AK2139">
        <v>0</v>
      </c>
      <c r="AL2139">
        <v>10</v>
      </c>
      <c r="AM2139">
        <v>7</v>
      </c>
      <c r="AN2139">
        <v>21</v>
      </c>
      <c r="AO2139">
        <v>8</v>
      </c>
      <c r="AP2139">
        <v>10</v>
      </c>
      <c r="AQ2139">
        <v>3</v>
      </c>
      <c r="AR2139" t="s">
        <v>1660</v>
      </c>
      <c r="AS2139" t="s">
        <v>1661</v>
      </c>
      <c r="AT2139">
        <v>0.35299999999999998</v>
      </c>
      <c r="AU2139" t="s">
        <v>65</v>
      </c>
      <c r="AV2139">
        <v>31</v>
      </c>
      <c r="AW2139">
        <v>11</v>
      </c>
      <c r="AX2139" t="s">
        <v>1662</v>
      </c>
      <c r="AY2139">
        <v>2.197E-2</v>
      </c>
      <c r="AZ2139">
        <v>-1.24E-3</v>
      </c>
      <c r="BA2139">
        <v>2.3400000000000001E-3</v>
      </c>
      <c r="BB2139">
        <v>-1.2999999999999999E-4</v>
      </c>
      <c r="BC2139">
        <v>0.10642</v>
      </c>
      <c r="BD2139">
        <v>1</v>
      </c>
      <c r="BE2139" t="s">
        <v>69</v>
      </c>
      <c r="BF2139">
        <v>-1.2130000000000001</v>
      </c>
      <c r="BG2139">
        <v>-1.9430000000000001</v>
      </c>
    </row>
    <row r="2140" spans="1:59">
      <c r="A2140">
        <v>0</v>
      </c>
      <c r="B2140">
        <v>7</v>
      </c>
      <c r="C2140">
        <v>0</v>
      </c>
      <c r="D2140" t="s">
        <v>25022</v>
      </c>
      <c r="E2140">
        <v>4135</v>
      </c>
      <c r="F2140" t="s">
        <v>24330</v>
      </c>
      <c r="G2140" t="s">
        <v>62</v>
      </c>
      <c r="H2140">
        <v>4102432</v>
      </c>
      <c r="I2140">
        <v>4103661</v>
      </c>
      <c r="J2140" t="s">
        <v>24331</v>
      </c>
      <c r="K2140">
        <v>410</v>
      </c>
      <c r="L2140" t="s">
        <v>12086</v>
      </c>
      <c r="M2140">
        <v>35</v>
      </c>
      <c r="N2140" t="str">
        <f>HYPERLINK("Gene4135-zp_tree_all.dnd", "Gene4135-tree")</f>
        <v>Gene4135-tree</v>
      </c>
      <c r="O2140">
        <v>2</v>
      </c>
      <c r="P2140">
        <v>9</v>
      </c>
      <c r="Q2140">
        <v>2</v>
      </c>
      <c r="R2140">
        <v>9</v>
      </c>
      <c r="S2140">
        <v>0.81818000000000002</v>
      </c>
      <c r="T2140" t="s">
        <v>81</v>
      </c>
      <c r="U2140" t="s">
        <v>135</v>
      </c>
      <c r="V2140" t="s">
        <v>62</v>
      </c>
      <c r="W2140" t="s">
        <v>62</v>
      </c>
      <c r="X2140">
        <v>3</v>
      </c>
      <c r="Y2140">
        <v>7</v>
      </c>
      <c r="Z2140">
        <v>12</v>
      </c>
      <c r="AA2140">
        <v>0.36842000000000003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11</v>
      </c>
      <c r="AK2140">
        <v>0</v>
      </c>
      <c r="AL2140">
        <v>11</v>
      </c>
      <c r="AM2140">
        <v>8</v>
      </c>
      <c r="AN2140">
        <v>41</v>
      </c>
      <c r="AO2140">
        <v>11</v>
      </c>
      <c r="AP2140">
        <v>41</v>
      </c>
      <c r="AQ2140">
        <v>9</v>
      </c>
      <c r="AR2140" t="s">
        <v>24332</v>
      </c>
      <c r="AS2140" t="s">
        <v>24333</v>
      </c>
      <c r="AT2140">
        <v>0.14199999999999999</v>
      </c>
      <c r="AU2140" t="s">
        <v>65</v>
      </c>
      <c r="AV2140">
        <v>82</v>
      </c>
      <c r="AW2140">
        <v>20</v>
      </c>
      <c r="AX2140" t="s">
        <v>24334</v>
      </c>
      <c r="AY2140">
        <v>6.8729999999999999E-2</v>
      </c>
      <c r="AZ2140">
        <v>-5.77E-3</v>
      </c>
      <c r="BA2140">
        <v>5.3899999999999998E-3</v>
      </c>
      <c r="BB2140">
        <v>-3.3E-4</v>
      </c>
      <c r="BC2140">
        <v>7.8420000000000004E-2</v>
      </c>
      <c r="BD2140">
        <v>1</v>
      </c>
      <c r="BE2140" t="s">
        <v>69</v>
      </c>
      <c r="BF2140">
        <v>-0.35799999999999998</v>
      </c>
      <c r="BG2140">
        <v>0.157</v>
      </c>
    </row>
    <row r="2141" spans="1:59">
      <c r="A2141">
        <v>0</v>
      </c>
      <c r="B2141">
        <v>0</v>
      </c>
      <c r="C2141">
        <v>0</v>
      </c>
      <c r="D2141" t="s">
        <v>25022</v>
      </c>
      <c r="E2141">
        <v>3038</v>
      </c>
      <c r="F2141" t="s">
        <v>17571</v>
      </c>
      <c r="G2141" t="s">
        <v>62</v>
      </c>
      <c r="H2141">
        <v>2989903</v>
      </c>
      <c r="I2141">
        <v>2991132</v>
      </c>
      <c r="J2141" t="s">
        <v>17572</v>
      </c>
      <c r="K2141">
        <v>410</v>
      </c>
      <c r="L2141" t="s">
        <v>108</v>
      </c>
      <c r="M2141">
        <v>44</v>
      </c>
      <c r="N2141" t="str">
        <f>HYPERLINK("Gene3038-zp_tree_all.dnd", "Gene3038-tree")</f>
        <v>Gene3038-tree</v>
      </c>
      <c r="O2141">
        <v>11</v>
      </c>
      <c r="P2141">
        <v>3</v>
      </c>
      <c r="Q2141">
        <v>11</v>
      </c>
      <c r="R2141">
        <v>3</v>
      </c>
      <c r="S2141">
        <v>0.21429000000000001</v>
      </c>
      <c r="T2141" t="s">
        <v>73</v>
      </c>
      <c r="U2141" t="s">
        <v>324</v>
      </c>
      <c r="V2141" t="s">
        <v>62</v>
      </c>
      <c r="W2141" t="s">
        <v>62</v>
      </c>
      <c r="X2141">
        <v>0</v>
      </c>
      <c r="Y2141">
        <v>0</v>
      </c>
      <c r="Z2141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3</v>
      </c>
      <c r="AK2141">
        <v>0</v>
      </c>
      <c r="AL2141">
        <v>12</v>
      </c>
      <c r="AM2141">
        <v>8</v>
      </c>
      <c r="AN2141">
        <v>40</v>
      </c>
      <c r="AO2141">
        <v>3</v>
      </c>
      <c r="AP2141">
        <v>12</v>
      </c>
      <c r="AQ2141">
        <v>1</v>
      </c>
      <c r="AR2141" t="s">
        <v>17573</v>
      </c>
      <c r="AS2141" t="s">
        <v>17574</v>
      </c>
      <c r="AT2141">
        <v>4.1000000000000002E-2</v>
      </c>
      <c r="AU2141" t="s">
        <v>65</v>
      </c>
      <c r="AV2141">
        <v>52</v>
      </c>
      <c r="AW2141">
        <v>4</v>
      </c>
      <c r="AX2141" t="s">
        <v>17575</v>
      </c>
      <c r="AY2141">
        <v>3.109E-2</v>
      </c>
      <c r="AZ2141">
        <v>-1.92E-3</v>
      </c>
      <c r="BA2141">
        <v>7.3999999999999999E-4</v>
      </c>
      <c r="BB2141">
        <v>-6.9999999999999994E-5</v>
      </c>
      <c r="BC2141">
        <v>2.383E-2</v>
      </c>
      <c r="BD2141">
        <v>1</v>
      </c>
      <c r="BE2141" t="s">
        <v>69</v>
      </c>
      <c r="BF2141">
        <v>-1.1140000000000001</v>
      </c>
      <c r="BG2141">
        <v>-1.8360000000000001</v>
      </c>
    </row>
    <row r="2142" spans="1:59">
      <c r="A2142">
        <v>0</v>
      </c>
      <c r="B2142">
        <v>0</v>
      </c>
      <c r="C2142">
        <v>0</v>
      </c>
      <c r="D2142" t="s">
        <v>25022</v>
      </c>
      <c r="E2142">
        <v>324</v>
      </c>
      <c r="F2142" t="s">
        <v>2212</v>
      </c>
      <c r="G2142" t="s">
        <v>57</v>
      </c>
      <c r="H2142">
        <v>348724</v>
      </c>
      <c r="I2142">
        <v>349956</v>
      </c>
      <c r="J2142" t="s">
        <v>2213</v>
      </c>
      <c r="K2142">
        <v>411</v>
      </c>
      <c r="L2142" t="s">
        <v>59</v>
      </c>
      <c r="M2142">
        <v>49</v>
      </c>
      <c r="N2142" t="str">
        <f>HYPERLINK("Gene324-zp_tree_all.dnd", "Gene324-tree")</f>
        <v>Gene324-tree</v>
      </c>
      <c r="O2142">
        <v>19</v>
      </c>
      <c r="P2142">
        <v>1</v>
      </c>
      <c r="Q2142">
        <v>19</v>
      </c>
      <c r="R2142">
        <v>1</v>
      </c>
      <c r="S2142">
        <v>0.05</v>
      </c>
      <c r="T2142" t="s">
        <v>587</v>
      </c>
      <c r="U2142" t="s">
        <v>175</v>
      </c>
      <c r="V2142" t="s">
        <v>62</v>
      </c>
      <c r="W2142" t="s">
        <v>62</v>
      </c>
      <c r="X2142">
        <v>0</v>
      </c>
      <c r="Y2142">
        <v>0</v>
      </c>
      <c r="Z2142">
        <v>9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15</v>
      </c>
      <c r="AM2142">
        <v>15</v>
      </c>
      <c r="AN2142">
        <v>60</v>
      </c>
      <c r="AO2142">
        <v>1</v>
      </c>
      <c r="AP2142">
        <v>77</v>
      </c>
      <c r="AQ2142">
        <v>8</v>
      </c>
      <c r="AR2142" t="s">
        <v>2214</v>
      </c>
      <c r="AS2142" t="s">
        <v>2215</v>
      </c>
      <c r="AT2142">
        <v>0.45500000000000002</v>
      </c>
      <c r="AU2142" t="s">
        <v>65</v>
      </c>
      <c r="AV2142">
        <v>137</v>
      </c>
      <c r="AW2142">
        <v>9</v>
      </c>
      <c r="AX2142" t="s">
        <v>2216</v>
      </c>
      <c r="AY2142">
        <v>0.11459</v>
      </c>
      <c r="AZ2142">
        <v>-7.3600000000000002E-3</v>
      </c>
      <c r="BA2142">
        <v>2.47E-3</v>
      </c>
      <c r="BB2142">
        <v>-1.9000000000000001E-4</v>
      </c>
      <c r="BC2142">
        <v>2.1569999999999999E-2</v>
      </c>
      <c r="BD2142">
        <v>1</v>
      </c>
      <c r="BE2142" t="s">
        <v>69</v>
      </c>
      <c r="BF2142">
        <v>-1.468</v>
      </c>
      <c r="BG2142">
        <v>-0.91300000000000003</v>
      </c>
    </row>
    <row r="2143" spans="1:59">
      <c r="A2143">
        <v>0</v>
      </c>
      <c r="B2143">
        <v>19</v>
      </c>
      <c r="C2143">
        <v>3</v>
      </c>
      <c r="D2143" t="s">
        <v>25022</v>
      </c>
      <c r="E2143">
        <v>3372</v>
      </c>
      <c r="F2143" t="s">
        <v>19715</v>
      </c>
      <c r="G2143" t="s">
        <v>62</v>
      </c>
      <c r="H2143">
        <v>3342436</v>
      </c>
      <c r="I2143">
        <v>3343671</v>
      </c>
      <c r="J2143" t="s">
        <v>19716</v>
      </c>
      <c r="K2143">
        <v>412</v>
      </c>
      <c r="L2143" t="s">
        <v>108</v>
      </c>
      <c r="M2143">
        <v>44</v>
      </c>
      <c r="N2143" t="str">
        <f>HYPERLINK("Gene3372-zp_tree_all.dnd", "Gene3372-tree")</f>
        <v>Gene3372-tree</v>
      </c>
      <c r="O2143">
        <v>3</v>
      </c>
      <c r="P2143">
        <v>12</v>
      </c>
      <c r="Q2143">
        <v>3</v>
      </c>
      <c r="R2143">
        <v>12</v>
      </c>
      <c r="S2143">
        <v>0.8</v>
      </c>
      <c r="T2143" t="s">
        <v>324</v>
      </c>
      <c r="U2143" t="s">
        <v>109</v>
      </c>
      <c r="V2143" t="s">
        <v>62</v>
      </c>
      <c r="W2143" t="s">
        <v>62</v>
      </c>
      <c r="X2143">
        <v>8</v>
      </c>
      <c r="Y2143">
        <v>22</v>
      </c>
      <c r="Z2143">
        <v>21</v>
      </c>
      <c r="AA2143">
        <v>0.51163000000000003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7</v>
      </c>
      <c r="AH2143">
        <v>4</v>
      </c>
      <c r="AI2143">
        <v>11</v>
      </c>
      <c r="AJ2143">
        <v>18</v>
      </c>
      <c r="AK2143">
        <v>0.37930999999999998</v>
      </c>
      <c r="AL2143">
        <v>12</v>
      </c>
      <c r="AM2143">
        <v>10</v>
      </c>
      <c r="AN2143">
        <v>30</v>
      </c>
      <c r="AO2143">
        <v>24</v>
      </c>
      <c r="AP2143">
        <v>48</v>
      </c>
      <c r="AQ2143">
        <v>22</v>
      </c>
      <c r="AR2143" t="s">
        <v>19717</v>
      </c>
      <c r="AS2143" t="s">
        <v>19718</v>
      </c>
      <c r="AT2143">
        <v>0.66</v>
      </c>
      <c r="AU2143" t="s">
        <v>65</v>
      </c>
      <c r="AV2143">
        <v>78</v>
      </c>
      <c r="AW2143">
        <v>46</v>
      </c>
      <c r="AX2143" t="s">
        <v>19719</v>
      </c>
      <c r="AY2143">
        <v>7.8479999999999994E-2</v>
      </c>
      <c r="AZ2143">
        <v>-5.5199999999999997E-3</v>
      </c>
      <c r="BA2143">
        <v>1.0059999999999999E-2</v>
      </c>
      <c r="BB2143">
        <v>-5.5999999999999995E-4</v>
      </c>
      <c r="BC2143">
        <v>0.12817999999999999</v>
      </c>
      <c r="BD2143">
        <v>1</v>
      </c>
      <c r="BE2143" t="s">
        <v>69</v>
      </c>
      <c r="BF2143">
        <v>1.6459999999999999</v>
      </c>
      <c r="BG2143">
        <v>0.58299999999999996</v>
      </c>
    </row>
    <row r="2144" spans="1:59">
      <c r="A2144">
        <v>0</v>
      </c>
      <c r="B2144">
        <v>8</v>
      </c>
      <c r="C2144">
        <v>0</v>
      </c>
      <c r="D2144" t="s">
        <v>25022</v>
      </c>
      <c r="E2144">
        <v>3911</v>
      </c>
      <c r="F2144" t="s">
        <v>22939</v>
      </c>
      <c r="G2144" t="s">
        <v>62</v>
      </c>
      <c r="H2144">
        <v>3874335</v>
      </c>
      <c r="I2144">
        <v>3875570</v>
      </c>
      <c r="J2144" t="s">
        <v>2641</v>
      </c>
      <c r="K2144">
        <v>412</v>
      </c>
      <c r="L2144" t="s">
        <v>108</v>
      </c>
      <c r="M2144">
        <v>44</v>
      </c>
      <c r="N2144" t="str">
        <f>HYPERLINK("Gene3911-zp_tree_all.dnd", "Gene3911-tree")</f>
        <v>Gene3911-tree</v>
      </c>
      <c r="O2144">
        <v>2</v>
      </c>
      <c r="P2144">
        <v>12</v>
      </c>
      <c r="Q2144">
        <v>2</v>
      </c>
      <c r="R2144">
        <v>12</v>
      </c>
      <c r="S2144">
        <v>0.85714000000000001</v>
      </c>
      <c r="T2144" t="s">
        <v>81</v>
      </c>
      <c r="U2144" t="s">
        <v>109</v>
      </c>
      <c r="V2144" t="s">
        <v>62</v>
      </c>
      <c r="W2144" t="s">
        <v>62</v>
      </c>
      <c r="X2144">
        <v>3</v>
      </c>
      <c r="Y2144">
        <v>8</v>
      </c>
      <c r="Z2144">
        <v>16</v>
      </c>
      <c r="AA2144">
        <v>0.33333000000000002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</v>
      </c>
      <c r="AH2144">
        <v>0</v>
      </c>
      <c r="AI2144">
        <v>2</v>
      </c>
      <c r="AJ2144">
        <v>17</v>
      </c>
      <c r="AK2144">
        <v>0.10526000000000001</v>
      </c>
      <c r="AL2144">
        <v>13</v>
      </c>
      <c r="AM2144">
        <v>8</v>
      </c>
      <c r="AN2144">
        <v>53</v>
      </c>
      <c r="AO2144">
        <v>17</v>
      </c>
      <c r="AP2144">
        <v>21</v>
      </c>
      <c r="AQ2144">
        <v>7</v>
      </c>
      <c r="AR2144" t="s">
        <v>22940</v>
      </c>
      <c r="AS2144" t="s">
        <v>22941</v>
      </c>
      <c r="AT2144">
        <v>0.122</v>
      </c>
      <c r="AU2144" t="s">
        <v>65</v>
      </c>
      <c r="AV2144">
        <v>74</v>
      </c>
      <c r="AW2144">
        <v>24</v>
      </c>
      <c r="AX2144" t="s">
        <v>22942</v>
      </c>
      <c r="AY2144">
        <v>4.2450000000000002E-2</v>
      </c>
      <c r="AZ2144">
        <v>-1.6100000000000001E-3</v>
      </c>
      <c r="BA2144">
        <v>4.2700000000000004E-3</v>
      </c>
      <c r="BB2144">
        <v>-1.8000000000000001E-4</v>
      </c>
      <c r="BC2144">
        <v>0.10062</v>
      </c>
      <c r="BD2144">
        <v>1</v>
      </c>
      <c r="BE2144" t="s">
        <v>69</v>
      </c>
      <c r="BF2144">
        <v>-0.82</v>
      </c>
      <c r="BG2144">
        <v>-2.1360000000000001</v>
      </c>
    </row>
    <row r="2145" spans="1:59">
      <c r="A2145">
        <v>0</v>
      </c>
      <c r="B2145">
        <v>5</v>
      </c>
      <c r="C2145">
        <v>0</v>
      </c>
      <c r="D2145" t="s">
        <v>25022</v>
      </c>
      <c r="E2145">
        <v>2471</v>
      </c>
      <c r="F2145" t="s">
        <v>14398</v>
      </c>
      <c r="G2145" t="s">
        <v>62</v>
      </c>
      <c r="H2145">
        <v>2464565</v>
      </c>
      <c r="I2145">
        <v>2465800</v>
      </c>
      <c r="J2145" t="s">
        <v>14399</v>
      </c>
      <c r="K2145">
        <v>412</v>
      </c>
      <c r="L2145" t="s">
        <v>14400</v>
      </c>
      <c r="M2145">
        <v>45</v>
      </c>
      <c r="N2145" t="str">
        <f>HYPERLINK("Gene2471-zp_tree_all.dnd", "Gene2471-tree")</f>
        <v>Gene2471-tree</v>
      </c>
      <c r="O2145">
        <v>10</v>
      </c>
      <c r="P2145">
        <v>5</v>
      </c>
      <c r="Q2145">
        <v>10</v>
      </c>
      <c r="R2145">
        <v>5</v>
      </c>
      <c r="S2145">
        <v>0.33333000000000002</v>
      </c>
      <c r="T2145" t="s">
        <v>117</v>
      </c>
      <c r="U2145" t="s">
        <v>199</v>
      </c>
      <c r="V2145" t="s">
        <v>62</v>
      </c>
      <c r="W2145" t="s">
        <v>62</v>
      </c>
      <c r="X2145">
        <v>2</v>
      </c>
      <c r="Y2145">
        <v>5</v>
      </c>
      <c r="Z2145">
        <v>12</v>
      </c>
      <c r="AA2145">
        <v>0.29411999999999999</v>
      </c>
      <c r="AB2145">
        <v>0</v>
      </c>
      <c r="AC2145">
        <v>0</v>
      </c>
      <c r="AD2145">
        <v>0</v>
      </c>
      <c r="AE2145">
        <v>2</v>
      </c>
      <c r="AF2145">
        <v>0</v>
      </c>
      <c r="AG2145">
        <v>0</v>
      </c>
      <c r="AH2145">
        <v>0</v>
      </c>
      <c r="AI2145">
        <v>0</v>
      </c>
      <c r="AJ2145">
        <v>6</v>
      </c>
      <c r="AK2145">
        <v>0</v>
      </c>
      <c r="AL2145">
        <v>14</v>
      </c>
      <c r="AM2145">
        <v>12</v>
      </c>
      <c r="AN2145">
        <v>38</v>
      </c>
      <c r="AO2145">
        <v>6</v>
      </c>
      <c r="AP2145">
        <v>73</v>
      </c>
      <c r="AQ2145">
        <v>12</v>
      </c>
      <c r="AR2145" t="s">
        <v>14401</v>
      </c>
      <c r="AS2145" t="s">
        <v>14402</v>
      </c>
      <c r="AT2145">
        <v>4.0000000000000001E-3</v>
      </c>
      <c r="AU2145" t="s">
        <v>65</v>
      </c>
      <c r="AV2145">
        <v>111</v>
      </c>
      <c r="AW2145">
        <v>18</v>
      </c>
      <c r="AX2145" t="s">
        <v>14403</v>
      </c>
      <c r="AY2145">
        <v>8.4370000000000001E-2</v>
      </c>
      <c r="AZ2145">
        <v>-7.1399999999999996E-3</v>
      </c>
      <c r="BA2145">
        <v>3.9699999999999996E-3</v>
      </c>
      <c r="BB2145">
        <v>-3.6000000000000002E-4</v>
      </c>
      <c r="BC2145">
        <v>4.7030000000000002E-2</v>
      </c>
      <c r="BD2145">
        <v>1</v>
      </c>
      <c r="BE2145" t="s">
        <v>69</v>
      </c>
      <c r="BF2145">
        <v>-0.996</v>
      </c>
      <c r="BG2145">
        <v>5.0000000000000001E-3</v>
      </c>
    </row>
    <row r="2146" spans="1:59">
      <c r="A2146">
        <v>0</v>
      </c>
      <c r="B2146">
        <v>3</v>
      </c>
      <c r="C2146">
        <v>2</v>
      </c>
      <c r="D2146" t="s">
        <v>25022</v>
      </c>
      <c r="E2146">
        <v>3718</v>
      </c>
      <c r="F2146" t="s">
        <v>21787</v>
      </c>
      <c r="G2146" t="s">
        <v>62</v>
      </c>
      <c r="H2146">
        <v>3696260</v>
      </c>
      <c r="I2146">
        <v>3697498</v>
      </c>
      <c r="J2146" t="s">
        <v>21788</v>
      </c>
      <c r="K2146">
        <v>413</v>
      </c>
      <c r="L2146" t="s">
        <v>108</v>
      </c>
      <c r="M2146">
        <v>44</v>
      </c>
      <c r="N2146" t="str">
        <f>HYPERLINK("Gene3718-zp_tree_all.dnd", "Gene3718-tree")</f>
        <v>Gene3718-tree</v>
      </c>
      <c r="O2146">
        <v>10</v>
      </c>
      <c r="P2146">
        <v>7</v>
      </c>
      <c r="Q2146">
        <v>7</v>
      </c>
      <c r="R2146">
        <v>7</v>
      </c>
      <c r="S2146">
        <v>0.5</v>
      </c>
      <c r="T2146" t="s">
        <v>10421</v>
      </c>
      <c r="U2146" t="s">
        <v>152</v>
      </c>
      <c r="V2146" t="s">
        <v>62</v>
      </c>
      <c r="W2146" t="s">
        <v>62</v>
      </c>
      <c r="X2146">
        <v>2</v>
      </c>
      <c r="Y2146">
        <v>5</v>
      </c>
      <c r="Z2146">
        <v>10</v>
      </c>
      <c r="AA2146">
        <v>0.33333000000000002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3</v>
      </c>
      <c r="AH2146">
        <v>0</v>
      </c>
      <c r="AI2146">
        <v>3</v>
      </c>
      <c r="AJ2146">
        <v>11</v>
      </c>
      <c r="AK2146">
        <v>0.21429000000000001</v>
      </c>
      <c r="AL2146">
        <v>12</v>
      </c>
      <c r="AM2146">
        <v>8</v>
      </c>
      <c r="AN2146">
        <v>32</v>
      </c>
      <c r="AO2146">
        <v>14</v>
      </c>
      <c r="AP2146">
        <v>19</v>
      </c>
      <c r="AQ2146">
        <v>1</v>
      </c>
      <c r="AR2146" t="s">
        <v>21789</v>
      </c>
      <c r="AS2146" t="s">
        <v>21790</v>
      </c>
      <c r="AT2146">
        <v>1.337</v>
      </c>
      <c r="AU2146" t="s">
        <v>65</v>
      </c>
      <c r="AV2146">
        <v>51</v>
      </c>
      <c r="AW2146">
        <v>15</v>
      </c>
      <c r="AX2146" t="s">
        <v>21791</v>
      </c>
      <c r="AY2146">
        <v>3.2050000000000002E-2</v>
      </c>
      <c r="AZ2146">
        <v>-1.2099999999999999E-3</v>
      </c>
      <c r="BA2146">
        <v>2.32E-3</v>
      </c>
      <c r="BB2146">
        <v>-2.1000000000000001E-4</v>
      </c>
      <c r="BC2146">
        <v>7.2419999999999998E-2</v>
      </c>
      <c r="BD2146">
        <v>1</v>
      </c>
      <c r="BE2146" t="s">
        <v>69</v>
      </c>
      <c r="BF2146">
        <v>-0.61599999999999999</v>
      </c>
      <c r="BG2146">
        <v>-0.53400000000000003</v>
      </c>
    </row>
    <row r="2147" spans="1:59">
      <c r="A2147">
        <v>0</v>
      </c>
      <c r="B2147">
        <v>0</v>
      </c>
      <c r="C2147">
        <v>0</v>
      </c>
      <c r="D2147" t="s">
        <v>25022</v>
      </c>
      <c r="E2147">
        <v>1170</v>
      </c>
      <c r="F2147" t="s">
        <v>7368</v>
      </c>
      <c r="G2147" t="s">
        <v>57</v>
      </c>
      <c r="H2147">
        <v>1209183</v>
      </c>
      <c r="I2147">
        <v>1210421</v>
      </c>
      <c r="J2147" t="s">
        <v>7369</v>
      </c>
      <c r="K2147">
        <v>413</v>
      </c>
      <c r="L2147" t="s">
        <v>72</v>
      </c>
      <c r="M2147">
        <v>45</v>
      </c>
      <c r="N2147" t="str">
        <f>HYPERLINK("Gene1170-zp_tree_all.dnd", "Gene1170-tree")</f>
        <v>Gene1170-tree</v>
      </c>
      <c r="O2147">
        <v>31</v>
      </c>
      <c r="P2147">
        <v>3</v>
      </c>
      <c r="Q2147">
        <v>9</v>
      </c>
      <c r="R2147">
        <v>3</v>
      </c>
      <c r="S2147">
        <v>0.25</v>
      </c>
      <c r="T2147" t="s">
        <v>7370</v>
      </c>
      <c r="U2147" t="s">
        <v>324</v>
      </c>
      <c r="V2147" t="s">
        <v>62</v>
      </c>
      <c r="W2147" t="s">
        <v>62</v>
      </c>
      <c r="X2147">
        <v>0</v>
      </c>
      <c r="Y2147">
        <v>0</v>
      </c>
      <c r="Z2147">
        <v>5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5</v>
      </c>
      <c r="AK2147">
        <v>0</v>
      </c>
      <c r="AL2147">
        <v>9</v>
      </c>
      <c r="AM2147">
        <v>6</v>
      </c>
      <c r="AN2147">
        <v>79</v>
      </c>
      <c r="AO2147">
        <v>5</v>
      </c>
      <c r="AP2147">
        <v>10</v>
      </c>
      <c r="AQ2147">
        <v>0</v>
      </c>
      <c r="AR2147" t="s">
        <v>7371</v>
      </c>
      <c r="AS2147" t="s">
        <v>193</v>
      </c>
      <c r="AT2147">
        <v>0.46100000000000002</v>
      </c>
      <c r="AU2147" t="s">
        <v>65</v>
      </c>
      <c r="AV2147">
        <v>89</v>
      </c>
      <c r="AW2147">
        <v>5</v>
      </c>
      <c r="AX2147" t="s">
        <v>7372</v>
      </c>
      <c r="AY2147">
        <v>5.9720000000000002E-2</v>
      </c>
      <c r="AZ2147">
        <v>-9.4999999999999998E-3</v>
      </c>
      <c r="BA2147">
        <v>8.8999999999999995E-4</v>
      </c>
      <c r="BB2147">
        <v>-1.4999999999999999E-4</v>
      </c>
      <c r="BC2147">
        <v>1.4840000000000001E-2</v>
      </c>
      <c r="BD2147">
        <v>1</v>
      </c>
      <c r="BE2147" t="s">
        <v>69</v>
      </c>
      <c r="BF2147">
        <v>-2.2330000000000001</v>
      </c>
      <c r="BG2147">
        <v>-4.8490000000000002</v>
      </c>
    </row>
    <row r="2148" spans="1:59">
      <c r="A2148">
        <v>0</v>
      </c>
      <c r="B2148">
        <v>11</v>
      </c>
      <c r="C2148">
        <v>0</v>
      </c>
      <c r="D2148" t="s">
        <v>25022</v>
      </c>
      <c r="E2148">
        <v>1923</v>
      </c>
      <c r="F2148" t="s">
        <v>12048</v>
      </c>
      <c r="G2148" t="s">
        <v>62</v>
      </c>
      <c r="H2148">
        <v>2021226</v>
      </c>
      <c r="I2148">
        <v>2022467</v>
      </c>
      <c r="J2148" t="s">
        <v>12049</v>
      </c>
      <c r="K2148">
        <v>414</v>
      </c>
      <c r="L2148" t="s">
        <v>108</v>
      </c>
      <c r="M2148">
        <v>44</v>
      </c>
      <c r="N2148" t="str">
        <f>HYPERLINK("Gene1923-zp_tree_all.dnd", "Gene1923-tree")</f>
        <v>Gene1923-tree</v>
      </c>
      <c r="O2148">
        <v>3</v>
      </c>
      <c r="P2148">
        <v>12</v>
      </c>
      <c r="Q2148">
        <v>3</v>
      </c>
      <c r="R2148">
        <v>12</v>
      </c>
      <c r="S2148">
        <v>0.8</v>
      </c>
      <c r="T2148" t="s">
        <v>324</v>
      </c>
      <c r="U2148" t="s">
        <v>109</v>
      </c>
      <c r="V2148" t="s">
        <v>62</v>
      </c>
      <c r="W2148" t="s">
        <v>62</v>
      </c>
      <c r="X2148">
        <v>5</v>
      </c>
      <c r="Y2148">
        <v>11</v>
      </c>
      <c r="Z2148">
        <v>14</v>
      </c>
      <c r="AA2148">
        <v>0.44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6</v>
      </c>
      <c r="AH2148">
        <v>0</v>
      </c>
      <c r="AI2148">
        <v>6</v>
      </c>
      <c r="AJ2148">
        <v>16</v>
      </c>
      <c r="AK2148">
        <v>0.27272999999999997</v>
      </c>
      <c r="AL2148">
        <v>13</v>
      </c>
      <c r="AM2148">
        <v>11</v>
      </c>
      <c r="AN2148">
        <v>52</v>
      </c>
      <c r="AO2148">
        <v>19</v>
      </c>
      <c r="AP2148">
        <v>29</v>
      </c>
      <c r="AQ2148">
        <v>6</v>
      </c>
      <c r="AR2148" t="s">
        <v>12050</v>
      </c>
      <c r="AS2148" t="s">
        <v>12051</v>
      </c>
      <c r="AT2148">
        <v>0.502</v>
      </c>
      <c r="AU2148" t="s">
        <v>65</v>
      </c>
      <c r="AV2148">
        <v>81</v>
      </c>
      <c r="AW2148">
        <v>25</v>
      </c>
      <c r="AX2148" t="s">
        <v>12052</v>
      </c>
      <c r="AY2148">
        <v>4.7079999999999997E-2</v>
      </c>
      <c r="AZ2148">
        <v>-2.14E-3</v>
      </c>
      <c r="BA2148">
        <v>4.4099999999999999E-3</v>
      </c>
      <c r="BB2148">
        <v>-1.8000000000000001E-4</v>
      </c>
      <c r="BC2148">
        <v>9.3740000000000004E-2</v>
      </c>
      <c r="BD2148">
        <v>1</v>
      </c>
      <c r="BE2148" t="s">
        <v>69</v>
      </c>
      <c r="BF2148">
        <v>-1.252</v>
      </c>
      <c r="BG2148">
        <v>-1.921</v>
      </c>
    </row>
    <row r="2149" spans="1:59">
      <c r="A2149">
        <v>2</v>
      </c>
      <c r="B2149">
        <v>9</v>
      </c>
      <c r="C2149">
        <v>3</v>
      </c>
      <c r="D2149" t="s">
        <v>25022</v>
      </c>
      <c r="E2149">
        <v>2489</v>
      </c>
      <c r="F2149" t="s">
        <v>14504</v>
      </c>
      <c r="G2149" t="s">
        <v>62</v>
      </c>
      <c r="H2149">
        <v>2482272</v>
      </c>
      <c r="I2149">
        <v>2483513</v>
      </c>
      <c r="J2149" t="s">
        <v>14505</v>
      </c>
      <c r="K2149">
        <v>414</v>
      </c>
      <c r="L2149" t="s">
        <v>2803</v>
      </c>
      <c r="M2149">
        <v>45</v>
      </c>
      <c r="N2149" t="str">
        <f>HYPERLINK("Gene2489-zp_tree_all.dnd", "Gene2489-tree")</f>
        <v>Gene2489-tree</v>
      </c>
      <c r="O2149">
        <v>7</v>
      </c>
      <c r="P2149">
        <v>26</v>
      </c>
      <c r="Q2149">
        <v>7</v>
      </c>
      <c r="R2149">
        <v>8</v>
      </c>
      <c r="S2149">
        <v>0.53332999999999997</v>
      </c>
      <c r="T2149" t="s">
        <v>152</v>
      </c>
      <c r="U2149" t="s">
        <v>1616</v>
      </c>
      <c r="V2149">
        <v>3.3340000000000001</v>
      </c>
      <c r="W2149" t="s">
        <v>65</v>
      </c>
      <c r="X2149">
        <v>5</v>
      </c>
      <c r="Y2149">
        <v>14</v>
      </c>
      <c r="Z2149">
        <v>22</v>
      </c>
      <c r="AA2149">
        <v>0.38889000000000001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6</v>
      </c>
      <c r="AH2149">
        <v>3</v>
      </c>
      <c r="AI2149">
        <v>9</v>
      </c>
      <c r="AJ2149">
        <v>17</v>
      </c>
      <c r="AK2149">
        <v>0.34615000000000001</v>
      </c>
      <c r="AL2149">
        <v>13</v>
      </c>
      <c r="AM2149">
        <v>11</v>
      </c>
      <c r="AN2149">
        <v>101</v>
      </c>
      <c r="AO2149">
        <v>26</v>
      </c>
      <c r="AP2149">
        <v>57</v>
      </c>
      <c r="AQ2149">
        <v>10</v>
      </c>
      <c r="AR2149" t="s">
        <v>14506</v>
      </c>
      <c r="AS2149" t="s">
        <v>14507</v>
      </c>
      <c r="AT2149">
        <v>0.249</v>
      </c>
      <c r="AU2149" t="s">
        <v>65</v>
      </c>
      <c r="AV2149">
        <v>158</v>
      </c>
      <c r="AW2149">
        <v>36</v>
      </c>
      <c r="AX2149" t="s">
        <v>14508</v>
      </c>
      <c r="AY2149">
        <v>0.10349999999999999</v>
      </c>
      <c r="AZ2149">
        <v>-5.4599999999999996E-3</v>
      </c>
      <c r="BA2149">
        <v>6.4599999999999996E-3</v>
      </c>
      <c r="BB2149">
        <v>-5.2999999999999998E-4</v>
      </c>
      <c r="BC2149">
        <v>6.2390000000000001E-2</v>
      </c>
      <c r="BD2149">
        <v>1</v>
      </c>
      <c r="BE2149" t="s">
        <v>69</v>
      </c>
      <c r="BF2149">
        <v>-1.042</v>
      </c>
      <c r="BG2149">
        <v>-1.347</v>
      </c>
    </row>
    <row r="2150" spans="1:59">
      <c r="A2150">
        <v>0</v>
      </c>
      <c r="B2150">
        <v>0</v>
      </c>
      <c r="C2150">
        <v>0</v>
      </c>
      <c r="D2150" t="s">
        <v>25022</v>
      </c>
      <c r="E2150">
        <v>2021</v>
      </c>
      <c r="F2150" t="s">
        <v>12573</v>
      </c>
      <c r="G2150" t="s">
        <v>62</v>
      </c>
      <c r="H2150">
        <v>2115428</v>
      </c>
      <c r="I2150">
        <v>2116669</v>
      </c>
      <c r="J2150" t="s">
        <v>12574</v>
      </c>
      <c r="K2150">
        <v>414</v>
      </c>
      <c r="L2150" t="s">
        <v>629</v>
      </c>
      <c r="M2150">
        <v>43</v>
      </c>
      <c r="N2150" t="str">
        <f>HYPERLINK("Gene2021-zp_tree_all.dnd", "Gene2021-tree")</f>
        <v>Gene2021-tree</v>
      </c>
      <c r="O2150">
        <v>6</v>
      </c>
      <c r="P2150">
        <v>8</v>
      </c>
      <c r="Q2150">
        <v>6</v>
      </c>
      <c r="R2150">
        <v>8</v>
      </c>
      <c r="S2150">
        <v>0.57142999999999999</v>
      </c>
      <c r="T2150" t="s">
        <v>90</v>
      </c>
      <c r="U2150" t="s">
        <v>136</v>
      </c>
      <c r="V2150" t="s">
        <v>62</v>
      </c>
      <c r="W2150" t="s">
        <v>62</v>
      </c>
      <c r="X2150">
        <v>0</v>
      </c>
      <c r="Y2150">
        <v>0</v>
      </c>
      <c r="Z2150">
        <v>12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11</v>
      </c>
      <c r="AK2150">
        <v>0</v>
      </c>
      <c r="AL2150">
        <v>12</v>
      </c>
      <c r="AM2150">
        <v>10</v>
      </c>
      <c r="AN2150">
        <v>34</v>
      </c>
      <c r="AO2150">
        <v>11</v>
      </c>
      <c r="AP2150">
        <v>23</v>
      </c>
      <c r="AQ2150">
        <v>1</v>
      </c>
      <c r="AR2150" t="s">
        <v>12575</v>
      </c>
      <c r="AS2150" t="s">
        <v>12576</v>
      </c>
      <c r="AT2150">
        <v>1.409</v>
      </c>
      <c r="AU2150" t="s">
        <v>65</v>
      </c>
      <c r="AV2150">
        <v>57</v>
      </c>
      <c r="AW2150">
        <v>12</v>
      </c>
      <c r="AX2150" t="s">
        <v>12577</v>
      </c>
      <c r="AY2150">
        <v>3.8460000000000001E-2</v>
      </c>
      <c r="AZ2150">
        <v>-1.6199999999999999E-3</v>
      </c>
      <c r="BA2150">
        <v>2.0799999999999998E-3</v>
      </c>
      <c r="BB2150">
        <v>-1.4999999999999999E-4</v>
      </c>
      <c r="BC2150">
        <v>5.4190000000000002E-2</v>
      </c>
      <c r="BD2150">
        <v>1</v>
      </c>
      <c r="BE2150" t="s">
        <v>69</v>
      </c>
      <c r="BF2150">
        <v>-0.85499999999999998</v>
      </c>
      <c r="BG2150">
        <v>0.13600000000000001</v>
      </c>
    </row>
    <row r="2151" spans="1:59">
      <c r="A2151">
        <v>0</v>
      </c>
      <c r="B2151">
        <v>2</v>
      </c>
      <c r="C2151">
        <v>0</v>
      </c>
      <c r="D2151" t="s">
        <v>25022</v>
      </c>
      <c r="E2151">
        <v>1775</v>
      </c>
      <c r="F2151" t="s">
        <v>11118</v>
      </c>
      <c r="G2151" t="s">
        <v>57</v>
      </c>
      <c r="H2151">
        <v>1788695</v>
      </c>
      <c r="I2151">
        <v>1789939</v>
      </c>
      <c r="J2151" t="s">
        <v>11119</v>
      </c>
      <c r="K2151">
        <v>415</v>
      </c>
      <c r="L2151" t="s">
        <v>8085</v>
      </c>
      <c r="M2151">
        <v>35</v>
      </c>
      <c r="N2151" t="str">
        <f>HYPERLINK("Gene1775-zp_tree_all.dnd", "Gene1775-tree")</f>
        <v>Gene1775-tree</v>
      </c>
      <c r="O2151">
        <v>6</v>
      </c>
      <c r="P2151">
        <v>4</v>
      </c>
      <c r="Q2151">
        <v>6</v>
      </c>
      <c r="R2151">
        <v>4</v>
      </c>
      <c r="S2151">
        <v>0.4</v>
      </c>
      <c r="T2151" t="s">
        <v>90</v>
      </c>
      <c r="U2151" t="s">
        <v>61</v>
      </c>
      <c r="V2151" t="s">
        <v>62</v>
      </c>
      <c r="W2151" t="s">
        <v>62</v>
      </c>
      <c r="X2151">
        <v>1</v>
      </c>
      <c r="Y2151">
        <v>2</v>
      </c>
      <c r="Z2151">
        <v>14</v>
      </c>
      <c r="AA2151">
        <v>0.125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</v>
      </c>
      <c r="AH2151">
        <v>0</v>
      </c>
      <c r="AI2151">
        <v>2</v>
      </c>
      <c r="AJ2151">
        <v>13</v>
      </c>
      <c r="AK2151">
        <v>0.13333</v>
      </c>
      <c r="AL2151">
        <v>8</v>
      </c>
      <c r="AM2151">
        <v>6</v>
      </c>
      <c r="AN2151">
        <v>26</v>
      </c>
      <c r="AO2151">
        <v>15</v>
      </c>
      <c r="AP2151">
        <v>14</v>
      </c>
      <c r="AQ2151">
        <v>1</v>
      </c>
      <c r="AR2151" t="s">
        <v>11120</v>
      </c>
      <c r="AS2151" t="s">
        <v>11121</v>
      </c>
      <c r="AT2151">
        <v>0.77</v>
      </c>
      <c r="AU2151" t="s">
        <v>65</v>
      </c>
      <c r="AV2151">
        <v>40</v>
      </c>
      <c r="AW2151">
        <v>16</v>
      </c>
      <c r="AX2151" t="s">
        <v>11122</v>
      </c>
      <c r="AY2151">
        <v>3.3709999999999997E-2</v>
      </c>
      <c r="AZ2151">
        <v>-2.31E-3</v>
      </c>
      <c r="BA2151">
        <v>3.5000000000000001E-3</v>
      </c>
      <c r="BB2151">
        <v>-5.4000000000000001E-4</v>
      </c>
      <c r="BC2151">
        <v>0.10384</v>
      </c>
      <c r="BD2151">
        <v>1</v>
      </c>
      <c r="BE2151" t="s">
        <v>69</v>
      </c>
      <c r="BF2151">
        <v>-1.0509999999999999</v>
      </c>
      <c r="BG2151">
        <v>-2.1789999999999998</v>
      </c>
    </row>
    <row r="2152" spans="1:59">
      <c r="A2152">
        <v>2</v>
      </c>
      <c r="B2152">
        <v>7</v>
      </c>
      <c r="C2152">
        <v>0</v>
      </c>
      <c r="D2152" t="s">
        <v>25022</v>
      </c>
      <c r="E2152">
        <v>1363</v>
      </c>
      <c r="F2152" t="s">
        <v>8533</v>
      </c>
      <c r="G2152" t="s">
        <v>57</v>
      </c>
      <c r="H2152">
        <v>1379605</v>
      </c>
      <c r="I2152">
        <v>1380849</v>
      </c>
      <c r="J2152" t="s">
        <v>8534</v>
      </c>
      <c r="K2152">
        <v>415</v>
      </c>
      <c r="L2152" t="s">
        <v>108</v>
      </c>
      <c r="M2152">
        <v>44</v>
      </c>
      <c r="N2152" t="str">
        <f>HYPERLINK("Gene1363-zp_tree_all.dnd", "Gene1363-tree")</f>
        <v>Gene1363-tree</v>
      </c>
      <c r="O2152">
        <v>7</v>
      </c>
      <c r="P2152">
        <v>7</v>
      </c>
      <c r="Q2152">
        <v>7</v>
      </c>
      <c r="R2152">
        <v>7</v>
      </c>
      <c r="S2152">
        <v>0.5</v>
      </c>
      <c r="T2152" t="s">
        <v>152</v>
      </c>
      <c r="U2152" t="s">
        <v>152</v>
      </c>
      <c r="V2152" t="s">
        <v>62</v>
      </c>
      <c r="W2152" t="s">
        <v>62</v>
      </c>
      <c r="X2152">
        <v>3</v>
      </c>
      <c r="Y2152">
        <v>9</v>
      </c>
      <c r="Z2152">
        <v>9</v>
      </c>
      <c r="AA2152">
        <v>0.5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4</v>
      </c>
      <c r="AH2152">
        <v>2</v>
      </c>
      <c r="AI2152">
        <v>6</v>
      </c>
      <c r="AJ2152">
        <v>5</v>
      </c>
      <c r="AK2152">
        <v>0.54544999999999999</v>
      </c>
      <c r="AL2152">
        <v>13</v>
      </c>
      <c r="AM2152">
        <v>9</v>
      </c>
      <c r="AN2152">
        <v>54</v>
      </c>
      <c r="AO2152">
        <v>12</v>
      </c>
      <c r="AP2152">
        <v>23</v>
      </c>
      <c r="AQ2152">
        <v>7</v>
      </c>
      <c r="AR2152" t="s">
        <v>8535</v>
      </c>
      <c r="AS2152" t="s">
        <v>8536</v>
      </c>
      <c r="AT2152">
        <v>0.48899999999999999</v>
      </c>
      <c r="AU2152" t="s">
        <v>65</v>
      </c>
      <c r="AV2152">
        <v>77</v>
      </c>
      <c r="AW2152">
        <v>19</v>
      </c>
      <c r="AX2152" t="s">
        <v>8537</v>
      </c>
      <c r="AY2152">
        <v>4.3529999999999999E-2</v>
      </c>
      <c r="AZ2152">
        <v>-1.3600000000000001E-3</v>
      </c>
      <c r="BA2152">
        <v>3.2399999999999998E-3</v>
      </c>
      <c r="BB2152">
        <v>-1.8000000000000001E-4</v>
      </c>
      <c r="BC2152">
        <v>7.4529999999999999E-2</v>
      </c>
      <c r="BD2152">
        <v>1</v>
      </c>
      <c r="BE2152" t="s">
        <v>69</v>
      </c>
      <c r="BF2152">
        <v>-0.60599999999999998</v>
      </c>
      <c r="BG2152">
        <v>-0.65400000000000003</v>
      </c>
    </row>
    <row r="2153" spans="1:59">
      <c r="A2153">
        <v>0</v>
      </c>
      <c r="B2153">
        <v>4</v>
      </c>
      <c r="C2153">
        <v>0</v>
      </c>
      <c r="D2153" t="s">
        <v>25022</v>
      </c>
      <c r="E2153">
        <v>3825</v>
      </c>
      <c r="F2153" t="s">
        <v>22420</v>
      </c>
      <c r="G2153" t="s">
        <v>62</v>
      </c>
      <c r="H2153">
        <v>3789193</v>
      </c>
      <c r="I2153">
        <v>3790437</v>
      </c>
      <c r="J2153" t="s">
        <v>22421</v>
      </c>
      <c r="K2153">
        <v>415</v>
      </c>
      <c r="L2153" t="s">
        <v>59</v>
      </c>
      <c r="M2153">
        <v>49</v>
      </c>
      <c r="N2153" t="str">
        <f>HYPERLINK("Gene3825-zp_tree_all.dnd", "Gene3825-tree")</f>
        <v>Gene3825-tree</v>
      </c>
      <c r="O2153">
        <v>13</v>
      </c>
      <c r="P2153">
        <v>7</v>
      </c>
      <c r="Q2153">
        <v>13</v>
      </c>
      <c r="R2153">
        <v>7</v>
      </c>
      <c r="S2153">
        <v>0.35</v>
      </c>
      <c r="T2153" t="s">
        <v>507</v>
      </c>
      <c r="U2153" t="s">
        <v>152</v>
      </c>
      <c r="V2153" t="s">
        <v>62</v>
      </c>
      <c r="W2153" t="s">
        <v>62</v>
      </c>
      <c r="X2153">
        <v>2</v>
      </c>
      <c r="Y2153">
        <v>4</v>
      </c>
      <c r="Z2153">
        <v>8</v>
      </c>
      <c r="AA2153">
        <v>0.33333000000000002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2</v>
      </c>
      <c r="AH2153">
        <v>0</v>
      </c>
      <c r="AI2153">
        <v>2</v>
      </c>
      <c r="AJ2153">
        <v>6</v>
      </c>
      <c r="AK2153">
        <v>0.25</v>
      </c>
      <c r="AL2153">
        <v>16</v>
      </c>
      <c r="AM2153">
        <v>16</v>
      </c>
      <c r="AN2153">
        <v>55</v>
      </c>
      <c r="AO2153">
        <v>8</v>
      </c>
      <c r="AP2153">
        <v>66</v>
      </c>
      <c r="AQ2153">
        <v>4</v>
      </c>
      <c r="AR2153" t="s">
        <v>22422</v>
      </c>
      <c r="AS2153" t="s">
        <v>22423</v>
      </c>
      <c r="AT2153">
        <v>0.67</v>
      </c>
      <c r="AU2153" t="s">
        <v>65</v>
      </c>
      <c r="AV2153">
        <v>121</v>
      </c>
      <c r="AW2153">
        <v>12</v>
      </c>
      <c r="AX2153" t="s">
        <v>22424</v>
      </c>
      <c r="AY2153">
        <v>8.813E-2</v>
      </c>
      <c r="AZ2153">
        <v>-5.0299999999999997E-3</v>
      </c>
      <c r="BA2153">
        <v>1.7799999999999999E-3</v>
      </c>
      <c r="BB2153">
        <v>-1E-4</v>
      </c>
      <c r="BC2153">
        <v>2.0199999999999999E-2</v>
      </c>
      <c r="BD2153">
        <v>1</v>
      </c>
      <c r="BE2153" t="s">
        <v>69</v>
      </c>
      <c r="BF2153">
        <v>-1.3180000000000001</v>
      </c>
      <c r="BG2153">
        <v>-1.113</v>
      </c>
    </row>
    <row r="2154" spans="1:59">
      <c r="A2154">
        <v>0</v>
      </c>
      <c r="B2154">
        <v>8</v>
      </c>
      <c r="C2154">
        <v>0</v>
      </c>
      <c r="D2154" t="s">
        <v>25022</v>
      </c>
      <c r="E2154">
        <v>3047</v>
      </c>
      <c r="F2154" t="s">
        <v>17628</v>
      </c>
      <c r="G2154" t="s">
        <v>62</v>
      </c>
      <c r="H2154">
        <v>2999720</v>
      </c>
      <c r="I2154">
        <v>3000967</v>
      </c>
      <c r="J2154" t="s">
        <v>17629</v>
      </c>
      <c r="K2154">
        <v>416</v>
      </c>
      <c r="L2154" t="s">
        <v>2555</v>
      </c>
      <c r="M2154">
        <v>34</v>
      </c>
      <c r="N2154" t="str">
        <f>HYPERLINK("Gene3047-zp_tree_all.dnd", "Gene3047-tree")</f>
        <v>Gene3047-tree</v>
      </c>
      <c r="O2154">
        <v>2</v>
      </c>
      <c r="P2154">
        <v>8</v>
      </c>
      <c r="Q2154">
        <v>2</v>
      </c>
      <c r="R2154">
        <v>8</v>
      </c>
      <c r="S2154">
        <v>0.8</v>
      </c>
      <c r="T2154" t="s">
        <v>81</v>
      </c>
      <c r="U2154" t="s">
        <v>136</v>
      </c>
      <c r="V2154" t="s">
        <v>62</v>
      </c>
      <c r="W2154" t="s">
        <v>62</v>
      </c>
      <c r="X2154">
        <v>4</v>
      </c>
      <c r="Y2154">
        <v>8</v>
      </c>
      <c r="Z2154">
        <v>17</v>
      </c>
      <c r="AA2154">
        <v>0.32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4</v>
      </c>
      <c r="AH2154">
        <v>0</v>
      </c>
      <c r="AI2154">
        <v>4</v>
      </c>
      <c r="AJ2154">
        <v>16</v>
      </c>
      <c r="AK2154">
        <v>0.2</v>
      </c>
      <c r="AL2154">
        <v>7</v>
      </c>
      <c r="AM2154">
        <v>6</v>
      </c>
      <c r="AN2154">
        <v>15</v>
      </c>
      <c r="AO2154">
        <v>15</v>
      </c>
      <c r="AP2154">
        <v>14</v>
      </c>
      <c r="AQ2154">
        <v>10</v>
      </c>
      <c r="AR2154" t="s">
        <v>17630</v>
      </c>
      <c r="AS2154" t="s">
        <v>17631</v>
      </c>
      <c r="AT2154">
        <v>0.436</v>
      </c>
      <c r="AU2154" t="s">
        <v>65</v>
      </c>
      <c r="AV2154">
        <v>29</v>
      </c>
      <c r="AW2154">
        <v>25</v>
      </c>
      <c r="AX2154" t="s">
        <v>17632</v>
      </c>
      <c r="AY2154">
        <v>2.6519999999999998E-2</v>
      </c>
      <c r="AZ2154">
        <v>-1.8799999999999999E-3</v>
      </c>
      <c r="BA2154">
        <v>7.2100000000000003E-3</v>
      </c>
      <c r="BB2154">
        <v>-4.4000000000000002E-4</v>
      </c>
      <c r="BC2154">
        <v>0.27174999999999999</v>
      </c>
      <c r="BD2154">
        <v>1</v>
      </c>
      <c r="BE2154" t="s">
        <v>69</v>
      </c>
      <c r="BF2154">
        <v>0.16700000000000001</v>
      </c>
      <c r="BG2154">
        <v>-0.19700000000000001</v>
      </c>
    </row>
    <row r="2155" spans="1:59">
      <c r="A2155">
        <v>0</v>
      </c>
      <c r="B2155">
        <v>9</v>
      </c>
      <c r="C2155">
        <v>2</v>
      </c>
      <c r="D2155" t="s">
        <v>25022</v>
      </c>
      <c r="E2155">
        <v>216</v>
      </c>
      <c r="F2155" t="s">
        <v>1472</v>
      </c>
      <c r="G2155" t="s">
        <v>57</v>
      </c>
      <c r="H2155">
        <v>236879</v>
      </c>
      <c r="I2155">
        <v>238126</v>
      </c>
      <c r="J2155" t="s">
        <v>1473</v>
      </c>
      <c r="K2155">
        <v>416</v>
      </c>
      <c r="L2155" t="s">
        <v>108</v>
      </c>
      <c r="M2155">
        <v>44</v>
      </c>
      <c r="N2155" t="str">
        <f>HYPERLINK("Gene216-zp_tree_all.dnd", "Gene216-tree")</f>
        <v>Gene216-tree</v>
      </c>
      <c r="O2155">
        <v>3</v>
      </c>
      <c r="P2155">
        <v>30</v>
      </c>
      <c r="Q2155">
        <v>3</v>
      </c>
      <c r="R2155">
        <v>10</v>
      </c>
      <c r="S2155">
        <v>0.76922999999999997</v>
      </c>
      <c r="T2155" t="s">
        <v>324</v>
      </c>
      <c r="U2155" t="s">
        <v>250</v>
      </c>
      <c r="V2155">
        <v>1.494</v>
      </c>
      <c r="W2155" t="s">
        <v>65</v>
      </c>
      <c r="X2155">
        <v>5</v>
      </c>
      <c r="Y2155">
        <v>11</v>
      </c>
      <c r="Z2155">
        <v>16</v>
      </c>
      <c r="AA2155">
        <v>0.40740999999999999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4</v>
      </c>
      <c r="AH2155">
        <v>0</v>
      </c>
      <c r="AI2155">
        <v>4</v>
      </c>
      <c r="AJ2155">
        <v>16</v>
      </c>
      <c r="AK2155">
        <v>0.2</v>
      </c>
      <c r="AL2155">
        <v>11</v>
      </c>
      <c r="AM2155">
        <v>10</v>
      </c>
      <c r="AN2155">
        <v>44</v>
      </c>
      <c r="AO2155">
        <v>18</v>
      </c>
      <c r="AP2155">
        <v>34</v>
      </c>
      <c r="AQ2155">
        <v>10</v>
      </c>
      <c r="AR2155" t="s">
        <v>1474</v>
      </c>
      <c r="AS2155" t="s">
        <v>1475</v>
      </c>
      <c r="AT2155">
        <v>0.33600000000000002</v>
      </c>
      <c r="AU2155" t="s">
        <v>65</v>
      </c>
      <c r="AV2155">
        <v>78</v>
      </c>
      <c r="AW2155">
        <v>28</v>
      </c>
      <c r="AX2155" t="s">
        <v>1476</v>
      </c>
      <c r="AY2155">
        <v>5.0959999999999998E-2</v>
      </c>
      <c r="AZ2155">
        <v>-2.5100000000000001E-3</v>
      </c>
      <c r="BA2155">
        <v>6.2300000000000003E-3</v>
      </c>
      <c r="BB2155">
        <v>-2.9E-4</v>
      </c>
      <c r="BC2155">
        <v>0.12230000000000001</v>
      </c>
      <c r="BD2155">
        <v>1</v>
      </c>
      <c r="BE2155" t="s">
        <v>69</v>
      </c>
      <c r="BF2155">
        <v>-0.91800000000000004</v>
      </c>
      <c r="BG2155">
        <v>-1.9730000000000001</v>
      </c>
    </row>
    <row r="2156" spans="1:59">
      <c r="A2156">
        <v>0</v>
      </c>
      <c r="B2156">
        <v>4</v>
      </c>
      <c r="C2156">
        <v>0</v>
      </c>
      <c r="D2156" t="s">
        <v>25022</v>
      </c>
      <c r="E2156">
        <v>3371</v>
      </c>
      <c r="F2156" t="s">
        <v>19708</v>
      </c>
      <c r="G2156" t="s">
        <v>62</v>
      </c>
      <c r="H2156">
        <v>3341169</v>
      </c>
      <c r="I2156">
        <v>3342416</v>
      </c>
      <c r="J2156" t="s">
        <v>19709</v>
      </c>
      <c r="K2156">
        <v>416</v>
      </c>
      <c r="L2156" t="s">
        <v>108</v>
      </c>
      <c r="M2156">
        <v>44</v>
      </c>
      <c r="N2156" t="str">
        <f>HYPERLINK("Gene3371-zp_tree_all.dnd", "Gene3371-tree")</f>
        <v>Gene3371-tree</v>
      </c>
      <c r="O2156">
        <v>8</v>
      </c>
      <c r="P2156">
        <v>6</v>
      </c>
      <c r="Q2156">
        <v>8</v>
      </c>
      <c r="R2156">
        <v>6</v>
      </c>
      <c r="S2156">
        <v>0.42857000000000001</v>
      </c>
      <c r="T2156" t="s">
        <v>136</v>
      </c>
      <c r="U2156" t="s">
        <v>90</v>
      </c>
      <c r="V2156" t="s">
        <v>62</v>
      </c>
      <c r="W2156" t="s">
        <v>62</v>
      </c>
      <c r="X2156">
        <v>2</v>
      </c>
      <c r="Y2156">
        <v>4</v>
      </c>
      <c r="Z2156">
        <v>17</v>
      </c>
      <c r="AA2156">
        <v>0.19048000000000001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2</v>
      </c>
      <c r="AJ2156">
        <v>8</v>
      </c>
      <c r="AK2156">
        <v>0.2</v>
      </c>
      <c r="AL2156">
        <v>12</v>
      </c>
      <c r="AM2156">
        <v>10</v>
      </c>
      <c r="AN2156">
        <v>39</v>
      </c>
      <c r="AO2156">
        <v>10</v>
      </c>
      <c r="AP2156">
        <v>27</v>
      </c>
      <c r="AQ2156">
        <v>11</v>
      </c>
      <c r="AR2156" t="s">
        <v>19710</v>
      </c>
      <c r="AS2156" t="s">
        <v>19711</v>
      </c>
      <c r="AT2156">
        <v>0.46200000000000002</v>
      </c>
      <c r="AU2156" t="s">
        <v>65</v>
      </c>
      <c r="AV2156">
        <v>66</v>
      </c>
      <c r="AW2156">
        <v>21</v>
      </c>
      <c r="AX2156" t="s">
        <v>19712</v>
      </c>
      <c r="AY2156">
        <v>4.24E-2</v>
      </c>
      <c r="AZ2156">
        <v>-1.5499999999999999E-3</v>
      </c>
      <c r="BA2156">
        <v>5.13E-3</v>
      </c>
      <c r="BB2156">
        <v>-2.7999999999999998E-4</v>
      </c>
      <c r="BC2156">
        <v>0.12091</v>
      </c>
      <c r="BD2156">
        <v>1</v>
      </c>
      <c r="BE2156" t="s">
        <v>69</v>
      </c>
      <c r="BF2156">
        <v>-0.69099999999999995</v>
      </c>
      <c r="BG2156">
        <v>-1.579</v>
      </c>
    </row>
    <row r="2157" spans="1:59">
      <c r="A2157">
        <v>0</v>
      </c>
      <c r="B2157">
        <v>0</v>
      </c>
      <c r="C2157">
        <v>0</v>
      </c>
      <c r="D2157" t="s">
        <v>25022</v>
      </c>
      <c r="E2157">
        <v>1754</v>
      </c>
      <c r="F2157" t="s">
        <v>10986</v>
      </c>
      <c r="G2157" t="s">
        <v>57</v>
      </c>
      <c r="H2157">
        <v>1763222</v>
      </c>
      <c r="I2157">
        <v>1764469</v>
      </c>
      <c r="J2157" t="s">
        <v>10987</v>
      </c>
      <c r="K2157">
        <v>416</v>
      </c>
      <c r="L2157" t="s">
        <v>108</v>
      </c>
      <c r="M2157">
        <v>44</v>
      </c>
      <c r="N2157" t="str">
        <f>HYPERLINK("Gene1754-zp_tree_all.dnd", "Gene1754-tree")</f>
        <v>Gene1754-tree</v>
      </c>
      <c r="O2157">
        <v>7</v>
      </c>
      <c r="P2157">
        <v>6</v>
      </c>
      <c r="Q2157">
        <v>7</v>
      </c>
      <c r="R2157">
        <v>6</v>
      </c>
      <c r="S2157">
        <v>0.46154000000000001</v>
      </c>
      <c r="T2157" t="s">
        <v>152</v>
      </c>
      <c r="U2157" t="s">
        <v>90</v>
      </c>
      <c r="V2157" t="s">
        <v>62</v>
      </c>
      <c r="W2157" t="s">
        <v>62</v>
      </c>
      <c r="X2157">
        <v>0</v>
      </c>
      <c r="Y2157">
        <v>0</v>
      </c>
      <c r="Z2157">
        <v>8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8</v>
      </c>
      <c r="AK2157">
        <v>0</v>
      </c>
      <c r="AL2157">
        <v>9</v>
      </c>
      <c r="AM2157">
        <v>9</v>
      </c>
      <c r="AN2157">
        <v>15</v>
      </c>
      <c r="AO2157">
        <v>8</v>
      </c>
      <c r="AP2157">
        <v>15</v>
      </c>
      <c r="AQ2157">
        <v>0</v>
      </c>
      <c r="AR2157" t="s">
        <v>10988</v>
      </c>
      <c r="AS2157" t="s">
        <v>193</v>
      </c>
      <c r="AT2157">
        <v>1.427</v>
      </c>
      <c r="AU2157" t="s">
        <v>65</v>
      </c>
      <c r="AV2157">
        <v>30</v>
      </c>
      <c r="AW2157">
        <v>8</v>
      </c>
      <c r="AX2157" t="s">
        <v>10989</v>
      </c>
      <c r="AY2157">
        <v>2.3449999999999999E-2</v>
      </c>
      <c r="AZ2157">
        <v>-1.08E-3</v>
      </c>
      <c r="BA2157">
        <v>1.2899999999999999E-3</v>
      </c>
      <c r="BB2157">
        <v>-1.2999999999999999E-4</v>
      </c>
      <c r="BC2157">
        <v>5.5149999999999998E-2</v>
      </c>
      <c r="BD2157">
        <v>1</v>
      </c>
      <c r="BE2157" t="s">
        <v>69</v>
      </c>
      <c r="BF2157">
        <v>-0.752</v>
      </c>
      <c r="BG2157">
        <v>-1.71</v>
      </c>
    </row>
    <row r="2158" spans="1:59">
      <c r="A2158">
        <v>0</v>
      </c>
      <c r="B2158">
        <v>4</v>
      </c>
      <c r="C2158">
        <v>0</v>
      </c>
      <c r="D2158" t="s">
        <v>25022</v>
      </c>
      <c r="E2158">
        <v>3963</v>
      </c>
      <c r="F2158" t="s">
        <v>23284</v>
      </c>
      <c r="G2158" t="s">
        <v>62</v>
      </c>
      <c r="H2158">
        <v>3926685</v>
      </c>
      <c r="I2158">
        <v>3927932</v>
      </c>
      <c r="J2158" t="s">
        <v>23285</v>
      </c>
      <c r="K2158">
        <v>416</v>
      </c>
      <c r="L2158" t="s">
        <v>265</v>
      </c>
      <c r="M2158">
        <v>43</v>
      </c>
      <c r="N2158" t="str">
        <f>HYPERLINK("Gene3963-zp_tree_all.dnd", "Gene3963-tree")</f>
        <v>Gene3963-tree</v>
      </c>
      <c r="O2158">
        <v>7</v>
      </c>
      <c r="P2158">
        <v>23</v>
      </c>
      <c r="Q2158">
        <v>7</v>
      </c>
      <c r="R2158">
        <v>5</v>
      </c>
      <c r="S2158">
        <v>0.41666999999999998</v>
      </c>
      <c r="T2158" t="s">
        <v>152</v>
      </c>
      <c r="U2158" t="s">
        <v>1652</v>
      </c>
      <c r="V2158">
        <v>4.423</v>
      </c>
      <c r="W2158" t="s">
        <v>65</v>
      </c>
      <c r="X2158">
        <v>2</v>
      </c>
      <c r="Y2158">
        <v>4</v>
      </c>
      <c r="Z2158">
        <v>11</v>
      </c>
      <c r="AA2158">
        <v>0.26667000000000002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</v>
      </c>
      <c r="AK2158">
        <v>0</v>
      </c>
      <c r="AL2158">
        <v>12</v>
      </c>
      <c r="AM2158">
        <v>9</v>
      </c>
      <c r="AN2158">
        <v>44</v>
      </c>
      <c r="AO2158">
        <v>9</v>
      </c>
      <c r="AP2158">
        <v>43</v>
      </c>
      <c r="AQ2158">
        <v>6</v>
      </c>
      <c r="AR2158" t="s">
        <v>23286</v>
      </c>
      <c r="AS2158" t="s">
        <v>23287</v>
      </c>
      <c r="AT2158">
        <v>0.29899999999999999</v>
      </c>
      <c r="AU2158" t="s">
        <v>65</v>
      </c>
      <c r="AV2158">
        <v>87</v>
      </c>
      <c r="AW2158">
        <v>15</v>
      </c>
      <c r="AX2158" t="s">
        <v>23288</v>
      </c>
      <c r="AY2158">
        <v>7.4630000000000002E-2</v>
      </c>
      <c r="AZ2158">
        <v>-3.5200000000000001E-3</v>
      </c>
      <c r="BA2158">
        <v>3.31E-3</v>
      </c>
      <c r="BB2158">
        <v>-2.4000000000000001E-4</v>
      </c>
      <c r="BC2158">
        <v>4.4330000000000001E-2</v>
      </c>
      <c r="BD2158">
        <v>1</v>
      </c>
      <c r="BE2158" t="s">
        <v>69</v>
      </c>
      <c r="BF2158">
        <v>1.085</v>
      </c>
      <c r="BG2158">
        <v>0.189</v>
      </c>
    </row>
    <row r="2159" spans="1:59">
      <c r="A2159">
        <v>0</v>
      </c>
      <c r="B2159">
        <v>6</v>
      </c>
      <c r="C2159">
        <v>0</v>
      </c>
      <c r="D2159" t="s">
        <v>25022</v>
      </c>
      <c r="E2159">
        <v>209</v>
      </c>
      <c r="F2159" t="s">
        <v>1425</v>
      </c>
      <c r="G2159" t="s">
        <v>57</v>
      </c>
      <c r="H2159">
        <v>229525</v>
      </c>
      <c r="I2159">
        <v>230775</v>
      </c>
      <c r="J2159" t="s">
        <v>1426</v>
      </c>
      <c r="K2159">
        <v>417</v>
      </c>
      <c r="L2159" t="s">
        <v>108</v>
      </c>
      <c r="M2159">
        <v>44</v>
      </c>
      <c r="N2159" t="str">
        <f>HYPERLINK("Gene209-zp_tree_all.dnd", "Gene209-tree")</f>
        <v>Gene209-tree</v>
      </c>
      <c r="O2159">
        <v>2</v>
      </c>
      <c r="P2159">
        <v>12</v>
      </c>
      <c r="Q2159">
        <v>2</v>
      </c>
      <c r="R2159">
        <v>12</v>
      </c>
      <c r="S2159">
        <v>0.85714000000000001</v>
      </c>
      <c r="T2159" t="s">
        <v>81</v>
      </c>
      <c r="U2159" t="s">
        <v>109</v>
      </c>
      <c r="V2159" t="s">
        <v>62</v>
      </c>
      <c r="W2159" t="s">
        <v>62</v>
      </c>
      <c r="X2159">
        <v>3</v>
      </c>
      <c r="Y2159">
        <v>6</v>
      </c>
      <c r="Z2159">
        <v>25</v>
      </c>
      <c r="AA2159">
        <v>0.19355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21</v>
      </c>
      <c r="AK2159">
        <v>0</v>
      </c>
      <c r="AL2159">
        <v>13</v>
      </c>
      <c r="AM2159">
        <v>10</v>
      </c>
      <c r="AN2159">
        <v>40</v>
      </c>
      <c r="AO2159">
        <v>21</v>
      </c>
      <c r="AP2159">
        <v>45</v>
      </c>
      <c r="AQ2159">
        <v>10</v>
      </c>
      <c r="AR2159" t="s">
        <v>1427</v>
      </c>
      <c r="AS2159" t="s">
        <v>1428</v>
      </c>
      <c r="AT2159">
        <v>1.093</v>
      </c>
      <c r="AU2159" t="s">
        <v>65</v>
      </c>
      <c r="AV2159">
        <v>85</v>
      </c>
      <c r="AW2159">
        <v>31</v>
      </c>
      <c r="AX2159" t="s">
        <v>1429</v>
      </c>
      <c r="AY2159">
        <v>6.1330000000000003E-2</v>
      </c>
      <c r="AZ2159">
        <v>-5.0000000000000001E-3</v>
      </c>
      <c r="BA2159">
        <v>6.3E-3</v>
      </c>
      <c r="BB2159">
        <v>-3.3E-4</v>
      </c>
      <c r="BC2159">
        <v>0.10266</v>
      </c>
      <c r="BD2159">
        <v>1</v>
      </c>
      <c r="BE2159" t="s">
        <v>69</v>
      </c>
      <c r="BF2159">
        <v>-0.65600000000000003</v>
      </c>
      <c r="BG2159">
        <v>0.76</v>
      </c>
    </row>
    <row r="2160" spans="1:59">
      <c r="A2160">
        <v>0</v>
      </c>
      <c r="B2160">
        <v>14</v>
      </c>
      <c r="C2160">
        <v>1</v>
      </c>
      <c r="D2160" t="s">
        <v>25022</v>
      </c>
      <c r="E2160">
        <v>3587</v>
      </c>
      <c r="F2160" t="s">
        <v>21051</v>
      </c>
      <c r="G2160" t="s">
        <v>62</v>
      </c>
      <c r="H2160">
        <v>3554556</v>
      </c>
      <c r="I2160">
        <v>3555806</v>
      </c>
      <c r="J2160" t="s">
        <v>21052</v>
      </c>
      <c r="K2160">
        <v>417</v>
      </c>
      <c r="L2160" t="s">
        <v>108</v>
      </c>
      <c r="M2160">
        <v>44</v>
      </c>
      <c r="N2160" t="str">
        <f>HYPERLINK("Gene3587-zp_tree_all.dnd", "Gene3587-tree")</f>
        <v>Gene3587-tree</v>
      </c>
      <c r="O2160">
        <v>6</v>
      </c>
      <c r="P2160">
        <v>11</v>
      </c>
      <c r="Q2160">
        <v>6</v>
      </c>
      <c r="R2160">
        <v>11</v>
      </c>
      <c r="S2160">
        <v>0.64705999999999997</v>
      </c>
      <c r="T2160" t="s">
        <v>90</v>
      </c>
      <c r="U2160" t="s">
        <v>73</v>
      </c>
      <c r="V2160">
        <v>95384385.856999993</v>
      </c>
      <c r="W2160" t="s">
        <v>267</v>
      </c>
      <c r="X2160">
        <v>5</v>
      </c>
      <c r="Y2160">
        <v>15</v>
      </c>
      <c r="Z2160">
        <v>12</v>
      </c>
      <c r="AA2160">
        <v>0.55556000000000005</v>
      </c>
      <c r="AB2160">
        <v>0</v>
      </c>
      <c r="AC2160">
        <v>0</v>
      </c>
      <c r="AD2160">
        <v>0</v>
      </c>
      <c r="AE2160">
        <v>4</v>
      </c>
      <c r="AF2160">
        <v>0</v>
      </c>
      <c r="AG2160">
        <v>4</v>
      </c>
      <c r="AH2160">
        <v>1</v>
      </c>
      <c r="AI2160">
        <v>5</v>
      </c>
      <c r="AJ2160">
        <v>10</v>
      </c>
      <c r="AK2160">
        <v>0.33333000000000002</v>
      </c>
      <c r="AL2160">
        <v>15</v>
      </c>
      <c r="AM2160">
        <v>12</v>
      </c>
      <c r="AN2160">
        <v>54</v>
      </c>
      <c r="AO2160">
        <v>15</v>
      </c>
      <c r="AP2160">
        <v>54</v>
      </c>
      <c r="AQ2160">
        <v>13</v>
      </c>
      <c r="AR2160" t="s">
        <v>21053</v>
      </c>
      <c r="AS2160" t="s">
        <v>21054</v>
      </c>
      <c r="AT2160">
        <v>0.19400000000000001</v>
      </c>
      <c r="AU2160" t="s">
        <v>65</v>
      </c>
      <c r="AV2160">
        <v>108</v>
      </c>
      <c r="AW2160">
        <v>28</v>
      </c>
      <c r="AX2160" t="s">
        <v>21055</v>
      </c>
      <c r="AY2160">
        <v>6.5180000000000002E-2</v>
      </c>
      <c r="AZ2160">
        <v>-2.2000000000000001E-3</v>
      </c>
      <c r="BA2160">
        <v>4.6299999999999996E-3</v>
      </c>
      <c r="BB2160">
        <v>-1.8000000000000001E-4</v>
      </c>
      <c r="BC2160">
        <v>7.1110000000000007E-2</v>
      </c>
      <c r="BD2160">
        <v>1</v>
      </c>
      <c r="BE2160" t="s">
        <v>69</v>
      </c>
      <c r="BF2160">
        <v>0.16</v>
      </c>
      <c r="BG2160">
        <v>-0.128</v>
      </c>
    </row>
    <row r="2161" spans="1:59">
      <c r="A2161">
        <v>0</v>
      </c>
      <c r="B2161">
        <v>2</v>
      </c>
      <c r="C2161">
        <v>0</v>
      </c>
      <c r="D2161" t="s">
        <v>25022</v>
      </c>
      <c r="E2161">
        <v>2016</v>
      </c>
      <c r="F2161" t="s">
        <v>12539</v>
      </c>
      <c r="G2161" t="s">
        <v>62</v>
      </c>
      <c r="H2161">
        <v>2107508</v>
      </c>
      <c r="I2161">
        <v>2108758</v>
      </c>
      <c r="J2161" t="s">
        <v>12540</v>
      </c>
      <c r="K2161">
        <v>417</v>
      </c>
      <c r="L2161" t="s">
        <v>108</v>
      </c>
      <c r="M2161">
        <v>44</v>
      </c>
      <c r="N2161" t="str">
        <f>HYPERLINK("Gene2016-zp_tree_all.dnd", "Gene2016-tree")</f>
        <v>Gene2016-tree</v>
      </c>
      <c r="O2161">
        <v>8</v>
      </c>
      <c r="P2161">
        <v>6</v>
      </c>
      <c r="Q2161">
        <v>8</v>
      </c>
      <c r="R2161">
        <v>6</v>
      </c>
      <c r="S2161">
        <v>0.42857000000000001</v>
      </c>
      <c r="T2161" t="s">
        <v>136</v>
      </c>
      <c r="U2161" t="s">
        <v>90</v>
      </c>
      <c r="V2161" t="s">
        <v>62</v>
      </c>
      <c r="W2161" t="s">
        <v>62</v>
      </c>
      <c r="X2161">
        <v>1</v>
      </c>
      <c r="Y2161">
        <v>2</v>
      </c>
      <c r="Z2161">
        <v>9</v>
      </c>
      <c r="AA2161">
        <v>0.18182000000000001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7</v>
      </c>
      <c r="AK2161">
        <v>0</v>
      </c>
      <c r="AL2161">
        <v>12</v>
      </c>
      <c r="AM2161">
        <v>10</v>
      </c>
      <c r="AN2161">
        <v>42</v>
      </c>
      <c r="AO2161">
        <v>7</v>
      </c>
      <c r="AP2161">
        <v>23</v>
      </c>
      <c r="AQ2161">
        <v>4</v>
      </c>
      <c r="AR2161" t="s">
        <v>12541</v>
      </c>
      <c r="AS2161" t="s">
        <v>12542</v>
      </c>
      <c r="AT2161">
        <v>5.5E-2</v>
      </c>
      <c r="AU2161" t="s">
        <v>65</v>
      </c>
      <c r="AV2161">
        <v>65</v>
      </c>
      <c r="AW2161">
        <v>11</v>
      </c>
      <c r="AX2161" t="s">
        <v>12543</v>
      </c>
      <c r="AY2161">
        <v>4.5519999999999998E-2</v>
      </c>
      <c r="AZ2161">
        <v>-3.32E-3</v>
      </c>
      <c r="BA2161">
        <v>2.0999999999999999E-3</v>
      </c>
      <c r="BB2161">
        <v>-1.2E-4</v>
      </c>
      <c r="BC2161">
        <v>4.614E-2</v>
      </c>
      <c r="BD2161">
        <v>1</v>
      </c>
      <c r="BE2161" t="s">
        <v>69</v>
      </c>
      <c r="BF2161">
        <v>-1.155</v>
      </c>
      <c r="BG2161">
        <v>-1.3320000000000001</v>
      </c>
    </row>
    <row r="2162" spans="1:59">
      <c r="A2162">
        <v>0</v>
      </c>
      <c r="B2162">
        <v>2</v>
      </c>
      <c r="C2162">
        <v>0</v>
      </c>
      <c r="D2162" t="s">
        <v>25022</v>
      </c>
      <c r="E2162">
        <v>3542</v>
      </c>
      <c r="F2162" t="s">
        <v>20759</v>
      </c>
      <c r="G2162" t="s">
        <v>62</v>
      </c>
      <c r="H2162">
        <v>3505960</v>
      </c>
      <c r="I2162">
        <v>3507213</v>
      </c>
      <c r="J2162" t="s">
        <v>20754</v>
      </c>
      <c r="K2162">
        <v>418</v>
      </c>
      <c r="L2162" t="s">
        <v>108</v>
      </c>
      <c r="M2162">
        <v>44</v>
      </c>
      <c r="N2162" t="str">
        <f>HYPERLINK("Gene3542-zp_tree_all.dnd", "Gene3542-tree")</f>
        <v>Gene3542-tree</v>
      </c>
      <c r="O2162">
        <v>6</v>
      </c>
      <c r="P2162">
        <v>6</v>
      </c>
      <c r="Q2162">
        <v>6</v>
      </c>
      <c r="R2162">
        <v>6</v>
      </c>
      <c r="S2162">
        <v>0.5</v>
      </c>
      <c r="T2162" t="s">
        <v>90</v>
      </c>
      <c r="U2162" t="s">
        <v>90</v>
      </c>
      <c r="V2162" t="s">
        <v>62</v>
      </c>
      <c r="W2162" t="s">
        <v>62</v>
      </c>
      <c r="X2162">
        <v>1</v>
      </c>
      <c r="Y2162">
        <v>2</v>
      </c>
      <c r="Z2162">
        <v>8</v>
      </c>
      <c r="AA2162">
        <v>0.2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7</v>
      </c>
      <c r="AK2162">
        <v>0</v>
      </c>
      <c r="AL2162">
        <v>11</v>
      </c>
      <c r="AM2162">
        <v>9</v>
      </c>
      <c r="AN2162">
        <v>32</v>
      </c>
      <c r="AO2162">
        <v>7</v>
      </c>
      <c r="AP2162">
        <v>32</v>
      </c>
      <c r="AQ2162">
        <v>3</v>
      </c>
      <c r="AR2162" t="s">
        <v>20760</v>
      </c>
      <c r="AS2162" t="s">
        <v>20761</v>
      </c>
      <c r="AT2162">
        <v>1.0780000000000001</v>
      </c>
      <c r="AU2162" t="s">
        <v>65</v>
      </c>
      <c r="AV2162">
        <v>64</v>
      </c>
      <c r="AW2162">
        <v>10</v>
      </c>
      <c r="AX2162" t="s">
        <v>11421</v>
      </c>
      <c r="AY2162">
        <v>4.5010000000000001E-2</v>
      </c>
      <c r="AZ2162">
        <v>-1.83E-3</v>
      </c>
      <c r="BA2162">
        <v>2.3400000000000001E-3</v>
      </c>
      <c r="BB2162">
        <v>-1.4999999999999999E-4</v>
      </c>
      <c r="BC2162">
        <v>5.21E-2</v>
      </c>
      <c r="BD2162">
        <v>1</v>
      </c>
      <c r="BE2162" t="s">
        <v>69</v>
      </c>
      <c r="BF2162">
        <v>-0.54800000000000004</v>
      </c>
      <c r="BG2162">
        <v>-1.5229999999999999</v>
      </c>
    </row>
    <row r="2163" spans="1:59">
      <c r="A2163">
        <v>0</v>
      </c>
      <c r="B2163">
        <v>8</v>
      </c>
      <c r="C2163">
        <v>2</v>
      </c>
      <c r="D2163" t="s">
        <v>25022</v>
      </c>
      <c r="E2163">
        <v>299</v>
      </c>
      <c r="F2163" t="s">
        <v>2039</v>
      </c>
      <c r="G2163" t="s">
        <v>57</v>
      </c>
      <c r="H2163">
        <v>321013</v>
      </c>
      <c r="I2163">
        <v>322266</v>
      </c>
      <c r="J2163" t="s">
        <v>2040</v>
      </c>
      <c r="K2163">
        <v>418</v>
      </c>
      <c r="L2163" t="s">
        <v>289</v>
      </c>
      <c r="M2163">
        <v>46</v>
      </c>
      <c r="N2163" t="str">
        <f>HYPERLINK("Gene299-zp_tree_all.dnd", "Gene299-tree")</f>
        <v>Gene299-tree</v>
      </c>
      <c r="O2163">
        <v>33</v>
      </c>
      <c r="P2163">
        <v>4</v>
      </c>
      <c r="Q2163">
        <v>13</v>
      </c>
      <c r="R2163">
        <v>4</v>
      </c>
      <c r="S2163">
        <v>0.23529</v>
      </c>
      <c r="T2163" t="s">
        <v>2041</v>
      </c>
      <c r="U2163" t="s">
        <v>61</v>
      </c>
      <c r="V2163" t="s">
        <v>62</v>
      </c>
      <c r="W2163" t="s">
        <v>62</v>
      </c>
      <c r="X2163">
        <v>3</v>
      </c>
      <c r="Y2163">
        <v>10</v>
      </c>
      <c r="Z2163">
        <v>6</v>
      </c>
      <c r="AA2163">
        <v>0.625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</v>
      </c>
      <c r="AH2163">
        <v>0</v>
      </c>
      <c r="AI2163">
        <v>2</v>
      </c>
      <c r="AJ2163">
        <v>2</v>
      </c>
      <c r="AK2163">
        <v>0.5</v>
      </c>
      <c r="AL2163">
        <v>13</v>
      </c>
      <c r="AM2163">
        <v>13</v>
      </c>
      <c r="AN2163">
        <v>35</v>
      </c>
      <c r="AO2163">
        <v>4</v>
      </c>
      <c r="AP2163">
        <v>84</v>
      </c>
      <c r="AQ2163">
        <v>14</v>
      </c>
      <c r="AR2163" t="s">
        <v>2042</v>
      </c>
      <c r="AS2163" t="s">
        <v>2043</v>
      </c>
      <c r="AT2163">
        <v>0.26</v>
      </c>
      <c r="AU2163" t="s">
        <v>65</v>
      </c>
      <c r="AV2163">
        <v>119</v>
      </c>
      <c r="AW2163">
        <v>18</v>
      </c>
      <c r="AX2163" t="s">
        <v>2044</v>
      </c>
      <c r="AY2163">
        <v>8.8020000000000001E-2</v>
      </c>
      <c r="AZ2163">
        <v>-5.4299999999999999E-3</v>
      </c>
      <c r="BA2163">
        <v>3.9300000000000003E-3</v>
      </c>
      <c r="BB2163">
        <v>-2.0000000000000001E-4</v>
      </c>
      <c r="BC2163">
        <v>4.4639999999999999E-2</v>
      </c>
      <c r="BD2163">
        <v>1</v>
      </c>
      <c r="BE2163" t="s">
        <v>69</v>
      </c>
      <c r="BF2163">
        <v>-0.42099999999999999</v>
      </c>
      <c r="BG2163">
        <v>1.0289999999999999</v>
      </c>
    </row>
    <row r="2164" spans="1:59">
      <c r="A2164">
        <v>0</v>
      </c>
      <c r="B2164">
        <v>0</v>
      </c>
      <c r="C2164">
        <v>0</v>
      </c>
      <c r="D2164" t="s">
        <v>25022</v>
      </c>
      <c r="E2164">
        <v>1024</v>
      </c>
      <c r="F2164" t="s">
        <v>6434</v>
      </c>
      <c r="G2164" t="s">
        <v>57</v>
      </c>
      <c r="H2164">
        <v>1063480</v>
      </c>
      <c r="I2164">
        <v>1064736</v>
      </c>
      <c r="J2164" t="s">
        <v>6435</v>
      </c>
      <c r="K2164">
        <v>419</v>
      </c>
      <c r="L2164" t="s">
        <v>108</v>
      </c>
      <c r="M2164">
        <v>44</v>
      </c>
      <c r="N2164" t="str">
        <f>HYPERLINK("Gene1024-zp_tree_all.dnd", "Gene1024-tree")</f>
        <v>Gene1024-tree</v>
      </c>
      <c r="O2164">
        <v>10</v>
      </c>
      <c r="P2164">
        <v>4</v>
      </c>
      <c r="Q2164">
        <v>10</v>
      </c>
      <c r="R2164">
        <v>4</v>
      </c>
      <c r="S2164">
        <v>0.28571000000000002</v>
      </c>
      <c r="T2164" t="s">
        <v>117</v>
      </c>
      <c r="U2164" t="s">
        <v>61</v>
      </c>
      <c r="V2164" t="s">
        <v>62</v>
      </c>
      <c r="W2164" t="s">
        <v>62</v>
      </c>
      <c r="X2164">
        <v>0</v>
      </c>
      <c r="Y2164">
        <v>0</v>
      </c>
      <c r="Z2164">
        <v>6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5</v>
      </c>
      <c r="AK2164">
        <v>0</v>
      </c>
      <c r="AL2164">
        <v>12</v>
      </c>
      <c r="AM2164">
        <v>9</v>
      </c>
      <c r="AN2164">
        <v>35</v>
      </c>
      <c r="AO2164">
        <v>5</v>
      </c>
      <c r="AP2164">
        <v>23</v>
      </c>
      <c r="AQ2164">
        <v>1</v>
      </c>
      <c r="AR2164" t="s">
        <v>6436</v>
      </c>
      <c r="AS2164" t="s">
        <v>6437</v>
      </c>
      <c r="AT2164">
        <v>0.60299999999999998</v>
      </c>
      <c r="AU2164" t="s">
        <v>65</v>
      </c>
      <c r="AV2164">
        <v>58</v>
      </c>
      <c r="AW2164">
        <v>6</v>
      </c>
      <c r="AX2164" t="s">
        <v>170</v>
      </c>
      <c r="AY2164">
        <v>3.8559999999999997E-2</v>
      </c>
      <c r="AZ2164">
        <v>-1.4300000000000001E-3</v>
      </c>
      <c r="BA2164">
        <v>1.1299999999999999E-3</v>
      </c>
      <c r="BB2164">
        <v>-1.1E-4</v>
      </c>
      <c r="BC2164">
        <v>2.9389999999999999E-2</v>
      </c>
      <c r="BD2164">
        <v>1</v>
      </c>
      <c r="BE2164" t="s">
        <v>69</v>
      </c>
      <c r="BF2164">
        <v>-1.1830000000000001</v>
      </c>
      <c r="BG2164">
        <v>-1.3580000000000001</v>
      </c>
    </row>
    <row r="2165" spans="1:59">
      <c r="A2165">
        <v>0</v>
      </c>
      <c r="B2165">
        <v>2</v>
      </c>
      <c r="C2165">
        <v>0</v>
      </c>
      <c r="D2165" t="s">
        <v>25022</v>
      </c>
      <c r="E2165">
        <v>1806</v>
      </c>
      <c r="F2165" t="s">
        <v>11315</v>
      </c>
      <c r="G2165" t="s">
        <v>57</v>
      </c>
      <c r="H2165">
        <v>1875304</v>
      </c>
      <c r="I2165">
        <v>1876563</v>
      </c>
      <c r="J2165" t="s">
        <v>11316</v>
      </c>
      <c r="K2165">
        <v>420</v>
      </c>
      <c r="L2165" t="s">
        <v>108</v>
      </c>
      <c r="M2165">
        <v>44</v>
      </c>
      <c r="N2165" t="str">
        <f>HYPERLINK("Gene1806-zp_tree_all.dnd", "Gene1806-tree")</f>
        <v>Gene1806-tree</v>
      </c>
      <c r="O2165">
        <v>6</v>
      </c>
      <c r="P2165">
        <v>7</v>
      </c>
      <c r="Q2165">
        <v>6</v>
      </c>
      <c r="R2165">
        <v>7</v>
      </c>
      <c r="S2165">
        <v>0.53846000000000005</v>
      </c>
      <c r="T2165" t="s">
        <v>90</v>
      </c>
      <c r="U2165" t="s">
        <v>152</v>
      </c>
      <c r="V2165" t="s">
        <v>62</v>
      </c>
      <c r="W2165" t="s">
        <v>62</v>
      </c>
      <c r="X2165">
        <v>1</v>
      </c>
      <c r="Y2165">
        <v>2</v>
      </c>
      <c r="Z2165">
        <v>8</v>
      </c>
      <c r="AA2165">
        <v>0.2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</v>
      </c>
      <c r="AH2165">
        <v>0</v>
      </c>
      <c r="AI2165">
        <v>2</v>
      </c>
      <c r="AJ2165">
        <v>5</v>
      </c>
      <c r="AK2165">
        <v>0.28571000000000002</v>
      </c>
      <c r="AL2165">
        <v>10</v>
      </c>
      <c r="AM2165">
        <v>8</v>
      </c>
      <c r="AN2165">
        <v>20</v>
      </c>
      <c r="AO2165">
        <v>7</v>
      </c>
      <c r="AP2165">
        <v>15</v>
      </c>
      <c r="AQ2165">
        <v>4</v>
      </c>
      <c r="AR2165" t="s">
        <v>11317</v>
      </c>
      <c r="AS2165" t="s">
        <v>11318</v>
      </c>
      <c r="AT2165">
        <v>0.20100000000000001</v>
      </c>
      <c r="AU2165" t="s">
        <v>65</v>
      </c>
      <c r="AV2165">
        <v>35</v>
      </c>
      <c r="AW2165">
        <v>11</v>
      </c>
      <c r="AX2165" t="s">
        <v>11319</v>
      </c>
      <c r="AY2165">
        <v>2.6610000000000002E-2</v>
      </c>
      <c r="AZ2165">
        <v>-1.24E-3</v>
      </c>
      <c r="BA2165">
        <v>2.5799999999999998E-3</v>
      </c>
      <c r="BB2165">
        <v>-2.3000000000000001E-4</v>
      </c>
      <c r="BC2165">
        <v>9.7030000000000005E-2</v>
      </c>
      <c r="BD2165">
        <v>1</v>
      </c>
      <c r="BE2165" t="s">
        <v>69</v>
      </c>
      <c r="BF2165">
        <v>-0.89800000000000002</v>
      </c>
      <c r="BG2165">
        <v>-0.76500000000000001</v>
      </c>
    </row>
    <row r="2166" spans="1:59">
      <c r="A2166">
        <v>0</v>
      </c>
      <c r="B2166">
        <v>2</v>
      </c>
      <c r="C2166">
        <v>0</v>
      </c>
      <c r="D2166" t="s">
        <v>25022</v>
      </c>
      <c r="E2166">
        <v>1776</v>
      </c>
      <c r="F2166" t="s">
        <v>11125</v>
      </c>
      <c r="G2166" t="s">
        <v>57</v>
      </c>
      <c r="H2166">
        <v>1789943</v>
      </c>
      <c r="I2166">
        <v>1791202</v>
      </c>
      <c r="J2166" t="s">
        <v>11126</v>
      </c>
      <c r="K2166">
        <v>420</v>
      </c>
      <c r="L2166" t="s">
        <v>8085</v>
      </c>
      <c r="M2166">
        <v>35</v>
      </c>
      <c r="N2166" t="str">
        <f>HYPERLINK("Gene1776-zp_tree_all.dnd", "Gene1776-tree")</f>
        <v>Gene1776-tree</v>
      </c>
      <c r="O2166">
        <v>6</v>
      </c>
      <c r="P2166">
        <v>4</v>
      </c>
      <c r="Q2166">
        <v>6</v>
      </c>
      <c r="R2166">
        <v>4</v>
      </c>
      <c r="S2166">
        <v>0.4</v>
      </c>
      <c r="T2166" t="s">
        <v>90</v>
      </c>
      <c r="U2166" t="s">
        <v>61</v>
      </c>
      <c r="V2166" t="s">
        <v>62</v>
      </c>
      <c r="W2166" t="s">
        <v>62</v>
      </c>
      <c r="X2166">
        <v>1</v>
      </c>
      <c r="Y2166">
        <v>2</v>
      </c>
      <c r="Z2166">
        <v>9</v>
      </c>
      <c r="AA2166">
        <v>0.18182000000000001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2</v>
      </c>
      <c r="AH2166">
        <v>0</v>
      </c>
      <c r="AI2166">
        <v>2</v>
      </c>
      <c r="AJ2166">
        <v>6</v>
      </c>
      <c r="AK2166">
        <v>0.25</v>
      </c>
      <c r="AL2166">
        <v>9</v>
      </c>
      <c r="AM2166">
        <v>6</v>
      </c>
      <c r="AN2166">
        <v>26</v>
      </c>
      <c r="AO2166">
        <v>8</v>
      </c>
      <c r="AP2166">
        <v>16</v>
      </c>
      <c r="AQ2166">
        <v>3</v>
      </c>
      <c r="AR2166" t="s">
        <v>11127</v>
      </c>
      <c r="AS2166" t="s">
        <v>11128</v>
      </c>
      <c r="AT2166">
        <v>0.36</v>
      </c>
      <c r="AU2166" t="s">
        <v>65</v>
      </c>
      <c r="AV2166">
        <v>42</v>
      </c>
      <c r="AW2166">
        <v>11</v>
      </c>
      <c r="AX2166" t="s">
        <v>11129</v>
      </c>
      <c r="AY2166">
        <v>3.9239999999999997E-2</v>
      </c>
      <c r="AZ2166">
        <v>-3.15E-3</v>
      </c>
      <c r="BA2166">
        <v>3.0799999999999998E-3</v>
      </c>
      <c r="BB2166">
        <v>-2.7999999999999998E-4</v>
      </c>
      <c r="BC2166">
        <v>7.8530000000000003E-2</v>
      </c>
      <c r="BD2166">
        <v>1</v>
      </c>
      <c r="BE2166" t="s">
        <v>69</v>
      </c>
      <c r="BF2166">
        <v>-1.3959999999999999</v>
      </c>
      <c r="BG2166">
        <v>-2.02</v>
      </c>
    </row>
    <row r="2167" spans="1:59">
      <c r="A2167">
        <v>0</v>
      </c>
      <c r="B2167">
        <v>0</v>
      </c>
      <c r="C2167">
        <v>0</v>
      </c>
      <c r="D2167" t="s">
        <v>25022</v>
      </c>
      <c r="E2167">
        <v>791</v>
      </c>
      <c r="F2167" t="s">
        <v>4916</v>
      </c>
      <c r="G2167" t="s">
        <v>57</v>
      </c>
      <c r="H2167">
        <v>827993</v>
      </c>
      <c r="I2167">
        <v>829252</v>
      </c>
      <c r="J2167" t="s">
        <v>4917</v>
      </c>
      <c r="K2167">
        <v>420</v>
      </c>
      <c r="L2167" t="s">
        <v>108</v>
      </c>
      <c r="M2167">
        <v>44</v>
      </c>
      <c r="N2167" t="str">
        <f>HYPERLINK("Gene791-zp_tree_all.dnd", "Gene791-tree")</f>
        <v>Gene791-tree</v>
      </c>
      <c r="O2167">
        <v>6</v>
      </c>
      <c r="P2167">
        <v>8</v>
      </c>
      <c r="Q2167">
        <v>6</v>
      </c>
      <c r="R2167">
        <v>8</v>
      </c>
      <c r="S2167">
        <v>0.57142999999999999</v>
      </c>
      <c r="T2167" t="s">
        <v>90</v>
      </c>
      <c r="U2167" t="s">
        <v>136</v>
      </c>
      <c r="V2167" t="s">
        <v>62</v>
      </c>
      <c r="W2167" t="s">
        <v>62</v>
      </c>
      <c r="X2167">
        <v>0</v>
      </c>
      <c r="Y2167">
        <v>0</v>
      </c>
      <c r="Z2167">
        <v>10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10</v>
      </c>
      <c r="AK2167">
        <v>0</v>
      </c>
      <c r="AL2167">
        <v>14</v>
      </c>
      <c r="AM2167">
        <v>8</v>
      </c>
      <c r="AN2167">
        <v>43</v>
      </c>
      <c r="AO2167">
        <v>10</v>
      </c>
      <c r="AP2167">
        <v>23</v>
      </c>
      <c r="AQ2167">
        <v>0</v>
      </c>
      <c r="AR2167" t="s">
        <v>4918</v>
      </c>
      <c r="AS2167" t="s">
        <v>193</v>
      </c>
      <c r="AT2167">
        <v>1.48</v>
      </c>
      <c r="AU2167" t="s">
        <v>65</v>
      </c>
      <c r="AV2167">
        <v>66</v>
      </c>
      <c r="AW2167">
        <v>10</v>
      </c>
      <c r="AX2167" t="s">
        <v>4919</v>
      </c>
      <c r="AY2167">
        <v>3.9989999999999998E-2</v>
      </c>
      <c r="AZ2167">
        <v>-2.2899999999999999E-3</v>
      </c>
      <c r="BA2167">
        <v>1.49E-3</v>
      </c>
      <c r="BB2167">
        <v>-1E-4</v>
      </c>
      <c r="BC2167">
        <v>3.7150000000000002E-2</v>
      </c>
      <c r="BD2167">
        <v>1</v>
      </c>
      <c r="BE2167" t="s">
        <v>69</v>
      </c>
      <c r="BF2167">
        <v>-1.6639999999999999</v>
      </c>
      <c r="BG2167">
        <v>-2.0859999999999999</v>
      </c>
    </row>
    <row r="2168" spans="1:59">
      <c r="A2168">
        <v>0</v>
      </c>
      <c r="B2168">
        <v>4</v>
      </c>
      <c r="C2168">
        <v>1</v>
      </c>
      <c r="D2168" t="s">
        <v>25022</v>
      </c>
      <c r="E2168">
        <v>589</v>
      </c>
      <c r="F2168" t="s">
        <v>3790</v>
      </c>
      <c r="G2168" t="s">
        <v>57</v>
      </c>
      <c r="H2168">
        <v>616672</v>
      </c>
      <c r="I2168">
        <v>617931</v>
      </c>
      <c r="J2168" t="s">
        <v>3791</v>
      </c>
      <c r="K2168">
        <v>420</v>
      </c>
      <c r="L2168" t="s">
        <v>108</v>
      </c>
      <c r="M2168">
        <v>44</v>
      </c>
      <c r="N2168" t="str">
        <f>HYPERLINK("Gene589-zp_tree_all.dnd", "Gene589-tree")</f>
        <v>Gene589-tree</v>
      </c>
      <c r="O2168">
        <v>5</v>
      </c>
      <c r="P2168">
        <v>11</v>
      </c>
      <c r="Q2168">
        <v>5</v>
      </c>
      <c r="R2168">
        <v>11</v>
      </c>
      <c r="S2168">
        <v>0.6875</v>
      </c>
      <c r="T2168" t="s">
        <v>199</v>
      </c>
      <c r="U2168" t="s">
        <v>73</v>
      </c>
      <c r="V2168">
        <v>137353515.63499999</v>
      </c>
      <c r="W2168" t="s">
        <v>267</v>
      </c>
      <c r="X2168">
        <v>2</v>
      </c>
      <c r="Y2168">
        <v>5</v>
      </c>
      <c r="Z2168">
        <v>14</v>
      </c>
      <c r="AA2168">
        <v>0.26316000000000001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</v>
      </c>
      <c r="AH2168">
        <v>0</v>
      </c>
      <c r="AI2168">
        <v>2</v>
      </c>
      <c r="AJ2168">
        <v>14</v>
      </c>
      <c r="AK2168">
        <v>0.125</v>
      </c>
      <c r="AL2168">
        <v>14</v>
      </c>
      <c r="AM2168">
        <v>12</v>
      </c>
      <c r="AN2168">
        <v>59</v>
      </c>
      <c r="AO2168">
        <v>13</v>
      </c>
      <c r="AP2168">
        <v>100</v>
      </c>
      <c r="AQ2168">
        <v>7</v>
      </c>
      <c r="AR2168" t="s">
        <v>3792</v>
      </c>
      <c r="AS2168" t="s">
        <v>3793</v>
      </c>
      <c r="AT2168">
        <v>1.4019999999999999</v>
      </c>
      <c r="AU2168" t="s">
        <v>65</v>
      </c>
      <c r="AV2168">
        <v>159</v>
      </c>
      <c r="AW2168">
        <v>20</v>
      </c>
      <c r="AX2168" t="s">
        <v>3794</v>
      </c>
      <c r="AY2168">
        <v>0.10809000000000001</v>
      </c>
      <c r="AZ2168">
        <v>-4.7499999999999999E-3</v>
      </c>
      <c r="BA2168">
        <v>3.5300000000000002E-3</v>
      </c>
      <c r="BB2168">
        <v>-2.0000000000000001E-4</v>
      </c>
      <c r="BC2168">
        <v>3.2640000000000002E-2</v>
      </c>
      <c r="BD2168">
        <v>1</v>
      </c>
      <c r="BE2168" t="s">
        <v>69</v>
      </c>
      <c r="BF2168">
        <v>-0.19900000000000001</v>
      </c>
      <c r="BG2168">
        <v>-0.24299999999999999</v>
      </c>
    </row>
    <row r="2169" spans="1:59">
      <c r="A2169">
        <v>0</v>
      </c>
      <c r="B2169">
        <v>2</v>
      </c>
      <c r="C2169">
        <v>0</v>
      </c>
      <c r="D2169" t="s">
        <v>25022</v>
      </c>
      <c r="E2169">
        <v>438</v>
      </c>
      <c r="F2169" t="s">
        <v>2977</v>
      </c>
      <c r="G2169" t="s">
        <v>57</v>
      </c>
      <c r="H2169">
        <v>482577</v>
      </c>
      <c r="I2169">
        <v>483836</v>
      </c>
      <c r="J2169" t="s">
        <v>2978</v>
      </c>
      <c r="K2169">
        <v>420</v>
      </c>
      <c r="L2169" t="s">
        <v>2979</v>
      </c>
      <c r="M2169">
        <v>38</v>
      </c>
      <c r="N2169" t="str">
        <f>HYPERLINK("Gene438-zp_tree_all.dnd", "Gene438-tree")</f>
        <v>Gene438-tree</v>
      </c>
      <c r="O2169">
        <v>27</v>
      </c>
      <c r="P2169">
        <v>6</v>
      </c>
      <c r="Q2169">
        <v>10</v>
      </c>
      <c r="R2169">
        <v>6</v>
      </c>
      <c r="S2169">
        <v>0.375</v>
      </c>
      <c r="T2169" t="s">
        <v>2980</v>
      </c>
      <c r="U2169" t="s">
        <v>90</v>
      </c>
      <c r="V2169" t="s">
        <v>62</v>
      </c>
      <c r="W2169" t="s">
        <v>62</v>
      </c>
      <c r="X2169">
        <v>1</v>
      </c>
      <c r="Y2169">
        <v>2</v>
      </c>
      <c r="Z2169">
        <v>11</v>
      </c>
      <c r="AA2169">
        <v>0.15384999999999999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</v>
      </c>
      <c r="AK2169">
        <v>0</v>
      </c>
      <c r="AL2169">
        <v>13</v>
      </c>
      <c r="AM2169">
        <v>13</v>
      </c>
      <c r="AN2169">
        <v>45</v>
      </c>
      <c r="AO2169">
        <v>8</v>
      </c>
      <c r="AP2169">
        <v>89</v>
      </c>
      <c r="AQ2169">
        <v>5</v>
      </c>
      <c r="AR2169" t="s">
        <v>2981</v>
      </c>
      <c r="AS2169" t="s">
        <v>2982</v>
      </c>
      <c r="AT2169">
        <v>0.747</v>
      </c>
      <c r="AU2169" t="s">
        <v>65</v>
      </c>
      <c r="AV2169">
        <v>134</v>
      </c>
      <c r="AW2169">
        <v>13</v>
      </c>
      <c r="AX2169" t="s">
        <v>2983</v>
      </c>
      <c r="AY2169">
        <v>0.12859999999999999</v>
      </c>
      <c r="AZ2169">
        <v>-8.5599999999999999E-3</v>
      </c>
      <c r="BA2169">
        <v>2.5999999999999999E-3</v>
      </c>
      <c r="BB2169">
        <v>-1.8000000000000001E-4</v>
      </c>
      <c r="BC2169">
        <v>2.0250000000000001E-2</v>
      </c>
      <c r="BD2169">
        <v>1</v>
      </c>
      <c r="BE2169" t="s">
        <v>69</v>
      </c>
      <c r="BF2169">
        <v>-1.236</v>
      </c>
      <c r="BG2169">
        <v>-0.58799999999999997</v>
      </c>
    </row>
    <row r="2170" spans="1:59">
      <c r="A2170">
        <v>0</v>
      </c>
      <c r="B2170">
        <v>0</v>
      </c>
      <c r="C2170">
        <v>0</v>
      </c>
      <c r="D2170" t="s">
        <v>25022</v>
      </c>
      <c r="E2170">
        <v>2939</v>
      </c>
      <c r="F2170" t="s">
        <v>16937</v>
      </c>
      <c r="G2170" t="s">
        <v>62</v>
      </c>
      <c r="H2170">
        <v>2884784</v>
      </c>
      <c r="I2170">
        <v>2886043</v>
      </c>
      <c r="J2170" t="s">
        <v>16938</v>
      </c>
      <c r="K2170">
        <v>420</v>
      </c>
      <c r="L2170" t="s">
        <v>59</v>
      </c>
      <c r="M2170">
        <v>49</v>
      </c>
      <c r="N2170" t="str">
        <f>HYPERLINK("Gene2939-zp_tree_all.dnd", "Gene2939-tree")</f>
        <v>Gene2939-tree</v>
      </c>
      <c r="O2170">
        <v>44</v>
      </c>
      <c r="P2170">
        <v>0</v>
      </c>
      <c r="Q2170">
        <v>16</v>
      </c>
      <c r="R2170">
        <v>0</v>
      </c>
      <c r="S2170">
        <v>0</v>
      </c>
      <c r="T2170" t="s">
        <v>16939</v>
      </c>
      <c r="U2170" t="s">
        <v>62</v>
      </c>
      <c r="V2170" t="s">
        <v>62</v>
      </c>
      <c r="W2170" t="s">
        <v>62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13</v>
      </c>
      <c r="AM2170">
        <v>11</v>
      </c>
      <c r="AN2170">
        <v>44</v>
      </c>
      <c r="AO2170">
        <v>0</v>
      </c>
      <c r="AP2170">
        <v>76</v>
      </c>
      <c r="AQ2170">
        <v>1</v>
      </c>
      <c r="AR2170" t="s">
        <v>193</v>
      </c>
      <c r="AS2170" t="s">
        <v>16940</v>
      </c>
      <c r="AT2170">
        <v>0.29499999999999998</v>
      </c>
      <c r="AU2170" t="s">
        <v>65</v>
      </c>
      <c r="AV2170">
        <v>120</v>
      </c>
      <c r="AW2170">
        <v>1</v>
      </c>
      <c r="AX2170" t="s">
        <v>16941</v>
      </c>
      <c r="AY2170">
        <v>0.10983</v>
      </c>
      <c r="AZ2170">
        <v>-7.4000000000000003E-3</v>
      </c>
      <c r="BA2170">
        <v>4.6999999999999999E-4</v>
      </c>
      <c r="BB2170">
        <v>-4.0000000000000003E-5</v>
      </c>
      <c r="BC2170">
        <v>4.28E-3</v>
      </c>
      <c r="BD2170">
        <v>1</v>
      </c>
      <c r="BE2170" t="s">
        <v>69</v>
      </c>
      <c r="BF2170">
        <v>-1.5149999999999999</v>
      </c>
      <c r="BG2170">
        <v>-0.92600000000000005</v>
      </c>
    </row>
    <row r="2171" spans="1:59">
      <c r="A2171">
        <v>0</v>
      </c>
      <c r="B2171">
        <v>4</v>
      </c>
      <c r="C2171">
        <v>0</v>
      </c>
      <c r="D2171" t="s">
        <v>25022</v>
      </c>
      <c r="E2171">
        <v>3543</v>
      </c>
      <c r="F2171" t="s">
        <v>20764</v>
      </c>
      <c r="G2171" t="s">
        <v>62</v>
      </c>
      <c r="H2171">
        <v>3507256</v>
      </c>
      <c r="I2171">
        <v>3508518</v>
      </c>
      <c r="J2171" t="s">
        <v>20765</v>
      </c>
      <c r="K2171">
        <v>421</v>
      </c>
      <c r="L2171" t="s">
        <v>108</v>
      </c>
      <c r="M2171">
        <v>44</v>
      </c>
      <c r="N2171" t="str">
        <f>HYPERLINK("Gene3543-zp_tree_all.dnd", "Gene3543-tree")</f>
        <v>Gene3543-tree</v>
      </c>
      <c r="O2171">
        <v>3</v>
      </c>
      <c r="P2171">
        <v>31</v>
      </c>
      <c r="Q2171">
        <v>3</v>
      </c>
      <c r="R2171">
        <v>10</v>
      </c>
      <c r="S2171">
        <v>0.76922999999999997</v>
      </c>
      <c r="T2171" t="s">
        <v>324</v>
      </c>
      <c r="U2171" t="s">
        <v>2854</v>
      </c>
      <c r="V2171">
        <v>1.627</v>
      </c>
      <c r="W2171" t="s">
        <v>65</v>
      </c>
      <c r="X2171">
        <v>2</v>
      </c>
      <c r="Y2171">
        <v>4</v>
      </c>
      <c r="Z2171">
        <v>19</v>
      </c>
      <c r="AA2171">
        <v>0.17391000000000001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17</v>
      </c>
      <c r="AK2171">
        <v>0</v>
      </c>
      <c r="AL2171">
        <v>12</v>
      </c>
      <c r="AM2171">
        <v>9</v>
      </c>
      <c r="AN2171">
        <v>42</v>
      </c>
      <c r="AO2171">
        <v>17</v>
      </c>
      <c r="AP2171">
        <v>27</v>
      </c>
      <c r="AQ2171">
        <v>6</v>
      </c>
      <c r="AR2171" t="s">
        <v>20766</v>
      </c>
      <c r="AS2171" t="s">
        <v>20767</v>
      </c>
      <c r="AT2171">
        <v>1.048</v>
      </c>
      <c r="AU2171" t="s">
        <v>65</v>
      </c>
      <c r="AV2171">
        <v>69</v>
      </c>
      <c r="AW2171">
        <v>23</v>
      </c>
      <c r="AX2171" t="s">
        <v>20768</v>
      </c>
      <c r="AY2171">
        <v>5.1810000000000002E-2</v>
      </c>
      <c r="AZ2171">
        <v>-2.0300000000000001E-3</v>
      </c>
      <c r="BA2171">
        <v>4.9199999999999999E-3</v>
      </c>
      <c r="BB2171">
        <v>-2.0000000000000001E-4</v>
      </c>
      <c r="BC2171">
        <v>9.5030000000000003E-2</v>
      </c>
      <c r="BD2171">
        <v>1</v>
      </c>
      <c r="BE2171" t="s">
        <v>69</v>
      </c>
      <c r="BF2171">
        <v>-0.48799999999999999</v>
      </c>
      <c r="BG2171">
        <v>-1.8049999999999999</v>
      </c>
    </row>
    <row r="2172" spans="1:59">
      <c r="A2172">
        <v>0</v>
      </c>
      <c r="B2172">
        <v>4</v>
      </c>
      <c r="C2172">
        <v>0</v>
      </c>
      <c r="D2172" t="s">
        <v>25022</v>
      </c>
      <c r="E2172">
        <v>1807</v>
      </c>
      <c r="F2172" t="s">
        <v>11322</v>
      </c>
      <c r="G2172" t="s">
        <v>57</v>
      </c>
      <c r="H2172">
        <v>1876584</v>
      </c>
      <c r="I2172">
        <v>1877846</v>
      </c>
      <c r="J2172" t="s">
        <v>11323</v>
      </c>
      <c r="K2172">
        <v>421</v>
      </c>
      <c r="L2172" t="s">
        <v>11324</v>
      </c>
      <c r="M2172">
        <v>46</v>
      </c>
      <c r="N2172" t="str">
        <f>HYPERLINK("Gene1807-zp_tree_all.dnd", "Gene1807-tree")</f>
        <v>Gene1807-tree</v>
      </c>
      <c r="O2172">
        <v>7</v>
      </c>
      <c r="P2172">
        <v>8</v>
      </c>
      <c r="Q2172">
        <v>7</v>
      </c>
      <c r="R2172">
        <v>8</v>
      </c>
      <c r="S2172">
        <v>0.53332999999999997</v>
      </c>
      <c r="T2172" t="s">
        <v>152</v>
      </c>
      <c r="U2172" t="s">
        <v>136</v>
      </c>
      <c r="V2172" t="s">
        <v>62</v>
      </c>
      <c r="W2172" t="s">
        <v>62</v>
      </c>
      <c r="X2172">
        <v>1</v>
      </c>
      <c r="Y2172">
        <v>4</v>
      </c>
      <c r="Z2172">
        <v>13</v>
      </c>
      <c r="AA2172">
        <v>0.23529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3</v>
      </c>
      <c r="AH2172">
        <v>0</v>
      </c>
      <c r="AI2172">
        <v>3</v>
      </c>
      <c r="AJ2172">
        <v>10</v>
      </c>
      <c r="AK2172">
        <v>0.23077</v>
      </c>
      <c r="AL2172">
        <v>13</v>
      </c>
      <c r="AM2172">
        <v>11</v>
      </c>
      <c r="AN2172">
        <v>75</v>
      </c>
      <c r="AO2172">
        <v>14</v>
      </c>
      <c r="AP2172">
        <v>73</v>
      </c>
      <c r="AQ2172">
        <v>4</v>
      </c>
      <c r="AR2172" t="s">
        <v>11325</v>
      </c>
      <c r="AS2172" t="s">
        <v>11326</v>
      </c>
      <c r="AT2172">
        <v>1.0309999999999999</v>
      </c>
      <c r="AU2172" t="s">
        <v>65</v>
      </c>
      <c r="AV2172">
        <v>148</v>
      </c>
      <c r="AW2172">
        <v>18</v>
      </c>
      <c r="AX2172" t="s">
        <v>11327</v>
      </c>
      <c r="AY2172">
        <v>9.7049999999999997E-2</v>
      </c>
      <c r="AZ2172">
        <v>-7.3299999999999997E-3</v>
      </c>
      <c r="BA2172">
        <v>2.82E-3</v>
      </c>
      <c r="BB2172">
        <v>-1.8000000000000001E-4</v>
      </c>
      <c r="BC2172">
        <v>2.9059999999999999E-2</v>
      </c>
      <c r="BD2172">
        <v>1</v>
      </c>
      <c r="BE2172" t="s">
        <v>69</v>
      </c>
      <c r="BF2172">
        <v>-1.4390000000000001</v>
      </c>
      <c r="BG2172">
        <v>-1.8149999999999999</v>
      </c>
    </row>
    <row r="2173" spans="1:59">
      <c r="A2173">
        <v>0</v>
      </c>
      <c r="B2173">
        <v>4</v>
      </c>
      <c r="C2173">
        <v>2</v>
      </c>
      <c r="D2173" t="s">
        <v>25022</v>
      </c>
      <c r="E2173">
        <v>455</v>
      </c>
      <c r="F2173" t="s">
        <v>3087</v>
      </c>
      <c r="G2173" t="s">
        <v>57</v>
      </c>
      <c r="H2173">
        <v>500166</v>
      </c>
      <c r="I2173">
        <v>501428</v>
      </c>
      <c r="J2173" t="s">
        <v>3088</v>
      </c>
      <c r="K2173">
        <v>421</v>
      </c>
      <c r="L2173" t="s">
        <v>59</v>
      </c>
      <c r="M2173">
        <v>49</v>
      </c>
      <c r="N2173" t="str">
        <f>HYPERLINK("Gene455-zp_tree_all.dnd", "Gene455-tree")</f>
        <v>Gene455-tree</v>
      </c>
      <c r="O2173">
        <v>14</v>
      </c>
      <c r="P2173">
        <v>5</v>
      </c>
      <c r="Q2173">
        <v>14</v>
      </c>
      <c r="R2173">
        <v>5</v>
      </c>
      <c r="S2173">
        <v>0.26316000000000001</v>
      </c>
      <c r="T2173" t="s">
        <v>543</v>
      </c>
      <c r="U2173" t="s">
        <v>199</v>
      </c>
      <c r="V2173" t="s">
        <v>62</v>
      </c>
      <c r="W2173" t="s">
        <v>62</v>
      </c>
      <c r="X2173">
        <v>3</v>
      </c>
      <c r="Y2173">
        <v>6</v>
      </c>
      <c r="Z2173">
        <v>5</v>
      </c>
      <c r="AA2173">
        <v>0.54544999999999999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5</v>
      </c>
      <c r="AK2173">
        <v>0</v>
      </c>
      <c r="AL2173">
        <v>17</v>
      </c>
      <c r="AM2173">
        <v>16</v>
      </c>
      <c r="AN2173">
        <v>64</v>
      </c>
      <c r="AO2173">
        <v>5</v>
      </c>
      <c r="AP2173">
        <v>88</v>
      </c>
      <c r="AQ2173">
        <v>6</v>
      </c>
      <c r="AR2173" t="s">
        <v>3089</v>
      </c>
      <c r="AS2173" t="s">
        <v>3090</v>
      </c>
      <c r="AT2173">
        <v>0.11700000000000001</v>
      </c>
      <c r="AU2173" t="s">
        <v>65</v>
      </c>
      <c r="AV2173">
        <v>152</v>
      </c>
      <c r="AW2173">
        <v>11</v>
      </c>
      <c r="AX2173" t="s">
        <v>3091</v>
      </c>
      <c r="AY2173">
        <v>0.10553999999999999</v>
      </c>
      <c r="AZ2173">
        <v>-5.64E-3</v>
      </c>
      <c r="BA2173">
        <v>2.2899999999999999E-3</v>
      </c>
      <c r="BB2173">
        <v>-1.2999999999999999E-4</v>
      </c>
      <c r="BC2173">
        <v>2.172E-2</v>
      </c>
      <c r="BD2173">
        <v>1</v>
      </c>
      <c r="BE2173" t="s">
        <v>69</v>
      </c>
      <c r="BF2173">
        <v>-0.86599999999999999</v>
      </c>
      <c r="BG2173">
        <v>-0.19500000000000001</v>
      </c>
    </row>
    <row r="2174" spans="1:59">
      <c r="A2174">
        <v>0</v>
      </c>
      <c r="B2174">
        <v>17</v>
      </c>
      <c r="C2174">
        <v>2</v>
      </c>
      <c r="D2174" t="s">
        <v>25022</v>
      </c>
      <c r="E2174">
        <v>3379</v>
      </c>
      <c r="F2174" t="s">
        <v>19756</v>
      </c>
      <c r="G2174" t="s">
        <v>62</v>
      </c>
      <c r="H2174">
        <v>3349764</v>
      </c>
      <c r="I2174">
        <v>3351029</v>
      </c>
      <c r="J2174" t="s">
        <v>19757</v>
      </c>
      <c r="K2174">
        <v>422</v>
      </c>
      <c r="L2174" t="s">
        <v>289</v>
      </c>
      <c r="M2174">
        <v>46</v>
      </c>
      <c r="N2174" t="str">
        <f>HYPERLINK("Gene3379-zp_tree_all.dnd", "Gene3379-tree")</f>
        <v>Gene3379-tree</v>
      </c>
      <c r="O2174">
        <v>6</v>
      </c>
      <c r="P2174">
        <v>11</v>
      </c>
      <c r="Q2174">
        <v>6</v>
      </c>
      <c r="R2174">
        <v>11</v>
      </c>
      <c r="S2174">
        <v>0.64705999999999997</v>
      </c>
      <c r="T2174" t="s">
        <v>90</v>
      </c>
      <c r="U2174" t="s">
        <v>73</v>
      </c>
      <c r="V2174">
        <v>95384385.856999993</v>
      </c>
      <c r="W2174" t="s">
        <v>267</v>
      </c>
      <c r="X2174">
        <v>7</v>
      </c>
      <c r="Y2174">
        <v>19</v>
      </c>
      <c r="Z2174">
        <v>23</v>
      </c>
      <c r="AA2174">
        <v>0.45238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4</v>
      </c>
      <c r="AH2174">
        <v>2</v>
      </c>
      <c r="AI2174">
        <v>6</v>
      </c>
      <c r="AJ2174">
        <v>16</v>
      </c>
      <c r="AK2174">
        <v>0.27272999999999997</v>
      </c>
      <c r="AL2174">
        <v>14</v>
      </c>
      <c r="AM2174">
        <v>11</v>
      </c>
      <c r="AN2174">
        <v>42</v>
      </c>
      <c r="AO2174">
        <v>19</v>
      </c>
      <c r="AP2174">
        <v>89</v>
      </c>
      <c r="AQ2174">
        <v>23</v>
      </c>
      <c r="AR2174" t="s">
        <v>19758</v>
      </c>
      <c r="AS2174" t="s">
        <v>19759</v>
      </c>
      <c r="AT2174">
        <v>0.41</v>
      </c>
      <c r="AU2174" t="s">
        <v>65</v>
      </c>
      <c r="AV2174">
        <v>131</v>
      </c>
      <c r="AW2174">
        <v>42</v>
      </c>
      <c r="AX2174" t="s">
        <v>19760</v>
      </c>
      <c r="AY2174">
        <v>9.2840000000000006E-2</v>
      </c>
      <c r="AZ2174">
        <v>-6.7600000000000004E-3</v>
      </c>
      <c r="BA2174">
        <v>6.9699999999999996E-3</v>
      </c>
      <c r="BB2174">
        <v>-3.8999999999999999E-4</v>
      </c>
      <c r="BC2174">
        <v>7.5069999999999998E-2</v>
      </c>
      <c r="BD2174">
        <v>1</v>
      </c>
      <c r="BE2174" t="s">
        <v>69</v>
      </c>
      <c r="BF2174">
        <v>-1.36</v>
      </c>
      <c r="BG2174">
        <v>-0.55900000000000005</v>
      </c>
    </row>
    <row r="2175" spans="1:59">
      <c r="A2175">
        <v>0</v>
      </c>
      <c r="B2175">
        <v>20</v>
      </c>
      <c r="C2175">
        <v>3</v>
      </c>
      <c r="D2175" t="s">
        <v>25022</v>
      </c>
      <c r="E2175">
        <v>687</v>
      </c>
      <c r="F2175" t="s">
        <v>4292</v>
      </c>
      <c r="G2175" t="s">
        <v>57</v>
      </c>
      <c r="H2175">
        <v>710148</v>
      </c>
      <c r="I2175">
        <v>711413</v>
      </c>
      <c r="J2175" t="s">
        <v>4293</v>
      </c>
      <c r="K2175">
        <v>422</v>
      </c>
      <c r="L2175" t="s">
        <v>108</v>
      </c>
      <c r="M2175">
        <v>44</v>
      </c>
      <c r="N2175" t="str">
        <f>HYPERLINK("Gene687-zp_tree_all.dnd", "Gene687-tree")</f>
        <v>Gene687-tree</v>
      </c>
      <c r="O2175">
        <v>5</v>
      </c>
      <c r="P2175">
        <v>12</v>
      </c>
      <c r="Q2175">
        <v>5</v>
      </c>
      <c r="R2175">
        <v>12</v>
      </c>
      <c r="S2175">
        <v>0.70587999999999995</v>
      </c>
      <c r="T2175" t="s">
        <v>199</v>
      </c>
      <c r="U2175" t="s">
        <v>109</v>
      </c>
      <c r="V2175" t="s">
        <v>62</v>
      </c>
      <c r="W2175" t="s">
        <v>62</v>
      </c>
      <c r="X2175">
        <v>8</v>
      </c>
      <c r="Y2175">
        <v>23</v>
      </c>
      <c r="Z2175">
        <v>13</v>
      </c>
      <c r="AA2175">
        <v>0.63888999999999996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3</v>
      </c>
      <c r="AH2175">
        <v>2</v>
      </c>
      <c r="AI2175">
        <v>5</v>
      </c>
      <c r="AJ2175">
        <v>13</v>
      </c>
      <c r="AK2175">
        <v>0.27778000000000003</v>
      </c>
      <c r="AL2175">
        <v>16</v>
      </c>
      <c r="AM2175">
        <v>14</v>
      </c>
      <c r="AN2175">
        <v>77</v>
      </c>
      <c r="AO2175">
        <v>18</v>
      </c>
      <c r="AP2175">
        <v>70</v>
      </c>
      <c r="AQ2175">
        <v>18</v>
      </c>
      <c r="AR2175" t="s">
        <v>4294</v>
      </c>
      <c r="AS2175" t="s">
        <v>4295</v>
      </c>
      <c r="AT2175">
        <v>0.26500000000000001</v>
      </c>
      <c r="AU2175" t="s">
        <v>65</v>
      </c>
      <c r="AV2175">
        <v>147</v>
      </c>
      <c r="AW2175">
        <v>36</v>
      </c>
      <c r="AX2175" t="s">
        <v>4296</v>
      </c>
      <c r="AY2175">
        <v>8.6430000000000007E-2</v>
      </c>
      <c r="AZ2175">
        <v>-2.2699999999999999E-3</v>
      </c>
      <c r="BA2175">
        <v>5.5199999999999997E-3</v>
      </c>
      <c r="BB2175">
        <v>-1.8000000000000001E-4</v>
      </c>
      <c r="BC2175">
        <v>6.386E-2</v>
      </c>
      <c r="BD2175">
        <v>1</v>
      </c>
      <c r="BE2175" t="s">
        <v>69</v>
      </c>
      <c r="BF2175">
        <v>0.55500000000000005</v>
      </c>
      <c r="BG2175">
        <v>-8.7999999999999995E-2</v>
      </c>
    </row>
    <row r="2176" spans="1:59">
      <c r="A2176">
        <v>0</v>
      </c>
      <c r="B2176">
        <v>7</v>
      </c>
      <c r="C2176">
        <v>0</v>
      </c>
      <c r="D2176" t="s">
        <v>25022</v>
      </c>
      <c r="E2176">
        <v>3439</v>
      </c>
      <c r="F2176" t="s">
        <v>20132</v>
      </c>
      <c r="G2176" t="s">
        <v>62</v>
      </c>
      <c r="H2176">
        <v>3399095</v>
      </c>
      <c r="I2176">
        <v>3400360</v>
      </c>
      <c r="J2176" t="s">
        <v>20133</v>
      </c>
      <c r="K2176">
        <v>422</v>
      </c>
      <c r="L2176" t="s">
        <v>108</v>
      </c>
      <c r="M2176">
        <v>44</v>
      </c>
      <c r="N2176" t="str">
        <f>HYPERLINK("Gene3439-zp_tree_all.dnd", "Gene3439-tree")</f>
        <v>Gene3439-tree</v>
      </c>
      <c r="O2176">
        <v>9</v>
      </c>
      <c r="P2176">
        <v>7</v>
      </c>
      <c r="Q2176">
        <v>9</v>
      </c>
      <c r="R2176">
        <v>7</v>
      </c>
      <c r="S2176">
        <v>0.4375</v>
      </c>
      <c r="T2176" t="s">
        <v>135</v>
      </c>
      <c r="U2176" t="s">
        <v>152</v>
      </c>
      <c r="V2176" t="s">
        <v>62</v>
      </c>
      <c r="W2176" t="s">
        <v>62</v>
      </c>
      <c r="X2176">
        <v>3</v>
      </c>
      <c r="Y2176">
        <v>7</v>
      </c>
      <c r="Z2176">
        <v>9</v>
      </c>
      <c r="AA2176">
        <v>0.4375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</v>
      </c>
      <c r="AH2176">
        <v>0</v>
      </c>
      <c r="AI2176">
        <v>2</v>
      </c>
      <c r="AJ2176">
        <v>7</v>
      </c>
      <c r="AK2176">
        <v>0.22222</v>
      </c>
      <c r="AL2176">
        <v>13</v>
      </c>
      <c r="AM2176">
        <v>11</v>
      </c>
      <c r="AN2176">
        <v>38</v>
      </c>
      <c r="AO2176">
        <v>9</v>
      </c>
      <c r="AP2176">
        <v>49</v>
      </c>
      <c r="AQ2176">
        <v>7</v>
      </c>
      <c r="AR2176" t="s">
        <v>20134</v>
      </c>
      <c r="AS2176" t="s">
        <v>20135</v>
      </c>
      <c r="AT2176">
        <v>0.47499999999999998</v>
      </c>
      <c r="AU2176" t="s">
        <v>65</v>
      </c>
      <c r="AV2176">
        <v>87</v>
      </c>
      <c r="AW2176">
        <v>16</v>
      </c>
      <c r="AX2176" t="s">
        <v>20136</v>
      </c>
      <c r="AY2176">
        <v>4.9230000000000003E-2</v>
      </c>
      <c r="AZ2176">
        <v>-1.83E-3</v>
      </c>
      <c r="BA2176">
        <v>2.7299999999999998E-3</v>
      </c>
      <c r="BB2176">
        <v>-1.4999999999999999E-4</v>
      </c>
      <c r="BC2176">
        <v>5.5449999999999999E-2</v>
      </c>
      <c r="BD2176">
        <v>1</v>
      </c>
      <c r="BE2176" t="s">
        <v>69</v>
      </c>
      <c r="BF2176">
        <v>-0.254</v>
      </c>
      <c r="BG2176">
        <v>-0.52100000000000002</v>
      </c>
    </row>
    <row r="2177" spans="1:59">
      <c r="A2177">
        <v>0</v>
      </c>
      <c r="B2177">
        <v>7</v>
      </c>
      <c r="C2177">
        <v>0</v>
      </c>
      <c r="D2177" t="s">
        <v>25022</v>
      </c>
      <c r="E2177">
        <v>2268</v>
      </c>
      <c r="F2177" t="s">
        <v>13116</v>
      </c>
      <c r="G2177" t="s">
        <v>62</v>
      </c>
      <c r="H2177">
        <v>2292772</v>
      </c>
      <c r="I2177">
        <v>2294037</v>
      </c>
      <c r="J2177" t="s">
        <v>13117</v>
      </c>
      <c r="K2177">
        <v>422</v>
      </c>
      <c r="L2177" t="s">
        <v>13118</v>
      </c>
      <c r="M2177">
        <v>46</v>
      </c>
      <c r="N2177" t="str">
        <f>HYPERLINK("Gene2268-zp_tree_all.dnd", "Gene2268-tree")</f>
        <v>Gene2268-tree</v>
      </c>
      <c r="O2177">
        <v>9</v>
      </c>
      <c r="P2177">
        <v>6</v>
      </c>
      <c r="Q2177">
        <v>9</v>
      </c>
      <c r="R2177">
        <v>6</v>
      </c>
      <c r="S2177">
        <v>0.4</v>
      </c>
      <c r="T2177" t="s">
        <v>135</v>
      </c>
      <c r="U2177" t="s">
        <v>90</v>
      </c>
      <c r="V2177" t="s">
        <v>62</v>
      </c>
      <c r="W2177" t="s">
        <v>62</v>
      </c>
      <c r="X2177">
        <v>3</v>
      </c>
      <c r="Y2177">
        <v>7</v>
      </c>
      <c r="Z2177">
        <v>14</v>
      </c>
      <c r="AA2177">
        <v>0.33333000000000002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</v>
      </c>
      <c r="AK2177">
        <v>0</v>
      </c>
      <c r="AL2177">
        <v>13</v>
      </c>
      <c r="AM2177">
        <v>9</v>
      </c>
      <c r="AN2177">
        <v>53</v>
      </c>
      <c r="AO2177">
        <v>10</v>
      </c>
      <c r="AP2177">
        <v>67</v>
      </c>
      <c r="AQ2177">
        <v>13</v>
      </c>
      <c r="AR2177" t="s">
        <v>13119</v>
      </c>
      <c r="AS2177" t="s">
        <v>13120</v>
      </c>
      <c r="AT2177">
        <v>3.0000000000000001E-3</v>
      </c>
      <c r="AU2177" t="s">
        <v>65</v>
      </c>
      <c r="AV2177">
        <v>120</v>
      </c>
      <c r="AW2177">
        <v>23</v>
      </c>
      <c r="AX2177" t="s">
        <v>13121</v>
      </c>
      <c r="AY2177">
        <v>9.8879999999999996E-2</v>
      </c>
      <c r="AZ2177">
        <v>-7.0400000000000003E-3</v>
      </c>
      <c r="BA2177">
        <v>5.4200000000000003E-3</v>
      </c>
      <c r="BB2177">
        <v>-2.7999999999999998E-4</v>
      </c>
      <c r="BC2177">
        <v>5.4809999999999998E-2</v>
      </c>
      <c r="BD2177">
        <v>1</v>
      </c>
      <c r="BE2177" t="s">
        <v>69</v>
      </c>
      <c r="BF2177">
        <v>-1.367</v>
      </c>
      <c r="BG2177">
        <v>-1.202</v>
      </c>
    </row>
    <row r="2178" spans="1:59">
      <c r="A2178">
        <v>0</v>
      </c>
      <c r="B2178">
        <v>4</v>
      </c>
      <c r="C2178">
        <v>2</v>
      </c>
      <c r="D2178" t="s">
        <v>25022</v>
      </c>
      <c r="E2178">
        <v>1718</v>
      </c>
      <c r="F2178" t="s">
        <v>10777</v>
      </c>
      <c r="G2178" t="s">
        <v>57</v>
      </c>
      <c r="H2178">
        <v>1724029</v>
      </c>
      <c r="I2178">
        <v>1725294</v>
      </c>
      <c r="J2178" t="s">
        <v>10778</v>
      </c>
      <c r="K2178">
        <v>422</v>
      </c>
      <c r="L2178" t="s">
        <v>59</v>
      </c>
      <c r="M2178">
        <v>49</v>
      </c>
      <c r="N2178" t="str">
        <f>HYPERLINK("Gene1718-zp_tree_all.dnd", "Gene1718-tree")</f>
        <v>Gene1718-tree</v>
      </c>
      <c r="O2178">
        <v>8</v>
      </c>
      <c r="P2178">
        <v>9</v>
      </c>
      <c r="Q2178">
        <v>8</v>
      </c>
      <c r="R2178">
        <v>9</v>
      </c>
      <c r="S2178">
        <v>0.52941000000000005</v>
      </c>
      <c r="T2178" t="s">
        <v>136</v>
      </c>
      <c r="U2178" t="s">
        <v>135</v>
      </c>
      <c r="V2178" t="s">
        <v>62</v>
      </c>
      <c r="W2178" t="s">
        <v>62</v>
      </c>
      <c r="X2178">
        <v>3</v>
      </c>
      <c r="Y2178">
        <v>6</v>
      </c>
      <c r="Z2178">
        <v>25</v>
      </c>
      <c r="AA2178">
        <v>0.19355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2</v>
      </c>
      <c r="AI2178">
        <v>2</v>
      </c>
      <c r="AJ2178">
        <v>23</v>
      </c>
      <c r="AK2178">
        <v>0.08</v>
      </c>
      <c r="AL2178">
        <v>15</v>
      </c>
      <c r="AM2178">
        <v>13</v>
      </c>
      <c r="AN2178">
        <v>81</v>
      </c>
      <c r="AO2178">
        <v>27</v>
      </c>
      <c r="AP2178">
        <v>89</v>
      </c>
      <c r="AQ2178">
        <v>7</v>
      </c>
      <c r="AR2178" t="s">
        <v>10779</v>
      </c>
      <c r="AS2178" t="s">
        <v>10780</v>
      </c>
      <c r="AT2178">
        <v>0.33800000000000002</v>
      </c>
      <c r="AU2178" t="s">
        <v>65</v>
      </c>
      <c r="AV2178">
        <v>170</v>
      </c>
      <c r="AW2178">
        <v>34</v>
      </c>
      <c r="AX2178" t="s">
        <v>10781</v>
      </c>
      <c r="AY2178">
        <v>0.12335</v>
      </c>
      <c r="AZ2178">
        <v>-7.0299999999999998E-3</v>
      </c>
      <c r="BA2178">
        <v>5.0000000000000001E-3</v>
      </c>
      <c r="BB2178">
        <v>-5.2999999999999998E-4</v>
      </c>
      <c r="BC2178">
        <v>4.0570000000000002E-2</v>
      </c>
      <c r="BD2178">
        <v>1</v>
      </c>
      <c r="BE2178" t="s">
        <v>69</v>
      </c>
      <c r="BF2178">
        <v>-1.788</v>
      </c>
      <c r="BG2178">
        <v>-2.617</v>
      </c>
    </row>
    <row r="2179" spans="1:59">
      <c r="A2179">
        <v>0</v>
      </c>
      <c r="B2179">
        <v>2</v>
      </c>
      <c r="C2179">
        <v>0</v>
      </c>
      <c r="D2179" t="s">
        <v>25022</v>
      </c>
      <c r="E2179">
        <v>3085</v>
      </c>
      <c r="F2179" t="s">
        <v>17877</v>
      </c>
      <c r="G2179" t="s">
        <v>62</v>
      </c>
      <c r="H2179">
        <v>3036606</v>
      </c>
      <c r="I2179">
        <v>3037871</v>
      </c>
      <c r="J2179" t="s">
        <v>17878</v>
      </c>
      <c r="K2179">
        <v>422</v>
      </c>
      <c r="L2179" t="s">
        <v>108</v>
      </c>
      <c r="M2179">
        <v>44</v>
      </c>
      <c r="N2179" t="str">
        <f>HYPERLINK("Gene3085-zp_tree_all.dnd", "Gene3085-tree")</f>
        <v>Gene3085-tree</v>
      </c>
      <c r="O2179">
        <v>7</v>
      </c>
      <c r="P2179">
        <v>6</v>
      </c>
      <c r="Q2179">
        <v>7</v>
      </c>
      <c r="R2179">
        <v>6</v>
      </c>
      <c r="S2179">
        <v>0.46154000000000001</v>
      </c>
      <c r="T2179" t="s">
        <v>152</v>
      </c>
      <c r="U2179" t="s">
        <v>90</v>
      </c>
      <c r="V2179" t="s">
        <v>62</v>
      </c>
      <c r="W2179" t="s">
        <v>62</v>
      </c>
      <c r="X2179">
        <v>1</v>
      </c>
      <c r="Y2179">
        <v>2</v>
      </c>
      <c r="Z2179">
        <v>7</v>
      </c>
      <c r="AA2179">
        <v>0.22222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7</v>
      </c>
      <c r="AK2179">
        <v>0</v>
      </c>
      <c r="AL2179">
        <v>12</v>
      </c>
      <c r="AM2179">
        <v>9</v>
      </c>
      <c r="AN2179">
        <v>54</v>
      </c>
      <c r="AO2179">
        <v>7</v>
      </c>
      <c r="AP2179">
        <v>23</v>
      </c>
      <c r="AQ2179">
        <v>2</v>
      </c>
      <c r="AR2179" t="s">
        <v>17879</v>
      </c>
      <c r="AS2179" t="s">
        <v>17880</v>
      </c>
      <c r="AT2179">
        <v>0.33800000000000002</v>
      </c>
      <c r="AU2179" t="s">
        <v>65</v>
      </c>
      <c r="AV2179">
        <v>77</v>
      </c>
      <c r="AW2179">
        <v>9</v>
      </c>
      <c r="AX2179" t="s">
        <v>17881</v>
      </c>
      <c r="AY2179">
        <v>5.1130000000000002E-2</v>
      </c>
      <c r="AZ2179">
        <v>-1.64E-3</v>
      </c>
      <c r="BA2179">
        <v>1.8699999999999999E-3</v>
      </c>
      <c r="BB2179">
        <v>-1.2E-4</v>
      </c>
      <c r="BC2179">
        <v>3.6569999999999998E-2</v>
      </c>
      <c r="BD2179">
        <v>1</v>
      </c>
      <c r="BE2179" t="s">
        <v>69</v>
      </c>
      <c r="BF2179">
        <v>-0.79500000000000004</v>
      </c>
      <c r="BG2179">
        <v>-0.78</v>
      </c>
    </row>
    <row r="2180" spans="1:59">
      <c r="A2180">
        <v>2</v>
      </c>
      <c r="B2180">
        <v>1</v>
      </c>
      <c r="C2180">
        <v>1</v>
      </c>
      <c r="D2180" t="s">
        <v>25022</v>
      </c>
      <c r="E2180">
        <v>1280</v>
      </c>
      <c r="F2180" t="s">
        <v>8027</v>
      </c>
      <c r="G2180" t="s">
        <v>57</v>
      </c>
      <c r="H2180">
        <v>1307446</v>
      </c>
      <c r="I2180">
        <v>1308711</v>
      </c>
      <c r="J2180" t="s">
        <v>8028</v>
      </c>
      <c r="K2180">
        <v>422</v>
      </c>
      <c r="L2180" t="s">
        <v>108</v>
      </c>
      <c r="M2180">
        <v>44</v>
      </c>
      <c r="N2180" t="str">
        <f>HYPERLINK("Gene1280-zp_tree_all.dnd", "Gene1280-tree")</f>
        <v>Gene1280-tree</v>
      </c>
      <c r="O2180">
        <v>11</v>
      </c>
      <c r="P2180">
        <v>5</v>
      </c>
      <c r="Q2180">
        <v>11</v>
      </c>
      <c r="R2180">
        <v>5</v>
      </c>
      <c r="S2180">
        <v>0.3125</v>
      </c>
      <c r="T2180" t="s">
        <v>73</v>
      </c>
      <c r="U2180" t="s">
        <v>199</v>
      </c>
      <c r="V2180" t="s">
        <v>62</v>
      </c>
      <c r="W2180" t="s">
        <v>62</v>
      </c>
      <c r="X2180">
        <v>1</v>
      </c>
      <c r="Y2180">
        <v>4</v>
      </c>
      <c r="Z2180">
        <v>6</v>
      </c>
      <c r="AA2180">
        <v>0.4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2</v>
      </c>
      <c r="AI2180">
        <v>2</v>
      </c>
      <c r="AJ2180">
        <v>4</v>
      </c>
      <c r="AK2180">
        <v>0.33333000000000002</v>
      </c>
      <c r="AL2180">
        <v>16</v>
      </c>
      <c r="AM2180">
        <v>12</v>
      </c>
      <c r="AN2180">
        <v>80</v>
      </c>
      <c r="AO2180">
        <v>6</v>
      </c>
      <c r="AP2180">
        <v>39</v>
      </c>
      <c r="AQ2180">
        <v>4</v>
      </c>
      <c r="AR2180" t="s">
        <v>8029</v>
      </c>
      <c r="AS2180" t="s">
        <v>8030</v>
      </c>
      <c r="AT2180">
        <v>0.20799999999999999</v>
      </c>
      <c r="AU2180" t="s">
        <v>65</v>
      </c>
      <c r="AV2180">
        <v>119</v>
      </c>
      <c r="AW2180">
        <v>10</v>
      </c>
      <c r="AX2180" t="s">
        <v>8031</v>
      </c>
      <c r="AY2180">
        <v>6.5979999999999997E-2</v>
      </c>
      <c r="AZ2180">
        <v>-2.0999999999999999E-3</v>
      </c>
      <c r="BA2180">
        <v>1.58E-3</v>
      </c>
      <c r="BB2180">
        <v>-9.0000000000000006E-5</v>
      </c>
      <c r="BC2180">
        <v>2.3949999999999999E-2</v>
      </c>
      <c r="BD2180">
        <v>1</v>
      </c>
      <c r="BE2180" t="s">
        <v>69</v>
      </c>
      <c r="BF2180">
        <v>-7.2999999999999995E-2</v>
      </c>
      <c r="BG2180">
        <v>-0.74</v>
      </c>
    </row>
    <row r="2181" spans="1:59">
      <c r="A2181">
        <v>0</v>
      </c>
      <c r="B2181">
        <v>0</v>
      </c>
      <c r="C2181">
        <v>0</v>
      </c>
      <c r="D2181" t="s">
        <v>25022</v>
      </c>
      <c r="E2181">
        <v>2846</v>
      </c>
      <c r="F2181" t="s">
        <v>16348</v>
      </c>
      <c r="G2181" t="s">
        <v>62</v>
      </c>
      <c r="H2181">
        <v>2792863</v>
      </c>
      <c r="I2181">
        <v>2794128</v>
      </c>
      <c r="J2181" t="s">
        <v>16349</v>
      </c>
      <c r="K2181">
        <v>422</v>
      </c>
      <c r="L2181" t="s">
        <v>125</v>
      </c>
      <c r="M2181">
        <v>48</v>
      </c>
      <c r="N2181" t="str">
        <f>HYPERLINK("Gene2846-zp_tree_all.dnd", "Gene2846-tree")</f>
        <v>Gene2846-tree</v>
      </c>
      <c r="O2181">
        <v>15</v>
      </c>
      <c r="P2181">
        <v>2</v>
      </c>
      <c r="Q2181">
        <v>15</v>
      </c>
      <c r="R2181">
        <v>2</v>
      </c>
      <c r="S2181">
        <v>0.11765</v>
      </c>
      <c r="T2181" t="s">
        <v>100</v>
      </c>
      <c r="U2181" t="s">
        <v>81</v>
      </c>
      <c r="V2181" t="s">
        <v>62</v>
      </c>
      <c r="W2181" t="s">
        <v>62</v>
      </c>
      <c r="X2181">
        <v>0</v>
      </c>
      <c r="Y2181">
        <v>0</v>
      </c>
      <c r="Z2181">
        <v>8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</v>
      </c>
      <c r="AK2181">
        <v>0</v>
      </c>
      <c r="AL2181">
        <v>14</v>
      </c>
      <c r="AM2181">
        <v>13</v>
      </c>
      <c r="AN2181">
        <v>50</v>
      </c>
      <c r="AO2181">
        <v>4</v>
      </c>
      <c r="AP2181">
        <v>88</v>
      </c>
      <c r="AQ2181">
        <v>5</v>
      </c>
      <c r="AR2181" t="s">
        <v>16350</v>
      </c>
      <c r="AS2181" t="s">
        <v>16351</v>
      </c>
      <c r="AT2181">
        <v>0.109</v>
      </c>
      <c r="AU2181" t="s">
        <v>65</v>
      </c>
      <c r="AV2181">
        <v>138</v>
      </c>
      <c r="AW2181">
        <v>9</v>
      </c>
      <c r="AX2181" t="s">
        <v>16352</v>
      </c>
      <c r="AY2181">
        <v>0.11296</v>
      </c>
      <c r="AZ2181">
        <v>-7.5900000000000004E-3</v>
      </c>
      <c r="BA2181">
        <v>2.2499999999999998E-3</v>
      </c>
      <c r="BB2181">
        <v>-1.7000000000000001E-4</v>
      </c>
      <c r="BC2181">
        <v>1.992E-2</v>
      </c>
      <c r="BD2181">
        <v>1</v>
      </c>
      <c r="BE2181" t="s">
        <v>69</v>
      </c>
      <c r="BF2181">
        <v>-1.2430000000000001</v>
      </c>
      <c r="BG2181">
        <v>-0.16</v>
      </c>
    </row>
    <row r="2182" spans="1:59">
      <c r="A2182">
        <v>0</v>
      </c>
      <c r="B2182">
        <v>0</v>
      </c>
      <c r="C2182">
        <v>0</v>
      </c>
      <c r="D2182" t="s">
        <v>25022</v>
      </c>
      <c r="E2182">
        <v>1286</v>
      </c>
      <c r="F2182" t="s">
        <v>8070</v>
      </c>
      <c r="G2182" t="s">
        <v>57</v>
      </c>
      <c r="H2182">
        <v>1314453</v>
      </c>
      <c r="I2182">
        <v>1315721</v>
      </c>
      <c r="J2182" t="s">
        <v>8071</v>
      </c>
      <c r="K2182">
        <v>423</v>
      </c>
      <c r="L2182" t="s">
        <v>8072</v>
      </c>
      <c r="M2182">
        <v>39</v>
      </c>
      <c r="N2182" t="str">
        <f>HYPERLINK("Gene1286-zp_tree_all.dnd", "Gene1286-tree")</f>
        <v>Gene1286-tree</v>
      </c>
      <c r="O2182">
        <v>4</v>
      </c>
      <c r="P2182">
        <v>10</v>
      </c>
      <c r="Q2182">
        <v>4</v>
      </c>
      <c r="R2182">
        <v>10</v>
      </c>
      <c r="S2182">
        <v>0.71428999999999998</v>
      </c>
      <c r="T2182" t="s">
        <v>61</v>
      </c>
      <c r="U2182" t="s">
        <v>117</v>
      </c>
      <c r="V2182" t="s">
        <v>62</v>
      </c>
      <c r="W2182" t="s">
        <v>62</v>
      </c>
      <c r="X2182">
        <v>0</v>
      </c>
      <c r="Y2182">
        <v>0</v>
      </c>
      <c r="Z2182">
        <v>23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17</v>
      </c>
      <c r="AK2182">
        <v>0</v>
      </c>
      <c r="AL2182">
        <v>11</v>
      </c>
      <c r="AM2182">
        <v>6</v>
      </c>
      <c r="AN2182">
        <v>35</v>
      </c>
      <c r="AO2182">
        <v>17</v>
      </c>
      <c r="AP2182">
        <v>29</v>
      </c>
      <c r="AQ2182">
        <v>7</v>
      </c>
      <c r="AR2182" t="s">
        <v>8073</v>
      </c>
      <c r="AS2182" t="s">
        <v>8074</v>
      </c>
      <c r="AT2182">
        <v>0.56299999999999994</v>
      </c>
      <c r="AU2182" t="s">
        <v>65</v>
      </c>
      <c r="AV2182">
        <v>64</v>
      </c>
      <c r="AW2182">
        <v>24</v>
      </c>
      <c r="AX2182" t="s">
        <v>8075</v>
      </c>
      <c r="AY2182">
        <v>5.432E-2</v>
      </c>
      <c r="AZ2182">
        <v>-5.4000000000000003E-3</v>
      </c>
      <c r="BA2182">
        <v>4.6600000000000001E-3</v>
      </c>
      <c r="BB2182">
        <v>-3.3E-4</v>
      </c>
      <c r="BC2182">
        <v>8.5779999999999995E-2</v>
      </c>
      <c r="BD2182">
        <v>1</v>
      </c>
      <c r="BE2182" t="s">
        <v>69</v>
      </c>
      <c r="BF2182">
        <v>-2.1280000000000001</v>
      </c>
      <c r="BG2182">
        <v>-1.851</v>
      </c>
    </row>
    <row r="2183" spans="1:59">
      <c r="A2183">
        <v>0</v>
      </c>
      <c r="B2183">
        <v>0</v>
      </c>
      <c r="C2183">
        <v>0</v>
      </c>
      <c r="D2183" t="s">
        <v>25022</v>
      </c>
      <c r="E2183">
        <v>2353</v>
      </c>
      <c r="F2183" t="s">
        <v>13663</v>
      </c>
      <c r="G2183" t="s">
        <v>62</v>
      </c>
      <c r="H2183">
        <v>2366350</v>
      </c>
      <c r="I2183">
        <v>2367618</v>
      </c>
      <c r="J2183" t="s">
        <v>116</v>
      </c>
      <c r="K2183">
        <v>423</v>
      </c>
      <c r="L2183" t="s">
        <v>13664</v>
      </c>
      <c r="M2183">
        <v>41</v>
      </c>
      <c r="N2183" t="str">
        <f>HYPERLINK("Gene2353-zp_tree_all.dnd", "Gene2353-tree")</f>
        <v>Gene2353-tree</v>
      </c>
      <c r="O2183">
        <v>6</v>
      </c>
      <c r="P2183">
        <v>7</v>
      </c>
      <c r="Q2183">
        <v>6</v>
      </c>
      <c r="R2183">
        <v>7</v>
      </c>
      <c r="S2183">
        <v>0.53846000000000005</v>
      </c>
      <c r="T2183" t="s">
        <v>90</v>
      </c>
      <c r="U2183" t="s">
        <v>152</v>
      </c>
      <c r="V2183" t="s">
        <v>62</v>
      </c>
      <c r="W2183" t="s">
        <v>62</v>
      </c>
      <c r="X2183">
        <v>0</v>
      </c>
      <c r="Y2183">
        <v>0</v>
      </c>
      <c r="Z2183">
        <v>17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13</v>
      </c>
      <c r="AK2183">
        <v>0</v>
      </c>
      <c r="AL2183">
        <v>10</v>
      </c>
      <c r="AM2183">
        <v>9</v>
      </c>
      <c r="AN2183">
        <v>61</v>
      </c>
      <c r="AO2183">
        <v>13</v>
      </c>
      <c r="AP2183">
        <v>13</v>
      </c>
      <c r="AQ2183">
        <v>4</v>
      </c>
      <c r="AR2183" t="s">
        <v>13665</v>
      </c>
      <c r="AS2183" t="s">
        <v>13666</v>
      </c>
      <c r="AT2183">
        <v>0.20899999999999999</v>
      </c>
      <c r="AU2183" t="s">
        <v>65</v>
      </c>
      <c r="AV2183">
        <v>74</v>
      </c>
      <c r="AW2183">
        <v>17</v>
      </c>
      <c r="AX2183" t="s">
        <v>13667</v>
      </c>
      <c r="AY2183">
        <v>5.1549999999999999E-2</v>
      </c>
      <c r="AZ2183">
        <v>-7.1900000000000002E-3</v>
      </c>
      <c r="BA2183">
        <v>3.3999999999999998E-3</v>
      </c>
      <c r="BB2183">
        <v>-3.4000000000000002E-4</v>
      </c>
      <c r="BC2183">
        <v>6.6019999999999995E-2</v>
      </c>
      <c r="BD2183">
        <v>1</v>
      </c>
      <c r="BE2183" t="s">
        <v>69</v>
      </c>
      <c r="BF2183">
        <v>-1.7569999999999999</v>
      </c>
      <c r="BG2183">
        <v>-4.4740000000000002</v>
      </c>
    </row>
    <row r="2184" spans="1:59">
      <c r="A2184">
        <v>0</v>
      </c>
      <c r="B2184">
        <v>2</v>
      </c>
      <c r="C2184">
        <v>0</v>
      </c>
      <c r="D2184" t="s">
        <v>25022</v>
      </c>
      <c r="E2184">
        <v>3029</v>
      </c>
      <c r="F2184" t="s">
        <v>17512</v>
      </c>
      <c r="G2184" t="s">
        <v>62</v>
      </c>
      <c r="H2184">
        <v>2979719</v>
      </c>
      <c r="I2184">
        <v>2980987</v>
      </c>
      <c r="J2184" t="s">
        <v>17513</v>
      </c>
      <c r="K2184">
        <v>423</v>
      </c>
      <c r="L2184" t="s">
        <v>59</v>
      </c>
      <c r="M2184">
        <v>49</v>
      </c>
      <c r="N2184" t="str">
        <f>HYPERLINK("Gene3029-zp_tree_all.dnd", "Gene3029-tree")</f>
        <v>Gene3029-tree</v>
      </c>
      <c r="O2184">
        <v>37</v>
      </c>
      <c r="P2184">
        <v>2</v>
      </c>
      <c r="Q2184">
        <v>18</v>
      </c>
      <c r="R2184">
        <v>2</v>
      </c>
      <c r="S2184">
        <v>0.1</v>
      </c>
      <c r="T2184" t="s">
        <v>9478</v>
      </c>
      <c r="U2184" t="s">
        <v>81</v>
      </c>
      <c r="V2184" t="s">
        <v>62</v>
      </c>
      <c r="W2184" t="s">
        <v>62</v>
      </c>
      <c r="X2184">
        <v>1</v>
      </c>
      <c r="Y2184">
        <v>2</v>
      </c>
      <c r="Z2184">
        <v>5</v>
      </c>
      <c r="AA2184">
        <v>0.28571000000000002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</v>
      </c>
      <c r="AK2184">
        <v>0</v>
      </c>
      <c r="AL2184">
        <v>17</v>
      </c>
      <c r="AM2184">
        <v>12</v>
      </c>
      <c r="AN2184">
        <v>48</v>
      </c>
      <c r="AO2184">
        <v>2</v>
      </c>
      <c r="AP2184">
        <v>62</v>
      </c>
      <c r="AQ2184">
        <v>5</v>
      </c>
      <c r="AR2184" t="s">
        <v>17514</v>
      </c>
      <c r="AS2184" t="s">
        <v>17515</v>
      </c>
      <c r="AT2184">
        <v>0.29199999999999998</v>
      </c>
      <c r="AU2184" t="s">
        <v>65</v>
      </c>
      <c r="AV2184">
        <v>110</v>
      </c>
      <c r="AW2184">
        <v>7</v>
      </c>
      <c r="AX2184" t="s">
        <v>17516</v>
      </c>
      <c r="AY2184">
        <v>7.4499999999999997E-2</v>
      </c>
      <c r="AZ2184">
        <v>-4.4600000000000004E-3</v>
      </c>
      <c r="BA2184">
        <v>2.0100000000000001E-3</v>
      </c>
      <c r="BB2184">
        <v>-1.3999999999999999E-4</v>
      </c>
      <c r="BC2184">
        <v>2.7009999999999999E-2</v>
      </c>
      <c r="BD2184">
        <v>1</v>
      </c>
      <c r="BE2184" t="s">
        <v>69</v>
      </c>
      <c r="BF2184">
        <v>-1.516</v>
      </c>
      <c r="BG2184">
        <v>-0.85699999999999998</v>
      </c>
    </row>
    <row r="2185" spans="1:59">
      <c r="A2185">
        <v>0</v>
      </c>
      <c r="B2185">
        <v>17</v>
      </c>
      <c r="C2185">
        <v>4</v>
      </c>
      <c r="D2185" t="s">
        <v>25022</v>
      </c>
      <c r="E2185">
        <v>2505</v>
      </c>
      <c r="F2185" t="s">
        <v>14612</v>
      </c>
      <c r="G2185" t="s">
        <v>62</v>
      </c>
      <c r="H2185">
        <v>2496799</v>
      </c>
      <c r="I2185">
        <v>2498070</v>
      </c>
      <c r="J2185" t="s">
        <v>14613</v>
      </c>
      <c r="K2185">
        <v>424</v>
      </c>
      <c r="L2185" t="s">
        <v>1124</v>
      </c>
      <c r="M2185">
        <v>43</v>
      </c>
      <c r="N2185" t="str">
        <f>HYPERLINK("Gene2505-zp_tree_all.dnd", "Gene2505-tree")</f>
        <v>Gene2505-tree</v>
      </c>
      <c r="O2185">
        <v>1</v>
      </c>
      <c r="P2185">
        <v>13</v>
      </c>
      <c r="Q2185">
        <v>1</v>
      </c>
      <c r="R2185">
        <v>13</v>
      </c>
      <c r="S2185">
        <v>0.92857000000000001</v>
      </c>
      <c r="T2185" t="s">
        <v>175</v>
      </c>
      <c r="U2185" t="s">
        <v>507</v>
      </c>
      <c r="V2185" t="s">
        <v>62</v>
      </c>
      <c r="W2185" t="s">
        <v>62</v>
      </c>
      <c r="X2185">
        <v>8</v>
      </c>
      <c r="Y2185">
        <v>21</v>
      </c>
      <c r="Z2185">
        <v>18</v>
      </c>
      <c r="AA2185">
        <v>0.53846000000000005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9</v>
      </c>
      <c r="AH2185">
        <v>5</v>
      </c>
      <c r="AI2185">
        <v>14</v>
      </c>
      <c r="AJ2185">
        <v>18</v>
      </c>
      <c r="AK2185">
        <v>0.4375</v>
      </c>
      <c r="AL2185">
        <v>13</v>
      </c>
      <c r="AM2185">
        <v>9</v>
      </c>
      <c r="AN2185">
        <v>66</v>
      </c>
      <c r="AO2185">
        <v>26</v>
      </c>
      <c r="AP2185">
        <v>33</v>
      </c>
      <c r="AQ2185">
        <v>13</v>
      </c>
      <c r="AR2185" t="s">
        <v>14614</v>
      </c>
      <c r="AS2185" t="s">
        <v>14615</v>
      </c>
      <c r="AT2185">
        <v>1.7000000000000001E-2</v>
      </c>
      <c r="AU2185" t="s">
        <v>65</v>
      </c>
      <c r="AV2185">
        <v>99</v>
      </c>
      <c r="AW2185">
        <v>39</v>
      </c>
      <c r="AX2185" t="s">
        <v>14616</v>
      </c>
      <c r="AY2185">
        <v>5.6419999999999998E-2</v>
      </c>
      <c r="AZ2185">
        <v>-2.3E-3</v>
      </c>
      <c r="BA2185">
        <v>7.5300000000000002E-3</v>
      </c>
      <c r="BB2185">
        <v>-3.1E-4</v>
      </c>
      <c r="BC2185">
        <v>0.13355</v>
      </c>
      <c r="BD2185">
        <v>1</v>
      </c>
      <c r="BE2185" t="s">
        <v>69</v>
      </c>
      <c r="BF2185">
        <v>-2.1999999999999999E-2</v>
      </c>
      <c r="BG2185">
        <v>-1.522</v>
      </c>
    </row>
    <row r="2186" spans="1:59">
      <c r="A2186">
        <v>0</v>
      </c>
      <c r="B2186">
        <v>45</v>
      </c>
      <c r="C2186">
        <v>7</v>
      </c>
      <c r="D2186" t="s">
        <v>25022</v>
      </c>
      <c r="E2186">
        <v>689</v>
      </c>
      <c r="F2186" t="s">
        <v>4306</v>
      </c>
      <c r="G2186" t="s">
        <v>57</v>
      </c>
      <c r="H2186">
        <v>712019</v>
      </c>
      <c r="I2186">
        <v>713290</v>
      </c>
      <c r="J2186" t="s">
        <v>4307</v>
      </c>
      <c r="K2186">
        <v>424</v>
      </c>
      <c r="L2186" t="s">
        <v>4308</v>
      </c>
      <c r="M2186">
        <v>41</v>
      </c>
      <c r="N2186" t="str">
        <f>HYPERLINK("Gene689-zp_tree_all.dnd", "Gene689-tree")</f>
        <v>Gene689-tree</v>
      </c>
      <c r="O2186">
        <v>3</v>
      </c>
      <c r="P2186">
        <v>12</v>
      </c>
      <c r="Q2186">
        <v>3</v>
      </c>
      <c r="R2186">
        <v>12</v>
      </c>
      <c r="S2186">
        <v>0.8</v>
      </c>
      <c r="T2186" t="s">
        <v>324</v>
      </c>
      <c r="U2186" t="s">
        <v>109</v>
      </c>
      <c r="V2186" t="s">
        <v>62</v>
      </c>
      <c r="W2186" t="s">
        <v>62</v>
      </c>
      <c r="X2186">
        <v>20</v>
      </c>
      <c r="Y2186">
        <v>52</v>
      </c>
      <c r="Z2186">
        <v>30</v>
      </c>
      <c r="AA2186">
        <v>0.63414999999999999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14</v>
      </c>
      <c r="AH2186">
        <v>7</v>
      </c>
      <c r="AI2186">
        <v>21</v>
      </c>
      <c r="AJ2186">
        <v>30</v>
      </c>
      <c r="AK2186">
        <v>0.41176000000000001</v>
      </c>
      <c r="AL2186">
        <v>15</v>
      </c>
      <c r="AM2186">
        <v>12</v>
      </c>
      <c r="AN2186">
        <v>151</v>
      </c>
      <c r="AO2186">
        <v>52</v>
      </c>
      <c r="AP2186">
        <v>96</v>
      </c>
      <c r="AQ2186">
        <v>32</v>
      </c>
      <c r="AR2186" t="s">
        <v>4309</v>
      </c>
      <c r="AS2186" t="s">
        <v>4310</v>
      </c>
      <c r="AT2186">
        <v>5.5E-2</v>
      </c>
      <c r="AU2186" t="s">
        <v>65</v>
      </c>
      <c r="AV2186">
        <v>247</v>
      </c>
      <c r="AW2186">
        <v>84</v>
      </c>
      <c r="AX2186" t="s">
        <v>4311</v>
      </c>
      <c r="AY2186">
        <v>0.12648000000000001</v>
      </c>
      <c r="AZ2186">
        <v>-3.82E-3</v>
      </c>
      <c r="BA2186">
        <v>1.396E-2</v>
      </c>
      <c r="BB2186">
        <v>-6.8000000000000005E-4</v>
      </c>
      <c r="BC2186">
        <v>0.11038000000000001</v>
      </c>
      <c r="BD2186">
        <v>1</v>
      </c>
      <c r="BE2186" t="s">
        <v>69</v>
      </c>
      <c r="BF2186">
        <v>2.5000000000000001E-2</v>
      </c>
      <c r="BG2186">
        <v>-0.20499999999999999</v>
      </c>
    </row>
    <row r="2187" spans="1:59">
      <c r="A2187">
        <v>0</v>
      </c>
      <c r="B2187">
        <v>5</v>
      </c>
      <c r="C2187">
        <v>0</v>
      </c>
      <c r="D2187" t="s">
        <v>25022</v>
      </c>
      <c r="E2187">
        <v>3234</v>
      </c>
      <c r="F2187" t="s">
        <v>18848</v>
      </c>
      <c r="G2187" t="s">
        <v>62</v>
      </c>
      <c r="H2187">
        <v>3197936</v>
      </c>
      <c r="I2187">
        <v>3199207</v>
      </c>
      <c r="J2187" t="s">
        <v>18849</v>
      </c>
      <c r="K2187">
        <v>424</v>
      </c>
      <c r="L2187" t="s">
        <v>108</v>
      </c>
      <c r="M2187">
        <v>44</v>
      </c>
      <c r="N2187" t="str">
        <f>HYPERLINK("Gene3234-zp_tree_all.dnd", "Gene3234-tree")</f>
        <v>Gene3234-tree</v>
      </c>
      <c r="O2187">
        <v>5</v>
      </c>
      <c r="P2187">
        <v>8</v>
      </c>
      <c r="Q2187">
        <v>5</v>
      </c>
      <c r="R2187">
        <v>8</v>
      </c>
      <c r="S2187">
        <v>0.61538000000000004</v>
      </c>
      <c r="T2187" t="s">
        <v>199</v>
      </c>
      <c r="U2187" t="s">
        <v>136</v>
      </c>
      <c r="V2187" t="s">
        <v>62</v>
      </c>
      <c r="W2187" t="s">
        <v>62</v>
      </c>
      <c r="X2187">
        <v>2</v>
      </c>
      <c r="Y2187">
        <v>5</v>
      </c>
      <c r="Z2187">
        <v>12</v>
      </c>
      <c r="AA2187">
        <v>0.29411999999999999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2</v>
      </c>
      <c r="AH2187">
        <v>0</v>
      </c>
      <c r="AI2187">
        <v>2</v>
      </c>
      <c r="AJ2187">
        <v>11</v>
      </c>
      <c r="AK2187">
        <v>0.15384999999999999</v>
      </c>
      <c r="AL2187">
        <v>10</v>
      </c>
      <c r="AM2187">
        <v>9</v>
      </c>
      <c r="AN2187">
        <v>31</v>
      </c>
      <c r="AO2187">
        <v>11</v>
      </c>
      <c r="AP2187">
        <v>17</v>
      </c>
      <c r="AQ2187">
        <v>6</v>
      </c>
      <c r="AR2187" t="s">
        <v>18850</v>
      </c>
      <c r="AS2187" t="s">
        <v>18851</v>
      </c>
      <c r="AT2187">
        <v>5.0000000000000001E-3</v>
      </c>
      <c r="AU2187" t="s">
        <v>65</v>
      </c>
      <c r="AV2187">
        <v>48</v>
      </c>
      <c r="AW2187">
        <v>17</v>
      </c>
      <c r="AX2187" t="s">
        <v>18852</v>
      </c>
      <c r="AY2187">
        <v>3.8460000000000001E-2</v>
      </c>
      <c r="AZ2187">
        <v>-2.1099999999999999E-3</v>
      </c>
      <c r="BA2187">
        <v>3.32E-3</v>
      </c>
      <c r="BB2187">
        <v>-1.7000000000000001E-4</v>
      </c>
      <c r="BC2187">
        <v>8.6349999999999996E-2</v>
      </c>
      <c r="BD2187">
        <v>1</v>
      </c>
      <c r="BE2187" t="s">
        <v>69</v>
      </c>
      <c r="BF2187">
        <v>-0.81899999999999995</v>
      </c>
      <c r="BG2187">
        <v>-1.0780000000000001</v>
      </c>
    </row>
    <row r="2188" spans="1:59">
      <c r="A2188">
        <v>0</v>
      </c>
      <c r="B2188">
        <v>8</v>
      </c>
      <c r="C2188">
        <v>0</v>
      </c>
      <c r="D2188" t="s">
        <v>25022</v>
      </c>
      <c r="E2188">
        <v>2870</v>
      </c>
      <c r="F2188" t="s">
        <v>16499</v>
      </c>
      <c r="G2188" t="s">
        <v>62</v>
      </c>
      <c r="H2188">
        <v>2816538</v>
      </c>
      <c r="I2188">
        <v>2817809</v>
      </c>
      <c r="J2188" t="s">
        <v>16500</v>
      </c>
      <c r="K2188">
        <v>424</v>
      </c>
      <c r="L2188" t="s">
        <v>1607</v>
      </c>
      <c r="M2188">
        <v>47</v>
      </c>
      <c r="N2188" t="str">
        <f>HYPERLINK("Gene2870-zp_tree_all.dnd", "Gene2870-tree")</f>
        <v>Gene2870-tree</v>
      </c>
      <c r="O2188">
        <v>6</v>
      </c>
      <c r="P2188">
        <v>8</v>
      </c>
      <c r="Q2188">
        <v>6</v>
      </c>
      <c r="R2188">
        <v>8</v>
      </c>
      <c r="S2188">
        <v>0.57142999999999999</v>
      </c>
      <c r="T2188" t="s">
        <v>90</v>
      </c>
      <c r="U2188" t="s">
        <v>136</v>
      </c>
      <c r="V2188" t="s">
        <v>62</v>
      </c>
      <c r="W2188" t="s">
        <v>62</v>
      </c>
      <c r="X2188">
        <v>4</v>
      </c>
      <c r="Y2188">
        <v>8</v>
      </c>
      <c r="Z2188">
        <v>17</v>
      </c>
      <c r="AA2188">
        <v>0.32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</v>
      </c>
      <c r="AH2188">
        <v>0</v>
      </c>
      <c r="AI2188">
        <v>2</v>
      </c>
      <c r="AJ2188">
        <v>11</v>
      </c>
      <c r="AK2188">
        <v>0.15384999999999999</v>
      </c>
      <c r="AL2188">
        <v>11</v>
      </c>
      <c r="AM2188">
        <v>11</v>
      </c>
      <c r="AN2188">
        <v>64</v>
      </c>
      <c r="AO2188">
        <v>13</v>
      </c>
      <c r="AP2188">
        <v>79</v>
      </c>
      <c r="AQ2188">
        <v>12</v>
      </c>
      <c r="AR2188" t="s">
        <v>16501</v>
      </c>
      <c r="AS2188" t="s">
        <v>16502</v>
      </c>
      <c r="AT2188">
        <v>0.35599999999999998</v>
      </c>
      <c r="AU2188" t="s">
        <v>65</v>
      </c>
      <c r="AV2188">
        <v>143</v>
      </c>
      <c r="AW2188">
        <v>25</v>
      </c>
      <c r="AX2188" t="s">
        <v>16503</v>
      </c>
      <c r="AY2188">
        <v>0.11391</v>
      </c>
      <c r="AZ2188">
        <v>-8.5500000000000003E-3</v>
      </c>
      <c r="BA2188">
        <v>6.0800000000000003E-3</v>
      </c>
      <c r="BB2188">
        <v>-4.0999999999999999E-4</v>
      </c>
      <c r="BC2188">
        <v>5.3370000000000001E-2</v>
      </c>
      <c r="BD2188">
        <v>1</v>
      </c>
      <c r="BE2188" t="s">
        <v>69</v>
      </c>
      <c r="BF2188">
        <v>-1.5049999999999999</v>
      </c>
      <c r="BG2188">
        <v>-1.5860000000000001</v>
      </c>
    </row>
    <row r="2189" spans="1:59">
      <c r="A2189">
        <v>0</v>
      </c>
      <c r="B2189">
        <v>8</v>
      </c>
      <c r="C2189">
        <v>0</v>
      </c>
      <c r="D2189" t="s">
        <v>25022</v>
      </c>
      <c r="E2189">
        <v>2940</v>
      </c>
      <c r="F2189" t="s">
        <v>16944</v>
      </c>
      <c r="G2189" t="s">
        <v>62</v>
      </c>
      <c r="H2189">
        <v>2886318</v>
      </c>
      <c r="I2189">
        <v>2887589</v>
      </c>
      <c r="J2189" t="s">
        <v>16945</v>
      </c>
      <c r="K2189">
        <v>424</v>
      </c>
      <c r="L2189" t="s">
        <v>59</v>
      </c>
      <c r="M2189">
        <v>49</v>
      </c>
      <c r="N2189" t="str">
        <f>HYPERLINK("Gene2940-zp_tree_all.dnd", "Gene2940-tree")</f>
        <v>Gene2940-tree</v>
      </c>
      <c r="O2189">
        <v>10</v>
      </c>
      <c r="P2189">
        <v>7</v>
      </c>
      <c r="Q2189">
        <v>10</v>
      </c>
      <c r="R2189">
        <v>7</v>
      </c>
      <c r="S2189">
        <v>0.41176000000000001</v>
      </c>
      <c r="T2189" t="s">
        <v>117</v>
      </c>
      <c r="U2189" t="s">
        <v>152</v>
      </c>
      <c r="V2189" t="s">
        <v>62</v>
      </c>
      <c r="W2189" t="s">
        <v>62</v>
      </c>
      <c r="X2189">
        <v>3</v>
      </c>
      <c r="Y2189">
        <v>8</v>
      </c>
      <c r="Z2189">
        <v>11</v>
      </c>
      <c r="AA2189">
        <v>0.42104999999999998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</v>
      </c>
      <c r="AH2189">
        <v>0</v>
      </c>
      <c r="AI2189">
        <v>2</v>
      </c>
      <c r="AJ2189">
        <v>7</v>
      </c>
      <c r="AK2189">
        <v>0.22222</v>
      </c>
      <c r="AL2189">
        <v>14</v>
      </c>
      <c r="AM2189">
        <v>14</v>
      </c>
      <c r="AN2189">
        <v>49</v>
      </c>
      <c r="AO2189">
        <v>8</v>
      </c>
      <c r="AP2189">
        <v>57</v>
      </c>
      <c r="AQ2189">
        <v>12</v>
      </c>
      <c r="AR2189" t="s">
        <v>16946</v>
      </c>
      <c r="AS2189" t="s">
        <v>16947</v>
      </c>
      <c r="AT2189">
        <v>0.28199999999999997</v>
      </c>
      <c r="AU2189" t="s">
        <v>65</v>
      </c>
      <c r="AV2189">
        <v>106</v>
      </c>
      <c r="AW2189">
        <v>20</v>
      </c>
      <c r="AX2189" t="s">
        <v>16948</v>
      </c>
      <c r="AY2189">
        <v>7.467E-2</v>
      </c>
      <c r="AZ2189">
        <v>-2.63E-3</v>
      </c>
      <c r="BA2189">
        <v>3.8400000000000001E-3</v>
      </c>
      <c r="BB2189">
        <v>-2.0000000000000001E-4</v>
      </c>
      <c r="BC2189">
        <v>5.1470000000000002E-2</v>
      </c>
      <c r="BD2189">
        <v>1</v>
      </c>
      <c r="BE2189" t="s">
        <v>69</v>
      </c>
      <c r="BF2189">
        <v>-0.94</v>
      </c>
      <c r="BG2189">
        <v>-0.39900000000000002</v>
      </c>
    </row>
    <row r="2190" spans="1:59">
      <c r="A2190">
        <v>0</v>
      </c>
      <c r="B2190">
        <v>2</v>
      </c>
      <c r="C2190">
        <v>0</v>
      </c>
      <c r="D2190" t="s">
        <v>25022</v>
      </c>
      <c r="E2190">
        <v>3915</v>
      </c>
      <c r="F2190" t="s">
        <v>22965</v>
      </c>
      <c r="G2190" t="s">
        <v>62</v>
      </c>
      <c r="H2190">
        <v>3880743</v>
      </c>
      <c r="I2190">
        <v>3882014</v>
      </c>
      <c r="J2190" t="s">
        <v>22966</v>
      </c>
      <c r="K2190">
        <v>424</v>
      </c>
      <c r="L2190" t="s">
        <v>22967</v>
      </c>
      <c r="M2190">
        <v>43</v>
      </c>
      <c r="N2190" t="str">
        <f>HYPERLINK("Gene3915-zp_tree_all.dnd", "Gene3915-tree")</f>
        <v>Gene3915-tree</v>
      </c>
      <c r="O2190">
        <v>7</v>
      </c>
      <c r="P2190">
        <v>7</v>
      </c>
      <c r="Q2190">
        <v>7</v>
      </c>
      <c r="R2190">
        <v>7</v>
      </c>
      <c r="S2190">
        <v>0.5</v>
      </c>
      <c r="T2190" t="s">
        <v>152</v>
      </c>
      <c r="U2190" t="s">
        <v>152</v>
      </c>
      <c r="V2190" t="s">
        <v>62</v>
      </c>
      <c r="W2190" t="s">
        <v>62</v>
      </c>
      <c r="X2190">
        <v>1</v>
      </c>
      <c r="Y2190">
        <v>2</v>
      </c>
      <c r="Z2190">
        <v>8</v>
      </c>
      <c r="AA2190">
        <v>0.2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</v>
      </c>
      <c r="AK2190">
        <v>0</v>
      </c>
      <c r="AL2190">
        <v>14</v>
      </c>
      <c r="AM2190">
        <v>10</v>
      </c>
      <c r="AN2190">
        <v>63</v>
      </c>
      <c r="AO2190">
        <v>9</v>
      </c>
      <c r="AP2190">
        <v>32</v>
      </c>
      <c r="AQ2190">
        <v>1</v>
      </c>
      <c r="AR2190" t="s">
        <v>22968</v>
      </c>
      <c r="AS2190" t="s">
        <v>22969</v>
      </c>
      <c r="AT2190">
        <v>0.876</v>
      </c>
      <c r="AU2190" t="s">
        <v>65</v>
      </c>
      <c r="AV2190">
        <v>95</v>
      </c>
      <c r="AW2190">
        <v>10</v>
      </c>
      <c r="AX2190" t="s">
        <v>22970</v>
      </c>
      <c r="AY2190">
        <v>5.389E-2</v>
      </c>
      <c r="AZ2190">
        <v>-2.47E-3</v>
      </c>
      <c r="BA2190">
        <v>1.7099999999999999E-3</v>
      </c>
      <c r="BB2190">
        <v>-1.1E-4</v>
      </c>
      <c r="BC2190">
        <v>3.1800000000000002E-2</v>
      </c>
      <c r="BD2190">
        <v>1</v>
      </c>
      <c r="BE2190" t="s">
        <v>69</v>
      </c>
      <c r="BF2190">
        <v>-1.0720000000000001</v>
      </c>
      <c r="BG2190">
        <v>-1.776</v>
      </c>
    </row>
    <row r="2191" spans="1:59">
      <c r="A2191">
        <v>0</v>
      </c>
      <c r="B2191">
        <v>7</v>
      </c>
      <c r="C2191">
        <v>0</v>
      </c>
      <c r="D2191" t="s">
        <v>25022</v>
      </c>
      <c r="E2191">
        <v>13</v>
      </c>
      <c r="F2191" t="s">
        <v>158</v>
      </c>
      <c r="G2191" t="s">
        <v>57</v>
      </c>
      <c r="H2191">
        <v>20880</v>
      </c>
      <c r="I2191">
        <v>22154</v>
      </c>
      <c r="J2191" t="s">
        <v>159</v>
      </c>
      <c r="K2191">
        <v>425</v>
      </c>
      <c r="L2191" t="s">
        <v>160</v>
      </c>
      <c r="M2191">
        <v>45</v>
      </c>
      <c r="N2191" t="str">
        <f>HYPERLINK("Gene13-zp_tree_all.dnd", "Gene13-tree")</f>
        <v>Gene13-tree</v>
      </c>
      <c r="O2191">
        <v>8</v>
      </c>
      <c r="P2191">
        <v>8</v>
      </c>
      <c r="Q2191">
        <v>8</v>
      </c>
      <c r="R2191">
        <v>8</v>
      </c>
      <c r="S2191">
        <v>0.5</v>
      </c>
      <c r="T2191" t="s">
        <v>136</v>
      </c>
      <c r="U2191" t="s">
        <v>136</v>
      </c>
      <c r="V2191" t="s">
        <v>62</v>
      </c>
      <c r="W2191" t="s">
        <v>62</v>
      </c>
      <c r="X2191">
        <v>1</v>
      </c>
      <c r="Y2191">
        <v>7</v>
      </c>
      <c r="Z2191">
        <v>12</v>
      </c>
      <c r="AA2191">
        <v>0.36842000000000003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3</v>
      </c>
      <c r="AH2191">
        <v>0</v>
      </c>
      <c r="AI2191">
        <v>3</v>
      </c>
      <c r="AJ2191">
        <v>10</v>
      </c>
      <c r="AK2191">
        <v>0.23077</v>
      </c>
      <c r="AL2191">
        <v>13</v>
      </c>
      <c r="AM2191">
        <v>9</v>
      </c>
      <c r="AN2191">
        <v>87</v>
      </c>
      <c r="AO2191">
        <v>14</v>
      </c>
      <c r="AP2191">
        <v>21</v>
      </c>
      <c r="AQ2191">
        <v>6</v>
      </c>
      <c r="AR2191" t="s">
        <v>161</v>
      </c>
      <c r="AS2191" t="s">
        <v>162</v>
      </c>
      <c r="AT2191">
        <v>0.438</v>
      </c>
      <c r="AU2191" t="s">
        <v>65</v>
      </c>
      <c r="AV2191">
        <v>108</v>
      </c>
      <c r="AW2191">
        <v>20</v>
      </c>
      <c r="AX2191" t="s">
        <v>163</v>
      </c>
      <c r="AY2191">
        <v>6.0179999999999997E-2</v>
      </c>
      <c r="AZ2191">
        <v>-6.4099999999999999E-3</v>
      </c>
      <c r="BA2191">
        <v>2.3700000000000001E-3</v>
      </c>
      <c r="BB2191">
        <v>-1.6000000000000001E-4</v>
      </c>
      <c r="BC2191">
        <v>3.9359999999999999E-2</v>
      </c>
      <c r="BD2191">
        <v>1</v>
      </c>
      <c r="BE2191" t="s">
        <v>69</v>
      </c>
      <c r="BF2191">
        <v>-1.9419999999999999</v>
      </c>
      <c r="BG2191">
        <v>-4.3090000000000002</v>
      </c>
    </row>
    <row r="2192" spans="1:59">
      <c r="A2192">
        <v>0</v>
      </c>
      <c r="B2192">
        <v>3</v>
      </c>
      <c r="C2192">
        <v>1</v>
      </c>
      <c r="D2192" t="s">
        <v>25022</v>
      </c>
      <c r="E2192">
        <v>2061</v>
      </c>
      <c r="F2192" t="s">
        <v>12836</v>
      </c>
      <c r="G2192" t="s">
        <v>62</v>
      </c>
      <c r="H2192">
        <v>2146824</v>
      </c>
      <c r="I2192">
        <v>2148101</v>
      </c>
      <c r="J2192" t="s">
        <v>12837</v>
      </c>
      <c r="K2192">
        <v>426</v>
      </c>
      <c r="L2192" t="s">
        <v>108</v>
      </c>
      <c r="M2192">
        <v>44</v>
      </c>
      <c r="N2192" t="str">
        <f>HYPERLINK("Gene2061-zp_tree_all.dnd", "Gene2061-tree")</f>
        <v>Gene2061-tree</v>
      </c>
      <c r="O2192">
        <v>6</v>
      </c>
      <c r="P2192">
        <v>7</v>
      </c>
      <c r="Q2192">
        <v>6</v>
      </c>
      <c r="R2192">
        <v>7</v>
      </c>
      <c r="S2192">
        <v>0.53846000000000005</v>
      </c>
      <c r="T2192" t="s">
        <v>90</v>
      </c>
      <c r="U2192" t="s">
        <v>152</v>
      </c>
      <c r="V2192" t="s">
        <v>62</v>
      </c>
      <c r="W2192" t="s">
        <v>62</v>
      </c>
      <c r="X2192">
        <v>1</v>
      </c>
      <c r="Y2192">
        <v>4</v>
      </c>
      <c r="Z2192">
        <v>30</v>
      </c>
      <c r="AA2192">
        <v>0.11765</v>
      </c>
      <c r="AB2192">
        <v>0</v>
      </c>
      <c r="AC2192">
        <v>0</v>
      </c>
      <c r="AD2192">
        <v>0</v>
      </c>
      <c r="AE2192">
        <v>2</v>
      </c>
      <c r="AF2192">
        <v>0</v>
      </c>
      <c r="AG2192">
        <v>2</v>
      </c>
      <c r="AH2192">
        <v>0</v>
      </c>
      <c r="AI2192">
        <v>2</v>
      </c>
      <c r="AJ2192">
        <v>25</v>
      </c>
      <c r="AK2192">
        <v>7.4069999999999997E-2</v>
      </c>
      <c r="AL2192">
        <v>12</v>
      </c>
      <c r="AM2192">
        <v>8</v>
      </c>
      <c r="AN2192">
        <v>48</v>
      </c>
      <c r="AO2192">
        <v>29</v>
      </c>
      <c r="AP2192">
        <v>11</v>
      </c>
      <c r="AQ2192">
        <v>7</v>
      </c>
      <c r="AR2192" t="s">
        <v>12838</v>
      </c>
      <c r="AS2192" t="s">
        <v>12839</v>
      </c>
      <c r="AT2192">
        <v>6.0999999999999999E-2</v>
      </c>
      <c r="AU2192" t="s">
        <v>65</v>
      </c>
      <c r="AV2192">
        <v>59</v>
      </c>
      <c r="AW2192">
        <v>36</v>
      </c>
      <c r="AX2192" t="s">
        <v>12840</v>
      </c>
      <c r="AY2192">
        <v>3.9100000000000003E-2</v>
      </c>
      <c r="AZ2192">
        <v>-3.1900000000000001E-3</v>
      </c>
      <c r="BA2192">
        <v>6.5500000000000003E-3</v>
      </c>
      <c r="BB2192">
        <v>-5.5000000000000003E-4</v>
      </c>
      <c r="BC2192">
        <v>0.16764999999999999</v>
      </c>
      <c r="BD2192">
        <v>1</v>
      </c>
      <c r="BE2192" t="s">
        <v>69</v>
      </c>
      <c r="BF2192">
        <v>-1.859</v>
      </c>
      <c r="BG2192">
        <v>-2.863</v>
      </c>
    </row>
    <row r="2193" spans="1:59">
      <c r="A2193">
        <v>0</v>
      </c>
      <c r="B2193">
        <v>6</v>
      </c>
      <c r="C2193">
        <v>4</v>
      </c>
      <c r="D2193" t="s">
        <v>25022</v>
      </c>
      <c r="E2193">
        <v>1064</v>
      </c>
      <c r="F2193" t="s">
        <v>6680</v>
      </c>
      <c r="G2193" t="s">
        <v>57</v>
      </c>
      <c r="H2193">
        <v>1103104</v>
      </c>
      <c r="I2193">
        <v>1104381</v>
      </c>
      <c r="J2193" t="s">
        <v>6681</v>
      </c>
      <c r="K2193">
        <v>426</v>
      </c>
      <c r="L2193" t="s">
        <v>265</v>
      </c>
      <c r="M2193">
        <v>43</v>
      </c>
      <c r="N2193" t="str">
        <f>HYPERLINK("Gene1064-zp_tree_all.dnd", "Gene1064-tree")</f>
        <v>Gene1064-tree</v>
      </c>
      <c r="O2193">
        <v>6</v>
      </c>
      <c r="P2193">
        <v>9</v>
      </c>
      <c r="Q2193">
        <v>6</v>
      </c>
      <c r="R2193">
        <v>9</v>
      </c>
      <c r="S2193">
        <v>0.6</v>
      </c>
      <c r="T2193" t="s">
        <v>90</v>
      </c>
      <c r="U2193" t="s">
        <v>135</v>
      </c>
      <c r="V2193" t="s">
        <v>62</v>
      </c>
      <c r="W2193" t="s">
        <v>62</v>
      </c>
      <c r="X2193">
        <v>5</v>
      </c>
      <c r="Y2193">
        <v>10</v>
      </c>
      <c r="Z2193">
        <v>14</v>
      </c>
      <c r="AA2193">
        <v>0.41666999999999998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4</v>
      </c>
      <c r="AI2193">
        <v>4</v>
      </c>
      <c r="AJ2193">
        <v>13</v>
      </c>
      <c r="AK2193">
        <v>0.23529</v>
      </c>
      <c r="AL2193">
        <v>14</v>
      </c>
      <c r="AM2193">
        <v>11</v>
      </c>
      <c r="AN2193">
        <v>43</v>
      </c>
      <c r="AO2193">
        <v>17</v>
      </c>
      <c r="AP2193">
        <v>31</v>
      </c>
      <c r="AQ2193">
        <v>7</v>
      </c>
      <c r="AR2193" t="s">
        <v>6682</v>
      </c>
      <c r="AS2193" t="s">
        <v>6683</v>
      </c>
      <c r="AT2193">
        <v>0.55900000000000005</v>
      </c>
      <c r="AU2193" t="s">
        <v>65</v>
      </c>
      <c r="AV2193">
        <v>74</v>
      </c>
      <c r="AW2193">
        <v>24</v>
      </c>
      <c r="AX2193" t="s">
        <v>6684</v>
      </c>
      <c r="AY2193">
        <v>4.6940000000000003E-2</v>
      </c>
      <c r="AZ2193">
        <v>-1.6000000000000001E-3</v>
      </c>
      <c r="BA2193">
        <v>4.0899999999999999E-3</v>
      </c>
      <c r="BB2193">
        <v>-2.5000000000000001E-4</v>
      </c>
      <c r="BC2193">
        <v>8.7069999999999995E-2</v>
      </c>
      <c r="BD2193">
        <v>1</v>
      </c>
      <c r="BE2193" t="s">
        <v>69</v>
      </c>
      <c r="BF2193">
        <v>-1.39</v>
      </c>
      <c r="BG2193">
        <v>-2.29</v>
      </c>
    </row>
    <row r="2194" spans="1:59">
      <c r="A2194">
        <v>0</v>
      </c>
      <c r="B2194">
        <v>6</v>
      </c>
      <c r="C2194">
        <v>2</v>
      </c>
      <c r="D2194" t="s">
        <v>25022</v>
      </c>
      <c r="E2194">
        <v>1596</v>
      </c>
      <c r="F2194" t="s">
        <v>9985</v>
      </c>
      <c r="G2194" t="s">
        <v>57</v>
      </c>
      <c r="H2194">
        <v>1607556</v>
      </c>
      <c r="I2194">
        <v>1608833</v>
      </c>
      <c r="J2194" t="s">
        <v>9986</v>
      </c>
      <c r="K2194">
        <v>426</v>
      </c>
      <c r="L2194" t="s">
        <v>265</v>
      </c>
      <c r="M2194">
        <v>43</v>
      </c>
      <c r="N2194" t="str">
        <f>HYPERLINK("Gene1596-zp_tree_all.dnd", "Gene1596-tree")</f>
        <v>Gene1596-tree</v>
      </c>
      <c r="O2194">
        <v>2</v>
      </c>
      <c r="P2194">
        <v>10</v>
      </c>
      <c r="Q2194">
        <v>2</v>
      </c>
      <c r="R2194">
        <v>10</v>
      </c>
      <c r="S2194">
        <v>0.83333000000000002</v>
      </c>
      <c r="T2194" t="s">
        <v>81</v>
      </c>
      <c r="U2194" t="s">
        <v>117</v>
      </c>
      <c r="V2194" t="s">
        <v>62</v>
      </c>
      <c r="W2194" t="s">
        <v>62</v>
      </c>
      <c r="X2194">
        <v>4</v>
      </c>
      <c r="Y2194">
        <v>8</v>
      </c>
      <c r="Z2194">
        <v>17</v>
      </c>
      <c r="AA2194">
        <v>0.32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2</v>
      </c>
      <c r="AI2194">
        <v>2</v>
      </c>
      <c r="AJ2194">
        <v>16</v>
      </c>
      <c r="AK2194">
        <v>0.11111</v>
      </c>
      <c r="AL2194">
        <v>11</v>
      </c>
      <c r="AM2194">
        <v>9</v>
      </c>
      <c r="AN2194">
        <v>39</v>
      </c>
      <c r="AO2194">
        <v>18</v>
      </c>
      <c r="AP2194">
        <v>41</v>
      </c>
      <c r="AQ2194">
        <v>7</v>
      </c>
      <c r="AR2194" t="s">
        <v>9987</v>
      </c>
      <c r="AS2194" t="s">
        <v>9988</v>
      </c>
      <c r="AT2194">
        <v>1.143</v>
      </c>
      <c r="AU2194" t="s">
        <v>65</v>
      </c>
      <c r="AV2194">
        <v>80</v>
      </c>
      <c r="AW2194">
        <v>25</v>
      </c>
      <c r="AX2194" t="s">
        <v>9989</v>
      </c>
      <c r="AY2194">
        <v>6.8729999999999999E-2</v>
      </c>
      <c r="AZ2194">
        <v>-3.4499999999999999E-3</v>
      </c>
      <c r="BA2194">
        <v>5.2399999999999999E-3</v>
      </c>
      <c r="BB2194">
        <v>-2.7999999999999998E-4</v>
      </c>
      <c r="BC2194">
        <v>7.6179999999999998E-2</v>
      </c>
      <c r="BD2194">
        <v>1</v>
      </c>
      <c r="BE2194" t="s">
        <v>69</v>
      </c>
      <c r="BF2194">
        <v>-0.27</v>
      </c>
      <c r="BG2194">
        <v>-1.855</v>
      </c>
    </row>
    <row r="2195" spans="1:59">
      <c r="A2195">
        <v>0</v>
      </c>
      <c r="B2195">
        <v>9</v>
      </c>
      <c r="C2195">
        <v>0</v>
      </c>
      <c r="D2195" t="s">
        <v>25022</v>
      </c>
      <c r="E2195">
        <v>1746</v>
      </c>
      <c r="F2195" t="s">
        <v>10947</v>
      </c>
      <c r="G2195" t="s">
        <v>57</v>
      </c>
      <c r="H2195">
        <v>1757037</v>
      </c>
      <c r="I2195">
        <v>1758314</v>
      </c>
      <c r="J2195" t="s">
        <v>10948</v>
      </c>
      <c r="K2195">
        <v>426</v>
      </c>
      <c r="L2195" t="s">
        <v>108</v>
      </c>
      <c r="M2195">
        <v>44</v>
      </c>
      <c r="N2195" t="str">
        <f>HYPERLINK("Gene1746-zp_tree_all.dnd", "Gene1746-tree")</f>
        <v>Gene1746-tree</v>
      </c>
      <c r="O2195">
        <v>5</v>
      </c>
      <c r="P2195">
        <v>9</v>
      </c>
      <c r="Q2195">
        <v>5</v>
      </c>
      <c r="R2195">
        <v>9</v>
      </c>
      <c r="S2195">
        <v>0.64285999999999999</v>
      </c>
      <c r="T2195" t="s">
        <v>199</v>
      </c>
      <c r="U2195" t="s">
        <v>135</v>
      </c>
      <c r="V2195" t="s">
        <v>62</v>
      </c>
      <c r="W2195" t="s">
        <v>62</v>
      </c>
      <c r="X2195">
        <v>3</v>
      </c>
      <c r="Y2195">
        <v>9</v>
      </c>
      <c r="Z2195">
        <v>14</v>
      </c>
      <c r="AA2195">
        <v>0.39129999999999998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4</v>
      </c>
      <c r="AH2195">
        <v>0</v>
      </c>
      <c r="AI2195">
        <v>4</v>
      </c>
      <c r="AJ2195">
        <v>13</v>
      </c>
      <c r="AK2195">
        <v>0.23529</v>
      </c>
      <c r="AL2195">
        <v>12</v>
      </c>
      <c r="AM2195">
        <v>11</v>
      </c>
      <c r="AN2195">
        <v>37</v>
      </c>
      <c r="AO2195">
        <v>14</v>
      </c>
      <c r="AP2195">
        <v>43</v>
      </c>
      <c r="AQ2195">
        <v>9</v>
      </c>
      <c r="AR2195" t="s">
        <v>10949</v>
      </c>
      <c r="AS2195" t="s">
        <v>10950</v>
      </c>
      <c r="AT2195">
        <v>0.61599999999999999</v>
      </c>
      <c r="AU2195" t="s">
        <v>65</v>
      </c>
      <c r="AV2195">
        <v>80</v>
      </c>
      <c r="AW2195">
        <v>23</v>
      </c>
      <c r="AX2195" t="s">
        <v>10951</v>
      </c>
      <c r="AY2195">
        <v>5.4769999999999999E-2</v>
      </c>
      <c r="AZ2195">
        <v>-2.0500000000000002E-3</v>
      </c>
      <c r="BA2195">
        <v>4.13E-3</v>
      </c>
      <c r="BB2195">
        <v>-2.1000000000000001E-4</v>
      </c>
      <c r="BC2195">
        <v>7.5410000000000005E-2</v>
      </c>
      <c r="BD2195">
        <v>1</v>
      </c>
      <c r="BE2195" t="s">
        <v>69</v>
      </c>
      <c r="BF2195">
        <v>-0.29799999999999999</v>
      </c>
      <c r="BG2195">
        <v>-1.04</v>
      </c>
    </row>
    <row r="2196" spans="1:59">
      <c r="A2196">
        <v>0</v>
      </c>
      <c r="B2196">
        <v>3</v>
      </c>
      <c r="C2196">
        <v>0</v>
      </c>
      <c r="D2196" t="s">
        <v>25022</v>
      </c>
      <c r="E2196">
        <v>2525</v>
      </c>
      <c r="F2196" t="s">
        <v>14741</v>
      </c>
      <c r="G2196" t="s">
        <v>62</v>
      </c>
      <c r="H2196">
        <v>2519105</v>
      </c>
      <c r="I2196">
        <v>2520382</v>
      </c>
      <c r="J2196" t="s">
        <v>14742</v>
      </c>
      <c r="K2196">
        <v>426</v>
      </c>
      <c r="L2196" t="s">
        <v>108</v>
      </c>
      <c r="M2196">
        <v>44</v>
      </c>
      <c r="N2196" t="str">
        <f>HYPERLINK("Gene2525-zp_tree_all.dnd", "Gene2525-tree")</f>
        <v>Gene2525-tree</v>
      </c>
      <c r="O2196">
        <v>8</v>
      </c>
      <c r="P2196">
        <v>5</v>
      </c>
      <c r="Q2196">
        <v>8</v>
      </c>
      <c r="R2196">
        <v>5</v>
      </c>
      <c r="S2196">
        <v>0.38462000000000002</v>
      </c>
      <c r="T2196" t="s">
        <v>136</v>
      </c>
      <c r="U2196" t="s">
        <v>199</v>
      </c>
      <c r="V2196" t="s">
        <v>62</v>
      </c>
      <c r="W2196" t="s">
        <v>62</v>
      </c>
      <c r="X2196">
        <v>1</v>
      </c>
      <c r="Y2196">
        <v>3</v>
      </c>
      <c r="Z2196">
        <v>4</v>
      </c>
      <c r="AA2196">
        <v>0.42857000000000001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3</v>
      </c>
      <c r="AH2196">
        <v>0</v>
      </c>
      <c r="AI2196">
        <v>3</v>
      </c>
      <c r="AJ2196">
        <v>4</v>
      </c>
      <c r="AK2196">
        <v>0.42857000000000001</v>
      </c>
      <c r="AL2196">
        <v>10</v>
      </c>
      <c r="AM2196">
        <v>8</v>
      </c>
      <c r="AN2196">
        <v>34</v>
      </c>
      <c r="AO2196">
        <v>7</v>
      </c>
      <c r="AP2196">
        <v>31</v>
      </c>
      <c r="AQ2196">
        <v>0</v>
      </c>
      <c r="AR2196" t="s">
        <v>14743</v>
      </c>
      <c r="AS2196" t="s">
        <v>193</v>
      </c>
      <c r="AT2196">
        <v>1.9590000000000001</v>
      </c>
      <c r="AU2196" t="s">
        <v>65</v>
      </c>
      <c r="AV2196">
        <v>65</v>
      </c>
      <c r="AW2196">
        <v>7</v>
      </c>
      <c r="AX2196" t="s">
        <v>14744</v>
      </c>
      <c r="AY2196">
        <v>4.9610000000000001E-2</v>
      </c>
      <c r="AZ2196">
        <v>-2.5600000000000002E-3</v>
      </c>
      <c r="BA2196">
        <v>1.0200000000000001E-3</v>
      </c>
      <c r="BB2196">
        <v>-1E-4</v>
      </c>
      <c r="BC2196">
        <v>2.053E-2</v>
      </c>
      <c r="BD2196">
        <v>1</v>
      </c>
      <c r="BE2196" t="s">
        <v>69</v>
      </c>
      <c r="BF2196">
        <v>-0.29799999999999999</v>
      </c>
      <c r="BG2196">
        <v>-0.64900000000000002</v>
      </c>
    </row>
    <row r="2197" spans="1:59">
      <c r="A2197">
        <v>2</v>
      </c>
      <c r="B2197">
        <v>6</v>
      </c>
      <c r="C2197">
        <v>0</v>
      </c>
      <c r="D2197" t="s">
        <v>25022</v>
      </c>
      <c r="E2197">
        <v>3618</v>
      </c>
      <c r="F2197" t="s">
        <v>21247</v>
      </c>
      <c r="G2197" t="s">
        <v>62</v>
      </c>
      <c r="H2197">
        <v>3586274</v>
      </c>
      <c r="I2197">
        <v>3587554</v>
      </c>
      <c r="J2197" t="s">
        <v>21248</v>
      </c>
      <c r="K2197">
        <v>427</v>
      </c>
      <c r="L2197" t="s">
        <v>108</v>
      </c>
      <c r="M2197">
        <v>44</v>
      </c>
      <c r="N2197" t="str">
        <f>HYPERLINK("Gene3618-zp_tree_all.dnd", "Gene3618-tree")</f>
        <v>Gene3618-tree</v>
      </c>
      <c r="O2197">
        <v>6</v>
      </c>
      <c r="P2197">
        <v>8</v>
      </c>
      <c r="Q2197">
        <v>6</v>
      </c>
      <c r="R2197">
        <v>8</v>
      </c>
      <c r="S2197">
        <v>0.57142999999999999</v>
      </c>
      <c r="T2197" t="s">
        <v>90</v>
      </c>
      <c r="U2197" t="s">
        <v>136</v>
      </c>
      <c r="V2197" t="s">
        <v>62</v>
      </c>
      <c r="W2197" t="s">
        <v>62</v>
      </c>
      <c r="X2197">
        <v>3</v>
      </c>
      <c r="Y2197">
        <v>8</v>
      </c>
      <c r="Z2197">
        <v>21</v>
      </c>
      <c r="AA2197">
        <v>0.27585999999999999</v>
      </c>
      <c r="AB2197">
        <v>0</v>
      </c>
      <c r="AC2197">
        <v>0</v>
      </c>
      <c r="AD2197">
        <v>0</v>
      </c>
      <c r="AE2197">
        <v>3</v>
      </c>
      <c r="AF2197">
        <v>0</v>
      </c>
      <c r="AG2197">
        <v>0</v>
      </c>
      <c r="AH2197">
        <v>5</v>
      </c>
      <c r="AI2197">
        <v>5</v>
      </c>
      <c r="AJ2197">
        <v>19</v>
      </c>
      <c r="AK2197">
        <v>0.20832999999999999</v>
      </c>
      <c r="AL2197">
        <v>12</v>
      </c>
      <c r="AM2197">
        <v>10</v>
      </c>
      <c r="AN2197">
        <v>41</v>
      </c>
      <c r="AO2197">
        <v>26</v>
      </c>
      <c r="AP2197">
        <v>28</v>
      </c>
      <c r="AQ2197">
        <v>5</v>
      </c>
      <c r="AR2197" t="s">
        <v>21249</v>
      </c>
      <c r="AS2197" t="s">
        <v>21250</v>
      </c>
      <c r="AT2197">
        <v>1.675</v>
      </c>
      <c r="AU2197" t="s">
        <v>65</v>
      </c>
      <c r="AV2197">
        <v>69</v>
      </c>
      <c r="AW2197">
        <v>31</v>
      </c>
      <c r="AX2197" t="s">
        <v>21251</v>
      </c>
      <c r="AY2197">
        <v>4.2169999999999999E-2</v>
      </c>
      <c r="AZ2197">
        <v>-1.83E-3</v>
      </c>
      <c r="BA2197">
        <v>5.1200000000000004E-3</v>
      </c>
      <c r="BB2197">
        <v>-2.7999999999999998E-4</v>
      </c>
      <c r="BC2197">
        <v>0.12146</v>
      </c>
      <c r="BD2197">
        <v>1</v>
      </c>
      <c r="BE2197" t="s">
        <v>69</v>
      </c>
      <c r="BF2197">
        <v>-0.80500000000000005</v>
      </c>
      <c r="BG2197">
        <v>-1.3959999999999999</v>
      </c>
    </row>
    <row r="2198" spans="1:59">
      <c r="A2198">
        <v>0</v>
      </c>
      <c r="B2198">
        <v>10</v>
      </c>
      <c r="C2198">
        <v>0</v>
      </c>
      <c r="D2198" t="s">
        <v>25022</v>
      </c>
      <c r="E2198">
        <v>734</v>
      </c>
      <c r="F2198" t="s">
        <v>4548</v>
      </c>
      <c r="G2198" t="s">
        <v>57</v>
      </c>
      <c r="H2198">
        <v>761662</v>
      </c>
      <c r="I2198">
        <v>762942</v>
      </c>
      <c r="J2198" t="s">
        <v>4549</v>
      </c>
      <c r="K2198">
        <v>427</v>
      </c>
      <c r="L2198" t="s">
        <v>108</v>
      </c>
      <c r="M2198">
        <v>44</v>
      </c>
      <c r="N2198" t="str">
        <f>HYPERLINK("Gene734-zp_tree_all.dnd", "Gene734-tree")</f>
        <v>Gene734-tree</v>
      </c>
      <c r="O2198">
        <v>8</v>
      </c>
      <c r="P2198">
        <v>8</v>
      </c>
      <c r="Q2198">
        <v>8</v>
      </c>
      <c r="R2198">
        <v>8</v>
      </c>
      <c r="S2198">
        <v>0.5</v>
      </c>
      <c r="T2198" t="s">
        <v>136</v>
      </c>
      <c r="U2198" t="s">
        <v>136</v>
      </c>
      <c r="V2198" t="s">
        <v>62</v>
      </c>
      <c r="W2198" t="s">
        <v>62</v>
      </c>
      <c r="X2198">
        <v>2</v>
      </c>
      <c r="Y2198">
        <v>10</v>
      </c>
      <c r="Z2198">
        <v>18</v>
      </c>
      <c r="AA2198">
        <v>0.35714000000000001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3</v>
      </c>
      <c r="AH2198">
        <v>0</v>
      </c>
      <c r="AI2198">
        <v>3</v>
      </c>
      <c r="AJ2198">
        <v>9</v>
      </c>
      <c r="AK2198">
        <v>0.25</v>
      </c>
      <c r="AL2198">
        <v>14</v>
      </c>
      <c r="AM2198">
        <v>12</v>
      </c>
      <c r="AN2198">
        <v>46</v>
      </c>
      <c r="AO2198">
        <v>10</v>
      </c>
      <c r="AP2198">
        <v>39</v>
      </c>
      <c r="AQ2198">
        <v>18</v>
      </c>
      <c r="AR2198" t="s">
        <v>4550</v>
      </c>
      <c r="AS2198" t="s">
        <v>4551</v>
      </c>
      <c r="AT2198">
        <v>0.97699999999999998</v>
      </c>
      <c r="AU2198" t="s">
        <v>65</v>
      </c>
      <c r="AV2198">
        <v>85</v>
      </c>
      <c r="AW2198">
        <v>28</v>
      </c>
      <c r="AX2198" t="s">
        <v>4552</v>
      </c>
      <c r="AY2198">
        <v>5.3809999999999997E-2</v>
      </c>
      <c r="AZ2198">
        <v>-2.3500000000000001E-3</v>
      </c>
      <c r="BA2198">
        <v>5.2199999999999998E-3</v>
      </c>
      <c r="BB2198">
        <v>-1.8000000000000001E-4</v>
      </c>
      <c r="BC2198">
        <v>9.6990000000000007E-2</v>
      </c>
      <c r="BD2198">
        <v>1</v>
      </c>
      <c r="BE2198" t="s">
        <v>69</v>
      </c>
      <c r="BF2198">
        <v>-0.39700000000000002</v>
      </c>
      <c r="BG2198">
        <v>-1.0269999999999999</v>
      </c>
    </row>
    <row r="2199" spans="1:59">
      <c r="A2199">
        <v>0</v>
      </c>
      <c r="B2199">
        <v>0</v>
      </c>
      <c r="C2199">
        <v>0</v>
      </c>
      <c r="D2199" t="s">
        <v>25022</v>
      </c>
      <c r="E2199">
        <v>2392</v>
      </c>
      <c r="F2199" t="s">
        <v>13925</v>
      </c>
      <c r="G2199" t="s">
        <v>62</v>
      </c>
      <c r="H2199">
        <v>2402070</v>
      </c>
      <c r="I2199">
        <v>2403350</v>
      </c>
      <c r="J2199" t="s">
        <v>13926</v>
      </c>
      <c r="K2199">
        <v>427</v>
      </c>
      <c r="L2199" t="s">
        <v>9492</v>
      </c>
      <c r="M2199">
        <v>48</v>
      </c>
      <c r="N2199" t="str">
        <f>HYPERLINK("Gene2392-zp_tree_all.dnd", "Gene2392-tree")</f>
        <v>Gene2392-tree</v>
      </c>
      <c r="O2199">
        <v>12</v>
      </c>
      <c r="P2199">
        <v>1</v>
      </c>
      <c r="Q2199">
        <v>12</v>
      </c>
      <c r="R2199">
        <v>1</v>
      </c>
      <c r="S2199">
        <v>7.6920000000000002E-2</v>
      </c>
      <c r="T2199" t="s">
        <v>109</v>
      </c>
      <c r="U2199" t="s">
        <v>175</v>
      </c>
      <c r="V2199" t="s">
        <v>62</v>
      </c>
      <c r="W2199" t="s">
        <v>62</v>
      </c>
      <c r="X2199">
        <v>0</v>
      </c>
      <c r="Y2199">
        <v>0</v>
      </c>
      <c r="Z2199">
        <v>6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12</v>
      </c>
      <c r="AM2199">
        <v>8</v>
      </c>
      <c r="AN2199">
        <v>39</v>
      </c>
      <c r="AO2199">
        <v>1</v>
      </c>
      <c r="AP2199">
        <v>57</v>
      </c>
      <c r="AQ2199">
        <v>5</v>
      </c>
      <c r="AR2199" t="s">
        <v>13927</v>
      </c>
      <c r="AS2199" t="s">
        <v>13928</v>
      </c>
      <c r="AT2199">
        <v>0.44600000000000001</v>
      </c>
      <c r="AU2199" t="s">
        <v>65</v>
      </c>
      <c r="AV2199">
        <v>96</v>
      </c>
      <c r="AW2199">
        <v>6</v>
      </c>
      <c r="AX2199" t="s">
        <v>13929</v>
      </c>
      <c r="AY2199">
        <v>0.10448</v>
      </c>
      <c r="AZ2199">
        <v>-7.4599999999999996E-3</v>
      </c>
      <c r="BA2199">
        <v>2.2000000000000001E-3</v>
      </c>
      <c r="BB2199">
        <v>-2.1000000000000001E-4</v>
      </c>
      <c r="BC2199">
        <v>2.103E-2</v>
      </c>
      <c r="BD2199">
        <v>1</v>
      </c>
      <c r="BE2199" t="s">
        <v>69</v>
      </c>
      <c r="BF2199">
        <v>-1.4930000000000001</v>
      </c>
      <c r="BG2199">
        <v>-1.0009999999999999</v>
      </c>
    </row>
    <row r="2200" spans="1:59">
      <c r="A2200">
        <v>0</v>
      </c>
      <c r="B2200">
        <v>0</v>
      </c>
      <c r="C2200">
        <v>0</v>
      </c>
      <c r="D2200" t="s">
        <v>25022</v>
      </c>
      <c r="E2200">
        <v>3843</v>
      </c>
      <c r="F2200" t="s">
        <v>22529</v>
      </c>
      <c r="G2200" t="s">
        <v>62</v>
      </c>
      <c r="H2200">
        <v>3803403</v>
      </c>
      <c r="I2200">
        <v>3804683</v>
      </c>
      <c r="J2200" t="s">
        <v>22530</v>
      </c>
      <c r="K2200">
        <v>427</v>
      </c>
      <c r="L2200" t="s">
        <v>59</v>
      </c>
      <c r="M2200">
        <v>49</v>
      </c>
      <c r="N2200" t="str">
        <f>HYPERLINK("Gene3843-zp_tree_all.dnd", "Gene3843-tree")</f>
        <v>Gene3843-tree</v>
      </c>
      <c r="O2200">
        <v>37</v>
      </c>
      <c r="P2200">
        <v>0</v>
      </c>
      <c r="Q2200">
        <v>18</v>
      </c>
      <c r="R2200">
        <v>0</v>
      </c>
      <c r="S2200">
        <v>0</v>
      </c>
      <c r="T2200" t="s">
        <v>9478</v>
      </c>
      <c r="U2200" t="s">
        <v>62</v>
      </c>
      <c r="V2200" t="s">
        <v>62</v>
      </c>
      <c r="W2200" t="s">
        <v>62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16</v>
      </c>
      <c r="AM2200">
        <v>14</v>
      </c>
      <c r="AN2200">
        <v>57</v>
      </c>
      <c r="AO2200">
        <v>0</v>
      </c>
      <c r="AP2200">
        <v>82</v>
      </c>
      <c r="AQ2200">
        <v>0</v>
      </c>
      <c r="AR2200" t="s">
        <v>193</v>
      </c>
      <c r="AS2200" t="s">
        <v>193</v>
      </c>
      <c r="AT2200">
        <v>0</v>
      </c>
      <c r="AU2200" t="s">
        <v>65</v>
      </c>
      <c r="AV2200">
        <v>139</v>
      </c>
      <c r="AW2200">
        <v>0</v>
      </c>
      <c r="AX2200" t="s">
        <v>22531</v>
      </c>
      <c r="AY2200">
        <v>0.11360000000000001</v>
      </c>
      <c r="AZ2200">
        <v>-6.6800000000000002E-3</v>
      </c>
      <c r="BA2200">
        <v>0</v>
      </c>
      <c r="BB2200">
        <v>0</v>
      </c>
      <c r="BC2200">
        <v>0</v>
      </c>
      <c r="BD2200">
        <v>1</v>
      </c>
      <c r="BE2200" t="s">
        <v>69</v>
      </c>
      <c r="BF2200">
        <v>-0.89900000000000002</v>
      </c>
      <c r="BG2200">
        <v>-0.151</v>
      </c>
    </row>
    <row r="2201" spans="1:59">
      <c r="A2201">
        <v>0</v>
      </c>
      <c r="B2201">
        <v>3</v>
      </c>
      <c r="C2201">
        <v>2</v>
      </c>
      <c r="D2201" t="s">
        <v>25022</v>
      </c>
      <c r="E2201">
        <v>2354</v>
      </c>
      <c r="F2201" t="s">
        <v>13670</v>
      </c>
      <c r="G2201" t="s">
        <v>62</v>
      </c>
      <c r="H2201">
        <v>2367957</v>
      </c>
      <c r="I2201">
        <v>2369240</v>
      </c>
      <c r="J2201" t="s">
        <v>13671</v>
      </c>
      <c r="K2201">
        <v>428</v>
      </c>
      <c r="L2201" t="s">
        <v>13568</v>
      </c>
      <c r="M2201">
        <v>40</v>
      </c>
      <c r="N2201" t="str">
        <f>HYPERLINK("Gene2354-zp_tree_all.dnd", "Gene2354-tree")</f>
        <v>Gene2354-tree</v>
      </c>
      <c r="O2201">
        <v>6</v>
      </c>
      <c r="P2201">
        <v>8</v>
      </c>
      <c r="Q2201">
        <v>6</v>
      </c>
      <c r="R2201">
        <v>8</v>
      </c>
      <c r="S2201">
        <v>0.57142999999999999</v>
      </c>
      <c r="T2201" t="s">
        <v>90</v>
      </c>
      <c r="U2201" t="s">
        <v>136</v>
      </c>
      <c r="V2201" t="s">
        <v>62</v>
      </c>
      <c r="W2201" t="s">
        <v>62</v>
      </c>
      <c r="X2201">
        <v>2</v>
      </c>
      <c r="Y2201">
        <v>5</v>
      </c>
      <c r="Z2201">
        <v>20</v>
      </c>
      <c r="AA2201">
        <v>0.2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</v>
      </c>
      <c r="AH2201">
        <v>2</v>
      </c>
      <c r="AI2201">
        <v>4</v>
      </c>
      <c r="AJ2201">
        <v>17</v>
      </c>
      <c r="AK2201">
        <v>0.19048000000000001</v>
      </c>
      <c r="AL2201">
        <v>12</v>
      </c>
      <c r="AM2201">
        <v>9</v>
      </c>
      <c r="AN2201">
        <v>44</v>
      </c>
      <c r="AO2201">
        <v>19</v>
      </c>
      <c r="AP2201">
        <v>24</v>
      </c>
      <c r="AQ2201">
        <v>8</v>
      </c>
      <c r="AR2201" t="s">
        <v>13672</v>
      </c>
      <c r="AS2201" t="s">
        <v>13673</v>
      </c>
      <c r="AT2201">
        <v>9.7000000000000003E-2</v>
      </c>
      <c r="AU2201" t="s">
        <v>65</v>
      </c>
      <c r="AV2201">
        <v>68</v>
      </c>
      <c r="AW2201">
        <v>27</v>
      </c>
      <c r="AX2201" t="s">
        <v>13674</v>
      </c>
      <c r="AY2201">
        <v>4.2610000000000002E-2</v>
      </c>
      <c r="AZ2201">
        <v>-3.0899999999999999E-3</v>
      </c>
      <c r="BA2201">
        <v>4.96E-3</v>
      </c>
      <c r="BB2201">
        <v>-4.2999999999999999E-4</v>
      </c>
      <c r="BC2201">
        <v>0.11636000000000001</v>
      </c>
      <c r="BD2201">
        <v>1</v>
      </c>
      <c r="BE2201" t="s">
        <v>69</v>
      </c>
      <c r="BF2201">
        <v>-1.2769999999999999</v>
      </c>
      <c r="BG2201">
        <v>-2.7029999999999998</v>
      </c>
    </row>
    <row r="2202" spans="1:59">
      <c r="A2202">
        <v>0</v>
      </c>
      <c r="B2202">
        <v>6</v>
      </c>
      <c r="C2202">
        <v>2</v>
      </c>
      <c r="D2202" t="s">
        <v>25022</v>
      </c>
      <c r="E2202">
        <v>3126</v>
      </c>
      <c r="F2202" t="s">
        <v>18139</v>
      </c>
      <c r="G2202" t="s">
        <v>62</v>
      </c>
      <c r="H2202">
        <v>3079336</v>
      </c>
      <c r="I2202">
        <v>3080619</v>
      </c>
      <c r="J2202" t="s">
        <v>18140</v>
      </c>
      <c r="K2202">
        <v>428</v>
      </c>
      <c r="L2202" t="s">
        <v>108</v>
      </c>
      <c r="M2202">
        <v>44</v>
      </c>
      <c r="N2202" t="str">
        <f>HYPERLINK("Gene3126-zp_tree_all.dnd", "Gene3126-tree")</f>
        <v>Gene3126-tree</v>
      </c>
      <c r="O2202">
        <v>5</v>
      </c>
      <c r="P2202">
        <v>9</v>
      </c>
      <c r="Q2202">
        <v>5</v>
      </c>
      <c r="R2202">
        <v>9</v>
      </c>
      <c r="S2202">
        <v>0.64285999999999999</v>
      </c>
      <c r="T2202" t="s">
        <v>199</v>
      </c>
      <c r="U2202" t="s">
        <v>135</v>
      </c>
      <c r="V2202" t="s">
        <v>62</v>
      </c>
      <c r="W2202" t="s">
        <v>62</v>
      </c>
      <c r="X2202">
        <v>3</v>
      </c>
      <c r="Y2202">
        <v>8</v>
      </c>
      <c r="Z2202">
        <v>13</v>
      </c>
      <c r="AA2202">
        <v>0.38095000000000001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5</v>
      </c>
      <c r="AH2202">
        <v>0</v>
      </c>
      <c r="AI2202">
        <v>5</v>
      </c>
      <c r="AJ2202">
        <v>12</v>
      </c>
      <c r="AK2202">
        <v>0.29411999999999999</v>
      </c>
      <c r="AL2202">
        <v>13</v>
      </c>
      <c r="AM2202">
        <v>11</v>
      </c>
      <c r="AN2202">
        <v>38</v>
      </c>
      <c r="AO2202">
        <v>17</v>
      </c>
      <c r="AP2202">
        <v>25</v>
      </c>
      <c r="AQ2202">
        <v>4</v>
      </c>
      <c r="AR2202" t="s">
        <v>18141</v>
      </c>
      <c r="AS2202" t="s">
        <v>18142</v>
      </c>
      <c r="AT2202">
        <v>1.2989999999999999</v>
      </c>
      <c r="AU2202" t="s">
        <v>65</v>
      </c>
      <c r="AV2202">
        <v>63</v>
      </c>
      <c r="AW2202">
        <v>21</v>
      </c>
      <c r="AX2202" t="s">
        <v>18143</v>
      </c>
      <c r="AY2202">
        <v>4.2169999999999999E-2</v>
      </c>
      <c r="AZ2202">
        <v>-1.82E-3</v>
      </c>
      <c r="BA2202">
        <v>3.5599999999999998E-3</v>
      </c>
      <c r="BB2202">
        <v>-1.8000000000000001E-4</v>
      </c>
      <c r="BC2202">
        <v>8.4540000000000004E-2</v>
      </c>
      <c r="BD2202">
        <v>1</v>
      </c>
      <c r="BE2202" t="s">
        <v>69</v>
      </c>
      <c r="BF2202">
        <v>-0.111</v>
      </c>
      <c r="BG2202">
        <v>-1.0129999999999999</v>
      </c>
    </row>
    <row r="2203" spans="1:59">
      <c r="A2203">
        <v>0</v>
      </c>
      <c r="B2203">
        <v>3</v>
      </c>
      <c r="C2203">
        <v>0</v>
      </c>
      <c r="D2203" t="s">
        <v>25022</v>
      </c>
      <c r="E2203">
        <v>1611</v>
      </c>
      <c r="F2203" t="s">
        <v>10085</v>
      </c>
      <c r="G2203" t="s">
        <v>57</v>
      </c>
      <c r="H2203">
        <v>1621374</v>
      </c>
      <c r="I2203">
        <v>1622657</v>
      </c>
      <c r="J2203" t="s">
        <v>10086</v>
      </c>
      <c r="K2203">
        <v>428</v>
      </c>
      <c r="L2203" t="s">
        <v>108</v>
      </c>
      <c r="M2203">
        <v>44</v>
      </c>
      <c r="N2203" t="str">
        <f>HYPERLINK("Gene1611-zp_tree_all.dnd", "Gene1611-tree")</f>
        <v>Gene1611-tree</v>
      </c>
      <c r="O2203">
        <v>7</v>
      </c>
      <c r="P2203">
        <v>7</v>
      </c>
      <c r="Q2203">
        <v>7</v>
      </c>
      <c r="R2203">
        <v>7</v>
      </c>
      <c r="S2203">
        <v>0.5</v>
      </c>
      <c r="T2203" t="s">
        <v>152</v>
      </c>
      <c r="U2203" t="s">
        <v>152</v>
      </c>
      <c r="V2203" t="s">
        <v>62</v>
      </c>
      <c r="W2203" t="s">
        <v>62</v>
      </c>
      <c r="X2203">
        <v>1</v>
      </c>
      <c r="Y2203">
        <v>3</v>
      </c>
      <c r="Z2203">
        <v>12</v>
      </c>
      <c r="AA2203">
        <v>0.2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3</v>
      </c>
      <c r="AH2203">
        <v>0</v>
      </c>
      <c r="AI2203">
        <v>3</v>
      </c>
      <c r="AJ2203">
        <v>10</v>
      </c>
      <c r="AK2203">
        <v>0.23077</v>
      </c>
      <c r="AL2203">
        <v>12</v>
      </c>
      <c r="AM2203">
        <v>11</v>
      </c>
      <c r="AN2203">
        <v>42</v>
      </c>
      <c r="AO2203">
        <v>16</v>
      </c>
      <c r="AP2203">
        <v>27</v>
      </c>
      <c r="AQ2203">
        <v>2</v>
      </c>
      <c r="AR2203" t="s">
        <v>10087</v>
      </c>
      <c r="AS2203" t="s">
        <v>10088</v>
      </c>
      <c r="AT2203">
        <v>1.657</v>
      </c>
      <c r="AU2203" t="s">
        <v>65</v>
      </c>
      <c r="AV2203">
        <v>69</v>
      </c>
      <c r="AW2203">
        <v>18</v>
      </c>
      <c r="AX2203" t="s">
        <v>10089</v>
      </c>
      <c r="AY2203">
        <v>4.8489999999999998E-2</v>
      </c>
      <c r="AZ2203">
        <v>-1.6999999999999999E-3</v>
      </c>
      <c r="BA2203">
        <v>3.0699999999999998E-3</v>
      </c>
      <c r="BB2203">
        <v>-1.9000000000000001E-4</v>
      </c>
      <c r="BC2203">
        <v>6.3369999999999996E-2</v>
      </c>
      <c r="BD2203">
        <v>1</v>
      </c>
      <c r="BE2203" t="s">
        <v>69</v>
      </c>
      <c r="BF2203">
        <v>-1.7999999999999999E-2</v>
      </c>
      <c r="BG2203">
        <v>3.7999999999999999E-2</v>
      </c>
    </row>
    <row r="2204" spans="1:59">
      <c r="A2204">
        <v>0</v>
      </c>
      <c r="B2204">
        <v>0</v>
      </c>
      <c r="C2204">
        <v>0</v>
      </c>
      <c r="D2204" t="s">
        <v>25022</v>
      </c>
      <c r="E2204">
        <v>1506</v>
      </c>
      <c r="F2204" t="s">
        <v>9412</v>
      </c>
      <c r="G2204" t="s">
        <v>57</v>
      </c>
      <c r="H2204">
        <v>1518333</v>
      </c>
      <c r="I2204">
        <v>1519616</v>
      </c>
      <c r="J2204" t="s">
        <v>9413</v>
      </c>
      <c r="K2204">
        <v>428</v>
      </c>
      <c r="L2204" t="s">
        <v>465</v>
      </c>
      <c r="M2204">
        <v>46</v>
      </c>
      <c r="N2204" t="str">
        <f>HYPERLINK("Gene1506-zp_tree_all.dnd", "Gene1506-tree")</f>
        <v>Gene1506-tree</v>
      </c>
      <c r="O2204">
        <v>25</v>
      </c>
      <c r="P2204">
        <v>6</v>
      </c>
      <c r="Q2204">
        <v>6</v>
      </c>
      <c r="R2204">
        <v>6</v>
      </c>
      <c r="S2204">
        <v>0.5</v>
      </c>
      <c r="T2204" t="s">
        <v>965</v>
      </c>
      <c r="U2204" t="s">
        <v>90</v>
      </c>
      <c r="V2204" t="s">
        <v>62</v>
      </c>
      <c r="W2204" t="s">
        <v>62</v>
      </c>
      <c r="X2204">
        <v>0</v>
      </c>
      <c r="Y2204">
        <v>0</v>
      </c>
      <c r="Z2204">
        <v>14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14</v>
      </c>
      <c r="AK2204">
        <v>0</v>
      </c>
      <c r="AL2204">
        <v>11</v>
      </c>
      <c r="AM2204">
        <v>6</v>
      </c>
      <c r="AN2204">
        <v>23</v>
      </c>
      <c r="AO2204">
        <v>5</v>
      </c>
      <c r="AP2204">
        <v>57</v>
      </c>
      <c r="AQ2204">
        <v>9</v>
      </c>
      <c r="AR2204" t="s">
        <v>9414</v>
      </c>
      <c r="AS2204" t="s">
        <v>9415</v>
      </c>
      <c r="AT2204">
        <v>0.14799999999999999</v>
      </c>
      <c r="AU2204" t="s">
        <v>65</v>
      </c>
      <c r="AV2204">
        <v>80</v>
      </c>
      <c r="AW2204">
        <v>14</v>
      </c>
      <c r="AX2204" t="s">
        <v>9416</v>
      </c>
      <c r="AY2204">
        <v>8.9029999999999998E-2</v>
      </c>
      <c r="AZ2204">
        <v>-1.059E-2</v>
      </c>
      <c r="BA2204">
        <v>3.5599999999999998E-3</v>
      </c>
      <c r="BB2204">
        <v>-5.1999999999999995E-4</v>
      </c>
      <c r="BC2204">
        <v>3.9989999999999998E-2</v>
      </c>
      <c r="BD2204">
        <v>1</v>
      </c>
      <c r="BE2204" t="s">
        <v>69</v>
      </c>
      <c r="BF2204">
        <v>-1.627</v>
      </c>
      <c r="BG2204">
        <v>0.61699999999999999</v>
      </c>
    </row>
    <row r="2205" spans="1:59">
      <c r="A2205">
        <v>0</v>
      </c>
      <c r="B2205">
        <v>4</v>
      </c>
      <c r="C2205">
        <v>0</v>
      </c>
      <c r="D2205" t="s">
        <v>25022</v>
      </c>
      <c r="E2205">
        <v>2908</v>
      </c>
      <c r="F2205" t="s">
        <v>16743</v>
      </c>
      <c r="G2205" t="s">
        <v>62</v>
      </c>
      <c r="H2205">
        <v>2852664</v>
      </c>
      <c r="I2205">
        <v>2853947</v>
      </c>
      <c r="J2205" t="s">
        <v>16744</v>
      </c>
      <c r="K2205">
        <v>428</v>
      </c>
      <c r="L2205" t="s">
        <v>59</v>
      </c>
      <c r="M2205">
        <v>49</v>
      </c>
      <c r="N2205" t="str">
        <f>HYPERLINK("Gene2908-zp_tree_all.dnd", "Gene2908-tree")</f>
        <v>Gene2908-tree</v>
      </c>
      <c r="O2205">
        <v>15</v>
      </c>
      <c r="P2205">
        <v>3</v>
      </c>
      <c r="Q2205">
        <v>15</v>
      </c>
      <c r="R2205">
        <v>3</v>
      </c>
      <c r="S2205">
        <v>0.16667000000000001</v>
      </c>
      <c r="T2205" t="s">
        <v>100</v>
      </c>
      <c r="U2205" t="s">
        <v>324</v>
      </c>
      <c r="V2205" t="s">
        <v>62</v>
      </c>
      <c r="W2205" t="s">
        <v>62</v>
      </c>
      <c r="X2205">
        <v>2</v>
      </c>
      <c r="Y2205">
        <v>4</v>
      </c>
      <c r="Z2205">
        <v>8</v>
      </c>
      <c r="AA2205">
        <v>0.33333000000000002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5</v>
      </c>
      <c r="AK2205">
        <v>0</v>
      </c>
      <c r="AL2205">
        <v>14</v>
      </c>
      <c r="AM2205">
        <v>14</v>
      </c>
      <c r="AN2205">
        <v>78</v>
      </c>
      <c r="AO2205">
        <v>5</v>
      </c>
      <c r="AP2205">
        <v>84</v>
      </c>
      <c r="AQ2205">
        <v>9</v>
      </c>
      <c r="AR2205" t="s">
        <v>16745</v>
      </c>
      <c r="AS2205" t="s">
        <v>16746</v>
      </c>
      <c r="AT2205">
        <v>0.252</v>
      </c>
      <c r="AU2205" t="s">
        <v>65</v>
      </c>
      <c r="AV2205">
        <v>162</v>
      </c>
      <c r="AW2205">
        <v>14</v>
      </c>
      <c r="AX2205" t="s">
        <v>16747</v>
      </c>
      <c r="AY2205">
        <v>0.11020000000000001</v>
      </c>
      <c r="AZ2205">
        <v>-5.3499999999999997E-3</v>
      </c>
      <c r="BA2205">
        <v>4.1399999999999996E-3</v>
      </c>
      <c r="BB2205">
        <v>-2.9E-4</v>
      </c>
      <c r="BC2205">
        <v>3.7589999999999998E-2</v>
      </c>
      <c r="BD2205">
        <v>1</v>
      </c>
      <c r="BE2205" t="s">
        <v>69</v>
      </c>
      <c r="BF2205">
        <v>-1.34</v>
      </c>
      <c r="BG2205">
        <v>-1.123</v>
      </c>
    </row>
    <row r="2206" spans="1:59">
      <c r="A2206">
        <v>0</v>
      </c>
      <c r="B2206">
        <v>2</v>
      </c>
      <c r="C2206">
        <v>0</v>
      </c>
      <c r="D2206" t="s">
        <v>25022</v>
      </c>
      <c r="E2206">
        <v>1747</v>
      </c>
      <c r="F2206" t="s">
        <v>10954</v>
      </c>
      <c r="G2206" t="s">
        <v>57</v>
      </c>
      <c r="H2206">
        <v>1758314</v>
      </c>
      <c r="I2206">
        <v>1759597</v>
      </c>
      <c r="J2206" t="s">
        <v>10955</v>
      </c>
      <c r="K2206">
        <v>428</v>
      </c>
      <c r="L2206" t="s">
        <v>465</v>
      </c>
      <c r="M2206">
        <v>46</v>
      </c>
      <c r="N2206" t="str">
        <f>HYPERLINK("Gene1747-zp_tree_all.dnd", "Gene1747-tree")</f>
        <v>Gene1747-tree</v>
      </c>
      <c r="O2206">
        <v>12</v>
      </c>
      <c r="P2206">
        <v>3</v>
      </c>
      <c r="Q2206">
        <v>12</v>
      </c>
      <c r="R2206">
        <v>3</v>
      </c>
      <c r="S2206">
        <v>0.2</v>
      </c>
      <c r="T2206" t="s">
        <v>109</v>
      </c>
      <c r="U2206" t="s">
        <v>324</v>
      </c>
      <c r="V2206" t="s">
        <v>62</v>
      </c>
      <c r="W2206" t="s">
        <v>62</v>
      </c>
      <c r="X2206">
        <v>1</v>
      </c>
      <c r="Y2206">
        <v>2</v>
      </c>
      <c r="Z2206">
        <v>11</v>
      </c>
      <c r="AA2206">
        <v>0.15384999999999999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4</v>
      </c>
      <c r="AK2206">
        <v>0</v>
      </c>
      <c r="AL2206">
        <v>14</v>
      </c>
      <c r="AM2206">
        <v>12</v>
      </c>
      <c r="AN2206">
        <v>48</v>
      </c>
      <c r="AO2206">
        <v>4</v>
      </c>
      <c r="AP2206">
        <v>76</v>
      </c>
      <c r="AQ2206">
        <v>9</v>
      </c>
      <c r="AR2206" t="s">
        <v>10956</v>
      </c>
      <c r="AS2206" t="s">
        <v>10957</v>
      </c>
      <c r="AT2206">
        <v>9.2999999999999999E-2</v>
      </c>
      <c r="AU2206" t="s">
        <v>65</v>
      </c>
      <c r="AV2206">
        <v>124</v>
      </c>
      <c r="AW2206">
        <v>13</v>
      </c>
      <c r="AX2206" t="s">
        <v>10958</v>
      </c>
      <c r="AY2206">
        <v>9.6519999999999995E-2</v>
      </c>
      <c r="AZ2206">
        <v>-8.3099999999999997E-3</v>
      </c>
      <c r="BA2206">
        <v>2.8600000000000001E-3</v>
      </c>
      <c r="BB2206">
        <v>-2.4000000000000001E-4</v>
      </c>
      <c r="BC2206">
        <v>2.9610000000000001E-2</v>
      </c>
      <c r="BD2206">
        <v>1</v>
      </c>
      <c r="BE2206" t="s">
        <v>69</v>
      </c>
      <c r="BF2206">
        <v>-1.4119999999999999</v>
      </c>
      <c r="BG2206">
        <v>0.41499999999999998</v>
      </c>
    </row>
    <row r="2207" spans="1:59">
      <c r="A2207">
        <v>0</v>
      </c>
      <c r="B2207">
        <v>11</v>
      </c>
      <c r="C2207">
        <v>2</v>
      </c>
      <c r="D2207" t="s">
        <v>25022</v>
      </c>
      <c r="E2207">
        <v>3539</v>
      </c>
      <c r="F2207" t="s">
        <v>20739</v>
      </c>
      <c r="G2207" t="s">
        <v>62</v>
      </c>
      <c r="H2207">
        <v>3501654</v>
      </c>
      <c r="I2207">
        <v>3502940</v>
      </c>
      <c r="J2207" t="s">
        <v>20740</v>
      </c>
      <c r="K2207">
        <v>429</v>
      </c>
      <c r="L2207" t="s">
        <v>20741</v>
      </c>
      <c r="M2207">
        <v>41</v>
      </c>
      <c r="N2207" t="str">
        <f>HYPERLINK("Gene3539-zp_tree_all.dnd", "Gene3539-tree")</f>
        <v>Gene3539-tree</v>
      </c>
      <c r="O2207">
        <v>4</v>
      </c>
      <c r="P2207">
        <v>8</v>
      </c>
      <c r="Q2207">
        <v>4</v>
      </c>
      <c r="R2207">
        <v>8</v>
      </c>
      <c r="S2207">
        <v>0.66666999999999998</v>
      </c>
      <c r="T2207" t="s">
        <v>61</v>
      </c>
      <c r="U2207" t="s">
        <v>136</v>
      </c>
      <c r="V2207" t="s">
        <v>62</v>
      </c>
      <c r="W2207" t="s">
        <v>62</v>
      </c>
      <c r="X2207">
        <v>6</v>
      </c>
      <c r="Y2207">
        <v>13</v>
      </c>
      <c r="Z2207">
        <v>12</v>
      </c>
      <c r="AA2207">
        <v>0.52</v>
      </c>
      <c r="AB2207">
        <v>0</v>
      </c>
      <c r="AC2207">
        <v>0</v>
      </c>
      <c r="AD2207">
        <v>0</v>
      </c>
      <c r="AE2207">
        <v>2</v>
      </c>
      <c r="AF2207">
        <v>0</v>
      </c>
      <c r="AG2207">
        <v>8</v>
      </c>
      <c r="AH2207">
        <v>2</v>
      </c>
      <c r="AI2207">
        <v>10</v>
      </c>
      <c r="AJ2207">
        <v>9</v>
      </c>
      <c r="AK2207">
        <v>0.52632000000000001</v>
      </c>
      <c r="AL2207">
        <v>10</v>
      </c>
      <c r="AM2207">
        <v>9</v>
      </c>
      <c r="AN2207">
        <v>28</v>
      </c>
      <c r="AO2207">
        <v>15</v>
      </c>
      <c r="AP2207">
        <v>30</v>
      </c>
      <c r="AQ2207">
        <v>10</v>
      </c>
      <c r="AR2207" t="s">
        <v>20742</v>
      </c>
      <c r="AS2207" t="s">
        <v>20743</v>
      </c>
      <c r="AT2207">
        <v>0.57499999999999996</v>
      </c>
      <c r="AU2207" t="s">
        <v>65</v>
      </c>
      <c r="AV2207">
        <v>58</v>
      </c>
      <c r="AW2207">
        <v>25</v>
      </c>
      <c r="AX2207" t="s">
        <v>20744</v>
      </c>
      <c r="AY2207">
        <v>4.9799999999999997E-2</v>
      </c>
      <c r="AZ2207">
        <v>-2.6199999999999999E-3</v>
      </c>
      <c r="BA2207">
        <v>5.1900000000000002E-3</v>
      </c>
      <c r="BB2207">
        <v>-2.5000000000000001E-4</v>
      </c>
      <c r="BC2207">
        <v>0.10417999999999999</v>
      </c>
      <c r="BD2207">
        <v>1</v>
      </c>
      <c r="BE2207" t="s">
        <v>69</v>
      </c>
      <c r="BF2207">
        <v>-0.89500000000000002</v>
      </c>
      <c r="BG2207">
        <v>-1.5189999999999999</v>
      </c>
    </row>
    <row r="2208" spans="1:59">
      <c r="A2208">
        <v>0</v>
      </c>
      <c r="B2208">
        <v>7</v>
      </c>
      <c r="C2208">
        <v>0</v>
      </c>
      <c r="D2208" t="s">
        <v>25022</v>
      </c>
      <c r="E2208">
        <v>3247</v>
      </c>
      <c r="F2208" t="s">
        <v>18926</v>
      </c>
      <c r="G2208" t="s">
        <v>62</v>
      </c>
      <c r="H2208">
        <v>3216166</v>
      </c>
      <c r="I2208">
        <v>3217452</v>
      </c>
      <c r="J2208" t="s">
        <v>4095</v>
      </c>
      <c r="K2208">
        <v>429</v>
      </c>
      <c r="L2208" t="s">
        <v>108</v>
      </c>
      <c r="M2208">
        <v>44</v>
      </c>
      <c r="N2208" t="str">
        <f>HYPERLINK("Gene3247-zp_tree_all.dnd", "Gene3247-tree")</f>
        <v>Gene3247-tree</v>
      </c>
      <c r="O2208">
        <v>8</v>
      </c>
      <c r="P2208">
        <v>6</v>
      </c>
      <c r="Q2208">
        <v>8</v>
      </c>
      <c r="R2208">
        <v>6</v>
      </c>
      <c r="S2208">
        <v>0.42857000000000001</v>
      </c>
      <c r="T2208" t="s">
        <v>136</v>
      </c>
      <c r="U2208" t="s">
        <v>90</v>
      </c>
      <c r="V2208" t="s">
        <v>62</v>
      </c>
      <c r="W2208" t="s">
        <v>62</v>
      </c>
      <c r="X2208">
        <v>3</v>
      </c>
      <c r="Y2208">
        <v>7</v>
      </c>
      <c r="Z2208">
        <v>6</v>
      </c>
      <c r="AA2208">
        <v>0.53846000000000005</v>
      </c>
      <c r="AB2208">
        <v>0</v>
      </c>
      <c r="AC2208">
        <v>0</v>
      </c>
      <c r="AD2208">
        <v>0</v>
      </c>
      <c r="AE2208">
        <v>2</v>
      </c>
      <c r="AF2208">
        <v>0</v>
      </c>
      <c r="AG2208">
        <v>4</v>
      </c>
      <c r="AH2208">
        <v>0</v>
      </c>
      <c r="AI2208">
        <v>4</v>
      </c>
      <c r="AJ2208">
        <v>4</v>
      </c>
      <c r="AK2208">
        <v>0.5</v>
      </c>
      <c r="AL2208">
        <v>11</v>
      </c>
      <c r="AM2208">
        <v>10</v>
      </c>
      <c r="AN2208">
        <v>58</v>
      </c>
      <c r="AO2208">
        <v>8</v>
      </c>
      <c r="AP2208">
        <v>38</v>
      </c>
      <c r="AQ2208">
        <v>7</v>
      </c>
      <c r="AR2208" t="s">
        <v>18927</v>
      </c>
      <c r="AS2208" t="s">
        <v>18928</v>
      </c>
      <c r="AT2208">
        <v>0.28799999999999998</v>
      </c>
      <c r="AU2208" t="s">
        <v>65</v>
      </c>
      <c r="AV2208">
        <v>96</v>
      </c>
      <c r="AW2208">
        <v>15</v>
      </c>
      <c r="AX2208" t="s">
        <v>18929</v>
      </c>
      <c r="AY2208">
        <v>6.2489999999999997E-2</v>
      </c>
      <c r="AZ2208">
        <v>-3.0899999999999999E-3</v>
      </c>
      <c r="BA2208">
        <v>2.7899999999999999E-3</v>
      </c>
      <c r="BB2208">
        <v>-1.8000000000000001E-4</v>
      </c>
      <c r="BC2208">
        <v>4.4659999999999998E-2</v>
      </c>
      <c r="BD2208">
        <v>1</v>
      </c>
      <c r="BE2208" t="s">
        <v>69</v>
      </c>
      <c r="BF2208">
        <v>-7.8E-2</v>
      </c>
      <c r="BG2208">
        <v>-0.126</v>
      </c>
    </row>
    <row r="2209" spans="1:59">
      <c r="A2209">
        <v>0</v>
      </c>
      <c r="B2209">
        <v>0</v>
      </c>
      <c r="C2209">
        <v>2</v>
      </c>
      <c r="D2209" t="s">
        <v>25022</v>
      </c>
      <c r="E2209">
        <v>3846</v>
      </c>
      <c r="F2209" t="s">
        <v>22541</v>
      </c>
      <c r="G2209" t="s">
        <v>62</v>
      </c>
      <c r="H2209">
        <v>3806089</v>
      </c>
      <c r="I2209">
        <v>3807375</v>
      </c>
      <c r="J2209" t="s">
        <v>22332</v>
      </c>
      <c r="K2209">
        <v>429</v>
      </c>
      <c r="L2209" t="s">
        <v>59</v>
      </c>
      <c r="M2209">
        <v>49</v>
      </c>
      <c r="N2209" t="str">
        <f>HYPERLINK("Gene3846-zp_tree_all.dnd", "Gene3846-tree")</f>
        <v>Gene3846-tree</v>
      </c>
      <c r="O2209">
        <v>17</v>
      </c>
      <c r="P2209">
        <v>3</v>
      </c>
      <c r="Q2209">
        <v>17</v>
      </c>
      <c r="R2209">
        <v>3</v>
      </c>
      <c r="S2209">
        <v>0.15</v>
      </c>
      <c r="T2209" t="s">
        <v>266</v>
      </c>
      <c r="U2209" t="s">
        <v>324</v>
      </c>
      <c r="V2209" t="s">
        <v>62</v>
      </c>
      <c r="W2209" t="s">
        <v>62</v>
      </c>
      <c r="X2209">
        <v>1</v>
      </c>
      <c r="Y2209">
        <v>2</v>
      </c>
      <c r="Z2209">
        <v>3</v>
      </c>
      <c r="AA2209">
        <v>0.4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3</v>
      </c>
      <c r="AK2209">
        <v>0</v>
      </c>
      <c r="AL2209">
        <v>16</v>
      </c>
      <c r="AM2209">
        <v>13</v>
      </c>
      <c r="AN2209">
        <v>73</v>
      </c>
      <c r="AO2209">
        <v>3</v>
      </c>
      <c r="AP2209">
        <v>85</v>
      </c>
      <c r="AQ2209">
        <v>2</v>
      </c>
      <c r="AR2209" t="s">
        <v>22542</v>
      </c>
      <c r="AS2209" t="s">
        <v>22543</v>
      </c>
      <c r="AT2209">
        <v>0.26200000000000001</v>
      </c>
      <c r="AU2209" t="s">
        <v>65</v>
      </c>
      <c r="AV2209">
        <v>158</v>
      </c>
      <c r="AW2209">
        <v>5</v>
      </c>
      <c r="AX2209" t="s">
        <v>22544</v>
      </c>
      <c r="AY2209">
        <v>9.7629999999999995E-2</v>
      </c>
      <c r="AZ2209">
        <v>-6.4200000000000004E-3</v>
      </c>
      <c r="BA2209">
        <v>9.7999999999999997E-4</v>
      </c>
      <c r="BB2209">
        <v>-9.0000000000000006E-5</v>
      </c>
      <c r="BC2209">
        <v>1.009E-2</v>
      </c>
      <c r="BD2209">
        <v>1</v>
      </c>
      <c r="BE2209" t="s">
        <v>69</v>
      </c>
      <c r="BF2209">
        <v>-1.532</v>
      </c>
      <c r="BG2209">
        <v>-1.0720000000000001</v>
      </c>
    </row>
    <row r="2210" spans="1:59">
      <c r="A2210">
        <v>0</v>
      </c>
      <c r="B2210">
        <v>13</v>
      </c>
      <c r="C2210">
        <v>2</v>
      </c>
      <c r="D2210" t="s">
        <v>25022</v>
      </c>
      <c r="E2210">
        <v>531</v>
      </c>
      <c r="F2210" t="s">
        <v>3426</v>
      </c>
      <c r="G2210" t="s">
        <v>57</v>
      </c>
      <c r="H2210">
        <v>566211</v>
      </c>
      <c r="I2210">
        <v>567500</v>
      </c>
      <c r="J2210" t="s">
        <v>1123</v>
      </c>
      <c r="K2210">
        <v>430</v>
      </c>
      <c r="L2210" t="s">
        <v>3427</v>
      </c>
      <c r="M2210">
        <v>41</v>
      </c>
      <c r="N2210" t="str">
        <f>HYPERLINK("Gene531-zp_tree_all.dnd", "Gene531-tree")</f>
        <v>Gene531-tree</v>
      </c>
      <c r="O2210">
        <v>3</v>
      </c>
      <c r="P2210">
        <v>9</v>
      </c>
      <c r="Q2210">
        <v>3</v>
      </c>
      <c r="R2210">
        <v>9</v>
      </c>
      <c r="S2210">
        <v>0.75</v>
      </c>
      <c r="T2210" t="s">
        <v>324</v>
      </c>
      <c r="U2210" t="s">
        <v>135</v>
      </c>
      <c r="V2210" t="s">
        <v>62</v>
      </c>
      <c r="W2210" t="s">
        <v>62</v>
      </c>
      <c r="X2210">
        <v>7</v>
      </c>
      <c r="Y2210">
        <v>15</v>
      </c>
      <c r="Z2210">
        <v>16</v>
      </c>
      <c r="AA2210">
        <v>0.48387000000000002</v>
      </c>
      <c r="AB2210">
        <v>0</v>
      </c>
      <c r="AC2210">
        <v>0</v>
      </c>
      <c r="AD2210">
        <v>0</v>
      </c>
      <c r="AE2210">
        <v>8</v>
      </c>
      <c r="AF2210">
        <v>0</v>
      </c>
      <c r="AG2210">
        <v>6</v>
      </c>
      <c r="AH2210">
        <v>0</v>
      </c>
      <c r="AI2210">
        <v>6</v>
      </c>
      <c r="AJ2210">
        <v>9</v>
      </c>
      <c r="AK2210">
        <v>0.4</v>
      </c>
      <c r="AL2210">
        <v>9</v>
      </c>
      <c r="AM2210">
        <v>9</v>
      </c>
      <c r="AN2210">
        <v>30</v>
      </c>
      <c r="AO2210">
        <v>14</v>
      </c>
      <c r="AP2210">
        <v>42</v>
      </c>
      <c r="AQ2210">
        <v>17</v>
      </c>
      <c r="AR2210" t="s">
        <v>3428</v>
      </c>
      <c r="AS2210" t="s">
        <v>3429</v>
      </c>
      <c r="AT2210">
        <v>0.14599999999999999</v>
      </c>
      <c r="AU2210" t="s">
        <v>65</v>
      </c>
      <c r="AV2210">
        <v>72</v>
      </c>
      <c r="AW2210">
        <v>31</v>
      </c>
      <c r="AX2210" t="s">
        <v>3430</v>
      </c>
      <c r="AY2210">
        <v>5.4140000000000001E-2</v>
      </c>
      <c r="AZ2210">
        <v>-3.2499999999999999E-3</v>
      </c>
      <c r="BA2210">
        <v>8.5299999999999994E-3</v>
      </c>
      <c r="BB2210">
        <v>-4.4000000000000002E-4</v>
      </c>
      <c r="BC2210">
        <v>0.15762000000000001</v>
      </c>
      <c r="BD2210">
        <v>1</v>
      </c>
      <c r="BE2210" t="s">
        <v>69</v>
      </c>
      <c r="BF2210">
        <v>0.03</v>
      </c>
      <c r="BG2210">
        <v>-0.64200000000000002</v>
      </c>
    </row>
    <row r="2211" spans="1:59">
      <c r="A2211">
        <v>0</v>
      </c>
      <c r="B2211">
        <v>13</v>
      </c>
      <c r="C2211">
        <v>2</v>
      </c>
      <c r="D2211" t="s">
        <v>25022</v>
      </c>
      <c r="E2211">
        <v>1485</v>
      </c>
      <c r="F2211" t="s">
        <v>9283</v>
      </c>
      <c r="G2211" t="s">
        <v>57</v>
      </c>
      <c r="H2211">
        <v>1497192</v>
      </c>
      <c r="I2211">
        <v>1498481</v>
      </c>
      <c r="J2211" t="s">
        <v>9284</v>
      </c>
      <c r="K2211">
        <v>430</v>
      </c>
      <c r="L2211" t="s">
        <v>108</v>
      </c>
      <c r="M2211">
        <v>44</v>
      </c>
      <c r="N2211" t="str">
        <f>HYPERLINK("Gene1485-zp_tree_all.dnd", "Gene1485-tree")</f>
        <v>Gene1485-tree</v>
      </c>
      <c r="O2211">
        <v>5</v>
      </c>
      <c r="P2211">
        <v>10</v>
      </c>
      <c r="Q2211">
        <v>5</v>
      </c>
      <c r="R2211">
        <v>10</v>
      </c>
      <c r="S2211">
        <v>0.66666999999999998</v>
      </c>
      <c r="T2211" t="s">
        <v>199</v>
      </c>
      <c r="U2211" t="s">
        <v>117</v>
      </c>
      <c r="V2211" t="s">
        <v>62</v>
      </c>
      <c r="W2211" t="s">
        <v>62</v>
      </c>
      <c r="X2211">
        <v>6</v>
      </c>
      <c r="Y2211">
        <v>15</v>
      </c>
      <c r="Z2211">
        <v>10</v>
      </c>
      <c r="AA2211">
        <v>0.6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7</v>
      </c>
      <c r="AH2211">
        <v>2</v>
      </c>
      <c r="AI2211">
        <v>9</v>
      </c>
      <c r="AJ2211">
        <v>8</v>
      </c>
      <c r="AK2211">
        <v>0.52941000000000005</v>
      </c>
      <c r="AL2211">
        <v>14</v>
      </c>
      <c r="AM2211">
        <v>10</v>
      </c>
      <c r="AN2211">
        <v>42</v>
      </c>
      <c r="AO2211">
        <v>17</v>
      </c>
      <c r="AP2211">
        <v>18</v>
      </c>
      <c r="AQ2211">
        <v>11</v>
      </c>
      <c r="AR2211" t="s">
        <v>9285</v>
      </c>
      <c r="AS2211" t="s">
        <v>9286</v>
      </c>
      <c r="AT2211">
        <v>0.57899999999999996</v>
      </c>
      <c r="AU2211" t="s">
        <v>65</v>
      </c>
      <c r="AV2211">
        <v>60</v>
      </c>
      <c r="AW2211">
        <v>28</v>
      </c>
      <c r="AX2211" t="s">
        <v>9287</v>
      </c>
      <c r="AY2211">
        <v>3.073E-2</v>
      </c>
      <c r="AZ2211">
        <v>-1.2199999999999999E-3</v>
      </c>
      <c r="BA2211">
        <v>4.6699999999999997E-3</v>
      </c>
      <c r="BB2211">
        <v>-2.1000000000000001E-4</v>
      </c>
      <c r="BC2211">
        <v>0.15187</v>
      </c>
      <c r="BD2211">
        <v>1</v>
      </c>
      <c r="BE2211" t="s">
        <v>69</v>
      </c>
      <c r="BF2211">
        <v>-1.0449999999999999</v>
      </c>
      <c r="BG2211">
        <v>-1.994</v>
      </c>
    </row>
    <row r="2212" spans="1:59">
      <c r="A2212">
        <v>0</v>
      </c>
      <c r="B2212">
        <v>9</v>
      </c>
      <c r="C2212">
        <v>0</v>
      </c>
      <c r="D2212" t="s">
        <v>25022</v>
      </c>
      <c r="E2212">
        <v>2924</v>
      </c>
      <c r="F2212" t="s">
        <v>16843</v>
      </c>
      <c r="G2212" t="s">
        <v>62</v>
      </c>
      <c r="H2212">
        <v>2865315</v>
      </c>
      <c r="I2212">
        <v>2866604</v>
      </c>
      <c r="J2212" t="s">
        <v>16844</v>
      </c>
      <c r="K2212">
        <v>430</v>
      </c>
      <c r="L2212" t="s">
        <v>108</v>
      </c>
      <c r="M2212">
        <v>44</v>
      </c>
      <c r="N2212" t="str">
        <f>HYPERLINK("Gene2924-zp_tree_all.dnd", "Gene2924-tree")</f>
        <v>Gene2924-tree</v>
      </c>
      <c r="O2212">
        <v>4</v>
      </c>
      <c r="P2212">
        <v>8</v>
      </c>
      <c r="Q2212">
        <v>4</v>
      </c>
      <c r="R2212">
        <v>8</v>
      </c>
      <c r="S2212">
        <v>0.66666999999999998</v>
      </c>
      <c r="T2212" t="s">
        <v>61</v>
      </c>
      <c r="U2212" t="s">
        <v>136</v>
      </c>
      <c r="V2212" t="s">
        <v>62</v>
      </c>
      <c r="W2212" t="s">
        <v>62</v>
      </c>
      <c r="X2212">
        <v>2</v>
      </c>
      <c r="Y2212">
        <v>9</v>
      </c>
      <c r="Z2212">
        <v>20</v>
      </c>
      <c r="AA2212">
        <v>0.31034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5</v>
      </c>
      <c r="AH2212">
        <v>1</v>
      </c>
      <c r="AI2212">
        <v>6</v>
      </c>
      <c r="AJ2212">
        <v>17</v>
      </c>
      <c r="AK2212">
        <v>0.26086999999999999</v>
      </c>
      <c r="AL2212">
        <v>8</v>
      </c>
      <c r="AM2212">
        <v>7</v>
      </c>
      <c r="AN2212">
        <v>22</v>
      </c>
      <c r="AO2212">
        <v>23</v>
      </c>
      <c r="AP2212">
        <v>27</v>
      </c>
      <c r="AQ2212">
        <v>6</v>
      </c>
      <c r="AR2212" t="s">
        <v>16845</v>
      </c>
      <c r="AS2212" t="s">
        <v>16846</v>
      </c>
      <c r="AT2212">
        <v>0.872</v>
      </c>
      <c r="AU2212" t="s">
        <v>65</v>
      </c>
      <c r="AV2212">
        <v>49</v>
      </c>
      <c r="AW2212">
        <v>29</v>
      </c>
      <c r="AX2212" t="s">
        <v>16847</v>
      </c>
      <c r="AY2212">
        <v>4.1419999999999998E-2</v>
      </c>
      <c r="AZ2212">
        <v>-2.2899999999999999E-3</v>
      </c>
      <c r="BA2212">
        <v>5.3299999999999997E-3</v>
      </c>
      <c r="BB2212">
        <v>-4.6999999999999999E-4</v>
      </c>
      <c r="BC2212">
        <v>0.12856999999999999</v>
      </c>
      <c r="BD2212">
        <v>1</v>
      </c>
      <c r="BE2212" t="s">
        <v>69</v>
      </c>
      <c r="BF2212">
        <v>-0.71899999999999997</v>
      </c>
      <c r="BG2212">
        <v>-1.5529999999999999</v>
      </c>
    </row>
    <row r="2213" spans="1:59">
      <c r="A2213">
        <v>0</v>
      </c>
      <c r="B2213">
        <v>0</v>
      </c>
      <c r="C2213">
        <v>0</v>
      </c>
      <c r="D2213" t="s">
        <v>25022</v>
      </c>
      <c r="E2213">
        <v>2929</v>
      </c>
      <c r="F2213" t="s">
        <v>16875</v>
      </c>
      <c r="G2213" t="s">
        <v>62</v>
      </c>
      <c r="H2213">
        <v>2872883</v>
      </c>
      <c r="I2213">
        <v>2874172</v>
      </c>
      <c r="J2213" t="s">
        <v>16876</v>
      </c>
      <c r="K2213">
        <v>430</v>
      </c>
      <c r="L2213" t="s">
        <v>108</v>
      </c>
      <c r="M2213">
        <v>44</v>
      </c>
      <c r="N2213" t="str">
        <f>HYPERLINK("Gene2929-zp_tree_all.dnd", "Gene2929-tree")</f>
        <v>Gene2929-tree</v>
      </c>
      <c r="O2213">
        <v>10</v>
      </c>
      <c r="P2213">
        <v>5</v>
      </c>
      <c r="Q2213">
        <v>10</v>
      </c>
      <c r="R2213">
        <v>5</v>
      </c>
      <c r="S2213">
        <v>0.33333000000000002</v>
      </c>
      <c r="T2213" t="s">
        <v>117</v>
      </c>
      <c r="U2213" t="s">
        <v>199</v>
      </c>
      <c r="V2213" t="s">
        <v>62</v>
      </c>
      <c r="W2213" t="s">
        <v>62</v>
      </c>
      <c r="X2213">
        <v>0</v>
      </c>
      <c r="Y2213">
        <v>0</v>
      </c>
      <c r="Z2213">
        <v>10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7</v>
      </c>
      <c r="AK2213">
        <v>0</v>
      </c>
      <c r="AL2213">
        <v>12</v>
      </c>
      <c r="AM2213">
        <v>11</v>
      </c>
      <c r="AN2213">
        <v>38</v>
      </c>
      <c r="AO2213">
        <v>6</v>
      </c>
      <c r="AP2213">
        <v>31</v>
      </c>
      <c r="AQ2213">
        <v>4</v>
      </c>
      <c r="AR2213" t="s">
        <v>16877</v>
      </c>
      <c r="AS2213" t="s">
        <v>16878</v>
      </c>
      <c r="AT2213">
        <v>0.14899999999999999</v>
      </c>
      <c r="AU2213" t="s">
        <v>65</v>
      </c>
      <c r="AV2213">
        <v>69</v>
      </c>
      <c r="AW2213">
        <v>10</v>
      </c>
      <c r="AX2213" t="s">
        <v>16879</v>
      </c>
      <c r="AY2213">
        <v>4.0079999999999998E-2</v>
      </c>
      <c r="AZ2213">
        <v>-1.8E-3</v>
      </c>
      <c r="BA2213">
        <v>2.0999999999999999E-3</v>
      </c>
      <c r="BB2213">
        <v>-1.2999999999999999E-4</v>
      </c>
      <c r="BC2213">
        <v>5.2290000000000003E-2</v>
      </c>
      <c r="BD2213">
        <v>1</v>
      </c>
      <c r="BE2213" t="s">
        <v>69</v>
      </c>
      <c r="BF2213">
        <v>-0.88800000000000001</v>
      </c>
      <c r="BG2213">
        <v>-1.5249999999999999</v>
      </c>
    </row>
    <row r="2214" spans="1:59">
      <c r="A2214">
        <v>0</v>
      </c>
      <c r="B2214">
        <v>4</v>
      </c>
      <c r="C2214">
        <v>0</v>
      </c>
      <c r="D2214" t="s">
        <v>25022</v>
      </c>
      <c r="E2214">
        <v>3517</v>
      </c>
      <c r="F2214" t="s">
        <v>20593</v>
      </c>
      <c r="G2214" t="s">
        <v>62</v>
      </c>
      <c r="H2214">
        <v>3476558</v>
      </c>
      <c r="I2214">
        <v>3477847</v>
      </c>
      <c r="J2214" t="s">
        <v>20594</v>
      </c>
      <c r="K2214">
        <v>430</v>
      </c>
      <c r="L2214" t="s">
        <v>515</v>
      </c>
      <c r="M2214">
        <v>51</v>
      </c>
      <c r="N2214" t="str">
        <f>HYPERLINK("Gene3517-zp_tree_all.dnd", "Gene3517-tree")</f>
        <v>Gene3517-tree</v>
      </c>
      <c r="O2214">
        <v>16</v>
      </c>
      <c r="P2214">
        <v>3</v>
      </c>
      <c r="Q2214">
        <v>16</v>
      </c>
      <c r="R2214">
        <v>3</v>
      </c>
      <c r="S2214">
        <v>0.15789</v>
      </c>
      <c r="T2214" t="s">
        <v>60</v>
      </c>
      <c r="U2214" t="s">
        <v>324</v>
      </c>
      <c r="V2214" t="s">
        <v>62</v>
      </c>
      <c r="W2214" t="s">
        <v>62</v>
      </c>
      <c r="X2214">
        <v>2</v>
      </c>
      <c r="Y2214">
        <v>4</v>
      </c>
      <c r="Z2214">
        <v>5</v>
      </c>
      <c r="AA2214">
        <v>0.44444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4</v>
      </c>
      <c r="AK2214">
        <v>0</v>
      </c>
      <c r="AL2214">
        <v>15</v>
      </c>
      <c r="AM2214">
        <v>11</v>
      </c>
      <c r="AN2214">
        <v>46</v>
      </c>
      <c r="AO2214">
        <v>4</v>
      </c>
      <c r="AP2214">
        <v>63</v>
      </c>
      <c r="AQ2214">
        <v>9</v>
      </c>
      <c r="AR2214" t="s">
        <v>20595</v>
      </c>
      <c r="AS2214" t="s">
        <v>20596</v>
      </c>
      <c r="AT2214">
        <v>0.14799999999999999</v>
      </c>
      <c r="AU2214" t="s">
        <v>65</v>
      </c>
      <c r="AV2214">
        <v>109</v>
      </c>
      <c r="AW2214">
        <v>13</v>
      </c>
      <c r="AX2214" t="s">
        <v>20597</v>
      </c>
      <c r="AY2214">
        <v>7.757E-2</v>
      </c>
      <c r="AZ2214">
        <v>-4.5999999999999999E-3</v>
      </c>
      <c r="BA2214">
        <v>3.96E-3</v>
      </c>
      <c r="BB2214">
        <v>-2.7E-4</v>
      </c>
      <c r="BC2214">
        <v>5.1040000000000002E-2</v>
      </c>
      <c r="BD2214">
        <v>1</v>
      </c>
      <c r="BE2214" t="s">
        <v>69</v>
      </c>
      <c r="BF2214">
        <v>-1.5940000000000001</v>
      </c>
      <c r="BG2214">
        <v>-0.72399999999999998</v>
      </c>
    </row>
    <row r="2215" spans="1:59">
      <c r="A2215">
        <v>0</v>
      </c>
      <c r="B2215">
        <v>2</v>
      </c>
      <c r="C2215">
        <v>0</v>
      </c>
      <c r="D2215" t="s">
        <v>25022</v>
      </c>
      <c r="E2215">
        <v>4188</v>
      </c>
      <c r="F2215" t="s">
        <v>24658</v>
      </c>
      <c r="G2215" t="s">
        <v>62</v>
      </c>
      <c r="H2215">
        <v>4155436</v>
      </c>
      <c r="I2215">
        <v>4156725</v>
      </c>
      <c r="J2215" t="s">
        <v>24659</v>
      </c>
      <c r="K2215">
        <v>430</v>
      </c>
      <c r="L2215" t="s">
        <v>59</v>
      </c>
      <c r="M2215">
        <v>49</v>
      </c>
      <c r="N2215" t="str">
        <f>HYPERLINK("Gene4188-zp_tree_all.dnd", "Gene4188-tree")</f>
        <v>Gene4188-tree</v>
      </c>
      <c r="O2215">
        <v>10</v>
      </c>
      <c r="P2215">
        <v>10</v>
      </c>
      <c r="Q2215">
        <v>10</v>
      </c>
      <c r="R2215">
        <v>10</v>
      </c>
      <c r="S2215">
        <v>0.5</v>
      </c>
      <c r="T2215" t="s">
        <v>117</v>
      </c>
      <c r="U2215" t="s">
        <v>117</v>
      </c>
      <c r="V2215" t="s">
        <v>62</v>
      </c>
      <c r="W2215" t="s">
        <v>62</v>
      </c>
      <c r="X2215">
        <v>1</v>
      </c>
      <c r="Y2215">
        <v>2</v>
      </c>
      <c r="Z2215">
        <v>12</v>
      </c>
      <c r="AA2215">
        <v>0.14285999999999999</v>
      </c>
      <c r="AB2215">
        <v>0</v>
      </c>
      <c r="AC2215">
        <v>0</v>
      </c>
      <c r="AD2215">
        <v>0</v>
      </c>
      <c r="AE2215">
        <v>3</v>
      </c>
      <c r="AF2215">
        <v>0</v>
      </c>
      <c r="AG2215">
        <v>0</v>
      </c>
      <c r="AH2215">
        <v>0</v>
      </c>
      <c r="AI2215">
        <v>0</v>
      </c>
      <c r="AJ2215">
        <v>10</v>
      </c>
      <c r="AK2215">
        <v>0</v>
      </c>
      <c r="AL2215">
        <v>17</v>
      </c>
      <c r="AM2215">
        <v>12</v>
      </c>
      <c r="AN2215">
        <v>48</v>
      </c>
      <c r="AO2215">
        <v>9</v>
      </c>
      <c r="AP2215">
        <v>82</v>
      </c>
      <c r="AQ2215">
        <v>5</v>
      </c>
      <c r="AR2215" t="s">
        <v>24660</v>
      </c>
      <c r="AS2215" t="s">
        <v>24661</v>
      </c>
      <c r="AT2215">
        <v>0.75600000000000001</v>
      </c>
      <c r="AU2215" t="s">
        <v>65</v>
      </c>
      <c r="AV2215">
        <v>130</v>
      </c>
      <c r="AW2215">
        <v>14</v>
      </c>
      <c r="AX2215" t="s">
        <v>24662</v>
      </c>
      <c r="AY2215">
        <v>8.5599999999999996E-2</v>
      </c>
      <c r="AZ2215">
        <v>-5.13E-3</v>
      </c>
      <c r="BA2215">
        <v>2.3600000000000001E-3</v>
      </c>
      <c r="BB2215">
        <v>-1.3999999999999999E-4</v>
      </c>
      <c r="BC2215">
        <v>2.7609999999999999E-2</v>
      </c>
      <c r="BD2215">
        <v>1</v>
      </c>
      <c r="BE2215" t="s">
        <v>69</v>
      </c>
      <c r="BF2215">
        <v>-1.385</v>
      </c>
      <c r="BG2215">
        <v>-0.7</v>
      </c>
    </row>
    <row r="2216" spans="1:59">
      <c r="A2216">
        <v>0</v>
      </c>
      <c r="B2216">
        <v>0</v>
      </c>
      <c r="C2216">
        <v>0</v>
      </c>
      <c r="D2216" t="s">
        <v>25022</v>
      </c>
      <c r="E2216">
        <v>2330</v>
      </c>
      <c r="F2216" t="s">
        <v>13512</v>
      </c>
      <c r="G2216" t="s">
        <v>62</v>
      </c>
      <c r="H2216">
        <v>2346227</v>
      </c>
      <c r="I2216">
        <v>2347516</v>
      </c>
      <c r="J2216" t="s">
        <v>13513</v>
      </c>
      <c r="K2216">
        <v>430</v>
      </c>
      <c r="L2216" t="s">
        <v>59</v>
      </c>
      <c r="M2216">
        <v>49</v>
      </c>
      <c r="N2216" t="str">
        <f>HYPERLINK("Gene2330-zp_tree_all.dnd", "Gene2330-tree")</f>
        <v>Gene2330-tree</v>
      </c>
      <c r="O2216">
        <v>14</v>
      </c>
      <c r="P2216">
        <v>3</v>
      </c>
      <c r="Q2216">
        <v>14</v>
      </c>
      <c r="R2216">
        <v>3</v>
      </c>
      <c r="S2216">
        <v>0.17646999999999999</v>
      </c>
      <c r="T2216" t="s">
        <v>543</v>
      </c>
      <c r="U2216" t="s">
        <v>324</v>
      </c>
      <c r="V2216" t="s">
        <v>62</v>
      </c>
      <c r="W2216" t="s">
        <v>62</v>
      </c>
      <c r="X2216">
        <v>0</v>
      </c>
      <c r="Y2216">
        <v>0</v>
      </c>
      <c r="Z2216">
        <v>11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6</v>
      </c>
      <c r="AK2216">
        <v>0</v>
      </c>
      <c r="AL2216">
        <v>14</v>
      </c>
      <c r="AM2216">
        <v>13</v>
      </c>
      <c r="AN2216">
        <v>46</v>
      </c>
      <c r="AO2216">
        <v>6</v>
      </c>
      <c r="AP2216">
        <v>79</v>
      </c>
      <c r="AQ2216">
        <v>5</v>
      </c>
      <c r="AR2216" t="s">
        <v>13514</v>
      </c>
      <c r="AS2216" t="s">
        <v>13515</v>
      </c>
      <c r="AT2216">
        <v>0.29799999999999999</v>
      </c>
      <c r="AU2216" t="s">
        <v>65</v>
      </c>
      <c r="AV2216">
        <v>125</v>
      </c>
      <c r="AW2216">
        <v>11</v>
      </c>
      <c r="AX2216" t="s">
        <v>13516</v>
      </c>
      <c r="AY2216">
        <v>0.11372</v>
      </c>
      <c r="AZ2216">
        <v>-7.4700000000000001E-3</v>
      </c>
      <c r="BA2216">
        <v>2.6700000000000001E-3</v>
      </c>
      <c r="BB2216">
        <v>-2.3000000000000001E-4</v>
      </c>
      <c r="BC2216">
        <v>2.35E-2</v>
      </c>
      <c r="BD2216">
        <v>1</v>
      </c>
      <c r="BE2216" t="s">
        <v>69</v>
      </c>
      <c r="BF2216">
        <v>-1.333</v>
      </c>
      <c r="BG2216">
        <v>-1.2130000000000001</v>
      </c>
    </row>
    <row r="2217" spans="1:59">
      <c r="A2217">
        <v>0</v>
      </c>
      <c r="B2217">
        <v>0</v>
      </c>
      <c r="C2217">
        <v>0</v>
      </c>
      <c r="D2217" t="s">
        <v>25022</v>
      </c>
      <c r="E2217">
        <v>2603</v>
      </c>
      <c r="F2217" t="s">
        <v>15240</v>
      </c>
      <c r="G2217" t="s">
        <v>62</v>
      </c>
      <c r="H2217">
        <v>2584038</v>
      </c>
      <c r="I2217">
        <v>2585327</v>
      </c>
      <c r="J2217" t="s">
        <v>2641</v>
      </c>
      <c r="K2217">
        <v>430</v>
      </c>
      <c r="L2217" t="s">
        <v>265</v>
      </c>
      <c r="M2217">
        <v>43</v>
      </c>
      <c r="N2217" t="str">
        <f>HYPERLINK("Gene2603-zp_tree_all.dnd", "Gene2603-tree")</f>
        <v>Gene2603-tree</v>
      </c>
      <c r="O2217">
        <v>13</v>
      </c>
      <c r="P2217">
        <v>2</v>
      </c>
      <c r="Q2217">
        <v>13</v>
      </c>
      <c r="R2217">
        <v>2</v>
      </c>
      <c r="S2217">
        <v>0.13333</v>
      </c>
      <c r="T2217" t="s">
        <v>507</v>
      </c>
      <c r="U2217" t="s">
        <v>81</v>
      </c>
      <c r="V2217" t="s">
        <v>62</v>
      </c>
      <c r="W2217" t="s">
        <v>62</v>
      </c>
      <c r="X2217">
        <v>0</v>
      </c>
      <c r="Y2217">
        <v>0</v>
      </c>
      <c r="Z2217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4</v>
      </c>
      <c r="AK2217">
        <v>0</v>
      </c>
      <c r="AL2217">
        <v>13</v>
      </c>
      <c r="AM2217">
        <v>10</v>
      </c>
      <c r="AN2217">
        <v>48</v>
      </c>
      <c r="AO2217">
        <v>5</v>
      </c>
      <c r="AP2217">
        <v>18</v>
      </c>
      <c r="AQ2217">
        <v>0</v>
      </c>
      <c r="AR2217" t="s">
        <v>15241</v>
      </c>
      <c r="AS2217" t="s">
        <v>193</v>
      </c>
      <c r="AT2217">
        <v>0.43</v>
      </c>
      <c r="AU2217" t="s">
        <v>65</v>
      </c>
      <c r="AV2217">
        <v>66</v>
      </c>
      <c r="AW2217">
        <v>5</v>
      </c>
      <c r="AX2217" t="s">
        <v>15242</v>
      </c>
      <c r="AY2217">
        <v>3.2930000000000001E-2</v>
      </c>
      <c r="AZ2217">
        <v>-1.2600000000000001E-3</v>
      </c>
      <c r="BA2217">
        <v>7.1000000000000002E-4</v>
      </c>
      <c r="BB2217">
        <v>-1.4999999999999999E-4</v>
      </c>
      <c r="BC2217">
        <v>2.171E-2</v>
      </c>
      <c r="BD2217">
        <v>1</v>
      </c>
      <c r="BE2217" t="s">
        <v>69</v>
      </c>
      <c r="BF2217">
        <v>-0.67</v>
      </c>
      <c r="BG2217">
        <v>-0.73299999999999998</v>
      </c>
    </row>
    <row r="2218" spans="1:59">
      <c r="A2218">
        <v>0</v>
      </c>
      <c r="B2218">
        <v>0</v>
      </c>
      <c r="C2218">
        <v>0</v>
      </c>
      <c r="D2218" t="s">
        <v>25022</v>
      </c>
      <c r="E2218">
        <v>136</v>
      </c>
      <c r="F2218" t="s">
        <v>983</v>
      </c>
      <c r="G2218" t="s">
        <v>57</v>
      </c>
      <c r="H2218">
        <v>144527</v>
      </c>
      <c r="I2218">
        <v>145819</v>
      </c>
      <c r="J2218" t="s">
        <v>780</v>
      </c>
      <c r="K2218">
        <v>431</v>
      </c>
      <c r="L2218" t="s">
        <v>59</v>
      </c>
      <c r="M2218">
        <v>49</v>
      </c>
      <c r="N2218" t="str">
        <f>HYPERLINK("Gene136-zp_tree_all.dnd", "Gene136-tree")</f>
        <v>Gene136-tree</v>
      </c>
      <c r="O2218">
        <v>16</v>
      </c>
      <c r="P2218">
        <v>3</v>
      </c>
      <c r="Q2218">
        <v>16</v>
      </c>
      <c r="R2218">
        <v>3</v>
      </c>
      <c r="S2218">
        <v>0.15789</v>
      </c>
      <c r="T2218" t="s">
        <v>60</v>
      </c>
      <c r="U2218" t="s">
        <v>324</v>
      </c>
      <c r="V2218" t="s">
        <v>62</v>
      </c>
      <c r="W2218" t="s">
        <v>62</v>
      </c>
      <c r="X2218">
        <v>0</v>
      </c>
      <c r="Y2218">
        <v>0</v>
      </c>
      <c r="Z2218">
        <v>9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3</v>
      </c>
      <c r="AK2218">
        <v>0</v>
      </c>
      <c r="AL2218">
        <v>14</v>
      </c>
      <c r="AM2218">
        <v>12</v>
      </c>
      <c r="AN2218">
        <v>28</v>
      </c>
      <c r="AO2218">
        <v>3</v>
      </c>
      <c r="AP2218">
        <v>29</v>
      </c>
      <c r="AQ2218">
        <v>6</v>
      </c>
      <c r="AR2218" t="s">
        <v>984</v>
      </c>
      <c r="AS2218" t="s">
        <v>985</v>
      </c>
      <c r="AT2218">
        <v>0.34100000000000003</v>
      </c>
      <c r="AU2218" t="s">
        <v>65</v>
      </c>
      <c r="AV2218">
        <v>57</v>
      </c>
      <c r="AW2218">
        <v>9</v>
      </c>
      <c r="AX2218" t="s">
        <v>986</v>
      </c>
      <c r="AY2218">
        <v>3.6429999999999997E-2</v>
      </c>
      <c r="AZ2218">
        <v>-1.82E-3</v>
      </c>
      <c r="BA2218">
        <v>2.48E-3</v>
      </c>
      <c r="BB2218">
        <v>-1.6000000000000001E-4</v>
      </c>
      <c r="BC2218">
        <v>6.8040000000000003E-2</v>
      </c>
      <c r="BD2218">
        <v>1</v>
      </c>
      <c r="BE2218" t="s">
        <v>69</v>
      </c>
      <c r="BF2218">
        <v>-1.4430000000000001</v>
      </c>
      <c r="BG2218">
        <v>-1.5509999999999999</v>
      </c>
    </row>
    <row r="2219" spans="1:59">
      <c r="A2219">
        <v>0</v>
      </c>
      <c r="B2219">
        <v>9</v>
      </c>
      <c r="C2219">
        <v>0</v>
      </c>
      <c r="D2219" t="s">
        <v>25022</v>
      </c>
      <c r="E2219">
        <v>678</v>
      </c>
      <c r="F2219" t="s">
        <v>4230</v>
      </c>
      <c r="G2219" t="s">
        <v>57</v>
      </c>
      <c r="H2219">
        <v>700232</v>
      </c>
      <c r="I2219">
        <v>701524</v>
      </c>
      <c r="J2219" t="s">
        <v>4231</v>
      </c>
      <c r="K2219">
        <v>431</v>
      </c>
      <c r="L2219" t="s">
        <v>4088</v>
      </c>
      <c r="M2219">
        <v>48</v>
      </c>
      <c r="N2219" t="str">
        <f>HYPERLINK("Gene678-zp_tree_all.dnd", "Gene678-tree")</f>
        <v>Gene678-tree</v>
      </c>
      <c r="O2219">
        <v>16</v>
      </c>
      <c r="P2219">
        <v>6</v>
      </c>
      <c r="Q2219">
        <v>16</v>
      </c>
      <c r="R2219">
        <v>6</v>
      </c>
      <c r="S2219">
        <v>0.27272999999999997</v>
      </c>
      <c r="T2219" t="s">
        <v>60</v>
      </c>
      <c r="U2219" t="s">
        <v>90</v>
      </c>
      <c r="V2219" t="s">
        <v>62</v>
      </c>
      <c r="W2219" t="s">
        <v>62</v>
      </c>
      <c r="X2219">
        <v>2</v>
      </c>
      <c r="Y2219">
        <v>9</v>
      </c>
      <c r="Z2219">
        <v>3</v>
      </c>
      <c r="AA2219">
        <v>0.75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4</v>
      </c>
      <c r="AH2219">
        <v>0</v>
      </c>
      <c r="AI2219">
        <v>4</v>
      </c>
      <c r="AJ2219">
        <v>2</v>
      </c>
      <c r="AK2219">
        <v>0.66666999999999998</v>
      </c>
      <c r="AL2219">
        <v>20</v>
      </c>
      <c r="AM2219">
        <v>19</v>
      </c>
      <c r="AN2219">
        <v>113</v>
      </c>
      <c r="AO2219">
        <v>6</v>
      </c>
      <c r="AP2219">
        <v>125</v>
      </c>
      <c r="AQ2219">
        <v>6</v>
      </c>
      <c r="AR2219" t="s">
        <v>4232</v>
      </c>
      <c r="AS2219" t="s">
        <v>4233</v>
      </c>
      <c r="AT2219">
        <v>0.121</v>
      </c>
      <c r="AU2219" t="s">
        <v>65</v>
      </c>
      <c r="AV2219">
        <v>238</v>
      </c>
      <c r="AW2219">
        <v>12</v>
      </c>
      <c r="AX2219" t="s">
        <v>4234</v>
      </c>
      <c r="AY2219">
        <v>0.13106999999999999</v>
      </c>
      <c r="AZ2219">
        <v>-4.6499999999999996E-3</v>
      </c>
      <c r="BA2219">
        <v>1.49E-3</v>
      </c>
      <c r="BB2219">
        <v>-6.9999999999999994E-5</v>
      </c>
      <c r="BC2219">
        <v>1.1339999999999999E-2</v>
      </c>
      <c r="BD2219">
        <v>1</v>
      </c>
      <c r="BE2219" t="s">
        <v>69</v>
      </c>
      <c r="BF2219">
        <v>-0.315</v>
      </c>
      <c r="BG2219">
        <v>-0.114</v>
      </c>
    </row>
    <row r="2220" spans="1:59">
      <c r="A2220">
        <v>0</v>
      </c>
      <c r="B2220">
        <v>0</v>
      </c>
      <c r="C2220">
        <v>0</v>
      </c>
      <c r="D2220" t="s">
        <v>25022</v>
      </c>
      <c r="E2220">
        <v>2748</v>
      </c>
      <c r="F2220" t="s">
        <v>15776</v>
      </c>
      <c r="G2220" t="s">
        <v>62</v>
      </c>
      <c r="H2220">
        <v>2703153</v>
      </c>
      <c r="I2220">
        <v>2704448</v>
      </c>
      <c r="J2220" t="s">
        <v>15777</v>
      </c>
      <c r="K2220">
        <v>432</v>
      </c>
      <c r="L2220" t="s">
        <v>15778</v>
      </c>
      <c r="M2220">
        <v>29</v>
      </c>
      <c r="N2220" t="str">
        <f>HYPERLINK("Gene2748-zp_tree_all.dnd", "Gene2748-tree")</f>
        <v>Gene2748-tree</v>
      </c>
      <c r="O2220">
        <v>0</v>
      </c>
      <c r="P2220">
        <v>26</v>
      </c>
      <c r="Q2220">
        <v>0</v>
      </c>
      <c r="R2220">
        <v>4</v>
      </c>
      <c r="S2220">
        <v>1</v>
      </c>
      <c r="T2220" t="s">
        <v>62</v>
      </c>
      <c r="U2220" t="s">
        <v>2333</v>
      </c>
      <c r="V2220">
        <v>7.4219999999999997</v>
      </c>
      <c r="W2220" t="s">
        <v>65</v>
      </c>
      <c r="X2220">
        <v>0</v>
      </c>
      <c r="Y2220">
        <v>0</v>
      </c>
      <c r="Z2220">
        <v>9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8</v>
      </c>
      <c r="AK2220">
        <v>0</v>
      </c>
      <c r="AL2220">
        <v>3</v>
      </c>
      <c r="AM2220">
        <v>1</v>
      </c>
      <c r="AN2220">
        <v>5</v>
      </c>
      <c r="AO2220">
        <v>8</v>
      </c>
      <c r="AP2220">
        <v>1</v>
      </c>
      <c r="AQ2220">
        <v>1</v>
      </c>
      <c r="AR2220" t="s">
        <v>15779</v>
      </c>
      <c r="AS2220" t="s">
        <v>15780</v>
      </c>
      <c r="AT2220">
        <v>0.26600000000000001</v>
      </c>
      <c r="AU2220" t="s">
        <v>65</v>
      </c>
      <c r="AV2220">
        <v>6</v>
      </c>
      <c r="AW2220">
        <v>9</v>
      </c>
      <c r="AX2220" t="s">
        <v>15781</v>
      </c>
      <c r="AY2220">
        <v>1.102E-2</v>
      </c>
      <c r="AZ2220">
        <v>-3.62E-3</v>
      </c>
      <c r="BA2220">
        <v>4.6600000000000001E-3</v>
      </c>
      <c r="BB2220">
        <v>-8.9999999999999998E-4</v>
      </c>
      <c r="BC2220">
        <v>0.42271999999999998</v>
      </c>
      <c r="BD2220">
        <v>0.79</v>
      </c>
      <c r="BE2220" t="s">
        <v>635</v>
      </c>
      <c r="BF2220">
        <v>-0.496</v>
      </c>
      <c r="BG2220">
        <v>0.372</v>
      </c>
    </row>
    <row r="2221" spans="1:59">
      <c r="A2221">
        <v>0</v>
      </c>
      <c r="B2221">
        <v>0</v>
      </c>
      <c r="C2221">
        <v>0</v>
      </c>
      <c r="D2221" t="s">
        <v>25022</v>
      </c>
      <c r="E2221">
        <v>3097</v>
      </c>
      <c r="F2221" t="s">
        <v>17955</v>
      </c>
      <c r="G2221" t="s">
        <v>62</v>
      </c>
      <c r="H2221">
        <v>3048180</v>
      </c>
      <c r="I2221">
        <v>3049475</v>
      </c>
      <c r="J2221" t="s">
        <v>17956</v>
      </c>
      <c r="K2221">
        <v>432</v>
      </c>
      <c r="L2221" t="s">
        <v>2803</v>
      </c>
      <c r="M2221">
        <v>45</v>
      </c>
      <c r="N2221" t="str">
        <f>HYPERLINK("Gene3097-zp_tree_all.dnd", "Gene3097-tree")</f>
        <v>Gene3097-tree</v>
      </c>
      <c r="O2221">
        <v>10</v>
      </c>
      <c r="P2221">
        <v>4</v>
      </c>
      <c r="Q2221">
        <v>10</v>
      </c>
      <c r="R2221">
        <v>4</v>
      </c>
      <c r="S2221">
        <v>0.28571000000000002</v>
      </c>
      <c r="T2221" t="s">
        <v>117</v>
      </c>
      <c r="U2221" t="s">
        <v>61</v>
      </c>
      <c r="V2221" t="s">
        <v>62</v>
      </c>
      <c r="W2221" t="s">
        <v>62</v>
      </c>
      <c r="X2221">
        <v>0</v>
      </c>
      <c r="Y2221">
        <v>0</v>
      </c>
      <c r="Z2221">
        <v>8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7</v>
      </c>
      <c r="AK2221">
        <v>0</v>
      </c>
      <c r="AL2221">
        <v>13</v>
      </c>
      <c r="AM2221">
        <v>9</v>
      </c>
      <c r="AN2221">
        <v>77</v>
      </c>
      <c r="AO2221">
        <v>7</v>
      </c>
      <c r="AP2221">
        <v>23</v>
      </c>
      <c r="AQ2221">
        <v>1</v>
      </c>
      <c r="AR2221" t="s">
        <v>17957</v>
      </c>
      <c r="AS2221" t="s">
        <v>17958</v>
      </c>
      <c r="AT2221">
        <v>0.17299999999999999</v>
      </c>
      <c r="AU2221" t="s">
        <v>65</v>
      </c>
      <c r="AV2221">
        <v>100</v>
      </c>
      <c r="AW2221">
        <v>8</v>
      </c>
      <c r="AX2221" t="s">
        <v>17959</v>
      </c>
      <c r="AY2221">
        <v>6.3259999999999997E-2</v>
      </c>
      <c r="AZ2221">
        <v>-7.1500000000000001E-3</v>
      </c>
      <c r="BA2221">
        <v>1.2600000000000001E-3</v>
      </c>
      <c r="BB2221">
        <v>-1.8000000000000001E-4</v>
      </c>
      <c r="BC2221">
        <v>1.9869999999999999E-2</v>
      </c>
      <c r="BD2221">
        <v>1</v>
      </c>
      <c r="BE2221" t="s">
        <v>69</v>
      </c>
      <c r="BF2221">
        <v>-1.8640000000000001</v>
      </c>
      <c r="BG2221">
        <v>-4.3979999999999997</v>
      </c>
    </row>
    <row r="2222" spans="1:59">
      <c r="A2222">
        <v>0</v>
      </c>
      <c r="B2222">
        <v>2</v>
      </c>
      <c r="C2222">
        <v>0</v>
      </c>
      <c r="D2222" t="s">
        <v>25022</v>
      </c>
      <c r="E2222">
        <v>1304</v>
      </c>
      <c r="F2222" t="s">
        <v>8187</v>
      </c>
      <c r="G2222" t="s">
        <v>57</v>
      </c>
      <c r="H2222">
        <v>1325890</v>
      </c>
      <c r="I2222">
        <v>1327188</v>
      </c>
      <c r="J2222" t="s">
        <v>8188</v>
      </c>
      <c r="K2222">
        <v>433</v>
      </c>
      <c r="L2222" t="s">
        <v>1305</v>
      </c>
      <c r="M2222">
        <v>43</v>
      </c>
      <c r="N2222" t="str">
        <f>HYPERLINK("Gene1304-zp_tree_all.dnd", "Gene1304-tree")</f>
        <v>Gene1304-tree</v>
      </c>
      <c r="O2222">
        <v>7</v>
      </c>
      <c r="P2222">
        <v>6</v>
      </c>
      <c r="Q2222">
        <v>7</v>
      </c>
      <c r="R2222">
        <v>6</v>
      </c>
      <c r="S2222">
        <v>0.46154000000000001</v>
      </c>
      <c r="T2222" t="s">
        <v>152</v>
      </c>
      <c r="U2222" t="s">
        <v>90</v>
      </c>
      <c r="V2222" t="s">
        <v>62</v>
      </c>
      <c r="W2222" t="s">
        <v>62</v>
      </c>
      <c r="X2222">
        <v>1</v>
      </c>
      <c r="Y2222">
        <v>2</v>
      </c>
      <c r="Z2222">
        <v>13</v>
      </c>
      <c r="AA2222">
        <v>0.13333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9</v>
      </c>
      <c r="AK2222">
        <v>0</v>
      </c>
      <c r="AL2222">
        <v>12</v>
      </c>
      <c r="AM2222">
        <v>9</v>
      </c>
      <c r="AN2222">
        <v>56</v>
      </c>
      <c r="AO2222">
        <v>7</v>
      </c>
      <c r="AP2222">
        <v>35</v>
      </c>
      <c r="AQ2222">
        <v>9</v>
      </c>
      <c r="AR2222" t="s">
        <v>8189</v>
      </c>
      <c r="AS2222" t="s">
        <v>8190</v>
      </c>
      <c r="AT2222">
        <v>0.628</v>
      </c>
      <c r="AU2222" t="s">
        <v>65</v>
      </c>
      <c r="AV2222">
        <v>91</v>
      </c>
      <c r="AW2222">
        <v>16</v>
      </c>
      <c r="AX2222" t="s">
        <v>8191</v>
      </c>
      <c r="AY2222">
        <v>6.4210000000000003E-2</v>
      </c>
      <c r="AZ2222">
        <v>-5.1700000000000001E-3</v>
      </c>
      <c r="BA2222">
        <v>3.9300000000000003E-3</v>
      </c>
      <c r="BB2222">
        <v>-2.5000000000000001E-4</v>
      </c>
      <c r="BC2222">
        <v>6.1219999999999997E-2</v>
      </c>
      <c r="BD2222">
        <v>1</v>
      </c>
      <c r="BE2222" t="s">
        <v>69</v>
      </c>
      <c r="BF2222">
        <v>-1.0189999999999999</v>
      </c>
      <c r="BG2222">
        <v>-2.3580000000000001</v>
      </c>
    </row>
    <row r="2223" spans="1:59">
      <c r="A2223">
        <v>0</v>
      </c>
      <c r="B2223">
        <v>11</v>
      </c>
      <c r="C2223">
        <v>0</v>
      </c>
      <c r="D2223" t="s">
        <v>25022</v>
      </c>
      <c r="E2223">
        <v>2992</v>
      </c>
      <c r="F2223" t="s">
        <v>17272</v>
      </c>
      <c r="G2223" t="s">
        <v>62</v>
      </c>
      <c r="H2223">
        <v>2941677</v>
      </c>
      <c r="I2223">
        <v>2942975</v>
      </c>
      <c r="J2223" t="s">
        <v>17273</v>
      </c>
      <c r="K2223">
        <v>433</v>
      </c>
      <c r="L2223" t="s">
        <v>5451</v>
      </c>
      <c r="M2223">
        <v>43</v>
      </c>
      <c r="N2223" t="str">
        <f>HYPERLINK("Gene2992-zp_tree_all.dnd", "Gene2992-tree")</f>
        <v>Gene2992-tree</v>
      </c>
      <c r="O2223">
        <v>3</v>
      </c>
      <c r="P2223">
        <v>11</v>
      </c>
      <c r="Q2223">
        <v>3</v>
      </c>
      <c r="R2223">
        <v>11</v>
      </c>
      <c r="S2223">
        <v>0.78571000000000002</v>
      </c>
      <c r="T2223" t="s">
        <v>324</v>
      </c>
      <c r="U2223" t="s">
        <v>73</v>
      </c>
      <c r="V2223">
        <v>305230034.74400002</v>
      </c>
      <c r="W2223" t="s">
        <v>267</v>
      </c>
      <c r="X2223">
        <v>4</v>
      </c>
      <c r="Y2223">
        <v>11</v>
      </c>
      <c r="Z2223">
        <v>12</v>
      </c>
      <c r="AA2223">
        <v>0.47826000000000002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9</v>
      </c>
      <c r="AH2223">
        <v>0</v>
      </c>
      <c r="AI2223">
        <v>9</v>
      </c>
      <c r="AJ2223">
        <v>9</v>
      </c>
      <c r="AK2223">
        <v>0.5</v>
      </c>
      <c r="AL2223">
        <v>10</v>
      </c>
      <c r="AM2223">
        <v>11</v>
      </c>
      <c r="AN2223">
        <v>41</v>
      </c>
      <c r="AO2223">
        <v>13</v>
      </c>
      <c r="AP2223">
        <v>64</v>
      </c>
      <c r="AQ2223">
        <v>10</v>
      </c>
      <c r="AR2223" t="s">
        <v>17274</v>
      </c>
      <c r="AS2223" t="s">
        <v>17275</v>
      </c>
      <c r="AT2223">
        <v>1.371</v>
      </c>
      <c r="AU2223" t="s">
        <v>65</v>
      </c>
      <c r="AV2223">
        <v>105</v>
      </c>
      <c r="AW2223">
        <v>23</v>
      </c>
      <c r="AX2223" t="s">
        <v>17276</v>
      </c>
      <c r="AY2223">
        <v>8.4860000000000005E-2</v>
      </c>
      <c r="AZ2223">
        <v>-3.9399999999999999E-3</v>
      </c>
      <c r="BA2223">
        <v>4.47E-3</v>
      </c>
      <c r="BB2223">
        <v>-2.1000000000000001E-4</v>
      </c>
      <c r="BC2223">
        <v>5.2659999999999998E-2</v>
      </c>
      <c r="BD2223">
        <v>1</v>
      </c>
      <c r="BE2223" t="s">
        <v>69</v>
      </c>
      <c r="BF2223">
        <v>1.7809999999999999</v>
      </c>
      <c r="BG2223">
        <v>1.1919999999999999</v>
      </c>
    </row>
    <row r="2224" spans="1:59">
      <c r="A2224">
        <v>2</v>
      </c>
      <c r="B2224">
        <v>0</v>
      </c>
      <c r="C2224">
        <v>2</v>
      </c>
      <c r="D2224" t="s">
        <v>25022</v>
      </c>
      <c r="E2224">
        <v>4081</v>
      </c>
      <c r="F2224" t="s">
        <v>24022</v>
      </c>
      <c r="G2224" t="s">
        <v>62</v>
      </c>
      <c r="H2224">
        <v>4049012</v>
      </c>
      <c r="I2224">
        <v>4050310</v>
      </c>
      <c r="J2224" t="s">
        <v>24023</v>
      </c>
      <c r="K2224">
        <v>433</v>
      </c>
      <c r="L2224" t="s">
        <v>108</v>
      </c>
      <c r="M2224">
        <v>44</v>
      </c>
      <c r="N2224" t="str">
        <f>HYPERLINK("Gene4081-zp_tree_all.dnd", "Gene4081-tree")</f>
        <v>Gene4081-tree</v>
      </c>
      <c r="O2224">
        <v>26</v>
      </c>
      <c r="P2224">
        <v>8</v>
      </c>
      <c r="Q2224">
        <v>9</v>
      </c>
      <c r="R2224">
        <v>8</v>
      </c>
      <c r="S2224">
        <v>0.47059000000000001</v>
      </c>
      <c r="T2224" t="s">
        <v>4723</v>
      </c>
      <c r="U2224" t="s">
        <v>136</v>
      </c>
      <c r="V2224" t="s">
        <v>62</v>
      </c>
      <c r="W2224" t="s">
        <v>62</v>
      </c>
      <c r="X2224">
        <v>1</v>
      </c>
      <c r="Y2224">
        <v>4</v>
      </c>
      <c r="Z2224">
        <v>10</v>
      </c>
      <c r="AA2224">
        <v>0.28571000000000002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2</v>
      </c>
      <c r="AI2224">
        <v>2</v>
      </c>
      <c r="AJ2224">
        <v>10</v>
      </c>
      <c r="AK2224">
        <v>0.16667000000000001</v>
      </c>
      <c r="AL2224">
        <v>16</v>
      </c>
      <c r="AM2224">
        <v>11</v>
      </c>
      <c r="AN2224">
        <v>79</v>
      </c>
      <c r="AO2224">
        <v>11</v>
      </c>
      <c r="AP2224">
        <v>41</v>
      </c>
      <c r="AQ2224">
        <v>3</v>
      </c>
      <c r="AR2224" t="s">
        <v>24024</v>
      </c>
      <c r="AS2224" t="s">
        <v>24025</v>
      </c>
      <c r="AT2224">
        <v>0.65400000000000003</v>
      </c>
      <c r="AU2224" t="s">
        <v>65</v>
      </c>
      <c r="AV2224">
        <v>120</v>
      </c>
      <c r="AW2224">
        <v>14</v>
      </c>
      <c r="AX2224" t="s">
        <v>24026</v>
      </c>
      <c r="AY2224">
        <v>5.706E-2</v>
      </c>
      <c r="AZ2224">
        <v>-1.5299999999999999E-3</v>
      </c>
      <c r="BA2224">
        <v>2.1199999999999999E-3</v>
      </c>
      <c r="BB2224">
        <v>-1.2E-4</v>
      </c>
      <c r="BC2224">
        <v>3.7089999999999998E-2</v>
      </c>
      <c r="BD2224">
        <v>1</v>
      </c>
      <c r="BE2224" t="s">
        <v>69</v>
      </c>
      <c r="BF2224">
        <v>0.01</v>
      </c>
      <c r="BG2224">
        <v>-1.286</v>
      </c>
    </row>
    <row r="2225" spans="1:59">
      <c r="A2225">
        <v>0</v>
      </c>
      <c r="B2225">
        <v>10</v>
      </c>
      <c r="C2225">
        <v>2</v>
      </c>
      <c r="D2225" t="s">
        <v>25022</v>
      </c>
      <c r="E2225">
        <v>3896</v>
      </c>
      <c r="F2225" t="s">
        <v>22843</v>
      </c>
      <c r="G2225" t="s">
        <v>62</v>
      </c>
      <c r="H2225">
        <v>3859538</v>
      </c>
      <c r="I2225">
        <v>3860836</v>
      </c>
      <c r="J2225" t="s">
        <v>22844</v>
      </c>
      <c r="K2225">
        <v>433</v>
      </c>
      <c r="L2225" t="s">
        <v>59</v>
      </c>
      <c r="M2225">
        <v>49</v>
      </c>
      <c r="N2225" t="str">
        <f>HYPERLINK("Gene3896-zp_tree_all.dnd", "Gene3896-tree")</f>
        <v>Gene3896-tree</v>
      </c>
      <c r="O2225">
        <v>16</v>
      </c>
      <c r="P2225">
        <v>5</v>
      </c>
      <c r="Q2225">
        <v>16</v>
      </c>
      <c r="R2225">
        <v>5</v>
      </c>
      <c r="S2225">
        <v>0.23810000000000001</v>
      </c>
      <c r="T2225" t="s">
        <v>60</v>
      </c>
      <c r="U2225" t="s">
        <v>199</v>
      </c>
      <c r="V2225" t="s">
        <v>62</v>
      </c>
      <c r="W2225" t="s">
        <v>62</v>
      </c>
      <c r="X2225">
        <v>5</v>
      </c>
      <c r="Y2225">
        <v>12</v>
      </c>
      <c r="Z2225">
        <v>8</v>
      </c>
      <c r="AA2225">
        <v>0.6</v>
      </c>
      <c r="AB2225">
        <v>0</v>
      </c>
      <c r="AC2225">
        <v>0</v>
      </c>
      <c r="AD2225">
        <v>0</v>
      </c>
      <c r="AE2225">
        <v>2</v>
      </c>
      <c r="AF2225">
        <v>0</v>
      </c>
      <c r="AG2225">
        <v>0</v>
      </c>
      <c r="AH2225">
        <v>0</v>
      </c>
      <c r="AI2225">
        <v>0</v>
      </c>
      <c r="AJ2225">
        <v>10</v>
      </c>
      <c r="AK2225">
        <v>0</v>
      </c>
      <c r="AL2225">
        <v>17</v>
      </c>
      <c r="AM2225">
        <v>17</v>
      </c>
      <c r="AN2225">
        <v>68</v>
      </c>
      <c r="AO2225">
        <v>10</v>
      </c>
      <c r="AP2225">
        <v>66</v>
      </c>
      <c r="AQ2225">
        <v>10</v>
      </c>
      <c r="AR2225" t="s">
        <v>22845</v>
      </c>
      <c r="AS2225" t="s">
        <v>22846</v>
      </c>
      <c r="AT2225">
        <v>1.6E-2</v>
      </c>
      <c r="AU2225" t="s">
        <v>65</v>
      </c>
      <c r="AV2225">
        <v>134</v>
      </c>
      <c r="AW2225">
        <v>20</v>
      </c>
      <c r="AX2225" t="s">
        <v>22847</v>
      </c>
      <c r="AY2225">
        <v>8.9550000000000005E-2</v>
      </c>
      <c r="AZ2225">
        <v>-4.6499999999999996E-3</v>
      </c>
      <c r="BA2225">
        <v>3.0799999999999998E-3</v>
      </c>
      <c r="BB2225">
        <v>-1.2999999999999999E-4</v>
      </c>
      <c r="BC2225">
        <v>3.4410000000000003E-2</v>
      </c>
      <c r="BD2225">
        <v>1</v>
      </c>
      <c r="BE2225" t="s">
        <v>69</v>
      </c>
      <c r="BF2225">
        <v>-1.006</v>
      </c>
      <c r="BG2225">
        <v>-1.107</v>
      </c>
    </row>
    <row r="2226" spans="1:59">
      <c r="A2226">
        <v>2</v>
      </c>
      <c r="B2226">
        <v>0</v>
      </c>
      <c r="C2226">
        <v>1</v>
      </c>
      <c r="D2226" t="s">
        <v>25022</v>
      </c>
      <c r="E2226">
        <v>3344</v>
      </c>
      <c r="F2226" t="s">
        <v>19538</v>
      </c>
      <c r="G2226" t="s">
        <v>62</v>
      </c>
      <c r="H2226">
        <v>3314831</v>
      </c>
      <c r="I2226">
        <v>3316129</v>
      </c>
      <c r="J2226" t="s">
        <v>19539</v>
      </c>
      <c r="K2226">
        <v>433</v>
      </c>
      <c r="L2226" t="s">
        <v>749</v>
      </c>
      <c r="M2226">
        <v>47</v>
      </c>
      <c r="N2226" t="str">
        <f>HYPERLINK("Gene3344-zp_tree_all.dnd", "Gene3344-tree")</f>
        <v>Gene3344-tree</v>
      </c>
      <c r="O2226">
        <v>10</v>
      </c>
      <c r="P2226">
        <v>6</v>
      </c>
      <c r="Q2226">
        <v>10</v>
      </c>
      <c r="R2226">
        <v>6</v>
      </c>
      <c r="S2226">
        <v>0.375</v>
      </c>
      <c r="T2226" t="s">
        <v>117</v>
      </c>
      <c r="U2226" t="s">
        <v>90</v>
      </c>
      <c r="V2226" t="s">
        <v>62</v>
      </c>
      <c r="W2226" t="s">
        <v>62</v>
      </c>
      <c r="X2226">
        <v>1</v>
      </c>
      <c r="Y2226">
        <v>3</v>
      </c>
      <c r="Z2226">
        <v>10</v>
      </c>
      <c r="AA2226">
        <v>0.23077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</v>
      </c>
      <c r="AK2226">
        <v>0</v>
      </c>
      <c r="AL2226">
        <v>14</v>
      </c>
      <c r="AM2226">
        <v>9</v>
      </c>
      <c r="AN2226">
        <v>60</v>
      </c>
      <c r="AO2226">
        <v>10</v>
      </c>
      <c r="AP2226">
        <v>62</v>
      </c>
      <c r="AQ2226">
        <v>3</v>
      </c>
      <c r="AR2226" t="s">
        <v>19540</v>
      </c>
      <c r="AS2226" t="s">
        <v>19541</v>
      </c>
      <c r="AT2226">
        <v>0.443</v>
      </c>
      <c r="AU2226" t="s">
        <v>65</v>
      </c>
      <c r="AV2226">
        <v>122</v>
      </c>
      <c r="AW2226">
        <v>13</v>
      </c>
      <c r="AX2226" t="s">
        <v>19542</v>
      </c>
      <c r="AY2226">
        <v>9.0840000000000004E-2</v>
      </c>
      <c r="AZ2226">
        <v>-8.4799999999999997E-3</v>
      </c>
      <c r="BA2226">
        <v>1.9400000000000001E-3</v>
      </c>
      <c r="BB2226">
        <v>-1.6000000000000001E-4</v>
      </c>
      <c r="BC2226">
        <v>2.1319999999999999E-2</v>
      </c>
      <c r="BD2226">
        <v>1</v>
      </c>
      <c r="BE2226" t="s">
        <v>69</v>
      </c>
      <c r="BF2226">
        <v>-2.04</v>
      </c>
      <c r="BG2226">
        <v>-2.3660000000000001</v>
      </c>
    </row>
    <row r="2227" spans="1:59">
      <c r="A2227">
        <v>0</v>
      </c>
      <c r="B2227">
        <v>0</v>
      </c>
      <c r="C2227">
        <v>0</v>
      </c>
      <c r="D2227" t="s">
        <v>25022</v>
      </c>
      <c r="E2227">
        <v>796</v>
      </c>
      <c r="F2227" t="s">
        <v>4947</v>
      </c>
      <c r="G2227" t="s">
        <v>57</v>
      </c>
      <c r="H2227">
        <v>834383</v>
      </c>
      <c r="I2227">
        <v>835681</v>
      </c>
      <c r="J2227" t="s">
        <v>4948</v>
      </c>
      <c r="K2227">
        <v>433</v>
      </c>
      <c r="L2227" t="s">
        <v>698</v>
      </c>
      <c r="M2227">
        <v>47</v>
      </c>
      <c r="N2227" t="str">
        <f>HYPERLINK("Gene796-zp_tree_all.dnd", "Gene796-tree")</f>
        <v>Gene796-tree</v>
      </c>
      <c r="O2227">
        <v>14</v>
      </c>
      <c r="P2227">
        <v>4</v>
      </c>
      <c r="Q2227">
        <v>14</v>
      </c>
      <c r="R2227">
        <v>4</v>
      </c>
      <c r="S2227">
        <v>0.22222</v>
      </c>
      <c r="T2227" t="s">
        <v>543</v>
      </c>
      <c r="U2227" t="s">
        <v>61</v>
      </c>
      <c r="V2227" t="s">
        <v>62</v>
      </c>
      <c r="W2227" t="s">
        <v>62</v>
      </c>
      <c r="X2227">
        <v>0</v>
      </c>
      <c r="Y2227">
        <v>0</v>
      </c>
      <c r="Z2227">
        <v>6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6</v>
      </c>
      <c r="AK2227">
        <v>0</v>
      </c>
      <c r="AL2227">
        <v>14</v>
      </c>
      <c r="AM2227">
        <v>15</v>
      </c>
      <c r="AN2227">
        <v>63</v>
      </c>
      <c r="AO2227">
        <v>6</v>
      </c>
      <c r="AP2227">
        <v>82</v>
      </c>
      <c r="AQ2227">
        <v>0</v>
      </c>
      <c r="AR2227" t="s">
        <v>4949</v>
      </c>
      <c r="AS2227" t="s">
        <v>193</v>
      </c>
      <c r="AT2227">
        <v>0.95299999999999996</v>
      </c>
      <c r="AU2227" t="s">
        <v>65</v>
      </c>
      <c r="AV2227">
        <v>145</v>
      </c>
      <c r="AW2227">
        <v>6</v>
      </c>
      <c r="AX2227" t="s">
        <v>4950</v>
      </c>
      <c r="AY2227">
        <v>9.1219999999999996E-2</v>
      </c>
      <c r="AZ2227">
        <v>-6.8100000000000001E-3</v>
      </c>
      <c r="BA2227">
        <v>6.8000000000000005E-4</v>
      </c>
      <c r="BB2227">
        <v>-8.0000000000000007E-5</v>
      </c>
      <c r="BC2227">
        <v>7.4900000000000001E-3</v>
      </c>
      <c r="BD2227">
        <v>1</v>
      </c>
      <c r="BE2227" t="s">
        <v>69</v>
      </c>
      <c r="BF2227">
        <v>-1.5169999999999999</v>
      </c>
      <c r="BG2227">
        <v>-1.536</v>
      </c>
    </row>
    <row r="2228" spans="1:59">
      <c r="A2228">
        <v>0</v>
      </c>
      <c r="B2228">
        <v>12</v>
      </c>
      <c r="C2228">
        <v>1</v>
      </c>
      <c r="D2228" t="s">
        <v>25022</v>
      </c>
      <c r="E2228">
        <v>2767</v>
      </c>
      <c r="F2228" t="s">
        <v>15878</v>
      </c>
      <c r="G2228" t="s">
        <v>62</v>
      </c>
      <c r="H2228">
        <v>2718962</v>
      </c>
      <c r="I2228">
        <v>2720263</v>
      </c>
      <c r="J2228" t="s">
        <v>15879</v>
      </c>
      <c r="K2228">
        <v>434</v>
      </c>
      <c r="L2228" t="s">
        <v>108</v>
      </c>
      <c r="M2228">
        <v>44</v>
      </c>
      <c r="N2228" t="str">
        <f>HYPERLINK("Gene2767-zp_tree_all.dnd", "Gene2767-tree")</f>
        <v>Gene2767-tree</v>
      </c>
      <c r="O2228">
        <v>4</v>
      </c>
      <c r="P2228">
        <v>13</v>
      </c>
      <c r="Q2228">
        <v>4</v>
      </c>
      <c r="R2228">
        <v>13</v>
      </c>
      <c r="S2228">
        <v>0.76471</v>
      </c>
      <c r="T2228" t="s">
        <v>61</v>
      </c>
      <c r="U2228" t="s">
        <v>507</v>
      </c>
      <c r="V2228" t="s">
        <v>62</v>
      </c>
      <c r="W2228" t="s">
        <v>62</v>
      </c>
      <c r="X2228">
        <v>5</v>
      </c>
      <c r="Y2228">
        <v>13</v>
      </c>
      <c r="Z2228">
        <v>24</v>
      </c>
      <c r="AA2228">
        <v>0.35135</v>
      </c>
      <c r="AB2228">
        <v>0</v>
      </c>
      <c r="AC2228">
        <v>0</v>
      </c>
      <c r="AD2228">
        <v>0</v>
      </c>
      <c r="AE2228">
        <v>2</v>
      </c>
      <c r="AF2228">
        <v>0</v>
      </c>
      <c r="AG2228">
        <v>6</v>
      </c>
      <c r="AH2228">
        <v>1</v>
      </c>
      <c r="AI2228">
        <v>7</v>
      </c>
      <c r="AJ2228">
        <v>21</v>
      </c>
      <c r="AK2228">
        <v>0.25</v>
      </c>
      <c r="AL2228">
        <v>13</v>
      </c>
      <c r="AM2228">
        <v>10</v>
      </c>
      <c r="AN2228">
        <v>33</v>
      </c>
      <c r="AO2228">
        <v>28</v>
      </c>
      <c r="AP2228">
        <v>16</v>
      </c>
      <c r="AQ2228">
        <v>9</v>
      </c>
      <c r="AR2228" t="s">
        <v>15880</v>
      </c>
      <c r="AS2228" t="s">
        <v>15881</v>
      </c>
      <c r="AT2228">
        <v>0.41099999999999998</v>
      </c>
      <c r="AU2228" t="s">
        <v>65</v>
      </c>
      <c r="AV2228">
        <v>49</v>
      </c>
      <c r="AW2228">
        <v>37</v>
      </c>
      <c r="AX2228" t="s">
        <v>15882</v>
      </c>
      <c r="AY2228">
        <v>3.2390000000000002E-2</v>
      </c>
      <c r="AZ2228">
        <v>-1.74E-3</v>
      </c>
      <c r="BA2228">
        <v>6.4000000000000003E-3</v>
      </c>
      <c r="BB2228">
        <v>-2.5999999999999998E-4</v>
      </c>
      <c r="BC2228">
        <v>0.19772999999999999</v>
      </c>
      <c r="BD2228">
        <v>1</v>
      </c>
      <c r="BE2228" t="s">
        <v>69</v>
      </c>
      <c r="BF2228">
        <v>-1.1499999999999999</v>
      </c>
      <c r="BG2228">
        <v>-3.0950000000000002</v>
      </c>
    </row>
    <row r="2229" spans="1:59">
      <c r="A2229">
        <v>0</v>
      </c>
      <c r="B2229">
        <v>25</v>
      </c>
      <c r="C2229">
        <v>3</v>
      </c>
      <c r="D2229" t="s">
        <v>25022</v>
      </c>
      <c r="E2229">
        <v>3191</v>
      </c>
      <c r="F2229" t="s">
        <v>18572</v>
      </c>
      <c r="G2229" t="s">
        <v>62</v>
      </c>
      <c r="H2229">
        <v>3142957</v>
      </c>
      <c r="I2229">
        <v>3144261</v>
      </c>
      <c r="J2229" t="s">
        <v>18566</v>
      </c>
      <c r="K2229">
        <v>435</v>
      </c>
      <c r="L2229" t="s">
        <v>108</v>
      </c>
      <c r="M2229">
        <v>44</v>
      </c>
      <c r="N2229" t="str">
        <f>HYPERLINK("Gene3191-zp_tree_all.dnd", "Gene3191-tree")</f>
        <v>Gene3191-tree</v>
      </c>
      <c r="O2229">
        <v>4</v>
      </c>
      <c r="P2229">
        <v>11</v>
      </c>
      <c r="Q2229">
        <v>4</v>
      </c>
      <c r="R2229">
        <v>11</v>
      </c>
      <c r="S2229">
        <v>0.73333000000000004</v>
      </c>
      <c r="T2229" t="s">
        <v>61</v>
      </c>
      <c r="U2229" t="s">
        <v>73</v>
      </c>
      <c r="V2229">
        <v>200307210.301</v>
      </c>
      <c r="W2229" t="s">
        <v>267</v>
      </c>
      <c r="X2229">
        <v>10</v>
      </c>
      <c r="Y2229">
        <v>28</v>
      </c>
      <c r="Z2229">
        <v>25</v>
      </c>
      <c r="AA2229">
        <v>0.52829999999999999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13</v>
      </c>
      <c r="AH2229">
        <v>5</v>
      </c>
      <c r="AI2229">
        <v>18</v>
      </c>
      <c r="AJ2229">
        <v>20</v>
      </c>
      <c r="AK2229">
        <v>0.47367999999999999</v>
      </c>
      <c r="AL2229">
        <v>14</v>
      </c>
      <c r="AM2229">
        <v>11</v>
      </c>
      <c r="AN2229">
        <v>35</v>
      </c>
      <c r="AO2229">
        <v>38</v>
      </c>
      <c r="AP2229">
        <v>20</v>
      </c>
      <c r="AQ2229">
        <v>16</v>
      </c>
      <c r="AR2229" t="s">
        <v>18573</v>
      </c>
      <c r="AS2229" t="s">
        <v>18574</v>
      </c>
      <c r="AT2229">
        <v>0.83799999999999997</v>
      </c>
      <c r="AU2229" t="s">
        <v>65</v>
      </c>
      <c r="AV2229">
        <v>55</v>
      </c>
      <c r="AW2229">
        <v>54</v>
      </c>
      <c r="AX2229" t="s">
        <v>18575</v>
      </c>
      <c r="AY2229">
        <v>3.0589999999999999E-2</v>
      </c>
      <c r="AZ2229">
        <v>-1.0399999999999999E-3</v>
      </c>
      <c r="BA2229">
        <v>8.8900000000000003E-3</v>
      </c>
      <c r="BB2229">
        <v>-2.7999999999999998E-4</v>
      </c>
      <c r="BC2229">
        <v>0.29065000000000002</v>
      </c>
      <c r="BD2229">
        <v>1</v>
      </c>
      <c r="BE2229" t="s">
        <v>69</v>
      </c>
      <c r="BF2229">
        <v>-0.93400000000000005</v>
      </c>
      <c r="BG2229">
        <v>-1.07</v>
      </c>
    </row>
    <row r="2230" spans="1:59">
      <c r="A2230">
        <v>0</v>
      </c>
      <c r="B2230">
        <v>4</v>
      </c>
      <c r="C2230">
        <v>0</v>
      </c>
      <c r="D2230" t="s">
        <v>25022</v>
      </c>
      <c r="E2230">
        <v>2891</v>
      </c>
      <c r="F2230" t="s">
        <v>16638</v>
      </c>
      <c r="G2230" t="s">
        <v>62</v>
      </c>
      <c r="H2230">
        <v>2837472</v>
      </c>
      <c r="I2230">
        <v>2838776</v>
      </c>
      <c r="J2230" t="s">
        <v>16639</v>
      </c>
      <c r="K2230">
        <v>435</v>
      </c>
      <c r="L2230" t="s">
        <v>108</v>
      </c>
      <c r="M2230">
        <v>44</v>
      </c>
      <c r="N2230" t="str">
        <f>HYPERLINK("Gene2891-zp_tree_all.dnd", "Gene2891-tree")</f>
        <v>Gene2891-tree</v>
      </c>
      <c r="O2230">
        <v>5</v>
      </c>
      <c r="P2230">
        <v>6</v>
      </c>
      <c r="Q2230">
        <v>5</v>
      </c>
      <c r="R2230">
        <v>6</v>
      </c>
      <c r="S2230">
        <v>0.54544999999999999</v>
      </c>
      <c r="T2230" t="s">
        <v>199</v>
      </c>
      <c r="U2230" t="s">
        <v>90</v>
      </c>
      <c r="V2230" t="s">
        <v>62</v>
      </c>
      <c r="W2230" t="s">
        <v>62</v>
      </c>
      <c r="X2230">
        <v>2</v>
      </c>
      <c r="Y2230">
        <v>4</v>
      </c>
      <c r="Z2230">
        <v>8</v>
      </c>
      <c r="AA2230">
        <v>0.33333000000000002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</v>
      </c>
      <c r="AH2230">
        <v>0</v>
      </c>
      <c r="AI2230">
        <v>2</v>
      </c>
      <c r="AJ2230">
        <v>9</v>
      </c>
      <c r="AK2230">
        <v>0.18182000000000001</v>
      </c>
      <c r="AL2230">
        <v>10</v>
      </c>
      <c r="AM2230">
        <v>6</v>
      </c>
      <c r="AN2230">
        <v>35</v>
      </c>
      <c r="AO2230">
        <v>11</v>
      </c>
      <c r="AP2230">
        <v>11</v>
      </c>
      <c r="AQ2230">
        <v>1</v>
      </c>
      <c r="AR2230" t="s">
        <v>16640</v>
      </c>
      <c r="AS2230" t="s">
        <v>16641</v>
      </c>
      <c r="AT2230">
        <v>0.71699999999999997</v>
      </c>
      <c r="AU2230" t="s">
        <v>65</v>
      </c>
      <c r="AV2230">
        <v>46</v>
      </c>
      <c r="AW2230">
        <v>12</v>
      </c>
      <c r="AX2230" t="s">
        <v>16642</v>
      </c>
      <c r="AY2230">
        <v>3.116E-2</v>
      </c>
      <c r="AZ2230">
        <v>-2.5799999999999998E-3</v>
      </c>
      <c r="BA2230">
        <v>2.2499999999999998E-3</v>
      </c>
      <c r="BB2230">
        <v>-2.2000000000000001E-4</v>
      </c>
      <c r="BC2230">
        <v>7.2319999999999995E-2</v>
      </c>
      <c r="BD2230">
        <v>1</v>
      </c>
      <c r="BE2230" t="s">
        <v>69</v>
      </c>
      <c r="BF2230">
        <v>-1.272</v>
      </c>
      <c r="BG2230">
        <v>-3.0270000000000001</v>
      </c>
    </row>
    <row r="2231" spans="1:59">
      <c r="A2231">
        <v>0</v>
      </c>
      <c r="B2231">
        <v>9</v>
      </c>
      <c r="C2231">
        <v>0</v>
      </c>
      <c r="D2231" t="s">
        <v>25022</v>
      </c>
      <c r="E2231">
        <v>3586</v>
      </c>
      <c r="F2231" t="s">
        <v>21044</v>
      </c>
      <c r="G2231" t="s">
        <v>62</v>
      </c>
      <c r="H2231">
        <v>3553209</v>
      </c>
      <c r="I2231">
        <v>3554513</v>
      </c>
      <c r="J2231" t="s">
        <v>21045</v>
      </c>
      <c r="K2231">
        <v>435</v>
      </c>
      <c r="L2231" t="s">
        <v>21046</v>
      </c>
      <c r="M2231">
        <v>36</v>
      </c>
      <c r="N2231" t="str">
        <f>HYPERLINK("Gene3586-zp_tree_all.dnd", "Gene3586-tree")</f>
        <v>Gene3586-tree</v>
      </c>
      <c r="O2231">
        <v>4</v>
      </c>
      <c r="P2231">
        <v>10</v>
      </c>
      <c r="Q2231">
        <v>4</v>
      </c>
      <c r="R2231">
        <v>10</v>
      </c>
      <c r="S2231">
        <v>0.71428999999999998</v>
      </c>
      <c r="T2231" t="s">
        <v>61</v>
      </c>
      <c r="U2231" t="s">
        <v>117</v>
      </c>
      <c r="V2231" t="s">
        <v>62</v>
      </c>
      <c r="W2231" t="s">
        <v>62</v>
      </c>
      <c r="X2231">
        <v>3</v>
      </c>
      <c r="Y2231">
        <v>9</v>
      </c>
      <c r="Z2231">
        <v>9</v>
      </c>
      <c r="AA2231">
        <v>0.5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5</v>
      </c>
      <c r="AH2231">
        <v>0</v>
      </c>
      <c r="AI2231">
        <v>5</v>
      </c>
      <c r="AJ2231">
        <v>10</v>
      </c>
      <c r="AK2231">
        <v>0.33333000000000002</v>
      </c>
      <c r="AL2231">
        <v>14</v>
      </c>
      <c r="AM2231">
        <v>9</v>
      </c>
      <c r="AN2231">
        <v>51</v>
      </c>
      <c r="AO2231">
        <v>19</v>
      </c>
      <c r="AP2231">
        <v>22</v>
      </c>
      <c r="AQ2231">
        <v>3</v>
      </c>
      <c r="AR2231" t="s">
        <v>21047</v>
      </c>
      <c r="AS2231" t="s">
        <v>21048</v>
      </c>
      <c r="AT2231">
        <v>1.4470000000000001</v>
      </c>
      <c r="AU2231" t="s">
        <v>65</v>
      </c>
      <c r="AV2231">
        <v>73</v>
      </c>
      <c r="AW2231">
        <v>22</v>
      </c>
      <c r="AX2231" t="s">
        <v>21049</v>
      </c>
      <c r="AY2231">
        <v>4.4790000000000003E-2</v>
      </c>
      <c r="AZ2231">
        <v>-1.7700000000000001E-3</v>
      </c>
      <c r="BA2231">
        <v>3.0500000000000002E-3</v>
      </c>
      <c r="BB2231">
        <v>-1.6000000000000001E-4</v>
      </c>
      <c r="BC2231">
        <v>6.8159999999999998E-2</v>
      </c>
      <c r="BD2231">
        <v>1</v>
      </c>
      <c r="BE2231" t="s">
        <v>69</v>
      </c>
      <c r="BF2231">
        <v>-0.30199999999999999</v>
      </c>
      <c r="BG2231">
        <v>-0.7</v>
      </c>
    </row>
    <row r="2232" spans="1:59">
      <c r="A2232">
        <v>0</v>
      </c>
      <c r="B2232">
        <v>0</v>
      </c>
      <c r="C2232">
        <v>0</v>
      </c>
      <c r="D2232" t="s">
        <v>25022</v>
      </c>
      <c r="E2232">
        <v>547</v>
      </c>
      <c r="F2232" t="s">
        <v>3528</v>
      </c>
      <c r="G2232" t="s">
        <v>57</v>
      </c>
      <c r="H2232">
        <v>579889</v>
      </c>
      <c r="I2232">
        <v>581193</v>
      </c>
      <c r="J2232" t="s">
        <v>3529</v>
      </c>
      <c r="K2232">
        <v>435</v>
      </c>
      <c r="L2232" t="s">
        <v>108</v>
      </c>
      <c r="M2232">
        <v>44</v>
      </c>
      <c r="N2232" t="str">
        <f>HYPERLINK("Gene547-zp_tree_all.dnd", "Gene547-tree")</f>
        <v>Gene547-tree</v>
      </c>
      <c r="O2232">
        <v>7</v>
      </c>
      <c r="P2232">
        <v>25</v>
      </c>
      <c r="Q2232">
        <v>7</v>
      </c>
      <c r="R2232">
        <v>3</v>
      </c>
      <c r="S2232">
        <v>0.3</v>
      </c>
      <c r="T2232" t="s">
        <v>152</v>
      </c>
      <c r="U2232" t="s">
        <v>3530</v>
      </c>
      <c r="V2232">
        <v>7.4009999999999998</v>
      </c>
      <c r="W2232" t="s">
        <v>65</v>
      </c>
      <c r="X2232">
        <v>0</v>
      </c>
      <c r="Y2232">
        <v>0</v>
      </c>
      <c r="Z2232">
        <v>11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10</v>
      </c>
      <c r="AK2232">
        <v>0</v>
      </c>
      <c r="AL2232">
        <v>10</v>
      </c>
      <c r="AM2232">
        <v>6</v>
      </c>
      <c r="AN2232">
        <v>53</v>
      </c>
      <c r="AO2232">
        <v>10</v>
      </c>
      <c r="AP2232">
        <v>10</v>
      </c>
      <c r="AQ2232">
        <v>1</v>
      </c>
      <c r="AR2232" t="s">
        <v>3531</v>
      </c>
      <c r="AS2232" t="s">
        <v>3532</v>
      </c>
      <c r="AT2232">
        <v>0.17699999999999999</v>
      </c>
      <c r="AU2232" t="s">
        <v>65</v>
      </c>
      <c r="AV2232">
        <v>63</v>
      </c>
      <c r="AW2232">
        <v>11</v>
      </c>
      <c r="AX2232" t="s">
        <v>3533</v>
      </c>
      <c r="AY2232">
        <v>4.4749999999999998E-2</v>
      </c>
      <c r="AZ2232">
        <v>-4.79E-3</v>
      </c>
      <c r="BA2232">
        <v>2.5799999999999998E-3</v>
      </c>
      <c r="BB2232">
        <v>-4.8000000000000001E-4</v>
      </c>
      <c r="BC2232">
        <v>5.7709999999999997E-2</v>
      </c>
      <c r="BD2232">
        <v>1</v>
      </c>
      <c r="BE2232" t="s">
        <v>69</v>
      </c>
      <c r="BF2232">
        <v>-1.03</v>
      </c>
      <c r="BG2232">
        <v>-2.246</v>
      </c>
    </row>
    <row r="2233" spans="1:59">
      <c r="A2233">
        <v>0</v>
      </c>
      <c r="B2233">
        <v>4</v>
      </c>
      <c r="C2233">
        <v>3</v>
      </c>
      <c r="D2233" t="s">
        <v>25022</v>
      </c>
      <c r="E2233">
        <v>1609</v>
      </c>
      <c r="F2233" t="s">
        <v>10071</v>
      </c>
      <c r="G2233" t="s">
        <v>57</v>
      </c>
      <c r="H2233">
        <v>1619023</v>
      </c>
      <c r="I2233">
        <v>1620327</v>
      </c>
      <c r="J2233" t="s">
        <v>10072</v>
      </c>
      <c r="K2233">
        <v>435</v>
      </c>
      <c r="L2233" t="s">
        <v>108</v>
      </c>
      <c r="M2233">
        <v>44</v>
      </c>
      <c r="N2233" t="str">
        <f>HYPERLINK("Gene1609-zp_tree_all.dnd", "Gene1609-tree")</f>
        <v>Gene1609-tree</v>
      </c>
      <c r="O2233">
        <v>8</v>
      </c>
      <c r="P2233">
        <v>7</v>
      </c>
      <c r="Q2233">
        <v>8</v>
      </c>
      <c r="R2233">
        <v>7</v>
      </c>
      <c r="S2233">
        <v>0.46666999999999997</v>
      </c>
      <c r="T2233" t="s">
        <v>136</v>
      </c>
      <c r="U2233" t="s">
        <v>152</v>
      </c>
      <c r="V2233" t="s">
        <v>62</v>
      </c>
      <c r="W2233" t="s">
        <v>62</v>
      </c>
      <c r="X2233">
        <v>3</v>
      </c>
      <c r="Y2233">
        <v>7</v>
      </c>
      <c r="Z2233">
        <v>7</v>
      </c>
      <c r="AA2233">
        <v>0.5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3</v>
      </c>
      <c r="AI2233">
        <v>3</v>
      </c>
      <c r="AJ2233">
        <v>8</v>
      </c>
      <c r="AK2233">
        <v>0.27272999999999997</v>
      </c>
      <c r="AL2233">
        <v>14</v>
      </c>
      <c r="AM2233">
        <v>11</v>
      </c>
      <c r="AN2233">
        <v>77</v>
      </c>
      <c r="AO2233">
        <v>11</v>
      </c>
      <c r="AP2233">
        <v>57</v>
      </c>
      <c r="AQ2233">
        <v>5</v>
      </c>
      <c r="AR2233" t="s">
        <v>10073</v>
      </c>
      <c r="AS2233" t="s">
        <v>10074</v>
      </c>
      <c r="AT2233">
        <v>0.52</v>
      </c>
      <c r="AU2233" t="s">
        <v>65</v>
      </c>
      <c r="AV2233">
        <v>134</v>
      </c>
      <c r="AW2233">
        <v>16</v>
      </c>
      <c r="AX2233" t="s">
        <v>10075</v>
      </c>
      <c r="AY2233">
        <v>6.6790000000000002E-2</v>
      </c>
      <c r="AZ2233">
        <v>-2.2599999999999999E-3</v>
      </c>
      <c r="BA2233">
        <v>2.8800000000000002E-3</v>
      </c>
      <c r="BB2233">
        <v>-1.7000000000000001E-4</v>
      </c>
      <c r="BC2233">
        <v>4.3139999999999998E-2</v>
      </c>
      <c r="BD2233">
        <v>1</v>
      </c>
      <c r="BE2233" t="s">
        <v>69</v>
      </c>
      <c r="BF2233">
        <v>-3.3000000000000002E-2</v>
      </c>
      <c r="BG2233">
        <v>7.8E-2</v>
      </c>
    </row>
    <row r="2234" spans="1:59">
      <c r="A2234">
        <v>0</v>
      </c>
      <c r="B2234">
        <v>2</v>
      </c>
      <c r="C2234">
        <v>0</v>
      </c>
      <c r="D2234" t="s">
        <v>25022</v>
      </c>
      <c r="E2234">
        <v>1674</v>
      </c>
      <c r="F2234" t="s">
        <v>10485</v>
      </c>
      <c r="G2234" t="s">
        <v>57</v>
      </c>
      <c r="H2234">
        <v>1685812</v>
      </c>
      <c r="I2234">
        <v>1687116</v>
      </c>
      <c r="J2234" t="s">
        <v>10486</v>
      </c>
      <c r="K2234">
        <v>435</v>
      </c>
      <c r="L2234" t="s">
        <v>108</v>
      </c>
      <c r="M2234">
        <v>44</v>
      </c>
      <c r="N2234" t="str">
        <f>HYPERLINK("Gene1674-zp_tree_all.dnd", "Gene1674-tree")</f>
        <v>Gene1674-tree</v>
      </c>
      <c r="O2234">
        <v>7</v>
      </c>
      <c r="P2234">
        <v>7</v>
      </c>
      <c r="Q2234">
        <v>7</v>
      </c>
      <c r="R2234">
        <v>7</v>
      </c>
      <c r="S2234">
        <v>0.5</v>
      </c>
      <c r="T2234" t="s">
        <v>152</v>
      </c>
      <c r="U2234" t="s">
        <v>152</v>
      </c>
      <c r="V2234" t="s">
        <v>62</v>
      </c>
      <c r="W2234" t="s">
        <v>62</v>
      </c>
      <c r="X2234">
        <v>1</v>
      </c>
      <c r="Y2234">
        <v>2</v>
      </c>
      <c r="Z2234">
        <v>5</v>
      </c>
      <c r="AA2234">
        <v>0.28571000000000002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</v>
      </c>
      <c r="AH2234">
        <v>0</v>
      </c>
      <c r="AI2234">
        <v>2</v>
      </c>
      <c r="AJ2234">
        <v>5</v>
      </c>
      <c r="AK2234">
        <v>0.28571000000000002</v>
      </c>
      <c r="AL2234">
        <v>11</v>
      </c>
      <c r="AM2234">
        <v>10</v>
      </c>
      <c r="AN2234">
        <v>39</v>
      </c>
      <c r="AO2234">
        <v>6</v>
      </c>
      <c r="AP2234">
        <v>36</v>
      </c>
      <c r="AQ2234">
        <v>1</v>
      </c>
      <c r="AR2234" t="s">
        <v>10487</v>
      </c>
      <c r="AS2234" t="s">
        <v>10488</v>
      </c>
      <c r="AT2234">
        <v>0.73199999999999998</v>
      </c>
      <c r="AU2234" t="s">
        <v>65</v>
      </c>
      <c r="AV2234">
        <v>75</v>
      </c>
      <c r="AW2234">
        <v>7</v>
      </c>
      <c r="AX2234" t="s">
        <v>10489</v>
      </c>
      <c r="AY2234">
        <v>4.718E-2</v>
      </c>
      <c r="AZ2234">
        <v>-2.64E-3</v>
      </c>
      <c r="BA2234">
        <v>1.08E-3</v>
      </c>
      <c r="BB2234">
        <v>-8.0000000000000007E-5</v>
      </c>
      <c r="BC2234">
        <v>2.282E-2</v>
      </c>
      <c r="BD2234">
        <v>1</v>
      </c>
      <c r="BE2234" t="s">
        <v>69</v>
      </c>
      <c r="BF2234">
        <v>-0.93600000000000005</v>
      </c>
      <c r="BG2234">
        <v>-1.8939999999999999</v>
      </c>
    </row>
    <row r="2235" spans="1:59">
      <c r="A2235">
        <v>0</v>
      </c>
      <c r="B2235">
        <v>9</v>
      </c>
      <c r="C2235">
        <v>0</v>
      </c>
      <c r="D2235" t="s">
        <v>25022</v>
      </c>
      <c r="E2235">
        <v>2055</v>
      </c>
      <c r="F2235" t="s">
        <v>12795</v>
      </c>
      <c r="G2235" t="s">
        <v>62</v>
      </c>
      <c r="H2235">
        <v>2141706</v>
      </c>
      <c r="I2235">
        <v>2143013</v>
      </c>
      <c r="J2235" t="s">
        <v>12796</v>
      </c>
      <c r="K2235">
        <v>436</v>
      </c>
      <c r="L2235" t="s">
        <v>108</v>
      </c>
      <c r="M2235">
        <v>44</v>
      </c>
      <c r="N2235" t="str">
        <f>HYPERLINK("Gene2055-zp_tree_all.dnd", "Gene2055-tree")</f>
        <v>Gene2055-tree</v>
      </c>
      <c r="O2235">
        <v>4</v>
      </c>
      <c r="P2235">
        <v>9</v>
      </c>
      <c r="Q2235">
        <v>4</v>
      </c>
      <c r="R2235">
        <v>9</v>
      </c>
      <c r="S2235">
        <v>0.69230999999999998</v>
      </c>
      <c r="T2235" t="s">
        <v>61</v>
      </c>
      <c r="U2235" t="s">
        <v>135</v>
      </c>
      <c r="V2235" t="s">
        <v>62</v>
      </c>
      <c r="W2235" t="s">
        <v>62</v>
      </c>
      <c r="X2235">
        <v>4</v>
      </c>
      <c r="Y2235">
        <v>9</v>
      </c>
      <c r="Z2235">
        <v>9</v>
      </c>
      <c r="AA2235">
        <v>0.5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8</v>
      </c>
      <c r="AH2235">
        <v>0</v>
      </c>
      <c r="AI2235">
        <v>8</v>
      </c>
      <c r="AJ2235">
        <v>8</v>
      </c>
      <c r="AK2235">
        <v>0.5</v>
      </c>
      <c r="AL2235">
        <v>10</v>
      </c>
      <c r="AM2235">
        <v>9</v>
      </c>
      <c r="AN2235">
        <v>21</v>
      </c>
      <c r="AO2235">
        <v>15</v>
      </c>
      <c r="AP2235">
        <v>11</v>
      </c>
      <c r="AQ2235">
        <v>3</v>
      </c>
      <c r="AR2235" t="s">
        <v>12797</v>
      </c>
      <c r="AS2235" t="s">
        <v>12798</v>
      </c>
      <c r="AT2235">
        <v>1.282</v>
      </c>
      <c r="AU2235" t="s">
        <v>65</v>
      </c>
      <c r="AV2235">
        <v>32</v>
      </c>
      <c r="AW2235">
        <v>18</v>
      </c>
      <c r="AX2235" t="s">
        <v>12799</v>
      </c>
      <c r="AY2235">
        <v>2.4570000000000002E-2</v>
      </c>
      <c r="AZ2235">
        <v>-9.8999999999999999E-4</v>
      </c>
      <c r="BA2235">
        <v>3.0200000000000001E-3</v>
      </c>
      <c r="BB2235">
        <v>-1.6000000000000001E-4</v>
      </c>
      <c r="BC2235">
        <v>0.12279</v>
      </c>
      <c r="BD2235">
        <v>1</v>
      </c>
      <c r="BE2235" t="s">
        <v>69</v>
      </c>
      <c r="BF2235">
        <v>-0.52900000000000003</v>
      </c>
      <c r="BG2235">
        <v>-1.321</v>
      </c>
    </row>
    <row r="2236" spans="1:59">
      <c r="A2236">
        <v>0</v>
      </c>
      <c r="B2236">
        <v>14</v>
      </c>
      <c r="C2236">
        <v>0</v>
      </c>
      <c r="D2236" t="s">
        <v>25022</v>
      </c>
      <c r="E2236">
        <v>3547</v>
      </c>
      <c r="F2236" t="s">
        <v>20789</v>
      </c>
      <c r="G2236" t="s">
        <v>62</v>
      </c>
      <c r="H2236">
        <v>3512501</v>
      </c>
      <c r="I2236">
        <v>3513808</v>
      </c>
      <c r="J2236" t="s">
        <v>20790</v>
      </c>
      <c r="K2236">
        <v>436</v>
      </c>
      <c r="L2236" t="s">
        <v>108</v>
      </c>
      <c r="M2236">
        <v>44</v>
      </c>
      <c r="N2236" t="str">
        <f>HYPERLINK("Gene3547-zp_tree_all.dnd", "Gene3547-tree")</f>
        <v>Gene3547-tree</v>
      </c>
      <c r="O2236">
        <v>9</v>
      </c>
      <c r="P2236">
        <v>8</v>
      </c>
      <c r="Q2236">
        <v>9</v>
      </c>
      <c r="R2236">
        <v>8</v>
      </c>
      <c r="S2236">
        <v>0.47059000000000001</v>
      </c>
      <c r="T2236" t="s">
        <v>135</v>
      </c>
      <c r="U2236" t="s">
        <v>136</v>
      </c>
      <c r="V2236" t="s">
        <v>62</v>
      </c>
      <c r="W2236" t="s">
        <v>62</v>
      </c>
      <c r="X2236">
        <v>4</v>
      </c>
      <c r="Y2236">
        <v>14</v>
      </c>
      <c r="Z2236">
        <v>19</v>
      </c>
      <c r="AA2236">
        <v>0.42424000000000001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</v>
      </c>
      <c r="AH2236">
        <v>0</v>
      </c>
      <c r="AI2236">
        <v>2</v>
      </c>
      <c r="AJ2236">
        <v>16</v>
      </c>
      <c r="AK2236">
        <v>0.11111</v>
      </c>
      <c r="AL2236">
        <v>16</v>
      </c>
      <c r="AM2236">
        <v>13</v>
      </c>
      <c r="AN2236">
        <v>56</v>
      </c>
      <c r="AO2236">
        <v>19</v>
      </c>
      <c r="AP2236">
        <v>38</v>
      </c>
      <c r="AQ2236">
        <v>15</v>
      </c>
      <c r="AR2236" t="s">
        <v>20791</v>
      </c>
      <c r="AS2236" t="s">
        <v>20792</v>
      </c>
      <c r="AT2236">
        <v>0.18099999999999999</v>
      </c>
      <c r="AU2236" t="s">
        <v>65</v>
      </c>
      <c r="AV2236">
        <v>94</v>
      </c>
      <c r="AW2236">
        <v>34</v>
      </c>
      <c r="AX2236" t="s">
        <v>20793</v>
      </c>
      <c r="AY2236">
        <v>4.7989999999999998E-2</v>
      </c>
      <c r="AZ2236">
        <v>-1.7799999999999999E-3</v>
      </c>
      <c r="BA2236">
        <v>5.6600000000000001E-3</v>
      </c>
      <c r="BB2236">
        <v>-2.7999999999999998E-4</v>
      </c>
      <c r="BC2236">
        <v>0.11799</v>
      </c>
      <c r="BD2236">
        <v>1</v>
      </c>
      <c r="BE2236" t="s">
        <v>69</v>
      </c>
      <c r="BF2236">
        <v>-0.41599999999999998</v>
      </c>
      <c r="BG2236">
        <v>-1.7569999999999999</v>
      </c>
    </row>
    <row r="2237" spans="1:59">
      <c r="A2237">
        <v>0</v>
      </c>
      <c r="B2237">
        <v>0</v>
      </c>
      <c r="C2237">
        <v>0</v>
      </c>
      <c r="D2237" t="s">
        <v>25022</v>
      </c>
      <c r="E2237">
        <v>519</v>
      </c>
      <c r="F2237" t="s">
        <v>3360</v>
      </c>
      <c r="G2237" t="s">
        <v>57</v>
      </c>
      <c r="H2237">
        <v>554669</v>
      </c>
      <c r="I2237">
        <v>555976</v>
      </c>
      <c r="J2237" t="s">
        <v>1123</v>
      </c>
      <c r="K2237">
        <v>436</v>
      </c>
      <c r="L2237" t="s">
        <v>3340</v>
      </c>
      <c r="M2237">
        <v>24</v>
      </c>
      <c r="N2237" t="str">
        <f>HYPERLINK("Gene519-zp_tree_all.dnd", "Gene519-tree")</f>
        <v>Gene519-tree</v>
      </c>
      <c r="O2237">
        <v>2</v>
      </c>
      <c r="P2237">
        <v>3</v>
      </c>
      <c r="Q2237">
        <v>2</v>
      </c>
      <c r="R2237">
        <v>3</v>
      </c>
      <c r="S2237">
        <v>0.6</v>
      </c>
      <c r="T2237" t="s">
        <v>81</v>
      </c>
      <c r="U2237" t="s">
        <v>324</v>
      </c>
      <c r="V2237" t="s">
        <v>62</v>
      </c>
      <c r="W2237" t="s">
        <v>62</v>
      </c>
      <c r="X2237">
        <v>0</v>
      </c>
      <c r="Y2237">
        <v>0</v>
      </c>
      <c r="Z2237">
        <v>16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12</v>
      </c>
      <c r="AK2237">
        <v>0</v>
      </c>
      <c r="AL2237">
        <v>5</v>
      </c>
      <c r="AM2237">
        <v>2</v>
      </c>
      <c r="AN2237">
        <v>33</v>
      </c>
      <c r="AO2237">
        <v>12</v>
      </c>
      <c r="AP2237">
        <v>20</v>
      </c>
      <c r="AQ2237">
        <v>4</v>
      </c>
      <c r="AR2237" t="s">
        <v>3361</v>
      </c>
      <c r="AS2237" t="s">
        <v>3362</v>
      </c>
      <c r="AT2237">
        <v>0.34499999999999997</v>
      </c>
      <c r="AU2237" t="s">
        <v>65</v>
      </c>
      <c r="AV2237">
        <v>53</v>
      </c>
      <c r="AW2237">
        <v>16</v>
      </c>
      <c r="AX2237" t="s">
        <v>3363</v>
      </c>
      <c r="AY2237">
        <v>8.0140000000000003E-2</v>
      </c>
      <c r="AZ2237">
        <v>-1.495E-2</v>
      </c>
      <c r="BA2237">
        <v>7.62E-3</v>
      </c>
      <c r="BB2237">
        <v>-1.5E-3</v>
      </c>
      <c r="BC2237">
        <v>9.5049999999999996E-2</v>
      </c>
      <c r="BD2237">
        <v>1</v>
      </c>
      <c r="BE2237" t="s">
        <v>69</v>
      </c>
      <c r="BF2237">
        <v>-2.2229999999999999</v>
      </c>
      <c r="BG2237">
        <v>-2.1240000000000001</v>
      </c>
    </row>
    <row r="2238" spans="1:59">
      <c r="A2238">
        <v>0</v>
      </c>
      <c r="B2238">
        <v>5</v>
      </c>
      <c r="C2238">
        <v>1</v>
      </c>
      <c r="D2238" t="s">
        <v>25022</v>
      </c>
      <c r="E2238">
        <v>396</v>
      </c>
      <c r="F2238" t="s">
        <v>2681</v>
      </c>
      <c r="G2238" t="s">
        <v>57</v>
      </c>
      <c r="H2238">
        <v>441571</v>
      </c>
      <c r="I2238">
        <v>442878</v>
      </c>
      <c r="J2238" t="s">
        <v>2682</v>
      </c>
      <c r="K2238">
        <v>436</v>
      </c>
      <c r="L2238" t="s">
        <v>108</v>
      </c>
      <c r="M2238">
        <v>44</v>
      </c>
      <c r="N2238" t="str">
        <f>HYPERLINK("Gene396-zp_tree_all.dnd", "Gene396-tree")</f>
        <v>Gene396-tree</v>
      </c>
      <c r="O2238">
        <v>25</v>
      </c>
      <c r="P2238">
        <v>8</v>
      </c>
      <c r="Q2238">
        <v>7</v>
      </c>
      <c r="R2238">
        <v>8</v>
      </c>
      <c r="S2238">
        <v>0.53332999999999997</v>
      </c>
      <c r="T2238" t="s">
        <v>2683</v>
      </c>
      <c r="U2238" t="s">
        <v>136</v>
      </c>
      <c r="V2238" t="s">
        <v>62</v>
      </c>
      <c r="W2238" t="s">
        <v>62</v>
      </c>
      <c r="X2238">
        <v>2</v>
      </c>
      <c r="Y2238">
        <v>6</v>
      </c>
      <c r="Z2238">
        <v>15</v>
      </c>
      <c r="AA2238">
        <v>0.28571000000000002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2</v>
      </c>
      <c r="AI2238">
        <v>2</v>
      </c>
      <c r="AJ2238">
        <v>12</v>
      </c>
      <c r="AK2238">
        <v>0.14285999999999999</v>
      </c>
      <c r="AL2238">
        <v>14</v>
      </c>
      <c r="AM2238">
        <v>11</v>
      </c>
      <c r="AN2238">
        <v>62</v>
      </c>
      <c r="AO2238">
        <v>15</v>
      </c>
      <c r="AP2238">
        <v>42</v>
      </c>
      <c r="AQ2238">
        <v>7</v>
      </c>
      <c r="AR2238" t="s">
        <v>2684</v>
      </c>
      <c r="AS2238" t="s">
        <v>2685</v>
      </c>
      <c r="AT2238">
        <v>0.45700000000000002</v>
      </c>
      <c r="AU2238" t="s">
        <v>65</v>
      </c>
      <c r="AV2238">
        <v>104</v>
      </c>
      <c r="AW2238">
        <v>22</v>
      </c>
      <c r="AX2238" t="s">
        <v>2686</v>
      </c>
      <c r="AY2238">
        <v>5.5530000000000003E-2</v>
      </c>
      <c r="AZ2238">
        <v>-1.7600000000000001E-3</v>
      </c>
      <c r="BA2238">
        <v>3.5000000000000001E-3</v>
      </c>
      <c r="BB2238">
        <v>-1.7000000000000001E-4</v>
      </c>
      <c r="BC2238">
        <v>6.3030000000000003E-2</v>
      </c>
      <c r="BD2238">
        <v>1</v>
      </c>
      <c r="BE2238" t="s">
        <v>69</v>
      </c>
      <c r="BF2238">
        <v>-0.56399999999999995</v>
      </c>
      <c r="BG2238">
        <v>-0.879</v>
      </c>
    </row>
    <row r="2239" spans="1:59">
      <c r="A2239">
        <v>0</v>
      </c>
      <c r="B2239">
        <v>7</v>
      </c>
      <c r="C2239">
        <v>0</v>
      </c>
      <c r="D2239" t="s">
        <v>25022</v>
      </c>
      <c r="E2239">
        <v>3156</v>
      </c>
      <c r="F2239" t="s">
        <v>18339</v>
      </c>
      <c r="G2239" t="s">
        <v>62</v>
      </c>
      <c r="H2239">
        <v>3113982</v>
      </c>
      <c r="I2239">
        <v>3115289</v>
      </c>
      <c r="J2239" t="s">
        <v>18340</v>
      </c>
      <c r="K2239">
        <v>436</v>
      </c>
      <c r="L2239" t="s">
        <v>108</v>
      </c>
      <c r="M2239">
        <v>44</v>
      </c>
      <c r="N2239" t="str">
        <f>HYPERLINK("Gene3156-zp_tree_all.dnd", "Gene3156-tree")</f>
        <v>Gene3156-tree</v>
      </c>
      <c r="O2239">
        <v>9</v>
      </c>
      <c r="P2239">
        <v>6</v>
      </c>
      <c r="Q2239">
        <v>9</v>
      </c>
      <c r="R2239">
        <v>6</v>
      </c>
      <c r="S2239">
        <v>0.4</v>
      </c>
      <c r="T2239" t="s">
        <v>135</v>
      </c>
      <c r="U2239" t="s">
        <v>90</v>
      </c>
      <c r="V2239" t="s">
        <v>62</v>
      </c>
      <c r="W2239" t="s">
        <v>62</v>
      </c>
      <c r="X2239">
        <v>3</v>
      </c>
      <c r="Y2239">
        <v>7</v>
      </c>
      <c r="Z2239">
        <v>9</v>
      </c>
      <c r="AA2239">
        <v>0.4375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8</v>
      </c>
      <c r="AK2239">
        <v>0</v>
      </c>
      <c r="AL2239">
        <v>15</v>
      </c>
      <c r="AM2239">
        <v>10</v>
      </c>
      <c r="AN2239">
        <v>48</v>
      </c>
      <c r="AO2239">
        <v>8</v>
      </c>
      <c r="AP2239">
        <v>36</v>
      </c>
      <c r="AQ2239">
        <v>8</v>
      </c>
      <c r="AR2239" t="s">
        <v>18341</v>
      </c>
      <c r="AS2239" t="s">
        <v>18342</v>
      </c>
      <c r="AT2239">
        <v>0.23200000000000001</v>
      </c>
      <c r="AU2239" t="s">
        <v>65</v>
      </c>
      <c r="AV2239">
        <v>84</v>
      </c>
      <c r="AW2239">
        <v>16</v>
      </c>
      <c r="AX2239" t="s">
        <v>18343</v>
      </c>
      <c r="AY2239">
        <v>5.5280000000000003E-2</v>
      </c>
      <c r="AZ2239">
        <v>-2.33E-3</v>
      </c>
      <c r="BA2239">
        <v>2.8400000000000001E-3</v>
      </c>
      <c r="BB2239">
        <v>-1.7000000000000001E-4</v>
      </c>
      <c r="BC2239">
        <v>5.1360000000000003E-2</v>
      </c>
      <c r="BD2239">
        <v>1</v>
      </c>
      <c r="BE2239" t="s">
        <v>69</v>
      </c>
      <c r="BF2239">
        <v>0.16600000000000001</v>
      </c>
      <c r="BG2239">
        <v>0.3</v>
      </c>
    </row>
    <row r="2240" spans="1:59">
      <c r="A2240">
        <v>0</v>
      </c>
      <c r="B2240">
        <v>2</v>
      </c>
      <c r="C2240">
        <v>0</v>
      </c>
      <c r="D2240" t="s">
        <v>25022</v>
      </c>
      <c r="E2240">
        <v>2378</v>
      </c>
      <c r="F2240" t="s">
        <v>13833</v>
      </c>
      <c r="G2240" t="s">
        <v>62</v>
      </c>
      <c r="H2240">
        <v>2390209</v>
      </c>
      <c r="I2240">
        <v>2391516</v>
      </c>
      <c r="J2240" t="s">
        <v>13834</v>
      </c>
      <c r="K2240">
        <v>436</v>
      </c>
      <c r="L2240" t="s">
        <v>108</v>
      </c>
      <c r="M2240">
        <v>44</v>
      </c>
      <c r="N2240" t="str">
        <f>HYPERLINK("Gene2378-zp_tree_all.dnd", "Gene2378-tree")</f>
        <v>Gene2378-tree</v>
      </c>
      <c r="O2240">
        <v>7</v>
      </c>
      <c r="P2240">
        <v>5</v>
      </c>
      <c r="Q2240">
        <v>7</v>
      </c>
      <c r="R2240">
        <v>5</v>
      </c>
      <c r="S2240">
        <v>0.41666999999999998</v>
      </c>
      <c r="T2240" t="s">
        <v>152</v>
      </c>
      <c r="U2240" t="s">
        <v>199</v>
      </c>
      <c r="V2240" t="s">
        <v>62</v>
      </c>
      <c r="W2240" t="s">
        <v>62</v>
      </c>
      <c r="X2240">
        <v>1</v>
      </c>
      <c r="Y2240">
        <v>2</v>
      </c>
      <c r="Z2240">
        <v>6</v>
      </c>
      <c r="AA2240">
        <v>0.25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</v>
      </c>
      <c r="AH2240">
        <v>0</v>
      </c>
      <c r="AI2240">
        <v>2</v>
      </c>
      <c r="AJ2240">
        <v>5</v>
      </c>
      <c r="AK2240">
        <v>0.28571000000000002</v>
      </c>
      <c r="AL2240">
        <v>10</v>
      </c>
      <c r="AM2240">
        <v>8</v>
      </c>
      <c r="AN2240">
        <v>36</v>
      </c>
      <c r="AO2240">
        <v>7</v>
      </c>
      <c r="AP2240">
        <v>32</v>
      </c>
      <c r="AQ2240">
        <v>1</v>
      </c>
      <c r="AR2240" t="s">
        <v>13835</v>
      </c>
      <c r="AS2240" t="s">
        <v>13836</v>
      </c>
      <c r="AT2240">
        <v>1.2969999999999999</v>
      </c>
      <c r="AU2240" t="s">
        <v>65</v>
      </c>
      <c r="AV2240">
        <v>68</v>
      </c>
      <c r="AW2240">
        <v>8</v>
      </c>
      <c r="AX2240" t="s">
        <v>13837</v>
      </c>
      <c r="AY2240">
        <v>5.178E-2</v>
      </c>
      <c r="AZ2240">
        <v>-2.2399999999999998E-3</v>
      </c>
      <c r="BA2240">
        <v>1.6800000000000001E-3</v>
      </c>
      <c r="BB2240">
        <v>-1E-4</v>
      </c>
      <c r="BC2240">
        <v>3.2390000000000002E-2</v>
      </c>
      <c r="BD2240">
        <v>1</v>
      </c>
      <c r="BE2240" t="s">
        <v>69</v>
      </c>
      <c r="BF2240">
        <v>0.18</v>
      </c>
      <c r="BG2240">
        <v>-1.0289999999999999</v>
      </c>
    </row>
    <row r="2241" spans="1:59">
      <c r="A2241">
        <v>0</v>
      </c>
      <c r="B2241">
        <v>3</v>
      </c>
      <c r="C2241">
        <v>0</v>
      </c>
      <c r="D2241" t="s">
        <v>25022</v>
      </c>
      <c r="E2241">
        <v>3811</v>
      </c>
      <c r="F2241" t="s">
        <v>22331</v>
      </c>
      <c r="G2241" t="s">
        <v>62</v>
      </c>
      <c r="H2241">
        <v>3777952</v>
      </c>
      <c r="I2241">
        <v>3779259</v>
      </c>
      <c r="J2241" t="s">
        <v>22332</v>
      </c>
      <c r="K2241">
        <v>436</v>
      </c>
      <c r="L2241" t="s">
        <v>59</v>
      </c>
      <c r="M2241">
        <v>49</v>
      </c>
      <c r="N2241" t="str">
        <f>HYPERLINK("Gene3811-zp_tree_all.dnd", "Gene3811-tree")</f>
        <v>Gene3811-tree</v>
      </c>
      <c r="O2241">
        <v>14</v>
      </c>
      <c r="P2241">
        <v>3</v>
      </c>
      <c r="Q2241">
        <v>14</v>
      </c>
      <c r="R2241">
        <v>3</v>
      </c>
      <c r="S2241">
        <v>0.17646999999999999</v>
      </c>
      <c r="T2241" t="s">
        <v>543</v>
      </c>
      <c r="U2241" t="s">
        <v>324</v>
      </c>
      <c r="V2241" t="s">
        <v>62</v>
      </c>
      <c r="W2241" t="s">
        <v>62</v>
      </c>
      <c r="X2241">
        <v>1</v>
      </c>
      <c r="Y2241">
        <v>3</v>
      </c>
      <c r="Z2241">
        <v>5</v>
      </c>
      <c r="AA2241">
        <v>0.375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2</v>
      </c>
      <c r="AH2241">
        <v>0</v>
      </c>
      <c r="AI2241">
        <v>2</v>
      </c>
      <c r="AJ2241">
        <v>3</v>
      </c>
      <c r="AK2241">
        <v>0.4</v>
      </c>
      <c r="AL2241">
        <v>13</v>
      </c>
      <c r="AM2241">
        <v>11</v>
      </c>
      <c r="AN2241">
        <v>30</v>
      </c>
      <c r="AO2241">
        <v>5</v>
      </c>
      <c r="AP2241">
        <v>50</v>
      </c>
      <c r="AQ2241">
        <v>3</v>
      </c>
      <c r="AR2241" t="s">
        <v>22333</v>
      </c>
      <c r="AS2241" t="s">
        <v>22334</v>
      </c>
      <c r="AT2241">
        <v>0.45900000000000002</v>
      </c>
      <c r="AU2241" t="s">
        <v>65</v>
      </c>
      <c r="AV2241">
        <v>80</v>
      </c>
      <c r="AW2241">
        <v>8</v>
      </c>
      <c r="AX2241" t="s">
        <v>22335</v>
      </c>
      <c r="AY2241">
        <v>6.9129999999999997E-2</v>
      </c>
      <c r="AZ2241">
        <v>-5.0499999999999998E-3</v>
      </c>
      <c r="BA2241">
        <v>1.6999999999999999E-3</v>
      </c>
      <c r="BB2241">
        <v>-1.1E-4</v>
      </c>
      <c r="BC2241">
        <v>2.462E-2</v>
      </c>
      <c r="BD2241">
        <v>1</v>
      </c>
      <c r="BE2241" t="s">
        <v>69</v>
      </c>
      <c r="BF2241">
        <v>-1.391</v>
      </c>
      <c r="BG2241">
        <v>-0.9</v>
      </c>
    </row>
    <row r="2242" spans="1:59">
      <c r="A2242">
        <v>0</v>
      </c>
      <c r="B2242">
        <v>2</v>
      </c>
      <c r="C2242">
        <v>3</v>
      </c>
      <c r="D2242" t="s">
        <v>25022</v>
      </c>
      <c r="E2242">
        <v>40</v>
      </c>
      <c r="F2242" t="s">
        <v>354</v>
      </c>
      <c r="G2242" t="s">
        <v>57</v>
      </c>
      <c r="H2242">
        <v>48629</v>
      </c>
      <c r="I2242">
        <v>49939</v>
      </c>
      <c r="J2242" t="s">
        <v>355</v>
      </c>
      <c r="K2242">
        <v>437</v>
      </c>
      <c r="L2242" t="s">
        <v>59</v>
      </c>
      <c r="M2242">
        <v>49</v>
      </c>
      <c r="N2242" t="str">
        <f>HYPERLINK("Gene40-zp_tree_all.dnd", "Gene40-tree")</f>
        <v>Gene40-tree</v>
      </c>
      <c r="O2242">
        <v>10</v>
      </c>
      <c r="P2242">
        <v>10</v>
      </c>
      <c r="Q2242">
        <v>10</v>
      </c>
      <c r="R2242">
        <v>10</v>
      </c>
      <c r="S2242">
        <v>0.5</v>
      </c>
      <c r="T2242" t="s">
        <v>117</v>
      </c>
      <c r="U2242" t="s">
        <v>117</v>
      </c>
      <c r="V2242" t="s">
        <v>62</v>
      </c>
      <c r="W2242" t="s">
        <v>62</v>
      </c>
      <c r="X2242">
        <v>2</v>
      </c>
      <c r="Y2242">
        <v>5</v>
      </c>
      <c r="Z2242">
        <v>23</v>
      </c>
      <c r="AA2242">
        <v>0.17857000000000001</v>
      </c>
      <c r="AB2242">
        <v>0</v>
      </c>
      <c r="AC2242">
        <v>0</v>
      </c>
      <c r="AD2242">
        <v>0</v>
      </c>
      <c r="AE2242">
        <v>2</v>
      </c>
      <c r="AF2242">
        <v>0</v>
      </c>
      <c r="AG2242">
        <v>0</v>
      </c>
      <c r="AH2242">
        <v>0</v>
      </c>
      <c r="AI2242">
        <v>0</v>
      </c>
      <c r="AJ2242">
        <v>15</v>
      </c>
      <c r="AK2242">
        <v>0</v>
      </c>
      <c r="AL2242">
        <v>18</v>
      </c>
      <c r="AM2242">
        <v>12</v>
      </c>
      <c r="AN2242">
        <v>30</v>
      </c>
      <c r="AO2242">
        <v>15</v>
      </c>
      <c r="AP2242">
        <v>49</v>
      </c>
      <c r="AQ2242">
        <v>13</v>
      </c>
      <c r="AR2242" t="s">
        <v>356</v>
      </c>
      <c r="AS2242" t="s">
        <v>357</v>
      </c>
      <c r="AT2242">
        <v>0.72399999999999998</v>
      </c>
      <c r="AU2242" t="s">
        <v>65</v>
      </c>
      <c r="AV2242">
        <v>79</v>
      </c>
      <c r="AW2242">
        <v>28</v>
      </c>
      <c r="AX2242" t="s">
        <v>358</v>
      </c>
      <c r="AY2242">
        <v>6.012E-2</v>
      </c>
      <c r="AZ2242">
        <v>-3.8899999999999998E-3</v>
      </c>
      <c r="BA2242">
        <v>4.5599999999999998E-3</v>
      </c>
      <c r="BB2242">
        <v>-2.5000000000000001E-4</v>
      </c>
      <c r="BC2242">
        <v>7.5789999999999996E-2</v>
      </c>
      <c r="BD2242">
        <v>1</v>
      </c>
      <c r="BE2242" t="s">
        <v>69</v>
      </c>
      <c r="BF2242">
        <v>-1.7330000000000001</v>
      </c>
      <c r="BG2242">
        <v>-1.087</v>
      </c>
    </row>
    <row r="2243" spans="1:59">
      <c r="A2243">
        <v>0</v>
      </c>
      <c r="B2243">
        <v>6</v>
      </c>
      <c r="C2243">
        <v>2</v>
      </c>
      <c r="D2243" t="s">
        <v>25022</v>
      </c>
      <c r="E2243">
        <v>2642</v>
      </c>
      <c r="F2243" t="s">
        <v>15481</v>
      </c>
      <c r="G2243" t="s">
        <v>62</v>
      </c>
      <c r="H2243">
        <v>2618469</v>
      </c>
      <c r="I2243">
        <v>2619779</v>
      </c>
      <c r="J2243" t="s">
        <v>15482</v>
      </c>
      <c r="K2243">
        <v>437</v>
      </c>
      <c r="L2243" t="s">
        <v>108</v>
      </c>
      <c r="M2243">
        <v>44</v>
      </c>
      <c r="N2243" t="str">
        <f>HYPERLINK("Gene2642-zp_tree_all.dnd", "Gene2642-tree")</f>
        <v>Gene2642-tree</v>
      </c>
      <c r="O2243">
        <v>7</v>
      </c>
      <c r="P2243">
        <v>8</v>
      </c>
      <c r="Q2243">
        <v>7</v>
      </c>
      <c r="R2243">
        <v>8</v>
      </c>
      <c r="S2243">
        <v>0.53332999999999997</v>
      </c>
      <c r="T2243" t="s">
        <v>152</v>
      </c>
      <c r="U2243" t="s">
        <v>136</v>
      </c>
      <c r="V2243" t="s">
        <v>62</v>
      </c>
      <c r="W2243" t="s">
        <v>62</v>
      </c>
      <c r="X2243">
        <v>4</v>
      </c>
      <c r="Y2243">
        <v>8</v>
      </c>
      <c r="Z2243">
        <v>22</v>
      </c>
      <c r="AA2243">
        <v>0.26667000000000002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4</v>
      </c>
      <c r="AH2243">
        <v>2</v>
      </c>
      <c r="AI2243">
        <v>6</v>
      </c>
      <c r="AJ2243">
        <v>23</v>
      </c>
      <c r="AK2243">
        <v>0.2069</v>
      </c>
      <c r="AL2243">
        <v>12</v>
      </c>
      <c r="AM2243">
        <v>12</v>
      </c>
      <c r="AN2243">
        <v>81</v>
      </c>
      <c r="AO2243">
        <v>29</v>
      </c>
      <c r="AP2243">
        <v>46</v>
      </c>
      <c r="AQ2243">
        <v>1</v>
      </c>
      <c r="AR2243" t="s">
        <v>15483</v>
      </c>
      <c r="AS2243" t="s">
        <v>15484</v>
      </c>
      <c r="AT2243">
        <v>0.92400000000000004</v>
      </c>
      <c r="AU2243" t="s">
        <v>65</v>
      </c>
      <c r="AV2243">
        <v>127</v>
      </c>
      <c r="AW2243">
        <v>30</v>
      </c>
      <c r="AX2243" t="s">
        <v>15485</v>
      </c>
      <c r="AY2243">
        <v>6.7040000000000002E-2</v>
      </c>
      <c r="AZ2243">
        <v>-3.62E-3</v>
      </c>
      <c r="BA2243">
        <v>4.3E-3</v>
      </c>
      <c r="BB2243">
        <v>-4.2000000000000002E-4</v>
      </c>
      <c r="BC2243">
        <v>6.4119999999999996E-2</v>
      </c>
      <c r="BD2243">
        <v>1</v>
      </c>
      <c r="BE2243" t="s">
        <v>69</v>
      </c>
      <c r="BF2243">
        <v>-1.236</v>
      </c>
      <c r="BG2243">
        <v>-3.2029999999999998</v>
      </c>
    </row>
    <row r="2244" spans="1:59">
      <c r="A2244">
        <v>0</v>
      </c>
      <c r="B2244">
        <v>6</v>
      </c>
      <c r="C2244">
        <v>1</v>
      </c>
      <c r="D2244" t="s">
        <v>25022</v>
      </c>
      <c r="E2244">
        <v>3390</v>
      </c>
      <c r="F2244" t="s">
        <v>19827</v>
      </c>
      <c r="G2244" t="s">
        <v>62</v>
      </c>
      <c r="H2244">
        <v>3358667</v>
      </c>
      <c r="I2244">
        <v>3359977</v>
      </c>
      <c r="J2244" t="s">
        <v>19828</v>
      </c>
      <c r="K2244">
        <v>437</v>
      </c>
      <c r="L2244" t="s">
        <v>59</v>
      </c>
      <c r="M2244">
        <v>49</v>
      </c>
      <c r="N2244" t="str">
        <f>HYPERLINK("Gene3390-zp_tree_all.dnd", "Gene3390-tree")</f>
        <v>Gene3390-tree</v>
      </c>
      <c r="O2244">
        <v>13</v>
      </c>
      <c r="P2244">
        <v>7</v>
      </c>
      <c r="Q2244">
        <v>13</v>
      </c>
      <c r="R2244">
        <v>7</v>
      </c>
      <c r="S2244">
        <v>0.35</v>
      </c>
      <c r="T2244" t="s">
        <v>507</v>
      </c>
      <c r="U2244" t="s">
        <v>152</v>
      </c>
      <c r="V2244" t="s">
        <v>62</v>
      </c>
      <c r="W2244" t="s">
        <v>62</v>
      </c>
      <c r="X2244">
        <v>2</v>
      </c>
      <c r="Y2244">
        <v>7</v>
      </c>
      <c r="Z2244">
        <v>9</v>
      </c>
      <c r="AA2244">
        <v>0.4375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2</v>
      </c>
      <c r="AI2244">
        <v>2</v>
      </c>
      <c r="AJ2244">
        <v>7</v>
      </c>
      <c r="AK2244">
        <v>0.22222</v>
      </c>
      <c r="AL2244">
        <v>18</v>
      </c>
      <c r="AM2244">
        <v>13</v>
      </c>
      <c r="AN2244">
        <v>57</v>
      </c>
      <c r="AO2244">
        <v>8</v>
      </c>
      <c r="AP2244">
        <v>61</v>
      </c>
      <c r="AQ2244">
        <v>8</v>
      </c>
      <c r="AR2244" t="s">
        <v>19829</v>
      </c>
      <c r="AS2244" t="s">
        <v>19830</v>
      </c>
      <c r="AT2244">
        <v>7.2999999999999995E-2</v>
      </c>
      <c r="AU2244" t="s">
        <v>65</v>
      </c>
      <c r="AV2244">
        <v>118</v>
      </c>
      <c r="AW2244">
        <v>16</v>
      </c>
      <c r="AX2244" t="s">
        <v>19831</v>
      </c>
      <c r="AY2244">
        <v>7.5120000000000006E-2</v>
      </c>
      <c r="AZ2244">
        <v>-4.13E-3</v>
      </c>
      <c r="BA2244">
        <v>2.5999999999999999E-3</v>
      </c>
      <c r="BB2244">
        <v>-1.2E-4</v>
      </c>
      <c r="BC2244">
        <v>3.4660000000000003E-2</v>
      </c>
      <c r="BD2244">
        <v>1</v>
      </c>
      <c r="BE2244" t="s">
        <v>69</v>
      </c>
      <c r="BF2244">
        <v>-1.49</v>
      </c>
      <c r="BG2244">
        <v>-1.022</v>
      </c>
    </row>
    <row r="2245" spans="1:59">
      <c r="A2245">
        <v>0</v>
      </c>
      <c r="B2245">
        <v>4</v>
      </c>
      <c r="C2245">
        <v>0</v>
      </c>
      <c r="D2245" t="s">
        <v>25022</v>
      </c>
      <c r="E2245">
        <v>2797</v>
      </c>
      <c r="F2245" t="s">
        <v>16030</v>
      </c>
      <c r="G2245" t="s">
        <v>62</v>
      </c>
      <c r="H2245">
        <v>2744166</v>
      </c>
      <c r="I2245">
        <v>2745479</v>
      </c>
      <c r="J2245" t="s">
        <v>16031</v>
      </c>
      <c r="K2245">
        <v>438</v>
      </c>
      <c r="L2245" t="s">
        <v>16032</v>
      </c>
      <c r="M2245">
        <v>29</v>
      </c>
      <c r="N2245" t="str">
        <f>HYPERLINK("Gene2797-zp_tree_all.dnd", "Gene2797-tree")</f>
        <v>Gene2797-tree</v>
      </c>
      <c r="O2245">
        <v>3</v>
      </c>
      <c r="P2245">
        <v>6</v>
      </c>
      <c r="Q2245">
        <v>3</v>
      </c>
      <c r="R2245">
        <v>6</v>
      </c>
      <c r="S2245">
        <v>0.66666999999999998</v>
      </c>
      <c r="T2245" t="s">
        <v>324</v>
      </c>
      <c r="U2245" t="s">
        <v>90</v>
      </c>
      <c r="V2245" t="s">
        <v>62</v>
      </c>
      <c r="W2245" t="s">
        <v>62</v>
      </c>
      <c r="X2245">
        <v>2</v>
      </c>
      <c r="Y2245">
        <v>4</v>
      </c>
      <c r="Z2245">
        <v>8</v>
      </c>
      <c r="AA2245">
        <v>0.33333000000000002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</v>
      </c>
      <c r="AH2245">
        <v>0</v>
      </c>
      <c r="AI2245">
        <v>2</v>
      </c>
      <c r="AJ2245">
        <v>5</v>
      </c>
      <c r="AK2245">
        <v>0.28571000000000002</v>
      </c>
      <c r="AL2245">
        <v>5</v>
      </c>
      <c r="AM2245">
        <v>6</v>
      </c>
      <c r="AN2245">
        <v>12</v>
      </c>
      <c r="AO2245">
        <v>5</v>
      </c>
      <c r="AP2245">
        <v>15</v>
      </c>
      <c r="AQ2245">
        <v>7</v>
      </c>
      <c r="AR2245" t="s">
        <v>16033</v>
      </c>
      <c r="AS2245" t="s">
        <v>16034</v>
      </c>
      <c r="AT2245">
        <v>0.108</v>
      </c>
      <c r="AU2245" t="s">
        <v>65</v>
      </c>
      <c r="AV2245">
        <v>27</v>
      </c>
      <c r="AW2245">
        <v>12</v>
      </c>
      <c r="AX2245" t="s">
        <v>16035</v>
      </c>
      <c r="AY2245">
        <v>2.8309999999999998E-2</v>
      </c>
      <c r="AZ2245">
        <v>-2.32E-3</v>
      </c>
      <c r="BA2245">
        <v>4.3899999999999998E-3</v>
      </c>
      <c r="BB2245">
        <v>-4.2000000000000002E-4</v>
      </c>
      <c r="BC2245">
        <v>0.15498000000000001</v>
      </c>
      <c r="BD2245">
        <v>1</v>
      </c>
      <c r="BE2245" t="s">
        <v>69</v>
      </c>
      <c r="BF2245">
        <v>-0.78700000000000003</v>
      </c>
      <c r="BG2245">
        <v>0.63400000000000001</v>
      </c>
    </row>
    <row r="2246" spans="1:59">
      <c r="A2246">
        <v>0</v>
      </c>
      <c r="B2246">
        <v>6</v>
      </c>
      <c r="C2246">
        <v>0</v>
      </c>
      <c r="D2246" t="s">
        <v>25022</v>
      </c>
      <c r="E2246">
        <v>4112</v>
      </c>
      <c r="F2246" t="s">
        <v>24227</v>
      </c>
      <c r="G2246" t="s">
        <v>62</v>
      </c>
      <c r="H2246">
        <v>4076845</v>
      </c>
      <c r="I2246">
        <v>4078158</v>
      </c>
      <c r="J2246" t="s">
        <v>24228</v>
      </c>
      <c r="K2246">
        <v>438</v>
      </c>
      <c r="L2246" t="s">
        <v>108</v>
      </c>
      <c r="M2246">
        <v>44</v>
      </c>
      <c r="N2246" t="str">
        <f>HYPERLINK("Gene4112-zp_tree_all.dnd", "Gene4112-tree")</f>
        <v>Gene4112-tree</v>
      </c>
      <c r="O2246">
        <v>8</v>
      </c>
      <c r="P2246">
        <v>8</v>
      </c>
      <c r="Q2246">
        <v>8</v>
      </c>
      <c r="R2246">
        <v>8</v>
      </c>
      <c r="S2246">
        <v>0.5</v>
      </c>
      <c r="T2246" t="s">
        <v>136</v>
      </c>
      <c r="U2246" t="s">
        <v>136</v>
      </c>
      <c r="V2246" t="s">
        <v>62</v>
      </c>
      <c r="W2246" t="s">
        <v>62</v>
      </c>
      <c r="X2246">
        <v>3</v>
      </c>
      <c r="Y2246">
        <v>6</v>
      </c>
      <c r="Z2246">
        <v>14</v>
      </c>
      <c r="AA2246">
        <v>0.3</v>
      </c>
      <c r="AB2246">
        <v>0</v>
      </c>
      <c r="AC2246">
        <v>0</v>
      </c>
      <c r="AD2246">
        <v>0</v>
      </c>
      <c r="AE2246">
        <v>3</v>
      </c>
      <c r="AF2246">
        <v>0</v>
      </c>
      <c r="AG2246">
        <v>2</v>
      </c>
      <c r="AH2246">
        <v>0</v>
      </c>
      <c r="AI2246">
        <v>2</v>
      </c>
      <c r="AJ2246">
        <v>10</v>
      </c>
      <c r="AK2246">
        <v>0.16667000000000001</v>
      </c>
      <c r="AL2246">
        <v>14</v>
      </c>
      <c r="AM2246">
        <v>12</v>
      </c>
      <c r="AN2246">
        <v>57</v>
      </c>
      <c r="AO2246">
        <v>12</v>
      </c>
      <c r="AP2246">
        <v>26</v>
      </c>
      <c r="AQ2246">
        <v>9</v>
      </c>
      <c r="AR2246" t="s">
        <v>24229</v>
      </c>
      <c r="AS2246" t="s">
        <v>24230</v>
      </c>
      <c r="AT2246">
        <v>0.57999999999999996</v>
      </c>
      <c r="AU2246" t="s">
        <v>65</v>
      </c>
      <c r="AV2246">
        <v>83</v>
      </c>
      <c r="AW2246">
        <v>21</v>
      </c>
      <c r="AX2246" t="s">
        <v>24231</v>
      </c>
      <c r="AY2246">
        <v>3.8769999999999999E-2</v>
      </c>
      <c r="AZ2246">
        <v>-1E-3</v>
      </c>
      <c r="BA2246">
        <v>3.8600000000000001E-3</v>
      </c>
      <c r="BB2246">
        <v>-1.9000000000000001E-4</v>
      </c>
      <c r="BC2246">
        <v>9.9479999999999999E-2</v>
      </c>
      <c r="BD2246">
        <v>1</v>
      </c>
      <c r="BE2246" t="s">
        <v>69</v>
      </c>
      <c r="BF2246">
        <v>-0.62</v>
      </c>
      <c r="BG2246">
        <v>-1.823</v>
      </c>
    </row>
    <row r="2247" spans="1:59">
      <c r="A2247">
        <v>0</v>
      </c>
      <c r="B2247">
        <v>9</v>
      </c>
      <c r="C2247">
        <v>0</v>
      </c>
      <c r="D2247" t="s">
        <v>25022</v>
      </c>
      <c r="E2247">
        <v>2299</v>
      </c>
      <c r="F2247" t="s">
        <v>13318</v>
      </c>
      <c r="G2247" t="s">
        <v>62</v>
      </c>
      <c r="H2247">
        <v>2318130</v>
      </c>
      <c r="I2247">
        <v>2319443</v>
      </c>
      <c r="J2247" t="s">
        <v>13319</v>
      </c>
      <c r="K2247">
        <v>438</v>
      </c>
      <c r="L2247" t="s">
        <v>265</v>
      </c>
      <c r="M2247">
        <v>43</v>
      </c>
      <c r="N2247" t="str">
        <f>HYPERLINK("Gene2299-zp_tree_all.dnd", "Gene2299-tree")</f>
        <v>Gene2299-tree</v>
      </c>
      <c r="O2247">
        <v>8</v>
      </c>
      <c r="P2247">
        <v>7</v>
      </c>
      <c r="Q2247">
        <v>8</v>
      </c>
      <c r="R2247">
        <v>7</v>
      </c>
      <c r="S2247">
        <v>0.46666999999999997</v>
      </c>
      <c r="T2247" t="s">
        <v>136</v>
      </c>
      <c r="U2247" t="s">
        <v>152</v>
      </c>
      <c r="V2247" t="s">
        <v>62</v>
      </c>
      <c r="W2247" t="s">
        <v>62</v>
      </c>
      <c r="X2247">
        <v>3</v>
      </c>
      <c r="Y2247">
        <v>9</v>
      </c>
      <c r="Z2247">
        <v>11</v>
      </c>
      <c r="AA2247">
        <v>0.45</v>
      </c>
      <c r="AB2247">
        <v>0</v>
      </c>
      <c r="AC2247">
        <v>0</v>
      </c>
      <c r="AD2247">
        <v>0</v>
      </c>
      <c r="AE2247">
        <v>3</v>
      </c>
      <c r="AF2247">
        <v>0</v>
      </c>
      <c r="AG2247">
        <v>4</v>
      </c>
      <c r="AH2247">
        <v>1</v>
      </c>
      <c r="AI2247">
        <v>5</v>
      </c>
      <c r="AJ2247">
        <v>7</v>
      </c>
      <c r="AK2247">
        <v>0.41666999999999998</v>
      </c>
      <c r="AL2247">
        <v>14</v>
      </c>
      <c r="AM2247">
        <v>12</v>
      </c>
      <c r="AN2247">
        <v>64</v>
      </c>
      <c r="AO2247">
        <v>12</v>
      </c>
      <c r="AP2247">
        <v>40</v>
      </c>
      <c r="AQ2247">
        <v>8</v>
      </c>
      <c r="AR2247" t="s">
        <v>13320</v>
      </c>
      <c r="AS2247" t="s">
        <v>13321</v>
      </c>
      <c r="AT2247">
        <v>7.3999999999999996E-2</v>
      </c>
      <c r="AU2247" t="s">
        <v>65</v>
      </c>
      <c r="AV2247">
        <v>104</v>
      </c>
      <c r="AW2247">
        <v>20</v>
      </c>
      <c r="AX2247" t="s">
        <v>13322</v>
      </c>
      <c r="AY2247">
        <v>5.3150000000000003E-2</v>
      </c>
      <c r="AZ2247">
        <v>-1.74E-3</v>
      </c>
      <c r="BA2247">
        <v>3.3800000000000002E-3</v>
      </c>
      <c r="BB2247">
        <v>-1.9000000000000001E-4</v>
      </c>
      <c r="BC2247">
        <v>6.3659999999999994E-2</v>
      </c>
      <c r="BD2247">
        <v>1</v>
      </c>
      <c r="BE2247" t="s">
        <v>69</v>
      </c>
      <c r="BF2247">
        <v>-0.215</v>
      </c>
      <c r="BG2247">
        <v>-0.93799999999999994</v>
      </c>
    </row>
    <row r="2248" spans="1:59">
      <c r="A2248">
        <v>0</v>
      </c>
      <c r="B2248">
        <v>2</v>
      </c>
      <c r="C2248">
        <v>0</v>
      </c>
      <c r="D2248" t="s">
        <v>25022</v>
      </c>
      <c r="E2248">
        <v>2616</v>
      </c>
      <c r="F2248" t="s">
        <v>15319</v>
      </c>
      <c r="G2248" t="s">
        <v>62</v>
      </c>
      <c r="H2248">
        <v>2594187</v>
      </c>
      <c r="I2248">
        <v>2595500</v>
      </c>
      <c r="J2248" t="s">
        <v>3170</v>
      </c>
      <c r="K2248">
        <v>438</v>
      </c>
      <c r="L2248" t="s">
        <v>3859</v>
      </c>
      <c r="M2248">
        <v>42</v>
      </c>
      <c r="N2248" t="str">
        <f>HYPERLINK("Gene2616-zp_tree_all.dnd", "Gene2616-tree")</f>
        <v>Gene2616-tree</v>
      </c>
      <c r="O2248">
        <v>7</v>
      </c>
      <c r="P2248">
        <v>7</v>
      </c>
      <c r="Q2248">
        <v>7</v>
      </c>
      <c r="R2248">
        <v>7</v>
      </c>
      <c r="S2248">
        <v>0.5</v>
      </c>
      <c r="T2248" t="s">
        <v>152</v>
      </c>
      <c r="U2248" t="s">
        <v>152</v>
      </c>
      <c r="V2248" t="s">
        <v>62</v>
      </c>
      <c r="W2248" t="s">
        <v>62</v>
      </c>
      <c r="X2248">
        <v>1</v>
      </c>
      <c r="Y2248">
        <v>2</v>
      </c>
      <c r="Z2248">
        <v>9</v>
      </c>
      <c r="AA2248">
        <v>0.18182000000000001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</v>
      </c>
      <c r="AH2248">
        <v>0</v>
      </c>
      <c r="AI2248">
        <v>2</v>
      </c>
      <c r="AJ2248">
        <v>7</v>
      </c>
      <c r="AK2248">
        <v>0.22222</v>
      </c>
      <c r="AL2248">
        <v>14</v>
      </c>
      <c r="AM2248">
        <v>9</v>
      </c>
      <c r="AN2248">
        <v>54</v>
      </c>
      <c r="AO2248">
        <v>9</v>
      </c>
      <c r="AP2248">
        <v>10</v>
      </c>
      <c r="AQ2248">
        <v>2</v>
      </c>
      <c r="AR2248" t="s">
        <v>15320</v>
      </c>
      <c r="AS2248" t="s">
        <v>15321</v>
      </c>
      <c r="AT2248">
        <v>0.13100000000000001</v>
      </c>
      <c r="AU2248" t="s">
        <v>65</v>
      </c>
      <c r="AV2248">
        <v>64</v>
      </c>
      <c r="AW2248">
        <v>11</v>
      </c>
      <c r="AX2248" t="s">
        <v>15322</v>
      </c>
      <c r="AY2248">
        <v>3.9149999999999997E-2</v>
      </c>
      <c r="AZ2248">
        <v>-2.3E-3</v>
      </c>
      <c r="BA2248">
        <v>2.15E-3</v>
      </c>
      <c r="BB2248">
        <v>-1.2E-4</v>
      </c>
      <c r="BC2248">
        <v>5.4940000000000003E-2</v>
      </c>
      <c r="BD2248">
        <v>1</v>
      </c>
      <c r="BE2248" t="s">
        <v>69</v>
      </c>
      <c r="BF2248">
        <v>-1.3149999999999999</v>
      </c>
      <c r="BG2248">
        <v>-2.431</v>
      </c>
    </row>
    <row r="2249" spans="1:59">
      <c r="A2249">
        <v>0</v>
      </c>
      <c r="B2249">
        <v>5</v>
      </c>
      <c r="C2249">
        <v>0</v>
      </c>
      <c r="D2249" t="s">
        <v>25022</v>
      </c>
      <c r="E2249">
        <v>1685</v>
      </c>
      <c r="F2249" t="s">
        <v>10559</v>
      </c>
      <c r="G2249" t="s">
        <v>57</v>
      </c>
      <c r="H2249">
        <v>1695877</v>
      </c>
      <c r="I2249">
        <v>1697190</v>
      </c>
      <c r="J2249" t="s">
        <v>10560</v>
      </c>
      <c r="K2249">
        <v>438</v>
      </c>
      <c r="L2249" t="s">
        <v>5228</v>
      </c>
      <c r="M2249">
        <v>43</v>
      </c>
      <c r="N2249" t="str">
        <f>HYPERLINK("Gene1685-zp_tree_all.dnd", "Gene1685-tree")</f>
        <v>Gene1685-tree</v>
      </c>
      <c r="O2249">
        <v>5</v>
      </c>
      <c r="P2249">
        <v>6</v>
      </c>
      <c r="Q2249">
        <v>5</v>
      </c>
      <c r="R2249">
        <v>6</v>
      </c>
      <c r="S2249">
        <v>0.54544999999999999</v>
      </c>
      <c r="T2249" t="s">
        <v>199</v>
      </c>
      <c r="U2249" t="s">
        <v>90</v>
      </c>
      <c r="V2249" t="s">
        <v>62</v>
      </c>
      <c r="W2249" t="s">
        <v>62</v>
      </c>
      <c r="X2249">
        <v>2</v>
      </c>
      <c r="Y2249">
        <v>5</v>
      </c>
      <c r="Z2249">
        <v>7</v>
      </c>
      <c r="AA2249">
        <v>0.41666999999999998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5</v>
      </c>
      <c r="AH2249">
        <v>0</v>
      </c>
      <c r="AI2249">
        <v>5</v>
      </c>
      <c r="AJ2249">
        <v>6</v>
      </c>
      <c r="AK2249">
        <v>0.45455000000000001</v>
      </c>
      <c r="AL2249">
        <v>11</v>
      </c>
      <c r="AM2249">
        <v>7</v>
      </c>
      <c r="AN2249">
        <v>63</v>
      </c>
      <c r="AO2249">
        <v>11</v>
      </c>
      <c r="AP2249">
        <v>21</v>
      </c>
      <c r="AQ2249">
        <v>1</v>
      </c>
      <c r="AR2249" t="s">
        <v>10561</v>
      </c>
      <c r="AS2249" t="s">
        <v>10562</v>
      </c>
      <c r="AT2249">
        <v>0.86399999999999999</v>
      </c>
      <c r="AU2249" t="s">
        <v>65</v>
      </c>
      <c r="AV2249">
        <v>84</v>
      </c>
      <c r="AW2249">
        <v>12</v>
      </c>
      <c r="AX2249" t="s">
        <v>7378</v>
      </c>
      <c r="AY2249">
        <v>5.3490000000000003E-2</v>
      </c>
      <c r="AZ2249">
        <v>-2.4399999999999999E-3</v>
      </c>
      <c r="BA2249">
        <v>2.1900000000000001E-3</v>
      </c>
      <c r="BB2249">
        <v>-2.1000000000000001E-4</v>
      </c>
      <c r="BC2249">
        <v>4.0869999999999997E-2</v>
      </c>
      <c r="BD2249">
        <v>1</v>
      </c>
      <c r="BE2249" t="s">
        <v>69</v>
      </c>
      <c r="BF2249">
        <v>-0.627</v>
      </c>
      <c r="BG2249">
        <v>-0.39500000000000002</v>
      </c>
    </row>
    <row r="2250" spans="1:59">
      <c r="A2250">
        <v>0</v>
      </c>
      <c r="B2250">
        <v>0</v>
      </c>
      <c r="C2250">
        <v>2</v>
      </c>
      <c r="D2250" t="s">
        <v>25022</v>
      </c>
      <c r="E2250">
        <v>2454</v>
      </c>
      <c r="F2250" t="s">
        <v>14291</v>
      </c>
      <c r="G2250" t="s">
        <v>62</v>
      </c>
      <c r="H2250">
        <v>2451466</v>
      </c>
      <c r="I2250">
        <v>2452782</v>
      </c>
      <c r="J2250" t="s">
        <v>14292</v>
      </c>
      <c r="K2250">
        <v>439</v>
      </c>
      <c r="L2250" t="s">
        <v>108</v>
      </c>
      <c r="M2250">
        <v>44</v>
      </c>
      <c r="N2250" t="str">
        <f>HYPERLINK("Gene2454-zp_tree_all.dnd", "Gene2454-tree")</f>
        <v>Gene2454-tree</v>
      </c>
      <c r="O2250">
        <v>10</v>
      </c>
      <c r="P2250">
        <v>4</v>
      </c>
      <c r="Q2250">
        <v>10</v>
      </c>
      <c r="R2250">
        <v>4</v>
      </c>
      <c r="S2250">
        <v>0.28571000000000002</v>
      </c>
      <c r="T2250" t="s">
        <v>117</v>
      </c>
      <c r="U2250" t="s">
        <v>61</v>
      </c>
      <c r="V2250" t="s">
        <v>62</v>
      </c>
      <c r="W2250" t="s">
        <v>62</v>
      </c>
      <c r="X2250">
        <v>1</v>
      </c>
      <c r="Y2250">
        <v>2</v>
      </c>
      <c r="Z2250">
        <v>6</v>
      </c>
      <c r="AA2250">
        <v>0.25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6</v>
      </c>
      <c r="AK2250">
        <v>0</v>
      </c>
      <c r="AL2250">
        <v>11</v>
      </c>
      <c r="AM2250">
        <v>9</v>
      </c>
      <c r="AN2250">
        <v>32</v>
      </c>
      <c r="AO2250">
        <v>6</v>
      </c>
      <c r="AP2250">
        <v>37</v>
      </c>
      <c r="AQ2250">
        <v>2</v>
      </c>
      <c r="AR2250" t="s">
        <v>14293</v>
      </c>
      <c r="AS2250" t="s">
        <v>14294</v>
      </c>
      <c r="AT2250">
        <v>0.82199999999999995</v>
      </c>
      <c r="AU2250" t="s">
        <v>65</v>
      </c>
      <c r="AV2250">
        <v>69</v>
      </c>
      <c r="AW2250">
        <v>8</v>
      </c>
      <c r="AX2250" t="s">
        <v>14295</v>
      </c>
      <c r="AY2250">
        <v>4.4310000000000002E-2</v>
      </c>
      <c r="AZ2250">
        <v>-2.2499999999999998E-3</v>
      </c>
      <c r="BA2250">
        <v>1.47E-3</v>
      </c>
      <c r="BB2250">
        <v>-1.2999999999999999E-4</v>
      </c>
      <c r="BC2250">
        <v>3.3079999999999998E-2</v>
      </c>
      <c r="BD2250">
        <v>1</v>
      </c>
      <c r="BE2250" t="s">
        <v>69</v>
      </c>
      <c r="BF2250">
        <v>-0.42599999999999999</v>
      </c>
      <c r="BG2250">
        <v>-0.56999999999999995</v>
      </c>
    </row>
    <row r="2251" spans="1:59">
      <c r="A2251">
        <v>0</v>
      </c>
      <c r="B2251">
        <v>0</v>
      </c>
      <c r="C2251">
        <v>2</v>
      </c>
      <c r="D2251" t="s">
        <v>25022</v>
      </c>
      <c r="E2251">
        <v>2435</v>
      </c>
      <c r="F2251" t="s">
        <v>14173</v>
      </c>
      <c r="G2251" t="s">
        <v>62</v>
      </c>
      <c r="H2251">
        <v>2436950</v>
      </c>
      <c r="I2251">
        <v>2438266</v>
      </c>
      <c r="J2251" t="s">
        <v>14174</v>
      </c>
      <c r="K2251">
        <v>439</v>
      </c>
      <c r="L2251" t="s">
        <v>108</v>
      </c>
      <c r="M2251">
        <v>44</v>
      </c>
      <c r="N2251" t="str">
        <f>HYPERLINK("Gene2435-zp_tree_all.dnd", "Gene2435-tree")</f>
        <v>Gene2435-tree</v>
      </c>
      <c r="O2251">
        <v>7</v>
      </c>
      <c r="P2251">
        <v>6</v>
      </c>
      <c r="Q2251">
        <v>7</v>
      </c>
      <c r="R2251">
        <v>6</v>
      </c>
      <c r="S2251">
        <v>0.46154000000000001</v>
      </c>
      <c r="T2251" t="s">
        <v>152</v>
      </c>
      <c r="U2251" t="s">
        <v>90</v>
      </c>
      <c r="V2251" t="s">
        <v>62</v>
      </c>
      <c r="W2251" t="s">
        <v>62</v>
      </c>
      <c r="X2251">
        <v>1</v>
      </c>
      <c r="Y2251">
        <v>2</v>
      </c>
      <c r="Z2251">
        <v>6</v>
      </c>
      <c r="AA2251">
        <v>0.25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</v>
      </c>
      <c r="AI2251">
        <v>2</v>
      </c>
      <c r="AJ2251">
        <v>6</v>
      </c>
      <c r="AK2251">
        <v>0.25</v>
      </c>
      <c r="AL2251">
        <v>11</v>
      </c>
      <c r="AM2251">
        <v>8</v>
      </c>
      <c r="AN2251">
        <v>44</v>
      </c>
      <c r="AO2251">
        <v>8</v>
      </c>
      <c r="AP2251">
        <v>16</v>
      </c>
      <c r="AQ2251">
        <v>0</v>
      </c>
      <c r="AR2251" t="s">
        <v>14175</v>
      </c>
      <c r="AS2251" t="s">
        <v>193</v>
      </c>
      <c r="AT2251">
        <v>2.3929999999999998</v>
      </c>
      <c r="AU2251" t="s">
        <v>267</v>
      </c>
      <c r="AV2251">
        <v>60</v>
      </c>
      <c r="AW2251">
        <v>8</v>
      </c>
      <c r="AX2251" t="s">
        <v>14176</v>
      </c>
      <c r="AY2251">
        <v>3.8800000000000001E-2</v>
      </c>
      <c r="AZ2251">
        <v>-1.7099999999999999E-3</v>
      </c>
      <c r="BA2251">
        <v>1.2099999999999999E-3</v>
      </c>
      <c r="BB2251">
        <v>-1.1E-4</v>
      </c>
      <c r="BC2251">
        <v>3.1280000000000002E-2</v>
      </c>
      <c r="BD2251">
        <v>1</v>
      </c>
      <c r="BE2251" t="s">
        <v>69</v>
      </c>
      <c r="BF2251">
        <v>-0.82199999999999995</v>
      </c>
      <c r="BG2251">
        <v>-1.929</v>
      </c>
    </row>
    <row r="2252" spans="1:59">
      <c r="A2252">
        <v>0</v>
      </c>
      <c r="B2252">
        <v>0</v>
      </c>
      <c r="C2252">
        <v>0</v>
      </c>
      <c r="D2252" t="s">
        <v>25022</v>
      </c>
      <c r="E2252">
        <v>3045</v>
      </c>
      <c r="F2252" t="s">
        <v>17616</v>
      </c>
      <c r="G2252" t="s">
        <v>62</v>
      </c>
      <c r="H2252">
        <v>2997304</v>
      </c>
      <c r="I2252">
        <v>2998620</v>
      </c>
      <c r="J2252" t="s">
        <v>116</v>
      </c>
      <c r="K2252">
        <v>439</v>
      </c>
      <c r="L2252" t="s">
        <v>108</v>
      </c>
      <c r="M2252">
        <v>44</v>
      </c>
      <c r="N2252" t="str">
        <f>HYPERLINK("Gene3045-zp_tree_all.dnd", "Gene3045-tree")</f>
        <v>Gene3045-tree</v>
      </c>
      <c r="O2252">
        <v>9</v>
      </c>
      <c r="P2252">
        <v>4</v>
      </c>
      <c r="Q2252">
        <v>9</v>
      </c>
      <c r="R2252">
        <v>4</v>
      </c>
      <c r="S2252">
        <v>0.30769000000000002</v>
      </c>
      <c r="T2252" t="s">
        <v>135</v>
      </c>
      <c r="U2252" t="s">
        <v>61</v>
      </c>
      <c r="V2252" t="s">
        <v>62</v>
      </c>
      <c r="W2252" t="s">
        <v>62</v>
      </c>
      <c r="X2252">
        <v>0</v>
      </c>
      <c r="Y2252">
        <v>0</v>
      </c>
      <c r="Z2252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4</v>
      </c>
      <c r="AK2252">
        <v>0</v>
      </c>
      <c r="AL2252">
        <v>10</v>
      </c>
      <c r="AM2252">
        <v>9</v>
      </c>
      <c r="AN2252">
        <v>33</v>
      </c>
      <c r="AO2252">
        <v>3</v>
      </c>
      <c r="AP2252">
        <v>11</v>
      </c>
      <c r="AQ2252">
        <v>1</v>
      </c>
      <c r="AR2252" t="s">
        <v>17617</v>
      </c>
      <c r="AS2252" t="s">
        <v>17618</v>
      </c>
      <c r="AT2252">
        <v>3.0000000000000001E-3</v>
      </c>
      <c r="AU2252" t="s">
        <v>65</v>
      </c>
      <c r="AV2252">
        <v>44</v>
      </c>
      <c r="AW2252">
        <v>4</v>
      </c>
      <c r="AX2252" t="s">
        <v>17619</v>
      </c>
      <c r="AY2252">
        <v>3.023E-2</v>
      </c>
      <c r="AZ2252">
        <v>-1.48E-3</v>
      </c>
      <c r="BA2252">
        <v>7.2999999999999996E-4</v>
      </c>
      <c r="BB2252">
        <v>-9.0000000000000006E-5</v>
      </c>
      <c r="BC2252">
        <v>2.4150000000000001E-2</v>
      </c>
      <c r="BD2252">
        <v>1</v>
      </c>
      <c r="BE2252" t="s">
        <v>69</v>
      </c>
      <c r="BF2252">
        <v>-1.7509999999999999</v>
      </c>
      <c r="BG2252">
        <v>-3.1789999999999998</v>
      </c>
    </row>
    <row r="2253" spans="1:59">
      <c r="A2253">
        <v>0</v>
      </c>
      <c r="B2253">
        <v>22</v>
      </c>
      <c r="C2253">
        <v>3</v>
      </c>
      <c r="D2253" t="s">
        <v>25022</v>
      </c>
      <c r="E2253">
        <v>2776</v>
      </c>
      <c r="F2253" t="s">
        <v>15935</v>
      </c>
      <c r="G2253" t="s">
        <v>62</v>
      </c>
      <c r="H2253">
        <v>2727163</v>
      </c>
      <c r="I2253">
        <v>2728482</v>
      </c>
      <c r="J2253" t="s">
        <v>15936</v>
      </c>
      <c r="K2253">
        <v>440</v>
      </c>
      <c r="L2253" t="s">
        <v>1392</v>
      </c>
      <c r="M2253">
        <v>43</v>
      </c>
      <c r="N2253" t="str">
        <f>HYPERLINK("Gene2776-zp_tree_all.dnd", "Gene2776-tree")</f>
        <v>Gene2776-tree</v>
      </c>
      <c r="O2253">
        <v>6</v>
      </c>
      <c r="P2253">
        <v>9</v>
      </c>
      <c r="Q2253">
        <v>6</v>
      </c>
      <c r="R2253">
        <v>9</v>
      </c>
      <c r="S2253">
        <v>0.6</v>
      </c>
      <c r="T2253" t="s">
        <v>90</v>
      </c>
      <c r="U2253" t="s">
        <v>135</v>
      </c>
      <c r="V2253" t="s">
        <v>62</v>
      </c>
      <c r="W2253" t="s">
        <v>62</v>
      </c>
      <c r="X2253">
        <v>10</v>
      </c>
      <c r="Y2253">
        <v>25</v>
      </c>
      <c r="Z2253">
        <v>11</v>
      </c>
      <c r="AA2253">
        <v>0.69443999999999995</v>
      </c>
      <c r="AB2253">
        <v>2</v>
      </c>
      <c r="AC2253">
        <v>0</v>
      </c>
      <c r="AD2253">
        <v>2</v>
      </c>
      <c r="AE2253">
        <v>1</v>
      </c>
      <c r="AF2253">
        <v>0.66666999999999998</v>
      </c>
      <c r="AG2253">
        <v>12</v>
      </c>
      <c r="AH2253">
        <v>1</v>
      </c>
      <c r="AI2253">
        <v>13</v>
      </c>
      <c r="AJ2253">
        <v>9</v>
      </c>
      <c r="AK2253">
        <v>0.59091000000000005</v>
      </c>
      <c r="AL2253">
        <v>12</v>
      </c>
      <c r="AM2253">
        <v>12</v>
      </c>
      <c r="AN2253">
        <v>35</v>
      </c>
      <c r="AO2253">
        <v>20</v>
      </c>
      <c r="AP2253">
        <v>29</v>
      </c>
      <c r="AQ2253">
        <v>16</v>
      </c>
      <c r="AR2253" t="s">
        <v>15937</v>
      </c>
      <c r="AS2253" t="s">
        <v>15938</v>
      </c>
      <c r="AT2253">
        <v>7.0000000000000007E-2</v>
      </c>
      <c r="AU2253" t="s">
        <v>65</v>
      </c>
      <c r="AV2253">
        <v>64</v>
      </c>
      <c r="AW2253">
        <v>36</v>
      </c>
      <c r="AX2253" t="s">
        <v>15939</v>
      </c>
      <c r="AY2253">
        <v>3.9649999999999998E-2</v>
      </c>
      <c r="AZ2253">
        <v>-1.47E-3</v>
      </c>
      <c r="BA2253">
        <v>6.9899999999999997E-3</v>
      </c>
      <c r="BB2253">
        <v>-2.5999999999999998E-4</v>
      </c>
      <c r="BC2253">
        <v>0.17627000000000001</v>
      </c>
      <c r="BD2253">
        <v>1</v>
      </c>
      <c r="BE2253" t="s">
        <v>69</v>
      </c>
      <c r="BF2253">
        <v>0.69599999999999995</v>
      </c>
      <c r="BG2253">
        <v>0.879</v>
      </c>
    </row>
    <row r="2254" spans="1:59">
      <c r="A2254">
        <v>0</v>
      </c>
      <c r="B2254">
        <v>10</v>
      </c>
      <c r="C2254">
        <v>4</v>
      </c>
      <c r="D2254" t="s">
        <v>25022</v>
      </c>
      <c r="E2254">
        <v>3755</v>
      </c>
      <c r="F2254" t="s">
        <v>22004</v>
      </c>
      <c r="G2254" t="s">
        <v>62</v>
      </c>
      <c r="H2254">
        <v>3729491</v>
      </c>
      <c r="I2254">
        <v>3730810</v>
      </c>
      <c r="J2254" t="s">
        <v>22005</v>
      </c>
      <c r="K2254">
        <v>440</v>
      </c>
      <c r="L2254" t="s">
        <v>108</v>
      </c>
      <c r="M2254">
        <v>44</v>
      </c>
      <c r="N2254" t="str">
        <f>HYPERLINK("Gene3755-zp_tree_all.dnd", "Gene3755-tree")</f>
        <v>Gene3755-tree</v>
      </c>
      <c r="O2254">
        <v>5</v>
      </c>
      <c r="P2254">
        <v>10</v>
      </c>
      <c r="Q2254">
        <v>5</v>
      </c>
      <c r="R2254">
        <v>10</v>
      </c>
      <c r="S2254">
        <v>0.66666999999999998</v>
      </c>
      <c r="T2254" t="s">
        <v>199</v>
      </c>
      <c r="U2254" t="s">
        <v>117</v>
      </c>
      <c r="V2254" t="s">
        <v>62</v>
      </c>
      <c r="W2254" t="s">
        <v>62</v>
      </c>
      <c r="X2254">
        <v>6</v>
      </c>
      <c r="Y2254">
        <v>14</v>
      </c>
      <c r="Z2254">
        <v>11</v>
      </c>
      <c r="AA2254">
        <v>0.56000000000000005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2</v>
      </c>
      <c r="AI2254">
        <v>2</v>
      </c>
      <c r="AJ2254">
        <v>14</v>
      </c>
      <c r="AK2254">
        <v>0.125</v>
      </c>
      <c r="AL2254">
        <v>13</v>
      </c>
      <c r="AM2254">
        <v>11</v>
      </c>
      <c r="AN2254">
        <v>47</v>
      </c>
      <c r="AO2254">
        <v>16</v>
      </c>
      <c r="AP2254">
        <v>26</v>
      </c>
      <c r="AQ2254">
        <v>13</v>
      </c>
      <c r="AR2254" t="s">
        <v>22006</v>
      </c>
      <c r="AS2254" t="s">
        <v>22007</v>
      </c>
      <c r="AT2254">
        <v>0.43099999999999999</v>
      </c>
      <c r="AU2254" t="s">
        <v>65</v>
      </c>
      <c r="AV2254">
        <v>73</v>
      </c>
      <c r="AW2254">
        <v>29</v>
      </c>
      <c r="AX2254" t="s">
        <v>22008</v>
      </c>
      <c r="AY2254">
        <v>4.0239999999999998E-2</v>
      </c>
      <c r="AZ2254">
        <v>-1.16E-3</v>
      </c>
      <c r="BA2254">
        <v>5.2300000000000003E-3</v>
      </c>
      <c r="BB2254">
        <v>-2.2000000000000001E-4</v>
      </c>
      <c r="BC2254">
        <v>0.12989000000000001</v>
      </c>
      <c r="BD2254">
        <v>1</v>
      </c>
      <c r="BE2254" t="s">
        <v>69</v>
      </c>
      <c r="BF2254">
        <v>-0.22900000000000001</v>
      </c>
      <c r="BG2254">
        <v>-0.96299999999999997</v>
      </c>
    </row>
    <row r="2255" spans="1:59">
      <c r="A2255">
        <v>0</v>
      </c>
      <c r="B2255">
        <v>13</v>
      </c>
      <c r="C2255">
        <v>2</v>
      </c>
      <c r="D2255" t="s">
        <v>25022</v>
      </c>
      <c r="E2255">
        <v>671</v>
      </c>
      <c r="F2255" t="s">
        <v>4183</v>
      </c>
      <c r="G2255" t="s">
        <v>57</v>
      </c>
      <c r="H2255">
        <v>694662</v>
      </c>
      <c r="I2255">
        <v>695981</v>
      </c>
      <c r="J2255" t="s">
        <v>4184</v>
      </c>
      <c r="K2255">
        <v>440</v>
      </c>
      <c r="L2255" t="s">
        <v>4110</v>
      </c>
      <c r="M2255">
        <v>45</v>
      </c>
      <c r="N2255" t="str">
        <f>HYPERLINK("Gene671-zp_tree_all.dnd", "Gene671-tree")</f>
        <v>Gene671-tree</v>
      </c>
      <c r="O2255">
        <v>12</v>
      </c>
      <c r="P2255">
        <v>7</v>
      </c>
      <c r="Q2255">
        <v>12</v>
      </c>
      <c r="R2255">
        <v>7</v>
      </c>
      <c r="S2255">
        <v>0.36842000000000003</v>
      </c>
      <c r="T2255" t="s">
        <v>109</v>
      </c>
      <c r="U2255" t="s">
        <v>152</v>
      </c>
      <c r="V2255" t="s">
        <v>62</v>
      </c>
      <c r="W2255" t="s">
        <v>62</v>
      </c>
      <c r="X2255">
        <v>5</v>
      </c>
      <c r="Y2255">
        <v>15</v>
      </c>
      <c r="Z2255">
        <v>5</v>
      </c>
      <c r="AA2255">
        <v>0.75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2</v>
      </c>
      <c r="AH2255">
        <v>0</v>
      </c>
      <c r="AI2255">
        <v>2</v>
      </c>
      <c r="AJ2255">
        <v>6</v>
      </c>
      <c r="AK2255">
        <v>0.25</v>
      </c>
      <c r="AL2255">
        <v>18</v>
      </c>
      <c r="AM2255">
        <v>16</v>
      </c>
      <c r="AN2255">
        <v>93</v>
      </c>
      <c r="AO2255">
        <v>8</v>
      </c>
      <c r="AP2255">
        <v>91</v>
      </c>
      <c r="AQ2255">
        <v>12</v>
      </c>
      <c r="AR2255" t="s">
        <v>4185</v>
      </c>
      <c r="AS2255" t="s">
        <v>4186</v>
      </c>
      <c r="AT2255">
        <v>0.24</v>
      </c>
      <c r="AU2255" t="s">
        <v>65</v>
      </c>
      <c r="AV2255">
        <v>184</v>
      </c>
      <c r="AW2255">
        <v>20</v>
      </c>
      <c r="AX2255" t="s">
        <v>4187</v>
      </c>
      <c r="AY2255">
        <v>8.3500000000000005E-2</v>
      </c>
      <c r="AZ2255">
        <v>-4.9699999999999996E-3</v>
      </c>
      <c r="BA2255">
        <v>3.65E-3</v>
      </c>
      <c r="BB2255">
        <v>-1.4999999999999999E-4</v>
      </c>
      <c r="BC2255">
        <v>4.3770000000000003E-2</v>
      </c>
      <c r="BD2255">
        <v>1</v>
      </c>
      <c r="BE2255" t="s">
        <v>69</v>
      </c>
      <c r="BF2255">
        <v>-0.82599999999999996</v>
      </c>
      <c r="BG2255">
        <v>-0.84</v>
      </c>
    </row>
    <row r="2256" spans="1:59">
      <c r="A2256">
        <v>0</v>
      </c>
      <c r="B2256">
        <v>0</v>
      </c>
      <c r="C2256">
        <v>0</v>
      </c>
      <c r="D2256" t="s">
        <v>25022</v>
      </c>
      <c r="E2256">
        <v>1589</v>
      </c>
      <c r="F2256" t="s">
        <v>9941</v>
      </c>
      <c r="G2256" t="s">
        <v>57</v>
      </c>
      <c r="H2256">
        <v>1596474</v>
      </c>
      <c r="I2256">
        <v>1597793</v>
      </c>
      <c r="J2256" t="s">
        <v>9942</v>
      </c>
      <c r="K2256">
        <v>440</v>
      </c>
      <c r="L2256" t="s">
        <v>2598</v>
      </c>
      <c r="M2256">
        <v>48</v>
      </c>
      <c r="N2256" t="str">
        <f>HYPERLINK("Gene1589-zp_tree_all.dnd", "Gene1589-tree")</f>
        <v>Gene1589-tree</v>
      </c>
      <c r="O2256">
        <v>10</v>
      </c>
      <c r="P2256">
        <v>5</v>
      </c>
      <c r="Q2256">
        <v>10</v>
      </c>
      <c r="R2256">
        <v>5</v>
      </c>
      <c r="S2256">
        <v>0.33333000000000002</v>
      </c>
      <c r="T2256" t="s">
        <v>117</v>
      </c>
      <c r="U2256" t="s">
        <v>199</v>
      </c>
      <c r="V2256" t="s">
        <v>62</v>
      </c>
      <c r="W2256" t="s">
        <v>62</v>
      </c>
      <c r="X2256">
        <v>0</v>
      </c>
      <c r="Y2256">
        <v>0</v>
      </c>
      <c r="Z2256">
        <v>10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5</v>
      </c>
      <c r="AK2256">
        <v>0</v>
      </c>
      <c r="AL2256">
        <v>11</v>
      </c>
      <c r="AM2256">
        <v>9</v>
      </c>
      <c r="AN2256">
        <v>31</v>
      </c>
      <c r="AO2256">
        <v>5</v>
      </c>
      <c r="AP2256">
        <v>42</v>
      </c>
      <c r="AQ2256">
        <v>5</v>
      </c>
      <c r="AR2256" t="s">
        <v>9943</v>
      </c>
      <c r="AS2256" t="s">
        <v>9944</v>
      </c>
      <c r="AT2256">
        <v>0.21199999999999999</v>
      </c>
      <c r="AU2256" t="s">
        <v>65</v>
      </c>
      <c r="AV2256">
        <v>73</v>
      </c>
      <c r="AW2256">
        <v>10</v>
      </c>
      <c r="AX2256" t="s">
        <v>9945</v>
      </c>
      <c r="AY2256">
        <v>6.1650000000000003E-2</v>
      </c>
      <c r="AZ2256">
        <v>-3.7699999999999999E-3</v>
      </c>
      <c r="BA2256">
        <v>2.3800000000000002E-3</v>
      </c>
      <c r="BB2256">
        <v>-2.0000000000000001E-4</v>
      </c>
      <c r="BC2256">
        <v>3.8539999999999998E-2</v>
      </c>
      <c r="BD2256">
        <v>1</v>
      </c>
      <c r="BE2256" t="s">
        <v>69</v>
      </c>
      <c r="BF2256">
        <v>-1.153</v>
      </c>
      <c r="BG2256">
        <v>-0.59799999999999998</v>
      </c>
    </row>
    <row r="2257" spans="1:59">
      <c r="A2257">
        <v>0</v>
      </c>
      <c r="B2257">
        <v>0</v>
      </c>
      <c r="C2257">
        <v>0</v>
      </c>
      <c r="D2257" t="s">
        <v>25022</v>
      </c>
      <c r="E2257">
        <v>3930</v>
      </c>
      <c r="F2257" t="s">
        <v>23061</v>
      </c>
      <c r="G2257" t="s">
        <v>62</v>
      </c>
      <c r="H2257">
        <v>3894466</v>
      </c>
      <c r="I2257">
        <v>3895785</v>
      </c>
      <c r="J2257" t="s">
        <v>23062</v>
      </c>
      <c r="K2257">
        <v>440</v>
      </c>
      <c r="L2257" t="s">
        <v>108</v>
      </c>
      <c r="M2257">
        <v>44</v>
      </c>
      <c r="N2257" t="str">
        <f>HYPERLINK("Gene3930-zp_tree_all.dnd", "Gene3930-tree")</f>
        <v>Gene3930-tree</v>
      </c>
      <c r="O2257">
        <v>28</v>
      </c>
      <c r="P2257">
        <v>8</v>
      </c>
      <c r="Q2257">
        <v>10</v>
      </c>
      <c r="R2257">
        <v>8</v>
      </c>
      <c r="S2257">
        <v>0.44444</v>
      </c>
      <c r="T2257" t="s">
        <v>7613</v>
      </c>
      <c r="U2257" t="s">
        <v>136</v>
      </c>
      <c r="V2257" t="s">
        <v>62</v>
      </c>
      <c r="W2257" t="s">
        <v>62</v>
      </c>
      <c r="X2257">
        <v>0</v>
      </c>
      <c r="Y2257">
        <v>0</v>
      </c>
      <c r="Z2257">
        <v>11</v>
      </c>
      <c r="AA2257">
        <v>0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0</v>
      </c>
      <c r="AH2257">
        <v>0</v>
      </c>
      <c r="AI2257">
        <v>0</v>
      </c>
      <c r="AJ2257">
        <v>9</v>
      </c>
      <c r="AK2257">
        <v>0</v>
      </c>
      <c r="AL2257">
        <v>15</v>
      </c>
      <c r="AM2257">
        <v>15</v>
      </c>
      <c r="AN2257">
        <v>59</v>
      </c>
      <c r="AO2257">
        <v>9</v>
      </c>
      <c r="AP2257">
        <v>45</v>
      </c>
      <c r="AQ2257">
        <v>2</v>
      </c>
      <c r="AR2257" t="s">
        <v>23063</v>
      </c>
      <c r="AS2257" t="s">
        <v>23064</v>
      </c>
      <c r="AT2257">
        <v>1.103</v>
      </c>
      <c r="AU2257" t="s">
        <v>65</v>
      </c>
      <c r="AV2257">
        <v>104</v>
      </c>
      <c r="AW2257">
        <v>11</v>
      </c>
      <c r="AX2257" t="s">
        <v>23065</v>
      </c>
      <c r="AY2257">
        <v>4.7730000000000002E-2</v>
      </c>
      <c r="AZ2257">
        <v>-1.2199999999999999E-3</v>
      </c>
      <c r="BA2257">
        <v>1.4400000000000001E-3</v>
      </c>
      <c r="BB2257">
        <v>-6.0000000000000002E-5</v>
      </c>
      <c r="BC2257">
        <v>3.014E-2</v>
      </c>
      <c r="BD2257">
        <v>1</v>
      </c>
      <c r="BE2257" t="s">
        <v>69</v>
      </c>
      <c r="BF2257">
        <v>-0.56299999999999994</v>
      </c>
      <c r="BG2257">
        <v>-1.7110000000000001</v>
      </c>
    </row>
    <row r="2258" spans="1:59">
      <c r="A2258">
        <v>0</v>
      </c>
      <c r="B2258">
        <v>10</v>
      </c>
      <c r="C2258">
        <v>0</v>
      </c>
      <c r="D2258" t="s">
        <v>25022</v>
      </c>
      <c r="E2258">
        <v>4093</v>
      </c>
      <c r="F2258" t="s">
        <v>24099</v>
      </c>
      <c r="G2258" t="s">
        <v>62</v>
      </c>
      <c r="H2258">
        <v>4060821</v>
      </c>
      <c r="I2258">
        <v>4062143</v>
      </c>
      <c r="J2258" t="s">
        <v>23172</v>
      </c>
      <c r="K2258">
        <v>441</v>
      </c>
      <c r="L2258" t="s">
        <v>108</v>
      </c>
      <c r="M2258">
        <v>44</v>
      </c>
      <c r="N2258" t="str">
        <f>HYPERLINK("Gene4093-zp_tree_all.dnd", "Gene4093-tree")</f>
        <v>Gene4093-tree</v>
      </c>
      <c r="O2258">
        <v>8</v>
      </c>
      <c r="P2258">
        <v>26</v>
      </c>
      <c r="Q2258">
        <v>8</v>
      </c>
      <c r="R2258">
        <v>7</v>
      </c>
      <c r="S2258">
        <v>0.46666999999999997</v>
      </c>
      <c r="T2258" t="s">
        <v>136</v>
      </c>
      <c r="U2258" t="s">
        <v>191</v>
      </c>
      <c r="V2258">
        <v>3.9380000000000002</v>
      </c>
      <c r="W2258" t="s">
        <v>65</v>
      </c>
      <c r="X2258">
        <v>4</v>
      </c>
      <c r="Y2258">
        <v>10</v>
      </c>
      <c r="Z2258">
        <v>11</v>
      </c>
      <c r="AA2258">
        <v>0.47619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</v>
      </c>
      <c r="AH2258">
        <v>2</v>
      </c>
      <c r="AI2258">
        <v>4</v>
      </c>
      <c r="AJ2258">
        <v>13</v>
      </c>
      <c r="AK2258">
        <v>0.23529</v>
      </c>
      <c r="AL2258">
        <v>14</v>
      </c>
      <c r="AM2258">
        <v>12</v>
      </c>
      <c r="AN2258">
        <v>80</v>
      </c>
      <c r="AO2258">
        <v>16</v>
      </c>
      <c r="AP2258">
        <v>44</v>
      </c>
      <c r="AQ2258">
        <v>5</v>
      </c>
      <c r="AR2258" t="s">
        <v>24100</v>
      </c>
      <c r="AS2258" t="s">
        <v>24101</v>
      </c>
      <c r="AT2258">
        <v>0.625</v>
      </c>
      <c r="AU2258" t="s">
        <v>65</v>
      </c>
      <c r="AV2258">
        <v>124</v>
      </c>
      <c r="AW2258">
        <v>21</v>
      </c>
      <c r="AX2258" t="s">
        <v>24102</v>
      </c>
      <c r="AY2258">
        <v>7.2730000000000003E-2</v>
      </c>
      <c r="AZ2258">
        <v>-2.3999999999999998E-3</v>
      </c>
      <c r="BA2258">
        <v>3.7599999999999999E-3</v>
      </c>
      <c r="BB2258">
        <v>-2.0000000000000001E-4</v>
      </c>
      <c r="BC2258">
        <v>5.176E-2</v>
      </c>
      <c r="BD2258">
        <v>1</v>
      </c>
      <c r="BE2258" t="s">
        <v>69</v>
      </c>
      <c r="BF2258">
        <v>-0.61899999999999999</v>
      </c>
      <c r="BG2258">
        <v>-2.0659999999999998</v>
      </c>
    </row>
    <row r="2259" spans="1:59">
      <c r="A2259">
        <v>0</v>
      </c>
      <c r="B2259">
        <v>21</v>
      </c>
      <c r="C2259">
        <v>1</v>
      </c>
      <c r="D2259" t="s">
        <v>25022</v>
      </c>
      <c r="E2259">
        <v>3441</v>
      </c>
      <c r="F2259" t="s">
        <v>20146</v>
      </c>
      <c r="G2259" t="s">
        <v>62</v>
      </c>
      <c r="H2259">
        <v>3401144</v>
      </c>
      <c r="I2259">
        <v>3402469</v>
      </c>
      <c r="J2259" t="s">
        <v>20147</v>
      </c>
      <c r="K2259">
        <v>442</v>
      </c>
      <c r="L2259" t="s">
        <v>108</v>
      </c>
      <c r="M2259">
        <v>44</v>
      </c>
      <c r="N2259" t="str">
        <f>HYPERLINK("Gene3441-zp_tree_all.dnd", "Gene3441-tree")</f>
        <v>Gene3441-tree</v>
      </c>
      <c r="O2259">
        <v>2</v>
      </c>
      <c r="P2259">
        <v>10</v>
      </c>
      <c r="Q2259">
        <v>2</v>
      </c>
      <c r="R2259">
        <v>10</v>
      </c>
      <c r="S2259">
        <v>0.83333000000000002</v>
      </c>
      <c r="T2259" t="s">
        <v>81</v>
      </c>
      <c r="U2259" t="s">
        <v>117</v>
      </c>
      <c r="V2259" t="s">
        <v>62</v>
      </c>
      <c r="W2259" t="s">
        <v>62</v>
      </c>
      <c r="X2259">
        <v>9</v>
      </c>
      <c r="Y2259">
        <v>22</v>
      </c>
      <c r="Z2259">
        <v>26</v>
      </c>
      <c r="AA2259">
        <v>0.45833000000000002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</v>
      </c>
      <c r="AH2259">
        <v>0</v>
      </c>
      <c r="AI2259">
        <v>4</v>
      </c>
      <c r="AJ2259">
        <v>27</v>
      </c>
      <c r="AK2259">
        <v>0.12903000000000001</v>
      </c>
      <c r="AL2259">
        <v>12</v>
      </c>
      <c r="AM2259">
        <v>9</v>
      </c>
      <c r="AN2259">
        <v>47</v>
      </c>
      <c r="AO2259">
        <v>31</v>
      </c>
      <c r="AP2259">
        <v>18</v>
      </c>
      <c r="AQ2259">
        <v>17</v>
      </c>
      <c r="AR2259" t="s">
        <v>20148</v>
      </c>
      <c r="AS2259" t="s">
        <v>20149</v>
      </c>
      <c r="AT2259">
        <v>1.05</v>
      </c>
      <c r="AU2259" t="s">
        <v>65</v>
      </c>
      <c r="AV2259">
        <v>65</v>
      </c>
      <c r="AW2259">
        <v>48</v>
      </c>
      <c r="AX2259" t="s">
        <v>20150</v>
      </c>
      <c r="AY2259">
        <v>4.0460000000000003E-2</v>
      </c>
      <c r="AZ2259">
        <v>-1.3600000000000001E-3</v>
      </c>
      <c r="BA2259">
        <v>9.7400000000000004E-3</v>
      </c>
      <c r="BB2259">
        <v>-3.8000000000000002E-4</v>
      </c>
      <c r="BC2259">
        <v>0.24068000000000001</v>
      </c>
      <c r="BD2259">
        <v>1</v>
      </c>
      <c r="BE2259" t="s">
        <v>69</v>
      </c>
      <c r="BF2259">
        <v>-0.52100000000000002</v>
      </c>
      <c r="BG2259">
        <v>-1.5720000000000001</v>
      </c>
    </row>
    <row r="2260" spans="1:59">
      <c r="A2260">
        <v>0</v>
      </c>
      <c r="B2260">
        <v>4</v>
      </c>
      <c r="C2260">
        <v>0</v>
      </c>
      <c r="D2260" t="s">
        <v>25022</v>
      </c>
      <c r="E2260">
        <v>3049</v>
      </c>
      <c r="F2260" t="s">
        <v>17642</v>
      </c>
      <c r="G2260" t="s">
        <v>62</v>
      </c>
      <c r="H2260">
        <v>3001727</v>
      </c>
      <c r="I2260">
        <v>3003052</v>
      </c>
      <c r="J2260" t="s">
        <v>17643</v>
      </c>
      <c r="K2260">
        <v>442</v>
      </c>
      <c r="L2260" t="s">
        <v>2555</v>
      </c>
      <c r="M2260">
        <v>34</v>
      </c>
      <c r="N2260" t="str">
        <f>HYPERLINK("Gene3049-zp_tree_all.dnd", "Gene3049-tree")</f>
        <v>Gene3049-tree</v>
      </c>
      <c r="O2260">
        <v>6</v>
      </c>
      <c r="P2260">
        <v>4</v>
      </c>
      <c r="Q2260">
        <v>6</v>
      </c>
      <c r="R2260">
        <v>4</v>
      </c>
      <c r="S2260">
        <v>0.4</v>
      </c>
      <c r="T2260" t="s">
        <v>90</v>
      </c>
      <c r="U2260" t="s">
        <v>61</v>
      </c>
      <c r="V2260" t="s">
        <v>62</v>
      </c>
      <c r="W2260" t="s">
        <v>62</v>
      </c>
      <c r="X2260">
        <v>2</v>
      </c>
      <c r="Y2260">
        <v>4</v>
      </c>
      <c r="Z2260">
        <v>11</v>
      </c>
      <c r="AA2260">
        <v>0.26667000000000002</v>
      </c>
      <c r="AB2260">
        <v>0</v>
      </c>
      <c r="AC2260">
        <v>0</v>
      </c>
      <c r="AD2260">
        <v>0</v>
      </c>
      <c r="AE2260">
        <v>5</v>
      </c>
      <c r="AF2260">
        <v>0</v>
      </c>
      <c r="AG2260">
        <v>0</v>
      </c>
      <c r="AH2260">
        <v>0</v>
      </c>
      <c r="AI2260">
        <v>0</v>
      </c>
      <c r="AJ2260">
        <v>6</v>
      </c>
      <c r="AK2260">
        <v>0</v>
      </c>
      <c r="AL2260">
        <v>8</v>
      </c>
      <c r="AM2260">
        <v>7</v>
      </c>
      <c r="AN2260">
        <v>20</v>
      </c>
      <c r="AO2260">
        <v>6</v>
      </c>
      <c r="AP2260">
        <v>32</v>
      </c>
      <c r="AQ2260">
        <v>9</v>
      </c>
      <c r="AR2260" t="s">
        <v>17644</v>
      </c>
      <c r="AS2260" t="s">
        <v>17645</v>
      </c>
      <c r="AT2260">
        <v>7.5999999999999998E-2</v>
      </c>
      <c r="AU2260" t="s">
        <v>65</v>
      </c>
      <c r="AV2260">
        <v>52</v>
      </c>
      <c r="AW2260">
        <v>15</v>
      </c>
      <c r="AX2260" t="s">
        <v>17646</v>
      </c>
      <c r="AY2260">
        <v>5.1229999999999998E-2</v>
      </c>
      <c r="AZ2260">
        <v>-3.2200000000000002E-3</v>
      </c>
      <c r="BA2260">
        <v>4.0499999999999998E-3</v>
      </c>
      <c r="BB2260">
        <v>-3.3E-4</v>
      </c>
      <c r="BC2260">
        <v>7.9060000000000005E-2</v>
      </c>
      <c r="BD2260">
        <v>1</v>
      </c>
      <c r="BE2260" t="s">
        <v>69</v>
      </c>
      <c r="BF2260">
        <v>-0.61699999999999999</v>
      </c>
      <c r="BG2260">
        <v>1.4999999999999999E-2</v>
      </c>
    </row>
    <row r="2261" spans="1:59">
      <c r="A2261">
        <v>0</v>
      </c>
      <c r="B2261">
        <v>0</v>
      </c>
      <c r="C2261">
        <v>0</v>
      </c>
      <c r="D2261" t="s">
        <v>25022</v>
      </c>
      <c r="E2261">
        <v>1519</v>
      </c>
      <c r="F2261" t="s">
        <v>9490</v>
      </c>
      <c r="G2261" t="s">
        <v>57</v>
      </c>
      <c r="H2261">
        <v>1530537</v>
      </c>
      <c r="I2261">
        <v>1531862</v>
      </c>
      <c r="J2261" t="s">
        <v>9491</v>
      </c>
      <c r="K2261">
        <v>442</v>
      </c>
      <c r="L2261" t="s">
        <v>9492</v>
      </c>
      <c r="M2261">
        <v>48</v>
      </c>
      <c r="N2261" t="str">
        <f>HYPERLINK("Gene1519-zp_tree_all.dnd", "Gene1519-tree")</f>
        <v>Gene1519-tree</v>
      </c>
      <c r="O2261">
        <v>11</v>
      </c>
      <c r="P2261">
        <v>5</v>
      </c>
      <c r="Q2261">
        <v>11</v>
      </c>
      <c r="R2261">
        <v>5</v>
      </c>
      <c r="S2261">
        <v>0.3125</v>
      </c>
      <c r="T2261" t="s">
        <v>73</v>
      </c>
      <c r="U2261" t="s">
        <v>199</v>
      </c>
      <c r="V2261" t="s">
        <v>62</v>
      </c>
      <c r="W2261" t="s">
        <v>62</v>
      </c>
      <c r="X2261">
        <v>0</v>
      </c>
      <c r="Y2261">
        <v>0</v>
      </c>
      <c r="Z2261">
        <v>9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5</v>
      </c>
      <c r="AK2261">
        <v>0</v>
      </c>
      <c r="AL2261">
        <v>14</v>
      </c>
      <c r="AM2261">
        <v>8</v>
      </c>
      <c r="AN2261">
        <v>24</v>
      </c>
      <c r="AO2261">
        <v>5</v>
      </c>
      <c r="AP2261">
        <v>25</v>
      </c>
      <c r="AQ2261">
        <v>4</v>
      </c>
      <c r="AR2261" t="s">
        <v>9493</v>
      </c>
      <c r="AS2261" t="s">
        <v>9494</v>
      </c>
      <c r="AT2261">
        <v>0.16300000000000001</v>
      </c>
      <c r="AU2261" t="s">
        <v>65</v>
      </c>
      <c r="AV2261">
        <v>49</v>
      </c>
      <c r="AW2261">
        <v>9</v>
      </c>
      <c r="AX2261" t="s">
        <v>9495</v>
      </c>
      <c r="AY2261">
        <v>3.517E-2</v>
      </c>
      <c r="AZ2261">
        <v>-2.2100000000000002E-3</v>
      </c>
      <c r="BA2261">
        <v>1.8E-3</v>
      </c>
      <c r="BB2261">
        <v>-1.4999999999999999E-4</v>
      </c>
      <c r="BC2261">
        <v>5.1290000000000002E-2</v>
      </c>
      <c r="BD2261">
        <v>1</v>
      </c>
      <c r="BE2261" t="s">
        <v>69</v>
      </c>
      <c r="BF2261">
        <v>-1.3939999999999999</v>
      </c>
      <c r="BG2261">
        <v>-1.7929999999999999</v>
      </c>
    </row>
    <row r="2262" spans="1:59">
      <c r="A2262">
        <v>0</v>
      </c>
      <c r="B2262">
        <v>0</v>
      </c>
      <c r="C2262">
        <v>0</v>
      </c>
      <c r="D2262" t="s">
        <v>25022</v>
      </c>
      <c r="E2262">
        <v>3322</v>
      </c>
      <c r="F2262" t="s">
        <v>19395</v>
      </c>
      <c r="G2262" t="s">
        <v>62</v>
      </c>
      <c r="H2262">
        <v>3294945</v>
      </c>
      <c r="I2262">
        <v>3296270</v>
      </c>
      <c r="J2262" t="s">
        <v>19396</v>
      </c>
      <c r="K2262">
        <v>442</v>
      </c>
      <c r="L2262" t="s">
        <v>108</v>
      </c>
      <c r="M2262">
        <v>44</v>
      </c>
      <c r="N2262" t="str">
        <f>HYPERLINK("Gene3322-zp_tree_all.dnd", "Gene3322-tree")</f>
        <v>Gene3322-tree</v>
      </c>
      <c r="O2262">
        <v>12</v>
      </c>
      <c r="P2262">
        <v>4</v>
      </c>
      <c r="Q2262">
        <v>12</v>
      </c>
      <c r="R2262">
        <v>4</v>
      </c>
      <c r="S2262">
        <v>0.25</v>
      </c>
      <c r="T2262" t="s">
        <v>109</v>
      </c>
      <c r="U2262" t="s">
        <v>61</v>
      </c>
      <c r="V2262" t="s">
        <v>62</v>
      </c>
      <c r="W2262" t="s">
        <v>62</v>
      </c>
      <c r="X2262">
        <v>0</v>
      </c>
      <c r="Y2262">
        <v>0</v>
      </c>
      <c r="Z2262">
        <v>17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16</v>
      </c>
      <c r="AK2262">
        <v>0</v>
      </c>
      <c r="AL2262">
        <v>10</v>
      </c>
      <c r="AM2262">
        <v>12</v>
      </c>
      <c r="AN2262">
        <v>67</v>
      </c>
      <c r="AO2262">
        <v>19</v>
      </c>
      <c r="AP2262">
        <v>36</v>
      </c>
      <c r="AQ2262">
        <v>1</v>
      </c>
      <c r="AR2262" t="s">
        <v>19397</v>
      </c>
      <c r="AS2262" t="s">
        <v>19398</v>
      </c>
      <c r="AT2262">
        <v>0.36299999999999999</v>
      </c>
      <c r="AU2262" t="s">
        <v>65</v>
      </c>
      <c r="AV2262">
        <v>103</v>
      </c>
      <c r="AW2262">
        <v>20</v>
      </c>
      <c r="AX2262" t="s">
        <v>19399</v>
      </c>
      <c r="AY2262">
        <v>5.3170000000000002E-2</v>
      </c>
      <c r="AZ2262">
        <v>-2.9199999999999999E-3</v>
      </c>
      <c r="BA2262">
        <v>2.6800000000000001E-3</v>
      </c>
      <c r="BB2262">
        <v>-4.8999999999999998E-4</v>
      </c>
      <c r="BC2262">
        <v>5.033E-2</v>
      </c>
      <c r="BD2262">
        <v>1</v>
      </c>
      <c r="BE2262" t="s">
        <v>69</v>
      </c>
      <c r="BF2262">
        <v>-1.9950000000000001</v>
      </c>
      <c r="BG2262">
        <v>-3.5529999999999999</v>
      </c>
    </row>
    <row r="2263" spans="1:59">
      <c r="A2263">
        <v>0</v>
      </c>
      <c r="B2263">
        <v>4</v>
      </c>
      <c r="C2263">
        <v>2</v>
      </c>
      <c r="D2263" t="s">
        <v>25022</v>
      </c>
      <c r="E2263">
        <v>601</v>
      </c>
      <c r="F2263" t="s">
        <v>3873</v>
      </c>
      <c r="G2263" t="s">
        <v>57</v>
      </c>
      <c r="H2263">
        <v>627284</v>
      </c>
      <c r="I2263">
        <v>628609</v>
      </c>
      <c r="J2263" t="s">
        <v>3874</v>
      </c>
      <c r="K2263">
        <v>442</v>
      </c>
      <c r="L2263" t="s">
        <v>3859</v>
      </c>
      <c r="M2263">
        <v>42</v>
      </c>
      <c r="N2263" t="str">
        <f>HYPERLINK("Gene601-zp_tree_all.dnd", "Gene601-tree")</f>
        <v>Gene601-tree</v>
      </c>
      <c r="O2263">
        <v>6</v>
      </c>
      <c r="P2263">
        <v>8</v>
      </c>
      <c r="Q2263">
        <v>6</v>
      </c>
      <c r="R2263">
        <v>8</v>
      </c>
      <c r="S2263">
        <v>0.57142999999999999</v>
      </c>
      <c r="T2263" t="s">
        <v>90</v>
      </c>
      <c r="U2263" t="s">
        <v>136</v>
      </c>
      <c r="V2263" t="s">
        <v>62</v>
      </c>
      <c r="W2263" t="s">
        <v>62</v>
      </c>
      <c r="X2263">
        <v>3</v>
      </c>
      <c r="Y2263">
        <v>6</v>
      </c>
      <c r="Z2263">
        <v>8</v>
      </c>
      <c r="AA2263">
        <v>0.42857000000000001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2</v>
      </c>
      <c r="AH2263">
        <v>2</v>
      </c>
      <c r="AI2263">
        <v>4</v>
      </c>
      <c r="AJ2263">
        <v>8</v>
      </c>
      <c r="AK2263">
        <v>0.33333000000000002</v>
      </c>
      <c r="AL2263">
        <v>12</v>
      </c>
      <c r="AM2263">
        <v>10</v>
      </c>
      <c r="AN2263">
        <v>76</v>
      </c>
      <c r="AO2263">
        <v>13</v>
      </c>
      <c r="AP2263">
        <v>37</v>
      </c>
      <c r="AQ2263">
        <v>2</v>
      </c>
      <c r="AR2263" t="s">
        <v>3875</v>
      </c>
      <c r="AS2263" t="s">
        <v>3876</v>
      </c>
      <c r="AT2263">
        <v>1.288</v>
      </c>
      <c r="AU2263" t="s">
        <v>65</v>
      </c>
      <c r="AV2263">
        <v>113</v>
      </c>
      <c r="AW2263">
        <v>15</v>
      </c>
      <c r="AX2263" t="s">
        <v>3877</v>
      </c>
      <c r="AY2263">
        <v>6.4610000000000001E-2</v>
      </c>
      <c r="AZ2263">
        <v>-2.0400000000000001E-3</v>
      </c>
      <c r="BA2263">
        <v>2.2799999999999999E-3</v>
      </c>
      <c r="BB2263">
        <v>-1.1E-4</v>
      </c>
      <c r="BC2263">
        <v>3.524E-2</v>
      </c>
      <c r="BD2263">
        <v>1</v>
      </c>
      <c r="BE2263" t="s">
        <v>69</v>
      </c>
      <c r="BF2263">
        <v>-2.1000000000000001E-2</v>
      </c>
      <c r="BG2263">
        <v>-0.54300000000000004</v>
      </c>
    </row>
    <row r="2264" spans="1:59">
      <c r="A2264">
        <v>0</v>
      </c>
      <c r="B2264">
        <v>0</v>
      </c>
      <c r="C2264">
        <v>0</v>
      </c>
      <c r="D2264" t="s">
        <v>25022</v>
      </c>
      <c r="E2264">
        <v>1541</v>
      </c>
      <c r="F2264" t="s">
        <v>9630</v>
      </c>
      <c r="G2264" t="s">
        <v>57</v>
      </c>
      <c r="H2264">
        <v>1549465</v>
      </c>
      <c r="I2264">
        <v>1550790</v>
      </c>
      <c r="J2264" t="s">
        <v>9631</v>
      </c>
      <c r="K2264">
        <v>442</v>
      </c>
      <c r="L2264" t="s">
        <v>108</v>
      </c>
      <c r="M2264">
        <v>44</v>
      </c>
      <c r="N2264" t="str">
        <f>HYPERLINK("Gene1541-zp_tree_all.dnd", "Gene1541-tree")</f>
        <v>Gene1541-tree</v>
      </c>
      <c r="O2264">
        <v>10</v>
      </c>
      <c r="P2264">
        <v>3</v>
      </c>
      <c r="Q2264">
        <v>10</v>
      </c>
      <c r="R2264">
        <v>3</v>
      </c>
      <c r="S2264">
        <v>0.23077</v>
      </c>
      <c r="T2264" t="s">
        <v>117</v>
      </c>
      <c r="U2264" t="s">
        <v>324</v>
      </c>
      <c r="V2264" t="s">
        <v>62</v>
      </c>
      <c r="W2264" t="s">
        <v>62</v>
      </c>
      <c r="X2264">
        <v>0</v>
      </c>
      <c r="Y2264">
        <v>0</v>
      </c>
      <c r="Z2264">
        <v>3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3</v>
      </c>
      <c r="AK2264">
        <v>0</v>
      </c>
      <c r="AL2264">
        <v>11</v>
      </c>
      <c r="AM2264">
        <v>8</v>
      </c>
      <c r="AN2264">
        <v>42</v>
      </c>
      <c r="AO2264">
        <v>3</v>
      </c>
      <c r="AP2264">
        <v>25</v>
      </c>
      <c r="AQ2264">
        <v>0</v>
      </c>
      <c r="AR2264" t="s">
        <v>9632</v>
      </c>
      <c r="AS2264" t="s">
        <v>193</v>
      </c>
      <c r="AT2264">
        <v>1.0049999999999999</v>
      </c>
      <c r="AU2264" t="s">
        <v>65</v>
      </c>
      <c r="AV2264">
        <v>67</v>
      </c>
      <c r="AW2264">
        <v>3</v>
      </c>
      <c r="AX2264" t="s">
        <v>9633</v>
      </c>
      <c r="AY2264">
        <v>3.8800000000000001E-2</v>
      </c>
      <c r="AZ2264">
        <v>-1.72E-3</v>
      </c>
      <c r="BA2264">
        <v>4.4999999999999999E-4</v>
      </c>
      <c r="BB2264">
        <v>-6.0000000000000002E-5</v>
      </c>
      <c r="BC2264">
        <v>1.1650000000000001E-2</v>
      </c>
      <c r="BD2264">
        <v>1</v>
      </c>
      <c r="BE2264" t="s">
        <v>69</v>
      </c>
      <c r="BF2264">
        <v>-0.36699999999999999</v>
      </c>
      <c r="BG2264">
        <v>-0.12</v>
      </c>
    </row>
    <row r="2265" spans="1:59">
      <c r="A2265">
        <v>0</v>
      </c>
      <c r="B2265">
        <v>0</v>
      </c>
      <c r="C2265">
        <v>0</v>
      </c>
      <c r="D2265" t="s">
        <v>25022</v>
      </c>
      <c r="E2265">
        <v>3994</v>
      </c>
      <c r="F2265" t="s">
        <v>23483</v>
      </c>
      <c r="G2265" t="s">
        <v>62</v>
      </c>
      <c r="H2265">
        <v>3958519</v>
      </c>
      <c r="I2265">
        <v>3959844</v>
      </c>
      <c r="J2265" t="s">
        <v>23484</v>
      </c>
      <c r="K2265">
        <v>442</v>
      </c>
      <c r="L2265" t="s">
        <v>108</v>
      </c>
      <c r="M2265">
        <v>44</v>
      </c>
      <c r="N2265" t="str">
        <f>HYPERLINK("Gene3994-zp_tree_all.dnd", "Gene3994-tree")</f>
        <v>Gene3994-tree</v>
      </c>
      <c r="O2265">
        <v>11</v>
      </c>
      <c r="P2265">
        <v>4</v>
      </c>
      <c r="Q2265">
        <v>11</v>
      </c>
      <c r="R2265">
        <v>4</v>
      </c>
      <c r="S2265">
        <v>0.26667000000000002</v>
      </c>
      <c r="T2265" t="s">
        <v>73</v>
      </c>
      <c r="U2265" t="s">
        <v>61</v>
      </c>
      <c r="V2265" t="s">
        <v>62</v>
      </c>
      <c r="W2265" t="s">
        <v>62</v>
      </c>
      <c r="X2265">
        <v>0</v>
      </c>
      <c r="Y2265">
        <v>0</v>
      </c>
      <c r="Z2265">
        <v>5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4</v>
      </c>
      <c r="AK2265">
        <v>0</v>
      </c>
      <c r="AL2265">
        <v>13</v>
      </c>
      <c r="AM2265">
        <v>12</v>
      </c>
      <c r="AN2265">
        <v>70</v>
      </c>
      <c r="AO2265">
        <v>4</v>
      </c>
      <c r="AP2265">
        <v>51</v>
      </c>
      <c r="AQ2265">
        <v>1</v>
      </c>
      <c r="AR2265" t="s">
        <v>23485</v>
      </c>
      <c r="AS2265" t="s">
        <v>23486</v>
      </c>
      <c r="AT2265">
        <v>0.46500000000000002</v>
      </c>
      <c r="AU2265" t="s">
        <v>65</v>
      </c>
      <c r="AV2265">
        <v>121</v>
      </c>
      <c r="AW2265">
        <v>5</v>
      </c>
      <c r="AX2265" t="s">
        <v>23487</v>
      </c>
      <c r="AY2265">
        <v>7.2650000000000006E-2</v>
      </c>
      <c r="AZ2265">
        <v>-2.3500000000000001E-3</v>
      </c>
      <c r="BA2265">
        <v>7.6999999999999996E-4</v>
      </c>
      <c r="BB2265">
        <v>-6.0000000000000002E-5</v>
      </c>
      <c r="BC2265">
        <v>1.0619999999999999E-2</v>
      </c>
      <c r="BD2265">
        <v>1</v>
      </c>
      <c r="BE2265" t="s">
        <v>69</v>
      </c>
      <c r="BF2265">
        <v>-0.315</v>
      </c>
      <c r="BG2265">
        <v>-1.0229999999999999</v>
      </c>
    </row>
    <row r="2266" spans="1:59">
      <c r="A2266">
        <v>0</v>
      </c>
      <c r="B2266">
        <v>7</v>
      </c>
      <c r="C2266">
        <v>0</v>
      </c>
      <c r="D2266" t="s">
        <v>25022</v>
      </c>
      <c r="E2266">
        <v>10</v>
      </c>
      <c r="F2266" t="s">
        <v>132</v>
      </c>
      <c r="G2266" t="s">
        <v>57</v>
      </c>
      <c r="H2266">
        <v>17534</v>
      </c>
      <c r="I2266">
        <v>18862</v>
      </c>
      <c r="J2266" t="s">
        <v>133</v>
      </c>
      <c r="K2266">
        <v>443</v>
      </c>
      <c r="L2266" t="s">
        <v>134</v>
      </c>
      <c r="M2266">
        <v>46</v>
      </c>
      <c r="N2266" t="str">
        <f>HYPERLINK("Gene10-zp_tree_all.dnd", "Gene10-tree")</f>
        <v>Gene10-tree</v>
      </c>
      <c r="O2266">
        <v>9</v>
      </c>
      <c r="P2266">
        <v>8</v>
      </c>
      <c r="Q2266">
        <v>9</v>
      </c>
      <c r="R2266">
        <v>8</v>
      </c>
      <c r="S2266">
        <v>0.47059000000000001</v>
      </c>
      <c r="T2266" t="s">
        <v>135</v>
      </c>
      <c r="U2266" t="s">
        <v>136</v>
      </c>
      <c r="V2266" t="s">
        <v>62</v>
      </c>
      <c r="W2266" t="s">
        <v>62</v>
      </c>
      <c r="X2266">
        <v>3</v>
      </c>
      <c r="Y2266">
        <v>7</v>
      </c>
      <c r="Z2266">
        <v>15</v>
      </c>
      <c r="AA2266">
        <v>0.31818000000000002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4</v>
      </c>
      <c r="AH2266">
        <v>0</v>
      </c>
      <c r="AI2266">
        <v>4</v>
      </c>
      <c r="AJ2266">
        <v>9</v>
      </c>
      <c r="AK2266">
        <v>0.30769000000000002</v>
      </c>
      <c r="AL2266">
        <v>16</v>
      </c>
      <c r="AM2266">
        <v>12</v>
      </c>
      <c r="AN2266">
        <v>45</v>
      </c>
      <c r="AO2266">
        <v>13</v>
      </c>
      <c r="AP2266">
        <v>52</v>
      </c>
      <c r="AQ2266">
        <v>9</v>
      </c>
      <c r="AR2266" t="s">
        <v>137</v>
      </c>
      <c r="AS2266" t="s">
        <v>138</v>
      </c>
      <c r="AT2266">
        <v>0.26300000000000001</v>
      </c>
      <c r="AU2266" t="s">
        <v>65</v>
      </c>
      <c r="AV2266">
        <v>97</v>
      </c>
      <c r="AW2266">
        <v>22</v>
      </c>
      <c r="AX2266" t="s">
        <v>139</v>
      </c>
      <c r="AY2266">
        <v>6.9419999999999996E-2</v>
      </c>
      <c r="AZ2266">
        <v>-5.8500000000000002E-3</v>
      </c>
      <c r="BA2266">
        <v>3.8400000000000001E-3</v>
      </c>
      <c r="BB2266">
        <v>-2.9999999999999997E-4</v>
      </c>
      <c r="BC2266">
        <v>5.527E-2</v>
      </c>
      <c r="BD2266">
        <v>1</v>
      </c>
      <c r="BE2266" t="s">
        <v>69</v>
      </c>
      <c r="BF2266">
        <v>-1.5189999999999999</v>
      </c>
      <c r="BG2266">
        <v>-0.48599999999999999</v>
      </c>
    </row>
    <row r="2267" spans="1:59">
      <c r="A2267">
        <v>0</v>
      </c>
      <c r="B2267">
        <v>11</v>
      </c>
      <c r="C2267">
        <v>2</v>
      </c>
      <c r="D2267" t="s">
        <v>25022</v>
      </c>
      <c r="E2267">
        <v>2032</v>
      </c>
      <c r="F2267" t="s">
        <v>12647</v>
      </c>
      <c r="G2267" t="s">
        <v>62</v>
      </c>
      <c r="H2267">
        <v>2124853</v>
      </c>
      <c r="I2267">
        <v>2126184</v>
      </c>
      <c r="J2267" t="s">
        <v>12648</v>
      </c>
      <c r="K2267">
        <v>444</v>
      </c>
      <c r="L2267" t="s">
        <v>5228</v>
      </c>
      <c r="M2267">
        <v>43</v>
      </c>
      <c r="N2267" t="str">
        <f>HYPERLINK("Gene2032-zp_tree_all.dnd", "Gene2032-tree")</f>
        <v>Gene2032-tree</v>
      </c>
      <c r="O2267">
        <v>4</v>
      </c>
      <c r="P2267">
        <v>8</v>
      </c>
      <c r="Q2267">
        <v>4</v>
      </c>
      <c r="R2267">
        <v>8</v>
      </c>
      <c r="S2267">
        <v>0.66666999999999998</v>
      </c>
      <c r="T2267" t="s">
        <v>61</v>
      </c>
      <c r="U2267" t="s">
        <v>136</v>
      </c>
      <c r="V2267" t="s">
        <v>62</v>
      </c>
      <c r="W2267" t="s">
        <v>62</v>
      </c>
      <c r="X2267">
        <v>5</v>
      </c>
      <c r="Y2267">
        <v>13</v>
      </c>
      <c r="Z2267">
        <v>17</v>
      </c>
      <c r="AA2267">
        <v>0.43332999999999999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3</v>
      </c>
      <c r="AH2267">
        <v>2</v>
      </c>
      <c r="AI2267">
        <v>5</v>
      </c>
      <c r="AJ2267">
        <v>17</v>
      </c>
      <c r="AK2267">
        <v>0.22727</v>
      </c>
      <c r="AL2267">
        <v>12</v>
      </c>
      <c r="AM2267">
        <v>9</v>
      </c>
      <c r="AN2267">
        <v>41</v>
      </c>
      <c r="AO2267">
        <v>22</v>
      </c>
      <c r="AP2267">
        <v>19</v>
      </c>
      <c r="AQ2267">
        <v>8</v>
      </c>
      <c r="AR2267" t="s">
        <v>12649</v>
      </c>
      <c r="AS2267" t="s">
        <v>12650</v>
      </c>
      <c r="AT2267">
        <v>0.4</v>
      </c>
      <c r="AU2267" t="s">
        <v>65</v>
      </c>
      <c r="AV2267">
        <v>60</v>
      </c>
      <c r="AW2267">
        <v>30</v>
      </c>
      <c r="AX2267" t="s">
        <v>12651</v>
      </c>
      <c r="AY2267">
        <v>3.6670000000000001E-2</v>
      </c>
      <c r="AZ2267">
        <v>-1.5399999999999999E-3</v>
      </c>
      <c r="BA2267">
        <v>5.94E-3</v>
      </c>
      <c r="BB2267">
        <v>-3.2000000000000003E-4</v>
      </c>
      <c r="BC2267">
        <v>0.16205</v>
      </c>
      <c r="BD2267">
        <v>1</v>
      </c>
      <c r="BE2267" t="s">
        <v>69</v>
      </c>
      <c r="BF2267">
        <v>-0.19</v>
      </c>
      <c r="BG2267">
        <v>-0.55800000000000005</v>
      </c>
    </row>
    <row r="2268" spans="1:59">
      <c r="A2268">
        <v>0</v>
      </c>
      <c r="B2268">
        <v>14</v>
      </c>
      <c r="C2268">
        <v>2</v>
      </c>
      <c r="D2268" t="s">
        <v>25022</v>
      </c>
      <c r="E2268">
        <v>2058</v>
      </c>
      <c r="F2268" t="s">
        <v>12816</v>
      </c>
      <c r="G2268" t="s">
        <v>62</v>
      </c>
      <c r="H2268">
        <v>2144359</v>
      </c>
      <c r="I2268">
        <v>2145690</v>
      </c>
      <c r="J2268" t="s">
        <v>12817</v>
      </c>
      <c r="K2268">
        <v>444</v>
      </c>
      <c r="L2268" t="s">
        <v>108</v>
      </c>
      <c r="M2268">
        <v>44</v>
      </c>
      <c r="N2268" t="str">
        <f>HYPERLINK("Gene2058-zp_tree_all.dnd", "Gene2058-tree")</f>
        <v>Gene2058-tree</v>
      </c>
      <c r="O2268">
        <v>4</v>
      </c>
      <c r="P2268">
        <v>9</v>
      </c>
      <c r="Q2268">
        <v>4</v>
      </c>
      <c r="R2268">
        <v>9</v>
      </c>
      <c r="S2268">
        <v>0.69230999999999998</v>
      </c>
      <c r="T2268" t="s">
        <v>61</v>
      </c>
      <c r="U2268" t="s">
        <v>135</v>
      </c>
      <c r="V2268" t="s">
        <v>62</v>
      </c>
      <c r="W2268" t="s">
        <v>62</v>
      </c>
      <c r="X2268">
        <v>6</v>
      </c>
      <c r="Y2268">
        <v>16</v>
      </c>
      <c r="Z2268">
        <v>16</v>
      </c>
      <c r="AA2268">
        <v>0.5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</v>
      </c>
      <c r="AH2268">
        <v>2</v>
      </c>
      <c r="AI2268">
        <v>4</v>
      </c>
      <c r="AJ2268">
        <v>13</v>
      </c>
      <c r="AK2268">
        <v>0.23529</v>
      </c>
      <c r="AL2268">
        <v>12</v>
      </c>
      <c r="AM2268">
        <v>10</v>
      </c>
      <c r="AN2268">
        <v>32</v>
      </c>
      <c r="AO2268">
        <v>17</v>
      </c>
      <c r="AP2268">
        <v>25</v>
      </c>
      <c r="AQ2268">
        <v>15</v>
      </c>
      <c r="AR2268" t="s">
        <v>12818</v>
      </c>
      <c r="AS2268" t="s">
        <v>12819</v>
      </c>
      <c r="AT2268">
        <v>0.317</v>
      </c>
      <c r="AU2268" t="s">
        <v>65</v>
      </c>
      <c r="AV2268">
        <v>57</v>
      </c>
      <c r="AW2268">
        <v>32</v>
      </c>
      <c r="AX2268" t="s">
        <v>12820</v>
      </c>
      <c r="AY2268">
        <v>3.5929999999999997E-2</v>
      </c>
      <c r="AZ2268">
        <v>-1.6000000000000001E-3</v>
      </c>
      <c r="BA2268">
        <v>5.6800000000000002E-3</v>
      </c>
      <c r="BB2268">
        <v>-2.2000000000000001E-4</v>
      </c>
      <c r="BC2268">
        <v>0.15809000000000001</v>
      </c>
      <c r="BD2268">
        <v>1</v>
      </c>
      <c r="BE2268" t="s">
        <v>69</v>
      </c>
      <c r="BF2268">
        <v>-0.49</v>
      </c>
      <c r="BG2268">
        <v>-1.2450000000000001</v>
      </c>
    </row>
    <row r="2269" spans="1:59">
      <c r="A2269">
        <v>5</v>
      </c>
      <c r="B2269">
        <v>35</v>
      </c>
      <c r="C2269">
        <v>4</v>
      </c>
      <c r="D2269" t="s">
        <v>25022</v>
      </c>
      <c r="E2269">
        <v>358</v>
      </c>
      <c r="F2269" t="s">
        <v>2440</v>
      </c>
      <c r="G2269" t="s">
        <v>57</v>
      </c>
      <c r="H2269">
        <v>406131</v>
      </c>
      <c r="I2269">
        <v>407462</v>
      </c>
      <c r="J2269" t="s">
        <v>2441</v>
      </c>
      <c r="K2269">
        <v>444</v>
      </c>
      <c r="L2269" t="s">
        <v>108</v>
      </c>
      <c r="M2269">
        <v>44</v>
      </c>
      <c r="N2269" t="str">
        <f>HYPERLINK("Gene358-zp_tree_all.dnd", "Gene358-tree")</f>
        <v>Gene358-tree</v>
      </c>
      <c r="O2269">
        <v>1</v>
      </c>
      <c r="P2269">
        <v>32</v>
      </c>
      <c r="Q2269">
        <v>1</v>
      </c>
      <c r="R2269">
        <v>15</v>
      </c>
      <c r="S2269">
        <v>0.9375</v>
      </c>
      <c r="T2269" t="s">
        <v>175</v>
      </c>
      <c r="U2269" t="s">
        <v>2442</v>
      </c>
      <c r="V2269">
        <v>7.19</v>
      </c>
      <c r="W2269" t="s">
        <v>267</v>
      </c>
      <c r="X2269">
        <v>17</v>
      </c>
      <c r="Y2269">
        <v>44</v>
      </c>
      <c r="Z2269">
        <v>19</v>
      </c>
      <c r="AA2269">
        <v>0.69840999999999998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13</v>
      </c>
      <c r="AH2269">
        <v>4</v>
      </c>
      <c r="AI2269">
        <v>17</v>
      </c>
      <c r="AJ2269">
        <v>24</v>
      </c>
      <c r="AK2269">
        <v>0.41463</v>
      </c>
      <c r="AL2269">
        <v>15</v>
      </c>
      <c r="AM2269">
        <v>13</v>
      </c>
      <c r="AN2269">
        <v>75</v>
      </c>
      <c r="AO2269">
        <v>41</v>
      </c>
      <c r="AP2269">
        <v>46</v>
      </c>
      <c r="AQ2269">
        <v>24</v>
      </c>
      <c r="AR2269" t="s">
        <v>2443</v>
      </c>
      <c r="AS2269" t="s">
        <v>2444</v>
      </c>
      <c r="AT2269">
        <v>0.106</v>
      </c>
      <c r="AU2269" t="s">
        <v>65</v>
      </c>
      <c r="AV2269">
        <v>121</v>
      </c>
      <c r="AW2269">
        <v>65</v>
      </c>
      <c r="AX2269" t="s">
        <v>2445</v>
      </c>
      <c r="AY2269">
        <v>6.3140000000000002E-2</v>
      </c>
      <c r="AZ2269">
        <v>-1.91E-3</v>
      </c>
      <c r="BA2269">
        <v>9.6299999999999997E-3</v>
      </c>
      <c r="BB2269">
        <v>-2.7999999999999998E-4</v>
      </c>
      <c r="BC2269">
        <v>0.15257999999999999</v>
      </c>
      <c r="BD2269">
        <v>1</v>
      </c>
      <c r="BE2269" t="s">
        <v>69</v>
      </c>
      <c r="BF2269">
        <v>-0.183</v>
      </c>
      <c r="BG2269">
        <v>-0.44400000000000001</v>
      </c>
    </row>
    <row r="2270" spans="1:59">
      <c r="A2270">
        <v>0</v>
      </c>
      <c r="B2270">
        <v>9</v>
      </c>
      <c r="C2270">
        <v>1</v>
      </c>
      <c r="D2270" t="s">
        <v>25022</v>
      </c>
      <c r="E2270">
        <v>3976</v>
      </c>
      <c r="F2270" t="s">
        <v>23367</v>
      </c>
      <c r="G2270" t="s">
        <v>62</v>
      </c>
      <c r="H2270">
        <v>3938310</v>
      </c>
      <c r="I2270">
        <v>3939641</v>
      </c>
      <c r="J2270" t="s">
        <v>23368</v>
      </c>
      <c r="K2270">
        <v>444</v>
      </c>
      <c r="L2270" t="s">
        <v>23369</v>
      </c>
      <c r="M2270">
        <v>32</v>
      </c>
      <c r="N2270" t="str">
        <f>HYPERLINK("Gene3976-zp_tree_all.dnd", "Gene3976-tree")</f>
        <v>Gene3976-tree</v>
      </c>
      <c r="O2270">
        <v>3</v>
      </c>
      <c r="P2270">
        <v>8</v>
      </c>
      <c r="Q2270">
        <v>3</v>
      </c>
      <c r="R2270">
        <v>8</v>
      </c>
      <c r="S2270">
        <v>0.72726999999999997</v>
      </c>
      <c r="T2270" t="s">
        <v>324</v>
      </c>
      <c r="U2270" t="s">
        <v>136</v>
      </c>
      <c r="V2270" t="s">
        <v>62</v>
      </c>
      <c r="W2270" t="s">
        <v>62</v>
      </c>
      <c r="X2270">
        <v>4</v>
      </c>
      <c r="Y2270">
        <v>10</v>
      </c>
      <c r="Z2270">
        <v>15</v>
      </c>
      <c r="AA2270">
        <v>0.4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</v>
      </c>
      <c r="AH2270">
        <v>0</v>
      </c>
      <c r="AI2270">
        <v>2</v>
      </c>
      <c r="AJ2270">
        <v>15</v>
      </c>
      <c r="AK2270">
        <v>0.11765</v>
      </c>
      <c r="AL2270">
        <v>10</v>
      </c>
      <c r="AM2270">
        <v>7</v>
      </c>
      <c r="AN2270">
        <v>35</v>
      </c>
      <c r="AO2270">
        <v>17</v>
      </c>
      <c r="AP2270">
        <v>54</v>
      </c>
      <c r="AQ2270">
        <v>9</v>
      </c>
      <c r="AR2270" t="s">
        <v>23370</v>
      </c>
      <c r="AS2270" t="s">
        <v>23371</v>
      </c>
      <c r="AT2270">
        <v>1.167</v>
      </c>
      <c r="AU2270" t="s">
        <v>65</v>
      </c>
      <c r="AV2270">
        <v>89</v>
      </c>
      <c r="AW2270">
        <v>26</v>
      </c>
      <c r="AX2270" t="s">
        <v>23372</v>
      </c>
      <c r="AY2270">
        <v>7.6700000000000004E-2</v>
      </c>
      <c r="AZ2270">
        <v>-5.8100000000000001E-3</v>
      </c>
      <c r="BA2270">
        <v>6.13E-3</v>
      </c>
      <c r="BB2270">
        <v>-4.2000000000000002E-4</v>
      </c>
      <c r="BC2270">
        <v>7.9949999999999993E-2</v>
      </c>
      <c r="BD2270">
        <v>1</v>
      </c>
      <c r="BE2270" t="s">
        <v>69</v>
      </c>
      <c r="BF2270">
        <v>-0.69899999999999995</v>
      </c>
      <c r="BG2270">
        <v>-0.91200000000000003</v>
      </c>
    </row>
    <row r="2271" spans="1:59">
      <c r="A2271">
        <v>0</v>
      </c>
      <c r="B2271">
        <v>4</v>
      </c>
      <c r="C2271">
        <v>0</v>
      </c>
      <c r="D2271" t="s">
        <v>25022</v>
      </c>
      <c r="E2271">
        <v>1809</v>
      </c>
      <c r="F2271" t="s">
        <v>11337</v>
      </c>
      <c r="G2271" t="s">
        <v>57</v>
      </c>
      <c r="H2271">
        <v>1878425</v>
      </c>
      <c r="I2271">
        <v>1879756</v>
      </c>
      <c r="J2271" t="s">
        <v>11338</v>
      </c>
      <c r="K2271">
        <v>444</v>
      </c>
      <c r="L2271" t="s">
        <v>59</v>
      </c>
      <c r="M2271">
        <v>49</v>
      </c>
      <c r="N2271" t="str">
        <f>HYPERLINK("Gene1809-zp_tree_all.dnd", "Gene1809-tree")</f>
        <v>Gene1809-tree</v>
      </c>
      <c r="O2271">
        <v>17</v>
      </c>
      <c r="P2271">
        <v>2</v>
      </c>
      <c r="Q2271">
        <v>17</v>
      </c>
      <c r="R2271">
        <v>2</v>
      </c>
      <c r="S2271">
        <v>0.10526000000000001</v>
      </c>
      <c r="T2271" t="s">
        <v>266</v>
      </c>
      <c r="U2271" t="s">
        <v>81</v>
      </c>
      <c r="V2271" t="s">
        <v>62</v>
      </c>
      <c r="W2271" t="s">
        <v>62</v>
      </c>
      <c r="X2271">
        <v>2</v>
      </c>
      <c r="Y2271">
        <v>4</v>
      </c>
      <c r="Z2271">
        <v>6</v>
      </c>
      <c r="AA2271">
        <v>0.4</v>
      </c>
      <c r="AB2271">
        <v>0</v>
      </c>
      <c r="AC2271">
        <v>0</v>
      </c>
      <c r="AD2271">
        <v>0</v>
      </c>
      <c r="AE2271">
        <v>2</v>
      </c>
      <c r="AF2271">
        <v>0</v>
      </c>
      <c r="AG2271">
        <v>0</v>
      </c>
      <c r="AH2271">
        <v>0</v>
      </c>
      <c r="AI2271">
        <v>0</v>
      </c>
      <c r="AJ2271">
        <v>2</v>
      </c>
      <c r="AK2271">
        <v>0</v>
      </c>
      <c r="AL2271">
        <v>17</v>
      </c>
      <c r="AM2271">
        <v>15</v>
      </c>
      <c r="AN2271">
        <v>78</v>
      </c>
      <c r="AO2271">
        <v>2</v>
      </c>
      <c r="AP2271">
        <v>97</v>
      </c>
      <c r="AQ2271">
        <v>9</v>
      </c>
      <c r="AR2271" t="s">
        <v>11339</v>
      </c>
      <c r="AS2271" t="s">
        <v>11340</v>
      </c>
      <c r="AT2271">
        <v>0.74299999999999999</v>
      </c>
      <c r="AU2271" t="s">
        <v>65</v>
      </c>
      <c r="AV2271">
        <v>175</v>
      </c>
      <c r="AW2271">
        <v>11</v>
      </c>
      <c r="AX2271" t="s">
        <v>11341</v>
      </c>
      <c r="AY2271">
        <v>0.11155</v>
      </c>
      <c r="AZ2271">
        <v>-4.5300000000000002E-3</v>
      </c>
      <c r="BA2271">
        <v>2.2899999999999999E-3</v>
      </c>
      <c r="BB2271">
        <v>-1.2999999999999999E-4</v>
      </c>
      <c r="BC2271">
        <v>2.0500000000000001E-2</v>
      </c>
      <c r="BD2271">
        <v>1</v>
      </c>
      <c r="BE2271" t="s">
        <v>69</v>
      </c>
      <c r="BF2271">
        <v>-0.92800000000000005</v>
      </c>
      <c r="BG2271">
        <v>-0.56200000000000006</v>
      </c>
    </row>
    <row r="2272" spans="1:59">
      <c r="A2272">
        <v>0</v>
      </c>
      <c r="B2272">
        <v>54</v>
      </c>
      <c r="C2272">
        <v>4</v>
      </c>
      <c r="D2272" t="s">
        <v>25022</v>
      </c>
      <c r="E2272">
        <v>4087</v>
      </c>
      <c r="F2272" t="s">
        <v>24061</v>
      </c>
      <c r="G2272" t="s">
        <v>62</v>
      </c>
      <c r="H2272">
        <v>4055539</v>
      </c>
      <c r="I2272">
        <v>4056873</v>
      </c>
      <c r="J2272" t="s">
        <v>24062</v>
      </c>
      <c r="K2272">
        <v>445</v>
      </c>
      <c r="L2272" t="s">
        <v>108</v>
      </c>
      <c r="M2272">
        <v>44</v>
      </c>
      <c r="N2272" t="str">
        <f>HYPERLINK("Gene4087-zp_tree_all.dnd", "Gene4087-tree")</f>
        <v>Gene4087-tree</v>
      </c>
      <c r="O2272">
        <v>3</v>
      </c>
      <c r="P2272">
        <v>13</v>
      </c>
      <c r="Q2272">
        <v>3</v>
      </c>
      <c r="R2272">
        <v>13</v>
      </c>
      <c r="S2272">
        <v>0.8125</v>
      </c>
      <c r="T2272" t="s">
        <v>324</v>
      </c>
      <c r="U2272" t="s">
        <v>507</v>
      </c>
      <c r="V2272" t="s">
        <v>62</v>
      </c>
      <c r="W2272" t="s">
        <v>62</v>
      </c>
      <c r="X2272">
        <v>22</v>
      </c>
      <c r="Y2272">
        <v>58</v>
      </c>
      <c r="Z2272">
        <v>32</v>
      </c>
      <c r="AA2272">
        <v>0.64444000000000001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21</v>
      </c>
      <c r="AH2272">
        <v>10</v>
      </c>
      <c r="AI2272">
        <v>31</v>
      </c>
      <c r="AJ2272">
        <v>31</v>
      </c>
      <c r="AK2272">
        <v>0.5</v>
      </c>
      <c r="AL2272">
        <v>15</v>
      </c>
      <c r="AM2272">
        <v>13</v>
      </c>
      <c r="AN2272">
        <v>80</v>
      </c>
      <c r="AO2272">
        <v>57</v>
      </c>
      <c r="AP2272">
        <v>37</v>
      </c>
      <c r="AQ2272">
        <v>34</v>
      </c>
      <c r="AR2272" t="s">
        <v>24063</v>
      </c>
      <c r="AS2272" t="s">
        <v>24064</v>
      </c>
      <c r="AT2272">
        <v>0.32800000000000001</v>
      </c>
      <c r="AU2272" t="s">
        <v>65</v>
      </c>
      <c r="AV2272">
        <v>117</v>
      </c>
      <c r="AW2272">
        <v>91</v>
      </c>
      <c r="AX2272" t="s">
        <v>24065</v>
      </c>
      <c r="AY2272">
        <v>5.7450000000000001E-2</v>
      </c>
      <c r="AZ2272">
        <v>-2.4299999999999999E-3</v>
      </c>
      <c r="BA2272">
        <v>1.4630000000000001E-2</v>
      </c>
      <c r="BB2272">
        <v>-5.5000000000000003E-4</v>
      </c>
      <c r="BC2272">
        <v>0.25458999999999998</v>
      </c>
      <c r="BD2272">
        <v>1</v>
      </c>
      <c r="BE2272" t="s">
        <v>69</v>
      </c>
      <c r="BF2272">
        <v>-0.72899999999999998</v>
      </c>
      <c r="BG2272">
        <v>-2.222</v>
      </c>
    </row>
    <row r="2273" spans="1:59">
      <c r="A2273">
        <v>0</v>
      </c>
      <c r="B2273">
        <v>13</v>
      </c>
      <c r="C2273">
        <v>3</v>
      </c>
      <c r="D2273" t="s">
        <v>25022</v>
      </c>
      <c r="E2273">
        <v>1824</v>
      </c>
      <c r="F2273" t="s">
        <v>11430</v>
      </c>
      <c r="G2273" t="s">
        <v>57</v>
      </c>
      <c r="H2273">
        <v>1891908</v>
      </c>
      <c r="I2273">
        <v>1893242</v>
      </c>
      <c r="J2273" t="s">
        <v>11431</v>
      </c>
      <c r="K2273">
        <v>445</v>
      </c>
      <c r="L2273" t="s">
        <v>698</v>
      </c>
      <c r="M2273">
        <v>47</v>
      </c>
      <c r="N2273" t="str">
        <f>HYPERLINK("Gene1824-zp_tree_all.dnd", "Gene1824-tree")</f>
        <v>Gene1824-tree</v>
      </c>
      <c r="O2273">
        <v>4</v>
      </c>
      <c r="P2273">
        <v>12</v>
      </c>
      <c r="Q2273">
        <v>4</v>
      </c>
      <c r="R2273">
        <v>12</v>
      </c>
      <c r="S2273">
        <v>0.75</v>
      </c>
      <c r="T2273" t="s">
        <v>61</v>
      </c>
      <c r="U2273" t="s">
        <v>109</v>
      </c>
      <c r="V2273" t="s">
        <v>62</v>
      </c>
      <c r="W2273" t="s">
        <v>62</v>
      </c>
      <c r="X2273">
        <v>6</v>
      </c>
      <c r="Y2273">
        <v>16</v>
      </c>
      <c r="Z2273">
        <v>27</v>
      </c>
      <c r="AA2273">
        <v>0.37208999999999998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2</v>
      </c>
      <c r="AJ2273">
        <v>21</v>
      </c>
      <c r="AK2273">
        <v>8.6959999999999996E-2</v>
      </c>
      <c r="AL2273">
        <v>15</v>
      </c>
      <c r="AM2273">
        <v>11</v>
      </c>
      <c r="AN2273">
        <v>54</v>
      </c>
      <c r="AO2273">
        <v>22</v>
      </c>
      <c r="AP2273">
        <v>57</v>
      </c>
      <c r="AQ2273">
        <v>24</v>
      </c>
      <c r="AR2273" t="s">
        <v>11432</v>
      </c>
      <c r="AS2273" t="s">
        <v>11433</v>
      </c>
      <c r="AT2273">
        <v>6.0000000000000001E-3</v>
      </c>
      <c r="AU2273" t="s">
        <v>65</v>
      </c>
      <c r="AV2273">
        <v>111</v>
      </c>
      <c r="AW2273">
        <v>46</v>
      </c>
      <c r="AX2273" t="s">
        <v>11434</v>
      </c>
      <c r="AY2273">
        <v>7.7649999999999997E-2</v>
      </c>
      <c r="AZ2273">
        <v>-6.5599999999999999E-3</v>
      </c>
      <c r="BA2273">
        <v>9.0799999999999995E-3</v>
      </c>
      <c r="BB2273">
        <v>-6.4999999999999997E-4</v>
      </c>
      <c r="BC2273">
        <v>0.11688</v>
      </c>
      <c r="BD2273">
        <v>1</v>
      </c>
      <c r="BE2273" t="s">
        <v>69</v>
      </c>
      <c r="BF2273">
        <v>-1.3839999999999999</v>
      </c>
      <c r="BG2273">
        <v>-0.67300000000000004</v>
      </c>
    </row>
    <row r="2274" spans="1:59">
      <c r="A2274">
        <v>2</v>
      </c>
      <c r="B2274">
        <v>5</v>
      </c>
      <c r="C2274">
        <v>1</v>
      </c>
      <c r="D2274" t="s">
        <v>25022</v>
      </c>
      <c r="E2274">
        <v>2262</v>
      </c>
      <c r="F2274" t="s">
        <v>13077</v>
      </c>
      <c r="G2274" t="s">
        <v>62</v>
      </c>
      <c r="H2274">
        <v>2288672</v>
      </c>
      <c r="I2274">
        <v>2290006</v>
      </c>
      <c r="J2274" t="s">
        <v>13078</v>
      </c>
      <c r="K2274">
        <v>445</v>
      </c>
      <c r="L2274" t="s">
        <v>108</v>
      </c>
      <c r="M2274">
        <v>44</v>
      </c>
      <c r="N2274" t="str">
        <f>HYPERLINK("Gene2262-zp_tree_all.dnd", "Gene2262-tree")</f>
        <v>Gene2262-tree</v>
      </c>
      <c r="O2274">
        <v>6</v>
      </c>
      <c r="P2274">
        <v>9</v>
      </c>
      <c r="Q2274">
        <v>6</v>
      </c>
      <c r="R2274">
        <v>9</v>
      </c>
      <c r="S2274">
        <v>0.6</v>
      </c>
      <c r="T2274" t="s">
        <v>90</v>
      </c>
      <c r="U2274" t="s">
        <v>135</v>
      </c>
      <c r="V2274" t="s">
        <v>62</v>
      </c>
      <c r="W2274" t="s">
        <v>62</v>
      </c>
      <c r="X2274">
        <v>3</v>
      </c>
      <c r="Y2274">
        <v>8</v>
      </c>
      <c r="Z2274">
        <v>11</v>
      </c>
      <c r="AA2274">
        <v>0.42104999999999998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11</v>
      </c>
      <c r="AK2274">
        <v>0</v>
      </c>
      <c r="AL2274">
        <v>15</v>
      </c>
      <c r="AM2274">
        <v>12</v>
      </c>
      <c r="AN2274">
        <v>47</v>
      </c>
      <c r="AO2274">
        <v>11</v>
      </c>
      <c r="AP2274">
        <v>28</v>
      </c>
      <c r="AQ2274">
        <v>8</v>
      </c>
      <c r="AR2274" t="s">
        <v>13079</v>
      </c>
      <c r="AS2274" t="s">
        <v>13080</v>
      </c>
      <c r="AT2274">
        <v>0.432</v>
      </c>
      <c r="AU2274" t="s">
        <v>65</v>
      </c>
      <c r="AV2274">
        <v>75</v>
      </c>
      <c r="AW2274">
        <v>19</v>
      </c>
      <c r="AX2274" t="s">
        <v>13081</v>
      </c>
      <c r="AY2274">
        <v>3.8830000000000003E-2</v>
      </c>
      <c r="AZ2274">
        <v>-1.2700000000000001E-3</v>
      </c>
      <c r="BA2274">
        <v>3.1900000000000001E-3</v>
      </c>
      <c r="BB2274">
        <v>-1.3999999999999999E-4</v>
      </c>
      <c r="BC2274">
        <v>8.2100000000000006E-2</v>
      </c>
      <c r="BD2274">
        <v>1</v>
      </c>
      <c r="BE2274" t="s">
        <v>69</v>
      </c>
      <c r="BF2274">
        <v>-0.82199999999999995</v>
      </c>
      <c r="BG2274">
        <v>-0.96099999999999997</v>
      </c>
    </row>
    <row r="2275" spans="1:59">
      <c r="A2275">
        <v>0</v>
      </c>
      <c r="B2275">
        <v>7</v>
      </c>
      <c r="C2275">
        <v>0</v>
      </c>
      <c r="D2275" t="s">
        <v>25022</v>
      </c>
      <c r="E2275">
        <v>1438</v>
      </c>
      <c r="F2275" t="s">
        <v>9002</v>
      </c>
      <c r="G2275" t="s">
        <v>57</v>
      </c>
      <c r="H2275">
        <v>1449250</v>
      </c>
      <c r="I2275">
        <v>1450584</v>
      </c>
      <c r="J2275" t="s">
        <v>9003</v>
      </c>
      <c r="K2275">
        <v>445</v>
      </c>
      <c r="L2275" t="s">
        <v>108</v>
      </c>
      <c r="M2275">
        <v>44</v>
      </c>
      <c r="N2275" t="str">
        <f>HYPERLINK("Gene1438-zp_tree_all.dnd", "Gene1438-tree")</f>
        <v>Gene1438-tree</v>
      </c>
      <c r="O2275">
        <v>11</v>
      </c>
      <c r="P2275">
        <v>6</v>
      </c>
      <c r="Q2275">
        <v>11</v>
      </c>
      <c r="R2275">
        <v>6</v>
      </c>
      <c r="S2275">
        <v>0.35293999999999998</v>
      </c>
      <c r="T2275" t="s">
        <v>73</v>
      </c>
      <c r="U2275" t="s">
        <v>90</v>
      </c>
      <c r="V2275" t="s">
        <v>62</v>
      </c>
      <c r="W2275" t="s">
        <v>62</v>
      </c>
      <c r="X2275">
        <v>2</v>
      </c>
      <c r="Y2275">
        <v>7</v>
      </c>
      <c r="Z2275">
        <v>4</v>
      </c>
      <c r="AA2275">
        <v>0.63636000000000004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6</v>
      </c>
      <c r="AH2275">
        <v>0</v>
      </c>
      <c r="AI2275">
        <v>6</v>
      </c>
      <c r="AJ2275">
        <v>2</v>
      </c>
      <c r="AK2275">
        <v>0.75</v>
      </c>
      <c r="AL2275">
        <v>16</v>
      </c>
      <c r="AM2275">
        <v>11</v>
      </c>
      <c r="AN2275">
        <v>39</v>
      </c>
      <c r="AO2275">
        <v>8</v>
      </c>
      <c r="AP2275">
        <v>14</v>
      </c>
      <c r="AQ2275">
        <v>3</v>
      </c>
      <c r="AR2275" t="s">
        <v>9004</v>
      </c>
      <c r="AS2275" t="s">
        <v>9005</v>
      </c>
      <c r="AT2275">
        <v>2.7E-2</v>
      </c>
      <c r="AU2275" t="s">
        <v>65</v>
      </c>
      <c r="AV2275">
        <v>53</v>
      </c>
      <c r="AW2275">
        <v>11</v>
      </c>
      <c r="AX2275" t="s">
        <v>9006</v>
      </c>
      <c r="AY2275">
        <v>2.5020000000000001E-2</v>
      </c>
      <c r="AZ2275">
        <v>-1.0399999999999999E-3</v>
      </c>
      <c r="BA2275">
        <v>1.39E-3</v>
      </c>
      <c r="BB2275">
        <v>-1E-4</v>
      </c>
      <c r="BC2275">
        <v>5.5620000000000003E-2</v>
      </c>
      <c r="BD2275">
        <v>1</v>
      </c>
      <c r="BE2275" t="s">
        <v>69</v>
      </c>
      <c r="BF2275">
        <v>-1.5580000000000001</v>
      </c>
      <c r="BG2275">
        <v>-2.4300000000000002</v>
      </c>
    </row>
    <row r="2276" spans="1:59">
      <c r="A2276">
        <v>0</v>
      </c>
      <c r="B2276">
        <v>2</v>
      </c>
      <c r="C2276">
        <v>0</v>
      </c>
      <c r="D2276" t="s">
        <v>25022</v>
      </c>
      <c r="E2276">
        <v>2014</v>
      </c>
      <c r="F2276" t="s">
        <v>12527</v>
      </c>
      <c r="G2276" t="s">
        <v>62</v>
      </c>
      <c r="H2276">
        <v>2104937</v>
      </c>
      <c r="I2276">
        <v>2106271</v>
      </c>
      <c r="J2276" t="s">
        <v>6158</v>
      </c>
      <c r="K2276">
        <v>445</v>
      </c>
      <c r="L2276" t="s">
        <v>108</v>
      </c>
      <c r="M2276">
        <v>44</v>
      </c>
      <c r="N2276" t="str">
        <f>HYPERLINK("Gene2014-zp_tree_all.dnd", "Gene2014-tree")</f>
        <v>Gene2014-tree</v>
      </c>
      <c r="O2276">
        <v>9</v>
      </c>
      <c r="P2276">
        <v>4</v>
      </c>
      <c r="Q2276">
        <v>9</v>
      </c>
      <c r="R2276">
        <v>4</v>
      </c>
      <c r="S2276">
        <v>0.30769000000000002</v>
      </c>
      <c r="T2276" t="s">
        <v>135</v>
      </c>
      <c r="U2276" t="s">
        <v>61</v>
      </c>
      <c r="V2276" t="s">
        <v>62</v>
      </c>
      <c r="W2276" t="s">
        <v>62</v>
      </c>
      <c r="X2276">
        <v>1</v>
      </c>
      <c r="Y2276">
        <v>2</v>
      </c>
      <c r="Z2276">
        <v>6</v>
      </c>
      <c r="AA2276">
        <v>0.25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4</v>
      </c>
      <c r="AK2276">
        <v>0</v>
      </c>
      <c r="AL2276">
        <v>12</v>
      </c>
      <c r="AM2276">
        <v>10</v>
      </c>
      <c r="AN2276">
        <v>29</v>
      </c>
      <c r="AO2276">
        <v>4</v>
      </c>
      <c r="AP2276">
        <v>24</v>
      </c>
      <c r="AQ2276">
        <v>4</v>
      </c>
      <c r="AR2276" t="s">
        <v>12528</v>
      </c>
      <c r="AS2276" t="s">
        <v>12529</v>
      </c>
      <c r="AT2276">
        <v>9.0999999999999998E-2</v>
      </c>
      <c r="AU2276" t="s">
        <v>65</v>
      </c>
      <c r="AV2276">
        <v>53</v>
      </c>
      <c r="AW2276">
        <v>8</v>
      </c>
      <c r="AX2276" t="s">
        <v>12530</v>
      </c>
      <c r="AY2276">
        <v>3.6420000000000001E-2</v>
      </c>
      <c r="AZ2276">
        <v>-1.3699999999999999E-3</v>
      </c>
      <c r="BA2276">
        <v>1.6999999999999999E-3</v>
      </c>
      <c r="BB2276">
        <v>-1.3999999999999999E-4</v>
      </c>
      <c r="BC2276">
        <v>4.6789999999999998E-2</v>
      </c>
      <c r="BD2276">
        <v>1</v>
      </c>
      <c r="BE2276" t="s">
        <v>69</v>
      </c>
      <c r="BF2276">
        <v>-7.9000000000000001E-2</v>
      </c>
      <c r="BG2276">
        <v>-1.2549999999999999</v>
      </c>
    </row>
    <row r="2277" spans="1:59">
      <c r="A2277">
        <v>0</v>
      </c>
      <c r="B2277">
        <v>9</v>
      </c>
      <c r="C2277">
        <v>3</v>
      </c>
      <c r="D2277" t="s">
        <v>25022</v>
      </c>
      <c r="E2277">
        <v>750</v>
      </c>
      <c r="F2277" t="s">
        <v>4663</v>
      </c>
      <c r="G2277" t="s">
        <v>57</v>
      </c>
      <c r="H2277">
        <v>782958</v>
      </c>
      <c r="I2277">
        <v>784295</v>
      </c>
      <c r="J2277" t="s">
        <v>4664</v>
      </c>
      <c r="K2277">
        <v>446</v>
      </c>
      <c r="L2277" t="s">
        <v>4665</v>
      </c>
      <c r="M2277">
        <v>34</v>
      </c>
      <c r="N2277" t="str">
        <f>HYPERLINK("Gene750-zp_tree_all.dnd", "Gene750-tree")</f>
        <v>Gene750-tree</v>
      </c>
      <c r="O2277">
        <v>0</v>
      </c>
      <c r="P2277">
        <v>11</v>
      </c>
      <c r="Q2277">
        <v>0</v>
      </c>
      <c r="R2277">
        <v>11</v>
      </c>
      <c r="S2277">
        <v>1</v>
      </c>
      <c r="T2277" t="s">
        <v>62</v>
      </c>
      <c r="U2277" t="s">
        <v>73</v>
      </c>
      <c r="V2277">
        <v>114461263.029</v>
      </c>
      <c r="W2277" t="s">
        <v>65</v>
      </c>
      <c r="X2277">
        <v>5</v>
      </c>
      <c r="Y2277">
        <v>12</v>
      </c>
      <c r="Z2277">
        <v>28</v>
      </c>
      <c r="AA2277">
        <v>0.3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6</v>
      </c>
      <c r="AH2277">
        <v>2</v>
      </c>
      <c r="AI2277">
        <v>8</v>
      </c>
      <c r="AJ2277">
        <v>22</v>
      </c>
      <c r="AK2277">
        <v>0.26667000000000002</v>
      </c>
      <c r="AL2277">
        <v>10</v>
      </c>
      <c r="AM2277">
        <v>6</v>
      </c>
      <c r="AN2277">
        <v>41</v>
      </c>
      <c r="AO2277">
        <v>30</v>
      </c>
      <c r="AP2277">
        <v>24</v>
      </c>
      <c r="AQ2277">
        <v>11</v>
      </c>
      <c r="AR2277" t="s">
        <v>4666</v>
      </c>
      <c r="AS2277" t="s">
        <v>4667</v>
      </c>
      <c r="AT2277">
        <v>0.77500000000000002</v>
      </c>
      <c r="AU2277" t="s">
        <v>65</v>
      </c>
      <c r="AV2277">
        <v>65</v>
      </c>
      <c r="AW2277">
        <v>41</v>
      </c>
      <c r="AX2277" t="s">
        <v>4668</v>
      </c>
      <c r="AY2277">
        <v>4.5830000000000003E-2</v>
      </c>
      <c r="AZ2277">
        <v>-2.2899999999999999E-3</v>
      </c>
      <c r="BA2277">
        <v>8.7299999999999999E-3</v>
      </c>
      <c r="BB2277">
        <v>-4.2999999999999999E-4</v>
      </c>
      <c r="BC2277">
        <v>0.19040000000000001</v>
      </c>
      <c r="BD2277">
        <v>1</v>
      </c>
      <c r="BE2277" t="s">
        <v>69</v>
      </c>
      <c r="BF2277">
        <v>-1.139</v>
      </c>
      <c r="BG2277">
        <v>-1.6419999999999999</v>
      </c>
    </row>
    <row r="2278" spans="1:59">
      <c r="A2278">
        <v>0</v>
      </c>
      <c r="B2278">
        <v>21</v>
      </c>
      <c r="C2278">
        <v>8</v>
      </c>
      <c r="D2278" t="s">
        <v>25022</v>
      </c>
      <c r="E2278">
        <v>231</v>
      </c>
      <c r="F2278" t="s">
        <v>1563</v>
      </c>
      <c r="G2278" t="s">
        <v>57</v>
      </c>
      <c r="H2278">
        <v>249979</v>
      </c>
      <c r="I2278">
        <v>251316</v>
      </c>
      <c r="J2278" t="s">
        <v>1564</v>
      </c>
      <c r="K2278">
        <v>446</v>
      </c>
      <c r="L2278" t="s">
        <v>1565</v>
      </c>
      <c r="M2278">
        <v>41</v>
      </c>
      <c r="N2278" t="str">
        <f>HYPERLINK("Gene231-zp_tree_all.dnd", "Gene231-tree")</f>
        <v>Gene231-tree</v>
      </c>
      <c r="O2278">
        <v>2</v>
      </c>
      <c r="P2278">
        <v>11</v>
      </c>
      <c r="Q2278">
        <v>2</v>
      </c>
      <c r="R2278">
        <v>11</v>
      </c>
      <c r="S2278">
        <v>0.84614999999999996</v>
      </c>
      <c r="T2278" t="s">
        <v>81</v>
      </c>
      <c r="U2278" t="s">
        <v>73</v>
      </c>
      <c r="V2278">
        <v>515075683.63</v>
      </c>
      <c r="W2278" t="s">
        <v>267</v>
      </c>
      <c r="X2278">
        <v>12</v>
      </c>
      <c r="Y2278">
        <v>29</v>
      </c>
      <c r="Z2278">
        <v>31</v>
      </c>
      <c r="AA2278">
        <v>0.48332999999999998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8</v>
      </c>
      <c r="AH2278">
        <v>7</v>
      </c>
      <c r="AI2278">
        <v>15</v>
      </c>
      <c r="AJ2278">
        <v>25</v>
      </c>
      <c r="AK2278">
        <v>0.375</v>
      </c>
      <c r="AL2278">
        <v>11</v>
      </c>
      <c r="AM2278">
        <v>10</v>
      </c>
      <c r="AN2278">
        <v>36</v>
      </c>
      <c r="AO2278">
        <v>39</v>
      </c>
      <c r="AP2278">
        <v>84</v>
      </c>
      <c r="AQ2278">
        <v>25</v>
      </c>
      <c r="AR2278" t="s">
        <v>1566</v>
      </c>
      <c r="AS2278" t="s">
        <v>1567</v>
      </c>
      <c r="AT2278">
        <v>0.42299999999999999</v>
      </c>
      <c r="AU2278" t="s">
        <v>65</v>
      </c>
      <c r="AV2278">
        <v>120</v>
      </c>
      <c r="AW2278">
        <v>64</v>
      </c>
      <c r="AX2278" t="s">
        <v>1568</v>
      </c>
      <c r="AY2278">
        <v>9.7479999999999997E-2</v>
      </c>
      <c r="AZ2278">
        <v>-3.96E-3</v>
      </c>
      <c r="BA2278">
        <v>1.2800000000000001E-2</v>
      </c>
      <c r="BB2278">
        <v>-6.0999999999999997E-4</v>
      </c>
      <c r="BC2278">
        <v>0.13128000000000001</v>
      </c>
      <c r="BD2278">
        <v>1</v>
      </c>
      <c r="BE2278" t="s">
        <v>69</v>
      </c>
      <c r="BF2278">
        <v>0.23300000000000001</v>
      </c>
      <c r="BG2278">
        <v>-0.373</v>
      </c>
    </row>
    <row r="2279" spans="1:59">
      <c r="A2279">
        <v>0</v>
      </c>
      <c r="B2279">
        <v>12</v>
      </c>
      <c r="C2279">
        <v>4</v>
      </c>
      <c r="D2279" t="s">
        <v>25022</v>
      </c>
      <c r="E2279">
        <v>3359</v>
      </c>
      <c r="F2279" t="s">
        <v>19625</v>
      </c>
      <c r="G2279" t="s">
        <v>62</v>
      </c>
      <c r="H2279">
        <v>3327250</v>
      </c>
      <c r="I2279">
        <v>3328587</v>
      </c>
      <c r="J2279" t="s">
        <v>19626</v>
      </c>
      <c r="K2279">
        <v>446</v>
      </c>
      <c r="L2279" t="s">
        <v>108</v>
      </c>
      <c r="M2279">
        <v>44</v>
      </c>
      <c r="N2279" t="str">
        <f>HYPERLINK("Gene3359-zp_tree_all.dnd", "Gene3359-tree")</f>
        <v>Gene3359-tree</v>
      </c>
      <c r="O2279">
        <v>4</v>
      </c>
      <c r="P2279">
        <v>13</v>
      </c>
      <c r="Q2279">
        <v>4</v>
      </c>
      <c r="R2279">
        <v>13</v>
      </c>
      <c r="S2279">
        <v>0.76471</v>
      </c>
      <c r="T2279" t="s">
        <v>61</v>
      </c>
      <c r="U2279" t="s">
        <v>507</v>
      </c>
      <c r="V2279" t="s">
        <v>62</v>
      </c>
      <c r="W2279" t="s">
        <v>62</v>
      </c>
      <c r="X2279">
        <v>6</v>
      </c>
      <c r="Y2279">
        <v>16</v>
      </c>
      <c r="Z2279">
        <v>16</v>
      </c>
      <c r="AA2279">
        <v>0.5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7</v>
      </c>
      <c r="AH2279">
        <v>3</v>
      </c>
      <c r="AI2279">
        <v>10</v>
      </c>
      <c r="AJ2279">
        <v>14</v>
      </c>
      <c r="AK2279">
        <v>0.41666999999999998</v>
      </c>
      <c r="AL2279">
        <v>15</v>
      </c>
      <c r="AM2279">
        <v>12</v>
      </c>
      <c r="AN2279">
        <v>59</v>
      </c>
      <c r="AO2279">
        <v>24</v>
      </c>
      <c r="AP2279">
        <v>30</v>
      </c>
      <c r="AQ2279">
        <v>8</v>
      </c>
      <c r="AR2279" t="s">
        <v>19627</v>
      </c>
      <c r="AS2279" t="s">
        <v>19628</v>
      </c>
      <c r="AT2279">
        <v>0.47</v>
      </c>
      <c r="AU2279" t="s">
        <v>65</v>
      </c>
      <c r="AV2279">
        <v>89</v>
      </c>
      <c r="AW2279">
        <v>32</v>
      </c>
      <c r="AX2279" t="s">
        <v>19629</v>
      </c>
      <c r="AY2279">
        <v>4.1549999999999997E-2</v>
      </c>
      <c r="AZ2279">
        <v>-1.8699999999999999E-3</v>
      </c>
      <c r="BA2279">
        <v>4.6899999999999997E-3</v>
      </c>
      <c r="BB2279">
        <v>-2.0000000000000001E-4</v>
      </c>
      <c r="BC2279">
        <v>0.11294</v>
      </c>
      <c r="BD2279">
        <v>1</v>
      </c>
      <c r="BE2279" t="s">
        <v>69</v>
      </c>
      <c r="BF2279">
        <v>-1.2050000000000001</v>
      </c>
      <c r="BG2279">
        <v>-2.1819999999999999</v>
      </c>
    </row>
    <row r="2280" spans="1:59">
      <c r="A2280">
        <v>0</v>
      </c>
      <c r="B2280">
        <v>2</v>
      </c>
      <c r="C2280">
        <v>0</v>
      </c>
      <c r="D2280" t="s">
        <v>25022</v>
      </c>
      <c r="E2280">
        <v>1659</v>
      </c>
      <c r="F2280" t="s">
        <v>10388</v>
      </c>
      <c r="G2280" t="s">
        <v>57</v>
      </c>
      <c r="H2280">
        <v>1672174</v>
      </c>
      <c r="I2280">
        <v>1673511</v>
      </c>
      <c r="J2280" t="s">
        <v>10389</v>
      </c>
      <c r="K2280">
        <v>446</v>
      </c>
      <c r="L2280" t="s">
        <v>59</v>
      </c>
      <c r="M2280">
        <v>49</v>
      </c>
      <c r="N2280" t="str">
        <f>HYPERLINK("Gene1659-zp_tree_all.dnd", "Gene1659-tree")</f>
        <v>Gene1659-tree</v>
      </c>
      <c r="O2280">
        <v>35</v>
      </c>
      <c r="P2280">
        <v>3</v>
      </c>
      <c r="Q2280">
        <v>19</v>
      </c>
      <c r="R2280">
        <v>3</v>
      </c>
      <c r="S2280">
        <v>0.13636000000000001</v>
      </c>
      <c r="T2280" t="s">
        <v>10390</v>
      </c>
      <c r="U2280" t="s">
        <v>324</v>
      </c>
      <c r="V2280" t="s">
        <v>62</v>
      </c>
      <c r="W2280" t="s">
        <v>62</v>
      </c>
      <c r="X2280">
        <v>1</v>
      </c>
      <c r="Y2280">
        <v>2</v>
      </c>
      <c r="Z2280">
        <v>4</v>
      </c>
      <c r="AA2280">
        <v>0.33333000000000002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</v>
      </c>
      <c r="AH2280">
        <v>0</v>
      </c>
      <c r="AI2280">
        <v>2</v>
      </c>
      <c r="AJ2280">
        <v>1</v>
      </c>
      <c r="AK2280">
        <v>0.66666999999999998</v>
      </c>
      <c r="AL2280">
        <v>19</v>
      </c>
      <c r="AM2280">
        <v>13</v>
      </c>
      <c r="AN2280">
        <v>70</v>
      </c>
      <c r="AO2280">
        <v>3</v>
      </c>
      <c r="AP2280">
        <v>76</v>
      </c>
      <c r="AQ2280">
        <v>3</v>
      </c>
      <c r="AR2280" t="s">
        <v>10391</v>
      </c>
      <c r="AS2280" t="s">
        <v>10392</v>
      </c>
      <c r="AT2280">
        <v>4.2999999999999997E-2</v>
      </c>
      <c r="AU2280" t="s">
        <v>65</v>
      </c>
      <c r="AV2280">
        <v>146</v>
      </c>
      <c r="AW2280">
        <v>6</v>
      </c>
      <c r="AX2280" t="s">
        <v>10393</v>
      </c>
      <c r="AY2280">
        <v>7.9769999999999994E-2</v>
      </c>
      <c r="AZ2280">
        <v>-3.96E-3</v>
      </c>
      <c r="BA2280">
        <v>1.33E-3</v>
      </c>
      <c r="BB2280">
        <v>-6.0000000000000002E-5</v>
      </c>
      <c r="BC2280">
        <v>1.6719999999999999E-2</v>
      </c>
      <c r="BD2280">
        <v>1</v>
      </c>
      <c r="BE2280" t="s">
        <v>69</v>
      </c>
      <c r="BF2280">
        <v>-1.2150000000000001</v>
      </c>
      <c r="BG2280">
        <v>-1.38</v>
      </c>
    </row>
    <row r="2281" spans="1:59">
      <c r="A2281">
        <v>0</v>
      </c>
      <c r="B2281">
        <v>0</v>
      </c>
      <c r="C2281">
        <v>0</v>
      </c>
      <c r="D2281" t="s">
        <v>25022</v>
      </c>
      <c r="E2281">
        <v>1</v>
      </c>
      <c r="F2281" t="s">
        <v>56</v>
      </c>
      <c r="G2281" t="s">
        <v>57</v>
      </c>
      <c r="H2281">
        <v>410</v>
      </c>
      <c r="I2281">
        <v>1747</v>
      </c>
      <c r="J2281" t="s">
        <v>58</v>
      </c>
      <c r="K2281">
        <v>446</v>
      </c>
      <c r="L2281" t="s">
        <v>59</v>
      </c>
      <c r="M2281">
        <v>49</v>
      </c>
      <c r="N2281" t="str">
        <f>HYPERLINK("Gene1-zp_tree_all.dnd", "Gene1-tree")</f>
        <v>Gene1-tree</v>
      </c>
      <c r="O2281">
        <v>16</v>
      </c>
      <c r="P2281">
        <v>4</v>
      </c>
      <c r="Q2281">
        <v>16</v>
      </c>
      <c r="R2281">
        <v>4</v>
      </c>
      <c r="S2281">
        <v>0.2</v>
      </c>
      <c r="T2281" t="s">
        <v>60</v>
      </c>
      <c r="U2281" t="s">
        <v>61</v>
      </c>
      <c r="V2281" t="s">
        <v>62</v>
      </c>
      <c r="W2281" t="s">
        <v>62</v>
      </c>
      <c r="X2281">
        <v>0</v>
      </c>
      <c r="Y2281">
        <v>0</v>
      </c>
      <c r="Z2281">
        <v>6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5</v>
      </c>
      <c r="AK2281">
        <v>0</v>
      </c>
      <c r="AL2281">
        <v>17</v>
      </c>
      <c r="AM2281">
        <v>15</v>
      </c>
      <c r="AN2281">
        <v>51</v>
      </c>
      <c r="AO2281">
        <v>5</v>
      </c>
      <c r="AP2281">
        <v>77</v>
      </c>
      <c r="AQ2281">
        <v>1</v>
      </c>
      <c r="AR2281" t="s">
        <v>63</v>
      </c>
      <c r="AS2281" t="s">
        <v>64</v>
      </c>
      <c r="AT2281">
        <v>0.70599999999999996</v>
      </c>
      <c r="AU2281" t="s">
        <v>65</v>
      </c>
      <c r="AV2281">
        <v>128</v>
      </c>
      <c r="AW2281">
        <v>6</v>
      </c>
      <c r="AX2281" t="s">
        <v>66</v>
      </c>
      <c r="AY2281">
        <v>9.0109999999999996E-2</v>
      </c>
      <c r="AZ2281">
        <v>-5.45E-3</v>
      </c>
      <c r="BA2281">
        <v>7.3999999999999999E-4</v>
      </c>
      <c r="BB2281">
        <v>-6.0000000000000002E-5</v>
      </c>
      <c r="BC2281">
        <v>8.2500000000000004E-3</v>
      </c>
      <c r="BD2281">
        <v>1</v>
      </c>
      <c r="BE2281" t="s">
        <v>69</v>
      </c>
      <c r="BF2281">
        <v>-1.3049999999999999</v>
      </c>
      <c r="BG2281">
        <v>-1.022</v>
      </c>
    </row>
    <row r="2282" spans="1:59">
      <c r="A2282">
        <v>0</v>
      </c>
      <c r="B2282">
        <v>0</v>
      </c>
      <c r="C2282">
        <v>0</v>
      </c>
      <c r="D2282" t="s">
        <v>25022</v>
      </c>
      <c r="E2282">
        <v>3578</v>
      </c>
      <c r="F2282" t="s">
        <v>20988</v>
      </c>
      <c r="G2282" t="s">
        <v>62</v>
      </c>
      <c r="H2282">
        <v>3542946</v>
      </c>
      <c r="I2282">
        <v>3544286</v>
      </c>
      <c r="J2282" t="s">
        <v>20989</v>
      </c>
      <c r="K2282">
        <v>447</v>
      </c>
      <c r="L2282" t="s">
        <v>20990</v>
      </c>
      <c r="M2282">
        <v>28</v>
      </c>
      <c r="N2282" t="str">
        <f>HYPERLINK("Gene3578-zp_tree_all.dnd", "Gene3578-tree")</f>
        <v>Gene3578-tree</v>
      </c>
      <c r="O2282">
        <v>5</v>
      </c>
      <c r="P2282">
        <v>3</v>
      </c>
      <c r="Q2282">
        <v>5</v>
      </c>
      <c r="R2282">
        <v>3</v>
      </c>
      <c r="S2282">
        <v>0.375</v>
      </c>
      <c r="T2282" t="s">
        <v>199</v>
      </c>
      <c r="U2282" t="s">
        <v>324</v>
      </c>
      <c r="V2282" t="s">
        <v>62</v>
      </c>
      <c r="W2282" t="s">
        <v>62</v>
      </c>
      <c r="X2282">
        <v>0</v>
      </c>
      <c r="Y2282">
        <v>0</v>
      </c>
      <c r="Z2282">
        <v>5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4</v>
      </c>
      <c r="AK2282">
        <v>0</v>
      </c>
      <c r="AL2282">
        <v>5</v>
      </c>
      <c r="AM2282">
        <v>4</v>
      </c>
      <c r="AN2282">
        <v>6</v>
      </c>
      <c r="AO2282">
        <v>2</v>
      </c>
      <c r="AP2282">
        <v>3</v>
      </c>
      <c r="AQ2282">
        <v>3</v>
      </c>
      <c r="AR2282" t="s">
        <v>20991</v>
      </c>
      <c r="AS2282" t="s">
        <v>20992</v>
      </c>
      <c r="AT2282">
        <v>0.77800000000000002</v>
      </c>
      <c r="AU2282" t="s">
        <v>65</v>
      </c>
      <c r="AV2282">
        <v>9</v>
      </c>
      <c r="AW2282">
        <v>5</v>
      </c>
      <c r="AX2282" t="s">
        <v>20993</v>
      </c>
      <c r="AY2282">
        <v>9.4800000000000006E-3</v>
      </c>
      <c r="AZ2282">
        <v>-7.5000000000000002E-4</v>
      </c>
      <c r="BA2282">
        <v>1.72E-3</v>
      </c>
      <c r="BB2282">
        <v>-2.3000000000000001E-4</v>
      </c>
      <c r="BC2282">
        <v>0.18185000000000001</v>
      </c>
      <c r="BD2282">
        <v>0.98899999999999999</v>
      </c>
      <c r="BE2282" t="s">
        <v>69</v>
      </c>
      <c r="BF2282">
        <v>-1.04</v>
      </c>
      <c r="BG2282">
        <v>-0.66200000000000003</v>
      </c>
    </row>
    <row r="2283" spans="1:59">
      <c r="A2283">
        <v>0</v>
      </c>
      <c r="B2283">
        <v>4</v>
      </c>
      <c r="C2283">
        <v>0</v>
      </c>
      <c r="D2283" t="s">
        <v>25022</v>
      </c>
      <c r="E2283">
        <v>1635</v>
      </c>
      <c r="F2283" t="s">
        <v>10244</v>
      </c>
      <c r="G2283" t="s">
        <v>57</v>
      </c>
      <c r="H2283">
        <v>1647939</v>
      </c>
      <c r="I2283">
        <v>1649279</v>
      </c>
      <c r="J2283" t="s">
        <v>10245</v>
      </c>
      <c r="K2283">
        <v>447</v>
      </c>
      <c r="L2283" t="s">
        <v>108</v>
      </c>
      <c r="M2283">
        <v>44</v>
      </c>
      <c r="N2283" t="str">
        <f>HYPERLINK("Gene1635-zp_tree_all.dnd", "Gene1635-tree")</f>
        <v>Gene1635-tree</v>
      </c>
      <c r="O2283">
        <v>6</v>
      </c>
      <c r="P2283">
        <v>27</v>
      </c>
      <c r="Q2283">
        <v>6</v>
      </c>
      <c r="R2283">
        <v>8</v>
      </c>
      <c r="S2283">
        <v>0.57142999999999999</v>
      </c>
      <c r="T2283" t="s">
        <v>90</v>
      </c>
      <c r="U2283" t="s">
        <v>282</v>
      </c>
      <c r="V2283">
        <v>3.2989999999999999</v>
      </c>
      <c r="W2283" t="s">
        <v>65</v>
      </c>
      <c r="X2283">
        <v>2</v>
      </c>
      <c r="Y2283">
        <v>4</v>
      </c>
      <c r="Z2283">
        <v>11</v>
      </c>
      <c r="AA2283">
        <v>0.26667000000000002</v>
      </c>
      <c r="AB2283">
        <v>0</v>
      </c>
      <c r="AC2283">
        <v>0</v>
      </c>
      <c r="AD2283">
        <v>0</v>
      </c>
      <c r="AE2283">
        <v>2</v>
      </c>
      <c r="AF2283">
        <v>0</v>
      </c>
      <c r="AG2283">
        <v>0</v>
      </c>
      <c r="AH2283">
        <v>0</v>
      </c>
      <c r="AI2283">
        <v>0</v>
      </c>
      <c r="AJ2283">
        <v>9</v>
      </c>
      <c r="AK2283">
        <v>0</v>
      </c>
      <c r="AL2283">
        <v>12</v>
      </c>
      <c r="AM2283">
        <v>9</v>
      </c>
      <c r="AN2283">
        <v>28</v>
      </c>
      <c r="AO2283">
        <v>9</v>
      </c>
      <c r="AP2283">
        <v>47</v>
      </c>
      <c r="AQ2283">
        <v>6</v>
      </c>
      <c r="AR2283" t="s">
        <v>10246</v>
      </c>
      <c r="AS2283" t="s">
        <v>10247</v>
      </c>
      <c r="AT2283">
        <v>1.3819999999999999</v>
      </c>
      <c r="AU2283" t="s">
        <v>65</v>
      </c>
      <c r="AV2283">
        <v>75</v>
      </c>
      <c r="AW2283">
        <v>15</v>
      </c>
      <c r="AX2283" t="s">
        <v>10248</v>
      </c>
      <c r="AY2283">
        <v>5.3769999999999998E-2</v>
      </c>
      <c r="AZ2283">
        <v>-3.2299999999999998E-3</v>
      </c>
      <c r="BA2283">
        <v>2.9399999999999999E-3</v>
      </c>
      <c r="BB2283">
        <v>-1.3999999999999999E-4</v>
      </c>
      <c r="BC2283">
        <v>5.4679999999999999E-2</v>
      </c>
      <c r="BD2283">
        <v>1</v>
      </c>
      <c r="BE2283" t="s">
        <v>69</v>
      </c>
      <c r="BF2283">
        <v>-0.27300000000000002</v>
      </c>
      <c r="BG2283">
        <v>0.216</v>
      </c>
    </row>
    <row r="2284" spans="1:59">
      <c r="A2284">
        <v>0</v>
      </c>
      <c r="B2284">
        <v>0</v>
      </c>
      <c r="C2284">
        <v>0</v>
      </c>
      <c r="D2284" t="s">
        <v>25022</v>
      </c>
      <c r="E2284">
        <v>3528</v>
      </c>
      <c r="F2284" t="s">
        <v>20664</v>
      </c>
      <c r="G2284" t="s">
        <v>62</v>
      </c>
      <c r="H2284">
        <v>3489913</v>
      </c>
      <c r="I2284">
        <v>3491253</v>
      </c>
      <c r="J2284" t="s">
        <v>20665</v>
      </c>
      <c r="K2284">
        <v>447</v>
      </c>
      <c r="L2284" t="s">
        <v>108</v>
      </c>
      <c r="M2284">
        <v>44</v>
      </c>
      <c r="N2284" t="str">
        <f>HYPERLINK("Gene3528-zp_tree_all.dnd", "Gene3528-tree")</f>
        <v>Gene3528-tree</v>
      </c>
      <c r="O2284">
        <v>10</v>
      </c>
      <c r="P2284">
        <v>3</v>
      </c>
      <c r="Q2284">
        <v>10</v>
      </c>
      <c r="R2284">
        <v>3</v>
      </c>
      <c r="S2284">
        <v>0.23077</v>
      </c>
      <c r="T2284" t="s">
        <v>117</v>
      </c>
      <c r="U2284" t="s">
        <v>324</v>
      </c>
      <c r="V2284" t="s">
        <v>62</v>
      </c>
      <c r="W2284" t="s">
        <v>62</v>
      </c>
      <c r="X2284">
        <v>0</v>
      </c>
      <c r="Y2284">
        <v>0</v>
      </c>
      <c r="Z2284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4</v>
      </c>
      <c r="AK2284">
        <v>0</v>
      </c>
      <c r="AL2284">
        <v>11</v>
      </c>
      <c r="AM2284">
        <v>7</v>
      </c>
      <c r="AN2284">
        <v>31</v>
      </c>
      <c r="AO2284">
        <v>4</v>
      </c>
      <c r="AP2284">
        <v>8</v>
      </c>
      <c r="AQ2284">
        <v>0</v>
      </c>
      <c r="AR2284" t="s">
        <v>20666</v>
      </c>
      <c r="AS2284" t="s">
        <v>193</v>
      </c>
      <c r="AT2284">
        <v>0.91300000000000003</v>
      </c>
      <c r="AU2284" t="s">
        <v>65</v>
      </c>
      <c r="AV2284">
        <v>39</v>
      </c>
      <c r="AW2284">
        <v>4</v>
      </c>
      <c r="AX2284" t="s">
        <v>20667</v>
      </c>
      <c r="AY2284">
        <v>2.248E-2</v>
      </c>
      <c r="AZ2284">
        <v>-1.15E-3</v>
      </c>
      <c r="BA2284">
        <v>6.0999999999999997E-4</v>
      </c>
      <c r="BB2284">
        <v>-9.0000000000000006E-5</v>
      </c>
      <c r="BC2284">
        <v>2.717E-2</v>
      </c>
      <c r="BD2284">
        <v>1</v>
      </c>
      <c r="BE2284" t="s">
        <v>69</v>
      </c>
      <c r="BF2284">
        <v>-1.603</v>
      </c>
      <c r="BG2284">
        <v>-1.8080000000000001</v>
      </c>
    </row>
    <row r="2285" spans="1:59">
      <c r="A2285">
        <v>0</v>
      </c>
      <c r="B2285">
        <v>25</v>
      </c>
      <c r="C2285">
        <v>0</v>
      </c>
      <c r="D2285" t="s">
        <v>25022</v>
      </c>
      <c r="E2285">
        <v>2477</v>
      </c>
      <c r="F2285" t="s">
        <v>14439</v>
      </c>
      <c r="G2285" t="s">
        <v>62</v>
      </c>
      <c r="H2285">
        <v>2469583</v>
      </c>
      <c r="I2285">
        <v>2470926</v>
      </c>
      <c r="J2285" t="s">
        <v>14440</v>
      </c>
      <c r="K2285">
        <v>448</v>
      </c>
      <c r="L2285" t="s">
        <v>108</v>
      </c>
      <c r="M2285">
        <v>44</v>
      </c>
      <c r="N2285" t="str">
        <f>HYPERLINK("Gene2477-zp_tree_all.dnd", "Gene2477-tree")</f>
        <v>Gene2477-tree</v>
      </c>
      <c r="O2285">
        <v>3</v>
      </c>
      <c r="P2285">
        <v>12</v>
      </c>
      <c r="Q2285">
        <v>3</v>
      </c>
      <c r="R2285">
        <v>12</v>
      </c>
      <c r="S2285">
        <v>0.8</v>
      </c>
      <c r="T2285" t="s">
        <v>324</v>
      </c>
      <c r="U2285" t="s">
        <v>109</v>
      </c>
      <c r="V2285" t="s">
        <v>62</v>
      </c>
      <c r="W2285" t="s">
        <v>62</v>
      </c>
      <c r="X2285">
        <v>9</v>
      </c>
      <c r="Y2285">
        <v>25</v>
      </c>
      <c r="Z2285">
        <v>24</v>
      </c>
      <c r="AA2285">
        <v>0.51019999999999999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5</v>
      </c>
      <c r="AH2285">
        <v>0</v>
      </c>
      <c r="AI2285">
        <v>5</v>
      </c>
      <c r="AJ2285">
        <v>26</v>
      </c>
      <c r="AK2285">
        <v>0.16128999999999999</v>
      </c>
      <c r="AL2285">
        <v>15</v>
      </c>
      <c r="AM2285">
        <v>11</v>
      </c>
      <c r="AN2285">
        <v>55</v>
      </c>
      <c r="AO2285">
        <v>32</v>
      </c>
      <c r="AP2285">
        <v>31</v>
      </c>
      <c r="AQ2285">
        <v>18</v>
      </c>
      <c r="AR2285" t="s">
        <v>14441</v>
      </c>
      <c r="AS2285" t="s">
        <v>14442</v>
      </c>
      <c r="AT2285">
        <v>1.7000000000000001E-2</v>
      </c>
      <c r="AU2285" t="s">
        <v>65</v>
      </c>
      <c r="AV2285">
        <v>86</v>
      </c>
      <c r="AW2285">
        <v>50</v>
      </c>
      <c r="AX2285" t="s">
        <v>14443</v>
      </c>
      <c r="AY2285">
        <v>4.6890000000000001E-2</v>
      </c>
      <c r="AZ2285">
        <v>-2.4599999999999999E-3</v>
      </c>
      <c r="BA2285">
        <v>7.9399999999999991E-3</v>
      </c>
      <c r="BB2285">
        <v>-2.7999999999999998E-4</v>
      </c>
      <c r="BC2285">
        <v>0.16932</v>
      </c>
      <c r="BD2285">
        <v>1</v>
      </c>
      <c r="BE2285" t="s">
        <v>69</v>
      </c>
      <c r="BF2285">
        <v>-0.84299999999999997</v>
      </c>
      <c r="BG2285">
        <v>-1.7929999999999999</v>
      </c>
    </row>
    <row r="2286" spans="1:59">
      <c r="A2286">
        <v>0</v>
      </c>
      <c r="B2286">
        <v>7</v>
      </c>
      <c r="C2286">
        <v>0</v>
      </c>
      <c r="D2286" t="s">
        <v>25022</v>
      </c>
      <c r="E2286">
        <v>2558</v>
      </c>
      <c r="F2286" t="s">
        <v>14955</v>
      </c>
      <c r="G2286" t="s">
        <v>62</v>
      </c>
      <c r="H2286">
        <v>2546872</v>
      </c>
      <c r="I2286">
        <v>2548215</v>
      </c>
      <c r="J2286" t="s">
        <v>14956</v>
      </c>
      <c r="K2286">
        <v>448</v>
      </c>
      <c r="L2286" t="s">
        <v>108</v>
      </c>
      <c r="M2286">
        <v>44</v>
      </c>
      <c r="N2286" t="str">
        <f>HYPERLINK("Gene2558-zp_tree_all.dnd", "Gene2558-tree")</f>
        <v>Gene2558-tree</v>
      </c>
      <c r="O2286">
        <v>7</v>
      </c>
      <c r="P2286">
        <v>8</v>
      </c>
      <c r="Q2286">
        <v>7</v>
      </c>
      <c r="R2286">
        <v>8</v>
      </c>
      <c r="S2286">
        <v>0.53332999999999997</v>
      </c>
      <c r="T2286" t="s">
        <v>152</v>
      </c>
      <c r="U2286" t="s">
        <v>136</v>
      </c>
      <c r="V2286" t="s">
        <v>62</v>
      </c>
      <c r="W2286" t="s">
        <v>62</v>
      </c>
      <c r="X2286">
        <v>3</v>
      </c>
      <c r="Y2286">
        <v>7</v>
      </c>
      <c r="Z2286">
        <v>11</v>
      </c>
      <c r="AA2286">
        <v>0.38889000000000001</v>
      </c>
      <c r="AB2286">
        <v>0</v>
      </c>
      <c r="AC2286">
        <v>0</v>
      </c>
      <c r="AD2286">
        <v>0</v>
      </c>
      <c r="AE2286">
        <v>2</v>
      </c>
      <c r="AF2286">
        <v>0</v>
      </c>
      <c r="AG2286">
        <v>7</v>
      </c>
      <c r="AH2286">
        <v>0</v>
      </c>
      <c r="AI2286">
        <v>7</v>
      </c>
      <c r="AJ2286">
        <v>8</v>
      </c>
      <c r="AK2286">
        <v>0.46666999999999997</v>
      </c>
      <c r="AL2286">
        <v>13</v>
      </c>
      <c r="AM2286">
        <v>9</v>
      </c>
      <c r="AN2286">
        <v>33</v>
      </c>
      <c r="AO2286">
        <v>15</v>
      </c>
      <c r="AP2286">
        <v>24</v>
      </c>
      <c r="AQ2286">
        <v>3</v>
      </c>
      <c r="AR2286" t="s">
        <v>14957</v>
      </c>
      <c r="AS2286" t="s">
        <v>14958</v>
      </c>
      <c r="AT2286">
        <v>0.95499999999999996</v>
      </c>
      <c r="AU2286" t="s">
        <v>65</v>
      </c>
      <c r="AV2286">
        <v>57</v>
      </c>
      <c r="AW2286">
        <v>18</v>
      </c>
      <c r="AX2286" t="s">
        <v>14959</v>
      </c>
      <c r="AY2286">
        <v>3.2129999999999999E-2</v>
      </c>
      <c r="AZ2286">
        <v>-1.06E-3</v>
      </c>
      <c r="BA2286">
        <v>2.5799999999999998E-3</v>
      </c>
      <c r="BB2286">
        <v>-1.7000000000000001E-4</v>
      </c>
      <c r="BC2286">
        <v>8.0420000000000005E-2</v>
      </c>
      <c r="BD2286">
        <v>1</v>
      </c>
      <c r="BE2286" t="s">
        <v>69</v>
      </c>
      <c r="BF2286">
        <v>-0.71</v>
      </c>
      <c r="BG2286">
        <v>-0.312</v>
      </c>
    </row>
    <row r="2287" spans="1:59">
      <c r="A2287">
        <v>2</v>
      </c>
      <c r="B2287">
        <v>8</v>
      </c>
      <c r="C2287">
        <v>4</v>
      </c>
      <c r="D2287" t="s">
        <v>25022</v>
      </c>
      <c r="E2287">
        <v>3138</v>
      </c>
      <c r="F2287" t="s">
        <v>18222</v>
      </c>
      <c r="G2287" t="s">
        <v>62</v>
      </c>
      <c r="H2287">
        <v>3093346</v>
      </c>
      <c r="I2287">
        <v>3094689</v>
      </c>
      <c r="J2287" t="s">
        <v>18223</v>
      </c>
      <c r="K2287">
        <v>448</v>
      </c>
      <c r="L2287" t="s">
        <v>108</v>
      </c>
      <c r="M2287">
        <v>44</v>
      </c>
      <c r="N2287" t="str">
        <f>HYPERLINK("Gene3138-zp_tree_all.dnd", "Gene3138-tree")</f>
        <v>Gene3138-tree</v>
      </c>
      <c r="O2287">
        <v>5</v>
      </c>
      <c r="P2287">
        <v>11</v>
      </c>
      <c r="Q2287">
        <v>5</v>
      </c>
      <c r="R2287">
        <v>11</v>
      </c>
      <c r="S2287">
        <v>0.6875</v>
      </c>
      <c r="T2287" t="s">
        <v>199</v>
      </c>
      <c r="U2287" t="s">
        <v>73</v>
      </c>
      <c r="V2287">
        <v>137353515.63499999</v>
      </c>
      <c r="W2287" t="s">
        <v>267</v>
      </c>
      <c r="X2287">
        <v>5</v>
      </c>
      <c r="Y2287">
        <v>14</v>
      </c>
      <c r="Z2287">
        <v>14</v>
      </c>
      <c r="AA2287">
        <v>0.5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3</v>
      </c>
      <c r="AH2287">
        <v>2</v>
      </c>
      <c r="AI2287">
        <v>5</v>
      </c>
      <c r="AJ2287">
        <v>14</v>
      </c>
      <c r="AK2287">
        <v>0.26316000000000001</v>
      </c>
      <c r="AL2287">
        <v>14</v>
      </c>
      <c r="AM2287">
        <v>13</v>
      </c>
      <c r="AN2287">
        <v>55</v>
      </c>
      <c r="AO2287">
        <v>21</v>
      </c>
      <c r="AP2287">
        <v>53</v>
      </c>
      <c r="AQ2287">
        <v>9</v>
      </c>
      <c r="AR2287" t="s">
        <v>18224</v>
      </c>
      <c r="AS2287" t="s">
        <v>18225</v>
      </c>
      <c r="AT2287">
        <v>1.0589999999999999</v>
      </c>
      <c r="AU2287" t="s">
        <v>65</v>
      </c>
      <c r="AV2287">
        <v>108</v>
      </c>
      <c r="AW2287">
        <v>30</v>
      </c>
      <c r="AX2287" t="s">
        <v>18226</v>
      </c>
      <c r="AY2287">
        <v>5.9540000000000003E-2</v>
      </c>
      <c r="AZ2287">
        <v>-1.7099999999999999E-3</v>
      </c>
      <c r="BA2287">
        <v>4.7699999999999999E-3</v>
      </c>
      <c r="BB2287">
        <v>-1.8000000000000001E-4</v>
      </c>
      <c r="BC2287">
        <v>8.0060000000000006E-2</v>
      </c>
      <c r="BD2287">
        <v>1</v>
      </c>
      <c r="BE2287" t="s">
        <v>69</v>
      </c>
      <c r="BF2287">
        <v>-0.104</v>
      </c>
      <c r="BG2287">
        <v>-1.3129999999999999</v>
      </c>
    </row>
    <row r="2288" spans="1:59">
      <c r="A2288">
        <v>0</v>
      </c>
      <c r="B2288">
        <v>0</v>
      </c>
      <c r="C2288">
        <v>0</v>
      </c>
      <c r="D2288" t="s">
        <v>25022</v>
      </c>
      <c r="E2288">
        <v>2532</v>
      </c>
      <c r="F2288" t="s">
        <v>14788</v>
      </c>
      <c r="G2288" t="s">
        <v>62</v>
      </c>
      <c r="H2288">
        <v>2526923</v>
      </c>
      <c r="I2288">
        <v>2528266</v>
      </c>
      <c r="J2288" t="s">
        <v>14789</v>
      </c>
      <c r="K2288">
        <v>448</v>
      </c>
      <c r="L2288" t="s">
        <v>108</v>
      </c>
      <c r="M2288">
        <v>44</v>
      </c>
      <c r="N2288" t="str">
        <f>HYPERLINK("Gene2532-zp_tree_all.dnd", "Gene2532-tree")</f>
        <v>Gene2532-tree</v>
      </c>
      <c r="O2288">
        <v>7</v>
      </c>
      <c r="P2288">
        <v>7</v>
      </c>
      <c r="Q2288">
        <v>7</v>
      </c>
      <c r="R2288">
        <v>7</v>
      </c>
      <c r="S2288">
        <v>0.5</v>
      </c>
      <c r="T2288" t="s">
        <v>152</v>
      </c>
      <c r="U2288" t="s">
        <v>152</v>
      </c>
      <c r="V2288" t="s">
        <v>62</v>
      </c>
      <c r="W2288" t="s">
        <v>62</v>
      </c>
      <c r="X2288">
        <v>0</v>
      </c>
      <c r="Y2288">
        <v>0</v>
      </c>
      <c r="Z2288">
        <v>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9</v>
      </c>
      <c r="AK2288">
        <v>0</v>
      </c>
      <c r="AL2288">
        <v>11</v>
      </c>
      <c r="AM2288">
        <v>10</v>
      </c>
      <c r="AN2288">
        <v>22</v>
      </c>
      <c r="AO2288">
        <v>8</v>
      </c>
      <c r="AP2288">
        <v>15</v>
      </c>
      <c r="AQ2288">
        <v>1</v>
      </c>
      <c r="AR2288" t="s">
        <v>14790</v>
      </c>
      <c r="AS2288" t="s">
        <v>14791</v>
      </c>
      <c r="AT2288">
        <v>0.91100000000000003</v>
      </c>
      <c r="AU2288" t="s">
        <v>65</v>
      </c>
      <c r="AV2288">
        <v>37</v>
      </c>
      <c r="AW2288">
        <v>9</v>
      </c>
      <c r="AX2288" t="s">
        <v>14792</v>
      </c>
      <c r="AY2288">
        <v>2.5010000000000001E-2</v>
      </c>
      <c r="AZ2288">
        <v>-1.17E-3</v>
      </c>
      <c r="BA2288">
        <v>1.3600000000000001E-3</v>
      </c>
      <c r="BB2288">
        <v>-1.1E-4</v>
      </c>
      <c r="BC2288">
        <v>5.4390000000000001E-2</v>
      </c>
      <c r="BD2288">
        <v>1</v>
      </c>
      <c r="BE2288" t="s">
        <v>69</v>
      </c>
      <c r="BF2288">
        <v>-1.02</v>
      </c>
      <c r="BG2288">
        <v>-2.423</v>
      </c>
    </row>
    <row r="2289" spans="1:59">
      <c r="A2289">
        <v>0</v>
      </c>
      <c r="B2289">
        <v>3</v>
      </c>
      <c r="C2289">
        <v>0</v>
      </c>
      <c r="D2289" t="s">
        <v>25022</v>
      </c>
      <c r="E2289">
        <v>178</v>
      </c>
      <c r="F2289" t="s">
        <v>1249</v>
      </c>
      <c r="G2289" t="s">
        <v>57</v>
      </c>
      <c r="H2289">
        <v>198497</v>
      </c>
      <c r="I2289">
        <v>199840</v>
      </c>
      <c r="J2289" t="s">
        <v>1250</v>
      </c>
      <c r="K2289">
        <v>448</v>
      </c>
      <c r="L2289" t="s">
        <v>125</v>
      </c>
      <c r="M2289">
        <v>48</v>
      </c>
      <c r="N2289" t="str">
        <f>HYPERLINK("Gene178-zp_tree_all.dnd", "Gene178-tree")</f>
        <v>Gene178-tree</v>
      </c>
      <c r="O2289">
        <v>15</v>
      </c>
      <c r="P2289">
        <v>3</v>
      </c>
      <c r="Q2289">
        <v>15</v>
      </c>
      <c r="R2289">
        <v>3</v>
      </c>
      <c r="S2289">
        <v>0.16667000000000001</v>
      </c>
      <c r="T2289" t="s">
        <v>100</v>
      </c>
      <c r="U2289" t="s">
        <v>324</v>
      </c>
      <c r="V2289" t="s">
        <v>62</v>
      </c>
      <c r="W2289" t="s">
        <v>62</v>
      </c>
      <c r="X2289">
        <v>1</v>
      </c>
      <c r="Y2289">
        <v>3</v>
      </c>
      <c r="Z2289">
        <v>4</v>
      </c>
      <c r="AA2289">
        <v>0.42857000000000001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</v>
      </c>
      <c r="AH2289">
        <v>0</v>
      </c>
      <c r="AI2289">
        <v>2</v>
      </c>
      <c r="AJ2289">
        <v>1</v>
      </c>
      <c r="AK2289">
        <v>0.66666999999999998</v>
      </c>
      <c r="AL2289">
        <v>16</v>
      </c>
      <c r="AM2289">
        <v>13</v>
      </c>
      <c r="AN2289">
        <v>54</v>
      </c>
      <c r="AO2289">
        <v>3</v>
      </c>
      <c r="AP2289">
        <v>102</v>
      </c>
      <c r="AQ2289">
        <v>5</v>
      </c>
      <c r="AR2289" t="s">
        <v>1251</v>
      </c>
      <c r="AS2289" t="s">
        <v>1252</v>
      </c>
      <c r="AT2289">
        <v>0.10199999999999999</v>
      </c>
      <c r="AU2289" t="s">
        <v>65</v>
      </c>
      <c r="AV2289">
        <v>156</v>
      </c>
      <c r="AW2289">
        <v>8</v>
      </c>
      <c r="AX2289" t="s">
        <v>1253</v>
      </c>
      <c r="AY2289">
        <v>0.10997999999999999</v>
      </c>
      <c r="AZ2289">
        <v>-8.2799999999999992E-3</v>
      </c>
      <c r="BA2289">
        <v>1.83E-3</v>
      </c>
      <c r="BB2289">
        <v>-8.0000000000000007E-5</v>
      </c>
      <c r="BC2289">
        <v>1.6650000000000002E-2</v>
      </c>
      <c r="BD2289">
        <v>1</v>
      </c>
      <c r="BE2289" t="s">
        <v>69</v>
      </c>
      <c r="BF2289">
        <v>-1.4059999999999999</v>
      </c>
      <c r="BG2289">
        <v>0.13100000000000001</v>
      </c>
    </row>
    <row r="2290" spans="1:59">
      <c r="A2290">
        <v>0</v>
      </c>
      <c r="B2290">
        <v>2</v>
      </c>
      <c r="C2290">
        <v>0</v>
      </c>
      <c r="D2290" t="s">
        <v>25022</v>
      </c>
      <c r="E2290">
        <v>852</v>
      </c>
      <c r="F2290" t="s">
        <v>5321</v>
      </c>
      <c r="G2290" t="s">
        <v>57</v>
      </c>
      <c r="H2290">
        <v>890022</v>
      </c>
      <c r="I2290">
        <v>891368</v>
      </c>
      <c r="J2290" t="s">
        <v>5322</v>
      </c>
      <c r="K2290">
        <v>449</v>
      </c>
      <c r="L2290" t="s">
        <v>108</v>
      </c>
      <c r="M2290">
        <v>44</v>
      </c>
      <c r="N2290" t="str">
        <f>HYPERLINK("Gene852-zp_tree_all.dnd", "Gene852-tree")</f>
        <v>Gene852-tree</v>
      </c>
      <c r="O2290">
        <v>7</v>
      </c>
      <c r="P2290">
        <v>7</v>
      </c>
      <c r="Q2290">
        <v>7</v>
      </c>
      <c r="R2290">
        <v>7</v>
      </c>
      <c r="S2290">
        <v>0.5</v>
      </c>
      <c r="T2290" t="s">
        <v>152</v>
      </c>
      <c r="U2290" t="s">
        <v>152</v>
      </c>
      <c r="V2290" t="s">
        <v>62</v>
      </c>
      <c r="W2290" t="s">
        <v>62</v>
      </c>
      <c r="X2290">
        <v>1</v>
      </c>
      <c r="Y2290">
        <v>2</v>
      </c>
      <c r="Z2290">
        <v>8</v>
      </c>
      <c r="AA2290">
        <v>0.2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</v>
      </c>
      <c r="AH2290">
        <v>0</v>
      </c>
      <c r="AI2290">
        <v>2</v>
      </c>
      <c r="AJ2290">
        <v>7</v>
      </c>
      <c r="AK2290">
        <v>0.22222</v>
      </c>
      <c r="AL2290">
        <v>13</v>
      </c>
      <c r="AM2290">
        <v>8</v>
      </c>
      <c r="AN2290">
        <v>28</v>
      </c>
      <c r="AO2290">
        <v>7</v>
      </c>
      <c r="AP2290">
        <v>43</v>
      </c>
      <c r="AQ2290">
        <v>3</v>
      </c>
      <c r="AR2290" t="s">
        <v>5323</v>
      </c>
      <c r="AS2290" t="s">
        <v>5324</v>
      </c>
      <c r="AT2290">
        <v>1.0620000000000001</v>
      </c>
      <c r="AU2290" t="s">
        <v>65</v>
      </c>
      <c r="AV2290">
        <v>71</v>
      </c>
      <c r="AW2290">
        <v>10</v>
      </c>
      <c r="AX2290" t="s">
        <v>5325</v>
      </c>
      <c r="AY2290">
        <v>5.5739999999999998E-2</v>
      </c>
      <c r="AZ2290">
        <v>-4.6499999999999996E-3</v>
      </c>
      <c r="BA2290">
        <v>1.67E-3</v>
      </c>
      <c r="BB2290">
        <v>-1.1E-4</v>
      </c>
      <c r="BC2290">
        <v>3.0009999999999998E-2</v>
      </c>
      <c r="BD2290">
        <v>1</v>
      </c>
      <c r="BE2290" t="s">
        <v>69</v>
      </c>
      <c r="BF2290">
        <v>1.659</v>
      </c>
      <c r="BG2290">
        <v>3.7999999999999999E-2</v>
      </c>
    </row>
    <row r="2291" spans="1:59">
      <c r="A2291">
        <v>0</v>
      </c>
      <c r="B2291">
        <v>0</v>
      </c>
      <c r="C2291">
        <v>0</v>
      </c>
      <c r="D2291" t="s">
        <v>25022</v>
      </c>
      <c r="E2291">
        <v>1401</v>
      </c>
      <c r="F2291" t="s">
        <v>8770</v>
      </c>
      <c r="G2291" t="s">
        <v>57</v>
      </c>
      <c r="H2291">
        <v>1416067</v>
      </c>
      <c r="I2291">
        <v>1417413</v>
      </c>
      <c r="J2291" t="s">
        <v>8771</v>
      </c>
      <c r="K2291">
        <v>449</v>
      </c>
      <c r="L2291" t="s">
        <v>108</v>
      </c>
      <c r="M2291">
        <v>44</v>
      </c>
      <c r="N2291" t="str">
        <f>HYPERLINK("Gene1401-zp_tree_all.dnd", "Gene1401-tree")</f>
        <v>Gene1401-tree</v>
      </c>
      <c r="O2291">
        <v>11</v>
      </c>
      <c r="P2291">
        <v>4</v>
      </c>
      <c r="Q2291">
        <v>11</v>
      </c>
      <c r="R2291">
        <v>4</v>
      </c>
      <c r="S2291">
        <v>0.26667000000000002</v>
      </c>
      <c r="T2291" t="s">
        <v>73</v>
      </c>
      <c r="U2291" t="s">
        <v>61</v>
      </c>
      <c r="V2291" t="s">
        <v>62</v>
      </c>
      <c r="W2291" t="s">
        <v>62</v>
      </c>
      <c r="X2291">
        <v>0</v>
      </c>
      <c r="Y2291">
        <v>0</v>
      </c>
      <c r="Z2291">
        <v>5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4</v>
      </c>
      <c r="AK2291">
        <v>0</v>
      </c>
      <c r="AL2291">
        <v>14</v>
      </c>
      <c r="AM2291">
        <v>12</v>
      </c>
      <c r="AN2291">
        <v>49</v>
      </c>
      <c r="AO2291">
        <v>4</v>
      </c>
      <c r="AP2291">
        <v>28</v>
      </c>
      <c r="AQ2291">
        <v>1</v>
      </c>
      <c r="AR2291" t="s">
        <v>8772</v>
      </c>
      <c r="AS2291" t="s">
        <v>8773</v>
      </c>
      <c r="AT2291">
        <v>0.33900000000000002</v>
      </c>
      <c r="AU2291" t="s">
        <v>65</v>
      </c>
      <c r="AV2291">
        <v>77</v>
      </c>
      <c r="AW2291">
        <v>5</v>
      </c>
      <c r="AX2291" t="s">
        <v>8774</v>
      </c>
      <c r="AY2291">
        <v>4.1090000000000002E-2</v>
      </c>
      <c r="AZ2291">
        <v>-1.2800000000000001E-3</v>
      </c>
      <c r="BA2291">
        <v>8.7000000000000001E-4</v>
      </c>
      <c r="BB2291">
        <v>-6.9999999999999994E-5</v>
      </c>
      <c r="BC2291">
        <v>2.12E-2</v>
      </c>
      <c r="BD2291">
        <v>1</v>
      </c>
      <c r="BE2291" t="s">
        <v>69</v>
      </c>
      <c r="BF2291">
        <v>-0.872</v>
      </c>
      <c r="BG2291">
        <v>-2.1509999999999998</v>
      </c>
    </row>
    <row r="2292" spans="1:59">
      <c r="A2292">
        <v>0</v>
      </c>
      <c r="B2292">
        <v>0</v>
      </c>
      <c r="C2292">
        <v>2</v>
      </c>
      <c r="D2292" t="s">
        <v>25022</v>
      </c>
      <c r="E2292">
        <v>961</v>
      </c>
      <c r="F2292" t="s">
        <v>6024</v>
      </c>
      <c r="G2292" t="s">
        <v>57</v>
      </c>
      <c r="H2292">
        <v>1000364</v>
      </c>
      <c r="I2292">
        <v>1001713</v>
      </c>
      <c r="J2292" t="s">
        <v>6025</v>
      </c>
      <c r="K2292">
        <v>450</v>
      </c>
      <c r="L2292" t="s">
        <v>108</v>
      </c>
      <c r="M2292">
        <v>44</v>
      </c>
      <c r="N2292" t="str">
        <f>HYPERLINK("Gene961-zp_tree_all.dnd", "Gene961-tree")</f>
        <v>Gene961-tree</v>
      </c>
      <c r="O2292">
        <v>8</v>
      </c>
      <c r="P2292">
        <v>6</v>
      </c>
      <c r="Q2292">
        <v>8</v>
      </c>
      <c r="R2292">
        <v>6</v>
      </c>
      <c r="S2292">
        <v>0.42857000000000001</v>
      </c>
      <c r="T2292" t="s">
        <v>136</v>
      </c>
      <c r="U2292" t="s">
        <v>90</v>
      </c>
      <c r="V2292" t="s">
        <v>62</v>
      </c>
      <c r="W2292" t="s">
        <v>62</v>
      </c>
      <c r="X2292">
        <v>1</v>
      </c>
      <c r="Y2292">
        <v>2</v>
      </c>
      <c r="Z2292">
        <v>11</v>
      </c>
      <c r="AA2292">
        <v>0.15384999999999999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2</v>
      </c>
      <c r="AI2292">
        <v>2</v>
      </c>
      <c r="AJ2292">
        <v>7</v>
      </c>
      <c r="AK2292">
        <v>0.22222</v>
      </c>
      <c r="AL2292">
        <v>13</v>
      </c>
      <c r="AM2292">
        <v>9</v>
      </c>
      <c r="AN2292">
        <v>36</v>
      </c>
      <c r="AO2292">
        <v>9</v>
      </c>
      <c r="AP2292">
        <v>36</v>
      </c>
      <c r="AQ2292">
        <v>4</v>
      </c>
      <c r="AR2292" t="s">
        <v>6026</v>
      </c>
      <c r="AS2292" t="s">
        <v>6027</v>
      </c>
      <c r="AT2292">
        <v>0.77500000000000002</v>
      </c>
      <c r="AU2292" t="s">
        <v>65</v>
      </c>
      <c r="AV2292">
        <v>72</v>
      </c>
      <c r="AW2292">
        <v>13</v>
      </c>
      <c r="AX2292" t="s">
        <v>6028</v>
      </c>
      <c r="AY2292">
        <v>4.1149999999999999E-2</v>
      </c>
      <c r="AZ2292">
        <v>-1.3699999999999999E-3</v>
      </c>
      <c r="BA2292">
        <v>2.3400000000000001E-3</v>
      </c>
      <c r="BB2292">
        <v>-1.2999999999999999E-4</v>
      </c>
      <c r="BC2292">
        <v>5.679E-2</v>
      </c>
      <c r="BD2292">
        <v>1</v>
      </c>
      <c r="BE2292" t="s">
        <v>69</v>
      </c>
      <c r="BF2292">
        <v>-0.91500000000000004</v>
      </c>
      <c r="BG2292">
        <v>-1.3520000000000001</v>
      </c>
    </row>
    <row r="2293" spans="1:59">
      <c r="A2293">
        <v>0</v>
      </c>
      <c r="B2293">
        <v>4</v>
      </c>
      <c r="C2293">
        <v>0</v>
      </c>
      <c r="D2293" t="s">
        <v>25022</v>
      </c>
      <c r="E2293">
        <v>2388</v>
      </c>
      <c r="F2293" t="s">
        <v>13897</v>
      </c>
      <c r="G2293" t="s">
        <v>62</v>
      </c>
      <c r="H2293">
        <v>2397768</v>
      </c>
      <c r="I2293">
        <v>2399117</v>
      </c>
      <c r="J2293" t="s">
        <v>13898</v>
      </c>
      <c r="K2293">
        <v>450</v>
      </c>
      <c r="L2293" t="s">
        <v>108</v>
      </c>
      <c r="M2293">
        <v>44</v>
      </c>
      <c r="N2293" t="str">
        <f>HYPERLINK("Gene2388-zp_tree_all.dnd", "Gene2388-tree")</f>
        <v>Gene2388-tree</v>
      </c>
      <c r="O2293">
        <v>8</v>
      </c>
      <c r="P2293">
        <v>5</v>
      </c>
      <c r="Q2293">
        <v>8</v>
      </c>
      <c r="R2293">
        <v>5</v>
      </c>
      <c r="S2293">
        <v>0.38462000000000002</v>
      </c>
      <c r="T2293" t="s">
        <v>136</v>
      </c>
      <c r="U2293" t="s">
        <v>199</v>
      </c>
      <c r="V2293" t="s">
        <v>62</v>
      </c>
      <c r="W2293" t="s">
        <v>62</v>
      </c>
      <c r="X2293">
        <v>2</v>
      </c>
      <c r="Y2293">
        <v>4</v>
      </c>
      <c r="Z2293">
        <v>4</v>
      </c>
      <c r="AA2293">
        <v>0.5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5</v>
      </c>
      <c r="AK2293">
        <v>0</v>
      </c>
      <c r="AL2293">
        <v>11</v>
      </c>
      <c r="AM2293">
        <v>8</v>
      </c>
      <c r="AN2293">
        <v>34</v>
      </c>
      <c r="AO2293">
        <v>5</v>
      </c>
      <c r="AP2293">
        <v>19</v>
      </c>
      <c r="AQ2293">
        <v>3</v>
      </c>
      <c r="AR2293" t="s">
        <v>13899</v>
      </c>
      <c r="AS2293" t="s">
        <v>13900</v>
      </c>
      <c r="AT2293">
        <v>6.9000000000000006E-2</v>
      </c>
      <c r="AU2293" t="s">
        <v>65</v>
      </c>
      <c r="AV2293">
        <v>53</v>
      </c>
      <c r="AW2293">
        <v>8</v>
      </c>
      <c r="AX2293" t="s">
        <v>13901</v>
      </c>
      <c r="AY2293">
        <v>3.4369999999999998E-2</v>
      </c>
      <c r="AZ2293">
        <v>-2.1700000000000001E-3</v>
      </c>
      <c r="BA2293">
        <v>1.4499999999999999E-3</v>
      </c>
      <c r="BB2293">
        <v>-9.0000000000000006E-5</v>
      </c>
      <c r="BC2293">
        <v>4.2270000000000002E-2</v>
      </c>
      <c r="BD2293">
        <v>1</v>
      </c>
      <c r="BE2293" t="s">
        <v>69</v>
      </c>
      <c r="BF2293">
        <v>-0.88500000000000001</v>
      </c>
      <c r="BG2293">
        <v>-1.4430000000000001</v>
      </c>
    </row>
    <row r="2294" spans="1:59">
      <c r="A2294">
        <v>0</v>
      </c>
      <c r="B2294">
        <v>6</v>
      </c>
      <c r="C2294">
        <v>0</v>
      </c>
      <c r="D2294" t="s">
        <v>25022</v>
      </c>
      <c r="E2294">
        <v>2536</v>
      </c>
      <c r="F2294" t="s">
        <v>14816</v>
      </c>
      <c r="G2294" t="s">
        <v>62</v>
      </c>
      <c r="H2294">
        <v>2530357</v>
      </c>
      <c r="I2294">
        <v>2531706</v>
      </c>
      <c r="J2294" t="s">
        <v>14817</v>
      </c>
      <c r="K2294">
        <v>450</v>
      </c>
      <c r="L2294" t="s">
        <v>394</v>
      </c>
      <c r="M2294">
        <v>48</v>
      </c>
      <c r="N2294" t="str">
        <f>HYPERLINK("Gene2536-zp_tree_all.dnd", "Gene2536-tree")</f>
        <v>Gene2536-tree</v>
      </c>
      <c r="O2294">
        <v>11</v>
      </c>
      <c r="P2294">
        <v>5</v>
      </c>
      <c r="Q2294">
        <v>11</v>
      </c>
      <c r="R2294">
        <v>5</v>
      </c>
      <c r="S2294">
        <v>0.3125</v>
      </c>
      <c r="T2294" t="s">
        <v>73</v>
      </c>
      <c r="U2294" t="s">
        <v>199</v>
      </c>
      <c r="V2294" t="s">
        <v>62</v>
      </c>
      <c r="W2294" t="s">
        <v>62</v>
      </c>
      <c r="X2294">
        <v>3</v>
      </c>
      <c r="Y2294">
        <v>6</v>
      </c>
      <c r="Z2294">
        <v>7</v>
      </c>
      <c r="AA2294">
        <v>0.46154000000000001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</v>
      </c>
      <c r="AH2294">
        <v>0</v>
      </c>
      <c r="AI2294">
        <v>2</v>
      </c>
      <c r="AJ2294">
        <v>6</v>
      </c>
      <c r="AK2294">
        <v>0.25</v>
      </c>
      <c r="AL2294">
        <v>14</v>
      </c>
      <c r="AM2294">
        <v>12</v>
      </c>
      <c r="AN2294">
        <v>88</v>
      </c>
      <c r="AO2294">
        <v>8</v>
      </c>
      <c r="AP2294">
        <v>61</v>
      </c>
      <c r="AQ2294">
        <v>5</v>
      </c>
      <c r="AR2294" t="s">
        <v>14818</v>
      </c>
      <c r="AS2294" t="s">
        <v>14819</v>
      </c>
      <c r="AT2294">
        <v>0.05</v>
      </c>
      <c r="AU2294" t="s">
        <v>65</v>
      </c>
      <c r="AV2294">
        <v>149</v>
      </c>
      <c r="AW2294">
        <v>13</v>
      </c>
      <c r="AX2294" t="s">
        <v>14820</v>
      </c>
      <c r="AY2294">
        <v>0.10551000000000001</v>
      </c>
      <c r="AZ2294">
        <v>-7.2500000000000004E-3</v>
      </c>
      <c r="BA2294">
        <v>2.0400000000000001E-3</v>
      </c>
      <c r="BB2294">
        <v>-1.8000000000000001E-4</v>
      </c>
      <c r="BC2294">
        <v>1.932E-2</v>
      </c>
      <c r="BD2294">
        <v>1</v>
      </c>
      <c r="BE2294" t="s">
        <v>69</v>
      </c>
      <c r="BF2294">
        <v>-1.5680000000000001</v>
      </c>
      <c r="BG2294">
        <v>-2.7149999999999999</v>
      </c>
    </row>
    <row r="2295" spans="1:59">
      <c r="A2295">
        <v>0</v>
      </c>
      <c r="B2295">
        <v>0</v>
      </c>
      <c r="C2295">
        <v>0</v>
      </c>
      <c r="D2295" t="s">
        <v>25022</v>
      </c>
      <c r="E2295">
        <v>3254</v>
      </c>
      <c r="F2295" t="s">
        <v>18970</v>
      </c>
      <c r="G2295" t="s">
        <v>62</v>
      </c>
      <c r="H2295">
        <v>3220734</v>
      </c>
      <c r="I2295">
        <v>3222083</v>
      </c>
      <c r="J2295" t="s">
        <v>18971</v>
      </c>
      <c r="K2295">
        <v>450</v>
      </c>
      <c r="L2295" t="s">
        <v>125</v>
      </c>
      <c r="M2295">
        <v>48</v>
      </c>
      <c r="N2295" t="str">
        <f>HYPERLINK("Gene3254-zp_tree_all.dnd", "Gene3254-tree")</f>
        <v>Gene3254-tree</v>
      </c>
      <c r="O2295">
        <v>32</v>
      </c>
      <c r="P2295">
        <v>4</v>
      </c>
      <c r="Q2295">
        <v>17</v>
      </c>
      <c r="R2295">
        <v>4</v>
      </c>
      <c r="S2295">
        <v>0.19048000000000001</v>
      </c>
      <c r="T2295" t="s">
        <v>18972</v>
      </c>
      <c r="U2295" t="s">
        <v>61</v>
      </c>
      <c r="V2295" t="s">
        <v>62</v>
      </c>
      <c r="W2295" t="s">
        <v>62</v>
      </c>
      <c r="X2295">
        <v>0</v>
      </c>
      <c r="Y2295">
        <v>0</v>
      </c>
      <c r="Z2295">
        <v>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5</v>
      </c>
      <c r="AK2295">
        <v>0</v>
      </c>
      <c r="AL2295">
        <v>18</v>
      </c>
      <c r="AM2295">
        <v>16</v>
      </c>
      <c r="AN2295">
        <v>39</v>
      </c>
      <c r="AO2295">
        <v>5</v>
      </c>
      <c r="AP2295">
        <v>98</v>
      </c>
      <c r="AQ2295">
        <v>2</v>
      </c>
      <c r="AR2295" t="s">
        <v>18973</v>
      </c>
      <c r="AS2295" t="s">
        <v>18974</v>
      </c>
      <c r="AT2295">
        <v>0.76100000000000001</v>
      </c>
      <c r="AU2295" t="s">
        <v>65</v>
      </c>
      <c r="AV2295">
        <v>137</v>
      </c>
      <c r="AW2295">
        <v>7</v>
      </c>
      <c r="AX2295" t="s">
        <v>18975</v>
      </c>
      <c r="AY2295">
        <v>9.8250000000000004E-2</v>
      </c>
      <c r="AZ2295">
        <v>-6.6499999999999997E-3</v>
      </c>
      <c r="BA2295">
        <v>9.5E-4</v>
      </c>
      <c r="BB2295">
        <v>-6.9999999999999994E-5</v>
      </c>
      <c r="BC2295">
        <v>9.6299999999999997E-3</v>
      </c>
      <c r="BD2295">
        <v>1</v>
      </c>
      <c r="BE2295" t="s">
        <v>69</v>
      </c>
      <c r="BF2295">
        <v>-1.1659999999999999</v>
      </c>
      <c r="BG2295">
        <v>0.36</v>
      </c>
    </row>
    <row r="2296" spans="1:59">
      <c r="A2296">
        <v>2</v>
      </c>
      <c r="B2296">
        <v>30</v>
      </c>
      <c r="C2296">
        <v>11</v>
      </c>
      <c r="D2296" t="s">
        <v>25022</v>
      </c>
      <c r="E2296">
        <v>3881</v>
      </c>
      <c r="F2296" t="s">
        <v>22764</v>
      </c>
      <c r="G2296" t="s">
        <v>62</v>
      </c>
      <c r="H2296">
        <v>3844419</v>
      </c>
      <c r="I2296">
        <v>3845771</v>
      </c>
      <c r="J2296" t="s">
        <v>22765</v>
      </c>
      <c r="K2296">
        <v>451</v>
      </c>
      <c r="L2296" t="s">
        <v>108</v>
      </c>
      <c r="M2296">
        <v>44</v>
      </c>
      <c r="N2296" t="str">
        <f>HYPERLINK("Gene3881-zp_tree_all.dnd", "Gene3881-tree")</f>
        <v>Gene3881-tree</v>
      </c>
      <c r="O2296">
        <v>5</v>
      </c>
      <c r="P2296">
        <v>9</v>
      </c>
      <c r="Q2296">
        <v>5</v>
      </c>
      <c r="R2296">
        <v>9</v>
      </c>
      <c r="S2296">
        <v>0.64285999999999999</v>
      </c>
      <c r="T2296" t="s">
        <v>199</v>
      </c>
      <c r="U2296" t="s">
        <v>135</v>
      </c>
      <c r="V2296" t="s">
        <v>62</v>
      </c>
      <c r="W2296" t="s">
        <v>62</v>
      </c>
      <c r="X2296">
        <v>21</v>
      </c>
      <c r="Y2296">
        <v>43</v>
      </c>
      <c r="Z2296">
        <v>34</v>
      </c>
      <c r="AA2296">
        <v>0.55844000000000005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6</v>
      </c>
      <c r="AI2296">
        <v>6</v>
      </c>
      <c r="AJ2296">
        <v>35</v>
      </c>
      <c r="AK2296">
        <v>0.14634</v>
      </c>
      <c r="AL2296">
        <v>11</v>
      </c>
      <c r="AM2296">
        <v>9</v>
      </c>
      <c r="AN2296">
        <v>47</v>
      </c>
      <c r="AO2296">
        <v>43</v>
      </c>
      <c r="AP2296">
        <v>50</v>
      </c>
      <c r="AQ2296">
        <v>42</v>
      </c>
      <c r="AR2296" t="s">
        <v>22766</v>
      </c>
      <c r="AS2296" t="s">
        <v>22767</v>
      </c>
      <c r="AT2296">
        <v>5.6000000000000001E-2</v>
      </c>
      <c r="AU2296" t="s">
        <v>65</v>
      </c>
      <c r="AV2296">
        <v>97</v>
      </c>
      <c r="AW2296">
        <v>85</v>
      </c>
      <c r="AX2296" t="s">
        <v>22768</v>
      </c>
      <c r="AY2296">
        <v>8.5099999999999995E-2</v>
      </c>
      <c r="AZ2296">
        <v>-5.3200000000000001E-3</v>
      </c>
      <c r="BA2296">
        <v>2.4060000000000002E-2</v>
      </c>
      <c r="BB2296">
        <v>-1.5900000000000001E-3</v>
      </c>
      <c r="BC2296">
        <v>0.28272999999999998</v>
      </c>
      <c r="BD2296">
        <v>1</v>
      </c>
      <c r="BE2296" t="s">
        <v>69</v>
      </c>
      <c r="BF2296">
        <v>1.3260000000000001</v>
      </c>
      <c r="BG2296">
        <v>0.57499999999999996</v>
      </c>
    </row>
    <row r="2297" spans="1:59">
      <c r="A2297">
        <v>0</v>
      </c>
      <c r="B2297">
        <v>30</v>
      </c>
      <c r="C2297">
        <v>0</v>
      </c>
      <c r="D2297" t="s">
        <v>25022</v>
      </c>
      <c r="E2297">
        <v>3570</v>
      </c>
      <c r="F2297" t="s">
        <v>20936</v>
      </c>
      <c r="G2297" t="s">
        <v>62</v>
      </c>
      <c r="H2297">
        <v>3534121</v>
      </c>
      <c r="I2297">
        <v>3535473</v>
      </c>
      <c r="J2297" t="s">
        <v>20937</v>
      </c>
      <c r="K2297">
        <v>451</v>
      </c>
      <c r="L2297" t="s">
        <v>2289</v>
      </c>
      <c r="M2297">
        <v>37</v>
      </c>
      <c r="N2297" t="str">
        <f>HYPERLINK("Gene3570-zp_tree_all.dnd", "Gene3570-tree")</f>
        <v>Gene3570-tree</v>
      </c>
      <c r="O2297">
        <v>3</v>
      </c>
      <c r="P2297">
        <v>12</v>
      </c>
      <c r="Q2297">
        <v>3</v>
      </c>
      <c r="R2297">
        <v>12</v>
      </c>
      <c r="S2297">
        <v>0.8</v>
      </c>
      <c r="T2297" t="s">
        <v>324</v>
      </c>
      <c r="U2297" t="s">
        <v>109</v>
      </c>
      <c r="V2297" t="s">
        <v>62</v>
      </c>
      <c r="W2297" t="s">
        <v>62</v>
      </c>
      <c r="X2297">
        <v>11</v>
      </c>
      <c r="Y2297">
        <v>30</v>
      </c>
      <c r="Z2297">
        <v>26</v>
      </c>
      <c r="AA2297">
        <v>0.53571000000000002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13</v>
      </c>
      <c r="AH2297">
        <v>0</v>
      </c>
      <c r="AI2297">
        <v>13</v>
      </c>
      <c r="AJ2297">
        <v>23</v>
      </c>
      <c r="AK2297">
        <v>0.36110999999999999</v>
      </c>
      <c r="AL2297">
        <v>14</v>
      </c>
      <c r="AM2297">
        <v>11</v>
      </c>
      <c r="AN2297">
        <v>57</v>
      </c>
      <c r="AO2297">
        <v>32</v>
      </c>
      <c r="AP2297">
        <v>37</v>
      </c>
      <c r="AQ2297">
        <v>26</v>
      </c>
      <c r="AR2297" t="s">
        <v>20938</v>
      </c>
      <c r="AS2297" t="s">
        <v>20939</v>
      </c>
      <c r="AT2297">
        <v>0.49299999999999999</v>
      </c>
      <c r="AU2297" t="s">
        <v>65</v>
      </c>
      <c r="AV2297">
        <v>94</v>
      </c>
      <c r="AW2297">
        <v>58</v>
      </c>
      <c r="AX2297" t="s">
        <v>20940</v>
      </c>
      <c r="AY2297">
        <v>5.5210000000000002E-2</v>
      </c>
      <c r="AZ2297">
        <v>-2.0999999999999999E-3</v>
      </c>
      <c r="BA2297">
        <v>1.018E-2</v>
      </c>
      <c r="BB2297">
        <v>-4.6000000000000001E-4</v>
      </c>
      <c r="BC2297">
        <v>0.18431</v>
      </c>
      <c r="BD2297">
        <v>1</v>
      </c>
      <c r="BE2297" t="s">
        <v>69</v>
      </c>
      <c r="BF2297">
        <v>-0.85499999999999998</v>
      </c>
      <c r="BG2297">
        <v>-1.1819999999999999</v>
      </c>
    </row>
    <row r="2298" spans="1:59">
      <c r="A2298">
        <v>0</v>
      </c>
      <c r="B2298">
        <v>3</v>
      </c>
      <c r="C2298">
        <v>0</v>
      </c>
      <c r="D2298" t="s">
        <v>25022</v>
      </c>
      <c r="E2298">
        <v>3307</v>
      </c>
      <c r="F2298" t="s">
        <v>19294</v>
      </c>
      <c r="G2298" t="s">
        <v>62</v>
      </c>
      <c r="H2298">
        <v>3274465</v>
      </c>
      <c r="I2298">
        <v>3275817</v>
      </c>
      <c r="J2298" t="s">
        <v>19295</v>
      </c>
      <c r="K2298">
        <v>451</v>
      </c>
      <c r="L2298" t="s">
        <v>19296</v>
      </c>
      <c r="M2298">
        <v>38</v>
      </c>
      <c r="N2298" t="str">
        <f>HYPERLINK("Gene3307-zp_tree_all.dnd", "Gene3307-tree")</f>
        <v>Gene3307-tree</v>
      </c>
      <c r="O2298">
        <v>6</v>
      </c>
      <c r="P2298">
        <v>6</v>
      </c>
      <c r="Q2298">
        <v>6</v>
      </c>
      <c r="R2298">
        <v>6</v>
      </c>
      <c r="S2298">
        <v>0.5</v>
      </c>
      <c r="T2298" t="s">
        <v>90</v>
      </c>
      <c r="U2298" t="s">
        <v>90</v>
      </c>
      <c r="V2298" t="s">
        <v>62</v>
      </c>
      <c r="W2298" t="s">
        <v>62</v>
      </c>
      <c r="X2298">
        <v>1</v>
      </c>
      <c r="Y2298">
        <v>3</v>
      </c>
      <c r="Z2298">
        <v>10</v>
      </c>
      <c r="AA2298">
        <v>0.23077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</v>
      </c>
      <c r="AH2298">
        <v>0</v>
      </c>
      <c r="AI2298">
        <v>2</v>
      </c>
      <c r="AJ2298">
        <v>10</v>
      </c>
      <c r="AK2298">
        <v>0.16667000000000001</v>
      </c>
      <c r="AL2298">
        <v>9</v>
      </c>
      <c r="AM2298">
        <v>7</v>
      </c>
      <c r="AN2298">
        <v>15</v>
      </c>
      <c r="AO2298">
        <v>12</v>
      </c>
      <c r="AP2298">
        <v>10</v>
      </c>
      <c r="AQ2298">
        <v>1</v>
      </c>
      <c r="AR2298" t="s">
        <v>19297</v>
      </c>
      <c r="AS2298" t="s">
        <v>19298</v>
      </c>
      <c r="AT2298">
        <v>1.923</v>
      </c>
      <c r="AU2298" t="s">
        <v>65</v>
      </c>
      <c r="AV2298">
        <v>25</v>
      </c>
      <c r="AW2298">
        <v>13</v>
      </c>
      <c r="AX2298" t="s">
        <v>19299</v>
      </c>
      <c r="AY2298">
        <v>1.8679999999999999E-2</v>
      </c>
      <c r="AZ2298">
        <v>-1.1299999999999999E-3</v>
      </c>
      <c r="BA2298">
        <v>2.1299999999999999E-3</v>
      </c>
      <c r="BB2298">
        <v>-2.0000000000000001E-4</v>
      </c>
      <c r="BC2298">
        <v>0.11380999999999999</v>
      </c>
      <c r="BD2298">
        <v>1</v>
      </c>
      <c r="BE2298" t="s">
        <v>69</v>
      </c>
      <c r="BF2298">
        <v>-0.08</v>
      </c>
      <c r="BG2298">
        <v>-0.22700000000000001</v>
      </c>
    </row>
    <row r="2299" spans="1:59">
      <c r="A2299">
        <v>0</v>
      </c>
      <c r="B2299">
        <v>0</v>
      </c>
      <c r="C2299">
        <v>0</v>
      </c>
      <c r="D2299" t="s">
        <v>25022</v>
      </c>
      <c r="E2299">
        <v>982</v>
      </c>
      <c r="F2299" t="s">
        <v>6157</v>
      </c>
      <c r="G2299" t="s">
        <v>57</v>
      </c>
      <c r="H2299">
        <v>1024865</v>
      </c>
      <c r="I2299">
        <v>1026217</v>
      </c>
      <c r="J2299" t="s">
        <v>6158</v>
      </c>
      <c r="K2299">
        <v>451</v>
      </c>
      <c r="L2299" t="s">
        <v>108</v>
      </c>
      <c r="M2299">
        <v>44</v>
      </c>
      <c r="N2299" t="str">
        <f>HYPERLINK("Gene982-zp_tree_all.dnd", "Gene982-tree")</f>
        <v>Gene982-tree</v>
      </c>
      <c r="O2299">
        <v>8</v>
      </c>
      <c r="P2299">
        <v>6</v>
      </c>
      <c r="Q2299">
        <v>8</v>
      </c>
      <c r="R2299">
        <v>6</v>
      </c>
      <c r="S2299">
        <v>0.42857000000000001</v>
      </c>
      <c r="T2299" t="s">
        <v>136</v>
      </c>
      <c r="U2299" t="s">
        <v>90</v>
      </c>
      <c r="V2299" t="s">
        <v>62</v>
      </c>
      <c r="W2299" t="s">
        <v>62</v>
      </c>
      <c r="X2299">
        <v>0</v>
      </c>
      <c r="Y2299">
        <v>0</v>
      </c>
      <c r="Z2299">
        <v>12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9</v>
      </c>
      <c r="AK2299">
        <v>0</v>
      </c>
      <c r="AL2299">
        <v>14</v>
      </c>
      <c r="AM2299">
        <v>10</v>
      </c>
      <c r="AN2299">
        <v>40</v>
      </c>
      <c r="AO2299">
        <v>9</v>
      </c>
      <c r="AP2299">
        <v>18</v>
      </c>
      <c r="AQ2299">
        <v>3</v>
      </c>
      <c r="AR2299" t="s">
        <v>6159</v>
      </c>
      <c r="AS2299" t="s">
        <v>6160</v>
      </c>
      <c r="AT2299">
        <v>0.185</v>
      </c>
      <c r="AU2299" t="s">
        <v>65</v>
      </c>
      <c r="AV2299">
        <v>58</v>
      </c>
      <c r="AW2299">
        <v>12</v>
      </c>
      <c r="AX2299" t="s">
        <v>6161</v>
      </c>
      <c r="AY2299">
        <v>3.3779999999999998E-2</v>
      </c>
      <c r="AZ2299">
        <v>-1.33E-3</v>
      </c>
      <c r="BA2299">
        <v>2.5000000000000001E-3</v>
      </c>
      <c r="BB2299">
        <v>-1.7000000000000001E-4</v>
      </c>
      <c r="BC2299">
        <v>7.4069999999999997E-2</v>
      </c>
      <c r="BD2299">
        <v>1</v>
      </c>
      <c r="BE2299" t="s">
        <v>69</v>
      </c>
      <c r="BF2299">
        <v>-0.23100000000000001</v>
      </c>
      <c r="BG2299">
        <v>8.7999999999999995E-2</v>
      </c>
    </row>
    <row r="2300" spans="1:59">
      <c r="A2300">
        <v>0</v>
      </c>
      <c r="B2300">
        <v>5</v>
      </c>
      <c r="C2300">
        <v>0</v>
      </c>
      <c r="D2300" t="s">
        <v>25022</v>
      </c>
      <c r="E2300">
        <v>1581</v>
      </c>
      <c r="F2300" t="s">
        <v>9887</v>
      </c>
      <c r="G2300" t="s">
        <v>57</v>
      </c>
      <c r="H2300">
        <v>1588901</v>
      </c>
      <c r="I2300">
        <v>1590253</v>
      </c>
      <c r="J2300" t="s">
        <v>9888</v>
      </c>
      <c r="K2300">
        <v>451</v>
      </c>
      <c r="L2300" t="s">
        <v>108</v>
      </c>
      <c r="M2300">
        <v>44</v>
      </c>
      <c r="N2300" t="str">
        <f>HYPERLINK("Gene1581-zp_tree_all.dnd", "Gene1581-tree")</f>
        <v>Gene1581-tree</v>
      </c>
      <c r="O2300">
        <v>5</v>
      </c>
      <c r="P2300">
        <v>5</v>
      </c>
      <c r="Q2300">
        <v>5</v>
      </c>
      <c r="R2300">
        <v>5</v>
      </c>
      <c r="S2300">
        <v>0.5</v>
      </c>
      <c r="T2300" t="s">
        <v>199</v>
      </c>
      <c r="U2300" t="s">
        <v>199</v>
      </c>
      <c r="V2300" t="s">
        <v>62</v>
      </c>
      <c r="W2300" t="s">
        <v>62</v>
      </c>
      <c r="X2300">
        <v>2</v>
      </c>
      <c r="Y2300">
        <v>5</v>
      </c>
      <c r="Z2300">
        <v>2</v>
      </c>
      <c r="AA2300">
        <v>0.71428999999999998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4</v>
      </c>
      <c r="AH2300">
        <v>0</v>
      </c>
      <c r="AI2300">
        <v>4</v>
      </c>
      <c r="AJ2300">
        <v>1</v>
      </c>
      <c r="AK2300">
        <v>0.8</v>
      </c>
      <c r="AL2300">
        <v>9</v>
      </c>
      <c r="AM2300">
        <v>6</v>
      </c>
      <c r="AN2300">
        <v>25</v>
      </c>
      <c r="AO2300">
        <v>5</v>
      </c>
      <c r="AP2300">
        <v>11</v>
      </c>
      <c r="AQ2300">
        <v>2</v>
      </c>
      <c r="AR2300" t="s">
        <v>9889</v>
      </c>
      <c r="AS2300" t="s">
        <v>9890</v>
      </c>
      <c r="AT2300">
        <v>7.8E-2</v>
      </c>
      <c r="AU2300" t="s">
        <v>65</v>
      </c>
      <c r="AV2300">
        <v>36</v>
      </c>
      <c r="AW2300">
        <v>7</v>
      </c>
      <c r="AX2300" t="s">
        <v>9891</v>
      </c>
      <c r="AY2300">
        <v>2.5930000000000002E-2</v>
      </c>
      <c r="AZ2300">
        <v>-1.6800000000000001E-3</v>
      </c>
      <c r="BA2300">
        <v>1.33E-3</v>
      </c>
      <c r="BB2300">
        <v>-1.2999999999999999E-4</v>
      </c>
      <c r="BC2300">
        <v>5.1290000000000002E-2</v>
      </c>
      <c r="BD2300">
        <v>1</v>
      </c>
      <c r="BE2300" t="s">
        <v>69</v>
      </c>
      <c r="BF2300">
        <v>-0.46500000000000002</v>
      </c>
      <c r="BG2300">
        <v>-2.169</v>
      </c>
    </row>
    <row r="2301" spans="1:59">
      <c r="A2301">
        <v>0</v>
      </c>
      <c r="B2301">
        <v>0</v>
      </c>
      <c r="C2301">
        <v>0</v>
      </c>
      <c r="D2301" t="s">
        <v>25022</v>
      </c>
      <c r="E2301">
        <v>2646</v>
      </c>
      <c r="F2301" t="s">
        <v>15502</v>
      </c>
      <c r="G2301" t="s">
        <v>62</v>
      </c>
      <c r="H2301">
        <v>2621680</v>
      </c>
      <c r="I2301">
        <v>2623032</v>
      </c>
      <c r="J2301" t="s">
        <v>15503</v>
      </c>
      <c r="K2301">
        <v>451</v>
      </c>
      <c r="L2301" t="s">
        <v>1392</v>
      </c>
      <c r="M2301">
        <v>43</v>
      </c>
      <c r="N2301" t="str">
        <f>HYPERLINK("Gene2646-zp_tree_all.dnd", "Gene2646-tree")</f>
        <v>Gene2646-tree</v>
      </c>
      <c r="O2301">
        <v>9</v>
      </c>
      <c r="P2301">
        <v>1</v>
      </c>
      <c r="Q2301">
        <v>9</v>
      </c>
      <c r="R2301">
        <v>1</v>
      </c>
      <c r="S2301">
        <v>0.1</v>
      </c>
      <c r="T2301" t="s">
        <v>135</v>
      </c>
      <c r="U2301" t="s">
        <v>175</v>
      </c>
      <c r="V2301" t="s">
        <v>62</v>
      </c>
      <c r="W2301" t="s">
        <v>62</v>
      </c>
      <c r="X2301">
        <v>0</v>
      </c>
      <c r="Y2301">
        <v>0</v>
      </c>
      <c r="Z2301">
        <v>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8</v>
      </c>
      <c r="AM2301">
        <v>6</v>
      </c>
      <c r="AN2301">
        <v>23</v>
      </c>
      <c r="AO2301">
        <v>1</v>
      </c>
      <c r="AP2301">
        <v>21</v>
      </c>
      <c r="AQ2301">
        <v>2</v>
      </c>
      <c r="AR2301" t="s">
        <v>15504</v>
      </c>
      <c r="AS2301" t="s">
        <v>15505</v>
      </c>
      <c r="AT2301">
        <v>0.34399999999999997</v>
      </c>
      <c r="AU2301" t="s">
        <v>65</v>
      </c>
      <c r="AV2301">
        <v>44</v>
      </c>
      <c r="AW2301">
        <v>3</v>
      </c>
      <c r="AX2301" t="s">
        <v>15506</v>
      </c>
      <c r="AY2301">
        <v>3.678E-2</v>
      </c>
      <c r="AZ2301">
        <v>-2.3400000000000001E-3</v>
      </c>
      <c r="BA2301">
        <v>1.06E-3</v>
      </c>
      <c r="BB2301">
        <v>-1.2999999999999999E-4</v>
      </c>
      <c r="BC2301">
        <v>2.8799999999999999E-2</v>
      </c>
      <c r="BD2301">
        <v>1</v>
      </c>
      <c r="BE2301" t="s">
        <v>69</v>
      </c>
      <c r="BF2301">
        <v>1.9E-2</v>
      </c>
      <c r="BG2301">
        <v>0.189</v>
      </c>
    </row>
    <row r="2302" spans="1:59">
      <c r="A2302">
        <v>0</v>
      </c>
      <c r="B2302">
        <v>0</v>
      </c>
      <c r="C2302">
        <v>0</v>
      </c>
      <c r="D2302" t="s">
        <v>25022</v>
      </c>
      <c r="E2302">
        <v>1381</v>
      </c>
      <c r="F2302" t="s">
        <v>8642</v>
      </c>
      <c r="G2302" t="s">
        <v>57</v>
      </c>
      <c r="H2302">
        <v>1396013</v>
      </c>
      <c r="I2302">
        <v>1397365</v>
      </c>
      <c r="J2302" t="s">
        <v>8643</v>
      </c>
      <c r="K2302">
        <v>451</v>
      </c>
      <c r="L2302" t="s">
        <v>1392</v>
      </c>
      <c r="M2302">
        <v>43</v>
      </c>
      <c r="N2302" t="str">
        <f>HYPERLINK("Gene1381-zp_tree_all.dnd", "Gene1381-tree")</f>
        <v>Gene1381-tree</v>
      </c>
      <c r="O2302">
        <v>10</v>
      </c>
      <c r="P2302">
        <v>3</v>
      </c>
      <c r="Q2302">
        <v>10</v>
      </c>
      <c r="R2302">
        <v>3</v>
      </c>
      <c r="S2302">
        <v>0.23077</v>
      </c>
      <c r="T2302" t="s">
        <v>117</v>
      </c>
      <c r="U2302" t="s">
        <v>324</v>
      </c>
      <c r="V2302" t="s">
        <v>62</v>
      </c>
      <c r="W2302" t="s">
        <v>62</v>
      </c>
      <c r="X2302">
        <v>0</v>
      </c>
      <c r="Y2302">
        <v>0</v>
      </c>
      <c r="Z2302">
        <v>3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3</v>
      </c>
      <c r="AK2302">
        <v>0</v>
      </c>
      <c r="AL2302">
        <v>13</v>
      </c>
      <c r="AM2302">
        <v>7</v>
      </c>
      <c r="AN2302">
        <v>57</v>
      </c>
      <c r="AO2302">
        <v>3</v>
      </c>
      <c r="AP2302">
        <v>14</v>
      </c>
      <c r="AQ2302">
        <v>0</v>
      </c>
      <c r="AR2302" t="s">
        <v>8644</v>
      </c>
      <c r="AS2302" t="s">
        <v>193</v>
      </c>
      <c r="AT2302">
        <v>0.92400000000000004</v>
      </c>
      <c r="AU2302" t="s">
        <v>65</v>
      </c>
      <c r="AV2302">
        <v>71</v>
      </c>
      <c r="AW2302">
        <v>3</v>
      </c>
      <c r="AX2302" t="s">
        <v>8645</v>
      </c>
      <c r="AY2302">
        <v>3.8120000000000001E-2</v>
      </c>
      <c r="AZ2302">
        <v>-1.32E-3</v>
      </c>
      <c r="BA2302">
        <v>4.4000000000000002E-4</v>
      </c>
      <c r="BB2302">
        <v>-6.0000000000000002E-5</v>
      </c>
      <c r="BC2302">
        <v>1.167E-2</v>
      </c>
      <c r="BD2302">
        <v>1</v>
      </c>
      <c r="BE2302" t="s">
        <v>69</v>
      </c>
      <c r="BF2302">
        <v>0.35199999999999998</v>
      </c>
      <c r="BG2302">
        <v>-0.372</v>
      </c>
    </row>
    <row r="2303" spans="1:59">
      <c r="A2303">
        <v>0</v>
      </c>
      <c r="B2303">
        <v>9</v>
      </c>
      <c r="C2303">
        <v>2</v>
      </c>
      <c r="D2303" t="s">
        <v>25022</v>
      </c>
      <c r="E2303">
        <v>3781</v>
      </c>
      <c r="F2303" t="s">
        <v>22158</v>
      </c>
      <c r="G2303" t="s">
        <v>62</v>
      </c>
      <c r="H2303">
        <v>3753936</v>
      </c>
      <c r="I2303">
        <v>3755291</v>
      </c>
      <c r="J2303" t="s">
        <v>2641</v>
      </c>
      <c r="K2303">
        <v>452</v>
      </c>
      <c r="L2303" t="s">
        <v>108</v>
      </c>
      <c r="M2303">
        <v>44</v>
      </c>
      <c r="N2303" t="str">
        <f>HYPERLINK("Gene3781-zp_tree_all.dnd", "Gene3781-tree")</f>
        <v>Gene3781-tree</v>
      </c>
      <c r="O2303">
        <v>4</v>
      </c>
      <c r="P2303">
        <v>13</v>
      </c>
      <c r="Q2303">
        <v>4</v>
      </c>
      <c r="R2303">
        <v>13</v>
      </c>
      <c r="S2303">
        <v>0.76471</v>
      </c>
      <c r="T2303" t="s">
        <v>61</v>
      </c>
      <c r="U2303" t="s">
        <v>507</v>
      </c>
      <c r="V2303" t="s">
        <v>62</v>
      </c>
      <c r="W2303" t="s">
        <v>62</v>
      </c>
      <c r="X2303">
        <v>5</v>
      </c>
      <c r="Y2303">
        <v>11</v>
      </c>
      <c r="Z2303">
        <v>15</v>
      </c>
      <c r="AA2303">
        <v>0.42308000000000001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6</v>
      </c>
      <c r="AH2303">
        <v>2</v>
      </c>
      <c r="AI2303">
        <v>8</v>
      </c>
      <c r="AJ2303">
        <v>12</v>
      </c>
      <c r="AK2303">
        <v>0.4</v>
      </c>
      <c r="AL2303">
        <v>14</v>
      </c>
      <c r="AM2303">
        <v>12</v>
      </c>
      <c r="AN2303">
        <v>53</v>
      </c>
      <c r="AO2303">
        <v>19</v>
      </c>
      <c r="AP2303">
        <v>40</v>
      </c>
      <c r="AQ2303">
        <v>7</v>
      </c>
      <c r="AR2303" t="s">
        <v>22159</v>
      </c>
      <c r="AS2303" t="s">
        <v>22160</v>
      </c>
      <c r="AT2303">
        <v>1.1739999999999999</v>
      </c>
      <c r="AU2303" t="s">
        <v>65</v>
      </c>
      <c r="AV2303">
        <v>93</v>
      </c>
      <c r="AW2303">
        <v>26</v>
      </c>
      <c r="AX2303" t="s">
        <v>22161</v>
      </c>
      <c r="AY2303">
        <v>4.5870000000000001E-2</v>
      </c>
      <c r="AZ2303">
        <v>-1.4599999999999999E-3</v>
      </c>
      <c r="BA2303">
        <v>4.0899999999999999E-3</v>
      </c>
      <c r="BB2303">
        <v>-1.2999999999999999E-4</v>
      </c>
      <c r="BC2303">
        <v>8.9179999999999995E-2</v>
      </c>
      <c r="BD2303">
        <v>1</v>
      </c>
      <c r="BE2303" t="s">
        <v>69</v>
      </c>
      <c r="BF2303">
        <v>-0.86</v>
      </c>
      <c r="BG2303">
        <v>-1.88</v>
      </c>
    </row>
    <row r="2304" spans="1:59">
      <c r="A2304">
        <v>0</v>
      </c>
      <c r="B2304">
        <v>5</v>
      </c>
      <c r="C2304">
        <v>2</v>
      </c>
      <c r="D2304" t="s">
        <v>25022</v>
      </c>
      <c r="E2304">
        <v>3996</v>
      </c>
      <c r="F2304" t="s">
        <v>23497</v>
      </c>
      <c r="G2304" t="s">
        <v>62</v>
      </c>
      <c r="H2304">
        <v>3960195</v>
      </c>
      <c r="I2304">
        <v>3961550</v>
      </c>
      <c r="J2304" t="s">
        <v>23498</v>
      </c>
      <c r="K2304">
        <v>452</v>
      </c>
      <c r="L2304" t="s">
        <v>108</v>
      </c>
      <c r="M2304">
        <v>44</v>
      </c>
      <c r="N2304" t="str">
        <f>HYPERLINK("Gene3996-zp_tree_all.dnd", "Gene3996-tree")</f>
        <v>Gene3996-tree</v>
      </c>
      <c r="O2304">
        <v>8</v>
      </c>
      <c r="P2304">
        <v>9</v>
      </c>
      <c r="Q2304">
        <v>8</v>
      </c>
      <c r="R2304">
        <v>9</v>
      </c>
      <c r="S2304">
        <v>0.52941000000000005</v>
      </c>
      <c r="T2304" t="s">
        <v>136</v>
      </c>
      <c r="U2304" t="s">
        <v>135</v>
      </c>
      <c r="V2304" t="s">
        <v>62</v>
      </c>
      <c r="W2304" t="s">
        <v>62</v>
      </c>
      <c r="X2304">
        <v>3</v>
      </c>
      <c r="Y2304">
        <v>7</v>
      </c>
      <c r="Z2304">
        <v>5</v>
      </c>
      <c r="AA2304">
        <v>0.58333000000000002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5</v>
      </c>
      <c r="AH2304">
        <v>2</v>
      </c>
      <c r="AI2304">
        <v>7</v>
      </c>
      <c r="AJ2304">
        <v>5</v>
      </c>
      <c r="AK2304">
        <v>0.58333000000000002</v>
      </c>
      <c r="AL2304">
        <v>13</v>
      </c>
      <c r="AM2304">
        <v>11</v>
      </c>
      <c r="AN2304">
        <v>54</v>
      </c>
      <c r="AO2304">
        <v>11</v>
      </c>
      <c r="AP2304">
        <v>29</v>
      </c>
      <c r="AQ2304">
        <v>1</v>
      </c>
      <c r="AR2304" t="s">
        <v>23499</v>
      </c>
      <c r="AS2304" t="s">
        <v>23500</v>
      </c>
      <c r="AT2304">
        <v>1.198</v>
      </c>
      <c r="AU2304" t="s">
        <v>65</v>
      </c>
      <c r="AV2304">
        <v>83</v>
      </c>
      <c r="AW2304">
        <v>12</v>
      </c>
      <c r="AX2304" t="s">
        <v>23010</v>
      </c>
      <c r="AY2304">
        <v>4.1189999999999997E-2</v>
      </c>
      <c r="AZ2304">
        <v>-1.56E-3</v>
      </c>
      <c r="BA2304">
        <v>1.42E-3</v>
      </c>
      <c r="BB2304">
        <v>-9.0000000000000006E-5</v>
      </c>
      <c r="BC2304">
        <v>3.4509999999999999E-2</v>
      </c>
      <c r="BD2304">
        <v>1</v>
      </c>
      <c r="BE2304" t="s">
        <v>69</v>
      </c>
      <c r="BF2304">
        <v>-0.73399999999999999</v>
      </c>
      <c r="BG2304">
        <v>-1.7669999999999999</v>
      </c>
    </row>
    <row r="2305" spans="1:59">
      <c r="A2305">
        <v>0</v>
      </c>
      <c r="B2305">
        <v>2</v>
      </c>
      <c r="C2305">
        <v>0</v>
      </c>
      <c r="D2305" t="s">
        <v>25022</v>
      </c>
      <c r="E2305">
        <v>805</v>
      </c>
      <c r="F2305" t="s">
        <v>5006</v>
      </c>
      <c r="G2305" t="s">
        <v>57</v>
      </c>
      <c r="H2305">
        <v>840656</v>
      </c>
      <c r="I2305">
        <v>842011</v>
      </c>
      <c r="J2305" t="s">
        <v>5007</v>
      </c>
      <c r="K2305">
        <v>452</v>
      </c>
      <c r="L2305" t="s">
        <v>108</v>
      </c>
      <c r="M2305">
        <v>44</v>
      </c>
      <c r="N2305" t="str">
        <f>HYPERLINK("Gene805-zp_tree_all.dnd", "Gene805-tree")</f>
        <v>Gene805-tree</v>
      </c>
      <c r="O2305">
        <v>29</v>
      </c>
      <c r="P2305">
        <v>4</v>
      </c>
      <c r="Q2305">
        <v>10</v>
      </c>
      <c r="R2305">
        <v>4</v>
      </c>
      <c r="S2305">
        <v>0.28571000000000002</v>
      </c>
      <c r="T2305" t="s">
        <v>2184</v>
      </c>
      <c r="U2305" t="s">
        <v>61</v>
      </c>
      <c r="V2305" t="s">
        <v>62</v>
      </c>
      <c r="W2305" t="s">
        <v>62</v>
      </c>
      <c r="X2305">
        <v>1</v>
      </c>
      <c r="Y2305">
        <v>2</v>
      </c>
      <c r="Z2305">
        <v>5</v>
      </c>
      <c r="AA2305">
        <v>0.28571000000000002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4</v>
      </c>
      <c r="AK2305">
        <v>0</v>
      </c>
      <c r="AL2305">
        <v>12</v>
      </c>
      <c r="AM2305">
        <v>11</v>
      </c>
      <c r="AN2305">
        <v>61</v>
      </c>
      <c r="AO2305">
        <v>4</v>
      </c>
      <c r="AP2305">
        <v>44</v>
      </c>
      <c r="AQ2305">
        <v>3</v>
      </c>
      <c r="AR2305" t="s">
        <v>5008</v>
      </c>
      <c r="AS2305" t="s">
        <v>5009</v>
      </c>
      <c r="AT2305">
        <v>3.9E-2</v>
      </c>
      <c r="AU2305" t="s">
        <v>65</v>
      </c>
      <c r="AV2305">
        <v>105</v>
      </c>
      <c r="AW2305">
        <v>7</v>
      </c>
      <c r="AX2305" t="s">
        <v>5010</v>
      </c>
      <c r="AY2305">
        <v>5.7799999999999997E-2</v>
      </c>
      <c r="AZ2305">
        <v>-2.31E-3</v>
      </c>
      <c r="BA2305">
        <v>1.42E-3</v>
      </c>
      <c r="BB2305">
        <v>-1E-4</v>
      </c>
      <c r="BC2305">
        <v>2.462E-2</v>
      </c>
      <c r="BD2305">
        <v>1</v>
      </c>
      <c r="BE2305" t="s">
        <v>69</v>
      </c>
      <c r="BF2305">
        <v>-0.35099999999999998</v>
      </c>
      <c r="BG2305">
        <v>-1.5760000000000001</v>
      </c>
    </row>
    <row r="2306" spans="1:59">
      <c r="A2306">
        <v>0</v>
      </c>
      <c r="B2306">
        <v>17</v>
      </c>
      <c r="C2306">
        <v>5</v>
      </c>
      <c r="D2306" t="s">
        <v>25022</v>
      </c>
      <c r="E2306">
        <v>281</v>
      </c>
      <c r="F2306" t="s">
        <v>1918</v>
      </c>
      <c r="G2306" t="s">
        <v>57</v>
      </c>
      <c r="H2306">
        <v>302435</v>
      </c>
      <c r="I2306">
        <v>303793</v>
      </c>
      <c r="J2306" t="s">
        <v>116</v>
      </c>
      <c r="K2306">
        <v>453</v>
      </c>
      <c r="L2306" t="s">
        <v>629</v>
      </c>
      <c r="M2306">
        <v>43</v>
      </c>
      <c r="N2306" t="str">
        <f>HYPERLINK("Gene281-zp_tree_all.dnd", "Gene281-tree")</f>
        <v>Gene281-tree</v>
      </c>
      <c r="O2306">
        <v>3</v>
      </c>
      <c r="P2306">
        <v>15</v>
      </c>
      <c r="Q2306">
        <v>3</v>
      </c>
      <c r="R2306">
        <v>15</v>
      </c>
      <c r="S2306">
        <v>0.83333000000000002</v>
      </c>
      <c r="T2306" t="s">
        <v>324</v>
      </c>
      <c r="U2306" t="s">
        <v>100</v>
      </c>
      <c r="V2306" t="s">
        <v>62</v>
      </c>
      <c r="W2306" t="s">
        <v>62</v>
      </c>
      <c r="X2306">
        <v>9</v>
      </c>
      <c r="Y2306">
        <v>22</v>
      </c>
      <c r="Z2306">
        <v>34</v>
      </c>
      <c r="AA2306">
        <v>0.39285999999999999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12</v>
      </c>
      <c r="AH2306">
        <v>5</v>
      </c>
      <c r="AI2306">
        <v>17</v>
      </c>
      <c r="AJ2306">
        <v>23</v>
      </c>
      <c r="AK2306">
        <v>0.42499999999999999</v>
      </c>
      <c r="AL2306">
        <v>15</v>
      </c>
      <c r="AM2306">
        <v>12</v>
      </c>
      <c r="AN2306">
        <v>33</v>
      </c>
      <c r="AO2306">
        <v>34</v>
      </c>
      <c r="AP2306">
        <v>34</v>
      </c>
      <c r="AQ2306">
        <v>22</v>
      </c>
      <c r="AR2306" t="s">
        <v>1919</v>
      </c>
      <c r="AS2306" t="s">
        <v>1920</v>
      </c>
      <c r="AT2306">
        <v>0.95099999999999996</v>
      </c>
      <c r="AU2306" t="s">
        <v>65</v>
      </c>
      <c r="AV2306">
        <v>67</v>
      </c>
      <c r="AW2306">
        <v>56</v>
      </c>
      <c r="AX2306" t="s">
        <v>1921</v>
      </c>
      <c r="AY2306">
        <v>3.5799999999999998E-2</v>
      </c>
      <c r="AZ2306">
        <v>-1.0399999999999999E-3</v>
      </c>
      <c r="BA2306">
        <v>8.1799999999999998E-3</v>
      </c>
      <c r="BB2306">
        <v>-2.5000000000000001E-4</v>
      </c>
      <c r="BC2306">
        <v>0.22847999999999999</v>
      </c>
      <c r="BD2306">
        <v>1</v>
      </c>
      <c r="BE2306" t="s">
        <v>69</v>
      </c>
      <c r="BF2306">
        <v>-0.32300000000000001</v>
      </c>
      <c r="BG2306">
        <v>-1.3779999999999999</v>
      </c>
    </row>
    <row r="2307" spans="1:59">
      <c r="A2307">
        <v>0</v>
      </c>
      <c r="B2307">
        <v>16</v>
      </c>
      <c r="C2307">
        <v>3</v>
      </c>
      <c r="D2307" t="s">
        <v>25022</v>
      </c>
      <c r="E2307">
        <v>1377</v>
      </c>
      <c r="F2307" t="s">
        <v>8619</v>
      </c>
      <c r="G2307" t="s">
        <v>57</v>
      </c>
      <c r="H2307">
        <v>1392643</v>
      </c>
      <c r="I2307">
        <v>1394004</v>
      </c>
      <c r="J2307" t="s">
        <v>8620</v>
      </c>
      <c r="K2307">
        <v>454</v>
      </c>
      <c r="L2307" t="s">
        <v>108</v>
      </c>
      <c r="M2307">
        <v>44</v>
      </c>
      <c r="N2307" t="str">
        <f>HYPERLINK("Gene1377-zp_tree_all.dnd", "Gene1377-tree")</f>
        <v>Gene1377-tree</v>
      </c>
      <c r="O2307">
        <v>6</v>
      </c>
      <c r="P2307">
        <v>10</v>
      </c>
      <c r="Q2307">
        <v>6</v>
      </c>
      <c r="R2307">
        <v>10</v>
      </c>
      <c r="S2307">
        <v>0.625</v>
      </c>
      <c r="T2307" t="s">
        <v>90</v>
      </c>
      <c r="U2307" t="s">
        <v>117</v>
      </c>
      <c r="V2307" t="s">
        <v>62</v>
      </c>
      <c r="W2307" t="s">
        <v>62</v>
      </c>
      <c r="X2307">
        <v>7</v>
      </c>
      <c r="Y2307">
        <v>19</v>
      </c>
      <c r="Z2307">
        <v>19</v>
      </c>
      <c r="AA2307">
        <v>0.5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4</v>
      </c>
      <c r="AH2307">
        <v>4</v>
      </c>
      <c r="AI2307">
        <v>8</v>
      </c>
      <c r="AJ2307">
        <v>16</v>
      </c>
      <c r="AK2307">
        <v>0.33333000000000002</v>
      </c>
      <c r="AL2307">
        <v>14</v>
      </c>
      <c r="AM2307">
        <v>13</v>
      </c>
      <c r="AN2307">
        <v>64</v>
      </c>
      <c r="AO2307">
        <v>25</v>
      </c>
      <c r="AP2307">
        <v>41</v>
      </c>
      <c r="AQ2307">
        <v>14</v>
      </c>
      <c r="AR2307" t="s">
        <v>8621</v>
      </c>
      <c r="AS2307" t="s">
        <v>8622</v>
      </c>
      <c r="AT2307">
        <v>0.13400000000000001</v>
      </c>
      <c r="AU2307" t="s">
        <v>65</v>
      </c>
      <c r="AV2307">
        <v>105</v>
      </c>
      <c r="AW2307">
        <v>39</v>
      </c>
      <c r="AX2307" t="s">
        <v>8623</v>
      </c>
      <c r="AY2307">
        <v>5.8500000000000003E-2</v>
      </c>
      <c r="AZ2307">
        <v>-2.31E-3</v>
      </c>
      <c r="BA2307">
        <v>6.0899999999999999E-3</v>
      </c>
      <c r="BB2307">
        <v>-2.5000000000000001E-4</v>
      </c>
      <c r="BC2307">
        <v>0.10410999999999999</v>
      </c>
      <c r="BD2307">
        <v>1</v>
      </c>
      <c r="BE2307" t="s">
        <v>69</v>
      </c>
      <c r="BF2307">
        <v>-0.83599999999999997</v>
      </c>
      <c r="BG2307">
        <v>-1.6990000000000001</v>
      </c>
    </row>
    <row r="2308" spans="1:59">
      <c r="A2308">
        <v>0</v>
      </c>
      <c r="B2308">
        <v>4</v>
      </c>
      <c r="C2308">
        <v>0</v>
      </c>
      <c r="D2308" t="s">
        <v>25022</v>
      </c>
      <c r="E2308">
        <v>4190</v>
      </c>
      <c r="F2308" t="s">
        <v>24671</v>
      </c>
      <c r="G2308" t="s">
        <v>62</v>
      </c>
      <c r="H2308">
        <v>4157474</v>
      </c>
      <c r="I2308">
        <v>4158835</v>
      </c>
      <c r="J2308" t="s">
        <v>24672</v>
      </c>
      <c r="K2308">
        <v>454</v>
      </c>
      <c r="L2308" t="s">
        <v>59</v>
      </c>
      <c r="M2308">
        <v>49</v>
      </c>
      <c r="N2308" t="str">
        <f>HYPERLINK("Gene4190-zp_tree_all.dnd", "Gene4190-tree")</f>
        <v>Gene4190-tree</v>
      </c>
      <c r="O2308">
        <v>15</v>
      </c>
      <c r="P2308">
        <v>5</v>
      </c>
      <c r="Q2308">
        <v>15</v>
      </c>
      <c r="R2308">
        <v>5</v>
      </c>
      <c r="S2308">
        <v>0.25</v>
      </c>
      <c r="T2308" t="s">
        <v>100</v>
      </c>
      <c r="U2308" t="s">
        <v>199</v>
      </c>
      <c r="V2308" t="s">
        <v>62</v>
      </c>
      <c r="W2308" t="s">
        <v>62</v>
      </c>
      <c r="X2308">
        <v>1</v>
      </c>
      <c r="Y2308">
        <v>4</v>
      </c>
      <c r="Z2308">
        <v>6</v>
      </c>
      <c r="AA2308">
        <v>0.4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3</v>
      </c>
      <c r="AH2308">
        <v>0</v>
      </c>
      <c r="AI2308">
        <v>3</v>
      </c>
      <c r="AJ2308">
        <v>4</v>
      </c>
      <c r="AK2308">
        <v>0.42857000000000001</v>
      </c>
      <c r="AL2308">
        <v>17</v>
      </c>
      <c r="AM2308">
        <v>15</v>
      </c>
      <c r="AN2308">
        <v>59</v>
      </c>
      <c r="AO2308">
        <v>6</v>
      </c>
      <c r="AP2308">
        <v>112</v>
      </c>
      <c r="AQ2308">
        <v>4</v>
      </c>
      <c r="AR2308" t="s">
        <v>24673</v>
      </c>
      <c r="AS2308" t="s">
        <v>24674</v>
      </c>
      <c r="AT2308">
        <v>0.54900000000000004</v>
      </c>
      <c r="AU2308" t="s">
        <v>65</v>
      </c>
      <c r="AV2308">
        <v>171</v>
      </c>
      <c r="AW2308">
        <v>10</v>
      </c>
      <c r="AX2308" t="s">
        <v>24675</v>
      </c>
      <c r="AY2308">
        <v>0.11971</v>
      </c>
      <c r="AZ2308">
        <v>-6.7600000000000004E-3</v>
      </c>
      <c r="BA2308">
        <v>1.01E-3</v>
      </c>
      <c r="BB2308">
        <v>-6.9999999999999994E-5</v>
      </c>
      <c r="BC2308">
        <v>8.3999999999999995E-3</v>
      </c>
      <c r="BD2308">
        <v>1</v>
      </c>
      <c r="BE2308" t="s">
        <v>69</v>
      </c>
      <c r="BF2308">
        <v>-0.76200000000000001</v>
      </c>
      <c r="BG2308">
        <v>-0.28899999999999998</v>
      </c>
    </row>
    <row r="2309" spans="1:59">
      <c r="A2309">
        <v>0</v>
      </c>
      <c r="B2309">
        <v>8</v>
      </c>
      <c r="C2309">
        <v>0</v>
      </c>
      <c r="D2309" t="s">
        <v>25022</v>
      </c>
      <c r="E2309">
        <v>249</v>
      </c>
      <c r="F2309" t="s">
        <v>1695</v>
      </c>
      <c r="G2309" t="s">
        <v>57</v>
      </c>
      <c r="H2309">
        <v>271800</v>
      </c>
      <c r="I2309">
        <v>273164</v>
      </c>
      <c r="J2309" t="s">
        <v>1696</v>
      </c>
      <c r="K2309">
        <v>455</v>
      </c>
      <c r="L2309" t="s">
        <v>108</v>
      </c>
      <c r="M2309">
        <v>44</v>
      </c>
      <c r="N2309" t="str">
        <f>HYPERLINK("Gene249-zp_tree_all.dnd", "Gene249-tree")</f>
        <v>Gene249-tree</v>
      </c>
      <c r="O2309">
        <v>3</v>
      </c>
      <c r="P2309">
        <v>10</v>
      </c>
      <c r="Q2309">
        <v>3</v>
      </c>
      <c r="R2309">
        <v>10</v>
      </c>
      <c r="S2309">
        <v>0.76922999999999997</v>
      </c>
      <c r="T2309" t="s">
        <v>324</v>
      </c>
      <c r="U2309" t="s">
        <v>117</v>
      </c>
      <c r="V2309" t="s">
        <v>62</v>
      </c>
      <c r="W2309" t="s">
        <v>62</v>
      </c>
      <c r="X2309">
        <v>3</v>
      </c>
      <c r="Y2309">
        <v>8</v>
      </c>
      <c r="Z2309">
        <v>16</v>
      </c>
      <c r="AA2309">
        <v>0.33333000000000002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4</v>
      </c>
      <c r="AH2309">
        <v>0</v>
      </c>
      <c r="AI2309">
        <v>4</v>
      </c>
      <c r="AJ2309">
        <v>15</v>
      </c>
      <c r="AK2309">
        <v>0.21052999999999999</v>
      </c>
      <c r="AL2309">
        <v>12</v>
      </c>
      <c r="AM2309">
        <v>9</v>
      </c>
      <c r="AN2309">
        <v>40</v>
      </c>
      <c r="AO2309">
        <v>19</v>
      </c>
      <c r="AP2309">
        <v>24</v>
      </c>
      <c r="AQ2309">
        <v>5</v>
      </c>
      <c r="AR2309" t="s">
        <v>1697</v>
      </c>
      <c r="AS2309" t="s">
        <v>1698</v>
      </c>
      <c r="AT2309">
        <v>0.89100000000000001</v>
      </c>
      <c r="AU2309" t="s">
        <v>65</v>
      </c>
      <c r="AV2309">
        <v>64</v>
      </c>
      <c r="AW2309">
        <v>24</v>
      </c>
      <c r="AX2309" t="s">
        <v>1699</v>
      </c>
      <c r="AY2309">
        <v>3.8699999999999998E-2</v>
      </c>
      <c r="AZ2309">
        <v>-1.33E-3</v>
      </c>
      <c r="BA2309">
        <v>4.1599999999999996E-3</v>
      </c>
      <c r="BB2309">
        <v>-2.5000000000000001E-4</v>
      </c>
      <c r="BC2309">
        <v>0.10750999999999999</v>
      </c>
      <c r="BD2309">
        <v>1</v>
      </c>
      <c r="BE2309" t="s">
        <v>69</v>
      </c>
      <c r="BF2309">
        <v>-0.48499999999999999</v>
      </c>
      <c r="BG2309">
        <v>-1.417</v>
      </c>
    </row>
    <row r="2310" spans="1:59">
      <c r="A2310">
        <v>0</v>
      </c>
      <c r="B2310">
        <v>8</v>
      </c>
      <c r="C2310">
        <v>0</v>
      </c>
      <c r="D2310" t="s">
        <v>25022</v>
      </c>
      <c r="E2310">
        <v>4185</v>
      </c>
      <c r="F2310" t="s">
        <v>24638</v>
      </c>
      <c r="G2310" t="s">
        <v>62</v>
      </c>
      <c r="H2310">
        <v>4150499</v>
      </c>
      <c r="I2310">
        <v>4151863</v>
      </c>
      <c r="J2310" t="s">
        <v>24639</v>
      </c>
      <c r="K2310">
        <v>455</v>
      </c>
      <c r="L2310" t="s">
        <v>108</v>
      </c>
      <c r="M2310">
        <v>44</v>
      </c>
      <c r="N2310" t="str">
        <f>HYPERLINK("Gene4185-zp_tree_all.dnd", "Gene4185-tree")</f>
        <v>Gene4185-tree</v>
      </c>
      <c r="O2310">
        <v>8</v>
      </c>
      <c r="P2310">
        <v>9</v>
      </c>
      <c r="Q2310">
        <v>8</v>
      </c>
      <c r="R2310">
        <v>9</v>
      </c>
      <c r="S2310">
        <v>0.52941000000000005</v>
      </c>
      <c r="T2310" t="s">
        <v>136</v>
      </c>
      <c r="U2310" t="s">
        <v>135</v>
      </c>
      <c r="V2310" t="s">
        <v>62</v>
      </c>
      <c r="W2310" t="s">
        <v>62</v>
      </c>
      <c r="X2310">
        <v>3</v>
      </c>
      <c r="Y2310">
        <v>8</v>
      </c>
      <c r="Z2310">
        <v>10</v>
      </c>
      <c r="AA2310">
        <v>0.44444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</v>
      </c>
      <c r="AK2310">
        <v>0</v>
      </c>
      <c r="AL2310">
        <v>13</v>
      </c>
      <c r="AM2310">
        <v>14</v>
      </c>
      <c r="AN2310">
        <v>55</v>
      </c>
      <c r="AO2310">
        <v>8</v>
      </c>
      <c r="AP2310">
        <v>56</v>
      </c>
      <c r="AQ2310">
        <v>10</v>
      </c>
      <c r="AR2310" t="s">
        <v>24640</v>
      </c>
      <c r="AS2310" t="s">
        <v>24641</v>
      </c>
      <c r="AT2310">
        <v>0.36099999999999999</v>
      </c>
      <c r="AU2310" t="s">
        <v>65</v>
      </c>
      <c r="AV2310">
        <v>111</v>
      </c>
      <c r="AW2310">
        <v>18</v>
      </c>
      <c r="AX2310" t="s">
        <v>24642</v>
      </c>
      <c r="AY2310">
        <v>6.694E-2</v>
      </c>
      <c r="AZ2310">
        <v>-1.8500000000000001E-3</v>
      </c>
      <c r="BA2310">
        <v>3.29E-3</v>
      </c>
      <c r="BB2310">
        <v>-1.2999999999999999E-4</v>
      </c>
      <c r="BC2310">
        <v>4.9169999999999998E-2</v>
      </c>
      <c r="BD2310">
        <v>1</v>
      </c>
      <c r="BE2310" t="s">
        <v>69</v>
      </c>
      <c r="BF2310">
        <v>9.0999999999999998E-2</v>
      </c>
      <c r="BG2310">
        <v>-0.38400000000000001</v>
      </c>
    </row>
    <row r="2311" spans="1:59">
      <c r="A2311">
        <v>0</v>
      </c>
      <c r="B2311">
        <v>3</v>
      </c>
      <c r="C2311">
        <v>0</v>
      </c>
      <c r="D2311" t="s">
        <v>25022</v>
      </c>
      <c r="E2311">
        <v>248</v>
      </c>
      <c r="F2311" t="s">
        <v>1688</v>
      </c>
      <c r="G2311" t="s">
        <v>57</v>
      </c>
      <c r="H2311">
        <v>270396</v>
      </c>
      <c r="I2311">
        <v>271760</v>
      </c>
      <c r="J2311" t="s">
        <v>1689</v>
      </c>
      <c r="K2311">
        <v>455</v>
      </c>
      <c r="L2311" t="s">
        <v>265</v>
      </c>
      <c r="M2311">
        <v>43</v>
      </c>
      <c r="N2311" t="str">
        <f>HYPERLINK("Gene248-zp_tree_all.dnd", "Gene248-tree")</f>
        <v>Gene248-tree</v>
      </c>
      <c r="O2311">
        <v>12</v>
      </c>
      <c r="P2311">
        <v>2</v>
      </c>
      <c r="Q2311">
        <v>12</v>
      </c>
      <c r="R2311">
        <v>2</v>
      </c>
      <c r="S2311">
        <v>0.14285999999999999</v>
      </c>
      <c r="T2311" t="s">
        <v>109</v>
      </c>
      <c r="U2311" t="s">
        <v>81</v>
      </c>
      <c r="V2311" t="s">
        <v>62</v>
      </c>
      <c r="W2311" t="s">
        <v>62</v>
      </c>
      <c r="X2311">
        <v>1</v>
      </c>
      <c r="Y2311">
        <v>3</v>
      </c>
      <c r="Z2311">
        <v>4</v>
      </c>
      <c r="AA2311">
        <v>0.42857000000000001</v>
      </c>
      <c r="AB2311">
        <v>0</v>
      </c>
      <c r="AC2311">
        <v>0</v>
      </c>
      <c r="AD2311">
        <v>0</v>
      </c>
      <c r="AE2311">
        <v>2</v>
      </c>
      <c r="AF2311">
        <v>0</v>
      </c>
      <c r="AG2311">
        <v>0</v>
      </c>
      <c r="AH2311">
        <v>0</v>
      </c>
      <c r="AI2311">
        <v>0</v>
      </c>
      <c r="AJ2311">
        <v>3</v>
      </c>
      <c r="AK2311">
        <v>0</v>
      </c>
      <c r="AL2311">
        <v>11</v>
      </c>
      <c r="AM2311">
        <v>10</v>
      </c>
      <c r="AN2311">
        <v>46</v>
      </c>
      <c r="AO2311">
        <v>3</v>
      </c>
      <c r="AP2311">
        <v>33</v>
      </c>
      <c r="AQ2311">
        <v>4</v>
      </c>
      <c r="AR2311" t="s">
        <v>1690</v>
      </c>
      <c r="AS2311" t="s">
        <v>1691</v>
      </c>
      <c r="AT2311">
        <v>0.42099999999999999</v>
      </c>
      <c r="AU2311" t="s">
        <v>65</v>
      </c>
      <c r="AV2311">
        <v>79</v>
      </c>
      <c r="AW2311">
        <v>7</v>
      </c>
      <c r="AX2311" t="s">
        <v>1692</v>
      </c>
      <c r="AY2311">
        <v>4.453E-2</v>
      </c>
      <c r="AZ2311">
        <v>-1.7700000000000001E-3</v>
      </c>
      <c r="BA2311">
        <v>1.31E-3</v>
      </c>
      <c r="BB2311">
        <v>-1E-4</v>
      </c>
      <c r="BC2311">
        <v>2.9430000000000001E-2</v>
      </c>
      <c r="BD2311">
        <v>1</v>
      </c>
      <c r="BE2311" t="s">
        <v>69</v>
      </c>
      <c r="BF2311">
        <v>-5.8000000000000003E-2</v>
      </c>
      <c r="BG2311">
        <v>-1.613</v>
      </c>
    </row>
    <row r="2312" spans="1:59">
      <c r="A2312">
        <v>0</v>
      </c>
      <c r="B2312">
        <v>0</v>
      </c>
      <c r="C2312">
        <v>2</v>
      </c>
      <c r="D2312" t="s">
        <v>25022</v>
      </c>
      <c r="E2312">
        <v>2934</v>
      </c>
      <c r="F2312" t="s">
        <v>16906</v>
      </c>
      <c r="G2312" t="s">
        <v>62</v>
      </c>
      <c r="H2312">
        <v>2877769</v>
      </c>
      <c r="I2312">
        <v>2879133</v>
      </c>
      <c r="J2312" t="s">
        <v>16907</v>
      </c>
      <c r="K2312">
        <v>455</v>
      </c>
      <c r="L2312" t="s">
        <v>698</v>
      </c>
      <c r="M2312">
        <v>47</v>
      </c>
      <c r="N2312" t="str">
        <f>HYPERLINK("Gene2934-zp_tree_all.dnd", "Gene2934-tree")</f>
        <v>Gene2934-tree</v>
      </c>
      <c r="O2312">
        <v>8</v>
      </c>
      <c r="P2312">
        <v>7</v>
      </c>
      <c r="Q2312">
        <v>8</v>
      </c>
      <c r="R2312">
        <v>7</v>
      </c>
      <c r="S2312">
        <v>0.46666999999999997</v>
      </c>
      <c r="T2312" t="s">
        <v>136</v>
      </c>
      <c r="U2312" t="s">
        <v>152</v>
      </c>
      <c r="V2312" t="s">
        <v>62</v>
      </c>
      <c r="W2312" t="s">
        <v>62</v>
      </c>
      <c r="X2312">
        <v>1</v>
      </c>
      <c r="Y2312">
        <v>2</v>
      </c>
      <c r="Z2312">
        <v>10</v>
      </c>
      <c r="AA2312">
        <v>0.16667000000000001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9</v>
      </c>
      <c r="AK2312">
        <v>0</v>
      </c>
      <c r="AL2312">
        <v>13</v>
      </c>
      <c r="AM2312">
        <v>9</v>
      </c>
      <c r="AN2312">
        <v>43</v>
      </c>
      <c r="AO2312">
        <v>9</v>
      </c>
      <c r="AP2312">
        <v>63</v>
      </c>
      <c r="AQ2312">
        <v>4</v>
      </c>
      <c r="AR2312" t="s">
        <v>16908</v>
      </c>
      <c r="AS2312" t="s">
        <v>16909</v>
      </c>
      <c r="AT2312">
        <v>0.55000000000000004</v>
      </c>
      <c r="AU2312" t="s">
        <v>65</v>
      </c>
      <c r="AV2312">
        <v>106</v>
      </c>
      <c r="AW2312">
        <v>13</v>
      </c>
      <c r="AX2312" t="s">
        <v>16910</v>
      </c>
      <c r="AY2312">
        <v>9.2450000000000004E-2</v>
      </c>
      <c r="AZ2312">
        <v>-8.9099999999999995E-3</v>
      </c>
      <c r="BA2312">
        <v>2.4199999999999998E-3</v>
      </c>
      <c r="BB2312">
        <v>-2.0000000000000001E-4</v>
      </c>
      <c r="BC2312">
        <v>2.622E-2</v>
      </c>
      <c r="BD2312">
        <v>1</v>
      </c>
      <c r="BE2312" t="s">
        <v>69</v>
      </c>
      <c r="BF2312">
        <v>-1.532</v>
      </c>
      <c r="BG2312">
        <v>-1.3759999999999999</v>
      </c>
    </row>
    <row r="2313" spans="1:59">
      <c r="A2313">
        <v>0</v>
      </c>
      <c r="B2313">
        <v>2</v>
      </c>
      <c r="C2313">
        <v>4</v>
      </c>
      <c r="D2313" t="s">
        <v>25022</v>
      </c>
      <c r="E2313">
        <v>50</v>
      </c>
      <c r="F2313" t="s">
        <v>422</v>
      </c>
      <c r="G2313" t="s">
        <v>57</v>
      </c>
      <c r="H2313">
        <v>56352</v>
      </c>
      <c r="I2313">
        <v>57719</v>
      </c>
      <c r="J2313" t="s">
        <v>423</v>
      </c>
      <c r="K2313">
        <v>456</v>
      </c>
      <c r="L2313" t="s">
        <v>59</v>
      </c>
      <c r="M2313">
        <v>49</v>
      </c>
      <c r="N2313" t="str">
        <f>HYPERLINK("Gene50-zp_tree_all.dnd", "Gene50-tree")</f>
        <v>Gene50-tree</v>
      </c>
      <c r="O2313">
        <v>12</v>
      </c>
      <c r="P2313">
        <v>9</v>
      </c>
      <c r="Q2313">
        <v>12</v>
      </c>
      <c r="R2313">
        <v>9</v>
      </c>
      <c r="S2313">
        <v>0.42857000000000001</v>
      </c>
      <c r="T2313" t="s">
        <v>109</v>
      </c>
      <c r="U2313" t="s">
        <v>135</v>
      </c>
      <c r="V2313" t="s">
        <v>62</v>
      </c>
      <c r="W2313" t="s">
        <v>62</v>
      </c>
      <c r="X2313">
        <v>3</v>
      </c>
      <c r="Y2313">
        <v>6</v>
      </c>
      <c r="Z2313">
        <v>11</v>
      </c>
      <c r="AA2313">
        <v>0.35293999999999998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10</v>
      </c>
      <c r="AK2313">
        <v>0</v>
      </c>
      <c r="AL2313">
        <v>17</v>
      </c>
      <c r="AM2313">
        <v>14</v>
      </c>
      <c r="AN2313">
        <v>40</v>
      </c>
      <c r="AO2313">
        <v>10</v>
      </c>
      <c r="AP2313">
        <v>64</v>
      </c>
      <c r="AQ2313">
        <v>7</v>
      </c>
      <c r="AR2313" t="s">
        <v>424</v>
      </c>
      <c r="AS2313" t="s">
        <v>425</v>
      </c>
      <c r="AT2313">
        <v>0.87</v>
      </c>
      <c r="AU2313" t="s">
        <v>65</v>
      </c>
      <c r="AV2313">
        <v>104</v>
      </c>
      <c r="AW2313">
        <v>17</v>
      </c>
      <c r="AX2313" t="s">
        <v>426</v>
      </c>
      <c r="AY2313">
        <v>7.4499999999999997E-2</v>
      </c>
      <c r="AZ2313">
        <v>-4.3800000000000002E-3</v>
      </c>
      <c r="BA2313">
        <v>2.7399999999999998E-3</v>
      </c>
      <c r="BB2313">
        <v>-1.2999999999999999E-4</v>
      </c>
      <c r="BC2313">
        <v>3.6740000000000002E-2</v>
      </c>
      <c r="BD2313">
        <v>1</v>
      </c>
      <c r="BE2313" t="s">
        <v>69</v>
      </c>
      <c r="BF2313">
        <v>-1.3149999999999999</v>
      </c>
      <c r="BG2313">
        <v>-1.613</v>
      </c>
    </row>
    <row r="2314" spans="1:59">
      <c r="A2314">
        <v>0</v>
      </c>
      <c r="B2314">
        <v>25</v>
      </c>
      <c r="C2314">
        <v>7</v>
      </c>
      <c r="D2314" t="s">
        <v>25022</v>
      </c>
      <c r="E2314">
        <v>466</v>
      </c>
      <c r="F2314" t="s">
        <v>3162</v>
      </c>
      <c r="G2314" t="s">
        <v>57</v>
      </c>
      <c r="H2314">
        <v>509384</v>
      </c>
      <c r="I2314">
        <v>510754</v>
      </c>
      <c r="J2314" t="s">
        <v>3163</v>
      </c>
      <c r="K2314">
        <v>457</v>
      </c>
      <c r="L2314" t="s">
        <v>3143</v>
      </c>
      <c r="M2314">
        <v>41</v>
      </c>
      <c r="N2314" t="str">
        <f>HYPERLINK("Gene466-zp_tree_all.dnd", "Gene466-tree")</f>
        <v>Gene466-tree</v>
      </c>
      <c r="O2314">
        <v>1</v>
      </c>
      <c r="P2314">
        <v>14</v>
      </c>
      <c r="Q2314">
        <v>1</v>
      </c>
      <c r="R2314">
        <v>14</v>
      </c>
      <c r="S2314">
        <v>0.93332999999999999</v>
      </c>
      <c r="T2314" t="s">
        <v>175</v>
      </c>
      <c r="U2314" t="s">
        <v>543</v>
      </c>
      <c r="V2314">
        <v>1865302226.941</v>
      </c>
      <c r="W2314" t="s">
        <v>267</v>
      </c>
      <c r="X2314">
        <v>11</v>
      </c>
      <c r="Y2314">
        <v>32</v>
      </c>
      <c r="Z2314">
        <v>13</v>
      </c>
      <c r="AA2314">
        <v>0.71111000000000002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10</v>
      </c>
      <c r="AH2314">
        <v>0</v>
      </c>
      <c r="AI2314">
        <v>10</v>
      </c>
      <c r="AJ2314">
        <v>16</v>
      </c>
      <c r="AK2314">
        <v>0.38462000000000002</v>
      </c>
      <c r="AL2314">
        <v>15</v>
      </c>
      <c r="AM2314">
        <v>12</v>
      </c>
      <c r="AN2314">
        <v>58</v>
      </c>
      <c r="AO2314">
        <v>26</v>
      </c>
      <c r="AP2314">
        <v>35</v>
      </c>
      <c r="AQ2314">
        <v>20</v>
      </c>
      <c r="AR2314" t="s">
        <v>3164</v>
      </c>
      <c r="AS2314" t="s">
        <v>3165</v>
      </c>
      <c r="AT2314">
        <v>0.65300000000000002</v>
      </c>
      <c r="AU2314" t="s">
        <v>65</v>
      </c>
      <c r="AV2314">
        <v>93</v>
      </c>
      <c r="AW2314">
        <v>46</v>
      </c>
      <c r="AX2314" t="s">
        <v>3166</v>
      </c>
      <c r="AY2314">
        <v>4.9110000000000001E-2</v>
      </c>
      <c r="AZ2314">
        <v>-1.3600000000000001E-3</v>
      </c>
      <c r="BA2314">
        <v>7.4700000000000001E-3</v>
      </c>
      <c r="BB2314">
        <v>-2.3000000000000001E-4</v>
      </c>
      <c r="BC2314">
        <v>0.15209</v>
      </c>
      <c r="BD2314">
        <v>1</v>
      </c>
      <c r="BE2314" t="s">
        <v>69</v>
      </c>
      <c r="BF2314">
        <v>-3.9E-2</v>
      </c>
      <c r="BG2314">
        <v>-1.149</v>
      </c>
    </row>
    <row r="2315" spans="1:59">
      <c r="A2315">
        <v>0</v>
      </c>
      <c r="B2315">
        <v>7</v>
      </c>
      <c r="C2315">
        <v>2</v>
      </c>
      <c r="D2315" t="s">
        <v>25022</v>
      </c>
      <c r="E2315">
        <v>3715</v>
      </c>
      <c r="F2315" t="s">
        <v>21765</v>
      </c>
      <c r="G2315" t="s">
        <v>62</v>
      </c>
      <c r="H2315">
        <v>3692536</v>
      </c>
      <c r="I2315">
        <v>3693906</v>
      </c>
      <c r="J2315" t="s">
        <v>21766</v>
      </c>
      <c r="K2315">
        <v>457</v>
      </c>
      <c r="L2315" t="s">
        <v>2289</v>
      </c>
      <c r="M2315">
        <v>37</v>
      </c>
      <c r="N2315" t="str">
        <f>HYPERLINK("Gene3715-zp_tree_all.dnd", "Gene3715-tree")</f>
        <v>Gene3715-tree</v>
      </c>
      <c r="O2315">
        <v>6</v>
      </c>
      <c r="P2315">
        <v>7</v>
      </c>
      <c r="Q2315">
        <v>6</v>
      </c>
      <c r="R2315">
        <v>7</v>
      </c>
      <c r="S2315">
        <v>0.53846000000000005</v>
      </c>
      <c r="T2315" t="s">
        <v>90</v>
      </c>
      <c r="U2315" t="s">
        <v>152</v>
      </c>
      <c r="V2315" t="s">
        <v>62</v>
      </c>
      <c r="W2315" t="s">
        <v>62</v>
      </c>
      <c r="X2315">
        <v>4</v>
      </c>
      <c r="Y2315">
        <v>9</v>
      </c>
      <c r="Z2315">
        <v>9</v>
      </c>
      <c r="AA2315">
        <v>0.5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3</v>
      </c>
      <c r="AH2315">
        <v>0</v>
      </c>
      <c r="AI2315">
        <v>3</v>
      </c>
      <c r="AJ2315">
        <v>10</v>
      </c>
      <c r="AK2315">
        <v>0.23077</v>
      </c>
      <c r="AL2315">
        <v>12</v>
      </c>
      <c r="AM2315">
        <v>8</v>
      </c>
      <c r="AN2315">
        <v>86</v>
      </c>
      <c r="AO2315">
        <v>13</v>
      </c>
      <c r="AP2315">
        <v>26</v>
      </c>
      <c r="AQ2315">
        <v>6</v>
      </c>
      <c r="AR2315" t="s">
        <v>21767</v>
      </c>
      <c r="AS2315" t="s">
        <v>21768</v>
      </c>
      <c r="AT2315">
        <v>0.57099999999999995</v>
      </c>
      <c r="AU2315" t="s">
        <v>65</v>
      </c>
      <c r="AV2315">
        <v>112</v>
      </c>
      <c r="AW2315">
        <v>19</v>
      </c>
      <c r="AX2315" t="s">
        <v>21769</v>
      </c>
      <c r="AY2315">
        <v>6.2449999999999999E-2</v>
      </c>
      <c r="AZ2315">
        <v>-3.7000000000000002E-3</v>
      </c>
      <c r="BA2315">
        <v>3.7399999999999998E-3</v>
      </c>
      <c r="BB2315">
        <v>-2.0000000000000001E-4</v>
      </c>
      <c r="BC2315">
        <v>5.9810000000000002E-2</v>
      </c>
      <c r="BD2315">
        <v>1</v>
      </c>
      <c r="BE2315" t="s">
        <v>69</v>
      </c>
      <c r="BF2315">
        <v>-1.66</v>
      </c>
      <c r="BG2315">
        <v>-3.1349999999999998</v>
      </c>
    </row>
    <row r="2316" spans="1:59">
      <c r="A2316">
        <v>0</v>
      </c>
      <c r="B2316">
        <v>34</v>
      </c>
      <c r="C2316">
        <v>4</v>
      </c>
      <c r="D2316" t="s">
        <v>25022</v>
      </c>
      <c r="E2316">
        <v>3880</v>
      </c>
      <c r="F2316" t="s">
        <v>22758</v>
      </c>
      <c r="G2316" t="s">
        <v>62</v>
      </c>
      <c r="H2316">
        <v>3843004</v>
      </c>
      <c r="I2316">
        <v>3844377</v>
      </c>
      <c r="J2316" t="s">
        <v>116</v>
      </c>
      <c r="K2316">
        <v>458</v>
      </c>
      <c r="L2316" t="s">
        <v>108</v>
      </c>
      <c r="M2316">
        <v>44</v>
      </c>
      <c r="N2316" t="str">
        <f>HYPERLINK("Gene3880-zp_tree_all.dnd", "Gene3880-tree")</f>
        <v>Gene3880-tree</v>
      </c>
      <c r="O2316">
        <v>5</v>
      </c>
      <c r="P2316">
        <v>11</v>
      </c>
      <c r="Q2316">
        <v>5</v>
      </c>
      <c r="R2316">
        <v>11</v>
      </c>
      <c r="S2316">
        <v>0.6875</v>
      </c>
      <c r="T2316" t="s">
        <v>199</v>
      </c>
      <c r="U2316" t="s">
        <v>73</v>
      </c>
      <c r="V2316">
        <v>137353515.63499999</v>
      </c>
      <c r="W2316" t="s">
        <v>267</v>
      </c>
      <c r="X2316">
        <v>14</v>
      </c>
      <c r="Y2316">
        <v>38</v>
      </c>
      <c r="Z2316">
        <v>35</v>
      </c>
      <c r="AA2316">
        <v>0.52054999999999996</v>
      </c>
      <c r="AB2316">
        <v>0</v>
      </c>
      <c r="AC2316">
        <v>0</v>
      </c>
      <c r="AD2316">
        <v>0</v>
      </c>
      <c r="AE2316">
        <v>3</v>
      </c>
      <c r="AF2316">
        <v>0</v>
      </c>
      <c r="AG2316">
        <v>13</v>
      </c>
      <c r="AH2316">
        <v>1</v>
      </c>
      <c r="AI2316">
        <v>14</v>
      </c>
      <c r="AJ2316">
        <v>34</v>
      </c>
      <c r="AK2316">
        <v>0.29166999999999998</v>
      </c>
      <c r="AL2316">
        <v>14</v>
      </c>
      <c r="AM2316">
        <v>13</v>
      </c>
      <c r="AN2316">
        <v>69</v>
      </c>
      <c r="AO2316">
        <v>48</v>
      </c>
      <c r="AP2316">
        <v>51</v>
      </c>
      <c r="AQ2316">
        <v>27</v>
      </c>
      <c r="AR2316" t="s">
        <v>22759</v>
      </c>
      <c r="AS2316" t="s">
        <v>22760</v>
      </c>
      <c r="AT2316">
        <v>0.33200000000000002</v>
      </c>
      <c r="AU2316" t="s">
        <v>65</v>
      </c>
      <c r="AV2316">
        <v>120</v>
      </c>
      <c r="AW2316">
        <v>75</v>
      </c>
      <c r="AX2316" t="s">
        <v>22761</v>
      </c>
      <c r="AY2316">
        <v>6.4939999999999998E-2</v>
      </c>
      <c r="AZ2316">
        <v>-2.9399999999999999E-3</v>
      </c>
      <c r="BA2316">
        <v>1.167E-2</v>
      </c>
      <c r="BB2316">
        <v>-5.0000000000000001E-4</v>
      </c>
      <c r="BC2316">
        <v>0.17962</v>
      </c>
      <c r="BD2316">
        <v>1</v>
      </c>
      <c r="BE2316" t="s">
        <v>69</v>
      </c>
      <c r="BF2316">
        <v>-0.73</v>
      </c>
      <c r="BG2316">
        <v>-0.871</v>
      </c>
    </row>
    <row r="2317" spans="1:59">
      <c r="A2317">
        <v>0</v>
      </c>
      <c r="B2317">
        <v>0</v>
      </c>
      <c r="C2317">
        <v>0</v>
      </c>
      <c r="D2317" t="s">
        <v>25022</v>
      </c>
      <c r="E2317">
        <v>4228</v>
      </c>
      <c r="F2317" t="s">
        <v>24837</v>
      </c>
      <c r="G2317" t="s">
        <v>62</v>
      </c>
      <c r="H2317">
        <v>4187684</v>
      </c>
      <c r="I2317">
        <v>4189057</v>
      </c>
      <c r="J2317" t="s">
        <v>24838</v>
      </c>
      <c r="K2317">
        <v>458</v>
      </c>
      <c r="L2317" t="s">
        <v>24839</v>
      </c>
      <c r="M2317">
        <v>30</v>
      </c>
      <c r="N2317" t="str">
        <f>HYPERLINK("Gene4228-zp_tree_all.dnd", "Gene4228-tree")</f>
        <v>Gene4228-tree</v>
      </c>
      <c r="O2317">
        <v>4</v>
      </c>
      <c r="P2317">
        <v>4</v>
      </c>
      <c r="Q2317">
        <v>4</v>
      </c>
      <c r="R2317">
        <v>4</v>
      </c>
      <c r="S2317">
        <v>0.5</v>
      </c>
      <c r="T2317" t="s">
        <v>61</v>
      </c>
      <c r="U2317" t="s">
        <v>61</v>
      </c>
      <c r="V2317" t="s">
        <v>62</v>
      </c>
      <c r="W2317" t="s">
        <v>62</v>
      </c>
      <c r="X2317">
        <v>0</v>
      </c>
      <c r="Y2317">
        <v>0</v>
      </c>
      <c r="Z2317">
        <v>14</v>
      </c>
      <c r="AA2317">
        <v>0</v>
      </c>
      <c r="AB2317">
        <v>0</v>
      </c>
      <c r="AC2317">
        <v>0</v>
      </c>
      <c r="AD2317">
        <v>0</v>
      </c>
      <c r="AE2317">
        <v>3</v>
      </c>
      <c r="AF2317">
        <v>0</v>
      </c>
      <c r="AG2317">
        <v>0</v>
      </c>
      <c r="AH2317">
        <v>0</v>
      </c>
      <c r="AI2317">
        <v>0</v>
      </c>
      <c r="AJ2317">
        <v>6</v>
      </c>
      <c r="AK2317">
        <v>0</v>
      </c>
      <c r="AL2317">
        <v>6</v>
      </c>
      <c r="AM2317">
        <v>4</v>
      </c>
      <c r="AN2317">
        <v>7</v>
      </c>
      <c r="AO2317">
        <v>6</v>
      </c>
      <c r="AP2317">
        <v>21</v>
      </c>
      <c r="AQ2317">
        <v>8</v>
      </c>
      <c r="AR2317" t="s">
        <v>24840</v>
      </c>
      <c r="AS2317" t="s">
        <v>24841</v>
      </c>
      <c r="AT2317">
        <v>1.0660000000000001</v>
      </c>
      <c r="AU2317" t="s">
        <v>65</v>
      </c>
      <c r="AV2317">
        <v>28</v>
      </c>
      <c r="AW2317">
        <v>14</v>
      </c>
      <c r="AX2317" t="s">
        <v>24842</v>
      </c>
      <c r="AY2317">
        <v>3.3829999999999999E-2</v>
      </c>
      <c r="AZ2317">
        <v>-3.0300000000000001E-3</v>
      </c>
      <c r="BA2317">
        <v>5.2100000000000002E-3</v>
      </c>
      <c r="BB2317">
        <v>-4.2000000000000002E-4</v>
      </c>
      <c r="BC2317">
        <v>0.15404000000000001</v>
      </c>
      <c r="BD2317">
        <v>1</v>
      </c>
      <c r="BE2317" t="s">
        <v>69</v>
      </c>
      <c r="BF2317">
        <v>-1.121</v>
      </c>
      <c r="BG2317">
        <v>0.34499999999999997</v>
      </c>
    </row>
    <row r="2318" spans="1:59">
      <c r="A2318">
        <v>0</v>
      </c>
      <c r="B2318">
        <v>16</v>
      </c>
      <c r="C2318">
        <v>0</v>
      </c>
      <c r="D2318" t="s">
        <v>25022</v>
      </c>
      <c r="E2318">
        <v>843</v>
      </c>
      <c r="F2318" t="s">
        <v>5262</v>
      </c>
      <c r="G2318" t="s">
        <v>57</v>
      </c>
      <c r="H2318">
        <v>882266</v>
      </c>
      <c r="I2318">
        <v>883639</v>
      </c>
      <c r="J2318" t="s">
        <v>5263</v>
      </c>
      <c r="K2318">
        <v>458</v>
      </c>
      <c r="L2318" t="s">
        <v>108</v>
      </c>
      <c r="M2318">
        <v>44</v>
      </c>
      <c r="N2318" t="str">
        <f>HYPERLINK("Gene843-zp_tree_all.dnd", "Gene843-tree")</f>
        <v>Gene843-tree</v>
      </c>
      <c r="O2318">
        <v>4</v>
      </c>
      <c r="P2318">
        <v>12</v>
      </c>
      <c r="Q2318">
        <v>4</v>
      </c>
      <c r="R2318">
        <v>12</v>
      </c>
      <c r="S2318">
        <v>0.75</v>
      </c>
      <c r="T2318" t="s">
        <v>61</v>
      </c>
      <c r="U2318" t="s">
        <v>109</v>
      </c>
      <c r="V2318" t="s">
        <v>62</v>
      </c>
      <c r="W2318" t="s">
        <v>62</v>
      </c>
      <c r="X2318">
        <v>7</v>
      </c>
      <c r="Y2318">
        <v>16</v>
      </c>
      <c r="Z2318">
        <v>20</v>
      </c>
      <c r="AA2318">
        <v>0.44444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10</v>
      </c>
      <c r="AH2318">
        <v>0</v>
      </c>
      <c r="AI2318">
        <v>10</v>
      </c>
      <c r="AJ2318">
        <v>18</v>
      </c>
      <c r="AK2318">
        <v>0.35714000000000001</v>
      </c>
      <c r="AL2318">
        <v>14</v>
      </c>
      <c r="AM2318">
        <v>11</v>
      </c>
      <c r="AN2318">
        <v>51</v>
      </c>
      <c r="AO2318">
        <v>27</v>
      </c>
      <c r="AP2318">
        <v>52</v>
      </c>
      <c r="AQ2318">
        <v>9</v>
      </c>
      <c r="AR2318" t="s">
        <v>5264</v>
      </c>
      <c r="AS2318" t="s">
        <v>5265</v>
      </c>
      <c r="AT2318">
        <v>2.1909999999999998</v>
      </c>
      <c r="AU2318" t="s">
        <v>267</v>
      </c>
      <c r="AV2318">
        <v>103</v>
      </c>
      <c r="AW2318">
        <v>36</v>
      </c>
      <c r="AX2318" t="s">
        <v>5266</v>
      </c>
      <c r="AY2318">
        <v>5.5449999999999999E-2</v>
      </c>
      <c r="AZ2318">
        <v>-1.82E-3</v>
      </c>
      <c r="BA2318">
        <v>5.5599999999999998E-3</v>
      </c>
      <c r="BB2318">
        <v>-1.9000000000000001E-4</v>
      </c>
      <c r="BC2318">
        <v>0.10018000000000001</v>
      </c>
      <c r="BD2318">
        <v>1</v>
      </c>
      <c r="BE2318" t="s">
        <v>69</v>
      </c>
      <c r="BF2318">
        <v>-0.72599999999999998</v>
      </c>
      <c r="BG2318">
        <v>-0.75700000000000001</v>
      </c>
    </row>
    <row r="2319" spans="1:59">
      <c r="A2319">
        <v>0</v>
      </c>
      <c r="B2319">
        <v>3</v>
      </c>
      <c r="C2319">
        <v>0</v>
      </c>
      <c r="D2319" t="s">
        <v>25022</v>
      </c>
      <c r="E2319">
        <v>3423</v>
      </c>
      <c r="F2319" t="s">
        <v>20028</v>
      </c>
      <c r="G2319" t="s">
        <v>62</v>
      </c>
      <c r="H2319">
        <v>3384073</v>
      </c>
      <c r="I2319">
        <v>3385446</v>
      </c>
      <c r="J2319" t="s">
        <v>20029</v>
      </c>
      <c r="K2319">
        <v>458</v>
      </c>
      <c r="L2319" t="s">
        <v>108</v>
      </c>
      <c r="M2319">
        <v>44</v>
      </c>
      <c r="N2319" t="str">
        <f>HYPERLINK("Gene3423-zp_tree_all.dnd", "Gene3423-tree")</f>
        <v>Gene3423-tree</v>
      </c>
      <c r="O2319">
        <v>24</v>
      </c>
      <c r="P2319">
        <v>9</v>
      </c>
      <c r="Q2319">
        <v>4</v>
      </c>
      <c r="R2319">
        <v>9</v>
      </c>
      <c r="S2319">
        <v>0.69230999999999998</v>
      </c>
      <c r="T2319" t="s">
        <v>1495</v>
      </c>
      <c r="U2319" t="s">
        <v>135</v>
      </c>
      <c r="V2319" t="s">
        <v>62</v>
      </c>
      <c r="W2319" t="s">
        <v>62</v>
      </c>
      <c r="X2319">
        <v>1</v>
      </c>
      <c r="Y2319">
        <v>3</v>
      </c>
      <c r="Z2319">
        <v>14</v>
      </c>
      <c r="AA2319">
        <v>0.17646999999999999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3</v>
      </c>
      <c r="AH2319">
        <v>0</v>
      </c>
      <c r="AI2319">
        <v>3</v>
      </c>
      <c r="AJ2319">
        <v>10</v>
      </c>
      <c r="AK2319">
        <v>0.23077</v>
      </c>
      <c r="AL2319">
        <v>12</v>
      </c>
      <c r="AM2319">
        <v>9</v>
      </c>
      <c r="AN2319">
        <v>40</v>
      </c>
      <c r="AO2319">
        <v>13</v>
      </c>
      <c r="AP2319">
        <v>20</v>
      </c>
      <c r="AQ2319">
        <v>4</v>
      </c>
      <c r="AR2319" t="s">
        <v>20030</v>
      </c>
      <c r="AS2319" t="s">
        <v>20031</v>
      </c>
      <c r="AT2319">
        <v>0.79100000000000004</v>
      </c>
      <c r="AU2319" t="s">
        <v>65</v>
      </c>
      <c r="AV2319">
        <v>60</v>
      </c>
      <c r="AW2319">
        <v>17</v>
      </c>
      <c r="AX2319" t="s">
        <v>20032</v>
      </c>
      <c r="AY2319">
        <v>3.6720000000000003E-2</v>
      </c>
      <c r="AZ2319">
        <v>-1.4300000000000001E-3</v>
      </c>
      <c r="BA2319">
        <v>3.0899999999999999E-3</v>
      </c>
      <c r="BB2319">
        <v>-1.4999999999999999E-4</v>
      </c>
      <c r="BC2319">
        <v>8.4129999999999996E-2</v>
      </c>
      <c r="BD2319">
        <v>1</v>
      </c>
      <c r="BE2319" t="s">
        <v>69</v>
      </c>
      <c r="BF2319">
        <v>-0.26200000000000001</v>
      </c>
      <c r="BG2319">
        <v>-1.3160000000000001</v>
      </c>
    </row>
    <row r="2320" spans="1:59">
      <c r="A2320">
        <v>0</v>
      </c>
      <c r="B2320">
        <v>2</v>
      </c>
      <c r="C2320">
        <v>0</v>
      </c>
      <c r="D2320" t="s">
        <v>25022</v>
      </c>
      <c r="E2320">
        <v>87</v>
      </c>
      <c r="F2320" t="s">
        <v>688</v>
      </c>
      <c r="G2320" t="s">
        <v>57</v>
      </c>
      <c r="H2320">
        <v>106096</v>
      </c>
      <c r="I2320">
        <v>107469</v>
      </c>
      <c r="J2320" t="s">
        <v>689</v>
      </c>
      <c r="K2320">
        <v>458</v>
      </c>
      <c r="L2320" t="s">
        <v>108</v>
      </c>
      <c r="M2320">
        <v>44</v>
      </c>
      <c r="N2320" t="str">
        <f>HYPERLINK("Gene87-zp_tree_all.dnd", "Gene87-tree")</f>
        <v>Gene87-tree</v>
      </c>
      <c r="O2320">
        <v>9</v>
      </c>
      <c r="P2320">
        <v>23</v>
      </c>
      <c r="Q2320">
        <v>9</v>
      </c>
      <c r="R2320">
        <v>4</v>
      </c>
      <c r="S2320">
        <v>0.30769000000000002</v>
      </c>
      <c r="T2320" t="s">
        <v>135</v>
      </c>
      <c r="U2320" t="s">
        <v>690</v>
      </c>
      <c r="V2320">
        <v>5.6079999999999997</v>
      </c>
      <c r="W2320" t="s">
        <v>65</v>
      </c>
      <c r="X2320">
        <v>1</v>
      </c>
      <c r="Y2320">
        <v>2</v>
      </c>
      <c r="Z2320">
        <v>5</v>
      </c>
      <c r="AA2320">
        <v>0.28571000000000002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5</v>
      </c>
      <c r="AK2320">
        <v>0</v>
      </c>
      <c r="AL2320">
        <v>12</v>
      </c>
      <c r="AM2320">
        <v>8</v>
      </c>
      <c r="AN2320">
        <v>29</v>
      </c>
      <c r="AO2320">
        <v>5</v>
      </c>
      <c r="AP2320">
        <v>30</v>
      </c>
      <c r="AQ2320">
        <v>2</v>
      </c>
      <c r="AR2320" t="s">
        <v>691</v>
      </c>
      <c r="AS2320" t="s">
        <v>692</v>
      </c>
      <c r="AT2320">
        <v>0.63300000000000001</v>
      </c>
      <c r="AU2320" t="s">
        <v>65</v>
      </c>
      <c r="AV2320">
        <v>59</v>
      </c>
      <c r="AW2320">
        <v>7</v>
      </c>
      <c r="AX2320" t="s">
        <v>693</v>
      </c>
      <c r="AY2320">
        <v>3.8640000000000001E-2</v>
      </c>
      <c r="AZ2320">
        <v>-1.5900000000000001E-3</v>
      </c>
      <c r="BA2320">
        <v>1.49E-3</v>
      </c>
      <c r="BB2320">
        <v>-1.1E-4</v>
      </c>
      <c r="BC2320">
        <v>3.8490000000000003E-2</v>
      </c>
      <c r="BD2320">
        <v>1</v>
      </c>
      <c r="BE2320" t="s">
        <v>69</v>
      </c>
      <c r="BF2320">
        <v>-0.152</v>
      </c>
      <c r="BG2320">
        <v>-0.751</v>
      </c>
    </row>
    <row r="2321" spans="1:59">
      <c r="A2321">
        <v>0</v>
      </c>
      <c r="B2321">
        <v>19</v>
      </c>
      <c r="C2321">
        <v>3</v>
      </c>
      <c r="D2321" t="s">
        <v>25022</v>
      </c>
      <c r="E2321">
        <v>1275</v>
      </c>
      <c r="F2321" t="s">
        <v>7994</v>
      </c>
      <c r="G2321" t="s">
        <v>57</v>
      </c>
      <c r="H2321">
        <v>1301939</v>
      </c>
      <c r="I2321">
        <v>1303315</v>
      </c>
      <c r="J2321" t="s">
        <v>7995</v>
      </c>
      <c r="K2321">
        <v>459</v>
      </c>
      <c r="L2321" t="s">
        <v>698</v>
      </c>
      <c r="M2321">
        <v>47</v>
      </c>
      <c r="N2321" t="str">
        <f>HYPERLINK("Gene1275-zp_tree_all.dnd", "Gene1275-tree")</f>
        <v>Gene1275-tree</v>
      </c>
      <c r="O2321">
        <v>7</v>
      </c>
      <c r="P2321">
        <v>11</v>
      </c>
      <c r="Q2321">
        <v>7</v>
      </c>
      <c r="R2321">
        <v>11</v>
      </c>
      <c r="S2321">
        <v>0.61111000000000004</v>
      </c>
      <c r="T2321" t="s">
        <v>152</v>
      </c>
      <c r="U2321" t="s">
        <v>73</v>
      </c>
      <c r="V2321">
        <v>65406436.016999997</v>
      </c>
      <c r="W2321" t="s">
        <v>267</v>
      </c>
      <c r="X2321">
        <v>9</v>
      </c>
      <c r="Y2321">
        <v>22</v>
      </c>
      <c r="Z2321">
        <v>12</v>
      </c>
      <c r="AA2321">
        <v>0.64705999999999997</v>
      </c>
      <c r="AB2321">
        <v>0</v>
      </c>
      <c r="AC2321">
        <v>0</v>
      </c>
      <c r="AD2321">
        <v>0</v>
      </c>
      <c r="AE2321">
        <v>3</v>
      </c>
      <c r="AF2321">
        <v>0</v>
      </c>
      <c r="AG2321">
        <v>0</v>
      </c>
      <c r="AH2321">
        <v>2</v>
      </c>
      <c r="AI2321">
        <v>2</v>
      </c>
      <c r="AJ2321">
        <v>17</v>
      </c>
      <c r="AK2321">
        <v>0.10526000000000001</v>
      </c>
      <c r="AL2321">
        <v>17</v>
      </c>
      <c r="AM2321">
        <v>14</v>
      </c>
      <c r="AN2321">
        <v>66</v>
      </c>
      <c r="AO2321">
        <v>19</v>
      </c>
      <c r="AP2321">
        <v>90</v>
      </c>
      <c r="AQ2321">
        <v>15</v>
      </c>
      <c r="AR2321" t="s">
        <v>7996</v>
      </c>
      <c r="AS2321" t="s">
        <v>7997</v>
      </c>
      <c r="AT2321">
        <v>0.47399999999999998</v>
      </c>
      <c r="AU2321" t="s">
        <v>65</v>
      </c>
      <c r="AV2321">
        <v>156</v>
      </c>
      <c r="AW2321">
        <v>34</v>
      </c>
      <c r="AX2321" t="s">
        <v>7998</v>
      </c>
      <c r="AY2321">
        <v>8.6180000000000007E-2</v>
      </c>
      <c r="AZ2321">
        <v>-5.3699999999999998E-3</v>
      </c>
      <c r="BA2321">
        <v>4.2500000000000003E-3</v>
      </c>
      <c r="BB2321">
        <v>-1.3999999999999999E-4</v>
      </c>
      <c r="BC2321">
        <v>4.9320000000000003E-2</v>
      </c>
      <c r="BD2321">
        <v>1</v>
      </c>
      <c r="BE2321" t="s">
        <v>69</v>
      </c>
      <c r="BF2321">
        <v>-1.429</v>
      </c>
      <c r="BG2321">
        <v>-0.55900000000000005</v>
      </c>
    </row>
    <row r="2322" spans="1:59">
      <c r="A2322">
        <v>0</v>
      </c>
      <c r="B2322">
        <v>4</v>
      </c>
      <c r="C2322">
        <v>2</v>
      </c>
      <c r="D2322" t="s">
        <v>25022</v>
      </c>
      <c r="E2322">
        <v>708</v>
      </c>
      <c r="F2322" t="s">
        <v>4430</v>
      </c>
      <c r="G2322" t="s">
        <v>57</v>
      </c>
      <c r="H2322">
        <v>737603</v>
      </c>
      <c r="I2322">
        <v>738979</v>
      </c>
      <c r="J2322" t="s">
        <v>4431</v>
      </c>
      <c r="K2322">
        <v>459</v>
      </c>
      <c r="L2322" t="s">
        <v>4432</v>
      </c>
      <c r="M2322">
        <v>27</v>
      </c>
      <c r="N2322" t="str">
        <f>HYPERLINK("Gene708-zp_tree_all.dnd", "Gene708-tree")</f>
        <v>Gene708-tree</v>
      </c>
      <c r="O2322">
        <v>3</v>
      </c>
      <c r="P2322">
        <v>5</v>
      </c>
      <c r="Q2322">
        <v>3</v>
      </c>
      <c r="R2322">
        <v>5</v>
      </c>
      <c r="S2322">
        <v>0.625</v>
      </c>
      <c r="T2322" t="s">
        <v>324</v>
      </c>
      <c r="U2322" t="s">
        <v>199</v>
      </c>
      <c r="V2322" t="s">
        <v>62</v>
      </c>
      <c r="W2322" t="s">
        <v>62</v>
      </c>
      <c r="X2322">
        <v>3</v>
      </c>
      <c r="Y2322">
        <v>6</v>
      </c>
      <c r="Z2322">
        <v>8</v>
      </c>
      <c r="AA2322">
        <v>0.42857000000000001</v>
      </c>
      <c r="AB2322">
        <v>0</v>
      </c>
      <c r="AC2322">
        <v>0</v>
      </c>
      <c r="AD2322">
        <v>0</v>
      </c>
      <c r="AE2322">
        <v>3</v>
      </c>
      <c r="AF2322">
        <v>0</v>
      </c>
      <c r="AG2322">
        <v>0</v>
      </c>
      <c r="AH2322">
        <v>0</v>
      </c>
      <c r="AI2322">
        <v>0</v>
      </c>
      <c r="AJ2322">
        <v>8</v>
      </c>
      <c r="AK2322">
        <v>0</v>
      </c>
      <c r="AL2322">
        <v>7</v>
      </c>
      <c r="AM2322">
        <v>5</v>
      </c>
      <c r="AN2322">
        <v>81</v>
      </c>
      <c r="AO2322">
        <v>9</v>
      </c>
      <c r="AP2322">
        <v>78</v>
      </c>
      <c r="AQ2322">
        <v>9</v>
      </c>
      <c r="AR2322" t="s">
        <v>4433</v>
      </c>
      <c r="AS2322" t="s">
        <v>4434</v>
      </c>
      <c r="AT2322">
        <v>2.8000000000000001E-2</v>
      </c>
      <c r="AU2322" t="s">
        <v>65</v>
      </c>
      <c r="AV2322">
        <v>159</v>
      </c>
      <c r="AW2322">
        <v>18</v>
      </c>
      <c r="AX2322" t="s">
        <v>4435</v>
      </c>
      <c r="AY2322">
        <v>0.16478000000000001</v>
      </c>
      <c r="AZ2322">
        <v>-8.8800000000000007E-3</v>
      </c>
      <c r="BA2322">
        <v>5.6899999999999997E-3</v>
      </c>
      <c r="BB2322">
        <v>-3.4000000000000002E-4</v>
      </c>
      <c r="BC2322">
        <v>3.4509999999999999E-2</v>
      </c>
      <c r="BD2322">
        <v>1</v>
      </c>
      <c r="BE2322" t="s">
        <v>69</v>
      </c>
      <c r="BF2322">
        <v>-0.629</v>
      </c>
      <c r="BG2322">
        <v>-0.53700000000000003</v>
      </c>
    </row>
    <row r="2323" spans="1:59">
      <c r="A2323">
        <v>0</v>
      </c>
      <c r="B2323">
        <v>4</v>
      </c>
      <c r="C2323">
        <v>0</v>
      </c>
      <c r="D2323" t="s">
        <v>25022</v>
      </c>
      <c r="E2323">
        <v>4254</v>
      </c>
      <c r="F2323" t="s">
        <v>24988</v>
      </c>
      <c r="G2323" t="s">
        <v>62</v>
      </c>
      <c r="H2323">
        <v>4211513</v>
      </c>
      <c r="I2323">
        <v>4212889</v>
      </c>
      <c r="J2323" t="s">
        <v>24989</v>
      </c>
      <c r="K2323">
        <v>459</v>
      </c>
      <c r="L2323" t="s">
        <v>59</v>
      </c>
      <c r="M2323">
        <v>49</v>
      </c>
      <c r="N2323" t="str">
        <f>HYPERLINK("Gene4254-zp_tree_all.dnd", "Gene4254-tree")</f>
        <v>Gene4254-tree</v>
      </c>
      <c r="O2323">
        <v>16</v>
      </c>
      <c r="P2323">
        <v>5</v>
      </c>
      <c r="Q2323">
        <v>16</v>
      </c>
      <c r="R2323">
        <v>5</v>
      </c>
      <c r="S2323">
        <v>0.23810000000000001</v>
      </c>
      <c r="T2323" t="s">
        <v>60</v>
      </c>
      <c r="U2323" t="s">
        <v>199</v>
      </c>
      <c r="V2323" t="s">
        <v>62</v>
      </c>
      <c r="W2323" t="s">
        <v>62</v>
      </c>
      <c r="X2323">
        <v>2</v>
      </c>
      <c r="Y2323">
        <v>4</v>
      </c>
      <c r="Z2323">
        <v>9</v>
      </c>
      <c r="AA2323">
        <v>0.30769000000000002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</v>
      </c>
      <c r="AH2323">
        <v>0</v>
      </c>
      <c r="AI2323">
        <v>2</v>
      </c>
      <c r="AJ2323">
        <v>4</v>
      </c>
      <c r="AK2323">
        <v>0.33333000000000002</v>
      </c>
      <c r="AL2323">
        <v>20</v>
      </c>
      <c r="AM2323">
        <v>17</v>
      </c>
      <c r="AN2323">
        <v>69</v>
      </c>
      <c r="AO2323">
        <v>6</v>
      </c>
      <c r="AP2323">
        <v>102</v>
      </c>
      <c r="AQ2323">
        <v>7</v>
      </c>
      <c r="AR2323" t="s">
        <v>24990</v>
      </c>
      <c r="AS2323" t="s">
        <v>24991</v>
      </c>
      <c r="AT2323">
        <v>0.17100000000000001</v>
      </c>
      <c r="AU2323" t="s">
        <v>65</v>
      </c>
      <c r="AV2323">
        <v>171</v>
      </c>
      <c r="AW2323">
        <v>13</v>
      </c>
      <c r="AX2323" t="s">
        <v>24992</v>
      </c>
      <c r="AY2323">
        <v>0.10885</v>
      </c>
      <c r="AZ2323">
        <v>-5.4000000000000003E-3</v>
      </c>
      <c r="BA2323">
        <v>2.2799999999999999E-3</v>
      </c>
      <c r="BB2323">
        <v>-1.2E-4</v>
      </c>
      <c r="BC2323">
        <v>2.0930000000000001E-2</v>
      </c>
      <c r="BD2323">
        <v>1</v>
      </c>
      <c r="BE2323" t="s">
        <v>69</v>
      </c>
      <c r="BF2323">
        <v>-0.86</v>
      </c>
      <c r="BG2323">
        <v>-0.55200000000000005</v>
      </c>
    </row>
    <row r="2324" spans="1:59">
      <c r="A2324">
        <v>0</v>
      </c>
      <c r="B2324">
        <v>0</v>
      </c>
      <c r="C2324">
        <v>0</v>
      </c>
      <c r="D2324" t="s">
        <v>25022</v>
      </c>
      <c r="E2324">
        <v>2163</v>
      </c>
      <c r="F2324" t="s">
        <v>12914</v>
      </c>
      <c r="G2324" t="s">
        <v>62</v>
      </c>
      <c r="H2324">
        <v>2205196</v>
      </c>
      <c r="I2324">
        <v>2206575</v>
      </c>
      <c r="J2324" t="s">
        <v>12880</v>
      </c>
      <c r="K2324">
        <v>460</v>
      </c>
      <c r="L2324" t="s">
        <v>12901</v>
      </c>
      <c r="M2324">
        <v>17</v>
      </c>
      <c r="N2324" t="str">
        <f>HYPERLINK("Gene2163-zp_tree_all.dnd", "Gene2163-tree")</f>
        <v>Gene2163-tree</v>
      </c>
      <c r="O2324">
        <v>15</v>
      </c>
      <c r="P2324">
        <v>2</v>
      </c>
      <c r="Q2324">
        <v>2</v>
      </c>
      <c r="R2324">
        <v>2</v>
      </c>
      <c r="S2324">
        <v>0.5</v>
      </c>
      <c r="T2324" t="s">
        <v>12915</v>
      </c>
      <c r="U2324" t="s">
        <v>81</v>
      </c>
      <c r="V2324" t="s">
        <v>62</v>
      </c>
      <c r="W2324" t="s">
        <v>62</v>
      </c>
      <c r="X2324">
        <v>0</v>
      </c>
      <c r="Y2324">
        <v>0</v>
      </c>
      <c r="Z2324">
        <v>5</v>
      </c>
      <c r="AA2324">
        <v>0</v>
      </c>
      <c r="AB2324">
        <v>0</v>
      </c>
      <c r="AC2324">
        <v>0</v>
      </c>
      <c r="AD2324">
        <v>0</v>
      </c>
      <c r="AE2324">
        <v>3</v>
      </c>
      <c r="AF2324">
        <v>0</v>
      </c>
      <c r="AG2324">
        <v>0</v>
      </c>
      <c r="AH2324">
        <v>0</v>
      </c>
      <c r="AI2324">
        <v>0</v>
      </c>
      <c r="AJ2324">
        <v>2</v>
      </c>
      <c r="AK2324">
        <v>0</v>
      </c>
      <c r="AL2324">
        <v>4</v>
      </c>
      <c r="AM2324">
        <v>1</v>
      </c>
      <c r="AN2324">
        <v>11</v>
      </c>
      <c r="AO2324">
        <v>2</v>
      </c>
      <c r="AP2324">
        <v>32</v>
      </c>
      <c r="AQ2324">
        <v>3</v>
      </c>
      <c r="AR2324" t="s">
        <v>12916</v>
      </c>
      <c r="AS2324" t="s">
        <v>12917</v>
      </c>
      <c r="AT2324">
        <v>0.61499999999999999</v>
      </c>
      <c r="AU2324" t="s">
        <v>65</v>
      </c>
      <c r="AV2324">
        <v>43</v>
      </c>
      <c r="AW2324">
        <v>5</v>
      </c>
      <c r="AX2324" t="s">
        <v>12918</v>
      </c>
      <c r="AY2324">
        <v>0.10498</v>
      </c>
      <c r="AZ2324">
        <v>-2.4830000000000001E-2</v>
      </c>
      <c r="BA2324">
        <v>2.7299999999999998E-3</v>
      </c>
      <c r="BB2324">
        <v>-3.4000000000000002E-4</v>
      </c>
      <c r="BC2324">
        <v>2.6040000000000001E-2</v>
      </c>
      <c r="BD2324">
        <v>1</v>
      </c>
      <c r="BE2324" t="s">
        <v>69</v>
      </c>
      <c r="BF2324">
        <v>-1.1719999999999999</v>
      </c>
      <c r="BG2324">
        <v>0.79100000000000004</v>
      </c>
    </row>
    <row r="2325" spans="1:59">
      <c r="A2325">
        <v>0</v>
      </c>
      <c r="B2325">
        <v>0</v>
      </c>
      <c r="C2325">
        <v>3</v>
      </c>
      <c r="D2325" t="s">
        <v>25022</v>
      </c>
      <c r="E2325">
        <v>3686</v>
      </c>
      <c r="F2325" t="s">
        <v>21634</v>
      </c>
      <c r="G2325" t="s">
        <v>62</v>
      </c>
      <c r="H2325">
        <v>3654142</v>
      </c>
      <c r="I2325">
        <v>3655524</v>
      </c>
      <c r="J2325" t="s">
        <v>21635</v>
      </c>
      <c r="K2325">
        <v>461</v>
      </c>
      <c r="L2325" t="s">
        <v>2078</v>
      </c>
      <c r="M2325">
        <v>36</v>
      </c>
      <c r="N2325" t="str">
        <f>HYPERLINK("Gene3686-zp_tree_all.dnd", "Gene3686-tree")</f>
        <v>Gene3686-tree</v>
      </c>
      <c r="O2325">
        <v>7</v>
      </c>
      <c r="P2325">
        <v>5</v>
      </c>
      <c r="Q2325">
        <v>7</v>
      </c>
      <c r="R2325">
        <v>5</v>
      </c>
      <c r="S2325">
        <v>0.41666999999999998</v>
      </c>
      <c r="T2325" t="s">
        <v>152</v>
      </c>
      <c r="U2325" t="s">
        <v>199</v>
      </c>
      <c r="V2325" t="s">
        <v>62</v>
      </c>
      <c r="W2325" t="s">
        <v>62</v>
      </c>
      <c r="X2325">
        <v>1</v>
      </c>
      <c r="Y2325">
        <v>3</v>
      </c>
      <c r="Z2325">
        <v>11</v>
      </c>
      <c r="AA2325">
        <v>0.21429000000000001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</v>
      </c>
      <c r="AK2325">
        <v>0</v>
      </c>
      <c r="AL2325">
        <v>12</v>
      </c>
      <c r="AM2325">
        <v>6</v>
      </c>
      <c r="AN2325">
        <v>40</v>
      </c>
      <c r="AO2325">
        <v>10</v>
      </c>
      <c r="AP2325">
        <v>17</v>
      </c>
      <c r="AQ2325">
        <v>4</v>
      </c>
      <c r="AR2325" t="s">
        <v>21636</v>
      </c>
      <c r="AS2325" t="s">
        <v>21637</v>
      </c>
      <c r="AT2325">
        <v>8.4000000000000005E-2</v>
      </c>
      <c r="AU2325" t="s">
        <v>65</v>
      </c>
      <c r="AV2325">
        <v>57</v>
      </c>
      <c r="AW2325">
        <v>14</v>
      </c>
      <c r="AX2325" t="s">
        <v>21638</v>
      </c>
      <c r="AY2325">
        <v>2.8750000000000001E-2</v>
      </c>
      <c r="AZ2325">
        <v>-1.23E-3</v>
      </c>
      <c r="BA2325">
        <v>2.7100000000000002E-3</v>
      </c>
      <c r="BB2325">
        <v>-1.6000000000000001E-4</v>
      </c>
      <c r="BC2325">
        <v>9.4109999999999999E-2</v>
      </c>
      <c r="BD2325">
        <v>1</v>
      </c>
      <c r="BE2325" t="s">
        <v>69</v>
      </c>
      <c r="BF2325">
        <v>-1.288</v>
      </c>
      <c r="BG2325">
        <v>-1.839</v>
      </c>
    </row>
    <row r="2326" spans="1:59">
      <c r="A2326">
        <v>0</v>
      </c>
      <c r="B2326">
        <v>13</v>
      </c>
      <c r="C2326">
        <v>0</v>
      </c>
      <c r="D2326" t="s">
        <v>25022</v>
      </c>
      <c r="E2326">
        <v>993</v>
      </c>
      <c r="F2326" t="s">
        <v>6227</v>
      </c>
      <c r="G2326" t="s">
        <v>57</v>
      </c>
      <c r="H2326">
        <v>1035554</v>
      </c>
      <c r="I2326">
        <v>1036936</v>
      </c>
      <c r="J2326" t="s">
        <v>4095</v>
      </c>
      <c r="K2326">
        <v>461</v>
      </c>
      <c r="L2326" t="s">
        <v>289</v>
      </c>
      <c r="M2326">
        <v>46</v>
      </c>
      <c r="N2326" t="str">
        <f>HYPERLINK("Gene993-zp_tree_all.dnd", "Gene993-tree")</f>
        <v>Gene993-tree</v>
      </c>
      <c r="O2326">
        <v>6</v>
      </c>
      <c r="P2326">
        <v>11</v>
      </c>
      <c r="Q2326">
        <v>6</v>
      </c>
      <c r="R2326">
        <v>11</v>
      </c>
      <c r="S2326">
        <v>0.64705999999999997</v>
      </c>
      <c r="T2326" t="s">
        <v>90</v>
      </c>
      <c r="U2326" t="s">
        <v>73</v>
      </c>
      <c r="V2326">
        <v>95384385.856999993</v>
      </c>
      <c r="W2326" t="s">
        <v>267</v>
      </c>
      <c r="X2326">
        <v>5</v>
      </c>
      <c r="Y2326">
        <v>13</v>
      </c>
      <c r="Z2326">
        <v>18</v>
      </c>
      <c r="AA2326">
        <v>0.41935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6</v>
      </c>
      <c r="AH2326">
        <v>1</v>
      </c>
      <c r="AI2326">
        <v>7</v>
      </c>
      <c r="AJ2326">
        <v>11</v>
      </c>
      <c r="AK2326">
        <v>0.38889000000000001</v>
      </c>
      <c r="AL2326">
        <v>14</v>
      </c>
      <c r="AM2326">
        <v>13</v>
      </c>
      <c r="AN2326">
        <v>41</v>
      </c>
      <c r="AO2326">
        <v>18</v>
      </c>
      <c r="AP2326">
        <v>65</v>
      </c>
      <c r="AQ2326">
        <v>13</v>
      </c>
      <c r="AR2326" t="s">
        <v>6228</v>
      </c>
      <c r="AS2326" t="s">
        <v>6229</v>
      </c>
      <c r="AT2326">
        <v>0.47099999999999997</v>
      </c>
      <c r="AU2326" t="s">
        <v>65</v>
      </c>
      <c r="AV2326">
        <v>106</v>
      </c>
      <c r="AW2326">
        <v>31</v>
      </c>
      <c r="AX2326" t="s">
        <v>6230</v>
      </c>
      <c r="AY2326">
        <v>6.4850000000000005E-2</v>
      </c>
      <c r="AZ2326">
        <v>-6.2700000000000004E-3</v>
      </c>
      <c r="BA2326">
        <v>4.5799999999999999E-3</v>
      </c>
      <c r="BB2326">
        <v>-2.7E-4</v>
      </c>
      <c r="BC2326">
        <v>7.0599999999999996E-2</v>
      </c>
      <c r="BD2326">
        <v>1</v>
      </c>
      <c r="BE2326" t="s">
        <v>69</v>
      </c>
      <c r="BF2326">
        <v>-1.714</v>
      </c>
      <c r="BG2326">
        <v>-0.45300000000000001</v>
      </c>
    </row>
    <row r="2327" spans="1:59">
      <c r="A2327">
        <v>0</v>
      </c>
      <c r="B2327">
        <v>12</v>
      </c>
      <c r="C2327">
        <v>0</v>
      </c>
      <c r="D2327" t="s">
        <v>25022</v>
      </c>
      <c r="E2327">
        <v>3062</v>
      </c>
      <c r="F2327" t="s">
        <v>17729</v>
      </c>
      <c r="G2327" t="s">
        <v>62</v>
      </c>
      <c r="H2327">
        <v>3011754</v>
      </c>
      <c r="I2327">
        <v>3013136</v>
      </c>
      <c r="J2327" t="s">
        <v>17730</v>
      </c>
      <c r="K2327">
        <v>461</v>
      </c>
      <c r="L2327" t="s">
        <v>72</v>
      </c>
      <c r="M2327">
        <v>45</v>
      </c>
      <c r="N2327" t="str">
        <f>HYPERLINK("Gene3062-zp_tree_all.dnd", "Gene3062-tree")</f>
        <v>Gene3062-tree</v>
      </c>
      <c r="O2327">
        <v>9</v>
      </c>
      <c r="P2327">
        <v>6</v>
      </c>
      <c r="Q2327">
        <v>9</v>
      </c>
      <c r="R2327">
        <v>6</v>
      </c>
      <c r="S2327">
        <v>0.4</v>
      </c>
      <c r="T2327" t="s">
        <v>135</v>
      </c>
      <c r="U2327" t="s">
        <v>90</v>
      </c>
      <c r="V2327" t="s">
        <v>62</v>
      </c>
      <c r="W2327" t="s">
        <v>62</v>
      </c>
      <c r="X2327">
        <v>6</v>
      </c>
      <c r="Y2327">
        <v>12</v>
      </c>
      <c r="Z2327">
        <v>16</v>
      </c>
      <c r="AA2327">
        <v>0.42857000000000001</v>
      </c>
      <c r="AB2327">
        <v>0</v>
      </c>
      <c r="AC2327">
        <v>0</v>
      </c>
      <c r="AD2327">
        <v>0</v>
      </c>
      <c r="AE2327">
        <v>2</v>
      </c>
      <c r="AF2327">
        <v>0</v>
      </c>
      <c r="AG2327">
        <v>0</v>
      </c>
      <c r="AH2327">
        <v>0</v>
      </c>
      <c r="AI2327">
        <v>0</v>
      </c>
      <c r="AJ2327">
        <v>17</v>
      </c>
      <c r="AK2327">
        <v>0</v>
      </c>
      <c r="AL2327">
        <v>13</v>
      </c>
      <c r="AM2327">
        <v>10</v>
      </c>
      <c r="AN2327">
        <v>90</v>
      </c>
      <c r="AO2327">
        <v>17</v>
      </c>
      <c r="AP2327">
        <v>48</v>
      </c>
      <c r="AQ2327">
        <v>11</v>
      </c>
      <c r="AR2327" t="s">
        <v>17731</v>
      </c>
      <c r="AS2327" t="s">
        <v>17732</v>
      </c>
      <c r="AT2327">
        <v>0.13700000000000001</v>
      </c>
      <c r="AU2327" t="s">
        <v>65</v>
      </c>
      <c r="AV2327">
        <v>138</v>
      </c>
      <c r="AW2327">
        <v>28</v>
      </c>
      <c r="AX2327" t="s">
        <v>17733</v>
      </c>
      <c r="AY2327">
        <v>7.7530000000000002E-2</v>
      </c>
      <c r="AZ2327">
        <v>-5.45E-3</v>
      </c>
      <c r="BA2327">
        <v>4.6899999999999997E-3</v>
      </c>
      <c r="BB2327">
        <v>-3.4000000000000002E-4</v>
      </c>
      <c r="BC2327">
        <v>6.053E-2</v>
      </c>
      <c r="BD2327">
        <v>1</v>
      </c>
      <c r="BE2327" t="s">
        <v>69</v>
      </c>
      <c r="BF2327">
        <v>-1.431</v>
      </c>
      <c r="BG2327">
        <v>-3.1579999999999999</v>
      </c>
    </row>
    <row r="2328" spans="1:59">
      <c r="A2328">
        <v>2</v>
      </c>
      <c r="B2328">
        <v>7</v>
      </c>
      <c r="C2328">
        <v>3</v>
      </c>
      <c r="D2328" t="s">
        <v>25022</v>
      </c>
      <c r="E2328">
        <v>3941</v>
      </c>
      <c r="F2328" t="s">
        <v>23133</v>
      </c>
      <c r="G2328" t="s">
        <v>62</v>
      </c>
      <c r="H2328">
        <v>3903649</v>
      </c>
      <c r="I2328">
        <v>3905031</v>
      </c>
      <c r="J2328" t="s">
        <v>23134</v>
      </c>
      <c r="K2328">
        <v>461</v>
      </c>
      <c r="L2328" t="s">
        <v>23135</v>
      </c>
      <c r="M2328">
        <v>39</v>
      </c>
      <c r="N2328" t="str">
        <f>HYPERLINK("Gene3941-zp_tree_all.dnd", "Gene3941-tree")</f>
        <v>Gene3941-tree</v>
      </c>
      <c r="O2328">
        <v>23</v>
      </c>
      <c r="P2328">
        <v>7</v>
      </c>
      <c r="Q2328">
        <v>9</v>
      </c>
      <c r="R2328">
        <v>7</v>
      </c>
      <c r="S2328">
        <v>0.4375</v>
      </c>
      <c r="T2328" t="s">
        <v>13718</v>
      </c>
      <c r="U2328" t="s">
        <v>152</v>
      </c>
      <c r="V2328" t="s">
        <v>62</v>
      </c>
      <c r="W2328" t="s">
        <v>62</v>
      </c>
      <c r="X2328">
        <v>5</v>
      </c>
      <c r="Y2328">
        <v>12</v>
      </c>
      <c r="Z2328">
        <v>9</v>
      </c>
      <c r="AA2328">
        <v>0.57142999999999999</v>
      </c>
      <c r="AB2328">
        <v>0</v>
      </c>
      <c r="AC2328">
        <v>0</v>
      </c>
      <c r="AD2328">
        <v>0</v>
      </c>
      <c r="AE2328">
        <v>2</v>
      </c>
      <c r="AF2328">
        <v>0</v>
      </c>
      <c r="AG2328">
        <v>0</v>
      </c>
      <c r="AH2328">
        <v>2</v>
      </c>
      <c r="AI2328">
        <v>2</v>
      </c>
      <c r="AJ2328">
        <v>10</v>
      </c>
      <c r="AK2328">
        <v>0.16667000000000001</v>
      </c>
      <c r="AL2328">
        <v>13</v>
      </c>
      <c r="AM2328">
        <v>13</v>
      </c>
      <c r="AN2328">
        <v>70</v>
      </c>
      <c r="AO2328">
        <v>9</v>
      </c>
      <c r="AP2328">
        <v>95</v>
      </c>
      <c r="AQ2328">
        <v>14</v>
      </c>
      <c r="AR2328" t="s">
        <v>23136</v>
      </c>
      <c r="AS2328" t="s">
        <v>23137</v>
      </c>
      <c r="AT2328">
        <v>0.14099999999999999</v>
      </c>
      <c r="AU2328" t="s">
        <v>65</v>
      </c>
      <c r="AV2328">
        <v>165</v>
      </c>
      <c r="AW2328">
        <v>23</v>
      </c>
      <c r="AX2328" t="s">
        <v>23138</v>
      </c>
      <c r="AY2328">
        <v>0.10313</v>
      </c>
      <c r="AZ2328">
        <v>-4.47E-3</v>
      </c>
      <c r="BA2328">
        <v>4.2700000000000004E-3</v>
      </c>
      <c r="BB2328">
        <v>-2.1000000000000001E-4</v>
      </c>
      <c r="BC2328">
        <v>4.1360000000000001E-2</v>
      </c>
      <c r="BD2328">
        <v>1</v>
      </c>
      <c r="BE2328" t="s">
        <v>69</v>
      </c>
      <c r="BF2328">
        <v>-0.43099999999999999</v>
      </c>
      <c r="BG2328">
        <v>-0.442</v>
      </c>
    </row>
    <row r="2329" spans="1:59">
      <c r="A2329">
        <v>0</v>
      </c>
      <c r="B2329">
        <v>20</v>
      </c>
      <c r="C2329">
        <v>1</v>
      </c>
      <c r="D2329" t="s">
        <v>25022</v>
      </c>
      <c r="E2329">
        <v>530</v>
      </c>
      <c r="F2329" t="s">
        <v>3420</v>
      </c>
      <c r="G2329" t="s">
        <v>57</v>
      </c>
      <c r="H2329">
        <v>564713</v>
      </c>
      <c r="I2329">
        <v>566098</v>
      </c>
      <c r="J2329" t="s">
        <v>2441</v>
      </c>
      <c r="K2329">
        <v>462</v>
      </c>
      <c r="L2329" t="s">
        <v>2914</v>
      </c>
      <c r="M2329">
        <v>38</v>
      </c>
      <c r="N2329" t="str">
        <f>HYPERLINK("Gene530-zp_tree_all.dnd", "Gene530-tree")</f>
        <v>Gene530-tree</v>
      </c>
      <c r="O2329">
        <v>1</v>
      </c>
      <c r="P2329">
        <v>9</v>
      </c>
      <c r="Q2329">
        <v>1</v>
      </c>
      <c r="R2329">
        <v>9</v>
      </c>
      <c r="S2329">
        <v>0.9</v>
      </c>
      <c r="T2329" t="s">
        <v>175</v>
      </c>
      <c r="U2329" t="s">
        <v>135</v>
      </c>
      <c r="V2329" t="s">
        <v>62</v>
      </c>
      <c r="W2329" t="s">
        <v>62</v>
      </c>
      <c r="X2329">
        <v>10</v>
      </c>
      <c r="Y2329">
        <v>21</v>
      </c>
      <c r="Z2329">
        <v>18</v>
      </c>
      <c r="AA2329">
        <v>0.53846000000000005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8</v>
      </c>
      <c r="AH2329">
        <v>1</v>
      </c>
      <c r="AI2329">
        <v>9</v>
      </c>
      <c r="AJ2329">
        <v>16</v>
      </c>
      <c r="AK2329">
        <v>0.36</v>
      </c>
      <c r="AL2329">
        <v>10</v>
      </c>
      <c r="AM2329">
        <v>7</v>
      </c>
      <c r="AN2329">
        <v>68</v>
      </c>
      <c r="AO2329">
        <v>25</v>
      </c>
      <c r="AP2329">
        <v>27</v>
      </c>
      <c r="AQ2329">
        <v>14</v>
      </c>
      <c r="AR2329" t="s">
        <v>3421</v>
      </c>
      <c r="AS2329" t="s">
        <v>3422</v>
      </c>
      <c r="AT2329">
        <v>0.97499999999999998</v>
      </c>
      <c r="AU2329" t="s">
        <v>65</v>
      </c>
      <c r="AV2329">
        <v>95</v>
      </c>
      <c r="AW2329">
        <v>39</v>
      </c>
      <c r="AX2329" t="s">
        <v>3423</v>
      </c>
      <c r="AY2329">
        <v>6.5909999999999996E-2</v>
      </c>
      <c r="AZ2329">
        <v>-3.2100000000000002E-3</v>
      </c>
      <c r="BA2329">
        <v>8.6999999999999994E-3</v>
      </c>
      <c r="BB2329">
        <v>-4.8999999999999998E-4</v>
      </c>
      <c r="BC2329">
        <v>0.13195000000000001</v>
      </c>
      <c r="BD2329">
        <v>1</v>
      </c>
      <c r="BE2329" t="s">
        <v>69</v>
      </c>
      <c r="BF2329">
        <v>-0.46700000000000003</v>
      </c>
      <c r="BG2329">
        <v>0.09</v>
      </c>
    </row>
    <row r="2330" spans="1:59">
      <c r="A2330">
        <v>0</v>
      </c>
      <c r="B2330">
        <v>10</v>
      </c>
      <c r="C2330">
        <v>1</v>
      </c>
      <c r="D2330" t="s">
        <v>25022</v>
      </c>
      <c r="E2330">
        <v>3355</v>
      </c>
      <c r="F2330" t="s">
        <v>19602</v>
      </c>
      <c r="G2330" t="s">
        <v>62</v>
      </c>
      <c r="H2330">
        <v>3323673</v>
      </c>
      <c r="I2330">
        <v>3325058</v>
      </c>
      <c r="J2330" t="s">
        <v>19603</v>
      </c>
      <c r="K2330">
        <v>462</v>
      </c>
      <c r="L2330" t="s">
        <v>108</v>
      </c>
      <c r="M2330">
        <v>44</v>
      </c>
      <c r="N2330" t="str">
        <f>HYPERLINK("Gene3355-zp_tree_all.dnd", "Gene3355-tree")</f>
        <v>Gene3355-tree</v>
      </c>
      <c r="O2330">
        <v>5</v>
      </c>
      <c r="P2330">
        <v>11</v>
      </c>
      <c r="Q2330">
        <v>5</v>
      </c>
      <c r="R2330">
        <v>11</v>
      </c>
      <c r="S2330">
        <v>0.6875</v>
      </c>
      <c r="T2330" t="s">
        <v>199</v>
      </c>
      <c r="U2330" t="s">
        <v>73</v>
      </c>
      <c r="V2330">
        <v>137353515.63499999</v>
      </c>
      <c r="W2330" t="s">
        <v>267</v>
      </c>
      <c r="X2330">
        <v>3</v>
      </c>
      <c r="Y2330">
        <v>11</v>
      </c>
      <c r="Z2330">
        <v>13</v>
      </c>
      <c r="AA2330">
        <v>0.45833000000000002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4</v>
      </c>
      <c r="AH2330">
        <v>0</v>
      </c>
      <c r="AI2330">
        <v>4</v>
      </c>
      <c r="AJ2330">
        <v>10</v>
      </c>
      <c r="AK2330">
        <v>0.28571000000000002</v>
      </c>
      <c r="AL2330">
        <v>15</v>
      </c>
      <c r="AM2330">
        <v>11</v>
      </c>
      <c r="AN2330">
        <v>65</v>
      </c>
      <c r="AO2330">
        <v>14</v>
      </c>
      <c r="AP2330">
        <v>34</v>
      </c>
      <c r="AQ2330">
        <v>10</v>
      </c>
      <c r="AR2330" t="s">
        <v>19604</v>
      </c>
      <c r="AS2330" t="s">
        <v>19605</v>
      </c>
      <c r="AT2330">
        <v>0.71199999999999997</v>
      </c>
      <c r="AU2330" t="s">
        <v>65</v>
      </c>
      <c r="AV2330">
        <v>99</v>
      </c>
      <c r="AW2330">
        <v>24</v>
      </c>
      <c r="AX2330" t="s">
        <v>19606</v>
      </c>
      <c r="AY2330">
        <v>4.7239999999999997E-2</v>
      </c>
      <c r="AZ2330">
        <v>-1.72E-3</v>
      </c>
      <c r="BA2330">
        <v>3.3800000000000002E-3</v>
      </c>
      <c r="BB2330">
        <v>-1.2999999999999999E-4</v>
      </c>
      <c r="BC2330">
        <v>7.152E-2</v>
      </c>
      <c r="BD2330">
        <v>1</v>
      </c>
      <c r="BE2330" t="s">
        <v>69</v>
      </c>
      <c r="BF2330">
        <v>-0.56899999999999995</v>
      </c>
      <c r="BG2330">
        <v>-0.60099999999999998</v>
      </c>
    </row>
    <row r="2331" spans="1:59">
      <c r="A2331">
        <v>0</v>
      </c>
      <c r="B2331">
        <v>3</v>
      </c>
      <c r="C2331">
        <v>0</v>
      </c>
      <c r="D2331" t="s">
        <v>25022</v>
      </c>
      <c r="E2331">
        <v>205</v>
      </c>
      <c r="F2331" t="s">
        <v>1398</v>
      </c>
      <c r="G2331" t="s">
        <v>57</v>
      </c>
      <c r="H2331">
        <v>226566</v>
      </c>
      <c r="I2331">
        <v>227951</v>
      </c>
      <c r="J2331" t="s">
        <v>1399</v>
      </c>
      <c r="K2331">
        <v>462</v>
      </c>
      <c r="L2331" t="s">
        <v>108</v>
      </c>
      <c r="M2331">
        <v>44</v>
      </c>
      <c r="N2331" t="str">
        <f>HYPERLINK("Gene205-zp_tree_all.dnd", "Gene205-tree")</f>
        <v>Gene205-tree</v>
      </c>
      <c r="O2331">
        <v>8</v>
      </c>
      <c r="P2331">
        <v>8</v>
      </c>
      <c r="Q2331">
        <v>8</v>
      </c>
      <c r="R2331">
        <v>8</v>
      </c>
      <c r="S2331">
        <v>0.5</v>
      </c>
      <c r="T2331" t="s">
        <v>136</v>
      </c>
      <c r="U2331" t="s">
        <v>136</v>
      </c>
      <c r="V2331" t="s">
        <v>62</v>
      </c>
      <c r="W2331" t="s">
        <v>62</v>
      </c>
      <c r="X2331">
        <v>1</v>
      </c>
      <c r="Y2331">
        <v>3</v>
      </c>
      <c r="Z2331">
        <v>8</v>
      </c>
      <c r="AA2331">
        <v>0.27272999999999997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</v>
      </c>
      <c r="AH2331">
        <v>0</v>
      </c>
      <c r="AI2331">
        <v>2</v>
      </c>
      <c r="AJ2331">
        <v>6</v>
      </c>
      <c r="AK2331">
        <v>0.25</v>
      </c>
      <c r="AL2331">
        <v>14</v>
      </c>
      <c r="AM2331">
        <v>12</v>
      </c>
      <c r="AN2331">
        <v>45</v>
      </c>
      <c r="AO2331">
        <v>7</v>
      </c>
      <c r="AP2331">
        <v>24</v>
      </c>
      <c r="AQ2331">
        <v>4</v>
      </c>
      <c r="AR2331" t="s">
        <v>1400</v>
      </c>
      <c r="AS2331" t="s">
        <v>1401</v>
      </c>
      <c r="AT2331">
        <v>6.3E-2</v>
      </c>
      <c r="AU2331" t="s">
        <v>65</v>
      </c>
      <c r="AV2331">
        <v>69</v>
      </c>
      <c r="AW2331">
        <v>11</v>
      </c>
      <c r="AX2331" t="s">
        <v>1149</v>
      </c>
      <c r="AY2331">
        <v>3.5459999999999998E-2</v>
      </c>
      <c r="AZ2331">
        <v>-1.1299999999999999E-3</v>
      </c>
      <c r="BA2331">
        <v>1.48E-3</v>
      </c>
      <c r="BB2331">
        <v>-8.0000000000000007E-5</v>
      </c>
      <c r="BC2331">
        <v>4.1770000000000002E-2</v>
      </c>
      <c r="BD2331">
        <v>1</v>
      </c>
      <c r="BE2331" t="s">
        <v>69</v>
      </c>
      <c r="BF2331">
        <v>-0.83799999999999997</v>
      </c>
      <c r="BG2331">
        <v>-1.179</v>
      </c>
    </row>
    <row r="2332" spans="1:59">
      <c r="A2332">
        <v>0</v>
      </c>
      <c r="B2332">
        <v>7</v>
      </c>
      <c r="C2332">
        <v>2</v>
      </c>
      <c r="D2332" t="s">
        <v>25022</v>
      </c>
      <c r="E2332">
        <v>397</v>
      </c>
      <c r="F2332" t="s">
        <v>2689</v>
      </c>
      <c r="G2332" t="s">
        <v>57</v>
      </c>
      <c r="H2332">
        <v>442950</v>
      </c>
      <c r="I2332">
        <v>444335</v>
      </c>
      <c r="J2332" t="s">
        <v>2690</v>
      </c>
      <c r="K2332">
        <v>462</v>
      </c>
      <c r="L2332" t="s">
        <v>108</v>
      </c>
      <c r="M2332">
        <v>44</v>
      </c>
      <c r="N2332" t="str">
        <f>HYPERLINK("Gene397-zp_tree_all.dnd", "Gene397-tree")</f>
        <v>Gene397-tree</v>
      </c>
      <c r="O2332">
        <v>7</v>
      </c>
      <c r="P2332">
        <v>9</v>
      </c>
      <c r="Q2332">
        <v>7</v>
      </c>
      <c r="R2332">
        <v>9</v>
      </c>
      <c r="S2332">
        <v>0.5625</v>
      </c>
      <c r="T2332" t="s">
        <v>152</v>
      </c>
      <c r="U2332" t="s">
        <v>135</v>
      </c>
      <c r="V2332" t="s">
        <v>62</v>
      </c>
      <c r="W2332" t="s">
        <v>62</v>
      </c>
      <c r="X2332">
        <v>3</v>
      </c>
      <c r="Y2332">
        <v>9</v>
      </c>
      <c r="Z2332">
        <v>7</v>
      </c>
      <c r="AA2332">
        <v>0.5625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5</v>
      </c>
      <c r="AH2332">
        <v>2</v>
      </c>
      <c r="AI2332">
        <v>7</v>
      </c>
      <c r="AJ2332">
        <v>7</v>
      </c>
      <c r="AK2332">
        <v>0.5</v>
      </c>
      <c r="AL2332">
        <v>15</v>
      </c>
      <c r="AM2332">
        <v>13</v>
      </c>
      <c r="AN2332">
        <v>82</v>
      </c>
      <c r="AO2332">
        <v>14</v>
      </c>
      <c r="AP2332">
        <v>58</v>
      </c>
      <c r="AQ2332">
        <v>2</v>
      </c>
      <c r="AR2332" t="s">
        <v>2691</v>
      </c>
      <c r="AS2332" t="s">
        <v>2692</v>
      </c>
      <c r="AT2332">
        <v>1.6739999999999999</v>
      </c>
      <c r="AU2332" t="s">
        <v>65</v>
      </c>
      <c r="AV2332">
        <v>140</v>
      </c>
      <c r="AW2332">
        <v>16</v>
      </c>
      <c r="AX2332" t="s">
        <v>2693</v>
      </c>
      <c r="AY2332">
        <v>6.6680000000000003E-2</v>
      </c>
      <c r="AZ2332">
        <v>-1.91E-3</v>
      </c>
      <c r="BA2332">
        <v>1.8799999999999999E-3</v>
      </c>
      <c r="BB2332">
        <v>-1.1E-4</v>
      </c>
      <c r="BC2332">
        <v>2.8170000000000001E-2</v>
      </c>
      <c r="BD2332">
        <v>1</v>
      </c>
      <c r="BE2332" t="s">
        <v>69</v>
      </c>
      <c r="BF2332">
        <v>-0.38300000000000001</v>
      </c>
      <c r="BG2332">
        <v>-0.154</v>
      </c>
    </row>
    <row r="2333" spans="1:59">
      <c r="A2333">
        <v>0</v>
      </c>
      <c r="B2333">
        <v>0</v>
      </c>
      <c r="C2333">
        <v>0</v>
      </c>
      <c r="D2333" t="s">
        <v>25022</v>
      </c>
      <c r="E2333">
        <v>3428</v>
      </c>
      <c r="F2333" t="s">
        <v>20058</v>
      </c>
      <c r="G2333" t="s">
        <v>62</v>
      </c>
      <c r="H2333">
        <v>3389027</v>
      </c>
      <c r="I2333">
        <v>3390412</v>
      </c>
      <c r="J2333" t="s">
        <v>20059</v>
      </c>
      <c r="K2333">
        <v>462</v>
      </c>
      <c r="L2333" t="s">
        <v>59</v>
      </c>
      <c r="M2333">
        <v>49</v>
      </c>
      <c r="N2333" t="str">
        <f>HYPERLINK("Gene3428-zp_tree_all.dnd", "Gene3428-tree")</f>
        <v>Gene3428-tree</v>
      </c>
      <c r="O2333">
        <v>14</v>
      </c>
      <c r="P2333">
        <v>3</v>
      </c>
      <c r="Q2333">
        <v>14</v>
      </c>
      <c r="R2333">
        <v>3</v>
      </c>
      <c r="S2333">
        <v>0.17646999999999999</v>
      </c>
      <c r="T2333" t="s">
        <v>543</v>
      </c>
      <c r="U2333" t="s">
        <v>324</v>
      </c>
      <c r="V2333" t="s">
        <v>62</v>
      </c>
      <c r="W2333" t="s">
        <v>62</v>
      </c>
      <c r="X2333">
        <v>0</v>
      </c>
      <c r="Y2333">
        <v>0</v>
      </c>
      <c r="Z2333">
        <v>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3</v>
      </c>
      <c r="AK2333">
        <v>0</v>
      </c>
      <c r="AL2333">
        <v>15</v>
      </c>
      <c r="AM2333">
        <v>12</v>
      </c>
      <c r="AN2333">
        <v>75</v>
      </c>
      <c r="AO2333">
        <v>3</v>
      </c>
      <c r="AP2333">
        <v>89</v>
      </c>
      <c r="AQ2333">
        <v>3</v>
      </c>
      <c r="AR2333" t="s">
        <v>20060</v>
      </c>
      <c r="AS2333" t="s">
        <v>20061</v>
      </c>
      <c r="AT2333">
        <v>8.4000000000000005E-2</v>
      </c>
      <c r="AU2333" t="s">
        <v>65</v>
      </c>
      <c r="AV2333">
        <v>164</v>
      </c>
      <c r="AW2333">
        <v>6</v>
      </c>
      <c r="AX2333" t="s">
        <v>20062</v>
      </c>
      <c r="AY2333">
        <v>0.12421</v>
      </c>
      <c r="AZ2333">
        <v>-7.7200000000000003E-3</v>
      </c>
      <c r="BA2333">
        <v>1.39E-3</v>
      </c>
      <c r="BB2333">
        <v>-1.1E-4</v>
      </c>
      <c r="BC2333">
        <v>1.1169999999999999E-2</v>
      </c>
      <c r="BD2333">
        <v>1</v>
      </c>
      <c r="BE2333" t="s">
        <v>69</v>
      </c>
      <c r="BF2333">
        <v>-1.407</v>
      </c>
      <c r="BG2333">
        <v>-1.117</v>
      </c>
    </row>
    <row r="2334" spans="1:59">
      <c r="A2334">
        <v>0</v>
      </c>
      <c r="B2334">
        <v>6</v>
      </c>
      <c r="C2334">
        <v>0</v>
      </c>
      <c r="D2334" t="s">
        <v>25022</v>
      </c>
      <c r="E2334">
        <v>3675</v>
      </c>
      <c r="F2334" t="s">
        <v>21565</v>
      </c>
      <c r="G2334" t="s">
        <v>62</v>
      </c>
      <c r="H2334">
        <v>3642170</v>
      </c>
      <c r="I2334">
        <v>3643558</v>
      </c>
      <c r="J2334" t="s">
        <v>21566</v>
      </c>
      <c r="K2334">
        <v>463</v>
      </c>
      <c r="L2334" t="s">
        <v>108</v>
      </c>
      <c r="M2334">
        <v>44</v>
      </c>
      <c r="N2334" t="str">
        <f>HYPERLINK("Gene3675-zp_tree_all.dnd", "Gene3675-tree")</f>
        <v>Gene3675-tree</v>
      </c>
      <c r="O2334">
        <v>25</v>
      </c>
      <c r="P2334">
        <v>7</v>
      </c>
      <c r="Q2334">
        <v>6</v>
      </c>
      <c r="R2334">
        <v>7</v>
      </c>
      <c r="S2334">
        <v>0.53846000000000005</v>
      </c>
      <c r="T2334" t="s">
        <v>965</v>
      </c>
      <c r="U2334" t="s">
        <v>152</v>
      </c>
      <c r="V2334" t="s">
        <v>62</v>
      </c>
      <c r="W2334" t="s">
        <v>62</v>
      </c>
      <c r="X2334">
        <v>3</v>
      </c>
      <c r="Y2334">
        <v>6</v>
      </c>
      <c r="Z2334">
        <v>16</v>
      </c>
      <c r="AA2334">
        <v>0.27272999999999997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12</v>
      </c>
      <c r="AK2334">
        <v>0</v>
      </c>
      <c r="AL2334">
        <v>12</v>
      </c>
      <c r="AM2334">
        <v>8</v>
      </c>
      <c r="AN2334">
        <v>13</v>
      </c>
      <c r="AO2334">
        <v>12</v>
      </c>
      <c r="AP2334">
        <v>20</v>
      </c>
      <c r="AQ2334">
        <v>10</v>
      </c>
      <c r="AR2334" t="s">
        <v>21567</v>
      </c>
      <c r="AS2334" t="s">
        <v>21568</v>
      </c>
      <c r="AT2334">
        <v>0.85299999999999998</v>
      </c>
      <c r="AU2334" t="s">
        <v>65</v>
      </c>
      <c r="AV2334">
        <v>33</v>
      </c>
      <c r="AW2334">
        <v>22</v>
      </c>
      <c r="AX2334" t="s">
        <v>21569</v>
      </c>
      <c r="AY2334">
        <v>2.7740000000000001E-2</v>
      </c>
      <c r="AZ2334">
        <v>-1.39E-3</v>
      </c>
      <c r="BA2334">
        <v>5.7200000000000003E-3</v>
      </c>
      <c r="BB2334">
        <v>-3.6999999999999999E-4</v>
      </c>
      <c r="BC2334">
        <v>0.20633000000000001</v>
      </c>
      <c r="BD2334">
        <v>1</v>
      </c>
      <c r="BE2334" t="s">
        <v>69</v>
      </c>
      <c r="BF2334">
        <v>-3.7999999999999999E-2</v>
      </c>
      <c r="BG2334">
        <v>-1.0349999999999999</v>
      </c>
    </row>
    <row r="2335" spans="1:59">
      <c r="A2335">
        <v>0</v>
      </c>
      <c r="B2335">
        <v>17</v>
      </c>
      <c r="C2335">
        <v>1</v>
      </c>
      <c r="D2335" t="s">
        <v>25022</v>
      </c>
      <c r="E2335">
        <v>536</v>
      </c>
      <c r="F2335" t="s">
        <v>3458</v>
      </c>
      <c r="G2335" t="s">
        <v>57</v>
      </c>
      <c r="H2335">
        <v>571389</v>
      </c>
      <c r="I2335">
        <v>572777</v>
      </c>
      <c r="J2335" t="s">
        <v>2441</v>
      </c>
      <c r="K2335">
        <v>463</v>
      </c>
      <c r="L2335" t="s">
        <v>108</v>
      </c>
      <c r="M2335">
        <v>44</v>
      </c>
      <c r="N2335" t="str">
        <f>HYPERLINK("Gene536-zp_tree_all.dnd", "Gene536-tree")</f>
        <v>Gene536-tree</v>
      </c>
      <c r="O2335">
        <v>2</v>
      </c>
      <c r="P2335">
        <v>11</v>
      </c>
      <c r="Q2335">
        <v>2</v>
      </c>
      <c r="R2335">
        <v>11</v>
      </c>
      <c r="S2335">
        <v>0.84614999999999996</v>
      </c>
      <c r="T2335" t="s">
        <v>81</v>
      </c>
      <c r="U2335" t="s">
        <v>73</v>
      </c>
      <c r="V2335">
        <v>515075683.63</v>
      </c>
      <c r="W2335" t="s">
        <v>267</v>
      </c>
      <c r="X2335">
        <v>6</v>
      </c>
      <c r="Y2335">
        <v>18</v>
      </c>
      <c r="Z2335">
        <v>19</v>
      </c>
      <c r="AA2335">
        <v>0.48648999999999998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10</v>
      </c>
      <c r="AH2335">
        <v>0</v>
      </c>
      <c r="AI2335">
        <v>10</v>
      </c>
      <c r="AJ2335">
        <v>10</v>
      </c>
      <c r="AK2335">
        <v>0.5</v>
      </c>
      <c r="AL2335">
        <v>12</v>
      </c>
      <c r="AM2335">
        <v>10</v>
      </c>
      <c r="AN2335">
        <v>36</v>
      </c>
      <c r="AO2335">
        <v>20</v>
      </c>
      <c r="AP2335">
        <v>37</v>
      </c>
      <c r="AQ2335">
        <v>17</v>
      </c>
      <c r="AR2335" t="s">
        <v>3459</v>
      </c>
      <c r="AS2335" t="s">
        <v>3460</v>
      </c>
      <c r="AT2335">
        <v>0.436</v>
      </c>
      <c r="AU2335" t="s">
        <v>65</v>
      </c>
      <c r="AV2335">
        <v>73</v>
      </c>
      <c r="AW2335">
        <v>37</v>
      </c>
      <c r="AX2335" t="s">
        <v>3461</v>
      </c>
      <c r="AY2335">
        <v>4.9149999999999999E-2</v>
      </c>
      <c r="AZ2335">
        <v>-1.8E-3</v>
      </c>
      <c r="BA2335">
        <v>6.9499999999999996E-3</v>
      </c>
      <c r="BB2335">
        <v>-3.5E-4</v>
      </c>
      <c r="BC2335">
        <v>0.14141000000000001</v>
      </c>
      <c r="BD2335">
        <v>1</v>
      </c>
      <c r="BE2335" t="s">
        <v>69</v>
      </c>
      <c r="BF2335">
        <v>-7.0999999999999994E-2</v>
      </c>
      <c r="BG2335">
        <v>-0.24</v>
      </c>
    </row>
    <row r="2336" spans="1:59">
      <c r="A2336">
        <v>0</v>
      </c>
      <c r="B2336">
        <v>15</v>
      </c>
      <c r="C2336">
        <v>1</v>
      </c>
      <c r="D2336" t="s">
        <v>25022</v>
      </c>
      <c r="E2336">
        <v>1821</v>
      </c>
      <c r="F2336" t="s">
        <v>11410</v>
      </c>
      <c r="G2336" t="s">
        <v>57</v>
      </c>
      <c r="H2336">
        <v>1887352</v>
      </c>
      <c r="I2336">
        <v>1888740</v>
      </c>
      <c r="J2336" t="s">
        <v>11411</v>
      </c>
      <c r="K2336">
        <v>463</v>
      </c>
      <c r="L2336" t="s">
        <v>2803</v>
      </c>
      <c r="M2336">
        <v>45</v>
      </c>
      <c r="N2336" t="str">
        <f>HYPERLINK("Gene1821-zp_tree_all.dnd", "Gene1821-tree")</f>
        <v>Gene1821-tree</v>
      </c>
      <c r="O2336">
        <v>4</v>
      </c>
      <c r="P2336">
        <v>10</v>
      </c>
      <c r="Q2336">
        <v>4</v>
      </c>
      <c r="R2336">
        <v>10</v>
      </c>
      <c r="S2336">
        <v>0.71428999999999998</v>
      </c>
      <c r="T2336" t="s">
        <v>61</v>
      </c>
      <c r="U2336" t="s">
        <v>117</v>
      </c>
      <c r="V2336" t="s">
        <v>62</v>
      </c>
      <c r="W2336" t="s">
        <v>62</v>
      </c>
      <c r="X2336">
        <v>6</v>
      </c>
      <c r="Y2336">
        <v>16</v>
      </c>
      <c r="Z2336">
        <v>18</v>
      </c>
      <c r="AA2336">
        <v>0.47059000000000001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8</v>
      </c>
      <c r="AH2336">
        <v>1</v>
      </c>
      <c r="AI2336">
        <v>9</v>
      </c>
      <c r="AJ2336">
        <v>17</v>
      </c>
      <c r="AK2336">
        <v>0.34615000000000001</v>
      </c>
      <c r="AL2336">
        <v>12</v>
      </c>
      <c r="AM2336">
        <v>7</v>
      </c>
      <c r="AN2336">
        <v>85</v>
      </c>
      <c r="AO2336">
        <v>26</v>
      </c>
      <c r="AP2336">
        <v>24</v>
      </c>
      <c r="AQ2336">
        <v>8</v>
      </c>
      <c r="AR2336" t="s">
        <v>11412</v>
      </c>
      <c r="AS2336" t="s">
        <v>11413</v>
      </c>
      <c r="AT2336">
        <v>0.10100000000000001</v>
      </c>
      <c r="AU2336" t="s">
        <v>65</v>
      </c>
      <c r="AV2336">
        <v>109</v>
      </c>
      <c r="AW2336">
        <v>34</v>
      </c>
      <c r="AX2336" t="s">
        <v>11414</v>
      </c>
      <c r="AY2336">
        <v>5.5829999999999998E-2</v>
      </c>
      <c r="AZ2336">
        <v>-5.3800000000000002E-3</v>
      </c>
      <c r="BA2336">
        <v>5.3E-3</v>
      </c>
      <c r="BB2336">
        <v>-4.0000000000000002E-4</v>
      </c>
      <c r="BC2336">
        <v>9.4909999999999994E-2</v>
      </c>
      <c r="BD2336">
        <v>1</v>
      </c>
      <c r="BE2336" t="s">
        <v>69</v>
      </c>
      <c r="BF2336">
        <v>-1.417</v>
      </c>
      <c r="BG2336">
        <v>-3.589</v>
      </c>
    </row>
    <row r="2337" spans="1:59">
      <c r="A2337">
        <v>0</v>
      </c>
      <c r="B2337">
        <v>8</v>
      </c>
      <c r="C2337">
        <v>0</v>
      </c>
      <c r="D2337" t="s">
        <v>25022</v>
      </c>
      <c r="E2337">
        <v>3115</v>
      </c>
      <c r="F2337" t="s">
        <v>18074</v>
      </c>
      <c r="G2337" t="s">
        <v>62</v>
      </c>
      <c r="H2337">
        <v>3067423</v>
      </c>
      <c r="I2337">
        <v>3068811</v>
      </c>
      <c r="J2337" t="s">
        <v>18075</v>
      </c>
      <c r="K2337">
        <v>463</v>
      </c>
      <c r="L2337" t="s">
        <v>108</v>
      </c>
      <c r="M2337">
        <v>44</v>
      </c>
      <c r="N2337" t="str">
        <f>HYPERLINK("Gene3115-zp_tree_all.dnd", "Gene3115-tree")</f>
        <v>Gene3115-tree</v>
      </c>
      <c r="O2337">
        <v>4</v>
      </c>
      <c r="P2337">
        <v>10</v>
      </c>
      <c r="Q2337">
        <v>4</v>
      </c>
      <c r="R2337">
        <v>10</v>
      </c>
      <c r="S2337">
        <v>0.71428999999999998</v>
      </c>
      <c r="T2337" t="s">
        <v>61</v>
      </c>
      <c r="U2337" t="s">
        <v>117</v>
      </c>
      <c r="V2337" t="s">
        <v>62</v>
      </c>
      <c r="W2337" t="s">
        <v>62</v>
      </c>
      <c r="X2337">
        <v>4</v>
      </c>
      <c r="Y2337">
        <v>8</v>
      </c>
      <c r="Z2337">
        <v>12</v>
      </c>
      <c r="AA2337">
        <v>0.4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15</v>
      </c>
      <c r="AK2337">
        <v>0</v>
      </c>
      <c r="AL2337">
        <v>13</v>
      </c>
      <c r="AM2337">
        <v>11</v>
      </c>
      <c r="AN2337">
        <v>53</v>
      </c>
      <c r="AO2337">
        <v>15</v>
      </c>
      <c r="AP2337">
        <v>32</v>
      </c>
      <c r="AQ2337">
        <v>5</v>
      </c>
      <c r="AR2337" t="s">
        <v>18076</v>
      </c>
      <c r="AS2337" t="s">
        <v>18077</v>
      </c>
      <c r="AT2337">
        <v>0.67500000000000004</v>
      </c>
      <c r="AU2337" t="s">
        <v>65</v>
      </c>
      <c r="AV2337">
        <v>85</v>
      </c>
      <c r="AW2337">
        <v>20</v>
      </c>
      <c r="AX2337" t="s">
        <v>18078</v>
      </c>
      <c r="AY2337">
        <v>4.6420000000000003E-2</v>
      </c>
      <c r="AZ2337">
        <v>-1.4300000000000001E-3</v>
      </c>
      <c r="BA2337">
        <v>3.3899999999999998E-3</v>
      </c>
      <c r="BB2337">
        <v>-1.8000000000000001E-4</v>
      </c>
      <c r="BC2337">
        <v>7.3109999999999994E-2</v>
      </c>
      <c r="BD2337">
        <v>1</v>
      </c>
      <c r="BE2337" t="s">
        <v>69</v>
      </c>
      <c r="BF2337">
        <v>-0.34200000000000003</v>
      </c>
      <c r="BG2337">
        <v>0.19600000000000001</v>
      </c>
    </row>
    <row r="2338" spans="1:59">
      <c r="A2338">
        <v>0</v>
      </c>
      <c r="B2338">
        <v>22</v>
      </c>
      <c r="C2338">
        <v>1</v>
      </c>
      <c r="D2338" t="s">
        <v>25022</v>
      </c>
      <c r="E2338">
        <v>648</v>
      </c>
      <c r="F2338" t="s">
        <v>4019</v>
      </c>
      <c r="G2338" t="s">
        <v>57</v>
      </c>
      <c r="H2338">
        <v>668601</v>
      </c>
      <c r="I2338">
        <v>669989</v>
      </c>
      <c r="J2338" t="s">
        <v>4020</v>
      </c>
      <c r="K2338">
        <v>463</v>
      </c>
      <c r="L2338" t="s">
        <v>4013</v>
      </c>
      <c r="M2338">
        <v>43</v>
      </c>
      <c r="N2338" t="str">
        <f>HYPERLINK("Gene648-zp_tree_all.dnd", "Gene648-tree")</f>
        <v>Gene648-tree</v>
      </c>
      <c r="O2338">
        <v>2</v>
      </c>
      <c r="P2338">
        <v>10</v>
      </c>
      <c r="Q2338">
        <v>2</v>
      </c>
      <c r="R2338">
        <v>10</v>
      </c>
      <c r="S2338">
        <v>0.83333000000000002</v>
      </c>
      <c r="T2338" t="s">
        <v>81</v>
      </c>
      <c r="U2338" t="s">
        <v>117</v>
      </c>
      <c r="V2338" t="s">
        <v>62</v>
      </c>
      <c r="W2338" t="s">
        <v>62</v>
      </c>
      <c r="X2338">
        <v>9</v>
      </c>
      <c r="Y2338">
        <v>23</v>
      </c>
      <c r="Z2338">
        <v>9</v>
      </c>
      <c r="AA2338">
        <v>0.71875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14</v>
      </c>
      <c r="AH2338">
        <v>0</v>
      </c>
      <c r="AI2338">
        <v>14</v>
      </c>
      <c r="AJ2338">
        <v>11</v>
      </c>
      <c r="AK2338">
        <v>0.56000000000000005</v>
      </c>
      <c r="AL2338">
        <v>12</v>
      </c>
      <c r="AM2338">
        <v>9</v>
      </c>
      <c r="AN2338">
        <v>92</v>
      </c>
      <c r="AO2338">
        <v>25</v>
      </c>
      <c r="AP2338">
        <v>47</v>
      </c>
      <c r="AQ2338">
        <v>7</v>
      </c>
      <c r="AR2338" t="s">
        <v>4021</v>
      </c>
      <c r="AS2338" t="s">
        <v>4022</v>
      </c>
      <c r="AT2338">
        <v>0.70499999999999996</v>
      </c>
      <c r="AU2338" t="s">
        <v>65</v>
      </c>
      <c r="AV2338">
        <v>139</v>
      </c>
      <c r="AW2338">
        <v>32</v>
      </c>
      <c r="AX2338" t="s">
        <v>4023</v>
      </c>
      <c r="AY2338">
        <v>8.2409999999999997E-2</v>
      </c>
      <c r="AZ2338">
        <v>-2.6700000000000001E-3</v>
      </c>
      <c r="BA2338">
        <v>5.3800000000000002E-3</v>
      </c>
      <c r="BB2338">
        <v>-2.5000000000000001E-4</v>
      </c>
      <c r="BC2338">
        <v>6.5310000000000007E-2</v>
      </c>
      <c r="BD2338">
        <v>1</v>
      </c>
      <c r="BE2338" t="s">
        <v>69</v>
      </c>
      <c r="BF2338">
        <v>-8.5000000000000006E-2</v>
      </c>
      <c r="BG2338">
        <v>-0.629</v>
      </c>
    </row>
    <row r="2339" spans="1:59">
      <c r="A2339">
        <v>0</v>
      </c>
      <c r="B2339">
        <v>4</v>
      </c>
      <c r="C2339">
        <v>0</v>
      </c>
      <c r="D2339" t="s">
        <v>25022</v>
      </c>
      <c r="E2339">
        <v>3169</v>
      </c>
      <c r="F2339" t="s">
        <v>18426</v>
      </c>
      <c r="G2339" t="s">
        <v>62</v>
      </c>
      <c r="H2339">
        <v>3124253</v>
      </c>
      <c r="I2339">
        <v>3125641</v>
      </c>
      <c r="J2339" t="s">
        <v>1399</v>
      </c>
      <c r="K2339">
        <v>463</v>
      </c>
      <c r="L2339" t="s">
        <v>108</v>
      </c>
      <c r="M2339">
        <v>44</v>
      </c>
      <c r="N2339" t="str">
        <f>HYPERLINK("Gene3169-zp_tree_all.dnd", "Gene3169-tree")</f>
        <v>Gene3169-tree</v>
      </c>
      <c r="O2339">
        <v>27</v>
      </c>
      <c r="P2339">
        <v>7</v>
      </c>
      <c r="Q2339">
        <v>9</v>
      </c>
      <c r="R2339">
        <v>7</v>
      </c>
      <c r="S2339">
        <v>0.4375</v>
      </c>
      <c r="T2339" t="s">
        <v>2108</v>
      </c>
      <c r="U2339" t="s">
        <v>152</v>
      </c>
      <c r="V2339" t="s">
        <v>62</v>
      </c>
      <c r="W2339" t="s">
        <v>62</v>
      </c>
      <c r="X2339">
        <v>2</v>
      </c>
      <c r="Y2339">
        <v>4</v>
      </c>
      <c r="Z2339">
        <v>6</v>
      </c>
      <c r="AA2339">
        <v>0.4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8</v>
      </c>
      <c r="AK2339">
        <v>0</v>
      </c>
      <c r="AL2339">
        <v>14</v>
      </c>
      <c r="AM2339">
        <v>12</v>
      </c>
      <c r="AN2339">
        <v>79</v>
      </c>
      <c r="AO2339">
        <v>8</v>
      </c>
      <c r="AP2339">
        <v>50</v>
      </c>
      <c r="AQ2339">
        <v>2</v>
      </c>
      <c r="AR2339" t="s">
        <v>18427</v>
      </c>
      <c r="AS2339" t="s">
        <v>18428</v>
      </c>
      <c r="AT2339">
        <v>0.746</v>
      </c>
      <c r="AU2339" t="s">
        <v>65</v>
      </c>
      <c r="AV2339">
        <v>129</v>
      </c>
      <c r="AW2339">
        <v>10</v>
      </c>
      <c r="AX2339" t="s">
        <v>18429</v>
      </c>
      <c r="AY2339">
        <v>6.2199999999999998E-2</v>
      </c>
      <c r="AZ2339">
        <v>-2.48E-3</v>
      </c>
      <c r="BA2339">
        <v>1.16E-3</v>
      </c>
      <c r="BB2339">
        <v>-8.0000000000000007E-5</v>
      </c>
      <c r="BC2339">
        <v>1.857E-2</v>
      </c>
      <c r="BD2339">
        <v>1</v>
      </c>
      <c r="BE2339" t="s">
        <v>69</v>
      </c>
      <c r="BF2339">
        <v>-0.73599999999999999</v>
      </c>
      <c r="BG2339">
        <v>-0.78300000000000003</v>
      </c>
    </row>
    <row r="2340" spans="1:59">
      <c r="A2340">
        <v>0</v>
      </c>
      <c r="B2340">
        <v>2</v>
      </c>
      <c r="C2340">
        <v>0</v>
      </c>
      <c r="D2340" t="s">
        <v>25022</v>
      </c>
      <c r="E2340">
        <v>948</v>
      </c>
      <c r="F2340" t="s">
        <v>5943</v>
      </c>
      <c r="G2340" t="s">
        <v>57</v>
      </c>
      <c r="H2340">
        <v>986986</v>
      </c>
      <c r="I2340">
        <v>988374</v>
      </c>
      <c r="J2340" t="s">
        <v>5944</v>
      </c>
      <c r="K2340">
        <v>463</v>
      </c>
      <c r="L2340" t="s">
        <v>108</v>
      </c>
      <c r="M2340">
        <v>44</v>
      </c>
      <c r="N2340" t="str">
        <f>HYPERLINK("Gene948-zp_tree_all.dnd", "Gene948-tree")</f>
        <v>Gene948-tree</v>
      </c>
      <c r="O2340">
        <v>10</v>
      </c>
      <c r="P2340">
        <v>4</v>
      </c>
      <c r="Q2340">
        <v>10</v>
      </c>
      <c r="R2340">
        <v>4</v>
      </c>
      <c r="S2340">
        <v>0.28571000000000002</v>
      </c>
      <c r="T2340" t="s">
        <v>117</v>
      </c>
      <c r="U2340" t="s">
        <v>61</v>
      </c>
      <c r="V2340" t="s">
        <v>62</v>
      </c>
      <c r="W2340" t="s">
        <v>62</v>
      </c>
      <c r="X2340">
        <v>1</v>
      </c>
      <c r="Y2340">
        <v>2</v>
      </c>
      <c r="Z2340">
        <v>3</v>
      </c>
      <c r="AA2340">
        <v>0.4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</v>
      </c>
      <c r="AH2340">
        <v>0</v>
      </c>
      <c r="AI2340">
        <v>2</v>
      </c>
      <c r="AJ2340">
        <v>3</v>
      </c>
      <c r="AK2340">
        <v>0.4</v>
      </c>
      <c r="AL2340">
        <v>13</v>
      </c>
      <c r="AM2340">
        <v>10</v>
      </c>
      <c r="AN2340">
        <v>57</v>
      </c>
      <c r="AO2340">
        <v>5</v>
      </c>
      <c r="AP2340">
        <v>26</v>
      </c>
      <c r="AQ2340">
        <v>0</v>
      </c>
      <c r="AR2340" t="s">
        <v>5945</v>
      </c>
      <c r="AS2340" t="s">
        <v>193</v>
      </c>
      <c r="AT2340">
        <v>1.056</v>
      </c>
      <c r="AU2340" t="s">
        <v>65</v>
      </c>
      <c r="AV2340">
        <v>83</v>
      </c>
      <c r="AW2340">
        <v>5</v>
      </c>
      <c r="AX2340" t="s">
        <v>5946</v>
      </c>
      <c r="AY2340">
        <v>4.233E-2</v>
      </c>
      <c r="AZ2340">
        <v>-1.8E-3</v>
      </c>
      <c r="BA2340">
        <v>6.7000000000000002E-4</v>
      </c>
      <c r="BB2340">
        <v>-8.0000000000000007E-5</v>
      </c>
      <c r="BC2340">
        <v>1.5740000000000001E-2</v>
      </c>
      <c r="BD2340">
        <v>1</v>
      </c>
      <c r="BE2340" t="s">
        <v>69</v>
      </c>
      <c r="BF2340">
        <v>-0.67800000000000005</v>
      </c>
      <c r="BG2340">
        <v>-0.75900000000000001</v>
      </c>
    </row>
    <row r="2341" spans="1:59">
      <c r="A2341">
        <v>0</v>
      </c>
      <c r="B2341">
        <v>0</v>
      </c>
      <c r="C2341">
        <v>0</v>
      </c>
      <c r="D2341" t="s">
        <v>25022</v>
      </c>
      <c r="E2341">
        <v>3523</v>
      </c>
      <c r="F2341" t="s">
        <v>20634</v>
      </c>
      <c r="G2341" t="s">
        <v>62</v>
      </c>
      <c r="H2341">
        <v>3484075</v>
      </c>
      <c r="I2341">
        <v>3485466</v>
      </c>
      <c r="J2341" t="s">
        <v>20635</v>
      </c>
      <c r="K2341">
        <v>464</v>
      </c>
      <c r="L2341" t="s">
        <v>108</v>
      </c>
      <c r="M2341">
        <v>44</v>
      </c>
      <c r="N2341" t="str">
        <f>HYPERLINK("Gene3523-zp_tree_all.dnd", "Gene3523-tree")</f>
        <v>Gene3523-tree</v>
      </c>
      <c r="O2341">
        <v>12</v>
      </c>
      <c r="P2341">
        <v>1</v>
      </c>
      <c r="Q2341">
        <v>12</v>
      </c>
      <c r="R2341">
        <v>1</v>
      </c>
      <c r="S2341">
        <v>7.6920000000000002E-2</v>
      </c>
      <c r="T2341" t="s">
        <v>109</v>
      </c>
      <c r="U2341" t="s">
        <v>175</v>
      </c>
      <c r="V2341" t="s">
        <v>62</v>
      </c>
      <c r="W2341" t="s">
        <v>62</v>
      </c>
      <c r="X2341">
        <v>0</v>
      </c>
      <c r="Y2341">
        <v>0</v>
      </c>
      <c r="Z2341">
        <v>2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10</v>
      </c>
      <c r="AM2341">
        <v>9</v>
      </c>
      <c r="AN2341">
        <v>50</v>
      </c>
      <c r="AO2341">
        <v>1</v>
      </c>
      <c r="AP2341">
        <v>29</v>
      </c>
      <c r="AQ2341">
        <v>1</v>
      </c>
      <c r="AR2341" t="s">
        <v>20636</v>
      </c>
      <c r="AS2341" t="s">
        <v>20637</v>
      </c>
      <c r="AT2341">
        <v>0.13</v>
      </c>
      <c r="AU2341" t="s">
        <v>65</v>
      </c>
      <c r="AV2341">
        <v>79</v>
      </c>
      <c r="AW2341">
        <v>2</v>
      </c>
      <c r="AX2341" t="s">
        <v>20638</v>
      </c>
      <c r="AY2341">
        <v>4.7140000000000001E-2</v>
      </c>
      <c r="AZ2341">
        <v>-1.5499999999999999E-3</v>
      </c>
      <c r="BA2341">
        <v>5.0000000000000001E-4</v>
      </c>
      <c r="BB2341">
        <v>-8.0000000000000007E-5</v>
      </c>
      <c r="BC2341">
        <v>1.0580000000000001E-2</v>
      </c>
      <c r="BD2341">
        <v>1</v>
      </c>
      <c r="BE2341" t="s">
        <v>69</v>
      </c>
      <c r="BF2341">
        <v>-0.33100000000000002</v>
      </c>
      <c r="BG2341">
        <v>-0.96699999999999997</v>
      </c>
    </row>
    <row r="2342" spans="1:59">
      <c r="A2342">
        <v>2</v>
      </c>
      <c r="B2342">
        <v>15</v>
      </c>
      <c r="C2342">
        <v>3</v>
      </c>
      <c r="D2342" t="s">
        <v>25022</v>
      </c>
      <c r="E2342">
        <v>602</v>
      </c>
      <c r="F2342" t="s">
        <v>3880</v>
      </c>
      <c r="G2342" t="s">
        <v>57</v>
      </c>
      <c r="H2342">
        <v>628630</v>
      </c>
      <c r="I2342">
        <v>630024</v>
      </c>
      <c r="J2342" t="s">
        <v>3881</v>
      </c>
      <c r="K2342">
        <v>465</v>
      </c>
      <c r="L2342" t="s">
        <v>3859</v>
      </c>
      <c r="M2342">
        <v>42</v>
      </c>
      <c r="N2342" t="str">
        <f>HYPERLINK("Gene602-zp_tree_all.dnd", "Gene602-tree")</f>
        <v>Gene602-tree</v>
      </c>
      <c r="O2342">
        <v>3</v>
      </c>
      <c r="P2342">
        <v>10</v>
      </c>
      <c r="Q2342">
        <v>3</v>
      </c>
      <c r="R2342">
        <v>10</v>
      </c>
      <c r="S2342">
        <v>0.76922999999999997</v>
      </c>
      <c r="T2342" t="s">
        <v>324</v>
      </c>
      <c r="U2342" t="s">
        <v>117</v>
      </c>
      <c r="V2342" t="s">
        <v>62</v>
      </c>
      <c r="W2342" t="s">
        <v>62</v>
      </c>
      <c r="X2342">
        <v>9</v>
      </c>
      <c r="Y2342">
        <v>20</v>
      </c>
      <c r="Z2342">
        <v>19</v>
      </c>
      <c r="AA2342">
        <v>0.51282000000000005</v>
      </c>
      <c r="AB2342">
        <v>0</v>
      </c>
      <c r="AC2342">
        <v>0</v>
      </c>
      <c r="AD2342">
        <v>0</v>
      </c>
      <c r="AE2342">
        <v>5</v>
      </c>
      <c r="AF2342">
        <v>0</v>
      </c>
      <c r="AG2342">
        <v>4</v>
      </c>
      <c r="AH2342">
        <v>0</v>
      </c>
      <c r="AI2342">
        <v>4</v>
      </c>
      <c r="AJ2342">
        <v>25</v>
      </c>
      <c r="AK2342">
        <v>0.13793</v>
      </c>
      <c r="AL2342">
        <v>11</v>
      </c>
      <c r="AM2342">
        <v>10</v>
      </c>
      <c r="AN2342">
        <v>66</v>
      </c>
      <c r="AO2342">
        <v>29</v>
      </c>
      <c r="AP2342">
        <v>51</v>
      </c>
      <c r="AQ2342">
        <v>11</v>
      </c>
      <c r="AR2342" t="s">
        <v>3882</v>
      </c>
      <c r="AS2342" t="s">
        <v>3883</v>
      </c>
      <c r="AT2342">
        <v>0.95299999999999996</v>
      </c>
      <c r="AU2342" t="s">
        <v>65</v>
      </c>
      <c r="AV2342">
        <v>117</v>
      </c>
      <c r="AW2342">
        <v>40</v>
      </c>
      <c r="AX2342" t="s">
        <v>3884</v>
      </c>
      <c r="AY2342">
        <v>8.1589999999999996E-2</v>
      </c>
      <c r="AZ2342">
        <v>-2.5300000000000001E-3</v>
      </c>
      <c r="BA2342">
        <v>6.5700000000000003E-3</v>
      </c>
      <c r="BB2342">
        <v>-2.9999999999999997E-4</v>
      </c>
      <c r="BC2342">
        <v>8.054E-2</v>
      </c>
      <c r="BD2342">
        <v>1</v>
      </c>
      <c r="BE2342" t="s">
        <v>69</v>
      </c>
      <c r="BF2342">
        <v>-0.51200000000000001</v>
      </c>
      <c r="BG2342">
        <v>-0.28399999999999997</v>
      </c>
    </row>
    <row r="2343" spans="1:59">
      <c r="A2343">
        <v>0</v>
      </c>
      <c r="B2343">
        <v>5</v>
      </c>
      <c r="C2343">
        <v>0</v>
      </c>
      <c r="D2343" t="s">
        <v>25022</v>
      </c>
      <c r="E2343">
        <v>1880</v>
      </c>
      <c r="F2343" t="s">
        <v>11757</v>
      </c>
      <c r="G2343" t="s">
        <v>57</v>
      </c>
      <c r="H2343">
        <v>1938925</v>
      </c>
      <c r="I2343">
        <v>1940319</v>
      </c>
      <c r="J2343" t="s">
        <v>11758</v>
      </c>
      <c r="K2343">
        <v>465</v>
      </c>
      <c r="L2343" t="s">
        <v>108</v>
      </c>
      <c r="M2343">
        <v>44</v>
      </c>
      <c r="N2343" t="str">
        <f>HYPERLINK("Gene1880-zp_tree_all.dnd", "Gene1880-tree")</f>
        <v>Gene1880-tree</v>
      </c>
      <c r="O2343">
        <v>10</v>
      </c>
      <c r="P2343">
        <v>4</v>
      </c>
      <c r="Q2343">
        <v>10</v>
      </c>
      <c r="R2343">
        <v>4</v>
      </c>
      <c r="S2343">
        <v>0.28571000000000002</v>
      </c>
      <c r="T2343" t="s">
        <v>117</v>
      </c>
      <c r="U2343" t="s">
        <v>61</v>
      </c>
      <c r="V2343" t="s">
        <v>62</v>
      </c>
      <c r="W2343" t="s">
        <v>62</v>
      </c>
      <c r="X2343">
        <v>2</v>
      </c>
      <c r="Y2343">
        <v>5</v>
      </c>
      <c r="Z2343">
        <v>4</v>
      </c>
      <c r="AA2343">
        <v>0.55556000000000005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</v>
      </c>
      <c r="AH2343">
        <v>0</v>
      </c>
      <c r="AI2343">
        <v>2</v>
      </c>
      <c r="AJ2343">
        <v>4</v>
      </c>
      <c r="AK2343">
        <v>0.33333000000000002</v>
      </c>
      <c r="AL2343">
        <v>11</v>
      </c>
      <c r="AM2343">
        <v>10</v>
      </c>
      <c r="AN2343">
        <v>75</v>
      </c>
      <c r="AO2343">
        <v>6</v>
      </c>
      <c r="AP2343">
        <v>40</v>
      </c>
      <c r="AQ2343">
        <v>3</v>
      </c>
      <c r="AR2343" t="s">
        <v>11759</v>
      </c>
      <c r="AS2343" t="s">
        <v>11760</v>
      </c>
      <c r="AT2343">
        <v>1.0999999999999999E-2</v>
      </c>
      <c r="AU2343" t="s">
        <v>65</v>
      </c>
      <c r="AV2343">
        <v>115</v>
      </c>
      <c r="AW2343">
        <v>9</v>
      </c>
      <c r="AX2343" t="s">
        <v>11761</v>
      </c>
      <c r="AY2343">
        <v>7.0349999999999996E-2</v>
      </c>
      <c r="AZ2343">
        <v>-5.0600000000000003E-3</v>
      </c>
      <c r="BA2343">
        <v>1.41E-3</v>
      </c>
      <c r="BB2343">
        <v>-1.2E-4</v>
      </c>
      <c r="BC2343">
        <v>2.0109999999999999E-2</v>
      </c>
      <c r="BD2343">
        <v>1</v>
      </c>
      <c r="BE2343" t="s">
        <v>69</v>
      </c>
      <c r="BF2343">
        <v>-0.91800000000000004</v>
      </c>
      <c r="BG2343">
        <v>-2.98</v>
      </c>
    </row>
    <row r="2344" spans="1:59">
      <c r="A2344">
        <v>0</v>
      </c>
      <c r="B2344">
        <v>2</v>
      </c>
      <c r="C2344">
        <v>0</v>
      </c>
      <c r="D2344" t="s">
        <v>25022</v>
      </c>
      <c r="E2344">
        <v>981</v>
      </c>
      <c r="F2344" t="s">
        <v>6150</v>
      </c>
      <c r="G2344" t="s">
        <v>57</v>
      </c>
      <c r="H2344">
        <v>1023350</v>
      </c>
      <c r="I2344">
        <v>1024744</v>
      </c>
      <c r="J2344" t="s">
        <v>6151</v>
      </c>
      <c r="K2344">
        <v>465</v>
      </c>
      <c r="L2344" t="s">
        <v>108</v>
      </c>
      <c r="M2344">
        <v>44</v>
      </c>
      <c r="N2344" t="str">
        <f>HYPERLINK("Gene981-zp_tree_all.dnd", "Gene981-tree")</f>
        <v>Gene981-tree</v>
      </c>
      <c r="O2344">
        <v>11</v>
      </c>
      <c r="P2344">
        <v>4</v>
      </c>
      <c r="Q2344">
        <v>11</v>
      </c>
      <c r="R2344">
        <v>4</v>
      </c>
      <c r="S2344">
        <v>0.26667000000000002</v>
      </c>
      <c r="T2344" t="s">
        <v>73</v>
      </c>
      <c r="U2344" t="s">
        <v>61</v>
      </c>
      <c r="V2344" t="s">
        <v>62</v>
      </c>
      <c r="W2344" t="s">
        <v>62</v>
      </c>
      <c r="X2344">
        <v>1</v>
      </c>
      <c r="Y2344">
        <v>2</v>
      </c>
      <c r="Z2344">
        <v>4</v>
      </c>
      <c r="AA2344">
        <v>0.33333000000000002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4</v>
      </c>
      <c r="AK2344">
        <v>0</v>
      </c>
      <c r="AL2344">
        <v>15</v>
      </c>
      <c r="AM2344">
        <v>12</v>
      </c>
      <c r="AN2344">
        <v>66</v>
      </c>
      <c r="AO2344">
        <v>4</v>
      </c>
      <c r="AP2344">
        <v>48</v>
      </c>
      <c r="AQ2344">
        <v>2</v>
      </c>
      <c r="AR2344" t="s">
        <v>6152</v>
      </c>
      <c r="AS2344" t="s">
        <v>6153</v>
      </c>
      <c r="AT2344">
        <v>0.22</v>
      </c>
      <c r="AU2344" t="s">
        <v>65</v>
      </c>
      <c r="AV2344">
        <v>114</v>
      </c>
      <c r="AW2344">
        <v>6</v>
      </c>
      <c r="AX2344" t="s">
        <v>6154</v>
      </c>
      <c r="AY2344">
        <v>5.8880000000000002E-2</v>
      </c>
      <c r="AZ2344">
        <v>-2.16E-3</v>
      </c>
      <c r="BA2344">
        <v>9.7999999999999997E-4</v>
      </c>
      <c r="BB2344">
        <v>-6.9999999999999994E-5</v>
      </c>
      <c r="BC2344">
        <v>1.6559999999999998E-2</v>
      </c>
      <c r="BD2344">
        <v>1</v>
      </c>
      <c r="BE2344" t="s">
        <v>69</v>
      </c>
      <c r="BF2344">
        <v>0.108</v>
      </c>
      <c r="BG2344">
        <v>-0.875</v>
      </c>
    </row>
    <row r="2345" spans="1:59">
      <c r="A2345">
        <v>0</v>
      </c>
      <c r="B2345">
        <v>2</v>
      </c>
      <c r="C2345">
        <v>0</v>
      </c>
      <c r="D2345" t="s">
        <v>25022</v>
      </c>
      <c r="E2345">
        <v>3387</v>
      </c>
      <c r="F2345" t="s">
        <v>19808</v>
      </c>
      <c r="G2345" t="s">
        <v>62</v>
      </c>
      <c r="H2345">
        <v>3355596</v>
      </c>
      <c r="I2345">
        <v>3356990</v>
      </c>
      <c r="J2345" t="s">
        <v>19809</v>
      </c>
      <c r="K2345">
        <v>465</v>
      </c>
      <c r="L2345" t="s">
        <v>59</v>
      </c>
      <c r="M2345">
        <v>49</v>
      </c>
      <c r="N2345" t="str">
        <f>HYPERLINK("Gene3387-zp_tree_all.dnd", "Gene3387-tree")</f>
        <v>Gene3387-tree</v>
      </c>
      <c r="O2345">
        <v>20</v>
      </c>
      <c r="P2345">
        <v>1</v>
      </c>
      <c r="Q2345">
        <v>20</v>
      </c>
      <c r="R2345">
        <v>1</v>
      </c>
      <c r="S2345">
        <v>4.7620000000000003E-2</v>
      </c>
      <c r="T2345" t="s">
        <v>528</v>
      </c>
      <c r="U2345" t="s">
        <v>175</v>
      </c>
      <c r="V2345" t="s">
        <v>62</v>
      </c>
      <c r="W2345" t="s">
        <v>62</v>
      </c>
      <c r="X2345">
        <v>1</v>
      </c>
      <c r="Y2345">
        <v>2</v>
      </c>
      <c r="Z2345">
        <v>1</v>
      </c>
      <c r="AA2345">
        <v>0.66666999999999998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18</v>
      </c>
      <c r="AM2345">
        <v>14</v>
      </c>
      <c r="AN2345">
        <v>54</v>
      </c>
      <c r="AO2345">
        <v>1</v>
      </c>
      <c r="AP2345">
        <v>42</v>
      </c>
      <c r="AQ2345">
        <v>2</v>
      </c>
      <c r="AR2345" t="s">
        <v>19810</v>
      </c>
      <c r="AS2345" t="s">
        <v>19811</v>
      </c>
      <c r="AT2345">
        <v>0.24099999999999999</v>
      </c>
      <c r="AU2345" t="s">
        <v>65</v>
      </c>
      <c r="AV2345">
        <v>96</v>
      </c>
      <c r="AW2345">
        <v>3</v>
      </c>
      <c r="AX2345" t="s">
        <v>19812</v>
      </c>
      <c r="AY2345">
        <v>5.1429999999999997E-2</v>
      </c>
      <c r="AZ2345">
        <v>-2.2599999999999999E-3</v>
      </c>
      <c r="BA2345">
        <v>4.8000000000000001E-4</v>
      </c>
      <c r="BB2345">
        <v>-5.0000000000000002E-5</v>
      </c>
      <c r="BC2345">
        <v>9.2499999999999995E-3</v>
      </c>
      <c r="BD2345">
        <v>1</v>
      </c>
      <c r="BE2345" t="s">
        <v>69</v>
      </c>
      <c r="BF2345">
        <v>-1.1679999999999999</v>
      </c>
      <c r="BG2345">
        <v>-1.4179999999999999</v>
      </c>
    </row>
    <row r="2346" spans="1:59">
      <c r="A2346">
        <v>0</v>
      </c>
      <c r="B2346">
        <v>7</v>
      </c>
      <c r="C2346">
        <v>0</v>
      </c>
      <c r="D2346" t="s">
        <v>25022</v>
      </c>
      <c r="E2346">
        <v>2040</v>
      </c>
      <c r="F2346" t="s">
        <v>12701</v>
      </c>
      <c r="G2346" t="s">
        <v>62</v>
      </c>
      <c r="H2346">
        <v>2131905</v>
      </c>
      <c r="I2346">
        <v>2133302</v>
      </c>
      <c r="J2346" t="s">
        <v>12702</v>
      </c>
      <c r="K2346">
        <v>466</v>
      </c>
      <c r="L2346" t="s">
        <v>108</v>
      </c>
      <c r="M2346">
        <v>44</v>
      </c>
      <c r="N2346" t="str">
        <f>HYPERLINK("Gene2040-zp_tree_all.dnd", "Gene2040-tree")</f>
        <v>Gene2040-tree</v>
      </c>
      <c r="O2346">
        <v>7</v>
      </c>
      <c r="P2346">
        <v>7</v>
      </c>
      <c r="Q2346">
        <v>7</v>
      </c>
      <c r="R2346">
        <v>7</v>
      </c>
      <c r="S2346">
        <v>0.5</v>
      </c>
      <c r="T2346" t="s">
        <v>152</v>
      </c>
      <c r="U2346" t="s">
        <v>152</v>
      </c>
      <c r="V2346" t="s">
        <v>62</v>
      </c>
      <c r="W2346" t="s">
        <v>62</v>
      </c>
      <c r="X2346">
        <v>3</v>
      </c>
      <c r="Y2346">
        <v>7</v>
      </c>
      <c r="Z2346">
        <v>11</v>
      </c>
      <c r="AA2346">
        <v>0.38889000000000001</v>
      </c>
      <c r="AB2346">
        <v>0</v>
      </c>
      <c r="AC2346">
        <v>0</v>
      </c>
      <c r="AD2346">
        <v>0</v>
      </c>
      <c r="AE2346">
        <v>2</v>
      </c>
      <c r="AF2346">
        <v>0</v>
      </c>
      <c r="AG2346">
        <v>2</v>
      </c>
      <c r="AH2346">
        <v>0</v>
      </c>
      <c r="AI2346">
        <v>2</v>
      </c>
      <c r="AJ2346">
        <v>7</v>
      </c>
      <c r="AK2346">
        <v>0.22222</v>
      </c>
      <c r="AL2346">
        <v>11</v>
      </c>
      <c r="AM2346">
        <v>10</v>
      </c>
      <c r="AN2346">
        <v>30</v>
      </c>
      <c r="AO2346">
        <v>9</v>
      </c>
      <c r="AP2346">
        <v>18</v>
      </c>
      <c r="AQ2346">
        <v>9</v>
      </c>
      <c r="AR2346" t="s">
        <v>12703</v>
      </c>
      <c r="AS2346" t="s">
        <v>12704</v>
      </c>
      <c r="AT2346">
        <v>0.65200000000000002</v>
      </c>
      <c r="AU2346" t="s">
        <v>65</v>
      </c>
      <c r="AV2346">
        <v>48</v>
      </c>
      <c r="AW2346">
        <v>18</v>
      </c>
      <c r="AX2346" t="s">
        <v>12705</v>
      </c>
      <c r="AY2346">
        <v>3.1910000000000001E-2</v>
      </c>
      <c r="AZ2346">
        <v>-1.6900000000000001E-3</v>
      </c>
      <c r="BA2346">
        <v>3.5799999999999998E-3</v>
      </c>
      <c r="BB2346">
        <v>-1.7000000000000001E-4</v>
      </c>
      <c r="BC2346">
        <v>0.11230999999999999</v>
      </c>
      <c r="BD2346">
        <v>1</v>
      </c>
      <c r="BE2346" t="s">
        <v>69</v>
      </c>
      <c r="BF2346">
        <v>-0.63700000000000001</v>
      </c>
      <c r="BG2346">
        <v>-1.194</v>
      </c>
    </row>
    <row r="2347" spans="1:59">
      <c r="A2347">
        <v>0</v>
      </c>
      <c r="B2347">
        <v>5</v>
      </c>
      <c r="C2347">
        <v>2</v>
      </c>
      <c r="D2347" t="s">
        <v>25022</v>
      </c>
      <c r="E2347">
        <v>835</v>
      </c>
      <c r="F2347" t="s">
        <v>5205</v>
      </c>
      <c r="G2347" t="s">
        <v>57</v>
      </c>
      <c r="H2347">
        <v>873402</v>
      </c>
      <c r="I2347">
        <v>874799</v>
      </c>
      <c r="J2347" t="s">
        <v>5206</v>
      </c>
      <c r="K2347">
        <v>466</v>
      </c>
      <c r="L2347" t="s">
        <v>108</v>
      </c>
      <c r="M2347">
        <v>44</v>
      </c>
      <c r="N2347" t="str">
        <f>HYPERLINK("Gene835-zp_tree_all.dnd", "Gene835-tree")</f>
        <v>Gene835-tree</v>
      </c>
      <c r="O2347">
        <v>9</v>
      </c>
      <c r="P2347">
        <v>7</v>
      </c>
      <c r="Q2347">
        <v>9</v>
      </c>
      <c r="R2347">
        <v>7</v>
      </c>
      <c r="S2347">
        <v>0.4375</v>
      </c>
      <c r="T2347" t="s">
        <v>135</v>
      </c>
      <c r="U2347" t="s">
        <v>152</v>
      </c>
      <c r="V2347" t="s">
        <v>62</v>
      </c>
      <c r="W2347" t="s">
        <v>62</v>
      </c>
      <c r="X2347">
        <v>3</v>
      </c>
      <c r="Y2347">
        <v>7</v>
      </c>
      <c r="Z2347">
        <v>9</v>
      </c>
      <c r="AA2347">
        <v>0.4375</v>
      </c>
      <c r="AB2347">
        <v>2</v>
      </c>
      <c r="AC2347">
        <v>0</v>
      </c>
      <c r="AD2347">
        <v>2</v>
      </c>
      <c r="AE2347">
        <v>2</v>
      </c>
      <c r="AF2347">
        <v>0.5</v>
      </c>
      <c r="AG2347">
        <v>2</v>
      </c>
      <c r="AH2347">
        <v>2</v>
      </c>
      <c r="AI2347">
        <v>4</v>
      </c>
      <c r="AJ2347">
        <v>7</v>
      </c>
      <c r="AK2347">
        <v>0.36364000000000002</v>
      </c>
      <c r="AL2347">
        <v>13</v>
      </c>
      <c r="AM2347">
        <v>12</v>
      </c>
      <c r="AN2347">
        <v>71</v>
      </c>
      <c r="AO2347">
        <v>11</v>
      </c>
      <c r="AP2347">
        <v>48</v>
      </c>
      <c r="AQ2347">
        <v>5</v>
      </c>
      <c r="AR2347" t="s">
        <v>5207</v>
      </c>
      <c r="AS2347" t="s">
        <v>5208</v>
      </c>
      <c r="AT2347">
        <v>0.29199999999999998</v>
      </c>
      <c r="AU2347" t="s">
        <v>65</v>
      </c>
      <c r="AV2347">
        <v>119</v>
      </c>
      <c r="AW2347">
        <v>16</v>
      </c>
      <c r="AX2347" t="s">
        <v>5209</v>
      </c>
      <c r="AY2347">
        <v>6.6710000000000005E-2</v>
      </c>
      <c r="AZ2347">
        <v>-2.2200000000000002E-3</v>
      </c>
      <c r="BA2347">
        <v>2.1700000000000001E-3</v>
      </c>
      <c r="BB2347">
        <v>-1.2999999999999999E-4</v>
      </c>
      <c r="BC2347">
        <v>3.2480000000000002E-2</v>
      </c>
      <c r="BD2347">
        <v>1</v>
      </c>
      <c r="BE2347" t="s">
        <v>69</v>
      </c>
      <c r="BF2347">
        <v>-1.008</v>
      </c>
      <c r="BG2347">
        <v>-2.032</v>
      </c>
    </row>
    <row r="2348" spans="1:59">
      <c r="A2348">
        <v>0</v>
      </c>
      <c r="B2348">
        <v>3</v>
      </c>
      <c r="C2348">
        <v>2</v>
      </c>
      <c r="D2348" t="s">
        <v>25022</v>
      </c>
      <c r="E2348">
        <v>94</v>
      </c>
      <c r="F2348" t="s">
        <v>740</v>
      </c>
      <c r="G2348" t="s">
        <v>57</v>
      </c>
      <c r="H2348">
        <v>113450</v>
      </c>
      <c r="I2348">
        <v>114847</v>
      </c>
      <c r="J2348" t="s">
        <v>741</v>
      </c>
      <c r="K2348">
        <v>466</v>
      </c>
      <c r="L2348" t="s">
        <v>465</v>
      </c>
      <c r="M2348">
        <v>46</v>
      </c>
      <c r="N2348" t="str">
        <f>HYPERLINK("Gene94-zp_tree_all.dnd", "Gene94-tree")</f>
        <v>Gene94-tree</v>
      </c>
      <c r="O2348">
        <v>7</v>
      </c>
      <c r="P2348">
        <v>9</v>
      </c>
      <c r="Q2348">
        <v>7</v>
      </c>
      <c r="R2348">
        <v>9</v>
      </c>
      <c r="S2348">
        <v>0.5625</v>
      </c>
      <c r="T2348" t="s">
        <v>152</v>
      </c>
      <c r="U2348" t="s">
        <v>135</v>
      </c>
      <c r="V2348" t="s">
        <v>62</v>
      </c>
      <c r="W2348" t="s">
        <v>62</v>
      </c>
      <c r="X2348">
        <v>2</v>
      </c>
      <c r="Y2348">
        <v>5</v>
      </c>
      <c r="Z2348">
        <v>7</v>
      </c>
      <c r="AA2348">
        <v>0.41666999999999998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9</v>
      </c>
      <c r="AK2348">
        <v>0</v>
      </c>
      <c r="AL2348">
        <v>15</v>
      </c>
      <c r="AM2348">
        <v>11</v>
      </c>
      <c r="AN2348">
        <v>102</v>
      </c>
      <c r="AO2348">
        <v>9</v>
      </c>
      <c r="AP2348">
        <v>30</v>
      </c>
      <c r="AQ2348">
        <v>3</v>
      </c>
      <c r="AR2348" t="s">
        <v>742</v>
      </c>
      <c r="AS2348" t="s">
        <v>743</v>
      </c>
      <c r="AT2348">
        <v>0.108</v>
      </c>
      <c r="AU2348" t="s">
        <v>65</v>
      </c>
      <c r="AV2348">
        <v>132</v>
      </c>
      <c r="AW2348">
        <v>12</v>
      </c>
      <c r="AX2348" t="s">
        <v>744</v>
      </c>
      <c r="AY2348">
        <v>7.2279999999999997E-2</v>
      </c>
      <c r="AZ2348">
        <v>-6.7799999999999996E-3</v>
      </c>
      <c r="BA2348">
        <v>1.5499999999999999E-3</v>
      </c>
      <c r="BB2348">
        <v>-6.9999999999999994E-5</v>
      </c>
      <c r="BC2348">
        <v>2.1510000000000001E-2</v>
      </c>
      <c r="BD2348">
        <v>1</v>
      </c>
      <c r="BE2348" t="s">
        <v>69</v>
      </c>
      <c r="BF2348">
        <v>-1.5069999999999999</v>
      </c>
      <c r="BG2348">
        <v>0.182</v>
      </c>
    </row>
    <row r="2349" spans="1:59">
      <c r="A2349">
        <v>0</v>
      </c>
      <c r="B2349">
        <v>0</v>
      </c>
      <c r="C2349">
        <v>0</v>
      </c>
      <c r="D2349" t="s">
        <v>25022</v>
      </c>
      <c r="E2349">
        <v>1313</v>
      </c>
      <c r="F2349" t="s">
        <v>8245</v>
      </c>
      <c r="G2349" t="s">
        <v>57</v>
      </c>
      <c r="H2349">
        <v>1332402</v>
      </c>
      <c r="I2349">
        <v>1333799</v>
      </c>
      <c r="J2349" t="s">
        <v>8099</v>
      </c>
      <c r="K2349">
        <v>466</v>
      </c>
      <c r="L2349" t="s">
        <v>1297</v>
      </c>
      <c r="M2349">
        <v>42</v>
      </c>
      <c r="N2349" t="str">
        <f>HYPERLINK("Gene1313-zp_tree_all.dnd", "Gene1313-tree")</f>
        <v>Gene1313-tree</v>
      </c>
      <c r="O2349">
        <v>10</v>
      </c>
      <c r="P2349">
        <v>3</v>
      </c>
      <c r="Q2349">
        <v>10</v>
      </c>
      <c r="R2349">
        <v>3</v>
      </c>
      <c r="S2349">
        <v>0.23077</v>
      </c>
      <c r="T2349" t="s">
        <v>117</v>
      </c>
      <c r="U2349" t="s">
        <v>324</v>
      </c>
      <c r="V2349" t="s">
        <v>62</v>
      </c>
      <c r="W2349" t="s">
        <v>62</v>
      </c>
      <c r="X2349">
        <v>0</v>
      </c>
      <c r="Y2349">
        <v>0</v>
      </c>
      <c r="Z2349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4</v>
      </c>
      <c r="AK2349">
        <v>0</v>
      </c>
      <c r="AL2349">
        <v>12</v>
      </c>
      <c r="AM2349">
        <v>9</v>
      </c>
      <c r="AN2349">
        <v>51</v>
      </c>
      <c r="AO2349">
        <v>4</v>
      </c>
      <c r="AP2349">
        <v>29</v>
      </c>
      <c r="AQ2349">
        <v>0</v>
      </c>
      <c r="AR2349" t="s">
        <v>8246</v>
      </c>
      <c r="AS2349" t="s">
        <v>193</v>
      </c>
      <c r="AT2349">
        <v>0.85899999999999999</v>
      </c>
      <c r="AU2349" t="s">
        <v>65</v>
      </c>
      <c r="AV2349">
        <v>80</v>
      </c>
      <c r="AW2349">
        <v>4</v>
      </c>
      <c r="AX2349" t="s">
        <v>8247</v>
      </c>
      <c r="AY2349">
        <v>4.7449999999999999E-2</v>
      </c>
      <c r="AZ2349">
        <v>-1.9300000000000001E-3</v>
      </c>
      <c r="BA2349">
        <v>5.8E-4</v>
      </c>
      <c r="BB2349">
        <v>-9.0000000000000006E-5</v>
      </c>
      <c r="BC2349">
        <v>1.223E-2</v>
      </c>
      <c r="BD2349">
        <v>1</v>
      </c>
      <c r="BE2349" t="s">
        <v>69</v>
      </c>
      <c r="BF2349">
        <v>-0.39700000000000002</v>
      </c>
      <c r="BG2349">
        <v>-1.3879999999999999</v>
      </c>
    </row>
    <row r="2350" spans="1:59">
      <c r="A2350">
        <v>0</v>
      </c>
      <c r="B2350">
        <v>4</v>
      </c>
      <c r="C2350">
        <v>2</v>
      </c>
      <c r="D2350" t="s">
        <v>25022</v>
      </c>
      <c r="E2350">
        <v>1253</v>
      </c>
      <c r="F2350" t="s">
        <v>7853</v>
      </c>
      <c r="G2350" t="s">
        <v>57</v>
      </c>
      <c r="H2350">
        <v>1281128</v>
      </c>
      <c r="I2350">
        <v>1282528</v>
      </c>
      <c r="J2350" t="s">
        <v>7854</v>
      </c>
      <c r="K2350">
        <v>467</v>
      </c>
      <c r="L2350" t="s">
        <v>108</v>
      </c>
      <c r="M2350">
        <v>44</v>
      </c>
      <c r="N2350" t="str">
        <f>HYPERLINK("Gene1253-zp_tree_all.dnd", "Gene1253-tree")</f>
        <v>Gene1253-tree</v>
      </c>
      <c r="O2350">
        <v>8</v>
      </c>
      <c r="P2350">
        <v>8</v>
      </c>
      <c r="Q2350">
        <v>8</v>
      </c>
      <c r="R2350">
        <v>8</v>
      </c>
      <c r="S2350">
        <v>0.5</v>
      </c>
      <c r="T2350" t="s">
        <v>136</v>
      </c>
      <c r="U2350" t="s">
        <v>136</v>
      </c>
      <c r="V2350" t="s">
        <v>62</v>
      </c>
      <c r="W2350" t="s">
        <v>62</v>
      </c>
      <c r="X2350">
        <v>3</v>
      </c>
      <c r="Y2350">
        <v>6</v>
      </c>
      <c r="Z2350">
        <v>9</v>
      </c>
      <c r="AA2350">
        <v>0.4</v>
      </c>
      <c r="AB2350">
        <v>0</v>
      </c>
      <c r="AC2350">
        <v>0</v>
      </c>
      <c r="AD2350">
        <v>0</v>
      </c>
      <c r="AE2350">
        <v>4</v>
      </c>
      <c r="AF2350">
        <v>0</v>
      </c>
      <c r="AG2350">
        <v>2</v>
      </c>
      <c r="AH2350">
        <v>2</v>
      </c>
      <c r="AI2350">
        <v>4</v>
      </c>
      <c r="AJ2350">
        <v>5</v>
      </c>
      <c r="AK2350">
        <v>0.44444</v>
      </c>
      <c r="AL2350">
        <v>8</v>
      </c>
      <c r="AM2350">
        <v>12</v>
      </c>
      <c r="AN2350">
        <v>22</v>
      </c>
      <c r="AO2350">
        <v>7</v>
      </c>
      <c r="AP2350">
        <v>20</v>
      </c>
      <c r="AQ2350">
        <v>9</v>
      </c>
      <c r="AR2350" t="s">
        <v>7855</v>
      </c>
      <c r="AS2350" t="s">
        <v>7856</v>
      </c>
      <c r="AT2350">
        <v>0.32</v>
      </c>
      <c r="AU2350" t="s">
        <v>65</v>
      </c>
      <c r="AV2350">
        <v>42</v>
      </c>
      <c r="AW2350">
        <v>16</v>
      </c>
      <c r="AX2350" t="s">
        <v>7857</v>
      </c>
      <c r="AY2350">
        <v>2.8469999999999999E-2</v>
      </c>
      <c r="AZ2350">
        <v>-1.23E-3</v>
      </c>
      <c r="BA2350">
        <v>2.8700000000000002E-3</v>
      </c>
      <c r="BB2350">
        <v>-1.9000000000000001E-4</v>
      </c>
      <c r="BC2350">
        <v>0.10073</v>
      </c>
      <c r="BD2350">
        <v>1</v>
      </c>
      <c r="BE2350" t="s">
        <v>69</v>
      </c>
      <c r="BF2350">
        <v>-0.23100000000000001</v>
      </c>
      <c r="BG2350">
        <v>-0.35499999999999998</v>
      </c>
    </row>
    <row r="2351" spans="1:59">
      <c r="A2351">
        <v>0</v>
      </c>
      <c r="B2351">
        <v>9</v>
      </c>
      <c r="C2351">
        <v>0</v>
      </c>
      <c r="D2351" t="s">
        <v>25022</v>
      </c>
      <c r="E2351">
        <v>4178</v>
      </c>
      <c r="F2351" t="s">
        <v>24596</v>
      </c>
      <c r="G2351" t="s">
        <v>62</v>
      </c>
      <c r="H2351">
        <v>4142678</v>
      </c>
      <c r="I2351">
        <v>4144078</v>
      </c>
      <c r="J2351" t="s">
        <v>24597</v>
      </c>
      <c r="K2351">
        <v>467</v>
      </c>
      <c r="L2351" t="s">
        <v>108</v>
      </c>
      <c r="M2351">
        <v>44</v>
      </c>
      <c r="N2351" t="str">
        <f>HYPERLINK("Gene4178-zp_tree_all.dnd", "Gene4178-tree")</f>
        <v>Gene4178-tree</v>
      </c>
      <c r="O2351">
        <v>27</v>
      </c>
      <c r="P2351">
        <v>7</v>
      </c>
      <c r="Q2351">
        <v>10</v>
      </c>
      <c r="R2351">
        <v>7</v>
      </c>
      <c r="S2351">
        <v>0.41176000000000001</v>
      </c>
      <c r="T2351" t="s">
        <v>2980</v>
      </c>
      <c r="U2351" t="s">
        <v>152</v>
      </c>
      <c r="V2351" t="s">
        <v>62</v>
      </c>
      <c r="W2351" t="s">
        <v>62</v>
      </c>
      <c r="X2351">
        <v>2</v>
      </c>
      <c r="Y2351">
        <v>9</v>
      </c>
      <c r="Z2351">
        <v>11</v>
      </c>
      <c r="AA2351">
        <v>0.45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3</v>
      </c>
      <c r="AH2351">
        <v>0</v>
      </c>
      <c r="AI2351">
        <v>3</v>
      </c>
      <c r="AJ2351">
        <v>4</v>
      </c>
      <c r="AK2351">
        <v>0.42857000000000001</v>
      </c>
      <c r="AL2351">
        <v>15</v>
      </c>
      <c r="AM2351">
        <v>13</v>
      </c>
      <c r="AN2351">
        <v>80</v>
      </c>
      <c r="AO2351">
        <v>7</v>
      </c>
      <c r="AP2351">
        <v>92</v>
      </c>
      <c r="AQ2351">
        <v>14</v>
      </c>
      <c r="AR2351" t="s">
        <v>24598</v>
      </c>
      <c r="AS2351" t="s">
        <v>24599</v>
      </c>
      <c r="AT2351">
        <v>0.29499999999999998</v>
      </c>
      <c r="AU2351" t="s">
        <v>65</v>
      </c>
      <c r="AV2351">
        <v>172</v>
      </c>
      <c r="AW2351">
        <v>21</v>
      </c>
      <c r="AX2351" t="s">
        <v>24600</v>
      </c>
      <c r="AY2351">
        <v>9.9570000000000006E-2</v>
      </c>
      <c r="AZ2351">
        <v>-3.5799999999999998E-3</v>
      </c>
      <c r="BA2351">
        <v>5.0000000000000001E-3</v>
      </c>
      <c r="BB2351">
        <v>-4.0000000000000002E-4</v>
      </c>
      <c r="BC2351">
        <v>5.0250000000000003E-2</v>
      </c>
      <c r="BD2351">
        <v>1</v>
      </c>
      <c r="BE2351" t="s">
        <v>69</v>
      </c>
      <c r="BF2351">
        <v>0.20499999999999999</v>
      </c>
      <c r="BG2351">
        <v>-0.191</v>
      </c>
    </row>
    <row r="2352" spans="1:59">
      <c r="A2352">
        <v>0</v>
      </c>
      <c r="B2352">
        <v>2</v>
      </c>
      <c r="C2352">
        <v>0</v>
      </c>
      <c r="D2352" t="s">
        <v>25022</v>
      </c>
      <c r="E2352">
        <v>1677</v>
      </c>
      <c r="F2352" t="s">
        <v>10504</v>
      </c>
      <c r="G2352" t="s">
        <v>57</v>
      </c>
      <c r="H2352">
        <v>1688676</v>
      </c>
      <c r="I2352">
        <v>1690076</v>
      </c>
      <c r="J2352" t="s">
        <v>10505</v>
      </c>
      <c r="K2352">
        <v>467</v>
      </c>
      <c r="L2352" t="s">
        <v>125</v>
      </c>
      <c r="M2352">
        <v>48</v>
      </c>
      <c r="N2352" t="str">
        <f>HYPERLINK("Gene1677-zp_tree_all.dnd", "Gene1677-tree")</f>
        <v>Gene1677-tree</v>
      </c>
      <c r="O2352">
        <v>13</v>
      </c>
      <c r="P2352">
        <v>3</v>
      </c>
      <c r="Q2352">
        <v>13</v>
      </c>
      <c r="R2352">
        <v>3</v>
      </c>
      <c r="S2352">
        <v>0.1875</v>
      </c>
      <c r="T2352" t="s">
        <v>507</v>
      </c>
      <c r="U2352" t="s">
        <v>324</v>
      </c>
      <c r="V2352" t="s">
        <v>62</v>
      </c>
      <c r="W2352" t="s">
        <v>62</v>
      </c>
      <c r="X2352">
        <v>1</v>
      </c>
      <c r="Y2352">
        <v>2</v>
      </c>
      <c r="Z2352">
        <v>6</v>
      </c>
      <c r="AA2352">
        <v>0.25</v>
      </c>
      <c r="AB2352">
        <v>0</v>
      </c>
      <c r="AC2352">
        <v>0</v>
      </c>
      <c r="AD2352">
        <v>0</v>
      </c>
      <c r="AE2352">
        <v>2</v>
      </c>
      <c r="AF2352">
        <v>0</v>
      </c>
      <c r="AG2352">
        <v>0</v>
      </c>
      <c r="AH2352">
        <v>0</v>
      </c>
      <c r="AI2352">
        <v>0</v>
      </c>
      <c r="AJ2352">
        <v>3</v>
      </c>
      <c r="AK2352">
        <v>0</v>
      </c>
      <c r="AL2352">
        <v>12</v>
      </c>
      <c r="AM2352">
        <v>12</v>
      </c>
      <c r="AN2352">
        <v>28</v>
      </c>
      <c r="AO2352">
        <v>3</v>
      </c>
      <c r="AP2352">
        <v>83</v>
      </c>
      <c r="AQ2352">
        <v>5</v>
      </c>
      <c r="AR2352" t="s">
        <v>10506</v>
      </c>
      <c r="AS2352" t="s">
        <v>10507</v>
      </c>
      <c r="AT2352">
        <v>0.35299999999999998</v>
      </c>
      <c r="AU2352" t="s">
        <v>65</v>
      </c>
      <c r="AV2352">
        <v>111</v>
      </c>
      <c r="AW2352">
        <v>8</v>
      </c>
      <c r="AX2352" t="s">
        <v>10508</v>
      </c>
      <c r="AY2352">
        <v>0.10102</v>
      </c>
      <c r="AZ2352">
        <v>-8.0000000000000002E-3</v>
      </c>
      <c r="BA2352">
        <v>1.6000000000000001E-3</v>
      </c>
      <c r="BB2352">
        <v>-1.1E-4</v>
      </c>
      <c r="BC2352">
        <v>1.5810000000000001E-2</v>
      </c>
      <c r="BD2352">
        <v>1</v>
      </c>
      <c r="BE2352" t="s">
        <v>69</v>
      </c>
      <c r="BF2352">
        <v>-1.1970000000000001</v>
      </c>
      <c r="BG2352">
        <v>0.68300000000000005</v>
      </c>
    </row>
    <row r="2353" spans="1:59">
      <c r="A2353">
        <v>0</v>
      </c>
      <c r="B2353">
        <v>20</v>
      </c>
      <c r="C2353">
        <v>3</v>
      </c>
      <c r="D2353" t="s">
        <v>25022</v>
      </c>
      <c r="E2353">
        <v>3779</v>
      </c>
      <c r="F2353" t="s">
        <v>22144</v>
      </c>
      <c r="G2353" t="s">
        <v>62</v>
      </c>
      <c r="H2353">
        <v>3750771</v>
      </c>
      <c r="I2353">
        <v>3752174</v>
      </c>
      <c r="J2353" t="s">
        <v>22145</v>
      </c>
      <c r="K2353">
        <v>468</v>
      </c>
      <c r="L2353" t="s">
        <v>108</v>
      </c>
      <c r="M2353">
        <v>44</v>
      </c>
      <c r="N2353" t="str">
        <f>HYPERLINK("Gene3779-zp_tree_all.dnd", "Gene3779-tree")</f>
        <v>Gene3779-tree</v>
      </c>
      <c r="O2353">
        <v>2</v>
      </c>
      <c r="P2353">
        <v>13</v>
      </c>
      <c r="Q2353">
        <v>2</v>
      </c>
      <c r="R2353">
        <v>13</v>
      </c>
      <c r="S2353">
        <v>0.86667000000000005</v>
      </c>
      <c r="T2353" t="s">
        <v>81</v>
      </c>
      <c r="U2353" t="s">
        <v>507</v>
      </c>
      <c r="V2353" t="s">
        <v>62</v>
      </c>
      <c r="W2353" t="s">
        <v>62</v>
      </c>
      <c r="X2353">
        <v>10</v>
      </c>
      <c r="Y2353">
        <v>23</v>
      </c>
      <c r="Z2353">
        <v>29</v>
      </c>
      <c r="AA2353">
        <v>0.44230999999999998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10</v>
      </c>
      <c r="AH2353">
        <v>4</v>
      </c>
      <c r="AI2353">
        <v>14</v>
      </c>
      <c r="AJ2353">
        <v>27</v>
      </c>
      <c r="AK2353">
        <v>0.34145999999999999</v>
      </c>
      <c r="AL2353">
        <v>13</v>
      </c>
      <c r="AM2353">
        <v>9</v>
      </c>
      <c r="AN2353">
        <v>41</v>
      </c>
      <c r="AO2353">
        <v>32</v>
      </c>
      <c r="AP2353">
        <v>44</v>
      </c>
      <c r="AQ2353">
        <v>24</v>
      </c>
      <c r="AR2353" t="s">
        <v>22146</v>
      </c>
      <c r="AS2353" t="s">
        <v>22147</v>
      </c>
      <c r="AT2353">
        <v>0.32900000000000001</v>
      </c>
      <c r="AU2353" t="s">
        <v>65</v>
      </c>
      <c r="AV2353">
        <v>85</v>
      </c>
      <c r="AW2353">
        <v>56</v>
      </c>
      <c r="AX2353" t="s">
        <v>22148</v>
      </c>
      <c r="AY2353">
        <v>5.901E-2</v>
      </c>
      <c r="AZ2353">
        <v>-3.5100000000000001E-3</v>
      </c>
      <c r="BA2353">
        <v>1.1039999999999999E-2</v>
      </c>
      <c r="BB2353">
        <v>-6.3000000000000003E-4</v>
      </c>
      <c r="BC2353">
        <v>0.18706999999999999</v>
      </c>
      <c r="BD2353">
        <v>1</v>
      </c>
      <c r="BE2353" t="s">
        <v>69</v>
      </c>
      <c r="BF2353">
        <v>-0.72399999999999998</v>
      </c>
      <c r="BG2353">
        <v>-0.55200000000000005</v>
      </c>
    </row>
    <row r="2354" spans="1:59">
      <c r="A2354">
        <v>0</v>
      </c>
      <c r="B2354">
        <v>2</v>
      </c>
      <c r="C2354">
        <v>0</v>
      </c>
      <c r="D2354" t="s">
        <v>25022</v>
      </c>
      <c r="E2354">
        <v>975</v>
      </c>
      <c r="F2354" t="s">
        <v>6109</v>
      </c>
      <c r="G2354" t="s">
        <v>57</v>
      </c>
      <c r="H2354">
        <v>1015647</v>
      </c>
      <c r="I2354">
        <v>1017050</v>
      </c>
      <c r="J2354" t="s">
        <v>6110</v>
      </c>
      <c r="K2354">
        <v>468</v>
      </c>
      <c r="L2354" t="s">
        <v>629</v>
      </c>
      <c r="M2354">
        <v>43</v>
      </c>
      <c r="N2354" t="str">
        <f>HYPERLINK("Gene975-zp_tree_all.dnd", "Gene975-tree")</f>
        <v>Gene975-tree</v>
      </c>
      <c r="O2354">
        <v>14</v>
      </c>
      <c r="P2354">
        <v>3</v>
      </c>
      <c r="Q2354">
        <v>14</v>
      </c>
      <c r="R2354">
        <v>3</v>
      </c>
      <c r="S2354">
        <v>0.17646999999999999</v>
      </c>
      <c r="T2354" t="s">
        <v>543</v>
      </c>
      <c r="U2354" t="s">
        <v>324</v>
      </c>
      <c r="V2354" t="s">
        <v>62</v>
      </c>
      <c r="W2354" t="s">
        <v>62</v>
      </c>
      <c r="X2354">
        <v>1</v>
      </c>
      <c r="Y2354">
        <v>2</v>
      </c>
      <c r="Z2354">
        <v>3</v>
      </c>
      <c r="AA2354">
        <v>0.4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4</v>
      </c>
      <c r="AK2354">
        <v>0</v>
      </c>
      <c r="AL2354">
        <v>13</v>
      </c>
      <c r="AM2354">
        <v>11</v>
      </c>
      <c r="AN2354">
        <v>33</v>
      </c>
      <c r="AO2354">
        <v>4</v>
      </c>
      <c r="AP2354">
        <v>26</v>
      </c>
      <c r="AQ2354">
        <v>1</v>
      </c>
      <c r="AR2354" t="s">
        <v>6111</v>
      </c>
      <c r="AS2354" t="s">
        <v>6112</v>
      </c>
      <c r="AT2354">
        <v>0.44500000000000001</v>
      </c>
      <c r="AU2354" t="s">
        <v>65</v>
      </c>
      <c r="AV2354">
        <v>59</v>
      </c>
      <c r="AW2354">
        <v>5</v>
      </c>
      <c r="AX2354" t="s">
        <v>6113</v>
      </c>
      <c r="AY2354">
        <v>3.2140000000000002E-2</v>
      </c>
      <c r="AZ2354">
        <v>-1.0399999999999999E-3</v>
      </c>
      <c r="BA2354">
        <v>7.9000000000000001E-4</v>
      </c>
      <c r="BB2354">
        <v>-6.0000000000000002E-5</v>
      </c>
      <c r="BC2354">
        <v>2.4680000000000001E-2</v>
      </c>
      <c r="BD2354">
        <v>1</v>
      </c>
      <c r="BE2354" t="s">
        <v>69</v>
      </c>
      <c r="BF2354">
        <v>-8.7999999999999995E-2</v>
      </c>
      <c r="BG2354">
        <v>-1.1719999999999999</v>
      </c>
    </row>
    <row r="2355" spans="1:59">
      <c r="A2355">
        <v>0</v>
      </c>
      <c r="B2355">
        <v>0</v>
      </c>
      <c r="C2355">
        <v>0</v>
      </c>
      <c r="D2355" t="s">
        <v>25022</v>
      </c>
      <c r="E2355">
        <v>4014</v>
      </c>
      <c r="F2355" t="s">
        <v>23616</v>
      </c>
      <c r="G2355" t="s">
        <v>62</v>
      </c>
      <c r="H2355">
        <v>3977794</v>
      </c>
      <c r="I2355">
        <v>3979197</v>
      </c>
      <c r="J2355" t="s">
        <v>23617</v>
      </c>
      <c r="K2355">
        <v>468</v>
      </c>
      <c r="L2355" t="s">
        <v>465</v>
      </c>
      <c r="M2355">
        <v>46</v>
      </c>
      <c r="N2355" t="str">
        <f>HYPERLINK("Gene4014-zp_tree_all.dnd", "Gene4014-tree")</f>
        <v>Gene4014-tree</v>
      </c>
      <c r="O2355">
        <v>34</v>
      </c>
      <c r="P2355">
        <v>2</v>
      </c>
      <c r="Q2355">
        <v>15</v>
      </c>
      <c r="R2355">
        <v>2</v>
      </c>
      <c r="S2355">
        <v>0.11765</v>
      </c>
      <c r="T2355" t="s">
        <v>6207</v>
      </c>
      <c r="U2355" t="s">
        <v>81</v>
      </c>
      <c r="V2355" t="s">
        <v>62</v>
      </c>
      <c r="W2355" t="s">
        <v>62</v>
      </c>
      <c r="X2355">
        <v>0</v>
      </c>
      <c r="Y2355">
        <v>0</v>
      </c>
      <c r="Z2355">
        <v>7</v>
      </c>
      <c r="AA2355">
        <v>0</v>
      </c>
      <c r="AB2355">
        <v>0</v>
      </c>
      <c r="AC2355">
        <v>0</v>
      </c>
      <c r="AD2355">
        <v>0</v>
      </c>
      <c r="AE2355">
        <v>2</v>
      </c>
      <c r="AF2355">
        <v>0</v>
      </c>
      <c r="AG2355">
        <v>0</v>
      </c>
      <c r="AH2355">
        <v>0</v>
      </c>
      <c r="AI2355">
        <v>0</v>
      </c>
      <c r="AJ2355">
        <v>2</v>
      </c>
      <c r="AK2355">
        <v>0</v>
      </c>
      <c r="AL2355">
        <v>16</v>
      </c>
      <c r="AM2355">
        <v>13</v>
      </c>
      <c r="AN2355">
        <v>64</v>
      </c>
      <c r="AO2355">
        <v>2</v>
      </c>
      <c r="AP2355">
        <v>108</v>
      </c>
      <c r="AQ2355">
        <v>6</v>
      </c>
      <c r="AR2355" t="s">
        <v>23618</v>
      </c>
      <c r="AS2355" t="s">
        <v>23619</v>
      </c>
      <c r="AT2355">
        <v>0.20200000000000001</v>
      </c>
      <c r="AU2355" t="s">
        <v>65</v>
      </c>
      <c r="AV2355">
        <v>172</v>
      </c>
      <c r="AW2355">
        <v>8</v>
      </c>
      <c r="AX2355" t="s">
        <v>23620</v>
      </c>
      <c r="AY2355">
        <v>0.10233</v>
      </c>
      <c r="AZ2355">
        <v>-5.8799999999999998E-3</v>
      </c>
      <c r="BA2355">
        <v>2.33E-3</v>
      </c>
      <c r="BB2355">
        <v>-1.7000000000000001E-4</v>
      </c>
      <c r="BC2355">
        <v>2.2769999999999999E-2</v>
      </c>
      <c r="BD2355">
        <v>1</v>
      </c>
      <c r="BE2355" t="s">
        <v>69</v>
      </c>
      <c r="BF2355">
        <v>-0.67200000000000004</v>
      </c>
      <c r="BG2355">
        <v>0.73299999999999998</v>
      </c>
    </row>
    <row r="2356" spans="1:59">
      <c r="A2356">
        <v>0</v>
      </c>
      <c r="B2356">
        <v>0</v>
      </c>
      <c r="C2356">
        <v>0</v>
      </c>
      <c r="D2356" t="s">
        <v>25022</v>
      </c>
      <c r="E2356">
        <v>2455</v>
      </c>
      <c r="F2356" t="s">
        <v>14298</v>
      </c>
      <c r="G2356" t="s">
        <v>62</v>
      </c>
      <c r="H2356">
        <v>2452803</v>
      </c>
      <c r="I2356">
        <v>2454206</v>
      </c>
      <c r="J2356" t="s">
        <v>14299</v>
      </c>
      <c r="K2356">
        <v>468</v>
      </c>
      <c r="L2356" t="s">
        <v>1392</v>
      </c>
      <c r="M2356">
        <v>43</v>
      </c>
      <c r="N2356" t="str">
        <f>HYPERLINK("Gene2455-zp_tree_all.dnd", "Gene2455-tree")</f>
        <v>Gene2455-tree</v>
      </c>
      <c r="O2356">
        <v>10</v>
      </c>
      <c r="P2356">
        <v>1</v>
      </c>
      <c r="Q2356">
        <v>10</v>
      </c>
      <c r="R2356">
        <v>1</v>
      </c>
      <c r="S2356">
        <v>9.0910000000000005E-2</v>
      </c>
      <c r="T2356" t="s">
        <v>117</v>
      </c>
      <c r="U2356" t="s">
        <v>175</v>
      </c>
      <c r="V2356" t="s">
        <v>62</v>
      </c>
      <c r="W2356" t="s">
        <v>62</v>
      </c>
      <c r="X2356">
        <v>0</v>
      </c>
      <c r="Y2356">
        <v>0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0</v>
      </c>
      <c r="AL2356">
        <v>8</v>
      </c>
      <c r="AM2356">
        <v>6</v>
      </c>
      <c r="AN2356">
        <v>44</v>
      </c>
      <c r="AO2356">
        <v>1</v>
      </c>
      <c r="AP2356">
        <v>9</v>
      </c>
      <c r="AQ2356">
        <v>1</v>
      </c>
      <c r="AR2356" t="s">
        <v>14300</v>
      </c>
      <c r="AS2356" t="s">
        <v>14301</v>
      </c>
      <c r="AT2356">
        <v>0.37</v>
      </c>
      <c r="AU2356" t="s">
        <v>65</v>
      </c>
      <c r="AV2356">
        <v>53</v>
      </c>
      <c r="AW2356">
        <v>2</v>
      </c>
      <c r="AX2356" t="s">
        <v>14302</v>
      </c>
      <c r="AY2356">
        <v>2.9700000000000001E-2</v>
      </c>
      <c r="AZ2356">
        <v>-2.15E-3</v>
      </c>
      <c r="BA2356">
        <v>6.6E-4</v>
      </c>
      <c r="BB2356">
        <v>-6.9999999999999994E-5</v>
      </c>
      <c r="BC2356">
        <v>2.222E-2</v>
      </c>
      <c r="BD2356">
        <v>1</v>
      </c>
      <c r="BE2356" t="s">
        <v>69</v>
      </c>
      <c r="BF2356">
        <v>-0.76200000000000001</v>
      </c>
      <c r="BG2356">
        <v>-1.7789999999999999</v>
      </c>
    </row>
    <row r="2357" spans="1:59">
      <c r="A2357">
        <v>0</v>
      </c>
      <c r="B2357">
        <v>38</v>
      </c>
      <c r="C2357">
        <v>5</v>
      </c>
      <c r="D2357" t="s">
        <v>25022</v>
      </c>
      <c r="E2357">
        <v>4073</v>
      </c>
      <c r="F2357" t="s">
        <v>23968</v>
      </c>
      <c r="G2357" t="s">
        <v>62</v>
      </c>
      <c r="H2357">
        <v>4039469</v>
      </c>
      <c r="I2357">
        <v>4040875</v>
      </c>
      <c r="J2357" t="s">
        <v>23969</v>
      </c>
      <c r="K2357">
        <v>469</v>
      </c>
      <c r="L2357" t="s">
        <v>1124</v>
      </c>
      <c r="M2357">
        <v>43</v>
      </c>
      <c r="N2357" t="str">
        <f>HYPERLINK("Gene4073-zp_tree_all.dnd", "Gene4073-tree")</f>
        <v>Gene4073-tree</v>
      </c>
      <c r="O2357">
        <v>3</v>
      </c>
      <c r="P2357">
        <v>14</v>
      </c>
      <c r="Q2357">
        <v>3</v>
      </c>
      <c r="R2357">
        <v>14</v>
      </c>
      <c r="S2357">
        <v>0.82352999999999998</v>
      </c>
      <c r="T2357" t="s">
        <v>324</v>
      </c>
      <c r="U2357" t="s">
        <v>543</v>
      </c>
      <c r="V2357">
        <v>526110884.52200001</v>
      </c>
      <c r="W2357" t="s">
        <v>267</v>
      </c>
      <c r="X2357">
        <v>17</v>
      </c>
      <c r="Y2357">
        <v>43</v>
      </c>
      <c r="Z2357">
        <v>27</v>
      </c>
      <c r="AA2357">
        <v>0.61429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6</v>
      </c>
      <c r="AH2357">
        <v>4</v>
      </c>
      <c r="AI2357">
        <v>10</v>
      </c>
      <c r="AJ2357">
        <v>32</v>
      </c>
      <c r="AK2357">
        <v>0.23810000000000001</v>
      </c>
      <c r="AL2357">
        <v>15</v>
      </c>
      <c r="AM2357">
        <v>13</v>
      </c>
      <c r="AN2357">
        <v>97</v>
      </c>
      <c r="AO2357">
        <v>33</v>
      </c>
      <c r="AP2357">
        <v>102</v>
      </c>
      <c r="AQ2357">
        <v>38</v>
      </c>
      <c r="AR2357" t="s">
        <v>23970</v>
      </c>
      <c r="AS2357" t="s">
        <v>23971</v>
      </c>
      <c r="AT2357">
        <v>0.24199999999999999</v>
      </c>
      <c r="AU2357" t="s">
        <v>65</v>
      </c>
      <c r="AV2357">
        <v>199</v>
      </c>
      <c r="AW2357">
        <v>71</v>
      </c>
      <c r="AX2357" t="s">
        <v>23972</v>
      </c>
      <c r="AY2357">
        <v>0.10013</v>
      </c>
      <c r="AZ2357">
        <v>-2.7399999999999998E-3</v>
      </c>
      <c r="BA2357">
        <v>1.077E-2</v>
      </c>
      <c r="BB2357">
        <v>-2.5000000000000001E-4</v>
      </c>
      <c r="BC2357">
        <v>0.10752</v>
      </c>
      <c r="BD2357">
        <v>1</v>
      </c>
      <c r="BE2357" t="s">
        <v>69</v>
      </c>
      <c r="BF2357">
        <v>-0.13900000000000001</v>
      </c>
      <c r="BG2357">
        <v>0.153</v>
      </c>
    </row>
    <row r="2358" spans="1:59">
      <c r="A2358">
        <v>0</v>
      </c>
      <c r="B2358">
        <v>8</v>
      </c>
      <c r="C2358">
        <v>1</v>
      </c>
      <c r="D2358" t="s">
        <v>25022</v>
      </c>
      <c r="E2358">
        <v>4066</v>
      </c>
      <c r="F2358" t="s">
        <v>23934</v>
      </c>
      <c r="G2358" t="s">
        <v>62</v>
      </c>
      <c r="H2358">
        <v>4032349</v>
      </c>
      <c r="I2358">
        <v>4033755</v>
      </c>
      <c r="J2358" t="s">
        <v>2340</v>
      </c>
      <c r="K2358">
        <v>469</v>
      </c>
      <c r="L2358" t="s">
        <v>23935</v>
      </c>
      <c r="M2358">
        <v>41</v>
      </c>
      <c r="N2358" t="str">
        <f>HYPERLINK("Gene4066-zp_tree_all.dnd", "Gene4066-tree")</f>
        <v>Gene4066-tree</v>
      </c>
      <c r="O2358">
        <v>5</v>
      </c>
      <c r="P2358">
        <v>27</v>
      </c>
      <c r="Q2358">
        <v>5</v>
      </c>
      <c r="R2358">
        <v>10</v>
      </c>
      <c r="S2358">
        <v>0.66666999999999998</v>
      </c>
      <c r="T2358" t="s">
        <v>199</v>
      </c>
      <c r="U2358" t="s">
        <v>2980</v>
      </c>
      <c r="V2358">
        <v>2.2480000000000002</v>
      </c>
      <c r="W2358" t="s">
        <v>65</v>
      </c>
      <c r="X2358">
        <v>3</v>
      </c>
      <c r="Y2358">
        <v>9</v>
      </c>
      <c r="Z2358">
        <v>21</v>
      </c>
      <c r="AA2358">
        <v>0.3</v>
      </c>
      <c r="AB2358">
        <v>0</v>
      </c>
      <c r="AC2358">
        <v>0</v>
      </c>
      <c r="AD2358">
        <v>0</v>
      </c>
      <c r="AE2358">
        <v>3</v>
      </c>
      <c r="AF2358">
        <v>0</v>
      </c>
      <c r="AG2358">
        <v>4</v>
      </c>
      <c r="AH2358">
        <v>3</v>
      </c>
      <c r="AI2358">
        <v>7</v>
      </c>
      <c r="AJ2358">
        <v>17</v>
      </c>
      <c r="AK2358">
        <v>0.29166999999999998</v>
      </c>
      <c r="AL2358">
        <v>13</v>
      </c>
      <c r="AM2358">
        <v>12</v>
      </c>
      <c r="AN2358">
        <v>107</v>
      </c>
      <c r="AO2358">
        <v>23</v>
      </c>
      <c r="AP2358">
        <v>47</v>
      </c>
      <c r="AQ2358">
        <v>8</v>
      </c>
      <c r="AR2358" t="s">
        <v>23936</v>
      </c>
      <c r="AS2358" t="s">
        <v>23937</v>
      </c>
      <c r="AT2358">
        <v>0.32900000000000001</v>
      </c>
      <c r="AU2358" t="s">
        <v>65</v>
      </c>
      <c r="AV2358">
        <v>154</v>
      </c>
      <c r="AW2358">
        <v>31</v>
      </c>
      <c r="AX2358" t="s">
        <v>23938</v>
      </c>
      <c r="AY2358">
        <v>8.3930000000000005E-2</v>
      </c>
      <c r="AZ2358">
        <v>-3.8400000000000001E-3</v>
      </c>
      <c r="BA2358">
        <v>4.5799999999999999E-3</v>
      </c>
      <c r="BB2358">
        <v>-2.3000000000000001E-4</v>
      </c>
      <c r="BC2358">
        <v>5.4539999999999998E-2</v>
      </c>
      <c r="BD2358">
        <v>1</v>
      </c>
      <c r="BE2358" t="s">
        <v>69</v>
      </c>
      <c r="BF2358">
        <v>-1.139</v>
      </c>
      <c r="BG2358">
        <v>-1.665</v>
      </c>
    </row>
    <row r="2359" spans="1:59">
      <c r="A2359">
        <v>0</v>
      </c>
      <c r="B2359">
        <v>2</v>
      </c>
      <c r="C2359">
        <v>1</v>
      </c>
      <c r="D2359" t="s">
        <v>25022</v>
      </c>
      <c r="E2359">
        <v>3460</v>
      </c>
      <c r="F2359" t="s">
        <v>20260</v>
      </c>
      <c r="G2359" t="s">
        <v>62</v>
      </c>
      <c r="H2359">
        <v>3419659</v>
      </c>
      <c r="I2359">
        <v>3421065</v>
      </c>
      <c r="J2359" t="s">
        <v>20261</v>
      </c>
      <c r="K2359">
        <v>469</v>
      </c>
      <c r="L2359" t="s">
        <v>108</v>
      </c>
      <c r="M2359">
        <v>44</v>
      </c>
      <c r="N2359" t="str">
        <f>HYPERLINK("Gene3460-zp_tree_all.dnd", "Gene3460-tree")</f>
        <v>Gene3460-tree</v>
      </c>
      <c r="O2359">
        <v>11</v>
      </c>
      <c r="P2359">
        <v>3</v>
      </c>
      <c r="Q2359">
        <v>11</v>
      </c>
      <c r="R2359">
        <v>3</v>
      </c>
      <c r="S2359">
        <v>0.21429000000000001</v>
      </c>
      <c r="T2359" t="s">
        <v>73</v>
      </c>
      <c r="U2359" t="s">
        <v>324</v>
      </c>
      <c r="V2359" t="s">
        <v>62</v>
      </c>
      <c r="W2359" t="s">
        <v>62</v>
      </c>
      <c r="X2359">
        <v>1</v>
      </c>
      <c r="Y2359">
        <v>3</v>
      </c>
      <c r="Z2359">
        <v>3</v>
      </c>
      <c r="AA2359">
        <v>0.5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2</v>
      </c>
      <c r="AI2359">
        <v>2</v>
      </c>
      <c r="AJ2359">
        <v>2</v>
      </c>
      <c r="AK2359">
        <v>0.5</v>
      </c>
      <c r="AL2359">
        <v>12</v>
      </c>
      <c r="AM2359">
        <v>9</v>
      </c>
      <c r="AN2359">
        <v>35</v>
      </c>
      <c r="AO2359">
        <v>4</v>
      </c>
      <c r="AP2359">
        <v>15</v>
      </c>
      <c r="AQ2359">
        <v>2</v>
      </c>
      <c r="AR2359" t="s">
        <v>20262</v>
      </c>
      <c r="AS2359" t="s">
        <v>20263</v>
      </c>
      <c r="AT2359">
        <v>8.7999999999999995E-2</v>
      </c>
      <c r="AU2359" t="s">
        <v>65</v>
      </c>
      <c r="AV2359">
        <v>50</v>
      </c>
      <c r="AW2359">
        <v>6</v>
      </c>
      <c r="AX2359" t="s">
        <v>20264</v>
      </c>
      <c r="AY2359">
        <v>2.5270000000000001E-2</v>
      </c>
      <c r="AZ2359">
        <v>-9.3999999999999997E-4</v>
      </c>
      <c r="BA2359">
        <v>1.09E-3</v>
      </c>
      <c r="BB2359">
        <v>-8.0000000000000007E-5</v>
      </c>
      <c r="BC2359">
        <v>4.326E-2</v>
      </c>
      <c r="BD2359">
        <v>1</v>
      </c>
      <c r="BE2359" t="s">
        <v>69</v>
      </c>
      <c r="BF2359">
        <v>-0.46700000000000003</v>
      </c>
      <c r="BG2359">
        <v>-0.374</v>
      </c>
    </row>
    <row r="2360" spans="1:59">
      <c r="A2360">
        <v>0</v>
      </c>
      <c r="B2360">
        <v>0</v>
      </c>
      <c r="C2360">
        <v>0</v>
      </c>
      <c r="D2360" t="s">
        <v>25022</v>
      </c>
      <c r="E2360">
        <v>2488</v>
      </c>
      <c r="F2360" t="s">
        <v>14497</v>
      </c>
      <c r="G2360" t="s">
        <v>62</v>
      </c>
      <c r="H2360">
        <v>2480753</v>
      </c>
      <c r="I2360">
        <v>2482159</v>
      </c>
      <c r="J2360" t="s">
        <v>14498</v>
      </c>
      <c r="K2360">
        <v>469</v>
      </c>
      <c r="L2360" t="s">
        <v>59</v>
      </c>
      <c r="M2360">
        <v>49</v>
      </c>
      <c r="N2360" t="str">
        <f>HYPERLINK("Gene2488-zp_tree_all.dnd", "Gene2488-tree")</f>
        <v>Gene2488-tree</v>
      </c>
      <c r="O2360">
        <v>16</v>
      </c>
      <c r="P2360">
        <v>3</v>
      </c>
      <c r="Q2360">
        <v>16</v>
      </c>
      <c r="R2360">
        <v>3</v>
      </c>
      <c r="S2360">
        <v>0.15789</v>
      </c>
      <c r="T2360" t="s">
        <v>60</v>
      </c>
      <c r="U2360" t="s">
        <v>324</v>
      </c>
      <c r="V2360" t="s">
        <v>62</v>
      </c>
      <c r="W2360" t="s">
        <v>62</v>
      </c>
      <c r="X2360">
        <v>0</v>
      </c>
      <c r="Y2360">
        <v>0</v>
      </c>
      <c r="Z2360">
        <v>6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3</v>
      </c>
      <c r="AK2360">
        <v>0</v>
      </c>
      <c r="AL2360">
        <v>17</v>
      </c>
      <c r="AM2360">
        <v>14</v>
      </c>
      <c r="AN2360">
        <v>69</v>
      </c>
      <c r="AO2360">
        <v>3</v>
      </c>
      <c r="AP2360">
        <v>108</v>
      </c>
      <c r="AQ2360">
        <v>3</v>
      </c>
      <c r="AR2360" t="s">
        <v>14499</v>
      </c>
      <c r="AS2360" t="s">
        <v>14500</v>
      </c>
      <c r="AT2360">
        <v>0.216</v>
      </c>
      <c r="AU2360" t="s">
        <v>65</v>
      </c>
      <c r="AV2360">
        <v>177</v>
      </c>
      <c r="AW2360">
        <v>6</v>
      </c>
      <c r="AX2360" t="s">
        <v>14501</v>
      </c>
      <c r="AY2360">
        <v>0.1249</v>
      </c>
      <c r="AZ2360">
        <v>-7.3200000000000001E-3</v>
      </c>
      <c r="BA2360">
        <v>9.2000000000000003E-4</v>
      </c>
      <c r="BB2360">
        <v>-8.0000000000000007E-5</v>
      </c>
      <c r="BC2360">
        <v>7.3800000000000003E-3</v>
      </c>
      <c r="BD2360">
        <v>1</v>
      </c>
      <c r="BE2360" t="s">
        <v>69</v>
      </c>
      <c r="BF2360">
        <v>-1.016</v>
      </c>
      <c r="BG2360">
        <v>-0.106</v>
      </c>
    </row>
    <row r="2361" spans="1:59">
      <c r="A2361">
        <v>0</v>
      </c>
      <c r="B2361">
        <v>10</v>
      </c>
      <c r="C2361">
        <v>0</v>
      </c>
      <c r="D2361" t="s">
        <v>25022</v>
      </c>
      <c r="E2361">
        <v>74</v>
      </c>
      <c r="F2361" t="s">
        <v>593</v>
      </c>
      <c r="G2361" t="s">
        <v>57</v>
      </c>
      <c r="H2361">
        <v>82864</v>
      </c>
      <c r="I2361">
        <v>84273</v>
      </c>
      <c r="J2361" t="s">
        <v>594</v>
      </c>
      <c r="K2361">
        <v>470</v>
      </c>
      <c r="L2361" t="s">
        <v>108</v>
      </c>
      <c r="M2361">
        <v>44</v>
      </c>
      <c r="N2361" t="str">
        <f>HYPERLINK("Gene74-zp_tree_all.dnd", "Gene74-tree")</f>
        <v>Gene74-tree</v>
      </c>
      <c r="O2361">
        <v>9</v>
      </c>
      <c r="P2361">
        <v>8</v>
      </c>
      <c r="Q2361">
        <v>9</v>
      </c>
      <c r="R2361">
        <v>8</v>
      </c>
      <c r="S2361">
        <v>0.47059000000000001</v>
      </c>
      <c r="T2361" t="s">
        <v>135</v>
      </c>
      <c r="U2361" t="s">
        <v>136</v>
      </c>
      <c r="V2361" t="s">
        <v>62</v>
      </c>
      <c r="W2361" t="s">
        <v>62</v>
      </c>
      <c r="X2361">
        <v>5</v>
      </c>
      <c r="Y2361">
        <v>10</v>
      </c>
      <c r="Z2361">
        <v>12</v>
      </c>
      <c r="AA2361">
        <v>0.45455000000000001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2</v>
      </c>
      <c r="AH2361">
        <v>0</v>
      </c>
      <c r="AI2361">
        <v>2</v>
      </c>
      <c r="AJ2361">
        <v>11</v>
      </c>
      <c r="AK2361">
        <v>0.15384999999999999</v>
      </c>
      <c r="AL2361">
        <v>14</v>
      </c>
      <c r="AM2361">
        <v>12</v>
      </c>
      <c r="AN2361">
        <v>37</v>
      </c>
      <c r="AO2361">
        <v>13</v>
      </c>
      <c r="AP2361">
        <v>22</v>
      </c>
      <c r="AQ2361">
        <v>9</v>
      </c>
      <c r="AR2361" t="s">
        <v>595</v>
      </c>
      <c r="AS2361" t="s">
        <v>596</v>
      </c>
      <c r="AT2361">
        <v>0.125</v>
      </c>
      <c r="AU2361" t="s">
        <v>65</v>
      </c>
      <c r="AV2361">
        <v>59</v>
      </c>
      <c r="AW2361">
        <v>22</v>
      </c>
      <c r="AX2361" t="s">
        <v>597</v>
      </c>
      <c r="AY2361">
        <v>2.776E-2</v>
      </c>
      <c r="AZ2361">
        <v>-8.7000000000000001E-4</v>
      </c>
      <c r="BA2361">
        <v>3.5400000000000002E-3</v>
      </c>
      <c r="BB2361">
        <v>-1.7000000000000001E-4</v>
      </c>
      <c r="BC2361">
        <v>0.12742000000000001</v>
      </c>
      <c r="BD2361">
        <v>1</v>
      </c>
      <c r="BE2361" t="s">
        <v>69</v>
      </c>
      <c r="BF2361">
        <v>-0.41399999999999998</v>
      </c>
      <c r="BG2361">
        <v>-0.871</v>
      </c>
    </row>
    <row r="2362" spans="1:59">
      <c r="A2362">
        <v>0</v>
      </c>
      <c r="B2362">
        <v>2</v>
      </c>
      <c r="C2362">
        <v>0</v>
      </c>
      <c r="D2362" t="s">
        <v>25022</v>
      </c>
      <c r="E2362">
        <v>1050</v>
      </c>
      <c r="F2362" t="s">
        <v>6585</v>
      </c>
      <c r="G2362" t="s">
        <v>57</v>
      </c>
      <c r="H2362">
        <v>1088197</v>
      </c>
      <c r="I2362">
        <v>1089606</v>
      </c>
      <c r="J2362" t="s">
        <v>6586</v>
      </c>
      <c r="K2362">
        <v>470</v>
      </c>
      <c r="L2362" t="s">
        <v>108</v>
      </c>
      <c r="M2362">
        <v>44</v>
      </c>
      <c r="N2362" t="str">
        <f>HYPERLINK("Gene1050-zp_tree_all.dnd", "Gene1050-tree")</f>
        <v>Gene1050-tree</v>
      </c>
      <c r="O2362">
        <v>5</v>
      </c>
      <c r="P2362">
        <v>10</v>
      </c>
      <c r="Q2362">
        <v>5</v>
      </c>
      <c r="R2362">
        <v>10</v>
      </c>
      <c r="S2362">
        <v>0.66666999999999998</v>
      </c>
      <c r="T2362" t="s">
        <v>199</v>
      </c>
      <c r="U2362" t="s">
        <v>117</v>
      </c>
      <c r="V2362" t="s">
        <v>62</v>
      </c>
      <c r="W2362" t="s">
        <v>62</v>
      </c>
      <c r="X2362">
        <v>1</v>
      </c>
      <c r="Y2362">
        <v>2</v>
      </c>
      <c r="Z2362">
        <v>15</v>
      </c>
      <c r="AA2362">
        <v>0.11765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14</v>
      </c>
      <c r="AK2362">
        <v>0</v>
      </c>
      <c r="AL2362">
        <v>13</v>
      </c>
      <c r="AM2362">
        <v>11</v>
      </c>
      <c r="AN2362">
        <v>46</v>
      </c>
      <c r="AO2362">
        <v>12</v>
      </c>
      <c r="AP2362">
        <v>43</v>
      </c>
      <c r="AQ2362">
        <v>5</v>
      </c>
      <c r="AR2362" t="s">
        <v>6587</v>
      </c>
      <c r="AS2362" t="s">
        <v>6588</v>
      </c>
      <c r="AT2362">
        <v>0.70399999999999996</v>
      </c>
      <c r="AU2362" t="s">
        <v>65</v>
      </c>
      <c r="AV2362">
        <v>89</v>
      </c>
      <c r="AW2362">
        <v>17</v>
      </c>
      <c r="AX2362" t="s">
        <v>6589</v>
      </c>
      <c r="AY2362">
        <v>5.076E-2</v>
      </c>
      <c r="AZ2362">
        <v>-2.96E-3</v>
      </c>
      <c r="BA2362">
        <v>3.0599999999999998E-3</v>
      </c>
      <c r="BB2362">
        <v>-1.3999999999999999E-4</v>
      </c>
      <c r="BC2362">
        <v>6.0380000000000003E-2</v>
      </c>
      <c r="BD2362">
        <v>1</v>
      </c>
      <c r="BE2362" t="s">
        <v>69</v>
      </c>
      <c r="BF2362">
        <v>-0.25800000000000001</v>
      </c>
      <c r="BG2362">
        <v>-0.70699999999999996</v>
      </c>
    </row>
    <row r="2363" spans="1:59">
      <c r="A2363">
        <v>0</v>
      </c>
      <c r="B2363">
        <v>5</v>
      </c>
      <c r="C2363">
        <v>4</v>
      </c>
      <c r="D2363" t="s">
        <v>25022</v>
      </c>
      <c r="E2363">
        <v>3912</v>
      </c>
      <c r="F2363" t="s">
        <v>22945</v>
      </c>
      <c r="G2363" t="s">
        <v>62</v>
      </c>
      <c r="H2363">
        <v>3875783</v>
      </c>
      <c r="I2363">
        <v>3877192</v>
      </c>
      <c r="J2363" t="s">
        <v>22946</v>
      </c>
      <c r="K2363">
        <v>470</v>
      </c>
      <c r="L2363" t="s">
        <v>108</v>
      </c>
      <c r="M2363">
        <v>44</v>
      </c>
      <c r="N2363" t="str">
        <f>HYPERLINK("Gene3912-zp_tree_all.dnd", "Gene3912-tree")</f>
        <v>Gene3912-tree</v>
      </c>
      <c r="O2363">
        <v>2</v>
      </c>
      <c r="P2363">
        <v>29</v>
      </c>
      <c r="Q2363">
        <v>2</v>
      </c>
      <c r="R2363">
        <v>11</v>
      </c>
      <c r="S2363">
        <v>0.84614999999999996</v>
      </c>
      <c r="T2363" t="s">
        <v>81</v>
      </c>
      <c r="U2363" t="s">
        <v>2086</v>
      </c>
      <c r="V2363">
        <v>0.53700000000000003</v>
      </c>
      <c r="W2363" t="s">
        <v>65</v>
      </c>
      <c r="X2363">
        <v>4</v>
      </c>
      <c r="Y2363">
        <v>9</v>
      </c>
      <c r="Z2363">
        <v>10</v>
      </c>
      <c r="AA2363">
        <v>0.47367999999999999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5</v>
      </c>
      <c r="AH2363">
        <v>4</v>
      </c>
      <c r="AI2363">
        <v>9</v>
      </c>
      <c r="AJ2363">
        <v>10</v>
      </c>
      <c r="AK2363">
        <v>0.47367999999999999</v>
      </c>
      <c r="AL2363">
        <v>12</v>
      </c>
      <c r="AM2363">
        <v>8</v>
      </c>
      <c r="AN2363">
        <v>53</v>
      </c>
      <c r="AO2363">
        <v>19</v>
      </c>
      <c r="AP2363">
        <v>29</v>
      </c>
      <c r="AQ2363">
        <v>0</v>
      </c>
      <c r="AR2363" t="s">
        <v>22947</v>
      </c>
      <c r="AS2363" t="s">
        <v>193</v>
      </c>
      <c r="AT2363">
        <v>2.93</v>
      </c>
      <c r="AU2363" t="s">
        <v>267</v>
      </c>
      <c r="AV2363">
        <v>82</v>
      </c>
      <c r="AW2363">
        <v>19</v>
      </c>
      <c r="AX2363" t="s">
        <v>22948</v>
      </c>
      <c r="AY2363">
        <v>4.5809999999999997E-2</v>
      </c>
      <c r="AZ2363">
        <v>-1.7899999999999999E-3</v>
      </c>
      <c r="BA2363">
        <v>2.6199999999999999E-3</v>
      </c>
      <c r="BB2363">
        <v>-1.7000000000000001E-4</v>
      </c>
      <c r="BC2363">
        <v>5.7110000000000001E-2</v>
      </c>
      <c r="BD2363">
        <v>1</v>
      </c>
      <c r="BE2363" t="s">
        <v>69</v>
      </c>
      <c r="BF2363">
        <v>-0.43</v>
      </c>
      <c r="BG2363">
        <v>-1.359</v>
      </c>
    </row>
    <row r="2364" spans="1:59">
      <c r="A2364">
        <v>0</v>
      </c>
      <c r="B2364">
        <v>2</v>
      </c>
      <c r="C2364">
        <v>0</v>
      </c>
      <c r="D2364" t="s">
        <v>25022</v>
      </c>
      <c r="E2364">
        <v>814</v>
      </c>
      <c r="F2364" t="s">
        <v>5065</v>
      </c>
      <c r="G2364" t="s">
        <v>57</v>
      </c>
      <c r="H2364">
        <v>850367</v>
      </c>
      <c r="I2364">
        <v>851776</v>
      </c>
      <c r="J2364" t="s">
        <v>5066</v>
      </c>
      <c r="K2364">
        <v>470</v>
      </c>
      <c r="L2364" t="s">
        <v>108</v>
      </c>
      <c r="M2364">
        <v>44</v>
      </c>
      <c r="N2364" t="str">
        <f>HYPERLINK("Gene814-zp_tree_all.dnd", "Gene814-tree")</f>
        <v>Gene814-tree</v>
      </c>
      <c r="O2364">
        <v>11</v>
      </c>
      <c r="P2364">
        <v>5</v>
      </c>
      <c r="Q2364">
        <v>11</v>
      </c>
      <c r="R2364">
        <v>5</v>
      </c>
      <c r="S2364">
        <v>0.3125</v>
      </c>
      <c r="T2364" t="s">
        <v>73</v>
      </c>
      <c r="U2364" t="s">
        <v>199</v>
      </c>
      <c r="V2364" t="s">
        <v>62</v>
      </c>
      <c r="W2364" t="s">
        <v>62</v>
      </c>
      <c r="X2364">
        <v>1</v>
      </c>
      <c r="Y2364">
        <v>2</v>
      </c>
      <c r="Z2364">
        <v>7</v>
      </c>
      <c r="AA2364">
        <v>0.22222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7</v>
      </c>
      <c r="AK2364">
        <v>0</v>
      </c>
      <c r="AL2364">
        <v>14</v>
      </c>
      <c r="AM2364">
        <v>9</v>
      </c>
      <c r="AN2364">
        <v>50</v>
      </c>
      <c r="AO2364">
        <v>7</v>
      </c>
      <c r="AP2364">
        <v>17</v>
      </c>
      <c r="AQ2364">
        <v>2</v>
      </c>
      <c r="AR2364" t="s">
        <v>5067</v>
      </c>
      <c r="AS2364" t="s">
        <v>5068</v>
      </c>
      <c r="AT2364">
        <v>0.113</v>
      </c>
      <c r="AU2364" t="s">
        <v>65</v>
      </c>
      <c r="AV2364">
        <v>67</v>
      </c>
      <c r="AW2364">
        <v>9</v>
      </c>
      <c r="AX2364" t="s">
        <v>5069</v>
      </c>
      <c r="AY2364">
        <v>3.014E-2</v>
      </c>
      <c r="AZ2364">
        <v>-1.5399999999999999E-3</v>
      </c>
      <c r="BA2364">
        <v>1.24E-3</v>
      </c>
      <c r="BB2364">
        <v>-9.0000000000000006E-5</v>
      </c>
      <c r="BC2364">
        <v>4.1099999999999998E-2</v>
      </c>
      <c r="BD2364">
        <v>1</v>
      </c>
      <c r="BE2364" t="s">
        <v>69</v>
      </c>
      <c r="BF2364">
        <v>-1.7150000000000001</v>
      </c>
      <c r="BG2364">
        <v>-2.5049999999999999</v>
      </c>
    </row>
    <row r="2365" spans="1:59">
      <c r="A2365">
        <v>0</v>
      </c>
      <c r="B2365">
        <v>0</v>
      </c>
      <c r="C2365">
        <v>0</v>
      </c>
      <c r="D2365" t="s">
        <v>25022</v>
      </c>
      <c r="E2365">
        <v>1520</v>
      </c>
      <c r="F2365" t="s">
        <v>9498</v>
      </c>
      <c r="G2365" t="s">
        <v>57</v>
      </c>
      <c r="H2365">
        <v>1531870</v>
      </c>
      <c r="I2365">
        <v>1533279</v>
      </c>
      <c r="J2365" t="s">
        <v>9499</v>
      </c>
      <c r="K2365">
        <v>470</v>
      </c>
      <c r="L2365" t="s">
        <v>59</v>
      </c>
      <c r="M2365">
        <v>49</v>
      </c>
      <c r="N2365" t="str">
        <f>HYPERLINK("Gene1520-zp_tree_all.dnd", "Gene1520-tree")</f>
        <v>Gene1520-tree</v>
      </c>
      <c r="O2365">
        <v>16</v>
      </c>
      <c r="P2365">
        <v>3</v>
      </c>
      <c r="Q2365">
        <v>16</v>
      </c>
      <c r="R2365">
        <v>3</v>
      </c>
      <c r="S2365">
        <v>0.15789</v>
      </c>
      <c r="T2365" t="s">
        <v>60</v>
      </c>
      <c r="U2365" t="s">
        <v>324</v>
      </c>
      <c r="V2365" t="s">
        <v>62</v>
      </c>
      <c r="W2365" t="s">
        <v>62</v>
      </c>
      <c r="X2365">
        <v>0</v>
      </c>
      <c r="Y2365">
        <v>0</v>
      </c>
      <c r="Z2365">
        <v>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3</v>
      </c>
      <c r="AK2365">
        <v>0</v>
      </c>
      <c r="AL2365">
        <v>16</v>
      </c>
      <c r="AM2365">
        <v>13</v>
      </c>
      <c r="AN2365">
        <v>40</v>
      </c>
      <c r="AO2365">
        <v>3</v>
      </c>
      <c r="AP2365">
        <v>61</v>
      </c>
      <c r="AQ2365">
        <v>4</v>
      </c>
      <c r="AR2365" t="s">
        <v>9500</v>
      </c>
      <c r="AS2365" t="s">
        <v>9501</v>
      </c>
      <c r="AT2365">
        <v>5.6000000000000001E-2</v>
      </c>
      <c r="AU2365" t="s">
        <v>65</v>
      </c>
      <c r="AV2365">
        <v>101</v>
      </c>
      <c r="AW2365">
        <v>7</v>
      </c>
      <c r="AX2365" t="s">
        <v>9502</v>
      </c>
      <c r="AY2365">
        <v>6.7070000000000005E-2</v>
      </c>
      <c r="AZ2365">
        <v>-3.8600000000000001E-3</v>
      </c>
      <c r="BA2365">
        <v>1.64E-3</v>
      </c>
      <c r="BB2365">
        <v>-1.2E-4</v>
      </c>
      <c r="BC2365">
        <v>2.443E-2</v>
      </c>
      <c r="BD2365">
        <v>1</v>
      </c>
      <c r="BE2365" t="s">
        <v>69</v>
      </c>
      <c r="BF2365">
        <v>-1.2629999999999999</v>
      </c>
      <c r="BG2365">
        <v>-0.218</v>
      </c>
    </row>
    <row r="2366" spans="1:59">
      <c r="A2366">
        <v>0</v>
      </c>
      <c r="B2366">
        <v>15</v>
      </c>
      <c r="C2366">
        <v>2</v>
      </c>
      <c r="D2366" t="s">
        <v>25022</v>
      </c>
      <c r="E2366">
        <v>1827</v>
      </c>
      <c r="F2366" t="s">
        <v>11451</v>
      </c>
      <c r="G2366" t="s">
        <v>57</v>
      </c>
      <c r="H2366">
        <v>1896424</v>
      </c>
      <c r="I2366">
        <v>1897836</v>
      </c>
      <c r="J2366" t="s">
        <v>11452</v>
      </c>
      <c r="K2366">
        <v>471</v>
      </c>
      <c r="L2366" t="s">
        <v>108</v>
      </c>
      <c r="M2366">
        <v>44</v>
      </c>
      <c r="N2366" t="str">
        <f>HYPERLINK("Gene1827-zp_tree_all.dnd", "Gene1827-tree")</f>
        <v>Gene1827-tree</v>
      </c>
      <c r="O2366">
        <v>4</v>
      </c>
      <c r="P2366">
        <v>10</v>
      </c>
      <c r="Q2366">
        <v>4</v>
      </c>
      <c r="R2366">
        <v>10</v>
      </c>
      <c r="S2366">
        <v>0.71428999999999998</v>
      </c>
      <c r="T2366" t="s">
        <v>61</v>
      </c>
      <c r="U2366" t="s">
        <v>117</v>
      </c>
      <c r="V2366" t="s">
        <v>62</v>
      </c>
      <c r="W2366" t="s">
        <v>62</v>
      </c>
      <c r="X2366">
        <v>6</v>
      </c>
      <c r="Y2366">
        <v>17</v>
      </c>
      <c r="Z2366">
        <v>17</v>
      </c>
      <c r="AA2366">
        <v>0.5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10</v>
      </c>
      <c r="AH2366">
        <v>2</v>
      </c>
      <c r="AI2366">
        <v>12</v>
      </c>
      <c r="AJ2366">
        <v>14</v>
      </c>
      <c r="AK2366">
        <v>0.46154000000000001</v>
      </c>
      <c r="AL2366">
        <v>13</v>
      </c>
      <c r="AM2366">
        <v>9</v>
      </c>
      <c r="AN2366">
        <v>54</v>
      </c>
      <c r="AO2366">
        <v>26</v>
      </c>
      <c r="AP2366">
        <v>14</v>
      </c>
      <c r="AQ2366">
        <v>9</v>
      </c>
      <c r="AR2366" t="s">
        <v>11453</v>
      </c>
      <c r="AS2366" t="s">
        <v>11454</v>
      </c>
      <c r="AT2366">
        <v>0.38600000000000001</v>
      </c>
      <c r="AU2366" t="s">
        <v>65</v>
      </c>
      <c r="AV2366">
        <v>68</v>
      </c>
      <c r="AW2366">
        <v>35</v>
      </c>
      <c r="AX2366" t="s">
        <v>11455</v>
      </c>
      <c r="AY2366">
        <v>3.3399999999999999E-2</v>
      </c>
      <c r="AZ2366">
        <v>-1.8600000000000001E-3</v>
      </c>
      <c r="BA2366">
        <v>5.0899999999999999E-3</v>
      </c>
      <c r="BB2366">
        <v>-3.1E-4</v>
      </c>
      <c r="BC2366">
        <v>0.15251000000000001</v>
      </c>
      <c r="BD2366">
        <v>1</v>
      </c>
      <c r="BE2366" t="s">
        <v>69</v>
      </c>
      <c r="BF2366">
        <v>-1.1739999999999999</v>
      </c>
      <c r="BG2366">
        <v>-2.3849999999999998</v>
      </c>
    </row>
    <row r="2367" spans="1:59">
      <c r="A2367">
        <v>0</v>
      </c>
      <c r="B2367">
        <v>0</v>
      </c>
      <c r="C2367">
        <v>0</v>
      </c>
      <c r="D2367" t="s">
        <v>25022</v>
      </c>
      <c r="E2367">
        <v>3199</v>
      </c>
      <c r="F2367" t="s">
        <v>18624</v>
      </c>
      <c r="G2367" t="s">
        <v>62</v>
      </c>
      <c r="H2367">
        <v>3152305</v>
      </c>
      <c r="I2367">
        <v>3153717</v>
      </c>
      <c r="J2367" t="s">
        <v>18625</v>
      </c>
      <c r="K2367">
        <v>471</v>
      </c>
      <c r="L2367" t="s">
        <v>108</v>
      </c>
      <c r="M2367">
        <v>44</v>
      </c>
      <c r="N2367" t="str">
        <f>HYPERLINK("Gene3199-zp_tree_all.dnd", "Gene3199-tree")</f>
        <v>Gene3199-tree</v>
      </c>
      <c r="O2367">
        <v>9</v>
      </c>
      <c r="P2367">
        <v>5</v>
      </c>
      <c r="Q2367">
        <v>9</v>
      </c>
      <c r="R2367">
        <v>5</v>
      </c>
      <c r="S2367">
        <v>0.35714000000000001</v>
      </c>
      <c r="T2367" t="s">
        <v>135</v>
      </c>
      <c r="U2367" t="s">
        <v>199</v>
      </c>
      <c r="V2367" t="s">
        <v>62</v>
      </c>
      <c r="W2367" t="s">
        <v>62</v>
      </c>
      <c r="X2367">
        <v>0</v>
      </c>
      <c r="Y2367">
        <v>0</v>
      </c>
      <c r="Z2367">
        <v>10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8</v>
      </c>
      <c r="AK2367">
        <v>0</v>
      </c>
      <c r="AL2367">
        <v>12</v>
      </c>
      <c r="AM2367">
        <v>10</v>
      </c>
      <c r="AN2367">
        <v>30</v>
      </c>
      <c r="AO2367">
        <v>8</v>
      </c>
      <c r="AP2367">
        <v>20</v>
      </c>
      <c r="AQ2367">
        <v>2</v>
      </c>
      <c r="AR2367" t="s">
        <v>18626</v>
      </c>
      <c r="AS2367" t="s">
        <v>18627</v>
      </c>
      <c r="AT2367">
        <v>0.7</v>
      </c>
      <c r="AU2367" t="s">
        <v>65</v>
      </c>
      <c r="AV2367">
        <v>50</v>
      </c>
      <c r="AW2367">
        <v>10</v>
      </c>
      <c r="AX2367" t="s">
        <v>18628</v>
      </c>
      <c r="AY2367">
        <v>3.2259999999999997E-2</v>
      </c>
      <c r="AZ2367">
        <v>-1.1999999999999999E-3</v>
      </c>
      <c r="BA2367">
        <v>1.82E-3</v>
      </c>
      <c r="BB2367">
        <v>-1.2999999999999999E-4</v>
      </c>
      <c r="BC2367">
        <v>5.6500000000000002E-2</v>
      </c>
      <c r="BD2367">
        <v>1</v>
      </c>
      <c r="BE2367" t="s">
        <v>69</v>
      </c>
      <c r="BF2367">
        <v>-0.72899999999999998</v>
      </c>
      <c r="BG2367">
        <v>-2.0649999999999999</v>
      </c>
    </row>
    <row r="2368" spans="1:59">
      <c r="A2368">
        <v>0</v>
      </c>
      <c r="B2368">
        <v>5</v>
      </c>
      <c r="C2368">
        <v>0</v>
      </c>
      <c r="D2368" t="s">
        <v>25022</v>
      </c>
      <c r="E2368">
        <v>809</v>
      </c>
      <c r="F2368" t="s">
        <v>5032</v>
      </c>
      <c r="G2368" t="s">
        <v>57</v>
      </c>
      <c r="H2368">
        <v>844770</v>
      </c>
      <c r="I2368">
        <v>846182</v>
      </c>
      <c r="J2368" t="s">
        <v>5033</v>
      </c>
      <c r="K2368">
        <v>471</v>
      </c>
      <c r="L2368" t="s">
        <v>5034</v>
      </c>
      <c r="M2368">
        <v>41</v>
      </c>
      <c r="N2368" t="str">
        <f>HYPERLINK("Gene809-zp_tree_all.dnd", "Gene809-tree")</f>
        <v>Gene809-tree</v>
      </c>
      <c r="O2368">
        <v>7</v>
      </c>
      <c r="P2368">
        <v>7</v>
      </c>
      <c r="Q2368">
        <v>7</v>
      </c>
      <c r="R2368">
        <v>7</v>
      </c>
      <c r="S2368">
        <v>0.5</v>
      </c>
      <c r="T2368" t="s">
        <v>152</v>
      </c>
      <c r="U2368" t="s">
        <v>152</v>
      </c>
      <c r="V2368" t="s">
        <v>62</v>
      </c>
      <c r="W2368" t="s">
        <v>62</v>
      </c>
      <c r="X2368">
        <v>2</v>
      </c>
      <c r="Y2368">
        <v>5</v>
      </c>
      <c r="Z2368">
        <v>12</v>
      </c>
      <c r="AA2368">
        <v>0.29411999999999999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4</v>
      </c>
      <c r="AH2368">
        <v>1</v>
      </c>
      <c r="AI2368">
        <v>5</v>
      </c>
      <c r="AJ2368">
        <v>12</v>
      </c>
      <c r="AK2368">
        <v>0.29411999999999999</v>
      </c>
      <c r="AL2368">
        <v>12</v>
      </c>
      <c r="AM2368">
        <v>10</v>
      </c>
      <c r="AN2368">
        <v>72</v>
      </c>
      <c r="AO2368">
        <v>17</v>
      </c>
      <c r="AP2368">
        <v>33</v>
      </c>
      <c r="AQ2368">
        <v>0</v>
      </c>
      <c r="AR2368" t="s">
        <v>5035</v>
      </c>
      <c r="AS2368" t="s">
        <v>193</v>
      </c>
      <c r="AT2368">
        <v>1.1970000000000001</v>
      </c>
      <c r="AU2368" t="s">
        <v>65</v>
      </c>
      <c r="AV2368">
        <v>105</v>
      </c>
      <c r="AW2368">
        <v>17</v>
      </c>
      <c r="AX2368" t="s">
        <v>5036</v>
      </c>
      <c r="AY2368">
        <v>5.4309999999999997E-2</v>
      </c>
      <c r="AZ2368">
        <v>-2.5200000000000001E-3</v>
      </c>
      <c r="BA2368">
        <v>2.2300000000000002E-3</v>
      </c>
      <c r="BB2368">
        <v>-2.5000000000000001E-4</v>
      </c>
      <c r="BC2368">
        <v>4.113E-2</v>
      </c>
      <c r="BD2368">
        <v>1</v>
      </c>
      <c r="BE2368" t="s">
        <v>69</v>
      </c>
      <c r="BF2368">
        <v>1.228</v>
      </c>
      <c r="BG2368">
        <v>0.23300000000000001</v>
      </c>
    </row>
    <row r="2369" spans="1:59">
      <c r="A2369">
        <v>0</v>
      </c>
      <c r="B2369">
        <v>4</v>
      </c>
      <c r="C2369">
        <v>2</v>
      </c>
      <c r="D2369" t="s">
        <v>25022</v>
      </c>
      <c r="E2369">
        <v>2053</v>
      </c>
      <c r="F2369" t="s">
        <v>12782</v>
      </c>
      <c r="G2369" t="s">
        <v>62</v>
      </c>
      <c r="H2369">
        <v>2139457</v>
      </c>
      <c r="I2369">
        <v>2140869</v>
      </c>
      <c r="J2369" t="s">
        <v>12783</v>
      </c>
      <c r="K2369">
        <v>471</v>
      </c>
      <c r="L2369" t="s">
        <v>12784</v>
      </c>
      <c r="M2369">
        <v>42</v>
      </c>
      <c r="N2369" t="str">
        <f>HYPERLINK("Gene2053-zp_tree_all.dnd", "Gene2053-tree")</f>
        <v>Gene2053-tree</v>
      </c>
      <c r="O2369">
        <v>7</v>
      </c>
      <c r="P2369">
        <v>7</v>
      </c>
      <c r="Q2369">
        <v>7</v>
      </c>
      <c r="R2369">
        <v>7</v>
      </c>
      <c r="S2369">
        <v>0.5</v>
      </c>
      <c r="T2369" t="s">
        <v>152</v>
      </c>
      <c r="U2369" t="s">
        <v>152</v>
      </c>
      <c r="V2369" t="s">
        <v>62</v>
      </c>
      <c r="W2369" t="s">
        <v>62</v>
      </c>
      <c r="X2369">
        <v>3</v>
      </c>
      <c r="Y2369">
        <v>6</v>
      </c>
      <c r="Z2369">
        <v>5</v>
      </c>
      <c r="AA2369">
        <v>0.54544999999999999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4</v>
      </c>
      <c r="AH2369">
        <v>2</v>
      </c>
      <c r="AI2369">
        <v>6</v>
      </c>
      <c r="AJ2369">
        <v>5</v>
      </c>
      <c r="AK2369">
        <v>0.54544999999999999</v>
      </c>
      <c r="AL2369">
        <v>12</v>
      </c>
      <c r="AM2369">
        <v>9</v>
      </c>
      <c r="AN2369">
        <v>46</v>
      </c>
      <c r="AO2369">
        <v>11</v>
      </c>
      <c r="AP2369">
        <v>23</v>
      </c>
      <c r="AQ2369">
        <v>0</v>
      </c>
      <c r="AR2369" t="s">
        <v>12785</v>
      </c>
      <c r="AS2369" t="s">
        <v>193</v>
      </c>
      <c r="AT2369">
        <v>1.7949999999999999</v>
      </c>
      <c r="AU2369" t="s">
        <v>65</v>
      </c>
      <c r="AV2369">
        <v>69</v>
      </c>
      <c r="AW2369">
        <v>11</v>
      </c>
      <c r="AX2369" t="s">
        <v>12786</v>
      </c>
      <c r="AY2369">
        <v>3.9780000000000003E-2</v>
      </c>
      <c r="AZ2369">
        <v>-1.5200000000000001E-3</v>
      </c>
      <c r="BA2369">
        <v>1.39E-3</v>
      </c>
      <c r="BB2369">
        <v>-1.2999999999999999E-4</v>
      </c>
      <c r="BC2369">
        <v>3.4950000000000002E-2</v>
      </c>
      <c r="BD2369">
        <v>1</v>
      </c>
      <c r="BE2369" t="s">
        <v>69</v>
      </c>
      <c r="BF2369">
        <v>-0.75</v>
      </c>
      <c r="BG2369">
        <v>-1.2869999999999999</v>
      </c>
    </row>
    <row r="2370" spans="1:59">
      <c r="A2370">
        <v>0</v>
      </c>
      <c r="B2370">
        <v>16</v>
      </c>
      <c r="C2370">
        <v>6</v>
      </c>
      <c r="D2370" t="s">
        <v>25022</v>
      </c>
      <c r="E2370">
        <v>67</v>
      </c>
      <c r="F2370" t="s">
        <v>541</v>
      </c>
      <c r="G2370" t="s">
        <v>57</v>
      </c>
      <c r="H2370">
        <v>74929</v>
      </c>
      <c r="I2370">
        <v>76344</v>
      </c>
      <c r="J2370" t="s">
        <v>542</v>
      </c>
      <c r="K2370">
        <v>472</v>
      </c>
      <c r="L2370" t="s">
        <v>59</v>
      </c>
      <c r="M2370">
        <v>49</v>
      </c>
      <c r="N2370" t="str">
        <f>HYPERLINK("Gene67-zp_tree_all.dnd", "Gene67-tree")</f>
        <v>Gene67-tree</v>
      </c>
      <c r="O2370">
        <v>6</v>
      </c>
      <c r="P2370">
        <v>14</v>
      </c>
      <c r="Q2370">
        <v>6</v>
      </c>
      <c r="R2370">
        <v>14</v>
      </c>
      <c r="S2370">
        <v>0.7</v>
      </c>
      <c r="T2370" t="s">
        <v>90</v>
      </c>
      <c r="U2370" t="s">
        <v>543</v>
      </c>
      <c r="V2370">
        <v>191313048.917</v>
      </c>
      <c r="W2370" t="s">
        <v>267</v>
      </c>
      <c r="X2370">
        <v>9</v>
      </c>
      <c r="Y2370">
        <v>22</v>
      </c>
      <c r="Z2370">
        <v>31</v>
      </c>
      <c r="AA2370">
        <v>0.41509000000000001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</v>
      </c>
      <c r="AH2370">
        <v>0</v>
      </c>
      <c r="AI2370">
        <v>2</v>
      </c>
      <c r="AJ2370">
        <v>25</v>
      </c>
      <c r="AK2370">
        <v>7.4069999999999997E-2</v>
      </c>
      <c r="AL2370">
        <v>18</v>
      </c>
      <c r="AM2370">
        <v>15</v>
      </c>
      <c r="AN2370">
        <v>44</v>
      </c>
      <c r="AO2370">
        <v>26</v>
      </c>
      <c r="AP2370">
        <v>79</v>
      </c>
      <c r="AQ2370">
        <v>27</v>
      </c>
      <c r="AR2370" t="s">
        <v>544</v>
      </c>
      <c r="AS2370" t="s">
        <v>545</v>
      </c>
      <c r="AT2370">
        <v>0.55400000000000005</v>
      </c>
      <c r="AU2370" t="s">
        <v>65</v>
      </c>
      <c r="AV2370">
        <v>123</v>
      </c>
      <c r="AW2370">
        <v>53</v>
      </c>
      <c r="AX2370" t="s">
        <v>546</v>
      </c>
      <c r="AY2370">
        <v>8.3390000000000006E-2</v>
      </c>
      <c r="AZ2370">
        <v>-4.62E-3</v>
      </c>
      <c r="BA2370">
        <v>8.1899999999999994E-3</v>
      </c>
      <c r="BB2370">
        <v>-4.4000000000000002E-4</v>
      </c>
      <c r="BC2370">
        <v>9.8229999999999998E-2</v>
      </c>
      <c r="BD2370">
        <v>1</v>
      </c>
      <c r="BE2370" t="s">
        <v>69</v>
      </c>
      <c r="BF2370">
        <v>-1.3049999999999999</v>
      </c>
      <c r="BG2370">
        <v>-5.8999999999999997E-2</v>
      </c>
    </row>
    <row r="2371" spans="1:59">
      <c r="A2371">
        <v>0</v>
      </c>
      <c r="B2371">
        <v>3</v>
      </c>
      <c r="C2371">
        <v>2</v>
      </c>
      <c r="D2371" t="s">
        <v>25022</v>
      </c>
      <c r="E2371">
        <v>2515</v>
      </c>
      <c r="F2371" t="s">
        <v>14674</v>
      </c>
      <c r="G2371" t="s">
        <v>62</v>
      </c>
      <c r="H2371">
        <v>2508224</v>
      </c>
      <c r="I2371">
        <v>2509639</v>
      </c>
      <c r="J2371" t="s">
        <v>14675</v>
      </c>
      <c r="K2371">
        <v>472</v>
      </c>
      <c r="L2371" t="s">
        <v>108</v>
      </c>
      <c r="M2371">
        <v>44</v>
      </c>
      <c r="N2371" t="str">
        <f>HYPERLINK("Gene2515-zp_tree_all.dnd", "Gene2515-tree")</f>
        <v>Gene2515-tree</v>
      </c>
      <c r="O2371">
        <v>5</v>
      </c>
      <c r="P2371">
        <v>11</v>
      </c>
      <c r="Q2371">
        <v>5</v>
      </c>
      <c r="R2371">
        <v>11</v>
      </c>
      <c r="S2371">
        <v>0.6875</v>
      </c>
      <c r="T2371" t="s">
        <v>199</v>
      </c>
      <c r="U2371" t="s">
        <v>73</v>
      </c>
      <c r="V2371">
        <v>137353515.63499999</v>
      </c>
      <c r="W2371" t="s">
        <v>267</v>
      </c>
      <c r="X2371">
        <v>2</v>
      </c>
      <c r="Y2371">
        <v>5</v>
      </c>
      <c r="Z2371">
        <v>15</v>
      </c>
      <c r="AA2371">
        <v>0.25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</v>
      </c>
      <c r="AH2371">
        <v>2</v>
      </c>
      <c r="AI2371">
        <v>5</v>
      </c>
      <c r="AJ2371">
        <v>10</v>
      </c>
      <c r="AK2371">
        <v>0.33333000000000002</v>
      </c>
      <c r="AL2371">
        <v>14</v>
      </c>
      <c r="AM2371">
        <v>13</v>
      </c>
      <c r="AN2371">
        <v>49</v>
      </c>
      <c r="AO2371">
        <v>14</v>
      </c>
      <c r="AP2371">
        <v>40</v>
      </c>
      <c r="AQ2371">
        <v>6</v>
      </c>
      <c r="AR2371" t="s">
        <v>14676</v>
      </c>
      <c r="AS2371" t="s">
        <v>14677</v>
      </c>
      <c r="AT2371">
        <v>0.91300000000000003</v>
      </c>
      <c r="AU2371" t="s">
        <v>65</v>
      </c>
      <c r="AV2371">
        <v>89</v>
      </c>
      <c r="AW2371">
        <v>20</v>
      </c>
      <c r="AX2371" t="s">
        <v>14678</v>
      </c>
      <c r="AY2371">
        <v>4.512E-2</v>
      </c>
      <c r="AZ2371">
        <v>-1.3600000000000001E-3</v>
      </c>
      <c r="BA2371">
        <v>3.0000000000000001E-3</v>
      </c>
      <c r="BB2371">
        <v>-1.2E-4</v>
      </c>
      <c r="BC2371">
        <v>6.6449999999999995E-2</v>
      </c>
      <c r="BD2371">
        <v>1</v>
      </c>
      <c r="BE2371" t="s">
        <v>69</v>
      </c>
      <c r="BF2371">
        <v>-0.75800000000000001</v>
      </c>
      <c r="BG2371">
        <v>-1.5960000000000001</v>
      </c>
    </row>
    <row r="2372" spans="1:59">
      <c r="A2372">
        <v>0</v>
      </c>
      <c r="B2372">
        <v>0</v>
      </c>
      <c r="C2372">
        <v>0</v>
      </c>
      <c r="D2372" t="s">
        <v>25022</v>
      </c>
      <c r="E2372">
        <v>3015</v>
      </c>
      <c r="F2372" t="s">
        <v>17422</v>
      </c>
      <c r="G2372" t="s">
        <v>62</v>
      </c>
      <c r="H2372">
        <v>2964151</v>
      </c>
      <c r="I2372">
        <v>2965566</v>
      </c>
      <c r="J2372" t="s">
        <v>17423</v>
      </c>
      <c r="K2372">
        <v>472</v>
      </c>
      <c r="L2372" t="s">
        <v>108</v>
      </c>
      <c r="M2372">
        <v>44</v>
      </c>
      <c r="N2372" t="str">
        <f>HYPERLINK("Gene3015-zp_tree_all.dnd", "Gene3015-tree")</f>
        <v>Gene3015-tree</v>
      </c>
      <c r="O2372">
        <v>6</v>
      </c>
      <c r="P2372">
        <v>8</v>
      </c>
      <c r="Q2372">
        <v>6</v>
      </c>
      <c r="R2372">
        <v>8</v>
      </c>
      <c r="S2372">
        <v>0.57142999999999999</v>
      </c>
      <c r="T2372" t="s">
        <v>90</v>
      </c>
      <c r="U2372" t="s">
        <v>136</v>
      </c>
      <c r="V2372" t="s">
        <v>62</v>
      </c>
      <c r="W2372" t="s">
        <v>62</v>
      </c>
      <c r="X2372">
        <v>0</v>
      </c>
      <c r="Y2372">
        <v>0</v>
      </c>
      <c r="Z2372">
        <v>11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8</v>
      </c>
      <c r="AK2372">
        <v>0</v>
      </c>
      <c r="AL2372">
        <v>12</v>
      </c>
      <c r="AM2372">
        <v>10</v>
      </c>
      <c r="AN2372">
        <v>36</v>
      </c>
      <c r="AO2372">
        <v>7</v>
      </c>
      <c r="AP2372">
        <v>35</v>
      </c>
      <c r="AQ2372">
        <v>4</v>
      </c>
      <c r="AR2372" t="s">
        <v>17424</v>
      </c>
      <c r="AS2372" t="s">
        <v>17425</v>
      </c>
      <c r="AT2372">
        <v>0.63300000000000001</v>
      </c>
      <c r="AU2372" t="s">
        <v>65</v>
      </c>
      <c r="AV2372">
        <v>71</v>
      </c>
      <c r="AW2372">
        <v>11</v>
      </c>
      <c r="AX2372" t="s">
        <v>17426</v>
      </c>
      <c r="AY2372">
        <v>3.8490000000000003E-2</v>
      </c>
      <c r="AZ2372">
        <v>-1.8E-3</v>
      </c>
      <c r="BA2372">
        <v>1.97E-3</v>
      </c>
      <c r="BB2372">
        <v>-1.2999999999999999E-4</v>
      </c>
      <c r="BC2372">
        <v>5.1310000000000001E-2</v>
      </c>
      <c r="BD2372">
        <v>1</v>
      </c>
      <c r="BE2372" t="s">
        <v>69</v>
      </c>
      <c r="BF2372">
        <v>-1.012</v>
      </c>
      <c r="BG2372">
        <v>-1.2070000000000001</v>
      </c>
    </row>
    <row r="2373" spans="1:59">
      <c r="A2373">
        <v>0</v>
      </c>
      <c r="B2373">
        <v>2</v>
      </c>
      <c r="C2373">
        <v>0</v>
      </c>
      <c r="D2373" t="s">
        <v>25022</v>
      </c>
      <c r="E2373">
        <v>4038</v>
      </c>
      <c r="F2373" t="s">
        <v>23775</v>
      </c>
      <c r="G2373" t="s">
        <v>62</v>
      </c>
      <c r="H2373">
        <v>4002719</v>
      </c>
      <c r="I2373">
        <v>4004134</v>
      </c>
      <c r="J2373" t="s">
        <v>23776</v>
      </c>
      <c r="K2373">
        <v>472</v>
      </c>
      <c r="L2373" t="s">
        <v>108</v>
      </c>
      <c r="M2373">
        <v>44</v>
      </c>
      <c r="N2373" t="str">
        <f>HYPERLINK("Gene4038-zp_tree_all.dnd", "Gene4038-tree")</f>
        <v>Gene4038-tree</v>
      </c>
      <c r="O2373">
        <v>10</v>
      </c>
      <c r="P2373">
        <v>7</v>
      </c>
      <c r="Q2373">
        <v>10</v>
      </c>
      <c r="R2373">
        <v>7</v>
      </c>
      <c r="S2373">
        <v>0.41176000000000001</v>
      </c>
      <c r="T2373" t="s">
        <v>117</v>
      </c>
      <c r="U2373" t="s">
        <v>152</v>
      </c>
      <c r="V2373" t="s">
        <v>62</v>
      </c>
      <c r="W2373" t="s">
        <v>62</v>
      </c>
      <c r="X2373">
        <v>1</v>
      </c>
      <c r="Y2373">
        <v>2</v>
      </c>
      <c r="Z2373">
        <v>13</v>
      </c>
      <c r="AA2373">
        <v>0.13333</v>
      </c>
      <c r="AB2373">
        <v>0</v>
      </c>
      <c r="AC2373">
        <v>0</v>
      </c>
      <c r="AD2373">
        <v>0</v>
      </c>
      <c r="AE2373">
        <v>3</v>
      </c>
      <c r="AF2373">
        <v>0</v>
      </c>
      <c r="AG2373">
        <v>0</v>
      </c>
      <c r="AH2373">
        <v>0</v>
      </c>
      <c r="AI2373">
        <v>0</v>
      </c>
      <c r="AJ2373">
        <v>10</v>
      </c>
      <c r="AK2373">
        <v>0</v>
      </c>
      <c r="AL2373">
        <v>14</v>
      </c>
      <c r="AM2373">
        <v>14</v>
      </c>
      <c r="AN2373">
        <v>49</v>
      </c>
      <c r="AO2373">
        <v>7</v>
      </c>
      <c r="AP2373">
        <v>54</v>
      </c>
      <c r="AQ2373">
        <v>8</v>
      </c>
      <c r="AR2373" t="s">
        <v>23777</v>
      </c>
      <c r="AS2373" t="s">
        <v>23778</v>
      </c>
      <c r="AT2373">
        <v>2.5999999999999999E-2</v>
      </c>
      <c r="AU2373" t="s">
        <v>65</v>
      </c>
      <c r="AV2373">
        <v>103</v>
      </c>
      <c r="AW2373">
        <v>15</v>
      </c>
      <c r="AX2373" t="s">
        <v>23779</v>
      </c>
      <c r="AY2373">
        <v>4.9549999999999997E-2</v>
      </c>
      <c r="AZ2373">
        <v>-1.6999999999999999E-3</v>
      </c>
      <c r="BA2373">
        <v>2.4299999999999999E-3</v>
      </c>
      <c r="BB2373">
        <v>-1.2E-4</v>
      </c>
      <c r="BC2373">
        <v>4.9020000000000001E-2</v>
      </c>
      <c r="BD2373">
        <v>1</v>
      </c>
      <c r="BE2373" t="s">
        <v>69</v>
      </c>
      <c r="BF2373">
        <v>-5.6000000000000001E-2</v>
      </c>
      <c r="BG2373">
        <v>0.25900000000000001</v>
      </c>
    </row>
    <row r="2374" spans="1:59">
      <c r="A2374">
        <v>0</v>
      </c>
      <c r="B2374">
        <v>6</v>
      </c>
      <c r="C2374">
        <v>0</v>
      </c>
      <c r="D2374" t="s">
        <v>25022</v>
      </c>
      <c r="E2374">
        <v>3907</v>
      </c>
      <c r="F2374" t="s">
        <v>22913</v>
      </c>
      <c r="G2374" t="s">
        <v>62</v>
      </c>
      <c r="H2374">
        <v>3870671</v>
      </c>
      <c r="I2374">
        <v>3872086</v>
      </c>
      <c r="J2374" t="s">
        <v>22914</v>
      </c>
      <c r="K2374">
        <v>472</v>
      </c>
      <c r="L2374" t="s">
        <v>108</v>
      </c>
      <c r="M2374">
        <v>44</v>
      </c>
      <c r="N2374" t="str">
        <f>HYPERLINK("Gene3907-zp_tree_all.dnd", "Gene3907-tree")</f>
        <v>Gene3907-tree</v>
      </c>
      <c r="O2374">
        <v>7</v>
      </c>
      <c r="P2374">
        <v>9</v>
      </c>
      <c r="Q2374">
        <v>7</v>
      </c>
      <c r="R2374">
        <v>9</v>
      </c>
      <c r="S2374">
        <v>0.5625</v>
      </c>
      <c r="T2374" t="s">
        <v>152</v>
      </c>
      <c r="U2374" t="s">
        <v>135</v>
      </c>
      <c r="V2374" t="s">
        <v>62</v>
      </c>
      <c r="W2374" t="s">
        <v>62</v>
      </c>
      <c r="X2374">
        <v>2</v>
      </c>
      <c r="Y2374">
        <v>6</v>
      </c>
      <c r="Z2374">
        <v>8</v>
      </c>
      <c r="AA2374">
        <v>0.42857000000000001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</v>
      </c>
      <c r="AH2374">
        <v>0</v>
      </c>
      <c r="AI2374">
        <v>2</v>
      </c>
      <c r="AJ2374">
        <v>8</v>
      </c>
      <c r="AK2374">
        <v>0.2</v>
      </c>
      <c r="AL2374">
        <v>15</v>
      </c>
      <c r="AM2374">
        <v>13</v>
      </c>
      <c r="AN2374">
        <v>55</v>
      </c>
      <c r="AO2374">
        <v>8</v>
      </c>
      <c r="AP2374">
        <v>39</v>
      </c>
      <c r="AQ2374">
        <v>6</v>
      </c>
      <c r="AR2374" t="s">
        <v>22915</v>
      </c>
      <c r="AS2374" t="s">
        <v>22916</v>
      </c>
      <c r="AT2374">
        <v>6.8000000000000005E-2</v>
      </c>
      <c r="AU2374" t="s">
        <v>65</v>
      </c>
      <c r="AV2374">
        <v>94</v>
      </c>
      <c r="AW2374">
        <v>14</v>
      </c>
      <c r="AX2374" t="s">
        <v>22917</v>
      </c>
      <c r="AY2374">
        <v>4.9630000000000001E-2</v>
      </c>
      <c r="AZ2374">
        <v>-1.24E-3</v>
      </c>
      <c r="BA2374">
        <v>1.7799999999999999E-3</v>
      </c>
      <c r="BB2374">
        <v>-9.0000000000000006E-5</v>
      </c>
      <c r="BC2374">
        <v>3.5770000000000003E-2</v>
      </c>
      <c r="BD2374">
        <v>1</v>
      </c>
      <c r="BE2374" t="s">
        <v>69</v>
      </c>
      <c r="BF2374">
        <v>-0.28299999999999997</v>
      </c>
      <c r="BG2374">
        <v>-0.875</v>
      </c>
    </row>
    <row r="2375" spans="1:59">
      <c r="A2375">
        <v>0</v>
      </c>
      <c r="B2375">
        <v>2</v>
      </c>
      <c r="C2375">
        <v>2</v>
      </c>
      <c r="D2375" t="s">
        <v>25022</v>
      </c>
      <c r="E2375">
        <v>2943</v>
      </c>
      <c r="F2375" t="s">
        <v>16963</v>
      </c>
      <c r="G2375" t="s">
        <v>62</v>
      </c>
      <c r="H2375">
        <v>2889555</v>
      </c>
      <c r="I2375">
        <v>2890970</v>
      </c>
      <c r="J2375" t="s">
        <v>16964</v>
      </c>
      <c r="K2375">
        <v>472</v>
      </c>
      <c r="L2375" t="s">
        <v>698</v>
      </c>
      <c r="M2375">
        <v>47</v>
      </c>
      <c r="N2375" t="str">
        <f>HYPERLINK("Gene2943-zp_tree_all.dnd", "Gene2943-tree")</f>
        <v>Gene2943-tree</v>
      </c>
      <c r="O2375">
        <v>9</v>
      </c>
      <c r="P2375">
        <v>7</v>
      </c>
      <c r="Q2375">
        <v>9</v>
      </c>
      <c r="R2375">
        <v>7</v>
      </c>
      <c r="S2375">
        <v>0.4375</v>
      </c>
      <c r="T2375" t="s">
        <v>135</v>
      </c>
      <c r="U2375" t="s">
        <v>152</v>
      </c>
      <c r="V2375" t="s">
        <v>62</v>
      </c>
      <c r="W2375" t="s">
        <v>62</v>
      </c>
      <c r="X2375">
        <v>2</v>
      </c>
      <c r="Y2375">
        <v>4</v>
      </c>
      <c r="Z2375">
        <v>11</v>
      </c>
      <c r="AA2375">
        <v>0.26667000000000002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</v>
      </c>
      <c r="AH2375">
        <v>0</v>
      </c>
      <c r="AI2375">
        <v>2</v>
      </c>
      <c r="AJ2375">
        <v>8</v>
      </c>
      <c r="AK2375">
        <v>0.2</v>
      </c>
      <c r="AL2375">
        <v>15</v>
      </c>
      <c r="AM2375">
        <v>10</v>
      </c>
      <c r="AN2375">
        <v>74</v>
      </c>
      <c r="AO2375">
        <v>10</v>
      </c>
      <c r="AP2375">
        <v>77</v>
      </c>
      <c r="AQ2375">
        <v>5</v>
      </c>
      <c r="AR2375" t="s">
        <v>16965</v>
      </c>
      <c r="AS2375" t="s">
        <v>16966</v>
      </c>
      <c r="AT2375">
        <v>0.48099999999999998</v>
      </c>
      <c r="AU2375" t="s">
        <v>65</v>
      </c>
      <c r="AV2375">
        <v>151</v>
      </c>
      <c r="AW2375">
        <v>15</v>
      </c>
      <c r="AX2375" t="s">
        <v>16967</v>
      </c>
      <c r="AY2375">
        <v>0.10134</v>
      </c>
      <c r="AZ2375">
        <v>-7.7000000000000002E-3</v>
      </c>
      <c r="BA2375">
        <v>2.5500000000000002E-3</v>
      </c>
      <c r="BB2375">
        <v>-1.9000000000000001E-4</v>
      </c>
      <c r="BC2375">
        <v>2.5180000000000001E-2</v>
      </c>
      <c r="BD2375">
        <v>1</v>
      </c>
      <c r="BE2375" t="s">
        <v>69</v>
      </c>
      <c r="BF2375">
        <v>-1.151</v>
      </c>
      <c r="BG2375">
        <v>-0.44900000000000001</v>
      </c>
    </row>
    <row r="2376" spans="1:59">
      <c r="A2376">
        <v>0</v>
      </c>
      <c r="B2376">
        <v>16</v>
      </c>
      <c r="C2376">
        <v>5</v>
      </c>
      <c r="D2376" t="s">
        <v>25022</v>
      </c>
      <c r="E2376">
        <v>1274</v>
      </c>
      <c r="F2376" t="s">
        <v>7987</v>
      </c>
      <c r="G2376" t="s">
        <v>57</v>
      </c>
      <c r="H2376">
        <v>1300450</v>
      </c>
      <c r="I2376">
        <v>1301868</v>
      </c>
      <c r="J2376" t="s">
        <v>7988</v>
      </c>
      <c r="K2376">
        <v>473</v>
      </c>
      <c r="L2376" t="s">
        <v>108</v>
      </c>
      <c r="M2376">
        <v>44</v>
      </c>
      <c r="N2376" t="str">
        <f>HYPERLINK("Gene1274-zp_tree_all.dnd", "Gene1274-tree")</f>
        <v>Gene1274-tree</v>
      </c>
      <c r="O2376">
        <v>2</v>
      </c>
      <c r="P2376">
        <v>14</v>
      </c>
      <c r="Q2376">
        <v>2</v>
      </c>
      <c r="R2376">
        <v>14</v>
      </c>
      <c r="S2376">
        <v>0.875</v>
      </c>
      <c r="T2376" t="s">
        <v>81</v>
      </c>
      <c r="U2376" t="s">
        <v>543</v>
      </c>
      <c r="V2376">
        <v>860908720.12699997</v>
      </c>
      <c r="W2376" t="s">
        <v>267</v>
      </c>
      <c r="X2376">
        <v>8</v>
      </c>
      <c r="Y2376">
        <v>21</v>
      </c>
      <c r="Z2376">
        <v>29</v>
      </c>
      <c r="AA2376">
        <v>0.42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6</v>
      </c>
      <c r="AH2376">
        <v>5</v>
      </c>
      <c r="AI2376">
        <v>11</v>
      </c>
      <c r="AJ2376">
        <v>24</v>
      </c>
      <c r="AK2376">
        <v>0.31429000000000001</v>
      </c>
      <c r="AL2376">
        <v>14</v>
      </c>
      <c r="AM2376">
        <v>12</v>
      </c>
      <c r="AN2376">
        <v>67</v>
      </c>
      <c r="AO2376">
        <v>35</v>
      </c>
      <c r="AP2376">
        <v>51</v>
      </c>
      <c r="AQ2376">
        <v>18</v>
      </c>
      <c r="AR2376" t="s">
        <v>7989</v>
      </c>
      <c r="AS2376" t="s">
        <v>7990</v>
      </c>
      <c r="AT2376">
        <v>0.80700000000000005</v>
      </c>
      <c r="AU2376" t="s">
        <v>65</v>
      </c>
      <c r="AV2376">
        <v>118</v>
      </c>
      <c r="AW2376">
        <v>53</v>
      </c>
      <c r="AX2376" t="s">
        <v>7991</v>
      </c>
      <c r="AY2376">
        <v>6.1159999999999999E-2</v>
      </c>
      <c r="AZ2376">
        <v>-1.48E-3</v>
      </c>
      <c r="BA2376">
        <v>7.62E-3</v>
      </c>
      <c r="BB2376">
        <v>-2.1000000000000001E-4</v>
      </c>
      <c r="BC2376">
        <v>0.12454</v>
      </c>
      <c r="BD2376">
        <v>1</v>
      </c>
      <c r="BE2376" t="s">
        <v>69</v>
      </c>
      <c r="BF2376">
        <v>-0.34799999999999998</v>
      </c>
      <c r="BG2376">
        <v>-1.0840000000000001</v>
      </c>
    </row>
    <row r="2377" spans="1:59">
      <c r="A2377">
        <v>0</v>
      </c>
      <c r="B2377">
        <v>15</v>
      </c>
      <c r="C2377">
        <v>2</v>
      </c>
      <c r="D2377" t="s">
        <v>25022</v>
      </c>
      <c r="E2377">
        <v>380</v>
      </c>
      <c r="F2377" t="s">
        <v>2583</v>
      </c>
      <c r="G2377" t="s">
        <v>57</v>
      </c>
      <c r="H2377">
        <v>427247</v>
      </c>
      <c r="I2377">
        <v>428665</v>
      </c>
      <c r="J2377" t="s">
        <v>2584</v>
      </c>
      <c r="K2377">
        <v>473</v>
      </c>
      <c r="L2377" t="s">
        <v>108</v>
      </c>
      <c r="M2377">
        <v>44</v>
      </c>
      <c r="N2377" t="str">
        <f>HYPERLINK("Gene380-zp_tree_all.dnd", "Gene380-tree")</f>
        <v>Gene380-tree</v>
      </c>
      <c r="O2377">
        <v>2</v>
      </c>
      <c r="P2377">
        <v>13</v>
      </c>
      <c r="Q2377">
        <v>2</v>
      </c>
      <c r="R2377">
        <v>13</v>
      </c>
      <c r="S2377">
        <v>0.86667000000000005</v>
      </c>
      <c r="T2377" t="s">
        <v>81</v>
      </c>
      <c r="U2377" t="s">
        <v>507</v>
      </c>
      <c r="V2377" t="s">
        <v>62</v>
      </c>
      <c r="W2377" t="s">
        <v>62</v>
      </c>
      <c r="X2377">
        <v>6</v>
      </c>
      <c r="Y2377">
        <v>17</v>
      </c>
      <c r="Z2377">
        <v>9</v>
      </c>
      <c r="AA2377">
        <v>0.65385000000000004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9</v>
      </c>
      <c r="AH2377">
        <v>1</v>
      </c>
      <c r="AI2377">
        <v>10</v>
      </c>
      <c r="AJ2377">
        <v>8</v>
      </c>
      <c r="AK2377">
        <v>0.55556000000000005</v>
      </c>
      <c r="AL2377">
        <v>13</v>
      </c>
      <c r="AM2377">
        <v>11</v>
      </c>
      <c r="AN2377">
        <v>55</v>
      </c>
      <c r="AO2377">
        <v>15</v>
      </c>
      <c r="AP2377">
        <v>39</v>
      </c>
      <c r="AQ2377">
        <v>11</v>
      </c>
      <c r="AR2377" t="s">
        <v>2585</v>
      </c>
      <c r="AS2377" t="s">
        <v>2586</v>
      </c>
      <c r="AT2377">
        <v>8.5000000000000006E-2</v>
      </c>
      <c r="AU2377" t="s">
        <v>65</v>
      </c>
      <c r="AV2377">
        <v>94</v>
      </c>
      <c r="AW2377">
        <v>26</v>
      </c>
      <c r="AX2377" t="s">
        <v>2587</v>
      </c>
      <c r="AY2377">
        <v>5.0840000000000003E-2</v>
      </c>
      <c r="AZ2377">
        <v>-1.72E-3</v>
      </c>
      <c r="BA2377">
        <v>4.2300000000000003E-3</v>
      </c>
      <c r="BB2377">
        <v>-1.6000000000000001E-4</v>
      </c>
      <c r="BC2377">
        <v>8.3140000000000006E-2</v>
      </c>
      <c r="BD2377">
        <v>1</v>
      </c>
      <c r="BE2377" t="s">
        <v>69</v>
      </c>
      <c r="BF2377">
        <v>-0.76200000000000001</v>
      </c>
      <c r="BG2377">
        <v>-1.6419999999999999</v>
      </c>
    </row>
    <row r="2378" spans="1:59">
      <c r="A2378">
        <v>0</v>
      </c>
      <c r="B2378">
        <v>8</v>
      </c>
      <c r="C2378">
        <v>2</v>
      </c>
      <c r="D2378" t="s">
        <v>25022</v>
      </c>
      <c r="E2378">
        <v>3607</v>
      </c>
      <c r="F2378" t="s">
        <v>21185</v>
      </c>
      <c r="G2378" t="s">
        <v>62</v>
      </c>
      <c r="H2378">
        <v>3574366</v>
      </c>
      <c r="I2378">
        <v>3575784</v>
      </c>
      <c r="J2378" t="s">
        <v>21186</v>
      </c>
      <c r="K2378">
        <v>473</v>
      </c>
      <c r="L2378" t="s">
        <v>21187</v>
      </c>
      <c r="M2378">
        <v>44</v>
      </c>
      <c r="N2378" t="str">
        <f>HYPERLINK("Gene3607-zp_tree_all.dnd", "Gene3607-tree")</f>
        <v>Gene3607-tree</v>
      </c>
      <c r="O2378">
        <v>9</v>
      </c>
      <c r="P2378">
        <v>6</v>
      </c>
      <c r="Q2378">
        <v>9</v>
      </c>
      <c r="R2378">
        <v>6</v>
      </c>
      <c r="S2378">
        <v>0.4</v>
      </c>
      <c r="T2378" t="s">
        <v>135</v>
      </c>
      <c r="U2378" t="s">
        <v>90</v>
      </c>
      <c r="V2378" t="s">
        <v>62</v>
      </c>
      <c r="W2378" t="s">
        <v>62</v>
      </c>
      <c r="X2378">
        <v>4</v>
      </c>
      <c r="Y2378">
        <v>10</v>
      </c>
      <c r="Z2378">
        <v>14</v>
      </c>
      <c r="AA2378">
        <v>0.41666999999999998</v>
      </c>
      <c r="AB2378">
        <v>0</v>
      </c>
      <c r="AC2378">
        <v>0</v>
      </c>
      <c r="AD2378">
        <v>0</v>
      </c>
      <c r="AE2378">
        <v>6</v>
      </c>
      <c r="AF2378">
        <v>0</v>
      </c>
      <c r="AG2378">
        <v>2</v>
      </c>
      <c r="AH2378">
        <v>0</v>
      </c>
      <c r="AI2378">
        <v>2</v>
      </c>
      <c r="AJ2378">
        <v>6</v>
      </c>
      <c r="AK2378">
        <v>0.25</v>
      </c>
      <c r="AL2378">
        <v>11</v>
      </c>
      <c r="AM2378">
        <v>10</v>
      </c>
      <c r="AN2378">
        <v>47</v>
      </c>
      <c r="AO2378">
        <v>11</v>
      </c>
      <c r="AP2378">
        <v>68</v>
      </c>
      <c r="AQ2378">
        <v>21</v>
      </c>
      <c r="AR2378" t="s">
        <v>21188</v>
      </c>
      <c r="AS2378" t="s">
        <v>21189</v>
      </c>
      <c r="AT2378">
        <v>0.23599999999999999</v>
      </c>
      <c r="AU2378" t="s">
        <v>65</v>
      </c>
      <c r="AV2378">
        <v>115</v>
      </c>
      <c r="AW2378">
        <v>32</v>
      </c>
      <c r="AX2378" t="s">
        <v>21190</v>
      </c>
      <c r="AY2378">
        <v>8.6610000000000006E-2</v>
      </c>
      <c r="AZ2378">
        <v>-5.0499999999999998E-3</v>
      </c>
      <c r="BA2378">
        <v>6.0800000000000003E-3</v>
      </c>
      <c r="BB2378">
        <v>-4.6999999999999999E-4</v>
      </c>
      <c r="BC2378">
        <v>7.0209999999999995E-2</v>
      </c>
      <c r="BD2378">
        <v>1</v>
      </c>
      <c r="BE2378" t="s">
        <v>69</v>
      </c>
      <c r="BF2378">
        <v>-0.93100000000000005</v>
      </c>
      <c r="BG2378">
        <v>-0.63400000000000001</v>
      </c>
    </row>
    <row r="2379" spans="1:59">
      <c r="A2379">
        <v>0</v>
      </c>
      <c r="B2379">
        <v>5</v>
      </c>
      <c r="C2379">
        <v>0</v>
      </c>
      <c r="D2379" t="s">
        <v>25022</v>
      </c>
      <c r="E2379">
        <v>655</v>
      </c>
      <c r="F2379" t="s">
        <v>4072</v>
      </c>
      <c r="G2379" t="s">
        <v>57</v>
      </c>
      <c r="H2379">
        <v>676442</v>
      </c>
      <c r="I2379">
        <v>677860</v>
      </c>
      <c r="J2379" t="s">
        <v>4073</v>
      </c>
      <c r="K2379">
        <v>473</v>
      </c>
      <c r="L2379" t="s">
        <v>4013</v>
      </c>
      <c r="M2379">
        <v>43</v>
      </c>
      <c r="N2379" t="str">
        <f>HYPERLINK("Gene655-zp_tree_all.dnd", "Gene655-tree")</f>
        <v>Gene655-tree</v>
      </c>
      <c r="O2379">
        <v>26</v>
      </c>
      <c r="P2379">
        <v>6</v>
      </c>
      <c r="Q2379">
        <v>7</v>
      </c>
      <c r="R2379">
        <v>6</v>
      </c>
      <c r="S2379">
        <v>0.46154000000000001</v>
      </c>
      <c r="T2379" t="s">
        <v>191</v>
      </c>
      <c r="U2379" t="s">
        <v>90</v>
      </c>
      <c r="V2379" t="s">
        <v>62</v>
      </c>
      <c r="W2379" t="s">
        <v>62</v>
      </c>
      <c r="X2379">
        <v>2</v>
      </c>
      <c r="Y2379">
        <v>5</v>
      </c>
      <c r="Z2379">
        <v>6</v>
      </c>
      <c r="AA2379">
        <v>0.45455000000000001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2</v>
      </c>
      <c r="AH2379">
        <v>0</v>
      </c>
      <c r="AI2379">
        <v>2</v>
      </c>
      <c r="AJ2379">
        <v>5</v>
      </c>
      <c r="AK2379">
        <v>0.28571000000000002</v>
      </c>
      <c r="AL2379">
        <v>11</v>
      </c>
      <c r="AM2379">
        <v>10</v>
      </c>
      <c r="AN2379">
        <v>54</v>
      </c>
      <c r="AO2379">
        <v>7</v>
      </c>
      <c r="AP2379">
        <v>41</v>
      </c>
      <c r="AQ2379">
        <v>4</v>
      </c>
      <c r="AR2379" t="s">
        <v>4074</v>
      </c>
      <c r="AS2379" t="s">
        <v>4075</v>
      </c>
      <c r="AT2379">
        <v>0.36599999999999999</v>
      </c>
      <c r="AU2379" t="s">
        <v>65</v>
      </c>
      <c r="AV2379">
        <v>95</v>
      </c>
      <c r="AW2379">
        <v>11</v>
      </c>
      <c r="AX2379" t="s">
        <v>4076</v>
      </c>
      <c r="AY2379">
        <v>5.357E-2</v>
      </c>
      <c r="AZ2379">
        <v>-2.33E-3</v>
      </c>
      <c r="BA2379">
        <v>2.1099999999999999E-3</v>
      </c>
      <c r="BB2379">
        <v>-1E-4</v>
      </c>
      <c r="BC2379">
        <v>3.9460000000000002E-2</v>
      </c>
      <c r="BD2379">
        <v>1</v>
      </c>
      <c r="BE2379" t="s">
        <v>69</v>
      </c>
      <c r="BF2379">
        <v>-8.8999999999999996E-2</v>
      </c>
      <c r="BG2379">
        <v>-0.60799999999999998</v>
      </c>
    </row>
    <row r="2380" spans="1:59">
      <c r="A2380">
        <v>0</v>
      </c>
      <c r="B2380">
        <v>0</v>
      </c>
      <c r="C2380">
        <v>0</v>
      </c>
      <c r="D2380" t="s">
        <v>25022</v>
      </c>
      <c r="E2380">
        <v>323</v>
      </c>
      <c r="F2380" t="s">
        <v>2204</v>
      </c>
      <c r="G2380" t="s">
        <v>57</v>
      </c>
      <c r="H2380">
        <v>347150</v>
      </c>
      <c r="I2380">
        <v>348568</v>
      </c>
      <c r="J2380" t="s">
        <v>2205</v>
      </c>
      <c r="K2380">
        <v>473</v>
      </c>
      <c r="L2380" t="s">
        <v>2206</v>
      </c>
      <c r="M2380">
        <v>42</v>
      </c>
      <c r="N2380" t="str">
        <f>HYPERLINK("Gene323-zp_tree_all.dnd", "Gene323-tree")</f>
        <v>Gene323-tree</v>
      </c>
      <c r="O2380">
        <v>12</v>
      </c>
      <c r="P2380">
        <v>3</v>
      </c>
      <c r="Q2380">
        <v>12</v>
      </c>
      <c r="R2380">
        <v>3</v>
      </c>
      <c r="S2380">
        <v>0.2</v>
      </c>
      <c r="T2380" t="s">
        <v>109</v>
      </c>
      <c r="U2380" t="s">
        <v>324</v>
      </c>
      <c r="V2380" t="s">
        <v>62</v>
      </c>
      <c r="W2380" t="s">
        <v>62</v>
      </c>
      <c r="X2380">
        <v>0</v>
      </c>
      <c r="Y2380">
        <v>0</v>
      </c>
      <c r="Z2380">
        <v>6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3</v>
      </c>
      <c r="AK2380">
        <v>0</v>
      </c>
      <c r="AL2380">
        <v>12</v>
      </c>
      <c r="AM2380">
        <v>11</v>
      </c>
      <c r="AN2380">
        <v>55</v>
      </c>
      <c r="AO2380">
        <v>3</v>
      </c>
      <c r="AP2380">
        <v>50</v>
      </c>
      <c r="AQ2380">
        <v>3</v>
      </c>
      <c r="AR2380" t="s">
        <v>2207</v>
      </c>
      <c r="AS2380" t="s">
        <v>2208</v>
      </c>
      <c r="AT2380">
        <v>4.4999999999999998E-2</v>
      </c>
      <c r="AU2380" t="s">
        <v>65</v>
      </c>
      <c r="AV2380">
        <v>105</v>
      </c>
      <c r="AW2380">
        <v>6</v>
      </c>
      <c r="AX2380" t="s">
        <v>2209</v>
      </c>
      <c r="AY2380">
        <v>5.7320000000000003E-2</v>
      </c>
      <c r="AZ2380">
        <v>-2.6700000000000001E-3</v>
      </c>
      <c r="BA2380">
        <v>1.5100000000000001E-3</v>
      </c>
      <c r="BB2380">
        <v>-1.1E-4</v>
      </c>
      <c r="BC2380">
        <v>2.6349999999999998E-2</v>
      </c>
      <c r="BD2380">
        <v>1</v>
      </c>
      <c r="BE2380" t="s">
        <v>69</v>
      </c>
      <c r="BF2380">
        <v>-0.48299999999999998</v>
      </c>
      <c r="BG2380">
        <v>-0.875</v>
      </c>
    </row>
    <row r="2381" spans="1:59">
      <c r="A2381">
        <v>0</v>
      </c>
      <c r="B2381">
        <v>0</v>
      </c>
      <c r="C2381">
        <v>0</v>
      </c>
      <c r="D2381" t="s">
        <v>25022</v>
      </c>
      <c r="E2381">
        <v>3816</v>
      </c>
      <c r="F2381" t="s">
        <v>22363</v>
      </c>
      <c r="G2381" t="s">
        <v>62</v>
      </c>
      <c r="H2381">
        <v>3781494</v>
      </c>
      <c r="I2381">
        <v>3782912</v>
      </c>
      <c r="J2381" t="s">
        <v>22364</v>
      </c>
      <c r="K2381">
        <v>473</v>
      </c>
      <c r="L2381" t="s">
        <v>59</v>
      </c>
      <c r="M2381">
        <v>49</v>
      </c>
      <c r="N2381" t="str">
        <f>HYPERLINK("Gene3816-zp_tree_all.dnd", "Gene3816-tree")</f>
        <v>Gene3816-tree</v>
      </c>
      <c r="O2381">
        <v>17</v>
      </c>
      <c r="P2381">
        <v>2</v>
      </c>
      <c r="Q2381">
        <v>17</v>
      </c>
      <c r="R2381">
        <v>2</v>
      </c>
      <c r="S2381">
        <v>0.10526000000000001</v>
      </c>
      <c r="T2381" t="s">
        <v>266</v>
      </c>
      <c r="U2381" t="s">
        <v>81</v>
      </c>
      <c r="V2381" t="s">
        <v>62</v>
      </c>
      <c r="W2381" t="s">
        <v>62</v>
      </c>
      <c r="X2381">
        <v>0</v>
      </c>
      <c r="Y2381">
        <v>0</v>
      </c>
      <c r="Z2381">
        <v>6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</v>
      </c>
      <c r="AK2381">
        <v>0</v>
      </c>
      <c r="AL2381">
        <v>15</v>
      </c>
      <c r="AM2381">
        <v>12</v>
      </c>
      <c r="AN2381">
        <v>45</v>
      </c>
      <c r="AO2381">
        <v>2</v>
      </c>
      <c r="AP2381">
        <v>69</v>
      </c>
      <c r="AQ2381">
        <v>4</v>
      </c>
      <c r="AR2381" t="s">
        <v>22365</v>
      </c>
      <c r="AS2381" t="s">
        <v>22366</v>
      </c>
      <c r="AT2381">
        <v>7.4999999999999997E-2</v>
      </c>
      <c r="AU2381" t="s">
        <v>65</v>
      </c>
      <c r="AV2381">
        <v>114</v>
      </c>
      <c r="AW2381">
        <v>6</v>
      </c>
      <c r="AX2381" t="s">
        <v>22367</v>
      </c>
      <c r="AY2381">
        <v>7.6560000000000003E-2</v>
      </c>
      <c r="AZ2381">
        <v>-4.5300000000000002E-3</v>
      </c>
      <c r="BA2381">
        <v>1.6000000000000001E-3</v>
      </c>
      <c r="BB2381">
        <v>-1.2999999999999999E-4</v>
      </c>
      <c r="BC2381">
        <v>2.087E-2</v>
      </c>
      <c r="BD2381">
        <v>1</v>
      </c>
      <c r="BE2381" t="s">
        <v>69</v>
      </c>
      <c r="BF2381">
        <v>-1.179</v>
      </c>
      <c r="BG2381">
        <v>-1.0529999999999999</v>
      </c>
    </row>
    <row r="2382" spans="1:59">
      <c r="A2382">
        <v>0</v>
      </c>
      <c r="B2382">
        <v>2</v>
      </c>
      <c r="C2382">
        <v>0</v>
      </c>
      <c r="D2382" t="s">
        <v>25022</v>
      </c>
      <c r="E2382">
        <v>367</v>
      </c>
      <c r="F2382" t="s">
        <v>2489</v>
      </c>
      <c r="G2382" t="s">
        <v>57</v>
      </c>
      <c r="H2382">
        <v>413157</v>
      </c>
      <c r="I2382">
        <v>414575</v>
      </c>
      <c r="J2382" t="s">
        <v>2490</v>
      </c>
      <c r="K2382">
        <v>473</v>
      </c>
      <c r="L2382" t="s">
        <v>108</v>
      </c>
      <c r="M2382">
        <v>44</v>
      </c>
      <c r="N2382" t="str">
        <f>HYPERLINK("Gene367-zp_tree_all.dnd", "Gene367-tree")</f>
        <v>Gene367-tree</v>
      </c>
      <c r="O2382">
        <v>9</v>
      </c>
      <c r="P2382">
        <v>5</v>
      </c>
      <c r="Q2382">
        <v>9</v>
      </c>
      <c r="R2382">
        <v>5</v>
      </c>
      <c r="S2382">
        <v>0.35714000000000001</v>
      </c>
      <c r="T2382" t="s">
        <v>135</v>
      </c>
      <c r="U2382" t="s">
        <v>199</v>
      </c>
      <c r="V2382" t="s">
        <v>62</v>
      </c>
      <c r="W2382" t="s">
        <v>62</v>
      </c>
      <c r="X2382">
        <v>1</v>
      </c>
      <c r="Y2382">
        <v>2</v>
      </c>
      <c r="Z2382">
        <v>6</v>
      </c>
      <c r="AA2382">
        <v>0.25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6</v>
      </c>
      <c r="AK2382">
        <v>0</v>
      </c>
      <c r="AL2382">
        <v>13</v>
      </c>
      <c r="AM2382">
        <v>10</v>
      </c>
      <c r="AN2382">
        <v>49</v>
      </c>
      <c r="AO2382">
        <v>6</v>
      </c>
      <c r="AP2382">
        <v>35</v>
      </c>
      <c r="AQ2382">
        <v>2</v>
      </c>
      <c r="AR2382" t="s">
        <v>2491</v>
      </c>
      <c r="AS2382" t="s">
        <v>2492</v>
      </c>
      <c r="AT2382">
        <v>0.61599999999999999</v>
      </c>
      <c r="AU2382" t="s">
        <v>65</v>
      </c>
      <c r="AV2382">
        <v>84</v>
      </c>
      <c r="AW2382">
        <v>8</v>
      </c>
      <c r="AX2382" t="s">
        <v>2493</v>
      </c>
      <c r="AY2382">
        <v>4.9489999999999999E-2</v>
      </c>
      <c r="AZ2382">
        <v>-1.56E-3</v>
      </c>
      <c r="BA2382">
        <v>1.0300000000000001E-3</v>
      </c>
      <c r="BB2382">
        <v>-8.0000000000000007E-5</v>
      </c>
      <c r="BC2382">
        <v>2.077E-2</v>
      </c>
      <c r="BD2382">
        <v>1</v>
      </c>
      <c r="BE2382" t="s">
        <v>69</v>
      </c>
      <c r="BF2382">
        <v>0.21299999999999999</v>
      </c>
      <c r="BG2382">
        <v>-2.4E-2</v>
      </c>
    </row>
    <row r="2383" spans="1:59">
      <c r="A2383">
        <v>0</v>
      </c>
      <c r="B2383">
        <v>16</v>
      </c>
      <c r="C2383">
        <v>4</v>
      </c>
      <c r="D2383" t="s">
        <v>25022</v>
      </c>
      <c r="E2383">
        <v>3926</v>
      </c>
      <c r="F2383" t="s">
        <v>23037</v>
      </c>
      <c r="G2383" t="s">
        <v>62</v>
      </c>
      <c r="H2383">
        <v>3890925</v>
      </c>
      <c r="I2383">
        <v>3892346</v>
      </c>
      <c r="J2383" t="s">
        <v>23038</v>
      </c>
      <c r="K2383">
        <v>474</v>
      </c>
      <c r="L2383" t="s">
        <v>108</v>
      </c>
      <c r="M2383">
        <v>44</v>
      </c>
      <c r="N2383" t="str">
        <f>HYPERLINK("Gene3926-zp_tree_all.dnd", "Gene3926-tree")</f>
        <v>Gene3926-tree</v>
      </c>
      <c r="O2383">
        <v>22</v>
      </c>
      <c r="P2383">
        <v>14</v>
      </c>
      <c r="Q2383">
        <v>3</v>
      </c>
      <c r="R2383">
        <v>14</v>
      </c>
      <c r="S2383">
        <v>0.82352999999999998</v>
      </c>
      <c r="T2383" t="s">
        <v>1005</v>
      </c>
      <c r="U2383" t="s">
        <v>543</v>
      </c>
      <c r="V2383">
        <v>7.1710000000000003</v>
      </c>
      <c r="W2383" t="s">
        <v>267</v>
      </c>
      <c r="X2383">
        <v>7</v>
      </c>
      <c r="Y2383">
        <v>20</v>
      </c>
      <c r="Z2383">
        <v>17</v>
      </c>
      <c r="AA2383">
        <v>0.54054000000000002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10</v>
      </c>
      <c r="AH2383">
        <v>0</v>
      </c>
      <c r="AI2383">
        <v>10</v>
      </c>
      <c r="AJ2383">
        <v>17</v>
      </c>
      <c r="AK2383">
        <v>0.37036999999999998</v>
      </c>
      <c r="AL2383">
        <v>14</v>
      </c>
      <c r="AM2383">
        <v>13</v>
      </c>
      <c r="AN2383">
        <v>32</v>
      </c>
      <c r="AO2383">
        <v>25</v>
      </c>
      <c r="AP2383">
        <v>22</v>
      </c>
      <c r="AQ2383">
        <v>12</v>
      </c>
      <c r="AR2383" t="s">
        <v>23039</v>
      </c>
      <c r="AS2383" t="s">
        <v>23040</v>
      </c>
      <c r="AT2383">
        <v>0.505</v>
      </c>
      <c r="AU2383" t="s">
        <v>65</v>
      </c>
      <c r="AV2383">
        <v>54</v>
      </c>
      <c r="AW2383">
        <v>37</v>
      </c>
      <c r="AX2383" t="s">
        <v>23041</v>
      </c>
      <c r="AY2383">
        <v>2.9020000000000001E-2</v>
      </c>
      <c r="AZ2383">
        <v>-1.17E-3</v>
      </c>
      <c r="BA2383">
        <v>5.8500000000000002E-3</v>
      </c>
      <c r="BB2383">
        <v>-2.2000000000000001E-4</v>
      </c>
      <c r="BC2383">
        <v>0.20158999999999999</v>
      </c>
      <c r="BD2383">
        <v>1</v>
      </c>
      <c r="BE2383" t="s">
        <v>69</v>
      </c>
      <c r="BF2383">
        <v>-1.01</v>
      </c>
      <c r="BG2383">
        <v>-1.526</v>
      </c>
    </row>
    <row r="2384" spans="1:59">
      <c r="A2384">
        <v>0</v>
      </c>
      <c r="B2384">
        <v>0</v>
      </c>
      <c r="C2384">
        <v>2</v>
      </c>
      <c r="D2384" t="s">
        <v>25022</v>
      </c>
      <c r="E2384">
        <v>2508</v>
      </c>
      <c r="F2384" t="s">
        <v>14632</v>
      </c>
      <c r="G2384" t="s">
        <v>62</v>
      </c>
      <c r="H2384">
        <v>2500107</v>
      </c>
      <c r="I2384">
        <v>2501528</v>
      </c>
      <c r="J2384" t="s">
        <v>14633</v>
      </c>
      <c r="K2384">
        <v>474</v>
      </c>
      <c r="L2384" t="s">
        <v>265</v>
      </c>
      <c r="M2384">
        <v>43</v>
      </c>
      <c r="N2384" t="str">
        <f>HYPERLINK("Gene2508-zp_tree_all.dnd", "Gene2508-tree")</f>
        <v>Gene2508-tree</v>
      </c>
      <c r="O2384">
        <v>5</v>
      </c>
      <c r="P2384">
        <v>10</v>
      </c>
      <c r="Q2384">
        <v>5</v>
      </c>
      <c r="R2384">
        <v>10</v>
      </c>
      <c r="S2384">
        <v>0.66666999999999998</v>
      </c>
      <c r="T2384" t="s">
        <v>199</v>
      </c>
      <c r="U2384" t="s">
        <v>117</v>
      </c>
      <c r="V2384" t="s">
        <v>62</v>
      </c>
      <c r="W2384" t="s">
        <v>62</v>
      </c>
      <c r="X2384">
        <v>1</v>
      </c>
      <c r="Y2384">
        <v>2</v>
      </c>
      <c r="Z2384">
        <v>12</v>
      </c>
      <c r="AA2384">
        <v>0.14285999999999999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2</v>
      </c>
      <c r="AI2384">
        <v>2</v>
      </c>
      <c r="AJ2384">
        <v>10</v>
      </c>
      <c r="AK2384">
        <v>0.16667000000000001</v>
      </c>
      <c r="AL2384">
        <v>11</v>
      </c>
      <c r="AM2384">
        <v>9</v>
      </c>
      <c r="AN2384">
        <v>44</v>
      </c>
      <c r="AO2384">
        <v>13</v>
      </c>
      <c r="AP2384">
        <v>23</v>
      </c>
      <c r="AQ2384">
        <v>2</v>
      </c>
      <c r="AR2384" t="s">
        <v>14634</v>
      </c>
      <c r="AS2384" t="s">
        <v>14635</v>
      </c>
      <c r="AT2384">
        <v>1.425</v>
      </c>
      <c r="AU2384" t="s">
        <v>65</v>
      </c>
      <c r="AV2384">
        <v>67</v>
      </c>
      <c r="AW2384">
        <v>15</v>
      </c>
      <c r="AX2384" t="s">
        <v>14636</v>
      </c>
      <c r="AY2384">
        <v>3.7109999999999997E-2</v>
      </c>
      <c r="AZ2384">
        <v>-1.2700000000000001E-3</v>
      </c>
      <c r="BA2384">
        <v>2.15E-3</v>
      </c>
      <c r="BB2384">
        <v>-1.1E-4</v>
      </c>
      <c r="BC2384">
        <v>5.7829999999999999E-2</v>
      </c>
      <c r="BD2384">
        <v>1</v>
      </c>
      <c r="BE2384" t="s">
        <v>69</v>
      </c>
      <c r="BF2384">
        <v>-0.61199999999999999</v>
      </c>
      <c r="BG2384">
        <v>-1.028</v>
      </c>
    </row>
    <row r="2385" spans="1:59">
      <c r="A2385">
        <v>0</v>
      </c>
      <c r="B2385">
        <v>2</v>
      </c>
      <c r="C2385">
        <v>0</v>
      </c>
      <c r="D2385" t="s">
        <v>25022</v>
      </c>
      <c r="E2385">
        <v>2456</v>
      </c>
      <c r="F2385" t="s">
        <v>14305</v>
      </c>
      <c r="G2385" t="s">
        <v>62</v>
      </c>
      <c r="H2385">
        <v>2454350</v>
      </c>
      <c r="I2385">
        <v>2455774</v>
      </c>
      <c r="J2385" t="s">
        <v>14306</v>
      </c>
      <c r="K2385">
        <v>475</v>
      </c>
      <c r="L2385" t="s">
        <v>108</v>
      </c>
      <c r="M2385">
        <v>44</v>
      </c>
      <c r="N2385" t="str">
        <f>HYPERLINK("Gene2456-zp_tree_all.dnd", "Gene2456-tree")</f>
        <v>Gene2456-tree</v>
      </c>
      <c r="O2385">
        <v>13</v>
      </c>
      <c r="P2385">
        <v>2</v>
      </c>
      <c r="Q2385">
        <v>13</v>
      </c>
      <c r="R2385">
        <v>2</v>
      </c>
      <c r="S2385">
        <v>0.13333</v>
      </c>
      <c r="T2385" t="s">
        <v>507</v>
      </c>
      <c r="U2385" t="s">
        <v>81</v>
      </c>
      <c r="V2385" t="s">
        <v>62</v>
      </c>
      <c r="W2385" t="s">
        <v>62</v>
      </c>
      <c r="X2385">
        <v>1</v>
      </c>
      <c r="Y2385">
        <v>2</v>
      </c>
      <c r="Z2385">
        <v>2</v>
      </c>
      <c r="AA2385">
        <v>0.5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2</v>
      </c>
      <c r="AK2385">
        <v>0</v>
      </c>
      <c r="AL2385">
        <v>14</v>
      </c>
      <c r="AM2385">
        <v>12</v>
      </c>
      <c r="AN2385">
        <v>43</v>
      </c>
      <c r="AO2385">
        <v>2</v>
      </c>
      <c r="AP2385">
        <v>38</v>
      </c>
      <c r="AQ2385">
        <v>2</v>
      </c>
      <c r="AR2385" t="s">
        <v>14307</v>
      </c>
      <c r="AS2385" t="s">
        <v>14308</v>
      </c>
      <c r="AT2385">
        <v>5.2999999999999999E-2</v>
      </c>
      <c r="AU2385" t="s">
        <v>65</v>
      </c>
      <c r="AV2385">
        <v>81</v>
      </c>
      <c r="AW2385">
        <v>4</v>
      </c>
      <c r="AX2385" t="s">
        <v>14309</v>
      </c>
      <c r="AY2385">
        <v>5.5E-2</v>
      </c>
      <c r="AZ2385">
        <v>-2.2000000000000001E-3</v>
      </c>
      <c r="BA2385">
        <v>7.3999999999999999E-4</v>
      </c>
      <c r="BB2385">
        <v>-6.0000000000000002E-5</v>
      </c>
      <c r="BC2385">
        <v>1.3520000000000001E-2</v>
      </c>
      <c r="BD2385">
        <v>1</v>
      </c>
      <c r="BE2385" t="s">
        <v>69</v>
      </c>
      <c r="BF2385">
        <v>0.20399999999999999</v>
      </c>
      <c r="BG2385">
        <v>0.32400000000000001</v>
      </c>
    </row>
    <row r="2386" spans="1:59">
      <c r="A2386">
        <v>0</v>
      </c>
      <c r="B2386">
        <v>14</v>
      </c>
      <c r="C2386">
        <v>2</v>
      </c>
      <c r="D2386" t="s">
        <v>25022</v>
      </c>
      <c r="E2386">
        <v>1153</v>
      </c>
      <c r="F2386" t="s">
        <v>7255</v>
      </c>
      <c r="G2386" t="s">
        <v>57</v>
      </c>
      <c r="H2386">
        <v>1192858</v>
      </c>
      <c r="I2386">
        <v>1194285</v>
      </c>
      <c r="J2386" t="s">
        <v>7256</v>
      </c>
      <c r="K2386">
        <v>476</v>
      </c>
      <c r="L2386" t="s">
        <v>108</v>
      </c>
      <c r="M2386">
        <v>44</v>
      </c>
      <c r="N2386" t="str">
        <f>HYPERLINK("Gene1153-zp_tree_all.dnd", "Gene1153-tree")</f>
        <v>Gene1153-tree</v>
      </c>
      <c r="O2386">
        <v>2</v>
      </c>
      <c r="P2386">
        <v>33</v>
      </c>
      <c r="Q2386">
        <v>2</v>
      </c>
      <c r="R2386">
        <v>12</v>
      </c>
      <c r="S2386">
        <v>0.85714000000000001</v>
      </c>
      <c r="T2386" t="s">
        <v>81</v>
      </c>
      <c r="U2386" t="s">
        <v>705</v>
      </c>
      <c r="V2386">
        <v>0.435</v>
      </c>
      <c r="W2386" t="s">
        <v>65</v>
      </c>
      <c r="X2386">
        <v>7</v>
      </c>
      <c r="Y2386">
        <v>16</v>
      </c>
      <c r="Z2386">
        <v>23</v>
      </c>
      <c r="AA2386">
        <v>0.41026000000000001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8</v>
      </c>
      <c r="AH2386">
        <v>0</v>
      </c>
      <c r="AI2386">
        <v>8</v>
      </c>
      <c r="AJ2386">
        <v>23</v>
      </c>
      <c r="AK2386">
        <v>0.25806000000000001</v>
      </c>
      <c r="AL2386">
        <v>13</v>
      </c>
      <c r="AM2386">
        <v>11</v>
      </c>
      <c r="AN2386">
        <v>45</v>
      </c>
      <c r="AO2386">
        <v>28</v>
      </c>
      <c r="AP2386">
        <v>13</v>
      </c>
      <c r="AQ2386">
        <v>11</v>
      </c>
      <c r="AR2386" t="s">
        <v>7257</v>
      </c>
      <c r="AS2386" t="s">
        <v>7258</v>
      </c>
      <c r="AT2386">
        <v>0.41</v>
      </c>
      <c r="AU2386" t="s">
        <v>65</v>
      </c>
      <c r="AV2386">
        <v>58</v>
      </c>
      <c r="AW2386">
        <v>39</v>
      </c>
      <c r="AX2386" t="s">
        <v>7259</v>
      </c>
      <c r="AY2386">
        <v>3.0589999999999999E-2</v>
      </c>
      <c r="AZ2386">
        <v>-1.67E-3</v>
      </c>
      <c r="BA2386">
        <v>6.5199999999999998E-3</v>
      </c>
      <c r="BB2386">
        <v>-2.4000000000000001E-4</v>
      </c>
      <c r="BC2386">
        <v>0.21321999999999999</v>
      </c>
      <c r="BD2386">
        <v>1</v>
      </c>
      <c r="BE2386" t="s">
        <v>69</v>
      </c>
      <c r="BF2386">
        <v>-0.57899999999999996</v>
      </c>
      <c r="BG2386">
        <v>-1.617</v>
      </c>
    </row>
    <row r="2387" spans="1:59">
      <c r="A2387">
        <v>0</v>
      </c>
      <c r="B2387">
        <v>0</v>
      </c>
      <c r="C2387">
        <v>0</v>
      </c>
      <c r="D2387" t="s">
        <v>25022</v>
      </c>
      <c r="E2387">
        <v>704</v>
      </c>
      <c r="F2387" t="s">
        <v>4408</v>
      </c>
      <c r="G2387" t="s">
        <v>57</v>
      </c>
      <c r="H2387">
        <v>730509</v>
      </c>
      <c r="I2387">
        <v>731936</v>
      </c>
      <c r="J2387" t="s">
        <v>4409</v>
      </c>
      <c r="K2387">
        <v>476</v>
      </c>
      <c r="L2387" t="s">
        <v>59</v>
      </c>
      <c r="M2387">
        <v>49</v>
      </c>
      <c r="N2387" t="str">
        <f>HYPERLINK("Gene704-zp_tree_all.dnd", "Gene704-tree")</f>
        <v>Gene704-tree</v>
      </c>
      <c r="O2387">
        <v>18</v>
      </c>
      <c r="P2387">
        <v>2</v>
      </c>
      <c r="Q2387">
        <v>18</v>
      </c>
      <c r="R2387">
        <v>2</v>
      </c>
      <c r="S2387">
        <v>0.1</v>
      </c>
      <c r="T2387" t="s">
        <v>144</v>
      </c>
      <c r="U2387" t="s">
        <v>81</v>
      </c>
      <c r="V2387" t="s">
        <v>62</v>
      </c>
      <c r="W2387" t="s">
        <v>62</v>
      </c>
      <c r="X2387">
        <v>0</v>
      </c>
      <c r="Y2387">
        <v>0</v>
      </c>
      <c r="Z2387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3</v>
      </c>
      <c r="AK2387">
        <v>0</v>
      </c>
      <c r="AL2387">
        <v>18</v>
      </c>
      <c r="AM2387">
        <v>14</v>
      </c>
      <c r="AN2387">
        <v>109</v>
      </c>
      <c r="AO2387">
        <v>3</v>
      </c>
      <c r="AP2387">
        <v>82</v>
      </c>
      <c r="AQ2387">
        <v>1</v>
      </c>
      <c r="AR2387" t="s">
        <v>4410</v>
      </c>
      <c r="AS2387" t="s">
        <v>4411</v>
      </c>
      <c r="AT2387">
        <v>0.2</v>
      </c>
      <c r="AU2387" t="s">
        <v>65</v>
      </c>
      <c r="AV2387">
        <v>191</v>
      </c>
      <c r="AW2387">
        <v>4</v>
      </c>
      <c r="AX2387" t="s">
        <v>4412</v>
      </c>
      <c r="AY2387">
        <v>0.10285</v>
      </c>
      <c r="AZ2387">
        <v>-5.13E-3</v>
      </c>
      <c r="BA2387">
        <v>4.4000000000000002E-4</v>
      </c>
      <c r="BB2387">
        <v>-5.0000000000000002E-5</v>
      </c>
      <c r="BC2387">
        <v>4.3299999999999996E-3</v>
      </c>
      <c r="BD2387">
        <v>1</v>
      </c>
      <c r="BE2387" t="s">
        <v>69</v>
      </c>
      <c r="BF2387">
        <v>-1.3520000000000001</v>
      </c>
      <c r="BG2387">
        <v>-1.6859999999999999</v>
      </c>
    </row>
    <row r="2388" spans="1:59">
      <c r="A2388">
        <v>0</v>
      </c>
      <c r="B2388">
        <v>0</v>
      </c>
      <c r="C2388">
        <v>0</v>
      </c>
      <c r="D2388" t="s">
        <v>25022</v>
      </c>
      <c r="E2388">
        <v>683</v>
      </c>
      <c r="F2388" t="s">
        <v>4266</v>
      </c>
      <c r="G2388" t="s">
        <v>57</v>
      </c>
      <c r="H2388">
        <v>705441</v>
      </c>
      <c r="I2388">
        <v>706868</v>
      </c>
      <c r="J2388" t="s">
        <v>4267</v>
      </c>
      <c r="K2388">
        <v>476</v>
      </c>
      <c r="L2388" t="s">
        <v>4013</v>
      </c>
      <c r="M2388">
        <v>43</v>
      </c>
      <c r="N2388" t="str">
        <f>HYPERLINK("Gene683-zp_tree_all.dnd", "Gene683-tree")</f>
        <v>Gene683-tree</v>
      </c>
      <c r="O2388">
        <v>12</v>
      </c>
      <c r="P2388">
        <v>1</v>
      </c>
      <c r="Q2388">
        <v>12</v>
      </c>
      <c r="R2388">
        <v>1</v>
      </c>
      <c r="S2388">
        <v>7.6920000000000002E-2</v>
      </c>
      <c r="T2388" t="s">
        <v>109</v>
      </c>
      <c r="U2388" t="s">
        <v>175</v>
      </c>
      <c r="V2388" t="s">
        <v>62</v>
      </c>
      <c r="W2388" t="s">
        <v>62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12</v>
      </c>
      <c r="AM2388">
        <v>10</v>
      </c>
      <c r="AN2388">
        <v>85</v>
      </c>
      <c r="AO2388">
        <v>1</v>
      </c>
      <c r="AP2388">
        <v>56</v>
      </c>
      <c r="AQ2388">
        <v>0</v>
      </c>
      <c r="AR2388" t="s">
        <v>4268</v>
      </c>
      <c r="AS2388" t="s">
        <v>193</v>
      </c>
      <c r="AT2388">
        <v>0.29799999999999999</v>
      </c>
      <c r="AU2388" t="s">
        <v>65</v>
      </c>
      <c r="AV2388">
        <v>141</v>
      </c>
      <c r="AW2388">
        <v>1</v>
      </c>
      <c r="AX2388" t="s">
        <v>4269</v>
      </c>
      <c r="AY2388">
        <v>7.4310000000000001E-2</v>
      </c>
      <c r="AZ2388">
        <v>-3.2200000000000002E-3</v>
      </c>
      <c r="BA2388">
        <v>1.3999999999999999E-4</v>
      </c>
      <c r="BB2388">
        <v>-4.0000000000000003E-5</v>
      </c>
      <c r="BC2388">
        <v>1.91E-3</v>
      </c>
      <c r="BD2388">
        <v>1</v>
      </c>
      <c r="BE2388" t="s">
        <v>69</v>
      </c>
      <c r="BF2388">
        <v>-0.42799999999999999</v>
      </c>
      <c r="BG2388">
        <v>-1.081</v>
      </c>
    </row>
    <row r="2389" spans="1:59">
      <c r="A2389">
        <v>0</v>
      </c>
      <c r="B2389">
        <v>20</v>
      </c>
      <c r="C2389">
        <v>1</v>
      </c>
      <c r="D2389" t="s">
        <v>25022</v>
      </c>
      <c r="E2389">
        <v>343</v>
      </c>
      <c r="F2389" t="s">
        <v>2339</v>
      </c>
      <c r="G2389" t="s">
        <v>57</v>
      </c>
      <c r="H2389">
        <v>370259</v>
      </c>
      <c r="I2389">
        <v>371689</v>
      </c>
      <c r="J2389" t="s">
        <v>2340</v>
      </c>
      <c r="K2389">
        <v>477</v>
      </c>
      <c r="L2389" t="s">
        <v>108</v>
      </c>
      <c r="M2389">
        <v>44</v>
      </c>
      <c r="N2389" t="str">
        <f>HYPERLINK("Gene343-zp_tree_all.dnd", "Gene343-tree")</f>
        <v>Gene343-tree</v>
      </c>
      <c r="O2389">
        <v>1</v>
      </c>
      <c r="P2389">
        <v>13</v>
      </c>
      <c r="Q2389">
        <v>1</v>
      </c>
      <c r="R2389">
        <v>13</v>
      </c>
      <c r="S2389">
        <v>0.92857000000000001</v>
      </c>
      <c r="T2389" t="s">
        <v>175</v>
      </c>
      <c r="U2389" t="s">
        <v>507</v>
      </c>
      <c r="V2389" t="s">
        <v>62</v>
      </c>
      <c r="W2389" t="s">
        <v>62</v>
      </c>
      <c r="X2389">
        <v>8</v>
      </c>
      <c r="Y2389">
        <v>21</v>
      </c>
      <c r="Z2389">
        <v>29</v>
      </c>
      <c r="AA2389">
        <v>0.42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8</v>
      </c>
      <c r="AH2389">
        <v>0</v>
      </c>
      <c r="AI2389">
        <v>8</v>
      </c>
      <c r="AJ2389">
        <v>28</v>
      </c>
      <c r="AK2389">
        <v>0.22222</v>
      </c>
      <c r="AL2389">
        <v>12</v>
      </c>
      <c r="AM2389">
        <v>11</v>
      </c>
      <c r="AN2389">
        <v>25</v>
      </c>
      <c r="AO2389">
        <v>34</v>
      </c>
      <c r="AP2389">
        <v>12</v>
      </c>
      <c r="AQ2389">
        <v>16</v>
      </c>
      <c r="AR2389" t="s">
        <v>2341</v>
      </c>
      <c r="AS2389" t="s">
        <v>2342</v>
      </c>
      <c r="AT2389">
        <v>3.5000000000000003E-2</v>
      </c>
      <c r="AU2389" t="s">
        <v>65</v>
      </c>
      <c r="AV2389">
        <v>37</v>
      </c>
      <c r="AW2389">
        <v>50</v>
      </c>
      <c r="AX2389" t="s">
        <v>2343</v>
      </c>
      <c r="AY2389">
        <v>2.2849999999999999E-2</v>
      </c>
      <c r="AZ2389">
        <v>-1.0300000000000001E-3</v>
      </c>
      <c r="BA2389">
        <v>7.8399999999999997E-3</v>
      </c>
      <c r="BB2389">
        <v>-2.4000000000000001E-4</v>
      </c>
      <c r="BC2389">
        <v>0.34306999999999999</v>
      </c>
      <c r="BD2389">
        <v>0.99</v>
      </c>
      <c r="BE2389" t="s">
        <v>69</v>
      </c>
      <c r="BF2389">
        <v>-0.68400000000000005</v>
      </c>
      <c r="BG2389">
        <v>-1.2649999999999999</v>
      </c>
    </row>
    <row r="2390" spans="1:59">
      <c r="A2390">
        <v>0</v>
      </c>
      <c r="B2390">
        <v>7</v>
      </c>
      <c r="C2390">
        <v>0</v>
      </c>
      <c r="D2390" t="s">
        <v>25022</v>
      </c>
      <c r="E2390">
        <v>303</v>
      </c>
      <c r="F2390" t="s">
        <v>2068</v>
      </c>
      <c r="G2390" t="s">
        <v>57</v>
      </c>
      <c r="H2390">
        <v>325339</v>
      </c>
      <c r="I2390">
        <v>326769</v>
      </c>
      <c r="J2390" t="s">
        <v>2069</v>
      </c>
      <c r="K2390">
        <v>477</v>
      </c>
      <c r="L2390" t="s">
        <v>108</v>
      </c>
      <c r="M2390">
        <v>44</v>
      </c>
      <c r="N2390" t="str">
        <f>HYPERLINK("Gene303-zp_tree_all.dnd", "Gene303-tree")</f>
        <v>Gene303-tree</v>
      </c>
      <c r="O2390">
        <v>7</v>
      </c>
      <c r="P2390">
        <v>10</v>
      </c>
      <c r="Q2390">
        <v>7</v>
      </c>
      <c r="R2390">
        <v>10</v>
      </c>
      <c r="S2390">
        <v>0.58823999999999999</v>
      </c>
      <c r="T2390" t="s">
        <v>152</v>
      </c>
      <c r="U2390" t="s">
        <v>117</v>
      </c>
      <c r="V2390" t="s">
        <v>62</v>
      </c>
      <c r="W2390" t="s">
        <v>62</v>
      </c>
      <c r="X2390">
        <v>3</v>
      </c>
      <c r="Y2390">
        <v>7</v>
      </c>
      <c r="Z2390">
        <v>13</v>
      </c>
      <c r="AA2390">
        <v>0.35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2</v>
      </c>
      <c r="AH2390">
        <v>0</v>
      </c>
      <c r="AI2390">
        <v>2</v>
      </c>
      <c r="AJ2390">
        <v>13</v>
      </c>
      <c r="AK2390">
        <v>0.13333</v>
      </c>
      <c r="AL2390">
        <v>14</v>
      </c>
      <c r="AM2390">
        <v>11</v>
      </c>
      <c r="AN2390">
        <v>47</v>
      </c>
      <c r="AO2390">
        <v>15</v>
      </c>
      <c r="AP2390">
        <v>32</v>
      </c>
      <c r="AQ2390">
        <v>5</v>
      </c>
      <c r="AR2390" t="s">
        <v>2070</v>
      </c>
      <c r="AS2390" t="s">
        <v>2071</v>
      </c>
      <c r="AT2390">
        <v>0.67300000000000004</v>
      </c>
      <c r="AU2390" t="s">
        <v>65</v>
      </c>
      <c r="AV2390">
        <v>79</v>
      </c>
      <c r="AW2390">
        <v>20</v>
      </c>
      <c r="AX2390" t="s">
        <v>2072</v>
      </c>
      <c r="AY2390">
        <v>3.9640000000000002E-2</v>
      </c>
      <c r="AZ2390">
        <v>-1.67E-3</v>
      </c>
      <c r="BA2390">
        <v>2.33E-3</v>
      </c>
      <c r="BB2390">
        <v>-1.6000000000000001E-4</v>
      </c>
      <c r="BC2390">
        <v>5.8720000000000001E-2</v>
      </c>
      <c r="BD2390">
        <v>1</v>
      </c>
      <c r="BE2390" t="s">
        <v>69</v>
      </c>
      <c r="BF2390">
        <v>-0.85699999999999998</v>
      </c>
      <c r="BG2390">
        <v>-1.4790000000000001</v>
      </c>
    </row>
    <row r="2391" spans="1:59">
      <c r="A2391">
        <v>0</v>
      </c>
      <c r="B2391">
        <v>0</v>
      </c>
      <c r="C2391">
        <v>6</v>
      </c>
      <c r="D2391" t="s">
        <v>25022</v>
      </c>
      <c r="E2391">
        <v>159</v>
      </c>
      <c r="F2391" t="s">
        <v>1122</v>
      </c>
      <c r="G2391" t="s">
        <v>57</v>
      </c>
      <c r="H2391">
        <v>177083</v>
      </c>
      <c r="I2391">
        <v>178516</v>
      </c>
      <c r="J2391" t="s">
        <v>1123</v>
      </c>
      <c r="K2391">
        <v>478</v>
      </c>
      <c r="L2391" t="s">
        <v>1124</v>
      </c>
      <c r="M2391">
        <v>43</v>
      </c>
      <c r="N2391" t="str">
        <f>HYPERLINK("Gene159-zp_tree_all.dnd", "Gene159-tree")</f>
        <v>Gene159-tree</v>
      </c>
      <c r="O2391">
        <v>7</v>
      </c>
      <c r="P2391">
        <v>9</v>
      </c>
      <c r="Q2391">
        <v>7</v>
      </c>
      <c r="R2391">
        <v>9</v>
      </c>
      <c r="S2391">
        <v>0.5625</v>
      </c>
      <c r="T2391" t="s">
        <v>152</v>
      </c>
      <c r="U2391" t="s">
        <v>135</v>
      </c>
      <c r="V2391" t="s">
        <v>62</v>
      </c>
      <c r="W2391" t="s">
        <v>62</v>
      </c>
      <c r="X2391">
        <v>3</v>
      </c>
      <c r="Y2391">
        <v>6</v>
      </c>
      <c r="Z2391">
        <v>13</v>
      </c>
      <c r="AA2391">
        <v>0.31579000000000002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2</v>
      </c>
      <c r="AI2391">
        <v>2</v>
      </c>
      <c r="AJ2391">
        <v>13</v>
      </c>
      <c r="AK2391">
        <v>0.13333</v>
      </c>
      <c r="AL2391">
        <v>12</v>
      </c>
      <c r="AM2391">
        <v>13</v>
      </c>
      <c r="AN2391">
        <v>51</v>
      </c>
      <c r="AO2391">
        <v>14</v>
      </c>
      <c r="AP2391">
        <v>51</v>
      </c>
      <c r="AQ2391">
        <v>5</v>
      </c>
      <c r="AR2391" t="s">
        <v>1125</v>
      </c>
      <c r="AS2391" t="s">
        <v>1126</v>
      </c>
      <c r="AT2391">
        <v>1.198</v>
      </c>
      <c r="AU2391" t="s">
        <v>65</v>
      </c>
      <c r="AV2391">
        <v>102</v>
      </c>
      <c r="AW2391">
        <v>19</v>
      </c>
      <c r="AX2391" t="s">
        <v>1127</v>
      </c>
      <c r="AY2391">
        <v>5.9799999999999999E-2</v>
      </c>
      <c r="AZ2391">
        <v>-2.2499999999999998E-3</v>
      </c>
      <c r="BA2391">
        <v>3.0200000000000001E-3</v>
      </c>
      <c r="BB2391">
        <v>-1.1E-4</v>
      </c>
      <c r="BC2391">
        <v>5.0430000000000003E-2</v>
      </c>
      <c r="BD2391">
        <v>1</v>
      </c>
      <c r="BE2391" t="s">
        <v>69</v>
      </c>
      <c r="BF2391">
        <v>-1.234</v>
      </c>
      <c r="BG2391">
        <v>-1.67</v>
      </c>
    </row>
    <row r="2392" spans="1:59">
      <c r="A2392">
        <v>0</v>
      </c>
      <c r="B2392">
        <v>5</v>
      </c>
      <c r="C2392">
        <v>0</v>
      </c>
      <c r="D2392" t="s">
        <v>25022</v>
      </c>
      <c r="E2392">
        <v>792</v>
      </c>
      <c r="F2392" t="s">
        <v>4922</v>
      </c>
      <c r="G2392" t="s">
        <v>57</v>
      </c>
      <c r="H2392">
        <v>829382</v>
      </c>
      <c r="I2392">
        <v>830815</v>
      </c>
      <c r="J2392" t="s">
        <v>4923</v>
      </c>
      <c r="K2392">
        <v>478</v>
      </c>
      <c r="L2392" t="s">
        <v>59</v>
      </c>
      <c r="M2392">
        <v>49</v>
      </c>
      <c r="N2392" t="str">
        <f>HYPERLINK("Gene792-zp_tree_all.dnd", "Gene792-tree")</f>
        <v>Gene792-tree</v>
      </c>
      <c r="O2392">
        <v>14</v>
      </c>
      <c r="P2392">
        <v>8</v>
      </c>
      <c r="Q2392">
        <v>14</v>
      </c>
      <c r="R2392">
        <v>8</v>
      </c>
      <c r="S2392">
        <v>0.36364000000000002</v>
      </c>
      <c r="T2392" t="s">
        <v>543</v>
      </c>
      <c r="U2392" t="s">
        <v>136</v>
      </c>
      <c r="V2392" t="s">
        <v>62</v>
      </c>
      <c r="W2392" t="s">
        <v>62</v>
      </c>
      <c r="X2392">
        <v>1</v>
      </c>
      <c r="Y2392">
        <v>5</v>
      </c>
      <c r="Z2392">
        <v>18</v>
      </c>
      <c r="AA2392">
        <v>0.21739</v>
      </c>
      <c r="AB2392">
        <v>0</v>
      </c>
      <c r="AC2392">
        <v>0</v>
      </c>
      <c r="AD2392">
        <v>0</v>
      </c>
      <c r="AE2392">
        <v>5</v>
      </c>
      <c r="AF2392">
        <v>0</v>
      </c>
      <c r="AG2392">
        <v>0</v>
      </c>
      <c r="AH2392">
        <v>0</v>
      </c>
      <c r="AI2392">
        <v>0</v>
      </c>
      <c r="AJ2392">
        <v>10</v>
      </c>
      <c r="AK2392">
        <v>0</v>
      </c>
      <c r="AL2392">
        <v>16</v>
      </c>
      <c r="AM2392">
        <v>15</v>
      </c>
      <c r="AN2392">
        <v>60</v>
      </c>
      <c r="AO2392">
        <v>11</v>
      </c>
      <c r="AP2392">
        <v>88</v>
      </c>
      <c r="AQ2392">
        <v>13</v>
      </c>
      <c r="AR2392" t="s">
        <v>4924</v>
      </c>
      <c r="AS2392" t="s">
        <v>4925</v>
      </c>
      <c r="AT2392">
        <v>0.17899999999999999</v>
      </c>
      <c r="AU2392" t="s">
        <v>65</v>
      </c>
      <c r="AV2392">
        <v>148</v>
      </c>
      <c r="AW2392">
        <v>24</v>
      </c>
      <c r="AX2392" t="s">
        <v>4926</v>
      </c>
      <c r="AY2392">
        <v>7.2730000000000003E-2</v>
      </c>
      <c r="AZ2392">
        <v>-3.8700000000000002E-3</v>
      </c>
      <c r="BA2392">
        <v>3.0500000000000002E-3</v>
      </c>
      <c r="BB2392">
        <v>-2.0000000000000001E-4</v>
      </c>
      <c r="BC2392">
        <v>4.1959999999999997E-2</v>
      </c>
      <c r="BD2392">
        <v>1</v>
      </c>
      <c r="BE2392" t="s">
        <v>69</v>
      </c>
      <c r="BF2392">
        <v>-1.452</v>
      </c>
      <c r="BG2392">
        <v>-1.121</v>
      </c>
    </row>
    <row r="2393" spans="1:59">
      <c r="A2393">
        <v>0</v>
      </c>
      <c r="B2393">
        <v>3</v>
      </c>
      <c r="C2393">
        <v>0</v>
      </c>
      <c r="D2393" t="s">
        <v>25022</v>
      </c>
      <c r="E2393">
        <v>404</v>
      </c>
      <c r="F2393" t="s">
        <v>2739</v>
      </c>
      <c r="G2393" t="s">
        <v>57</v>
      </c>
      <c r="H2393">
        <v>449724</v>
      </c>
      <c r="I2393">
        <v>451157</v>
      </c>
      <c r="J2393" t="s">
        <v>2740</v>
      </c>
      <c r="K2393">
        <v>478</v>
      </c>
      <c r="L2393" t="s">
        <v>265</v>
      </c>
      <c r="M2393">
        <v>43</v>
      </c>
      <c r="N2393" t="str">
        <f>HYPERLINK("Gene404-zp_tree_all.dnd", "Gene404-tree")</f>
        <v>Gene404-tree</v>
      </c>
      <c r="O2393">
        <v>10</v>
      </c>
      <c r="P2393">
        <v>7</v>
      </c>
      <c r="Q2393">
        <v>10</v>
      </c>
      <c r="R2393">
        <v>7</v>
      </c>
      <c r="S2393">
        <v>0.41176000000000001</v>
      </c>
      <c r="T2393" t="s">
        <v>117</v>
      </c>
      <c r="U2393" t="s">
        <v>152</v>
      </c>
      <c r="V2393" t="s">
        <v>62</v>
      </c>
      <c r="W2393" t="s">
        <v>62</v>
      </c>
      <c r="X2393">
        <v>1</v>
      </c>
      <c r="Y2393">
        <v>3</v>
      </c>
      <c r="Z2393">
        <v>11</v>
      </c>
      <c r="AA2393">
        <v>0.21429000000000001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  <c r="AH2393">
        <v>0</v>
      </c>
      <c r="AI2393">
        <v>2</v>
      </c>
      <c r="AJ2393">
        <v>9</v>
      </c>
      <c r="AK2393">
        <v>0.18182000000000001</v>
      </c>
      <c r="AL2393">
        <v>14</v>
      </c>
      <c r="AM2393">
        <v>13</v>
      </c>
      <c r="AN2393">
        <v>65</v>
      </c>
      <c r="AO2393">
        <v>11</v>
      </c>
      <c r="AP2393">
        <v>45</v>
      </c>
      <c r="AQ2393">
        <v>3</v>
      </c>
      <c r="AR2393" t="s">
        <v>2741</v>
      </c>
      <c r="AS2393" t="s">
        <v>2742</v>
      </c>
      <c r="AT2393">
        <v>0.36899999999999999</v>
      </c>
      <c r="AU2393" t="s">
        <v>65</v>
      </c>
      <c r="AV2393">
        <v>110</v>
      </c>
      <c r="AW2393">
        <v>14</v>
      </c>
      <c r="AX2393" t="s">
        <v>2743</v>
      </c>
      <c r="AY2393">
        <v>5.638E-2</v>
      </c>
      <c r="AZ2393">
        <v>-2.2899999999999999E-3</v>
      </c>
      <c r="BA2393">
        <v>2.14E-3</v>
      </c>
      <c r="BB2393">
        <v>-1.8000000000000001E-4</v>
      </c>
      <c r="BC2393">
        <v>3.7920000000000002E-2</v>
      </c>
      <c r="BD2393">
        <v>1</v>
      </c>
      <c r="BE2393" t="s">
        <v>69</v>
      </c>
      <c r="BF2393">
        <v>-1.1020000000000001</v>
      </c>
      <c r="BG2393">
        <v>-3.1840000000000002</v>
      </c>
    </row>
    <row r="2394" spans="1:59">
      <c r="A2394">
        <v>7</v>
      </c>
      <c r="B2394">
        <v>34</v>
      </c>
      <c r="C2394">
        <v>6</v>
      </c>
      <c r="D2394" t="s">
        <v>25022</v>
      </c>
      <c r="E2394">
        <v>3940</v>
      </c>
      <c r="F2394" t="s">
        <v>23125</v>
      </c>
      <c r="G2394" t="s">
        <v>62</v>
      </c>
      <c r="H2394">
        <v>3902213</v>
      </c>
      <c r="I2394">
        <v>3903649</v>
      </c>
      <c r="J2394" t="s">
        <v>23126</v>
      </c>
      <c r="K2394">
        <v>479</v>
      </c>
      <c r="L2394" t="s">
        <v>108</v>
      </c>
      <c r="M2394">
        <v>44</v>
      </c>
      <c r="N2394" t="str">
        <f>HYPERLINK("Gene3940-zp_tree_all.dnd", "Gene3940-tree")</f>
        <v>Gene3940-tree</v>
      </c>
      <c r="O2394">
        <v>2</v>
      </c>
      <c r="P2394">
        <v>16</v>
      </c>
      <c r="Q2394">
        <v>2</v>
      </c>
      <c r="R2394">
        <v>13</v>
      </c>
      <c r="S2394">
        <v>0.86667000000000005</v>
      </c>
      <c r="T2394" t="s">
        <v>81</v>
      </c>
      <c r="U2394" t="s">
        <v>23127</v>
      </c>
      <c r="V2394">
        <v>9.6229999999999993</v>
      </c>
      <c r="W2394" t="s">
        <v>267</v>
      </c>
      <c r="X2394">
        <v>19</v>
      </c>
      <c r="Y2394">
        <v>47</v>
      </c>
      <c r="Z2394">
        <v>23</v>
      </c>
      <c r="AA2394">
        <v>0.67142999999999997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6</v>
      </c>
      <c r="AH2394">
        <v>10</v>
      </c>
      <c r="AI2394">
        <v>16</v>
      </c>
      <c r="AJ2394">
        <v>22</v>
      </c>
      <c r="AK2394">
        <v>0.42104999999999998</v>
      </c>
      <c r="AL2394">
        <v>14</v>
      </c>
      <c r="AM2394">
        <v>12</v>
      </c>
      <c r="AN2394">
        <v>58</v>
      </c>
      <c r="AO2394">
        <v>38</v>
      </c>
      <c r="AP2394">
        <v>64</v>
      </c>
      <c r="AQ2394">
        <v>33</v>
      </c>
      <c r="AR2394" t="s">
        <v>23128</v>
      </c>
      <c r="AS2394" t="s">
        <v>23129</v>
      </c>
      <c r="AT2394">
        <v>0.41499999999999998</v>
      </c>
      <c r="AU2394" t="s">
        <v>65</v>
      </c>
      <c r="AV2394">
        <v>122</v>
      </c>
      <c r="AW2394">
        <v>71</v>
      </c>
      <c r="AX2394" t="s">
        <v>23130</v>
      </c>
      <c r="AY2394">
        <v>8.0560000000000007E-2</v>
      </c>
      <c r="AZ2394">
        <v>-3.0000000000000001E-3</v>
      </c>
      <c r="BA2394">
        <v>1.159E-2</v>
      </c>
      <c r="BB2394">
        <v>-4.8000000000000001E-4</v>
      </c>
      <c r="BC2394">
        <v>0.14382</v>
      </c>
      <c r="BD2394">
        <v>1</v>
      </c>
      <c r="BE2394" t="s">
        <v>69</v>
      </c>
      <c r="BF2394">
        <v>0.312</v>
      </c>
      <c r="BG2394">
        <v>-7.6999999999999999E-2</v>
      </c>
    </row>
    <row r="2395" spans="1:59">
      <c r="A2395">
        <v>0</v>
      </c>
      <c r="B2395">
        <v>19</v>
      </c>
      <c r="C2395">
        <v>1</v>
      </c>
      <c r="D2395" t="s">
        <v>25022</v>
      </c>
      <c r="E2395">
        <v>4050</v>
      </c>
      <c r="F2395" t="s">
        <v>23839</v>
      </c>
      <c r="G2395" t="s">
        <v>62</v>
      </c>
      <c r="H2395">
        <v>4015990</v>
      </c>
      <c r="I2395">
        <v>4017426</v>
      </c>
      <c r="J2395" t="s">
        <v>23840</v>
      </c>
      <c r="K2395">
        <v>479</v>
      </c>
      <c r="L2395" t="s">
        <v>108</v>
      </c>
      <c r="M2395">
        <v>44</v>
      </c>
      <c r="N2395" t="str">
        <f>HYPERLINK("Gene4050-zp_tree_all.dnd", "Gene4050-tree")</f>
        <v>Gene4050-tree</v>
      </c>
      <c r="O2395">
        <v>7</v>
      </c>
      <c r="P2395">
        <v>26</v>
      </c>
      <c r="Q2395">
        <v>7</v>
      </c>
      <c r="R2395">
        <v>9</v>
      </c>
      <c r="S2395">
        <v>0.5625</v>
      </c>
      <c r="T2395" t="s">
        <v>152</v>
      </c>
      <c r="U2395" t="s">
        <v>4723</v>
      </c>
      <c r="V2395">
        <v>2.9420000000000002</v>
      </c>
      <c r="W2395" t="s">
        <v>65</v>
      </c>
      <c r="X2395">
        <v>6</v>
      </c>
      <c r="Y2395">
        <v>20</v>
      </c>
      <c r="Z2395">
        <v>14</v>
      </c>
      <c r="AA2395">
        <v>0.58823999999999999</v>
      </c>
      <c r="AB2395">
        <v>0</v>
      </c>
      <c r="AC2395">
        <v>0</v>
      </c>
      <c r="AD2395">
        <v>0</v>
      </c>
      <c r="AE2395">
        <v>3</v>
      </c>
      <c r="AF2395">
        <v>0</v>
      </c>
      <c r="AG2395">
        <v>10</v>
      </c>
      <c r="AH2395">
        <v>1</v>
      </c>
      <c r="AI2395">
        <v>11</v>
      </c>
      <c r="AJ2395">
        <v>11</v>
      </c>
      <c r="AK2395">
        <v>0.5</v>
      </c>
      <c r="AL2395">
        <v>13</v>
      </c>
      <c r="AM2395">
        <v>12</v>
      </c>
      <c r="AN2395">
        <v>68</v>
      </c>
      <c r="AO2395">
        <v>21</v>
      </c>
      <c r="AP2395">
        <v>54</v>
      </c>
      <c r="AQ2395">
        <v>13</v>
      </c>
      <c r="AR2395" t="s">
        <v>23841</v>
      </c>
      <c r="AS2395" t="s">
        <v>23842</v>
      </c>
      <c r="AT2395">
        <v>0.42699999999999999</v>
      </c>
      <c r="AU2395" t="s">
        <v>65</v>
      </c>
      <c r="AV2395">
        <v>122</v>
      </c>
      <c r="AW2395">
        <v>34</v>
      </c>
      <c r="AX2395" t="s">
        <v>23843</v>
      </c>
      <c r="AY2395">
        <v>7.2179999999999994E-2</v>
      </c>
      <c r="AZ2395">
        <v>-2.64E-3</v>
      </c>
      <c r="BA2395">
        <v>4.3899999999999998E-3</v>
      </c>
      <c r="BB2395">
        <v>-1.4999999999999999E-4</v>
      </c>
      <c r="BC2395">
        <v>6.0769999999999998E-2</v>
      </c>
      <c r="BD2395">
        <v>1</v>
      </c>
      <c r="BE2395" t="s">
        <v>69</v>
      </c>
      <c r="BF2395">
        <v>0.25900000000000001</v>
      </c>
      <c r="BG2395">
        <v>-5.7000000000000002E-2</v>
      </c>
    </row>
    <row r="2396" spans="1:59">
      <c r="A2396">
        <v>0</v>
      </c>
      <c r="B2396">
        <v>17</v>
      </c>
      <c r="C2396">
        <v>1</v>
      </c>
      <c r="D2396" t="s">
        <v>25022</v>
      </c>
      <c r="E2396">
        <v>4153</v>
      </c>
      <c r="F2396" t="s">
        <v>24450</v>
      </c>
      <c r="G2396" t="s">
        <v>62</v>
      </c>
      <c r="H2396">
        <v>4121169</v>
      </c>
      <c r="I2396">
        <v>4122605</v>
      </c>
      <c r="J2396" t="s">
        <v>24451</v>
      </c>
      <c r="K2396">
        <v>479</v>
      </c>
      <c r="L2396" t="s">
        <v>11485</v>
      </c>
      <c r="M2396">
        <v>43</v>
      </c>
      <c r="N2396" t="str">
        <f>HYPERLINK("Gene4153-zp_tree_all.dnd", "Gene4153-tree")</f>
        <v>Gene4153-tree</v>
      </c>
      <c r="O2396">
        <v>4</v>
      </c>
      <c r="P2396">
        <v>30</v>
      </c>
      <c r="Q2396">
        <v>4</v>
      </c>
      <c r="R2396">
        <v>12</v>
      </c>
      <c r="S2396">
        <v>0.75</v>
      </c>
      <c r="T2396" t="s">
        <v>61</v>
      </c>
      <c r="U2396" t="s">
        <v>23505</v>
      </c>
      <c r="V2396">
        <v>1.5469999999999999</v>
      </c>
      <c r="W2396" t="s">
        <v>65</v>
      </c>
      <c r="X2396">
        <v>6</v>
      </c>
      <c r="Y2396">
        <v>18</v>
      </c>
      <c r="Z2396">
        <v>10</v>
      </c>
      <c r="AA2396">
        <v>0.64285999999999999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3</v>
      </c>
      <c r="AH2396">
        <v>2</v>
      </c>
      <c r="AI2396">
        <v>5</v>
      </c>
      <c r="AJ2396">
        <v>12</v>
      </c>
      <c r="AK2396">
        <v>0.29411999999999999</v>
      </c>
      <c r="AL2396">
        <v>15</v>
      </c>
      <c r="AM2396">
        <v>11</v>
      </c>
      <c r="AN2396">
        <v>100</v>
      </c>
      <c r="AO2396">
        <v>18</v>
      </c>
      <c r="AP2396">
        <v>39</v>
      </c>
      <c r="AQ2396">
        <v>11</v>
      </c>
      <c r="AR2396" t="s">
        <v>24452</v>
      </c>
      <c r="AS2396" t="s">
        <v>24453</v>
      </c>
      <c r="AT2396">
        <v>1.089</v>
      </c>
      <c r="AU2396" t="s">
        <v>65</v>
      </c>
      <c r="AV2396">
        <v>139</v>
      </c>
      <c r="AW2396">
        <v>29</v>
      </c>
      <c r="AX2396" t="s">
        <v>24454</v>
      </c>
      <c r="AY2396">
        <v>6.6019999999999995E-2</v>
      </c>
      <c r="AZ2396">
        <v>-2.3400000000000001E-3</v>
      </c>
      <c r="BA2396">
        <v>3.64E-3</v>
      </c>
      <c r="BB2396">
        <v>-1.4999999999999999E-4</v>
      </c>
      <c r="BC2396">
        <v>5.509E-2</v>
      </c>
      <c r="BD2396">
        <v>1</v>
      </c>
      <c r="BE2396" t="s">
        <v>69</v>
      </c>
      <c r="BF2396">
        <v>-0.71399999999999997</v>
      </c>
      <c r="BG2396">
        <v>-1.2869999999999999</v>
      </c>
    </row>
    <row r="2397" spans="1:59">
      <c r="A2397">
        <v>0</v>
      </c>
      <c r="B2397">
        <v>0</v>
      </c>
      <c r="C2397">
        <v>0</v>
      </c>
      <c r="D2397" t="s">
        <v>25022</v>
      </c>
      <c r="E2397">
        <v>3531</v>
      </c>
      <c r="F2397" t="s">
        <v>20683</v>
      </c>
      <c r="G2397" t="s">
        <v>62</v>
      </c>
      <c r="H2397">
        <v>3493522</v>
      </c>
      <c r="I2397">
        <v>3494958</v>
      </c>
      <c r="J2397" t="s">
        <v>20684</v>
      </c>
      <c r="K2397">
        <v>479</v>
      </c>
      <c r="L2397" t="s">
        <v>108</v>
      </c>
      <c r="M2397">
        <v>44</v>
      </c>
      <c r="N2397" t="str">
        <f>HYPERLINK("Gene3531-zp_tree_all.dnd", "Gene3531-tree")</f>
        <v>Gene3531-tree</v>
      </c>
      <c r="O2397">
        <v>5</v>
      </c>
      <c r="P2397">
        <v>9</v>
      </c>
      <c r="Q2397">
        <v>5</v>
      </c>
      <c r="R2397">
        <v>9</v>
      </c>
      <c r="S2397">
        <v>0.64285999999999999</v>
      </c>
      <c r="T2397" t="s">
        <v>199</v>
      </c>
      <c r="U2397" t="s">
        <v>135</v>
      </c>
      <c r="V2397" t="s">
        <v>62</v>
      </c>
      <c r="W2397" t="s">
        <v>62</v>
      </c>
      <c r="X2397">
        <v>0</v>
      </c>
      <c r="Y2397">
        <v>0</v>
      </c>
      <c r="Z2397">
        <v>10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</v>
      </c>
      <c r="AK2397">
        <v>0</v>
      </c>
      <c r="AL2397">
        <v>13</v>
      </c>
      <c r="AM2397">
        <v>10</v>
      </c>
      <c r="AN2397">
        <v>68</v>
      </c>
      <c r="AO2397">
        <v>9</v>
      </c>
      <c r="AP2397">
        <v>36</v>
      </c>
      <c r="AQ2397">
        <v>1</v>
      </c>
      <c r="AR2397" t="s">
        <v>20685</v>
      </c>
      <c r="AS2397" t="s">
        <v>20686</v>
      </c>
      <c r="AT2397">
        <v>1.165</v>
      </c>
      <c r="AU2397" t="s">
        <v>65</v>
      </c>
      <c r="AV2397">
        <v>104</v>
      </c>
      <c r="AW2397">
        <v>10</v>
      </c>
      <c r="AX2397" t="s">
        <v>20687</v>
      </c>
      <c r="AY2397">
        <v>5.2760000000000001E-2</v>
      </c>
      <c r="AZ2397">
        <v>-1.6999999999999999E-3</v>
      </c>
      <c r="BA2397">
        <v>1.5E-3</v>
      </c>
      <c r="BB2397">
        <v>-8.0000000000000007E-5</v>
      </c>
      <c r="BC2397">
        <v>2.8400000000000002E-2</v>
      </c>
      <c r="BD2397">
        <v>1</v>
      </c>
      <c r="BE2397" t="s">
        <v>69</v>
      </c>
      <c r="BF2397">
        <v>-1.0920000000000001</v>
      </c>
      <c r="BG2397">
        <v>-2.444</v>
      </c>
    </row>
    <row r="2398" spans="1:59">
      <c r="A2398">
        <v>0</v>
      </c>
      <c r="B2398">
        <v>24</v>
      </c>
      <c r="C2398">
        <v>1</v>
      </c>
      <c r="D2398" t="s">
        <v>25022</v>
      </c>
      <c r="E2398">
        <v>27</v>
      </c>
      <c r="F2398" t="s">
        <v>263</v>
      </c>
      <c r="G2398" t="s">
        <v>57</v>
      </c>
      <c r="H2398">
        <v>37720</v>
      </c>
      <c r="I2398">
        <v>39159</v>
      </c>
      <c r="J2398" t="s">
        <v>264</v>
      </c>
      <c r="K2398">
        <v>480</v>
      </c>
      <c r="L2398" t="s">
        <v>265</v>
      </c>
      <c r="M2398">
        <v>43</v>
      </c>
      <c r="N2398" t="str">
        <f>HYPERLINK("Gene27-zp_tree_all.dnd", "Gene27-tree")</f>
        <v>Gene27-tree</v>
      </c>
      <c r="O2398">
        <v>1</v>
      </c>
      <c r="P2398">
        <v>17</v>
      </c>
      <c r="Q2398">
        <v>1</v>
      </c>
      <c r="R2398">
        <v>17</v>
      </c>
      <c r="S2398">
        <v>0.94443999999999995</v>
      </c>
      <c r="T2398" t="s">
        <v>175</v>
      </c>
      <c r="U2398" t="s">
        <v>266</v>
      </c>
      <c r="V2398">
        <v>1113605517.5209999</v>
      </c>
      <c r="W2398" t="s">
        <v>267</v>
      </c>
      <c r="X2398">
        <v>8</v>
      </c>
      <c r="Y2398">
        <v>25</v>
      </c>
      <c r="Z2398">
        <v>24</v>
      </c>
      <c r="AA2398">
        <v>0.51019999999999999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13</v>
      </c>
      <c r="AH2398">
        <v>1</v>
      </c>
      <c r="AI2398">
        <v>14</v>
      </c>
      <c r="AJ2398">
        <v>23</v>
      </c>
      <c r="AK2398">
        <v>0.37837999999999999</v>
      </c>
      <c r="AL2398">
        <v>15</v>
      </c>
      <c r="AM2398">
        <v>14</v>
      </c>
      <c r="AN2398">
        <v>44</v>
      </c>
      <c r="AO2398">
        <v>34</v>
      </c>
      <c r="AP2398">
        <v>29</v>
      </c>
      <c r="AQ2398">
        <v>18</v>
      </c>
      <c r="AR2398" t="s">
        <v>268</v>
      </c>
      <c r="AS2398" t="s">
        <v>269</v>
      </c>
      <c r="AT2398">
        <v>0.54400000000000004</v>
      </c>
      <c r="AU2398" t="s">
        <v>65</v>
      </c>
      <c r="AV2398">
        <v>73</v>
      </c>
      <c r="AW2398">
        <v>52</v>
      </c>
      <c r="AX2398" t="s">
        <v>270</v>
      </c>
      <c r="AY2398">
        <v>3.2250000000000001E-2</v>
      </c>
      <c r="AZ2398">
        <v>-8.5999999999999998E-4</v>
      </c>
      <c r="BA2398">
        <v>7.0800000000000004E-3</v>
      </c>
      <c r="BB2398">
        <v>-1.9000000000000001E-4</v>
      </c>
      <c r="BC2398">
        <v>0.21965999999999999</v>
      </c>
      <c r="BD2398">
        <v>1</v>
      </c>
      <c r="BE2398" t="s">
        <v>69</v>
      </c>
      <c r="BF2398">
        <v>-0.58399999999999996</v>
      </c>
      <c r="BG2398">
        <v>-1.903</v>
      </c>
    </row>
    <row r="2399" spans="1:59">
      <c r="A2399">
        <v>3</v>
      </c>
      <c r="B2399">
        <v>50</v>
      </c>
      <c r="C2399">
        <v>7</v>
      </c>
      <c r="D2399" t="s">
        <v>25022</v>
      </c>
      <c r="E2399">
        <v>1282</v>
      </c>
      <c r="F2399" t="s">
        <v>8041</v>
      </c>
      <c r="G2399" t="s">
        <v>57</v>
      </c>
      <c r="H2399">
        <v>1309880</v>
      </c>
      <c r="I2399">
        <v>1311319</v>
      </c>
      <c r="J2399" t="s">
        <v>8042</v>
      </c>
      <c r="K2399">
        <v>480</v>
      </c>
      <c r="L2399" t="s">
        <v>108</v>
      </c>
      <c r="M2399">
        <v>44</v>
      </c>
      <c r="N2399" t="str">
        <f>HYPERLINK("Gene1282-zp_tree_all.dnd", "Gene1282-tree")</f>
        <v>Gene1282-tree</v>
      </c>
      <c r="O2399">
        <v>4</v>
      </c>
      <c r="P2399">
        <v>12</v>
      </c>
      <c r="Q2399">
        <v>4</v>
      </c>
      <c r="R2399">
        <v>12</v>
      </c>
      <c r="S2399">
        <v>0.75</v>
      </c>
      <c r="T2399" t="s">
        <v>61</v>
      </c>
      <c r="U2399" t="s">
        <v>109</v>
      </c>
      <c r="V2399" t="s">
        <v>62</v>
      </c>
      <c r="W2399" t="s">
        <v>62</v>
      </c>
      <c r="X2399">
        <v>20</v>
      </c>
      <c r="Y2399">
        <v>60</v>
      </c>
      <c r="Z2399">
        <v>27</v>
      </c>
      <c r="AA2399">
        <v>0.68966000000000005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21</v>
      </c>
      <c r="AH2399">
        <v>6</v>
      </c>
      <c r="AI2399">
        <v>27</v>
      </c>
      <c r="AJ2399">
        <v>31</v>
      </c>
      <c r="AK2399">
        <v>0.46551999999999999</v>
      </c>
      <c r="AL2399">
        <v>14</v>
      </c>
      <c r="AM2399">
        <v>13</v>
      </c>
      <c r="AN2399">
        <v>75</v>
      </c>
      <c r="AO2399">
        <v>58</v>
      </c>
      <c r="AP2399">
        <v>49</v>
      </c>
      <c r="AQ2399">
        <v>32</v>
      </c>
      <c r="AR2399" t="s">
        <v>8043</v>
      </c>
      <c r="AS2399" t="s">
        <v>8044</v>
      </c>
      <c r="AT2399">
        <v>0.373</v>
      </c>
      <c r="AU2399" t="s">
        <v>65</v>
      </c>
      <c r="AV2399">
        <v>124</v>
      </c>
      <c r="AW2399">
        <v>90</v>
      </c>
      <c r="AX2399" t="s">
        <v>8045</v>
      </c>
      <c r="AY2399">
        <v>6.5839999999999996E-2</v>
      </c>
      <c r="AZ2399">
        <v>-1.8400000000000001E-3</v>
      </c>
      <c r="BA2399">
        <v>1.1679999999999999E-2</v>
      </c>
      <c r="BB2399">
        <v>-3.4000000000000002E-4</v>
      </c>
      <c r="BC2399">
        <v>0.17732999999999999</v>
      </c>
      <c r="BD2399">
        <v>1</v>
      </c>
      <c r="BE2399" t="s">
        <v>69</v>
      </c>
      <c r="BF2399">
        <v>-0.35799999999999998</v>
      </c>
      <c r="BG2399">
        <v>-1.621</v>
      </c>
    </row>
    <row r="2400" spans="1:59">
      <c r="A2400">
        <v>0</v>
      </c>
      <c r="B2400">
        <v>2</v>
      </c>
      <c r="C2400">
        <v>0</v>
      </c>
      <c r="D2400" t="s">
        <v>25022</v>
      </c>
      <c r="E2400">
        <v>3652</v>
      </c>
      <c r="F2400" t="s">
        <v>21424</v>
      </c>
      <c r="G2400" t="s">
        <v>62</v>
      </c>
      <c r="H2400">
        <v>3622359</v>
      </c>
      <c r="I2400">
        <v>3623798</v>
      </c>
      <c r="J2400" t="s">
        <v>21425</v>
      </c>
      <c r="K2400">
        <v>480</v>
      </c>
      <c r="L2400" t="s">
        <v>108</v>
      </c>
      <c r="M2400">
        <v>44</v>
      </c>
      <c r="N2400" t="str">
        <f>HYPERLINK("Gene3652-zp_tree_all.dnd", "Gene3652-tree")</f>
        <v>Gene3652-tree</v>
      </c>
      <c r="O2400">
        <v>9</v>
      </c>
      <c r="P2400">
        <v>4</v>
      </c>
      <c r="Q2400">
        <v>9</v>
      </c>
      <c r="R2400">
        <v>4</v>
      </c>
      <c r="S2400">
        <v>0.30769000000000002</v>
      </c>
      <c r="T2400" t="s">
        <v>135</v>
      </c>
      <c r="U2400" t="s">
        <v>61</v>
      </c>
      <c r="V2400" t="s">
        <v>62</v>
      </c>
      <c r="W2400" t="s">
        <v>62</v>
      </c>
      <c r="X2400">
        <v>1</v>
      </c>
      <c r="Y2400">
        <v>2</v>
      </c>
      <c r="Z2400">
        <v>6</v>
      </c>
      <c r="AA2400">
        <v>0.25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2</v>
      </c>
      <c r="AH2400">
        <v>0</v>
      </c>
      <c r="AI2400">
        <v>2</v>
      </c>
      <c r="AJ2400">
        <v>5</v>
      </c>
      <c r="AK2400">
        <v>0.28571000000000002</v>
      </c>
      <c r="AL2400">
        <v>11</v>
      </c>
      <c r="AM2400">
        <v>8</v>
      </c>
      <c r="AN2400">
        <v>29</v>
      </c>
      <c r="AO2400">
        <v>7</v>
      </c>
      <c r="AP2400">
        <v>14</v>
      </c>
      <c r="AQ2400">
        <v>1</v>
      </c>
      <c r="AR2400" t="s">
        <v>21426</v>
      </c>
      <c r="AS2400" t="s">
        <v>21427</v>
      </c>
      <c r="AT2400">
        <v>0.64700000000000002</v>
      </c>
      <c r="AU2400" t="s">
        <v>65</v>
      </c>
      <c r="AV2400">
        <v>43</v>
      </c>
      <c r="AW2400">
        <v>8</v>
      </c>
      <c r="AX2400" t="s">
        <v>21428</v>
      </c>
      <c r="AY2400">
        <v>2.895E-2</v>
      </c>
      <c r="AZ2400">
        <v>-9.3999999999999997E-4</v>
      </c>
      <c r="BA2400">
        <v>1.1900000000000001E-3</v>
      </c>
      <c r="BB2400">
        <v>-1.2E-4</v>
      </c>
      <c r="BC2400">
        <v>4.1270000000000001E-2</v>
      </c>
      <c r="BD2400">
        <v>1</v>
      </c>
      <c r="BE2400" t="s">
        <v>69</v>
      </c>
      <c r="BF2400">
        <v>-0.98299999999999998</v>
      </c>
      <c r="BG2400">
        <v>-1.7809999999999999</v>
      </c>
    </row>
    <row r="2401" spans="1:59">
      <c r="A2401">
        <v>0</v>
      </c>
      <c r="B2401">
        <v>20</v>
      </c>
      <c r="C2401">
        <v>6</v>
      </c>
      <c r="D2401" t="s">
        <v>25022</v>
      </c>
      <c r="E2401">
        <v>3965</v>
      </c>
      <c r="F2401" t="s">
        <v>23298</v>
      </c>
      <c r="G2401" t="s">
        <v>62</v>
      </c>
      <c r="H2401">
        <v>3929108</v>
      </c>
      <c r="I2401">
        <v>3930550</v>
      </c>
      <c r="J2401" t="s">
        <v>23299</v>
      </c>
      <c r="K2401">
        <v>481</v>
      </c>
      <c r="L2401" t="s">
        <v>108</v>
      </c>
      <c r="M2401">
        <v>44</v>
      </c>
      <c r="N2401" t="str">
        <f>HYPERLINK("Gene3965-zp_tree_all.dnd", "Gene3965-tree")</f>
        <v>Gene3965-tree</v>
      </c>
      <c r="O2401">
        <v>2</v>
      </c>
      <c r="P2401">
        <v>13</v>
      </c>
      <c r="Q2401">
        <v>2</v>
      </c>
      <c r="R2401">
        <v>13</v>
      </c>
      <c r="S2401">
        <v>0.86667000000000005</v>
      </c>
      <c r="T2401" t="s">
        <v>81</v>
      </c>
      <c r="U2401" t="s">
        <v>507</v>
      </c>
      <c r="V2401" t="s">
        <v>62</v>
      </c>
      <c r="W2401" t="s">
        <v>62</v>
      </c>
      <c r="X2401">
        <v>9</v>
      </c>
      <c r="Y2401">
        <v>26</v>
      </c>
      <c r="Z2401">
        <v>22</v>
      </c>
      <c r="AA2401">
        <v>0.54166999999999998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12</v>
      </c>
      <c r="AH2401">
        <v>3</v>
      </c>
      <c r="AI2401">
        <v>15</v>
      </c>
      <c r="AJ2401">
        <v>19</v>
      </c>
      <c r="AK2401">
        <v>0.44118000000000002</v>
      </c>
      <c r="AL2401">
        <v>14</v>
      </c>
      <c r="AM2401">
        <v>12</v>
      </c>
      <c r="AN2401">
        <v>62</v>
      </c>
      <c r="AO2401">
        <v>30</v>
      </c>
      <c r="AP2401">
        <v>39</v>
      </c>
      <c r="AQ2401">
        <v>19</v>
      </c>
      <c r="AR2401" t="s">
        <v>23300</v>
      </c>
      <c r="AS2401" t="s">
        <v>23301</v>
      </c>
      <c r="AT2401">
        <v>2.1999999999999999E-2</v>
      </c>
      <c r="AU2401" t="s">
        <v>65</v>
      </c>
      <c r="AV2401">
        <v>101</v>
      </c>
      <c r="AW2401">
        <v>49</v>
      </c>
      <c r="AX2401" t="s">
        <v>23302</v>
      </c>
      <c r="AY2401">
        <v>4.8430000000000001E-2</v>
      </c>
      <c r="AZ2401">
        <v>-2E-3</v>
      </c>
      <c r="BA2401">
        <v>7.3200000000000001E-3</v>
      </c>
      <c r="BB2401">
        <v>-2.9999999999999997E-4</v>
      </c>
      <c r="BC2401">
        <v>0.15110999999999999</v>
      </c>
      <c r="BD2401">
        <v>1</v>
      </c>
      <c r="BE2401" t="s">
        <v>69</v>
      </c>
      <c r="BF2401">
        <v>-9.5000000000000001E-2</v>
      </c>
      <c r="BG2401">
        <v>-0.152</v>
      </c>
    </row>
    <row r="2402" spans="1:59">
      <c r="A2402">
        <v>0</v>
      </c>
      <c r="B2402">
        <v>0</v>
      </c>
      <c r="C2402">
        <v>0</v>
      </c>
      <c r="D2402" t="s">
        <v>25022</v>
      </c>
      <c r="E2402">
        <v>860</v>
      </c>
      <c r="F2402" t="s">
        <v>5370</v>
      </c>
      <c r="G2402" t="s">
        <v>57</v>
      </c>
      <c r="H2402">
        <v>900080</v>
      </c>
      <c r="I2402">
        <v>901525</v>
      </c>
      <c r="J2402" t="s">
        <v>5371</v>
      </c>
      <c r="K2402">
        <v>482</v>
      </c>
      <c r="L2402" t="s">
        <v>5372</v>
      </c>
      <c r="M2402">
        <v>28</v>
      </c>
      <c r="N2402" t="str">
        <f>HYPERLINK("Gene860-zp_tree_all.dnd", "Gene860-tree")</f>
        <v>Gene860-tree</v>
      </c>
      <c r="O2402">
        <v>22</v>
      </c>
      <c r="P2402">
        <v>1</v>
      </c>
      <c r="Q2402">
        <v>3</v>
      </c>
      <c r="R2402">
        <v>1</v>
      </c>
      <c r="S2402">
        <v>0.25</v>
      </c>
      <c r="T2402" t="s">
        <v>1005</v>
      </c>
      <c r="U2402" t="s">
        <v>175</v>
      </c>
      <c r="V2402" t="s">
        <v>62</v>
      </c>
      <c r="W2402" t="s">
        <v>62</v>
      </c>
      <c r="X2402">
        <v>0</v>
      </c>
      <c r="Y2402">
        <v>0</v>
      </c>
      <c r="Z2402">
        <v>9</v>
      </c>
      <c r="AA2402">
        <v>0</v>
      </c>
      <c r="AB2402">
        <v>0</v>
      </c>
      <c r="AC2402">
        <v>0</v>
      </c>
      <c r="AD2402">
        <v>0</v>
      </c>
      <c r="AE2402">
        <v>5</v>
      </c>
      <c r="AF2402">
        <v>0</v>
      </c>
      <c r="AG2402">
        <v>0</v>
      </c>
      <c r="AH2402">
        <v>0</v>
      </c>
      <c r="AI2402">
        <v>0</v>
      </c>
      <c r="AJ2402">
        <v>4</v>
      </c>
      <c r="AK2402">
        <v>0</v>
      </c>
      <c r="AL2402">
        <v>3</v>
      </c>
      <c r="AM2402">
        <v>1</v>
      </c>
      <c r="AN2402">
        <v>11</v>
      </c>
      <c r="AO2402">
        <v>4</v>
      </c>
      <c r="AP2402">
        <v>9</v>
      </c>
      <c r="AQ2402">
        <v>5</v>
      </c>
      <c r="AR2402" t="s">
        <v>5373</v>
      </c>
      <c r="AS2402" t="s">
        <v>5374</v>
      </c>
      <c r="AT2402">
        <v>0.38600000000000001</v>
      </c>
      <c r="AU2402" t="s">
        <v>65</v>
      </c>
      <c r="AV2402">
        <v>20</v>
      </c>
      <c r="AW2402">
        <v>9</v>
      </c>
      <c r="AX2402" t="s">
        <v>5375</v>
      </c>
      <c r="AY2402">
        <v>3.2750000000000001E-2</v>
      </c>
      <c r="AZ2402">
        <v>-5.9100000000000003E-3</v>
      </c>
      <c r="BA2402">
        <v>4.9300000000000004E-3</v>
      </c>
      <c r="BB2402">
        <v>-8.3000000000000001E-4</v>
      </c>
      <c r="BC2402">
        <v>0.15064</v>
      </c>
      <c r="BD2402">
        <v>1</v>
      </c>
      <c r="BE2402" t="s">
        <v>69</v>
      </c>
      <c r="BF2402">
        <v>-2.0459999999999998</v>
      </c>
      <c r="BG2402">
        <v>-1.3879999999999999</v>
      </c>
    </row>
    <row r="2403" spans="1:59">
      <c r="A2403">
        <v>0</v>
      </c>
      <c r="B2403">
        <v>10</v>
      </c>
      <c r="C2403">
        <v>2</v>
      </c>
      <c r="D2403" t="s">
        <v>25022</v>
      </c>
      <c r="E2403">
        <v>552</v>
      </c>
      <c r="F2403" t="s">
        <v>3551</v>
      </c>
      <c r="G2403" t="s">
        <v>57</v>
      </c>
      <c r="H2403">
        <v>583589</v>
      </c>
      <c r="I2403">
        <v>585034</v>
      </c>
      <c r="J2403" t="s">
        <v>2441</v>
      </c>
      <c r="K2403">
        <v>482</v>
      </c>
      <c r="L2403" t="s">
        <v>108</v>
      </c>
      <c r="M2403">
        <v>44</v>
      </c>
      <c r="N2403" t="str">
        <f>HYPERLINK("Gene552-zp_tree_all.dnd", "Gene552-tree")</f>
        <v>Gene552-tree</v>
      </c>
      <c r="O2403">
        <v>0</v>
      </c>
      <c r="P2403">
        <v>15</v>
      </c>
      <c r="Q2403">
        <v>0</v>
      </c>
      <c r="R2403">
        <v>15</v>
      </c>
      <c r="S2403">
        <v>1</v>
      </c>
      <c r="T2403" t="s">
        <v>62</v>
      </c>
      <c r="U2403" t="s">
        <v>100</v>
      </c>
      <c r="V2403" t="s">
        <v>62</v>
      </c>
      <c r="W2403" t="s">
        <v>62</v>
      </c>
      <c r="X2403">
        <v>5</v>
      </c>
      <c r="Y2403">
        <v>12</v>
      </c>
      <c r="Z2403">
        <v>22</v>
      </c>
      <c r="AA2403">
        <v>0.35293999999999998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6</v>
      </c>
      <c r="AH2403">
        <v>2</v>
      </c>
      <c r="AI2403">
        <v>8</v>
      </c>
      <c r="AJ2403">
        <v>18</v>
      </c>
      <c r="AK2403">
        <v>0.30769000000000002</v>
      </c>
      <c r="AL2403">
        <v>12</v>
      </c>
      <c r="AM2403">
        <v>12</v>
      </c>
      <c r="AN2403">
        <v>38</v>
      </c>
      <c r="AO2403">
        <v>23</v>
      </c>
      <c r="AP2403">
        <v>35</v>
      </c>
      <c r="AQ2403">
        <v>11</v>
      </c>
      <c r="AR2403" t="s">
        <v>3552</v>
      </c>
      <c r="AS2403" t="s">
        <v>3553</v>
      </c>
      <c r="AT2403">
        <v>0.442</v>
      </c>
      <c r="AU2403" t="s">
        <v>65</v>
      </c>
      <c r="AV2403">
        <v>73</v>
      </c>
      <c r="AW2403">
        <v>34</v>
      </c>
      <c r="AX2403" t="s">
        <v>3554</v>
      </c>
      <c r="AY2403">
        <v>4.4159999999999998E-2</v>
      </c>
      <c r="AZ2403">
        <v>-2.1199999999999999E-3</v>
      </c>
      <c r="BA2403">
        <v>5.47E-3</v>
      </c>
      <c r="BB2403">
        <v>-2.5999999999999998E-4</v>
      </c>
      <c r="BC2403">
        <v>0.12378</v>
      </c>
      <c r="BD2403">
        <v>1</v>
      </c>
      <c r="BE2403" t="s">
        <v>69</v>
      </c>
      <c r="BF2403">
        <v>-0.81299999999999994</v>
      </c>
      <c r="BG2403">
        <v>-1.8660000000000001</v>
      </c>
    </row>
    <row r="2404" spans="1:59">
      <c r="A2404">
        <v>0</v>
      </c>
      <c r="B2404">
        <v>0</v>
      </c>
      <c r="C2404">
        <v>0</v>
      </c>
      <c r="D2404" t="s">
        <v>25022</v>
      </c>
      <c r="E2404">
        <v>3688</v>
      </c>
      <c r="F2404" t="s">
        <v>21647</v>
      </c>
      <c r="G2404" t="s">
        <v>62</v>
      </c>
      <c r="H2404">
        <v>3656755</v>
      </c>
      <c r="I2404">
        <v>3658203</v>
      </c>
      <c r="J2404" t="s">
        <v>21648</v>
      </c>
      <c r="K2404">
        <v>483</v>
      </c>
      <c r="L2404" t="s">
        <v>2078</v>
      </c>
      <c r="M2404">
        <v>36</v>
      </c>
      <c r="N2404" t="str">
        <f>HYPERLINK("Gene3688-zp_tree_all.dnd", "Gene3688-tree")</f>
        <v>Gene3688-tree</v>
      </c>
      <c r="O2404">
        <v>5</v>
      </c>
      <c r="P2404">
        <v>7</v>
      </c>
      <c r="Q2404">
        <v>5</v>
      </c>
      <c r="R2404">
        <v>7</v>
      </c>
      <c r="S2404">
        <v>0.58333000000000002</v>
      </c>
      <c r="T2404" t="s">
        <v>199</v>
      </c>
      <c r="U2404" t="s">
        <v>152</v>
      </c>
      <c r="V2404" t="s">
        <v>62</v>
      </c>
      <c r="W2404" t="s">
        <v>62</v>
      </c>
      <c r="X2404">
        <v>0</v>
      </c>
      <c r="Y2404">
        <v>0</v>
      </c>
      <c r="Z2404">
        <v>10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</v>
      </c>
      <c r="AK2404">
        <v>0</v>
      </c>
      <c r="AL2404">
        <v>12</v>
      </c>
      <c r="AM2404">
        <v>8</v>
      </c>
      <c r="AN2404">
        <v>37</v>
      </c>
      <c r="AO2404">
        <v>9</v>
      </c>
      <c r="AP2404">
        <v>20</v>
      </c>
      <c r="AQ2404">
        <v>1</v>
      </c>
      <c r="AR2404" t="s">
        <v>21649</v>
      </c>
      <c r="AS2404" t="s">
        <v>21650</v>
      </c>
      <c r="AT2404">
        <v>1.1459999999999999</v>
      </c>
      <c r="AU2404" t="s">
        <v>65</v>
      </c>
      <c r="AV2404">
        <v>57</v>
      </c>
      <c r="AW2404">
        <v>10</v>
      </c>
      <c r="AX2404" t="s">
        <v>21651</v>
      </c>
      <c r="AY2404">
        <v>3.4259999999999999E-2</v>
      </c>
      <c r="AZ2404">
        <v>-1.6100000000000001E-3</v>
      </c>
      <c r="BA2404">
        <v>1.65E-3</v>
      </c>
      <c r="BB2404">
        <v>-1.2999999999999999E-4</v>
      </c>
      <c r="BC2404">
        <v>4.8090000000000001E-2</v>
      </c>
      <c r="BD2404">
        <v>1</v>
      </c>
      <c r="BE2404" t="s">
        <v>69</v>
      </c>
      <c r="BF2404">
        <v>-1.125</v>
      </c>
      <c r="BG2404">
        <v>-2.0649999999999999</v>
      </c>
    </row>
    <row r="2405" spans="1:59">
      <c r="A2405">
        <v>0</v>
      </c>
      <c r="B2405">
        <v>5</v>
      </c>
      <c r="C2405">
        <v>0</v>
      </c>
      <c r="D2405" t="s">
        <v>25022</v>
      </c>
      <c r="E2405">
        <v>92</v>
      </c>
      <c r="F2405" t="s">
        <v>725</v>
      </c>
      <c r="G2405" t="s">
        <v>57</v>
      </c>
      <c r="H2405">
        <v>111047</v>
      </c>
      <c r="I2405">
        <v>112495</v>
      </c>
      <c r="J2405" t="s">
        <v>726</v>
      </c>
      <c r="K2405">
        <v>483</v>
      </c>
      <c r="L2405" t="s">
        <v>727</v>
      </c>
      <c r="M2405">
        <v>48</v>
      </c>
      <c r="N2405" t="str">
        <f>HYPERLINK("Gene92-zp_tree_all.dnd", "Gene92-tree")</f>
        <v>Gene92-tree</v>
      </c>
      <c r="O2405">
        <v>14</v>
      </c>
      <c r="P2405">
        <v>4</v>
      </c>
      <c r="Q2405">
        <v>14</v>
      </c>
      <c r="R2405">
        <v>4</v>
      </c>
      <c r="S2405">
        <v>0.22222</v>
      </c>
      <c r="T2405" t="s">
        <v>543</v>
      </c>
      <c r="U2405" t="s">
        <v>61</v>
      </c>
      <c r="V2405" t="s">
        <v>62</v>
      </c>
      <c r="W2405" t="s">
        <v>62</v>
      </c>
      <c r="X2405">
        <v>2</v>
      </c>
      <c r="Y2405">
        <v>5</v>
      </c>
      <c r="Z2405">
        <v>11</v>
      </c>
      <c r="AA2405">
        <v>0.3125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6</v>
      </c>
      <c r="AK2405">
        <v>0</v>
      </c>
      <c r="AL2405">
        <v>18</v>
      </c>
      <c r="AM2405">
        <v>15</v>
      </c>
      <c r="AN2405">
        <v>79</v>
      </c>
      <c r="AO2405">
        <v>6</v>
      </c>
      <c r="AP2405">
        <v>94</v>
      </c>
      <c r="AQ2405">
        <v>11</v>
      </c>
      <c r="AR2405" t="s">
        <v>728</v>
      </c>
      <c r="AS2405" t="s">
        <v>729</v>
      </c>
      <c r="AT2405">
        <v>0.26500000000000001</v>
      </c>
      <c r="AU2405" t="s">
        <v>65</v>
      </c>
      <c r="AV2405">
        <v>173</v>
      </c>
      <c r="AW2405">
        <v>17</v>
      </c>
      <c r="AX2405" t="s">
        <v>730</v>
      </c>
      <c r="AY2405">
        <v>0.11650000000000001</v>
      </c>
      <c r="AZ2405">
        <v>-5.8100000000000001E-3</v>
      </c>
      <c r="BA2405">
        <v>2.99E-3</v>
      </c>
      <c r="BB2405">
        <v>-2.3000000000000001E-4</v>
      </c>
      <c r="BC2405">
        <v>2.5659999999999999E-2</v>
      </c>
      <c r="BD2405">
        <v>1</v>
      </c>
      <c r="BE2405" t="s">
        <v>69</v>
      </c>
      <c r="BF2405">
        <v>-0.57699999999999996</v>
      </c>
      <c r="BG2405">
        <v>-0.27300000000000002</v>
      </c>
    </row>
    <row r="2406" spans="1:59">
      <c r="A2406">
        <v>0</v>
      </c>
      <c r="B2406">
        <v>13</v>
      </c>
      <c r="C2406">
        <v>1</v>
      </c>
      <c r="D2406" t="s">
        <v>25022</v>
      </c>
      <c r="E2406">
        <v>1123</v>
      </c>
      <c r="F2406" t="s">
        <v>7060</v>
      </c>
      <c r="G2406" t="s">
        <v>57</v>
      </c>
      <c r="H2406">
        <v>1166737</v>
      </c>
      <c r="I2406">
        <v>1168188</v>
      </c>
      <c r="J2406" t="s">
        <v>2441</v>
      </c>
      <c r="K2406">
        <v>484</v>
      </c>
      <c r="L2406" t="s">
        <v>108</v>
      </c>
      <c r="M2406">
        <v>44</v>
      </c>
      <c r="N2406" t="str">
        <f>HYPERLINK("Gene1123-zp_tree_all.dnd", "Gene1123-tree")</f>
        <v>Gene1123-tree</v>
      </c>
      <c r="O2406">
        <v>2</v>
      </c>
      <c r="P2406">
        <v>14</v>
      </c>
      <c r="Q2406">
        <v>2</v>
      </c>
      <c r="R2406">
        <v>14</v>
      </c>
      <c r="S2406">
        <v>0.875</v>
      </c>
      <c r="T2406" t="s">
        <v>81</v>
      </c>
      <c r="U2406" t="s">
        <v>543</v>
      </c>
      <c r="V2406">
        <v>860908720.12699997</v>
      </c>
      <c r="W2406" t="s">
        <v>267</v>
      </c>
      <c r="X2406">
        <v>5</v>
      </c>
      <c r="Y2406">
        <v>14</v>
      </c>
      <c r="Z2406">
        <v>32</v>
      </c>
      <c r="AA2406">
        <v>0.30435000000000001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11</v>
      </c>
      <c r="AH2406">
        <v>1</v>
      </c>
      <c r="AI2406">
        <v>12</v>
      </c>
      <c r="AJ2406">
        <v>25</v>
      </c>
      <c r="AK2406">
        <v>0.32432</v>
      </c>
      <c r="AL2406">
        <v>13</v>
      </c>
      <c r="AM2406">
        <v>11</v>
      </c>
      <c r="AN2406">
        <v>27</v>
      </c>
      <c r="AO2406">
        <v>27</v>
      </c>
      <c r="AP2406">
        <v>32</v>
      </c>
      <c r="AQ2406">
        <v>19</v>
      </c>
      <c r="AR2406" t="s">
        <v>7061</v>
      </c>
      <c r="AS2406" t="s">
        <v>7062</v>
      </c>
      <c r="AT2406">
        <v>0.47499999999999998</v>
      </c>
      <c r="AU2406" t="s">
        <v>65</v>
      </c>
      <c r="AV2406">
        <v>59</v>
      </c>
      <c r="AW2406">
        <v>46</v>
      </c>
      <c r="AX2406" t="s">
        <v>7063</v>
      </c>
      <c r="AY2406">
        <v>3.2960000000000003E-2</v>
      </c>
      <c r="AZ2406">
        <v>-2.1099999999999999E-3</v>
      </c>
      <c r="BA2406">
        <v>7.45E-3</v>
      </c>
      <c r="BB2406">
        <v>-4.2999999999999999E-4</v>
      </c>
      <c r="BC2406">
        <v>0.22597999999999999</v>
      </c>
      <c r="BD2406">
        <v>1</v>
      </c>
      <c r="BE2406" t="s">
        <v>69</v>
      </c>
      <c r="BF2406">
        <v>-0.86</v>
      </c>
      <c r="BG2406">
        <v>0.112</v>
      </c>
    </row>
    <row r="2407" spans="1:59">
      <c r="A2407">
        <v>0</v>
      </c>
      <c r="B2407">
        <v>20</v>
      </c>
      <c r="C2407">
        <v>3</v>
      </c>
      <c r="D2407" t="s">
        <v>25022</v>
      </c>
      <c r="E2407">
        <v>3211</v>
      </c>
      <c r="F2407" t="s">
        <v>18702</v>
      </c>
      <c r="G2407" t="s">
        <v>62</v>
      </c>
      <c r="H2407">
        <v>3166121</v>
      </c>
      <c r="I2407">
        <v>3167572</v>
      </c>
      <c r="J2407" t="s">
        <v>18703</v>
      </c>
      <c r="K2407">
        <v>484</v>
      </c>
      <c r="L2407" t="s">
        <v>108</v>
      </c>
      <c r="M2407">
        <v>44</v>
      </c>
      <c r="N2407" t="str">
        <f>HYPERLINK("Gene3211-zp_tree_all.dnd", "Gene3211-tree")</f>
        <v>Gene3211-tree</v>
      </c>
      <c r="O2407">
        <v>1</v>
      </c>
      <c r="P2407">
        <v>12</v>
      </c>
      <c r="Q2407">
        <v>1</v>
      </c>
      <c r="R2407">
        <v>12</v>
      </c>
      <c r="S2407">
        <v>0.92308000000000001</v>
      </c>
      <c r="T2407" t="s">
        <v>175</v>
      </c>
      <c r="U2407" t="s">
        <v>109</v>
      </c>
      <c r="V2407" t="s">
        <v>62</v>
      </c>
      <c r="W2407" t="s">
        <v>62</v>
      </c>
      <c r="X2407">
        <v>9</v>
      </c>
      <c r="Y2407">
        <v>23</v>
      </c>
      <c r="Z2407">
        <v>21</v>
      </c>
      <c r="AA2407">
        <v>0.52273000000000003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10</v>
      </c>
      <c r="AH2407">
        <v>3</v>
      </c>
      <c r="AI2407">
        <v>13</v>
      </c>
      <c r="AJ2407">
        <v>21</v>
      </c>
      <c r="AK2407">
        <v>0.38235000000000002</v>
      </c>
      <c r="AL2407">
        <v>11</v>
      </c>
      <c r="AM2407">
        <v>10</v>
      </c>
      <c r="AN2407">
        <v>55</v>
      </c>
      <c r="AO2407">
        <v>34</v>
      </c>
      <c r="AP2407">
        <v>35</v>
      </c>
      <c r="AQ2407">
        <v>13</v>
      </c>
      <c r="AR2407" t="s">
        <v>18704</v>
      </c>
      <c r="AS2407" t="s">
        <v>18705</v>
      </c>
      <c r="AT2407">
        <v>1.391</v>
      </c>
      <c r="AU2407" t="s">
        <v>65</v>
      </c>
      <c r="AV2407">
        <v>90</v>
      </c>
      <c r="AW2407">
        <v>47</v>
      </c>
      <c r="AX2407" t="s">
        <v>18706</v>
      </c>
      <c r="AY2407">
        <v>5.8340000000000003E-2</v>
      </c>
      <c r="AZ2407">
        <v>-2.0300000000000001E-3</v>
      </c>
      <c r="BA2407">
        <v>7.3400000000000002E-3</v>
      </c>
      <c r="BB2407">
        <v>-2.9999999999999997E-4</v>
      </c>
      <c r="BC2407">
        <v>0.12590000000000001</v>
      </c>
      <c r="BD2407">
        <v>1</v>
      </c>
      <c r="BE2407" t="s">
        <v>69</v>
      </c>
      <c r="BF2407">
        <v>-5.8999999999999997E-2</v>
      </c>
      <c r="BG2407">
        <v>-1.137</v>
      </c>
    </row>
    <row r="2408" spans="1:59">
      <c r="A2408">
        <v>0</v>
      </c>
      <c r="B2408">
        <v>12</v>
      </c>
      <c r="C2408">
        <v>0</v>
      </c>
      <c r="D2408" t="s">
        <v>25022</v>
      </c>
      <c r="E2408">
        <v>3608</v>
      </c>
      <c r="F2408" t="s">
        <v>21193</v>
      </c>
      <c r="G2408" t="s">
        <v>62</v>
      </c>
      <c r="H2408">
        <v>3576168</v>
      </c>
      <c r="I2408">
        <v>3577619</v>
      </c>
      <c r="J2408" t="s">
        <v>116</v>
      </c>
      <c r="K2408">
        <v>484</v>
      </c>
      <c r="L2408" t="s">
        <v>465</v>
      </c>
      <c r="M2408">
        <v>46</v>
      </c>
      <c r="N2408" t="str">
        <f>HYPERLINK("Gene3608-zp_tree_all.dnd", "Gene3608-tree")</f>
        <v>Gene3608-tree</v>
      </c>
      <c r="O2408">
        <v>3</v>
      </c>
      <c r="P2408">
        <v>13</v>
      </c>
      <c r="Q2408">
        <v>3</v>
      </c>
      <c r="R2408">
        <v>13</v>
      </c>
      <c r="S2408">
        <v>0.8125</v>
      </c>
      <c r="T2408" t="s">
        <v>324</v>
      </c>
      <c r="U2408" t="s">
        <v>507</v>
      </c>
      <c r="V2408" t="s">
        <v>62</v>
      </c>
      <c r="W2408" t="s">
        <v>62</v>
      </c>
      <c r="X2408">
        <v>5</v>
      </c>
      <c r="Y2408">
        <v>12</v>
      </c>
      <c r="Z2408">
        <v>17</v>
      </c>
      <c r="AA2408">
        <v>0.41378999999999999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9</v>
      </c>
      <c r="AH2408">
        <v>0</v>
      </c>
      <c r="AI2408">
        <v>9</v>
      </c>
      <c r="AJ2408">
        <v>17</v>
      </c>
      <c r="AK2408">
        <v>0.34615000000000001</v>
      </c>
      <c r="AL2408">
        <v>14</v>
      </c>
      <c r="AM2408">
        <v>12</v>
      </c>
      <c r="AN2408">
        <v>47</v>
      </c>
      <c r="AO2408">
        <v>21</v>
      </c>
      <c r="AP2408">
        <v>77</v>
      </c>
      <c r="AQ2408">
        <v>8</v>
      </c>
      <c r="AR2408" t="s">
        <v>21194</v>
      </c>
      <c r="AS2408" t="s">
        <v>21195</v>
      </c>
      <c r="AT2408">
        <v>1.3049999999999999</v>
      </c>
      <c r="AU2408" t="s">
        <v>65</v>
      </c>
      <c r="AV2408">
        <v>124</v>
      </c>
      <c r="AW2408">
        <v>29</v>
      </c>
      <c r="AX2408" t="s">
        <v>21196</v>
      </c>
      <c r="AY2408">
        <v>7.4910000000000004E-2</v>
      </c>
      <c r="AZ2408">
        <v>-6.6699999999999997E-3</v>
      </c>
      <c r="BA2408">
        <v>4.1200000000000004E-3</v>
      </c>
      <c r="BB2408">
        <v>-1.8000000000000001E-4</v>
      </c>
      <c r="BC2408">
        <v>5.5059999999999998E-2</v>
      </c>
      <c r="BD2408">
        <v>1</v>
      </c>
      <c r="BE2408" t="s">
        <v>69</v>
      </c>
      <c r="BF2408">
        <v>-1.3069999999999999</v>
      </c>
      <c r="BG2408">
        <v>0.14699999999999999</v>
      </c>
    </row>
    <row r="2409" spans="1:59">
      <c r="A2409">
        <v>0</v>
      </c>
      <c r="B2409">
        <v>17</v>
      </c>
      <c r="C2409">
        <v>2</v>
      </c>
      <c r="D2409" t="s">
        <v>25022</v>
      </c>
      <c r="E2409">
        <v>3236</v>
      </c>
      <c r="F2409" t="s">
        <v>18862</v>
      </c>
      <c r="G2409" t="s">
        <v>62</v>
      </c>
      <c r="H2409">
        <v>3199568</v>
      </c>
      <c r="I2409">
        <v>3201022</v>
      </c>
      <c r="J2409" t="s">
        <v>18863</v>
      </c>
      <c r="K2409">
        <v>485</v>
      </c>
      <c r="L2409" t="s">
        <v>108</v>
      </c>
      <c r="M2409">
        <v>44</v>
      </c>
      <c r="N2409" t="str">
        <f>HYPERLINK("Gene3236-zp_tree_all.dnd", "Gene3236-tree")</f>
        <v>Gene3236-tree</v>
      </c>
      <c r="O2409">
        <v>3</v>
      </c>
      <c r="P2409">
        <v>11</v>
      </c>
      <c r="Q2409">
        <v>3</v>
      </c>
      <c r="R2409">
        <v>11</v>
      </c>
      <c r="S2409">
        <v>0.78571000000000002</v>
      </c>
      <c r="T2409" t="s">
        <v>324</v>
      </c>
      <c r="U2409" t="s">
        <v>73</v>
      </c>
      <c r="V2409">
        <v>305230034.74400002</v>
      </c>
      <c r="W2409" t="s">
        <v>267</v>
      </c>
      <c r="X2409">
        <v>8</v>
      </c>
      <c r="Y2409">
        <v>19</v>
      </c>
      <c r="Z2409">
        <v>26</v>
      </c>
      <c r="AA2409">
        <v>0.42221999999999998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8</v>
      </c>
      <c r="AH2409">
        <v>2</v>
      </c>
      <c r="AI2409">
        <v>10</v>
      </c>
      <c r="AJ2409">
        <v>20</v>
      </c>
      <c r="AK2409">
        <v>0.33333000000000002</v>
      </c>
      <c r="AL2409">
        <v>13</v>
      </c>
      <c r="AM2409">
        <v>9</v>
      </c>
      <c r="AN2409">
        <v>47</v>
      </c>
      <c r="AO2409">
        <v>30</v>
      </c>
      <c r="AP2409">
        <v>29</v>
      </c>
      <c r="AQ2409">
        <v>15</v>
      </c>
      <c r="AR2409" t="s">
        <v>18864</v>
      </c>
      <c r="AS2409" t="s">
        <v>18865</v>
      </c>
      <c r="AT2409">
        <v>0.24</v>
      </c>
      <c r="AU2409" t="s">
        <v>65</v>
      </c>
      <c r="AV2409">
        <v>76</v>
      </c>
      <c r="AW2409">
        <v>45</v>
      </c>
      <c r="AX2409" t="s">
        <v>18866</v>
      </c>
      <c r="AY2409">
        <v>4.1750000000000002E-2</v>
      </c>
      <c r="AZ2409">
        <v>-1.9300000000000001E-3</v>
      </c>
      <c r="BA2409">
        <v>7.8799999999999999E-3</v>
      </c>
      <c r="BB2409">
        <v>-3.4000000000000002E-4</v>
      </c>
      <c r="BC2409">
        <v>0.18881999999999999</v>
      </c>
      <c r="BD2409">
        <v>1</v>
      </c>
      <c r="BE2409" t="s">
        <v>69</v>
      </c>
      <c r="BF2409">
        <v>0.193</v>
      </c>
      <c r="BG2409">
        <v>-0.63400000000000001</v>
      </c>
    </row>
    <row r="2410" spans="1:59">
      <c r="A2410">
        <v>0</v>
      </c>
      <c r="B2410">
        <v>5</v>
      </c>
      <c r="C2410">
        <v>0</v>
      </c>
      <c r="D2410" t="s">
        <v>25022</v>
      </c>
      <c r="E2410">
        <v>772</v>
      </c>
      <c r="F2410" t="s">
        <v>4797</v>
      </c>
      <c r="G2410" t="s">
        <v>57</v>
      </c>
      <c r="H2410">
        <v>807091</v>
      </c>
      <c r="I2410">
        <v>808545</v>
      </c>
      <c r="J2410" t="s">
        <v>4798</v>
      </c>
      <c r="K2410">
        <v>485</v>
      </c>
      <c r="L2410" t="s">
        <v>108</v>
      </c>
      <c r="M2410">
        <v>44</v>
      </c>
      <c r="N2410" t="str">
        <f>HYPERLINK("Gene772-zp_tree_all.dnd", "Gene772-tree")</f>
        <v>Gene772-tree</v>
      </c>
      <c r="O2410">
        <v>28</v>
      </c>
      <c r="P2410">
        <v>5</v>
      </c>
      <c r="Q2410">
        <v>8</v>
      </c>
      <c r="R2410">
        <v>5</v>
      </c>
      <c r="S2410">
        <v>0.38462000000000002</v>
      </c>
      <c r="T2410" t="s">
        <v>3778</v>
      </c>
      <c r="U2410" t="s">
        <v>199</v>
      </c>
      <c r="V2410" t="s">
        <v>62</v>
      </c>
      <c r="W2410" t="s">
        <v>62</v>
      </c>
      <c r="X2410">
        <v>2</v>
      </c>
      <c r="Y2410">
        <v>5</v>
      </c>
      <c r="Z2410">
        <v>6</v>
      </c>
      <c r="AA2410">
        <v>0.45455000000000001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2</v>
      </c>
      <c r="AH2410">
        <v>0</v>
      </c>
      <c r="AI2410">
        <v>2</v>
      </c>
      <c r="AJ2410">
        <v>6</v>
      </c>
      <c r="AK2410">
        <v>0.25</v>
      </c>
      <c r="AL2410">
        <v>11</v>
      </c>
      <c r="AM2410">
        <v>8</v>
      </c>
      <c r="AN2410">
        <v>90</v>
      </c>
      <c r="AO2410">
        <v>8</v>
      </c>
      <c r="AP2410">
        <v>28</v>
      </c>
      <c r="AQ2410">
        <v>3</v>
      </c>
      <c r="AR2410" t="s">
        <v>4799</v>
      </c>
      <c r="AS2410" t="s">
        <v>4800</v>
      </c>
      <c r="AT2410">
        <v>0.16</v>
      </c>
      <c r="AU2410" t="s">
        <v>65</v>
      </c>
      <c r="AV2410">
        <v>118</v>
      </c>
      <c r="AW2410">
        <v>11</v>
      </c>
      <c r="AX2410" t="s">
        <v>4801</v>
      </c>
      <c r="AY2410">
        <v>7.1809999999999999E-2</v>
      </c>
      <c r="AZ2410">
        <v>-5.8300000000000001E-3</v>
      </c>
      <c r="BA2410">
        <v>1.9E-3</v>
      </c>
      <c r="BB2410">
        <v>-1.6000000000000001E-4</v>
      </c>
      <c r="BC2410">
        <v>2.6450000000000001E-2</v>
      </c>
      <c r="BD2410">
        <v>1</v>
      </c>
      <c r="BE2410" t="s">
        <v>69</v>
      </c>
      <c r="BF2410">
        <v>-1.1100000000000001</v>
      </c>
      <c r="BG2410">
        <v>-1.7809999999999999</v>
      </c>
    </row>
    <row r="2411" spans="1:59">
      <c r="A2411">
        <v>0</v>
      </c>
      <c r="B2411">
        <v>2</v>
      </c>
      <c r="C2411">
        <v>1</v>
      </c>
      <c r="D2411" t="s">
        <v>25022</v>
      </c>
      <c r="E2411">
        <v>703</v>
      </c>
      <c r="F2411" t="s">
        <v>4401</v>
      </c>
      <c r="G2411" t="s">
        <v>57</v>
      </c>
      <c r="H2411">
        <v>729038</v>
      </c>
      <c r="I2411">
        <v>730492</v>
      </c>
      <c r="J2411" t="s">
        <v>4402</v>
      </c>
      <c r="K2411">
        <v>485</v>
      </c>
      <c r="L2411" t="s">
        <v>59</v>
      </c>
      <c r="M2411">
        <v>49</v>
      </c>
      <c r="N2411" t="str">
        <f>HYPERLINK("Gene703-zp_tree_all.dnd", "Gene703-tree")</f>
        <v>Gene703-tree</v>
      </c>
      <c r="O2411">
        <v>15</v>
      </c>
      <c r="P2411">
        <v>6</v>
      </c>
      <c r="Q2411">
        <v>15</v>
      </c>
      <c r="R2411">
        <v>6</v>
      </c>
      <c r="S2411">
        <v>0.28571000000000002</v>
      </c>
      <c r="T2411" t="s">
        <v>100</v>
      </c>
      <c r="U2411" t="s">
        <v>90</v>
      </c>
      <c r="V2411" t="s">
        <v>62</v>
      </c>
      <c r="W2411" t="s">
        <v>62</v>
      </c>
      <c r="X2411">
        <v>1</v>
      </c>
      <c r="Y2411">
        <v>3</v>
      </c>
      <c r="Z2411">
        <v>9</v>
      </c>
      <c r="AA2411">
        <v>0.25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8</v>
      </c>
      <c r="AK2411">
        <v>0</v>
      </c>
      <c r="AL2411">
        <v>18</v>
      </c>
      <c r="AM2411">
        <v>17</v>
      </c>
      <c r="AN2411">
        <v>111</v>
      </c>
      <c r="AO2411">
        <v>8</v>
      </c>
      <c r="AP2411">
        <v>142</v>
      </c>
      <c r="AQ2411">
        <v>4</v>
      </c>
      <c r="AR2411" t="s">
        <v>4403</v>
      </c>
      <c r="AS2411" t="s">
        <v>4404</v>
      </c>
      <c r="AT2411">
        <v>0.61499999999999999</v>
      </c>
      <c r="AU2411" t="s">
        <v>65</v>
      </c>
      <c r="AV2411">
        <v>253</v>
      </c>
      <c r="AW2411">
        <v>12</v>
      </c>
      <c r="AX2411" t="s">
        <v>4405</v>
      </c>
      <c r="AY2411">
        <v>0.11515</v>
      </c>
      <c r="AZ2411">
        <v>-4.9199999999999999E-3</v>
      </c>
      <c r="BA2411">
        <v>1.6000000000000001E-3</v>
      </c>
      <c r="BB2411">
        <v>-8.0000000000000007E-5</v>
      </c>
      <c r="BC2411">
        <v>1.387E-2</v>
      </c>
      <c r="BD2411">
        <v>1</v>
      </c>
      <c r="BE2411" t="s">
        <v>69</v>
      </c>
      <c r="BF2411">
        <v>-0.96899999999999997</v>
      </c>
      <c r="BG2411">
        <v>-0.91</v>
      </c>
    </row>
    <row r="2412" spans="1:59">
      <c r="A2412">
        <v>0</v>
      </c>
      <c r="B2412">
        <v>23</v>
      </c>
      <c r="C2412">
        <v>3</v>
      </c>
      <c r="D2412" t="s">
        <v>25022</v>
      </c>
      <c r="E2412">
        <v>3195</v>
      </c>
      <c r="F2412" t="s">
        <v>18599</v>
      </c>
      <c r="G2412" t="s">
        <v>62</v>
      </c>
      <c r="H2412">
        <v>3147353</v>
      </c>
      <c r="I2412">
        <v>3148810</v>
      </c>
      <c r="J2412" t="s">
        <v>18600</v>
      </c>
      <c r="K2412">
        <v>486</v>
      </c>
      <c r="L2412" t="s">
        <v>108</v>
      </c>
      <c r="M2412">
        <v>44</v>
      </c>
      <c r="N2412" t="str">
        <f>HYPERLINK("Gene3195-zp_tree_all.dnd", "Gene3195-tree")</f>
        <v>Gene3195-tree</v>
      </c>
      <c r="O2412">
        <v>6</v>
      </c>
      <c r="P2412">
        <v>8</v>
      </c>
      <c r="Q2412">
        <v>6</v>
      </c>
      <c r="R2412">
        <v>8</v>
      </c>
      <c r="S2412">
        <v>0.57142999999999999</v>
      </c>
      <c r="T2412" t="s">
        <v>90</v>
      </c>
      <c r="U2412" t="s">
        <v>136</v>
      </c>
      <c r="V2412" t="s">
        <v>62</v>
      </c>
      <c r="W2412" t="s">
        <v>62</v>
      </c>
      <c r="X2412">
        <v>10</v>
      </c>
      <c r="Y2412">
        <v>26</v>
      </c>
      <c r="Z2412">
        <v>14</v>
      </c>
      <c r="AA2412">
        <v>0.65</v>
      </c>
      <c r="AB2412">
        <v>0</v>
      </c>
      <c r="AC2412">
        <v>0</v>
      </c>
      <c r="AD2412">
        <v>0</v>
      </c>
      <c r="AE2412">
        <v>5</v>
      </c>
      <c r="AF2412">
        <v>0</v>
      </c>
      <c r="AG2412">
        <v>6</v>
      </c>
      <c r="AH2412">
        <v>1</v>
      </c>
      <c r="AI2412">
        <v>7</v>
      </c>
      <c r="AJ2412">
        <v>11</v>
      </c>
      <c r="AK2412">
        <v>0.38889000000000001</v>
      </c>
      <c r="AL2412">
        <v>12</v>
      </c>
      <c r="AM2412">
        <v>11</v>
      </c>
      <c r="AN2412">
        <v>51</v>
      </c>
      <c r="AO2412">
        <v>18</v>
      </c>
      <c r="AP2412">
        <v>36</v>
      </c>
      <c r="AQ2412">
        <v>23</v>
      </c>
      <c r="AR2412" t="s">
        <v>18601</v>
      </c>
      <c r="AS2412" t="s">
        <v>18602</v>
      </c>
      <c r="AT2412">
        <v>1.399</v>
      </c>
      <c r="AU2412" t="s">
        <v>65</v>
      </c>
      <c r="AV2412">
        <v>87</v>
      </c>
      <c r="AW2412">
        <v>41</v>
      </c>
      <c r="AX2412" t="s">
        <v>18603</v>
      </c>
      <c r="AY2412">
        <v>4.6300000000000001E-2</v>
      </c>
      <c r="AZ2412">
        <v>-1.7700000000000001E-3</v>
      </c>
      <c r="BA2412">
        <v>7.3699999999999998E-3</v>
      </c>
      <c r="BB2412">
        <v>-2.7999999999999998E-4</v>
      </c>
      <c r="BC2412">
        <v>0.15926999999999999</v>
      </c>
      <c r="BD2412">
        <v>1</v>
      </c>
      <c r="BE2412" t="s">
        <v>69</v>
      </c>
      <c r="BF2412">
        <v>-9.1999999999999998E-2</v>
      </c>
      <c r="BG2412">
        <v>-0.48199999999999998</v>
      </c>
    </row>
    <row r="2413" spans="1:59">
      <c r="A2413">
        <v>0</v>
      </c>
      <c r="B2413">
        <v>10</v>
      </c>
      <c r="C2413">
        <v>8</v>
      </c>
      <c r="D2413" t="s">
        <v>25022</v>
      </c>
      <c r="E2413">
        <v>1688</v>
      </c>
      <c r="F2413" t="s">
        <v>10580</v>
      </c>
      <c r="G2413" t="s">
        <v>57</v>
      </c>
      <c r="H2413">
        <v>1698278</v>
      </c>
      <c r="I2413">
        <v>1699738</v>
      </c>
      <c r="J2413" t="s">
        <v>10581</v>
      </c>
      <c r="K2413">
        <v>487</v>
      </c>
      <c r="L2413" t="s">
        <v>265</v>
      </c>
      <c r="M2413">
        <v>43</v>
      </c>
      <c r="N2413" t="str">
        <f>HYPERLINK("Gene1688-zp_tree_all.dnd", "Gene1688-tree")</f>
        <v>Gene1688-tree</v>
      </c>
      <c r="O2413">
        <v>1</v>
      </c>
      <c r="P2413">
        <v>11</v>
      </c>
      <c r="Q2413">
        <v>1</v>
      </c>
      <c r="R2413">
        <v>11</v>
      </c>
      <c r="S2413">
        <v>0.91666999999999998</v>
      </c>
      <c r="T2413" t="s">
        <v>175</v>
      </c>
      <c r="U2413" t="s">
        <v>73</v>
      </c>
      <c r="V2413">
        <v>1144612630.289</v>
      </c>
      <c r="W2413" t="s">
        <v>267</v>
      </c>
      <c r="X2413">
        <v>7</v>
      </c>
      <c r="Y2413">
        <v>18</v>
      </c>
      <c r="Z2413">
        <v>40</v>
      </c>
      <c r="AA2413">
        <v>0.31034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6</v>
      </c>
      <c r="AH2413">
        <v>8</v>
      </c>
      <c r="AI2413">
        <v>14</v>
      </c>
      <c r="AJ2413">
        <v>37</v>
      </c>
      <c r="AK2413">
        <v>0.27450999999999998</v>
      </c>
      <c r="AL2413">
        <v>11</v>
      </c>
      <c r="AM2413">
        <v>6</v>
      </c>
      <c r="AN2413">
        <v>35</v>
      </c>
      <c r="AO2413">
        <v>50</v>
      </c>
      <c r="AP2413">
        <v>16</v>
      </c>
      <c r="AQ2413">
        <v>9</v>
      </c>
      <c r="AR2413" t="s">
        <v>10582</v>
      </c>
      <c r="AS2413" t="s">
        <v>10583</v>
      </c>
      <c r="AT2413">
        <v>2.3140000000000001</v>
      </c>
      <c r="AU2413" t="s">
        <v>267</v>
      </c>
      <c r="AV2413">
        <v>51</v>
      </c>
      <c r="AW2413">
        <v>59</v>
      </c>
      <c r="AX2413" t="s">
        <v>10584</v>
      </c>
      <c r="AY2413">
        <v>3.4939999999999999E-2</v>
      </c>
      <c r="AZ2413">
        <v>-1.8E-3</v>
      </c>
      <c r="BA2413">
        <v>9.2599999999999991E-3</v>
      </c>
      <c r="BB2413">
        <v>-4.4000000000000002E-4</v>
      </c>
      <c r="BC2413">
        <v>0.26501000000000002</v>
      </c>
      <c r="BD2413">
        <v>1</v>
      </c>
      <c r="BE2413" t="s">
        <v>69</v>
      </c>
      <c r="BF2413">
        <v>-1.1040000000000001</v>
      </c>
      <c r="BG2413">
        <v>-1.99</v>
      </c>
    </row>
    <row r="2414" spans="1:59">
      <c r="A2414">
        <v>0</v>
      </c>
      <c r="B2414">
        <v>18</v>
      </c>
      <c r="C2414">
        <v>2</v>
      </c>
      <c r="D2414" t="s">
        <v>25022</v>
      </c>
      <c r="E2414">
        <v>1924</v>
      </c>
      <c r="F2414" t="s">
        <v>12055</v>
      </c>
      <c r="G2414" t="s">
        <v>62</v>
      </c>
      <c r="H2414">
        <v>2022564</v>
      </c>
      <c r="I2414">
        <v>2024024</v>
      </c>
      <c r="J2414" t="s">
        <v>12056</v>
      </c>
      <c r="K2414">
        <v>487</v>
      </c>
      <c r="L2414" t="s">
        <v>2078</v>
      </c>
      <c r="M2414">
        <v>36</v>
      </c>
      <c r="N2414" t="str">
        <f>HYPERLINK("Gene1924-zp_tree_all.dnd", "Gene1924-tree")</f>
        <v>Gene1924-tree</v>
      </c>
      <c r="O2414">
        <v>1</v>
      </c>
      <c r="P2414">
        <v>12</v>
      </c>
      <c r="Q2414">
        <v>1</v>
      </c>
      <c r="R2414">
        <v>12</v>
      </c>
      <c r="S2414">
        <v>0.92308000000000001</v>
      </c>
      <c r="T2414" t="s">
        <v>175</v>
      </c>
      <c r="U2414" t="s">
        <v>109</v>
      </c>
      <c r="V2414" t="s">
        <v>62</v>
      </c>
      <c r="W2414" t="s">
        <v>62</v>
      </c>
      <c r="X2414">
        <v>8</v>
      </c>
      <c r="Y2414">
        <v>20</v>
      </c>
      <c r="Z2414">
        <v>31</v>
      </c>
      <c r="AA2414">
        <v>0.39216000000000001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7</v>
      </c>
      <c r="AH2414">
        <v>3</v>
      </c>
      <c r="AI2414">
        <v>10</v>
      </c>
      <c r="AJ2414">
        <v>26</v>
      </c>
      <c r="AK2414">
        <v>0.27778000000000003</v>
      </c>
      <c r="AL2414">
        <v>13</v>
      </c>
      <c r="AM2414">
        <v>10</v>
      </c>
      <c r="AN2414">
        <v>48</v>
      </c>
      <c r="AO2414">
        <v>37</v>
      </c>
      <c r="AP2414">
        <v>37</v>
      </c>
      <c r="AQ2414">
        <v>15</v>
      </c>
      <c r="AR2414" t="s">
        <v>12057</v>
      </c>
      <c r="AS2414" t="s">
        <v>12058</v>
      </c>
      <c r="AT2414">
        <v>0.92800000000000005</v>
      </c>
      <c r="AU2414" t="s">
        <v>65</v>
      </c>
      <c r="AV2414">
        <v>85</v>
      </c>
      <c r="AW2414">
        <v>52</v>
      </c>
      <c r="AX2414" t="s">
        <v>12059</v>
      </c>
      <c r="AY2414">
        <v>5.0029999999999998E-2</v>
      </c>
      <c r="AZ2414">
        <v>-2.7899999999999999E-3</v>
      </c>
      <c r="BA2414">
        <v>8.9700000000000005E-3</v>
      </c>
      <c r="BB2414">
        <v>-4.0999999999999999E-4</v>
      </c>
      <c r="BC2414">
        <v>0.17931</v>
      </c>
      <c r="BD2414">
        <v>1</v>
      </c>
      <c r="BE2414" t="s">
        <v>69</v>
      </c>
      <c r="BF2414">
        <v>-0.84299999999999997</v>
      </c>
      <c r="BG2414">
        <v>-1.7649999999999999</v>
      </c>
    </row>
    <row r="2415" spans="1:59">
      <c r="A2415">
        <v>0</v>
      </c>
      <c r="B2415">
        <v>2</v>
      </c>
      <c r="C2415">
        <v>0</v>
      </c>
      <c r="D2415" t="s">
        <v>25022</v>
      </c>
      <c r="E2415">
        <v>4117</v>
      </c>
      <c r="F2415" t="s">
        <v>24262</v>
      </c>
      <c r="G2415" t="s">
        <v>62</v>
      </c>
      <c r="H2415">
        <v>4082923</v>
      </c>
      <c r="I2415">
        <v>4084383</v>
      </c>
      <c r="J2415" t="s">
        <v>24263</v>
      </c>
      <c r="K2415">
        <v>487</v>
      </c>
      <c r="L2415" t="s">
        <v>108</v>
      </c>
      <c r="M2415">
        <v>44</v>
      </c>
      <c r="N2415" t="str">
        <f>HYPERLINK("Gene4117-zp_tree_all.dnd", "Gene4117-tree")</f>
        <v>Gene4117-tree</v>
      </c>
      <c r="O2415">
        <v>8</v>
      </c>
      <c r="P2415">
        <v>7</v>
      </c>
      <c r="Q2415">
        <v>8</v>
      </c>
      <c r="R2415">
        <v>7</v>
      </c>
      <c r="S2415">
        <v>0.46666999999999997</v>
      </c>
      <c r="T2415" t="s">
        <v>136</v>
      </c>
      <c r="U2415" t="s">
        <v>152</v>
      </c>
      <c r="V2415" t="s">
        <v>62</v>
      </c>
      <c r="W2415" t="s">
        <v>62</v>
      </c>
      <c r="X2415">
        <v>1</v>
      </c>
      <c r="Y2415">
        <v>2</v>
      </c>
      <c r="Z2415">
        <v>13</v>
      </c>
      <c r="AA2415">
        <v>0.13333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</v>
      </c>
      <c r="AH2415">
        <v>0</v>
      </c>
      <c r="AI2415">
        <v>2</v>
      </c>
      <c r="AJ2415">
        <v>10</v>
      </c>
      <c r="AK2415">
        <v>0.16667000000000001</v>
      </c>
      <c r="AL2415">
        <v>14</v>
      </c>
      <c r="AM2415">
        <v>12</v>
      </c>
      <c r="AN2415">
        <v>76</v>
      </c>
      <c r="AO2415">
        <v>12</v>
      </c>
      <c r="AP2415">
        <v>47</v>
      </c>
      <c r="AQ2415">
        <v>3</v>
      </c>
      <c r="AR2415" t="s">
        <v>24264</v>
      </c>
      <c r="AS2415" t="s">
        <v>24265</v>
      </c>
      <c r="AT2415">
        <v>0.41399999999999998</v>
      </c>
      <c r="AU2415" t="s">
        <v>65</v>
      </c>
      <c r="AV2415">
        <v>123</v>
      </c>
      <c r="AW2415">
        <v>15</v>
      </c>
      <c r="AX2415" t="s">
        <v>24266</v>
      </c>
      <c r="AY2415">
        <v>6.0499999999999998E-2</v>
      </c>
      <c r="AZ2415">
        <v>-1.6199999999999999E-3</v>
      </c>
      <c r="BA2415">
        <v>2.33E-3</v>
      </c>
      <c r="BB2415">
        <v>-1.4999999999999999E-4</v>
      </c>
      <c r="BC2415">
        <v>3.857E-2</v>
      </c>
      <c r="BD2415">
        <v>1</v>
      </c>
      <c r="BE2415" t="s">
        <v>69</v>
      </c>
      <c r="BF2415">
        <v>-0.67</v>
      </c>
      <c r="BG2415">
        <v>-1.3959999999999999</v>
      </c>
    </row>
    <row r="2416" spans="1:59">
      <c r="A2416">
        <v>0</v>
      </c>
      <c r="B2416">
        <v>9</v>
      </c>
      <c r="C2416">
        <v>0</v>
      </c>
      <c r="D2416" t="s">
        <v>25022</v>
      </c>
      <c r="E2416">
        <v>3863</v>
      </c>
      <c r="F2416" t="s">
        <v>22653</v>
      </c>
      <c r="G2416" t="s">
        <v>62</v>
      </c>
      <c r="H2416">
        <v>3824809</v>
      </c>
      <c r="I2416">
        <v>3826269</v>
      </c>
      <c r="J2416" t="s">
        <v>22654</v>
      </c>
      <c r="K2416">
        <v>487</v>
      </c>
      <c r="L2416" t="s">
        <v>1174</v>
      </c>
      <c r="M2416">
        <v>42</v>
      </c>
      <c r="N2416" t="str">
        <f>HYPERLINK("Gene3863-zp_tree_all.dnd", "Gene3863-tree")</f>
        <v>Gene3863-tree</v>
      </c>
      <c r="O2416">
        <v>6</v>
      </c>
      <c r="P2416">
        <v>25</v>
      </c>
      <c r="Q2416">
        <v>6</v>
      </c>
      <c r="R2416">
        <v>8</v>
      </c>
      <c r="S2416">
        <v>0.57142999999999999</v>
      </c>
      <c r="T2416" t="s">
        <v>90</v>
      </c>
      <c r="U2416" t="s">
        <v>1667</v>
      </c>
      <c r="V2416">
        <v>2.972</v>
      </c>
      <c r="W2416" t="s">
        <v>65</v>
      </c>
      <c r="X2416">
        <v>3</v>
      </c>
      <c r="Y2416">
        <v>9</v>
      </c>
      <c r="Z2416">
        <v>7</v>
      </c>
      <c r="AA2416">
        <v>0.5625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6</v>
      </c>
      <c r="AH2416">
        <v>1</v>
      </c>
      <c r="AI2416">
        <v>7</v>
      </c>
      <c r="AJ2416">
        <v>7</v>
      </c>
      <c r="AK2416">
        <v>0.5</v>
      </c>
      <c r="AL2416">
        <v>14</v>
      </c>
      <c r="AM2416">
        <v>10</v>
      </c>
      <c r="AN2416">
        <v>73</v>
      </c>
      <c r="AO2416">
        <v>15</v>
      </c>
      <c r="AP2416">
        <v>38</v>
      </c>
      <c r="AQ2416">
        <v>2</v>
      </c>
      <c r="AR2416" t="s">
        <v>22655</v>
      </c>
      <c r="AS2416" t="s">
        <v>22656</v>
      </c>
      <c r="AT2416">
        <v>1.0920000000000001</v>
      </c>
      <c r="AU2416" t="s">
        <v>65</v>
      </c>
      <c r="AV2416">
        <v>111</v>
      </c>
      <c r="AW2416">
        <v>17</v>
      </c>
      <c r="AX2416" t="s">
        <v>22657</v>
      </c>
      <c r="AY2416">
        <v>5.9339999999999997E-2</v>
      </c>
      <c r="AZ2416">
        <v>-1.89E-3</v>
      </c>
      <c r="BA2416">
        <v>2.2100000000000002E-3</v>
      </c>
      <c r="BB2416">
        <v>-1.6000000000000001E-4</v>
      </c>
      <c r="BC2416">
        <v>3.7249999999999998E-2</v>
      </c>
      <c r="BD2416">
        <v>1</v>
      </c>
      <c r="BE2416" t="s">
        <v>69</v>
      </c>
      <c r="BF2416">
        <v>0.14599999999999999</v>
      </c>
      <c r="BG2416">
        <v>-0.67500000000000004</v>
      </c>
    </row>
    <row r="2417" spans="1:59">
      <c r="A2417">
        <v>0</v>
      </c>
      <c r="B2417">
        <v>6</v>
      </c>
      <c r="C2417">
        <v>0</v>
      </c>
      <c r="D2417" t="s">
        <v>25022</v>
      </c>
      <c r="E2417">
        <v>3685</v>
      </c>
      <c r="F2417" t="s">
        <v>21627</v>
      </c>
      <c r="G2417" t="s">
        <v>62</v>
      </c>
      <c r="H2417">
        <v>3652591</v>
      </c>
      <c r="I2417">
        <v>3654054</v>
      </c>
      <c r="J2417" t="s">
        <v>21628</v>
      </c>
      <c r="K2417">
        <v>488</v>
      </c>
      <c r="L2417" t="s">
        <v>2078</v>
      </c>
      <c r="M2417">
        <v>36</v>
      </c>
      <c r="N2417" t="str">
        <f>HYPERLINK("Gene3685-zp_tree_all.dnd", "Gene3685-tree")</f>
        <v>Gene3685-tree</v>
      </c>
      <c r="O2417">
        <v>1</v>
      </c>
      <c r="P2417">
        <v>10</v>
      </c>
      <c r="Q2417">
        <v>1</v>
      </c>
      <c r="R2417">
        <v>10</v>
      </c>
      <c r="S2417">
        <v>0.90908999999999995</v>
      </c>
      <c r="T2417" t="s">
        <v>175</v>
      </c>
      <c r="U2417" t="s">
        <v>117</v>
      </c>
      <c r="V2417" t="s">
        <v>62</v>
      </c>
      <c r="W2417" t="s">
        <v>62</v>
      </c>
      <c r="X2417">
        <v>3</v>
      </c>
      <c r="Y2417">
        <v>6</v>
      </c>
      <c r="Z2417">
        <v>19</v>
      </c>
      <c r="AA2417">
        <v>0.24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</v>
      </c>
      <c r="AH2417">
        <v>0</v>
      </c>
      <c r="AI2417">
        <v>2</v>
      </c>
      <c r="AJ2417">
        <v>18</v>
      </c>
      <c r="AK2417">
        <v>0.1</v>
      </c>
      <c r="AL2417">
        <v>11</v>
      </c>
      <c r="AM2417">
        <v>7</v>
      </c>
      <c r="AN2417">
        <v>40</v>
      </c>
      <c r="AO2417">
        <v>20</v>
      </c>
      <c r="AP2417">
        <v>12</v>
      </c>
      <c r="AQ2417">
        <v>5</v>
      </c>
      <c r="AR2417" t="s">
        <v>21629</v>
      </c>
      <c r="AS2417" t="s">
        <v>21630</v>
      </c>
      <c r="AT2417">
        <v>0.32300000000000001</v>
      </c>
      <c r="AU2417" t="s">
        <v>65</v>
      </c>
      <c r="AV2417">
        <v>52</v>
      </c>
      <c r="AW2417">
        <v>25</v>
      </c>
      <c r="AX2417" t="s">
        <v>21631</v>
      </c>
      <c r="AY2417">
        <v>2.894E-2</v>
      </c>
      <c r="AZ2417">
        <v>-1.15E-3</v>
      </c>
      <c r="BA2417">
        <v>4.5900000000000003E-3</v>
      </c>
      <c r="BB2417">
        <v>-2.7E-4</v>
      </c>
      <c r="BC2417">
        <v>0.15870999999999999</v>
      </c>
      <c r="BD2417">
        <v>1</v>
      </c>
      <c r="BE2417" t="s">
        <v>69</v>
      </c>
      <c r="BF2417">
        <v>-0.749</v>
      </c>
      <c r="BG2417">
        <v>-1.93</v>
      </c>
    </row>
    <row r="2418" spans="1:59">
      <c r="A2418">
        <v>0</v>
      </c>
      <c r="B2418">
        <v>12</v>
      </c>
      <c r="C2418">
        <v>2</v>
      </c>
      <c r="D2418" t="s">
        <v>25022</v>
      </c>
      <c r="E2418">
        <v>2557</v>
      </c>
      <c r="F2418" t="s">
        <v>14948</v>
      </c>
      <c r="G2418" t="s">
        <v>62</v>
      </c>
      <c r="H2418">
        <v>2545413</v>
      </c>
      <c r="I2418">
        <v>2546876</v>
      </c>
      <c r="J2418" t="s">
        <v>14949</v>
      </c>
      <c r="K2418">
        <v>488</v>
      </c>
      <c r="L2418" t="s">
        <v>108</v>
      </c>
      <c r="M2418">
        <v>44</v>
      </c>
      <c r="N2418" t="str">
        <f>HYPERLINK("Gene2557-zp_tree_all.dnd", "Gene2557-tree")</f>
        <v>Gene2557-tree</v>
      </c>
      <c r="O2418">
        <v>6</v>
      </c>
      <c r="P2418">
        <v>8</v>
      </c>
      <c r="Q2418">
        <v>6</v>
      </c>
      <c r="R2418">
        <v>8</v>
      </c>
      <c r="S2418">
        <v>0.57142999999999999</v>
      </c>
      <c r="T2418" t="s">
        <v>90</v>
      </c>
      <c r="U2418" t="s">
        <v>136</v>
      </c>
      <c r="V2418" t="s">
        <v>62</v>
      </c>
      <c r="W2418" t="s">
        <v>62</v>
      </c>
      <c r="X2418">
        <v>5</v>
      </c>
      <c r="Y2418">
        <v>14</v>
      </c>
      <c r="Z2418">
        <v>7</v>
      </c>
      <c r="AA2418">
        <v>0.66666999999999998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8</v>
      </c>
      <c r="AH2418">
        <v>0</v>
      </c>
      <c r="AI2418">
        <v>8</v>
      </c>
      <c r="AJ2418">
        <v>5</v>
      </c>
      <c r="AK2418">
        <v>0.61538000000000004</v>
      </c>
      <c r="AL2418">
        <v>14</v>
      </c>
      <c r="AM2418">
        <v>10</v>
      </c>
      <c r="AN2418">
        <v>50</v>
      </c>
      <c r="AO2418">
        <v>13</v>
      </c>
      <c r="AP2418">
        <v>30</v>
      </c>
      <c r="AQ2418">
        <v>8</v>
      </c>
      <c r="AR2418" t="s">
        <v>14950</v>
      </c>
      <c r="AS2418" t="s">
        <v>14951</v>
      </c>
      <c r="AT2418">
        <v>3.7999999999999999E-2</v>
      </c>
      <c r="AU2418" t="s">
        <v>65</v>
      </c>
      <c r="AV2418">
        <v>80</v>
      </c>
      <c r="AW2418">
        <v>21</v>
      </c>
      <c r="AX2418" t="s">
        <v>14952</v>
      </c>
      <c r="AY2418">
        <v>4.616E-2</v>
      </c>
      <c r="AZ2418">
        <v>-1.3699999999999999E-3</v>
      </c>
      <c r="BA2418">
        <v>3.2200000000000002E-3</v>
      </c>
      <c r="BB2418">
        <v>-1.6000000000000001E-4</v>
      </c>
      <c r="BC2418">
        <v>6.9809999999999997E-2</v>
      </c>
      <c r="BD2418">
        <v>1</v>
      </c>
      <c r="BE2418" t="s">
        <v>69</v>
      </c>
      <c r="BF2418">
        <v>-0.63200000000000001</v>
      </c>
      <c r="BG2418">
        <v>-0.501</v>
      </c>
    </row>
    <row r="2419" spans="1:59">
      <c r="A2419">
        <v>0</v>
      </c>
      <c r="B2419">
        <v>10</v>
      </c>
      <c r="C2419">
        <v>2</v>
      </c>
      <c r="D2419" t="s">
        <v>25022</v>
      </c>
      <c r="E2419">
        <v>247</v>
      </c>
      <c r="F2419" t="s">
        <v>1680</v>
      </c>
      <c r="G2419" t="s">
        <v>57</v>
      </c>
      <c r="H2419">
        <v>268846</v>
      </c>
      <c r="I2419">
        <v>270309</v>
      </c>
      <c r="J2419" t="s">
        <v>1681</v>
      </c>
      <c r="K2419">
        <v>488</v>
      </c>
      <c r="L2419" t="s">
        <v>108</v>
      </c>
      <c r="M2419">
        <v>44</v>
      </c>
      <c r="N2419" t="str">
        <f>HYPERLINK("Gene247-zp_tree_all.dnd", "Gene247-tree")</f>
        <v>Gene247-tree</v>
      </c>
      <c r="O2419">
        <v>22</v>
      </c>
      <c r="P2419">
        <v>10</v>
      </c>
      <c r="Q2419">
        <v>5</v>
      </c>
      <c r="R2419">
        <v>10</v>
      </c>
      <c r="S2419">
        <v>0.66666999999999998</v>
      </c>
      <c r="T2419" t="s">
        <v>1682</v>
      </c>
      <c r="U2419" t="s">
        <v>117</v>
      </c>
      <c r="V2419" t="s">
        <v>62</v>
      </c>
      <c r="W2419" t="s">
        <v>62</v>
      </c>
      <c r="X2419">
        <v>6</v>
      </c>
      <c r="Y2419">
        <v>12</v>
      </c>
      <c r="Z2419">
        <v>10</v>
      </c>
      <c r="AA2419">
        <v>0.54544999999999999</v>
      </c>
      <c r="AB2419">
        <v>0</v>
      </c>
      <c r="AC2419">
        <v>0</v>
      </c>
      <c r="AD2419">
        <v>0</v>
      </c>
      <c r="AE2419">
        <v>2</v>
      </c>
      <c r="AF2419">
        <v>0</v>
      </c>
      <c r="AG2419">
        <v>6</v>
      </c>
      <c r="AH2419">
        <v>0</v>
      </c>
      <c r="AI2419">
        <v>6</v>
      </c>
      <c r="AJ2419">
        <v>10</v>
      </c>
      <c r="AK2419">
        <v>0.375</v>
      </c>
      <c r="AL2419">
        <v>14</v>
      </c>
      <c r="AM2419">
        <v>11</v>
      </c>
      <c r="AN2419">
        <v>47</v>
      </c>
      <c r="AO2419">
        <v>16</v>
      </c>
      <c r="AP2419">
        <v>43</v>
      </c>
      <c r="AQ2419">
        <v>6</v>
      </c>
      <c r="AR2419" t="s">
        <v>1683</v>
      </c>
      <c r="AS2419" t="s">
        <v>1684</v>
      </c>
      <c r="AT2419">
        <v>1.365</v>
      </c>
      <c r="AU2419" t="s">
        <v>65</v>
      </c>
      <c r="AV2419">
        <v>90</v>
      </c>
      <c r="AW2419">
        <v>22</v>
      </c>
      <c r="AX2419" t="s">
        <v>1685</v>
      </c>
      <c r="AY2419">
        <v>4.734E-2</v>
      </c>
      <c r="AZ2419">
        <v>-1.2899999999999999E-3</v>
      </c>
      <c r="BA2419">
        <v>3.2100000000000002E-3</v>
      </c>
      <c r="BB2419">
        <v>-1.2999999999999999E-4</v>
      </c>
      <c r="BC2419">
        <v>6.7860000000000004E-2</v>
      </c>
      <c r="BD2419">
        <v>1</v>
      </c>
      <c r="BE2419" t="s">
        <v>69</v>
      </c>
      <c r="BF2419">
        <v>-0.28399999999999997</v>
      </c>
      <c r="BG2419">
        <v>9.9000000000000005E-2</v>
      </c>
    </row>
    <row r="2420" spans="1:59">
      <c r="A2420">
        <v>0</v>
      </c>
      <c r="B2420">
        <v>0</v>
      </c>
      <c r="C2420">
        <v>0</v>
      </c>
      <c r="D2420" t="s">
        <v>25022</v>
      </c>
      <c r="E2420">
        <v>9</v>
      </c>
      <c r="F2420" t="s">
        <v>123</v>
      </c>
      <c r="G2420" t="s">
        <v>57</v>
      </c>
      <c r="H2420">
        <v>15915</v>
      </c>
      <c r="I2420">
        <v>17378</v>
      </c>
      <c r="J2420" t="s">
        <v>124</v>
      </c>
      <c r="K2420">
        <v>488</v>
      </c>
      <c r="L2420" t="s">
        <v>125</v>
      </c>
      <c r="M2420">
        <v>48</v>
      </c>
      <c r="N2420" t="str">
        <f>HYPERLINK("Gene9-zp_tree_all.dnd", "Gene9-tree")</f>
        <v>Gene9-tree</v>
      </c>
      <c r="O2420">
        <v>33</v>
      </c>
      <c r="P2420">
        <v>4</v>
      </c>
      <c r="Q2420">
        <v>14</v>
      </c>
      <c r="R2420">
        <v>4</v>
      </c>
      <c r="S2420">
        <v>0.22222</v>
      </c>
      <c r="T2420" t="s">
        <v>126</v>
      </c>
      <c r="U2420" t="s">
        <v>61</v>
      </c>
      <c r="V2420" t="s">
        <v>62</v>
      </c>
      <c r="W2420" t="s">
        <v>62</v>
      </c>
      <c r="X2420">
        <v>0</v>
      </c>
      <c r="Y2420">
        <v>0</v>
      </c>
      <c r="Z2420">
        <v>8</v>
      </c>
      <c r="AA2420">
        <v>0</v>
      </c>
      <c r="AB2420">
        <v>0</v>
      </c>
      <c r="AC2420">
        <v>0</v>
      </c>
      <c r="AD2420">
        <v>0</v>
      </c>
      <c r="AE2420">
        <v>2</v>
      </c>
      <c r="AF2420">
        <v>0</v>
      </c>
      <c r="AG2420">
        <v>0</v>
      </c>
      <c r="AH2420">
        <v>0</v>
      </c>
      <c r="AI2420">
        <v>0</v>
      </c>
      <c r="AJ2420">
        <v>4</v>
      </c>
      <c r="AK2420">
        <v>0</v>
      </c>
      <c r="AL2420">
        <v>14</v>
      </c>
      <c r="AM2420">
        <v>11</v>
      </c>
      <c r="AN2420">
        <v>37</v>
      </c>
      <c r="AO2420">
        <v>4</v>
      </c>
      <c r="AP2420">
        <v>115</v>
      </c>
      <c r="AQ2420">
        <v>4</v>
      </c>
      <c r="AR2420" t="s">
        <v>127</v>
      </c>
      <c r="AS2420" t="s">
        <v>128</v>
      </c>
      <c r="AT2420">
        <v>0.73099999999999998</v>
      </c>
      <c r="AU2420" t="s">
        <v>65</v>
      </c>
      <c r="AV2420">
        <v>152</v>
      </c>
      <c r="AW2420">
        <v>8</v>
      </c>
      <c r="AX2420" t="s">
        <v>129</v>
      </c>
      <c r="AY2420">
        <v>0.10274</v>
      </c>
      <c r="AZ2420">
        <v>-7.2500000000000004E-3</v>
      </c>
      <c r="BA2420">
        <v>1.4300000000000001E-3</v>
      </c>
      <c r="BB2420">
        <v>-1.2E-4</v>
      </c>
      <c r="BC2420">
        <v>1.3939999999999999E-2</v>
      </c>
      <c r="BD2420">
        <v>1</v>
      </c>
      <c r="BE2420" t="s">
        <v>69</v>
      </c>
      <c r="BF2420">
        <v>-1.3169999999999999</v>
      </c>
      <c r="BG2420">
        <v>0.871</v>
      </c>
    </row>
    <row r="2421" spans="1:59">
      <c r="A2421">
        <v>0</v>
      </c>
      <c r="B2421">
        <v>6</v>
      </c>
      <c r="C2421">
        <v>2</v>
      </c>
      <c r="D2421" t="s">
        <v>25022</v>
      </c>
      <c r="E2421">
        <v>58</v>
      </c>
      <c r="F2421" t="s">
        <v>476</v>
      </c>
      <c r="G2421" t="s">
        <v>57</v>
      </c>
      <c r="H2421">
        <v>66405</v>
      </c>
      <c r="I2421">
        <v>67871</v>
      </c>
      <c r="J2421" t="s">
        <v>477</v>
      </c>
      <c r="K2421">
        <v>489</v>
      </c>
      <c r="L2421" t="s">
        <v>108</v>
      </c>
      <c r="M2421">
        <v>44</v>
      </c>
      <c r="N2421" t="str">
        <f>HYPERLINK("Gene58-zp_tree_all.dnd", "Gene58-tree")</f>
        <v>Gene58-tree</v>
      </c>
      <c r="O2421">
        <v>8</v>
      </c>
      <c r="P2421">
        <v>7</v>
      </c>
      <c r="Q2421">
        <v>8</v>
      </c>
      <c r="R2421">
        <v>7</v>
      </c>
      <c r="S2421">
        <v>0.46666999999999997</v>
      </c>
      <c r="T2421" t="s">
        <v>136</v>
      </c>
      <c r="U2421" t="s">
        <v>152</v>
      </c>
      <c r="V2421" t="s">
        <v>62</v>
      </c>
      <c r="W2421" t="s">
        <v>62</v>
      </c>
      <c r="X2421">
        <v>3</v>
      </c>
      <c r="Y2421">
        <v>8</v>
      </c>
      <c r="Z2421">
        <v>18</v>
      </c>
      <c r="AA2421">
        <v>0.30769000000000002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2</v>
      </c>
      <c r="AH2421">
        <v>0</v>
      </c>
      <c r="AI2421">
        <v>2</v>
      </c>
      <c r="AJ2421">
        <v>12</v>
      </c>
      <c r="AK2421">
        <v>0.14285999999999999</v>
      </c>
      <c r="AL2421">
        <v>13</v>
      </c>
      <c r="AM2421">
        <v>11</v>
      </c>
      <c r="AN2421">
        <v>52</v>
      </c>
      <c r="AO2421">
        <v>15</v>
      </c>
      <c r="AP2421">
        <v>39</v>
      </c>
      <c r="AQ2421">
        <v>12</v>
      </c>
      <c r="AR2421" t="s">
        <v>478</v>
      </c>
      <c r="AS2421" t="s">
        <v>479</v>
      </c>
      <c r="AT2421">
        <v>7.3999999999999996E-2</v>
      </c>
      <c r="AU2421" t="s">
        <v>65</v>
      </c>
      <c r="AV2421">
        <v>91</v>
      </c>
      <c r="AW2421">
        <v>27</v>
      </c>
      <c r="AX2421" t="s">
        <v>480</v>
      </c>
      <c r="AY2421">
        <v>5.0779999999999999E-2</v>
      </c>
      <c r="AZ2421">
        <v>-2.0899999999999998E-3</v>
      </c>
      <c r="BA2421">
        <v>4.4099999999999999E-3</v>
      </c>
      <c r="BB2421">
        <v>-2.1000000000000001E-4</v>
      </c>
      <c r="BC2421">
        <v>8.6800000000000002E-2</v>
      </c>
      <c r="BD2421">
        <v>1</v>
      </c>
      <c r="BE2421" t="s">
        <v>69</v>
      </c>
      <c r="BF2421">
        <v>-1.0149999999999999</v>
      </c>
      <c r="BG2421">
        <v>-1.7769999999999999</v>
      </c>
    </row>
    <row r="2422" spans="1:59">
      <c r="A2422">
        <v>0</v>
      </c>
      <c r="B2422">
        <v>5</v>
      </c>
      <c r="C2422">
        <v>0</v>
      </c>
      <c r="D2422" t="s">
        <v>25022</v>
      </c>
      <c r="E2422">
        <v>3780</v>
      </c>
      <c r="F2422" t="s">
        <v>22151</v>
      </c>
      <c r="G2422" t="s">
        <v>62</v>
      </c>
      <c r="H2422">
        <v>3752283</v>
      </c>
      <c r="I2422">
        <v>3753752</v>
      </c>
      <c r="J2422" t="s">
        <v>22152</v>
      </c>
      <c r="K2422">
        <v>490</v>
      </c>
      <c r="L2422" t="s">
        <v>108</v>
      </c>
      <c r="M2422">
        <v>44</v>
      </c>
      <c r="N2422" t="str">
        <f>HYPERLINK("Gene3780-zp_tree_all.dnd", "Gene3780-tree")</f>
        <v>Gene3780-tree</v>
      </c>
      <c r="O2422">
        <v>6</v>
      </c>
      <c r="P2422">
        <v>10</v>
      </c>
      <c r="Q2422">
        <v>6</v>
      </c>
      <c r="R2422">
        <v>10</v>
      </c>
      <c r="S2422">
        <v>0.625</v>
      </c>
      <c r="T2422" t="s">
        <v>90</v>
      </c>
      <c r="U2422" t="s">
        <v>117</v>
      </c>
      <c r="V2422" t="s">
        <v>62</v>
      </c>
      <c r="W2422" t="s">
        <v>62</v>
      </c>
      <c r="X2422">
        <v>2</v>
      </c>
      <c r="Y2422">
        <v>5</v>
      </c>
      <c r="Z2422">
        <v>17</v>
      </c>
      <c r="AA2422">
        <v>0.22727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17</v>
      </c>
      <c r="AK2422">
        <v>0</v>
      </c>
      <c r="AL2422">
        <v>15</v>
      </c>
      <c r="AM2422">
        <v>13</v>
      </c>
      <c r="AN2422">
        <v>81</v>
      </c>
      <c r="AO2422">
        <v>17</v>
      </c>
      <c r="AP2422">
        <v>39</v>
      </c>
      <c r="AQ2422">
        <v>5</v>
      </c>
      <c r="AR2422" t="s">
        <v>22153</v>
      </c>
      <c r="AS2422" t="s">
        <v>22154</v>
      </c>
      <c r="AT2422">
        <v>0.53700000000000003</v>
      </c>
      <c r="AU2422" t="s">
        <v>65</v>
      </c>
      <c r="AV2422">
        <v>120</v>
      </c>
      <c r="AW2422">
        <v>22</v>
      </c>
      <c r="AX2422" t="s">
        <v>22155</v>
      </c>
      <c r="AY2422">
        <v>5.4080000000000003E-2</v>
      </c>
      <c r="AZ2422">
        <v>-2.16E-3</v>
      </c>
      <c r="BA2422">
        <v>2.97E-3</v>
      </c>
      <c r="BB2422">
        <v>-1.2999999999999999E-4</v>
      </c>
      <c r="BC2422">
        <v>5.484E-2</v>
      </c>
      <c r="BD2422">
        <v>1</v>
      </c>
      <c r="BE2422" t="s">
        <v>69</v>
      </c>
      <c r="BF2422">
        <v>-1.167</v>
      </c>
      <c r="BG2422">
        <v>-2.407</v>
      </c>
    </row>
    <row r="2423" spans="1:59">
      <c r="A2423">
        <v>0</v>
      </c>
      <c r="B2423">
        <v>2</v>
      </c>
      <c r="C2423">
        <v>0</v>
      </c>
      <c r="D2423" t="s">
        <v>25022</v>
      </c>
      <c r="E2423">
        <v>3222</v>
      </c>
      <c r="F2423" t="s">
        <v>18773</v>
      </c>
      <c r="G2423" t="s">
        <v>62</v>
      </c>
      <c r="H2423">
        <v>3185095</v>
      </c>
      <c r="I2423">
        <v>3186564</v>
      </c>
      <c r="J2423" t="s">
        <v>18774</v>
      </c>
      <c r="K2423">
        <v>490</v>
      </c>
      <c r="L2423" t="s">
        <v>108</v>
      </c>
      <c r="M2423">
        <v>44</v>
      </c>
      <c r="N2423" t="str">
        <f>HYPERLINK("Gene3222-zp_tree_all.dnd", "Gene3222-tree")</f>
        <v>Gene3222-tree</v>
      </c>
      <c r="O2423">
        <v>7</v>
      </c>
      <c r="P2423">
        <v>7</v>
      </c>
      <c r="Q2423">
        <v>7</v>
      </c>
      <c r="R2423">
        <v>7</v>
      </c>
      <c r="S2423">
        <v>0.5</v>
      </c>
      <c r="T2423" t="s">
        <v>152</v>
      </c>
      <c r="U2423" t="s">
        <v>152</v>
      </c>
      <c r="V2423" t="s">
        <v>62</v>
      </c>
      <c r="W2423" t="s">
        <v>62</v>
      </c>
      <c r="X2423">
        <v>1</v>
      </c>
      <c r="Y2423">
        <v>2</v>
      </c>
      <c r="Z2423">
        <v>10</v>
      </c>
      <c r="AA2423">
        <v>0.16667000000000001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10</v>
      </c>
      <c r="AK2423">
        <v>0</v>
      </c>
      <c r="AL2423">
        <v>13</v>
      </c>
      <c r="AM2423">
        <v>9</v>
      </c>
      <c r="AN2423">
        <v>55</v>
      </c>
      <c r="AO2423">
        <v>10</v>
      </c>
      <c r="AP2423">
        <v>16</v>
      </c>
      <c r="AQ2423">
        <v>2</v>
      </c>
      <c r="AR2423" t="s">
        <v>18775</v>
      </c>
      <c r="AS2423" t="s">
        <v>18776</v>
      </c>
      <c r="AT2423">
        <v>0.247</v>
      </c>
      <c r="AU2423" t="s">
        <v>65</v>
      </c>
      <c r="AV2423">
        <v>71</v>
      </c>
      <c r="AW2423">
        <v>12</v>
      </c>
      <c r="AX2423" t="s">
        <v>18777</v>
      </c>
      <c r="AY2423">
        <v>3.603E-2</v>
      </c>
      <c r="AZ2423">
        <v>-1.7600000000000001E-3</v>
      </c>
      <c r="BA2423">
        <v>1.8600000000000001E-3</v>
      </c>
      <c r="BB2423">
        <v>-1.2999999999999999E-4</v>
      </c>
      <c r="BC2423">
        <v>5.1540000000000002E-2</v>
      </c>
      <c r="BD2423">
        <v>1</v>
      </c>
      <c r="BE2423" t="s">
        <v>69</v>
      </c>
      <c r="BF2423">
        <v>-1.6459999999999999</v>
      </c>
      <c r="BG2423">
        <v>-3.327</v>
      </c>
    </row>
    <row r="2424" spans="1:59">
      <c r="A2424">
        <v>0</v>
      </c>
      <c r="B2424">
        <v>0</v>
      </c>
      <c r="C2424">
        <v>0</v>
      </c>
      <c r="D2424" t="s">
        <v>25022</v>
      </c>
      <c r="E2424">
        <v>3294</v>
      </c>
      <c r="F2424" t="s">
        <v>19222</v>
      </c>
      <c r="G2424" t="s">
        <v>62</v>
      </c>
      <c r="H2424">
        <v>3259406</v>
      </c>
      <c r="I2424">
        <v>3260875</v>
      </c>
      <c r="J2424" t="s">
        <v>19223</v>
      </c>
      <c r="K2424">
        <v>490</v>
      </c>
      <c r="L2424" t="s">
        <v>1607</v>
      </c>
      <c r="M2424">
        <v>47</v>
      </c>
      <c r="N2424" t="str">
        <f>HYPERLINK("Gene3294-zp_tree_all.dnd", "Gene3294-tree")</f>
        <v>Gene3294-tree</v>
      </c>
      <c r="O2424">
        <v>15</v>
      </c>
      <c r="P2424">
        <v>6</v>
      </c>
      <c r="Q2424">
        <v>15</v>
      </c>
      <c r="R2424">
        <v>6</v>
      </c>
      <c r="S2424">
        <v>0.28571000000000002</v>
      </c>
      <c r="T2424" t="s">
        <v>100</v>
      </c>
      <c r="U2424" t="s">
        <v>90</v>
      </c>
      <c r="V2424" t="s">
        <v>62</v>
      </c>
      <c r="W2424" t="s">
        <v>62</v>
      </c>
      <c r="X2424">
        <v>0</v>
      </c>
      <c r="Y2424">
        <v>0</v>
      </c>
      <c r="Z2424">
        <v>10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</v>
      </c>
      <c r="AK2424">
        <v>0</v>
      </c>
      <c r="AL2424">
        <v>18</v>
      </c>
      <c r="AM2424">
        <v>12</v>
      </c>
      <c r="AN2424">
        <v>88</v>
      </c>
      <c r="AO2424">
        <v>8</v>
      </c>
      <c r="AP2424">
        <v>76</v>
      </c>
      <c r="AQ2424">
        <v>2</v>
      </c>
      <c r="AR2424" t="s">
        <v>19224</v>
      </c>
      <c r="AS2424" t="s">
        <v>19225</v>
      </c>
      <c r="AT2424">
        <v>0.436</v>
      </c>
      <c r="AU2424" t="s">
        <v>65</v>
      </c>
      <c r="AV2424">
        <v>164</v>
      </c>
      <c r="AW2424">
        <v>10</v>
      </c>
      <c r="AX2424" t="s">
        <v>19226</v>
      </c>
      <c r="AY2424">
        <v>8.0350000000000005E-2</v>
      </c>
      <c r="AZ2424">
        <v>-6.2500000000000003E-3</v>
      </c>
      <c r="BA2424">
        <v>1.1199999999999999E-3</v>
      </c>
      <c r="BB2424">
        <v>-1E-4</v>
      </c>
      <c r="BC2424">
        <v>1.3979999999999999E-2</v>
      </c>
      <c r="BD2424">
        <v>1</v>
      </c>
      <c r="BE2424" t="s">
        <v>69</v>
      </c>
      <c r="BF2424">
        <v>-1.95</v>
      </c>
      <c r="BG2424">
        <v>-2.367</v>
      </c>
    </row>
    <row r="2425" spans="1:59">
      <c r="A2425">
        <v>0</v>
      </c>
      <c r="B2425">
        <v>0</v>
      </c>
      <c r="C2425">
        <v>0</v>
      </c>
      <c r="D2425" t="s">
        <v>25022</v>
      </c>
      <c r="E2425">
        <v>2374</v>
      </c>
      <c r="F2425" t="s">
        <v>13806</v>
      </c>
      <c r="G2425" t="s">
        <v>62</v>
      </c>
      <c r="H2425">
        <v>2386198</v>
      </c>
      <c r="I2425">
        <v>2387673</v>
      </c>
      <c r="J2425" t="s">
        <v>13807</v>
      </c>
      <c r="K2425">
        <v>492</v>
      </c>
      <c r="L2425" t="s">
        <v>59</v>
      </c>
      <c r="M2425">
        <v>49</v>
      </c>
      <c r="N2425" t="str">
        <f>HYPERLINK("Gene2374-zp_tree_all.dnd", "Gene2374-tree")</f>
        <v>Gene2374-tree</v>
      </c>
      <c r="O2425">
        <v>19</v>
      </c>
      <c r="P2425">
        <v>1</v>
      </c>
      <c r="Q2425">
        <v>19</v>
      </c>
      <c r="R2425">
        <v>1</v>
      </c>
      <c r="S2425">
        <v>0.05</v>
      </c>
      <c r="T2425" t="s">
        <v>587</v>
      </c>
      <c r="U2425" t="s">
        <v>175</v>
      </c>
      <c r="V2425" t="s">
        <v>62</v>
      </c>
      <c r="W2425" t="s">
        <v>62</v>
      </c>
      <c r="X2425">
        <v>0</v>
      </c>
      <c r="Y2425">
        <v>0</v>
      </c>
      <c r="Z2425">
        <v>5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16</v>
      </c>
      <c r="AM2425">
        <v>16</v>
      </c>
      <c r="AN2425">
        <v>54</v>
      </c>
      <c r="AO2425">
        <v>1</v>
      </c>
      <c r="AP2425">
        <v>98</v>
      </c>
      <c r="AQ2425">
        <v>4</v>
      </c>
      <c r="AR2425" t="s">
        <v>13808</v>
      </c>
      <c r="AS2425" t="s">
        <v>13809</v>
      </c>
      <c r="AT2425">
        <v>0.20899999999999999</v>
      </c>
      <c r="AU2425" t="s">
        <v>65</v>
      </c>
      <c r="AV2425">
        <v>152</v>
      </c>
      <c r="AW2425">
        <v>5</v>
      </c>
      <c r="AX2425" t="s">
        <v>13810</v>
      </c>
      <c r="AY2425">
        <v>0.10428</v>
      </c>
      <c r="AZ2425">
        <v>-6.5599999999999999E-3</v>
      </c>
      <c r="BA2425">
        <v>1.4E-3</v>
      </c>
      <c r="BB2425">
        <v>-9.0000000000000006E-5</v>
      </c>
      <c r="BC2425">
        <v>1.346E-2</v>
      </c>
      <c r="BD2425">
        <v>1</v>
      </c>
      <c r="BE2425" t="s">
        <v>69</v>
      </c>
      <c r="BF2425">
        <v>-1.171</v>
      </c>
      <c r="BG2425">
        <v>-0.67</v>
      </c>
    </row>
    <row r="2426" spans="1:59">
      <c r="A2426">
        <v>0</v>
      </c>
      <c r="B2426">
        <v>10</v>
      </c>
      <c r="C2426">
        <v>4</v>
      </c>
      <c r="D2426" t="s">
        <v>25022</v>
      </c>
      <c r="E2426">
        <v>469</v>
      </c>
      <c r="F2426" t="s">
        <v>3184</v>
      </c>
      <c r="G2426" t="s">
        <v>57</v>
      </c>
      <c r="H2426">
        <v>513283</v>
      </c>
      <c r="I2426">
        <v>514761</v>
      </c>
      <c r="J2426" t="s">
        <v>3177</v>
      </c>
      <c r="K2426">
        <v>493</v>
      </c>
      <c r="L2426" t="s">
        <v>3185</v>
      </c>
      <c r="M2426">
        <v>40</v>
      </c>
      <c r="N2426" t="str">
        <f>HYPERLINK("Gene469-zp_tree_all.dnd", "Gene469-tree")</f>
        <v>Gene469-tree</v>
      </c>
      <c r="O2426">
        <v>8</v>
      </c>
      <c r="P2426">
        <v>8</v>
      </c>
      <c r="Q2426">
        <v>8</v>
      </c>
      <c r="R2426">
        <v>8</v>
      </c>
      <c r="S2426">
        <v>0.5</v>
      </c>
      <c r="T2426" t="s">
        <v>136</v>
      </c>
      <c r="U2426" t="s">
        <v>136</v>
      </c>
      <c r="V2426" t="s">
        <v>62</v>
      </c>
      <c r="W2426" t="s">
        <v>62</v>
      </c>
      <c r="X2426">
        <v>6</v>
      </c>
      <c r="Y2426">
        <v>14</v>
      </c>
      <c r="Z2426">
        <v>18</v>
      </c>
      <c r="AA2426">
        <v>0.4375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19</v>
      </c>
      <c r="AK2426">
        <v>0</v>
      </c>
      <c r="AL2426">
        <v>12</v>
      </c>
      <c r="AM2426">
        <v>13</v>
      </c>
      <c r="AN2426">
        <v>49</v>
      </c>
      <c r="AO2426">
        <v>18</v>
      </c>
      <c r="AP2426">
        <v>58</v>
      </c>
      <c r="AQ2426">
        <v>14</v>
      </c>
      <c r="AR2426" t="s">
        <v>3186</v>
      </c>
      <c r="AS2426" t="s">
        <v>3187</v>
      </c>
      <c r="AT2426">
        <v>0.28299999999999997</v>
      </c>
      <c r="AU2426" t="s">
        <v>65</v>
      </c>
      <c r="AV2426">
        <v>107</v>
      </c>
      <c r="AW2426">
        <v>32</v>
      </c>
      <c r="AX2426" t="s">
        <v>3188</v>
      </c>
      <c r="AY2426">
        <v>6.2460000000000002E-2</v>
      </c>
      <c r="AZ2426">
        <v>-2.49E-3</v>
      </c>
      <c r="BA2426">
        <v>4.9300000000000004E-3</v>
      </c>
      <c r="BB2426">
        <v>-2.7999999999999998E-4</v>
      </c>
      <c r="BC2426">
        <v>7.8990000000000005E-2</v>
      </c>
      <c r="BD2426">
        <v>1</v>
      </c>
      <c r="BE2426" t="s">
        <v>69</v>
      </c>
      <c r="BF2426">
        <v>-0.41499999999999998</v>
      </c>
      <c r="BG2426">
        <v>-1.143</v>
      </c>
    </row>
    <row r="2427" spans="1:59">
      <c r="A2427">
        <v>0</v>
      </c>
      <c r="B2427">
        <v>3</v>
      </c>
      <c r="C2427">
        <v>0</v>
      </c>
      <c r="D2427" t="s">
        <v>25022</v>
      </c>
      <c r="E2427">
        <v>2436</v>
      </c>
      <c r="F2427" t="s">
        <v>14179</v>
      </c>
      <c r="G2427" t="s">
        <v>62</v>
      </c>
      <c r="H2427">
        <v>2438375</v>
      </c>
      <c r="I2427">
        <v>2439853</v>
      </c>
      <c r="J2427" t="s">
        <v>14180</v>
      </c>
      <c r="K2427">
        <v>493</v>
      </c>
      <c r="L2427" t="s">
        <v>108</v>
      </c>
      <c r="M2427">
        <v>44</v>
      </c>
      <c r="N2427" t="str">
        <f>HYPERLINK("Gene2436-zp_tree_all.dnd", "Gene2436-tree")</f>
        <v>Gene2436-tree</v>
      </c>
      <c r="O2427">
        <v>8</v>
      </c>
      <c r="P2427">
        <v>4</v>
      </c>
      <c r="Q2427">
        <v>8</v>
      </c>
      <c r="R2427">
        <v>4</v>
      </c>
      <c r="S2427">
        <v>0.33333000000000002</v>
      </c>
      <c r="T2427" t="s">
        <v>136</v>
      </c>
      <c r="U2427" t="s">
        <v>61</v>
      </c>
      <c r="V2427" t="s">
        <v>62</v>
      </c>
      <c r="W2427" t="s">
        <v>62</v>
      </c>
      <c r="X2427">
        <v>1</v>
      </c>
      <c r="Y2427">
        <v>3</v>
      </c>
      <c r="Z2427">
        <v>4</v>
      </c>
      <c r="AA2427">
        <v>0.42857000000000001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3</v>
      </c>
      <c r="AH2427">
        <v>0</v>
      </c>
      <c r="AI2427">
        <v>3</v>
      </c>
      <c r="AJ2427">
        <v>4</v>
      </c>
      <c r="AK2427">
        <v>0.42857000000000001</v>
      </c>
      <c r="AL2427">
        <v>10</v>
      </c>
      <c r="AM2427">
        <v>7</v>
      </c>
      <c r="AN2427">
        <v>62</v>
      </c>
      <c r="AO2427">
        <v>7</v>
      </c>
      <c r="AP2427">
        <v>17</v>
      </c>
      <c r="AQ2427">
        <v>0</v>
      </c>
      <c r="AR2427" t="s">
        <v>14181</v>
      </c>
      <c r="AS2427" t="s">
        <v>193</v>
      </c>
      <c r="AT2427">
        <v>0.96099999999999997</v>
      </c>
      <c r="AU2427" t="s">
        <v>65</v>
      </c>
      <c r="AV2427">
        <v>79</v>
      </c>
      <c r="AW2427">
        <v>7</v>
      </c>
      <c r="AX2427" t="s">
        <v>14182</v>
      </c>
      <c r="AY2427">
        <v>4.2700000000000002E-2</v>
      </c>
      <c r="AZ2427">
        <v>-2.1900000000000001E-3</v>
      </c>
      <c r="BA2427">
        <v>9.5E-4</v>
      </c>
      <c r="BB2427">
        <v>-1.6000000000000001E-4</v>
      </c>
      <c r="BC2427">
        <v>2.2349999999999998E-2</v>
      </c>
      <c r="BD2427">
        <v>1</v>
      </c>
      <c r="BE2427" t="s">
        <v>69</v>
      </c>
      <c r="BF2427">
        <v>-1.0149999999999999</v>
      </c>
      <c r="BG2427">
        <v>-2.1859999999999999</v>
      </c>
    </row>
    <row r="2428" spans="1:59">
      <c r="A2428">
        <v>0</v>
      </c>
      <c r="B2428">
        <v>0</v>
      </c>
      <c r="C2428">
        <v>0</v>
      </c>
      <c r="D2428" t="s">
        <v>25022</v>
      </c>
      <c r="E2428">
        <v>1579</v>
      </c>
      <c r="F2428" t="s">
        <v>9873</v>
      </c>
      <c r="G2428" t="s">
        <v>57</v>
      </c>
      <c r="H2428">
        <v>1586330</v>
      </c>
      <c r="I2428">
        <v>1587811</v>
      </c>
      <c r="J2428" t="s">
        <v>9874</v>
      </c>
      <c r="K2428">
        <v>494</v>
      </c>
      <c r="L2428" t="s">
        <v>108</v>
      </c>
      <c r="M2428">
        <v>44</v>
      </c>
      <c r="N2428" t="str">
        <f>HYPERLINK("Gene1579-zp_tree_all.dnd", "Gene1579-tree")</f>
        <v>Gene1579-tree</v>
      </c>
      <c r="O2428">
        <v>9</v>
      </c>
      <c r="P2428">
        <v>3</v>
      </c>
      <c r="Q2428">
        <v>9</v>
      </c>
      <c r="R2428">
        <v>3</v>
      </c>
      <c r="S2428">
        <v>0.25</v>
      </c>
      <c r="T2428" t="s">
        <v>135</v>
      </c>
      <c r="U2428" t="s">
        <v>324</v>
      </c>
      <c r="V2428" t="s">
        <v>62</v>
      </c>
      <c r="W2428" t="s">
        <v>62</v>
      </c>
      <c r="X2428">
        <v>0</v>
      </c>
      <c r="Y2428">
        <v>0</v>
      </c>
      <c r="Z2428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3</v>
      </c>
      <c r="AK2428">
        <v>0</v>
      </c>
      <c r="AL2428">
        <v>7</v>
      </c>
      <c r="AM2428">
        <v>7</v>
      </c>
      <c r="AN2428">
        <v>18</v>
      </c>
      <c r="AO2428">
        <v>3</v>
      </c>
      <c r="AP2428">
        <v>14</v>
      </c>
      <c r="AQ2428">
        <v>1</v>
      </c>
      <c r="AR2428" t="s">
        <v>9875</v>
      </c>
      <c r="AS2428" t="s">
        <v>9876</v>
      </c>
      <c r="AT2428">
        <v>0.45600000000000002</v>
      </c>
      <c r="AU2428" t="s">
        <v>65</v>
      </c>
      <c r="AV2428">
        <v>32</v>
      </c>
      <c r="AW2428">
        <v>4</v>
      </c>
      <c r="AX2428" t="s">
        <v>9877</v>
      </c>
      <c r="AY2428">
        <v>2.257E-2</v>
      </c>
      <c r="AZ2428">
        <v>-1.4300000000000001E-3</v>
      </c>
      <c r="BA2428">
        <v>8.0000000000000004E-4</v>
      </c>
      <c r="BB2428">
        <v>-9.0000000000000006E-5</v>
      </c>
      <c r="BC2428">
        <v>3.526E-2</v>
      </c>
      <c r="BD2428">
        <v>1</v>
      </c>
      <c r="BE2428" t="s">
        <v>69</v>
      </c>
      <c r="BF2428">
        <v>-1.494</v>
      </c>
      <c r="BG2428">
        <v>-2.0329999999999999</v>
      </c>
    </row>
    <row r="2429" spans="1:59">
      <c r="A2429">
        <v>0</v>
      </c>
      <c r="B2429">
        <v>2</v>
      </c>
      <c r="C2429">
        <v>0</v>
      </c>
      <c r="D2429" t="s">
        <v>25022</v>
      </c>
      <c r="E2429">
        <v>467</v>
      </c>
      <c r="F2429" t="s">
        <v>3169</v>
      </c>
      <c r="G2429" t="s">
        <v>57</v>
      </c>
      <c r="H2429">
        <v>511157</v>
      </c>
      <c r="I2429">
        <v>512638</v>
      </c>
      <c r="J2429" t="s">
        <v>3170</v>
      </c>
      <c r="K2429">
        <v>494</v>
      </c>
      <c r="L2429" t="s">
        <v>59</v>
      </c>
      <c r="M2429">
        <v>49</v>
      </c>
      <c r="N2429" t="str">
        <f>HYPERLINK("Gene467-zp_tree_all.dnd", "Gene467-tree")</f>
        <v>Gene467-tree</v>
      </c>
      <c r="O2429">
        <v>36</v>
      </c>
      <c r="P2429">
        <v>3</v>
      </c>
      <c r="Q2429">
        <v>19</v>
      </c>
      <c r="R2429">
        <v>3</v>
      </c>
      <c r="S2429">
        <v>0.13636000000000001</v>
      </c>
      <c r="T2429" t="s">
        <v>3171</v>
      </c>
      <c r="U2429" t="s">
        <v>324</v>
      </c>
      <c r="V2429" t="s">
        <v>62</v>
      </c>
      <c r="W2429" t="s">
        <v>62</v>
      </c>
      <c r="X2429">
        <v>1</v>
      </c>
      <c r="Y2429">
        <v>2</v>
      </c>
      <c r="Z2429">
        <v>8</v>
      </c>
      <c r="AA2429">
        <v>0.2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6</v>
      </c>
      <c r="AK2429">
        <v>0</v>
      </c>
      <c r="AL2429">
        <v>17</v>
      </c>
      <c r="AM2429">
        <v>18</v>
      </c>
      <c r="AN2429">
        <v>47</v>
      </c>
      <c r="AO2429">
        <v>6</v>
      </c>
      <c r="AP2429">
        <v>98</v>
      </c>
      <c r="AQ2429">
        <v>4</v>
      </c>
      <c r="AR2429" t="s">
        <v>3172</v>
      </c>
      <c r="AS2429" t="s">
        <v>3173</v>
      </c>
      <c r="AT2429">
        <v>0.38800000000000001</v>
      </c>
      <c r="AU2429" t="s">
        <v>65</v>
      </c>
      <c r="AV2429">
        <v>145</v>
      </c>
      <c r="AW2429">
        <v>10</v>
      </c>
      <c r="AX2429" t="s">
        <v>3174</v>
      </c>
      <c r="AY2429">
        <v>7.5770000000000004E-2</v>
      </c>
      <c r="AZ2429">
        <v>-3.9699999999999996E-3</v>
      </c>
      <c r="BA2429">
        <v>1.31E-3</v>
      </c>
      <c r="BB2429">
        <v>-1E-4</v>
      </c>
      <c r="BC2429">
        <v>1.7309999999999999E-2</v>
      </c>
      <c r="BD2429">
        <v>1</v>
      </c>
      <c r="BE2429" t="s">
        <v>69</v>
      </c>
      <c r="BF2429">
        <v>-0.441</v>
      </c>
      <c r="BG2429">
        <v>0.83299999999999996</v>
      </c>
    </row>
    <row r="2430" spans="1:59">
      <c r="A2430">
        <v>0</v>
      </c>
      <c r="B2430">
        <v>5</v>
      </c>
      <c r="C2430">
        <v>0</v>
      </c>
      <c r="D2430" t="s">
        <v>25022</v>
      </c>
      <c r="E2430">
        <v>2968</v>
      </c>
      <c r="F2430" t="s">
        <v>17115</v>
      </c>
      <c r="G2430" t="s">
        <v>62</v>
      </c>
      <c r="H2430">
        <v>2913664</v>
      </c>
      <c r="I2430">
        <v>2915148</v>
      </c>
      <c r="J2430" t="s">
        <v>17116</v>
      </c>
      <c r="K2430">
        <v>495</v>
      </c>
      <c r="L2430" t="s">
        <v>108</v>
      </c>
      <c r="M2430">
        <v>44</v>
      </c>
      <c r="N2430" t="str">
        <f>HYPERLINK("Gene2968-zp_tree_all.dnd", "Gene2968-tree")</f>
        <v>Gene2968-tree</v>
      </c>
      <c r="O2430">
        <v>5</v>
      </c>
      <c r="P2430">
        <v>10</v>
      </c>
      <c r="Q2430">
        <v>5</v>
      </c>
      <c r="R2430">
        <v>10</v>
      </c>
      <c r="S2430">
        <v>0.66666999999999998</v>
      </c>
      <c r="T2430" t="s">
        <v>199</v>
      </c>
      <c r="U2430" t="s">
        <v>117</v>
      </c>
      <c r="V2430" t="s">
        <v>62</v>
      </c>
      <c r="W2430" t="s">
        <v>62</v>
      </c>
      <c r="X2430">
        <v>2</v>
      </c>
      <c r="Y2430">
        <v>5</v>
      </c>
      <c r="Z2430">
        <v>21</v>
      </c>
      <c r="AA2430">
        <v>0.19231000000000001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</v>
      </c>
      <c r="AH2430">
        <v>0</v>
      </c>
      <c r="AI2430">
        <v>2</v>
      </c>
      <c r="AJ2430">
        <v>16</v>
      </c>
      <c r="AK2430">
        <v>0.11111</v>
      </c>
      <c r="AL2430">
        <v>13</v>
      </c>
      <c r="AM2430">
        <v>12</v>
      </c>
      <c r="AN2430">
        <v>48</v>
      </c>
      <c r="AO2430">
        <v>18</v>
      </c>
      <c r="AP2430">
        <v>39</v>
      </c>
      <c r="AQ2430">
        <v>8</v>
      </c>
      <c r="AR2430" t="s">
        <v>17117</v>
      </c>
      <c r="AS2430" t="s">
        <v>17118</v>
      </c>
      <c r="AT2430">
        <v>0.76200000000000001</v>
      </c>
      <c r="AU2430" t="s">
        <v>65</v>
      </c>
      <c r="AV2430">
        <v>87</v>
      </c>
      <c r="AW2430">
        <v>26</v>
      </c>
      <c r="AX2430" t="s">
        <v>17119</v>
      </c>
      <c r="AY2430">
        <v>5.2310000000000002E-2</v>
      </c>
      <c r="AZ2430">
        <v>-2.1199999999999999E-3</v>
      </c>
      <c r="BA2430">
        <v>4.0699999999999998E-3</v>
      </c>
      <c r="BB2430">
        <v>-1.7000000000000001E-4</v>
      </c>
      <c r="BC2430">
        <v>7.7850000000000003E-2</v>
      </c>
      <c r="BD2430">
        <v>1</v>
      </c>
      <c r="BE2430" t="s">
        <v>69</v>
      </c>
      <c r="BF2430">
        <v>-0.61499999999999999</v>
      </c>
      <c r="BG2430">
        <v>-1.8660000000000001</v>
      </c>
    </row>
    <row r="2431" spans="1:59">
      <c r="A2431">
        <v>0</v>
      </c>
      <c r="B2431">
        <v>9</v>
      </c>
      <c r="C2431">
        <v>2</v>
      </c>
      <c r="D2431" t="s">
        <v>25022</v>
      </c>
      <c r="E2431">
        <v>1305</v>
      </c>
      <c r="F2431" t="s">
        <v>8194</v>
      </c>
      <c r="G2431" t="s">
        <v>57</v>
      </c>
      <c r="H2431">
        <v>1327195</v>
      </c>
      <c r="I2431">
        <v>1328679</v>
      </c>
      <c r="J2431" t="s">
        <v>8195</v>
      </c>
      <c r="K2431">
        <v>495</v>
      </c>
      <c r="L2431" t="s">
        <v>1305</v>
      </c>
      <c r="M2431">
        <v>43</v>
      </c>
      <c r="N2431" t="str">
        <f>HYPERLINK("Gene1305-zp_tree_all.dnd", "Gene1305-tree")</f>
        <v>Gene1305-tree</v>
      </c>
      <c r="O2431">
        <v>6</v>
      </c>
      <c r="P2431">
        <v>8</v>
      </c>
      <c r="Q2431">
        <v>6</v>
      </c>
      <c r="R2431">
        <v>8</v>
      </c>
      <c r="S2431">
        <v>0.57142999999999999</v>
      </c>
      <c r="T2431" t="s">
        <v>90</v>
      </c>
      <c r="U2431" t="s">
        <v>136</v>
      </c>
      <c r="V2431" t="s">
        <v>62</v>
      </c>
      <c r="W2431" t="s">
        <v>62</v>
      </c>
      <c r="X2431">
        <v>4</v>
      </c>
      <c r="Y2431">
        <v>11</v>
      </c>
      <c r="Z2431">
        <v>6</v>
      </c>
      <c r="AA2431">
        <v>0.64705999999999997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5</v>
      </c>
      <c r="AH2431">
        <v>2</v>
      </c>
      <c r="AI2431">
        <v>7</v>
      </c>
      <c r="AJ2431">
        <v>6</v>
      </c>
      <c r="AK2431">
        <v>0.53846000000000005</v>
      </c>
      <c r="AL2431">
        <v>13</v>
      </c>
      <c r="AM2431">
        <v>10</v>
      </c>
      <c r="AN2431">
        <v>79</v>
      </c>
      <c r="AO2431">
        <v>13</v>
      </c>
      <c r="AP2431">
        <v>35</v>
      </c>
      <c r="AQ2431">
        <v>4</v>
      </c>
      <c r="AR2431" t="s">
        <v>8196</v>
      </c>
      <c r="AS2431" t="s">
        <v>8197</v>
      </c>
      <c r="AT2431">
        <v>0.371</v>
      </c>
      <c r="AU2431" t="s">
        <v>65</v>
      </c>
      <c r="AV2431">
        <v>114</v>
      </c>
      <c r="AW2431">
        <v>17</v>
      </c>
      <c r="AX2431" t="s">
        <v>8198</v>
      </c>
      <c r="AY2431">
        <v>5.9209999999999999E-2</v>
      </c>
      <c r="AZ2431">
        <v>-2.6099999999999999E-3</v>
      </c>
      <c r="BA2431">
        <v>2.1099999999999999E-3</v>
      </c>
      <c r="BB2431">
        <v>-1.7000000000000001E-4</v>
      </c>
      <c r="BC2431">
        <v>3.5709999999999999E-2</v>
      </c>
      <c r="BD2431">
        <v>1</v>
      </c>
      <c r="BE2431" t="s">
        <v>69</v>
      </c>
      <c r="BF2431">
        <v>-0.36299999999999999</v>
      </c>
      <c r="BG2431">
        <v>-1.627</v>
      </c>
    </row>
    <row r="2432" spans="1:59">
      <c r="A2432">
        <v>0</v>
      </c>
      <c r="B2432">
        <v>0</v>
      </c>
      <c r="C2432">
        <v>0</v>
      </c>
      <c r="D2432" t="s">
        <v>25022</v>
      </c>
      <c r="E2432">
        <v>193</v>
      </c>
      <c r="F2432" t="s">
        <v>1342</v>
      </c>
      <c r="G2432" t="s">
        <v>57</v>
      </c>
      <c r="H2432">
        <v>215404</v>
      </c>
      <c r="I2432">
        <v>216891</v>
      </c>
      <c r="J2432" t="s">
        <v>1343</v>
      </c>
      <c r="K2432">
        <v>496</v>
      </c>
      <c r="L2432" t="s">
        <v>1341</v>
      </c>
      <c r="M2432">
        <v>22</v>
      </c>
      <c r="N2432" t="str">
        <f>HYPERLINK("Gene193-zp_tree_all.dnd", "Gene193-tree")</f>
        <v>Gene193-tree</v>
      </c>
      <c r="O2432">
        <v>0</v>
      </c>
      <c r="P2432">
        <v>4</v>
      </c>
      <c r="Q2432">
        <v>0</v>
      </c>
      <c r="R2432">
        <v>4</v>
      </c>
      <c r="S2432">
        <v>1</v>
      </c>
      <c r="T2432" t="s">
        <v>62</v>
      </c>
      <c r="U2432" t="s">
        <v>61</v>
      </c>
      <c r="V2432" t="s">
        <v>62</v>
      </c>
      <c r="W2432" t="s">
        <v>62</v>
      </c>
      <c r="X2432">
        <v>0</v>
      </c>
      <c r="Y2432">
        <v>0</v>
      </c>
      <c r="Z2432">
        <v>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3</v>
      </c>
      <c r="AK2432">
        <v>0</v>
      </c>
      <c r="AL2432">
        <v>3</v>
      </c>
      <c r="AM2432">
        <v>0</v>
      </c>
      <c r="AN2432">
        <v>0</v>
      </c>
      <c r="AO2432">
        <v>3</v>
      </c>
      <c r="AP2432">
        <v>0</v>
      </c>
      <c r="AQ2432">
        <v>0</v>
      </c>
      <c r="AR2432" t="s">
        <v>193</v>
      </c>
      <c r="AS2432" t="s">
        <v>193</v>
      </c>
      <c r="AT2432">
        <v>0</v>
      </c>
      <c r="AU2432" t="s">
        <v>65</v>
      </c>
      <c r="AV2432">
        <v>0</v>
      </c>
      <c r="AW2432">
        <v>3</v>
      </c>
      <c r="AX2432" t="s">
        <v>1344</v>
      </c>
      <c r="AY2432">
        <v>0</v>
      </c>
      <c r="AZ2432">
        <v>0</v>
      </c>
      <c r="BA2432">
        <v>1.2999999999999999E-3</v>
      </c>
      <c r="BB2432">
        <v>-1.8000000000000001E-4</v>
      </c>
      <c r="BC2432" t="s">
        <v>1346</v>
      </c>
      <c r="BD2432">
        <v>1</v>
      </c>
      <c r="BE2432" t="s">
        <v>69</v>
      </c>
      <c r="BF2432">
        <v>-1.7290000000000001</v>
      </c>
      <c r="BG2432">
        <v>-2.46</v>
      </c>
    </row>
    <row r="2433" spans="1:59">
      <c r="A2433">
        <v>0</v>
      </c>
      <c r="B2433">
        <v>4</v>
      </c>
      <c r="C2433">
        <v>0</v>
      </c>
      <c r="D2433" t="s">
        <v>25022</v>
      </c>
      <c r="E2433">
        <v>2997</v>
      </c>
      <c r="F2433" t="s">
        <v>17305</v>
      </c>
      <c r="G2433" t="s">
        <v>62</v>
      </c>
      <c r="H2433">
        <v>2947388</v>
      </c>
      <c r="I2433">
        <v>2948875</v>
      </c>
      <c r="J2433" t="s">
        <v>17306</v>
      </c>
      <c r="K2433">
        <v>496</v>
      </c>
      <c r="L2433" t="s">
        <v>108</v>
      </c>
      <c r="M2433">
        <v>44</v>
      </c>
      <c r="N2433" t="str">
        <f>HYPERLINK("Gene2997-zp_tree_all.dnd", "Gene2997-tree")</f>
        <v>Gene2997-tree</v>
      </c>
      <c r="O2433">
        <v>8</v>
      </c>
      <c r="P2433">
        <v>7</v>
      </c>
      <c r="Q2433">
        <v>8</v>
      </c>
      <c r="R2433">
        <v>7</v>
      </c>
      <c r="S2433">
        <v>0.46666999999999997</v>
      </c>
      <c r="T2433" t="s">
        <v>136</v>
      </c>
      <c r="U2433" t="s">
        <v>152</v>
      </c>
      <c r="V2433" t="s">
        <v>62</v>
      </c>
      <c r="W2433" t="s">
        <v>62</v>
      </c>
      <c r="X2433">
        <v>1</v>
      </c>
      <c r="Y2433">
        <v>4</v>
      </c>
      <c r="Z2433">
        <v>12</v>
      </c>
      <c r="AA2433">
        <v>0.25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3</v>
      </c>
      <c r="AH2433">
        <v>0</v>
      </c>
      <c r="AI2433">
        <v>3</v>
      </c>
      <c r="AJ2433">
        <v>8</v>
      </c>
      <c r="AK2433">
        <v>0.27272999999999997</v>
      </c>
      <c r="AL2433">
        <v>14</v>
      </c>
      <c r="AM2433">
        <v>10</v>
      </c>
      <c r="AN2433">
        <v>36</v>
      </c>
      <c r="AO2433">
        <v>11</v>
      </c>
      <c r="AP2433">
        <v>19</v>
      </c>
      <c r="AQ2433">
        <v>5</v>
      </c>
      <c r="AR2433" t="s">
        <v>17307</v>
      </c>
      <c r="AS2433" t="s">
        <v>17308</v>
      </c>
      <c r="AT2433">
        <v>0.16200000000000001</v>
      </c>
      <c r="AU2433" t="s">
        <v>65</v>
      </c>
      <c r="AV2433">
        <v>55</v>
      </c>
      <c r="AW2433">
        <v>16</v>
      </c>
      <c r="AX2433" t="s">
        <v>17309</v>
      </c>
      <c r="AY2433">
        <v>2.7799999999999998E-2</v>
      </c>
      <c r="AZ2433">
        <v>-1.2099999999999999E-3</v>
      </c>
      <c r="BA2433">
        <v>2.4099999999999998E-3</v>
      </c>
      <c r="BB2433">
        <v>-1.1E-4</v>
      </c>
      <c r="BC2433">
        <v>8.6540000000000006E-2</v>
      </c>
      <c r="BD2433">
        <v>1</v>
      </c>
      <c r="BE2433" t="s">
        <v>69</v>
      </c>
      <c r="BF2433">
        <v>-1.032</v>
      </c>
      <c r="BG2433">
        <v>-1.2210000000000001</v>
      </c>
    </row>
    <row r="2434" spans="1:59">
      <c r="A2434">
        <v>0</v>
      </c>
      <c r="B2434">
        <v>2</v>
      </c>
      <c r="C2434">
        <v>0</v>
      </c>
      <c r="D2434" t="s">
        <v>25022</v>
      </c>
      <c r="E2434">
        <v>3691</v>
      </c>
      <c r="F2434" t="s">
        <v>21654</v>
      </c>
      <c r="G2434" t="s">
        <v>62</v>
      </c>
      <c r="H2434">
        <v>3659122</v>
      </c>
      <c r="I2434">
        <v>3660609</v>
      </c>
      <c r="J2434" t="s">
        <v>21655</v>
      </c>
      <c r="K2434">
        <v>496</v>
      </c>
      <c r="L2434" t="s">
        <v>12343</v>
      </c>
      <c r="M2434">
        <v>25</v>
      </c>
      <c r="N2434" t="str">
        <f>HYPERLINK("Gene3691-zp_tree_all.dnd", "Gene3691-tree")</f>
        <v>Gene3691-tree</v>
      </c>
      <c r="O2434">
        <v>4</v>
      </c>
      <c r="P2434">
        <v>3</v>
      </c>
      <c r="Q2434">
        <v>4</v>
      </c>
      <c r="R2434">
        <v>3</v>
      </c>
      <c r="S2434">
        <v>0.42857000000000001</v>
      </c>
      <c r="T2434" t="s">
        <v>61</v>
      </c>
      <c r="U2434" t="s">
        <v>324</v>
      </c>
      <c r="V2434" t="s">
        <v>62</v>
      </c>
      <c r="W2434" t="s">
        <v>62</v>
      </c>
      <c r="X2434">
        <v>1</v>
      </c>
      <c r="Y2434">
        <v>2</v>
      </c>
      <c r="Z2434">
        <v>2</v>
      </c>
      <c r="AA2434">
        <v>0.5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</v>
      </c>
      <c r="AH2434">
        <v>0</v>
      </c>
      <c r="AI2434">
        <v>2</v>
      </c>
      <c r="AJ2434">
        <v>1</v>
      </c>
      <c r="AK2434">
        <v>0.66666999999999998</v>
      </c>
      <c r="AL2434">
        <v>4</v>
      </c>
      <c r="AM2434">
        <v>4</v>
      </c>
      <c r="AN2434">
        <v>6</v>
      </c>
      <c r="AO2434">
        <v>2</v>
      </c>
      <c r="AP2434">
        <v>14</v>
      </c>
      <c r="AQ2434">
        <v>2</v>
      </c>
      <c r="AR2434" t="s">
        <v>21656</v>
      </c>
      <c r="AS2434" t="s">
        <v>21657</v>
      </c>
      <c r="AT2434">
        <v>0.54900000000000004</v>
      </c>
      <c r="AU2434" t="s">
        <v>65</v>
      </c>
      <c r="AV2434">
        <v>20</v>
      </c>
      <c r="AW2434">
        <v>4</v>
      </c>
      <c r="AX2434" t="s">
        <v>21658</v>
      </c>
      <c r="AY2434">
        <v>2.4580000000000001E-2</v>
      </c>
      <c r="AZ2434">
        <v>-2.8500000000000001E-3</v>
      </c>
      <c r="BA2434">
        <v>1.2700000000000001E-3</v>
      </c>
      <c r="BB2434">
        <v>-1.8000000000000001E-4</v>
      </c>
      <c r="BC2434">
        <v>5.1869999999999999E-2</v>
      </c>
      <c r="BD2434">
        <v>1</v>
      </c>
      <c r="BE2434" t="s">
        <v>69</v>
      </c>
      <c r="BF2434">
        <v>-0.81299999999999994</v>
      </c>
      <c r="BG2434">
        <v>-0.33700000000000002</v>
      </c>
    </row>
    <row r="2435" spans="1:59">
      <c r="A2435">
        <v>0</v>
      </c>
      <c r="B2435">
        <v>0</v>
      </c>
      <c r="C2435">
        <v>0</v>
      </c>
      <c r="D2435" t="s">
        <v>25022</v>
      </c>
      <c r="E2435">
        <v>2398</v>
      </c>
      <c r="F2435" t="s">
        <v>13957</v>
      </c>
      <c r="G2435" t="s">
        <v>62</v>
      </c>
      <c r="H2435">
        <v>2406925</v>
      </c>
      <c r="I2435">
        <v>2408412</v>
      </c>
      <c r="J2435" t="s">
        <v>4355</v>
      </c>
      <c r="K2435">
        <v>496</v>
      </c>
      <c r="L2435" t="s">
        <v>108</v>
      </c>
      <c r="M2435">
        <v>44</v>
      </c>
      <c r="N2435" t="str">
        <f>HYPERLINK("Gene2398-zp_tree_all.dnd", "Gene2398-tree")</f>
        <v>Gene2398-tree</v>
      </c>
      <c r="O2435">
        <v>5</v>
      </c>
      <c r="P2435">
        <v>6</v>
      </c>
      <c r="Q2435">
        <v>5</v>
      </c>
      <c r="R2435">
        <v>6</v>
      </c>
      <c r="S2435">
        <v>0.54544999999999999</v>
      </c>
      <c r="T2435" t="s">
        <v>199</v>
      </c>
      <c r="U2435" t="s">
        <v>90</v>
      </c>
      <c r="V2435" t="s">
        <v>62</v>
      </c>
      <c r="W2435" t="s">
        <v>62</v>
      </c>
      <c r="X2435">
        <v>0</v>
      </c>
      <c r="Y2435">
        <v>0</v>
      </c>
      <c r="Z2435">
        <v>11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10</v>
      </c>
      <c r="AK2435">
        <v>0</v>
      </c>
      <c r="AL2435">
        <v>10</v>
      </c>
      <c r="AM2435">
        <v>7</v>
      </c>
      <c r="AN2435">
        <v>41</v>
      </c>
      <c r="AO2435">
        <v>10</v>
      </c>
      <c r="AP2435">
        <v>16</v>
      </c>
      <c r="AQ2435">
        <v>1</v>
      </c>
      <c r="AR2435" t="s">
        <v>13958</v>
      </c>
      <c r="AS2435" t="s">
        <v>13959</v>
      </c>
      <c r="AT2435">
        <v>0.93100000000000005</v>
      </c>
      <c r="AU2435" t="s">
        <v>65</v>
      </c>
      <c r="AV2435">
        <v>57</v>
      </c>
      <c r="AW2435">
        <v>11</v>
      </c>
      <c r="AX2435" t="s">
        <v>13960</v>
      </c>
      <c r="AY2435">
        <v>3.7440000000000001E-2</v>
      </c>
      <c r="AZ2435">
        <v>-1.6000000000000001E-3</v>
      </c>
      <c r="BA2435">
        <v>1.8500000000000001E-3</v>
      </c>
      <c r="BB2435">
        <v>-2.0000000000000001E-4</v>
      </c>
      <c r="BC2435">
        <v>4.9540000000000001E-2</v>
      </c>
      <c r="BD2435">
        <v>1</v>
      </c>
      <c r="BE2435" t="s">
        <v>69</v>
      </c>
      <c r="BF2435">
        <v>-0.108</v>
      </c>
      <c r="BG2435">
        <v>-1.8939999999999999</v>
      </c>
    </row>
    <row r="2436" spans="1:59">
      <c r="A2436">
        <v>0</v>
      </c>
      <c r="B2436">
        <v>0</v>
      </c>
      <c r="C2436">
        <v>0</v>
      </c>
      <c r="D2436" t="s">
        <v>25022</v>
      </c>
      <c r="E2436">
        <v>964</v>
      </c>
      <c r="F2436" t="s">
        <v>6044</v>
      </c>
      <c r="G2436" t="s">
        <v>57</v>
      </c>
      <c r="H2436">
        <v>1003344</v>
      </c>
      <c r="I2436">
        <v>1004831</v>
      </c>
      <c r="J2436" t="s">
        <v>6045</v>
      </c>
      <c r="K2436">
        <v>496</v>
      </c>
      <c r="L2436" t="s">
        <v>108</v>
      </c>
      <c r="M2436">
        <v>44</v>
      </c>
      <c r="N2436" t="str">
        <f>HYPERLINK("Gene964-zp_tree_all.dnd", "Gene964-tree")</f>
        <v>Gene964-tree</v>
      </c>
      <c r="O2436">
        <v>11</v>
      </c>
      <c r="P2436">
        <v>3</v>
      </c>
      <c r="Q2436">
        <v>11</v>
      </c>
      <c r="R2436">
        <v>3</v>
      </c>
      <c r="S2436">
        <v>0.21429000000000001</v>
      </c>
      <c r="T2436" t="s">
        <v>73</v>
      </c>
      <c r="U2436" t="s">
        <v>324</v>
      </c>
      <c r="V2436" t="s">
        <v>62</v>
      </c>
      <c r="W2436" t="s">
        <v>62</v>
      </c>
      <c r="X2436">
        <v>0</v>
      </c>
      <c r="Y2436">
        <v>0</v>
      </c>
      <c r="Z2436">
        <v>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3</v>
      </c>
      <c r="AK2436">
        <v>0</v>
      </c>
      <c r="AL2436">
        <v>14</v>
      </c>
      <c r="AM2436">
        <v>8</v>
      </c>
      <c r="AN2436">
        <v>69</v>
      </c>
      <c r="AO2436">
        <v>3</v>
      </c>
      <c r="AP2436">
        <v>32</v>
      </c>
      <c r="AQ2436">
        <v>0</v>
      </c>
      <c r="AR2436" t="s">
        <v>6046</v>
      </c>
      <c r="AS2436" t="s">
        <v>193</v>
      </c>
      <c r="AT2436">
        <v>0.84899999999999998</v>
      </c>
      <c r="AU2436" t="s">
        <v>65</v>
      </c>
      <c r="AV2436">
        <v>101</v>
      </c>
      <c r="AW2436">
        <v>3</v>
      </c>
      <c r="AX2436" t="s">
        <v>4118</v>
      </c>
      <c r="AY2436">
        <v>5.5239999999999997E-2</v>
      </c>
      <c r="AZ2436">
        <v>-2.47E-3</v>
      </c>
      <c r="BA2436">
        <v>3.8000000000000002E-4</v>
      </c>
      <c r="BB2436">
        <v>-5.0000000000000002E-5</v>
      </c>
      <c r="BC2436">
        <v>6.7999999999999996E-3</v>
      </c>
      <c r="BD2436">
        <v>1</v>
      </c>
      <c r="BE2436" t="s">
        <v>69</v>
      </c>
      <c r="BF2436">
        <v>0.29199999999999998</v>
      </c>
      <c r="BG2436">
        <v>0.13900000000000001</v>
      </c>
    </row>
    <row r="2437" spans="1:59">
      <c r="A2437">
        <v>3</v>
      </c>
      <c r="B2437">
        <v>17</v>
      </c>
      <c r="C2437">
        <v>3</v>
      </c>
      <c r="D2437" t="s">
        <v>25022</v>
      </c>
      <c r="E2437">
        <v>1283</v>
      </c>
      <c r="F2437" t="s">
        <v>8048</v>
      </c>
      <c r="G2437" t="s">
        <v>57</v>
      </c>
      <c r="H2437">
        <v>1311319</v>
      </c>
      <c r="I2437">
        <v>1312809</v>
      </c>
      <c r="J2437" t="s">
        <v>8049</v>
      </c>
      <c r="K2437">
        <v>497</v>
      </c>
      <c r="L2437" t="s">
        <v>108</v>
      </c>
      <c r="M2437">
        <v>44</v>
      </c>
      <c r="N2437" t="str">
        <f>HYPERLINK("Gene1283-zp_tree_all.dnd", "Gene1283-tree")</f>
        <v>Gene1283-tree</v>
      </c>
      <c r="O2437">
        <v>2</v>
      </c>
      <c r="P2437">
        <v>11</v>
      </c>
      <c r="Q2437">
        <v>2</v>
      </c>
      <c r="R2437">
        <v>11</v>
      </c>
      <c r="S2437">
        <v>0.84614999999999996</v>
      </c>
      <c r="T2437" t="s">
        <v>81</v>
      </c>
      <c r="U2437" t="s">
        <v>73</v>
      </c>
      <c r="V2437">
        <v>515075683.63</v>
      </c>
      <c r="W2437" t="s">
        <v>267</v>
      </c>
      <c r="X2437">
        <v>9</v>
      </c>
      <c r="Y2437">
        <v>23</v>
      </c>
      <c r="Z2437">
        <v>17</v>
      </c>
      <c r="AA2437">
        <v>0.57499999999999996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6</v>
      </c>
      <c r="AH2437">
        <v>5</v>
      </c>
      <c r="AI2437">
        <v>11</v>
      </c>
      <c r="AJ2437">
        <v>16</v>
      </c>
      <c r="AK2437">
        <v>0.40740999999999999</v>
      </c>
      <c r="AL2437">
        <v>12</v>
      </c>
      <c r="AM2437">
        <v>9</v>
      </c>
      <c r="AN2437">
        <v>54</v>
      </c>
      <c r="AO2437">
        <v>26</v>
      </c>
      <c r="AP2437">
        <v>39</v>
      </c>
      <c r="AQ2437">
        <v>15</v>
      </c>
      <c r="AR2437" t="s">
        <v>8050</v>
      </c>
      <c r="AS2437" t="s">
        <v>8051</v>
      </c>
      <c r="AT2437">
        <v>0.46600000000000003</v>
      </c>
      <c r="AU2437" t="s">
        <v>65</v>
      </c>
      <c r="AV2437">
        <v>93</v>
      </c>
      <c r="AW2437">
        <v>41</v>
      </c>
      <c r="AX2437" t="s">
        <v>8052</v>
      </c>
      <c r="AY2437">
        <v>5.2209999999999999E-2</v>
      </c>
      <c r="AZ2437">
        <v>-1.74E-3</v>
      </c>
      <c r="BA2437">
        <v>6.7600000000000004E-3</v>
      </c>
      <c r="BB2437">
        <v>-2.4000000000000001E-4</v>
      </c>
      <c r="BC2437">
        <v>0.12942999999999999</v>
      </c>
      <c r="BD2437">
        <v>1</v>
      </c>
      <c r="BE2437" t="s">
        <v>69</v>
      </c>
      <c r="BF2437">
        <v>0.19800000000000001</v>
      </c>
      <c r="BG2437">
        <v>-0.55900000000000005</v>
      </c>
    </row>
    <row r="2438" spans="1:59">
      <c r="A2438">
        <v>0</v>
      </c>
      <c r="B2438">
        <v>21</v>
      </c>
      <c r="C2438">
        <v>0</v>
      </c>
      <c r="D2438" t="s">
        <v>25022</v>
      </c>
      <c r="E2438">
        <v>3131</v>
      </c>
      <c r="F2438" t="s">
        <v>18175</v>
      </c>
      <c r="G2438" t="s">
        <v>62</v>
      </c>
      <c r="H2438">
        <v>3085803</v>
      </c>
      <c r="I2438">
        <v>3087296</v>
      </c>
      <c r="J2438" t="s">
        <v>5930</v>
      </c>
      <c r="K2438">
        <v>498</v>
      </c>
      <c r="L2438" t="s">
        <v>108</v>
      </c>
      <c r="M2438">
        <v>44</v>
      </c>
      <c r="N2438" t="str">
        <f>HYPERLINK("Gene3131-zp_tree_all.dnd", "Gene3131-tree")</f>
        <v>Gene3131-tree</v>
      </c>
      <c r="O2438">
        <v>4</v>
      </c>
      <c r="P2438">
        <v>13</v>
      </c>
      <c r="Q2438">
        <v>4</v>
      </c>
      <c r="R2438">
        <v>13</v>
      </c>
      <c r="S2438">
        <v>0.76471</v>
      </c>
      <c r="T2438" t="s">
        <v>61</v>
      </c>
      <c r="U2438" t="s">
        <v>507</v>
      </c>
      <c r="V2438" t="s">
        <v>62</v>
      </c>
      <c r="W2438" t="s">
        <v>62</v>
      </c>
      <c r="X2438">
        <v>7</v>
      </c>
      <c r="Y2438">
        <v>21</v>
      </c>
      <c r="Z2438">
        <v>12</v>
      </c>
      <c r="AA2438">
        <v>0.63636000000000004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9</v>
      </c>
      <c r="AH2438">
        <v>0</v>
      </c>
      <c r="AI2438">
        <v>9</v>
      </c>
      <c r="AJ2438">
        <v>12</v>
      </c>
      <c r="AK2438">
        <v>0.42857000000000001</v>
      </c>
      <c r="AL2438">
        <v>12</v>
      </c>
      <c r="AM2438">
        <v>14</v>
      </c>
      <c r="AN2438">
        <v>61</v>
      </c>
      <c r="AO2438">
        <v>15</v>
      </c>
      <c r="AP2438">
        <v>64</v>
      </c>
      <c r="AQ2438">
        <v>19</v>
      </c>
      <c r="AR2438" t="s">
        <v>18176</v>
      </c>
      <c r="AS2438" t="s">
        <v>18177</v>
      </c>
      <c r="AT2438">
        <v>0.11899999999999999</v>
      </c>
      <c r="AU2438" t="s">
        <v>65</v>
      </c>
      <c r="AV2438">
        <v>125</v>
      </c>
      <c r="AW2438">
        <v>34</v>
      </c>
      <c r="AX2438" t="s">
        <v>18178</v>
      </c>
      <c r="AY2438">
        <v>8.0869999999999997E-2</v>
      </c>
      <c r="AZ2438">
        <v>-4.5799999999999999E-3</v>
      </c>
      <c r="BA2438">
        <v>4.9699999999999996E-3</v>
      </c>
      <c r="BB2438">
        <v>-2.2000000000000001E-4</v>
      </c>
      <c r="BC2438">
        <v>6.1499999999999999E-2</v>
      </c>
      <c r="BD2438">
        <v>1</v>
      </c>
      <c r="BE2438" t="s">
        <v>69</v>
      </c>
      <c r="BF2438">
        <v>-0.56299999999999994</v>
      </c>
      <c r="BG2438">
        <v>-0.33900000000000002</v>
      </c>
    </row>
    <row r="2439" spans="1:59">
      <c r="A2439">
        <v>0</v>
      </c>
      <c r="B2439">
        <v>24</v>
      </c>
      <c r="C2439">
        <v>4</v>
      </c>
      <c r="D2439" t="s">
        <v>25022</v>
      </c>
      <c r="E2439">
        <v>1085</v>
      </c>
      <c r="F2439" t="s">
        <v>6816</v>
      </c>
      <c r="G2439" t="s">
        <v>57</v>
      </c>
      <c r="H2439">
        <v>1122862</v>
      </c>
      <c r="I2439">
        <v>1124358</v>
      </c>
      <c r="J2439" t="s">
        <v>6817</v>
      </c>
      <c r="K2439">
        <v>499</v>
      </c>
      <c r="L2439" t="s">
        <v>108</v>
      </c>
      <c r="M2439">
        <v>44</v>
      </c>
      <c r="N2439" t="str">
        <f>HYPERLINK("Gene1085-zp_tree_all.dnd", "Gene1085-tree")</f>
        <v>Gene1085-tree</v>
      </c>
      <c r="O2439">
        <v>5</v>
      </c>
      <c r="P2439">
        <v>11</v>
      </c>
      <c r="Q2439">
        <v>5</v>
      </c>
      <c r="R2439">
        <v>11</v>
      </c>
      <c r="S2439">
        <v>0.6875</v>
      </c>
      <c r="T2439" t="s">
        <v>199</v>
      </c>
      <c r="U2439" t="s">
        <v>73</v>
      </c>
      <c r="V2439">
        <v>137353515.63499999</v>
      </c>
      <c r="W2439" t="s">
        <v>267</v>
      </c>
      <c r="X2439">
        <v>11</v>
      </c>
      <c r="Y2439">
        <v>28</v>
      </c>
      <c r="Z2439">
        <v>40</v>
      </c>
      <c r="AA2439">
        <v>0.41176000000000001</v>
      </c>
      <c r="AB2439">
        <v>0</v>
      </c>
      <c r="AC2439">
        <v>2</v>
      </c>
      <c r="AD2439">
        <v>2</v>
      </c>
      <c r="AE2439">
        <v>5</v>
      </c>
      <c r="AF2439">
        <v>0.28571000000000002</v>
      </c>
      <c r="AG2439">
        <v>7</v>
      </c>
      <c r="AH2439">
        <v>6</v>
      </c>
      <c r="AI2439">
        <v>13</v>
      </c>
      <c r="AJ2439">
        <v>35</v>
      </c>
      <c r="AK2439">
        <v>0.27083000000000002</v>
      </c>
      <c r="AL2439">
        <v>13</v>
      </c>
      <c r="AM2439">
        <v>13</v>
      </c>
      <c r="AN2439">
        <v>81</v>
      </c>
      <c r="AO2439">
        <v>50</v>
      </c>
      <c r="AP2439">
        <v>58</v>
      </c>
      <c r="AQ2439">
        <v>20</v>
      </c>
      <c r="AR2439" t="s">
        <v>6818</v>
      </c>
      <c r="AS2439" t="s">
        <v>6819</v>
      </c>
      <c r="AT2439">
        <v>0.61099999999999999</v>
      </c>
      <c r="AU2439" t="s">
        <v>65</v>
      </c>
      <c r="AV2439">
        <v>139</v>
      </c>
      <c r="AW2439">
        <v>70</v>
      </c>
      <c r="AX2439" t="s">
        <v>6820</v>
      </c>
      <c r="AY2439">
        <v>6.2560000000000004E-2</v>
      </c>
      <c r="AZ2439">
        <v>-2.4399999999999999E-3</v>
      </c>
      <c r="BA2439">
        <v>1.0120000000000001E-2</v>
      </c>
      <c r="BB2439">
        <v>-3.3E-4</v>
      </c>
      <c r="BC2439">
        <v>0.16173000000000001</v>
      </c>
      <c r="BD2439">
        <v>1</v>
      </c>
      <c r="BE2439" t="s">
        <v>69</v>
      </c>
      <c r="BF2439">
        <v>-0.79300000000000004</v>
      </c>
      <c r="BG2439">
        <v>-2.6829999999999998</v>
      </c>
    </row>
    <row r="2440" spans="1:59">
      <c r="A2440">
        <v>0</v>
      </c>
      <c r="B2440">
        <v>20</v>
      </c>
      <c r="C2440">
        <v>0</v>
      </c>
      <c r="D2440" t="s">
        <v>25022</v>
      </c>
      <c r="E2440">
        <v>1825</v>
      </c>
      <c r="F2440" t="s">
        <v>11437</v>
      </c>
      <c r="G2440" t="s">
        <v>57</v>
      </c>
      <c r="H2440">
        <v>1893396</v>
      </c>
      <c r="I2440">
        <v>1894892</v>
      </c>
      <c r="J2440" t="s">
        <v>11438</v>
      </c>
      <c r="K2440">
        <v>499</v>
      </c>
      <c r="L2440" t="s">
        <v>108</v>
      </c>
      <c r="M2440">
        <v>44</v>
      </c>
      <c r="N2440" t="str">
        <f>HYPERLINK("Gene1825-zp_tree_all.dnd", "Gene1825-tree")</f>
        <v>Gene1825-tree</v>
      </c>
      <c r="O2440">
        <v>3</v>
      </c>
      <c r="P2440">
        <v>11</v>
      </c>
      <c r="Q2440">
        <v>3</v>
      </c>
      <c r="R2440">
        <v>11</v>
      </c>
      <c r="S2440">
        <v>0.78571000000000002</v>
      </c>
      <c r="T2440" t="s">
        <v>324</v>
      </c>
      <c r="U2440" t="s">
        <v>73</v>
      </c>
      <c r="V2440">
        <v>305230034.74400002</v>
      </c>
      <c r="W2440" t="s">
        <v>267</v>
      </c>
      <c r="X2440">
        <v>8</v>
      </c>
      <c r="Y2440">
        <v>20</v>
      </c>
      <c r="Z2440">
        <v>14</v>
      </c>
      <c r="AA2440">
        <v>0.58823999999999999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10</v>
      </c>
      <c r="AH2440">
        <v>0</v>
      </c>
      <c r="AI2440">
        <v>10</v>
      </c>
      <c r="AJ2440">
        <v>15</v>
      </c>
      <c r="AK2440">
        <v>0.4</v>
      </c>
      <c r="AL2440">
        <v>13</v>
      </c>
      <c r="AM2440">
        <v>10</v>
      </c>
      <c r="AN2440">
        <v>60</v>
      </c>
      <c r="AO2440">
        <v>24</v>
      </c>
      <c r="AP2440">
        <v>24</v>
      </c>
      <c r="AQ2440">
        <v>12</v>
      </c>
      <c r="AR2440" t="s">
        <v>11439</v>
      </c>
      <c r="AS2440" t="s">
        <v>11440</v>
      </c>
      <c r="AT2440">
        <v>0.495</v>
      </c>
      <c r="AU2440" t="s">
        <v>65</v>
      </c>
      <c r="AV2440">
        <v>84</v>
      </c>
      <c r="AW2440">
        <v>36</v>
      </c>
      <c r="AX2440" t="s">
        <v>11441</v>
      </c>
      <c r="AY2440">
        <v>4.1070000000000002E-2</v>
      </c>
      <c r="AZ2440">
        <v>-1.64E-3</v>
      </c>
      <c r="BA2440">
        <v>5.2500000000000003E-3</v>
      </c>
      <c r="BB2440">
        <v>-2.4000000000000001E-4</v>
      </c>
      <c r="BC2440">
        <v>0.12787999999999999</v>
      </c>
      <c r="BD2440">
        <v>1</v>
      </c>
      <c r="BE2440" t="s">
        <v>69</v>
      </c>
      <c r="BF2440">
        <v>0.13</v>
      </c>
      <c r="BG2440">
        <v>-0.318</v>
      </c>
    </row>
    <row r="2441" spans="1:59">
      <c r="A2441">
        <v>0</v>
      </c>
      <c r="B2441">
        <v>13</v>
      </c>
      <c r="C2441">
        <v>2</v>
      </c>
      <c r="D2441" t="s">
        <v>25022</v>
      </c>
      <c r="E2441">
        <v>1881</v>
      </c>
      <c r="F2441" t="s">
        <v>11764</v>
      </c>
      <c r="G2441" t="s">
        <v>57</v>
      </c>
      <c r="H2441">
        <v>1940625</v>
      </c>
      <c r="I2441">
        <v>1942121</v>
      </c>
      <c r="J2441" t="s">
        <v>11765</v>
      </c>
      <c r="K2441">
        <v>499</v>
      </c>
      <c r="L2441" t="s">
        <v>11766</v>
      </c>
      <c r="M2441">
        <v>42</v>
      </c>
      <c r="N2441" t="str">
        <f>HYPERLINK("Gene1881-zp_tree_all.dnd", "Gene1881-tree")</f>
        <v>Gene1881-tree</v>
      </c>
      <c r="O2441">
        <v>1</v>
      </c>
      <c r="P2441">
        <v>11</v>
      </c>
      <c r="Q2441">
        <v>1</v>
      </c>
      <c r="R2441">
        <v>11</v>
      </c>
      <c r="S2441">
        <v>0.91666999999999998</v>
      </c>
      <c r="T2441" t="s">
        <v>175</v>
      </c>
      <c r="U2441" t="s">
        <v>73</v>
      </c>
      <c r="V2441">
        <v>1144612630.289</v>
      </c>
      <c r="W2441" t="s">
        <v>267</v>
      </c>
      <c r="X2441">
        <v>6</v>
      </c>
      <c r="Y2441">
        <v>15</v>
      </c>
      <c r="Z2441">
        <v>23</v>
      </c>
      <c r="AA2441">
        <v>0.39473999999999998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8</v>
      </c>
      <c r="AH2441">
        <v>1</v>
      </c>
      <c r="AI2441">
        <v>9</v>
      </c>
      <c r="AJ2441">
        <v>22</v>
      </c>
      <c r="AK2441">
        <v>0.29032000000000002</v>
      </c>
      <c r="AL2441">
        <v>11</v>
      </c>
      <c r="AM2441">
        <v>9</v>
      </c>
      <c r="AN2441">
        <v>39</v>
      </c>
      <c r="AO2441">
        <v>29</v>
      </c>
      <c r="AP2441">
        <v>28</v>
      </c>
      <c r="AQ2441">
        <v>9</v>
      </c>
      <c r="AR2441" t="s">
        <v>11767</v>
      </c>
      <c r="AS2441" t="s">
        <v>11768</v>
      </c>
      <c r="AT2441">
        <v>1.1679999999999999</v>
      </c>
      <c r="AU2441" t="s">
        <v>65</v>
      </c>
      <c r="AV2441">
        <v>67</v>
      </c>
      <c r="AW2441">
        <v>38</v>
      </c>
      <c r="AX2441" t="s">
        <v>11769</v>
      </c>
      <c r="AY2441">
        <v>5.2670000000000002E-2</v>
      </c>
      <c r="AZ2441">
        <v>-2.63E-3</v>
      </c>
      <c r="BA2441">
        <v>6.1399999999999996E-3</v>
      </c>
      <c r="BB2441">
        <v>-3.4000000000000002E-4</v>
      </c>
      <c r="BC2441">
        <v>0.11659</v>
      </c>
      <c r="BD2441">
        <v>1</v>
      </c>
      <c r="BE2441" t="s">
        <v>69</v>
      </c>
      <c r="BF2441">
        <v>-1.0309999999999999</v>
      </c>
      <c r="BG2441">
        <v>-2.113</v>
      </c>
    </row>
    <row r="2442" spans="1:59">
      <c r="A2442">
        <v>0</v>
      </c>
      <c r="B2442">
        <v>0</v>
      </c>
      <c r="C2442">
        <v>0</v>
      </c>
      <c r="D2442" t="s">
        <v>25022</v>
      </c>
      <c r="E2442">
        <v>82</v>
      </c>
      <c r="F2442" t="s">
        <v>651</v>
      </c>
      <c r="G2442" t="s">
        <v>57</v>
      </c>
      <c r="H2442">
        <v>88727</v>
      </c>
      <c r="I2442">
        <v>90223</v>
      </c>
      <c r="J2442" t="s">
        <v>652</v>
      </c>
      <c r="K2442">
        <v>499</v>
      </c>
      <c r="L2442" t="s">
        <v>653</v>
      </c>
      <c r="M2442">
        <v>47</v>
      </c>
      <c r="N2442" t="str">
        <f>HYPERLINK("Gene82-zp_tree_all.dnd", "Gene82-tree")</f>
        <v>Gene82-tree</v>
      </c>
      <c r="O2442">
        <v>15</v>
      </c>
      <c r="P2442">
        <v>4</v>
      </c>
      <c r="Q2442">
        <v>15</v>
      </c>
      <c r="R2442">
        <v>4</v>
      </c>
      <c r="S2442">
        <v>0.21052999999999999</v>
      </c>
      <c r="T2442" t="s">
        <v>100</v>
      </c>
      <c r="U2442" t="s">
        <v>61</v>
      </c>
      <c r="V2442" t="s">
        <v>62</v>
      </c>
      <c r="W2442" t="s">
        <v>62</v>
      </c>
      <c r="X2442">
        <v>0</v>
      </c>
      <c r="Y2442">
        <v>0</v>
      </c>
      <c r="Z2442">
        <v>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6</v>
      </c>
      <c r="AK2442">
        <v>0</v>
      </c>
      <c r="AL2442">
        <v>15</v>
      </c>
      <c r="AM2442">
        <v>13</v>
      </c>
      <c r="AN2442">
        <v>85</v>
      </c>
      <c r="AO2442">
        <v>6</v>
      </c>
      <c r="AP2442">
        <v>82</v>
      </c>
      <c r="AQ2442">
        <v>2</v>
      </c>
      <c r="AR2442" t="s">
        <v>654</v>
      </c>
      <c r="AS2442" t="s">
        <v>655</v>
      </c>
      <c r="AT2442">
        <v>0.38500000000000001</v>
      </c>
      <c r="AU2442" t="s">
        <v>65</v>
      </c>
      <c r="AV2442">
        <v>167</v>
      </c>
      <c r="AW2442">
        <v>8</v>
      </c>
      <c r="AX2442" t="s">
        <v>656</v>
      </c>
      <c r="AY2442">
        <v>0.10009999999999999</v>
      </c>
      <c r="AZ2442">
        <v>-7.28E-3</v>
      </c>
      <c r="BA2442">
        <v>9.6000000000000002E-4</v>
      </c>
      <c r="BB2442">
        <v>-6.9999999999999994E-5</v>
      </c>
      <c r="BC2442">
        <v>9.5499999999999995E-3</v>
      </c>
      <c r="BD2442">
        <v>1</v>
      </c>
      <c r="BE2442" t="s">
        <v>69</v>
      </c>
      <c r="BF2442">
        <v>-1.583</v>
      </c>
      <c r="BG2442">
        <v>-1.605</v>
      </c>
    </row>
    <row r="2443" spans="1:59">
      <c r="A2443">
        <v>0</v>
      </c>
      <c r="B2443">
        <v>6</v>
      </c>
      <c r="C2443">
        <v>2</v>
      </c>
      <c r="D2443" t="s">
        <v>25022</v>
      </c>
      <c r="E2443">
        <v>3860</v>
      </c>
      <c r="F2443" t="s">
        <v>22632</v>
      </c>
      <c r="G2443" t="s">
        <v>62</v>
      </c>
      <c r="H2443">
        <v>3821573</v>
      </c>
      <c r="I2443">
        <v>3823072</v>
      </c>
      <c r="J2443" t="s">
        <v>22633</v>
      </c>
      <c r="K2443">
        <v>500</v>
      </c>
      <c r="L2443" t="s">
        <v>1174</v>
      </c>
      <c r="M2443">
        <v>42</v>
      </c>
      <c r="N2443" t="str">
        <f>HYPERLINK("Gene3860-zp_tree_all.dnd", "Gene3860-tree")</f>
        <v>Gene3860-tree</v>
      </c>
      <c r="O2443">
        <v>7</v>
      </c>
      <c r="P2443">
        <v>8</v>
      </c>
      <c r="Q2443">
        <v>7</v>
      </c>
      <c r="R2443">
        <v>8</v>
      </c>
      <c r="S2443">
        <v>0.53332999999999997</v>
      </c>
      <c r="T2443" t="s">
        <v>152</v>
      </c>
      <c r="U2443" t="s">
        <v>136</v>
      </c>
      <c r="V2443" t="s">
        <v>62</v>
      </c>
      <c r="W2443" t="s">
        <v>62</v>
      </c>
      <c r="X2443">
        <v>3</v>
      </c>
      <c r="Y2443">
        <v>8</v>
      </c>
      <c r="Z2443">
        <v>9</v>
      </c>
      <c r="AA2443">
        <v>0.47059000000000001</v>
      </c>
      <c r="AB2443">
        <v>0</v>
      </c>
      <c r="AC2443">
        <v>0</v>
      </c>
      <c r="AD2443">
        <v>0</v>
      </c>
      <c r="AE2443">
        <v>3</v>
      </c>
      <c r="AF2443">
        <v>0</v>
      </c>
      <c r="AG2443">
        <v>0</v>
      </c>
      <c r="AH2443">
        <v>2</v>
      </c>
      <c r="AI2443">
        <v>2</v>
      </c>
      <c r="AJ2443">
        <v>8</v>
      </c>
      <c r="AK2443">
        <v>0.2</v>
      </c>
      <c r="AL2443">
        <v>13</v>
      </c>
      <c r="AM2443">
        <v>11</v>
      </c>
      <c r="AN2443">
        <v>38</v>
      </c>
      <c r="AO2443">
        <v>10</v>
      </c>
      <c r="AP2443">
        <v>27</v>
      </c>
      <c r="AQ2443">
        <v>7</v>
      </c>
      <c r="AR2443" t="s">
        <v>22634</v>
      </c>
      <c r="AS2443" t="s">
        <v>22635</v>
      </c>
      <c r="AT2443">
        <v>0.02</v>
      </c>
      <c r="AU2443" t="s">
        <v>65</v>
      </c>
      <c r="AV2443">
        <v>65</v>
      </c>
      <c r="AW2443">
        <v>17</v>
      </c>
      <c r="AX2443" t="s">
        <v>22636</v>
      </c>
      <c r="AY2443">
        <v>3.5060000000000001E-2</v>
      </c>
      <c r="AZ2443">
        <v>-1.0499999999999999E-3</v>
      </c>
      <c r="BA2443">
        <v>2.5799999999999998E-3</v>
      </c>
      <c r="BB2443">
        <v>-1.2999999999999999E-4</v>
      </c>
      <c r="BC2443">
        <v>7.3639999999999997E-2</v>
      </c>
      <c r="BD2443">
        <v>1</v>
      </c>
      <c r="BE2443" t="s">
        <v>69</v>
      </c>
      <c r="BF2443">
        <v>-0.76700000000000002</v>
      </c>
      <c r="BG2443">
        <v>-1.069</v>
      </c>
    </row>
    <row r="2444" spans="1:59">
      <c r="A2444">
        <v>0</v>
      </c>
      <c r="B2444">
        <v>2</v>
      </c>
      <c r="C2444">
        <v>0</v>
      </c>
      <c r="D2444" t="s">
        <v>25022</v>
      </c>
      <c r="E2444">
        <v>3323</v>
      </c>
      <c r="F2444" t="s">
        <v>19402</v>
      </c>
      <c r="G2444" t="s">
        <v>62</v>
      </c>
      <c r="H2444">
        <v>3296420</v>
      </c>
      <c r="I2444">
        <v>3297919</v>
      </c>
      <c r="J2444" t="s">
        <v>19403</v>
      </c>
      <c r="K2444">
        <v>500</v>
      </c>
      <c r="L2444" t="s">
        <v>108</v>
      </c>
      <c r="M2444">
        <v>44</v>
      </c>
      <c r="N2444" t="str">
        <f>HYPERLINK("Gene3323-zp_tree_all.dnd", "Gene3323-tree")</f>
        <v>Gene3323-tree</v>
      </c>
      <c r="O2444">
        <v>11</v>
      </c>
      <c r="P2444">
        <v>3</v>
      </c>
      <c r="Q2444">
        <v>11</v>
      </c>
      <c r="R2444">
        <v>3</v>
      </c>
      <c r="S2444">
        <v>0.21429000000000001</v>
      </c>
      <c r="T2444" t="s">
        <v>73</v>
      </c>
      <c r="U2444" t="s">
        <v>324</v>
      </c>
      <c r="V2444" t="s">
        <v>62</v>
      </c>
      <c r="W2444" t="s">
        <v>62</v>
      </c>
      <c r="X2444">
        <v>1</v>
      </c>
      <c r="Y2444">
        <v>2</v>
      </c>
      <c r="Z2444">
        <v>6</v>
      </c>
      <c r="AA2444">
        <v>0.25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4</v>
      </c>
      <c r="AK2444">
        <v>0</v>
      </c>
      <c r="AL2444">
        <v>13</v>
      </c>
      <c r="AM2444">
        <v>10</v>
      </c>
      <c r="AN2444">
        <v>42</v>
      </c>
      <c r="AO2444">
        <v>5</v>
      </c>
      <c r="AP2444">
        <v>21</v>
      </c>
      <c r="AQ2444">
        <v>4</v>
      </c>
      <c r="AR2444" t="s">
        <v>19404</v>
      </c>
      <c r="AS2444" t="s">
        <v>19405</v>
      </c>
      <c r="AT2444">
        <v>0.19</v>
      </c>
      <c r="AU2444" t="s">
        <v>65</v>
      </c>
      <c r="AV2444">
        <v>63</v>
      </c>
      <c r="AW2444">
        <v>9</v>
      </c>
      <c r="AX2444" t="s">
        <v>19406</v>
      </c>
      <c r="AY2444">
        <v>3.1739999999999997E-2</v>
      </c>
      <c r="AZ2444">
        <v>-1.1000000000000001E-3</v>
      </c>
      <c r="BA2444">
        <v>1.5100000000000001E-3</v>
      </c>
      <c r="BB2444">
        <v>-1.3999999999999999E-4</v>
      </c>
      <c r="BC2444">
        <v>4.7530000000000003E-2</v>
      </c>
      <c r="BD2444">
        <v>1</v>
      </c>
      <c r="BE2444" t="s">
        <v>69</v>
      </c>
      <c r="BF2444">
        <v>-0.42899999999999999</v>
      </c>
      <c r="BG2444">
        <v>-1.2969999999999999</v>
      </c>
    </row>
    <row r="2445" spans="1:59">
      <c r="A2445">
        <v>0</v>
      </c>
      <c r="B2445">
        <v>4</v>
      </c>
      <c r="C2445">
        <v>4</v>
      </c>
      <c r="D2445" t="s">
        <v>25022</v>
      </c>
      <c r="E2445">
        <v>2681</v>
      </c>
      <c r="F2445" t="s">
        <v>15721</v>
      </c>
      <c r="G2445" t="s">
        <v>62</v>
      </c>
      <c r="H2445">
        <v>2653374</v>
      </c>
      <c r="I2445">
        <v>2654873</v>
      </c>
      <c r="J2445" t="s">
        <v>15722</v>
      </c>
      <c r="K2445">
        <v>500</v>
      </c>
      <c r="L2445" t="s">
        <v>15723</v>
      </c>
      <c r="M2445">
        <v>25</v>
      </c>
      <c r="N2445" t="str">
        <f>HYPERLINK("Gene2681-zp_tree_all.dnd", "Gene2681-tree")</f>
        <v>Gene2681-tree</v>
      </c>
      <c r="O2445">
        <v>1</v>
      </c>
      <c r="P2445">
        <v>5</v>
      </c>
      <c r="Q2445">
        <v>1</v>
      </c>
      <c r="R2445">
        <v>5</v>
      </c>
      <c r="S2445">
        <v>0.83333000000000002</v>
      </c>
      <c r="T2445" t="s">
        <v>175</v>
      </c>
      <c r="U2445" t="s">
        <v>199</v>
      </c>
      <c r="V2445" t="s">
        <v>62</v>
      </c>
      <c r="W2445" t="s">
        <v>62</v>
      </c>
      <c r="X2445">
        <v>4</v>
      </c>
      <c r="Y2445">
        <v>8</v>
      </c>
      <c r="Z2445">
        <v>14</v>
      </c>
      <c r="AA2445">
        <v>0.36364000000000002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2</v>
      </c>
      <c r="AI2445">
        <v>2</v>
      </c>
      <c r="AJ2445">
        <v>16</v>
      </c>
      <c r="AK2445">
        <v>0.11111</v>
      </c>
      <c r="AL2445">
        <v>6</v>
      </c>
      <c r="AM2445">
        <v>3</v>
      </c>
      <c r="AN2445">
        <v>103</v>
      </c>
      <c r="AO2445">
        <v>19</v>
      </c>
      <c r="AP2445">
        <v>43</v>
      </c>
      <c r="AQ2445">
        <v>5</v>
      </c>
      <c r="AR2445" t="s">
        <v>15724</v>
      </c>
      <c r="AS2445" t="s">
        <v>15725</v>
      </c>
      <c r="AT2445">
        <v>0.80500000000000005</v>
      </c>
      <c r="AU2445" t="s">
        <v>65</v>
      </c>
      <c r="AV2445">
        <v>146</v>
      </c>
      <c r="AW2445">
        <v>24</v>
      </c>
      <c r="AX2445" t="s">
        <v>15726</v>
      </c>
      <c r="AY2445">
        <v>0.18128</v>
      </c>
      <c r="AZ2445">
        <v>-1.3809999999999999E-2</v>
      </c>
      <c r="BA2445">
        <v>7.0499999999999998E-3</v>
      </c>
      <c r="BB2445">
        <v>-6.2E-4</v>
      </c>
      <c r="BC2445">
        <v>3.8890000000000001E-2</v>
      </c>
      <c r="BD2445">
        <v>1</v>
      </c>
      <c r="BE2445" t="s">
        <v>69</v>
      </c>
      <c r="BF2445">
        <v>-1.577</v>
      </c>
      <c r="BG2445">
        <v>-1.4950000000000001</v>
      </c>
    </row>
    <row r="2446" spans="1:59">
      <c r="A2446">
        <v>0</v>
      </c>
      <c r="B2446">
        <v>5</v>
      </c>
      <c r="C2446">
        <v>0</v>
      </c>
      <c r="D2446" t="s">
        <v>25022</v>
      </c>
      <c r="E2446">
        <v>2989</v>
      </c>
      <c r="F2446" t="s">
        <v>17253</v>
      </c>
      <c r="G2446" t="s">
        <v>62</v>
      </c>
      <c r="H2446">
        <v>2938333</v>
      </c>
      <c r="I2446">
        <v>2939832</v>
      </c>
      <c r="J2446" t="s">
        <v>17254</v>
      </c>
      <c r="K2446">
        <v>500</v>
      </c>
      <c r="L2446" t="s">
        <v>108</v>
      </c>
      <c r="M2446">
        <v>44</v>
      </c>
      <c r="N2446" t="str">
        <f>HYPERLINK("Gene2989-zp_tree_all.dnd", "Gene2989-tree")</f>
        <v>Gene2989-tree</v>
      </c>
      <c r="O2446">
        <v>8</v>
      </c>
      <c r="P2446">
        <v>8</v>
      </c>
      <c r="Q2446">
        <v>8</v>
      </c>
      <c r="R2446">
        <v>8</v>
      </c>
      <c r="S2446">
        <v>0.5</v>
      </c>
      <c r="T2446" t="s">
        <v>136</v>
      </c>
      <c r="U2446" t="s">
        <v>136</v>
      </c>
      <c r="V2446" t="s">
        <v>62</v>
      </c>
      <c r="W2446" t="s">
        <v>62</v>
      </c>
      <c r="X2446">
        <v>2</v>
      </c>
      <c r="Y2446">
        <v>5</v>
      </c>
      <c r="Z2446">
        <v>7</v>
      </c>
      <c r="AA2446">
        <v>0.41666999999999998</v>
      </c>
      <c r="AB2446">
        <v>0</v>
      </c>
      <c r="AC2446">
        <v>0</v>
      </c>
      <c r="AD2446">
        <v>0</v>
      </c>
      <c r="AE2446">
        <v>2</v>
      </c>
      <c r="AF2446">
        <v>0</v>
      </c>
      <c r="AG2446">
        <v>3</v>
      </c>
      <c r="AH2446">
        <v>0</v>
      </c>
      <c r="AI2446">
        <v>3</v>
      </c>
      <c r="AJ2446">
        <v>6</v>
      </c>
      <c r="AK2446">
        <v>0.33333000000000002</v>
      </c>
      <c r="AL2446">
        <v>14</v>
      </c>
      <c r="AM2446">
        <v>12</v>
      </c>
      <c r="AN2446">
        <v>42</v>
      </c>
      <c r="AO2446">
        <v>8</v>
      </c>
      <c r="AP2446">
        <v>61</v>
      </c>
      <c r="AQ2446">
        <v>4</v>
      </c>
      <c r="AR2446" t="s">
        <v>17255</v>
      </c>
      <c r="AS2446" t="s">
        <v>17256</v>
      </c>
      <c r="AT2446">
        <v>0.90100000000000002</v>
      </c>
      <c r="AU2446" t="s">
        <v>65</v>
      </c>
      <c r="AV2446">
        <v>103</v>
      </c>
      <c r="AW2446">
        <v>12</v>
      </c>
      <c r="AX2446" t="s">
        <v>17257</v>
      </c>
      <c r="AY2446">
        <v>6.1129999999999997E-2</v>
      </c>
      <c r="AZ2446">
        <v>-2.2300000000000002E-3</v>
      </c>
      <c r="BA2446">
        <v>1.57E-3</v>
      </c>
      <c r="BB2446">
        <v>-8.0000000000000007E-5</v>
      </c>
      <c r="BC2446">
        <v>2.5600000000000001E-2</v>
      </c>
      <c r="BD2446">
        <v>1</v>
      </c>
      <c r="BE2446" t="s">
        <v>69</v>
      </c>
      <c r="BF2446">
        <v>-0.15</v>
      </c>
      <c r="BG2446">
        <v>0.188</v>
      </c>
    </row>
    <row r="2447" spans="1:59">
      <c r="A2447">
        <v>0</v>
      </c>
      <c r="B2447">
        <v>6</v>
      </c>
      <c r="C2447">
        <v>0</v>
      </c>
      <c r="D2447" t="s">
        <v>25022</v>
      </c>
      <c r="E2447">
        <v>2301</v>
      </c>
      <c r="F2447" t="s">
        <v>13332</v>
      </c>
      <c r="G2447" t="s">
        <v>62</v>
      </c>
      <c r="H2447">
        <v>2320358</v>
      </c>
      <c r="I2447">
        <v>2321860</v>
      </c>
      <c r="J2447" t="s">
        <v>13333</v>
      </c>
      <c r="K2447">
        <v>501</v>
      </c>
      <c r="L2447" t="s">
        <v>108</v>
      </c>
      <c r="M2447">
        <v>44</v>
      </c>
      <c r="N2447" t="str">
        <f>HYPERLINK("Gene2301-zp_tree_all.dnd", "Gene2301-tree")</f>
        <v>Gene2301-tree</v>
      </c>
      <c r="O2447">
        <v>6</v>
      </c>
      <c r="P2447">
        <v>8</v>
      </c>
      <c r="Q2447">
        <v>6</v>
      </c>
      <c r="R2447">
        <v>8</v>
      </c>
      <c r="S2447">
        <v>0.57142999999999999</v>
      </c>
      <c r="T2447" t="s">
        <v>90</v>
      </c>
      <c r="U2447" t="s">
        <v>136</v>
      </c>
      <c r="V2447" t="s">
        <v>62</v>
      </c>
      <c r="W2447" t="s">
        <v>62</v>
      </c>
      <c r="X2447">
        <v>3</v>
      </c>
      <c r="Y2447">
        <v>6</v>
      </c>
      <c r="Z2447">
        <v>14</v>
      </c>
      <c r="AA2447">
        <v>0.3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13</v>
      </c>
      <c r="AK2447">
        <v>0</v>
      </c>
      <c r="AL2447">
        <v>13</v>
      </c>
      <c r="AM2447">
        <v>11</v>
      </c>
      <c r="AN2447">
        <v>30</v>
      </c>
      <c r="AO2447">
        <v>13</v>
      </c>
      <c r="AP2447">
        <v>14</v>
      </c>
      <c r="AQ2447">
        <v>7</v>
      </c>
      <c r="AR2447" t="s">
        <v>13334</v>
      </c>
      <c r="AS2447" t="s">
        <v>13335</v>
      </c>
      <c r="AT2447">
        <v>0.16600000000000001</v>
      </c>
      <c r="AU2447" t="s">
        <v>65</v>
      </c>
      <c r="AV2447">
        <v>44</v>
      </c>
      <c r="AW2447">
        <v>20</v>
      </c>
      <c r="AX2447" t="s">
        <v>13336</v>
      </c>
      <c r="AY2447">
        <v>2.673E-2</v>
      </c>
      <c r="AZ2447">
        <v>-1.1000000000000001E-3</v>
      </c>
      <c r="BA2447">
        <v>3.29E-3</v>
      </c>
      <c r="BB2447">
        <v>-1.9000000000000001E-4</v>
      </c>
      <c r="BC2447">
        <v>0.12296</v>
      </c>
      <c r="BD2447">
        <v>1</v>
      </c>
      <c r="BE2447" t="s">
        <v>69</v>
      </c>
      <c r="BF2447">
        <v>-0.376</v>
      </c>
      <c r="BG2447">
        <v>-2.1930000000000001</v>
      </c>
    </row>
    <row r="2448" spans="1:59">
      <c r="A2448">
        <v>0</v>
      </c>
      <c r="B2448">
        <v>4</v>
      </c>
      <c r="C2448">
        <v>1</v>
      </c>
      <c r="D2448" t="s">
        <v>25022</v>
      </c>
      <c r="E2448">
        <v>1017</v>
      </c>
      <c r="F2448" t="s">
        <v>6388</v>
      </c>
      <c r="G2448" t="s">
        <v>57</v>
      </c>
      <c r="H2448">
        <v>1057680</v>
      </c>
      <c r="I2448">
        <v>1059182</v>
      </c>
      <c r="J2448" t="s">
        <v>6389</v>
      </c>
      <c r="K2448">
        <v>501</v>
      </c>
      <c r="L2448" t="s">
        <v>6390</v>
      </c>
      <c r="M2448">
        <v>45</v>
      </c>
      <c r="N2448" t="str">
        <f>HYPERLINK("Gene1017-zp_tree_all.dnd", "Gene1017-tree")</f>
        <v>Gene1017-tree</v>
      </c>
      <c r="O2448">
        <v>9</v>
      </c>
      <c r="P2448">
        <v>7</v>
      </c>
      <c r="Q2448">
        <v>9</v>
      </c>
      <c r="R2448">
        <v>7</v>
      </c>
      <c r="S2448">
        <v>0.4375</v>
      </c>
      <c r="T2448" t="s">
        <v>135</v>
      </c>
      <c r="U2448" t="s">
        <v>152</v>
      </c>
      <c r="V2448" t="s">
        <v>62</v>
      </c>
      <c r="W2448" t="s">
        <v>62</v>
      </c>
      <c r="X2448">
        <v>2</v>
      </c>
      <c r="Y2448">
        <v>5</v>
      </c>
      <c r="Z2448">
        <v>17</v>
      </c>
      <c r="AA2448">
        <v>0.22727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2</v>
      </c>
      <c r="AI2448">
        <v>2</v>
      </c>
      <c r="AJ2448">
        <v>16</v>
      </c>
      <c r="AK2448">
        <v>0.11111</v>
      </c>
      <c r="AL2448">
        <v>13</v>
      </c>
      <c r="AM2448">
        <v>12</v>
      </c>
      <c r="AN2448">
        <v>82</v>
      </c>
      <c r="AO2448">
        <v>21</v>
      </c>
      <c r="AP2448">
        <v>40</v>
      </c>
      <c r="AQ2448">
        <v>4</v>
      </c>
      <c r="AR2448" t="s">
        <v>6391</v>
      </c>
      <c r="AS2448" t="s">
        <v>6392</v>
      </c>
      <c r="AT2448">
        <v>0.28299999999999997</v>
      </c>
      <c r="AU2448" t="s">
        <v>65</v>
      </c>
      <c r="AV2448">
        <v>122</v>
      </c>
      <c r="AW2448">
        <v>25</v>
      </c>
      <c r="AX2448" t="s">
        <v>6393</v>
      </c>
      <c r="AY2448">
        <v>5.8999999999999997E-2</v>
      </c>
      <c r="AZ2448">
        <v>-4.4900000000000001E-3</v>
      </c>
      <c r="BA2448">
        <v>3.1700000000000001E-3</v>
      </c>
      <c r="BB2448">
        <v>-3.3E-4</v>
      </c>
      <c r="BC2448">
        <v>5.3809999999999997E-2</v>
      </c>
      <c r="BD2448">
        <v>1</v>
      </c>
      <c r="BE2448" t="s">
        <v>69</v>
      </c>
      <c r="BF2448">
        <v>-1.528</v>
      </c>
      <c r="BG2448">
        <v>-3.5379999999999998</v>
      </c>
    </row>
    <row r="2449" spans="1:59">
      <c r="A2449">
        <v>2</v>
      </c>
      <c r="B2449">
        <v>19</v>
      </c>
      <c r="C2449">
        <v>4</v>
      </c>
      <c r="D2449" t="s">
        <v>25022</v>
      </c>
      <c r="E2449">
        <v>747</v>
      </c>
      <c r="F2449" t="s">
        <v>4640</v>
      </c>
      <c r="G2449" t="s">
        <v>57</v>
      </c>
      <c r="H2449">
        <v>779529</v>
      </c>
      <c r="I2449">
        <v>781034</v>
      </c>
      <c r="J2449" t="s">
        <v>4641</v>
      </c>
      <c r="K2449">
        <v>502</v>
      </c>
      <c r="L2449" t="s">
        <v>4642</v>
      </c>
      <c r="M2449">
        <v>43</v>
      </c>
      <c r="N2449" t="str">
        <f>HYPERLINK("Gene747-zp_tree_all.dnd", "Gene747-tree")</f>
        <v>Gene747-tree</v>
      </c>
      <c r="O2449">
        <v>4</v>
      </c>
      <c r="P2449">
        <v>12</v>
      </c>
      <c r="Q2449">
        <v>4</v>
      </c>
      <c r="R2449">
        <v>12</v>
      </c>
      <c r="S2449">
        <v>0.75</v>
      </c>
      <c r="T2449" t="s">
        <v>61</v>
      </c>
      <c r="U2449" t="s">
        <v>109</v>
      </c>
      <c r="V2449" t="s">
        <v>62</v>
      </c>
      <c r="W2449" t="s">
        <v>62</v>
      </c>
      <c r="X2449">
        <v>9</v>
      </c>
      <c r="Y2449">
        <v>25</v>
      </c>
      <c r="Z2449">
        <v>21</v>
      </c>
      <c r="AA2449">
        <v>0.54347999999999996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8</v>
      </c>
      <c r="AH2449">
        <v>3</v>
      </c>
      <c r="AI2449">
        <v>11</v>
      </c>
      <c r="AJ2449">
        <v>17</v>
      </c>
      <c r="AK2449">
        <v>0.39285999999999999</v>
      </c>
      <c r="AL2449">
        <v>13</v>
      </c>
      <c r="AM2449">
        <v>13</v>
      </c>
      <c r="AN2449">
        <v>72</v>
      </c>
      <c r="AO2449">
        <v>27</v>
      </c>
      <c r="AP2449">
        <v>61</v>
      </c>
      <c r="AQ2449">
        <v>19</v>
      </c>
      <c r="AR2449" t="s">
        <v>4643</v>
      </c>
      <c r="AS2449" t="s">
        <v>4644</v>
      </c>
      <c r="AT2449">
        <v>0.16400000000000001</v>
      </c>
      <c r="AU2449" t="s">
        <v>65</v>
      </c>
      <c r="AV2449">
        <v>133</v>
      </c>
      <c r="AW2449">
        <v>46</v>
      </c>
      <c r="AX2449" t="s">
        <v>4645</v>
      </c>
      <c r="AY2449">
        <v>8.319E-2</v>
      </c>
      <c r="AZ2449">
        <v>-5.3E-3</v>
      </c>
      <c r="BA2449">
        <v>6.7099999999999998E-3</v>
      </c>
      <c r="BB2449">
        <v>-4.4999999999999999E-4</v>
      </c>
      <c r="BC2449">
        <v>8.0629999999999993E-2</v>
      </c>
      <c r="BD2449">
        <v>1</v>
      </c>
      <c r="BE2449" t="s">
        <v>69</v>
      </c>
      <c r="BF2449">
        <v>-1.135</v>
      </c>
      <c r="BG2449">
        <v>-1.006</v>
      </c>
    </row>
    <row r="2450" spans="1:59">
      <c r="A2450">
        <v>0</v>
      </c>
      <c r="B2450">
        <v>8</v>
      </c>
      <c r="C2450">
        <v>0</v>
      </c>
      <c r="D2450" t="s">
        <v>25022</v>
      </c>
      <c r="E2450">
        <v>3818</v>
      </c>
      <c r="F2450" t="s">
        <v>22377</v>
      </c>
      <c r="G2450" t="s">
        <v>62</v>
      </c>
      <c r="H2450">
        <v>3783881</v>
      </c>
      <c r="I2450">
        <v>3785386</v>
      </c>
      <c r="J2450" t="s">
        <v>22378</v>
      </c>
      <c r="K2450">
        <v>502</v>
      </c>
      <c r="L2450" t="s">
        <v>59</v>
      </c>
      <c r="M2450">
        <v>49</v>
      </c>
      <c r="N2450" t="str">
        <f>HYPERLINK("Gene3818-zp_tree_all.dnd", "Gene3818-tree")</f>
        <v>Gene3818-tree</v>
      </c>
      <c r="O2450">
        <v>9</v>
      </c>
      <c r="P2450">
        <v>10</v>
      </c>
      <c r="Q2450">
        <v>9</v>
      </c>
      <c r="R2450">
        <v>10</v>
      </c>
      <c r="S2450">
        <v>0.52632000000000001</v>
      </c>
      <c r="T2450" t="s">
        <v>135</v>
      </c>
      <c r="U2450" t="s">
        <v>117</v>
      </c>
      <c r="V2450" t="s">
        <v>62</v>
      </c>
      <c r="W2450" t="s">
        <v>62</v>
      </c>
      <c r="X2450">
        <v>2</v>
      </c>
      <c r="Y2450">
        <v>8</v>
      </c>
      <c r="Z2450">
        <v>7</v>
      </c>
      <c r="AA2450">
        <v>0.53332999999999997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6</v>
      </c>
      <c r="AH2450">
        <v>0</v>
      </c>
      <c r="AI2450">
        <v>6</v>
      </c>
      <c r="AJ2450">
        <v>5</v>
      </c>
      <c r="AK2450">
        <v>0.54544999999999999</v>
      </c>
      <c r="AL2450">
        <v>17</v>
      </c>
      <c r="AM2450">
        <v>15</v>
      </c>
      <c r="AN2450">
        <v>49</v>
      </c>
      <c r="AO2450">
        <v>10</v>
      </c>
      <c r="AP2450">
        <v>64</v>
      </c>
      <c r="AQ2450">
        <v>5</v>
      </c>
      <c r="AR2450" t="s">
        <v>22379</v>
      </c>
      <c r="AS2450" t="s">
        <v>22380</v>
      </c>
      <c r="AT2450">
        <v>0.88400000000000001</v>
      </c>
      <c r="AU2450" t="s">
        <v>65</v>
      </c>
      <c r="AV2450">
        <v>113</v>
      </c>
      <c r="AW2450">
        <v>15</v>
      </c>
      <c r="AX2450" t="s">
        <v>22381</v>
      </c>
      <c r="AY2450">
        <v>6.3630000000000006E-2</v>
      </c>
      <c r="AZ2450">
        <v>-3.2100000000000002E-3</v>
      </c>
      <c r="BA2450">
        <v>1.8500000000000001E-3</v>
      </c>
      <c r="BB2450">
        <v>-1E-4</v>
      </c>
      <c r="BC2450">
        <v>2.912E-2</v>
      </c>
      <c r="BD2450">
        <v>1</v>
      </c>
      <c r="BE2450" t="s">
        <v>69</v>
      </c>
      <c r="BF2450">
        <v>-0.54600000000000004</v>
      </c>
      <c r="BG2450">
        <v>-0.44600000000000001</v>
      </c>
    </row>
    <row r="2451" spans="1:59">
      <c r="A2451">
        <v>0</v>
      </c>
      <c r="B2451">
        <v>12</v>
      </c>
      <c r="C2451">
        <v>2</v>
      </c>
      <c r="D2451" t="s">
        <v>25022</v>
      </c>
      <c r="E2451">
        <v>425</v>
      </c>
      <c r="F2451" t="s">
        <v>2886</v>
      </c>
      <c r="G2451" t="s">
        <v>57</v>
      </c>
      <c r="H2451">
        <v>469426</v>
      </c>
      <c r="I2451">
        <v>470934</v>
      </c>
      <c r="J2451" t="s">
        <v>2887</v>
      </c>
      <c r="K2451">
        <v>503</v>
      </c>
      <c r="L2451" t="s">
        <v>108</v>
      </c>
      <c r="M2451">
        <v>44</v>
      </c>
      <c r="N2451" t="str">
        <f>HYPERLINK("Gene425-zp_tree_all.dnd", "Gene425-tree")</f>
        <v>Gene425-tree</v>
      </c>
      <c r="O2451">
        <v>5</v>
      </c>
      <c r="P2451">
        <v>28</v>
      </c>
      <c r="Q2451">
        <v>5</v>
      </c>
      <c r="R2451">
        <v>9</v>
      </c>
      <c r="S2451">
        <v>0.64285999999999999</v>
      </c>
      <c r="T2451" t="s">
        <v>199</v>
      </c>
      <c r="U2451" t="s">
        <v>2825</v>
      </c>
      <c r="V2451">
        <v>2.7650000000000001</v>
      </c>
      <c r="W2451" t="s">
        <v>65</v>
      </c>
      <c r="X2451">
        <v>6</v>
      </c>
      <c r="Y2451">
        <v>14</v>
      </c>
      <c r="Z2451">
        <v>16</v>
      </c>
      <c r="AA2451">
        <v>0.46666999999999997</v>
      </c>
      <c r="AB2451">
        <v>0</v>
      </c>
      <c r="AC2451">
        <v>0</v>
      </c>
      <c r="AD2451">
        <v>0</v>
      </c>
      <c r="AE2451">
        <v>7</v>
      </c>
      <c r="AF2451">
        <v>0</v>
      </c>
      <c r="AG2451">
        <v>2</v>
      </c>
      <c r="AH2451">
        <v>2</v>
      </c>
      <c r="AI2451">
        <v>4</v>
      </c>
      <c r="AJ2451">
        <v>13</v>
      </c>
      <c r="AK2451">
        <v>0.23529</v>
      </c>
      <c r="AL2451">
        <v>11</v>
      </c>
      <c r="AM2451">
        <v>11</v>
      </c>
      <c r="AN2451">
        <v>29</v>
      </c>
      <c r="AO2451">
        <v>17</v>
      </c>
      <c r="AP2451">
        <v>56</v>
      </c>
      <c r="AQ2451">
        <v>15</v>
      </c>
      <c r="AR2451" t="s">
        <v>2888</v>
      </c>
      <c r="AS2451" t="s">
        <v>2889</v>
      </c>
      <c r="AT2451">
        <v>0.85</v>
      </c>
      <c r="AU2451" t="s">
        <v>65</v>
      </c>
      <c r="AV2451">
        <v>85</v>
      </c>
      <c r="AW2451">
        <v>32</v>
      </c>
      <c r="AX2451" t="s">
        <v>2890</v>
      </c>
      <c r="AY2451">
        <v>5.7149999999999999E-2</v>
      </c>
      <c r="AZ2451">
        <v>-3.2499999999999999E-3</v>
      </c>
      <c r="BA2451">
        <v>5.7800000000000004E-3</v>
      </c>
      <c r="BB2451">
        <v>-3.3E-4</v>
      </c>
      <c r="BC2451">
        <v>0.1011</v>
      </c>
      <c r="BD2451">
        <v>1</v>
      </c>
      <c r="BE2451" t="s">
        <v>69</v>
      </c>
      <c r="BF2451">
        <v>-0.443</v>
      </c>
      <c r="BG2451">
        <v>-0.51</v>
      </c>
    </row>
    <row r="2452" spans="1:59">
      <c r="A2452">
        <v>2</v>
      </c>
      <c r="B2452">
        <v>14</v>
      </c>
      <c r="C2452">
        <v>4</v>
      </c>
      <c r="D2452" t="s">
        <v>25022</v>
      </c>
      <c r="E2452">
        <v>183</v>
      </c>
      <c r="F2452" t="s">
        <v>1287</v>
      </c>
      <c r="G2452" t="s">
        <v>57</v>
      </c>
      <c r="H2452">
        <v>205409</v>
      </c>
      <c r="I2452">
        <v>206923</v>
      </c>
      <c r="J2452" t="s">
        <v>1288</v>
      </c>
      <c r="K2452">
        <v>505</v>
      </c>
      <c r="L2452" t="s">
        <v>1289</v>
      </c>
      <c r="M2452">
        <v>42</v>
      </c>
      <c r="N2452" t="str">
        <f>HYPERLINK("Gene183-zp_tree_all.dnd", "Gene183-tree")</f>
        <v>Gene183-tree</v>
      </c>
      <c r="O2452">
        <v>8</v>
      </c>
      <c r="P2452">
        <v>8</v>
      </c>
      <c r="Q2452">
        <v>8</v>
      </c>
      <c r="R2452">
        <v>8</v>
      </c>
      <c r="S2452">
        <v>0.5</v>
      </c>
      <c r="T2452" t="s">
        <v>136</v>
      </c>
      <c r="U2452" t="s">
        <v>136</v>
      </c>
      <c r="V2452" t="s">
        <v>62</v>
      </c>
      <c r="W2452" t="s">
        <v>62</v>
      </c>
      <c r="X2452">
        <v>9</v>
      </c>
      <c r="Y2452">
        <v>20</v>
      </c>
      <c r="Z2452">
        <v>22</v>
      </c>
      <c r="AA2452">
        <v>0.47619</v>
      </c>
      <c r="AB2452">
        <v>0</v>
      </c>
      <c r="AC2452">
        <v>0</v>
      </c>
      <c r="AD2452">
        <v>0</v>
      </c>
      <c r="AE2452">
        <v>4</v>
      </c>
      <c r="AF2452">
        <v>0</v>
      </c>
      <c r="AG2452">
        <v>0</v>
      </c>
      <c r="AH2452">
        <v>0</v>
      </c>
      <c r="AI2452">
        <v>0</v>
      </c>
      <c r="AJ2452">
        <v>19</v>
      </c>
      <c r="AK2452">
        <v>0</v>
      </c>
      <c r="AL2452">
        <v>13</v>
      </c>
      <c r="AM2452">
        <v>13</v>
      </c>
      <c r="AN2452">
        <v>48</v>
      </c>
      <c r="AO2452">
        <v>19</v>
      </c>
      <c r="AP2452">
        <v>44</v>
      </c>
      <c r="AQ2452">
        <v>24</v>
      </c>
      <c r="AR2452" t="s">
        <v>1290</v>
      </c>
      <c r="AS2452" t="s">
        <v>1291</v>
      </c>
      <c r="AT2452">
        <v>0.64</v>
      </c>
      <c r="AU2452" t="s">
        <v>65</v>
      </c>
      <c r="AV2452">
        <v>92</v>
      </c>
      <c r="AW2452">
        <v>43</v>
      </c>
      <c r="AX2452" t="s">
        <v>1292</v>
      </c>
      <c r="AY2452">
        <v>4.4659999999999998E-2</v>
      </c>
      <c r="AZ2452">
        <v>-1.48E-3</v>
      </c>
      <c r="BA2452">
        <v>8.5000000000000006E-3</v>
      </c>
      <c r="BB2452">
        <v>-2.9999999999999997E-4</v>
      </c>
      <c r="BC2452">
        <v>0.19026999999999999</v>
      </c>
      <c r="BD2452">
        <v>1</v>
      </c>
      <c r="BE2452" t="s">
        <v>69</v>
      </c>
      <c r="BF2452">
        <v>0.45900000000000002</v>
      </c>
      <c r="BG2452">
        <v>-0.84299999999999997</v>
      </c>
    </row>
    <row r="2453" spans="1:59">
      <c r="A2453">
        <v>0</v>
      </c>
      <c r="B2453">
        <v>22</v>
      </c>
      <c r="C2453">
        <v>0</v>
      </c>
      <c r="D2453" t="s">
        <v>25022</v>
      </c>
      <c r="E2453">
        <v>3553</v>
      </c>
      <c r="F2453" t="s">
        <v>2964</v>
      </c>
      <c r="G2453" t="s">
        <v>62</v>
      </c>
      <c r="H2453">
        <v>3517488</v>
      </c>
      <c r="I2453">
        <v>3519002</v>
      </c>
      <c r="J2453" t="s">
        <v>20831</v>
      </c>
      <c r="K2453">
        <v>505</v>
      </c>
      <c r="L2453" t="s">
        <v>4158</v>
      </c>
      <c r="M2453">
        <v>42</v>
      </c>
      <c r="N2453" t="str">
        <f>HYPERLINK("Gene3553-zp_tree_all.dnd", "Gene3553-tree")</f>
        <v>Gene3553-tree</v>
      </c>
      <c r="O2453">
        <v>4</v>
      </c>
      <c r="P2453">
        <v>12</v>
      </c>
      <c r="Q2453">
        <v>4</v>
      </c>
      <c r="R2453">
        <v>12</v>
      </c>
      <c r="S2453">
        <v>0.75</v>
      </c>
      <c r="T2453" t="s">
        <v>61</v>
      </c>
      <c r="U2453" t="s">
        <v>109</v>
      </c>
      <c r="V2453" t="s">
        <v>62</v>
      </c>
      <c r="W2453" t="s">
        <v>62</v>
      </c>
      <c r="X2453">
        <v>8</v>
      </c>
      <c r="Y2453">
        <v>22</v>
      </c>
      <c r="Z2453">
        <v>18</v>
      </c>
      <c r="AA2453">
        <v>0.55000000000000004</v>
      </c>
      <c r="AB2453">
        <v>0</v>
      </c>
      <c r="AC2453">
        <v>0</v>
      </c>
      <c r="AD2453">
        <v>0</v>
      </c>
      <c r="AE2453">
        <v>4</v>
      </c>
      <c r="AF2453">
        <v>0</v>
      </c>
      <c r="AG2453">
        <v>8</v>
      </c>
      <c r="AH2453">
        <v>0</v>
      </c>
      <c r="AI2453">
        <v>8</v>
      </c>
      <c r="AJ2453">
        <v>15</v>
      </c>
      <c r="AK2453">
        <v>0.34782999999999997</v>
      </c>
      <c r="AL2453">
        <v>13</v>
      </c>
      <c r="AM2453">
        <v>13</v>
      </c>
      <c r="AN2453">
        <v>50</v>
      </c>
      <c r="AO2453">
        <v>21</v>
      </c>
      <c r="AP2453">
        <v>65</v>
      </c>
      <c r="AQ2453">
        <v>20</v>
      </c>
      <c r="AR2453" t="s">
        <v>20832</v>
      </c>
      <c r="AS2453" t="s">
        <v>20833</v>
      </c>
      <c r="AT2453">
        <v>0.76800000000000002</v>
      </c>
      <c r="AU2453" t="s">
        <v>65</v>
      </c>
      <c r="AV2453">
        <v>115</v>
      </c>
      <c r="AW2453">
        <v>41</v>
      </c>
      <c r="AX2453" t="s">
        <v>20834</v>
      </c>
      <c r="AY2453">
        <v>5.117E-2</v>
      </c>
      <c r="AZ2453">
        <v>-1.73E-3</v>
      </c>
      <c r="BA2453">
        <v>6.2500000000000003E-3</v>
      </c>
      <c r="BB2453">
        <v>-2.0000000000000001E-4</v>
      </c>
      <c r="BC2453">
        <v>0.12221</v>
      </c>
      <c r="BD2453">
        <v>1</v>
      </c>
      <c r="BE2453" t="s">
        <v>69</v>
      </c>
      <c r="BF2453">
        <v>-0.19</v>
      </c>
      <c r="BG2453">
        <v>-1.034</v>
      </c>
    </row>
    <row r="2454" spans="1:59">
      <c r="A2454">
        <v>0</v>
      </c>
      <c r="B2454">
        <v>22</v>
      </c>
      <c r="C2454">
        <v>5</v>
      </c>
      <c r="D2454" t="s">
        <v>25022</v>
      </c>
      <c r="E2454">
        <v>2589</v>
      </c>
      <c r="F2454" t="s">
        <v>15156</v>
      </c>
      <c r="G2454" t="s">
        <v>62</v>
      </c>
      <c r="H2454">
        <v>2571910</v>
      </c>
      <c r="I2454">
        <v>2573430</v>
      </c>
      <c r="J2454" t="s">
        <v>15157</v>
      </c>
      <c r="K2454">
        <v>507</v>
      </c>
      <c r="L2454" t="s">
        <v>108</v>
      </c>
      <c r="M2454">
        <v>44</v>
      </c>
      <c r="N2454" t="str">
        <f>HYPERLINK("Gene2589-zp_tree_all.dnd", "Gene2589-tree")</f>
        <v>Gene2589-tree</v>
      </c>
      <c r="O2454">
        <v>6</v>
      </c>
      <c r="P2454">
        <v>9</v>
      </c>
      <c r="Q2454">
        <v>6</v>
      </c>
      <c r="R2454">
        <v>9</v>
      </c>
      <c r="S2454">
        <v>0.6</v>
      </c>
      <c r="T2454" t="s">
        <v>90</v>
      </c>
      <c r="U2454" t="s">
        <v>135</v>
      </c>
      <c r="V2454" t="s">
        <v>62</v>
      </c>
      <c r="W2454" t="s">
        <v>62</v>
      </c>
      <c r="X2454">
        <v>12</v>
      </c>
      <c r="Y2454">
        <v>27</v>
      </c>
      <c r="Z2454">
        <v>29</v>
      </c>
      <c r="AA2454">
        <v>0.48214000000000001</v>
      </c>
      <c r="AB2454">
        <v>0</v>
      </c>
      <c r="AC2454">
        <v>0</v>
      </c>
      <c r="AD2454">
        <v>0</v>
      </c>
      <c r="AE2454">
        <v>7</v>
      </c>
      <c r="AF2454">
        <v>0</v>
      </c>
      <c r="AG2454">
        <v>4</v>
      </c>
      <c r="AH2454">
        <v>2</v>
      </c>
      <c r="AI2454">
        <v>6</v>
      </c>
      <c r="AJ2454">
        <v>26</v>
      </c>
      <c r="AK2454">
        <v>0.1875</v>
      </c>
      <c r="AL2454">
        <v>11</v>
      </c>
      <c r="AM2454">
        <v>12</v>
      </c>
      <c r="AN2454">
        <v>43</v>
      </c>
      <c r="AO2454">
        <v>35</v>
      </c>
      <c r="AP2454">
        <v>46</v>
      </c>
      <c r="AQ2454">
        <v>27</v>
      </c>
      <c r="AR2454" t="s">
        <v>15158</v>
      </c>
      <c r="AS2454" t="s">
        <v>15159</v>
      </c>
      <c r="AT2454">
        <v>0.52400000000000002</v>
      </c>
      <c r="AU2454" t="s">
        <v>65</v>
      </c>
      <c r="AV2454">
        <v>89</v>
      </c>
      <c r="AW2454">
        <v>62</v>
      </c>
      <c r="AX2454" t="s">
        <v>15160</v>
      </c>
      <c r="AY2454">
        <v>5.6000000000000001E-2</v>
      </c>
      <c r="AZ2454">
        <v>-2.33E-3</v>
      </c>
      <c r="BA2454">
        <v>1.26E-2</v>
      </c>
      <c r="BB2454">
        <v>-5.1999999999999995E-4</v>
      </c>
      <c r="BC2454">
        <v>0.22505</v>
      </c>
      <c r="BD2454">
        <v>1</v>
      </c>
      <c r="BE2454" t="s">
        <v>69</v>
      </c>
      <c r="BF2454">
        <v>-0.13</v>
      </c>
      <c r="BG2454">
        <v>-1.3720000000000001</v>
      </c>
    </row>
    <row r="2455" spans="1:59">
      <c r="A2455">
        <v>0</v>
      </c>
      <c r="B2455">
        <v>13</v>
      </c>
      <c r="C2455">
        <v>0</v>
      </c>
      <c r="D2455" t="s">
        <v>25022</v>
      </c>
      <c r="E2455">
        <v>2494</v>
      </c>
      <c r="F2455" t="s">
        <v>14538</v>
      </c>
      <c r="G2455" t="s">
        <v>62</v>
      </c>
      <c r="H2455">
        <v>2486816</v>
      </c>
      <c r="I2455">
        <v>2488336</v>
      </c>
      <c r="J2455" t="s">
        <v>14539</v>
      </c>
      <c r="K2455">
        <v>507</v>
      </c>
      <c r="L2455" t="s">
        <v>1933</v>
      </c>
      <c r="M2455">
        <v>39</v>
      </c>
      <c r="N2455" t="str">
        <f>HYPERLINK("Gene2494-zp_tree_all.dnd", "Gene2494-tree")</f>
        <v>Gene2494-tree</v>
      </c>
      <c r="O2455">
        <v>6</v>
      </c>
      <c r="P2455">
        <v>9</v>
      </c>
      <c r="Q2455">
        <v>6</v>
      </c>
      <c r="R2455">
        <v>9</v>
      </c>
      <c r="S2455">
        <v>0.6</v>
      </c>
      <c r="T2455" t="s">
        <v>90</v>
      </c>
      <c r="U2455" t="s">
        <v>135</v>
      </c>
      <c r="V2455" t="s">
        <v>62</v>
      </c>
      <c r="W2455" t="s">
        <v>62</v>
      </c>
      <c r="X2455">
        <v>6</v>
      </c>
      <c r="Y2455">
        <v>13</v>
      </c>
      <c r="Z2455">
        <v>11</v>
      </c>
      <c r="AA2455">
        <v>0.54166999999999998</v>
      </c>
      <c r="AB2455">
        <v>0</v>
      </c>
      <c r="AC2455">
        <v>0</v>
      </c>
      <c r="AD2455">
        <v>0</v>
      </c>
      <c r="AE2455">
        <v>2</v>
      </c>
      <c r="AF2455">
        <v>0</v>
      </c>
      <c r="AG2455">
        <v>4</v>
      </c>
      <c r="AH2455">
        <v>0</v>
      </c>
      <c r="AI2455">
        <v>4</v>
      </c>
      <c r="AJ2455">
        <v>8</v>
      </c>
      <c r="AK2455">
        <v>0.33333000000000002</v>
      </c>
      <c r="AL2455">
        <v>12</v>
      </c>
      <c r="AM2455">
        <v>12</v>
      </c>
      <c r="AN2455">
        <v>35</v>
      </c>
      <c r="AO2455">
        <v>10</v>
      </c>
      <c r="AP2455">
        <v>36</v>
      </c>
      <c r="AQ2455">
        <v>14</v>
      </c>
      <c r="AR2455" t="s">
        <v>14540</v>
      </c>
      <c r="AS2455" t="s">
        <v>14541</v>
      </c>
      <c r="AT2455">
        <v>0.51</v>
      </c>
      <c r="AU2455" t="s">
        <v>65</v>
      </c>
      <c r="AV2455">
        <v>71</v>
      </c>
      <c r="AW2455">
        <v>24</v>
      </c>
      <c r="AX2455" t="s">
        <v>14542</v>
      </c>
      <c r="AY2455">
        <v>3.7560000000000003E-2</v>
      </c>
      <c r="AZ2455">
        <v>-1.83E-3</v>
      </c>
      <c r="BA2455">
        <v>4.62E-3</v>
      </c>
      <c r="BB2455">
        <v>-2.0000000000000001E-4</v>
      </c>
      <c r="BC2455">
        <v>0.12313</v>
      </c>
      <c r="BD2455">
        <v>1</v>
      </c>
      <c r="BE2455" t="s">
        <v>69</v>
      </c>
      <c r="BF2455">
        <v>-0.41099999999999998</v>
      </c>
      <c r="BG2455">
        <v>-0.38100000000000001</v>
      </c>
    </row>
    <row r="2456" spans="1:59">
      <c r="A2456">
        <v>0</v>
      </c>
      <c r="B2456">
        <v>0</v>
      </c>
      <c r="C2456">
        <v>0</v>
      </c>
      <c r="D2456" t="s">
        <v>25022</v>
      </c>
      <c r="E2456">
        <v>3669</v>
      </c>
      <c r="F2456" t="s">
        <v>21525</v>
      </c>
      <c r="G2456" t="s">
        <v>62</v>
      </c>
      <c r="H2456">
        <v>3638248</v>
      </c>
      <c r="I2456">
        <v>3639768</v>
      </c>
      <c r="J2456" t="s">
        <v>21526</v>
      </c>
      <c r="K2456">
        <v>507</v>
      </c>
      <c r="L2456" t="s">
        <v>108</v>
      </c>
      <c r="M2456">
        <v>44</v>
      </c>
      <c r="N2456" t="str">
        <f>HYPERLINK("Gene3669-zp_tree_all.dnd", "Gene3669-tree")</f>
        <v>Gene3669-tree</v>
      </c>
      <c r="O2456">
        <v>31</v>
      </c>
      <c r="P2456">
        <v>3</v>
      </c>
      <c r="Q2456">
        <v>9</v>
      </c>
      <c r="R2456">
        <v>3</v>
      </c>
      <c r="S2456">
        <v>0.25</v>
      </c>
      <c r="T2456" t="s">
        <v>7370</v>
      </c>
      <c r="U2456" t="s">
        <v>324</v>
      </c>
      <c r="V2456" t="s">
        <v>62</v>
      </c>
      <c r="W2456" t="s">
        <v>62</v>
      </c>
      <c r="X2456">
        <v>0</v>
      </c>
      <c r="Y2456">
        <v>0</v>
      </c>
      <c r="Z2456">
        <v>6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4</v>
      </c>
      <c r="AK2456">
        <v>0</v>
      </c>
      <c r="AL2456">
        <v>11</v>
      </c>
      <c r="AM2456">
        <v>9</v>
      </c>
      <c r="AN2456">
        <v>44</v>
      </c>
      <c r="AO2456">
        <v>4</v>
      </c>
      <c r="AP2456">
        <v>24</v>
      </c>
      <c r="AQ2456">
        <v>2</v>
      </c>
      <c r="AR2456" t="s">
        <v>21527</v>
      </c>
      <c r="AS2456" t="s">
        <v>21528</v>
      </c>
      <c r="AT2456">
        <v>4.3999999999999997E-2</v>
      </c>
      <c r="AU2456" t="s">
        <v>65</v>
      </c>
      <c r="AV2456">
        <v>68</v>
      </c>
      <c r="AW2456">
        <v>6</v>
      </c>
      <c r="AX2456" t="s">
        <v>21529</v>
      </c>
      <c r="AY2456">
        <v>3.9320000000000001E-2</v>
      </c>
      <c r="AZ2456">
        <v>-1.99E-3</v>
      </c>
      <c r="BA2456">
        <v>1.09E-3</v>
      </c>
      <c r="BB2456">
        <v>-9.0000000000000006E-5</v>
      </c>
      <c r="BC2456">
        <v>2.7789999999999999E-2</v>
      </c>
      <c r="BD2456">
        <v>1</v>
      </c>
      <c r="BE2456" t="s">
        <v>69</v>
      </c>
      <c r="BF2456">
        <v>-0.55300000000000005</v>
      </c>
      <c r="BG2456">
        <v>-1.59</v>
      </c>
    </row>
    <row r="2457" spans="1:59">
      <c r="A2457">
        <v>0</v>
      </c>
      <c r="B2457">
        <v>9</v>
      </c>
      <c r="C2457">
        <v>0</v>
      </c>
      <c r="D2457" t="s">
        <v>25022</v>
      </c>
      <c r="E2457">
        <v>3217</v>
      </c>
      <c r="F2457" t="s">
        <v>18742</v>
      </c>
      <c r="G2457" t="s">
        <v>62</v>
      </c>
      <c r="H2457">
        <v>3180468</v>
      </c>
      <c r="I2457">
        <v>3181994</v>
      </c>
      <c r="J2457" t="s">
        <v>18743</v>
      </c>
      <c r="K2457">
        <v>509</v>
      </c>
      <c r="L2457" t="s">
        <v>3274</v>
      </c>
      <c r="M2457">
        <v>46</v>
      </c>
      <c r="N2457" t="str">
        <f>HYPERLINK("Gene3217-zp_tree_all.dnd", "Gene3217-tree")</f>
        <v>Gene3217-tree</v>
      </c>
      <c r="O2457">
        <v>31</v>
      </c>
      <c r="P2457">
        <v>6</v>
      </c>
      <c r="Q2457">
        <v>12</v>
      </c>
      <c r="R2457">
        <v>6</v>
      </c>
      <c r="S2457">
        <v>0.33333000000000002</v>
      </c>
      <c r="T2457" t="s">
        <v>5000</v>
      </c>
      <c r="U2457" t="s">
        <v>90</v>
      </c>
      <c r="V2457" t="s">
        <v>62</v>
      </c>
      <c r="W2457" t="s">
        <v>62</v>
      </c>
      <c r="X2457">
        <v>2</v>
      </c>
      <c r="Y2457">
        <v>9</v>
      </c>
      <c r="Z2457">
        <v>9</v>
      </c>
      <c r="AA2457">
        <v>0.5</v>
      </c>
      <c r="AB2457">
        <v>2</v>
      </c>
      <c r="AC2457">
        <v>0</v>
      </c>
      <c r="AD2457">
        <v>2</v>
      </c>
      <c r="AE2457">
        <v>0</v>
      </c>
      <c r="AF2457">
        <v>1</v>
      </c>
      <c r="AG2457">
        <v>3</v>
      </c>
      <c r="AH2457">
        <v>0</v>
      </c>
      <c r="AI2457">
        <v>3</v>
      </c>
      <c r="AJ2457">
        <v>5</v>
      </c>
      <c r="AK2457">
        <v>0.375</v>
      </c>
      <c r="AL2457">
        <v>16</v>
      </c>
      <c r="AM2457">
        <v>15</v>
      </c>
      <c r="AN2457">
        <v>78</v>
      </c>
      <c r="AO2457">
        <v>8</v>
      </c>
      <c r="AP2457">
        <v>88</v>
      </c>
      <c r="AQ2457">
        <v>10</v>
      </c>
      <c r="AR2457" t="s">
        <v>18744</v>
      </c>
      <c r="AS2457" t="s">
        <v>18745</v>
      </c>
      <c r="AT2457">
        <v>0.03</v>
      </c>
      <c r="AU2457" t="s">
        <v>65</v>
      </c>
      <c r="AV2457">
        <v>166</v>
      </c>
      <c r="AW2457">
        <v>18</v>
      </c>
      <c r="AX2457" t="s">
        <v>18746</v>
      </c>
      <c r="AY2457">
        <v>8.4229999999999999E-2</v>
      </c>
      <c r="AZ2457">
        <v>-6.1500000000000001E-3</v>
      </c>
      <c r="BA2457">
        <v>2.16E-3</v>
      </c>
      <c r="BB2457">
        <v>-1.9000000000000001E-4</v>
      </c>
      <c r="BC2457">
        <v>2.5600000000000001E-2</v>
      </c>
      <c r="BD2457">
        <v>1</v>
      </c>
      <c r="BE2457" t="s">
        <v>69</v>
      </c>
      <c r="BF2457">
        <v>-1.5840000000000001</v>
      </c>
      <c r="BG2457">
        <v>-1.2470000000000001</v>
      </c>
    </row>
    <row r="2458" spans="1:59">
      <c r="A2458">
        <v>0</v>
      </c>
      <c r="B2458">
        <v>2</v>
      </c>
      <c r="C2458">
        <v>1</v>
      </c>
      <c r="D2458" t="s">
        <v>25022</v>
      </c>
      <c r="E2458">
        <v>1762</v>
      </c>
      <c r="F2458" t="s">
        <v>11034</v>
      </c>
      <c r="G2458" t="s">
        <v>57</v>
      </c>
      <c r="H2458">
        <v>1772843</v>
      </c>
      <c r="I2458">
        <v>1774369</v>
      </c>
      <c r="J2458" t="s">
        <v>11035</v>
      </c>
      <c r="K2458">
        <v>509</v>
      </c>
      <c r="L2458" t="s">
        <v>59</v>
      </c>
      <c r="M2458">
        <v>49</v>
      </c>
      <c r="N2458" t="str">
        <f>HYPERLINK("Gene1762-zp_tree_all.dnd", "Gene1762-tree")</f>
        <v>Gene1762-tree</v>
      </c>
      <c r="O2458">
        <v>18</v>
      </c>
      <c r="P2458">
        <v>1</v>
      </c>
      <c r="Q2458">
        <v>18</v>
      </c>
      <c r="R2458">
        <v>1</v>
      </c>
      <c r="S2458">
        <v>5.2630000000000003E-2</v>
      </c>
      <c r="T2458" t="s">
        <v>144</v>
      </c>
      <c r="U2458" t="s">
        <v>175</v>
      </c>
      <c r="V2458" t="s">
        <v>62</v>
      </c>
      <c r="W2458" t="s">
        <v>62</v>
      </c>
      <c r="X2458">
        <v>1</v>
      </c>
      <c r="Y2458">
        <v>3</v>
      </c>
      <c r="Z2458">
        <v>5</v>
      </c>
      <c r="AA2458">
        <v>0.375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17</v>
      </c>
      <c r="AM2458">
        <v>16</v>
      </c>
      <c r="AN2458">
        <v>70</v>
      </c>
      <c r="AO2458">
        <v>1</v>
      </c>
      <c r="AP2458">
        <v>105</v>
      </c>
      <c r="AQ2458">
        <v>8</v>
      </c>
      <c r="AR2458" t="s">
        <v>11036</v>
      </c>
      <c r="AS2458" t="s">
        <v>11037</v>
      </c>
      <c r="AT2458">
        <v>0.68</v>
      </c>
      <c r="AU2458" t="s">
        <v>65</v>
      </c>
      <c r="AV2458">
        <v>175</v>
      </c>
      <c r="AW2458">
        <v>9</v>
      </c>
      <c r="AX2458" t="s">
        <v>11038</v>
      </c>
      <c r="AY2458">
        <v>0.11072</v>
      </c>
      <c r="AZ2458">
        <v>-5.8700000000000002E-3</v>
      </c>
      <c r="BA2458">
        <v>1.7799999999999999E-3</v>
      </c>
      <c r="BB2458">
        <v>-1E-4</v>
      </c>
      <c r="BC2458">
        <v>1.6070000000000001E-2</v>
      </c>
      <c r="BD2458">
        <v>1</v>
      </c>
      <c r="BE2458" t="s">
        <v>69</v>
      </c>
      <c r="BF2458">
        <v>-0.81299999999999994</v>
      </c>
      <c r="BG2458">
        <v>0.13700000000000001</v>
      </c>
    </row>
    <row r="2459" spans="1:59">
      <c r="A2459">
        <v>0</v>
      </c>
      <c r="B2459">
        <v>2</v>
      </c>
      <c r="C2459">
        <v>4</v>
      </c>
      <c r="D2459" t="s">
        <v>25022</v>
      </c>
      <c r="E2459">
        <v>251</v>
      </c>
      <c r="F2459" t="s">
        <v>1709</v>
      </c>
      <c r="G2459" t="s">
        <v>57</v>
      </c>
      <c r="H2459">
        <v>274029</v>
      </c>
      <c r="I2459">
        <v>275558</v>
      </c>
      <c r="J2459" t="s">
        <v>1710</v>
      </c>
      <c r="K2459">
        <v>510</v>
      </c>
      <c r="L2459" t="s">
        <v>108</v>
      </c>
      <c r="M2459">
        <v>44</v>
      </c>
      <c r="N2459" t="str">
        <f>HYPERLINK("Gene251-zp_tree_all.dnd", "Gene251-tree")</f>
        <v>Gene251-tree</v>
      </c>
      <c r="O2459">
        <v>8</v>
      </c>
      <c r="P2459">
        <v>8</v>
      </c>
      <c r="Q2459">
        <v>8</v>
      </c>
      <c r="R2459">
        <v>8</v>
      </c>
      <c r="S2459">
        <v>0.5</v>
      </c>
      <c r="T2459" t="s">
        <v>136</v>
      </c>
      <c r="U2459" t="s">
        <v>136</v>
      </c>
      <c r="V2459" t="s">
        <v>62</v>
      </c>
      <c r="W2459" t="s">
        <v>62</v>
      </c>
      <c r="X2459">
        <v>3</v>
      </c>
      <c r="Y2459">
        <v>6</v>
      </c>
      <c r="Z2459">
        <v>14</v>
      </c>
      <c r="AA2459">
        <v>0.3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</v>
      </c>
      <c r="AH2459">
        <v>2</v>
      </c>
      <c r="AI2459">
        <v>4</v>
      </c>
      <c r="AJ2459">
        <v>10</v>
      </c>
      <c r="AK2459">
        <v>0.28571000000000002</v>
      </c>
      <c r="AL2459">
        <v>13</v>
      </c>
      <c r="AM2459">
        <v>13</v>
      </c>
      <c r="AN2459">
        <v>85</v>
      </c>
      <c r="AO2459">
        <v>13</v>
      </c>
      <c r="AP2459">
        <v>44</v>
      </c>
      <c r="AQ2459">
        <v>7</v>
      </c>
      <c r="AR2459" t="s">
        <v>1711</v>
      </c>
      <c r="AS2459" t="s">
        <v>1712</v>
      </c>
      <c r="AT2459">
        <v>5.8999999999999997E-2</v>
      </c>
      <c r="AU2459" t="s">
        <v>65</v>
      </c>
      <c r="AV2459">
        <v>129</v>
      </c>
      <c r="AW2459">
        <v>20</v>
      </c>
      <c r="AX2459" t="s">
        <v>1713</v>
      </c>
      <c r="AY2459">
        <v>5.6390000000000003E-2</v>
      </c>
      <c r="AZ2459">
        <v>-1.72E-3</v>
      </c>
      <c r="BA2459">
        <v>3.0500000000000002E-3</v>
      </c>
      <c r="BB2459">
        <v>-1.6000000000000001E-4</v>
      </c>
      <c r="BC2459">
        <v>5.4149999999999997E-2</v>
      </c>
      <c r="BD2459">
        <v>1</v>
      </c>
      <c r="BE2459" t="s">
        <v>69</v>
      </c>
      <c r="BF2459">
        <v>-0.71799999999999997</v>
      </c>
      <c r="BG2459">
        <v>-1.8069999999999999</v>
      </c>
    </row>
    <row r="2460" spans="1:59">
      <c r="A2460">
        <v>0</v>
      </c>
      <c r="B2460">
        <v>20</v>
      </c>
      <c r="C2460">
        <v>3</v>
      </c>
      <c r="D2460" t="s">
        <v>25022</v>
      </c>
      <c r="E2460">
        <v>3229</v>
      </c>
      <c r="F2460" t="s">
        <v>18816</v>
      </c>
      <c r="G2460" t="s">
        <v>62</v>
      </c>
      <c r="H2460">
        <v>3191846</v>
      </c>
      <c r="I2460">
        <v>3193378</v>
      </c>
      <c r="J2460" t="s">
        <v>2641</v>
      </c>
      <c r="K2460">
        <v>511</v>
      </c>
      <c r="L2460" t="s">
        <v>108</v>
      </c>
      <c r="M2460">
        <v>44</v>
      </c>
      <c r="N2460" t="str">
        <f>HYPERLINK("Gene3229-zp_tree_all.dnd", "Gene3229-tree")</f>
        <v>Gene3229-tree</v>
      </c>
      <c r="O2460">
        <v>2</v>
      </c>
      <c r="P2460">
        <v>14</v>
      </c>
      <c r="Q2460">
        <v>2</v>
      </c>
      <c r="R2460">
        <v>14</v>
      </c>
      <c r="S2460">
        <v>0.875</v>
      </c>
      <c r="T2460" t="s">
        <v>81</v>
      </c>
      <c r="U2460" t="s">
        <v>543</v>
      </c>
      <c r="V2460">
        <v>860908720.12699997</v>
      </c>
      <c r="W2460" t="s">
        <v>267</v>
      </c>
      <c r="X2460">
        <v>9</v>
      </c>
      <c r="Y2460">
        <v>23</v>
      </c>
      <c r="Z2460">
        <v>24</v>
      </c>
      <c r="AA2460">
        <v>0.48936000000000002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9</v>
      </c>
      <c r="AH2460">
        <v>3</v>
      </c>
      <c r="AI2460">
        <v>12</v>
      </c>
      <c r="AJ2460">
        <v>23</v>
      </c>
      <c r="AK2460">
        <v>0.34286</v>
      </c>
      <c r="AL2460">
        <v>14</v>
      </c>
      <c r="AM2460">
        <v>13</v>
      </c>
      <c r="AN2460">
        <v>54</v>
      </c>
      <c r="AO2460">
        <v>34</v>
      </c>
      <c r="AP2460">
        <v>34</v>
      </c>
      <c r="AQ2460">
        <v>13</v>
      </c>
      <c r="AR2460" t="s">
        <v>18817</v>
      </c>
      <c r="AS2460" t="s">
        <v>18818</v>
      </c>
      <c r="AT2460">
        <v>0.80900000000000005</v>
      </c>
      <c r="AU2460" t="s">
        <v>65</v>
      </c>
      <c r="AV2460">
        <v>88</v>
      </c>
      <c r="AW2460">
        <v>47</v>
      </c>
      <c r="AX2460" t="s">
        <v>18819</v>
      </c>
      <c r="AY2460">
        <v>3.925E-2</v>
      </c>
      <c r="AZ2460">
        <v>-1.4499999999999999E-3</v>
      </c>
      <c r="BA2460">
        <v>6.6600000000000001E-3</v>
      </c>
      <c r="BB2460">
        <v>-2.5000000000000001E-4</v>
      </c>
      <c r="BC2460">
        <v>0.16955000000000001</v>
      </c>
      <c r="BD2460">
        <v>1</v>
      </c>
      <c r="BE2460" t="s">
        <v>69</v>
      </c>
      <c r="BF2460">
        <v>-0.316</v>
      </c>
      <c r="BG2460">
        <v>-0.97899999999999998</v>
      </c>
    </row>
    <row r="2461" spans="1:59">
      <c r="A2461">
        <v>0</v>
      </c>
      <c r="B2461">
        <v>10</v>
      </c>
      <c r="C2461">
        <v>0</v>
      </c>
      <c r="D2461" t="s">
        <v>25022</v>
      </c>
      <c r="E2461">
        <v>3518</v>
      </c>
      <c r="F2461" t="s">
        <v>20600</v>
      </c>
      <c r="G2461" t="s">
        <v>62</v>
      </c>
      <c r="H2461">
        <v>3477880</v>
      </c>
      <c r="I2461">
        <v>3479412</v>
      </c>
      <c r="J2461" t="s">
        <v>20601</v>
      </c>
      <c r="K2461">
        <v>511</v>
      </c>
      <c r="L2461" t="s">
        <v>59</v>
      </c>
      <c r="M2461">
        <v>49</v>
      </c>
      <c r="N2461" t="str">
        <f>HYPERLINK("Gene3518-zp_tree_all.dnd", "Gene3518-tree")</f>
        <v>Gene3518-tree</v>
      </c>
      <c r="O2461">
        <v>33</v>
      </c>
      <c r="P2461">
        <v>6</v>
      </c>
      <c r="Q2461">
        <v>15</v>
      </c>
      <c r="R2461">
        <v>6</v>
      </c>
      <c r="S2461">
        <v>0.28571000000000002</v>
      </c>
      <c r="T2461" t="s">
        <v>1608</v>
      </c>
      <c r="U2461" t="s">
        <v>90</v>
      </c>
      <c r="V2461" t="s">
        <v>62</v>
      </c>
      <c r="W2461" t="s">
        <v>62</v>
      </c>
      <c r="X2461">
        <v>5</v>
      </c>
      <c r="Y2461">
        <v>10</v>
      </c>
      <c r="Z2461">
        <v>13</v>
      </c>
      <c r="AA2461">
        <v>0.43478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2</v>
      </c>
      <c r="AH2461">
        <v>0</v>
      </c>
      <c r="AI2461">
        <v>2</v>
      </c>
      <c r="AJ2461">
        <v>6</v>
      </c>
      <c r="AK2461">
        <v>0.25</v>
      </c>
      <c r="AL2461">
        <v>17</v>
      </c>
      <c r="AM2461">
        <v>15</v>
      </c>
      <c r="AN2461">
        <v>58</v>
      </c>
      <c r="AO2461">
        <v>7</v>
      </c>
      <c r="AP2461">
        <v>82</v>
      </c>
      <c r="AQ2461">
        <v>16</v>
      </c>
      <c r="AR2461" t="s">
        <v>20602</v>
      </c>
      <c r="AS2461" t="s">
        <v>20603</v>
      </c>
      <c r="AT2461">
        <v>0.17699999999999999</v>
      </c>
      <c r="AU2461" t="s">
        <v>65</v>
      </c>
      <c r="AV2461">
        <v>140</v>
      </c>
      <c r="AW2461">
        <v>23</v>
      </c>
      <c r="AX2461" t="s">
        <v>20604</v>
      </c>
      <c r="AY2461">
        <v>8.4190000000000001E-2</v>
      </c>
      <c r="AZ2461">
        <v>-5.2599999999999999E-3</v>
      </c>
      <c r="BA2461">
        <v>4.0400000000000002E-3</v>
      </c>
      <c r="BB2461">
        <v>-2.7999999999999998E-4</v>
      </c>
      <c r="BC2461">
        <v>4.8039999999999999E-2</v>
      </c>
      <c r="BD2461">
        <v>1</v>
      </c>
      <c r="BE2461" t="s">
        <v>69</v>
      </c>
      <c r="BF2461">
        <v>-1.415</v>
      </c>
      <c r="BG2461">
        <v>-0.82599999999999996</v>
      </c>
    </row>
    <row r="2462" spans="1:59">
      <c r="A2462">
        <v>0</v>
      </c>
      <c r="B2462">
        <v>7</v>
      </c>
      <c r="C2462">
        <v>2</v>
      </c>
      <c r="D2462" t="s">
        <v>25022</v>
      </c>
      <c r="E2462">
        <v>686</v>
      </c>
      <c r="F2462" t="s">
        <v>4285</v>
      </c>
      <c r="G2462" t="s">
        <v>57</v>
      </c>
      <c r="H2462">
        <v>708594</v>
      </c>
      <c r="I2462">
        <v>710129</v>
      </c>
      <c r="J2462" t="s">
        <v>4286</v>
      </c>
      <c r="K2462">
        <v>512</v>
      </c>
      <c r="L2462" t="s">
        <v>108</v>
      </c>
      <c r="M2462">
        <v>44</v>
      </c>
      <c r="N2462" t="str">
        <f>HYPERLINK("Gene686-zp_tree_all.dnd", "Gene686-tree")</f>
        <v>Gene686-tree</v>
      </c>
      <c r="O2462">
        <v>5</v>
      </c>
      <c r="P2462">
        <v>10</v>
      </c>
      <c r="Q2462">
        <v>5</v>
      </c>
      <c r="R2462">
        <v>10</v>
      </c>
      <c r="S2462">
        <v>0.66666999999999998</v>
      </c>
      <c r="T2462" t="s">
        <v>199</v>
      </c>
      <c r="U2462" t="s">
        <v>117</v>
      </c>
      <c r="V2462" t="s">
        <v>62</v>
      </c>
      <c r="W2462" t="s">
        <v>62</v>
      </c>
      <c r="X2462">
        <v>4</v>
      </c>
      <c r="Y2462">
        <v>9</v>
      </c>
      <c r="Z2462">
        <v>14</v>
      </c>
      <c r="AA2462">
        <v>0.39129999999999998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4</v>
      </c>
      <c r="AH2462">
        <v>2</v>
      </c>
      <c r="AI2462">
        <v>6</v>
      </c>
      <c r="AJ2462">
        <v>12</v>
      </c>
      <c r="AK2462">
        <v>0.33333000000000002</v>
      </c>
      <c r="AL2462">
        <v>14</v>
      </c>
      <c r="AM2462">
        <v>12</v>
      </c>
      <c r="AN2462">
        <v>98</v>
      </c>
      <c r="AO2462">
        <v>18</v>
      </c>
      <c r="AP2462">
        <v>74</v>
      </c>
      <c r="AQ2462">
        <v>5</v>
      </c>
      <c r="AR2462" t="s">
        <v>4287</v>
      </c>
      <c r="AS2462" t="s">
        <v>4288</v>
      </c>
      <c r="AT2462">
        <v>1.4079999999999999</v>
      </c>
      <c r="AU2462" t="s">
        <v>65</v>
      </c>
      <c r="AV2462">
        <v>172</v>
      </c>
      <c r="AW2462">
        <v>23</v>
      </c>
      <c r="AX2462" t="s">
        <v>4289</v>
      </c>
      <c r="AY2462">
        <v>8.6370000000000002E-2</v>
      </c>
      <c r="AZ2462">
        <v>-2.9399999999999999E-3</v>
      </c>
      <c r="BA2462">
        <v>3.48E-3</v>
      </c>
      <c r="BB2462">
        <v>-1.8000000000000001E-4</v>
      </c>
      <c r="BC2462">
        <v>4.0280000000000003E-2</v>
      </c>
      <c r="BD2462">
        <v>1</v>
      </c>
      <c r="BE2462" t="s">
        <v>69</v>
      </c>
      <c r="BF2462">
        <v>0.34699999999999998</v>
      </c>
      <c r="BG2462">
        <v>-0.21199999999999999</v>
      </c>
    </row>
    <row r="2463" spans="1:59">
      <c r="A2463">
        <v>0</v>
      </c>
      <c r="B2463">
        <v>13</v>
      </c>
      <c r="C2463">
        <v>7</v>
      </c>
      <c r="D2463" t="s">
        <v>25022</v>
      </c>
      <c r="E2463">
        <v>3955</v>
      </c>
      <c r="F2463" t="s">
        <v>23231</v>
      </c>
      <c r="G2463" t="s">
        <v>62</v>
      </c>
      <c r="H2463">
        <v>3919096</v>
      </c>
      <c r="I2463">
        <v>3920634</v>
      </c>
      <c r="J2463" t="s">
        <v>23232</v>
      </c>
      <c r="K2463">
        <v>513</v>
      </c>
      <c r="L2463" t="s">
        <v>108</v>
      </c>
      <c r="M2463">
        <v>44</v>
      </c>
      <c r="N2463" t="str">
        <f>HYPERLINK("Gene3955-zp_tree_all.dnd", "Gene3955-tree")</f>
        <v>Gene3955-tree</v>
      </c>
      <c r="O2463">
        <v>2</v>
      </c>
      <c r="P2463">
        <v>12</v>
      </c>
      <c r="Q2463">
        <v>2</v>
      </c>
      <c r="R2463">
        <v>12</v>
      </c>
      <c r="S2463">
        <v>0.85714000000000001</v>
      </c>
      <c r="T2463" t="s">
        <v>81</v>
      </c>
      <c r="U2463" t="s">
        <v>109</v>
      </c>
      <c r="V2463" t="s">
        <v>62</v>
      </c>
      <c r="W2463" t="s">
        <v>62</v>
      </c>
      <c r="X2463">
        <v>7</v>
      </c>
      <c r="Y2463">
        <v>20</v>
      </c>
      <c r="Z2463">
        <v>20</v>
      </c>
      <c r="AA2463">
        <v>0.5</v>
      </c>
      <c r="AB2463">
        <v>0</v>
      </c>
      <c r="AC2463">
        <v>0</v>
      </c>
      <c r="AD2463">
        <v>0</v>
      </c>
      <c r="AE2463">
        <v>2</v>
      </c>
      <c r="AF2463">
        <v>0</v>
      </c>
      <c r="AG2463">
        <v>6</v>
      </c>
      <c r="AH2463">
        <v>5</v>
      </c>
      <c r="AI2463">
        <v>11</v>
      </c>
      <c r="AJ2463">
        <v>14</v>
      </c>
      <c r="AK2463">
        <v>0.44</v>
      </c>
      <c r="AL2463">
        <v>12</v>
      </c>
      <c r="AM2463">
        <v>11</v>
      </c>
      <c r="AN2463">
        <v>39</v>
      </c>
      <c r="AO2463">
        <v>24</v>
      </c>
      <c r="AP2463">
        <v>42</v>
      </c>
      <c r="AQ2463">
        <v>18</v>
      </c>
      <c r="AR2463" t="s">
        <v>23233</v>
      </c>
      <c r="AS2463" t="s">
        <v>23234</v>
      </c>
      <c r="AT2463">
        <v>0.89600000000000002</v>
      </c>
      <c r="AU2463" t="s">
        <v>65</v>
      </c>
      <c r="AV2463">
        <v>81</v>
      </c>
      <c r="AW2463">
        <v>42</v>
      </c>
      <c r="AX2463" t="s">
        <v>23235</v>
      </c>
      <c r="AY2463">
        <v>5.1769999999999997E-2</v>
      </c>
      <c r="AZ2463">
        <v>-2.0300000000000001E-3</v>
      </c>
      <c r="BA2463">
        <v>7.1900000000000002E-3</v>
      </c>
      <c r="BB2463">
        <v>-2.9999999999999997E-4</v>
      </c>
      <c r="BC2463">
        <v>0.13899</v>
      </c>
      <c r="BD2463">
        <v>1</v>
      </c>
      <c r="BE2463" t="s">
        <v>69</v>
      </c>
      <c r="BF2463">
        <v>0.21099999999999999</v>
      </c>
      <c r="BG2463">
        <v>0.26300000000000001</v>
      </c>
    </row>
    <row r="2464" spans="1:59">
      <c r="A2464">
        <v>0</v>
      </c>
      <c r="B2464">
        <v>7</v>
      </c>
      <c r="C2464">
        <v>4</v>
      </c>
      <c r="D2464" t="s">
        <v>25022</v>
      </c>
      <c r="E2464">
        <v>1062</v>
      </c>
      <c r="F2464" t="s">
        <v>6667</v>
      </c>
      <c r="G2464" t="s">
        <v>57</v>
      </c>
      <c r="H2464">
        <v>1100980</v>
      </c>
      <c r="I2464">
        <v>1102518</v>
      </c>
      <c r="J2464" t="s">
        <v>6668</v>
      </c>
      <c r="K2464">
        <v>513</v>
      </c>
      <c r="L2464" t="s">
        <v>108</v>
      </c>
      <c r="M2464">
        <v>44</v>
      </c>
      <c r="N2464" t="str">
        <f>HYPERLINK("Gene1062-zp_tree_all.dnd", "Gene1062-tree")</f>
        <v>Gene1062-tree</v>
      </c>
      <c r="O2464">
        <v>5</v>
      </c>
      <c r="P2464">
        <v>12</v>
      </c>
      <c r="Q2464">
        <v>5</v>
      </c>
      <c r="R2464">
        <v>12</v>
      </c>
      <c r="S2464">
        <v>0.70587999999999995</v>
      </c>
      <c r="T2464" t="s">
        <v>199</v>
      </c>
      <c r="U2464" t="s">
        <v>109</v>
      </c>
      <c r="V2464" t="s">
        <v>62</v>
      </c>
      <c r="W2464" t="s">
        <v>62</v>
      </c>
      <c r="X2464">
        <v>5</v>
      </c>
      <c r="Y2464">
        <v>11</v>
      </c>
      <c r="Z2464">
        <v>16</v>
      </c>
      <c r="AA2464">
        <v>0.40740999999999999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2</v>
      </c>
      <c r="AH2464">
        <v>2</v>
      </c>
      <c r="AI2464">
        <v>4</v>
      </c>
      <c r="AJ2464">
        <v>18</v>
      </c>
      <c r="AK2464">
        <v>0.18182000000000001</v>
      </c>
      <c r="AL2464">
        <v>13</v>
      </c>
      <c r="AM2464">
        <v>12</v>
      </c>
      <c r="AN2464">
        <v>40</v>
      </c>
      <c r="AO2464">
        <v>18</v>
      </c>
      <c r="AP2464">
        <v>37</v>
      </c>
      <c r="AQ2464">
        <v>9</v>
      </c>
      <c r="AR2464" t="s">
        <v>6669</v>
      </c>
      <c r="AS2464" t="s">
        <v>6670</v>
      </c>
      <c r="AT2464">
        <v>0.83599999999999997</v>
      </c>
      <c r="AU2464" t="s">
        <v>65</v>
      </c>
      <c r="AV2464">
        <v>77</v>
      </c>
      <c r="AW2464">
        <v>27</v>
      </c>
      <c r="AX2464" t="s">
        <v>6671</v>
      </c>
      <c r="AY2464">
        <v>4.1360000000000001E-2</v>
      </c>
      <c r="AZ2464">
        <v>-1.25E-3</v>
      </c>
      <c r="BA2464">
        <v>3.79E-3</v>
      </c>
      <c r="BB2464">
        <v>-1.6000000000000001E-4</v>
      </c>
      <c r="BC2464">
        <v>9.1660000000000005E-2</v>
      </c>
      <c r="BD2464">
        <v>1</v>
      </c>
      <c r="BE2464" t="s">
        <v>69</v>
      </c>
      <c r="BF2464">
        <v>-0.78100000000000003</v>
      </c>
      <c r="BG2464">
        <v>-1.55</v>
      </c>
    </row>
    <row r="2465" spans="1:59">
      <c r="A2465">
        <v>0</v>
      </c>
      <c r="B2465">
        <v>5</v>
      </c>
      <c r="C2465">
        <v>0</v>
      </c>
      <c r="D2465" t="s">
        <v>25022</v>
      </c>
      <c r="E2465">
        <v>670</v>
      </c>
      <c r="F2465" t="s">
        <v>4176</v>
      </c>
      <c r="G2465" t="s">
        <v>57</v>
      </c>
      <c r="H2465">
        <v>692740</v>
      </c>
      <c r="I2465">
        <v>694278</v>
      </c>
      <c r="J2465" t="s">
        <v>4177</v>
      </c>
      <c r="K2465">
        <v>513</v>
      </c>
      <c r="L2465" t="s">
        <v>4088</v>
      </c>
      <c r="M2465">
        <v>48</v>
      </c>
      <c r="N2465" t="str">
        <f>HYPERLINK("Gene670-zp_tree_all.dnd", "Gene670-tree")</f>
        <v>Gene670-tree</v>
      </c>
      <c r="O2465">
        <v>15</v>
      </c>
      <c r="P2465">
        <v>4</v>
      </c>
      <c r="Q2465">
        <v>15</v>
      </c>
      <c r="R2465">
        <v>4</v>
      </c>
      <c r="S2465">
        <v>0.21052999999999999</v>
      </c>
      <c r="T2465" t="s">
        <v>100</v>
      </c>
      <c r="U2465" t="s">
        <v>61</v>
      </c>
      <c r="V2465" t="s">
        <v>62</v>
      </c>
      <c r="W2465" t="s">
        <v>62</v>
      </c>
      <c r="X2465">
        <v>2</v>
      </c>
      <c r="Y2465">
        <v>5</v>
      </c>
      <c r="Z2465">
        <v>9</v>
      </c>
      <c r="AA2465">
        <v>0.35714000000000001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4</v>
      </c>
      <c r="AK2465">
        <v>0</v>
      </c>
      <c r="AL2465">
        <v>19</v>
      </c>
      <c r="AM2465">
        <v>14</v>
      </c>
      <c r="AN2465">
        <v>68</v>
      </c>
      <c r="AO2465">
        <v>4</v>
      </c>
      <c r="AP2465">
        <v>91</v>
      </c>
      <c r="AQ2465">
        <v>10</v>
      </c>
      <c r="AR2465" t="s">
        <v>4178</v>
      </c>
      <c r="AS2465" t="s">
        <v>4179</v>
      </c>
      <c r="AT2465">
        <v>0.49099999999999999</v>
      </c>
      <c r="AU2465" t="s">
        <v>65</v>
      </c>
      <c r="AV2465">
        <v>159</v>
      </c>
      <c r="AW2465">
        <v>14</v>
      </c>
      <c r="AX2465" t="s">
        <v>4180</v>
      </c>
      <c r="AY2465">
        <v>8.6169999999999997E-2</v>
      </c>
      <c r="AZ2465">
        <v>-4.2599999999999999E-3</v>
      </c>
      <c r="BA2465">
        <v>2.98E-3</v>
      </c>
      <c r="BB2465">
        <v>-1.3999999999999999E-4</v>
      </c>
      <c r="BC2465">
        <v>3.4540000000000001E-2</v>
      </c>
      <c r="BD2465">
        <v>1</v>
      </c>
      <c r="BE2465" t="s">
        <v>69</v>
      </c>
      <c r="BF2465">
        <v>-1.0900000000000001</v>
      </c>
      <c r="BG2465">
        <v>-0.52300000000000002</v>
      </c>
    </row>
    <row r="2466" spans="1:59">
      <c r="A2466">
        <v>0</v>
      </c>
      <c r="B2466">
        <v>2</v>
      </c>
      <c r="C2466">
        <v>0</v>
      </c>
      <c r="D2466" t="s">
        <v>25022</v>
      </c>
      <c r="E2466">
        <v>959</v>
      </c>
      <c r="F2466" t="s">
        <v>6019</v>
      </c>
      <c r="G2466" t="s">
        <v>57</v>
      </c>
      <c r="H2466">
        <v>998402</v>
      </c>
      <c r="I2466">
        <v>999940</v>
      </c>
      <c r="J2466" t="s">
        <v>2062</v>
      </c>
      <c r="K2466">
        <v>513</v>
      </c>
      <c r="L2466" t="s">
        <v>99</v>
      </c>
      <c r="M2466">
        <v>47</v>
      </c>
      <c r="N2466" t="str">
        <f>HYPERLINK("Gene959-zp_tree_all.dnd", "Gene959-tree")</f>
        <v>Gene959-tree</v>
      </c>
      <c r="O2466">
        <v>14</v>
      </c>
      <c r="P2466">
        <v>3</v>
      </c>
      <c r="Q2466">
        <v>14</v>
      </c>
      <c r="R2466">
        <v>3</v>
      </c>
      <c r="S2466">
        <v>0.17646999999999999</v>
      </c>
      <c r="T2466" t="s">
        <v>543</v>
      </c>
      <c r="U2466" t="s">
        <v>324</v>
      </c>
      <c r="V2466" t="s">
        <v>62</v>
      </c>
      <c r="W2466" t="s">
        <v>62</v>
      </c>
      <c r="X2466">
        <v>1</v>
      </c>
      <c r="Y2466">
        <v>2</v>
      </c>
      <c r="Z2466">
        <v>6</v>
      </c>
      <c r="AA2466">
        <v>0.25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2</v>
      </c>
      <c r="AH2466">
        <v>0</v>
      </c>
      <c r="AI2466">
        <v>2</v>
      </c>
      <c r="AJ2466">
        <v>2</v>
      </c>
      <c r="AK2466">
        <v>0.5</v>
      </c>
      <c r="AL2466">
        <v>15</v>
      </c>
      <c r="AM2466">
        <v>13</v>
      </c>
      <c r="AN2466">
        <v>116</v>
      </c>
      <c r="AO2466">
        <v>4</v>
      </c>
      <c r="AP2466">
        <v>87</v>
      </c>
      <c r="AQ2466">
        <v>4</v>
      </c>
      <c r="AR2466" t="s">
        <v>6020</v>
      </c>
      <c r="AS2466" t="s">
        <v>6021</v>
      </c>
      <c r="AT2466">
        <v>0.153</v>
      </c>
      <c r="AU2466" t="s">
        <v>65</v>
      </c>
      <c r="AV2466">
        <v>203</v>
      </c>
      <c r="AW2466">
        <v>8</v>
      </c>
      <c r="AX2466" t="s">
        <v>6022</v>
      </c>
      <c r="AY2466">
        <v>0.1051</v>
      </c>
      <c r="AZ2466">
        <v>-7.2399999999999999E-3</v>
      </c>
      <c r="BA2466">
        <v>1.2899999999999999E-3</v>
      </c>
      <c r="BB2466">
        <v>-9.0000000000000006E-5</v>
      </c>
      <c r="BC2466">
        <v>1.23E-2</v>
      </c>
      <c r="BD2466">
        <v>1</v>
      </c>
      <c r="BE2466" t="s">
        <v>69</v>
      </c>
      <c r="BF2466">
        <v>-1.522</v>
      </c>
      <c r="BG2466">
        <v>-1.7390000000000001</v>
      </c>
    </row>
    <row r="2467" spans="1:59">
      <c r="A2467">
        <v>0</v>
      </c>
      <c r="B2467">
        <v>20</v>
      </c>
      <c r="C2467">
        <v>2</v>
      </c>
      <c r="D2467" t="s">
        <v>25022</v>
      </c>
      <c r="E2467">
        <v>2362</v>
      </c>
      <c r="F2467" t="s">
        <v>13724</v>
      </c>
      <c r="G2467" t="s">
        <v>62</v>
      </c>
      <c r="H2467">
        <v>2375872</v>
      </c>
      <c r="I2467">
        <v>2377416</v>
      </c>
      <c r="J2467" t="s">
        <v>13725</v>
      </c>
      <c r="K2467">
        <v>515</v>
      </c>
      <c r="L2467" t="s">
        <v>13717</v>
      </c>
      <c r="M2467">
        <v>40</v>
      </c>
      <c r="N2467" t="str">
        <f>HYPERLINK("Gene2362-zp_tree_all.dnd", "Gene2362-tree")</f>
        <v>Gene2362-tree</v>
      </c>
      <c r="O2467">
        <v>0</v>
      </c>
      <c r="P2467">
        <v>17</v>
      </c>
      <c r="Q2467">
        <v>0</v>
      </c>
      <c r="R2467">
        <v>17</v>
      </c>
      <c r="S2467">
        <v>1</v>
      </c>
      <c r="T2467" t="s">
        <v>62</v>
      </c>
      <c r="U2467" t="s">
        <v>266</v>
      </c>
      <c r="V2467">
        <v>69600344.844999999</v>
      </c>
      <c r="W2467" t="s">
        <v>65</v>
      </c>
      <c r="X2467">
        <v>8</v>
      </c>
      <c r="Y2467">
        <v>22</v>
      </c>
      <c r="Z2467">
        <v>20</v>
      </c>
      <c r="AA2467">
        <v>0.52381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12</v>
      </c>
      <c r="AH2467">
        <v>2</v>
      </c>
      <c r="AI2467">
        <v>14</v>
      </c>
      <c r="AJ2467">
        <v>17</v>
      </c>
      <c r="AK2467">
        <v>0.45161000000000001</v>
      </c>
      <c r="AL2467">
        <v>16</v>
      </c>
      <c r="AM2467">
        <v>12</v>
      </c>
      <c r="AN2467">
        <v>52</v>
      </c>
      <c r="AO2467">
        <v>30</v>
      </c>
      <c r="AP2467">
        <v>50</v>
      </c>
      <c r="AQ2467">
        <v>12</v>
      </c>
      <c r="AR2467" t="s">
        <v>13726</v>
      </c>
      <c r="AS2467" t="s">
        <v>13727</v>
      </c>
      <c r="AT2467">
        <v>2.1269999999999998</v>
      </c>
      <c r="AU2467" t="s">
        <v>267</v>
      </c>
      <c r="AV2467">
        <v>102</v>
      </c>
      <c r="AW2467">
        <v>42</v>
      </c>
      <c r="AX2467" t="s">
        <v>13728</v>
      </c>
      <c r="AY2467">
        <v>5.1830000000000001E-2</v>
      </c>
      <c r="AZ2467">
        <v>-1.73E-3</v>
      </c>
      <c r="BA2467">
        <v>4.9800000000000001E-3</v>
      </c>
      <c r="BB2467">
        <v>-1.3999999999999999E-4</v>
      </c>
      <c r="BC2467">
        <v>9.6049999999999996E-2</v>
      </c>
      <c r="BD2467">
        <v>1</v>
      </c>
      <c r="BE2467" t="s">
        <v>69</v>
      </c>
      <c r="BF2467">
        <v>-0.93500000000000005</v>
      </c>
      <c r="BG2467">
        <v>-0.56999999999999995</v>
      </c>
    </row>
    <row r="2468" spans="1:59">
      <c r="A2468">
        <v>0</v>
      </c>
      <c r="B2468">
        <v>6</v>
      </c>
      <c r="C2468">
        <v>0</v>
      </c>
      <c r="D2468" t="s">
        <v>25022</v>
      </c>
      <c r="E2468">
        <v>3914</v>
      </c>
      <c r="F2468" t="s">
        <v>22958</v>
      </c>
      <c r="G2468" t="s">
        <v>62</v>
      </c>
      <c r="H2468">
        <v>3878969</v>
      </c>
      <c r="I2468">
        <v>3880513</v>
      </c>
      <c r="J2468" t="s">
        <v>22959</v>
      </c>
      <c r="K2468">
        <v>515</v>
      </c>
      <c r="L2468" t="s">
        <v>108</v>
      </c>
      <c r="M2468">
        <v>44</v>
      </c>
      <c r="N2468" t="str">
        <f>HYPERLINK("Gene3914-zp_tree_all.dnd", "Gene3914-tree")</f>
        <v>Gene3914-tree</v>
      </c>
      <c r="O2468">
        <v>12</v>
      </c>
      <c r="P2468">
        <v>6</v>
      </c>
      <c r="Q2468">
        <v>12</v>
      </c>
      <c r="R2468">
        <v>6</v>
      </c>
      <c r="S2468">
        <v>0.33333000000000002</v>
      </c>
      <c r="T2468" t="s">
        <v>109</v>
      </c>
      <c r="U2468" t="s">
        <v>90</v>
      </c>
      <c r="V2468" t="s">
        <v>62</v>
      </c>
      <c r="W2468" t="s">
        <v>62</v>
      </c>
      <c r="X2468">
        <v>2</v>
      </c>
      <c r="Y2468">
        <v>6</v>
      </c>
      <c r="Z2468">
        <v>9</v>
      </c>
      <c r="AA2468">
        <v>0.4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9</v>
      </c>
      <c r="AK2468">
        <v>0</v>
      </c>
      <c r="AL2468">
        <v>15</v>
      </c>
      <c r="AM2468">
        <v>13</v>
      </c>
      <c r="AN2468">
        <v>60</v>
      </c>
      <c r="AO2468">
        <v>9</v>
      </c>
      <c r="AP2468">
        <v>33</v>
      </c>
      <c r="AQ2468">
        <v>6</v>
      </c>
      <c r="AR2468" t="s">
        <v>22960</v>
      </c>
      <c r="AS2468" t="s">
        <v>22961</v>
      </c>
      <c r="AT2468">
        <v>0.23200000000000001</v>
      </c>
      <c r="AU2468" t="s">
        <v>65</v>
      </c>
      <c r="AV2468">
        <v>93</v>
      </c>
      <c r="AW2468">
        <v>15</v>
      </c>
      <c r="AX2468" t="s">
        <v>22962</v>
      </c>
      <c r="AY2468">
        <v>3.8510000000000003E-2</v>
      </c>
      <c r="AZ2468">
        <v>-1.15E-3</v>
      </c>
      <c r="BA2468">
        <v>1.5900000000000001E-3</v>
      </c>
      <c r="BB2468">
        <v>-1E-4</v>
      </c>
      <c r="BC2468">
        <v>4.1189999999999997E-2</v>
      </c>
      <c r="BD2468">
        <v>1</v>
      </c>
      <c r="BE2468" t="s">
        <v>69</v>
      </c>
      <c r="BF2468">
        <v>-1.06</v>
      </c>
      <c r="BG2468">
        <v>-1.893</v>
      </c>
    </row>
    <row r="2469" spans="1:59">
      <c r="A2469">
        <v>0</v>
      </c>
      <c r="B2469">
        <v>0</v>
      </c>
      <c r="C2469">
        <v>0</v>
      </c>
      <c r="D2469" t="s">
        <v>25022</v>
      </c>
      <c r="E2469">
        <v>322</v>
      </c>
      <c r="F2469" t="s">
        <v>2197</v>
      </c>
      <c r="G2469" t="s">
        <v>57</v>
      </c>
      <c r="H2469">
        <v>345479</v>
      </c>
      <c r="I2469">
        <v>347023</v>
      </c>
      <c r="J2469" t="s">
        <v>2198</v>
      </c>
      <c r="K2469">
        <v>515</v>
      </c>
      <c r="L2469" t="s">
        <v>289</v>
      </c>
      <c r="M2469">
        <v>46</v>
      </c>
      <c r="N2469" t="str">
        <f>HYPERLINK("Gene322-zp_tree_all.dnd", "Gene322-tree")</f>
        <v>Gene322-tree</v>
      </c>
      <c r="O2469">
        <v>12</v>
      </c>
      <c r="P2469">
        <v>5</v>
      </c>
      <c r="Q2469">
        <v>12</v>
      </c>
      <c r="R2469">
        <v>5</v>
      </c>
      <c r="S2469">
        <v>0.29411999999999999</v>
      </c>
      <c r="T2469" t="s">
        <v>109</v>
      </c>
      <c r="U2469" t="s">
        <v>199</v>
      </c>
      <c r="V2469" t="s">
        <v>62</v>
      </c>
      <c r="W2469" t="s">
        <v>62</v>
      </c>
      <c r="X2469">
        <v>0</v>
      </c>
      <c r="Y2469">
        <v>0</v>
      </c>
      <c r="Z2469">
        <v>9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5</v>
      </c>
      <c r="AK2469">
        <v>0</v>
      </c>
      <c r="AL2469">
        <v>13</v>
      </c>
      <c r="AM2469">
        <v>11</v>
      </c>
      <c r="AN2469">
        <v>34</v>
      </c>
      <c r="AO2469">
        <v>5</v>
      </c>
      <c r="AP2469">
        <v>79</v>
      </c>
      <c r="AQ2469">
        <v>4</v>
      </c>
      <c r="AR2469" t="s">
        <v>2199</v>
      </c>
      <c r="AS2469" t="s">
        <v>2200</v>
      </c>
      <c r="AT2469">
        <v>0.50600000000000001</v>
      </c>
      <c r="AU2469" t="s">
        <v>65</v>
      </c>
      <c r="AV2469">
        <v>113</v>
      </c>
      <c r="AW2469">
        <v>9</v>
      </c>
      <c r="AX2469" t="s">
        <v>2201</v>
      </c>
      <c r="AY2469">
        <v>6.5170000000000006E-2</v>
      </c>
      <c r="AZ2469">
        <v>-7.0699999999999999E-3</v>
      </c>
      <c r="BA2469">
        <v>1.24E-3</v>
      </c>
      <c r="BB2469">
        <v>-1.1E-4</v>
      </c>
      <c r="BC2469">
        <v>1.907E-2</v>
      </c>
      <c r="BD2469">
        <v>1</v>
      </c>
      <c r="BE2469" t="s">
        <v>69</v>
      </c>
      <c r="BF2469">
        <v>-1.853</v>
      </c>
      <c r="BG2469">
        <v>-1.0469999999999999</v>
      </c>
    </row>
    <row r="2470" spans="1:59">
      <c r="A2470">
        <v>0</v>
      </c>
      <c r="B2470">
        <v>12</v>
      </c>
      <c r="C2470">
        <v>3</v>
      </c>
      <c r="D2470" t="s">
        <v>25022</v>
      </c>
      <c r="E2470">
        <v>2945</v>
      </c>
      <c r="F2470" t="s">
        <v>16977</v>
      </c>
      <c r="G2470" t="s">
        <v>62</v>
      </c>
      <c r="H2470">
        <v>2892141</v>
      </c>
      <c r="I2470">
        <v>2893694</v>
      </c>
      <c r="J2470" t="s">
        <v>16978</v>
      </c>
      <c r="K2470">
        <v>518</v>
      </c>
      <c r="L2470" t="s">
        <v>108</v>
      </c>
      <c r="M2470">
        <v>44</v>
      </c>
      <c r="N2470" t="str">
        <f>HYPERLINK("Gene2945-zp_tree_all.dnd", "Gene2945-tree")</f>
        <v>Gene2945-tree</v>
      </c>
      <c r="O2470">
        <v>3</v>
      </c>
      <c r="P2470">
        <v>12</v>
      </c>
      <c r="Q2470">
        <v>3</v>
      </c>
      <c r="R2470">
        <v>12</v>
      </c>
      <c r="S2470">
        <v>0.8</v>
      </c>
      <c r="T2470" t="s">
        <v>324</v>
      </c>
      <c r="U2470" t="s">
        <v>109</v>
      </c>
      <c r="V2470" t="s">
        <v>62</v>
      </c>
      <c r="W2470" t="s">
        <v>62</v>
      </c>
      <c r="X2470">
        <v>6</v>
      </c>
      <c r="Y2470">
        <v>15</v>
      </c>
      <c r="Z2470">
        <v>8</v>
      </c>
      <c r="AA2470">
        <v>0.65217000000000003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5</v>
      </c>
      <c r="AI2470">
        <v>7</v>
      </c>
      <c r="AJ2470">
        <v>9</v>
      </c>
      <c r="AK2470">
        <v>0.4375</v>
      </c>
      <c r="AL2470">
        <v>12</v>
      </c>
      <c r="AM2470">
        <v>10</v>
      </c>
      <c r="AN2470">
        <v>51</v>
      </c>
      <c r="AO2470">
        <v>11</v>
      </c>
      <c r="AP2470">
        <v>42</v>
      </c>
      <c r="AQ2470">
        <v>12</v>
      </c>
      <c r="AR2470" t="s">
        <v>16979</v>
      </c>
      <c r="AS2470" t="s">
        <v>16980</v>
      </c>
      <c r="AT2470">
        <v>0.54600000000000004</v>
      </c>
      <c r="AU2470" t="s">
        <v>65</v>
      </c>
      <c r="AV2470">
        <v>93</v>
      </c>
      <c r="AW2470">
        <v>23</v>
      </c>
      <c r="AX2470" t="s">
        <v>16981</v>
      </c>
      <c r="AY2470">
        <v>4.8849999999999998E-2</v>
      </c>
      <c r="AZ2470">
        <v>-1.67E-3</v>
      </c>
      <c r="BA2470">
        <v>3.9699999999999996E-3</v>
      </c>
      <c r="BB2470">
        <v>-1.4999999999999999E-4</v>
      </c>
      <c r="BC2470">
        <v>8.1189999999999998E-2</v>
      </c>
      <c r="BD2470">
        <v>1</v>
      </c>
      <c r="BE2470" t="s">
        <v>69</v>
      </c>
      <c r="BF2470">
        <v>0.41899999999999998</v>
      </c>
      <c r="BG2470">
        <v>-0.61299999999999999</v>
      </c>
    </row>
    <row r="2471" spans="1:59">
      <c r="A2471">
        <v>0</v>
      </c>
      <c r="B2471">
        <v>12</v>
      </c>
      <c r="C2471">
        <v>5</v>
      </c>
      <c r="D2471" t="s">
        <v>25022</v>
      </c>
      <c r="E2471">
        <v>1841</v>
      </c>
      <c r="F2471" t="s">
        <v>11532</v>
      </c>
      <c r="G2471" t="s">
        <v>57</v>
      </c>
      <c r="H2471">
        <v>1907494</v>
      </c>
      <c r="I2471">
        <v>1909053</v>
      </c>
      <c r="J2471" t="s">
        <v>2541</v>
      </c>
      <c r="K2471">
        <v>520</v>
      </c>
      <c r="L2471" t="s">
        <v>11533</v>
      </c>
      <c r="M2471">
        <v>42</v>
      </c>
      <c r="N2471" t="str">
        <f>HYPERLINK("Gene1841-zp_tree_all.dnd", "Gene1841-tree")</f>
        <v>Gene1841-tree</v>
      </c>
      <c r="O2471">
        <v>1</v>
      </c>
      <c r="P2471">
        <v>12</v>
      </c>
      <c r="Q2471">
        <v>1</v>
      </c>
      <c r="R2471">
        <v>12</v>
      </c>
      <c r="S2471">
        <v>0.92308000000000001</v>
      </c>
      <c r="T2471" t="s">
        <v>175</v>
      </c>
      <c r="U2471" t="s">
        <v>109</v>
      </c>
      <c r="V2471" t="s">
        <v>62</v>
      </c>
      <c r="W2471" t="s">
        <v>62</v>
      </c>
      <c r="X2471">
        <v>6</v>
      </c>
      <c r="Y2471">
        <v>17</v>
      </c>
      <c r="Z2471">
        <v>18</v>
      </c>
      <c r="AA2471">
        <v>0.48570999999999998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5</v>
      </c>
      <c r="AH2471">
        <v>5</v>
      </c>
      <c r="AI2471">
        <v>10</v>
      </c>
      <c r="AJ2471">
        <v>19</v>
      </c>
      <c r="AK2471">
        <v>0.34483000000000003</v>
      </c>
      <c r="AL2471">
        <v>11</v>
      </c>
      <c r="AM2471">
        <v>8</v>
      </c>
      <c r="AN2471">
        <v>41</v>
      </c>
      <c r="AO2471">
        <v>20</v>
      </c>
      <c r="AP2471">
        <v>33</v>
      </c>
      <c r="AQ2471">
        <v>16</v>
      </c>
      <c r="AR2471" t="s">
        <v>11534</v>
      </c>
      <c r="AS2471" t="s">
        <v>11535</v>
      </c>
      <c r="AT2471">
        <v>8.9999999999999993E-3</v>
      </c>
      <c r="AU2471" t="s">
        <v>65</v>
      </c>
      <c r="AV2471">
        <v>74</v>
      </c>
      <c r="AW2471">
        <v>36</v>
      </c>
      <c r="AX2471" t="s">
        <v>11536</v>
      </c>
      <c r="AY2471">
        <v>4.419E-2</v>
      </c>
      <c r="AZ2471">
        <v>-2.2899999999999999E-3</v>
      </c>
      <c r="BA2471">
        <v>5.7600000000000004E-3</v>
      </c>
      <c r="BB2471">
        <v>-3.2000000000000003E-4</v>
      </c>
      <c r="BC2471">
        <v>0.13038</v>
      </c>
      <c r="BD2471">
        <v>1</v>
      </c>
      <c r="BE2471" t="s">
        <v>69</v>
      </c>
      <c r="BF2471">
        <v>8.3000000000000004E-2</v>
      </c>
      <c r="BG2471">
        <v>-1.0249999999999999</v>
      </c>
    </row>
    <row r="2472" spans="1:59">
      <c r="A2472">
        <v>0</v>
      </c>
      <c r="B2472">
        <v>0</v>
      </c>
      <c r="C2472">
        <v>0</v>
      </c>
      <c r="D2472" t="s">
        <v>25022</v>
      </c>
      <c r="E2472">
        <v>1757</v>
      </c>
      <c r="F2472" t="s">
        <v>11006</v>
      </c>
      <c r="G2472" t="s">
        <v>57</v>
      </c>
      <c r="H2472">
        <v>1767310</v>
      </c>
      <c r="I2472">
        <v>1768869</v>
      </c>
      <c r="J2472" t="s">
        <v>11007</v>
      </c>
      <c r="K2472">
        <v>520</v>
      </c>
      <c r="L2472" t="s">
        <v>59</v>
      </c>
      <c r="M2472">
        <v>49</v>
      </c>
      <c r="N2472" t="str">
        <f>HYPERLINK("Gene1757-zp_tree_all.dnd", "Gene1757-tree")</f>
        <v>Gene1757-tree</v>
      </c>
      <c r="O2472">
        <v>18</v>
      </c>
      <c r="P2472">
        <v>0</v>
      </c>
      <c r="Q2472">
        <v>18</v>
      </c>
      <c r="R2472">
        <v>0</v>
      </c>
      <c r="S2472">
        <v>0</v>
      </c>
      <c r="T2472" t="s">
        <v>144</v>
      </c>
      <c r="U2472" t="s">
        <v>62</v>
      </c>
      <c r="V2472" t="s">
        <v>62</v>
      </c>
      <c r="W2472" t="s">
        <v>62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14</v>
      </c>
      <c r="AM2472">
        <v>11</v>
      </c>
      <c r="AN2472">
        <v>26</v>
      </c>
      <c r="AO2472">
        <v>0</v>
      </c>
      <c r="AP2472">
        <v>37</v>
      </c>
      <c r="AQ2472">
        <v>0</v>
      </c>
      <c r="AR2472" t="s">
        <v>193</v>
      </c>
      <c r="AS2472" t="s">
        <v>193</v>
      </c>
      <c r="AT2472">
        <v>0</v>
      </c>
      <c r="AU2472" t="s">
        <v>65</v>
      </c>
      <c r="AV2472">
        <v>63</v>
      </c>
      <c r="AW2472">
        <v>0</v>
      </c>
      <c r="AX2472" t="s">
        <v>11008</v>
      </c>
      <c r="AY2472">
        <v>4.129E-2</v>
      </c>
      <c r="AZ2472">
        <v>-2.1199999999999999E-3</v>
      </c>
      <c r="BA2472">
        <v>0</v>
      </c>
      <c r="BB2472">
        <v>0</v>
      </c>
      <c r="BC2472">
        <v>0</v>
      </c>
      <c r="BD2472">
        <v>1</v>
      </c>
      <c r="BE2472" t="s">
        <v>69</v>
      </c>
      <c r="BF2472">
        <v>-0.71099999999999997</v>
      </c>
      <c r="BG2472">
        <v>-0.73199999999999998</v>
      </c>
    </row>
    <row r="2473" spans="1:59">
      <c r="A2473">
        <v>0</v>
      </c>
      <c r="B2473">
        <v>9</v>
      </c>
      <c r="C2473">
        <v>8</v>
      </c>
      <c r="D2473" t="s">
        <v>25022</v>
      </c>
      <c r="E2473">
        <v>3742</v>
      </c>
      <c r="F2473" t="s">
        <v>21947</v>
      </c>
      <c r="G2473" t="s">
        <v>62</v>
      </c>
      <c r="H2473">
        <v>3719137</v>
      </c>
      <c r="I2473">
        <v>3720711</v>
      </c>
      <c r="J2473" t="s">
        <v>21948</v>
      </c>
      <c r="K2473">
        <v>525</v>
      </c>
      <c r="L2473" t="s">
        <v>108</v>
      </c>
      <c r="M2473">
        <v>44</v>
      </c>
      <c r="N2473" t="str">
        <f>HYPERLINK("Gene3742-zp_tree_all.dnd", "Gene3742-tree")</f>
        <v>Gene3742-tree</v>
      </c>
      <c r="O2473">
        <v>5</v>
      </c>
      <c r="P2473">
        <v>8</v>
      </c>
      <c r="Q2473">
        <v>5</v>
      </c>
      <c r="R2473">
        <v>8</v>
      </c>
      <c r="S2473">
        <v>0.61538000000000004</v>
      </c>
      <c r="T2473" t="s">
        <v>199</v>
      </c>
      <c r="U2473" t="s">
        <v>136</v>
      </c>
      <c r="V2473" t="s">
        <v>62</v>
      </c>
      <c r="W2473" t="s">
        <v>62</v>
      </c>
      <c r="X2473">
        <v>7</v>
      </c>
      <c r="Y2473">
        <v>17</v>
      </c>
      <c r="Z2473">
        <v>32</v>
      </c>
      <c r="AA2473">
        <v>0.34694000000000003</v>
      </c>
      <c r="AB2473">
        <v>0</v>
      </c>
      <c r="AC2473">
        <v>0</v>
      </c>
      <c r="AD2473">
        <v>0</v>
      </c>
      <c r="AE2473">
        <v>2</v>
      </c>
      <c r="AF2473">
        <v>0</v>
      </c>
      <c r="AG2473">
        <v>0</v>
      </c>
      <c r="AH2473">
        <v>6</v>
      </c>
      <c r="AI2473">
        <v>6</v>
      </c>
      <c r="AJ2473">
        <v>23</v>
      </c>
      <c r="AK2473">
        <v>0.2069</v>
      </c>
      <c r="AL2473">
        <v>12</v>
      </c>
      <c r="AM2473">
        <v>10</v>
      </c>
      <c r="AN2473">
        <v>56</v>
      </c>
      <c r="AO2473">
        <v>29</v>
      </c>
      <c r="AP2473">
        <v>36</v>
      </c>
      <c r="AQ2473">
        <v>22</v>
      </c>
      <c r="AR2473" t="s">
        <v>21949</v>
      </c>
      <c r="AS2473" t="s">
        <v>21950</v>
      </c>
      <c r="AT2473">
        <v>0.16300000000000001</v>
      </c>
      <c r="AU2473" t="s">
        <v>65</v>
      </c>
      <c r="AV2473">
        <v>92</v>
      </c>
      <c r="AW2473">
        <v>51</v>
      </c>
      <c r="AX2473" t="s">
        <v>21951</v>
      </c>
      <c r="AY2473">
        <v>5.9299999999999999E-2</v>
      </c>
      <c r="AZ2473">
        <v>-3.7000000000000002E-3</v>
      </c>
      <c r="BA2473">
        <v>1.0149999999999999E-2</v>
      </c>
      <c r="BB2473">
        <v>-5.0000000000000001E-4</v>
      </c>
      <c r="BC2473">
        <v>0.17116999999999999</v>
      </c>
      <c r="BD2473">
        <v>1</v>
      </c>
      <c r="BE2473" t="s">
        <v>69</v>
      </c>
      <c r="BF2473">
        <v>-0.40300000000000002</v>
      </c>
      <c r="BG2473">
        <v>-1.829</v>
      </c>
    </row>
    <row r="2474" spans="1:59">
      <c r="A2474">
        <v>0</v>
      </c>
      <c r="B2474">
        <v>15</v>
      </c>
      <c r="C2474">
        <v>5</v>
      </c>
      <c r="D2474" t="s">
        <v>25022</v>
      </c>
      <c r="E2474">
        <v>3702</v>
      </c>
      <c r="F2474" t="s">
        <v>21689</v>
      </c>
      <c r="G2474" t="s">
        <v>62</v>
      </c>
      <c r="H2474">
        <v>3673567</v>
      </c>
      <c r="I2474">
        <v>3675147</v>
      </c>
      <c r="J2474" t="s">
        <v>21690</v>
      </c>
      <c r="K2474">
        <v>527</v>
      </c>
      <c r="L2474" t="s">
        <v>21691</v>
      </c>
      <c r="M2474">
        <v>32</v>
      </c>
      <c r="N2474" t="str">
        <f>HYPERLINK("Gene3702-zp_tree_all.dnd", "Gene3702-tree")</f>
        <v>Gene3702-tree</v>
      </c>
      <c r="O2474">
        <v>0</v>
      </c>
      <c r="P2474">
        <v>7</v>
      </c>
      <c r="Q2474">
        <v>0</v>
      </c>
      <c r="R2474">
        <v>7</v>
      </c>
      <c r="S2474">
        <v>1</v>
      </c>
      <c r="T2474" t="s">
        <v>62</v>
      </c>
      <c r="U2474" t="s">
        <v>152</v>
      </c>
      <c r="V2474" t="s">
        <v>62</v>
      </c>
      <c r="W2474" t="s">
        <v>62</v>
      </c>
      <c r="X2474">
        <v>9</v>
      </c>
      <c r="Y2474">
        <v>20</v>
      </c>
      <c r="Z2474">
        <v>27</v>
      </c>
      <c r="AA2474">
        <v>0.42553000000000002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4</v>
      </c>
      <c r="AH2474">
        <v>3</v>
      </c>
      <c r="AI2474">
        <v>7</v>
      </c>
      <c r="AJ2474">
        <v>30</v>
      </c>
      <c r="AK2474">
        <v>0.18919</v>
      </c>
      <c r="AL2474">
        <v>7</v>
      </c>
      <c r="AM2474">
        <v>4</v>
      </c>
      <c r="AN2474">
        <v>92</v>
      </c>
      <c r="AO2474">
        <v>37</v>
      </c>
      <c r="AP2474">
        <v>37</v>
      </c>
      <c r="AQ2474">
        <v>10</v>
      </c>
      <c r="AR2474" t="s">
        <v>21692</v>
      </c>
      <c r="AS2474" t="s">
        <v>21693</v>
      </c>
      <c r="AT2474">
        <v>0.54100000000000004</v>
      </c>
      <c r="AU2474" t="s">
        <v>65</v>
      </c>
      <c r="AV2474">
        <v>129</v>
      </c>
      <c r="AW2474">
        <v>47</v>
      </c>
      <c r="AX2474" t="s">
        <v>21694</v>
      </c>
      <c r="AY2474">
        <v>0.1293</v>
      </c>
      <c r="AZ2474">
        <v>-1.1950000000000001E-2</v>
      </c>
      <c r="BA2474">
        <v>1.14E-2</v>
      </c>
      <c r="BB2474">
        <v>-1.1299999999999999E-3</v>
      </c>
      <c r="BC2474">
        <v>8.8139999999999996E-2</v>
      </c>
      <c r="BD2474">
        <v>1</v>
      </c>
      <c r="BE2474" t="s">
        <v>69</v>
      </c>
      <c r="BF2474">
        <v>-0.112</v>
      </c>
      <c r="BG2474">
        <v>-0.97</v>
      </c>
    </row>
    <row r="2475" spans="1:59">
      <c r="A2475">
        <v>0</v>
      </c>
      <c r="B2475">
        <v>2</v>
      </c>
      <c r="C2475">
        <v>0</v>
      </c>
      <c r="D2475" t="s">
        <v>25022</v>
      </c>
      <c r="E2475">
        <v>854</v>
      </c>
      <c r="F2475" t="s">
        <v>5335</v>
      </c>
      <c r="G2475" t="s">
        <v>57</v>
      </c>
      <c r="H2475">
        <v>892215</v>
      </c>
      <c r="I2475">
        <v>893795</v>
      </c>
      <c r="J2475" t="s">
        <v>5336</v>
      </c>
      <c r="K2475">
        <v>527</v>
      </c>
      <c r="L2475" t="s">
        <v>108</v>
      </c>
      <c r="M2475">
        <v>44</v>
      </c>
      <c r="N2475" t="str">
        <f>HYPERLINK("Gene854-zp_tree_all.dnd", "Gene854-tree")</f>
        <v>Gene854-tree</v>
      </c>
      <c r="O2475">
        <v>7</v>
      </c>
      <c r="P2475">
        <v>8</v>
      </c>
      <c r="Q2475">
        <v>7</v>
      </c>
      <c r="R2475">
        <v>8</v>
      </c>
      <c r="S2475">
        <v>0.53332999999999997</v>
      </c>
      <c r="T2475" t="s">
        <v>152</v>
      </c>
      <c r="U2475" t="s">
        <v>136</v>
      </c>
      <c r="V2475" t="s">
        <v>62</v>
      </c>
      <c r="W2475" t="s">
        <v>62</v>
      </c>
      <c r="X2475">
        <v>1</v>
      </c>
      <c r="Y2475">
        <v>2</v>
      </c>
      <c r="Z2475">
        <v>8</v>
      </c>
      <c r="AA2475">
        <v>0.2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</v>
      </c>
      <c r="AH2475">
        <v>0</v>
      </c>
      <c r="AI2475">
        <v>2</v>
      </c>
      <c r="AJ2475">
        <v>6</v>
      </c>
      <c r="AK2475">
        <v>0.25</v>
      </c>
      <c r="AL2475">
        <v>13</v>
      </c>
      <c r="AM2475">
        <v>10</v>
      </c>
      <c r="AN2475">
        <v>63</v>
      </c>
      <c r="AO2475">
        <v>7</v>
      </c>
      <c r="AP2475">
        <v>51</v>
      </c>
      <c r="AQ2475">
        <v>3</v>
      </c>
      <c r="AR2475" t="s">
        <v>5337</v>
      </c>
      <c r="AS2475" t="s">
        <v>5338</v>
      </c>
      <c r="AT2475">
        <v>0.42499999999999999</v>
      </c>
      <c r="AU2475" t="s">
        <v>65</v>
      </c>
      <c r="AV2475">
        <v>114</v>
      </c>
      <c r="AW2475">
        <v>10</v>
      </c>
      <c r="AX2475" t="s">
        <v>5339</v>
      </c>
      <c r="AY2475">
        <v>5.1700000000000003E-2</v>
      </c>
      <c r="AZ2475">
        <v>-2.5500000000000002E-3</v>
      </c>
      <c r="BA2475">
        <v>1.3699999999999999E-3</v>
      </c>
      <c r="BB2475">
        <v>-9.0000000000000006E-5</v>
      </c>
      <c r="BC2475">
        <v>2.6540000000000001E-2</v>
      </c>
      <c r="BD2475">
        <v>1</v>
      </c>
      <c r="BE2475" t="s">
        <v>69</v>
      </c>
      <c r="BF2475">
        <v>-0.39200000000000002</v>
      </c>
      <c r="BG2475">
        <v>-0.67500000000000004</v>
      </c>
    </row>
    <row r="2476" spans="1:59">
      <c r="A2476">
        <v>0</v>
      </c>
      <c r="B2476">
        <v>20</v>
      </c>
      <c r="C2476">
        <v>3</v>
      </c>
      <c r="D2476" t="s">
        <v>25022</v>
      </c>
      <c r="E2476">
        <v>3073</v>
      </c>
      <c r="F2476" t="s">
        <v>17799</v>
      </c>
      <c r="G2476" t="s">
        <v>62</v>
      </c>
      <c r="H2476">
        <v>3022071</v>
      </c>
      <c r="I2476">
        <v>3023657</v>
      </c>
      <c r="J2476" t="s">
        <v>17800</v>
      </c>
      <c r="K2476">
        <v>529</v>
      </c>
      <c r="L2476" t="s">
        <v>108</v>
      </c>
      <c r="M2476">
        <v>44</v>
      </c>
      <c r="N2476" t="str">
        <f>HYPERLINK("Gene3073-zp_tree_all.dnd", "Gene3073-tree")</f>
        <v>Gene3073-tree</v>
      </c>
      <c r="O2476">
        <v>1</v>
      </c>
      <c r="P2476">
        <v>13</v>
      </c>
      <c r="Q2476">
        <v>1</v>
      </c>
      <c r="R2476">
        <v>13</v>
      </c>
      <c r="S2476">
        <v>0.92857000000000001</v>
      </c>
      <c r="T2476" t="s">
        <v>175</v>
      </c>
      <c r="U2476" t="s">
        <v>507</v>
      </c>
      <c r="V2476" t="s">
        <v>62</v>
      </c>
      <c r="W2476" t="s">
        <v>62</v>
      </c>
      <c r="X2476">
        <v>8</v>
      </c>
      <c r="Y2476">
        <v>23</v>
      </c>
      <c r="Z2476">
        <v>24</v>
      </c>
      <c r="AA2476">
        <v>0.48936000000000002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8</v>
      </c>
      <c r="AH2476">
        <v>4</v>
      </c>
      <c r="AI2476">
        <v>12</v>
      </c>
      <c r="AJ2476">
        <v>24</v>
      </c>
      <c r="AK2476">
        <v>0.33333000000000002</v>
      </c>
      <c r="AL2476">
        <v>12</v>
      </c>
      <c r="AM2476">
        <v>11</v>
      </c>
      <c r="AN2476">
        <v>45</v>
      </c>
      <c r="AO2476">
        <v>34</v>
      </c>
      <c r="AP2476">
        <v>56</v>
      </c>
      <c r="AQ2476">
        <v>13</v>
      </c>
      <c r="AR2476" t="s">
        <v>17801</v>
      </c>
      <c r="AS2476" t="s">
        <v>17802</v>
      </c>
      <c r="AT2476">
        <v>3.113</v>
      </c>
      <c r="AU2476" t="s">
        <v>267</v>
      </c>
      <c r="AV2476">
        <v>101</v>
      </c>
      <c r="AW2476">
        <v>47</v>
      </c>
      <c r="AX2476" t="s">
        <v>17803</v>
      </c>
      <c r="AY2476">
        <v>5.4629999999999998E-2</v>
      </c>
      <c r="AZ2476">
        <v>-2.2100000000000002E-3</v>
      </c>
      <c r="BA2476">
        <v>6.2500000000000003E-3</v>
      </c>
      <c r="BB2476">
        <v>-1.9000000000000001E-4</v>
      </c>
      <c r="BC2476">
        <v>0.11445</v>
      </c>
      <c r="BD2476">
        <v>1</v>
      </c>
      <c r="BE2476" t="s">
        <v>69</v>
      </c>
      <c r="BF2476">
        <v>-0.46200000000000002</v>
      </c>
      <c r="BG2476">
        <v>-0.70299999999999996</v>
      </c>
    </row>
    <row r="2477" spans="1:59">
      <c r="A2477">
        <v>0</v>
      </c>
      <c r="B2477">
        <v>8</v>
      </c>
      <c r="C2477">
        <v>2</v>
      </c>
      <c r="D2477" t="s">
        <v>25022</v>
      </c>
      <c r="E2477">
        <v>3074</v>
      </c>
      <c r="F2477" t="s">
        <v>17806</v>
      </c>
      <c r="G2477" t="s">
        <v>62</v>
      </c>
      <c r="H2477">
        <v>3023680</v>
      </c>
      <c r="I2477">
        <v>3025266</v>
      </c>
      <c r="J2477" t="s">
        <v>17807</v>
      </c>
      <c r="K2477">
        <v>529</v>
      </c>
      <c r="L2477" t="s">
        <v>108</v>
      </c>
      <c r="M2477">
        <v>44</v>
      </c>
      <c r="N2477" t="str">
        <f>HYPERLINK("Gene3074-zp_tree_all.dnd", "Gene3074-tree")</f>
        <v>Gene3074-tree</v>
      </c>
      <c r="O2477">
        <v>4</v>
      </c>
      <c r="P2477">
        <v>12</v>
      </c>
      <c r="Q2477">
        <v>4</v>
      </c>
      <c r="R2477">
        <v>12</v>
      </c>
      <c r="S2477">
        <v>0.75</v>
      </c>
      <c r="T2477" t="s">
        <v>61</v>
      </c>
      <c r="U2477" t="s">
        <v>109</v>
      </c>
      <c r="V2477" t="s">
        <v>62</v>
      </c>
      <c r="W2477" t="s">
        <v>62</v>
      </c>
      <c r="X2477">
        <v>4</v>
      </c>
      <c r="Y2477">
        <v>10</v>
      </c>
      <c r="Z2477">
        <v>13</v>
      </c>
      <c r="AA2477">
        <v>0.43478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6</v>
      </c>
      <c r="AH2477">
        <v>0</v>
      </c>
      <c r="AI2477">
        <v>6</v>
      </c>
      <c r="AJ2477">
        <v>11</v>
      </c>
      <c r="AK2477">
        <v>0.35293999999999998</v>
      </c>
      <c r="AL2477">
        <v>14</v>
      </c>
      <c r="AM2477">
        <v>12</v>
      </c>
      <c r="AN2477">
        <v>58</v>
      </c>
      <c r="AO2477">
        <v>16</v>
      </c>
      <c r="AP2477">
        <v>28</v>
      </c>
      <c r="AQ2477">
        <v>7</v>
      </c>
      <c r="AR2477" t="s">
        <v>17808</v>
      </c>
      <c r="AS2477" t="s">
        <v>17809</v>
      </c>
      <c r="AT2477">
        <v>0.14499999999999999</v>
      </c>
      <c r="AU2477" t="s">
        <v>65</v>
      </c>
      <c r="AV2477">
        <v>86</v>
      </c>
      <c r="AW2477">
        <v>23</v>
      </c>
      <c r="AX2477" t="s">
        <v>17810</v>
      </c>
      <c r="AY2477">
        <v>3.7769999999999998E-2</v>
      </c>
      <c r="AZ2477">
        <v>-1.16E-3</v>
      </c>
      <c r="BA2477">
        <v>2.98E-3</v>
      </c>
      <c r="BB2477">
        <v>-1.2E-4</v>
      </c>
      <c r="BC2477">
        <v>7.8939999999999996E-2</v>
      </c>
      <c r="BD2477">
        <v>1</v>
      </c>
      <c r="BE2477" t="s">
        <v>69</v>
      </c>
      <c r="BF2477">
        <v>-0.99299999999999999</v>
      </c>
      <c r="BG2477">
        <v>-1.3420000000000001</v>
      </c>
    </row>
    <row r="2478" spans="1:59">
      <c r="A2478">
        <v>0</v>
      </c>
      <c r="B2478">
        <v>8</v>
      </c>
      <c r="C2478">
        <v>0</v>
      </c>
      <c r="D2478" t="s">
        <v>25022</v>
      </c>
      <c r="E2478">
        <v>3592</v>
      </c>
      <c r="F2478" t="s">
        <v>21086</v>
      </c>
      <c r="G2478" t="s">
        <v>62</v>
      </c>
      <c r="H2478">
        <v>3559982</v>
      </c>
      <c r="I2478">
        <v>3561571</v>
      </c>
      <c r="J2478" t="s">
        <v>21087</v>
      </c>
      <c r="K2478">
        <v>530</v>
      </c>
      <c r="L2478" t="s">
        <v>108</v>
      </c>
      <c r="M2478">
        <v>44</v>
      </c>
      <c r="N2478" t="str">
        <f>HYPERLINK("Gene3592-zp_tree_all.dnd", "Gene3592-tree")</f>
        <v>Gene3592-tree</v>
      </c>
      <c r="O2478">
        <v>27</v>
      </c>
      <c r="P2478">
        <v>7</v>
      </c>
      <c r="Q2478">
        <v>10</v>
      </c>
      <c r="R2478">
        <v>7</v>
      </c>
      <c r="S2478">
        <v>0.41176000000000001</v>
      </c>
      <c r="T2478" t="s">
        <v>2980</v>
      </c>
      <c r="U2478" t="s">
        <v>152</v>
      </c>
      <c r="V2478" t="s">
        <v>62</v>
      </c>
      <c r="W2478" t="s">
        <v>62</v>
      </c>
      <c r="X2478">
        <v>3</v>
      </c>
      <c r="Y2478">
        <v>8</v>
      </c>
      <c r="Z2478">
        <v>6</v>
      </c>
      <c r="AA2478">
        <v>0.57142999999999999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4</v>
      </c>
      <c r="AH2478">
        <v>0</v>
      </c>
      <c r="AI2478">
        <v>4</v>
      </c>
      <c r="AJ2478">
        <v>6</v>
      </c>
      <c r="AK2478">
        <v>0.4</v>
      </c>
      <c r="AL2478">
        <v>16</v>
      </c>
      <c r="AM2478">
        <v>13</v>
      </c>
      <c r="AN2478">
        <v>70</v>
      </c>
      <c r="AO2478">
        <v>8</v>
      </c>
      <c r="AP2478">
        <v>48</v>
      </c>
      <c r="AQ2478">
        <v>6</v>
      </c>
      <c r="AR2478" t="s">
        <v>21088</v>
      </c>
      <c r="AS2478" t="s">
        <v>21089</v>
      </c>
      <c r="AT2478">
        <v>9.4E-2</v>
      </c>
      <c r="AU2478" t="s">
        <v>65</v>
      </c>
      <c r="AV2478">
        <v>118</v>
      </c>
      <c r="AW2478">
        <v>14</v>
      </c>
      <c r="AX2478" t="s">
        <v>21090</v>
      </c>
      <c r="AY2478">
        <v>5.3179999999999998E-2</v>
      </c>
      <c r="AZ2478">
        <v>-2.5500000000000002E-3</v>
      </c>
      <c r="BA2478">
        <v>1.6999999999999999E-3</v>
      </c>
      <c r="BB2478">
        <v>-1E-4</v>
      </c>
      <c r="BC2478">
        <v>3.1940000000000003E-2</v>
      </c>
      <c r="BD2478">
        <v>1</v>
      </c>
      <c r="BE2478" t="s">
        <v>69</v>
      </c>
      <c r="BF2478">
        <v>-0.91200000000000003</v>
      </c>
      <c r="BG2478">
        <v>-0.57099999999999995</v>
      </c>
    </row>
    <row r="2479" spans="1:59">
      <c r="A2479">
        <v>0</v>
      </c>
      <c r="B2479">
        <v>18</v>
      </c>
      <c r="C2479">
        <v>2</v>
      </c>
      <c r="D2479" t="s">
        <v>25022</v>
      </c>
      <c r="E2479">
        <v>2903</v>
      </c>
      <c r="F2479" t="s">
        <v>16711</v>
      </c>
      <c r="G2479" t="s">
        <v>62</v>
      </c>
      <c r="H2479">
        <v>2847874</v>
      </c>
      <c r="I2479">
        <v>2849466</v>
      </c>
      <c r="J2479" t="s">
        <v>16712</v>
      </c>
      <c r="K2479">
        <v>531</v>
      </c>
      <c r="L2479" t="s">
        <v>108</v>
      </c>
      <c r="M2479">
        <v>44</v>
      </c>
      <c r="N2479" t="str">
        <f>HYPERLINK("Gene2903-zp_tree_all.dnd", "Gene2903-tree")</f>
        <v>Gene2903-tree</v>
      </c>
      <c r="O2479">
        <v>2</v>
      </c>
      <c r="P2479">
        <v>11</v>
      </c>
      <c r="Q2479">
        <v>2</v>
      </c>
      <c r="R2479">
        <v>11</v>
      </c>
      <c r="S2479">
        <v>0.84614999999999996</v>
      </c>
      <c r="T2479" t="s">
        <v>81</v>
      </c>
      <c r="U2479" t="s">
        <v>73</v>
      </c>
      <c r="V2479">
        <v>515075683.63</v>
      </c>
      <c r="W2479" t="s">
        <v>267</v>
      </c>
      <c r="X2479">
        <v>7</v>
      </c>
      <c r="Y2479">
        <v>20</v>
      </c>
      <c r="Z2479">
        <v>43</v>
      </c>
      <c r="AA2479">
        <v>0.31746000000000002</v>
      </c>
      <c r="AB2479">
        <v>0</v>
      </c>
      <c r="AC2479">
        <v>0</v>
      </c>
      <c r="AD2479">
        <v>0</v>
      </c>
      <c r="AE2479">
        <v>3</v>
      </c>
      <c r="AF2479">
        <v>0</v>
      </c>
      <c r="AG2479">
        <v>5</v>
      </c>
      <c r="AH2479">
        <v>2</v>
      </c>
      <c r="AI2479">
        <v>7</v>
      </c>
      <c r="AJ2479">
        <v>37</v>
      </c>
      <c r="AK2479">
        <v>0.15909000000000001</v>
      </c>
      <c r="AL2479">
        <v>11</v>
      </c>
      <c r="AM2479">
        <v>10</v>
      </c>
      <c r="AN2479">
        <v>38</v>
      </c>
      <c r="AO2479">
        <v>44</v>
      </c>
      <c r="AP2479">
        <v>16</v>
      </c>
      <c r="AQ2479">
        <v>19</v>
      </c>
      <c r="AR2479" t="s">
        <v>16713</v>
      </c>
      <c r="AS2479" t="s">
        <v>16714</v>
      </c>
      <c r="AT2479">
        <v>3.9E-2</v>
      </c>
      <c r="AU2479" t="s">
        <v>65</v>
      </c>
      <c r="AV2479">
        <v>54</v>
      </c>
      <c r="AW2479">
        <v>63</v>
      </c>
      <c r="AX2479" t="s">
        <v>16715</v>
      </c>
      <c r="AY2479">
        <v>2.7109999999999999E-2</v>
      </c>
      <c r="AZ2479">
        <v>-1.65E-3</v>
      </c>
      <c r="BA2479">
        <v>9.6500000000000006E-3</v>
      </c>
      <c r="BB2479">
        <v>-5.8E-4</v>
      </c>
      <c r="BC2479">
        <v>0.35577999999999999</v>
      </c>
      <c r="BD2479">
        <v>1</v>
      </c>
      <c r="BE2479" t="s">
        <v>69</v>
      </c>
      <c r="BF2479">
        <v>-1.45</v>
      </c>
      <c r="BG2479">
        <v>-2.7360000000000002</v>
      </c>
    </row>
    <row r="2480" spans="1:59">
      <c r="A2480">
        <v>4</v>
      </c>
      <c r="B2480">
        <v>32</v>
      </c>
      <c r="C2480">
        <v>3</v>
      </c>
      <c r="D2480" t="s">
        <v>25022</v>
      </c>
      <c r="E2480">
        <v>57</v>
      </c>
      <c r="F2480" t="s">
        <v>469</v>
      </c>
      <c r="G2480" t="s">
        <v>57</v>
      </c>
      <c r="H2480">
        <v>64817</v>
      </c>
      <c r="I2480">
        <v>66412</v>
      </c>
      <c r="J2480" t="s">
        <v>470</v>
      </c>
      <c r="K2480">
        <v>532</v>
      </c>
      <c r="L2480" t="s">
        <v>108</v>
      </c>
      <c r="M2480">
        <v>44</v>
      </c>
      <c r="N2480" t="str">
        <f>HYPERLINK("Gene57-zp_tree_all.dnd", "Gene57-tree")</f>
        <v>Gene57-tree</v>
      </c>
      <c r="O2480">
        <v>0</v>
      </c>
      <c r="P2480">
        <v>16</v>
      </c>
      <c r="Q2480">
        <v>0</v>
      </c>
      <c r="R2480">
        <v>16</v>
      </c>
      <c r="S2480">
        <v>1</v>
      </c>
      <c r="T2480" t="s">
        <v>62</v>
      </c>
      <c r="U2480" t="s">
        <v>60</v>
      </c>
      <c r="V2480" t="s">
        <v>62</v>
      </c>
      <c r="W2480" t="s">
        <v>62</v>
      </c>
      <c r="X2480">
        <v>13</v>
      </c>
      <c r="Y2480">
        <v>39</v>
      </c>
      <c r="Z2480">
        <v>20</v>
      </c>
      <c r="AA2480">
        <v>0.66102000000000005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8</v>
      </c>
      <c r="AH2480">
        <v>6</v>
      </c>
      <c r="AI2480">
        <v>14</v>
      </c>
      <c r="AJ2480">
        <v>25</v>
      </c>
      <c r="AK2480">
        <v>0.35897000000000001</v>
      </c>
      <c r="AL2480">
        <v>15</v>
      </c>
      <c r="AM2480">
        <v>13</v>
      </c>
      <c r="AN2480">
        <v>94</v>
      </c>
      <c r="AO2480">
        <v>38</v>
      </c>
      <c r="AP2480">
        <v>54</v>
      </c>
      <c r="AQ2480">
        <v>21</v>
      </c>
      <c r="AR2480" t="s">
        <v>471</v>
      </c>
      <c r="AS2480" t="s">
        <v>472</v>
      </c>
      <c r="AT2480">
        <v>7.8E-2</v>
      </c>
      <c r="AU2480" t="s">
        <v>65</v>
      </c>
      <c r="AV2480">
        <v>148</v>
      </c>
      <c r="AW2480">
        <v>59</v>
      </c>
      <c r="AX2480" t="s">
        <v>473</v>
      </c>
      <c r="AY2480">
        <v>6.0299999999999999E-2</v>
      </c>
      <c r="AZ2480">
        <v>-1.99E-3</v>
      </c>
      <c r="BA2480">
        <v>7.11E-3</v>
      </c>
      <c r="BB2480">
        <v>-2.0000000000000001E-4</v>
      </c>
      <c r="BC2480">
        <v>0.11794</v>
      </c>
      <c r="BD2480">
        <v>1</v>
      </c>
      <c r="BE2480" t="s">
        <v>69</v>
      </c>
      <c r="BF2480">
        <v>-0.57799999999999996</v>
      </c>
      <c r="BG2480">
        <v>-1.218</v>
      </c>
    </row>
    <row r="2481" spans="1:59">
      <c r="A2481">
        <v>0</v>
      </c>
      <c r="B2481">
        <v>6</v>
      </c>
      <c r="C2481">
        <v>0</v>
      </c>
      <c r="D2481" t="s">
        <v>25022</v>
      </c>
      <c r="E2481">
        <v>936</v>
      </c>
      <c r="F2481" t="s">
        <v>5862</v>
      </c>
      <c r="G2481" t="s">
        <v>57</v>
      </c>
      <c r="H2481">
        <v>977775</v>
      </c>
      <c r="I2481">
        <v>979370</v>
      </c>
      <c r="J2481" t="s">
        <v>5863</v>
      </c>
      <c r="K2481">
        <v>532</v>
      </c>
      <c r="L2481" t="s">
        <v>108</v>
      </c>
      <c r="M2481">
        <v>44</v>
      </c>
      <c r="N2481" t="str">
        <f>HYPERLINK("Gene936-zp_tree_all.dnd", "Gene936-tree")</f>
        <v>Gene936-tree</v>
      </c>
      <c r="O2481">
        <v>11</v>
      </c>
      <c r="P2481">
        <v>2</v>
      </c>
      <c r="Q2481">
        <v>11</v>
      </c>
      <c r="R2481">
        <v>2</v>
      </c>
      <c r="S2481">
        <v>0.15384999999999999</v>
      </c>
      <c r="T2481" t="s">
        <v>73</v>
      </c>
      <c r="U2481" t="s">
        <v>81</v>
      </c>
      <c r="V2481" t="s">
        <v>62</v>
      </c>
      <c r="W2481" t="s">
        <v>62</v>
      </c>
      <c r="X2481">
        <v>3</v>
      </c>
      <c r="Y2481">
        <v>6</v>
      </c>
      <c r="Z2481">
        <v>5</v>
      </c>
      <c r="AA2481">
        <v>0.54544999999999999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</v>
      </c>
      <c r="AK2481">
        <v>0</v>
      </c>
      <c r="AL2481">
        <v>8</v>
      </c>
      <c r="AM2481">
        <v>9</v>
      </c>
      <c r="AN2481">
        <v>38</v>
      </c>
      <c r="AO2481">
        <v>6</v>
      </c>
      <c r="AP2481">
        <v>47</v>
      </c>
      <c r="AQ2481">
        <v>5</v>
      </c>
      <c r="AR2481" t="s">
        <v>5864</v>
      </c>
      <c r="AS2481" t="s">
        <v>5865</v>
      </c>
      <c r="AT2481">
        <v>0.11899999999999999</v>
      </c>
      <c r="AU2481" t="s">
        <v>65</v>
      </c>
      <c r="AV2481">
        <v>85</v>
      </c>
      <c r="AW2481">
        <v>11</v>
      </c>
      <c r="AX2481" t="s">
        <v>5866</v>
      </c>
      <c r="AY2481">
        <v>5.1180000000000003E-2</v>
      </c>
      <c r="AZ2481">
        <v>-4.1200000000000004E-3</v>
      </c>
      <c r="BA2481">
        <v>1.81E-3</v>
      </c>
      <c r="BB2481">
        <v>-2.7E-4</v>
      </c>
      <c r="BC2481">
        <v>3.5319999999999997E-2</v>
      </c>
      <c r="BD2481">
        <v>1</v>
      </c>
      <c r="BE2481" t="s">
        <v>69</v>
      </c>
      <c r="BF2481">
        <v>-1.2010000000000001</v>
      </c>
      <c r="BG2481">
        <v>-1.1040000000000001</v>
      </c>
    </row>
    <row r="2482" spans="1:59">
      <c r="A2482">
        <v>0</v>
      </c>
      <c r="B2482">
        <v>11</v>
      </c>
      <c r="C2482">
        <v>0</v>
      </c>
      <c r="D2482" t="s">
        <v>25022</v>
      </c>
      <c r="E2482">
        <v>1822</v>
      </c>
      <c r="F2482" t="s">
        <v>11417</v>
      </c>
      <c r="G2482" t="s">
        <v>57</v>
      </c>
      <c r="H2482">
        <v>1888774</v>
      </c>
      <c r="I2482">
        <v>1890372</v>
      </c>
      <c r="J2482" t="s">
        <v>11418</v>
      </c>
      <c r="K2482">
        <v>533</v>
      </c>
      <c r="L2482" t="s">
        <v>108</v>
      </c>
      <c r="M2482">
        <v>44</v>
      </c>
      <c r="N2482" t="str">
        <f>HYPERLINK("Gene1822-zp_tree_all.dnd", "Gene1822-tree")</f>
        <v>Gene1822-tree</v>
      </c>
      <c r="O2482">
        <v>6</v>
      </c>
      <c r="P2482">
        <v>8</v>
      </c>
      <c r="Q2482">
        <v>6</v>
      </c>
      <c r="R2482">
        <v>8</v>
      </c>
      <c r="S2482">
        <v>0.57142999999999999</v>
      </c>
      <c r="T2482" t="s">
        <v>90</v>
      </c>
      <c r="U2482" t="s">
        <v>136</v>
      </c>
      <c r="V2482" t="s">
        <v>62</v>
      </c>
      <c r="W2482" t="s">
        <v>62</v>
      </c>
      <c r="X2482">
        <v>4</v>
      </c>
      <c r="Y2482">
        <v>11</v>
      </c>
      <c r="Z2482">
        <v>21</v>
      </c>
      <c r="AA2482">
        <v>0.34375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2</v>
      </c>
      <c r="AH2482">
        <v>0</v>
      </c>
      <c r="AI2482">
        <v>2</v>
      </c>
      <c r="AJ2482">
        <v>21</v>
      </c>
      <c r="AK2482">
        <v>8.6959999999999996E-2</v>
      </c>
      <c r="AL2482">
        <v>13</v>
      </c>
      <c r="AM2482">
        <v>10</v>
      </c>
      <c r="AN2482">
        <v>47</v>
      </c>
      <c r="AO2482">
        <v>23</v>
      </c>
      <c r="AP2482">
        <v>29</v>
      </c>
      <c r="AQ2482">
        <v>9</v>
      </c>
      <c r="AR2482" t="s">
        <v>11419</v>
      </c>
      <c r="AS2482" t="s">
        <v>11420</v>
      </c>
      <c r="AT2482">
        <v>0.79800000000000004</v>
      </c>
      <c r="AU2482" t="s">
        <v>65</v>
      </c>
      <c r="AV2482">
        <v>76</v>
      </c>
      <c r="AW2482">
        <v>32</v>
      </c>
      <c r="AX2482" t="s">
        <v>11421</v>
      </c>
      <c r="AY2482">
        <v>4.1660000000000003E-2</v>
      </c>
      <c r="AZ2482">
        <v>-1.8400000000000001E-3</v>
      </c>
      <c r="BA2482">
        <v>4.1999999999999997E-3</v>
      </c>
      <c r="BB2482">
        <v>-2.2000000000000001E-4</v>
      </c>
      <c r="BC2482">
        <v>0.10076</v>
      </c>
      <c r="BD2482">
        <v>1</v>
      </c>
      <c r="BE2482" t="s">
        <v>69</v>
      </c>
      <c r="BF2482">
        <v>-0.42799999999999999</v>
      </c>
      <c r="BG2482">
        <v>-1.327</v>
      </c>
    </row>
    <row r="2483" spans="1:59">
      <c r="A2483">
        <v>0</v>
      </c>
      <c r="B2483">
        <v>10</v>
      </c>
      <c r="C2483">
        <v>0</v>
      </c>
      <c r="D2483" t="s">
        <v>25022</v>
      </c>
      <c r="E2483">
        <v>453</v>
      </c>
      <c r="F2483" t="s">
        <v>3073</v>
      </c>
      <c r="G2483" t="s">
        <v>57</v>
      </c>
      <c r="H2483">
        <v>497768</v>
      </c>
      <c r="I2483">
        <v>499372</v>
      </c>
      <c r="J2483" t="s">
        <v>3074</v>
      </c>
      <c r="K2483">
        <v>535</v>
      </c>
      <c r="L2483" t="s">
        <v>108</v>
      </c>
      <c r="M2483">
        <v>44</v>
      </c>
      <c r="N2483" t="str">
        <f>HYPERLINK("Gene453-zp_tree_all.dnd", "Gene453-tree")</f>
        <v>Gene453-tree</v>
      </c>
      <c r="O2483">
        <v>7</v>
      </c>
      <c r="P2483">
        <v>8</v>
      </c>
      <c r="Q2483">
        <v>7</v>
      </c>
      <c r="R2483">
        <v>8</v>
      </c>
      <c r="S2483">
        <v>0.53332999999999997</v>
      </c>
      <c r="T2483" t="s">
        <v>152</v>
      </c>
      <c r="U2483" t="s">
        <v>136</v>
      </c>
      <c r="V2483" t="s">
        <v>62</v>
      </c>
      <c r="W2483" t="s">
        <v>62</v>
      </c>
      <c r="X2483">
        <v>4</v>
      </c>
      <c r="Y2483">
        <v>10</v>
      </c>
      <c r="Z2483">
        <v>10</v>
      </c>
      <c r="AA2483">
        <v>0.5</v>
      </c>
      <c r="AB2483">
        <v>0</v>
      </c>
      <c r="AC2483">
        <v>0</v>
      </c>
      <c r="AD2483">
        <v>0</v>
      </c>
      <c r="AE2483">
        <v>2</v>
      </c>
      <c r="AF2483">
        <v>0</v>
      </c>
      <c r="AG2483">
        <v>5</v>
      </c>
      <c r="AH2483">
        <v>0</v>
      </c>
      <c r="AI2483">
        <v>5</v>
      </c>
      <c r="AJ2483">
        <v>11</v>
      </c>
      <c r="AK2483">
        <v>0.3125</v>
      </c>
      <c r="AL2483">
        <v>13</v>
      </c>
      <c r="AM2483">
        <v>11</v>
      </c>
      <c r="AN2483">
        <v>53</v>
      </c>
      <c r="AO2483">
        <v>16</v>
      </c>
      <c r="AP2483">
        <v>37</v>
      </c>
      <c r="AQ2483">
        <v>4</v>
      </c>
      <c r="AR2483" t="s">
        <v>3075</v>
      </c>
      <c r="AS2483" t="s">
        <v>3076</v>
      </c>
      <c r="AT2483">
        <v>1.6379999999999999</v>
      </c>
      <c r="AU2483" t="s">
        <v>65</v>
      </c>
      <c r="AV2483">
        <v>90</v>
      </c>
      <c r="AW2483">
        <v>20</v>
      </c>
      <c r="AX2483" t="s">
        <v>3077</v>
      </c>
      <c r="AY2483">
        <v>4.0770000000000001E-2</v>
      </c>
      <c r="AZ2483">
        <v>-1.1299999999999999E-3</v>
      </c>
      <c r="BA2483">
        <v>2.49E-3</v>
      </c>
      <c r="BB2483">
        <v>-1.1E-4</v>
      </c>
      <c r="BC2483">
        <v>6.1019999999999998E-2</v>
      </c>
      <c r="BD2483">
        <v>1</v>
      </c>
      <c r="BE2483" t="s">
        <v>69</v>
      </c>
      <c r="BF2483">
        <v>4.1000000000000002E-2</v>
      </c>
      <c r="BG2483">
        <v>-6.5000000000000002E-2</v>
      </c>
    </row>
    <row r="2484" spans="1:59">
      <c r="A2484">
        <v>0</v>
      </c>
      <c r="B2484">
        <v>0</v>
      </c>
      <c r="C2484">
        <v>2</v>
      </c>
      <c r="D2484" t="s">
        <v>25022</v>
      </c>
      <c r="E2484">
        <v>3851</v>
      </c>
      <c r="F2484" t="s">
        <v>22570</v>
      </c>
      <c r="G2484" t="s">
        <v>62</v>
      </c>
      <c r="H2484">
        <v>3810696</v>
      </c>
      <c r="I2484">
        <v>3812300</v>
      </c>
      <c r="J2484" t="s">
        <v>22571</v>
      </c>
      <c r="K2484">
        <v>535</v>
      </c>
      <c r="L2484" t="s">
        <v>289</v>
      </c>
      <c r="M2484">
        <v>46</v>
      </c>
      <c r="N2484" t="str">
        <f>HYPERLINK("Gene3851-zp_tree_all.dnd", "Gene3851-tree")</f>
        <v>Gene3851-tree</v>
      </c>
      <c r="O2484">
        <v>14</v>
      </c>
      <c r="P2484">
        <v>3</v>
      </c>
      <c r="Q2484">
        <v>14</v>
      </c>
      <c r="R2484">
        <v>3</v>
      </c>
      <c r="S2484">
        <v>0.17646999999999999</v>
      </c>
      <c r="T2484" t="s">
        <v>543</v>
      </c>
      <c r="U2484" t="s">
        <v>324</v>
      </c>
      <c r="V2484" t="s">
        <v>62</v>
      </c>
      <c r="W2484" t="s">
        <v>62</v>
      </c>
      <c r="X2484">
        <v>1</v>
      </c>
      <c r="Y2484">
        <v>2</v>
      </c>
      <c r="Z2484">
        <v>7</v>
      </c>
      <c r="AA2484">
        <v>0.22222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3</v>
      </c>
      <c r="AK2484">
        <v>0</v>
      </c>
      <c r="AL2484">
        <v>15</v>
      </c>
      <c r="AM2484">
        <v>13</v>
      </c>
      <c r="AN2484">
        <v>58</v>
      </c>
      <c r="AO2484">
        <v>3</v>
      </c>
      <c r="AP2484">
        <v>82</v>
      </c>
      <c r="AQ2484">
        <v>7</v>
      </c>
      <c r="AR2484" t="s">
        <v>22572</v>
      </c>
      <c r="AS2484" t="s">
        <v>22573</v>
      </c>
      <c r="AT2484">
        <v>0.10100000000000001</v>
      </c>
      <c r="AU2484" t="s">
        <v>65</v>
      </c>
      <c r="AV2484">
        <v>140</v>
      </c>
      <c r="AW2484">
        <v>10</v>
      </c>
      <c r="AX2484" t="s">
        <v>22574</v>
      </c>
      <c r="AY2484">
        <v>6.8750000000000006E-2</v>
      </c>
      <c r="AZ2484">
        <v>-5.1500000000000001E-3</v>
      </c>
      <c r="BA2484">
        <v>1.56E-3</v>
      </c>
      <c r="BB2484">
        <v>-2.1000000000000001E-4</v>
      </c>
      <c r="BC2484">
        <v>2.2620000000000001E-2</v>
      </c>
      <c r="BD2484">
        <v>1</v>
      </c>
      <c r="BE2484" t="s">
        <v>69</v>
      </c>
      <c r="BF2484">
        <v>-1.659</v>
      </c>
      <c r="BG2484">
        <v>-0.98699999999999999</v>
      </c>
    </row>
    <row r="2485" spans="1:59">
      <c r="A2485">
        <v>0</v>
      </c>
      <c r="B2485">
        <v>2</v>
      </c>
      <c r="C2485">
        <v>4</v>
      </c>
      <c r="D2485" t="s">
        <v>25022</v>
      </c>
      <c r="E2485">
        <v>1682</v>
      </c>
      <c r="F2485" t="s">
        <v>10537</v>
      </c>
      <c r="G2485" t="s">
        <v>57</v>
      </c>
      <c r="H2485">
        <v>1692496</v>
      </c>
      <c r="I2485">
        <v>1694103</v>
      </c>
      <c r="J2485" t="s">
        <v>10538</v>
      </c>
      <c r="K2485">
        <v>536</v>
      </c>
      <c r="L2485" t="s">
        <v>10539</v>
      </c>
      <c r="M2485">
        <v>43</v>
      </c>
      <c r="N2485" t="str">
        <f>HYPERLINK("Gene1682-zp_tree_all.dnd", "Gene1682-tree")</f>
        <v>Gene1682-tree</v>
      </c>
      <c r="O2485">
        <v>6</v>
      </c>
      <c r="P2485">
        <v>5</v>
      </c>
      <c r="Q2485">
        <v>6</v>
      </c>
      <c r="R2485">
        <v>5</v>
      </c>
      <c r="S2485">
        <v>0.45455000000000001</v>
      </c>
      <c r="T2485" t="s">
        <v>90</v>
      </c>
      <c r="U2485" t="s">
        <v>199</v>
      </c>
      <c r="V2485" t="s">
        <v>62</v>
      </c>
      <c r="W2485" t="s">
        <v>62</v>
      </c>
      <c r="X2485">
        <v>3</v>
      </c>
      <c r="Y2485">
        <v>6</v>
      </c>
      <c r="Z2485">
        <v>16</v>
      </c>
      <c r="AA2485">
        <v>0.27272999999999997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16</v>
      </c>
      <c r="AK2485">
        <v>0</v>
      </c>
      <c r="AL2485">
        <v>11</v>
      </c>
      <c r="AM2485">
        <v>7</v>
      </c>
      <c r="AN2485">
        <v>77</v>
      </c>
      <c r="AO2485">
        <v>16</v>
      </c>
      <c r="AP2485">
        <v>22</v>
      </c>
      <c r="AQ2485">
        <v>6</v>
      </c>
      <c r="AR2485" t="s">
        <v>10540</v>
      </c>
      <c r="AS2485" t="s">
        <v>10541</v>
      </c>
      <c r="AT2485">
        <v>0.14799999999999999</v>
      </c>
      <c r="AU2485" t="s">
        <v>65</v>
      </c>
      <c r="AV2485">
        <v>99</v>
      </c>
      <c r="AW2485">
        <v>22</v>
      </c>
      <c r="AX2485" t="s">
        <v>10542</v>
      </c>
      <c r="AY2485">
        <v>6.5159999999999996E-2</v>
      </c>
      <c r="AZ2485">
        <v>-7.2700000000000004E-3</v>
      </c>
      <c r="BA2485">
        <v>4.1599999999999996E-3</v>
      </c>
      <c r="BB2485">
        <v>-5.1000000000000004E-4</v>
      </c>
      <c r="BC2485">
        <v>6.3869999999999996E-2</v>
      </c>
      <c r="BD2485">
        <v>1</v>
      </c>
      <c r="BE2485" t="s">
        <v>69</v>
      </c>
      <c r="BF2485">
        <v>-1.395</v>
      </c>
      <c r="BG2485">
        <v>-3.53</v>
      </c>
    </row>
    <row r="2486" spans="1:59">
      <c r="A2486">
        <v>0</v>
      </c>
      <c r="B2486">
        <v>13</v>
      </c>
      <c r="C2486">
        <v>0</v>
      </c>
      <c r="D2486" t="s">
        <v>25022</v>
      </c>
      <c r="E2486">
        <v>294</v>
      </c>
      <c r="F2486" t="s">
        <v>2004</v>
      </c>
      <c r="G2486" t="s">
        <v>57</v>
      </c>
      <c r="H2486">
        <v>314883</v>
      </c>
      <c r="I2486">
        <v>316493</v>
      </c>
      <c r="J2486" t="s">
        <v>2005</v>
      </c>
      <c r="K2486">
        <v>537</v>
      </c>
      <c r="L2486" t="s">
        <v>108</v>
      </c>
      <c r="M2486">
        <v>44</v>
      </c>
      <c r="N2486" t="str">
        <f>HYPERLINK("Gene294-zp_tree_all.dnd", "Gene294-tree")</f>
        <v>Gene294-tree</v>
      </c>
      <c r="O2486">
        <v>4</v>
      </c>
      <c r="P2486">
        <v>11</v>
      </c>
      <c r="Q2486">
        <v>4</v>
      </c>
      <c r="R2486">
        <v>11</v>
      </c>
      <c r="S2486">
        <v>0.73333000000000004</v>
      </c>
      <c r="T2486" t="s">
        <v>61</v>
      </c>
      <c r="U2486" t="s">
        <v>73</v>
      </c>
      <c r="V2486">
        <v>200307210.301</v>
      </c>
      <c r="W2486" t="s">
        <v>267</v>
      </c>
      <c r="X2486">
        <v>5</v>
      </c>
      <c r="Y2486">
        <v>13</v>
      </c>
      <c r="Z2486">
        <v>12</v>
      </c>
      <c r="AA2486">
        <v>0.52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</v>
      </c>
      <c r="AH2486">
        <v>0</v>
      </c>
      <c r="AI2486">
        <v>2</v>
      </c>
      <c r="AJ2486">
        <v>13</v>
      </c>
      <c r="AK2486">
        <v>0.13333</v>
      </c>
      <c r="AL2486">
        <v>14</v>
      </c>
      <c r="AM2486">
        <v>12</v>
      </c>
      <c r="AN2486">
        <v>57</v>
      </c>
      <c r="AO2486">
        <v>15</v>
      </c>
      <c r="AP2486">
        <v>27</v>
      </c>
      <c r="AQ2486">
        <v>10</v>
      </c>
      <c r="AR2486" t="s">
        <v>2006</v>
      </c>
      <c r="AS2486" t="s">
        <v>2007</v>
      </c>
      <c r="AT2486">
        <v>0.71899999999999997</v>
      </c>
      <c r="AU2486" t="s">
        <v>65</v>
      </c>
      <c r="AV2486">
        <v>84</v>
      </c>
      <c r="AW2486">
        <v>25</v>
      </c>
      <c r="AX2486" t="s">
        <v>2008</v>
      </c>
      <c r="AY2486">
        <v>3.8019999999999998E-2</v>
      </c>
      <c r="AZ2486">
        <v>-1.1000000000000001E-3</v>
      </c>
      <c r="BA2486">
        <v>3.0500000000000002E-3</v>
      </c>
      <c r="BB2486">
        <v>-1.2E-4</v>
      </c>
      <c r="BC2486">
        <v>8.0180000000000001E-2</v>
      </c>
      <c r="BD2486">
        <v>1</v>
      </c>
      <c r="BE2486" t="s">
        <v>69</v>
      </c>
      <c r="BF2486">
        <v>-0.80300000000000005</v>
      </c>
      <c r="BG2486">
        <v>-0.43099999999999999</v>
      </c>
    </row>
    <row r="2487" spans="1:59">
      <c r="A2487">
        <v>0</v>
      </c>
      <c r="B2487">
        <v>16</v>
      </c>
      <c r="C2487">
        <v>0</v>
      </c>
      <c r="D2487" t="s">
        <v>25022</v>
      </c>
      <c r="E2487">
        <v>1145</v>
      </c>
      <c r="F2487" t="s">
        <v>7200</v>
      </c>
      <c r="G2487" t="s">
        <v>57</v>
      </c>
      <c r="H2487">
        <v>1186037</v>
      </c>
      <c r="I2487">
        <v>1187650</v>
      </c>
      <c r="J2487" t="s">
        <v>7201</v>
      </c>
      <c r="K2487">
        <v>538</v>
      </c>
      <c r="L2487" t="s">
        <v>7189</v>
      </c>
      <c r="M2487">
        <v>38</v>
      </c>
      <c r="N2487" t="str">
        <f>HYPERLINK("Gene1145-zp_tree_all.dnd", "Gene1145-tree")</f>
        <v>Gene1145-tree</v>
      </c>
      <c r="O2487">
        <v>2</v>
      </c>
      <c r="P2487">
        <v>12</v>
      </c>
      <c r="Q2487">
        <v>2</v>
      </c>
      <c r="R2487">
        <v>12</v>
      </c>
      <c r="S2487">
        <v>0.85714000000000001</v>
      </c>
      <c r="T2487" t="s">
        <v>81</v>
      </c>
      <c r="U2487" t="s">
        <v>109</v>
      </c>
      <c r="V2487" t="s">
        <v>62</v>
      </c>
      <c r="W2487" t="s">
        <v>62</v>
      </c>
      <c r="X2487">
        <v>7</v>
      </c>
      <c r="Y2487">
        <v>16</v>
      </c>
      <c r="Z2487">
        <v>26</v>
      </c>
      <c r="AA2487">
        <v>0.38095000000000001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6</v>
      </c>
      <c r="AH2487">
        <v>0</v>
      </c>
      <c r="AI2487">
        <v>6</v>
      </c>
      <c r="AJ2487">
        <v>23</v>
      </c>
      <c r="AK2487">
        <v>0.2069</v>
      </c>
      <c r="AL2487">
        <v>12</v>
      </c>
      <c r="AM2487">
        <v>11</v>
      </c>
      <c r="AN2487">
        <v>22</v>
      </c>
      <c r="AO2487">
        <v>22</v>
      </c>
      <c r="AP2487">
        <v>22</v>
      </c>
      <c r="AQ2487">
        <v>20</v>
      </c>
      <c r="AR2487" t="s">
        <v>7202</v>
      </c>
      <c r="AS2487" t="s">
        <v>7203</v>
      </c>
      <c r="AT2487">
        <v>0.18</v>
      </c>
      <c r="AU2487" t="s">
        <v>65</v>
      </c>
      <c r="AV2487">
        <v>44</v>
      </c>
      <c r="AW2487">
        <v>42</v>
      </c>
      <c r="AX2487" t="s">
        <v>7204</v>
      </c>
      <c r="AY2487">
        <v>2.4E-2</v>
      </c>
      <c r="AZ2487">
        <v>-9.3999999999999997E-4</v>
      </c>
      <c r="BA2487">
        <v>7.3400000000000002E-3</v>
      </c>
      <c r="BB2487">
        <v>-2.7E-4</v>
      </c>
      <c r="BC2487">
        <v>0.30565999999999999</v>
      </c>
      <c r="BD2487">
        <v>1</v>
      </c>
      <c r="BE2487" t="s">
        <v>69</v>
      </c>
      <c r="BF2487">
        <v>-0.82</v>
      </c>
      <c r="BG2487">
        <v>-0.46600000000000003</v>
      </c>
    </row>
    <row r="2488" spans="1:59">
      <c r="A2488">
        <v>0</v>
      </c>
      <c r="B2488">
        <v>2</v>
      </c>
      <c r="C2488">
        <v>4</v>
      </c>
      <c r="D2488" t="s">
        <v>25022</v>
      </c>
      <c r="E2488">
        <v>1573</v>
      </c>
      <c r="F2488" t="s">
        <v>9831</v>
      </c>
      <c r="G2488" t="s">
        <v>57</v>
      </c>
      <c r="H2488">
        <v>1578376</v>
      </c>
      <c r="I2488">
        <v>1579992</v>
      </c>
      <c r="J2488" t="s">
        <v>9832</v>
      </c>
      <c r="K2488">
        <v>539</v>
      </c>
      <c r="L2488" t="s">
        <v>108</v>
      </c>
      <c r="M2488">
        <v>44</v>
      </c>
      <c r="N2488" t="str">
        <f>HYPERLINK("Gene1573-zp_tree_all.dnd", "Gene1573-tree")</f>
        <v>Gene1573-tree</v>
      </c>
      <c r="O2488">
        <v>2</v>
      </c>
      <c r="P2488">
        <v>10</v>
      </c>
      <c r="Q2488">
        <v>2</v>
      </c>
      <c r="R2488">
        <v>10</v>
      </c>
      <c r="S2488">
        <v>0.83333000000000002</v>
      </c>
      <c r="T2488" t="s">
        <v>81</v>
      </c>
      <c r="U2488" t="s">
        <v>117</v>
      </c>
      <c r="V2488" t="s">
        <v>62</v>
      </c>
      <c r="W2488" t="s">
        <v>62</v>
      </c>
      <c r="X2488">
        <v>3</v>
      </c>
      <c r="Y2488">
        <v>6</v>
      </c>
      <c r="Z2488">
        <v>20</v>
      </c>
      <c r="AA2488">
        <v>0.23077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4</v>
      </c>
      <c r="AJ2488">
        <v>19</v>
      </c>
      <c r="AK2488">
        <v>0.17391000000000001</v>
      </c>
      <c r="AL2488">
        <v>12</v>
      </c>
      <c r="AM2488">
        <v>8</v>
      </c>
      <c r="AN2488">
        <v>45</v>
      </c>
      <c r="AO2488">
        <v>23</v>
      </c>
      <c r="AP2488">
        <v>21</v>
      </c>
      <c r="AQ2488">
        <v>3</v>
      </c>
      <c r="AR2488" t="s">
        <v>9833</v>
      </c>
      <c r="AS2488" t="s">
        <v>9834</v>
      </c>
      <c r="AT2488">
        <v>1.5589999999999999</v>
      </c>
      <c r="AU2488" t="s">
        <v>65</v>
      </c>
      <c r="AV2488">
        <v>66</v>
      </c>
      <c r="AW2488">
        <v>26</v>
      </c>
      <c r="AX2488" t="s">
        <v>9835</v>
      </c>
      <c r="AY2488">
        <v>3.891E-2</v>
      </c>
      <c r="AZ2488">
        <v>-2E-3</v>
      </c>
      <c r="BA2488">
        <v>3.9699999999999996E-3</v>
      </c>
      <c r="BB2488">
        <v>-2.1000000000000001E-4</v>
      </c>
      <c r="BC2488">
        <v>0.10206</v>
      </c>
      <c r="BD2488">
        <v>1</v>
      </c>
      <c r="BE2488" t="s">
        <v>69</v>
      </c>
      <c r="BF2488">
        <v>-0.96</v>
      </c>
      <c r="BG2488">
        <v>-1.7569999999999999</v>
      </c>
    </row>
    <row r="2489" spans="1:59">
      <c r="A2489">
        <v>0</v>
      </c>
      <c r="B2489">
        <v>8</v>
      </c>
      <c r="C2489">
        <v>0</v>
      </c>
      <c r="D2489" t="s">
        <v>25022</v>
      </c>
      <c r="E2489">
        <v>3316</v>
      </c>
      <c r="F2489" t="s">
        <v>19354</v>
      </c>
      <c r="G2489" t="s">
        <v>62</v>
      </c>
      <c r="H2489">
        <v>3288644</v>
      </c>
      <c r="I2489">
        <v>3290260</v>
      </c>
      <c r="J2489" t="s">
        <v>19355</v>
      </c>
      <c r="K2489">
        <v>539</v>
      </c>
      <c r="L2489" t="s">
        <v>108</v>
      </c>
      <c r="M2489">
        <v>44</v>
      </c>
      <c r="N2489" t="str">
        <f>HYPERLINK("Gene3316-zp_tree_all.dnd", "Gene3316-tree")</f>
        <v>Gene3316-tree</v>
      </c>
      <c r="O2489">
        <v>2</v>
      </c>
      <c r="P2489">
        <v>30</v>
      </c>
      <c r="Q2489">
        <v>2</v>
      </c>
      <c r="R2489">
        <v>13</v>
      </c>
      <c r="S2489">
        <v>0.86667000000000005</v>
      </c>
      <c r="T2489" t="s">
        <v>81</v>
      </c>
      <c r="U2489" t="s">
        <v>2704</v>
      </c>
      <c r="V2489">
        <v>1.25</v>
      </c>
      <c r="W2489" t="s">
        <v>65</v>
      </c>
      <c r="X2489">
        <v>4</v>
      </c>
      <c r="Y2489">
        <v>8</v>
      </c>
      <c r="Z2489">
        <v>20</v>
      </c>
      <c r="AA2489">
        <v>0.28571000000000002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4</v>
      </c>
      <c r="AH2489">
        <v>0</v>
      </c>
      <c r="AI2489">
        <v>4</v>
      </c>
      <c r="AJ2489">
        <v>18</v>
      </c>
      <c r="AK2489">
        <v>0.18182000000000001</v>
      </c>
      <c r="AL2489">
        <v>14</v>
      </c>
      <c r="AM2489">
        <v>12</v>
      </c>
      <c r="AN2489">
        <v>72</v>
      </c>
      <c r="AO2489">
        <v>21</v>
      </c>
      <c r="AP2489">
        <v>64</v>
      </c>
      <c r="AQ2489">
        <v>7</v>
      </c>
      <c r="AR2489" t="s">
        <v>19356</v>
      </c>
      <c r="AS2489" t="s">
        <v>19357</v>
      </c>
      <c r="AT2489">
        <v>1.375</v>
      </c>
      <c r="AU2489" t="s">
        <v>65</v>
      </c>
      <c r="AV2489">
        <v>136</v>
      </c>
      <c r="AW2489">
        <v>28</v>
      </c>
      <c r="AX2489" t="s">
        <v>19358</v>
      </c>
      <c r="AY2489">
        <v>7.0879999999999999E-2</v>
      </c>
      <c r="AZ2489">
        <v>-2.8999999999999998E-3</v>
      </c>
      <c r="BA2489">
        <v>4.13E-3</v>
      </c>
      <c r="BB2489">
        <v>-1.8000000000000001E-4</v>
      </c>
      <c r="BC2489">
        <v>5.8279999999999998E-2</v>
      </c>
      <c r="BD2489">
        <v>1</v>
      </c>
      <c r="BE2489" t="s">
        <v>69</v>
      </c>
      <c r="BF2489">
        <v>0.11899999999999999</v>
      </c>
      <c r="BG2489">
        <v>-0.13100000000000001</v>
      </c>
    </row>
    <row r="2490" spans="1:59">
      <c r="A2490">
        <v>0</v>
      </c>
      <c r="B2490">
        <v>2</v>
      </c>
      <c r="C2490">
        <v>0</v>
      </c>
      <c r="D2490" t="s">
        <v>25022</v>
      </c>
      <c r="E2490">
        <v>211</v>
      </c>
      <c r="F2490" t="s">
        <v>1438</v>
      </c>
      <c r="G2490" t="s">
        <v>57</v>
      </c>
      <c r="H2490">
        <v>231348</v>
      </c>
      <c r="I2490">
        <v>232964</v>
      </c>
      <c r="J2490" t="s">
        <v>1439</v>
      </c>
      <c r="K2490">
        <v>539</v>
      </c>
      <c r="L2490" t="s">
        <v>108</v>
      </c>
      <c r="M2490">
        <v>44</v>
      </c>
      <c r="N2490" t="str">
        <f>HYPERLINK("Gene211-zp_tree_all.dnd", "Gene211-tree")</f>
        <v>Gene211-tree</v>
      </c>
      <c r="O2490">
        <v>11</v>
      </c>
      <c r="P2490">
        <v>6</v>
      </c>
      <c r="Q2490">
        <v>11</v>
      </c>
      <c r="R2490">
        <v>6</v>
      </c>
      <c r="S2490">
        <v>0.35293999999999998</v>
      </c>
      <c r="T2490" t="s">
        <v>73</v>
      </c>
      <c r="U2490" t="s">
        <v>90</v>
      </c>
      <c r="V2490" t="s">
        <v>62</v>
      </c>
      <c r="W2490" t="s">
        <v>62</v>
      </c>
      <c r="X2490">
        <v>1</v>
      </c>
      <c r="Y2490">
        <v>2</v>
      </c>
      <c r="Z2490">
        <v>6</v>
      </c>
      <c r="AA2490">
        <v>0.25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6</v>
      </c>
      <c r="AK2490">
        <v>0</v>
      </c>
      <c r="AL2490">
        <v>13</v>
      </c>
      <c r="AM2490">
        <v>12</v>
      </c>
      <c r="AN2490">
        <v>62</v>
      </c>
      <c r="AO2490">
        <v>5</v>
      </c>
      <c r="AP2490">
        <v>53</v>
      </c>
      <c r="AQ2490">
        <v>3</v>
      </c>
      <c r="AR2490" t="s">
        <v>1440</v>
      </c>
      <c r="AS2490" t="s">
        <v>1441</v>
      </c>
      <c r="AT2490">
        <v>0.307</v>
      </c>
      <c r="AU2490" t="s">
        <v>65</v>
      </c>
      <c r="AV2490">
        <v>115</v>
      </c>
      <c r="AW2490">
        <v>8</v>
      </c>
      <c r="AX2490" t="s">
        <v>1442</v>
      </c>
      <c r="AY2490">
        <v>5.0930000000000003E-2</v>
      </c>
      <c r="AZ2490">
        <v>-1.72E-3</v>
      </c>
      <c r="BA2490">
        <v>1.06E-3</v>
      </c>
      <c r="BB2490">
        <v>-6.0000000000000002E-5</v>
      </c>
      <c r="BC2490">
        <v>2.0830000000000001E-2</v>
      </c>
      <c r="BD2490">
        <v>1</v>
      </c>
      <c r="BE2490" t="s">
        <v>69</v>
      </c>
      <c r="BF2490">
        <v>0.20300000000000001</v>
      </c>
      <c r="BG2490">
        <v>-0.127</v>
      </c>
    </row>
    <row r="2491" spans="1:59">
      <c r="A2491">
        <v>0</v>
      </c>
      <c r="B2491">
        <v>2</v>
      </c>
      <c r="C2491">
        <v>0</v>
      </c>
      <c r="D2491" t="s">
        <v>25022</v>
      </c>
      <c r="E2491">
        <v>1500</v>
      </c>
      <c r="F2491" t="s">
        <v>9381</v>
      </c>
      <c r="G2491" t="s">
        <v>57</v>
      </c>
      <c r="H2491">
        <v>1512373</v>
      </c>
      <c r="I2491">
        <v>1513992</v>
      </c>
      <c r="J2491" t="s">
        <v>3951</v>
      </c>
      <c r="K2491">
        <v>540</v>
      </c>
      <c r="L2491" t="s">
        <v>125</v>
      </c>
      <c r="M2491">
        <v>48</v>
      </c>
      <c r="N2491" t="str">
        <f>HYPERLINK("Gene1500-zp_tree_all.dnd", "Gene1500-tree")</f>
        <v>Gene1500-tree</v>
      </c>
      <c r="O2491">
        <v>15</v>
      </c>
      <c r="P2491">
        <v>4</v>
      </c>
      <c r="Q2491">
        <v>15</v>
      </c>
      <c r="R2491">
        <v>4</v>
      </c>
      <c r="S2491">
        <v>0.21052999999999999</v>
      </c>
      <c r="T2491" t="s">
        <v>100</v>
      </c>
      <c r="U2491" t="s">
        <v>61</v>
      </c>
      <c r="V2491" t="s">
        <v>62</v>
      </c>
      <c r="W2491" t="s">
        <v>62</v>
      </c>
      <c r="X2491">
        <v>1</v>
      </c>
      <c r="Y2491">
        <v>2</v>
      </c>
      <c r="Z2491">
        <v>9</v>
      </c>
      <c r="AA2491">
        <v>0.18182000000000001</v>
      </c>
      <c r="AB2491">
        <v>0</v>
      </c>
      <c r="AC2491">
        <v>0</v>
      </c>
      <c r="AD2491">
        <v>0</v>
      </c>
      <c r="AE2491">
        <v>3</v>
      </c>
      <c r="AF2491">
        <v>0</v>
      </c>
      <c r="AG2491">
        <v>0</v>
      </c>
      <c r="AH2491">
        <v>0</v>
      </c>
      <c r="AI2491">
        <v>0</v>
      </c>
      <c r="AJ2491">
        <v>5</v>
      </c>
      <c r="AK2491">
        <v>0</v>
      </c>
      <c r="AL2491">
        <v>17</v>
      </c>
      <c r="AM2491">
        <v>14</v>
      </c>
      <c r="AN2491">
        <v>43</v>
      </c>
      <c r="AO2491">
        <v>5</v>
      </c>
      <c r="AP2491">
        <v>121</v>
      </c>
      <c r="AQ2491">
        <v>7</v>
      </c>
      <c r="AR2491" t="s">
        <v>9382</v>
      </c>
      <c r="AS2491" t="s">
        <v>9383</v>
      </c>
      <c r="AT2491">
        <v>0.432</v>
      </c>
      <c r="AU2491" t="s">
        <v>65</v>
      </c>
      <c r="AV2491">
        <v>164</v>
      </c>
      <c r="AW2491">
        <v>12</v>
      </c>
      <c r="AX2491" t="s">
        <v>9384</v>
      </c>
      <c r="AY2491">
        <v>0.11325</v>
      </c>
      <c r="AZ2491">
        <v>-8.1399999999999997E-3</v>
      </c>
      <c r="BA2491">
        <v>1.64E-3</v>
      </c>
      <c r="BB2491">
        <v>-1.2E-4</v>
      </c>
      <c r="BC2491">
        <v>1.4449999999999999E-2</v>
      </c>
      <c r="BD2491">
        <v>1</v>
      </c>
      <c r="BE2491" t="s">
        <v>69</v>
      </c>
      <c r="BF2491">
        <v>-1.254</v>
      </c>
      <c r="BG2491">
        <v>0.71399999999999997</v>
      </c>
    </row>
    <row r="2492" spans="1:59">
      <c r="A2492">
        <v>0</v>
      </c>
      <c r="B2492">
        <v>14</v>
      </c>
      <c r="C2492">
        <v>3</v>
      </c>
      <c r="D2492" t="s">
        <v>25022</v>
      </c>
      <c r="E2492">
        <v>307</v>
      </c>
      <c r="F2492" t="s">
        <v>2092</v>
      </c>
      <c r="G2492" t="s">
        <v>57</v>
      </c>
      <c r="H2492">
        <v>330771</v>
      </c>
      <c r="I2492">
        <v>332393</v>
      </c>
      <c r="J2492" t="s">
        <v>2093</v>
      </c>
      <c r="K2492">
        <v>541</v>
      </c>
      <c r="L2492" t="s">
        <v>108</v>
      </c>
      <c r="M2492">
        <v>44</v>
      </c>
      <c r="N2492" t="str">
        <f>HYPERLINK("Gene307-zp_tree_all.dnd", "Gene307-tree")</f>
        <v>Gene307-tree</v>
      </c>
      <c r="O2492">
        <v>2</v>
      </c>
      <c r="P2492">
        <v>16</v>
      </c>
      <c r="Q2492">
        <v>2</v>
      </c>
      <c r="R2492">
        <v>16</v>
      </c>
      <c r="S2492">
        <v>0.88888999999999996</v>
      </c>
      <c r="T2492" t="s">
        <v>81</v>
      </c>
      <c r="U2492" t="s">
        <v>60</v>
      </c>
      <c r="V2492" t="s">
        <v>62</v>
      </c>
      <c r="W2492" t="s">
        <v>62</v>
      </c>
      <c r="X2492">
        <v>7</v>
      </c>
      <c r="Y2492">
        <v>17</v>
      </c>
      <c r="Z2492">
        <v>19</v>
      </c>
      <c r="AA2492">
        <v>0.47221999999999997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6</v>
      </c>
      <c r="AH2492">
        <v>2</v>
      </c>
      <c r="AI2492">
        <v>8</v>
      </c>
      <c r="AJ2492">
        <v>20</v>
      </c>
      <c r="AK2492">
        <v>0.28571000000000002</v>
      </c>
      <c r="AL2492">
        <v>16</v>
      </c>
      <c r="AM2492">
        <v>13</v>
      </c>
      <c r="AN2492">
        <v>82</v>
      </c>
      <c r="AO2492">
        <v>27</v>
      </c>
      <c r="AP2492">
        <v>44</v>
      </c>
      <c r="AQ2492">
        <v>9</v>
      </c>
      <c r="AR2492" t="s">
        <v>2094</v>
      </c>
      <c r="AS2492" t="s">
        <v>2095</v>
      </c>
      <c r="AT2492">
        <v>0.879</v>
      </c>
      <c r="AU2492" t="s">
        <v>65</v>
      </c>
      <c r="AV2492">
        <v>126</v>
      </c>
      <c r="AW2492">
        <v>36</v>
      </c>
      <c r="AX2492" t="s">
        <v>2096</v>
      </c>
      <c r="AY2492">
        <v>4.5830000000000003E-2</v>
      </c>
      <c r="AZ2492">
        <v>-1.5299999999999999E-3</v>
      </c>
      <c r="BA2492">
        <v>4.13E-3</v>
      </c>
      <c r="BB2492">
        <v>-1.3999999999999999E-4</v>
      </c>
      <c r="BC2492">
        <v>9.0039999999999995E-2</v>
      </c>
      <c r="BD2492">
        <v>1</v>
      </c>
      <c r="BE2492" t="s">
        <v>69</v>
      </c>
      <c r="BF2492">
        <v>-0.76400000000000001</v>
      </c>
      <c r="BG2492">
        <v>-1.113</v>
      </c>
    </row>
    <row r="2493" spans="1:59">
      <c r="A2493">
        <v>0</v>
      </c>
      <c r="B2493">
        <v>12</v>
      </c>
      <c r="C2493">
        <v>6</v>
      </c>
      <c r="D2493" t="s">
        <v>25022</v>
      </c>
      <c r="E2493">
        <v>793</v>
      </c>
      <c r="F2493" t="s">
        <v>4929</v>
      </c>
      <c r="G2493" t="s">
        <v>57</v>
      </c>
      <c r="H2493">
        <v>830945</v>
      </c>
      <c r="I2493">
        <v>832570</v>
      </c>
      <c r="J2493" t="s">
        <v>3074</v>
      </c>
      <c r="K2493">
        <v>542</v>
      </c>
      <c r="L2493" t="s">
        <v>108</v>
      </c>
      <c r="M2493">
        <v>44</v>
      </c>
      <c r="N2493" t="str">
        <f>HYPERLINK("Gene793-zp_tree_all.dnd", "Gene793-tree")</f>
        <v>Gene793-tree</v>
      </c>
      <c r="O2493">
        <v>2</v>
      </c>
      <c r="P2493">
        <v>14</v>
      </c>
      <c r="Q2493">
        <v>2</v>
      </c>
      <c r="R2493">
        <v>14</v>
      </c>
      <c r="S2493">
        <v>0.875</v>
      </c>
      <c r="T2493" t="s">
        <v>81</v>
      </c>
      <c r="U2493" t="s">
        <v>543</v>
      </c>
      <c r="V2493">
        <v>860908720.12699997</v>
      </c>
      <c r="W2493" t="s">
        <v>267</v>
      </c>
      <c r="X2493">
        <v>8</v>
      </c>
      <c r="Y2493">
        <v>18</v>
      </c>
      <c r="Z2493">
        <v>22</v>
      </c>
      <c r="AA2493">
        <v>0.45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4</v>
      </c>
      <c r="AH2493">
        <v>2</v>
      </c>
      <c r="AI2493">
        <v>6</v>
      </c>
      <c r="AJ2493">
        <v>23</v>
      </c>
      <c r="AK2493">
        <v>0.2069</v>
      </c>
      <c r="AL2493">
        <v>13</v>
      </c>
      <c r="AM2493">
        <v>13</v>
      </c>
      <c r="AN2493">
        <v>44</v>
      </c>
      <c r="AO2493">
        <v>24</v>
      </c>
      <c r="AP2493">
        <v>40</v>
      </c>
      <c r="AQ2493">
        <v>17</v>
      </c>
      <c r="AR2493" t="s">
        <v>4930</v>
      </c>
      <c r="AS2493" t="s">
        <v>4931</v>
      </c>
      <c r="AT2493">
        <v>0.29299999999999998</v>
      </c>
      <c r="AU2493" t="s">
        <v>65</v>
      </c>
      <c r="AV2493">
        <v>84</v>
      </c>
      <c r="AW2493">
        <v>41</v>
      </c>
      <c r="AX2493" t="s">
        <v>4932</v>
      </c>
      <c r="AY2493">
        <v>4.0460000000000003E-2</v>
      </c>
      <c r="AZ2493">
        <v>-1.56E-3</v>
      </c>
      <c r="BA2493">
        <v>6.2700000000000004E-3</v>
      </c>
      <c r="BB2493">
        <v>-2.4000000000000001E-4</v>
      </c>
      <c r="BC2493">
        <v>0.15495</v>
      </c>
      <c r="BD2493">
        <v>1</v>
      </c>
      <c r="BE2493" t="s">
        <v>69</v>
      </c>
      <c r="BF2493">
        <v>-0.47499999999999998</v>
      </c>
      <c r="BG2493">
        <v>-1.492</v>
      </c>
    </row>
    <row r="2494" spans="1:59">
      <c r="A2494">
        <v>0</v>
      </c>
      <c r="B2494">
        <v>4</v>
      </c>
      <c r="C2494">
        <v>2</v>
      </c>
      <c r="D2494" t="s">
        <v>25022</v>
      </c>
      <c r="E2494">
        <v>2409</v>
      </c>
      <c r="F2494" t="s">
        <v>14032</v>
      </c>
      <c r="G2494" t="s">
        <v>62</v>
      </c>
      <c r="H2494">
        <v>2419182</v>
      </c>
      <c r="I2494">
        <v>2420807</v>
      </c>
      <c r="J2494" t="s">
        <v>14026</v>
      </c>
      <c r="K2494">
        <v>542</v>
      </c>
      <c r="L2494" t="s">
        <v>108</v>
      </c>
      <c r="M2494">
        <v>44</v>
      </c>
      <c r="N2494" t="str">
        <f>HYPERLINK("Gene2409-zp_tree_all.dnd", "Gene2409-tree")</f>
        <v>Gene2409-tree</v>
      </c>
      <c r="O2494">
        <v>7</v>
      </c>
      <c r="P2494">
        <v>7</v>
      </c>
      <c r="Q2494">
        <v>7</v>
      </c>
      <c r="R2494">
        <v>7</v>
      </c>
      <c r="S2494">
        <v>0.5</v>
      </c>
      <c r="T2494" t="s">
        <v>152</v>
      </c>
      <c r="U2494" t="s">
        <v>152</v>
      </c>
      <c r="V2494" t="s">
        <v>62</v>
      </c>
      <c r="W2494" t="s">
        <v>62</v>
      </c>
      <c r="X2494">
        <v>3</v>
      </c>
      <c r="Y2494">
        <v>6</v>
      </c>
      <c r="Z2494">
        <v>6</v>
      </c>
      <c r="AA2494">
        <v>0.5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</v>
      </c>
      <c r="AH2494">
        <v>0</v>
      </c>
      <c r="AI2494">
        <v>2</v>
      </c>
      <c r="AJ2494">
        <v>6</v>
      </c>
      <c r="AK2494">
        <v>0.25</v>
      </c>
      <c r="AL2494">
        <v>14</v>
      </c>
      <c r="AM2494">
        <v>8</v>
      </c>
      <c r="AN2494">
        <v>62</v>
      </c>
      <c r="AO2494">
        <v>8</v>
      </c>
      <c r="AP2494">
        <v>28</v>
      </c>
      <c r="AQ2494">
        <v>4</v>
      </c>
      <c r="AR2494" t="s">
        <v>14033</v>
      </c>
      <c r="AS2494" t="s">
        <v>14034</v>
      </c>
      <c r="AT2494">
        <v>0.11600000000000001</v>
      </c>
      <c r="AU2494" t="s">
        <v>65</v>
      </c>
      <c r="AV2494">
        <v>90</v>
      </c>
      <c r="AW2494">
        <v>12</v>
      </c>
      <c r="AX2494" t="s">
        <v>14035</v>
      </c>
      <c r="AY2494">
        <v>3.8519999999999999E-2</v>
      </c>
      <c r="AZ2494">
        <v>-1.0300000000000001E-3</v>
      </c>
      <c r="BA2494">
        <v>1.74E-3</v>
      </c>
      <c r="BB2494">
        <v>-9.0000000000000006E-5</v>
      </c>
      <c r="BC2494">
        <v>4.5240000000000002E-2</v>
      </c>
      <c r="BD2494">
        <v>1</v>
      </c>
      <c r="BE2494" t="s">
        <v>69</v>
      </c>
      <c r="BF2494">
        <v>-0.38900000000000001</v>
      </c>
      <c r="BG2494">
        <v>-1.9610000000000001</v>
      </c>
    </row>
    <row r="2495" spans="1:59">
      <c r="A2495">
        <v>2</v>
      </c>
      <c r="B2495">
        <v>15</v>
      </c>
      <c r="C2495">
        <v>0</v>
      </c>
      <c r="D2495" t="s">
        <v>25022</v>
      </c>
      <c r="E2495">
        <v>374</v>
      </c>
      <c r="F2495" t="s">
        <v>2540</v>
      </c>
      <c r="G2495" t="s">
        <v>57</v>
      </c>
      <c r="H2495">
        <v>420110</v>
      </c>
      <c r="I2495">
        <v>421741</v>
      </c>
      <c r="J2495" t="s">
        <v>2541</v>
      </c>
      <c r="K2495">
        <v>544</v>
      </c>
      <c r="L2495" t="s">
        <v>108</v>
      </c>
      <c r="M2495">
        <v>44</v>
      </c>
      <c r="N2495" t="str">
        <f>HYPERLINK("Gene374-zp_tree_all.dnd", "Gene374-tree")</f>
        <v>Gene374-tree</v>
      </c>
      <c r="O2495">
        <v>8</v>
      </c>
      <c r="P2495">
        <v>8</v>
      </c>
      <c r="Q2495">
        <v>8</v>
      </c>
      <c r="R2495">
        <v>8</v>
      </c>
      <c r="S2495">
        <v>0.5</v>
      </c>
      <c r="T2495" t="s">
        <v>136</v>
      </c>
      <c r="U2495" t="s">
        <v>136</v>
      </c>
      <c r="V2495" t="s">
        <v>62</v>
      </c>
      <c r="W2495" t="s">
        <v>62</v>
      </c>
      <c r="X2495">
        <v>8</v>
      </c>
      <c r="Y2495">
        <v>17</v>
      </c>
      <c r="Z2495">
        <v>24</v>
      </c>
      <c r="AA2495">
        <v>0.41463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0</v>
      </c>
      <c r="AI2495">
        <v>2</v>
      </c>
      <c r="AJ2495">
        <v>21</v>
      </c>
      <c r="AK2495">
        <v>8.6959999999999996E-2</v>
      </c>
      <c r="AL2495">
        <v>10</v>
      </c>
      <c r="AM2495">
        <v>13</v>
      </c>
      <c r="AN2495">
        <v>43</v>
      </c>
      <c r="AO2495">
        <v>9</v>
      </c>
      <c r="AP2495">
        <v>86</v>
      </c>
      <c r="AQ2495">
        <v>35</v>
      </c>
      <c r="AR2495" t="s">
        <v>2542</v>
      </c>
      <c r="AS2495" t="s">
        <v>2543</v>
      </c>
      <c r="AT2495">
        <v>0.61099999999999999</v>
      </c>
      <c r="AU2495" t="s">
        <v>65</v>
      </c>
      <c r="AV2495">
        <v>129</v>
      </c>
      <c r="AW2495">
        <v>44</v>
      </c>
      <c r="AX2495" t="s">
        <v>2544</v>
      </c>
      <c r="AY2495">
        <v>7.7100000000000002E-2</v>
      </c>
      <c r="AZ2495">
        <v>-4.7299999999999998E-3</v>
      </c>
      <c r="BA2495">
        <v>8.4399999999999996E-3</v>
      </c>
      <c r="BB2495">
        <v>-4.4999999999999999E-4</v>
      </c>
      <c r="BC2495">
        <v>0.10943</v>
      </c>
      <c r="BD2495">
        <v>1</v>
      </c>
      <c r="BE2495" t="s">
        <v>69</v>
      </c>
      <c r="BF2495">
        <v>-0.41899999999999998</v>
      </c>
      <c r="BG2495">
        <v>-0.53900000000000003</v>
      </c>
    </row>
    <row r="2496" spans="1:59">
      <c r="A2496">
        <v>0</v>
      </c>
      <c r="B2496">
        <v>0</v>
      </c>
      <c r="C2496">
        <v>0</v>
      </c>
      <c r="D2496" t="s">
        <v>25022</v>
      </c>
      <c r="E2496">
        <v>3121</v>
      </c>
      <c r="F2496" t="s">
        <v>18108</v>
      </c>
      <c r="G2496" t="s">
        <v>62</v>
      </c>
      <c r="H2496">
        <v>3073534</v>
      </c>
      <c r="I2496">
        <v>3075165</v>
      </c>
      <c r="J2496" t="s">
        <v>2928</v>
      </c>
      <c r="K2496">
        <v>544</v>
      </c>
      <c r="L2496" t="s">
        <v>108</v>
      </c>
      <c r="M2496">
        <v>44</v>
      </c>
      <c r="N2496" t="str">
        <f>HYPERLINK("Gene3121-zp_tree_all.dnd", "Gene3121-tree")</f>
        <v>Gene3121-tree</v>
      </c>
      <c r="O2496">
        <v>11</v>
      </c>
      <c r="P2496">
        <v>24</v>
      </c>
      <c r="Q2496">
        <v>11</v>
      </c>
      <c r="R2496">
        <v>5</v>
      </c>
      <c r="S2496">
        <v>0.3125</v>
      </c>
      <c r="T2496" t="s">
        <v>73</v>
      </c>
      <c r="U2496" t="s">
        <v>2668</v>
      </c>
      <c r="V2496">
        <v>5.0679999999999996</v>
      </c>
      <c r="W2496" t="s">
        <v>65</v>
      </c>
      <c r="X2496">
        <v>0</v>
      </c>
      <c r="Y2496">
        <v>0</v>
      </c>
      <c r="Z2496">
        <v>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7</v>
      </c>
      <c r="AK2496">
        <v>0</v>
      </c>
      <c r="AL2496">
        <v>14</v>
      </c>
      <c r="AM2496">
        <v>12</v>
      </c>
      <c r="AN2496">
        <v>46</v>
      </c>
      <c r="AO2496">
        <v>6</v>
      </c>
      <c r="AP2496">
        <v>25</v>
      </c>
      <c r="AQ2496">
        <v>2</v>
      </c>
      <c r="AR2496" t="s">
        <v>18109</v>
      </c>
      <c r="AS2496" t="s">
        <v>18110</v>
      </c>
      <c r="AT2496">
        <v>0.32500000000000001</v>
      </c>
      <c r="AU2496" t="s">
        <v>65</v>
      </c>
      <c r="AV2496">
        <v>71</v>
      </c>
      <c r="AW2496">
        <v>8</v>
      </c>
      <c r="AX2496" t="s">
        <v>18111</v>
      </c>
      <c r="AY2496">
        <v>2.9520000000000001E-2</v>
      </c>
      <c r="AZ2496">
        <v>-8.4000000000000003E-4</v>
      </c>
      <c r="BA2496">
        <v>1.07E-3</v>
      </c>
      <c r="BB2496">
        <v>-8.0000000000000007E-5</v>
      </c>
      <c r="BC2496">
        <v>3.6299999999999999E-2</v>
      </c>
      <c r="BD2496">
        <v>1</v>
      </c>
      <c r="BE2496" t="s">
        <v>69</v>
      </c>
      <c r="BF2496">
        <v>-0.32</v>
      </c>
      <c r="BG2496">
        <v>-1.2370000000000001</v>
      </c>
    </row>
    <row r="2497" spans="1:59">
      <c r="A2497">
        <v>0</v>
      </c>
      <c r="B2497">
        <v>4</v>
      </c>
      <c r="C2497">
        <v>2</v>
      </c>
      <c r="D2497" t="s">
        <v>25022</v>
      </c>
      <c r="E2497">
        <v>622</v>
      </c>
      <c r="F2497" t="s">
        <v>3996</v>
      </c>
      <c r="G2497" t="s">
        <v>57</v>
      </c>
      <c r="H2497">
        <v>650234</v>
      </c>
      <c r="I2497">
        <v>651865</v>
      </c>
      <c r="J2497" t="s">
        <v>3997</v>
      </c>
      <c r="K2497">
        <v>544</v>
      </c>
      <c r="L2497" t="s">
        <v>59</v>
      </c>
      <c r="M2497">
        <v>49</v>
      </c>
      <c r="N2497" t="str">
        <f>HYPERLINK("Gene622-zp_tree_all.dnd", "Gene622-tree")</f>
        <v>Gene622-tree</v>
      </c>
      <c r="O2497">
        <v>14</v>
      </c>
      <c r="P2497">
        <v>6</v>
      </c>
      <c r="Q2497">
        <v>14</v>
      </c>
      <c r="R2497">
        <v>6</v>
      </c>
      <c r="S2497">
        <v>0.3</v>
      </c>
      <c r="T2497" t="s">
        <v>543</v>
      </c>
      <c r="U2497" t="s">
        <v>90</v>
      </c>
      <c r="V2497" t="s">
        <v>62</v>
      </c>
      <c r="W2497" t="s">
        <v>62</v>
      </c>
      <c r="X2497">
        <v>3</v>
      </c>
      <c r="Y2497">
        <v>6</v>
      </c>
      <c r="Z2497">
        <v>11</v>
      </c>
      <c r="AA2497">
        <v>0.35293999999999998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13</v>
      </c>
      <c r="AK2497">
        <v>0</v>
      </c>
      <c r="AL2497">
        <v>19</v>
      </c>
      <c r="AM2497">
        <v>16</v>
      </c>
      <c r="AN2497">
        <v>138</v>
      </c>
      <c r="AO2497">
        <v>14</v>
      </c>
      <c r="AP2497">
        <v>55</v>
      </c>
      <c r="AQ2497">
        <v>4</v>
      </c>
      <c r="AR2497" t="s">
        <v>3998</v>
      </c>
      <c r="AS2497" t="s">
        <v>3999</v>
      </c>
      <c r="AT2497">
        <v>0.13700000000000001</v>
      </c>
      <c r="AU2497" t="s">
        <v>65</v>
      </c>
      <c r="AV2497">
        <v>193</v>
      </c>
      <c r="AW2497">
        <v>18</v>
      </c>
      <c r="AX2497" t="s">
        <v>4000</v>
      </c>
      <c r="AY2497">
        <v>5.9709999999999999E-2</v>
      </c>
      <c r="AZ2497">
        <v>-2.0899999999999998E-3</v>
      </c>
      <c r="BA2497">
        <v>1.91E-3</v>
      </c>
      <c r="BB2497">
        <v>-1.2999999999999999E-4</v>
      </c>
      <c r="BC2497">
        <v>3.1969999999999998E-2</v>
      </c>
      <c r="BD2497">
        <v>1</v>
      </c>
      <c r="BE2497" t="s">
        <v>69</v>
      </c>
      <c r="BF2497">
        <v>-1.3029999999999999</v>
      </c>
      <c r="BG2497">
        <v>-3.6440000000000001</v>
      </c>
    </row>
    <row r="2498" spans="1:59">
      <c r="A2498">
        <v>0</v>
      </c>
      <c r="B2498">
        <v>0</v>
      </c>
      <c r="C2498">
        <v>0</v>
      </c>
      <c r="D2498" t="s">
        <v>25022</v>
      </c>
      <c r="E2498">
        <v>1180</v>
      </c>
      <c r="F2498" t="s">
        <v>7420</v>
      </c>
      <c r="G2498" t="s">
        <v>57</v>
      </c>
      <c r="H2498">
        <v>1219849</v>
      </c>
      <c r="I2498">
        <v>1221483</v>
      </c>
      <c r="J2498" t="s">
        <v>7421</v>
      </c>
      <c r="K2498">
        <v>545</v>
      </c>
      <c r="L2498" t="s">
        <v>7422</v>
      </c>
      <c r="M2498">
        <v>42</v>
      </c>
      <c r="N2498" t="str">
        <f>HYPERLINK("Gene1180-zp_tree_all.dnd", "Gene1180-tree")</f>
        <v>Gene1180-tree</v>
      </c>
      <c r="O2498">
        <v>29</v>
      </c>
      <c r="P2498">
        <v>4</v>
      </c>
      <c r="Q2498">
        <v>8</v>
      </c>
      <c r="R2498">
        <v>4</v>
      </c>
      <c r="S2498">
        <v>0.33333000000000002</v>
      </c>
      <c r="T2498" t="s">
        <v>4745</v>
      </c>
      <c r="U2498" t="s">
        <v>61</v>
      </c>
      <c r="V2498" t="s">
        <v>62</v>
      </c>
      <c r="W2498" t="s">
        <v>62</v>
      </c>
      <c r="X2498">
        <v>0</v>
      </c>
      <c r="Y2498">
        <v>0</v>
      </c>
      <c r="Z2498">
        <v>6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5</v>
      </c>
      <c r="AK2498">
        <v>0</v>
      </c>
      <c r="AL2498">
        <v>9</v>
      </c>
      <c r="AM2498">
        <v>8</v>
      </c>
      <c r="AN2498">
        <v>27</v>
      </c>
      <c r="AO2498">
        <v>5</v>
      </c>
      <c r="AP2498">
        <v>21</v>
      </c>
      <c r="AQ2498">
        <v>1</v>
      </c>
      <c r="AR2498" t="s">
        <v>7423</v>
      </c>
      <c r="AS2498" t="s">
        <v>7424</v>
      </c>
      <c r="AT2498">
        <v>0.8</v>
      </c>
      <c r="AU2498" t="s">
        <v>65</v>
      </c>
      <c r="AV2498">
        <v>48</v>
      </c>
      <c r="AW2498">
        <v>6</v>
      </c>
      <c r="AX2498" t="s">
        <v>7425</v>
      </c>
      <c r="AY2498">
        <v>3.431E-2</v>
      </c>
      <c r="AZ2498">
        <v>-1.75E-3</v>
      </c>
      <c r="BA2498">
        <v>8.8999999999999995E-4</v>
      </c>
      <c r="BB2498">
        <v>-8.0000000000000007E-5</v>
      </c>
      <c r="BC2498">
        <v>2.5899999999999999E-2</v>
      </c>
      <c r="BD2498">
        <v>1</v>
      </c>
      <c r="BE2498" t="s">
        <v>69</v>
      </c>
      <c r="BF2498">
        <v>-7.0000000000000007E-2</v>
      </c>
      <c r="BG2498">
        <v>-0.755</v>
      </c>
    </row>
    <row r="2499" spans="1:59">
      <c r="A2499">
        <v>0</v>
      </c>
      <c r="B2499">
        <v>23</v>
      </c>
      <c r="C2499">
        <v>1</v>
      </c>
      <c r="D2499" t="s">
        <v>25022</v>
      </c>
      <c r="E2499">
        <v>1846</v>
      </c>
      <c r="F2499" t="s">
        <v>11566</v>
      </c>
      <c r="G2499" t="s">
        <v>57</v>
      </c>
      <c r="H2499">
        <v>1912953</v>
      </c>
      <c r="I2499">
        <v>1914590</v>
      </c>
      <c r="J2499" t="s">
        <v>3095</v>
      </c>
      <c r="K2499">
        <v>546</v>
      </c>
      <c r="L2499" t="s">
        <v>108</v>
      </c>
      <c r="M2499">
        <v>44</v>
      </c>
      <c r="N2499" t="str">
        <f>HYPERLINK("Gene1846-zp_tree_all.dnd", "Gene1846-tree")</f>
        <v>Gene1846-tree</v>
      </c>
      <c r="O2499">
        <v>2</v>
      </c>
      <c r="P2499">
        <v>10</v>
      </c>
      <c r="Q2499">
        <v>2</v>
      </c>
      <c r="R2499">
        <v>10</v>
      </c>
      <c r="S2499">
        <v>0.83333000000000002</v>
      </c>
      <c r="T2499" t="s">
        <v>81</v>
      </c>
      <c r="U2499" t="s">
        <v>117</v>
      </c>
      <c r="V2499" t="s">
        <v>62</v>
      </c>
      <c r="W2499" t="s">
        <v>62</v>
      </c>
      <c r="X2499">
        <v>9</v>
      </c>
      <c r="Y2499">
        <v>24</v>
      </c>
      <c r="Z2499">
        <v>35</v>
      </c>
      <c r="AA2499">
        <v>0.40677999999999997</v>
      </c>
      <c r="AB2499">
        <v>0</v>
      </c>
      <c r="AC2499">
        <v>0</v>
      </c>
      <c r="AD2499">
        <v>0</v>
      </c>
      <c r="AE2499">
        <v>4</v>
      </c>
      <c r="AF2499">
        <v>0</v>
      </c>
      <c r="AG2499">
        <v>15</v>
      </c>
      <c r="AH2499">
        <v>1</v>
      </c>
      <c r="AI2499">
        <v>16</v>
      </c>
      <c r="AJ2499">
        <v>28</v>
      </c>
      <c r="AK2499">
        <v>0.36364000000000002</v>
      </c>
      <c r="AL2499">
        <v>11</v>
      </c>
      <c r="AM2499">
        <v>8</v>
      </c>
      <c r="AN2499">
        <v>72</v>
      </c>
      <c r="AO2499">
        <v>46</v>
      </c>
      <c r="AP2499">
        <v>30</v>
      </c>
      <c r="AQ2499">
        <v>15</v>
      </c>
      <c r="AR2499" t="s">
        <v>11567</v>
      </c>
      <c r="AS2499" t="s">
        <v>11568</v>
      </c>
      <c r="AT2499">
        <v>0.23899999999999999</v>
      </c>
      <c r="AU2499" t="s">
        <v>65</v>
      </c>
      <c r="AV2499">
        <v>102</v>
      </c>
      <c r="AW2499">
        <v>61</v>
      </c>
      <c r="AX2499" t="s">
        <v>11569</v>
      </c>
      <c r="AY2499">
        <v>5.2679999999999998E-2</v>
      </c>
      <c r="AZ2499">
        <v>-3.4099999999999998E-3</v>
      </c>
      <c r="BA2499">
        <v>9.0600000000000003E-3</v>
      </c>
      <c r="BB2499">
        <v>-5.9999999999999995E-4</v>
      </c>
      <c r="BC2499">
        <v>0.17197999999999999</v>
      </c>
      <c r="BD2499">
        <v>1</v>
      </c>
      <c r="BE2499" t="s">
        <v>69</v>
      </c>
      <c r="BF2499">
        <v>-1.03</v>
      </c>
      <c r="BG2499">
        <v>-2.298</v>
      </c>
    </row>
    <row r="2500" spans="1:59">
      <c r="A2500">
        <v>0</v>
      </c>
      <c r="B2500">
        <v>2</v>
      </c>
      <c r="C2500">
        <v>2</v>
      </c>
      <c r="D2500" t="s">
        <v>25022</v>
      </c>
      <c r="E2500">
        <v>2481</v>
      </c>
      <c r="F2500" t="s">
        <v>14466</v>
      </c>
      <c r="G2500" t="s">
        <v>62</v>
      </c>
      <c r="H2500">
        <v>2474031</v>
      </c>
      <c r="I2500">
        <v>2475671</v>
      </c>
      <c r="J2500" t="s">
        <v>14467</v>
      </c>
      <c r="K2500">
        <v>547</v>
      </c>
      <c r="L2500" t="s">
        <v>108</v>
      </c>
      <c r="M2500">
        <v>44</v>
      </c>
      <c r="N2500" t="str">
        <f>HYPERLINK("Gene2481-zp_tree_all.dnd", "Gene2481-tree")</f>
        <v>Gene2481-tree</v>
      </c>
      <c r="O2500">
        <v>4</v>
      </c>
      <c r="P2500">
        <v>11</v>
      </c>
      <c r="Q2500">
        <v>4</v>
      </c>
      <c r="R2500">
        <v>11</v>
      </c>
      <c r="S2500">
        <v>0.73333000000000004</v>
      </c>
      <c r="T2500" t="s">
        <v>61</v>
      </c>
      <c r="U2500" t="s">
        <v>73</v>
      </c>
      <c r="V2500">
        <v>200307210.301</v>
      </c>
      <c r="W2500" t="s">
        <v>267</v>
      </c>
      <c r="X2500">
        <v>2</v>
      </c>
      <c r="Y2500">
        <v>4</v>
      </c>
      <c r="Z2500">
        <v>30</v>
      </c>
      <c r="AA2500">
        <v>0.11765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2</v>
      </c>
      <c r="AI2500">
        <v>2</v>
      </c>
      <c r="AJ2500">
        <v>24</v>
      </c>
      <c r="AK2500">
        <v>7.6920000000000002E-2</v>
      </c>
      <c r="AL2500">
        <v>13</v>
      </c>
      <c r="AM2500">
        <v>12</v>
      </c>
      <c r="AN2500">
        <v>46</v>
      </c>
      <c r="AO2500">
        <v>27</v>
      </c>
      <c r="AP2500">
        <v>31</v>
      </c>
      <c r="AQ2500">
        <v>9</v>
      </c>
      <c r="AR2500" t="s">
        <v>14468</v>
      </c>
      <c r="AS2500" t="s">
        <v>14469</v>
      </c>
      <c r="AT2500">
        <v>0.77800000000000002</v>
      </c>
      <c r="AU2500" t="s">
        <v>65</v>
      </c>
      <c r="AV2500">
        <v>77</v>
      </c>
      <c r="AW2500">
        <v>36</v>
      </c>
      <c r="AX2500" t="s">
        <v>14470</v>
      </c>
      <c r="AY2500">
        <v>3.8739999999999997E-2</v>
      </c>
      <c r="AZ2500">
        <v>-1.82E-3</v>
      </c>
      <c r="BA2500">
        <v>4.9699999999999996E-3</v>
      </c>
      <c r="BB2500">
        <v>-2.5999999999999998E-4</v>
      </c>
      <c r="BC2500">
        <v>0.12833</v>
      </c>
      <c r="BD2500">
        <v>1</v>
      </c>
      <c r="BE2500" t="s">
        <v>69</v>
      </c>
      <c r="BF2500">
        <v>-1.155</v>
      </c>
      <c r="BG2500">
        <v>-1.7789999999999999</v>
      </c>
    </row>
    <row r="2501" spans="1:59">
      <c r="A2501">
        <v>0</v>
      </c>
      <c r="B2501">
        <v>5</v>
      </c>
      <c r="C2501">
        <v>0</v>
      </c>
      <c r="D2501" t="s">
        <v>25022</v>
      </c>
      <c r="E2501">
        <v>1346</v>
      </c>
      <c r="F2501" t="s">
        <v>8420</v>
      </c>
      <c r="G2501" t="s">
        <v>57</v>
      </c>
      <c r="H2501">
        <v>1364151</v>
      </c>
      <c r="I2501">
        <v>1365797</v>
      </c>
      <c r="J2501" t="s">
        <v>8421</v>
      </c>
      <c r="K2501">
        <v>549</v>
      </c>
      <c r="L2501" t="s">
        <v>108</v>
      </c>
      <c r="M2501">
        <v>44</v>
      </c>
      <c r="N2501" t="str">
        <f>HYPERLINK("Gene1346-zp_tree_all.dnd", "Gene1346-tree")</f>
        <v>Gene1346-tree</v>
      </c>
      <c r="O2501">
        <v>2</v>
      </c>
      <c r="P2501">
        <v>11</v>
      </c>
      <c r="Q2501">
        <v>2</v>
      </c>
      <c r="R2501">
        <v>11</v>
      </c>
      <c r="S2501">
        <v>0.84614999999999996</v>
      </c>
      <c r="T2501" t="s">
        <v>81</v>
      </c>
      <c r="U2501" t="s">
        <v>73</v>
      </c>
      <c r="V2501">
        <v>515075683.63</v>
      </c>
      <c r="W2501" t="s">
        <v>267</v>
      </c>
      <c r="X2501">
        <v>2</v>
      </c>
      <c r="Y2501">
        <v>5</v>
      </c>
      <c r="Z2501">
        <v>25</v>
      </c>
      <c r="AA2501">
        <v>0.16667000000000001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4</v>
      </c>
      <c r="AH2501">
        <v>0</v>
      </c>
      <c r="AI2501">
        <v>4</v>
      </c>
      <c r="AJ2501">
        <v>24</v>
      </c>
      <c r="AK2501">
        <v>0.14285999999999999</v>
      </c>
      <c r="AL2501">
        <v>13</v>
      </c>
      <c r="AM2501">
        <v>10</v>
      </c>
      <c r="AN2501">
        <v>71</v>
      </c>
      <c r="AO2501">
        <v>29</v>
      </c>
      <c r="AP2501">
        <v>36</v>
      </c>
      <c r="AQ2501">
        <v>2</v>
      </c>
      <c r="AR2501" t="s">
        <v>8422</v>
      </c>
      <c r="AS2501" t="s">
        <v>8423</v>
      </c>
      <c r="AT2501">
        <v>2.4620000000000002</v>
      </c>
      <c r="AU2501" t="s">
        <v>267</v>
      </c>
      <c r="AV2501">
        <v>107</v>
      </c>
      <c r="AW2501">
        <v>31</v>
      </c>
      <c r="AX2501" t="s">
        <v>8424</v>
      </c>
      <c r="AY2501">
        <v>5.9459999999999999E-2</v>
      </c>
      <c r="AZ2501">
        <v>-2.32E-3</v>
      </c>
      <c r="BA2501">
        <v>3.79E-3</v>
      </c>
      <c r="BB2501">
        <v>-2.3000000000000001E-4</v>
      </c>
      <c r="BC2501">
        <v>6.3700000000000007E-2</v>
      </c>
      <c r="BD2501">
        <v>1</v>
      </c>
      <c r="BE2501" t="s">
        <v>69</v>
      </c>
      <c r="BF2501">
        <v>-0.91800000000000004</v>
      </c>
      <c r="BG2501">
        <v>-1.4239999999999999</v>
      </c>
    </row>
    <row r="2502" spans="1:59">
      <c r="A2502">
        <v>0</v>
      </c>
      <c r="B2502">
        <v>3</v>
      </c>
      <c r="C2502">
        <v>0</v>
      </c>
      <c r="D2502" t="s">
        <v>25022</v>
      </c>
      <c r="E2502">
        <v>2938</v>
      </c>
      <c r="F2502" t="s">
        <v>16930</v>
      </c>
      <c r="G2502" t="s">
        <v>62</v>
      </c>
      <c r="H2502">
        <v>2882974</v>
      </c>
      <c r="I2502">
        <v>2884629</v>
      </c>
      <c r="J2502" t="s">
        <v>16931</v>
      </c>
      <c r="K2502">
        <v>552</v>
      </c>
      <c r="L2502" t="s">
        <v>108</v>
      </c>
      <c r="M2502">
        <v>44</v>
      </c>
      <c r="N2502" t="str">
        <f>HYPERLINK("Gene2938-zp_tree_all.dnd", "Gene2938-tree")</f>
        <v>Gene2938-tree</v>
      </c>
      <c r="O2502">
        <v>9</v>
      </c>
      <c r="P2502">
        <v>5</v>
      </c>
      <c r="Q2502">
        <v>9</v>
      </c>
      <c r="R2502">
        <v>5</v>
      </c>
      <c r="S2502">
        <v>0.35714000000000001</v>
      </c>
      <c r="T2502" t="s">
        <v>135</v>
      </c>
      <c r="U2502" t="s">
        <v>199</v>
      </c>
      <c r="V2502" t="s">
        <v>62</v>
      </c>
      <c r="W2502" t="s">
        <v>62</v>
      </c>
      <c r="X2502">
        <v>1</v>
      </c>
      <c r="Y2502">
        <v>3</v>
      </c>
      <c r="Z2502">
        <v>5</v>
      </c>
      <c r="AA2502">
        <v>0.375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5</v>
      </c>
      <c r="AK2502">
        <v>0</v>
      </c>
      <c r="AL2502">
        <v>12</v>
      </c>
      <c r="AM2502">
        <v>11</v>
      </c>
      <c r="AN2502">
        <v>53</v>
      </c>
      <c r="AO2502">
        <v>5</v>
      </c>
      <c r="AP2502">
        <v>33</v>
      </c>
      <c r="AQ2502">
        <v>4</v>
      </c>
      <c r="AR2502" t="s">
        <v>16932</v>
      </c>
      <c r="AS2502" t="s">
        <v>16933</v>
      </c>
      <c r="AT2502">
        <v>0.19500000000000001</v>
      </c>
      <c r="AU2502" t="s">
        <v>65</v>
      </c>
      <c r="AV2502">
        <v>86</v>
      </c>
      <c r="AW2502">
        <v>9</v>
      </c>
      <c r="AX2502" t="s">
        <v>16934</v>
      </c>
      <c r="AY2502">
        <v>4.5589999999999999E-2</v>
      </c>
      <c r="AZ2502">
        <v>-1.4400000000000001E-3</v>
      </c>
      <c r="BA2502">
        <v>1.3699999999999999E-3</v>
      </c>
      <c r="BB2502">
        <v>-1.1E-4</v>
      </c>
      <c r="BC2502">
        <v>3.0089999999999999E-2</v>
      </c>
      <c r="BD2502">
        <v>1</v>
      </c>
      <c r="BE2502" t="s">
        <v>69</v>
      </c>
      <c r="BF2502">
        <v>-0.42899999999999999</v>
      </c>
      <c r="BG2502">
        <v>-0.74399999999999999</v>
      </c>
    </row>
    <row r="2503" spans="1:59">
      <c r="A2503">
        <v>0</v>
      </c>
      <c r="B2503">
        <v>5</v>
      </c>
      <c r="C2503">
        <v>2</v>
      </c>
      <c r="D2503" t="s">
        <v>25022</v>
      </c>
      <c r="E2503">
        <v>1645</v>
      </c>
      <c r="F2503" t="s">
        <v>10299</v>
      </c>
      <c r="G2503" t="s">
        <v>57</v>
      </c>
      <c r="H2503">
        <v>1656442</v>
      </c>
      <c r="I2503">
        <v>1658100</v>
      </c>
      <c r="J2503" t="s">
        <v>10300</v>
      </c>
      <c r="K2503">
        <v>553</v>
      </c>
      <c r="L2503" t="s">
        <v>108</v>
      </c>
      <c r="M2503">
        <v>44</v>
      </c>
      <c r="N2503" t="str">
        <f>HYPERLINK("Gene1645-zp_tree_all.dnd", "Gene1645-tree")</f>
        <v>Gene1645-tree</v>
      </c>
      <c r="O2503">
        <v>10</v>
      </c>
      <c r="P2503">
        <v>5</v>
      </c>
      <c r="Q2503">
        <v>10</v>
      </c>
      <c r="R2503">
        <v>5</v>
      </c>
      <c r="S2503">
        <v>0.33333000000000002</v>
      </c>
      <c r="T2503" t="s">
        <v>117</v>
      </c>
      <c r="U2503" t="s">
        <v>199</v>
      </c>
      <c r="V2503" t="s">
        <v>62</v>
      </c>
      <c r="W2503" t="s">
        <v>62</v>
      </c>
      <c r="X2503">
        <v>3</v>
      </c>
      <c r="Y2503">
        <v>7</v>
      </c>
      <c r="Z2503">
        <v>6</v>
      </c>
      <c r="AA2503">
        <v>0.53846000000000005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2</v>
      </c>
      <c r="AI2503">
        <v>2</v>
      </c>
      <c r="AJ2503">
        <v>5</v>
      </c>
      <c r="AK2503">
        <v>0.28571000000000002</v>
      </c>
      <c r="AL2503">
        <v>13</v>
      </c>
      <c r="AM2503">
        <v>10</v>
      </c>
      <c r="AN2503">
        <v>33</v>
      </c>
      <c r="AO2503">
        <v>7</v>
      </c>
      <c r="AP2503">
        <v>18</v>
      </c>
      <c r="AQ2503">
        <v>6</v>
      </c>
      <c r="AR2503" t="s">
        <v>10301</v>
      </c>
      <c r="AS2503" t="s">
        <v>10302</v>
      </c>
      <c r="AT2503">
        <v>0.53600000000000003</v>
      </c>
      <c r="AU2503" t="s">
        <v>65</v>
      </c>
      <c r="AV2503">
        <v>51</v>
      </c>
      <c r="AW2503">
        <v>13</v>
      </c>
      <c r="AX2503" t="s">
        <v>10303</v>
      </c>
      <c r="AY2503">
        <v>2.418E-2</v>
      </c>
      <c r="AZ2503">
        <v>-1.0200000000000001E-3</v>
      </c>
      <c r="BA2503">
        <v>2.33E-3</v>
      </c>
      <c r="BB2503">
        <v>-1.4999999999999999E-4</v>
      </c>
      <c r="BC2503">
        <v>9.6149999999999999E-2</v>
      </c>
      <c r="BD2503">
        <v>1</v>
      </c>
      <c r="BE2503" t="s">
        <v>69</v>
      </c>
      <c r="BF2503">
        <v>-0.44500000000000001</v>
      </c>
      <c r="BG2503">
        <v>-1.831</v>
      </c>
    </row>
    <row r="2504" spans="1:59">
      <c r="A2504">
        <v>0</v>
      </c>
      <c r="B2504">
        <v>4</v>
      </c>
      <c r="C2504">
        <v>0</v>
      </c>
      <c r="D2504" t="s">
        <v>25022</v>
      </c>
      <c r="E2504">
        <v>965</v>
      </c>
      <c r="F2504" t="s">
        <v>6049</v>
      </c>
      <c r="G2504" t="s">
        <v>57</v>
      </c>
      <c r="H2504">
        <v>1004975</v>
      </c>
      <c r="I2504">
        <v>1006639</v>
      </c>
      <c r="J2504" t="s">
        <v>6050</v>
      </c>
      <c r="K2504">
        <v>555</v>
      </c>
      <c r="L2504" t="s">
        <v>108</v>
      </c>
      <c r="M2504">
        <v>44</v>
      </c>
      <c r="N2504" t="str">
        <f>HYPERLINK("Gene965-zp_tree_all.dnd", "Gene965-tree")</f>
        <v>Gene965-tree</v>
      </c>
      <c r="O2504">
        <v>7</v>
      </c>
      <c r="P2504">
        <v>7</v>
      </c>
      <c r="Q2504">
        <v>7</v>
      </c>
      <c r="R2504">
        <v>7</v>
      </c>
      <c r="S2504">
        <v>0.5</v>
      </c>
      <c r="T2504" t="s">
        <v>152</v>
      </c>
      <c r="U2504" t="s">
        <v>152</v>
      </c>
      <c r="V2504" t="s">
        <v>62</v>
      </c>
      <c r="W2504" t="s">
        <v>62</v>
      </c>
      <c r="X2504">
        <v>1</v>
      </c>
      <c r="Y2504">
        <v>4</v>
      </c>
      <c r="Z2504">
        <v>12</v>
      </c>
      <c r="AA2504">
        <v>0.25</v>
      </c>
      <c r="AB2504">
        <v>0</v>
      </c>
      <c r="AC2504">
        <v>0</v>
      </c>
      <c r="AD2504">
        <v>0</v>
      </c>
      <c r="AE2504">
        <v>2</v>
      </c>
      <c r="AF2504">
        <v>0</v>
      </c>
      <c r="AG2504">
        <v>0</v>
      </c>
      <c r="AH2504">
        <v>0</v>
      </c>
      <c r="AI2504">
        <v>0</v>
      </c>
      <c r="AJ2504">
        <v>12</v>
      </c>
      <c r="AK2504">
        <v>0</v>
      </c>
      <c r="AL2504">
        <v>13</v>
      </c>
      <c r="AM2504">
        <v>11</v>
      </c>
      <c r="AN2504">
        <v>40</v>
      </c>
      <c r="AO2504">
        <v>12</v>
      </c>
      <c r="AP2504">
        <v>25</v>
      </c>
      <c r="AQ2504">
        <v>4</v>
      </c>
      <c r="AR2504" t="s">
        <v>6051</v>
      </c>
      <c r="AS2504" t="s">
        <v>6052</v>
      </c>
      <c r="AT2504">
        <v>0.52200000000000002</v>
      </c>
      <c r="AU2504" t="s">
        <v>65</v>
      </c>
      <c r="AV2504">
        <v>65</v>
      </c>
      <c r="AW2504">
        <v>16</v>
      </c>
      <c r="AX2504" t="s">
        <v>6053</v>
      </c>
      <c r="AY2504">
        <v>3.2230000000000002E-2</v>
      </c>
      <c r="AZ2504">
        <v>-1.3699999999999999E-3</v>
      </c>
      <c r="BA2504">
        <v>1.82E-3</v>
      </c>
      <c r="BB2504">
        <v>-1.2999999999999999E-4</v>
      </c>
      <c r="BC2504">
        <v>5.654E-2</v>
      </c>
      <c r="BD2504">
        <v>1</v>
      </c>
      <c r="BE2504" t="s">
        <v>69</v>
      </c>
      <c r="BF2504">
        <v>-0.90500000000000003</v>
      </c>
      <c r="BG2504">
        <v>-1.135</v>
      </c>
    </row>
    <row r="2505" spans="1:59">
      <c r="A2505">
        <v>0</v>
      </c>
      <c r="B2505">
        <v>0</v>
      </c>
      <c r="C2505">
        <v>3</v>
      </c>
      <c r="D2505" t="s">
        <v>25022</v>
      </c>
      <c r="E2505">
        <v>1740</v>
      </c>
      <c r="F2505" t="s">
        <v>10917</v>
      </c>
      <c r="G2505" t="s">
        <v>57</v>
      </c>
      <c r="H2505">
        <v>1749418</v>
      </c>
      <c r="I2505">
        <v>1751082</v>
      </c>
      <c r="J2505" t="s">
        <v>10918</v>
      </c>
      <c r="K2505">
        <v>555</v>
      </c>
      <c r="L2505" t="s">
        <v>59</v>
      </c>
      <c r="M2505">
        <v>49</v>
      </c>
      <c r="N2505" t="str">
        <f>HYPERLINK("Gene1740-zp_tree_all.dnd", "Gene1740-tree")</f>
        <v>Gene1740-tree</v>
      </c>
      <c r="O2505">
        <v>16</v>
      </c>
      <c r="P2505">
        <v>2</v>
      </c>
      <c r="Q2505">
        <v>16</v>
      </c>
      <c r="R2505">
        <v>2</v>
      </c>
      <c r="S2505">
        <v>0.11111</v>
      </c>
      <c r="T2505" t="s">
        <v>60</v>
      </c>
      <c r="U2505" t="s">
        <v>81</v>
      </c>
      <c r="V2505" t="s">
        <v>62</v>
      </c>
      <c r="W2505" t="s">
        <v>62</v>
      </c>
      <c r="X2505">
        <v>1</v>
      </c>
      <c r="Y2505">
        <v>3</v>
      </c>
      <c r="Z2505">
        <v>5</v>
      </c>
      <c r="AA2505">
        <v>0.375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</v>
      </c>
      <c r="AK2505">
        <v>0</v>
      </c>
      <c r="AL2505">
        <v>16</v>
      </c>
      <c r="AM2505">
        <v>13</v>
      </c>
      <c r="AN2505">
        <v>72</v>
      </c>
      <c r="AO2505">
        <v>2</v>
      </c>
      <c r="AP2505">
        <v>94</v>
      </c>
      <c r="AQ2505">
        <v>7</v>
      </c>
      <c r="AR2505" t="s">
        <v>10919</v>
      </c>
      <c r="AS2505" t="s">
        <v>10920</v>
      </c>
      <c r="AT2505">
        <v>0.46100000000000002</v>
      </c>
      <c r="AU2505" t="s">
        <v>65</v>
      </c>
      <c r="AV2505">
        <v>166</v>
      </c>
      <c r="AW2505">
        <v>9</v>
      </c>
      <c r="AX2505" t="s">
        <v>10921</v>
      </c>
      <c r="AY2505">
        <v>0.10316</v>
      </c>
      <c r="AZ2505">
        <v>-6.7600000000000004E-3</v>
      </c>
      <c r="BA2505">
        <v>1.98E-3</v>
      </c>
      <c r="BB2505">
        <v>-1.6000000000000001E-4</v>
      </c>
      <c r="BC2505">
        <v>1.916E-2</v>
      </c>
      <c r="BD2505">
        <v>1</v>
      </c>
      <c r="BE2505" t="s">
        <v>69</v>
      </c>
      <c r="BF2505">
        <v>-1.4990000000000001</v>
      </c>
      <c r="BG2505">
        <v>-0.875</v>
      </c>
    </row>
    <row r="2506" spans="1:59">
      <c r="A2506">
        <v>0</v>
      </c>
      <c r="B2506">
        <v>0</v>
      </c>
      <c r="C2506">
        <v>0</v>
      </c>
      <c r="D2506" t="s">
        <v>25022</v>
      </c>
      <c r="E2506">
        <v>3869</v>
      </c>
      <c r="F2506" t="s">
        <v>22693</v>
      </c>
      <c r="G2506" t="s">
        <v>62</v>
      </c>
      <c r="H2506">
        <v>3833653</v>
      </c>
      <c r="I2506">
        <v>3835320</v>
      </c>
      <c r="J2506" t="s">
        <v>22694</v>
      </c>
      <c r="K2506">
        <v>556</v>
      </c>
      <c r="L2506" t="s">
        <v>160</v>
      </c>
      <c r="M2506">
        <v>45</v>
      </c>
      <c r="N2506" t="str">
        <f>HYPERLINK("Gene3869-zp_tree_all.dnd", "Gene3869-tree")</f>
        <v>Gene3869-tree</v>
      </c>
      <c r="O2506">
        <v>12</v>
      </c>
      <c r="P2506">
        <v>4</v>
      </c>
      <c r="Q2506">
        <v>12</v>
      </c>
      <c r="R2506">
        <v>4</v>
      </c>
      <c r="S2506">
        <v>0.25</v>
      </c>
      <c r="T2506" t="s">
        <v>109</v>
      </c>
      <c r="U2506" t="s">
        <v>61</v>
      </c>
      <c r="V2506" t="s">
        <v>62</v>
      </c>
      <c r="W2506" t="s">
        <v>62</v>
      </c>
      <c r="X2506">
        <v>0</v>
      </c>
      <c r="Y2506">
        <v>0</v>
      </c>
      <c r="Z2506">
        <v>14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11</v>
      </c>
      <c r="AK2506">
        <v>0</v>
      </c>
      <c r="AL2506">
        <v>14</v>
      </c>
      <c r="AM2506">
        <v>13</v>
      </c>
      <c r="AN2506">
        <v>124</v>
      </c>
      <c r="AO2506">
        <v>10</v>
      </c>
      <c r="AP2506">
        <v>55</v>
      </c>
      <c r="AQ2506">
        <v>4</v>
      </c>
      <c r="AR2506" t="s">
        <v>22695</v>
      </c>
      <c r="AS2506" t="s">
        <v>22696</v>
      </c>
      <c r="AT2506">
        <v>1.9E-2</v>
      </c>
      <c r="AU2506" t="s">
        <v>65</v>
      </c>
      <c r="AV2506">
        <v>179</v>
      </c>
      <c r="AW2506">
        <v>14</v>
      </c>
      <c r="AX2506" t="s">
        <v>22697</v>
      </c>
      <c r="AY2506">
        <v>7.3120000000000004E-2</v>
      </c>
      <c r="AZ2506">
        <v>-5.0400000000000002E-3</v>
      </c>
      <c r="BA2506">
        <v>1.8500000000000001E-3</v>
      </c>
      <c r="BB2506">
        <v>-1.7000000000000001E-4</v>
      </c>
      <c r="BC2506">
        <v>2.53E-2</v>
      </c>
      <c r="BD2506">
        <v>1</v>
      </c>
      <c r="BE2506" t="s">
        <v>69</v>
      </c>
      <c r="BF2506">
        <v>-1.454</v>
      </c>
      <c r="BG2506">
        <v>-3.06</v>
      </c>
    </row>
    <row r="2507" spans="1:59">
      <c r="A2507">
        <v>0</v>
      </c>
      <c r="B2507">
        <v>0</v>
      </c>
      <c r="C2507">
        <v>0</v>
      </c>
      <c r="D2507" t="s">
        <v>25022</v>
      </c>
      <c r="E2507">
        <v>2278</v>
      </c>
      <c r="F2507" t="s">
        <v>13183</v>
      </c>
      <c r="G2507" t="s">
        <v>62</v>
      </c>
      <c r="H2507">
        <v>2300765</v>
      </c>
      <c r="I2507">
        <v>2302438</v>
      </c>
      <c r="J2507" t="s">
        <v>13184</v>
      </c>
      <c r="K2507">
        <v>558</v>
      </c>
      <c r="L2507" t="s">
        <v>108</v>
      </c>
      <c r="M2507">
        <v>44</v>
      </c>
      <c r="N2507" t="str">
        <f>HYPERLINK("Gene2278-zp_tree_all.dnd", "Gene2278-tree")</f>
        <v>Gene2278-tree</v>
      </c>
      <c r="O2507">
        <v>10</v>
      </c>
      <c r="P2507">
        <v>2</v>
      </c>
      <c r="Q2507">
        <v>10</v>
      </c>
      <c r="R2507">
        <v>2</v>
      </c>
      <c r="S2507">
        <v>0.16667000000000001</v>
      </c>
      <c r="T2507" t="s">
        <v>117</v>
      </c>
      <c r="U2507" t="s">
        <v>81</v>
      </c>
      <c r="V2507" t="s">
        <v>62</v>
      </c>
      <c r="W2507" t="s">
        <v>62</v>
      </c>
      <c r="X2507">
        <v>0</v>
      </c>
      <c r="Y2507">
        <v>0</v>
      </c>
      <c r="Z2507">
        <v>3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3</v>
      </c>
      <c r="AK2507">
        <v>0</v>
      </c>
      <c r="AL2507">
        <v>9</v>
      </c>
      <c r="AM2507">
        <v>9</v>
      </c>
      <c r="AN2507">
        <v>34</v>
      </c>
      <c r="AO2507">
        <v>3</v>
      </c>
      <c r="AP2507">
        <v>28</v>
      </c>
      <c r="AQ2507">
        <v>0</v>
      </c>
      <c r="AR2507" t="s">
        <v>13185</v>
      </c>
      <c r="AS2507" t="s">
        <v>193</v>
      </c>
      <c r="AT2507">
        <v>0.67500000000000004</v>
      </c>
      <c r="AU2507" t="s">
        <v>65</v>
      </c>
      <c r="AV2507">
        <v>62</v>
      </c>
      <c r="AW2507">
        <v>3</v>
      </c>
      <c r="AX2507" t="s">
        <v>13186</v>
      </c>
      <c r="AY2507">
        <v>3.5209999999999998E-2</v>
      </c>
      <c r="AZ2507">
        <v>-1.57E-3</v>
      </c>
      <c r="BA2507">
        <v>3.8999999999999999E-4</v>
      </c>
      <c r="BB2507">
        <v>-8.0000000000000007E-5</v>
      </c>
      <c r="BC2507">
        <v>1.116E-2</v>
      </c>
      <c r="BD2507">
        <v>1</v>
      </c>
      <c r="BE2507" t="s">
        <v>69</v>
      </c>
      <c r="BF2507">
        <v>-0.36199999999999999</v>
      </c>
      <c r="BG2507">
        <v>-1.3580000000000001</v>
      </c>
    </row>
    <row r="2508" spans="1:59">
      <c r="A2508">
        <v>0</v>
      </c>
      <c r="B2508">
        <v>21</v>
      </c>
      <c r="C2508">
        <v>2</v>
      </c>
      <c r="D2508" t="s">
        <v>25022</v>
      </c>
      <c r="E2508">
        <v>2996</v>
      </c>
      <c r="F2508" t="s">
        <v>17298</v>
      </c>
      <c r="G2508" t="s">
        <v>62</v>
      </c>
      <c r="H2508">
        <v>2945692</v>
      </c>
      <c r="I2508">
        <v>2947371</v>
      </c>
      <c r="J2508" t="s">
        <v>17299</v>
      </c>
      <c r="K2508">
        <v>560</v>
      </c>
      <c r="L2508" t="s">
        <v>108</v>
      </c>
      <c r="M2508">
        <v>44</v>
      </c>
      <c r="N2508" t="str">
        <f>HYPERLINK("Gene2996-zp_tree_all.dnd", "Gene2996-tree")</f>
        <v>Gene2996-tree</v>
      </c>
      <c r="O2508">
        <v>2</v>
      </c>
      <c r="P2508">
        <v>12</v>
      </c>
      <c r="Q2508">
        <v>2</v>
      </c>
      <c r="R2508">
        <v>12</v>
      </c>
      <c r="S2508">
        <v>0.85714000000000001</v>
      </c>
      <c r="T2508" t="s">
        <v>81</v>
      </c>
      <c r="U2508" t="s">
        <v>109</v>
      </c>
      <c r="V2508" t="s">
        <v>62</v>
      </c>
      <c r="W2508" t="s">
        <v>62</v>
      </c>
      <c r="X2508">
        <v>8</v>
      </c>
      <c r="Y2508">
        <v>23</v>
      </c>
      <c r="Z2508">
        <v>12</v>
      </c>
      <c r="AA2508">
        <v>0.65713999999999995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8</v>
      </c>
      <c r="AH2508">
        <v>2</v>
      </c>
      <c r="AI2508">
        <v>10</v>
      </c>
      <c r="AJ2508">
        <v>13</v>
      </c>
      <c r="AK2508">
        <v>0.43478</v>
      </c>
      <c r="AL2508">
        <v>14</v>
      </c>
      <c r="AM2508">
        <v>10</v>
      </c>
      <c r="AN2508">
        <v>67</v>
      </c>
      <c r="AO2508">
        <v>23</v>
      </c>
      <c r="AP2508">
        <v>29</v>
      </c>
      <c r="AQ2508">
        <v>12</v>
      </c>
      <c r="AR2508" t="s">
        <v>17300</v>
      </c>
      <c r="AS2508" t="s">
        <v>17301</v>
      </c>
      <c r="AT2508">
        <v>0.25800000000000001</v>
      </c>
      <c r="AU2508" t="s">
        <v>65</v>
      </c>
      <c r="AV2508">
        <v>96</v>
      </c>
      <c r="AW2508">
        <v>35</v>
      </c>
      <c r="AX2508" t="s">
        <v>17302</v>
      </c>
      <c r="AY2508">
        <v>4.0800000000000003E-2</v>
      </c>
      <c r="AZ2508">
        <v>-1.81E-3</v>
      </c>
      <c r="BA2508">
        <v>3.48E-3</v>
      </c>
      <c r="BB2508">
        <v>-1.4999999999999999E-4</v>
      </c>
      <c r="BC2508">
        <v>8.5370000000000001E-2</v>
      </c>
      <c r="BD2508">
        <v>1</v>
      </c>
      <c r="BE2508" t="s">
        <v>69</v>
      </c>
      <c r="BF2508">
        <v>-1.165</v>
      </c>
      <c r="BG2508">
        <v>-2.65</v>
      </c>
    </row>
    <row r="2509" spans="1:59">
      <c r="A2509">
        <v>0</v>
      </c>
      <c r="B2509">
        <v>2</v>
      </c>
      <c r="C2509">
        <v>4</v>
      </c>
      <c r="D2509" t="s">
        <v>25022</v>
      </c>
      <c r="E2509">
        <v>2973</v>
      </c>
      <c r="F2509" t="s">
        <v>17150</v>
      </c>
      <c r="G2509" t="s">
        <v>62</v>
      </c>
      <c r="H2509">
        <v>2918649</v>
      </c>
      <c r="I2509">
        <v>2920328</v>
      </c>
      <c r="J2509" t="s">
        <v>17151</v>
      </c>
      <c r="K2509">
        <v>560</v>
      </c>
      <c r="L2509" t="s">
        <v>108</v>
      </c>
      <c r="M2509">
        <v>44</v>
      </c>
      <c r="N2509" t="str">
        <f>HYPERLINK("Gene2973-zp_tree_all.dnd", "Gene2973-tree")</f>
        <v>Gene2973-tree</v>
      </c>
      <c r="O2509">
        <v>3</v>
      </c>
      <c r="P2509">
        <v>9</v>
      </c>
      <c r="Q2509">
        <v>3</v>
      </c>
      <c r="R2509">
        <v>9</v>
      </c>
      <c r="S2509">
        <v>0.75</v>
      </c>
      <c r="T2509" t="s">
        <v>324</v>
      </c>
      <c r="U2509" t="s">
        <v>135</v>
      </c>
      <c r="V2509" t="s">
        <v>62</v>
      </c>
      <c r="W2509" t="s">
        <v>62</v>
      </c>
      <c r="X2509">
        <v>3</v>
      </c>
      <c r="Y2509">
        <v>6</v>
      </c>
      <c r="Z2509">
        <v>13</v>
      </c>
      <c r="AA2509">
        <v>0.31579000000000002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2</v>
      </c>
      <c r="AI2509">
        <v>2</v>
      </c>
      <c r="AJ2509">
        <v>13</v>
      </c>
      <c r="AK2509">
        <v>0.13333</v>
      </c>
      <c r="AL2509">
        <v>12</v>
      </c>
      <c r="AM2509">
        <v>7</v>
      </c>
      <c r="AN2509">
        <v>53</v>
      </c>
      <c r="AO2509">
        <v>16</v>
      </c>
      <c r="AP2509">
        <v>23</v>
      </c>
      <c r="AQ2509">
        <v>4</v>
      </c>
      <c r="AR2509" t="s">
        <v>17152</v>
      </c>
      <c r="AS2509" t="s">
        <v>17153</v>
      </c>
      <c r="AT2509">
        <v>0.75800000000000001</v>
      </c>
      <c r="AU2509" t="s">
        <v>65</v>
      </c>
      <c r="AV2509">
        <v>76</v>
      </c>
      <c r="AW2509">
        <v>20</v>
      </c>
      <c r="AX2509" t="s">
        <v>17154</v>
      </c>
      <c r="AY2509">
        <v>3.7960000000000001E-2</v>
      </c>
      <c r="AZ2509">
        <v>-1.5299999999999999E-3</v>
      </c>
      <c r="BA2509">
        <v>3.0300000000000001E-3</v>
      </c>
      <c r="BB2509">
        <v>-1.3999999999999999E-4</v>
      </c>
      <c r="BC2509">
        <v>7.9769999999999994E-2</v>
      </c>
      <c r="BD2509">
        <v>1</v>
      </c>
      <c r="BE2509" t="s">
        <v>69</v>
      </c>
      <c r="BF2509">
        <v>-0.84299999999999997</v>
      </c>
      <c r="BG2509">
        <v>-1.07</v>
      </c>
    </row>
    <row r="2510" spans="1:59">
      <c r="A2510">
        <v>0</v>
      </c>
      <c r="B2510">
        <v>25</v>
      </c>
      <c r="C2510">
        <v>1</v>
      </c>
      <c r="D2510" t="s">
        <v>25022</v>
      </c>
      <c r="E2510">
        <v>285</v>
      </c>
      <c r="F2510" t="s">
        <v>1946</v>
      </c>
      <c r="G2510" t="s">
        <v>57</v>
      </c>
      <c r="H2510">
        <v>306459</v>
      </c>
      <c r="I2510">
        <v>308141</v>
      </c>
      <c r="J2510" t="s">
        <v>1947</v>
      </c>
      <c r="K2510">
        <v>561</v>
      </c>
      <c r="L2510" t="s">
        <v>108</v>
      </c>
      <c r="M2510">
        <v>44</v>
      </c>
      <c r="N2510" t="str">
        <f>HYPERLINK("Gene285-zp_tree_all.dnd", "Gene285-tree")</f>
        <v>Gene285-tree</v>
      </c>
      <c r="O2510">
        <v>1</v>
      </c>
      <c r="P2510">
        <v>14</v>
      </c>
      <c r="Q2510">
        <v>1</v>
      </c>
      <c r="R2510">
        <v>14</v>
      </c>
      <c r="S2510">
        <v>0.93332999999999999</v>
      </c>
      <c r="T2510" t="s">
        <v>175</v>
      </c>
      <c r="U2510" t="s">
        <v>543</v>
      </c>
      <c r="V2510">
        <v>1865302226.941</v>
      </c>
      <c r="W2510" t="s">
        <v>267</v>
      </c>
      <c r="X2510">
        <v>10</v>
      </c>
      <c r="Y2510">
        <v>26</v>
      </c>
      <c r="Z2510">
        <v>27</v>
      </c>
      <c r="AA2510">
        <v>0.49057000000000001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10</v>
      </c>
      <c r="AH2510">
        <v>3</v>
      </c>
      <c r="AI2510">
        <v>13</v>
      </c>
      <c r="AJ2510">
        <v>23</v>
      </c>
      <c r="AK2510">
        <v>0.36110999999999999</v>
      </c>
      <c r="AL2510">
        <v>14</v>
      </c>
      <c r="AM2510">
        <v>12</v>
      </c>
      <c r="AN2510">
        <v>48</v>
      </c>
      <c r="AO2510">
        <v>33</v>
      </c>
      <c r="AP2510">
        <v>24</v>
      </c>
      <c r="AQ2510">
        <v>20</v>
      </c>
      <c r="AR2510" t="s">
        <v>1948</v>
      </c>
      <c r="AS2510" t="s">
        <v>1949</v>
      </c>
      <c r="AT2510">
        <v>0.44800000000000001</v>
      </c>
      <c r="AU2510" t="s">
        <v>65</v>
      </c>
      <c r="AV2510">
        <v>72</v>
      </c>
      <c r="AW2510">
        <v>53</v>
      </c>
      <c r="AX2510" t="s">
        <v>1950</v>
      </c>
      <c r="AY2510">
        <v>3.5310000000000001E-2</v>
      </c>
      <c r="AZ2510">
        <v>-1.6299999999999999E-3</v>
      </c>
      <c r="BA2510">
        <v>6.5799999999999999E-3</v>
      </c>
      <c r="BB2510">
        <v>-1.9000000000000001E-4</v>
      </c>
      <c r="BC2510">
        <v>0.18640999999999999</v>
      </c>
      <c r="BD2510">
        <v>1</v>
      </c>
      <c r="BE2510" t="s">
        <v>69</v>
      </c>
      <c r="BF2510">
        <v>-0.91400000000000003</v>
      </c>
      <c r="BG2510">
        <v>-2.35</v>
      </c>
    </row>
    <row r="2511" spans="1:59">
      <c r="A2511">
        <v>0</v>
      </c>
      <c r="B2511">
        <v>10</v>
      </c>
      <c r="C2511">
        <v>6</v>
      </c>
      <c r="D2511" t="s">
        <v>25022</v>
      </c>
      <c r="E2511">
        <v>3582</v>
      </c>
      <c r="F2511" t="s">
        <v>21016</v>
      </c>
      <c r="G2511" t="s">
        <v>62</v>
      </c>
      <c r="H2511">
        <v>3547553</v>
      </c>
      <c r="I2511">
        <v>3549235</v>
      </c>
      <c r="J2511" t="s">
        <v>21017</v>
      </c>
      <c r="K2511">
        <v>561</v>
      </c>
      <c r="L2511" t="s">
        <v>108</v>
      </c>
      <c r="M2511">
        <v>44</v>
      </c>
      <c r="N2511" t="str">
        <f>HYPERLINK("Gene3582-zp_tree_all.dnd", "Gene3582-tree")</f>
        <v>Gene3582-tree</v>
      </c>
      <c r="O2511">
        <v>1</v>
      </c>
      <c r="P2511">
        <v>14</v>
      </c>
      <c r="Q2511">
        <v>1</v>
      </c>
      <c r="R2511">
        <v>14</v>
      </c>
      <c r="S2511">
        <v>0.93332999999999999</v>
      </c>
      <c r="T2511" t="s">
        <v>175</v>
      </c>
      <c r="U2511" t="s">
        <v>543</v>
      </c>
      <c r="V2511">
        <v>1865302226.941</v>
      </c>
      <c r="W2511" t="s">
        <v>267</v>
      </c>
      <c r="X2511">
        <v>8</v>
      </c>
      <c r="Y2511">
        <v>16</v>
      </c>
      <c r="Z2511">
        <v>19</v>
      </c>
      <c r="AA2511">
        <v>0.45713999999999999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</v>
      </c>
      <c r="AH2511">
        <v>6</v>
      </c>
      <c r="AI2511">
        <v>8</v>
      </c>
      <c r="AJ2511">
        <v>22</v>
      </c>
      <c r="AK2511">
        <v>0.26667000000000002</v>
      </c>
      <c r="AL2511">
        <v>13</v>
      </c>
      <c r="AM2511">
        <v>12</v>
      </c>
      <c r="AN2511">
        <v>34</v>
      </c>
      <c r="AO2511">
        <v>27</v>
      </c>
      <c r="AP2511">
        <v>25</v>
      </c>
      <c r="AQ2511">
        <v>8</v>
      </c>
      <c r="AR2511" t="s">
        <v>21018</v>
      </c>
      <c r="AS2511" t="s">
        <v>21019</v>
      </c>
      <c r="AT2511">
        <v>1.2729999999999999</v>
      </c>
      <c r="AU2511" t="s">
        <v>65</v>
      </c>
      <c r="AV2511">
        <v>59</v>
      </c>
      <c r="AW2511">
        <v>35</v>
      </c>
      <c r="AX2511" t="s">
        <v>11938</v>
      </c>
      <c r="AY2511">
        <v>2.869E-2</v>
      </c>
      <c r="AZ2511">
        <v>-1.0200000000000001E-3</v>
      </c>
      <c r="BA2511">
        <v>4.5999999999999999E-3</v>
      </c>
      <c r="BB2511">
        <v>-1.3999999999999999E-4</v>
      </c>
      <c r="BC2511">
        <v>0.16023000000000001</v>
      </c>
      <c r="BD2511">
        <v>1</v>
      </c>
      <c r="BE2511" t="s">
        <v>69</v>
      </c>
      <c r="BF2511">
        <v>-0.67700000000000005</v>
      </c>
      <c r="BG2511">
        <v>-2.1269999999999998</v>
      </c>
    </row>
    <row r="2512" spans="1:59">
      <c r="A2512">
        <v>0</v>
      </c>
      <c r="B2512">
        <v>23</v>
      </c>
      <c r="C2512">
        <v>0</v>
      </c>
      <c r="D2512" t="s">
        <v>25022</v>
      </c>
      <c r="E2512">
        <v>1931</v>
      </c>
      <c r="F2512" t="s">
        <v>12099</v>
      </c>
      <c r="G2512" t="s">
        <v>62</v>
      </c>
      <c r="H2512">
        <v>2029432</v>
      </c>
      <c r="I2512">
        <v>2031114</v>
      </c>
      <c r="J2512" t="s">
        <v>12100</v>
      </c>
      <c r="K2512">
        <v>561</v>
      </c>
      <c r="L2512" t="s">
        <v>12101</v>
      </c>
      <c r="M2512">
        <v>35</v>
      </c>
      <c r="N2512" t="str">
        <f>HYPERLINK("Gene1931-zp_tree_all.dnd", "Gene1931-tree")</f>
        <v>Gene1931-tree</v>
      </c>
      <c r="O2512">
        <v>2</v>
      </c>
      <c r="P2512">
        <v>9</v>
      </c>
      <c r="Q2512">
        <v>2</v>
      </c>
      <c r="R2512">
        <v>9</v>
      </c>
      <c r="S2512">
        <v>0.81818000000000002</v>
      </c>
      <c r="T2512" t="s">
        <v>81</v>
      </c>
      <c r="U2512" t="s">
        <v>135</v>
      </c>
      <c r="V2512" t="s">
        <v>62</v>
      </c>
      <c r="W2512" t="s">
        <v>62</v>
      </c>
      <c r="X2512">
        <v>9</v>
      </c>
      <c r="Y2512">
        <v>23</v>
      </c>
      <c r="Z2512">
        <v>26</v>
      </c>
      <c r="AA2512">
        <v>0.46938999999999997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4</v>
      </c>
      <c r="AH2512">
        <v>2</v>
      </c>
      <c r="AI2512">
        <v>6</v>
      </c>
      <c r="AJ2512">
        <v>22</v>
      </c>
      <c r="AK2512">
        <v>0.21429000000000001</v>
      </c>
      <c r="AL2512">
        <v>11</v>
      </c>
      <c r="AM2512">
        <v>8</v>
      </c>
      <c r="AN2512">
        <v>68</v>
      </c>
      <c r="AO2512">
        <v>28</v>
      </c>
      <c r="AP2512">
        <v>76</v>
      </c>
      <c r="AQ2512">
        <v>21</v>
      </c>
      <c r="AR2512" t="s">
        <v>12102</v>
      </c>
      <c r="AS2512" t="s">
        <v>12103</v>
      </c>
      <c r="AT2512">
        <v>0.77900000000000003</v>
      </c>
      <c r="AU2512" t="s">
        <v>65</v>
      </c>
      <c r="AV2512">
        <v>144</v>
      </c>
      <c r="AW2512">
        <v>49</v>
      </c>
      <c r="AX2512" t="s">
        <v>12104</v>
      </c>
      <c r="AY2512">
        <v>9.6180000000000002E-2</v>
      </c>
      <c r="AZ2512">
        <v>-5.3200000000000001E-3</v>
      </c>
      <c r="BA2512">
        <v>8.8800000000000007E-3</v>
      </c>
      <c r="BB2512">
        <v>-4.2000000000000002E-4</v>
      </c>
      <c r="BC2512">
        <v>9.2350000000000002E-2</v>
      </c>
      <c r="BD2512">
        <v>1</v>
      </c>
      <c r="BE2512" t="s">
        <v>69</v>
      </c>
      <c r="BF2512">
        <v>-0.32600000000000001</v>
      </c>
      <c r="BG2512">
        <v>0.11700000000000001</v>
      </c>
    </row>
    <row r="2513" spans="1:59">
      <c r="A2513">
        <v>0</v>
      </c>
      <c r="B2513">
        <v>0</v>
      </c>
      <c r="C2513">
        <v>0</v>
      </c>
      <c r="D2513" t="s">
        <v>25022</v>
      </c>
      <c r="E2513">
        <v>815</v>
      </c>
      <c r="F2513" t="s">
        <v>5072</v>
      </c>
      <c r="G2513" t="s">
        <v>57</v>
      </c>
      <c r="H2513">
        <v>851850</v>
      </c>
      <c r="I2513">
        <v>853532</v>
      </c>
      <c r="J2513" t="s">
        <v>5073</v>
      </c>
      <c r="K2513">
        <v>561</v>
      </c>
      <c r="L2513" t="s">
        <v>5074</v>
      </c>
      <c r="M2513">
        <v>33</v>
      </c>
      <c r="N2513" t="str">
        <f>HYPERLINK("Gene815-zp_tree_all.dnd", "Gene815-tree")</f>
        <v>Gene815-tree</v>
      </c>
      <c r="O2513">
        <v>4</v>
      </c>
      <c r="P2513">
        <v>4</v>
      </c>
      <c r="Q2513">
        <v>4</v>
      </c>
      <c r="R2513">
        <v>4</v>
      </c>
      <c r="S2513">
        <v>0.5</v>
      </c>
      <c r="T2513" t="s">
        <v>61</v>
      </c>
      <c r="U2513" t="s">
        <v>61</v>
      </c>
      <c r="V2513" t="s">
        <v>62</v>
      </c>
      <c r="W2513" t="s">
        <v>62</v>
      </c>
      <c r="X2513">
        <v>0</v>
      </c>
      <c r="Y2513">
        <v>0</v>
      </c>
      <c r="Z2513">
        <v>13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</v>
      </c>
      <c r="AK2513">
        <v>0</v>
      </c>
      <c r="AL2513">
        <v>7</v>
      </c>
      <c r="AM2513">
        <v>5</v>
      </c>
      <c r="AN2513">
        <v>37</v>
      </c>
      <c r="AO2513">
        <v>6</v>
      </c>
      <c r="AP2513">
        <v>34</v>
      </c>
      <c r="AQ2513">
        <v>8</v>
      </c>
      <c r="AR2513" t="s">
        <v>5075</v>
      </c>
      <c r="AS2513" t="s">
        <v>5076</v>
      </c>
      <c r="AT2513">
        <v>0.40400000000000003</v>
      </c>
      <c r="AU2513" t="s">
        <v>65</v>
      </c>
      <c r="AV2513">
        <v>71</v>
      </c>
      <c r="AW2513">
        <v>14</v>
      </c>
      <c r="AX2513" t="s">
        <v>5077</v>
      </c>
      <c r="AY2513">
        <v>6.7409999999999998E-2</v>
      </c>
      <c r="AZ2513">
        <v>-5.6100000000000004E-3</v>
      </c>
      <c r="BA2513">
        <v>4.2300000000000003E-3</v>
      </c>
      <c r="BB2513">
        <v>-3.8000000000000002E-4</v>
      </c>
      <c r="BC2513">
        <v>6.2700000000000006E-2</v>
      </c>
      <c r="BD2513">
        <v>1</v>
      </c>
      <c r="BE2513" t="s">
        <v>69</v>
      </c>
      <c r="BF2513">
        <v>0.46600000000000003</v>
      </c>
      <c r="BG2513">
        <v>-0.23699999999999999</v>
      </c>
    </row>
    <row r="2514" spans="1:59">
      <c r="A2514">
        <v>0</v>
      </c>
      <c r="B2514">
        <v>5</v>
      </c>
      <c r="C2514">
        <v>0</v>
      </c>
      <c r="D2514" t="s">
        <v>25022</v>
      </c>
      <c r="E2514">
        <v>3079</v>
      </c>
      <c r="F2514" t="s">
        <v>17838</v>
      </c>
      <c r="G2514" t="s">
        <v>62</v>
      </c>
      <c r="H2514">
        <v>3029732</v>
      </c>
      <c r="I2514">
        <v>3031417</v>
      </c>
      <c r="J2514" t="s">
        <v>17839</v>
      </c>
      <c r="K2514">
        <v>562</v>
      </c>
      <c r="L2514" t="s">
        <v>108</v>
      </c>
      <c r="M2514">
        <v>44</v>
      </c>
      <c r="N2514" t="str">
        <f>HYPERLINK("Gene3079-zp_tree_all.dnd", "Gene3079-tree")</f>
        <v>Gene3079-tree</v>
      </c>
      <c r="O2514">
        <v>8</v>
      </c>
      <c r="P2514">
        <v>5</v>
      </c>
      <c r="Q2514">
        <v>8</v>
      </c>
      <c r="R2514">
        <v>5</v>
      </c>
      <c r="S2514">
        <v>0.38462000000000002</v>
      </c>
      <c r="T2514" t="s">
        <v>136</v>
      </c>
      <c r="U2514" t="s">
        <v>199</v>
      </c>
      <c r="V2514" t="s">
        <v>62</v>
      </c>
      <c r="W2514" t="s">
        <v>62</v>
      </c>
      <c r="X2514">
        <v>2</v>
      </c>
      <c r="Y2514">
        <v>5</v>
      </c>
      <c r="Z2514">
        <v>7</v>
      </c>
      <c r="AA2514">
        <v>0.41666999999999998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</v>
      </c>
      <c r="AK2514">
        <v>0</v>
      </c>
      <c r="AL2514">
        <v>12</v>
      </c>
      <c r="AM2514">
        <v>10</v>
      </c>
      <c r="AN2514">
        <v>41</v>
      </c>
      <c r="AO2514">
        <v>6</v>
      </c>
      <c r="AP2514">
        <v>38</v>
      </c>
      <c r="AQ2514">
        <v>6</v>
      </c>
      <c r="AR2514" t="s">
        <v>17840</v>
      </c>
      <c r="AS2514" t="s">
        <v>17841</v>
      </c>
      <c r="AT2514">
        <v>0.06</v>
      </c>
      <c r="AU2514" t="s">
        <v>65</v>
      </c>
      <c r="AV2514">
        <v>79</v>
      </c>
      <c r="AW2514">
        <v>12</v>
      </c>
      <c r="AX2514" t="s">
        <v>13128</v>
      </c>
      <c r="AY2514">
        <v>4.215E-2</v>
      </c>
      <c r="AZ2514">
        <v>-2.49E-3</v>
      </c>
      <c r="BA2514">
        <v>1.99E-3</v>
      </c>
      <c r="BB2514">
        <v>-1.2999999999999999E-4</v>
      </c>
      <c r="BC2514">
        <v>4.727E-2</v>
      </c>
      <c r="BD2514">
        <v>1</v>
      </c>
      <c r="BE2514" t="s">
        <v>69</v>
      </c>
      <c r="BF2514">
        <v>-0.63800000000000001</v>
      </c>
      <c r="BG2514">
        <v>-0.82499999999999996</v>
      </c>
    </row>
    <row r="2515" spans="1:59">
      <c r="A2515">
        <v>0</v>
      </c>
      <c r="B2515">
        <v>4</v>
      </c>
      <c r="C2515">
        <v>0</v>
      </c>
      <c r="D2515" t="s">
        <v>25022</v>
      </c>
      <c r="E2515">
        <v>19</v>
      </c>
      <c r="F2515" t="s">
        <v>205</v>
      </c>
      <c r="G2515" t="s">
        <v>57</v>
      </c>
      <c r="H2515">
        <v>26814</v>
      </c>
      <c r="I2515">
        <v>28502</v>
      </c>
      <c r="J2515" t="s">
        <v>206</v>
      </c>
      <c r="K2515">
        <v>563</v>
      </c>
      <c r="L2515" t="s">
        <v>108</v>
      </c>
      <c r="M2515">
        <v>44</v>
      </c>
      <c r="N2515" t="str">
        <f>HYPERLINK("Gene19-zp_tree_all.dnd", "Gene19-tree")</f>
        <v>Gene19-tree</v>
      </c>
      <c r="O2515">
        <v>5</v>
      </c>
      <c r="P2515">
        <v>9</v>
      </c>
      <c r="Q2515">
        <v>5</v>
      </c>
      <c r="R2515">
        <v>9</v>
      </c>
      <c r="S2515">
        <v>0.64285999999999999</v>
      </c>
      <c r="T2515" t="s">
        <v>199</v>
      </c>
      <c r="U2515" t="s">
        <v>135</v>
      </c>
      <c r="V2515" t="s">
        <v>62</v>
      </c>
      <c r="W2515" t="s">
        <v>62</v>
      </c>
      <c r="X2515">
        <v>2</v>
      </c>
      <c r="Y2515">
        <v>4</v>
      </c>
      <c r="Z2515">
        <v>10</v>
      </c>
      <c r="AA2515">
        <v>0.28571000000000002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4</v>
      </c>
      <c r="AH2515">
        <v>0</v>
      </c>
      <c r="AI2515">
        <v>4</v>
      </c>
      <c r="AJ2515">
        <v>9</v>
      </c>
      <c r="AK2515">
        <v>0.30769000000000002</v>
      </c>
      <c r="AL2515">
        <v>13</v>
      </c>
      <c r="AM2515">
        <v>5</v>
      </c>
      <c r="AN2515">
        <v>32</v>
      </c>
      <c r="AO2515">
        <v>12</v>
      </c>
      <c r="AP2515">
        <v>5</v>
      </c>
      <c r="AQ2515">
        <v>2</v>
      </c>
      <c r="AR2515" t="s">
        <v>207</v>
      </c>
      <c r="AS2515" t="s">
        <v>208</v>
      </c>
      <c r="AT2515">
        <v>7.0999999999999994E-2</v>
      </c>
      <c r="AU2515" t="s">
        <v>65</v>
      </c>
      <c r="AV2515">
        <v>37</v>
      </c>
      <c r="AW2515">
        <v>14</v>
      </c>
      <c r="AX2515" t="s">
        <v>209</v>
      </c>
      <c r="AY2515">
        <v>1.6140000000000002E-2</v>
      </c>
      <c r="AZ2515">
        <v>-6.8000000000000005E-4</v>
      </c>
      <c r="BA2515">
        <v>1.75E-3</v>
      </c>
      <c r="BB2515">
        <v>-1E-4</v>
      </c>
      <c r="BC2515">
        <v>0.10858</v>
      </c>
      <c r="BD2515">
        <v>1</v>
      </c>
      <c r="BE2515" t="s">
        <v>69</v>
      </c>
      <c r="BF2515">
        <v>-1.2250000000000001</v>
      </c>
      <c r="BG2515">
        <v>-0.31900000000000001</v>
      </c>
    </row>
    <row r="2516" spans="1:59">
      <c r="A2516">
        <v>0</v>
      </c>
      <c r="B2516">
        <v>3</v>
      </c>
      <c r="C2516">
        <v>4</v>
      </c>
      <c r="D2516" t="s">
        <v>25022</v>
      </c>
      <c r="E2516">
        <v>1389</v>
      </c>
      <c r="F2516" t="s">
        <v>8694</v>
      </c>
      <c r="G2516" t="s">
        <v>57</v>
      </c>
      <c r="H2516">
        <v>1401772</v>
      </c>
      <c r="I2516">
        <v>1403463</v>
      </c>
      <c r="J2516" t="s">
        <v>6103</v>
      </c>
      <c r="K2516">
        <v>564</v>
      </c>
      <c r="L2516" t="s">
        <v>108</v>
      </c>
      <c r="M2516">
        <v>44</v>
      </c>
      <c r="N2516" t="str">
        <f>HYPERLINK("Gene1389-zp_tree_all.dnd", "Gene1389-tree")</f>
        <v>Gene1389-tree</v>
      </c>
      <c r="O2516">
        <v>9</v>
      </c>
      <c r="P2516">
        <v>6</v>
      </c>
      <c r="Q2516">
        <v>9</v>
      </c>
      <c r="R2516">
        <v>6</v>
      </c>
      <c r="S2516">
        <v>0.4</v>
      </c>
      <c r="T2516" t="s">
        <v>135</v>
      </c>
      <c r="U2516" t="s">
        <v>90</v>
      </c>
      <c r="V2516" t="s">
        <v>62</v>
      </c>
      <c r="W2516" t="s">
        <v>62</v>
      </c>
      <c r="X2516">
        <v>3</v>
      </c>
      <c r="Y2516">
        <v>7</v>
      </c>
      <c r="Z2516">
        <v>8</v>
      </c>
      <c r="AA2516">
        <v>0.46666999999999997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2</v>
      </c>
      <c r="AI2516">
        <v>2</v>
      </c>
      <c r="AJ2516">
        <v>8</v>
      </c>
      <c r="AK2516">
        <v>0.2</v>
      </c>
      <c r="AL2516">
        <v>13</v>
      </c>
      <c r="AM2516">
        <v>11</v>
      </c>
      <c r="AN2516">
        <v>61</v>
      </c>
      <c r="AO2516">
        <v>10</v>
      </c>
      <c r="AP2516">
        <v>36</v>
      </c>
      <c r="AQ2516">
        <v>5</v>
      </c>
      <c r="AR2516" t="s">
        <v>8695</v>
      </c>
      <c r="AS2516" t="s">
        <v>8696</v>
      </c>
      <c r="AT2516">
        <v>0.16900000000000001</v>
      </c>
      <c r="AU2516" t="s">
        <v>65</v>
      </c>
      <c r="AV2516">
        <v>97</v>
      </c>
      <c r="AW2516">
        <v>15</v>
      </c>
      <c r="AX2516" t="s">
        <v>8697</v>
      </c>
      <c r="AY2516">
        <v>4.0969999999999999E-2</v>
      </c>
      <c r="AZ2516">
        <v>-1.2700000000000001E-3</v>
      </c>
      <c r="BA2516">
        <v>2.0400000000000001E-3</v>
      </c>
      <c r="BB2516">
        <v>-1.1E-4</v>
      </c>
      <c r="BC2516">
        <v>4.9680000000000002E-2</v>
      </c>
      <c r="BD2516">
        <v>1</v>
      </c>
      <c r="BE2516" t="s">
        <v>69</v>
      </c>
      <c r="BF2516">
        <v>-0.46400000000000002</v>
      </c>
      <c r="BG2516">
        <v>-1.1180000000000001</v>
      </c>
    </row>
    <row r="2517" spans="1:59">
      <c r="A2517">
        <v>0</v>
      </c>
      <c r="B2517">
        <v>2</v>
      </c>
      <c r="C2517">
        <v>0</v>
      </c>
      <c r="D2517" t="s">
        <v>25022</v>
      </c>
      <c r="E2517">
        <v>1719</v>
      </c>
      <c r="F2517" t="s">
        <v>10784</v>
      </c>
      <c r="G2517" t="s">
        <v>57</v>
      </c>
      <c r="H2517">
        <v>1725330</v>
      </c>
      <c r="I2517">
        <v>1727021</v>
      </c>
      <c r="J2517" t="s">
        <v>10785</v>
      </c>
      <c r="K2517">
        <v>564</v>
      </c>
      <c r="L2517" t="s">
        <v>108</v>
      </c>
      <c r="M2517">
        <v>44</v>
      </c>
      <c r="N2517" t="str">
        <f>HYPERLINK("Gene1719-zp_tree_all.dnd", "Gene1719-tree")</f>
        <v>Gene1719-tree</v>
      </c>
      <c r="O2517">
        <v>6</v>
      </c>
      <c r="P2517">
        <v>3</v>
      </c>
      <c r="Q2517">
        <v>6</v>
      </c>
      <c r="R2517">
        <v>3</v>
      </c>
      <c r="S2517">
        <v>0.33333000000000002</v>
      </c>
      <c r="T2517" t="s">
        <v>90</v>
      </c>
      <c r="U2517" t="s">
        <v>324</v>
      </c>
      <c r="V2517" t="s">
        <v>62</v>
      </c>
      <c r="W2517" t="s">
        <v>62</v>
      </c>
      <c r="X2517">
        <v>1</v>
      </c>
      <c r="Y2517">
        <v>2</v>
      </c>
      <c r="Z2517">
        <v>6</v>
      </c>
      <c r="AA2517">
        <v>0.25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</v>
      </c>
      <c r="AH2517">
        <v>0</v>
      </c>
      <c r="AI2517">
        <v>2</v>
      </c>
      <c r="AJ2517">
        <v>6</v>
      </c>
      <c r="AK2517">
        <v>0.25</v>
      </c>
      <c r="AL2517">
        <v>9</v>
      </c>
      <c r="AM2517">
        <v>6</v>
      </c>
      <c r="AN2517">
        <v>43</v>
      </c>
      <c r="AO2517">
        <v>8</v>
      </c>
      <c r="AP2517">
        <v>15</v>
      </c>
      <c r="AQ2517">
        <v>0</v>
      </c>
      <c r="AR2517" t="s">
        <v>10786</v>
      </c>
      <c r="AS2517" t="s">
        <v>193</v>
      </c>
      <c r="AT2517">
        <v>0.82699999999999996</v>
      </c>
      <c r="AU2517" t="s">
        <v>65</v>
      </c>
      <c r="AV2517">
        <v>58</v>
      </c>
      <c r="AW2517">
        <v>8</v>
      </c>
      <c r="AX2517" t="s">
        <v>10787</v>
      </c>
      <c r="AY2517">
        <v>3.7900000000000003E-2</v>
      </c>
      <c r="AZ2517">
        <v>-1.65E-3</v>
      </c>
      <c r="BA2517">
        <v>1.32E-3</v>
      </c>
      <c r="BB2517">
        <v>-2.5999999999999998E-4</v>
      </c>
      <c r="BC2517">
        <v>3.4930000000000003E-2</v>
      </c>
      <c r="BD2517">
        <v>1</v>
      </c>
      <c r="BE2517" t="s">
        <v>69</v>
      </c>
      <c r="BF2517">
        <v>-1.714</v>
      </c>
      <c r="BG2517">
        <v>-2.2749999999999999</v>
      </c>
    </row>
    <row r="2518" spans="1:59">
      <c r="A2518">
        <v>0</v>
      </c>
      <c r="B2518">
        <v>15</v>
      </c>
      <c r="C2518">
        <v>4</v>
      </c>
      <c r="D2518" t="s">
        <v>25022</v>
      </c>
      <c r="E2518">
        <v>3913</v>
      </c>
      <c r="F2518" t="s">
        <v>22951</v>
      </c>
      <c r="G2518" t="s">
        <v>62</v>
      </c>
      <c r="H2518">
        <v>3877195</v>
      </c>
      <c r="I2518">
        <v>3878892</v>
      </c>
      <c r="J2518" t="s">
        <v>22952</v>
      </c>
      <c r="K2518">
        <v>566</v>
      </c>
      <c r="L2518" t="s">
        <v>108</v>
      </c>
      <c r="M2518">
        <v>44</v>
      </c>
      <c r="N2518" t="str">
        <f>HYPERLINK("Gene3913-zp_tree_all.dnd", "Gene3913-tree")</f>
        <v>Gene3913-tree</v>
      </c>
      <c r="O2518">
        <v>5</v>
      </c>
      <c r="P2518">
        <v>11</v>
      </c>
      <c r="Q2518">
        <v>5</v>
      </c>
      <c r="R2518">
        <v>11</v>
      </c>
      <c r="S2518">
        <v>0.6875</v>
      </c>
      <c r="T2518" t="s">
        <v>199</v>
      </c>
      <c r="U2518" t="s">
        <v>73</v>
      </c>
      <c r="V2518">
        <v>137353515.63499999</v>
      </c>
      <c r="W2518" t="s">
        <v>267</v>
      </c>
      <c r="X2518">
        <v>7</v>
      </c>
      <c r="Y2518">
        <v>19</v>
      </c>
      <c r="Z2518">
        <v>25</v>
      </c>
      <c r="AA2518">
        <v>0.43181999999999998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3</v>
      </c>
      <c r="AH2518">
        <v>2</v>
      </c>
      <c r="AI2518">
        <v>5</v>
      </c>
      <c r="AJ2518">
        <v>23</v>
      </c>
      <c r="AK2518">
        <v>0.17857000000000001</v>
      </c>
      <c r="AL2518">
        <v>13</v>
      </c>
      <c r="AM2518">
        <v>13</v>
      </c>
      <c r="AN2518">
        <v>39</v>
      </c>
      <c r="AO2518">
        <v>28</v>
      </c>
      <c r="AP2518">
        <v>41</v>
      </c>
      <c r="AQ2518">
        <v>17</v>
      </c>
      <c r="AR2518" t="s">
        <v>22953</v>
      </c>
      <c r="AS2518" t="s">
        <v>22954</v>
      </c>
      <c r="AT2518">
        <v>0.78500000000000003</v>
      </c>
      <c r="AU2518" t="s">
        <v>65</v>
      </c>
      <c r="AV2518">
        <v>80</v>
      </c>
      <c r="AW2518">
        <v>45</v>
      </c>
      <c r="AX2518" t="s">
        <v>22955</v>
      </c>
      <c r="AY2518">
        <v>3.8150000000000003E-2</v>
      </c>
      <c r="AZ2518">
        <v>-1.2099999999999999E-3</v>
      </c>
      <c r="BA2518">
        <v>5.2399999999999999E-3</v>
      </c>
      <c r="BB2518">
        <v>-2.5000000000000001E-4</v>
      </c>
      <c r="BC2518">
        <v>0.13730999999999999</v>
      </c>
      <c r="BD2518">
        <v>1</v>
      </c>
      <c r="BE2518" t="s">
        <v>69</v>
      </c>
      <c r="BF2518">
        <v>-0.71799999999999997</v>
      </c>
      <c r="BG2518">
        <v>-1.667</v>
      </c>
    </row>
    <row r="2519" spans="1:59">
      <c r="A2519">
        <v>0</v>
      </c>
      <c r="B2519">
        <v>4</v>
      </c>
      <c r="C2519">
        <v>0</v>
      </c>
      <c r="D2519" t="s">
        <v>25022</v>
      </c>
      <c r="E2519">
        <v>3105</v>
      </c>
      <c r="F2519" t="s">
        <v>18010</v>
      </c>
      <c r="G2519" t="s">
        <v>62</v>
      </c>
      <c r="H2519">
        <v>3056852</v>
      </c>
      <c r="I2519">
        <v>3058549</v>
      </c>
      <c r="J2519" t="s">
        <v>18011</v>
      </c>
      <c r="K2519">
        <v>566</v>
      </c>
      <c r="L2519" t="s">
        <v>108</v>
      </c>
      <c r="M2519">
        <v>44</v>
      </c>
      <c r="N2519" t="str">
        <f>HYPERLINK("Gene3105-zp_tree_all.dnd", "Gene3105-tree")</f>
        <v>Gene3105-tree</v>
      </c>
      <c r="O2519">
        <v>8</v>
      </c>
      <c r="P2519">
        <v>6</v>
      </c>
      <c r="Q2519">
        <v>8</v>
      </c>
      <c r="R2519">
        <v>6</v>
      </c>
      <c r="S2519">
        <v>0.42857000000000001</v>
      </c>
      <c r="T2519" t="s">
        <v>136</v>
      </c>
      <c r="U2519" t="s">
        <v>90</v>
      </c>
      <c r="V2519" t="s">
        <v>62</v>
      </c>
      <c r="W2519" t="s">
        <v>62</v>
      </c>
      <c r="X2519">
        <v>2</v>
      </c>
      <c r="Y2519">
        <v>4</v>
      </c>
      <c r="Z2519">
        <v>6</v>
      </c>
      <c r="AA2519">
        <v>0.4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4</v>
      </c>
      <c r="AH2519">
        <v>0</v>
      </c>
      <c r="AI2519">
        <v>4</v>
      </c>
      <c r="AJ2519">
        <v>5</v>
      </c>
      <c r="AK2519">
        <v>0.44444</v>
      </c>
      <c r="AL2519">
        <v>14</v>
      </c>
      <c r="AM2519">
        <v>10</v>
      </c>
      <c r="AN2519">
        <v>56</v>
      </c>
      <c r="AO2519">
        <v>9</v>
      </c>
      <c r="AP2519">
        <v>35</v>
      </c>
      <c r="AQ2519">
        <v>1</v>
      </c>
      <c r="AR2519" t="s">
        <v>18012</v>
      </c>
      <c r="AS2519" t="s">
        <v>18013</v>
      </c>
      <c r="AT2519">
        <v>1.1040000000000001</v>
      </c>
      <c r="AU2519" t="s">
        <v>65</v>
      </c>
      <c r="AV2519">
        <v>91</v>
      </c>
      <c r="AW2519">
        <v>10</v>
      </c>
      <c r="AX2519" t="s">
        <v>18014</v>
      </c>
      <c r="AY2519">
        <v>4.1070000000000002E-2</v>
      </c>
      <c r="AZ2519">
        <v>-1.5900000000000001E-3</v>
      </c>
      <c r="BA2519">
        <v>1.25E-3</v>
      </c>
      <c r="BB2519">
        <v>-1E-4</v>
      </c>
      <c r="BC2519">
        <v>3.0349999999999999E-2</v>
      </c>
      <c r="BD2519">
        <v>1</v>
      </c>
      <c r="BE2519" t="s">
        <v>69</v>
      </c>
      <c r="BF2519">
        <v>-0.40100000000000002</v>
      </c>
      <c r="BG2519">
        <v>-0.155</v>
      </c>
    </row>
    <row r="2520" spans="1:59">
      <c r="A2520">
        <v>0</v>
      </c>
      <c r="B2520">
        <v>23</v>
      </c>
      <c r="C2520">
        <v>4</v>
      </c>
      <c r="D2520" t="s">
        <v>25022</v>
      </c>
      <c r="E2520">
        <v>4012</v>
      </c>
      <c r="F2520" t="s">
        <v>23603</v>
      </c>
      <c r="G2520" t="s">
        <v>62</v>
      </c>
      <c r="H2520">
        <v>3975091</v>
      </c>
      <c r="I2520">
        <v>3976791</v>
      </c>
      <c r="J2520" t="s">
        <v>23597</v>
      </c>
      <c r="K2520">
        <v>567</v>
      </c>
      <c r="L2520" t="s">
        <v>108</v>
      </c>
      <c r="M2520">
        <v>44</v>
      </c>
      <c r="N2520" t="str">
        <f>HYPERLINK("Gene4012-zp_tree_all.dnd", "Gene4012-tree")</f>
        <v>Gene4012-tree</v>
      </c>
      <c r="O2520">
        <v>4</v>
      </c>
      <c r="P2520">
        <v>11</v>
      </c>
      <c r="Q2520">
        <v>4</v>
      </c>
      <c r="R2520">
        <v>11</v>
      </c>
      <c r="S2520">
        <v>0.73333000000000004</v>
      </c>
      <c r="T2520" t="s">
        <v>61</v>
      </c>
      <c r="U2520" t="s">
        <v>73</v>
      </c>
      <c r="V2520">
        <v>200307210.301</v>
      </c>
      <c r="W2520" t="s">
        <v>267</v>
      </c>
      <c r="X2520">
        <v>12</v>
      </c>
      <c r="Y2520">
        <v>27</v>
      </c>
      <c r="Z2520">
        <v>24</v>
      </c>
      <c r="AA2520">
        <v>0.52941000000000005</v>
      </c>
      <c r="AB2520">
        <v>0</v>
      </c>
      <c r="AC2520">
        <v>0</v>
      </c>
      <c r="AD2520">
        <v>0</v>
      </c>
      <c r="AE2520">
        <v>2</v>
      </c>
      <c r="AF2520">
        <v>0</v>
      </c>
      <c r="AG2520">
        <v>2</v>
      </c>
      <c r="AH2520">
        <v>2</v>
      </c>
      <c r="AI2520">
        <v>4</v>
      </c>
      <c r="AJ2520">
        <v>20</v>
      </c>
      <c r="AK2520">
        <v>0.16667000000000001</v>
      </c>
      <c r="AL2520">
        <v>13</v>
      </c>
      <c r="AM2520">
        <v>10</v>
      </c>
      <c r="AN2520">
        <v>110</v>
      </c>
      <c r="AO2520">
        <v>24</v>
      </c>
      <c r="AP2520">
        <v>50</v>
      </c>
      <c r="AQ2520">
        <v>27</v>
      </c>
      <c r="AR2520" t="s">
        <v>23604</v>
      </c>
      <c r="AS2520" t="s">
        <v>23605</v>
      </c>
      <c r="AT2520">
        <v>0.66500000000000004</v>
      </c>
      <c r="AU2520" t="s">
        <v>65</v>
      </c>
      <c r="AV2520">
        <v>160</v>
      </c>
      <c r="AW2520">
        <v>51</v>
      </c>
      <c r="AX2520" t="s">
        <v>23606</v>
      </c>
      <c r="AY2520">
        <v>7.8329999999999997E-2</v>
      </c>
      <c r="AZ2520">
        <v>-5.1399999999999996E-3</v>
      </c>
      <c r="BA2520">
        <v>9.2399999999999999E-3</v>
      </c>
      <c r="BB2520">
        <v>-4.8000000000000001E-4</v>
      </c>
      <c r="BC2520">
        <v>0.11799999999999999</v>
      </c>
      <c r="BD2520">
        <v>1</v>
      </c>
      <c r="BE2520" t="s">
        <v>69</v>
      </c>
      <c r="BF2520">
        <v>-0.75600000000000001</v>
      </c>
      <c r="BG2520">
        <v>-2.0569999999999999</v>
      </c>
    </row>
    <row r="2521" spans="1:59">
      <c r="A2521">
        <v>0</v>
      </c>
      <c r="B2521">
        <v>16</v>
      </c>
      <c r="C2521">
        <v>2</v>
      </c>
      <c r="D2521" t="s">
        <v>25022</v>
      </c>
      <c r="E2521">
        <v>437</v>
      </c>
      <c r="F2521" t="s">
        <v>2971</v>
      </c>
      <c r="G2521" t="s">
        <v>57</v>
      </c>
      <c r="H2521">
        <v>480875</v>
      </c>
      <c r="I2521">
        <v>482581</v>
      </c>
      <c r="J2521" t="s">
        <v>116</v>
      </c>
      <c r="K2521">
        <v>569</v>
      </c>
      <c r="L2521" t="s">
        <v>2958</v>
      </c>
      <c r="M2521">
        <v>34</v>
      </c>
      <c r="N2521" t="str">
        <f>HYPERLINK("Gene437-zp_tree_all.dnd", "Gene437-tree")</f>
        <v>Gene437-tree</v>
      </c>
      <c r="O2521">
        <v>2</v>
      </c>
      <c r="P2521">
        <v>13</v>
      </c>
      <c r="Q2521">
        <v>2</v>
      </c>
      <c r="R2521">
        <v>13</v>
      </c>
      <c r="S2521">
        <v>0.86667000000000005</v>
      </c>
      <c r="T2521" t="s">
        <v>81</v>
      </c>
      <c r="U2521" t="s">
        <v>507</v>
      </c>
      <c r="V2521" t="s">
        <v>62</v>
      </c>
      <c r="W2521" t="s">
        <v>62</v>
      </c>
      <c r="X2521">
        <v>7</v>
      </c>
      <c r="Y2521">
        <v>18</v>
      </c>
      <c r="Z2521">
        <v>31</v>
      </c>
      <c r="AA2521">
        <v>0.36735000000000001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12</v>
      </c>
      <c r="AH2521">
        <v>0</v>
      </c>
      <c r="AI2521">
        <v>12</v>
      </c>
      <c r="AJ2521">
        <v>26</v>
      </c>
      <c r="AK2521">
        <v>0.31579000000000002</v>
      </c>
      <c r="AL2521">
        <v>13</v>
      </c>
      <c r="AM2521">
        <v>11</v>
      </c>
      <c r="AN2521">
        <v>58</v>
      </c>
      <c r="AO2521">
        <v>38</v>
      </c>
      <c r="AP2521">
        <v>48</v>
      </c>
      <c r="AQ2521">
        <v>11</v>
      </c>
      <c r="AR2521" t="s">
        <v>2972</v>
      </c>
      <c r="AS2521" t="s">
        <v>2973</v>
      </c>
      <c r="AT2521">
        <v>2.1989999999999998</v>
      </c>
      <c r="AU2521" t="s">
        <v>267</v>
      </c>
      <c r="AV2521">
        <v>106</v>
      </c>
      <c r="AW2521">
        <v>49</v>
      </c>
      <c r="AX2521" t="s">
        <v>2974</v>
      </c>
      <c r="AY2521">
        <v>4.616E-2</v>
      </c>
      <c r="AZ2521">
        <v>-1.14E-3</v>
      </c>
      <c r="BA2521">
        <v>6.0800000000000003E-3</v>
      </c>
      <c r="BB2521">
        <v>-2.0000000000000001E-4</v>
      </c>
      <c r="BC2521">
        <v>0.13164000000000001</v>
      </c>
      <c r="BD2521">
        <v>1</v>
      </c>
      <c r="BE2521" t="s">
        <v>69</v>
      </c>
      <c r="BF2521">
        <v>-0.77900000000000003</v>
      </c>
      <c r="BG2521">
        <v>-1.45</v>
      </c>
    </row>
    <row r="2522" spans="1:59">
      <c r="A2522">
        <v>0</v>
      </c>
      <c r="B2522">
        <v>0</v>
      </c>
      <c r="C2522">
        <v>0</v>
      </c>
      <c r="D2522" t="s">
        <v>25022</v>
      </c>
      <c r="E2522">
        <v>4070</v>
      </c>
      <c r="F2522" t="s">
        <v>23949</v>
      </c>
      <c r="G2522" t="s">
        <v>62</v>
      </c>
      <c r="H2522">
        <v>4036787</v>
      </c>
      <c r="I2522">
        <v>4038493</v>
      </c>
      <c r="J2522" t="s">
        <v>23950</v>
      </c>
      <c r="K2522">
        <v>569</v>
      </c>
      <c r="L2522" t="s">
        <v>23951</v>
      </c>
      <c r="M2522">
        <v>24</v>
      </c>
      <c r="N2522" t="str">
        <f>HYPERLINK("Gene4070-zp_tree_all.dnd", "Gene4070-tree")</f>
        <v>Gene4070-tree</v>
      </c>
      <c r="O2522">
        <v>2</v>
      </c>
      <c r="P2522">
        <v>21</v>
      </c>
      <c r="Q2522">
        <v>2</v>
      </c>
      <c r="R2522">
        <v>4</v>
      </c>
      <c r="S2522">
        <v>0.66666999999999998</v>
      </c>
      <c r="T2522" t="s">
        <v>81</v>
      </c>
      <c r="U2522" t="s">
        <v>3348</v>
      </c>
      <c r="V2522">
        <v>1.9530000000000001</v>
      </c>
      <c r="W2522" t="s">
        <v>65</v>
      </c>
      <c r="X2522">
        <v>0</v>
      </c>
      <c r="Y2522">
        <v>0</v>
      </c>
      <c r="Z2522">
        <v>18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15</v>
      </c>
      <c r="AK2522">
        <v>0</v>
      </c>
      <c r="AL2522">
        <v>5</v>
      </c>
      <c r="AM2522">
        <v>3</v>
      </c>
      <c r="AN2522">
        <v>28</v>
      </c>
      <c r="AO2522">
        <v>5</v>
      </c>
      <c r="AP2522">
        <v>21</v>
      </c>
      <c r="AQ2522">
        <v>13</v>
      </c>
      <c r="AR2522" t="s">
        <v>23952</v>
      </c>
      <c r="AS2522" t="s">
        <v>23953</v>
      </c>
      <c r="AT2522">
        <v>0.67800000000000005</v>
      </c>
      <c r="AU2522" t="s">
        <v>65</v>
      </c>
      <c r="AV2522">
        <v>49</v>
      </c>
      <c r="AW2522">
        <v>18</v>
      </c>
      <c r="AX2522" t="s">
        <v>23954</v>
      </c>
      <c r="AY2522">
        <v>5.7200000000000001E-2</v>
      </c>
      <c r="AZ2522">
        <v>-6.7200000000000003E-3</v>
      </c>
      <c r="BA2522">
        <v>6.5399999999999998E-3</v>
      </c>
      <c r="BB2522">
        <v>-1.0399999999999999E-3</v>
      </c>
      <c r="BC2522">
        <v>0.11434</v>
      </c>
      <c r="BD2522">
        <v>1</v>
      </c>
      <c r="BE2522" t="s">
        <v>69</v>
      </c>
      <c r="BF2522">
        <v>-1.639</v>
      </c>
      <c r="BG2522">
        <v>-0.69</v>
      </c>
    </row>
    <row r="2523" spans="1:59">
      <c r="A2523">
        <v>0</v>
      </c>
      <c r="B2523">
        <v>4</v>
      </c>
      <c r="C2523">
        <v>0</v>
      </c>
      <c r="D2523" t="s">
        <v>25022</v>
      </c>
      <c r="E2523">
        <v>3798</v>
      </c>
      <c r="F2523" t="s">
        <v>22253</v>
      </c>
      <c r="G2523" t="s">
        <v>62</v>
      </c>
      <c r="H2523">
        <v>3766717</v>
      </c>
      <c r="I2523">
        <v>3768423</v>
      </c>
      <c r="J2523" t="s">
        <v>22254</v>
      </c>
      <c r="K2523">
        <v>569</v>
      </c>
      <c r="L2523" t="s">
        <v>108</v>
      </c>
      <c r="M2523">
        <v>44</v>
      </c>
      <c r="N2523" t="str">
        <f>HYPERLINK("Gene3798-zp_tree_all.dnd", "Gene3798-tree")</f>
        <v>Gene3798-tree</v>
      </c>
      <c r="O2523">
        <v>7</v>
      </c>
      <c r="P2523">
        <v>7</v>
      </c>
      <c r="Q2523">
        <v>7</v>
      </c>
      <c r="R2523">
        <v>7</v>
      </c>
      <c r="S2523">
        <v>0.5</v>
      </c>
      <c r="T2523" t="s">
        <v>152</v>
      </c>
      <c r="U2523" t="s">
        <v>152</v>
      </c>
      <c r="V2523" t="s">
        <v>62</v>
      </c>
      <c r="W2523" t="s">
        <v>62</v>
      </c>
      <c r="X2523">
        <v>2</v>
      </c>
      <c r="Y2523">
        <v>4</v>
      </c>
      <c r="Z2523">
        <v>7</v>
      </c>
      <c r="AA2523">
        <v>0.36364000000000002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</v>
      </c>
      <c r="AH2523">
        <v>0</v>
      </c>
      <c r="AI2523">
        <v>2</v>
      </c>
      <c r="AJ2523">
        <v>6</v>
      </c>
      <c r="AK2523">
        <v>0.25</v>
      </c>
      <c r="AL2523">
        <v>14</v>
      </c>
      <c r="AM2523">
        <v>10</v>
      </c>
      <c r="AN2523">
        <v>77</v>
      </c>
      <c r="AO2523">
        <v>8</v>
      </c>
      <c r="AP2523">
        <v>38</v>
      </c>
      <c r="AQ2523">
        <v>3</v>
      </c>
      <c r="AR2523" t="s">
        <v>22255</v>
      </c>
      <c r="AS2523" t="s">
        <v>22256</v>
      </c>
      <c r="AT2523">
        <v>0.24299999999999999</v>
      </c>
      <c r="AU2523" t="s">
        <v>65</v>
      </c>
      <c r="AV2523">
        <v>115</v>
      </c>
      <c r="AW2523">
        <v>11</v>
      </c>
      <c r="AX2523" t="s">
        <v>22257</v>
      </c>
      <c r="AY2523">
        <v>5.7700000000000001E-2</v>
      </c>
      <c r="AZ2523">
        <v>-2.5799999999999998E-3</v>
      </c>
      <c r="BA2523">
        <v>1.58E-3</v>
      </c>
      <c r="BB2523">
        <v>-1E-4</v>
      </c>
      <c r="BC2523">
        <v>2.7390000000000001E-2</v>
      </c>
      <c r="BD2523">
        <v>1</v>
      </c>
      <c r="BE2523" t="s">
        <v>69</v>
      </c>
      <c r="BF2523">
        <v>-0.51600000000000001</v>
      </c>
      <c r="BG2523">
        <v>-1.66</v>
      </c>
    </row>
    <row r="2524" spans="1:59">
      <c r="A2524">
        <v>0</v>
      </c>
      <c r="B2524">
        <v>6</v>
      </c>
      <c r="C2524">
        <v>1</v>
      </c>
      <c r="D2524" t="s">
        <v>25022</v>
      </c>
      <c r="E2524">
        <v>2976</v>
      </c>
      <c r="F2524" t="s">
        <v>17167</v>
      </c>
      <c r="G2524" t="s">
        <v>62</v>
      </c>
      <c r="H2524">
        <v>2923317</v>
      </c>
      <c r="I2524">
        <v>2925026</v>
      </c>
      <c r="J2524" t="s">
        <v>17168</v>
      </c>
      <c r="K2524">
        <v>570</v>
      </c>
      <c r="L2524" t="s">
        <v>108</v>
      </c>
      <c r="M2524">
        <v>44</v>
      </c>
      <c r="N2524" t="str">
        <f>HYPERLINK("Gene2976-zp_tree_all.dnd", "Gene2976-tree")</f>
        <v>Gene2976-tree</v>
      </c>
      <c r="O2524">
        <v>5</v>
      </c>
      <c r="P2524">
        <v>7</v>
      </c>
      <c r="Q2524">
        <v>5</v>
      </c>
      <c r="R2524">
        <v>7</v>
      </c>
      <c r="S2524">
        <v>0.58333000000000002</v>
      </c>
      <c r="T2524" t="s">
        <v>199</v>
      </c>
      <c r="U2524" t="s">
        <v>152</v>
      </c>
      <c r="V2524" t="s">
        <v>62</v>
      </c>
      <c r="W2524" t="s">
        <v>62</v>
      </c>
      <c r="X2524">
        <v>2</v>
      </c>
      <c r="Y2524">
        <v>7</v>
      </c>
      <c r="Z2524">
        <v>6</v>
      </c>
      <c r="AA2524">
        <v>0.53846000000000005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5</v>
      </c>
      <c r="AH2524">
        <v>1</v>
      </c>
      <c r="AI2524">
        <v>6</v>
      </c>
      <c r="AJ2524">
        <v>4</v>
      </c>
      <c r="AK2524">
        <v>0.6</v>
      </c>
      <c r="AL2524">
        <v>12</v>
      </c>
      <c r="AM2524">
        <v>8</v>
      </c>
      <c r="AN2524">
        <v>59</v>
      </c>
      <c r="AO2524">
        <v>10</v>
      </c>
      <c r="AP2524">
        <v>20</v>
      </c>
      <c r="AQ2524">
        <v>3</v>
      </c>
      <c r="AR2524" t="s">
        <v>17169</v>
      </c>
      <c r="AS2524" t="s">
        <v>17170</v>
      </c>
      <c r="AT2524">
        <v>8.6999999999999994E-2</v>
      </c>
      <c r="AU2524" t="s">
        <v>65</v>
      </c>
      <c r="AV2524">
        <v>79</v>
      </c>
      <c r="AW2524">
        <v>13</v>
      </c>
      <c r="AX2524" t="s">
        <v>17171</v>
      </c>
      <c r="AY2524">
        <v>4.2070000000000003E-2</v>
      </c>
      <c r="AZ2524">
        <v>-2.0699999999999998E-3</v>
      </c>
      <c r="BA2524">
        <v>1.72E-3</v>
      </c>
      <c r="BB2524">
        <v>-1.2999999999999999E-4</v>
      </c>
      <c r="BC2524">
        <v>4.0899999999999999E-2</v>
      </c>
      <c r="BD2524">
        <v>1</v>
      </c>
      <c r="BE2524" t="s">
        <v>69</v>
      </c>
      <c r="BF2524">
        <v>-1.147</v>
      </c>
      <c r="BG2524">
        <v>-2.1179999999999999</v>
      </c>
    </row>
    <row r="2525" spans="1:59">
      <c r="A2525">
        <v>0</v>
      </c>
      <c r="B2525">
        <v>0</v>
      </c>
      <c r="C2525">
        <v>0</v>
      </c>
      <c r="D2525" t="s">
        <v>25022</v>
      </c>
      <c r="E2525">
        <v>3733</v>
      </c>
      <c r="F2525" t="s">
        <v>21887</v>
      </c>
      <c r="G2525" t="s">
        <v>62</v>
      </c>
      <c r="H2525">
        <v>3709631</v>
      </c>
      <c r="I2525">
        <v>3711340</v>
      </c>
      <c r="J2525" t="s">
        <v>21888</v>
      </c>
      <c r="K2525">
        <v>570</v>
      </c>
      <c r="L2525" t="s">
        <v>6390</v>
      </c>
      <c r="M2525">
        <v>45</v>
      </c>
      <c r="N2525" t="str">
        <f>HYPERLINK("Gene3733-zp_tree_all.dnd", "Gene3733-tree")</f>
        <v>Gene3733-tree</v>
      </c>
      <c r="O2525">
        <v>9</v>
      </c>
      <c r="P2525">
        <v>7</v>
      </c>
      <c r="Q2525">
        <v>9</v>
      </c>
      <c r="R2525">
        <v>7</v>
      </c>
      <c r="S2525">
        <v>0.4375</v>
      </c>
      <c r="T2525" t="s">
        <v>135</v>
      </c>
      <c r="U2525" t="s">
        <v>152</v>
      </c>
      <c r="V2525" t="s">
        <v>62</v>
      </c>
      <c r="W2525" t="s">
        <v>62</v>
      </c>
      <c r="X2525">
        <v>0</v>
      </c>
      <c r="Y2525">
        <v>0</v>
      </c>
      <c r="Z2525">
        <v>19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18</v>
      </c>
      <c r="AK2525">
        <v>0</v>
      </c>
      <c r="AL2525">
        <v>13</v>
      </c>
      <c r="AM2525">
        <v>11</v>
      </c>
      <c r="AN2525">
        <v>113</v>
      </c>
      <c r="AO2525">
        <v>18</v>
      </c>
      <c r="AP2525">
        <v>36</v>
      </c>
      <c r="AQ2525">
        <v>1</v>
      </c>
      <c r="AR2525" t="s">
        <v>21889</v>
      </c>
      <c r="AS2525" t="s">
        <v>21890</v>
      </c>
      <c r="AT2525">
        <v>0.41</v>
      </c>
      <c r="AU2525" t="s">
        <v>65</v>
      </c>
      <c r="AV2525">
        <v>149</v>
      </c>
      <c r="AW2525">
        <v>19</v>
      </c>
      <c r="AX2525" t="s">
        <v>21891</v>
      </c>
      <c r="AY2525">
        <v>5.8700000000000002E-2</v>
      </c>
      <c r="AZ2525">
        <v>-5.6299999999999996E-3</v>
      </c>
      <c r="BA2525">
        <v>1.98E-3</v>
      </c>
      <c r="BB2525">
        <v>-2.0000000000000001E-4</v>
      </c>
      <c r="BC2525">
        <v>3.3660000000000002E-2</v>
      </c>
      <c r="BD2525">
        <v>1</v>
      </c>
      <c r="BE2525" t="s">
        <v>69</v>
      </c>
      <c r="BF2525">
        <v>-1.9510000000000001</v>
      </c>
      <c r="BG2525">
        <v>-4.4749999999999996</v>
      </c>
    </row>
    <row r="2526" spans="1:59">
      <c r="A2526">
        <v>0</v>
      </c>
      <c r="B2526">
        <v>0</v>
      </c>
      <c r="C2526">
        <v>0</v>
      </c>
      <c r="D2526" t="s">
        <v>25022</v>
      </c>
      <c r="E2526">
        <v>1446</v>
      </c>
      <c r="F2526" t="s">
        <v>9057</v>
      </c>
      <c r="G2526" t="s">
        <v>57</v>
      </c>
      <c r="H2526">
        <v>1459650</v>
      </c>
      <c r="I2526">
        <v>1461359</v>
      </c>
      <c r="J2526" t="s">
        <v>9058</v>
      </c>
      <c r="K2526">
        <v>570</v>
      </c>
      <c r="L2526" t="s">
        <v>59</v>
      </c>
      <c r="M2526">
        <v>49</v>
      </c>
      <c r="N2526" t="str">
        <f>HYPERLINK("Gene1446-zp_tree_all.dnd", "Gene1446-tree")</f>
        <v>Gene1446-tree</v>
      </c>
      <c r="O2526">
        <v>16</v>
      </c>
      <c r="P2526">
        <v>4</v>
      </c>
      <c r="Q2526">
        <v>16</v>
      </c>
      <c r="R2526">
        <v>4</v>
      </c>
      <c r="S2526">
        <v>0.2</v>
      </c>
      <c r="T2526" t="s">
        <v>60</v>
      </c>
      <c r="U2526" t="s">
        <v>61</v>
      </c>
      <c r="V2526" t="s">
        <v>62</v>
      </c>
      <c r="W2526" t="s">
        <v>62</v>
      </c>
      <c r="X2526">
        <v>0</v>
      </c>
      <c r="Y2526">
        <v>0</v>
      </c>
      <c r="Z2526">
        <v>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</v>
      </c>
      <c r="AK2526">
        <v>0</v>
      </c>
      <c r="AL2526">
        <v>18</v>
      </c>
      <c r="AM2526">
        <v>14</v>
      </c>
      <c r="AN2526">
        <v>75</v>
      </c>
      <c r="AO2526">
        <v>5</v>
      </c>
      <c r="AP2526">
        <v>67</v>
      </c>
      <c r="AQ2526">
        <v>3</v>
      </c>
      <c r="AR2526" t="s">
        <v>9059</v>
      </c>
      <c r="AS2526" t="s">
        <v>9060</v>
      </c>
      <c r="AT2526">
        <v>0.183</v>
      </c>
      <c r="AU2526" t="s">
        <v>65</v>
      </c>
      <c r="AV2526">
        <v>142</v>
      </c>
      <c r="AW2526">
        <v>8</v>
      </c>
      <c r="AX2526" t="s">
        <v>9061</v>
      </c>
      <c r="AY2526">
        <v>6.3689999999999997E-2</v>
      </c>
      <c r="AZ2526">
        <v>-3.1800000000000001E-3</v>
      </c>
      <c r="BA2526">
        <v>8.0999999999999996E-4</v>
      </c>
      <c r="BB2526">
        <v>-6.0000000000000002E-5</v>
      </c>
      <c r="BC2526">
        <v>1.273E-2</v>
      </c>
      <c r="BD2526">
        <v>1</v>
      </c>
      <c r="BE2526" t="s">
        <v>69</v>
      </c>
      <c r="BF2526">
        <v>-1.401</v>
      </c>
      <c r="BG2526">
        <v>-1.871</v>
      </c>
    </row>
    <row r="2527" spans="1:59">
      <c r="A2527">
        <v>0</v>
      </c>
      <c r="B2527">
        <v>4</v>
      </c>
      <c r="C2527">
        <v>0</v>
      </c>
      <c r="D2527" t="s">
        <v>25022</v>
      </c>
      <c r="E2527">
        <v>3470</v>
      </c>
      <c r="F2527" t="s">
        <v>20324</v>
      </c>
      <c r="G2527" t="s">
        <v>62</v>
      </c>
      <c r="H2527">
        <v>3430601</v>
      </c>
      <c r="I2527">
        <v>3432313</v>
      </c>
      <c r="J2527" t="s">
        <v>20325</v>
      </c>
      <c r="K2527">
        <v>571</v>
      </c>
      <c r="L2527" t="s">
        <v>108</v>
      </c>
      <c r="M2527">
        <v>44</v>
      </c>
      <c r="N2527" t="str">
        <f>HYPERLINK("Gene3470-zp_tree_all.dnd", "Gene3470-tree")</f>
        <v>Gene3470-tree</v>
      </c>
      <c r="O2527">
        <v>8</v>
      </c>
      <c r="P2527">
        <v>7</v>
      </c>
      <c r="Q2527">
        <v>8</v>
      </c>
      <c r="R2527">
        <v>7</v>
      </c>
      <c r="S2527">
        <v>0.46666999999999997</v>
      </c>
      <c r="T2527" t="s">
        <v>136</v>
      </c>
      <c r="U2527" t="s">
        <v>152</v>
      </c>
      <c r="V2527" t="s">
        <v>62</v>
      </c>
      <c r="W2527" t="s">
        <v>62</v>
      </c>
      <c r="X2527">
        <v>2</v>
      </c>
      <c r="Y2527">
        <v>4</v>
      </c>
      <c r="Z2527">
        <v>7</v>
      </c>
      <c r="AA2527">
        <v>0.36364000000000002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</v>
      </c>
      <c r="AH2527">
        <v>0</v>
      </c>
      <c r="AI2527">
        <v>2</v>
      </c>
      <c r="AJ2527">
        <v>5</v>
      </c>
      <c r="AK2527">
        <v>0.28571000000000002</v>
      </c>
      <c r="AL2527">
        <v>12</v>
      </c>
      <c r="AM2527">
        <v>12</v>
      </c>
      <c r="AN2527">
        <v>51</v>
      </c>
      <c r="AO2527">
        <v>7</v>
      </c>
      <c r="AP2527">
        <v>55</v>
      </c>
      <c r="AQ2527">
        <v>4</v>
      </c>
      <c r="AR2527" t="s">
        <v>20326</v>
      </c>
      <c r="AS2527" t="s">
        <v>20327</v>
      </c>
      <c r="AT2527">
        <v>0.505</v>
      </c>
      <c r="AU2527" t="s">
        <v>65</v>
      </c>
      <c r="AV2527">
        <v>106</v>
      </c>
      <c r="AW2527">
        <v>11</v>
      </c>
      <c r="AX2527" t="s">
        <v>20328</v>
      </c>
      <c r="AY2527">
        <v>4.9200000000000001E-2</v>
      </c>
      <c r="AZ2527">
        <v>-1.4599999999999999E-3</v>
      </c>
      <c r="BA2527">
        <v>1.56E-3</v>
      </c>
      <c r="BB2527">
        <v>-1E-4</v>
      </c>
      <c r="BC2527">
        <v>3.1669999999999997E-2</v>
      </c>
      <c r="BD2527">
        <v>1</v>
      </c>
      <c r="BE2527" t="s">
        <v>69</v>
      </c>
      <c r="BF2527">
        <v>-0.88400000000000001</v>
      </c>
      <c r="BG2527">
        <v>-1.111</v>
      </c>
    </row>
    <row r="2528" spans="1:59">
      <c r="A2528">
        <v>0</v>
      </c>
      <c r="B2528">
        <v>0</v>
      </c>
      <c r="C2528">
        <v>0</v>
      </c>
      <c r="D2528" t="s">
        <v>25022</v>
      </c>
      <c r="E2528">
        <v>3086</v>
      </c>
      <c r="F2528" t="s">
        <v>17884</v>
      </c>
      <c r="G2528" t="s">
        <v>62</v>
      </c>
      <c r="H2528">
        <v>3038216</v>
      </c>
      <c r="I2528">
        <v>3039931</v>
      </c>
      <c r="J2528" t="s">
        <v>17885</v>
      </c>
      <c r="K2528">
        <v>572</v>
      </c>
      <c r="L2528" t="s">
        <v>108</v>
      </c>
      <c r="M2528">
        <v>44</v>
      </c>
      <c r="N2528" t="str">
        <f>HYPERLINK("Gene3086-zp_tree_all.dnd", "Gene3086-tree")</f>
        <v>Gene3086-tree</v>
      </c>
      <c r="O2528">
        <v>8</v>
      </c>
      <c r="P2528">
        <v>6</v>
      </c>
      <c r="Q2528">
        <v>8</v>
      </c>
      <c r="R2528">
        <v>6</v>
      </c>
      <c r="S2528">
        <v>0.42857000000000001</v>
      </c>
      <c r="T2528" t="s">
        <v>136</v>
      </c>
      <c r="U2528" t="s">
        <v>90</v>
      </c>
      <c r="V2528" t="s">
        <v>62</v>
      </c>
      <c r="W2528" t="s">
        <v>62</v>
      </c>
      <c r="X2528">
        <v>0</v>
      </c>
      <c r="Y2528">
        <v>0</v>
      </c>
      <c r="Z2528">
        <v>9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8</v>
      </c>
      <c r="AK2528">
        <v>0</v>
      </c>
      <c r="AL2528">
        <v>11</v>
      </c>
      <c r="AM2528">
        <v>9</v>
      </c>
      <c r="AN2528">
        <v>60</v>
      </c>
      <c r="AO2528">
        <v>7</v>
      </c>
      <c r="AP2528">
        <v>28</v>
      </c>
      <c r="AQ2528">
        <v>2</v>
      </c>
      <c r="AR2528" t="s">
        <v>17886</v>
      </c>
      <c r="AS2528" t="s">
        <v>17887</v>
      </c>
      <c r="AT2528">
        <v>0.33700000000000002</v>
      </c>
      <c r="AU2528" t="s">
        <v>65</v>
      </c>
      <c r="AV2528">
        <v>88</v>
      </c>
      <c r="AW2528">
        <v>9</v>
      </c>
      <c r="AX2528" t="s">
        <v>17888</v>
      </c>
      <c r="AY2528">
        <v>4.0629999999999999E-2</v>
      </c>
      <c r="AZ2528">
        <v>-1.82E-3</v>
      </c>
      <c r="BA2528">
        <v>1.2199999999999999E-3</v>
      </c>
      <c r="BB2528">
        <v>-1.2999999999999999E-4</v>
      </c>
      <c r="BC2528">
        <v>3.0110000000000001E-2</v>
      </c>
      <c r="BD2528">
        <v>1</v>
      </c>
      <c r="BE2528" t="s">
        <v>69</v>
      </c>
      <c r="BF2528">
        <v>-0.84199999999999997</v>
      </c>
      <c r="BG2528">
        <v>-2.2080000000000002</v>
      </c>
    </row>
    <row r="2529" spans="1:59">
      <c r="A2529">
        <v>0</v>
      </c>
      <c r="B2529">
        <v>19</v>
      </c>
      <c r="C2529">
        <v>1</v>
      </c>
      <c r="D2529" t="s">
        <v>25022</v>
      </c>
      <c r="E2529">
        <v>855</v>
      </c>
      <c r="F2529" t="s">
        <v>5342</v>
      </c>
      <c r="G2529" t="s">
        <v>57</v>
      </c>
      <c r="H2529">
        <v>893904</v>
      </c>
      <c r="I2529">
        <v>895622</v>
      </c>
      <c r="J2529" t="s">
        <v>5343</v>
      </c>
      <c r="K2529">
        <v>573</v>
      </c>
      <c r="L2529" t="s">
        <v>108</v>
      </c>
      <c r="M2529">
        <v>44</v>
      </c>
      <c r="N2529" t="str">
        <f>HYPERLINK("Gene855-zp_tree_all.dnd", "Gene855-tree")</f>
        <v>Gene855-tree</v>
      </c>
      <c r="O2529">
        <v>23</v>
      </c>
      <c r="P2529">
        <v>13</v>
      </c>
      <c r="Q2529">
        <v>3</v>
      </c>
      <c r="R2529">
        <v>13</v>
      </c>
      <c r="S2529">
        <v>0.8125</v>
      </c>
      <c r="T2529" t="s">
        <v>1725</v>
      </c>
      <c r="U2529" t="s">
        <v>507</v>
      </c>
      <c r="V2529" t="s">
        <v>62</v>
      </c>
      <c r="W2529" t="s">
        <v>62</v>
      </c>
      <c r="X2529">
        <v>8</v>
      </c>
      <c r="Y2529">
        <v>20</v>
      </c>
      <c r="Z2529">
        <v>23</v>
      </c>
      <c r="AA2529">
        <v>0.46511999999999998</v>
      </c>
      <c r="AB2529">
        <v>0</v>
      </c>
      <c r="AC2529">
        <v>0</v>
      </c>
      <c r="AD2529">
        <v>0</v>
      </c>
      <c r="AE2529">
        <v>2</v>
      </c>
      <c r="AF2529">
        <v>0</v>
      </c>
      <c r="AG2529">
        <v>12</v>
      </c>
      <c r="AH2529">
        <v>1</v>
      </c>
      <c r="AI2529">
        <v>13</v>
      </c>
      <c r="AJ2529">
        <v>18</v>
      </c>
      <c r="AK2529">
        <v>0.41935</v>
      </c>
      <c r="AL2529">
        <v>13</v>
      </c>
      <c r="AM2529">
        <v>13</v>
      </c>
      <c r="AN2529">
        <v>79</v>
      </c>
      <c r="AO2529">
        <v>30</v>
      </c>
      <c r="AP2529">
        <v>40</v>
      </c>
      <c r="AQ2529">
        <v>14</v>
      </c>
      <c r="AR2529" t="s">
        <v>5344</v>
      </c>
      <c r="AS2529" t="s">
        <v>5345</v>
      </c>
      <c r="AT2529">
        <v>7.0000000000000007E-2</v>
      </c>
      <c r="AU2529" t="s">
        <v>65</v>
      </c>
      <c r="AV2529">
        <v>119</v>
      </c>
      <c r="AW2529">
        <v>44</v>
      </c>
      <c r="AX2529" t="s">
        <v>5346</v>
      </c>
      <c r="AY2529">
        <v>4.9169999999999998E-2</v>
      </c>
      <c r="AZ2529">
        <v>-2.4499999999999999E-3</v>
      </c>
      <c r="BA2529">
        <v>5.3299999999999997E-3</v>
      </c>
      <c r="BB2529">
        <v>-2.0000000000000001E-4</v>
      </c>
      <c r="BC2529">
        <v>0.10834000000000001</v>
      </c>
      <c r="BD2529">
        <v>1</v>
      </c>
      <c r="BE2529" t="s">
        <v>69</v>
      </c>
      <c r="BF2529">
        <v>-1.429</v>
      </c>
      <c r="BG2529">
        <v>-2.9609999999999999</v>
      </c>
    </row>
    <row r="2530" spans="1:59">
      <c r="A2530">
        <v>0</v>
      </c>
      <c r="B2530">
        <v>7</v>
      </c>
      <c r="C2530">
        <v>0</v>
      </c>
      <c r="D2530" t="s">
        <v>25022</v>
      </c>
      <c r="E2530">
        <v>2948</v>
      </c>
      <c r="F2530" t="s">
        <v>16999</v>
      </c>
      <c r="G2530" t="s">
        <v>62</v>
      </c>
      <c r="H2530">
        <v>2895251</v>
      </c>
      <c r="I2530">
        <v>2896972</v>
      </c>
      <c r="J2530" t="s">
        <v>17000</v>
      </c>
      <c r="K2530">
        <v>574</v>
      </c>
      <c r="L2530" t="s">
        <v>108</v>
      </c>
      <c r="M2530">
        <v>44</v>
      </c>
      <c r="N2530" t="str">
        <f>HYPERLINK("Gene2948-zp_tree_all.dnd", "Gene2948-tree")</f>
        <v>Gene2948-tree</v>
      </c>
      <c r="O2530">
        <v>10</v>
      </c>
      <c r="P2530">
        <v>8</v>
      </c>
      <c r="Q2530">
        <v>10</v>
      </c>
      <c r="R2530">
        <v>8</v>
      </c>
      <c r="S2530">
        <v>0.44444</v>
      </c>
      <c r="T2530" t="s">
        <v>117</v>
      </c>
      <c r="U2530" t="s">
        <v>136</v>
      </c>
      <c r="V2530" t="s">
        <v>62</v>
      </c>
      <c r="W2530" t="s">
        <v>62</v>
      </c>
      <c r="X2530">
        <v>3</v>
      </c>
      <c r="Y2530">
        <v>7</v>
      </c>
      <c r="Z2530">
        <v>7</v>
      </c>
      <c r="AA2530">
        <v>0.5</v>
      </c>
      <c r="AB2530">
        <v>0</v>
      </c>
      <c r="AC2530">
        <v>0</v>
      </c>
      <c r="AD2530">
        <v>0</v>
      </c>
      <c r="AE2530">
        <v>2</v>
      </c>
      <c r="AF2530">
        <v>0</v>
      </c>
      <c r="AG2530">
        <v>2</v>
      </c>
      <c r="AH2530">
        <v>0</v>
      </c>
      <c r="AI2530">
        <v>2</v>
      </c>
      <c r="AJ2530">
        <v>8</v>
      </c>
      <c r="AK2530">
        <v>0.2</v>
      </c>
      <c r="AL2530">
        <v>15</v>
      </c>
      <c r="AM2530">
        <v>11</v>
      </c>
      <c r="AN2530">
        <v>47</v>
      </c>
      <c r="AO2530">
        <v>11</v>
      </c>
      <c r="AP2530">
        <v>31</v>
      </c>
      <c r="AQ2530">
        <v>4</v>
      </c>
      <c r="AR2530" t="s">
        <v>17001</v>
      </c>
      <c r="AS2530" t="s">
        <v>17002</v>
      </c>
      <c r="AT2530">
        <v>0.499</v>
      </c>
      <c r="AU2530" t="s">
        <v>65</v>
      </c>
      <c r="AV2530">
        <v>78</v>
      </c>
      <c r="AW2530">
        <v>15</v>
      </c>
      <c r="AX2530" t="s">
        <v>17003</v>
      </c>
      <c r="AY2530">
        <v>3.065E-2</v>
      </c>
      <c r="AZ2530">
        <v>-1.2800000000000001E-3</v>
      </c>
      <c r="BA2530">
        <v>1.5299999999999999E-3</v>
      </c>
      <c r="BB2530">
        <v>-8.0000000000000007E-5</v>
      </c>
      <c r="BC2530">
        <v>4.9919999999999999E-2</v>
      </c>
      <c r="BD2530">
        <v>1</v>
      </c>
      <c r="BE2530" t="s">
        <v>69</v>
      </c>
      <c r="BF2530">
        <v>-1.169</v>
      </c>
      <c r="BG2530">
        <v>-1.901</v>
      </c>
    </row>
    <row r="2531" spans="1:59">
      <c r="A2531">
        <v>0</v>
      </c>
      <c r="B2531">
        <v>5</v>
      </c>
      <c r="C2531">
        <v>0</v>
      </c>
      <c r="D2531" t="s">
        <v>25022</v>
      </c>
      <c r="E2531">
        <v>442</v>
      </c>
      <c r="F2531" t="s">
        <v>3009</v>
      </c>
      <c r="G2531" t="s">
        <v>57</v>
      </c>
      <c r="H2531">
        <v>488830</v>
      </c>
      <c r="I2531">
        <v>490551</v>
      </c>
      <c r="J2531" t="s">
        <v>3010</v>
      </c>
      <c r="K2531">
        <v>574</v>
      </c>
      <c r="L2531" t="s">
        <v>2950</v>
      </c>
      <c r="M2531">
        <v>41</v>
      </c>
      <c r="N2531" t="str">
        <f>HYPERLINK("Gene442-zp_tree_all.dnd", "Gene442-tree")</f>
        <v>Gene442-tree</v>
      </c>
      <c r="O2531">
        <v>5</v>
      </c>
      <c r="P2531">
        <v>12</v>
      </c>
      <c r="Q2531">
        <v>5</v>
      </c>
      <c r="R2531">
        <v>12</v>
      </c>
      <c r="S2531">
        <v>0.70587999999999995</v>
      </c>
      <c r="T2531" t="s">
        <v>199</v>
      </c>
      <c r="U2531" t="s">
        <v>109</v>
      </c>
      <c r="V2531" t="s">
        <v>62</v>
      </c>
      <c r="W2531" t="s">
        <v>62</v>
      </c>
      <c r="X2531">
        <v>2</v>
      </c>
      <c r="Y2531">
        <v>5</v>
      </c>
      <c r="Z2531">
        <v>15</v>
      </c>
      <c r="AA2531">
        <v>0.25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4</v>
      </c>
      <c r="AH2531">
        <v>0</v>
      </c>
      <c r="AI2531">
        <v>4</v>
      </c>
      <c r="AJ2531">
        <v>12</v>
      </c>
      <c r="AK2531">
        <v>0.25</v>
      </c>
      <c r="AL2531">
        <v>15</v>
      </c>
      <c r="AM2531">
        <v>13</v>
      </c>
      <c r="AN2531">
        <v>55</v>
      </c>
      <c r="AO2531">
        <v>16</v>
      </c>
      <c r="AP2531">
        <v>85</v>
      </c>
      <c r="AQ2531">
        <v>4</v>
      </c>
      <c r="AR2531" t="s">
        <v>3011</v>
      </c>
      <c r="AS2531" t="s">
        <v>3012</v>
      </c>
      <c r="AT2531">
        <v>2.78</v>
      </c>
      <c r="AU2531" t="s">
        <v>267</v>
      </c>
      <c r="AV2531">
        <v>140</v>
      </c>
      <c r="AW2531">
        <v>20</v>
      </c>
      <c r="AX2531" t="s">
        <v>3013</v>
      </c>
      <c r="AY2531">
        <v>6.658E-2</v>
      </c>
      <c r="AZ2531">
        <v>-1.83E-3</v>
      </c>
      <c r="BA2531">
        <v>2.2599999999999999E-3</v>
      </c>
      <c r="BB2531">
        <v>-6.9999999999999994E-5</v>
      </c>
      <c r="BC2531">
        <v>3.3930000000000002E-2</v>
      </c>
      <c r="BD2531">
        <v>1</v>
      </c>
      <c r="BE2531" t="s">
        <v>69</v>
      </c>
      <c r="BF2531">
        <v>0.21099999999999999</v>
      </c>
      <c r="BG2531">
        <v>-0.53800000000000003</v>
      </c>
    </row>
    <row r="2532" spans="1:59">
      <c r="A2532">
        <v>0</v>
      </c>
      <c r="B2532">
        <v>25</v>
      </c>
      <c r="C2532">
        <v>4</v>
      </c>
      <c r="D2532" t="s">
        <v>25022</v>
      </c>
      <c r="E2532">
        <v>2928</v>
      </c>
      <c r="F2532" t="s">
        <v>16868</v>
      </c>
      <c r="G2532" t="s">
        <v>62</v>
      </c>
      <c r="H2532">
        <v>2871025</v>
      </c>
      <c r="I2532">
        <v>2872749</v>
      </c>
      <c r="J2532" t="s">
        <v>16869</v>
      </c>
      <c r="K2532">
        <v>575</v>
      </c>
      <c r="L2532" t="s">
        <v>108</v>
      </c>
      <c r="M2532">
        <v>44</v>
      </c>
      <c r="N2532" t="str">
        <f>HYPERLINK("Gene2928-zp_tree_all.dnd", "Gene2928-tree")</f>
        <v>Gene2928-tree</v>
      </c>
      <c r="O2532">
        <v>0</v>
      </c>
      <c r="P2532">
        <v>14</v>
      </c>
      <c r="Q2532">
        <v>0</v>
      </c>
      <c r="R2532">
        <v>14</v>
      </c>
      <c r="S2532">
        <v>1</v>
      </c>
      <c r="T2532" t="s">
        <v>62</v>
      </c>
      <c r="U2532" t="s">
        <v>543</v>
      </c>
      <c r="V2532">
        <v>143484786.68799999</v>
      </c>
      <c r="W2532" t="s">
        <v>65</v>
      </c>
      <c r="X2532">
        <v>13</v>
      </c>
      <c r="Y2532">
        <v>29</v>
      </c>
      <c r="Z2532">
        <v>30</v>
      </c>
      <c r="AA2532">
        <v>0.49153000000000002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16</v>
      </c>
      <c r="AH2532">
        <v>0</v>
      </c>
      <c r="AI2532">
        <v>16</v>
      </c>
      <c r="AJ2532">
        <v>22</v>
      </c>
      <c r="AK2532">
        <v>0.42104999999999998</v>
      </c>
      <c r="AL2532">
        <v>14</v>
      </c>
      <c r="AM2532">
        <v>9</v>
      </c>
      <c r="AN2532">
        <v>36</v>
      </c>
      <c r="AO2532">
        <v>39</v>
      </c>
      <c r="AP2532">
        <v>24</v>
      </c>
      <c r="AQ2532">
        <v>22</v>
      </c>
      <c r="AR2532" t="s">
        <v>16870</v>
      </c>
      <c r="AS2532" t="s">
        <v>16871</v>
      </c>
      <c r="AT2532">
        <v>0.41299999999999998</v>
      </c>
      <c r="AU2532" t="s">
        <v>65</v>
      </c>
      <c r="AV2532">
        <v>60</v>
      </c>
      <c r="AW2532">
        <v>61</v>
      </c>
      <c r="AX2532" t="s">
        <v>16872</v>
      </c>
      <c r="AY2532">
        <v>2.6460000000000001E-2</v>
      </c>
      <c r="AZ2532">
        <v>-1.09E-3</v>
      </c>
      <c r="BA2532">
        <v>8.5199999999999998E-3</v>
      </c>
      <c r="BB2532">
        <v>-2.3000000000000001E-4</v>
      </c>
      <c r="BC2532">
        <v>0.32201000000000002</v>
      </c>
      <c r="BD2532">
        <v>1</v>
      </c>
      <c r="BE2532" t="s">
        <v>69</v>
      </c>
      <c r="BF2532">
        <v>-1.109</v>
      </c>
      <c r="BG2532">
        <v>-0.85099999999999998</v>
      </c>
    </row>
    <row r="2533" spans="1:59">
      <c r="A2533">
        <v>2</v>
      </c>
      <c r="B2533">
        <v>50</v>
      </c>
      <c r="C2533">
        <v>9</v>
      </c>
      <c r="D2533" t="s">
        <v>25022</v>
      </c>
      <c r="E2533">
        <v>1094</v>
      </c>
      <c r="F2533" t="s">
        <v>6879</v>
      </c>
      <c r="G2533" t="s">
        <v>57</v>
      </c>
      <c r="H2533">
        <v>1133498</v>
      </c>
      <c r="I2533">
        <v>1135222</v>
      </c>
      <c r="J2533" t="s">
        <v>6880</v>
      </c>
      <c r="K2533">
        <v>575</v>
      </c>
      <c r="L2533" t="s">
        <v>108</v>
      </c>
      <c r="M2533">
        <v>44</v>
      </c>
      <c r="N2533" t="str">
        <f>HYPERLINK("Gene1094-zp_tree_all.dnd", "Gene1094-tree")</f>
        <v>Gene1094-tree</v>
      </c>
      <c r="O2533">
        <v>0</v>
      </c>
      <c r="P2533">
        <v>35</v>
      </c>
      <c r="Q2533">
        <v>0</v>
      </c>
      <c r="R2533">
        <v>16</v>
      </c>
      <c r="S2533">
        <v>1</v>
      </c>
      <c r="T2533" t="s">
        <v>62</v>
      </c>
      <c r="U2533" t="s">
        <v>6881</v>
      </c>
      <c r="V2533">
        <v>3.73</v>
      </c>
      <c r="W2533" t="s">
        <v>65</v>
      </c>
      <c r="X2533">
        <v>20</v>
      </c>
      <c r="Y2533">
        <v>61</v>
      </c>
      <c r="Z2533">
        <v>35</v>
      </c>
      <c r="AA2533">
        <v>0.63541999999999998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24</v>
      </c>
      <c r="AH2533">
        <v>9</v>
      </c>
      <c r="AI2533">
        <v>33</v>
      </c>
      <c r="AJ2533">
        <v>32</v>
      </c>
      <c r="AK2533">
        <v>0.50768999999999997</v>
      </c>
      <c r="AL2533">
        <v>14</v>
      </c>
      <c r="AM2533">
        <v>13</v>
      </c>
      <c r="AN2533">
        <v>63</v>
      </c>
      <c r="AO2533">
        <v>62</v>
      </c>
      <c r="AP2533">
        <v>56</v>
      </c>
      <c r="AQ2533">
        <v>34</v>
      </c>
      <c r="AR2533" t="s">
        <v>6882</v>
      </c>
      <c r="AS2533" t="s">
        <v>6883</v>
      </c>
      <c r="AT2533">
        <v>1.339</v>
      </c>
      <c r="AU2533" t="s">
        <v>65</v>
      </c>
      <c r="AV2533">
        <v>119</v>
      </c>
      <c r="AW2533">
        <v>96</v>
      </c>
      <c r="AX2533" t="s">
        <v>6884</v>
      </c>
      <c r="AY2533">
        <v>5.1249999999999997E-2</v>
      </c>
      <c r="AZ2533">
        <v>-1.25E-3</v>
      </c>
      <c r="BA2533">
        <v>1.0030000000000001E-2</v>
      </c>
      <c r="BB2533">
        <v>-3.1E-4</v>
      </c>
      <c r="BC2533">
        <v>0.19578999999999999</v>
      </c>
      <c r="BD2533">
        <v>1</v>
      </c>
      <c r="BE2533" t="s">
        <v>69</v>
      </c>
      <c r="BF2533">
        <v>-0.63</v>
      </c>
      <c r="BG2533">
        <v>-1.419</v>
      </c>
    </row>
    <row r="2534" spans="1:59">
      <c r="A2534">
        <v>0</v>
      </c>
      <c r="B2534">
        <v>12</v>
      </c>
      <c r="C2534">
        <v>2</v>
      </c>
      <c r="D2534" t="s">
        <v>25022</v>
      </c>
      <c r="E2534">
        <v>4011</v>
      </c>
      <c r="F2534" t="s">
        <v>23596</v>
      </c>
      <c r="G2534" t="s">
        <v>62</v>
      </c>
      <c r="H2534">
        <v>3973367</v>
      </c>
      <c r="I2534">
        <v>3975091</v>
      </c>
      <c r="J2534" t="s">
        <v>23597</v>
      </c>
      <c r="K2534">
        <v>575</v>
      </c>
      <c r="L2534" t="s">
        <v>108</v>
      </c>
      <c r="M2534">
        <v>44</v>
      </c>
      <c r="N2534" t="str">
        <f>HYPERLINK("Gene4011-zp_tree_all.dnd", "Gene4011-tree")</f>
        <v>Gene4011-tree</v>
      </c>
      <c r="O2534">
        <v>4</v>
      </c>
      <c r="P2534">
        <v>11</v>
      </c>
      <c r="Q2534">
        <v>4</v>
      </c>
      <c r="R2534">
        <v>11</v>
      </c>
      <c r="S2534">
        <v>0.73333000000000004</v>
      </c>
      <c r="T2534" t="s">
        <v>61</v>
      </c>
      <c r="U2534" t="s">
        <v>73</v>
      </c>
      <c r="V2534">
        <v>200307210.301</v>
      </c>
      <c r="W2534" t="s">
        <v>267</v>
      </c>
      <c r="X2534">
        <v>7</v>
      </c>
      <c r="Y2534">
        <v>14</v>
      </c>
      <c r="Z2534">
        <v>25</v>
      </c>
      <c r="AA2534">
        <v>0.35897000000000001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22</v>
      </c>
      <c r="AK2534">
        <v>0</v>
      </c>
      <c r="AL2534">
        <v>14</v>
      </c>
      <c r="AM2534">
        <v>11</v>
      </c>
      <c r="AN2534">
        <v>92</v>
      </c>
      <c r="AO2534">
        <v>22</v>
      </c>
      <c r="AP2534">
        <v>66</v>
      </c>
      <c r="AQ2534">
        <v>17</v>
      </c>
      <c r="AR2534" t="s">
        <v>23598</v>
      </c>
      <c r="AS2534" t="s">
        <v>23599</v>
      </c>
      <c r="AT2534">
        <v>0.122</v>
      </c>
      <c r="AU2534" t="s">
        <v>65</v>
      </c>
      <c r="AV2534">
        <v>158</v>
      </c>
      <c r="AW2534">
        <v>39</v>
      </c>
      <c r="AX2534" t="s">
        <v>23600</v>
      </c>
      <c r="AY2534">
        <v>7.1790000000000007E-2</v>
      </c>
      <c r="AZ2534">
        <v>-3.4299999999999999E-3</v>
      </c>
      <c r="BA2534">
        <v>6.0899999999999999E-3</v>
      </c>
      <c r="BB2534">
        <v>-2.7E-4</v>
      </c>
      <c r="BC2534">
        <v>8.4769999999999998E-2</v>
      </c>
      <c r="BD2534">
        <v>1</v>
      </c>
      <c r="BE2534" t="s">
        <v>69</v>
      </c>
      <c r="BF2534">
        <v>-0.47799999999999998</v>
      </c>
      <c r="BG2534">
        <v>-1.222</v>
      </c>
    </row>
    <row r="2535" spans="1:59">
      <c r="A2535">
        <v>0</v>
      </c>
      <c r="B2535">
        <v>23</v>
      </c>
      <c r="C2535">
        <v>1</v>
      </c>
      <c r="D2535" t="s">
        <v>25022</v>
      </c>
      <c r="E2535">
        <v>3859</v>
      </c>
      <c r="F2535" t="s">
        <v>22625</v>
      </c>
      <c r="G2535" t="s">
        <v>62</v>
      </c>
      <c r="H2535">
        <v>3819757</v>
      </c>
      <c r="I2535">
        <v>3821481</v>
      </c>
      <c r="J2535" t="s">
        <v>22626</v>
      </c>
      <c r="K2535">
        <v>575</v>
      </c>
      <c r="L2535" t="s">
        <v>1174</v>
      </c>
      <c r="M2535">
        <v>42</v>
      </c>
      <c r="N2535" t="str">
        <f>HYPERLINK("Gene3859-zp_tree_all.dnd", "Gene3859-tree")</f>
        <v>Gene3859-tree</v>
      </c>
      <c r="O2535">
        <v>1</v>
      </c>
      <c r="P2535">
        <v>13</v>
      </c>
      <c r="Q2535">
        <v>1</v>
      </c>
      <c r="R2535">
        <v>13</v>
      </c>
      <c r="S2535">
        <v>0.92857000000000001</v>
      </c>
      <c r="T2535" t="s">
        <v>175</v>
      </c>
      <c r="U2535" t="s">
        <v>507</v>
      </c>
      <c r="V2535" t="s">
        <v>62</v>
      </c>
      <c r="W2535" t="s">
        <v>62</v>
      </c>
      <c r="X2535">
        <v>7</v>
      </c>
      <c r="Y2535">
        <v>24</v>
      </c>
      <c r="Z2535">
        <v>6</v>
      </c>
      <c r="AA2535">
        <v>0.8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12</v>
      </c>
      <c r="AH2535">
        <v>1</v>
      </c>
      <c r="AI2535">
        <v>13</v>
      </c>
      <c r="AJ2535">
        <v>7</v>
      </c>
      <c r="AK2535">
        <v>0.65</v>
      </c>
      <c r="AL2535">
        <v>13</v>
      </c>
      <c r="AM2535">
        <v>11</v>
      </c>
      <c r="AN2535">
        <v>77</v>
      </c>
      <c r="AO2535">
        <v>20</v>
      </c>
      <c r="AP2535">
        <v>40</v>
      </c>
      <c r="AQ2535">
        <v>10</v>
      </c>
      <c r="AR2535" t="s">
        <v>22627</v>
      </c>
      <c r="AS2535" t="s">
        <v>22628</v>
      </c>
      <c r="AT2535">
        <v>4.5999999999999999E-2</v>
      </c>
      <c r="AU2535" t="s">
        <v>65</v>
      </c>
      <c r="AV2535">
        <v>117</v>
      </c>
      <c r="AW2535">
        <v>30</v>
      </c>
      <c r="AX2535" t="s">
        <v>22629</v>
      </c>
      <c r="AY2535">
        <v>5.067E-2</v>
      </c>
      <c r="AZ2535">
        <v>-2.1800000000000001E-3</v>
      </c>
      <c r="BA2535">
        <v>3.1099999999999999E-3</v>
      </c>
      <c r="BB2535">
        <v>-1.2999999999999999E-4</v>
      </c>
      <c r="BC2535">
        <v>6.1429999999999998E-2</v>
      </c>
      <c r="BD2535">
        <v>1</v>
      </c>
      <c r="BE2535" t="s">
        <v>69</v>
      </c>
      <c r="BF2535">
        <v>-0.50600000000000001</v>
      </c>
      <c r="BG2535">
        <v>-0.78100000000000003</v>
      </c>
    </row>
    <row r="2536" spans="1:59">
      <c r="A2536">
        <v>0</v>
      </c>
      <c r="B2536">
        <v>5</v>
      </c>
      <c r="C2536">
        <v>5</v>
      </c>
      <c r="D2536" t="s">
        <v>25022</v>
      </c>
      <c r="E2536">
        <v>1668</v>
      </c>
      <c r="F2536" t="s">
        <v>10446</v>
      </c>
      <c r="G2536" t="s">
        <v>57</v>
      </c>
      <c r="H2536">
        <v>1678250</v>
      </c>
      <c r="I2536">
        <v>1679977</v>
      </c>
      <c r="J2536" t="s">
        <v>3798</v>
      </c>
      <c r="K2536">
        <v>576</v>
      </c>
      <c r="L2536" t="s">
        <v>1174</v>
      </c>
      <c r="M2536">
        <v>42</v>
      </c>
      <c r="N2536" t="str">
        <f>HYPERLINK("Gene1668-zp_tree_all.dnd", "Gene1668-tree")</f>
        <v>Gene1668-tree</v>
      </c>
      <c r="O2536">
        <v>3</v>
      </c>
      <c r="P2536">
        <v>11</v>
      </c>
      <c r="Q2536">
        <v>3</v>
      </c>
      <c r="R2536">
        <v>11</v>
      </c>
      <c r="S2536">
        <v>0.78571000000000002</v>
      </c>
      <c r="T2536" t="s">
        <v>324</v>
      </c>
      <c r="U2536" t="s">
        <v>73</v>
      </c>
      <c r="V2536">
        <v>305230034.74400002</v>
      </c>
      <c r="W2536" t="s">
        <v>267</v>
      </c>
      <c r="X2536">
        <v>4</v>
      </c>
      <c r="Y2536">
        <v>10</v>
      </c>
      <c r="Z2536">
        <v>33</v>
      </c>
      <c r="AA2536">
        <v>0.23255999999999999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</v>
      </c>
      <c r="AH2536">
        <v>4</v>
      </c>
      <c r="AI2536">
        <v>6</v>
      </c>
      <c r="AJ2536">
        <v>29</v>
      </c>
      <c r="AK2536">
        <v>0.17143</v>
      </c>
      <c r="AL2536">
        <v>12</v>
      </c>
      <c r="AM2536">
        <v>9</v>
      </c>
      <c r="AN2536">
        <v>25</v>
      </c>
      <c r="AO2536">
        <v>34</v>
      </c>
      <c r="AP2536">
        <v>28</v>
      </c>
      <c r="AQ2536">
        <v>9</v>
      </c>
      <c r="AR2536" t="s">
        <v>10447</v>
      </c>
      <c r="AS2536" t="s">
        <v>10448</v>
      </c>
      <c r="AT2536">
        <v>1.3120000000000001</v>
      </c>
      <c r="AU2536" t="s">
        <v>65</v>
      </c>
      <c r="AV2536">
        <v>53</v>
      </c>
      <c r="AW2536">
        <v>43</v>
      </c>
      <c r="AX2536" t="s">
        <v>10449</v>
      </c>
      <c r="AY2536">
        <v>2.8170000000000001E-2</v>
      </c>
      <c r="AZ2536">
        <v>-1.23E-3</v>
      </c>
      <c r="BA2536">
        <v>5.6600000000000001E-3</v>
      </c>
      <c r="BB2536">
        <v>-2.5000000000000001E-4</v>
      </c>
      <c r="BC2536">
        <v>0.20086000000000001</v>
      </c>
      <c r="BD2536">
        <v>1</v>
      </c>
      <c r="BE2536" t="s">
        <v>69</v>
      </c>
      <c r="BF2536">
        <v>-1.4139999999999999</v>
      </c>
      <c r="BG2536">
        <v>-2.7890000000000001</v>
      </c>
    </row>
    <row r="2537" spans="1:59">
      <c r="A2537">
        <v>0</v>
      </c>
      <c r="B2537">
        <v>7</v>
      </c>
      <c r="C2537">
        <v>0</v>
      </c>
      <c r="D2537" t="s">
        <v>25022</v>
      </c>
      <c r="E2537">
        <v>2526</v>
      </c>
      <c r="F2537" t="s">
        <v>14747</v>
      </c>
      <c r="G2537" t="s">
        <v>62</v>
      </c>
      <c r="H2537">
        <v>2520560</v>
      </c>
      <c r="I2537">
        <v>2522287</v>
      </c>
      <c r="J2537" t="s">
        <v>14748</v>
      </c>
      <c r="K2537">
        <v>576</v>
      </c>
      <c r="L2537" t="s">
        <v>108</v>
      </c>
      <c r="M2537">
        <v>44</v>
      </c>
      <c r="N2537" t="str">
        <f>HYPERLINK("Gene2526-zp_tree_all.dnd", "Gene2526-tree")</f>
        <v>Gene2526-tree</v>
      </c>
      <c r="O2537">
        <v>4</v>
      </c>
      <c r="P2537">
        <v>9</v>
      </c>
      <c r="Q2537">
        <v>4</v>
      </c>
      <c r="R2537">
        <v>9</v>
      </c>
      <c r="S2537">
        <v>0.69230999999999998</v>
      </c>
      <c r="T2537" t="s">
        <v>61</v>
      </c>
      <c r="U2537" t="s">
        <v>135</v>
      </c>
      <c r="V2537" t="s">
        <v>62</v>
      </c>
      <c r="W2537" t="s">
        <v>62</v>
      </c>
      <c r="X2537">
        <v>3</v>
      </c>
      <c r="Y2537">
        <v>7</v>
      </c>
      <c r="Z2537">
        <v>6</v>
      </c>
      <c r="AA2537">
        <v>0.53846000000000005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5</v>
      </c>
      <c r="AH2537">
        <v>0</v>
      </c>
      <c r="AI2537">
        <v>5</v>
      </c>
      <c r="AJ2537">
        <v>7</v>
      </c>
      <c r="AK2537">
        <v>0.41666999999999998</v>
      </c>
      <c r="AL2537">
        <v>12</v>
      </c>
      <c r="AM2537">
        <v>8</v>
      </c>
      <c r="AN2537">
        <v>52</v>
      </c>
      <c r="AO2537">
        <v>12</v>
      </c>
      <c r="AP2537">
        <v>23</v>
      </c>
      <c r="AQ2537">
        <v>1</v>
      </c>
      <c r="AR2537" t="s">
        <v>14749</v>
      </c>
      <c r="AS2537" t="s">
        <v>14750</v>
      </c>
      <c r="AT2537">
        <v>1.121</v>
      </c>
      <c r="AU2537" t="s">
        <v>65</v>
      </c>
      <c r="AV2537">
        <v>75</v>
      </c>
      <c r="AW2537">
        <v>13</v>
      </c>
      <c r="AX2537" t="s">
        <v>14751</v>
      </c>
      <c r="AY2537">
        <v>3.6819999999999999E-2</v>
      </c>
      <c r="AZ2537">
        <v>-1.92E-3</v>
      </c>
      <c r="BA2537">
        <v>1.5200000000000001E-3</v>
      </c>
      <c r="BB2537">
        <v>-1E-4</v>
      </c>
      <c r="BC2537">
        <v>4.1209999999999997E-2</v>
      </c>
      <c r="BD2537">
        <v>1</v>
      </c>
      <c r="BE2537" t="s">
        <v>69</v>
      </c>
      <c r="BF2537">
        <v>-0.94199999999999995</v>
      </c>
      <c r="BG2537">
        <v>-1.3460000000000001</v>
      </c>
    </row>
    <row r="2538" spans="1:59">
      <c r="A2538">
        <v>0</v>
      </c>
      <c r="B2538">
        <v>22</v>
      </c>
      <c r="C2538">
        <v>0</v>
      </c>
      <c r="D2538" t="s">
        <v>25022</v>
      </c>
      <c r="E2538">
        <v>1509</v>
      </c>
      <c r="F2538" t="s">
        <v>9432</v>
      </c>
      <c r="G2538" t="s">
        <v>57</v>
      </c>
      <c r="H2538">
        <v>1521351</v>
      </c>
      <c r="I2538">
        <v>1523081</v>
      </c>
      <c r="J2538" t="s">
        <v>9433</v>
      </c>
      <c r="K2538">
        <v>577</v>
      </c>
      <c r="L2538" t="s">
        <v>108</v>
      </c>
      <c r="M2538">
        <v>44</v>
      </c>
      <c r="N2538" t="str">
        <f>HYPERLINK("Gene1509-zp_tree_all.dnd", "Gene1509-tree")</f>
        <v>Gene1509-tree</v>
      </c>
      <c r="O2538">
        <v>0</v>
      </c>
      <c r="P2538">
        <v>13</v>
      </c>
      <c r="Q2538">
        <v>0</v>
      </c>
      <c r="R2538">
        <v>13</v>
      </c>
      <c r="S2538">
        <v>1</v>
      </c>
      <c r="T2538" t="s">
        <v>62</v>
      </c>
      <c r="U2538" t="s">
        <v>507</v>
      </c>
      <c r="V2538" t="s">
        <v>62</v>
      </c>
      <c r="W2538" t="s">
        <v>62</v>
      </c>
      <c r="X2538">
        <v>8</v>
      </c>
      <c r="Y2538">
        <v>22</v>
      </c>
      <c r="Z2538">
        <v>24</v>
      </c>
      <c r="AA2538">
        <v>0.47826000000000002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14</v>
      </c>
      <c r="AH2538">
        <v>0</v>
      </c>
      <c r="AI2538">
        <v>14</v>
      </c>
      <c r="AJ2538">
        <v>18</v>
      </c>
      <c r="AK2538">
        <v>0.4375</v>
      </c>
      <c r="AL2538">
        <v>12</v>
      </c>
      <c r="AM2538">
        <v>10</v>
      </c>
      <c r="AN2538">
        <v>37</v>
      </c>
      <c r="AO2538">
        <v>27</v>
      </c>
      <c r="AP2538">
        <v>43</v>
      </c>
      <c r="AQ2538">
        <v>19</v>
      </c>
      <c r="AR2538" t="s">
        <v>9434</v>
      </c>
      <c r="AS2538" t="s">
        <v>9435</v>
      </c>
      <c r="AT2538">
        <v>0.71</v>
      </c>
      <c r="AU2538" t="s">
        <v>65</v>
      </c>
      <c r="AV2538">
        <v>80</v>
      </c>
      <c r="AW2538">
        <v>46</v>
      </c>
      <c r="AX2538" t="s">
        <v>9436</v>
      </c>
      <c r="AY2538">
        <v>4.6330000000000003E-2</v>
      </c>
      <c r="AZ2538">
        <v>-1.89E-3</v>
      </c>
      <c r="BA2538">
        <v>6.4900000000000001E-3</v>
      </c>
      <c r="BB2538">
        <v>-2.4000000000000001E-4</v>
      </c>
      <c r="BC2538">
        <v>0.14016999999999999</v>
      </c>
      <c r="BD2538">
        <v>1</v>
      </c>
      <c r="BE2538" t="s">
        <v>69</v>
      </c>
      <c r="BF2538">
        <v>0.218</v>
      </c>
      <c r="BG2538">
        <v>-0.54</v>
      </c>
    </row>
    <row r="2539" spans="1:59">
      <c r="A2539">
        <v>0</v>
      </c>
      <c r="B2539">
        <v>8</v>
      </c>
      <c r="C2539">
        <v>0</v>
      </c>
      <c r="D2539" t="s">
        <v>25022</v>
      </c>
      <c r="E2539">
        <v>732</v>
      </c>
      <c r="F2539" t="s">
        <v>4534</v>
      </c>
      <c r="G2539" t="s">
        <v>57</v>
      </c>
      <c r="H2539">
        <v>758719</v>
      </c>
      <c r="I2539">
        <v>760449</v>
      </c>
      <c r="J2539" t="s">
        <v>4535</v>
      </c>
      <c r="K2539">
        <v>577</v>
      </c>
      <c r="L2539" t="s">
        <v>108</v>
      </c>
      <c r="M2539">
        <v>44</v>
      </c>
      <c r="N2539" t="str">
        <f>HYPERLINK("Gene732-zp_tree_all.dnd", "Gene732-tree")</f>
        <v>Gene732-tree</v>
      </c>
      <c r="O2539">
        <v>8</v>
      </c>
      <c r="P2539">
        <v>10</v>
      </c>
      <c r="Q2539">
        <v>8</v>
      </c>
      <c r="R2539">
        <v>10</v>
      </c>
      <c r="S2539">
        <v>0.55556000000000005</v>
      </c>
      <c r="T2539" t="s">
        <v>136</v>
      </c>
      <c r="U2539" t="s">
        <v>117</v>
      </c>
      <c r="V2539" t="s">
        <v>62</v>
      </c>
      <c r="W2539" t="s">
        <v>62</v>
      </c>
      <c r="X2539">
        <v>4</v>
      </c>
      <c r="Y2539">
        <v>8</v>
      </c>
      <c r="Z2539">
        <v>24</v>
      </c>
      <c r="AA2539">
        <v>0.25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</v>
      </c>
      <c r="AH2539">
        <v>0</v>
      </c>
      <c r="AI2539">
        <v>2</v>
      </c>
      <c r="AJ2539">
        <v>14</v>
      </c>
      <c r="AK2539">
        <v>0.125</v>
      </c>
      <c r="AL2539">
        <v>16</v>
      </c>
      <c r="AM2539">
        <v>14</v>
      </c>
      <c r="AN2539">
        <v>64</v>
      </c>
      <c r="AO2539">
        <v>14</v>
      </c>
      <c r="AP2539">
        <v>62</v>
      </c>
      <c r="AQ2539">
        <v>18</v>
      </c>
      <c r="AR2539" t="s">
        <v>4536</v>
      </c>
      <c r="AS2539" t="s">
        <v>4537</v>
      </c>
      <c r="AT2539">
        <v>0.39200000000000002</v>
      </c>
      <c r="AU2539" t="s">
        <v>65</v>
      </c>
      <c r="AV2539">
        <v>126</v>
      </c>
      <c r="AW2539">
        <v>32</v>
      </c>
      <c r="AX2539" t="s">
        <v>4538</v>
      </c>
      <c r="AY2539">
        <v>5.4719999999999998E-2</v>
      </c>
      <c r="AZ2539">
        <v>-1.65E-3</v>
      </c>
      <c r="BA2539">
        <v>4.9800000000000001E-3</v>
      </c>
      <c r="BB2539">
        <v>-1.7000000000000001E-4</v>
      </c>
      <c r="BC2539">
        <v>9.0939999999999993E-2</v>
      </c>
      <c r="BD2539">
        <v>1</v>
      </c>
      <c r="BE2539" t="s">
        <v>69</v>
      </c>
      <c r="BF2539">
        <v>-0.25900000000000001</v>
      </c>
      <c r="BG2539">
        <v>-0.49199999999999999</v>
      </c>
    </row>
    <row r="2540" spans="1:59">
      <c r="A2540">
        <v>0</v>
      </c>
      <c r="B2540">
        <v>17</v>
      </c>
      <c r="C2540">
        <v>2</v>
      </c>
      <c r="D2540" t="s">
        <v>25022</v>
      </c>
      <c r="E2540">
        <v>3083</v>
      </c>
      <c r="F2540" t="s">
        <v>17865</v>
      </c>
      <c r="G2540" t="s">
        <v>62</v>
      </c>
      <c r="H2540">
        <v>3033699</v>
      </c>
      <c r="I2540">
        <v>3035435</v>
      </c>
      <c r="J2540" t="s">
        <v>5937</v>
      </c>
      <c r="K2540">
        <v>579</v>
      </c>
      <c r="L2540" t="s">
        <v>108</v>
      </c>
      <c r="M2540">
        <v>44</v>
      </c>
      <c r="N2540" t="str">
        <f>HYPERLINK("Gene3083-zp_tree_all.dnd", "Gene3083-tree")</f>
        <v>Gene3083-tree</v>
      </c>
      <c r="O2540">
        <v>3</v>
      </c>
      <c r="P2540">
        <v>11</v>
      </c>
      <c r="Q2540">
        <v>3</v>
      </c>
      <c r="R2540">
        <v>11</v>
      </c>
      <c r="S2540">
        <v>0.78571000000000002</v>
      </c>
      <c r="T2540" t="s">
        <v>324</v>
      </c>
      <c r="U2540" t="s">
        <v>73</v>
      </c>
      <c r="V2540">
        <v>305230034.74400002</v>
      </c>
      <c r="W2540" t="s">
        <v>267</v>
      </c>
      <c r="X2540">
        <v>8</v>
      </c>
      <c r="Y2540">
        <v>19</v>
      </c>
      <c r="Z2540">
        <v>25</v>
      </c>
      <c r="AA2540">
        <v>0.43181999999999998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8</v>
      </c>
      <c r="AH2540">
        <v>2</v>
      </c>
      <c r="AI2540">
        <v>10</v>
      </c>
      <c r="AJ2540">
        <v>28</v>
      </c>
      <c r="AK2540">
        <v>0.26316000000000001</v>
      </c>
      <c r="AL2540">
        <v>13</v>
      </c>
      <c r="AM2540">
        <v>11</v>
      </c>
      <c r="AN2540">
        <v>63</v>
      </c>
      <c r="AO2540">
        <v>38</v>
      </c>
      <c r="AP2540">
        <v>29</v>
      </c>
      <c r="AQ2540">
        <v>6</v>
      </c>
      <c r="AR2540" t="s">
        <v>17866</v>
      </c>
      <c r="AS2540" t="s">
        <v>17867</v>
      </c>
      <c r="AT2540">
        <v>1.9</v>
      </c>
      <c r="AU2540" t="s">
        <v>65</v>
      </c>
      <c r="AV2540">
        <v>92</v>
      </c>
      <c r="AW2540">
        <v>44</v>
      </c>
      <c r="AX2540" t="s">
        <v>17868</v>
      </c>
      <c r="AY2540">
        <v>4.0480000000000002E-2</v>
      </c>
      <c r="AZ2540">
        <v>-1.4300000000000001E-3</v>
      </c>
      <c r="BA2540">
        <v>4.9699999999999996E-3</v>
      </c>
      <c r="BB2540">
        <v>-2.5000000000000001E-4</v>
      </c>
      <c r="BC2540">
        <v>0.12268999999999999</v>
      </c>
      <c r="BD2540">
        <v>1</v>
      </c>
      <c r="BE2540" t="s">
        <v>69</v>
      </c>
      <c r="BF2540">
        <v>-0.99299999999999999</v>
      </c>
      <c r="BG2540">
        <v>-1.3009999999999999</v>
      </c>
    </row>
    <row r="2541" spans="1:59">
      <c r="A2541">
        <v>0</v>
      </c>
      <c r="B2541">
        <v>18</v>
      </c>
      <c r="C2541">
        <v>1</v>
      </c>
      <c r="D2541" t="s">
        <v>25022</v>
      </c>
      <c r="E2541">
        <v>3026</v>
      </c>
      <c r="F2541" t="s">
        <v>17493</v>
      </c>
      <c r="G2541" t="s">
        <v>62</v>
      </c>
      <c r="H2541">
        <v>2976071</v>
      </c>
      <c r="I2541">
        <v>2977807</v>
      </c>
      <c r="J2541" t="s">
        <v>3074</v>
      </c>
      <c r="K2541">
        <v>579</v>
      </c>
      <c r="L2541" t="s">
        <v>108</v>
      </c>
      <c r="M2541">
        <v>44</v>
      </c>
      <c r="N2541" t="str">
        <f>HYPERLINK("Gene3026-zp_tree_all.dnd", "Gene3026-tree")</f>
        <v>Gene3026-tree</v>
      </c>
      <c r="O2541">
        <v>3</v>
      </c>
      <c r="P2541">
        <v>11</v>
      </c>
      <c r="Q2541">
        <v>3</v>
      </c>
      <c r="R2541">
        <v>11</v>
      </c>
      <c r="S2541">
        <v>0.78571000000000002</v>
      </c>
      <c r="T2541" t="s">
        <v>324</v>
      </c>
      <c r="U2541" t="s">
        <v>73</v>
      </c>
      <c r="V2541">
        <v>305230034.74400002</v>
      </c>
      <c r="W2541" t="s">
        <v>267</v>
      </c>
      <c r="X2541">
        <v>6</v>
      </c>
      <c r="Y2541">
        <v>19</v>
      </c>
      <c r="Z2541">
        <v>13</v>
      </c>
      <c r="AA2541">
        <v>0.59375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5</v>
      </c>
      <c r="AH2541">
        <v>0</v>
      </c>
      <c r="AI2541">
        <v>5</v>
      </c>
      <c r="AJ2541">
        <v>15</v>
      </c>
      <c r="AK2541">
        <v>0.25</v>
      </c>
      <c r="AL2541">
        <v>13</v>
      </c>
      <c r="AM2541">
        <v>11</v>
      </c>
      <c r="AN2541">
        <v>55</v>
      </c>
      <c r="AO2541">
        <v>20</v>
      </c>
      <c r="AP2541">
        <v>34</v>
      </c>
      <c r="AQ2541">
        <v>12</v>
      </c>
      <c r="AR2541" t="s">
        <v>17494</v>
      </c>
      <c r="AS2541" t="s">
        <v>17495</v>
      </c>
      <c r="AT2541">
        <v>0.06</v>
      </c>
      <c r="AU2541" t="s">
        <v>65</v>
      </c>
      <c r="AV2541">
        <v>89</v>
      </c>
      <c r="AW2541">
        <v>32</v>
      </c>
      <c r="AX2541" t="s">
        <v>17496</v>
      </c>
      <c r="AY2541">
        <v>3.832E-2</v>
      </c>
      <c r="AZ2541">
        <v>-1.1199999999999999E-3</v>
      </c>
      <c r="BA2541">
        <v>3.6099999999999999E-3</v>
      </c>
      <c r="BB2541">
        <v>-1.7000000000000001E-4</v>
      </c>
      <c r="BC2541">
        <v>9.4270000000000007E-2</v>
      </c>
      <c r="BD2541">
        <v>1</v>
      </c>
      <c r="BE2541" t="s">
        <v>69</v>
      </c>
      <c r="BF2541">
        <v>-0.55000000000000004</v>
      </c>
      <c r="BG2541">
        <v>-1.621</v>
      </c>
    </row>
    <row r="2542" spans="1:59">
      <c r="A2542">
        <v>0</v>
      </c>
      <c r="B2542">
        <v>2</v>
      </c>
      <c r="C2542">
        <v>2</v>
      </c>
      <c r="D2542" t="s">
        <v>25022</v>
      </c>
      <c r="E2542">
        <v>3198</v>
      </c>
      <c r="F2542" t="s">
        <v>18617</v>
      </c>
      <c r="G2542" t="s">
        <v>62</v>
      </c>
      <c r="H2542">
        <v>3150566</v>
      </c>
      <c r="I2542">
        <v>3152305</v>
      </c>
      <c r="J2542" t="s">
        <v>18618</v>
      </c>
      <c r="K2542">
        <v>580</v>
      </c>
      <c r="L2542" t="s">
        <v>108</v>
      </c>
      <c r="M2542">
        <v>44</v>
      </c>
      <c r="N2542" t="str">
        <f>HYPERLINK("Gene3198-zp_tree_all.dnd", "Gene3198-tree")</f>
        <v>Gene3198-tree</v>
      </c>
      <c r="O2542">
        <v>5</v>
      </c>
      <c r="P2542">
        <v>9</v>
      </c>
      <c r="Q2542">
        <v>5</v>
      </c>
      <c r="R2542">
        <v>9</v>
      </c>
      <c r="S2542">
        <v>0.64285999999999999</v>
      </c>
      <c r="T2542" t="s">
        <v>199</v>
      </c>
      <c r="U2542" t="s">
        <v>135</v>
      </c>
      <c r="V2542" t="s">
        <v>62</v>
      </c>
      <c r="W2542" t="s">
        <v>62</v>
      </c>
      <c r="X2542">
        <v>2</v>
      </c>
      <c r="Y2542">
        <v>4</v>
      </c>
      <c r="Z2542">
        <v>13</v>
      </c>
      <c r="AA2542">
        <v>0.23529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</v>
      </c>
      <c r="AH2542">
        <v>2</v>
      </c>
      <c r="AI2542">
        <v>4</v>
      </c>
      <c r="AJ2542">
        <v>12</v>
      </c>
      <c r="AK2542">
        <v>0.25</v>
      </c>
      <c r="AL2542">
        <v>10</v>
      </c>
      <c r="AM2542">
        <v>9</v>
      </c>
      <c r="AN2542">
        <v>41</v>
      </c>
      <c r="AO2542">
        <v>15</v>
      </c>
      <c r="AP2542">
        <v>20</v>
      </c>
      <c r="AQ2542">
        <v>2</v>
      </c>
      <c r="AR2542" t="s">
        <v>18619</v>
      </c>
      <c r="AS2542" t="s">
        <v>18620</v>
      </c>
      <c r="AT2542">
        <v>1.0369999999999999</v>
      </c>
      <c r="AU2542" t="s">
        <v>65</v>
      </c>
      <c r="AV2542">
        <v>61</v>
      </c>
      <c r="AW2542">
        <v>17</v>
      </c>
      <c r="AX2542" t="s">
        <v>18621</v>
      </c>
      <c r="AY2542">
        <v>2.9839999999999998E-2</v>
      </c>
      <c r="AZ2542">
        <v>-1.6000000000000001E-3</v>
      </c>
      <c r="BA2542">
        <v>2.1800000000000001E-3</v>
      </c>
      <c r="BB2542">
        <v>-1.4999999999999999E-4</v>
      </c>
      <c r="BC2542">
        <v>7.3139999999999997E-2</v>
      </c>
      <c r="BD2542">
        <v>1</v>
      </c>
      <c r="BE2542" t="s">
        <v>69</v>
      </c>
      <c r="BF2542">
        <v>-0.70399999999999996</v>
      </c>
      <c r="BG2542">
        <v>-2.0470000000000002</v>
      </c>
    </row>
    <row r="2543" spans="1:59">
      <c r="A2543">
        <v>0</v>
      </c>
      <c r="B2543">
        <v>11</v>
      </c>
      <c r="C2543">
        <v>0</v>
      </c>
      <c r="D2543" t="s">
        <v>25022</v>
      </c>
      <c r="E2543">
        <v>3446</v>
      </c>
      <c r="F2543" t="s">
        <v>20179</v>
      </c>
      <c r="G2543" t="s">
        <v>62</v>
      </c>
      <c r="H2543">
        <v>3406617</v>
      </c>
      <c r="I2543">
        <v>3408356</v>
      </c>
      <c r="J2543" t="s">
        <v>20180</v>
      </c>
      <c r="K2543">
        <v>580</v>
      </c>
      <c r="L2543" t="s">
        <v>108</v>
      </c>
      <c r="M2543">
        <v>44</v>
      </c>
      <c r="N2543" t="str">
        <f>HYPERLINK("Gene3446-zp_tree_all.dnd", "Gene3446-tree")</f>
        <v>Gene3446-tree</v>
      </c>
      <c r="O2543">
        <v>27</v>
      </c>
      <c r="P2543">
        <v>10</v>
      </c>
      <c r="Q2543">
        <v>7</v>
      </c>
      <c r="R2543">
        <v>10</v>
      </c>
      <c r="S2543">
        <v>0.58823999999999999</v>
      </c>
      <c r="T2543" t="s">
        <v>8429</v>
      </c>
      <c r="U2543" t="s">
        <v>117</v>
      </c>
      <c r="V2543" t="s">
        <v>62</v>
      </c>
      <c r="W2543" t="s">
        <v>62</v>
      </c>
      <c r="X2543">
        <v>4</v>
      </c>
      <c r="Y2543">
        <v>11</v>
      </c>
      <c r="Z2543">
        <v>7</v>
      </c>
      <c r="AA2543">
        <v>0.61111000000000004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6</v>
      </c>
      <c r="AH2543">
        <v>0</v>
      </c>
      <c r="AI2543">
        <v>6</v>
      </c>
      <c r="AJ2543">
        <v>7</v>
      </c>
      <c r="AK2543">
        <v>0.46154000000000001</v>
      </c>
      <c r="AL2543">
        <v>14</v>
      </c>
      <c r="AM2543">
        <v>14</v>
      </c>
      <c r="AN2543">
        <v>44</v>
      </c>
      <c r="AO2543">
        <v>11</v>
      </c>
      <c r="AP2543">
        <v>50</v>
      </c>
      <c r="AQ2543">
        <v>7</v>
      </c>
      <c r="AR2543" t="s">
        <v>20181</v>
      </c>
      <c r="AS2543" t="s">
        <v>20182</v>
      </c>
      <c r="AT2543">
        <v>0.80100000000000005</v>
      </c>
      <c r="AU2543" t="s">
        <v>65</v>
      </c>
      <c r="AV2543">
        <v>94</v>
      </c>
      <c r="AW2543">
        <v>18</v>
      </c>
      <c r="AX2543" t="s">
        <v>20183</v>
      </c>
      <c r="AY2543">
        <v>4.0410000000000001E-2</v>
      </c>
      <c r="AZ2543">
        <v>-1.1000000000000001E-3</v>
      </c>
      <c r="BA2543">
        <v>2.1900000000000001E-3</v>
      </c>
      <c r="BB2543">
        <v>-8.0000000000000007E-5</v>
      </c>
      <c r="BC2543">
        <v>5.4080000000000003E-2</v>
      </c>
      <c r="BD2543">
        <v>1</v>
      </c>
      <c r="BE2543" t="s">
        <v>69</v>
      </c>
      <c r="BF2543">
        <v>-0.52900000000000003</v>
      </c>
      <c r="BG2543">
        <v>-1.1819999999999999</v>
      </c>
    </row>
    <row r="2544" spans="1:59">
      <c r="A2544">
        <v>0</v>
      </c>
      <c r="B2544">
        <v>12</v>
      </c>
      <c r="C2544">
        <v>3</v>
      </c>
      <c r="D2544" t="s">
        <v>25022</v>
      </c>
      <c r="E2544">
        <v>691</v>
      </c>
      <c r="F2544" t="s">
        <v>4320</v>
      </c>
      <c r="G2544" t="s">
        <v>57</v>
      </c>
      <c r="H2544">
        <v>713664</v>
      </c>
      <c r="I2544">
        <v>715403</v>
      </c>
      <c r="J2544" t="s">
        <v>4321</v>
      </c>
      <c r="K2544">
        <v>580</v>
      </c>
      <c r="L2544" t="s">
        <v>125</v>
      </c>
      <c r="M2544">
        <v>48</v>
      </c>
      <c r="N2544" t="str">
        <f>HYPERLINK("Gene691-zp_tree_all.dnd", "Gene691-tree")</f>
        <v>Gene691-tree</v>
      </c>
      <c r="O2544">
        <v>7</v>
      </c>
      <c r="P2544">
        <v>12</v>
      </c>
      <c r="Q2544">
        <v>7</v>
      </c>
      <c r="R2544">
        <v>12</v>
      </c>
      <c r="S2544">
        <v>0.63158000000000003</v>
      </c>
      <c r="T2544" t="s">
        <v>152</v>
      </c>
      <c r="U2544" t="s">
        <v>109</v>
      </c>
      <c r="V2544" t="s">
        <v>62</v>
      </c>
      <c r="W2544" t="s">
        <v>62</v>
      </c>
      <c r="X2544">
        <v>7</v>
      </c>
      <c r="Y2544">
        <v>15</v>
      </c>
      <c r="Z2544">
        <v>24</v>
      </c>
      <c r="AA2544">
        <v>0.38462000000000002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4</v>
      </c>
      <c r="AH2544">
        <v>2</v>
      </c>
      <c r="AI2544">
        <v>6</v>
      </c>
      <c r="AJ2544">
        <v>20</v>
      </c>
      <c r="AK2544">
        <v>0.23077</v>
      </c>
      <c r="AL2544">
        <v>18</v>
      </c>
      <c r="AM2544">
        <v>13</v>
      </c>
      <c r="AN2544">
        <v>99</v>
      </c>
      <c r="AO2544">
        <v>25</v>
      </c>
      <c r="AP2544">
        <v>117</v>
      </c>
      <c r="AQ2544">
        <v>16</v>
      </c>
      <c r="AR2544" t="s">
        <v>4322</v>
      </c>
      <c r="AS2544" t="s">
        <v>4323</v>
      </c>
      <c r="AT2544">
        <v>0.66800000000000004</v>
      </c>
      <c r="AU2544" t="s">
        <v>65</v>
      </c>
      <c r="AV2544">
        <v>216</v>
      </c>
      <c r="AW2544">
        <v>41</v>
      </c>
      <c r="AX2544" t="s">
        <v>4324</v>
      </c>
      <c r="AY2544">
        <v>0.10945000000000001</v>
      </c>
      <c r="AZ2544">
        <v>-6.2599999999999999E-3</v>
      </c>
      <c r="BA2544">
        <v>4.5900000000000003E-3</v>
      </c>
      <c r="BB2544">
        <v>-2.3000000000000001E-4</v>
      </c>
      <c r="BC2544">
        <v>4.1939999999999998E-2</v>
      </c>
      <c r="BD2544">
        <v>1</v>
      </c>
      <c r="BE2544" t="s">
        <v>69</v>
      </c>
      <c r="BF2544">
        <v>-1.2490000000000001</v>
      </c>
      <c r="BG2544">
        <v>-0.33</v>
      </c>
    </row>
    <row r="2545" spans="1:59">
      <c r="A2545">
        <v>0</v>
      </c>
      <c r="B2545">
        <v>2</v>
      </c>
      <c r="C2545">
        <v>2</v>
      </c>
      <c r="D2545" t="s">
        <v>25022</v>
      </c>
      <c r="E2545">
        <v>902</v>
      </c>
      <c r="F2545" t="s">
        <v>5632</v>
      </c>
      <c r="G2545" t="s">
        <v>57</v>
      </c>
      <c r="H2545">
        <v>939349</v>
      </c>
      <c r="I2545">
        <v>941088</v>
      </c>
      <c r="J2545" t="s">
        <v>5350</v>
      </c>
      <c r="K2545">
        <v>580</v>
      </c>
      <c r="L2545" t="s">
        <v>108</v>
      </c>
      <c r="M2545">
        <v>44</v>
      </c>
      <c r="N2545" t="str">
        <f>HYPERLINK("Gene902-zp_tree_all.dnd", "Gene902-tree")</f>
        <v>Gene902-tree</v>
      </c>
      <c r="O2545">
        <v>7</v>
      </c>
      <c r="P2545">
        <v>5</v>
      </c>
      <c r="Q2545">
        <v>7</v>
      </c>
      <c r="R2545">
        <v>5</v>
      </c>
      <c r="S2545">
        <v>0.41666999999999998</v>
      </c>
      <c r="T2545" t="s">
        <v>152</v>
      </c>
      <c r="U2545" t="s">
        <v>199</v>
      </c>
      <c r="V2545" t="s">
        <v>62</v>
      </c>
      <c r="W2545" t="s">
        <v>62</v>
      </c>
      <c r="X2545">
        <v>2</v>
      </c>
      <c r="Y2545">
        <v>4</v>
      </c>
      <c r="Z2545">
        <v>5</v>
      </c>
      <c r="AA2545">
        <v>0.44444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</v>
      </c>
      <c r="AI2545">
        <v>2</v>
      </c>
      <c r="AJ2545">
        <v>6</v>
      </c>
      <c r="AK2545">
        <v>0.25</v>
      </c>
      <c r="AL2545">
        <v>11</v>
      </c>
      <c r="AM2545">
        <v>8</v>
      </c>
      <c r="AN2545">
        <v>79</v>
      </c>
      <c r="AO2545">
        <v>9</v>
      </c>
      <c r="AP2545">
        <v>18</v>
      </c>
      <c r="AQ2545">
        <v>1</v>
      </c>
      <c r="AR2545" t="s">
        <v>5633</v>
      </c>
      <c r="AS2545" t="s">
        <v>5634</v>
      </c>
      <c r="AT2545">
        <v>0.248</v>
      </c>
      <c r="AU2545" t="s">
        <v>65</v>
      </c>
      <c r="AV2545">
        <v>97</v>
      </c>
      <c r="AW2545">
        <v>10</v>
      </c>
      <c r="AX2545" t="s">
        <v>5635</v>
      </c>
      <c r="AY2545">
        <v>4.5420000000000002E-2</v>
      </c>
      <c r="AZ2545">
        <v>-4.1900000000000001E-3</v>
      </c>
      <c r="BA2545">
        <v>1.31E-3</v>
      </c>
      <c r="BB2545">
        <v>-1.7000000000000001E-4</v>
      </c>
      <c r="BC2545">
        <v>2.878E-2</v>
      </c>
      <c r="BD2545">
        <v>1</v>
      </c>
      <c r="BE2545" t="s">
        <v>69</v>
      </c>
      <c r="BF2545">
        <v>-1.544</v>
      </c>
      <c r="BG2545">
        <v>-3.1019999999999999</v>
      </c>
    </row>
    <row r="2546" spans="1:59">
      <c r="A2546">
        <v>6</v>
      </c>
      <c r="B2546">
        <v>15</v>
      </c>
      <c r="C2546">
        <v>0</v>
      </c>
      <c r="D2546" t="s">
        <v>25022</v>
      </c>
      <c r="E2546">
        <v>966</v>
      </c>
      <c r="F2546" t="s">
        <v>6056</v>
      </c>
      <c r="G2546" t="s">
        <v>57</v>
      </c>
      <c r="H2546">
        <v>1006774</v>
      </c>
      <c r="I2546">
        <v>1008516</v>
      </c>
      <c r="J2546" t="s">
        <v>6057</v>
      </c>
      <c r="K2546">
        <v>581</v>
      </c>
      <c r="L2546" t="s">
        <v>108</v>
      </c>
      <c r="M2546">
        <v>44</v>
      </c>
      <c r="N2546" t="str">
        <f>HYPERLINK("Gene966-zp_tree_all.dnd", "Gene966-tree")</f>
        <v>Gene966-tree</v>
      </c>
      <c r="O2546">
        <v>2</v>
      </c>
      <c r="P2546">
        <v>14</v>
      </c>
      <c r="Q2546">
        <v>2</v>
      </c>
      <c r="R2546">
        <v>14</v>
      </c>
      <c r="S2546">
        <v>0.875</v>
      </c>
      <c r="T2546" t="s">
        <v>81</v>
      </c>
      <c r="U2546" t="s">
        <v>543</v>
      </c>
      <c r="V2546">
        <v>860908720.12699997</v>
      </c>
      <c r="W2546" t="s">
        <v>267</v>
      </c>
      <c r="X2546">
        <v>6</v>
      </c>
      <c r="Y2546">
        <v>21</v>
      </c>
      <c r="Z2546">
        <v>9</v>
      </c>
      <c r="AA2546">
        <v>0.7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11</v>
      </c>
      <c r="AH2546">
        <v>2</v>
      </c>
      <c r="AI2546">
        <v>13</v>
      </c>
      <c r="AJ2546">
        <v>8</v>
      </c>
      <c r="AK2546">
        <v>0.61904999999999999</v>
      </c>
      <c r="AL2546">
        <v>15</v>
      </c>
      <c r="AM2546">
        <v>12</v>
      </c>
      <c r="AN2546">
        <v>71</v>
      </c>
      <c r="AO2546">
        <v>20</v>
      </c>
      <c r="AP2546">
        <v>47</v>
      </c>
      <c r="AQ2546">
        <v>11</v>
      </c>
      <c r="AR2546" t="s">
        <v>6058</v>
      </c>
      <c r="AS2546" t="s">
        <v>6059</v>
      </c>
      <c r="AT2546">
        <v>0.39</v>
      </c>
      <c r="AU2546" t="s">
        <v>65</v>
      </c>
      <c r="AV2546">
        <v>118</v>
      </c>
      <c r="AW2546">
        <v>31</v>
      </c>
      <c r="AX2546" t="s">
        <v>6060</v>
      </c>
      <c r="AY2546">
        <v>4.6980000000000001E-2</v>
      </c>
      <c r="AZ2546">
        <v>-1.34E-3</v>
      </c>
      <c r="BA2546">
        <v>3.4499999999999999E-3</v>
      </c>
      <c r="BB2546">
        <v>-1.2E-4</v>
      </c>
      <c r="BC2546">
        <v>7.3340000000000002E-2</v>
      </c>
      <c r="BD2546">
        <v>1</v>
      </c>
      <c r="BE2546" t="s">
        <v>69</v>
      </c>
      <c r="BF2546">
        <v>-0.45700000000000002</v>
      </c>
      <c r="BG2546">
        <v>-1.0169999999999999</v>
      </c>
    </row>
    <row r="2547" spans="1:59">
      <c r="A2547">
        <v>0</v>
      </c>
      <c r="B2547">
        <v>8</v>
      </c>
      <c r="C2547">
        <v>3</v>
      </c>
      <c r="D2547" t="s">
        <v>25022</v>
      </c>
      <c r="E2547">
        <v>3840</v>
      </c>
      <c r="F2547" t="s">
        <v>22518</v>
      </c>
      <c r="G2547" t="s">
        <v>62</v>
      </c>
      <c r="H2547">
        <v>3800421</v>
      </c>
      <c r="I2547">
        <v>3802166</v>
      </c>
      <c r="J2547" t="s">
        <v>18011</v>
      </c>
      <c r="K2547">
        <v>582</v>
      </c>
      <c r="L2547" t="s">
        <v>22492</v>
      </c>
      <c r="M2547">
        <v>48</v>
      </c>
      <c r="N2547" t="str">
        <f>HYPERLINK("Gene3840-zp_tree_all.dnd", "Gene3840-tree")</f>
        <v>Gene3840-tree</v>
      </c>
      <c r="O2547">
        <v>11</v>
      </c>
      <c r="P2547">
        <v>9</v>
      </c>
      <c r="Q2547">
        <v>11</v>
      </c>
      <c r="R2547">
        <v>9</v>
      </c>
      <c r="S2547">
        <v>0.45</v>
      </c>
      <c r="T2547" t="s">
        <v>73</v>
      </c>
      <c r="U2547" t="s">
        <v>135</v>
      </c>
      <c r="V2547" t="s">
        <v>62</v>
      </c>
      <c r="W2547" t="s">
        <v>62</v>
      </c>
      <c r="X2547">
        <v>5</v>
      </c>
      <c r="Y2547">
        <v>11</v>
      </c>
      <c r="Z2547">
        <v>11</v>
      </c>
      <c r="AA2547">
        <v>0.5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8</v>
      </c>
      <c r="AK2547">
        <v>0</v>
      </c>
      <c r="AL2547">
        <v>18</v>
      </c>
      <c r="AM2547">
        <v>15</v>
      </c>
      <c r="AN2547">
        <v>65</v>
      </c>
      <c r="AO2547">
        <v>8</v>
      </c>
      <c r="AP2547">
        <v>99</v>
      </c>
      <c r="AQ2547">
        <v>14</v>
      </c>
      <c r="AR2547" t="s">
        <v>22519</v>
      </c>
      <c r="AS2547" t="s">
        <v>22520</v>
      </c>
      <c r="AT2547">
        <v>9.1999999999999998E-2</v>
      </c>
      <c r="AU2547" t="s">
        <v>65</v>
      </c>
      <c r="AV2547">
        <v>164</v>
      </c>
      <c r="AW2547">
        <v>22</v>
      </c>
      <c r="AX2547" t="s">
        <v>22521</v>
      </c>
      <c r="AY2547">
        <v>8.4580000000000002E-2</v>
      </c>
      <c r="AZ2547">
        <v>-5.0099999999999997E-3</v>
      </c>
      <c r="BA2547">
        <v>3.0799999999999998E-3</v>
      </c>
      <c r="BB2547">
        <v>-1.7000000000000001E-4</v>
      </c>
      <c r="BC2547">
        <v>3.6459999999999999E-2</v>
      </c>
      <c r="BD2547">
        <v>1</v>
      </c>
      <c r="BE2547" t="s">
        <v>69</v>
      </c>
      <c r="BF2547">
        <v>-1.3080000000000001</v>
      </c>
      <c r="BG2547">
        <v>-0.622</v>
      </c>
    </row>
    <row r="2548" spans="1:59">
      <c r="A2548">
        <v>0</v>
      </c>
      <c r="B2548">
        <v>0</v>
      </c>
      <c r="C2548">
        <v>2</v>
      </c>
      <c r="D2548" t="s">
        <v>25022</v>
      </c>
      <c r="E2548">
        <v>263</v>
      </c>
      <c r="F2548" t="s">
        <v>1794</v>
      </c>
      <c r="G2548" t="s">
        <v>57</v>
      </c>
      <c r="H2548">
        <v>284011</v>
      </c>
      <c r="I2548">
        <v>285759</v>
      </c>
      <c r="J2548" t="s">
        <v>1795</v>
      </c>
      <c r="K2548">
        <v>583</v>
      </c>
      <c r="L2548" t="s">
        <v>265</v>
      </c>
      <c r="M2548">
        <v>43</v>
      </c>
      <c r="N2548" t="str">
        <f>HYPERLINK("Gene263-zp_tree_all.dnd", "Gene263-tree")</f>
        <v>Gene263-tree</v>
      </c>
      <c r="O2548">
        <v>10</v>
      </c>
      <c r="P2548">
        <v>19</v>
      </c>
      <c r="Q2548">
        <v>10</v>
      </c>
      <c r="R2548">
        <v>8</v>
      </c>
      <c r="S2548">
        <v>0.44444</v>
      </c>
      <c r="T2548" t="s">
        <v>117</v>
      </c>
      <c r="U2548" t="s">
        <v>1796</v>
      </c>
      <c r="V2548">
        <v>2.484</v>
      </c>
      <c r="W2548" t="s">
        <v>65</v>
      </c>
      <c r="X2548">
        <v>1</v>
      </c>
      <c r="Y2548">
        <v>2</v>
      </c>
      <c r="Z2548">
        <v>10</v>
      </c>
      <c r="AA2548">
        <v>0.16667000000000001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2</v>
      </c>
      <c r="AI2548">
        <v>2</v>
      </c>
      <c r="AJ2548">
        <v>7</v>
      </c>
      <c r="AK2548">
        <v>0.22222</v>
      </c>
      <c r="AL2548">
        <v>14</v>
      </c>
      <c r="AM2548">
        <v>13</v>
      </c>
      <c r="AN2548">
        <v>58</v>
      </c>
      <c r="AO2548">
        <v>8</v>
      </c>
      <c r="AP2548">
        <v>54</v>
      </c>
      <c r="AQ2548">
        <v>4</v>
      </c>
      <c r="AR2548" t="s">
        <v>1797</v>
      </c>
      <c r="AS2548" t="s">
        <v>1798</v>
      </c>
      <c r="AT2548">
        <v>0.70099999999999996</v>
      </c>
      <c r="AU2548" t="s">
        <v>65</v>
      </c>
      <c r="AV2548">
        <v>112</v>
      </c>
      <c r="AW2548">
        <v>12</v>
      </c>
      <c r="AX2548" t="s">
        <v>1799</v>
      </c>
      <c r="AY2548">
        <v>4.2909999999999997E-2</v>
      </c>
      <c r="AZ2548">
        <v>-1.1299999999999999E-3</v>
      </c>
      <c r="BA2548">
        <v>1.5200000000000001E-3</v>
      </c>
      <c r="BB2548">
        <v>-8.0000000000000007E-5</v>
      </c>
      <c r="BC2548">
        <v>3.5380000000000002E-2</v>
      </c>
      <c r="BD2548">
        <v>1</v>
      </c>
      <c r="BE2548" t="s">
        <v>69</v>
      </c>
      <c r="BF2548">
        <v>-0.32400000000000001</v>
      </c>
      <c r="BG2548">
        <v>-1.1819999999999999</v>
      </c>
    </row>
    <row r="2549" spans="1:59">
      <c r="A2549">
        <v>0</v>
      </c>
      <c r="B2549">
        <v>15</v>
      </c>
      <c r="C2549">
        <v>3</v>
      </c>
      <c r="D2549" t="s">
        <v>25022</v>
      </c>
      <c r="E2549">
        <v>372</v>
      </c>
      <c r="F2549" t="s">
        <v>2527</v>
      </c>
      <c r="G2549" t="s">
        <v>57</v>
      </c>
      <c r="H2549">
        <v>417993</v>
      </c>
      <c r="I2549">
        <v>419744</v>
      </c>
      <c r="J2549" t="s">
        <v>2528</v>
      </c>
      <c r="K2549">
        <v>584</v>
      </c>
      <c r="L2549" t="s">
        <v>108</v>
      </c>
      <c r="M2549">
        <v>44</v>
      </c>
      <c r="N2549" t="str">
        <f>HYPERLINK("Gene372-zp_tree_all.dnd", "Gene372-tree")</f>
        <v>Gene372-tree</v>
      </c>
      <c r="O2549">
        <v>6</v>
      </c>
      <c r="P2549">
        <v>10</v>
      </c>
      <c r="Q2549">
        <v>6</v>
      </c>
      <c r="R2549">
        <v>10</v>
      </c>
      <c r="S2549">
        <v>0.625</v>
      </c>
      <c r="T2549" t="s">
        <v>90</v>
      </c>
      <c r="U2549" t="s">
        <v>117</v>
      </c>
      <c r="V2549" t="s">
        <v>62</v>
      </c>
      <c r="W2549" t="s">
        <v>62</v>
      </c>
      <c r="X2549">
        <v>7</v>
      </c>
      <c r="Y2549">
        <v>18</v>
      </c>
      <c r="Z2549">
        <v>16</v>
      </c>
      <c r="AA2549">
        <v>0.52941000000000005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2</v>
      </c>
      <c r="AH2549">
        <v>4</v>
      </c>
      <c r="AI2549">
        <v>6</v>
      </c>
      <c r="AJ2549">
        <v>12</v>
      </c>
      <c r="AK2549">
        <v>0.33333000000000002</v>
      </c>
      <c r="AL2549">
        <v>14</v>
      </c>
      <c r="AM2549">
        <v>11</v>
      </c>
      <c r="AN2549">
        <v>48</v>
      </c>
      <c r="AO2549">
        <v>15</v>
      </c>
      <c r="AP2549">
        <v>51</v>
      </c>
      <c r="AQ2549">
        <v>19</v>
      </c>
      <c r="AR2549" t="s">
        <v>2529</v>
      </c>
      <c r="AS2549" t="s">
        <v>2530</v>
      </c>
      <c r="AT2549">
        <v>0.23400000000000001</v>
      </c>
      <c r="AU2549" t="s">
        <v>65</v>
      </c>
      <c r="AV2549">
        <v>99</v>
      </c>
      <c r="AW2549">
        <v>34</v>
      </c>
      <c r="AX2549" t="s">
        <v>2531</v>
      </c>
      <c r="AY2549">
        <v>4.6929999999999999E-2</v>
      </c>
      <c r="AZ2549">
        <v>-1.9499999999999999E-3</v>
      </c>
      <c r="BA2549">
        <v>4.96E-3</v>
      </c>
      <c r="BB2549">
        <v>-2.5000000000000001E-4</v>
      </c>
      <c r="BC2549">
        <v>0.10568</v>
      </c>
      <c r="BD2549">
        <v>1</v>
      </c>
      <c r="BE2549" t="s">
        <v>69</v>
      </c>
      <c r="BF2549">
        <v>6.2E-2</v>
      </c>
      <c r="BG2549">
        <v>-0.152</v>
      </c>
    </row>
    <row r="2550" spans="1:59">
      <c r="A2550">
        <v>0</v>
      </c>
      <c r="B2550">
        <v>8</v>
      </c>
      <c r="C2550">
        <v>0</v>
      </c>
      <c r="D2550" t="s">
        <v>25022</v>
      </c>
      <c r="E2550">
        <v>2843</v>
      </c>
      <c r="F2550" t="s">
        <v>16329</v>
      </c>
      <c r="G2550" t="s">
        <v>62</v>
      </c>
      <c r="H2550">
        <v>2789689</v>
      </c>
      <c r="I2550">
        <v>2791440</v>
      </c>
      <c r="J2550" t="s">
        <v>16330</v>
      </c>
      <c r="K2550">
        <v>584</v>
      </c>
      <c r="L2550" t="s">
        <v>108</v>
      </c>
      <c r="M2550">
        <v>44</v>
      </c>
      <c r="N2550" t="str">
        <f>HYPERLINK("Gene2843-zp_tree_all.dnd", "Gene2843-tree")</f>
        <v>Gene2843-tree</v>
      </c>
      <c r="O2550">
        <v>2</v>
      </c>
      <c r="P2550">
        <v>13</v>
      </c>
      <c r="Q2550">
        <v>2</v>
      </c>
      <c r="R2550">
        <v>13</v>
      </c>
      <c r="S2550">
        <v>0.86667000000000005</v>
      </c>
      <c r="T2550" t="s">
        <v>81</v>
      </c>
      <c r="U2550" t="s">
        <v>507</v>
      </c>
      <c r="V2550" t="s">
        <v>62</v>
      </c>
      <c r="W2550" t="s">
        <v>62</v>
      </c>
      <c r="X2550">
        <v>3</v>
      </c>
      <c r="Y2550">
        <v>8</v>
      </c>
      <c r="Z2550">
        <v>17</v>
      </c>
      <c r="AA2550">
        <v>0.32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5</v>
      </c>
      <c r="AH2550">
        <v>0</v>
      </c>
      <c r="AI2550">
        <v>5</v>
      </c>
      <c r="AJ2550">
        <v>16</v>
      </c>
      <c r="AK2550">
        <v>0.23810000000000001</v>
      </c>
      <c r="AL2550">
        <v>14</v>
      </c>
      <c r="AM2550">
        <v>9</v>
      </c>
      <c r="AN2550">
        <v>60</v>
      </c>
      <c r="AO2550">
        <v>19</v>
      </c>
      <c r="AP2550">
        <v>19</v>
      </c>
      <c r="AQ2550">
        <v>6</v>
      </c>
      <c r="AR2550" t="s">
        <v>16331</v>
      </c>
      <c r="AS2550" t="s">
        <v>16332</v>
      </c>
      <c r="AT2550">
        <v>5.0000000000000001E-3</v>
      </c>
      <c r="AU2550" t="s">
        <v>65</v>
      </c>
      <c r="AV2550">
        <v>79</v>
      </c>
      <c r="AW2550">
        <v>25</v>
      </c>
      <c r="AX2550" t="s">
        <v>16333</v>
      </c>
      <c r="AY2550">
        <v>3.175E-2</v>
      </c>
      <c r="AZ2550">
        <v>-1E-3</v>
      </c>
      <c r="BA2550">
        <v>2.7200000000000002E-3</v>
      </c>
      <c r="BB2550">
        <v>-1.2E-4</v>
      </c>
      <c r="BC2550">
        <v>8.5569999999999993E-2</v>
      </c>
      <c r="BD2550">
        <v>1</v>
      </c>
      <c r="BE2550" t="s">
        <v>69</v>
      </c>
      <c r="BF2550">
        <v>-0.83399999999999996</v>
      </c>
      <c r="BG2550">
        <v>-0.44900000000000001</v>
      </c>
    </row>
    <row r="2551" spans="1:59">
      <c r="A2551">
        <v>0</v>
      </c>
      <c r="B2551">
        <v>9</v>
      </c>
      <c r="C2551">
        <v>3</v>
      </c>
      <c r="D2551" t="s">
        <v>25022</v>
      </c>
      <c r="E2551">
        <v>1489</v>
      </c>
      <c r="F2551" t="s">
        <v>9309</v>
      </c>
      <c r="G2551" t="s">
        <v>57</v>
      </c>
      <c r="H2551">
        <v>1499889</v>
      </c>
      <c r="I2551">
        <v>1501643</v>
      </c>
      <c r="J2551" t="s">
        <v>5350</v>
      </c>
      <c r="K2551">
        <v>585</v>
      </c>
      <c r="L2551" t="s">
        <v>108</v>
      </c>
      <c r="M2551">
        <v>44</v>
      </c>
      <c r="N2551" t="str">
        <f>HYPERLINK("Gene1489-zp_tree_all.dnd", "Gene1489-tree")</f>
        <v>Gene1489-tree</v>
      </c>
      <c r="O2551">
        <v>0</v>
      </c>
      <c r="P2551">
        <v>17</v>
      </c>
      <c r="Q2551">
        <v>0</v>
      </c>
      <c r="R2551">
        <v>17</v>
      </c>
      <c r="S2551">
        <v>1</v>
      </c>
      <c r="T2551" t="s">
        <v>62</v>
      </c>
      <c r="U2551" t="s">
        <v>266</v>
      </c>
      <c r="V2551">
        <v>69600344.844999999</v>
      </c>
      <c r="W2551" t="s">
        <v>65</v>
      </c>
      <c r="X2551">
        <v>4</v>
      </c>
      <c r="Y2551">
        <v>12</v>
      </c>
      <c r="Z2551">
        <v>23</v>
      </c>
      <c r="AA2551">
        <v>0.34286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8</v>
      </c>
      <c r="AH2551">
        <v>3</v>
      </c>
      <c r="AI2551">
        <v>11</v>
      </c>
      <c r="AJ2551">
        <v>21</v>
      </c>
      <c r="AK2551">
        <v>0.34375</v>
      </c>
      <c r="AL2551">
        <v>14</v>
      </c>
      <c r="AM2551">
        <v>13</v>
      </c>
      <c r="AN2551">
        <v>33</v>
      </c>
      <c r="AO2551">
        <v>26</v>
      </c>
      <c r="AP2551">
        <v>40</v>
      </c>
      <c r="AQ2551">
        <v>9</v>
      </c>
      <c r="AR2551" t="s">
        <v>9310</v>
      </c>
      <c r="AS2551" t="s">
        <v>9311</v>
      </c>
      <c r="AT2551">
        <v>1.964</v>
      </c>
      <c r="AU2551" t="s">
        <v>267</v>
      </c>
      <c r="AV2551">
        <v>73</v>
      </c>
      <c r="AW2551">
        <v>35</v>
      </c>
      <c r="AX2551" t="s">
        <v>9312</v>
      </c>
      <c r="AY2551">
        <v>3.1480000000000001E-2</v>
      </c>
      <c r="AZ2551">
        <v>-9.7000000000000005E-4</v>
      </c>
      <c r="BA2551">
        <v>3.6600000000000001E-3</v>
      </c>
      <c r="BB2551">
        <v>-1.4999999999999999E-4</v>
      </c>
      <c r="BC2551">
        <v>0.11641</v>
      </c>
      <c r="BD2551">
        <v>1</v>
      </c>
      <c r="BE2551" t="s">
        <v>69</v>
      </c>
      <c r="BF2551">
        <v>-0.77400000000000002</v>
      </c>
      <c r="BG2551">
        <v>-1.413</v>
      </c>
    </row>
    <row r="2552" spans="1:59">
      <c r="A2552">
        <v>0</v>
      </c>
      <c r="B2552">
        <v>5</v>
      </c>
      <c r="C2552">
        <v>2</v>
      </c>
      <c r="D2552" t="s">
        <v>25022</v>
      </c>
      <c r="E2552">
        <v>1005</v>
      </c>
      <c r="F2552" t="s">
        <v>6307</v>
      </c>
      <c r="G2552" t="s">
        <v>57</v>
      </c>
      <c r="H2552">
        <v>1045318</v>
      </c>
      <c r="I2552">
        <v>1047072</v>
      </c>
      <c r="J2552" t="s">
        <v>6308</v>
      </c>
      <c r="K2552">
        <v>585</v>
      </c>
      <c r="L2552" t="s">
        <v>265</v>
      </c>
      <c r="M2552">
        <v>43</v>
      </c>
      <c r="N2552" t="str">
        <f>HYPERLINK("Gene1005-zp_tree_all.dnd", "Gene1005-tree")</f>
        <v>Gene1005-tree</v>
      </c>
      <c r="O2552">
        <v>3</v>
      </c>
      <c r="P2552">
        <v>9</v>
      </c>
      <c r="Q2552">
        <v>3</v>
      </c>
      <c r="R2552">
        <v>9</v>
      </c>
      <c r="S2552">
        <v>0.75</v>
      </c>
      <c r="T2552" t="s">
        <v>324</v>
      </c>
      <c r="U2552" t="s">
        <v>135</v>
      </c>
      <c r="V2552" t="s">
        <v>62</v>
      </c>
      <c r="W2552" t="s">
        <v>62</v>
      </c>
      <c r="X2552">
        <v>3</v>
      </c>
      <c r="Y2552">
        <v>7</v>
      </c>
      <c r="Z2552">
        <v>14</v>
      </c>
      <c r="AA2552">
        <v>0.33333000000000002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</v>
      </c>
      <c r="AH2552">
        <v>2</v>
      </c>
      <c r="AI2552">
        <v>4</v>
      </c>
      <c r="AJ2552">
        <v>13</v>
      </c>
      <c r="AK2552">
        <v>0.23529</v>
      </c>
      <c r="AL2552">
        <v>12</v>
      </c>
      <c r="AM2552">
        <v>7</v>
      </c>
      <c r="AN2552">
        <v>48</v>
      </c>
      <c r="AO2552">
        <v>17</v>
      </c>
      <c r="AP2552">
        <v>29</v>
      </c>
      <c r="AQ2552">
        <v>5</v>
      </c>
      <c r="AR2552" t="s">
        <v>6309</v>
      </c>
      <c r="AS2552" t="s">
        <v>6310</v>
      </c>
      <c r="AT2552">
        <v>0.77500000000000002</v>
      </c>
      <c r="AU2552" t="s">
        <v>65</v>
      </c>
      <c r="AV2552">
        <v>77</v>
      </c>
      <c r="AW2552">
        <v>22</v>
      </c>
      <c r="AX2552" t="s">
        <v>6311</v>
      </c>
      <c r="AY2552">
        <v>3.993E-2</v>
      </c>
      <c r="AZ2552">
        <v>-1.99E-3</v>
      </c>
      <c r="BA2552">
        <v>2.8700000000000002E-3</v>
      </c>
      <c r="BB2552">
        <v>-1.7000000000000001E-4</v>
      </c>
      <c r="BC2552">
        <v>7.1760000000000004E-2</v>
      </c>
      <c r="BD2552">
        <v>1</v>
      </c>
      <c r="BE2552" t="s">
        <v>69</v>
      </c>
      <c r="BF2552">
        <v>-0.97099999999999997</v>
      </c>
      <c r="BG2552">
        <v>-1.4319999999999999</v>
      </c>
    </row>
    <row r="2553" spans="1:59">
      <c r="A2553">
        <v>0</v>
      </c>
      <c r="B2553">
        <v>0</v>
      </c>
      <c r="C2553">
        <v>0</v>
      </c>
      <c r="D2553" t="s">
        <v>25022</v>
      </c>
      <c r="E2553">
        <v>3034</v>
      </c>
      <c r="F2553" t="s">
        <v>17544</v>
      </c>
      <c r="G2553" t="s">
        <v>62</v>
      </c>
      <c r="H2553">
        <v>2984791</v>
      </c>
      <c r="I2553">
        <v>2986545</v>
      </c>
      <c r="J2553" t="s">
        <v>17545</v>
      </c>
      <c r="K2553">
        <v>585</v>
      </c>
      <c r="L2553" t="s">
        <v>108</v>
      </c>
      <c r="M2553">
        <v>44</v>
      </c>
      <c r="N2553" t="str">
        <f>HYPERLINK("Gene3034-zp_tree_all.dnd", "Gene3034-tree")</f>
        <v>Gene3034-tree</v>
      </c>
      <c r="O2553">
        <v>10</v>
      </c>
      <c r="P2553">
        <v>1</v>
      </c>
      <c r="Q2553">
        <v>10</v>
      </c>
      <c r="R2553">
        <v>1</v>
      </c>
      <c r="S2553">
        <v>9.0910000000000005E-2</v>
      </c>
      <c r="T2553" t="s">
        <v>117</v>
      </c>
      <c r="U2553" t="s">
        <v>175</v>
      </c>
      <c r="V2553" t="s">
        <v>62</v>
      </c>
      <c r="W2553" t="s">
        <v>62</v>
      </c>
      <c r="X2553">
        <v>0</v>
      </c>
      <c r="Y2553">
        <v>0</v>
      </c>
      <c r="Z2553">
        <v>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10</v>
      </c>
      <c r="AM2553">
        <v>8</v>
      </c>
      <c r="AN2553">
        <v>47</v>
      </c>
      <c r="AO2553">
        <v>1</v>
      </c>
      <c r="AP2553">
        <v>30</v>
      </c>
      <c r="AQ2553">
        <v>2</v>
      </c>
      <c r="AR2553" t="s">
        <v>17546</v>
      </c>
      <c r="AS2553" t="s">
        <v>17547</v>
      </c>
      <c r="AT2553">
        <v>0.432</v>
      </c>
      <c r="AU2553" t="s">
        <v>65</v>
      </c>
      <c r="AV2553">
        <v>77</v>
      </c>
      <c r="AW2553">
        <v>3</v>
      </c>
      <c r="AX2553" t="s">
        <v>17548</v>
      </c>
      <c r="AY2553">
        <v>4.1349999999999998E-2</v>
      </c>
      <c r="AZ2553">
        <v>-1.9E-3</v>
      </c>
      <c r="BA2553">
        <v>6.3000000000000003E-4</v>
      </c>
      <c r="BB2553">
        <v>-8.0000000000000007E-5</v>
      </c>
      <c r="BC2553">
        <v>1.512E-2</v>
      </c>
      <c r="BD2553">
        <v>1</v>
      </c>
      <c r="BE2553" t="s">
        <v>69</v>
      </c>
      <c r="BF2553">
        <v>-0.54400000000000004</v>
      </c>
      <c r="BG2553">
        <v>-0.91800000000000004</v>
      </c>
    </row>
    <row r="2554" spans="1:59">
      <c r="A2554">
        <v>0</v>
      </c>
      <c r="B2554">
        <v>0</v>
      </c>
      <c r="C2554">
        <v>0</v>
      </c>
      <c r="D2554" t="s">
        <v>25022</v>
      </c>
      <c r="E2554">
        <v>2961</v>
      </c>
      <c r="F2554" t="s">
        <v>17080</v>
      </c>
      <c r="G2554" t="s">
        <v>62</v>
      </c>
      <c r="H2554">
        <v>2906338</v>
      </c>
      <c r="I2554">
        <v>2908095</v>
      </c>
      <c r="J2554" t="s">
        <v>17081</v>
      </c>
      <c r="K2554">
        <v>586</v>
      </c>
      <c r="L2554" t="s">
        <v>59</v>
      </c>
      <c r="M2554">
        <v>49</v>
      </c>
      <c r="N2554" t="str">
        <f>HYPERLINK("Gene2961-zp_tree_all.dnd", "Gene2961-tree")</f>
        <v>Gene2961-tree</v>
      </c>
      <c r="O2554">
        <v>17</v>
      </c>
      <c r="P2554">
        <v>3</v>
      </c>
      <c r="Q2554">
        <v>17</v>
      </c>
      <c r="R2554">
        <v>3</v>
      </c>
      <c r="S2554">
        <v>0.15</v>
      </c>
      <c r="T2554" t="s">
        <v>266</v>
      </c>
      <c r="U2554" t="s">
        <v>324</v>
      </c>
      <c r="V2554" t="s">
        <v>62</v>
      </c>
      <c r="W2554" t="s">
        <v>62</v>
      </c>
      <c r="X2554">
        <v>0</v>
      </c>
      <c r="Y2554">
        <v>0</v>
      </c>
      <c r="Z2554">
        <v>7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</v>
      </c>
      <c r="AK2554">
        <v>0</v>
      </c>
      <c r="AL2554">
        <v>18</v>
      </c>
      <c r="AM2554">
        <v>16</v>
      </c>
      <c r="AN2554">
        <v>74</v>
      </c>
      <c r="AO2554">
        <v>5</v>
      </c>
      <c r="AP2554">
        <v>130</v>
      </c>
      <c r="AQ2554">
        <v>2</v>
      </c>
      <c r="AR2554" t="s">
        <v>17082</v>
      </c>
      <c r="AS2554" t="s">
        <v>17083</v>
      </c>
      <c r="AT2554">
        <v>0.40699999999999997</v>
      </c>
      <c r="AU2554" t="s">
        <v>65</v>
      </c>
      <c r="AV2554">
        <v>204</v>
      </c>
      <c r="AW2554">
        <v>7</v>
      </c>
      <c r="AX2554" t="s">
        <v>17084</v>
      </c>
      <c r="AY2554">
        <v>0.10997</v>
      </c>
      <c r="AZ2554">
        <v>-5.9899999999999997E-3</v>
      </c>
      <c r="BA2554">
        <v>8.0000000000000004E-4</v>
      </c>
      <c r="BB2554">
        <v>-6.0000000000000002E-5</v>
      </c>
      <c r="BC2554">
        <v>7.2899999999999996E-3</v>
      </c>
      <c r="BD2554">
        <v>1</v>
      </c>
      <c r="BE2554" t="s">
        <v>69</v>
      </c>
      <c r="BF2554">
        <v>-1.0960000000000001</v>
      </c>
      <c r="BG2554">
        <v>-0.76200000000000001</v>
      </c>
    </row>
    <row r="2555" spans="1:59">
      <c r="A2555">
        <v>0</v>
      </c>
      <c r="B2555">
        <v>6</v>
      </c>
      <c r="C2555">
        <v>0</v>
      </c>
      <c r="D2555" t="s">
        <v>25022</v>
      </c>
      <c r="E2555">
        <v>1910</v>
      </c>
      <c r="F2555" t="s">
        <v>11961</v>
      </c>
      <c r="G2555" t="s">
        <v>57</v>
      </c>
      <c r="H2555">
        <v>2004677</v>
      </c>
      <c r="I2555">
        <v>2006437</v>
      </c>
      <c r="J2555" t="s">
        <v>11962</v>
      </c>
      <c r="K2555">
        <v>587</v>
      </c>
      <c r="L2555" t="s">
        <v>108</v>
      </c>
      <c r="M2555">
        <v>44</v>
      </c>
      <c r="N2555" t="str">
        <f>HYPERLINK("Gene1910-zp_tree_all.dnd", "Gene1910-tree")</f>
        <v>Gene1910-tree</v>
      </c>
      <c r="O2555">
        <v>3</v>
      </c>
      <c r="P2555">
        <v>10</v>
      </c>
      <c r="Q2555">
        <v>3</v>
      </c>
      <c r="R2555">
        <v>10</v>
      </c>
      <c r="S2555">
        <v>0.76922999999999997</v>
      </c>
      <c r="T2555" t="s">
        <v>324</v>
      </c>
      <c r="U2555" t="s">
        <v>117</v>
      </c>
      <c r="V2555" t="s">
        <v>62</v>
      </c>
      <c r="W2555" t="s">
        <v>62</v>
      </c>
      <c r="X2555">
        <v>2</v>
      </c>
      <c r="Y2555">
        <v>6</v>
      </c>
      <c r="Z2555">
        <v>14</v>
      </c>
      <c r="AA2555">
        <v>0.3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5</v>
      </c>
      <c r="AH2555">
        <v>0</v>
      </c>
      <c r="AI2555">
        <v>5</v>
      </c>
      <c r="AJ2555">
        <v>10</v>
      </c>
      <c r="AK2555">
        <v>0.33333000000000002</v>
      </c>
      <c r="AL2555">
        <v>13</v>
      </c>
      <c r="AM2555">
        <v>9</v>
      </c>
      <c r="AN2555">
        <v>61</v>
      </c>
      <c r="AO2555">
        <v>15</v>
      </c>
      <c r="AP2555">
        <v>51</v>
      </c>
      <c r="AQ2555">
        <v>5</v>
      </c>
      <c r="AR2555" t="s">
        <v>11963</v>
      </c>
      <c r="AS2555" t="s">
        <v>11964</v>
      </c>
      <c r="AT2555">
        <v>1.0329999999999999</v>
      </c>
      <c r="AU2555" t="s">
        <v>65</v>
      </c>
      <c r="AV2555">
        <v>112</v>
      </c>
      <c r="AW2555">
        <v>20</v>
      </c>
      <c r="AX2555" t="s">
        <v>11965</v>
      </c>
      <c r="AY2555">
        <v>5.2990000000000002E-2</v>
      </c>
      <c r="AZ2555">
        <v>-2.6099999999999999E-3</v>
      </c>
      <c r="BA2555">
        <v>2.5699999999999998E-3</v>
      </c>
      <c r="BB2555">
        <v>-1.3999999999999999E-4</v>
      </c>
      <c r="BC2555">
        <v>4.8430000000000001E-2</v>
      </c>
      <c r="BD2555">
        <v>1</v>
      </c>
      <c r="BE2555" t="s">
        <v>69</v>
      </c>
      <c r="BF2555">
        <v>-0.57099999999999995</v>
      </c>
      <c r="BG2555">
        <v>-0.17799999999999999</v>
      </c>
    </row>
    <row r="2556" spans="1:59">
      <c r="A2556">
        <v>0</v>
      </c>
      <c r="B2556">
        <v>59</v>
      </c>
      <c r="C2556">
        <v>4</v>
      </c>
      <c r="D2556" t="s">
        <v>25022</v>
      </c>
      <c r="E2556">
        <v>3588</v>
      </c>
      <c r="F2556" t="s">
        <v>21058</v>
      </c>
      <c r="G2556" t="s">
        <v>62</v>
      </c>
      <c r="H2556">
        <v>3555905</v>
      </c>
      <c r="I2556">
        <v>3557671</v>
      </c>
      <c r="J2556" t="s">
        <v>21059</v>
      </c>
      <c r="K2556">
        <v>589</v>
      </c>
      <c r="L2556" t="s">
        <v>108</v>
      </c>
      <c r="M2556">
        <v>44</v>
      </c>
      <c r="N2556" t="str">
        <f>HYPERLINK("Gene3588-zp_tree_all.dnd", "Gene3588-tree")</f>
        <v>Gene3588-tree</v>
      </c>
      <c r="O2556">
        <v>5</v>
      </c>
      <c r="P2556">
        <v>13</v>
      </c>
      <c r="Q2556">
        <v>5</v>
      </c>
      <c r="R2556">
        <v>13</v>
      </c>
      <c r="S2556">
        <v>0.72221999999999997</v>
      </c>
      <c r="T2556" t="s">
        <v>199</v>
      </c>
      <c r="U2556" t="s">
        <v>507</v>
      </c>
      <c r="V2556" t="s">
        <v>62</v>
      </c>
      <c r="W2556" t="s">
        <v>62</v>
      </c>
      <c r="X2556">
        <v>23</v>
      </c>
      <c r="Y2556">
        <v>63</v>
      </c>
      <c r="Z2556">
        <v>28</v>
      </c>
      <c r="AA2556">
        <v>0.69230999999999998</v>
      </c>
      <c r="AB2556">
        <v>0</v>
      </c>
      <c r="AC2556">
        <v>0</v>
      </c>
      <c r="AD2556">
        <v>0</v>
      </c>
      <c r="AE2556">
        <v>13</v>
      </c>
      <c r="AF2556">
        <v>0</v>
      </c>
      <c r="AG2556">
        <v>11</v>
      </c>
      <c r="AH2556">
        <v>6</v>
      </c>
      <c r="AI2556">
        <v>17</v>
      </c>
      <c r="AJ2556">
        <v>34</v>
      </c>
      <c r="AK2556">
        <v>0.33333000000000002</v>
      </c>
      <c r="AL2556">
        <v>15</v>
      </c>
      <c r="AM2556">
        <v>14</v>
      </c>
      <c r="AN2556">
        <v>94</v>
      </c>
      <c r="AO2556">
        <v>46</v>
      </c>
      <c r="AP2556">
        <v>92</v>
      </c>
      <c r="AQ2556">
        <v>45</v>
      </c>
      <c r="AR2556" t="s">
        <v>21060</v>
      </c>
      <c r="AS2556" t="s">
        <v>21061</v>
      </c>
      <c r="AT2556">
        <v>6.0000000000000001E-3</v>
      </c>
      <c r="AU2556" t="s">
        <v>65</v>
      </c>
      <c r="AV2556">
        <v>186</v>
      </c>
      <c r="AW2556">
        <v>91</v>
      </c>
      <c r="AX2556" t="s">
        <v>21062</v>
      </c>
      <c r="AY2556">
        <v>7.3370000000000005E-2</v>
      </c>
      <c r="AZ2556">
        <v>-2E-3</v>
      </c>
      <c r="BA2556">
        <v>9.6299999999999997E-3</v>
      </c>
      <c r="BB2556">
        <v>-2.5999999999999998E-4</v>
      </c>
      <c r="BC2556">
        <v>0.13128999999999999</v>
      </c>
      <c r="BD2556">
        <v>1</v>
      </c>
      <c r="BE2556" t="s">
        <v>69</v>
      </c>
      <c r="BF2556">
        <v>-0.42499999999999999</v>
      </c>
      <c r="BG2556">
        <v>-1.0920000000000001</v>
      </c>
    </row>
    <row r="2557" spans="1:59">
      <c r="A2557">
        <v>0</v>
      </c>
      <c r="B2557">
        <v>4</v>
      </c>
      <c r="C2557">
        <v>2</v>
      </c>
      <c r="D2557" t="s">
        <v>25022</v>
      </c>
      <c r="E2557">
        <v>2406</v>
      </c>
      <c r="F2557" t="s">
        <v>14011</v>
      </c>
      <c r="G2557" t="s">
        <v>62</v>
      </c>
      <c r="H2557">
        <v>2415418</v>
      </c>
      <c r="I2557">
        <v>2417184</v>
      </c>
      <c r="J2557" t="s">
        <v>14012</v>
      </c>
      <c r="K2557">
        <v>589</v>
      </c>
      <c r="L2557" t="s">
        <v>108</v>
      </c>
      <c r="M2557">
        <v>44</v>
      </c>
      <c r="N2557" t="str">
        <f>HYPERLINK("Gene2406-zp_tree_all.dnd", "Gene2406-tree")</f>
        <v>Gene2406-tree</v>
      </c>
      <c r="O2557">
        <v>6</v>
      </c>
      <c r="P2557">
        <v>8</v>
      </c>
      <c r="Q2557">
        <v>6</v>
      </c>
      <c r="R2557">
        <v>8</v>
      </c>
      <c r="S2557">
        <v>0.57142999999999999</v>
      </c>
      <c r="T2557" t="s">
        <v>90</v>
      </c>
      <c r="U2557" t="s">
        <v>136</v>
      </c>
      <c r="V2557" t="s">
        <v>62</v>
      </c>
      <c r="W2557" t="s">
        <v>62</v>
      </c>
      <c r="X2557">
        <v>3</v>
      </c>
      <c r="Y2557">
        <v>6</v>
      </c>
      <c r="Z2557">
        <v>7</v>
      </c>
      <c r="AA2557">
        <v>0.46154000000000001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</v>
      </c>
      <c r="AH2557">
        <v>0</v>
      </c>
      <c r="AI2557">
        <v>2</v>
      </c>
      <c r="AJ2557">
        <v>8</v>
      </c>
      <c r="AK2557">
        <v>0.2</v>
      </c>
      <c r="AL2557">
        <v>12</v>
      </c>
      <c r="AM2557">
        <v>9</v>
      </c>
      <c r="AN2557">
        <v>49</v>
      </c>
      <c r="AO2557">
        <v>10</v>
      </c>
      <c r="AP2557">
        <v>25</v>
      </c>
      <c r="AQ2557">
        <v>3</v>
      </c>
      <c r="AR2557" t="s">
        <v>14013</v>
      </c>
      <c r="AS2557" t="s">
        <v>14014</v>
      </c>
      <c r="AT2557">
        <v>0.54700000000000004</v>
      </c>
      <c r="AU2557" t="s">
        <v>65</v>
      </c>
      <c r="AV2557">
        <v>74</v>
      </c>
      <c r="AW2557">
        <v>13</v>
      </c>
      <c r="AX2557" t="s">
        <v>14015</v>
      </c>
      <c r="AY2557">
        <v>3.5490000000000001E-2</v>
      </c>
      <c r="AZ2557">
        <v>-1.5499999999999999E-3</v>
      </c>
      <c r="BA2557">
        <v>1.9599999999999999E-3</v>
      </c>
      <c r="BB2557">
        <v>-1.1E-4</v>
      </c>
      <c r="BC2557">
        <v>5.5320000000000001E-2</v>
      </c>
      <c r="BD2557">
        <v>1</v>
      </c>
      <c r="BE2557" t="s">
        <v>69</v>
      </c>
      <c r="BF2557">
        <v>-0.53300000000000003</v>
      </c>
      <c r="BG2557">
        <v>-1.7110000000000001</v>
      </c>
    </row>
    <row r="2558" spans="1:59">
      <c r="A2558">
        <v>0</v>
      </c>
      <c r="B2558">
        <v>23</v>
      </c>
      <c r="C2558">
        <v>3</v>
      </c>
      <c r="D2558" t="s">
        <v>25022</v>
      </c>
      <c r="E2558">
        <v>3609</v>
      </c>
      <c r="F2558" t="s">
        <v>21199</v>
      </c>
      <c r="G2558" t="s">
        <v>62</v>
      </c>
      <c r="H2558">
        <v>3577748</v>
      </c>
      <c r="I2558">
        <v>3579514</v>
      </c>
      <c r="J2558" t="s">
        <v>21200</v>
      </c>
      <c r="K2558">
        <v>589</v>
      </c>
      <c r="L2558" t="s">
        <v>108</v>
      </c>
      <c r="M2558">
        <v>44</v>
      </c>
      <c r="N2558" t="str">
        <f>HYPERLINK("Gene3609-zp_tree_all.dnd", "Gene3609-tree")</f>
        <v>Gene3609-tree</v>
      </c>
      <c r="O2558">
        <v>10</v>
      </c>
      <c r="P2558">
        <v>6</v>
      </c>
      <c r="Q2558">
        <v>10</v>
      </c>
      <c r="R2558">
        <v>6</v>
      </c>
      <c r="S2558">
        <v>0.375</v>
      </c>
      <c r="T2558" t="s">
        <v>117</v>
      </c>
      <c r="U2558" t="s">
        <v>90</v>
      </c>
      <c r="V2558" t="s">
        <v>62</v>
      </c>
      <c r="W2558" t="s">
        <v>62</v>
      </c>
      <c r="X2558">
        <v>12</v>
      </c>
      <c r="Y2558">
        <v>26</v>
      </c>
      <c r="Z2558">
        <v>6</v>
      </c>
      <c r="AA2558">
        <v>0.8125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4</v>
      </c>
      <c r="AH2558">
        <v>4</v>
      </c>
      <c r="AI2558">
        <v>8</v>
      </c>
      <c r="AJ2558">
        <v>8</v>
      </c>
      <c r="AK2558">
        <v>0.5</v>
      </c>
      <c r="AL2558">
        <v>15</v>
      </c>
      <c r="AM2558">
        <v>13</v>
      </c>
      <c r="AN2558">
        <v>152</v>
      </c>
      <c r="AO2558">
        <v>17</v>
      </c>
      <c r="AP2558">
        <v>124</v>
      </c>
      <c r="AQ2558">
        <v>16</v>
      </c>
      <c r="AR2558" t="s">
        <v>21201</v>
      </c>
      <c r="AS2558" t="s">
        <v>21202</v>
      </c>
      <c r="AT2558">
        <v>0.215</v>
      </c>
      <c r="AU2558" t="s">
        <v>65</v>
      </c>
      <c r="AV2558">
        <v>276</v>
      </c>
      <c r="AW2558">
        <v>33</v>
      </c>
      <c r="AX2558" t="s">
        <v>21203</v>
      </c>
      <c r="AY2558">
        <v>0.10954</v>
      </c>
      <c r="AZ2558">
        <v>-3.29E-3</v>
      </c>
      <c r="BA2558">
        <v>4.6100000000000004E-3</v>
      </c>
      <c r="BB2558">
        <v>-1.8000000000000001E-4</v>
      </c>
      <c r="BC2558">
        <v>4.2090000000000002E-2</v>
      </c>
      <c r="BD2558">
        <v>1</v>
      </c>
      <c r="BE2558" t="s">
        <v>69</v>
      </c>
      <c r="BF2558">
        <v>0.189</v>
      </c>
      <c r="BG2558">
        <v>0.36299999999999999</v>
      </c>
    </row>
    <row r="2559" spans="1:59">
      <c r="A2559">
        <v>0</v>
      </c>
      <c r="B2559">
        <v>2</v>
      </c>
      <c r="C2559">
        <v>0</v>
      </c>
      <c r="D2559" t="s">
        <v>25022</v>
      </c>
      <c r="E2559">
        <v>913</v>
      </c>
      <c r="F2559" t="s">
        <v>5705</v>
      </c>
      <c r="G2559" t="s">
        <v>57</v>
      </c>
      <c r="H2559">
        <v>955895</v>
      </c>
      <c r="I2559">
        <v>957664</v>
      </c>
      <c r="J2559" t="s">
        <v>5706</v>
      </c>
      <c r="K2559">
        <v>590</v>
      </c>
      <c r="L2559" t="s">
        <v>108</v>
      </c>
      <c r="M2559">
        <v>44</v>
      </c>
      <c r="N2559" t="str">
        <f>HYPERLINK("Gene913-zp_tree_all.dnd", "Gene913-tree")</f>
        <v>Gene913-tree</v>
      </c>
      <c r="O2559">
        <v>25</v>
      </c>
      <c r="P2559">
        <v>6</v>
      </c>
      <c r="Q2559">
        <v>6</v>
      </c>
      <c r="R2559">
        <v>6</v>
      </c>
      <c r="S2559">
        <v>0.5</v>
      </c>
      <c r="T2559" t="s">
        <v>965</v>
      </c>
      <c r="U2559" t="s">
        <v>90</v>
      </c>
      <c r="V2559" t="s">
        <v>62</v>
      </c>
      <c r="W2559" t="s">
        <v>62</v>
      </c>
      <c r="X2559">
        <v>1</v>
      </c>
      <c r="Y2559">
        <v>2</v>
      </c>
      <c r="Z2559">
        <v>18</v>
      </c>
      <c r="AA2559">
        <v>0.1</v>
      </c>
      <c r="AB2559">
        <v>0</v>
      </c>
      <c r="AC2559">
        <v>0</v>
      </c>
      <c r="AD2559">
        <v>0</v>
      </c>
      <c r="AE2559">
        <v>2</v>
      </c>
      <c r="AF2559">
        <v>0</v>
      </c>
      <c r="AG2559">
        <v>2</v>
      </c>
      <c r="AH2559">
        <v>0</v>
      </c>
      <c r="AI2559">
        <v>2</v>
      </c>
      <c r="AJ2559">
        <v>14</v>
      </c>
      <c r="AK2559">
        <v>0.125</v>
      </c>
      <c r="AL2559">
        <v>10</v>
      </c>
      <c r="AM2559">
        <v>8</v>
      </c>
      <c r="AN2559">
        <v>37</v>
      </c>
      <c r="AO2559">
        <v>19</v>
      </c>
      <c r="AP2559">
        <v>29</v>
      </c>
      <c r="AQ2559">
        <v>5</v>
      </c>
      <c r="AR2559" t="s">
        <v>5707</v>
      </c>
      <c r="AS2559" t="s">
        <v>5708</v>
      </c>
      <c r="AT2559">
        <v>0.27600000000000002</v>
      </c>
      <c r="AU2559" t="s">
        <v>65</v>
      </c>
      <c r="AV2559">
        <v>66</v>
      </c>
      <c r="AW2559">
        <v>24</v>
      </c>
      <c r="AX2559" t="s">
        <v>5709</v>
      </c>
      <c r="AY2559">
        <v>4.3779999999999999E-2</v>
      </c>
      <c r="AZ2559">
        <v>-3.2000000000000002E-3</v>
      </c>
      <c r="BA2559">
        <v>4.2399999999999998E-3</v>
      </c>
      <c r="BB2559">
        <v>-4.8999999999999998E-4</v>
      </c>
      <c r="BC2559">
        <v>9.6750000000000003E-2</v>
      </c>
      <c r="BD2559">
        <v>1</v>
      </c>
      <c r="BE2559" t="s">
        <v>69</v>
      </c>
      <c r="BF2559">
        <v>-1.139</v>
      </c>
      <c r="BG2559">
        <v>-1.8520000000000001</v>
      </c>
    </row>
    <row r="2560" spans="1:59">
      <c r="A2560">
        <v>0</v>
      </c>
      <c r="B2560">
        <v>4</v>
      </c>
      <c r="C2560">
        <v>3</v>
      </c>
      <c r="D2560" t="s">
        <v>25022</v>
      </c>
      <c r="E2560">
        <v>2001</v>
      </c>
      <c r="F2560" t="s">
        <v>12461</v>
      </c>
      <c r="G2560" t="s">
        <v>62</v>
      </c>
      <c r="H2560">
        <v>2094013</v>
      </c>
      <c r="I2560">
        <v>2095785</v>
      </c>
      <c r="J2560" t="s">
        <v>12462</v>
      </c>
      <c r="K2560">
        <v>591</v>
      </c>
      <c r="L2560" t="s">
        <v>72</v>
      </c>
      <c r="M2560">
        <v>45</v>
      </c>
      <c r="N2560" t="str">
        <f>HYPERLINK("Gene2001-zp_tree_all.dnd", "Gene2001-tree")</f>
        <v>Gene2001-tree</v>
      </c>
      <c r="O2560">
        <v>5</v>
      </c>
      <c r="P2560">
        <v>31</v>
      </c>
      <c r="Q2560">
        <v>5</v>
      </c>
      <c r="R2560">
        <v>11</v>
      </c>
      <c r="S2560">
        <v>0.6875</v>
      </c>
      <c r="T2560" t="s">
        <v>199</v>
      </c>
      <c r="U2560" t="s">
        <v>2860</v>
      </c>
      <c r="V2560">
        <v>2.4860000000000002</v>
      </c>
      <c r="W2560" t="s">
        <v>65</v>
      </c>
      <c r="X2560">
        <v>3</v>
      </c>
      <c r="Y2560">
        <v>7</v>
      </c>
      <c r="Z2560">
        <v>16</v>
      </c>
      <c r="AA2560">
        <v>0.30435000000000001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3</v>
      </c>
      <c r="AJ2560">
        <v>12</v>
      </c>
      <c r="AK2560">
        <v>0.2</v>
      </c>
      <c r="AL2560">
        <v>14</v>
      </c>
      <c r="AM2560">
        <v>12</v>
      </c>
      <c r="AN2560">
        <v>41</v>
      </c>
      <c r="AO2560">
        <v>15</v>
      </c>
      <c r="AP2560">
        <v>34</v>
      </c>
      <c r="AQ2560">
        <v>9</v>
      </c>
      <c r="AR2560" t="s">
        <v>12463</v>
      </c>
      <c r="AS2560" t="s">
        <v>12464</v>
      </c>
      <c r="AT2560">
        <v>0.64300000000000002</v>
      </c>
      <c r="AU2560" t="s">
        <v>65</v>
      </c>
      <c r="AV2560">
        <v>75</v>
      </c>
      <c r="AW2560">
        <v>24</v>
      </c>
      <c r="AX2560" t="s">
        <v>12465</v>
      </c>
      <c r="AY2560">
        <v>3.6290000000000003E-2</v>
      </c>
      <c r="AZ2560">
        <v>-1.15E-3</v>
      </c>
      <c r="BA2560">
        <v>3.0999999999999999E-3</v>
      </c>
      <c r="BB2560">
        <v>-1.1E-4</v>
      </c>
      <c r="BC2560">
        <v>8.5510000000000003E-2</v>
      </c>
      <c r="BD2560">
        <v>1</v>
      </c>
      <c r="BE2560" t="s">
        <v>69</v>
      </c>
      <c r="BF2560">
        <v>-0.73699999999999999</v>
      </c>
      <c r="BG2560">
        <v>-0.9</v>
      </c>
    </row>
    <row r="2561" spans="1:59">
      <c r="A2561">
        <v>0</v>
      </c>
      <c r="B2561">
        <v>4</v>
      </c>
      <c r="C2561">
        <v>0</v>
      </c>
      <c r="D2561" t="s">
        <v>25022</v>
      </c>
      <c r="E2561">
        <v>2869</v>
      </c>
      <c r="F2561" t="s">
        <v>16492</v>
      </c>
      <c r="G2561" t="s">
        <v>62</v>
      </c>
      <c r="H2561">
        <v>2814746</v>
      </c>
      <c r="I2561">
        <v>2816521</v>
      </c>
      <c r="J2561" t="s">
        <v>16493</v>
      </c>
      <c r="K2561">
        <v>592</v>
      </c>
      <c r="L2561" t="s">
        <v>108</v>
      </c>
      <c r="M2561">
        <v>44</v>
      </c>
      <c r="N2561" t="str">
        <f>HYPERLINK("Gene2869-zp_tree_all.dnd", "Gene2869-tree")</f>
        <v>Gene2869-tree</v>
      </c>
      <c r="O2561">
        <v>11</v>
      </c>
      <c r="P2561">
        <v>4</v>
      </c>
      <c r="Q2561">
        <v>11</v>
      </c>
      <c r="R2561">
        <v>4</v>
      </c>
      <c r="S2561">
        <v>0.26667000000000002</v>
      </c>
      <c r="T2561" t="s">
        <v>73</v>
      </c>
      <c r="U2561" t="s">
        <v>61</v>
      </c>
      <c r="V2561" t="s">
        <v>62</v>
      </c>
      <c r="W2561" t="s">
        <v>62</v>
      </c>
      <c r="X2561">
        <v>1</v>
      </c>
      <c r="Y2561">
        <v>4</v>
      </c>
      <c r="Z2561">
        <v>16</v>
      </c>
      <c r="AA2561">
        <v>0.2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5</v>
      </c>
      <c r="AK2561">
        <v>0</v>
      </c>
      <c r="AL2561">
        <v>13</v>
      </c>
      <c r="AM2561">
        <v>11</v>
      </c>
      <c r="AN2561">
        <v>69</v>
      </c>
      <c r="AO2561">
        <v>5</v>
      </c>
      <c r="AP2561">
        <v>78</v>
      </c>
      <c r="AQ2561">
        <v>16</v>
      </c>
      <c r="AR2561" t="s">
        <v>16494</v>
      </c>
      <c r="AS2561" t="s">
        <v>16495</v>
      </c>
      <c r="AT2561">
        <v>0.36899999999999999</v>
      </c>
      <c r="AU2561" t="s">
        <v>65</v>
      </c>
      <c r="AV2561">
        <v>147</v>
      </c>
      <c r="AW2561">
        <v>21</v>
      </c>
      <c r="AX2561" t="s">
        <v>16496</v>
      </c>
      <c r="AY2561">
        <v>0.10076</v>
      </c>
      <c r="AZ2561">
        <v>-6.1700000000000001E-3</v>
      </c>
      <c r="BA2561">
        <v>5.0200000000000002E-3</v>
      </c>
      <c r="BB2561">
        <v>-4.2000000000000002E-4</v>
      </c>
      <c r="BC2561">
        <v>4.9829999999999999E-2</v>
      </c>
      <c r="BD2561">
        <v>1</v>
      </c>
      <c r="BE2561" t="s">
        <v>69</v>
      </c>
      <c r="BF2561">
        <v>0.44</v>
      </c>
      <c r="BG2561">
        <v>-0.30199999999999999</v>
      </c>
    </row>
    <row r="2562" spans="1:59">
      <c r="A2562">
        <v>0</v>
      </c>
      <c r="B2562">
        <v>4</v>
      </c>
      <c r="C2562">
        <v>0</v>
      </c>
      <c r="D2562" t="s">
        <v>25022</v>
      </c>
      <c r="E2562">
        <v>3009</v>
      </c>
      <c r="F2562" t="s">
        <v>17381</v>
      </c>
      <c r="G2562" t="s">
        <v>62</v>
      </c>
      <c r="H2562">
        <v>2956489</v>
      </c>
      <c r="I2562">
        <v>2958267</v>
      </c>
      <c r="J2562" t="s">
        <v>17382</v>
      </c>
      <c r="K2562">
        <v>593</v>
      </c>
      <c r="L2562" t="s">
        <v>108</v>
      </c>
      <c r="M2562">
        <v>44</v>
      </c>
      <c r="N2562" t="str">
        <f>HYPERLINK("Gene3009-zp_tree_all.dnd", "Gene3009-tree")</f>
        <v>Gene3009-tree</v>
      </c>
      <c r="O2562">
        <v>7</v>
      </c>
      <c r="P2562">
        <v>7</v>
      </c>
      <c r="Q2562">
        <v>7</v>
      </c>
      <c r="R2562">
        <v>7</v>
      </c>
      <c r="S2562">
        <v>0.5</v>
      </c>
      <c r="T2562" t="s">
        <v>152</v>
      </c>
      <c r="U2562" t="s">
        <v>152</v>
      </c>
      <c r="V2562" t="s">
        <v>62</v>
      </c>
      <c r="W2562" t="s">
        <v>62</v>
      </c>
      <c r="X2562">
        <v>2</v>
      </c>
      <c r="Y2562">
        <v>4</v>
      </c>
      <c r="Z2562">
        <v>13</v>
      </c>
      <c r="AA2562">
        <v>0.23529</v>
      </c>
      <c r="AB2562">
        <v>0</v>
      </c>
      <c r="AC2562">
        <v>0</v>
      </c>
      <c r="AD2562">
        <v>0</v>
      </c>
      <c r="AE2562">
        <v>2</v>
      </c>
      <c r="AF2562">
        <v>0</v>
      </c>
      <c r="AG2562">
        <v>2</v>
      </c>
      <c r="AH2562">
        <v>0</v>
      </c>
      <c r="AI2562">
        <v>2</v>
      </c>
      <c r="AJ2562">
        <v>10</v>
      </c>
      <c r="AK2562">
        <v>0.16667000000000001</v>
      </c>
      <c r="AL2562">
        <v>12</v>
      </c>
      <c r="AM2562">
        <v>10</v>
      </c>
      <c r="AN2562">
        <v>57</v>
      </c>
      <c r="AO2562">
        <v>12</v>
      </c>
      <c r="AP2562">
        <v>18</v>
      </c>
      <c r="AQ2562">
        <v>5</v>
      </c>
      <c r="AR2562" t="s">
        <v>17383</v>
      </c>
      <c r="AS2562" t="s">
        <v>17384</v>
      </c>
      <c r="AT2562">
        <v>0.33100000000000002</v>
      </c>
      <c r="AU2562" t="s">
        <v>65</v>
      </c>
      <c r="AV2562">
        <v>75</v>
      </c>
      <c r="AW2562">
        <v>17</v>
      </c>
      <c r="AX2562" t="s">
        <v>17385</v>
      </c>
      <c r="AY2562">
        <v>3.2419999999999997E-2</v>
      </c>
      <c r="AZ2562">
        <v>-1.1900000000000001E-3</v>
      </c>
      <c r="BA2562">
        <v>2.2399999999999998E-3</v>
      </c>
      <c r="BB2562">
        <v>-1.2E-4</v>
      </c>
      <c r="BC2562">
        <v>6.9129999999999997E-2</v>
      </c>
      <c r="BD2562">
        <v>1</v>
      </c>
      <c r="BE2562" t="s">
        <v>69</v>
      </c>
      <c r="BF2562">
        <v>-1.246</v>
      </c>
      <c r="BG2562">
        <v>-2.5590000000000002</v>
      </c>
    </row>
    <row r="2563" spans="1:59">
      <c r="A2563">
        <v>0</v>
      </c>
      <c r="B2563">
        <v>4</v>
      </c>
      <c r="C2563">
        <v>2</v>
      </c>
      <c r="D2563" t="s">
        <v>25022</v>
      </c>
      <c r="E2563">
        <v>3403</v>
      </c>
      <c r="F2563" t="s">
        <v>19907</v>
      </c>
      <c r="G2563" t="s">
        <v>62</v>
      </c>
      <c r="H2563">
        <v>3367043</v>
      </c>
      <c r="I2563">
        <v>3368824</v>
      </c>
      <c r="J2563" t="s">
        <v>19908</v>
      </c>
      <c r="K2563">
        <v>594</v>
      </c>
      <c r="L2563" t="s">
        <v>108</v>
      </c>
      <c r="M2563">
        <v>44</v>
      </c>
      <c r="N2563" t="str">
        <f>HYPERLINK("Gene3403-zp_tree_all.dnd", "Gene3403-tree")</f>
        <v>Gene3403-tree</v>
      </c>
      <c r="O2563">
        <v>7</v>
      </c>
      <c r="P2563">
        <v>9</v>
      </c>
      <c r="Q2563">
        <v>7</v>
      </c>
      <c r="R2563">
        <v>9</v>
      </c>
      <c r="S2563">
        <v>0.5625</v>
      </c>
      <c r="T2563" t="s">
        <v>152</v>
      </c>
      <c r="U2563" t="s">
        <v>135</v>
      </c>
      <c r="V2563" t="s">
        <v>62</v>
      </c>
      <c r="W2563" t="s">
        <v>62</v>
      </c>
      <c r="X2563">
        <v>2</v>
      </c>
      <c r="Y2563">
        <v>6</v>
      </c>
      <c r="Z2563">
        <v>10</v>
      </c>
      <c r="AA2563">
        <v>0.375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12</v>
      </c>
      <c r="AK2563">
        <v>0</v>
      </c>
      <c r="AL2563">
        <v>14</v>
      </c>
      <c r="AM2563">
        <v>12</v>
      </c>
      <c r="AN2563">
        <v>53</v>
      </c>
      <c r="AO2563">
        <v>8</v>
      </c>
      <c r="AP2563">
        <v>40</v>
      </c>
      <c r="AQ2563">
        <v>8</v>
      </c>
      <c r="AR2563" t="s">
        <v>19909</v>
      </c>
      <c r="AS2563" t="s">
        <v>19910</v>
      </c>
      <c r="AT2563">
        <v>0.24299999999999999</v>
      </c>
      <c r="AU2563" t="s">
        <v>65</v>
      </c>
      <c r="AV2563">
        <v>93</v>
      </c>
      <c r="AW2563">
        <v>16</v>
      </c>
      <c r="AX2563" t="s">
        <v>19911</v>
      </c>
      <c r="AY2563">
        <v>3.7839999999999999E-2</v>
      </c>
      <c r="AZ2563">
        <v>-1.1299999999999999E-3</v>
      </c>
      <c r="BA2563">
        <v>1.99E-3</v>
      </c>
      <c r="BB2563">
        <v>-1.2999999999999999E-4</v>
      </c>
      <c r="BC2563">
        <v>5.2679999999999998E-2</v>
      </c>
      <c r="BD2563">
        <v>1</v>
      </c>
      <c r="BE2563" t="s">
        <v>69</v>
      </c>
      <c r="BF2563">
        <v>-0.65400000000000003</v>
      </c>
      <c r="BG2563">
        <v>-1.5960000000000001</v>
      </c>
    </row>
    <row r="2564" spans="1:59">
      <c r="A2564">
        <v>0</v>
      </c>
      <c r="B2564">
        <v>9</v>
      </c>
      <c r="C2564">
        <v>4</v>
      </c>
      <c r="D2564" t="s">
        <v>25022</v>
      </c>
      <c r="E2564">
        <v>3561</v>
      </c>
      <c r="F2564" t="s">
        <v>20884</v>
      </c>
      <c r="G2564" t="s">
        <v>62</v>
      </c>
      <c r="H2564">
        <v>3526410</v>
      </c>
      <c r="I2564">
        <v>3528203</v>
      </c>
      <c r="J2564" t="s">
        <v>20885</v>
      </c>
      <c r="K2564">
        <v>598</v>
      </c>
      <c r="L2564" t="s">
        <v>6390</v>
      </c>
      <c r="M2564">
        <v>45</v>
      </c>
      <c r="N2564" t="str">
        <f>HYPERLINK("Gene3561-zp_tree_all.dnd", "Gene3561-tree")</f>
        <v>Gene3561-tree</v>
      </c>
      <c r="O2564">
        <v>9</v>
      </c>
      <c r="P2564">
        <v>8</v>
      </c>
      <c r="Q2564">
        <v>9</v>
      </c>
      <c r="R2564">
        <v>8</v>
      </c>
      <c r="S2564">
        <v>0.47059000000000001</v>
      </c>
      <c r="T2564" t="s">
        <v>135</v>
      </c>
      <c r="U2564" t="s">
        <v>136</v>
      </c>
      <c r="V2564" t="s">
        <v>62</v>
      </c>
      <c r="W2564" t="s">
        <v>62</v>
      </c>
      <c r="X2564">
        <v>6</v>
      </c>
      <c r="Y2564">
        <v>13</v>
      </c>
      <c r="Z2564">
        <v>17</v>
      </c>
      <c r="AA2564">
        <v>0.43332999999999999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4</v>
      </c>
      <c r="AI2564">
        <v>4</v>
      </c>
      <c r="AJ2564">
        <v>17</v>
      </c>
      <c r="AK2564">
        <v>0.19048000000000001</v>
      </c>
      <c r="AL2564">
        <v>14</v>
      </c>
      <c r="AM2564">
        <v>13</v>
      </c>
      <c r="AN2564">
        <v>131</v>
      </c>
      <c r="AO2564">
        <v>23</v>
      </c>
      <c r="AP2564">
        <v>47</v>
      </c>
      <c r="AQ2564">
        <v>9</v>
      </c>
      <c r="AR2564" t="s">
        <v>20886</v>
      </c>
      <c r="AS2564" t="s">
        <v>20887</v>
      </c>
      <c r="AT2564">
        <v>7.1999999999999995E-2</v>
      </c>
      <c r="AU2564" t="s">
        <v>65</v>
      </c>
      <c r="AV2564">
        <v>178</v>
      </c>
      <c r="AW2564">
        <v>32</v>
      </c>
      <c r="AX2564" t="s">
        <v>20888</v>
      </c>
      <c r="AY2564">
        <v>6.5619999999999998E-2</v>
      </c>
      <c r="AZ2564">
        <v>-4.6699999999999997E-3</v>
      </c>
      <c r="BA2564">
        <v>3.3400000000000001E-3</v>
      </c>
      <c r="BB2564">
        <v>-2.9999999999999997E-4</v>
      </c>
      <c r="BC2564">
        <v>5.0900000000000001E-2</v>
      </c>
      <c r="BD2564">
        <v>1</v>
      </c>
      <c r="BE2564" t="s">
        <v>69</v>
      </c>
      <c r="BF2564">
        <v>-1.7430000000000001</v>
      </c>
      <c r="BG2564">
        <v>-3.8410000000000002</v>
      </c>
    </row>
    <row r="2565" spans="1:59">
      <c r="A2565">
        <v>0</v>
      </c>
      <c r="B2565">
        <v>0</v>
      </c>
      <c r="C2565">
        <v>0</v>
      </c>
      <c r="D2565" t="s">
        <v>25022</v>
      </c>
      <c r="E2565">
        <v>1979</v>
      </c>
      <c r="F2565" t="s">
        <v>12319</v>
      </c>
      <c r="G2565" t="s">
        <v>62</v>
      </c>
      <c r="H2565">
        <v>2071757</v>
      </c>
      <c r="I2565">
        <v>2073556</v>
      </c>
      <c r="J2565" t="s">
        <v>12320</v>
      </c>
      <c r="K2565">
        <v>600</v>
      </c>
      <c r="L2565" t="s">
        <v>12321</v>
      </c>
      <c r="M2565">
        <v>29</v>
      </c>
      <c r="N2565" t="str">
        <f>HYPERLINK("Gene1979-zp_tree_all.dnd", "Gene1979-tree")</f>
        <v>Gene1979-tree</v>
      </c>
      <c r="O2565">
        <v>0</v>
      </c>
      <c r="P2565">
        <v>4</v>
      </c>
      <c r="Q2565">
        <v>0</v>
      </c>
      <c r="R2565">
        <v>4</v>
      </c>
      <c r="S2565">
        <v>1</v>
      </c>
      <c r="T2565" t="s">
        <v>62</v>
      </c>
      <c r="U2565" t="s">
        <v>61</v>
      </c>
      <c r="V2565" t="s">
        <v>62</v>
      </c>
      <c r="W2565" t="s">
        <v>62</v>
      </c>
      <c r="X2565">
        <v>0</v>
      </c>
      <c r="Y2565">
        <v>0</v>
      </c>
      <c r="Z2565">
        <v>27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24</v>
      </c>
      <c r="AK2565">
        <v>0</v>
      </c>
      <c r="AL2565">
        <v>4</v>
      </c>
      <c r="AM2565">
        <v>1</v>
      </c>
      <c r="AN2565">
        <v>82</v>
      </c>
      <c r="AO2565">
        <v>27</v>
      </c>
      <c r="AP2565">
        <v>9</v>
      </c>
      <c r="AQ2565">
        <v>3</v>
      </c>
      <c r="AR2565" t="s">
        <v>12322</v>
      </c>
      <c r="AS2565" t="s">
        <v>12323</v>
      </c>
      <c r="AT2565">
        <v>0.13</v>
      </c>
      <c r="AU2565" t="s">
        <v>65</v>
      </c>
      <c r="AV2565">
        <v>91</v>
      </c>
      <c r="AW2565">
        <v>30</v>
      </c>
      <c r="AX2565" t="s">
        <v>12324</v>
      </c>
      <c r="AY2565">
        <v>0.13059999999999999</v>
      </c>
      <c r="AZ2565">
        <v>-1.5650000000000001E-2</v>
      </c>
      <c r="BA2565">
        <v>1.107E-2</v>
      </c>
      <c r="BB2565">
        <v>-1.39E-3</v>
      </c>
      <c r="BC2565">
        <v>8.4760000000000002E-2</v>
      </c>
      <c r="BD2565">
        <v>1</v>
      </c>
      <c r="BE2565" t="s">
        <v>69</v>
      </c>
      <c r="BF2565">
        <v>0.88100000000000001</v>
      </c>
      <c r="BG2565">
        <v>0.27300000000000002</v>
      </c>
    </row>
    <row r="2566" spans="1:59">
      <c r="A2566">
        <v>0</v>
      </c>
      <c r="B2566">
        <v>0</v>
      </c>
      <c r="C2566">
        <v>0</v>
      </c>
      <c r="D2566" t="s">
        <v>25022</v>
      </c>
      <c r="E2566">
        <v>179</v>
      </c>
      <c r="F2566" t="s">
        <v>1256</v>
      </c>
      <c r="G2566" t="s">
        <v>57</v>
      </c>
      <c r="H2566">
        <v>200277</v>
      </c>
      <c r="I2566">
        <v>202076</v>
      </c>
      <c r="J2566" t="s">
        <v>1257</v>
      </c>
      <c r="K2566">
        <v>600</v>
      </c>
      <c r="L2566" t="s">
        <v>59</v>
      </c>
      <c r="M2566">
        <v>49</v>
      </c>
      <c r="N2566" t="str">
        <f>HYPERLINK("Gene179-zp_tree_all.dnd", "Gene179-tree")</f>
        <v>Gene179-tree</v>
      </c>
      <c r="O2566">
        <v>15</v>
      </c>
      <c r="P2566">
        <v>4</v>
      </c>
      <c r="Q2566">
        <v>15</v>
      </c>
      <c r="R2566">
        <v>4</v>
      </c>
      <c r="S2566">
        <v>0.21052999999999999</v>
      </c>
      <c r="T2566" t="s">
        <v>100</v>
      </c>
      <c r="U2566" t="s">
        <v>61</v>
      </c>
      <c r="V2566" t="s">
        <v>62</v>
      </c>
      <c r="W2566" t="s">
        <v>62</v>
      </c>
      <c r="X2566">
        <v>0</v>
      </c>
      <c r="Y2566">
        <v>0</v>
      </c>
      <c r="Z2566">
        <v>9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4</v>
      </c>
      <c r="AK2566">
        <v>0</v>
      </c>
      <c r="AL2566">
        <v>16</v>
      </c>
      <c r="AM2566">
        <v>15</v>
      </c>
      <c r="AN2566">
        <v>81</v>
      </c>
      <c r="AO2566">
        <v>4</v>
      </c>
      <c r="AP2566">
        <v>113</v>
      </c>
      <c r="AQ2566">
        <v>5</v>
      </c>
      <c r="AR2566" t="s">
        <v>1258</v>
      </c>
      <c r="AS2566" t="s">
        <v>1259</v>
      </c>
      <c r="AT2566">
        <v>7.1999999999999995E-2</v>
      </c>
      <c r="AU2566" t="s">
        <v>65</v>
      </c>
      <c r="AV2566">
        <v>194</v>
      </c>
      <c r="AW2566">
        <v>9</v>
      </c>
      <c r="AX2566" t="s">
        <v>1260</v>
      </c>
      <c r="AY2566">
        <v>9.3049999999999994E-2</v>
      </c>
      <c r="AZ2566">
        <v>-5.11E-3</v>
      </c>
      <c r="BA2566">
        <v>1.47E-3</v>
      </c>
      <c r="BB2566">
        <v>-1.2E-4</v>
      </c>
      <c r="BC2566">
        <v>1.5810000000000001E-2</v>
      </c>
      <c r="BD2566">
        <v>1</v>
      </c>
      <c r="BE2566" t="s">
        <v>69</v>
      </c>
      <c r="BF2566">
        <v>-0.94899999999999995</v>
      </c>
      <c r="BG2566">
        <v>-1.109</v>
      </c>
    </row>
    <row r="2567" spans="1:59">
      <c r="A2567">
        <v>0</v>
      </c>
      <c r="B2567">
        <v>2</v>
      </c>
      <c r="C2567">
        <v>0</v>
      </c>
      <c r="D2567" t="s">
        <v>25022</v>
      </c>
      <c r="E2567">
        <v>2623</v>
      </c>
      <c r="F2567" t="s">
        <v>15366</v>
      </c>
      <c r="G2567" t="s">
        <v>62</v>
      </c>
      <c r="H2567">
        <v>2601531</v>
      </c>
      <c r="I2567">
        <v>2603339</v>
      </c>
      <c r="J2567" t="s">
        <v>15367</v>
      </c>
      <c r="K2567">
        <v>603</v>
      </c>
      <c r="L2567" t="s">
        <v>465</v>
      </c>
      <c r="M2567">
        <v>46</v>
      </c>
      <c r="N2567" t="str">
        <f>HYPERLINK("Gene2623-zp_tree_all.dnd", "Gene2623-tree")</f>
        <v>Gene2623-tree</v>
      </c>
      <c r="O2567">
        <v>6</v>
      </c>
      <c r="P2567">
        <v>11</v>
      </c>
      <c r="Q2567">
        <v>6</v>
      </c>
      <c r="R2567">
        <v>11</v>
      </c>
      <c r="S2567">
        <v>0.64705999999999997</v>
      </c>
      <c r="T2567" t="s">
        <v>90</v>
      </c>
      <c r="U2567" t="s">
        <v>73</v>
      </c>
      <c r="V2567">
        <v>95384385.856999993</v>
      </c>
      <c r="W2567" t="s">
        <v>267</v>
      </c>
      <c r="X2567">
        <v>1</v>
      </c>
      <c r="Y2567">
        <v>2</v>
      </c>
      <c r="Z2567">
        <v>24</v>
      </c>
      <c r="AA2567">
        <v>7.6920000000000002E-2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</v>
      </c>
      <c r="AH2567">
        <v>0</v>
      </c>
      <c r="AI2567">
        <v>2</v>
      </c>
      <c r="AJ2567">
        <v>14</v>
      </c>
      <c r="AK2567">
        <v>0.125</v>
      </c>
      <c r="AL2567">
        <v>13</v>
      </c>
      <c r="AM2567">
        <v>12</v>
      </c>
      <c r="AN2567">
        <v>32</v>
      </c>
      <c r="AO2567">
        <v>16</v>
      </c>
      <c r="AP2567">
        <v>76</v>
      </c>
      <c r="AQ2567">
        <v>11</v>
      </c>
      <c r="AR2567" t="s">
        <v>15368</v>
      </c>
      <c r="AS2567" t="s">
        <v>15369</v>
      </c>
      <c r="AT2567">
        <v>0.626</v>
      </c>
      <c r="AU2567" t="s">
        <v>65</v>
      </c>
      <c r="AV2567">
        <v>108</v>
      </c>
      <c r="AW2567">
        <v>27</v>
      </c>
      <c r="AX2567" t="s">
        <v>15370</v>
      </c>
      <c r="AY2567">
        <v>5.842E-2</v>
      </c>
      <c r="AZ2567">
        <v>-4.7400000000000003E-3</v>
      </c>
      <c r="BA2567">
        <v>3.1199999999999999E-3</v>
      </c>
      <c r="BB2567">
        <v>-2.3000000000000001E-4</v>
      </c>
      <c r="BC2567">
        <v>5.3440000000000001E-2</v>
      </c>
      <c r="BD2567">
        <v>1</v>
      </c>
      <c r="BE2567" t="s">
        <v>69</v>
      </c>
      <c r="BF2567">
        <v>-1.4339999999999999</v>
      </c>
      <c r="BG2567">
        <v>-0.313</v>
      </c>
    </row>
    <row r="2568" spans="1:59">
      <c r="A2568">
        <v>0</v>
      </c>
      <c r="B2568">
        <v>6</v>
      </c>
      <c r="C2568">
        <v>2</v>
      </c>
      <c r="D2568" t="s">
        <v>25022</v>
      </c>
      <c r="E2568">
        <v>1490</v>
      </c>
      <c r="F2568" t="s">
        <v>9315</v>
      </c>
      <c r="G2568" t="s">
        <v>57</v>
      </c>
      <c r="H2568">
        <v>1501658</v>
      </c>
      <c r="I2568">
        <v>1503469</v>
      </c>
      <c r="J2568" t="s">
        <v>5350</v>
      </c>
      <c r="K2568">
        <v>604</v>
      </c>
      <c r="L2568" t="s">
        <v>108</v>
      </c>
      <c r="M2568">
        <v>44</v>
      </c>
      <c r="N2568" t="str">
        <f>HYPERLINK("Gene1490-zp_tree_all.dnd", "Gene1490-tree")</f>
        <v>Gene1490-tree</v>
      </c>
      <c r="O2568">
        <v>5</v>
      </c>
      <c r="P2568">
        <v>9</v>
      </c>
      <c r="Q2568">
        <v>5</v>
      </c>
      <c r="R2568">
        <v>9</v>
      </c>
      <c r="S2568">
        <v>0.64285999999999999</v>
      </c>
      <c r="T2568" t="s">
        <v>199</v>
      </c>
      <c r="U2568" t="s">
        <v>135</v>
      </c>
      <c r="V2568" t="s">
        <v>62</v>
      </c>
      <c r="W2568" t="s">
        <v>62</v>
      </c>
      <c r="X2568">
        <v>4</v>
      </c>
      <c r="Y2568">
        <v>8</v>
      </c>
      <c r="Z2568">
        <v>21</v>
      </c>
      <c r="AA2568">
        <v>0.27585999999999999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4</v>
      </c>
      <c r="AH2568">
        <v>0</v>
      </c>
      <c r="AI2568">
        <v>4</v>
      </c>
      <c r="AJ2568">
        <v>20</v>
      </c>
      <c r="AK2568">
        <v>0.16667000000000001</v>
      </c>
      <c r="AL2568">
        <v>12</v>
      </c>
      <c r="AM2568">
        <v>11</v>
      </c>
      <c r="AN2568">
        <v>71</v>
      </c>
      <c r="AO2568">
        <v>23</v>
      </c>
      <c r="AP2568">
        <v>18</v>
      </c>
      <c r="AQ2568">
        <v>6</v>
      </c>
      <c r="AR2568" t="s">
        <v>9316</v>
      </c>
      <c r="AS2568" t="s">
        <v>9317</v>
      </c>
      <c r="AT2568">
        <v>4.8000000000000001E-2</v>
      </c>
      <c r="AU2568" t="s">
        <v>65</v>
      </c>
      <c r="AV2568">
        <v>89</v>
      </c>
      <c r="AW2568">
        <v>29</v>
      </c>
      <c r="AX2568" t="s">
        <v>9318</v>
      </c>
      <c r="AY2568">
        <v>3.526E-2</v>
      </c>
      <c r="AZ2568">
        <v>-1.3500000000000001E-3</v>
      </c>
      <c r="BA2568">
        <v>3.5999999999999999E-3</v>
      </c>
      <c r="BB2568">
        <v>-1.8000000000000001E-4</v>
      </c>
      <c r="BC2568">
        <v>0.10215</v>
      </c>
      <c r="BD2568">
        <v>1</v>
      </c>
      <c r="BE2568" t="s">
        <v>69</v>
      </c>
      <c r="BF2568">
        <v>-0.96899999999999997</v>
      </c>
      <c r="BG2568">
        <v>-1.875</v>
      </c>
    </row>
    <row r="2569" spans="1:59">
      <c r="A2569">
        <v>2</v>
      </c>
      <c r="B2569">
        <v>6</v>
      </c>
      <c r="C2569">
        <v>1</v>
      </c>
      <c r="D2569" t="s">
        <v>25022</v>
      </c>
      <c r="E2569">
        <v>856</v>
      </c>
      <c r="F2569" t="s">
        <v>5349</v>
      </c>
      <c r="G2569" t="s">
        <v>57</v>
      </c>
      <c r="H2569">
        <v>895619</v>
      </c>
      <c r="I2569">
        <v>897430</v>
      </c>
      <c r="J2569" t="s">
        <v>5350</v>
      </c>
      <c r="K2569">
        <v>604</v>
      </c>
      <c r="L2569" t="s">
        <v>265</v>
      </c>
      <c r="M2569">
        <v>43</v>
      </c>
      <c r="N2569" t="str">
        <f>HYPERLINK("Gene856-zp_tree_all.dnd", "Gene856-tree")</f>
        <v>Gene856-tree</v>
      </c>
      <c r="O2569">
        <v>7</v>
      </c>
      <c r="P2569">
        <v>8</v>
      </c>
      <c r="Q2569">
        <v>7</v>
      </c>
      <c r="R2569">
        <v>8</v>
      </c>
      <c r="S2569">
        <v>0.53332999999999997</v>
      </c>
      <c r="T2569" t="s">
        <v>152</v>
      </c>
      <c r="U2569" t="s">
        <v>136</v>
      </c>
      <c r="V2569" t="s">
        <v>62</v>
      </c>
      <c r="W2569" t="s">
        <v>62</v>
      </c>
      <c r="X2569">
        <v>4</v>
      </c>
      <c r="Y2569">
        <v>9</v>
      </c>
      <c r="Z2569">
        <v>18</v>
      </c>
      <c r="AA2569">
        <v>0.33333000000000002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2</v>
      </c>
      <c r="AH2569">
        <v>0</v>
      </c>
      <c r="AI2569">
        <v>2</v>
      </c>
      <c r="AJ2569">
        <v>15</v>
      </c>
      <c r="AK2569">
        <v>0.11765</v>
      </c>
      <c r="AL2569">
        <v>13</v>
      </c>
      <c r="AM2569">
        <v>11</v>
      </c>
      <c r="AN2569">
        <v>106</v>
      </c>
      <c r="AO2569">
        <v>18</v>
      </c>
      <c r="AP2569">
        <v>75</v>
      </c>
      <c r="AQ2569">
        <v>10</v>
      </c>
      <c r="AR2569" t="s">
        <v>5351</v>
      </c>
      <c r="AS2569" t="s">
        <v>5352</v>
      </c>
      <c r="AT2569">
        <v>0.151</v>
      </c>
      <c r="AU2569" t="s">
        <v>65</v>
      </c>
      <c r="AV2569">
        <v>181</v>
      </c>
      <c r="AW2569">
        <v>28</v>
      </c>
      <c r="AX2569" t="s">
        <v>5353</v>
      </c>
      <c r="AY2569">
        <v>6.59E-2</v>
      </c>
      <c r="AZ2569">
        <v>-2.98E-3</v>
      </c>
      <c r="BA2569">
        <v>3.7299999999999998E-3</v>
      </c>
      <c r="BB2569">
        <v>-2.1000000000000001E-4</v>
      </c>
      <c r="BC2569">
        <v>5.6660000000000002E-2</v>
      </c>
      <c r="BD2569">
        <v>1</v>
      </c>
      <c r="BE2569" t="s">
        <v>69</v>
      </c>
      <c r="BF2569">
        <v>-0.80600000000000005</v>
      </c>
      <c r="BG2569">
        <v>-2.1749999999999998</v>
      </c>
    </row>
    <row r="2570" spans="1:59">
      <c r="A2570">
        <v>0</v>
      </c>
      <c r="B2570">
        <v>30</v>
      </c>
      <c r="C2570">
        <v>2</v>
      </c>
      <c r="D2570" t="s">
        <v>25022</v>
      </c>
      <c r="E2570">
        <v>3515</v>
      </c>
      <c r="F2570" t="s">
        <v>20579</v>
      </c>
      <c r="G2570" t="s">
        <v>62</v>
      </c>
      <c r="H2570">
        <v>3474109</v>
      </c>
      <c r="I2570">
        <v>3475923</v>
      </c>
      <c r="J2570" t="s">
        <v>116</v>
      </c>
      <c r="K2570">
        <v>605</v>
      </c>
      <c r="L2570" t="s">
        <v>9585</v>
      </c>
      <c r="M2570">
        <v>42</v>
      </c>
      <c r="N2570" t="str">
        <f>HYPERLINK("Gene3515-zp_tree_all.dnd", "Gene3515-tree")</f>
        <v>Gene3515-tree</v>
      </c>
      <c r="O2570">
        <v>0</v>
      </c>
      <c r="P2570">
        <v>14</v>
      </c>
      <c r="Q2570">
        <v>0</v>
      </c>
      <c r="R2570">
        <v>14</v>
      </c>
      <c r="S2570">
        <v>1</v>
      </c>
      <c r="T2570" t="s">
        <v>62</v>
      </c>
      <c r="U2570" t="s">
        <v>543</v>
      </c>
      <c r="V2570">
        <v>143484786.68799999</v>
      </c>
      <c r="W2570" t="s">
        <v>65</v>
      </c>
      <c r="X2570">
        <v>14</v>
      </c>
      <c r="Y2570">
        <v>32</v>
      </c>
      <c r="Z2570">
        <v>26</v>
      </c>
      <c r="AA2570">
        <v>0.55171999999999999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11</v>
      </c>
      <c r="AH2570">
        <v>4</v>
      </c>
      <c r="AI2570">
        <v>15</v>
      </c>
      <c r="AJ2570">
        <v>32</v>
      </c>
      <c r="AK2570">
        <v>0.31914999999999999</v>
      </c>
      <c r="AL2570">
        <v>12</v>
      </c>
      <c r="AM2570">
        <v>11</v>
      </c>
      <c r="AN2570">
        <v>60</v>
      </c>
      <c r="AO2570">
        <v>39</v>
      </c>
      <c r="AP2570">
        <v>53</v>
      </c>
      <c r="AQ2570">
        <v>24</v>
      </c>
      <c r="AR2570" t="s">
        <v>20580</v>
      </c>
      <c r="AS2570" t="s">
        <v>20581</v>
      </c>
      <c r="AT2570">
        <v>0.377</v>
      </c>
      <c r="AU2570" t="s">
        <v>65</v>
      </c>
      <c r="AV2570">
        <v>113</v>
      </c>
      <c r="AW2570">
        <v>63</v>
      </c>
      <c r="AX2570" t="s">
        <v>20582</v>
      </c>
      <c r="AY2570">
        <v>5.7119999999999997E-2</v>
      </c>
      <c r="AZ2570">
        <v>-2.96E-3</v>
      </c>
      <c r="BA2570">
        <v>8.4100000000000008E-3</v>
      </c>
      <c r="BB2570">
        <v>-4.4999999999999999E-4</v>
      </c>
      <c r="BC2570">
        <v>0.14726</v>
      </c>
      <c r="BD2570">
        <v>1</v>
      </c>
      <c r="BE2570" t="s">
        <v>69</v>
      </c>
      <c r="BF2570">
        <v>0.11899999999999999</v>
      </c>
      <c r="BG2570">
        <v>-0.44400000000000001</v>
      </c>
    </row>
    <row r="2571" spans="1:59">
      <c r="A2571">
        <v>2</v>
      </c>
      <c r="B2571">
        <v>16</v>
      </c>
      <c r="C2571">
        <v>3</v>
      </c>
      <c r="D2571" t="s">
        <v>25022</v>
      </c>
      <c r="E2571">
        <v>844</v>
      </c>
      <c r="F2571" t="s">
        <v>5269</v>
      </c>
      <c r="G2571" t="s">
        <v>57</v>
      </c>
      <c r="H2571">
        <v>883758</v>
      </c>
      <c r="I2571">
        <v>885572</v>
      </c>
      <c r="J2571" t="s">
        <v>5270</v>
      </c>
      <c r="K2571">
        <v>605</v>
      </c>
      <c r="L2571" t="s">
        <v>108</v>
      </c>
      <c r="M2571">
        <v>44</v>
      </c>
      <c r="N2571" t="str">
        <f>HYPERLINK("Gene844-zp_tree_all.dnd", "Gene844-tree")</f>
        <v>Gene844-tree</v>
      </c>
      <c r="O2571">
        <v>2</v>
      </c>
      <c r="P2571">
        <v>14</v>
      </c>
      <c r="Q2571">
        <v>2</v>
      </c>
      <c r="R2571">
        <v>14</v>
      </c>
      <c r="S2571">
        <v>0.875</v>
      </c>
      <c r="T2571" t="s">
        <v>81</v>
      </c>
      <c r="U2571" t="s">
        <v>543</v>
      </c>
      <c r="V2571">
        <v>860908720.12699997</v>
      </c>
      <c r="W2571" t="s">
        <v>267</v>
      </c>
      <c r="X2571">
        <v>8</v>
      </c>
      <c r="Y2571">
        <v>21</v>
      </c>
      <c r="Z2571">
        <v>30</v>
      </c>
      <c r="AA2571">
        <v>0.41176000000000001</v>
      </c>
      <c r="AB2571">
        <v>0</v>
      </c>
      <c r="AC2571">
        <v>0</v>
      </c>
      <c r="AD2571">
        <v>0</v>
      </c>
      <c r="AE2571">
        <v>2</v>
      </c>
      <c r="AF2571">
        <v>0</v>
      </c>
      <c r="AG2571">
        <v>2</v>
      </c>
      <c r="AH2571">
        <v>3</v>
      </c>
      <c r="AI2571">
        <v>5</v>
      </c>
      <c r="AJ2571">
        <v>32</v>
      </c>
      <c r="AK2571">
        <v>0.13514000000000001</v>
      </c>
      <c r="AL2571">
        <v>13</v>
      </c>
      <c r="AM2571">
        <v>13</v>
      </c>
      <c r="AN2571">
        <v>89</v>
      </c>
      <c r="AO2571">
        <v>34</v>
      </c>
      <c r="AP2571">
        <v>59</v>
      </c>
      <c r="AQ2571">
        <v>22</v>
      </c>
      <c r="AR2571" t="s">
        <v>5271</v>
      </c>
      <c r="AS2571" t="s">
        <v>5272</v>
      </c>
      <c r="AT2571">
        <v>0.02</v>
      </c>
      <c r="AU2571" t="s">
        <v>65</v>
      </c>
      <c r="AV2571">
        <v>148</v>
      </c>
      <c r="AW2571">
        <v>56</v>
      </c>
      <c r="AX2571" t="s">
        <v>5273</v>
      </c>
      <c r="AY2571">
        <v>6.0199999999999997E-2</v>
      </c>
      <c r="AZ2571">
        <v>-2.2499999999999998E-3</v>
      </c>
      <c r="BA2571">
        <v>6.3600000000000002E-3</v>
      </c>
      <c r="BB2571">
        <v>-2.2000000000000001E-4</v>
      </c>
      <c r="BC2571">
        <v>0.10557999999999999</v>
      </c>
      <c r="BD2571">
        <v>1</v>
      </c>
      <c r="BE2571" t="s">
        <v>69</v>
      </c>
      <c r="BF2571">
        <v>0.374</v>
      </c>
      <c r="BG2571">
        <v>-0.60399999999999998</v>
      </c>
    </row>
    <row r="2572" spans="1:59">
      <c r="A2572">
        <v>0</v>
      </c>
      <c r="B2572">
        <v>17</v>
      </c>
      <c r="C2572">
        <v>1</v>
      </c>
      <c r="D2572" t="s">
        <v>25022</v>
      </c>
      <c r="E2572">
        <v>3471</v>
      </c>
      <c r="F2572" t="s">
        <v>20331</v>
      </c>
      <c r="G2572" t="s">
        <v>62</v>
      </c>
      <c r="H2572">
        <v>3432342</v>
      </c>
      <c r="I2572">
        <v>3434156</v>
      </c>
      <c r="J2572" t="s">
        <v>20332</v>
      </c>
      <c r="K2572">
        <v>605</v>
      </c>
      <c r="L2572" t="s">
        <v>108</v>
      </c>
      <c r="M2572">
        <v>44</v>
      </c>
      <c r="N2572" t="str">
        <f>HYPERLINK("Gene3471-zp_tree_all.dnd", "Gene3471-tree")</f>
        <v>Gene3471-tree</v>
      </c>
      <c r="O2572">
        <v>5</v>
      </c>
      <c r="P2572">
        <v>10</v>
      </c>
      <c r="Q2572">
        <v>5</v>
      </c>
      <c r="R2572">
        <v>10</v>
      </c>
      <c r="S2572">
        <v>0.66666999999999998</v>
      </c>
      <c r="T2572" t="s">
        <v>199</v>
      </c>
      <c r="U2572" t="s">
        <v>117</v>
      </c>
      <c r="V2572" t="s">
        <v>62</v>
      </c>
      <c r="W2572" t="s">
        <v>62</v>
      </c>
      <c r="X2572">
        <v>6</v>
      </c>
      <c r="Y2572">
        <v>18</v>
      </c>
      <c r="Z2572">
        <v>17</v>
      </c>
      <c r="AA2572">
        <v>0.51429000000000002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2</v>
      </c>
      <c r="AH2572">
        <v>0</v>
      </c>
      <c r="AI2572">
        <v>2</v>
      </c>
      <c r="AJ2572">
        <v>16</v>
      </c>
      <c r="AK2572">
        <v>0.11111</v>
      </c>
      <c r="AL2572">
        <v>13</v>
      </c>
      <c r="AM2572">
        <v>11</v>
      </c>
      <c r="AN2572">
        <v>76</v>
      </c>
      <c r="AO2572">
        <v>18</v>
      </c>
      <c r="AP2572">
        <v>23</v>
      </c>
      <c r="AQ2572">
        <v>17</v>
      </c>
      <c r="AR2572" t="s">
        <v>20333</v>
      </c>
      <c r="AS2572" t="s">
        <v>20334</v>
      </c>
      <c r="AT2572">
        <v>3.2109999999999999</v>
      </c>
      <c r="AU2572" t="s">
        <v>65</v>
      </c>
      <c r="AV2572">
        <v>99</v>
      </c>
      <c r="AW2572">
        <v>35</v>
      </c>
      <c r="AX2572" t="s">
        <v>20335</v>
      </c>
      <c r="AY2572">
        <v>3.9489999999999997E-2</v>
      </c>
      <c r="AZ2572">
        <v>-1.56E-3</v>
      </c>
      <c r="BA2572">
        <v>3.8999999999999998E-3</v>
      </c>
      <c r="BB2572">
        <v>-1.6000000000000001E-4</v>
      </c>
      <c r="BC2572">
        <v>9.8839999999999997E-2</v>
      </c>
      <c r="BD2572">
        <v>1</v>
      </c>
      <c r="BE2572" t="s">
        <v>69</v>
      </c>
      <c r="BF2572">
        <v>-0.67500000000000004</v>
      </c>
      <c r="BG2572">
        <v>-1.764</v>
      </c>
    </row>
    <row r="2573" spans="1:59">
      <c r="A2573">
        <v>0</v>
      </c>
      <c r="B2573">
        <v>2</v>
      </c>
      <c r="C2573">
        <v>0</v>
      </c>
      <c r="D2573" t="s">
        <v>25022</v>
      </c>
      <c r="E2573">
        <v>1454</v>
      </c>
      <c r="F2573" t="s">
        <v>9105</v>
      </c>
      <c r="G2573" t="s">
        <v>57</v>
      </c>
      <c r="H2573">
        <v>1470026</v>
      </c>
      <c r="I2573">
        <v>1471843</v>
      </c>
      <c r="J2573" t="s">
        <v>9106</v>
      </c>
      <c r="K2573">
        <v>606</v>
      </c>
      <c r="L2573" t="s">
        <v>9107</v>
      </c>
      <c r="M2573">
        <v>48</v>
      </c>
      <c r="N2573" t="str">
        <f>HYPERLINK("Gene1454-zp_tree_all.dnd", "Gene1454-tree")</f>
        <v>Gene1454-tree</v>
      </c>
      <c r="O2573">
        <v>9</v>
      </c>
      <c r="P2573">
        <v>12</v>
      </c>
      <c r="Q2573">
        <v>9</v>
      </c>
      <c r="R2573">
        <v>12</v>
      </c>
      <c r="S2573">
        <v>0.57142999999999999</v>
      </c>
      <c r="T2573" t="s">
        <v>135</v>
      </c>
      <c r="U2573" t="s">
        <v>109</v>
      </c>
      <c r="V2573" t="s">
        <v>62</v>
      </c>
      <c r="W2573" t="s">
        <v>62</v>
      </c>
      <c r="X2573">
        <v>1</v>
      </c>
      <c r="Y2573">
        <v>2</v>
      </c>
      <c r="Z2573">
        <v>23</v>
      </c>
      <c r="AA2573">
        <v>0.08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12</v>
      </c>
      <c r="AK2573">
        <v>0</v>
      </c>
      <c r="AL2573">
        <v>18</v>
      </c>
      <c r="AM2573">
        <v>16</v>
      </c>
      <c r="AN2573">
        <v>72</v>
      </c>
      <c r="AO2573">
        <v>11</v>
      </c>
      <c r="AP2573">
        <v>132</v>
      </c>
      <c r="AQ2573">
        <v>14</v>
      </c>
      <c r="AR2573" t="s">
        <v>9108</v>
      </c>
      <c r="AS2573" t="s">
        <v>9109</v>
      </c>
      <c r="AT2573">
        <v>0.42199999999999999</v>
      </c>
      <c r="AU2573" t="s">
        <v>65</v>
      </c>
      <c r="AV2573">
        <v>204</v>
      </c>
      <c r="AW2573">
        <v>25</v>
      </c>
      <c r="AX2573" t="s">
        <v>9110</v>
      </c>
      <c r="AY2573">
        <v>0.11724</v>
      </c>
      <c r="AZ2573">
        <v>-6.8799999999999998E-3</v>
      </c>
      <c r="BA2573">
        <v>2.8900000000000002E-3</v>
      </c>
      <c r="BB2573">
        <v>-1.6000000000000001E-4</v>
      </c>
      <c r="BC2573">
        <v>2.4639999999999999E-2</v>
      </c>
      <c r="BD2573">
        <v>1</v>
      </c>
      <c r="BE2573" t="s">
        <v>69</v>
      </c>
      <c r="BF2573">
        <v>-1.216</v>
      </c>
      <c r="BG2573">
        <v>-0.32200000000000001</v>
      </c>
    </row>
    <row r="2574" spans="1:59">
      <c r="A2574">
        <v>0</v>
      </c>
      <c r="B2574">
        <v>2</v>
      </c>
      <c r="C2574">
        <v>0</v>
      </c>
      <c r="D2574" t="s">
        <v>25022</v>
      </c>
      <c r="E2574">
        <v>440</v>
      </c>
      <c r="F2574" t="s">
        <v>2993</v>
      </c>
      <c r="G2574" t="s">
        <v>57</v>
      </c>
      <c r="H2574">
        <v>486432</v>
      </c>
      <c r="I2574">
        <v>488252</v>
      </c>
      <c r="J2574" t="s">
        <v>2994</v>
      </c>
      <c r="K2574">
        <v>607</v>
      </c>
      <c r="L2574" t="s">
        <v>2958</v>
      </c>
      <c r="M2574">
        <v>34</v>
      </c>
      <c r="N2574" t="str">
        <f>HYPERLINK("Gene440-zp_tree_all.dnd", "Gene440-tree")</f>
        <v>Gene440-tree</v>
      </c>
      <c r="O2574">
        <v>11</v>
      </c>
      <c r="P2574">
        <v>18</v>
      </c>
      <c r="Q2574">
        <v>11</v>
      </c>
      <c r="R2574">
        <v>2</v>
      </c>
      <c r="S2574">
        <v>0.15384999999999999</v>
      </c>
      <c r="T2574" t="s">
        <v>73</v>
      </c>
      <c r="U2574" t="s">
        <v>2995</v>
      </c>
      <c r="V2574">
        <v>8.3780000000000001</v>
      </c>
      <c r="W2574" t="s">
        <v>65</v>
      </c>
      <c r="X2574">
        <v>1</v>
      </c>
      <c r="Y2574">
        <v>2</v>
      </c>
      <c r="Z2574">
        <v>5</v>
      </c>
      <c r="AA2574">
        <v>0.28571000000000002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</v>
      </c>
      <c r="AK2574">
        <v>0</v>
      </c>
      <c r="AL2574">
        <v>13</v>
      </c>
      <c r="AM2574">
        <v>10</v>
      </c>
      <c r="AN2574">
        <v>104</v>
      </c>
      <c r="AO2574">
        <v>5</v>
      </c>
      <c r="AP2574">
        <v>33</v>
      </c>
      <c r="AQ2574">
        <v>2</v>
      </c>
      <c r="AR2574" t="s">
        <v>2996</v>
      </c>
      <c r="AS2574" t="s">
        <v>2997</v>
      </c>
      <c r="AT2574">
        <v>9.1999999999999998E-2</v>
      </c>
      <c r="AU2574" t="s">
        <v>65</v>
      </c>
      <c r="AV2574">
        <v>137</v>
      </c>
      <c r="AW2574">
        <v>7</v>
      </c>
      <c r="AX2574" t="s">
        <v>2998</v>
      </c>
      <c r="AY2574">
        <v>5.4649999999999997E-2</v>
      </c>
      <c r="AZ2574">
        <v>-3.0000000000000001E-3</v>
      </c>
      <c r="BA2574">
        <v>8.9999999999999998E-4</v>
      </c>
      <c r="BB2574">
        <v>-1.3999999999999999E-4</v>
      </c>
      <c r="BC2574">
        <v>1.651E-2</v>
      </c>
      <c r="BD2574">
        <v>1</v>
      </c>
      <c r="BE2574" t="s">
        <v>69</v>
      </c>
      <c r="BF2574">
        <v>-0.76100000000000001</v>
      </c>
      <c r="BG2574">
        <v>-2.4220000000000002</v>
      </c>
    </row>
    <row r="2575" spans="1:59">
      <c r="A2575">
        <v>0</v>
      </c>
      <c r="B2575">
        <v>13</v>
      </c>
      <c r="C2575">
        <v>0</v>
      </c>
      <c r="D2575" t="s">
        <v>25022</v>
      </c>
      <c r="E2575">
        <v>4067</v>
      </c>
      <c r="F2575" t="s">
        <v>23941</v>
      </c>
      <c r="G2575" t="s">
        <v>62</v>
      </c>
      <c r="H2575">
        <v>4033781</v>
      </c>
      <c r="I2575">
        <v>4035607</v>
      </c>
      <c r="J2575" t="s">
        <v>23942</v>
      </c>
      <c r="K2575">
        <v>609</v>
      </c>
      <c r="L2575" t="s">
        <v>23943</v>
      </c>
      <c r="M2575">
        <v>40</v>
      </c>
      <c r="N2575" t="str">
        <f>HYPERLINK("Gene4067-zp_tree_all.dnd", "Gene4067-tree")</f>
        <v>Gene4067-tree</v>
      </c>
      <c r="O2575">
        <v>3</v>
      </c>
      <c r="P2575">
        <v>31</v>
      </c>
      <c r="Q2575">
        <v>3</v>
      </c>
      <c r="R2575">
        <v>12</v>
      </c>
      <c r="S2575">
        <v>0.8</v>
      </c>
      <c r="T2575" t="s">
        <v>324</v>
      </c>
      <c r="U2575" t="s">
        <v>5000</v>
      </c>
      <c r="V2575">
        <v>0.89600000000000002</v>
      </c>
      <c r="W2575" t="s">
        <v>65</v>
      </c>
      <c r="X2575">
        <v>6</v>
      </c>
      <c r="Y2575">
        <v>13</v>
      </c>
      <c r="Z2575">
        <v>28</v>
      </c>
      <c r="AA2575">
        <v>0.31707000000000002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6</v>
      </c>
      <c r="AH2575">
        <v>0</v>
      </c>
      <c r="AI2575">
        <v>6</v>
      </c>
      <c r="AJ2575">
        <v>29</v>
      </c>
      <c r="AK2575">
        <v>0.17143</v>
      </c>
      <c r="AL2575">
        <v>14</v>
      </c>
      <c r="AM2575">
        <v>10</v>
      </c>
      <c r="AN2575">
        <v>113</v>
      </c>
      <c r="AO2575">
        <v>33</v>
      </c>
      <c r="AP2575">
        <v>43</v>
      </c>
      <c r="AQ2575">
        <v>8</v>
      </c>
      <c r="AR2575" t="s">
        <v>23944</v>
      </c>
      <c r="AS2575" t="s">
        <v>23945</v>
      </c>
      <c r="AT2575">
        <v>0.98899999999999999</v>
      </c>
      <c r="AU2575" t="s">
        <v>65</v>
      </c>
      <c r="AV2575">
        <v>156</v>
      </c>
      <c r="AW2575">
        <v>41</v>
      </c>
      <c r="AX2575" t="s">
        <v>23946</v>
      </c>
      <c r="AY2575">
        <v>5.5120000000000002E-2</v>
      </c>
      <c r="AZ2575">
        <v>-1.8699999999999999E-3</v>
      </c>
      <c r="BA2575">
        <v>4.45E-3</v>
      </c>
      <c r="BB2575">
        <v>-1.6000000000000001E-4</v>
      </c>
      <c r="BC2575">
        <v>8.0729999999999996E-2</v>
      </c>
      <c r="BD2575">
        <v>1</v>
      </c>
      <c r="BE2575" t="s">
        <v>69</v>
      </c>
      <c r="BF2575">
        <v>-0.74399999999999999</v>
      </c>
      <c r="BG2575">
        <v>-1.764</v>
      </c>
    </row>
    <row r="2576" spans="1:59">
      <c r="A2576">
        <v>0</v>
      </c>
      <c r="B2576">
        <v>0</v>
      </c>
      <c r="C2576">
        <v>0</v>
      </c>
      <c r="D2576" t="s">
        <v>25022</v>
      </c>
      <c r="E2576">
        <v>2650</v>
      </c>
      <c r="F2576" t="s">
        <v>15530</v>
      </c>
      <c r="G2576" t="s">
        <v>62</v>
      </c>
      <c r="H2576">
        <v>2626115</v>
      </c>
      <c r="I2576">
        <v>2627947</v>
      </c>
      <c r="J2576" t="s">
        <v>15531</v>
      </c>
      <c r="K2576">
        <v>611</v>
      </c>
      <c r="L2576" t="s">
        <v>59</v>
      </c>
      <c r="M2576">
        <v>49</v>
      </c>
      <c r="N2576" t="str">
        <f>HYPERLINK("Gene2650-zp_tree_all.dnd", "Gene2650-tree")</f>
        <v>Gene2650-tree</v>
      </c>
      <c r="O2576">
        <v>12</v>
      </c>
      <c r="P2576">
        <v>5</v>
      </c>
      <c r="Q2576">
        <v>12</v>
      </c>
      <c r="R2576">
        <v>5</v>
      </c>
      <c r="S2576">
        <v>0.29411999999999999</v>
      </c>
      <c r="T2576" t="s">
        <v>109</v>
      </c>
      <c r="U2576" t="s">
        <v>199</v>
      </c>
      <c r="V2576" t="s">
        <v>62</v>
      </c>
      <c r="W2576" t="s">
        <v>62</v>
      </c>
      <c r="X2576">
        <v>0</v>
      </c>
      <c r="Y2576">
        <v>0</v>
      </c>
      <c r="Z2576">
        <v>8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</v>
      </c>
      <c r="AK2576">
        <v>0</v>
      </c>
      <c r="AL2576">
        <v>15</v>
      </c>
      <c r="AM2576">
        <v>14</v>
      </c>
      <c r="AN2576">
        <v>85</v>
      </c>
      <c r="AO2576">
        <v>5</v>
      </c>
      <c r="AP2576">
        <v>74</v>
      </c>
      <c r="AQ2576">
        <v>3</v>
      </c>
      <c r="AR2576" t="s">
        <v>15532</v>
      </c>
      <c r="AS2576" t="s">
        <v>15533</v>
      </c>
      <c r="AT2576">
        <v>0.25700000000000001</v>
      </c>
      <c r="AU2576" t="s">
        <v>65</v>
      </c>
      <c r="AV2576">
        <v>159</v>
      </c>
      <c r="AW2576">
        <v>8</v>
      </c>
      <c r="AX2576" t="s">
        <v>15534</v>
      </c>
      <c r="AY2576">
        <v>7.2499999999999995E-2</v>
      </c>
      <c r="AZ2576">
        <v>-3.7100000000000002E-3</v>
      </c>
      <c r="BA2576">
        <v>1.33E-3</v>
      </c>
      <c r="BB2576">
        <v>-8.0000000000000007E-5</v>
      </c>
      <c r="BC2576">
        <v>1.8339999999999999E-2</v>
      </c>
      <c r="BD2576">
        <v>1</v>
      </c>
      <c r="BE2576" t="s">
        <v>69</v>
      </c>
      <c r="BF2576">
        <v>-1.4019999999999999</v>
      </c>
      <c r="BG2576">
        <v>-1.643</v>
      </c>
    </row>
    <row r="2577" spans="1:59">
      <c r="A2577">
        <v>0</v>
      </c>
      <c r="B2577">
        <v>0</v>
      </c>
      <c r="C2577">
        <v>0</v>
      </c>
      <c r="D2577" t="s">
        <v>25022</v>
      </c>
      <c r="E2577">
        <v>4186</v>
      </c>
      <c r="F2577" t="s">
        <v>24645</v>
      </c>
      <c r="G2577" t="s">
        <v>62</v>
      </c>
      <c r="H2577">
        <v>4151856</v>
      </c>
      <c r="I2577">
        <v>4153688</v>
      </c>
      <c r="J2577" t="s">
        <v>24646</v>
      </c>
      <c r="K2577">
        <v>611</v>
      </c>
      <c r="L2577" t="s">
        <v>99</v>
      </c>
      <c r="M2577">
        <v>47</v>
      </c>
      <c r="N2577" t="str">
        <f>HYPERLINK("Gene4186-zp_tree_all.dnd", "Gene4186-tree")</f>
        <v>Gene4186-tree</v>
      </c>
      <c r="O2577">
        <v>15</v>
      </c>
      <c r="P2577">
        <v>5</v>
      </c>
      <c r="Q2577">
        <v>15</v>
      </c>
      <c r="R2577">
        <v>5</v>
      </c>
      <c r="S2577">
        <v>0.25</v>
      </c>
      <c r="T2577" t="s">
        <v>100</v>
      </c>
      <c r="U2577" t="s">
        <v>199</v>
      </c>
      <c r="V2577" t="s">
        <v>62</v>
      </c>
      <c r="W2577" t="s">
        <v>62</v>
      </c>
      <c r="X2577">
        <v>0</v>
      </c>
      <c r="Y2577">
        <v>0</v>
      </c>
      <c r="Z2577">
        <v>10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</v>
      </c>
      <c r="AK2577">
        <v>0</v>
      </c>
      <c r="AL2577">
        <v>18</v>
      </c>
      <c r="AM2577">
        <v>15</v>
      </c>
      <c r="AN2577">
        <v>118</v>
      </c>
      <c r="AO2577">
        <v>6</v>
      </c>
      <c r="AP2577">
        <v>116</v>
      </c>
      <c r="AQ2577">
        <v>6</v>
      </c>
      <c r="AR2577" t="s">
        <v>24647</v>
      </c>
      <c r="AS2577" t="s">
        <v>24648</v>
      </c>
      <c r="AT2577">
        <v>3.0000000000000001E-3</v>
      </c>
      <c r="AU2577" t="s">
        <v>65</v>
      </c>
      <c r="AV2577">
        <v>234</v>
      </c>
      <c r="AW2577">
        <v>12</v>
      </c>
      <c r="AX2577" t="s">
        <v>24649</v>
      </c>
      <c r="AY2577">
        <v>9.6829999999999999E-2</v>
      </c>
      <c r="AZ2577">
        <v>-5.9100000000000003E-3</v>
      </c>
      <c r="BA2577">
        <v>1.4400000000000001E-3</v>
      </c>
      <c r="BB2577">
        <v>-1.2999999999999999E-4</v>
      </c>
      <c r="BC2577">
        <v>1.49E-2</v>
      </c>
      <c r="BD2577">
        <v>1</v>
      </c>
      <c r="BE2577" t="s">
        <v>69</v>
      </c>
      <c r="BF2577">
        <v>-1.2430000000000001</v>
      </c>
      <c r="BG2577">
        <v>-1.363</v>
      </c>
    </row>
    <row r="2578" spans="1:59">
      <c r="A2578">
        <v>0</v>
      </c>
      <c r="B2578">
        <v>31</v>
      </c>
      <c r="C2578">
        <v>5</v>
      </c>
      <c r="D2578" t="s">
        <v>25022</v>
      </c>
      <c r="E2578">
        <v>743</v>
      </c>
      <c r="F2578" t="s">
        <v>4609</v>
      </c>
      <c r="G2578" t="s">
        <v>57</v>
      </c>
      <c r="H2578">
        <v>772142</v>
      </c>
      <c r="I2578">
        <v>773977</v>
      </c>
      <c r="J2578" t="s">
        <v>4610</v>
      </c>
      <c r="K2578">
        <v>612</v>
      </c>
      <c r="L2578" t="s">
        <v>4611</v>
      </c>
      <c r="M2578">
        <v>41</v>
      </c>
      <c r="N2578" t="str">
        <f>HYPERLINK("Gene743-zp_tree_all.dnd", "Gene743-tree")</f>
        <v>Gene743-tree</v>
      </c>
      <c r="O2578">
        <v>0</v>
      </c>
      <c r="P2578">
        <v>16</v>
      </c>
      <c r="Q2578">
        <v>0</v>
      </c>
      <c r="R2578">
        <v>16</v>
      </c>
      <c r="S2578">
        <v>1</v>
      </c>
      <c r="T2578" t="s">
        <v>62</v>
      </c>
      <c r="U2578" t="s">
        <v>60</v>
      </c>
      <c r="V2578" t="s">
        <v>62</v>
      </c>
      <c r="W2578" t="s">
        <v>62</v>
      </c>
      <c r="X2578">
        <v>13</v>
      </c>
      <c r="Y2578">
        <v>36</v>
      </c>
      <c r="Z2578">
        <v>37</v>
      </c>
      <c r="AA2578">
        <v>0.49314999999999998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19</v>
      </c>
      <c r="AH2578">
        <v>1</v>
      </c>
      <c r="AI2578">
        <v>20</v>
      </c>
      <c r="AJ2578">
        <v>29</v>
      </c>
      <c r="AK2578">
        <v>0.40816000000000002</v>
      </c>
      <c r="AL2578">
        <v>15</v>
      </c>
      <c r="AM2578">
        <v>13</v>
      </c>
      <c r="AN2578">
        <v>145</v>
      </c>
      <c r="AO2578">
        <v>43</v>
      </c>
      <c r="AP2578">
        <v>90</v>
      </c>
      <c r="AQ2578">
        <v>31</v>
      </c>
      <c r="AR2578" t="s">
        <v>4612</v>
      </c>
      <c r="AS2578" t="s">
        <v>4613</v>
      </c>
      <c r="AT2578">
        <v>0.315</v>
      </c>
      <c r="AU2578" t="s">
        <v>65</v>
      </c>
      <c r="AV2578">
        <v>235</v>
      </c>
      <c r="AW2578">
        <v>74</v>
      </c>
      <c r="AX2578" t="s">
        <v>4614</v>
      </c>
      <c r="AY2578">
        <v>8.5330000000000003E-2</v>
      </c>
      <c r="AZ2578">
        <v>-2.3400000000000001E-3</v>
      </c>
      <c r="BA2578">
        <v>9.0299999999999998E-3</v>
      </c>
      <c r="BB2578">
        <v>-3.2000000000000003E-4</v>
      </c>
      <c r="BC2578">
        <v>0.10579</v>
      </c>
      <c r="BD2578">
        <v>1</v>
      </c>
      <c r="BE2578" t="s">
        <v>69</v>
      </c>
      <c r="BF2578">
        <v>-0.221</v>
      </c>
      <c r="BG2578">
        <v>-0.752</v>
      </c>
    </row>
    <row r="2579" spans="1:59">
      <c r="A2579">
        <v>0</v>
      </c>
      <c r="B2579">
        <v>0</v>
      </c>
      <c r="C2579">
        <v>0</v>
      </c>
      <c r="D2579" t="s">
        <v>25022</v>
      </c>
      <c r="E2579">
        <v>2654</v>
      </c>
      <c r="F2579" t="s">
        <v>15556</v>
      </c>
      <c r="G2579" t="s">
        <v>62</v>
      </c>
      <c r="H2579">
        <v>2630913</v>
      </c>
      <c r="I2579">
        <v>2632748</v>
      </c>
      <c r="J2579" t="s">
        <v>15557</v>
      </c>
      <c r="K2579">
        <v>612</v>
      </c>
      <c r="L2579" t="s">
        <v>289</v>
      </c>
      <c r="M2579">
        <v>46</v>
      </c>
      <c r="N2579" t="str">
        <f>HYPERLINK("Gene2654-zp_tree_all.dnd", "Gene2654-tree")</f>
        <v>Gene2654-tree</v>
      </c>
      <c r="O2579">
        <v>15</v>
      </c>
      <c r="P2579">
        <v>1</v>
      </c>
      <c r="Q2579">
        <v>15</v>
      </c>
      <c r="R2579">
        <v>1</v>
      </c>
      <c r="S2579">
        <v>6.25E-2</v>
      </c>
      <c r="T2579" t="s">
        <v>100</v>
      </c>
      <c r="U2579" t="s">
        <v>175</v>
      </c>
      <c r="V2579" t="s">
        <v>62</v>
      </c>
      <c r="W2579" t="s">
        <v>62</v>
      </c>
      <c r="X2579">
        <v>0</v>
      </c>
      <c r="Y2579">
        <v>0</v>
      </c>
      <c r="Z2579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15</v>
      </c>
      <c r="AM2579">
        <v>10</v>
      </c>
      <c r="AN2579">
        <v>75</v>
      </c>
      <c r="AO2579">
        <v>1</v>
      </c>
      <c r="AP2579">
        <v>80</v>
      </c>
      <c r="AQ2579">
        <v>3</v>
      </c>
      <c r="AR2579" t="s">
        <v>15558</v>
      </c>
      <c r="AS2579" t="s">
        <v>15559</v>
      </c>
      <c r="AT2579">
        <v>0.13200000000000001</v>
      </c>
      <c r="AU2579" t="s">
        <v>65</v>
      </c>
      <c r="AV2579">
        <v>155</v>
      </c>
      <c r="AW2579">
        <v>4</v>
      </c>
      <c r="AX2579" t="s">
        <v>15560</v>
      </c>
      <c r="AY2579">
        <v>7.1279999999999996E-2</v>
      </c>
      <c r="AZ2579">
        <v>-7.6499999999999997E-3</v>
      </c>
      <c r="BA2579">
        <v>5.9000000000000003E-4</v>
      </c>
      <c r="BB2579">
        <v>-8.0000000000000007E-5</v>
      </c>
      <c r="BC2579">
        <v>8.2299999999999995E-3</v>
      </c>
      <c r="BD2579">
        <v>1</v>
      </c>
      <c r="BE2579" t="s">
        <v>69</v>
      </c>
      <c r="BF2579">
        <v>-2.0510000000000002</v>
      </c>
      <c r="BG2579">
        <v>-1.3109999999999999</v>
      </c>
    </row>
    <row r="2580" spans="1:59">
      <c r="A2580">
        <v>0</v>
      </c>
      <c r="B2580">
        <v>0</v>
      </c>
      <c r="C2580">
        <v>0</v>
      </c>
      <c r="D2580" t="s">
        <v>25022</v>
      </c>
      <c r="E2580">
        <v>1537</v>
      </c>
      <c r="F2580" t="s">
        <v>9604</v>
      </c>
      <c r="G2580" t="s">
        <v>57</v>
      </c>
      <c r="H2580">
        <v>1546121</v>
      </c>
      <c r="I2580">
        <v>1547956</v>
      </c>
      <c r="J2580" t="s">
        <v>9605</v>
      </c>
      <c r="K2580">
        <v>612</v>
      </c>
      <c r="L2580" t="s">
        <v>59</v>
      </c>
      <c r="M2580">
        <v>49</v>
      </c>
      <c r="N2580" t="str">
        <f>HYPERLINK("Gene1537-zp_tree_all.dnd", "Gene1537-tree")</f>
        <v>Gene1537-tree</v>
      </c>
      <c r="O2580">
        <v>18</v>
      </c>
      <c r="P2580">
        <v>1</v>
      </c>
      <c r="Q2580">
        <v>18</v>
      </c>
      <c r="R2580">
        <v>1</v>
      </c>
      <c r="S2580">
        <v>5.2630000000000003E-2</v>
      </c>
      <c r="T2580" t="s">
        <v>144</v>
      </c>
      <c r="U2580" t="s">
        <v>175</v>
      </c>
      <c r="V2580" t="s">
        <v>62</v>
      </c>
      <c r="W2580" t="s">
        <v>62</v>
      </c>
      <c r="X2580">
        <v>0</v>
      </c>
      <c r="Y2580">
        <v>0</v>
      </c>
      <c r="Z2580">
        <v>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2</v>
      </c>
      <c r="AK2580">
        <v>0</v>
      </c>
      <c r="AL2580">
        <v>19</v>
      </c>
      <c r="AM2580">
        <v>11</v>
      </c>
      <c r="AN2580">
        <v>105</v>
      </c>
      <c r="AO2580">
        <v>2</v>
      </c>
      <c r="AP2580">
        <v>103</v>
      </c>
      <c r="AQ2580">
        <v>3</v>
      </c>
      <c r="AR2580" t="s">
        <v>9606</v>
      </c>
      <c r="AS2580" t="s">
        <v>9607</v>
      </c>
      <c r="AT2580">
        <v>0.105</v>
      </c>
      <c r="AU2580" t="s">
        <v>65</v>
      </c>
      <c r="AV2580">
        <v>208</v>
      </c>
      <c r="AW2580">
        <v>5</v>
      </c>
      <c r="AX2580" t="s">
        <v>9608</v>
      </c>
      <c r="AY2580">
        <v>0.10097</v>
      </c>
      <c r="AZ2580">
        <v>-6.1500000000000001E-3</v>
      </c>
      <c r="BA2580">
        <v>7.7999999999999999E-4</v>
      </c>
      <c r="BB2580">
        <v>-8.0000000000000007E-5</v>
      </c>
      <c r="BC2580">
        <v>7.7299999999999999E-3</v>
      </c>
      <c r="BD2580">
        <v>1</v>
      </c>
      <c r="BE2580" t="s">
        <v>69</v>
      </c>
      <c r="BF2580">
        <v>-1.538</v>
      </c>
      <c r="BG2580">
        <v>-1.3160000000000001</v>
      </c>
    </row>
    <row r="2581" spans="1:59">
      <c r="A2581">
        <v>0</v>
      </c>
      <c r="B2581">
        <v>9</v>
      </c>
      <c r="C2581">
        <v>0</v>
      </c>
      <c r="D2581" t="s">
        <v>25022</v>
      </c>
      <c r="E2581">
        <v>1202</v>
      </c>
      <c r="F2581" t="s">
        <v>7563</v>
      </c>
      <c r="G2581" t="s">
        <v>57</v>
      </c>
      <c r="H2581">
        <v>1240356</v>
      </c>
      <c r="I2581">
        <v>1242197</v>
      </c>
      <c r="J2581" t="s">
        <v>7564</v>
      </c>
      <c r="K2581">
        <v>614</v>
      </c>
      <c r="L2581" t="s">
        <v>108</v>
      </c>
      <c r="M2581">
        <v>44</v>
      </c>
      <c r="N2581" t="str">
        <f>HYPERLINK("Gene1202-zp_tree_all.dnd", "Gene1202-tree")</f>
        <v>Gene1202-tree</v>
      </c>
      <c r="O2581">
        <v>9</v>
      </c>
      <c r="P2581">
        <v>6</v>
      </c>
      <c r="Q2581">
        <v>9</v>
      </c>
      <c r="R2581">
        <v>6</v>
      </c>
      <c r="S2581">
        <v>0.4</v>
      </c>
      <c r="T2581" t="s">
        <v>135</v>
      </c>
      <c r="U2581" t="s">
        <v>90</v>
      </c>
      <c r="V2581" t="s">
        <v>62</v>
      </c>
      <c r="W2581" t="s">
        <v>62</v>
      </c>
      <c r="X2581">
        <v>4</v>
      </c>
      <c r="Y2581">
        <v>9</v>
      </c>
      <c r="Z2581">
        <v>9</v>
      </c>
      <c r="AA2581">
        <v>0.5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4</v>
      </c>
      <c r="AH2581">
        <v>0</v>
      </c>
      <c r="AI2581">
        <v>4</v>
      </c>
      <c r="AJ2581">
        <v>9</v>
      </c>
      <c r="AK2581">
        <v>0.30769000000000002</v>
      </c>
      <c r="AL2581">
        <v>13</v>
      </c>
      <c r="AM2581">
        <v>12</v>
      </c>
      <c r="AN2581">
        <v>91</v>
      </c>
      <c r="AO2581">
        <v>13</v>
      </c>
      <c r="AP2581">
        <v>53</v>
      </c>
      <c r="AQ2581">
        <v>5</v>
      </c>
      <c r="AR2581" t="s">
        <v>7565</v>
      </c>
      <c r="AS2581" t="s">
        <v>7566</v>
      </c>
      <c r="AT2581">
        <v>0.371</v>
      </c>
      <c r="AU2581" t="s">
        <v>65</v>
      </c>
      <c r="AV2581">
        <v>144</v>
      </c>
      <c r="AW2581">
        <v>18</v>
      </c>
      <c r="AX2581" t="s">
        <v>7567</v>
      </c>
      <c r="AY2581">
        <v>5.9670000000000001E-2</v>
      </c>
      <c r="AZ2581">
        <v>-2.47E-3</v>
      </c>
      <c r="BA2581">
        <v>2.0400000000000001E-3</v>
      </c>
      <c r="BB2581">
        <v>-1.2E-4</v>
      </c>
      <c r="BC2581">
        <v>3.4180000000000002E-2</v>
      </c>
      <c r="BD2581">
        <v>1</v>
      </c>
      <c r="BE2581" t="s">
        <v>69</v>
      </c>
      <c r="BF2581">
        <v>-0.54700000000000004</v>
      </c>
      <c r="BG2581">
        <v>-0.53100000000000003</v>
      </c>
    </row>
    <row r="2582" spans="1:59">
      <c r="A2582">
        <v>0</v>
      </c>
      <c r="B2582">
        <v>3</v>
      </c>
      <c r="C2582">
        <v>0</v>
      </c>
      <c r="D2582" t="s">
        <v>25022</v>
      </c>
      <c r="E2582">
        <v>1114</v>
      </c>
      <c r="F2582" t="s">
        <v>7004</v>
      </c>
      <c r="G2582" t="s">
        <v>57</v>
      </c>
      <c r="H2582">
        <v>1157237</v>
      </c>
      <c r="I2582">
        <v>1159078</v>
      </c>
      <c r="J2582" t="s">
        <v>7005</v>
      </c>
      <c r="K2582">
        <v>614</v>
      </c>
      <c r="L2582" t="s">
        <v>108</v>
      </c>
      <c r="M2582">
        <v>44</v>
      </c>
      <c r="N2582" t="str">
        <f>HYPERLINK("Gene1114-zp_tree_all.dnd", "Gene1114-tree")</f>
        <v>Gene1114-tree</v>
      </c>
      <c r="O2582">
        <v>7</v>
      </c>
      <c r="P2582">
        <v>8</v>
      </c>
      <c r="Q2582">
        <v>7</v>
      </c>
      <c r="R2582">
        <v>8</v>
      </c>
      <c r="S2582">
        <v>0.53332999999999997</v>
      </c>
      <c r="T2582" t="s">
        <v>152</v>
      </c>
      <c r="U2582" t="s">
        <v>136</v>
      </c>
      <c r="V2582" t="s">
        <v>62</v>
      </c>
      <c r="W2582" t="s">
        <v>62</v>
      </c>
      <c r="X2582">
        <v>1</v>
      </c>
      <c r="Y2582">
        <v>3</v>
      </c>
      <c r="Z2582">
        <v>8</v>
      </c>
      <c r="AA2582">
        <v>0.27272999999999997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9</v>
      </c>
      <c r="AK2582">
        <v>0</v>
      </c>
      <c r="AL2582">
        <v>15</v>
      </c>
      <c r="AM2582">
        <v>9</v>
      </c>
      <c r="AN2582">
        <v>77</v>
      </c>
      <c r="AO2582">
        <v>9</v>
      </c>
      <c r="AP2582">
        <v>54</v>
      </c>
      <c r="AQ2582">
        <v>2</v>
      </c>
      <c r="AR2582" t="s">
        <v>7006</v>
      </c>
      <c r="AS2582" t="s">
        <v>7007</v>
      </c>
      <c r="AT2582">
        <v>1.05</v>
      </c>
      <c r="AU2582" t="s">
        <v>65</v>
      </c>
      <c r="AV2582">
        <v>131</v>
      </c>
      <c r="AW2582">
        <v>11</v>
      </c>
      <c r="AX2582" t="s">
        <v>7008</v>
      </c>
      <c r="AY2582">
        <v>4.8770000000000001E-2</v>
      </c>
      <c r="AZ2582">
        <v>-1.4300000000000001E-3</v>
      </c>
      <c r="BA2582">
        <v>1.1000000000000001E-3</v>
      </c>
      <c r="BB2582">
        <v>-6.0000000000000002E-5</v>
      </c>
      <c r="BC2582">
        <v>2.2610000000000002E-2</v>
      </c>
      <c r="BD2582">
        <v>1</v>
      </c>
      <c r="BE2582" t="s">
        <v>69</v>
      </c>
      <c r="BF2582">
        <v>-8.1000000000000003E-2</v>
      </c>
      <c r="BG2582">
        <v>-0.98699999999999999</v>
      </c>
    </row>
    <row r="2583" spans="1:59">
      <c r="A2583">
        <v>0</v>
      </c>
      <c r="B2583">
        <v>10</v>
      </c>
      <c r="C2583">
        <v>3</v>
      </c>
      <c r="D2583" t="s">
        <v>25022</v>
      </c>
      <c r="E2583">
        <v>742</v>
      </c>
      <c r="F2583" t="s">
        <v>4602</v>
      </c>
      <c r="G2583" t="s">
        <v>57</v>
      </c>
      <c r="H2583">
        <v>770234</v>
      </c>
      <c r="I2583">
        <v>772093</v>
      </c>
      <c r="J2583" t="s">
        <v>4603</v>
      </c>
      <c r="K2583">
        <v>620</v>
      </c>
      <c r="L2583" t="s">
        <v>3401</v>
      </c>
      <c r="M2583">
        <v>42</v>
      </c>
      <c r="N2583" t="str">
        <f>HYPERLINK("Gene742-zp_tree_all.dnd", "Gene742-tree")</f>
        <v>Gene742-tree</v>
      </c>
      <c r="O2583">
        <v>5</v>
      </c>
      <c r="P2583">
        <v>29</v>
      </c>
      <c r="Q2583">
        <v>5</v>
      </c>
      <c r="R2583">
        <v>12</v>
      </c>
      <c r="S2583">
        <v>0.70587999999999995</v>
      </c>
      <c r="T2583" t="s">
        <v>199</v>
      </c>
      <c r="U2583" t="s">
        <v>1455</v>
      </c>
      <c r="V2583">
        <v>1.8779999999999999</v>
      </c>
      <c r="W2583" t="s">
        <v>65</v>
      </c>
      <c r="X2583">
        <v>5</v>
      </c>
      <c r="Y2583">
        <v>13</v>
      </c>
      <c r="Z2583">
        <v>35</v>
      </c>
      <c r="AA2583">
        <v>0.27083000000000002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32</v>
      </c>
      <c r="AK2583">
        <v>0</v>
      </c>
      <c r="AL2583">
        <v>16</v>
      </c>
      <c r="AM2583">
        <v>14</v>
      </c>
      <c r="AN2583">
        <v>95</v>
      </c>
      <c r="AO2583">
        <v>32</v>
      </c>
      <c r="AP2583">
        <v>43</v>
      </c>
      <c r="AQ2583">
        <v>16</v>
      </c>
      <c r="AR2583" t="s">
        <v>4604</v>
      </c>
      <c r="AS2583" t="s">
        <v>4605</v>
      </c>
      <c r="AT2583">
        <v>0.15</v>
      </c>
      <c r="AU2583" t="s">
        <v>65</v>
      </c>
      <c r="AV2583">
        <v>138</v>
      </c>
      <c r="AW2583">
        <v>48</v>
      </c>
      <c r="AX2583" t="s">
        <v>4606</v>
      </c>
      <c r="AY2583">
        <v>4.7640000000000002E-2</v>
      </c>
      <c r="AZ2583">
        <v>-2.2599999999999999E-3</v>
      </c>
      <c r="BA2583">
        <v>5.6699999999999997E-3</v>
      </c>
      <c r="BB2583">
        <v>-1.9000000000000001E-4</v>
      </c>
      <c r="BC2583">
        <v>0.11898</v>
      </c>
      <c r="BD2583">
        <v>1</v>
      </c>
      <c r="BE2583" t="s">
        <v>69</v>
      </c>
      <c r="BF2583">
        <v>-1.161</v>
      </c>
      <c r="BG2583">
        <v>-1.976</v>
      </c>
    </row>
    <row r="2584" spans="1:59">
      <c r="A2584">
        <v>0</v>
      </c>
      <c r="B2584">
        <v>45</v>
      </c>
      <c r="C2584">
        <v>4</v>
      </c>
      <c r="D2584" t="s">
        <v>25022</v>
      </c>
      <c r="E2584">
        <v>4104</v>
      </c>
      <c r="F2584" t="s">
        <v>24169</v>
      </c>
      <c r="G2584" t="s">
        <v>62</v>
      </c>
      <c r="H2584">
        <v>4068553</v>
      </c>
      <c r="I2584">
        <v>4070418</v>
      </c>
      <c r="J2584" t="s">
        <v>24170</v>
      </c>
      <c r="K2584">
        <v>622</v>
      </c>
      <c r="L2584" t="s">
        <v>24171</v>
      </c>
      <c r="M2584">
        <v>43</v>
      </c>
      <c r="N2584" t="str">
        <f>HYPERLINK("Gene4104-zp_tree_all.dnd", "Gene4104-tree")</f>
        <v>Gene4104-tree</v>
      </c>
      <c r="O2584">
        <v>7</v>
      </c>
      <c r="P2584">
        <v>11</v>
      </c>
      <c r="Q2584">
        <v>7</v>
      </c>
      <c r="R2584">
        <v>11</v>
      </c>
      <c r="S2584">
        <v>0.61111000000000004</v>
      </c>
      <c r="T2584" t="s">
        <v>152</v>
      </c>
      <c r="U2584" t="s">
        <v>73</v>
      </c>
      <c r="V2584">
        <v>65406436.016999997</v>
      </c>
      <c r="W2584" t="s">
        <v>267</v>
      </c>
      <c r="X2584">
        <v>18</v>
      </c>
      <c r="Y2584">
        <v>49</v>
      </c>
      <c r="Z2584">
        <v>20</v>
      </c>
      <c r="AA2584">
        <v>0.71013999999999999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8</v>
      </c>
      <c r="AH2584">
        <v>2</v>
      </c>
      <c r="AI2584">
        <v>10</v>
      </c>
      <c r="AJ2584">
        <v>16</v>
      </c>
      <c r="AK2584">
        <v>0.38462000000000002</v>
      </c>
      <c r="AL2584">
        <v>17</v>
      </c>
      <c r="AM2584">
        <v>15</v>
      </c>
      <c r="AN2584">
        <v>130</v>
      </c>
      <c r="AO2584">
        <v>26</v>
      </c>
      <c r="AP2584">
        <v>100</v>
      </c>
      <c r="AQ2584">
        <v>48</v>
      </c>
      <c r="AR2584" t="s">
        <v>24172</v>
      </c>
      <c r="AS2584" t="s">
        <v>24173</v>
      </c>
      <c r="AT2584">
        <v>0.61799999999999999</v>
      </c>
      <c r="AU2584" t="s">
        <v>65</v>
      </c>
      <c r="AV2584">
        <v>230</v>
      </c>
      <c r="AW2584">
        <v>74</v>
      </c>
      <c r="AX2584" t="s">
        <v>24174</v>
      </c>
      <c r="AY2584">
        <v>7.8060000000000004E-2</v>
      </c>
      <c r="AZ2584">
        <v>-3.1900000000000001E-3</v>
      </c>
      <c r="BA2584">
        <v>8.4200000000000004E-3</v>
      </c>
      <c r="BB2584">
        <v>-4.8000000000000001E-4</v>
      </c>
      <c r="BC2584">
        <v>0.10783</v>
      </c>
      <c r="BD2584">
        <v>1</v>
      </c>
      <c r="BE2584" t="s">
        <v>69</v>
      </c>
      <c r="BF2584">
        <v>-1.294</v>
      </c>
      <c r="BG2584">
        <v>-1.714</v>
      </c>
    </row>
    <row r="2585" spans="1:59">
      <c r="A2585">
        <v>0</v>
      </c>
      <c r="B2585">
        <v>4</v>
      </c>
      <c r="C2585">
        <v>0</v>
      </c>
      <c r="D2585" t="s">
        <v>25022</v>
      </c>
      <c r="E2585">
        <v>1550</v>
      </c>
      <c r="F2585" t="s">
        <v>9690</v>
      </c>
      <c r="G2585" t="s">
        <v>57</v>
      </c>
      <c r="H2585">
        <v>1561569</v>
      </c>
      <c r="I2585">
        <v>1563434</v>
      </c>
      <c r="J2585" t="s">
        <v>9691</v>
      </c>
      <c r="K2585">
        <v>622</v>
      </c>
      <c r="L2585" t="s">
        <v>265</v>
      </c>
      <c r="M2585">
        <v>43</v>
      </c>
      <c r="N2585" t="str">
        <f>HYPERLINK("Gene1550-zp_tree_all.dnd", "Gene1550-tree")</f>
        <v>Gene1550-tree</v>
      </c>
      <c r="O2585">
        <v>10</v>
      </c>
      <c r="P2585">
        <v>5</v>
      </c>
      <c r="Q2585">
        <v>10</v>
      </c>
      <c r="R2585">
        <v>5</v>
      </c>
      <c r="S2585">
        <v>0.33333000000000002</v>
      </c>
      <c r="T2585" t="s">
        <v>117</v>
      </c>
      <c r="U2585" t="s">
        <v>199</v>
      </c>
      <c r="V2585" t="s">
        <v>62</v>
      </c>
      <c r="W2585" t="s">
        <v>62</v>
      </c>
      <c r="X2585">
        <v>2</v>
      </c>
      <c r="Y2585">
        <v>4</v>
      </c>
      <c r="Z2585">
        <v>4</v>
      </c>
      <c r="AA2585">
        <v>0.5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</v>
      </c>
      <c r="AH2585">
        <v>0</v>
      </c>
      <c r="AI2585">
        <v>2</v>
      </c>
      <c r="AJ2585">
        <v>4</v>
      </c>
      <c r="AK2585">
        <v>0.33333000000000002</v>
      </c>
      <c r="AL2585">
        <v>14</v>
      </c>
      <c r="AM2585">
        <v>10</v>
      </c>
      <c r="AN2585">
        <v>48</v>
      </c>
      <c r="AO2585">
        <v>6</v>
      </c>
      <c r="AP2585">
        <v>46</v>
      </c>
      <c r="AQ2585">
        <v>2</v>
      </c>
      <c r="AR2585" t="s">
        <v>9692</v>
      </c>
      <c r="AS2585" t="s">
        <v>9693</v>
      </c>
      <c r="AT2585">
        <v>0.624</v>
      </c>
      <c r="AU2585" t="s">
        <v>65</v>
      </c>
      <c r="AV2585">
        <v>94</v>
      </c>
      <c r="AW2585">
        <v>8</v>
      </c>
      <c r="AX2585" t="s">
        <v>9694</v>
      </c>
      <c r="AY2585">
        <v>3.925E-2</v>
      </c>
      <c r="AZ2585">
        <v>-2.1900000000000001E-3</v>
      </c>
      <c r="BA2585">
        <v>7.2999999999999996E-4</v>
      </c>
      <c r="BB2585">
        <v>-8.0000000000000007E-5</v>
      </c>
      <c r="BC2585">
        <v>1.847E-2</v>
      </c>
      <c r="BD2585">
        <v>1</v>
      </c>
      <c r="BE2585" t="s">
        <v>69</v>
      </c>
      <c r="BF2585">
        <v>-0.73099999999999998</v>
      </c>
      <c r="BG2585">
        <v>-0.86</v>
      </c>
    </row>
    <row r="2586" spans="1:59">
      <c r="A2586">
        <v>0</v>
      </c>
      <c r="B2586">
        <v>5</v>
      </c>
      <c r="C2586">
        <v>0</v>
      </c>
      <c r="D2586" t="s">
        <v>25022</v>
      </c>
      <c r="E2586">
        <v>4123</v>
      </c>
      <c r="F2586" t="s">
        <v>24298</v>
      </c>
      <c r="G2586" t="s">
        <v>62</v>
      </c>
      <c r="H2586">
        <v>4089432</v>
      </c>
      <c r="I2586">
        <v>4091309</v>
      </c>
      <c r="J2586" t="s">
        <v>24299</v>
      </c>
      <c r="K2586">
        <v>626</v>
      </c>
      <c r="L2586" t="s">
        <v>108</v>
      </c>
      <c r="M2586">
        <v>44</v>
      </c>
      <c r="N2586" t="str">
        <f>HYPERLINK("Gene4123-zp_tree_all.dnd", "Gene4123-tree")</f>
        <v>Gene4123-tree</v>
      </c>
      <c r="O2586">
        <v>9</v>
      </c>
      <c r="P2586">
        <v>6</v>
      </c>
      <c r="Q2586">
        <v>9</v>
      </c>
      <c r="R2586">
        <v>6</v>
      </c>
      <c r="S2586">
        <v>0.4</v>
      </c>
      <c r="T2586" t="s">
        <v>135</v>
      </c>
      <c r="U2586" t="s">
        <v>90</v>
      </c>
      <c r="V2586" t="s">
        <v>62</v>
      </c>
      <c r="W2586" t="s">
        <v>62</v>
      </c>
      <c r="X2586">
        <v>2</v>
      </c>
      <c r="Y2586">
        <v>5</v>
      </c>
      <c r="Z2586">
        <v>10</v>
      </c>
      <c r="AA2586">
        <v>0.33333000000000002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</v>
      </c>
      <c r="AH2586">
        <v>0</v>
      </c>
      <c r="AI2586">
        <v>2</v>
      </c>
      <c r="AJ2586">
        <v>9</v>
      </c>
      <c r="AK2586">
        <v>0.18182000000000001</v>
      </c>
      <c r="AL2586">
        <v>13</v>
      </c>
      <c r="AM2586">
        <v>11</v>
      </c>
      <c r="AN2586">
        <v>57</v>
      </c>
      <c r="AO2586">
        <v>11</v>
      </c>
      <c r="AP2586">
        <v>46</v>
      </c>
      <c r="AQ2586">
        <v>4</v>
      </c>
      <c r="AR2586" t="s">
        <v>24300</v>
      </c>
      <c r="AS2586" t="s">
        <v>24301</v>
      </c>
      <c r="AT2586">
        <v>0.57499999999999996</v>
      </c>
      <c r="AU2586" t="s">
        <v>65</v>
      </c>
      <c r="AV2586">
        <v>103</v>
      </c>
      <c r="AW2586">
        <v>15</v>
      </c>
      <c r="AX2586" t="s">
        <v>24302</v>
      </c>
      <c r="AY2586">
        <v>4.675E-2</v>
      </c>
      <c r="AZ2586">
        <v>-1.6900000000000001E-3</v>
      </c>
      <c r="BA2586">
        <v>1.73E-3</v>
      </c>
      <c r="BB2586">
        <v>-1.2999999999999999E-4</v>
      </c>
      <c r="BC2586">
        <v>3.7039999999999997E-2</v>
      </c>
      <c r="BD2586">
        <v>1</v>
      </c>
      <c r="BE2586" t="s">
        <v>69</v>
      </c>
      <c r="BF2586">
        <v>-0.84399999999999997</v>
      </c>
      <c r="BG2586">
        <v>-1.3129999999999999</v>
      </c>
    </row>
    <row r="2587" spans="1:59">
      <c r="A2587">
        <v>0</v>
      </c>
      <c r="B2587">
        <v>17</v>
      </c>
      <c r="C2587">
        <v>3</v>
      </c>
      <c r="D2587" t="s">
        <v>25022</v>
      </c>
      <c r="E2587">
        <v>1766</v>
      </c>
      <c r="F2587" t="s">
        <v>11059</v>
      </c>
      <c r="G2587" t="s">
        <v>57</v>
      </c>
      <c r="H2587">
        <v>1778337</v>
      </c>
      <c r="I2587">
        <v>1780217</v>
      </c>
      <c r="J2587" t="s">
        <v>11060</v>
      </c>
      <c r="K2587">
        <v>627</v>
      </c>
      <c r="L2587" t="s">
        <v>108</v>
      </c>
      <c r="M2587">
        <v>44</v>
      </c>
      <c r="N2587" t="str">
        <f>HYPERLINK("Gene1766-zp_tree_all.dnd", "Gene1766-tree")</f>
        <v>Gene1766-tree</v>
      </c>
      <c r="O2587">
        <v>3</v>
      </c>
      <c r="P2587">
        <v>31</v>
      </c>
      <c r="Q2587">
        <v>3</v>
      </c>
      <c r="R2587">
        <v>11</v>
      </c>
      <c r="S2587">
        <v>0.78571000000000002</v>
      </c>
      <c r="T2587" t="s">
        <v>324</v>
      </c>
      <c r="U2587" t="s">
        <v>2860</v>
      </c>
      <c r="V2587">
        <v>1.2549999999999999</v>
      </c>
      <c r="W2587" t="s">
        <v>65</v>
      </c>
      <c r="X2587">
        <v>9</v>
      </c>
      <c r="Y2587">
        <v>20</v>
      </c>
      <c r="Z2587">
        <v>18</v>
      </c>
      <c r="AA2587">
        <v>0.52632000000000001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8</v>
      </c>
      <c r="AH2587">
        <v>0</v>
      </c>
      <c r="AI2587">
        <v>8</v>
      </c>
      <c r="AJ2587">
        <v>15</v>
      </c>
      <c r="AK2587">
        <v>0.34782999999999997</v>
      </c>
      <c r="AL2587">
        <v>13</v>
      </c>
      <c r="AM2587">
        <v>11</v>
      </c>
      <c r="AN2587">
        <v>60</v>
      </c>
      <c r="AO2587">
        <v>20</v>
      </c>
      <c r="AP2587">
        <v>46</v>
      </c>
      <c r="AQ2587">
        <v>19</v>
      </c>
      <c r="AR2587" t="s">
        <v>11061</v>
      </c>
      <c r="AS2587" t="s">
        <v>11062</v>
      </c>
      <c r="AT2587">
        <v>0.42</v>
      </c>
      <c r="AU2587" t="s">
        <v>65</v>
      </c>
      <c r="AV2587">
        <v>106</v>
      </c>
      <c r="AW2587">
        <v>39</v>
      </c>
      <c r="AX2587" t="s">
        <v>11063</v>
      </c>
      <c r="AY2587">
        <v>4.7359999999999999E-2</v>
      </c>
      <c r="AZ2587">
        <v>-1.65E-3</v>
      </c>
      <c r="BA2587">
        <v>5.9699999999999996E-3</v>
      </c>
      <c r="BB2587">
        <v>-2.7E-4</v>
      </c>
      <c r="BC2587">
        <v>0.12615000000000001</v>
      </c>
      <c r="BD2587">
        <v>1</v>
      </c>
      <c r="BE2587" t="s">
        <v>69</v>
      </c>
      <c r="BF2587">
        <v>0.72799999999999998</v>
      </c>
      <c r="BG2587">
        <v>-0.54700000000000004</v>
      </c>
    </row>
    <row r="2588" spans="1:59">
      <c r="A2588">
        <v>0</v>
      </c>
      <c r="B2588">
        <v>13</v>
      </c>
      <c r="C2588">
        <v>0</v>
      </c>
      <c r="D2588" t="s">
        <v>25022</v>
      </c>
      <c r="E2588">
        <v>3214</v>
      </c>
      <c r="F2588" t="s">
        <v>18722</v>
      </c>
      <c r="G2588" t="s">
        <v>62</v>
      </c>
      <c r="H2588">
        <v>3169766</v>
      </c>
      <c r="I2588">
        <v>3171646</v>
      </c>
      <c r="J2588" t="s">
        <v>18723</v>
      </c>
      <c r="K2588">
        <v>627</v>
      </c>
      <c r="L2588" t="s">
        <v>108</v>
      </c>
      <c r="M2588">
        <v>44</v>
      </c>
      <c r="N2588" t="str">
        <f>HYPERLINK("Gene3214-zp_tree_all.dnd", "Gene3214-tree")</f>
        <v>Gene3214-tree</v>
      </c>
      <c r="O2588">
        <v>3</v>
      </c>
      <c r="P2588">
        <v>13</v>
      </c>
      <c r="Q2588">
        <v>3</v>
      </c>
      <c r="R2588">
        <v>13</v>
      </c>
      <c r="S2588">
        <v>0.8125</v>
      </c>
      <c r="T2588" t="s">
        <v>324</v>
      </c>
      <c r="U2588" t="s">
        <v>507</v>
      </c>
      <c r="V2588" t="s">
        <v>62</v>
      </c>
      <c r="W2588" t="s">
        <v>62</v>
      </c>
      <c r="X2588">
        <v>4</v>
      </c>
      <c r="Y2588">
        <v>13</v>
      </c>
      <c r="Z2588">
        <v>24</v>
      </c>
      <c r="AA2588">
        <v>0.35135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4</v>
      </c>
      <c r="AH2588">
        <v>0</v>
      </c>
      <c r="AI2588">
        <v>4</v>
      </c>
      <c r="AJ2588">
        <v>25</v>
      </c>
      <c r="AK2588">
        <v>0.13793</v>
      </c>
      <c r="AL2588">
        <v>14</v>
      </c>
      <c r="AM2588">
        <v>12</v>
      </c>
      <c r="AN2588">
        <v>54</v>
      </c>
      <c r="AO2588">
        <v>28</v>
      </c>
      <c r="AP2588">
        <v>19</v>
      </c>
      <c r="AQ2588">
        <v>9</v>
      </c>
      <c r="AR2588" t="s">
        <v>18724</v>
      </c>
      <c r="AS2588" t="s">
        <v>18725</v>
      </c>
      <c r="AT2588">
        <v>0.154</v>
      </c>
      <c r="AU2588" t="s">
        <v>65</v>
      </c>
      <c r="AV2588">
        <v>73</v>
      </c>
      <c r="AW2588">
        <v>37</v>
      </c>
      <c r="AX2588" t="s">
        <v>18726</v>
      </c>
      <c r="AY2588">
        <v>2.828E-2</v>
      </c>
      <c r="AZ2588">
        <v>-1.09E-3</v>
      </c>
      <c r="BA2588">
        <v>3.3899999999999998E-3</v>
      </c>
      <c r="BB2588">
        <v>-1.2999999999999999E-4</v>
      </c>
      <c r="BC2588">
        <v>0.11998</v>
      </c>
      <c r="BD2588">
        <v>1</v>
      </c>
      <c r="BE2588" t="s">
        <v>69</v>
      </c>
      <c r="BF2588">
        <v>-0.621</v>
      </c>
      <c r="BG2588">
        <v>-1.7270000000000001</v>
      </c>
    </row>
    <row r="2589" spans="1:59">
      <c r="A2589">
        <v>0</v>
      </c>
      <c r="B2589">
        <v>0</v>
      </c>
      <c r="C2589">
        <v>0</v>
      </c>
      <c r="D2589" t="s">
        <v>25022</v>
      </c>
      <c r="E2589">
        <v>4253</v>
      </c>
      <c r="F2589" t="s">
        <v>24982</v>
      </c>
      <c r="G2589" t="s">
        <v>62</v>
      </c>
      <c r="H2589">
        <v>4209606</v>
      </c>
      <c r="I2589">
        <v>4211489</v>
      </c>
      <c r="J2589" t="s">
        <v>24983</v>
      </c>
      <c r="K2589">
        <v>628</v>
      </c>
      <c r="L2589" t="s">
        <v>59</v>
      </c>
      <c r="M2589">
        <v>49</v>
      </c>
      <c r="N2589" t="str">
        <f>HYPERLINK("Gene4253-zp_tree_all.dnd", "Gene4253-tree")</f>
        <v>Gene4253-tree</v>
      </c>
      <c r="O2589">
        <v>16</v>
      </c>
      <c r="P2589">
        <v>4</v>
      </c>
      <c r="Q2589">
        <v>16</v>
      </c>
      <c r="R2589">
        <v>4</v>
      </c>
      <c r="S2589">
        <v>0.2</v>
      </c>
      <c r="T2589" t="s">
        <v>60</v>
      </c>
      <c r="U2589" t="s">
        <v>61</v>
      </c>
      <c r="V2589" t="s">
        <v>62</v>
      </c>
      <c r="W2589" t="s">
        <v>62</v>
      </c>
      <c r="X2589">
        <v>0</v>
      </c>
      <c r="Y2589">
        <v>0</v>
      </c>
      <c r="Z2589">
        <v>8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6</v>
      </c>
      <c r="AK2589">
        <v>0</v>
      </c>
      <c r="AL2589">
        <v>18</v>
      </c>
      <c r="AM2589">
        <v>17</v>
      </c>
      <c r="AN2589">
        <v>101</v>
      </c>
      <c r="AO2589">
        <v>6</v>
      </c>
      <c r="AP2589">
        <v>138</v>
      </c>
      <c r="AQ2589">
        <v>2</v>
      </c>
      <c r="AR2589" t="s">
        <v>24984</v>
      </c>
      <c r="AS2589" t="s">
        <v>24985</v>
      </c>
      <c r="AT2589">
        <v>0.42599999999999999</v>
      </c>
      <c r="AU2589" t="s">
        <v>65</v>
      </c>
      <c r="AV2589">
        <v>239</v>
      </c>
      <c r="AW2589">
        <v>8</v>
      </c>
      <c r="AX2589" t="s">
        <v>24986</v>
      </c>
      <c r="AY2589">
        <v>0.10471999999999999</v>
      </c>
      <c r="AZ2589">
        <v>-5.2599999999999999E-3</v>
      </c>
      <c r="BA2589">
        <v>8.0999999999999996E-4</v>
      </c>
      <c r="BB2589">
        <v>-6.0000000000000002E-5</v>
      </c>
      <c r="BC2589">
        <v>7.7400000000000004E-3</v>
      </c>
      <c r="BD2589">
        <v>1</v>
      </c>
      <c r="BE2589" t="s">
        <v>69</v>
      </c>
      <c r="BF2589">
        <v>-1.1579999999999999</v>
      </c>
      <c r="BG2589">
        <v>-1.3129999999999999</v>
      </c>
    </row>
    <row r="2590" spans="1:59">
      <c r="A2590">
        <v>0</v>
      </c>
      <c r="B2590">
        <v>16</v>
      </c>
      <c r="C2590">
        <v>1</v>
      </c>
      <c r="D2590" t="s">
        <v>25022</v>
      </c>
      <c r="E2590">
        <v>774</v>
      </c>
      <c r="F2590" t="s">
        <v>4810</v>
      </c>
      <c r="G2590" t="s">
        <v>57</v>
      </c>
      <c r="H2590">
        <v>809557</v>
      </c>
      <c r="I2590">
        <v>811443</v>
      </c>
      <c r="J2590" t="s">
        <v>4811</v>
      </c>
      <c r="K2590">
        <v>629</v>
      </c>
      <c r="L2590" t="s">
        <v>108</v>
      </c>
      <c r="M2590">
        <v>44</v>
      </c>
      <c r="N2590" t="str">
        <f>HYPERLINK("Gene774-zp_tree_all.dnd", "Gene774-tree")</f>
        <v>Gene774-tree</v>
      </c>
      <c r="O2590">
        <v>4</v>
      </c>
      <c r="P2590">
        <v>9</v>
      </c>
      <c r="Q2590">
        <v>4</v>
      </c>
      <c r="R2590">
        <v>9</v>
      </c>
      <c r="S2590">
        <v>0.69230999999999998</v>
      </c>
      <c r="T2590" t="s">
        <v>61</v>
      </c>
      <c r="U2590" t="s">
        <v>135</v>
      </c>
      <c r="V2590" t="s">
        <v>62</v>
      </c>
      <c r="W2590" t="s">
        <v>62</v>
      </c>
      <c r="X2590">
        <v>6</v>
      </c>
      <c r="Y2590">
        <v>17</v>
      </c>
      <c r="Z2590">
        <v>14</v>
      </c>
      <c r="AA2590">
        <v>0.54839000000000004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8</v>
      </c>
      <c r="AH2590">
        <v>1</v>
      </c>
      <c r="AI2590">
        <v>9</v>
      </c>
      <c r="AJ2590">
        <v>13</v>
      </c>
      <c r="AK2590">
        <v>0.40909000000000001</v>
      </c>
      <c r="AL2590">
        <v>12</v>
      </c>
      <c r="AM2590">
        <v>9</v>
      </c>
      <c r="AN2590">
        <v>54</v>
      </c>
      <c r="AO2590">
        <v>22</v>
      </c>
      <c r="AP2590">
        <v>28</v>
      </c>
      <c r="AQ2590">
        <v>9</v>
      </c>
      <c r="AR2590" t="s">
        <v>4812</v>
      </c>
      <c r="AS2590" t="s">
        <v>4813</v>
      </c>
      <c r="AT2590">
        <v>0.38100000000000001</v>
      </c>
      <c r="AU2590" t="s">
        <v>65</v>
      </c>
      <c r="AV2590">
        <v>82</v>
      </c>
      <c r="AW2590">
        <v>31</v>
      </c>
      <c r="AX2590" t="s">
        <v>4814</v>
      </c>
      <c r="AY2590">
        <v>3.7620000000000001E-2</v>
      </c>
      <c r="AZ2590">
        <v>-1.7600000000000001E-3</v>
      </c>
      <c r="BA2590">
        <v>3.3300000000000001E-3</v>
      </c>
      <c r="BB2590">
        <v>-1.3999999999999999E-4</v>
      </c>
      <c r="BC2590">
        <v>8.8410000000000002E-2</v>
      </c>
      <c r="BD2590">
        <v>1</v>
      </c>
      <c r="BE2590" t="s">
        <v>69</v>
      </c>
      <c r="BF2590">
        <v>-0.51500000000000001</v>
      </c>
      <c r="BG2590">
        <v>-2.077</v>
      </c>
    </row>
    <row r="2591" spans="1:59">
      <c r="A2591">
        <v>2</v>
      </c>
      <c r="B2591">
        <v>54</v>
      </c>
      <c r="C2591">
        <v>8</v>
      </c>
      <c r="D2591" t="s">
        <v>25022</v>
      </c>
      <c r="E2591">
        <v>3482</v>
      </c>
      <c r="F2591" t="s">
        <v>20402</v>
      </c>
      <c r="G2591" t="s">
        <v>62</v>
      </c>
      <c r="H2591">
        <v>3446240</v>
      </c>
      <c r="I2591">
        <v>3448132</v>
      </c>
      <c r="J2591" t="s">
        <v>3095</v>
      </c>
      <c r="K2591">
        <v>631</v>
      </c>
      <c r="L2591" t="s">
        <v>1933</v>
      </c>
      <c r="M2591">
        <v>39</v>
      </c>
      <c r="N2591" t="str">
        <f>HYPERLINK("Gene3482-zp_tree_all.dnd", "Gene3482-tree")</f>
        <v>Gene3482-tree</v>
      </c>
      <c r="O2591">
        <v>1</v>
      </c>
      <c r="P2591">
        <v>13</v>
      </c>
      <c r="Q2591">
        <v>1</v>
      </c>
      <c r="R2591">
        <v>13</v>
      </c>
      <c r="S2591">
        <v>0.92857000000000001</v>
      </c>
      <c r="T2591" t="s">
        <v>175</v>
      </c>
      <c r="U2591" t="s">
        <v>507</v>
      </c>
      <c r="V2591" t="s">
        <v>62</v>
      </c>
      <c r="W2591" t="s">
        <v>62</v>
      </c>
      <c r="X2591">
        <v>25</v>
      </c>
      <c r="Y2591">
        <v>64</v>
      </c>
      <c r="Z2591">
        <v>26</v>
      </c>
      <c r="AA2591">
        <v>0.71111000000000002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15</v>
      </c>
      <c r="AH2591">
        <v>6</v>
      </c>
      <c r="AI2591">
        <v>21</v>
      </c>
      <c r="AJ2591">
        <v>31</v>
      </c>
      <c r="AK2591">
        <v>0.40384999999999999</v>
      </c>
      <c r="AL2591">
        <v>14</v>
      </c>
      <c r="AM2591">
        <v>11</v>
      </c>
      <c r="AN2591">
        <v>109</v>
      </c>
      <c r="AO2591">
        <v>54</v>
      </c>
      <c r="AP2591">
        <v>64</v>
      </c>
      <c r="AQ2591">
        <v>40</v>
      </c>
      <c r="AR2591" t="s">
        <v>20403</v>
      </c>
      <c r="AS2591" t="s">
        <v>20404</v>
      </c>
      <c r="AT2591">
        <v>0.72399999999999998</v>
      </c>
      <c r="AU2591" t="s">
        <v>65</v>
      </c>
      <c r="AV2591">
        <v>173</v>
      </c>
      <c r="AW2591">
        <v>94</v>
      </c>
      <c r="AX2591" t="s">
        <v>20405</v>
      </c>
      <c r="AY2591">
        <v>6.4710000000000004E-2</v>
      </c>
      <c r="AZ2591">
        <v>-2.1299999999999999E-3</v>
      </c>
      <c r="BA2591">
        <v>1.129E-2</v>
      </c>
      <c r="BB2591">
        <v>-3.8000000000000002E-4</v>
      </c>
      <c r="BC2591">
        <v>0.17449999999999999</v>
      </c>
      <c r="BD2591">
        <v>1</v>
      </c>
      <c r="BE2591" t="s">
        <v>69</v>
      </c>
      <c r="BF2591">
        <v>-0.52200000000000002</v>
      </c>
      <c r="BG2591">
        <v>-1.4419999999999999</v>
      </c>
    </row>
    <row r="2592" spans="1:59">
      <c r="A2592">
        <v>0</v>
      </c>
      <c r="B2592">
        <v>5</v>
      </c>
      <c r="C2592">
        <v>0</v>
      </c>
      <c r="D2592" t="s">
        <v>25022</v>
      </c>
      <c r="E2592">
        <v>932</v>
      </c>
      <c r="F2592" t="s">
        <v>5834</v>
      </c>
      <c r="G2592" t="s">
        <v>57</v>
      </c>
      <c r="H2592">
        <v>973156</v>
      </c>
      <c r="I2592">
        <v>975048</v>
      </c>
      <c r="J2592" t="s">
        <v>5835</v>
      </c>
      <c r="K2592">
        <v>631</v>
      </c>
      <c r="L2592" t="s">
        <v>125</v>
      </c>
      <c r="M2592">
        <v>48</v>
      </c>
      <c r="N2592" t="str">
        <f>HYPERLINK("Gene932-zp_tree_all.dnd", "Gene932-tree")</f>
        <v>Gene932-tree</v>
      </c>
      <c r="O2592">
        <v>12</v>
      </c>
      <c r="P2592">
        <v>4</v>
      </c>
      <c r="Q2592">
        <v>12</v>
      </c>
      <c r="R2592">
        <v>4</v>
      </c>
      <c r="S2592">
        <v>0.25</v>
      </c>
      <c r="T2592" t="s">
        <v>109</v>
      </c>
      <c r="U2592" t="s">
        <v>61</v>
      </c>
      <c r="V2592" t="s">
        <v>62</v>
      </c>
      <c r="W2592" t="s">
        <v>62</v>
      </c>
      <c r="X2592">
        <v>2</v>
      </c>
      <c r="Y2592">
        <v>5</v>
      </c>
      <c r="Z2592">
        <v>4</v>
      </c>
      <c r="AA2592">
        <v>0.55556000000000005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</v>
      </c>
      <c r="AK2592">
        <v>0</v>
      </c>
      <c r="AL2592">
        <v>16</v>
      </c>
      <c r="AM2592">
        <v>12</v>
      </c>
      <c r="AN2592">
        <v>81</v>
      </c>
      <c r="AO2592">
        <v>5</v>
      </c>
      <c r="AP2592">
        <v>146</v>
      </c>
      <c r="AQ2592">
        <v>4</v>
      </c>
      <c r="AR2592" t="s">
        <v>5836</v>
      </c>
      <c r="AS2592" t="s">
        <v>5837</v>
      </c>
      <c r="AT2592">
        <v>0.55000000000000004</v>
      </c>
      <c r="AU2592" t="s">
        <v>65</v>
      </c>
      <c r="AV2592">
        <v>227</v>
      </c>
      <c r="AW2592">
        <v>9</v>
      </c>
      <c r="AX2592" t="s">
        <v>5838</v>
      </c>
      <c r="AY2592">
        <v>0.12740000000000001</v>
      </c>
      <c r="AZ2592">
        <v>-8.8900000000000003E-3</v>
      </c>
      <c r="BA2592">
        <v>8.4000000000000003E-4</v>
      </c>
      <c r="BB2592">
        <v>-6.9999999999999994E-5</v>
      </c>
      <c r="BC2592">
        <v>6.62E-3</v>
      </c>
      <c r="BD2592">
        <v>1</v>
      </c>
      <c r="BE2592" t="s">
        <v>69</v>
      </c>
      <c r="BF2592">
        <v>-1.1180000000000001</v>
      </c>
      <c r="BG2592">
        <v>0.23899999999999999</v>
      </c>
    </row>
    <row r="2593" spans="1:59">
      <c r="A2593">
        <v>0</v>
      </c>
      <c r="B2593">
        <v>2</v>
      </c>
      <c r="C2593">
        <v>2</v>
      </c>
      <c r="D2593" t="s">
        <v>25022</v>
      </c>
      <c r="E2593">
        <v>3170</v>
      </c>
      <c r="F2593" t="s">
        <v>18432</v>
      </c>
      <c r="G2593" t="s">
        <v>62</v>
      </c>
      <c r="H2593">
        <v>3125780</v>
      </c>
      <c r="I2593">
        <v>3127675</v>
      </c>
      <c r="J2593" t="s">
        <v>18433</v>
      </c>
      <c r="K2593">
        <v>632</v>
      </c>
      <c r="L2593" t="s">
        <v>59</v>
      </c>
      <c r="M2593">
        <v>49</v>
      </c>
      <c r="N2593" t="str">
        <f>HYPERLINK("Gene3170-zp_tree_all.dnd", "Gene3170-tree")</f>
        <v>Gene3170-tree</v>
      </c>
      <c r="O2593">
        <v>12</v>
      </c>
      <c r="P2593">
        <v>9</v>
      </c>
      <c r="Q2593">
        <v>12</v>
      </c>
      <c r="R2593">
        <v>9</v>
      </c>
      <c r="S2593">
        <v>0.42857000000000001</v>
      </c>
      <c r="T2593" t="s">
        <v>109</v>
      </c>
      <c r="U2593" t="s">
        <v>135</v>
      </c>
      <c r="V2593" t="s">
        <v>62</v>
      </c>
      <c r="W2593" t="s">
        <v>62</v>
      </c>
      <c r="X2593">
        <v>2</v>
      </c>
      <c r="Y2593">
        <v>4</v>
      </c>
      <c r="Z2593">
        <v>10</v>
      </c>
      <c r="AA2593">
        <v>0.28571000000000002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</v>
      </c>
      <c r="AH2593">
        <v>0</v>
      </c>
      <c r="AI2593">
        <v>2</v>
      </c>
      <c r="AJ2593">
        <v>9</v>
      </c>
      <c r="AK2593">
        <v>0.18182000000000001</v>
      </c>
      <c r="AL2593">
        <v>19</v>
      </c>
      <c r="AM2593">
        <v>15</v>
      </c>
      <c r="AN2593">
        <v>71</v>
      </c>
      <c r="AO2593">
        <v>10</v>
      </c>
      <c r="AP2593">
        <v>117</v>
      </c>
      <c r="AQ2593">
        <v>4</v>
      </c>
      <c r="AR2593" t="s">
        <v>18434</v>
      </c>
      <c r="AS2593" t="s">
        <v>18435</v>
      </c>
      <c r="AT2593">
        <v>1.177</v>
      </c>
      <c r="AU2593" t="s">
        <v>65</v>
      </c>
      <c r="AV2593">
        <v>188</v>
      </c>
      <c r="AW2593">
        <v>14</v>
      </c>
      <c r="AX2593" t="s">
        <v>18436</v>
      </c>
      <c r="AY2593">
        <v>9.2109999999999997E-2</v>
      </c>
      <c r="AZ2593">
        <v>-5.13E-3</v>
      </c>
      <c r="BA2593">
        <v>1.2600000000000001E-3</v>
      </c>
      <c r="BB2593">
        <v>-6.0000000000000002E-5</v>
      </c>
      <c r="BC2593">
        <v>1.372E-2</v>
      </c>
      <c r="BD2593">
        <v>1</v>
      </c>
      <c r="BE2593" t="s">
        <v>69</v>
      </c>
      <c r="BF2593">
        <v>-1.355</v>
      </c>
      <c r="BG2593">
        <v>-0.32300000000000001</v>
      </c>
    </row>
    <row r="2594" spans="1:59">
      <c r="A2594">
        <v>0</v>
      </c>
      <c r="B2594">
        <v>4</v>
      </c>
      <c r="C2594">
        <v>0</v>
      </c>
      <c r="D2594" t="s">
        <v>25022</v>
      </c>
      <c r="E2594">
        <v>2529</v>
      </c>
      <c r="F2594" t="s">
        <v>14769</v>
      </c>
      <c r="G2594" t="s">
        <v>62</v>
      </c>
      <c r="H2594">
        <v>2523716</v>
      </c>
      <c r="I2594">
        <v>2525614</v>
      </c>
      <c r="J2594" t="s">
        <v>14770</v>
      </c>
      <c r="K2594">
        <v>633</v>
      </c>
      <c r="L2594" t="s">
        <v>2803</v>
      </c>
      <c r="M2594">
        <v>45</v>
      </c>
      <c r="N2594" t="str">
        <f>HYPERLINK("Gene2529-zp_tree_all.dnd", "Gene2529-tree")</f>
        <v>Gene2529-tree</v>
      </c>
      <c r="O2594">
        <v>8</v>
      </c>
      <c r="P2594">
        <v>7</v>
      </c>
      <c r="Q2594">
        <v>8</v>
      </c>
      <c r="R2594">
        <v>7</v>
      </c>
      <c r="S2594">
        <v>0.46666999999999997</v>
      </c>
      <c r="T2594" t="s">
        <v>136</v>
      </c>
      <c r="U2594" t="s">
        <v>152</v>
      </c>
      <c r="V2594" t="s">
        <v>62</v>
      </c>
      <c r="W2594" t="s">
        <v>62</v>
      </c>
      <c r="X2594">
        <v>2</v>
      </c>
      <c r="Y2594">
        <v>4</v>
      </c>
      <c r="Z2594">
        <v>12</v>
      </c>
      <c r="AA2594">
        <v>0.25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13</v>
      </c>
      <c r="AK2594">
        <v>0</v>
      </c>
      <c r="AL2594">
        <v>13</v>
      </c>
      <c r="AM2594">
        <v>11</v>
      </c>
      <c r="AN2594">
        <v>118</v>
      </c>
      <c r="AO2594">
        <v>13</v>
      </c>
      <c r="AP2594">
        <v>35</v>
      </c>
      <c r="AQ2594">
        <v>4</v>
      </c>
      <c r="AR2594" t="s">
        <v>14771</v>
      </c>
      <c r="AS2594" t="s">
        <v>14772</v>
      </c>
      <c r="AT2594">
        <v>5.5E-2</v>
      </c>
      <c r="AU2594" t="s">
        <v>65</v>
      </c>
      <c r="AV2594">
        <v>153</v>
      </c>
      <c r="AW2594">
        <v>17</v>
      </c>
      <c r="AX2594" t="s">
        <v>14773</v>
      </c>
      <c r="AY2594">
        <v>5.9709999999999999E-2</v>
      </c>
      <c r="AZ2594">
        <v>-5.1799999999999997E-3</v>
      </c>
      <c r="BA2594">
        <v>1.64E-3</v>
      </c>
      <c r="BB2594">
        <v>-1.6000000000000001E-4</v>
      </c>
      <c r="BC2594">
        <v>2.7459999999999998E-2</v>
      </c>
      <c r="BD2594">
        <v>1</v>
      </c>
      <c r="BE2594" t="s">
        <v>69</v>
      </c>
      <c r="BF2594">
        <v>-1.74</v>
      </c>
      <c r="BG2594">
        <v>-4.7939999999999996</v>
      </c>
    </row>
    <row r="2595" spans="1:59">
      <c r="A2595">
        <v>0</v>
      </c>
      <c r="B2595">
        <v>5</v>
      </c>
      <c r="C2595">
        <v>0</v>
      </c>
      <c r="D2595" t="s">
        <v>25022</v>
      </c>
      <c r="E2595">
        <v>1497</v>
      </c>
      <c r="F2595" t="s">
        <v>9363</v>
      </c>
      <c r="G2595" t="s">
        <v>57</v>
      </c>
      <c r="H2595">
        <v>1509256</v>
      </c>
      <c r="I2595">
        <v>1511160</v>
      </c>
      <c r="J2595" t="s">
        <v>9364</v>
      </c>
      <c r="K2595">
        <v>635</v>
      </c>
      <c r="L2595" t="s">
        <v>9365</v>
      </c>
      <c r="M2595">
        <v>39</v>
      </c>
      <c r="N2595" t="str">
        <f>HYPERLINK("Gene1497-zp_tree_all.dnd", "Gene1497-tree")</f>
        <v>Gene1497-tree</v>
      </c>
      <c r="O2595">
        <v>6</v>
      </c>
      <c r="P2595">
        <v>6</v>
      </c>
      <c r="Q2595">
        <v>6</v>
      </c>
      <c r="R2595">
        <v>6</v>
      </c>
      <c r="S2595">
        <v>0.5</v>
      </c>
      <c r="T2595" t="s">
        <v>90</v>
      </c>
      <c r="U2595" t="s">
        <v>90</v>
      </c>
      <c r="V2595" t="s">
        <v>62</v>
      </c>
      <c r="W2595" t="s">
        <v>62</v>
      </c>
      <c r="X2595">
        <v>2</v>
      </c>
      <c r="Y2595">
        <v>5</v>
      </c>
      <c r="Z2595">
        <v>7</v>
      </c>
      <c r="AA2595">
        <v>0.41666999999999998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</v>
      </c>
      <c r="AH2595">
        <v>0</v>
      </c>
      <c r="AI2595">
        <v>2</v>
      </c>
      <c r="AJ2595">
        <v>7</v>
      </c>
      <c r="AK2595">
        <v>0.22222</v>
      </c>
      <c r="AL2595">
        <v>11</v>
      </c>
      <c r="AM2595">
        <v>9</v>
      </c>
      <c r="AN2595">
        <v>48</v>
      </c>
      <c r="AO2595">
        <v>9</v>
      </c>
      <c r="AP2595">
        <v>17</v>
      </c>
      <c r="AQ2595">
        <v>3</v>
      </c>
      <c r="AR2595" t="s">
        <v>9366</v>
      </c>
      <c r="AS2595" t="s">
        <v>9367</v>
      </c>
      <c r="AT2595">
        <v>5.7000000000000002E-2</v>
      </c>
      <c r="AU2595" t="s">
        <v>65</v>
      </c>
      <c r="AV2595">
        <v>65</v>
      </c>
      <c r="AW2595">
        <v>12</v>
      </c>
      <c r="AX2595" t="s">
        <v>9368</v>
      </c>
      <c r="AY2595">
        <v>3.0190000000000002E-2</v>
      </c>
      <c r="AZ2595">
        <v>-1.14E-3</v>
      </c>
      <c r="BA2595">
        <v>1.5200000000000001E-3</v>
      </c>
      <c r="BB2595">
        <v>-1.1E-4</v>
      </c>
      <c r="BC2595">
        <v>5.033E-2</v>
      </c>
      <c r="BD2595">
        <v>1</v>
      </c>
      <c r="BE2595" t="s">
        <v>69</v>
      </c>
      <c r="BF2595">
        <v>-1.1639999999999999</v>
      </c>
      <c r="BG2595">
        <v>-2.68</v>
      </c>
    </row>
    <row r="2596" spans="1:59">
      <c r="A2596">
        <v>0</v>
      </c>
      <c r="B2596">
        <v>12</v>
      </c>
      <c r="C2596">
        <v>0</v>
      </c>
      <c r="D2596" t="s">
        <v>25022</v>
      </c>
      <c r="E2596">
        <v>1440</v>
      </c>
      <c r="F2596" t="s">
        <v>9016</v>
      </c>
      <c r="G2596" t="s">
        <v>57</v>
      </c>
      <c r="H2596">
        <v>1451371</v>
      </c>
      <c r="I2596">
        <v>1453281</v>
      </c>
      <c r="J2596" t="s">
        <v>9017</v>
      </c>
      <c r="K2596">
        <v>637</v>
      </c>
      <c r="L2596" t="s">
        <v>108</v>
      </c>
      <c r="M2596">
        <v>44</v>
      </c>
      <c r="N2596" t="str">
        <f>HYPERLINK("Gene1440-zp_tree_all.dnd", "Gene1440-tree")</f>
        <v>Gene1440-tree</v>
      </c>
      <c r="O2596">
        <v>6</v>
      </c>
      <c r="P2596">
        <v>10</v>
      </c>
      <c r="Q2596">
        <v>6</v>
      </c>
      <c r="R2596">
        <v>10</v>
      </c>
      <c r="S2596">
        <v>0.625</v>
      </c>
      <c r="T2596" t="s">
        <v>90</v>
      </c>
      <c r="U2596" t="s">
        <v>117</v>
      </c>
      <c r="V2596" t="s">
        <v>62</v>
      </c>
      <c r="W2596" t="s">
        <v>62</v>
      </c>
      <c r="X2596">
        <v>6</v>
      </c>
      <c r="Y2596">
        <v>12</v>
      </c>
      <c r="Z2596">
        <v>19</v>
      </c>
      <c r="AA2596">
        <v>0.3871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19</v>
      </c>
      <c r="AK2596">
        <v>0</v>
      </c>
      <c r="AL2596">
        <v>15</v>
      </c>
      <c r="AM2596">
        <v>12</v>
      </c>
      <c r="AN2596">
        <v>49</v>
      </c>
      <c r="AO2596">
        <v>19</v>
      </c>
      <c r="AP2596">
        <v>16</v>
      </c>
      <c r="AQ2596">
        <v>12</v>
      </c>
      <c r="AR2596" t="s">
        <v>9018</v>
      </c>
      <c r="AS2596" t="s">
        <v>9019</v>
      </c>
      <c r="AT2596">
        <v>1.107</v>
      </c>
      <c r="AU2596" t="s">
        <v>65</v>
      </c>
      <c r="AV2596">
        <v>65</v>
      </c>
      <c r="AW2596">
        <v>31</v>
      </c>
      <c r="AX2596" t="s">
        <v>9020</v>
      </c>
      <c r="AY2596">
        <v>2.3349999999999999E-2</v>
      </c>
      <c r="AZ2596">
        <v>-9.3999999999999997E-4</v>
      </c>
      <c r="BA2596">
        <v>3.81E-3</v>
      </c>
      <c r="BB2596">
        <v>-1.2E-4</v>
      </c>
      <c r="BC2596">
        <v>0.16313</v>
      </c>
      <c r="BD2596">
        <v>1</v>
      </c>
      <c r="BE2596" t="s">
        <v>69</v>
      </c>
      <c r="BF2596">
        <v>-0.95399999999999996</v>
      </c>
      <c r="BG2596">
        <v>-1.774</v>
      </c>
    </row>
    <row r="2597" spans="1:59">
      <c r="A2597">
        <v>0</v>
      </c>
      <c r="B2597">
        <v>8</v>
      </c>
      <c r="C2597">
        <v>0</v>
      </c>
      <c r="D2597" t="s">
        <v>25022</v>
      </c>
      <c r="E2597">
        <v>4114</v>
      </c>
      <c r="F2597" t="s">
        <v>24241</v>
      </c>
      <c r="G2597" t="s">
        <v>62</v>
      </c>
      <c r="H2597">
        <v>4079086</v>
      </c>
      <c r="I2597">
        <v>4080996</v>
      </c>
      <c r="J2597" t="s">
        <v>24242</v>
      </c>
      <c r="K2597">
        <v>637</v>
      </c>
      <c r="L2597" t="s">
        <v>108</v>
      </c>
      <c r="M2597">
        <v>44</v>
      </c>
      <c r="N2597" t="str">
        <f>HYPERLINK("Gene4114-zp_tree_all.dnd", "Gene4114-tree")</f>
        <v>Gene4114-tree</v>
      </c>
      <c r="O2597">
        <v>12</v>
      </c>
      <c r="P2597">
        <v>6</v>
      </c>
      <c r="Q2597">
        <v>12</v>
      </c>
      <c r="R2597">
        <v>6</v>
      </c>
      <c r="S2597">
        <v>0.33333000000000002</v>
      </c>
      <c r="T2597" t="s">
        <v>109</v>
      </c>
      <c r="U2597" t="s">
        <v>90</v>
      </c>
      <c r="V2597" t="s">
        <v>62</v>
      </c>
      <c r="W2597" t="s">
        <v>62</v>
      </c>
      <c r="X2597">
        <v>2</v>
      </c>
      <c r="Y2597">
        <v>8</v>
      </c>
      <c r="Z2597">
        <v>14</v>
      </c>
      <c r="AA2597">
        <v>0.36364000000000002</v>
      </c>
      <c r="AB2597">
        <v>0</v>
      </c>
      <c r="AC2597">
        <v>0</v>
      </c>
      <c r="AD2597">
        <v>0</v>
      </c>
      <c r="AE2597">
        <v>3</v>
      </c>
      <c r="AF2597">
        <v>0</v>
      </c>
      <c r="AG2597">
        <v>3</v>
      </c>
      <c r="AH2597">
        <v>0</v>
      </c>
      <c r="AI2597">
        <v>3</v>
      </c>
      <c r="AJ2597">
        <v>9</v>
      </c>
      <c r="AK2597">
        <v>0.25</v>
      </c>
      <c r="AL2597">
        <v>17</v>
      </c>
      <c r="AM2597">
        <v>15</v>
      </c>
      <c r="AN2597">
        <v>68</v>
      </c>
      <c r="AO2597">
        <v>12</v>
      </c>
      <c r="AP2597">
        <v>53</v>
      </c>
      <c r="AQ2597">
        <v>10</v>
      </c>
      <c r="AR2597" t="s">
        <v>24243</v>
      </c>
      <c r="AS2597" t="s">
        <v>24244</v>
      </c>
      <c r="AT2597">
        <v>7.0999999999999994E-2</v>
      </c>
      <c r="AU2597" t="s">
        <v>65</v>
      </c>
      <c r="AV2597">
        <v>121</v>
      </c>
      <c r="AW2597">
        <v>22</v>
      </c>
      <c r="AX2597" t="s">
        <v>24245</v>
      </c>
      <c r="AY2597">
        <v>4.0719999999999999E-2</v>
      </c>
      <c r="AZ2597">
        <v>-9.6000000000000002E-4</v>
      </c>
      <c r="BA2597">
        <v>2.0899999999999998E-3</v>
      </c>
      <c r="BB2597">
        <v>-1.1E-4</v>
      </c>
      <c r="BC2597">
        <v>5.1270000000000003E-2</v>
      </c>
      <c r="BD2597">
        <v>1</v>
      </c>
      <c r="BE2597" t="s">
        <v>69</v>
      </c>
      <c r="BF2597">
        <v>-0.47499999999999998</v>
      </c>
      <c r="BG2597">
        <v>-0.84899999999999998</v>
      </c>
    </row>
    <row r="2598" spans="1:59">
      <c r="A2598">
        <v>0</v>
      </c>
      <c r="B2598">
        <v>0</v>
      </c>
      <c r="C2598">
        <v>0</v>
      </c>
      <c r="D2598" t="s">
        <v>25022</v>
      </c>
      <c r="E2598">
        <v>69</v>
      </c>
      <c r="F2598" t="s">
        <v>555</v>
      </c>
      <c r="G2598" t="s">
        <v>57</v>
      </c>
      <c r="H2598">
        <v>76984</v>
      </c>
      <c r="I2598">
        <v>78894</v>
      </c>
      <c r="J2598" t="s">
        <v>556</v>
      </c>
      <c r="K2598">
        <v>637</v>
      </c>
      <c r="L2598" t="s">
        <v>59</v>
      </c>
      <c r="M2598">
        <v>49</v>
      </c>
      <c r="N2598" t="str">
        <f>HYPERLINK("Gene69-zp_tree_all.dnd", "Gene69-tree")</f>
        <v>Gene69-tree</v>
      </c>
      <c r="O2598">
        <v>21</v>
      </c>
      <c r="P2598">
        <v>1</v>
      </c>
      <c r="Q2598">
        <v>21</v>
      </c>
      <c r="R2598">
        <v>1</v>
      </c>
      <c r="S2598">
        <v>4.5449999999999997E-2</v>
      </c>
      <c r="T2598" t="s">
        <v>557</v>
      </c>
      <c r="U2598" t="s">
        <v>175</v>
      </c>
      <c r="V2598" t="s">
        <v>62</v>
      </c>
      <c r="W2598" t="s">
        <v>62</v>
      </c>
      <c r="X2598">
        <v>0</v>
      </c>
      <c r="Y2598">
        <v>0</v>
      </c>
      <c r="Z2598">
        <v>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20</v>
      </c>
      <c r="AM2598">
        <v>14</v>
      </c>
      <c r="AN2598">
        <v>85</v>
      </c>
      <c r="AO2598">
        <v>1</v>
      </c>
      <c r="AP2598">
        <v>106</v>
      </c>
      <c r="AQ2598">
        <v>2</v>
      </c>
      <c r="AR2598" t="s">
        <v>558</v>
      </c>
      <c r="AS2598" t="s">
        <v>559</v>
      </c>
      <c r="AT2598">
        <v>0.10199999999999999</v>
      </c>
      <c r="AU2598" t="s">
        <v>65</v>
      </c>
      <c r="AV2598">
        <v>191</v>
      </c>
      <c r="AW2598">
        <v>3</v>
      </c>
      <c r="AX2598" t="s">
        <v>560</v>
      </c>
      <c r="AY2598">
        <v>8.3650000000000002E-2</v>
      </c>
      <c r="AZ2598">
        <v>-4.5900000000000003E-3</v>
      </c>
      <c r="BA2598">
        <v>4.8000000000000001E-4</v>
      </c>
      <c r="BB2598">
        <v>-4.0000000000000003E-5</v>
      </c>
      <c r="BC2598">
        <v>5.7200000000000003E-3</v>
      </c>
      <c r="BD2598">
        <v>1</v>
      </c>
      <c r="BE2598" t="s">
        <v>69</v>
      </c>
      <c r="BF2598">
        <v>-1.171</v>
      </c>
      <c r="BG2598">
        <v>-0.93100000000000005</v>
      </c>
    </row>
    <row r="2599" spans="1:59">
      <c r="A2599">
        <v>0</v>
      </c>
      <c r="B2599">
        <v>38</v>
      </c>
      <c r="C2599">
        <v>2</v>
      </c>
      <c r="D2599" t="s">
        <v>25022</v>
      </c>
      <c r="E2599">
        <v>3892</v>
      </c>
      <c r="F2599" t="s">
        <v>22819</v>
      </c>
      <c r="G2599" t="s">
        <v>62</v>
      </c>
      <c r="H2599">
        <v>3854259</v>
      </c>
      <c r="I2599">
        <v>3856172</v>
      </c>
      <c r="J2599" t="s">
        <v>17396</v>
      </c>
      <c r="K2599">
        <v>638</v>
      </c>
      <c r="L2599" t="s">
        <v>108</v>
      </c>
      <c r="M2599">
        <v>44</v>
      </c>
      <c r="N2599" t="str">
        <f>HYPERLINK("Gene3892-zp_tree_all.dnd", "Gene3892-tree")</f>
        <v>Gene3892-tree</v>
      </c>
      <c r="O2599">
        <v>5</v>
      </c>
      <c r="P2599">
        <v>11</v>
      </c>
      <c r="Q2599">
        <v>5</v>
      </c>
      <c r="R2599">
        <v>11</v>
      </c>
      <c r="S2599">
        <v>0.6875</v>
      </c>
      <c r="T2599" t="s">
        <v>199</v>
      </c>
      <c r="U2599" t="s">
        <v>73</v>
      </c>
      <c r="V2599">
        <v>137353515.63499999</v>
      </c>
      <c r="W2599" t="s">
        <v>267</v>
      </c>
      <c r="X2599">
        <v>15</v>
      </c>
      <c r="Y2599">
        <v>40</v>
      </c>
      <c r="Z2599">
        <v>28</v>
      </c>
      <c r="AA2599">
        <v>0.58823999999999999</v>
      </c>
      <c r="AB2599">
        <v>0</v>
      </c>
      <c r="AC2599">
        <v>0</v>
      </c>
      <c r="AD2599">
        <v>0</v>
      </c>
      <c r="AE2599">
        <v>4</v>
      </c>
      <c r="AF2599">
        <v>0</v>
      </c>
      <c r="AG2599">
        <v>14</v>
      </c>
      <c r="AH2599">
        <v>4</v>
      </c>
      <c r="AI2599">
        <v>18</v>
      </c>
      <c r="AJ2599">
        <v>30</v>
      </c>
      <c r="AK2599">
        <v>0.375</v>
      </c>
      <c r="AL2599">
        <v>13</v>
      </c>
      <c r="AM2599">
        <v>12</v>
      </c>
      <c r="AN2599">
        <v>71</v>
      </c>
      <c r="AO2599">
        <v>48</v>
      </c>
      <c r="AP2599">
        <v>65</v>
      </c>
      <c r="AQ2599">
        <v>21</v>
      </c>
      <c r="AR2599" t="s">
        <v>22820</v>
      </c>
      <c r="AS2599" t="s">
        <v>22821</v>
      </c>
      <c r="AT2599">
        <v>0.81200000000000006</v>
      </c>
      <c r="AU2599" t="s">
        <v>65</v>
      </c>
      <c r="AV2599">
        <v>136</v>
      </c>
      <c r="AW2599">
        <v>69</v>
      </c>
      <c r="AX2599" t="s">
        <v>22822</v>
      </c>
      <c r="AY2599">
        <v>5.944E-2</v>
      </c>
      <c r="AZ2599">
        <v>-2.1099999999999999E-3</v>
      </c>
      <c r="BA2599">
        <v>7.6099999999999996E-3</v>
      </c>
      <c r="BB2599">
        <v>-2.9E-4</v>
      </c>
      <c r="BC2599">
        <v>0.12801000000000001</v>
      </c>
      <c r="BD2599">
        <v>1</v>
      </c>
      <c r="BE2599" t="s">
        <v>69</v>
      </c>
      <c r="BF2599">
        <v>-0.48599999999999999</v>
      </c>
      <c r="BG2599">
        <v>-1.867</v>
      </c>
    </row>
    <row r="2600" spans="1:59">
      <c r="A2600">
        <v>0</v>
      </c>
      <c r="B2600">
        <v>13</v>
      </c>
      <c r="C2600">
        <v>0</v>
      </c>
      <c r="D2600" t="s">
        <v>25022</v>
      </c>
      <c r="E2600">
        <v>2018</v>
      </c>
      <c r="F2600" t="s">
        <v>12552</v>
      </c>
      <c r="G2600" t="s">
        <v>62</v>
      </c>
      <c r="H2600">
        <v>2111840</v>
      </c>
      <c r="I2600">
        <v>2113753</v>
      </c>
      <c r="J2600" t="s">
        <v>12553</v>
      </c>
      <c r="K2600">
        <v>638</v>
      </c>
      <c r="L2600" t="s">
        <v>108</v>
      </c>
      <c r="M2600">
        <v>44</v>
      </c>
      <c r="N2600" t="str">
        <f>HYPERLINK("Gene2018-zp_tree_all.dnd", "Gene2018-tree")</f>
        <v>Gene2018-tree</v>
      </c>
      <c r="O2600">
        <v>2</v>
      </c>
      <c r="P2600">
        <v>14</v>
      </c>
      <c r="Q2600">
        <v>2</v>
      </c>
      <c r="R2600">
        <v>14</v>
      </c>
      <c r="S2600">
        <v>0.875</v>
      </c>
      <c r="T2600" t="s">
        <v>81</v>
      </c>
      <c r="U2600" t="s">
        <v>543</v>
      </c>
      <c r="V2600">
        <v>860908720.12699997</v>
      </c>
      <c r="W2600" t="s">
        <v>267</v>
      </c>
      <c r="X2600">
        <v>5</v>
      </c>
      <c r="Y2600">
        <v>13</v>
      </c>
      <c r="Z2600">
        <v>21</v>
      </c>
      <c r="AA2600">
        <v>0.38235000000000002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3</v>
      </c>
      <c r="AH2600">
        <v>0</v>
      </c>
      <c r="AI2600">
        <v>3</v>
      </c>
      <c r="AJ2600">
        <v>17</v>
      </c>
      <c r="AK2600">
        <v>0.15</v>
      </c>
      <c r="AL2600">
        <v>15</v>
      </c>
      <c r="AM2600">
        <v>13</v>
      </c>
      <c r="AN2600">
        <v>67</v>
      </c>
      <c r="AO2600">
        <v>21</v>
      </c>
      <c r="AP2600">
        <v>61</v>
      </c>
      <c r="AQ2600">
        <v>14</v>
      </c>
      <c r="AR2600" t="s">
        <v>12554</v>
      </c>
      <c r="AS2600" t="s">
        <v>12555</v>
      </c>
      <c r="AT2600">
        <v>0.73499999999999999</v>
      </c>
      <c r="AU2600" t="s">
        <v>65</v>
      </c>
      <c r="AV2600">
        <v>128</v>
      </c>
      <c r="AW2600">
        <v>35</v>
      </c>
      <c r="AX2600" t="s">
        <v>12556</v>
      </c>
      <c r="AY2600">
        <v>5.3809999999999997E-2</v>
      </c>
      <c r="AZ2600">
        <v>-1.4400000000000001E-3</v>
      </c>
      <c r="BA2600">
        <v>3.62E-3</v>
      </c>
      <c r="BB2600">
        <v>-1.2999999999999999E-4</v>
      </c>
      <c r="BC2600">
        <v>6.726E-2</v>
      </c>
      <c r="BD2600">
        <v>1</v>
      </c>
      <c r="BE2600" t="s">
        <v>69</v>
      </c>
      <c r="BF2600">
        <v>-0.60299999999999998</v>
      </c>
      <c r="BG2600">
        <v>-0.88900000000000001</v>
      </c>
    </row>
    <row r="2601" spans="1:59">
      <c r="A2601">
        <v>0</v>
      </c>
      <c r="B2601">
        <v>0</v>
      </c>
      <c r="C2601">
        <v>0</v>
      </c>
      <c r="D2601" t="s">
        <v>25022</v>
      </c>
      <c r="E2601">
        <v>2586</v>
      </c>
      <c r="F2601" t="s">
        <v>15139</v>
      </c>
      <c r="G2601" t="s">
        <v>62</v>
      </c>
      <c r="H2601">
        <v>2568576</v>
      </c>
      <c r="I2601">
        <v>2570489</v>
      </c>
      <c r="J2601" t="s">
        <v>5014</v>
      </c>
      <c r="K2601">
        <v>638</v>
      </c>
      <c r="L2601" t="s">
        <v>108</v>
      </c>
      <c r="M2601">
        <v>44</v>
      </c>
      <c r="N2601" t="str">
        <f>HYPERLINK("Gene2586-zp_tree_all.dnd", "Gene2586-tree")</f>
        <v>Gene2586-tree</v>
      </c>
      <c r="O2601">
        <v>4</v>
      </c>
      <c r="P2601">
        <v>10</v>
      </c>
      <c r="Q2601">
        <v>4</v>
      </c>
      <c r="R2601">
        <v>10</v>
      </c>
      <c r="S2601">
        <v>0.71428999999999998</v>
      </c>
      <c r="T2601" t="s">
        <v>61</v>
      </c>
      <c r="U2601" t="s">
        <v>117</v>
      </c>
      <c r="V2601" t="s">
        <v>62</v>
      </c>
      <c r="W2601" t="s">
        <v>62</v>
      </c>
      <c r="X2601">
        <v>0</v>
      </c>
      <c r="Y2601">
        <v>0</v>
      </c>
      <c r="Z2601">
        <v>13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13</v>
      </c>
      <c r="AK2601">
        <v>0</v>
      </c>
      <c r="AL2601">
        <v>13</v>
      </c>
      <c r="AM2601">
        <v>9</v>
      </c>
      <c r="AN2601">
        <v>43</v>
      </c>
      <c r="AO2601">
        <v>13</v>
      </c>
      <c r="AP2601">
        <v>16</v>
      </c>
      <c r="AQ2601">
        <v>0</v>
      </c>
      <c r="AR2601" t="s">
        <v>15140</v>
      </c>
      <c r="AS2601" t="s">
        <v>193</v>
      </c>
      <c r="AT2601">
        <v>1.859</v>
      </c>
      <c r="AU2601" t="s">
        <v>65</v>
      </c>
      <c r="AV2601">
        <v>59</v>
      </c>
      <c r="AW2601">
        <v>13</v>
      </c>
      <c r="AX2601" t="s">
        <v>15141</v>
      </c>
      <c r="AY2601">
        <v>2.6190000000000001E-2</v>
      </c>
      <c r="AZ2601">
        <v>-1.6100000000000001E-3</v>
      </c>
      <c r="BA2601">
        <v>1.2700000000000001E-3</v>
      </c>
      <c r="BB2601">
        <v>-8.0000000000000007E-5</v>
      </c>
      <c r="BC2601">
        <v>4.863E-2</v>
      </c>
      <c r="BD2601">
        <v>1</v>
      </c>
      <c r="BE2601" t="s">
        <v>69</v>
      </c>
      <c r="BF2601">
        <v>-1.3720000000000001</v>
      </c>
      <c r="BG2601">
        <v>-2.6360000000000001</v>
      </c>
    </row>
    <row r="2602" spans="1:59">
      <c r="A2602">
        <v>0</v>
      </c>
      <c r="B2602">
        <v>0</v>
      </c>
      <c r="C2602">
        <v>4</v>
      </c>
      <c r="D2602" t="s">
        <v>25022</v>
      </c>
      <c r="E2602">
        <v>6</v>
      </c>
      <c r="F2602" t="s">
        <v>97</v>
      </c>
      <c r="G2602" t="s">
        <v>57</v>
      </c>
      <c r="H2602">
        <v>4867</v>
      </c>
      <c r="I2602">
        <v>6780</v>
      </c>
      <c r="J2602" t="s">
        <v>98</v>
      </c>
      <c r="K2602">
        <v>638</v>
      </c>
      <c r="L2602" t="s">
        <v>99</v>
      </c>
      <c r="M2602">
        <v>47</v>
      </c>
      <c r="N2602" t="str">
        <f>HYPERLINK("Gene6-zp_tree_all.dnd", "Gene6-tree")</f>
        <v>Gene6-tree</v>
      </c>
      <c r="O2602">
        <v>15</v>
      </c>
      <c r="P2602">
        <v>2</v>
      </c>
      <c r="Q2602">
        <v>15</v>
      </c>
      <c r="R2602">
        <v>2</v>
      </c>
      <c r="S2602">
        <v>0.11765</v>
      </c>
      <c r="T2602" t="s">
        <v>100</v>
      </c>
      <c r="U2602" t="s">
        <v>81</v>
      </c>
      <c r="V2602" t="s">
        <v>62</v>
      </c>
      <c r="W2602" t="s">
        <v>62</v>
      </c>
      <c r="X2602">
        <v>2</v>
      </c>
      <c r="Y2602">
        <v>4</v>
      </c>
      <c r="Z2602">
        <v>8</v>
      </c>
      <c r="AA2602">
        <v>0.33333000000000002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6</v>
      </c>
      <c r="AK2602">
        <v>0</v>
      </c>
      <c r="AL2602">
        <v>17</v>
      </c>
      <c r="AM2602">
        <v>13</v>
      </c>
      <c r="AN2602">
        <v>89</v>
      </c>
      <c r="AO2602">
        <v>6</v>
      </c>
      <c r="AP2602">
        <v>122</v>
      </c>
      <c r="AQ2602">
        <v>6</v>
      </c>
      <c r="AR2602" t="s">
        <v>101</v>
      </c>
      <c r="AS2602" t="s">
        <v>102</v>
      </c>
      <c r="AT2602">
        <v>8.4000000000000005E-2</v>
      </c>
      <c r="AU2602" t="s">
        <v>65</v>
      </c>
      <c r="AV2602">
        <v>211</v>
      </c>
      <c r="AW2602">
        <v>12</v>
      </c>
      <c r="AX2602" t="s">
        <v>103</v>
      </c>
      <c r="AY2602">
        <v>0.10005</v>
      </c>
      <c r="AZ2602">
        <v>-7.8700000000000003E-3</v>
      </c>
      <c r="BA2602">
        <v>1.58E-3</v>
      </c>
      <c r="BB2602">
        <v>-1.8000000000000001E-4</v>
      </c>
      <c r="BC2602">
        <v>1.5779999999999999E-2</v>
      </c>
      <c r="BD2602">
        <v>1</v>
      </c>
      <c r="BE2602" t="s">
        <v>69</v>
      </c>
      <c r="BF2602">
        <v>-1.528</v>
      </c>
      <c r="BG2602">
        <v>-1.1299999999999999</v>
      </c>
    </row>
    <row r="2603" spans="1:59">
      <c r="A2603">
        <v>0</v>
      </c>
      <c r="B2603">
        <v>4</v>
      </c>
      <c r="C2603">
        <v>0</v>
      </c>
      <c r="D2603" t="s">
        <v>25022</v>
      </c>
      <c r="E2603">
        <v>763</v>
      </c>
      <c r="F2603" t="s">
        <v>4736</v>
      </c>
      <c r="G2603" t="s">
        <v>57</v>
      </c>
      <c r="H2603">
        <v>796314</v>
      </c>
      <c r="I2603">
        <v>798230</v>
      </c>
      <c r="J2603" t="s">
        <v>4737</v>
      </c>
      <c r="K2603">
        <v>639</v>
      </c>
      <c r="L2603" t="s">
        <v>108</v>
      </c>
      <c r="M2603">
        <v>44</v>
      </c>
      <c r="N2603" t="str">
        <f>HYPERLINK("Gene763-zp_tree_all.dnd", "Gene763-tree")</f>
        <v>Gene763-tree</v>
      </c>
      <c r="O2603">
        <v>7</v>
      </c>
      <c r="P2603">
        <v>8</v>
      </c>
      <c r="Q2603">
        <v>7</v>
      </c>
      <c r="R2603">
        <v>8</v>
      </c>
      <c r="S2603">
        <v>0.53332999999999997</v>
      </c>
      <c r="T2603" t="s">
        <v>152</v>
      </c>
      <c r="U2603" t="s">
        <v>136</v>
      </c>
      <c r="V2603" t="s">
        <v>62</v>
      </c>
      <c r="W2603" t="s">
        <v>62</v>
      </c>
      <c r="X2603">
        <v>1</v>
      </c>
      <c r="Y2603">
        <v>4</v>
      </c>
      <c r="Z2603">
        <v>12</v>
      </c>
      <c r="AA2603">
        <v>0.25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</v>
      </c>
      <c r="AH2603">
        <v>0</v>
      </c>
      <c r="AI2603">
        <v>2</v>
      </c>
      <c r="AJ2603">
        <v>9</v>
      </c>
      <c r="AK2603">
        <v>0.18182000000000001</v>
      </c>
      <c r="AL2603">
        <v>14</v>
      </c>
      <c r="AM2603">
        <v>11</v>
      </c>
      <c r="AN2603">
        <v>81</v>
      </c>
      <c r="AO2603">
        <v>11</v>
      </c>
      <c r="AP2603">
        <v>44</v>
      </c>
      <c r="AQ2603">
        <v>5</v>
      </c>
      <c r="AR2603" t="s">
        <v>4738</v>
      </c>
      <c r="AS2603" t="s">
        <v>4739</v>
      </c>
      <c r="AT2603">
        <v>0.16500000000000001</v>
      </c>
      <c r="AU2603" t="s">
        <v>65</v>
      </c>
      <c r="AV2603">
        <v>125</v>
      </c>
      <c r="AW2603">
        <v>16</v>
      </c>
      <c r="AX2603" t="s">
        <v>4740</v>
      </c>
      <c r="AY2603">
        <v>4.7500000000000001E-2</v>
      </c>
      <c r="AZ2603">
        <v>-2.0400000000000001E-3</v>
      </c>
      <c r="BA2603">
        <v>1.9400000000000001E-3</v>
      </c>
      <c r="BB2603">
        <v>-1.2999999999999999E-4</v>
      </c>
      <c r="BC2603">
        <v>4.0739999999999998E-2</v>
      </c>
      <c r="BD2603">
        <v>1</v>
      </c>
      <c r="BE2603" t="s">
        <v>69</v>
      </c>
      <c r="BF2603">
        <v>-0.47299999999999998</v>
      </c>
      <c r="BG2603">
        <v>-0.81599999999999995</v>
      </c>
    </row>
    <row r="2604" spans="1:59">
      <c r="A2604">
        <v>0</v>
      </c>
      <c r="B2604">
        <v>14</v>
      </c>
      <c r="C2604">
        <v>0</v>
      </c>
      <c r="D2604" t="s">
        <v>25022</v>
      </c>
      <c r="E2604">
        <v>3998</v>
      </c>
      <c r="F2604" t="s">
        <v>23510</v>
      </c>
      <c r="G2604" t="s">
        <v>62</v>
      </c>
      <c r="H2604">
        <v>3962006</v>
      </c>
      <c r="I2604">
        <v>3963928</v>
      </c>
      <c r="J2604" t="s">
        <v>23511</v>
      </c>
      <c r="K2604">
        <v>641</v>
      </c>
      <c r="L2604" t="s">
        <v>108</v>
      </c>
      <c r="M2604">
        <v>44</v>
      </c>
      <c r="N2604" t="str">
        <f>HYPERLINK("Gene3998-zp_tree_all.dnd", "Gene3998-tree")</f>
        <v>Gene3998-tree</v>
      </c>
      <c r="O2604">
        <v>4</v>
      </c>
      <c r="P2604">
        <v>29</v>
      </c>
      <c r="Q2604">
        <v>4</v>
      </c>
      <c r="R2604">
        <v>11</v>
      </c>
      <c r="S2604">
        <v>0.73333000000000004</v>
      </c>
      <c r="T2604" t="s">
        <v>61</v>
      </c>
      <c r="U2604" t="s">
        <v>2086</v>
      </c>
      <c r="V2604">
        <v>1.744</v>
      </c>
      <c r="W2604" t="s">
        <v>65</v>
      </c>
      <c r="X2604">
        <v>5</v>
      </c>
      <c r="Y2604">
        <v>14</v>
      </c>
      <c r="Z2604">
        <v>20</v>
      </c>
      <c r="AA2604">
        <v>0.41176000000000001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6</v>
      </c>
      <c r="AH2604">
        <v>0</v>
      </c>
      <c r="AI2604">
        <v>6</v>
      </c>
      <c r="AJ2604">
        <v>13</v>
      </c>
      <c r="AK2604">
        <v>0.31579000000000002</v>
      </c>
      <c r="AL2604">
        <v>14</v>
      </c>
      <c r="AM2604">
        <v>11</v>
      </c>
      <c r="AN2604">
        <v>53</v>
      </c>
      <c r="AO2604">
        <v>20</v>
      </c>
      <c r="AP2604">
        <v>43</v>
      </c>
      <c r="AQ2604">
        <v>18</v>
      </c>
      <c r="AR2604" t="s">
        <v>23512</v>
      </c>
      <c r="AS2604" t="s">
        <v>23513</v>
      </c>
      <c r="AT2604">
        <v>0.11600000000000001</v>
      </c>
      <c r="AU2604" t="s">
        <v>65</v>
      </c>
      <c r="AV2604">
        <v>96</v>
      </c>
      <c r="AW2604">
        <v>38</v>
      </c>
      <c r="AX2604" t="s">
        <v>23514</v>
      </c>
      <c r="AY2604">
        <v>4.1279999999999997E-2</v>
      </c>
      <c r="AZ2604">
        <v>-1.82E-3</v>
      </c>
      <c r="BA2604">
        <v>4.79E-3</v>
      </c>
      <c r="BB2604">
        <v>-1.9000000000000001E-4</v>
      </c>
      <c r="BC2604">
        <v>0.11608</v>
      </c>
      <c r="BD2604">
        <v>1</v>
      </c>
      <c r="BE2604" t="s">
        <v>69</v>
      </c>
      <c r="BF2604">
        <v>-0.42799999999999999</v>
      </c>
      <c r="BG2604">
        <v>-0.63900000000000001</v>
      </c>
    </row>
    <row r="2605" spans="1:59">
      <c r="A2605">
        <v>0</v>
      </c>
      <c r="B2605">
        <v>2</v>
      </c>
      <c r="C2605">
        <v>0</v>
      </c>
      <c r="D2605" t="s">
        <v>25022</v>
      </c>
      <c r="E2605">
        <v>2308</v>
      </c>
      <c r="F2605" t="s">
        <v>13381</v>
      </c>
      <c r="G2605" t="s">
        <v>62</v>
      </c>
      <c r="H2605">
        <v>2327491</v>
      </c>
      <c r="I2605">
        <v>2329413</v>
      </c>
      <c r="J2605" t="s">
        <v>13382</v>
      </c>
      <c r="K2605">
        <v>641</v>
      </c>
      <c r="L2605" t="s">
        <v>108</v>
      </c>
      <c r="M2605">
        <v>44</v>
      </c>
      <c r="N2605" t="str">
        <f>HYPERLINK("Gene2308-zp_tree_all.dnd", "Gene2308-tree")</f>
        <v>Gene2308-tree</v>
      </c>
      <c r="O2605">
        <v>11</v>
      </c>
      <c r="P2605">
        <v>2</v>
      </c>
      <c r="Q2605">
        <v>11</v>
      </c>
      <c r="R2605">
        <v>2</v>
      </c>
      <c r="S2605">
        <v>0.15384999999999999</v>
      </c>
      <c r="T2605" t="s">
        <v>73</v>
      </c>
      <c r="U2605" t="s">
        <v>81</v>
      </c>
      <c r="V2605" t="s">
        <v>62</v>
      </c>
      <c r="W2605" t="s">
        <v>62</v>
      </c>
      <c r="X2605">
        <v>1</v>
      </c>
      <c r="Y2605">
        <v>2</v>
      </c>
      <c r="Z2605">
        <v>2</v>
      </c>
      <c r="AA2605">
        <v>0.5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</v>
      </c>
      <c r="AH2605">
        <v>0</v>
      </c>
      <c r="AI2605">
        <v>2</v>
      </c>
      <c r="AJ2605">
        <v>1</v>
      </c>
      <c r="AK2605">
        <v>0.66666999999999998</v>
      </c>
      <c r="AL2605">
        <v>9</v>
      </c>
      <c r="AM2605">
        <v>10</v>
      </c>
      <c r="AN2605">
        <v>42</v>
      </c>
      <c r="AO2605">
        <v>3</v>
      </c>
      <c r="AP2605">
        <v>31</v>
      </c>
      <c r="AQ2605">
        <v>1</v>
      </c>
      <c r="AR2605" t="s">
        <v>13383</v>
      </c>
      <c r="AS2605" t="s">
        <v>13384</v>
      </c>
      <c r="AT2605">
        <v>0.27700000000000002</v>
      </c>
      <c r="AU2605" t="s">
        <v>65</v>
      </c>
      <c r="AV2605">
        <v>73</v>
      </c>
      <c r="AW2605">
        <v>4</v>
      </c>
      <c r="AX2605" t="s">
        <v>13385</v>
      </c>
      <c r="AY2605">
        <v>3.3320000000000002E-2</v>
      </c>
      <c r="AZ2605">
        <v>-1.2099999999999999E-3</v>
      </c>
      <c r="BA2605">
        <v>6.4000000000000005E-4</v>
      </c>
      <c r="BB2605">
        <v>-6.9999999999999994E-5</v>
      </c>
      <c r="BC2605">
        <v>1.9060000000000001E-2</v>
      </c>
      <c r="BD2605">
        <v>1</v>
      </c>
      <c r="BE2605" t="s">
        <v>69</v>
      </c>
      <c r="BF2605">
        <v>0.11</v>
      </c>
      <c r="BG2605">
        <v>-0.751</v>
      </c>
    </row>
    <row r="2606" spans="1:59">
      <c r="A2606">
        <v>0</v>
      </c>
      <c r="B2606">
        <v>0</v>
      </c>
      <c r="C2606">
        <v>0</v>
      </c>
      <c r="D2606" t="s">
        <v>25022</v>
      </c>
      <c r="E2606">
        <v>3011</v>
      </c>
      <c r="F2606" t="s">
        <v>17395</v>
      </c>
      <c r="G2606" t="s">
        <v>62</v>
      </c>
      <c r="H2606">
        <v>2959260</v>
      </c>
      <c r="I2606">
        <v>2961188</v>
      </c>
      <c r="J2606" t="s">
        <v>17396</v>
      </c>
      <c r="K2606">
        <v>643</v>
      </c>
      <c r="L2606" t="s">
        <v>698</v>
      </c>
      <c r="M2606">
        <v>47</v>
      </c>
      <c r="N2606" t="str">
        <f>HYPERLINK("Gene3011-zp_tree_all.dnd", "Gene3011-tree")</f>
        <v>Gene3011-tree</v>
      </c>
      <c r="O2606">
        <v>15</v>
      </c>
      <c r="P2606">
        <v>4</v>
      </c>
      <c r="Q2606">
        <v>15</v>
      </c>
      <c r="R2606">
        <v>4</v>
      </c>
      <c r="S2606">
        <v>0.21052999999999999</v>
      </c>
      <c r="T2606" t="s">
        <v>100</v>
      </c>
      <c r="U2606" t="s">
        <v>61</v>
      </c>
      <c r="V2606" t="s">
        <v>62</v>
      </c>
      <c r="W2606" t="s">
        <v>62</v>
      </c>
      <c r="X2606">
        <v>0</v>
      </c>
      <c r="Y2606">
        <v>0</v>
      </c>
      <c r="Z2606">
        <v>12</v>
      </c>
      <c r="AA2606">
        <v>0</v>
      </c>
      <c r="AB2606">
        <v>0</v>
      </c>
      <c r="AC2606">
        <v>0</v>
      </c>
      <c r="AD2606">
        <v>0</v>
      </c>
      <c r="AE2606">
        <v>2</v>
      </c>
      <c r="AF2606">
        <v>0</v>
      </c>
      <c r="AG2606">
        <v>0</v>
      </c>
      <c r="AH2606">
        <v>0</v>
      </c>
      <c r="AI2606">
        <v>0</v>
      </c>
      <c r="AJ2606">
        <v>6</v>
      </c>
      <c r="AK2606">
        <v>0</v>
      </c>
      <c r="AL2606">
        <v>15</v>
      </c>
      <c r="AM2606">
        <v>16</v>
      </c>
      <c r="AN2606">
        <v>92</v>
      </c>
      <c r="AO2606">
        <v>6</v>
      </c>
      <c r="AP2606">
        <v>119</v>
      </c>
      <c r="AQ2606">
        <v>6</v>
      </c>
      <c r="AR2606" t="s">
        <v>17397</v>
      </c>
      <c r="AS2606" t="s">
        <v>17398</v>
      </c>
      <c r="AT2606">
        <v>0.158</v>
      </c>
      <c r="AU2606" t="s">
        <v>65</v>
      </c>
      <c r="AV2606">
        <v>211</v>
      </c>
      <c r="AW2606">
        <v>12</v>
      </c>
      <c r="AX2606" t="s">
        <v>17399</v>
      </c>
      <c r="AY2606">
        <v>9.3649999999999997E-2</v>
      </c>
      <c r="AZ2606">
        <v>-5.7299999999999999E-3</v>
      </c>
      <c r="BA2606">
        <v>1.5499999999999999E-3</v>
      </c>
      <c r="BB2606">
        <v>-1E-4</v>
      </c>
      <c r="BC2606">
        <v>1.651E-2</v>
      </c>
      <c r="BD2606">
        <v>1</v>
      </c>
      <c r="BE2606" t="s">
        <v>69</v>
      </c>
      <c r="BF2606">
        <v>-0.93100000000000005</v>
      </c>
      <c r="BG2606">
        <v>-0.90600000000000003</v>
      </c>
    </row>
    <row r="2607" spans="1:59">
      <c r="A2607">
        <v>0</v>
      </c>
      <c r="B2607">
        <v>31</v>
      </c>
      <c r="C2607">
        <v>10</v>
      </c>
      <c r="D2607" t="s">
        <v>25022</v>
      </c>
      <c r="E2607">
        <v>1531</v>
      </c>
      <c r="F2607" t="s">
        <v>9570</v>
      </c>
      <c r="G2607" t="s">
        <v>57</v>
      </c>
      <c r="H2607">
        <v>1541886</v>
      </c>
      <c r="I2607">
        <v>1543823</v>
      </c>
      <c r="J2607" t="s">
        <v>116</v>
      </c>
      <c r="K2607">
        <v>646</v>
      </c>
      <c r="L2607" t="s">
        <v>108</v>
      </c>
      <c r="M2607">
        <v>44</v>
      </c>
      <c r="N2607" t="str">
        <f>HYPERLINK("Gene1531-zp_tree_all.dnd", "Gene1531-tree")</f>
        <v>Gene1531-tree</v>
      </c>
      <c r="O2607">
        <v>0</v>
      </c>
      <c r="P2607">
        <v>14</v>
      </c>
      <c r="Q2607">
        <v>0</v>
      </c>
      <c r="R2607">
        <v>14</v>
      </c>
      <c r="S2607">
        <v>1</v>
      </c>
      <c r="T2607" t="s">
        <v>62</v>
      </c>
      <c r="U2607" t="s">
        <v>543</v>
      </c>
      <c r="V2607">
        <v>143484786.68799999</v>
      </c>
      <c r="W2607" t="s">
        <v>65</v>
      </c>
      <c r="X2607">
        <v>20</v>
      </c>
      <c r="Y2607">
        <v>41</v>
      </c>
      <c r="Z2607">
        <v>62</v>
      </c>
      <c r="AA2607">
        <v>0.39806000000000002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4</v>
      </c>
      <c r="AH2607">
        <v>8</v>
      </c>
      <c r="AI2607">
        <v>12</v>
      </c>
      <c r="AJ2607">
        <v>58</v>
      </c>
      <c r="AK2607">
        <v>0.17143</v>
      </c>
      <c r="AL2607">
        <v>13</v>
      </c>
      <c r="AM2607">
        <v>10</v>
      </c>
      <c r="AN2607">
        <v>68</v>
      </c>
      <c r="AO2607">
        <v>62</v>
      </c>
      <c r="AP2607">
        <v>71</v>
      </c>
      <c r="AQ2607">
        <v>47</v>
      </c>
      <c r="AR2607" t="s">
        <v>9571</v>
      </c>
      <c r="AS2607" t="s">
        <v>9572</v>
      </c>
      <c r="AT2607">
        <v>0.432</v>
      </c>
      <c r="AU2607" t="s">
        <v>65</v>
      </c>
      <c r="AV2607">
        <v>139</v>
      </c>
      <c r="AW2607">
        <v>109</v>
      </c>
      <c r="AX2607" t="s">
        <v>9573</v>
      </c>
      <c r="AY2607">
        <v>6.9440000000000002E-2</v>
      </c>
      <c r="AZ2607">
        <v>-3.2200000000000002E-3</v>
      </c>
      <c r="BA2607">
        <v>1.5810000000000001E-2</v>
      </c>
      <c r="BB2607">
        <v>-9.7999999999999997E-4</v>
      </c>
      <c r="BC2607">
        <v>0.22761999999999999</v>
      </c>
      <c r="BD2607">
        <v>1</v>
      </c>
      <c r="BE2607" t="s">
        <v>69</v>
      </c>
      <c r="BF2607">
        <v>0.34499999999999997</v>
      </c>
      <c r="BG2607">
        <v>-0.28699999999999998</v>
      </c>
    </row>
    <row r="2608" spans="1:59">
      <c r="A2608">
        <v>0</v>
      </c>
      <c r="B2608">
        <v>16</v>
      </c>
      <c r="C2608">
        <v>4</v>
      </c>
      <c r="D2608" t="s">
        <v>25022</v>
      </c>
      <c r="E2608">
        <v>3152</v>
      </c>
      <c r="F2608" t="s">
        <v>18312</v>
      </c>
      <c r="G2608" t="s">
        <v>62</v>
      </c>
      <c r="H2608">
        <v>3109400</v>
      </c>
      <c r="I2608">
        <v>3111337</v>
      </c>
      <c r="J2608" t="s">
        <v>18313</v>
      </c>
      <c r="K2608">
        <v>646</v>
      </c>
      <c r="L2608" t="s">
        <v>108</v>
      </c>
      <c r="M2608">
        <v>44</v>
      </c>
      <c r="N2608" t="str">
        <f>HYPERLINK("Gene3152-zp_tree_all.dnd", "Gene3152-tree")</f>
        <v>Gene3152-tree</v>
      </c>
      <c r="O2608">
        <v>6</v>
      </c>
      <c r="P2608">
        <v>10</v>
      </c>
      <c r="Q2608">
        <v>6</v>
      </c>
      <c r="R2608">
        <v>10</v>
      </c>
      <c r="S2608">
        <v>0.625</v>
      </c>
      <c r="T2608" t="s">
        <v>90</v>
      </c>
      <c r="U2608" t="s">
        <v>117</v>
      </c>
      <c r="V2608" t="s">
        <v>62</v>
      </c>
      <c r="W2608" t="s">
        <v>62</v>
      </c>
      <c r="X2608">
        <v>8</v>
      </c>
      <c r="Y2608">
        <v>20</v>
      </c>
      <c r="Z2608">
        <v>18</v>
      </c>
      <c r="AA2608">
        <v>0.52632000000000001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7</v>
      </c>
      <c r="AH2608">
        <v>0</v>
      </c>
      <c r="AI2608">
        <v>7</v>
      </c>
      <c r="AJ2608">
        <v>20</v>
      </c>
      <c r="AK2608">
        <v>0.25925999999999999</v>
      </c>
      <c r="AL2608">
        <v>13</v>
      </c>
      <c r="AM2608">
        <v>13</v>
      </c>
      <c r="AN2608">
        <v>95</v>
      </c>
      <c r="AO2608">
        <v>29</v>
      </c>
      <c r="AP2608">
        <v>54</v>
      </c>
      <c r="AQ2608">
        <v>11</v>
      </c>
      <c r="AR2608" t="s">
        <v>18314</v>
      </c>
      <c r="AS2608" t="s">
        <v>18315</v>
      </c>
      <c r="AT2608">
        <v>0.54700000000000004</v>
      </c>
      <c r="AU2608" t="s">
        <v>65</v>
      </c>
      <c r="AV2608">
        <v>149</v>
      </c>
      <c r="AW2608">
        <v>40</v>
      </c>
      <c r="AX2608" t="s">
        <v>18316</v>
      </c>
      <c r="AY2608">
        <v>5.2269999999999997E-2</v>
      </c>
      <c r="AZ2608">
        <v>-1.6900000000000001E-3</v>
      </c>
      <c r="BA2608">
        <v>4.2300000000000003E-3</v>
      </c>
      <c r="BB2608">
        <v>-2.1000000000000001E-4</v>
      </c>
      <c r="BC2608">
        <v>8.0860000000000001E-2</v>
      </c>
      <c r="BD2608">
        <v>1</v>
      </c>
      <c r="BE2608" t="s">
        <v>69</v>
      </c>
      <c r="BF2608">
        <v>-0.998</v>
      </c>
      <c r="BG2608">
        <v>-2.1829999999999998</v>
      </c>
    </row>
    <row r="2609" spans="1:59">
      <c r="A2609">
        <v>0</v>
      </c>
      <c r="B2609">
        <v>4</v>
      </c>
      <c r="C2609">
        <v>0</v>
      </c>
      <c r="D2609" t="s">
        <v>25022</v>
      </c>
      <c r="E2609">
        <v>3595</v>
      </c>
      <c r="F2609" t="s">
        <v>21106</v>
      </c>
      <c r="G2609" t="s">
        <v>62</v>
      </c>
      <c r="H2609">
        <v>3563584</v>
      </c>
      <c r="I2609">
        <v>3565521</v>
      </c>
      <c r="J2609" t="s">
        <v>21107</v>
      </c>
      <c r="K2609">
        <v>646</v>
      </c>
      <c r="L2609" t="s">
        <v>108</v>
      </c>
      <c r="M2609">
        <v>44</v>
      </c>
      <c r="N2609" t="str">
        <f>HYPERLINK("Gene3595-zp_tree_all.dnd", "Gene3595-tree")</f>
        <v>Gene3595-tree</v>
      </c>
      <c r="O2609">
        <v>7</v>
      </c>
      <c r="P2609">
        <v>8</v>
      </c>
      <c r="Q2609">
        <v>7</v>
      </c>
      <c r="R2609">
        <v>8</v>
      </c>
      <c r="S2609">
        <v>0.53332999999999997</v>
      </c>
      <c r="T2609" t="s">
        <v>152</v>
      </c>
      <c r="U2609" t="s">
        <v>136</v>
      </c>
      <c r="V2609" t="s">
        <v>62</v>
      </c>
      <c r="W2609" t="s">
        <v>62</v>
      </c>
      <c r="X2609">
        <v>2</v>
      </c>
      <c r="Y2609">
        <v>4</v>
      </c>
      <c r="Z2609">
        <v>16</v>
      </c>
      <c r="AA2609">
        <v>0.2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</v>
      </c>
      <c r="AH2609">
        <v>0</v>
      </c>
      <c r="AI2609">
        <v>2</v>
      </c>
      <c r="AJ2609">
        <v>13</v>
      </c>
      <c r="AK2609">
        <v>0.13333</v>
      </c>
      <c r="AL2609">
        <v>13</v>
      </c>
      <c r="AM2609">
        <v>12</v>
      </c>
      <c r="AN2609">
        <v>51</v>
      </c>
      <c r="AO2609">
        <v>14</v>
      </c>
      <c r="AP2609">
        <v>36</v>
      </c>
      <c r="AQ2609">
        <v>6</v>
      </c>
      <c r="AR2609" t="s">
        <v>21108</v>
      </c>
      <c r="AS2609" t="s">
        <v>21109</v>
      </c>
      <c r="AT2609">
        <v>0.51800000000000002</v>
      </c>
      <c r="AU2609" t="s">
        <v>65</v>
      </c>
      <c r="AV2609">
        <v>87</v>
      </c>
      <c r="AW2609">
        <v>20</v>
      </c>
      <c r="AX2609" t="s">
        <v>21110</v>
      </c>
      <c r="AY2609">
        <v>3.2689999999999997E-2</v>
      </c>
      <c r="AZ2609">
        <v>-1.0499999999999999E-3</v>
      </c>
      <c r="BA2609">
        <v>2.3400000000000001E-3</v>
      </c>
      <c r="BB2609">
        <v>-1.2999999999999999E-4</v>
      </c>
      <c r="BC2609">
        <v>7.1470000000000006E-2</v>
      </c>
      <c r="BD2609">
        <v>1</v>
      </c>
      <c r="BE2609" t="s">
        <v>69</v>
      </c>
      <c r="BF2609">
        <v>-0.26800000000000002</v>
      </c>
      <c r="BG2609">
        <v>-1.7</v>
      </c>
    </row>
    <row r="2610" spans="1:59">
      <c r="A2610">
        <v>0</v>
      </c>
      <c r="B2610">
        <v>0</v>
      </c>
      <c r="C2610">
        <v>0</v>
      </c>
      <c r="D2610" t="s">
        <v>25022</v>
      </c>
      <c r="E2610">
        <v>1578</v>
      </c>
      <c r="F2610" t="s">
        <v>9866</v>
      </c>
      <c r="G2610" t="s">
        <v>57</v>
      </c>
      <c r="H2610">
        <v>1584214</v>
      </c>
      <c r="I2610">
        <v>1586151</v>
      </c>
      <c r="J2610" t="s">
        <v>9867</v>
      </c>
      <c r="K2610">
        <v>646</v>
      </c>
      <c r="L2610" t="s">
        <v>108</v>
      </c>
      <c r="M2610">
        <v>44</v>
      </c>
      <c r="N2610" t="str">
        <f>HYPERLINK("Gene1578-zp_tree_all.dnd", "Gene1578-tree")</f>
        <v>Gene1578-tree</v>
      </c>
      <c r="O2610">
        <v>12</v>
      </c>
      <c r="P2610">
        <v>2</v>
      </c>
      <c r="Q2610">
        <v>12</v>
      </c>
      <c r="R2610">
        <v>2</v>
      </c>
      <c r="S2610">
        <v>0.14285999999999999</v>
      </c>
      <c r="T2610" t="s">
        <v>109</v>
      </c>
      <c r="U2610" t="s">
        <v>81</v>
      </c>
      <c r="V2610" t="s">
        <v>62</v>
      </c>
      <c r="W2610" t="s">
        <v>62</v>
      </c>
      <c r="X2610">
        <v>0</v>
      </c>
      <c r="Y2610">
        <v>0</v>
      </c>
      <c r="Z2610">
        <v>4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2</v>
      </c>
      <c r="AK2610">
        <v>0</v>
      </c>
      <c r="AL2610">
        <v>13</v>
      </c>
      <c r="AM2610">
        <v>11</v>
      </c>
      <c r="AN2610">
        <v>52</v>
      </c>
      <c r="AO2610">
        <v>2</v>
      </c>
      <c r="AP2610">
        <v>41</v>
      </c>
      <c r="AQ2610">
        <v>3</v>
      </c>
      <c r="AR2610" t="s">
        <v>9868</v>
      </c>
      <c r="AS2610" t="s">
        <v>9869</v>
      </c>
      <c r="AT2610">
        <v>0.38500000000000001</v>
      </c>
      <c r="AU2610" t="s">
        <v>65</v>
      </c>
      <c r="AV2610">
        <v>93</v>
      </c>
      <c r="AW2610">
        <v>5</v>
      </c>
      <c r="AX2610" t="s">
        <v>9870</v>
      </c>
      <c r="AY2610">
        <v>3.8379999999999997E-2</v>
      </c>
      <c r="AZ2610">
        <v>-1.3600000000000001E-3</v>
      </c>
      <c r="BA2610">
        <v>8.5999999999999998E-4</v>
      </c>
      <c r="BB2610">
        <v>-6.0000000000000002E-5</v>
      </c>
      <c r="BC2610">
        <v>2.24E-2</v>
      </c>
      <c r="BD2610">
        <v>1</v>
      </c>
      <c r="BE2610" t="s">
        <v>69</v>
      </c>
      <c r="BF2610">
        <v>-0.16800000000000001</v>
      </c>
      <c r="BG2610">
        <v>-0.54400000000000004</v>
      </c>
    </row>
    <row r="2611" spans="1:59">
      <c r="A2611">
        <v>0</v>
      </c>
      <c r="B2611">
        <v>24</v>
      </c>
      <c r="C2611">
        <v>2</v>
      </c>
      <c r="D2611" t="s">
        <v>25022</v>
      </c>
      <c r="E2611">
        <v>1242</v>
      </c>
      <c r="F2611" t="s">
        <v>7782</v>
      </c>
      <c r="G2611" t="s">
        <v>57</v>
      </c>
      <c r="H2611">
        <v>1270631</v>
      </c>
      <c r="I2611">
        <v>1272574</v>
      </c>
      <c r="J2611" t="s">
        <v>7783</v>
      </c>
      <c r="K2611">
        <v>648</v>
      </c>
      <c r="L2611" t="s">
        <v>5762</v>
      </c>
      <c r="M2611">
        <v>43</v>
      </c>
      <c r="N2611" t="str">
        <f>HYPERLINK("Gene1242-zp_tree_all.dnd", "Gene1242-tree")</f>
        <v>Gene1242-tree</v>
      </c>
      <c r="O2611">
        <v>6</v>
      </c>
      <c r="P2611">
        <v>10</v>
      </c>
      <c r="Q2611">
        <v>6</v>
      </c>
      <c r="R2611">
        <v>10</v>
      </c>
      <c r="S2611">
        <v>0.625</v>
      </c>
      <c r="T2611" t="s">
        <v>90</v>
      </c>
      <c r="U2611" t="s">
        <v>117</v>
      </c>
      <c r="V2611" t="s">
        <v>62</v>
      </c>
      <c r="W2611" t="s">
        <v>62</v>
      </c>
      <c r="X2611">
        <v>10</v>
      </c>
      <c r="Y2611">
        <v>26</v>
      </c>
      <c r="Z2611">
        <v>40</v>
      </c>
      <c r="AA2611">
        <v>0.39394000000000001</v>
      </c>
      <c r="AB2611">
        <v>0</v>
      </c>
      <c r="AC2611">
        <v>0</v>
      </c>
      <c r="AD2611">
        <v>0</v>
      </c>
      <c r="AE2611">
        <v>4</v>
      </c>
      <c r="AF2611">
        <v>0</v>
      </c>
      <c r="AG2611">
        <v>4</v>
      </c>
      <c r="AH2611">
        <v>2</v>
      </c>
      <c r="AI2611">
        <v>6</v>
      </c>
      <c r="AJ2611">
        <v>33</v>
      </c>
      <c r="AK2611">
        <v>0.15384999999999999</v>
      </c>
      <c r="AL2611">
        <v>12</v>
      </c>
      <c r="AM2611">
        <v>13</v>
      </c>
      <c r="AN2611">
        <v>83</v>
      </c>
      <c r="AO2611">
        <v>34</v>
      </c>
      <c r="AP2611">
        <v>70</v>
      </c>
      <c r="AQ2611">
        <v>33</v>
      </c>
      <c r="AR2611" t="s">
        <v>7784</v>
      </c>
      <c r="AS2611" t="s">
        <v>7785</v>
      </c>
      <c r="AT2611">
        <v>0.11600000000000001</v>
      </c>
      <c r="AU2611" t="s">
        <v>65</v>
      </c>
      <c r="AV2611">
        <v>153</v>
      </c>
      <c r="AW2611">
        <v>67</v>
      </c>
      <c r="AX2611" t="s">
        <v>7786</v>
      </c>
      <c r="AY2611">
        <v>6.0560000000000003E-2</v>
      </c>
      <c r="AZ2611">
        <v>-4.1599999999999996E-3</v>
      </c>
      <c r="BA2611">
        <v>7.4700000000000001E-3</v>
      </c>
      <c r="BB2611">
        <v>-3.8000000000000002E-4</v>
      </c>
      <c r="BC2611">
        <v>0.12329</v>
      </c>
      <c r="BD2611">
        <v>1</v>
      </c>
      <c r="BE2611" t="s">
        <v>69</v>
      </c>
      <c r="BF2611">
        <v>-1.2130000000000001</v>
      </c>
      <c r="BG2611">
        <v>-2.6539999999999999</v>
      </c>
    </row>
    <row r="2612" spans="1:59">
      <c r="A2612">
        <v>0</v>
      </c>
      <c r="B2612">
        <v>0</v>
      </c>
      <c r="C2612">
        <v>0</v>
      </c>
      <c r="D2612" t="s">
        <v>25022</v>
      </c>
      <c r="E2612">
        <v>1638</v>
      </c>
      <c r="F2612" t="s">
        <v>10265</v>
      </c>
      <c r="G2612" t="s">
        <v>57</v>
      </c>
      <c r="H2612">
        <v>1651142</v>
      </c>
      <c r="I2612">
        <v>1653085</v>
      </c>
      <c r="J2612" t="s">
        <v>10266</v>
      </c>
      <c r="K2612">
        <v>648</v>
      </c>
      <c r="L2612" t="s">
        <v>108</v>
      </c>
      <c r="M2612">
        <v>44</v>
      </c>
      <c r="N2612" t="str">
        <f>HYPERLINK("Gene1638-zp_tree_all.dnd", "Gene1638-tree")</f>
        <v>Gene1638-tree</v>
      </c>
      <c r="O2612">
        <v>10</v>
      </c>
      <c r="P2612">
        <v>5</v>
      </c>
      <c r="Q2612">
        <v>10</v>
      </c>
      <c r="R2612">
        <v>5</v>
      </c>
      <c r="S2612">
        <v>0.33333000000000002</v>
      </c>
      <c r="T2612" t="s">
        <v>117</v>
      </c>
      <c r="U2612" t="s">
        <v>199</v>
      </c>
      <c r="V2612" t="s">
        <v>62</v>
      </c>
      <c r="W2612" t="s">
        <v>62</v>
      </c>
      <c r="X2612">
        <v>0</v>
      </c>
      <c r="Y2612">
        <v>0</v>
      </c>
      <c r="Z2612">
        <v>10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6</v>
      </c>
      <c r="AK2612">
        <v>0</v>
      </c>
      <c r="AL2612">
        <v>14</v>
      </c>
      <c r="AM2612">
        <v>10</v>
      </c>
      <c r="AN2612">
        <v>32</v>
      </c>
      <c r="AO2612">
        <v>5</v>
      </c>
      <c r="AP2612">
        <v>33</v>
      </c>
      <c r="AQ2612">
        <v>5</v>
      </c>
      <c r="AR2612" t="s">
        <v>10267</v>
      </c>
      <c r="AS2612" t="s">
        <v>10268</v>
      </c>
      <c r="AT2612">
        <v>3.1E-2</v>
      </c>
      <c r="AU2612" t="s">
        <v>65</v>
      </c>
      <c r="AV2612">
        <v>65</v>
      </c>
      <c r="AW2612">
        <v>10</v>
      </c>
      <c r="AX2612" t="s">
        <v>10269</v>
      </c>
      <c r="AY2612">
        <v>2.903E-2</v>
      </c>
      <c r="AZ2612">
        <v>-1.2700000000000001E-3</v>
      </c>
      <c r="BA2612">
        <v>1.4E-3</v>
      </c>
      <c r="BB2612">
        <v>-8.0000000000000007E-5</v>
      </c>
      <c r="BC2612">
        <v>4.8090000000000001E-2</v>
      </c>
      <c r="BD2612">
        <v>1</v>
      </c>
      <c r="BE2612" t="s">
        <v>69</v>
      </c>
      <c r="BF2612">
        <v>-0.90700000000000003</v>
      </c>
      <c r="BG2612">
        <v>-0.78600000000000003</v>
      </c>
    </row>
    <row r="2613" spans="1:59">
      <c r="A2613">
        <v>0</v>
      </c>
      <c r="B2613">
        <v>0</v>
      </c>
      <c r="C2613">
        <v>0</v>
      </c>
      <c r="D2613" t="s">
        <v>25022</v>
      </c>
      <c r="E2613">
        <v>3952</v>
      </c>
      <c r="F2613" t="s">
        <v>23211</v>
      </c>
      <c r="G2613" t="s">
        <v>62</v>
      </c>
      <c r="H2613">
        <v>3915322</v>
      </c>
      <c r="I2613">
        <v>3917268</v>
      </c>
      <c r="J2613" t="s">
        <v>23212</v>
      </c>
      <c r="K2613">
        <v>649</v>
      </c>
      <c r="L2613" t="s">
        <v>59</v>
      </c>
      <c r="M2613">
        <v>49</v>
      </c>
      <c r="N2613" t="str">
        <f>HYPERLINK("Gene3952-zp_tree_all.dnd", "Gene3952-tree")</f>
        <v>Gene3952-tree</v>
      </c>
      <c r="O2613">
        <v>36</v>
      </c>
      <c r="P2613">
        <v>1</v>
      </c>
      <c r="Q2613">
        <v>19</v>
      </c>
      <c r="R2613">
        <v>1</v>
      </c>
      <c r="S2613">
        <v>0.05</v>
      </c>
      <c r="T2613" t="s">
        <v>3171</v>
      </c>
      <c r="U2613" t="s">
        <v>175</v>
      </c>
      <c r="V2613" t="s">
        <v>62</v>
      </c>
      <c r="W2613" t="s">
        <v>62</v>
      </c>
      <c r="X2613">
        <v>0</v>
      </c>
      <c r="Y2613">
        <v>0</v>
      </c>
      <c r="Z2613">
        <v>7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18</v>
      </c>
      <c r="AM2613">
        <v>11</v>
      </c>
      <c r="AN2613">
        <v>57</v>
      </c>
      <c r="AO2613">
        <v>1</v>
      </c>
      <c r="AP2613">
        <v>103</v>
      </c>
      <c r="AQ2613">
        <v>7</v>
      </c>
      <c r="AR2613" t="s">
        <v>23213</v>
      </c>
      <c r="AS2613" t="s">
        <v>23214</v>
      </c>
      <c r="AT2613">
        <v>0.32</v>
      </c>
      <c r="AU2613" t="s">
        <v>65</v>
      </c>
      <c r="AV2613">
        <v>160</v>
      </c>
      <c r="AW2613">
        <v>8</v>
      </c>
      <c r="AX2613" t="s">
        <v>23215</v>
      </c>
      <c r="AY2613">
        <v>8.3349999999999994E-2</v>
      </c>
      <c r="AZ2613">
        <v>-5.3499999999999997E-3</v>
      </c>
      <c r="BA2613">
        <v>1.6299999999999999E-3</v>
      </c>
      <c r="BB2613">
        <v>-1.2999999999999999E-4</v>
      </c>
      <c r="BC2613">
        <v>1.9550000000000001E-2</v>
      </c>
      <c r="BD2613">
        <v>1</v>
      </c>
      <c r="BE2613" t="s">
        <v>69</v>
      </c>
      <c r="BF2613">
        <v>-1.0269999999999999</v>
      </c>
      <c r="BG2613">
        <v>3.9E-2</v>
      </c>
    </row>
    <row r="2614" spans="1:59">
      <c r="A2614">
        <v>0</v>
      </c>
      <c r="B2614">
        <v>17</v>
      </c>
      <c r="C2614">
        <v>3</v>
      </c>
      <c r="D2614" t="s">
        <v>25022</v>
      </c>
      <c r="E2614">
        <v>1243</v>
      </c>
      <c r="F2614" t="s">
        <v>7789</v>
      </c>
      <c r="G2614" t="s">
        <v>57</v>
      </c>
      <c r="H2614">
        <v>1272725</v>
      </c>
      <c r="I2614">
        <v>1274674</v>
      </c>
      <c r="J2614" t="s">
        <v>7790</v>
      </c>
      <c r="K2614">
        <v>650</v>
      </c>
      <c r="L2614" t="s">
        <v>5762</v>
      </c>
      <c r="M2614">
        <v>43</v>
      </c>
      <c r="N2614" t="str">
        <f>HYPERLINK("Gene1243-zp_tree_all.dnd", "Gene1243-tree")</f>
        <v>Gene1243-tree</v>
      </c>
      <c r="O2614">
        <v>0</v>
      </c>
      <c r="P2614">
        <v>31</v>
      </c>
      <c r="Q2614">
        <v>0</v>
      </c>
      <c r="R2614">
        <v>13</v>
      </c>
      <c r="S2614">
        <v>1</v>
      </c>
      <c r="T2614" t="s">
        <v>62</v>
      </c>
      <c r="U2614" t="s">
        <v>7791</v>
      </c>
      <c r="V2614">
        <v>3.82</v>
      </c>
      <c r="W2614" t="s">
        <v>65</v>
      </c>
      <c r="X2614">
        <v>6</v>
      </c>
      <c r="Y2614">
        <v>20</v>
      </c>
      <c r="Z2614">
        <v>30</v>
      </c>
      <c r="AA2614">
        <v>0.4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11</v>
      </c>
      <c r="AH2614">
        <v>3</v>
      </c>
      <c r="AI2614">
        <v>14</v>
      </c>
      <c r="AJ2614">
        <v>29</v>
      </c>
      <c r="AK2614">
        <v>0.32557999999999998</v>
      </c>
      <c r="AL2614">
        <v>12</v>
      </c>
      <c r="AM2614">
        <v>9</v>
      </c>
      <c r="AN2614">
        <v>101</v>
      </c>
      <c r="AO2614">
        <v>44</v>
      </c>
      <c r="AP2614">
        <v>38</v>
      </c>
      <c r="AQ2614">
        <v>9</v>
      </c>
      <c r="AR2614" t="s">
        <v>7792</v>
      </c>
      <c r="AS2614" t="s">
        <v>7793</v>
      </c>
      <c r="AT2614">
        <v>1.109</v>
      </c>
      <c r="AU2614" t="s">
        <v>65</v>
      </c>
      <c r="AV2614">
        <v>139</v>
      </c>
      <c r="AW2614">
        <v>53</v>
      </c>
      <c r="AX2614" t="s">
        <v>7794</v>
      </c>
      <c r="AY2614">
        <v>5.45E-2</v>
      </c>
      <c r="AZ2614">
        <v>-3.0300000000000001E-3</v>
      </c>
      <c r="BA2614">
        <v>5.4599999999999996E-3</v>
      </c>
      <c r="BB2614">
        <v>-2.5000000000000001E-4</v>
      </c>
      <c r="BC2614">
        <v>0.10025000000000001</v>
      </c>
      <c r="BD2614">
        <v>1</v>
      </c>
      <c r="BE2614" t="s">
        <v>69</v>
      </c>
      <c r="BF2614">
        <v>-1.0229999999999999</v>
      </c>
      <c r="BG2614">
        <v>-2.0390000000000001</v>
      </c>
    </row>
    <row r="2615" spans="1:59">
      <c r="A2615">
        <v>0</v>
      </c>
      <c r="B2615">
        <v>25</v>
      </c>
      <c r="C2615">
        <v>2</v>
      </c>
      <c r="D2615" t="s">
        <v>25022</v>
      </c>
      <c r="E2615">
        <v>1450</v>
      </c>
      <c r="F2615" t="s">
        <v>9085</v>
      </c>
      <c r="G2615" t="s">
        <v>57</v>
      </c>
      <c r="H2615">
        <v>1463628</v>
      </c>
      <c r="I2615">
        <v>1465592</v>
      </c>
      <c r="J2615" t="s">
        <v>9086</v>
      </c>
      <c r="K2615">
        <v>655</v>
      </c>
      <c r="L2615" t="s">
        <v>265</v>
      </c>
      <c r="M2615">
        <v>43</v>
      </c>
      <c r="N2615" t="str">
        <f>HYPERLINK("Gene1450-zp_tree_all.dnd", "Gene1450-tree")</f>
        <v>Gene1450-tree</v>
      </c>
      <c r="O2615">
        <v>5</v>
      </c>
      <c r="P2615">
        <v>11</v>
      </c>
      <c r="Q2615">
        <v>5</v>
      </c>
      <c r="R2615">
        <v>11</v>
      </c>
      <c r="S2615">
        <v>0.6875</v>
      </c>
      <c r="T2615" t="s">
        <v>199</v>
      </c>
      <c r="U2615" t="s">
        <v>73</v>
      </c>
      <c r="V2615">
        <v>137353515.63499999</v>
      </c>
      <c r="W2615" t="s">
        <v>267</v>
      </c>
      <c r="X2615">
        <v>10</v>
      </c>
      <c r="Y2615">
        <v>27</v>
      </c>
      <c r="Z2615">
        <v>19</v>
      </c>
      <c r="AA2615">
        <v>0.58696000000000004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9</v>
      </c>
      <c r="AH2615">
        <v>0</v>
      </c>
      <c r="AI2615">
        <v>9</v>
      </c>
      <c r="AJ2615">
        <v>17</v>
      </c>
      <c r="AK2615">
        <v>0.34615000000000001</v>
      </c>
      <c r="AL2615">
        <v>14</v>
      </c>
      <c r="AM2615">
        <v>12</v>
      </c>
      <c r="AN2615">
        <v>54</v>
      </c>
      <c r="AO2615">
        <v>27</v>
      </c>
      <c r="AP2615">
        <v>26</v>
      </c>
      <c r="AQ2615">
        <v>20</v>
      </c>
      <c r="AR2615" t="s">
        <v>9087</v>
      </c>
      <c r="AS2615" t="s">
        <v>9088</v>
      </c>
      <c r="AT2615">
        <v>0.71799999999999997</v>
      </c>
      <c r="AU2615" t="s">
        <v>65</v>
      </c>
      <c r="AV2615">
        <v>80</v>
      </c>
      <c r="AW2615">
        <v>47</v>
      </c>
      <c r="AX2615" t="s">
        <v>9089</v>
      </c>
      <c r="AY2615">
        <v>3.288E-2</v>
      </c>
      <c r="AZ2615">
        <v>-1.23E-3</v>
      </c>
      <c r="BA2615">
        <v>5.4099999999999999E-3</v>
      </c>
      <c r="BB2615">
        <v>-2.1000000000000001E-4</v>
      </c>
      <c r="BC2615">
        <v>0.16452</v>
      </c>
      <c r="BD2615">
        <v>1</v>
      </c>
      <c r="BE2615" t="s">
        <v>69</v>
      </c>
      <c r="BF2615">
        <v>-0.76300000000000001</v>
      </c>
      <c r="BG2615">
        <v>-2.411</v>
      </c>
    </row>
    <row r="2616" spans="1:59">
      <c r="A2616">
        <v>0</v>
      </c>
      <c r="B2616">
        <v>2</v>
      </c>
      <c r="C2616">
        <v>0</v>
      </c>
      <c r="D2616" t="s">
        <v>25022</v>
      </c>
      <c r="E2616">
        <v>1876</v>
      </c>
      <c r="F2616" t="s">
        <v>11743</v>
      </c>
      <c r="G2616" t="s">
        <v>57</v>
      </c>
      <c r="H2616">
        <v>1933477</v>
      </c>
      <c r="I2616">
        <v>1935441</v>
      </c>
      <c r="J2616" t="s">
        <v>11744</v>
      </c>
      <c r="K2616">
        <v>655</v>
      </c>
      <c r="L2616" t="s">
        <v>289</v>
      </c>
      <c r="M2616">
        <v>46</v>
      </c>
      <c r="N2616" t="str">
        <f>HYPERLINK("Gene1876-zp_tree_all.dnd", "Gene1876-tree")</f>
        <v>Gene1876-tree</v>
      </c>
      <c r="O2616">
        <v>14</v>
      </c>
      <c r="P2616">
        <v>2</v>
      </c>
      <c r="Q2616">
        <v>14</v>
      </c>
      <c r="R2616">
        <v>2</v>
      </c>
      <c r="S2616">
        <v>0.125</v>
      </c>
      <c r="T2616" t="s">
        <v>543</v>
      </c>
      <c r="U2616" t="s">
        <v>81</v>
      </c>
      <c r="V2616" t="s">
        <v>62</v>
      </c>
      <c r="W2616" t="s">
        <v>62</v>
      </c>
      <c r="X2616">
        <v>1</v>
      </c>
      <c r="Y2616">
        <v>2</v>
      </c>
      <c r="Z2616">
        <v>5</v>
      </c>
      <c r="AA2616">
        <v>0.28571000000000002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</v>
      </c>
      <c r="AK2616">
        <v>0</v>
      </c>
      <c r="AL2616">
        <v>13</v>
      </c>
      <c r="AM2616">
        <v>13</v>
      </c>
      <c r="AN2616">
        <v>71</v>
      </c>
      <c r="AO2616">
        <v>4</v>
      </c>
      <c r="AP2616">
        <v>90</v>
      </c>
      <c r="AQ2616">
        <v>3</v>
      </c>
      <c r="AR2616" t="s">
        <v>11745</v>
      </c>
      <c r="AS2616" t="s">
        <v>11746</v>
      </c>
      <c r="AT2616">
        <v>0.158</v>
      </c>
      <c r="AU2616" t="s">
        <v>65</v>
      </c>
      <c r="AV2616">
        <v>161</v>
      </c>
      <c r="AW2616">
        <v>7</v>
      </c>
      <c r="AX2616" t="s">
        <v>11747</v>
      </c>
      <c r="AY2616">
        <v>7.3910000000000003E-2</v>
      </c>
      <c r="AZ2616">
        <v>-7.0299999999999998E-3</v>
      </c>
      <c r="BA2616">
        <v>8.3000000000000001E-4</v>
      </c>
      <c r="BB2616">
        <v>-6.9999999999999994E-5</v>
      </c>
      <c r="BC2616">
        <v>1.1270000000000001E-2</v>
      </c>
      <c r="BD2616">
        <v>1</v>
      </c>
      <c r="BE2616" t="s">
        <v>69</v>
      </c>
      <c r="BF2616">
        <v>-1.599</v>
      </c>
      <c r="BG2616">
        <v>-0.871</v>
      </c>
    </row>
    <row r="2617" spans="1:59">
      <c r="A2617">
        <v>0</v>
      </c>
      <c r="B2617">
        <v>47</v>
      </c>
      <c r="C2617">
        <v>1</v>
      </c>
      <c r="D2617" t="s">
        <v>25022</v>
      </c>
      <c r="E2617">
        <v>3341</v>
      </c>
      <c r="F2617" t="s">
        <v>19517</v>
      </c>
      <c r="G2617" t="s">
        <v>62</v>
      </c>
      <c r="H2617">
        <v>3310766</v>
      </c>
      <c r="I2617">
        <v>3312736</v>
      </c>
      <c r="J2617" t="s">
        <v>19518</v>
      </c>
      <c r="K2617">
        <v>657</v>
      </c>
      <c r="L2617" t="s">
        <v>108</v>
      </c>
      <c r="M2617">
        <v>44</v>
      </c>
      <c r="N2617" t="str">
        <f>HYPERLINK("Gene3341-zp_tree_all.dnd", "Gene3341-tree")</f>
        <v>Gene3341-tree</v>
      </c>
      <c r="O2617">
        <v>1</v>
      </c>
      <c r="P2617">
        <v>15</v>
      </c>
      <c r="Q2617">
        <v>1</v>
      </c>
      <c r="R2617">
        <v>15</v>
      </c>
      <c r="S2617">
        <v>0.9375</v>
      </c>
      <c r="T2617" t="s">
        <v>175</v>
      </c>
      <c r="U2617" t="s">
        <v>100</v>
      </c>
      <c r="V2617" t="s">
        <v>62</v>
      </c>
      <c r="W2617" t="s">
        <v>62</v>
      </c>
      <c r="X2617">
        <v>17</v>
      </c>
      <c r="Y2617">
        <v>48</v>
      </c>
      <c r="Z2617">
        <v>28</v>
      </c>
      <c r="AA2617">
        <v>0.63158000000000003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23</v>
      </c>
      <c r="AH2617">
        <v>2</v>
      </c>
      <c r="AI2617">
        <v>25</v>
      </c>
      <c r="AJ2617">
        <v>32</v>
      </c>
      <c r="AK2617">
        <v>0.43859999999999999</v>
      </c>
      <c r="AL2617">
        <v>14</v>
      </c>
      <c r="AM2617">
        <v>12</v>
      </c>
      <c r="AN2617">
        <v>93</v>
      </c>
      <c r="AO2617">
        <v>44</v>
      </c>
      <c r="AP2617">
        <v>74</v>
      </c>
      <c r="AQ2617">
        <v>35</v>
      </c>
      <c r="AR2617" t="s">
        <v>19519</v>
      </c>
      <c r="AS2617" t="s">
        <v>19520</v>
      </c>
      <c r="AT2617">
        <v>0</v>
      </c>
      <c r="AU2617" t="s">
        <v>65</v>
      </c>
      <c r="AV2617">
        <v>167</v>
      </c>
      <c r="AW2617">
        <v>79</v>
      </c>
      <c r="AX2617" t="s">
        <v>19521</v>
      </c>
      <c r="AY2617">
        <v>6.1260000000000002E-2</v>
      </c>
      <c r="AZ2617">
        <v>-1.89E-3</v>
      </c>
      <c r="BA2617">
        <v>8.4499999999999992E-3</v>
      </c>
      <c r="BB2617">
        <v>-3.2000000000000003E-4</v>
      </c>
      <c r="BC2617">
        <v>0.13791</v>
      </c>
      <c r="BD2617">
        <v>1</v>
      </c>
      <c r="BE2617" t="s">
        <v>69</v>
      </c>
      <c r="BF2617">
        <v>-8.5000000000000006E-2</v>
      </c>
      <c r="BG2617">
        <v>-0.32800000000000001</v>
      </c>
    </row>
    <row r="2618" spans="1:59">
      <c r="A2618">
        <v>0</v>
      </c>
      <c r="B2618">
        <v>17</v>
      </c>
      <c r="C2618">
        <v>1</v>
      </c>
      <c r="D2618" t="s">
        <v>25022</v>
      </c>
      <c r="E2618">
        <v>305</v>
      </c>
      <c r="F2618" t="s">
        <v>2076</v>
      </c>
      <c r="G2618" t="s">
        <v>57</v>
      </c>
      <c r="H2618">
        <v>327618</v>
      </c>
      <c r="I2618">
        <v>329594</v>
      </c>
      <c r="J2618" t="s">
        <v>2077</v>
      </c>
      <c r="K2618">
        <v>659</v>
      </c>
      <c r="L2618" t="s">
        <v>2078</v>
      </c>
      <c r="M2618">
        <v>36</v>
      </c>
      <c r="N2618" t="str">
        <f>HYPERLINK("Gene305-zp_tree_all.dnd", "Gene305-tree")</f>
        <v>Gene305-tree</v>
      </c>
      <c r="O2618">
        <v>2</v>
      </c>
      <c r="P2618">
        <v>11</v>
      </c>
      <c r="Q2618">
        <v>2</v>
      </c>
      <c r="R2618">
        <v>11</v>
      </c>
      <c r="S2618">
        <v>0.84614999999999996</v>
      </c>
      <c r="T2618" t="s">
        <v>81</v>
      </c>
      <c r="U2618" t="s">
        <v>73</v>
      </c>
      <c r="V2618">
        <v>515075683.63</v>
      </c>
      <c r="W2618" t="s">
        <v>267</v>
      </c>
      <c r="X2618">
        <v>8</v>
      </c>
      <c r="Y2618">
        <v>18</v>
      </c>
      <c r="Z2618">
        <v>30</v>
      </c>
      <c r="AA2618">
        <v>0.375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14</v>
      </c>
      <c r="AH2618">
        <v>2</v>
      </c>
      <c r="AI2618">
        <v>16</v>
      </c>
      <c r="AJ2618">
        <v>21</v>
      </c>
      <c r="AK2618">
        <v>0.43242999999999998</v>
      </c>
      <c r="AL2618">
        <v>11</v>
      </c>
      <c r="AM2618">
        <v>9</v>
      </c>
      <c r="AN2618">
        <v>61</v>
      </c>
      <c r="AO2618">
        <v>32</v>
      </c>
      <c r="AP2618">
        <v>74</v>
      </c>
      <c r="AQ2618">
        <v>16</v>
      </c>
      <c r="AR2618" t="s">
        <v>2079</v>
      </c>
      <c r="AS2618" t="s">
        <v>2080</v>
      </c>
      <c r="AT2618">
        <v>1.2869999999999999</v>
      </c>
      <c r="AU2618" t="s">
        <v>65</v>
      </c>
      <c r="AV2618">
        <v>135</v>
      </c>
      <c r="AW2618">
        <v>48</v>
      </c>
      <c r="AX2618" t="s">
        <v>2081</v>
      </c>
      <c r="AY2618">
        <v>6.7280000000000006E-2</v>
      </c>
      <c r="AZ2618">
        <v>-3.3300000000000001E-3</v>
      </c>
      <c r="BA2618">
        <v>7.1199999999999996E-3</v>
      </c>
      <c r="BB2618">
        <v>-3.8000000000000002E-4</v>
      </c>
      <c r="BC2618">
        <v>0.10582</v>
      </c>
      <c r="BD2618">
        <v>1</v>
      </c>
      <c r="BE2618" t="s">
        <v>69</v>
      </c>
      <c r="BF2618">
        <v>-0.25</v>
      </c>
      <c r="BG2618">
        <v>-0.45800000000000002</v>
      </c>
    </row>
    <row r="2619" spans="1:59">
      <c r="A2619">
        <v>0</v>
      </c>
      <c r="B2619">
        <v>4</v>
      </c>
      <c r="C2619">
        <v>0</v>
      </c>
      <c r="D2619" t="s">
        <v>25022</v>
      </c>
      <c r="E2619">
        <v>4197</v>
      </c>
      <c r="F2619" t="s">
        <v>24715</v>
      </c>
      <c r="G2619" t="s">
        <v>62</v>
      </c>
      <c r="H2619">
        <v>4163646</v>
      </c>
      <c r="I2619">
        <v>4165622</v>
      </c>
      <c r="J2619" t="s">
        <v>24716</v>
      </c>
      <c r="K2619">
        <v>659</v>
      </c>
      <c r="L2619" t="s">
        <v>59</v>
      </c>
      <c r="M2619">
        <v>49</v>
      </c>
      <c r="N2619" t="str">
        <f>HYPERLINK("Gene4197-zp_tree_all.dnd", "Gene4197-tree")</f>
        <v>Gene4197-tree</v>
      </c>
      <c r="O2619">
        <v>13</v>
      </c>
      <c r="P2619">
        <v>7</v>
      </c>
      <c r="Q2619">
        <v>13</v>
      </c>
      <c r="R2619">
        <v>7</v>
      </c>
      <c r="S2619">
        <v>0.35</v>
      </c>
      <c r="T2619" t="s">
        <v>507</v>
      </c>
      <c r="U2619" t="s">
        <v>152</v>
      </c>
      <c r="V2619" t="s">
        <v>62</v>
      </c>
      <c r="W2619" t="s">
        <v>62</v>
      </c>
      <c r="X2619">
        <v>2</v>
      </c>
      <c r="Y2619">
        <v>4</v>
      </c>
      <c r="Z2619">
        <v>15</v>
      </c>
      <c r="AA2619">
        <v>0.21052999999999999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7</v>
      </c>
      <c r="AK2619">
        <v>0</v>
      </c>
      <c r="AL2619">
        <v>18</v>
      </c>
      <c r="AM2619">
        <v>14</v>
      </c>
      <c r="AN2619">
        <v>83</v>
      </c>
      <c r="AO2619">
        <v>7</v>
      </c>
      <c r="AP2619">
        <v>114</v>
      </c>
      <c r="AQ2619">
        <v>12</v>
      </c>
      <c r="AR2619" t="s">
        <v>24717</v>
      </c>
      <c r="AS2619" t="s">
        <v>24718</v>
      </c>
      <c r="AT2619">
        <v>0.11700000000000001</v>
      </c>
      <c r="AU2619" t="s">
        <v>65</v>
      </c>
      <c r="AV2619">
        <v>197</v>
      </c>
      <c r="AW2619">
        <v>19</v>
      </c>
      <c r="AX2619" t="s">
        <v>24719</v>
      </c>
      <c r="AY2619">
        <v>9.4070000000000001E-2</v>
      </c>
      <c r="AZ2619">
        <v>-5.9800000000000001E-3</v>
      </c>
      <c r="BA2619">
        <v>2.5200000000000001E-3</v>
      </c>
      <c r="BB2619">
        <v>-1.6000000000000001E-4</v>
      </c>
      <c r="BC2619">
        <v>2.6749999999999999E-2</v>
      </c>
      <c r="BD2619">
        <v>1</v>
      </c>
      <c r="BE2619" t="s">
        <v>69</v>
      </c>
      <c r="BF2619">
        <v>-1.2729999999999999</v>
      </c>
      <c r="BG2619">
        <v>-0.5</v>
      </c>
    </row>
    <row r="2620" spans="1:59">
      <c r="A2620">
        <v>0</v>
      </c>
      <c r="B2620">
        <v>5</v>
      </c>
      <c r="C2620">
        <v>0</v>
      </c>
      <c r="D2620" t="s">
        <v>25022</v>
      </c>
      <c r="E2620">
        <v>3240</v>
      </c>
      <c r="F2620" t="s">
        <v>18888</v>
      </c>
      <c r="G2620" t="s">
        <v>62</v>
      </c>
      <c r="H2620">
        <v>3206172</v>
      </c>
      <c r="I2620">
        <v>3208154</v>
      </c>
      <c r="J2620" t="s">
        <v>9086</v>
      </c>
      <c r="K2620">
        <v>661</v>
      </c>
      <c r="L2620" t="s">
        <v>108</v>
      </c>
      <c r="M2620">
        <v>44</v>
      </c>
      <c r="N2620" t="str">
        <f>HYPERLINK("Gene3240-zp_tree_all.dnd", "Gene3240-tree")</f>
        <v>Gene3240-tree</v>
      </c>
      <c r="O2620">
        <v>10</v>
      </c>
      <c r="P2620">
        <v>6</v>
      </c>
      <c r="Q2620">
        <v>10</v>
      </c>
      <c r="R2620">
        <v>6</v>
      </c>
      <c r="S2620">
        <v>0.375</v>
      </c>
      <c r="T2620" t="s">
        <v>117</v>
      </c>
      <c r="U2620" t="s">
        <v>90</v>
      </c>
      <c r="V2620" t="s">
        <v>62</v>
      </c>
      <c r="W2620" t="s">
        <v>62</v>
      </c>
      <c r="X2620">
        <v>2</v>
      </c>
      <c r="Y2620">
        <v>5</v>
      </c>
      <c r="Z2620">
        <v>10</v>
      </c>
      <c r="AA2620">
        <v>0.33333000000000002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</v>
      </c>
      <c r="AH2620">
        <v>0</v>
      </c>
      <c r="AI2620">
        <v>2</v>
      </c>
      <c r="AJ2620">
        <v>8</v>
      </c>
      <c r="AK2620">
        <v>0.2</v>
      </c>
      <c r="AL2620">
        <v>14</v>
      </c>
      <c r="AM2620">
        <v>13</v>
      </c>
      <c r="AN2620">
        <v>58</v>
      </c>
      <c r="AO2620">
        <v>10</v>
      </c>
      <c r="AP2620">
        <v>63</v>
      </c>
      <c r="AQ2620">
        <v>5</v>
      </c>
      <c r="AR2620" t="s">
        <v>18889</v>
      </c>
      <c r="AS2620" t="s">
        <v>18890</v>
      </c>
      <c r="AT2620">
        <v>0.66400000000000003</v>
      </c>
      <c r="AU2620" t="s">
        <v>65</v>
      </c>
      <c r="AV2620">
        <v>121</v>
      </c>
      <c r="AW2620">
        <v>15</v>
      </c>
      <c r="AX2620" t="s">
        <v>18891</v>
      </c>
      <c r="AY2620">
        <v>5.2049999999999999E-2</v>
      </c>
      <c r="AZ2620">
        <v>-1.8E-3</v>
      </c>
      <c r="BA2620">
        <v>1.6900000000000001E-3</v>
      </c>
      <c r="BB2620">
        <v>-9.0000000000000006E-5</v>
      </c>
      <c r="BC2620">
        <v>3.245E-2</v>
      </c>
      <c r="BD2620">
        <v>1</v>
      </c>
      <c r="BE2620" t="s">
        <v>69</v>
      </c>
      <c r="BF2620">
        <v>-0.109</v>
      </c>
      <c r="BG2620">
        <v>1.7000000000000001E-2</v>
      </c>
    </row>
    <row r="2621" spans="1:59">
      <c r="A2621">
        <v>0</v>
      </c>
      <c r="B2621">
        <v>4</v>
      </c>
      <c r="C2621">
        <v>0</v>
      </c>
      <c r="D2621" t="s">
        <v>25022</v>
      </c>
      <c r="E2621">
        <v>3644</v>
      </c>
      <c r="F2621" t="s">
        <v>21387</v>
      </c>
      <c r="G2621" t="s">
        <v>62</v>
      </c>
      <c r="H2621">
        <v>3612948</v>
      </c>
      <c r="I2621">
        <v>3614930</v>
      </c>
      <c r="J2621" t="s">
        <v>21388</v>
      </c>
      <c r="K2621">
        <v>661</v>
      </c>
      <c r="L2621" t="s">
        <v>108</v>
      </c>
      <c r="M2621">
        <v>44</v>
      </c>
      <c r="N2621" t="str">
        <f>HYPERLINK("Gene3644-zp_tree_all.dnd", "Gene3644-tree")</f>
        <v>Gene3644-tree</v>
      </c>
      <c r="O2621">
        <v>9</v>
      </c>
      <c r="P2621">
        <v>3</v>
      </c>
      <c r="Q2621">
        <v>9</v>
      </c>
      <c r="R2621">
        <v>3</v>
      </c>
      <c r="S2621">
        <v>0.25</v>
      </c>
      <c r="T2621" t="s">
        <v>135</v>
      </c>
      <c r="U2621" t="s">
        <v>324</v>
      </c>
      <c r="V2621" t="s">
        <v>62</v>
      </c>
      <c r="W2621" t="s">
        <v>62</v>
      </c>
      <c r="X2621">
        <v>2</v>
      </c>
      <c r="Y2621">
        <v>4</v>
      </c>
      <c r="Z2621">
        <v>1</v>
      </c>
      <c r="AA2621">
        <v>0.8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2</v>
      </c>
      <c r="AH2621">
        <v>0</v>
      </c>
      <c r="AI2621">
        <v>2</v>
      </c>
      <c r="AJ2621">
        <v>1</v>
      </c>
      <c r="AK2621">
        <v>0.66666999999999998</v>
      </c>
      <c r="AL2621">
        <v>8</v>
      </c>
      <c r="AM2621">
        <v>8</v>
      </c>
      <c r="AN2621">
        <v>39</v>
      </c>
      <c r="AO2621">
        <v>2</v>
      </c>
      <c r="AP2621">
        <v>39</v>
      </c>
      <c r="AQ2621">
        <v>3</v>
      </c>
      <c r="AR2621" t="s">
        <v>21389</v>
      </c>
      <c r="AS2621" t="s">
        <v>21390</v>
      </c>
      <c r="AT2621">
        <v>0.254</v>
      </c>
      <c r="AU2621" t="s">
        <v>65</v>
      </c>
      <c r="AV2621">
        <v>78</v>
      </c>
      <c r="AW2621">
        <v>5</v>
      </c>
      <c r="AX2621" t="s">
        <v>21391</v>
      </c>
      <c r="AY2621">
        <v>3.8969999999999998E-2</v>
      </c>
      <c r="AZ2621">
        <v>-2.0699999999999998E-3</v>
      </c>
      <c r="BA2621">
        <v>7.5000000000000002E-4</v>
      </c>
      <c r="BB2621">
        <v>-6.9999999999999994E-5</v>
      </c>
      <c r="BC2621">
        <v>1.9349999999999999E-2</v>
      </c>
      <c r="BD2621">
        <v>1</v>
      </c>
      <c r="BE2621" t="s">
        <v>69</v>
      </c>
      <c r="BF2621">
        <v>-0.81899999999999995</v>
      </c>
      <c r="BG2621">
        <v>-1.3959999999999999</v>
      </c>
    </row>
    <row r="2622" spans="1:59">
      <c r="A2622">
        <v>0</v>
      </c>
      <c r="B2622">
        <v>10</v>
      </c>
      <c r="C2622">
        <v>0</v>
      </c>
      <c r="D2622" t="s">
        <v>25022</v>
      </c>
      <c r="E2622">
        <v>3241</v>
      </c>
      <c r="F2622" t="s">
        <v>18894</v>
      </c>
      <c r="G2622" t="s">
        <v>62</v>
      </c>
      <c r="H2622">
        <v>3208283</v>
      </c>
      <c r="I2622">
        <v>3210268</v>
      </c>
      <c r="J2622" t="s">
        <v>18895</v>
      </c>
      <c r="K2622">
        <v>662</v>
      </c>
      <c r="L2622" t="s">
        <v>11541</v>
      </c>
      <c r="M2622">
        <v>35</v>
      </c>
      <c r="N2622" t="str">
        <f>HYPERLINK("Gene3241-zp_tree_all.dnd", "Gene3241-tree")</f>
        <v>Gene3241-tree</v>
      </c>
      <c r="O2622">
        <v>5</v>
      </c>
      <c r="P2622">
        <v>8</v>
      </c>
      <c r="Q2622">
        <v>5</v>
      </c>
      <c r="R2622">
        <v>8</v>
      </c>
      <c r="S2622">
        <v>0.61538000000000004</v>
      </c>
      <c r="T2622" t="s">
        <v>199</v>
      </c>
      <c r="U2622" t="s">
        <v>136</v>
      </c>
      <c r="V2622" t="s">
        <v>62</v>
      </c>
      <c r="W2622" t="s">
        <v>62</v>
      </c>
      <c r="X2622">
        <v>4</v>
      </c>
      <c r="Y2622">
        <v>10</v>
      </c>
      <c r="Z2622">
        <v>22</v>
      </c>
      <c r="AA2622">
        <v>0.3125</v>
      </c>
      <c r="AB2622">
        <v>0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2</v>
      </c>
      <c r="AI2622">
        <v>2</v>
      </c>
      <c r="AJ2622">
        <v>18</v>
      </c>
      <c r="AK2622">
        <v>0.1</v>
      </c>
      <c r="AL2622">
        <v>12</v>
      </c>
      <c r="AM2622">
        <v>9</v>
      </c>
      <c r="AN2622">
        <v>79</v>
      </c>
      <c r="AO2622">
        <v>20</v>
      </c>
      <c r="AP2622">
        <v>38</v>
      </c>
      <c r="AQ2622">
        <v>12</v>
      </c>
      <c r="AR2622" t="s">
        <v>18896</v>
      </c>
      <c r="AS2622" t="s">
        <v>18897</v>
      </c>
      <c r="AT2622">
        <v>0.19800000000000001</v>
      </c>
      <c r="AU2622" t="s">
        <v>65</v>
      </c>
      <c r="AV2622">
        <v>117</v>
      </c>
      <c r="AW2622">
        <v>32</v>
      </c>
      <c r="AX2622" t="s">
        <v>18898</v>
      </c>
      <c r="AY2622">
        <v>4.9439999999999998E-2</v>
      </c>
      <c r="AZ2622">
        <v>-2.4199999999999998E-3</v>
      </c>
      <c r="BA2622">
        <v>4.1399999999999996E-3</v>
      </c>
      <c r="BB2622">
        <v>-2.7E-4</v>
      </c>
      <c r="BC2622">
        <v>8.3690000000000001E-2</v>
      </c>
      <c r="BD2622">
        <v>1</v>
      </c>
      <c r="BE2622" t="s">
        <v>69</v>
      </c>
      <c r="BF2622">
        <v>-0.70299999999999996</v>
      </c>
      <c r="BG2622">
        <v>-1.1850000000000001</v>
      </c>
    </row>
    <row r="2623" spans="1:59">
      <c r="A2623">
        <v>0</v>
      </c>
      <c r="B2623">
        <v>9</v>
      </c>
      <c r="C2623">
        <v>1</v>
      </c>
      <c r="D2623" t="s">
        <v>25022</v>
      </c>
      <c r="E2623">
        <v>3242</v>
      </c>
      <c r="F2623" t="s">
        <v>18901</v>
      </c>
      <c r="G2623" t="s">
        <v>62</v>
      </c>
      <c r="H2623">
        <v>3210448</v>
      </c>
      <c r="I2623">
        <v>3212433</v>
      </c>
      <c r="J2623" t="s">
        <v>9086</v>
      </c>
      <c r="K2623">
        <v>662</v>
      </c>
      <c r="L2623" t="s">
        <v>108</v>
      </c>
      <c r="M2623">
        <v>44</v>
      </c>
      <c r="N2623" t="str">
        <f>HYPERLINK("Gene3242-zp_tree_all.dnd", "Gene3242-tree")</f>
        <v>Gene3242-tree</v>
      </c>
      <c r="O2623">
        <v>6</v>
      </c>
      <c r="P2623">
        <v>10</v>
      </c>
      <c r="Q2623">
        <v>6</v>
      </c>
      <c r="R2623">
        <v>10</v>
      </c>
      <c r="S2623">
        <v>0.625</v>
      </c>
      <c r="T2623" t="s">
        <v>90</v>
      </c>
      <c r="U2623" t="s">
        <v>117</v>
      </c>
      <c r="V2623" t="s">
        <v>62</v>
      </c>
      <c r="W2623" t="s">
        <v>62</v>
      </c>
      <c r="X2623">
        <v>4</v>
      </c>
      <c r="Y2623">
        <v>10</v>
      </c>
      <c r="Z2623">
        <v>12</v>
      </c>
      <c r="AA2623">
        <v>0.45455000000000001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4</v>
      </c>
      <c r="AH2623">
        <v>2</v>
      </c>
      <c r="AI2623">
        <v>6</v>
      </c>
      <c r="AJ2623">
        <v>12</v>
      </c>
      <c r="AK2623">
        <v>0.33333000000000002</v>
      </c>
      <c r="AL2623">
        <v>14</v>
      </c>
      <c r="AM2623">
        <v>13</v>
      </c>
      <c r="AN2623">
        <v>67</v>
      </c>
      <c r="AO2623">
        <v>17</v>
      </c>
      <c r="AP2623">
        <v>28</v>
      </c>
      <c r="AQ2623">
        <v>5</v>
      </c>
      <c r="AR2623" t="s">
        <v>18902</v>
      </c>
      <c r="AS2623" t="s">
        <v>18903</v>
      </c>
      <c r="AT2623">
        <v>0.45800000000000002</v>
      </c>
      <c r="AU2623" t="s">
        <v>65</v>
      </c>
      <c r="AV2623">
        <v>95</v>
      </c>
      <c r="AW2623">
        <v>22</v>
      </c>
      <c r="AX2623" t="s">
        <v>18904</v>
      </c>
      <c r="AY2623">
        <v>3.4419999999999999E-2</v>
      </c>
      <c r="AZ2623">
        <v>-1.3699999999999999E-3</v>
      </c>
      <c r="BA2623">
        <v>2.0500000000000002E-3</v>
      </c>
      <c r="BB2623">
        <v>-9.0000000000000006E-5</v>
      </c>
      <c r="BC2623">
        <v>5.9470000000000002E-2</v>
      </c>
      <c r="BD2623">
        <v>1</v>
      </c>
      <c r="BE2623" t="s">
        <v>69</v>
      </c>
      <c r="BF2623">
        <v>-0.91900000000000004</v>
      </c>
      <c r="BG2623">
        <v>-1.8660000000000001</v>
      </c>
    </row>
    <row r="2624" spans="1:59">
      <c r="A2624">
        <v>0</v>
      </c>
      <c r="B2624">
        <v>0</v>
      </c>
      <c r="C2624">
        <v>0</v>
      </c>
      <c r="D2624" t="s">
        <v>25022</v>
      </c>
      <c r="E2624">
        <v>3239</v>
      </c>
      <c r="F2624" t="s">
        <v>18883</v>
      </c>
      <c r="G2624" t="s">
        <v>62</v>
      </c>
      <c r="H2624">
        <v>3204070</v>
      </c>
      <c r="I2624">
        <v>3206055</v>
      </c>
      <c r="J2624" t="s">
        <v>9086</v>
      </c>
      <c r="K2624">
        <v>662</v>
      </c>
      <c r="L2624" t="s">
        <v>108</v>
      </c>
      <c r="M2624">
        <v>44</v>
      </c>
      <c r="N2624" t="str">
        <f>HYPERLINK("Gene3239-zp_tree_all.dnd", "Gene3239-tree")</f>
        <v>Gene3239-tree</v>
      </c>
      <c r="O2624">
        <v>10</v>
      </c>
      <c r="P2624">
        <v>6</v>
      </c>
      <c r="Q2624">
        <v>10</v>
      </c>
      <c r="R2624">
        <v>6</v>
      </c>
      <c r="S2624">
        <v>0.375</v>
      </c>
      <c r="T2624" t="s">
        <v>117</v>
      </c>
      <c r="U2624" t="s">
        <v>90</v>
      </c>
      <c r="V2624" t="s">
        <v>62</v>
      </c>
      <c r="W2624" t="s">
        <v>62</v>
      </c>
      <c r="X2624">
        <v>0</v>
      </c>
      <c r="Y2624">
        <v>0</v>
      </c>
      <c r="Z2624">
        <v>13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9</v>
      </c>
      <c r="AK2624">
        <v>0</v>
      </c>
      <c r="AL2624">
        <v>14</v>
      </c>
      <c r="AM2624">
        <v>12</v>
      </c>
      <c r="AN2624">
        <v>63</v>
      </c>
      <c r="AO2624">
        <v>9</v>
      </c>
      <c r="AP2624">
        <v>53</v>
      </c>
      <c r="AQ2624">
        <v>4</v>
      </c>
      <c r="AR2624" t="s">
        <v>18884</v>
      </c>
      <c r="AS2624" t="s">
        <v>18885</v>
      </c>
      <c r="AT2624">
        <v>0.6</v>
      </c>
      <c r="AU2624" t="s">
        <v>65</v>
      </c>
      <c r="AV2624">
        <v>116</v>
      </c>
      <c r="AW2624">
        <v>13</v>
      </c>
      <c r="AX2624" t="s">
        <v>18886</v>
      </c>
      <c r="AY2624">
        <v>4.7559999999999998E-2</v>
      </c>
      <c r="AZ2624">
        <v>-1.2899999999999999E-3</v>
      </c>
      <c r="BA2624">
        <v>1.9599999999999999E-3</v>
      </c>
      <c r="BB2624">
        <v>-1.1E-4</v>
      </c>
      <c r="BC2624">
        <v>4.1189999999999997E-2</v>
      </c>
      <c r="BD2624">
        <v>1</v>
      </c>
      <c r="BE2624" t="s">
        <v>69</v>
      </c>
      <c r="BF2624">
        <v>2.3E-2</v>
      </c>
      <c r="BG2624">
        <v>-0.95</v>
      </c>
    </row>
    <row r="2625" spans="1:59">
      <c r="A2625">
        <v>0</v>
      </c>
      <c r="B2625">
        <v>26</v>
      </c>
      <c r="C2625">
        <v>4</v>
      </c>
      <c r="D2625" t="s">
        <v>25022</v>
      </c>
      <c r="E2625">
        <v>745</v>
      </c>
      <c r="F2625" t="s">
        <v>4624</v>
      </c>
      <c r="G2625" t="s">
        <v>57</v>
      </c>
      <c r="H2625">
        <v>774799</v>
      </c>
      <c r="I2625">
        <v>776787</v>
      </c>
      <c r="J2625" t="s">
        <v>4625</v>
      </c>
      <c r="K2625">
        <v>663</v>
      </c>
      <c r="L2625" t="s">
        <v>4626</v>
      </c>
      <c r="M2625">
        <v>37</v>
      </c>
      <c r="N2625" t="str">
        <f>HYPERLINK("Gene745-zp_tree_all.dnd", "Gene745-tree")</f>
        <v>Gene745-tree</v>
      </c>
      <c r="O2625">
        <v>0</v>
      </c>
      <c r="P2625">
        <v>31</v>
      </c>
      <c r="Q2625">
        <v>0</v>
      </c>
      <c r="R2625">
        <v>14</v>
      </c>
      <c r="S2625">
        <v>1</v>
      </c>
      <c r="T2625" t="s">
        <v>62</v>
      </c>
      <c r="U2625" t="s">
        <v>4627</v>
      </c>
      <c r="V2625">
        <v>3.6080000000000001</v>
      </c>
      <c r="W2625" t="s">
        <v>65</v>
      </c>
      <c r="X2625">
        <v>12</v>
      </c>
      <c r="Y2625">
        <v>30</v>
      </c>
      <c r="Z2625">
        <v>35</v>
      </c>
      <c r="AA2625">
        <v>0.46154000000000001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10</v>
      </c>
      <c r="AH2625">
        <v>0</v>
      </c>
      <c r="AI2625">
        <v>10</v>
      </c>
      <c r="AJ2625">
        <v>33</v>
      </c>
      <c r="AK2625">
        <v>0.23255999999999999</v>
      </c>
      <c r="AL2625">
        <v>13</v>
      </c>
      <c r="AM2625">
        <v>11</v>
      </c>
      <c r="AN2625">
        <v>105</v>
      </c>
      <c r="AO2625">
        <v>43</v>
      </c>
      <c r="AP2625">
        <v>73</v>
      </c>
      <c r="AQ2625">
        <v>23</v>
      </c>
      <c r="AR2625" t="s">
        <v>4628</v>
      </c>
      <c r="AS2625" t="s">
        <v>4629</v>
      </c>
      <c r="AT2625">
        <v>0.88300000000000001</v>
      </c>
      <c r="AU2625" t="s">
        <v>65</v>
      </c>
      <c r="AV2625">
        <v>178</v>
      </c>
      <c r="AW2625">
        <v>66</v>
      </c>
      <c r="AX2625" t="s">
        <v>4630</v>
      </c>
      <c r="AY2625">
        <v>6.7159999999999997E-2</v>
      </c>
      <c r="AZ2625">
        <v>-2.3400000000000001E-3</v>
      </c>
      <c r="BA2625">
        <v>7.9000000000000008E-3</v>
      </c>
      <c r="BB2625">
        <v>-2.9E-4</v>
      </c>
      <c r="BC2625">
        <v>0.11762</v>
      </c>
      <c r="BD2625">
        <v>1</v>
      </c>
      <c r="BE2625" t="s">
        <v>69</v>
      </c>
      <c r="BF2625">
        <v>-0.46400000000000002</v>
      </c>
      <c r="BG2625">
        <v>-0.84</v>
      </c>
    </row>
    <row r="2626" spans="1:59">
      <c r="A2626">
        <v>0</v>
      </c>
      <c r="B2626">
        <v>7</v>
      </c>
      <c r="C2626">
        <v>0</v>
      </c>
      <c r="D2626" t="s">
        <v>25022</v>
      </c>
      <c r="E2626">
        <v>38</v>
      </c>
      <c r="F2626" t="s">
        <v>341</v>
      </c>
      <c r="G2626" t="s">
        <v>57</v>
      </c>
      <c r="H2626">
        <v>45633</v>
      </c>
      <c r="I2626">
        <v>47624</v>
      </c>
      <c r="J2626" t="s">
        <v>342</v>
      </c>
      <c r="K2626">
        <v>664</v>
      </c>
      <c r="L2626" t="s">
        <v>108</v>
      </c>
      <c r="M2626">
        <v>44</v>
      </c>
      <c r="N2626" t="str">
        <f>HYPERLINK("Gene38-zp_tree_all.dnd", "Gene38-tree")</f>
        <v>Gene38-tree</v>
      </c>
      <c r="O2626">
        <v>9</v>
      </c>
      <c r="P2626">
        <v>7</v>
      </c>
      <c r="Q2626">
        <v>9</v>
      </c>
      <c r="R2626">
        <v>7</v>
      </c>
      <c r="S2626">
        <v>0.4375</v>
      </c>
      <c r="T2626" t="s">
        <v>135</v>
      </c>
      <c r="U2626" t="s">
        <v>152</v>
      </c>
      <c r="V2626" t="s">
        <v>62</v>
      </c>
      <c r="W2626" t="s">
        <v>62</v>
      </c>
      <c r="X2626">
        <v>3</v>
      </c>
      <c r="Y2626">
        <v>7</v>
      </c>
      <c r="Z2626">
        <v>7</v>
      </c>
      <c r="AA2626">
        <v>0.5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2</v>
      </c>
      <c r="AH2626">
        <v>0</v>
      </c>
      <c r="AI2626">
        <v>2</v>
      </c>
      <c r="AJ2626">
        <v>5</v>
      </c>
      <c r="AK2626">
        <v>0.28571000000000002</v>
      </c>
      <c r="AL2626">
        <v>15</v>
      </c>
      <c r="AM2626">
        <v>13</v>
      </c>
      <c r="AN2626">
        <v>51</v>
      </c>
      <c r="AO2626">
        <v>7</v>
      </c>
      <c r="AP2626">
        <v>68</v>
      </c>
      <c r="AQ2626">
        <v>7</v>
      </c>
      <c r="AR2626" t="s">
        <v>343</v>
      </c>
      <c r="AS2626" t="s">
        <v>344</v>
      </c>
      <c r="AT2626">
        <v>0.38600000000000001</v>
      </c>
      <c r="AU2626" t="s">
        <v>65</v>
      </c>
      <c r="AV2626">
        <v>119</v>
      </c>
      <c r="AW2626">
        <v>14</v>
      </c>
      <c r="AX2626" t="s">
        <v>345</v>
      </c>
      <c r="AY2626">
        <v>4.3139999999999998E-2</v>
      </c>
      <c r="AZ2626">
        <v>-1.1800000000000001E-3</v>
      </c>
      <c r="BA2626">
        <v>1.5100000000000001E-3</v>
      </c>
      <c r="BB2626">
        <v>-6.9999999999999994E-5</v>
      </c>
      <c r="BC2626">
        <v>3.5110000000000002E-2</v>
      </c>
      <c r="BD2626">
        <v>1</v>
      </c>
      <c r="BE2626" t="s">
        <v>69</v>
      </c>
      <c r="BF2626">
        <v>-0.34300000000000003</v>
      </c>
      <c r="BG2626">
        <v>-0.995</v>
      </c>
    </row>
    <row r="2627" spans="1:59">
      <c r="A2627">
        <v>0</v>
      </c>
      <c r="B2627">
        <v>22</v>
      </c>
      <c r="C2627">
        <v>0</v>
      </c>
      <c r="D2627" t="s">
        <v>25022</v>
      </c>
      <c r="E2627">
        <v>4244</v>
      </c>
      <c r="F2627" t="s">
        <v>24927</v>
      </c>
      <c r="G2627" t="s">
        <v>62</v>
      </c>
      <c r="H2627">
        <v>4201073</v>
      </c>
      <c r="I2627">
        <v>4203073</v>
      </c>
      <c r="J2627" t="s">
        <v>24928</v>
      </c>
      <c r="K2627">
        <v>667</v>
      </c>
      <c r="L2627" t="s">
        <v>108</v>
      </c>
      <c r="M2627">
        <v>44</v>
      </c>
      <c r="N2627" t="str">
        <f>HYPERLINK("Gene4244-zp_tree_all.dnd", "Gene4244-tree")</f>
        <v>Gene4244-tree</v>
      </c>
      <c r="O2627">
        <v>2</v>
      </c>
      <c r="P2627">
        <v>12</v>
      </c>
      <c r="Q2627">
        <v>2</v>
      </c>
      <c r="R2627">
        <v>12</v>
      </c>
      <c r="S2627">
        <v>0.85714000000000001</v>
      </c>
      <c r="T2627" t="s">
        <v>81</v>
      </c>
      <c r="U2627" t="s">
        <v>109</v>
      </c>
      <c r="V2627" t="s">
        <v>62</v>
      </c>
      <c r="W2627" t="s">
        <v>62</v>
      </c>
      <c r="X2627">
        <v>9</v>
      </c>
      <c r="Y2627">
        <v>22</v>
      </c>
      <c r="Z2627">
        <v>25</v>
      </c>
      <c r="AA2627">
        <v>0.46809000000000001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8</v>
      </c>
      <c r="AH2627">
        <v>0</v>
      </c>
      <c r="AI2627">
        <v>8</v>
      </c>
      <c r="AJ2627">
        <v>26</v>
      </c>
      <c r="AK2627">
        <v>0.23529</v>
      </c>
      <c r="AL2627">
        <v>14</v>
      </c>
      <c r="AM2627">
        <v>11</v>
      </c>
      <c r="AN2627">
        <v>59</v>
      </c>
      <c r="AO2627">
        <v>34</v>
      </c>
      <c r="AP2627">
        <v>61</v>
      </c>
      <c r="AQ2627">
        <v>13</v>
      </c>
      <c r="AR2627" t="s">
        <v>24929</v>
      </c>
      <c r="AS2627" t="s">
        <v>24930</v>
      </c>
      <c r="AT2627">
        <v>3.1520000000000001</v>
      </c>
      <c r="AU2627" t="s">
        <v>267</v>
      </c>
      <c r="AV2627">
        <v>120</v>
      </c>
      <c r="AW2627">
        <v>47</v>
      </c>
      <c r="AX2627" t="s">
        <v>24931</v>
      </c>
      <c r="AY2627">
        <v>5.1330000000000001E-2</v>
      </c>
      <c r="AZ2627">
        <v>-1.7700000000000001E-3</v>
      </c>
      <c r="BA2627">
        <v>4.7499999999999999E-3</v>
      </c>
      <c r="BB2627">
        <v>-1.4999999999999999E-4</v>
      </c>
      <c r="BC2627">
        <v>9.2539999999999997E-2</v>
      </c>
      <c r="BD2627">
        <v>1</v>
      </c>
      <c r="BE2627" t="s">
        <v>69</v>
      </c>
      <c r="BF2627">
        <v>-0.14499999999999999</v>
      </c>
      <c r="BG2627">
        <v>-0.71</v>
      </c>
    </row>
    <row r="2628" spans="1:59">
      <c r="A2628">
        <v>0</v>
      </c>
      <c r="B2628">
        <v>4</v>
      </c>
      <c r="C2628">
        <v>0</v>
      </c>
      <c r="D2628" t="s">
        <v>25022</v>
      </c>
      <c r="E2628">
        <v>1855</v>
      </c>
      <c r="F2628" t="s">
        <v>11617</v>
      </c>
      <c r="G2628" t="s">
        <v>57</v>
      </c>
      <c r="H2628">
        <v>1919861</v>
      </c>
      <c r="I2628">
        <v>1921861</v>
      </c>
      <c r="J2628" t="s">
        <v>11618</v>
      </c>
      <c r="K2628">
        <v>667</v>
      </c>
      <c r="L2628" t="s">
        <v>108</v>
      </c>
      <c r="M2628">
        <v>44</v>
      </c>
      <c r="N2628" t="str">
        <f>HYPERLINK("Gene1855-zp_tree_all.dnd", "Gene1855-tree")</f>
        <v>Gene1855-tree</v>
      </c>
      <c r="O2628">
        <v>7</v>
      </c>
      <c r="P2628">
        <v>25</v>
      </c>
      <c r="Q2628">
        <v>7</v>
      </c>
      <c r="R2628">
        <v>8</v>
      </c>
      <c r="S2628">
        <v>0.53332999999999997</v>
      </c>
      <c r="T2628" t="s">
        <v>152</v>
      </c>
      <c r="U2628" t="s">
        <v>1667</v>
      </c>
      <c r="V2628">
        <v>3.1669999999999998</v>
      </c>
      <c r="W2628" t="s">
        <v>65</v>
      </c>
      <c r="X2628">
        <v>2</v>
      </c>
      <c r="Y2628">
        <v>4</v>
      </c>
      <c r="Z2628">
        <v>6</v>
      </c>
      <c r="AA2628">
        <v>0.4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</v>
      </c>
      <c r="AH2628">
        <v>0</v>
      </c>
      <c r="AI2628">
        <v>2</v>
      </c>
      <c r="AJ2628">
        <v>5</v>
      </c>
      <c r="AK2628">
        <v>0.28571000000000002</v>
      </c>
      <c r="AL2628">
        <v>12</v>
      </c>
      <c r="AM2628">
        <v>9</v>
      </c>
      <c r="AN2628">
        <v>38</v>
      </c>
      <c r="AO2628">
        <v>7</v>
      </c>
      <c r="AP2628">
        <v>20</v>
      </c>
      <c r="AQ2628">
        <v>3</v>
      </c>
      <c r="AR2628" t="s">
        <v>11619</v>
      </c>
      <c r="AS2628" t="s">
        <v>11620</v>
      </c>
      <c r="AT2628">
        <v>0.182</v>
      </c>
      <c r="AU2628" t="s">
        <v>65</v>
      </c>
      <c r="AV2628">
        <v>58</v>
      </c>
      <c r="AW2628">
        <v>10</v>
      </c>
      <c r="AX2628" t="s">
        <v>11621</v>
      </c>
      <c r="AY2628">
        <v>2.1999999999999999E-2</v>
      </c>
      <c r="AZ2628">
        <v>-1.2700000000000001E-3</v>
      </c>
      <c r="BA2628">
        <v>1.1100000000000001E-3</v>
      </c>
      <c r="BB2628">
        <v>-6.0000000000000002E-5</v>
      </c>
      <c r="BC2628">
        <v>5.058E-2</v>
      </c>
      <c r="BD2628">
        <v>1</v>
      </c>
      <c r="BE2628" t="s">
        <v>69</v>
      </c>
      <c r="BF2628">
        <v>-1.3029999999999999</v>
      </c>
      <c r="BG2628">
        <v>-2.7360000000000002</v>
      </c>
    </row>
    <row r="2629" spans="1:59">
      <c r="A2629">
        <v>0</v>
      </c>
      <c r="B2629">
        <v>6</v>
      </c>
      <c r="C2629">
        <v>0</v>
      </c>
      <c r="D2629" t="s">
        <v>25022</v>
      </c>
      <c r="E2629">
        <v>422</v>
      </c>
      <c r="F2629" t="s">
        <v>2866</v>
      </c>
      <c r="G2629" t="s">
        <v>57</v>
      </c>
      <c r="H2629">
        <v>463934</v>
      </c>
      <c r="I2629">
        <v>465937</v>
      </c>
      <c r="J2629" t="s">
        <v>2867</v>
      </c>
      <c r="K2629">
        <v>668</v>
      </c>
      <c r="L2629" t="s">
        <v>108</v>
      </c>
      <c r="M2629">
        <v>44</v>
      </c>
      <c r="N2629" t="str">
        <f>HYPERLINK("Gene422-zp_tree_all.dnd", "Gene422-tree")</f>
        <v>Gene422-tree</v>
      </c>
      <c r="O2629">
        <v>5</v>
      </c>
      <c r="P2629">
        <v>11</v>
      </c>
      <c r="Q2629">
        <v>5</v>
      </c>
      <c r="R2629">
        <v>11</v>
      </c>
      <c r="S2629">
        <v>0.6875</v>
      </c>
      <c r="T2629" t="s">
        <v>199</v>
      </c>
      <c r="U2629" t="s">
        <v>73</v>
      </c>
      <c r="V2629">
        <v>137353515.63499999</v>
      </c>
      <c r="W2629" t="s">
        <v>267</v>
      </c>
      <c r="X2629">
        <v>2</v>
      </c>
      <c r="Y2629">
        <v>6</v>
      </c>
      <c r="Z2629">
        <v>18</v>
      </c>
      <c r="AA2629">
        <v>0.25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4</v>
      </c>
      <c r="AH2629">
        <v>0</v>
      </c>
      <c r="AI2629">
        <v>4</v>
      </c>
      <c r="AJ2629">
        <v>12</v>
      </c>
      <c r="AK2629">
        <v>0.25</v>
      </c>
      <c r="AL2629">
        <v>14</v>
      </c>
      <c r="AM2629">
        <v>11</v>
      </c>
      <c r="AN2629">
        <v>51</v>
      </c>
      <c r="AO2629">
        <v>15</v>
      </c>
      <c r="AP2629">
        <v>34</v>
      </c>
      <c r="AQ2629">
        <v>9</v>
      </c>
      <c r="AR2629" t="s">
        <v>2868</v>
      </c>
      <c r="AS2629" t="s">
        <v>2869</v>
      </c>
      <c r="AT2629">
        <v>7.1999999999999995E-2</v>
      </c>
      <c r="AU2629" t="s">
        <v>65</v>
      </c>
      <c r="AV2629">
        <v>85</v>
      </c>
      <c r="AW2629">
        <v>24</v>
      </c>
      <c r="AX2629" t="s">
        <v>2870</v>
      </c>
      <c r="AY2629">
        <v>3.0429999999999999E-2</v>
      </c>
      <c r="AZ2629">
        <v>-1.8500000000000001E-3</v>
      </c>
      <c r="BA2629">
        <v>2.7899999999999999E-3</v>
      </c>
      <c r="BB2629">
        <v>-1.2999999999999999E-4</v>
      </c>
      <c r="BC2629">
        <v>9.1689999999999994E-2</v>
      </c>
      <c r="BD2629">
        <v>1</v>
      </c>
      <c r="BE2629" t="s">
        <v>69</v>
      </c>
      <c r="BF2629">
        <v>-1.1930000000000001</v>
      </c>
      <c r="BG2629">
        <v>-2.9409999999999998</v>
      </c>
    </row>
    <row r="2630" spans="1:59">
      <c r="A2630">
        <v>0</v>
      </c>
      <c r="B2630">
        <v>4</v>
      </c>
      <c r="C2630">
        <v>0</v>
      </c>
      <c r="D2630" t="s">
        <v>25022</v>
      </c>
      <c r="E2630">
        <v>697</v>
      </c>
      <c r="F2630" t="s">
        <v>4361</v>
      </c>
      <c r="G2630" t="s">
        <v>57</v>
      </c>
      <c r="H2630">
        <v>721613</v>
      </c>
      <c r="I2630">
        <v>723616</v>
      </c>
      <c r="J2630" t="s">
        <v>4362</v>
      </c>
      <c r="K2630">
        <v>668</v>
      </c>
      <c r="L2630" t="s">
        <v>108</v>
      </c>
      <c r="M2630">
        <v>44</v>
      </c>
      <c r="N2630" t="str">
        <f>HYPERLINK("Gene697-zp_tree_all.dnd", "Gene697-tree")</f>
        <v>Gene697-tree</v>
      </c>
      <c r="O2630">
        <v>7</v>
      </c>
      <c r="P2630">
        <v>8</v>
      </c>
      <c r="Q2630">
        <v>7</v>
      </c>
      <c r="R2630">
        <v>8</v>
      </c>
      <c r="S2630">
        <v>0.53332999999999997</v>
      </c>
      <c r="T2630" t="s">
        <v>152</v>
      </c>
      <c r="U2630" t="s">
        <v>136</v>
      </c>
      <c r="V2630" t="s">
        <v>62</v>
      </c>
      <c r="W2630" t="s">
        <v>62</v>
      </c>
      <c r="X2630">
        <v>2</v>
      </c>
      <c r="Y2630">
        <v>4</v>
      </c>
      <c r="Z2630">
        <v>19</v>
      </c>
      <c r="AA2630">
        <v>0.17391000000000001</v>
      </c>
      <c r="AB2630">
        <v>0</v>
      </c>
      <c r="AC2630">
        <v>0</v>
      </c>
      <c r="AD2630">
        <v>0</v>
      </c>
      <c r="AE2630">
        <v>2</v>
      </c>
      <c r="AF2630">
        <v>0</v>
      </c>
      <c r="AG2630">
        <v>0</v>
      </c>
      <c r="AH2630">
        <v>0</v>
      </c>
      <c r="AI2630">
        <v>0</v>
      </c>
      <c r="AJ2630">
        <v>18</v>
      </c>
      <c r="AK2630">
        <v>0</v>
      </c>
      <c r="AL2630">
        <v>14</v>
      </c>
      <c r="AM2630">
        <v>11</v>
      </c>
      <c r="AN2630">
        <v>159</v>
      </c>
      <c r="AO2630">
        <v>19</v>
      </c>
      <c r="AP2630">
        <v>85</v>
      </c>
      <c r="AQ2630">
        <v>7</v>
      </c>
      <c r="AR2630" t="s">
        <v>4363</v>
      </c>
      <c r="AS2630" t="s">
        <v>4364</v>
      </c>
      <c r="AT2630">
        <v>0.34200000000000003</v>
      </c>
      <c r="AU2630" t="s">
        <v>65</v>
      </c>
      <c r="AV2630">
        <v>244</v>
      </c>
      <c r="AW2630">
        <v>26</v>
      </c>
      <c r="AX2630" t="s">
        <v>4365</v>
      </c>
      <c r="AY2630">
        <v>7.961E-2</v>
      </c>
      <c r="AZ2630">
        <v>-2.6700000000000001E-3</v>
      </c>
      <c r="BA2630">
        <v>3.4299999999999999E-3</v>
      </c>
      <c r="BB2630">
        <v>-1.9000000000000001E-4</v>
      </c>
      <c r="BC2630">
        <v>4.3060000000000001E-2</v>
      </c>
      <c r="BD2630">
        <v>1</v>
      </c>
      <c r="BE2630" t="s">
        <v>69</v>
      </c>
      <c r="BF2630">
        <v>-0.72299999999999998</v>
      </c>
      <c r="BG2630">
        <v>-1.407</v>
      </c>
    </row>
    <row r="2631" spans="1:59">
      <c r="A2631">
        <v>0</v>
      </c>
      <c r="B2631">
        <v>5</v>
      </c>
      <c r="C2631">
        <v>0</v>
      </c>
      <c r="D2631" t="s">
        <v>25022</v>
      </c>
      <c r="E2631">
        <v>3469</v>
      </c>
      <c r="F2631" t="s">
        <v>20318</v>
      </c>
      <c r="G2631" t="s">
        <v>62</v>
      </c>
      <c r="H2631">
        <v>3428334</v>
      </c>
      <c r="I2631">
        <v>3430343</v>
      </c>
      <c r="J2631" t="s">
        <v>6288</v>
      </c>
      <c r="K2631">
        <v>670</v>
      </c>
      <c r="L2631" t="s">
        <v>265</v>
      </c>
      <c r="M2631">
        <v>43</v>
      </c>
      <c r="N2631" t="str">
        <f>HYPERLINK("Gene3469-zp_tree_all.dnd", "Gene3469-tree")</f>
        <v>Gene3469-tree</v>
      </c>
      <c r="O2631">
        <v>6</v>
      </c>
      <c r="P2631">
        <v>9</v>
      </c>
      <c r="Q2631">
        <v>6</v>
      </c>
      <c r="R2631">
        <v>9</v>
      </c>
      <c r="S2631">
        <v>0.6</v>
      </c>
      <c r="T2631" t="s">
        <v>90</v>
      </c>
      <c r="U2631" t="s">
        <v>135</v>
      </c>
      <c r="V2631" t="s">
        <v>62</v>
      </c>
      <c r="W2631" t="s">
        <v>62</v>
      </c>
      <c r="X2631">
        <v>2</v>
      </c>
      <c r="Y2631">
        <v>5</v>
      </c>
      <c r="Z2631">
        <v>8</v>
      </c>
      <c r="AA2631">
        <v>0.38462000000000002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</v>
      </c>
      <c r="AH2631">
        <v>0</v>
      </c>
      <c r="AI2631">
        <v>2</v>
      </c>
      <c r="AJ2631">
        <v>8</v>
      </c>
      <c r="AK2631">
        <v>0.2</v>
      </c>
      <c r="AL2631">
        <v>14</v>
      </c>
      <c r="AM2631">
        <v>10</v>
      </c>
      <c r="AN2631">
        <v>56</v>
      </c>
      <c r="AO2631">
        <v>10</v>
      </c>
      <c r="AP2631">
        <v>48</v>
      </c>
      <c r="AQ2631">
        <v>3</v>
      </c>
      <c r="AR2631" t="s">
        <v>20319</v>
      </c>
      <c r="AS2631" t="s">
        <v>20320</v>
      </c>
      <c r="AT2631">
        <v>1.3580000000000001</v>
      </c>
      <c r="AU2631" t="s">
        <v>65</v>
      </c>
      <c r="AV2631">
        <v>104</v>
      </c>
      <c r="AW2631">
        <v>13</v>
      </c>
      <c r="AX2631" t="s">
        <v>20321</v>
      </c>
      <c r="AY2631">
        <v>4.9959999999999997E-2</v>
      </c>
      <c r="AZ2631">
        <v>-2.3E-3</v>
      </c>
      <c r="BA2631">
        <v>1.17E-3</v>
      </c>
      <c r="BB2631">
        <v>-6.0000000000000002E-5</v>
      </c>
      <c r="BC2631">
        <v>2.3449999999999999E-2</v>
      </c>
      <c r="BD2631">
        <v>1</v>
      </c>
      <c r="BE2631" t="s">
        <v>69</v>
      </c>
      <c r="BF2631">
        <v>0.41099999999999998</v>
      </c>
      <c r="BG2631">
        <v>-0.33700000000000002</v>
      </c>
    </row>
    <row r="2632" spans="1:59">
      <c r="A2632">
        <v>0</v>
      </c>
      <c r="B2632">
        <v>2</v>
      </c>
      <c r="C2632">
        <v>0</v>
      </c>
      <c r="D2632" t="s">
        <v>25022</v>
      </c>
      <c r="E2632">
        <v>1191</v>
      </c>
      <c r="F2632" t="s">
        <v>7490</v>
      </c>
      <c r="G2632" t="s">
        <v>57</v>
      </c>
      <c r="H2632">
        <v>1231083</v>
      </c>
      <c r="I2632">
        <v>1233092</v>
      </c>
      <c r="J2632" t="s">
        <v>7491</v>
      </c>
      <c r="K2632">
        <v>670</v>
      </c>
      <c r="L2632" t="s">
        <v>265</v>
      </c>
      <c r="M2632">
        <v>43</v>
      </c>
      <c r="N2632" t="str">
        <f>HYPERLINK("Gene1191-zp_tree_all.dnd", "Gene1191-tree")</f>
        <v>Gene1191-tree</v>
      </c>
      <c r="O2632">
        <v>29</v>
      </c>
      <c r="P2632">
        <v>4</v>
      </c>
      <c r="Q2632">
        <v>9</v>
      </c>
      <c r="R2632">
        <v>4</v>
      </c>
      <c r="S2632">
        <v>0.30769000000000002</v>
      </c>
      <c r="T2632" t="s">
        <v>234</v>
      </c>
      <c r="U2632" t="s">
        <v>61</v>
      </c>
      <c r="V2632" t="s">
        <v>62</v>
      </c>
      <c r="W2632" t="s">
        <v>62</v>
      </c>
      <c r="X2632">
        <v>1</v>
      </c>
      <c r="Y2632">
        <v>2</v>
      </c>
      <c r="Z2632">
        <v>4</v>
      </c>
      <c r="AA2632">
        <v>0.33333000000000002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2</v>
      </c>
      <c r="AH2632">
        <v>0</v>
      </c>
      <c r="AI2632">
        <v>2</v>
      </c>
      <c r="AJ2632">
        <v>3</v>
      </c>
      <c r="AK2632">
        <v>0.4</v>
      </c>
      <c r="AL2632">
        <v>10</v>
      </c>
      <c r="AM2632">
        <v>10</v>
      </c>
      <c r="AN2632">
        <v>54</v>
      </c>
      <c r="AO2632">
        <v>5</v>
      </c>
      <c r="AP2632">
        <v>29</v>
      </c>
      <c r="AQ2632">
        <v>1</v>
      </c>
      <c r="AR2632" t="s">
        <v>7492</v>
      </c>
      <c r="AS2632" t="s">
        <v>7493</v>
      </c>
      <c r="AT2632">
        <v>0.47</v>
      </c>
      <c r="AU2632" t="s">
        <v>65</v>
      </c>
      <c r="AV2632">
        <v>83</v>
      </c>
      <c r="AW2632">
        <v>6</v>
      </c>
      <c r="AX2632" t="s">
        <v>7494</v>
      </c>
      <c r="AY2632">
        <v>3.5680000000000003E-2</v>
      </c>
      <c r="AZ2632">
        <v>-1.49E-3</v>
      </c>
      <c r="BA2632">
        <v>7.2000000000000005E-4</v>
      </c>
      <c r="BB2632">
        <v>-6.0000000000000002E-5</v>
      </c>
      <c r="BC2632">
        <v>2.0299999999999999E-2</v>
      </c>
      <c r="BD2632">
        <v>1</v>
      </c>
      <c r="BE2632" t="s">
        <v>69</v>
      </c>
      <c r="BF2632">
        <v>-1.0069999999999999</v>
      </c>
      <c r="BG2632">
        <v>-1.887</v>
      </c>
    </row>
    <row r="2633" spans="1:59">
      <c r="A2633">
        <v>0</v>
      </c>
      <c r="B2633">
        <v>2</v>
      </c>
      <c r="C2633">
        <v>2</v>
      </c>
      <c r="D2633" t="s">
        <v>25022</v>
      </c>
      <c r="E2633">
        <v>1705</v>
      </c>
      <c r="F2633" t="s">
        <v>10688</v>
      </c>
      <c r="G2633" t="s">
        <v>57</v>
      </c>
      <c r="H2633">
        <v>1712815</v>
      </c>
      <c r="I2633">
        <v>1714830</v>
      </c>
      <c r="J2633" t="s">
        <v>10689</v>
      </c>
      <c r="K2633">
        <v>672</v>
      </c>
      <c r="L2633" t="s">
        <v>10690</v>
      </c>
      <c r="M2633">
        <v>44</v>
      </c>
      <c r="N2633" t="str">
        <f>HYPERLINK("Gene1705-zp_tree_all.dnd", "Gene1705-tree")</f>
        <v>Gene1705-tree</v>
      </c>
      <c r="O2633">
        <v>7</v>
      </c>
      <c r="P2633">
        <v>5</v>
      </c>
      <c r="Q2633">
        <v>7</v>
      </c>
      <c r="R2633">
        <v>5</v>
      </c>
      <c r="S2633">
        <v>0.41666999999999998</v>
      </c>
      <c r="T2633" t="s">
        <v>152</v>
      </c>
      <c r="U2633" t="s">
        <v>199</v>
      </c>
      <c r="V2633" t="s">
        <v>62</v>
      </c>
      <c r="W2633" t="s">
        <v>62</v>
      </c>
      <c r="X2633">
        <v>2</v>
      </c>
      <c r="Y2633">
        <v>4</v>
      </c>
      <c r="Z2633">
        <v>21</v>
      </c>
      <c r="AA2633">
        <v>0.16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2</v>
      </c>
      <c r="AI2633">
        <v>2</v>
      </c>
      <c r="AJ2633">
        <v>21</v>
      </c>
      <c r="AK2633">
        <v>8.6959999999999996E-2</v>
      </c>
      <c r="AL2633">
        <v>11</v>
      </c>
      <c r="AM2633">
        <v>7</v>
      </c>
      <c r="AN2633">
        <v>103</v>
      </c>
      <c r="AO2633">
        <v>25</v>
      </c>
      <c r="AP2633">
        <v>14</v>
      </c>
      <c r="AQ2633">
        <v>2</v>
      </c>
      <c r="AR2633" t="s">
        <v>10691</v>
      </c>
      <c r="AS2633" t="s">
        <v>10692</v>
      </c>
      <c r="AT2633">
        <v>0.11899999999999999</v>
      </c>
      <c r="AU2633" t="s">
        <v>65</v>
      </c>
      <c r="AV2633">
        <v>117</v>
      </c>
      <c r="AW2633">
        <v>27</v>
      </c>
      <c r="AX2633" t="s">
        <v>10693</v>
      </c>
      <c r="AY2633">
        <v>5.0950000000000002E-2</v>
      </c>
      <c r="AZ2633">
        <v>-7.8200000000000006E-3</v>
      </c>
      <c r="BA2633">
        <v>3.0799999999999998E-3</v>
      </c>
      <c r="BB2633">
        <v>-5.6999999999999998E-4</v>
      </c>
      <c r="BC2633">
        <v>6.0539999999999997E-2</v>
      </c>
      <c r="BD2633">
        <v>1</v>
      </c>
      <c r="BE2633" t="s">
        <v>69</v>
      </c>
      <c r="BF2633">
        <v>-2.0840000000000001</v>
      </c>
      <c r="BG2633">
        <v>-4.7140000000000004</v>
      </c>
    </row>
    <row r="2634" spans="1:59">
      <c r="A2634">
        <v>0</v>
      </c>
      <c r="B2634">
        <v>0</v>
      </c>
      <c r="C2634">
        <v>0</v>
      </c>
      <c r="D2634" t="s">
        <v>25022</v>
      </c>
      <c r="E2634">
        <v>3705</v>
      </c>
      <c r="F2634" t="s">
        <v>21709</v>
      </c>
      <c r="G2634" t="s">
        <v>62</v>
      </c>
      <c r="H2634">
        <v>3678402</v>
      </c>
      <c r="I2634">
        <v>3680420</v>
      </c>
      <c r="J2634" t="s">
        <v>21710</v>
      </c>
      <c r="K2634">
        <v>673</v>
      </c>
      <c r="L2634" t="s">
        <v>12343</v>
      </c>
      <c r="M2634">
        <v>25</v>
      </c>
      <c r="N2634" t="str">
        <f>HYPERLINK("Gene3705-zp_tree_all.dnd", "Gene3705-tree")</f>
        <v>Gene3705-tree</v>
      </c>
      <c r="O2634">
        <v>1</v>
      </c>
      <c r="P2634">
        <v>5</v>
      </c>
      <c r="Q2634">
        <v>1</v>
      </c>
      <c r="R2634">
        <v>5</v>
      </c>
      <c r="S2634">
        <v>0.83333000000000002</v>
      </c>
      <c r="T2634" t="s">
        <v>175</v>
      </c>
      <c r="U2634" t="s">
        <v>199</v>
      </c>
      <c r="V2634" t="s">
        <v>62</v>
      </c>
      <c r="W2634" t="s">
        <v>62</v>
      </c>
      <c r="X2634">
        <v>0</v>
      </c>
      <c r="Y2634">
        <v>0</v>
      </c>
      <c r="Z2634">
        <v>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23</v>
      </c>
      <c r="AK2634">
        <v>0</v>
      </c>
      <c r="AL2634">
        <v>6</v>
      </c>
      <c r="AM2634">
        <v>1</v>
      </c>
      <c r="AN2634">
        <v>31</v>
      </c>
      <c r="AO2634">
        <v>23</v>
      </c>
      <c r="AP2634">
        <v>1</v>
      </c>
      <c r="AQ2634">
        <v>0</v>
      </c>
      <c r="AR2634" t="s">
        <v>21711</v>
      </c>
      <c r="AS2634" t="s">
        <v>193</v>
      </c>
      <c r="AT2634">
        <v>0.47599999999999998</v>
      </c>
      <c r="AU2634" t="s">
        <v>65</v>
      </c>
      <c r="AV2634">
        <v>32</v>
      </c>
      <c r="AW2634">
        <v>23</v>
      </c>
      <c r="AX2634" t="s">
        <v>21712</v>
      </c>
      <c r="AY2634">
        <v>2.682E-2</v>
      </c>
      <c r="AZ2634">
        <v>-7.9000000000000008E-3</v>
      </c>
      <c r="BA2634">
        <v>4.8300000000000001E-3</v>
      </c>
      <c r="BB2634">
        <v>-9.7000000000000005E-4</v>
      </c>
      <c r="BC2634">
        <v>0.17995</v>
      </c>
      <c r="BD2634">
        <v>1</v>
      </c>
      <c r="BE2634" t="s">
        <v>69</v>
      </c>
      <c r="BF2634">
        <v>-2.4670000000000001</v>
      </c>
      <c r="BG2634">
        <v>-4.2119999999999997</v>
      </c>
    </row>
    <row r="2635" spans="1:59">
      <c r="A2635">
        <v>0</v>
      </c>
      <c r="B2635">
        <v>10</v>
      </c>
      <c r="C2635">
        <v>2</v>
      </c>
      <c r="D2635" t="s">
        <v>25022</v>
      </c>
      <c r="E2635">
        <v>1006</v>
      </c>
      <c r="F2635" t="s">
        <v>6314</v>
      </c>
      <c r="G2635" t="s">
        <v>57</v>
      </c>
      <c r="H2635">
        <v>1047072</v>
      </c>
      <c r="I2635">
        <v>1049090</v>
      </c>
      <c r="J2635" t="s">
        <v>6315</v>
      </c>
      <c r="K2635">
        <v>673</v>
      </c>
      <c r="L2635" t="s">
        <v>108</v>
      </c>
      <c r="M2635">
        <v>44</v>
      </c>
      <c r="N2635" t="str">
        <f>HYPERLINK("Gene1006-zp_tree_all.dnd", "Gene1006-tree")</f>
        <v>Gene1006-tree</v>
      </c>
      <c r="O2635">
        <v>5</v>
      </c>
      <c r="P2635">
        <v>10</v>
      </c>
      <c r="Q2635">
        <v>5</v>
      </c>
      <c r="R2635">
        <v>10</v>
      </c>
      <c r="S2635">
        <v>0.66666999999999998</v>
      </c>
      <c r="T2635" t="s">
        <v>199</v>
      </c>
      <c r="U2635" t="s">
        <v>117</v>
      </c>
      <c r="V2635" t="s">
        <v>62</v>
      </c>
      <c r="W2635" t="s">
        <v>62</v>
      </c>
      <c r="X2635">
        <v>5</v>
      </c>
      <c r="Y2635">
        <v>12</v>
      </c>
      <c r="Z2635">
        <v>19</v>
      </c>
      <c r="AA2635">
        <v>0.3871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6</v>
      </c>
      <c r="AH2635">
        <v>2</v>
      </c>
      <c r="AI2635">
        <v>8</v>
      </c>
      <c r="AJ2635">
        <v>18</v>
      </c>
      <c r="AK2635">
        <v>0.30769000000000002</v>
      </c>
      <c r="AL2635">
        <v>13</v>
      </c>
      <c r="AM2635">
        <v>10</v>
      </c>
      <c r="AN2635">
        <v>64</v>
      </c>
      <c r="AO2635">
        <v>22</v>
      </c>
      <c r="AP2635">
        <v>37</v>
      </c>
      <c r="AQ2635">
        <v>9</v>
      </c>
      <c r="AR2635" t="s">
        <v>6316</v>
      </c>
      <c r="AS2635" t="s">
        <v>6317</v>
      </c>
      <c r="AT2635">
        <v>0.36299999999999999</v>
      </c>
      <c r="AU2635" t="s">
        <v>65</v>
      </c>
      <c r="AV2635">
        <v>101</v>
      </c>
      <c r="AW2635">
        <v>31</v>
      </c>
      <c r="AX2635" t="s">
        <v>6318</v>
      </c>
      <c r="AY2635">
        <v>4.0680000000000001E-2</v>
      </c>
      <c r="AZ2635">
        <v>-1.8600000000000001E-3</v>
      </c>
      <c r="BA2635">
        <v>3.64E-3</v>
      </c>
      <c r="BB2635">
        <v>-1.9000000000000001E-4</v>
      </c>
      <c r="BC2635">
        <v>8.9550000000000005E-2</v>
      </c>
      <c r="BD2635">
        <v>1</v>
      </c>
      <c r="BE2635" t="s">
        <v>69</v>
      </c>
      <c r="BF2635">
        <v>-1.038</v>
      </c>
      <c r="BG2635">
        <v>-1.714</v>
      </c>
    </row>
    <row r="2636" spans="1:59">
      <c r="A2636">
        <v>0</v>
      </c>
      <c r="B2636">
        <v>28</v>
      </c>
      <c r="C2636">
        <v>2</v>
      </c>
      <c r="D2636" t="s">
        <v>25022</v>
      </c>
      <c r="E2636">
        <v>2815</v>
      </c>
      <c r="F2636" t="s">
        <v>16148</v>
      </c>
      <c r="G2636" t="s">
        <v>62</v>
      </c>
      <c r="H2636">
        <v>2758046</v>
      </c>
      <c r="I2636">
        <v>2760076</v>
      </c>
      <c r="J2636" t="s">
        <v>16149</v>
      </c>
      <c r="K2636">
        <v>677</v>
      </c>
      <c r="L2636" t="s">
        <v>108</v>
      </c>
      <c r="M2636">
        <v>44</v>
      </c>
      <c r="N2636" t="str">
        <f>HYPERLINK("Gene2815-zp_tree_all.dnd", "Gene2815-tree")</f>
        <v>Gene2815-tree</v>
      </c>
      <c r="O2636">
        <v>2</v>
      </c>
      <c r="P2636">
        <v>13</v>
      </c>
      <c r="Q2636">
        <v>2</v>
      </c>
      <c r="R2636">
        <v>13</v>
      </c>
      <c r="S2636">
        <v>0.86667000000000005</v>
      </c>
      <c r="T2636" t="s">
        <v>81</v>
      </c>
      <c r="U2636" t="s">
        <v>507</v>
      </c>
      <c r="V2636" t="s">
        <v>62</v>
      </c>
      <c r="W2636" t="s">
        <v>62</v>
      </c>
      <c r="X2636">
        <v>12</v>
      </c>
      <c r="Y2636">
        <v>30</v>
      </c>
      <c r="Z2636">
        <v>35</v>
      </c>
      <c r="AA2636">
        <v>0.46154000000000001</v>
      </c>
      <c r="AB2636">
        <v>0</v>
      </c>
      <c r="AC2636">
        <v>0</v>
      </c>
      <c r="AD2636">
        <v>0</v>
      </c>
      <c r="AE2636">
        <v>4</v>
      </c>
      <c r="AF2636">
        <v>0</v>
      </c>
      <c r="AG2636">
        <v>4</v>
      </c>
      <c r="AH2636">
        <v>0</v>
      </c>
      <c r="AI2636">
        <v>4</v>
      </c>
      <c r="AJ2636">
        <v>36</v>
      </c>
      <c r="AK2636">
        <v>0.1</v>
      </c>
      <c r="AL2636">
        <v>12</v>
      </c>
      <c r="AM2636">
        <v>12</v>
      </c>
      <c r="AN2636">
        <v>59</v>
      </c>
      <c r="AO2636">
        <v>41</v>
      </c>
      <c r="AP2636">
        <v>50</v>
      </c>
      <c r="AQ2636">
        <v>25</v>
      </c>
      <c r="AR2636" t="s">
        <v>16150</v>
      </c>
      <c r="AS2636" t="s">
        <v>16151</v>
      </c>
      <c r="AT2636">
        <v>0.51700000000000002</v>
      </c>
      <c r="AU2636" t="s">
        <v>65</v>
      </c>
      <c r="AV2636">
        <v>109</v>
      </c>
      <c r="AW2636">
        <v>66</v>
      </c>
      <c r="AX2636" t="s">
        <v>16152</v>
      </c>
      <c r="AY2636">
        <v>4.5409999999999999E-2</v>
      </c>
      <c r="AZ2636">
        <v>-1.5200000000000001E-3</v>
      </c>
      <c r="BA2636">
        <v>7.1700000000000002E-3</v>
      </c>
      <c r="BB2636">
        <v>-2.5999999999999998E-4</v>
      </c>
      <c r="BC2636">
        <v>0.15781000000000001</v>
      </c>
      <c r="BD2636">
        <v>1</v>
      </c>
      <c r="BE2636" t="s">
        <v>69</v>
      </c>
      <c r="BF2636">
        <v>-0.60699999999999998</v>
      </c>
      <c r="BG2636">
        <v>-2.077</v>
      </c>
    </row>
    <row r="2637" spans="1:59">
      <c r="A2637">
        <v>0</v>
      </c>
      <c r="B2637">
        <v>0</v>
      </c>
      <c r="C2637">
        <v>0</v>
      </c>
      <c r="D2637" t="s">
        <v>25022</v>
      </c>
      <c r="E2637">
        <v>1701</v>
      </c>
      <c r="F2637" t="s">
        <v>10661</v>
      </c>
      <c r="G2637" t="s">
        <v>57</v>
      </c>
      <c r="H2637">
        <v>1707714</v>
      </c>
      <c r="I2637">
        <v>1709744</v>
      </c>
      <c r="J2637" t="s">
        <v>10639</v>
      </c>
      <c r="K2637">
        <v>677</v>
      </c>
      <c r="L2637" t="s">
        <v>108</v>
      </c>
      <c r="M2637">
        <v>44</v>
      </c>
      <c r="N2637" t="str">
        <f>HYPERLINK("Gene1701-zp_tree_all.dnd", "Gene1701-tree")</f>
        <v>Gene1701-tree</v>
      </c>
      <c r="O2637">
        <v>11</v>
      </c>
      <c r="P2637">
        <v>2</v>
      </c>
      <c r="Q2637">
        <v>11</v>
      </c>
      <c r="R2637">
        <v>2</v>
      </c>
      <c r="S2637">
        <v>0.15384999999999999</v>
      </c>
      <c r="T2637" t="s">
        <v>73</v>
      </c>
      <c r="U2637" t="s">
        <v>81</v>
      </c>
      <c r="V2637" t="s">
        <v>62</v>
      </c>
      <c r="W2637" t="s">
        <v>62</v>
      </c>
      <c r="X2637">
        <v>0</v>
      </c>
      <c r="Y2637">
        <v>0</v>
      </c>
      <c r="Z2637">
        <v>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</v>
      </c>
      <c r="AK2637">
        <v>0</v>
      </c>
      <c r="AL2637">
        <v>12</v>
      </c>
      <c r="AM2637">
        <v>8</v>
      </c>
      <c r="AN2637">
        <v>43</v>
      </c>
      <c r="AO2637">
        <v>2</v>
      </c>
      <c r="AP2637">
        <v>21</v>
      </c>
      <c r="AQ2637">
        <v>0</v>
      </c>
      <c r="AR2637" t="s">
        <v>10662</v>
      </c>
      <c r="AS2637" t="s">
        <v>193</v>
      </c>
      <c r="AT2637">
        <v>0.60899999999999999</v>
      </c>
      <c r="AU2637" t="s">
        <v>65</v>
      </c>
      <c r="AV2637">
        <v>64</v>
      </c>
      <c r="AW2637">
        <v>2</v>
      </c>
      <c r="AX2637" t="s">
        <v>10663</v>
      </c>
      <c r="AY2637">
        <v>2.1839999999999998E-2</v>
      </c>
      <c r="AZ2637">
        <v>-8.9999999999999998E-4</v>
      </c>
      <c r="BA2637">
        <v>2.0000000000000001E-4</v>
      </c>
      <c r="BB2637">
        <v>-4.0000000000000003E-5</v>
      </c>
      <c r="BC2637">
        <v>9.1500000000000001E-3</v>
      </c>
      <c r="BD2637">
        <v>1</v>
      </c>
      <c r="BE2637" t="s">
        <v>69</v>
      </c>
      <c r="BF2637">
        <v>-0.51700000000000002</v>
      </c>
      <c r="BG2637">
        <v>-1.8360000000000001</v>
      </c>
    </row>
    <row r="2638" spans="1:59">
      <c r="A2638">
        <v>0</v>
      </c>
      <c r="B2638">
        <v>12</v>
      </c>
      <c r="C2638">
        <v>0</v>
      </c>
      <c r="D2638" t="s">
        <v>25022</v>
      </c>
      <c r="E2638">
        <v>2628</v>
      </c>
      <c r="F2638" t="s">
        <v>15394</v>
      </c>
      <c r="G2638" t="s">
        <v>62</v>
      </c>
      <c r="H2638">
        <v>2605733</v>
      </c>
      <c r="I2638">
        <v>2607769</v>
      </c>
      <c r="J2638" t="s">
        <v>15395</v>
      </c>
      <c r="K2638">
        <v>679</v>
      </c>
      <c r="L2638" t="s">
        <v>108</v>
      </c>
      <c r="M2638">
        <v>44</v>
      </c>
      <c r="N2638" t="str">
        <f>HYPERLINK("Gene2628-zp_tree_all.dnd", "Gene2628-tree")</f>
        <v>Gene2628-tree</v>
      </c>
      <c r="O2638">
        <v>7</v>
      </c>
      <c r="P2638">
        <v>8</v>
      </c>
      <c r="Q2638">
        <v>7</v>
      </c>
      <c r="R2638">
        <v>8</v>
      </c>
      <c r="S2638">
        <v>0.53332999999999997</v>
      </c>
      <c r="T2638" t="s">
        <v>152</v>
      </c>
      <c r="U2638" t="s">
        <v>136</v>
      </c>
      <c r="V2638" t="s">
        <v>62</v>
      </c>
      <c r="W2638" t="s">
        <v>62</v>
      </c>
      <c r="X2638">
        <v>4</v>
      </c>
      <c r="Y2638">
        <v>12</v>
      </c>
      <c r="Z2638">
        <v>13</v>
      </c>
      <c r="AA2638">
        <v>0.48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2</v>
      </c>
      <c r="AH2638">
        <v>0</v>
      </c>
      <c r="AI2638">
        <v>2</v>
      </c>
      <c r="AJ2638">
        <v>14</v>
      </c>
      <c r="AK2638">
        <v>0.125</v>
      </c>
      <c r="AL2638">
        <v>13</v>
      </c>
      <c r="AM2638">
        <v>11</v>
      </c>
      <c r="AN2638">
        <v>52</v>
      </c>
      <c r="AO2638">
        <v>15</v>
      </c>
      <c r="AP2638">
        <v>23</v>
      </c>
      <c r="AQ2638">
        <v>10</v>
      </c>
      <c r="AR2638" t="s">
        <v>15396</v>
      </c>
      <c r="AS2638" t="s">
        <v>15397</v>
      </c>
      <c r="AT2638">
        <v>0.46700000000000003</v>
      </c>
      <c r="AU2638" t="s">
        <v>65</v>
      </c>
      <c r="AV2638">
        <v>75</v>
      </c>
      <c r="AW2638">
        <v>25</v>
      </c>
      <c r="AX2638" t="s">
        <v>15398</v>
      </c>
      <c r="AY2638">
        <v>2.8230000000000002E-2</v>
      </c>
      <c r="AZ2638">
        <v>-1.3799999999999999E-3</v>
      </c>
      <c r="BA2638">
        <v>2.5100000000000001E-3</v>
      </c>
      <c r="BB2638">
        <v>-1.2999999999999999E-4</v>
      </c>
      <c r="BC2638">
        <v>8.9080000000000006E-2</v>
      </c>
      <c r="BD2638">
        <v>1</v>
      </c>
      <c r="BE2638" t="s">
        <v>69</v>
      </c>
      <c r="BF2638">
        <v>-1.25</v>
      </c>
      <c r="BG2638">
        <v>-2.145</v>
      </c>
    </row>
    <row r="2639" spans="1:59">
      <c r="A2639">
        <v>0</v>
      </c>
      <c r="B2639">
        <v>6</v>
      </c>
      <c r="C2639">
        <v>0</v>
      </c>
      <c r="D2639" t="s">
        <v>25022</v>
      </c>
      <c r="E2639">
        <v>1648</v>
      </c>
      <c r="F2639" t="s">
        <v>10318</v>
      </c>
      <c r="G2639" t="s">
        <v>57</v>
      </c>
      <c r="H2639">
        <v>1659810</v>
      </c>
      <c r="I2639">
        <v>1661855</v>
      </c>
      <c r="J2639" t="s">
        <v>10319</v>
      </c>
      <c r="K2639">
        <v>682</v>
      </c>
      <c r="L2639" t="s">
        <v>108</v>
      </c>
      <c r="M2639">
        <v>44</v>
      </c>
      <c r="N2639" t="str">
        <f>HYPERLINK("Gene1648-zp_tree_all.dnd", "Gene1648-tree")</f>
        <v>Gene1648-tree</v>
      </c>
      <c r="O2639">
        <v>5</v>
      </c>
      <c r="P2639">
        <v>9</v>
      </c>
      <c r="Q2639">
        <v>5</v>
      </c>
      <c r="R2639">
        <v>9</v>
      </c>
      <c r="S2639">
        <v>0.64285999999999999</v>
      </c>
      <c r="T2639" t="s">
        <v>199</v>
      </c>
      <c r="U2639" t="s">
        <v>135</v>
      </c>
      <c r="V2639" t="s">
        <v>62</v>
      </c>
      <c r="W2639" t="s">
        <v>62</v>
      </c>
      <c r="X2639">
        <v>2</v>
      </c>
      <c r="Y2639">
        <v>6</v>
      </c>
      <c r="Z2639">
        <v>11</v>
      </c>
      <c r="AA2639">
        <v>0.35293999999999998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3</v>
      </c>
      <c r="AH2639">
        <v>0</v>
      </c>
      <c r="AI2639">
        <v>3</v>
      </c>
      <c r="AJ2639">
        <v>11</v>
      </c>
      <c r="AK2639">
        <v>0.21429000000000001</v>
      </c>
      <c r="AL2639">
        <v>12</v>
      </c>
      <c r="AM2639">
        <v>9</v>
      </c>
      <c r="AN2639">
        <v>56</v>
      </c>
      <c r="AO2639">
        <v>15</v>
      </c>
      <c r="AP2639">
        <v>34</v>
      </c>
      <c r="AQ2639">
        <v>3</v>
      </c>
      <c r="AR2639" t="s">
        <v>10320</v>
      </c>
      <c r="AS2639" t="s">
        <v>10321</v>
      </c>
      <c r="AT2639">
        <v>1.6259999999999999</v>
      </c>
      <c r="AU2639" t="s">
        <v>65</v>
      </c>
      <c r="AV2639">
        <v>90</v>
      </c>
      <c r="AW2639">
        <v>18</v>
      </c>
      <c r="AX2639" t="s">
        <v>10322</v>
      </c>
      <c r="AY2639">
        <v>3.5349999999999999E-2</v>
      </c>
      <c r="AZ2639">
        <v>-1.1299999999999999E-3</v>
      </c>
      <c r="BA2639">
        <v>1.67E-3</v>
      </c>
      <c r="BB2639">
        <v>-1E-4</v>
      </c>
      <c r="BC2639">
        <v>4.7280000000000003E-2</v>
      </c>
      <c r="BD2639">
        <v>1</v>
      </c>
      <c r="BE2639" t="s">
        <v>69</v>
      </c>
      <c r="BF2639">
        <v>-0.28399999999999997</v>
      </c>
      <c r="BG2639">
        <v>-1.5509999999999999</v>
      </c>
    </row>
    <row r="2640" spans="1:59">
      <c r="A2640">
        <v>0</v>
      </c>
      <c r="B2640">
        <v>40</v>
      </c>
      <c r="C2640">
        <v>2</v>
      </c>
      <c r="D2640" t="s">
        <v>25022</v>
      </c>
      <c r="E2640">
        <v>4044</v>
      </c>
      <c r="F2640" t="s">
        <v>23802</v>
      </c>
      <c r="G2640" t="s">
        <v>62</v>
      </c>
      <c r="H2640">
        <v>4008146</v>
      </c>
      <c r="I2640">
        <v>4010203</v>
      </c>
      <c r="J2640" t="s">
        <v>23803</v>
      </c>
      <c r="K2640">
        <v>686</v>
      </c>
      <c r="L2640" t="s">
        <v>108</v>
      </c>
      <c r="M2640">
        <v>44</v>
      </c>
      <c r="N2640" t="str">
        <f>HYPERLINK("Gene4044-zp_tree_all.dnd", "Gene4044-tree")</f>
        <v>Gene4044-tree</v>
      </c>
      <c r="O2640">
        <v>3</v>
      </c>
      <c r="P2640">
        <v>16</v>
      </c>
      <c r="Q2640">
        <v>3</v>
      </c>
      <c r="R2640">
        <v>16</v>
      </c>
      <c r="S2640">
        <v>0.84211000000000003</v>
      </c>
      <c r="T2640" t="s">
        <v>324</v>
      </c>
      <c r="U2640" t="s">
        <v>60</v>
      </c>
      <c r="V2640" t="s">
        <v>62</v>
      </c>
      <c r="W2640" t="s">
        <v>62</v>
      </c>
      <c r="X2640">
        <v>13</v>
      </c>
      <c r="Y2640">
        <v>42</v>
      </c>
      <c r="Z2640">
        <v>23</v>
      </c>
      <c r="AA2640">
        <v>0.64615</v>
      </c>
      <c r="AB2640">
        <v>0</v>
      </c>
      <c r="AC2640">
        <v>0</v>
      </c>
      <c r="AD2640">
        <v>0</v>
      </c>
      <c r="AE2640">
        <v>2</v>
      </c>
      <c r="AF2640">
        <v>0</v>
      </c>
      <c r="AG2640">
        <v>20</v>
      </c>
      <c r="AH2640">
        <v>3</v>
      </c>
      <c r="AI2640">
        <v>23</v>
      </c>
      <c r="AJ2640">
        <v>26</v>
      </c>
      <c r="AK2640">
        <v>0.46938999999999997</v>
      </c>
      <c r="AL2640">
        <v>17</v>
      </c>
      <c r="AM2640">
        <v>16</v>
      </c>
      <c r="AN2640">
        <v>134</v>
      </c>
      <c r="AO2640">
        <v>47</v>
      </c>
      <c r="AP2640">
        <v>135</v>
      </c>
      <c r="AQ2640">
        <v>18</v>
      </c>
      <c r="AR2640" t="s">
        <v>23804</v>
      </c>
      <c r="AS2640" t="s">
        <v>23805</v>
      </c>
      <c r="AT2640">
        <v>2.2599999999999998</v>
      </c>
      <c r="AU2640" t="s">
        <v>267</v>
      </c>
      <c r="AV2640">
        <v>269</v>
      </c>
      <c r="AW2640">
        <v>65</v>
      </c>
      <c r="AX2640" t="s">
        <v>23806</v>
      </c>
      <c r="AY2640">
        <v>8.8090000000000002E-2</v>
      </c>
      <c r="AZ2640">
        <v>-1.91E-3</v>
      </c>
      <c r="BA2640">
        <v>4.6100000000000004E-3</v>
      </c>
      <c r="BB2640">
        <v>-1.2E-4</v>
      </c>
      <c r="BC2640">
        <v>5.237E-2</v>
      </c>
      <c r="BD2640">
        <v>1</v>
      </c>
      <c r="BE2640" t="s">
        <v>69</v>
      </c>
      <c r="BF2640">
        <v>-0.29699999999999999</v>
      </c>
      <c r="BG2640">
        <v>-0.91900000000000004</v>
      </c>
    </row>
    <row r="2641" spans="1:59">
      <c r="A2641">
        <v>0</v>
      </c>
      <c r="B2641">
        <v>16</v>
      </c>
      <c r="C2641">
        <v>0</v>
      </c>
      <c r="D2641" t="s">
        <v>25022</v>
      </c>
      <c r="E2641">
        <v>3540</v>
      </c>
      <c r="F2641" t="s">
        <v>20746</v>
      </c>
      <c r="G2641" t="s">
        <v>62</v>
      </c>
      <c r="H2641">
        <v>3503023</v>
      </c>
      <c r="I2641">
        <v>3505083</v>
      </c>
      <c r="J2641" t="s">
        <v>20747</v>
      </c>
      <c r="K2641">
        <v>687</v>
      </c>
      <c r="L2641" t="s">
        <v>108</v>
      </c>
      <c r="M2641">
        <v>44</v>
      </c>
      <c r="N2641" t="str">
        <f>HYPERLINK("Gene3540-zp_tree_all.dnd", "Gene3540-tree")</f>
        <v>Gene3540-tree</v>
      </c>
      <c r="O2641">
        <v>4</v>
      </c>
      <c r="P2641">
        <v>10</v>
      </c>
      <c r="Q2641">
        <v>4</v>
      </c>
      <c r="R2641">
        <v>10</v>
      </c>
      <c r="S2641">
        <v>0.71428999999999998</v>
      </c>
      <c r="T2641" t="s">
        <v>61</v>
      </c>
      <c r="U2641" t="s">
        <v>117</v>
      </c>
      <c r="V2641" t="s">
        <v>62</v>
      </c>
      <c r="W2641" t="s">
        <v>62</v>
      </c>
      <c r="X2641">
        <v>6</v>
      </c>
      <c r="Y2641">
        <v>16</v>
      </c>
      <c r="Z2641">
        <v>31</v>
      </c>
      <c r="AA2641">
        <v>0.34043000000000001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</v>
      </c>
      <c r="AH2641">
        <v>4</v>
      </c>
      <c r="AI2641">
        <v>6</v>
      </c>
      <c r="AJ2641">
        <v>27</v>
      </c>
      <c r="AK2641">
        <v>0.18182000000000001</v>
      </c>
      <c r="AL2641">
        <v>12</v>
      </c>
      <c r="AM2641">
        <v>11</v>
      </c>
      <c r="AN2641">
        <v>69</v>
      </c>
      <c r="AO2641">
        <v>31</v>
      </c>
      <c r="AP2641">
        <v>47</v>
      </c>
      <c r="AQ2641">
        <v>16</v>
      </c>
      <c r="AR2641" t="s">
        <v>20748</v>
      </c>
      <c r="AS2641" t="s">
        <v>20749</v>
      </c>
      <c r="AT2641">
        <v>0.36399999999999999</v>
      </c>
      <c r="AU2641" t="s">
        <v>65</v>
      </c>
      <c r="AV2641">
        <v>116</v>
      </c>
      <c r="AW2641">
        <v>47</v>
      </c>
      <c r="AX2641" t="s">
        <v>20750</v>
      </c>
      <c r="AY2641">
        <v>5.0779999999999999E-2</v>
      </c>
      <c r="AZ2641">
        <v>-2.0300000000000001E-3</v>
      </c>
      <c r="BA2641">
        <v>5.2300000000000003E-3</v>
      </c>
      <c r="BB2641">
        <v>-2.4000000000000001E-4</v>
      </c>
      <c r="BC2641">
        <v>0.10302</v>
      </c>
      <c r="BD2641">
        <v>1</v>
      </c>
      <c r="BE2641" t="s">
        <v>69</v>
      </c>
      <c r="BF2641">
        <v>-1.2829999999999999</v>
      </c>
      <c r="BG2641">
        <v>-2.2610000000000001</v>
      </c>
    </row>
    <row r="2642" spans="1:59">
      <c r="A2642">
        <v>0</v>
      </c>
      <c r="B2642">
        <v>16</v>
      </c>
      <c r="C2642">
        <v>7</v>
      </c>
      <c r="D2642" t="s">
        <v>25022</v>
      </c>
      <c r="E2642">
        <v>3238</v>
      </c>
      <c r="F2642" t="s">
        <v>18876</v>
      </c>
      <c r="G2642" t="s">
        <v>62</v>
      </c>
      <c r="H2642">
        <v>3201863</v>
      </c>
      <c r="I2642">
        <v>3203929</v>
      </c>
      <c r="J2642" t="s">
        <v>18877</v>
      </c>
      <c r="K2642">
        <v>689</v>
      </c>
      <c r="L2642" t="s">
        <v>108</v>
      </c>
      <c r="M2642">
        <v>44</v>
      </c>
      <c r="N2642" t="str">
        <f>HYPERLINK("Gene3238-zp_tree_all.dnd", "Gene3238-tree")</f>
        <v>Gene3238-tree</v>
      </c>
      <c r="O2642">
        <v>9</v>
      </c>
      <c r="P2642">
        <v>11</v>
      </c>
      <c r="Q2642">
        <v>9</v>
      </c>
      <c r="R2642">
        <v>11</v>
      </c>
      <c r="S2642">
        <v>0.55000000000000004</v>
      </c>
      <c r="T2642" t="s">
        <v>135</v>
      </c>
      <c r="U2642" t="s">
        <v>73</v>
      </c>
      <c r="V2642">
        <v>25435836.228999998</v>
      </c>
      <c r="W2642" t="s">
        <v>267</v>
      </c>
      <c r="X2642">
        <v>10</v>
      </c>
      <c r="Y2642">
        <v>23</v>
      </c>
      <c r="Z2642">
        <v>20</v>
      </c>
      <c r="AA2642">
        <v>0.53488000000000002</v>
      </c>
      <c r="AB2642">
        <v>0</v>
      </c>
      <c r="AC2642">
        <v>0</v>
      </c>
      <c r="AD2642">
        <v>0</v>
      </c>
      <c r="AE2642">
        <v>2</v>
      </c>
      <c r="AF2642">
        <v>0</v>
      </c>
      <c r="AG2642">
        <v>8</v>
      </c>
      <c r="AH2642">
        <v>4</v>
      </c>
      <c r="AI2642">
        <v>12</v>
      </c>
      <c r="AJ2642">
        <v>21</v>
      </c>
      <c r="AK2642">
        <v>0.36364000000000002</v>
      </c>
      <c r="AL2642">
        <v>13</v>
      </c>
      <c r="AM2642">
        <v>15</v>
      </c>
      <c r="AN2642">
        <v>49</v>
      </c>
      <c r="AO2642">
        <v>25</v>
      </c>
      <c r="AP2642">
        <v>59</v>
      </c>
      <c r="AQ2642">
        <v>18</v>
      </c>
      <c r="AR2642" t="s">
        <v>18878</v>
      </c>
      <c r="AS2642" t="s">
        <v>18879</v>
      </c>
      <c r="AT2642">
        <v>0.40899999999999997</v>
      </c>
      <c r="AU2642" t="s">
        <v>65</v>
      </c>
      <c r="AV2642">
        <v>108</v>
      </c>
      <c r="AW2642">
        <v>43</v>
      </c>
      <c r="AX2642" t="s">
        <v>18880</v>
      </c>
      <c r="AY2642">
        <v>4.3770000000000003E-2</v>
      </c>
      <c r="AZ2642">
        <v>-1.3799999999999999E-3</v>
      </c>
      <c r="BA2642">
        <v>4.6800000000000001E-3</v>
      </c>
      <c r="BB2642">
        <v>-1.9000000000000001E-4</v>
      </c>
      <c r="BC2642">
        <v>0.10693999999999999</v>
      </c>
      <c r="BD2642">
        <v>1</v>
      </c>
      <c r="BE2642" t="s">
        <v>69</v>
      </c>
      <c r="BF2642">
        <v>0.13700000000000001</v>
      </c>
      <c r="BG2642">
        <v>-1.6850000000000001</v>
      </c>
    </row>
    <row r="2643" spans="1:59">
      <c r="A2643">
        <v>0</v>
      </c>
      <c r="B2643">
        <v>0</v>
      </c>
      <c r="C2643">
        <v>0</v>
      </c>
      <c r="D2643" t="s">
        <v>25022</v>
      </c>
      <c r="E2643">
        <v>1673</v>
      </c>
      <c r="F2643" t="s">
        <v>10479</v>
      </c>
      <c r="G2643" t="s">
        <v>57</v>
      </c>
      <c r="H2643">
        <v>1683661</v>
      </c>
      <c r="I2643">
        <v>1685733</v>
      </c>
      <c r="J2643" t="s">
        <v>10480</v>
      </c>
      <c r="K2643">
        <v>691</v>
      </c>
      <c r="L2643" t="s">
        <v>108</v>
      </c>
      <c r="M2643">
        <v>44</v>
      </c>
      <c r="N2643" t="str">
        <f>HYPERLINK("Gene1673-zp_tree_all.dnd", "Gene1673-tree")</f>
        <v>Gene1673-tree</v>
      </c>
      <c r="O2643">
        <v>11</v>
      </c>
      <c r="P2643">
        <v>3</v>
      </c>
      <c r="Q2643">
        <v>11</v>
      </c>
      <c r="R2643">
        <v>3</v>
      </c>
      <c r="S2643">
        <v>0.21429000000000001</v>
      </c>
      <c r="T2643" t="s">
        <v>73</v>
      </c>
      <c r="U2643" t="s">
        <v>324</v>
      </c>
      <c r="V2643" t="s">
        <v>62</v>
      </c>
      <c r="W2643" t="s">
        <v>62</v>
      </c>
      <c r="X2643">
        <v>0</v>
      </c>
      <c r="Y2643">
        <v>0</v>
      </c>
      <c r="Z2643">
        <v>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3</v>
      </c>
      <c r="AK2643">
        <v>0</v>
      </c>
      <c r="AL2643">
        <v>12</v>
      </c>
      <c r="AM2643">
        <v>9</v>
      </c>
      <c r="AN2643">
        <v>39</v>
      </c>
      <c r="AO2643">
        <v>3</v>
      </c>
      <c r="AP2643">
        <v>24</v>
      </c>
      <c r="AQ2643">
        <v>0</v>
      </c>
      <c r="AR2643" t="s">
        <v>10481</v>
      </c>
      <c r="AS2643" t="s">
        <v>193</v>
      </c>
      <c r="AT2643">
        <v>1.054</v>
      </c>
      <c r="AU2643" t="s">
        <v>65</v>
      </c>
      <c r="AV2643">
        <v>63</v>
      </c>
      <c r="AW2643">
        <v>3</v>
      </c>
      <c r="AX2643" t="s">
        <v>10482</v>
      </c>
      <c r="AY2643">
        <v>2.596E-2</v>
      </c>
      <c r="AZ2643">
        <v>-8.4999999999999995E-4</v>
      </c>
      <c r="BA2643">
        <v>2.5999999999999998E-4</v>
      </c>
      <c r="BB2643">
        <v>-4.0000000000000003E-5</v>
      </c>
      <c r="BC2643">
        <v>1.017E-2</v>
      </c>
      <c r="BD2643">
        <v>1</v>
      </c>
      <c r="BE2643" t="s">
        <v>69</v>
      </c>
      <c r="BF2643">
        <v>-1.224</v>
      </c>
      <c r="BG2643">
        <v>-1.135</v>
      </c>
    </row>
    <row r="2644" spans="1:59">
      <c r="A2644">
        <v>0</v>
      </c>
      <c r="B2644">
        <v>0</v>
      </c>
      <c r="C2644">
        <v>0</v>
      </c>
      <c r="D2644" t="s">
        <v>25022</v>
      </c>
      <c r="E2644">
        <v>112</v>
      </c>
      <c r="F2644" t="s">
        <v>853</v>
      </c>
      <c r="G2644" t="s">
        <v>57</v>
      </c>
      <c r="H2644">
        <v>130684</v>
      </c>
      <c r="I2644">
        <v>132759</v>
      </c>
      <c r="J2644" t="s">
        <v>854</v>
      </c>
      <c r="K2644">
        <v>692</v>
      </c>
      <c r="L2644" t="s">
        <v>59</v>
      </c>
      <c r="M2644">
        <v>49</v>
      </c>
      <c r="N2644" t="str">
        <f>HYPERLINK("Gene112-zp_tree_all.dnd", "Gene112-tree")</f>
        <v>Gene112-tree</v>
      </c>
      <c r="O2644">
        <v>18</v>
      </c>
      <c r="P2644">
        <v>1</v>
      </c>
      <c r="Q2644">
        <v>18</v>
      </c>
      <c r="R2644">
        <v>1</v>
      </c>
      <c r="S2644">
        <v>5.2630000000000003E-2</v>
      </c>
      <c r="T2644" t="s">
        <v>144</v>
      </c>
      <c r="U2644" t="s">
        <v>175</v>
      </c>
      <c r="V2644" t="s">
        <v>62</v>
      </c>
      <c r="W2644" t="s">
        <v>62</v>
      </c>
      <c r="X2644">
        <v>0</v>
      </c>
      <c r="Y2644">
        <v>0</v>
      </c>
      <c r="Z2644">
        <v>14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15</v>
      </c>
      <c r="AM2644">
        <v>14</v>
      </c>
      <c r="AN2644">
        <v>54</v>
      </c>
      <c r="AO2644">
        <v>1</v>
      </c>
      <c r="AP2644">
        <v>72</v>
      </c>
      <c r="AQ2644">
        <v>15</v>
      </c>
      <c r="AR2644" t="s">
        <v>855</v>
      </c>
      <c r="AS2644" t="s">
        <v>856</v>
      </c>
      <c r="AT2644">
        <v>0.5</v>
      </c>
      <c r="AU2644" t="s">
        <v>65</v>
      </c>
      <c r="AV2644">
        <v>126</v>
      </c>
      <c r="AW2644">
        <v>16</v>
      </c>
      <c r="AX2644" t="s">
        <v>857</v>
      </c>
      <c r="AY2644">
        <v>4.938E-2</v>
      </c>
      <c r="AZ2644">
        <v>-2.5600000000000002E-3</v>
      </c>
      <c r="BA2644">
        <v>2.2599999999999999E-3</v>
      </c>
      <c r="BB2644">
        <v>-1.9000000000000001E-4</v>
      </c>
      <c r="BC2644">
        <v>4.5699999999999998E-2</v>
      </c>
      <c r="BD2644">
        <v>1</v>
      </c>
      <c r="BE2644" t="s">
        <v>69</v>
      </c>
      <c r="BF2644">
        <v>-1.3640000000000001</v>
      </c>
      <c r="BG2644">
        <v>-1.2170000000000001</v>
      </c>
    </row>
    <row r="2645" spans="1:59">
      <c r="A2645">
        <v>0</v>
      </c>
      <c r="B2645">
        <v>0</v>
      </c>
      <c r="C2645">
        <v>0</v>
      </c>
      <c r="D2645" t="s">
        <v>25022</v>
      </c>
      <c r="E2645">
        <v>2512</v>
      </c>
      <c r="F2645" t="s">
        <v>14658</v>
      </c>
      <c r="G2645" t="s">
        <v>62</v>
      </c>
      <c r="H2645">
        <v>2504792</v>
      </c>
      <c r="I2645">
        <v>2506867</v>
      </c>
      <c r="J2645" t="s">
        <v>9411</v>
      </c>
      <c r="K2645">
        <v>692</v>
      </c>
      <c r="L2645" t="s">
        <v>108</v>
      </c>
      <c r="M2645">
        <v>44</v>
      </c>
      <c r="N2645" t="str">
        <f>HYPERLINK("Gene2512-zp_tree_all.dnd", "Gene2512-tree")</f>
        <v>Gene2512-tree</v>
      </c>
      <c r="O2645">
        <v>9</v>
      </c>
      <c r="P2645">
        <v>11</v>
      </c>
      <c r="Q2645">
        <v>9</v>
      </c>
      <c r="R2645">
        <v>11</v>
      </c>
      <c r="S2645">
        <v>0.55000000000000004</v>
      </c>
      <c r="T2645" t="s">
        <v>135</v>
      </c>
      <c r="U2645" t="s">
        <v>73</v>
      </c>
      <c r="V2645">
        <v>25435836.228999998</v>
      </c>
      <c r="W2645" t="s">
        <v>267</v>
      </c>
      <c r="X2645">
        <v>0</v>
      </c>
      <c r="Y2645">
        <v>0</v>
      </c>
      <c r="Z2645">
        <v>15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12</v>
      </c>
      <c r="AK2645">
        <v>0</v>
      </c>
      <c r="AL2645">
        <v>15</v>
      </c>
      <c r="AM2645">
        <v>14</v>
      </c>
      <c r="AN2645">
        <v>45</v>
      </c>
      <c r="AO2645">
        <v>8</v>
      </c>
      <c r="AP2645">
        <v>67</v>
      </c>
      <c r="AQ2645">
        <v>7</v>
      </c>
      <c r="AR2645" t="s">
        <v>14659</v>
      </c>
      <c r="AS2645" t="s">
        <v>14660</v>
      </c>
      <c r="AT2645">
        <v>0.60399999999999998</v>
      </c>
      <c r="AU2645" t="s">
        <v>65</v>
      </c>
      <c r="AV2645">
        <v>112</v>
      </c>
      <c r="AW2645">
        <v>15</v>
      </c>
      <c r="AX2645" t="s">
        <v>14661</v>
      </c>
      <c r="AY2645">
        <v>4.3159999999999997E-2</v>
      </c>
      <c r="AZ2645">
        <v>-1.7099999999999999E-3</v>
      </c>
      <c r="BA2645">
        <v>1.67E-3</v>
      </c>
      <c r="BB2645">
        <v>-9.0000000000000006E-5</v>
      </c>
      <c r="BC2645">
        <v>3.8670000000000003E-2</v>
      </c>
      <c r="BD2645">
        <v>1</v>
      </c>
      <c r="BE2645" t="s">
        <v>69</v>
      </c>
      <c r="BF2645">
        <v>-0.67</v>
      </c>
      <c r="BG2645">
        <v>-0.88400000000000001</v>
      </c>
    </row>
    <row r="2646" spans="1:59">
      <c r="A2646">
        <v>0</v>
      </c>
      <c r="B2646">
        <v>19</v>
      </c>
      <c r="C2646">
        <v>4</v>
      </c>
      <c r="D2646" t="s">
        <v>25022</v>
      </c>
      <c r="E2646">
        <v>424</v>
      </c>
      <c r="F2646" t="s">
        <v>2879</v>
      </c>
      <c r="G2646" t="s">
        <v>57</v>
      </c>
      <c r="H2646">
        <v>467130</v>
      </c>
      <c r="I2646">
        <v>469211</v>
      </c>
      <c r="J2646" t="s">
        <v>2880</v>
      </c>
      <c r="K2646">
        <v>694</v>
      </c>
      <c r="L2646" t="s">
        <v>108</v>
      </c>
      <c r="M2646">
        <v>44</v>
      </c>
      <c r="N2646" t="str">
        <f>HYPERLINK("Gene424-zp_tree_all.dnd", "Gene424-tree")</f>
        <v>Gene424-tree</v>
      </c>
      <c r="O2646">
        <v>1</v>
      </c>
      <c r="P2646">
        <v>15</v>
      </c>
      <c r="Q2646">
        <v>1</v>
      </c>
      <c r="R2646">
        <v>15</v>
      </c>
      <c r="S2646">
        <v>0.9375</v>
      </c>
      <c r="T2646" t="s">
        <v>175</v>
      </c>
      <c r="U2646" t="s">
        <v>100</v>
      </c>
      <c r="V2646" t="s">
        <v>62</v>
      </c>
      <c r="W2646" t="s">
        <v>62</v>
      </c>
      <c r="X2646">
        <v>8</v>
      </c>
      <c r="Y2646">
        <v>23</v>
      </c>
      <c r="Z2646">
        <v>20</v>
      </c>
      <c r="AA2646">
        <v>0.53488000000000002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11</v>
      </c>
      <c r="AH2646">
        <v>1</v>
      </c>
      <c r="AI2646">
        <v>12</v>
      </c>
      <c r="AJ2646">
        <v>17</v>
      </c>
      <c r="AK2646">
        <v>0.41378999999999999</v>
      </c>
      <c r="AL2646">
        <v>14</v>
      </c>
      <c r="AM2646">
        <v>11</v>
      </c>
      <c r="AN2646">
        <v>71</v>
      </c>
      <c r="AO2646">
        <v>23</v>
      </c>
      <c r="AP2646">
        <v>30</v>
      </c>
      <c r="AQ2646">
        <v>20</v>
      </c>
      <c r="AR2646" t="s">
        <v>2881</v>
      </c>
      <c r="AS2646" t="s">
        <v>2882</v>
      </c>
      <c r="AT2646">
        <v>0.78</v>
      </c>
      <c r="AU2646" t="s">
        <v>65</v>
      </c>
      <c r="AV2646">
        <v>101</v>
      </c>
      <c r="AW2646">
        <v>43</v>
      </c>
      <c r="AX2646" t="s">
        <v>2883</v>
      </c>
      <c r="AY2646">
        <v>3.3399999999999999E-2</v>
      </c>
      <c r="AZ2646">
        <v>-1.1299999999999999E-3</v>
      </c>
      <c r="BA2646">
        <v>4.2900000000000004E-3</v>
      </c>
      <c r="BB2646">
        <v>-1.7000000000000001E-4</v>
      </c>
      <c r="BC2646">
        <v>0.12858</v>
      </c>
      <c r="BD2646">
        <v>1</v>
      </c>
      <c r="BE2646" t="s">
        <v>69</v>
      </c>
      <c r="BF2646">
        <v>-0.67400000000000004</v>
      </c>
      <c r="BG2646">
        <v>-1.5129999999999999</v>
      </c>
    </row>
    <row r="2647" spans="1:59">
      <c r="A2647">
        <v>0</v>
      </c>
      <c r="B2647">
        <v>4</v>
      </c>
      <c r="C2647">
        <v>1</v>
      </c>
      <c r="D2647" t="s">
        <v>25022</v>
      </c>
      <c r="E2647">
        <v>1444</v>
      </c>
      <c r="F2647" t="s">
        <v>9043</v>
      </c>
      <c r="G2647" t="s">
        <v>57</v>
      </c>
      <c r="H2647">
        <v>1457187</v>
      </c>
      <c r="I2647">
        <v>1459283</v>
      </c>
      <c r="J2647" t="s">
        <v>9044</v>
      </c>
      <c r="K2647">
        <v>699</v>
      </c>
      <c r="L2647" t="s">
        <v>125</v>
      </c>
      <c r="M2647">
        <v>48</v>
      </c>
      <c r="N2647" t="str">
        <f>HYPERLINK("Gene1444-zp_tree_all.dnd", "Gene1444-tree")</f>
        <v>Gene1444-tree</v>
      </c>
      <c r="O2647">
        <v>14</v>
      </c>
      <c r="P2647">
        <v>6</v>
      </c>
      <c r="Q2647">
        <v>14</v>
      </c>
      <c r="R2647">
        <v>6</v>
      </c>
      <c r="S2647">
        <v>0.3</v>
      </c>
      <c r="T2647" t="s">
        <v>543</v>
      </c>
      <c r="U2647" t="s">
        <v>90</v>
      </c>
      <c r="V2647" t="s">
        <v>62</v>
      </c>
      <c r="W2647" t="s">
        <v>62</v>
      </c>
      <c r="X2647">
        <v>2</v>
      </c>
      <c r="Y2647">
        <v>5</v>
      </c>
      <c r="Z2647">
        <v>12</v>
      </c>
      <c r="AA2647">
        <v>0.29411999999999999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6</v>
      </c>
      <c r="AK2647">
        <v>0</v>
      </c>
      <c r="AL2647">
        <v>16</v>
      </c>
      <c r="AM2647">
        <v>16</v>
      </c>
      <c r="AN2647">
        <v>85</v>
      </c>
      <c r="AO2647">
        <v>6</v>
      </c>
      <c r="AP2647">
        <v>125</v>
      </c>
      <c r="AQ2647">
        <v>12</v>
      </c>
      <c r="AR2647" t="s">
        <v>9045</v>
      </c>
      <c r="AS2647" t="s">
        <v>9046</v>
      </c>
      <c r="AT2647">
        <v>0.16500000000000001</v>
      </c>
      <c r="AU2647" t="s">
        <v>65</v>
      </c>
      <c r="AV2647">
        <v>210</v>
      </c>
      <c r="AW2647">
        <v>18</v>
      </c>
      <c r="AX2647" t="s">
        <v>9047</v>
      </c>
      <c r="AY2647">
        <v>8.1839999999999996E-2</v>
      </c>
      <c r="AZ2647">
        <v>-5.7600000000000004E-3</v>
      </c>
      <c r="BA2647">
        <v>2.3700000000000001E-3</v>
      </c>
      <c r="BB2647">
        <v>-1.6000000000000001E-4</v>
      </c>
      <c r="BC2647">
        <v>2.8920000000000001E-2</v>
      </c>
      <c r="BD2647">
        <v>1</v>
      </c>
      <c r="BE2647" t="s">
        <v>69</v>
      </c>
      <c r="BF2647">
        <v>-1.375</v>
      </c>
      <c r="BG2647">
        <v>-0.76600000000000001</v>
      </c>
    </row>
    <row r="2648" spans="1:59">
      <c r="A2648">
        <v>0</v>
      </c>
      <c r="B2648">
        <v>8</v>
      </c>
      <c r="C2648">
        <v>4</v>
      </c>
      <c r="D2648" t="s">
        <v>25022</v>
      </c>
      <c r="E2648">
        <v>1801</v>
      </c>
      <c r="F2648" t="s">
        <v>11279</v>
      </c>
      <c r="G2648" t="s">
        <v>57</v>
      </c>
      <c r="H2648">
        <v>1868969</v>
      </c>
      <c r="I2648">
        <v>1871068</v>
      </c>
      <c r="J2648" t="s">
        <v>11280</v>
      </c>
      <c r="K2648">
        <v>700</v>
      </c>
      <c r="L2648" t="s">
        <v>125</v>
      </c>
      <c r="M2648">
        <v>48</v>
      </c>
      <c r="N2648" t="str">
        <f>HYPERLINK("Gene1801-zp_tree_all.dnd", "Gene1801-tree")</f>
        <v>Gene1801-tree</v>
      </c>
      <c r="O2648">
        <v>15</v>
      </c>
      <c r="P2648">
        <v>5</v>
      </c>
      <c r="Q2648">
        <v>15</v>
      </c>
      <c r="R2648">
        <v>5</v>
      </c>
      <c r="S2648">
        <v>0.25</v>
      </c>
      <c r="T2648" t="s">
        <v>100</v>
      </c>
      <c r="U2648" t="s">
        <v>199</v>
      </c>
      <c r="V2648" t="s">
        <v>62</v>
      </c>
      <c r="W2648" t="s">
        <v>62</v>
      </c>
      <c r="X2648">
        <v>6</v>
      </c>
      <c r="Y2648">
        <v>12</v>
      </c>
      <c r="Z2648">
        <v>5</v>
      </c>
      <c r="AA2648">
        <v>0.70587999999999995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8</v>
      </c>
      <c r="AK2648">
        <v>0</v>
      </c>
      <c r="AL2648">
        <v>17</v>
      </c>
      <c r="AM2648">
        <v>16</v>
      </c>
      <c r="AN2648">
        <v>100</v>
      </c>
      <c r="AO2648">
        <v>4</v>
      </c>
      <c r="AP2648">
        <v>145</v>
      </c>
      <c r="AQ2648">
        <v>14</v>
      </c>
      <c r="AR2648" t="s">
        <v>11281</v>
      </c>
      <c r="AS2648" t="s">
        <v>11282</v>
      </c>
      <c r="AT2648">
        <v>0.50800000000000001</v>
      </c>
      <c r="AU2648" t="s">
        <v>65</v>
      </c>
      <c r="AV2648">
        <v>245</v>
      </c>
      <c r="AW2648">
        <v>18</v>
      </c>
      <c r="AX2648" t="s">
        <v>11283</v>
      </c>
      <c r="AY2648">
        <v>0.10073</v>
      </c>
      <c r="AZ2648">
        <v>-4.7699999999999999E-3</v>
      </c>
      <c r="BA2648">
        <v>2.0100000000000001E-3</v>
      </c>
      <c r="BB2648">
        <v>-1.2E-4</v>
      </c>
      <c r="BC2648">
        <v>1.992E-2</v>
      </c>
      <c r="BD2648">
        <v>1</v>
      </c>
      <c r="BE2648" t="s">
        <v>69</v>
      </c>
      <c r="BF2648">
        <v>-0.434</v>
      </c>
      <c r="BG2648">
        <v>0.105</v>
      </c>
    </row>
    <row r="2649" spans="1:59">
      <c r="A2649">
        <v>0</v>
      </c>
      <c r="B2649">
        <v>23</v>
      </c>
      <c r="C2649">
        <v>1</v>
      </c>
      <c r="D2649" t="s">
        <v>25022</v>
      </c>
      <c r="E2649">
        <v>3476</v>
      </c>
      <c r="F2649" t="s">
        <v>20360</v>
      </c>
      <c r="G2649" t="s">
        <v>62</v>
      </c>
      <c r="H2649">
        <v>3438856</v>
      </c>
      <c r="I2649">
        <v>3440961</v>
      </c>
      <c r="J2649" t="s">
        <v>20361</v>
      </c>
      <c r="K2649">
        <v>702</v>
      </c>
      <c r="L2649" t="s">
        <v>108</v>
      </c>
      <c r="M2649">
        <v>44</v>
      </c>
      <c r="N2649" t="str">
        <f>HYPERLINK("Gene3476-zp_tree_all.dnd", "Gene3476-tree")</f>
        <v>Gene3476-tree</v>
      </c>
      <c r="O2649">
        <v>3</v>
      </c>
      <c r="P2649">
        <v>12</v>
      </c>
      <c r="Q2649">
        <v>3</v>
      </c>
      <c r="R2649">
        <v>12</v>
      </c>
      <c r="S2649">
        <v>0.8</v>
      </c>
      <c r="T2649" t="s">
        <v>324</v>
      </c>
      <c r="U2649" t="s">
        <v>109</v>
      </c>
      <c r="V2649" t="s">
        <v>62</v>
      </c>
      <c r="W2649" t="s">
        <v>62</v>
      </c>
      <c r="X2649">
        <v>9</v>
      </c>
      <c r="Y2649">
        <v>24</v>
      </c>
      <c r="Z2649">
        <v>38</v>
      </c>
      <c r="AA2649">
        <v>0.3871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9</v>
      </c>
      <c r="AH2649">
        <v>0</v>
      </c>
      <c r="AI2649">
        <v>9</v>
      </c>
      <c r="AJ2649">
        <v>32</v>
      </c>
      <c r="AK2649">
        <v>0.21951000000000001</v>
      </c>
      <c r="AL2649">
        <v>14</v>
      </c>
      <c r="AM2649">
        <v>12</v>
      </c>
      <c r="AN2649">
        <v>119</v>
      </c>
      <c r="AO2649">
        <v>43</v>
      </c>
      <c r="AP2649">
        <v>74</v>
      </c>
      <c r="AQ2649">
        <v>22</v>
      </c>
      <c r="AR2649" t="s">
        <v>20362</v>
      </c>
      <c r="AS2649" t="s">
        <v>20363</v>
      </c>
      <c r="AT2649">
        <v>0.48499999999999999</v>
      </c>
      <c r="AU2649" t="s">
        <v>65</v>
      </c>
      <c r="AV2649">
        <v>193</v>
      </c>
      <c r="AW2649">
        <v>65</v>
      </c>
      <c r="AX2649" t="s">
        <v>20364</v>
      </c>
      <c r="AY2649">
        <v>6.6250000000000003E-2</v>
      </c>
      <c r="AZ2649">
        <v>-2.0400000000000001E-3</v>
      </c>
      <c r="BA2649">
        <v>6.6299999999999996E-3</v>
      </c>
      <c r="BB2649">
        <v>-2.1000000000000001E-4</v>
      </c>
      <c r="BC2649">
        <v>0.10007000000000001</v>
      </c>
      <c r="BD2649">
        <v>1</v>
      </c>
      <c r="BE2649" t="s">
        <v>69</v>
      </c>
      <c r="BF2649">
        <v>-0.627</v>
      </c>
      <c r="BG2649">
        <v>-1.2549999999999999</v>
      </c>
    </row>
    <row r="2650" spans="1:59">
      <c r="A2650">
        <v>0</v>
      </c>
      <c r="B2650">
        <v>20</v>
      </c>
      <c r="C2650">
        <v>5</v>
      </c>
      <c r="D2650" t="s">
        <v>25022</v>
      </c>
      <c r="E2650">
        <v>439</v>
      </c>
      <c r="F2650" t="s">
        <v>2986</v>
      </c>
      <c r="G2650" t="s">
        <v>57</v>
      </c>
      <c r="H2650">
        <v>483845</v>
      </c>
      <c r="I2650">
        <v>485953</v>
      </c>
      <c r="J2650" t="s">
        <v>2987</v>
      </c>
      <c r="K2650">
        <v>703</v>
      </c>
      <c r="L2650" t="s">
        <v>2958</v>
      </c>
      <c r="M2650">
        <v>34</v>
      </c>
      <c r="N2650" t="str">
        <f>HYPERLINK("Gene439-zp_tree_all.dnd", "Gene439-tree")</f>
        <v>Gene439-tree</v>
      </c>
      <c r="O2650">
        <v>4</v>
      </c>
      <c r="P2650">
        <v>12</v>
      </c>
      <c r="Q2650">
        <v>4</v>
      </c>
      <c r="R2650">
        <v>12</v>
      </c>
      <c r="S2650">
        <v>0.75</v>
      </c>
      <c r="T2650" t="s">
        <v>61</v>
      </c>
      <c r="U2650" t="s">
        <v>109</v>
      </c>
      <c r="V2650" t="s">
        <v>62</v>
      </c>
      <c r="W2650" t="s">
        <v>62</v>
      </c>
      <c r="X2650">
        <v>9</v>
      </c>
      <c r="Y2650">
        <v>25</v>
      </c>
      <c r="Z2650">
        <v>35</v>
      </c>
      <c r="AA2650">
        <v>0.41666999999999998</v>
      </c>
      <c r="AB2650">
        <v>0</v>
      </c>
      <c r="AC2650">
        <v>0</v>
      </c>
      <c r="AD2650">
        <v>0</v>
      </c>
      <c r="AE2650">
        <v>6</v>
      </c>
      <c r="AF2650">
        <v>0</v>
      </c>
      <c r="AG2650">
        <v>11</v>
      </c>
      <c r="AH2650">
        <v>2</v>
      </c>
      <c r="AI2650">
        <v>13</v>
      </c>
      <c r="AJ2650">
        <v>31</v>
      </c>
      <c r="AK2650">
        <v>0.29544999999999999</v>
      </c>
      <c r="AL2650">
        <v>12</v>
      </c>
      <c r="AM2650">
        <v>13</v>
      </c>
      <c r="AN2650">
        <v>66</v>
      </c>
      <c r="AO2650">
        <v>39</v>
      </c>
      <c r="AP2650">
        <v>63</v>
      </c>
      <c r="AQ2650">
        <v>21</v>
      </c>
      <c r="AR2650" t="s">
        <v>2988</v>
      </c>
      <c r="AS2650" t="s">
        <v>2989</v>
      </c>
      <c r="AT2650">
        <v>1.085</v>
      </c>
      <c r="AU2650" t="s">
        <v>65</v>
      </c>
      <c r="AV2650">
        <v>129</v>
      </c>
      <c r="AW2650">
        <v>60</v>
      </c>
      <c r="AX2650" t="s">
        <v>2990</v>
      </c>
      <c r="AY2650">
        <v>4.7829999999999998E-2</v>
      </c>
      <c r="AZ2650">
        <v>-1.5499999999999999E-3</v>
      </c>
      <c r="BA2650">
        <v>6.1599999999999997E-3</v>
      </c>
      <c r="BB2650">
        <v>-1.6000000000000001E-4</v>
      </c>
      <c r="BC2650">
        <v>0.12872</v>
      </c>
      <c r="BD2650">
        <v>1</v>
      </c>
      <c r="BE2650" t="s">
        <v>69</v>
      </c>
      <c r="BF2650">
        <v>-1.056</v>
      </c>
      <c r="BG2650">
        <v>-1.163</v>
      </c>
    </row>
    <row r="2651" spans="1:59">
      <c r="A2651">
        <v>0</v>
      </c>
      <c r="B2651">
        <v>0</v>
      </c>
      <c r="C2651">
        <v>0</v>
      </c>
      <c r="D2651" t="s">
        <v>25022</v>
      </c>
      <c r="E2651">
        <v>3692</v>
      </c>
      <c r="F2651" t="s">
        <v>21661</v>
      </c>
      <c r="G2651" t="s">
        <v>62</v>
      </c>
      <c r="H2651">
        <v>3660651</v>
      </c>
      <c r="I2651">
        <v>3662765</v>
      </c>
      <c r="J2651" t="s">
        <v>21662</v>
      </c>
      <c r="K2651">
        <v>705</v>
      </c>
      <c r="L2651" t="s">
        <v>12343</v>
      </c>
      <c r="M2651">
        <v>25</v>
      </c>
      <c r="N2651" t="str">
        <f>HYPERLINK("Gene3692-zp_tree_all.dnd", "Gene3692-tree")</f>
        <v>Gene3692-tree</v>
      </c>
      <c r="O2651">
        <v>3</v>
      </c>
      <c r="P2651">
        <v>3</v>
      </c>
      <c r="Q2651">
        <v>3</v>
      </c>
      <c r="R2651">
        <v>3</v>
      </c>
      <c r="S2651">
        <v>0.5</v>
      </c>
      <c r="T2651" t="s">
        <v>324</v>
      </c>
      <c r="U2651" t="s">
        <v>324</v>
      </c>
      <c r="V2651" t="s">
        <v>62</v>
      </c>
      <c r="W2651" t="s">
        <v>62</v>
      </c>
      <c r="X2651">
        <v>0</v>
      </c>
      <c r="Y2651">
        <v>0</v>
      </c>
      <c r="Z2651">
        <v>6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</v>
      </c>
      <c r="AK2651">
        <v>0</v>
      </c>
      <c r="AL2651">
        <v>5</v>
      </c>
      <c r="AM2651">
        <v>2</v>
      </c>
      <c r="AN2651">
        <v>9</v>
      </c>
      <c r="AO2651">
        <v>4</v>
      </c>
      <c r="AP2651">
        <v>2</v>
      </c>
      <c r="AQ2651">
        <v>2</v>
      </c>
      <c r="AR2651" t="s">
        <v>21663</v>
      </c>
      <c r="AS2651" t="s">
        <v>21664</v>
      </c>
      <c r="AT2651">
        <v>0.60799999999999998</v>
      </c>
      <c r="AU2651" t="s">
        <v>65</v>
      </c>
      <c r="AV2651">
        <v>11</v>
      </c>
      <c r="AW2651">
        <v>6</v>
      </c>
      <c r="AX2651" t="s">
        <v>21665</v>
      </c>
      <c r="AY2651">
        <v>7.9500000000000005E-3</v>
      </c>
      <c r="AZ2651">
        <v>-1.2800000000000001E-3</v>
      </c>
      <c r="BA2651">
        <v>1.5299999999999999E-3</v>
      </c>
      <c r="BB2651">
        <v>-2.7999999999999998E-4</v>
      </c>
      <c r="BC2651">
        <v>0.1923</v>
      </c>
      <c r="BD2651">
        <v>0.99</v>
      </c>
      <c r="BE2651" t="s">
        <v>69</v>
      </c>
      <c r="BF2651">
        <v>-0.94199999999999995</v>
      </c>
      <c r="BG2651">
        <v>-0.90800000000000003</v>
      </c>
    </row>
    <row r="2652" spans="1:59">
      <c r="A2652">
        <v>0</v>
      </c>
      <c r="B2652">
        <v>8</v>
      </c>
      <c r="C2652">
        <v>2</v>
      </c>
      <c r="D2652" t="s">
        <v>25022</v>
      </c>
      <c r="E2652">
        <v>3854</v>
      </c>
      <c r="F2652" t="s">
        <v>22592</v>
      </c>
      <c r="G2652" t="s">
        <v>62</v>
      </c>
      <c r="H2652">
        <v>3814385</v>
      </c>
      <c r="I2652">
        <v>3816499</v>
      </c>
      <c r="J2652" t="s">
        <v>22593</v>
      </c>
      <c r="K2652">
        <v>705</v>
      </c>
      <c r="L2652" t="s">
        <v>1378</v>
      </c>
      <c r="M2652">
        <v>43</v>
      </c>
      <c r="N2652" t="str">
        <f>HYPERLINK("Gene3854-zp_tree_all.dnd", "Gene3854-tree")</f>
        <v>Gene3854-tree</v>
      </c>
      <c r="O2652">
        <v>3</v>
      </c>
      <c r="P2652">
        <v>10</v>
      </c>
      <c r="Q2652">
        <v>3</v>
      </c>
      <c r="R2652">
        <v>10</v>
      </c>
      <c r="S2652">
        <v>0.76922999999999997</v>
      </c>
      <c r="T2652" t="s">
        <v>324</v>
      </c>
      <c r="U2652" t="s">
        <v>117</v>
      </c>
      <c r="V2652" t="s">
        <v>62</v>
      </c>
      <c r="W2652" t="s">
        <v>62</v>
      </c>
      <c r="X2652">
        <v>4</v>
      </c>
      <c r="Y2652">
        <v>10</v>
      </c>
      <c r="Z2652">
        <v>19</v>
      </c>
      <c r="AA2652">
        <v>0.34483000000000003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5</v>
      </c>
      <c r="AH2652">
        <v>0</v>
      </c>
      <c r="AI2652">
        <v>5</v>
      </c>
      <c r="AJ2652">
        <v>16</v>
      </c>
      <c r="AK2652">
        <v>0.23810000000000001</v>
      </c>
      <c r="AL2652">
        <v>12</v>
      </c>
      <c r="AM2652">
        <v>10</v>
      </c>
      <c r="AN2652">
        <v>106</v>
      </c>
      <c r="AO2652">
        <v>22</v>
      </c>
      <c r="AP2652">
        <v>44</v>
      </c>
      <c r="AQ2652">
        <v>8</v>
      </c>
      <c r="AR2652" t="s">
        <v>22594</v>
      </c>
      <c r="AS2652" t="s">
        <v>22595</v>
      </c>
      <c r="AT2652">
        <v>0.16</v>
      </c>
      <c r="AU2652" t="s">
        <v>65</v>
      </c>
      <c r="AV2652">
        <v>150</v>
      </c>
      <c r="AW2652">
        <v>30</v>
      </c>
      <c r="AX2652" t="s">
        <v>22596</v>
      </c>
      <c r="AY2652">
        <v>5.6160000000000002E-2</v>
      </c>
      <c r="AZ2652">
        <v>-2.5200000000000001E-3</v>
      </c>
      <c r="BA2652">
        <v>3.2599999999999999E-3</v>
      </c>
      <c r="BB2652">
        <v>-1.8000000000000001E-4</v>
      </c>
      <c r="BC2652">
        <v>5.806E-2</v>
      </c>
      <c r="BD2652">
        <v>1</v>
      </c>
      <c r="BE2652" t="s">
        <v>69</v>
      </c>
      <c r="BF2652">
        <v>-0.80700000000000005</v>
      </c>
      <c r="BG2652">
        <v>-2.0939999999999999</v>
      </c>
    </row>
    <row r="2653" spans="1:59">
      <c r="A2653">
        <v>0</v>
      </c>
      <c r="B2653">
        <v>0</v>
      </c>
      <c r="C2653">
        <v>4</v>
      </c>
      <c r="D2653" t="s">
        <v>25022</v>
      </c>
      <c r="E2653">
        <v>1731</v>
      </c>
      <c r="F2653" t="s">
        <v>10855</v>
      </c>
      <c r="G2653" t="s">
        <v>57</v>
      </c>
      <c r="H2653">
        <v>1739383</v>
      </c>
      <c r="I2653">
        <v>1741497</v>
      </c>
      <c r="J2653" t="s">
        <v>10856</v>
      </c>
      <c r="K2653">
        <v>705</v>
      </c>
      <c r="L2653" t="s">
        <v>125</v>
      </c>
      <c r="M2653">
        <v>48</v>
      </c>
      <c r="N2653" t="str">
        <f>HYPERLINK("Gene1731-zp_tree_all.dnd", "Gene1731-tree")</f>
        <v>Gene1731-tree</v>
      </c>
      <c r="O2653">
        <v>32</v>
      </c>
      <c r="P2653">
        <v>6</v>
      </c>
      <c r="Q2653">
        <v>13</v>
      </c>
      <c r="R2653">
        <v>6</v>
      </c>
      <c r="S2653">
        <v>0.31579000000000002</v>
      </c>
      <c r="T2653" t="s">
        <v>10857</v>
      </c>
      <c r="U2653" t="s">
        <v>90</v>
      </c>
      <c r="V2653" t="s">
        <v>62</v>
      </c>
      <c r="W2653" t="s">
        <v>62</v>
      </c>
      <c r="X2653">
        <v>2</v>
      </c>
      <c r="Y2653">
        <v>4</v>
      </c>
      <c r="Z2653">
        <v>17</v>
      </c>
      <c r="AA2653">
        <v>0.19048000000000001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7</v>
      </c>
      <c r="AK2653">
        <v>0</v>
      </c>
      <c r="AL2653">
        <v>17</v>
      </c>
      <c r="AM2653">
        <v>12</v>
      </c>
      <c r="AN2653">
        <v>52</v>
      </c>
      <c r="AO2653">
        <v>7</v>
      </c>
      <c r="AP2653">
        <v>125</v>
      </c>
      <c r="AQ2653">
        <v>15</v>
      </c>
      <c r="AR2653" t="s">
        <v>10858</v>
      </c>
      <c r="AS2653" t="s">
        <v>10859</v>
      </c>
      <c r="AT2653">
        <v>9.1999999999999998E-2</v>
      </c>
      <c r="AU2653" t="s">
        <v>65</v>
      </c>
      <c r="AV2653">
        <v>177</v>
      </c>
      <c r="AW2653">
        <v>22</v>
      </c>
      <c r="AX2653" t="s">
        <v>10860</v>
      </c>
      <c r="AY2653">
        <v>8.8789999999999994E-2</v>
      </c>
      <c r="AZ2653">
        <v>-6.62E-3</v>
      </c>
      <c r="BA2653">
        <v>2.9399999999999999E-3</v>
      </c>
      <c r="BB2653">
        <v>-2.5999999999999998E-4</v>
      </c>
      <c r="BC2653">
        <v>3.3090000000000001E-2</v>
      </c>
      <c r="BD2653">
        <v>1</v>
      </c>
      <c r="BE2653" t="s">
        <v>69</v>
      </c>
      <c r="BF2653">
        <v>-1.381</v>
      </c>
      <c r="BG2653">
        <v>9.9000000000000005E-2</v>
      </c>
    </row>
    <row r="2654" spans="1:59">
      <c r="A2654">
        <v>0</v>
      </c>
      <c r="B2654">
        <v>0</v>
      </c>
      <c r="C2654">
        <v>0</v>
      </c>
      <c r="D2654" t="s">
        <v>25022</v>
      </c>
      <c r="E2654">
        <v>2636</v>
      </c>
      <c r="F2654" t="s">
        <v>15442</v>
      </c>
      <c r="G2654" t="s">
        <v>62</v>
      </c>
      <c r="H2654">
        <v>2612285</v>
      </c>
      <c r="I2654">
        <v>2614417</v>
      </c>
      <c r="J2654" t="s">
        <v>15443</v>
      </c>
      <c r="K2654">
        <v>711</v>
      </c>
      <c r="L2654" t="s">
        <v>5451</v>
      </c>
      <c r="M2654">
        <v>43</v>
      </c>
      <c r="N2654" t="str">
        <f>HYPERLINK("Gene2636-zp_tree_all.dnd", "Gene2636-tree")</f>
        <v>Gene2636-tree</v>
      </c>
      <c r="O2654">
        <v>10</v>
      </c>
      <c r="P2654">
        <v>6</v>
      </c>
      <c r="Q2654">
        <v>10</v>
      </c>
      <c r="R2654">
        <v>6</v>
      </c>
      <c r="S2654">
        <v>0.375</v>
      </c>
      <c r="T2654" t="s">
        <v>117</v>
      </c>
      <c r="U2654" t="s">
        <v>90</v>
      </c>
      <c r="V2654" t="s">
        <v>62</v>
      </c>
      <c r="W2654" t="s">
        <v>62</v>
      </c>
      <c r="X2654">
        <v>0</v>
      </c>
      <c r="Y2654">
        <v>0</v>
      </c>
      <c r="Z2654">
        <v>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9</v>
      </c>
      <c r="AK2654">
        <v>0</v>
      </c>
      <c r="AL2654">
        <v>14</v>
      </c>
      <c r="AM2654">
        <v>11</v>
      </c>
      <c r="AN2654">
        <v>119</v>
      </c>
      <c r="AO2654">
        <v>9</v>
      </c>
      <c r="AP2654">
        <v>46</v>
      </c>
      <c r="AQ2654">
        <v>0</v>
      </c>
      <c r="AR2654" t="s">
        <v>15444</v>
      </c>
      <c r="AS2654" t="s">
        <v>193</v>
      </c>
      <c r="AT2654">
        <v>1.3560000000000001</v>
      </c>
      <c r="AU2654" t="s">
        <v>65</v>
      </c>
      <c r="AV2654">
        <v>165</v>
      </c>
      <c r="AW2654">
        <v>9</v>
      </c>
      <c r="AX2654" t="s">
        <v>15445</v>
      </c>
      <c r="AY2654">
        <v>5.2789999999999997E-2</v>
      </c>
      <c r="AZ2654">
        <v>-2.1299999999999999E-3</v>
      </c>
      <c r="BA2654">
        <v>6.8000000000000005E-4</v>
      </c>
      <c r="BB2654">
        <v>-6.9999999999999994E-5</v>
      </c>
      <c r="BC2654">
        <v>1.2959999999999999E-2</v>
      </c>
      <c r="BD2654">
        <v>1</v>
      </c>
      <c r="BE2654" t="s">
        <v>69</v>
      </c>
      <c r="BF2654">
        <v>-1.64</v>
      </c>
      <c r="BG2654">
        <v>-2.9740000000000002</v>
      </c>
    </row>
    <row r="2655" spans="1:59">
      <c r="A2655">
        <v>0</v>
      </c>
      <c r="B2655">
        <v>7</v>
      </c>
      <c r="C2655">
        <v>2</v>
      </c>
      <c r="D2655" t="s">
        <v>25022</v>
      </c>
      <c r="E2655">
        <v>1047</v>
      </c>
      <c r="F2655" t="s">
        <v>6564</v>
      </c>
      <c r="G2655" t="s">
        <v>57</v>
      </c>
      <c r="H2655">
        <v>1083851</v>
      </c>
      <c r="I2655">
        <v>1085992</v>
      </c>
      <c r="J2655" t="s">
        <v>6565</v>
      </c>
      <c r="K2655">
        <v>714</v>
      </c>
      <c r="L2655" t="s">
        <v>108</v>
      </c>
      <c r="M2655">
        <v>44</v>
      </c>
      <c r="N2655" t="str">
        <f>HYPERLINK("Gene1047-zp_tree_all.dnd", "Gene1047-tree")</f>
        <v>Gene1047-tree</v>
      </c>
      <c r="O2655">
        <v>5</v>
      </c>
      <c r="P2655">
        <v>9</v>
      </c>
      <c r="Q2655">
        <v>5</v>
      </c>
      <c r="R2655">
        <v>9</v>
      </c>
      <c r="S2655">
        <v>0.64285999999999999</v>
      </c>
      <c r="T2655" t="s">
        <v>199</v>
      </c>
      <c r="U2655" t="s">
        <v>135</v>
      </c>
      <c r="V2655" t="s">
        <v>62</v>
      </c>
      <c r="W2655" t="s">
        <v>62</v>
      </c>
      <c r="X2655">
        <v>4</v>
      </c>
      <c r="Y2655">
        <v>9</v>
      </c>
      <c r="Z2655">
        <v>15</v>
      </c>
      <c r="AA2655">
        <v>0.375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</v>
      </c>
      <c r="AH2655">
        <v>2</v>
      </c>
      <c r="AI2655">
        <v>4</v>
      </c>
      <c r="AJ2655">
        <v>12</v>
      </c>
      <c r="AK2655">
        <v>0.25</v>
      </c>
      <c r="AL2655">
        <v>13</v>
      </c>
      <c r="AM2655">
        <v>11</v>
      </c>
      <c r="AN2655">
        <v>71</v>
      </c>
      <c r="AO2655">
        <v>17</v>
      </c>
      <c r="AP2655">
        <v>65</v>
      </c>
      <c r="AQ2655">
        <v>9</v>
      </c>
      <c r="AR2655" t="s">
        <v>6566</v>
      </c>
      <c r="AS2655" t="s">
        <v>6567</v>
      </c>
      <c r="AT2655">
        <v>0.61599999999999999</v>
      </c>
      <c r="AU2655" t="s">
        <v>65</v>
      </c>
      <c r="AV2655">
        <v>136</v>
      </c>
      <c r="AW2655">
        <v>26</v>
      </c>
      <c r="AX2655" t="s">
        <v>6568</v>
      </c>
      <c r="AY2655">
        <v>4.6550000000000001E-2</v>
      </c>
      <c r="AZ2655">
        <v>-1.6199999999999999E-3</v>
      </c>
      <c r="BA2655">
        <v>3.1199999999999999E-3</v>
      </c>
      <c r="BB2655">
        <v>-1.2999999999999999E-4</v>
      </c>
      <c r="BC2655">
        <v>6.6960000000000006E-2</v>
      </c>
      <c r="BD2655">
        <v>1</v>
      </c>
      <c r="BE2655" t="s">
        <v>69</v>
      </c>
      <c r="BF2655">
        <v>-0.48199999999999998</v>
      </c>
      <c r="BG2655">
        <v>-1.4630000000000001</v>
      </c>
    </row>
    <row r="2656" spans="1:59">
      <c r="A2656">
        <v>0</v>
      </c>
      <c r="B2656">
        <v>2</v>
      </c>
      <c r="C2656">
        <v>0</v>
      </c>
      <c r="D2656" t="s">
        <v>25022</v>
      </c>
      <c r="E2656">
        <v>2602</v>
      </c>
      <c r="F2656" t="s">
        <v>15232</v>
      </c>
      <c r="G2656" t="s">
        <v>62</v>
      </c>
      <c r="H2656">
        <v>2581774</v>
      </c>
      <c r="I2656">
        <v>2583921</v>
      </c>
      <c r="J2656" t="s">
        <v>15233</v>
      </c>
      <c r="K2656">
        <v>716</v>
      </c>
      <c r="L2656" t="s">
        <v>15234</v>
      </c>
      <c r="M2656">
        <v>30</v>
      </c>
      <c r="N2656" t="str">
        <f>HYPERLINK("Gene2602-zp_tree_all.dnd", "Gene2602-tree")</f>
        <v>Gene2602-tree</v>
      </c>
      <c r="O2656">
        <v>2</v>
      </c>
      <c r="P2656">
        <v>4</v>
      </c>
      <c r="Q2656">
        <v>2</v>
      </c>
      <c r="R2656">
        <v>4</v>
      </c>
      <c r="S2656">
        <v>0.66666999999999998</v>
      </c>
      <c r="T2656" t="s">
        <v>81</v>
      </c>
      <c r="U2656" t="s">
        <v>61</v>
      </c>
      <c r="V2656" t="s">
        <v>62</v>
      </c>
      <c r="W2656" t="s">
        <v>62</v>
      </c>
      <c r="X2656">
        <v>1</v>
      </c>
      <c r="Y2656">
        <v>2</v>
      </c>
      <c r="Z2656">
        <v>7</v>
      </c>
      <c r="AA2656">
        <v>0.22222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</v>
      </c>
      <c r="AH2656">
        <v>0</v>
      </c>
      <c r="AI2656">
        <v>2</v>
      </c>
      <c r="AJ2656">
        <v>6</v>
      </c>
      <c r="AK2656">
        <v>0.25</v>
      </c>
      <c r="AL2656">
        <v>4</v>
      </c>
      <c r="AM2656">
        <v>3</v>
      </c>
      <c r="AN2656">
        <v>12</v>
      </c>
      <c r="AO2656">
        <v>4</v>
      </c>
      <c r="AP2656">
        <v>11</v>
      </c>
      <c r="AQ2656">
        <v>5</v>
      </c>
      <c r="AR2656" t="s">
        <v>15235</v>
      </c>
      <c r="AS2656" t="s">
        <v>15236</v>
      </c>
      <c r="AT2656">
        <v>0.251</v>
      </c>
      <c r="AU2656" t="s">
        <v>65</v>
      </c>
      <c r="AV2656">
        <v>23</v>
      </c>
      <c r="AW2656">
        <v>9</v>
      </c>
      <c r="AX2656" t="s">
        <v>15237</v>
      </c>
      <c r="AY2656">
        <v>2.077E-2</v>
      </c>
      <c r="AZ2656">
        <v>-2.8500000000000001E-3</v>
      </c>
      <c r="BA2656">
        <v>2.3700000000000001E-3</v>
      </c>
      <c r="BB2656">
        <v>-3.3E-4</v>
      </c>
      <c r="BC2656">
        <v>0.11423999999999999</v>
      </c>
      <c r="BD2656">
        <v>1</v>
      </c>
      <c r="BE2656" t="s">
        <v>69</v>
      </c>
      <c r="BF2656">
        <v>1.6819999999999999</v>
      </c>
      <c r="BG2656">
        <v>1.4950000000000001</v>
      </c>
    </row>
    <row r="2657" spans="1:59">
      <c r="A2657">
        <v>0</v>
      </c>
      <c r="B2657">
        <v>13</v>
      </c>
      <c r="C2657">
        <v>2</v>
      </c>
      <c r="D2657" t="s">
        <v>25022</v>
      </c>
      <c r="E2657">
        <v>1577</v>
      </c>
      <c r="F2657" t="s">
        <v>9858</v>
      </c>
      <c r="G2657" t="s">
        <v>57</v>
      </c>
      <c r="H2657">
        <v>1581947</v>
      </c>
      <c r="I2657">
        <v>1584094</v>
      </c>
      <c r="J2657" t="s">
        <v>9859</v>
      </c>
      <c r="K2657">
        <v>716</v>
      </c>
      <c r="L2657" t="s">
        <v>9860</v>
      </c>
      <c r="M2657">
        <v>35</v>
      </c>
      <c r="N2657" t="str">
        <f>HYPERLINK("Gene1577-zp_tree_all.dnd", "Gene1577-tree")</f>
        <v>Gene1577-tree</v>
      </c>
      <c r="O2657">
        <v>3</v>
      </c>
      <c r="P2657">
        <v>5</v>
      </c>
      <c r="Q2657">
        <v>3</v>
      </c>
      <c r="R2657">
        <v>5</v>
      </c>
      <c r="S2657">
        <v>0.625</v>
      </c>
      <c r="T2657" t="s">
        <v>324</v>
      </c>
      <c r="U2657" t="s">
        <v>199</v>
      </c>
      <c r="V2657" t="s">
        <v>62</v>
      </c>
      <c r="W2657" t="s">
        <v>62</v>
      </c>
      <c r="X2657">
        <v>7</v>
      </c>
      <c r="Y2657">
        <v>15</v>
      </c>
      <c r="Z2657">
        <v>9</v>
      </c>
      <c r="AA2657">
        <v>0.625</v>
      </c>
      <c r="AB2657">
        <v>0</v>
      </c>
      <c r="AC2657">
        <v>0</v>
      </c>
      <c r="AD2657">
        <v>0</v>
      </c>
      <c r="AE2657">
        <v>5</v>
      </c>
      <c r="AF2657">
        <v>0</v>
      </c>
      <c r="AG2657">
        <v>2</v>
      </c>
      <c r="AH2657">
        <v>0</v>
      </c>
      <c r="AI2657">
        <v>2</v>
      </c>
      <c r="AJ2657">
        <v>7</v>
      </c>
      <c r="AK2657">
        <v>0.22222</v>
      </c>
      <c r="AL2657">
        <v>7</v>
      </c>
      <c r="AM2657">
        <v>5</v>
      </c>
      <c r="AN2657">
        <v>65</v>
      </c>
      <c r="AO2657">
        <v>9</v>
      </c>
      <c r="AP2657">
        <v>87</v>
      </c>
      <c r="AQ2657">
        <v>16</v>
      </c>
      <c r="AR2657" t="s">
        <v>9861</v>
      </c>
      <c r="AS2657" t="s">
        <v>9862</v>
      </c>
      <c r="AT2657">
        <v>0.54600000000000004</v>
      </c>
      <c r="AU2657" t="s">
        <v>65</v>
      </c>
      <c r="AV2657">
        <v>152</v>
      </c>
      <c r="AW2657">
        <v>25</v>
      </c>
      <c r="AX2657" t="s">
        <v>9863</v>
      </c>
      <c r="AY2657">
        <v>0.10730000000000001</v>
      </c>
      <c r="AZ2657">
        <v>-7.6E-3</v>
      </c>
      <c r="BA2657">
        <v>4.79E-3</v>
      </c>
      <c r="BB2657">
        <v>-2.9999999999999997E-4</v>
      </c>
      <c r="BC2657">
        <v>4.462E-2</v>
      </c>
      <c r="BD2657">
        <v>1</v>
      </c>
      <c r="BE2657" t="s">
        <v>69</v>
      </c>
      <c r="BF2657">
        <v>0.28799999999999998</v>
      </c>
      <c r="BG2657">
        <v>0.95399999999999996</v>
      </c>
    </row>
    <row r="2658" spans="1:59">
      <c r="A2658">
        <v>0</v>
      </c>
      <c r="B2658">
        <v>3</v>
      </c>
      <c r="C2658">
        <v>0</v>
      </c>
      <c r="D2658" t="s">
        <v>25022</v>
      </c>
      <c r="E2658">
        <v>1725</v>
      </c>
      <c r="F2658" t="s">
        <v>10821</v>
      </c>
      <c r="G2658" t="s">
        <v>57</v>
      </c>
      <c r="H2658">
        <v>1734009</v>
      </c>
      <c r="I2658">
        <v>1736156</v>
      </c>
      <c r="J2658" t="s">
        <v>10822</v>
      </c>
      <c r="K2658">
        <v>716</v>
      </c>
      <c r="L2658" t="s">
        <v>698</v>
      </c>
      <c r="M2658">
        <v>47</v>
      </c>
      <c r="N2658" t="str">
        <f>HYPERLINK("Gene1725-zp_tree_all.dnd", "Gene1725-tree")</f>
        <v>Gene1725-tree</v>
      </c>
      <c r="O2658">
        <v>13</v>
      </c>
      <c r="P2658">
        <v>5</v>
      </c>
      <c r="Q2658">
        <v>13</v>
      </c>
      <c r="R2658">
        <v>5</v>
      </c>
      <c r="S2658">
        <v>0.27778000000000003</v>
      </c>
      <c r="T2658" t="s">
        <v>507</v>
      </c>
      <c r="U2658" t="s">
        <v>199</v>
      </c>
      <c r="V2658" t="s">
        <v>62</v>
      </c>
      <c r="W2658" t="s">
        <v>62</v>
      </c>
      <c r="X2658">
        <v>1</v>
      </c>
      <c r="Y2658">
        <v>3</v>
      </c>
      <c r="Z2658">
        <v>8</v>
      </c>
      <c r="AA2658">
        <v>0.27272999999999997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5</v>
      </c>
      <c r="AK2658">
        <v>0</v>
      </c>
      <c r="AL2658">
        <v>13</v>
      </c>
      <c r="AM2658">
        <v>13</v>
      </c>
      <c r="AN2658">
        <v>45</v>
      </c>
      <c r="AO2658">
        <v>4</v>
      </c>
      <c r="AP2658">
        <v>86</v>
      </c>
      <c r="AQ2658">
        <v>7</v>
      </c>
      <c r="AR2658" t="s">
        <v>10823</v>
      </c>
      <c r="AS2658" t="s">
        <v>10824</v>
      </c>
      <c r="AT2658">
        <v>4.3999999999999997E-2</v>
      </c>
      <c r="AU2658" t="s">
        <v>65</v>
      </c>
      <c r="AV2658">
        <v>131</v>
      </c>
      <c r="AW2658">
        <v>11</v>
      </c>
      <c r="AX2658" t="s">
        <v>10825</v>
      </c>
      <c r="AY2658">
        <v>6.4070000000000002E-2</v>
      </c>
      <c r="AZ2658">
        <v>-5.3499999999999997E-3</v>
      </c>
      <c r="BA2658">
        <v>1.2700000000000001E-3</v>
      </c>
      <c r="BB2658">
        <v>-1E-4</v>
      </c>
      <c r="BC2658">
        <v>1.9769999999999999E-2</v>
      </c>
      <c r="BD2658">
        <v>1</v>
      </c>
      <c r="BE2658" t="s">
        <v>69</v>
      </c>
      <c r="BF2658">
        <v>-1.294</v>
      </c>
      <c r="BG2658">
        <v>-0.52900000000000003</v>
      </c>
    </row>
    <row r="2659" spans="1:59">
      <c r="A2659">
        <v>0</v>
      </c>
      <c r="B2659">
        <v>40</v>
      </c>
      <c r="C2659">
        <v>2</v>
      </c>
      <c r="D2659" t="s">
        <v>25022</v>
      </c>
      <c r="E2659">
        <v>3110</v>
      </c>
      <c r="F2659" t="s">
        <v>18042</v>
      </c>
      <c r="G2659" t="s">
        <v>62</v>
      </c>
      <c r="H2659">
        <v>3061654</v>
      </c>
      <c r="I2659">
        <v>3063807</v>
      </c>
      <c r="J2659" t="s">
        <v>18043</v>
      </c>
      <c r="K2659">
        <v>718</v>
      </c>
      <c r="L2659" t="s">
        <v>108</v>
      </c>
      <c r="M2659">
        <v>44</v>
      </c>
      <c r="N2659" t="str">
        <f>HYPERLINK("Gene3110-zp_tree_all.dnd", "Gene3110-tree")</f>
        <v>Gene3110-tree</v>
      </c>
      <c r="O2659">
        <v>3</v>
      </c>
      <c r="P2659">
        <v>13</v>
      </c>
      <c r="Q2659">
        <v>3</v>
      </c>
      <c r="R2659">
        <v>13</v>
      </c>
      <c r="S2659">
        <v>0.8125</v>
      </c>
      <c r="T2659" t="s">
        <v>324</v>
      </c>
      <c r="U2659" t="s">
        <v>507</v>
      </c>
      <c r="V2659" t="s">
        <v>62</v>
      </c>
      <c r="W2659" t="s">
        <v>62</v>
      </c>
      <c r="X2659">
        <v>16</v>
      </c>
      <c r="Y2659">
        <v>42</v>
      </c>
      <c r="Z2659">
        <v>44</v>
      </c>
      <c r="AA2659">
        <v>0.48837000000000003</v>
      </c>
      <c r="AB2659">
        <v>0</v>
      </c>
      <c r="AC2659">
        <v>0</v>
      </c>
      <c r="AD2659">
        <v>0</v>
      </c>
      <c r="AE2659">
        <v>3</v>
      </c>
      <c r="AF2659">
        <v>0</v>
      </c>
      <c r="AG2659">
        <v>12</v>
      </c>
      <c r="AH2659">
        <v>5</v>
      </c>
      <c r="AI2659">
        <v>17</v>
      </c>
      <c r="AJ2659">
        <v>41</v>
      </c>
      <c r="AK2659">
        <v>0.29310000000000003</v>
      </c>
      <c r="AL2659">
        <v>15</v>
      </c>
      <c r="AM2659">
        <v>12</v>
      </c>
      <c r="AN2659">
        <v>66</v>
      </c>
      <c r="AO2659">
        <v>59</v>
      </c>
      <c r="AP2659">
        <v>59</v>
      </c>
      <c r="AQ2659">
        <v>29</v>
      </c>
      <c r="AR2659" t="s">
        <v>18044</v>
      </c>
      <c r="AS2659" t="s">
        <v>18045</v>
      </c>
      <c r="AT2659">
        <v>1.25</v>
      </c>
      <c r="AU2659" t="s">
        <v>65</v>
      </c>
      <c r="AV2659">
        <v>125</v>
      </c>
      <c r="AW2659">
        <v>88</v>
      </c>
      <c r="AX2659" t="s">
        <v>18046</v>
      </c>
      <c r="AY2659">
        <v>4.446E-2</v>
      </c>
      <c r="AZ2659">
        <v>-1.4E-3</v>
      </c>
      <c r="BA2659">
        <v>8.3300000000000006E-3</v>
      </c>
      <c r="BB2659">
        <v>-2.7999999999999998E-4</v>
      </c>
      <c r="BC2659">
        <v>0.18743000000000001</v>
      </c>
      <c r="BD2659">
        <v>1</v>
      </c>
      <c r="BE2659" t="s">
        <v>69</v>
      </c>
      <c r="BF2659">
        <v>-0.42099999999999999</v>
      </c>
      <c r="BG2659">
        <v>-0.16400000000000001</v>
      </c>
    </row>
    <row r="2660" spans="1:59">
      <c r="A2660">
        <v>0</v>
      </c>
      <c r="B2660">
        <v>17</v>
      </c>
      <c r="C2660">
        <v>0</v>
      </c>
      <c r="D2660" t="s">
        <v>25022</v>
      </c>
      <c r="E2660">
        <v>487</v>
      </c>
      <c r="F2660" t="s">
        <v>3291</v>
      </c>
      <c r="G2660" t="s">
        <v>57</v>
      </c>
      <c r="H2660">
        <v>525743</v>
      </c>
      <c r="I2660">
        <v>527899</v>
      </c>
      <c r="J2660" t="s">
        <v>3292</v>
      </c>
      <c r="K2660">
        <v>719</v>
      </c>
      <c r="L2660" t="s">
        <v>108</v>
      </c>
      <c r="M2660">
        <v>44</v>
      </c>
      <c r="N2660" t="str">
        <f>HYPERLINK("Gene487-zp_tree_all.dnd", "Gene487-tree")</f>
        <v>Gene487-tree</v>
      </c>
      <c r="O2660">
        <v>5</v>
      </c>
      <c r="P2660">
        <v>9</v>
      </c>
      <c r="Q2660">
        <v>5</v>
      </c>
      <c r="R2660">
        <v>9</v>
      </c>
      <c r="S2660">
        <v>0.64285999999999999</v>
      </c>
      <c r="T2660" t="s">
        <v>199</v>
      </c>
      <c r="U2660" t="s">
        <v>135</v>
      </c>
      <c r="V2660" t="s">
        <v>62</v>
      </c>
      <c r="W2660" t="s">
        <v>62</v>
      </c>
      <c r="X2660">
        <v>6</v>
      </c>
      <c r="Y2660">
        <v>17</v>
      </c>
      <c r="Z2660">
        <v>14</v>
      </c>
      <c r="AA2660">
        <v>0.54839000000000004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8</v>
      </c>
      <c r="AH2660">
        <v>0</v>
      </c>
      <c r="AI2660">
        <v>8</v>
      </c>
      <c r="AJ2660">
        <v>14</v>
      </c>
      <c r="AK2660">
        <v>0.36364000000000002</v>
      </c>
      <c r="AL2660">
        <v>14</v>
      </c>
      <c r="AM2660">
        <v>11</v>
      </c>
      <c r="AN2660">
        <v>100</v>
      </c>
      <c r="AO2660">
        <v>22</v>
      </c>
      <c r="AP2660">
        <v>70</v>
      </c>
      <c r="AQ2660">
        <v>10</v>
      </c>
      <c r="AR2660" t="s">
        <v>3293</v>
      </c>
      <c r="AS2660" t="s">
        <v>3294</v>
      </c>
      <c r="AT2660">
        <v>0.70299999999999996</v>
      </c>
      <c r="AU2660" t="s">
        <v>65</v>
      </c>
      <c r="AV2660">
        <v>170</v>
      </c>
      <c r="AW2660">
        <v>32</v>
      </c>
      <c r="AX2660" t="s">
        <v>3295</v>
      </c>
      <c r="AY2660">
        <v>6.216E-2</v>
      </c>
      <c r="AZ2660">
        <v>-2.1900000000000001E-3</v>
      </c>
      <c r="BA2660">
        <v>3.0000000000000001E-3</v>
      </c>
      <c r="BB2660">
        <v>-1.2999999999999999E-4</v>
      </c>
      <c r="BC2660">
        <v>4.8210000000000003E-2</v>
      </c>
      <c r="BD2660">
        <v>1</v>
      </c>
      <c r="BE2660" t="s">
        <v>69</v>
      </c>
      <c r="BF2660">
        <v>-0.40799999999999997</v>
      </c>
      <c r="BG2660">
        <v>-0.59599999999999997</v>
      </c>
    </row>
    <row r="2661" spans="1:59">
      <c r="A2661">
        <v>0</v>
      </c>
      <c r="B2661">
        <v>23</v>
      </c>
      <c r="C2661">
        <v>4</v>
      </c>
      <c r="D2661" t="s">
        <v>25022</v>
      </c>
      <c r="E2661">
        <v>560</v>
      </c>
      <c r="F2661" t="s">
        <v>3602</v>
      </c>
      <c r="G2661" t="s">
        <v>57</v>
      </c>
      <c r="H2661">
        <v>589717</v>
      </c>
      <c r="I2661">
        <v>591888</v>
      </c>
      <c r="J2661" t="s">
        <v>3603</v>
      </c>
      <c r="K2661">
        <v>724</v>
      </c>
      <c r="L2661" t="s">
        <v>108</v>
      </c>
      <c r="M2661">
        <v>44</v>
      </c>
      <c r="N2661" t="str">
        <f>HYPERLINK("Gene560-zp_tree_all.dnd", "Gene560-tree")</f>
        <v>Gene560-tree</v>
      </c>
      <c r="O2661">
        <v>2</v>
      </c>
      <c r="P2661">
        <v>13</v>
      </c>
      <c r="Q2661">
        <v>2</v>
      </c>
      <c r="R2661">
        <v>13</v>
      </c>
      <c r="S2661">
        <v>0.86667000000000005</v>
      </c>
      <c r="T2661" t="s">
        <v>81</v>
      </c>
      <c r="U2661" t="s">
        <v>507</v>
      </c>
      <c r="V2661" t="s">
        <v>62</v>
      </c>
      <c r="W2661" t="s">
        <v>62</v>
      </c>
      <c r="X2661">
        <v>10</v>
      </c>
      <c r="Y2661">
        <v>27</v>
      </c>
      <c r="Z2661">
        <v>38</v>
      </c>
      <c r="AA2661">
        <v>0.41538000000000003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16</v>
      </c>
      <c r="AH2661">
        <v>2</v>
      </c>
      <c r="AI2661">
        <v>18</v>
      </c>
      <c r="AJ2661">
        <v>35</v>
      </c>
      <c r="AK2661">
        <v>0.33961999999999998</v>
      </c>
      <c r="AL2661">
        <v>14</v>
      </c>
      <c r="AM2661">
        <v>12</v>
      </c>
      <c r="AN2661">
        <v>85</v>
      </c>
      <c r="AO2661">
        <v>54</v>
      </c>
      <c r="AP2661">
        <v>68</v>
      </c>
      <c r="AQ2661">
        <v>12</v>
      </c>
      <c r="AR2661" t="s">
        <v>3604</v>
      </c>
      <c r="AS2661" t="s">
        <v>3605</v>
      </c>
      <c r="AT2661">
        <v>2.0270000000000001</v>
      </c>
      <c r="AU2661" t="s">
        <v>267</v>
      </c>
      <c r="AV2661">
        <v>153</v>
      </c>
      <c r="AW2661">
        <v>66</v>
      </c>
      <c r="AX2661" t="s">
        <v>3606</v>
      </c>
      <c r="AY2661">
        <v>5.126E-2</v>
      </c>
      <c r="AZ2661">
        <v>-1.7899999999999999E-3</v>
      </c>
      <c r="BA2661">
        <v>5.94E-3</v>
      </c>
      <c r="BB2661">
        <v>-1.9000000000000001E-4</v>
      </c>
      <c r="BC2661">
        <v>0.11595999999999999</v>
      </c>
      <c r="BD2661">
        <v>1</v>
      </c>
      <c r="BE2661" t="s">
        <v>69</v>
      </c>
      <c r="BF2661">
        <v>-0.628</v>
      </c>
      <c r="BG2661">
        <v>-1.175</v>
      </c>
    </row>
    <row r="2662" spans="1:59">
      <c r="A2662">
        <v>0</v>
      </c>
      <c r="B2662">
        <v>6</v>
      </c>
      <c r="C2662">
        <v>0</v>
      </c>
      <c r="D2662" t="s">
        <v>25022</v>
      </c>
      <c r="E2662">
        <v>434</v>
      </c>
      <c r="F2662" t="s">
        <v>2948</v>
      </c>
      <c r="G2662" t="s">
        <v>57</v>
      </c>
      <c r="H2662">
        <v>476558</v>
      </c>
      <c r="I2662">
        <v>478738</v>
      </c>
      <c r="J2662" t="s">
        <v>2949</v>
      </c>
      <c r="K2662">
        <v>727</v>
      </c>
      <c r="L2662" t="s">
        <v>2950</v>
      </c>
      <c r="M2662">
        <v>41</v>
      </c>
      <c r="N2662" t="str">
        <f>HYPERLINK("Gene434-zp_tree_all.dnd", "Gene434-tree")</f>
        <v>Gene434-tree</v>
      </c>
      <c r="O2662">
        <v>6</v>
      </c>
      <c r="P2662">
        <v>10</v>
      </c>
      <c r="Q2662">
        <v>6</v>
      </c>
      <c r="R2662">
        <v>10</v>
      </c>
      <c r="S2662">
        <v>0.625</v>
      </c>
      <c r="T2662" t="s">
        <v>90</v>
      </c>
      <c r="U2662" t="s">
        <v>117</v>
      </c>
      <c r="V2662" t="s">
        <v>62</v>
      </c>
      <c r="W2662" t="s">
        <v>62</v>
      </c>
      <c r="X2662">
        <v>2</v>
      </c>
      <c r="Y2662">
        <v>6</v>
      </c>
      <c r="Z2662">
        <v>14</v>
      </c>
      <c r="AA2662">
        <v>0.3</v>
      </c>
      <c r="AB2662">
        <v>0</v>
      </c>
      <c r="AC2662">
        <v>0</v>
      </c>
      <c r="AD2662">
        <v>0</v>
      </c>
      <c r="AE2662">
        <v>2</v>
      </c>
      <c r="AF2662">
        <v>0</v>
      </c>
      <c r="AG2662">
        <v>5</v>
      </c>
      <c r="AH2662">
        <v>0</v>
      </c>
      <c r="AI2662">
        <v>5</v>
      </c>
      <c r="AJ2662">
        <v>9</v>
      </c>
      <c r="AK2662">
        <v>0.35714000000000001</v>
      </c>
      <c r="AL2662">
        <v>14</v>
      </c>
      <c r="AM2662">
        <v>13</v>
      </c>
      <c r="AN2662">
        <v>96</v>
      </c>
      <c r="AO2662">
        <v>14</v>
      </c>
      <c r="AP2662">
        <v>42</v>
      </c>
      <c r="AQ2662">
        <v>7</v>
      </c>
      <c r="AR2662" t="s">
        <v>2951</v>
      </c>
      <c r="AS2662" t="s">
        <v>2952</v>
      </c>
      <c r="AT2662">
        <v>0.183</v>
      </c>
      <c r="AU2662" t="s">
        <v>65</v>
      </c>
      <c r="AV2662">
        <v>138</v>
      </c>
      <c r="AW2662">
        <v>21</v>
      </c>
      <c r="AX2662" t="s">
        <v>2953</v>
      </c>
      <c r="AY2662">
        <v>4.1910000000000003E-2</v>
      </c>
      <c r="AZ2662">
        <v>-1.0300000000000001E-3</v>
      </c>
      <c r="BA2662">
        <v>2.0899999999999998E-3</v>
      </c>
      <c r="BB2662">
        <v>-8.0000000000000007E-5</v>
      </c>
      <c r="BC2662">
        <v>4.99E-2</v>
      </c>
      <c r="BD2662">
        <v>1</v>
      </c>
      <c r="BE2662" t="s">
        <v>69</v>
      </c>
      <c r="BF2662">
        <v>-0.61399999999999999</v>
      </c>
      <c r="BG2662">
        <v>-1.4810000000000001</v>
      </c>
    </row>
    <row r="2663" spans="1:59">
      <c r="A2663">
        <v>0</v>
      </c>
      <c r="B2663">
        <v>0</v>
      </c>
      <c r="C2663">
        <v>0</v>
      </c>
      <c r="D2663" t="s">
        <v>25022</v>
      </c>
      <c r="E2663">
        <v>2874</v>
      </c>
      <c r="F2663" t="s">
        <v>16526</v>
      </c>
      <c r="G2663" t="s">
        <v>62</v>
      </c>
      <c r="H2663">
        <v>2820532</v>
      </c>
      <c r="I2663">
        <v>2822733</v>
      </c>
      <c r="J2663" t="s">
        <v>16527</v>
      </c>
      <c r="K2663">
        <v>734</v>
      </c>
      <c r="L2663" t="s">
        <v>59</v>
      </c>
      <c r="M2663">
        <v>49</v>
      </c>
      <c r="N2663" t="str">
        <f>HYPERLINK("Gene2874-zp_tree_all.dnd", "Gene2874-tree")</f>
        <v>Gene2874-tree</v>
      </c>
      <c r="O2663">
        <v>19</v>
      </c>
      <c r="P2663">
        <v>1</v>
      </c>
      <c r="Q2663">
        <v>19</v>
      </c>
      <c r="R2663">
        <v>1</v>
      </c>
      <c r="S2663">
        <v>0.05</v>
      </c>
      <c r="T2663" t="s">
        <v>587</v>
      </c>
      <c r="U2663" t="s">
        <v>175</v>
      </c>
      <c r="V2663" t="s">
        <v>62</v>
      </c>
      <c r="W2663" t="s">
        <v>62</v>
      </c>
      <c r="X2663">
        <v>0</v>
      </c>
      <c r="Y2663">
        <v>0</v>
      </c>
      <c r="Z2663">
        <v>14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6</v>
      </c>
      <c r="AK2663">
        <v>0</v>
      </c>
      <c r="AL2663">
        <v>19</v>
      </c>
      <c r="AM2663">
        <v>15</v>
      </c>
      <c r="AN2663">
        <v>117</v>
      </c>
      <c r="AO2663">
        <v>6</v>
      </c>
      <c r="AP2663">
        <v>153</v>
      </c>
      <c r="AQ2663">
        <v>8</v>
      </c>
      <c r="AR2663" t="s">
        <v>16528</v>
      </c>
      <c r="AS2663" t="s">
        <v>16529</v>
      </c>
      <c r="AT2663">
        <v>1E-3</v>
      </c>
      <c r="AU2663" t="s">
        <v>65</v>
      </c>
      <c r="AV2663">
        <v>270</v>
      </c>
      <c r="AW2663">
        <v>14</v>
      </c>
      <c r="AX2663" t="s">
        <v>16530</v>
      </c>
      <c r="AY2663">
        <v>0.11754000000000001</v>
      </c>
      <c r="AZ2663">
        <v>-5.9800000000000001E-3</v>
      </c>
      <c r="BA2663">
        <v>1.5900000000000001E-3</v>
      </c>
      <c r="BB2663">
        <v>-1.2E-4</v>
      </c>
      <c r="BC2663">
        <v>1.353E-2</v>
      </c>
      <c r="BD2663">
        <v>1</v>
      </c>
      <c r="BE2663" t="s">
        <v>69</v>
      </c>
      <c r="BF2663">
        <v>-0.878</v>
      </c>
      <c r="BG2663">
        <v>-0.56200000000000006</v>
      </c>
    </row>
    <row r="2664" spans="1:59">
      <c r="A2664">
        <v>0</v>
      </c>
      <c r="B2664">
        <v>21</v>
      </c>
      <c r="C2664">
        <v>4</v>
      </c>
      <c r="D2664" t="s">
        <v>25022</v>
      </c>
      <c r="E2664">
        <v>669</v>
      </c>
      <c r="F2664" t="s">
        <v>4170</v>
      </c>
      <c r="G2664" t="s">
        <v>57</v>
      </c>
      <c r="H2664">
        <v>690364</v>
      </c>
      <c r="I2664">
        <v>692574</v>
      </c>
      <c r="J2664" t="s">
        <v>288</v>
      </c>
      <c r="K2664">
        <v>737</v>
      </c>
      <c r="L2664" t="s">
        <v>4066</v>
      </c>
      <c r="M2664">
        <v>42</v>
      </c>
      <c r="N2664" t="str">
        <f>HYPERLINK("Gene669-zp_tree_all.dnd", "Gene669-tree")</f>
        <v>Gene669-tree</v>
      </c>
      <c r="O2664">
        <v>0</v>
      </c>
      <c r="P2664">
        <v>14</v>
      </c>
      <c r="Q2664">
        <v>0</v>
      </c>
      <c r="R2664">
        <v>14</v>
      </c>
      <c r="S2664">
        <v>1</v>
      </c>
      <c r="T2664" t="s">
        <v>62</v>
      </c>
      <c r="U2664" t="s">
        <v>543</v>
      </c>
      <c r="V2664">
        <v>143484786.68799999</v>
      </c>
      <c r="W2664" t="s">
        <v>65</v>
      </c>
      <c r="X2664">
        <v>11</v>
      </c>
      <c r="Y2664">
        <v>25</v>
      </c>
      <c r="Z2664">
        <v>23</v>
      </c>
      <c r="AA2664">
        <v>0.52083000000000002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15</v>
      </c>
      <c r="AH2664">
        <v>3</v>
      </c>
      <c r="AI2664">
        <v>18</v>
      </c>
      <c r="AJ2664">
        <v>21</v>
      </c>
      <c r="AK2664">
        <v>0.46154000000000001</v>
      </c>
      <c r="AL2664">
        <v>13</v>
      </c>
      <c r="AM2664">
        <v>9</v>
      </c>
      <c r="AN2664">
        <v>74</v>
      </c>
      <c r="AO2664">
        <v>40</v>
      </c>
      <c r="AP2664">
        <v>34</v>
      </c>
      <c r="AQ2664">
        <v>11</v>
      </c>
      <c r="AR2664" t="s">
        <v>4171</v>
      </c>
      <c r="AS2664" t="s">
        <v>4172</v>
      </c>
      <c r="AT2664">
        <v>1.194</v>
      </c>
      <c r="AU2664" t="s">
        <v>65</v>
      </c>
      <c r="AV2664">
        <v>108</v>
      </c>
      <c r="AW2664">
        <v>51</v>
      </c>
      <c r="AX2664" t="s">
        <v>4173</v>
      </c>
      <c r="AY2664">
        <v>3.5580000000000001E-2</v>
      </c>
      <c r="AZ2664">
        <v>-1.24E-3</v>
      </c>
      <c r="BA2664">
        <v>5.1799999999999997E-3</v>
      </c>
      <c r="BB2664">
        <v>-1.9000000000000001E-4</v>
      </c>
      <c r="BC2664">
        <v>0.14563999999999999</v>
      </c>
      <c r="BD2664">
        <v>1</v>
      </c>
      <c r="BE2664" t="s">
        <v>69</v>
      </c>
      <c r="BF2664">
        <v>-0.55000000000000004</v>
      </c>
      <c r="BG2664">
        <v>-1.393</v>
      </c>
    </row>
    <row r="2665" spans="1:59">
      <c r="A2665">
        <v>0</v>
      </c>
      <c r="B2665">
        <v>2</v>
      </c>
      <c r="C2665">
        <v>0</v>
      </c>
      <c r="D2665" t="s">
        <v>25022</v>
      </c>
      <c r="E2665">
        <v>2879</v>
      </c>
      <c r="F2665" t="s">
        <v>16560</v>
      </c>
      <c r="G2665" t="s">
        <v>62</v>
      </c>
      <c r="H2665">
        <v>2826903</v>
      </c>
      <c r="I2665">
        <v>2829113</v>
      </c>
      <c r="J2665" t="s">
        <v>16561</v>
      </c>
      <c r="K2665">
        <v>737</v>
      </c>
      <c r="L2665" t="s">
        <v>108</v>
      </c>
      <c r="M2665">
        <v>44</v>
      </c>
      <c r="N2665" t="str">
        <f>HYPERLINK("Gene2879-zp_tree_all.dnd", "Gene2879-tree")</f>
        <v>Gene2879-tree</v>
      </c>
      <c r="O2665">
        <v>8</v>
      </c>
      <c r="P2665">
        <v>4</v>
      </c>
      <c r="Q2665">
        <v>8</v>
      </c>
      <c r="R2665">
        <v>4</v>
      </c>
      <c r="S2665">
        <v>0.33333000000000002</v>
      </c>
      <c r="T2665" t="s">
        <v>136</v>
      </c>
      <c r="U2665" t="s">
        <v>61</v>
      </c>
      <c r="V2665" t="s">
        <v>62</v>
      </c>
      <c r="W2665" t="s">
        <v>62</v>
      </c>
      <c r="X2665">
        <v>1</v>
      </c>
      <c r="Y2665">
        <v>2</v>
      </c>
      <c r="Z2665">
        <v>17</v>
      </c>
      <c r="AA2665">
        <v>0.10526000000000001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6</v>
      </c>
      <c r="AK2665">
        <v>0</v>
      </c>
      <c r="AL2665">
        <v>12</v>
      </c>
      <c r="AM2665">
        <v>9</v>
      </c>
      <c r="AN2665">
        <v>103</v>
      </c>
      <c r="AO2665">
        <v>6</v>
      </c>
      <c r="AP2665">
        <v>69</v>
      </c>
      <c r="AQ2665">
        <v>14</v>
      </c>
      <c r="AR2665" t="s">
        <v>16562</v>
      </c>
      <c r="AS2665" t="s">
        <v>16563</v>
      </c>
      <c r="AT2665">
        <v>0.27600000000000002</v>
      </c>
      <c r="AU2665" t="s">
        <v>65</v>
      </c>
      <c r="AV2665">
        <v>172</v>
      </c>
      <c r="AW2665">
        <v>20</v>
      </c>
      <c r="AX2665" t="s">
        <v>16564</v>
      </c>
      <c r="AY2665">
        <v>8.4620000000000001E-2</v>
      </c>
      <c r="AZ2665">
        <v>-5.1900000000000002E-3</v>
      </c>
      <c r="BA2665">
        <v>4.8799999999999998E-3</v>
      </c>
      <c r="BB2665">
        <v>-4.6999999999999999E-4</v>
      </c>
      <c r="BC2665">
        <v>5.7610000000000001E-2</v>
      </c>
      <c r="BD2665">
        <v>1</v>
      </c>
      <c r="BE2665" t="s">
        <v>69</v>
      </c>
      <c r="BF2665">
        <v>0.64400000000000002</v>
      </c>
      <c r="BG2665">
        <v>-1.0489999999999999</v>
      </c>
    </row>
    <row r="2666" spans="1:59">
      <c r="A2666">
        <v>0</v>
      </c>
      <c r="B2666">
        <v>2</v>
      </c>
      <c r="C2666">
        <v>0</v>
      </c>
      <c r="D2666" t="s">
        <v>25022</v>
      </c>
      <c r="E2666">
        <v>1405</v>
      </c>
      <c r="F2666" t="s">
        <v>8794</v>
      </c>
      <c r="G2666" t="s">
        <v>57</v>
      </c>
      <c r="H2666">
        <v>1419213</v>
      </c>
      <c r="I2666">
        <v>1421426</v>
      </c>
      <c r="J2666" t="s">
        <v>3074</v>
      </c>
      <c r="K2666">
        <v>738</v>
      </c>
      <c r="L2666" t="s">
        <v>108</v>
      </c>
      <c r="M2666">
        <v>44</v>
      </c>
      <c r="N2666" t="str">
        <f>HYPERLINK("Gene1405-zp_tree_all.dnd", "Gene1405-tree")</f>
        <v>Gene1405-tree</v>
      </c>
      <c r="O2666">
        <v>10</v>
      </c>
      <c r="P2666">
        <v>5</v>
      </c>
      <c r="Q2666">
        <v>10</v>
      </c>
      <c r="R2666">
        <v>5</v>
      </c>
      <c r="S2666">
        <v>0.33333000000000002</v>
      </c>
      <c r="T2666" t="s">
        <v>117</v>
      </c>
      <c r="U2666" t="s">
        <v>199</v>
      </c>
      <c r="V2666" t="s">
        <v>62</v>
      </c>
      <c r="W2666" t="s">
        <v>62</v>
      </c>
      <c r="X2666">
        <v>1</v>
      </c>
      <c r="Y2666">
        <v>2</v>
      </c>
      <c r="Z2666">
        <v>5</v>
      </c>
      <c r="AA2666">
        <v>0.28571000000000002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</v>
      </c>
      <c r="AH2666">
        <v>0</v>
      </c>
      <c r="AI2666">
        <v>2</v>
      </c>
      <c r="AJ2666">
        <v>4</v>
      </c>
      <c r="AK2666">
        <v>0.33333000000000002</v>
      </c>
      <c r="AL2666">
        <v>12</v>
      </c>
      <c r="AM2666">
        <v>12</v>
      </c>
      <c r="AN2666">
        <v>39</v>
      </c>
      <c r="AO2666">
        <v>6</v>
      </c>
      <c r="AP2666">
        <v>37</v>
      </c>
      <c r="AQ2666">
        <v>1</v>
      </c>
      <c r="AR2666" t="s">
        <v>8795</v>
      </c>
      <c r="AS2666" t="s">
        <v>8796</v>
      </c>
      <c r="AT2666">
        <v>0.98699999999999999</v>
      </c>
      <c r="AU2666" t="s">
        <v>65</v>
      </c>
      <c r="AV2666">
        <v>76</v>
      </c>
      <c r="AW2666">
        <v>7</v>
      </c>
      <c r="AX2666" t="s">
        <v>8797</v>
      </c>
      <c r="AY2666">
        <v>2.9170000000000001E-2</v>
      </c>
      <c r="AZ2666">
        <v>-8.8000000000000003E-4</v>
      </c>
      <c r="BA2666">
        <v>5.9000000000000003E-4</v>
      </c>
      <c r="BB2666">
        <v>-5.0000000000000002E-5</v>
      </c>
      <c r="BC2666">
        <v>2.0320000000000001E-2</v>
      </c>
      <c r="BD2666">
        <v>1</v>
      </c>
      <c r="BE2666" t="s">
        <v>69</v>
      </c>
      <c r="BF2666">
        <v>-0.52700000000000002</v>
      </c>
      <c r="BG2666">
        <v>-0.56999999999999995</v>
      </c>
    </row>
    <row r="2667" spans="1:59">
      <c r="A2667">
        <v>0</v>
      </c>
      <c r="B2667">
        <v>5</v>
      </c>
      <c r="C2667">
        <v>0</v>
      </c>
      <c r="D2667" t="s">
        <v>25022</v>
      </c>
      <c r="E2667">
        <v>696</v>
      </c>
      <c r="F2667" t="s">
        <v>4354</v>
      </c>
      <c r="G2667" t="s">
        <v>57</v>
      </c>
      <c r="H2667">
        <v>719370</v>
      </c>
      <c r="I2667">
        <v>721586</v>
      </c>
      <c r="J2667" t="s">
        <v>4355</v>
      </c>
      <c r="K2667">
        <v>739</v>
      </c>
      <c r="L2667" t="s">
        <v>108</v>
      </c>
      <c r="M2667">
        <v>44</v>
      </c>
      <c r="N2667" t="str">
        <f>HYPERLINK("Gene696-zp_tree_all.dnd", "Gene696-tree")</f>
        <v>Gene696-tree</v>
      </c>
      <c r="O2667">
        <v>10</v>
      </c>
      <c r="P2667">
        <v>5</v>
      </c>
      <c r="Q2667">
        <v>10</v>
      </c>
      <c r="R2667">
        <v>5</v>
      </c>
      <c r="S2667">
        <v>0.33333000000000002</v>
      </c>
      <c r="T2667" t="s">
        <v>117</v>
      </c>
      <c r="U2667" t="s">
        <v>199</v>
      </c>
      <c r="V2667" t="s">
        <v>62</v>
      </c>
      <c r="W2667" t="s">
        <v>62</v>
      </c>
      <c r="X2667">
        <v>2</v>
      </c>
      <c r="Y2667">
        <v>5</v>
      </c>
      <c r="Z2667">
        <v>4</v>
      </c>
      <c r="AA2667">
        <v>0.55556000000000005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3</v>
      </c>
      <c r="AH2667">
        <v>0</v>
      </c>
      <c r="AI2667">
        <v>3</v>
      </c>
      <c r="AJ2667">
        <v>5</v>
      </c>
      <c r="AK2667">
        <v>0.375</v>
      </c>
      <c r="AL2667">
        <v>15</v>
      </c>
      <c r="AM2667">
        <v>12</v>
      </c>
      <c r="AN2667">
        <v>143</v>
      </c>
      <c r="AO2667">
        <v>8</v>
      </c>
      <c r="AP2667">
        <v>64</v>
      </c>
      <c r="AQ2667">
        <v>1</v>
      </c>
      <c r="AR2667" t="s">
        <v>4356</v>
      </c>
      <c r="AS2667" t="s">
        <v>4357</v>
      </c>
      <c r="AT2667">
        <v>0.59199999999999997</v>
      </c>
      <c r="AU2667" t="s">
        <v>65</v>
      </c>
      <c r="AV2667">
        <v>207</v>
      </c>
      <c r="AW2667">
        <v>9</v>
      </c>
      <c r="AX2667" t="s">
        <v>4358</v>
      </c>
      <c r="AY2667">
        <v>6.3780000000000003E-2</v>
      </c>
      <c r="AZ2667">
        <v>-1.6299999999999999E-3</v>
      </c>
      <c r="BA2667">
        <v>7.6000000000000004E-4</v>
      </c>
      <c r="BB2667">
        <v>-6.0000000000000002E-5</v>
      </c>
      <c r="BC2667">
        <v>1.1860000000000001E-2</v>
      </c>
      <c r="BD2667">
        <v>1</v>
      </c>
      <c r="BE2667" t="s">
        <v>69</v>
      </c>
      <c r="BF2667">
        <v>4.0000000000000001E-3</v>
      </c>
      <c r="BG2667">
        <v>-0.73599999999999999</v>
      </c>
    </row>
    <row r="2668" spans="1:59">
      <c r="A2668">
        <v>0</v>
      </c>
      <c r="B2668">
        <v>10</v>
      </c>
      <c r="C2668">
        <v>1</v>
      </c>
      <c r="D2668" t="s">
        <v>25022</v>
      </c>
      <c r="E2668">
        <v>682</v>
      </c>
      <c r="F2668" t="s">
        <v>4259</v>
      </c>
      <c r="G2668" t="s">
        <v>57</v>
      </c>
      <c r="H2668">
        <v>703237</v>
      </c>
      <c r="I2668">
        <v>705462</v>
      </c>
      <c r="J2668" t="s">
        <v>4260</v>
      </c>
      <c r="K2668">
        <v>742</v>
      </c>
      <c r="L2668" t="s">
        <v>4013</v>
      </c>
      <c r="M2668">
        <v>43</v>
      </c>
      <c r="N2668" t="str">
        <f>HYPERLINK("Gene682-zp_tree_all.dnd", "Gene682-tree")</f>
        <v>Gene682-tree</v>
      </c>
      <c r="O2668">
        <v>6</v>
      </c>
      <c r="P2668">
        <v>11</v>
      </c>
      <c r="Q2668">
        <v>6</v>
      </c>
      <c r="R2668">
        <v>11</v>
      </c>
      <c r="S2668">
        <v>0.64705999999999997</v>
      </c>
      <c r="T2668" t="s">
        <v>90</v>
      </c>
      <c r="U2668" t="s">
        <v>73</v>
      </c>
      <c r="V2668">
        <v>95384385.856999993</v>
      </c>
      <c r="W2668" t="s">
        <v>267</v>
      </c>
      <c r="X2668">
        <v>5</v>
      </c>
      <c r="Y2668">
        <v>11</v>
      </c>
      <c r="Z2668">
        <v>12</v>
      </c>
      <c r="AA2668">
        <v>0.47826000000000002</v>
      </c>
      <c r="AB2668">
        <v>0</v>
      </c>
      <c r="AC2668">
        <v>0</v>
      </c>
      <c r="AD2668">
        <v>0</v>
      </c>
      <c r="AE2668">
        <v>2</v>
      </c>
      <c r="AF2668">
        <v>0</v>
      </c>
      <c r="AG2668">
        <v>2</v>
      </c>
      <c r="AH2668">
        <v>2</v>
      </c>
      <c r="AI2668">
        <v>4</v>
      </c>
      <c r="AJ2668">
        <v>14</v>
      </c>
      <c r="AK2668">
        <v>0.22222</v>
      </c>
      <c r="AL2668">
        <v>15</v>
      </c>
      <c r="AM2668">
        <v>13</v>
      </c>
      <c r="AN2668">
        <v>124</v>
      </c>
      <c r="AO2668">
        <v>19</v>
      </c>
      <c r="AP2668">
        <v>54</v>
      </c>
      <c r="AQ2668">
        <v>5</v>
      </c>
      <c r="AR2668" t="s">
        <v>4261</v>
      </c>
      <c r="AS2668" t="s">
        <v>4262</v>
      </c>
      <c r="AT2668">
        <v>0.748</v>
      </c>
      <c r="AU2668" t="s">
        <v>65</v>
      </c>
      <c r="AV2668">
        <v>178</v>
      </c>
      <c r="AW2668">
        <v>24</v>
      </c>
      <c r="AX2668" t="s">
        <v>4263</v>
      </c>
      <c r="AY2668">
        <v>5.228E-2</v>
      </c>
      <c r="AZ2668">
        <v>-1.89E-3</v>
      </c>
      <c r="BA2668">
        <v>2.0200000000000001E-3</v>
      </c>
      <c r="BB2668">
        <v>-9.0000000000000006E-5</v>
      </c>
      <c r="BC2668">
        <v>3.8559999999999997E-2</v>
      </c>
      <c r="BD2668">
        <v>1</v>
      </c>
      <c r="BE2668" t="s">
        <v>69</v>
      </c>
      <c r="BF2668">
        <v>-0.753</v>
      </c>
      <c r="BG2668">
        <v>-1.173</v>
      </c>
    </row>
    <row r="2669" spans="1:59">
      <c r="A2669">
        <v>3</v>
      </c>
      <c r="B2669">
        <v>35</v>
      </c>
      <c r="C2669">
        <v>3</v>
      </c>
      <c r="D2669" t="s">
        <v>25022</v>
      </c>
      <c r="E2669">
        <v>3367</v>
      </c>
      <c r="F2669" t="s">
        <v>19680</v>
      </c>
      <c r="G2669" t="s">
        <v>62</v>
      </c>
      <c r="H2669">
        <v>3336266</v>
      </c>
      <c r="I2669">
        <v>3338500</v>
      </c>
      <c r="J2669" t="s">
        <v>19681</v>
      </c>
      <c r="K2669">
        <v>745</v>
      </c>
      <c r="L2669" t="s">
        <v>108</v>
      </c>
      <c r="M2669">
        <v>44</v>
      </c>
      <c r="N2669" t="str">
        <f>HYPERLINK("Gene3367-zp_tree_all.dnd", "Gene3367-tree")</f>
        <v>Gene3367-tree</v>
      </c>
      <c r="O2669">
        <v>3</v>
      </c>
      <c r="P2669">
        <v>13</v>
      </c>
      <c r="Q2669">
        <v>3</v>
      </c>
      <c r="R2669">
        <v>13</v>
      </c>
      <c r="S2669">
        <v>0.8125</v>
      </c>
      <c r="T2669" t="s">
        <v>324</v>
      </c>
      <c r="U2669" t="s">
        <v>507</v>
      </c>
      <c r="V2669" t="s">
        <v>62</v>
      </c>
      <c r="W2669" t="s">
        <v>62</v>
      </c>
      <c r="X2669">
        <v>16</v>
      </c>
      <c r="Y2669">
        <v>41</v>
      </c>
      <c r="Z2669">
        <v>35</v>
      </c>
      <c r="AA2669">
        <v>0.53947000000000001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9</v>
      </c>
      <c r="AH2669">
        <v>2</v>
      </c>
      <c r="AI2669">
        <v>11</v>
      </c>
      <c r="AJ2669">
        <v>35</v>
      </c>
      <c r="AK2669">
        <v>0.23913000000000001</v>
      </c>
      <c r="AL2669">
        <v>15</v>
      </c>
      <c r="AM2669">
        <v>13</v>
      </c>
      <c r="AN2669">
        <v>131</v>
      </c>
      <c r="AO2669">
        <v>45</v>
      </c>
      <c r="AP2669">
        <v>103</v>
      </c>
      <c r="AQ2669">
        <v>33</v>
      </c>
      <c r="AR2669" t="s">
        <v>19682</v>
      </c>
      <c r="AS2669" t="s">
        <v>19683</v>
      </c>
      <c r="AT2669">
        <v>7.5999999999999998E-2</v>
      </c>
      <c r="AU2669" t="s">
        <v>65</v>
      </c>
      <c r="AV2669">
        <v>234</v>
      </c>
      <c r="AW2669">
        <v>78</v>
      </c>
      <c r="AX2669" t="s">
        <v>19684</v>
      </c>
      <c r="AY2669">
        <v>7.9750000000000001E-2</v>
      </c>
      <c r="AZ2669">
        <v>-2.8600000000000001E-3</v>
      </c>
      <c r="BA2669">
        <v>8.2699999999999996E-3</v>
      </c>
      <c r="BB2669">
        <v>-2.9999999999999997E-4</v>
      </c>
      <c r="BC2669">
        <v>0.10375</v>
      </c>
      <c r="BD2669">
        <v>1</v>
      </c>
      <c r="BE2669" t="s">
        <v>69</v>
      </c>
      <c r="BF2669">
        <v>-0.51600000000000001</v>
      </c>
      <c r="BG2669">
        <v>-1.931</v>
      </c>
    </row>
    <row r="2670" spans="1:59">
      <c r="A2670">
        <v>0</v>
      </c>
      <c r="B2670">
        <v>2</v>
      </c>
      <c r="C2670">
        <v>0</v>
      </c>
      <c r="D2670" t="s">
        <v>25022</v>
      </c>
      <c r="E2670">
        <v>3704</v>
      </c>
      <c r="F2670" t="s">
        <v>21703</v>
      </c>
      <c r="G2670" t="s">
        <v>62</v>
      </c>
      <c r="H2670">
        <v>3676162</v>
      </c>
      <c r="I2670">
        <v>3678399</v>
      </c>
      <c r="J2670" t="s">
        <v>21704</v>
      </c>
      <c r="K2670">
        <v>746</v>
      </c>
      <c r="L2670" t="s">
        <v>12343</v>
      </c>
      <c r="M2670">
        <v>25</v>
      </c>
      <c r="N2670" t="str">
        <f>HYPERLINK("Gene3704-zp_tree_all.dnd", "Gene3704-tree")</f>
        <v>Gene3704-tree</v>
      </c>
      <c r="O2670">
        <v>1</v>
      </c>
      <c r="P2670">
        <v>4</v>
      </c>
      <c r="Q2670">
        <v>1</v>
      </c>
      <c r="R2670">
        <v>4</v>
      </c>
      <c r="S2670">
        <v>0.8</v>
      </c>
      <c r="T2670" t="s">
        <v>175</v>
      </c>
      <c r="U2670" t="s">
        <v>61</v>
      </c>
      <c r="V2670" t="s">
        <v>62</v>
      </c>
      <c r="W2670" t="s">
        <v>62</v>
      </c>
      <c r="X2670">
        <v>1</v>
      </c>
      <c r="Y2670">
        <v>2</v>
      </c>
      <c r="Z2670">
        <v>7</v>
      </c>
      <c r="AA2670">
        <v>0.22222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</v>
      </c>
      <c r="AK2670">
        <v>0</v>
      </c>
      <c r="AL2670">
        <v>5</v>
      </c>
      <c r="AM2670">
        <v>2</v>
      </c>
      <c r="AN2670">
        <v>22</v>
      </c>
      <c r="AO2670">
        <v>5</v>
      </c>
      <c r="AP2670">
        <v>2</v>
      </c>
      <c r="AQ2670">
        <v>4</v>
      </c>
      <c r="AR2670" t="s">
        <v>21705</v>
      </c>
      <c r="AS2670" t="s">
        <v>21706</v>
      </c>
      <c r="AT2670">
        <v>0.627</v>
      </c>
      <c r="AU2670" t="s">
        <v>65</v>
      </c>
      <c r="AV2670">
        <v>24</v>
      </c>
      <c r="AW2670">
        <v>9</v>
      </c>
      <c r="AX2670" t="s">
        <v>21707</v>
      </c>
      <c r="AY2670">
        <v>2.052E-2</v>
      </c>
      <c r="AZ2670">
        <v>-1.9400000000000001E-3</v>
      </c>
      <c r="BA2670">
        <v>2.2699999999999999E-3</v>
      </c>
      <c r="BB2670">
        <v>-3.3E-4</v>
      </c>
      <c r="BC2670">
        <v>0.11075</v>
      </c>
      <c r="BD2670">
        <v>1</v>
      </c>
      <c r="BE2670" t="s">
        <v>69</v>
      </c>
      <c r="BF2670">
        <v>-1.9890000000000001</v>
      </c>
      <c r="BG2670">
        <v>-2.1970000000000001</v>
      </c>
    </row>
    <row r="2671" spans="1:59">
      <c r="A2671">
        <v>0</v>
      </c>
      <c r="B2671">
        <v>0</v>
      </c>
      <c r="C2671">
        <v>0</v>
      </c>
      <c r="D2671" t="s">
        <v>25022</v>
      </c>
      <c r="E2671">
        <v>2316</v>
      </c>
      <c r="F2671" t="s">
        <v>13426</v>
      </c>
      <c r="G2671" t="s">
        <v>62</v>
      </c>
      <c r="H2671">
        <v>2334584</v>
      </c>
      <c r="I2671">
        <v>2336830</v>
      </c>
      <c r="J2671" t="s">
        <v>4851</v>
      </c>
      <c r="K2671">
        <v>749</v>
      </c>
      <c r="L2671" t="s">
        <v>108</v>
      </c>
      <c r="M2671">
        <v>44</v>
      </c>
      <c r="N2671" t="str">
        <f>HYPERLINK("Gene2316-zp_tree_all.dnd", "Gene2316-tree")</f>
        <v>Gene2316-tree</v>
      </c>
      <c r="O2671">
        <v>7</v>
      </c>
      <c r="P2671">
        <v>7</v>
      </c>
      <c r="Q2671">
        <v>7</v>
      </c>
      <c r="R2671">
        <v>7</v>
      </c>
      <c r="S2671">
        <v>0.5</v>
      </c>
      <c r="T2671" t="s">
        <v>152</v>
      </c>
      <c r="U2671" t="s">
        <v>152</v>
      </c>
      <c r="V2671" t="s">
        <v>62</v>
      </c>
      <c r="W2671" t="s">
        <v>62</v>
      </c>
      <c r="X2671">
        <v>0</v>
      </c>
      <c r="Y2671">
        <v>0</v>
      </c>
      <c r="Z2671">
        <v>17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14</v>
      </c>
      <c r="AK2671">
        <v>0</v>
      </c>
      <c r="AL2671">
        <v>13</v>
      </c>
      <c r="AM2671">
        <v>9</v>
      </c>
      <c r="AN2671">
        <v>66</v>
      </c>
      <c r="AO2671">
        <v>14</v>
      </c>
      <c r="AP2671">
        <v>19</v>
      </c>
      <c r="AQ2671">
        <v>3</v>
      </c>
      <c r="AR2671" t="s">
        <v>13427</v>
      </c>
      <c r="AS2671" t="s">
        <v>13428</v>
      </c>
      <c r="AT2671">
        <v>0.214</v>
      </c>
      <c r="AU2671" t="s">
        <v>65</v>
      </c>
      <c r="AV2671">
        <v>85</v>
      </c>
      <c r="AW2671">
        <v>17</v>
      </c>
      <c r="AX2671" t="s">
        <v>13429</v>
      </c>
      <c r="AY2671">
        <v>2.742E-2</v>
      </c>
      <c r="AZ2671">
        <v>-8.5999999999999998E-4</v>
      </c>
      <c r="BA2671">
        <v>2.0200000000000001E-3</v>
      </c>
      <c r="BB2671">
        <v>-1.2E-4</v>
      </c>
      <c r="BC2671">
        <v>7.3529999999999998E-2</v>
      </c>
      <c r="BD2671">
        <v>1</v>
      </c>
      <c r="BE2671" t="s">
        <v>69</v>
      </c>
      <c r="BF2671">
        <v>-1.123</v>
      </c>
      <c r="BG2671">
        <v>-1.871</v>
      </c>
    </row>
    <row r="2672" spans="1:59">
      <c r="A2672">
        <v>0</v>
      </c>
      <c r="B2672">
        <v>58</v>
      </c>
      <c r="C2672">
        <v>6</v>
      </c>
      <c r="D2672" t="s">
        <v>25022</v>
      </c>
      <c r="E2672">
        <v>3583</v>
      </c>
      <c r="F2672" t="s">
        <v>21022</v>
      </c>
      <c r="G2672" t="s">
        <v>62</v>
      </c>
      <c r="H2672">
        <v>3549231</v>
      </c>
      <c r="I2672">
        <v>3551501</v>
      </c>
      <c r="J2672" t="s">
        <v>21023</v>
      </c>
      <c r="K2672">
        <v>757</v>
      </c>
      <c r="L2672" t="s">
        <v>21024</v>
      </c>
      <c r="M2672">
        <v>43</v>
      </c>
      <c r="N2672" t="str">
        <f>HYPERLINK("Gene3583-zp_tree_all.dnd", "Gene3583-tree")</f>
        <v>Gene3583-tree</v>
      </c>
      <c r="O2672">
        <v>0</v>
      </c>
      <c r="P2672">
        <v>17</v>
      </c>
      <c r="Q2672">
        <v>0</v>
      </c>
      <c r="R2672">
        <v>17</v>
      </c>
      <c r="S2672">
        <v>1</v>
      </c>
      <c r="T2672" t="s">
        <v>62</v>
      </c>
      <c r="U2672" t="s">
        <v>266</v>
      </c>
      <c r="V2672">
        <v>69600344.844999999</v>
      </c>
      <c r="W2672" t="s">
        <v>65</v>
      </c>
      <c r="X2672">
        <v>25</v>
      </c>
      <c r="Y2672">
        <v>64</v>
      </c>
      <c r="Z2672">
        <v>44</v>
      </c>
      <c r="AA2672">
        <v>0.59258999999999995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19</v>
      </c>
      <c r="AH2672">
        <v>13</v>
      </c>
      <c r="AI2672">
        <v>32</v>
      </c>
      <c r="AJ2672">
        <v>44</v>
      </c>
      <c r="AK2672">
        <v>0.42104999999999998</v>
      </c>
      <c r="AL2672">
        <v>16</v>
      </c>
      <c r="AM2672">
        <v>14</v>
      </c>
      <c r="AN2672">
        <v>111</v>
      </c>
      <c r="AO2672">
        <v>74</v>
      </c>
      <c r="AP2672">
        <v>69</v>
      </c>
      <c r="AQ2672">
        <v>39</v>
      </c>
      <c r="AR2672" t="s">
        <v>21025</v>
      </c>
      <c r="AS2672" t="s">
        <v>21026</v>
      </c>
      <c r="AT2672">
        <v>0.48099999999999998</v>
      </c>
      <c r="AU2672" t="s">
        <v>65</v>
      </c>
      <c r="AV2672">
        <v>180</v>
      </c>
      <c r="AW2672">
        <v>113</v>
      </c>
      <c r="AX2672" t="s">
        <v>21027</v>
      </c>
      <c r="AY2672">
        <v>5.4050000000000001E-2</v>
      </c>
      <c r="AZ2672">
        <v>-1.3500000000000001E-3</v>
      </c>
      <c r="BA2672">
        <v>9.3500000000000007E-3</v>
      </c>
      <c r="BB2672">
        <v>-2.1000000000000001E-4</v>
      </c>
      <c r="BC2672">
        <v>0.17299999999999999</v>
      </c>
      <c r="BD2672">
        <v>1</v>
      </c>
      <c r="BE2672" t="s">
        <v>69</v>
      </c>
      <c r="BF2672">
        <v>-1.036</v>
      </c>
      <c r="BG2672">
        <v>-2.3279999999999998</v>
      </c>
    </row>
    <row r="2673" spans="1:59">
      <c r="A2673">
        <v>0</v>
      </c>
      <c r="B2673">
        <v>80</v>
      </c>
      <c r="C2673">
        <v>14</v>
      </c>
      <c r="D2673" t="s">
        <v>25022</v>
      </c>
      <c r="E2673">
        <v>738</v>
      </c>
      <c r="F2673" t="s">
        <v>4575</v>
      </c>
      <c r="G2673" t="s">
        <v>57</v>
      </c>
      <c r="H2673">
        <v>765838</v>
      </c>
      <c r="I2673">
        <v>768120</v>
      </c>
      <c r="J2673" t="s">
        <v>4576</v>
      </c>
      <c r="K2673">
        <v>761</v>
      </c>
      <c r="L2673" t="s">
        <v>3401</v>
      </c>
      <c r="M2673">
        <v>42</v>
      </c>
      <c r="N2673" t="str">
        <f>HYPERLINK("Gene738-zp_tree_all.dnd", "Gene738-tree")</f>
        <v>Gene738-tree</v>
      </c>
      <c r="O2673">
        <v>1</v>
      </c>
      <c r="P2673">
        <v>16</v>
      </c>
      <c r="Q2673">
        <v>1</v>
      </c>
      <c r="R2673">
        <v>16</v>
      </c>
      <c r="S2673">
        <v>0.94118000000000002</v>
      </c>
      <c r="T2673" t="s">
        <v>175</v>
      </c>
      <c r="U2673" t="s">
        <v>60</v>
      </c>
      <c r="V2673" t="s">
        <v>62</v>
      </c>
      <c r="W2673" t="s">
        <v>62</v>
      </c>
      <c r="X2673">
        <v>32</v>
      </c>
      <c r="Y2673">
        <v>94</v>
      </c>
      <c r="Z2673">
        <v>32</v>
      </c>
      <c r="AA2673">
        <v>0.74602999999999997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25</v>
      </c>
      <c r="AH2673">
        <v>14</v>
      </c>
      <c r="AI2673">
        <v>39</v>
      </c>
      <c r="AJ2673">
        <v>36</v>
      </c>
      <c r="AK2673">
        <v>0.52</v>
      </c>
      <c r="AL2673">
        <v>15</v>
      </c>
      <c r="AM2673">
        <v>14</v>
      </c>
      <c r="AN2673">
        <v>109</v>
      </c>
      <c r="AO2673">
        <v>74</v>
      </c>
      <c r="AP2673">
        <v>90</v>
      </c>
      <c r="AQ2673">
        <v>66</v>
      </c>
      <c r="AR2673" t="s">
        <v>4577</v>
      </c>
      <c r="AS2673" t="s">
        <v>4578</v>
      </c>
      <c r="AT2673">
        <v>0.32700000000000001</v>
      </c>
      <c r="AU2673" t="s">
        <v>65</v>
      </c>
      <c r="AV2673">
        <v>199</v>
      </c>
      <c r="AW2673">
        <v>140</v>
      </c>
      <c r="AX2673" t="s">
        <v>4579</v>
      </c>
      <c r="AY2673">
        <v>6.0089999999999998E-2</v>
      </c>
      <c r="AZ2673">
        <v>-1.4400000000000001E-3</v>
      </c>
      <c r="BA2673">
        <v>1.145E-2</v>
      </c>
      <c r="BB2673">
        <v>-3.1E-4</v>
      </c>
      <c r="BC2673">
        <v>0.19055</v>
      </c>
      <c r="BD2673">
        <v>1</v>
      </c>
      <c r="BE2673" t="s">
        <v>69</v>
      </c>
      <c r="BF2673">
        <v>-0.39600000000000002</v>
      </c>
      <c r="BG2673">
        <v>-1.121</v>
      </c>
    </row>
    <row r="2674" spans="1:59">
      <c r="A2674">
        <v>0</v>
      </c>
      <c r="B2674">
        <v>6</v>
      </c>
      <c r="C2674">
        <v>3</v>
      </c>
      <c r="D2674" t="s">
        <v>25022</v>
      </c>
      <c r="E2674">
        <v>1773</v>
      </c>
      <c r="F2674" t="s">
        <v>11105</v>
      </c>
      <c r="G2674" t="s">
        <v>57</v>
      </c>
      <c r="H2674">
        <v>1786104</v>
      </c>
      <c r="I2674">
        <v>1788404</v>
      </c>
      <c r="J2674" t="s">
        <v>11099</v>
      </c>
      <c r="K2674">
        <v>767</v>
      </c>
      <c r="L2674" t="s">
        <v>11106</v>
      </c>
      <c r="M2674">
        <v>33</v>
      </c>
      <c r="N2674" t="str">
        <f>HYPERLINK("Gene1773-zp_tree_all.dnd", "Gene1773-tree")</f>
        <v>Gene1773-tree</v>
      </c>
      <c r="O2674">
        <v>0</v>
      </c>
      <c r="P2674">
        <v>10</v>
      </c>
      <c r="Q2674">
        <v>0</v>
      </c>
      <c r="R2674">
        <v>10</v>
      </c>
      <c r="S2674">
        <v>1</v>
      </c>
      <c r="T2674" t="s">
        <v>62</v>
      </c>
      <c r="U2674" t="s">
        <v>117</v>
      </c>
      <c r="V2674" t="s">
        <v>62</v>
      </c>
      <c r="W2674" t="s">
        <v>62</v>
      </c>
      <c r="X2674">
        <v>3</v>
      </c>
      <c r="Y2674">
        <v>9</v>
      </c>
      <c r="Z2674">
        <v>26</v>
      </c>
      <c r="AA2674">
        <v>0.25713999999999998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4</v>
      </c>
      <c r="AH2674">
        <v>3</v>
      </c>
      <c r="AI2674">
        <v>7</v>
      </c>
      <c r="AJ2674">
        <v>24</v>
      </c>
      <c r="AK2674">
        <v>0.22581000000000001</v>
      </c>
      <c r="AL2674">
        <v>10</v>
      </c>
      <c r="AM2674">
        <v>7</v>
      </c>
      <c r="AN2674">
        <v>51</v>
      </c>
      <c r="AO2674">
        <v>31</v>
      </c>
      <c r="AP2674">
        <v>32</v>
      </c>
      <c r="AQ2674">
        <v>4</v>
      </c>
      <c r="AR2674" t="s">
        <v>11107</v>
      </c>
      <c r="AS2674" t="s">
        <v>11108</v>
      </c>
      <c r="AT2674">
        <v>3.4529999999999998</v>
      </c>
      <c r="AU2674" t="s">
        <v>267</v>
      </c>
      <c r="AV2674">
        <v>83</v>
      </c>
      <c r="AW2674">
        <v>35</v>
      </c>
      <c r="AX2674" t="s">
        <v>11109</v>
      </c>
      <c r="AY2674">
        <v>3.918E-2</v>
      </c>
      <c r="AZ2674">
        <v>-1.72E-3</v>
      </c>
      <c r="BA2674">
        <v>4.0400000000000002E-3</v>
      </c>
      <c r="BB2674">
        <v>-2.2000000000000001E-4</v>
      </c>
      <c r="BC2674">
        <v>0.10317999999999999</v>
      </c>
      <c r="BD2674">
        <v>1</v>
      </c>
      <c r="BE2674" t="s">
        <v>69</v>
      </c>
      <c r="BF2674">
        <v>-0.82</v>
      </c>
      <c r="BG2674">
        <v>-1.7889999999999999</v>
      </c>
    </row>
    <row r="2675" spans="1:59">
      <c r="A2675">
        <v>0</v>
      </c>
      <c r="B2675">
        <v>0</v>
      </c>
      <c r="C2675">
        <v>0</v>
      </c>
      <c r="D2675" t="s">
        <v>25022</v>
      </c>
      <c r="E2675">
        <v>3288</v>
      </c>
      <c r="F2675" t="s">
        <v>19191</v>
      </c>
      <c r="G2675" t="s">
        <v>62</v>
      </c>
      <c r="H2675">
        <v>3253532</v>
      </c>
      <c r="I2675">
        <v>3255838</v>
      </c>
      <c r="J2675" t="s">
        <v>3074</v>
      </c>
      <c r="K2675">
        <v>769</v>
      </c>
      <c r="L2675" t="s">
        <v>4415</v>
      </c>
      <c r="M2675">
        <v>19</v>
      </c>
      <c r="N2675" t="str">
        <f>HYPERLINK("Gene3288-zp_tree_all.dnd", "Gene3288-tree")</f>
        <v>Gene3288-tree</v>
      </c>
      <c r="O2675">
        <v>1</v>
      </c>
      <c r="P2675">
        <v>3</v>
      </c>
      <c r="Q2675">
        <v>1</v>
      </c>
      <c r="R2675">
        <v>3</v>
      </c>
      <c r="S2675">
        <v>0.75</v>
      </c>
      <c r="T2675" t="s">
        <v>175</v>
      </c>
      <c r="U2675" t="s">
        <v>324</v>
      </c>
      <c r="V2675" t="s">
        <v>62</v>
      </c>
      <c r="W2675" t="s">
        <v>62</v>
      </c>
      <c r="X2675">
        <v>0</v>
      </c>
      <c r="Y2675">
        <v>0</v>
      </c>
      <c r="Z2675">
        <v>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</v>
      </c>
      <c r="AK2675">
        <v>0</v>
      </c>
      <c r="AL2675">
        <v>3</v>
      </c>
      <c r="AM2675">
        <v>1</v>
      </c>
      <c r="AN2675">
        <v>5</v>
      </c>
      <c r="AO2675">
        <v>2</v>
      </c>
      <c r="AP2675">
        <v>0</v>
      </c>
      <c r="AQ2675">
        <v>1</v>
      </c>
      <c r="AR2675" t="s">
        <v>19192</v>
      </c>
      <c r="AS2675" t="s">
        <v>193</v>
      </c>
      <c r="AT2675">
        <v>0.69299999999999995</v>
      </c>
      <c r="AU2675" t="s">
        <v>65</v>
      </c>
      <c r="AV2675">
        <v>5</v>
      </c>
      <c r="AW2675">
        <v>3</v>
      </c>
      <c r="AX2675" t="s">
        <v>19193</v>
      </c>
      <c r="AY2675">
        <v>4.9300000000000004E-3</v>
      </c>
      <c r="AZ2675">
        <v>-2.0100000000000001E-3</v>
      </c>
      <c r="BA2675">
        <v>9.3000000000000005E-4</v>
      </c>
      <c r="BB2675">
        <v>-1.7000000000000001E-4</v>
      </c>
      <c r="BC2675">
        <v>0.18878</v>
      </c>
      <c r="BD2675">
        <v>0.98699999999999999</v>
      </c>
      <c r="BE2675" t="s">
        <v>69</v>
      </c>
      <c r="BF2675">
        <v>-2.0219999999999998</v>
      </c>
      <c r="BG2675">
        <v>-2.552</v>
      </c>
    </row>
    <row r="2676" spans="1:59">
      <c r="A2676">
        <v>0</v>
      </c>
      <c r="B2676">
        <v>48</v>
      </c>
      <c r="C2676">
        <v>6</v>
      </c>
      <c r="D2676" t="s">
        <v>25022</v>
      </c>
      <c r="E2676">
        <v>3472</v>
      </c>
      <c r="F2676" t="s">
        <v>20338</v>
      </c>
      <c r="G2676" t="s">
        <v>62</v>
      </c>
      <c r="H2676">
        <v>3434330</v>
      </c>
      <c r="I2676">
        <v>3436651</v>
      </c>
      <c r="J2676" t="s">
        <v>20339</v>
      </c>
      <c r="K2676">
        <v>774</v>
      </c>
      <c r="L2676" t="s">
        <v>108</v>
      </c>
      <c r="M2676">
        <v>44</v>
      </c>
      <c r="N2676" t="str">
        <f>HYPERLINK("Gene3472-zp_tree_all.dnd", "Gene3472-tree")</f>
        <v>Gene3472-tree</v>
      </c>
      <c r="O2676">
        <v>2</v>
      </c>
      <c r="P2676">
        <v>13</v>
      </c>
      <c r="Q2676">
        <v>2</v>
      </c>
      <c r="R2676">
        <v>13</v>
      </c>
      <c r="S2676">
        <v>0.86667000000000005</v>
      </c>
      <c r="T2676" t="s">
        <v>81</v>
      </c>
      <c r="U2676" t="s">
        <v>507</v>
      </c>
      <c r="V2676" t="s">
        <v>62</v>
      </c>
      <c r="W2676" t="s">
        <v>62</v>
      </c>
      <c r="X2676">
        <v>19</v>
      </c>
      <c r="Y2676">
        <v>54</v>
      </c>
      <c r="Z2676">
        <v>32</v>
      </c>
      <c r="AA2676">
        <v>0.62790999999999997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31</v>
      </c>
      <c r="AH2676">
        <v>4</v>
      </c>
      <c r="AI2676">
        <v>35</v>
      </c>
      <c r="AJ2676">
        <v>31</v>
      </c>
      <c r="AK2676">
        <v>0.53029999999999999</v>
      </c>
      <c r="AL2676">
        <v>13</v>
      </c>
      <c r="AM2676">
        <v>12</v>
      </c>
      <c r="AN2676">
        <v>81</v>
      </c>
      <c r="AO2676">
        <v>59</v>
      </c>
      <c r="AP2676">
        <v>46</v>
      </c>
      <c r="AQ2676">
        <v>30</v>
      </c>
      <c r="AR2676" t="s">
        <v>20340</v>
      </c>
      <c r="AS2676" t="s">
        <v>20341</v>
      </c>
      <c r="AT2676">
        <v>0.20300000000000001</v>
      </c>
      <c r="AU2676" t="s">
        <v>65</v>
      </c>
      <c r="AV2676">
        <v>127</v>
      </c>
      <c r="AW2676">
        <v>89</v>
      </c>
      <c r="AX2676" t="s">
        <v>20342</v>
      </c>
      <c r="AY2676">
        <v>4.054E-2</v>
      </c>
      <c r="AZ2676">
        <v>-1.2199999999999999E-3</v>
      </c>
      <c r="BA2676">
        <v>7.4799999999999997E-3</v>
      </c>
      <c r="BB2676">
        <v>-2.1000000000000001E-4</v>
      </c>
      <c r="BC2676">
        <v>0.18440000000000001</v>
      </c>
      <c r="BD2676">
        <v>1</v>
      </c>
      <c r="BE2676" t="s">
        <v>69</v>
      </c>
      <c r="BF2676">
        <v>-0.39100000000000001</v>
      </c>
      <c r="BG2676">
        <v>-1.204</v>
      </c>
    </row>
    <row r="2677" spans="1:59">
      <c r="A2677">
        <v>0</v>
      </c>
      <c r="B2677">
        <v>2</v>
      </c>
      <c r="C2677">
        <v>0</v>
      </c>
      <c r="D2677" t="s">
        <v>25022</v>
      </c>
      <c r="E2677">
        <v>2937</v>
      </c>
      <c r="F2677" t="s">
        <v>16923</v>
      </c>
      <c r="G2677" t="s">
        <v>62</v>
      </c>
      <c r="H2677">
        <v>2880469</v>
      </c>
      <c r="I2677">
        <v>2882790</v>
      </c>
      <c r="J2677" t="s">
        <v>16924</v>
      </c>
      <c r="K2677">
        <v>774</v>
      </c>
      <c r="L2677" t="s">
        <v>108</v>
      </c>
      <c r="M2677">
        <v>44</v>
      </c>
      <c r="N2677" t="str">
        <f>HYPERLINK("Gene2937-zp_tree_all.dnd", "Gene2937-tree")</f>
        <v>Gene2937-tree</v>
      </c>
      <c r="O2677">
        <v>8</v>
      </c>
      <c r="P2677">
        <v>6</v>
      </c>
      <c r="Q2677">
        <v>8</v>
      </c>
      <c r="R2677">
        <v>6</v>
      </c>
      <c r="S2677">
        <v>0.42857000000000001</v>
      </c>
      <c r="T2677" t="s">
        <v>136</v>
      </c>
      <c r="U2677" t="s">
        <v>90</v>
      </c>
      <c r="V2677" t="s">
        <v>62</v>
      </c>
      <c r="W2677" t="s">
        <v>62</v>
      </c>
      <c r="X2677">
        <v>1</v>
      </c>
      <c r="Y2677">
        <v>2</v>
      </c>
      <c r="Z2677">
        <v>6</v>
      </c>
      <c r="AA2677">
        <v>0.25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6</v>
      </c>
      <c r="AK2677">
        <v>0</v>
      </c>
      <c r="AL2677">
        <v>12</v>
      </c>
      <c r="AM2677">
        <v>10</v>
      </c>
      <c r="AN2677">
        <v>84</v>
      </c>
      <c r="AO2677">
        <v>6</v>
      </c>
      <c r="AP2677">
        <v>46</v>
      </c>
      <c r="AQ2677">
        <v>3</v>
      </c>
      <c r="AR2677" t="s">
        <v>16925</v>
      </c>
      <c r="AS2677" t="s">
        <v>16926</v>
      </c>
      <c r="AT2677">
        <v>5.8000000000000003E-2</v>
      </c>
      <c r="AU2677" t="s">
        <v>65</v>
      </c>
      <c r="AV2677">
        <v>130</v>
      </c>
      <c r="AW2677">
        <v>9</v>
      </c>
      <c r="AX2677" t="s">
        <v>16927</v>
      </c>
      <c r="AY2677">
        <v>4.367E-2</v>
      </c>
      <c r="AZ2677">
        <v>-2.32E-3</v>
      </c>
      <c r="BA2677">
        <v>8.8999999999999995E-4</v>
      </c>
      <c r="BB2677">
        <v>-6.9999999999999994E-5</v>
      </c>
      <c r="BC2677">
        <v>2.027E-2</v>
      </c>
      <c r="BD2677">
        <v>1</v>
      </c>
      <c r="BE2677" t="s">
        <v>69</v>
      </c>
      <c r="BF2677">
        <v>-0.36899999999999999</v>
      </c>
      <c r="BG2677">
        <v>-2.0489999999999999</v>
      </c>
    </row>
    <row r="2678" spans="1:59">
      <c r="A2678">
        <v>0</v>
      </c>
      <c r="B2678">
        <v>28</v>
      </c>
      <c r="C2678">
        <v>2</v>
      </c>
      <c r="D2678" t="s">
        <v>25022</v>
      </c>
      <c r="E2678">
        <v>1052</v>
      </c>
      <c r="F2678" t="s">
        <v>6599</v>
      </c>
      <c r="G2678" t="s">
        <v>57</v>
      </c>
      <c r="H2678">
        <v>1090401</v>
      </c>
      <c r="I2678">
        <v>1092725</v>
      </c>
      <c r="J2678" t="s">
        <v>6600</v>
      </c>
      <c r="K2678">
        <v>775</v>
      </c>
      <c r="L2678" t="s">
        <v>6601</v>
      </c>
      <c r="M2678">
        <v>36</v>
      </c>
      <c r="N2678" t="str">
        <f>HYPERLINK("Gene1052-zp_tree_all.dnd", "Gene1052-tree")</f>
        <v>Gene1052-tree</v>
      </c>
      <c r="O2678">
        <v>5</v>
      </c>
      <c r="P2678">
        <v>9</v>
      </c>
      <c r="Q2678">
        <v>5</v>
      </c>
      <c r="R2678">
        <v>9</v>
      </c>
      <c r="S2678">
        <v>0.64285999999999999</v>
      </c>
      <c r="T2678" t="s">
        <v>199</v>
      </c>
      <c r="U2678" t="s">
        <v>135</v>
      </c>
      <c r="V2678" t="s">
        <v>62</v>
      </c>
      <c r="W2678" t="s">
        <v>62</v>
      </c>
      <c r="X2678">
        <v>14</v>
      </c>
      <c r="Y2678">
        <v>30</v>
      </c>
      <c r="Z2678">
        <v>36</v>
      </c>
      <c r="AA2678">
        <v>0.45455000000000001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25</v>
      </c>
      <c r="AK2678">
        <v>0</v>
      </c>
      <c r="AL2678">
        <v>12</v>
      </c>
      <c r="AM2678">
        <v>11</v>
      </c>
      <c r="AN2678">
        <v>103</v>
      </c>
      <c r="AO2678">
        <v>25</v>
      </c>
      <c r="AP2678">
        <v>98</v>
      </c>
      <c r="AQ2678">
        <v>48</v>
      </c>
      <c r="AR2678" t="s">
        <v>6602</v>
      </c>
      <c r="AS2678" t="s">
        <v>6603</v>
      </c>
      <c r="AT2678">
        <v>0.38800000000000001</v>
      </c>
      <c r="AU2678" t="s">
        <v>65</v>
      </c>
      <c r="AV2678">
        <v>201</v>
      </c>
      <c r="AW2678">
        <v>73</v>
      </c>
      <c r="AX2678" t="s">
        <v>6604</v>
      </c>
      <c r="AY2678">
        <v>9.5449999999999993E-2</v>
      </c>
      <c r="AZ2678">
        <v>-4.6499999999999996E-3</v>
      </c>
      <c r="BA2678">
        <v>1.278E-2</v>
      </c>
      <c r="BB2678">
        <v>-8.7000000000000001E-4</v>
      </c>
      <c r="BC2678">
        <v>0.13391</v>
      </c>
      <c r="BD2678">
        <v>1</v>
      </c>
      <c r="BE2678" t="s">
        <v>69</v>
      </c>
      <c r="BF2678">
        <v>-8.9999999999999993E-3</v>
      </c>
      <c r="BG2678">
        <v>0.128</v>
      </c>
    </row>
    <row r="2679" spans="1:59">
      <c r="A2679">
        <v>0</v>
      </c>
      <c r="B2679">
        <v>40</v>
      </c>
      <c r="C2679">
        <v>2</v>
      </c>
      <c r="D2679" t="s">
        <v>25022</v>
      </c>
      <c r="E2679">
        <v>2661</v>
      </c>
      <c r="F2679" t="s">
        <v>15602</v>
      </c>
      <c r="G2679" t="s">
        <v>62</v>
      </c>
      <c r="H2679">
        <v>2637546</v>
      </c>
      <c r="I2679">
        <v>2639873</v>
      </c>
      <c r="J2679" t="s">
        <v>15603</v>
      </c>
      <c r="K2679">
        <v>776</v>
      </c>
      <c r="L2679" t="s">
        <v>108</v>
      </c>
      <c r="M2679">
        <v>44</v>
      </c>
      <c r="N2679" t="str">
        <f>HYPERLINK("Gene2661-zp_tree_all.dnd", "Gene2661-tree")</f>
        <v>Gene2661-tree</v>
      </c>
      <c r="O2679">
        <v>0</v>
      </c>
      <c r="P2679">
        <v>35</v>
      </c>
      <c r="Q2679">
        <v>0</v>
      </c>
      <c r="R2679">
        <v>14</v>
      </c>
      <c r="S2679">
        <v>1</v>
      </c>
      <c r="T2679" t="s">
        <v>62</v>
      </c>
      <c r="U2679" t="s">
        <v>15604</v>
      </c>
      <c r="V2679">
        <v>4.1399999999999997</v>
      </c>
      <c r="W2679" t="s">
        <v>65</v>
      </c>
      <c r="X2679">
        <v>18</v>
      </c>
      <c r="Y2679">
        <v>42</v>
      </c>
      <c r="Z2679">
        <v>53</v>
      </c>
      <c r="AA2679">
        <v>0.44211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16</v>
      </c>
      <c r="AH2679">
        <v>2</v>
      </c>
      <c r="AI2679">
        <v>18</v>
      </c>
      <c r="AJ2679">
        <v>56</v>
      </c>
      <c r="AK2679">
        <v>0.24324000000000001</v>
      </c>
      <c r="AL2679">
        <v>13</v>
      </c>
      <c r="AM2679">
        <v>11</v>
      </c>
      <c r="AN2679">
        <v>88</v>
      </c>
      <c r="AO2679">
        <v>68</v>
      </c>
      <c r="AP2679">
        <v>48</v>
      </c>
      <c r="AQ2679">
        <v>27</v>
      </c>
      <c r="AR2679" t="s">
        <v>15605</v>
      </c>
      <c r="AS2679" t="s">
        <v>15606</v>
      </c>
      <c r="AT2679">
        <v>0.60599999999999998</v>
      </c>
      <c r="AU2679" t="s">
        <v>65</v>
      </c>
      <c r="AV2679">
        <v>136</v>
      </c>
      <c r="AW2679">
        <v>95</v>
      </c>
      <c r="AX2679" t="s">
        <v>15607</v>
      </c>
      <c r="AY2679">
        <v>4.1430000000000002E-2</v>
      </c>
      <c r="AZ2679">
        <v>-1.4599999999999999E-3</v>
      </c>
      <c r="BA2679">
        <v>8.9800000000000001E-3</v>
      </c>
      <c r="BB2679">
        <v>-3.4000000000000002E-4</v>
      </c>
      <c r="BC2679">
        <v>0.21682999999999999</v>
      </c>
      <c r="BD2679">
        <v>1</v>
      </c>
      <c r="BE2679" t="s">
        <v>69</v>
      </c>
      <c r="BF2679">
        <v>-0.78700000000000003</v>
      </c>
      <c r="BG2679">
        <v>-1.833</v>
      </c>
    </row>
    <row r="2680" spans="1:59">
      <c r="A2680">
        <v>0</v>
      </c>
      <c r="B2680">
        <v>3</v>
      </c>
      <c r="C2680">
        <v>0</v>
      </c>
      <c r="D2680" t="s">
        <v>25022</v>
      </c>
      <c r="E2680">
        <v>3488</v>
      </c>
      <c r="F2680" t="s">
        <v>20437</v>
      </c>
      <c r="G2680" t="s">
        <v>62</v>
      </c>
      <c r="H2680">
        <v>3451866</v>
      </c>
      <c r="I2680">
        <v>3454202</v>
      </c>
      <c r="J2680" t="s">
        <v>20438</v>
      </c>
      <c r="K2680">
        <v>779</v>
      </c>
      <c r="L2680" t="s">
        <v>698</v>
      </c>
      <c r="M2680">
        <v>47</v>
      </c>
      <c r="N2680" t="str">
        <f>HYPERLINK("Gene3488-zp_tree_all.dnd", "Gene3488-tree")</f>
        <v>Gene3488-tree</v>
      </c>
      <c r="O2680">
        <v>13</v>
      </c>
      <c r="P2680">
        <v>7</v>
      </c>
      <c r="Q2680">
        <v>13</v>
      </c>
      <c r="R2680">
        <v>7</v>
      </c>
      <c r="S2680">
        <v>0.35</v>
      </c>
      <c r="T2680" t="s">
        <v>507</v>
      </c>
      <c r="U2680" t="s">
        <v>152</v>
      </c>
      <c r="V2680" t="s">
        <v>62</v>
      </c>
      <c r="W2680" t="s">
        <v>62</v>
      </c>
      <c r="X2680">
        <v>1</v>
      </c>
      <c r="Y2680">
        <v>3</v>
      </c>
      <c r="Z2680">
        <v>18</v>
      </c>
      <c r="AA2680">
        <v>0.14285999999999999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3</v>
      </c>
      <c r="AH2680">
        <v>0</v>
      </c>
      <c r="AI2680">
        <v>3</v>
      </c>
      <c r="AJ2680">
        <v>11</v>
      </c>
      <c r="AK2680">
        <v>0.21429000000000001</v>
      </c>
      <c r="AL2680">
        <v>20</v>
      </c>
      <c r="AM2680">
        <v>15</v>
      </c>
      <c r="AN2680">
        <v>170</v>
      </c>
      <c r="AO2680">
        <v>14</v>
      </c>
      <c r="AP2680">
        <v>135</v>
      </c>
      <c r="AQ2680">
        <v>7</v>
      </c>
      <c r="AR2680" t="s">
        <v>20439</v>
      </c>
      <c r="AS2680" t="s">
        <v>20440</v>
      </c>
      <c r="AT2680">
        <v>0.19900000000000001</v>
      </c>
      <c r="AU2680" t="s">
        <v>65</v>
      </c>
      <c r="AV2680">
        <v>305</v>
      </c>
      <c r="AW2680">
        <v>21</v>
      </c>
      <c r="AX2680" t="s">
        <v>20441</v>
      </c>
      <c r="AY2680">
        <v>8.2559999999999995E-2</v>
      </c>
      <c r="AZ2680">
        <v>-5.3400000000000001E-3</v>
      </c>
      <c r="BA2680">
        <v>1.49E-3</v>
      </c>
      <c r="BB2680">
        <v>-1.2E-4</v>
      </c>
      <c r="BC2680">
        <v>1.8079999999999999E-2</v>
      </c>
      <c r="BD2680">
        <v>1</v>
      </c>
      <c r="BE2680" t="s">
        <v>69</v>
      </c>
      <c r="BF2680">
        <v>-1.6439999999999999</v>
      </c>
      <c r="BG2680">
        <v>-2.3149999999999999</v>
      </c>
    </row>
    <row r="2681" spans="1:59">
      <c r="A2681">
        <v>0</v>
      </c>
      <c r="B2681">
        <v>11</v>
      </c>
      <c r="C2681">
        <v>0</v>
      </c>
      <c r="D2681" t="s">
        <v>25022</v>
      </c>
      <c r="E2681">
        <v>2975</v>
      </c>
      <c r="F2681" t="s">
        <v>17162</v>
      </c>
      <c r="G2681" t="s">
        <v>62</v>
      </c>
      <c r="H2681">
        <v>2920939</v>
      </c>
      <c r="I2681">
        <v>2923293</v>
      </c>
      <c r="J2681" t="s">
        <v>17163</v>
      </c>
      <c r="K2681">
        <v>785</v>
      </c>
      <c r="L2681" t="s">
        <v>108</v>
      </c>
      <c r="M2681">
        <v>44</v>
      </c>
      <c r="N2681" t="str">
        <f>HYPERLINK("Gene2975-zp_tree_all.dnd", "Gene2975-tree")</f>
        <v>Gene2975-tree</v>
      </c>
      <c r="O2681">
        <v>5</v>
      </c>
      <c r="P2681">
        <v>8</v>
      </c>
      <c r="Q2681">
        <v>5</v>
      </c>
      <c r="R2681">
        <v>8</v>
      </c>
      <c r="S2681">
        <v>0.61538000000000004</v>
      </c>
      <c r="T2681" t="s">
        <v>199</v>
      </c>
      <c r="U2681" t="s">
        <v>136</v>
      </c>
      <c r="V2681" t="s">
        <v>62</v>
      </c>
      <c r="W2681" t="s">
        <v>62</v>
      </c>
      <c r="X2681">
        <v>5</v>
      </c>
      <c r="Y2681">
        <v>11</v>
      </c>
      <c r="Z2681">
        <v>9</v>
      </c>
      <c r="AA2681">
        <v>0.55000000000000004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2</v>
      </c>
      <c r="AH2681">
        <v>0</v>
      </c>
      <c r="AI2681">
        <v>2</v>
      </c>
      <c r="AJ2681">
        <v>13</v>
      </c>
      <c r="AK2681">
        <v>0.13333</v>
      </c>
      <c r="AL2681">
        <v>11</v>
      </c>
      <c r="AM2681">
        <v>10</v>
      </c>
      <c r="AN2681">
        <v>62</v>
      </c>
      <c r="AO2681">
        <v>15</v>
      </c>
      <c r="AP2681">
        <v>27</v>
      </c>
      <c r="AQ2681">
        <v>5</v>
      </c>
      <c r="AR2681" t="s">
        <v>17164</v>
      </c>
      <c r="AS2681" t="s">
        <v>17165</v>
      </c>
      <c r="AT2681">
        <v>0.248</v>
      </c>
      <c r="AU2681" t="s">
        <v>65</v>
      </c>
      <c r="AV2681">
        <v>89</v>
      </c>
      <c r="AW2681">
        <v>20</v>
      </c>
      <c r="AX2681" t="s">
        <v>6133</v>
      </c>
      <c r="AY2681">
        <v>3.117E-2</v>
      </c>
      <c r="AZ2681">
        <v>-2.2499999999999998E-3</v>
      </c>
      <c r="BA2681">
        <v>1.91E-3</v>
      </c>
      <c r="BB2681">
        <v>-1.1E-4</v>
      </c>
      <c r="BC2681">
        <v>6.1260000000000002E-2</v>
      </c>
      <c r="BD2681">
        <v>1</v>
      </c>
      <c r="BE2681" t="s">
        <v>69</v>
      </c>
      <c r="BF2681">
        <v>-1.155</v>
      </c>
      <c r="BG2681">
        <v>-2.339</v>
      </c>
    </row>
    <row r="2682" spans="1:59">
      <c r="A2682">
        <v>0</v>
      </c>
      <c r="B2682">
        <v>7</v>
      </c>
      <c r="C2682">
        <v>0</v>
      </c>
      <c r="D2682" t="s">
        <v>25022</v>
      </c>
      <c r="E2682">
        <v>2876</v>
      </c>
      <c r="F2682" t="s">
        <v>16541</v>
      </c>
      <c r="G2682" t="s">
        <v>62</v>
      </c>
      <c r="H2682">
        <v>2823422</v>
      </c>
      <c r="I2682">
        <v>2825779</v>
      </c>
      <c r="J2682" t="s">
        <v>16542</v>
      </c>
      <c r="K2682">
        <v>786</v>
      </c>
      <c r="L2682" t="s">
        <v>108</v>
      </c>
      <c r="M2682">
        <v>44</v>
      </c>
      <c r="N2682" t="str">
        <f>HYPERLINK("Gene2876-zp_tree_all.dnd", "Gene2876-tree")</f>
        <v>Gene2876-tree</v>
      </c>
      <c r="O2682">
        <v>1</v>
      </c>
      <c r="P2682">
        <v>13</v>
      </c>
      <c r="Q2682">
        <v>1</v>
      </c>
      <c r="R2682">
        <v>13</v>
      </c>
      <c r="S2682">
        <v>0.92857000000000001</v>
      </c>
      <c r="T2682" t="s">
        <v>175</v>
      </c>
      <c r="U2682" t="s">
        <v>507</v>
      </c>
      <c r="V2682" t="s">
        <v>62</v>
      </c>
      <c r="W2682" t="s">
        <v>62</v>
      </c>
      <c r="X2682">
        <v>3</v>
      </c>
      <c r="Y2682">
        <v>7</v>
      </c>
      <c r="Z2682">
        <v>29</v>
      </c>
      <c r="AA2682">
        <v>0.19444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0</v>
      </c>
      <c r="AI2682">
        <v>2</v>
      </c>
      <c r="AJ2682">
        <v>26</v>
      </c>
      <c r="AK2682">
        <v>7.1429999999999993E-2</v>
      </c>
      <c r="AL2682">
        <v>14</v>
      </c>
      <c r="AM2682">
        <v>9</v>
      </c>
      <c r="AN2682">
        <v>67</v>
      </c>
      <c r="AO2682">
        <v>28</v>
      </c>
      <c r="AP2682">
        <v>26</v>
      </c>
      <c r="AQ2682">
        <v>8</v>
      </c>
      <c r="AR2682" t="s">
        <v>16543</v>
      </c>
      <c r="AS2682" t="s">
        <v>16544</v>
      </c>
      <c r="AT2682">
        <v>0.54500000000000004</v>
      </c>
      <c r="AU2682" t="s">
        <v>65</v>
      </c>
      <c r="AV2682">
        <v>93</v>
      </c>
      <c r="AW2682">
        <v>36</v>
      </c>
      <c r="AX2682" t="s">
        <v>16545</v>
      </c>
      <c r="AY2682">
        <v>2.9319999999999999E-2</v>
      </c>
      <c r="AZ2682">
        <v>-1.0399999999999999E-3</v>
      </c>
      <c r="BA2682">
        <v>3.4399999999999999E-3</v>
      </c>
      <c r="BB2682">
        <v>-1.1E-4</v>
      </c>
      <c r="BC2682">
        <v>0.1173</v>
      </c>
      <c r="BD2682">
        <v>1</v>
      </c>
      <c r="BE2682" t="s">
        <v>69</v>
      </c>
      <c r="BF2682">
        <v>-1.3839999999999999</v>
      </c>
      <c r="BG2682">
        <v>-2.1040000000000001</v>
      </c>
    </row>
    <row r="2683" spans="1:59">
      <c r="A2683">
        <v>0</v>
      </c>
      <c r="B2683">
        <v>8</v>
      </c>
      <c r="C2683">
        <v>1</v>
      </c>
      <c r="D2683" t="s">
        <v>25022</v>
      </c>
      <c r="E2683">
        <v>1743</v>
      </c>
      <c r="F2683" t="s">
        <v>10933</v>
      </c>
      <c r="G2683" t="s">
        <v>57</v>
      </c>
      <c r="H2683">
        <v>1752278</v>
      </c>
      <c r="I2683">
        <v>1754638</v>
      </c>
      <c r="J2683" t="s">
        <v>10934</v>
      </c>
      <c r="K2683">
        <v>787</v>
      </c>
      <c r="L2683" t="s">
        <v>629</v>
      </c>
      <c r="M2683">
        <v>43</v>
      </c>
      <c r="N2683" t="str">
        <f>HYPERLINK("Gene1743-zp_tree_all.dnd", "Gene1743-tree")</f>
        <v>Gene1743-tree</v>
      </c>
      <c r="O2683">
        <v>4</v>
      </c>
      <c r="P2683">
        <v>12</v>
      </c>
      <c r="Q2683">
        <v>4</v>
      </c>
      <c r="R2683">
        <v>12</v>
      </c>
      <c r="S2683">
        <v>0.75</v>
      </c>
      <c r="T2683" t="s">
        <v>61</v>
      </c>
      <c r="U2683" t="s">
        <v>109</v>
      </c>
      <c r="V2683" t="s">
        <v>62</v>
      </c>
      <c r="W2683" t="s">
        <v>62</v>
      </c>
      <c r="X2683">
        <v>4</v>
      </c>
      <c r="Y2683">
        <v>9</v>
      </c>
      <c r="Z2683">
        <v>14</v>
      </c>
      <c r="AA2683">
        <v>0.39129999999999998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6</v>
      </c>
      <c r="AH2683">
        <v>2</v>
      </c>
      <c r="AI2683">
        <v>8</v>
      </c>
      <c r="AJ2683">
        <v>14</v>
      </c>
      <c r="AK2683">
        <v>0.36364000000000002</v>
      </c>
      <c r="AL2683">
        <v>14</v>
      </c>
      <c r="AM2683">
        <v>11</v>
      </c>
      <c r="AN2683">
        <v>82</v>
      </c>
      <c r="AO2683">
        <v>22</v>
      </c>
      <c r="AP2683">
        <v>33</v>
      </c>
      <c r="AQ2683">
        <v>1</v>
      </c>
      <c r="AR2683" t="s">
        <v>10935</v>
      </c>
      <c r="AS2683" t="s">
        <v>10936</v>
      </c>
      <c r="AT2683">
        <v>1.867</v>
      </c>
      <c r="AU2683" t="s">
        <v>65</v>
      </c>
      <c r="AV2683">
        <v>115</v>
      </c>
      <c r="AW2683">
        <v>23</v>
      </c>
      <c r="AX2683" t="s">
        <v>10937</v>
      </c>
      <c r="AY2683">
        <v>3.2329999999999998E-2</v>
      </c>
      <c r="AZ2683">
        <v>-1.47E-3</v>
      </c>
      <c r="BA2683">
        <v>1.48E-3</v>
      </c>
      <c r="BB2683">
        <v>-6.9999999999999994E-5</v>
      </c>
      <c r="BC2683">
        <v>4.5909999999999999E-2</v>
      </c>
      <c r="BD2683">
        <v>1</v>
      </c>
      <c r="BE2683" t="s">
        <v>69</v>
      </c>
      <c r="BF2683">
        <v>-1.39</v>
      </c>
      <c r="BG2683">
        <v>-2.9369999999999998</v>
      </c>
    </row>
    <row r="2684" spans="1:59">
      <c r="A2684">
        <v>0</v>
      </c>
      <c r="B2684">
        <v>19</v>
      </c>
      <c r="C2684">
        <v>3</v>
      </c>
      <c r="D2684" t="s">
        <v>25022</v>
      </c>
      <c r="E2684">
        <v>3405</v>
      </c>
      <c r="F2684" t="s">
        <v>19920</v>
      </c>
      <c r="G2684" t="s">
        <v>62</v>
      </c>
      <c r="H2684">
        <v>3370028</v>
      </c>
      <c r="I2684">
        <v>3372394</v>
      </c>
      <c r="J2684" t="s">
        <v>19921</v>
      </c>
      <c r="K2684">
        <v>789</v>
      </c>
      <c r="L2684" t="s">
        <v>108</v>
      </c>
      <c r="M2684">
        <v>44</v>
      </c>
      <c r="N2684" t="str">
        <f>HYPERLINK("Gene3405-zp_tree_all.dnd", "Gene3405-tree")</f>
        <v>Gene3405-tree</v>
      </c>
      <c r="O2684">
        <v>17</v>
      </c>
      <c r="P2684">
        <v>15</v>
      </c>
      <c r="Q2684">
        <v>2</v>
      </c>
      <c r="R2684">
        <v>15</v>
      </c>
      <c r="S2684">
        <v>0.88234999999999997</v>
      </c>
      <c r="T2684" t="s">
        <v>11148</v>
      </c>
      <c r="U2684" t="s">
        <v>100</v>
      </c>
      <c r="V2684" t="s">
        <v>62</v>
      </c>
      <c r="W2684" t="s">
        <v>62</v>
      </c>
      <c r="X2684">
        <v>8</v>
      </c>
      <c r="Y2684">
        <v>22</v>
      </c>
      <c r="Z2684">
        <v>21</v>
      </c>
      <c r="AA2684">
        <v>0.51163000000000003</v>
      </c>
      <c r="AB2684">
        <v>0</v>
      </c>
      <c r="AC2684">
        <v>0</v>
      </c>
      <c r="AD2684">
        <v>0</v>
      </c>
      <c r="AE2684">
        <v>3</v>
      </c>
      <c r="AF2684">
        <v>0</v>
      </c>
      <c r="AG2684">
        <v>13</v>
      </c>
      <c r="AH2684">
        <v>2</v>
      </c>
      <c r="AI2684">
        <v>15</v>
      </c>
      <c r="AJ2684">
        <v>15</v>
      </c>
      <c r="AK2684">
        <v>0.5</v>
      </c>
      <c r="AL2684">
        <v>15</v>
      </c>
      <c r="AM2684">
        <v>12</v>
      </c>
      <c r="AN2684">
        <v>90</v>
      </c>
      <c r="AO2684">
        <v>28</v>
      </c>
      <c r="AP2684">
        <v>84</v>
      </c>
      <c r="AQ2684">
        <v>15</v>
      </c>
      <c r="AR2684" t="s">
        <v>19922</v>
      </c>
      <c r="AS2684" t="s">
        <v>19923</v>
      </c>
      <c r="AT2684">
        <v>0.85699999999999998</v>
      </c>
      <c r="AU2684" t="s">
        <v>65</v>
      </c>
      <c r="AV2684">
        <v>174</v>
      </c>
      <c r="AW2684">
        <v>43</v>
      </c>
      <c r="AX2684" t="s">
        <v>19924</v>
      </c>
      <c r="AY2684">
        <v>5.799E-2</v>
      </c>
      <c r="AZ2684">
        <v>-1.8500000000000001E-3</v>
      </c>
      <c r="BA2684">
        <v>4.13E-3</v>
      </c>
      <c r="BB2684">
        <v>-1.2999999999999999E-4</v>
      </c>
      <c r="BC2684">
        <v>7.1150000000000005E-2</v>
      </c>
      <c r="BD2684">
        <v>1</v>
      </c>
      <c r="BE2684" t="s">
        <v>69</v>
      </c>
      <c r="BF2684">
        <v>-0.33400000000000002</v>
      </c>
      <c r="BG2684">
        <v>-0.55200000000000005</v>
      </c>
    </row>
    <row r="2685" spans="1:59">
      <c r="A2685">
        <v>0</v>
      </c>
      <c r="B2685">
        <v>16</v>
      </c>
      <c r="C2685">
        <v>0</v>
      </c>
      <c r="D2685" t="s">
        <v>25022</v>
      </c>
      <c r="E2685">
        <v>3210</v>
      </c>
      <c r="F2685" t="s">
        <v>18695</v>
      </c>
      <c r="G2685" t="s">
        <v>62</v>
      </c>
      <c r="H2685">
        <v>3163738</v>
      </c>
      <c r="I2685">
        <v>3166131</v>
      </c>
      <c r="J2685" t="s">
        <v>18696</v>
      </c>
      <c r="K2685">
        <v>798</v>
      </c>
      <c r="L2685" t="s">
        <v>108</v>
      </c>
      <c r="M2685">
        <v>44</v>
      </c>
      <c r="N2685" t="str">
        <f>HYPERLINK("Gene3210-zp_tree_all.dnd", "Gene3210-tree")</f>
        <v>Gene3210-tree</v>
      </c>
      <c r="O2685">
        <v>7</v>
      </c>
      <c r="P2685">
        <v>8</v>
      </c>
      <c r="Q2685">
        <v>7</v>
      </c>
      <c r="R2685">
        <v>8</v>
      </c>
      <c r="S2685">
        <v>0.53332999999999997</v>
      </c>
      <c r="T2685" t="s">
        <v>152</v>
      </c>
      <c r="U2685" t="s">
        <v>136</v>
      </c>
      <c r="V2685" t="s">
        <v>62</v>
      </c>
      <c r="W2685" t="s">
        <v>62</v>
      </c>
      <c r="X2685">
        <v>7</v>
      </c>
      <c r="Y2685">
        <v>16</v>
      </c>
      <c r="Z2685">
        <v>13</v>
      </c>
      <c r="AA2685">
        <v>0.55171999999999999</v>
      </c>
      <c r="AB2685">
        <v>0</v>
      </c>
      <c r="AC2685">
        <v>0</v>
      </c>
      <c r="AD2685">
        <v>0</v>
      </c>
      <c r="AE2685">
        <v>5</v>
      </c>
      <c r="AF2685">
        <v>0</v>
      </c>
      <c r="AG2685">
        <v>2</v>
      </c>
      <c r="AH2685">
        <v>0</v>
      </c>
      <c r="AI2685">
        <v>2</v>
      </c>
      <c r="AJ2685">
        <v>12</v>
      </c>
      <c r="AK2685">
        <v>0.14285999999999999</v>
      </c>
      <c r="AL2685">
        <v>12</v>
      </c>
      <c r="AM2685">
        <v>11</v>
      </c>
      <c r="AN2685">
        <v>69</v>
      </c>
      <c r="AO2685">
        <v>14</v>
      </c>
      <c r="AP2685">
        <v>77</v>
      </c>
      <c r="AQ2685">
        <v>15</v>
      </c>
      <c r="AR2685" t="s">
        <v>18697</v>
      </c>
      <c r="AS2685" t="s">
        <v>18698</v>
      </c>
      <c r="AT2685">
        <v>0.06</v>
      </c>
      <c r="AU2685" t="s">
        <v>65</v>
      </c>
      <c r="AV2685">
        <v>146</v>
      </c>
      <c r="AW2685">
        <v>29</v>
      </c>
      <c r="AX2685" t="s">
        <v>18699</v>
      </c>
      <c r="AY2685">
        <v>5.3780000000000001E-2</v>
      </c>
      <c r="AZ2685">
        <v>-1.7799999999999999E-3</v>
      </c>
      <c r="BA2685">
        <v>2.66E-3</v>
      </c>
      <c r="BB2685">
        <v>-1E-4</v>
      </c>
      <c r="BC2685">
        <v>4.9509999999999998E-2</v>
      </c>
      <c r="BD2685">
        <v>1</v>
      </c>
      <c r="BE2685" t="s">
        <v>69</v>
      </c>
      <c r="BF2685">
        <v>0.223</v>
      </c>
      <c r="BG2685">
        <v>-0.21199999999999999</v>
      </c>
    </row>
    <row r="2686" spans="1:59">
      <c r="A2686">
        <v>0</v>
      </c>
      <c r="B2686">
        <v>0</v>
      </c>
      <c r="C2686">
        <v>0</v>
      </c>
      <c r="D2686" t="s">
        <v>25022</v>
      </c>
      <c r="E2686">
        <v>2862</v>
      </c>
      <c r="F2686" t="s">
        <v>16446</v>
      </c>
      <c r="G2686" t="s">
        <v>62</v>
      </c>
      <c r="H2686">
        <v>2806289</v>
      </c>
      <c r="I2686">
        <v>2808682</v>
      </c>
      <c r="J2686" t="s">
        <v>16447</v>
      </c>
      <c r="K2686">
        <v>798</v>
      </c>
      <c r="L2686" t="s">
        <v>108</v>
      </c>
      <c r="M2686">
        <v>44</v>
      </c>
      <c r="N2686" t="str">
        <f>HYPERLINK("Gene2862-zp_tree_all.dnd", "Gene2862-tree")</f>
        <v>Gene2862-tree</v>
      </c>
      <c r="O2686">
        <v>8</v>
      </c>
      <c r="P2686">
        <v>7</v>
      </c>
      <c r="Q2686">
        <v>8</v>
      </c>
      <c r="R2686">
        <v>7</v>
      </c>
      <c r="S2686">
        <v>0.46666999999999997</v>
      </c>
      <c r="T2686" t="s">
        <v>136</v>
      </c>
      <c r="U2686" t="s">
        <v>152</v>
      </c>
      <c r="V2686" t="s">
        <v>62</v>
      </c>
      <c r="W2686" t="s">
        <v>62</v>
      </c>
      <c r="X2686">
        <v>0</v>
      </c>
      <c r="Y2686">
        <v>0</v>
      </c>
      <c r="Z2686">
        <v>12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11</v>
      </c>
      <c r="AK2686">
        <v>0</v>
      </c>
      <c r="AL2686">
        <v>14</v>
      </c>
      <c r="AM2686">
        <v>12</v>
      </c>
      <c r="AN2686">
        <v>83</v>
      </c>
      <c r="AO2686">
        <v>12</v>
      </c>
      <c r="AP2686">
        <v>72</v>
      </c>
      <c r="AQ2686">
        <v>4</v>
      </c>
      <c r="AR2686" t="s">
        <v>16448</v>
      </c>
      <c r="AS2686" t="s">
        <v>16449</v>
      </c>
      <c r="AT2686">
        <v>1.1200000000000001</v>
      </c>
      <c r="AU2686" t="s">
        <v>65</v>
      </c>
      <c r="AV2686">
        <v>155</v>
      </c>
      <c r="AW2686">
        <v>16</v>
      </c>
      <c r="AX2686" t="s">
        <v>16450</v>
      </c>
      <c r="AY2686">
        <v>4.6870000000000002E-2</v>
      </c>
      <c r="AZ2686">
        <v>-1.2999999999999999E-3</v>
      </c>
      <c r="BA2686">
        <v>1.31E-3</v>
      </c>
      <c r="BB2686">
        <v>-8.0000000000000007E-5</v>
      </c>
      <c r="BC2686">
        <v>2.7969999999999998E-2</v>
      </c>
      <c r="BD2686">
        <v>1</v>
      </c>
      <c r="BE2686" t="s">
        <v>69</v>
      </c>
      <c r="BF2686">
        <v>-0.377</v>
      </c>
      <c r="BG2686">
        <v>-0.26800000000000002</v>
      </c>
    </row>
    <row r="2687" spans="1:59">
      <c r="A2687">
        <v>0</v>
      </c>
      <c r="B2687">
        <v>0</v>
      </c>
      <c r="C2687">
        <v>0</v>
      </c>
      <c r="D2687" t="s">
        <v>25022</v>
      </c>
      <c r="E2687">
        <v>3477</v>
      </c>
      <c r="F2687" t="s">
        <v>20367</v>
      </c>
      <c r="G2687" t="s">
        <v>62</v>
      </c>
      <c r="H2687">
        <v>3441124</v>
      </c>
      <c r="I2687">
        <v>3443529</v>
      </c>
      <c r="J2687" t="s">
        <v>20368</v>
      </c>
      <c r="K2687">
        <v>802</v>
      </c>
      <c r="L2687" t="s">
        <v>20369</v>
      </c>
      <c r="M2687">
        <v>25</v>
      </c>
      <c r="N2687" t="str">
        <f>HYPERLINK("Gene3477-zp_tree_all.dnd", "Gene3477-tree")</f>
        <v>Gene3477-tree</v>
      </c>
      <c r="O2687">
        <v>2</v>
      </c>
      <c r="P2687">
        <v>22</v>
      </c>
      <c r="Q2687">
        <v>2</v>
      </c>
      <c r="R2687">
        <v>3</v>
      </c>
      <c r="S2687">
        <v>0.6</v>
      </c>
      <c r="T2687" t="s">
        <v>81</v>
      </c>
      <c r="U2687" t="s">
        <v>1005</v>
      </c>
      <c r="V2687">
        <v>3.1230000000000002</v>
      </c>
      <c r="W2687" t="s">
        <v>65</v>
      </c>
      <c r="X2687">
        <v>0</v>
      </c>
      <c r="Y2687">
        <v>0</v>
      </c>
      <c r="Z2687">
        <v>11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10</v>
      </c>
      <c r="AK2687">
        <v>0</v>
      </c>
      <c r="AL2687">
        <v>5</v>
      </c>
      <c r="AM2687">
        <v>2</v>
      </c>
      <c r="AN2687">
        <v>38</v>
      </c>
      <c r="AO2687">
        <v>10</v>
      </c>
      <c r="AP2687">
        <v>9</v>
      </c>
      <c r="AQ2687">
        <v>1</v>
      </c>
      <c r="AR2687" t="s">
        <v>20370</v>
      </c>
      <c r="AS2687" t="s">
        <v>20371</v>
      </c>
      <c r="AT2687">
        <v>0.624</v>
      </c>
      <c r="AU2687" t="s">
        <v>65</v>
      </c>
      <c r="AV2687">
        <v>47</v>
      </c>
      <c r="AW2687">
        <v>11</v>
      </c>
      <c r="AX2687" t="s">
        <v>20372</v>
      </c>
      <c r="AY2687">
        <v>3.3590000000000002E-2</v>
      </c>
      <c r="AZ2687">
        <v>-2.3600000000000001E-3</v>
      </c>
      <c r="BA2687">
        <v>2.5200000000000001E-3</v>
      </c>
      <c r="BB2687">
        <v>-5.4000000000000001E-4</v>
      </c>
      <c r="BC2687">
        <v>7.5020000000000003E-2</v>
      </c>
      <c r="BD2687">
        <v>1</v>
      </c>
      <c r="BE2687" t="s">
        <v>69</v>
      </c>
      <c r="BF2687">
        <v>-1.175</v>
      </c>
      <c r="BG2687">
        <v>-0.877</v>
      </c>
    </row>
    <row r="2688" spans="1:59">
      <c r="A2688">
        <v>0</v>
      </c>
      <c r="B2688">
        <v>10</v>
      </c>
      <c r="C2688">
        <v>0</v>
      </c>
      <c r="D2688" t="s">
        <v>25022</v>
      </c>
      <c r="E2688">
        <v>2980</v>
      </c>
      <c r="F2688" t="s">
        <v>17194</v>
      </c>
      <c r="G2688" t="s">
        <v>62</v>
      </c>
      <c r="H2688">
        <v>2927011</v>
      </c>
      <c r="I2688">
        <v>2929422</v>
      </c>
      <c r="J2688" t="s">
        <v>17195</v>
      </c>
      <c r="K2688">
        <v>804</v>
      </c>
      <c r="L2688" t="s">
        <v>108</v>
      </c>
      <c r="M2688">
        <v>44</v>
      </c>
      <c r="N2688" t="str">
        <f>HYPERLINK("Gene2980-zp_tree_all.dnd", "Gene2980-tree")</f>
        <v>Gene2980-tree</v>
      </c>
      <c r="O2688">
        <v>8</v>
      </c>
      <c r="P2688">
        <v>9</v>
      </c>
      <c r="Q2688">
        <v>8</v>
      </c>
      <c r="R2688">
        <v>9</v>
      </c>
      <c r="S2688">
        <v>0.52941000000000005</v>
      </c>
      <c r="T2688" t="s">
        <v>136</v>
      </c>
      <c r="U2688" t="s">
        <v>135</v>
      </c>
      <c r="V2688" t="s">
        <v>62</v>
      </c>
      <c r="W2688" t="s">
        <v>62</v>
      </c>
      <c r="X2688">
        <v>4</v>
      </c>
      <c r="Y2688">
        <v>10</v>
      </c>
      <c r="Z2688">
        <v>27</v>
      </c>
      <c r="AA2688">
        <v>0.27027000000000001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4</v>
      </c>
      <c r="AH2688">
        <v>0</v>
      </c>
      <c r="AI2688">
        <v>4</v>
      </c>
      <c r="AJ2688">
        <v>22</v>
      </c>
      <c r="AK2688">
        <v>0.15384999999999999</v>
      </c>
      <c r="AL2688">
        <v>15</v>
      </c>
      <c r="AM2688">
        <v>13</v>
      </c>
      <c r="AN2688">
        <v>138</v>
      </c>
      <c r="AO2688">
        <v>26</v>
      </c>
      <c r="AP2688">
        <v>81</v>
      </c>
      <c r="AQ2688">
        <v>11</v>
      </c>
      <c r="AR2688" t="s">
        <v>17196</v>
      </c>
      <c r="AS2688" t="s">
        <v>17197</v>
      </c>
      <c r="AT2688">
        <v>0.39900000000000002</v>
      </c>
      <c r="AU2688" t="s">
        <v>65</v>
      </c>
      <c r="AV2688">
        <v>219</v>
      </c>
      <c r="AW2688">
        <v>37</v>
      </c>
      <c r="AX2688" t="s">
        <v>17198</v>
      </c>
      <c r="AY2688">
        <v>5.9339999999999997E-2</v>
      </c>
      <c r="AZ2688">
        <v>-1.6999999999999999E-3</v>
      </c>
      <c r="BA2688">
        <v>3.3E-3</v>
      </c>
      <c r="BB2688">
        <v>-1.2E-4</v>
      </c>
      <c r="BC2688">
        <v>5.5559999999999998E-2</v>
      </c>
      <c r="BD2688">
        <v>1</v>
      </c>
      <c r="BE2688" t="s">
        <v>69</v>
      </c>
      <c r="BF2688">
        <v>-9.4E-2</v>
      </c>
      <c r="BG2688">
        <v>-0.56200000000000006</v>
      </c>
    </row>
    <row r="2689" spans="1:59">
      <c r="A2689">
        <v>0</v>
      </c>
      <c r="B2689">
        <v>20</v>
      </c>
      <c r="C2689">
        <v>4</v>
      </c>
      <c r="D2689" t="s">
        <v>25022</v>
      </c>
      <c r="E2689">
        <v>3147</v>
      </c>
      <c r="F2689" t="s">
        <v>18279</v>
      </c>
      <c r="G2689" t="s">
        <v>62</v>
      </c>
      <c r="H2689">
        <v>3102632</v>
      </c>
      <c r="I2689">
        <v>3105043</v>
      </c>
      <c r="J2689" t="s">
        <v>18280</v>
      </c>
      <c r="K2689">
        <v>804</v>
      </c>
      <c r="L2689" t="s">
        <v>59</v>
      </c>
      <c r="M2689">
        <v>49</v>
      </c>
      <c r="N2689" t="str">
        <f>HYPERLINK("Gene3147-zp_tree_all.dnd", "Gene3147-tree")</f>
        <v>Gene3147-tree</v>
      </c>
      <c r="O2689">
        <v>27</v>
      </c>
      <c r="P2689">
        <v>11</v>
      </c>
      <c r="Q2689">
        <v>10</v>
      </c>
      <c r="R2689">
        <v>11</v>
      </c>
      <c r="S2689">
        <v>0.52381</v>
      </c>
      <c r="T2689" t="s">
        <v>2980</v>
      </c>
      <c r="U2689" t="s">
        <v>73</v>
      </c>
      <c r="V2689">
        <v>3.2029999999999998</v>
      </c>
      <c r="W2689" t="s">
        <v>267</v>
      </c>
      <c r="X2689">
        <v>8</v>
      </c>
      <c r="Y2689">
        <v>24</v>
      </c>
      <c r="Z2689">
        <v>22</v>
      </c>
      <c r="AA2689">
        <v>0.52173999999999998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5</v>
      </c>
      <c r="AH2689">
        <v>0</v>
      </c>
      <c r="AI2689">
        <v>5</v>
      </c>
      <c r="AJ2689">
        <v>15</v>
      </c>
      <c r="AK2689">
        <v>0.25</v>
      </c>
      <c r="AL2689">
        <v>21</v>
      </c>
      <c r="AM2689">
        <v>18</v>
      </c>
      <c r="AN2689">
        <v>122</v>
      </c>
      <c r="AO2689">
        <v>20</v>
      </c>
      <c r="AP2689">
        <v>176</v>
      </c>
      <c r="AQ2689">
        <v>26</v>
      </c>
      <c r="AR2689" t="s">
        <v>18281</v>
      </c>
      <c r="AS2689" t="s">
        <v>18282</v>
      </c>
      <c r="AT2689">
        <v>0.109</v>
      </c>
      <c r="AU2689" t="s">
        <v>65</v>
      </c>
      <c r="AV2689">
        <v>298</v>
      </c>
      <c r="AW2689">
        <v>46</v>
      </c>
      <c r="AX2689" t="s">
        <v>18283</v>
      </c>
      <c r="AY2689">
        <v>0.1113</v>
      </c>
      <c r="AZ2689">
        <v>-6.28E-3</v>
      </c>
      <c r="BA2689">
        <v>4.0400000000000002E-3</v>
      </c>
      <c r="BB2689">
        <v>-1.7000000000000001E-4</v>
      </c>
      <c r="BC2689">
        <v>3.6260000000000001E-2</v>
      </c>
      <c r="BD2689">
        <v>1</v>
      </c>
      <c r="BE2689" t="s">
        <v>69</v>
      </c>
      <c r="BF2689">
        <v>-1.0569999999999999</v>
      </c>
      <c r="BG2689">
        <v>-0.66100000000000003</v>
      </c>
    </row>
    <row r="2690" spans="1:59">
      <c r="A2690">
        <v>0</v>
      </c>
      <c r="B2690">
        <v>4</v>
      </c>
      <c r="C2690">
        <v>2</v>
      </c>
      <c r="D2690" t="s">
        <v>25022</v>
      </c>
      <c r="E2690">
        <v>1632</v>
      </c>
      <c r="F2690" t="s">
        <v>10223</v>
      </c>
      <c r="G2690" t="s">
        <v>57</v>
      </c>
      <c r="H2690">
        <v>1644068</v>
      </c>
      <c r="I2690">
        <v>1646482</v>
      </c>
      <c r="J2690" t="s">
        <v>10224</v>
      </c>
      <c r="K2690">
        <v>805</v>
      </c>
      <c r="L2690" t="s">
        <v>108</v>
      </c>
      <c r="M2690">
        <v>44</v>
      </c>
      <c r="N2690" t="str">
        <f>HYPERLINK("Gene1632-zp_tree_all.dnd", "Gene1632-tree")</f>
        <v>Gene1632-tree</v>
      </c>
      <c r="O2690">
        <v>10</v>
      </c>
      <c r="P2690">
        <v>7</v>
      </c>
      <c r="Q2690">
        <v>10</v>
      </c>
      <c r="R2690">
        <v>7</v>
      </c>
      <c r="S2690">
        <v>0.41176000000000001</v>
      </c>
      <c r="T2690" t="s">
        <v>117</v>
      </c>
      <c r="U2690" t="s">
        <v>152</v>
      </c>
      <c r="V2690" t="s">
        <v>62</v>
      </c>
      <c r="W2690" t="s">
        <v>62</v>
      </c>
      <c r="X2690">
        <v>3</v>
      </c>
      <c r="Y2690">
        <v>6</v>
      </c>
      <c r="Z2690">
        <v>10</v>
      </c>
      <c r="AA2690">
        <v>0.375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4</v>
      </c>
      <c r="AH2690">
        <v>0</v>
      </c>
      <c r="AI2690">
        <v>4</v>
      </c>
      <c r="AJ2690">
        <v>8</v>
      </c>
      <c r="AK2690">
        <v>0.33333000000000002</v>
      </c>
      <c r="AL2690">
        <v>14</v>
      </c>
      <c r="AM2690">
        <v>14</v>
      </c>
      <c r="AN2690">
        <v>45</v>
      </c>
      <c r="AO2690">
        <v>9</v>
      </c>
      <c r="AP2690">
        <v>40</v>
      </c>
      <c r="AQ2690">
        <v>8</v>
      </c>
      <c r="AR2690" t="s">
        <v>10225</v>
      </c>
      <c r="AS2690" t="s">
        <v>10226</v>
      </c>
      <c r="AT2690">
        <v>0</v>
      </c>
      <c r="AU2690" t="s">
        <v>65</v>
      </c>
      <c r="AV2690">
        <v>85</v>
      </c>
      <c r="AW2690">
        <v>17</v>
      </c>
      <c r="AX2690" t="s">
        <v>10227</v>
      </c>
      <c r="AY2690">
        <v>2.6089999999999999E-2</v>
      </c>
      <c r="AZ2690">
        <v>-8.3000000000000001E-4</v>
      </c>
      <c r="BA2690">
        <v>2.0100000000000001E-3</v>
      </c>
      <c r="BB2690">
        <v>-1E-4</v>
      </c>
      <c r="BC2690">
        <v>7.689E-2</v>
      </c>
      <c r="BD2690">
        <v>1</v>
      </c>
      <c r="BE2690" t="s">
        <v>69</v>
      </c>
      <c r="BF2690">
        <v>-0.84399999999999997</v>
      </c>
      <c r="BG2690">
        <v>-0.995</v>
      </c>
    </row>
    <row r="2691" spans="1:59">
      <c r="A2691">
        <v>0</v>
      </c>
      <c r="B2691">
        <v>0</v>
      </c>
      <c r="C2691">
        <v>0</v>
      </c>
      <c r="D2691" t="s">
        <v>25022</v>
      </c>
      <c r="E2691">
        <v>1877</v>
      </c>
      <c r="F2691" t="s">
        <v>11750</v>
      </c>
      <c r="G2691" t="s">
        <v>57</v>
      </c>
      <c r="H2691">
        <v>1935448</v>
      </c>
      <c r="I2691">
        <v>1937865</v>
      </c>
      <c r="J2691" t="s">
        <v>11751</v>
      </c>
      <c r="K2691">
        <v>806</v>
      </c>
      <c r="L2691" t="s">
        <v>108</v>
      </c>
      <c r="M2691">
        <v>44</v>
      </c>
      <c r="N2691" t="str">
        <f>HYPERLINK("Gene1877-zp_tree_all.dnd", "Gene1877-tree")</f>
        <v>Gene1877-tree</v>
      </c>
      <c r="O2691">
        <v>5</v>
      </c>
      <c r="P2691">
        <v>7</v>
      </c>
      <c r="Q2691">
        <v>5</v>
      </c>
      <c r="R2691">
        <v>7</v>
      </c>
      <c r="S2691">
        <v>0.58333000000000002</v>
      </c>
      <c r="T2691" t="s">
        <v>199</v>
      </c>
      <c r="U2691" t="s">
        <v>152</v>
      </c>
      <c r="V2691" t="s">
        <v>62</v>
      </c>
      <c r="W2691" t="s">
        <v>62</v>
      </c>
      <c r="X2691">
        <v>0</v>
      </c>
      <c r="Y2691">
        <v>0</v>
      </c>
      <c r="Z2691">
        <v>9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7</v>
      </c>
      <c r="AK2691">
        <v>0</v>
      </c>
      <c r="AL2691">
        <v>12</v>
      </c>
      <c r="AM2691">
        <v>9</v>
      </c>
      <c r="AN2691">
        <v>71</v>
      </c>
      <c r="AO2691">
        <v>7</v>
      </c>
      <c r="AP2691">
        <v>38</v>
      </c>
      <c r="AQ2691">
        <v>2</v>
      </c>
      <c r="AR2691" t="s">
        <v>11752</v>
      </c>
      <c r="AS2691" t="s">
        <v>11753</v>
      </c>
      <c r="AT2691">
        <v>0.61099999999999999</v>
      </c>
      <c r="AU2691" t="s">
        <v>65</v>
      </c>
      <c r="AV2691">
        <v>109</v>
      </c>
      <c r="AW2691">
        <v>9</v>
      </c>
      <c r="AX2691" t="s">
        <v>11754</v>
      </c>
      <c r="AY2691">
        <v>3.9849999999999997E-2</v>
      </c>
      <c r="AZ2691">
        <v>-1.41E-3</v>
      </c>
      <c r="BA2691">
        <v>9.5E-4</v>
      </c>
      <c r="BB2691">
        <v>-6.0000000000000002E-5</v>
      </c>
      <c r="BC2691">
        <v>2.3869999999999999E-2</v>
      </c>
      <c r="BD2691">
        <v>1</v>
      </c>
      <c r="BE2691" t="s">
        <v>69</v>
      </c>
      <c r="BF2691">
        <v>0.20899999999999999</v>
      </c>
      <c r="BG2691">
        <v>-0.73399999999999999</v>
      </c>
    </row>
    <row r="2692" spans="1:59">
      <c r="A2692">
        <v>0</v>
      </c>
      <c r="B2692">
        <v>2</v>
      </c>
      <c r="C2692">
        <v>0</v>
      </c>
      <c r="D2692" t="s">
        <v>25022</v>
      </c>
      <c r="E2692">
        <v>86</v>
      </c>
      <c r="F2692" t="s">
        <v>681</v>
      </c>
      <c r="G2692" t="s">
        <v>57</v>
      </c>
      <c r="H2692">
        <v>103572</v>
      </c>
      <c r="I2692">
        <v>106001</v>
      </c>
      <c r="J2692" t="s">
        <v>682</v>
      </c>
      <c r="K2692">
        <v>810</v>
      </c>
      <c r="L2692" t="s">
        <v>108</v>
      </c>
      <c r="M2692">
        <v>44</v>
      </c>
      <c r="N2692" t="str">
        <f>HYPERLINK("Gene86-zp_tree_all.dnd", "Gene86-tree")</f>
        <v>Gene86-tree</v>
      </c>
      <c r="O2692">
        <v>11</v>
      </c>
      <c r="P2692">
        <v>2</v>
      </c>
      <c r="Q2692">
        <v>11</v>
      </c>
      <c r="R2692">
        <v>2</v>
      </c>
      <c r="S2692">
        <v>0.15384999999999999</v>
      </c>
      <c r="T2692" t="s">
        <v>73</v>
      </c>
      <c r="U2692" t="s">
        <v>81</v>
      </c>
      <c r="V2692" t="s">
        <v>62</v>
      </c>
      <c r="W2692" t="s">
        <v>62</v>
      </c>
      <c r="X2692">
        <v>1</v>
      </c>
      <c r="Y2692">
        <v>2</v>
      </c>
      <c r="Z2692">
        <v>2</v>
      </c>
      <c r="AA2692">
        <v>0.5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3</v>
      </c>
      <c r="AK2692">
        <v>0</v>
      </c>
      <c r="AL2692">
        <v>13</v>
      </c>
      <c r="AM2692">
        <v>8</v>
      </c>
      <c r="AN2692">
        <v>62</v>
      </c>
      <c r="AO2692">
        <v>3</v>
      </c>
      <c r="AP2692">
        <v>29</v>
      </c>
      <c r="AQ2692">
        <v>1</v>
      </c>
      <c r="AR2692" t="s">
        <v>683</v>
      </c>
      <c r="AS2692" t="s">
        <v>684</v>
      </c>
      <c r="AT2692">
        <v>0.113</v>
      </c>
      <c r="AU2692" t="s">
        <v>65</v>
      </c>
      <c r="AV2692">
        <v>91</v>
      </c>
      <c r="AW2692">
        <v>4</v>
      </c>
      <c r="AX2692" t="s">
        <v>685</v>
      </c>
      <c r="AY2692">
        <v>2.861E-2</v>
      </c>
      <c r="AZ2692">
        <v>-7.2999999999999996E-4</v>
      </c>
      <c r="BA2692">
        <v>3.6999999999999999E-4</v>
      </c>
      <c r="BB2692">
        <v>-5.0000000000000002E-5</v>
      </c>
      <c r="BC2692">
        <v>1.2959999999999999E-2</v>
      </c>
      <c r="BD2692">
        <v>1</v>
      </c>
      <c r="BE2692" t="s">
        <v>69</v>
      </c>
      <c r="BF2692">
        <v>-0.14699999999999999</v>
      </c>
      <c r="BG2692">
        <v>-0.48399999999999999</v>
      </c>
    </row>
    <row r="2693" spans="1:59">
      <c r="A2693">
        <v>0</v>
      </c>
      <c r="B2693">
        <v>3</v>
      </c>
      <c r="C2693">
        <v>0</v>
      </c>
      <c r="D2693" t="s">
        <v>25022</v>
      </c>
      <c r="E2693">
        <v>7</v>
      </c>
      <c r="F2693" t="s">
        <v>106</v>
      </c>
      <c r="G2693" t="s">
        <v>57</v>
      </c>
      <c r="H2693">
        <v>6994</v>
      </c>
      <c r="I2693">
        <v>9456</v>
      </c>
      <c r="J2693" t="s">
        <v>107</v>
      </c>
      <c r="K2693">
        <v>821</v>
      </c>
      <c r="L2693" t="s">
        <v>108</v>
      </c>
      <c r="M2693">
        <v>44</v>
      </c>
      <c r="N2693" t="str">
        <f>HYPERLINK("Gene7-zp_tree_all.dnd", "Gene7-tree")</f>
        <v>Gene7-tree</v>
      </c>
      <c r="O2693">
        <v>12</v>
      </c>
      <c r="P2693">
        <v>2</v>
      </c>
      <c r="Q2693">
        <v>12</v>
      </c>
      <c r="R2693">
        <v>2</v>
      </c>
      <c r="S2693">
        <v>0.14285999999999999</v>
      </c>
      <c r="T2693" t="s">
        <v>109</v>
      </c>
      <c r="U2693" t="s">
        <v>81</v>
      </c>
      <c r="V2693" t="s">
        <v>62</v>
      </c>
      <c r="W2693" t="s">
        <v>62</v>
      </c>
      <c r="X2693">
        <v>1</v>
      </c>
      <c r="Y2693">
        <v>3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</v>
      </c>
      <c r="AH2693">
        <v>0</v>
      </c>
      <c r="AI2693">
        <v>2</v>
      </c>
      <c r="AJ2693">
        <v>0</v>
      </c>
      <c r="AK2693">
        <v>1</v>
      </c>
      <c r="AL2693">
        <v>12</v>
      </c>
      <c r="AM2693">
        <v>11</v>
      </c>
      <c r="AN2693">
        <v>75</v>
      </c>
      <c r="AO2693">
        <v>2</v>
      </c>
      <c r="AP2693">
        <v>54</v>
      </c>
      <c r="AQ2693">
        <v>1</v>
      </c>
      <c r="AR2693" t="s">
        <v>110</v>
      </c>
      <c r="AS2693" t="s">
        <v>111</v>
      </c>
      <c r="AT2693">
        <v>0.113</v>
      </c>
      <c r="AU2693" t="s">
        <v>65</v>
      </c>
      <c r="AV2693">
        <v>129</v>
      </c>
      <c r="AW2693">
        <v>3</v>
      </c>
      <c r="AX2693" t="s">
        <v>112</v>
      </c>
      <c r="AY2693">
        <v>4.199E-2</v>
      </c>
      <c r="AZ2693">
        <v>-1.2600000000000001E-3</v>
      </c>
      <c r="BA2693">
        <v>2.9E-4</v>
      </c>
      <c r="BB2693">
        <v>-3.0000000000000001E-5</v>
      </c>
      <c r="BC2693">
        <v>6.8100000000000001E-3</v>
      </c>
      <c r="BD2693">
        <v>1</v>
      </c>
      <c r="BE2693" t="s">
        <v>69</v>
      </c>
      <c r="BF2693">
        <v>-0.377</v>
      </c>
      <c r="BG2693">
        <v>-0.72699999999999998</v>
      </c>
    </row>
    <row r="2694" spans="1:59">
      <c r="A2694">
        <v>0</v>
      </c>
      <c r="B2694">
        <v>2</v>
      </c>
      <c r="C2694">
        <v>0</v>
      </c>
      <c r="D2694" t="s">
        <v>25022</v>
      </c>
      <c r="E2694">
        <v>64</v>
      </c>
      <c r="F2694" t="s">
        <v>520</v>
      </c>
      <c r="G2694" t="s">
        <v>57</v>
      </c>
      <c r="H2694">
        <v>70538</v>
      </c>
      <c r="I2694">
        <v>73018</v>
      </c>
      <c r="J2694" t="s">
        <v>521</v>
      </c>
      <c r="K2694">
        <v>827</v>
      </c>
      <c r="L2694" t="s">
        <v>108</v>
      </c>
      <c r="M2694">
        <v>44</v>
      </c>
      <c r="N2694" t="str">
        <f>HYPERLINK("Gene64-zp_tree_all.dnd", "Gene64-tree")</f>
        <v>Gene64-tree</v>
      </c>
      <c r="O2694">
        <v>11</v>
      </c>
      <c r="P2694">
        <v>7</v>
      </c>
      <c r="Q2694">
        <v>11</v>
      </c>
      <c r="R2694">
        <v>7</v>
      </c>
      <c r="S2694">
        <v>0.38889000000000001</v>
      </c>
      <c r="T2694" t="s">
        <v>73</v>
      </c>
      <c r="U2694" t="s">
        <v>152</v>
      </c>
      <c r="V2694" t="s">
        <v>62</v>
      </c>
      <c r="W2694" t="s">
        <v>62</v>
      </c>
      <c r="X2694">
        <v>1</v>
      </c>
      <c r="Y2694">
        <v>2</v>
      </c>
      <c r="Z2694">
        <v>7</v>
      </c>
      <c r="AA2694">
        <v>0.22222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6</v>
      </c>
      <c r="AK2694">
        <v>0</v>
      </c>
      <c r="AL2694">
        <v>15</v>
      </c>
      <c r="AM2694">
        <v>14</v>
      </c>
      <c r="AN2694">
        <v>95</v>
      </c>
      <c r="AO2694">
        <v>6</v>
      </c>
      <c r="AP2694">
        <v>88</v>
      </c>
      <c r="AQ2694">
        <v>3</v>
      </c>
      <c r="AR2694" t="s">
        <v>522</v>
      </c>
      <c r="AS2694" t="s">
        <v>523</v>
      </c>
      <c r="AT2694">
        <v>0.60299999999999998</v>
      </c>
      <c r="AU2694" t="s">
        <v>65</v>
      </c>
      <c r="AV2694">
        <v>183</v>
      </c>
      <c r="AW2694">
        <v>9</v>
      </c>
      <c r="AX2694" t="s">
        <v>524</v>
      </c>
      <c r="AY2694">
        <v>5.1580000000000001E-2</v>
      </c>
      <c r="AZ2694">
        <v>-1.6800000000000001E-3</v>
      </c>
      <c r="BA2694">
        <v>7.3999999999999999E-4</v>
      </c>
      <c r="BB2694">
        <v>-4.0000000000000003E-5</v>
      </c>
      <c r="BC2694">
        <v>1.443E-2</v>
      </c>
      <c r="BD2694">
        <v>1</v>
      </c>
      <c r="BE2694" t="s">
        <v>69</v>
      </c>
      <c r="BF2694">
        <v>-0.44</v>
      </c>
      <c r="BG2694">
        <v>-0.65800000000000003</v>
      </c>
    </row>
    <row r="2695" spans="1:59">
      <c r="A2695">
        <v>0</v>
      </c>
      <c r="B2695">
        <v>0</v>
      </c>
      <c r="C2695">
        <v>2</v>
      </c>
      <c r="D2695" t="s">
        <v>25022</v>
      </c>
      <c r="E2695">
        <v>504</v>
      </c>
      <c r="F2695" t="s">
        <v>3317</v>
      </c>
      <c r="G2695" t="s">
        <v>57</v>
      </c>
      <c r="H2695">
        <v>538734</v>
      </c>
      <c r="I2695">
        <v>541226</v>
      </c>
      <c r="J2695" t="s">
        <v>3318</v>
      </c>
      <c r="K2695">
        <v>831</v>
      </c>
      <c r="L2695" t="s">
        <v>3312</v>
      </c>
      <c r="M2695">
        <v>20</v>
      </c>
      <c r="N2695" t="str">
        <f>HYPERLINK("Gene504-zp_tree_all.dnd", "Gene504-tree")</f>
        <v>Gene504-tree</v>
      </c>
      <c r="O2695">
        <v>2</v>
      </c>
      <c r="P2695">
        <v>2</v>
      </c>
      <c r="Q2695">
        <v>2</v>
      </c>
      <c r="R2695">
        <v>2</v>
      </c>
      <c r="S2695">
        <v>0.5</v>
      </c>
      <c r="T2695" t="s">
        <v>81</v>
      </c>
      <c r="U2695" t="s">
        <v>81</v>
      </c>
      <c r="V2695" t="s">
        <v>62</v>
      </c>
      <c r="W2695" t="s">
        <v>62</v>
      </c>
      <c r="X2695">
        <v>1</v>
      </c>
      <c r="Y2695">
        <v>2</v>
      </c>
      <c r="Z2695">
        <v>8</v>
      </c>
      <c r="AA2695">
        <v>0.2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7</v>
      </c>
      <c r="AK2695">
        <v>0</v>
      </c>
      <c r="AL2695">
        <v>3</v>
      </c>
      <c r="AM2695">
        <v>1</v>
      </c>
      <c r="AN2695">
        <v>57</v>
      </c>
      <c r="AO2695">
        <v>8</v>
      </c>
      <c r="AP2695">
        <v>22</v>
      </c>
      <c r="AQ2695">
        <v>3</v>
      </c>
      <c r="AR2695" t="s">
        <v>3319</v>
      </c>
      <c r="AS2695" t="s">
        <v>3320</v>
      </c>
      <c r="AT2695">
        <v>0.02</v>
      </c>
      <c r="AU2695" t="s">
        <v>65</v>
      </c>
      <c r="AV2695">
        <v>79</v>
      </c>
      <c r="AW2695">
        <v>11</v>
      </c>
      <c r="AX2695" t="s">
        <v>3321</v>
      </c>
      <c r="AY2695">
        <v>8.8410000000000002E-2</v>
      </c>
      <c r="AZ2695">
        <v>-1.67E-2</v>
      </c>
      <c r="BA2695">
        <v>2.8900000000000002E-3</v>
      </c>
      <c r="BB2695">
        <v>-6.8999999999999997E-4</v>
      </c>
      <c r="BC2695">
        <v>3.2660000000000002E-2</v>
      </c>
      <c r="BD2695">
        <v>1</v>
      </c>
      <c r="BE2695" t="s">
        <v>69</v>
      </c>
      <c r="BF2695">
        <v>0.19</v>
      </c>
      <c r="BG2695">
        <v>-1.448</v>
      </c>
    </row>
    <row r="2696" spans="1:59">
      <c r="A2696">
        <v>0</v>
      </c>
      <c r="B2696">
        <v>0</v>
      </c>
      <c r="C2696">
        <v>2</v>
      </c>
      <c r="D2696" t="s">
        <v>25022</v>
      </c>
      <c r="E2696">
        <v>3657</v>
      </c>
      <c r="F2696" t="s">
        <v>21457</v>
      </c>
      <c r="G2696" t="s">
        <v>62</v>
      </c>
      <c r="H2696">
        <v>3628313</v>
      </c>
      <c r="I2696">
        <v>3630835</v>
      </c>
      <c r="J2696" t="s">
        <v>21458</v>
      </c>
      <c r="K2696">
        <v>841</v>
      </c>
      <c r="L2696" t="s">
        <v>2803</v>
      </c>
      <c r="M2696">
        <v>45</v>
      </c>
      <c r="N2696" t="str">
        <f>HYPERLINK("Gene3657-zp_tree_all.dnd", "Gene3657-tree")</f>
        <v>Gene3657-tree</v>
      </c>
      <c r="O2696">
        <v>11</v>
      </c>
      <c r="P2696">
        <v>6</v>
      </c>
      <c r="Q2696">
        <v>11</v>
      </c>
      <c r="R2696">
        <v>6</v>
      </c>
      <c r="S2696">
        <v>0.35293999999999998</v>
      </c>
      <c r="T2696" t="s">
        <v>73</v>
      </c>
      <c r="U2696" t="s">
        <v>90</v>
      </c>
      <c r="V2696" t="s">
        <v>62</v>
      </c>
      <c r="W2696" t="s">
        <v>62</v>
      </c>
      <c r="X2696">
        <v>1</v>
      </c>
      <c r="Y2696">
        <v>2</v>
      </c>
      <c r="Z2696">
        <v>20</v>
      </c>
      <c r="AA2696">
        <v>9.0910000000000005E-2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2</v>
      </c>
      <c r="AI2696">
        <v>2</v>
      </c>
      <c r="AJ2696">
        <v>18</v>
      </c>
      <c r="AK2696">
        <v>0.1</v>
      </c>
      <c r="AL2696">
        <v>15</v>
      </c>
      <c r="AM2696">
        <v>13</v>
      </c>
      <c r="AN2696">
        <v>176</v>
      </c>
      <c r="AO2696">
        <v>20</v>
      </c>
      <c r="AP2696">
        <v>77</v>
      </c>
      <c r="AQ2696">
        <v>2</v>
      </c>
      <c r="AR2696" t="s">
        <v>21459</v>
      </c>
      <c r="AS2696" t="s">
        <v>21460</v>
      </c>
      <c r="AT2696">
        <v>0.24</v>
      </c>
      <c r="AU2696" t="s">
        <v>65</v>
      </c>
      <c r="AV2696">
        <v>253</v>
      </c>
      <c r="AW2696">
        <v>22</v>
      </c>
      <c r="AX2696" t="s">
        <v>21461</v>
      </c>
      <c r="AY2696">
        <v>6.9059999999999996E-2</v>
      </c>
      <c r="AZ2696">
        <v>-4.96E-3</v>
      </c>
      <c r="BA2696">
        <v>1.49E-3</v>
      </c>
      <c r="BB2696">
        <v>-2.2000000000000001E-4</v>
      </c>
      <c r="BC2696">
        <v>2.1610000000000001E-2</v>
      </c>
      <c r="BD2696">
        <v>1</v>
      </c>
      <c r="BE2696" t="s">
        <v>69</v>
      </c>
      <c r="BF2696">
        <v>-1.468</v>
      </c>
      <c r="BG2696">
        <v>-4.319</v>
      </c>
    </row>
    <row r="2697" spans="1:59">
      <c r="A2697">
        <v>0</v>
      </c>
      <c r="B2697">
        <v>13</v>
      </c>
      <c r="C2697">
        <v>1</v>
      </c>
      <c r="D2697" t="s">
        <v>25022</v>
      </c>
      <c r="E2697">
        <v>876</v>
      </c>
      <c r="F2697" t="s">
        <v>5469</v>
      </c>
      <c r="G2697" t="s">
        <v>57</v>
      </c>
      <c r="H2697">
        <v>916778</v>
      </c>
      <c r="I2697">
        <v>919345</v>
      </c>
      <c r="J2697" t="s">
        <v>5470</v>
      </c>
      <c r="K2697">
        <v>856</v>
      </c>
      <c r="L2697" t="s">
        <v>108</v>
      </c>
      <c r="M2697">
        <v>44</v>
      </c>
      <c r="N2697" t="str">
        <f>HYPERLINK("Gene876-zp_tree_all.dnd", "Gene876-tree")</f>
        <v>Gene876-tree</v>
      </c>
      <c r="O2697">
        <v>4</v>
      </c>
      <c r="P2697">
        <v>11</v>
      </c>
      <c r="Q2697">
        <v>4</v>
      </c>
      <c r="R2697">
        <v>11</v>
      </c>
      <c r="S2697">
        <v>0.73333000000000004</v>
      </c>
      <c r="T2697" t="s">
        <v>61</v>
      </c>
      <c r="U2697" t="s">
        <v>73</v>
      </c>
      <c r="V2697">
        <v>200307210.301</v>
      </c>
      <c r="W2697" t="s">
        <v>267</v>
      </c>
      <c r="X2697">
        <v>4</v>
      </c>
      <c r="Y2697">
        <v>14</v>
      </c>
      <c r="Z2697">
        <v>5</v>
      </c>
      <c r="AA2697">
        <v>0.73684000000000005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8</v>
      </c>
      <c r="AH2697">
        <v>1</v>
      </c>
      <c r="AI2697">
        <v>9</v>
      </c>
      <c r="AJ2697">
        <v>5</v>
      </c>
      <c r="AK2697">
        <v>0.64285999999999999</v>
      </c>
      <c r="AL2697">
        <v>14</v>
      </c>
      <c r="AM2697">
        <v>12</v>
      </c>
      <c r="AN2697">
        <v>112</v>
      </c>
      <c r="AO2697">
        <v>14</v>
      </c>
      <c r="AP2697">
        <v>58</v>
      </c>
      <c r="AQ2697">
        <v>9</v>
      </c>
      <c r="AR2697" t="s">
        <v>5471</v>
      </c>
      <c r="AS2697" t="s">
        <v>5472</v>
      </c>
      <c r="AT2697">
        <v>0.42299999999999999</v>
      </c>
      <c r="AU2697" t="s">
        <v>65</v>
      </c>
      <c r="AV2697">
        <v>170</v>
      </c>
      <c r="AW2697">
        <v>23</v>
      </c>
      <c r="AX2697" t="s">
        <v>5473</v>
      </c>
      <c r="AY2697">
        <v>4.4139999999999999E-2</v>
      </c>
      <c r="AZ2697">
        <v>-1.3500000000000001E-3</v>
      </c>
      <c r="BA2697">
        <v>1.5499999999999999E-3</v>
      </c>
      <c r="BB2697">
        <v>-6.9999999999999994E-5</v>
      </c>
      <c r="BC2697">
        <v>3.5009999999999999E-2</v>
      </c>
      <c r="BD2697">
        <v>1</v>
      </c>
      <c r="BE2697" t="s">
        <v>69</v>
      </c>
      <c r="BF2697">
        <v>-4.2999999999999997E-2</v>
      </c>
      <c r="BG2697">
        <v>-0.57099999999999995</v>
      </c>
    </row>
    <row r="2698" spans="1:59">
      <c r="A2698">
        <v>9</v>
      </c>
      <c r="B2698">
        <v>73</v>
      </c>
      <c r="C2698">
        <v>9</v>
      </c>
      <c r="D2698" t="s">
        <v>25022</v>
      </c>
      <c r="E2698">
        <v>746</v>
      </c>
      <c r="F2698" t="s">
        <v>4633</v>
      </c>
      <c r="G2698" t="s">
        <v>57</v>
      </c>
      <c r="H2698">
        <v>776834</v>
      </c>
      <c r="I2698">
        <v>779404</v>
      </c>
      <c r="J2698" t="s">
        <v>1340</v>
      </c>
      <c r="K2698">
        <v>857</v>
      </c>
      <c r="L2698" t="s">
        <v>4626</v>
      </c>
      <c r="M2698">
        <v>37</v>
      </c>
      <c r="N2698" t="str">
        <f>HYPERLINK("Gene746-zp_tree_all.dnd", "Gene746-tree")</f>
        <v>Gene746-tree</v>
      </c>
      <c r="O2698">
        <v>0</v>
      </c>
      <c r="P2698">
        <v>33</v>
      </c>
      <c r="Q2698">
        <v>0</v>
      </c>
      <c r="R2698">
        <v>16</v>
      </c>
      <c r="S2698">
        <v>1</v>
      </c>
      <c r="T2698" t="s">
        <v>62</v>
      </c>
      <c r="U2698" t="s">
        <v>4634</v>
      </c>
      <c r="V2698">
        <v>3.4860000000000002</v>
      </c>
      <c r="W2698" t="s">
        <v>65</v>
      </c>
      <c r="X2698">
        <v>30</v>
      </c>
      <c r="Y2698">
        <v>91</v>
      </c>
      <c r="Z2698">
        <v>63</v>
      </c>
      <c r="AA2698">
        <v>0.59091000000000005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39</v>
      </c>
      <c r="AH2698">
        <v>10</v>
      </c>
      <c r="AI2698">
        <v>49</v>
      </c>
      <c r="AJ2698">
        <v>60</v>
      </c>
      <c r="AK2698">
        <v>0.44954</v>
      </c>
      <c r="AL2698">
        <v>13</v>
      </c>
      <c r="AM2698">
        <v>13</v>
      </c>
      <c r="AN2698">
        <v>117</v>
      </c>
      <c r="AO2698">
        <v>82</v>
      </c>
      <c r="AP2698">
        <v>115</v>
      </c>
      <c r="AQ2698">
        <v>77</v>
      </c>
      <c r="AR2698" t="s">
        <v>4635</v>
      </c>
      <c r="AS2698" t="s">
        <v>4636</v>
      </c>
      <c r="AT2698">
        <v>9.6000000000000002E-2</v>
      </c>
      <c r="AU2698" t="s">
        <v>65</v>
      </c>
      <c r="AV2698">
        <v>232</v>
      </c>
      <c r="AW2698">
        <v>159</v>
      </c>
      <c r="AX2698" t="s">
        <v>4637</v>
      </c>
      <c r="AY2698">
        <v>6.7150000000000001E-2</v>
      </c>
      <c r="AZ2698">
        <v>-1.7799999999999999E-3</v>
      </c>
      <c r="BA2698">
        <v>1.235E-2</v>
      </c>
      <c r="BB2698">
        <v>-3.2000000000000003E-4</v>
      </c>
      <c r="BC2698">
        <v>0.18395</v>
      </c>
      <c r="BD2698">
        <v>1</v>
      </c>
      <c r="BE2698" t="s">
        <v>69</v>
      </c>
      <c r="BF2698">
        <v>-0.41499999999999998</v>
      </c>
      <c r="BG2698">
        <v>-0.50800000000000001</v>
      </c>
    </row>
    <row r="2699" spans="1:59">
      <c r="A2699">
        <v>0</v>
      </c>
      <c r="B2699">
        <v>8</v>
      </c>
      <c r="C2699">
        <v>0</v>
      </c>
      <c r="D2699" t="s">
        <v>25022</v>
      </c>
      <c r="E2699">
        <v>1765</v>
      </c>
      <c r="F2699" t="s">
        <v>11052</v>
      </c>
      <c r="G2699" t="s">
        <v>57</v>
      </c>
      <c r="H2699">
        <v>1775745</v>
      </c>
      <c r="I2699">
        <v>1778318</v>
      </c>
      <c r="J2699" t="s">
        <v>11053</v>
      </c>
      <c r="K2699">
        <v>858</v>
      </c>
      <c r="L2699" t="s">
        <v>108</v>
      </c>
      <c r="M2699">
        <v>44</v>
      </c>
      <c r="N2699" t="str">
        <f>HYPERLINK("Gene1765-zp_tree_all.dnd", "Gene1765-tree")</f>
        <v>Gene1765-tree</v>
      </c>
      <c r="O2699">
        <v>9</v>
      </c>
      <c r="P2699">
        <v>7</v>
      </c>
      <c r="Q2699">
        <v>9</v>
      </c>
      <c r="R2699">
        <v>7</v>
      </c>
      <c r="S2699">
        <v>0.4375</v>
      </c>
      <c r="T2699" t="s">
        <v>135</v>
      </c>
      <c r="U2699" t="s">
        <v>152</v>
      </c>
      <c r="V2699" t="s">
        <v>62</v>
      </c>
      <c r="W2699" t="s">
        <v>62</v>
      </c>
      <c r="X2699">
        <v>3</v>
      </c>
      <c r="Y2699">
        <v>8</v>
      </c>
      <c r="Z2699">
        <v>11</v>
      </c>
      <c r="AA2699">
        <v>0.42104999999999998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5</v>
      </c>
      <c r="AH2699">
        <v>0</v>
      </c>
      <c r="AI2699">
        <v>5</v>
      </c>
      <c r="AJ2699">
        <v>8</v>
      </c>
      <c r="AK2699">
        <v>0.38462000000000002</v>
      </c>
      <c r="AL2699">
        <v>13</v>
      </c>
      <c r="AM2699">
        <v>12</v>
      </c>
      <c r="AN2699">
        <v>78</v>
      </c>
      <c r="AO2699">
        <v>16</v>
      </c>
      <c r="AP2699">
        <v>58</v>
      </c>
      <c r="AQ2699">
        <v>6</v>
      </c>
      <c r="AR2699" t="s">
        <v>11054</v>
      </c>
      <c r="AS2699" t="s">
        <v>11055</v>
      </c>
      <c r="AT2699">
        <v>0.69499999999999995</v>
      </c>
      <c r="AU2699" t="s">
        <v>65</v>
      </c>
      <c r="AV2699">
        <v>136</v>
      </c>
      <c r="AW2699">
        <v>22</v>
      </c>
      <c r="AX2699" t="s">
        <v>11056</v>
      </c>
      <c r="AY2699">
        <v>4.385E-2</v>
      </c>
      <c r="AZ2699">
        <v>-1.2999999999999999E-3</v>
      </c>
      <c r="BA2699">
        <v>1.8699999999999999E-3</v>
      </c>
      <c r="BB2699">
        <v>-9.0000000000000006E-5</v>
      </c>
      <c r="BC2699">
        <v>4.2590000000000003E-2</v>
      </c>
      <c r="BD2699">
        <v>1</v>
      </c>
      <c r="BE2699" t="s">
        <v>69</v>
      </c>
      <c r="BF2699">
        <v>-0.30199999999999999</v>
      </c>
      <c r="BG2699">
        <v>-0.35199999999999998</v>
      </c>
    </row>
    <row r="2700" spans="1:59">
      <c r="A2700">
        <v>0</v>
      </c>
      <c r="B2700">
        <v>25</v>
      </c>
      <c r="C2700">
        <v>3</v>
      </c>
      <c r="D2700" t="s">
        <v>25022</v>
      </c>
      <c r="E2700">
        <v>894</v>
      </c>
      <c r="F2700" t="s">
        <v>5582</v>
      </c>
      <c r="G2700" t="s">
        <v>57</v>
      </c>
      <c r="H2700">
        <v>931879</v>
      </c>
      <c r="I2700">
        <v>934461</v>
      </c>
      <c r="J2700" t="s">
        <v>4672</v>
      </c>
      <c r="K2700">
        <v>861</v>
      </c>
      <c r="L2700" t="s">
        <v>265</v>
      </c>
      <c r="M2700">
        <v>43</v>
      </c>
      <c r="N2700" t="str">
        <f>HYPERLINK("Gene894-zp_tree_all.dnd", "Gene894-tree")</f>
        <v>Gene894-tree</v>
      </c>
      <c r="O2700">
        <v>0</v>
      </c>
      <c r="P2700">
        <v>16</v>
      </c>
      <c r="Q2700">
        <v>0</v>
      </c>
      <c r="R2700">
        <v>16</v>
      </c>
      <c r="S2700">
        <v>1</v>
      </c>
      <c r="T2700" t="s">
        <v>62</v>
      </c>
      <c r="U2700" t="s">
        <v>60</v>
      </c>
      <c r="V2700" t="s">
        <v>62</v>
      </c>
      <c r="W2700" t="s">
        <v>62</v>
      </c>
      <c r="X2700">
        <v>12</v>
      </c>
      <c r="Y2700">
        <v>28</v>
      </c>
      <c r="Z2700">
        <v>28</v>
      </c>
      <c r="AA2700">
        <v>0.5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14</v>
      </c>
      <c r="AH2700">
        <v>2</v>
      </c>
      <c r="AI2700">
        <v>16</v>
      </c>
      <c r="AJ2700">
        <v>21</v>
      </c>
      <c r="AK2700">
        <v>0.43242999999999998</v>
      </c>
      <c r="AL2700">
        <v>14</v>
      </c>
      <c r="AM2700">
        <v>13</v>
      </c>
      <c r="AN2700">
        <v>46</v>
      </c>
      <c r="AO2700">
        <v>35</v>
      </c>
      <c r="AP2700">
        <v>59</v>
      </c>
      <c r="AQ2700">
        <v>21</v>
      </c>
      <c r="AR2700" t="s">
        <v>5583</v>
      </c>
      <c r="AS2700" t="s">
        <v>5584</v>
      </c>
      <c r="AT2700">
        <v>2.153</v>
      </c>
      <c r="AU2700" t="s">
        <v>267</v>
      </c>
      <c r="AV2700">
        <v>105</v>
      </c>
      <c r="AW2700">
        <v>56</v>
      </c>
      <c r="AX2700" t="s">
        <v>5585</v>
      </c>
      <c r="AY2700">
        <v>3.4029999999999998E-2</v>
      </c>
      <c r="AZ2700">
        <v>-1.1999999999999999E-3</v>
      </c>
      <c r="BA2700">
        <v>5.0499999999999998E-3</v>
      </c>
      <c r="BB2700">
        <v>-1.7000000000000001E-4</v>
      </c>
      <c r="BC2700">
        <v>0.14831</v>
      </c>
      <c r="BD2700">
        <v>1</v>
      </c>
      <c r="BE2700" t="s">
        <v>69</v>
      </c>
      <c r="BF2700">
        <v>-0.10100000000000001</v>
      </c>
      <c r="BG2700">
        <v>-0.69</v>
      </c>
    </row>
    <row r="2701" spans="1:59">
      <c r="A2701">
        <v>0</v>
      </c>
      <c r="B2701">
        <v>31</v>
      </c>
      <c r="C2701">
        <v>4</v>
      </c>
      <c r="D2701" t="s">
        <v>25022</v>
      </c>
      <c r="E2701">
        <v>1956</v>
      </c>
      <c r="F2701" t="s">
        <v>12250</v>
      </c>
      <c r="G2701" t="s">
        <v>62</v>
      </c>
      <c r="H2701">
        <v>2051332</v>
      </c>
      <c r="I2701">
        <v>2053929</v>
      </c>
      <c r="J2701" t="s">
        <v>12251</v>
      </c>
      <c r="K2701">
        <v>866</v>
      </c>
      <c r="L2701" t="s">
        <v>12252</v>
      </c>
      <c r="M2701">
        <v>36</v>
      </c>
      <c r="N2701" t="str">
        <f>HYPERLINK("Gene1956-zp_tree_all.dnd", "Gene1956-tree")</f>
        <v>Gene1956-tree</v>
      </c>
      <c r="O2701">
        <v>0</v>
      </c>
      <c r="P2701">
        <v>11</v>
      </c>
      <c r="Q2701">
        <v>0</v>
      </c>
      <c r="R2701">
        <v>11</v>
      </c>
      <c r="S2701">
        <v>1</v>
      </c>
      <c r="T2701" t="s">
        <v>62</v>
      </c>
      <c r="U2701" t="s">
        <v>73</v>
      </c>
      <c r="V2701">
        <v>114461263.029</v>
      </c>
      <c r="W2701" t="s">
        <v>65</v>
      </c>
      <c r="X2701">
        <v>16</v>
      </c>
      <c r="Y2701">
        <v>35</v>
      </c>
      <c r="Z2701">
        <v>61</v>
      </c>
      <c r="AA2701">
        <v>0.36458000000000002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6</v>
      </c>
      <c r="AH2701">
        <v>4</v>
      </c>
      <c r="AI2701">
        <v>10</v>
      </c>
      <c r="AJ2701">
        <v>57</v>
      </c>
      <c r="AK2701">
        <v>0.14924999999999999</v>
      </c>
      <c r="AL2701">
        <v>11</v>
      </c>
      <c r="AM2701">
        <v>8</v>
      </c>
      <c r="AN2701">
        <v>107</v>
      </c>
      <c r="AO2701">
        <v>68</v>
      </c>
      <c r="AP2701">
        <v>36</v>
      </c>
      <c r="AQ2701">
        <v>30</v>
      </c>
      <c r="AR2701" t="s">
        <v>12253</v>
      </c>
      <c r="AS2701" t="s">
        <v>12254</v>
      </c>
      <c r="AT2701">
        <v>0.58499999999999996</v>
      </c>
      <c r="AU2701" t="s">
        <v>65</v>
      </c>
      <c r="AV2701">
        <v>143</v>
      </c>
      <c r="AW2701">
        <v>98</v>
      </c>
      <c r="AX2701" t="s">
        <v>12255</v>
      </c>
      <c r="AY2701">
        <v>5.321E-2</v>
      </c>
      <c r="AZ2701">
        <v>-2.99E-3</v>
      </c>
      <c r="BA2701">
        <v>1.074E-2</v>
      </c>
      <c r="BB2701">
        <v>-4.8999999999999998E-4</v>
      </c>
      <c r="BC2701">
        <v>0.20188999999999999</v>
      </c>
      <c r="BD2701">
        <v>1</v>
      </c>
      <c r="BE2701" t="s">
        <v>69</v>
      </c>
      <c r="BF2701">
        <v>-0.88400000000000001</v>
      </c>
      <c r="BG2701">
        <v>-1.752</v>
      </c>
    </row>
    <row r="2702" spans="1:59">
      <c r="A2702">
        <v>2</v>
      </c>
      <c r="B2702">
        <v>35</v>
      </c>
      <c r="C2702">
        <v>7</v>
      </c>
      <c r="D2702" t="s">
        <v>25022</v>
      </c>
      <c r="E2702">
        <v>184</v>
      </c>
      <c r="F2702" t="s">
        <v>1295</v>
      </c>
      <c r="G2702" t="s">
        <v>57</v>
      </c>
      <c r="H2702">
        <v>206941</v>
      </c>
      <c r="I2702">
        <v>209553</v>
      </c>
      <c r="J2702" t="s">
        <v>1296</v>
      </c>
      <c r="K2702">
        <v>871</v>
      </c>
      <c r="L2702" t="s">
        <v>1297</v>
      </c>
      <c r="M2702">
        <v>42</v>
      </c>
      <c r="N2702" t="str">
        <f>HYPERLINK("Gene184-zp_tree_all.dnd", "Gene184-tree")</f>
        <v>Gene184-tree</v>
      </c>
      <c r="O2702">
        <v>1</v>
      </c>
      <c r="P2702">
        <v>15</v>
      </c>
      <c r="Q2702">
        <v>1</v>
      </c>
      <c r="R2702">
        <v>15</v>
      </c>
      <c r="S2702">
        <v>0.9375</v>
      </c>
      <c r="T2702" t="s">
        <v>175</v>
      </c>
      <c r="U2702" t="s">
        <v>100</v>
      </c>
      <c r="V2702" t="s">
        <v>62</v>
      </c>
      <c r="W2702" t="s">
        <v>62</v>
      </c>
      <c r="X2702">
        <v>16</v>
      </c>
      <c r="Y2702">
        <v>44</v>
      </c>
      <c r="Z2702">
        <v>37</v>
      </c>
      <c r="AA2702">
        <v>0.54320999999999997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18</v>
      </c>
      <c r="AH2702">
        <v>6</v>
      </c>
      <c r="AI2702">
        <v>24</v>
      </c>
      <c r="AJ2702">
        <v>36</v>
      </c>
      <c r="AK2702">
        <v>0.4</v>
      </c>
      <c r="AL2702">
        <v>15</v>
      </c>
      <c r="AM2702">
        <v>11</v>
      </c>
      <c r="AN2702">
        <v>102</v>
      </c>
      <c r="AO2702">
        <v>62</v>
      </c>
      <c r="AP2702">
        <v>47</v>
      </c>
      <c r="AQ2702">
        <v>23</v>
      </c>
      <c r="AR2702" t="s">
        <v>1298</v>
      </c>
      <c r="AS2702" t="s">
        <v>1299</v>
      </c>
      <c r="AT2702">
        <v>0.39500000000000002</v>
      </c>
      <c r="AU2702" t="s">
        <v>65</v>
      </c>
      <c r="AV2702">
        <v>149</v>
      </c>
      <c r="AW2702">
        <v>85</v>
      </c>
      <c r="AX2702" t="s">
        <v>1300</v>
      </c>
      <c r="AY2702">
        <v>4.2450000000000002E-2</v>
      </c>
      <c r="AZ2702">
        <v>-1.34E-3</v>
      </c>
      <c r="BA2702">
        <v>6.0299999999999998E-3</v>
      </c>
      <c r="BB2702">
        <v>-2.7E-4</v>
      </c>
      <c r="BC2702">
        <v>0.14202000000000001</v>
      </c>
      <c r="BD2702">
        <v>1</v>
      </c>
      <c r="BE2702" t="s">
        <v>69</v>
      </c>
      <c r="BF2702">
        <v>-0.67700000000000005</v>
      </c>
      <c r="BG2702">
        <v>-1.456</v>
      </c>
    </row>
    <row r="2703" spans="1:59">
      <c r="A2703">
        <v>0</v>
      </c>
      <c r="B2703">
        <v>12</v>
      </c>
      <c r="C2703">
        <v>0</v>
      </c>
      <c r="D2703" t="s">
        <v>25022</v>
      </c>
      <c r="E2703">
        <v>2853</v>
      </c>
      <c r="F2703" t="s">
        <v>16392</v>
      </c>
      <c r="G2703" t="s">
        <v>62</v>
      </c>
      <c r="H2703">
        <v>2798177</v>
      </c>
      <c r="I2703">
        <v>2800810</v>
      </c>
      <c r="J2703" t="s">
        <v>16393</v>
      </c>
      <c r="K2703">
        <v>878</v>
      </c>
      <c r="L2703" t="s">
        <v>108</v>
      </c>
      <c r="M2703">
        <v>44</v>
      </c>
      <c r="N2703" t="str">
        <f>HYPERLINK("Gene2853-zp_tree_all.dnd", "Gene2853-tree")</f>
        <v>Gene2853-tree</v>
      </c>
      <c r="O2703">
        <v>4</v>
      </c>
      <c r="P2703">
        <v>9</v>
      </c>
      <c r="Q2703">
        <v>4</v>
      </c>
      <c r="R2703">
        <v>9</v>
      </c>
      <c r="S2703">
        <v>0.69230999999999998</v>
      </c>
      <c r="T2703" t="s">
        <v>61</v>
      </c>
      <c r="U2703" t="s">
        <v>135</v>
      </c>
      <c r="V2703" t="s">
        <v>62</v>
      </c>
      <c r="W2703" t="s">
        <v>62</v>
      </c>
      <c r="X2703">
        <v>4</v>
      </c>
      <c r="Y2703">
        <v>12</v>
      </c>
      <c r="Z2703">
        <v>15</v>
      </c>
      <c r="AA2703">
        <v>0.44444</v>
      </c>
      <c r="AB2703">
        <v>0</v>
      </c>
      <c r="AC2703">
        <v>0</v>
      </c>
      <c r="AD2703">
        <v>0</v>
      </c>
      <c r="AE2703">
        <v>4</v>
      </c>
      <c r="AF2703">
        <v>0</v>
      </c>
      <c r="AG2703">
        <v>9</v>
      </c>
      <c r="AH2703">
        <v>0</v>
      </c>
      <c r="AI2703">
        <v>9</v>
      </c>
      <c r="AJ2703">
        <v>8</v>
      </c>
      <c r="AK2703">
        <v>0.52941000000000005</v>
      </c>
      <c r="AL2703">
        <v>12</v>
      </c>
      <c r="AM2703">
        <v>8</v>
      </c>
      <c r="AN2703">
        <v>62</v>
      </c>
      <c r="AO2703">
        <v>17</v>
      </c>
      <c r="AP2703">
        <v>28</v>
      </c>
      <c r="AQ2703">
        <v>10</v>
      </c>
      <c r="AR2703" t="s">
        <v>16394</v>
      </c>
      <c r="AS2703" t="s">
        <v>16395</v>
      </c>
      <c r="AT2703">
        <v>0.45600000000000002</v>
      </c>
      <c r="AU2703" t="s">
        <v>65</v>
      </c>
      <c r="AV2703">
        <v>90</v>
      </c>
      <c r="AW2703">
        <v>27</v>
      </c>
      <c r="AX2703" t="s">
        <v>16396</v>
      </c>
      <c r="AY2703">
        <v>2.8219999999999999E-2</v>
      </c>
      <c r="AZ2703">
        <v>-1.0399999999999999E-3</v>
      </c>
      <c r="BA2703">
        <v>2.6099999999999999E-3</v>
      </c>
      <c r="BB2703">
        <v>-1.4999999999999999E-4</v>
      </c>
      <c r="BC2703">
        <v>9.239E-2</v>
      </c>
      <c r="BD2703">
        <v>1</v>
      </c>
      <c r="BE2703" t="s">
        <v>69</v>
      </c>
      <c r="BF2703">
        <v>-0.76700000000000002</v>
      </c>
      <c r="BG2703">
        <v>-0.32600000000000001</v>
      </c>
    </row>
    <row r="2704" spans="1:59">
      <c r="A2704">
        <v>0</v>
      </c>
      <c r="B2704">
        <v>33</v>
      </c>
      <c r="C2704">
        <v>5</v>
      </c>
      <c r="D2704" t="s">
        <v>25022</v>
      </c>
      <c r="E2704">
        <v>3710</v>
      </c>
      <c r="F2704" t="s">
        <v>21730</v>
      </c>
      <c r="G2704" t="s">
        <v>62</v>
      </c>
      <c r="H2704">
        <v>3684829</v>
      </c>
      <c r="I2704">
        <v>3687468</v>
      </c>
      <c r="J2704" t="s">
        <v>21731</v>
      </c>
      <c r="K2704">
        <v>880</v>
      </c>
      <c r="L2704" t="s">
        <v>108</v>
      </c>
      <c r="M2704">
        <v>44</v>
      </c>
      <c r="N2704" t="str">
        <f>HYPERLINK("Gene3710-zp_tree_all.dnd", "Gene3710-tree")</f>
        <v>Gene3710-tree</v>
      </c>
      <c r="O2704">
        <v>2</v>
      </c>
      <c r="P2704">
        <v>13</v>
      </c>
      <c r="Q2704">
        <v>2</v>
      </c>
      <c r="R2704">
        <v>13</v>
      </c>
      <c r="S2704">
        <v>0.86667000000000005</v>
      </c>
      <c r="T2704" t="s">
        <v>81</v>
      </c>
      <c r="U2704" t="s">
        <v>507</v>
      </c>
      <c r="V2704" t="s">
        <v>62</v>
      </c>
      <c r="W2704" t="s">
        <v>62</v>
      </c>
      <c r="X2704">
        <v>15</v>
      </c>
      <c r="Y2704">
        <v>38</v>
      </c>
      <c r="Z2704">
        <v>44</v>
      </c>
      <c r="AA2704">
        <v>0.46340999999999999</v>
      </c>
      <c r="AB2704">
        <v>0</v>
      </c>
      <c r="AC2704">
        <v>0</v>
      </c>
      <c r="AD2704">
        <v>0</v>
      </c>
      <c r="AE2704">
        <v>12</v>
      </c>
      <c r="AF2704">
        <v>0</v>
      </c>
      <c r="AG2704">
        <v>14</v>
      </c>
      <c r="AH2704">
        <v>0</v>
      </c>
      <c r="AI2704">
        <v>14</v>
      </c>
      <c r="AJ2704">
        <v>38</v>
      </c>
      <c r="AK2704">
        <v>0.26923000000000002</v>
      </c>
      <c r="AL2704">
        <v>14</v>
      </c>
      <c r="AM2704">
        <v>12</v>
      </c>
      <c r="AN2704">
        <v>117</v>
      </c>
      <c r="AO2704">
        <v>55</v>
      </c>
      <c r="AP2704">
        <v>75</v>
      </c>
      <c r="AQ2704">
        <v>31</v>
      </c>
      <c r="AR2704" t="s">
        <v>21732</v>
      </c>
      <c r="AS2704" t="s">
        <v>21733</v>
      </c>
      <c r="AT2704">
        <v>0.14699999999999999</v>
      </c>
      <c r="AU2704" t="s">
        <v>65</v>
      </c>
      <c r="AV2704">
        <v>192</v>
      </c>
      <c r="AW2704">
        <v>86</v>
      </c>
      <c r="AX2704" t="s">
        <v>21734</v>
      </c>
      <c r="AY2704">
        <v>5.1740000000000001E-2</v>
      </c>
      <c r="AZ2704">
        <v>-1.6299999999999999E-3</v>
      </c>
      <c r="BA2704">
        <v>6.94E-3</v>
      </c>
      <c r="BB2704">
        <v>-2.7E-4</v>
      </c>
      <c r="BC2704">
        <v>0.13411999999999999</v>
      </c>
      <c r="BD2704">
        <v>1</v>
      </c>
      <c r="BE2704" t="s">
        <v>69</v>
      </c>
      <c r="BF2704">
        <v>-0.80200000000000005</v>
      </c>
      <c r="BG2704">
        <v>-1.7629999999999999</v>
      </c>
    </row>
    <row r="2705" spans="1:59">
      <c r="A2705">
        <v>0</v>
      </c>
      <c r="B2705">
        <v>6</v>
      </c>
      <c r="C2705">
        <v>0</v>
      </c>
      <c r="D2705" t="s">
        <v>25022</v>
      </c>
      <c r="E2705">
        <v>3025</v>
      </c>
      <c r="F2705" t="s">
        <v>17486</v>
      </c>
      <c r="G2705" t="s">
        <v>62</v>
      </c>
      <c r="H2705">
        <v>2973185</v>
      </c>
      <c r="I2705">
        <v>2975824</v>
      </c>
      <c r="J2705" t="s">
        <v>17487</v>
      </c>
      <c r="K2705">
        <v>880</v>
      </c>
      <c r="L2705" t="s">
        <v>108</v>
      </c>
      <c r="M2705">
        <v>44</v>
      </c>
      <c r="N2705" t="str">
        <f>HYPERLINK("Gene3025-zp_tree_all.dnd", "Gene3025-tree")</f>
        <v>Gene3025-tree</v>
      </c>
      <c r="O2705">
        <v>6</v>
      </c>
      <c r="P2705">
        <v>7</v>
      </c>
      <c r="Q2705">
        <v>6</v>
      </c>
      <c r="R2705">
        <v>7</v>
      </c>
      <c r="S2705">
        <v>0.53846000000000005</v>
      </c>
      <c r="T2705" t="s">
        <v>90</v>
      </c>
      <c r="U2705" t="s">
        <v>152</v>
      </c>
      <c r="V2705" t="s">
        <v>62</v>
      </c>
      <c r="W2705" t="s">
        <v>62</v>
      </c>
      <c r="X2705">
        <v>3</v>
      </c>
      <c r="Y2705">
        <v>6</v>
      </c>
      <c r="Z2705">
        <v>9</v>
      </c>
      <c r="AA2705">
        <v>0.4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11</v>
      </c>
      <c r="AK2705">
        <v>0</v>
      </c>
      <c r="AL2705">
        <v>13</v>
      </c>
      <c r="AM2705">
        <v>10</v>
      </c>
      <c r="AN2705">
        <v>62</v>
      </c>
      <c r="AO2705">
        <v>12</v>
      </c>
      <c r="AP2705">
        <v>23</v>
      </c>
      <c r="AQ2705">
        <v>4</v>
      </c>
      <c r="AR2705" t="s">
        <v>17488</v>
      </c>
      <c r="AS2705" t="s">
        <v>17489</v>
      </c>
      <c r="AT2705">
        <v>8.5999999999999993E-2</v>
      </c>
      <c r="AU2705" t="s">
        <v>65</v>
      </c>
      <c r="AV2705">
        <v>85</v>
      </c>
      <c r="AW2705">
        <v>16</v>
      </c>
      <c r="AX2705" t="s">
        <v>17490</v>
      </c>
      <c r="AY2705">
        <v>2.3230000000000001E-2</v>
      </c>
      <c r="AZ2705">
        <v>-9.2000000000000003E-4</v>
      </c>
      <c r="BA2705">
        <v>1.5200000000000001E-3</v>
      </c>
      <c r="BB2705">
        <v>-9.0000000000000006E-5</v>
      </c>
      <c r="BC2705">
        <v>6.5479999999999997E-2</v>
      </c>
      <c r="BD2705">
        <v>1</v>
      </c>
      <c r="BE2705" t="s">
        <v>69</v>
      </c>
      <c r="BF2705">
        <v>-1.125</v>
      </c>
      <c r="BG2705">
        <v>-2.3769999999999998</v>
      </c>
    </row>
    <row r="2706" spans="1:59">
      <c r="A2706">
        <v>0</v>
      </c>
      <c r="B2706">
        <v>0</v>
      </c>
      <c r="C2706">
        <v>0</v>
      </c>
      <c r="D2706" t="s">
        <v>25022</v>
      </c>
      <c r="E2706">
        <v>2925</v>
      </c>
      <c r="F2706" t="s">
        <v>16850</v>
      </c>
      <c r="G2706" t="s">
        <v>62</v>
      </c>
      <c r="H2706">
        <v>2866667</v>
      </c>
      <c r="I2706">
        <v>2869306</v>
      </c>
      <c r="J2706" t="s">
        <v>16851</v>
      </c>
      <c r="K2706">
        <v>880</v>
      </c>
      <c r="L2706" t="s">
        <v>108</v>
      </c>
      <c r="M2706">
        <v>44</v>
      </c>
      <c r="N2706" t="str">
        <f>HYPERLINK("Gene2925-zp_tree_all.dnd", "Gene2925-tree")</f>
        <v>Gene2925-tree</v>
      </c>
      <c r="O2706">
        <v>10</v>
      </c>
      <c r="P2706">
        <v>5</v>
      </c>
      <c r="Q2706">
        <v>10</v>
      </c>
      <c r="R2706">
        <v>5</v>
      </c>
      <c r="S2706">
        <v>0.33333000000000002</v>
      </c>
      <c r="T2706" t="s">
        <v>117</v>
      </c>
      <c r="U2706" t="s">
        <v>199</v>
      </c>
      <c r="V2706" t="s">
        <v>62</v>
      </c>
      <c r="W2706" t="s">
        <v>62</v>
      </c>
      <c r="X2706">
        <v>0</v>
      </c>
      <c r="Y2706">
        <v>0</v>
      </c>
      <c r="Z2706">
        <v>17</v>
      </c>
      <c r="AA2706">
        <v>0</v>
      </c>
      <c r="AB2706">
        <v>0</v>
      </c>
      <c r="AC2706">
        <v>0</v>
      </c>
      <c r="AD2706">
        <v>0</v>
      </c>
      <c r="AE2706">
        <v>4</v>
      </c>
      <c r="AF2706">
        <v>0</v>
      </c>
      <c r="AG2706">
        <v>0</v>
      </c>
      <c r="AH2706">
        <v>0</v>
      </c>
      <c r="AI2706">
        <v>0</v>
      </c>
      <c r="AJ2706">
        <v>11</v>
      </c>
      <c r="AK2706">
        <v>0</v>
      </c>
      <c r="AL2706">
        <v>12</v>
      </c>
      <c r="AM2706">
        <v>10</v>
      </c>
      <c r="AN2706">
        <v>64</v>
      </c>
      <c r="AO2706">
        <v>12</v>
      </c>
      <c r="AP2706">
        <v>37</v>
      </c>
      <c r="AQ2706">
        <v>6</v>
      </c>
      <c r="AR2706" t="s">
        <v>16852</v>
      </c>
      <c r="AS2706" t="s">
        <v>16853</v>
      </c>
      <c r="AT2706">
        <v>0.122</v>
      </c>
      <c r="AU2706" t="s">
        <v>65</v>
      </c>
      <c r="AV2706">
        <v>101</v>
      </c>
      <c r="AW2706">
        <v>18</v>
      </c>
      <c r="AX2706" t="s">
        <v>16854</v>
      </c>
      <c r="AY2706">
        <v>3.0970000000000001E-2</v>
      </c>
      <c r="AZ2706">
        <v>-1.23E-3</v>
      </c>
      <c r="BA2706">
        <v>1.5100000000000001E-3</v>
      </c>
      <c r="BB2706">
        <v>-9.0000000000000006E-5</v>
      </c>
      <c r="BC2706">
        <v>4.8619999999999997E-2</v>
      </c>
      <c r="BD2706">
        <v>1</v>
      </c>
      <c r="BE2706" t="s">
        <v>69</v>
      </c>
      <c r="BF2706">
        <v>-0.67400000000000004</v>
      </c>
      <c r="BG2706">
        <v>-2.048</v>
      </c>
    </row>
    <row r="2707" spans="1:59">
      <c r="A2707">
        <v>2</v>
      </c>
      <c r="B2707">
        <v>29</v>
      </c>
      <c r="C2707">
        <v>2</v>
      </c>
      <c r="D2707" t="s">
        <v>25022</v>
      </c>
      <c r="E2707">
        <v>583</v>
      </c>
      <c r="F2707" t="s">
        <v>3751</v>
      </c>
      <c r="G2707" t="s">
        <v>57</v>
      </c>
      <c r="H2707">
        <v>609388</v>
      </c>
      <c r="I2707">
        <v>612042</v>
      </c>
      <c r="J2707" t="s">
        <v>3752</v>
      </c>
      <c r="K2707">
        <v>885</v>
      </c>
      <c r="L2707" t="s">
        <v>108</v>
      </c>
      <c r="M2707">
        <v>44</v>
      </c>
      <c r="N2707" t="str">
        <f>HYPERLINK("Gene583-zp_tree_all.dnd", "Gene583-tree")</f>
        <v>Gene583-tree</v>
      </c>
      <c r="O2707">
        <v>1</v>
      </c>
      <c r="P2707">
        <v>14</v>
      </c>
      <c r="Q2707">
        <v>1</v>
      </c>
      <c r="R2707">
        <v>14</v>
      </c>
      <c r="S2707">
        <v>0.93332999999999999</v>
      </c>
      <c r="T2707" t="s">
        <v>175</v>
      </c>
      <c r="U2707" t="s">
        <v>543</v>
      </c>
      <c r="V2707">
        <v>1865302226.941</v>
      </c>
      <c r="W2707" t="s">
        <v>267</v>
      </c>
      <c r="X2707">
        <v>11</v>
      </c>
      <c r="Y2707">
        <v>33</v>
      </c>
      <c r="Z2707">
        <v>34</v>
      </c>
      <c r="AA2707">
        <v>0.49253999999999998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16</v>
      </c>
      <c r="AH2707">
        <v>1</v>
      </c>
      <c r="AI2707">
        <v>17</v>
      </c>
      <c r="AJ2707">
        <v>27</v>
      </c>
      <c r="AK2707">
        <v>0.38635999999999998</v>
      </c>
      <c r="AL2707">
        <v>15</v>
      </c>
      <c r="AM2707">
        <v>12</v>
      </c>
      <c r="AN2707">
        <v>137</v>
      </c>
      <c r="AO2707">
        <v>44</v>
      </c>
      <c r="AP2707">
        <v>98</v>
      </c>
      <c r="AQ2707">
        <v>24</v>
      </c>
      <c r="AR2707" t="s">
        <v>3753</v>
      </c>
      <c r="AS2707" t="s">
        <v>3754</v>
      </c>
      <c r="AT2707">
        <v>0.41099999999999998</v>
      </c>
      <c r="AU2707" t="s">
        <v>65</v>
      </c>
      <c r="AV2707">
        <v>235</v>
      </c>
      <c r="AW2707">
        <v>68</v>
      </c>
      <c r="AX2707" t="s">
        <v>3755</v>
      </c>
      <c r="AY2707">
        <v>6.4829999999999999E-2</v>
      </c>
      <c r="AZ2707">
        <v>-3.4099999999999998E-3</v>
      </c>
      <c r="BA2707">
        <v>5.7099999999999998E-3</v>
      </c>
      <c r="BB2707">
        <v>-2.4000000000000001E-4</v>
      </c>
      <c r="BC2707">
        <v>8.8029999999999997E-2</v>
      </c>
      <c r="BD2707">
        <v>1</v>
      </c>
      <c r="BE2707" t="s">
        <v>69</v>
      </c>
      <c r="BF2707">
        <v>-0.74399999999999999</v>
      </c>
      <c r="BG2707">
        <v>-1.5940000000000001</v>
      </c>
    </row>
    <row r="2708" spans="1:59">
      <c r="A2708">
        <v>0</v>
      </c>
      <c r="B2708">
        <v>0</v>
      </c>
      <c r="C2708">
        <v>2</v>
      </c>
      <c r="D2708" t="s">
        <v>25022</v>
      </c>
      <c r="E2708">
        <v>1626</v>
      </c>
      <c r="F2708" t="s">
        <v>10188</v>
      </c>
      <c r="G2708" t="s">
        <v>57</v>
      </c>
      <c r="H2708">
        <v>1637965</v>
      </c>
      <c r="I2708">
        <v>1640634</v>
      </c>
      <c r="J2708" t="s">
        <v>10189</v>
      </c>
      <c r="K2708">
        <v>890</v>
      </c>
      <c r="L2708" t="s">
        <v>108</v>
      </c>
      <c r="M2708">
        <v>44</v>
      </c>
      <c r="N2708" t="str">
        <f>HYPERLINK("Gene1626-zp_tree_all.dnd", "Gene1626-tree")</f>
        <v>Gene1626-tree</v>
      </c>
      <c r="O2708">
        <v>9</v>
      </c>
      <c r="P2708">
        <v>7</v>
      </c>
      <c r="Q2708">
        <v>9</v>
      </c>
      <c r="R2708">
        <v>7</v>
      </c>
      <c r="S2708">
        <v>0.4375</v>
      </c>
      <c r="T2708" t="s">
        <v>135</v>
      </c>
      <c r="U2708" t="s">
        <v>152</v>
      </c>
      <c r="V2708" t="s">
        <v>62</v>
      </c>
      <c r="W2708" t="s">
        <v>62</v>
      </c>
      <c r="X2708">
        <v>1</v>
      </c>
      <c r="Y2708">
        <v>2</v>
      </c>
      <c r="Z2708">
        <v>9</v>
      </c>
      <c r="AA2708">
        <v>0.18182000000000001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2</v>
      </c>
      <c r="AI2708">
        <v>2</v>
      </c>
      <c r="AJ2708">
        <v>4</v>
      </c>
      <c r="AK2708">
        <v>0.33333000000000002</v>
      </c>
      <c r="AL2708">
        <v>12</v>
      </c>
      <c r="AM2708">
        <v>13</v>
      </c>
      <c r="AN2708">
        <v>66</v>
      </c>
      <c r="AO2708">
        <v>5</v>
      </c>
      <c r="AP2708">
        <v>78</v>
      </c>
      <c r="AQ2708">
        <v>6</v>
      </c>
      <c r="AR2708" t="s">
        <v>10190</v>
      </c>
      <c r="AS2708" t="s">
        <v>10191</v>
      </c>
      <c r="AT2708">
        <v>1.6E-2</v>
      </c>
      <c r="AU2708" t="s">
        <v>65</v>
      </c>
      <c r="AV2708">
        <v>144</v>
      </c>
      <c r="AW2708">
        <v>11</v>
      </c>
      <c r="AX2708" t="s">
        <v>10192</v>
      </c>
      <c r="AY2708">
        <v>4.1860000000000001E-2</v>
      </c>
      <c r="AZ2708">
        <v>-1.2700000000000001E-3</v>
      </c>
      <c r="BA2708">
        <v>1.1999999999999999E-3</v>
      </c>
      <c r="BB2708">
        <v>-5.0000000000000002E-5</v>
      </c>
      <c r="BC2708">
        <v>2.8680000000000001E-2</v>
      </c>
      <c r="BD2708">
        <v>1</v>
      </c>
      <c r="BE2708" t="s">
        <v>69</v>
      </c>
      <c r="BF2708">
        <v>7.9000000000000001E-2</v>
      </c>
      <c r="BG2708">
        <v>-0.254</v>
      </c>
    </row>
    <row r="2709" spans="1:59">
      <c r="A2709">
        <v>0</v>
      </c>
      <c r="B2709">
        <v>22</v>
      </c>
      <c r="C2709">
        <v>0</v>
      </c>
      <c r="D2709" t="s">
        <v>25022</v>
      </c>
      <c r="E2709">
        <v>1112</v>
      </c>
      <c r="F2709" t="s">
        <v>6991</v>
      </c>
      <c r="G2709" t="s">
        <v>57</v>
      </c>
      <c r="H2709">
        <v>1153789</v>
      </c>
      <c r="I2709">
        <v>1156470</v>
      </c>
      <c r="J2709" t="s">
        <v>6992</v>
      </c>
      <c r="K2709">
        <v>894</v>
      </c>
      <c r="L2709" t="s">
        <v>5228</v>
      </c>
      <c r="M2709">
        <v>43</v>
      </c>
      <c r="N2709" t="str">
        <f>HYPERLINK("Gene1112-zp_tree_all.dnd", "Gene1112-tree")</f>
        <v>Gene1112-tree</v>
      </c>
      <c r="O2709">
        <v>5</v>
      </c>
      <c r="P2709">
        <v>11</v>
      </c>
      <c r="Q2709">
        <v>5</v>
      </c>
      <c r="R2709">
        <v>11</v>
      </c>
      <c r="S2709">
        <v>0.6875</v>
      </c>
      <c r="T2709" t="s">
        <v>199</v>
      </c>
      <c r="U2709" t="s">
        <v>73</v>
      </c>
      <c r="V2709">
        <v>137353515.63499999</v>
      </c>
      <c r="W2709" t="s">
        <v>267</v>
      </c>
      <c r="X2709">
        <v>9</v>
      </c>
      <c r="Y2709">
        <v>22</v>
      </c>
      <c r="Z2709">
        <v>21</v>
      </c>
      <c r="AA2709">
        <v>0.51163000000000003</v>
      </c>
      <c r="AB2709">
        <v>0</v>
      </c>
      <c r="AC2709">
        <v>0</v>
      </c>
      <c r="AD2709">
        <v>0</v>
      </c>
      <c r="AE2709">
        <v>7</v>
      </c>
      <c r="AF2709">
        <v>0</v>
      </c>
      <c r="AG2709">
        <v>15</v>
      </c>
      <c r="AH2709">
        <v>0</v>
      </c>
      <c r="AI2709">
        <v>15</v>
      </c>
      <c r="AJ2709">
        <v>14</v>
      </c>
      <c r="AK2709">
        <v>0.51724000000000003</v>
      </c>
      <c r="AL2709">
        <v>14</v>
      </c>
      <c r="AM2709">
        <v>12</v>
      </c>
      <c r="AN2709">
        <v>86</v>
      </c>
      <c r="AO2709">
        <v>29</v>
      </c>
      <c r="AP2709">
        <v>50</v>
      </c>
      <c r="AQ2709">
        <v>14</v>
      </c>
      <c r="AR2709" t="s">
        <v>6993</v>
      </c>
      <c r="AS2709" t="s">
        <v>6994</v>
      </c>
      <c r="AT2709">
        <v>0.23899999999999999</v>
      </c>
      <c r="AU2709" t="s">
        <v>65</v>
      </c>
      <c r="AV2709">
        <v>136</v>
      </c>
      <c r="AW2709">
        <v>43</v>
      </c>
      <c r="AX2709" t="s">
        <v>6995</v>
      </c>
      <c r="AY2709">
        <v>3.6749999999999998E-2</v>
      </c>
      <c r="AZ2709">
        <v>-8.8000000000000003E-4</v>
      </c>
      <c r="BA2709">
        <v>3.47E-3</v>
      </c>
      <c r="BB2709">
        <v>-1.2E-4</v>
      </c>
      <c r="BC2709">
        <v>9.4539999999999999E-2</v>
      </c>
      <c r="BD2709">
        <v>1</v>
      </c>
      <c r="BE2709" t="s">
        <v>69</v>
      </c>
      <c r="BF2709">
        <v>-0.253</v>
      </c>
      <c r="BG2709">
        <v>-0.72</v>
      </c>
    </row>
    <row r="2710" spans="1:59">
      <c r="A2710">
        <v>0</v>
      </c>
      <c r="B2710">
        <v>3</v>
      </c>
      <c r="C2710">
        <v>0</v>
      </c>
      <c r="D2710" t="s">
        <v>25022</v>
      </c>
      <c r="E2710">
        <v>1866</v>
      </c>
      <c r="F2710" t="s">
        <v>11684</v>
      </c>
      <c r="G2710" t="s">
        <v>57</v>
      </c>
      <c r="H2710">
        <v>1926680</v>
      </c>
      <c r="I2710">
        <v>1929406</v>
      </c>
      <c r="J2710" t="s">
        <v>11685</v>
      </c>
      <c r="K2710">
        <v>909</v>
      </c>
      <c r="L2710" t="s">
        <v>108</v>
      </c>
      <c r="M2710">
        <v>44</v>
      </c>
      <c r="N2710" t="str">
        <f>HYPERLINK("Gene1866-zp_tree_all.dnd", "Gene1866-tree")</f>
        <v>Gene1866-tree</v>
      </c>
      <c r="O2710">
        <v>12</v>
      </c>
      <c r="P2710">
        <v>1</v>
      </c>
      <c r="Q2710">
        <v>12</v>
      </c>
      <c r="R2710">
        <v>1</v>
      </c>
      <c r="S2710">
        <v>7.6920000000000002E-2</v>
      </c>
      <c r="T2710" t="s">
        <v>109</v>
      </c>
      <c r="U2710" t="s">
        <v>175</v>
      </c>
      <c r="V2710" t="s">
        <v>62</v>
      </c>
      <c r="W2710" t="s">
        <v>62</v>
      </c>
      <c r="X2710">
        <v>1</v>
      </c>
      <c r="Y2710">
        <v>3</v>
      </c>
      <c r="Z2710">
        <v>7</v>
      </c>
      <c r="AA2710">
        <v>0.3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13</v>
      </c>
      <c r="AM2710">
        <v>10</v>
      </c>
      <c r="AN2710">
        <v>72</v>
      </c>
      <c r="AO2710">
        <v>1</v>
      </c>
      <c r="AP2710">
        <v>74</v>
      </c>
      <c r="AQ2710">
        <v>9</v>
      </c>
      <c r="AR2710" t="s">
        <v>11686</v>
      </c>
      <c r="AS2710" t="s">
        <v>11687</v>
      </c>
      <c r="AT2710">
        <v>0.40400000000000003</v>
      </c>
      <c r="AU2710" t="s">
        <v>65</v>
      </c>
      <c r="AV2710">
        <v>146</v>
      </c>
      <c r="AW2710">
        <v>10</v>
      </c>
      <c r="AX2710" t="s">
        <v>11688</v>
      </c>
      <c r="AY2710">
        <v>5.2850000000000001E-2</v>
      </c>
      <c r="AZ2710">
        <v>-3.5699999999999998E-3</v>
      </c>
      <c r="BA2710">
        <v>1.4400000000000001E-3</v>
      </c>
      <c r="BB2710">
        <v>-1.3999999999999999E-4</v>
      </c>
      <c r="BC2710">
        <v>2.7179999999999999E-2</v>
      </c>
      <c r="BD2710">
        <v>1</v>
      </c>
      <c r="BE2710" t="s">
        <v>69</v>
      </c>
      <c r="BF2710">
        <v>-0.161</v>
      </c>
      <c r="BG2710">
        <v>-0.27800000000000002</v>
      </c>
    </row>
    <row r="2711" spans="1:59">
      <c r="A2711">
        <v>0</v>
      </c>
      <c r="B2711">
        <v>15</v>
      </c>
      <c r="C2711">
        <v>1</v>
      </c>
      <c r="D2711" t="s">
        <v>25022</v>
      </c>
      <c r="E2711">
        <v>1604</v>
      </c>
      <c r="F2711" t="s">
        <v>10038</v>
      </c>
      <c r="G2711" t="s">
        <v>57</v>
      </c>
      <c r="H2711">
        <v>1613357</v>
      </c>
      <c r="I2711">
        <v>1616119</v>
      </c>
      <c r="J2711" t="s">
        <v>10039</v>
      </c>
      <c r="K2711">
        <v>921</v>
      </c>
      <c r="L2711" t="s">
        <v>6390</v>
      </c>
      <c r="M2711">
        <v>45</v>
      </c>
      <c r="N2711" t="str">
        <f>HYPERLINK("Gene1604-zp_tree_all.dnd", "Gene1604-tree")</f>
        <v>Gene1604-tree</v>
      </c>
      <c r="O2711">
        <v>4</v>
      </c>
      <c r="P2711">
        <v>12</v>
      </c>
      <c r="Q2711">
        <v>4</v>
      </c>
      <c r="R2711">
        <v>12</v>
      </c>
      <c r="S2711">
        <v>0.75</v>
      </c>
      <c r="T2711" t="s">
        <v>61</v>
      </c>
      <c r="U2711" t="s">
        <v>109</v>
      </c>
      <c r="V2711" t="s">
        <v>62</v>
      </c>
      <c r="W2711" t="s">
        <v>62</v>
      </c>
      <c r="X2711">
        <v>7</v>
      </c>
      <c r="Y2711">
        <v>16</v>
      </c>
      <c r="Z2711">
        <v>14</v>
      </c>
      <c r="AA2711">
        <v>0.53332999999999997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7</v>
      </c>
      <c r="AH2711">
        <v>2</v>
      </c>
      <c r="AI2711">
        <v>9</v>
      </c>
      <c r="AJ2711">
        <v>17</v>
      </c>
      <c r="AK2711">
        <v>0.34615000000000001</v>
      </c>
      <c r="AL2711">
        <v>14</v>
      </c>
      <c r="AM2711">
        <v>11</v>
      </c>
      <c r="AN2711">
        <v>220</v>
      </c>
      <c r="AO2711">
        <v>25</v>
      </c>
      <c r="AP2711">
        <v>50</v>
      </c>
      <c r="AQ2711">
        <v>5</v>
      </c>
      <c r="AR2711" t="s">
        <v>10040</v>
      </c>
      <c r="AS2711" t="s">
        <v>10041</v>
      </c>
      <c r="AT2711">
        <v>4.7E-2</v>
      </c>
      <c r="AU2711" t="s">
        <v>65</v>
      </c>
      <c r="AV2711">
        <v>270</v>
      </c>
      <c r="AW2711">
        <v>30</v>
      </c>
      <c r="AX2711" t="s">
        <v>10042</v>
      </c>
      <c r="AY2711">
        <v>6.2199999999999998E-2</v>
      </c>
      <c r="AZ2711">
        <v>-6.0299999999999998E-3</v>
      </c>
      <c r="BA2711">
        <v>1.9599999999999999E-3</v>
      </c>
      <c r="BB2711">
        <v>-1E-4</v>
      </c>
      <c r="BC2711">
        <v>3.143E-2</v>
      </c>
      <c r="BD2711">
        <v>1</v>
      </c>
      <c r="BE2711" t="s">
        <v>69</v>
      </c>
      <c r="BF2711">
        <v>-1.79</v>
      </c>
      <c r="BG2711">
        <v>-4.1890000000000001</v>
      </c>
    </row>
    <row r="2712" spans="1:59">
      <c r="A2712">
        <v>0</v>
      </c>
      <c r="B2712">
        <v>5</v>
      </c>
      <c r="C2712">
        <v>4</v>
      </c>
      <c r="D2712" t="s">
        <v>25022</v>
      </c>
      <c r="E2712">
        <v>2334</v>
      </c>
      <c r="F2712" t="s">
        <v>13539</v>
      </c>
      <c r="G2712" t="s">
        <v>62</v>
      </c>
      <c r="H2712">
        <v>2349674</v>
      </c>
      <c r="I2712">
        <v>2352466</v>
      </c>
      <c r="J2712" t="s">
        <v>13540</v>
      </c>
      <c r="K2712">
        <v>931</v>
      </c>
      <c r="L2712" t="s">
        <v>108</v>
      </c>
      <c r="M2712">
        <v>44</v>
      </c>
      <c r="N2712" t="str">
        <f>HYPERLINK("Gene2334-zp_tree_all.dnd", "Gene2334-tree")</f>
        <v>Gene2334-tree</v>
      </c>
      <c r="O2712">
        <v>5</v>
      </c>
      <c r="P2712">
        <v>9</v>
      </c>
      <c r="Q2712">
        <v>5</v>
      </c>
      <c r="R2712">
        <v>9</v>
      </c>
      <c r="S2712">
        <v>0.64285999999999999</v>
      </c>
      <c r="T2712" t="s">
        <v>199</v>
      </c>
      <c r="U2712" t="s">
        <v>135</v>
      </c>
      <c r="V2712" t="s">
        <v>62</v>
      </c>
      <c r="W2712" t="s">
        <v>62</v>
      </c>
      <c r="X2712">
        <v>4</v>
      </c>
      <c r="Y2712">
        <v>9</v>
      </c>
      <c r="Z2712">
        <v>16</v>
      </c>
      <c r="AA2712">
        <v>0.36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5</v>
      </c>
      <c r="AH2712">
        <v>2</v>
      </c>
      <c r="AI2712">
        <v>7</v>
      </c>
      <c r="AJ2712">
        <v>14</v>
      </c>
      <c r="AK2712">
        <v>0.33333000000000002</v>
      </c>
      <c r="AL2712">
        <v>12</v>
      </c>
      <c r="AM2712">
        <v>11</v>
      </c>
      <c r="AN2712">
        <v>54</v>
      </c>
      <c r="AO2712">
        <v>20</v>
      </c>
      <c r="AP2712">
        <v>42</v>
      </c>
      <c r="AQ2712">
        <v>5</v>
      </c>
      <c r="AR2712" t="s">
        <v>13541</v>
      </c>
      <c r="AS2712" t="s">
        <v>13542</v>
      </c>
      <c r="AT2712">
        <v>1.7390000000000001</v>
      </c>
      <c r="AU2712" t="s">
        <v>65</v>
      </c>
      <c r="AV2712">
        <v>96</v>
      </c>
      <c r="AW2712">
        <v>25</v>
      </c>
      <c r="AX2712" t="s">
        <v>13543</v>
      </c>
      <c r="AY2712">
        <v>3.0849999999999999E-2</v>
      </c>
      <c r="AZ2712">
        <v>-9.7000000000000005E-4</v>
      </c>
      <c r="BA2712">
        <v>1.91E-3</v>
      </c>
      <c r="BB2712">
        <v>-9.0000000000000006E-5</v>
      </c>
      <c r="BC2712">
        <v>6.2039999999999998E-2</v>
      </c>
      <c r="BD2712">
        <v>1</v>
      </c>
      <c r="BE2712" t="s">
        <v>69</v>
      </c>
      <c r="BF2712">
        <v>-0.79400000000000004</v>
      </c>
      <c r="BG2712">
        <v>-1.6830000000000001</v>
      </c>
    </row>
    <row r="2713" spans="1:59">
      <c r="A2713">
        <v>0</v>
      </c>
      <c r="B2713">
        <v>31</v>
      </c>
      <c r="C2713">
        <v>0</v>
      </c>
      <c r="D2713" t="s">
        <v>25022</v>
      </c>
      <c r="E2713">
        <v>2820</v>
      </c>
      <c r="F2713" t="s">
        <v>16181</v>
      </c>
      <c r="G2713" t="s">
        <v>62</v>
      </c>
      <c r="H2713">
        <v>2763028</v>
      </c>
      <c r="I2713">
        <v>2765832</v>
      </c>
      <c r="J2713" t="s">
        <v>16182</v>
      </c>
      <c r="K2713">
        <v>935</v>
      </c>
      <c r="L2713" t="s">
        <v>108</v>
      </c>
      <c r="M2713">
        <v>44</v>
      </c>
      <c r="N2713" t="str">
        <f>HYPERLINK("Gene2820-zp_tree_all.dnd", "Gene2820-tree")</f>
        <v>Gene2820-tree</v>
      </c>
      <c r="O2713">
        <v>1</v>
      </c>
      <c r="P2713">
        <v>15</v>
      </c>
      <c r="Q2713">
        <v>1</v>
      </c>
      <c r="R2713">
        <v>15</v>
      </c>
      <c r="S2713">
        <v>0.9375</v>
      </c>
      <c r="T2713" t="s">
        <v>175</v>
      </c>
      <c r="U2713" t="s">
        <v>100</v>
      </c>
      <c r="V2713" t="s">
        <v>62</v>
      </c>
      <c r="W2713" t="s">
        <v>62</v>
      </c>
      <c r="X2713">
        <v>10</v>
      </c>
      <c r="Y2713">
        <v>31</v>
      </c>
      <c r="Z2713">
        <v>21</v>
      </c>
      <c r="AA2713">
        <v>0.59614999999999996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20</v>
      </c>
      <c r="AH2713">
        <v>0</v>
      </c>
      <c r="AI2713">
        <v>20</v>
      </c>
      <c r="AJ2713">
        <v>22</v>
      </c>
      <c r="AK2713">
        <v>0.47619</v>
      </c>
      <c r="AL2713">
        <v>14</v>
      </c>
      <c r="AM2713">
        <v>13</v>
      </c>
      <c r="AN2713">
        <v>107</v>
      </c>
      <c r="AO2713">
        <v>38</v>
      </c>
      <c r="AP2713">
        <v>62</v>
      </c>
      <c r="AQ2713">
        <v>14</v>
      </c>
      <c r="AR2713" t="s">
        <v>16183</v>
      </c>
      <c r="AS2713" t="s">
        <v>16184</v>
      </c>
      <c r="AT2713">
        <v>1.2949999999999999</v>
      </c>
      <c r="AU2713" t="s">
        <v>65</v>
      </c>
      <c r="AV2713">
        <v>169</v>
      </c>
      <c r="AW2713">
        <v>52</v>
      </c>
      <c r="AX2713" t="s">
        <v>16185</v>
      </c>
      <c r="AY2713">
        <v>4.4310000000000002E-2</v>
      </c>
      <c r="AZ2713">
        <v>-1.1299999999999999E-3</v>
      </c>
      <c r="BA2713">
        <v>3.15E-3</v>
      </c>
      <c r="BB2713">
        <v>-1E-4</v>
      </c>
      <c r="BC2713">
        <v>7.1190000000000003E-2</v>
      </c>
      <c r="BD2713">
        <v>1</v>
      </c>
      <c r="BE2713" t="s">
        <v>69</v>
      </c>
      <c r="BF2713">
        <v>-0.49</v>
      </c>
      <c r="BG2713">
        <v>-0.69199999999999995</v>
      </c>
    </row>
    <row r="2714" spans="1:59">
      <c r="A2714">
        <v>0</v>
      </c>
      <c r="B2714">
        <v>8</v>
      </c>
      <c r="C2714">
        <v>2</v>
      </c>
      <c r="D2714" t="s">
        <v>25022</v>
      </c>
      <c r="E2714">
        <v>2017</v>
      </c>
      <c r="F2714" t="s">
        <v>12546</v>
      </c>
      <c r="G2714" t="s">
        <v>62</v>
      </c>
      <c r="H2714">
        <v>2108777</v>
      </c>
      <c r="I2714">
        <v>2111608</v>
      </c>
      <c r="J2714" t="s">
        <v>12547</v>
      </c>
      <c r="K2714">
        <v>944</v>
      </c>
      <c r="L2714" t="s">
        <v>749</v>
      </c>
      <c r="M2714">
        <v>47</v>
      </c>
      <c r="N2714" t="str">
        <f>HYPERLINK("Gene2017-zp_tree_all.dnd", "Gene2017-tree")</f>
        <v>Gene2017-tree</v>
      </c>
      <c r="O2714">
        <v>7</v>
      </c>
      <c r="P2714">
        <v>10</v>
      </c>
      <c r="Q2714">
        <v>7</v>
      </c>
      <c r="R2714">
        <v>10</v>
      </c>
      <c r="S2714">
        <v>0.58823999999999999</v>
      </c>
      <c r="T2714" t="s">
        <v>152</v>
      </c>
      <c r="U2714" t="s">
        <v>117</v>
      </c>
      <c r="V2714" t="s">
        <v>62</v>
      </c>
      <c r="W2714" t="s">
        <v>62</v>
      </c>
      <c r="X2714">
        <v>4</v>
      </c>
      <c r="Y2714">
        <v>10</v>
      </c>
      <c r="Z2714">
        <v>20</v>
      </c>
      <c r="AA2714">
        <v>0.33333000000000002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2</v>
      </c>
      <c r="AI2714">
        <v>2</v>
      </c>
      <c r="AJ2714">
        <v>15</v>
      </c>
      <c r="AK2714">
        <v>0.11765</v>
      </c>
      <c r="AL2714">
        <v>16</v>
      </c>
      <c r="AM2714">
        <v>14</v>
      </c>
      <c r="AN2714">
        <v>165</v>
      </c>
      <c r="AO2714">
        <v>17</v>
      </c>
      <c r="AP2714">
        <v>144</v>
      </c>
      <c r="AQ2714">
        <v>13</v>
      </c>
      <c r="AR2714" t="s">
        <v>12548</v>
      </c>
      <c r="AS2714" t="s">
        <v>12549</v>
      </c>
      <c r="AT2714">
        <v>0.09</v>
      </c>
      <c r="AU2714" t="s">
        <v>65</v>
      </c>
      <c r="AV2714">
        <v>309</v>
      </c>
      <c r="AW2714">
        <v>30</v>
      </c>
      <c r="AX2714" t="s">
        <v>12550</v>
      </c>
      <c r="AY2714">
        <v>8.9819999999999997E-2</v>
      </c>
      <c r="AZ2714">
        <v>-6.9499999999999996E-3</v>
      </c>
      <c r="BA2714">
        <v>2.47E-3</v>
      </c>
      <c r="BB2714">
        <v>-1.9000000000000001E-4</v>
      </c>
      <c r="BC2714">
        <v>2.7529999999999999E-2</v>
      </c>
      <c r="BD2714">
        <v>1</v>
      </c>
      <c r="BE2714" t="s">
        <v>69</v>
      </c>
      <c r="BF2714">
        <v>-1.5820000000000001</v>
      </c>
      <c r="BG2714">
        <v>-1.2589999999999999</v>
      </c>
    </row>
    <row r="2715" spans="1:59">
      <c r="A2715">
        <v>2</v>
      </c>
      <c r="B2715">
        <v>44</v>
      </c>
      <c r="C2715">
        <v>6</v>
      </c>
      <c r="D2715" t="s">
        <v>25022</v>
      </c>
      <c r="E2715">
        <v>3098</v>
      </c>
      <c r="F2715" t="s">
        <v>17962</v>
      </c>
      <c r="G2715" t="s">
        <v>62</v>
      </c>
      <c r="H2715">
        <v>3049728</v>
      </c>
      <c r="I2715">
        <v>3052583</v>
      </c>
      <c r="J2715" t="s">
        <v>17963</v>
      </c>
      <c r="K2715">
        <v>952</v>
      </c>
      <c r="L2715" t="s">
        <v>2513</v>
      </c>
      <c r="M2715">
        <v>43</v>
      </c>
      <c r="N2715" t="str">
        <f>HYPERLINK("Gene3098-zp_tree_all.dnd", "Gene3098-tree")</f>
        <v>Gene3098-tree</v>
      </c>
      <c r="O2715">
        <v>0</v>
      </c>
      <c r="P2715">
        <v>12</v>
      </c>
      <c r="Q2715">
        <v>0</v>
      </c>
      <c r="R2715">
        <v>12</v>
      </c>
      <c r="S2715">
        <v>1</v>
      </c>
      <c r="T2715" t="s">
        <v>62</v>
      </c>
      <c r="U2715" t="s">
        <v>109</v>
      </c>
      <c r="V2715" t="s">
        <v>62</v>
      </c>
      <c r="W2715" t="s">
        <v>62</v>
      </c>
      <c r="X2715">
        <v>20</v>
      </c>
      <c r="Y2715">
        <v>52</v>
      </c>
      <c r="Z2715">
        <v>52</v>
      </c>
      <c r="AA2715">
        <v>0.5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15</v>
      </c>
      <c r="AH2715">
        <v>9</v>
      </c>
      <c r="AI2715">
        <v>24</v>
      </c>
      <c r="AJ2715">
        <v>51</v>
      </c>
      <c r="AK2715">
        <v>0.32</v>
      </c>
      <c r="AL2715">
        <v>12</v>
      </c>
      <c r="AM2715">
        <v>9</v>
      </c>
      <c r="AN2715">
        <v>104</v>
      </c>
      <c r="AO2715">
        <v>75</v>
      </c>
      <c r="AP2715">
        <v>37</v>
      </c>
      <c r="AQ2715">
        <v>29</v>
      </c>
      <c r="AR2715" t="s">
        <v>17964</v>
      </c>
      <c r="AS2715" t="s">
        <v>17965</v>
      </c>
      <c r="AT2715">
        <v>0.27800000000000002</v>
      </c>
      <c r="AU2715" t="s">
        <v>65</v>
      </c>
      <c r="AV2715">
        <v>141</v>
      </c>
      <c r="AW2715">
        <v>104</v>
      </c>
      <c r="AX2715" t="s">
        <v>17966</v>
      </c>
      <c r="AY2715">
        <v>3.9949999999999999E-2</v>
      </c>
      <c r="AZ2715">
        <v>-1.6299999999999999E-3</v>
      </c>
      <c r="BA2715">
        <v>9.0600000000000003E-3</v>
      </c>
      <c r="BB2715">
        <v>-2.9E-4</v>
      </c>
      <c r="BC2715">
        <v>0.22681999999999999</v>
      </c>
      <c r="BD2715">
        <v>1</v>
      </c>
      <c r="BE2715" t="s">
        <v>69</v>
      </c>
      <c r="BF2715">
        <v>-1.006</v>
      </c>
      <c r="BG2715">
        <v>-1.7030000000000001</v>
      </c>
    </row>
    <row r="2716" spans="1:59">
      <c r="A2716">
        <v>0</v>
      </c>
      <c r="B2716">
        <v>4</v>
      </c>
      <c r="C2716">
        <v>0</v>
      </c>
      <c r="D2716" t="s">
        <v>25022</v>
      </c>
      <c r="E2716">
        <v>3643</v>
      </c>
      <c r="F2716" t="s">
        <v>21380</v>
      </c>
      <c r="G2716" t="s">
        <v>62</v>
      </c>
      <c r="H2716">
        <v>3610067</v>
      </c>
      <c r="I2716">
        <v>3612937</v>
      </c>
      <c r="J2716" t="s">
        <v>21381</v>
      </c>
      <c r="K2716">
        <v>957</v>
      </c>
      <c r="L2716" t="s">
        <v>108</v>
      </c>
      <c r="M2716">
        <v>44</v>
      </c>
      <c r="N2716" t="str">
        <f>HYPERLINK("Gene3643-zp_tree_all.dnd", "Gene3643-tree")</f>
        <v>Gene3643-tree</v>
      </c>
      <c r="O2716">
        <v>10</v>
      </c>
      <c r="P2716">
        <v>4</v>
      </c>
      <c r="Q2716">
        <v>10</v>
      </c>
      <c r="R2716">
        <v>4</v>
      </c>
      <c r="S2716">
        <v>0.28571000000000002</v>
      </c>
      <c r="T2716" t="s">
        <v>117</v>
      </c>
      <c r="U2716" t="s">
        <v>61</v>
      </c>
      <c r="V2716" t="s">
        <v>62</v>
      </c>
      <c r="W2716" t="s">
        <v>62</v>
      </c>
      <c r="X2716">
        <v>2</v>
      </c>
      <c r="Y2716">
        <v>4</v>
      </c>
      <c r="Z2716">
        <v>10</v>
      </c>
      <c r="AA2716">
        <v>0.28571000000000002</v>
      </c>
      <c r="AB2716">
        <v>0</v>
      </c>
      <c r="AC2716">
        <v>0</v>
      </c>
      <c r="AD2716">
        <v>0</v>
      </c>
      <c r="AE2716">
        <v>6</v>
      </c>
      <c r="AF2716">
        <v>0</v>
      </c>
      <c r="AG2716">
        <v>0</v>
      </c>
      <c r="AH2716">
        <v>0</v>
      </c>
      <c r="AI2716">
        <v>0</v>
      </c>
      <c r="AJ2716">
        <v>7</v>
      </c>
      <c r="AK2716">
        <v>0</v>
      </c>
      <c r="AL2716">
        <v>12</v>
      </c>
      <c r="AM2716">
        <v>11</v>
      </c>
      <c r="AN2716">
        <v>80</v>
      </c>
      <c r="AO2716">
        <v>7</v>
      </c>
      <c r="AP2716">
        <v>62</v>
      </c>
      <c r="AQ2716">
        <v>7</v>
      </c>
      <c r="AR2716" t="s">
        <v>21382</v>
      </c>
      <c r="AS2716" t="s">
        <v>21383</v>
      </c>
      <c r="AT2716">
        <v>9.4E-2</v>
      </c>
      <c r="AU2716" t="s">
        <v>65</v>
      </c>
      <c r="AV2716">
        <v>142</v>
      </c>
      <c r="AW2716">
        <v>14</v>
      </c>
      <c r="AX2716" t="s">
        <v>21384</v>
      </c>
      <c r="AY2716">
        <v>4.1709999999999997E-2</v>
      </c>
      <c r="AZ2716">
        <v>-1.2899999999999999E-3</v>
      </c>
      <c r="BA2716">
        <v>1.34E-3</v>
      </c>
      <c r="BB2716">
        <v>-1.2E-4</v>
      </c>
      <c r="BC2716">
        <v>3.2199999999999999E-2</v>
      </c>
      <c r="BD2716">
        <v>1</v>
      </c>
      <c r="BE2716" t="s">
        <v>69</v>
      </c>
      <c r="BF2716">
        <v>-0.41099999999999998</v>
      </c>
      <c r="BG2716">
        <v>-1.655</v>
      </c>
    </row>
    <row r="2717" spans="1:59">
      <c r="A2717">
        <v>0</v>
      </c>
      <c r="B2717">
        <v>40</v>
      </c>
      <c r="C2717">
        <v>6</v>
      </c>
      <c r="D2717" t="s">
        <v>25022</v>
      </c>
      <c r="E2717">
        <v>1026</v>
      </c>
      <c r="F2717" t="s">
        <v>6447</v>
      </c>
      <c r="G2717" t="s">
        <v>57</v>
      </c>
      <c r="H2717">
        <v>1066077</v>
      </c>
      <c r="I2717">
        <v>1068965</v>
      </c>
      <c r="J2717" t="s">
        <v>6448</v>
      </c>
      <c r="K2717">
        <v>963</v>
      </c>
      <c r="L2717" t="s">
        <v>108</v>
      </c>
      <c r="M2717">
        <v>44</v>
      </c>
      <c r="N2717" t="str">
        <f>HYPERLINK("Gene1026-zp_tree_all.dnd", "Gene1026-tree")</f>
        <v>Gene1026-tree</v>
      </c>
      <c r="O2717">
        <v>1</v>
      </c>
      <c r="P2717">
        <v>14</v>
      </c>
      <c r="Q2717">
        <v>1</v>
      </c>
      <c r="R2717">
        <v>14</v>
      </c>
      <c r="S2717">
        <v>0.93332999999999999</v>
      </c>
      <c r="T2717" t="s">
        <v>175</v>
      </c>
      <c r="U2717" t="s">
        <v>543</v>
      </c>
      <c r="V2717">
        <v>1865302226.941</v>
      </c>
      <c r="W2717" t="s">
        <v>267</v>
      </c>
      <c r="X2717">
        <v>19</v>
      </c>
      <c r="Y2717">
        <v>46</v>
      </c>
      <c r="Z2717">
        <v>38</v>
      </c>
      <c r="AA2717">
        <v>0.54762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27</v>
      </c>
      <c r="AH2717">
        <v>2</v>
      </c>
      <c r="AI2717">
        <v>29</v>
      </c>
      <c r="AJ2717">
        <v>28</v>
      </c>
      <c r="AK2717">
        <v>0.50876999999999994</v>
      </c>
      <c r="AL2717">
        <v>13</v>
      </c>
      <c r="AM2717">
        <v>11</v>
      </c>
      <c r="AN2717">
        <v>82</v>
      </c>
      <c r="AO2717">
        <v>56</v>
      </c>
      <c r="AP2717">
        <v>48</v>
      </c>
      <c r="AQ2717">
        <v>28</v>
      </c>
      <c r="AR2717" t="s">
        <v>6449</v>
      </c>
      <c r="AS2717" t="s">
        <v>6450</v>
      </c>
      <c r="AT2717">
        <v>0.20399999999999999</v>
      </c>
      <c r="AU2717" t="s">
        <v>65</v>
      </c>
      <c r="AV2717">
        <v>130</v>
      </c>
      <c r="AW2717">
        <v>84</v>
      </c>
      <c r="AX2717" t="s">
        <v>6451</v>
      </c>
      <c r="AY2717">
        <v>4.1029999999999997E-2</v>
      </c>
      <c r="AZ2717">
        <v>-1.4400000000000001E-3</v>
      </c>
      <c r="BA2717">
        <v>7.1300000000000001E-3</v>
      </c>
      <c r="BB2717">
        <v>-2.9E-4</v>
      </c>
      <c r="BC2717">
        <v>0.17380000000000001</v>
      </c>
      <c r="BD2717">
        <v>1</v>
      </c>
      <c r="BE2717" t="s">
        <v>69</v>
      </c>
      <c r="BF2717">
        <v>-0.66800000000000004</v>
      </c>
      <c r="BG2717">
        <v>-1.1559999999999999</v>
      </c>
    </row>
    <row r="2718" spans="1:59">
      <c r="A2718">
        <v>0</v>
      </c>
      <c r="B2718">
        <v>45</v>
      </c>
      <c r="C2718">
        <v>1</v>
      </c>
      <c r="D2718" t="s">
        <v>25022</v>
      </c>
      <c r="E2718">
        <v>1259</v>
      </c>
      <c r="F2718" t="s">
        <v>7889</v>
      </c>
      <c r="G2718" t="s">
        <v>57</v>
      </c>
      <c r="H2718">
        <v>1285591</v>
      </c>
      <c r="I2718">
        <v>1288545</v>
      </c>
      <c r="J2718" t="s">
        <v>7890</v>
      </c>
      <c r="K2718">
        <v>985</v>
      </c>
      <c r="L2718" t="s">
        <v>108</v>
      </c>
      <c r="M2718">
        <v>44</v>
      </c>
      <c r="N2718" t="str">
        <f>HYPERLINK("Gene1259-zp_tree_all.dnd", "Gene1259-tree")</f>
        <v>Gene1259-tree</v>
      </c>
      <c r="O2718">
        <v>1</v>
      </c>
      <c r="P2718">
        <v>15</v>
      </c>
      <c r="Q2718">
        <v>1</v>
      </c>
      <c r="R2718">
        <v>15</v>
      </c>
      <c r="S2718">
        <v>0.9375</v>
      </c>
      <c r="T2718" t="s">
        <v>175</v>
      </c>
      <c r="U2718" t="s">
        <v>100</v>
      </c>
      <c r="V2718" t="s">
        <v>62</v>
      </c>
      <c r="W2718" t="s">
        <v>62</v>
      </c>
      <c r="X2718">
        <v>14</v>
      </c>
      <c r="Y2718">
        <v>46</v>
      </c>
      <c r="Z2718">
        <v>31</v>
      </c>
      <c r="AA2718">
        <v>0.59740000000000004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17</v>
      </c>
      <c r="AH2718">
        <v>1</v>
      </c>
      <c r="AI2718">
        <v>18</v>
      </c>
      <c r="AJ2718">
        <v>32</v>
      </c>
      <c r="AK2718">
        <v>0.36</v>
      </c>
      <c r="AL2718">
        <v>14</v>
      </c>
      <c r="AM2718">
        <v>13</v>
      </c>
      <c r="AN2718">
        <v>92</v>
      </c>
      <c r="AO2718">
        <v>41</v>
      </c>
      <c r="AP2718">
        <v>95</v>
      </c>
      <c r="AQ2718">
        <v>37</v>
      </c>
      <c r="AR2718" t="s">
        <v>7891</v>
      </c>
      <c r="AS2718" t="s">
        <v>7892</v>
      </c>
      <c r="AT2718">
        <v>0.28799999999999998</v>
      </c>
      <c r="AU2718" t="s">
        <v>65</v>
      </c>
      <c r="AV2718">
        <v>187</v>
      </c>
      <c r="AW2718">
        <v>78</v>
      </c>
      <c r="AX2718" t="s">
        <v>7893</v>
      </c>
      <c r="AY2718">
        <v>4.7449999999999999E-2</v>
      </c>
      <c r="AZ2718">
        <v>-1.2700000000000001E-3</v>
      </c>
      <c r="BA2718">
        <v>5.13E-3</v>
      </c>
      <c r="BB2718">
        <v>-1.4999999999999999E-4</v>
      </c>
      <c r="BC2718">
        <v>0.10818999999999999</v>
      </c>
      <c r="BD2718">
        <v>1</v>
      </c>
      <c r="BE2718" t="s">
        <v>69</v>
      </c>
      <c r="BF2718">
        <v>1.2E-2</v>
      </c>
      <c r="BG2718">
        <v>-0.54500000000000004</v>
      </c>
    </row>
    <row r="2719" spans="1:59">
      <c r="A2719">
        <v>0</v>
      </c>
      <c r="B2719">
        <v>15</v>
      </c>
      <c r="C2719">
        <v>4</v>
      </c>
      <c r="D2719" t="s">
        <v>25022</v>
      </c>
      <c r="E2719">
        <v>1160</v>
      </c>
      <c r="F2719" t="s">
        <v>7305</v>
      </c>
      <c r="G2719" t="s">
        <v>57</v>
      </c>
      <c r="H2719">
        <v>1200381</v>
      </c>
      <c r="I2719">
        <v>1203470</v>
      </c>
      <c r="J2719" t="s">
        <v>7306</v>
      </c>
      <c r="K2719">
        <v>1030</v>
      </c>
      <c r="L2719" t="s">
        <v>108</v>
      </c>
      <c r="M2719">
        <v>44</v>
      </c>
      <c r="N2719" t="str">
        <f>HYPERLINK("Gene1160-zp_tree_all.dnd", "Gene1160-tree")</f>
        <v>Gene1160-tree</v>
      </c>
      <c r="O2719">
        <v>4</v>
      </c>
      <c r="P2719">
        <v>10</v>
      </c>
      <c r="Q2719">
        <v>4</v>
      </c>
      <c r="R2719">
        <v>10</v>
      </c>
      <c r="S2719">
        <v>0.71428999999999998</v>
      </c>
      <c r="T2719" t="s">
        <v>61</v>
      </c>
      <c r="U2719" t="s">
        <v>117</v>
      </c>
      <c r="V2719" t="s">
        <v>62</v>
      </c>
      <c r="W2719" t="s">
        <v>62</v>
      </c>
      <c r="X2719">
        <v>8</v>
      </c>
      <c r="Y2719">
        <v>19</v>
      </c>
      <c r="Z2719">
        <v>39</v>
      </c>
      <c r="AA2719">
        <v>0.32758999999999999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4</v>
      </c>
      <c r="AH2719">
        <v>2</v>
      </c>
      <c r="AI2719">
        <v>6</v>
      </c>
      <c r="AJ2719">
        <v>29</v>
      </c>
      <c r="AK2719">
        <v>0.17143</v>
      </c>
      <c r="AL2719">
        <v>14</v>
      </c>
      <c r="AM2719">
        <v>11</v>
      </c>
      <c r="AN2719">
        <v>124</v>
      </c>
      <c r="AO2719">
        <v>35</v>
      </c>
      <c r="AP2719">
        <v>141</v>
      </c>
      <c r="AQ2719">
        <v>23</v>
      </c>
      <c r="AR2719" t="s">
        <v>7307</v>
      </c>
      <c r="AS2719" t="s">
        <v>7308</v>
      </c>
      <c r="AT2719">
        <v>0.76700000000000002</v>
      </c>
      <c r="AU2719" t="s">
        <v>65</v>
      </c>
      <c r="AV2719">
        <v>265</v>
      </c>
      <c r="AW2719">
        <v>58</v>
      </c>
      <c r="AX2719" t="s">
        <v>7309</v>
      </c>
      <c r="AY2719">
        <v>7.5499999999999998E-2</v>
      </c>
      <c r="AZ2719">
        <v>-2.9099999999999998E-3</v>
      </c>
      <c r="BA2719">
        <v>4.7000000000000002E-3</v>
      </c>
      <c r="BB2719">
        <v>-2.1000000000000001E-4</v>
      </c>
      <c r="BC2719">
        <v>6.2239999999999997E-2</v>
      </c>
      <c r="BD2719">
        <v>1</v>
      </c>
      <c r="BE2719" t="s">
        <v>69</v>
      </c>
      <c r="BF2719">
        <v>-0.372</v>
      </c>
      <c r="BG2719">
        <v>-0.69699999999999995</v>
      </c>
    </row>
    <row r="2720" spans="1:59">
      <c r="A2720">
        <v>0</v>
      </c>
      <c r="B2720">
        <v>14</v>
      </c>
      <c r="C2720">
        <v>2</v>
      </c>
      <c r="D2720" t="s">
        <v>25022</v>
      </c>
      <c r="E2720">
        <v>706</v>
      </c>
      <c r="F2720" t="s">
        <v>4416</v>
      </c>
      <c r="G2720" t="s">
        <v>57</v>
      </c>
      <c r="H2720">
        <v>732955</v>
      </c>
      <c r="I2720">
        <v>736110</v>
      </c>
      <c r="J2720" t="s">
        <v>4417</v>
      </c>
      <c r="K2720">
        <v>1052</v>
      </c>
      <c r="L2720" t="s">
        <v>289</v>
      </c>
      <c r="M2720">
        <v>46</v>
      </c>
      <c r="N2720" t="str">
        <f>HYPERLINK("Gene706-zp_tree_all.dnd", "Gene706-tree")</f>
        <v>Gene706-tree</v>
      </c>
      <c r="O2720">
        <v>7</v>
      </c>
      <c r="P2720">
        <v>28</v>
      </c>
      <c r="Q2720">
        <v>7</v>
      </c>
      <c r="R2720">
        <v>11</v>
      </c>
      <c r="S2720">
        <v>0.61111000000000004</v>
      </c>
      <c r="T2720" t="s">
        <v>152</v>
      </c>
      <c r="U2720" t="s">
        <v>4050</v>
      </c>
      <c r="V2720">
        <v>2.5750000000000002</v>
      </c>
      <c r="W2720" t="s">
        <v>65</v>
      </c>
      <c r="X2720">
        <v>6</v>
      </c>
      <c r="Y2720">
        <v>16</v>
      </c>
      <c r="Z2720">
        <v>29</v>
      </c>
      <c r="AA2720">
        <v>0.35555999999999999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6</v>
      </c>
      <c r="AH2720">
        <v>2</v>
      </c>
      <c r="AI2720">
        <v>8</v>
      </c>
      <c r="AJ2720">
        <v>12</v>
      </c>
      <c r="AK2720">
        <v>0.4</v>
      </c>
      <c r="AL2720">
        <v>17</v>
      </c>
      <c r="AM2720">
        <v>15</v>
      </c>
      <c r="AN2720">
        <v>235</v>
      </c>
      <c r="AO2720">
        <v>16</v>
      </c>
      <c r="AP2720">
        <v>232</v>
      </c>
      <c r="AQ2720">
        <v>31</v>
      </c>
      <c r="AR2720" t="s">
        <v>4418</v>
      </c>
      <c r="AS2720" t="s">
        <v>4419</v>
      </c>
      <c r="AT2720">
        <v>0.28599999999999998</v>
      </c>
      <c r="AU2720" t="s">
        <v>65</v>
      </c>
      <c r="AV2720">
        <v>467</v>
      </c>
      <c r="AW2720">
        <v>47</v>
      </c>
      <c r="AX2720" t="s">
        <v>4420</v>
      </c>
      <c r="AY2720">
        <v>9.6019999999999994E-2</v>
      </c>
      <c r="AZ2720">
        <v>-4.9500000000000004E-3</v>
      </c>
      <c r="BA2720">
        <v>3.5999999999999999E-3</v>
      </c>
      <c r="BB2720">
        <v>-2.5000000000000001E-4</v>
      </c>
      <c r="BC2720">
        <v>3.7479999999999999E-2</v>
      </c>
      <c r="BD2720">
        <v>1</v>
      </c>
      <c r="BE2720" t="s">
        <v>69</v>
      </c>
      <c r="BF2720">
        <v>-0.89900000000000002</v>
      </c>
      <c r="BG2720">
        <v>-0.21</v>
      </c>
    </row>
    <row r="2721" spans="1:59">
      <c r="A2721">
        <v>0</v>
      </c>
      <c r="B2721">
        <v>59</v>
      </c>
      <c r="C2721">
        <v>4</v>
      </c>
      <c r="D2721" t="s">
        <v>25022</v>
      </c>
      <c r="E2721">
        <v>2828</v>
      </c>
      <c r="F2721" t="s">
        <v>16236</v>
      </c>
      <c r="G2721" t="s">
        <v>62</v>
      </c>
      <c r="H2721">
        <v>2773893</v>
      </c>
      <c r="I2721">
        <v>2777054</v>
      </c>
      <c r="J2721" t="s">
        <v>16237</v>
      </c>
      <c r="K2721">
        <v>1054</v>
      </c>
      <c r="L2721" t="s">
        <v>108</v>
      </c>
      <c r="M2721">
        <v>44</v>
      </c>
      <c r="N2721" t="str">
        <f>HYPERLINK("Gene2828-zp_tree_all.dnd", "Gene2828-tree")</f>
        <v>Gene2828-tree</v>
      </c>
      <c r="O2721">
        <v>1</v>
      </c>
      <c r="P2721">
        <v>16</v>
      </c>
      <c r="Q2721">
        <v>1</v>
      </c>
      <c r="R2721">
        <v>16</v>
      </c>
      <c r="S2721">
        <v>0.94118000000000002</v>
      </c>
      <c r="T2721" t="s">
        <v>175</v>
      </c>
      <c r="U2721" t="s">
        <v>60</v>
      </c>
      <c r="V2721" t="s">
        <v>62</v>
      </c>
      <c r="W2721" t="s">
        <v>62</v>
      </c>
      <c r="X2721">
        <v>25</v>
      </c>
      <c r="Y2721">
        <v>63</v>
      </c>
      <c r="Z2721">
        <v>39</v>
      </c>
      <c r="AA2721">
        <v>0.61765000000000003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19</v>
      </c>
      <c r="AH2721">
        <v>8</v>
      </c>
      <c r="AI2721">
        <v>27</v>
      </c>
      <c r="AJ2721">
        <v>31</v>
      </c>
      <c r="AK2721">
        <v>0.46551999999999999</v>
      </c>
      <c r="AL2721">
        <v>14</v>
      </c>
      <c r="AM2721">
        <v>14</v>
      </c>
      <c r="AN2721">
        <v>107</v>
      </c>
      <c r="AO2721">
        <v>52</v>
      </c>
      <c r="AP2721">
        <v>87</v>
      </c>
      <c r="AQ2721">
        <v>52</v>
      </c>
      <c r="AR2721" t="s">
        <v>16238</v>
      </c>
      <c r="AS2721" t="s">
        <v>16239</v>
      </c>
      <c r="AT2721">
        <v>0.46800000000000003</v>
      </c>
      <c r="AU2721" t="s">
        <v>65</v>
      </c>
      <c r="AV2721">
        <v>194</v>
      </c>
      <c r="AW2721">
        <v>104</v>
      </c>
      <c r="AX2721" t="s">
        <v>16240</v>
      </c>
      <c r="AY2721">
        <v>4.9790000000000001E-2</v>
      </c>
      <c r="AZ2721">
        <v>-1.5E-3</v>
      </c>
      <c r="BA2721">
        <v>7.1599999999999997E-3</v>
      </c>
      <c r="BB2721">
        <v>-2.1000000000000001E-4</v>
      </c>
      <c r="BC2721">
        <v>0.14376</v>
      </c>
      <c r="BD2721">
        <v>1</v>
      </c>
      <c r="BE2721" t="s">
        <v>69</v>
      </c>
      <c r="BF2721">
        <v>0.08</v>
      </c>
      <c r="BG2721">
        <v>-0.222</v>
      </c>
    </row>
    <row r="2722" spans="1:59">
      <c r="A2722">
        <v>0</v>
      </c>
      <c r="B2722">
        <v>56</v>
      </c>
      <c r="C2722">
        <v>0</v>
      </c>
      <c r="D2722" t="s">
        <v>25022</v>
      </c>
      <c r="E2722">
        <v>762</v>
      </c>
      <c r="F2722" t="s">
        <v>4729</v>
      </c>
      <c r="G2722" t="s">
        <v>57</v>
      </c>
      <c r="H2722">
        <v>792682</v>
      </c>
      <c r="I2722">
        <v>795864</v>
      </c>
      <c r="J2722" t="s">
        <v>4730</v>
      </c>
      <c r="K2722">
        <v>1061</v>
      </c>
      <c r="L2722" t="s">
        <v>108</v>
      </c>
      <c r="M2722">
        <v>44</v>
      </c>
      <c r="N2722" t="str">
        <f>HYPERLINK("Gene762-zp_tree_all.dnd", "Gene762-tree")</f>
        <v>Gene762-tree</v>
      </c>
      <c r="O2722">
        <v>5</v>
      </c>
      <c r="P2722">
        <v>14</v>
      </c>
      <c r="Q2722">
        <v>5</v>
      </c>
      <c r="R2722">
        <v>14</v>
      </c>
      <c r="S2722">
        <v>0.73684000000000005</v>
      </c>
      <c r="T2722" t="s">
        <v>199</v>
      </c>
      <c r="U2722" t="s">
        <v>543</v>
      </c>
      <c r="V2722">
        <v>258272616.03799999</v>
      </c>
      <c r="W2722" t="s">
        <v>267</v>
      </c>
      <c r="X2722">
        <v>23</v>
      </c>
      <c r="Y2722">
        <v>56</v>
      </c>
      <c r="Z2722">
        <v>45</v>
      </c>
      <c r="AA2722">
        <v>0.55445999999999995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18</v>
      </c>
      <c r="AH2722">
        <v>0</v>
      </c>
      <c r="AI2722">
        <v>18</v>
      </c>
      <c r="AJ2722">
        <v>43</v>
      </c>
      <c r="AK2722">
        <v>0.29508000000000001</v>
      </c>
      <c r="AL2722">
        <v>17</v>
      </c>
      <c r="AM2722">
        <v>14</v>
      </c>
      <c r="AN2722">
        <v>167</v>
      </c>
      <c r="AO2722">
        <v>54</v>
      </c>
      <c r="AP2722">
        <v>181</v>
      </c>
      <c r="AQ2722">
        <v>47</v>
      </c>
      <c r="AR2722" t="s">
        <v>4731</v>
      </c>
      <c r="AS2722" t="s">
        <v>4732</v>
      </c>
      <c r="AT2722">
        <v>0.46400000000000002</v>
      </c>
      <c r="AU2722" t="s">
        <v>65</v>
      </c>
      <c r="AV2722">
        <v>348</v>
      </c>
      <c r="AW2722">
        <v>101</v>
      </c>
      <c r="AX2722" t="s">
        <v>4733</v>
      </c>
      <c r="AY2722">
        <v>8.301E-2</v>
      </c>
      <c r="AZ2722">
        <v>-1.9499999999999999E-3</v>
      </c>
      <c r="BA2722">
        <v>6.7400000000000003E-3</v>
      </c>
      <c r="BB2722">
        <v>-1.7000000000000001E-4</v>
      </c>
      <c r="BC2722">
        <v>8.1199999999999994E-2</v>
      </c>
      <c r="BD2722">
        <v>1</v>
      </c>
      <c r="BE2722" t="s">
        <v>69</v>
      </c>
      <c r="BF2722">
        <v>0.28399999999999997</v>
      </c>
      <c r="BG2722">
        <v>-0.63100000000000001</v>
      </c>
    </row>
    <row r="2723" spans="1:59">
      <c r="A2723">
        <v>0</v>
      </c>
      <c r="B2723">
        <v>0</v>
      </c>
      <c r="C2723">
        <v>0</v>
      </c>
      <c r="D2723" t="s">
        <v>25022</v>
      </c>
      <c r="E2723">
        <v>1613</v>
      </c>
      <c r="F2723" t="s">
        <v>10098</v>
      </c>
      <c r="G2723" t="s">
        <v>57</v>
      </c>
      <c r="H2723">
        <v>1623736</v>
      </c>
      <c r="I2723">
        <v>1626948</v>
      </c>
      <c r="J2723" t="s">
        <v>10099</v>
      </c>
      <c r="K2723">
        <v>1071</v>
      </c>
      <c r="L2723" t="s">
        <v>108</v>
      </c>
      <c r="M2723">
        <v>44</v>
      </c>
      <c r="N2723" t="str">
        <f>HYPERLINK("Gene1613-zp_tree_all.dnd", "Gene1613-tree")</f>
        <v>Gene1613-tree</v>
      </c>
      <c r="O2723">
        <v>5</v>
      </c>
      <c r="P2723">
        <v>10</v>
      </c>
      <c r="Q2723">
        <v>5</v>
      </c>
      <c r="R2723">
        <v>10</v>
      </c>
      <c r="S2723">
        <v>0.66666999999999998</v>
      </c>
      <c r="T2723" t="s">
        <v>199</v>
      </c>
      <c r="U2723" t="s">
        <v>117</v>
      </c>
      <c r="V2723" t="s">
        <v>62</v>
      </c>
      <c r="W2723" t="s">
        <v>62</v>
      </c>
      <c r="X2723">
        <v>0</v>
      </c>
      <c r="Y2723">
        <v>0</v>
      </c>
      <c r="Z2723">
        <v>13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13</v>
      </c>
      <c r="AK2723">
        <v>0</v>
      </c>
      <c r="AL2723">
        <v>13</v>
      </c>
      <c r="AM2723">
        <v>11</v>
      </c>
      <c r="AN2723">
        <v>120</v>
      </c>
      <c r="AO2723">
        <v>10</v>
      </c>
      <c r="AP2723">
        <v>149</v>
      </c>
      <c r="AQ2723">
        <v>3</v>
      </c>
      <c r="AR2723" t="s">
        <v>10100</v>
      </c>
      <c r="AS2723" t="s">
        <v>10101</v>
      </c>
      <c r="AT2723">
        <v>0.95399999999999996</v>
      </c>
      <c r="AU2723" t="s">
        <v>65</v>
      </c>
      <c r="AV2723">
        <v>269</v>
      </c>
      <c r="AW2723">
        <v>13</v>
      </c>
      <c r="AX2723" t="s">
        <v>10102</v>
      </c>
      <c r="AY2723">
        <v>6.4119999999999996E-2</v>
      </c>
      <c r="AZ2723">
        <v>-1.8400000000000001E-3</v>
      </c>
      <c r="BA2723">
        <v>1.0300000000000001E-3</v>
      </c>
      <c r="BB2723">
        <v>-6.9999999999999994E-5</v>
      </c>
      <c r="BC2723">
        <v>1.6129999999999999E-2</v>
      </c>
      <c r="BD2723">
        <v>1</v>
      </c>
      <c r="BE2723" t="s">
        <v>69</v>
      </c>
      <c r="BF2723">
        <v>0.36299999999999999</v>
      </c>
      <c r="BG2723">
        <v>0.183</v>
      </c>
    </row>
    <row r="2724" spans="1:59">
      <c r="A2724">
        <v>0</v>
      </c>
      <c r="B2724">
        <v>3</v>
      </c>
      <c r="C2724">
        <v>4</v>
      </c>
      <c r="D2724" t="s">
        <v>25022</v>
      </c>
      <c r="E2724">
        <v>3039</v>
      </c>
      <c r="F2724" t="s">
        <v>17578</v>
      </c>
      <c r="G2724" t="s">
        <v>62</v>
      </c>
      <c r="H2724">
        <v>2991272</v>
      </c>
      <c r="I2724">
        <v>2994616</v>
      </c>
      <c r="J2724" t="s">
        <v>17579</v>
      </c>
      <c r="K2724">
        <v>1115</v>
      </c>
      <c r="L2724" t="s">
        <v>265</v>
      </c>
      <c r="M2724">
        <v>43</v>
      </c>
      <c r="N2724" t="str">
        <f>HYPERLINK("Gene3039-zp_tree_all.dnd", "Gene3039-tree")</f>
        <v>Gene3039-tree</v>
      </c>
      <c r="O2724">
        <v>6</v>
      </c>
      <c r="P2724">
        <v>11</v>
      </c>
      <c r="Q2724">
        <v>6</v>
      </c>
      <c r="R2724">
        <v>11</v>
      </c>
      <c r="S2724">
        <v>0.64705999999999997</v>
      </c>
      <c r="T2724" t="s">
        <v>90</v>
      </c>
      <c r="U2724" t="s">
        <v>73</v>
      </c>
      <c r="V2724">
        <v>95384385.856999993</v>
      </c>
      <c r="W2724" t="s">
        <v>267</v>
      </c>
      <c r="X2724">
        <v>3</v>
      </c>
      <c r="Y2724">
        <v>7</v>
      </c>
      <c r="Z2724">
        <v>29</v>
      </c>
      <c r="AA2724">
        <v>0.19444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</v>
      </c>
      <c r="AH2724">
        <v>4</v>
      </c>
      <c r="AI2724">
        <v>6</v>
      </c>
      <c r="AJ2724">
        <v>26</v>
      </c>
      <c r="AK2724">
        <v>0.1875</v>
      </c>
      <c r="AL2724">
        <v>15</v>
      </c>
      <c r="AM2724">
        <v>13</v>
      </c>
      <c r="AN2724">
        <v>92</v>
      </c>
      <c r="AO2724">
        <v>34</v>
      </c>
      <c r="AP2724">
        <v>49</v>
      </c>
      <c r="AQ2724">
        <v>4</v>
      </c>
      <c r="AR2724" t="s">
        <v>17580</v>
      </c>
      <c r="AS2724" t="s">
        <v>17581</v>
      </c>
      <c r="AT2724">
        <v>1.5920000000000001</v>
      </c>
      <c r="AU2724" t="s">
        <v>65</v>
      </c>
      <c r="AV2724">
        <v>141</v>
      </c>
      <c r="AW2724">
        <v>38</v>
      </c>
      <c r="AX2724" t="s">
        <v>17582</v>
      </c>
      <c r="AY2724">
        <v>2.8510000000000001E-2</v>
      </c>
      <c r="AZ2724">
        <v>-1.0300000000000001E-3</v>
      </c>
      <c r="BA2724">
        <v>1.98E-3</v>
      </c>
      <c r="BB2724">
        <v>-9.0000000000000006E-5</v>
      </c>
      <c r="BC2724">
        <v>6.9320000000000007E-2</v>
      </c>
      <c r="BD2724">
        <v>1</v>
      </c>
      <c r="BE2724" t="s">
        <v>69</v>
      </c>
      <c r="BF2724">
        <v>-1.528</v>
      </c>
      <c r="BG2724">
        <v>-3.0449999999999999</v>
      </c>
    </row>
    <row r="2725" spans="1:59">
      <c r="A2725">
        <v>0</v>
      </c>
      <c r="B2725">
        <v>35</v>
      </c>
      <c r="C2725">
        <v>6</v>
      </c>
      <c r="D2725" t="s">
        <v>25022</v>
      </c>
      <c r="E2725">
        <v>1100</v>
      </c>
      <c r="F2725" t="s">
        <v>6922</v>
      </c>
      <c r="G2725" t="s">
        <v>57</v>
      </c>
      <c r="H2725">
        <v>1144749</v>
      </c>
      <c r="I2725">
        <v>1148138</v>
      </c>
      <c r="J2725" t="s">
        <v>6923</v>
      </c>
      <c r="K2725">
        <v>1130</v>
      </c>
      <c r="L2725" t="s">
        <v>108</v>
      </c>
      <c r="M2725">
        <v>44</v>
      </c>
      <c r="N2725" t="str">
        <f>HYPERLINK("Gene1100-zp_tree_all.dnd", "Gene1100-tree")</f>
        <v>Gene1100-tree</v>
      </c>
      <c r="O2725">
        <v>3</v>
      </c>
      <c r="P2725">
        <v>14</v>
      </c>
      <c r="Q2725">
        <v>3</v>
      </c>
      <c r="R2725">
        <v>14</v>
      </c>
      <c r="S2725">
        <v>0.82352999999999998</v>
      </c>
      <c r="T2725" t="s">
        <v>324</v>
      </c>
      <c r="U2725" t="s">
        <v>543</v>
      </c>
      <c r="V2725">
        <v>526110884.52200001</v>
      </c>
      <c r="W2725" t="s">
        <v>267</v>
      </c>
      <c r="X2725">
        <v>17</v>
      </c>
      <c r="Y2725">
        <v>41</v>
      </c>
      <c r="Z2725">
        <v>43</v>
      </c>
      <c r="AA2725">
        <v>0.48809999999999998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11</v>
      </c>
      <c r="AH2725">
        <v>2</v>
      </c>
      <c r="AI2725">
        <v>13</v>
      </c>
      <c r="AJ2725">
        <v>38</v>
      </c>
      <c r="AK2725">
        <v>0.25490000000000002</v>
      </c>
      <c r="AL2725">
        <v>15</v>
      </c>
      <c r="AM2725">
        <v>14</v>
      </c>
      <c r="AN2725">
        <v>127</v>
      </c>
      <c r="AO2725">
        <v>44</v>
      </c>
      <c r="AP2725">
        <v>85</v>
      </c>
      <c r="AQ2725">
        <v>41</v>
      </c>
      <c r="AR2725" t="s">
        <v>6924</v>
      </c>
      <c r="AS2725" t="s">
        <v>6925</v>
      </c>
      <c r="AT2725">
        <v>0.76500000000000001</v>
      </c>
      <c r="AU2725" t="s">
        <v>65</v>
      </c>
      <c r="AV2725">
        <v>212</v>
      </c>
      <c r="AW2725">
        <v>85</v>
      </c>
      <c r="AX2725" t="s">
        <v>6926</v>
      </c>
      <c r="AY2725">
        <v>4.5740000000000003E-2</v>
      </c>
      <c r="AZ2725">
        <v>-1.49E-3</v>
      </c>
      <c r="BA2725">
        <v>5.6499999999999996E-3</v>
      </c>
      <c r="BB2725">
        <v>-2.0000000000000001E-4</v>
      </c>
      <c r="BC2725">
        <v>0.12361</v>
      </c>
      <c r="BD2725">
        <v>1</v>
      </c>
      <c r="BE2725" t="s">
        <v>69</v>
      </c>
      <c r="BF2725">
        <v>-0.14499999999999999</v>
      </c>
      <c r="BG2725">
        <v>-1.349</v>
      </c>
    </row>
    <row r="2726" spans="1:59">
      <c r="A2726">
        <v>0</v>
      </c>
      <c r="B2726">
        <v>7</v>
      </c>
      <c r="C2726">
        <v>0</v>
      </c>
      <c r="D2726" t="s">
        <v>25022</v>
      </c>
      <c r="E2726">
        <v>1546</v>
      </c>
      <c r="F2726" t="s">
        <v>9662</v>
      </c>
      <c r="G2726" t="s">
        <v>57</v>
      </c>
      <c r="H2726">
        <v>1554185</v>
      </c>
      <c r="I2726">
        <v>1557628</v>
      </c>
      <c r="J2726" t="s">
        <v>9663</v>
      </c>
      <c r="K2726">
        <v>1148</v>
      </c>
      <c r="L2726" t="s">
        <v>108</v>
      </c>
      <c r="M2726">
        <v>44</v>
      </c>
      <c r="N2726" t="str">
        <f>HYPERLINK("Gene1546-zp_tree_all.dnd", "Gene1546-tree")</f>
        <v>Gene1546-tree</v>
      </c>
      <c r="O2726">
        <v>8</v>
      </c>
      <c r="P2726">
        <v>26</v>
      </c>
      <c r="Q2726">
        <v>8</v>
      </c>
      <c r="R2726">
        <v>9</v>
      </c>
      <c r="S2726">
        <v>0.52941000000000005</v>
      </c>
      <c r="T2726" t="s">
        <v>136</v>
      </c>
      <c r="U2726" t="s">
        <v>4723</v>
      </c>
      <c r="V2726">
        <v>3.093</v>
      </c>
      <c r="W2726" t="s">
        <v>65</v>
      </c>
      <c r="X2726">
        <v>3</v>
      </c>
      <c r="Y2726">
        <v>7</v>
      </c>
      <c r="Z2726">
        <v>14</v>
      </c>
      <c r="AA2726">
        <v>0.33333000000000002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3</v>
      </c>
      <c r="AH2726">
        <v>0</v>
      </c>
      <c r="AI2726">
        <v>3</v>
      </c>
      <c r="AJ2726">
        <v>13</v>
      </c>
      <c r="AK2726">
        <v>0.1875</v>
      </c>
      <c r="AL2726">
        <v>14</v>
      </c>
      <c r="AM2726">
        <v>13</v>
      </c>
      <c r="AN2726">
        <v>86</v>
      </c>
      <c r="AO2726">
        <v>14</v>
      </c>
      <c r="AP2726">
        <v>99</v>
      </c>
      <c r="AQ2726">
        <v>7</v>
      </c>
      <c r="AR2726" t="s">
        <v>9664</v>
      </c>
      <c r="AS2726" t="s">
        <v>9665</v>
      </c>
      <c r="AT2726">
        <v>0.88</v>
      </c>
      <c r="AU2726" t="s">
        <v>65</v>
      </c>
      <c r="AV2726">
        <v>185</v>
      </c>
      <c r="AW2726">
        <v>21</v>
      </c>
      <c r="AX2726" t="s">
        <v>9666</v>
      </c>
      <c r="AY2726">
        <v>4.4200000000000003E-2</v>
      </c>
      <c r="AZ2726">
        <v>-1.5100000000000001E-3</v>
      </c>
      <c r="BA2726">
        <v>1.1999999999999999E-3</v>
      </c>
      <c r="BB2726">
        <v>-6.0000000000000002E-5</v>
      </c>
      <c r="BC2726">
        <v>2.717E-2</v>
      </c>
      <c r="BD2726">
        <v>1</v>
      </c>
      <c r="BE2726" t="s">
        <v>69</v>
      </c>
      <c r="BF2726">
        <v>-0.252</v>
      </c>
      <c r="BG2726">
        <v>0.182</v>
      </c>
    </row>
    <row r="2727" spans="1:59">
      <c r="A2727">
        <v>0</v>
      </c>
      <c r="B2727">
        <v>25</v>
      </c>
      <c r="C2727">
        <v>0</v>
      </c>
      <c r="D2727" t="s">
        <v>25022</v>
      </c>
      <c r="E2727">
        <v>1097</v>
      </c>
      <c r="F2727" t="s">
        <v>6901</v>
      </c>
      <c r="G2727" t="s">
        <v>57</v>
      </c>
      <c r="H2727">
        <v>1136320</v>
      </c>
      <c r="I2727">
        <v>1139817</v>
      </c>
      <c r="J2727" t="s">
        <v>6902</v>
      </c>
      <c r="K2727">
        <v>1166</v>
      </c>
      <c r="L2727" t="s">
        <v>108</v>
      </c>
      <c r="M2727">
        <v>44</v>
      </c>
      <c r="N2727" t="str">
        <f>HYPERLINK("Gene1097-zp_tree_all.dnd", "Gene1097-tree")</f>
        <v>Gene1097-tree</v>
      </c>
      <c r="O2727">
        <v>21</v>
      </c>
      <c r="P2727">
        <v>14</v>
      </c>
      <c r="Q2727">
        <v>4</v>
      </c>
      <c r="R2727">
        <v>14</v>
      </c>
      <c r="S2727">
        <v>0.77778000000000003</v>
      </c>
      <c r="T2727" t="s">
        <v>3348</v>
      </c>
      <c r="U2727" t="s">
        <v>543</v>
      </c>
      <c r="V2727">
        <v>5.42</v>
      </c>
      <c r="W2727" t="s">
        <v>267</v>
      </c>
      <c r="X2727">
        <v>6</v>
      </c>
      <c r="Y2727">
        <v>25</v>
      </c>
      <c r="Z2727">
        <v>23</v>
      </c>
      <c r="AA2727">
        <v>0.52083000000000002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11</v>
      </c>
      <c r="AH2727">
        <v>0</v>
      </c>
      <c r="AI2727">
        <v>11</v>
      </c>
      <c r="AJ2727">
        <v>19</v>
      </c>
      <c r="AK2727">
        <v>0.36667</v>
      </c>
      <c r="AL2727">
        <v>16</v>
      </c>
      <c r="AM2727">
        <v>12</v>
      </c>
      <c r="AN2727">
        <v>81</v>
      </c>
      <c r="AO2727">
        <v>30</v>
      </c>
      <c r="AP2727">
        <v>62</v>
      </c>
      <c r="AQ2727">
        <v>18</v>
      </c>
      <c r="AR2727" t="s">
        <v>6903</v>
      </c>
      <c r="AS2727" t="s">
        <v>6904</v>
      </c>
      <c r="AT2727">
        <v>0.39900000000000002</v>
      </c>
      <c r="AU2727" t="s">
        <v>65</v>
      </c>
      <c r="AV2727">
        <v>143</v>
      </c>
      <c r="AW2727">
        <v>48</v>
      </c>
      <c r="AX2727" t="s">
        <v>6905</v>
      </c>
      <c r="AY2727">
        <v>2.758E-2</v>
      </c>
      <c r="AZ2727">
        <v>-8.0999999999999996E-4</v>
      </c>
      <c r="BA2727">
        <v>2.2000000000000001E-3</v>
      </c>
      <c r="BB2727">
        <v>-6.9999999999999994E-5</v>
      </c>
      <c r="BC2727">
        <v>7.9920000000000005E-2</v>
      </c>
      <c r="BD2727">
        <v>1</v>
      </c>
      <c r="BE2727" t="s">
        <v>69</v>
      </c>
      <c r="BF2727">
        <v>-0.88700000000000001</v>
      </c>
      <c r="BG2727">
        <v>-1.851</v>
      </c>
    </row>
    <row r="2728" spans="1:59">
      <c r="A2728">
        <v>0</v>
      </c>
      <c r="B2728">
        <v>11</v>
      </c>
      <c r="C2728">
        <v>0</v>
      </c>
      <c r="D2728" t="s">
        <v>25022</v>
      </c>
      <c r="E2728">
        <v>55</v>
      </c>
      <c r="F2728" t="s">
        <v>456</v>
      </c>
      <c r="G2728" t="s">
        <v>57</v>
      </c>
      <c r="H2728">
        <v>60430</v>
      </c>
      <c r="I2728">
        <v>63960</v>
      </c>
      <c r="J2728" t="s">
        <v>457</v>
      </c>
      <c r="K2728">
        <v>1177</v>
      </c>
      <c r="L2728" t="s">
        <v>108</v>
      </c>
      <c r="M2728">
        <v>44</v>
      </c>
      <c r="N2728" t="str">
        <f>HYPERLINK("Gene55-zp_tree_all.dnd", "Gene55-tree")</f>
        <v>Gene55-tree</v>
      </c>
      <c r="O2728">
        <v>8</v>
      </c>
      <c r="P2728">
        <v>9</v>
      </c>
      <c r="Q2728">
        <v>8</v>
      </c>
      <c r="R2728">
        <v>9</v>
      </c>
      <c r="S2728">
        <v>0.52941000000000005</v>
      </c>
      <c r="T2728" t="s">
        <v>136</v>
      </c>
      <c r="U2728" t="s">
        <v>135</v>
      </c>
      <c r="V2728" t="s">
        <v>62</v>
      </c>
      <c r="W2728" t="s">
        <v>62</v>
      </c>
      <c r="X2728">
        <v>4</v>
      </c>
      <c r="Y2728">
        <v>11</v>
      </c>
      <c r="Z2728">
        <v>9</v>
      </c>
      <c r="AA2728">
        <v>0.55000000000000004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3</v>
      </c>
      <c r="AH2728">
        <v>0</v>
      </c>
      <c r="AI2728">
        <v>3</v>
      </c>
      <c r="AJ2728">
        <v>10</v>
      </c>
      <c r="AK2728">
        <v>0.23077</v>
      </c>
      <c r="AL2728">
        <v>17</v>
      </c>
      <c r="AM2728">
        <v>14</v>
      </c>
      <c r="AN2728">
        <v>122</v>
      </c>
      <c r="AO2728">
        <v>14</v>
      </c>
      <c r="AP2728">
        <v>72</v>
      </c>
      <c r="AQ2728">
        <v>7</v>
      </c>
      <c r="AR2728" t="s">
        <v>458</v>
      </c>
      <c r="AS2728" t="s">
        <v>459</v>
      </c>
      <c r="AT2728">
        <v>0.21299999999999999</v>
      </c>
      <c r="AU2728" t="s">
        <v>65</v>
      </c>
      <c r="AV2728">
        <v>194</v>
      </c>
      <c r="AW2728">
        <v>21</v>
      </c>
      <c r="AX2728" t="s">
        <v>460</v>
      </c>
      <c r="AY2728">
        <v>3.712E-2</v>
      </c>
      <c r="AZ2728">
        <v>-8.7000000000000001E-4</v>
      </c>
      <c r="BA2728">
        <v>1.0300000000000001E-3</v>
      </c>
      <c r="BB2728">
        <v>-6.0000000000000002E-5</v>
      </c>
      <c r="BC2728">
        <v>2.7640000000000001E-2</v>
      </c>
      <c r="BD2728">
        <v>1</v>
      </c>
      <c r="BE2728" t="s">
        <v>69</v>
      </c>
      <c r="BF2728">
        <v>-0.65300000000000002</v>
      </c>
      <c r="BG2728">
        <v>-0.98799999999999999</v>
      </c>
    </row>
    <row r="2729" spans="1:59">
      <c r="A2729">
        <v>0</v>
      </c>
      <c r="B2729">
        <v>14</v>
      </c>
      <c r="C2729">
        <v>0</v>
      </c>
      <c r="D2729" t="s">
        <v>25022</v>
      </c>
      <c r="E2729">
        <v>1655</v>
      </c>
      <c r="F2729" t="s">
        <v>10362</v>
      </c>
      <c r="G2729" t="s">
        <v>57</v>
      </c>
      <c r="H2729">
        <v>1666560</v>
      </c>
      <c r="I2729">
        <v>1670117</v>
      </c>
      <c r="J2729" t="s">
        <v>10363</v>
      </c>
      <c r="K2729">
        <v>1186</v>
      </c>
      <c r="L2729" t="s">
        <v>108</v>
      </c>
      <c r="M2729">
        <v>44</v>
      </c>
      <c r="N2729" t="str">
        <f>HYPERLINK("Gene1655-zp_tree_all.dnd", "Gene1655-tree")</f>
        <v>Gene1655-tree</v>
      </c>
      <c r="O2729">
        <v>7</v>
      </c>
      <c r="P2729">
        <v>9</v>
      </c>
      <c r="Q2729">
        <v>7</v>
      </c>
      <c r="R2729">
        <v>9</v>
      </c>
      <c r="S2729">
        <v>0.5625</v>
      </c>
      <c r="T2729" t="s">
        <v>152</v>
      </c>
      <c r="U2729" t="s">
        <v>135</v>
      </c>
      <c r="V2729" t="s">
        <v>62</v>
      </c>
      <c r="W2729" t="s">
        <v>62</v>
      </c>
      <c r="X2729">
        <v>6</v>
      </c>
      <c r="Y2729">
        <v>14</v>
      </c>
      <c r="Z2729">
        <v>18</v>
      </c>
      <c r="AA2729">
        <v>0.4375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</v>
      </c>
      <c r="AH2729">
        <v>0</v>
      </c>
      <c r="AI2729">
        <v>2</v>
      </c>
      <c r="AJ2729">
        <v>17</v>
      </c>
      <c r="AK2729">
        <v>0.10526000000000001</v>
      </c>
      <c r="AL2729">
        <v>14</v>
      </c>
      <c r="AM2729">
        <v>12</v>
      </c>
      <c r="AN2729">
        <v>103</v>
      </c>
      <c r="AO2729">
        <v>19</v>
      </c>
      <c r="AP2729">
        <v>68</v>
      </c>
      <c r="AQ2729">
        <v>13</v>
      </c>
      <c r="AR2729" t="s">
        <v>10364</v>
      </c>
      <c r="AS2729" t="s">
        <v>10365</v>
      </c>
      <c r="AT2729">
        <v>4.4999999999999998E-2</v>
      </c>
      <c r="AU2729" t="s">
        <v>65</v>
      </c>
      <c r="AV2729">
        <v>171</v>
      </c>
      <c r="AW2729">
        <v>32</v>
      </c>
      <c r="AX2729" t="s">
        <v>10366</v>
      </c>
      <c r="AY2729">
        <v>3.6569999999999998E-2</v>
      </c>
      <c r="AZ2729">
        <v>-1.0499999999999999E-3</v>
      </c>
      <c r="BA2729">
        <v>2E-3</v>
      </c>
      <c r="BB2729">
        <v>-9.0000000000000006E-5</v>
      </c>
      <c r="BC2729">
        <v>5.4649999999999997E-2</v>
      </c>
      <c r="BD2729">
        <v>1</v>
      </c>
      <c r="BE2729" t="s">
        <v>69</v>
      </c>
      <c r="BF2729">
        <v>-0.79600000000000004</v>
      </c>
      <c r="BG2729">
        <v>-1.974</v>
      </c>
    </row>
    <row r="2730" spans="1:59">
      <c r="A2730">
        <v>0</v>
      </c>
      <c r="B2730">
        <v>73</v>
      </c>
      <c r="C2730">
        <v>1</v>
      </c>
      <c r="D2730" t="s">
        <v>25022</v>
      </c>
      <c r="E2730">
        <v>2295</v>
      </c>
      <c r="F2730" t="s">
        <v>13293</v>
      </c>
      <c r="G2730" t="s">
        <v>62</v>
      </c>
      <c r="H2730">
        <v>2312532</v>
      </c>
      <c r="I2730">
        <v>2316110</v>
      </c>
      <c r="J2730" t="s">
        <v>13294</v>
      </c>
      <c r="K2730">
        <v>1193</v>
      </c>
      <c r="L2730" t="s">
        <v>108</v>
      </c>
      <c r="M2730">
        <v>44</v>
      </c>
      <c r="N2730" t="str">
        <f>HYPERLINK("Gene2295-zp_tree_all.dnd", "Gene2295-tree")</f>
        <v>Gene2295-tree</v>
      </c>
      <c r="O2730">
        <v>2</v>
      </c>
      <c r="P2730">
        <v>14</v>
      </c>
      <c r="Q2730">
        <v>2</v>
      </c>
      <c r="R2730">
        <v>14</v>
      </c>
      <c r="S2730">
        <v>0.875</v>
      </c>
      <c r="T2730" t="s">
        <v>81</v>
      </c>
      <c r="U2730" t="s">
        <v>543</v>
      </c>
      <c r="V2730">
        <v>860908720.12699997</v>
      </c>
      <c r="W2730" t="s">
        <v>267</v>
      </c>
      <c r="X2730">
        <v>25</v>
      </c>
      <c r="Y2730">
        <v>74</v>
      </c>
      <c r="Z2730">
        <v>55</v>
      </c>
      <c r="AA2730">
        <v>0.57364000000000004</v>
      </c>
      <c r="AB2730">
        <v>0</v>
      </c>
      <c r="AC2730">
        <v>0</v>
      </c>
      <c r="AD2730">
        <v>0</v>
      </c>
      <c r="AE2730">
        <v>8</v>
      </c>
      <c r="AF2730">
        <v>0</v>
      </c>
      <c r="AG2730">
        <v>27</v>
      </c>
      <c r="AH2730">
        <v>7</v>
      </c>
      <c r="AI2730">
        <v>34</v>
      </c>
      <c r="AJ2730">
        <v>53</v>
      </c>
      <c r="AK2730">
        <v>0.39079999999999998</v>
      </c>
      <c r="AL2730">
        <v>14</v>
      </c>
      <c r="AM2730">
        <v>13</v>
      </c>
      <c r="AN2730">
        <v>122</v>
      </c>
      <c r="AO2730">
        <v>83</v>
      </c>
      <c r="AP2730">
        <v>64</v>
      </c>
      <c r="AQ2730">
        <v>46</v>
      </c>
      <c r="AR2730" t="s">
        <v>13295</v>
      </c>
      <c r="AS2730" t="s">
        <v>13296</v>
      </c>
      <c r="AT2730">
        <v>0.20200000000000001</v>
      </c>
      <c r="AU2730" t="s">
        <v>65</v>
      </c>
      <c r="AV2730">
        <v>186</v>
      </c>
      <c r="AW2730">
        <v>129</v>
      </c>
      <c r="AX2730" t="s">
        <v>13297</v>
      </c>
      <c r="AY2730">
        <v>3.5349999999999999E-2</v>
      </c>
      <c r="AZ2730">
        <v>-9.8999999999999999E-4</v>
      </c>
      <c r="BA2730">
        <v>6.9699999999999996E-3</v>
      </c>
      <c r="BB2730">
        <v>-1.8000000000000001E-4</v>
      </c>
      <c r="BC2730">
        <v>0.19716</v>
      </c>
      <c r="BD2730">
        <v>1</v>
      </c>
      <c r="BE2730" t="s">
        <v>69</v>
      </c>
      <c r="BF2730">
        <v>-0.74199999999999999</v>
      </c>
      <c r="BG2730">
        <v>-1.4810000000000001</v>
      </c>
    </row>
    <row r="2731" spans="1:59">
      <c r="A2731">
        <v>0</v>
      </c>
      <c r="B2731">
        <v>0</v>
      </c>
      <c r="C2731">
        <v>0</v>
      </c>
      <c r="D2731" t="s">
        <v>25022</v>
      </c>
      <c r="E2731">
        <v>107</v>
      </c>
      <c r="F2731" t="s">
        <v>822</v>
      </c>
      <c r="G2731" t="s">
        <v>57</v>
      </c>
      <c r="H2731">
        <v>121919</v>
      </c>
      <c r="I2731">
        <v>125497</v>
      </c>
      <c r="J2731" t="s">
        <v>823</v>
      </c>
      <c r="K2731">
        <v>1193</v>
      </c>
      <c r="L2731" t="s">
        <v>59</v>
      </c>
      <c r="M2731">
        <v>49</v>
      </c>
      <c r="N2731" t="str">
        <f>HYPERLINK("Gene107-zp_tree_all.dnd", "Gene107-tree")</f>
        <v>Gene107-tree</v>
      </c>
      <c r="O2731">
        <v>20</v>
      </c>
      <c r="P2731">
        <v>2</v>
      </c>
      <c r="Q2731">
        <v>20</v>
      </c>
      <c r="R2731">
        <v>2</v>
      </c>
      <c r="S2731">
        <v>9.0910000000000005E-2</v>
      </c>
      <c r="T2731" t="s">
        <v>528</v>
      </c>
      <c r="U2731" t="s">
        <v>81</v>
      </c>
      <c r="V2731" t="s">
        <v>62</v>
      </c>
      <c r="W2731" t="s">
        <v>62</v>
      </c>
      <c r="X2731">
        <v>0</v>
      </c>
      <c r="Y2731">
        <v>0</v>
      </c>
      <c r="Z2731">
        <v>8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4</v>
      </c>
      <c r="AK2731">
        <v>0</v>
      </c>
      <c r="AL2731">
        <v>19</v>
      </c>
      <c r="AM2731">
        <v>18</v>
      </c>
      <c r="AN2731">
        <v>112</v>
      </c>
      <c r="AO2731">
        <v>5</v>
      </c>
      <c r="AP2731">
        <v>139</v>
      </c>
      <c r="AQ2731">
        <v>4</v>
      </c>
      <c r="AR2731" t="s">
        <v>824</v>
      </c>
      <c r="AS2731" t="s">
        <v>825</v>
      </c>
      <c r="AT2731">
        <v>0.14299999999999999</v>
      </c>
      <c r="AU2731" t="s">
        <v>65</v>
      </c>
      <c r="AV2731">
        <v>251</v>
      </c>
      <c r="AW2731">
        <v>9</v>
      </c>
      <c r="AX2731" t="s">
        <v>826</v>
      </c>
      <c r="AY2731">
        <v>5.1929999999999997E-2</v>
      </c>
      <c r="AZ2731">
        <v>-2.7499999999999998E-3</v>
      </c>
      <c r="BA2731">
        <v>4.8999999999999998E-4</v>
      </c>
      <c r="BB2731">
        <v>-3.0000000000000001E-5</v>
      </c>
      <c r="BC2731">
        <v>9.4500000000000001E-3</v>
      </c>
      <c r="BD2731">
        <v>1</v>
      </c>
      <c r="BE2731" t="s">
        <v>69</v>
      </c>
      <c r="BF2731">
        <v>-1.591</v>
      </c>
      <c r="BG2731">
        <v>-1.4350000000000001</v>
      </c>
    </row>
    <row r="2732" spans="1:59">
      <c r="A2732">
        <v>0</v>
      </c>
      <c r="B2732">
        <v>0</v>
      </c>
      <c r="C2732">
        <v>0</v>
      </c>
      <c r="D2732" t="s">
        <v>25022</v>
      </c>
      <c r="E2732">
        <v>108</v>
      </c>
      <c r="F2732" t="s">
        <v>829</v>
      </c>
      <c r="G2732" t="s">
        <v>57</v>
      </c>
      <c r="H2732">
        <v>125562</v>
      </c>
      <c r="I2732">
        <v>129158</v>
      </c>
      <c r="J2732" t="s">
        <v>830</v>
      </c>
      <c r="K2732">
        <v>1199</v>
      </c>
      <c r="L2732" t="s">
        <v>59</v>
      </c>
      <c r="M2732">
        <v>49</v>
      </c>
      <c r="N2732" t="str">
        <f>HYPERLINK("Gene108-zp_tree_all.dnd", "Gene108-tree")</f>
        <v>Gene108-tree</v>
      </c>
      <c r="O2732">
        <v>18</v>
      </c>
      <c r="P2732">
        <v>3</v>
      </c>
      <c r="Q2732">
        <v>18</v>
      </c>
      <c r="R2732">
        <v>3</v>
      </c>
      <c r="S2732">
        <v>0.14285999999999999</v>
      </c>
      <c r="T2732" t="s">
        <v>144</v>
      </c>
      <c r="U2732" t="s">
        <v>324</v>
      </c>
      <c r="V2732" t="s">
        <v>62</v>
      </c>
      <c r="W2732" t="s">
        <v>62</v>
      </c>
      <c r="X2732">
        <v>0</v>
      </c>
      <c r="Y2732">
        <v>0</v>
      </c>
      <c r="Z2732">
        <v>6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3</v>
      </c>
      <c r="AK2732">
        <v>0</v>
      </c>
      <c r="AL2732">
        <v>18</v>
      </c>
      <c r="AM2732">
        <v>16</v>
      </c>
      <c r="AN2732">
        <v>127</v>
      </c>
      <c r="AO2732">
        <v>3</v>
      </c>
      <c r="AP2732">
        <v>149</v>
      </c>
      <c r="AQ2732">
        <v>3</v>
      </c>
      <c r="AR2732" t="s">
        <v>831</v>
      </c>
      <c r="AS2732" t="s">
        <v>832</v>
      </c>
      <c r="AT2732">
        <v>6.2E-2</v>
      </c>
      <c r="AU2732" t="s">
        <v>65</v>
      </c>
      <c r="AV2732">
        <v>276</v>
      </c>
      <c r="AW2732">
        <v>6</v>
      </c>
      <c r="AX2732" t="s">
        <v>833</v>
      </c>
      <c r="AY2732">
        <v>6.148E-2</v>
      </c>
      <c r="AZ2732">
        <v>-2.8999999999999998E-3</v>
      </c>
      <c r="BA2732">
        <v>4.6999999999999999E-4</v>
      </c>
      <c r="BB2732">
        <v>-3.0000000000000001E-5</v>
      </c>
      <c r="BC2732">
        <v>7.5799999999999999E-3</v>
      </c>
      <c r="BD2732">
        <v>1</v>
      </c>
      <c r="BE2732" t="s">
        <v>69</v>
      </c>
      <c r="BF2732">
        <v>-1.2210000000000001</v>
      </c>
      <c r="BG2732">
        <v>-0.98299999999999998</v>
      </c>
    </row>
    <row r="2733" spans="1:59">
      <c r="A2733">
        <v>0</v>
      </c>
      <c r="B2733">
        <v>20</v>
      </c>
      <c r="C2733">
        <v>4</v>
      </c>
      <c r="D2733" t="s">
        <v>25022</v>
      </c>
      <c r="E2733">
        <v>953</v>
      </c>
      <c r="F2733" t="s">
        <v>5977</v>
      </c>
      <c r="G2733" t="s">
        <v>57</v>
      </c>
      <c r="H2733">
        <v>991348</v>
      </c>
      <c r="I2733">
        <v>994998</v>
      </c>
      <c r="J2733" t="s">
        <v>5978</v>
      </c>
      <c r="K2733">
        <v>1217</v>
      </c>
      <c r="L2733" t="s">
        <v>5979</v>
      </c>
      <c r="M2733">
        <v>34</v>
      </c>
      <c r="N2733" t="str">
        <f>HYPERLINK("Gene953-zp_tree_all.dnd", "Gene953-tree")</f>
        <v>Gene953-tree</v>
      </c>
      <c r="O2733">
        <v>1</v>
      </c>
      <c r="P2733">
        <v>9</v>
      </c>
      <c r="Q2733">
        <v>1</v>
      </c>
      <c r="R2733">
        <v>9</v>
      </c>
      <c r="S2733">
        <v>0.9</v>
      </c>
      <c r="T2733" t="s">
        <v>175</v>
      </c>
      <c r="U2733" t="s">
        <v>135</v>
      </c>
      <c r="V2733" t="s">
        <v>62</v>
      </c>
      <c r="W2733" t="s">
        <v>62</v>
      </c>
      <c r="X2733">
        <v>11</v>
      </c>
      <c r="Y2733">
        <v>24</v>
      </c>
      <c r="Z2733">
        <v>47</v>
      </c>
      <c r="AA2733">
        <v>0.33803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4</v>
      </c>
      <c r="AH2733">
        <v>2</v>
      </c>
      <c r="AI2733">
        <v>6</v>
      </c>
      <c r="AJ2733">
        <v>40</v>
      </c>
      <c r="AK2733">
        <v>0.13042999999999999</v>
      </c>
      <c r="AL2733">
        <v>9</v>
      </c>
      <c r="AM2733">
        <v>6</v>
      </c>
      <c r="AN2733">
        <v>59</v>
      </c>
      <c r="AO2733">
        <v>47</v>
      </c>
      <c r="AP2733">
        <v>47</v>
      </c>
      <c r="AQ2733">
        <v>26</v>
      </c>
      <c r="AR2733" t="s">
        <v>5980</v>
      </c>
      <c r="AS2733" t="s">
        <v>5981</v>
      </c>
      <c r="AT2733">
        <v>0.308</v>
      </c>
      <c r="AU2733" t="s">
        <v>65</v>
      </c>
      <c r="AV2733">
        <v>106</v>
      </c>
      <c r="AW2733">
        <v>73</v>
      </c>
      <c r="AX2733" t="s">
        <v>5982</v>
      </c>
      <c r="AY2733">
        <v>3.6299999999999999E-2</v>
      </c>
      <c r="AZ2733">
        <v>-2.5999999999999999E-3</v>
      </c>
      <c r="BA2733">
        <v>6.62E-3</v>
      </c>
      <c r="BB2733">
        <v>-4.6999999999999999E-4</v>
      </c>
      <c r="BC2733">
        <v>0.18242</v>
      </c>
      <c r="BD2733">
        <v>1</v>
      </c>
      <c r="BE2733" t="s">
        <v>69</v>
      </c>
      <c r="BF2733">
        <v>-0.60299999999999998</v>
      </c>
      <c r="BG2733">
        <v>-1.006</v>
      </c>
    </row>
    <row r="2734" spans="1:59">
      <c r="A2734">
        <v>0</v>
      </c>
      <c r="B2734">
        <v>18</v>
      </c>
      <c r="C2734">
        <v>4</v>
      </c>
      <c r="D2734" t="s">
        <v>25022</v>
      </c>
      <c r="E2734">
        <v>3864</v>
      </c>
      <c r="F2734" t="s">
        <v>22660</v>
      </c>
      <c r="G2734" t="s">
        <v>62</v>
      </c>
      <c r="H2734">
        <v>3826262</v>
      </c>
      <c r="I2734">
        <v>3829945</v>
      </c>
      <c r="J2734" t="s">
        <v>22661</v>
      </c>
      <c r="K2734">
        <v>1228</v>
      </c>
      <c r="L2734" t="s">
        <v>1174</v>
      </c>
      <c r="M2734">
        <v>42</v>
      </c>
      <c r="N2734" t="str">
        <f>HYPERLINK("Gene3864-zp_tree_all.dnd", "Gene3864-tree")</f>
        <v>Gene3864-tree</v>
      </c>
      <c r="O2734">
        <v>5</v>
      </c>
      <c r="P2734">
        <v>11</v>
      </c>
      <c r="Q2734">
        <v>5</v>
      </c>
      <c r="R2734">
        <v>11</v>
      </c>
      <c r="S2734">
        <v>0.6875</v>
      </c>
      <c r="T2734" t="s">
        <v>199</v>
      </c>
      <c r="U2734" t="s">
        <v>73</v>
      </c>
      <c r="V2734">
        <v>137353515.63499999</v>
      </c>
      <c r="W2734" t="s">
        <v>267</v>
      </c>
      <c r="X2734">
        <v>8</v>
      </c>
      <c r="Y2734">
        <v>22</v>
      </c>
      <c r="Z2734">
        <v>27</v>
      </c>
      <c r="AA2734">
        <v>0.44897999999999999</v>
      </c>
      <c r="AB2734">
        <v>0</v>
      </c>
      <c r="AC2734">
        <v>0</v>
      </c>
      <c r="AD2734">
        <v>0</v>
      </c>
      <c r="AE2734">
        <v>3</v>
      </c>
      <c r="AF2734">
        <v>0</v>
      </c>
      <c r="AG2734">
        <v>6</v>
      </c>
      <c r="AH2734">
        <v>1</v>
      </c>
      <c r="AI2734">
        <v>7</v>
      </c>
      <c r="AJ2734">
        <v>24</v>
      </c>
      <c r="AK2734">
        <v>0.22581000000000001</v>
      </c>
      <c r="AL2734">
        <v>14</v>
      </c>
      <c r="AM2734">
        <v>13</v>
      </c>
      <c r="AN2734">
        <v>197</v>
      </c>
      <c r="AO2734">
        <v>31</v>
      </c>
      <c r="AP2734">
        <v>167</v>
      </c>
      <c r="AQ2734">
        <v>20</v>
      </c>
      <c r="AR2734" t="s">
        <v>22662</v>
      </c>
      <c r="AS2734" t="s">
        <v>22663</v>
      </c>
      <c r="AT2734">
        <v>0.40799999999999997</v>
      </c>
      <c r="AU2734" t="s">
        <v>65</v>
      </c>
      <c r="AV2734">
        <v>364</v>
      </c>
      <c r="AW2734">
        <v>51</v>
      </c>
      <c r="AX2734" t="s">
        <v>22664</v>
      </c>
      <c r="AY2734">
        <v>7.2730000000000003E-2</v>
      </c>
      <c r="AZ2734">
        <v>-1.9E-3</v>
      </c>
      <c r="BA2734">
        <v>3.14E-3</v>
      </c>
      <c r="BB2734">
        <v>-1.2E-4</v>
      </c>
      <c r="BC2734">
        <v>4.3220000000000001E-2</v>
      </c>
      <c r="BD2734">
        <v>1</v>
      </c>
      <c r="BE2734" t="s">
        <v>69</v>
      </c>
      <c r="BF2734">
        <v>-4.9000000000000002E-2</v>
      </c>
      <c r="BG2734">
        <v>-0.98599999999999999</v>
      </c>
    </row>
    <row r="2735" spans="1:59">
      <c r="A2735">
        <v>0</v>
      </c>
      <c r="B2735">
        <v>26</v>
      </c>
      <c r="C2735">
        <v>5</v>
      </c>
      <c r="D2735" t="s">
        <v>25022</v>
      </c>
      <c r="E2735">
        <v>1098</v>
      </c>
      <c r="F2735" t="s">
        <v>6908</v>
      </c>
      <c r="G2735" t="s">
        <v>57</v>
      </c>
      <c r="H2735">
        <v>1139807</v>
      </c>
      <c r="I2735">
        <v>1143502</v>
      </c>
      <c r="J2735" t="s">
        <v>6909</v>
      </c>
      <c r="K2735">
        <v>1232</v>
      </c>
      <c r="L2735" t="s">
        <v>108</v>
      </c>
      <c r="M2735">
        <v>44</v>
      </c>
      <c r="N2735" t="str">
        <f>HYPERLINK("Gene1098-zp_tree_all.dnd", "Gene1098-tree")</f>
        <v>Gene1098-tree</v>
      </c>
      <c r="O2735">
        <v>2</v>
      </c>
      <c r="P2735">
        <v>14</v>
      </c>
      <c r="Q2735">
        <v>2</v>
      </c>
      <c r="R2735">
        <v>14</v>
      </c>
      <c r="S2735">
        <v>0.875</v>
      </c>
      <c r="T2735" t="s">
        <v>81</v>
      </c>
      <c r="U2735" t="s">
        <v>543</v>
      </c>
      <c r="V2735">
        <v>860908720.12699997</v>
      </c>
      <c r="W2735" t="s">
        <v>267</v>
      </c>
      <c r="X2735">
        <v>12</v>
      </c>
      <c r="Y2735">
        <v>31</v>
      </c>
      <c r="Z2735">
        <v>31</v>
      </c>
      <c r="AA2735">
        <v>0.5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16</v>
      </c>
      <c r="AH2735">
        <v>3</v>
      </c>
      <c r="AI2735">
        <v>19</v>
      </c>
      <c r="AJ2735">
        <v>26</v>
      </c>
      <c r="AK2735">
        <v>0.42221999999999998</v>
      </c>
      <c r="AL2735">
        <v>16</v>
      </c>
      <c r="AM2735">
        <v>12</v>
      </c>
      <c r="AN2735">
        <v>135</v>
      </c>
      <c r="AO2735">
        <v>46</v>
      </c>
      <c r="AP2735">
        <v>81</v>
      </c>
      <c r="AQ2735">
        <v>17</v>
      </c>
      <c r="AR2735" t="s">
        <v>6910</v>
      </c>
      <c r="AS2735" t="s">
        <v>6911</v>
      </c>
      <c r="AT2735">
        <v>0.92800000000000005</v>
      </c>
      <c r="AU2735" t="s">
        <v>65</v>
      </c>
      <c r="AV2735">
        <v>216</v>
      </c>
      <c r="AW2735">
        <v>63</v>
      </c>
      <c r="AX2735" t="s">
        <v>6912</v>
      </c>
      <c r="AY2735">
        <v>4.3360000000000003E-2</v>
      </c>
      <c r="AZ2735">
        <v>-1.14E-3</v>
      </c>
      <c r="BA2735">
        <v>3.29E-3</v>
      </c>
      <c r="BB2735">
        <v>-9.0000000000000006E-5</v>
      </c>
      <c r="BC2735">
        <v>7.5800000000000006E-2</v>
      </c>
      <c r="BD2735">
        <v>1</v>
      </c>
      <c r="BE2735" t="s">
        <v>69</v>
      </c>
      <c r="BF2735">
        <v>-0.59299999999999997</v>
      </c>
      <c r="BG2735">
        <v>-1.421</v>
      </c>
    </row>
    <row r="2736" spans="1:59">
      <c r="A2736">
        <v>0</v>
      </c>
      <c r="B2736">
        <v>36</v>
      </c>
      <c r="C2736">
        <v>10</v>
      </c>
      <c r="D2736" t="s">
        <v>25022</v>
      </c>
      <c r="E2736">
        <v>353</v>
      </c>
      <c r="F2736" t="s">
        <v>2409</v>
      </c>
      <c r="G2736" t="s">
        <v>57</v>
      </c>
      <c r="H2736">
        <v>398532</v>
      </c>
      <c r="I2736">
        <v>402356</v>
      </c>
      <c r="J2736" t="s">
        <v>2389</v>
      </c>
      <c r="K2736">
        <v>1275</v>
      </c>
      <c r="L2736" t="s">
        <v>108</v>
      </c>
      <c r="M2736">
        <v>44</v>
      </c>
      <c r="N2736" t="str">
        <f>HYPERLINK("Gene353-zp_tree_all.dnd", "Gene353-tree")</f>
        <v>Gene353-tree</v>
      </c>
      <c r="O2736">
        <v>4</v>
      </c>
      <c r="P2736">
        <v>12</v>
      </c>
      <c r="Q2736">
        <v>4</v>
      </c>
      <c r="R2736">
        <v>12</v>
      </c>
      <c r="S2736">
        <v>0.75</v>
      </c>
      <c r="T2736" t="s">
        <v>61</v>
      </c>
      <c r="U2736" t="s">
        <v>109</v>
      </c>
      <c r="V2736" t="s">
        <v>62</v>
      </c>
      <c r="W2736" t="s">
        <v>62</v>
      </c>
      <c r="X2736">
        <v>19</v>
      </c>
      <c r="Y2736">
        <v>46</v>
      </c>
      <c r="Z2736">
        <v>51</v>
      </c>
      <c r="AA2736">
        <v>0.47422999999999998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19</v>
      </c>
      <c r="AH2736">
        <v>2</v>
      </c>
      <c r="AI2736">
        <v>21</v>
      </c>
      <c r="AJ2736">
        <v>43</v>
      </c>
      <c r="AK2736">
        <v>0.32812999999999998</v>
      </c>
      <c r="AL2736">
        <v>13</v>
      </c>
      <c r="AM2736">
        <v>13</v>
      </c>
      <c r="AN2736">
        <v>148</v>
      </c>
      <c r="AO2736">
        <v>61</v>
      </c>
      <c r="AP2736">
        <v>99</v>
      </c>
      <c r="AQ2736">
        <v>36</v>
      </c>
      <c r="AR2736" t="s">
        <v>2410</v>
      </c>
      <c r="AS2736" t="s">
        <v>2411</v>
      </c>
      <c r="AT2736">
        <v>0.32400000000000001</v>
      </c>
      <c r="AU2736" t="s">
        <v>65</v>
      </c>
      <c r="AV2736">
        <v>247</v>
      </c>
      <c r="AW2736">
        <v>97</v>
      </c>
      <c r="AX2736" t="s">
        <v>2412</v>
      </c>
      <c r="AY2736">
        <v>4.8210000000000003E-2</v>
      </c>
      <c r="AZ2736">
        <v>-1.33E-3</v>
      </c>
      <c r="BA2736">
        <v>5.8700000000000002E-3</v>
      </c>
      <c r="BB2736">
        <v>-1.6000000000000001E-4</v>
      </c>
      <c r="BC2736">
        <v>0.12174</v>
      </c>
      <c r="BD2736">
        <v>1</v>
      </c>
      <c r="BE2736" t="s">
        <v>69</v>
      </c>
      <c r="BF2736">
        <v>-0.13500000000000001</v>
      </c>
      <c r="BG2736">
        <v>-0.52500000000000002</v>
      </c>
    </row>
    <row r="2737" spans="1:59">
      <c r="A2737">
        <v>0</v>
      </c>
      <c r="B2737">
        <v>45</v>
      </c>
      <c r="C2737">
        <v>3</v>
      </c>
      <c r="D2737" t="s">
        <v>25022</v>
      </c>
      <c r="E2737">
        <v>3631</v>
      </c>
      <c r="F2737" t="s">
        <v>21332</v>
      </c>
      <c r="G2737" t="s">
        <v>62</v>
      </c>
      <c r="H2737">
        <v>3598043</v>
      </c>
      <c r="I2737">
        <v>3601909</v>
      </c>
      <c r="J2737" t="s">
        <v>1564</v>
      </c>
      <c r="K2737">
        <v>1289</v>
      </c>
      <c r="L2737" t="s">
        <v>108</v>
      </c>
      <c r="M2737">
        <v>44</v>
      </c>
      <c r="N2737" t="str">
        <f>HYPERLINK("Gene3631-zp_tree_all.dnd", "Gene3631-tree")</f>
        <v>Gene3631-tree</v>
      </c>
      <c r="O2737">
        <v>0</v>
      </c>
      <c r="P2737">
        <v>18</v>
      </c>
      <c r="Q2737">
        <v>0</v>
      </c>
      <c r="R2737">
        <v>18</v>
      </c>
      <c r="S2737">
        <v>1</v>
      </c>
      <c r="T2737" t="s">
        <v>62</v>
      </c>
      <c r="U2737" t="s">
        <v>144</v>
      </c>
      <c r="V2737" t="s">
        <v>62</v>
      </c>
      <c r="W2737" t="s">
        <v>62</v>
      </c>
      <c r="X2737">
        <v>17</v>
      </c>
      <c r="Y2737">
        <v>48</v>
      </c>
      <c r="Z2737">
        <v>47</v>
      </c>
      <c r="AA2737">
        <v>0.50526000000000004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28</v>
      </c>
      <c r="AH2737">
        <v>2</v>
      </c>
      <c r="AI2737">
        <v>30</v>
      </c>
      <c r="AJ2737">
        <v>47</v>
      </c>
      <c r="AK2737">
        <v>0.38961000000000001</v>
      </c>
      <c r="AL2737">
        <v>16</v>
      </c>
      <c r="AM2737">
        <v>13</v>
      </c>
      <c r="AN2737">
        <v>151</v>
      </c>
      <c r="AO2737">
        <v>70</v>
      </c>
      <c r="AP2737">
        <v>91</v>
      </c>
      <c r="AQ2737">
        <v>25</v>
      </c>
      <c r="AR2737" t="s">
        <v>21333</v>
      </c>
      <c r="AS2737" t="s">
        <v>21334</v>
      </c>
      <c r="AT2737">
        <v>1.325</v>
      </c>
      <c r="AU2737" t="s">
        <v>65</v>
      </c>
      <c r="AV2737">
        <v>242</v>
      </c>
      <c r="AW2737">
        <v>95</v>
      </c>
      <c r="AX2737" t="s">
        <v>21335</v>
      </c>
      <c r="AY2737">
        <v>4.3490000000000001E-2</v>
      </c>
      <c r="AZ2737">
        <v>-1.1800000000000001E-3</v>
      </c>
      <c r="BA2737">
        <v>4.3899999999999998E-3</v>
      </c>
      <c r="BB2737">
        <v>-1.3999999999999999E-4</v>
      </c>
      <c r="BC2737">
        <v>0.10082000000000001</v>
      </c>
      <c r="BD2737">
        <v>1</v>
      </c>
      <c r="BE2737" t="s">
        <v>69</v>
      </c>
      <c r="BF2737">
        <v>-0.93100000000000005</v>
      </c>
      <c r="BG2737">
        <v>-1.9219999999999999</v>
      </c>
    </row>
    <row r="2738" spans="1:59">
      <c r="A2738">
        <v>0</v>
      </c>
      <c r="B2738">
        <v>79</v>
      </c>
      <c r="C2738">
        <v>6</v>
      </c>
      <c r="D2738" t="s">
        <v>25022</v>
      </c>
      <c r="E2738">
        <v>1591</v>
      </c>
      <c r="F2738" t="s">
        <v>9954</v>
      </c>
      <c r="G2738" t="s">
        <v>57</v>
      </c>
      <c r="H2738">
        <v>1599283</v>
      </c>
      <c r="I2738">
        <v>1603581</v>
      </c>
      <c r="J2738" t="s">
        <v>9955</v>
      </c>
      <c r="K2738">
        <v>1433</v>
      </c>
      <c r="L2738" t="s">
        <v>108</v>
      </c>
      <c r="M2738">
        <v>44</v>
      </c>
      <c r="N2738" t="str">
        <f>HYPERLINK("Gene1591-zp_tree_all.dnd", "Gene1591-tree")</f>
        <v>Gene1591-tree</v>
      </c>
      <c r="O2738">
        <v>1</v>
      </c>
      <c r="P2738">
        <v>15</v>
      </c>
      <c r="Q2738">
        <v>1</v>
      </c>
      <c r="R2738">
        <v>15</v>
      </c>
      <c r="S2738">
        <v>0.9375</v>
      </c>
      <c r="T2738" t="s">
        <v>175</v>
      </c>
      <c r="U2738" t="s">
        <v>100</v>
      </c>
      <c r="V2738" t="s">
        <v>62</v>
      </c>
      <c r="W2738" t="s">
        <v>62</v>
      </c>
      <c r="X2738">
        <v>33</v>
      </c>
      <c r="Y2738">
        <v>85</v>
      </c>
      <c r="Z2738">
        <v>55</v>
      </c>
      <c r="AA2738">
        <v>0.60714000000000001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28</v>
      </c>
      <c r="AH2738">
        <v>7</v>
      </c>
      <c r="AI2738">
        <v>35</v>
      </c>
      <c r="AJ2738">
        <v>54</v>
      </c>
      <c r="AK2738">
        <v>0.39326</v>
      </c>
      <c r="AL2738">
        <v>14</v>
      </c>
      <c r="AM2738">
        <v>13</v>
      </c>
      <c r="AN2738">
        <v>154</v>
      </c>
      <c r="AO2738">
        <v>87</v>
      </c>
      <c r="AP2738">
        <v>135</v>
      </c>
      <c r="AQ2738">
        <v>60</v>
      </c>
      <c r="AR2738" t="s">
        <v>9956</v>
      </c>
      <c r="AS2738" t="s">
        <v>9957</v>
      </c>
      <c r="AT2738">
        <v>0.28399999999999997</v>
      </c>
      <c r="AU2738" t="s">
        <v>65</v>
      </c>
      <c r="AV2738">
        <v>289</v>
      </c>
      <c r="AW2738">
        <v>147</v>
      </c>
      <c r="AX2738" t="s">
        <v>9958</v>
      </c>
      <c r="AY2738">
        <v>5.0160000000000003E-2</v>
      </c>
      <c r="AZ2738">
        <v>-2.0200000000000001E-3</v>
      </c>
      <c r="BA2738">
        <v>7.6E-3</v>
      </c>
      <c r="BB2738">
        <v>-3.1E-4</v>
      </c>
      <c r="BC2738">
        <v>0.15146000000000001</v>
      </c>
      <c r="BD2738">
        <v>1</v>
      </c>
      <c r="BE2738" t="s">
        <v>69</v>
      </c>
      <c r="BF2738">
        <v>-0.314</v>
      </c>
      <c r="BG2738">
        <v>-1.9650000000000001</v>
      </c>
    </row>
    <row r="2739" spans="1:59">
      <c r="A2739">
        <v>0</v>
      </c>
      <c r="B2739">
        <v>5</v>
      </c>
      <c r="C2739">
        <v>0</v>
      </c>
      <c r="D2739" t="s">
        <v>25022</v>
      </c>
      <c r="E2739">
        <v>1720</v>
      </c>
      <c r="F2739" t="s">
        <v>10789</v>
      </c>
      <c r="G2739" t="s">
        <v>57</v>
      </c>
      <c r="H2739">
        <v>1727133</v>
      </c>
      <c r="I2739">
        <v>1731443</v>
      </c>
      <c r="J2739" t="s">
        <v>10790</v>
      </c>
      <c r="K2739">
        <v>1437</v>
      </c>
      <c r="L2739" t="s">
        <v>108</v>
      </c>
      <c r="M2739">
        <v>44</v>
      </c>
      <c r="N2739" t="str">
        <f>HYPERLINK("Gene1720-zp_tree_all.dnd", "Gene1720-tree")</f>
        <v>Gene1720-tree</v>
      </c>
      <c r="O2739">
        <v>3</v>
      </c>
      <c r="P2739">
        <v>10</v>
      </c>
      <c r="Q2739">
        <v>3</v>
      </c>
      <c r="R2739">
        <v>10</v>
      </c>
      <c r="S2739">
        <v>0.76922999999999997</v>
      </c>
      <c r="T2739" t="s">
        <v>324</v>
      </c>
      <c r="U2739" t="s">
        <v>117</v>
      </c>
      <c r="V2739" t="s">
        <v>62</v>
      </c>
      <c r="W2739" t="s">
        <v>62</v>
      </c>
      <c r="X2739">
        <v>2</v>
      </c>
      <c r="Y2739">
        <v>5</v>
      </c>
      <c r="Z2739">
        <v>11</v>
      </c>
      <c r="AA2739">
        <v>0.3125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</v>
      </c>
      <c r="AH2739">
        <v>0</v>
      </c>
      <c r="AI2739">
        <v>2</v>
      </c>
      <c r="AJ2739">
        <v>10</v>
      </c>
      <c r="AK2739">
        <v>0.16667000000000001</v>
      </c>
      <c r="AL2739">
        <v>13</v>
      </c>
      <c r="AM2739">
        <v>10</v>
      </c>
      <c r="AN2739">
        <v>138</v>
      </c>
      <c r="AO2739">
        <v>12</v>
      </c>
      <c r="AP2739">
        <v>65</v>
      </c>
      <c r="AQ2739">
        <v>4</v>
      </c>
      <c r="AR2739" t="s">
        <v>10791</v>
      </c>
      <c r="AS2739" t="s">
        <v>10792</v>
      </c>
      <c r="AT2739">
        <v>0.40600000000000003</v>
      </c>
      <c r="AU2739" t="s">
        <v>65</v>
      </c>
      <c r="AV2739">
        <v>203</v>
      </c>
      <c r="AW2739">
        <v>16</v>
      </c>
      <c r="AX2739" t="s">
        <v>10793</v>
      </c>
      <c r="AY2739">
        <v>3.6769999999999997E-2</v>
      </c>
      <c r="AZ2739">
        <v>-9.3000000000000005E-4</v>
      </c>
      <c r="BA2739">
        <v>8.8999999999999995E-4</v>
      </c>
      <c r="BB2739">
        <v>-5.0000000000000002E-5</v>
      </c>
      <c r="BC2739">
        <v>2.409E-2</v>
      </c>
      <c r="BD2739">
        <v>1</v>
      </c>
      <c r="BE2739" t="s">
        <v>69</v>
      </c>
      <c r="BF2739">
        <v>-0.72699999999999998</v>
      </c>
      <c r="BG2739">
        <v>-1.669</v>
      </c>
    </row>
    <row r="2740" spans="1:59">
      <c r="A2740">
        <v>0</v>
      </c>
      <c r="B2740">
        <v>34</v>
      </c>
      <c r="C2740">
        <v>6</v>
      </c>
      <c r="D2740" t="s">
        <v>25022</v>
      </c>
      <c r="E2740">
        <v>3306</v>
      </c>
      <c r="F2740" t="s">
        <v>19288</v>
      </c>
      <c r="G2740" t="s">
        <v>62</v>
      </c>
      <c r="H2740">
        <v>3269917</v>
      </c>
      <c r="I2740">
        <v>3274401</v>
      </c>
      <c r="J2740" t="s">
        <v>19289</v>
      </c>
      <c r="K2740">
        <v>1495</v>
      </c>
      <c r="L2740" t="s">
        <v>108</v>
      </c>
      <c r="M2740">
        <v>44</v>
      </c>
      <c r="N2740" t="str">
        <f>HYPERLINK("Gene3306-zp_tree_all.dnd", "Gene3306-tree")</f>
        <v>Gene3306-tree</v>
      </c>
      <c r="O2740">
        <v>2</v>
      </c>
      <c r="P2740">
        <v>17</v>
      </c>
      <c r="Q2740">
        <v>2</v>
      </c>
      <c r="R2740">
        <v>17</v>
      </c>
      <c r="S2740">
        <v>0.89473999999999998</v>
      </c>
      <c r="T2740" t="s">
        <v>81</v>
      </c>
      <c r="U2740" t="s">
        <v>266</v>
      </c>
      <c r="V2740">
        <v>522002586.338</v>
      </c>
      <c r="W2740" t="s">
        <v>267</v>
      </c>
      <c r="X2740">
        <v>14</v>
      </c>
      <c r="Y2740">
        <v>40</v>
      </c>
      <c r="Z2740">
        <v>30</v>
      </c>
      <c r="AA2740">
        <v>0.57142999999999999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14</v>
      </c>
      <c r="AH2740">
        <v>7</v>
      </c>
      <c r="AI2740">
        <v>21</v>
      </c>
      <c r="AJ2740">
        <v>30</v>
      </c>
      <c r="AK2740">
        <v>0.41176000000000001</v>
      </c>
      <c r="AL2740">
        <v>17</v>
      </c>
      <c r="AM2740">
        <v>16</v>
      </c>
      <c r="AN2740">
        <v>165</v>
      </c>
      <c r="AO2740">
        <v>45</v>
      </c>
      <c r="AP2740">
        <v>96</v>
      </c>
      <c r="AQ2740">
        <v>27</v>
      </c>
      <c r="AR2740" t="s">
        <v>19290</v>
      </c>
      <c r="AS2740" t="s">
        <v>19291</v>
      </c>
      <c r="AT2740">
        <v>5.8999999999999997E-2</v>
      </c>
      <c r="AU2740" t="s">
        <v>65</v>
      </c>
      <c r="AV2740">
        <v>261</v>
      </c>
      <c r="AW2740">
        <v>72</v>
      </c>
      <c r="AX2740" t="s">
        <v>19292</v>
      </c>
      <c r="AY2740">
        <v>3.6420000000000001E-2</v>
      </c>
      <c r="AZ2740">
        <v>-7.5000000000000002E-4</v>
      </c>
      <c r="BA2740">
        <v>3.0200000000000001E-3</v>
      </c>
      <c r="BB2740">
        <v>-1.1E-4</v>
      </c>
      <c r="BC2740">
        <v>8.2919999999999994E-2</v>
      </c>
      <c r="BD2740">
        <v>1</v>
      </c>
      <c r="BE2740" t="s">
        <v>69</v>
      </c>
      <c r="BF2740">
        <v>-0.52300000000000002</v>
      </c>
      <c r="BG2740">
        <v>-1.1839999999999999</v>
      </c>
    </row>
    <row r="2741" spans="1:59">
      <c r="A2741">
        <v>0</v>
      </c>
      <c r="B2741">
        <v>55</v>
      </c>
      <c r="C2741">
        <v>10</v>
      </c>
      <c r="D2741" t="s">
        <v>25022</v>
      </c>
      <c r="E2741">
        <v>4063</v>
      </c>
      <c r="F2741" t="s">
        <v>23913</v>
      </c>
      <c r="G2741" t="s">
        <v>62</v>
      </c>
      <c r="H2741">
        <v>4023547</v>
      </c>
      <c r="I2741">
        <v>4030548</v>
      </c>
      <c r="J2741" t="s">
        <v>23914</v>
      </c>
      <c r="K2741">
        <v>2334</v>
      </c>
      <c r="L2741" t="s">
        <v>23915</v>
      </c>
      <c r="M2741">
        <v>31</v>
      </c>
      <c r="N2741" t="str">
        <f>HYPERLINK("Gene4063-zp_tree_all.dnd", "Gene4063-tree")</f>
        <v>Gene4063-tree</v>
      </c>
      <c r="O2741">
        <v>0</v>
      </c>
      <c r="P2741">
        <v>8</v>
      </c>
      <c r="Q2741">
        <v>0</v>
      </c>
      <c r="R2741">
        <v>8</v>
      </c>
      <c r="S2741">
        <v>1</v>
      </c>
      <c r="T2741" t="s">
        <v>62</v>
      </c>
      <c r="U2741" t="s">
        <v>136</v>
      </c>
      <c r="V2741" t="s">
        <v>62</v>
      </c>
      <c r="W2741" t="s">
        <v>62</v>
      </c>
      <c r="X2741">
        <v>29</v>
      </c>
      <c r="Y2741">
        <v>65</v>
      </c>
      <c r="Z2741">
        <v>99</v>
      </c>
      <c r="AA2741">
        <v>0.39634000000000003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24</v>
      </c>
      <c r="AH2741">
        <v>15</v>
      </c>
      <c r="AI2741">
        <v>39</v>
      </c>
      <c r="AJ2741">
        <v>95</v>
      </c>
      <c r="AK2741">
        <v>0.29104000000000002</v>
      </c>
      <c r="AL2741">
        <v>8</v>
      </c>
      <c r="AM2741">
        <v>5</v>
      </c>
      <c r="AN2741">
        <v>682</v>
      </c>
      <c r="AO2741">
        <v>136</v>
      </c>
      <c r="AP2741">
        <v>209</v>
      </c>
      <c r="AQ2741">
        <v>30</v>
      </c>
      <c r="AR2741" t="s">
        <v>23916</v>
      </c>
      <c r="AS2741" t="s">
        <v>23917</v>
      </c>
      <c r="AT2741">
        <v>1.333</v>
      </c>
      <c r="AU2741" t="s">
        <v>65</v>
      </c>
      <c r="AV2741">
        <v>891</v>
      </c>
      <c r="AW2741">
        <v>166</v>
      </c>
      <c r="AX2741" t="s">
        <v>23918</v>
      </c>
      <c r="AY2741">
        <v>0.15393999999999999</v>
      </c>
      <c r="AZ2741">
        <v>-9.2800000000000001E-3</v>
      </c>
      <c r="BA2741">
        <v>8.3800000000000003E-3</v>
      </c>
      <c r="BB2741">
        <v>-4.8999999999999998E-4</v>
      </c>
      <c r="BC2741">
        <v>5.4429999999999999E-2</v>
      </c>
      <c r="BD2741">
        <v>1</v>
      </c>
      <c r="BE2741" t="s">
        <v>69</v>
      </c>
      <c r="BF2741">
        <v>-1.139</v>
      </c>
      <c r="BG2741">
        <v>-1.925</v>
      </c>
    </row>
    <row r="2742" spans="1:59">
      <c r="A2742">
        <v>3</v>
      </c>
      <c r="B2742">
        <v>120</v>
      </c>
      <c r="C2742">
        <v>9</v>
      </c>
      <c r="D2742" t="s">
        <v>25022</v>
      </c>
      <c r="E2742">
        <v>3314</v>
      </c>
      <c r="F2742" t="s">
        <v>19340</v>
      </c>
      <c r="G2742" t="s">
        <v>62</v>
      </c>
      <c r="H2742">
        <v>3280522</v>
      </c>
      <c r="I2742">
        <v>3287655</v>
      </c>
      <c r="J2742" t="s">
        <v>19341</v>
      </c>
      <c r="K2742">
        <v>2378</v>
      </c>
      <c r="L2742" t="s">
        <v>108</v>
      </c>
      <c r="M2742">
        <v>44</v>
      </c>
      <c r="N2742" t="str">
        <f>HYPERLINK("Gene3314-zp_tree_all.dnd", "Gene3314-tree")</f>
        <v>Gene3314-tree</v>
      </c>
      <c r="O2742">
        <v>3</v>
      </c>
      <c r="P2742">
        <v>16</v>
      </c>
      <c r="Q2742">
        <v>3</v>
      </c>
      <c r="R2742">
        <v>16</v>
      </c>
      <c r="S2742">
        <v>0.84211000000000003</v>
      </c>
      <c r="T2742" t="s">
        <v>324</v>
      </c>
      <c r="U2742" t="s">
        <v>60</v>
      </c>
      <c r="V2742" t="s">
        <v>62</v>
      </c>
      <c r="W2742" t="s">
        <v>62</v>
      </c>
      <c r="X2742">
        <v>45</v>
      </c>
      <c r="Y2742">
        <v>132</v>
      </c>
      <c r="Z2742">
        <v>92</v>
      </c>
      <c r="AA2742">
        <v>0.58928999999999998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36</v>
      </c>
      <c r="AH2742">
        <v>31</v>
      </c>
      <c r="AI2742">
        <v>67</v>
      </c>
      <c r="AJ2742">
        <v>97</v>
      </c>
      <c r="AK2742">
        <v>0.40854000000000001</v>
      </c>
      <c r="AL2742">
        <v>16</v>
      </c>
      <c r="AM2742">
        <v>15</v>
      </c>
      <c r="AN2742">
        <v>287</v>
      </c>
      <c r="AO2742">
        <v>153</v>
      </c>
      <c r="AP2742">
        <v>200</v>
      </c>
      <c r="AQ2742">
        <v>77</v>
      </c>
      <c r="AR2742" t="s">
        <v>19342</v>
      </c>
      <c r="AS2742" t="s">
        <v>19343</v>
      </c>
      <c r="AT2742">
        <v>0.96899999999999997</v>
      </c>
      <c r="AU2742" t="s">
        <v>65</v>
      </c>
      <c r="AV2742">
        <v>487</v>
      </c>
      <c r="AW2742">
        <v>230</v>
      </c>
      <c r="AX2742" t="s">
        <v>19344</v>
      </c>
      <c r="AY2742">
        <v>3.8289999999999998E-2</v>
      </c>
      <c r="AZ2742">
        <v>-9.5E-4</v>
      </c>
      <c r="BA2742">
        <v>5.4900000000000001E-3</v>
      </c>
      <c r="BB2742">
        <v>-1.2E-4</v>
      </c>
      <c r="BC2742">
        <v>0.14332</v>
      </c>
      <c r="BD2742">
        <v>1</v>
      </c>
      <c r="BE2742" t="s">
        <v>69</v>
      </c>
      <c r="BF2742">
        <v>-0.88</v>
      </c>
      <c r="BG2742">
        <v>-1.177</v>
      </c>
    </row>
    <row r="2743" spans="1:59">
      <c r="A2743">
        <v>0</v>
      </c>
      <c r="B2743">
        <v>29</v>
      </c>
      <c r="C2743">
        <v>12</v>
      </c>
      <c r="D2743" t="s">
        <v>25022</v>
      </c>
      <c r="E2743">
        <v>1783</v>
      </c>
      <c r="F2743" t="s">
        <v>11177</v>
      </c>
      <c r="G2743" t="s">
        <v>57</v>
      </c>
      <c r="H2743">
        <v>1850890</v>
      </c>
      <c r="I2743">
        <v>1858518</v>
      </c>
      <c r="J2743" t="s">
        <v>11178</v>
      </c>
      <c r="K2743">
        <v>2543</v>
      </c>
      <c r="L2743" t="s">
        <v>11179</v>
      </c>
      <c r="M2743">
        <v>23</v>
      </c>
      <c r="N2743" t="str">
        <f>HYPERLINK("Gene1783-zp_tree_all.dnd", "Gene1783-tree")</f>
        <v>Gene1783-tree</v>
      </c>
      <c r="O2743">
        <v>0</v>
      </c>
      <c r="P2743">
        <v>6</v>
      </c>
      <c r="Q2743">
        <v>0</v>
      </c>
      <c r="R2743">
        <v>6</v>
      </c>
      <c r="S2743">
        <v>1</v>
      </c>
      <c r="T2743" t="s">
        <v>62</v>
      </c>
      <c r="U2743" t="s">
        <v>90</v>
      </c>
      <c r="V2743" t="s">
        <v>62</v>
      </c>
      <c r="W2743" t="s">
        <v>62</v>
      </c>
      <c r="X2743">
        <v>19</v>
      </c>
      <c r="Y2743">
        <v>41</v>
      </c>
      <c r="Z2743">
        <v>112</v>
      </c>
      <c r="AA2743">
        <v>0.26796999999999999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10</v>
      </c>
      <c r="AH2743">
        <v>14</v>
      </c>
      <c r="AI2743">
        <v>24</v>
      </c>
      <c r="AJ2743">
        <v>111</v>
      </c>
      <c r="AK2743">
        <v>0.17777999999999999</v>
      </c>
      <c r="AL2743">
        <v>6</v>
      </c>
      <c r="AM2743">
        <v>3</v>
      </c>
      <c r="AN2743">
        <v>148</v>
      </c>
      <c r="AO2743">
        <v>139</v>
      </c>
      <c r="AP2743">
        <v>25</v>
      </c>
      <c r="AQ2743">
        <v>18</v>
      </c>
      <c r="AR2743" t="s">
        <v>11180</v>
      </c>
      <c r="AS2743" t="s">
        <v>11181</v>
      </c>
      <c r="AT2743">
        <v>0.997</v>
      </c>
      <c r="AU2743" t="s">
        <v>65</v>
      </c>
      <c r="AV2743">
        <v>173</v>
      </c>
      <c r="AW2743">
        <v>157</v>
      </c>
      <c r="AX2743" t="s">
        <v>11182</v>
      </c>
      <c r="AY2743">
        <v>3.3419999999999998E-2</v>
      </c>
      <c r="AZ2743">
        <v>-2.5000000000000001E-3</v>
      </c>
      <c r="BA2743">
        <v>8.8000000000000005E-3</v>
      </c>
      <c r="BB2743">
        <v>-6.8000000000000005E-4</v>
      </c>
      <c r="BC2743">
        <v>0.26345000000000002</v>
      </c>
      <c r="BD2743">
        <v>1</v>
      </c>
      <c r="BE2743" t="s">
        <v>69</v>
      </c>
      <c r="BF2743">
        <v>-1.994</v>
      </c>
      <c r="BG2743">
        <v>-2.7210000000000001</v>
      </c>
    </row>
    <row r="2744" spans="1:59">
      <c r="A2744">
        <v>4</v>
      </c>
      <c r="B2744">
        <v>162</v>
      </c>
      <c r="C2744">
        <v>12</v>
      </c>
      <c r="D2744" t="s">
        <v>25022</v>
      </c>
      <c r="E2744">
        <v>351</v>
      </c>
      <c r="F2744" t="s">
        <v>2396</v>
      </c>
      <c r="G2744" t="s">
        <v>57</v>
      </c>
      <c r="H2744">
        <v>387744</v>
      </c>
      <c r="I2744">
        <v>398492</v>
      </c>
      <c r="J2744" t="s">
        <v>2389</v>
      </c>
      <c r="K2744">
        <v>3583</v>
      </c>
      <c r="L2744" t="s">
        <v>2397</v>
      </c>
      <c r="M2744">
        <v>41</v>
      </c>
      <c r="N2744" t="str">
        <f>HYPERLINK("Gene351-zp_tree_all.dnd", "Gene351-tree")</f>
        <v>Gene351-tree</v>
      </c>
      <c r="O2744">
        <v>3</v>
      </c>
      <c r="P2744">
        <v>17</v>
      </c>
      <c r="Q2744">
        <v>3</v>
      </c>
      <c r="R2744">
        <v>17</v>
      </c>
      <c r="S2744">
        <v>0.85</v>
      </c>
      <c r="T2744" t="s">
        <v>324</v>
      </c>
      <c r="U2744" t="s">
        <v>266</v>
      </c>
      <c r="V2744">
        <v>324801609.27700001</v>
      </c>
      <c r="W2744" t="s">
        <v>267</v>
      </c>
      <c r="X2744">
        <v>62</v>
      </c>
      <c r="Y2744">
        <v>178</v>
      </c>
      <c r="Z2744">
        <v>139</v>
      </c>
      <c r="AA2744">
        <v>0.56150999999999995</v>
      </c>
      <c r="AB2744">
        <v>0</v>
      </c>
      <c r="AC2744">
        <v>0</v>
      </c>
      <c r="AD2744">
        <v>0</v>
      </c>
      <c r="AE2744">
        <v>5</v>
      </c>
      <c r="AF2744">
        <v>0</v>
      </c>
      <c r="AG2744">
        <v>37</v>
      </c>
      <c r="AH2744">
        <v>42</v>
      </c>
      <c r="AI2744">
        <v>79</v>
      </c>
      <c r="AJ2744">
        <v>130</v>
      </c>
      <c r="AK2744">
        <v>0.37798999999999999</v>
      </c>
      <c r="AL2744">
        <v>17</v>
      </c>
      <c r="AM2744">
        <v>16</v>
      </c>
      <c r="AN2744">
        <v>557</v>
      </c>
      <c r="AO2744">
        <v>204</v>
      </c>
      <c r="AP2744">
        <v>492</v>
      </c>
      <c r="AQ2744">
        <v>132</v>
      </c>
      <c r="AR2744" t="s">
        <v>2398</v>
      </c>
      <c r="AS2744" t="s">
        <v>2399</v>
      </c>
      <c r="AT2744">
        <v>0.67400000000000004</v>
      </c>
      <c r="AU2744" t="s">
        <v>65</v>
      </c>
      <c r="AV2744">
        <v>1049</v>
      </c>
      <c r="AW2744">
        <v>336</v>
      </c>
      <c r="AX2744" t="s">
        <v>2400</v>
      </c>
      <c r="AY2744">
        <v>5.8520000000000003E-2</v>
      </c>
      <c r="AZ2744">
        <v>-1.34E-3</v>
      </c>
      <c r="BA2744">
        <v>5.7600000000000004E-3</v>
      </c>
      <c r="BB2744">
        <v>-1.3999999999999999E-4</v>
      </c>
      <c r="BC2744">
        <v>9.8409999999999997E-2</v>
      </c>
      <c r="BD2744">
        <v>1</v>
      </c>
      <c r="BE2744" t="s">
        <v>69</v>
      </c>
      <c r="BF2744">
        <v>-0.49199999999999999</v>
      </c>
      <c r="BG2744">
        <v>-0.95599999999999996</v>
      </c>
    </row>
    <row r="2745" spans="1:59">
      <c r="A2745">
        <v>2</v>
      </c>
      <c r="B2745">
        <v>140</v>
      </c>
      <c r="C2745">
        <v>13</v>
      </c>
      <c r="D2745" t="s">
        <v>25022</v>
      </c>
      <c r="E2745">
        <v>350</v>
      </c>
      <c r="F2745" t="s">
        <v>2388</v>
      </c>
      <c r="G2745" t="s">
        <v>57</v>
      </c>
      <c r="H2745">
        <v>376968</v>
      </c>
      <c r="I2745">
        <v>387728</v>
      </c>
      <c r="J2745" t="s">
        <v>2389</v>
      </c>
      <c r="K2745">
        <v>3587</v>
      </c>
      <c r="L2745" t="s">
        <v>2390</v>
      </c>
      <c r="M2745">
        <v>41</v>
      </c>
      <c r="N2745" t="str">
        <f>HYPERLINK("Gene350-zp_tree_all.dnd", "Gene350-tree")</f>
        <v>Gene350-tree</v>
      </c>
      <c r="O2745">
        <v>4</v>
      </c>
      <c r="P2745">
        <v>13</v>
      </c>
      <c r="Q2745">
        <v>4</v>
      </c>
      <c r="R2745">
        <v>13</v>
      </c>
      <c r="S2745">
        <v>0.76471</v>
      </c>
      <c r="T2745" t="s">
        <v>61</v>
      </c>
      <c r="U2745" t="s">
        <v>507</v>
      </c>
      <c r="V2745" t="s">
        <v>62</v>
      </c>
      <c r="W2745" t="s">
        <v>62</v>
      </c>
      <c r="X2745">
        <v>61</v>
      </c>
      <c r="Y2745">
        <v>155</v>
      </c>
      <c r="Z2745">
        <v>137</v>
      </c>
      <c r="AA2745">
        <v>0.53081999999999996</v>
      </c>
      <c r="AB2745">
        <v>0</v>
      </c>
      <c r="AC2745">
        <v>0</v>
      </c>
      <c r="AD2745">
        <v>0</v>
      </c>
      <c r="AE2745">
        <v>2</v>
      </c>
      <c r="AF2745">
        <v>0</v>
      </c>
      <c r="AG2745">
        <v>37</v>
      </c>
      <c r="AH2745">
        <v>28</v>
      </c>
      <c r="AI2745">
        <v>65</v>
      </c>
      <c r="AJ2745">
        <v>125</v>
      </c>
      <c r="AK2745">
        <v>0.34211000000000003</v>
      </c>
      <c r="AL2745">
        <v>16</v>
      </c>
      <c r="AM2745">
        <v>14</v>
      </c>
      <c r="AN2745">
        <v>523</v>
      </c>
      <c r="AO2745">
        <v>197</v>
      </c>
      <c r="AP2745">
        <v>393</v>
      </c>
      <c r="AQ2745">
        <v>114</v>
      </c>
      <c r="AR2745" t="s">
        <v>2391</v>
      </c>
      <c r="AS2745" t="s">
        <v>2392</v>
      </c>
      <c r="AT2745">
        <v>0.53500000000000003</v>
      </c>
      <c r="AU2745" t="s">
        <v>65</v>
      </c>
      <c r="AV2745">
        <v>916</v>
      </c>
      <c r="AW2745">
        <v>311</v>
      </c>
      <c r="AX2745" t="s">
        <v>2393</v>
      </c>
      <c r="AY2745">
        <v>5.6809999999999999E-2</v>
      </c>
      <c r="AZ2745">
        <v>-1.73E-3</v>
      </c>
      <c r="BA2745">
        <v>5.5700000000000003E-3</v>
      </c>
      <c r="BB2745">
        <v>-1.8000000000000001E-4</v>
      </c>
      <c r="BC2745">
        <v>9.7979999999999998E-2</v>
      </c>
      <c r="BD2745">
        <v>1</v>
      </c>
      <c r="BE2745" t="s">
        <v>69</v>
      </c>
      <c r="BF2745">
        <v>-0.80700000000000005</v>
      </c>
      <c r="BG2745">
        <v>-1.2929999999999999</v>
      </c>
    </row>
    <row r="2746" spans="1:59">
      <c r="A2746">
        <v>2</v>
      </c>
      <c r="B2746">
        <v>53</v>
      </c>
      <c r="C2746">
        <v>7</v>
      </c>
      <c r="D2746" t="s">
        <v>25022</v>
      </c>
      <c r="E2746">
        <v>1781</v>
      </c>
      <c r="F2746" t="s">
        <v>11162</v>
      </c>
      <c r="G2746" t="s">
        <v>57</v>
      </c>
      <c r="H2746">
        <v>1821553</v>
      </c>
      <c r="I2746">
        <v>1834338</v>
      </c>
      <c r="J2746" t="s">
        <v>11163</v>
      </c>
      <c r="K2746">
        <v>4262</v>
      </c>
      <c r="L2746" t="s">
        <v>11164</v>
      </c>
      <c r="M2746">
        <v>23</v>
      </c>
      <c r="N2746" t="str">
        <f>HYPERLINK("Gene1781-zp_tree_all.dnd", "Gene1781-tree")</f>
        <v>Gene1781-tree</v>
      </c>
      <c r="O2746">
        <v>0</v>
      </c>
      <c r="P2746">
        <v>6</v>
      </c>
      <c r="Q2746">
        <v>0</v>
      </c>
      <c r="R2746">
        <v>6</v>
      </c>
      <c r="S2746">
        <v>1</v>
      </c>
      <c r="T2746" t="s">
        <v>62</v>
      </c>
      <c r="U2746" t="s">
        <v>90</v>
      </c>
      <c r="V2746" t="s">
        <v>62</v>
      </c>
      <c r="W2746" t="s">
        <v>62</v>
      </c>
      <c r="X2746">
        <v>30</v>
      </c>
      <c r="Y2746">
        <v>62</v>
      </c>
      <c r="Z2746">
        <v>179</v>
      </c>
      <c r="AA2746">
        <v>0.25725999999999999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8</v>
      </c>
      <c r="AH2746">
        <v>16</v>
      </c>
      <c r="AI2746">
        <v>24</v>
      </c>
      <c r="AJ2746">
        <v>150</v>
      </c>
      <c r="AK2746">
        <v>0.13793</v>
      </c>
      <c r="AL2746">
        <v>6</v>
      </c>
      <c r="AM2746">
        <v>3</v>
      </c>
      <c r="AN2746">
        <v>253</v>
      </c>
      <c r="AO2746">
        <v>180</v>
      </c>
      <c r="AP2746">
        <v>86</v>
      </c>
      <c r="AQ2746">
        <v>71</v>
      </c>
      <c r="AR2746" t="s">
        <v>11165</v>
      </c>
      <c r="AS2746" t="s">
        <v>11166</v>
      </c>
      <c r="AT2746">
        <v>0.627</v>
      </c>
      <c r="AU2746" t="s">
        <v>65</v>
      </c>
      <c r="AV2746">
        <v>339</v>
      </c>
      <c r="AW2746">
        <v>251</v>
      </c>
      <c r="AX2746" t="s">
        <v>11167</v>
      </c>
      <c r="AY2746">
        <v>4.1959999999999997E-2</v>
      </c>
      <c r="AZ2746">
        <v>-2.5699999999999998E-3</v>
      </c>
      <c r="BA2746">
        <v>9.2999999999999992E-3</v>
      </c>
      <c r="BB2746">
        <v>-6.0999999999999997E-4</v>
      </c>
      <c r="BC2746">
        <v>0.22167000000000001</v>
      </c>
      <c r="BD2746">
        <v>1</v>
      </c>
      <c r="BE2746" t="s">
        <v>69</v>
      </c>
      <c r="BF2746">
        <v>-1.7370000000000001</v>
      </c>
      <c r="BG2746">
        <v>-1.929</v>
      </c>
    </row>
    <row r="2747" spans="1:59">
      <c r="A2747">
        <v>0</v>
      </c>
      <c r="B2747">
        <v>80</v>
      </c>
      <c r="C2747">
        <v>10</v>
      </c>
      <c r="D2747" t="s">
        <v>25022</v>
      </c>
      <c r="E2747">
        <v>1780</v>
      </c>
      <c r="F2747" t="s">
        <v>11154</v>
      </c>
      <c r="G2747" t="s">
        <v>57</v>
      </c>
      <c r="H2747">
        <v>1807921</v>
      </c>
      <c r="I2747">
        <v>1821534</v>
      </c>
      <c r="J2747" t="s">
        <v>11155</v>
      </c>
      <c r="K2747">
        <v>4538</v>
      </c>
      <c r="L2747" t="s">
        <v>11156</v>
      </c>
      <c r="M2747">
        <v>21</v>
      </c>
      <c r="N2747" t="str">
        <f>HYPERLINK("Gene1780-zp_tree_all.dnd", "Gene1780-tree")</f>
        <v>Gene1780-tree</v>
      </c>
      <c r="O2747">
        <v>0</v>
      </c>
      <c r="P2747">
        <v>5</v>
      </c>
      <c r="Q2747">
        <v>0</v>
      </c>
      <c r="R2747">
        <v>5</v>
      </c>
      <c r="S2747">
        <v>1</v>
      </c>
      <c r="T2747" t="s">
        <v>62</v>
      </c>
      <c r="U2747" t="s">
        <v>199</v>
      </c>
      <c r="V2747" t="s">
        <v>62</v>
      </c>
      <c r="W2747" t="s">
        <v>62</v>
      </c>
      <c r="X2747">
        <v>45</v>
      </c>
      <c r="Y2747">
        <v>90</v>
      </c>
      <c r="Z2747">
        <v>130</v>
      </c>
      <c r="AA2747">
        <v>0.40909000000000001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22</v>
      </c>
      <c r="AH2747">
        <v>36</v>
      </c>
      <c r="AI2747">
        <v>58</v>
      </c>
      <c r="AJ2747">
        <v>134</v>
      </c>
      <c r="AK2747">
        <v>0.30208000000000002</v>
      </c>
      <c r="AL2747">
        <v>5</v>
      </c>
      <c r="AM2747">
        <v>2</v>
      </c>
      <c r="AN2747">
        <v>262</v>
      </c>
      <c r="AO2747">
        <v>197</v>
      </c>
      <c r="AP2747">
        <v>55</v>
      </c>
      <c r="AQ2747">
        <v>30</v>
      </c>
      <c r="AR2747" t="s">
        <v>11157</v>
      </c>
      <c r="AS2747" t="s">
        <v>11158</v>
      </c>
      <c r="AT2747">
        <v>1.159</v>
      </c>
      <c r="AU2747" t="s">
        <v>65</v>
      </c>
      <c r="AV2747">
        <v>317</v>
      </c>
      <c r="AW2747">
        <v>227</v>
      </c>
      <c r="AX2747" t="s">
        <v>11159</v>
      </c>
      <c r="AY2747">
        <v>4.0430000000000001E-2</v>
      </c>
      <c r="AZ2747">
        <v>-3.46E-3</v>
      </c>
      <c r="BA2747">
        <v>8.2100000000000003E-3</v>
      </c>
      <c r="BB2747">
        <v>-5.1999999999999995E-4</v>
      </c>
      <c r="BC2747">
        <v>0.20297000000000001</v>
      </c>
      <c r="BD2747">
        <v>1</v>
      </c>
      <c r="BE2747" t="s">
        <v>69</v>
      </c>
      <c r="BF2747">
        <v>-1.903</v>
      </c>
      <c r="BG2747">
        <v>-1.8680000000000001</v>
      </c>
    </row>
    <row r="2748" spans="1:59">
      <c r="A2748">
        <v>11</v>
      </c>
      <c r="B2748">
        <v>325</v>
      </c>
      <c r="C2748">
        <v>26</v>
      </c>
      <c r="D2748" t="s">
        <v>25022</v>
      </c>
      <c r="E2748">
        <v>1779</v>
      </c>
      <c r="F2748" t="s">
        <v>11146</v>
      </c>
      <c r="G2748" t="s">
        <v>57</v>
      </c>
      <c r="H2748">
        <v>1792806</v>
      </c>
      <c r="I2748">
        <v>1807934</v>
      </c>
      <c r="J2748" t="s">
        <v>11147</v>
      </c>
      <c r="K2748">
        <v>5043</v>
      </c>
      <c r="L2748" t="s">
        <v>8085</v>
      </c>
      <c r="M2748">
        <v>35</v>
      </c>
      <c r="N2748" t="str">
        <f>HYPERLINK("Gene1779-zp_tree_all.dnd", "Gene1779-tree")</f>
        <v>Gene1779-tree</v>
      </c>
      <c r="O2748">
        <v>17</v>
      </c>
      <c r="P2748">
        <v>16</v>
      </c>
      <c r="Q2748">
        <v>2</v>
      </c>
      <c r="R2748">
        <v>16</v>
      </c>
      <c r="S2748">
        <v>0.88888999999999996</v>
      </c>
      <c r="T2748" t="s">
        <v>11148</v>
      </c>
      <c r="U2748" t="s">
        <v>60</v>
      </c>
      <c r="V2748" t="s">
        <v>62</v>
      </c>
      <c r="W2748" t="s">
        <v>62</v>
      </c>
      <c r="X2748">
        <v>125</v>
      </c>
      <c r="Y2748">
        <v>362</v>
      </c>
      <c r="Z2748">
        <v>208</v>
      </c>
      <c r="AA2748">
        <v>0.63509000000000004</v>
      </c>
      <c r="AB2748">
        <v>0</v>
      </c>
      <c r="AC2748">
        <v>0</v>
      </c>
      <c r="AD2748">
        <v>0</v>
      </c>
      <c r="AE2748">
        <v>18</v>
      </c>
      <c r="AF2748">
        <v>0</v>
      </c>
      <c r="AG2748">
        <v>68</v>
      </c>
      <c r="AH2748">
        <v>82</v>
      </c>
      <c r="AI2748">
        <v>150</v>
      </c>
      <c r="AJ2748">
        <v>199</v>
      </c>
      <c r="AK2748">
        <v>0.42980000000000002</v>
      </c>
      <c r="AL2748">
        <v>15</v>
      </c>
      <c r="AM2748">
        <v>15</v>
      </c>
      <c r="AN2748">
        <v>449</v>
      </c>
      <c r="AO2748">
        <v>334</v>
      </c>
      <c r="AP2748">
        <v>314</v>
      </c>
      <c r="AQ2748">
        <v>246</v>
      </c>
      <c r="AR2748" t="s">
        <v>11149</v>
      </c>
      <c r="AS2748" t="s">
        <v>11150</v>
      </c>
      <c r="AT2748">
        <v>0.17299999999999999</v>
      </c>
      <c r="AU2748" t="s">
        <v>65</v>
      </c>
      <c r="AV2748">
        <v>763</v>
      </c>
      <c r="AW2748">
        <v>580</v>
      </c>
      <c r="AX2748" t="s">
        <v>11151</v>
      </c>
      <c r="AY2748">
        <v>3.3939999999999998E-2</v>
      </c>
      <c r="AZ2748">
        <v>-8.1999999999999998E-4</v>
      </c>
      <c r="BA2748">
        <v>7.5500000000000003E-3</v>
      </c>
      <c r="BB2748">
        <v>-1.8000000000000001E-4</v>
      </c>
      <c r="BC2748">
        <v>0.22237000000000001</v>
      </c>
      <c r="BD2748">
        <v>1</v>
      </c>
      <c r="BE2748" t="s">
        <v>69</v>
      </c>
      <c r="BF2748">
        <v>-0.86799999999999999</v>
      </c>
      <c r="BG2748">
        <v>-1.84</v>
      </c>
    </row>
    <row r="2749" spans="1:59">
      <c r="A2749">
        <v>2</v>
      </c>
      <c r="B2749">
        <v>188</v>
      </c>
      <c r="C2749">
        <v>15</v>
      </c>
      <c r="D2749" t="s">
        <v>25022</v>
      </c>
      <c r="E2749">
        <v>1782</v>
      </c>
      <c r="F2749" t="s">
        <v>11170</v>
      </c>
      <c r="G2749" t="s">
        <v>57</v>
      </c>
      <c r="H2749">
        <v>1834409</v>
      </c>
      <c r="I2749">
        <v>1850872</v>
      </c>
      <c r="J2749" t="s">
        <v>11163</v>
      </c>
      <c r="K2749">
        <v>5488</v>
      </c>
      <c r="L2749" t="s">
        <v>11171</v>
      </c>
      <c r="M2749">
        <v>22</v>
      </c>
      <c r="N2749" t="str">
        <f>HYPERLINK("Gene1782-zp_tree_all.dnd", "Gene1782-tree")</f>
        <v>Gene1782-tree</v>
      </c>
      <c r="O2749">
        <v>0</v>
      </c>
      <c r="P2749">
        <v>11</v>
      </c>
      <c r="Q2749">
        <v>0</v>
      </c>
      <c r="R2749">
        <v>11</v>
      </c>
      <c r="S2749">
        <v>1</v>
      </c>
      <c r="T2749" t="s">
        <v>62</v>
      </c>
      <c r="U2749" t="s">
        <v>73</v>
      </c>
      <c r="V2749">
        <v>114461263.029</v>
      </c>
      <c r="W2749" t="s">
        <v>65</v>
      </c>
      <c r="X2749">
        <v>83</v>
      </c>
      <c r="Y2749">
        <v>205</v>
      </c>
      <c r="Z2749">
        <v>197</v>
      </c>
      <c r="AA2749">
        <v>0.50995000000000001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54</v>
      </c>
      <c r="AH2749">
        <v>47</v>
      </c>
      <c r="AI2749">
        <v>101</v>
      </c>
      <c r="AJ2749">
        <v>213</v>
      </c>
      <c r="AK2749">
        <v>0.32166</v>
      </c>
      <c r="AL2749">
        <v>9</v>
      </c>
      <c r="AM2749">
        <v>8</v>
      </c>
      <c r="AN2749">
        <v>371</v>
      </c>
      <c r="AO2749">
        <v>273</v>
      </c>
      <c r="AP2749">
        <v>232</v>
      </c>
      <c r="AQ2749">
        <v>137</v>
      </c>
      <c r="AR2749" t="s">
        <v>11172</v>
      </c>
      <c r="AS2749" t="s">
        <v>11173</v>
      </c>
      <c r="AT2749">
        <v>0.53</v>
      </c>
      <c r="AU2749" t="s">
        <v>65</v>
      </c>
      <c r="AV2749">
        <v>603</v>
      </c>
      <c r="AW2749">
        <v>410</v>
      </c>
      <c r="AX2749" t="s">
        <v>11174</v>
      </c>
      <c r="AY2749">
        <v>3.338E-2</v>
      </c>
      <c r="AZ2749">
        <v>-1.58E-3</v>
      </c>
      <c r="BA2749">
        <v>6.5100000000000002E-3</v>
      </c>
      <c r="BB2749">
        <v>-2.9999999999999997E-4</v>
      </c>
      <c r="BC2749">
        <v>0.19500000000000001</v>
      </c>
      <c r="BD2749">
        <v>1</v>
      </c>
      <c r="BE2749" t="s">
        <v>69</v>
      </c>
      <c r="BF2749">
        <v>-1.377</v>
      </c>
      <c r="BG2749">
        <v>-1.9650000000000001</v>
      </c>
    </row>
  </sheetData>
  <sortState xmlns:xlrd2="http://schemas.microsoft.com/office/spreadsheetml/2017/richdata2" ref="A3:BG2749">
    <sortCondition ref="K3:K274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U1019"/>
  <sheetViews>
    <sheetView zoomScale="120" zoomScaleNormal="120" workbookViewId="0">
      <selection activeCell="L10" sqref="L10"/>
    </sheetView>
  </sheetViews>
  <sheetFormatPr baseColWidth="10" defaultColWidth="8.83203125" defaultRowHeight="15"/>
  <cols>
    <col min="5" max="5" width="12.6640625" customWidth="1"/>
    <col min="6" max="6" width="10" bestFit="1" customWidth="1"/>
    <col min="12" max="12" width="31.6640625" customWidth="1"/>
    <col min="13" max="13" width="15.6640625" bestFit="1" customWidth="1"/>
    <col min="14" max="14" width="18.1640625" customWidth="1"/>
    <col min="17" max="17" width="10.1640625" bestFit="1" customWidth="1"/>
    <col min="18" max="18" width="10.33203125" bestFit="1" customWidth="1"/>
    <col min="19" max="19" width="9.5" bestFit="1" customWidth="1"/>
    <col min="20" max="20" width="9.6640625" bestFit="1" customWidth="1"/>
    <col min="21" max="21" width="10.1640625" bestFit="1" customWidth="1"/>
    <col min="22" max="23" width="15.5" bestFit="1" customWidth="1"/>
    <col min="24" max="24" width="12.1640625" bestFit="1" customWidth="1"/>
    <col min="25" max="25" width="21.83203125" bestFit="1" customWidth="1"/>
    <col min="26" max="26" width="28" bestFit="1" customWidth="1"/>
    <col min="27" max="27" width="13.5" customWidth="1"/>
    <col min="28" max="28" width="10.83203125" bestFit="1" customWidth="1"/>
    <col min="30" max="32" width="8.83203125" style="47"/>
    <col min="33" max="33" width="10.1640625" style="47" bestFit="1" customWidth="1"/>
    <col min="34" max="34" width="9.1640625" style="47" bestFit="1" customWidth="1"/>
    <col min="35" max="37" width="8.83203125" style="47"/>
    <col min="38" max="38" width="10.33203125" bestFit="1" customWidth="1"/>
    <col min="39" max="39" width="9.33203125" bestFit="1" customWidth="1"/>
    <col min="43" max="43" width="10.33203125" bestFit="1" customWidth="1"/>
    <col min="44" max="44" width="8.5" bestFit="1" customWidth="1"/>
    <col min="45" max="45" width="11.5" bestFit="1" customWidth="1"/>
    <col min="47" max="47" width="15.5" bestFit="1" customWidth="1"/>
    <col min="48" max="48" width="12.83203125" bestFit="1" customWidth="1"/>
    <col min="49" max="49" width="22" bestFit="1" customWidth="1"/>
    <col min="52" max="52" width="15.5" bestFit="1" customWidth="1"/>
    <col min="58" max="58" width="10" bestFit="1" customWidth="1"/>
    <col min="59" max="59" width="18" bestFit="1" customWidth="1"/>
    <col min="70" max="70" width="12.83203125" bestFit="1" customWidth="1"/>
    <col min="74" max="74" width="12" bestFit="1" customWidth="1"/>
    <col min="77" max="77" width="12.1640625" bestFit="1" customWidth="1"/>
    <col min="78" max="78" width="10.5" bestFit="1" customWidth="1"/>
    <col min="79" max="79" width="11.5" bestFit="1" customWidth="1"/>
  </cols>
  <sheetData>
    <row r="1" spans="1:99">
      <c r="A1">
        <f>SUM(C1:E1)</f>
        <v>6940</v>
      </c>
      <c r="C1">
        <f>SUM(C3:C1019)</f>
        <v>79</v>
      </c>
      <c r="D1">
        <f t="shared" ref="D1:E1" si="0">SUM(D3:D1019)</f>
        <v>5803</v>
      </c>
      <c r="E1">
        <f t="shared" si="0"/>
        <v>1058</v>
      </c>
      <c r="H1" t="s">
        <v>0</v>
      </c>
      <c r="P1" t="s">
        <v>1</v>
      </c>
      <c r="Z1" t="s">
        <v>2</v>
      </c>
      <c r="AN1" t="s">
        <v>3</v>
      </c>
      <c r="AX1" t="s">
        <v>4</v>
      </c>
    </row>
    <row r="2" spans="1:99">
      <c r="A2">
        <f>SUM(AA3:AA1019)</f>
        <v>6940</v>
      </c>
      <c r="C2" t="s">
        <v>25025</v>
      </c>
      <c r="D2" t="s">
        <v>25026</v>
      </c>
      <c r="E2" t="s">
        <v>25027</v>
      </c>
      <c r="F2" t="s">
        <v>25018</v>
      </c>
      <c r="G2" t="s">
        <v>5</v>
      </c>
      <c r="H2" t="s">
        <v>6</v>
      </c>
      <c r="I2" t="s">
        <v>7</v>
      </c>
      <c r="J2" t="s">
        <v>25019</v>
      </c>
      <c r="K2" t="s">
        <v>25020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22</v>
      </c>
      <c r="AA2" t="s">
        <v>23</v>
      </c>
      <c r="AB2" t="s">
        <v>24</v>
      </c>
      <c r="AC2" t="s">
        <v>25</v>
      </c>
      <c r="AD2" s="47" t="s">
        <v>26</v>
      </c>
      <c r="AE2" s="47" t="s">
        <v>27</v>
      </c>
      <c r="AF2" s="47" t="s">
        <v>28</v>
      </c>
      <c r="AG2" s="47" t="s">
        <v>29</v>
      </c>
      <c r="AH2" s="47" t="s">
        <v>30</v>
      </c>
      <c r="AI2" s="47" t="s">
        <v>31</v>
      </c>
      <c r="AJ2" s="47" t="s">
        <v>32</v>
      </c>
      <c r="AK2" s="47" t="s">
        <v>33</v>
      </c>
      <c r="AL2" t="s">
        <v>34</v>
      </c>
      <c r="AM2" t="s">
        <v>35</v>
      </c>
      <c r="AN2" t="s">
        <v>36</v>
      </c>
      <c r="AO2" t="s">
        <v>37</v>
      </c>
      <c r="AP2" t="s">
        <v>38</v>
      </c>
      <c r="AQ2" t="s">
        <v>39</v>
      </c>
      <c r="AR2" t="s">
        <v>40</v>
      </c>
      <c r="AS2" t="s">
        <v>41</v>
      </c>
      <c r="AT2" t="s">
        <v>42</v>
      </c>
      <c r="AU2" t="s">
        <v>43</v>
      </c>
      <c r="AV2" t="s">
        <v>44</v>
      </c>
      <c r="AW2" t="s">
        <v>45</v>
      </c>
      <c r="AX2" t="s">
        <v>46</v>
      </c>
      <c r="AY2" t="s">
        <v>47</v>
      </c>
      <c r="AZ2" t="s">
        <v>48</v>
      </c>
      <c r="BA2" t="s">
        <v>49</v>
      </c>
      <c r="BC2" t="s">
        <v>50</v>
      </c>
      <c r="BE2" t="s">
        <v>51</v>
      </c>
      <c r="BF2" t="s">
        <v>52</v>
      </c>
      <c r="BG2" t="s">
        <v>53</v>
      </c>
      <c r="BH2" t="s">
        <v>54</v>
      </c>
      <c r="BI2" t="s">
        <v>55</v>
      </c>
      <c r="CD2" s="2" t="s">
        <v>25040</v>
      </c>
    </row>
    <row r="3" spans="1:99">
      <c r="C3">
        <v>0</v>
      </c>
      <c r="D3">
        <v>0</v>
      </c>
      <c r="E3">
        <v>0</v>
      </c>
      <c r="F3" t="s">
        <v>25021</v>
      </c>
      <c r="G3">
        <v>2323</v>
      </c>
      <c r="H3" t="s">
        <v>13469</v>
      </c>
      <c r="I3" t="s">
        <v>57</v>
      </c>
      <c r="J3">
        <v>2339670</v>
      </c>
      <c r="K3">
        <v>2339771</v>
      </c>
      <c r="L3" t="s">
        <v>389</v>
      </c>
      <c r="M3">
        <v>34</v>
      </c>
      <c r="N3" t="s">
        <v>59</v>
      </c>
      <c r="O3">
        <v>49</v>
      </c>
      <c r="P3" t="str">
        <f>HYPERLINK("Gene2323-zp_tree_all.dnd", "Gene2323-tree")</f>
        <v>Gene2323-tree</v>
      </c>
      <c r="Q3">
        <v>4</v>
      </c>
      <c r="R3">
        <v>0</v>
      </c>
      <c r="S3">
        <v>4</v>
      </c>
      <c r="T3">
        <v>0</v>
      </c>
      <c r="U3">
        <v>0</v>
      </c>
      <c r="V3" t="s">
        <v>61</v>
      </c>
      <c r="W3" t="s">
        <v>62</v>
      </c>
      <c r="X3" t="s">
        <v>62</v>
      </c>
      <c r="Y3" t="s">
        <v>62</v>
      </c>
      <c r="Z3">
        <v>0</v>
      </c>
      <c r="AA3">
        <v>0</v>
      </c>
      <c r="AB3">
        <v>0</v>
      </c>
      <c r="AC3">
        <v>0</v>
      </c>
      <c r="AD3" s="47">
        <v>0</v>
      </c>
      <c r="AE3" s="47">
        <v>0</v>
      </c>
      <c r="AF3" s="47">
        <v>0</v>
      </c>
      <c r="AG3" s="47">
        <v>0</v>
      </c>
      <c r="AH3" s="47">
        <v>0</v>
      </c>
      <c r="AI3" s="47">
        <v>0</v>
      </c>
      <c r="AJ3" s="47">
        <v>0</v>
      </c>
      <c r="AK3" s="47">
        <v>0</v>
      </c>
      <c r="AL3">
        <v>0</v>
      </c>
      <c r="AM3">
        <v>0</v>
      </c>
      <c r="AN3">
        <v>3</v>
      </c>
      <c r="AO3">
        <v>0</v>
      </c>
      <c r="AP3">
        <v>4</v>
      </c>
      <c r="AQ3">
        <v>0</v>
      </c>
      <c r="AR3">
        <v>0</v>
      </c>
      <c r="AS3">
        <v>0</v>
      </c>
      <c r="AT3" t="s">
        <v>193</v>
      </c>
      <c r="AU3" t="s">
        <v>193</v>
      </c>
      <c r="AV3">
        <v>0</v>
      </c>
      <c r="AW3" t="s">
        <v>65</v>
      </c>
      <c r="AX3">
        <v>4</v>
      </c>
      <c r="AY3">
        <v>0</v>
      </c>
      <c r="AZ3" t="s">
        <v>13470</v>
      </c>
      <c r="BA3">
        <v>9.4240000000000004E-2</v>
      </c>
      <c r="BB3">
        <v>-1.6559999999999998E-2</v>
      </c>
      <c r="BC3">
        <v>0</v>
      </c>
      <c r="BD3">
        <v>0</v>
      </c>
      <c r="BE3">
        <v>0</v>
      </c>
      <c r="BF3">
        <v>1</v>
      </c>
      <c r="BG3" t="s">
        <v>69</v>
      </c>
      <c r="BH3">
        <v>-1.022</v>
      </c>
      <c r="BI3">
        <v>-9.2999999999999999E-2</v>
      </c>
      <c r="BL3" t="s">
        <v>25028</v>
      </c>
      <c r="BM3" t="s">
        <v>25029</v>
      </c>
      <c r="BN3" t="s">
        <v>51</v>
      </c>
      <c r="BO3" t="s">
        <v>25030</v>
      </c>
      <c r="BP3" t="s">
        <v>25031</v>
      </c>
      <c r="BQ3" t="s">
        <v>25042</v>
      </c>
      <c r="BR3" t="s">
        <v>25043</v>
      </c>
      <c r="BV3" s="1" t="s">
        <v>25025</v>
      </c>
      <c r="BW3" s="1" t="s">
        <v>25026</v>
      </c>
      <c r="BX3" s="1" t="s">
        <v>25033</v>
      </c>
      <c r="BY3" s="1" t="s">
        <v>25027</v>
      </c>
      <c r="BZ3" s="1" t="s">
        <v>25037</v>
      </c>
      <c r="CA3" s="1" t="s">
        <v>25038</v>
      </c>
      <c r="CF3" s="1" t="s">
        <v>25025</v>
      </c>
      <c r="CG3" s="1" t="s">
        <v>25026</v>
      </c>
      <c r="CH3" s="1" t="s">
        <v>25033</v>
      </c>
      <c r="CI3" s="1" t="s">
        <v>25027</v>
      </c>
      <c r="CJ3" s="1" t="s">
        <v>25041</v>
      </c>
      <c r="CK3" s="1" t="s">
        <v>25038</v>
      </c>
    </row>
    <row r="4" spans="1:99">
      <c r="C4">
        <v>0</v>
      </c>
      <c r="D4">
        <v>0</v>
      </c>
      <c r="E4">
        <v>0</v>
      </c>
      <c r="F4" t="s">
        <v>25021</v>
      </c>
      <c r="G4">
        <v>883</v>
      </c>
      <c r="H4" t="s">
        <v>5516</v>
      </c>
      <c r="I4" t="s">
        <v>62</v>
      </c>
      <c r="J4">
        <v>924471</v>
      </c>
      <c r="K4">
        <v>924578</v>
      </c>
      <c r="L4" t="s">
        <v>2302</v>
      </c>
      <c r="M4">
        <v>36</v>
      </c>
      <c r="N4" t="s">
        <v>59</v>
      </c>
      <c r="O4">
        <v>49</v>
      </c>
      <c r="P4" t="str">
        <f>HYPERLINK("Gene883-zp_tree_all.dnd", "Gene883-tree")</f>
        <v>Gene883-tree</v>
      </c>
      <c r="Q4">
        <v>32</v>
      </c>
      <c r="R4">
        <v>0</v>
      </c>
      <c r="S4">
        <v>7</v>
      </c>
      <c r="T4">
        <v>0</v>
      </c>
      <c r="U4">
        <v>0</v>
      </c>
      <c r="V4" t="s">
        <v>5517</v>
      </c>
      <c r="W4" t="s">
        <v>62</v>
      </c>
      <c r="X4" t="s">
        <v>62</v>
      </c>
      <c r="Y4" t="s">
        <v>62</v>
      </c>
      <c r="Z4">
        <v>0</v>
      </c>
      <c r="AA4">
        <v>0</v>
      </c>
      <c r="AB4">
        <v>0</v>
      </c>
      <c r="AC4">
        <v>0</v>
      </c>
      <c r="AD4" s="47">
        <v>0</v>
      </c>
      <c r="AE4" s="47">
        <v>0</v>
      </c>
      <c r="AF4" s="47">
        <v>0</v>
      </c>
      <c r="AG4" s="47">
        <v>0</v>
      </c>
      <c r="AH4" s="47">
        <v>0</v>
      </c>
      <c r="AI4" s="47">
        <v>0</v>
      </c>
      <c r="AJ4" s="47">
        <v>0</v>
      </c>
      <c r="AK4" s="47">
        <v>0</v>
      </c>
      <c r="AL4">
        <v>0</v>
      </c>
      <c r="AM4">
        <v>0</v>
      </c>
      <c r="AN4">
        <v>5</v>
      </c>
      <c r="AO4">
        <v>3</v>
      </c>
      <c r="AP4">
        <v>6</v>
      </c>
      <c r="AQ4">
        <v>0</v>
      </c>
      <c r="AR4">
        <v>3</v>
      </c>
      <c r="AS4">
        <v>0</v>
      </c>
      <c r="AT4" t="s">
        <v>193</v>
      </c>
      <c r="AU4" t="s">
        <v>193</v>
      </c>
      <c r="AV4">
        <v>0</v>
      </c>
      <c r="AW4" t="s">
        <v>65</v>
      </c>
      <c r="AX4">
        <v>9</v>
      </c>
      <c r="AY4">
        <v>0</v>
      </c>
      <c r="AZ4" t="s">
        <v>5518</v>
      </c>
      <c r="BA4">
        <v>0.19169</v>
      </c>
      <c r="BB4">
        <v>-1.932E-2</v>
      </c>
      <c r="BC4">
        <v>0</v>
      </c>
      <c r="BD4">
        <v>0</v>
      </c>
      <c r="BE4">
        <v>0</v>
      </c>
      <c r="BF4">
        <v>1</v>
      </c>
      <c r="BG4" t="s">
        <v>69</v>
      </c>
      <c r="BH4">
        <v>-0.64400000000000002</v>
      </c>
      <c r="BI4">
        <v>-0.12</v>
      </c>
      <c r="BK4" t="s">
        <v>25022</v>
      </c>
      <c r="BL4">
        <v>5.0698762286130331E-3</v>
      </c>
      <c r="BM4">
        <v>6.0975620677102153E-2</v>
      </c>
      <c r="BN4">
        <v>0.1087308129784909</v>
      </c>
      <c r="BO4">
        <f>COUNTIF(CD!BC:BC,"&gt;1")</f>
        <v>14</v>
      </c>
      <c r="BP4">
        <v>2747</v>
      </c>
      <c r="BQ4">
        <f>BP4-4</f>
        <v>2743</v>
      </c>
      <c r="BR4" s="3">
        <f>BO4/BQ4</f>
        <v>5.1039008384979948E-3</v>
      </c>
      <c r="BT4" t="s">
        <v>25035</v>
      </c>
      <c r="BU4" t="s">
        <v>25022</v>
      </c>
      <c r="BV4">
        <f>SUM(CD!A3:A2749)</f>
        <v>172</v>
      </c>
      <c r="BW4">
        <f>SUM(CD!B3:B2749)</f>
        <v>14126</v>
      </c>
      <c r="BX4">
        <f>BW4+BV4</f>
        <v>14298</v>
      </c>
      <c r="BY4">
        <f>SUM(CD!C3:C2749)</f>
        <v>2439</v>
      </c>
      <c r="BZ4">
        <f>BY4+BX4</f>
        <v>16737</v>
      </c>
      <c r="CA4">
        <f>BP4</f>
        <v>2747</v>
      </c>
      <c r="CD4" t="s">
        <v>25035</v>
      </c>
      <c r="CE4" t="s">
        <v>25022</v>
      </c>
      <c r="CF4">
        <f>COUNTIF(CD!A:A,"&gt;=1")</f>
        <v>63</v>
      </c>
      <c r="CG4">
        <f>COUNTIF(CD!B:B,"&gt;=1")</f>
        <v>1660</v>
      </c>
      <c r="CH4">
        <f>CG4+CF4</f>
        <v>1723</v>
      </c>
      <c r="CI4">
        <f>COUNTIF(CD!C:C,"&gt;=1")</f>
        <v>874</v>
      </c>
      <c r="CJ4">
        <f>CI4+CH4</f>
        <v>2597</v>
      </c>
      <c r="CK4">
        <v>2747</v>
      </c>
    </row>
    <row r="5" spans="1:99">
      <c r="C5">
        <v>0</v>
      </c>
      <c r="D5">
        <v>0</v>
      </c>
      <c r="E5">
        <v>0</v>
      </c>
      <c r="F5" t="s">
        <v>25021</v>
      </c>
      <c r="G5">
        <v>488</v>
      </c>
      <c r="H5" t="s">
        <v>3298</v>
      </c>
      <c r="I5" t="s">
        <v>62</v>
      </c>
      <c r="J5">
        <v>527915</v>
      </c>
      <c r="K5">
        <v>528025</v>
      </c>
      <c r="L5" t="s">
        <v>3299</v>
      </c>
      <c r="M5">
        <v>37</v>
      </c>
      <c r="N5" t="s">
        <v>59</v>
      </c>
      <c r="O5">
        <v>49</v>
      </c>
      <c r="P5" t="str">
        <f>HYPERLINK("Gene488-zp_tree_all.dnd", "Gene488-tree")</f>
        <v>Gene488-tree</v>
      </c>
      <c r="Q5">
        <v>5</v>
      </c>
      <c r="R5">
        <v>0</v>
      </c>
      <c r="S5">
        <v>5</v>
      </c>
      <c r="T5">
        <v>0</v>
      </c>
      <c r="U5">
        <v>0</v>
      </c>
      <c r="V5" t="s">
        <v>199</v>
      </c>
      <c r="W5" t="s">
        <v>62</v>
      </c>
      <c r="X5" t="s">
        <v>62</v>
      </c>
      <c r="Y5" t="s">
        <v>62</v>
      </c>
      <c r="Z5">
        <v>0</v>
      </c>
      <c r="AA5">
        <v>0</v>
      </c>
      <c r="AB5">
        <v>0</v>
      </c>
      <c r="AC5">
        <v>0</v>
      </c>
      <c r="AD5" s="47">
        <v>0</v>
      </c>
      <c r="AE5" s="47">
        <v>0</v>
      </c>
      <c r="AF5" s="47">
        <v>0</v>
      </c>
      <c r="AG5" s="47">
        <v>0</v>
      </c>
      <c r="AH5" s="47">
        <v>0</v>
      </c>
      <c r="AI5" s="47">
        <v>0</v>
      </c>
      <c r="AJ5" s="47">
        <v>0</v>
      </c>
      <c r="AK5" s="47">
        <v>0</v>
      </c>
      <c r="AL5">
        <v>0</v>
      </c>
      <c r="AM5">
        <v>0</v>
      </c>
      <c r="AN5">
        <v>3</v>
      </c>
      <c r="AO5">
        <v>1</v>
      </c>
      <c r="AP5">
        <v>3</v>
      </c>
      <c r="AQ5">
        <v>0</v>
      </c>
      <c r="AR5">
        <v>1</v>
      </c>
      <c r="AS5">
        <v>0</v>
      </c>
      <c r="AT5" t="s">
        <v>193</v>
      </c>
      <c r="AU5" t="s">
        <v>193</v>
      </c>
      <c r="AV5">
        <v>0</v>
      </c>
      <c r="AW5" t="s">
        <v>65</v>
      </c>
      <c r="AX5">
        <v>4</v>
      </c>
      <c r="AY5">
        <v>0</v>
      </c>
      <c r="AZ5" t="s">
        <v>3300</v>
      </c>
      <c r="BA5">
        <v>0.10344</v>
      </c>
      <c r="BB5">
        <v>-1.456E-2</v>
      </c>
      <c r="BC5">
        <v>0</v>
      </c>
      <c r="BD5">
        <v>0</v>
      </c>
      <c r="BE5">
        <v>0</v>
      </c>
      <c r="BF5">
        <v>1</v>
      </c>
      <c r="BG5" t="s">
        <v>69</v>
      </c>
      <c r="BH5">
        <v>-1.579</v>
      </c>
      <c r="BI5">
        <v>-2.29</v>
      </c>
      <c r="BK5" t="s">
        <v>25021</v>
      </c>
      <c r="BL5">
        <v>6.0043067846607626E-3</v>
      </c>
      <c r="BM5">
        <v>5.8235594886922364E-2</v>
      </c>
      <c r="BN5">
        <v>0.13368354330708676</v>
      </c>
      <c r="BO5">
        <f>COUNTIF(BE:BE,"&gt;1")</f>
        <v>8</v>
      </c>
      <c r="BP5">
        <v>1017</v>
      </c>
      <c r="BQ5">
        <f>BP5-1</f>
        <v>1016</v>
      </c>
      <c r="BR5" s="3">
        <f>BO5/BQ5</f>
        <v>7.874015748031496E-3</v>
      </c>
      <c r="BU5" t="s">
        <v>25021</v>
      </c>
      <c r="BV5">
        <f>SUM(C3:C1019)</f>
        <v>79</v>
      </c>
      <c r="BW5">
        <f>SUM(D3:D1019)</f>
        <v>5803</v>
      </c>
      <c r="BX5">
        <f>BW5+BV5</f>
        <v>5882</v>
      </c>
      <c r="BY5">
        <f>SUM(E3:E1019)</f>
        <v>1058</v>
      </c>
      <c r="BZ5">
        <f>BY5+BX5</f>
        <v>6940</v>
      </c>
      <c r="CA5">
        <f>BP5</f>
        <v>1017</v>
      </c>
      <c r="CE5" t="s">
        <v>25021</v>
      </c>
      <c r="CF5">
        <f>COUNTIF(C:C,"&gt;=1")</f>
        <v>29</v>
      </c>
      <c r="CG5">
        <f>COUNTIF(D:D,"&gt;=1")</f>
        <v>617</v>
      </c>
      <c r="CH5">
        <f>CG5+CF5</f>
        <v>646</v>
      </c>
      <c r="CI5">
        <f>COUNTIF(E:E,"&gt;=1")</f>
        <v>345</v>
      </c>
      <c r="CJ5">
        <f>CI5+CH5</f>
        <v>991</v>
      </c>
      <c r="CK5">
        <v>1017</v>
      </c>
    </row>
    <row r="6" spans="1:99">
      <c r="C6">
        <v>0</v>
      </c>
      <c r="D6">
        <v>0</v>
      </c>
      <c r="E6">
        <v>0</v>
      </c>
      <c r="F6" t="s">
        <v>25021</v>
      </c>
      <c r="G6">
        <v>4176</v>
      </c>
      <c r="H6" t="s">
        <v>24584</v>
      </c>
      <c r="I6" t="s">
        <v>57</v>
      </c>
      <c r="J6">
        <v>4141358</v>
      </c>
      <c r="K6">
        <v>4141471</v>
      </c>
      <c r="L6" t="s">
        <v>24585</v>
      </c>
      <c r="M6">
        <v>38</v>
      </c>
      <c r="N6" t="s">
        <v>108</v>
      </c>
      <c r="O6">
        <v>44</v>
      </c>
      <c r="P6" t="str">
        <f>HYPERLINK("Gene4176-zp_tree_all.dnd", "Gene4176-tree")</f>
        <v>Gene4176-tree</v>
      </c>
      <c r="Q6">
        <v>6</v>
      </c>
      <c r="R6">
        <v>1</v>
      </c>
      <c r="S6">
        <v>6</v>
      </c>
      <c r="T6">
        <v>1</v>
      </c>
      <c r="U6">
        <v>0.14285999999999999</v>
      </c>
      <c r="V6" t="s">
        <v>90</v>
      </c>
      <c r="W6" t="s">
        <v>175</v>
      </c>
      <c r="X6" t="s">
        <v>62</v>
      </c>
      <c r="Y6" t="s">
        <v>62</v>
      </c>
      <c r="Z6">
        <v>0</v>
      </c>
      <c r="AA6">
        <v>0</v>
      </c>
      <c r="AB6">
        <v>1</v>
      </c>
      <c r="AC6">
        <v>0</v>
      </c>
      <c r="AD6" s="47">
        <v>0</v>
      </c>
      <c r="AE6" s="47">
        <v>0</v>
      </c>
      <c r="AF6" s="47">
        <v>0</v>
      </c>
      <c r="AG6" s="47">
        <v>0</v>
      </c>
      <c r="AH6" s="47">
        <v>0</v>
      </c>
      <c r="AI6" s="47">
        <v>0</v>
      </c>
      <c r="AJ6" s="47">
        <v>0</v>
      </c>
      <c r="AK6" s="47">
        <v>0</v>
      </c>
      <c r="AL6">
        <v>1</v>
      </c>
      <c r="AM6">
        <v>0</v>
      </c>
      <c r="AN6">
        <v>6</v>
      </c>
      <c r="AO6">
        <v>2</v>
      </c>
      <c r="AP6">
        <v>7</v>
      </c>
      <c r="AQ6">
        <v>1</v>
      </c>
      <c r="AR6">
        <v>2</v>
      </c>
      <c r="AS6">
        <v>0</v>
      </c>
      <c r="AT6" t="s">
        <v>24586</v>
      </c>
      <c r="AU6" t="s">
        <v>193</v>
      </c>
      <c r="AV6">
        <v>0.47899999999999998</v>
      </c>
      <c r="AW6" t="s">
        <v>65</v>
      </c>
      <c r="AX6">
        <v>9</v>
      </c>
      <c r="AY6">
        <v>1</v>
      </c>
      <c r="AZ6" t="s">
        <v>24587</v>
      </c>
      <c r="BA6">
        <v>0.10187</v>
      </c>
      <c r="BB6">
        <v>-9.6500000000000006E-3</v>
      </c>
      <c r="BC6">
        <v>3.2100000000000002E-3</v>
      </c>
      <c r="BD6">
        <v>-1.1100000000000001E-3</v>
      </c>
      <c r="BE6">
        <v>3.15E-2</v>
      </c>
      <c r="BF6">
        <v>1</v>
      </c>
      <c r="BG6" t="s">
        <v>69</v>
      </c>
      <c r="BH6">
        <v>-0.30599999999999999</v>
      </c>
      <c r="BI6">
        <v>-1.333</v>
      </c>
      <c r="CE6" t="s">
        <v>25039</v>
      </c>
      <c r="CF6">
        <v>0.33720899999999998</v>
      </c>
      <c r="CG6">
        <v>0.94699999999999995</v>
      </c>
      <c r="CI6">
        <v>0.83</v>
      </c>
    </row>
    <row r="7" spans="1:99">
      <c r="C7">
        <v>0</v>
      </c>
      <c r="D7">
        <v>0</v>
      </c>
      <c r="E7">
        <v>0</v>
      </c>
      <c r="F7" t="s">
        <v>25021</v>
      </c>
      <c r="G7">
        <v>1190</v>
      </c>
      <c r="H7" t="s">
        <v>7484</v>
      </c>
      <c r="I7" t="s">
        <v>62</v>
      </c>
      <c r="J7">
        <v>1229722</v>
      </c>
      <c r="K7">
        <v>1229841</v>
      </c>
      <c r="L7" t="s">
        <v>7485</v>
      </c>
      <c r="M7">
        <v>40</v>
      </c>
      <c r="N7" t="s">
        <v>1557</v>
      </c>
      <c r="O7">
        <v>40</v>
      </c>
      <c r="P7" t="str">
        <f>HYPERLINK("Gene1190-zp_tree_all.dnd", "Gene1190-tree")</f>
        <v>Gene1190-tree</v>
      </c>
      <c r="Q7">
        <v>2</v>
      </c>
      <c r="R7">
        <v>3</v>
      </c>
      <c r="S7">
        <v>2</v>
      </c>
      <c r="T7">
        <v>3</v>
      </c>
      <c r="U7">
        <v>0.6</v>
      </c>
      <c r="V7" t="s">
        <v>81</v>
      </c>
      <c r="W7" t="s">
        <v>324</v>
      </c>
      <c r="X7" t="s">
        <v>62</v>
      </c>
      <c r="Y7" t="s">
        <v>62</v>
      </c>
      <c r="Z7">
        <v>0</v>
      </c>
      <c r="AA7">
        <v>0</v>
      </c>
      <c r="AB7">
        <v>3</v>
      </c>
      <c r="AC7">
        <v>0</v>
      </c>
      <c r="AD7" s="47">
        <v>0</v>
      </c>
      <c r="AE7" s="47">
        <v>0</v>
      </c>
      <c r="AF7" s="47">
        <v>0</v>
      </c>
      <c r="AG7" s="47">
        <v>0</v>
      </c>
      <c r="AH7" s="47">
        <v>0</v>
      </c>
      <c r="AI7" s="47">
        <v>0</v>
      </c>
      <c r="AJ7" s="47">
        <v>0</v>
      </c>
      <c r="AK7" s="47">
        <v>0</v>
      </c>
      <c r="AL7">
        <v>3</v>
      </c>
      <c r="AM7">
        <v>0</v>
      </c>
      <c r="AN7">
        <v>3</v>
      </c>
      <c r="AO7">
        <v>1</v>
      </c>
      <c r="AP7">
        <v>1</v>
      </c>
      <c r="AQ7">
        <v>2</v>
      </c>
      <c r="AR7">
        <v>0</v>
      </c>
      <c r="AS7">
        <v>1</v>
      </c>
      <c r="AT7" t="s">
        <v>7486</v>
      </c>
      <c r="AU7" t="s">
        <v>193</v>
      </c>
      <c r="AV7">
        <v>0.69299999999999995</v>
      </c>
      <c r="AW7" t="s">
        <v>65</v>
      </c>
      <c r="AX7">
        <v>1</v>
      </c>
      <c r="AY7">
        <v>3</v>
      </c>
      <c r="AZ7" t="s">
        <v>7487</v>
      </c>
      <c r="BA7">
        <v>1.695E-2</v>
      </c>
      <c r="BB7">
        <v>-6.3400000000000001E-3</v>
      </c>
      <c r="BC7">
        <v>1.5820000000000001E-2</v>
      </c>
      <c r="BD7">
        <v>-2.8900000000000002E-3</v>
      </c>
      <c r="BE7">
        <v>0.93323999999999996</v>
      </c>
      <c r="BF7">
        <v>0.27700000000000002</v>
      </c>
      <c r="BG7" t="s">
        <v>635</v>
      </c>
      <c r="BH7">
        <v>-1.645</v>
      </c>
      <c r="BI7">
        <v>-2.1669999999999998</v>
      </c>
      <c r="BK7" t="s">
        <v>25039</v>
      </c>
      <c r="BR7">
        <v>0.32500000000000001</v>
      </c>
      <c r="BT7" t="s">
        <v>25036</v>
      </c>
      <c r="BU7" t="s">
        <v>25022</v>
      </c>
      <c r="BV7">
        <f>BV4/$CA$4</f>
        <v>6.261376046596287E-2</v>
      </c>
      <c r="BW7">
        <f>BW4/$CA$4</f>
        <v>5.1423370950127412</v>
      </c>
      <c r="BX7">
        <f>BX4/$CA$4</f>
        <v>5.2049508554787041</v>
      </c>
      <c r="BY7">
        <f>BY4/$CA$4</f>
        <v>0.88787768474699669</v>
      </c>
      <c r="BZ7">
        <f>BZ4/$CA$4</f>
        <v>6.0928285402257005</v>
      </c>
    </row>
    <row r="8" spans="1:99">
      <c r="C8">
        <v>0</v>
      </c>
      <c r="D8">
        <v>0</v>
      </c>
      <c r="E8">
        <v>0</v>
      </c>
      <c r="F8" t="s">
        <v>25021</v>
      </c>
      <c r="G8">
        <v>2461</v>
      </c>
      <c r="H8" t="s">
        <v>14337</v>
      </c>
      <c r="I8" t="s">
        <v>57</v>
      </c>
      <c r="J8">
        <v>2459141</v>
      </c>
      <c r="K8">
        <v>2459260</v>
      </c>
      <c r="L8" t="s">
        <v>11600</v>
      </c>
      <c r="M8">
        <v>40</v>
      </c>
      <c r="N8" t="s">
        <v>108</v>
      </c>
      <c r="O8">
        <v>44</v>
      </c>
      <c r="P8" t="str">
        <f>HYPERLINK("Gene2461-zp_tree_all.dnd", "Gene2461-tree")</f>
        <v>Gene2461-tree</v>
      </c>
      <c r="Q8">
        <v>3</v>
      </c>
      <c r="R8">
        <v>2</v>
      </c>
      <c r="S8">
        <v>3</v>
      </c>
      <c r="T8">
        <v>2</v>
      </c>
      <c r="U8">
        <v>0.4</v>
      </c>
      <c r="V8" t="s">
        <v>324</v>
      </c>
      <c r="W8" t="s">
        <v>81</v>
      </c>
      <c r="X8" t="s">
        <v>62</v>
      </c>
      <c r="Y8" t="s">
        <v>62</v>
      </c>
      <c r="Z8">
        <v>0</v>
      </c>
      <c r="AA8">
        <v>0</v>
      </c>
      <c r="AB8">
        <v>2</v>
      </c>
      <c r="AC8">
        <v>0</v>
      </c>
      <c r="AD8" s="47">
        <v>0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>
        <v>2</v>
      </c>
      <c r="AM8">
        <v>0</v>
      </c>
      <c r="AN8">
        <v>4</v>
      </c>
      <c r="AO8">
        <v>0</v>
      </c>
      <c r="AP8">
        <v>3</v>
      </c>
      <c r="AQ8">
        <v>2</v>
      </c>
      <c r="AR8">
        <v>0</v>
      </c>
      <c r="AS8">
        <v>0</v>
      </c>
      <c r="AT8" t="s">
        <v>14338</v>
      </c>
      <c r="AU8" t="s">
        <v>193</v>
      </c>
      <c r="AV8">
        <v>1.5</v>
      </c>
      <c r="AW8" t="s">
        <v>65</v>
      </c>
      <c r="AX8">
        <v>3</v>
      </c>
      <c r="AY8">
        <v>2</v>
      </c>
      <c r="AZ8" t="s">
        <v>14339</v>
      </c>
      <c r="BA8">
        <v>4.6429999999999999E-2</v>
      </c>
      <c r="BB8">
        <v>-7.4999999999999997E-3</v>
      </c>
      <c r="BC8">
        <v>8.6700000000000006E-3</v>
      </c>
      <c r="BD8">
        <v>-2.0600000000000002E-3</v>
      </c>
      <c r="BE8">
        <v>0.1867</v>
      </c>
      <c r="BF8">
        <v>0.87</v>
      </c>
      <c r="BG8" t="s">
        <v>635</v>
      </c>
      <c r="BH8">
        <v>-0.13100000000000001</v>
      </c>
      <c r="BI8">
        <v>1.1080000000000001</v>
      </c>
      <c r="BU8" t="s">
        <v>25021</v>
      </c>
      <c r="BV8">
        <f>BV5/$CA$5</f>
        <v>7.7679449360865294E-2</v>
      </c>
      <c r="BW8">
        <f t="shared" ref="BW8:BZ8" si="1">BW5/$CA$5</f>
        <v>5.705998033431662</v>
      </c>
      <c r="BX8">
        <f t="shared" si="1"/>
        <v>5.7836774827925268</v>
      </c>
      <c r="BY8">
        <f>BY5/$CA$5</f>
        <v>1.0403146509341199</v>
      </c>
      <c r="BZ8">
        <f t="shared" si="1"/>
        <v>6.8239921337266471</v>
      </c>
      <c r="CD8" t="s">
        <v>25036</v>
      </c>
      <c r="CE8" t="s">
        <v>25022</v>
      </c>
      <c r="CF8">
        <f>CF4/CK4</f>
        <v>2.2934109938114306E-2</v>
      </c>
      <c r="CG8">
        <f>CG4/CK4</f>
        <v>0.60429559519475795</v>
      </c>
      <c r="CH8">
        <f>CH4/CK4</f>
        <v>0.62722970513287224</v>
      </c>
      <c r="CI8">
        <f>CI4/CK4</f>
        <v>0.31816527120495086</v>
      </c>
      <c r="CJ8">
        <f>CJ4/CK4</f>
        <v>0.9453949763378231</v>
      </c>
    </row>
    <row r="9" spans="1:99">
      <c r="C9">
        <v>0</v>
      </c>
      <c r="D9">
        <v>0</v>
      </c>
      <c r="E9">
        <v>0</v>
      </c>
      <c r="F9" t="s">
        <v>25021</v>
      </c>
      <c r="G9">
        <v>1970</v>
      </c>
      <c r="H9" t="s">
        <v>12304</v>
      </c>
      <c r="I9" t="s">
        <v>57</v>
      </c>
      <c r="J9">
        <v>2063262</v>
      </c>
      <c r="K9">
        <v>2063381</v>
      </c>
      <c r="L9" t="s">
        <v>12305</v>
      </c>
      <c r="M9">
        <v>40</v>
      </c>
      <c r="N9" t="s">
        <v>12306</v>
      </c>
      <c r="O9">
        <v>27</v>
      </c>
      <c r="P9" t="str">
        <f>HYPERLINK("Gene1970-zp_tree_all.dnd", "Gene1970-tree")</f>
        <v>Gene1970-tree</v>
      </c>
      <c r="Q9">
        <v>3</v>
      </c>
      <c r="R9">
        <v>1</v>
      </c>
      <c r="S9">
        <v>3</v>
      </c>
      <c r="T9">
        <v>1</v>
      </c>
      <c r="U9">
        <v>0.25</v>
      </c>
      <c r="V9" t="s">
        <v>324</v>
      </c>
      <c r="W9" t="s">
        <v>175</v>
      </c>
      <c r="X9" t="s">
        <v>62</v>
      </c>
      <c r="Y9" t="s">
        <v>62</v>
      </c>
      <c r="Z9">
        <v>0</v>
      </c>
      <c r="AA9">
        <v>0</v>
      </c>
      <c r="AB9">
        <v>2</v>
      </c>
      <c r="AC9">
        <v>0</v>
      </c>
      <c r="AD9" s="47">
        <v>0</v>
      </c>
      <c r="AE9" s="47">
        <v>0</v>
      </c>
      <c r="AF9" s="47">
        <v>0</v>
      </c>
      <c r="AG9" s="47">
        <v>0</v>
      </c>
      <c r="AH9" s="47">
        <v>0</v>
      </c>
      <c r="AI9" s="47">
        <v>0</v>
      </c>
      <c r="AJ9" s="47">
        <v>0</v>
      </c>
      <c r="AK9" s="47">
        <v>0</v>
      </c>
      <c r="AL9">
        <v>2</v>
      </c>
      <c r="AM9">
        <v>0</v>
      </c>
      <c r="AN9">
        <v>4</v>
      </c>
      <c r="AO9">
        <v>1</v>
      </c>
      <c r="AP9">
        <v>4</v>
      </c>
      <c r="AQ9">
        <v>2</v>
      </c>
      <c r="AR9">
        <v>1</v>
      </c>
      <c r="AS9">
        <v>0</v>
      </c>
      <c r="AT9" t="s">
        <v>12307</v>
      </c>
      <c r="AU9" t="s">
        <v>193</v>
      </c>
      <c r="AV9">
        <v>0.66700000000000004</v>
      </c>
      <c r="AW9" t="s">
        <v>65</v>
      </c>
      <c r="AX9">
        <v>5</v>
      </c>
      <c r="AY9">
        <v>2</v>
      </c>
      <c r="AZ9" t="s">
        <v>12308</v>
      </c>
      <c r="BA9">
        <v>8.3860000000000004E-2</v>
      </c>
      <c r="BB9">
        <v>-1.137E-2</v>
      </c>
      <c r="BC9">
        <v>1.123E-2</v>
      </c>
      <c r="BD9">
        <v>-4.5799999999999999E-3</v>
      </c>
      <c r="BE9">
        <v>0.13386999999999999</v>
      </c>
      <c r="BF9">
        <v>0.96</v>
      </c>
      <c r="BG9" t="s">
        <v>69</v>
      </c>
      <c r="BH9">
        <v>-1.611</v>
      </c>
      <c r="BI9">
        <v>-1.8029999999999999</v>
      </c>
      <c r="BU9" t="s">
        <v>25034</v>
      </c>
      <c r="BV9">
        <f>BV8/BV7</f>
        <v>1.2406130662459125</v>
      </c>
      <c r="BW9">
        <f t="shared" ref="BW9:BZ9" si="2">BW8/BW7</f>
        <v>1.1096118220187439</v>
      </c>
      <c r="BX9">
        <f t="shared" si="2"/>
        <v>1.1111877217254911</v>
      </c>
      <c r="BY9">
        <f t="shared" si="2"/>
        <v>1.171686898776559</v>
      </c>
      <c r="BZ9">
        <f t="shared" si="2"/>
        <v>1.1200039667411783</v>
      </c>
      <c r="CE9" t="s">
        <v>25021</v>
      </c>
      <c r="CF9">
        <f>CF5/CK5</f>
        <v>2.8515240904621434E-2</v>
      </c>
      <c r="CG9">
        <f>CG5/CK5</f>
        <v>0.60668633235004921</v>
      </c>
      <c r="CH9">
        <f>CH5/CK5</f>
        <v>0.63520157325467064</v>
      </c>
      <c r="CI9">
        <f>CI5/CK5</f>
        <v>0.33923303834808261</v>
      </c>
      <c r="CJ9">
        <f>CJ5/CK5</f>
        <v>0.97443461160275324</v>
      </c>
    </row>
    <row r="10" spans="1:99">
      <c r="C10">
        <v>2</v>
      </c>
      <c r="D10">
        <v>2</v>
      </c>
      <c r="E10">
        <v>1</v>
      </c>
      <c r="F10" t="s">
        <v>25021</v>
      </c>
      <c r="G10">
        <v>1008</v>
      </c>
      <c r="H10" t="s">
        <v>6328</v>
      </c>
      <c r="I10" t="s">
        <v>62</v>
      </c>
      <c r="J10">
        <v>1049804</v>
      </c>
      <c r="K10">
        <v>1049926</v>
      </c>
      <c r="L10" t="s">
        <v>288</v>
      </c>
      <c r="M10">
        <v>41</v>
      </c>
      <c r="N10" t="s">
        <v>6329</v>
      </c>
      <c r="O10">
        <v>47</v>
      </c>
      <c r="P10" t="str">
        <f>HYPERLINK("Gene1008-zp_tree_all.dnd", "Gene1008-tree")</f>
        <v>Gene1008-tree</v>
      </c>
      <c r="Q10">
        <v>30</v>
      </c>
      <c r="R10">
        <v>3</v>
      </c>
      <c r="S10">
        <v>3</v>
      </c>
      <c r="T10">
        <v>3</v>
      </c>
      <c r="U10">
        <v>0.5</v>
      </c>
      <c r="V10" t="s">
        <v>6330</v>
      </c>
      <c r="W10" t="s">
        <v>324</v>
      </c>
      <c r="X10" t="s">
        <v>62</v>
      </c>
      <c r="Y10" t="s">
        <v>62</v>
      </c>
      <c r="Z10">
        <v>2</v>
      </c>
      <c r="AA10">
        <v>5</v>
      </c>
      <c r="AB10">
        <v>3</v>
      </c>
      <c r="AC10">
        <v>0.625</v>
      </c>
      <c r="AD10" s="47">
        <v>0</v>
      </c>
      <c r="AE10" s="47">
        <v>0</v>
      </c>
      <c r="AF10" s="47">
        <v>0</v>
      </c>
      <c r="AG10" s="47">
        <v>2</v>
      </c>
      <c r="AH10" s="47">
        <v>0</v>
      </c>
      <c r="AI10" s="47">
        <v>2</v>
      </c>
      <c r="AJ10" s="47">
        <v>2</v>
      </c>
      <c r="AK10" s="47">
        <v>4</v>
      </c>
      <c r="AL10">
        <v>1</v>
      </c>
      <c r="AM10">
        <v>0.8</v>
      </c>
      <c r="AN10">
        <v>4</v>
      </c>
      <c r="AO10">
        <v>3</v>
      </c>
      <c r="AP10">
        <v>1</v>
      </c>
      <c r="AQ10">
        <v>5</v>
      </c>
      <c r="AR10">
        <v>2</v>
      </c>
      <c r="AS10">
        <v>3</v>
      </c>
      <c r="AT10" t="s">
        <v>6331</v>
      </c>
      <c r="AU10" t="s">
        <v>6332</v>
      </c>
      <c r="AV10">
        <v>0.40400000000000003</v>
      </c>
      <c r="AW10" t="s">
        <v>65</v>
      </c>
      <c r="AX10">
        <v>3</v>
      </c>
      <c r="AY10">
        <v>8</v>
      </c>
      <c r="AZ10" t="s">
        <v>6333</v>
      </c>
      <c r="BA10">
        <v>5.0709999999999998E-2</v>
      </c>
      <c r="BB10">
        <v>-8.4600000000000005E-3</v>
      </c>
      <c r="BC10">
        <v>3.1809999999999998E-2</v>
      </c>
      <c r="BD10">
        <v>-4.8599999999999997E-3</v>
      </c>
      <c r="BE10">
        <v>0.62734000000000001</v>
      </c>
      <c r="BF10">
        <v>0.67800000000000005</v>
      </c>
      <c r="BG10" t="s">
        <v>635</v>
      </c>
      <c r="BH10">
        <v>-1.08</v>
      </c>
      <c r="BI10">
        <v>-0.80900000000000005</v>
      </c>
      <c r="CE10" t="s">
        <v>25034</v>
      </c>
      <c r="CF10">
        <f>CF9/CF8</f>
        <v>1.243355028015795</v>
      </c>
      <c r="CG10">
        <f t="shared" ref="CG10:CJ10" si="3">CG9/CG8</f>
        <v>1.0039562379310754</v>
      </c>
      <c r="CH10">
        <f t="shared" si="3"/>
        <v>1.0127096469707373</v>
      </c>
      <c r="CI10">
        <f t="shared" si="3"/>
        <v>1.0662164260208042</v>
      </c>
      <c r="CJ10">
        <f t="shared" si="3"/>
        <v>1.0307169341828122</v>
      </c>
    </row>
    <row r="11" spans="1:99">
      <c r="C11">
        <v>0</v>
      </c>
      <c r="D11">
        <v>0</v>
      </c>
      <c r="E11">
        <v>0</v>
      </c>
      <c r="F11" t="s">
        <v>25021</v>
      </c>
      <c r="G11">
        <v>3292</v>
      </c>
      <c r="H11" t="s">
        <v>19207</v>
      </c>
      <c r="I11" t="s">
        <v>57</v>
      </c>
      <c r="J11">
        <v>3257454</v>
      </c>
      <c r="K11">
        <v>3257576</v>
      </c>
      <c r="L11" t="s">
        <v>19208</v>
      </c>
      <c r="M11">
        <v>41</v>
      </c>
      <c r="N11" t="s">
        <v>19209</v>
      </c>
      <c r="O11">
        <v>47</v>
      </c>
      <c r="P11" t="str">
        <f>HYPERLINK("Gene3292-zp_tree_all.dnd", "Gene3292-tree")</f>
        <v>Gene3292-tree</v>
      </c>
      <c r="Q11">
        <v>4</v>
      </c>
      <c r="R11">
        <v>5</v>
      </c>
      <c r="S11">
        <v>4</v>
      </c>
      <c r="T11">
        <v>5</v>
      </c>
      <c r="U11">
        <v>0.55556000000000005</v>
      </c>
      <c r="V11" t="s">
        <v>61</v>
      </c>
      <c r="W11" t="s">
        <v>199</v>
      </c>
      <c r="X11" t="s">
        <v>62</v>
      </c>
      <c r="Y11" t="s">
        <v>62</v>
      </c>
      <c r="Z11">
        <v>0</v>
      </c>
      <c r="AA11">
        <v>0</v>
      </c>
      <c r="AB11">
        <v>9</v>
      </c>
      <c r="AC11">
        <v>0</v>
      </c>
      <c r="AD11" s="47">
        <v>0</v>
      </c>
      <c r="AE11" s="47">
        <v>0</v>
      </c>
      <c r="AF11" s="47">
        <v>0</v>
      </c>
      <c r="AG11" s="47">
        <v>0</v>
      </c>
      <c r="AH11" s="47">
        <v>0</v>
      </c>
      <c r="AI11" s="47">
        <v>0</v>
      </c>
      <c r="AJ11" s="47">
        <v>0</v>
      </c>
      <c r="AK11" s="47">
        <v>0</v>
      </c>
      <c r="AL11">
        <v>7</v>
      </c>
      <c r="AM11">
        <v>0</v>
      </c>
      <c r="AN11">
        <v>6</v>
      </c>
      <c r="AO11">
        <v>4</v>
      </c>
      <c r="AP11">
        <v>3</v>
      </c>
      <c r="AQ11">
        <v>7</v>
      </c>
      <c r="AR11">
        <v>3</v>
      </c>
      <c r="AS11">
        <v>3</v>
      </c>
      <c r="AT11" t="s">
        <v>19210</v>
      </c>
      <c r="AU11" t="s">
        <v>19211</v>
      </c>
      <c r="AV11">
        <v>0.39600000000000002</v>
      </c>
      <c r="AW11" t="s">
        <v>65</v>
      </c>
      <c r="AX11">
        <v>6</v>
      </c>
      <c r="AY11">
        <v>10</v>
      </c>
      <c r="AZ11" t="s">
        <v>19212</v>
      </c>
      <c r="BA11">
        <v>6.1879999999999998E-2</v>
      </c>
      <c r="BB11">
        <v>-6.4999999999999997E-3</v>
      </c>
      <c r="BC11">
        <v>3.6159999999999998E-2</v>
      </c>
      <c r="BD11">
        <v>-3.7399999999999998E-3</v>
      </c>
      <c r="BE11">
        <v>0.58433999999999997</v>
      </c>
      <c r="BF11">
        <v>0.71699999999999997</v>
      </c>
      <c r="BG11" t="s">
        <v>635</v>
      </c>
      <c r="BH11">
        <v>-0.94699999999999995</v>
      </c>
      <c r="BI11">
        <v>0.58899999999999997</v>
      </c>
      <c r="BU11" t="s">
        <v>25032</v>
      </c>
      <c r="BV11">
        <v>0.125028</v>
      </c>
      <c r="BW11">
        <v>9.0840000000000001E-3</v>
      </c>
      <c r="BX11">
        <v>8.1180000000000002E-3</v>
      </c>
      <c r="BY11">
        <v>2.2950000000000002E-3</v>
      </c>
      <c r="BZ11">
        <v>3.9940000000000002E-3</v>
      </c>
    </row>
    <row r="12" spans="1:99">
      <c r="C12">
        <v>0</v>
      </c>
      <c r="D12">
        <v>0</v>
      </c>
      <c r="E12">
        <v>0</v>
      </c>
      <c r="F12" t="s">
        <v>25021</v>
      </c>
      <c r="G12">
        <v>2045</v>
      </c>
      <c r="H12" t="s">
        <v>12735</v>
      </c>
      <c r="I12" t="s">
        <v>57</v>
      </c>
      <c r="J12">
        <v>2136373</v>
      </c>
      <c r="K12">
        <v>2136495</v>
      </c>
      <c r="L12" t="s">
        <v>288</v>
      </c>
      <c r="M12">
        <v>41</v>
      </c>
      <c r="N12" t="s">
        <v>108</v>
      </c>
      <c r="O12">
        <v>44</v>
      </c>
      <c r="P12" t="str">
        <f>HYPERLINK("Gene2045-zp_tree_all.dnd", "Gene2045-tree")</f>
        <v>Gene2045-tree</v>
      </c>
      <c r="Q12">
        <v>5</v>
      </c>
      <c r="R12">
        <v>0</v>
      </c>
      <c r="S12">
        <v>5</v>
      </c>
      <c r="T12">
        <v>0</v>
      </c>
      <c r="U12">
        <v>0</v>
      </c>
      <c r="V12" t="s">
        <v>199</v>
      </c>
      <c r="W12" t="s">
        <v>62</v>
      </c>
      <c r="X12" t="s">
        <v>62</v>
      </c>
      <c r="Y12" t="s">
        <v>62</v>
      </c>
      <c r="Z12">
        <v>0</v>
      </c>
      <c r="AA12">
        <v>0</v>
      </c>
      <c r="AB12">
        <v>0</v>
      </c>
      <c r="AC12">
        <v>0</v>
      </c>
      <c r="AD12" s="47">
        <v>0</v>
      </c>
      <c r="AE12" s="47">
        <v>0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>
        <v>0</v>
      </c>
      <c r="AM12">
        <v>0</v>
      </c>
      <c r="AN12">
        <v>2</v>
      </c>
      <c r="AO12">
        <v>2</v>
      </c>
      <c r="AP12">
        <v>2</v>
      </c>
      <c r="AQ12">
        <v>0</v>
      </c>
      <c r="AR12">
        <v>2</v>
      </c>
      <c r="AS12">
        <v>0</v>
      </c>
      <c r="AT12" t="s">
        <v>193</v>
      </c>
      <c r="AU12" t="s">
        <v>193</v>
      </c>
      <c r="AV12">
        <v>0</v>
      </c>
      <c r="AW12" t="s">
        <v>65</v>
      </c>
      <c r="AX12">
        <v>4</v>
      </c>
      <c r="AY12">
        <v>0</v>
      </c>
      <c r="AZ12" t="s">
        <v>12736</v>
      </c>
      <c r="BA12">
        <v>6.6530000000000006E-2</v>
      </c>
      <c r="BB12">
        <v>-9.1699999999999993E-3</v>
      </c>
      <c r="BC12">
        <v>0</v>
      </c>
      <c r="BD12">
        <v>0</v>
      </c>
      <c r="BE12">
        <v>0</v>
      </c>
      <c r="BF12">
        <v>1</v>
      </c>
      <c r="BG12" t="s">
        <v>69</v>
      </c>
      <c r="BH12">
        <v>1.105</v>
      </c>
      <c r="BI12">
        <v>-0.378</v>
      </c>
    </row>
    <row r="13" spans="1:99">
      <c r="C13">
        <v>0</v>
      </c>
      <c r="D13">
        <v>0</v>
      </c>
      <c r="E13">
        <v>0</v>
      </c>
      <c r="F13" t="s">
        <v>25021</v>
      </c>
      <c r="G13">
        <v>2291</v>
      </c>
      <c r="H13" t="s">
        <v>13269</v>
      </c>
      <c r="I13" t="s">
        <v>57</v>
      </c>
      <c r="J13">
        <v>2310859</v>
      </c>
      <c r="K13">
        <v>2310984</v>
      </c>
      <c r="L13" t="s">
        <v>389</v>
      </c>
      <c r="M13">
        <v>42</v>
      </c>
      <c r="N13" t="s">
        <v>59</v>
      </c>
      <c r="O13">
        <v>49</v>
      </c>
      <c r="P13" t="str">
        <f>HYPERLINK("Gene2291-zp_tree_all.dnd", "Gene2291-tree")</f>
        <v>Gene2291-tree</v>
      </c>
      <c r="Q13">
        <v>35</v>
      </c>
      <c r="R13">
        <v>2</v>
      </c>
      <c r="S13">
        <v>6</v>
      </c>
      <c r="T13">
        <v>2</v>
      </c>
      <c r="U13">
        <v>0.25</v>
      </c>
      <c r="V13" t="s">
        <v>13270</v>
      </c>
      <c r="W13" t="s">
        <v>81</v>
      </c>
      <c r="X13" t="s">
        <v>62</v>
      </c>
      <c r="Y13" t="s">
        <v>62</v>
      </c>
      <c r="Z13">
        <v>0</v>
      </c>
      <c r="AA13">
        <v>0</v>
      </c>
      <c r="AB13">
        <v>3</v>
      </c>
      <c r="AC13">
        <v>0</v>
      </c>
      <c r="AD13" s="47">
        <v>0</v>
      </c>
      <c r="AE13" s="47">
        <v>0</v>
      </c>
      <c r="AF13" s="47">
        <v>0</v>
      </c>
      <c r="AG13" s="47">
        <v>0</v>
      </c>
      <c r="AH13" s="47">
        <v>0</v>
      </c>
      <c r="AI13" s="47">
        <v>0</v>
      </c>
      <c r="AJ13" s="47">
        <v>0</v>
      </c>
      <c r="AK13" s="47">
        <v>0</v>
      </c>
      <c r="AL13">
        <v>2</v>
      </c>
      <c r="AM13">
        <v>0</v>
      </c>
      <c r="AN13">
        <v>5</v>
      </c>
      <c r="AO13">
        <v>4</v>
      </c>
      <c r="AP13">
        <v>3</v>
      </c>
      <c r="AQ13">
        <v>2</v>
      </c>
      <c r="AR13">
        <v>3</v>
      </c>
      <c r="AS13">
        <v>1</v>
      </c>
      <c r="AT13" t="s">
        <v>13271</v>
      </c>
      <c r="AU13" t="s">
        <v>13272</v>
      </c>
      <c r="AV13">
        <v>0.39100000000000001</v>
      </c>
      <c r="AW13" t="s">
        <v>65</v>
      </c>
      <c r="AX13">
        <v>6</v>
      </c>
      <c r="AY13">
        <v>3</v>
      </c>
      <c r="AZ13" t="s">
        <v>13273</v>
      </c>
      <c r="BA13">
        <v>9.0160000000000004E-2</v>
      </c>
      <c r="BB13">
        <v>-8.8999999999999999E-3</v>
      </c>
      <c r="BC13">
        <v>9.4999999999999998E-3</v>
      </c>
      <c r="BD13">
        <v>-1.2199999999999999E-3</v>
      </c>
      <c r="BE13">
        <v>0.10538</v>
      </c>
      <c r="BF13">
        <v>1</v>
      </c>
      <c r="BG13" t="s">
        <v>69</v>
      </c>
      <c r="BH13">
        <v>-1.198</v>
      </c>
      <c r="BI13">
        <v>-1.2729999999999999</v>
      </c>
    </row>
    <row r="14" spans="1:99" ht="16" thickBot="1">
      <c r="C14">
        <v>0</v>
      </c>
      <c r="D14">
        <v>4</v>
      </c>
      <c r="E14">
        <v>2</v>
      </c>
      <c r="F14" t="s">
        <v>25021</v>
      </c>
      <c r="G14">
        <v>3792</v>
      </c>
      <c r="H14" t="s">
        <v>22216</v>
      </c>
      <c r="I14" t="s">
        <v>57</v>
      </c>
      <c r="J14">
        <v>3761859</v>
      </c>
      <c r="K14">
        <v>3761987</v>
      </c>
      <c r="L14" t="s">
        <v>22217</v>
      </c>
      <c r="M14">
        <v>43</v>
      </c>
      <c r="N14" t="s">
        <v>22218</v>
      </c>
      <c r="O14">
        <v>29</v>
      </c>
      <c r="P14" t="str">
        <f>HYPERLINK("Gene3792-zp_tree_all.dnd", "Gene3792-tree")</f>
        <v>Gene3792-tree</v>
      </c>
      <c r="Q14">
        <v>0</v>
      </c>
      <c r="R14">
        <v>26</v>
      </c>
      <c r="S14">
        <v>0</v>
      </c>
      <c r="T14">
        <v>6</v>
      </c>
      <c r="U14">
        <v>1</v>
      </c>
      <c r="V14" t="s">
        <v>62</v>
      </c>
      <c r="W14" t="s">
        <v>1030</v>
      </c>
      <c r="X14">
        <v>5.548</v>
      </c>
      <c r="Y14" t="s">
        <v>65</v>
      </c>
      <c r="Z14">
        <v>2</v>
      </c>
      <c r="AA14">
        <v>6</v>
      </c>
      <c r="AB14">
        <v>6</v>
      </c>
      <c r="AC14">
        <v>0.5</v>
      </c>
      <c r="AD14" s="47">
        <v>0</v>
      </c>
      <c r="AE14" s="47">
        <v>0</v>
      </c>
      <c r="AF14" s="47">
        <v>0</v>
      </c>
      <c r="AG14" s="47">
        <v>0</v>
      </c>
      <c r="AH14" s="47">
        <v>0</v>
      </c>
      <c r="AI14" s="47">
        <v>4</v>
      </c>
      <c r="AJ14" s="47">
        <v>0</v>
      </c>
      <c r="AK14" s="47">
        <v>4</v>
      </c>
      <c r="AL14">
        <v>7</v>
      </c>
      <c r="AM14">
        <v>0.36364000000000002</v>
      </c>
      <c r="AN14">
        <v>6</v>
      </c>
      <c r="AO14">
        <v>1</v>
      </c>
      <c r="AP14">
        <v>0</v>
      </c>
      <c r="AQ14">
        <v>12</v>
      </c>
      <c r="AR14">
        <v>0</v>
      </c>
      <c r="AS14">
        <v>1</v>
      </c>
      <c r="AT14" t="s">
        <v>193</v>
      </c>
      <c r="AU14" t="s">
        <v>193</v>
      </c>
      <c r="AV14">
        <v>0</v>
      </c>
      <c r="AW14" t="s">
        <v>65</v>
      </c>
      <c r="AX14">
        <v>0</v>
      </c>
      <c r="AY14">
        <v>13</v>
      </c>
      <c r="AZ14" t="s">
        <v>22219</v>
      </c>
      <c r="BA14">
        <v>0</v>
      </c>
      <c r="BB14">
        <v>0</v>
      </c>
      <c r="BC14">
        <v>4.1349999999999998E-2</v>
      </c>
      <c r="BD14">
        <v>-5.4200000000000003E-3</v>
      </c>
      <c r="BE14" t="s">
        <v>1346</v>
      </c>
      <c r="BF14">
        <v>1</v>
      </c>
      <c r="BG14" t="s">
        <v>69</v>
      </c>
      <c r="BH14">
        <v>-0.96899999999999997</v>
      </c>
      <c r="BI14">
        <v>-0.72599999999999998</v>
      </c>
      <c r="CG14" t="s">
        <v>25050</v>
      </c>
    </row>
    <row r="15" spans="1:99">
      <c r="C15">
        <v>0</v>
      </c>
      <c r="D15">
        <v>0</v>
      </c>
      <c r="E15">
        <v>0</v>
      </c>
      <c r="F15" t="s">
        <v>25021</v>
      </c>
      <c r="G15">
        <v>280</v>
      </c>
      <c r="H15" t="s">
        <v>1912</v>
      </c>
      <c r="I15" t="s">
        <v>62</v>
      </c>
      <c r="J15">
        <v>300528</v>
      </c>
      <c r="K15">
        <v>300656</v>
      </c>
      <c r="L15" t="s">
        <v>1913</v>
      </c>
      <c r="M15">
        <v>43</v>
      </c>
      <c r="N15" t="s">
        <v>59</v>
      </c>
      <c r="O15">
        <v>49</v>
      </c>
      <c r="P15" t="str">
        <f>HYPERLINK("Gene280-zp_tree_all.dnd", "Gene280-tree")</f>
        <v>Gene280-tree</v>
      </c>
      <c r="Q15">
        <v>6</v>
      </c>
      <c r="R15">
        <v>1</v>
      </c>
      <c r="S15">
        <v>6</v>
      </c>
      <c r="T15">
        <v>1</v>
      </c>
      <c r="U15">
        <v>0.14285999999999999</v>
      </c>
      <c r="V15" t="s">
        <v>90</v>
      </c>
      <c r="W15" t="s">
        <v>175</v>
      </c>
      <c r="X15" t="s">
        <v>62</v>
      </c>
      <c r="Y15" t="s">
        <v>62</v>
      </c>
      <c r="Z15">
        <v>0</v>
      </c>
      <c r="AA15">
        <v>0</v>
      </c>
      <c r="AB15">
        <v>3</v>
      </c>
      <c r="AC15">
        <v>0</v>
      </c>
      <c r="AD15" s="47">
        <v>0</v>
      </c>
      <c r="AE15" s="47">
        <v>0</v>
      </c>
      <c r="AF15" s="47">
        <v>0</v>
      </c>
      <c r="AG15" s="47">
        <v>1</v>
      </c>
      <c r="AH15" s="47">
        <v>0</v>
      </c>
      <c r="AI15" s="47">
        <v>0</v>
      </c>
      <c r="AJ15" s="47">
        <v>0</v>
      </c>
      <c r="AK15" s="47">
        <v>0</v>
      </c>
      <c r="AL15">
        <v>1</v>
      </c>
      <c r="AM15">
        <v>0</v>
      </c>
      <c r="AN15">
        <v>5</v>
      </c>
      <c r="AO15">
        <v>2</v>
      </c>
      <c r="AP15">
        <v>5</v>
      </c>
      <c r="AQ15">
        <v>1</v>
      </c>
      <c r="AR15">
        <v>0</v>
      </c>
      <c r="AS15">
        <v>2</v>
      </c>
      <c r="AT15" t="s">
        <v>1914</v>
      </c>
      <c r="AU15" t="s">
        <v>193</v>
      </c>
      <c r="AV15">
        <v>0.55900000000000005</v>
      </c>
      <c r="AW15" t="s">
        <v>65</v>
      </c>
      <c r="AX15">
        <v>5</v>
      </c>
      <c r="AY15">
        <v>3</v>
      </c>
      <c r="AZ15" t="s">
        <v>1915</v>
      </c>
      <c r="BA15">
        <v>5.6899999999999999E-2</v>
      </c>
      <c r="BB15">
        <v>-5.1999999999999998E-3</v>
      </c>
      <c r="BC15">
        <v>1.4080000000000001E-2</v>
      </c>
      <c r="BD15">
        <v>-1.3699999999999999E-3</v>
      </c>
      <c r="BE15">
        <v>0.24740999999999999</v>
      </c>
      <c r="BF15">
        <v>0.82099999999999995</v>
      </c>
      <c r="BG15" t="s">
        <v>635</v>
      </c>
      <c r="BH15">
        <v>-1.8620000000000001</v>
      </c>
      <c r="BI15">
        <v>-1.6559999999999999</v>
      </c>
      <c r="CG15" s="4" t="s">
        <v>25044</v>
      </c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6"/>
    </row>
    <row r="16" spans="1:99">
      <c r="C16">
        <v>0</v>
      </c>
      <c r="D16">
        <v>0</v>
      </c>
      <c r="E16">
        <v>0</v>
      </c>
      <c r="F16" t="s">
        <v>25021</v>
      </c>
      <c r="G16">
        <v>3365</v>
      </c>
      <c r="H16" t="s">
        <v>19667</v>
      </c>
      <c r="I16" t="s">
        <v>57</v>
      </c>
      <c r="J16">
        <v>3335414</v>
      </c>
      <c r="K16">
        <v>3335542</v>
      </c>
      <c r="L16" t="s">
        <v>2603</v>
      </c>
      <c r="M16">
        <v>43</v>
      </c>
      <c r="N16" t="s">
        <v>108</v>
      </c>
      <c r="O16">
        <v>44</v>
      </c>
      <c r="P16" t="str">
        <f>HYPERLINK("Gene3365-zp_tree_all.dnd", "Gene3365-tree")</f>
        <v>Gene3365-tree</v>
      </c>
      <c r="Q16">
        <v>4</v>
      </c>
      <c r="R16">
        <v>1</v>
      </c>
      <c r="S16">
        <v>4</v>
      </c>
      <c r="T16">
        <v>1</v>
      </c>
      <c r="U16">
        <v>0.2</v>
      </c>
      <c r="V16" t="s">
        <v>61</v>
      </c>
      <c r="W16" t="s">
        <v>175</v>
      </c>
      <c r="X16" t="s">
        <v>62</v>
      </c>
      <c r="Y16" t="s">
        <v>62</v>
      </c>
      <c r="Z16">
        <v>0</v>
      </c>
      <c r="AA16">
        <v>0</v>
      </c>
      <c r="AB16">
        <v>1</v>
      </c>
      <c r="AC16">
        <v>0</v>
      </c>
      <c r="AD16" s="47">
        <v>0</v>
      </c>
      <c r="AE16" s="47">
        <v>0</v>
      </c>
      <c r="AF16" s="47">
        <v>0</v>
      </c>
      <c r="AG16" s="47">
        <v>0</v>
      </c>
      <c r="AH16" s="47">
        <v>0</v>
      </c>
      <c r="AI16" s="47">
        <v>0</v>
      </c>
      <c r="AJ16" s="47">
        <v>0</v>
      </c>
      <c r="AK16" s="47">
        <v>0</v>
      </c>
      <c r="AL16">
        <v>1</v>
      </c>
      <c r="AM16">
        <v>0</v>
      </c>
      <c r="AN16">
        <v>3</v>
      </c>
      <c r="AO16">
        <v>1</v>
      </c>
      <c r="AP16">
        <v>2</v>
      </c>
      <c r="AQ16">
        <v>1</v>
      </c>
      <c r="AR16">
        <v>1</v>
      </c>
      <c r="AS16">
        <v>0</v>
      </c>
      <c r="AT16" t="s">
        <v>19668</v>
      </c>
      <c r="AU16" t="s">
        <v>193</v>
      </c>
      <c r="AV16">
        <v>0.69299999999999995</v>
      </c>
      <c r="AW16" t="s">
        <v>65</v>
      </c>
      <c r="AX16">
        <v>3</v>
      </c>
      <c r="AY16">
        <v>1</v>
      </c>
      <c r="AZ16" t="s">
        <v>19669</v>
      </c>
      <c r="BA16">
        <v>4.5060000000000003E-2</v>
      </c>
      <c r="BB16">
        <v>-8.3599999999999994E-3</v>
      </c>
      <c r="BC16">
        <v>4.1700000000000001E-3</v>
      </c>
      <c r="BD16">
        <v>-1.4400000000000001E-3</v>
      </c>
      <c r="BE16">
        <v>9.2460000000000001E-2</v>
      </c>
      <c r="BF16">
        <v>1</v>
      </c>
      <c r="BG16" t="s">
        <v>69</v>
      </c>
      <c r="BH16">
        <v>-1.1060000000000001</v>
      </c>
      <c r="BI16">
        <v>-1.145</v>
      </c>
      <c r="CG16" s="7"/>
      <c r="CH16" s="8" t="s">
        <v>25045</v>
      </c>
      <c r="CI16" s="8" t="s">
        <v>25031</v>
      </c>
      <c r="CJ16" s="8" t="s">
        <v>25046</v>
      </c>
      <c r="CK16" s="8" t="s">
        <v>25036</v>
      </c>
      <c r="CL16" s="8"/>
      <c r="CM16" s="8"/>
      <c r="CN16" s="8"/>
      <c r="CO16" s="8"/>
      <c r="CP16" s="8"/>
      <c r="CQ16" s="8"/>
      <c r="CR16" s="8"/>
      <c r="CS16" s="8"/>
      <c r="CT16" s="8"/>
      <c r="CU16" s="9"/>
    </row>
    <row r="17" spans="3:99">
      <c r="C17">
        <v>0</v>
      </c>
      <c r="D17">
        <v>0</v>
      </c>
      <c r="E17">
        <v>2</v>
      </c>
      <c r="F17" t="s">
        <v>25021</v>
      </c>
      <c r="G17">
        <v>2382</v>
      </c>
      <c r="H17" t="s">
        <v>13857</v>
      </c>
      <c r="I17" t="s">
        <v>57</v>
      </c>
      <c r="J17">
        <v>2393428</v>
      </c>
      <c r="K17">
        <v>2393556</v>
      </c>
      <c r="L17" t="s">
        <v>5815</v>
      </c>
      <c r="M17">
        <v>43</v>
      </c>
      <c r="N17" t="s">
        <v>59</v>
      </c>
      <c r="O17">
        <v>49</v>
      </c>
      <c r="P17" t="str">
        <f>HYPERLINK("Gene2382-zp_tree_all.dnd", "Gene2382-tree")</f>
        <v>Gene2382-tree</v>
      </c>
      <c r="Q17">
        <v>28</v>
      </c>
      <c r="R17">
        <v>2</v>
      </c>
      <c r="S17">
        <v>7</v>
      </c>
      <c r="T17">
        <v>2</v>
      </c>
      <c r="U17">
        <v>0.22222</v>
      </c>
      <c r="V17" t="s">
        <v>4142</v>
      </c>
      <c r="W17" t="s">
        <v>81</v>
      </c>
      <c r="X17" t="s">
        <v>62</v>
      </c>
      <c r="Y17" t="s">
        <v>62</v>
      </c>
      <c r="Z17">
        <v>1</v>
      </c>
      <c r="AA17">
        <v>2</v>
      </c>
      <c r="AB17">
        <v>1</v>
      </c>
      <c r="AC17">
        <v>0.66666999999999998</v>
      </c>
      <c r="AD17" s="47">
        <v>0</v>
      </c>
      <c r="AE17" s="47">
        <v>0</v>
      </c>
      <c r="AF17" s="47">
        <v>0</v>
      </c>
      <c r="AG17" s="47">
        <v>1</v>
      </c>
      <c r="AH17" s="47">
        <v>0</v>
      </c>
      <c r="AI17" s="47">
        <v>0</v>
      </c>
      <c r="AJ17" s="47">
        <v>0</v>
      </c>
      <c r="AK17" s="47">
        <v>0</v>
      </c>
      <c r="AL17">
        <v>2</v>
      </c>
      <c r="AM17">
        <v>0</v>
      </c>
      <c r="AN17">
        <v>6</v>
      </c>
      <c r="AO17">
        <v>3</v>
      </c>
      <c r="AP17">
        <v>7</v>
      </c>
      <c r="AQ17">
        <v>2</v>
      </c>
      <c r="AR17">
        <v>5</v>
      </c>
      <c r="AS17">
        <v>1</v>
      </c>
      <c r="AT17" t="s">
        <v>13858</v>
      </c>
      <c r="AU17" t="s">
        <v>13859</v>
      </c>
      <c r="AV17">
        <v>0.23799999999999999</v>
      </c>
      <c r="AW17" t="s">
        <v>65</v>
      </c>
      <c r="AX17">
        <v>12</v>
      </c>
      <c r="AY17">
        <v>3</v>
      </c>
      <c r="AZ17" t="s">
        <v>13860</v>
      </c>
      <c r="BA17">
        <v>0.151</v>
      </c>
      <c r="BB17">
        <v>-1.2409999999999999E-2</v>
      </c>
      <c r="BC17">
        <v>8.2100000000000003E-3</v>
      </c>
      <c r="BD17">
        <v>-1.0399999999999999E-3</v>
      </c>
      <c r="BE17">
        <v>5.4359999999999999E-2</v>
      </c>
      <c r="BF17">
        <v>1</v>
      </c>
      <c r="BG17" t="s">
        <v>69</v>
      </c>
      <c r="BH17">
        <v>-1.4550000000000001</v>
      </c>
      <c r="BI17">
        <v>-1.345</v>
      </c>
      <c r="CG17" s="7" t="s">
        <v>25022</v>
      </c>
      <c r="CH17" s="8">
        <v>15</v>
      </c>
      <c r="CI17" s="8">
        <v>2860</v>
      </c>
      <c r="CJ17" s="8">
        <v>2856</v>
      </c>
      <c r="CK17" s="8">
        <v>5.244755244755245E-3</v>
      </c>
      <c r="CL17" s="8"/>
      <c r="CM17" s="8"/>
      <c r="CN17" s="8"/>
      <c r="CO17" s="8"/>
      <c r="CP17" s="8"/>
      <c r="CQ17" s="8"/>
      <c r="CR17" s="8"/>
      <c r="CS17" s="8"/>
      <c r="CT17" s="8"/>
      <c r="CU17" s="9"/>
    </row>
    <row r="18" spans="3:99">
      <c r="C18">
        <v>0</v>
      </c>
      <c r="D18">
        <v>0</v>
      </c>
      <c r="E18">
        <v>0</v>
      </c>
      <c r="F18" t="s">
        <v>25021</v>
      </c>
      <c r="G18">
        <v>3871</v>
      </c>
      <c r="H18" t="s">
        <v>22706</v>
      </c>
      <c r="I18" t="s">
        <v>57</v>
      </c>
      <c r="J18">
        <v>3836058</v>
      </c>
      <c r="K18">
        <v>3836186</v>
      </c>
      <c r="L18" t="s">
        <v>22707</v>
      </c>
      <c r="M18">
        <v>43</v>
      </c>
      <c r="N18" t="s">
        <v>59</v>
      </c>
      <c r="O18">
        <v>49</v>
      </c>
      <c r="P18" t="str">
        <f>HYPERLINK("Gene3871-zp_tree_all.dnd", "Gene3871-tree")</f>
        <v>Gene3871-tree</v>
      </c>
      <c r="Q18">
        <v>4</v>
      </c>
      <c r="R18">
        <v>0</v>
      </c>
      <c r="S18">
        <v>4</v>
      </c>
      <c r="T18">
        <v>0</v>
      </c>
      <c r="U18">
        <v>0</v>
      </c>
      <c r="V18" t="s">
        <v>61</v>
      </c>
      <c r="W18" t="s">
        <v>62</v>
      </c>
      <c r="X18" t="s">
        <v>62</v>
      </c>
      <c r="Y18" t="s">
        <v>62</v>
      </c>
      <c r="Z18">
        <v>0</v>
      </c>
      <c r="AA18">
        <v>0</v>
      </c>
      <c r="AB18">
        <v>0</v>
      </c>
      <c r="AC18">
        <v>0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>
        <v>0</v>
      </c>
      <c r="AM18">
        <v>0</v>
      </c>
      <c r="AN18">
        <v>2</v>
      </c>
      <c r="AO18">
        <v>1</v>
      </c>
      <c r="AP18">
        <v>2</v>
      </c>
      <c r="AQ18">
        <v>0</v>
      </c>
      <c r="AR18">
        <v>1</v>
      </c>
      <c r="AS18">
        <v>0</v>
      </c>
      <c r="AT18" t="s">
        <v>193</v>
      </c>
      <c r="AU18" t="s">
        <v>193</v>
      </c>
      <c r="AV18">
        <v>0</v>
      </c>
      <c r="AW18" t="s">
        <v>65</v>
      </c>
      <c r="AX18">
        <v>3</v>
      </c>
      <c r="AY18">
        <v>0</v>
      </c>
      <c r="AZ18" t="s">
        <v>22708</v>
      </c>
      <c r="BA18">
        <v>5.6239999999999998E-2</v>
      </c>
      <c r="BB18">
        <v>-1.0699999999999999E-2</v>
      </c>
      <c r="BC18">
        <v>0</v>
      </c>
      <c r="BD18">
        <v>0</v>
      </c>
      <c r="BE18">
        <v>0</v>
      </c>
      <c r="BF18">
        <v>1</v>
      </c>
      <c r="BG18" t="s">
        <v>69</v>
      </c>
      <c r="BH18">
        <v>-1.341</v>
      </c>
      <c r="BI18">
        <v>-0.40799999999999997</v>
      </c>
      <c r="CG18" s="7" t="s">
        <v>25021</v>
      </c>
      <c r="CH18" s="8">
        <v>11</v>
      </c>
      <c r="CI18" s="8">
        <v>1053</v>
      </c>
      <c r="CJ18" s="8">
        <v>1053</v>
      </c>
      <c r="CK18" s="8">
        <v>1.0446343779677113E-2</v>
      </c>
      <c r="CL18" s="8"/>
      <c r="CM18" s="8"/>
      <c r="CN18" s="8"/>
      <c r="CO18" s="8"/>
      <c r="CP18" s="8"/>
      <c r="CQ18" s="8"/>
      <c r="CR18" s="8"/>
      <c r="CS18" s="8"/>
      <c r="CT18" s="8"/>
      <c r="CU18" s="9"/>
    </row>
    <row r="19" spans="3:99">
      <c r="C19">
        <v>0</v>
      </c>
      <c r="D19">
        <v>0</v>
      </c>
      <c r="E19">
        <v>0</v>
      </c>
      <c r="F19" t="s">
        <v>25021</v>
      </c>
      <c r="G19">
        <v>259</v>
      </c>
      <c r="H19" t="s">
        <v>1766</v>
      </c>
      <c r="I19" t="s">
        <v>62</v>
      </c>
      <c r="J19">
        <v>281678</v>
      </c>
      <c r="K19">
        <v>281809</v>
      </c>
      <c r="L19" t="s">
        <v>1767</v>
      </c>
      <c r="M19">
        <v>44</v>
      </c>
      <c r="N19" t="s">
        <v>108</v>
      </c>
      <c r="O19">
        <v>44</v>
      </c>
      <c r="P19" t="str">
        <f>HYPERLINK("Gene259-zp_tree_all.dnd", "Gene259-tree")</f>
        <v>Gene259-tree</v>
      </c>
      <c r="Q19">
        <v>30</v>
      </c>
      <c r="R19">
        <v>4</v>
      </c>
      <c r="S19">
        <v>5</v>
      </c>
      <c r="T19">
        <v>4</v>
      </c>
      <c r="U19">
        <v>0.44444</v>
      </c>
      <c r="V19" t="s">
        <v>1768</v>
      </c>
      <c r="W19" t="s">
        <v>61</v>
      </c>
      <c r="X19" t="s">
        <v>62</v>
      </c>
      <c r="Y19" t="s">
        <v>62</v>
      </c>
      <c r="Z19">
        <v>0</v>
      </c>
      <c r="AA19">
        <v>0</v>
      </c>
      <c r="AB19">
        <v>7</v>
      </c>
      <c r="AC19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>
        <v>5</v>
      </c>
      <c r="AM19">
        <v>0</v>
      </c>
      <c r="AN19">
        <v>5</v>
      </c>
      <c r="AO19">
        <v>4</v>
      </c>
      <c r="AP19">
        <v>3</v>
      </c>
      <c r="AQ19">
        <v>3</v>
      </c>
      <c r="AR19">
        <v>0</v>
      </c>
      <c r="AS19">
        <v>4</v>
      </c>
      <c r="AT19" t="s">
        <v>1769</v>
      </c>
      <c r="AU19" t="s">
        <v>193</v>
      </c>
      <c r="AV19">
        <v>0.91300000000000003</v>
      </c>
      <c r="AW19" t="s">
        <v>65</v>
      </c>
      <c r="AX19">
        <v>3</v>
      </c>
      <c r="AY19">
        <v>7</v>
      </c>
      <c r="AZ19" t="s">
        <v>1770</v>
      </c>
      <c r="BA19">
        <v>2.2409999999999999E-2</v>
      </c>
      <c r="BB19">
        <v>-3.5200000000000001E-3</v>
      </c>
      <c r="BC19">
        <v>2.5250000000000002E-2</v>
      </c>
      <c r="BD19">
        <v>-2.7899999999999999E-3</v>
      </c>
      <c r="BE19">
        <v>1.12679</v>
      </c>
      <c r="BF19">
        <v>0.375</v>
      </c>
      <c r="BG19" t="s">
        <v>635</v>
      </c>
      <c r="BH19">
        <v>-0.78200000000000003</v>
      </c>
      <c r="BI19">
        <v>-1.577</v>
      </c>
      <c r="CG19" s="7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9"/>
    </row>
    <row r="20" spans="3:99">
      <c r="C20">
        <v>0</v>
      </c>
      <c r="D20">
        <v>0</v>
      </c>
      <c r="E20">
        <v>0</v>
      </c>
      <c r="F20" t="s">
        <v>25021</v>
      </c>
      <c r="G20">
        <v>2688</v>
      </c>
      <c r="H20" t="s">
        <v>15738</v>
      </c>
      <c r="I20" t="s">
        <v>57</v>
      </c>
      <c r="J20">
        <v>2660330</v>
      </c>
      <c r="K20">
        <v>2660461</v>
      </c>
      <c r="L20" t="s">
        <v>15739</v>
      </c>
      <c r="M20">
        <v>44</v>
      </c>
      <c r="N20" t="s">
        <v>15740</v>
      </c>
      <c r="O20">
        <v>26</v>
      </c>
      <c r="P20" t="str">
        <f>HYPERLINK("Gene2688-zp_tree_all.dnd", "Gene2688-tree")</f>
        <v>Gene2688-tree</v>
      </c>
      <c r="Q20">
        <v>3</v>
      </c>
      <c r="R20">
        <v>2</v>
      </c>
      <c r="S20">
        <v>3</v>
      </c>
      <c r="T20">
        <v>2</v>
      </c>
      <c r="U20">
        <v>0.4</v>
      </c>
      <c r="V20" t="s">
        <v>324</v>
      </c>
      <c r="W20" t="s">
        <v>81</v>
      </c>
      <c r="X20" t="s">
        <v>62</v>
      </c>
      <c r="Y20" t="s">
        <v>62</v>
      </c>
      <c r="Z20">
        <v>0</v>
      </c>
      <c r="AA20">
        <v>0</v>
      </c>
      <c r="AB20">
        <v>4</v>
      </c>
      <c r="AC20">
        <v>0</v>
      </c>
      <c r="AD20" s="47">
        <v>0</v>
      </c>
      <c r="AE20" s="47">
        <v>0</v>
      </c>
      <c r="AF20" s="47">
        <v>0</v>
      </c>
      <c r="AG20" s="47">
        <v>1</v>
      </c>
      <c r="AH20" s="47">
        <v>0</v>
      </c>
      <c r="AI20" s="47">
        <v>0</v>
      </c>
      <c r="AJ20" s="47">
        <v>0</v>
      </c>
      <c r="AK20" s="47">
        <v>0</v>
      </c>
      <c r="AL20">
        <v>3</v>
      </c>
      <c r="AM20">
        <v>0</v>
      </c>
      <c r="AN20">
        <v>3</v>
      </c>
      <c r="AO20">
        <v>2</v>
      </c>
      <c r="AP20">
        <v>2</v>
      </c>
      <c r="AQ20">
        <v>3</v>
      </c>
      <c r="AR20">
        <v>1</v>
      </c>
      <c r="AS20">
        <v>1</v>
      </c>
      <c r="AT20" t="s">
        <v>15741</v>
      </c>
      <c r="AU20" t="s">
        <v>15742</v>
      </c>
      <c r="AV20">
        <v>0.29099999999999998</v>
      </c>
      <c r="AW20" t="s">
        <v>65</v>
      </c>
      <c r="AX20">
        <v>3</v>
      </c>
      <c r="AY20">
        <v>4</v>
      </c>
      <c r="AZ20" t="s">
        <v>15743</v>
      </c>
      <c r="BA20">
        <v>4.8439999999999997E-2</v>
      </c>
      <c r="BB20">
        <v>-7.3699999999999998E-3</v>
      </c>
      <c r="BC20">
        <v>1.796E-2</v>
      </c>
      <c r="BD20">
        <v>-3.2499999999999999E-3</v>
      </c>
      <c r="BE20">
        <v>0.37084</v>
      </c>
      <c r="BF20">
        <v>0.84499999999999997</v>
      </c>
      <c r="BG20" t="s">
        <v>635</v>
      </c>
      <c r="BH20">
        <v>-1.002</v>
      </c>
      <c r="BI20">
        <v>-1.4059999999999999</v>
      </c>
      <c r="CG20" s="7" t="s">
        <v>25039</v>
      </c>
      <c r="CH20" s="8"/>
      <c r="CI20" s="8">
        <v>7.8009999999999996E-2</v>
      </c>
      <c r="CJ20" s="8">
        <v>7.8641000000000003E-2</v>
      </c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9"/>
    </row>
    <row r="21" spans="3:99">
      <c r="C21">
        <v>0</v>
      </c>
      <c r="D21">
        <v>0</v>
      </c>
      <c r="E21">
        <v>0</v>
      </c>
      <c r="F21" t="s">
        <v>25021</v>
      </c>
      <c r="G21">
        <v>1503</v>
      </c>
      <c r="H21" t="s">
        <v>9401</v>
      </c>
      <c r="I21" t="s">
        <v>62</v>
      </c>
      <c r="J21">
        <v>1516342</v>
      </c>
      <c r="K21">
        <v>1516473</v>
      </c>
      <c r="L21" t="s">
        <v>288</v>
      </c>
      <c r="M21">
        <v>44</v>
      </c>
      <c r="N21" t="s">
        <v>59</v>
      </c>
      <c r="O21">
        <v>49</v>
      </c>
      <c r="P21" t="str">
        <f>HYPERLINK("Gene1503-zp_tree_all.dnd", "Gene1503-tree")</f>
        <v>Gene1503-tree</v>
      </c>
      <c r="Q21">
        <v>6</v>
      </c>
      <c r="R21">
        <v>1</v>
      </c>
      <c r="S21">
        <v>6</v>
      </c>
      <c r="T21">
        <v>1</v>
      </c>
      <c r="U21">
        <v>0.14285999999999999</v>
      </c>
      <c r="V21" t="s">
        <v>90</v>
      </c>
      <c r="W21" t="s">
        <v>175</v>
      </c>
      <c r="X21" t="s">
        <v>62</v>
      </c>
      <c r="Y21" t="s">
        <v>62</v>
      </c>
      <c r="Z21">
        <v>0</v>
      </c>
      <c r="AA21">
        <v>0</v>
      </c>
      <c r="AB21">
        <v>1</v>
      </c>
      <c r="AC21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>
        <v>1</v>
      </c>
      <c r="AM21">
        <v>0</v>
      </c>
      <c r="AN21">
        <v>6</v>
      </c>
      <c r="AO21">
        <v>2</v>
      </c>
      <c r="AP21">
        <v>6</v>
      </c>
      <c r="AQ21">
        <v>1</v>
      </c>
      <c r="AR21">
        <v>2</v>
      </c>
      <c r="AS21">
        <v>0</v>
      </c>
      <c r="AT21" t="s">
        <v>9402</v>
      </c>
      <c r="AU21" t="s">
        <v>193</v>
      </c>
      <c r="AV21">
        <v>0.49</v>
      </c>
      <c r="AW21" t="s">
        <v>65</v>
      </c>
      <c r="AX21">
        <v>8</v>
      </c>
      <c r="AY21">
        <v>1</v>
      </c>
      <c r="AZ21" t="s">
        <v>9403</v>
      </c>
      <c r="BA21">
        <v>8.6989999999999998E-2</v>
      </c>
      <c r="BB21">
        <v>-7.4099999999999999E-3</v>
      </c>
      <c r="BC21">
        <v>2.9499999999999999E-3</v>
      </c>
      <c r="BD21">
        <v>-1.0200000000000001E-3</v>
      </c>
      <c r="BE21">
        <v>3.3950000000000001E-2</v>
      </c>
      <c r="BF21">
        <v>1</v>
      </c>
      <c r="BG21" t="s">
        <v>69</v>
      </c>
      <c r="BH21">
        <v>-1.379</v>
      </c>
      <c r="BI21">
        <v>-1.5409999999999999</v>
      </c>
      <c r="CG21" s="7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9"/>
    </row>
    <row r="22" spans="3:99">
      <c r="C22">
        <v>0</v>
      </c>
      <c r="D22">
        <v>0</v>
      </c>
      <c r="E22">
        <v>0</v>
      </c>
      <c r="F22" t="s">
        <v>25021</v>
      </c>
      <c r="G22">
        <v>801</v>
      </c>
      <c r="H22" t="s">
        <v>4979</v>
      </c>
      <c r="I22" t="s">
        <v>62</v>
      </c>
      <c r="J22">
        <v>838786</v>
      </c>
      <c r="K22">
        <v>838920</v>
      </c>
      <c r="L22" t="s">
        <v>288</v>
      </c>
      <c r="M22">
        <v>45</v>
      </c>
      <c r="N22" t="s">
        <v>59</v>
      </c>
      <c r="O22">
        <v>49</v>
      </c>
      <c r="P22" t="str">
        <f>HYPERLINK("Gene801-zp_tree_all.dnd", "Gene801-tree")</f>
        <v>Gene801-tree</v>
      </c>
      <c r="Q22">
        <v>4</v>
      </c>
      <c r="R22">
        <v>1</v>
      </c>
      <c r="S22">
        <v>4</v>
      </c>
      <c r="T22">
        <v>1</v>
      </c>
      <c r="U22">
        <v>0.2</v>
      </c>
      <c r="V22" t="s">
        <v>61</v>
      </c>
      <c r="W22" t="s">
        <v>175</v>
      </c>
      <c r="X22" t="s">
        <v>62</v>
      </c>
      <c r="Y22" t="s">
        <v>62</v>
      </c>
      <c r="Z22">
        <v>0</v>
      </c>
      <c r="AA22">
        <v>0</v>
      </c>
      <c r="AB22">
        <v>2</v>
      </c>
      <c r="AC22">
        <v>0</v>
      </c>
      <c r="AD22" s="47">
        <v>0</v>
      </c>
      <c r="AE22" s="47">
        <v>0</v>
      </c>
      <c r="AF22" s="47">
        <v>0</v>
      </c>
      <c r="AG22" s="47">
        <v>1</v>
      </c>
      <c r="AH22" s="47">
        <v>0</v>
      </c>
      <c r="AI22" s="47">
        <v>0</v>
      </c>
      <c r="AJ22" s="47">
        <v>0</v>
      </c>
      <c r="AK22" s="47">
        <v>0</v>
      </c>
      <c r="AL22">
        <v>1</v>
      </c>
      <c r="AM22">
        <v>0</v>
      </c>
      <c r="AN22">
        <v>3</v>
      </c>
      <c r="AO22">
        <v>2</v>
      </c>
      <c r="AP22">
        <v>2</v>
      </c>
      <c r="AQ22">
        <v>1</v>
      </c>
      <c r="AR22">
        <v>2</v>
      </c>
      <c r="AS22">
        <v>1</v>
      </c>
      <c r="AT22" t="s">
        <v>4980</v>
      </c>
      <c r="AU22" t="s">
        <v>4981</v>
      </c>
      <c r="AV22">
        <v>0</v>
      </c>
      <c r="AW22" t="s">
        <v>65</v>
      </c>
      <c r="AX22">
        <v>4</v>
      </c>
      <c r="AY22">
        <v>2</v>
      </c>
      <c r="AZ22" t="s">
        <v>4982</v>
      </c>
      <c r="BA22">
        <v>7.9149999999999998E-2</v>
      </c>
      <c r="BB22">
        <v>-1.324E-2</v>
      </c>
      <c r="BC22">
        <v>9.8899999999999995E-3</v>
      </c>
      <c r="BD22">
        <v>-1.72E-3</v>
      </c>
      <c r="BE22">
        <v>0.12501999999999999</v>
      </c>
      <c r="BF22">
        <v>0.97399999999999998</v>
      </c>
      <c r="BG22" t="s">
        <v>69</v>
      </c>
      <c r="BH22">
        <v>-0.32800000000000001</v>
      </c>
      <c r="BI22">
        <v>-0.308</v>
      </c>
      <c r="CG22" s="7"/>
      <c r="CH22" s="8"/>
      <c r="CI22" s="8"/>
      <c r="CJ22" s="8"/>
      <c r="CK22" s="8"/>
      <c r="CL22" s="8"/>
      <c r="CM22" s="8"/>
      <c r="CN22" s="8"/>
      <c r="CO22" s="8"/>
      <c r="CP22" s="8"/>
      <c r="CQ22" s="8" t="s">
        <v>25047</v>
      </c>
      <c r="CR22" s="8"/>
      <c r="CS22" s="8"/>
      <c r="CT22" s="8"/>
      <c r="CU22" s="9"/>
    </row>
    <row r="23" spans="3:99">
      <c r="C23">
        <v>0</v>
      </c>
      <c r="D23">
        <v>0</v>
      </c>
      <c r="E23">
        <v>2</v>
      </c>
      <c r="F23" t="s">
        <v>25021</v>
      </c>
      <c r="G23">
        <v>2821</v>
      </c>
      <c r="H23" t="s">
        <v>16188</v>
      </c>
      <c r="I23" t="s">
        <v>57</v>
      </c>
      <c r="J23">
        <v>2766379</v>
      </c>
      <c r="K23">
        <v>2766516</v>
      </c>
      <c r="L23" t="s">
        <v>16189</v>
      </c>
      <c r="M23">
        <v>46</v>
      </c>
      <c r="N23" t="s">
        <v>108</v>
      </c>
      <c r="O23">
        <v>44</v>
      </c>
      <c r="P23" t="str">
        <f>HYPERLINK("Gene2821-zp_tree_all.dnd", "Gene2821-tree")</f>
        <v>Gene2821-tree</v>
      </c>
      <c r="Q23">
        <v>2</v>
      </c>
      <c r="R23">
        <v>5</v>
      </c>
      <c r="S23">
        <v>2</v>
      </c>
      <c r="T23">
        <v>5</v>
      </c>
      <c r="U23">
        <v>0.71428999999999998</v>
      </c>
      <c r="V23" t="s">
        <v>81</v>
      </c>
      <c r="W23" t="s">
        <v>199</v>
      </c>
      <c r="X23" t="s">
        <v>62</v>
      </c>
      <c r="Y23" t="s">
        <v>62</v>
      </c>
      <c r="Z23">
        <v>1</v>
      </c>
      <c r="AA23">
        <v>2</v>
      </c>
      <c r="AB23">
        <v>4</v>
      </c>
      <c r="AC23">
        <v>0.33333000000000002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>
        <v>5</v>
      </c>
      <c r="AM23">
        <v>0</v>
      </c>
      <c r="AN23">
        <v>5</v>
      </c>
      <c r="AO23">
        <v>2</v>
      </c>
      <c r="AP23">
        <v>2</v>
      </c>
      <c r="AQ23">
        <v>4</v>
      </c>
      <c r="AR23">
        <v>0</v>
      </c>
      <c r="AS23">
        <v>2</v>
      </c>
      <c r="AT23" t="s">
        <v>16190</v>
      </c>
      <c r="AU23" t="s">
        <v>193</v>
      </c>
      <c r="AV23">
        <v>1.278</v>
      </c>
      <c r="AW23" t="s">
        <v>65</v>
      </c>
      <c r="AX23">
        <v>2</v>
      </c>
      <c r="AY23">
        <v>6</v>
      </c>
      <c r="AZ23" t="s">
        <v>16191</v>
      </c>
      <c r="BA23">
        <v>2.009E-2</v>
      </c>
      <c r="BB23">
        <v>-4.4999999999999997E-3</v>
      </c>
      <c r="BC23">
        <v>2.1700000000000001E-2</v>
      </c>
      <c r="BD23">
        <v>-2.3E-3</v>
      </c>
      <c r="BE23">
        <v>1.08033</v>
      </c>
      <c r="BF23">
        <v>0.442</v>
      </c>
      <c r="BG23" t="s">
        <v>635</v>
      </c>
      <c r="BH23">
        <v>-1.47</v>
      </c>
      <c r="BI23">
        <v>-1.847</v>
      </c>
      <c r="CG23" s="7"/>
      <c r="CH23" s="8" t="s">
        <v>25025</v>
      </c>
      <c r="CI23" s="8" t="s">
        <v>25026</v>
      </c>
      <c r="CJ23" s="8" t="s">
        <v>25033</v>
      </c>
      <c r="CK23" s="8" t="s">
        <v>25027</v>
      </c>
      <c r="CL23" s="8" t="s">
        <v>25048</v>
      </c>
      <c r="CM23" s="8"/>
      <c r="CN23" s="8" t="s">
        <v>25031</v>
      </c>
      <c r="CO23" s="8"/>
      <c r="CP23" s="8"/>
      <c r="CQ23" s="8" t="s">
        <v>25025</v>
      </c>
      <c r="CR23" s="8" t="s">
        <v>25026</v>
      </c>
      <c r="CS23" s="8" t="s">
        <v>25033</v>
      </c>
      <c r="CT23" s="8" t="s">
        <v>25027</v>
      </c>
      <c r="CU23" s="9" t="s">
        <v>25048</v>
      </c>
    </row>
    <row r="24" spans="3:99">
      <c r="C24">
        <v>0</v>
      </c>
      <c r="D24">
        <v>0</v>
      </c>
      <c r="E24">
        <v>0</v>
      </c>
      <c r="F24" t="s">
        <v>25021</v>
      </c>
      <c r="G24">
        <v>2896</v>
      </c>
      <c r="H24" t="s">
        <v>16664</v>
      </c>
      <c r="I24" t="s">
        <v>57</v>
      </c>
      <c r="J24">
        <v>2841307</v>
      </c>
      <c r="K24">
        <v>2841444</v>
      </c>
      <c r="L24" t="s">
        <v>2302</v>
      </c>
      <c r="M24">
        <v>46</v>
      </c>
      <c r="N24" t="s">
        <v>108</v>
      </c>
      <c r="O24">
        <v>44</v>
      </c>
      <c r="P24" t="str">
        <f>HYPERLINK("Gene2896-zp_tree_all.dnd", "Gene2896-tree")</f>
        <v>Gene2896-tree</v>
      </c>
      <c r="Q24">
        <v>38</v>
      </c>
      <c r="R24">
        <v>1</v>
      </c>
      <c r="S24">
        <v>6</v>
      </c>
      <c r="T24">
        <v>1</v>
      </c>
      <c r="U24">
        <v>0.14285999999999999</v>
      </c>
      <c r="V24" t="s">
        <v>8639</v>
      </c>
      <c r="W24" t="s">
        <v>175</v>
      </c>
      <c r="X24" t="s">
        <v>62</v>
      </c>
      <c r="Y24" t="s">
        <v>62</v>
      </c>
      <c r="Z24">
        <v>0</v>
      </c>
      <c r="AA24">
        <v>0</v>
      </c>
      <c r="AB24">
        <v>2</v>
      </c>
      <c r="AC24">
        <v>0</v>
      </c>
      <c r="AD24" s="47">
        <v>0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0</v>
      </c>
      <c r="AK24" s="47">
        <v>0</v>
      </c>
      <c r="AL24">
        <v>1</v>
      </c>
      <c r="AM24">
        <v>0</v>
      </c>
      <c r="AN24">
        <v>4</v>
      </c>
      <c r="AO24">
        <v>2</v>
      </c>
      <c r="AP24">
        <v>5</v>
      </c>
      <c r="AQ24">
        <v>1</v>
      </c>
      <c r="AR24">
        <v>1</v>
      </c>
      <c r="AS24">
        <v>1</v>
      </c>
      <c r="AT24" t="s">
        <v>16665</v>
      </c>
      <c r="AU24" t="s">
        <v>16666</v>
      </c>
      <c r="AV24">
        <v>0.55400000000000005</v>
      </c>
      <c r="AW24" t="s">
        <v>65</v>
      </c>
      <c r="AX24">
        <v>6</v>
      </c>
      <c r="AY24">
        <v>2</v>
      </c>
      <c r="AZ24" t="s">
        <v>16667</v>
      </c>
      <c r="BA24">
        <v>6.7979999999999999E-2</v>
      </c>
      <c r="BB24">
        <v>-7.8700000000000003E-3</v>
      </c>
      <c r="BC24">
        <v>7.0899999999999999E-3</v>
      </c>
      <c r="BD24">
        <v>-1.24E-3</v>
      </c>
      <c r="BE24">
        <v>0.10426000000000001</v>
      </c>
      <c r="BF24">
        <v>0.98899999999999999</v>
      </c>
      <c r="BG24" t="s">
        <v>69</v>
      </c>
      <c r="BH24">
        <v>-1.429</v>
      </c>
      <c r="BI24">
        <v>-0.77600000000000002</v>
      </c>
      <c r="CG24" s="7" t="s">
        <v>25022</v>
      </c>
      <c r="CH24" s="8">
        <v>570</v>
      </c>
      <c r="CI24" s="8">
        <v>34246</v>
      </c>
      <c r="CJ24" s="8">
        <v>34816</v>
      </c>
      <c r="CK24" s="8">
        <v>4994</v>
      </c>
      <c r="CL24" s="8">
        <v>39810</v>
      </c>
      <c r="CM24" s="8"/>
      <c r="CN24" s="8">
        <v>3048</v>
      </c>
      <c r="CO24" s="8"/>
      <c r="CP24" s="8"/>
      <c r="CQ24" s="8">
        <v>0.18700787401574803</v>
      </c>
      <c r="CR24" s="8">
        <v>11.235564304461942</v>
      </c>
      <c r="CS24" s="8">
        <v>11.42257217847769</v>
      </c>
      <c r="CT24" s="8">
        <v>1.6384514435695539</v>
      </c>
      <c r="CU24" s="9">
        <v>13.061023622047244</v>
      </c>
    </row>
    <row r="25" spans="3:99">
      <c r="C25">
        <v>0</v>
      </c>
      <c r="D25">
        <v>0</v>
      </c>
      <c r="E25">
        <v>0</v>
      </c>
      <c r="F25" t="s">
        <v>25021</v>
      </c>
      <c r="G25">
        <v>4193</v>
      </c>
      <c r="H25" t="s">
        <v>24689</v>
      </c>
      <c r="I25" t="s">
        <v>57</v>
      </c>
      <c r="J25">
        <v>4159577</v>
      </c>
      <c r="K25">
        <v>4159714</v>
      </c>
      <c r="L25" t="s">
        <v>288</v>
      </c>
      <c r="M25">
        <v>46</v>
      </c>
      <c r="N25" t="s">
        <v>125</v>
      </c>
      <c r="O25">
        <v>48</v>
      </c>
      <c r="P25" t="str">
        <f>HYPERLINK("Gene4193-zp_tree_all.dnd", "Gene4193-tree")</f>
        <v>Gene4193-tree</v>
      </c>
      <c r="Q25">
        <v>22</v>
      </c>
      <c r="R25">
        <v>1</v>
      </c>
      <c r="S25">
        <v>4</v>
      </c>
      <c r="T25">
        <v>1</v>
      </c>
      <c r="U25">
        <v>0.2</v>
      </c>
      <c r="V25" t="s">
        <v>2634</v>
      </c>
      <c r="W25" t="s">
        <v>175</v>
      </c>
      <c r="X25" t="s">
        <v>62</v>
      </c>
      <c r="Y25" t="s">
        <v>62</v>
      </c>
      <c r="Z25">
        <v>0</v>
      </c>
      <c r="AA25">
        <v>0</v>
      </c>
      <c r="AB25">
        <v>1</v>
      </c>
      <c r="AC25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>
        <v>1</v>
      </c>
      <c r="AM25">
        <v>0</v>
      </c>
      <c r="AN25">
        <v>3</v>
      </c>
      <c r="AO25">
        <v>2</v>
      </c>
      <c r="AP25">
        <v>5</v>
      </c>
      <c r="AQ25">
        <v>1</v>
      </c>
      <c r="AR25">
        <v>2</v>
      </c>
      <c r="AS25">
        <v>0</v>
      </c>
      <c r="AT25" t="s">
        <v>24690</v>
      </c>
      <c r="AU25" t="s">
        <v>193</v>
      </c>
      <c r="AV25">
        <v>0.73699999999999999</v>
      </c>
      <c r="AW25" t="s">
        <v>65</v>
      </c>
      <c r="AX25">
        <v>7</v>
      </c>
      <c r="AY25">
        <v>1</v>
      </c>
      <c r="AZ25" t="s">
        <v>24691</v>
      </c>
      <c r="BA25">
        <v>0.12335</v>
      </c>
      <c r="BB25">
        <v>-1.8020000000000001E-2</v>
      </c>
      <c r="BC25">
        <v>3.7799999999999999E-3</v>
      </c>
      <c r="BD25">
        <v>-1.47E-3</v>
      </c>
      <c r="BE25">
        <v>3.0669999999999999E-2</v>
      </c>
      <c r="BF25">
        <v>1</v>
      </c>
      <c r="BG25" t="s">
        <v>69</v>
      </c>
      <c r="BH25">
        <v>-1.081</v>
      </c>
      <c r="BI25">
        <v>0.59499999999999997</v>
      </c>
      <c r="CG25" s="7" t="s">
        <v>25021</v>
      </c>
      <c r="CH25" s="8">
        <v>222</v>
      </c>
      <c r="CI25" s="8">
        <v>13568</v>
      </c>
      <c r="CJ25" s="8">
        <v>13790</v>
      </c>
      <c r="CK25" s="8">
        <v>2003</v>
      </c>
      <c r="CL25" s="8">
        <v>15793</v>
      </c>
      <c r="CM25" s="8"/>
      <c r="CN25" s="8">
        <v>1125</v>
      </c>
      <c r="CO25" s="8"/>
      <c r="CP25" s="8"/>
      <c r="CQ25" s="8">
        <v>0.19733333333333333</v>
      </c>
      <c r="CR25" s="8">
        <v>12.060444444444444</v>
      </c>
      <c r="CS25" s="8">
        <v>12.257777777777777</v>
      </c>
      <c r="CT25" s="8">
        <v>1.7804444444444445</v>
      </c>
      <c r="CU25" s="9">
        <v>14.038222222222222</v>
      </c>
    </row>
    <row r="26" spans="3:99" ht="16" thickBot="1">
      <c r="C26">
        <v>0</v>
      </c>
      <c r="D26">
        <v>0</v>
      </c>
      <c r="E26">
        <v>0</v>
      </c>
      <c r="F26" t="s">
        <v>25021</v>
      </c>
      <c r="G26">
        <v>1058</v>
      </c>
      <c r="H26" t="s">
        <v>6641</v>
      </c>
      <c r="I26" t="s">
        <v>62</v>
      </c>
      <c r="J26">
        <v>1098123</v>
      </c>
      <c r="K26">
        <v>1098260</v>
      </c>
      <c r="L26" t="s">
        <v>116</v>
      </c>
      <c r="M26">
        <v>46</v>
      </c>
      <c r="N26" t="s">
        <v>59</v>
      </c>
      <c r="O26">
        <v>49</v>
      </c>
      <c r="P26" t="str">
        <f>HYPERLINK("Gene1058-zp_tree_all.dnd", "Gene1058-tree")</f>
        <v>Gene1058-tree</v>
      </c>
      <c r="Q26">
        <v>5</v>
      </c>
      <c r="R26">
        <v>0</v>
      </c>
      <c r="S26">
        <v>5</v>
      </c>
      <c r="T26">
        <v>0</v>
      </c>
      <c r="U26">
        <v>0</v>
      </c>
      <c r="V26" t="s">
        <v>199</v>
      </c>
      <c r="W26" t="s">
        <v>62</v>
      </c>
      <c r="X26" t="s">
        <v>62</v>
      </c>
      <c r="Y26" t="s">
        <v>62</v>
      </c>
      <c r="Z26">
        <v>0</v>
      </c>
      <c r="AA26">
        <v>0</v>
      </c>
      <c r="AB26">
        <v>1</v>
      </c>
      <c r="AC26">
        <v>0</v>
      </c>
      <c r="AD26" s="47">
        <v>0</v>
      </c>
      <c r="AE26" s="47">
        <v>0</v>
      </c>
      <c r="AF26" s="47">
        <v>0</v>
      </c>
      <c r="AG26" s="47">
        <v>1</v>
      </c>
      <c r="AH26" s="47">
        <v>0</v>
      </c>
      <c r="AI26" s="47">
        <v>0</v>
      </c>
      <c r="AJ26" s="47">
        <v>0</v>
      </c>
      <c r="AK26" s="47">
        <v>0</v>
      </c>
      <c r="AL26">
        <v>0</v>
      </c>
      <c r="AM26">
        <v>0</v>
      </c>
      <c r="AN26">
        <v>3</v>
      </c>
      <c r="AO26">
        <v>2</v>
      </c>
      <c r="AP26">
        <v>6</v>
      </c>
      <c r="AQ26">
        <v>0</v>
      </c>
      <c r="AR26">
        <v>4</v>
      </c>
      <c r="AS26">
        <v>1</v>
      </c>
      <c r="AT26" t="s">
        <v>193</v>
      </c>
      <c r="AU26" t="s">
        <v>6642</v>
      </c>
      <c r="AV26">
        <v>1.1120000000000001</v>
      </c>
      <c r="AW26" t="s">
        <v>65</v>
      </c>
      <c r="AX26">
        <v>10</v>
      </c>
      <c r="AY26">
        <v>1</v>
      </c>
      <c r="AZ26" t="s">
        <v>6643</v>
      </c>
      <c r="BA26">
        <v>0.20538999999999999</v>
      </c>
      <c r="BB26">
        <v>-2.741E-2</v>
      </c>
      <c r="BC26">
        <v>5.5199999999999997E-3</v>
      </c>
      <c r="BD26">
        <v>-1.31E-3</v>
      </c>
      <c r="BE26">
        <v>2.6870000000000002E-2</v>
      </c>
      <c r="BF26">
        <v>1</v>
      </c>
      <c r="BG26" t="s">
        <v>69</v>
      </c>
      <c r="BH26">
        <v>-1.0269999999999999</v>
      </c>
      <c r="BI26">
        <v>0.78800000000000003</v>
      </c>
      <c r="CG26" s="10" t="s">
        <v>25039</v>
      </c>
      <c r="CH26" s="11" t="s">
        <v>25049</v>
      </c>
      <c r="CI26" s="11">
        <v>5.1124999999999997E-2</v>
      </c>
      <c r="CJ26" s="11">
        <v>5.1894999999999997E-2</v>
      </c>
      <c r="CK26" s="11">
        <v>5.7000000000000002E-2</v>
      </c>
      <c r="CL26" s="11">
        <v>4.5789000000000003E-2</v>
      </c>
      <c r="CM26" s="11"/>
      <c r="CN26" s="11"/>
      <c r="CO26" s="11"/>
      <c r="CP26" s="11"/>
      <c r="CQ26" s="11"/>
      <c r="CR26" s="11"/>
      <c r="CS26" s="11"/>
      <c r="CT26" s="11"/>
      <c r="CU26" s="12"/>
    </row>
    <row r="27" spans="3:99">
      <c r="C27">
        <v>0</v>
      </c>
      <c r="D27">
        <v>0</v>
      </c>
      <c r="E27">
        <v>2</v>
      </c>
      <c r="F27" t="s">
        <v>25021</v>
      </c>
      <c r="G27">
        <v>2049</v>
      </c>
      <c r="H27" t="s">
        <v>12758</v>
      </c>
      <c r="I27" t="s">
        <v>57</v>
      </c>
      <c r="J27">
        <v>2137897</v>
      </c>
      <c r="K27">
        <v>2138037</v>
      </c>
      <c r="L27" t="s">
        <v>2302</v>
      </c>
      <c r="M27">
        <v>47</v>
      </c>
      <c r="N27" t="s">
        <v>59</v>
      </c>
      <c r="O27">
        <v>49</v>
      </c>
      <c r="P27" t="str">
        <f>HYPERLINK("Gene2049-zp_tree_all.dnd", "Gene2049-tree")</f>
        <v>Gene2049-tree</v>
      </c>
      <c r="Q27">
        <v>44</v>
      </c>
      <c r="R27">
        <v>3</v>
      </c>
      <c r="S27">
        <v>5</v>
      </c>
      <c r="T27">
        <v>3</v>
      </c>
      <c r="U27">
        <v>0.375</v>
      </c>
      <c r="V27" t="s">
        <v>12759</v>
      </c>
      <c r="W27" t="s">
        <v>324</v>
      </c>
      <c r="X27" t="s">
        <v>62</v>
      </c>
      <c r="Y27" t="s">
        <v>62</v>
      </c>
      <c r="Z27">
        <v>1</v>
      </c>
      <c r="AA27">
        <v>2</v>
      </c>
      <c r="AB27">
        <v>3</v>
      </c>
      <c r="AC27">
        <v>0.4</v>
      </c>
      <c r="AD27" s="47">
        <v>0</v>
      </c>
      <c r="AE27" s="47">
        <v>0</v>
      </c>
      <c r="AF27" s="47">
        <v>0</v>
      </c>
      <c r="AG27" s="47">
        <v>1</v>
      </c>
      <c r="AH27" s="47">
        <v>0</v>
      </c>
      <c r="AI27" s="47">
        <v>0</v>
      </c>
      <c r="AJ27" s="47">
        <v>0</v>
      </c>
      <c r="AK27" s="47">
        <v>0</v>
      </c>
      <c r="AL27">
        <v>4</v>
      </c>
      <c r="AM27">
        <v>0</v>
      </c>
      <c r="AN27">
        <v>5</v>
      </c>
      <c r="AO27">
        <v>2</v>
      </c>
      <c r="AP27">
        <v>3</v>
      </c>
      <c r="AQ27">
        <v>3</v>
      </c>
      <c r="AR27">
        <v>3</v>
      </c>
      <c r="AS27">
        <v>2</v>
      </c>
      <c r="AT27" t="s">
        <v>12760</v>
      </c>
      <c r="AU27" t="s">
        <v>12761</v>
      </c>
      <c r="AV27">
        <v>0.317</v>
      </c>
      <c r="AW27" t="s">
        <v>65</v>
      </c>
      <c r="AX27">
        <v>6</v>
      </c>
      <c r="AY27">
        <v>5</v>
      </c>
      <c r="AZ27" t="s">
        <v>12762</v>
      </c>
      <c r="BA27">
        <v>0.10169</v>
      </c>
      <c r="BB27">
        <v>-1.2019999999999999E-2</v>
      </c>
      <c r="BC27">
        <v>1.37E-2</v>
      </c>
      <c r="BD27">
        <v>-1.8799999999999999E-3</v>
      </c>
      <c r="BE27">
        <v>0.13472000000000001</v>
      </c>
      <c r="BF27">
        <v>0.97899999999999998</v>
      </c>
      <c r="BG27" t="s">
        <v>69</v>
      </c>
      <c r="BH27">
        <v>-1.8120000000000001</v>
      </c>
      <c r="BI27">
        <v>-0.84699999999999998</v>
      </c>
    </row>
    <row r="28" spans="3:99">
      <c r="C28">
        <v>0</v>
      </c>
      <c r="D28">
        <v>0</v>
      </c>
      <c r="E28">
        <v>0</v>
      </c>
      <c r="F28" t="s">
        <v>25021</v>
      </c>
      <c r="G28">
        <v>557</v>
      </c>
      <c r="H28" t="s">
        <v>3581</v>
      </c>
      <c r="I28" t="s">
        <v>62</v>
      </c>
      <c r="J28">
        <v>587336</v>
      </c>
      <c r="K28">
        <v>587476</v>
      </c>
      <c r="L28" t="s">
        <v>2302</v>
      </c>
      <c r="M28">
        <v>47</v>
      </c>
      <c r="N28" t="s">
        <v>3582</v>
      </c>
      <c r="O28">
        <v>35</v>
      </c>
      <c r="P28" t="str">
        <f>HYPERLINK("Gene557-zp_tree_all.dnd", "Gene557-tree")</f>
        <v>Gene557-tree</v>
      </c>
      <c r="Q28">
        <v>3</v>
      </c>
      <c r="R28">
        <v>1</v>
      </c>
      <c r="S28">
        <v>3</v>
      </c>
      <c r="T28">
        <v>1</v>
      </c>
      <c r="U28">
        <v>0.25</v>
      </c>
      <c r="V28" t="s">
        <v>324</v>
      </c>
      <c r="W28" t="s">
        <v>175</v>
      </c>
      <c r="X28" t="s">
        <v>62</v>
      </c>
      <c r="Y28" t="s">
        <v>62</v>
      </c>
      <c r="Z28">
        <v>0</v>
      </c>
      <c r="AA28">
        <v>0</v>
      </c>
      <c r="AB28">
        <v>1</v>
      </c>
      <c r="AC28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0</v>
      </c>
      <c r="AJ28" s="47">
        <v>0</v>
      </c>
      <c r="AK28" s="47">
        <v>0</v>
      </c>
      <c r="AL28">
        <v>1</v>
      </c>
      <c r="AM28">
        <v>0</v>
      </c>
      <c r="AN28">
        <v>3</v>
      </c>
      <c r="AO28">
        <v>0</v>
      </c>
      <c r="AP28">
        <v>3</v>
      </c>
      <c r="AQ28">
        <v>1</v>
      </c>
      <c r="AR28">
        <v>0</v>
      </c>
      <c r="AS28">
        <v>0</v>
      </c>
      <c r="AT28" t="s">
        <v>3583</v>
      </c>
      <c r="AU28" t="s">
        <v>193</v>
      </c>
      <c r="AV28">
        <v>0.64700000000000002</v>
      </c>
      <c r="AW28" t="s">
        <v>65</v>
      </c>
      <c r="AX28">
        <v>3</v>
      </c>
      <c r="AY28">
        <v>1</v>
      </c>
      <c r="AZ28" t="s">
        <v>3584</v>
      </c>
      <c r="BA28">
        <v>5.3600000000000002E-2</v>
      </c>
      <c r="BB28">
        <v>-1.839E-2</v>
      </c>
      <c r="BC28">
        <v>4.6299999999999996E-3</v>
      </c>
      <c r="BD28">
        <v>-1.34E-3</v>
      </c>
      <c r="BE28">
        <v>8.6440000000000003E-2</v>
      </c>
      <c r="BF28">
        <v>0.98399999999999999</v>
      </c>
      <c r="BG28" t="s">
        <v>69</v>
      </c>
      <c r="BH28">
        <v>-1.0589999999999999</v>
      </c>
      <c r="BI28">
        <v>-0.311</v>
      </c>
    </row>
    <row r="29" spans="3:99">
      <c r="C29">
        <v>0</v>
      </c>
      <c r="D29">
        <v>4</v>
      </c>
      <c r="E29">
        <v>2</v>
      </c>
      <c r="F29" t="s">
        <v>25021</v>
      </c>
      <c r="G29">
        <v>2284</v>
      </c>
      <c r="H29" t="s">
        <v>13224</v>
      </c>
      <c r="I29" t="s">
        <v>57</v>
      </c>
      <c r="J29">
        <v>2307743</v>
      </c>
      <c r="K29">
        <v>2307886</v>
      </c>
      <c r="L29" t="s">
        <v>13225</v>
      </c>
      <c r="M29">
        <v>48</v>
      </c>
      <c r="N29" t="s">
        <v>59</v>
      </c>
      <c r="O29">
        <v>49</v>
      </c>
      <c r="P29" t="str">
        <f>HYPERLINK("Gene2284-zp_tree_all.dnd", "Gene2284-tree")</f>
        <v>Gene2284-tree</v>
      </c>
      <c r="Q29">
        <v>28</v>
      </c>
      <c r="R29">
        <v>5</v>
      </c>
      <c r="S29">
        <v>5</v>
      </c>
      <c r="T29">
        <v>5</v>
      </c>
      <c r="U29">
        <v>0.5</v>
      </c>
      <c r="V29" t="s">
        <v>13226</v>
      </c>
      <c r="W29" t="s">
        <v>199</v>
      </c>
      <c r="X29" t="s">
        <v>62</v>
      </c>
      <c r="Y29" t="s">
        <v>62</v>
      </c>
      <c r="Z29">
        <v>3</v>
      </c>
      <c r="AA29">
        <v>6</v>
      </c>
      <c r="AB29">
        <v>4</v>
      </c>
      <c r="AC29">
        <v>0.6</v>
      </c>
      <c r="AD29" s="47">
        <v>0</v>
      </c>
      <c r="AE29" s="47">
        <v>0</v>
      </c>
      <c r="AF29" s="47">
        <v>0</v>
      </c>
      <c r="AG29" s="47">
        <v>3</v>
      </c>
      <c r="AH29" s="47">
        <v>0</v>
      </c>
      <c r="AI29" s="47">
        <v>4</v>
      </c>
      <c r="AJ29" s="47">
        <v>0</v>
      </c>
      <c r="AK29" s="47">
        <v>4</v>
      </c>
      <c r="AL29">
        <v>3</v>
      </c>
      <c r="AM29">
        <v>0.57142999999999999</v>
      </c>
      <c r="AN29">
        <v>3</v>
      </c>
      <c r="AO29">
        <v>7</v>
      </c>
      <c r="AP29">
        <v>3</v>
      </c>
      <c r="AQ29">
        <v>1</v>
      </c>
      <c r="AR29">
        <v>1</v>
      </c>
      <c r="AS29">
        <v>9</v>
      </c>
      <c r="AT29" t="s">
        <v>13227</v>
      </c>
      <c r="AU29" t="s">
        <v>13228</v>
      </c>
      <c r="AV29">
        <v>0.39400000000000002</v>
      </c>
      <c r="AW29" t="s">
        <v>65</v>
      </c>
      <c r="AX29">
        <v>4</v>
      </c>
      <c r="AY29">
        <v>10</v>
      </c>
      <c r="AZ29" t="s">
        <v>13229</v>
      </c>
      <c r="BA29">
        <v>4.1509999999999998E-2</v>
      </c>
      <c r="BB29">
        <v>-5.3800000000000002E-3</v>
      </c>
      <c r="BC29">
        <v>3.5270000000000003E-2</v>
      </c>
      <c r="BD29">
        <v>-2.8800000000000002E-3</v>
      </c>
      <c r="BE29">
        <v>0.84963</v>
      </c>
      <c r="BF29">
        <v>0.443</v>
      </c>
      <c r="BG29" t="s">
        <v>635</v>
      </c>
      <c r="BH29">
        <v>0.309</v>
      </c>
      <c r="BI29">
        <v>1.4770000000000001</v>
      </c>
    </row>
    <row r="30" spans="3:99">
      <c r="C30">
        <v>0</v>
      </c>
      <c r="D30">
        <v>0</v>
      </c>
      <c r="E30">
        <v>0</v>
      </c>
      <c r="F30" t="s">
        <v>25021</v>
      </c>
      <c r="G30">
        <v>3383</v>
      </c>
      <c r="H30" t="s">
        <v>19784</v>
      </c>
      <c r="I30" t="s">
        <v>57</v>
      </c>
      <c r="J30">
        <v>3354066</v>
      </c>
      <c r="K30">
        <v>3354209</v>
      </c>
      <c r="L30" t="s">
        <v>389</v>
      </c>
      <c r="M30">
        <v>48</v>
      </c>
      <c r="N30" t="s">
        <v>1124</v>
      </c>
      <c r="O30">
        <v>43</v>
      </c>
      <c r="P30" t="str">
        <f>HYPERLINK("Gene3383-zp_tree_all.dnd", "Gene3383-tree")</f>
        <v>Gene3383-tree</v>
      </c>
      <c r="Q30">
        <v>24</v>
      </c>
      <c r="R30">
        <v>1</v>
      </c>
      <c r="S30">
        <v>4</v>
      </c>
      <c r="T30">
        <v>1</v>
      </c>
      <c r="U30">
        <v>0.2</v>
      </c>
      <c r="V30" t="s">
        <v>1495</v>
      </c>
      <c r="W30" t="s">
        <v>175</v>
      </c>
      <c r="X30" t="s">
        <v>62</v>
      </c>
      <c r="Y30" t="s">
        <v>62</v>
      </c>
      <c r="Z30">
        <v>0</v>
      </c>
      <c r="AA30">
        <v>0</v>
      </c>
      <c r="AB30">
        <v>2</v>
      </c>
      <c r="AC30">
        <v>0</v>
      </c>
      <c r="AD30" s="47">
        <v>0</v>
      </c>
      <c r="AE30" s="47">
        <v>0</v>
      </c>
      <c r="AF30" s="47">
        <v>0</v>
      </c>
      <c r="AG30" s="47">
        <v>0</v>
      </c>
      <c r="AH30" s="47">
        <v>0</v>
      </c>
      <c r="AI30" s="47">
        <v>0</v>
      </c>
      <c r="AJ30" s="47">
        <v>0</v>
      </c>
      <c r="AK30" s="47">
        <v>0</v>
      </c>
      <c r="AL30">
        <v>1</v>
      </c>
      <c r="AM30">
        <v>0</v>
      </c>
      <c r="AN30">
        <v>5</v>
      </c>
      <c r="AO30">
        <v>1</v>
      </c>
      <c r="AP30">
        <v>7</v>
      </c>
      <c r="AQ30">
        <v>1</v>
      </c>
      <c r="AR30">
        <v>0</v>
      </c>
      <c r="AS30">
        <v>1</v>
      </c>
      <c r="AT30" t="s">
        <v>19785</v>
      </c>
      <c r="AU30" t="s">
        <v>193</v>
      </c>
      <c r="AV30">
        <v>0.54100000000000004</v>
      </c>
      <c r="AW30" t="s">
        <v>65</v>
      </c>
      <c r="AX30">
        <v>7</v>
      </c>
      <c r="AY30">
        <v>2</v>
      </c>
      <c r="AZ30" t="s">
        <v>19786</v>
      </c>
      <c r="BA30">
        <v>8.4419999999999995E-2</v>
      </c>
      <c r="BB30">
        <v>-1.4579999999999999E-2</v>
      </c>
      <c r="BC30">
        <v>8.9200000000000008E-3</v>
      </c>
      <c r="BD30">
        <v>-1.7899999999999999E-3</v>
      </c>
      <c r="BE30">
        <v>0.1057</v>
      </c>
      <c r="BF30">
        <v>0.98799999999999999</v>
      </c>
      <c r="BG30" t="s">
        <v>69</v>
      </c>
      <c r="BH30">
        <v>-0.218</v>
      </c>
      <c r="BI30">
        <v>-1.7709999999999999</v>
      </c>
    </row>
    <row r="31" spans="3:99">
      <c r="C31">
        <v>0</v>
      </c>
      <c r="D31">
        <v>0</v>
      </c>
      <c r="E31">
        <v>0</v>
      </c>
      <c r="F31" t="s">
        <v>25021</v>
      </c>
      <c r="G31">
        <v>3406</v>
      </c>
      <c r="H31" t="s">
        <v>19927</v>
      </c>
      <c r="I31" t="s">
        <v>57</v>
      </c>
      <c r="J31">
        <v>3372569</v>
      </c>
      <c r="K31">
        <v>3372712</v>
      </c>
      <c r="L31" t="s">
        <v>116</v>
      </c>
      <c r="M31">
        <v>48</v>
      </c>
      <c r="N31" t="s">
        <v>96</v>
      </c>
      <c r="O31">
        <v>48</v>
      </c>
      <c r="P31" t="str">
        <f>HYPERLINK("Gene3406-zp_tree_all.dnd", "Gene3406-tree")</f>
        <v>Gene3406-tree</v>
      </c>
      <c r="Q31">
        <v>5</v>
      </c>
      <c r="R31">
        <v>2</v>
      </c>
      <c r="S31">
        <v>5</v>
      </c>
      <c r="T31">
        <v>2</v>
      </c>
      <c r="U31">
        <v>0.28571000000000002</v>
      </c>
      <c r="V31" t="s">
        <v>199</v>
      </c>
      <c r="W31" t="s">
        <v>81</v>
      </c>
      <c r="X31" t="s">
        <v>62</v>
      </c>
      <c r="Y31" t="s">
        <v>62</v>
      </c>
      <c r="Z31">
        <v>0</v>
      </c>
      <c r="AA31">
        <v>0</v>
      </c>
      <c r="AB31">
        <v>2</v>
      </c>
      <c r="AC31">
        <v>0</v>
      </c>
      <c r="AD31" s="47">
        <v>0</v>
      </c>
      <c r="AE31" s="47">
        <v>0</v>
      </c>
      <c r="AF31" s="47">
        <v>0</v>
      </c>
      <c r="AG31" s="47">
        <v>0</v>
      </c>
      <c r="AH31" s="47">
        <v>0</v>
      </c>
      <c r="AI31" s="47">
        <v>0</v>
      </c>
      <c r="AJ31" s="47">
        <v>0</v>
      </c>
      <c r="AK31" s="47">
        <v>0</v>
      </c>
      <c r="AL31">
        <v>2</v>
      </c>
      <c r="AM31">
        <v>0</v>
      </c>
      <c r="AN31">
        <v>4</v>
      </c>
      <c r="AO31">
        <v>2</v>
      </c>
      <c r="AP31">
        <v>2</v>
      </c>
      <c r="AQ31">
        <v>3</v>
      </c>
      <c r="AR31">
        <v>4</v>
      </c>
      <c r="AS31">
        <v>0</v>
      </c>
      <c r="AT31" t="s">
        <v>19928</v>
      </c>
      <c r="AU31" t="s">
        <v>193</v>
      </c>
      <c r="AV31">
        <v>0.89900000000000002</v>
      </c>
      <c r="AW31" t="s">
        <v>65</v>
      </c>
      <c r="AX31">
        <v>6</v>
      </c>
      <c r="AY31">
        <v>3</v>
      </c>
      <c r="AZ31" t="s">
        <v>19929</v>
      </c>
      <c r="BA31">
        <v>8.6940000000000003E-2</v>
      </c>
      <c r="BB31">
        <v>-1.3350000000000001E-2</v>
      </c>
      <c r="BC31">
        <v>7.8799999999999999E-3</v>
      </c>
      <c r="BD31">
        <v>-1.65E-3</v>
      </c>
      <c r="BE31">
        <v>9.0670000000000001E-2</v>
      </c>
      <c r="BF31">
        <v>1</v>
      </c>
      <c r="BG31" t="s">
        <v>69</v>
      </c>
      <c r="BH31">
        <v>-1.0089999999999999</v>
      </c>
      <c r="BI31">
        <v>-0.112</v>
      </c>
      <c r="CG31" t="s">
        <v>25051</v>
      </c>
    </row>
    <row r="32" spans="3:99">
      <c r="C32">
        <v>0</v>
      </c>
      <c r="D32">
        <v>0</v>
      </c>
      <c r="E32">
        <v>0</v>
      </c>
      <c r="F32" t="s">
        <v>25021</v>
      </c>
      <c r="G32">
        <v>1865</v>
      </c>
      <c r="H32" t="s">
        <v>11679</v>
      </c>
      <c r="I32" t="s">
        <v>62</v>
      </c>
      <c r="J32">
        <v>1926309</v>
      </c>
      <c r="K32">
        <v>1926452</v>
      </c>
      <c r="L32" t="s">
        <v>389</v>
      </c>
      <c r="M32">
        <v>48</v>
      </c>
      <c r="N32" t="s">
        <v>698</v>
      </c>
      <c r="O32">
        <v>47</v>
      </c>
      <c r="P32" t="str">
        <f>HYPERLINK("Gene1865-zp_tree_all.dnd", "Gene1865-tree")</f>
        <v>Gene1865-tree</v>
      </c>
      <c r="Q32">
        <v>46</v>
      </c>
      <c r="R32">
        <v>0</v>
      </c>
      <c r="S32">
        <v>6</v>
      </c>
      <c r="T32">
        <v>0</v>
      </c>
      <c r="U32">
        <v>0</v>
      </c>
      <c r="V32" t="s">
        <v>9935</v>
      </c>
      <c r="W32" t="s">
        <v>62</v>
      </c>
      <c r="X32" t="s">
        <v>62</v>
      </c>
      <c r="Y32" t="s">
        <v>62</v>
      </c>
      <c r="Z32">
        <v>0</v>
      </c>
      <c r="AA32">
        <v>0</v>
      </c>
      <c r="AB32">
        <v>1</v>
      </c>
      <c r="AC32">
        <v>0</v>
      </c>
      <c r="AD32" s="47">
        <v>0</v>
      </c>
      <c r="AE32" s="47">
        <v>0</v>
      </c>
      <c r="AF32" s="47">
        <v>0</v>
      </c>
      <c r="AG32" s="47">
        <v>1</v>
      </c>
      <c r="AH32" s="47">
        <v>0</v>
      </c>
      <c r="AI32" s="47">
        <v>0</v>
      </c>
      <c r="AJ32" s="47">
        <v>0</v>
      </c>
      <c r="AK32" s="47">
        <v>0</v>
      </c>
      <c r="AL32">
        <v>0</v>
      </c>
      <c r="AM32">
        <v>0</v>
      </c>
      <c r="AN32">
        <v>4</v>
      </c>
      <c r="AO32">
        <v>2</v>
      </c>
      <c r="AP32">
        <v>4</v>
      </c>
      <c r="AQ32">
        <v>0</v>
      </c>
      <c r="AR32">
        <v>5</v>
      </c>
      <c r="AS32">
        <v>1</v>
      </c>
      <c r="AT32" t="s">
        <v>193</v>
      </c>
      <c r="AU32" t="s">
        <v>11680</v>
      </c>
      <c r="AV32">
        <v>1.0169999999999999</v>
      </c>
      <c r="AW32" t="s">
        <v>65</v>
      </c>
      <c r="AX32">
        <v>9</v>
      </c>
      <c r="AY32">
        <v>1</v>
      </c>
      <c r="AZ32" t="s">
        <v>11681</v>
      </c>
      <c r="BA32">
        <v>0.16935</v>
      </c>
      <c r="BB32">
        <v>-2.5430000000000001E-2</v>
      </c>
      <c r="BC32">
        <v>4.7400000000000003E-3</v>
      </c>
      <c r="BD32">
        <v>-1.1000000000000001E-3</v>
      </c>
      <c r="BE32">
        <v>2.7980000000000001E-2</v>
      </c>
      <c r="BF32">
        <v>1</v>
      </c>
      <c r="BG32" t="s">
        <v>69</v>
      </c>
      <c r="BH32">
        <v>-1.6910000000000001</v>
      </c>
      <c r="BI32">
        <v>-1.02</v>
      </c>
      <c r="CH32" t="s">
        <v>25054</v>
      </c>
    </row>
    <row r="33" spans="3:87">
      <c r="C33">
        <v>0</v>
      </c>
      <c r="D33">
        <v>0</v>
      </c>
      <c r="E33">
        <v>0</v>
      </c>
      <c r="F33" t="s">
        <v>25021</v>
      </c>
      <c r="G33">
        <v>1864</v>
      </c>
      <c r="H33" t="s">
        <v>11676</v>
      </c>
      <c r="I33" t="s">
        <v>62</v>
      </c>
      <c r="J33">
        <v>1926131</v>
      </c>
      <c r="K33">
        <v>1926274</v>
      </c>
      <c r="L33" t="s">
        <v>389</v>
      </c>
      <c r="M33">
        <v>48</v>
      </c>
      <c r="N33" t="s">
        <v>108</v>
      </c>
      <c r="O33">
        <v>44</v>
      </c>
      <c r="P33" t="str">
        <f>HYPERLINK("Gene1864-zp_tree_all.dnd", "Gene1864-tree")</f>
        <v>Gene1864-tree</v>
      </c>
      <c r="Q33">
        <v>4</v>
      </c>
      <c r="R33">
        <v>0</v>
      </c>
      <c r="S33">
        <v>4</v>
      </c>
      <c r="T33">
        <v>0</v>
      </c>
      <c r="U33">
        <v>0</v>
      </c>
      <c r="V33" t="s">
        <v>61</v>
      </c>
      <c r="W33" t="s">
        <v>62</v>
      </c>
      <c r="X33" t="s">
        <v>62</v>
      </c>
      <c r="Y33" t="s">
        <v>62</v>
      </c>
      <c r="Z33">
        <v>0</v>
      </c>
      <c r="AA33">
        <v>0</v>
      </c>
      <c r="AB33">
        <v>0</v>
      </c>
      <c r="AC33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>
        <v>0</v>
      </c>
      <c r="AM33">
        <v>0</v>
      </c>
      <c r="AN33">
        <v>3</v>
      </c>
      <c r="AO33">
        <v>1</v>
      </c>
      <c r="AP33">
        <v>3</v>
      </c>
      <c r="AQ33">
        <v>0</v>
      </c>
      <c r="AR33">
        <v>1</v>
      </c>
      <c r="AS33">
        <v>0</v>
      </c>
      <c r="AT33" t="s">
        <v>193</v>
      </c>
      <c r="AU33" t="s">
        <v>193</v>
      </c>
      <c r="AV33">
        <v>0</v>
      </c>
      <c r="AW33" t="s">
        <v>65</v>
      </c>
      <c r="AX33">
        <v>4</v>
      </c>
      <c r="AY33">
        <v>0</v>
      </c>
      <c r="AZ33" t="s">
        <v>11677</v>
      </c>
      <c r="BA33">
        <v>7.5649999999999995E-2</v>
      </c>
      <c r="BB33">
        <v>-1.2149999999999999E-2</v>
      </c>
      <c r="BC33">
        <v>0</v>
      </c>
      <c r="BD33">
        <v>0</v>
      </c>
      <c r="BE33">
        <v>0</v>
      </c>
      <c r="BF33">
        <v>1</v>
      </c>
      <c r="BG33" t="s">
        <v>69</v>
      </c>
      <c r="BH33">
        <v>1.6140000000000001</v>
      </c>
      <c r="BI33">
        <v>0.90500000000000003</v>
      </c>
      <c r="CA33">
        <v>5.244755244755245E-3</v>
      </c>
      <c r="CH33" t="s">
        <v>25052</v>
      </c>
      <c r="CI33" t="s">
        <v>25053</v>
      </c>
    </row>
    <row r="34" spans="3:87">
      <c r="C34">
        <v>0</v>
      </c>
      <c r="D34">
        <v>0</v>
      </c>
      <c r="E34">
        <v>0</v>
      </c>
      <c r="F34" t="s">
        <v>25021</v>
      </c>
      <c r="G34">
        <v>2523</v>
      </c>
      <c r="H34" t="s">
        <v>14728</v>
      </c>
      <c r="I34" t="s">
        <v>57</v>
      </c>
      <c r="J34">
        <v>2516215</v>
      </c>
      <c r="K34">
        <v>2516364</v>
      </c>
      <c r="L34" t="s">
        <v>14729</v>
      </c>
      <c r="M34">
        <v>50</v>
      </c>
      <c r="N34" t="s">
        <v>1392</v>
      </c>
      <c r="O34">
        <v>43</v>
      </c>
      <c r="P34" t="str">
        <f>HYPERLINK("Gene2523-zp_tree_all.dnd", "Gene2523-tree")</f>
        <v>Gene2523-tree</v>
      </c>
      <c r="Q34">
        <v>0</v>
      </c>
      <c r="R34">
        <v>5</v>
      </c>
      <c r="S34">
        <v>0</v>
      </c>
      <c r="T34">
        <v>5</v>
      </c>
      <c r="U34">
        <v>1</v>
      </c>
      <c r="V34" t="s">
        <v>62</v>
      </c>
      <c r="W34" t="s">
        <v>199</v>
      </c>
      <c r="X34" t="s">
        <v>62</v>
      </c>
      <c r="Y34" t="s">
        <v>62</v>
      </c>
      <c r="Z34">
        <v>0</v>
      </c>
      <c r="AA34">
        <v>0</v>
      </c>
      <c r="AB34">
        <v>5</v>
      </c>
      <c r="AC34">
        <v>0</v>
      </c>
      <c r="AD34" s="47">
        <v>0</v>
      </c>
      <c r="AE34" s="47">
        <v>0</v>
      </c>
      <c r="AF34" s="47">
        <v>0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>
        <v>5</v>
      </c>
      <c r="AM34">
        <v>0</v>
      </c>
      <c r="AN34">
        <v>4</v>
      </c>
      <c r="AO34">
        <v>0</v>
      </c>
      <c r="AP34">
        <v>2</v>
      </c>
      <c r="AQ34">
        <v>5</v>
      </c>
      <c r="AR34">
        <v>0</v>
      </c>
      <c r="AS34">
        <v>0</v>
      </c>
      <c r="AT34" t="s">
        <v>14730</v>
      </c>
      <c r="AU34" t="s">
        <v>193</v>
      </c>
      <c r="AV34">
        <v>1.782</v>
      </c>
      <c r="AW34" t="s">
        <v>65</v>
      </c>
      <c r="AX34">
        <v>2</v>
      </c>
      <c r="AY34">
        <v>5</v>
      </c>
      <c r="AZ34" t="s">
        <v>14731</v>
      </c>
      <c r="BA34">
        <v>2.4320000000000001E-2</v>
      </c>
      <c r="BB34">
        <v>-5.8199999999999997E-3</v>
      </c>
      <c r="BC34">
        <v>1.7899999999999999E-2</v>
      </c>
      <c r="BD34">
        <v>-2.2100000000000002E-3</v>
      </c>
      <c r="BE34">
        <v>0.73594999999999999</v>
      </c>
      <c r="BF34">
        <v>0.43</v>
      </c>
      <c r="BG34" t="s">
        <v>635</v>
      </c>
      <c r="BH34">
        <v>-5.8000000000000003E-2</v>
      </c>
      <c r="BI34">
        <v>-1.0149999999999999</v>
      </c>
      <c r="CA34">
        <v>1.0446343779677113E-2</v>
      </c>
      <c r="CG34" s="7" t="s">
        <v>25022</v>
      </c>
    </row>
    <row r="35" spans="3:87">
      <c r="C35">
        <v>0</v>
      </c>
      <c r="D35">
        <v>0</v>
      </c>
      <c r="E35">
        <v>0</v>
      </c>
      <c r="F35" t="s">
        <v>25021</v>
      </c>
      <c r="G35">
        <v>888</v>
      </c>
      <c r="H35" t="s">
        <v>5546</v>
      </c>
      <c r="I35" t="s">
        <v>62</v>
      </c>
      <c r="J35">
        <v>928115</v>
      </c>
      <c r="K35">
        <v>928264</v>
      </c>
      <c r="L35" t="s">
        <v>389</v>
      </c>
      <c r="M35">
        <v>50</v>
      </c>
      <c r="N35" t="s">
        <v>59</v>
      </c>
      <c r="O35">
        <v>49</v>
      </c>
      <c r="P35" t="str">
        <f>HYPERLINK("Gene888-zp_tree_all.dnd", "Gene888-tree")</f>
        <v>Gene888-tree</v>
      </c>
      <c r="Q35">
        <v>8</v>
      </c>
      <c r="R35">
        <v>2</v>
      </c>
      <c r="S35">
        <v>8</v>
      </c>
      <c r="T35">
        <v>2</v>
      </c>
      <c r="U35">
        <v>0.2</v>
      </c>
      <c r="V35" t="s">
        <v>136</v>
      </c>
      <c r="W35" t="s">
        <v>81</v>
      </c>
      <c r="X35" t="s">
        <v>62</v>
      </c>
      <c r="Y35" t="s">
        <v>62</v>
      </c>
      <c r="Z35">
        <v>0</v>
      </c>
      <c r="AA35">
        <v>0</v>
      </c>
      <c r="AB35">
        <v>2</v>
      </c>
      <c r="AC35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0</v>
      </c>
      <c r="AI35" s="47">
        <v>0</v>
      </c>
      <c r="AJ35" s="47">
        <v>0</v>
      </c>
      <c r="AK35" s="47">
        <v>0</v>
      </c>
      <c r="AL35">
        <v>2</v>
      </c>
      <c r="AM35">
        <v>0</v>
      </c>
      <c r="AN35">
        <v>5</v>
      </c>
      <c r="AO35">
        <v>5</v>
      </c>
      <c r="AP35">
        <v>3</v>
      </c>
      <c r="AQ35">
        <v>2</v>
      </c>
      <c r="AR35">
        <v>5</v>
      </c>
      <c r="AS35">
        <v>0</v>
      </c>
      <c r="AT35" t="s">
        <v>5547</v>
      </c>
      <c r="AU35" t="s">
        <v>193</v>
      </c>
      <c r="AV35">
        <v>1.032</v>
      </c>
      <c r="AW35" t="s">
        <v>65</v>
      </c>
      <c r="AX35">
        <v>8</v>
      </c>
      <c r="AY35">
        <v>2</v>
      </c>
      <c r="AZ35" t="s">
        <v>5548</v>
      </c>
      <c r="BA35">
        <v>0.10165</v>
      </c>
      <c r="BB35">
        <v>-8.9599999999999992E-3</v>
      </c>
      <c r="BC35">
        <v>3.4299999999999999E-3</v>
      </c>
      <c r="BD35">
        <v>-5.9000000000000003E-4</v>
      </c>
      <c r="BE35">
        <v>3.3739999999999999E-2</v>
      </c>
      <c r="BF35">
        <v>1</v>
      </c>
      <c r="BG35" t="s">
        <v>69</v>
      </c>
      <c r="BH35">
        <v>-1.34</v>
      </c>
      <c r="BI35">
        <v>-1.2729999999999999</v>
      </c>
      <c r="CG35" s="7" t="s">
        <v>25021</v>
      </c>
    </row>
    <row r="36" spans="3:87">
      <c r="C36">
        <v>0</v>
      </c>
      <c r="D36">
        <v>0</v>
      </c>
      <c r="E36">
        <v>0</v>
      </c>
      <c r="F36" t="s">
        <v>25021</v>
      </c>
      <c r="G36">
        <v>2310</v>
      </c>
      <c r="H36" t="s">
        <v>13394</v>
      </c>
      <c r="I36" t="s">
        <v>57</v>
      </c>
      <c r="J36">
        <v>2329870</v>
      </c>
      <c r="K36">
        <v>2330019</v>
      </c>
      <c r="L36" t="s">
        <v>116</v>
      </c>
      <c r="M36">
        <v>50</v>
      </c>
      <c r="N36" t="s">
        <v>59</v>
      </c>
      <c r="O36">
        <v>49</v>
      </c>
      <c r="P36" t="str">
        <f>HYPERLINK("Gene2310-zp_tree_all.dnd", "Gene2310-tree")</f>
        <v>Gene2310-tree</v>
      </c>
      <c r="Q36">
        <v>24</v>
      </c>
      <c r="R36">
        <v>0</v>
      </c>
      <c r="S36">
        <v>7</v>
      </c>
      <c r="T36">
        <v>0</v>
      </c>
      <c r="U36">
        <v>0</v>
      </c>
      <c r="V36" t="s">
        <v>638</v>
      </c>
      <c r="W36" t="s">
        <v>62</v>
      </c>
      <c r="X36" t="s">
        <v>62</v>
      </c>
      <c r="Y36" t="s">
        <v>62</v>
      </c>
      <c r="Z36">
        <v>0</v>
      </c>
      <c r="AA36">
        <v>0</v>
      </c>
      <c r="AB36">
        <v>0</v>
      </c>
      <c r="AC36">
        <v>0</v>
      </c>
      <c r="AD36" s="47">
        <v>0</v>
      </c>
      <c r="AE36" s="47">
        <v>0</v>
      </c>
      <c r="AF36" s="47">
        <v>0</v>
      </c>
      <c r="AG36" s="47">
        <v>0</v>
      </c>
      <c r="AH36" s="47">
        <v>0</v>
      </c>
      <c r="AI36" s="47">
        <v>0</v>
      </c>
      <c r="AJ36" s="47">
        <v>0</v>
      </c>
      <c r="AK36" s="47">
        <v>0</v>
      </c>
      <c r="AL36">
        <v>0</v>
      </c>
      <c r="AM36">
        <v>0</v>
      </c>
      <c r="AN36">
        <v>4</v>
      </c>
      <c r="AO36">
        <v>2</v>
      </c>
      <c r="AP36">
        <v>4</v>
      </c>
      <c r="AQ36">
        <v>0</v>
      </c>
      <c r="AR36">
        <v>2</v>
      </c>
      <c r="AS36">
        <v>0</v>
      </c>
      <c r="AT36" t="s">
        <v>193</v>
      </c>
      <c r="AU36" t="s">
        <v>193</v>
      </c>
      <c r="AV36">
        <v>0</v>
      </c>
      <c r="AW36" t="s">
        <v>65</v>
      </c>
      <c r="AX36">
        <v>6</v>
      </c>
      <c r="AY36">
        <v>0</v>
      </c>
      <c r="AZ36" t="s">
        <v>13395</v>
      </c>
      <c r="BA36">
        <v>7.8689999999999996E-2</v>
      </c>
      <c r="BB36">
        <v>-8.3199999999999993E-3</v>
      </c>
      <c r="BC36">
        <v>0</v>
      </c>
      <c r="BD36">
        <v>0</v>
      </c>
      <c r="BE36">
        <v>0</v>
      </c>
      <c r="BF36">
        <v>1</v>
      </c>
      <c r="BG36" t="s">
        <v>69</v>
      </c>
      <c r="BH36">
        <v>-0.84399999999999997</v>
      </c>
      <c r="BI36">
        <v>-1.393</v>
      </c>
    </row>
    <row r="37" spans="3:87">
      <c r="C37">
        <v>0</v>
      </c>
      <c r="D37">
        <v>0</v>
      </c>
      <c r="E37">
        <v>0</v>
      </c>
      <c r="F37" t="s">
        <v>25021</v>
      </c>
      <c r="G37">
        <v>802</v>
      </c>
      <c r="H37" t="s">
        <v>4985</v>
      </c>
      <c r="I37" t="s">
        <v>62</v>
      </c>
      <c r="J37">
        <v>839080</v>
      </c>
      <c r="K37">
        <v>839232</v>
      </c>
      <c r="L37" t="s">
        <v>4672</v>
      </c>
      <c r="M37">
        <v>51</v>
      </c>
      <c r="N37" t="s">
        <v>4986</v>
      </c>
      <c r="O37">
        <v>44</v>
      </c>
      <c r="P37" t="str">
        <f>HYPERLINK("Gene802-zp_tree_all.dnd", "Gene802-tree")</f>
        <v>Gene802-tree</v>
      </c>
      <c r="Q37">
        <v>3</v>
      </c>
      <c r="R37">
        <v>3</v>
      </c>
      <c r="S37">
        <v>3</v>
      </c>
      <c r="T37">
        <v>3</v>
      </c>
      <c r="U37">
        <v>0.5</v>
      </c>
      <c r="V37" t="s">
        <v>324</v>
      </c>
      <c r="W37" t="s">
        <v>324</v>
      </c>
      <c r="X37" t="s">
        <v>62</v>
      </c>
      <c r="Y37" t="s">
        <v>62</v>
      </c>
      <c r="Z37">
        <v>0</v>
      </c>
      <c r="AA37">
        <v>0</v>
      </c>
      <c r="AB37">
        <v>4</v>
      </c>
      <c r="AC37">
        <v>0</v>
      </c>
      <c r="AD37" s="47">
        <v>0</v>
      </c>
      <c r="AE37" s="47">
        <v>0</v>
      </c>
      <c r="AF37" s="47">
        <v>0</v>
      </c>
      <c r="AG37" s="47">
        <v>0</v>
      </c>
      <c r="AH37" s="47">
        <v>0</v>
      </c>
      <c r="AI37" s="47">
        <v>0</v>
      </c>
      <c r="AJ37" s="47">
        <v>0</v>
      </c>
      <c r="AK37" s="47">
        <v>0</v>
      </c>
      <c r="AL37">
        <v>3</v>
      </c>
      <c r="AM37">
        <v>0</v>
      </c>
      <c r="AN37">
        <v>4</v>
      </c>
      <c r="AO37">
        <v>2</v>
      </c>
      <c r="AP37">
        <v>3</v>
      </c>
      <c r="AQ37">
        <v>3</v>
      </c>
      <c r="AR37">
        <v>2</v>
      </c>
      <c r="AS37">
        <v>2</v>
      </c>
      <c r="AT37" t="s">
        <v>4987</v>
      </c>
      <c r="AU37" t="s">
        <v>4988</v>
      </c>
      <c r="AV37">
        <v>7.0000000000000001E-3</v>
      </c>
      <c r="AW37" t="s">
        <v>65</v>
      </c>
      <c r="AX37">
        <v>5</v>
      </c>
      <c r="AY37">
        <v>5</v>
      </c>
      <c r="AZ37" t="s">
        <v>4989</v>
      </c>
      <c r="BA37">
        <v>6.9360000000000005E-2</v>
      </c>
      <c r="BB37">
        <v>-8.8599999999999998E-3</v>
      </c>
      <c r="BC37">
        <v>1.856E-2</v>
      </c>
      <c r="BD37">
        <v>-2.5600000000000002E-3</v>
      </c>
      <c r="BE37">
        <v>0.26756000000000002</v>
      </c>
      <c r="BF37">
        <v>0.99</v>
      </c>
      <c r="BG37" t="s">
        <v>69</v>
      </c>
      <c r="BH37">
        <v>-1.296</v>
      </c>
      <c r="BI37">
        <v>0.21</v>
      </c>
    </row>
    <row r="38" spans="3:87">
      <c r="C38">
        <v>0</v>
      </c>
      <c r="D38">
        <v>0</v>
      </c>
      <c r="E38">
        <v>0</v>
      </c>
      <c r="F38" t="s">
        <v>25021</v>
      </c>
      <c r="G38">
        <v>1514</v>
      </c>
      <c r="H38" t="s">
        <v>9465</v>
      </c>
      <c r="I38" t="s">
        <v>62</v>
      </c>
      <c r="J38">
        <v>1526862</v>
      </c>
      <c r="K38">
        <v>1527017</v>
      </c>
      <c r="L38" t="s">
        <v>9466</v>
      </c>
      <c r="M38">
        <v>52</v>
      </c>
      <c r="N38" t="s">
        <v>108</v>
      </c>
      <c r="O38">
        <v>44</v>
      </c>
      <c r="P38" t="str">
        <f>HYPERLINK("Gene1514-zp_tree_all.dnd", "Gene1514-tree")</f>
        <v>Gene1514-tree</v>
      </c>
      <c r="Q38">
        <v>4</v>
      </c>
      <c r="R38">
        <v>0</v>
      </c>
      <c r="S38">
        <v>4</v>
      </c>
      <c r="T38">
        <v>0</v>
      </c>
      <c r="U38">
        <v>0</v>
      </c>
      <c r="V38" t="s">
        <v>61</v>
      </c>
      <c r="W38" t="s">
        <v>62</v>
      </c>
      <c r="X38" t="s">
        <v>62</v>
      </c>
      <c r="Y38" t="s">
        <v>62</v>
      </c>
      <c r="Z38">
        <v>0</v>
      </c>
      <c r="AA38">
        <v>0</v>
      </c>
      <c r="AB38">
        <v>1</v>
      </c>
      <c r="AC38">
        <v>0</v>
      </c>
      <c r="AD38" s="47">
        <v>0</v>
      </c>
      <c r="AE38" s="47">
        <v>0</v>
      </c>
      <c r="AF38" s="47">
        <v>0</v>
      </c>
      <c r="AG38" s="47">
        <v>1</v>
      </c>
      <c r="AH38" s="47">
        <v>0</v>
      </c>
      <c r="AI38" s="47">
        <v>0</v>
      </c>
      <c r="AJ38" s="47">
        <v>0</v>
      </c>
      <c r="AK38" s="47">
        <v>0</v>
      </c>
      <c r="AL38">
        <v>0</v>
      </c>
      <c r="AM38">
        <v>0</v>
      </c>
      <c r="AN38">
        <v>2</v>
      </c>
      <c r="AO38">
        <v>1</v>
      </c>
      <c r="AP38">
        <v>2</v>
      </c>
      <c r="AQ38">
        <v>0</v>
      </c>
      <c r="AR38">
        <v>0</v>
      </c>
      <c r="AS38">
        <v>1</v>
      </c>
      <c r="AT38" t="s">
        <v>193</v>
      </c>
      <c r="AU38" t="s">
        <v>193</v>
      </c>
      <c r="AV38">
        <v>0</v>
      </c>
      <c r="AW38" t="s">
        <v>65</v>
      </c>
      <c r="AX38">
        <v>2</v>
      </c>
      <c r="AY38">
        <v>1</v>
      </c>
      <c r="AZ38" t="s">
        <v>9467</v>
      </c>
      <c r="BA38">
        <v>2.3019999999999999E-2</v>
      </c>
      <c r="BB38">
        <v>-5.4799999999999996E-3</v>
      </c>
      <c r="BC38">
        <v>6.0099999999999997E-3</v>
      </c>
      <c r="BD38">
        <v>-1.42E-3</v>
      </c>
      <c r="BE38">
        <v>0.26088</v>
      </c>
      <c r="BF38">
        <v>0.86299999999999999</v>
      </c>
      <c r="BG38" t="s">
        <v>635</v>
      </c>
      <c r="BH38">
        <v>-0.13800000000000001</v>
      </c>
      <c r="BI38">
        <v>-0.378</v>
      </c>
    </row>
    <row r="39" spans="3:87">
      <c r="C39">
        <v>0</v>
      </c>
      <c r="D39">
        <v>0</v>
      </c>
      <c r="E39">
        <v>0</v>
      </c>
      <c r="F39" t="s">
        <v>25021</v>
      </c>
      <c r="G39">
        <v>659</v>
      </c>
      <c r="H39" t="s">
        <v>4103</v>
      </c>
      <c r="I39" t="s">
        <v>62</v>
      </c>
      <c r="J39">
        <v>680910</v>
      </c>
      <c r="K39">
        <v>681065</v>
      </c>
      <c r="L39" t="s">
        <v>2302</v>
      </c>
      <c r="M39">
        <v>52</v>
      </c>
      <c r="N39" t="s">
        <v>4005</v>
      </c>
      <c r="O39">
        <v>42</v>
      </c>
      <c r="P39" t="str">
        <f>HYPERLINK("Gene659-zp_tree_all.dnd", "Gene659-tree")</f>
        <v>Gene659-tree</v>
      </c>
      <c r="Q39">
        <v>4</v>
      </c>
      <c r="R39">
        <v>4</v>
      </c>
      <c r="S39">
        <v>4</v>
      </c>
      <c r="T39">
        <v>4</v>
      </c>
      <c r="U39">
        <v>0.5</v>
      </c>
      <c r="V39" t="s">
        <v>61</v>
      </c>
      <c r="W39" t="s">
        <v>61</v>
      </c>
      <c r="X39" t="s">
        <v>62</v>
      </c>
      <c r="Y39" t="s">
        <v>62</v>
      </c>
      <c r="Z39">
        <v>0</v>
      </c>
      <c r="AA39">
        <v>0</v>
      </c>
      <c r="AB39">
        <v>7</v>
      </c>
      <c r="AC39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>
        <v>5</v>
      </c>
      <c r="AM39">
        <v>0</v>
      </c>
      <c r="AN39">
        <v>6</v>
      </c>
      <c r="AO39">
        <v>2</v>
      </c>
      <c r="AP39">
        <v>8</v>
      </c>
      <c r="AQ39">
        <v>5</v>
      </c>
      <c r="AR39">
        <v>2</v>
      </c>
      <c r="AS39">
        <v>2</v>
      </c>
      <c r="AT39" t="s">
        <v>4104</v>
      </c>
      <c r="AU39" t="s">
        <v>4105</v>
      </c>
      <c r="AV39">
        <v>0.38900000000000001</v>
      </c>
      <c r="AW39" t="s">
        <v>65</v>
      </c>
      <c r="AX39">
        <v>10</v>
      </c>
      <c r="AY39">
        <v>7</v>
      </c>
      <c r="AZ39" t="s">
        <v>4106</v>
      </c>
      <c r="BA39">
        <v>8.4760000000000002E-2</v>
      </c>
      <c r="BB39">
        <v>-1.1900000000000001E-2</v>
      </c>
      <c r="BC39">
        <v>1.7690000000000001E-2</v>
      </c>
      <c r="BD39">
        <v>-2.16E-3</v>
      </c>
      <c r="BE39">
        <v>0.20868999999999999</v>
      </c>
      <c r="BF39">
        <v>0.99</v>
      </c>
      <c r="BG39" t="s">
        <v>69</v>
      </c>
      <c r="BH39">
        <v>0.26700000000000002</v>
      </c>
      <c r="BI39">
        <v>1.125</v>
      </c>
    </row>
    <row r="40" spans="3:87">
      <c r="C40">
        <v>0</v>
      </c>
      <c r="D40">
        <v>0</v>
      </c>
      <c r="E40">
        <v>0</v>
      </c>
      <c r="F40" t="s">
        <v>25021</v>
      </c>
      <c r="G40">
        <v>4156</v>
      </c>
      <c r="H40" t="s">
        <v>24470</v>
      </c>
      <c r="I40" t="s">
        <v>57</v>
      </c>
      <c r="J40">
        <v>4123931</v>
      </c>
      <c r="K40">
        <v>4124086</v>
      </c>
      <c r="L40" t="s">
        <v>2302</v>
      </c>
      <c r="M40">
        <v>52</v>
      </c>
      <c r="N40" t="s">
        <v>24471</v>
      </c>
      <c r="O40">
        <v>35</v>
      </c>
      <c r="P40" t="str">
        <f>HYPERLINK("Gene4156-zp_tree_all.dnd", "Gene4156-tree")</f>
        <v>Gene4156-tree</v>
      </c>
      <c r="Q40">
        <v>4</v>
      </c>
      <c r="R40">
        <v>6</v>
      </c>
      <c r="S40">
        <v>4</v>
      </c>
      <c r="T40">
        <v>6</v>
      </c>
      <c r="U40">
        <v>0.6</v>
      </c>
      <c r="V40" t="s">
        <v>61</v>
      </c>
      <c r="W40" t="s">
        <v>90</v>
      </c>
      <c r="X40" t="s">
        <v>62</v>
      </c>
      <c r="Y40" t="s">
        <v>62</v>
      </c>
      <c r="Z40">
        <v>0</v>
      </c>
      <c r="AA40">
        <v>0</v>
      </c>
      <c r="AB40">
        <v>10</v>
      </c>
      <c r="AC40">
        <v>0</v>
      </c>
      <c r="AD40" s="47">
        <v>0</v>
      </c>
      <c r="AE40" s="47">
        <v>0</v>
      </c>
      <c r="AF40" s="47">
        <v>0</v>
      </c>
      <c r="AG40" s="47">
        <v>0</v>
      </c>
      <c r="AH40" s="47">
        <v>0</v>
      </c>
      <c r="AI40" s="47">
        <v>0</v>
      </c>
      <c r="AJ40" s="47">
        <v>0</v>
      </c>
      <c r="AK40" s="47">
        <v>0</v>
      </c>
      <c r="AL40">
        <v>9</v>
      </c>
      <c r="AM40">
        <v>0</v>
      </c>
      <c r="AN40">
        <v>7</v>
      </c>
      <c r="AO40">
        <v>4</v>
      </c>
      <c r="AP40">
        <v>8</v>
      </c>
      <c r="AQ40">
        <v>8</v>
      </c>
      <c r="AR40">
        <v>6</v>
      </c>
      <c r="AS40">
        <v>2</v>
      </c>
      <c r="AT40" t="s">
        <v>24472</v>
      </c>
      <c r="AU40" t="s">
        <v>24473</v>
      </c>
      <c r="AV40">
        <v>0.93700000000000006</v>
      </c>
      <c r="AW40" t="s">
        <v>65</v>
      </c>
      <c r="AX40">
        <v>14</v>
      </c>
      <c r="AY40">
        <v>10</v>
      </c>
      <c r="AZ40" t="s">
        <v>24474</v>
      </c>
      <c r="BA40">
        <v>0.1157</v>
      </c>
      <c r="BB40">
        <v>-1.112E-2</v>
      </c>
      <c r="BC40">
        <v>1.89E-2</v>
      </c>
      <c r="BD40">
        <v>-1.72E-3</v>
      </c>
      <c r="BE40">
        <v>0.16336000000000001</v>
      </c>
      <c r="BF40">
        <v>1</v>
      </c>
      <c r="BG40" t="s">
        <v>69</v>
      </c>
      <c r="BH40">
        <v>-0.96499999999999997</v>
      </c>
      <c r="BI40">
        <v>-1.1160000000000001</v>
      </c>
    </row>
    <row r="41" spans="3:87">
      <c r="C41">
        <v>0</v>
      </c>
      <c r="D41">
        <v>0</v>
      </c>
      <c r="E41">
        <v>0</v>
      </c>
      <c r="F41" t="s">
        <v>25021</v>
      </c>
      <c r="G41">
        <v>3959</v>
      </c>
      <c r="H41" t="s">
        <v>23259</v>
      </c>
      <c r="I41" t="s">
        <v>57</v>
      </c>
      <c r="J41">
        <v>3923319</v>
      </c>
      <c r="K41">
        <v>3923474</v>
      </c>
      <c r="L41" t="s">
        <v>23260</v>
      </c>
      <c r="M41">
        <v>52</v>
      </c>
      <c r="N41" t="s">
        <v>108</v>
      </c>
      <c r="O41">
        <v>44</v>
      </c>
      <c r="P41" t="str">
        <f>HYPERLINK("Gene3959-zp_tree_all.dnd", "Gene3959-tree")</f>
        <v>Gene3959-tree</v>
      </c>
      <c r="Q41">
        <v>24</v>
      </c>
      <c r="R41">
        <v>0</v>
      </c>
      <c r="S41">
        <v>4</v>
      </c>
      <c r="T41">
        <v>0</v>
      </c>
      <c r="U41">
        <v>0</v>
      </c>
      <c r="V41" t="s">
        <v>1495</v>
      </c>
      <c r="W41" t="s">
        <v>62</v>
      </c>
      <c r="X41" t="s">
        <v>62</v>
      </c>
      <c r="Y41" t="s">
        <v>62</v>
      </c>
      <c r="Z41">
        <v>0</v>
      </c>
      <c r="AA41">
        <v>0</v>
      </c>
      <c r="AB41">
        <v>1</v>
      </c>
      <c r="AC41">
        <v>0</v>
      </c>
      <c r="AD41" s="47">
        <v>0</v>
      </c>
      <c r="AE41" s="47">
        <v>0</v>
      </c>
      <c r="AF41" s="47">
        <v>0</v>
      </c>
      <c r="AG41" s="47">
        <v>1</v>
      </c>
      <c r="AH41" s="47">
        <v>0</v>
      </c>
      <c r="AI41" s="47">
        <v>0</v>
      </c>
      <c r="AJ41" s="47">
        <v>0</v>
      </c>
      <c r="AK41" s="47">
        <v>0</v>
      </c>
      <c r="AL41">
        <v>0</v>
      </c>
      <c r="AM41">
        <v>0</v>
      </c>
      <c r="AN41">
        <v>2</v>
      </c>
      <c r="AO41">
        <v>1</v>
      </c>
      <c r="AP41">
        <v>2</v>
      </c>
      <c r="AQ41">
        <v>0</v>
      </c>
      <c r="AR41">
        <v>0</v>
      </c>
      <c r="AS41">
        <v>1</v>
      </c>
      <c r="AT41" t="s">
        <v>193</v>
      </c>
      <c r="AU41" t="s">
        <v>193</v>
      </c>
      <c r="AV41">
        <v>0</v>
      </c>
      <c r="AW41" t="s">
        <v>65</v>
      </c>
      <c r="AX41">
        <v>2</v>
      </c>
      <c r="AY41">
        <v>1</v>
      </c>
      <c r="AZ41" t="s">
        <v>9467</v>
      </c>
      <c r="BA41">
        <v>3.517E-2</v>
      </c>
      <c r="BB41">
        <v>-8.43E-3</v>
      </c>
      <c r="BC41">
        <v>5.2900000000000004E-3</v>
      </c>
      <c r="BD41">
        <v>-1.25E-3</v>
      </c>
      <c r="BE41">
        <v>0.15043000000000001</v>
      </c>
      <c r="BF41">
        <v>0.90700000000000003</v>
      </c>
      <c r="BG41" t="s">
        <v>635</v>
      </c>
      <c r="BH41">
        <v>-0.13800000000000001</v>
      </c>
      <c r="BI41">
        <v>-0.378</v>
      </c>
    </row>
    <row r="42" spans="3:87">
      <c r="C42">
        <v>0</v>
      </c>
      <c r="D42">
        <v>0</v>
      </c>
      <c r="E42">
        <v>2</v>
      </c>
      <c r="F42" t="s">
        <v>25021</v>
      </c>
      <c r="G42">
        <v>3189</v>
      </c>
      <c r="H42" t="s">
        <v>18558</v>
      </c>
      <c r="I42" t="s">
        <v>57</v>
      </c>
      <c r="J42">
        <v>3141900</v>
      </c>
      <c r="K42">
        <v>3142055</v>
      </c>
      <c r="L42" t="s">
        <v>116</v>
      </c>
      <c r="M42">
        <v>52</v>
      </c>
      <c r="N42" t="s">
        <v>59</v>
      </c>
      <c r="O42">
        <v>49</v>
      </c>
      <c r="P42" t="str">
        <f>HYPERLINK("Gene3189-zp_tree_all.dnd", "Gene3189-tree")</f>
        <v>Gene3189-tree</v>
      </c>
      <c r="Q42">
        <v>41</v>
      </c>
      <c r="R42">
        <v>2</v>
      </c>
      <c r="S42">
        <v>4</v>
      </c>
      <c r="T42">
        <v>2</v>
      </c>
      <c r="U42">
        <v>0.33333000000000002</v>
      </c>
      <c r="V42" t="s">
        <v>18559</v>
      </c>
      <c r="W42" t="s">
        <v>81</v>
      </c>
      <c r="X42" t="s">
        <v>62</v>
      </c>
      <c r="Y42" t="s">
        <v>62</v>
      </c>
      <c r="Z42">
        <v>1</v>
      </c>
      <c r="AA42">
        <v>2</v>
      </c>
      <c r="AB42">
        <v>2</v>
      </c>
      <c r="AC42">
        <v>0.5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>
        <v>2</v>
      </c>
      <c r="AM42">
        <v>0</v>
      </c>
      <c r="AN42">
        <v>4</v>
      </c>
      <c r="AO42">
        <v>3</v>
      </c>
      <c r="AP42">
        <v>2</v>
      </c>
      <c r="AQ42">
        <v>2</v>
      </c>
      <c r="AR42">
        <v>5</v>
      </c>
      <c r="AS42">
        <v>2</v>
      </c>
      <c r="AT42" t="s">
        <v>18560</v>
      </c>
      <c r="AU42" t="s">
        <v>18561</v>
      </c>
      <c r="AV42">
        <v>0.59799999999999998</v>
      </c>
      <c r="AW42" t="s">
        <v>65</v>
      </c>
      <c r="AX42">
        <v>7</v>
      </c>
      <c r="AY42">
        <v>4</v>
      </c>
      <c r="AZ42" t="s">
        <v>18562</v>
      </c>
      <c r="BA42">
        <v>0.10105</v>
      </c>
      <c r="BB42">
        <v>-1.3050000000000001E-2</v>
      </c>
      <c r="BC42">
        <v>1.4290000000000001E-2</v>
      </c>
      <c r="BD42">
        <v>-1.83E-3</v>
      </c>
      <c r="BE42">
        <v>0.14137</v>
      </c>
      <c r="BF42">
        <v>0.95799999999999996</v>
      </c>
      <c r="BG42" t="s">
        <v>69</v>
      </c>
      <c r="BH42">
        <v>-1.115</v>
      </c>
      <c r="BI42">
        <v>0.04</v>
      </c>
    </row>
    <row r="43" spans="3:87">
      <c r="C43">
        <v>0</v>
      </c>
      <c r="D43">
        <v>0</v>
      </c>
      <c r="E43">
        <v>0</v>
      </c>
      <c r="F43" t="s">
        <v>25021</v>
      </c>
      <c r="G43">
        <v>2673</v>
      </c>
      <c r="H43" t="s">
        <v>15680</v>
      </c>
      <c r="I43" t="s">
        <v>57</v>
      </c>
      <c r="J43">
        <v>2647456</v>
      </c>
      <c r="K43">
        <v>2647611</v>
      </c>
      <c r="L43" t="s">
        <v>15681</v>
      </c>
      <c r="M43">
        <v>52</v>
      </c>
      <c r="N43" t="s">
        <v>59</v>
      </c>
      <c r="O43">
        <v>49</v>
      </c>
      <c r="P43" t="str">
        <f>HYPERLINK("Gene2673-zp_tree_all.dnd", "Gene2673-tree")</f>
        <v>Gene2673-tree</v>
      </c>
      <c r="Q43">
        <v>25</v>
      </c>
      <c r="R43">
        <v>0</v>
      </c>
      <c r="S43">
        <v>5</v>
      </c>
      <c r="T43">
        <v>0</v>
      </c>
      <c r="U43">
        <v>0</v>
      </c>
      <c r="V43" t="s">
        <v>4839</v>
      </c>
      <c r="W43" t="s">
        <v>62</v>
      </c>
      <c r="X43" t="s">
        <v>62</v>
      </c>
      <c r="Y43" t="s">
        <v>62</v>
      </c>
      <c r="Z43">
        <v>0</v>
      </c>
      <c r="AA43">
        <v>0</v>
      </c>
      <c r="AB43">
        <v>0</v>
      </c>
      <c r="AC43">
        <v>0</v>
      </c>
      <c r="AD43" s="47">
        <v>0</v>
      </c>
      <c r="AE43" s="47">
        <v>0</v>
      </c>
      <c r="AF43" s="47">
        <v>0</v>
      </c>
      <c r="AG43" s="47">
        <v>0</v>
      </c>
      <c r="AH43" s="47">
        <v>0</v>
      </c>
      <c r="AI43" s="47">
        <v>0</v>
      </c>
      <c r="AJ43" s="47">
        <v>0</v>
      </c>
      <c r="AK43" s="47">
        <v>0</v>
      </c>
      <c r="AL43">
        <v>0</v>
      </c>
      <c r="AM43">
        <v>0</v>
      </c>
      <c r="AN43">
        <v>3</v>
      </c>
      <c r="AO43">
        <v>1</v>
      </c>
      <c r="AP43">
        <v>3</v>
      </c>
      <c r="AQ43">
        <v>0</v>
      </c>
      <c r="AR43">
        <v>1</v>
      </c>
      <c r="AS43">
        <v>0</v>
      </c>
      <c r="AT43" t="s">
        <v>193</v>
      </c>
      <c r="AU43" t="s">
        <v>193</v>
      </c>
      <c r="AV43">
        <v>0</v>
      </c>
      <c r="AW43" t="s">
        <v>65</v>
      </c>
      <c r="AX43">
        <v>4</v>
      </c>
      <c r="AY43">
        <v>0</v>
      </c>
      <c r="AZ43" t="s">
        <v>15682</v>
      </c>
      <c r="BA43">
        <v>5.7639999999999997E-2</v>
      </c>
      <c r="BB43">
        <v>-7.8700000000000003E-3</v>
      </c>
      <c r="BC43">
        <v>0</v>
      </c>
      <c r="BD43">
        <v>0</v>
      </c>
      <c r="BE43">
        <v>0</v>
      </c>
      <c r="BF43">
        <v>1</v>
      </c>
      <c r="BG43" t="s">
        <v>69</v>
      </c>
      <c r="BH43">
        <v>-0.58499999999999996</v>
      </c>
      <c r="BI43">
        <v>-1.1919999999999999</v>
      </c>
    </row>
    <row r="44" spans="3:87">
      <c r="C44">
        <v>0</v>
      </c>
      <c r="D44">
        <v>0</v>
      </c>
      <c r="E44">
        <v>0</v>
      </c>
      <c r="F44" t="s">
        <v>25021</v>
      </c>
      <c r="G44">
        <v>1456</v>
      </c>
      <c r="H44" t="s">
        <v>9120</v>
      </c>
      <c r="I44" t="s">
        <v>62</v>
      </c>
      <c r="J44">
        <v>1473243</v>
      </c>
      <c r="K44">
        <v>1473401</v>
      </c>
      <c r="L44" t="s">
        <v>2302</v>
      </c>
      <c r="M44">
        <v>53</v>
      </c>
      <c r="N44" t="s">
        <v>698</v>
      </c>
      <c r="O44">
        <v>47</v>
      </c>
      <c r="P44" t="str">
        <f>HYPERLINK("Gene1456-zp_tree_all.dnd", "Gene1456-tree")</f>
        <v>Gene1456-tree</v>
      </c>
      <c r="Q44">
        <v>2</v>
      </c>
      <c r="R44">
        <v>2</v>
      </c>
      <c r="S44">
        <v>2</v>
      </c>
      <c r="T44">
        <v>2</v>
      </c>
      <c r="U44">
        <v>0.5</v>
      </c>
      <c r="V44" t="s">
        <v>81</v>
      </c>
      <c r="W44" t="s">
        <v>81</v>
      </c>
      <c r="X44" t="s">
        <v>62</v>
      </c>
      <c r="Y44" t="s">
        <v>62</v>
      </c>
      <c r="Z44">
        <v>0</v>
      </c>
      <c r="AA44">
        <v>0</v>
      </c>
      <c r="AB44">
        <v>4</v>
      </c>
      <c r="AC44">
        <v>0</v>
      </c>
      <c r="AD44" s="47">
        <v>0</v>
      </c>
      <c r="AE44" s="47">
        <v>0</v>
      </c>
      <c r="AF44" s="47">
        <v>0</v>
      </c>
      <c r="AG44" s="47">
        <v>0</v>
      </c>
      <c r="AH44" s="47">
        <v>0</v>
      </c>
      <c r="AI44" s="47">
        <v>0</v>
      </c>
      <c r="AJ44" s="47">
        <v>0</v>
      </c>
      <c r="AK44" s="47">
        <v>0</v>
      </c>
      <c r="AL44">
        <v>4</v>
      </c>
      <c r="AM44">
        <v>0</v>
      </c>
      <c r="AN44">
        <v>3</v>
      </c>
      <c r="AO44">
        <v>0</v>
      </c>
      <c r="AP44">
        <v>6</v>
      </c>
      <c r="AQ44">
        <v>4</v>
      </c>
      <c r="AR44">
        <v>0</v>
      </c>
      <c r="AS44">
        <v>0</v>
      </c>
      <c r="AT44" t="s">
        <v>9121</v>
      </c>
      <c r="AU44" t="s">
        <v>193</v>
      </c>
      <c r="AV44">
        <v>0.82499999999999996</v>
      </c>
      <c r="AW44" t="s">
        <v>65</v>
      </c>
      <c r="AX44">
        <v>6</v>
      </c>
      <c r="AY44">
        <v>4</v>
      </c>
      <c r="AZ44" t="s">
        <v>9122</v>
      </c>
      <c r="BA44">
        <v>0.10818</v>
      </c>
      <c r="BB44">
        <v>-3.5979999999999998E-2</v>
      </c>
      <c r="BC44">
        <v>1.5900000000000001E-2</v>
      </c>
      <c r="BD44">
        <v>-4.6100000000000004E-3</v>
      </c>
      <c r="BE44">
        <v>0.14693999999999999</v>
      </c>
      <c r="BF44">
        <v>0.98899999999999999</v>
      </c>
      <c r="BG44" t="s">
        <v>69</v>
      </c>
      <c r="BH44">
        <v>-1.484</v>
      </c>
      <c r="BI44">
        <v>0.79500000000000004</v>
      </c>
    </row>
    <row r="45" spans="3:87">
      <c r="C45">
        <v>0</v>
      </c>
      <c r="D45">
        <v>0</v>
      </c>
      <c r="E45">
        <v>0</v>
      </c>
      <c r="F45" t="s">
        <v>25021</v>
      </c>
      <c r="G45">
        <v>3874</v>
      </c>
      <c r="H45" t="s">
        <v>22717</v>
      </c>
      <c r="I45" t="s">
        <v>57</v>
      </c>
      <c r="J45">
        <v>3837682</v>
      </c>
      <c r="K45">
        <v>3837840</v>
      </c>
      <c r="L45" t="s">
        <v>22718</v>
      </c>
      <c r="M45">
        <v>53</v>
      </c>
      <c r="N45" t="s">
        <v>59</v>
      </c>
      <c r="O45">
        <v>49</v>
      </c>
      <c r="P45" t="str">
        <f>HYPERLINK("Gene3874-zp_tree_all.dnd", "Gene3874-tree")</f>
        <v>Gene3874-tree</v>
      </c>
      <c r="Q45">
        <v>6</v>
      </c>
      <c r="R45">
        <v>3</v>
      </c>
      <c r="S45">
        <v>6</v>
      </c>
      <c r="T45">
        <v>3</v>
      </c>
      <c r="U45">
        <v>0.33333000000000002</v>
      </c>
      <c r="V45" t="s">
        <v>90</v>
      </c>
      <c r="W45" t="s">
        <v>324</v>
      </c>
      <c r="X45" t="s">
        <v>62</v>
      </c>
      <c r="Y45" t="s">
        <v>62</v>
      </c>
      <c r="Z45">
        <v>0</v>
      </c>
      <c r="AA45">
        <v>0</v>
      </c>
      <c r="AB45">
        <v>3</v>
      </c>
      <c r="AC45">
        <v>0</v>
      </c>
      <c r="AD45" s="47">
        <v>0</v>
      </c>
      <c r="AE45" s="47">
        <v>0</v>
      </c>
      <c r="AF45" s="47">
        <v>0</v>
      </c>
      <c r="AG45" s="47">
        <v>0</v>
      </c>
      <c r="AH45" s="47">
        <v>0</v>
      </c>
      <c r="AI45" s="47">
        <v>0</v>
      </c>
      <c r="AJ45" s="47">
        <v>0</v>
      </c>
      <c r="AK45" s="47">
        <v>0</v>
      </c>
      <c r="AL45">
        <v>2</v>
      </c>
      <c r="AM45">
        <v>0</v>
      </c>
      <c r="AN45">
        <v>5</v>
      </c>
      <c r="AO45">
        <v>5</v>
      </c>
      <c r="AP45">
        <v>4</v>
      </c>
      <c r="AQ45">
        <v>2</v>
      </c>
      <c r="AR45">
        <v>5</v>
      </c>
      <c r="AS45">
        <v>1</v>
      </c>
      <c r="AT45" t="s">
        <v>22719</v>
      </c>
      <c r="AU45" t="s">
        <v>22720</v>
      </c>
      <c r="AV45">
        <v>0.45100000000000001</v>
      </c>
      <c r="AW45" t="s">
        <v>65</v>
      </c>
      <c r="AX45">
        <v>9</v>
      </c>
      <c r="AY45">
        <v>3</v>
      </c>
      <c r="AZ45" t="s">
        <v>22721</v>
      </c>
      <c r="BA45">
        <v>6.8970000000000004E-2</v>
      </c>
      <c r="BB45">
        <v>-6.2599999999999999E-3</v>
      </c>
      <c r="BC45">
        <v>7.1300000000000001E-3</v>
      </c>
      <c r="BD45">
        <v>-1.1900000000000001E-3</v>
      </c>
      <c r="BE45">
        <v>0.10337</v>
      </c>
      <c r="BF45">
        <v>1</v>
      </c>
      <c r="BG45" t="s">
        <v>69</v>
      </c>
      <c r="BH45">
        <v>-1.492</v>
      </c>
      <c r="BI45">
        <v>-1.0449999999999999</v>
      </c>
    </row>
    <row r="46" spans="3:87">
      <c r="C46">
        <v>0</v>
      </c>
      <c r="D46">
        <v>0</v>
      </c>
      <c r="E46">
        <v>0</v>
      </c>
      <c r="F46" t="s">
        <v>25021</v>
      </c>
      <c r="G46">
        <v>411</v>
      </c>
      <c r="H46" t="s">
        <v>2789</v>
      </c>
      <c r="I46" t="s">
        <v>62</v>
      </c>
      <c r="J46">
        <v>455774</v>
      </c>
      <c r="K46">
        <v>455935</v>
      </c>
      <c r="L46" t="s">
        <v>116</v>
      </c>
      <c r="M46">
        <v>54</v>
      </c>
      <c r="N46" t="s">
        <v>1174</v>
      </c>
      <c r="O46">
        <v>42</v>
      </c>
      <c r="P46" t="str">
        <f>HYPERLINK("Gene411-zp_tree_all.dnd", "Gene411-tree")</f>
        <v>Gene411-tree</v>
      </c>
      <c r="Q46">
        <v>0</v>
      </c>
      <c r="R46">
        <v>5</v>
      </c>
      <c r="S46">
        <v>0</v>
      </c>
      <c r="T46">
        <v>5</v>
      </c>
      <c r="U46">
        <v>1</v>
      </c>
      <c r="V46" t="s">
        <v>62</v>
      </c>
      <c r="W46" t="s">
        <v>199</v>
      </c>
      <c r="X46" t="s">
        <v>62</v>
      </c>
      <c r="Y46" t="s">
        <v>62</v>
      </c>
      <c r="Z46">
        <v>0</v>
      </c>
      <c r="AA46">
        <v>0</v>
      </c>
      <c r="AB46">
        <v>4</v>
      </c>
      <c r="AC46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>
        <v>4</v>
      </c>
      <c r="AM46">
        <v>0</v>
      </c>
      <c r="AN46">
        <v>3</v>
      </c>
      <c r="AO46">
        <v>1</v>
      </c>
      <c r="AP46">
        <v>1</v>
      </c>
      <c r="AQ46">
        <v>3</v>
      </c>
      <c r="AR46">
        <v>0</v>
      </c>
      <c r="AS46">
        <v>1</v>
      </c>
      <c r="AT46" t="s">
        <v>2790</v>
      </c>
      <c r="AU46" t="s">
        <v>193</v>
      </c>
      <c r="AV46">
        <v>0.86599999999999999</v>
      </c>
      <c r="AW46" t="s">
        <v>65</v>
      </c>
      <c r="AX46">
        <v>1</v>
      </c>
      <c r="AY46">
        <v>4</v>
      </c>
      <c r="AZ46" t="s">
        <v>2791</v>
      </c>
      <c r="BA46">
        <v>1.5350000000000001E-2</v>
      </c>
      <c r="BB46">
        <v>-5.94E-3</v>
      </c>
      <c r="BC46">
        <v>1.345E-2</v>
      </c>
      <c r="BD46">
        <v>-1.7799999999999999E-3</v>
      </c>
      <c r="BE46">
        <v>0.87614999999999998</v>
      </c>
      <c r="BF46">
        <v>0.254</v>
      </c>
      <c r="BG46" t="s">
        <v>635</v>
      </c>
      <c r="BH46">
        <v>-1.121</v>
      </c>
      <c r="BI46">
        <v>-1.6910000000000001</v>
      </c>
    </row>
    <row r="47" spans="3:87">
      <c r="C47">
        <v>0</v>
      </c>
      <c r="D47">
        <v>0</v>
      </c>
      <c r="E47">
        <v>0</v>
      </c>
      <c r="F47" t="s">
        <v>25021</v>
      </c>
      <c r="G47">
        <v>462</v>
      </c>
      <c r="H47" t="s">
        <v>3135</v>
      </c>
      <c r="I47" t="s">
        <v>62</v>
      </c>
      <c r="J47">
        <v>506458</v>
      </c>
      <c r="K47">
        <v>506619</v>
      </c>
      <c r="L47" t="s">
        <v>3129</v>
      </c>
      <c r="M47">
        <v>54</v>
      </c>
      <c r="N47" t="s">
        <v>59</v>
      </c>
      <c r="O47">
        <v>49</v>
      </c>
      <c r="P47" t="str">
        <f>HYPERLINK("Gene462-zp_tree_all.dnd", "Gene462-tree")</f>
        <v>Gene462-tree</v>
      </c>
      <c r="Q47">
        <v>9</v>
      </c>
      <c r="R47">
        <v>2</v>
      </c>
      <c r="S47">
        <v>9</v>
      </c>
      <c r="T47">
        <v>2</v>
      </c>
      <c r="U47">
        <v>0.18182000000000001</v>
      </c>
      <c r="V47" t="s">
        <v>135</v>
      </c>
      <c r="W47" t="s">
        <v>81</v>
      </c>
      <c r="X47" t="s">
        <v>62</v>
      </c>
      <c r="Y47" t="s">
        <v>62</v>
      </c>
      <c r="Z47">
        <v>0</v>
      </c>
      <c r="AA47">
        <v>0</v>
      </c>
      <c r="AB47">
        <v>4</v>
      </c>
      <c r="AC47">
        <v>0</v>
      </c>
      <c r="AD47" s="47">
        <v>0</v>
      </c>
      <c r="AE47" s="47">
        <v>0</v>
      </c>
      <c r="AF47" s="47">
        <v>0</v>
      </c>
      <c r="AG47" s="47">
        <v>2</v>
      </c>
      <c r="AH47" s="47">
        <v>0</v>
      </c>
      <c r="AI47" s="47">
        <v>0</v>
      </c>
      <c r="AJ47" s="47">
        <v>0</v>
      </c>
      <c r="AK47" s="47">
        <v>0</v>
      </c>
      <c r="AL47">
        <v>2</v>
      </c>
      <c r="AM47">
        <v>0</v>
      </c>
      <c r="AN47">
        <v>7</v>
      </c>
      <c r="AO47">
        <v>5</v>
      </c>
      <c r="AP47">
        <v>5</v>
      </c>
      <c r="AQ47">
        <v>2</v>
      </c>
      <c r="AR47">
        <v>3</v>
      </c>
      <c r="AS47">
        <v>2</v>
      </c>
      <c r="AT47" t="s">
        <v>3136</v>
      </c>
      <c r="AU47" t="s">
        <v>3137</v>
      </c>
      <c r="AV47">
        <v>0.34200000000000003</v>
      </c>
      <c r="AW47" t="s">
        <v>65</v>
      </c>
      <c r="AX47">
        <v>8</v>
      </c>
      <c r="AY47">
        <v>4</v>
      </c>
      <c r="AZ47" t="s">
        <v>3138</v>
      </c>
      <c r="BA47">
        <v>5.5960000000000003E-2</v>
      </c>
      <c r="BB47">
        <v>-5.1900000000000002E-3</v>
      </c>
      <c r="BC47">
        <v>8.9999999999999993E-3</v>
      </c>
      <c r="BD47">
        <v>-8.3000000000000001E-4</v>
      </c>
      <c r="BE47">
        <v>0.16091</v>
      </c>
      <c r="BF47">
        <v>0.97899999999999998</v>
      </c>
      <c r="BG47" t="s">
        <v>69</v>
      </c>
      <c r="BH47">
        <v>-0.95</v>
      </c>
      <c r="BI47">
        <v>-0.434</v>
      </c>
    </row>
    <row r="48" spans="3:87">
      <c r="C48">
        <v>0</v>
      </c>
      <c r="D48">
        <v>0</v>
      </c>
      <c r="E48">
        <v>0</v>
      </c>
      <c r="F48" t="s">
        <v>25021</v>
      </c>
      <c r="G48">
        <v>1192</v>
      </c>
      <c r="H48" t="s">
        <v>7497</v>
      </c>
      <c r="I48" t="s">
        <v>62</v>
      </c>
      <c r="J48">
        <v>1233136</v>
      </c>
      <c r="K48">
        <v>1233300</v>
      </c>
      <c r="L48" t="s">
        <v>288</v>
      </c>
      <c r="M48">
        <v>55</v>
      </c>
      <c r="N48" t="s">
        <v>409</v>
      </c>
      <c r="O48">
        <v>45</v>
      </c>
      <c r="P48" t="str">
        <f>HYPERLINK("Gene1192-zp_tree_all.dnd", "Gene1192-tree")</f>
        <v>Gene1192-tree</v>
      </c>
      <c r="Q48">
        <v>7</v>
      </c>
      <c r="R48">
        <v>1</v>
      </c>
      <c r="S48">
        <v>7</v>
      </c>
      <c r="T48">
        <v>1</v>
      </c>
      <c r="U48">
        <v>0.125</v>
      </c>
      <c r="V48" t="s">
        <v>152</v>
      </c>
      <c r="W48" t="s">
        <v>175</v>
      </c>
      <c r="X48" t="s">
        <v>62</v>
      </c>
      <c r="Y48" t="s">
        <v>62</v>
      </c>
      <c r="Z48">
        <v>0</v>
      </c>
      <c r="AA48">
        <v>0</v>
      </c>
      <c r="AB48">
        <v>2</v>
      </c>
      <c r="AC48">
        <v>0</v>
      </c>
      <c r="AD48" s="47">
        <v>0</v>
      </c>
      <c r="AE48" s="47">
        <v>0</v>
      </c>
      <c r="AF48" s="47">
        <v>0</v>
      </c>
      <c r="AG48" s="47">
        <v>0</v>
      </c>
      <c r="AH48" s="47">
        <v>0</v>
      </c>
      <c r="AI48" s="47">
        <v>0</v>
      </c>
      <c r="AJ48" s="47">
        <v>0</v>
      </c>
      <c r="AK48" s="47">
        <v>0</v>
      </c>
      <c r="AL48">
        <v>2</v>
      </c>
      <c r="AM48">
        <v>0</v>
      </c>
      <c r="AN48">
        <v>6</v>
      </c>
      <c r="AO48">
        <v>2</v>
      </c>
      <c r="AP48">
        <v>9</v>
      </c>
      <c r="AQ48">
        <v>2</v>
      </c>
      <c r="AR48">
        <v>4</v>
      </c>
      <c r="AS48">
        <v>0</v>
      </c>
      <c r="AT48" t="s">
        <v>7498</v>
      </c>
      <c r="AU48" t="s">
        <v>193</v>
      </c>
      <c r="AV48">
        <v>0.46400000000000002</v>
      </c>
      <c r="AW48" t="s">
        <v>65</v>
      </c>
      <c r="AX48">
        <v>13</v>
      </c>
      <c r="AY48">
        <v>2</v>
      </c>
      <c r="AZ48" t="s">
        <v>7499</v>
      </c>
      <c r="BA48">
        <v>0.10723000000000001</v>
      </c>
      <c r="BB48">
        <v>-1.0880000000000001E-2</v>
      </c>
      <c r="BC48">
        <v>4.0000000000000001E-3</v>
      </c>
      <c r="BD48">
        <v>-1.31E-3</v>
      </c>
      <c r="BE48">
        <v>3.7289999999999997E-2</v>
      </c>
      <c r="BF48">
        <v>1</v>
      </c>
      <c r="BG48" t="s">
        <v>69</v>
      </c>
      <c r="BH48">
        <v>-1.3109999999999999</v>
      </c>
      <c r="BI48">
        <v>-1.9650000000000001</v>
      </c>
    </row>
    <row r="49" spans="3:61">
      <c r="C49">
        <v>0</v>
      </c>
      <c r="D49">
        <v>0</v>
      </c>
      <c r="E49">
        <v>0</v>
      </c>
      <c r="F49" t="s">
        <v>25021</v>
      </c>
      <c r="G49">
        <v>1255</v>
      </c>
      <c r="H49" t="s">
        <v>7866</v>
      </c>
      <c r="I49" t="s">
        <v>62</v>
      </c>
      <c r="J49">
        <v>1283172</v>
      </c>
      <c r="K49">
        <v>1283336</v>
      </c>
      <c r="L49" t="s">
        <v>288</v>
      </c>
      <c r="M49">
        <v>55</v>
      </c>
      <c r="N49" t="s">
        <v>108</v>
      </c>
      <c r="O49">
        <v>44</v>
      </c>
      <c r="P49" t="str">
        <f>HYPERLINK("Gene1255-zp_tree_all.dnd", "Gene1255-tree")</f>
        <v>Gene1255-tree</v>
      </c>
      <c r="Q49">
        <v>8</v>
      </c>
      <c r="R49">
        <v>1</v>
      </c>
      <c r="S49">
        <v>8</v>
      </c>
      <c r="T49">
        <v>1</v>
      </c>
      <c r="U49">
        <v>0.11111</v>
      </c>
      <c r="V49" t="s">
        <v>136</v>
      </c>
      <c r="W49" t="s">
        <v>175</v>
      </c>
      <c r="X49" t="s">
        <v>62</v>
      </c>
      <c r="Y49" t="s">
        <v>62</v>
      </c>
      <c r="Z49">
        <v>0</v>
      </c>
      <c r="AA49">
        <v>0</v>
      </c>
      <c r="AB49">
        <v>1</v>
      </c>
      <c r="AC49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>
        <v>1</v>
      </c>
      <c r="AM49">
        <v>0</v>
      </c>
      <c r="AN49">
        <v>4</v>
      </c>
      <c r="AO49">
        <v>5</v>
      </c>
      <c r="AP49">
        <v>5</v>
      </c>
      <c r="AQ49">
        <v>1</v>
      </c>
      <c r="AR49">
        <v>7</v>
      </c>
      <c r="AS49">
        <v>0</v>
      </c>
      <c r="AT49" t="s">
        <v>7867</v>
      </c>
      <c r="AU49" t="s">
        <v>193</v>
      </c>
      <c r="AV49">
        <v>0.58099999999999996</v>
      </c>
      <c r="AW49" t="s">
        <v>65</v>
      </c>
      <c r="AX49">
        <v>12</v>
      </c>
      <c r="AY49">
        <v>1</v>
      </c>
      <c r="AZ49" t="s">
        <v>7868</v>
      </c>
      <c r="BA49">
        <v>0.13055</v>
      </c>
      <c r="BB49">
        <v>-1.238E-2</v>
      </c>
      <c r="BC49">
        <v>1.7600000000000001E-3</v>
      </c>
      <c r="BD49">
        <v>-5.5000000000000003E-4</v>
      </c>
      <c r="BE49">
        <v>1.345E-2</v>
      </c>
      <c r="BF49">
        <v>1</v>
      </c>
      <c r="BG49" t="s">
        <v>69</v>
      </c>
      <c r="BH49">
        <v>1.7629999999999999</v>
      </c>
      <c r="BI49">
        <v>1.4410000000000001</v>
      </c>
    </row>
    <row r="50" spans="3:61">
      <c r="C50">
        <v>0</v>
      </c>
      <c r="D50">
        <v>0</v>
      </c>
      <c r="E50">
        <v>0</v>
      </c>
      <c r="F50" t="s">
        <v>25021</v>
      </c>
      <c r="G50">
        <v>1858</v>
      </c>
      <c r="H50" t="s">
        <v>11637</v>
      </c>
      <c r="I50" t="s">
        <v>62</v>
      </c>
      <c r="J50">
        <v>1922844</v>
      </c>
      <c r="K50">
        <v>1923014</v>
      </c>
      <c r="L50" t="s">
        <v>11638</v>
      </c>
      <c r="M50">
        <v>57</v>
      </c>
      <c r="N50" t="s">
        <v>11268</v>
      </c>
      <c r="O50">
        <v>48</v>
      </c>
      <c r="P50" t="str">
        <f>HYPERLINK("Gene1858-zp_tree_all.dnd", "Gene1858-tree")</f>
        <v>Gene1858-tree</v>
      </c>
      <c r="Q50">
        <v>45</v>
      </c>
      <c r="R50">
        <v>1</v>
      </c>
      <c r="S50">
        <v>4</v>
      </c>
      <c r="T50">
        <v>1</v>
      </c>
      <c r="U50">
        <v>0.2</v>
      </c>
      <c r="V50" t="s">
        <v>11639</v>
      </c>
      <c r="W50" t="s">
        <v>175</v>
      </c>
      <c r="X50" t="s">
        <v>62</v>
      </c>
      <c r="Y50" t="s">
        <v>62</v>
      </c>
      <c r="Z50">
        <v>0</v>
      </c>
      <c r="AA50">
        <v>0</v>
      </c>
      <c r="AB50">
        <v>2</v>
      </c>
      <c r="AC50">
        <v>0</v>
      </c>
      <c r="AD50" s="47">
        <v>0</v>
      </c>
      <c r="AE50" s="47">
        <v>0</v>
      </c>
      <c r="AF50" s="47">
        <v>0</v>
      </c>
      <c r="AG50" s="47">
        <v>1</v>
      </c>
      <c r="AH50" s="47">
        <v>0</v>
      </c>
      <c r="AI50" s="47">
        <v>0</v>
      </c>
      <c r="AJ50" s="47">
        <v>0</v>
      </c>
      <c r="AK50" s="47">
        <v>0</v>
      </c>
      <c r="AL50">
        <v>1</v>
      </c>
      <c r="AM50">
        <v>0</v>
      </c>
      <c r="AN50">
        <v>3</v>
      </c>
      <c r="AO50">
        <v>2</v>
      </c>
      <c r="AP50">
        <v>2</v>
      </c>
      <c r="AQ50">
        <v>1</v>
      </c>
      <c r="AR50">
        <v>1</v>
      </c>
      <c r="AS50">
        <v>1</v>
      </c>
      <c r="AT50" t="s">
        <v>11640</v>
      </c>
      <c r="AU50" t="s">
        <v>11641</v>
      </c>
      <c r="AV50">
        <v>0.315</v>
      </c>
      <c r="AW50" t="s">
        <v>65</v>
      </c>
      <c r="AX50">
        <v>3</v>
      </c>
      <c r="AY50">
        <v>2</v>
      </c>
      <c r="AZ50" t="s">
        <v>11642</v>
      </c>
      <c r="BA50">
        <v>3.943E-2</v>
      </c>
      <c r="BB50">
        <v>-5.9800000000000001E-3</v>
      </c>
      <c r="BC50">
        <v>7.8499999999999993E-3</v>
      </c>
      <c r="BD50">
        <v>-1.3699999999999999E-3</v>
      </c>
      <c r="BE50">
        <v>0.19908999999999999</v>
      </c>
      <c r="BF50">
        <v>0.83499999999999996</v>
      </c>
      <c r="BG50" t="s">
        <v>635</v>
      </c>
      <c r="BH50">
        <v>-1.413</v>
      </c>
      <c r="BI50">
        <v>-0.81200000000000006</v>
      </c>
    </row>
    <row r="51" spans="3:61">
      <c r="C51">
        <v>0</v>
      </c>
      <c r="D51">
        <v>0</v>
      </c>
      <c r="E51">
        <v>0</v>
      </c>
      <c r="F51" t="s">
        <v>25021</v>
      </c>
      <c r="G51">
        <v>2562</v>
      </c>
      <c r="H51" t="s">
        <v>14982</v>
      </c>
      <c r="I51" t="s">
        <v>57</v>
      </c>
      <c r="J51">
        <v>2552446</v>
      </c>
      <c r="K51">
        <v>2552616</v>
      </c>
      <c r="L51" t="s">
        <v>14983</v>
      </c>
      <c r="M51">
        <v>57</v>
      </c>
      <c r="N51" t="s">
        <v>59</v>
      </c>
      <c r="O51">
        <v>49</v>
      </c>
      <c r="P51" t="str">
        <f>HYPERLINK("Gene2562-zp_tree_all.dnd", "Gene2562-tree")</f>
        <v>Gene2562-tree</v>
      </c>
      <c r="Q51">
        <v>1</v>
      </c>
      <c r="R51">
        <v>3</v>
      </c>
      <c r="S51">
        <v>1</v>
      </c>
      <c r="T51">
        <v>3</v>
      </c>
      <c r="U51">
        <v>0.75</v>
      </c>
      <c r="V51" t="s">
        <v>175</v>
      </c>
      <c r="W51" t="s">
        <v>324</v>
      </c>
      <c r="X51" t="s">
        <v>62</v>
      </c>
      <c r="Y51" t="s">
        <v>62</v>
      </c>
      <c r="Z51">
        <v>0</v>
      </c>
      <c r="AA51">
        <v>0</v>
      </c>
      <c r="AB51">
        <v>3</v>
      </c>
      <c r="AC51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0</v>
      </c>
      <c r="AI51" s="47">
        <v>0</v>
      </c>
      <c r="AJ51" s="47">
        <v>0</v>
      </c>
      <c r="AK51" s="47">
        <v>0</v>
      </c>
      <c r="AL51">
        <v>3</v>
      </c>
      <c r="AM51">
        <v>0</v>
      </c>
      <c r="AN51">
        <v>3</v>
      </c>
      <c r="AO51">
        <v>1</v>
      </c>
      <c r="AP51">
        <v>3</v>
      </c>
      <c r="AQ51">
        <v>2</v>
      </c>
      <c r="AR51">
        <v>1</v>
      </c>
      <c r="AS51">
        <v>1</v>
      </c>
      <c r="AT51" t="s">
        <v>14984</v>
      </c>
      <c r="AU51" t="s">
        <v>14985</v>
      </c>
      <c r="AV51">
        <v>0.76800000000000002</v>
      </c>
      <c r="AW51" t="s">
        <v>65</v>
      </c>
      <c r="AX51">
        <v>4</v>
      </c>
      <c r="AY51">
        <v>3</v>
      </c>
      <c r="AZ51" t="s">
        <v>14986</v>
      </c>
      <c r="BA51">
        <v>7.0269999999999999E-2</v>
      </c>
      <c r="BB51">
        <v>-8.1399999999999997E-3</v>
      </c>
      <c r="BC51">
        <v>1.217E-2</v>
      </c>
      <c r="BD51">
        <v>-2.2399999999999998E-3</v>
      </c>
      <c r="BE51">
        <v>0.17313000000000001</v>
      </c>
      <c r="BF51">
        <v>0.94199999999999995</v>
      </c>
      <c r="BG51" t="s">
        <v>635</v>
      </c>
      <c r="BH51">
        <v>-0.65600000000000003</v>
      </c>
      <c r="BI51">
        <v>0.46700000000000003</v>
      </c>
    </row>
    <row r="52" spans="3:61">
      <c r="C52">
        <v>0</v>
      </c>
      <c r="D52">
        <v>0</v>
      </c>
      <c r="E52">
        <v>0</v>
      </c>
      <c r="F52" t="s">
        <v>25021</v>
      </c>
      <c r="G52">
        <v>2582</v>
      </c>
      <c r="H52" t="s">
        <v>15115</v>
      </c>
      <c r="I52" t="s">
        <v>57</v>
      </c>
      <c r="J52">
        <v>2565715</v>
      </c>
      <c r="K52">
        <v>2565885</v>
      </c>
      <c r="L52" t="s">
        <v>116</v>
      </c>
      <c r="M52">
        <v>57</v>
      </c>
      <c r="N52" t="s">
        <v>72</v>
      </c>
      <c r="O52">
        <v>45</v>
      </c>
      <c r="P52" t="str">
        <f>HYPERLINK("Gene2582-zp_tree_all.dnd", "Gene2582-tree")</f>
        <v>Gene2582-tree</v>
      </c>
      <c r="Q52">
        <v>44</v>
      </c>
      <c r="R52">
        <v>1</v>
      </c>
      <c r="S52">
        <v>3</v>
      </c>
      <c r="T52">
        <v>1</v>
      </c>
      <c r="U52">
        <v>0.25</v>
      </c>
      <c r="V52" t="s">
        <v>15116</v>
      </c>
      <c r="W52" t="s">
        <v>175</v>
      </c>
      <c r="X52" t="s">
        <v>62</v>
      </c>
      <c r="Y52" t="s">
        <v>62</v>
      </c>
      <c r="Z52">
        <v>0</v>
      </c>
      <c r="AA52">
        <v>0</v>
      </c>
      <c r="AB52">
        <v>1</v>
      </c>
      <c r="AC52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>
        <v>1</v>
      </c>
      <c r="AM52">
        <v>0</v>
      </c>
      <c r="AN52">
        <v>2</v>
      </c>
      <c r="AO52">
        <v>1</v>
      </c>
      <c r="AP52">
        <v>6</v>
      </c>
      <c r="AQ52">
        <v>1</v>
      </c>
      <c r="AR52">
        <v>2</v>
      </c>
      <c r="AS52">
        <v>0</v>
      </c>
      <c r="AT52" t="s">
        <v>15117</v>
      </c>
      <c r="AU52" t="s">
        <v>193</v>
      </c>
      <c r="AV52">
        <v>0.96199999999999997</v>
      </c>
      <c r="AW52" t="s">
        <v>65</v>
      </c>
      <c r="AX52">
        <v>8</v>
      </c>
      <c r="AY52">
        <v>1</v>
      </c>
      <c r="AZ52" t="s">
        <v>15118</v>
      </c>
      <c r="BA52">
        <v>0.11014</v>
      </c>
      <c r="BB52">
        <v>-2.6589999999999999E-2</v>
      </c>
      <c r="BC52">
        <v>3.8899999999999998E-3</v>
      </c>
      <c r="BD52">
        <v>-1.5900000000000001E-3</v>
      </c>
      <c r="BE52">
        <v>3.5279999999999999E-2</v>
      </c>
      <c r="BF52">
        <v>1</v>
      </c>
      <c r="BG52" t="s">
        <v>69</v>
      </c>
      <c r="BH52">
        <v>-2.0489999999999999</v>
      </c>
      <c r="BI52">
        <v>-3.5790000000000002</v>
      </c>
    </row>
    <row r="53" spans="3:61">
      <c r="C53">
        <v>0</v>
      </c>
      <c r="D53">
        <v>0</v>
      </c>
      <c r="E53">
        <v>2</v>
      </c>
      <c r="F53" t="s">
        <v>25021</v>
      </c>
      <c r="G53">
        <v>3181</v>
      </c>
      <c r="H53" t="s">
        <v>18507</v>
      </c>
      <c r="I53" t="s">
        <v>57</v>
      </c>
      <c r="J53">
        <v>3136768</v>
      </c>
      <c r="K53">
        <v>3136941</v>
      </c>
      <c r="L53" t="s">
        <v>116</v>
      </c>
      <c r="M53">
        <v>58</v>
      </c>
      <c r="N53" t="s">
        <v>108</v>
      </c>
      <c r="O53">
        <v>44</v>
      </c>
      <c r="P53" t="str">
        <f>HYPERLINK("Gene3181-zp_tree_all.dnd", "Gene3181-tree")</f>
        <v>Gene3181-tree</v>
      </c>
      <c r="Q53">
        <v>34</v>
      </c>
      <c r="R53">
        <v>2</v>
      </c>
      <c r="S53">
        <v>2</v>
      </c>
      <c r="T53">
        <v>2</v>
      </c>
      <c r="U53">
        <v>0.5</v>
      </c>
      <c r="V53" t="s">
        <v>18508</v>
      </c>
      <c r="W53" t="s">
        <v>81</v>
      </c>
      <c r="X53" t="s">
        <v>62</v>
      </c>
      <c r="Y53" t="s">
        <v>62</v>
      </c>
      <c r="Z53">
        <v>1</v>
      </c>
      <c r="AA53">
        <v>2</v>
      </c>
      <c r="AB53">
        <v>0</v>
      </c>
      <c r="AC53">
        <v>1</v>
      </c>
      <c r="AD53" s="47">
        <v>0</v>
      </c>
      <c r="AE53" s="47">
        <v>0</v>
      </c>
      <c r="AF53" s="47">
        <v>0</v>
      </c>
      <c r="AG53" s="47">
        <v>1</v>
      </c>
      <c r="AH53" s="47">
        <v>0</v>
      </c>
      <c r="AI53" s="47">
        <v>0</v>
      </c>
      <c r="AJ53" s="47">
        <v>0</v>
      </c>
      <c r="AK53" s="47">
        <v>0</v>
      </c>
      <c r="AL53">
        <v>1</v>
      </c>
      <c r="AM53">
        <v>0</v>
      </c>
      <c r="AN53">
        <v>2</v>
      </c>
      <c r="AO53">
        <v>1</v>
      </c>
      <c r="AP53">
        <v>1</v>
      </c>
      <c r="AQ53">
        <v>1</v>
      </c>
      <c r="AR53">
        <v>0</v>
      </c>
      <c r="AS53">
        <v>1</v>
      </c>
      <c r="AT53" t="s">
        <v>18509</v>
      </c>
      <c r="AU53" t="s">
        <v>193</v>
      </c>
      <c r="AV53">
        <v>0.70699999999999996</v>
      </c>
      <c r="AW53" t="s">
        <v>65</v>
      </c>
      <c r="AX53">
        <v>1</v>
      </c>
      <c r="AY53">
        <v>2</v>
      </c>
      <c r="AZ53" t="s">
        <v>18510</v>
      </c>
      <c r="BA53">
        <v>1.307E-2</v>
      </c>
      <c r="BB53">
        <v>-5.3400000000000001E-3</v>
      </c>
      <c r="BC53">
        <v>6.1999999999999998E-3</v>
      </c>
      <c r="BD53">
        <v>-4.6000000000000001E-4</v>
      </c>
      <c r="BE53">
        <v>0.47422999999999998</v>
      </c>
      <c r="BF53">
        <v>0.66700000000000004</v>
      </c>
      <c r="BG53" t="s">
        <v>635</v>
      </c>
      <c r="BH53">
        <v>-5.5E-2</v>
      </c>
      <c r="BI53">
        <v>-0.85599999999999998</v>
      </c>
    </row>
    <row r="54" spans="3:61">
      <c r="C54">
        <v>0</v>
      </c>
      <c r="D54">
        <v>0</v>
      </c>
      <c r="E54">
        <v>0</v>
      </c>
      <c r="F54" t="s">
        <v>25021</v>
      </c>
      <c r="G54">
        <v>1104</v>
      </c>
      <c r="H54" t="s">
        <v>6949</v>
      </c>
      <c r="I54" t="s">
        <v>62</v>
      </c>
      <c r="J54">
        <v>1149148</v>
      </c>
      <c r="K54">
        <v>1149321</v>
      </c>
      <c r="L54" t="s">
        <v>6937</v>
      </c>
      <c r="M54">
        <v>58</v>
      </c>
      <c r="N54" t="s">
        <v>108</v>
      </c>
      <c r="O54">
        <v>44</v>
      </c>
      <c r="P54" t="str">
        <f>HYPERLINK("Gene1104-zp_tree_all.dnd", "Gene1104-tree")</f>
        <v>Gene1104-tree</v>
      </c>
      <c r="Q54">
        <v>9</v>
      </c>
      <c r="R54">
        <v>1</v>
      </c>
      <c r="S54">
        <v>9</v>
      </c>
      <c r="T54">
        <v>1</v>
      </c>
      <c r="U54">
        <v>0.1</v>
      </c>
      <c r="V54" t="s">
        <v>135</v>
      </c>
      <c r="W54" t="s">
        <v>175</v>
      </c>
      <c r="X54" t="s">
        <v>62</v>
      </c>
      <c r="Y54" t="s">
        <v>62</v>
      </c>
      <c r="Z54">
        <v>0</v>
      </c>
      <c r="AA54">
        <v>0</v>
      </c>
      <c r="AB54">
        <v>2</v>
      </c>
      <c r="AC54">
        <v>0</v>
      </c>
      <c r="AD54" s="47">
        <v>0</v>
      </c>
      <c r="AE54" s="47">
        <v>0</v>
      </c>
      <c r="AF54" s="47">
        <v>0</v>
      </c>
      <c r="AG54" s="47">
        <v>1</v>
      </c>
      <c r="AH54" s="47">
        <v>0</v>
      </c>
      <c r="AI54" s="47">
        <v>0</v>
      </c>
      <c r="AJ54" s="47">
        <v>0</v>
      </c>
      <c r="AK54" s="47">
        <v>0</v>
      </c>
      <c r="AL54">
        <v>1</v>
      </c>
      <c r="AM54">
        <v>0</v>
      </c>
      <c r="AN54">
        <v>5</v>
      </c>
      <c r="AO54">
        <v>5</v>
      </c>
      <c r="AP54">
        <v>4</v>
      </c>
      <c r="AQ54">
        <v>1</v>
      </c>
      <c r="AR54">
        <v>4</v>
      </c>
      <c r="AS54">
        <v>1</v>
      </c>
      <c r="AT54" t="s">
        <v>6950</v>
      </c>
      <c r="AU54" t="s">
        <v>6950</v>
      </c>
      <c r="AV54">
        <v>0</v>
      </c>
      <c r="AW54" t="s">
        <v>65</v>
      </c>
      <c r="AX54">
        <v>8</v>
      </c>
      <c r="AY54">
        <v>2</v>
      </c>
      <c r="AZ54" t="s">
        <v>6951</v>
      </c>
      <c r="BA54">
        <v>5.2400000000000002E-2</v>
      </c>
      <c r="BB54">
        <v>-3.8700000000000002E-3</v>
      </c>
      <c r="BC54">
        <v>5.7800000000000004E-3</v>
      </c>
      <c r="BD54">
        <v>-7.2999999999999996E-4</v>
      </c>
      <c r="BE54">
        <v>0.11037</v>
      </c>
      <c r="BF54">
        <v>1</v>
      </c>
      <c r="BG54" t="s">
        <v>69</v>
      </c>
      <c r="BH54">
        <v>1.544</v>
      </c>
      <c r="BI54">
        <v>1.3069999999999999</v>
      </c>
    </row>
    <row r="55" spans="3:61">
      <c r="C55">
        <v>0</v>
      </c>
      <c r="D55">
        <v>0</v>
      </c>
      <c r="E55">
        <v>0</v>
      </c>
      <c r="F55" t="s">
        <v>25021</v>
      </c>
      <c r="G55">
        <v>556</v>
      </c>
      <c r="H55" t="s">
        <v>3576</v>
      </c>
      <c r="I55" t="s">
        <v>62</v>
      </c>
      <c r="J55">
        <v>587160</v>
      </c>
      <c r="K55">
        <v>587336</v>
      </c>
      <c r="L55" t="s">
        <v>2302</v>
      </c>
      <c r="M55">
        <v>59</v>
      </c>
      <c r="N55" t="s">
        <v>108</v>
      </c>
      <c r="O55">
        <v>44</v>
      </c>
      <c r="P55" t="str">
        <f>HYPERLINK("Gene556-zp_tree_all.dnd", "Gene556-tree")</f>
        <v>Gene556-tree</v>
      </c>
      <c r="Q55">
        <v>3</v>
      </c>
      <c r="R55">
        <v>2</v>
      </c>
      <c r="S55">
        <v>3</v>
      </c>
      <c r="T55">
        <v>2</v>
      </c>
      <c r="U55">
        <v>0.4</v>
      </c>
      <c r="V55" t="s">
        <v>324</v>
      </c>
      <c r="W55" t="s">
        <v>81</v>
      </c>
      <c r="X55" t="s">
        <v>62</v>
      </c>
      <c r="Y55" t="s">
        <v>62</v>
      </c>
      <c r="Z55">
        <v>0</v>
      </c>
      <c r="AA55">
        <v>0</v>
      </c>
      <c r="AB55">
        <v>4</v>
      </c>
      <c r="AC55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>
        <v>4</v>
      </c>
      <c r="AM55">
        <v>0</v>
      </c>
      <c r="AN55">
        <v>4</v>
      </c>
      <c r="AO55">
        <v>0</v>
      </c>
      <c r="AP55">
        <v>4</v>
      </c>
      <c r="AQ55">
        <v>4</v>
      </c>
      <c r="AR55">
        <v>0</v>
      </c>
      <c r="AS55">
        <v>0</v>
      </c>
      <c r="AT55" t="s">
        <v>3577</v>
      </c>
      <c r="AU55" t="s">
        <v>193</v>
      </c>
      <c r="AV55">
        <v>0.99199999999999999</v>
      </c>
      <c r="AW55" t="s">
        <v>65</v>
      </c>
      <c r="AX55">
        <v>4</v>
      </c>
      <c r="AY55">
        <v>4</v>
      </c>
      <c r="AZ55" t="s">
        <v>3578</v>
      </c>
      <c r="BA55">
        <v>3.807E-2</v>
      </c>
      <c r="BB55">
        <v>-7.0299999999999998E-3</v>
      </c>
      <c r="BC55">
        <v>1.274E-2</v>
      </c>
      <c r="BD55">
        <v>-3.6099999999999999E-3</v>
      </c>
      <c r="BE55">
        <v>0.33459</v>
      </c>
      <c r="BF55">
        <v>0.93100000000000005</v>
      </c>
      <c r="BG55" t="s">
        <v>635</v>
      </c>
      <c r="BH55">
        <v>-0.89</v>
      </c>
      <c r="BI55">
        <v>0.61199999999999999</v>
      </c>
    </row>
    <row r="56" spans="3:61">
      <c r="C56">
        <v>0</v>
      </c>
      <c r="D56">
        <v>5</v>
      </c>
      <c r="E56">
        <v>1</v>
      </c>
      <c r="F56" t="s">
        <v>25021</v>
      </c>
      <c r="G56">
        <v>461</v>
      </c>
      <c r="H56" t="s">
        <v>3128</v>
      </c>
      <c r="I56" t="s">
        <v>62</v>
      </c>
      <c r="J56">
        <v>506325</v>
      </c>
      <c r="K56">
        <v>506501</v>
      </c>
      <c r="L56" t="s">
        <v>3129</v>
      </c>
      <c r="M56">
        <v>59</v>
      </c>
      <c r="N56" t="s">
        <v>59</v>
      </c>
      <c r="O56">
        <v>49</v>
      </c>
      <c r="P56" t="str">
        <f>HYPERLINK("Gene461-zp_tree_all.dnd", "Gene461-tree")</f>
        <v>Gene461-tree</v>
      </c>
      <c r="Q56">
        <v>9</v>
      </c>
      <c r="R56">
        <v>6</v>
      </c>
      <c r="S56">
        <v>9</v>
      </c>
      <c r="T56">
        <v>6</v>
      </c>
      <c r="U56">
        <v>0.4</v>
      </c>
      <c r="V56" t="s">
        <v>135</v>
      </c>
      <c r="W56" t="s">
        <v>90</v>
      </c>
      <c r="X56" t="s">
        <v>62</v>
      </c>
      <c r="Y56" t="s">
        <v>62</v>
      </c>
      <c r="Z56">
        <v>2</v>
      </c>
      <c r="AA56">
        <v>6</v>
      </c>
      <c r="AB56">
        <v>5</v>
      </c>
      <c r="AC56">
        <v>0.54544999999999999</v>
      </c>
      <c r="AD56" s="47">
        <v>0</v>
      </c>
      <c r="AE56" s="47">
        <v>0</v>
      </c>
      <c r="AF56" s="47">
        <v>0</v>
      </c>
      <c r="AG56" s="47">
        <v>2</v>
      </c>
      <c r="AH56" s="47">
        <v>0</v>
      </c>
      <c r="AI56" s="47">
        <v>0</v>
      </c>
      <c r="AJ56" s="47">
        <v>2</v>
      </c>
      <c r="AK56" s="47">
        <v>2</v>
      </c>
      <c r="AL56">
        <v>6</v>
      </c>
      <c r="AM56">
        <v>0.25</v>
      </c>
      <c r="AN56">
        <v>8</v>
      </c>
      <c r="AO56">
        <v>9</v>
      </c>
      <c r="AP56">
        <v>7</v>
      </c>
      <c r="AQ56">
        <v>6</v>
      </c>
      <c r="AR56">
        <v>9</v>
      </c>
      <c r="AS56">
        <v>5</v>
      </c>
      <c r="AT56" t="s">
        <v>3130</v>
      </c>
      <c r="AU56" t="s">
        <v>3131</v>
      </c>
      <c r="AV56">
        <v>0.33400000000000002</v>
      </c>
      <c r="AW56" t="s">
        <v>65</v>
      </c>
      <c r="AX56">
        <v>16</v>
      </c>
      <c r="AY56">
        <v>11</v>
      </c>
      <c r="AZ56" t="s">
        <v>3132</v>
      </c>
      <c r="BA56">
        <v>0.11038000000000001</v>
      </c>
      <c r="BB56">
        <v>-6.2100000000000002E-3</v>
      </c>
      <c r="BC56">
        <v>1.174E-2</v>
      </c>
      <c r="BD56">
        <v>-8.8000000000000003E-4</v>
      </c>
      <c r="BE56">
        <v>0.10632</v>
      </c>
      <c r="BF56">
        <v>1</v>
      </c>
      <c r="BG56" t="s">
        <v>69</v>
      </c>
      <c r="BH56">
        <v>-0.69</v>
      </c>
      <c r="BI56">
        <v>0.13400000000000001</v>
      </c>
    </row>
    <row r="57" spans="3:61">
      <c r="C57">
        <v>0</v>
      </c>
      <c r="D57">
        <v>0</v>
      </c>
      <c r="E57">
        <v>0</v>
      </c>
      <c r="F57" t="s">
        <v>25021</v>
      </c>
      <c r="G57">
        <v>1022</v>
      </c>
      <c r="H57" t="s">
        <v>6422</v>
      </c>
      <c r="I57" t="s">
        <v>62</v>
      </c>
      <c r="J57">
        <v>1062282</v>
      </c>
      <c r="K57">
        <v>1062464</v>
      </c>
      <c r="L57" t="s">
        <v>288</v>
      </c>
      <c r="M57">
        <v>61</v>
      </c>
      <c r="N57" t="s">
        <v>108</v>
      </c>
      <c r="O57">
        <v>44</v>
      </c>
      <c r="P57" t="str">
        <f>HYPERLINK("Gene1022-zp_tree_all.dnd", "Gene1022-tree")</f>
        <v>Gene1022-tree</v>
      </c>
      <c r="Q57">
        <v>2</v>
      </c>
      <c r="R57">
        <v>5</v>
      </c>
      <c r="S57">
        <v>2</v>
      </c>
      <c r="T57">
        <v>5</v>
      </c>
      <c r="U57">
        <v>0.71428999999999998</v>
      </c>
      <c r="V57" t="s">
        <v>81</v>
      </c>
      <c r="W57" t="s">
        <v>199</v>
      </c>
      <c r="X57" t="s">
        <v>62</v>
      </c>
      <c r="Y57" t="s">
        <v>62</v>
      </c>
      <c r="Z57">
        <v>0</v>
      </c>
      <c r="AA57">
        <v>0</v>
      </c>
      <c r="AB57">
        <v>5</v>
      </c>
      <c r="AC57">
        <v>0</v>
      </c>
      <c r="AD57" s="47">
        <v>0</v>
      </c>
      <c r="AE57" s="47">
        <v>0</v>
      </c>
      <c r="AF57" s="47">
        <v>0</v>
      </c>
      <c r="AG57" s="47">
        <v>1</v>
      </c>
      <c r="AH57" s="47">
        <v>0</v>
      </c>
      <c r="AI57" s="47">
        <v>0</v>
      </c>
      <c r="AJ57" s="47">
        <v>0</v>
      </c>
      <c r="AK57" s="47">
        <v>0</v>
      </c>
      <c r="AL57">
        <v>4</v>
      </c>
      <c r="AM57">
        <v>0</v>
      </c>
      <c r="AN57">
        <v>5</v>
      </c>
      <c r="AO57">
        <v>1</v>
      </c>
      <c r="AP57">
        <v>3</v>
      </c>
      <c r="AQ57">
        <v>4</v>
      </c>
      <c r="AR57">
        <v>0</v>
      </c>
      <c r="AS57">
        <v>1</v>
      </c>
      <c r="AT57" t="s">
        <v>6423</v>
      </c>
      <c r="AU57" t="s">
        <v>193</v>
      </c>
      <c r="AV57">
        <v>1.0960000000000001</v>
      </c>
      <c r="AW57" t="s">
        <v>65</v>
      </c>
      <c r="AX57">
        <v>3</v>
      </c>
      <c r="AY57">
        <v>5</v>
      </c>
      <c r="AZ57" t="s">
        <v>6424</v>
      </c>
      <c r="BA57">
        <v>2.2550000000000001E-2</v>
      </c>
      <c r="BB57">
        <v>-5.4400000000000004E-3</v>
      </c>
      <c r="BC57">
        <v>1.231E-2</v>
      </c>
      <c r="BD57">
        <v>-1.2999999999999999E-3</v>
      </c>
      <c r="BE57">
        <v>0.54566000000000003</v>
      </c>
      <c r="BF57">
        <v>0.54300000000000004</v>
      </c>
      <c r="BG57" t="s">
        <v>635</v>
      </c>
      <c r="BH57">
        <v>-1.99</v>
      </c>
      <c r="BI57">
        <v>-2.859</v>
      </c>
    </row>
    <row r="58" spans="3:61">
      <c r="C58">
        <v>0</v>
      </c>
      <c r="D58">
        <v>3</v>
      </c>
      <c r="E58">
        <v>3</v>
      </c>
      <c r="F58" t="s">
        <v>25021</v>
      </c>
      <c r="G58">
        <v>1567</v>
      </c>
      <c r="H58" t="s">
        <v>9800</v>
      </c>
      <c r="I58" t="s">
        <v>62</v>
      </c>
      <c r="J58">
        <v>1575054</v>
      </c>
      <c r="K58">
        <v>1575236</v>
      </c>
      <c r="L58" t="s">
        <v>9801</v>
      </c>
      <c r="M58">
        <v>61</v>
      </c>
      <c r="N58" t="s">
        <v>59</v>
      </c>
      <c r="O58">
        <v>49</v>
      </c>
      <c r="P58" t="str">
        <f>HYPERLINK("Gene1567-zp_tree_all.dnd", "Gene1567-tree")</f>
        <v>Gene1567-tree</v>
      </c>
      <c r="Q58">
        <v>2</v>
      </c>
      <c r="R58">
        <v>5</v>
      </c>
      <c r="S58">
        <v>2</v>
      </c>
      <c r="T58">
        <v>5</v>
      </c>
      <c r="U58">
        <v>0.71428999999999998</v>
      </c>
      <c r="V58" t="s">
        <v>81</v>
      </c>
      <c r="W58" t="s">
        <v>199</v>
      </c>
      <c r="X58" t="s">
        <v>62</v>
      </c>
      <c r="Y58" t="s">
        <v>62</v>
      </c>
      <c r="Z58">
        <v>2</v>
      </c>
      <c r="AA58">
        <v>6</v>
      </c>
      <c r="AB58">
        <v>3</v>
      </c>
      <c r="AC58">
        <v>0.66666999999999998</v>
      </c>
      <c r="AD58" s="47">
        <v>0</v>
      </c>
      <c r="AE58" s="47">
        <v>0</v>
      </c>
      <c r="AF58" s="47">
        <v>0</v>
      </c>
      <c r="AG58" s="47">
        <v>0</v>
      </c>
      <c r="AH58" s="47">
        <v>0</v>
      </c>
      <c r="AI58" s="47">
        <v>2</v>
      </c>
      <c r="AJ58" s="47">
        <v>2</v>
      </c>
      <c r="AK58" s="47">
        <v>4</v>
      </c>
      <c r="AL58">
        <v>1</v>
      </c>
      <c r="AM58">
        <v>0.8</v>
      </c>
      <c r="AN58">
        <v>6</v>
      </c>
      <c r="AO58">
        <v>3</v>
      </c>
      <c r="AP58">
        <v>2</v>
      </c>
      <c r="AQ58">
        <v>5</v>
      </c>
      <c r="AR58">
        <v>2</v>
      </c>
      <c r="AS58">
        <v>4</v>
      </c>
      <c r="AT58" t="s">
        <v>9802</v>
      </c>
      <c r="AU58" t="s">
        <v>9803</v>
      </c>
      <c r="AV58">
        <v>0.17599999999999999</v>
      </c>
      <c r="AW58" t="s">
        <v>65</v>
      </c>
      <c r="AX58">
        <v>4</v>
      </c>
      <c r="AY58">
        <v>9</v>
      </c>
      <c r="AZ58" t="s">
        <v>9804</v>
      </c>
      <c r="BA58">
        <v>4.5839999999999999E-2</v>
      </c>
      <c r="BB58">
        <v>-4.8500000000000001E-3</v>
      </c>
      <c r="BC58">
        <v>2.0570000000000001E-2</v>
      </c>
      <c r="BD58">
        <v>-1.8400000000000001E-3</v>
      </c>
      <c r="BE58">
        <v>0.44879000000000002</v>
      </c>
      <c r="BF58">
        <v>0.78700000000000003</v>
      </c>
      <c r="BG58" t="s">
        <v>635</v>
      </c>
      <c r="BH58">
        <v>-1.853</v>
      </c>
      <c r="BI58">
        <v>-1.419</v>
      </c>
    </row>
    <row r="59" spans="3:61">
      <c r="C59">
        <v>0</v>
      </c>
      <c r="D59">
        <v>0</v>
      </c>
      <c r="E59">
        <v>0</v>
      </c>
      <c r="F59" t="s">
        <v>25021</v>
      </c>
      <c r="G59">
        <v>1163</v>
      </c>
      <c r="H59" t="s">
        <v>7324</v>
      </c>
      <c r="I59" t="s">
        <v>62</v>
      </c>
      <c r="J59">
        <v>1204734</v>
      </c>
      <c r="K59">
        <v>1204916</v>
      </c>
      <c r="L59" t="s">
        <v>7325</v>
      </c>
      <c r="M59">
        <v>61</v>
      </c>
      <c r="N59" t="s">
        <v>59</v>
      </c>
      <c r="O59">
        <v>49</v>
      </c>
      <c r="P59" t="str">
        <f>HYPERLINK("Gene1163-zp_tree_all.dnd", "Gene1163-tree")</f>
        <v>Gene1163-tree</v>
      </c>
      <c r="Q59">
        <v>6</v>
      </c>
      <c r="R59">
        <v>2</v>
      </c>
      <c r="S59">
        <v>6</v>
      </c>
      <c r="T59">
        <v>2</v>
      </c>
      <c r="U59">
        <v>0.25</v>
      </c>
      <c r="V59" t="s">
        <v>90</v>
      </c>
      <c r="W59" t="s">
        <v>81</v>
      </c>
      <c r="X59" t="s">
        <v>62</v>
      </c>
      <c r="Y59" t="s">
        <v>62</v>
      </c>
      <c r="Z59">
        <v>0</v>
      </c>
      <c r="AA59">
        <v>0</v>
      </c>
      <c r="AB59">
        <v>5</v>
      </c>
      <c r="AC59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0</v>
      </c>
      <c r="AI59" s="47">
        <v>0</v>
      </c>
      <c r="AJ59" s="47">
        <v>0</v>
      </c>
      <c r="AK59" s="47">
        <v>0</v>
      </c>
      <c r="AL59">
        <v>2</v>
      </c>
      <c r="AM59">
        <v>0</v>
      </c>
      <c r="AN59">
        <v>6</v>
      </c>
      <c r="AO59">
        <v>2</v>
      </c>
      <c r="AP59">
        <v>4</v>
      </c>
      <c r="AQ59">
        <v>2</v>
      </c>
      <c r="AR59">
        <v>2</v>
      </c>
      <c r="AS59">
        <v>3</v>
      </c>
      <c r="AT59" t="s">
        <v>7326</v>
      </c>
      <c r="AU59" t="s">
        <v>7327</v>
      </c>
      <c r="AV59">
        <v>0.85499999999999998</v>
      </c>
      <c r="AW59" t="s">
        <v>65</v>
      </c>
      <c r="AX59">
        <v>6</v>
      </c>
      <c r="AY59">
        <v>5</v>
      </c>
      <c r="AZ59" t="s">
        <v>7328</v>
      </c>
      <c r="BA59">
        <v>5.1490000000000001E-2</v>
      </c>
      <c r="BB59">
        <v>-4.96E-3</v>
      </c>
      <c r="BC59">
        <v>1.5789999999999998E-2</v>
      </c>
      <c r="BD59">
        <v>-1.64E-3</v>
      </c>
      <c r="BE59">
        <v>0.30671999999999999</v>
      </c>
      <c r="BF59">
        <v>0.876</v>
      </c>
      <c r="BG59" t="s">
        <v>635</v>
      </c>
      <c r="BH59">
        <v>-1.56</v>
      </c>
      <c r="BI59">
        <v>-1.419</v>
      </c>
    </row>
    <row r="60" spans="3:61">
      <c r="C60">
        <v>0</v>
      </c>
      <c r="D60">
        <v>0</v>
      </c>
      <c r="E60">
        <v>0</v>
      </c>
      <c r="F60" t="s">
        <v>25021</v>
      </c>
      <c r="G60">
        <v>1435</v>
      </c>
      <c r="H60" t="s">
        <v>8984</v>
      </c>
      <c r="I60" t="s">
        <v>62</v>
      </c>
      <c r="J60">
        <v>1447665</v>
      </c>
      <c r="K60">
        <v>1447847</v>
      </c>
      <c r="L60" t="s">
        <v>8985</v>
      </c>
      <c r="M60">
        <v>61</v>
      </c>
      <c r="N60" t="s">
        <v>698</v>
      </c>
      <c r="O60">
        <v>47</v>
      </c>
      <c r="P60" t="str">
        <f>HYPERLINK("Gene1435-zp_tree_all.dnd", "Gene1435-tree")</f>
        <v>Gene1435-tree</v>
      </c>
      <c r="Q60">
        <v>5</v>
      </c>
      <c r="R60">
        <v>1</v>
      </c>
      <c r="S60">
        <v>5</v>
      </c>
      <c r="T60">
        <v>1</v>
      </c>
      <c r="U60">
        <v>0.16667000000000001</v>
      </c>
      <c r="V60" t="s">
        <v>199</v>
      </c>
      <c r="W60" t="s">
        <v>175</v>
      </c>
      <c r="X60" t="s">
        <v>62</v>
      </c>
      <c r="Y60" t="s">
        <v>62</v>
      </c>
      <c r="Z60">
        <v>0</v>
      </c>
      <c r="AA60">
        <v>0</v>
      </c>
      <c r="AB60">
        <v>1</v>
      </c>
      <c r="AC60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>
        <v>1</v>
      </c>
      <c r="AM60">
        <v>0</v>
      </c>
      <c r="AN60">
        <v>5</v>
      </c>
      <c r="AO60">
        <v>1</v>
      </c>
      <c r="AP60">
        <v>5</v>
      </c>
      <c r="AQ60">
        <v>1</v>
      </c>
      <c r="AR60">
        <v>3</v>
      </c>
      <c r="AS60">
        <v>0</v>
      </c>
      <c r="AT60" t="s">
        <v>8986</v>
      </c>
      <c r="AU60" t="s">
        <v>193</v>
      </c>
      <c r="AV60">
        <v>0.50700000000000001</v>
      </c>
      <c r="AW60" t="s">
        <v>65</v>
      </c>
      <c r="AX60">
        <v>8</v>
      </c>
      <c r="AY60">
        <v>1</v>
      </c>
      <c r="AZ60" t="s">
        <v>8987</v>
      </c>
      <c r="BA60">
        <v>8.677E-2</v>
      </c>
      <c r="BB60">
        <v>-1.302E-2</v>
      </c>
      <c r="BC60">
        <v>2.3500000000000001E-3</v>
      </c>
      <c r="BD60">
        <v>-8.5999999999999998E-4</v>
      </c>
      <c r="BE60">
        <v>2.7109999999999999E-2</v>
      </c>
      <c r="BF60">
        <v>1</v>
      </c>
      <c r="BG60" t="s">
        <v>69</v>
      </c>
      <c r="BH60">
        <v>-1.6439999999999999</v>
      </c>
      <c r="BI60">
        <v>-0.59699999999999998</v>
      </c>
    </row>
    <row r="61" spans="3:61">
      <c r="C61">
        <v>0</v>
      </c>
      <c r="D61">
        <v>0</v>
      </c>
      <c r="E61">
        <v>0</v>
      </c>
      <c r="F61" t="s">
        <v>25021</v>
      </c>
      <c r="G61">
        <v>2320</v>
      </c>
      <c r="H61" t="s">
        <v>13452</v>
      </c>
      <c r="I61" t="s">
        <v>57</v>
      </c>
      <c r="J61">
        <v>2338582</v>
      </c>
      <c r="K61">
        <v>2338767</v>
      </c>
      <c r="L61" t="s">
        <v>12093</v>
      </c>
      <c r="M61">
        <v>62</v>
      </c>
      <c r="N61" t="s">
        <v>59</v>
      </c>
      <c r="O61">
        <v>49</v>
      </c>
      <c r="P61" t="str">
        <f>HYPERLINK("Gene2320-zp_tree_all.dnd", "Gene2320-tree")</f>
        <v>Gene2320-tree</v>
      </c>
      <c r="Q61">
        <v>2</v>
      </c>
      <c r="R61">
        <v>2</v>
      </c>
      <c r="S61">
        <v>2</v>
      </c>
      <c r="T61">
        <v>2</v>
      </c>
      <c r="U61">
        <v>0.5</v>
      </c>
      <c r="V61" t="s">
        <v>81</v>
      </c>
      <c r="W61" t="s">
        <v>81</v>
      </c>
      <c r="X61" t="s">
        <v>62</v>
      </c>
      <c r="Y61" t="s">
        <v>62</v>
      </c>
      <c r="Z61">
        <v>0</v>
      </c>
      <c r="AA61">
        <v>0</v>
      </c>
      <c r="AB61">
        <v>3</v>
      </c>
      <c r="AC61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0</v>
      </c>
      <c r="AL61">
        <v>3</v>
      </c>
      <c r="AM61">
        <v>0</v>
      </c>
      <c r="AN61">
        <v>3</v>
      </c>
      <c r="AO61">
        <v>0</v>
      </c>
      <c r="AP61">
        <v>2</v>
      </c>
      <c r="AQ61">
        <v>3</v>
      </c>
      <c r="AR61">
        <v>0</v>
      </c>
      <c r="AS61">
        <v>0</v>
      </c>
      <c r="AT61" t="s">
        <v>13453</v>
      </c>
      <c r="AU61" t="s">
        <v>193</v>
      </c>
      <c r="AV61">
        <v>1.482</v>
      </c>
      <c r="AW61" t="s">
        <v>65</v>
      </c>
      <c r="AX61">
        <v>2</v>
      </c>
      <c r="AY61">
        <v>3</v>
      </c>
      <c r="AZ61" t="s">
        <v>13454</v>
      </c>
      <c r="BA61">
        <v>2.349E-2</v>
      </c>
      <c r="BB61">
        <v>-7.9699999999999997E-3</v>
      </c>
      <c r="BC61">
        <v>1.0120000000000001E-2</v>
      </c>
      <c r="BD61">
        <v>-2.65E-3</v>
      </c>
      <c r="BE61">
        <v>0.43091000000000002</v>
      </c>
      <c r="BF61">
        <v>0.623</v>
      </c>
      <c r="BG61" t="s">
        <v>635</v>
      </c>
      <c r="BH61">
        <v>-1.1080000000000001</v>
      </c>
      <c r="BI61">
        <v>-1.1919999999999999</v>
      </c>
    </row>
    <row r="62" spans="3:61">
      <c r="C62">
        <v>0</v>
      </c>
      <c r="D62">
        <v>0</v>
      </c>
      <c r="E62">
        <v>0</v>
      </c>
      <c r="F62" t="s">
        <v>25021</v>
      </c>
      <c r="G62">
        <v>1837</v>
      </c>
      <c r="H62" t="s">
        <v>11512</v>
      </c>
      <c r="I62" t="s">
        <v>62</v>
      </c>
      <c r="J62">
        <v>1905373</v>
      </c>
      <c r="K62">
        <v>1905558</v>
      </c>
      <c r="L62" t="s">
        <v>1803</v>
      </c>
      <c r="M62">
        <v>62</v>
      </c>
      <c r="N62" t="s">
        <v>108</v>
      </c>
      <c r="O62">
        <v>44</v>
      </c>
      <c r="P62" t="str">
        <f>HYPERLINK("Gene1837-zp_tree_all.dnd", "Gene1837-tree")</f>
        <v>Gene1837-tree</v>
      </c>
      <c r="Q62">
        <v>5</v>
      </c>
      <c r="R62">
        <v>2</v>
      </c>
      <c r="S62">
        <v>5</v>
      </c>
      <c r="T62">
        <v>2</v>
      </c>
      <c r="U62">
        <v>0.28571000000000002</v>
      </c>
      <c r="V62" t="s">
        <v>199</v>
      </c>
      <c r="W62" t="s">
        <v>81</v>
      </c>
      <c r="X62" t="s">
        <v>62</v>
      </c>
      <c r="Y62" t="s">
        <v>62</v>
      </c>
      <c r="Z62">
        <v>0</v>
      </c>
      <c r="AA62">
        <v>0</v>
      </c>
      <c r="AB62">
        <v>3</v>
      </c>
      <c r="AC62">
        <v>0</v>
      </c>
      <c r="AD62" s="47">
        <v>0</v>
      </c>
      <c r="AE62" s="47">
        <v>0</v>
      </c>
      <c r="AF62" s="47">
        <v>0</v>
      </c>
      <c r="AG62" s="47">
        <v>0</v>
      </c>
      <c r="AH62" s="47">
        <v>0</v>
      </c>
      <c r="AI62" s="47">
        <v>0</v>
      </c>
      <c r="AJ62" s="47">
        <v>0</v>
      </c>
      <c r="AK62" s="47">
        <v>0</v>
      </c>
      <c r="AL62">
        <v>2</v>
      </c>
      <c r="AM62">
        <v>0</v>
      </c>
      <c r="AN62">
        <v>6</v>
      </c>
      <c r="AO62">
        <v>1</v>
      </c>
      <c r="AP62">
        <v>5</v>
      </c>
      <c r="AQ62">
        <v>2</v>
      </c>
      <c r="AR62">
        <v>1</v>
      </c>
      <c r="AS62">
        <v>1</v>
      </c>
      <c r="AT62" t="s">
        <v>11513</v>
      </c>
      <c r="AU62" t="s">
        <v>11514</v>
      </c>
      <c r="AV62">
        <v>1.3819999999999999</v>
      </c>
      <c r="AW62" t="s">
        <v>65</v>
      </c>
      <c r="AX62">
        <v>6</v>
      </c>
      <c r="AY62">
        <v>3</v>
      </c>
      <c r="AZ62" t="s">
        <v>11515</v>
      </c>
      <c r="BA62">
        <v>4.7210000000000002E-2</v>
      </c>
      <c r="BB62">
        <v>-6.6100000000000004E-3</v>
      </c>
      <c r="BC62">
        <v>7.3800000000000003E-3</v>
      </c>
      <c r="BD62">
        <v>-9.3999999999999997E-4</v>
      </c>
      <c r="BE62">
        <v>0.15628</v>
      </c>
      <c r="BF62">
        <v>0.98799999999999999</v>
      </c>
      <c r="BG62" t="s">
        <v>69</v>
      </c>
      <c r="BH62">
        <v>-1.391</v>
      </c>
      <c r="BI62">
        <v>-1.4710000000000001</v>
      </c>
    </row>
    <row r="63" spans="3:61">
      <c r="C63">
        <v>0</v>
      </c>
      <c r="D63">
        <v>0</v>
      </c>
      <c r="E63">
        <v>0</v>
      </c>
      <c r="F63" t="s">
        <v>25021</v>
      </c>
      <c r="G63">
        <v>1536</v>
      </c>
      <c r="H63" t="s">
        <v>9597</v>
      </c>
      <c r="I63" t="s">
        <v>62</v>
      </c>
      <c r="J63">
        <v>1545823</v>
      </c>
      <c r="K63">
        <v>1546008</v>
      </c>
      <c r="L63" t="s">
        <v>288</v>
      </c>
      <c r="M63">
        <v>62</v>
      </c>
      <c r="N63" t="s">
        <v>9598</v>
      </c>
      <c r="O63">
        <v>46</v>
      </c>
      <c r="P63" t="str">
        <f>HYPERLINK("Gene1536-zp_tree_all.dnd", "Gene1536-tree")</f>
        <v>Gene1536-tree</v>
      </c>
      <c r="Q63">
        <v>7</v>
      </c>
      <c r="R63">
        <v>2</v>
      </c>
      <c r="S63">
        <v>7</v>
      </c>
      <c r="T63">
        <v>2</v>
      </c>
      <c r="U63">
        <v>0.22222</v>
      </c>
      <c r="V63" t="s">
        <v>152</v>
      </c>
      <c r="W63" t="s">
        <v>81</v>
      </c>
      <c r="X63" t="s">
        <v>62</v>
      </c>
      <c r="Y63" t="s">
        <v>62</v>
      </c>
      <c r="Z63">
        <v>0</v>
      </c>
      <c r="AA63">
        <v>0</v>
      </c>
      <c r="AB63">
        <v>5</v>
      </c>
      <c r="AC63">
        <v>0</v>
      </c>
      <c r="AD63" s="47">
        <v>0</v>
      </c>
      <c r="AE63" s="47">
        <v>0</v>
      </c>
      <c r="AF63" s="47">
        <v>0</v>
      </c>
      <c r="AG63" s="47">
        <v>1</v>
      </c>
      <c r="AH63" s="47">
        <v>0</v>
      </c>
      <c r="AI63" s="47">
        <v>0</v>
      </c>
      <c r="AJ63" s="47">
        <v>0</v>
      </c>
      <c r="AK63" s="47">
        <v>0</v>
      </c>
      <c r="AL63">
        <v>3</v>
      </c>
      <c r="AM63">
        <v>0</v>
      </c>
      <c r="AN63">
        <v>7</v>
      </c>
      <c r="AO63">
        <v>4</v>
      </c>
      <c r="AP63">
        <v>9</v>
      </c>
      <c r="AQ63">
        <v>3</v>
      </c>
      <c r="AR63">
        <v>6</v>
      </c>
      <c r="AS63">
        <v>3</v>
      </c>
      <c r="AT63" t="s">
        <v>9599</v>
      </c>
      <c r="AU63" t="s">
        <v>9600</v>
      </c>
      <c r="AV63">
        <v>0.223</v>
      </c>
      <c r="AW63" t="s">
        <v>65</v>
      </c>
      <c r="AX63">
        <v>15</v>
      </c>
      <c r="AY63">
        <v>6</v>
      </c>
      <c r="AZ63" t="s">
        <v>9601</v>
      </c>
      <c r="BA63">
        <v>0.12314</v>
      </c>
      <c r="BB63">
        <v>-1.3520000000000001E-2</v>
      </c>
      <c r="BC63">
        <v>1.584E-2</v>
      </c>
      <c r="BD63">
        <v>-1.74E-3</v>
      </c>
      <c r="BE63">
        <v>0.12859999999999999</v>
      </c>
      <c r="BF63">
        <v>1</v>
      </c>
      <c r="BG63" t="s">
        <v>69</v>
      </c>
      <c r="BH63">
        <v>-1.476</v>
      </c>
      <c r="BI63">
        <v>0.23499999999999999</v>
      </c>
    </row>
    <row r="64" spans="3:61">
      <c r="C64">
        <v>0</v>
      </c>
      <c r="D64">
        <v>0</v>
      </c>
      <c r="E64">
        <v>0</v>
      </c>
      <c r="F64" t="s">
        <v>25021</v>
      </c>
      <c r="G64">
        <v>1266</v>
      </c>
      <c r="H64" t="s">
        <v>7938</v>
      </c>
      <c r="I64" t="s">
        <v>62</v>
      </c>
      <c r="J64">
        <v>1293779</v>
      </c>
      <c r="K64">
        <v>1293964</v>
      </c>
      <c r="L64" t="s">
        <v>4057</v>
      </c>
      <c r="M64">
        <v>62</v>
      </c>
      <c r="N64" t="s">
        <v>465</v>
      </c>
      <c r="O64">
        <v>46</v>
      </c>
      <c r="P64" t="str">
        <f>HYPERLINK("Gene1266-zp_tree_all.dnd", "Gene1266-tree")</f>
        <v>Gene1266-tree</v>
      </c>
      <c r="Q64">
        <v>4</v>
      </c>
      <c r="R64">
        <v>3</v>
      </c>
      <c r="S64">
        <v>4</v>
      </c>
      <c r="T64">
        <v>3</v>
      </c>
      <c r="U64">
        <v>0.42857000000000001</v>
      </c>
      <c r="V64" t="s">
        <v>61</v>
      </c>
      <c r="W64" t="s">
        <v>324</v>
      </c>
      <c r="X64" t="s">
        <v>62</v>
      </c>
      <c r="Y64" t="s">
        <v>62</v>
      </c>
      <c r="Z64">
        <v>0</v>
      </c>
      <c r="AA64">
        <v>0</v>
      </c>
      <c r="AB64">
        <v>3</v>
      </c>
      <c r="AC64">
        <v>0</v>
      </c>
      <c r="AD64" s="47">
        <v>0</v>
      </c>
      <c r="AE64" s="47">
        <v>0</v>
      </c>
      <c r="AF64" s="47">
        <v>0</v>
      </c>
      <c r="AG64" s="47">
        <v>0</v>
      </c>
      <c r="AH64" s="47">
        <v>0</v>
      </c>
      <c r="AI64" s="47">
        <v>0</v>
      </c>
      <c r="AJ64" s="47">
        <v>0</v>
      </c>
      <c r="AK64" s="47">
        <v>0</v>
      </c>
      <c r="AL64">
        <v>3</v>
      </c>
      <c r="AM64">
        <v>0</v>
      </c>
      <c r="AN64">
        <v>5</v>
      </c>
      <c r="AO64">
        <v>2</v>
      </c>
      <c r="AP64">
        <v>3</v>
      </c>
      <c r="AQ64">
        <v>3</v>
      </c>
      <c r="AR64">
        <v>2</v>
      </c>
      <c r="AS64">
        <v>0</v>
      </c>
      <c r="AT64" t="s">
        <v>7939</v>
      </c>
      <c r="AU64" t="s">
        <v>193</v>
      </c>
      <c r="AV64">
        <v>1.677</v>
      </c>
      <c r="AW64" t="s">
        <v>65</v>
      </c>
      <c r="AX64">
        <v>5</v>
      </c>
      <c r="AY64">
        <v>3</v>
      </c>
      <c r="AZ64" t="s">
        <v>7940</v>
      </c>
      <c r="BA64">
        <v>5.1819999999999998E-2</v>
      </c>
      <c r="BB64">
        <v>-6.2599999999999999E-3</v>
      </c>
      <c r="BC64">
        <v>5.8399999999999997E-3</v>
      </c>
      <c r="BD64">
        <v>-9.5E-4</v>
      </c>
      <c r="BE64">
        <v>0.11276</v>
      </c>
      <c r="BF64">
        <v>0.97799999999999998</v>
      </c>
      <c r="BG64" t="s">
        <v>69</v>
      </c>
      <c r="BH64">
        <v>-6.5000000000000002E-2</v>
      </c>
      <c r="BI64">
        <v>-9.8000000000000004E-2</v>
      </c>
    </row>
    <row r="65" spans="3:61">
      <c r="C65">
        <v>0</v>
      </c>
      <c r="D65">
        <v>0</v>
      </c>
      <c r="E65">
        <v>0</v>
      </c>
      <c r="F65" t="s">
        <v>25021</v>
      </c>
      <c r="G65">
        <v>3890</v>
      </c>
      <c r="H65" t="s">
        <v>22809</v>
      </c>
      <c r="I65" t="s">
        <v>57</v>
      </c>
      <c r="J65">
        <v>3853486</v>
      </c>
      <c r="K65">
        <v>3853671</v>
      </c>
      <c r="L65" t="s">
        <v>22810</v>
      </c>
      <c r="M65">
        <v>62</v>
      </c>
      <c r="N65" t="s">
        <v>59</v>
      </c>
      <c r="O65">
        <v>49</v>
      </c>
      <c r="P65" t="str">
        <f>HYPERLINK("Gene3890-zp_tree_all.dnd", "Gene3890-tree")</f>
        <v>Gene3890-tree</v>
      </c>
      <c r="Q65">
        <v>4</v>
      </c>
      <c r="R65">
        <v>1</v>
      </c>
      <c r="S65">
        <v>4</v>
      </c>
      <c r="T65">
        <v>1</v>
      </c>
      <c r="U65">
        <v>0.2</v>
      </c>
      <c r="V65" t="s">
        <v>61</v>
      </c>
      <c r="W65" t="s">
        <v>175</v>
      </c>
      <c r="X65" t="s">
        <v>62</v>
      </c>
      <c r="Y65" t="s">
        <v>62</v>
      </c>
      <c r="Z65">
        <v>0</v>
      </c>
      <c r="AA65">
        <v>0</v>
      </c>
      <c r="AB65">
        <v>2</v>
      </c>
      <c r="AC65">
        <v>0</v>
      </c>
      <c r="AD65" s="47">
        <v>0</v>
      </c>
      <c r="AE65" s="47">
        <v>0</v>
      </c>
      <c r="AF65" s="47">
        <v>0</v>
      </c>
      <c r="AG65" s="47">
        <v>0</v>
      </c>
      <c r="AH65" s="47">
        <v>0</v>
      </c>
      <c r="AI65" s="47">
        <v>0</v>
      </c>
      <c r="AJ65" s="47">
        <v>0</v>
      </c>
      <c r="AK65" s="47">
        <v>0</v>
      </c>
      <c r="AL65">
        <v>2</v>
      </c>
      <c r="AM65">
        <v>0</v>
      </c>
      <c r="AN65">
        <v>3</v>
      </c>
      <c r="AO65">
        <v>1</v>
      </c>
      <c r="AP65">
        <v>3</v>
      </c>
      <c r="AQ65">
        <v>2</v>
      </c>
      <c r="AR65">
        <v>2</v>
      </c>
      <c r="AS65">
        <v>0</v>
      </c>
      <c r="AT65" t="s">
        <v>22811</v>
      </c>
      <c r="AU65" t="s">
        <v>193</v>
      </c>
      <c r="AV65">
        <v>0.64800000000000002</v>
      </c>
      <c r="AW65" t="s">
        <v>65</v>
      </c>
      <c r="AX65">
        <v>5</v>
      </c>
      <c r="AY65">
        <v>2</v>
      </c>
      <c r="AZ65" t="s">
        <v>22812</v>
      </c>
      <c r="BA65">
        <v>5.6590000000000001E-2</v>
      </c>
      <c r="BB65">
        <v>-5.7600000000000004E-3</v>
      </c>
      <c r="BC65">
        <v>5.5599999999999998E-3</v>
      </c>
      <c r="BD65">
        <v>-2.15E-3</v>
      </c>
      <c r="BE65">
        <v>9.8180000000000003E-2</v>
      </c>
      <c r="BF65">
        <v>1</v>
      </c>
      <c r="BG65" t="s">
        <v>69</v>
      </c>
      <c r="BH65">
        <v>-1.4510000000000001</v>
      </c>
      <c r="BI65">
        <v>-1.393</v>
      </c>
    </row>
    <row r="66" spans="3:61">
      <c r="C66">
        <v>0</v>
      </c>
      <c r="D66">
        <v>0</v>
      </c>
      <c r="E66">
        <v>6</v>
      </c>
      <c r="F66" t="s">
        <v>25021</v>
      </c>
      <c r="G66">
        <v>3566</v>
      </c>
      <c r="H66" t="s">
        <v>20920</v>
      </c>
      <c r="I66" t="s">
        <v>57</v>
      </c>
      <c r="J66">
        <v>3532107</v>
      </c>
      <c r="K66">
        <v>3532295</v>
      </c>
      <c r="L66" t="s">
        <v>20921</v>
      </c>
      <c r="M66">
        <v>63</v>
      </c>
      <c r="N66" t="s">
        <v>20922</v>
      </c>
      <c r="O66">
        <v>44</v>
      </c>
      <c r="P66" t="str">
        <f>HYPERLINK("Gene3566-zp_tree_all.dnd", "Gene3566-tree")</f>
        <v>Gene3566-tree</v>
      </c>
      <c r="Q66">
        <v>2</v>
      </c>
      <c r="R66">
        <v>29</v>
      </c>
      <c r="S66">
        <v>2</v>
      </c>
      <c r="T66">
        <v>7</v>
      </c>
      <c r="U66">
        <v>0.77778000000000003</v>
      </c>
      <c r="V66" t="s">
        <v>81</v>
      </c>
      <c r="W66" t="s">
        <v>1406</v>
      </c>
      <c r="X66">
        <v>1.1930000000000001</v>
      </c>
      <c r="Y66" t="s">
        <v>65</v>
      </c>
      <c r="Z66">
        <v>3</v>
      </c>
      <c r="AA66">
        <v>6</v>
      </c>
      <c r="AB66">
        <v>5</v>
      </c>
      <c r="AC66">
        <v>0.54544999999999999</v>
      </c>
      <c r="AD66" s="47">
        <v>0</v>
      </c>
      <c r="AE66" s="47">
        <v>0</v>
      </c>
      <c r="AF66" s="47">
        <v>0</v>
      </c>
      <c r="AG66" s="47">
        <v>0</v>
      </c>
      <c r="AH66" s="47">
        <v>0</v>
      </c>
      <c r="AI66" s="47">
        <v>0</v>
      </c>
      <c r="AJ66" s="47">
        <v>6</v>
      </c>
      <c r="AK66" s="47">
        <v>6</v>
      </c>
      <c r="AL66">
        <v>5</v>
      </c>
      <c r="AM66">
        <v>0.54544999999999999</v>
      </c>
      <c r="AN66">
        <v>5</v>
      </c>
      <c r="AO66">
        <v>3</v>
      </c>
      <c r="AP66">
        <v>1</v>
      </c>
      <c r="AQ66">
        <v>9</v>
      </c>
      <c r="AR66">
        <v>2</v>
      </c>
      <c r="AS66">
        <v>2</v>
      </c>
      <c r="AT66" t="s">
        <v>20923</v>
      </c>
      <c r="AU66" t="s">
        <v>20924</v>
      </c>
      <c r="AV66">
        <v>0.41299999999999998</v>
      </c>
      <c r="AW66" t="s">
        <v>65</v>
      </c>
      <c r="AX66">
        <v>3</v>
      </c>
      <c r="AY66">
        <v>11</v>
      </c>
      <c r="AZ66" t="s">
        <v>20925</v>
      </c>
      <c r="BA66">
        <v>2.4170000000000001E-2</v>
      </c>
      <c r="BB66">
        <v>-3.31E-3</v>
      </c>
      <c r="BC66">
        <v>2.103E-2</v>
      </c>
      <c r="BD66">
        <v>-2.33E-3</v>
      </c>
      <c r="BE66">
        <v>0.87031999999999998</v>
      </c>
      <c r="BF66">
        <v>0.42399999999999999</v>
      </c>
      <c r="BG66" t="s">
        <v>635</v>
      </c>
      <c r="BH66">
        <v>-1.3009999999999999</v>
      </c>
      <c r="BI66">
        <v>-2.9319999999999999</v>
      </c>
    </row>
    <row r="67" spans="3:61">
      <c r="C67">
        <v>0</v>
      </c>
      <c r="D67">
        <v>0</v>
      </c>
      <c r="E67">
        <v>0</v>
      </c>
      <c r="F67" t="s">
        <v>25021</v>
      </c>
      <c r="G67">
        <v>2926</v>
      </c>
      <c r="H67" t="s">
        <v>16857</v>
      </c>
      <c r="I67" t="s">
        <v>57</v>
      </c>
      <c r="J67">
        <v>2869754</v>
      </c>
      <c r="K67">
        <v>2869942</v>
      </c>
      <c r="L67" t="s">
        <v>116</v>
      </c>
      <c r="M67">
        <v>63</v>
      </c>
      <c r="N67" t="s">
        <v>409</v>
      </c>
      <c r="O67">
        <v>45</v>
      </c>
      <c r="P67" t="str">
        <f>HYPERLINK("Gene2926-zp_tree_all.dnd", "Gene2926-tree")</f>
        <v>Gene2926-tree</v>
      </c>
      <c r="Q67">
        <v>3</v>
      </c>
      <c r="R67">
        <v>1</v>
      </c>
      <c r="S67">
        <v>3</v>
      </c>
      <c r="T67">
        <v>1</v>
      </c>
      <c r="U67">
        <v>0.25</v>
      </c>
      <c r="V67" t="s">
        <v>324</v>
      </c>
      <c r="W67" t="s">
        <v>175</v>
      </c>
      <c r="X67" t="s">
        <v>62</v>
      </c>
      <c r="Y67" t="s">
        <v>62</v>
      </c>
      <c r="Z67">
        <v>0</v>
      </c>
      <c r="AA67">
        <v>0</v>
      </c>
      <c r="AB67">
        <v>1</v>
      </c>
      <c r="AC67">
        <v>0</v>
      </c>
      <c r="AD67" s="47">
        <v>0</v>
      </c>
      <c r="AE67" s="47">
        <v>0</v>
      </c>
      <c r="AF67" s="47">
        <v>0</v>
      </c>
      <c r="AG67" s="47">
        <v>0</v>
      </c>
      <c r="AH67" s="47">
        <v>0</v>
      </c>
      <c r="AI67" s="47">
        <v>0</v>
      </c>
      <c r="AJ67" s="47">
        <v>0</v>
      </c>
      <c r="AK67" s="47">
        <v>0</v>
      </c>
      <c r="AL67">
        <v>1</v>
      </c>
      <c r="AM67">
        <v>0</v>
      </c>
      <c r="AN67">
        <v>2</v>
      </c>
      <c r="AO67">
        <v>1</v>
      </c>
      <c r="AP67">
        <v>5</v>
      </c>
      <c r="AQ67">
        <v>1</v>
      </c>
      <c r="AR67">
        <v>1</v>
      </c>
      <c r="AS67">
        <v>0</v>
      </c>
      <c r="AT67" t="s">
        <v>16858</v>
      </c>
      <c r="AU67" t="s">
        <v>193</v>
      </c>
      <c r="AV67">
        <v>0.70699999999999996</v>
      </c>
      <c r="AW67" t="s">
        <v>65</v>
      </c>
      <c r="AX67">
        <v>6</v>
      </c>
      <c r="AY67">
        <v>1</v>
      </c>
      <c r="AZ67" t="s">
        <v>16859</v>
      </c>
      <c r="BA67">
        <v>6.5430000000000002E-2</v>
      </c>
      <c r="BB67">
        <v>-2.0969999999999999E-2</v>
      </c>
      <c r="BC67">
        <v>3.5200000000000001E-3</v>
      </c>
      <c r="BD67">
        <v>-1.31E-3</v>
      </c>
      <c r="BE67">
        <v>5.3850000000000002E-2</v>
      </c>
      <c r="BF67">
        <v>1</v>
      </c>
      <c r="BG67" t="s">
        <v>69</v>
      </c>
      <c r="BH67">
        <v>-1.7230000000000001</v>
      </c>
      <c r="BI67">
        <v>-3.8740000000000001</v>
      </c>
    </row>
    <row r="68" spans="3:61">
      <c r="C68">
        <v>0</v>
      </c>
      <c r="D68">
        <v>4</v>
      </c>
      <c r="E68">
        <v>0</v>
      </c>
      <c r="F68" t="s">
        <v>25021</v>
      </c>
      <c r="G68">
        <v>882</v>
      </c>
      <c r="H68" t="s">
        <v>5510</v>
      </c>
      <c r="I68" t="s">
        <v>62</v>
      </c>
      <c r="J68">
        <v>924213</v>
      </c>
      <c r="K68">
        <v>924401</v>
      </c>
      <c r="L68" t="s">
        <v>288</v>
      </c>
      <c r="M68">
        <v>63</v>
      </c>
      <c r="N68" t="s">
        <v>59</v>
      </c>
      <c r="O68">
        <v>49</v>
      </c>
      <c r="P68" t="str">
        <f>HYPERLINK("Gene882-zp_tree_all.dnd", "Gene882-tree")</f>
        <v>Gene882-tree</v>
      </c>
      <c r="Q68">
        <v>3</v>
      </c>
      <c r="R68">
        <v>6</v>
      </c>
      <c r="S68">
        <v>3</v>
      </c>
      <c r="T68">
        <v>6</v>
      </c>
      <c r="U68">
        <v>0.66666999999999998</v>
      </c>
      <c r="V68" t="s">
        <v>324</v>
      </c>
      <c r="W68" t="s">
        <v>90</v>
      </c>
      <c r="X68" t="s">
        <v>62</v>
      </c>
      <c r="Y68" t="s">
        <v>62</v>
      </c>
      <c r="Z68">
        <v>1</v>
      </c>
      <c r="AA68">
        <v>4</v>
      </c>
      <c r="AB68">
        <v>2</v>
      </c>
      <c r="AC68">
        <v>0.66666999999999998</v>
      </c>
      <c r="AD68" s="47">
        <v>0</v>
      </c>
      <c r="AE68" s="47">
        <v>0</v>
      </c>
      <c r="AF68" s="47">
        <v>0</v>
      </c>
      <c r="AG68" s="47">
        <v>0</v>
      </c>
      <c r="AH68" s="47">
        <v>0</v>
      </c>
      <c r="AI68" s="47">
        <v>4</v>
      </c>
      <c r="AJ68" s="47">
        <v>0</v>
      </c>
      <c r="AK68" s="47">
        <v>4</v>
      </c>
      <c r="AL68">
        <v>2</v>
      </c>
      <c r="AM68">
        <v>0.66666999999999998</v>
      </c>
      <c r="AN68">
        <v>7</v>
      </c>
      <c r="AO68">
        <v>4</v>
      </c>
      <c r="AP68">
        <v>6</v>
      </c>
      <c r="AQ68">
        <v>5</v>
      </c>
      <c r="AR68">
        <v>7</v>
      </c>
      <c r="AS68">
        <v>1</v>
      </c>
      <c r="AT68" t="s">
        <v>5511</v>
      </c>
      <c r="AU68" t="s">
        <v>5512</v>
      </c>
      <c r="AV68">
        <v>0.96499999999999997</v>
      </c>
      <c r="AW68" t="s">
        <v>65</v>
      </c>
      <c r="AX68">
        <v>13</v>
      </c>
      <c r="AY68">
        <v>6</v>
      </c>
      <c r="AZ68" t="s">
        <v>5513</v>
      </c>
      <c r="BA68">
        <v>0.12987000000000001</v>
      </c>
      <c r="BB68">
        <v>-1.226E-2</v>
      </c>
      <c r="BC68">
        <v>6.9100000000000003E-3</v>
      </c>
      <c r="BD68">
        <v>-8.4000000000000003E-4</v>
      </c>
      <c r="BE68">
        <v>5.323E-2</v>
      </c>
      <c r="BF68">
        <v>1</v>
      </c>
      <c r="BG68" t="s">
        <v>69</v>
      </c>
      <c r="BH68">
        <v>-0.94399999999999995</v>
      </c>
      <c r="BI68">
        <v>0.19900000000000001</v>
      </c>
    </row>
    <row r="69" spans="3:61">
      <c r="C69">
        <v>0</v>
      </c>
      <c r="D69">
        <v>0</v>
      </c>
      <c r="E69">
        <v>0</v>
      </c>
      <c r="F69" t="s">
        <v>25021</v>
      </c>
      <c r="G69">
        <v>3042</v>
      </c>
      <c r="H69" t="s">
        <v>17597</v>
      </c>
      <c r="I69" t="s">
        <v>57</v>
      </c>
      <c r="J69">
        <v>2995699</v>
      </c>
      <c r="K69">
        <v>2995887</v>
      </c>
      <c r="L69" t="s">
        <v>17598</v>
      </c>
      <c r="M69">
        <v>63</v>
      </c>
      <c r="N69" t="s">
        <v>59</v>
      </c>
      <c r="O69">
        <v>49</v>
      </c>
      <c r="P69" t="str">
        <f>HYPERLINK("Gene3042-zp_tree_all.dnd", "Gene3042-tree")</f>
        <v>Gene3042-tree</v>
      </c>
      <c r="Q69">
        <v>5</v>
      </c>
      <c r="R69">
        <v>0</v>
      </c>
      <c r="S69">
        <v>5</v>
      </c>
      <c r="T69">
        <v>0</v>
      </c>
      <c r="U69">
        <v>0</v>
      </c>
      <c r="V69" t="s">
        <v>199</v>
      </c>
      <c r="W69" t="s">
        <v>62</v>
      </c>
      <c r="X69" t="s">
        <v>62</v>
      </c>
      <c r="Y69" t="s">
        <v>62</v>
      </c>
      <c r="Z69">
        <v>0</v>
      </c>
      <c r="AA69">
        <v>0</v>
      </c>
      <c r="AB69">
        <v>1</v>
      </c>
      <c r="AC69">
        <v>0</v>
      </c>
      <c r="AD69" s="47">
        <v>0</v>
      </c>
      <c r="AE69" s="47">
        <v>0</v>
      </c>
      <c r="AF69" s="47">
        <v>0</v>
      </c>
      <c r="AG69" s="47">
        <v>1</v>
      </c>
      <c r="AH69" s="47">
        <v>0</v>
      </c>
      <c r="AI69" s="47">
        <v>0</v>
      </c>
      <c r="AJ69" s="47">
        <v>0</v>
      </c>
      <c r="AK69" s="47">
        <v>0</v>
      </c>
      <c r="AL69">
        <v>0</v>
      </c>
      <c r="AM69">
        <v>0</v>
      </c>
      <c r="AN69">
        <v>2</v>
      </c>
      <c r="AO69">
        <v>2</v>
      </c>
      <c r="AP69">
        <v>2</v>
      </c>
      <c r="AQ69">
        <v>0</v>
      </c>
      <c r="AR69">
        <v>4</v>
      </c>
      <c r="AS69">
        <v>1</v>
      </c>
      <c r="AT69" t="s">
        <v>193</v>
      </c>
      <c r="AU69" t="s">
        <v>17599</v>
      </c>
      <c r="AV69">
        <v>1.4139999999999999</v>
      </c>
      <c r="AW69" t="s">
        <v>65</v>
      </c>
      <c r="AX69">
        <v>6</v>
      </c>
      <c r="AY69">
        <v>1</v>
      </c>
      <c r="AZ69" t="s">
        <v>17600</v>
      </c>
      <c r="BA69">
        <v>8.2350000000000007E-2</v>
      </c>
      <c r="BB69">
        <v>-1.417E-2</v>
      </c>
      <c r="BC69">
        <v>4.0899999999999999E-3</v>
      </c>
      <c r="BD69">
        <v>-9.7000000000000005E-4</v>
      </c>
      <c r="BE69">
        <v>4.9680000000000002E-2</v>
      </c>
      <c r="BF69">
        <v>1</v>
      </c>
      <c r="BG69" t="s">
        <v>69</v>
      </c>
      <c r="BH69">
        <v>-1.171</v>
      </c>
      <c r="BI69">
        <v>-0.308</v>
      </c>
    </row>
    <row r="70" spans="3:61">
      <c r="C70">
        <v>0</v>
      </c>
      <c r="D70">
        <v>0</v>
      </c>
      <c r="E70">
        <v>0</v>
      </c>
      <c r="F70" t="s">
        <v>25021</v>
      </c>
      <c r="G70">
        <v>619</v>
      </c>
      <c r="H70" t="s">
        <v>3982</v>
      </c>
      <c r="I70" t="s">
        <v>62</v>
      </c>
      <c r="J70">
        <v>648745</v>
      </c>
      <c r="K70">
        <v>648933</v>
      </c>
      <c r="L70" t="s">
        <v>288</v>
      </c>
      <c r="M70">
        <v>63</v>
      </c>
      <c r="N70" t="s">
        <v>59</v>
      </c>
      <c r="O70">
        <v>49</v>
      </c>
      <c r="P70" t="str">
        <f>HYPERLINK("Gene619-zp_tree_all.dnd", "Gene619-tree")</f>
        <v>Gene619-tree</v>
      </c>
      <c r="Q70">
        <v>7</v>
      </c>
      <c r="R70">
        <v>0</v>
      </c>
      <c r="S70">
        <v>7</v>
      </c>
      <c r="T70">
        <v>0</v>
      </c>
      <c r="U70">
        <v>0</v>
      </c>
      <c r="V70" t="s">
        <v>152</v>
      </c>
      <c r="W70" t="s">
        <v>62</v>
      </c>
      <c r="X70" t="s">
        <v>62</v>
      </c>
      <c r="Y70" t="s">
        <v>62</v>
      </c>
      <c r="Z70">
        <v>0</v>
      </c>
      <c r="AA70">
        <v>0</v>
      </c>
      <c r="AB70">
        <v>0</v>
      </c>
      <c r="AC70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0</v>
      </c>
      <c r="AL70">
        <v>0</v>
      </c>
      <c r="AM70">
        <v>0</v>
      </c>
      <c r="AN70">
        <v>5</v>
      </c>
      <c r="AO70">
        <v>2</v>
      </c>
      <c r="AP70">
        <v>7</v>
      </c>
      <c r="AQ70">
        <v>0</v>
      </c>
      <c r="AR70">
        <v>2</v>
      </c>
      <c r="AS70">
        <v>0</v>
      </c>
      <c r="AT70" t="s">
        <v>193</v>
      </c>
      <c r="AU70" t="s">
        <v>193</v>
      </c>
      <c r="AV70">
        <v>0</v>
      </c>
      <c r="AW70" t="s">
        <v>65</v>
      </c>
      <c r="AX70">
        <v>9</v>
      </c>
      <c r="AY70">
        <v>0</v>
      </c>
      <c r="AZ70" t="s">
        <v>3983</v>
      </c>
      <c r="BA70">
        <v>7.6480000000000006E-2</v>
      </c>
      <c r="BB70">
        <v>-7.3200000000000001E-3</v>
      </c>
      <c r="BC70">
        <v>0</v>
      </c>
      <c r="BD70">
        <v>0</v>
      </c>
      <c r="BE70">
        <v>0</v>
      </c>
      <c r="BF70">
        <v>1</v>
      </c>
      <c r="BG70" t="s">
        <v>69</v>
      </c>
      <c r="BH70">
        <v>-1.0549999999999999</v>
      </c>
      <c r="BI70">
        <v>-0.61699999999999999</v>
      </c>
    </row>
    <row r="71" spans="3:61">
      <c r="C71">
        <v>0</v>
      </c>
      <c r="D71">
        <v>0</v>
      </c>
      <c r="E71">
        <v>0</v>
      </c>
      <c r="F71" t="s">
        <v>25021</v>
      </c>
      <c r="G71">
        <v>2812</v>
      </c>
      <c r="H71" t="s">
        <v>16128</v>
      </c>
      <c r="I71" t="s">
        <v>57</v>
      </c>
      <c r="J71">
        <v>2755987</v>
      </c>
      <c r="K71">
        <v>2756178</v>
      </c>
      <c r="L71" t="s">
        <v>16129</v>
      </c>
      <c r="M71">
        <v>64</v>
      </c>
      <c r="N71" t="s">
        <v>16130</v>
      </c>
      <c r="O71">
        <v>38</v>
      </c>
      <c r="P71" t="str">
        <f>HYPERLINK("Gene2812-zp_tree_all.dnd", "Gene2812-tree")</f>
        <v>Gene2812-tree</v>
      </c>
      <c r="Q71">
        <v>0</v>
      </c>
      <c r="R71">
        <v>5</v>
      </c>
      <c r="S71">
        <v>0</v>
      </c>
      <c r="T71">
        <v>5</v>
      </c>
      <c r="U71">
        <v>1</v>
      </c>
      <c r="V71" t="s">
        <v>62</v>
      </c>
      <c r="W71" t="s">
        <v>199</v>
      </c>
      <c r="X71" t="s">
        <v>62</v>
      </c>
      <c r="Y71" t="s">
        <v>62</v>
      </c>
      <c r="Z71">
        <v>0</v>
      </c>
      <c r="AA71">
        <v>0</v>
      </c>
      <c r="AB71">
        <v>8</v>
      </c>
      <c r="AC71">
        <v>0</v>
      </c>
      <c r="AD71" s="47">
        <v>0</v>
      </c>
      <c r="AE71" s="47">
        <v>0</v>
      </c>
      <c r="AF71" s="47">
        <v>0</v>
      </c>
      <c r="AG71" s="47">
        <v>0</v>
      </c>
      <c r="AH71" s="47">
        <v>0</v>
      </c>
      <c r="AI71" s="47">
        <v>0</v>
      </c>
      <c r="AJ71" s="47">
        <v>0</v>
      </c>
      <c r="AK71" s="47">
        <v>0</v>
      </c>
      <c r="AL71">
        <v>8</v>
      </c>
      <c r="AM71">
        <v>0</v>
      </c>
      <c r="AN71">
        <v>2</v>
      </c>
      <c r="AO71">
        <v>2</v>
      </c>
      <c r="AP71">
        <v>0</v>
      </c>
      <c r="AQ71">
        <v>3</v>
      </c>
      <c r="AR71">
        <v>2</v>
      </c>
      <c r="AS71">
        <v>6</v>
      </c>
      <c r="AT71" t="s">
        <v>193</v>
      </c>
      <c r="AU71" t="s">
        <v>16131</v>
      </c>
      <c r="AV71">
        <v>0.97499999999999998</v>
      </c>
      <c r="AW71" t="s">
        <v>65</v>
      </c>
      <c r="AX71">
        <v>2</v>
      </c>
      <c r="AY71">
        <v>9</v>
      </c>
      <c r="AZ71" t="s">
        <v>16132</v>
      </c>
      <c r="BA71">
        <v>2.9180000000000001E-2</v>
      </c>
      <c r="BB71">
        <v>-6.9499999999999996E-3</v>
      </c>
      <c r="BC71">
        <v>3.3050000000000003E-2</v>
      </c>
      <c r="BD71">
        <v>-6.0699999999999999E-3</v>
      </c>
      <c r="BE71">
        <v>1.1325799999999999</v>
      </c>
      <c r="BF71">
        <v>0.52100000000000002</v>
      </c>
      <c r="BG71" t="s">
        <v>635</v>
      </c>
      <c r="BH71">
        <v>-0.23200000000000001</v>
      </c>
      <c r="BI71">
        <v>0.36899999999999999</v>
      </c>
    </row>
    <row r="72" spans="3:61">
      <c r="C72">
        <v>0</v>
      </c>
      <c r="D72">
        <v>0</v>
      </c>
      <c r="E72">
        <v>2</v>
      </c>
      <c r="F72" t="s">
        <v>25021</v>
      </c>
      <c r="G72">
        <v>1249</v>
      </c>
      <c r="H72" t="s">
        <v>7827</v>
      </c>
      <c r="I72" t="s">
        <v>62</v>
      </c>
      <c r="J72">
        <v>1278208</v>
      </c>
      <c r="K72">
        <v>1278399</v>
      </c>
      <c r="L72" t="s">
        <v>288</v>
      </c>
      <c r="M72">
        <v>64</v>
      </c>
      <c r="N72" t="s">
        <v>465</v>
      </c>
      <c r="O72">
        <v>46</v>
      </c>
      <c r="P72" t="str">
        <f>HYPERLINK("Gene1249-zp_tree_all.dnd", "Gene1249-tree")</f>
        <v>Gene1249-tree</v>
      </c>
      <c r="Q72">
        <v>4</v>
      </c>
      <c r="R72">
        <v>3</v>
      </c>
      <c r="S72">
        <v>4</v>
      </c>
      <c r="T72">
        <v>3</v>
      </c>
      <c r="U72">
        <v>0.42857000000000001</v>
      </c>
      <c r="V72" t="s">
        <v>61</v>
      </c>
      <c r="W72" t="s">
        <v>324</v>
      </c>
      <c r="X72" t="s">
        <v>62</v>
      </c>
      <c r="Y72" t="s">
        <v>62</v>
      </c>
      <c r="Z72">
        <v>1</v>
      </c>
      <c r="AA72">
        <v>2</v>
      </c>
      <c r="AB72">
        <v>3</v>
      </c>
      <c r="AC72">
        <v>0.4</v>
      </c>
      <c r="AD72" s="47">
        <v>0</v>
      </c>
      <c r="AE72" s="47">
        <v>0</v>
      </c>
      <c r="AF72" s="47">
        <v>0</v>
      </c>
      <c r="AG72" s="47">
        <v>0</v>
      </c>
      <c r="AH72" s="47">
        <v>0</v>
      </c>
      <c r="AI72" s="47">
        <v>0</v>
      </c>
      <c r="AJ72" s="47">
        <v>2</v>
      </c>
      <c r="AK72" s="47">
        <v>2</v>
      </c>
      <c r="AL72">
        <v>3</v>
      </c>
      <c r="AM72">
        <v>0.4</v>
      </c>
      <c r="AN72">
        <v>6</v>
      </c>
      <c r="AO72">
        <v>2</v>
      </c>
      <c r="AP72">
        <v>13</v>
      </c>
      <c r="AQ72">
        <v>5</v>
      </c>
      <c r="AR72">
        <v>3</v>
      </c>
      <c r="AS72">
        <v>0</v>
      </c>
      <c r="AT72" t="s">
        <v>7828</v>
      </c>
      <c r="AU72" t="s">
        <v>193</v>
      </c>
      <c r="AV72">
        <v>1.0389999999999999</v>
      </c>
      <c r="AW72" t="s">
        <v>65</v>
      </c>
      <c r="AX72">
        <v>16</v>
      </c>
      <c r="AY72">
        <v>5</v>
      </c>
      <c r="AZ72" t="s">
        <v>7829</v>
      </c>
      <c r="BA72">
        <v>0.11451</v>
      </c>
      <c r="BB72">
        <v>-1.5740000000000001E-2</v>
      </c>
      <c r="BC72">
        <v>9.4900000000000002E-3</v>
      </c>
      <c r="BD72">
        <v>-1.9400000000000001E-3</v>
      </c>
      <c r="BE72">
        <v>8.2869999999999999E-2</v>
      </c>
      <c r="BF72">
        <v>1</v>
      </c>
      <c r="BG72" t="s">
        <v>69</v>
      </c>
      <c r="BH72">
        <v>-1.385</v>
      </c>
      <c r="BI72">
        <v>1.208</v>
      </c>
    </row>
    <row r="73" spans="3:61">
      <c r="C73">
        <v>0</v>
      </c>
      <c r="D73">
        <v>0</v>
      </c>
      <c r="E73">
        <v>0</v>
      </c>
      <c r="F73" t="s">
        <v>25021</v>
      </c>
      <c r="G73">
        <v>1398</v>
      </c>
      <c r="H73" t="s">
        <v>8753</v>
      </c>
      <c r="I73" t="s">
        <v>62</v>
      </c>
      <c r="J73">
        <v>1413803</v>
      </c>
      <c r="K73">
        <v>1413994</v>
      </c>
      <c r="L73" t="s">
        <v>389</v>
      </c>
      <c r="M73">
        <v>64</v>
      </c>
      <c r="N73" t="s">
        <v>59</v>
      </c>
      <c r="O73">
        <v>49</v>
      </c>
      <c r="P73" t="str">
        <f>HYPERLINK("Gene1398-zp_tree_all.dnd", "Gene1398-tree")</f>
        <v>Gene1398-tree</v>
      </c>
      <c r="Q73">
        <v>7</v>
      </c>
      <c r="R73">
        <v>0</v>
      </c>
      <c r="S73">
        <v>7</v>
      </c>
      <c r="T73">
        <v>0</v>
      </c>
      <c r="U73">
        <v>0</v>
      </c>
      <c r="V73" t="s">
        <v>152</v>
      </c>
      <c r="W73" t="s">
        <v>62</v>
      </c>
      <c r="X73" t="s">
        <v>62</v>
      </c>
      <c r="Y73" t="s">
        <v>62</v>
      </c>
      <c r="Z73">
        <v>0</v>
      </c>
      <c r="AA73">
        <v>0</v>
      </c>
      <c r="AB73">
        <v>0</v>
      </c>
      <c r="AC73">
        <v>0</v>
      </c>
      <c r="AD73" s="47">
        <v>0</v>
      </c>
      <c r="AE73" s="47">
        <v>0</v>
      </c>
      <c r="AF73" s="47">
        <v>0</v>
      </c>
      <c r="AG73" s="47">
        <v>0</v>
      </c>
      <c r="AH73" s="47">
        <v>0</v>
      </c>
      <c r="AI73" s="47">
        <v>0</v>
      </c>
      <c r="AJ73" s="47">
        <v>0</v>
      </c>
      <c r="AK73" s="47">
        <v>0</v>
      </c>
      <c r="AL73">
        <v>0</v>
      </c>
      <c r="AM73">
        <v>0</v>
      </c>
      <c r="AN73">
        <v>5</v>
      </c>
      <c r="AO73">
        <v>2</v>
      </c>
      <c r="AP73">
        <v>6</v>
      </c>
      <c r="AQ73">
        <v>0</v>
      </c>
      <c r="AR73">
        <v>2</v>
      </c>
      <c r="AS73">
        <v>0</v>
      </c>
      <c r="AT73" t="s">
        <v>193</v>
      </c>
      <c r="AU73" t="s">
        <v>193</v>
      </c>
      <c r="AV73">
        <v>0</v>
      </c>
      <c r="AW73" t="s">
        <v>65</v>
      </c>
      <c r="AX73">
        <v>8</v>
      </c>
      <c r="AY73">
        <v>0</v>
      </c>
      <c r="AZ73" t="s">
        <v>8754</v>
      </c>
      <c r="BA73">
        <v>6.3E-2</v>
      </c>
      <c r="BB73">
        <v>-4.9800000000000001E-3</v>
      </c>
      <c r="BC73">
        <v>0</v>
      </c>
      <c r="BD73">
        <v>0</v>
      </c>
      <c r="BE73">
        <v>0</v>
      </c>
      <c r="BF73">
        <v>1</v>
      </c>
      <c r="BG73" t="s">
        <v>69</v>
      </c>
      <c r="BH73">
        <v>-1.7270000000000001</v>
      </c>
      <c r="BI73">
        <v>-1.5409999999999999</v>
      </c>
    </row>
    <row r="74" spans="3:61">
      <c r="C74">
        <v>0</v>
      </c>
      <c r="D74">
        <v>2</v>
      </c>
      <c r="E74">
        <v>0</v>
      </c>
      <c r="F74" t="s">
        <v>25021</v>
      </c>
      <c r="G74">
        <v>3972</v>
      </c>
      <c r="H74" t="s">
        <v>23340</v>
      </c>
      <c r="I74" t="s">
        <v>57</v>
      </c>
      <c r="J74">
        <v>3935591</v>
      </c>
      <c r="K74">
        <v>3935785</v>
      </c>
      <c r="L74" t="s">
        <v>116</v>
      </c>
      <c r="M74">
        <v>65</v>
      </c>
      <c r="N74" t="s">
        <v>108</v>
      </c>
      <c r="O74">
        <v>44</v>
      </c>
      <c r="P74" t="str">
        <f>HYPERLINK("Gene3972-zp_tree_all.dnd", "Gene3972-tree")</f>
        <v>Gene3972-tree</v>
      </c>
      <c r="Q74">
        <v>6</v>
      </c>
      <c r="R74">
        <v>4</v>
      </c>
      <c r="S74">
        <v>6</v>
      </c>
      <c r="T74">
        <v>4</v>
      </c>
      <c r="U74">
        <v>0.4</v>
      </c>
      <c r="V74" t="s">
        <v>90</v>
      </c>
      <c r="W74" t="s">
        <v>61</v>
      </c>
      <c r="X74" t="s">
        <v>62</v>
      </c>
      <c r="Y74" t="s">
        <v>62</v>
      </c>
      <c r="Z74">
        <v>1</v>
      </c>
      <c r="AA74">
        <v>2</v>
      </c>
      <c r="AB74">
        <v>4</v>
      </c>
      <c r="AC74">
        <v>0.33333000000000002</v>
      </c>
      <c r="AD74" s="47">
        <v>0</v>
      </c>
      <c r="AE74" s="47">
        <v>0</v>
      </c>
      <c r="AF74" s="47">
        <v>0</v>
      </c>
      <c r="AG74" s="47">
        <v>1</v>
      </c>
      <c r="AH74" s="47">
        <v>0</v>
      </c>
      <c r="AI74" s="47">
        <v>0</v>
      </c>
      <c r="AJ74" s="47">
        <v>0</v>
      </c>
      <c r="AK74" s="47">
        <v>0</v>
      </c>
      <c r="AL74">
        <v>5</v>
      </c>
      <c r="AM74">
        <v>0</v>
      </c>
      <c r="AN74">
        <v>6</v>
      </c>
      <c r="AO74">
        <v>4</v>
      </c>
      <c r="AP74">
        <v>4</v>
      </c>
      <c r="AQ74">
        <v>5</v>
      </c>
      <c r="AR74">
        <v>4</v>
      </c>
      <c r="AS74">
        <v>1</v>
      </c>
      <c r="AT74" t="s">
        <v>23341</v>
      </c>
      <c r="AU74" t="s">
        <v>23342</v>
      </c>
      <c r="AV74">
        <v>1.3480000000000001</v>
      </c>
      <c r="AW74" t="s">
        <v>65</v>
      </c>
      <c r="AX74">
        <v>8</v>
      </c>
      <c r="AY74">
        <v>6</v>
      </c>
      <c r="AZ74" t="s">
        <v>23343</v>
      </c>
      <c r="BA74">
        <v>6.071E-2</v>
      </c>
      <c r="BB74">
        <v>-6.7400000000000003E-3</v>
      </c>
      <c r="BC74">
        <v>9.0600000000000003E-3</v>
      </c>
      <c r="BD74">
        <v>-1.0200000000000001E-3</v>
      </c>
      <c r="BE74">
        <v>0.14926</v>
      </c>
      <c r="BF74">
        <v>1</v>
      </c>
      <c r="BG74" t="s">
        <v>69</v>
      </c>
      <c r="BH74">
        <v>0.69299999999999995</v>
      </c>
      <c r="BI74">
        <v>2.9000000000000001E-2</v>
      </c>
    </row>
    <row r="75" spans="3:61">
      <c r="C75">
        <v>0</v>
      </c>
      <c r="D75">
        <v>0</v>
      </c>
      <c r="E75">
        <v>0</v>
      </c>
      <c r="F75" t="s">
        <v>25021</v>
      </c>
      <c r="G75">
        <v>2809</v>
      </c>
      <c r="H75" t="s">
        <v>16110</v>
      </c>
      <c r="I75" t="s">
        <v>57</v>
      </c>
      <c r="J75">
        <v>2754607</v>
      </c>
      <c r="K75">
        <v>2754801</v>
      </c>
      <c r="L75" t="s">
        <v>5691</v>
      </c>
      <c r="M75">
        <v>65</v>
      </c>
      <c r="N75" t="s">
        <v>12268</v>
      </c>
      <c r="O75">
        <v>33</v>
      </c>
      <c r="P75" t="str">
        <f>HYPERLINK("Gene2809-zp_tree_all.dnd", "Gene2809-tree")</f>
        <v>Gene2809-tree</v>
      </c>
      <c r="Q75">
        <v>4</v>
      </c>
      <c r="R75">
        <v>2</v>
      </c>
      <c r="S75">
        <v>4</v>
      </c>
      <c r="T75">
        <v>2</v>
      </c>
      <c r="U75">
        <v>0.33333000000000002</v>
      </c>
      <c r="V75" t="s">
        <v>61</v>
      </c>
      <c r="W75" t="s">
        <v>81</v>
      </c>
      <c r="X75" t="s">
        <v>62</v>
      </c>
      <c r="Y75" t="s">
        <v>62</v>
      </c>
      <c r="Z75">
        <v>0</v>
      </c>
      <c r="AA75">
        <v>0</v>
      </c>
      <c r="AB75">
        <v>3</v>
      </c>
      <c r="AC75">
        <v>0</v>
      </c>
      <c r="AD75" s="47">
        <v>0</v>
      </c>
      <c r="AE75" s="47">
        <v>0</v>
      </c>
      <c r="AF75" s="47">
        <v>0</v>
      </c>
      <c r="AG75" s="47">
        <v>0</v>
      </c>
      <c r="AH75" s="47">
        <v>0</v>
      </c>
      <c r="AI75" s="47">
        <v>0</v>
      </c>
      <c r="AJ75" s="47">
        <v>0</v>
      </c>
      <c r="AK75" s="47">
        <v>0</v>
      </c>
      <c r="AL75">
        <v>3</v>
      </c>
      <c r="AM75">
        <v>0</v>
      </c>
      <c r="AN75">
        <v>4</v>
      </c>
      <c r="AO75">
        <v>1</v>
      </c>
      <c r="AP75">
        <v>5</v>
      </c>
      <c r="AQ75">
        <v>3</v>
      </c>
      <c r="AR75">
        <v>1</v>
      </c>
      <c r="AS75">
        <v>0</v>
      </c>
      <c r="AT75" t="s">
        <v>16111</v>
      </c>
      <c r="AU75" t="s">
        <v>193</v>
      </c>
      <c r="AV75">
        <v>1.198</v>
      </c>
      <c r="AW75" t="s">
        <v>65</v>
      </c>
      <c r="AX75">
        <v>6</v>
      </c>
      <c r="AY75">
        <v>3</v>
      </c>
      <c r="AZ75" t="s">
        <v>16112</v>
      </c>
      <c r="BA75">
        <v>5.6250000000000001E-2</v>
      </c>
      <c r="BB75">
        <v>-7.0600000000000003E-3</v>
      </c>
      <c r="BC75">
        <v>6.5500000000000003E-3</v>
      </c>
      <c r="BD75">
        <v>-1.64E-3</v>
      </c>
      <c r="BE75">
        <v>0.11637</v>
      </c>
      <c r="BF75">
        <v>1</v>
      </c>
      <c r="BG75" t="s">
        <v>69</v>
      </c>
      <c r="BH75">
        <v>-1.468</v>
      </c>
      <c r="BI75">
        <v>-2.8130000000000002</v>
      </c>
    </row>
    <row r="76" spans="3:61">
      <c r="C76">
        <v>0</v>
      </c>
      <c r="D76">
        <v>0</v>
      </c>
      <c r="E76">
        <v>0</v>
      </c>
      <c r="F76" t="s">
        <v>25021</v>
      </c>
      <c r="G76">
        <v>1149</v>
      </c>
      <c r="H76" t="s">
        <v>7226</v>
      </c>
      <c r="I76" t="s">
        <v>62</v>
      </c>
      <c r="J76">
        <v>1190039</v>
      </c>
      <c r="K76">
        <v>1190233</v>
      </c>
      <c r="L76" t="s">
        <v>7227</v>
      </c>
      <c r="M76">
        <v>65</v>
      </c>
      <c r="N76" t="s">
        <v>409</v>
      </c>
      <c r="O76">
        <v>45</v>
      </c>
      <c r="P76" t="str">
        <f>HYPERLINK("Gene1149-zp_tree_all.dnd", "Gene1149-tree")</f>
        <v>Gene1149-tree</v>
      </c>
      <c r="Q76">
        <v>29</v>
      </c>
      <c r="R76">
        <v>1</v>
      </c>
      <c r="S76">
        <v>7</v>
      </c>
      <c r="T76">
        <v>1</v>
      </c>
      <c r="U76">
        <v>0.125</v>
      </c>
      <c r="V76" t="s">
        <v>1406</v>
      </c>
      <c r="W76" t="s">
        <v>175</v>
      </c>
      <c r="X76" t="s">
        <v>62</v>
      </c>
      <c r="Y76" t="s">
        <v>62</v>
      </c>
      <c r="Z76">
        <v>0</v>
      </c>
      <c r="AA76">
        <v>0</v>
      </c>
      <c r="AB76">
        <v>2</v>
      </c>
      <c r="AC76">
        <v>0</v>
      </c>
      <c r="AD76" s="47">
        <v>0</v>
      </c>
      <c r="AE76" s="47">
        <v>0</v>
      </c>
      <c r="AF76" s="47">
        <v>0</v>
      </c>
      <c r="AG76" s="47">
        <v>1</v>
      </c>
      <c r="AH76" s="47">
        <v>0</v>
      </c>
      <c r="AI76" s="47">
        <v>0</v>
      </c>
      <c r="AJ76" s="47">
        <v>0</v>
      </c>
      <c r="AK76" s="47">
        <v>0</v>
      </c>
      <c r="AL76">
        <v>1</v>
      </c>
      <c r="AM76">
        <v>0</v>
      </c>
      <c r="AN76">
        <v>6</v>
      </c>
      <c r="AO76">
        <v>3</v>
      </c>
      <c r="AP76">
        <v>10</v>
      </c>
      <c r="AQ76">
        <v>1</v>
      </c>
      <c r="AR76">
        <v>4</v>
      </c>
      <c r="AS76">
        <v>1</v>
      </c>
      <c r="AT76" t="s">
        <v>7228</v>
      </c>
      <c r="AU76" t="s">
        <v>7229</v>
      </c>
      <c r="AV76">
        <v>0.35599999999999998</v>
      </c>
      <c r="AW76" t="s">
        <v>65</v>
      </c>
      <c r="AX76">
        <v>14</v>
      </c>
      <c r="AY76">
        <v>2</v>
      </c>
      <c r="AZ76" t="s">
        <v>7230</v>
      </c>
      <c r="BA76">
        <v>8.0060000000000006E-2</v>
      </c>
      <c r="BB76">
        <v>-8.8299999999999993E-3</v>
      </c>
      <c r="BC76">
        <v>5.8599999999999998E-3</v>
      </c>
      <c r="BD76">
        <v>-8.9999999999999998E-4</v>
      </c>
      <c r="BE76">
        <v>7.3179999999999995E-2</v>
      </c>
      <c r="BF76">
        <v>1</v>
      </c>
      <c r="BG76" t="s">
        <v>69</v>
      </c>
      <c r="BH76">
        <v>-1.0049999999999999</v>
      </c>
      <c r="BI76">
        <v>-2.206</v>
      </c>
    </row>
    <row r="77" spans="3:61">
      <c r="C77">
        <v>0</v>
      </c>
      <c r="D77">
        <v>0</v>
      </c>
      <c r="E77">
        <v>0</v>
      </c>
      <c r="F77" t="s">
        <v>25021</v>
      </c>
      <c r="G77">
        <v>4017</v>
      </c>
      <c r="H77" t="s">
        <v>23636</v>
      </c>
      <c r="I77" t="s">
        <v>57</v>
      </c>
      <c r="J77">
        <v>3982973</v>
      </c>
      <c r="K77">
        <v>3983170</v>
      </c>
      <c r="L77" t="s">
        <v>19127</v>
      </c>
      <c r="M77">
        <v>66</v>
      </c>
      <c r="N77" t="s">
        <v>23637</v>
      </c>
      <c r="O77">
        <v>31</v>
      </c>
      <c r="P77" t="str">
        <f>HYPERLINK("Gene4017-zp_tree_all.dnd", "Gene4017-tree")</f>
        <v>Gene4017-tree</v>
      </c>
      <c r="Q77">
        <v>1</v>
      </c>
      <c r="R77">
        <v>4</v>
      </c>
      <c r="S77">
        <v>1</v>
      </c>
      <c r="T77">
        <v>4</v>
      </c>
      <c r="U77">
        <v>0.8</v>
      </c>
      <c r="V77" t="s">
        <v>175</v>
      </c>
      <c r="W77" t="s">
        <v>61</v>
      </c>
      <c r="X77" t="s">
        <v>62</v>
      </c>
      <c r="Y77" t="s">
        <v>62</v>
      </c>
      <c r="Z77">
        <v>0</v>
      </c>
      <c r="AA77">
        <v>0</v>
      </c>
      <c r="AB77">
        <v>6</v>
      </c>
      <c r="AC77">
        <v>0</v>
      </c>
      <c r="AD77" s="47">
        <v>0</v>
      </c>
      <c r="AE77" s="47">
        <v>0</v>
      </c>
      <c r="AF77" s="47">
        <v>0</v>
      </c>
      <c r="AG77" s="47">
        <v>0</v>
      </c>
      <c r="AH77" s="47">
        <v>0</v>
      </c>
      <c r="AI77" s="47">
        <v>0</v>
      </c>
      <c r="AJ77" s="47">
        <v>0</v>
      </c>
      <c r="AK77" s="47">
        <v>0</v>
      </c>
      <c r="AL77">
        <v>6</v>
      </c>
      <c r="AM77">
        <v>0</v>
      </c>
      <c r="AN77">
        <v>4</v>
      </c>
      <c r="AO77">
        <v>2</v>
      </c>
      <c r="AP77">
        <v>3</v>
      </c>
      <c r="AQ77">
        <v>4</v>
      </c>
      <c r="AR77">
        <v>3</v>
      </c>
      <c r="AS77">
        <v>2</v>
      </c>
      <c r="AT77" t="s">
        <v>23638</v>
      </c>
      <c r="AU77" t="s">
        <v>23639</v>
      </c>
      <c r="AV77">
        <v>0.88100000000000001</v>
      </c>
      <c r="AW77" t="s">
        <v>65</v>
      </c>
      <c r="AX77">
        <v>6</v>
      </c>
      <c r="AY77">
        <v>6</v>
      </c>
      <c r="AZ77" t="s">
        <v>23640</v>
      </c>
      <c r="BA77">
        <v>7.102E-2</v>
      </c>
      <c r="BB77">
        <v>-5.4900000000000001E-3</v>
      </c>
      <c r="BC77">
        <v>1.8530000000000001E-2</v>
      </c>
      <c r="BD77">
        <v>-2.64E-3</v>
      </c>
      <c r="BE77">
        <v>0.26084000000000002</v>
      </c>
      <c r="BF77">
        <v>0.94799999999999995</v>
      </c>
      <c r="BG77" t="s">
        <v>635</v>
      </c>
      <c r="BH77">
        <v>0.81</v>
      </c>
      <c r="BI77">
        <v>-0.42399999999999999</v>
      </c>
    </row>
    <row r="78" spans="3:61">
      <c r="C78">
        <v>0</v>
      </c>
      <c r="D78">
        <v>0</v>
      </c>
      <c r="E78">
        <v>0</v>
      </c>
      <c r="F78" t="s">
        <v>25021</v>
      </c>
      <c r="G78">
        <v>811</v>
      </c>
      <c r="H78" t="s">
        <v>5046</v>
      </c>
      <c r="I78" t="s">
        <v>62</v>
      </c>
      <c r="J78">
        <v>847285</v>
      </c>
      <c r="K78">
        <v>847482</v>
      </c>
      <c r="L78" t="s">
        <v>5047</v>
      </c>
      <c r="M78">
        <v>66</v>
      </c>
      <c r="N78" t="s">
        <v>5040</v>
      </c>
      <c r="O78">
        <v>33</v>
      </c>
      <c r="P78" t="str">
        <f>HYPERLINK("Gene811-zp_tree_all.dnd", "Gene811-tree")</f>
        <v>Gene811-tree</v>
      </c>
      <c r="Q78">
        <v>25</v>
      </c>
      <c r="R78">
        <v>1</v>
      </c>
      <c r="S78">
        <v>3</v>
      </c>
      <c r="T78">
        <v>1</v>
      </c>
      <c r="U78">
        <v>0.25</v>
      </c>
      <c r="V78" t="s">
        <v>3530</v>
      </c>
      <c r="W78" t="s">
        <v>175</v>
      </c>
      <c r="X78" t="s">
        <v>62</v>
      </c>
      <c r="Y78" t="s">
        <v>62</v>
      </c>
      <c r="Z78">
        <v>0</v>
      </c>
      <c r="AA78">
        <v>0</v>
      </c>
      <c r="AB78">
        <v>1</v>
      </c>
      <c r="AC78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0</v>
      </c>
      <c r="AL78">
        <v>1</v>
      </c>
      <c r="AM78">
        <v>0</v>
      </c>
      <c r="AN78">
        <v>3</v>
      </c>
      <c r="AO78">
        <v>0</v>
      </c>
      <c r="AP78">
        <v>2</v>
      </c>
      <c r="AQ78">
        <v>1</v>
      </c>
      <c r="AR78">
        <v>0</v>
      </c>
      <c r="AS78">
        <v>0</v>
      </c>
      <c r="AT78" t="s">
        <v>5048</v>
      </c>
      <c r="AU78" t="s">
        <v>193</v>
      </c>
      <c r="AV78">
        <v>0.69299999999999995</v>
      </c>
      <c r="AW78" t="s">
        <v>65</v>
      </c>
      <c r="AX78">
        <v>2</v>
      </c>
      <c r="AY78">
        <v>1</v>
      </c>
      <c r="AZ78" t="s">
        <v>5049</v>
      </c>
      <c r="BA78">
        <v>2.154E-2</v>
      </c>
      <c r="BB78">
        <v>-5.13E-3</v>
      </c>
      <c r="BC78">
        <v>3.3300000000000001E-3</v>
      </c>
      <c r="BD78">
        <v>-1.3600000000000001E-3</v>
      </c>
      <c r="BE78">
        <v>0.15479000000000001</v>
      </c>
      <c r="BF78">
        <v>0.95299999999999996</v>
      </c>
      <c r="BG78" t="s">
        <v>69</v>
      </c>
      <c r="BH78">
        <v>-7.1999999999999995E-2</v>
      </c>
      <c r="BI78">
        <v>-0.29299999999999998</v>
      </c>
    </row>
    <row r="79" spans="3:61">
      <c r="C79">
        <v>0</v>
      </c>
      <c r="D79">
        <v>2</v>
      </c>
      <c r="E79">
        <v>0</v>
      </c>
      <c r="F79" t="s">
        <v>25021</v>
      </c>
      <c r="G79">
        <v>2038</v>
      </c>
      <c r="H79" t="s">
        <v>12687</v>
      </c>
      <c r="I79" t="s">
        <v>57</v>
      </c>
      <c r="J79">
        <v>2130177</v>
      </c>
      <c r="K79">
        <v>2130374</v>
      </c>
      <c r="L79" t="s">
        <v>2332</v>
      </c>
      <c r="M79">
        <v>66</v>
      </c>
      <c r="N79" t="s">
        <v>465</v>
      </c>
      <c r="O79">
        <v>46</v>
      </c>
      <c r="P79" t="str">
        <f>HYPERLINK("Gene2038-zp_tree_all.dnd", "Gene2038-tree")</f>
        <v>Gene2038-tree</v>
      </c>
      <c r="Q79">
        <v>37</v>
      </c>
      <c r="R79">
        <v>4</v>
      </c>
      <c r="S79">
        <v>4</v>
      </c>
      <c r="T79">
        <v>4</v>
      </c>
      <c r="U79">
        <v>0.5</v>
      </c>
      <c r="V79" t="s">
        <v>12688</v>
      </c>
      <c r="W79" t="s">
        <v>61</v>
      </c>
      <c r="X79" t="s">
        <v>62</v>
      </c>
      <c r="Y79" t="s">
        <v>62</v>
      </c>
      <c r="Z79">
        <v>1</v>
      </c>
      <c r="AA79">
        <v>2</v>
      </c>
      <c r="AB79">
        <v>3</v>
      </c>
      <c r="AC79">
        <v>0.4</v>
      </c>
      <c r="AD79" s="47">
        <v>0</v>
      </c>
      <c r="AE79" s="47">
        <v>0</v>
      </c>
      <c r="AF79" s="47">
        <v>0</v>
      </c>
      <c r="AG79" s="47">
        <v>1</v>
      </c>
      <c r="AH79" s="47">
        <v>0</v>
      </c>
      <c r="AI79" s="47">
        <v>2</v>
      </c>
      <c r="AJ79" s="47">
        <v>0</v>
      </c>
      <c r="AK79" s="47">
        <v>2</v>
      </c>
      <c r="AL79">
        <v>2</v>
      </c>
      <c r="AM79">
        <v>0.5</v>
      </c>
      <c r="AN79">
        <v>4</v>
      </c>
      <c r="AO79">
        <v>4</v>
      </c>
      <c r="AP79">
        <v>8</v>
      </c>
      <c r="AQ79">
        <v>4</v>
      </c>
      <c r="AR79">
        <v>4</v>
      </c>
      <c r="AS79">
        <v>1</v>
      </c>
      <c r="AT79" t="s">
        <v>12689</v>
      </c>
      <c r="AU79" t="s">
        <v>12690</v>
      </c>
      <c r="AV79">
        <v>0.41899999999999998</v>
      </c>
      <c r="AW79" t="s">
        <v>65</v>
      </c>
      <c r="AX79">
        <v>12</v>
      </c>
      <c r="AY79">
        <v>5</v>
      </c>
      <c r="AZ79" t="s">
        <v>12691</v>
      </c>
      <c r="BA79">
        <v>7.4560000000000001E-2</v>
      </c>
      <c r="BB79">
        <v>-1.1089999999999999E-2</v>
      </c>
      <c r="BC79">
        <v>9.6900000000000007E-3</v>
      </c>
      <c r="BD79">
        <v>-9.7000000000000005E-4</v>
      </c>
      <c r="BE79">
        <v>0.12994</v>
      </c>
      <c r="BF79">
        <v>1</v>
      </c>
      <c r="BG79" t="s">
        <v>69</v>
      </c>
      <c r="BH79">
        <v>-1.2629999999999999</v>
      </c>
      <c r="BI79">
        <v>1.2E-2</v>
      </c>
    </row>
    <row r="80" spans="3:61">
      <c r="C80">
        <v>0</v>
      </c>
      <c r="D80">
        <v>0</v>
      </c>
      <c r="E80">
        <v>0</v>
      </c>
      <c r="F80" t="s">
        <v>25021</v>
      </c>
      <c r="G80">
        <v>1836</v>
      </c>
      <c r="H80" t="s">
        <v>11505</v>
      </c>
      <c r="I80" t="s">
        <v>62</v>
      </c>
      <c r="J80">
        <v>1904998</v>
      </c>
      <c r="K80">
        <v>1905195</v>
      </c>
      <c r="L80" t="s">
        <v>11506</v>
      </c>
      <c r="M80">
        <v>66</v>
      </c>
      <c r="N80" t="s">
        <v>11507</v>
      </c>
      <c r="O80">
        <v>34</v>
      </c>
      <c r="P80" t="str">
        <f>HYPERLINK("Gene1836-zp_tree_all.dnd", "Gene1836-tree")</f>
        <v>Gene1836-tree</v>
      </c>
      <c r="Q80">
        <v>5</v>
      </c>
      <c r="R80">
        <v>1</v>
      </c>
      <c r="S80">
        <v>5</v>
      </c>
      <c r="T80">
        <v>1</v>
      </c>
      <c r="U80">
        <v>0.16667000000000001</v>
      </c>
      <c r="V80" t="s">
        <v>199</v>
      </c>
      <c r="W80" t="s">
        <v>175</v>
      </c>
      <c r="X80" t="s">
        <v>62</v>
      </c>
      <c r="Y80" t="s">
        <v>62</v>
      </c>
      <c r="Z80">
        <v>0</v>
      </c>
      <c r="AA80">
        <v>0</v>
      </c>
      <c r="AB80">
        <v>2</v>
      </c>
      <c r="AC80">
        <v>0</v>
      </c>
      <c r="AD80" s="47">
        <v>0</v>
      </c>
      <c r="AE80" s="47">
        <v>0</v>
      </c>
      <c r="AF80" s="47">
        <v>0</v>
      </c>
      <c r="AG80" s="47">
        <v>1</v>
      </c>
      <c r="AH80" s="47">
        <v>0</v>
      </c>
      <c r="AI80" s="47">
        <v>0</v>
      </c>
      <c r="AJ80" s="47">
        <v>0</v>
      </c>
      <c r="AK80" s="47">
        <v>0</v>
      </c>
      <c r="AL80">
        <v>1</v>
      </c>
      <c r="AM80">
        <v>0</v>
      </c>
      <c r="AN80">
        <v>5</v>
      </c>
      <c r="AO80">
        <v>1</v>
      </c>
      <c r="AP80">
        <v>5</v>
      </c>
      <c r="AQ80">
        <v>1</v>
      </c>
      <c r="AR80">
        <v>0</v>
      </c>
      <c r="AS80">
        <v>1</v>
      </c>
      <c r="AT80" t="s">
        <v>11508</v>
      </c>
      <c r="AU80" t="s">
        <v>193</v>
      </c>
      <c r="AV80">
        <v>0.55900000000000005</v>
      </c>
      <c r="AW80" t="s">
        <v>65</v>
      </c>
      <c r="AX80">
        <v>5</v>
      </c>
      <c r="AY80">
        <v>2</v>
      </c>
      <c r="AZ80" t="s">
        <v>11509</v>
      </c>
      <c r="BA80">
        <v>4.3720000000000002E-2</v>
      </c>
      <c r="BB80">
        <v>-3.2599999999999999E-3</v>
      </c>
      <c r="BC80">
        <v>5.4900000000000001E-3</v>
      </c>
      <c r="BD80">
        <v>-1.01E-3</v>
      </c>
      <c r="BE80">
        <v>0.12562000000000001</v>
      </c>
      <c r="BF80">
        <v>0.97799999999999998</v>
      </c>
      <c r="BG80" t="s">
        <v>69</v>
      </c>
      <c r="BH80">
        <v>-0.222</v>
      </c>
      <c r="BI80">
        <v>-0.88700000000000001</v>
      </c>
    </row>
    <row r="81" spans="3:61">
      <c r="C81">
        <v>0</v>
      </c>
      <c r="D81">
        <v>0</v>
      </c>
      <c r="E81">
        <v>0</v>
      </c>
      <c r="F81" t="s">
        <v>25021</v>
      </c>
      <c r="G81">
        <v>4191</v>
      </c>
      <c r="H81" t="s">
        <v>24678</v>
      </c>
      <c r="I81" t="s">
        <v>57</v>
      </c>
      <c r="J81">
        <v>4159005</v>
      </c>
      <c r="K81">
        <v>4159202</v>
      </c>
      <c r="L81" t="s">
        <v>288</v>
      </c>
      <c r="M81">
        <v>66</v>
      </c>
      <c r="N81" t="s">
        <v>108</v>
      </c>
      <c r="O81">
        <v>44</v>
      </c>
      <c r="P81" t="str">
        <f>HYPERLINK("Gene4191-zp_tree_all.dnd", "Gene4191-tree")</f>
        <v>Gene4191-tree</v>
      </c>
      <c r="Q81">
        <v>4</v>
      </c>
      <c r="R81">
        <v>1</v>
      </c>
      <c r="S81">
        <v>4</v>
      </c>
      <c r="T81">
        <v>1</v>
      </c>
      <c r="U81">
        <v>0.2</v>
      </c>
      <c r="V81" t="s">
        <v>61</v>
      </c>
      <c r="W81" t="s">
        <v>175</v>
      </c>
      <c r="X81" t="s">
        <v>62</v>
      </c>
      <c r="Y81" t="s">
        <v>62</v>
      </c>
      <c r="Z81">
        <v>0</v>
      </c>
      <c r="AA81">
        <v>0</v>
      </c>
      <c r="AB81">
        <v>1</v>
      </c>
      <c r="AC81">
        <v>0</v>
      </c>
      <c r="AD81" s="47">
        <v>0</v>
      </c>
      <c r="AE81" s="47">
        <v>0</v>
      </c>
      <c r="AF81" s="47">
        <v>0</v>
      </c>
      <c r="AG81" s="47">
        <v>0</v>
      </c>
      <c r="AH81" s="47">
        <v>0</v>
      </c>
      <c r="AI81" s="47">
        <v>0</v>
      </c>
      <c r="AJ81" s="47">
        <v>0</v>
      </c>
      <c r="AK81" s="47">
        <v>0</v>
      </c>
      <c r="AL81">
        <v>1</v>
      </c>
      <c r="AM81">
        <v>0</v>
      </c>
      <c r="AN81">
        <v>4</v>
      </c>
      <c r="AO81">
        <v>1</v>
      </c>
      <c r="AP81">
        <v>4</v>
      </c>
      <c r="AQ81">
        <v>1</v>
      </c>
      <c r="AR81">
        <v>1</v>
      </c>
      <c r="AS81">
        <v>0</v>
      </c>
      <c r="AT81" t="s">
        <v>24679</v>
      </c>
      <c r="AU81" t="s">
        <v>193</v>
      </c>
      <c r="AV81">
        <v>0.56999999999999995</v>
      </c>
      <c r="AW81" t="s">
        <v>65</v>
      </c>
      <c r="AX81">
        <v>5</v>
      </c>
      <c r="AY81">
        <v>1</v>
      </c>
      <c r="AZ81" t="s">
        <v>24680</v>
      </c>
      <c r="BA81">
        <v>3.9280000000000002E-2</v>
      </c>
      <c r="BB81">
        <v>-5.3E-3</v>
      </c>
      <c r="BC81">
        <v>2.5799999999999998E-3</v>
      </c>
      <c r="BD81">
        <v>-8.8999999999999995E-4</v>
      </c>
      <c r="BE81">
        <v>6.5549999999999997E-2</v>
      </c>
      <c r="BF81">
        <v>0.95399999999999996</v>
      </c>
      <c r="BG81" t="s">
        <v>69</v>
      </c>
      <c r="BH81">
        <v>0.105</v>
      </c>
      <c r="BI81">
        <v>-6.4000000000000001E-2</v>
      </c>
    </row>
    <row r="82" spans="3:61">
      <c r="C82">
        <v>0</v>
      </c>
      <c r="D82">
        <v>0</v>
      </c>
      <c r="E82">
        <v>0</v>
      </c>
      <c r="F82" t="s">
        <v>25021</v>
      </c>
      <c r="G82">
        <v>924</v>
      </c>
      <c r="H82" t="s">
        <v>5782</v>
      </c>
      <c r="I82" t="s">
        <v>62</v>
      </c>
      <c r="J82">
        <v>966674</v>
      </c>
      <c r="K82">
        <v>966871</v>
      </c>
      <c r="L82" t="s">
        <v>5783</v>
      </c>
      <c r="M82">
        <v>66</v>
      </c>
      <c r="N82" t="s">
        <v>59</v>
      </c>
      <c r="O82">
        <v>49</v>
      </c>
      <c r="P82" t="str">
        <f>HYPERLINK("Gene924-zp_tree_all.dnd", "Gene924-tree")</f>
        <v>Gene924-tree</v>
      </c>
      <c r="Q82">
        <v>7</v>
      </c>
      <c r="R82">
        <v>4</v>
      </c>
      <c r="S82">
        <v>7</v>
      </c>
      <c r="T82">
        <v>4</v>
      </c>
      <c r="U82">
        <v>0.36364000000000002</v>
      </c>
      <c r="V82" t="s">
        <v>152</v>
      </c>
      <c r="W82" t="s">
        <v>61</v>
      </c>
      <c r="X82" t="s">
        <v>62</v>
      </c>
      <c r="Y82" t="s">
        <v>62</v>
      </c>
      <c r="Z82">
        <v>0</v>
      </c>
      <c r="AA82">
        <v>0</v>
      </c>
      <c r="AB82">
        <v>5</v>
      </c>
      <c r="AC82">
        <v>0</v>
      </c>
      <c r="AD82" s="47">
        <v>0</v>
      </c>
      <c r="AE82" s="47">
        <v>0</v>
      </c>
      <c r="AF82" s="47">
        <v>0</v>
      </c>
      <c r="AG82" s="47">
        <v>1</v>
      </c>
      <c r="AH82" s="47">
        <v>0</v>
      </c>
      <c r="AI82" s="47">
        <v>0</v>
      </c>
      <c r="AJ82" s="47">
        <v>0</v>
      </c>
      <c r="AK82" s="47">
        <v>0</v>
      </c>
      <c r="AL82">
        <v>4</v>
      </c>
      <c r="AM82">
        <v>0</v>
      </c>
      <c r="AN82">
        <v>7</v>
      </c>
      <c r="AO82">
        <v>6</v>
      </c>
      <c r="AP82">
        <v>5</v>
      </c>
      <c r="AQ82">
        <v>4</v>
      </c>
      <c r="AR82">
        <v>11</v>
      </c>
      <c r="AS82">
        <v>1</v>
      </c>
      <c r="AT82" t="s">
        <v>5784</v>
      </c>
      <c r="AU82" t="s">
        <v>5785</v>
      </c>
      <c r="AV82">
        <v>1.2769999999999999</v>
      </c>
      <c r="AW82" t="s">
        <v>65</v>
      </c>
      <c r="AX82">
        <v>16</v>
      </c>
      <c r="AY82">
        <v>5</v>
      </c>
      <c r="AZ82" t="s">
        <v>5786</v>
      </c>
      <c r="BA82">
        <v>0.11994</v>
      </c>
      <c r="BB82">
        <v>-6.94E-3</v>
      </c>
      <c r="BC82">
        <v>6.8900000000000003E-3</v>
      </c>
      <c r="BD82">
        <v>-5.9000000000000003E-4</v>
      </c>
      <c r="BE82">
        <v>5.7450000000000001E-2</v>
      </c>
      <c r="BF82">
        <v>1</v>
      </c>
      <c r="BG82" t="s">
        <v>69</v>
      </c>
      <c r="BH82">
        <v>-1.2649999999999999</v>
      </c>
      <c r="BI82">
        <v>-1.258</v>
      </c>
    </row>
    <row r="83" spans="3:61">
      <c r="C83">
        <v>0</v>
      </c>
      <c r="D83">
        <v>0</v>
      </c>
      <c r="E83">
        <v>0</v>
      </c>
      <c r="F83" t="s">
        <v>25021</v>
      </c>
      <c r="G83">
        <v>1081</v>
      </c>
      <c r="H83" t="s">
        <v>6792</v>
      </c>
      <c r="I83" t="s">
        <v>62</v>
      </c>
      <c r="J83">
        <v>1120631</v>
      </c>
      <c r="K83">
        <v>1120828</v>
      </c>
      <c r="L83" t="s">
        <v>2332</v>
      </c>
      <c r="M83">
        <v>66</v>
      </c>
      <c r="N83" t="s">
        <v>698</v>
      </c>
      <c r="O83">
        <v>47</v>
      </c>
      <c r="P83" t="str">
        <f>HYPERLINK("Gene1081-zp_tree_all.dnd", "Gene1081-tree")</f>
        <v>Gene1081-tree</v>
      </c>
      <c r="Q83">
        <v>28</v>
      </c>
      <c r="R83">
        <v>2</v>
      </c>
      <c r="S83">
        <v>8</v>
      </c>
      <c r="T83">
        <v>2</v>
      </c>
      <c r="U83">
        <v>0.2</v>
      </c>
      <c r="V83" t="s">
        <v>3778</v>
      </c>
      <c r="W83" t="s">
        <v>81</v>
      </c>
      <c r="X83" t="s">
        <v>62</v>
      </c>
      <c r="Y83" t="s">
        <v>62</v>
      </c>
      <c r="Z83">
        <v>0</v>
      </c>
      <c r="AA83">
        <v>0</v>
      </c>
      <c r="AB83">
        <v>3</v>
      </c>
      <c r="AC83">
        <v>0</v>
      </c>
      <c r="AD83" s="47">
        <v>0</v>
      </c>
      <c r="AE83" s="47">
        <v>0</v>
      </c>
      <c r="AF83" s="47">
        <v>0</v>
      </c>
      <c r="AG83" s="47">
        <v>1</v>
      </c>
      <c r="AH83" s="47">
        <v>0</v>
      </c>
      <c r="AI83" s="47">
        <v>0</v>
      </c>
      <c r="AJ83" s="47">
        <v>0</v>
      </c>
      <c r="AK83" s="47">
        <v>0</v>
      </c>
      <c r="AL83">
        <v>2</v>
      </c>
      <c r="AM83">
        <v>0</v>
      </c>
      <c r="AN83">
        <v>8</v>
      </c>
      <c r="AO83">
        <v>2</v>
      </c>
      <c r="AP83">
        <v>7</v>
      </c>
      <c r="AQ83">
        <v>2</v>
      </c>
      <c r="AR83">
        <v>7</v>
      </c>
      <c r="AS83">
        <v>1</v>
      </c>
      <c r="AT83" t="s">
        <v>6793</v>
      </c>
      <c r="AU83" t="s">
        <v>6794</v>
      </c>
      <c r="AV83">
        <v>0.39900000000000002</v>
      </c>
      <c r="AW83" t="s">
        <v>65</v>
      </c>
      <c r="AX83">
        <v>14</v>
      </c>
      <c r="AY83">
        <v>3</v>
      </c>
      <c r="AZ83" t="s">
        <v>6795</v>
      </c>
      <c r="BA83">
        <v>0.10269</v>
      </c>
      <c r="BB83">
        <v>-1.1469999999999999E-2</v>
      </c>
      <c r="BC83">
        <v>5.1000000000000004E-3</v>
      </c>
      <c r="BD83">
        <v>-6.4000000000000005E-4</v>
      </c>
      <c r="BE83">
        <v>4.9619999999999997E-2</v>
      </c>
      <c r="BF83">
        <v>1</v>
      </c>
      <c r="BG83" t="s">
        <v>69</v>
      </c>
      <c r="BH83">
        <v>-1.1839999999999999</v>
      </c>
      <c r="BI83">
        <v>-0.99</v>
      </c>
    </row>
    <row r="84" spans="3:61">
      <c r="C84">
        <v>0</v>
      </c>
      <c r="D84">
        <v>0</v>
      </c>
      <c r="E84">
        <v>0</v>
      </c>
      <c r="F84" t="s">
        <v>25021</v>
      </c>
      <c r="G84">
        <v>2841</v>
      </c>
      <c r="H84" t="s">
        <v>16318</v>
      </c>
      <c r="I84" t="s">
        <v>57</v>
      </c>
      <c r="J84">
        <v>2788680</v>
      </c>
      <c r="K84">
        <v>2788880</v>
      </c>
      <c r="L84" t="s">
        <v>116</v>
      </c>
      <c r="M84">
        <v>67</v>
      </c>
      <c r="N84" t="s">
        <v>59</v>
      </c>
      <c r="O84">
        <v>49</v>
      </c>
      <c r="P84" t="str">
        <f>HYPERLINK("Gene2841-zp_tree_all.dnd", "Gene2841-tree")</f>
        <v>Gene2841-tree</v>
      </c>
      <c r="Q84">
        <v>11</v>
      </c>
      <c r="R84">
        <v>2</v>
      </c>
      <c r="S84">
        <v>11</v>
      </c>
      <c r="T84">
        <v>2</v>
      </c>
      <c r="U84">
        <v>0.15384999999999999</v>
      </c>
      <c r="V84" t="s">
        <v>73</v>
      </c>
      <c r="W84" t="s">
        <v>81</v>
      </c>
      <c r="X84" t="s">
        <v>62</v>
      </c>
      <c r="Y84" t="s">
        <v>62</v>
      </c>
      <c r="Z84">
        <v>0</v>
      </c>
      <c r="AA84">
        <v>0</v>
      </c>
      <c r="AB84">
        <v>3</v>
      </c>
      <c r="AC84">
        <v>0</v>
      </c>
      <c r="AD84" s="47">
        <v>0</v>
      </c>
      <c r="AE84" s="47">
        <v>0</v>
      </c>
      <c r="AF84" s="47">
        <v>0</v>
      </c>
      <c r="AG84" s="47">
        <v>1</v>
      </c>
      <c r="AH84" s="47">
        <v>0</v>
      </c>
      <c r="AI84" s="47">
        <v>0</v>
      </c>
      <c r="AJ84" s="47">
        <v>0</v>
      </c>
      <c r="AK84" s="47">
        <v>0</v>
      </c>
      <c r="AL84">
        <v>1</v>
      </c>
      <c r="AM84">
        <v>0</v>
      </c>
      <c r="AN84">
        <v>11</v>
      </c>
      <c r="AO84">
        <v>3</v>
      </c>
      <c r="AP84">
        <v>12</v>
      </c>
      <c r="AQ84">
        <v>2</v>
      </c>
      <c r="AR84">
        <v>4</v>
      </c>
      <c r="AS84">
        <v>2</v>
      </c>
      <c r="AT84" t="s">
        <v>16319</v>
      </c>
      <c r="AU84" t="s">
        <v>16320</v>
      </c>
      <c r="AV84">
        <v>0.55500000000000005</v>
      </c>
      <c r="AW84" t="s">
        <v>65</v>
      </c>
      <c r="AX84">
        <v>16</v>
      </c>
      <c r="AY84">
        <v>4</v>
      </c>
      <c r="AZ84" t="s">
        <v>16321</v>
      </c>
      <c r="BA84">
        <v>8.2489999999999994E-2</v>
      </c>
      <c r="BB84">
        <v>-5.8199999999999997E-3</v>
      </c>
      <c r="BC84">
        <v>6.6800000000000002E-3</v>
      </c>
      <c r="BD84">
        <v>-7.6999999999999996E-4</v>
      </c>
      <c r="BE84">
        <v>8.1019999999999995E-2</v>
      </c>
      <c r="BF84">
        <v>1</v>
      </c>
      <c r="BG84" t="s">
        <v>69</v>
      </c>
      <c r="BH84">
        <v>-0.623</v>
      </c>
      <c r="BI84">
        <v>-0.35099999999999998</v>
      </c>
    </row>
    <row r="85" spans="3:61">
      <c r="C85">
        <v>0</v>
      </c>
      <c r="D85">
        <v>0</v>
      </c>
      <c r="E85">
        <v>0</v>
      </c>
      <c r="F85" t="s">
        <v>25021</v>
      </c>
      <c r="G85">
        <v>945</v>
      </c>
      <c r="H85" t="s">
        <v>5922</v>
      </c>
      <c r="I85" t="s">
        <v>62</v>
      </c>
      <c r="J85">
        <v>984265</v>
      </c>
      <c r="K85">
        <v>984465</v>
      </c>
      <c r="L85" t="s">
        <v>5923</v>
      </c>
      <c r="M85">
        <v>67</v>
      </c>
      <c r="N85" t="s">
        <v>515</v>
      </c>
      <c r="O85">
        <v>51</v>
      </c>
      <c r="P85" t="str">
        <f>HYPERLINK("Gene945-zp_tree_all.dnd", "Gene945-tree")</f>
        <v>Gene945-tree</v>
      </c>
      <c r="Q85">
        <v>48</v>
      </c>
      <c r="R85">
        <v>1</v>
      </c>
      <c r="S85">
        <v>3</v>
      </c>
      <c r="T85">
        <v>1</v>
      </c>
      <c r="U85">
        <v>0.25</v>
      </c>
      <c r="V85" t="s">
        <v>5924</v>
      </c>
      <c r="W85" t="s">
        <v>175</v>
      </c>
      <c r="X85" t="s">
        <v>62</v>
      </c>
      <c r="Y85" t="s">
        <v>62</v>
      </c>
      <c r="Z85">
        <v>0</v>
      </c>
      <c r="AA85">
        <v>0</v>
      </c>
      <c r="AB85">
        <v>1</v>
      </c>
      <c r="AC85">
        <v>0</v>
      </c>
      <c r="AD85" s="47">
        <v>0</v>
      </c>
      <c r="AE85" s="47">
        <v>0</v>
      </c>
      <c r="AF85" s="47">
        <v>0</v>
      </c>
      <c r="AG85" s="47">
        <v>0</v>
      </c>
      <c r="AH85" s="47">
        <v>0</v>
      </c>
      <c r="AI85" s="47">
        <v>0</v>
      </c>
      <c r="AJ85" s="47">
        <v>0</v>
      </c>
      <c r="AK85" s="47">
        <v>0</v>
      </c>
      <c r="AL85">
        <v>1</v>
      </c>
      <c r="AM85">
        <v>0</v>
      </c>
      <c r="AN85">
        <v>3</v>
      </c>
      <c r="AO85">
        <v>1</v>
      </c>
      <c r="AP85">
        <v>5</v>
      </c>
      <c r="AQ85">
        <v>1</v>
      </c>
      <c r="AR85">
        <v>1</v>
      </c>
      <c r="AS85">
        <v>0</v>
      </c>
      <c r="AT85" t="s">
        <v>5925</v>
      </c>
      <c r="AU85" t="s">
        <v>193</v>
      </c>
      <c r="AV85">
        <v>0.74</v>
      </c>
      <c r="AW85" t="s">
        <v>65</v>
      </c>
      <c r="AX85">
        <v>6</v>
      </c>
      <c r="AY85">
        <v>1</v>
      </c>
      <c r="AZ85" t="s">
        <v>5926</v>
      </c>
      <c r="BA85">
        <v>8.3110000000000003E-2</v>
      </c>
      <c r="BB85">
        <v>-1.4959999999999999E-2</v>
      </c>
      <c r="BC85">
        <v>3.2499999999999999E-3</v>
      </c>
      <c r="BD85">
        <v>-1.33E-3</v>
      </c>
      <c r="BE85">
        <v>3.9149999999999997E-2</v>
      </c>
      <c r="BF85">
        <v>1</v>
      </c>
      <c r="BG85" t="s">
        <v>69</v>
      </c>
      <c r="BH85">
        <v>-1.429</v>
      </c>
      <c r="BI85">
        <v>1.24</v>
      </c>
    </row>
    <row r="86" spans="3:61">
      <c r="C86">
        <v>0</v>
      </c>
      <c r="D86">
        <v>0</v>
      </c>
      <c r="E86">
        <v>0</v>
      </c>
      <c r="F86" t="s">
        <v>25021</v>
      </c>
      <c r="G86">
        <v>1009</v>
      </c>
      <c r="H86" t="s">
        <v>6336</v>
      </c>
      <c r="I86" t="s">
        <v>62</v>
      </c>
      <c r="J86">
        <v>1050034</v>
      </c>
      <c r="K86">
        <v>1050234</v>
      </c>
      <c r="L86" t="s">
        <v>6337</v>
      </c>
      <c r="M86">
        <v>67</v>
      </c>
      <c r="N86" t="s">
        <v>59</v>
      </c>
      <c r="O86">
        <v>49</v>
      </c>
      <c r="P86" t="str">
        <f>HYPERLINK("Gene1009-zp_tree_all.dnd", "Gene1009-tree")</f>
        <v>Gene1009-tree</v>
      </c>
      <c r="Q86">
        <v>10</v>
      </c>
      <c r="R86">
        <v>1</v>
      </c>
      <c r="S86">
        <v>10</v>
      </c>
      <c r="T86">
        <v>1</v>
      </c>
      <c r="U86">
        <v>9.0910000000000005E-2</v>
      </c>
      <c r="V86" t="s">
        <v>117</v>
      </c>
      <c r="W86" t="s">
        <v>175</v>
      </c>
      <c r="X86" t="s">
        <v>62</v>
      </c>
      <c r="Y86" t="s">
        <v>62</v>
      </c>
      <c r="Z86">
        <v>0</v>
      </c>
      <c r="AA86">
        <v>0</v>
      </c>
      <c r="AB86">
        <v>1</v>
      </c>
      <c r="AC86">
        <v>0</v>
      </c>
      <c r="AD86" s="47">
        <v>0</v>
      </c>
      <c r="AE86" s="47">
        <v>0</v>
      </c>
      <c r="AF86" s="47">
        <v>0</v>
      </c>
      <c r="AG86" s="47">
        <v>0</v>
      </c>
      <c r="AH86" s="47">
        <v>0</v>
      </c>
      <c r="AI86" s="47">
        <v>0</v>
      </c>
      <c r="AJ86" s="47">
        <v>0</v>
      </c>
      <c r="AK86" s="47">
        <v>0</v>
      </c>
      <c r="AL86">
        <v>1</v>
      </c>
      <c r="AM86">
        <v>0</v>
      </c>
      <c r="AN86">
        <v>10</v>
      </c>
      <c r="AO86">
        <v>1</v>
      </c>
      <c r="AP86">
        <v>9</v>
      </c>
      <c r="AQ86">
        <v>1</v>
      </c>
      <c r="AR86">
        <v>2</v>
      </c>
      <c r="AS86">
        <v>0</v>
      </c>
      <c r="AT86" t="s">
        <v>6338</v>
      </c>
      <c r="AU86" t="s">
        <v>193</v>
      </c>
      <c r="AV86">
        <v>0.34699999999999998</v>
      </c>
      <c r="AW86" t="s">
        <v>65</v>
      </c>
      <c r="AX86">
        <v>11</v>
      </c>
      <c r="AY86">
        <v>1</v>
      </c>
      <c r="AZ86" t="s">
        <v>6339</v>
      </c>
      <c r="BA86">
        <v>5.1679999999999997E-2</v>
      </c>
      <c r="BB86">
        <v>-3.2100000000000002E-3</v>
      </c>
      <c r="BC86">
        <v>1.1900000000000001E-3</v>
      </c>
      <c r="BD86">
        <v>-3.4000000000000002E-4</v>
      </c>
      <c r="BE86">
        <v>2.3050000000000001E-2</v>
      </c>
      <c r="BF86">
        <v>1</v>
      </c>
      <c r="BG86" t="s">
        <v>69</v>
      </c>
      <c r="BH86">
        <v>-1.355</v>
      </c>
      <c r="BI86">
        <v>-0.84699999999999998</v>
      </c>
    </row>
    <row r="87" spans="3:61">
      <c r="C87">
        <v>0</v>
      </c>
      <c r="D87">
        <v>0</v>
      </c>
      <c r="E87">
        <v>0</v>
      </c>
      <c r="F87" t="s">
        <v>25021</v>
      </c>
      <c r="G87">
        <v>2982</v>
      </c>
      <c r="H87" t="s">
        <v>17208</v>
      </c>
      <c r="I87" t="s">
        <v>57</v>
      </c>
      <c r="J87">
        <v>2930554</v>
      </c>
      <c r="K87">
        <v>2930757</v>
      </c>
      <c r="L87" t="s">
        <v>17209</v>
      </c>
      <c r="M87">
        <v>68</v>
      </c>
      <c r="N87" t="s">
        <v>59</v>
      </c>
      <c r="O87">
        <v>49</v>
      </c>
      <c r="P87" t="str">
        <f>HYPERLINK("Gene2982-zp_tree_all.dnd", "Gene2982-tree")</f>
        <v>Gene2982-tree</v>
      </c>
      <c r="Q87">
        <v>2</v>
      </c>
      <c r="R87">
        <v>37</v>
      </c>
      <c r="S87">
        <v>2</v>
      </c>
      <c r="T87">
        <v>6</v>
      </c>
      <c r="U87">
        <v>0.75</v>
      </c>
      <c r="V87" t="s">
        <v>81</v>
      </c>
      <c r="W87" t="s">
        <v>5027</v>
      </c>
      <c r="X87">
        <v>2.6720000000000002</v>
      </c>
      <c r="Y87" t="s">
        <v>65</v>
      </c>
      <c r="Z87">
        <v>0</v>
      </c>
      <c r="AA87">
        <v>0</v>
      </c>
      <c r="AB87">
        <v>6</v>
      </c>
      <c r="AC87">
        <v>0</v>
      </c>
      <c r="AD87" s="47">
        <v>0</v>
      </c>
      <c r="AE87" s="47">
        <v>0</v>
      </c>
      <c r="AF87" s="47">
        <v>0</v>
      </c>
      <c r="AG87" s="47">
        <v>1</v>
      </c>
      <c r="AH87" s="47">
        <v>0</v>
      </c>
      <c r="AI87" s="47">
        <v>0</v>
      </c>
      <c r="AJ87" s="47">
        <v>0</v>
      </c>
      <c r="AK87" s="47">
        <v>0</v>
      </c>
      <c r="AL87">
        <v>5</v>
      </c>
      <c r="AM87">
        <v>0</v>
      </c>
      <c r="AN87">
        <v>6</v>
      </c>
      <c r="AO87">
        <v>1</v>
      </c>
      <c r="AP87">
        <v>2</v>
      </c>
      <c r="AQ87">
        <v>5</v>
      </c>
      <c r="AR87">
        <v>0</v>
      </c>
      <c r="AS87">
        <v>1</v>
      </c>
      <c r="AT87" t="s">
        <v>17210</v>
      </c>
      <c r="AU87" t="s">
        <v>193</v>
      </c>
      <c r="AV87">
        <v>1.113</v>
      </c>
      <c r="AW87" t="s">
        <v>65</v>
      </c>
      <c r="AX87">
        <v>2</v>
      </c>
      <c r="AY87">
        <v>6</v>
      </c>
      <c r="AZ87" t="s">
        <v>17211</v>
      </c>
      <c r="BA87">
        <v>1.099E-2</v>
      </c>
      <c r="BB87">
        <v>-2.3600000000000001E-3</v>
      </c>
      <c r="BC87">
        <v>1.2120000000000001E-2</v>
      </c>
      <c r="BD87">
        <v>-9.3999999999999997E-4</v>
      </c>
      <c r="BE87">
        <v>1.10233</v>
      </c>
      <c r="BF87">
        <v>0.26</v>
      </c>
      <c r="BG87" t="s">
        <v>635</v>
      </c>
      <c r="BH87">
        <v>-1.607</v>
      </c>
      <c r="BI87">
        <v>-1.419</v>
      </c>
    </row>
    <row r="88" spans="3:61">
      <c r="C88">
        <v>0</v>
      </c>
      <c r="D88">
        <v>2</v>
      </c>
      <c r="E88">
        <v>0</v>
      </c>
      <c r="F88" t="s">
        <v>25021</v>
      </c>
      <c r="G88">
        <v>2472</v>
      </c>
      <c r="H88" t="s">
        <v>14406</v>
      </c>
      <c r="I88" t="s">
        <v>57</v>
      </c>
      <c r="J88">
        <v>2465966</v>
      </c>
      <c r="K88">
        <v>2466169</v>
      </c>
      <c r="L88" t="s">
        <v>116</v>
      </c>
      <c r="M88">
        <v>68</v>
      </c>
      <c r="N88" t="s">
        <v>108</v>
      </c>
      <c r="O88">
        <v>44</v>
      </c>
      <c r="P88" t="str">
        <f>HYPERLINK("Gene2472-zp_tree_all.dnd", "Gene2472-tree")</f>
        <v>Gene2472-tree</v>
      </c>
      <c r="Q88">
        <v>9</v>
      </c>
      <c r="R88">
        <v>3</v>
      </c>
      <c r="S88">
        <v>9</v>
      </c>
      <c r="T88">
        <v>3</v>
      </c>
      <c r="U88">
        <v>0.25</v>
      </c>
      <c r="V88" t="s">
        <v>135</v>
      </c>
      <c r="W88" t="s">
        <v>324</v>
      </c>
      <c r="X88" t="s">
        <v>62</v>
      </c>
      <c r="Y88" t="s">
        <v>62</v>
      </c>
      <c r="Z88">
        <v>1</v>
      </c>
      <c r="AA88">
        <v>2</v>
      </c>
      <c r="AB88">
        <v>3</v>
      </c>
      <c r="AC88">
        <v>0.4</v>
      </c>
      <c r="AD88" s="47">
        <v>0</v>
      </c>
      <c r="AE88" s="47">
        <v>0</v>
      </c>
      <c r="AF88" s="47">
        <v>0</v>
      </c>
      <c r="AG88" s="47">
        <v>2</v>
      </c>
      <c r="AH88" s="47">
        <v>0</v>
      </c>
      <c r="AI88" s="47">
        <v>0</v>
      </c>
      <c r="AJ88" s="47">
        <v>0</v>
      </c>
      <c r="AK88" s="47">
        <v>0</v>
      </c>
      <c r="AL88">
        <v>3</v>
      </c>
      <c r="AM88">
        <v>0</v>
      </c>
      <c r="AN88">
        <v>6</v>
      </c>
      <c r="AO88">
        <v>5</v>
      </c>
      <c r="AP88">
        <v>5</v>
      </c>
      <c r="AQ88">
        <v>2</v>
      </c>
      <c r="AR88">
        <v>6</v>
      </c>
      <c r="AS88">
        <v>3</v>
      </c>
      <c r="AT88" t="s">
        <v>14407</v>
      </c>
      <c r="AU88" t="s">
        <v>14408</v>
      </c>
      <c r="AV88">
        <v>0.152</v>
      </c>
      <c r="AW88" t="s">
        <v>65</v>
      </c>
      <c r="AX88">
        <v>11</v>
      </c>
      <c r="AY88">
        <v>5</v>
      </c>
      <c r="AZ88" t="s">
        <v>14409</v>
      </c>
      <c r="BA88">
        <v>6.9889999999999994E-2</v>
      </c>
      <c r="BB88">
        <v>-4.3400000000000001E-3</v>
      </c>
      <c r="BC88">
        <v>7.9699999999999997E-3</v>
      </c>
      <c r="BD88">
        <v>-7.2000000000000005E-4</v>
      </c>
      <c r="BE88">
        <v>0.114</v>
      </c>
      <c r="BF88">
        <v>1</v>
      </c>
      <c r="BG88" t="s">
        <v>69</v>
      </c>
      <c r="BH88">
        <v>7.0999999999999994E-2</v>
      </c>
      <c r="BI88">
        <v>-0.61599999999999999</v>
      </c>
    </row>
    <row r="89" spans="3:61">
      <c r="C89">
        <v>0</v>
      </c>
      <c r="D89">
        <v>7</v>
      </c>
      <c r="E89">
        <v>0</v>
      </c>
      <c r="F89" t="s">
        <v>25021</v>
      </c>
      <c r="G89">
        <v>3599</v>
      </c>
      <c r="H89" t="s">
        <v>21133</v>
      </c>
      <c r="I89" t="s">
        <v>57</v>
      </c>
      <c r="J89">
        <v>3568282</v>
      </c>
      <c r="K89">
        <v>3568488</v>
      </c>
      <c r="L89" t="s">
        <v>1523</v>
      </c>
      <c r="M89">
        <v>69</v>
      </c>
      <c r="N89" t="s">
        <v>465</v>
      </c>
      <c r="O89">
        <v>46</v>
      </c>
      <c r="P89" t="str">
        <f>HYPERLINK("Gene3599-zp_tree_all.dnd", "Gene3599-tree")</f>
        <v>Gene3599-tree</v>
      </c>
      <c r="Q89">
        <v>2</v>
      </c>
      <c r="R89">
        <v>9</v>
      </c>
      <c r="S89">
        <v>2</v>
      </c>
      <c r="T89">
        <v>9</v>
      </c>
      <c r="U89">
        <v>0.81818000000000002</v>
      </c>
      <c r="V89" t="s">
        <v>81</v>
      </c>
      <c r="W89" t="s">
        <v>135</v>
      </c>
      <c r="X89" t="s">
        <v>62</v>
      </c>
      <c r="Y89" t="s">
        <v>62</v>
      </c>
      <c r="Z89">
        <v>1</v>
      </c>
      <c r="AA89">
        <v>7</v>
      </c>
      <c r="AB89">
        <v>6</v>
      </c>
      <c r="AC89">
        <v>0.53846000000000005</v>
      </c>
      <c r="AD89" s="47">
        <v>0</v>
      </c>
      <c r="AE89" s="47">
        <v>0</v>
      </c>
      <c r="AF89" s="47">
        <v>0</v>
      </c>
      <c r="AG89" s="47">
        <v>0</v>
      </c>
      <c r="AH89" s="47">
        <v>0</v>
      </c>
      <c r="AI89" s="47">
        <v>6</v>
      </c>
      <c r="AJ89" s="47">
        <v>0</v>
      </c>
      <c r="AK89" s="47">
        <v>6</v>
      </c>
      <c r="AL89">
        <v>5</v>
      </c>
      <c r="AM89">
        <v>0.54544999999999999</v>
      </c>
      <c r="AN89">
        <v>8</v>
      </c>
      <c r="AO89">
        <v>5</v>
      </c>
      <c r="AP89">
        <v>4</v>
      </c>
      <c r="AQ89">
        <v>8</v>
      </c>
      <c r="AR89">
        <v>4</v>
      </c>
      <c r="AS89">
        <v>6</v>
      </c>
      <c r="AT89" t="s">
        <v>21134</v>
      </c>
      <c r="AU89" t="s">
        <v>21135</v>
      </c>
      <c r="AV89">
        <v>0.40400000000000003</v>
      </c>
      <c r="AW89" t="s">
        <v>65</v>
      </c>
      <c r="AX89">
        <v>8</v>
      </c>
      <c r="AY89">
        <v>14</v>
      </c>
      <c r="AZ89" t="s">
        <v>21136</v>
      </c>
      <c r="BA89">
        <v>5.466E-2</v>
      </c>
      <c r="BB89">
        <v>-3.4499999999999999E-3</v>
      </c>
      <c r="BC89">
        <v>1.6729999999999998E-2</v>
      </c>
      <c r="BD89">
        <v>-1.31E-3</v>
      </c>
      <c r="BE89">
        <v>0.30613000000000001</v>
      </c>
      <c r="BF89">
        <v>0.97</v>
      </c>
      <c r="BG89" t="s">
        <v>69</v>
      </c>
      <c r="BH89">
        <v>-0.21299999999999999</v>
      </c>
      <c r="BI89">
        <v>-0.11899999999999999</v>
      </c>
    </row>
    <row r="90" spans="3:61">
      <c r="C90">
        <v>0</v>
      </c>
      <c r="D90">
        <v>0</v>
      </c>
      <c r="E90">
        <v>0</v>
      </c>
      <c r="F90" t="s">
        <v>25021</v>
      </c>
      <c r="G90">
        <v>1539</v>
      </c>
      <c r="H90" t="s">
        <v>9618</v>
      </c>
      <c r="I90" t="s">
        <v>62</v>
      </c>
      <c r="J90">
        <v>1548392</v>
      </c>
      <c r="K90">
        <v>1548598</v>
      </c>
      <c r="L90" t="s">
        <v>288</v>
      </c>
      <c r="M90">
        <v>69</v>
      </c>
      <c r="N90" t="s">
        <v>394</v>
      </c>
      <c r="O90">
        <v>48</v>
      </c>
      <c r="P90" t="str">
        <f>HYPERLINK("Gene1539-zp_tree_all.dnd", "Gene1539-tree")</f>
        <v>Gene1539-tree</v>
      </c>
      <c r="Q90">
        <v>0</v>
      </c>
      <c r="R90">
        <v>4</v>
      </c>
      <c r="S90">
        <v>0</v>
      </c>
      <c r="T90">
        <v>4</v>
      </c>
      <c r="U90">
        <v>1</v>
      </c>
      <c r="V90" t="s">
        <v>62</v>
      </c>
      <c r="W90" t="s">
        <v>61</v>
      </c>
      <c r="X90" t="s">
        <v>62</v>
      </c>
      <c r="Y90" t="s">
        <v>62</v>
      </c>
      <c r="Z90">
        <v>0</v>
      </c>
      <c r="AA90">
        <v>0</v>
      </c>
      <c r="AB90">
        <v>4</v>
      </c>
      <c r="AC90">
        <v>0</v>
      </c>
      <c r="AD90" s="47">
        <v>0</v>
      </c>
      <c r="AE90" s="47">
        <v>0</v>
      </c>
      <c r="AF90" s="47">
        <v>0</v>
      </c>
      <c r="AG90" s="47">
        <v>0</v>
      </c>
      <c r="AH90" s="47">
        <v>0</v>
      </c>
      <c r="AI90" s="47">
        <v>0</v>
      </c>
      <c r="AJ90" s="47">
        <v>0</v>
      </c>
      <c r="AK90" s="47">
        <v>0</v>
      </c>
      <c r="AL90">
        <v>4</v>
      </c>
      <c r="AM90">
        <v>0</v>
      </c>
      <c r="AN90">
        <v>3</v>
      </c>
      <c r="AO90">
        <v>1</v>
      </c>
      <c r="AP90">
        <v>5</v>
      </c>
      <c r="AQ90">
        <v>3</v>
      </c>
      <c r="AR90">
        <v>4</v>
      </c>
      <c r="AS90">
        <v>1</v>
      </c>
      <c r="AT90" t="s">
        <v>9619</v>
      </c>
      <c r="AU90" t="s">
        <v>9620</v>
      </c>
      <c r="AV90">
        <v>0.95099999999999996</v>
      </c>
      <c r="AW90" t="s">
        <v>65</v>
      </c>
      <c r="AX90">
        <v>9</v>
      </c>
      <c r="AY90">
        <v>4</v>
      </c>
      <c r="AZ90" t="s">
        <v>9621</v>
      </c>
      <c r="BA90">
        <v>0.14252999999999999</v>
      </c>
      <c r="BB90">
        <v>-2.009E-2</v>
      </c>
      <c r="BC90">
        <v>1.3169999999999999E-2</v>
      </c>
      <c r="BD90">
        <v>-1.72E-3</v>
      </c>
      <c r="BE90">
        <v>9.2369999999999994E-2</v>
      </c>
      <c r="BF90">
        <v>1</v>
      </c>
      <c r="BG90" t="s">
        <v>69</v>
      </c>
      <c r="BH90">
        <v>-1.7110000000000001</v>
      </c>
      <c r="BI90">
        <v>-1.5189999999999999</v>
      </c>
    </row>
    <row r="91" spans="3:61">
      <c r="C91">
        <v>0</v>
      </c>
      <c r="D91">
        <v>0</v>
      </c>
      <c r="E91">
        <v>0</v>
      </c>
      <c r="F91" t="s">
        <v>25021</v>
      </c>
      <c r="G91">
        <v>1511</v>
      </c>
      <c r="H91" t="s">
        <v>9446</v>
      </c>
      <c r="I91" t="s">
        <v>62</v>
      </c>
      <c r="J91">
        <v>1524794</v>
      </c>
      <c r="K91">
        <v>1525000</v>
      </c>
      <c r="L91" t="s">
        <v>9447</v>
      </c>
      <c r="M91">
        <v>69</v>
      </c>
      <c r="N91" t="s">
        <v>59</v>
      </c>
      <c r="O91">
        <v>49</v>
      </c>
      <c r="P91" t="str">
        <f>HYPERLINK("Gene1511-zp_tree_all.dnd", "Gene1511-tree")</f>
        <v>Gene1511-tree</v>
      </c>
      <c r="Q91">
        <v>2</v>
      </c>
      <c r="R91">
        <v>3</v>
      </c>
      <c r="S91">
        <v>2</v>
      </c>
      <c r="T91">
        <v>3</v>
      </c>
      <c r="U91">
        <v>0.6</v>
      </c>
      <c r="V91" t="s">
        <v>81</v>
      </c>
      <c r="W91" t="s">
        <v>324</v>
      </c>
      <c r="X91" t="s">
        <v>62</v>
      </c>
      <c r="Y91" t="s">
        <v>62</v>
      </c>
      <c r="Z91">
        <v>0</v>
      </c>
      <c r="AA91">
        <v>0</v>
      </c>
      <c r="AB91">
        <v>3</v>
      </c>
      <c r="AC91">
        <v>0</v>
      </c>
      <c r="AD91" s="47">
        <v>0</v>
      </c>
      <c r="AE91" s="47">
        <v>0</v>
      </c>
      <c r="AF91" s="47">
        <v>0</v>
      </c>
      <c r="AG91" s="47">
        <v>0</v>
      </c>
      <c r="AH91" s="47">
        <v>0</v>
      </c>
      <c r="AI91" s="47">
        <v>0</v>
      </c>
      <c r="AJ91" s="47">
        <v>0</v>
      </c>
      <c r="AK91" s="47">
        <v>0</v>
      </c>
      <c r="AL91">
        <v>3</v>
      </c>
      <c r="AM91">
        <v>0</v>
      </c>
      <c r="AN91">
        <v>4</v>
      </c>
      <c r="AO91">
        <v>1</v>
      </c>
      <c r="AP91">
        <v>2</v>
      </c>
      <c r="AQ91">
        <v>3</v>
      </c>
      <c r="AR91">
        <v>4</v>
      </c>
      <c r="AS91">
        <v>0</v>
      </c>
      <c r="AT91" t="s">
        <v>9448</v>
      </c>
      <c r="AU91" t="s">
        <v>193</v>
      </c>
      <c r="AV91">
        <v>1.5</v>
      </c>
      <c r="AW91" t="s">
        <v>65</v>
      </c>
      <c r="AX91">
        <v>6</v>
      </c>
      <c r="AY91">
        <v>3</v>
      </c>
      <c r="AZ91" t="s">
        <v>9449</v>
      </c>
      <c r="BA91">
        <v>8.0199999999999994E-2</v>
      </c>
      <c r="BB91">
        <v>-1.298E-2</v>
      </c>
      <c r="BC91">
        <v>7.3600000000000002E-3</v>
      </c>
      <c r="BD91">
        <v>-1.17E-3</v>
      </c>
      <c r="BE91">
        <v>9.1719999999999996E-2</v>
      </c>
      <c r="BF91">
        <v>1</v>
      </c>
      <c r="BG91" t="s">
        <v>69</v>
      </c>
      <c r="BH91">
        <v>-1.321</v>
      </c>
      <c r="BI91">
        <v>0.04</v>
      </c>
    </row>
    <row r="92" spans="3:61">
      <c r="C92">
        <v>0</v>
      </c>
      <c r="D92">
        <v>0</v>
      </c>
      <c r="E92">
        <v>0</v>
      </c>
      <c r="F92" t="s">
        <v>25021</v>
      </c>
      <c r="G92">
        <v>660</v>
      </c>
      <c r="H92" t="s">
        <v>4109</v>
      </c>
      <c r="I92" t="s">
        <v>62</v>
      </c>
      <c r="J92">
        <v>681258</v>
      </c>
      <c r="K92">
        <v>681464</v>
      </c>
      <c r="L92" t="s">
        <v>288</v>
      </c>
      <c r="M92">
        <v>69</v>
      </c>
      <c r="N92" t="s">
        <v>4110</v>
      </c>
      <c r="O92">
        <v>45</v>
      </c>
      <c r="P92" t="str">
        <f>HYPERLINK("Gene660-zp_tree_all.dnd", "Gene660-tree")</f>
        <v>Gene660-tree</v>
      </c>
      <c r="Q92">
        <v>6</v>
      </c>
      <c r="R92">
        <v>0</v>
      </c>
      <c r="S92">
        <v>6</v>
      </c>
      <c r="T92">
        <v>0</v>
      </c>
      <c r="U92">
        <v>0</v>
      </c>
      <c r="V92" t="s">
        <v>90</v>
      </c>
      <c r="W92" t="s">
        <v>62</v>
      </c>
      <c r="X92" t="s">
        <v>62</v>
      </c>
      <c r="Y92" t="s">
        <v>62</v>
      </c>
      <c r="Z92">
        <v>0</v>
      </c>
      <c r="AA92">
        <v>0</v>
      </c>
      <c r="AB92">
        <v>0</v>
      </c>
      <c r="AC92">
        <v>0</v>
      </c>
      <c r="AD92" s="47">
        <v>0</v>
      </c>
      <c r="AE92" s="47">
        <v>0</v>
      </c>
      <c r="AF92" s="47">
        <v>0</v>
      </c>
      <c r="AG92" s="47">
        <v>0</v>
      </c>
      <c r="AH92" s="47">
        <v>0</v>
      </c>
      <c r="AI92" s="47">
        <v>0</v>
      </c>
      <c r="AJ92" s="47">
        <v>0</v>
      </c>
      <c r="AK92" s="47">
        <v>0</v>
      </c>
      <c r="AL92">
        <v>0</v>
      </c>
      <c r="AM92">
        <v>0</v>
      </c>
      <c r="AN92">
        <v>3</v>
      </c>
      <c r="AO92">
        <v>2</v>
      </c>
      <c r="AP92">
        <v>3</v>
      </c>
      <c r="AQ92">
        <v>0</v>
      </c>
      <c r="AR92">
        <v>5</v>
      </c>
      <c r="AS92">
        <v>0</v>
      </c>
      <c r="AT92" t="s">
        <v>193</v>
      </c>
      <c r="AU92" t="s">
        <v>193</v>
      </c>
      <c r="AV92">
        <v>0</v>
      </c>
      <c r="AW92" t="s">
        <v>65</v>
      </c>
      <c r="AX92">
        <v>8</v>
      </c>
      <c r="AY92">
        <v>0</v>
      </c>
      <c r="AZ92" t="s">
        <v>4111</v>
      </c>
      <c r="BA92">
        <v>9.8409999999999997E-2</v>
      </c>
      <c r="BB92">
        <v>-1.533E-2</v>
      </c>
      <c r="BC92">
        <v>0</v>
      </c>
      <c r="BD92">
        <v>0</v>
      </c>
      <c r="BE92">
        <v>0</v>
      </c>
      <c r="BF92">
        <v>1</v>
      </c>
      <c r="BG92" t="s">
        <v>69</v>
      </c>
      <c r="BH92">
        <v>-0.82299999999999995</v>
      </c>
      <c r="BI92">
        <v>-0.09</v>
      </c>
    </row>
    <row r="93" spans="3:61">
      <c r="C93">
        <v>0</v>
      </c>
      <c r="D93">
        <v>0</v>
      </c>
      <c r="E93">
        <v>0</v>
      </c>
      <c r="F93" t="s">
        <v>25021</v>
      </c>
      <c r="G93">
        <v>2432</v>
      </c>
      <c r="H93" t="s">
        <v>14156</v>
      </c>
      <c r="I93" t="s">
        <v>57</v>
      </c>
      <c r="J93">
        <v>2435012</v>
      </c>
      <c r="K93">
        <v>2435221</v>
      </c>
      <c r="L93" t="s">
        <v>14157</v>
      </c>
      <c r="M93">
        <v>70</v>
      </c>
      <c r="N93" t="s">
        <v>108</v>
      </c>
      <c r="O93">
        <v>44</v>
      </c>
      <c r="P93" t="str">
        <f>HYPERLINK("Gene2432-zp_tree_all.dnd", "Gene2432-tree")</f>
        <v>Gene2432-tree</v>
      </c>
      <c r="Q93">
        <v>8</v>
      </c>
      <c r="R93">
        <v>0</v>
      </c>
      <c r="S93">
        <v>8</v>
      </c>
      <c r="T93">
        <v>0</v>
      </c>
      <c r="U93">
        <v>0</v>
      </c>
      <c r="V93" t="s">
        <v>136</v>
      </c>
      <c r="W93" t="s">
        <v>62</v>
      </c>
      <c r="X93" t="s">
        <v>62</v>
      </c>
      <c r="Y93" t="s">
        <v>62</v>
      </c>
      <c r="Z93">
        <v>0</v>
      </c>
      <c r="AA93">
        <v>0</v>
      </c>
      <c r="AB93">
        <v>0</v>
      </c>
      <c r="AC93">
        <v>0</v>
      </c>
      <c r="AD93" s="47">
        <v>0</v>
      </c>
      <c r="AE93" s="47">
        <v>0</v>
      </c>
      <c r="AF93" s="47">
        <v>0</v>
      </c>
      <c r="AG93" s="47">
        <v>0</v>
      </c>
      <c r="AH93" s="47">
        <v>0</v>
      </c>
      <c r="AI93" s="47">
        <v>0</v>
      </c>
      <c r="AJ93" s="47">
        <v>0</v>
      </c>
      <c r="AK93" s="47">
        <v>0</v>
      </c>
      <c r="AL93">
        <v>0</v>
      </c>
      <c r="AM93">
        <v>0</v>
      </c>
      <c r="AN93">
        <v>6</v>
      </c>
      <c r="AO93">
        <v>1</v>
      </c>
      <c r="AP93">
        <v>6</v>
      </c>
      <c r="AQ93">
        <v>0</v>
      </c>
      <c r="AR93">
        <v>1</v>
      </c>
      <c r="AS93">
        <v>0</v>
      </c>
      <c r="AT93" t="s">
        <v>193</v>
      </c>
      <c r="AU93" t="s">
        <v>193</v>
      </c>
      <c r="AV93">
        <v>0</v>
      </c>
      <c r="AW93" t="s">
        <v>65</v>
      </c>
      <c r="AX93">
        <v>7</v>
      </c>
      <c r="AY93">
        <v>0</v>
      </c>
      <c r="AZ93" t="s">
        <v>14158</v>
      </c>
      <c r="BA93">
        <v>4.8090000000000001E-2</v>
      </c>
      <c r="BB93">
        <v>-3.3899999999999998E-3</v>
      </c>
      <c r="BC93">
        <v>0</v>
      </c>
      <c r="BD93">
        <v>0</v>
      </c>
      <c r="BE93">
        <v>0</v>
      </c>
      <c r="BF93">
        <v>1</v>
      </c>
      <c r="BG93" t="s">
        <v>69</v>
      </c>
      <c r="BH93">
        <v>-0.36799999999999999</v>
      </c>
      <c r="BI93">
        <v>-1.0269999999999999</v>
      </c>
    </row>
    <row r="94" spans="3:61">
      <c r="C94">
        <v>0</v>
      </c>
      <c r="D94">
        <v>0</v>
      </c>
      <c r="E94">
        <v>0</v>
      </c>
      <c r="F94" t="s">
        <v>25021</v>
      </c>
      <c r="G94">
        <v>821</v>
      </c>
      <c r="H94" t="s">
        <v>5115</v>
      </c>
      <c r="I94" t="s">
        <v>62</v>
      </c>
      <c r="J94">
        <v>861589</v>
      </c>
      <c r="K94">
        <v>861801</v>
      </c>
      <c r="L94" t="s">
        <v>288</v>
      </c>
      <c r="M94">
        <v>71</v>
      </c>
      <c r="N94" t="s">
        <v>108</v>
      </c>
      <c r="O94">
        <v>44</v>
      </c>
      <c r="P94" t="str">
        <f>HYPERLINK("Gene821-zp_tree_all.dnd", "Gene821-tree")</f>
        <v>Gene821-tree</v>
      </c>
      <c r="Q94">
        <v>4</v>
      </c>
      <c r="R94">
        <v>2</v>
      </c>
      <c r="S94">
        <v>4</v>
      </c>
      <c r="T94">
        <v>2</v>
      </c>
      <c r="U94">
        <v>0.33333000000000002</v>
      </c>
      <c r="V94" t="s">
        <v>61</v>
      </c>
      <c r="W94" t="s">
        <v>81</v>
      </c>
      <c r="X94" t="s">
        <v>62</v>
      </c>
      <c r="Y94" t="s">
        <v>62</v>
      </c>
      <c r="Z94">
        <v>0</v>
      </c>
      <c r="AA94">
        <v>0</v>
      </c>
      <c r="AB94">
        <v>2</v>
      </c>
      <c r="AC94">
        <v>0</v>
      </c>
      <c r="AD94" s="47">
        <v>0</v>
      </c>
      <c r="AE94" s="47">
        <v>0</v>
      </c>
      <c r="AF94" s="47">
        <v>0</v>
      </c>
      <c r="AG94" s="47">
        <v>0</v>
      </c>
      <c r="AH94" s="47">
        <v>0</v>
      </c>
      <c r="AI94" s="47">
        <v>0</v>
      </c>
      <c r="AJ94" s="47">
        <v>0</v>
      </c>
      <c r="AK94" s="47">
        <v>0</v>
      </c>
      <c r="AL94">
        <v>2</v>
      </c>
      <c r="AM94">
        <v>0</v>
      </c>
      <c r="AN94">
        <v>4</v>
      </c>
      <c r="AO94">
        <v>1</v>
      </c>
      <c r="AP94">
        <v>2</v>
      </c>
      <c r="AQ94">
        <v>2</v>
      </c>
      <c r="AR94">
        <v>1</v>
      </c>
      <c r="AS94">
        <v>0</v>
      </c>
      <c r="AT94" t="s">
        <v>5116</v>
      </c>
      <c r="AU94" t="s">
        <v>193</v>
      </c>
      <c r="AV94">
        <v>1</v>
      </c>
      <c r="AW94" t="s">
        <v>65</v>
      </c>
      <c r="AX94">
        <v>3</v>
      </c>
      <c r="AY94">
        <v>2</v>
      </c>
      <c r="AZ94" t="s">
        <v>5117</v>
      </c>
      <c r="BA94">
        <v>2.9329999999999998E-2</v>
      </c>
      <c r="BB94">
        <v>-5.3299999999999997E-3</v>
      </c>
      <c r="BC94">
        <v>3.9199999999999999E-3</v>
      </c>
      <c r="BD94">
        <v>-7.9000000000000001E-4</v>
      </c>
      <c r="BE94">
        <v>0.13361000000000001</v>
      </c>
      <c r="BF94">
        <v>0.95699999999999996</v>
      </c>
      <c r="BG94" t="s">
        <v>69</v>
      </c>
      <c r="BH94">
        <v>-0.64900000000000002</v>
      </c>
      <c r="BI94">
        <v>-1.7190000000000001</v>
      </c>
    </row>
    <row r="95" spans="3:61">
      <c r="C95">
        <v>0</v>
      </c>
      <c r="D95">
        <v>0</v>
      </c>
      <c r="E95">
        <v>0</v>
      </c>
      <c r="F95" t="s">
        <v>25021</v>
      </c>
      <c r="G95">
        <v>2983</v>
      </c>
      <c r="H95" t="s">
        <v>17214</v>
      </c>
      <c r="I95" t="s">
        <v>57</v>
      </c>
      <c r="J95">
        <v>2931692</v>
      </c>
      <c r="K95">
        <v>2931904</v>
      </c>
      <c r="L95" t="s">
        <v>389</v>
      </c>
      <c r="M95">
        <v>71</v>
      </c>
      <c r="N95" t="s">
        <v>59</v>
      </c>
      <c r="O95">
        <v>49</v>
      </c>
      <c r="P95" t="str">
        <f>HYPERLINK("Gene2983-zp_tree_all.dnd", "Gene2983-tree")</f>
        <v>Gene2983-tree</v>
      </c>
      <c r="Q95">
        <v>6</v>
      </c>
      <c r="R95">
        <v>2</v>
      </c>
      <c r="S95">
        <v>6</v>
      </c>
      <c r="T95">
        <v>2</v>
      </c>
      <c r="U95">
        <v>0.25</v>
      </c>
      <c r="V95" t="s">
        <v>90</v>
      </c>
      <c r="W95" t="s">
        <v>81</v>
      </c>
      <c r="X95" t="s">
        <v>62</v>
      </c>
      <c r="Y95" t="s">
        <v>62</v>
      </c>
      <c r="Z95">
        <v>0</v>
      </c>
      <c r="AA95">
        <v>0</v>
      </c>
      <c r="AB95">
        <v>2</v>
      </c>
      <c r="AC95">
        <v>0</v>
      </c>
      <c r="AD95" s="47">
        <v>0</v>
      </c>
      <c r="AE95" s="47">
        <v>0</v>
      </c>
      <c r="AF95" s="47">
        <v>0</v>
      </c>
      <c r="AG95" s="47">
        <v>1</v>
      </c>
      <c r="AH95" s="47">
        <v>0</v>
      </c>
      <c r="AI95" s="47">
        <v>0</v>
      </c>
      <c r="AJ95" s="47">
        <v>0</v>
      </c>
      <c r="AK95" s="47">
        <v>0</v>
      </c>
      <c r="AL95">
        <v>1</v>
      </c>
      <c r="AM95">
        <v>0</v>
      </c>
      <c r="AN95">
        <v>5</v>
      </c>
      <c r="AO95">
        <v>4</v>
      </c>
      <c r="AP95">
        <v>8</v>
      </c>
      <c r="AQ95">
        <v>1</v>
      </c>
      <c r="AR95">
        <v>11</v>
      </c>
      <c r="AS95">
        <v>1</v>
      </c>
      <c r="AT95" t="s">
        <v>17215</v>
      </c>
      <c r="AU95" t="s">
        <v>17216</v>
      </c>
      <c r="AV95">
        <v>0.129</v>
      </c>
      <c r="AW95" t="s">
        <v>65</v>
      </c>
      <c r="AX95">
        <v>19</v>
      </c>
      <c r="AY95">
        <v>2</v>
      </c>
      <c r="AZ95" t="s">
        <v>17217</v>
      </c>
      <c r="BA95">
        <v>0.17974999999999999</v>
      </c>
      <c r="BB95">
        <v>-1.728E-2</v>
      </c>
      <c r="BC95">
        <v>4.1099999999999999E-3</v>
      </c>
      <c r="BD95">
        <v>-7.2999999999999996E-4</v>
      </c>
      <c r="BE95">
        <v>2.2880000000000001E-2</v>
      </c>
      <c r="BF95">
        <v>1</v>
      </c>
      <c r="BG95" t="s">
        <v>69</v>
      </c>
      <c r="BH95">
        <v>-1.1579999999999999</v>
      </c>
      <c r="BI95">
        <v>0.44700000000000001</v>
      </c>
    </row>
    <row r="96" spans="3:61">
      <c r="C96">
        <v>0</v>
      </c>
      <c r="D96">
        <v>0</v>
      </c>
      <c r="E96">
        <v>2</v>
      </c>
      <c r="F96" t="s">
        <v>25021</v>
      </c>
      <c r="G96">
        <v>1010</v>
      </c>
      <c r="H96" t="s">
        <v>6342</v>
      </c>
      <c r="I96" t="s">
        <v>62</v>
      </c>
      <c r="J96">
        <v>1050446</v>
      </c>
      <c r="K96">
        <v>1050661</v>
      </c>
      <c r="L96" t="s">
        <v>6343</v>
      </c>
      <c r="M96">
        <v>72</v>
      </c>
      <c r="N96" t="s">
        <v>6344</v>
      </c>
      <c r="O96">
        <v>48</v>
      </c>
      <c r="P96" t="str">
        <f>HYPERLINK("Gene1010-zp_tree_all.dnd", "Gene1010-tree")</f>
        <v>Gene1010-tree</v>
      </c>
      <c r="Q96">
        <v>39</v>
      </c>
      <c r="R96">
        <v>2</v>
      </c>
      <c r="S96">
        <v>9</v>
      </c>
      <c r="T96">
        <v>2</v>
      </c>
      <c r="U96">
        <v>0.18182000000000001</v>
      </c>
      <c r="V96" t="s">
        <v>6345</v>
      </c>
      <c r="W96" t="s">
        <v>81</v>
      </c>
      <c r="X96" t="s">
        <v>62</v>
      </c>
      <c r="Y96" t="s">
        <v>62</v>
      </c>
      <c r="Z96">
        <v>1</v>
      </c>
      <c r="AA96">
        <v>2</v>
      </c>
      <c r="AB96">
        <v>4</v>
      </c>
      <c r="AC96">
        <v>0.33333000000000002</v>
      </c>
      <c r="AD96" s="47">
        <v>0</v>
      </c>
      <c r="AE96" s="47">
        <v>0</v>
      </c>
      <c r="AF96" s="47">
        <v>0</v>
      </c>
      <c r="AG96" s="47">
        <v>4</v>
      </c>
      <c r="AH96" s="47">
        <v>0</v>
      </c>
      <c r="AI96" s="47">
        <v>0</v>
      </c>
      <c r="AJ96" s="47">
        <v>2</v>
      </c>
      <c r="AK96" s="47">
        <v>2</v>
      </c>
      <c r="AL96">
        <v>0</v>
      </c>
      <c r="AM96">
        <v>1</v>
      </c>
      <c r="AN96">
        <v>6</v>
      </c>
      <c r="AO96">
        <v>4</v>
      </c>
      <c r="AP96">
        <v>7</v>
      </c>
      <c r="AQ96">
        <v>2</v>
      </c>
      <c r="AR96">
        <v>5</v>
      </c>
      <c r="AS96">
        <v>4</v>
      </c>
      <c r="AT96" t="s">
        <v>6346</v>
      </c>
      <c r="AU96" t="s">
        <v>6347</v>
      </c>
      <c r="AV96">
        <v>0.63700000000000001</v>
      </c>
      <c r="AW96" t="s">
        <v>65</v>
      </c>
      <c r="AX96">
        <v>12</v>
      </c>
      <c r="AY96">
        <v>6</v>
      </c>
      <c r="AZ96" t="s">
        <v>6348</v>
      </c>
      <c r="BA96">
        <v>8.1229999999999997E-2</v>
      </c>
      <c r="BB96">
        <v>-7.3000000000000001E-3</v>
      </c>
      <c r="BC96">
        <v>1.209E-2</v>
      </c>
      <c r="BD96">
        <v>-1.2600000000000001E-3</v>
      </c>
      <c r="BE96">
        <v>0.14888999999999999</v>
      </c>
      <c r="BF96">
        <v>1</v>
      </c>
      <c r="BG96" t="s">
        <v>69</v>
      </c>
      <c r="BH96">
        <v>-1.1819999999999999</v>
      </c>
      <c r="BI96">
        <v>-3.5999999999999997E-2</v>
      </c>
    </row>
    <row r="97" spans="3:61">
      <c r="C97">
        <v>0</v>
      </c>
      <c r="D97">
        <v>0</v>
      </c>
      <c r="E97">
        <v>0</v>
      </c>
      <c r="F97" t="s">
        <v>25021</v>
      </c>
      <c r="G97">
        <v>1102</v>
      </c>
      <c r="H97" t="s">
        <v>6936</v>
      </c>
      <c r="I97" t="s">
        <v>62</v>
      </c>
      <c r="J97">
        <v>1148497</v>
      </c>
      <c r="K97">
        <v>1148712</v>
      </c>
      <c r="L97" t="s">
        <v>6937</v>
      </c>
      <c r="M97">
        <v>72</v>
      </c>
      <c r="N97" t="s">
        <v>59</v>
      </c>
      <c r="O97">
        <v>49</v>
      </c>
      <c r="P97" t="str">
        <f>HYPERLINK("Gene1102-zp_tree_all.dnd", "Gene1102-tree")</f>
        <v>Gene1102-tree</v>
      </c>
      <c r="Q97">
        <v>6</v>
      </c>
      <c r="R97">
        <v>1</v>
      </c>
      <c r="S97">
        <v>6</v>
      </c>
      <c r="T97">
        <v>1</v>
      </c>
      <c r="U97">
        <v>0.14285999999999999</v>
      </c>
      <c r="V97" t="s">
        <v>90</v>
      </c>
      <c r="W97" t="s">
        <v>175</v>
      </c>
      <c r="X97" t="s">
        <v>62</v>
      </c>
      <c r="Y97" t="s">
        <v>62</v>
      </c>
      <c r="Z97">
        <v>0</v>
      </c>
      <c r="AA97">
        <v>0</v>
      </c>
      <c r="AB97">
        <v>3</v>
      </c>
      <c r="AC97">
        <v>0</v>
      </c>
      <c r="AD97" s="47">
        <v>0</v>
      </c>
      <c r="AE97" s="47">
        <v>0</v>
      </c>
      <c r="AF97" s="47">
        <v>0</v>
      </c>
      <c r="AG97" s="47">
        <v>2</v>
      </c>
      <c r="AH97" s="47">
        <v>0</v>
      </c>
      <c r="AI97" s="47">
        <v>0</v>
      </c>
      <c r="AJ97" s="47">
        <v>0</v>
      </c>
      <c r="AK97" s="47">
        <v>0</v>
      </c>
      <c r="AL97">
        <v>1</v>
      </c>
      <c r="AM97">
        <v>0</v>
      </c>
      <c r="AN97">
        <v>4</v>
      </c>
      <c r="AO97">
        <v>3</v>
      </c>
      <c r="AP97">
        <v>5</v>
      </c>
      <c r="AQ97">
        <v>1</v>
      </c>
      <c r="AR97">
        <v>5</v>
      </c>
      <c r="AS97">
        <v>2</v>
      </c>
      <c r="AT97" t="s">
        <v>6938</v>
      </c>
      <c r="AU97" t="s">
        <v>6939</v>
      </c>
      <c r="AV97">
        <v>0.58199999999999996</v>
      </c>
      <c r="AW97" t="s">
        <v>65</v>
      </c>
      <c r="AX97">
        <v>10</v>
      </c>
      <c r="AY97">
        <v>3</v>
      </c>
      <c r="AZ97" t="s">
        <v>6940</v>
      </c>
      <c r="BA97">
        <v>6.2640000000000001E-2</v>
      </c>
      <c r="BB97">
        <v>-6.4900000000000001E-3</v>
      </c>
      <c r="BC97">
        <v>8.2699999999999996E-3</v>
      </c>
      <c r="BD97">
        <v>-9.7999999999999997E-4</v>
      </c>
      <c r="BE97">
        <v>0.13200999999999999</v>
      </c>
      <c r="BF97">
        <v>0.98</v>
      </c>
      <c r="BG97" t="s">
        <v>69</v>
      </c>
      <c r="BH97">
        <v>-1.2689999999999999</v>
      </c>
      <c r="BI97">
        <v>-1.6559999999999999</v>
      </c>
    </row>
    <row r="98" spans="3:61">
      <c r="C98">
        <v>0</v>
      </c>
      <c r="D98">
        <v>0</v>
      </c>
      <c r="E98">
        <v>0</v>
      </c>
      <c r="F98" t="s">
        <v>25021</v>
      </c>
      <c r="G98">
        <v>3548</v>
      </c>
      <c r="H98" t="s">
        <v>20796</v>
      </c>
      <c r="I98" t="s">
        <v>57</v>
      </c>
      <c r="J98">
        <v>3513887</v>
      </c>
      <c r="K98">
        <v>3514102</v>
      </c>
      <c r="L98" t="s">
        <v>116</v>
      </c>
      <c r="M98">
        <v>72</v>
      </c>
      <c r="N98" t="s">
        <v>59</v>
      </c>
      <c r="O98">
        <v>49</v>
      </c>
      <c r="P98" t="str">
        <f>HYPERLINK("Gene3548-zp_tree_all.dnd", "Gene3548-tree")</f>
        <v>Gene3548-tree</v>
      </c>
      <c r="Q98">
        <v>8</v>
      </c>
      <c r="R98">
        <v>1</v>
      </c>
      <c r="S98">
        <v>8</v>
      </c>
      <c r="T98">
        <v>1</v>
      </c>
      <c r="U98">
        <v>0.11111</v>
      </c>
      <c r="V98" t="s">
        <v>136</v>
      </c>
      <c r="W98" t="s">
        <v>175</v>
      </c>
      <c r="X98" t="s">
        <v>62</v>
      </c>
      <c r="Y98" t="s">
        <v>62</v>
      </c>
      <c r="Z98">
        <v>0</v>
      </c>
      <c r="AA98">
        <v>0</v>
      </c>
      <c r="AB98">
        <v>2</v>
      </c>
      <c r="AC98">
        <v>0</v>
      </c>
      <c r="AD98" s="47">
        <v>0</v>
      </c>
      <c r="AE98" s="47">
        <v>0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>
        <v>1</v>
      </c>
      <c r="AM98">
        <v>0</v>
      </c>
      <c r="AN98">
        <v>6</v>
      </c>
      <c r="AO98">
        <v>5</v>
      </c>
      <c r="AP98">
        <v>15</v>
      </c>
      <c r="AQ98">
        <v>1</v>
      </c>
      <c r="AR98">
        <v>8</v>
      </c>
      <c r="AS98">
        <v>1</v>
      </c>
      <c r="AT98" t="s">
        <v>20797</v>
      </c>
      <c r="AU98" t="s">
        <v>20798</v>
      </c>
      <c r="AV98">
        <v>0.215</v>
      </c>
      <c r="AW98" t="s">
        <v>65</v>
      </c>
      <c r="AX98">
        <v>23</v>
      </c>
      <c r="AY98">
        <v>2</v>
      </c>
      <c r="AZ98" t="s">
        <v>20799</v>
      </c>
      <c r="BA98">
        <v>0.16292999999999999</v>
      </c>
      <c r="BB98">
        <v>-1.359E-2</v>
      </c>
      <c r="BC98">
        <v>3.62E-3</v>
      </c>
      <c r="BD98">
        <v>-7.6999999999999996E-4</v>
      </c>
      <c r="BE98">
        <v>2.2190000000000001E-2</v>
      </c>
      <c r="BF98">
        <v>1</v>
      </c>
      <c r="BG98" t="s">
        <v>69</v>
      </c>
      <c r="BH98">
        <v>-1.351</v>
      </c>
      <c r="BI98">
        <v>-3.0979999999999999</v>
      </c>
    </row>
    <row r="99" spans="3:61">
      <c r="C99">
        <v>0</v>
      </c>
      <c r="D99">
        <v>0</v>
      </c>
      <c r="E99">
        <v>0</v>
      </c>
      <c r="F99" t="s">
        <v>25021</v>
      </c>
      <c r="G99">
        <v>2080</v>
      </c>
      <c r="H99" t="s">
        <v>12889</v>
      </c>
      <c r="I99" t="s">
        <v>57</v>
      </c>
      <c r="J99">
        <v>2156239</v>
      </c>
      <c r="K99">
        <v>2156454</v>
      </c>
      <c r="L99" t="s">
        <v>389</v>
      </c>
      <c r="M99">
        <v>72</v>
      </c>
      <c r="N99" t="s">
        <v>12883</v>
      </c>
      <c r="O99">
        <v>17</v>
      </c>
      <c r="P99" t="str">
        <f>HYPERLINK("Gene2080-zp_tree_all.dnd", "Gene2080-tree")</f>
        <v>Gene2080-tree</v>
      </c>
      <c r="Q99">
        <v>17</v>
      </c>
      <c r="R99">
        <v>0</v>
      </c>
      <c r="S99">
        <v>4</v>
      </c>
      <c r="T99">
        <v>0</v>
      </c>
      <c r="U99">
        <v>0</v>
      </c>
      <c r="V99" t="s">
        <v>12884</v>
      </c>
      <c r="W99" t="s">
        <v>62</v>
      </c>
      <c r="X99" t="s">
        <v>62</v>
      </c>
      <c r="Y99" t="s">
        <v>62</v>
      </c>
      <c r="Z99">
        <v>0</v>
      </c>
      <c r="AA99">
        <v>0</v>
      </c>
      <c r="AB99">
        <v>0</v>
      </c>
      <c r="AC99">
        <v>0</v>
      </c>
      <c r="AD99" s="47">
        <v>0</v>
      </c>
      <c r="AE99" s="47">
        <v>0</v>
      </c>
      <c r="AF99" s="47">
        <v>0</v>
      </c>
      <c r="AG99" s="47">
        <v>0</v>
      </c>
      <c r="AH99" s="47">
        <v>0</v>
      </c>
      <c r="AI99" s="47">
        <v>0</v>
      </c>
      <c r="AJ99" s="47">
        <v>0</v>
      </c>
      <c r="AK99" s="47">
        <v>0</v>
      </c>
      <c r="AL99">
        <v>0</v>
      </c>
      <c r="AM99">
        <v>0</v>
      </c>
      <c r="AN99">
        <v>3</v>
      </c>
      <c r="AO99">
        <v>0</v>
      </c>
      <c r="AP99">
        <v>11</v>
      </c>
      <c r="AQ99">
        <v>0</v>
      </c>
      <c r="AR99">
        <v>0</v>
      </c>
      <c r="AS99">
        <v>0</v>
      </c>
      <c r="AT99" t="s">
        <v>193</v>
      </c>
      <c r="AU99" t="s">
        <v>193</v>
      </c>
      <c r="AV99">
        <v>0</v>
      </c>
      <c r="AW99" t="s">
        <v>65</v>
      </c>
      <c r="AX99">
        <v>11</v>
      </c>
      <c r="AY99">
        <v>0</v>
      </c>
      <c r="AZ99" t="s">
        <v>12890</v>
      </c>
      <c r="BA99">
        <v>0.12626000000000001</v>
      </c>
      <c r="BB99">
        <v>-3.0769999999999999E-2</v>
      </c>
      <c r="BC99">
        <v>0</v>
      </c>
      <c r="BD99">
        <v>0</v>
      </c>
      <c r="BE99">
        <v>0</v>
      </c>
      <c r="BF99">
        <v>1</v>
      </c>
      <c r="BG99" t="s">
        <v>69</v>
      </c>
      <c r="BH99">
        <v>-2.0169999999999999</v>
      </c>
      <c r="BI99">
        <v>-2.722</v>
      </c>
    </row>
    <row r="100" spans="3:61">
      <c r="C100">
        <v>0</v>
      </c>
      <c r="D100">
        <v>0</v>
      </c>
      <c r="E100">
        <v>0</v>
      </c>
      <c r="F100" t="s">
        <v>25021</v>
      </c>
      <c r="G100">
        <v>1892</v>
      </c>
      <c r="H100" t="s">
        <v>11843</v>
      </c>
      <c r="I100" t="s">
        <v>62</v>
      </c>
      <c r="J100">
        <v>1952948</v>
      </c>
      <c r="K100">
        <v>1953166</v>
      </c>
      <c r="L100" t="s">
        <v>11844</v>
      </c>
      <c r="M100">
        <v>73</v>
      </c>
      <c r="N100" t="s">
        <v>108</v>
      </c>
      <c r="O100">
        <v>44</v>
      </c>
      <c r="P100" t="str">
        <f>HYPERLINK("Gene1892-zp_tree_all.dnd", "Gene1892-tree")</f>
        <v>Gene1892-tree</v>
      </c>
      <c r="Q100">
        <v>2</v>
      </c>
      <c r="R100">
        <v>5</v>
      </c>
      <c r="S100">
        <v>2</v>
      </c>
      <c r="T100">
        <v>5</v>
      </c>
      <c r="U100">
        <v>0.71428999999999998</v>
      </c>
      <c r="V100" t="s">
        <v>81</v>
      </c>
      <c r="W100" t="s">
        <v>199</v>
      </c>
      <c r="X100" t="s">
        <v>62</v>
      </c>
      <c r="Y100" t="s">
        <v>62</v>
      </c>
      <c r="Z100">
        <v>0</v>
      </c>
      <c r="AA100">
        <v>0</v>
      </c>
      <c r="AB100">
        <v>5</v>
      </c>
      <c r="AC100">
        <v>0</v>
      </c>
      <c r="AD100" s="47">
        <v>0</v>
      </c>
      <c r="AE100" s="47">
        <v>0</v>
      </c>
      <c r="AF100" s="47">
        <v>0</v>
      </c>
      <c r="AG100" s="47">
        <v>1</v>
      </c>
      <c r="AH100" s="47">
        <v>0</v>
      </c>
      <c r="AI100" s="47">
        <v>0</v>
      </c>
      <c r="AJ100" s="47">
        <v>0</v>
      </c>
      <c r="AK100" s="47">
        <v>0</v>
      </c>
      <c r="AL100">
        <v>4</v>
      </c>
      <c r="AM100">
        <v>0</v>
      </c>
      <c r="AN100">
        <v>5</v>
      </c>
      <c r="AO100">
        <v>1</v>
      </c>
      <c r="AP100">
        <v>1</v>
      </c>
      <c r="AQ100">
        <v>4</v>
      </c>
      <c r="AR100">
        <v>0</v>
      </c>
      <c r="AS100">
        <v>1</v>
      </c>
      <c r="AT100" t="s">
        <v>11845</v>
      </c>
      <c r="AU100" t="s">
        <v>193</v>
      </c>
      <c r="AV100">
        <v>0.52600000000000002</v>
      </c>
      <c r="AW100" t="s">
        <v>65</v>
      </c>
      <c r="AX100">
        <v>1</v>
      </c>
      <c r="AY100">
        <v>5</v>
      </c>
      <c r="AZ100" t="s">
        <v>11846</v>
      </c>
      <c r="BA100">
        <v>6.45E-3</v>
      </c>
      <c r="BB100">
        <v>-2.2200000000000002E-3</v>
      </c>
      <c r="BC100">
        <v>9.9299999999999996E-3</v>
      </c>
      <c r="BD100">
        <v>-8.4999999999999995E-4</v>
      </c>
      <c r="BE100">
        <v>1.5407999999999999</v>
      </c>
      <c r="BF100">
        <v>0.27900000000000003</v>
      </c>
      <c r="BG100" t="s">
        <v>635</v>
      </c>
      <c r="BH100">
        <v>0.27700000000000002</v>
      </c>
      <c r="BI100">
        <v>0.34499999999999997</v>
      </c>
    </row>
    <row r="101" spans="3:61">
      <c r="C101">
        <v>0</v>
      </c>
      <c r="D101">
        <v>2</v>
      </c>
      <c r="E101">
        <v>0</v>
      </c>
      <c r="F101" t="s">
        <v>25021</v>
      </c>
      <c r="G101">
        <v>373</v>
      </c>
      <c r="H101" t="s">
        <v>2534</v>
      </c>
      <c r="I101" t="s">
        <v>62</v>
      </c>
      <c r="J101">
        <v>419766</v>
      </c>
      <c r="K101">
        <v>419984</v>
      </c>
      <c r="L101" t="s">
        <v>116</v>
      </c>
      <c r="M101">
        <v>73</v>
      </c>
      <c r="N101" t="s">
        <v>108</v>
      </c>
      <c r="O101">
        <v>44</v>
      </c>
      <c r="P101" t="str">
        <f>HYPERLINK("Gene373-zp_tree_all.dnd", "Gene373-tree")</f>
        <v>Gene373-tree</v>
      </c>
      <c r="Q101">
        <v>10</v>
      </c>
      <c r="R101">
        <v>3</v>
      </c>
      <c r="S101">
        <v>10</v>
      </c>
      <c r="T101">
        <v>3</v>
      </c>
      <c r="U101">
        <v>0.23077</v>
      </c>
      <c r="V101" t="s">
        <v>117</v>
      </c>
      <c r="W101" t="s">
        <v>324</v>
      </c>
      <c r="X101" t="s">
        <v>62</v>
      </c>
      <c r="Y101" t="s">
        <v>62</v>
      </c>
      <c r="Z101">
        <v>1</v>
      </c>
      <c r="AA101">
        <v>2</v>
      </c>
      <c r="AB101">
        <v>5</v>
      </c>
      <c r="AC101">
        <v>0.28571000000000002</v>
      </c>
      <c r="AD101" s="47">
        <v>0</v>
      </c>
      <c r="AE101" s="47">
        <v>0</v>
      </c>
      <c r="AF101" s="47">
        <v>0</v>
      </c>
      <c r="AG101" s="47">
        <v>4</v>
      </c>
      <c r="AH101" s="47">
        <v>0</v>
      </c>
      <c r="AI101" s="47">
        <v>0</v>
      </c>
      <c r="AJ101" s="47">
        <v>0</v>
      </c>
      <c r="AK101" s="47">
        <v>0</v>
      </c>
      <c r="AL101">
        <v>3</v>
      </c>
      <c r="AM101">
        <v>0</v>
      </c>
      <c r="AN101">
        <v>6</v>
      </c>
      <c r="AO101">
        <v>7</v>
      </c>
      <c r="AP101">
        <v>7</v>
      </c>
      <c r="AQ101">
        <v>2</v>
      </c>
      <c r="AR101">
        <v>5</v>
      </c>
      <c r="AS101">
        <v>5</v>
      </c>
      <c r="AT101" t="s">
        <v>2535</v>
      </c>
      <c r="AU101" t="s">
        <v>2536</v>
      </c>
      <c r="AV101">
        <v>0.872</v>
      </c>
      <c r="AW101" t="s">
        <v>65</v>
      </c>
      <c r="AX101">
        <v>12</v>
      </c>
      <c r="AY101">
        <v>7</v>
      </c>
      <c r="AZ101" t="s">
        <v>2537</v>
      </c>
      <c r="BA101">
        <v>6.4990000000000006E-2</v>
      </c>
      <c r="BB101">
        <v>-4.0099999999999997E-3</v>
      </c>
      <c r="BC101">
        <v>9.9000000000000008E-3</v>
      </c>
      <c r="BD101">
        <v>-7.1000000000000002E-4</v>
      </c>
      <c r="BE101">
        <v>0.15229999999999999</v>
      </c>
      <c r="BF101">
        <v>0.98899999999999999</v>
      </c>
      <c r="BG101" t="s">
        <v>69</v>
      </c>
      <c r="BH101">
        <v>0.26100000000000001</v>
      </c>
      <c r="BI101">
        <v>-1.264</v>
      </c>
    </row>
    <row r="102" spans="3:61">
      <c r="C102">
        <v>0</v>
      </c>
      <c r="D102">
        <v>0</v>
      </c>
      <c r="E102">
        <v>0</v>
      </c>
      <c r="F102" t="s">
        <v>25021</v>
      </c>
      <c r="G102">
        <v>1107</v>
      </c>
      <c r="H102" t="s">
        <v>6965</v>
      </c>
      <c r="I102" t="s">
        <v>62</v>
      </c>
      <c r="J102">
        <v>1150209</v>
      </c>
      <c r="K102">
        <v>1150427</v>
      </c>
      <c r="L102" t="s">
        <v>6937</v>
      </c>
      <c r="M102">
        <v>73</v>
      </c>
      <c r="N102" t="s">
        <v>108</v>
      </c>
      <c r="O102">
        <v>44</v>
      </c>
      <c r="P102" t="str">
        <f>HYPERLINK("Gene1107-zp_tree_all.dnd", "Gene1107-tree")</f>
        <v>Gene1107-tree</v>
      </c>
      <c r="Q102">
        <v>37</v>
      </c>
      <c r="R102">
        <v>1</v>
      </c>
      <c r="S102">
        <v>3</v>
      </c>
      <c r="T102">
        <v>1</v>
      </c>
      <c r="U102">
        <v>0.25</v>
      </c>
      <c r="V102" t="s">
        <v>6966</v>
      </c>
      <c r="W102" t="s">
        <v>175</v>
      </c>
      <c r="X102" t="s">
        <v>62</v>
      </c>
      <c r="Y102" t="s">
        <v>62</v>
      </c>
      <c r="Z102">
        <v>0</v>
      </c>
      <c r="AA102">
        <v>0</v>
      </c>
      <c r="AB102">
        <v>1</v>
      </c>
      <c r="AC102">
        <v>0</v>
      </c>
      <c r="AD102" s="47">
        <v>0</v>
      </c>
      <c r="AE102" s="47">
        <v>0</v>
      </c>
      <c r="AF102" s="47">
        <v>0</v>
      </c>
      <c r="AG102" s="47">
        <v>0</v>
      </c>
      <c r="AH102" s="47">
        <v>0</v>
      </c>
      <c r="AI102" s="47">
        <v>0</v>
      </c>
      <c r="AJ102" s="47">
        <v>0</v>
      </c>
      <c r="AK102" s="47">
        <v>0</v>
      </c>
      <c r="AL102">
        <v>1</v>
      </c>
      <c r="AM102">
        <v>0</v>
      </c>
      <c r="AN102">
        <v>3</v>
      </c>
      <c r="AO102">
        <v>0</v>
      </c>
      <c r="AP102">
        <v>2</v>
      </c>
      <c r="AQ102">
        <v>1</v>
      </c>
      <c r="AR102">
        <v>0</v>
      </c>
      <c r="AS102">
        <v>0</v>
      </c>
      <c r="AT102" t="s">
        <v>6967</v>
      </c>
      <c r="AU102" t="s">
        <v>193</v>
      </c>
      <c r="AV102">
        <v>0.69299999999999995</v>
      </c>
      <c r="AW102" t="s">
        <v>65</v>
      </c>
      <c r="AX102">
        <v>2</v>
      </c>
      <c r="AY102">
        <v>1</v>
      </c>
      <c r="AZ102" t="s">
        <v>6968</v>
      </c>
      <c r="BA102">
        <v>1.9959999999999999E-2</v>
      </c>
      <c r="BB102">
        <v>-4.7499999999999999E-3</v>
      </c>
      <c r="BC102">
        <v>2.99E-3</v>
      </c>
      <c r="BD102">
        <v>-1.1100000000000001E-3</v>
      </c>
      <c r="BE102">
        <v>0.14971000000000001</v>
      </c>
      <c r="BF102">
        <v>0.93100000000000005</v>
      </c>
      <c r="BG102" t="s">
        <v>635</v>
      </c>
      <c r="BH102">
        <v>-1.0029999999999999</v>
      </c>
      <c r="BI102">
        <v>-1.66</v>
      </c>
    </row>
    <row r="103" spans="3:61">
      <c r="C103">
        <v>0</v>
      </c>
      <c r="D103">
        <v>0</v>
      </c>
      <c r="E103">
        <v>0</v>
      </c>
      <c r="F103" t="s">
        <v>25021</v>
      </c>
      <c r="G103">
        <v>3119</v>
      </c>
      <c r="H103" t="s">
        <v>18098</v>
      </c>
      <c r="I103" t="s">
        <v>57</v>
      </c>
      <c r="J103">
        <v>3072401</v>
      </c>
      <c r="K103">
        <v>3072619</v>
      </c>
      <c r="L103" t="s">
        <v>18099</v>
      </c>
      <c r="M103">
        <v>73</v>
      </c>
      <c r="N103" t="s">
        <v>59</v>
      </c>
      <c r="O103">
        <v>49</v>
      </c>
      <c r="P103" t="str">
        <f>HYPERLINK("Gene3119-zp_tree_all.dnd", "Gene3119-tree")</f>
        <v>Gene3119-tree</v>
      </c>
      <c r="Q103">
        <v>24</v>
      </c>
      <c r="R103">
        <v>0</v>
      </c>
      <c r="S103">
        <v>4</v>
      </c>
      <c r="T103">
        <v>0</v>
      </c>
      <c r="U103">
        <v>0</v>
      </c>
      <c r="V103" t="s">
        <v>1495</v>
      </c>
      <c r="W103" t="s">
        <v>62</v>
      </c>
      <c r="X103" t="s">
        <v>62</v>
      </c>
      <c r="Y103" t="s">
        <v>62</v>
      </c>
      <c r="Z103">
        <v>0</v>
      </c>
      <c r="AA103">
        <v>0</v>
      </c>
      <c r="AB103">
        <v>0</v>
      </c>
      <c r="AC103">
        <v>0</v>
      </c>
      <c r="AD103" s="47">
        <v>0</v>
      </c>
      <c r="AE103" s="47">
        <v>0</v>
      </c>
      <c r="AF103" s="47">
        <v>0</v>
      </c>
      <c r="AG103" s="47">
        <v>0</v>
      </c>
      <c r="AH103" s="47">
        <v>0</v>
      </c>
      <c r="AI103" s="47">
        <v>0</v>
      </c>
      <c r="AJ103" s="47">
        <v>0</v>
      </c>
      <c r="AK103" s="47">
        <v>0</v>
      </c>
      <c r="AL103">
        <v>0</v>
      </c>
      <c r="AM103">
        <v>0</v>
      </c>
      <c r="AN103">
        <v>3</v>
      </c>
      <c r="AO103">
        <v>0</v>
      </c>
      <c r="AP103">
        <v>3</v>
      </c>
      <c r="AQ103">
        <v>0</v>
      </c>
      <c r="AR103">
        <v>0</v>
      </c>
      <c r="AS103">
        <v>0</v>
      </c>
      <c r="AT103" t="s">
        <v>193</v>
      </c>
      <c r="AU103" t="s">
        <v>193</v>
      </c>
      <c r="AV103">
        <v>0</v>
      </c>
      <c r="AW103" t="s">
        <v>65</v>
      </c>
      <c r="AX103">
        <v>3</v>
      </c>
      <c r="AY103">
        <v>0</v>
      </c>
      <c r="AZ103" t="s">
        <v>6968</v>
      </c>
      <c r="BA103">
        <v>3.048E-2</v>
      </c>
      <c r="BB103">
        <v>-4.2199999999999998E-3</v>
      </c>
      <c r="BC103">
        <v>0</v>
      </c>
      <c r="BD103">
        <v>0</v>
      </c>
      <c r="BE103">
        <v>0</v>
      </c>
      <c r="BF103">
        <v>1</v>
      </c>
      <c r="BG103" t="s">
        <v>69</v>
      </c>
      <c r="BH103">
        <v>-0.161</v>
      </c>
      <c r="BI103">
        <v>-0.40799999999999997</v>
      </c>
    </row>
    <row r="104" spans="3:61">
      <c r="C104">
        <v>0</v>
      </c>
      <c r="D104">
        <v>0</v>
      </c>
      <c r="E104">
        <v>2</v>
      </c>
      <c r="F104" t="s">
        <v>25021</v>
      </c>
      <c r="G104">
        <v>1355</v>
      </c>
      <c r="H104" t="s">
        <v>8483</v>
      </c>
      <c r="I104" t="s">
        <v>62</v>
      </c>
      <c r="J104">
        <v>1374071</v>
      </c>
      <c r="K104">
        <v>1374292</v>
      </c>
      <c r="L104" t="s">
        <v>288</v>
      </c>
      <c r="M104">
        <v>74</v>
      </c>
      <c r="N104" t="s">
        <v>1392</v>
      </c>
      <c r="O104">
        <v>43</v>
      </c>
      <c r="P104" t="str">
        <f>HYPERLINK("Gene1355-zp_tree_all.dnd", "Gene1355-tree")</f>
        <v>Gene1355-tree</v>
      </c>
      <c r="Q104">
        <v>3</v>
      </c>
      <c r="R104">
        <v>5</v>
      </c>
      <c r="S104">
        <v>3</v>
      </c>
      <c r="T104">
        <v>5</v>
      </c>
      <c r="U104">
        <v>0.625</v>
      </c>
      <c r="V104" t="s">
        <v>324</v>
      </c>
      <c r="W104" t="s">
        <v>199</v>
      </c>
      <c r="X104" t="s">
        <v>62</v>
      </c>
      <c r="Y104" t="s">
        <v>62</v>
      </c>
      <c r="Z104">
        <v>1</v>
      </c>
      <c r="AA104">
        <v>2</v>
      </c>
      <c r="AB104">
        <v>7</v>
      </c>
      <c r="AC104">
        <v>0.22222</v>
      </c>
      <c r="AD104" s="47">
        <v>0</v>
      </c>
      <c r="AE104" s="47">
        <v>0</v>
      </c>
      <c r="AF104" s="47">
        <v>0</v>
      </c>
      <c r="AG104" s="47">
        <v>0</v>
      </c>
      <c r="AH104" s="47">
        <v>0</v>
      </c>
      <c r="AI104" s="47">
        <v>0</v>
      </c>
      <c r="AJ104" s="47">
        <v>0</v>
      </c>
      <c r="AK104" s="47">
        <v>0</v>
      </c>
      <c r="AL104">
        <v>8</v>
      </c>
      <c r="AM104">
        <v>0</v>
      </c>
      <c r="AN104">
        <v>7</v>
      </c>
      <c r="AO104">
        <v>1</v>
      </c>
      <c r="AP104">
        <v>3</v>
      </c>
      <c r="AQ104">
        <v>8</v>
      </c>
      <c r="AR104">
        <v>0</v>
      </c>
      <c r="AS104">
        <v>1</v>
      </c>
      <c r="AT104" t="s">
        <v>8484</v>
      </c>
      <c r="AU104" t="s">
        <v>193</v>
      </c>
      <c r="AV104">
        <v>1.2669999999999999</v>
      </c>
      <c r="AW104" t="s">
        <v>65</v>
      </c>
      <c r="AX104">
        <v>3</v>
      </c>
      <c r="AY104">
        <v>9</v>
      </c>
      <c r="AZ104" t="s">
        <v>8485</v>
      </c>
      <c r="BA104">
        <v>1.5610000000000001E-2</v>
      </c>
      <c r="BB104">
        <v>-2.31E-3</v>
      </c>
      <c r="BC104">
        <v>1.422E-2</v>
      </c>
      <c r="BD104">
        <v>-1.7700000000000001E-3</v>
      </c>
      <c r="BE104">
        <v>0.91124000000000005</v>
      </c>
      <c r="BF104">
        <v>0.46800000000000003</v>
      </c>
      <c r="BG104" t="s">
        <v>635</v>
      </c>
      <c r="BH104">
        <v>0.439</v>
      </c>
      <c r="BI104">
        <v>-0.60299999999999998</v>
      </c>
    </row>
    <row r="105" spans="3:61">
      <c r="C105">
        <v>0</v>
      </c>
      <c r="D105">
        <v>0</v>
      </c>
      <c r="E105">
        <v>0</v>
      </c>
      <c r="F105" t="s">
        <v>25021</v>
      </c>
      <c r="G105">
        <v>897</v>
      </c>
      <c r="H105" t="s">
        <v>5602</v>
      </c>
      <c r="I105" t="s">
        <v>62</v>
      </c>
      <c r="J105">
        <v>936776</v>
      </c>
      <c r="K105">
        <v>936997</v>
      </c>
      <c r="L105" t="s">
        <v>5603</v>
      </c>
      <c r="M105">
        <v>74</v>
      </c>
      <c r="N105" t="s">
        <v>59</v>
      </c>
      <c r="O105">
        <v>49</v>
      </c>
      <c r="P105" t="str">
        <f>HYPERLINK("Gene897-zp_tree_all.dnd", "Gene897-tree")</f>
        <v>Gene897-tree</v>
      </c>
      <c r="Q105">
        <v>42</v>
      </c>
      <c r="R105">
        <v>4</v>
      </c>
      <c r="S105">
        <v>6</v>
      </c>
      <c r="T105">
        <v>4</v>
      </c>
      <c r="U105">
        <v>0.4</v>
      </c>
      <c r="V105" t="s">
        <v>5604</v>
      </c>
      <c r="W105" t="s">
        <v>61</v>
      </c>
      <c r="X105" t="s">
        <v>62</v>
      </c>
      <c r="Y105" t="s">
        <v>62</v>
      </c>
      <c r="Z105">
        <v>0</v>
      </c>
      <c r="AA105">
        <v>0</v>
      </c>
      <c r="AB105">
        <v>5</v>
      </c>
      <c r="AC105">
        <v>0</v>
      </c>
      <c r="AD105" s="47">
        <v>0</v>
      </c>
      <c r="AE105" s="47">
        <v>0</v>
      </c>
      <c r="AF105" s="47">
        <v>0</v>
      </c>
      <c r="AG105" s="47">
        <v>0</v>
      </c>
      <c r="AH105" s="47">
        <v>0</v>
      </c>
      <c r="AI105" s="47">
        <v>0</v>
      </c>
      <c r="AJ105" s="47">
        <v>0</v>
      </c>
      <c r="AK105" s="47">
        <v>0</v>
      </c>
      <c r="AL105">
        <v>4</v>
      </c>
      <c r="AM105">
        <v>0</v>
      </c>
      <c r="AN105">
        <v>8</v>
      </c>
      <c r="AO105">
        <v>2</v>
      </c>
      <c r="AP105">
        <v>5</v>
      </c>
      <c r="AQ105">
        <v>4</v>
      </c>
      <c r="AR105">
        <v>5</v>
      </c>
      <c r="AS105">
        <v>1</v>
      </c>
      <c r="AT105" t="s">
        <v>5605</v>
      </c>
      <c r="AU105" t="s">
        <v>5606</v>
      </c>
      <c r="AV105">
        <v>0.91300000000000003</v>
      </c>
      <c r="AW105" t="s">
        <v>65</v>
      </c>
      <c r="AX105">
        <v>10</v>
      </c>
      <c r="AY105">
        <v>5</v>
      </c>
      <c r="AZ105" t="s">
        <v>5607</v>
      </c>
      <c r="BA105">
        <v>8.4180000000000005E-2</v>
      </c>
      <c r="BB105">
        <v>-8.9700000000000005E-3</v>
      </c>
      <c r="BC105">
        <v>7.5599999999999999E-3</v>
      </c>
      <c r="BD105">
        <v>-6.4999999999999997E-4</v>
      </c>
      <c r="BE105">
        <v>8.9829999999999993E-2</v>
      </c>
      <c r="BF105">
        <v>1</v>
      </c>
      <c r="BG105" t="s">
        <v>69</v>
      </c>
      <c r="BH105">
        <v>-1.5940000000000001</v>
      </c>
      <c r="BI105">
        <v>-1.8260000000000001</v>
      </c>
    </row>
    <row r="106" spans="3:61">
      <c r="C106">
        <v>0</v>
      </c>
      <c r="D106">
        <v>0</v>
      </c>
      <c r="E106">
        <v>0</v>
      </c>
      <c r="F106" t="s">
        <v>25021</v>
      </c>
      <c r="G106">
        <v>2005</v>
      </c>
      <c r="H106" t="s">
        <v>12487</v>
      </c>
      <c r="I106" t="s">
        <v>57</v>
      </c>
      <c r="J106">
        <v>2098102</v>
      </c>
      <c r="K106">
        <v>2098326</v>
      </c>
      <c r="L106" t="s">
        <v>116</v>
      </c>
      <c r="M106">
        <v>75</v>
      </c>
      <c r="N106" t="s">
        <v>108</v>
      </c>
      <c r="O106">
        <v>44</v>
      </c>
      <c r="P106" t="str">
        <f>HYPERLINK("Gene2005-zp_tree_all.dnd", "Gene2005-tree")</f>
        <v>Gene2005-tree</v>
      </c>
      <c r="Q106">
        <v>2</v>
      </c>
      <c r="R106">
        <v>4</v>
      </c>
      <c r="S106">
        <v>2</v>
      </c>
      <c r="T106">
        <v>4</v>
      </c>
      <c r="U106">
        <v>0.66666999999999998</v>
      </c>
      <c r="V106" t="s">
        <v>81</v>
      </c>
      <c r="W106" t="s">
        <v>61</v>
      </c>
      <c r="X106" t="s">
        <v>62</v>
      </c>
      <c r="Y106" t="s">
        <v>62</v>
      </c>
      <c r="Z106">
        <v>0</v>
      </c>
      <c r="AA106">
        <v>0</v>
      </c>
      <c r="AB106">
        <v>5</v>
      </c>
      <c r="AC106">
        <v>0</v>
      </c>
      <c r="AD106" s="47">
        <v>0</v>
      </c>
      <c r="AE106" s="47">
        <v>0</v>
      </c>
      <c r="AF106" s="47">
        <v>0</v>
      </c>
      <c r="AG106" s="47">
        <v>0</v>
      </c>
      <c r="AH106" s="47">
        <v>0</v>
      </c>
      <c r="AI106" s="47">
        <v>0</v>
      </c>
      <c r="AJ106" s="47">
        <v>0</v>
      </c>
      <c r="AK106" s="47">
        <v>0</v>
      </c>
      <c r="AL106">
        <v>5</v>
      </c>
      <c r="AM106">
        <v>0</v>
      </c>
      <c r="AN106">
        <v>4</v>
      </c>
      <c r="AO106">
        <v>1</v>
      </c>
      <c r="AP106">
        <v>3</v>
      </c>
      <c r="AQ106">
        <v>4</v>
      </c>
      <c r="AR106">
        <v>0</v>
      </c>
      <c r="AS106">
        <v>1</v>
      </c>
      <c r="AT106" t="s">
        <v>12488</v>
      </c>
      <c r="AU106" t="s">
        <v>193</v>
      </c>
      <c r="AV106">
        <v>2.3940000000000001</v>
      </c>
      <c r="AW106" t="s">
        <v>267</v>
      </c>
      <c r="AX106">
        <v>3</v>
      </c>
      <c r="AY106">
        <v>5</v>
      </c>
      <c r="AZ106" t="s">
        <v>12489</v>
      </c>
      <c r="BA106">
        <v>1.772E-2</v>
      </c>
      <c r="BB106">
        <v>-3.29E-3</v>
      </c>
      <c r="BC106">
        <v>1.076E-2</v>
      </c>
      <c r="BD106">
        <v>-1.72E-3</v>
      </c>
      <c r="BE106">
        <v>0.60702999999999996</v>
      </c>
      <c r="BF106">
        <v>0.64700000000000002</v>
      </c>
      <c r="BG106" t="s">
        <v>635</v>
      </c>
      <c r="BH106">
        <v>1.4219999999999999</v>
      </c>
      <c r="BI106">
        <v>-0.26800000000000002</v>
      </c>
    </row>
    <row r="107" spans="3:61">
      <c r="C107">
        <v>0</v>
      </c>
      <c r="D107">
        <v>0</v>
      </c>
      <c r="E107">
        <v>2</v>
      </c>
      <c r="F107" t="s">
        <v>25021</v>
      </c>
      <c r="G107">
        <v>690</v>
      </c>
      <c r="H107" t="s">
        <v>4314</v>
      </c>
      <c r="I107" t="s">
        <v>62</v>
      </c>
      <c r="J107">
        <v>713311</v>
      </c>
      <c r="K107">
        <v>713535</v>
      </c>
      <c r="L107" t="s">
        <v>2302</v>
      </c>
      <c r="M107">
        <v>75</v>
      </c>
      <c r="N107" t="s">
        <v>108</v>
      </c>
      <c r="O107">
        <v>44</v>
      </c>
      <c r="P107" t="str">
        <f>HYPERLINK("Gene690-zp_tree_all.dnd", "Gene690-tree")</f>
        <v>Gene690-tree</v>
      </c>
      <c r="Q107">
        <v>26</v>
      </c>
      <c r="R107">
        <v>4</v>
      </c>
      <c r="S107">
        <v>5</v>
      </c>
      <c r="T107">
        <v>4</v>
      </c>
      <c r="U107">
        <v>0.44444</v>
      </c>
      <c r="V107" t="s">
        <v>4315</v>
      </c>
      <c r="W107" t="s">
        <v>61</v>
      </c>
      <c r="X107" t="s">
        <v>62</v>
      </c>
      <c r="Y107" t="s">
        <v>62</v>
      </c>
      <c r="Z107">
        <v>1</v>
      </c>
      <c r="AA107">
        <v>2</v>
      </c>
      <c r="AB107">
        <v>4</v>
      </c>
      <c r="AC107">
        <v>0.33333000000000002</v>
      </c>
      <c r="AD107" s="47">
        <v>0</v>
      </c>
      <c r="AE107" s="47">
        <v>0</v>
      </c>
      <c r="AF107" s="47">
        <v>0</v>
      </c>
      <c r="AG107" s="47">
        <v>0</v>
      </c>
      <c r="AH107" s="47">
        <v>0</v>
      </c>
      <c r="AI107" s="47">
        <v>0</v>
      </c>
      <c r="AJ107" s="47">
        <v>2</v>
      </c>
      <c r="AK107" s="47">
        <v>2</v>
      </c>
      <c r="AL107">
        <v>4</v>
      </c>
      <c r="AM107">
        <v>0.33333000000000002</v>
      </c>
      <c r="AN107">
        <v>6</v>
      </c>
      <c r="AO107">
        <v>2</v>
      </c>
      <c r="AP107">
        <v>7</v>
      </c>
      <c r="AQ107">
        <v>7</v>
      </c>
      <c r="AR107">
        <v>2</v>
      </c>
      <c r="AS107">
        <v>0</v>
      </c>
      <c r="AT107" t="s">
        <v>4316</v>
      </c>
      <c r="AU107" t="s">
        <v>193</v>
      </c>
      <c r="AV107">
        <v>0.83</v>
      </c>
      <c r="AW107" t="s">
        <v>65</v>
      </c>
      <c r="AX107">
        <v>9</v>
      </c>
      <c r="AY107">
        <v>7</v>
      </c>
      <c r="AZ107" t="s">
        <v>4317</v>
      </c>
      <c r="BA107">
        <v>5.9630000000000002E-2</v>
      </c>
      <c r="BB107">
        <v>-7.8499999999999993E-3</v>
      </c>
      <c r="BC107">
        <v>8.6599999999999993E-3</v>
      </c>
      <c r="BD107">
        <v>-1.49E-3</v>
      </c>
      <c r="BE107">
        <v>0.14524999999999999</v>
      </c>
      <c r="BF107">
        <v>1</v>
      </c>
      <c r="BG107" t="s">
        <v>69</v>
      </c>
      <c r="BH107">
        <v>-1.86</v>
      </c>
      <c r="BI107">
        <v>-3.903</v>
      </c>
    </row>
    <row r="108" spans="3:61">
      <c r="C108">
        <v>0</v>
      </c>
      <c r="D108">
        <v>0</v>
      </c>
      <c r="E108">
        <v>0</v>
      </c>
      <c r="F108" t="s">
        <v>25021</v>
      </c>
      <c r="G108">
        <v>3184</v>
      </c>
      <c r="H108" t="s">
        <v>18525</v>
      </c>
      <c r="I108" t="s">
        <v>57</v>
      </c>
      <c r="J108">
        <v>3138097</v>
      </c>
      <c r="K108">
        <v>3138321</v>
      </c>
      <c r="L108" t="s">
        <v>18526</v>
      </c>
      <c r="M108">
        <v>75</v>
      </c>
      <c r="N108" t="s">
        <v>160</v>
      </c>
      <c r="O108">
        <v>45</v>
      </c>
      <c r="P108" t="str">
        <f>HYPERLINK("Gene3184-zp_tree_all.dnd", "Gene3184-tree")</f>
        <v>Gene3184-tree</v>
      </c>
      <c r="Q108">
        <v>5</v>
      </c>
      <c r="R108">
        <v>2</v>
      </c>
      <c r="S108">
        <v>5</v>
      </c>
      <c r="T108">
        <v>2</v>
      </c>
      <c r="U108">
        <v>0.28571000000000002</v>
      </c>
      <c r="V108" t="s">
        <v>199</v>
      </c>
      <c r="W108" t="s">
        <v>81</v>
      </c>
      <c r="X108" t="s">
        <v>62</v>
      </c>
      <c r="Y108" t="s">
        <v>62</v>
      </c>
      <c r="Z108">
        <v>0</v>
      </c>
      <c r="AA108">
        <v>0</v>
      </c>
      <c r="AB108">
        <v>3</v>
      </c>
      <c r="AC108">
        <v>0</v>
      </c>
      <c r="AD108" s="47">
        <v>0</v>
      </c>
      <c r="AE108" s="47">
        <v>0</v>
      </c>
      <c r="AF108" s="47">
        <v>0</v>
      </c>
      <c r="AG108" s="47">
        <v>0</v>
      </c>
      <c r="AH108" s="47">
        <v>0</v>
      </c>
      <c r="AI108" s="47">
        <v>0</v>
      </c>
      <c r="AJ108" s="47">
        <v>0</v>
      </c>
      <c r="AK108" s="47">
        <v>0</v>
      </c>
      <c r="AL108">
        <v>3</v>
      </c>
      <c r="AM108">
        <v>0</v>
      </c>
      <c r="AN108">
        <v>5</v>
      </c>
      <c r="AO108">
        <v>2</v>
      </c>
      <c r="AP108">
        <v>14</v>
      </c>
      <c r="AQ108">
        <v>3</v>
      </c>
      <c r="AR108">
        <v>3</v>
      </c>
      <c r="AS108">
        <v>0</v>
      </c>
      <c r="AT108" t="s">
        <v>18527</v>
      </c>
      <c r="AU108" t="s">
        <v>193</v>
      </c>
      <c r="AV108">
        <v>0.87</v>
      </c>
      <c r="AW108" t="s">
        <v>65</v>
      </c>
      <c r="AX108">
        <v>17</v>
      </c>
      <c r="AY108">
        <v>3</v>
      </c>
      <c r="AZ108" t="s">
        <v>18528</v>
      </c>
      <c r="BA108">
        <v>0.11359</v>
      </c>
      <c r="BB108">
        <v>-1.521E-2</v>
      </c>
      <c r="BC108">
        <v>5.0400000000000002E-3</v>
      </c>
      <c r="BD108">
        <v>-1.2099999999999999E-3</v>
      </c>
      <c r="BE108">
        <v>4.4409999999999998E-2</v>
      </c>
      <c r="BF108">
        <v>1</v>
      </c>
      <c r="BG108" t="s">
        <v>69</v>
      </c>
      <c r="BH108">
        <v>-2.2120000000000002</v>
      </c>
      <c r="BI108">
        <v>-3.5630000000000002</v>
      </c>
    </row>
    <row r="109" spans="3:61">
      <c r="C109">
        <v>0</v>
      </c>
      <c r="D109">
        <v>0</v>
      </c>
      <c r="E109">
        <v>0</v>
      </c>
      <c r="F109" t="s">
        <v>25021</v>
      </c>
      <c r="G109">
        <v>2210</v>
      </c>
      <c r="H109" t="s">
        <v>13023</v>
      </c>
      <c r="I109" t="s">
        <v>57</v>
      </c>
      <c r="J109">
        <v>2241765</v>
      </c>
      <c r="K109">
        <v>2241989</v>
      </c>
      <c r="L109" t="s">
        <v>12870</v>
      </c>
      <c r="M109">
        <v>75</v>
      </c>
      <c r="N109" t="s">
        <v>12873</v>
      </c>
      <c r="O109">
        <v>18</v>
      </c>
      <c r="P109" t="str">
        <f>HYPERLINK("Gene2210-zp_tree_all.dnd", "Gene2210-tree")</f>
        <v>Gene2210-tree</v>
      </c>
      <c r="Q109">
        <v>18</v>
      </c>
      <c r="R109">
        <v>0</v>
      </c>
      <c r="S109">
        <v>4</v>
      </c>
      <c r="T109">
        <v>0</v>
      </c>
      <c r="U109">
        <v>0</v>
      </c>
      <c r="V109" t="s">
        <v>13012</v>
      </c>
      <c r="W109" t="s">
        <v>62</v>
      </c>
      <c r="X109" t="s">
        <v>62</v>
      </c>
      <c r="Y109" t="s">
        <v>62</v>
      </c>
      <c r="Z109">
        <v>0</v>
      </c>
      <c r="AA109">
        <v>0</v>
      </c>
      <c r="AB109">
        <v>0</v>
      </c>
      <c r="AC109">
        <v>0</v>
      </c>
      <c r="AD109" s="47">
        <v>0</v>
      </c>
      <c r="AE109" s="47">
        <v>0</v>
      </c>
      <c r="AF109" s="47">
        <v>0</v>
      </c>
      <c r="AG109" s="47">
        <v>0</v>
      </c>
      <c r="AH109" s="47">
        <v>0</v>
      </c>
      <c r="AI109" s="47">
        <v>0</v>
      </c>
      <c r="AJ109" s="47">
        <v>0</v>
      </c>
      <c r="AK109" s="47">
        <v>0</v>
      </c>
      <c r="AL109">
        <v>0</v>
      </c>
      <c r="AM109">
        <v>0</v>
      </c>
      <c r="AN109">
        <v>3</v>
      </c>
      <c r="AO109">
        <v>1</v>
      </c>
      <c r="AP109">
        <v>4</v>
      </c>
      <c r="AQ109">
        <v>0</v>
      </c>
      <c r="AR109">
        <v>2</v>
      </c>
      <c r="AS109">
        <v>0</v>
      </c>
      <c r="AT109" t="s">
        <v>193</v>
      </c>
      <c r="AU109" t="s">
        <v>193</v>
      </c>
      <c r="AV109">
        <v>0</v>
      </c>
      <c r="AW109" t="s">
        <v>65</v>
      </c>
      <c r="AX109">
        <v>6</v>
      </c>
      <c r="AY109">
        <v>0</v>
      </c>
      <c r="AZ109" t="s">
        <v>13024</v>
      </c>
      <c r="BA109">
        <v>7.5069999999999998E-2</v>
      </c>
      <c r="BB109">
        <v>-1.183E-2</v>
      </c>
      <c r="BC109">
        <v>0</v>
      </c>
      <c r="BD109">
        <v>0</v>
      </c>
      <c r="BE109">
        <v>0</v>
      </c>
      <c r="BF109">
        <v>1</v>
      </c>
      <c r="BG109" t="s">
        <v>69</v>
      </c>
      <c r="BH109">
        <v>-0.97299999999999998</v>
      </c>
      <c r="BI109">
        <v>-0.104</v>
      </c>
    </row>
    <row r="110" spans="3:61">
      <c r="C110">
        <v>0</v>
      </c>
      <c r="D110">
        <v>0</v>
      </c>
      <c r="E110">
        <v>0</v>
      </c>
      <c r="F110" t="s">
        <v>25021</v>
      </c>
      <c r="G110">
        <v>570</v>
      </c>
      <c r="H110" t="s">
        <v>3668</v>
      </c>
      <c r="I110" t="s">
        <v>62</v>
      </c>
      <c r="J110">
        <v>599878</v>
      </c>
      <c r="K110">
        <v>600105</v>
      </c>
      <c r="L110" t="s">
        <v>3662</v>
      </c>
      <c r="M110">
        <v>76</v>
      </c>
      <c r="N110" t="s">
        <v>3545</v>
      </c>
      <c r="O110">
        <v>36</v>
      </c>
      <c r="P110" t="str">
        <f>HYPERLINK("Gene570-zp_tree_all.dnd", "Gene570-tree")</f>
        <v>Gene570-tree</v>
      </c>
      <c r="Q110">
        <v>3</v>
      </c>
      <c r="R110">
        <v>3</v>
      </c>
      <c r="S110">
        <v>3</v>
      </c>
      <c r="T110">
        <v>3</v>
      </c>
      <c r="U110">
        <v>0.5</v>
      </c>
      <c r="V110" t="s">
        <v>324</v>
      </c>
      <c r="W110" t="s">
        <v>324</v>
      </c>
      <c r="X110" t="s">
        <v>62</v>
      </c>
      <c r="Y110" t="s">
        <v>62</v>
      </c>
      <c r="Z110">
        <v>0</v>
      </c>
      <c r="AA110">
        <v>0</v>
      </c>
      <c r="AB110">
        <v>6</v>
      </c>
      <c r="AC110">
        <v>0</v>
      </c>
      <c r="AD110" s="47">
        <v>0</v>
      </c>
      <c r="AE110" s="47">
        <v>0</v>
      </c>
      <c r="AF110" s="47">
        <v>0</v>
      </c>
      <c r="AG110" s="47">
        <v>0</v>
      </c>
      <c r="AH110" s="47">
        <v>0</v>
      </c>
      <c r="AI110" s="47">
        <v>0</v>
      </c>
      <c r="AJ110" s="47">
        <v>0</v>
      </c>
      <c r="AK110" s="47">
        <v>0</v>
      </c>
      <c r="AL110">
        <v>6</v>
      </c>
      <c r="AM110">
        <v>0</v>
      </c>
      <c r="AN110">
        <v>4</v>
      </c>
      <c r="AO110">
        <v>1</v>
      </c>
      <c r="AP110">
        <v>3</v>
      </c>
      <c r="AQ110">
        <v>5</v>
      </c>
      <c r="AR110">
        <v>0</v>
      </c>
      <c r="AS110">
        <v>1</v>
      </c>
      <c r="AT110" t="s">
        <v>3669</v>
      </c>
      <c r="AU110" t="s">
        <v>193</v>
      </c>
      <c r="AV110">
        <v>0.97</v>
      </c>
      <c r="AW110" t="s">
        <v>65</v>
      </c>
      <c r="AX110">
        <v>3</v>
      </c>
      <c r="AY110">
        <v>6</v>
      </c>
      <c r="AZ110" t="s">
        <v>3670</v>
      </c>
      <c r="BA110">
        <v>1.9050000000000001E-2</v>
      </c>
      <c r="BB110">
        <v>-3.13E-3</v>
      </c>
      <c r="BC110">
        <v>1.3180000000000001E-2</v>
      </c>
      <c r="BD110">
        <v>-2.8900000000000002E-3</v>
      </c>
      <c r="BE110">
        <v>0.69211</v>
      </c>
      <c r="BF110">
        <v>0.67900000000000005</v>
      </c>
      <c r="BG110" t="s">
        <v>635</v>
      </c>
      <c r="BH110">
        <v>-0.29599999999999999</v>
      </c>
      <c r="BI110">
        <v>0.14199999999999999</v>
      </c>
    </row>
    <row r="111" spans="3:61">
      <c r="C111">
        <v>0</v>
      </c>
      <c r="D111">
        <v>0</v>
      </c>
      <c r="E111">
        <v>0</v>
      </c>
      <c r="F111" t="s">
        <v>25021</v>
      </c>
      <c r="G111">
        <v>2177</v>
      </c>
      <c r="H111" t="s">
        <v>12944</v>
      </c>
      <c r="I111" t="s">
        <v>57</v>
      </c>
      <c r="J111">
        <v>2212848</v>
      </c>
      <c r="K111">
        <v>2213075</v>
      </c>
      <c r="L111" t="s">
        <v>12938</v>
      </c>
      <c r="M111">
        <v>76</v>
      </c>
      <c r="N111" t="s">
        <v>12945</v>
      </c>
      <c r="O111">
        <v>22</v>
      </c>
      <c r="P111" t="str">
        <f>HYPERLINK("Gene2177-zp_tree_all.dnd", "Gene2177-tree")</f>
        <v>Gene2177-tree</v>
      </c>
      <c r="Q111">
        <v>2</v>
      </c>
      <c r="R111">
        <v>2</v>
      </c>
      <c r="S111">
        <v>2</v>
      </c>
      <c r="T111">
        <v>2</v>
      </c>
      <c r="U111">
        <v>0.5</v>
      </c>
      <c r="V111" t="s">
        <v>81</v>
      </c>
      <c r="W111" t="s">
        <v>81</v>
      </c>
      <c r="X111" t="s">
        <v>62</v>
      </c>
      <c r="Y111" t="s">
        <v>62</v>
      </c>
      <c r="Z111">
        <v>0</v>
      </c>
      <c r="AA111">
        <v>0</v>
      </c>
      <c r="AB111">
        <v>5</v>
      </c>
      <c r="AC111">
        <v>0</v>
      </c>
      <c r="AD111" s="47">
        <v>0</v>
      </c>
      <c r="AE111" s="47">
        <v>0</v>
      </c>
      <c r="AF111" s="47">
        <v>0</v>
      </c>
      <c r="AG111" s="47">
        <v>0</v>
      </c>
      <c r="AH111" s="47">
        <v>0</v>
      </c>
      <c r="AI111" s="47">
        <v>0</v>
      </c>
      <c r="AJ111" s="47">
        <v>0</v>
      </c>
      <c r="AK111" s="47">
        <v>0</v>
      </c>
      <c r="AL111">
        <v>5</v>
      </c>
      <c r="AM111">
        <v>0</v>
      </c>
      <c r="AN111">
        <v>3</v>
      </c>
      <c r="AO111">
        <v>1</v>
      </c>
      <c r="AP111">
        <v>5</v>
      </c>
      <c r="AQ111">
        <v>5</v>
      </c>
      <c r="AR111">
        <v>1</v>
      </c>
      <c r="AS111">
        <v>0</v>
      </c>
      <c r="AT111" t="s">
        <v>12946</v>
      </c>
      <c r="AU111" t="s">
        <v>193</v>
      </c>
      <c r="AV111">
        <v>1.254</v>
      </c>
      <c r="AW111" t="s">
        <v>65</v>
      </c>
      <c r="AX111">
        <v>6</v>
      </c>
      <c r="AY111">
        <v>5</v>
      </c>
      <c r="AZ111" t="s">
        <v>12947</v>
      </c>
      <c r="BA111">
        <v>5.9150000000000001E-2</v>
      </c>
      <c r="BB111">
        <v>-1.0529999999999999E-2</v>
      </c>
      <c r="BC111">
        <v>1.477E-2</v>
      </c>
      <c r="BD111">
        <v>-4.5799999999999999E-3</v>
      </c>
      <c r="BE111">
        <v>0.24970000000000001</v>
      </c>
      <c r="BF111">
        <v>0.96799999999999997</v>
      </c>
      <c r="BG111" t="s">
        <v>69</v>
      </c>
      <c r="BH111">
        <v>1.5289999999999999</v>
      </c>
      <c r="BI111">
        <v>0.98299999999999998</v>
      </c>
    </row>
    <row r="112" spans="3:61">
      <c r="C112">
        <v>0</v>
      </c>
      <c r="D112">
        <v>0</v>
      </c>
      <c r="E112">
        <v>4</v>
      </c>
      <c r="F112" t="s">
        <v>25021</v>
      </c>
      <c r="G112">
        <v>1909</v>
      </c>
      <c r="H112" t="s">
        <v>11954</v>
      </c>
      <c r="I112" t="s">
        <v>62</v>
      </c>
      <c r="J112">
        <v>2004265</v>
      </c>
      <c r="K112">
        <v>2004492</v>
      </c>
      <c r="L112" t="s">
        <v>11955</v>
      </c>
      <c r="M112">
        <v>76</v>
      </c>
      <c r="N112" t="s">
        <v>698</v>
      </c>
      <c r="O112">
        <v>47</v>
      </c>
      <c r="P112" t="str">
        <f>HYPERLINK("Gene1909-zp_tree_all.dnd", "Gene1909-tree")</f>
        <v>Gene1909-tree</v>
      </c>
      <c r="Q112">
        <v>7</v>
      </c>
      <c r="R112">
        <v>8</v>
      </c>
      <c r="S112">
        <v>7</v>
      </c>
      <c r="T112">
        <v>8</v>
      </c>
      <c r="U112">
        <v>0.53332999999999997</v>
      </c>
      <c r="V112" t="s">
        <v>152</v>
      </c>
      <c r="W112" t="s">
        <v>136</v>
      </c>
      <c r="X112" t="s">
        <v>62</v>
      </c>
      <c r="Y112" t="s">
        <v>62</v>
      </c>
      <c r="Z112">
        <v>2</v>
      </c>
      <c r="AA112">
        <v>4</v>
      </c>
      <c r="AB112">
        <v>11</v>
      </c>
      <c r="AC112">
        <v>0.26667000000000002</v>
      </c>
      <c r="AD112" s="47">
        <v>0</v>
      </c>
      <c r="AE112" s="47">
        <v>0</v>
      </c>
      <c r="AF112" s="47">
        <v>0</v>
      </c>
      <c r="AG112" s="47">
        <v>0</v>
      </c>
      <c r="AH112" s="47">
        <v>0</v>
      </c>
      <c r="AI112" s="47">
        <v>0</v>
      </c>
      <c r="AJ112" s="47">
        <v>4</v>
      </c>
      <c r="AK112" s="47">
        <v>4</v>
      </c>
      <c r="AL112">
        <v>6</v>
      </c>
      <c r="AM112">
        <v>0.4</v>
      </c>
      <c r="AN112">
        <v>11</v>
      </c>
      <c r="AO112">
        <v>7</v>
      </c>
      <c r="AP112">
        <v>9</v>
      </c>
      <c r="AQ112">
        <v>10</v>
      </c>
      <c r="AR112">
        <v>11</v>
      </c>
      <c r="AS112">
        <v>5</v>
      </c>
      <c r="AT112" t="s">
        <v>11956</v>
      </c>
      <c r="AU112" t="s">
        <v>11957</v>
      </c>
      <c r="AV112">
        <v>0.90500000000000003</v>
      </c>
      <c r="AW112" t="s">
        <v>65</v>
      </c>
      <c r="AX112">
        <v>20</v>
      </c>
      <c r="AY112">
        <v>15</v>
      </c>
      <c r="AZ112" t="s">
        <v>11958</v>
      </c>
      <c r="BA112">
        <v>9.8250000000000004E-2</v>
      </c>
      <c r="BB112">
        <v>-5.1200000000000004E-3</v>
      </c>
      <c r="BC112">
        <v>1.6049999999999998E-2</v>
      </c>
      <c r="BD112">
        <v>-1.33E-3</v>
      </c>
      <c r="BE112">
        <v>0.16339000000000001</v>
      </c>
      <c r="BF112">
        <v>1</v>
      </c>
      <c r="BG112" t="s">
        <v>69</v>
      </c>
      <c r="BH112">
        <v>-1.103</v>
      </c>
      <c r="BI112">
        <v>-0.78700000000000003</v>
      </c>
    </row>
    <row r="113" spans="3:61">
      <c r="C113">
        <v>0</v>
      </c>
      <c r="D113">
        <v>0</v>
      </c>
      <c r="E113">
        <v>0</v>
      </c>
      <c r="F113" t="s">
        <v>25021</v>
      </c>
      <c r="G113">
        <v>3641</v>
      </c>
      <c r="H113" t="s">
        <v>21376</v>
      </c>
      <c r="I113" t="s">
        <v>57</v>
      </c>
      <c r="J113">
        <v>3608991</v>
      </c>
      <c r="K113">
        <v>3609218</v>
      </c>
      <c r="L113" t="s">
        <v>116</v>
      </c>
      <c r="M113">
        <v>76</v>
      </c>
      <c r="N113" t="s">
        <v>289</v>
      </c>
      <c r="O113">
        <v>46</v>
      </c>
      <c r="P113" t="str">
        <f>HYPERLINK("Gene3641-zp_tree_all.dnd", "Gene3641-tree")</f>
        <v>Gene3641-tree</v>
      </c>
      <c r="Q113">
        <v>3</v>
      </c>
      <c r="R113">
        <v>25</v>
      </c>
      <c r="S113">
        <v>3</v>
      </c>
      <c r="T113">
        <v>2</v>
      </c>
      <c r="U113">
        <v>0.4</v>
      </c>
      <c r="V113" t="s">
        <v>324</v>
      </c>
      <c r="W113" t="s">
        <v>11486</v>
      </c>
      <c r="X113">
        <v>8.18</v>
      </c>
      <c r="Y113" t="s">
        <v>65</v>
      </c>
      <c r="Z113">
        <v>0</v>
      </c>
      <c r="AA113">
        <v>0</v>
      </c>
      <c r="AB113">
        <v>3</v>
      </c>
      <c r="AC113">
        <v>0</v>
      </c>
      <c r="AD113" s="47">
        <v>0</v>
      </c>
      <c r="AE113" s="47">
        <v>0</v>
      </c>
      <c r="AF113" s="47">
        <v>0</v>
      </c>
      <c r="AG113" s="47">
        <v>0</v>
      </c>
      <c r="AH113" s="47">
        <v>0</v>
      </c>
      <c r="AI113" s="47">
        <v>0</v>
      </c>
      <c r="AJ113" s="47">
        <v>0</v>
      </c>
      <c r="AK113" s="47">
        <v>0</v>
      </c>
      <c r="AL113">
        <v>3</v>
      </c>
      <c r="AM113">
        <v>0</v>
      </c>
      <c r="AN113">
        <v>2</v>
      </c>
      <c r="AO113">
        <v>2</v>
      </c>
      <c r="AP113">
        <v>0</v>
      </c>
      <c r="AQ113">
        <v>3</v>
      </c>
      <c r="AR113">
        <v>8</v>
      </c>
      <c r="AS113">
        <v>0</v>
      </c>
      <c r="AT113" t="s">
        <v>193</v>
      </c>
      <c r="AU113" t="s">
        <v>193</v>
      </c>
      <c r="AV113">
        <v>0</v>
      </c>
      <c r="AW113" t="s">
        <v>65</v>
      </c>
      <c r="AX113">
        <v>8</v>
      </c>
      <c r="AY113">
        <v>3</v>
      </c>
      <c r="AZ113" t="s">
        <v>21377</v>
      </c>
      <c r="BA113">
        <v>0.12095</v>
      </c>
      <c r="BB113">
        <v>-2.5909999999999999E-2</v>
      </c>
      <c r="BC113">
        <v>6.7099999999999998E-3</v>
      </c>
      <c r="BD113">
        <v>-1.74E-3</v>
      </c>
      <c r="BE113">
        <v>5.5489999999999998E-2</v>
      </c>
      <c r="BF113">
        <v>0.99</v>
      </c>
      <c r="BG113" t="s">
        <v>69</v>
      </c>
      <c r="BH113">
        <v>-0.40300000000000002</v>
      </c>
      <c r="BI113">
        <v>0.877</v>
      </c>
    </row>
    <row r="114" spans="3:61">
      <c r="C114">
        <v>0</v>
      </c>
      <c r="D114">
        <v>2</v>
      </c>
      <c r="E114">
        <v>0</v>
      </c>
      <c r="F114" t="s">
        <v>25021</v>
      </c>
      <c r="G114">
        <v>1076</v>
      </c>
      <c r="H114" t="s">
        <v>6760</v>
      </c>
      <c r="I114" t="s">
        <v>62</v>
      </c>
      <c r="J114">
        <v>1116586</v>
      </c>
      <c r="K114">
        <v>1116816</v>
      </c>
      <c r="L114" t="s">
        <v>116</v>
      </c>
      <c r="M114">
        <v>77</v>
      </c>
      <c r="N114" t="s">
        <v>59</v>
      </c>
      <c r="O114">
        <v>49</v>
      </c>
      <c r="P114" t="str">
        <f>HYPERLINK("Gene1076-zp_tree_all.dnd", "Gene1076-tree")</f>
        <v>Gene1076-tree</v>
      </c>
      <c r="Q114">
        <v>5</v>
      </c>
      <c r="R114">
        <v>3</v>
      </c>
      <c r="S114">
        <v>5</v>
      </c>
      <c r="T114">
        <v>3</v>
      </c>
      <c r="U114">
        <v>0.375</v>
      </c>
      <c r="V114" t="s">
        <v>199</v>
      </c>
      <c r="W114" t="s">
        <v>324</v>
      </c>
      <c r="X114" t="s">
        <v>62</v>
      </c>
      <c r="Y114" t="s">
        <v>62</v>
      </c>
      <c r="Z114">
        <v>1</v>
      </c>
      <c r="AA114">
        <v>2</v>
      </c>
      <c r="AB114">
        <v>4</v>
      </c>
      <c r="AC114">
        <v>0.33333000000000002</v>
      </c>
      <c r="AD114" s="47">
        <v>0</v>
      </c>
      <c r="AE114" s="47">
        <v>0</v>
      </c>
      <c r="AF114" s="47">
        <v>0</v>
      </c>
      <c r="AG114" s="47">
        <v>2</v>
      </c>
      <c r="AH114" s="47">
        <v>0</v>
      </c>
      <c r="AI114" s="47">
        <v>2</v>
      </c>
      <c r="AJ114" s="47">
        <v>0</v>
      </c>
      <c r="AK114" s="47">
        <v>2</v>
      </c>
      <c r="AL114">
        <v>2</v>
      </c>
      <c r="AM114">
        <v>0.5</v>
      </c>
      <c r="AN114">
        <v>4</v>
      </c>
      <c r="AO114">
        <v>3</v>
      </c>
      <c r="AP114">
        <v>3</v>
      </c>
      <c r="AQ114">
        <v>3</v>
      </c>
      <c r="AR114">
        <v>4</v>
      </c>
      <c r="AS114">
        <v>3</v>
      </c>
      <c r="AT114" t="s">
        <v>6761</v>
      </c>
      <c r="AU114" t="s">
        <v>6762</v>
      </c>
      <c r="AV114">
        <v>0.3</v>
      </c>
      <c r="AW114" t="s">
        <v>65</v>
      </c>
      <c r="AX114">
        <v>7</v>
      </c>
      <c r="AY114">
        <v>6</v>
      </c>
      <c r="AZ114" t="s">
        <v>6763</v>
      </c>
      <c r="BA114">
        <v>6.0819999999999999E-2</v>
      </c>
      <c r="BB114">
        <v>-6.0400000000000002E-3</v>
      </c>
      <c r="BC114">
        <v>1.2019999999999999E-2</v>
      </c>
      <c r="BD114">
        <v>-1.4499999999999999E-3</v>
      </c>
      <c r="BE114">
        <v>0.19755</v>
      </c>
      <c r="BF114">
        <v>0.96</v>
      </c>
      <c r="BG114" t="s">
        <v>69</v>
      </c>
      <c r="BH114">
        <v>-1.117</v>
      </c>
      <c r="BI114">
        <v>-0.67400000000000004</v>
      </c>
    </row>
    <row r="115" spans="3:61">
      <c r="C115">
        <v>0</v>
      </c>
      <c r="D115">
        <v>0</v>
      </c>
      <c r="E115">
        <v>0</v>
      </c>
      <c r="F115" t="s">
        <v>25021</v>
      </c>
      <c r="G115">
        <v>1106</v>
      </c>
      <c r="H115" t="s">
        <v>6960</v>
      </c>
      <c r="I115" t="s">
        <v>62</v>
      </c>
      <c r="J115">
        <v>1149961</v>
      </c>
      <c r="K115">
        <v>1150191</v>
      </c>
      <c r="L115" t="s">
        <v>6937</v>
      </c>
      <c r="M115">
        <v>77</v>
      </c>
      <c r="N115" t="s">
        <v>1196</v>
      </c>
      <c r="O115">
        <v>39</v>
      </c>
      <c r="P115" t="str">
        <f>HYPERLINK("Gene1106-zp_tree_all.dnd", "Gene1106-tree")</f>
        <v>Gene1106-tree</v>
      </c>
      <c r="Q115">
        <v>5</v>
      </c>
      <c r="R115">
        <v>2</v>
      </c>
      <c r="S115">
        <v>5</v>
      </c>
      <c r="T115">
        <v>2</v>
      </c>
      <c r="U115">
        <v>0.28571000000000002</v>
      </c>
      <c r="V115" t="s">
        <v>199</v>
      </c>
      <c r="W115" t="s">
        <v>81</v>
      </c>
      <c r="X115" t="s">
        <v>62</v>
      </c>
      <c r="Y115" t="s">
        <v>62</v>
      </c>
      <c r="Z115">
        <v>0</v>
      </c>
      <c r="AA115">
        <v>0</v>
      </c>
      <c r="AB115">
        <v>2</v>
      </c>
      <c r="AC115">
        <v>0</v>
      </c>
      <c r="AD115" s="47">
        <v>0</v>
      </c>
      <c r="AE115" s="47">
        <v>0</v>
      </c>
      <c r="AF115" s="47">
        <v>0</v>
      </c>
      <c r="AG115" s="47">
        <v>0</v>
      </c>
      <c r="AH115" s="47">
        <v>0</v>
      </c>
      <c r="AI115" s="47">
        <v>0</v>
      </c>
      <c r="AJ115" s="47">
        <v>0</v>
      </c>
      <c r="AK115" s="47">
        <v>0</v>
      </c>
      <c r="AL115">
        <v>2</v>
      </c>
      <c r="AM115">
        <v>0</v>
      </c>
      <c r="AN115">
        <v>4</v>
      </c>
      <c r="AO115">
        <v>3</v>
      </c>
      <c r="AP115">
        <v>5</v>
      </c>
      <c r="AQ115">
        <v>2</v>
      </c>
      <c r="AR115">
        <v>4</v>
      </c>
      <c r="AS115">
        <v>0</v>
      </c>
      <c r="AT115" t="s">
        <v>6961</v>
      </c>
      <c r="AU115" t="s">
        <v>193</v>
      </c>
      <c r="AV115">
        <v>1.125</v>
      </c>
      <c r="AW115" t="s">
        <v>65</v>
      </c>
      <c r="AX115">
        <v>9</v>
      </c>
      <c r="AY115">
        <v>2</v>
      </c>
      <c r="AZ115" t="s">
        <v>6962</v>
      </c>
      <c r="BA115">
        <v>5.4129999999999998E-2</v>
      </c>
      <c r="BB115">
        <v>-5.8399999999999997E-3</v>
      </c>
      <c r="BC115">
        <v>3.3300000000000001E-3</v>
      </c>
      <c r="BD115">
        <v>-7.3999999999999999E-4</v>
      </c>
      <c r="BE115">
        <v>6.1600000000000002E-2</v>
      </c>
      <c r="BF115">
        <v>1</v>
      </c>
      <c r="BG115" t="s">
        <v>69</v>
      </c>
      <c r="BH115">
        <v>-0.34899999999999998</v>
      </c>
      <c r="BI115">
        <v>-1.1299999999999999</v>
      </c>
    </row>
    <row r="116" spans="3:61">
      <c r="C116">
        <v>0</v>
      </c>
      <c r="D116">
        <v>0</v>
      </c>
      <c r="E116">
        <v>0</v>
      </c>
      <c r="F116" t="s">
        <v>25021</v>
      </c>
      <c r="G116">
        <v>2008</v>
      </c>
      <c r="H116" t="s">
        <v>12498</v>
      </c>
      <c r="I116" t="s">
        <v>57</v>
      </c>
      <c r="J116">
        <v>2099127</v>
      </c>
      <c r="K116">
        <v>2099357</v>
      </c>
      <c r="L116" t="s">
        <v>12499</v>
      </c>
      <c r="M116">
        <v>77</v>
      </c>
      <c r="N116" t="s">
        <v>108</v>
      </c>
      <c r="O116">
        <v>44</v>
      </c>
      <c r="P116" t="str">
        <f>HYPERLINK("Gene2008-zp_tree_all.dnd", "Gene2008-tree")</f>
        <v>Gene2008-tree</v>
      </c>
      <c r="Q116">
        <v>7</v>
      </c>
      <c r="R116">
        <v>0</v>
      </c>
      <c r="S116">
        <v>7</v>
      </c>
      <c r="T116">
        <v>0</v>
      </c>
      <c r="U116">
        <v>0</v>
      </c>
      <c r="V116" t="s">
        <v>152</v>
      </c>
      <c r="W116" t="s">
        <v>62</v>
      </c>
      <c r="X116" t="s">
        <v>62</v>
      </c>
      <c r="Y116" t="s">
        <v>62</v>
      </c>
      <c r="Z116">
        <v>0</v>
      </c>
      <c r="AA116">
        <v>0</v>
      </c>
      <c r="AB116">
        <v>0</v>
      </c>
      <c r="AC116">
        <v>0</v>
      </c>
      <c r="AD116" s="47">
        <v>0</v>
      </c>
      <c r="AE116" s="47">
        <v>0</v>
      </c>
      <c r="AF116" s="47">
        <v>0</v>
      </c>
      <c r="AG116" s="47">
        <v>0</v>
      </c>
      <c r="AH116" s="47">
        <v>0</v>
      </c>
      <c r="AI116" s="47">
        <v>0</v>
      </c>
      <c r="AJ116" s="47">
        <v>0</v>
      </c>
      <c r="AK116" s="47">
        <v>0</v>
      </c>
      <c r="AL116">
        <v>0</v>
      </c>
      <c r="AM116">
        <v>0</v>
      </c>
      <c r="AN116">
        <v>5</v>
      </c>
      <c r="AO116">
        <v>2</v>
      </c>
      <c r="AP116">
        <v>5</v>
      </c>
      <c r="AQ116">
        <v>0</v>
      </c>
      <c r="AR116">
        <v>4</v>
      </c>
      <c r="AS116">
        <v>0</v>
      </c>
      <c r="AT116" t="s">
        <v>193</v>
      </c>
      <c r="AU116" t="s">
        <v>193</v>
      </c>
      <c r="AV116">
        <v>0</v>
      </c>
      <c r="AW116" t="s">
        <v>65</v>
      </c>
      <c r="AX116">
        <v>9</v>
      </c>
      <c r="AY116">
        <v>0</v>
      </c>
      <c r="AZ116" t="s">
        <v>12500</v>
      </c>
      <c r="BA116">
        <v>6.7379999999999995E-2</v>
      </c>
      <c r="BB116">
        <v>-7.6299999999999996E-3</v>
      </c>
      <c r="BC116">
        <v>0</v>
      </c>
      <c r="BD116">
        <v>0</v>
      </c>
      <c r="BE116">
        <v>0</v>
      </c>
      <c r="BF116">
        <v>1</v>
      </c>
      <c r="BG116" t="s">
        <v>69</v>
      </c>
      <c r="BH116">
        <v>1.8029999999999999</v>
      </c>
      <c r="BI116">
        <v>-8.2000000000000003E-2</v>
      </c>
    </row>
    <row r="117" spans="3:61">
      <c r="C117">
        <v>0</v>
      </c>
      <c r="D117">
        <v>2</v>
      </c>
      <c r="E117">
        <v>0</v>
      </c>
      <c r="F117" t="s">
        <v>25021</v>
      </c>
      <c r="G117">
        <v>2426</v>
      </c>
      <c r="H117" t="s">
        <v>14136</v>
      </c>
      <c r="I117" t="s">
        <v>57</v>
      </c>
      <c r="J117">
        <v>2433137</v>
      </c>
      <c r="K117">
        <v>2433370</v>
      </c>
      <c r="L117" t="s">
        <v>2302</v>
      </c>
      <c r="M117">
        <v>78</v>
      </c>
      <c r="N117" t="s">
        <v>14137</v>
      </c>
      <c r="O117">
        <v>36</v>
      </c>
      <c r="P117" t="str">
        <f>HYPERLINK("Gene2426-zp_tree_all.dnd", "Gene2426-tree")</f>
        <v>Gene2426-tree</v>
      </c>
      <c r="Q117">
        <v>3</v>
      </c>
      <c r="R117">
        <v>5</v>
      </c>
      <c r="S117">
        <v>3</v>
      </c>
      <c r="T117">
        <v>5</v>
      </c>
      <c r="U117">
        <v>0.625</v>
      </c>
      <c r="V117" t="s">
        <v>324</v>
      </c>
      <c r="W117" t="s">
        <v>199</v>
      </c>
      <c r="X117" t="s">
        <v>62</v>
      </c>
      <c r="Y117" t="s">
        <v>62</v>
      </c>
      <c r="Z117">
        <v>1</v>
      </c>
      <c r="AA117">
        <v>2</v>
      </c>
      <c r="AB117">
        <v>9</v>
      </c>
      <c r="AC117">
        <v>0.18182000000000001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>
        <v>6</v>
      </c>
      <c r="AM117">
        <v>0</v>
      </c>
      <c r="AN117">
        <v>7</v>
      </c>
      <c r="AO117">
        <v>3</v>
      </c>
      <c r="AP117">
        <v>3</v>
      </c>
      <c r="AQ117">
        <v>6</v>
      </c>
      <c r="AR117">
        <v>1</v>
      </c>
      <c r="AS117">
        <v>5</v>
      </c>
      <c r="AT117" t="s">
        <v>14138</v>
      </c>
      <c r="AU117" t="s">
        <v>14139</v>
      </c>
      <c r="AV117">
        <v>0.438</v>
      </c>
      <c r="AW117" t="s">
        <v>65</v>
      </c>
      <c r="AX117">
        <v>4</v>
      </c>
      <c r="AY117">
        <v>11</v>
      </c>
      <c r="AZ117" t="s">
        <v>14140</v>
      </c>
      <c r="BA117">
        <v>2.8240000000000001E-2</v>
      </c>
      <c r="BB117">
        <v>-3.79E-3</v>
      </c>
      <c r="BC117">
        <v>1.8759999999999999E-2</v>
      </c>
      <c r="BD117">
        <v>-1.8500000000000001E-3</v>
      </c>
      <c r="BE117">
        <v>0.66427000000000003</v>
      </c>
      <c r="BF117">
        <v>0.68400000000000005</v>
      </c>
      <c r="BG117" t="s">
        <v>635</v>
      </c>
      <c r="BH117">
        <v>-0.129</v>
      </c>
      <c r="BI117">
        <v>0.105</v>
      </c>
    </row>
    <row r="118" spans="3:61">
      <c r="C118">
        <v>0</v>
      </c>
      <c r="D118">
        <v>2</v>
      </c>
      <c r="E118">
        <v>0</v>
      </c>
      <c r="F118" t="s">
        <v>25021</v>
      </c>
      <c r="G118">
        <v>526</v>
      </c>
      <c r="H118" t="s">
        <v>3394</v>
      </c>
      <c r="I118" t="s">
        <v>62</v>
      </c>
      <c r="J118">
        <v>561183</v>
      </c>
      <c r="K118">
        <v>561416</v>
      </c>
      <c r="L118" t="s">
        <v>1123</v>
      </c>
      <c r="M118">
        <v>78</v>
      </c>
      <c r="N118" t="s">
        <v>2914</v>
      </c>
      <c r="O118">
        <v>38</v>
      </c>
      <c r="P118" t="str">
        <f>HYPERLINK("Gene526-zp_tree_all.dnd", "Gene526-tree")</f>
        <v>Gene526-tree</v>
      </c>
      <c r="Q118">
        <v>5</v>
      </c>
      <c r="R118">
        <v>3</v>
      </c>
      <c r="S118">
        <v>5</v>
      </c>
      <c r="T118">
        <v>3</v>
      </c>
      <c r="U118">
        <v>0.375</v>
      </c>
      <c r="V118" t="s">
        <v>199</v>
      </c>
      <c r="W118" t="s">
        <v>324</v>
      </c>
      <c r="X118" t="s">
        <v>62</v>
      </c>
      <c r="Y118" t="s">
        <v>62</v>
      </c>
      <c r="Z118">
        <v>1</v>
      </c>
      <c r="AA118">
        <v>2</v>
      </c>
      <c r="AB118">
        <v>3</v>
      </c>
      <c r="AC118">
        <v>0.4</v>
      </c>
      <c r="AD118" s="47">
        <v>0</v>
      </c>
      <c r="AE118" s="47">
        <v>0</v>
      </c>
      <c r="AF118" s="47">
        <v>0</v>
      </c>
      <c r="AG118" s="47">
        <v>1</v>
      </c>
      <c r="AH118" s="47">
        <v>0</v>
      </c>
      <c r="AI118" s="47">
        <v>2</v>
      </c>
      <c r="AJ118" s="47">
        <v>0</v>
      </c>
      <c r="AK118" s="47">
        <v>2</v>
      </c>
      <c r="AL118">
        <v>1</v>
      </c>
      <c r="AM118">
        <v>0.66666999999999998</v>
      </c>
      <c r="AN118">
        <v>4</v>
      </c>
      <c r="AO118">
        <v>5</v>
      </c>
      <c r="AP118">
        <v>5</v>
      </c>
      <c r="AQ118">
        <v>2</v>
      </c>
      <c r="AR118">
        <v>6</v>
      </c>
      <c r="AS118">
        <v>3</v>
      </c>
      <c r="AT118" t="s">
        <v>3395</v>
      </c>
      <c r="AU118" t="s">
        <v>3396</v>
      </c>
      <c r="AV118">
        <v>0.26600000000000001</v>
      </c>
      <c r="AW118" t="s">
        <v>65</v>
      </c>
      <c r="AX118">
        <v>11</v>
      </c>
      <c r="AY118">
        <v>5</v>
      </c>
      <c r="AZ118" t="s">
        <v>3397</v>
      </c>
      <c r="BA118">
        <v>6.5210000000000004E-2</v>
      </c>
      <c r="BB118">
        <v>-5.7400000000000003E-3</v>
      </c>
      <c r="BC118">
        <v>1.0200000000000001E-2</v>
      </c>
      <c r="BD118">
        <v>-1.1999999999999999E-3</v>
      </c>
      <c r="BE118">
        <v>0.15640999999999999</v>
      </c>
      <c r="BF118">
        <v>0.98899999999999999</v>
      </c>
      <c r="BG118" t="s">
        <v>69</v>
      </c>
      <c r="BH118">
        <v>1.4350000000000001</v>
      </c>
      <c r="BI118">
        <v>1.4410000000000001</v>
      </c>
    </row>
    <row r="119" spans="3:61">
      <c r="C119">
        <v>0</v>
      </c>
      <c r="D119">
        <v>2</v>
      </c>
      <c r="E119">
        <v>0</v>
      </c>
      <c r="F119" t="s">
        <v>25021</v>
      </c>
      <c r="G119">
        <v>569</v>
      </c>
      <c r="H119" t="s">
        <v>3661</v>
      </c>
      <c r="I119" t="s">
        <v>62</v>
      </c>
      <c r="J119">
        <v>599110</v>
      </c>
      <c r="K119">
        <v>599343</v>
      </c>
      <c r="L119" t="s">
        <v>3662</v>
      </c>
      <c r="M119">
        <v>78</v>
      </c>
      <c r="N119" t="s">
        <v>2513</v>
      </c>
      <c r="O119">
        <v>43</v>
      </c>
      <c r="P119" t="str">
        <f>HYPERLINK("Gene569-zp_tree_all.dnd", "Gene569-tree")</f>
        <v>Gene569-tree</v>
      </c>
      <c r="Q119">
        <v>30</v>
      </c>
      <c r="R119">
        <v>2</v>
      </c>
      <c r="S119">
        <v>4</v>
      </c>
      <c r="T119">
        <v>2</v>
      </c>
      <c r="U119">
        <v>0.33333000000000002</v>
      </c>
      <c r="V119" t="s">
        <v>3663</v>
      </c>
      <c r="W119" t="s">
        <v>81</v>
      </c>
      <c r="X119" t="s">
        <v>62</v>
      </c>
      <c r="Y119" t="s">
        <v>62</v>
      </c>
      <c r="Z119">
        <v>1</v>
      </c>
      <c r="AA119">
        <v>2</v>
      </c>
      <c r="AB119">
        <v>2</v>
      </c>
      <c r="AC119">
        <v>0.5</v>
      </c>
      <c r="AD119" s="47">
        <v>0</v>
      </c>
      <c r="AE119" s="47">
        <v>0</v>
      </c>
      <c r="AF119" s="47">
        <v>0</v>
      </c>
      <c r="AG119" s="47">
        <v>0</v>
      </c>
      <c r="AH119" s="47">
        <v>0</v>
      </c>
      <c r="AI119" s="47">
        <v>2</v>
      </c>
      <c r="AJ119" s="47">
        <v>0</v>
      </c>
      <c r="AK119" s="47">
        <v>2</v>
      </c>
      <c r="AL119">
        <v>2</v>
      </c>
      <c r="AM119">
        <v>0.5</v>
      </c>
      <c r="AN119">
        <v>4</v>
      </c>
      <c r="AO119">
        <v>2</v>
      </c>
      <c r="AP119">
        <v>4</v>
      </c>
      <c r="AQ119">
        <v>4</v>
      </c>
      <c r="AR119">
        <v>3</v>
      </c>
      <c r="AS119">
        <v>0</v>
      </c>
      <c r="AT119" t="s">
        <v>3664</v>
      </c>
      <c r="AU119" t="s">
        <v>193</v>
      </c>
      <c r="AV119">
        <v>1.3280000000000001</v>
      </c>
      <c r="AW119" t="s">
        <v>65</v>
      </c>
      <c r="AX119">
        <v>7</v>
      </c>
      <c r="AY119">
        <v>4</v>
      </c>
      <c r="AZ119" t="s">
        <v>3665</v>
      </c>
      <c r="BA119">
        <v>5.6779999999999997E-2</v>
      </c>
      <c r="BB119">
        <v>-5.3400000000000001E-3</v>
      </c>
      <c r="BC119">
        <v>6.5399999999999998E-3</v>
      </c>
      <c r="BD119">
        <v>-1.72E-3</v>
      </c>
      <c r="BE119">
        <v>0.11525000000000001</v>
      </c>
      <c r="BF119">
        <v>1</v>
      </c>
      <c r="BG119" t="s">
        <v>69</v>
      </c>
      <c r="BH119">
        <v>-0.24</v>
      </c>
      <c r="BI119">
        <v>-1.456</v>
      </c>
    </row>
    <row r="120" spans="3:61">
      <c r="C120">
        <v>0</v>
      </c>
      <c r="D120">
        <v>0</v>
      </c>
      <c r="E120">
        <v>0</v>
      </c>
      <c r="F120" t="s">
        <v>25021</v>
      </c>
      <c r="G120">
        <v>3990</v>
      </c>
      <c r="H120" t="s">
        <v>23459</v>
      </c>
      <c r="I120" t="s">
        <v>57</v>
      </c>
      <c r="J120">
        <v>3954987</v>
      </c>
      <c r="K120">
        <v>3955220</v>
      </c>
      <c r="L120" t="s">
        <v>23460</v>
      </c>
      <c r="M120">
        <v>78</v>
      </c>
      <c r="N120" t="s">
        <v>59</v>
      </c>
      <c r="O120">
        <v>49</v>
      </c>
      <c r="P120" t="str">
        <f>HYPERLINK("Gene3990-zp_tree_all.dnd", "Gene3990-tree")</f>
        <v>Gene3990-tree</v>
      </c>
      <c r="Q120">
        <v>6</v>
      </c>
      <c r="R120">
        <v>1</v>
      </c>
      <c r="S120">
        <v>6</v>
      </c>
      <c r="T120">
        <v>1</v>
      </c>
      <c r="U120">
        <v>0.14285999999999999</v>
      </c>
      <c r="V120" t="s">
        <v>90</v>
      </c>
      <c r="W120" t="s">
        <v>175</v>
      </c>
      <c r="X120" t="s">
        <v>62</v>
      </c>
      <c r="Y120" t="s">
        <v>62</v>
      </c>
      <c r="Z120">
        <v>0</v>
      </c>
      <c r="AA120">
        <v>0</v>
      </c>
      <c r="AB120">
        <v>1</v>
      </c>
      <c r="AC120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>
        <v>1</v>
      </c>
      <c r="AM120">
        <v>0</v>
      </c>
      <c r="AN120">
        <v>5</v>
      </c>
      <c r="AO120">
        <v>3</v>
      </c>
      <c r="AP120">
        <v>5</v>
      </c>
      <c r="AQ120">
        <v>1</v>
      </c>
      <c r="AR120">
        <v>5</v>
      </c>
      <c r="AS120">
        <v>0</v>
      </c>
      <c r="AT120" t="s">
        <v>23461</v>
      </c>
      <c r="AU120" t="s">
        <v>193</v>
      </c>
      <c r="AV120">
        <v>0.50700000000000001</v>
      </c>
      <c r="AW120" t="s">
        <v>65</v>
      </c>
      <c r="AX120">
        <v>10</v>
      </c>
      <c r="AY120">
        <v>1</v>
      </c>
      <c r="AZ120" t="s">
        <v>23462</v>
      </c>
      <c r="BA120">
        <v>7.8969999999999999E-2</v>
      </c>
      <c r="BB120">
        <v>-7.5700000000000003E-3</v>
      </c>
      <c r="BC120">
        <v>1.5399999999999999E-3</v>
      </c>
      <c r="BD120">
        <v>-5.2999999999999998E-4</v>
      </c>
      <c r="BE120">
        <v>1.9470000000000001E-2</v>
      </c>
      <c r="BF120">
        <v>1</v>
      </c>
      <c r="BG120" t="s">
        <v>69</v>
      </c>
      <c r="BH120">
        <v>-1.5189999999999999</v>
      </c>
      <c r="BI120">
        <v>-0.61699999999999999</v>
      </c>
    </row>
    <row r="121" spans="3:61">
      <c r="C121">
        <v>0</v>
      </c>
      <c r="D121">
        <v>0</v>
      </c>
      <c r="E121">
        <v>0</v>
      </c>
      <c r="F121" t="s">
        <v>25021</v>
      </c>
      <c r="G121">
        <v>2513</v>
      </c>
      <c r="H121" t="s">
        <v>14664</v>
      </c>
      <c r="I121" t="s">
        <v>57</v>
      </c>
      <c r="J121">
        <v>2507020</v>
      </c>
      <c r="K121">
        <v>2507253</v>
      </c>
      <c r="L121" t="s">
        <v>116</v>
      </c>
      <c r="M121">
        <v>78</v>
      </c>
      <c r="N121" t="s">
        <v>108</v>
      </c>
      <c r="O121">
        <v>44</v>
      </c>
      <c r="P121" t="str">
        <f>HYPERLINK("Gene2513-zp_tree_all.dnd", "Gene2513-tree")</f>
        <v>Gene2513-tree</v>
      </c>
      <c r="Q121">
        <v>4</v>
      </c>
      <c r="R121">
        <v>0</v>
      </c>
      <c r="S121">
        <v>4</v>
      </c>
      <c r="T121">
        <v>0</v>
      </c>
      <c r="U121">
        <v>0</v>
      </c>
      <c r="V121" t="s">
        <v>61</v>
      </c>
      <c r="W121" t="s">
        <v>62</v>
      </c>
      <c r="X121" t="s">
        <v>62</v>
      </c>
      <c r="Y121" t="s">
        <v>62</v>
      </c>
      <c r="Z121">
        <v>0</v>
      </c>
      <c r="AA121">
        <v>0</v>
      </c>
      <c r="AB121">
        <v>0</v>
      </c>
      <c r="AC121">
        <v>0</v>
      </c>
      <c r="AD121" s="47">
        <v>0</v>
      </c>
      <c r="AE121" s="47">
        <v>0</v>
      </c>
      <c r="AF121" s="47">
        <v>0</v>
      </c>
      <c r="AG121" s="47">
        <v>0</v>
      </c>
      <c r="AH121" s="47">
        <v>0</v>
      </c>
      <c r="AI121" s="47">
        <v>0</v>
      </c>
      <c r="AJ121" s="47">
        <v>0</v>
      </c>
      <c r="AK121" s="47">
        <v>0</v>
      </c>
      <c r="AL121">
        <v>0</v>
      </c>
      <c r="AM121">
        <v>0</v>
      </c>
      <c r="AN121">
        <v>3</v>
      </c>
      <c r="AO121">
        <v>0</v>
      </c>
      <c r="AP121">
        <v>3</v>
      </c>
      <c r="AQ121">
        <v>0</v>
      </c>
      <c r="AR121">
        <v>0</v>
      </c>
      <c r="AS121">
        <v>0</v>
      </c>
      <c r="AT121" t="s">
        <v>193</v>
      </c>
      <c r="AU121" t="s">
        <v>193</v>
      </c>
      <c r="AV121">
        <v>0</v>
      </c>
      <c r="AW121" t="s">
        <v>65</v>
      </c>
      <c r="AX121">
        <v>3</v>
      </c>
      <c r="AY121">
        <v>0</v>
      </c>
      <c r="AZ121" t="s">
        <v>14665</v>
      </c>
      <c r="BA121">
        <v>2.6610000000000002E-2</v>
      </c>
      <c r="BB121">
        <v>-3.6800000000000001E-3</v>
      </c>
      <c r="BC121">
        <v>0</v>
      </c>
      <c r="BD121">
        <v>0</v>
      </c>
      <c r="BE121">
        <v>0</v>
      </c>
      <c r="BF121">
        <v>1</v>
      </c>
      <c r="BG121" t="s">
        <v>69</v>
      </c>
      <c r="BH121">
        <v>-0.97099999999999997</v>
      </c>
      <c r="BI121">
        <v>-0.378</v>
      </c>
    </row>
    <row r="122" spans="3:61">
      <c r="C122">
        <v>0</v>
      </c>
      <c r="D122">
        <v>0</v>
      </c>
      <c r="E122">
        <v>0</v>
      </c>
      <c r="F122" t="s">
        <v>25021</v>
      </c>
      <c r="G122">
        <v>3257</v>
      </c>
      <c r="H122" t="s">
        <v>18992</v>
      </c>
      <c r="I122" t="s">
        <v>57</v>
      </c>
      <c r="J122">
        <v>3224864</v>
      </c>
      <c r="K122">
        <v>3225097</v>
      </c>
      <c r="L122" t="s">
        <v>116</v>
      </c>
      <c r="M122">
        <v>78</v>
      </c>
      <c r="N122" t="s">
        <v>59</v>
      </c>
      <c r="O122">
        <v>49</v>
      </c>
      <c r="P122" t="str">
        <f>HYPERLINK("Gene3257-zp_tree_all.dnd", "Gene3257-tree")</f>
        <v>Gene3257-tree</v>
      </c>
      <c r="Q122">
        <v>5</v>
      </c>
      <c r="R122">
        <v>0</v>
      </c>
      <c r="S122">
        <v>5</v>
      </c>
      <c r="T122">
        <v>0</v>
      </c>
      <c r="U122">
        <v>0</v>
      </c>
      <c r="V122" t="s">
        <v>199</v>
      </c>
      <c r="W122" t="s">
        <v>62</v>
      </c>
      <c r="X122" t="s">
        <v>62</v>
      </c>
      <c r="Y122" t="s">
        <v>62</v>
      </c>
      <c r="Z122">
        <v>0</v>
      </c>
      <c r="AA122">
        <v>0</v>
      </c>
      <c r="AB122">
        <v>0</v>
      </c>
      <c r="AC122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>
        <v>0</v>
      </c>
      <c r="AM122">
        <v>0</v>
      </c>
      <c r="AN122">
        <v>4</v>
      </c>
      <c r="AO122">
        <v>2</v>
      </c>
      <c r="AP122">
        <v>6</v>
      </c>
      <c r="AQ122">
        <v>0</v>
      </c>
      <c r="AR122">
        <v>9</v>
      </c>
      <c r="AS122">
        <v>0</v>
      </c>
      <c r="AT122" t="s">
        <v>193</v>
      </c>
      <c r="AU122" t="s">
        <v>193</v>
      </c>
      <c r="AV122">
        <v>0</v>
      </c>
      <c r="AW122" t="s">
        <v>65</v>
      </c>
      <c r="AX122">
        <v>15</v>
      </c>
      <c r="AY122">
        <v>0</v>
      </c>
      <c r="AZ122" t="s">
        <v>18993</v>
      </c>
      <c r="BA122">
        <v>0.15712000000000001</v>
      </c>
      <c r="BB122">
        <v>-2.487E-2</v>
      </c>
      <c r="BC122">
        <v>0</v>
      </c>
      <c r="BD122">
        <v>0</v>
      </c>
      <c r="BE122">
        <v>0</v>
      </c>
      <c r="BF122">
        <v>1</v>
      </c>
      <c r="BG122" t="s">
        <v>69</v>
      </c>
      <c r="BH122">
        <v>-1.1599999999999999</v>
      </c>
      <c r="BI122">
        <v>0.57999999999999996</v>
      </c>
    </row>
    <row r="123" spans="3:61">
      <c r="C123">
        <v>0</v>
      </c>
      <c r="D123">
        <v>0</v>
      </c>
      <c r="E123">
        <v>0</v>
      </c>
      <c r="F123" t="s">
        <v>25021</v>
      </c>
      <c r="G123">
        <v>1168</v>
      </c>
      <c r="H123" t="s">
        <v>7356</v>
      </c>
      <c r="I123" t="s">
        <v>62</v>
      </c>
      <c r="J123">
        <v>1207821</v>
      </c>
      <c r="K123">
        <v>1208057</v>
      </c>
      <c r="L123" t="s">
        <v>3688</v>
      </c>
      <c r="M123">
        <v>79</v>
      </c>
      <c r="N123" t="s">
        <v>1933</v>
      </c>
      <c r="O123">
        <v>39</v>
      </c>
      <c r="P123" t="str">
        <f>HYPERLINK("Gene1168-zp_tree_all.dnd", "Gene1168-tree")</f>
        <v>Gene1168-tree</v>
      </c>
      <c r="Q123">
        <v>34</v>
      </c>
      <c r="R123">
        <v>2</v>
      </c>
      <c r="S123">
        <v>4</v>
      </c>
      <c r="T123">
        <v>2</v>
      </c>
      <c r="U123">
        <v>0.33333000000000002</v>
      </c>
      <c r="V123" t="s">
        <v>3369</v>
      </c>
      <c r="W123" t="s">
        <v>81</v>
      </c>
      <c r="X123" t="s">
        <v>62</v>
      </c>
      <c r="Y123" t="s">
        <v>62</v>
      </c>
      <c r="Z123">
        <v>0</v>
      </c>
      <c r="AA123">
        <v>0</v>
      </c>
      <c r="AB123">
        <v>2</v>
      </c>
      <c r="AC123">
        <v>0</v>
      </c>
      <c r="AD123" s="47">
        <v>0</v>
      </c>
      <c r="AE123" s="47">
        <v>0</v>
      </c>
      <c r="AF123" s="47">
        <v>0</v>
      </c>
      <c r="AG123" s="47">
        <v>0</v>
      </c>
      <c r="AH123" s="47">
        <v>0</v>
      </c>
      <c r="AI123" s="47">
        <v>0</v>
      </c>
      <c r="AJ123" s="47">
        <v>0</v>
      </c>
      <c r="AK123" s="47">
        <v>0</v>
      </c>
      <c r="AL123">
        <v>2</v>
      </c>
      <c r="AM123">
        <v>0</v>
      </c>
      <c r="AN123">
        <v>5</v>
      </c>
      <c r="AO123">
        <v>0</v>
      </c>
      <c r="AP123">
        <v>4</v>
      </c>
      <c r="AQ123">
        <v>2</v>
      </c>
      <c r="AR123">
        <v>0</v>
      </c>
      <c r="AS123">
        <v>0</v>
      </c>
      <c r="AT123" t="s">
        <v>7357</v>
      </c>
      <c r="AU123" t="s">
        <v>193</v>
      </c>
      <c r="AV123">
        <v>1.278</v>
      </c>
      <c r="AW123" t="s">
        <v>65</v>
      </c>
      <c r="AX123">
        <v>4</v>
      </c>
      <c r="AY123">
        <v>2</v>
      </c>
      <c r="AZ123" t="s">
        <v>7358</v>
      </c>
      <c r="BA123">
        <v>3.3169999999999998E-2</v>
      </c>
      <c r="BB123">
        <v>-3.8899999999999998E-3</v>
      </c>
      <c r="BC123">
        <v>3.7100000000000002E-3</v>
      </c>
      <c r="BD123">
        <v>-8.5999999999999998E-4</v>
      </c>
      <c r="BE123">
        <v>0.11171</v>
      </c>
      <c r="BF123">
        <v>1</v>
      </c>
      <c r="BG123" t="s">
        <v>69</v>
      </c>
      <c r="BH123">
        <v>-1.5780000000000001</v>
      </c>
      <c r="BI123">
        <v>-2.742</v>
      </c>
    </row>
    <row r="124" spans="3:61">
      <c r="C124">
        <v>0</v>
      </c>
      <c r="D124">
        <v>0</v>
      </c>
      <c r="E124">
        <v>0</v>
      </c>
      <c r="F124" t="s">
        <v>25021</v>
      </c>
      <c r="G124">
        <v>2069</v>
      </c>
      <c r="H124" t="s">
        <v>12871</v>
      </c>
      <c r="I124" t="s">
        <v>57</v>
      </c>
      <c r="J124">
        <v>2152927</v>
      </c>
      <c r="K124">
        <v>2153166</v>
      </c>
      <c r="L124" t="s">
        <v>12872</v>
      </c>
      <c r="M124">
        <v>80</v>
      </c>
      <c r="N124" t="s">
        <v>12873</v>
      </c>
      <c r="O124">
        <v>18</v>
      </c>
      <c r="P124" t="str">
        <f>HYPERLINK("Gene2069-zp_tree_all.dnd", "Gene2069-tree")</f>
        <v>Gene2069-tree</v>
      </c>
      <c r="Q124">
        <v>2</v>
      </c>
      <c r="R124">
        <v>16</v>
      </c>
      <c r="S124">
        <v>2</v>
      </c>
      <c r="T124">
        <v>3</v>
      </c>
      <c r="U124">
        <v>0.6</v>
      </c>
      <c r="V124" t="s">
        <v>81</v>
      </c>
      <c r="W124" t="s">
        <v>12874</v>
      </c>
      <c r="X124">
        <v>2.0350000000000001</v>
      </c>
      <c r="Y124" t="s">
        <v>65</v>
      </c>
      <c r="Z124">
        <v>0</v>
      </c>
      <c r="AA124">
        <v>0</v>
      </c>
      <c r="AB124">
        <v>5</v>
      </c>
      <c r="AC124">
        <v>0</v>
      </c>
      <c r="AD124" s="47">
        <v>0</v>
      </c>
      <c r="AE124" s="47">
        <v>0</v>
      </c>
      <c r="AF124" s="47">
        <v>0</v>
      </c>
      <c r="AG124" s="47">
        <v>0</v>
      </c>
      <c r="AH124" s="47">
        <v>0</v>
      </c>
      <c r="AI124" s="47">
        <v>0</v>
      </c>
      <c r="AJ124" s="47">
        <v>0</v>
      </c>
      <c r="AK124" s="47">
        <v>0</v>
      </c>
      <c r="AL124">
        <v>2</v>
      </c>
      <c r="AM124">
        <v>0</v>
      </c>
      <c r="AN124">
        <v>4</v>
      </c>
      <c r="AO124">
        <v>2</v>
      </c>
      <c r="AP124">
        <v>9</v>
      </c>
      <c r="AQ124">
        <v>2</v>
      </c>
      <c r="AR124">
        <v>2</v>
      </c>
      <c r="AS124">
        <v>3</v>
      </c>
      <c r="AT124" t="s">
        <v>12875</v>
      </c>
      <c r="AU124" t="s">
        <v>12876</v>
      </c>
      <c r="AV124">
        <v>1.0649999999999999</v>
      </c>
      <c r="AW124" t="s">
        <v>65</v>
      </c>
      <c r="AX124">
        <v>11</v>
      </c>
      <c r="AY124">
        <v>5</v>
      </c>
      <c r="AZ124" t="s">
        <v>12877</v>
      </c>
      <c r="BA124">
        <v>9.6180000000000002E-2</v>
      </c>
      <c r="BB124">
        <v>-2.0219999999999998E-2</v>
      </c>
      <c r="BC124">
        <v>1.384E-2</v>
      </c>
      <c r="BD124">
        <v>-1.48E-3</v>
      </c>
      <c r="BE124">
        <v>0.14393</v>
      </c>
      <c r="BF124">
        <v>0.99</v>
      </c>
      <c r="BG124" t="s">
        <v>69</v>
      </c>
      <c r="BH124">
        <v>-1.5469999999999999</v>
      </c>
      <c r="BI124">
        <v>-1.4359999999999999</v>
      </c>
    </row>
    <row r="125" spans="3:61">
      <c r="C125">
        <v>0</v>
      </c>
      <c r="D125">
        <v>2</v>
      </c>
      <c r="E125">
        <v>0</v>
      </c>
      <c r="F125" t="s">
        <v>25021</v>
      </c>
      <c r="G125">
        <v>970</v>
      </c>
      <c r="H125" t="s">
        <v>6077</v>
      </c>
      <c r="I125" t="s">
        <v>62</v>
      </c>
      <c r="J125">
        <v>1010987</v>
      </c>
      <c r="K125">
        <v>1011226</v>
      </c>
      <c r="L125" t="s">
        <v>288</v>
      </c>
      <c r="M125">
        <v>80</v>
      </c>
      <c r="N125" t="s">
        <v>465</v>
      </c>
      <c r="O125">
        <v>46</v>
      </c>
      <c r="P125" t="str">
        <f>HYPERLINK("Gene970-zp_tree_all.dnd", "Gene970-tree")</f>
        <v>Gene970-tree</v>
      </c>
      <c r="Q125">
        <v>26</v>
      </c>
      <c r="R125">
        <v>4</v>
      </c>
      <c r="S125">
        <v>6</v>
      </c>
      <c r="T125">
        <v>4</v>
      </c>
      <c r="U125">
        <v>0.4</v>
      </c>
      <c r="V125" t="s">
        <v>1030</v>
      </c>
      <c r="W125" t="s">
        <v>61</v>
      </c>
      <c r="X125" t="s">
        <v>62</v>
      </c>
      <c r="Y125" t="s">
        <v>62</v>
      </c>
      <c r="Z125">
        <v>1</v>
      </c>
      <c r="AA125">
        <v>2</v>
      </c>
      <c r="AB125">
        <v>2</v>
      </c>
      <c r="AC125">
        <v>0.5</v>
      </c>
      <c r="AD125" s="47">
        <v>0</v>
      </c>
      <c r="AE125" s="47">
        <v>0</v>
      </c>
      <c r="AF125" s="47">
        <v>0</v>
      </c>
      <c r="AG125" s="47">
        <v>0</v>
      </c>
      <c r="AH125" s="47">
        <v>0</v>
      </c>
      <c r="AI125" s="47">
        <v>2</v>
      </c>
      <c r="AJ125" s="47">
        <v>0</v>
      </c>
      <c r="AK125" s="47">
        <v>2</v>
      </c>
      <c r="AL125">
        <v>2</v>
      </c>
      <c r="AM125">
        <v>0.5</v>
      </c>
      <c r="AN125">
        <v>7</v>
      </c>
      <c r="AO125">
        <v>2</v>
      </c>
      <c r="AP125">
        <v>12</v>
      </c>
      <c r="AQ125">
        <v>6</v>
      </c>
      <c r="AR125">
        <v>2</v>
      </c>
      <c r="AS125">
        <v>0</v>
      </c>
      <c r="AT125" t="s">
        <v>6078</v>
      </c>
      <c r="AU125" t="s">
        <v>193</v>
      </c>
      <c r="AV125">
        <v>0.69299999999999995</v>
      </c>
      <c r="AW125" t="s">
        <v>65</v>
      </c>
      <c r="AX125">
        <v>14</v>
      </c>
      <c r="AY125">
        <v>6</v>
      </c>
      <c r="AZ125" t="s">
        <v>6079</v>
      </c>
      <c r="BA125">
        <v>6.4259999999999998E-2</v>
      </c>
      <c r="BB125">
        <v>-9.4800000000000006E-3</v>
      </c>
      <c r="BC125">
        <v>6.28E-3</v>
      </c>
      <c r="BD125">
        <v>-9.3999999999999997E-4</v>
      </c>
      <c r="BE125">
        <v>9.7720000000000001E-2</v>
      </c>
      <c r="BF125">
        <v>1</v>
      </c>
      <c r="BG125" t="s">
        <v>69</v>
      </c>
      <c r="BH125">
        <v>-1.337</v>
      </c>
      <c r="BI125">
        <v>0.79900000000000004</v>
      </c>
    </row>
    <row r="126" spans="3:61">
      <c r="C126">
        <v>0</v>
      </c>
      <c r="D126">
        <v>0</v>
      </c>
      <c r="E126">
        <v>0</v>
      </c>
      <c r="F126" t="s">
        <v>25021</v>
      </c>
      <c r="G126">
        <v>574</v>
      </c>
      <c r="H126" t="s">
        <v>3694</v>
      </c>
      <c r="I126" t="s">
        <v>62</v>
      </c>
      <c r="J126">
        <v>602188</v>
      </c>
      <c r="K126">
        <v>602427</v>
      </c>
      <c r="L126" t="s">
        <v>3695</v>
      </c>
      <c r="M126">
        <v>80</v>
      </c>
      <c r="N126" t="s">
        <v>2548</v>
      </c>
      <c r="O126">
        <v>37</v>
      </c>
      <c r="P126" t="str">
        <f>HYPERLINK("Gene574-zp_tree_all.dnd", "Gene574-tree")</f>
        <v>Gene574-tree</v>
      </c>
      <c r="Q126">
        <v>29</v>
      </c>
      <c r="R126">
        <v>0</v>
      </c>
      <c r="S126">
        <v>6</v>
      </c>
      <c r="T126">
        <v>0</v>
      </c>
      <c r="U126">
        <v>0</v>
      </c>
      <c r="V126" t="s">
        <v>3696</v>
      </c>
      <c r="W126" t="s">
        <v>62</v>
      </c>
      <c r="X126" t="s">
        <v>62</v>
      </c>
      <c r="Y126" t="s">
        <v>62</v>
      </c>
      <c r="Z126">
        <v>0</v>
      </c>
      <c r="AA126">
        <v>0</v>
      </c>
      <c r="AB126">
        <v>1</v>
      </c>
      <c r="AC126">
        <v>0</v>
      </c>
      <c r="AD126" s="47">
        <v>0</v>
      </c>
      <c r="AE126" s="47">
        <v>0</v>
      </c>
      <c r="AF126" s="47">
        <v>0</v>
      </c>
      <c r="AG126" s="47">
        <v>0</v>
      </c>
      <c r="AH126" s="47">
        <v>0</v>
      </c>
      <c r="AI126" s="47">
        <v>0</v>
      </c>
      <c r="AJ126" s="47">
        <v>0</v>
      </c>
      <c r="AK126" s="47">
        <v>0</v>
      </c>
      <c r="AL126">
        <v>0</v>
      </c>
      <c r="AM126">
        <v>0</v>
      </c>
      <c r="AN126">
        <v>5</v>
      </c>
      <c r="AO126">
        <v>2</v>
      </c>
      <c r="AP126">
        <v>6</v>
      </c>
      <c r="AQ126">
        <v>0</v>
      </c>
      <c r="AR126">
        <v>2</v>
      </c>
      <c r="AS126">
        <v>1</v>
      </c>
      <c r="AT126" t="s">
        <v>193</v>
      </c>
      <c r="AU126" t="s">
        <v>3697</v>
      </c>
      <c r="AV126">
        <v>1.4139999999999999</v>
      </c>
      <c r="AW126" t="s">
        <v>65</v>
      </c>
      <c r="AX126">
        <v>8</v>
      </c>
      <c r="AY126">
        <v>1</v>
      </c>
      <c r="AZ126" t="s">
        <v>3698</v>
      </c>
      <c r="BA126">
        <v>5.8180000000000003E-2</v>
      </c>
      <c r="BB126">
        <v>-6.7799999999999996E-3</v>
      </c>
      <c r="BC126">
        <v>2.8800000000000002E-3</v>
      </c>
      <c r="BD126">
        <v>-6.7000000000000002E-4</v>
      </c>
      <c r="BE126">
        <v>4.9459999999999997E-2</v>
      </c>
      <c r="BF126">
        <v>1</v>
      </c>
      <c r="BG126" t="s">
        <v>69</v>
      </c>
      <c r="BH126">
        <v>0.75800000000000001</v>
      </c>
      <c r="BI126">
        <v>-0.02</v>
      </c>
    </row>
    <row r="127" spans="3:61">
      <c r="C127">
        <v>0</v>
      </c>
      <c r="D127">
        <v>0</v>
      </c>
      <c r="E127">
        <v>0</v>
      </c>
      <c r="F127" t="s">
        <v>25021</v>
      </c>
      <c r="G127">
        <v>3408</v>
      </c>
      <c r="H127" t="s">
        <v>19939</v>
      </c>
      <c r="I127" t="s">
        <v>57</v>
      </c>
      <c r="J127">
        <v>3373743</v>
      </c>
      <c r="K127">
        <v>3373985</v>
      </c>
      <c r="L127" t="s">
        <v>116</v>
      </c>
      <c r="M127">
        <v>81</v>
      </c>
      <c r="N127" t="s">
        <v>59</v>
      </c>
      <c r="O127">
        <v>49</v>
      </c>
      <c r="P127" t="str">
        <f>HYPERLINK("Gene3408-zp_tree_all.dnd", "Gene3408-tree")</f>
        <v>Gene3408-tree</v>
      </c>
      <c r="Q127">
        <v>5</v>
      </c>
      <c r="R127">
        <v>3</v>
      </c>
      <c r="S127">
        <v>5</v>
      </c>
      <c r="T127">
        <v>3</v>
      </c>
      <c r="U127">
        <v>0.375</v>
      </c>
      <c r="V127" t="s">
        <v>199</v>
      </c>
      <c r="W127" t="s">
        <v>324</v>
      </c>
      <c r="X127" t="s">
        <v>62</v>
      </c>
      <c r="Y127" t="s">
        <v>62</v>
      </c>
      <c r="Z127">
        <v>0</v>
      </c>
      <c r="AA127">
        <v>0</v>
      </c>
      <c r="AB127">
        <v>4</v>
      </c>
      <c r="AC127">
        <v>0</v>
      </c>
      <c r="AD127" s="47">
        <v>0</v>
      </c>
      <c r="AE127" s="47">
        <v>0</v>
      </c>
      <c r="AF127" s="47">
        <v>0</v>
      </c>
      <c r="AG127" s="47">
        <v>0</v>
      </c>
      <c r="AH127" s="47">
        <v>0</v>
      </c>
      <c r="AI127" s="47">
        <v>0</v>
      </c>
      <c r="AJ127" s="47">
        <v>0</v>
      </c>
      <c r="AK127" s="47">
        <v>0</v>
      </c>
      <c r="AL127">
        <v>3</v>
      </c>
      <c r="AM127">
        <v>0</v>
      </c>
      <c r="AN127">
        <v>6</v>
      </c>
      <c r="AO127">
        <v>2</v>
      </c>
      <c r="AP127">
        <v>8</v>
      </c>
      <c r="AQ127">
        <v>3</v>
      </c>
      <c r="AR127">
        <v>4</v>
      </c>
      <c r="AS127">
        <v>1</v>
      </c>
      <c r="AT127" t="s">
        <v>19940</v>
      </c>
      <c r="AU127" t="s">
        <v>19941</v>
      </c>
      <c r="AV127">
        <v>0.42799999999999999</v>
      </c>
      <c r="AW127" t="s">
        <v>65</v>
      </c>
      <c r="AX127">
        <v>12</v>
      </c>
      <c r="AY127">
        <v>4</v>
      </c>
      <c r="AZ127" t="s">
        <v>19942</v>
      </c>
      <c r="BA127">
        <v>7.9000000000000001E-2</v>
      </c>
      <c r="BB127">
        <v>-8.43E-3</v>
      </c>
      <c r="BC127">
        <v>6.2199999999999998E-3</v>
      </c>
      <c r="BD127">
        <v>-6.9999999999999999E-4</v>
      </c>
      <c r="BE127">
        <v>7.8759999999999997E-2</v>
      </c>
      <c r="BF127">
        <v>1</v>
      </c>
      <c r="BG127" t="s">
        <v>69</v>
      </c>
      <c r="BH127">
        <v>-1.141</v>
      </c>
      <c r="BI127">
        <v>-1.0269999999999999</v>
      </c>
    </row>
    <row r="128" spans="3:61">
      <c r="C128">
        <v>0</v>
      </c>
      <c r="D128">
        <v>0</v>
      </c>
      <c r="E128">
        <v>0</v>
      </c>
      <c r="F128" t="s">
        <v>25021</v>
      </c>
      <c r="G128">
        <v>2806</v>
      </c>
      <c r="H128" t="s">
        <v>16094</v>
      </c>
      <c r="I128" t="s">
        <v>57</v>
      </c>
      <c r="J128">
        <v>2752802</v>
      </c>
      <c r="K128">
        <v>2753044</v>
      </c>
      <c r="L128" t="s">
        <v>5691</v>
      </c>
      <c r="M128">
        <v>81</v>
      </c>
      <c r="N128" t="s">
        <v>5762</v>
      </c>
      <c r="O128">
        <v>43</v>
      </c>
      <c r="P128" t="str">
        <f>HYPERLINK("Gene2806-zp_tree_all.dnd", "Gene2806-tree")</f>
        <v>Gene2806-tree</v>
      </c>
      <c r="Q128">
        <v>6</v>
      </c>
      <c r="R128">
        <v>4</v>
      </c>
      <c r="S128">
        <v>6</v>
      </c>
      <c r="T128">
        <v>4</v>
      </c>
      <c r="U128">
        <v>0.4</v>
      </c>
      <c r="V128" t="s">
        <v>90</v>
      </c>
      <c r="W128" t="s">
        <v>61</v>
      </c>
      <c r="X128" t="s">
        <v>62</v>
      </c>
      <c r="Y128" t="s">
        <v>62</v>
      </c>
      <c r="Z128">
        <v>0</v>
      </c>
      <c r="AA128">
        <v>0</v>
      </c>
      <c r="AB128">
        <v>5</v>
      </c>
      <c r="AC128">
        <v>0</v>
      </c>
      <c r="AD128" s="47">
        <v>0</v>
      </c>
      <c r="AE128" s="47">
        <v>0</v>
      </c>
      <c r="AF128" s="47">
        <v>0</v>
      </c>
      <c r="AG128" s="47">
        <v>0</v>
      </c>
      <c r="AH128" s="47">
        <v>0</v>
      </c>
      <c r="AI128" s="47">
        <v>0</v>
      </c>
      <c r="AJ128" s="47">
        <v>0</v>
      </c>
      <c r="AK128" s="47">
        <v>0</v>
      </c>
      <c r="AL128">
        <v>5</v>
      </c>
      <c r="AM128">
        <v>0</v>
      </c>
      <c r="AN128">
        <v>5</v>
      </c>
      <c r="AO128">
        <v>5</v>
      </c>
      <c r="AP128">
        <v>8</v>
      </c>
      <c r="AQ128">
        <v>5</v>
      </c>
      <c r="AR128">
        <v>5</v>
      </c>
      <c r="AS128">
        <v>0</v>
      </c>
      <c r="AT128" t="s">
        <v>16095</v>
      </c>
      <c r="AU128" t="s">
        <v>193</v>
      </c>
      <c r="AV128">
        <v>1.2470000000000001</v>
      </c>
      <c r="AW128" t="s">
        <v>65</v>
      </c>
      <c r="AX128">
        <v>13</v>
      </c>
      <c r="AY128">
        <v>5</v>
      </c>
      <c r="AZ128" t="s">
        <v>16096</v>
      </c>
      <c r="BA128">
        <v>7.1720000000000006E-2</v>
      </c>
      <c r="BB128">
        <v>-5.9199999999999999E-3</v>
      </c>
      <c r="BC128">
        <v>5.2399999999999999E-3</v>
      </c>
      <c r="BD128">
        <v>-6.9999999999999999E-4</v>
      </c>
      <c r="BE128">
        <v>7.3099999999999998E-2</v>
      </c>
      <c r="BF128">
        <v>1</v>
      </c>
      <c r="BG128" t="s">
        <v>69</v>
      </c>
      <c r="BH128">
        <v>0.17699999999999999</v>
      </c>
      <c r="BI128">
        <v>0.14499999999999999</v>
      </c>
    </row>
    <row r="129" spans="3:61">
      <c r="C129">
        <v>0</v>
      </c>
      <c r="D129">
        <v>0</v>
      </c>
      <c r="E129">
        <v>0</v>
      </c>
      <c r="F129" t="s">
        <v>25021</v>
      </c>
      <c r="G129">
        <v>3954</v>
      </c>
      <c r="H129" t="s">
        <v>23225</v>
      </c>
      <c r="I129" t="s">
        <v>57</v>
      </c>
      <c r="J129">
        <v>3918777</v>
      </c>
      <c r="K129">
        <v>3919019</v>
      </c>
      <c r="L129" t="s">
        <v>116</v>
      </c>
      <c r="M129">
        <v>81</v>
      </c>
      <c r="N129" t="s">
        <v>289</v>
      </c>
      <c r="O129">
        <v>46</v>
      </c>
      <c r="P129" t="str">
        <f>HYPERLINK("Gene3954-zp_tree_all.dnd", "Gene3954-tree")</f>
        <v>Gene3954-tree</v>
      </c>
      <c r="Q129">
        <v>36</v>
      </c>
      <c r="R129">
        <v>2</v>
      </c>
      <c r="S129">
        <v>7</v>
      </c>
      <c r="T129">
        <v>2</v>
      </c>
      <c r="U129">
        <v>0.22222</v>
      </c>
      <c r="V129" t="s">
        <v>23226</v>
      </c>
      <c r="W129" t="s">
        <v>81</v>
      </c>
      <c r="X129" t="s">
        <v>62</v>
      </c>
      <c r="Y129" t="s">
        <v>62</v>
      </c>
      <c r="Z129">
        <v>0</v>
      </c>
      <c r="AA129">
        <v>0</v>
      </c>
      <c r="AB129">
        <v>4</v>
      </c>
      <c r="AC129">
        <v>0</v>
      </c>
      <c r="AD129" s="47">
        <v>0</v>
      </c>
      <c r="AE129" s="47">
        <v>0</v>
      </c>
      <c r="AF129" s="47">
        <v>0</v>
      </c>
      <c r="AG129" s="47">
        <v>0</v>
      </c>
      <c r="AH129" s="47">
        <v>0</v>
      </c>
      <c r="AI129" s="47">
        <v>0</v>
      </c>
      <c r="AJ129" s="47">
        <v>0</v>
      </c>
      <c r="AK129" s="47">
        <v>0</v>
      </c>
      <c r="AL129">
        <v>4</v>
      </c>
      <c r="AM129">
        <v>0</v>
      </c>
      <c r="AN129">
        <v>6</v>
      </c>
      <c r="AO129">
        <v>3</v>
      </c>
      <c r="AP129">
        <v>15</v>
      </c>
      <c r="AQ129">
        <v>4</v>
      </c>
      <c r="AR129">
        <v>3</v>
      </c>
      <c r="AS129">
        <v>0</v>
      </c>
      <c r="AT129" t="s">
        <v>23227</v>
      </c>
      <c r="AU129" t="s">
        <v>193</v>
      </c>
      <c r="AV129">
        <v>0.63500000000000001</v>
      </c>
      <c r="AW129" t="s">
        <v>65</v>
      </c>
      <c r="AX129">
        <v>18</v>
      </c>
      <c r="AY129">
        <v>4</v>
      </c>
      <c r="AZ129" t="s">
        <v>23228</v>
      </c>
      <c r="BA129">
        <v>7.3679999999999995E-2</v>
      </c>
      <c r="BB129">
        <v>-0.01</v>
      </c>
      <c r="BC129">
        <v>4.9800000000000001E-3</v>
      </c>
      <c r="BD129">
        <v>-1.1800000000000001E-3</v>
      </c>
      <c r="BE129">
        <v>6.7650000000000002E-2</v>
      </c>
      <c r="BF129">
        <v>1</v>
      </c>
      <c r="BG129" t="s">
        <v>69</v>
      </c>
      <c r="BH129">
        <v>-1.913</v>
      </c>
      <c r="BI129">
        <v>-0.38700000000000001</v>
      </c>
    </row>
    <row r="130" spans="3:61">
      <c r="C130">
        <v>0</v>
      </c>
      <c r="D130">
        <v>0</v>
      </c>
      <c r="E130">
        <v>0</v>
      </c>
      <c r="F130" t="s">
        <v>25021</v>
      </c>
      <c r="G130">
        <v>2580</v>
      </c>
      <c r="H130" t="s">
        <v>15102</v>
      </c>
      <c r="I130" t="s">
        <v>57</v>
      </c>
      <c r="J130">
        <v>2564638</v>
      </c>
      <c r="K130">
        <v>2564880</v>
      </c>
      <c r="L130" t="s">
        <v>116</v>
      </c>
      <c r="M130">
        <v>81</v>
      </c>
      <c r="N130" t="s">
        <v>59</v>
      </c>
      <c r="O130">
        <v>49</v>
      </c>
      <c r="P130" t="str">
        <f>HYPERLINK("Gene2580-zp_tree_all.dnd", "Gene2580-tree")</f>
        <v>Gene2580-tree</v>
      </c>
      <c r="Q130">
        <v>7</v>
      </c>
      <c r="R130">
        <v>3</v>
      </c>
      <c r="S130">
        <v>7</v>
      </c>
      <c r="T130">
        <v>3</v>
      </c>
      <c r="U130">
        <v>0.3</v>
      </c>
      <c r="V130" t="s">
        <v>152</v>
      </c>
      <c r="W130" t="s">
        <v>324</v>
      </c>
      <c r="X130" t="s">
        <v>62</v>
      </c>
      <c r="Y130" t="s">
        <v>62</v>
      </c>
      <c r="Z130">
        <v>0</v>
      </c>
      <c r="AA130">
        <v>0</v>
      </c>
      <c r="AB130">
        <v>3</v>
      </c>
      <c r="AC130">
        <v>0</v>
      </c>
      <c r="AD130" s="47">
        <v>0</v>
      </c>
      <c r="AE130" s="47">
        <v>0</v>
      </c>
      <c r="AF130" s="47">
        <v>0</v>
      </c>
      <c r="AG130" s="47">
        <v>0</v>
      </c>
      <c r="AH130" s="47">
        <v>0</v>
      </c>
      <c r="AI130" s="47">
        <v>0</v>
      </c>
      <c r="AJ130" s="47">
        <v>0</v>
      </c>
      <c r="AK130" s="47">
        <v>0</v>
      </c>
      <c r="AL130">
        <v>3</v>
      </c>
      <c r="AM130">
        <v>0</v>
      </c>
      <c r="AN130">
        <v>7</v>
      </c>
      <c r="AO130">
        <v>5</v>
      </c>
      <c r="AP130">
        <v>6</v>
      </c>
      <c r="AQ130">
        <v>2</v>
      </c>
      <c r="AR130">
        <v>9</v>
      </c>
      <c r="AS130">
        <v>1</v>
      </c>
      <c r="AT130" t="s">
        <v>15103</v>
      </c>
      <c r="AU130" t="s">
        <v>15104</v>
      </c>
      <c r="AV130">
        <v>0.50600000000000001</v>
      </c>
      <c r="AW130" t="s">
        <v>65</v>
      </c>
      <c r="AX130">
        <v>15</v>
      </c>
      <c r="AY130">
        <v>3</v>
      </c>
      <c r="AZ130" t="s">
        <v>15105</v>
      </c>
      <c r="BA130">
        <v>9.0459999999999999E-2</v>
      </c>
      <c r="BB130">
        <v>-7.3200000000000001E-3</v>
      </c>
      <c r="BC130">
        <v>4.0600000000000002E-3</v>
      </c>
      <c r="BD130">
        <v>-6.6E-4</v>
      </c>
      <c r="BE130">
        <v>4.487E-2</v>
      </c>
      <c r="BF130">
        <v>1</v>
      </c>
      <c r="BG130" t="s">
        <v>69</v>
      </c>
      <c r="BH130">
        <v>-1.4990000000000001</v>
      </c>
      <c r="BI130">
        <v>-1.173</v>
      </c>
    </row>
    <row r="131" spans="3:61">
      <c r="C131">
        <v>0</v>
      </c>
      <c r="D131">
        <v>0</v>
      </c>
      <c r="E131">
        <v>0</v>
      </c>
      <c r="F131" t="s">
        <v>25021</v>
      </c>
      <c r="G131">
        <v>2751</v>
      </c>
      <c r="H131" t="s">
        <v>15797</v>
      </c>
      <c r="I131" t="s">
        <v>57</v>
      </c>
      <c r="J131">
        <v>2706534</v>
      </c>
      <c r="K131">
        <v>2706779</v>
      </c>
      <c r="L131" t="s">
        <v>15798</v>
      </c>
      <c r="M131">
        <v>82</v>
      </c>
      <c r="N131" t="s">
        <v>15778</v>
      </c>
      <c r="O131">
        <v>29</v>
      </c>
      <c r="P131" t="str">
        <f>HYPERLINK("Gene2751-zp_tree_all.dnd", "Gene2751-tree")</f>
        <v>Gene2751-tree</v>
      </c>
      <c r="Q131">
        <v>0</v>
      </c>
      <c r="R131">
        <v>4</v>
      </c>
      <c r="S131">
        <v>0</v>
      </c>
      <c r="T131">
        <v>4</v>
      </c>
      <c r="U131">
        <v>1</v>
      </c>
      <c r="V131" t="s">
        <v>62</v>
      </c>
      <c r="W131" t="s">
        <v>61</v>
      </c>
      <c r="X131" t="s">
        <v>62</v>
      </c>
      <c r="Y131" t="s">
        <v>62</v>
      </c>
      <c r="Z131">
        <v>0</v>
      </c>
      <c r="AA131">
        <v>0</v>
      </c>
      <c r="AB131">
        <v>4</v>
      </c>
      <c r="AC131">
        <v>0</v>
      </c>
      <c r="AD131" s="47">
        <v>0</v>
      </c>
      <c r="AE131" s="47">
        <v>0</v>
      </c>
      <c r="AF131" s="47">
        <v>0</v>
      </c>
      <c r="AG131" s="47">
        <v>0</v>
      </c>
      <c r="AH131" s="47">
        <v>0</v>
      </c>
      <c r="AI131" s="47">
        <v>0</v>
      </c>
      <c r="AJ131" s="47">
        <v>0</v>
      </c>
      <c r="AK131" s="47">
        <v>0</v>
      </c>
      <c r="AL131">
        <v>4</v>
      </c>
      <c r="AM131">
        <v>0</v>
      </c>
      <c r="AN131">
        <v>3</v>
      </c>
      <c r="AO131">
        <v>0</v>
      </c>
      <c r="AP131">
        <v>1</v>
      </c>
      <c r="AQ131">
        <v>4</v>
      </c>
      <c r="AR131">
        <v>0</v>
      </c>
      <c r="AS131">
        <v>0</v>
      </c>
      <c r="AT131" t="s">
        <v>15799</v>
      </c>
      <c r="AU131" t="s">
        <v>193</v>
      </c>
      <c r="AV131">
        <v>0.81499999999999995</v>
      </c>
      <c r="AW131" t="s">
        <v>65</v>
      </c>
      <c r="AX131">
        <v>1</v>
      </c>
      <c r="AY131">
        <v>4</v>
      </c>
      <c r="AZ131" t="s">
        <v>15800</v>
      </c>
      <c r="BA131">
        <v>9.3299999999999998E-3</v>
      </c>
      <c r="BB131">
        <v>-3.81E-3</v>
      </c>
      <c r="BC131">
        <v>1.09E-2</v>
      </c>
      <c r="BD131">
        <v>-1.83E-3</v>
      </c>
      <c r="BE131">
        <v>1.1683600000000001</v>
      </c>
      <c r="BF131">
        <v>0.17899999999999999</v>
      </c>
      <c r="BG131" t="s">
        <v>635</v>
      </c>
      <c r="BH131">
        <v>-1.24</v>
      </c>
      <c r="BI131">
        <v>-1.4630000000000001</v>
      </c>
    </row>
    <row r="132" spans="3:61">
      <c r="C132">
        <v>0</v>
      </c>
      <c r="D132">
        <v>0</v>
      </c>
      <c r="E132">
        <v>0</v>
      </c>
      <c r="F132" t="s">
        <v>25021</v>
      </c>
      <c r="G132">
        <v>1252</v>
      </c>
      <c r="H132" t="s">
        <v>7846</v>
      </c>
      <c r="I132" t="s">
        <v>62</v>
      </c>
      <c r="J132">
        <v>1280629</v>
      </c>
      <c r="K132">
        <v>1280874</v>
      </c>
      <c r="L132" t="s">
        <v>7847</v>
      </c>
      <c r="M132">
        <v>82</v>
      </c>
      <c r="N132" t="s">
        <v>7848</v>
      </c>
      <c r="O132">
        <v>29</v>
      </c>
      <c r="P132" t="str">
        <f>HYPERLINK("Gene1252-zp_tree_all.dnd", "Gene1252-tree")</f>
        <v>Gene1252-tree</v>
      </c>
      <c r="Q132">
        <v>3</v>
      </c>
      <c r="R132">
        <v>3</v>
      </c>
      <c r="S132">
        <v>3</v>
      </c>
      <c r="T132">
        <v>3</v>
      </c>
      <c r="U132">
        <v>0.5</v>
      </c>
      <c r="V132" t="s">
        <v>324</v>
      </c>
      <c r="W132" t="s">
        <v>324</v>
      </c>
      <c r="X132" t="s">
        <v>62</v>
      </c>
      <c r="Y132" t="s">
        <v>62</v>
      </c>
      <c r="Z132">
        <v>0</v>
      </c>
      <c r="AA132">
        <v>0</v>
      </c>
      <c r="AB132">
        <v>3</v>
      </c>
      <c r="AC132">
        <v>0</v>
      </c>
      <c r="AD132" s="47">
        <v>0</v>
      </c>
      <c r="AE132" s="47">
        <v>0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>
        <v>3</v>
      </c>
      <c r="AM132">
        <v>0</v>
      </c>
      <c r="AN132">
        <v>4</v>
      </c>
      <c r="AO132">
        <v>2</v>
      </c>
      <c r="AP132">
        <v>1</v>
      </c>
      <c r="AQ132">
        <v>3</v>
      </c>
      <c r="AR132">
        <v>3</v>
      </c>
      <c r="AS132">
        <v>0</v>
      </c>
      <c r="AT132" t="s">
        <v>7849</v>
      </c>
      <c r="AU132" t="s">
        <v>193</v>
      </c>
      <c r="AV132">
        <v>0.6</v>
      </c>
      <c r="AW132" t="s">
        <v>65</v>
      </c>
      <c r="AX132">
        <v>4</v>
      </c>
      <c r="AY132">
        <v>3</v>
      </c>
      <c r="AZ132" t="s">
        <v>7850</v>
      </c>
      <c r="BA132">
        <v>3.049E-2</v>
      </c>
      <c r="BB132">
        <v>-3.8600000000000001E-3</v>
      </c>
      <c r="BC132">
        <v>6.0600000000000003E-3</v>
      </c>
      <c r="BD132">
        <v>-9.8999999999999999E-4</v>
      </c>
      <c r="BE132">
        <v>0.19885</v>
      </c>
      <c r="BF132">
        <v>0.94199999999999995</v>
      </c>
      <c r="BG132" t="s">
        <v>635</v>
      </c>
      <c r="BH132">
        <v>-0.53400000000000003</v>
      </c>
      <c r="BI132">
        <v>-0.79700000000000004</v>
      </c>
    </row>
    <row r="133" spans="3:61">
      <c r="C133">
        <v>0</v>
      </c>
      <c r="D133">
        <v>0</v>
      </c>
      <c r="E133">
        <v>0</v>
      </c>
      <c r="F133" t="s">
        <v>25021</v>
      </c>
      <c r="G133">
        <v>2400</v>
      </c>
      <c r="H133" t="s">
        <v>13970</v>
      </c>
      <c r="I133" t="s">
        <v>57</v>
      </c>
      <c r="J133">
        <v>2409729</v>
      </c>
      <c r="K133">
        <v>2409974</v>
      </c>
      <c r="L133" t="s">
        <v>13971</v>
      </c>
      <c r="M133">
        <v>82</v>
      </c>
      <c r="N133" t="s">
        <v>59</v>
      </c>
      <c r="O133">
        <v>49</v>
      </c>
      <c r="P133" t="str">
        <f>HYPERLINK("Gene2400-zp_tree_all.dnd", "Gene2400-tree")</f>
        <v>Gene2400-tree</v>
      </c>
      <c r="Q133">
        <v>46</v>
      </c>
      <c r="R133">
        <v>1</v>
      </c>
      <c r="S133">
        <v>7</v>
      </c>
      <c r="T133">
        <v>1</v>
      </c>
      <c r="U133">
        <v>0.125</v>
      </c>
      <c r="V133" t="s">
        <v>950</v>
      </c>
      <c r="W133" t="s">
        <v>175</v>
      </c>
      <c r="X133" t="s">
        <v>62</v>
      </c>
      <c r="Y133" t="s">
        <v>62</v>
      </c>
      <c r="Z133">
        <v>0</v>
      </c>
      <c r="AA133">
        <v>0</v>
      </c>
      <c r="AB133">
        <v>1</v>
      </c>
      <c r="AC133">
        <v>0</v>
      </c>
      <c r="AD133" s="47">
        <v>0</v>
      </c>
      <c r="AE133" s="47">
        <v>0</v>
      </c>
      <c r="AF133" s="47">
        <v>0</v>
      </c>
      <c r="AG133" s="47">
        <v>0</v>
      </c>
      <c r="AH133" s="47">
        <v>0</v>
      </c>
      <c r="AI133" s="47">
        <v>0</v>
      </c>
      <c r="AJ133" s="47">
        <v>0</v>
      </c>
      <c r="AK133" s="47">
        <v>0</v>
      </c>
      <c r="AL133">
        <v>1</v>
      </c>
      <c r="AM133">
        <v>0</v>
      </c>
      <c r="AN133">
        <v>5</v>
      </c>
      <c r="AO133">
        <v>3</v>
      </c>
      <c r="AP133">
        <v>4</v>
      </c>
      <c r="AQ133">
        <v>1</v>
      </c>
      <c r="AR133">
        <v>4</v>
      </c>
      <c r="AS133">
        <v>0</v>
      </c>
      <c r="AT133" t="s">
        <v>13972</v>
      </c>
      <c r="AU133" t="s">
        <v>193</v>
      </c>
      <c r="AV133">
        <v>0.52600000000000002</v>
      </c>
      <c r="AW133" t="s">
        <v>65</v>
      </c>
      <c r="AX133">
        <v>8</v>
      </c>
      <c r="AY133">
        <v>1</v>
      </c>
      <c r="AZ133" t="s">
        <v>13973</v>
      </c>
      <c r="BA133">
        <v>5.7279999999999998E-2</v>
      </c>
      <c r="BB133">
        <v>-6.2500000000000003E-3</v>
      </c>
      <c r="BC133">
        <v>1.31E-3</v>
      </c>
      <c r="BD133">
        <v>-4.0999999999999999E-4</v>
      </c>
      <c r="BE133">
        <v>2.2859999999999998E-2</v>
      </c>
      <c r="BF133">
        <v>1</v>
      </c>
      <c r="BG133" t="s">
        <v>69</v>
      </c>
      <c r="BH133">
        <v>-1.671</v>
      </c>
      <c r="BI133">
        <v>-1.2729999999999999</v>
      </c>
    </row>
    <row r="134" spans="3:61">
      <c r="C134">
        <v>0</v>
      </c>
      <c r="D134">
        <v>2</v>
      </c>
      <c r="E134">
        <v>2</v>
      </c>
      <c r="F134" t="s">
        <v>25021</v>
      </c>
      <c r="G134">
        <v>2042</v>
      </c>
      <c r="H134" t="s">
        <v>12715</v>
      </c>
      <c r="I134" t="s">
        <v>57</v>
      </c>
      <c r="J134">
        <v>2134244</v>
      </c>
      <c r="K134">
        <v>2134492</v>
      </c>
      <c r="L134" t="s">
        <v>5691</v>
      </c>
      <c r="M134">
        <v>83</v>
      </c>
      <c r="N134" t="s">
        <v>11324</v>
      </c>
      <c r="O134">
        <v>46</v>
      </c>
      <c r="P134" t="str">
        <f>HYPERLINK("Gene2042-zp_tree_all.dnd", "Gene2042-tree")</f>
        <v>Gene2042-tree</v>
      </c>
      <c r="Q134">
        <v>30</v>
      </c>
      <c r="R134">
        <v>3</v>
      </c>
      <c r="S134">
        <v>6</v>
      </c>
      <c r="T134">
        <v>3</v>
      </c>
      <c r="U134">
        <v>0.33333000000000002</v>
      </c>
      <c r="V134" t="s">
        <v>12716</v>
      </c>
      <c r="W134" t="s">
        <v>324</v>
      </c>
      <c r="X134" t="s">
        <v>62</v>
      </c>
      <c r="Y134" t="s">
        <v>62</v>
      </c>
      <c r="Z134">
        <v>2</v>
      </c>
      <c r="AA134">
        <v>4</v>
      </c>
      <c r="AB134">
        <v>7</v>
      </c>
      <c r="AC134">
        <v>0.36364000000000002</v>
      </c>
      <c r="AD134" s="47">
        <v>0</v>
      </c>
      <c r="AE134" s="47">
        <v>0</v>
      </c>
      <c r="AF134" s="47">
        <v>0</v>
      </c>
      <c r="AG134" s="47">
        <v>0</v>
      </c>
      <c r="AH134" s="47">
        <v>0</v>
      </c>
      <c r="AI134" s="47">
        <v>0</v>
      </c>
      <c r="AJ134" s="47">
        <v>0</v>
      </c>
      <c r="AK134" s="47">
        <v>0</v>
      </c>
      <c r="AL134">
        <v>7</v>
      </c>
      <c r="AM134">
        <v>0</v>
      </c>
      <c r="AN134">
        <v>5</v>
      </c>
      <c r="AO134">
        <v>5</v>
      </c>
      <c r="AP134">
        <v>10</v>
      </c>
      <c r="AQ134">
        <v>6</v>
      </c>
      <c r="AR134">
        <v>8</v>
      </c>
      <c r="AS134">
        <v>6</v>
      </c>
      <c r="AT134" t="s">
        <v>12717</v>
      </c>
      <c r="AU134" t="s">
        <v>12718</v>
      </c>
      <c r="AV134">
        <v>0.18</v>
      </c>
      <c r="AW134" t="s">
        <v>65</v>
      </c>
      <c r="AX134">
        <v>18</v>
      </c>
      <c r="AY134">
        <v>12</v>
      </c>
      <c r="AZ134" t="s">
        <v>12719</v>
      </c>
      <c r="BA134">
        <v>9.0609999999999996E-2</v>
      </c>
      <c r="BB134">
        <v>-1.074E-2</v>
      </c>
      <c r="BC134">
        <v>2.0129999999999999E-2</v>
      </c>
      <c r="BD134">
        <v>-2.2599999999999999E-3</v>
      </c>
      <c r="BE134">
        <v>0.22212000000000001</v>
      </c>
      <c r="BF134">
        <v>1</v>
      </c>
      <c r="BG134" t="s">
        <v>69</v>
      </c>
      <c r="BH134">
        <v>-0.27300000000000002</v>
      </c>
      <c r="BI134">
        <v>-0.96199999999999997</v>
      </c>
    </row>
    <row r="135" spans="3:61">
      <c r="C135">
        <v>0</v>
      </c>
      <c r="D135">
        <v>0</v>
      </c>
      <c r="E135">
        <v>2</v>
      </c>
      <c r="F135" t="s">
        <v>25021</v>
      </c>
      <c r="G135">
        <v>2614</v>
      </c>
      <c r="H135" t="s">
        <v>15304</v>
      </c>
      <c r="I135" t="s">
        <v>57</v>
      </c>
      <c r="J135">
        <v>2593000</v>
      </c>
      <c r="K135">
        <v>2593251</v>
      </c>
      <c r="L135" t="s">
        <v>116</v>
      </c>
      <c r="M135">
        <v>84</v>
      </c>
      <c r="N135" t="s">
        <v>15305</v>
      </c>
      <c r="O135">
        <v>44</v>
      </c>
      <c r="P135" t="str">
        <f>HYPERLINK("Gene2614-zp_tree_all.dnd", "Gene2614-tree")</f>
        <v>Gene2614-tree</v>
      </c>
      <c r="Q135">
        <v>31</v>
      </c>
      <c r="R135">
        <v>3</v>
      </c>
      <c r="S135">
        <v>8</v>
      </c>
      <c r="T135">
        <v>3</v>
      </c>
      <c r="U135">
        <v>0.27272999999999997</v>
      </c>
      <c r="V135" t="s">
        <v>7249</v>
      </c>
      <c r="W135" t="s">
        <v>324</v>
      </c>
      <c r="X135" t="s">
        <v>62</v>
      </c>
      <c r="Y135" t="s">
        <v>62</v>
      </c>
      <c r="Z135">
        <v>1</v>
      </c>
      <c r="AA135">
        <v>2</v>
      </c>
      <c r="AB135">
        <v>2</v>
      </c>
      <c r="AC135">
        <v>0.5</v>
      </c>
      <c r="AD135" s="47">
        <v>0</v>
      </c>
      <c r="AE135" s="47">
        <v>0</v>
      </c>
      <c r="AF135" s="47">
        <v>0</v>
      </c>
      <c r="AG135" s="47">
        <v>0</v>
      </c>
      <c r="AH135" s="47">
        <v>0</v>
      </c>
      <c r="AI135" s="47">
        <v>0</v>
      </c>
      <c r="AJ135" s="47">
        <v>2</v>
      </c>
      <c r="AK135" s="47">
        <v>2</v>
      </c>
      <c r="AL135">
        <v>2</v>
      </c>
      <c r="AM135">
        <v>0.5</v>
      </c>
      <c r="AN135">
        <v>7</v>
      </c>
      <c r="AO135">
        <v>4</v>
      </c>
      <c r="AP135">
        <v>11</v>
      </c>
      <c r="AQ135">
        <v>2</v>
      </c>
      <c r="AR135">
        <v>12</v>
      </c>
      <c r="AS135">
        <v>2</v>
      </c>
      <c r="AT135" t="s">
        <v>15306</v>
      </c>
      <c r="AU135" t="s">
        <v>15307</v>
      </c>
      <c r="AV135">
        <v>5.7000000000000002E-2</v>
      </c>
      <c r="AW135" t="s">
        <v>65</v>
      </c>
      <c r="AX135">
        <v>23</v>
      </c>
      <c r="AY135">
        <v>4</v>
      </c>
      <c r="AZ135" t="s">
        <v>15308</v>
      </c>
      <c r="BA135">
        <v>0.12654000000000001</v>
      </c>
      <c r="BB135">
        <v>-1.074E-2</v>
      </c>
      <c r="BC135">
        <v>5.2300000000000003E-3</v>
      </c>
      <c r="BD135">
        <v>-8.4000000000000003E-4</v>
      </c>
      <c r="BE135">
        <v>4.1360000000000001E-2</v>
      </c>
      <c r="BF135">
        <v>1</v>
      </c>
      <c r="BG135" t="s">
        <v>69</v>
      </c>
      <c r="BH135">
        <v>-1.4910000000000001</v>
      </c>
      <c r="BI135">
        <v>-0.33300000000000002</v>
      </c>
    </row>
    <row r="136" spans="3:61">
      <c r="C136">
        <v>0</v>
      </c>
      <c r="D136">
        <v>0</v>
      </c>
      <c r="E136">
        <v>0</v>
      </c>
      <c r="F136" t="s">
        <v>25021</v>
      </c>
      <c r="G136">
        <v>1289</v>
      </c>
      <c r="H136" t="s">
        <v>8084</v>
      </c>
      <c r="I136" t="s">
        <v>62</v>
      </c>
      <c r="J136">
        <v>1317160</v>
      </c>
      <c r="K136">
        <v>1317414</v>
      </c>
      <c r="L136" t="s">
        <v>1340</v>
      </c>
      <c r="M136">
        <v>85</v>
      </c>
      <c r="N136" t="s">
        <v>8085</v>
      </c>
      <c r="O136">
        <v>35</v>
      </c>
      <c r="P136" t="str">
        <f>HYPERLINK("Gene1289-zp_tree_all.dnd", "Gene1289-tree")</f>
        <v>Gene1289-tree</v>
      </c>
      <c r="Q136">
        <v>6</v>
      </c>
      <c r="R136">
        <v>3</v>
      </c>
      <c r="S136">
        <v>6</v>
      </c>
      <c r="T136">
        <v>3</v>
      </c>
      <c r="U136">
        <v>0.33333000000000002</v>
      </c>
      <c r="V136" t="s">
        <v>90</v>
      </c>
      <c r="W136" t="s">
        <v>324</v>
      </c>
      <c r="X136" t="s">
        <v>62</v>
      </c>
      <c r="Y136" t="s">
        <v>62</v>
      </c>
      <c r="Z136">
        <v>0</v>
      </c>
      <c r="AA136">
        <v>0</v>
      </c>
      <c r="AB136">
        <v>4</v>
      </c>
      <c r="AC136">
        <v>0</v>
      </c>
      <c r="AD136" s="47">
        <v>0</v>
      </c>
      <c r="AE136" s="47">
        <v>0</v>
      </c>
      <c r="AF136" s="47">
        <v>0</v>
      </c>
      <c r="AG136" s="47">
        <v>0</v>
      </c>
      <c r="AH136" s="47">
        <v>0</v>
      </c>
      <c r="AI136" s="47">
        <v>0</v>
      </c>
      <c r="AJ136" s="47">
        <v>0</v>
      </c>
      <c r="AK136" s="47">
        <v>0</v>
      </c>
      <c r="AL136">
        <v>3</v>
      </c>
      <c r="AM136">
        <v>0</v>
      </c>
      <c r="AN136">
        <v>7</v>
      </c>
      <c r="AO136">
        <v>4</v>
      </c>
      <c r="AP136">
        <v>8</v>
      </c>
      <c r="AQ136">
        <v>3</v>
      </c>
      <c r="AR136">
        <v>4</v>
      </c>
      <c r="AS136">
        <v>1</v>
      </c>
      <c r="AT136" t="s">
        <v>8086</v>
      </c>
      <c r="AU136" t="s">
        <v>8087</v>
      </c>
      <c r="AV136">
        <v>0.26600000000000001</v>
      </c>
      <c r="AW136" t="s">
        <v>65</v>
      </c>
      <c r="AX136">
        <v>12</v>
      </c>
      <c r="AY136">
        <v>4</v>
      </c>
      <c r="AZ136" t="s">
        <v>8088</v>
      </c>
      <c r="BA136">
        <v>5.3789999999999998E-2</v>
      </c>
      <c r="BB136">
        <v>-4.7200000000000002E-3</v>
      </c>
      <c r="BC136">
        <v>5.3899999999999998E-3</v>
      </c>
      <c r="BD136">
        <v>-8.4999999999999995E-4</v>
      </c>
      <c r="BE136">
        <v>0.1002</v>
      </c>
      <c r="BF136">
        <v>1</v>
      </c>
      <c r="BG136" t="s">
        <v>69</v>
      </c>
      <c r="BH136">
        <v>-1.3340000000000001</v>
      </c>
      <c r="BI136">
        <v>-1.4730000000000001</v>
      </c>
    </row>
    <row r="137" spans="3:61">
      <c r="C137">
        <v>0</v>
      </c>
      <c r="D137">
        <v>0</v>
      </c>
      <c r="E137">
        <v>0</v>
      </c>
      <c r="F137" t="s">
        <v>25021</v>
      </c>
      <c r="G137">
        <v>445</v>
      </c>
      <c r="H137" t="s">
        <v>3023</v>
      </c>
      <c r="I137" t="s">
        <v>62</v>
      </c>
      <c r="J137">
        <v>492657</v>
      </c>
      <c r="K137">
        <v>492911</v>
      </c>
      <c r="L137" t="s">
        <v>116</v>
      </c>
      <c r="M137">
        <v>85</v>
      </c>
      <c r="N137" t="s">
        <v>108</v>
      </c>
      <c r="O137">
        <v>44</v>
      </c>
      <c r="P137" t="str">
        <f>HYPERLINK("Gene445-zp_tree_all.dnd", "Gene445-tree")</f>
        <v>Gene445-tree</v>
      </c>
      <c r="Q137">
        <v>10</v>
      </c>
      <c r="R137">
        <v>0</v>
      </c>
      <c r="S137">
        <v>10</v>
      </c>
      <c r="T137">
        <v>0</v>
      </c>
      <c r="U137">
        <v>0</v>
      </c>
      <c r="V137" t="s">
        <v>117</v>
      </c>
      <c r="W137" t="s">
        <v>62</v>
      </c>
      <c r="X137" t="s">
        <v>62</v>
      </c>
      <c r="Y137" t="s">
        <v>62</v>
      </c>
      <c r="Z137">
        <v>0</v>
      </c>
      <c r="AA137">
        <v>0</v>
      </c>
      <c r="AB137">
        <v>0</v>
      </c>
      <c r="AC137">
        <v>0</v>
      </c>
      <c r="AD137" s="47">
        <v>0</v>
      </c>
      <c r="AE137" s="47">
        <v>0</v>
      </c>
      <c r="AF137" s="47">
        <v>0</v>
      </c>
      <c r="AG137" s="47">
        <v>0</v>
      </c>
      <c r="AH137" s="47">
        <v>0</v>
      </c>
      <c r="AI137" s="47">
        <v>0</v>
      </c>
      <c r="AJ137" s="47">
        <v>0</v>
      </c>
      <c r="AK137" s="47">
        <v>0</v>
      </c>
      <c r="AL137">
        <v>0</v>
      </c>
      <c r="AM137">
        <v>0</v>
      </c>
      <c r="AN137">
        <v>6</v>
      </c>
      <c r="AO137">
        <v>4</v>
      </c>
      <c r="AP137">
        <v>6</v>
      </c>
      <c r="AQ137">
        <v>0</v>
      </c>
      <c r="AR137">
        <v>4</v>
      </c>
      <c r="AS137">
        <v>0</v>
      </c>
      <c r="AT137" t="s">
        <v>193</v>
      </c>
      <c r="AU137" t="s">
        <v>193</v>
      </c>
      <c r="AV137">
        <v>0</v>
      </c>
      <c r="AW137" t="s">
        <v>65</v>
      </c>
      <c r="AX137">
        <v>10</v>
      </c>
      <c r="AY137">
        <v>0</v>
      </c>
      <c r="AZ137" t="s">
        <v>3024</v>
      </c>
      <c r="BA137">
        <v>4.0910000000000002E-2</v>
      </c>
      <c r="BB137">
        <v>-2.6199999999999999E-3</v>
      </c>
      <c r="BC137">
        <v>0</v>
      </c>
      <c r="BD137">
        <v>0</v>
      </c>
      <c r="BE137">
        <v>0</v>
      </c>
      <c r="BF137">
        <v>1</v>
      </c>
      <c r="BG137" t="s">
        <v>69</v>
      </c>
      <c r="BH137">
        <v>0.315</v>
      </c>
      <c r="BI137">
        <v>-2.5449999999999999</v>
      </c>
    </row>
    <row r="138" spans="3:61">
      <c r="C138">
        <v>0</v>
      </c>
      <c r="D138">
        <v>0</v>
      </c>
      <c r="E138">
        <v>0</v>
      </c>
      <c r="F138" t="s">
        <v>25021</v>
      </c>
      <c r="G138">
        <v>1831</v>
      </c>
      <c r="H138" t="s">
        <v>11477</v>
      </c>
      <c r="I138" t="s">
        <v>62</v>
      </c>
      <c r="J138">
        <v>1901120</v>
      </c>
      <c r="K138">
        <v>1901377</v>
      </c>
      <c r="L138" t="s">
        <v>3688</v>
      </c>
      <c r="M138">
        <v>86</v>
      </c>
      <c r="N138" t="s">
        <v>11478</v>
      </c>
      <c r="O138">
        <v>28</v>
      </c>
      <c r="P138" t="str">
        <f>HYPERLINK("Gene1831-zp_tree_all.dnd", "Gene1831-tree")</f>
        <v>Gene1831-tree</v>
      </c>
      <c r="Q138">
        <v>4</v>
      </c>
      <c r="R138">
        <v>1</v>
      </c>
      <c r="S138">
        <v>4</v>
      </c>
      <c r="T138">
        <v>1</v>
      </c>
      <c r="U138">
        <v>0.2</v>
      </c>
      <c r="V138" t="s">
        <v>61</v>
      </c>
      <c r="W138" t="s">
        <v>175</v>
      </c>
      <c r="X138" t="s">
        <v>62</v>
      </c>
      <c r="Y138" t="s">
        <v>62</v>
      </c>
      <c r="Z138">
        <v>0</v>
      </c>
      <c r="AA138">
        <v>0</v>
      </c>
      <c r="AB138">
        <v>2</v>
      </c>
      <c r="AC138">
        <v>0</v>
      </c>
      <c r="AD138" s="47">
        <v>0</v>
      </c>
      <c r="AE138" s="47">
        <v>0</v>
      </c>
      <c r="AF138" s="47">
        <v>0</v>
      </c>
      <c r="AG138" s="47">
        <v>0</v>
      </c>
      <c r="AH138" s="47">
        <v>0</v>
      </c>
      <c r="AI138" s="47">
        <v>0</v>
      </c>
      <c r="AJ138" s="47">
        <v>0</v>
      </c>
      <c r="AK138" s="47">
        <v>0</v>
      </c>
      <c r="AL138">
        <v>2</v>
      </c>
      <c r="AM138">
        <v>0</v>
      </c>
      <c r="AN138">
        <v>4</v>
      </c>
      <c r="AO138">
        <v>0</v>
      </c>
      <c r="AP138">
        <v>4</v>
      </c>
      <c r="AQ138">
        <v>2</v>
      </c>
      <c r="AR138">
        <v>0</v>
      </c>
      <c r="AS138">
        <v>0</v>
      </c>
      <c r="AT138" t="s">
        <v>11479</v>
      </c>
      <c r="AU138" t="s">
        <v>193</v>
      </c>
      <c r="AV138">
        <v>0.56999999999999995</v>
      </c>
      <c r="AW138" t="s">
        <v>65</v>
      </c>
      <c r="AX138">
        <v>4</v>
      </c>
      <c r="AY138">
        <v>2</v>
      </c>
      <c r="AZ138" t="s">
        <v>11480</v>
      </c>
      <c r="BA138">
        <v>3.4270000000000002E-2</v>
      </c>
      <c r="BB138">
        <v>-6.3099999999999996E-3</v>
      </c>
      <c r="BC138">
        <v>3.8400000000000001E-3</v>
      </c>
      <c r="BD138">
        <v>-1.49E-3</v>
      </c>
      <c r="BE138">
        <v>0.11196</v>
      </c>
      <c r="BF138">
        <v>0.97399999999999998</v>
      </c>
      <c r="BG138" t="s">
        <v>69</v>
      </c>
      <c r="BH138">
        <v>-0.59699999999999998</v>
      </c>
      <c r="BI138">
        <v>1.22</v>
      </c>
    </row>
    <row r="139" spans="3:61">
      <c r="C139">
        <v>0</v>
      </c>
      <c r="D139">
        <v>0</v>
      </c>
      <c r="E139">
        <v>0</v>
      </c>
      <c r="F139" t="s">
        <v>25021</v>
      </c>
      <c r="G139">
        <v>210</v>
      </c>
      <c r="H139" t="s">
        <v>1432</v>
      </c>
      <c r="I139" t="s">
        <v>62</v>
      </c>
      <c r="J139">
        <v>230822</v>
      </c>
      <c r="K139">
        <v>231079</v>
      </c>
      <c r="L139" t="s">
        <v>116</v>
      </c>
      <c r="M139">
        <v>86</v>
      </c>
      <c r="N139" t="s">
        <v>1433</v>
      </c>
      <c r="O139">
        <v>38</v>
      </c>
      <c r="P139" t="str">
        <f>HYPERLINK("Gene210-zp_tree_all.dnd", "Gene210-tree")</f>
        <v>Gene210-tree</v>
      </c>
      <c r="Q139">
        <v>7</v>
      </c>
      <c r="R139">
        <v>4</v>
      </c>
      <c r="S139">
        <v>7</v>
      </c>
      <c r="T139">
        <v>4</v>
      </c>
      <c r="U139">
        <v>0.36364000000000002</v>
      </c>
      <c r="V139" t="s">
        <v>152</v>
      </c>
      <c r="W139" t="s">
        <v>61</v>
      </c>
      <c r="X139" t="s">
        <v>62</v>
      </c>
      <c r="Y139" t="s">
        <v>62</v>
      </c>
      <c r="Z139">
        <v>0</v>
      </c>
      <c r="AA139">
        <v>0</v>
      </c>
      <c r="AB139">
        <v>8</v>
      </c>
      <c r="AC139">
        <v>0</v>
      </c>
      <c r="AD139" s="47">
        <v>0</v>
      </c>
      <c r="AE139" s="47">
        <v>0</v>
      </c>
      <c r="AF139" s="47">
        <v>0</v>
      </c>
      <c r="AG139" s="47">
        <v>0</v>
      </c>
      <c r="AH139" s="47">
        <v>0</v>
      </c>
      <c r="AI139" s="47">
        <v>0</v>
      </c>
      <c r="AJ139" s="47">
        <v>0</v>
      </c>
      <c r="AK139" s="47">
        <v>0</v>
      </c>
      <c r="AL139">
        <v>8</v>
      </c>
      <c r="AM139">
        <v>0</v>
      </c>
      <c r="AN139">
        <v>7</v>
      </c>
      <c r="AO139">
        <v>5</v>
      </c>
      <c r="AP139">
        <v>13</v>
      </c>
      <c r="AQ139">
        <v>8</v>
      </c>
      <c r="AR139">
        <v>5</v>
      </c>
      <c r="AS139">
        <v>0</v>
      </c>
      <c r="AT139" t="s">
        <v>1434</v>
      </c>
      <c r="AU139" t="s">
        <v>193</v>
      </c>
      <c r="AV139">
        <v>1.052</v>
      </c>
      <c r="AW139" t="s">
        <v>65</v>
      </c>
      <c r="AX139">
        <v>18</v>
      </c>
      <c r="AY139">
        <v>8</v>
      </c>
      <c r="AZ139" t="s">
        <v>1435</v>
      </c>
      <c r="BA139">
        <v>8.3019999999999997E-2</v>
      </c>
      <c r="BB139">
        <v>-7.3299999999999997E-3</v>
      </c>
      <c r="BC139">
        <v>7.2100000000000003E-3</v>
      </c>
      <c r="BD139">
        <v>-1.09E-3</v>
      </c>
      <c r="BE139">
        <v>8.6900000000000005E-2</v>
      </c>
      <c r="BF139">
        <v>1</v>
      </c>
      <c r="BG139" t="s">
        <v>69</v>
      </c>
      <c r="BH139">
        <v>-2.06</v>
      </c>
      <c r="BI139">
        <v>-3.5449999999999999</v>
      </c>
    </row>
    <row r="140" spans="3:61">
      <c r="C140">
        <v>0</v>
      </c>
      <c r="D140">
        <v>2</v>
      </c>
      <c r="E140">
        <v>2</v>
      </c>
      <c r="F140" t="s">
        <v>25021</v>
      </c>
      <c r="G140">
        <v>1955</v>
      </c>
      <c r="H140" t="s">
        <v>12242</v>
      </c>
      <c r="I140" t="s">
        <v>57</v>
      </c>
      <c r="J140">
        <v>2050689</v>
      </c>
      <c r="K140">
        <v>2050949</v>
      </c>
      <c r="L140" t="s">
        <v>12243</v>
      </c>
      <c r="M140">
        <v>87</v>
      </c>
      <c r="N140" t="s">
        <v>12244</v>
      </c>
      <c r="O140">
        <v>37</v>
      </c>
      <c r="P140" t="str">
        <f>HYPERLINK("Gene1955-zp_tree_all.dnd", "Gene1955-tree")</f>
        <v>Gene1955-tree</v>
      </c>
      <c r="Q140">
        <v>0</v>
      </c>
      <c r="R140">
        <v>8</v>
      </c>
      <c r="S140">
        <v>0</v>
      </c>
      <c r="T140">
        <v>8</v>
      </c>
      <c r="U140">
        <v>1</v>
      </c>
      <c r="V140" t="s">
        <v>62</v>
      </c>
      <c r="W140" t="s">
        <v>136</v>
      </c>
      <c r="X140" t="s">
        <v>62</v>
      </c>
      <c r="Y140" t="s">
        <v>62</v>
      </c>
      <c r="Z140">
        <v>2</v>
      </c>
      <c r="AA140">
        <v>4</v>
      </c>
      <c r="AB140">
        <v>9</v>
      </c>
      <c r="AC140">
        <v>0.30769000000000002</v>
      </c>
      <c r="AD140" s="47">
        <v>0</v>
      </c>
      <c r="AE140" s="47">
        <v>0</v>
      </c>
      <c r="AF140" s="47">
        <v>0</v>
      </c>
      <c r="AG140" s="47">
        <v>0</v>
      </c>
      <c r="AH140" s="47">
        <v>0</v>
      </c>
      <c r="AI140" s="47">
        <v>2</v>
      </c>
      <c r="AJ140" s="47">
        <v>2</v>
      </c>
      <c r="AK140" s="47">
        <v>4</v>
      </c>
      <c r="AL140">
        <v>9</v>
      </c>
      <c r="AM140">
        <v>0.30769000000000002</v>
      </c>
      <c r="AN140">
        <v>6</v>
      </c>
      <c r="AO140">
        <v>3</v>
      </c>
      <c r="AP140">
        <v>5</v>
      </c>
      <c r="AQ140">
        <v>10</v>
      </c>
      <c r="AR140">
        <v>1</v>
      </c>
      <c r="AS140">
        <v>3</v>
      </c>
      <c r="AT140" t="s">
        <v>12245</v>
      </c>
      <c r="AU140" t="s">
        <v>12246</v>
      </c>
      <c r="AV140">
        <v>0.215</v>
      </c>
      <c r="AW140" t="s">
        <v>65</v>
      </c>
      <c r="AX140">
        <v>6</v>
      </c>
      <c r="AY140">
        <v>13</v>
      </c>
      <c r="AZ140" t="s">
        <v>12247</v>
      </c>
      <c r="BA140">
        <v>0.03</v>
      </c>
      <c r="BB140">
        <v>-3.3899999999999998E-3</v>
      </c>
      <c r="BC140">
        <v>1.8579999999999999E-2</v>
      </c>
      <c r="BD140">
        <v>-1.2899999999999999E-3</v>
      </c>
      <c r="BE140">
        <v>0.61924000000000001</v>
      </c>
      <c r="BF140">
        <v>0.77</v>
      </c>
      <c r="BG140" t="s">
        <v>635</v>
      </c>
      <c r="BH140">
        <v>-0.52500000000000002</v>
      </c>
      <c r="BI140">
        <v>0.158</v>
      </c>
    </row>
    <row r="141" spans="3:61">
      <c r="C141">
        <v>0</v>
      </c>
      <c r="D141">
        <v>4</v>
      </c>
      <c r="E141">
        <v>6</v>
      </c>
      <c r="F141" t="s">
        <v>25021</v>
      </c>
      <c r="G141">
        <v>2801</v>
      </c>
      <c r="H141" t="s">
        <v>16059</v>
      </c>
      <c r="I141" t="s">
        <v>57</v>
      </c>
      <c r="J141">
        <v>2749260</v>
      </c>
      <c r="K141">
        <v>2749520</v>
      </c>
      <c r="L141" t="s">
        <v>116</v>
      </c>
      <c r="M141">
        <v>87</v>
      </c>
      <c r="N141" t="s">
        <v>16060</v>
      </c>
      <c r="O141">
        <v>47</v>
      </c>
      <c r="P141" t="str">
        <f>HYPERLINK("Gene2801-zp_tree_all.dnd", "Gene2801-tree")</f>
        <v>Gene2801-tree</v>
      </c>
      <c r="Q141">
        <v>3</v>
      </c>
      <c r="R141">
        <v>8</v>
      </c>
      <c r="S141">
        <v>3</v>
      </c>
      <c r="T141">
        <v>8</v>
      </c>
      <c r="U141">
        <v>0.72726999999999997</v>
      </c>
      <c r="V141" t="s">
        <v>324</v>
      </c>
      <c r="W141" t="s">
        <v>136</v>
      </c>
      <c r="X141" t="s">
        <v>62</v>
      </c>
      <c r="Y141" t="s">
        <v>62</v>
      </c>
      <c r="Z141">
        <v>4</v>
      </c>
      <c r="AA141">
        <v>10</v>
      </c>
      <c r="AB141">
        <v>7</v>
      </c>
      <c r="AC141">
        <v>0.58823999999999999</v>
      </c>
      <c r="AD141" s="47">
        <v>0</v>
      </c>
      <c r="AE141" s="47">
        <v>0</v>
      </c>
      <c r="AF141" s="47">
        <v>0</v>
      </c>
      <c r="AG141" s="47">
        <v>1</v>
      </c>
      <c r="AH141" s="47">
        <v>0</v>
      </c>
      <c r="AI141" s="47">
        <v>4</v>
      </c>
      <c r="AJ141" s="47">
        <v>2</v>
      </c>
      <c r="AK141" s="47">
        <v>6</v>
      </c>
      <c r="AL141">
        <v>6</v>
      </c>
      <c r="AM141">
        <v>0.5</v>
      </c>
      <c r="AN141">
        <v>8</v>
      </c>
      <c r="AO141">
        <v>5</v>
      </c>
      <c r="AP141">
        <v>8</v>
      </c>
      <c r="AQ141">
        <v>9</v>
      </c>
      <c r="AR141">
        <v>4</v>
      </c>
      <c r="AS141">
        <v>9</v>
      </c>
      <c r="AT141" t="s">
        <v>16061</v>
      </c>
      <c r="AU141" t="s">
        <v>16062</v>
      </c>
      <c r="AV141">
        <v>0.44500000000000001</v>
      </c>
      <c r="AW141" t="s">
        <v>65</v>
      </c>
      <c r="AX141">
        <v>12</v>
      </c>
      <c r="AY141">
        <v>18</v>
      </c>
      <c r="AZ141" t="s">
        <v>16063</v>
      </c>
      <c r="BA141">
        <v>5.0450000000000002E-2</v>
      </c>
      <c r="BB141">
        <v>-4.7000000000000002E-3</v>
      </c>
      <c r="BC141">
        <v>2.3439999999999999E-2</v>
      </c>
      <c r="BD141">
        <v>-1.58E-3</v>
      </c>
      <c r="BE141">
        <v>0.46466000000000002</v>
      </c>
      <c r="BF141">
        <v>0.92</v>
      </c>
      <c r="BG141" t="s">
        <v>635</v>
      </c>
      <c r="BH141">
        <v>-1.498</v>
      </c>
      <c r="BI141">
        <v>-1.847</v>
      </c>
    </row>
    <row r="142" spans="3:61">
      <c r="C142">
        <v>0</v>
      </c>
      <c r="D142">
        <v>3</v>
      </c>
      <c r="E142">
        <v>0</v>
      </c>
      <c r="F142" t="s">
        <v>25021</v>
      </c>
      <c r="G142">
        <v>4031</v>
      </c>
      <c r="H142" t="s">
        <v>23729</v>
      </c>
      <c r="I142" t="s">
        <v>57</v>
      </c>
      <c r="J142">
        <v>3996829</v>
      </c>
      <c r="K142">
        <v>3997089</v>
      </c>
      <c r="L142" t="s">
        <v>116</v>
      </c>
      <c r="M142">
        <v>87</v>
      </c>
      <c r="N142" t="s">
        <v>289</v>
      </c>
      <c r="O142">
        <v>46</v>
      </c>
      <c r="P142" t="str">
        <f>HYPERLINK("Gene4031-zp_tree_all.dnd", "Gene4031-tree")</f>
        <v>Gene4031-tree</v>
      </c>
      <c r="Q142">
        <v>5</v>
      </c>
      <c r="R142">
        <v>4</v>
      </c>
      <c r="S142">
        <v>5</v>
      </c>
      <c r="T142">
        <v>4</v>
      </c>
      <c r="U142">
        <v>0.44444</v>
      </c>
      <c r="V142" t="s">
        <v>199</v>
      </c>
      <c r="W142" t="s">
        <v>61</v>
      </c>
      <c r="X142" t="s">
        <v>62</v>
      </c>
      <c r="Y142" t="s">
        <v>62</v>
      </c>
      <c r="Z142">
        <v>1</v>
      </c>
      <c r="AA142">
        <v>3</v>
      </c>
      <c r="AB142">
        <v>6</v>
      </c>
      <c r="AC142">
        <v>0.33333000000000002</v>
      </c>
      <c r="AD142" s="47">
        <v>0</v>
      </c>
      <c r="AE142" s="47">
        <v>0</v>
      </c>
      <c r="AF142" s="47">
        <v>0</v>
      </c>
      <c r="AG142" s="47">
        <v>3</v>
      </c>
      <c r="AH142" s="47">
        <v>0</v>
      </c>
      <c r="AI142" s="47">
        <v>2</v>
      </c>
      <c r="AJ142" s="47">
        <v>0</v>
      </c>
      <c r="AK142" s="47">
        <v>2</v>
      </c>
      <c r="AL142">
        <v>3</v>
      </c>
      <c r="AM142">
        <v>0.4</v>
      </c>
      <c r="AN142">
        <v>6</v>
      </c>
      <c r="AO142">
        <v>3</v>
      </c>
      <c r="AP142">
        <v>3</v>
      </c>
      <c r="AQ142">
        <v>5</v>
      </c>
      <c r="AR142">
        <v>6</v>
      </c>
      <c r="AS142">
        <v>4</v>
      </c>
      <c r="AT142" t="s">
        <v>23730</v>
      </c>
      <c r="AU142" t="s">
        <v>23731</v>
      </c>
      <c r="AV142">
        <v>0.746</v>
      </c>
      <c r="AW142" t="s">
        <v>65</v>
      </c>
      <c r="AX142">
        <v>9</v>
      </c>
      <c r="AY142">
        <v>9</v>
      </c>
      <c r="AZ142" t="s">
        <v>23732</v>
      </c>
      <c r="BA142">
        <v>5.8959999999999999E-2</v>
      </c>
      <c r="BB142">
        <v>-8.4700000000000001E-3</v>
      </c>
      <c r="BC142">
        <v>1.2670000000000001E-2</v>
      </c>
      <c r="BD142">
        <v>-1.16E-3</v>
      </c>
      <c r="BE142">
        <v>0.21498999999999999</v>
      </c>
      <c r="BF142">
        <v>0.99</v>
      </c>
      <c r="BG142" t="s">
        <v>69</v>
      </c>
      <c r="BH142">
        <v>-1.7130000000000001</v>
      </c>
      <c r="BI142">
        <v>-0.11899999999999999</v>
      </c>
    </row>
    <row r="143" spans="3:61">
      <c r="C143">
        <v>0</v>
      </c>
      <c r="D143">
        <v>0</v>
      </c>
      <c r="E143">
        <v>0</v>
      </c>
      <c r="F143" t="s">
        <v>25021</v>
      </c>
      <c r="G143">
        <v>3949</v>
      </c>
      <c r="H143" t="s">
        <v>23192</v>
      </c>
      <c r="I143" t="s">
        <v>57</v>
      </c>
      <c r="J143">
        <v>3914009</v>
      </c>
      <c r="K143">
        <v>3914269</v>
      </c>
      <c r="L143" t="s">
        <v>23193</v>
      </c>
      <c r="M143">
        <v>87</v>
      </c>
      <c r="N143" t="s">
        <v>59</v>
      </c>
      <c r="O143">
        <v>49</v>
      </c>
      <c r="P143" t="str">
        <f>HYPERLINK("Gene3949-zp_tree_all.dnd", "Gene3949-tree")</f>
        <v>Gene3949-tree</v>
      </c>
      <c r="Q143">
        <v>13</v>
      </c>
      <c r="R143">
        <v>0</v>
      </c>
      <c r="S143">
        <v>13</v>
      </c>
      <c r="T143">
        <v>0</v>
      </c>
      <c r="U143">
        <v>0</v>
      </c>
      <c r="V143" t="s">
        <v>507</v>
      </c>
      <c r="W143" t="s">
        <v>62</v>
      </c>
      <c r="X143" t="s">
        <v>62</v>
      </c>
      <c r="Y143" t="s">
        <v>62</v>
      </c>
      <c r="Z143">
        <v>0</v>
      </c>
      <c r="AA143">
        <v>0</v>
      </c>
      <c r="AB143">
        <v>0</v>
      </c>
      <c r="AC143">
        <v>0</v>
      </c>
      <c r="AD143" s="47">
        <v>0</v>
      </c>
      <c r="AE143" s="47">
        <v>0</v>
      </c>
      <c r="AF143" s="47">
        <v>0</v>
      </c>
      <c r="AG143" s="47">
        <v>0</v>
      </c>
      <c r="AH143" s="47">
        <v>0</v>
      </c>
      <c r="AI143" s="47">
        <v>0</v>
      </c>
      <c r="AJ143" s="47">
        <v>0</v>
      </c>
      <c r="AK143" s="47">
        <v>0</v>
      </c>
      <c r="AL143">
        <v>0</v>
      </c>
      <c r="AM143">
        <v>0</v>
      </c>
      <c r="AN143">
        <v>8</v>
      </c>
      <c r="AO143">
        <v>7</v>
      </c>
      <c r="AP143">
        <v>14</v>
      </c>
      <c r="AQ143">
        <v>0</v>
      </c>
      <c r="AR143">
        <v>10</v>
      </c>
      <c r="AS143">
        <v>0</v>
      </c>
      <c r="AT143" t="s">
        <v>193</v>
      </c>
      <c r="AU143" t="s">
        <v>193</v>
      </c>
      <c r="AV143">
        <v>0</v>
      </c>
      <c r="AW143" t="s">
        <v>65</v>
      </c>
      <c r="AX143">
        <v>24</v>
      </c>
      <c r="AY143">
        <v>0</v>
      </c>
      <c r="AZ143" t="s">
        <v>23194</v>
      </c>
      <c r="BA143">
        <v>9.1300000000000006E-2</v>
      </c>
      <c r="BB143">
        <v>-5.4299999999999999E-3</v>
      </c>
      <c r="BC143">
        <v>0</v>
      </c>
      <c r="BD143">
        <v>0</v>
      </c>
      <c r="BE143">
        <v>0</v>
      </c>
      <c r="BF143">
        <v>1</v>
      </c>
      <c r="BG143" t="s">
        <v>69</v>
      </c>
      <c r="BH143">
        <v>-1.2150000000000001</v>
      </c>
      <c r="BI143">
        <v>-2.3450000000000002</v>
      </c>
    </row>
    <row r="144" spans="3:61">
      <c r="C144">
        <v>0</v>
      </c>
      <c r="D144">
        <v>0</v>
      </c>
      <c r="E144">
        <v>0</v>
      </c>
      <c r="F144" t="s">
        <v>25021</v>
      </c>
      <c r="G144">
        <v>2658</v>
      </c>
      <c r="H144" t="s">
        <v>15582</v>
      </c>
      <c r="I144" t="s">
        <v>57</v>
      </c>
      <c r="J144">
        <v>2635815</v>
      </c>
      <c r="K144">
        <v>2636078</v>
      </c>
      <c r="L144" t="s">
        <v>15583</v>
      </c>
      <c r="M144">
        <v>88</v>
      </c>
      <c r="N144" t="s">
        <v>515</v>
      </c>
      <c r="O144">
        <v>51</v>
      </c>
      <c r="P144" t="str">
        <f>HYPERLINK("Gene2658-zp_tree_all.dnd", "Gene2658-tree")</f>
        <v>Gene2658-tree</v>
      </c>
      <c r="Q144">
        <v>3</v>
      </c>
      <c r="R144">
        <v>2</v>
      </c>
      <c r="S144">
        <v>3</v>
      </c>
      <c r="T144">
        <v>2</v>
      </c>
      <c r="U144">
        <v>0.4</v>
      </c>
      <c r="V144" t="s">
        <v>324</v>
      </c>
      <c r="W144" t="s">
        <v>81</v>
      </c>
      <c r="X144" t="s">
        <v>62</v>
      </c>
      <c r="Y144" t="s">
        <v>62</v>
      </c>
      <c r="Z144">
        <v>0</v>
      </c>
      <c r="AA144">
        <v>0</v>
      </c>
      <c r="AB144">
        <v>4</v>
      </c>
      <c r="AC144">
        <v>0</v>
      </c>
      <c r="AD144" s="47">
        <v>0</v>
      </c>
      <c r="AE144" s="47">
        <v>0</v>
      </c>
      <c r="AF144" s="47">
        <v>0</v>
      </c>
      <c r="AG144" s="47">
        <v>0</v>
      </c>
      <c r="AH144" s="47">
        <v>0</v>
      </c>
      <c r="AI144" s="47">
        <v>0</v>
      </c>
      <c r="AJ144" s="47">
        <v>0</v>
      </c>
      <c r="AK144" s="47">
        <v>0</v>
      </c>
      <c r="AL144">
        <v>4</v>
      </c>
      <c r="AM144">
        <v>0</v>
      </c>
      <c r="AN144">
        <v>2</v>
      </c>
      <c r="AO144">
        <v>2</v>
      </c>
      <c r="AP144">
        <v>8</v>
      </c>
      <c r="AQ144">
        <v>3</v>
      </c>
      <c r="AR144">
        <v>2</v>
      </c>
      <c r="AS144">
        <v>1</v>
      </c>
      <c r="AT144" t="s">
        <v>15584</v>
      </c>
      <c r="AU144" t="s">
        <v>15585</v>
      </c>
      <c r="AV144">
        <v>0.17299999999999999</v>
      </c>
      <c r="AW144" t="s">
        <v>65</v>
      </c>
      <c r="AX144">
        <v>10</v>
      </c>
      <c r="AY144">
        <v>4</v>
      </c>
      <c r="AZ144" t="s">
        <v>15586</v>
      </c>
      <c r="BA144">
        <v>7.1010000000000004E-2</v>
      </c>
      <c r="BB144">
        <v>-1.6889999999999999E-2</v>
      </c>
      <c r="BC144">
        <v>9.0799999999999995E-3</v>
      </c>
      <c r="BD144">
        <v>-2.66E-3</v>
      </c>
      <c r="BE144">
        <v>0.12791</v>
      </c>
      <c r="BF144">
        <v>1</v>
      </c>
      <c r="BG144" t="s">
        <v>69</v>
      </c>
      <c r="BH144">
        <v>-1.88</v>
      </c>
      <c r="BI144">
        <v>1.512</v>
      </c>
    </row>
    <row r="145" spans="3:61">
      <c r="C145">
        <v>0</v>
      </c>
      <c r="D145">
        <v>0</v>
      </c>
      <c r="E145">
        <v>0</v>
      </c>
      <c r="F145" t="s">
        <v>25021</v>
      </c>
      <c r="G145">
        <v>2286</v>
      </c>
      <c r="H145" t="s">
        <v>13236</v>
      </c>
      <c r="I145" t="s">
        <v>57</v>
      </c>
      <c r="J145">
        <v>2308495</v>
      </c>
      <c r="K145">
        <v>2308761</v>
      </c>
      <c r="L145" t="s">
        <v>5691</v>
      </c>
      <c r="M145">
        <v>89</v>
      </c>
      <c r="N145" t="s">
        <v>108</v>
      </c>
      <c r="O145">
        <v>44</v>
      </c>
      <c r="P145" t="str">
        <f>HYPERLINK("Gene2286-zp_tree_all.dnd", "Gene2286-tree")</f>
        <v>Gene2286-tree</v>
      </c>
      <c r="Q145">
        <v>8</v>
      </c>
      <c r="R145">
        <v>6</v>
      </c>
      <c r="S145">
        <v>8</v>
      </c>
      <c r="T145">
        <v>6</v>
      </c>
      <c r="U145">
        <v>0.42857000000000001</v>
      </c>
      <c r="V145" t="s">
        <v>136</v>
      </c>
      <c r="W145" t="s">
        <v>90</v>
      </c>
      <c r="X145" t="s">
        <v>62</v>
      </c>
      <c r="Y145" t="s">
        <v>62</v>
      </c>
      <c r="Z145">
        <v>0</v>
      </c>
      <c r="AA145">
        <v>0</v>
      </c>
      <c r="AB145">
        <v>8</v>
      </c>
      <c r="AC145">
        <v>0</v>
      </c>
      <c r="AD145" s="47">
        <v>0</v>
      </c>
      <c r="AE145" s="47">
        <v>0</v>
      </c>
      <c r="AF145" s="47">
        <v>0</v>
      </c>
      <c r="AG145" s="47">
        <v>1</v>
      </c>
      <c r="AH145" s="47">
        <v>0</v>
      </c>
      <c r="AI145" s="47">
        <v>0</v>
      </c>
      <c r="AJ145" s="47">
        <v>0</v>
      </c>
      <c r="AK145" s="47">
        <v>0</v>
      </c>
      <c r="AL145">
        <v>7</v>
      </c>
      <c r="AM145">
        <v>0</v>
      </c>
      <c r="AN145">
        <v>8</v>
      </c>
      <c r="AO145">
        <v>7</v>
      </c>
      <c r="AP145">
        <v>6</v>
      </c>
      <c r="AQ145">
        <v>6</v>
      </c>
      <c r="AR145">
        <v>7</v>
      </c>
      <c r="AS145">
        <v>2</v>
      </c>
      <c r="AT145" t="s">
        <v>13237</v>
      </c>
      <c r="AU145" t="s">
        <v>13238</v>
      </c>
      <c r="AV145">
        <v>1.3959999999999999</v>
      </c>
      <c r="AW145" t="s">
        <v>65</v>
      </c>
      <c r="AX145">
        <v>13</v>
      </c>
      <c r="AY145">
        <v>8</v>
      </c>
      <c r="AZ145" t="s">
        <v>13239</v>
      </c>
      <c r="BA145">
        <v>4.3200000000000002E-2</v>
      </c>
      <c r="BB145">
        <v>-2.3400000000000001E-3</v>
      </c>
      <c r="BC145">
        <v>7.5700000000000003E-3</v>
      </c>
      <c r="BD145">
        <v>-5.5000000000000003E-4</v>
      </c>
      <c r="BE145">
        <v>0.17523</v>
      </c>
      <c r="BF145">
        <v>1</v>
      </c>
      <c r="BG145" t="s">
        <v>69</v>
      </c>
      <c r="BH145">
        <v>-0.71799999999999997</v>
      </c>
      <c r="BI145">
        <v>-1.3680000000000001</v>
      </c>
    </row>
    <row r="146" spans="3:61">
      <c r="C146">
        <v>0</v>
      </c>
      <c r="D146">
        <v>0</v>
      </c>
      <c r="E146">
        <v>0</v>
      </c>
      <c r="F146" t="s">
        <v>25021</v>
      </c>
      <c r="G146">
        <v>1499</v>
      </c>
      <c r="H146" t="s">
        <v>9376</v>
      </c>
      <c r="I146" t="s">
        <v>62</v>
      </c>
      <c r="J146">
        <v>1511926</v>
      </c>
      <c r="K146">
        <v>1512192</v>
      </c>
      <c r="L146" t="s">
        <v>7478</v>
      </c>
      <c r="M146">
        <v>89</v>
      </c>
      <c r="N146" t="s">
        <v>289</v>
      </c>
      <c r="O146">
        <v>46</v>
      </c>
      <c r="P146" t="str">
        <f>HYPERLINK("Gene1499-zp_tree_all.dnd", "Gene1499-tree")</f>
        <v>Gene1499-tree</v>
      </c>
      <c r="Q146">
        <v>28</v>
      </c>
      <c r="R146">
        <v>1</v>
      </c>
      <c r="S146">
        <v>9</v>
      </c>
      <c r="T146">
        <v>1</v>
      </c>
      <c r="U146">
        <v>0.1</v>
      </c>
      <c r="V146" t="s">
        <v>2825</v>
      </c>
      <c r="W146" t="s">
        <v>175</v>
      </c>
      <c r="X146" t="s">
        <v>62</v>
      </c>
      <c r="Y146" t="s">
        <v>62</v>
      </c>
      <c r="Z146">
        <v>0</v>
      </c>
      <c r="AA146">
        <v>0</v>
      </c>
      <c r="AB146">
        <v>1</v>
      </c>
      <c r="AC146">
        <v>0</v>
      </c>
      <c r="AD146" s="47">
        <v>0</v>
      </c>
      <c r="AE146" s="47">
        <v>0</v>
      </c>
      <c r="AF146" s="47">
        <v>0</v>
      </c>
      <c r="AG146" s="47">
        <v>0</v>
      </c>
      <c r="AH146" s="47">
        <v>0</v>
      </c>
      <c r="AI146" s="47">
        <v>0</v>
      </c>
      <c r="AJ146" s="47">
        <v>0</v>
      </c>
      <c r="AK146" s="47">
        <v>0</v>
      </c>
      <c r="AL146">
        <v>1</v>
      </c>
      <c r="AM146">
        <v>0</v>
      </c>
      <c r="AN146">
        <v>8</v>
      </c>
      <c r="AO146">
        <v>3</v>
      </c>
      <c r="AP146">
        <v>10</v>
      </c>
      <c r="AQ146">
        <v>1</v>
      </c>
      <c r="AR146">
        <v>11</v>
      </c>
      <c r="AS146">
        <v>0</v>
      </c>
      <c r="AT146" t="s">
        <v>9377</v>
      </c>
      <c r="AU146" t="s">
        <v>193</v>
      </c>
      <c r="AV146">
        <v>0.38800000000000001</v>
      </c>
      <c r="AW146" t="s">
        <v>65</v>
      </c>
      <c r="AX146">
        <v>21</v>
      </c>
      <c r="AY146">
        <v>1</v>
      </c>
      <c r="AZ146" t="s">
        <v>9378</v>
      </c>
      <c r="BA146">
        <v>9.9559999999999996E-2</v>
      </c>
      <c r="BB146">
        <v>-1.136E-2</v>
      </c>
      <c r="BC146">
        <v>1.01E-3</v>
      </c>
      <c r="BD146">
        <v>-2.9999999999999997E-4</v>
      </c>
      <c r="BE146">
        <v>1.0120000000000001E-2</v>
      </c>
      <c r="BF146">
        <v>1</v>
      </c>
      <c r="BG146" t="s">
        <v>69</v>
      </c>
      <c r="BH146">
        <v>-1.6080000000000001</v>
      </c>
      <c r="BI146">
        <v>-1.5680000000000001</v>
      </c>
    </row>
    <row r="147" spans="3:61">
      <c r="C147">
        <v>0</v>
      </c>
      <c r="D147">
        <v>6</v>
      </c>
      <c r="E147">
        <v>0</v>
      </c>
      <c r="F147" t="s">
        <v>25021</v>
      </c>
      <c r="G147">
        <v>911</v>
      </c>
      <c r="H147" t="s">
        <v>5690</v>
      </c>
      <c r="I147" t="s">
        <v>62</v>
      </c>
      <c r="J147">
        <v>954582</v>
      </c>
      <c r="K147">
        <v>954851</v>
      </c>
      <c r="L147" t="s">
        <v>5691</v>
      </c>
      <c r="M147">
        <v>90</v>
      </c>
      <c r="N147" t="s">
        <v>265</v>
      </c>
      <c r="O147">
        <v>43</v>
      </c>
      <c r="P147" t="str">
        <f>HYPERLINK("Gene911-zp_tree_all.dnd", "Gene911-tree")</f>
        <v>Gene911-tree</v>
      </c>
      <c r="Q147">
        <v>4</v>
      </c>
      <c r="R147">
        <v>29</v>
      </c>
      <c r="S147">
        <v>4</v>
      </c>
      <c r="T147">
        <v>5</v>
      </c>
      <c r="U147">
        <v>0.55556000000000005</v>
      </c>
      <c r="V147" t="s">
        <v>61</v>
      </c>
      <c r="W147" t="s">
        <v>5692</v>
      </c>
      <c r="X147">
        <v>4.6980000000000004</v>
      </c>
      <c r="Y147" t="s">
        <v>65</v>
      </c>
      <c r="Z147">
        <v>3</v>
      </c>
      <c r="AA147">
        <v>6</v>
      </c>
      <c r="AB147">
        <v>8</v>
      </c>
      <c r="AC147">
        <v>0.42857000000000001</v>
      </c>
      <c r="AD147" s="47">
        <v>0</v>
      </c>
      <c r="AE147" s="47">
        <v>0</v>
      </c>
      <c r="AF147" s="47">
        <v>0</v>
      </c>
      <c r="AG147" s="47">
        <v>1</v>
      </c>
      <c r="AH147" s="47">
        <v>0</v>
      </c>
      <c r="AI147" s="47">
        <v>4</v>
      </c>
      <c r="AJ147" s="47">
        <v>0</v>
      </c>
      <c r="AK147" s="47">
        <v>4</v>
      </c>
      <c r="AL147">
        <v>7</v>
      </c>
      <c r="AM147">
        <v>0.36364000000000002</v>
      </c>
      <c r="AN147">
        <v>7</v>
      </c>
      <c r="AO147">
        <v>4</v>
      </c>
      <c r="AP147">
        <v>8</v>
      </c>
      <c r="AQ147">
        <v>11</v>
      </c>
      <c r="AR147">
        <v>3</v>
      </c>
      <c r="AS147">
        <v>3</v>
      </c>
      <c r="AT147" t="s">
        <v>5693</v>
      </c>
      <c r="AU147" t="s">
        <v>5694</v>
      </c>
      <c r="AV147">
        <v>0.35299999999999998</v>
      </c>
      <c r="AW147" t="s">
        <v>65</v>
      </c>
      <c r="AX147">
        <v>11</v>
      </c>
      <c r="AY147">
        <v>14</v>
      </c>
      <c r="AZ147" t="s">
        <v>5695</v>
      </c>
      <c r="BA147">
        <v>5.3379999999999997E-2</v>
      </c>
      <c r="BB147">
        <v>-4.3E-3</v>
      </c>
      <c r="BC147">
        <v>1.712E-2</v>
      </c>
      <c r="BD147">
        <v>-1.5200000000000001E-3</v>
      </c>
      <c r="BE147">
        <v>0.32066</v>
      </c>
      <c r="BF147">
        <v>0.95</v>
      </c>
      <c r="BG147" t="s">
        <v>635</v>
      </c>
      <c r="BH147">
        <v>0.23599999999999999</v>
      </c>
      <c r="BI147">
        <v>0.61199999999999999</v>
      </c>
    </row>
    <row r="148" spans="3:61">
      <c r="C148">
        <v>0</v>
      </c>
      <c r="D148">
        <v>0</v>
      </c>
      <c r="E148">
        <v>2</v>
      </c>
      <c r="F148" t="s">
        <v>25021</v>
      </c>
      <c r="G148">
        <v>3857</v>
      </c>
      <c r="H148" t="s">
        <v>22613</v>
      </c>
      <c r="I148" t="s">
        <v>57</v>
      </c>
      <c r="J148">
        <v>3818906</v>
      </c>
      <c r="K148">
        <v>3819175</v>
      </c>
      <c r="L148" t="s">
        <v>116</v>
      </c>
      <c r="M148">
        <v>90</v>
      </c>
      <c r="N148" t="s">
        <v>289</v>
      </c>
      <c r="O148">
        <v>46</v>
      </c>
      <c r="P148" t="str">
        <f>HYPERLINK("Gene3857-zp_tree_all.dnd", "Gene3857-tree")</f>
        <v>Gene3857-tree</v>
      </c>
      <c r="Q148">
        <v>5</v>
      </c>
      <c r="R148">
        <v>3</v>
      </c>
      <c r="S148">
        <v>5</v>
      </c>
      <c r="T148">
        <v>3</v>
      </c>
      <c r="U148">
        <v>0.375</v>
      </c>
      <c r="V148" t="s">
        <v>199</v>
      </c>
      <c r="W148" t="s">
        <v>324</v>
      </c>
      <c r="X148" t="s">
        <v>62</v>
      </c>
      <c r="Y148" t="s">
        <v>62</v>
      </c>
      <c r="Z148">
        <v>1</v>
      </c>
      <c r="AA148">
        <v>2</v>
      </c>
      <c r="AB148">
        <v>3</v>
      </c>
      <c r="AC148">
        <v>0.4</v>
      </c>
      <c r="AD148" s="47">
        <v>0</v>
      </c>
      <c r="AE148" s="47">
        <v>0</v>
      </c>
      <c r="AF148" s="47">
        <v>0</v>
      </c>
      <c r="AG148" s="47">
        <v>0</v>
      </c>
      <c r="AH148" s="47">
        <v>0</v>
      </c>
      <c r="AI148" s="47">
        <v>0</v>
      </c>
      <c r="AJ148" s="47">
        <v>2</v>
      </c>
      <c r="AK148" s="47">
        <v>2</v>
      </c>
      <c r="AL148">
        <v>3</v>
      </c>
      <c r="AM148">
        <v>0.4</v>
      </c>
      <c r="AN148">
        <v>3</v>
      </c>
      <c r="AO148">
        <v>4</v>
      </c>
      <c r="AP148">
        <v>10</v>
      </c>
      <c r="AQ148">
        <v>5</v>
      </c>
      <c r="AR148">
        <v>4</v>
      </c>
      <c r="AS148">
        <v>0</v>
      </c>
      <c r="AT148" t="s">
        <v>22614</v>
      </c>
      <c r="AU148" t="s">
        <v>193</v>
      </c>
      <c r="AV148">
        <v>0.745</v>
      </c>
      <c r="AW148" t="s">
        <v>65</v>
      </c>
      <c r="AX148">
        <v>14</v>
      </c>
      <c r="AY148">
        <v>5</v>
      </c>
      <c r="AZ148" t="s">
        <v>22615</v>
      </c>
      <c r="BA148">
        <v>8.0269999999999994E-2</v>
      </c>
      <c r="BB148">
        <v>-1.55E-2</v>
      </c>
      <c r="BC148">
        <v>5.8500000000000002E-3</v>
      </c>
      <c r="BD148">
        <v>-1.1299999999999999E-3</v>
      </c>
      <c r="BE148">
        <v>7.2910000000000003E-2</v>
      </c>
      <c r="BF148">
        <v>0.99</v>
      </c>
      <c r="BG148" t="s">
        <v>69</v>
      </c>
      <c r="BH148">
        <v>-1.224</v>
      </c>
      <c r="BI148">
        <v>1.165</v>
      </c>
    </row>
    <row r="149" spans="3:61">
      <c r="C149">
        <v>0</v>
      </c>
      <c r="D149">
        <v>0</v>
      </c>
      <c r="E149">
        <v>0</v>
      </c>
      <c r="F149" t="s">
        <v>25021</v>
      </c>
      <c r="G149">
        <v>575</v>
      </c>
      <c r="H149" t="s">
        <v>3701</v>
      </c>
      <c r="I149" t="s">
        <v>62</v>
      </c>
      <c r="J149">
        <v>602444</v>
      </c>
      <c r="K149">
        <v>602713</v>
      </c>
      <c r="L149" t="s">
        <v>3695</v>
      </c>
      <c r="M149">
        <v>90</v>
      </c>
      <c r="N149" t="s">
        <v>2548</v>
      </c>
      <c r="O149">
        <v>37</v>
      </c>
      <c r="P149" t="str">
        <f>HYPERLINK("Gene575-zp_tree_all.dnd", "Gene575-tree")</f>
        <v>Gene575-tree</v>
      </c>
      <c r="Q149">
        <v>31</v>
      </c>
      <c r="R149">
        <v>0</v>
      </c>
      <c r="S149">
        <v>4</v>
      </c>
      <c r="T149">
        <v>0</v>
      </c>
      <c r="U149">
        <v>0</v>
      </c>
      <c r="V149" t="s">
        <v>3702</v>
      </c>
      <c r="W149" t="s">
        <v>62</v>
      </c>
      <c r="X149" t="s">
        <v>62</v>
      </c>
      <c r="Y149" t="s">
        <v>62</v>
      </c>
      <c r="Z149">
        <v>0</v>
      </c>
      <c r="AA149">
        <v>0</v>
      </c>
      <c r="AB149">
        <v>0</v>
      </c>
      <c r="AC149">
        <v>0</v>
      </c>
      <c r="AD149" s="47">
        <v>0</v>
      </c>
      <c r="AE149" s="47">
        <v>0</v>
      </c>
      <c r="AF149" s="47">
        <v>0</v>
      </c>
      <c r="AG149" s="47">
        <v>0</v>
      </c>
      <c r="AH149" s="47">
        <v>0</v>
      </c>
      <c r="AI149" s="47">
        <v>0</v>
      </c>
      <c r="AJ149" s="47">
        <v>0</v>
      </c>
      <c r="AK149" s="47">
        <v>0</v>
      </c>
      <c r="AL149">
        <v>0</v>
      </c>
      <c r="AM149">
        <v>0</v>
      </c>
      <c r="AN149">
        <v>2</v>
      </c>
      <c r="AO149">
        <v>1</v>
      </c>
      <c r="AP149">
        <v>3</v>
      </c>
      <c r="AQ149">
        <v>0</v>
      </c>
      <c r="AR149">
        <v>2</v>
      </c>
      <c r="AS149">
        <v>0</v>
      </c>
      <c r="AT149" t="s">
        <v>193</v>
      </c>
      <c r="AU149" t="s">
        <v>193</v>
      </c>
      <c r="AV149">
        <v>0</v>
      </c>
      <c r="AW149" t="s">
        <v>65</v>
      </c>
      <c r="AX149">
        <v>5</v>
      </c>
      <c r="AY149">
        <v>0</v>
      </c>
      <c r="AZ149" t="s">
        <v>3703</v>
      </c>
      <c r="BA149">
        <v>4.5969999999999997E-2</v>
      </c>
      <c r="BB149">
        <v>-9.1599999999999997E-3</v>
      </c>
      <c r="BC149">
        <v>0</v>
      </c>
      <c r="BD149">
        <v>0</v>
      </c>
      <c r="BE149">
        <v>0</v>
      </c>
      <c r="BF149">
        <v>1</v>
      </c>
      <c r="BG149" t="s">
        <v>69</v>
      </c>
      <c r="BH149">
        <v>0.371</v>
      </c>
      <c r="BI149">
        <v>0.21099999999999999</v>
      </c>
    </row>
    <row r="150" spans="3:61">
      <c r="C150">
        <v>0</v>
      </c>
      <c r="D150">
        <v>2</v>
      </c>
      <c r="E150">
        <v>0</v>
      </c>
      <c r="F150" t="s">
        <v>25021</v>
      </c>
      <c r="G150">
        <v>799</v>
      </c>
      <c r="H150" t="s">
        <v>4966</v>
      </c>
      <c r="I150" t="s">
        <v>62</v>
      </c>
      <c r="J150">
        <v>837738</v>
      </c>
      <c r="K150">
        <v>838010</v>
      </c>
      <c r="L150" t="s">
        <v>4967</v>
      </c>
      <c r="M150">
        <v>91</v>
      </c>
      <c r="N150" t="s">
        <v>108</v>
      </c>
      <c r="O150">
        <v>44</v>
      </c>
      <c r="P150" t="str">
        <f>HYPERLINK("Gene799-zp_tree_all.dnd", "Gene799-tree")</f>
        <v>Gene799-tree</v>
      </c>
      <c r="Q150">
        <v>2</v>
      </c>
      <c r="R150">
        <v>5</v>
      </c>
      <c r="S150">
        <v>2</v>
      </c>
      <c r="T150">
        <v>5</v>
      </c>
      <c r="U150">
        <v>0.71428999999999998</v>
      </c>
      <c r="V150" t="s">
        <v>81</v>
      </c>
      <c r="W150" t="s">
        <v>199</v>
      </c>
      <c r="X150" t="s">
        <v>62</v>
      </c>
      <c r="Y150" t="s">
        <v>62</v>
      </c>
      <c r="Z150">
        <v>1</v>
      </c>
      <c r="AA150">
        <v>2</v>
      </c>
      <c r="AB150">
        <v>3</v>
      </c>
      <c r="AC150">
        <v>0.4</v>
      </c>
      <c r="AD150" s="47">
        <v>0</v>
      </c>
      <c r="AE150" s="47">
        <v>0</v>
      </c>
      <c r="AF150" s="47">
        <v>0</v>
      </c>
      <c r="AG150" s="47">
        <v>0</v>
      </c>
      <c r="AH150" s="47">
        <v>0</v>
      </c>
      <c r="AI150" s="47">
        <v>2</v>
      </c>
      <c r="AJ150" s="47">
        <v>0</v>
      </c>
      <c r="AK150" s="47">
        <v>2</v>
      </c>
      <c r="AL150">
        <v>3</v>
      </c>
      <c r="AM150">
        <v>0.4</v>
      </c>
      <c r="AN150">
        <v>4</v>
      </c>
      <c r="AO150">
        <v>2</v>
      </c>
      <c r="AP150">
        <v>0</v>
      </c>
      <c r="AQ150">
        <v>4</v>
      </c>
      <c r="AR150">
        <v>2</v>
      </c>
      <c r="AS150">
        <v>1</v>
      </c>
      <c r="AT150" t="s">
        <v>193</v>
      </c>
      <c r="AU150" t="s">
        <v>4968</v>
      </c>
      <c r="AV150">
        <v>0.70699999999999996</v>
      </c>
      <c r="AW150" t="s">
        <v>65</v>
      </c>
      <c r="AX150">
        <v>2</v>
      </c>
      <c r="AY150">
        <v>5</v>
      </c>
      <c r="AZ150" t="s">
        <v>4969</v>
      </c>
      <c r="BA150">
        <v>1.5049999999999999E-2</v>
      </c>
      <c r="BB150">
        <v>-3.3700000000000002E-3</v>
      </c>
      <c r="BC150">
        <v>6.8999999999999999E-3</v>
      </c>
      <c r="BD150">
        <v>-8.4000000000000003E-4</v>
      </c>
      <c r="BE150">
        <v>0.45823000000000003</v>
      </c>
      <c r="BF150">
        <v>0.7</v>
      </c>
      <c r="BG150" t="s">
        <v>635</v>
      </c>
      <c r="BH150">
        <v>-0.76300000000000001</v>
      </c>
      <c r="BI150">
        <v>-0.49399999999999999</v>
      </c>
    </row>
    <row r="151" spans="3:61">
      <c r="C151">
        <v>0</v>
      </c>
      <c r="D151">
        <v>0</v>
      </c>
      <c r="E151">
        <v>0</v>
      </c>
      <c r="F151" t="s">
        <v>25021</v>
      </c>
      <c r="G151">
        <v>1794</v>
      </c>
      <c r="H151" t="s">
        <v>11236</v>
      </c>
      <c r="I151" t="s">
        <v>62</v>
      </c>
      <c r="J151">
        <v>1865515</v>
      </c>
      <c r="K151">
        <v>1865787</v>
      </c>
      <c r="L151" t="s">
        <v>11237</v>
      </c>
      <c r="M151">
        <v>91</v>
      </c>
      <c r="N151" t="s">
        <v>11238</v>
      </c>
      <c r="O151">
        <v>35</v>
      </c>
      <c r="P151" t="str">
        <f>HYPERLINK("Gene1794-zp_tree_all.dnd", "Gene1794-tree")</f>
        <v>Gene1794-tree</v>
      </c>
      <c r="Q151">
        <v>2</v>
      </c>
      <c r="R151">
        <v>19</v>
      </c>
      <c r="S151">
        <v>2</v>
      </c>
      <c r="T151">
        <v>2</v>
      </c>
      <c r="U151">
        <v>0.5</v>
      </c>
      <c r="V151" t="s">
        <v>81</v>
      </c>
      <c r="W151" t="s">
        <v>3952</v>
      </c>
      <c r="X151">
        <v>4.3659999999999997</v>
      </c>
      <c r="Y151" t="s">
        <v>65</v>
      </c>
      <c r="Z151">
        <v>0</v>
      </c>
      <c r="AA151">
        <v>0</v>
      </c>
      <c r="AB151">
        <v>3</v>
      </c>
      <c r="AC151">
        <v>0</v>
      </c>
      <c r="AD151" s="47">
        <v>0</v>
      </c>
      <c r="AE151" s="47">
        <v>0</v>
      </c>
      <c r="AF151" s="47">
        <v>0</v>
      </c>
      <c r="AG151" s="47">
        <v>0</v>
      </c>
      <c r="AH151" s="47">
        <v>0</v>
      </c>
      <c r="AI151" s="47">
        <v>0</v>
      </c>
      <c r="AJ151" s="47">
        <v>0</v>
      </c>
      <c r="AK151" s="47">
        <v>0</v>
      </c>
      <c r="AL151">
        <v>3</v>
      </c>
      <c r="AM151">
        <v>0</v>
      </c>
      <c r="AN151">
        <v>2</v>
      </c>
      <c r="AO151">
        <v>1</v>
      </c>
      <c r="AP151">
        <v>2</v>
      </c>
      <c r="AQ151">
        <v>3</v>
      </c>
      <c r="AR151">
        <v>1</v>
      </c>
      <c r="AS151">
        <v>0</v>
      </c>
      <c r="AT151" t="s">
        <v>11239</v>
      </c>
      <c r="AU151" t="s">
        <v>193</v>
      </c>
      <c r="AV151">
        <v>12.617000000000001</v>
      </c>
      <c r="AW151" t="s">
        <v>267</v>
      </c>
      <c r="AX151">
        <v>3</v>
      </c>
      <c r="AY151">
        <v>3</v>
      </c>
      <c r="AZ151" t="s">
        <v>11240</v>
      </c>
      <c r="BA151">
        <v>2.4819999999999998E-2</v>
      </c>
      <c r="BB151">
        <v>-4.6100000000000004E-3</v>
      </c>
      <c r="BC151">
        <v>7.3899999999999999E-3</v>
      </c>
      <c r="BD151">
        <v>-1.9300000000000001E-3</v>
      </c>
      <c r="BE151">
        <v>0.29759000000000002</v>
      </c>
      <c r="BF151">
        <v>0.94699999999999995</v>
      </c>
      <c r="BG151" t="s">
        <v>635</v>
      </c>
      <c r="BH151">
        <v>2.0089999999999999</v>
      </c>
      <c r="BI151">
        <v>1.202</v>
      </c>
    </row>
    <row r="152" spans="3:61">
      <c r="C152">
        <v>0</v>
      </c>
      <c r="D152">
        <v>0</v>
      </c>
      <c r="E152">
        <v>0</v>
      </c>
      <c r="F152" t="s">
        <v>25021</v>
      </c>
      <c r="G152">
        <v>3384</v>
      </c>
      <c r="H152" t="s">
        <v>19789</v>
      </c>
      <c r="I152" t="s">
        <v>57</v>
      </c>
      <c r="J152">
        <v>3354212</v>
      </c>
      <c r="K152">
        <v>3354484</v>
      </c>
      <c r="L152" t="s">
        <v>116</v>
      </c>
      <c r="M152">
        <v>91</v>
      </c>
      <c r="N152" t="s">
        <v>108</v>
      </c>
      <c r="O152">
        <v>44</v>
      </c>
      <c r="P152" t="str">
        <f>HYPERLINK("Gene3384-zp_tree_all.dnd", "Gene3384-tree")</f>
        <v>Gene3384-tree</v>
      </c>
      <c r="Q152">
        <v>4</v>
      </c>
      <c r="R152">
        <v>1</v>
      </c>
      <c r="S152">
        <v>4</v>
      </c>
      <c r="T152">
        <v>1</v>
      </c>
      <c r="U152">
        <v>0.2</v>
      </c>
      <c r="V152" t="s">
        <v>61</v>
      </c>
      <c r="W152" t="s">
        <v>175</v>
      </c>
      <c r="X152" t="s">
        <v>62</v>
      </c>
      <c r="Y152" t="s">
        <v>62</v>
      </c>
      <c r="Z152">
        <v>0</v>
      </c>
      <c r="AA152">
        <v>0</v>
      </c>
      <c r="AB152">
        <v>3</v>
      </c>
      <c r="AC152">
        <v>0</v>
      </c>
      <c r="AD152" s="47">
        <v>0</v>
      </c>
      <c r="AE152" s="47">
        <v>0</v>
      </c>
      <c r="AF152" s="47">
        <v>0</v>
      </c>
      <c r="AG152" s="47">
        <v>0</v>
      </c>
      <c r="AH152" s="47">
        <v>0</v>
      </c>
      <c r="AI152" s="47">
        <v>0</v>
      </c>
      <c r="AJ152" s="47">
        <v>0</v>
      </c>
      <c r="AK152" s="47">
        <v>0</v>
      </c>
      <c r="AL152">
        <v>3</v>
      </c>
      <c r="AM152">
        <v>0</v>
      </c>
      <c r="AN152">
        <v>3</v>
      </c>
      <c r="AO152">
        <v>1</v>
      </c>
      <c r="AP152">
        <v>5</v>
      </c>
      <c r="AQ152">
        <v>3</v>
      </c>
      <c r="AR152">
        <v>1</v>
      </c>
      <c r="AS152">
        <v>0</v>
      </c>
      <c r="AT152" t="s">
        <v>19790</v>
      </c>
      <c r="AU152" t="s">
        <v>193</v>
      </c>
      <c r="AV152">
        <v>0.74199999999999999</v>
      </c>
      <c r="AW152" t="s">
        <v>65</v>
      </c>
      <c r="AX152">
        <v>6</v>
      </c>
      <c r="AY152">
        <v>3</v>
      </c>
      <c r="AZ152" t="s">
        <v>19791</v>
      </c>
      <c r="BA152">
        <v>5.1650000000000001E-2</v>
      </c>
      <c r="BB152">
        <v>-8.7799999999999996E-3</v>
      </c>
      <c r="BC152">
        <v>5.5700000000000003E-3</v>
      </c>
      <c r="BD152">
        <v>-2.16E-3</v>
      </c>
      <c r="BE152">
        <v>0.10786999999999999</v>
      </c>
      <c r="BF152">
        <v>1</v>
      </c>
      <c r="BG152" t="s">
        <v>69</v>
      </c>
      <c r="BH152">
        <v>-0.70199999999999996</v>
      </c>
      <c r="BI152">
        <v>0.71599999999999997</v>
      </c>
    </row>
    <row r="153" spans="3:61">
      <c r="C153">
        <v>0</v>
      </c>
      <c r="D153">
        <v>0</v>
      </c>
      <c r="E153">
        <v>0</v>
      </c>
      <c r="F153" t="s">
        <v>25021</v>
      </c>
      <c r="G153">
        <v>1263</v>
      </c>
      <c r="H153" t="s">
        <v>7917</v>
      </c>
      <c r="I153" t="s">
        <v>62</v>
      </c>
      <c r="J153">
        <v>1290678</v>
      </c>
      <c r="K153">
        <v>1290953</v>
      </c>
      <c r="L153" t="s">
        <v>2302</v>
      </c>
      <c r="M153">
        <v>92</v>
      </c>
      <c r="N153" t="s">
        <v>465</v>
      </c>
      <c r="O153">
        <v>46</v>
      </c>
      <c r="P153" t="str">
        <f>HYPERLINK("Gene1263-zp_tree_all.dnd", "Gene1263-tree")</f>
        <v>Gene1263-tree</v>
      </c>
      <c r="Q153">
        <v>35</v>
      </c>
      <c r="R153">
        <v>4</v>
      </c>
      <c r="S153">
        <v>9</v>
      </c>
      <c r="T153">
        <v>4</v>
      </c>
      <c r="U153">
        <v>0.30769000000000002</v>
      </c>
      <c r="V153" t="s">
        <v>7918</v>
      </c>
      <c r="W153" t="s">
        <v>61</v>
      </c>
      <c r="X153" t="s">
        <v>62</v>
      </c>
      <c r="Y153" t="s">
        <v>62</v>
      </c>
      <c r="Z153">
        <v>0</v>
      </c>
      <c r="AA153">
        <v>0</v>
      </c>
      <c r="AB153">
        <v>10</v>
      </c>
      <c r="AC153">
        <v>0</v>
      </c>
      <c r="AD153" s="47">
        <v>0</v>
      </c>
      <c r="AE153" s="47">
        <v>0</v>
      </c>
      <c r="AF153" s="47">
        <v>0</v>
      </c>
      <c r="AG153" s="47">
        <v>1</v>
      </c>
      <c r="AH153" s="47">
        <v>0</v>
      </c>
      <c r="AI153" s="47">
        <v>0</v>
      </c>
      <c r="AJ153" s="47">
        <v>0</v>
      </c>
      <c r="AK153" s="47">
        <v>0</v>
      </c>
      <c r="AL153">
        <v>8</v>
      </c>
      <c r="AM153">
        <v>0</v>
      </c>
      <c r="AN153">
        <v>9</v>
      </c>
      <c r="AO153">
        <v>5</v>
      </c>
      <c r="AP153">
        <v>9</v>
      </c>
      <c r="AQ153">
        <v>8</v>
      </c>
      <c r="AR153">
        <v>10</v>
      </c>
      <c r="AS153">
        <v>2</v>
      </c>
      <c r="AT153" t="s">
        <v>7919</v>
      </c>
      <c r="AU153" t="s">
        <v>7920</v>
      </c>
      <c r="AV153">
        <v>0.92700000000000005</v>
      </c>
      <c r="AW153" t="s">
        <v>65</v>
      </c>
      <c r="AX153">
        <v>19</v>
      </c>
      <c r="AY153">
        <v>10</v>
      </c>
      <c r="AZ153" t="s">
        <v>7921</v>
      </c>
      <c r="BA153">
        <v>7.8229999999999994E-2</v>
      </c>
      <c r="BB153">
        <v>-6.45E-3</v>
      </c>
      <c r="BC153">
        <v>9.5899999999999996E-3</v>
      </c>
      <c r="BD153">
        <v>-8.8999999999999995E-4</v>
      </c>
      <c r="BE153">
        <v>0.12263</v>
      </c>
      <c r="BF153">
        <v>1</v>
      </c>
      <c r="BG153" t="s">
        <v>69</v>
      </c>
      <c r="BH153">
        <v>-1.544</v>
      </c>
      <c r="BI153">
        <v>-1.339</v>
      </c>
    </row>
    <row r="154" spans="3:61">
      <c r="C154">
        <v>0</v>
      </c>
      <c r="D154">
        <v>0</v>
      </c>
      <c r="E154">
        <v>0</v>
      </c>
      <c r="F154" t="s">
        <v>25021</v>
      </c>
      <c r="G154">
        <v>3108</v>
      </c>
      <c r="H154" t="s">
        <v>18030</v>
      </c>
      <c r="I154" t="s">
        <v>57</v>
      </c>
      <c r="J154">
        <v>3060395</v>
      </c>
      <c r="K154">
        <v>3060670</v>
      </c>
      <c r="L154" t="s">
        <v>116</v>
      </c>
      <c r="M154">
        <v>92</v>
      </c>
      <c r="N154" t="s">
        <v>59</v>
      </c>
      <c r="O154">
        <v>49</v>
      </c>
      <c r="P154" t="str">
        <f>HYPERLINK("Gene3108-zp_tree_all.dnd", "Gene3108-tree")</f>
        <v>Gene3108-tree</v>
      </c>
      <c r="Q154">
        <v>4</v>
      </c>
      <c r="R154">
        <v>2</v>
      </c>
      <c r="S154">
        <v>4</v>
      </c>
      <c r="T154">
        <v>2</v>
      </c>
      <c r="U154">
        <v>0.33333000000000002</v>
      </c>
      <c r="V154" t="s">
        <v>61</v>
      </c>
      <c r="W154" t="s">
        <v>81</v>
      </c>
      <c r="X154" t="s">
        <v>62</v>
      </c>
      <c r="Y154" t="s">
        <v>62</v>
      </c>
      <c r="Z154">
        <v>0</v>
      </c>
      <c r="AA154">
        <v>0</v>
      </c>
      <c r="AB154">
        <v>2</v>
      </c>
      <c r="AC154">
        <v>0</v>
      </c>
      <c r="AD154" s="47">
        <v>0</v>
      </c>
      <c r="AE154" s="47">
        <v>0</v>
      </c>
      <c r="AF154" s="47">
        <v>0</v>
      </c>
      <c r="AG154" s="47">
        <v>0</v>
      </c>
      <c r="AH154" s="47">
        <v>0</v>
      </c>
      <c r="AI154" s="47">
        <v>0</v>
      </c>
      <c r="AJ154" s="47">
        <v>0</v>
      </c>
      <c r="AK154" s="47">
        <v>0</v>
      </c>
      <c r="AL154">
        <v>2</v>
      </c>
      <c r="AM154">
        <v>0</v>
      </c>
      <c r="AN154">
        <v>5</v>
      </c>
      <c r="AO154">
        <v>1</v>
      </c>
      <c r="AP154">
        <v>9</v>
      </c>
      <c r="AQ154">
        <v>2</v>
      </c>
      <c r="AR154">
        <v>4</v>
      </c>
      <c r="AS154">
        <v>0</v>
      </c>
      <c r="AT154" t="s">
        <v>18031</v>
      </c>
      <c r="AU154" t="s">
        <v>193</v>
      </c>
      <c r="AV154">
        <v>1.161</v>
      </c>
      <c r="AW154" t="s">
        <v>65</v>
      </c>
      <c r="AX154">
        <v>13</v>
      </c>
      <c r="AY154">
        <v>2</v>
      </c>
      <c r="AZ154" t="s">
        <v>18032</v>
      </c>
      <c r="BA154">
        <v>0.10215</v>
      </c>
      <c r="BB154">
        <v>-1.255E-2</v>
      </c>
      <c r="BC154">
        <v>3.0599999999999998E-3</v>
      </c>
      <c r="BD154">
        <v>-7.1000000000000002E-4</v>
      </c>
      <c r="BE154">
        <v>2.9960000000000001E-2</v>
      </c>
      <c r="BF154">
        <v>1</v>
      </c>
      <c r="BG154" t="s">
        <v>69</v>
      </c>
      <c r="BH154">
        <v>-1.6040000000000001</v>
      </c>
      <c r="BI154">
        <v>-0.25900000000000001</v>
      </c>
    </row>
    <row r="155" spans="3:61">
      <c r="C155">
        <v>0</v>
      </c>
      <c r="D155">
        <v>0</v>
      </c>
      <c r="E155">
        <v>0</v>
      </c>
      <c r="F155" t="s">
        <v>25021</v>
      </c>
      <c r="G155">
        <v>3284</v>
      </c>
      <c r="H155" t="s">
        <v>19165</v>
      </c>
      <c r="I155" t="s">
        <v>57</v>
      </c>
      <c r="J155">
        <v>3251724</v>
      </c>
      <c r="K155">
        <v>3252005</v>
      </c>
      <c r="L155" t="s">
        <v>19166</v>
      </c>
      <c r="M155">
        <v>94</v>
      </c>
      <c r="N155" t="s">
        <v>394</v>
      </c>
      <c r="O155">
        <v>48</v>
      </c>
      <c r="P155" t="str">
        <f>HYPERLINK("Gene3284-zp_tree_all.dnd", "Gene3284-tree")</f>
        <v>Gene3284-tree</v>
      </c>
      <c r="Q155">
        <v>13</v>
      </c>
      <c r="R155">
        <v>2</v>
      </c>
      <c r="S155">
        <v>13</v>
      </c>
      <c r="T155">
        <v>2</v>
      </c>
      <c r="U155">
        <v>0.13333</v>
      </c>
      <c r="V155" t="s">
        <v>507</v>
      </c>
      <c r="W155" t="s">
        <v>81</v>
      </c>
      <c r="X155" t="s">
        <v>62</v>
      </c>
      <c r="Y155" t="s">
        <v>62</v>
      </c>
      <c r="Z155">
        <v>0</v>
      </c>
      <c r="AA155">
        <v>0</v>
      </c>
      <c r="AB155">
        <v>3</v>
      </c>
      <c r="AC155">
        <v>0</v>
      </c>
      <c r="AD155" s="47">
        <v>0</v>
      </c>
      <c r="AE155" s="47">
        <v>0</v>
      </c>
      <c r="AF155" s="47">
        <v>0</v>
      </c>
      <c r="AG155" s="47">
        <v>1</v>
      </c>
      <c r="AH155" s="47">
        <v>0</v>
      </c>
      <c r="AI155" s="47">
        <v>0</v>
      </c>
      <c r="AJ155" s="47">
        <v>0</v>
      </c>
      <c r="AK155" s="47">
        <v>0</v>
      </c>
      <c r="AL155">
        <v>2</v>
      </c>
      <c r="AM155">
        <v>0</v>
      </c>
      <c r="AN155">
        <v>10</v>
      </c>
      <c r="AO155">
        <v>5</v>
      </c>
      <c r="AP155">
        <v>19</v>
      </c>
      <c r="AQ155">
        <v>2</v>
      </c>
      <c r="AR155">
        <v>10</v>
      </c>
      <c r="AS155">
        <v>1</v>
      </c>
      <c r="AT155" t="s">
        <v>19167</v>
      </c>
      <c r="AU155" t="s">
        <v>19168</v>
      </c>
      <c r="AV155">
        <v>1.9E-2</v>
      </c>
      <c r="AW155" t="s">
        <v>65</v>
      </c>
      <c r="AX155">
        <v>29</v>
      </c>
      <c r="AY155">
        <v>3</v>
      </c>
      <c r="AZ155" t="s">
        <v>19169</v>
      </c>
      <c r="BA155">
        <v>8.2379999999999995E-2</v>
      </c>
      <c r="BB155">
        <v>-4.8700000000000002E-3</v>
      </c>
      <c r="BC155">
        <v>2.99E-3</v>
      </c>
      <c r="BD155">
        <v>-3.5E-4</v>
      </c>
      <c r="BE155">
        <v>3.635E-2</v>
      </c>
      <c r="BF155">
        <v>1</v>
      </c>
      <c r="BG155" t="s">
        <v>69</v>
      </c>
      <c r="BH155">
        <v>-1.2729999999999999</v>
      </c>
      <c r="BI155">
        <v>-2.6709999999999998</v>
      </c>
    </row>
    <row r="156" spans="3:61">
      <c r="C156">
        <v>0</v>
      </c>
      <c r="D156">
        <v>0</v>
      </c>
      <c r="E156">
        <v>2</v>
      </c>
      <c r="F156" t="s">
        <v>25021</v>
      </c>
      <c r="G156">
        <v>1834</v>
      </c>
      <c r="H156" t="s">
        <v>11491</v>
      </c>
      <c r="I156" t="s">
        <v>62</v>
      </c>
      <c r="J156">
        <v>1903184</v>
      </c>
      <c r="K156">
        <v>1903468</v>
      </c>
      <c r="L156" t="s">
        <v>11492</v>
      </c>
      <c r="M156">
        <v>95</v>
      </c>
      <c r="N156" t="s">
        <v>11493</v>
      </c>
      <c r="O156">
        <v>39</v>
      </c>
      <c r="P156" t="str">
        <f>HYPERLINK("Gene1834-zp_tree_all.dnd", "Gene1834-tree")</f>
        <v>Gene1834-tree</v>
      </c>
      <c r="Q156">
        <v>0</v>
      </c>
      <c r="R156">
        <v>5</v>
      </c>
      <c r="S156">
        <v>0</v>
      </c>
      <c r="T156">
        <v>5</v>
      </c>
      <c r="U156">
        <v>1</v>
      </c>
      <c r="V156" t="s">
        <v>62</v>
      </c>
      <c r="W156" t="s">
        <v>199</v>
      </c>
      <c r="X156" t="s">
        <v>62</v>
      </c>
      <c r="Y156" t="s">
        <v>62</v>
      </c>
      <c r="Z156">
        <v>1</v>
      </c>
      <c r="AA156">
        <v>2</v>
      </c>
      <c r="AB156">
        <v>4</v>
      </c>
      <c r="AC156">
        <v>0.33333000000000002</v>
      </c>
      <c r="AD156" s="47">
        <v>0</v>
      </c>
      <c r="AE156" s="47">
        <v>0</v>
      </c>
      <c r="AF156" s="47">
        <v>0</v>
      </c>
      <c r="AG156" s="47">
        <v>0</v>
      </c>
      <c r="AH156" s="47">
        <v>0</v>
      </c>
      <c r="AI156" s="47">
        <v>0</v>
      </c>
      <c r="AJ156" s="47">
        <v>2</v>
      </c>
      <c r="AK156" s="47">
        <v>2</v>
      </c>
      <c r="AL156">
        <v>3</v>
      </c>
      <c r="AM156">
        <v>0.4</v>
      </c>
      <c r="AN156">
        <v>4</v>
      </c>
      <c r="AO156">
        <v>1</v>
      </c>
      <c r="AP156">
        <v>2</v>
      </c>
      <c r="AQ156">
        <v>5</v>
      </c>
      <c r="AR156">
        <v>0</v>
      </c>
      <c r="AS156">
        <v>1</v>
      </c>
      <c r="AT156" t="s">
        <v>11494</v>
      </c>
      <c r="AU156" t="s">
        <v>193</v>
      </c>
      <c r="AV156">
        <v>1.784</v>
      </c>
      <c r="AW156" t="s">
        <v>65</v>
      </c>
      <c r="AX156">
        <v>2</v>
      </c>
      <c r="AY156">
        <v>6</v>
      </c>
      <c r="AZ156" t="s">
        <v>11495</v>
      </c>
      <c r="BA156">
        <v>1.221E-2</v>
      </c>
      <c r="BB156">
        <v>-2.9099999999999998E-3</v>
      </c>
      <c r="BC156">
        <v>1.2160000000000001E-2</v>
      </c>
      <c r="BD156">
        <v>-1.1900000000000001E-3</v>
      </c>
      <c r="BE156">
        <v>0.99577000000000004</v>
      </c>
      <c r="BF156">
        <v>0.22600000000000001</v>
      </c>
      <c r="BG156" t="s">
        <v>635</v>
      </c>
      <c r="BH156">
        <v>-0.39700000000000002</v>
      </c>
      <c r="BI156">
        <v>-0.71499999999999997</v>
      </c>
    </row>
    <row r="157" spans="3:61">
      <c r="C157">
        <v>0</v>
      </c>
      <c r="D157">
        <v>4</v>
      </c>
      <c r="E157">
        <v>0</v>
      </c>
      <c r="F157" t="s">
        <v>25021</v>
      </c>
      <c r="G157">
        <v>665</v>
      </c>
      <c r="H157" t="s">
        <v>4140</v>
      </c>
      <c r="I157" t="s">
        <v>62</v>
      </c>
      <c r="J157">
        <v>686605</v>
      </c>
      <c r="K157">
        <v>686889</v>
      </c>
      <c r="L157" t="s">
        <v>2302</v>
      </c>
      <c r="M157">
        <v>95</v>
      </c>
      <c r="N157" t="s">
        <v>4141</v>
      </c>
      <c r="O157">
        <v>36</v>
      </c>
      <c r="P157" t="str">
        <f>HYPERLINK("Gene665-zp_tree_all.dnd", "Gene665-tree")</f>
        <v>Gene665-tree</v>
      </c>
      <c r="Q157">
        <v>1</v>
      </c>
      <c r="R157">
        <v>28</v>
      </c>
      <c r="S157">
        <v>1</v>
      </c>
      <c r="T157">
        <v>7</v>
      </c>
      <c r="U157">
        <v>0.875</v>
      </c>
      <c r="V157" t="s">
        <v>175</v>
      </c>
      <c r="W157" t="s">
        <v>4142</v>
      </c>
      <c r="X157">
        <v>3.2240000000000002</v>
      </c>
      <c r="Y157" t="s">
        <v>267</v>
      </c>
      <c r="Z157">
        <v>2</v>
      </c>
      <c r="AA157">
        <v>4</v>
      </c>
      <c r="AB157">
        <v>14</v>
      </c>
      <c r="AC157">
        <v>0.22222</v>
      </c>
      <c r="AD157" s="47">
        <v>0</v>
      </c>
      <c r="AE157" s="47">
        <v>0</v>
      </c>
      <c r="AF157" s="47">
        <v>0</v>
      </c>
      <c r="AG157" s="47">
        <v>0</v>
      </c>
      <c r="AH157" s="47">
        <v>0</v>
      </c>
      <c r="AI157" s="47">
        <v>4</v>
      </c>
      <c r="AJ157" s="47">
        <v>0</v>
      </c>
      <c r="AK157" s="47">
        <v>4</v>
      </c>
      <c r="AL157">
        <v>12</v>
      </c>
      <c r="AM157">
        <v>0.25</v>
      </c>
      <c r="AN157">
        <v>6</v>
      </c>
      <c r="AO157">
        <v>3</v>
      </c>
      <c r="AP157">
        <v>4</v>
      </c>
      <c r="AQ157">
        <v>13</v>
      </c>
      <c r="AR157">
        <v>3</v>
      </c>
      <c r="AS157">
        <v>6</v>
      </c>
      <c r="AT157" t="s">
        <v>4143</v>
      </c>
      <c r="AU157" t="s">
        <v>4144</v>
      </c>
      <c r="AV157">
        <v>0.63300000000000001</v>
      </c>
      <c r="AW157" t="s">
        <v>65</v>
      </c>
      <c r="AX157">
        <v>7</v>
      </c>
      <c r="AY157">
        <v>19</v>
      </c>
      <c r="AZ157" t="s">
        <v>4145</v>
      </c>
      <c r="BA157">
        <v>4.0500000000000001E-2</v>
      </c>
      <c r="BB157">
        <v>-2.9299999999999999E-3</v>
      </c>
      <c r="BC157">
        <v>2.6599999999999999E-2</v>
      </c>
      <c r="BD157">
        <v>-2.1700000000000001E-3</v>
      </c>
      <c r="BE157">
        <v>0.65671000000000002</v>
      </c>
      <c r="BF157">
        <v>0.73</v>
      </c>
      <c r="BG157" t="s">
        <v>635</v>
      </c>
      <c r="BH157">
        <v>-0.157</v>
      </c>
      <c r="BI157">
        <v>-1.446</v>
      </c>
    </row>
    <row r="158" spans="3:61">
      <c r="C158">
        <v>0</v>
      </c>
      <c r="D158">
        <v>5</v>
      </c>
      <c r="E158">
        <v>0</v>
      </c>
      <c r="F158" t="s">
        <v>25021</v>
      </c>
      <c r="G158">
        <v>2490</v>
      </c>
      <c r="H158" t="s">
        <v>14511</v>
      </c>
      <c r="I158" t="s">
        <v>57</v>
      </c>
      <c r="J158">
        <v>2483586</v>
      </c>
      <c r="K158">
        <v>2483870</v>
      </c>
      <c r="L158" t="s">
        <v>14512</v>
      </c>
      <c r="M158">
        <v>95</v>
      </c>
      <c r="N158" t="s">
        <v>59</v>
      </c>
      <c r="O158">
        <v>49</v>
      </c>
      <c r="P158" t="str">
        <f>HYPERLINK("Gene2490-zp_tree_all.dnd", "Gene2490-tree")</f>
        <v>Gene2490-tree</v>
      </c>
      <c r="Q158">
        <v>6</v>
      </c>
      <c r="R158">
        <v>5</v>
      </c>
      <c r="S158">
        <v>6</v>
      </c>
      <c r="T158">
        <v>5</v>
      </c>
      <c r="U158">
        <v>0.45455000000000001</v>
      </c>
      <c r="V158" t="s">
        <v>90</v>
      </c>
      <c r="W158" t="s">
        <v>199</v>
      </c>
      <c r="X158" t="s">
        <v>62</v>
      </c>
      <c r="Y158" t="s">
        <v>62</v>
      </c>
      <c r="Z158">
        <v>2</v>
      </c>
      <c r="AA158">
        <v>5</v>
      </c>
      <c r="AB158">
        <v>4</v>
      </c>
      <c r="AC158">
        <v>0.55556000000000005</v>
      </c>
      <c r="AD158" s="47">
        <v>0</v>
      </c>
      <c r="AE158" s="47">
        <v>0</v>
      </c>
      <c r="AF158" s="47">
        <v>0</v>
      </c>
      <c r="AG158" s="47">
        <v>1</v>
      </c>
      <c r="AH158" s="47">
        <v>0</v>
      </c>
      <c r="AI158" s="47">
        <v>4</v>
      </c>
      <c r="AJ158" s="47">
        <v>0</v>
      </c>
      <c r="AK158" s="47">
        <v>4</v>
      </c>
      <c r="AL158">
        <v>1</v>
      </c>
      <c r="AM158">
        <v>0.8</v>
      </c>
      <c r="AN158">
        <v>5</v>
      </c>
      <c r="AO158">
        <v>7</v>
      </c>
      <c r="AP158">
        <v>7</v>
      </c>
      <c r="AQ158">
        <v>5</v>
      </c>
      <c r="AR158">
        <v>5</v>
      </c>
      <c r="AS158">
        <v>4</v>
      </c>
      <c r="AT158" t="s">
        <v>14513</v>
      </c>
      <c r="AU158" t="s">
        <v>14514</v>
      </c>
      <c r="AV158">
        <v>9.2999999999999999E-2</v>
      </c>
      <c r="AW158" t="s">
        <v>65</v>
      </c>
      <c r="AX158">
        <v>12</v>
      </c>
      <c r="AY158">
        <v>9</v>
      </c>
      <c r="AZ158" t="s">
        <v>14515</v>
      </c>
      <c r="BA158">
        <v>6.0900000000000003E-2</v>
      </c>
      <c r="BB158">
        <v>-6.0800000000000003E-3</v>
      </c>
      <c r="BC158">
        <v>1.0959999999999999E-2</v>
      </c>
      <c r="BD158">
        <v>-8.8999999999999995E-4</v>
      </c>
      <c r="BE158">
        <v>0.18004000000000001</v>
      </c>
      <c r="BF158">
        <v>0.99</v>
      </c>
      <c r="BG158" t="s">
        <v>69</v>
      </c>
      <c r="BH158">
        <v>-0.109</v>
      </c>
      <c r="BI158">
        <v>-1.2949999999999999</v>
      </c>
    </row>
    <row r="159" spans="3:61">
      <c r="C159">
        <v>0</v>
      </c>
      <c r="D159">
        <v>0</v>
      </c>
      <c r="E159">
        <v>0</v>
      </c>
      <c r="F159" t="s">
        <v>25021</v>
      </c>
      <c r="G159">
        <v>421</v>
      </c>
      <c r="H159" t="s">
        <v>2859</v>
      </c>
      <c r="I159" t="s">
        <v>62</v>
      </c>
      <c r="J159">
        <v>463499</v>
      </c>
      <c r="K159">
        <v>463783</v>
      </c>
      <c r="L159" t="s">
        <v>116</v>
      </c>
      <c r="M159">
        <v>95</v>
      </c>
      <c r="N159" t="s">
        <v>59</v>
      </c>
      <c r="O159">
        <v>49</v>
      </c>
      <c r="P159" t="str">
        <f>HYPERLINK("Gene421-zp_tree_all.dnd", "Gene421-tree")</f>
        <v>Gene421-tree</v>
      </c>
      <c r="Q159">
        <v>31</v>
      </c>
      <c r="R159">
        <v>3</v>
      </c>
      <c r="S159">
        <v>11</v>
      </c>
      <c r="T159">
        <v>3</v>
      </c>
      <c r="U159">
        <v>0.21429000000000001</v>
      </c>
      <c r="V159" t="s">
        <v>2860</v>
      </c>
      <c r="W159" t="s">
        <v>324</v>
      </c>
      <c r="X159" t="s">
        <v>62</v>
      </c>
      <c r="Y159" t="s">
        <v>62</v>
      </c>
      <c r="Z159">
        <v>0</v>
      </c>
      <c r="AA159">
        <v>0</v>
      </c>
      <c r="AB159">
        <v>7</v>
      </c>
      <c r="AC159">
        <v>0</v>
      </c>
      <c r="AD159" s="47">
        <v>0</v>
      </c>
      <c r="AE159" s="47">
        <v>0</v>
      </c>
      <c r="AF159" s="47">
        <v>0</v>
      </c>
      <c r="AG159" s="47">
        <v>3</v>
      </c>
      <c r="AH159" s="47">
        <v>0</v>
      </c>
      <c r="AI159" s="47">
        <v>0</v>
      </c>
      <c r="AJ159" s="47">
        <v>0</v>
      </c>
      <c r="AK159" s="47">
        <v>0</v>
      </c>
      <c r="AL159">
        <v>3</v>
      </c>
      <c r="AM159">
        <v>0</v>
      </c>
      <c r="AN159">
        <v>10</v>
      </c>
      <c r="AO159">
        <v>5</v>
      </c>
      <c r="AP159">
        <v>18</v>
      </c>
      <c r="AQ159">
        <v>3</v>
      </c>
      <c r="AR159">
        <v>7</v>
      </c>
      <c r="AS159">
        <v>4</v>
      </c>
      <c r="AT159" t="s">
        <v>2861</v>
      </c>
      <c r="AU159" t="s">
        <v>2862</v>
      </c>
      <c r="AV159">
        <v>0.8</v>
      </c>
      <c r="AW159" t="s">
        <v>65</v>
      </c>
      <c r="AX159">
        <v>25</v>
      </c>
      <c r="AY159">
        <v>7</v>
      </c>
      <c r="AZ159" t="s">
        <v>2863</v>
      </c>
      <c r="BA159">
        <v>9.3299999999999994E-2</v>
      </c>
      <c r="BB159">
        <v>-7.9699999999999997E-3</v>
      </c>
      <c r="BC159">
        <v>7.5300000000000002E-3</v>
      </c>
      <c r="BD159">
        <v>-5.1000000000000004E-4</v>
      </c>
      <c r="BE159">
        <v>8.0740000000000006E-2</v>
      </c>
      <c r="BF159">
        <v>1</v>
      </c>
      <c r="BG159" t="s">
        <v>69</v>
      </c>
      <c r="BH159">
        <v>-1.39</v>
      </c>
      <c r="BI159">
        <v>-0.91900000000000004</v>
      </c>
    </row>
    <row r="160" spans="3:61">
      <c r="C160">
        <v>0</v>
      </c>
      <c r="D160">
        <v>0</v>
      </c>
      <c r="E160">
        <v>0</v>
      </c>
      <c r="F160" t="s">
        <v>25021</v>
      </c>
      <c r="G160">
        <v>393</v>
      </c>
      <c r="H160" t="s">
        <v>2660</v>
      </c>
      <c r="I160" t="s">
        <v>62</v>
      </c>
      <c r="J160">
        <v>439285</v>
      </c>
      <c r="K160">
        <v>439569</v>
      </c>
      <c r="L160" t="s">
        <v>2661</v>
      </c>
      <c r="M160">
        <v>95</v>
      </c>
      <c r="N160" t="s">
        <v>59</v>
      </c>
      <c r="O160">
        <v>49</v>
      </c>
      <c r="P160" t="str">
        <f>HYPERLINK("Gene393-zp_tree_all.dnd", "Gene393-tree")</f>
        <v>Gene393-tree</v>
      </c>
      <c r="Q160">
        <v>10</v>
      </c>
      <c r="R160">
        <v>3</v>
      </c>
      <c r="S160">
        <v>10</v>
      </c>
      <c r="T160">
        <v>3</v>
      </c>
      <c r="U160">
        <v>0.23077</v>
      </c>
      <c r="V160" t="s">
        <v>117</v>
      </c>
      <c r="W160" t="s">
        <v>324</v>
      </c>
      <c r="X160" t="s">
        <v>62</v>
      </c>
      <c r="Y160" t="s">
        <v>62</v>
      </c>
      <c r="Z160">
        <v>0</v>
      </c>
      <c r="AA160">
        <v>0</v>
      </c>
      <c r="AB160">
        <v>5</v>
      </c>
      <c r="AC160">
        <v>0</v>
      </c>
      <c r="AD160" s="47">
        <v>0</v>
      </c>
      <c r="AE160" s="47">
        <v>0</v>
      </c>
      <c r="AF160" s="47">
        <v>0</v>
      </c>
      <c r="AG160" s="47">
        <v>0</v>
      </c>
      <c r="AH160" s="47">
        <v>0</v>
      </c>
      <c r="AI160" s="47">
        <v>0</v>
      </c>
      <c r="AJ160" s="47">
        <v>0</v>
      </c>
      <c r="AK160" s="47">
        <v>0</v>
      </c>
      <c r="AL160">
        <v>4</v>
      </c>
      <c r="AM160">
        <v>0</v>
      </c>
      <c r="AN160">
        <v>8</v>
      </c>
      <c r="AO160">
        <v>5</v>
      </c>
      <c r="AP160">
        <v>10</v>
      </c>
      <c r="AQ160">
        <v>4</v>
      </c>
      <c r="AR160">
        <v>12</v>
      </c>
      <c r="AS160">
        <v>1</v>
      </c>
      <c r="AT160" t="s">
        <v>2662</v>
      </c>
      <c r="AU160" t="s">
        <v>2663</v>
      </c>
      <c r="AV160">
        <v>0.86399999999999999</v>
      </c>
      <c r="AW160" t="s">
        <v>65</v>
      </c>
      <c r="AX160">
        <v>22</v>
      </c>
      <c r="AY160">
        <v>5</v>
      </c>
      <c r="AZ160" t="s">
        <v>2664</v>
      </c>
      <c r="BA160">
        <v>0.1236</v>
      </c>
      <c r="BB160">
        <v>-9.8200000000000006E-3</v>
      </c>
      <c r="BC160">
        <v>4.8500000000000001E-3</v>
      </c>
      <c r="BD160">
        <v>-4.8000000000000001E-4</v>
      </c>
      <c r="BE160">
        <v>3.9260000000000003E-2</v>
      </c>
      <c r="BF160">
        <v>1</v>
      </c>
      <c r="BG160" t="s">
        <v>69</v>
      </c>
      <c r="BH160">
        <v>-0.83899999999999997</v>
      </c>
      <c r="BI160">
        <v>-0.90100000000000002</v>
      </c>
    </row>
    <row r="161" spans="3:61">
      <c r="C161">
        <v>0</v>
      </c>
      <c r="D161">
        <v>0</v>
      </c>
      <c r="E161">
        <v>0</v>
      </c>
      <c r="F161" t="s">
        <v>25021</v>
      </c>
      <c r="G161">
        <v>1873</v>
      </c>
      <c r="H161" t="s">
        <v>11725</v>
      </c>
      <c r="I161" t="s">
        <v>62</v>
      </c>
      <c r="J161">
        <v>1931548</v>
      </c>
      <c r="K161">
        <v>1931832</v>
      </c>
      <c r="L161" t="s">
        <v>288</v>
      </c>
      <c r="M161">
        <v>95</v>
      </c>
      <c r="N161" t="s">
        <v>108</v>
      </c>
      <c r="O161">
        <v>44</v>
      </c>
      <c r="P161" t="str">
        <f>HYPERLINK("Gene1873-zp_tree_all.dnd", "Gene1873-tree")</f>
        <v>Gene1873-tree</v>
      </c>
      <c r="Q161">
        <v>31</v>
      </c>
      <c r="R161">
        <v>1</v>
      </c>
      <c r="S161">
        <v>11</v>
      </c>
      <c r="T161">
        <v>1</v>
      </c>
      <c r="U161">
        <v>8.3330000000000001E-2</v>
      </c>
      <c r="V161" t="s">
        <v>2860</v>
      </c>
      <c r="W161" t="s">
        <v>175</v>
      </c>
      <c r="X161" t="s">
        <v>62</v>
      </c>
      <c r="Y161" t="s">
        <v>62</v>
      </c>
      <c r="Z161">
        <v>0</v>
      </c>
      <c r="AA161">
        <v>0</v>
      </c>
      <c r="AB161">
        <v>2</v>
      </c>
      <c r="AC161">
        <v>0</v>
      </c>
      <c r="AD161" s="47">
        <v>0</v>
      </c>
      <c r="AE161" s="47">
        <v>0</v>
      </c>
      <c r="AF161" s="47">
        <v>0</v>
      </c>
      <c r="AG161" s="47">
        <v>0</v>
      </c>
      <c r="AH161" s="47">
        <v>0</v>
      </c>
      <c r="AI161" s="47">
        <v>0</v>
      </c>
      <c r="AJ161" s="47">
        <v>0</v>
      </c>
      <c r="AK161" s="47">
        <v>0</v>
      </c>
      <c r="AL161">
        <v>2</v>
      </c>
      <c r="AM161">
        <v>0</v>
      </c>
      <c r="AN161">
        <v>7</v>
      </c>
      <c r="AO161">
        <v>4</v>
      </c>
      <c r="AP161">
        <v>8</v>
      </c>
      <c r="AQ161">
        <v>2</v>
      </c>
      <c r="AR161">
        <v>4</v>
      </c>
      <c r="AS161">
        <v>0</v>
      </c>
      <c r="AT161" t="s">
        <v>11726</v>
      </c>
      <c r="AU161" t="s">
        <v>193</v>
      </c>
      <c r="AV161">
        <v>0.41899999999999998</v>
      </c>
      <c r="AW161" t="s">
        <v>65</v>
      </c>
      <c r="AX161">
        <v>12</v>
      </c>
      <c r="AY161">
        <v>2</v>
      </c>
      <c r="AZ161" t="s">
        <v>11727</v>
      </c>
      <c r="BA161">
        <v>4.6899999999999997E-2</v>
      </c>
      <c r="BB161">
        <v>-2.5600000000000002E-3</v>
      </c>
      <c r="BC161">
        <v>1.48E-3</v>
      </c>
      <c r="BD161">
        <v>-3.8000000000000002E-4</v>
      </c>
      <c r="BE161">
        <v>3.1539999999999999E-2</v>
      </c>
      <c r="BF161">
        <v>1</v>
      </c>
      <c r="BG161" t="s">
        <v>69</v>
      </c>
      <c r="BH161">
        <v>-1.139</v>
      </c>
      <c r="BI161">
        <v>-1.6619999999999999</v>
      </c>
    </row>
    <row r="162" spans="3:61">
      <c r="C162">
        <v>0</v>
      </c>
      <c r="D162">
        <v>2</v>
      </c>
      <c r="E162">
        <v>0</v>
      </c>
      <c r="F162" t="s">
        <v>25021</v>
      </c>
      <c r="G162">
        <v>2827</v>
      </c>
      <c r="H162" t="s">
        <v>16229</v>
      </c>
      <c r="I162" t="s">
        <v>57</v>
      </c>
      <c r="J162">
        <v>2773356</v>
      </c>
      <c r="K162">
        <v>2773643</v>
      </c>
      <c r="L162" t="s">
        <v>116</v>
      </c>
      <c r="M162">
        <v>96</v>
      </c>
      <c r="N162" t="s">
        <v>16230</v>
      </c>
      <c r="O162">
        <v>35</v>
      </c>
      <c r="P162" t="str">
        <f>HYPERLINK("Gene2827-zp_tree_all.dnd", "Gene2827-tree")</f>
        <v>Gene2827-tree</v>
      </c>
      <c r="Q162">
        <v>4</v>
      </c>
      <c r="R162">
        <v>3</v>
      </c>
      <c r="S162">
        <v>4</v>
      </c>
      <c r="T162">
        <v>3</v>
      </c>
      <c r="U162">
        <v>0.42857000000000001</v>
      </c>
      <c r="V162" t="s">
        <v>61</v>
      </c>
      <c r="W162" t="s">
        <v>324</v>
      </c>
      <c r="X162" t="s">
        <v>62</v>
      </c>
      <c r="Y162" t="s">
        <v>62</v>
      </c>
      <c r="Z162">
        <v>1</v>
      </c>
      <c r="AA162">
        <v>2</v>
      </c>
      <c r="AB162">
        <v>8</v>
      </c>
      <c r="AC162">
        <v>0.2</v>
      </c>
      <c r="AD162" s="47">
        <v>0</v>
      </c>
      <c r="AE162" s="47">
        <v>0</v>
      </c>
      <c r="AF162" s="47">
        <v>0</v>
      </c>
      <c r="AG162" s="47">
        <v>0</v>
      </c>
      <c r="AH162" s="47">
        <v>0</v>
      </c>
      <c r="AI162" s="47">
        <v>0</v>
      </c>
      <c r="AJ162" s="47">
        <v>0</v>
      </c>
      <c r="AK162" s="47">
        <v>0</v>
      </c>
      <c r="AL162">
        <v>4</v>
      </c>
      <c r="AM162">
        <v>0</v>
      </c>
      <c r="AN162">
        <v>5</v>
      </c>
      <c r="AO162">
        <v>4</v>
      </c>
      <c r="AP162">
        <v>11</v>
      </c>
      <c r="AQ162">
        <v>4</v>
      </c>
      <c r="AR162">
        <v>10</v>
      </c>
      <c r="AS162">
        <v>6</v>
      </c>
      <c r="AT162" t="s">
        <v>16231</v>
      </c>
      <c r="AU162" t="s">
        <v>16232</v>
      </c>
      <c r="AV162">
        <v>0.433</v>
      </c>
      <c r="AW162" t="s">
        <v>65</v>
      </c>
      <c r="AX162">
        <v>21</v>
      </c>
      <c r="AY162">
        <v>10</v>
      </c>
      <c r="AZ162" t="s">
        <v>16233</v>
      </c>
      <c r="BA162">
        <v>0.12814</v>
      </c>
      <c r="BB162">
        <v>-1.3180000000000001E-2</v>
      </c>
      <c r="BC162">
        <v>1.7319999999999999E-2</v>
      </c>
      <c r="BD162">
        <v>-2.0600000000000002E-3</v>
      </c>
      <c r="BE162">
        <v>0.13514999999999999</v>
      </c>
      <c r="BF162">
        <v>1</v>
      </c>
      <c r="BG162" t="s">
        <v>69</v>
      </c>
      <c r="BH162">
        <v>0.94399999999999995</v>
      </c>
      <c r="BI162">
        <v>1.7010000000000001</v>
      </c>
    </row>
    <row r="163" spans="3:61">
      <c r="C163">
        <v>0</v>
      </c>
      <c r="D163">
        <v>2</v>
      </c>
      <c r="E163">
        <v>0</v>
      </c>
      <c r="F163" t="s">
        <v>25021</v>
      </c>
      <c r="G163">
        <v>432</v>
      </c>
      <c r="H163" t="s">
        <v>2934</v>
      </c>
      <c r="I163" t="s">
        <v>62</v>
      </c>
      <c r="J163">
        <v>475587</v>
      </c>
      <c r="K163">
        <v>475874</v>
      </c>
      <c r="L163" t="s">
        <v>116</v>
      </c>
      <c r="M163">
        <v>96</v>
      </c>
      <c r="N163" t="s">
        <v>2935</v>
      </c>
      <c r="O163">
        <v>44</v>
      </c>
      <c r="P163" t="str">
        <f>HYPERLINK("Gene432-zp_tree_all.dnd", "Gene432-tree")</f>
        <v>Gene432-tree</v>
      </c>
      <c r="Q163">
        <v>10</v>
      </c>
      <c r="R163">
        <v>2</v>
      </c>
      <c r="S163">
        <v>10</v>
      </c>
      <c r="T163">
        <v>2</v>
      </c>
      <c r="U163">
        <v>0.16667000000000001</v>
      </c>
      <c r="V163" t="s">
        <v>117</v>
      </c>
      <c r="W163" t="s">
        <v>81</v>
      </c>
      <c r="X163" t="s">
        <v>62</v>
      </c>
      <c r="Y163" t="s">
        <v>62</v>
      </c>
      <c r="Z163">
        <v>1</v>
      </c>
      <c r="AA163">
        <v>2</v>
      </c>
      <c r="AB163">
        <v>4</v>
      </c>
      <c r="AC163">
        <v>0.33333000000000002</v>
      </c>
      <c r="AD163" s="47">
        <v>0</v>
      </c>
      <c r="AE163" s="47">
        <v>0</v>
      </c>
      <c r="AF163" s="47">
        <v>0</v>
      </c>
      <c r="AG163" s="47">
        <v>1</v>
      </c>
      <c r="AH163" s="47">
        <v>0</v>
      </c>
      <c r="AI163" s="47">
        <v>0</v>
      </c>
      <c r="AJ163" s="47">
        <v>0</v>
      </c>
      <c r="AK163" s="47">
        <v>0</v>
      </c>
      <c r="AL163">
        <v>2</v>
      </c>
      <c r="AM163">
        <v>0</v>
      </c>
      <c r="AN163">
        <v>9</v>
      </c>
      <c r="AO163">
        <v>6</v>
      </c>
      <c r="AP163">
        <v>11</v>
      </c>
      <c r="AQ163">
        <v>2</v>
      </c>
      <c r="AR163">
        <v>9</v>
      </c>
      <c r="AS163">
        <v>4</v>
      </c>
      <c r="AT163" t="s">
        <v>2936</v>
      </c>
      <c r="AU163" t="s">
        <v>2937</v>
      </c>
      <c r="AV163">
        <v>0.76700000000000002</v>
      </c>
      <c r="AW163" t="s">
        <v>65</v>
      </c>
      <c r="AX163">
        <v>20</v>
      </c>
      <c r="AY163">
        <v>6</v>
      </c>
      <c r="AZ163" t="s">
        <v>2938</v>
      </c>
      <c r="BA163">
        <v>7.5789999999999996E-2</v>
      </c>
      <c r="BB163">
        <v>-6.6800000000000002E-3</v>
      </c>
      <c r="BC163">
        <v>8.0999999999999996E-3</v>
      </c>
      <c r="BD163">
        <v>-5.8E-4</v>
      </c>
      <c r="BE163">
        <v>0.10682</v>
      </c>
      <c r="BF163">
        <v>1</v>
      </c>
      <c r="BG163" t="s">
        <v>69</v>
      </c>
      <c r="BH163">
        <v>-0.90300000000000002</v>
      </c>
      <c r="BI163">
        <v>-0.60199999999999998</v>
      </c>
    </row>
    <row r="164" spans="3:61">
      <c r="C164">
        <v>0</v>
      </c>
      <c r="D164">
        <v>0</v>
      </c>
      <c r="E164">
        <v>0</v>
      </c>
      <c r="F164" t="s">
        <v>25021</v>
      </c>
      <c r="G164">
        <v>985</v>
      </c>
      <c r="H164" t="s">
        <v>6176</v>
      </c>
      <c r="I164" t="s">
        <v>62</v>
      </c>
      <c r="J164">
        <v>1028236</v>
      </c>
      <c r="K164">
        <v>1028523</v>
      </c>
      <c r="L164" t="s">
        <v>6177</v>
      </c>
      <c r="M164">
        <v>96</v>
      </c>
      <c r="N164" t="s">
        <v>698</v>
      </c>
      <c r="O164">
        <v>47</v>
      </c>
      <c r="P164" t="str">
        <f>HYPERLINK("Gene985-zp_tree_all.dnd", "Gene985-tree")</f>
        <v>Gene985-tree</v>
      </c>
      <c r="Q164">
        <v>10</v>
      </c>
      <c r="R164">
        <v>0</v>
      </c>
      <c r="S164">
        <v>10</v>
      </c>
      <c r="T164">
        <v>0</v>
      </c>
      <c r="U164">
        <v>0</v>
      </c>
      <c r="V164" t="s">
        <v>117</v>
      </c>
      <c r="W164" t="s">
        <v>62</v>
      </c>
      <c r="X164" t="s">
        <v>62</v>
      </c>
      <c r="Y164" t="s">
        <v>62</v>
      </c>
      <c r="Z164">
        <v>0</v>
      </c>
      <c r="AA164">
        <v>0</v>
      </c>
      <c r="AB164">
        <v>1</v>
      </c>
      <c r="AC164">
        <v>0</v>
      </c>
      <c r="AD164" s="47">
        <v>0</v>
      </c>
      <c r="AE164" s="47">
        <v>0</v>
      </c>
      <c r="AF164" s="47">
        <v>0</v>
      </c>
      <c r="AG164" s="47">
        <v>0</v>
      </c>
      <c r="AH164" s="47">
        <v>0</v>
      </c>
      <c r="AI164" s="47">
        <v>0</v>
      </c>
      <c r="AJ164" s="47">
        <v>0</v>
      </c>
      <c r="AK164" s="47">
        <v>0</v>
      </c>
      <c r="AL164">
        <v>0</v>
      </c>
      <c r="AM164">
        <v>0</v>
      </c>
      <c r="AN164">
        <v>6</v>
      </c>
      <c r="AO164">
        <v>5</v>
      </c>
      <c r="AP164">
        <v>10</v>
      </c>
      <c r="AQ164">
        <v>0</v>
      </c>
      <c r="AR164">
        <v>12</v>
      </c>
      <c r="AS164">
        <v>1</v>
      </c>
      <c r="AT164" t="s">
        <v>193</v>
      </c>
      <c r="AU164" t="s">
        <v>6178</v>
      </c>
      <c r="AV164">
        <v>0.44600000000000001</v>
      </c>
      <c r="AW164" t="s">
        <v>65</v>
      </c>
      <c r="AX164">
        <v>22</v>
      </c>
      <c r="AY164">
        <v>1</v>
      </c>
      <c r="AZ164" t="s">
        <v>6179</v>
      </c>
      <c r="BA164">
        <v>9.5000000000000001E-2</v>
      </c>
      <c r="BB164">
        <v>-1.044E-2</v>
      </c>
      <c r="BC164">
        <v>2.49E-3</v>
      </c>
      <c r="BD164">
        <v>-5.4000000000000001E-4</v>
      </c>
      <c r="BE164">
        <v>2.6190000000000001E-2</v>
      </c>
      <c r="BF164">
        <v>1</v>
      </c>
      <c r="BG164" t="s">
        <v>69</v>
      </c>
      <c r="BH164">
        <v>-1.1200000000000001</v>
      </c>
      <c r="BI164">
        <v>-0.39900000000000002</v>
      </c>
    </row>
    <row r="165" spans="3:61">
      <c r="C165">
        <v>0</v>
      </c>
      <c r="D165">
        <v>0</v>
      </c>
      <c r="E165">
        <v>0</v>
      </c>
      <c r="F165" t="s">
        <v>25021</v>
      </c>
      <c r="G165">
        <v>37</v>
      </c>
      <c r="H165" t="s">
        <v>337</v>
      </c>
      <c r="I165" t="s">
        <v>62</v>
      </c>
      <c r="J165">
        <v>44851</v>
      </c>
      <c r="K165">
        <v>45138</v>
      </c>
      <c r="L165" t="s">
        <v>338</v>
      </c>
      <c r="M165">
        <v>96</v>
      </c>
      <c r="N165" t="s">
        <v>59</v>
      </c>
      <c r="O165">
        <v>49</v>
      </c>
      <c r="P165" t="str">
        <f>HYPERLINK("Gene37-zp_tree_all.dnd", "Gene37-tree")</f>
        <v>Gene37-tree</v>
      </c>
      <c r="Q165">
        <v>5</v>
      </c>
      <c r="R165">
        <v>0</v>
      </c>
      <c r="S165">
        <v>5</v>
      </c>
      <c r="T165">
        <v>0</v>
      </c>
      <c r="U165">
        <v>0</v>
      </c>
      <c r="V165" t="s">
        <v>199</v>
      </c>
      <c r="W165" t="s">
        <v>62</v>
      </c>
      <c r="X165" t="s">
        <v>62</v>
      </c>
      <c r="Y165" t="s">
        <v>62</v>
      </c>
      <c r="Z165">
        <v>0</v>
      </c>
      <c r="AA165">
        <v>0</v>
      </c>
      <c r="AB165">
        <v>0</v>
      </c>
      <c r="AC165">
        <v>0</v>
      </c>
      <c r="AD165" s="47">
        <v>0</v>
      </c>
      <c r="AE165" s="47">
        <v>0</v>
      </c>
      <c r="AF165" s="47">
        <v>0</v>
      </c>
      <c r="AG165" s="47">
        <v>0</v>
      </c>
      <c r="AH165" s="47">
        <v>0</v>
      </c>
      <c r="AI165" s="47">
        <v>0</v>
      </c>
      <c r="AJ165" s="47">
        <v>0</v>
      </c>
      <c r="AK165" s="47">
        <v>0</v>
      </c>
      <c r="AL165">
        <v>0</v>
      </c>
      <c r="AM165">
        <v>0</v>
      </c>
      <c r="AN165">
        <v>3</v>
      </c>
      <c r="AO165">
        <v>1</v>
      </c>
      <c r="AP165">
        <v>6</v>
      </c>
      <c r="AQ165">
        <v>0</v>
      </c>
      <c r="AR165">
        <v>1</v>
      </c>
      <c r="AS165">
        <v>0</v>
      </c>
      <c r="AT165" t="s">
        <v>193</v>
      </c>
      <c r="AU165" t="s">
        <v>193</v>
      </c>
      <c r="AV165">
        <v>0</v>
      </c>
      <c r="AW165" t="s">
        <v>65</v>
      </c>
      <c r="AX165">
        <v>7</v>
      </c>
      <c r="AY165">
        <v>0</v>
      </c>
      <c r="AZ165" t="s">
        <v>339</v>
      </c>
      <c r="BA165">
        <v>4.956E-2</v>
      </c>
      <c r="BB165">
        <v>-6.8199999999999997E-3</v>
      </c>
      <c r="BC165">
        <v>0</v>
      </c>
      <c r="BD165">
        <v>0</v>
      </c>
      <c r="BE165">
        <v>0</v>
      </c>
      <c r="BF165">
        <v>1</v>
      </c>
      <c r="BG165" t="s">
        <v>69</v>
      </c>
      <c r="BH165">
        <v>-1.548</v>
      </c>
      <c r="BI165">
        <v>-1.859</v>
      </c>
    </row>
    <row r="166" spans="3:61">
      <c r="C166">
        <v>0</v>
      </c>
      <c r="D166">
        <v>4</v>
      </c>
      <c r="E166">
        <v>0</v>
      </c>
      <c r="F166" t="s">
        <v>25021</v>
      </c>
      <c r="G166">
        <v>1927</v>
      </c>
      <c r="H166" t="s">
        <v>12078</v>
      </c>
      <c r="I166" t="s">
        <v>57</v>
      </c>
      <c r="J166">
        <v>2027509</v>
      </c>
      <c r="K166">
        <v>2027799</v>
      </c>
      <c r="L166" t="s">
        <v>116</v>
      </c>
      <c r="M166">
        <v>97</v>
      </c>
      <c r="N166" t="s">
        <v>2078</v>
      </c>
      <c r="O166">
        <v>36</v>
      </c>
      <c r="P166" t="str">
        <f>HYPERLINK("Gene1927-zp_tree_all.dnd", "Gene1927-tree")</f>
        <v>Gene1927-tree</v>
      </c>
      <c r="Q166">
        <v>26</v>
      </c>
      <c r="R166">
        <v>4</v>
      </c>
      <c r="S166">
        <v>5</v>
      </c>
      <c r="T166">
        <v>4</v>
      </c>
      <c r="U166">
        <v>0.44444</v>
      </c>
      <c r="V166" t="s">
        <v>4315</v>
      </c>
      <c r="W166" t="s">
        <v>61</v>
      </c>
      <c r="X166" t="s">
        <v>62</v>
      </c>
      <c r="Y166" t="s">
        <v>62</v>
      </c>
      <c r="Z166">
        <v>2</v>
      </c>
      <c r="AA166">
        <v>4</v>
      </c>
      <c r="AB166">
        <v>9</v>
      </c>
      <c r="AC166">
        <v>0.30769000000000002</v>
      </c>
      <c r="AD166" s="47">
        <v>0</v>
      </c>
      <c r="AE166" s="47">
        <v>0</v>
      </c>
      <c r="AF166" s="47">
        <v>0</v>
      </c>
      <c r="AG166" s="47">
        <v>1</v>
      </c>
      <c r="AH166" s="47">
        <v>0</v>
      </c>
      <c r="AI166" s="47">
        <v>0</v>
      </c>
      <c r="AJ166" s="47">
        <v>0</v>
      </c>
      <c r="AK166" s="47">
        <v>0</v>
      </c>
      <c r="AL166">
        <v>7</v>
      </c>
      <c r="AM166">
        <v>0</v>
      </c>
      <c r="AN166">
        <v>8</v>
      </c>
      <c r="AO166">
        <v>6</v>
      </c>
      <c r="AP166">
        <v>9</v>
      </c>
      <c r="AQ166">
        <v>8</v>
      </c>
      <c r="AR166">
        <v>7</v>
      </c>
      <c r="AS166">
        <v>6</v>
      </c>
      <c r="AT166" t="s">
        <v>12079</v>
      </c>
      <c r="AU166" t="s">
        <v>12080</v>
      </c>
      <c r="AV166">
        <v>4.2000000000000003E-2</v>
      </c>
      <c r="AW166" t="s">
        <v>65</v>
      </c>
      <c r="AX166">
        <v>16</v>
      </c>
      <c r="AY166">
        <v>14</v>
      </c>
      <c r="AZ166" t="s">
        <v>12081</v>
      </c>
      <c r="BA166">
        <v>7.5730000000000006E-2</v>
      </c>
      <c r="BB166">
        <v>-5.0800000000000003E-3</v>
      </c>
      <c r="BC166">
        <v>1.729E-2</v>
      </c>
      <c r="BD166">
        <v>-1.4300000000000001E-3</v>
      </c>
      <c r="BE166">
        <v>0.22832</v>
      </c>
      <c r="BF166">
        <v>1</v>
      </c>
      <c r="BG166" t="s">
        <v>69</v>
      </c>
      <c r="BH166">
        <v>-0.222</v>
      </c>
      <c r="BI166">
        <v>-1.2749999999999999</v>
      </c>
    </row>
    <row r="167" spans="3:61">
      <c r="C167">
        <v>0</v>
      </c>
      <c r="D167">
        <v>0</v>
      </c>
      <c r="E167">
        <v>0</v>
      </c>
      <c r="F167" t="s">
        <v>25021</v>
      </c>
      <c r="G167">
        <v>1930</v>
      </c>
      <c r="H167" t="s">
        <v>12092</v>
      </c>
      <c r="I167" t="s">
        <v>57</v>
      </c>
      <c r="J167">
        <v>2029020</v>
      </c>
      <c r="K167">
        <v>2029310</v>
      </c>
      <c r="L167" t="s">
        <v>12093</v>
      </c>
      <c r="M167">
        <v>97</v>
      </c>
      <c r="N167" t="s">
        <v>2078</v>
      </c>
      <c r="O167">
        <v>36</v>
      </c>
      <c r="P167" t="str">
        <f>HYPERLINK("Gene1930-zp_tree_all.dnd", "Gene1930-tree")</f>
        <v>Gene1930-tree</v>
      </c>
      <c r="Q167">
        <v>9</v>
      </c>
      <c r="R167">
        <v>2</v>
      </c>
      <c r="S167">
        <v>9</v>
      </c>
      <c r="T167">
        <v>2</v>
      </c>
      <c r="U167">
        <v>0.18182000000000001</v>
      </c>
      <c r="V167" t="s">
        <v>135</v>
      </c>
      <c r="W167" t="s">
        <v>81</v>
      </c>
      <c r="X167" t="s">
        <v>62</v>
      </c>
      <c r="Y167" t="s">
        <v>62</v>
      </c>
      <c r="Z167">
        <v>0</v>
      </c>
      <c r="AA167">
        <v>0</v>
      </c>
      <c r="AB167">
        <v>4</v>
      </c>
      <c r="AC167">
        <v>0</v>
      </c>
      <c r="AD167" s="47">
        <v>0</v>
      </c>
      <c r="AE167" s="47">
        <v>0</v>
      </c>
      <c r="AF167" s="47">
        <v>0</v>
      </c>
      <c r="AG167" s="47">
        <v>3</v>
      </c>
      <c r="AH167" s="47">
        <v>0</v>
      </c>
      <c r="AI167" s="47">
        <v>0</v>
      </c>
      <c r="AJ167" s="47">
        <v>0</v>
      </c>
      <c r="AK167" s="47">
        <v>0</v>
      </c>
      <c r="AL167">
        <v>1</v>
      </c>
      <c r="AM167">
        <v>0</v>
      </c>
      <c r="AN167">
        <v>5</v>
      </c>
      <c r="AO167">
        <v>6</v>
      </c>
      <c r="AP167">
        <v>5</v>
      </c>
      <c r="AQ167">
        <v>1</v>
      </c>
      <c r="AR167">
        <v>9</v>
      </c>
      <c r="AS167">
        <v>3</v>
      </c>
      <c r="AT167" t="s">
        <v>12094</v>
      </c>
      <c r="AU167" t="s">
        <v>12095</v>
      </c>
      <c r="AV167">
        <v>0.26600000000000001</v>
      </c>
      <c r="AW167" t="s">
        <v>65</v>
      </c>
      <c r="AX167">
        <v>14</v>
      </c>
      <c r="AY167">
        <v>4</v>
      </c>
      <c r="AZ167" t="s">
        <v>12096</v>
      </c>
      <c r="BA167">
        <v>7.374E-2</v>
      </c>
      <c r="BB167">
        <v>-5.9500000000000004E-3</v>
      </c>
      <c r="BC167">
        <v>5.0699999999999999E-3</v>
      </c>
      <c r="BD167">
        <v>-4.8999999999999998E-4</v>
      </c>
      <c r="BE167">
        <v>6.8790000000000004E-2</v>
      </c>
      <c r="BF167">
        <v>1</v>
      </c>
      <c r="BG167" t="s">
        <v>69</v>
      </c>
      <c r="BH167">
        <v>-0.71099999999999997</v>
      </c>
      <c r="BI167">
        <v>0.71899999999999997</v>
      </c>
    </row>
    <row r="168" spans="3:61">
      <c r="C168">
        <v>0</v>
      </c>
      <c r="D168">
        <v>0</v>
      </c>
      <c r="E168">
        <v>6</v>
      </c>
      <c r="F168" t="s">
        <v>25021</v>
      </c>
      <c r="G168">
        <v>2624</v>
      </c>
      <c r="H168" t="s">
        <v>15373</v>
      </c>
      <c r="I168" t="s">
        <v>57</v>
      </c>
      <c r="J168">
        <v>2602979</v>
      </c>
      <c r="K168">
        <v>2603272</v>
      </c>
      <c r="L168" t="s">
        <v>2302</v>
      </c>
      <c r="M168">
        <v>98</v>
      </c>
      <c r="N168" t="s">
        <v>59</v>
      </c>
      <c r="O168">
        <v>49</v>
      </c>
      <c r="P168" t="str">
        <f>HYPERLINK("Gene2624-zp_tree_all.dnd", "Gene2624-tree")</f>
        <v>Gene2624-tree</v>
      </c>
      <c r="Q168">
        <v>2</v>
      </c>
      <c r="R168">
        <v>9</v>
      </c>
      <c r="S168">
        <v>2</v>
      </c>
      <c r="T168">
        <v>9</v>
      </c>
      <c r="U168">
        <v>0.81818000000000002</v>
      </c>
      <c r="V168" t="s">
        <v>81</v>
      </c>
      <c r="W168" t="s">
        <v>135</v>
      </c>
      <c r="X168" t="s">
        <v>62</v>
      </c>
      <c r="Y168" t="s">
        <v>62</v>
      </c>
      <c r="Z168">
        <v>3</v>
      </c>
      <c r="AA168">
        <v>6</v>
      </c>
      <c r="AB168">
        <v>10</v>
      </c>
      <c r="AC168">
        <v>0.375</v>
      </c>
      <c r="AD168" s="47">
        <v>0</v>
      </c>
      <c r="AE168" s="47">
        <v>0</v>
      </c>
      <c r="AF168" s="47">
        <v>0</v>
      </c>
      <c r="AG168" s="47">
        <v>1</v>
      </c>
      <c r="AH168" s="47">
        <v>0</v>
      </c>
      <c r="AI168" s="47">
        <v>0</v>
      </c>
      <c r="AJ168" s="47">
        <v>6</v>
      </c>
      <c r="AK168" s="47">
        <v>6</v>
      </c>
      <c r="AL168">
        <v>7</v>
      </c>
      <c r="AM168">
        <v>0.46154000000000001</v>
      </c>
      <c r="AN168">
        <v>9</v>
      </c>
      <c r="AO168">
        <v>3</v>
      </c>
      <c r="AP168">
        <v>2</v>
      </c>
      <c r="AQ168">
        <v>13</v>
      </c>
      <c r="AR168">
        <v>0</v>
      </c>
      <c r="AS168">
        <v>3</v>
      </c>
      <c r="AT168" t="s">
        <v>15374</v>
      </c>
      <c r="AU168" t="s">
        <v>193</v>
      </c>
      <c r="AV168">
        <v>0.74099999999999999</v>
      </c>
      <c r="AW168" t="s">
        <v>65</v>
      </c>
      <c r="AX168">
        <v>2</v>
      </c>
      <c r="AY168">
        <v>16</v>
      </c>
      <c r="AZ168" t="s">
        <v>15375</v>
      </c>
      <c r="BA168">
        <v>5.8199999999999997E-3</v>
      </c>
      <c r="BB168">
        <v>-1.1000000000000001E-3</v>
      </c>
      <c r="BC168">
        <v>1.6420000000000001E-2</v>
      </c>
      <c r="BD168">
        <v>-1.07E-3</v>
      </c>
      <c r="BE168">
        <v>2.8215499999999998</v>
      </c>
      <c r="BF168">
        <v>0.05</v>
      </c>
      <c r="BG168" t="s">
        <v>635</v>
      </c>
      <c r="BH168">
        <v>-1.8420000000000001</v>
      </c>
      <c r="BI168">
        <v>-2.1280000000000001</v>
      </c>
    </row>
    <row r="169" spans="3:61">
      <c r="C169">
        <v>0</v>
      </c>
      <c r="D169">
        <v>0</v>
      </c>
      <c r="E169">
        <v>0</v>
      </c>
      <c r="F169" t="s">
        <v>25021</v>
      </c>
      <c r="G169">
        <v>3730</v>
      </c>
      <c r="H169" t="s">
        <v>21867</v>
      </c>
      <c r="I169" t="s">
        <v>57</v>
      </c>
      <c r="J169">
        <v>3707836</v>
      </c>
      <c r="K169">
        <v>3708129</v>
      </c>
      <c r="L169" t="s">
        <v>116</v>
      </c>
      <c r="M169">
        <v>98</v>
      </c>
      <c r="N169" t="s">
        <v>108</v>
      </c>
      <c r="O169">
        <v>44</v>
      </c>
      <c r="P169" t="str">
        <f>HYPERLINK("Gene3730-zp_tree_all.dnd", "Gene3730-tree")</f>
        <v>Gene3730-tree</v>
      </c>
      <c r="Q169">
        <v>4</v>
      </c>
      <c r="R169">
        <v>2</v>
      </c>
      <c r="S169">
        <v>4</v>
      </c>
      <c r="T169">
        <v>2</v>
      </c>
      <c r="U169">
        <v>0.33333000000000002</v>
      </c>
      <c r="V169" t="s">
        <v>61</v>
      </c>
      <c r="W169" t="s">
        <v>81</v>
      </c>
      <c r="X169" t="s">
        <v>62</v>
      </c>
      <c r="Y169" t="s">
        <v>62</v>
      </c>
      <c r="Z169">
        <v>0</v>
      </c>
      <c r="AA169">
        <v>0</v>
      </c>
      <c r="AB169">
        <v>4</v>
      </c>
      <c r="AC169">
        <v>0</v>
      </c>
      <c r="AD169" s="47">
        <v>0</v>
      </c>
      <c r="AE169" s="47">
        <v>0</v>
      </c>
      <c r="AF169" s="47">
        <v>0</v>
      </c>
      <c r="AG169" s="47">
        <v>0</v>
      </c>
      <c r="AH169" s="47">
        <v>0</v>
      </c>
      <c r="AI169" s="47">
        <v>0</v>
      </c>
      <c r="AJ169" s="47">
        <v>0</v>
      </c>
      <c r="AK169" s="47">
        <v>0</v>
      </c>
      <c r="AL169">
        <v>3</v>
      </c>
      <c r="AM169">
        <v>0</v>
      </c>
      <c r="AN169">
        <v>4</v>
      </c>
      <c r="AO169">
        <v>2</v>
      </c>
      <c r="AP169">
        <v>8</v>
      </c>
      <c r="AQ169">
        <v>3</v>
      </c>
      <c r="AR169">
        <v>2</v>
      </c>
      <c r="AS169">
        <v>1</v>
      </c>
      <c r="AT169" t="s">
        <v>21868</v>
      </c>
      <c r="AU169" t="s">
        <v>21869</v>
      </c>
      <c r="AV169">
        <v>0.23400000000000001</v>
      </c>
      <c r="AW169" t="s">
        <v>65</v>
      </c>
      <c r="AX169">
        <v>10</v>
      </c>
      <c r="AY169">
        <v>4</v>
      </c>
      <c r="AZ169" t="s">
        <v>21870</v>
      </c>
      <c r="BA169">
        <v>5.4989999999999997E-2</v>
      </c>
      <c r="BB169">
        <v>-1.077E-2</v>
      </c>
      <c r="BC169">
        <v>6.7999999999999996E-3</v>
      </c>
      <c r="BD169">
        <v>-1.3799999999999999E-3</v>
      </c>
      <c r="BE169">
        <v>0.12358</v>
      </c>
      <c r="BF169">
        <v>1</v>
      </c>
      <c r="BG169" t="s">
        <v>69</v>
      </c>
      <c r="BH169">
        <v>-0.72</v>
      </c>
      <c r="BI169">
        <v>-2.4380000000000002</v>
      </c>
    </row>
    <row r="170" spans="3:61">
      <c r="C170">
        <v>0</v>
      </c>
      <c r="D170">
        <v>0</v>
      </c>
      <c r="E170">
        <v>2</v>
      </c>
      <c r="F170" t="s">
        <v>25021</v>
      </c>
      <c r="G170">
        <v>2608</v>
      </c>
      <c r="H170" t="s">
        <v>15264</v>
      </c>
      <c r="I170" t="s">
        <v>57</v>
      </c>
      <c r="J170">
        <v>2588701</v>
      </c>
      <c r="K170">
        <v>2588997</v>
      </c>
      <c r="L170" t="s">
        <v>15259</v>
      </c>
      <c r="M170">
        <v>99</v>
      </c>
      <c r="N170" t="s">
        <v>265</v>
      </c>
      <c r="O170">
        <v>43</v>
      </c>
      <c r="P170" t="str">
        <f>HYPERLINK("Gene2608-zp_tree_all.dnd", "Gene2608-tree")</f>
        <v>Gene2608-tree</v>
      </c>
      <c r="Q170">
        <v>6</v>
      </c>
      <c r="R170">
        <v>6</v>
      </c>
      <c r="S170">
        <v>6</v>
      </c>
      <c r="T170">
        <v>6</v>
      </c>
      <c r="U170">
        <v>0.5</v>
      </c>
      <c r="V170" t="s">
        <v>90</v>
      </c>
      <c r="W170" t="s">
        <v>90</v>
      </c>
      <c r="X170" t="s">
        <v>62</v>
      </c>
      <c r="Y170" t="s">
        <v>62</v>
      </c>
      <c r="Z170">
        <v>1</v>
      </c>
      <c r="AA170">
        <v>2</v>
      </c>
      <c r="AB170">
        <v>6</v>
      </c>
      <c r="AC170">
        <v>0.25</v>
      </c>
      <c r="AD170" s="47">
        <v>0</v>
      </c>
      <c r="AE170" s="47">
        <v>0</v>
      </c>
      <c r="AF170" s="47">
        <v>0</v>
      </c>
      <c r="AG170" s="47">
        <v>0</v>
      </c>
      <c r="AH170" s="47">
        <v>0</v>
      </c>
      <c r="AI170" s="47">
        <v>0</v>
      </c>
      <c r="AJ170" s="47">
        <v>2</v>
      </c>
      <c r="AK170" s="47">
        <v>2</v>
      </c>
      <c r="AL170">
        <v>5</v>
      </c>
      <c r="AM170">
        <v>0.28571000000000002</v>
      </c>
      <c r="AN170">
        <v>10</v>
      </c>
      <c r="AO170">
        <v>5</v>
      </c>
      <c r="AP170">
        <v>6</v>
      </c>
      <c r="AQ170">
        <v>7</v>
      </c>
      <c r="AR170">
        <v>5</v>
      </c>
      <c r="AS170">
        <v>1</v>
      </c>
      <c r="AT170" t="s">
        <v>15265</v>
      </c>
      <c r="AU170" t="s">
        <v>15266</v>
      </c>
      <c r="AV170">
        <v>1.423</v>
      </c>
      <c r="AW170" t="s">
        <v>65</v>
      </c>
      <c r="AX170">
        <v>11</v>
      </c>
      <c r="AY170">
        <v>8</v>
      </c>
      <c r="AZ170" t="s">
        <v>15267</v>
      </c>
      <c r="BA170">
        <v>3.5389999999999998E-2</v>
      </c>
      <c r="BB170">
        <v>-2.3999999999999998E-3</v>
      </c>
      <c r="BC170">
        <v>7.7099999999999998E-3</v>
      </c>
      <c r="BD170">
        <v>-5.5000000000000003E-4</v>
      </c>
      <c r="BE170">
        <v>0.21775</v>
      </c>
      <c r="BF170">
        <v>0.99</v>
      </c>
      <c r="BG170" t="s">
        <v>69</v>
      </c>
      <c r="BH170">
        <v>-0.61899999999999999</v>
      </c>
      <c r="BI170">
        <v>-1.288</v>
      </c>
    </row>
    <row r="171" spans="3:61">
      <c r="C171">
        <v>0</v>
      </c>
      <c r="D171">
        <v>4</v>
      </c>
      <c r="E171">
        <v>0</v>
      </c>
      <c r="F171" t="s">
        <v>25021</v>
      </c>
      <c r="G171">
        <v>2810</v>
      </c>
      <c r="H171" t="s">
        <v>16115</v>
      </c>
      <c r="I171" t="s">
        <v>57</v>
      </c>
      <c r="J171">
        <v>2754820</v>
      </c>
      <c r="K171">
        <v>2755116</v>
      </c>
      <c r="L171" t="s">
        <v>5691</v>
      </c>
      <c r="M171">
        <v>99</v>
      </c>
      <c r="N171" t="s">
        <v>108</v>
      </c>
      <c r="O171">
        <v>44</v>
      </c>
      <c r="P171" t="str">
        <f>HYPERLINK("Gene2810-zp_tree_all.dnd", "Gene2810-tree")</f>
        <v>Gene2810-tree</v>
      </c>
      <c r="Q171">
        <v>6</v>
      </c>
      <c r="R171">
        <v>5</v>
      </c>
      <c r="S171">
        <v>6</v>
      </c>
      <c r="T171">
        <v>5</v>
      </c>
      <c r="U171">
        <v>0.45455000000000001</v>
      </c>
      <c r="V171" t="s">
        <v>90</v>
      </c>
      <c r="W171" t="s">
        <v>199</v>
      </c>
      <c r="X171" t="s">
        <v>62</v>
      </c>
      <c r="Y171" t="s">
        <v>62</v>
      </c>
      <c r="Z171">
        <v>2</v>
      </c>
      <c r="AA171">
        <v>4</v>
      </c>
      <c r="AB171">
        <v>5</v>
      </c>
      <c r="AC171">
        <v>0.44444</v>
      </c>
      <c r="AD171" s="47">
        <v>0</v>
      </c>
      <c r="AE171" s="47">
        <v>0</v>
      </c>
      <c r="AF171" s="47">
        <v>0</v>
      </c>
      <c r="AG171" s="47">
        <v>0</v>
      </c>
      <c r="AH171" s="47">
        <v>0</v>
      </c>
      <c r="AI171" s="47">
        <v>2</v>
      </c>
      <c r="AJ171" s="47">
        <v>0</v>
      </c>
      <c r="AK171" s="47">
        <v>2</v>
      </c>
      <c r="AL171">
        <v>4</v>
      </c>
      <c r="AM171">
        <v>0.33333000000000002</v>
      </c>
      <c r="AN171">
        <v>9</v>
      </c>
      <c r="AO171">
        <v>6</v>
      </c>
      <c r="AP171">
        <v>14</v>
      </c>
      <c r="AQ171">
        <v>5</v>
      </c>
      <c r="AR171">
        <v>16</v>
      </c>
      <c r="AS171">
        <v>4</v>
      </c>
      <c r="AT171" t="s">
        <v>16116</v>
      </c>
      <c r="AU171" t="s">
        <v>16117</v>
      </c>
      <c r="AV171">
        <v>0.40400000000000003</v>
      </c>
      <c r="AW171" t="s">
        <v>65</v>
      </c>
      <c r="AX171">
        <v>30</v>
      </c>
      <c r="AY171">
        <v>9</v>
      </c>
      <c r="AZ171" t="s">
        <v>16118</v>
      </c>
      <c r="BA171">
        <v>0.12490999999999999</v>
      </c>
      <c r="BB171">
        <v>-9.1000000000000004E-3</v>
      </c>
      <c r="BC171">
        <v>1.0070000000000001E-2</v>
      </c>
      <c r="BD171">
        <v>-8.4000000000000003E-4</v>
      </c>
      <c r="BE171">
        <v>8.0600000000000005E-2</v>
      </c>
      <c r="BF171">
        <v>1</v>
      </c>
      <c r="BG171" t="s">
        <v>69</v>
      </c>
      <c r="BH171">
        <v>-0.223</v>
      </c>
      <c r="BI171">
        <v>0.43</v>
      </c>
    </row>
    <row r="172" spans="3:61">
      <c r="C172">
        <v>0</v>
      </c>
      <c r="D172">
        <v>2</v>
      </c>
      <c r="E172">
        <v>2</v>
      </c>
      <c r="F172" t="s">
        <v>25021</v>
      </c>
      <c r="G172">
        <v>3044</v>
      </c>
      <c r="H172" t="s">
        <v>17610</v>
      </c>
      <c r="I172" t="s">
        <v>57</v>
      </c>
      <c r="J172">
        <v>2996980</v>
      </c>
      <c r="K172">
        <v>2997279</v>
      </c>
      <c r="L172" t="s">
        <v>116</v>
      </c>
      <c r="M172">
        <v>100</v>
      </c>
      <c r="N172" t="s">
        <v>59</v>
      </c>
      <c r="O172">
        <v>49</v>
      </c>
      <c r="P172" t="str">
        <f>HYPERLINK("Gene3044-zp_tree_all.dnd", "Gene3044-tree")</f>
        <v>Gene3044-tree</v>
      </c>
      <c r="Q172">
        <v>5</v>
      </c>
      <c r="R172">
        <v>3</v>
      </c>
      <c r="S172">
        <v>5</v>
      </c>
      <c r="T172">
        <v>3</v>
      </c>
      <c r="U172">
        <v>0.375</v>
      </c>
      <c r="V172" t="s">
        <v>199</v>
      </c>
      <c r="W172" t="s">
        <v>324</v>
      </c>
      <c r="X172" t="s">
        <v>62</v>
      </c>
      <c r="Y172" t="s">
        <v>62</v>
      </c>
      <c r="Z172">
        <v>2</v>
      </c>
      <c r="AA172">
        <v>4</v>
      </c>
      <c r="AB172">
        <v>4</v>
      </c>
      <c r="AC172">
        <v>0.5</v>
      </c>
      <c r="AD172" s="47">
        <v>0</v>
      </c>
      <c r="AE172" s="47">
        <v>0</v>
      </c>
      <c r="AF172" s="47">
        <v>0</v>
      </c>
      <c r="AG172" s="47">
        <v>1</v>
      </c>
      <c r="AH172" s="47">
        <v>0</v>
      </c>
      <c r="AI172" s="47">
        <v>0</v>
      </c>
      <c r="AJ172" s="47">
        <v>0</v>
      </c>
      <c r="AK172" s="47">
        <v>0</v>
      </c>
      <c r="AL172">
        <v>3</v>
      </c>
      <c r="AM172">
        <v>0</v>
      </c>
      <c r="AN172">
        <v>5</v>
      </c>
      <c r="AO172">
        <v>4</v>
      </c>
      <c r="AP172">
        <v>3</v>
      </c>
      <c r="AQ172">
        <v>2</v>
      </c>
      <c r="AR172">
        <v>10</v>
      </c>
      <c r="AS172">
        <v>6</v>
      </c>
      <c r="AT172" t="s">
        <v>17611</v>
      </c>
      <c r="AU172" t="s">
        <v>17612</v>
      </c>
      <c r="AV172">
        <v>9.8000000000000004E-2</v>
      </c>
      <c r="AW172" t="s">
        <v>65</v>
      </c>
      <c r="AX172">
        <v>13</v>
      </c>
      <c r="AY172">
        <v>8</v>
      </c>
      <c r="AZ172" t="s">
        <v>17613</v>
      </c>
      <c r="BA172">
        <v>7.4410000000000004E-2</v>
      </c>
      <c r="BB172">
        <v>-1.106E-2</v>
      </c>
      <c r="BC172">
        <v>1.3849999999999999E-2</v>
      </c>
      <c r="BD172">
        <v>-1.7899999999999999E-3</v>
      </c>
      <c r="BE172">
        <v>0.18614</v>
      </c>
      <c r="BF172">
        <v>1</v>
      </c>
      <c r="BG172" t="s">
        <v>69</v>
      </c>
      <c r="BH172">
        <v>-0.877</v>
      </c>
      <c r="BI172">
        <v>0.89900000000000002</v>
      </c>
    </row>
    <row r="173" spans="3:61">
      <c r="C173">
        <v>0</v>
      </c>
      <c r="D173">
        <v>2</v>
      </c>
      <c r="E173">
        <v>2</v>
      </c>
      <c r="F173" t="s">
        <v>25021</v>
      </c>
      <c r="G173">
        <v>298</v>
      </c>
      <c r="H173" t="s">
        <v>2032</v>
      </c>
      <c r="I173" t="s">
        <v>62</v>
      </c>
      <c r="J173">
        <v>320424</v>
      </c>
      <c r="K173">
        <v>320723</v>
      </c>
      <c r="L173" t="s">
        <v>2033</v>
      </c>
      <c r="M173">
        <v>100</v>
      </c>
      <c r="N173" t="s">
        <v>1607</v>
      </c>
      <c r="O173">
        <v>47</v>
      </c>
      <c r="P173" t="str">
        <f>HYPERLINK("Gene298-zp_tree_all.dnd", "Gene298-tree")</f>
        <v>Gene298-tree</v>
      </c>
      <c r="Q173">
        <v>7</v>
      </c>
      <c r="R173">
        <v>6</v>
      </c>
      <c r="S173">
        <v>7</v>
      </c>
      <c r="T173">
        <v>6</v>
      </c>
      <c r="U173">
        <v>0.46154000000000001</v>
      </c>
      <c r="V173" t="s">
        <v>152</v>
      </c>
      <c r="W173" t="s">
        <v>90</v>
      </c>
      <c r="X173" t="s">
        <v>62</v>
      </c>
      <c r="Y173" t="s">
        <v>62</v>
      </c>
      <c r="Z173">
        <v>1</v>
      </c>
      <c r="AA173">
        <v>4</v>
      </c>
      <c r="AB173">
        <v>4</v>
      </c>
      <c r="AC173">
        <v>0.5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3</v>
      </c>
      <c r="AK173" s="47">
        <v>3</v>
      </c>
      <c r="AL173">
        <v>3</v>
      </c>
      <c r="AM173">
        <v>0.5</v>
      </c>
      <c r="AN173">
        <v>9</v>
      </c>
      <c r="AO173">
        <v>5</v>
      </c>
      <c r="AP173">
        <v>8</v>
      </c>
      <c r="AQ173">
        <v>5</v>
      </c>
      <c r="AR173">
        <v>12</v>
      </c>
      <c r="AS173">
        <v>4</v>
      </c>
      <c r="AT173" t="s">
        <v>2034</v>
      </c>
      <c r="AU173" t="s">
        <v>2035</v>
      </c>
      <c r="AV173">
        <v>0.53400000000000003</v>
      </c>
      <c r="AW173" t="s">
        <v>65</v>
      </c>
      <c r="AX173">
        <v>20</v>
      </c>
      <c r="AY173">
        <v>9</v>
      </c>
      <c r="AZ173" t="s">
        <v>2036</v>
      </c>
      <c r="BA173">
        <v>8.0140000000000003E-2</v>
      </c>
      <c r="BB173">
        <v>-7.1999999999999998E-3</v>
      </c>
      <c r="BC173">
        <v>8.4600000000000005E-3</v>
      </c>
      <c r="BD173">
        <v>-8.4999999999999995E-4</v>
      </c>
      <c r="BE173">
        <v>0.10561</v>
      </c>
      <c r="BF173">
        <v>1</v>
      </c>
      <c r="BG173" t="s">
        <v>69</v>
      </c>
      <c r="BH173">
        <v>-1.6910000000000001</v>
      </c>
      <c r="BI173">
        <v>-0.97899999999999998</v>
      </c>
    </row>
    <row r="174" spans="3:61">
      <c r="C174">
        <v>0</v>
      </c>
      <c r="D174">
        <v>4</v>
      </c>
      <c r="E174">
        <v>2</v>
      </c>
      <c r="F174" t="s">
        <v>25021</v>
      </c>
      <c r="G174">
        <v>1896</v>
      </c>
      <c r="H174" t="s">
        <v>11870</v>
      </c>
      <c r="I174" t="s">
        <v>62</v>
      </c>
      <c r="J174">
        <v>1957454</v>
      </c>
      <c r="K174">
        <v>1957756</v>
      </c>
      <c r="L174" t="s">
        <v>288</v>
      </c>
      <c r="M174">
        <v>101</v>
      </c>
      <c r="N174" t="s">
        <v>3681</v>
      </c>
      <c r="O174">
        <v>38</v>
      </c>
      <c r="P174" t="str">
        <f>HYPERLINK("Gene1896-zp_tree_all.dnd", "Gene1896-tree")</f>
        <v>Gene1896-tree</v>
      </c>
      <c r="Q174">
        <v>3</v>
      </c>
      <c r="R174">
        <v>5</v>
      </c>
      <c r="S174">
        <v>3</v>
      </c>
      <c r="T174">
        <v>5</v>
      </c>
      <c r="U174">
        <v>0.625</v>
      </c>
      <c r="V174" t="s">
        <v>324</v>
      </c>
      <c r="W174" t="s">
        <v>199</v>
      </c>
      <c r="X174" t="s">
        <v>62</v>
      </c>
      <c r="Y174" t="s">
        <v>62</v>
      </c>
      <c r="Z174">
        <v>3</v>
      </c>
      <c r="AA174">
        <v>6</v>
      </c>
      <c r="AB174">
        <v>10</v>
      </c>
      <c r="AC174">
        <v>0.375</v>
      </c>
      <c r="AD174" s="47">
        <v>0</v>
      </c>
      <c r="AE174" s="47">
        <v>0</v>
      </c>
      <c r="AF174" s="47">
        <v>0</v>
      </c>
      <c r="AG174" s="47">
        <v>2</v>
      </c>
      <c r="AH174" s="47">
        <v>0</v>
      </c>
      <c r="AI174" s="47">
        <v>2</v>
      </c>
      <c r="AJ174" s="47">
        <v>2</v>
      </c>
      <c r="AK174" s="47">
        <v>4</v>
      </c>
      <c r="AL174">
        <v>7</v>
      </c>
      <c r="AM174">
        <v>0.36364000000000002</v>
      </c>
      <c r="AN174">
        <v>7</v>
      </c>
      <c r="AO174">
        <v>4</v>
      </c>
      <c r="AP174">
        <v>10</v>
      </c>
      <c r="AQ174">
        <v>12</v>
      </c>
      <c r="AR174">
        <v>1</v>
      </c>
      <c r="AS174">
        <v>5</v>
      </c>
      <c r="AT174" t="s">
        <v>11871</v>
      </c>
      <c r="AU174" t="s">
        <v>11872</v>
      </c>
      <c r="AV174">
        <v>0.48599999999999999</v>
      </c>
      <c r="AW174" t="s">
        <v>65</v>
      </c>
      <c r="AX174">
        <v>11</v>
      </c>
      <c r="AY174">
        <v>17</v>
      </c>
      <c r="AZ174" t="s">
        <v>11873</v>
      </c>
      <c r="BA174">
        <v>4.4670000000000001E-2</v>
      </c>
      <c r="BB174">
        <v>-4.4900000000000001E-3</v>
      </c>
      <c r="BC174">
        <v>2.349E-2</v>
      </c>
      <c r="BD174">
        <v>-1.7099999999999999E-3</v>
      </c>
      <c r="BE174">
        <v>0.52578999999999998</v>
      </c>
      <c r="BF174">
        <v>0.88</v>
      </c>
      <c r="BG174" t="s">
        <v>635</v>
      </c>
      <c r="BH174">
        <v>-0.58599999999999997</v>
      </c>
      <c r="BI174">
        <v>-2.363</v>
      </c>
    </row>
    <row r="175" spans="3:61">
      <c r="C175">
        <v>0</v>
      </c>
      <c r="D175">
        <v>0</v>
      </c>
      <c r="E175">
        <v>0</v>
      </c>
      <c r="F175" t="s">
        <v>25021</v>
      </c>
      <c r="G175">
        <v>1920</v>
      </c>
      <c r="H175" t="s">
        <v>12027</v>
      </c>
      <c r="I175" t="s">
        <v>57</v>
      </c>
      <c r="J175">
        <v>2019421</v>
      </c>
      <c r="K175">
        <v>2019723</v>
      </c>
      <c r="L175" t="s">
        <v>12028</v>
      </c>
      <c r="M175">
        <v>101</v>
      </c>
      <c r="N175" t="s">
        <v>12029</v>
      </c>
      <c r="O175">
        <v>32</v>
      </c>
      <c r="P175" t="str">
        <f>HYPERLINK("Gene1920-zp_tree_all.dnd", "Gene1920-tree")</f>
        <v>Gene1920-tree</v>
      </c>
      <c r="Q175">
        <v>3</v>
      </c>
      <c r="R175">
        <v>3</v>
      </c>
      <c r="S175">
        <v>3</v>
      </c>
      <c r="T175">
        <v>3</v>
      </c>
      <c r="U175">
        <v>0.5</v>
      </c>
      <c r="V175" t="s">
        <v>324</v>
      </c>
      <c r="W175" t="s">
        <v>324</v>
      </c>
      <c r="X175" t="s">
        <v>62</v>
      </c>
      <c r="Y175" t="s">
        <v>62</v>
      </c>
      <c r="Z175">
        <v>0</v>
      </c>
      <c r="AA175">
        <v>0</v>
      </c>
      <c r="AB175">
        <v>11</v>
      </c>
      <c r="AC175">
        <v>0</v>
      </c>
      <c r="AD175" s="47">
        <v>0</v>
      </c>
      <c r="AE175" s="47">
        <v>0</v>
      </c>
      <c r="AF175" s="47">
        <v>0</v>
      </c>
      <c r="AG175" s="47">
        <v>0</v>
      </c>
      <c r="AH175" s="47">
        <v>0</v>
      </c>
      <c r="AI175" s="47">
        <v>0</v>
      </c>
      <c r="AJ175" s="47">
        <v>0</v>
      </c>
      <c r="AK175" s="47">
        <v>0</v>
      </c>
      <c r="AL175">
        <v>5</v>
      </c>
      <c r="AM175">
        <v>0</v>
      </c>
      <c r="AN175">
        <v>5</v>
      </c>
      <c r="AO175">
        <v>3</v>
      </c>
      <c r="AP175">
        <v>6</v>
      </c>
      <c r="AQ175">
        <v>5</v>
      </c>
      <c r="AR175">
        <v>6</v>
      </c>
      <c r="AS175">
        <v>6</v>
      </c>
      <c r="AT175" t="s">
        <v>12030</v>
      </c>
      <c r="AU175" t="s">
        <v>12031</v>
      </c>
      <c r="AV175">
        <v>0.152</v>
      </c>
      <c r="AW175" t="s">
        <v>65</v>
      </c>
      <c r="AX175">
        <v>12</v>
      </c>
      <c r="AY175">
        <v>11</v>
      </c>
      <c r="AZ175" t="s">
        <v>12032</v>
      </c>
      <c r="BA175">
        <v>7.6810000000000003E-2</v>
      </c>
      <c r="BB175">
        <v>-1.0659999999999999E-2</v>
      </c>
      <c r="BC175">
        <v>2.103E-2</v>
      </c>
      <c r="BD175">
        <v>-2.2000000000000001E-3</v>
      </c>
      <c r="BE175">
        <v>0.27385999999999999</v>
      </c>
      <c r="BF175">
        <v>0.98</v>
      </c>
      <c r="BG175" t="s">
        <v>69</v>
      </c>
      <c r="BH175">
        <v>1.446</v>
      </c>
      <c r="BI175">
        <v>0.67900000000000005</v>
      </c>
    </row>
    <row r="176" spans="3:61">
      <c r="C176">
        <v>0</v>
      </c>
      <c r="D176">
        <v>0</v>
      </c>
      <c r="E176">
        <v>3</v>
      </c>
      <c r="F176" t="s">
        <v>25021</v>
      </c>
      <c r="G176">
        <v>3960</v>
      </c>
      <c r="H176" t="s">
        <v>23263</v>
      </c>
      <c r="I176" t="s">
        <v>57</v>
      </c>
      <c r="J176">
        <v>3923920</v>
      </c>
      <c r="K176">
        <v>3924225</v>
      </c>
      <c r="L176" t="s">
        <v>23264</v>
      </c>
      <c r="M176">
        <v>102</v>
      </c>
      <c r="N176" t="s">
        <v>265</v>
      </c>
      <c r="O176">
        <v>43</v>
      </c>
      <c r="P176" t="str">
        <f>HYPERLINK("Gene3960-zp_tree_all.dnd", "Gene3960-tree")</f>
        <v>Gene3960-tree</v>
      </c>
      <c r="Q176">
        <v>5</v>
      </c>
      <c r="R176">
        <v>4</v>
      </c>
      <c r="S176">
        <v>5</v>
      </c>
      <c r="T176">
        <v>4</v>
      </c>
      <c r="U176">
        <v>0.44444</v>
      </c>
      <c r="V176" t="s">
        <v>199</v>
      </c>
      <c r="W176" t="s">
        <v>61</v>
      </c>
      <c r="X176" t="s">
        <v>62</v>
      </c>
      <c r="Y176" t="s">
        <v>62</v>
      </c>
      <c r="Z176">
        <v>1</v>
      </c>
      <c r="AA176">
        <v>3</v>
      </c>
      <c r="AB176">
        <v>2</v>
      </c>
      <c r="AC176">
        <v>0.6</v>
      </c>
      <c r="AD176" s="47">
        <v>0</v>
      </c>
      <c r="AE176" s="47">
        <v>0</v>
      </c>
      <c r="AF176" s="47">
        <v>0</v>
      </c>
      <c r="AG176" s="47">
        <v>1</v>
      </c>
      <c r="AH176" s="47">
        <v>0</v>
      </c>
      <c r="AI176" s="47">
        <v>0</v>
      </c>
      <c r="AJ176" s="47">
        <v>2</v>
      </c>
      <c r="AK176" s="47">
        <v>2</v>
      </c>
      <c r="AL176">
        <v>2</v>
      </c>
      <c r="AM176">
        <v>0.5</v>
      </c>
      <c r="AN176">
        <v>6</v>
      </c>
      <c r="AO176">
        <v>3</v>
      </c>
      <c r="AP176">
        <v>4</v>
      </c>
      <c r="AQ176">
        <v>3</v>
      </c>
      <c r="AR176">
        <v>2</v>
      </c>
      <c r="AS176">
        <v>2</v>
      </c>
      <c r="AT176" t="s">
        <v>23265</v>
      </c>
      <c r="AU176" t="s">
        <v>23266</v>
      </c>
      <c r="AV176">
        <v>0.28199999999999997</v>
      </c>
      <c r="AW176" t="s">
        <v>65</v>
      </c>
      <c r="AX176">
        <v>6</v>
      </c>
      <c r="AY176">
        <v>5</v>
      </c>
      <c r="AZ176" t="s">
        <v>23267</v>
      </c>
      <c r="BA176">
        <v>2.8160000000000001E-2</v>
      </c>
      <c r="BB176">
        <v>-2.65E-3</v>
      </c>
      <c r="BC176">
        <v>7.4700000000000001E-3</v>
      </c>
      <c r="BD176">
        <v>-6.9999999999999999E-4</v>
      </c>
      <c r="BE176">
        <v>0.26516000000000001</v>
      </c>
      <c r="BF176">
        <v>0.95799999999999996</v>
      </c>
      <c r="BG176" t="s">
        <v>69</v>
      </c>
      <c r="BH176">
        <v>-3.4000000000000002E-2</v>
      </c>
      <c r="BI176">
        <v>-1.327</v>
      </c>
    </row>
    <row r="177" spans="3:61">
      <c r="C177">
        <v>0</v>
      </c>
      <c r="D177">
        <v>2</v>
      </c>
      <c r="E177">
        <v>2</v>
      </c>
      <c r="F177" t="s">
        <v>25021</v>
      </c>
      <c r="G177">
        <v>4121</v>
      </c>
      <c r="H177" t="s">
        <v>24287</v>
      </c>
      <c r="I177" t="s">
        <v>57</v>
      </c>
      <c r="J177">
        <v>4087456</v>
      </c>
      <c r="K177">
        <v>4087761</v>
      </c>
      <c r="L177" t="s">
        <v>116</v>
      </c>
      <c r="M177">
        <v>102</v>
      </c>
      <c r="N177" t="s">
        <v>2289</v>
      </c>
      <c r="O177">
        <v>37</v>
      </c>
      <c r="P177" t="str">
        <f>HYPERLINK("Gene4121-zp_tree_all.dnd", "Gene4121-tree")</f>
        <v>Gene4121-tree</v>
      </c>
      <c r="Q177">
        <v>4</v>
      </c>
      <c r="R177">
        <v>5</v>
      </c>
      <c r="S177">
        <v>4</v>
      </c>
      <c r="T177">
        <v>5</v>
      </c>
      <c r="U177">
        <v>0.55556000000000005</v>
      </c>
      <c r="V177" t="s">
        <v>61</v>
      </c>
      <c r="W177" t="s">
        <v>199</v>
      </c>
      <c r="X177" t="s">
        <v>62</v>
      </c>
      <c r="Y177" t="s">
        <v>62</v>
      </c>
      <c r="Z177">
        <v>2</v>
      </c>
      <c r="AA177">
        <v>4</v>
      </c>
      <c r="AB177">
        <v>6</v>
      </c>
      <c r="AC177">
        <v>0.4</v>
      </c>
      <c r="AD177" s="47">
        <v>0</v>
      </c>
      <c r="AE177" s="47">
        <v>0</v>
      </c>
      <c r="AF177" s="47">
        <v>0</v>
      </c>
      <c r="AG177" s="47">
        <v>0</v>
      </c>
      <c r="AH177" s="47">
        <v>0</v>
      </c>
      <c r="AI177" s="47">
        <v>2</v>
      </c>
      <c r="AJ177" s="47">
        <v>2</v>
      </c>
      <c r="AK177" s="47">
        <v>4</v>
      </c>
      <c r="AL177">
        <v>6</v>
      </c>
      <c r="AM177">
        <v>0.4</v>
      </c>
      <c r="AN177">
        <v>6</v>
      </c>
      <c r="AO177">
        <v>3</v>
      </c>
      <c r="AP177">
        <v>7</v>
      </c>
      <c r="AQ177">
        <v>10</v>
      </c>
      <c r="AR177">
        <v>5</v>
      </c>
      <c r="AS177">
        <v>0</v>
      </c>
      <c r="AT177" t="s">
        <v>24288</v>
      </c>
      <c r="AU177" t="s">
        <v>193</v>
      </c>
      <c r="AV177">
        <v>1.0720000000000001</v>
      </c>
      <c r="AW177" t="s">
        <v>65</v>
      </c>
      <c r="AX177">
        <v>12</v>
      </c>
      <c r="AY177">
        <v>10</v>
      </c>
      <c r="AZ177" t="s">
        <v>24289</v>
      </c>
      <c r="BA177">
        <v>6.5439999999999998E-2</v>
      </c>
      <c r="BB177">
        <v>-6.3099999999999996E-3</v>
      </c>
      <c r="BC177">
        <v>8.9899999999999997E-3</v>
      </c>
      <c r="BD177">
        <v>-1.2199999999999999E-3</v>
      </c>
      <c r="BE177">
        <v>0.13730999999999999</v>
      </c>
      <c r="BF177">
        <v>1</v>
      </c>
      <c r="BG177" t="s">
        <v>69</v>
      </c>
      <c r="BH177">
        <v>-0.999</v>
      </c>
      <c r="BI177">
        <v>-2.9119999999999999</v>
      </c>
    </row>
    <row r="178" spans="3:61">
      <c r="C178">
        <v>0</v>
      </c>
      <c r="D178">
        <v>4</v>
      </c>
      <c r="E178">
        <v>0</v>
      </c>
      <c r="F178" t="s">
        <v>25021</v>
      </c>
      <c r="G178">
        <v>803</v>
      </c>
      <c r="H178" t="s">
        <v>4992</v>
      </c>
      <c r="I178" t="s">
        <v>62</v>
      </c>
      <c r="J178">
        <v>839342</v>
      </c>
      <c r="K178">
        <v>839653</v>
      </c>
      <c r="L178" t="s">
        <v>1340</v>
      </c>
      <c r="M178">
        <v>104</v>
      </c>
      <c r="N178" t="s">
        <v>108</v>
      </c>
      <c r="O178">
        <v>44</v>
      </c>
      <c r="P178" t="str">
        <f>HYPERLINK("Gene803-zp_tree_all.dnd", "Gene803-tree")</f>
        <v>Gene803-tree</v>
      </c>
      <c r="Q178">
        <v>7</v>
      </c>
      <c r="R178">
        <v>4</v>
      </c>
      <c r="S178">
        <v>7</v>
      </c>
      <c r="T178">
        <v>4</v>
      </c>
      <c r="U178">
        <v>0.36364000000000002</v>
      </c>
      <c r="V178" t="s">
        <v>152</v>
      </c>
      <c r="W178" t="s">
        <v>61</v>
      </c>
      <c r="X178" t="s">
        <v>62</v>
      </c>
      <c r="Y178" t="s">
        <v>62</v>
      </c>
      <c r="Z178">
        <v>2</v>
      </c>
      <c r="AA178">
        <v>4</v>
      </c>
      <c r="AB178">
        <v>4</v>
      </c>
      <c r="AC178">
        <v>0.5</v>
      </c>
      <c r="AD178" s="47">
        <v>0</v>
      </c>
      <c r="AE178" s="47">
        <v>0</v>
      </c>
      <c r="AF178" s="47">
        <v>0</v>
      </c>
      <c r="AG178" s="47">
        <v>1</v>
      </c>
      <c r="AH178" s="47">
        <v>0</v>
      </c>
      <c r="AI178" s="47">
        <v>2</v>
      </c>
      <c r="AJ178" s="47">
        <v>0</v>
      </c>
      <c r="AK178" s="47">
        <v>2</v>
      </c>
      <c r="AL178">
        <v>4</v>
      </c>
      <c r="AM178">
        <v>0.33333000000000002</v>
      </c>
      <c r="AN178">
        <v>7</v>
      </c>
      <c r="AO178">
        <v>5</v>
      </c>
      <c r="AP178">
        <v>6</v>
      </c>
      <c r="AQ178">
        <v>6</v>
      </c>
      <c r="AR178">
        <v>4</v>
      </c>
      <c r="AS178">
        <v>2</v>
      </c>
      <c r="AT178" t="s">
        <v>4993</v>
      </c>
      <c r="AU178" t="s">
        <v>4994</v>
      </c>
      <c r="AV178">
        <v>0.72099999999999997</v>
      </c>
      <c r="AW178" t="s">
        <v>65</v>
      </c>
      <c r="AX178">
        <v>10</v>
      </c>
      <c r="AY178">
        <v>8</v>
      </c>
      <c r="AZ178" t="s">
        <v>4995</v>
      </c>
      <c r="BA178">
        <v>4.018E-2</v>
      </c>
      <c r="BB178">
        <v>-2.5500000000000002E-3</v>
      </c>
      <c r="BC178">
        <v>6.9800000000000001E-3</v>
      </c>
      <c r="BD178">
        <v>-6.8000000000000005E-4</v>
      </c>
      <c r="BE178">
        <v>0.17382</v>
      </c>
      <c r="BF178">
        <v>0.97899999999999998</v>
      </c>
      <c r="BG178" t="s">
        <v>69</v>
      </c>
      <c r="BH178">
        <v>0.14000000000000001</v>
      </c>
      <c r="BI178">
        <v>-0.33</v>
      </c>
    </row>
    <row r="179" spans="3:61">
      <c r="C179">
        <v>0</v>
      </c>
      <c r="D179">
        <v>0</v>
      </c>
      <c r="E179">
        <v>0</v>
      </c>
      <c r="F179" t="s">
        <v>25021</v>
      </c>
      <c r="G179">
        <v>851</v>
      </c>
      <c r="H179" t="s">
        <v>5315</v>
      </c>
      <c r="I179" t="s">
        <v>62</v>
      </c>
      <c r="J179">
        <v>889375</v>
      </c>
      <c r="K179">
        <v>889686</v>
      </c>
      <c r="L179" t="s">
        <v>288</v>
      </c>
      <c r="M179">
        <v>104</v>
      </c>
      <c r="N179" t="s">
        <v>409</v>
      </c>
      <c r="O179">
        <v>45</v>
      </c>
      <c r="P179" t="str">
        <f>HYPERLINK("Gene851-zp_tree_all.dnd", "Gene851-tree")</f>
        <v>Gene851-tree</v>
      </c>
      <c r="Q179">
        <v>6</v>
      </c>
      <c r="R179">
        <v>5</v>
      </c>
      <c r="S179">
        <v>6</v>
      </c>
      <c r="T179">
        <v>5</v>
      </c>
      <c r="U179">
        <v>0.45455000000000001</v>
      </c>
      <c r="V179" t="s">
        <v>90</v>
      </c>
      <c r="W179" t="s">
        <v>199</v>
      </c>
      <c r="X179" t="s">
        <v>62</v>
      </c>
      <c r="Y179" t="s">
        <v>62</v>
      </c>
      <c r="Z179">
        <v>0</v>
      </c>
      <c r="AA179">
        <v>0</v>
      </c>
      <c r="AB179">
        <v>8</v>
      </c>
      <c r="AC179">
        <v>0</v>
      </c>
      <c r="AD179" s="47">
        <v>0</v>
      </c>
      <c r="AE179" s="47">
        <v>0</v>
      </c>
      <c r="AF179" s="47">
        <v>0</v>
      </c>
      <c r="AG179" s="47">
        <v>1</v>
      </c>
      <c r="AH179" s="47">
        <v>0</v>
      </c>
      <c r="AI179" s="47">
        <v>0</v>
      </c>
      <c r="AJ179" s="47">
        <v>0</v>
      </c>
      <c r="AK179" s="47">
        <v>0</v>
      </c>
      <c r="AL179">
        <v>7</v>
      </c>
      <c r="AM179">
        <v>0</v>
      </c>
      <c r="AN179">
        <v>8</v>
      </c>
      <c r="AO179">
        <v>3</v>
      </c>
      <c r="AP179">
        <v>12</v>
      </c>
      <c r="AQ179">
        <v>7</v>
      </c>
      <c r="AR179">
        <v>2</v>
      </c>
      <c r="AS179">
        <v>1</v>
      </c>
      <c r="AT179" t="s">
        <v>5316</v>
      </c>
      <c r="AU179" t="s">
        <v>5317</v>
      </c>
      <c r="AV179">
        <v>5.1999999999999998E-2</v>
      </c>
      <c r="AW179" t="s">
        <v>65</v>
      </c>
      <c r="AX179">
        <v>14</v>
      </c>
      <c r="AY179">
        <v>8</v>
      </c>
      <c r="AZ179" t="s">
        <v>5318</v>
      </c>
      <c r="BA179">
        <v>4.7469999999999998E-2</v>
      </c>
      <c r="BB179">
        <v>-7.2700000000000004E-3</v>
      </c>
      <c r="BC179">
        <v>7.4000000000000003E-3</v>
      </c>
      <c r="BD179">
        <v>-7.1000000000000002E-4</v>
      </c>
      <c r="BE179">
        <v>0.15598000000000001</v>
      </c>
      <c r="BF179">
        <v>1</v>
      </c>
      <c r="BG179" t="s">
        <v>69</v>
      </c>
      <c r="BH179">
        <v>-2.028</v>
      </c>
      <c r="BI179">
        <v>-3.9380000000000002</v>
      </c>
    </row>
    <row r="180" spans="3:61">
      <c r="C180">
        <v>0</v>
      </c>
      <c r="D180">
        <v>0</v>
      </c>
      <c r="E180">
        <v>0</v>
      </c>
      <c r="F180" t="s">
        <v>25021</v>
      </c>
      <c r="G180">
        <v>1793</v>
      </c>
      <c r="H180" t="s">
        <v>11231</v>
      </c>
      <c r="I180" t="s">
        <v>62</v>
      </c>
      <c r="J180">
        <v>1865061</v>
      </c>
      <c r="K180">
        <v>1865375</v>
      </c>
      <c r="L180" t="s">
        <v>11226</v>
      </c>
      <c r="M180">
        <v>105</v>
      </c>
      <c r="N180" t="s">
        <v>108</v>
      </c>
      <c r="O180">
        <v>44</v>
      </c>
      <c r="P180" t="str">
        <f>HYPERLINK("Gene1793-zp_tree_all.dnd", "Gene1793-tree")</f>
        <v>Gene1793-tree</v>
      </c>
      <c r="Q180">
        <v>29</v>
      </c>
      <c r="R180">
        <v>4</v>
      </c>
      <c r="S180">
        <v>7</v>
      </c>
      <c r="T180">
        <v>4</v>
      </c>
      <c r="U180">
        <v>0.36364000000000002</v>
      </c>
      <c r="V180" t="s">
        <v>1406</v>
      </c>
      <c r="W180" t="s">
        <v>61</v>
      </c>
      <c r="X180" t="s">
        <v>62</v>
      </c>
      <c r="Y180" t="s">
        <v>62</v>
      </c>
      <c r="Z180">
        <v>0</v>
      </c>
      <c r="AA180">
        <v>0</v>
      </c>
      <c r="AB180">
        <v>4</v>
      </c>
      <c r="AC180">
        <v>0</v>
      </c>
      <c r="AD180" s="47">
        <v>0</v>
      </c>
      <c r="AE180" s="47">
        <v>0</v>
      </c>
      <c r="AF180" s="47">
        <v>0</v>
      </c>
      <c r="AG180" s="47">
        <v>0</v>
      </c>
      <c r="AH180" s="47">
        <v>0</v>
      </c>
      <c r="AI180" s="47">
        <v>0</v>
      </c>
      <c r="AJ180" s="47">
        <v>0</v>
      </c>
      <c r="AK180" s="47">
        <v>0</v>
      </c>
      <c r="AL180">
        <v>4</v>
      </c>
      <c r="AM180">
        <v>0</v>
      </c>
      <c r="AN180">
        <v>7</v>
      </c>
      <c r="AO180">
        <v>4</v>
      </c>
      <c r="AP180">
        <v>7</v>
      </c>
      <c r="AQ180">
        <v>4</v>
      </c>
      <c r="AR180">
        <v>4</v>
      </c>
      <c r="AS180">
        <v>0</v>
      </c>
      <c r="AT180" t="s">
        <v>11232</v>
      </c>
      <c r="AU180" t="s">
        <v>193</v>
      </c>
      <c r="AV180">
        <v>1.6439999999999999</v>
      </c>
      <c r="AW180" t="s">
        <v>65</v>
      </c>
      <c r="AX180">
        <v>11</v>
      </c>
      <c r="AY180">
        <v>4</v>
      </c>
      <c r="AZ180" t="s">
        <v>11233</v>
      </c>
      <c r="BA180">
        <v>3.3779999999999998E-2</v>
      </c>
      <c r="BB180">
        <v>-2.5999999999999999E-3</v>
      </c>
      <c r="BC180">
        <v>3.13E-3</v>
      </c>
      <c r="BD180">
        <v>-3.6999999999999999E-4</v>
      </c>
      <c r="BE180">
        <v>9.264E-2</v>
      </c>
      <c r="BF180">
        <v>1</v>
      </c>
      <c r="BG180" t="s">
        <v>69</v>
      </c>
      <c r="BH180">
        <v>-1.272</v>
      </c>
      <c r="BI180">
        <v>-1.54</v>
      </c>
    </row>
    <row r="181" spans="3:61">
      <c r="C181">
        <v>0</v>
      </c>
      <c r="D181">
        <v>0</v>
      </c>
      <c r="E181">
        <v>0</v>
      </c>
      <c r="F181" t="s">
        <v>25021</v>
      </c>
      <c r="G181">
        <v>3104</v>
      </c>
      <c r="H181" t="s">
        <v>18004</v>
      </c>
      <c r="I181" t="s">
        <v>57</v>
      </c>
      <c r="J181">
        <v>3056479</v>
      </c>
      <c r="K181">
        <v>3056793</v>
      </c>
      <c r="L181" t="s">
        <v>116</v>
      </c>
      <c r="M181">
        <v>105</v>
      </c>
      <c r="N181" t="s">
        <v>3274</v>
      </c>
      <c r="O181">
        <v>46</v>
      </c>
      <c r="P181" t="str">
        <f>HYPERLINK("Gene3104-zp_tree_all.dnd", "Gene3104-tree")</f>
        <v>Gene3104-tree</v>
      </c>
      <c r="Q181">
        <v>13</v>
      </c>
      <c r="R181">
        <v>1</v>
      </c>
      <c r="S181">
        <v>13</v>
      </c>
      <c r="T181">
        <v>1</v>
      </c>
      <c r="U181">
        <v>7.1429999999999993E-2</v>
      </c>
      <c r="V181" t="s">
        <v>507</v>
      </c>
      <c r="W181" t="s">
        <v>175</v>
      </c>
      <c r="X181" t="s">
        <v>62</v>
      </c>
      <c r="Y181" t="s">
        <v>62</v>
      </c>
      <c r="Z181">
        <v>0</v>
      </c>
      <c r="AA181">
        <v>0</v>
      </c>
      <c r="AB181">
        <v>4</v>
      </c>
      <c r="AC181">
        <v>0</v>
      </c>
      <c r="AD181" s="47">
        <v>0</v>
      </c>
      <c r="AE181" s="47">
        <v>0</v>
      </c>
      <c r="AF181" s="47">
        <v>0</v>
      </c>
      <c r="AG181" s="47">
        <v>2</v>
      </c>
      <c r="AH181" s="47">
        <v>0</v>
      </c>
      <c r="AI181" s="47">
        <v>0</v>
      </c>
      <c r="AJ181" s="47">
        <v>0</v>
      </c>
      <c r="AK181" s="47">
        <v>0</v>
      </c>
      <c r="AL181">
        <v>1</v>
      </c>
      <c r="AM181">
        <v>0</v>
      </c>
      <c r="AN181">
        <v>10</v>
      </c>
      <c r="AO181">
        <v>6</v>
      </c>
      <c r="AP181">
        <v>14</v>
      </c>
      <c r="AQ181">
        <v>2</v>
      </c>
      <c r="AR181">
        <v>13</v>
      </c>
      <c r="AS181">
        <v>3</v>
      </c>
      <c r="AT181" t="s">
        <v>18005</v>
      </c>
      <c r="AU181" t="s">
        <v>18006</v>
      </c>
      <c r="AV181">
        <v>0.152</v>
      </c>
      <c r="AW181" t="s">
        <v>65</v>
      </c>
      <c r="AX181">
        <v>27</v>
      </c>
      <c r="AY181">
        <v>5</v>
      </c>
      <c r="AZ181" t="s">
        <v>18007</v>
      </c>
      <c r="BA181">
        <v>7.714E-2</v>
      </c>
      <c r="BB181">
        <v>-7.0499999999999998E-3</v>
      </c>
      <c r="BC181">
        <v>5.3099999999999996E-3</v>
      </c>
      <c r="BD181">
        <v>-4.8999999999999998E-4</v>
      </c>
      <c r="BE181">
        <v>6.88E-2</v>
      </c>
      <c r="BF181">
        <v>1</v>
      </c>
      <c r="BG181" t="s">
        <v>69</v>
      </c>
      <c r="BH181">
        <v>-1.502</v>
      </c>
      <c r="BI181">
        <v>-0.78600000000000003</v>
      </c>
    </row>
    <row r="182" spans="3:61">
      <c r="C182">
        <v>0</v>
      </c>
      <c r="D182">
        <v>0</v>
      </c>
      <c r="E182">
        <v>0</v>
      </c>
      <c r="F182" t="s">
        <v>25021</v>
      </c>
      <c r="G182">
        <v>330</v>
      </c>
      <c r="H182" t="s">
        <v>2253</v>
      </c>
      <c r="I182" t="s">
        <v>62</v>
      </c>
      <c r="J182">
        <v>355415</v>
      </c>
      <c r="K182">
        <v>355732</v>
      </c>
      <c r="L182" t="s">
        <v>2254</v>
      </c>
      <c r="M182">
        <v>106</v>
      </c>
      <c r="N182" t="s">
        <v>698</v>
      </c>
      <c r="O182">
        <v>47</v>
      </c>
      <c r="P182" t="str">
        <f>HYPERLINK("Gene330-zp_tree_all.dnd", "Gene330-tree")</f>
        <v>Gene330-tree</v>
      </c>
      <c r="Q182">
        <v>8</v>
      </c>
      <c r="R182">
        <v>3</v>
      </c>
      <c r="S182">
        <v>8</v>
      </c>
      <c r="T182">
        <v>3</v>
      </c>
      <c r="U182">
        <v>0.27272999999999997</v>
      </c>
      <c r="V182" t="s">
        <v>136</v>
      </c>
      <c r="W182" t="s">
        <v>324</v>
      </c>
      <c r="X182" t="s">
        <v>62</v>
      </c>
      <c r="Y182" t="s">
        <v>62</v>
      </c>
      <c r="Z182">
        <v>0</v>
      </c>
      <c r="AA182">
        <v>0</v>
      </c>
      <c r="AB182">
        <v>5</v>
      </c>
      <c r="AC182">
        <v>0</v>
      </c>
      <c r="AD182" s="47">
        <v>0</v>
      </c>
      <c r="AE182" s="47">
        <v>0</v>
      </c>
      <c r="AF182" s="47">
        <v>0</v>
      </c>
      <c r="AG182" s="47">
        <v>1</v>
      </c>
      <c r="AH182" s="47">
        <v>0</v>
      </c>
      <c r="AI182" s="47">
        <v>0</v>
      </c>
      <c r="AJ182" s="47">
        <v>0</v>
      </c>
      <c r="AK182" s="47">
        <v>0</v>
      </c>
      <c r="AL182">
        <v>3</v>
      </c>
      <c r="AM182">
        <v>0</v>
      </c>
      <c r="AN182">
        <v>7</v>
      </c>
      <c r="AO182">
        <v>5</v>
      </c>
      <c r="AP182">
        <v>6</v>
      </c>
      <c r="AQ182">
        <v>3</v>
      </c>
      <c r="AR182">
        <v>11</v>
      </c>
      <c r="AS182">
        <v>2</v>
      </c>
      <c r="AT182" t="s">
        <v>2255</v>
      </c>
      <c r="AU182" t="s">
        <v>2256</v>
      </c>
      <c r="AV182">
        <v>0.77100000000000002</v>
      </c>
      <c r="AW182" t="s">
        <v>65</v>
      </c>
      <c r="AX182">
        <v>17</v>
      </c>
      <c r="AY182">
        <v>5</v>
      </c>
      <c r="AZ182" t="s">
        <v>2257</v>
      </c>
      <c r="BA182">
        <v>8.3909999999999998E-2</v>
      </c>
      <c r="BB182">
        <v>-8.8500000000000002E-3</v>
      </c>
      <c r="BC182">
        <v>6.0600000000000003E-3</v>
      </c>
      <c r="BD182">
        <v>-5.5999999999999995E-4</v>
      </c>
      <c r="BE182">
        <v>7.2220000000000006E-2</v>
      </c>
      <c r="BF182">
        <v>1</v>
      </c>
      <c r="BG182" t="s">
        <v>69</v>
      </c>
      <c r="BH182">
        <v>-1.238</v>
      </c>
      <c r="BI182">
        <v>-0.39900000000000002</v>
      </c>
    </row>
    <row r="183" spans="3:61">
      <c r="C183">
        <v>0</v>
      </c>
      <c r="D183">
        <v>0</v>
      </c>
      <c r="E183">
        <v>0</v>
      </c>
      <c r="F183" t="s">
        <v>25021</v>
      </c>
      <c r="G183">
        <v>1415</v>
      </c>
      <c r="H183" t="s">
        <v>8861</v>
      </c>
      <c r="I183" t="s">
        <v>62</v>
      </c>
      <c r="J183">
        <v>1430164</v>
      </c>
      <c r="K183">
        <v>1430481</v>
      </c>
      <c r="L183" t="s">
        <v>288</v>
      </c>
      <c r="M183">
        <v>106</v>
      </c>
      <c r="N183" t="s">
        <v>108</v>
      </c>
      <c r="O183">
        <v>44</v>
      </c>
      <c r="P183" t="str">
        <f>HYPERLINK("Gene1415-zp_tree_all.dnd", "Gene1415-tree")</f>
        <v>Gene1415-tree</v>
      </c>
      <c r="Q183">
        <v>9</v>
      </c>
      <c r="R183">
        <v>3</v>
      </c>
      <c r="S183">
        <v>9</v>
      </c>
      <c r="T183">
        <v>3</v>
      </c>
      <c r="U183">
        <v>0.25</v>
      </c>
      <c r="V183" t="s">
        <v>135</v>
      </c>
      <c r="W183" t="s">
        <v>324</v>
      </c>
      <c r="X183" t="s">
        <v>62</v>
      </c>
      <c r="Y183" t="s">
        <v>62</v>
      </c>
      <c r="Z183">
        <v>0</v>
      </c>
      <c r="AA183">
        <v>0</v>
      </c>
      <c r="AB183">
        <v>5</v>
      </c>
      <c r="AC183">
        <v>0</v>
      </c>
      <c r="AD183" s="47">
        <v>0</v>
      </c>
      <c r="AE183" s="47">
        <v>0</v>
      </c>
      <c r="AF183" s="47">
        <v>0</v>
      </c>
      <c r="AG183" s="47">
        <v>0</v>
      </c>
      <c r="AH183" s="47">
        <v>0</v>
      </c>
      <c r="AI183" s="47">
        <v>0</v>
      </c>
      <c r="AJ183" s="47">
        <v>0</v>
      </c>
      <c r="AK183" s="47">
        <v>0</v>
      </c>
      <c r="AL183">
        <v>4</v>
      </c>
      <c r="AM183">
        <v>0</v>
      </c>
      <c r="AN183">
        <v>8</v>
      </c>
      <c r="AO183">
        <v>7</v>
      </c>
      <c r="AP183">
        <v>9</v>
      </c>
      <c r="AQ183">
        <v>4</v>
      </c>
      <c r="AR183">
        <v>10</v>
      </c>
      <c r="AS183">
        <v>1</v>
      </c>
      <c r="AT183" t="s">
        <v>8862</v>
      </c>
      <c r="AU183" t="s">
        <v>8863</v>
      </c>
      <c r="AV183">
        <v>0.70699999999999996</v>
      </c>
      <c r="AW183" t="s">
        <v>65</v>
      </c>
      <c r="AX183">
        <v>19</v>
      </c>
      <c r="AY183">
        <v>5</v>
      </c>
      <c r="AZ183" t="s">
        <v>8864</v>
      </c>
      <c r="BA183">
        <v>6.8870000000000001E-2</v>
      </c>
      <c r="BB183">
        <v>-4.3600000000000002E-3</v>
      </c>
      <c r="BC183">
        <v>4.3899999999999998E-3</v>
      </c>
      <c r="BD183">
        <v>-4.2999999999999999E-4</v>
      </c>
      <c r="BE183">
        <v>6.3740000000000005E-2</v>
      </c>
      <c r="BF183">
        <v>1</v>
      </c>
      <c r="BG183" t="s">
        <v>69</v>
      </c>
      <c r="BH183">
        <v>0.71199999999999997</v>
      </c>
      <c r="BI183">
        <v>0.09</v>
      </c>
    </row>
    <row r="184" spans="3:61">
      <c r="C184">
        <v>0</v>
      </c>
      <c r="D184">
        <v>2</v>
      </c>
      <c r="E184">
        <v>0</v>
      </c>
      <c r="F184" t="s">
        <v>25021</v>
      </c>
      <c r="G184">
        <v>3591</v>
      </c>
      <c r="H184" t="s">
        <v>21078</v>
      </c>
      <c r="I184" t="s">
        <v>57</v>
      </c>
      <c r="J184">
        <v>3559632</v>
      </c>
      <c r="K184">
        <v>3559949</v>
      </c>
      <c r="L184" t="s">
        <v>21079</v>
      </c>
      <c r="M184">
        <v>106</v>
      </c>
      <c r="N184" t="s">
        <v>21080</v>
      </c>
      <c r="O184">
        <v>43</v>
      </c>
      <c r="P184" t="str">
        <f>HYPERLINK("Gene3591-zp_tree_all.dnd", "Gene3591-tree")</f>
        <v>Gene3591-tree</v>
      </c>
      <c r="Q184">
        <v>28</v>
      </c>
      <c r="R184">
        <v>3</v>
      </c>
      <c r="S184">
        <v>9</v>
      </c>
      <c r="T184">
        <v>3</v>
      </c>
      <c r="U184">
        <v>0.25</v>
      </c>
      <c r="V184" t="s">
        <v>2825</v>
      </c>
      <c r="W184" t="s">
        <v>324</v>
      </c>
      <c r="X184" t="s">
        <v>62</v>
      </c>
      <c r="Y184" t="s">
        <v>62</v>
      </c>
      <c r="Z184">
        <v>1</v>
      </c>
      <c r="AA184">
        <v>2</v>
      </c>
      <c r="AB184">
        <v>5</v>
      </c>
      <c r="AC184">
        <v>0.28571000000000002</v>
      </c>
      <c r="AD184" s="47">
        <v>0</v>
      </c>
      <c r="AE184" s="47">
        <v>0</v>
      </c>
      <c r="AF184" s="47">
        <v>0</v>
      </c>
      <c r="AG184" s="47">
        <v>2</v>
      </c>
      <c r="AH184" s="47">
        <v>0</v>
      </c>
      <c r="AI184" s="47">
        <v>0</v>
      </c>
      <c r="AJ184" s="47">
        <v>0</v>
      </c>
      <c r="AK184" s="47">
        <v>0</v>
      </c>
      <c r="AL184">
        <v>4</v>
      </c>
      <c r="AM184">
        <v>0</v>
      </c>
      <c r="AN184">
        <v>8</v>
      </c>
      <c r="AO184">
        <v>6</v>
      </c>
      <c r="AP184">
        <v>17</v>
      </c>
      <c r="AQ184">
        <v>4</v>
      </c>
      <c r="AR184">
        <v>15</v>
      </c>
      <c r="AS184">
        <v>3</v>
      </c>
      <c r="AT184" t="s">
        <v>21081</v>
      </c>
      <c r="AU184" t="s">
        <v>21082</v>
      </c>
      <c r="AV184">
        <v>0.113</v>
      </c>
      <c r="AW184" t="s">
        <v>65</v>
      </c>
      <c r="AX184">
        <v>32</v>
      </c>
      <c r="AY184">
        <v>7</v>
      </c>
      <c r="AZ184" t="s">
        <v>21083</v>
      </c>
      <c r="BA184">
        <v>0.14430000000000001</v>
      </c>
      <c r="BB184">
        <v>-1.3100000000000001E-2</v>
      </c>
      <c r="BC184">
        <v>6.94E-3</v>
      </c>
      <c r="BD184">
        <v>-4.6000000000000001E-4</v>
      </c>
      <c r="BE184">
        <v>4.8129999999999999E-2</v>
      </c>
      <c r="BF184">
        <v>1</v>
      </c>
      <c r="BG184" t="s">
        <v>69</v>
      </c>
      <c r="BH184">
        <v>-1.4890000000000001</v>
      </c>
      <c r="BI184">
        <v>-0.218</v>
      </c>
    </row>
    <row r="185" spans="3:61">
      <c r="C185">
        <v>0</v>
      </c>
      <c r="D185">
        <v>0</v>
      </c>
      <c r="E185">
        <v>0</v>
      </c>
      <c r="F185" t="s">
        <v>25021</v>
      </c>
      <c r="G185">
        <v>3576</v>
      </c>
      <c r="H185" t="s">
        <v>20976</v>
      </c>
      <c r="I185" t="s">
        <v>57</v>
      </c>
      <c r="J185">
        <v>3541823</v>
      </c>
      <c r="K185">
        <v>3542140</v>
      </c>
      <c r="L185" t="s">
        <v>20977</v>
      </c>
      <c r="M185">
        <v>106</v>
      </c>
      <c r="N185" t="s">
        <v>108</v>
      </c>
      <c r="O185">
        <v>44</v>
      </c>
      <c r="P185" t="str">
        <f>HYPERLINK("Gene3576-zp_tree_all.dnd", "Gene3576-tree")</f>
        <v>Gene3576-tree</v>
      </c>
      <c r="Q185">
        <v>9</v>
      </c>
      <c r="R185">
        <v>1</v>
      </c>
      <c r="S185">
        <v>9</v>
      </c>
      <c r="T185">
        <v>1</v>
      </c>
      <c r="U185">
        <v>0.1</v>
      </c>
      <c r="V185" t="s">
        <v>135</v>
      </c>
      <c r="W185" t="s">
        <v>175</v>
      </c>
      <c r="X185" t="s">
        <v>62</v>
      </c>
      <c r="Y185" t="s">
        <v>62</v>
      </c>
      <c r="Z185">
        <v>0</v>
      </c>
      <c r="AA185">
        <v>0</v>
      </c>
      <c r="AB185">
        <v>2</v>
      </c>
      <c r="AC185">
        <v>0</v>
      </c>
      <c r="AD185" s="47">
        <v>0</v>
      </c>
      <c r="AE185" s="47">
        <v>0</v>
      </c>
      <c r="AF185" s="47">
        <v>0</v>
      </c>
      <c r="AG185" s="47">
        <v>1</v>
      </c>
      <c r="AH185" s="47">
        <v>0</v>
      </c>
      <c r="AI185" s="47">
        <v>0</v>
      </c>
      <c r="AJ185" s="47">
        <v>0</v>
      </c>
      <c r="AK185" s="47">
        <v>0</v>
      </c>
      <c r="AL185">
        <v>1</v>
      </c>
      <c r="AM185">
        <v>0</v>
      </c>
      <c r="AN185">
        <v>6</v>
      </c>
      <c r="AO185">
        <v>4</v>
      </c>
      <c r="AP185">
        <v>12</v>
      </c>
      <c r="AQ185">
        <v>1</v>
      </c>
      <c r="AR185">
        <v>11</v>
      </c>
      <c r="AS185">
        <v>1</v>
      </c>
      <c r="AT185" t="s">
        <v>20978</v>
      </c>
      <c r="AU185" t="s">
        <v>20979</v>
      </c>
      <c r="AV185">
        <v>1.7999999999999999E-2</v>
      </c>
      <c r="AW185" t="s">
        <v>65</v>
      </c>
      <c r="AX185">
        <v>23</v>
      </c>
      <c r="AY185">
        <v>2</v>
      </c>
      <c r="AZ185" t="s">
        <v>9403</v>
      </c>
      <c r="BA185">
        <v>8.7349999999999997E-2</v>
      </c>
      <c r="BB185">
        <v>-7.8499999999999993E-3</v>
      </c>
      <c r="BC185">
        <v>2.3700000000000001E-3</v>
      </c>
      <c r="BD185">
        <v>-3.6000000000000002E-4</v>
      </c>
      <c r="BE185">
        <v>2.7089999999999999E-2</v>
      </c>
      <c r="BF185">
        <v>1</v>
      </c>
      <c r="BG185" t="s">
        <v>69</v>
      </c>
      <c r="BH185">
        <v>0.13</v>
      </c>
      <c r="BI185">
        <v>-0.27200000000000002</v>
      </c>
    </row>
    <row r="186" spans="3:61">
      <c r="C186">
        <v>0</v>
      </c>
      <c r="D186">
        <v>0</v>
      </c>
      <c r="E186">
        <v>0</v>
      </c>
      <c r="F186" t="s">
        <v>25021</v>
      </c>
      <c r="G186">
        <v>464</v>
      </c>
      <c r="H186" t="s">
        <v>3148</v>
      </c>
      <c r="I186" t="s">
        <v>62</v>
      </c>
      <c r="J186">
        <v>507756</v>
      </c>
      <c r="K186">
        <v>508073</v>
      </c>
      <c r="L186" t="s">
        <v>3149</v>
      </c>
      <c r="M186">
        <v>106</v>
      </c>
      <c r="N186" t="s">
        <v>572</v>
      </c>
      <c r="O186">
        <v>48</v>
      </c>
      <c r="P186" t="str">
        <f>HYPERLINK("Gene464-zp_tree_all.dnd", "Gene464-tree")</f>
        <v>Gene464-tree</v>
      </c>
      <c r="Q186">
        <v>13</v>
      </c>
      <c r="R186">
        <v>3</v>
      </c>
      <c r="S186">
        <v>13</v>
      </c>
      <c r="T186">
        <v>3</v>
      </c>
      <c r="U186">
        <v>0.1875</v>
      </c>
      <c r="V186" t="s">
        <v>507</v>
      </c>
      <c r="W186" t="s">
        <v>324</v>
      </c>
      <c r="X186" t="s">
        <v>62</v>
      </c>
      <c r="Y186" t="s">
        <v>62</v>
      </c>
      <c r="Z186">
        <v>0</v>
      </c>
      <c r="AA186">
        <v>0</v>
      </c>
      <c r="AB186">
        <v>4</v>
      </c>
      <c r="AC186">
        <v>0</v>
      </c>
      <c r="AD186" s="47">
        <v>0</v>
      </c>
      <c r="AE186" s="47">
        <v>0</v>
      </c>
      <c r="AF186" s="47">
        <v>0</v>
      </c>
      <c r="AG186" s="47">
        <v>0</v>
      </c>
      <c r="AH186" s="47">
        <v>0</v>
      </c>
      <c r="AI186" s="47">
        <v>0</v>
      </c>
      <c r="AJ186" s="47">
        <v>0</v>
      </c>
      <c r="AK186" s="47">
        <v>0</v>
      </c>
      <c r="AL186">
        <v>3</v>
      </c>
      <c r="AM186">
        <v>0</v>
      </c>
      <c r="AN186">
        <v>11</v>
      </c>
      <c r="AO186">
        <v>9</v>
      </c>
      <c r="AP186">
        <v>14</v>
      </c>
      <c r="AQ186">
        <v>3</v>
      </c>
      <c r="AR186">
        <v>19</v>
      </c>
      <c r="AS186">
        <v>1</v>
      </c>
      <c r="AT186" t="s">
        <v>3150</v>
      </c>
      <c r="AU186" t="s">
        <v>3151</v>
      </c>
      <c r="AV186">
        <v>0.627</v>
      </c>
      <c r="AW186" t="s">
        <v>65</v>
      </c>
      <c r="AX186">
        <v>33</v>
      </c>
      <c r="AY186">
        <v>4</v>
      </c>
      <c r="AZ186" t="s">
        <v>3152</v>
      </c>
      <c r="BA186">
        <v>0.12925</v>
      </c>
      <c r="BB186">
        <v>-7.5300000000000002E-3</v>
      </c>
      <c r="BC186">
        <v>3.0899999999999999E-3</v>
      </c>
      <c r="BD186">
        <v>-2.3000000000000001E-4</v>
      </c>
      <c r="BE186">
        <v>2.392E-2</v>
      </c>
      <c r="BF186">
        <v>1</v>
      </c>
      <c r="BG186" t="s">
        <v>69</v>
      </c>
      <c r="BH186">
        <v>-9.2999999999999999E-2</v>
      </c>
      <c r="BI186">
        <v>-0.68799999999999994</v>
      </c>
    </row>
    <row r="187" spans="3:61">
      <c r="C187">
        <v>0</v>
      </c>
      <c r="D187">
        <v>7</v>
      </c>
      <c r="E187">
        <v>0</v>
      </c>
      <c r="F187" t="s">
        <v>25021</v>
      </c>
      <c r="G187">
        <v>1095</v>
      </c>
      <c r="H187" t="s">
        <v>6887</v>
      </c>
      <c r="I187" t="s">
        <v>62</v>
      </c>
      <c r="J187">
        <v>1135258</v>
      </c>
      <c r="K187">
        <v>1135581</v>
      </c>
      <c r="L187" t="s">
        <v>6888</v>
      </c>
      <c r="M187">
        <v>108</v>
      </c>
      <c r="N187" t="s">
        <v>108</v>
      </c>
      <c r="O187">
        <v>44</v>
      </c>
      <c r="P187" t="str">
        <f>HYPERLINK("Gene1095-zp_tree_all.dnd", "Gene1095-tree")</f>
        <v>Gene1095-tree</v>
      </c>
      <c r="Q187">
        <v>26</v>
      </c>
      <c r="R187">
        <v>8</v>
      </c>
      <c r="S187">
        <v>7</v>
      </c>
      <c r="T187">
        <v>8</v>
      </c>
      <c r="U187">
        <v>0.53332999999999997</v>
      </c>
      <c r="V187" t="s">
        <v>191</v>
      </c>
      <c r="W187" t="s">
        <v>136</v>
      </c>
      <c r="X187" t="s">
        <v>62</v>
      </c>
      <c r="Y187" t="s">
        <v>62</v>
      </c>
      <c r="Z187">
        <v>3</v>
      </c>
      <c r="AA187">
        <v>7</v>
      </c>
      <c r="AB187">
        <v>5</v>
      </c>
      <c r="AC187">
        <v>0.58333000000000002</v>
      </c>
      <c r="AD187" s="47">
        <v>0</v>
      </c>
      <c r="AE187" s="47">
        <v>0</v>
      </c>
      <c r="AF187" s="47">
        <v>0</v>
      </c>
      <c r="AG187" s="47">
        <v>0</v>
      </c>
      <c r="AH187" s="47">
        <v>0</v>
      </c>
      <c r="AI187" s="47">
        <v>6</v>
      </c>
      <c r="AJ187" s="47">
        <v>0</v>
      </c>
      <c r="AK187" s="47">
        <v>6</v>
      </c>
      <c r="AL187">
        <v>5</v>
      </c>
      <c r="AM187">
        <v>0.54544999999999999</v>
      </c>
      <c r="AN187">
        <v>9</v>
      </c>
      <c r="AO187">
        <v>6</v>
      </c>
      <c r="AP187">
        <v>6</v>
      </c>
      <c r="AQ187">
        <v>9</v>
      </c>
      <c r="AR187">
        <v>3</v>
      </c>
      <c r="AS187">
        <v>3</v>
      </c>
      <c r="AT187" t="s">
        <v>6889</v>
      </c>
      <c r="AU187" t="s">
        <v>6890</v>
      </c>
      <c r="AV187">
        <v>0.39700000000000002</v>
      </c>
      <c r="AW187" t="s">
        <v>65</v>
      </c>
      <c r="AX187">
        <v>9</v>
      </c>
      <c r="AY187">
        <v>12</v>
      </c>
      <c r="AZ187" t="s">
        <v>6891</v>
      </c>
      <c r="BA187">
        <v>3.7379999999999997E-2</v>
      </c>
      <c r="BB187">
        <v>-2.1800000000000001E-3</v>
      </c>
      <c r="BC187">
        <v>7.1000000000000004E-3</v>
      </c>
      <c r="BD187">
        <v>-5.4000000000000001E-4</v>
      </c>
      <c r="BE187">
        <v>0.18992000000000001</v>
      </c>
      <c r="BF187">
        <v>0.98</v>
      </c>
      <c r="BG187" t="s">
        <v>69</v>
      </c>
      <c r="BH187">
        <v>-0.85699999999999998</v>
      </c>
      <c r="BI187">
        <v>-1.79</v>
      </c>
    </row>
    <row r="188" spans="3:61">
      <c r="C188">
        <v>0</v>
      </c>
      <c r="D188">
        <v>0</v>
      </c>
      <c r="E188">
        <v>2</v>
      </c>
      <c r="F188" t="s">
        <v>25021</v>
      </c>
      <c r="G188">
        <v>2567</v>
      </c>
      <c r="H188" t="s">
        <v>15015</v>
      </c>
      <c r="I188" t="s">
        <v>57</v>
      </c>
      <c r="J188">
        <v>2555519</v>
      </c>
      <c r="K188">
        <v>2555842</v>
      </c>
      <c r="L188" t="s">
        <v>2332</v>
      </c>
      <c r="M188">
        <v>108</v>
      </c>
      <c r="N188" t="s">
        <v>108</v>
      </c>
      <c r="O188">
        <v>44</v>
      </c>
      <c r="P188" t="str">
        <f>HYPERLINK("Gene2567-zp_tree_all.dnd", "Gene2567-tree")</f>
        <v>Gene2567-tree</v>
      </c>
      <c r="Q188">
        <v>25</v>
      </c>
      <c r="R188">
        <v>5</v>
      </c>
      <c r="S188">
        <v>6</v>
      </c>
      <c r="T188">
        <v>5</v>
      </c>
      <c r="U188">
        <v>0.45455000000000001</v>
      </c>
      <c r="V188" t="s">
        <v>965</v>
      </c>
      <c r="W188" t="s">
        <v>199</v>
      </c>
      <c r="X188" t="s">
        <v>62</v>
      </c>
      <c r="Y188" t="s">
        <v>62</v>
      </c>
      <c r="Z188">
        <v>1</v>
      </c>
      <c r="AA188">
        <v>2</v>
      </c>
      <c r="AB188">
        <v>6</v>
      </c>
      <c r="AC188">
        <v>0.25</v>
      </c>
      <c r="AD188" s="47">
        <v>0</v>
      </c>
      <c r="AE188" s="47">
        <v>0</v>
      </c>
      <c r="AF188" s="47">
        <v>0</v>
      </c>
      <c r="AG188" s="47">
        <v>0</v>
      </c>
      <c r="AH188" s="47">
        <v>0</v>
      </c>
      <c r="AI188" s="47">
        <v>0</v>
      </c>
      <c r="AJ188" s="47">
        <v>2</v>
      </c>
      <c r="AK188" s="47">
        <v>2</v>
      </c>
      <c r="AL188">
        <v>6</v>
      </c>
      <c r="AM188">
        <v>0.25</v>
      </c>
      <c r="AN188">
        <v>5</v>
      </c>
      <c r="AO188">
        <v>5</v>
      </c>
      <c r="AP188">
        <v>2</v>
      </c>
      <c r="AQ188">
        <v>7</v>
      </c>
      <c r="AR188">
        <v>6</v>
      </c>
      <c r="AS188">
        <v>1</v>
      </c>
      <c r="AT188" t="s">
        <v>15016</v>
      </c>
      <c r="AU188" t="s">
        <v>15017</v>
      </c>
      <c r="AV188">
        <v>1.042</v>
      </c>
      <c r="AW188" t="s">
        <v>65</v>
      </c>
      <c r="AX188">
        <v>8</v>
      </c>
      <c r="AY188">
        <v>8</v>
      </c>
      <c r="AZ188" t="s">
        <v>15018</v>
      </c>
      <c r="BA188">
        <v>3.3399999999999999E-2</v>
      </c>
      <c r="BB188">
        <v>-3.0599999999999998E-3</v>
      </c>
      <c r="BC188">
        <v>6.2899999999999996E-3</v>
      </c>
      <c r="BD188">
        <v>-7.2000000000000005E-4</v>
      </c>
      <c r="BE188">
        <v>0.18845000000000001</v>
      </c>
      <c r="BF188">
        <v>0.98</v>
      </c>
      <c r="BG188" t="s">
        <v>69</v>
      </c>
      <c r="BH188">
        <v>-1.413</v>
      </c>
      <c r="BI188">
        <v>-1.732</v>
      </c>
    </row>
    <row r="189" spans="3:61">
      <c r="C189">
        <v>0</v>
      </c>
      <c r="D189">
        <v>2</v>
      </c>
      <c r="E189">
        <v>0</v>
      </c>
      <c r="F189" t="s">
        <v>25021</v>
      </c>
      <c r="G189">
        <v>752</v>
      </c>
      <c r="H189" t="s">
        <v>4678</v>
      </c>
      <c r="I189" t="s">
        <v>62</v>
      </c>
      <c r="J189">
        <v>785116</v>
      </c>
      <c r="K189">
        <v>785439</v>
      </c>
      <c r="L189" t="s">
        <v>4679</v>
      </c>
      <c r="M189">
        <v>108</v>
      </c>
      <c r="N189" t="s">
        <v>4680</v>
      </c>
      <c r="O189">
        <v>43</v>
      </c>
      <c r="P189" t="str">
        <f>HYPERLINK("Gene752-zp_tree_all.dnd", "Gene752-tree")</f>
        <v>Gene752-tree</v>
      </c>
      <c r="Q189">
        <v>3</v>
      </c>
      <c r="R189">
        <v>3</v>
      </c>
      <c r="S189">
        <v>3</v>
      </c>
      <c r="T189">
        <v>3</v>
      </c>
      <c r="U189">
        <v>0.5</v>
      </c>
      <c r="V189" t="s">
        <v>324</v>
      </c>
      <c r="W189" t="s">
        <v>324</v>
      </c>
      <c r="X189" t="s">
        <v>62</v>
      </c>
      <c r="Y189" t="s">
        <v>62</v>
      </c>
      <c r="Z189">
        <v>1</v>
      </c>
      <c r="AA189">
        <v>2</v>
      </c>
      <c r="AB189">
        <v>2</v>
      </c>
      <c r="AC189">
        <v>0.5</v>
      </c>
      <c r="AD189" s="47">
        <v>0</v>
      </c>
      <c r="AE189" s="47">
        <v>0</v>
      </c>
      <c r="AF189" s="47">
        <v>0</v>
      </c>
      <c r="AG189" s="47">
        <v>0</v>
      </c>
      <c r="AH189" s="47">
        <v>0</v>
      </c>
      <c r="AI189" s="47">
        <v>2</v>
      </c>
      <c r="AJ189" s="47">
        <v>0</v>
      </c>
      <c r="AK189" s="47">
        <v>2</v>
      </c>
      <c r="AL189">
        <v>2</v>
      </c>
      <c r="AM189">
        <v>0.5</v>
      </c>
      <c r="AN189">
        <v>5</v>
      </c>
      <c r="AO189">
        <v>3</v>
      </c>
      <c r="AP189">
        <v>11</v>
      </c>
      <c r="AQ189">
        <v>6</v>
      </c>
      <c r="AR189">
        <v>6</v>
      </c>
      <c r="AS189">
        <v>0</v>
      </c>
      <c r="AT189" t="s">
        <v>4681</v>
      </c>
      <c r="AU189" t="s">
        <v>193</v>
      </c>
      <c r="AV189">
        <v>0.66200000000000003</v>
      </c>
      <c r="AW189" t="s">
        <v>65</v>
      </c>
      <c r="AX189">
        <v>17</v>
      </c>
      <c r="AY189">
        <v>6</v>
      </c>
      <c r="AZ189" t="s">
        <v>4682</v>
      </c>
      <c r="BA189">
        <v>0.11645</v>
      </c>
      <c r="BB189">
        <v>-1.7639999999999999E-2</v>
      </c>
      <c r="BC189">
        <v>7.5599999999999999E-3</v>
      </c>
      <c r="BD189">
        <v>-1.9499999999999999E-3</v>
      </c>
      <c r="BE189">
        <v>6.4949999999999994E-2</v>
      </c>
      <c r="BF189">
        <v>1</v>
      </c>
      <c r="BG189" t="s">
        <v>69</v>
      </c>
      <c r="BH189">
        <v>-1.1299999999999999</v>
      </c>
      <c r="BI189">
        <v>-2.5649999999999999</v>
      </c>
    </row>
    <row r="190" spans="3:61">
      <c r="C190">
        <v>0</v>
      </c>
      <c r="D190">
        <v>0</v>
      </c>
      <c r="E190">
        <v>0</v>
      </c>
      <c r="F190" t="s">
        <v>25021</v>
      </c>
      <c r="G190">
        <v>3495</v>
      </c>
      <c r="H190" t="s">
        <v>20478</v>
      </c>
      <c r="I190" t="s">
        <v>57</v>
      </c>
      <c r="J190">
        <v>3457615</v>
      </c>
      <c r="K190">
        <v>3457938</v>
      </c>
      <c r="L190" t="s">
        <v>20479</v>
      </c>
      <c r="M190">
        <v>108</v>
      </c>
      <c r="N190" t="s">
        <v>20480</v>
      </c>
      <c r="O190">
        <v>47</v>
      </c>
      <c r="P190" t="str">
        <f>HYPERLINK("Gene3495-zp_tree_all.dnd", "Gene3495-tree")</f>
        <v>Gene3495-tree</v>
      </c>
      <c r="Q190">
        <v>12</v>
      </c>
      <c r="R190">
        <v>1</v>
      </c>
      <c r="S190">
        <v>12</v>
      </c>
      <c r="T190">
        <v>1</v>
      </c>
      <c r="U190">
        <v>7.6920000000000002E-2</v>
      </c>
      <c r="V190" t="s">
        <v>109</v>
      </c>
      <c r="W190" t="s">
        <v>175</v>
      </c>
      <c r="X190" t="s">
        <v>62</v>
      </c>
      <c r="Y190" t="s">
        <v>62</v>
      </c>
      <c r="Z190">
        <v>0</v>
      </c>
      <c r="AA190">
        <v>0</v>
      </c>
      <c r="AB190">
        <v>2</v>
      </c>
      <c r="AC190">
        <v>0</v>
      </c>
      <c r="AD190" s="47">
        <v>0</v>
      </c>
      <c r="AE190" s="47">
        <v>0</v>
      </c>
      <c r="AF190" s="47">
        <v>0</v>
      </c>
      <c r="AG190" s="47">
        <v>1</v>
      </c>
      <c r="AH190" s="47">
        <v>0</v>
      </c>
      <c r="AI190" s="47">
        <v>0</v>
      </c>
      <c r="AJ190" s="47">
        <v>0</v>
      </c>
      <c r="AK190" s="47">
        <v>0</v>
      </c>
      <c r="AL190">
        <v>1</v>
      </c>
      <c r="AM190">
        <v>0</v>
      </c>
      <c r="AN190">
        <v>7</v>
      </c>
      <c r="AO190">
        <v>9</v>
      </c>
      <c r="AP190">
        <v>14</v>
      </c>
      <c r="AQ190">
        <v>1</v>
      </c>
      <c r="AR190">
        <v>22</v>
      </c>
      <c r="AS190">
        <v>1</v>
      </c>
      <c r="AT190" t="s">
        <v>20481</v>
      </c>
      <c r="AU190" t="s">
        <v>20482</v>
      </c>
      <c r="AV190">
        <v>0.11</v>
      </c>
      <c r="AW190" t="s">
        <v>65</v>
      </c>
      <c r="AX190">
        <v>36</v>
      </c>
      <c r="AY190">
        <v>2</v>
      </c>
      <c r="AZ190" t="s">
        <v>20483</v>
      </c>
      <c r="BA190">
        <v>0.1191</v>
      </c>
      <c r="BB190">
        <v>-7.0600000000000003E-3</v>
      </c>
      <c r="BC190">
        <v>2.5000000000000001E-3</v>
      </c>
      <c r="BD190">
        <v>-2.5999999999999998E-4</v>
      </c>
      <c r="BE190">
        <v>2.0959999999999999E-2</v>
      </c>
      <c r="BF190">
        <v>1</v>
      </c>
      <c r="BG190" t="s">
        <v>69</v>
      </c>
      <c r="BH190">
        <v>-0.68600000000000005</v>
      </c>
      <c r="BI190">
        <v>-0.14099999999999999</v>
      </c>
    </row>
    <row r="191" spans="3:61">
      <c r="C191">
        <v>0</v>
      </c>
      <c r="D191">
        <v>0</v>
      </c>
      <c r="E191">
        <v>2</v>
      </c>
      <c r="F191" t="s">
        <v>25021</v>
      </c>
      <c r="G191">
        <v>1250</v>
      </c>
      <c r="H191" t="s">
        <v>7832</v>
      </c>
      <c r="I191" t="s">
        <v>62</v>
      </c>
      <c r="J191">
        <v>1278568</v>
      </c>
      <c r="K191">
        <v>1278894</v>
      </c>
      <c r="L191" t="s">
        <v>288</v>
      </c>
      <c r="M191">
        <v>109</v>
      </c>
      <c r="N191" t="s">
        <v>108</v>
      </c>
      <c r="O191">
        <v>44</v>
      </c>
      <c r="P191" t="str">
        <f>HYPERLINK("Gene1250-zp_tree_all.dnd", "Gene1250-tree")</f>
        <v>Gene1250-tree</v>
      </c>
      <c r="Q191">
        <v>5</v>
      </c>
      <c r="R191">
        <v>5</v>
      </c>
      <c r="S191">
        <v>5</v>
      </c>
      <c r="T191">
        <v>5</v>
      </c>
      <c r="U191">
        <v>0.5</v>
      </c>
      <c r="V191" t="s">
        <v>199</v>
      </c>
      <c r="W191" t="s">
        <v>199</v>
      </c>
      <c r="X191" t="s">
        <v>62</v>
      </c>
      <c r="Y191" t="s">
        <v>62</v>
      </c>
      <c r="Z191">
        <v>1</v>
      </c>
      <c r="AA191">
        <v>2</v>
      </c>
      <c r="AB191">
        <v>6</v>
      </c>
      <c r="AC191">
        <v>0.25</v>
      </c>
      <c r="AD191" s="47">
        <v>0</v>
      </c>
      <c r="AE191" s="47">
        <v>0</v>
      </c>
      <c r="AF191" s="47">
        <v>0</v>
      </c>
      <c r="AG191" s="47">
        <v>0</v>
      </c>
      <c r="AH191" s="47">
        <v>0</v>
      </c>
      <c r="AI191" s="47">
        <v>0</v>
      </c>
      <c r="AJ191" s="47">
        <v>2</v>
      </c>
      <c r="AK191" s="47">
        <v>2</v>
      </c>
      <c r="AL191">
        <v>5</v>
      </c>
      <c r="AM191">
        <v>0.28571000000000002</v>
      </c>
      <c r="AN191">
        <v>8</v>
      </c>
      <c r="AO191">
        <v>2</v>
      </c>
      <c r="AP191">
        <v>5</v>
      </c>
      <c r="AQ191">
        <v>7</v>
      </c>
      <c r="AR191">
        <v>1</v>
      </c>
      <c r="AS191">
        <v>1</v>
      </c>
      <c r="AT191" t="s">
        <v>7833</v>
      </c>
      <c r="AU191" t="s">
        <v>7834</v>
      </c>
      <c r="AV191">
        <v>0.22800000000000001</v>
      </c>
      <c r="AW191" t="s">
        <v>65</v>
      </c>
      <c r="AX191">
        <v>6</v>
      </c>
      <c r="AY191">
        <v>8</v>
      </c>
      <c r="AZ191" t="s">
        <v>7835</v>
      </c>
      <c r="BA191">
        <v>1.9640000000000001E-2</v>
      </c>
      <c r="BB191">
        <v>-1.9E-3</v>
      </c>
      <c r="BC191">
        <v>7.3200000000000001E-3</v>
      </c>
      <c r="BD191">
        <v>-8.1999999999999998E-4</v>
      </c>
      <c r="BE191">
        <v>0.37259999999999999</v>
      </c>
      <c r="BF191">
        <v>0.93899999999999995</v>
      </c>
      <c r="BG191" t="s">
        <v>635</v>
      </c>
      <c r="BH191">
        <v>-1.5129999999999999</v>
      </c>
      <c r="BI191">
        <v>-1.984</v>
      </c>
    </row>
    <row r="192" spans="3:61">
      <c r="C192">
        <v>0</v>
      </c>
      <c r="D192">
        <v>9</v>
      </c>
      <c r="E192">
        <v>7</v>
      </c>
      <c r="F192" t="s">
        <v>25021</v>
      </c>
      <c r="G192">
        <v>539</v>
      </c>
      <c r="H192" t="s">
        <v>3478</v>
      </c>
      <c r="I192" t="s">
        <v>62</v>
      </c>
      <c r="J192">
        <v>574109</v>
      </c>
      <c r="K192">
        <v>574435</v>
      </c>
      <c r="L192" t="s">
        <v>637</v>
      </c>
      <c r="M192">
        <v>109</v>
      </c>
      <c r="N192" t="s">
        <v>3479</v>
      </c>
      <c r="O192">
        <v>41</v>
      </c>
      <c r="P192" t="str">
        <f>HYPERLINK("Gene539-zp_tree_all.dnd", "Gene539-tree")</f>
        <v>Gene539-tree</v>
      </c>
      <c r="Q192">
        <v>3</v>
      </c>
      <c r="R192">
        <v>10</v>
      </c>
      <c r="S192">
        <v>3</v>
      </c>
      <c r="T192">
        <v>10</v>
      </c>
      <c r="U192">
        <v>0.76922999999999997</v>
      </c>
      <c r="V192" t="s">
        <v>324</v>
      </c>
      <c r="W192" t="s">
        <v>117</v>
      </c>
      <c r="X192" t="s">
        <v>62</v>
      </c>
      <c r="Y192" t="s">
        <v>62</v>
      </c>
      <c r="Z192">
        <v>6</v>
      </c>
      <c r="AA192">
        <v>16</v>
      </c>
      <c r="AB192">
        <v>9</v>
      </c>
      <c r="AC192">
        <v>0.64</v>
      </c>
      <c r="AD192" s="47">
        <v>0</v>
      </c>
      <c r="AE192" s="47">
        <v>0</v>
      </c>
      <c r="AF192" s="47">
        <v>0</v>
      </c>
      <c r="AG192" s="47">
        <v>0</v>
      </c>
      <c r="AH192" s="47">
        <v>0</v>
      </c>
      <c r="AI192" s="47">
        <v>6</v>
      </c>
      <c r="AJ192" s="47">
        <v>6</v>
      </c>
      <c r="AK192" s="47">
        <v>12</v>
      </c>
      <c r="AL192">
        <v>6</v>
      </c>
      <c r="AM192">
        <v>0.66666999999999998</v>
      </c>
      <c r="AN192">
        <v>11</v>
      </c>
      <c r="AO192">
        <v>8</v>
      </c>
      <c r="AP192">
        <v>9</v>
      </c>
      <c r="AQ192">
        <v>17</v>
      </c>
      <c r="AR192">
        <v>9</v>
      </c>
      <c r="AS192">
        <v>8</v>
      </c>
      <c r="AT192" t="s">
        <v>3480</v>
      </c>
      <c r="AU192" t="s">
        <v>3481</v>
      </c>
      <c r="AV192">
        <v>0.78100000000000003</v>
      </c>
      <c r="AW192" t="s">
        <v>65</v>
      </c>
      <c r="AX192">
        <v>18</v>
      </c>
      <c r="AY192">
        <v>25</v>
      </c>
      <c r="AZ192" t="s">
        <v>3482</v>
      </c>
      <c r="BA192">
        <v>5.8020000000000002E-2</v>
      </c>
      <c r="BB192">
        <v>-3.5699999999999998E-3</v>
      </c>
      <c r="BC192">
        <v>1.9470000000000001E-2</v>
      </c>
      <c r="BD192">
        <v>-8.1999999999999998E-4</v>
      </c>
      <c r="BE192">
        <v>0.33557999999999999</v>
      </c>
      <c r="BF192">
        <v>0.99</v>
      </c>
      <c r="BG192" t="s">
        <v>69</v>
      </c>
      <c r="BH192">
        <v>-0.504</v>
      </c>
      <c r="BI192">
        <v>-0.624</v>
      </c>
    </row>
    <row r="193" spans="3:61">
      <c r="C193">
        <v>0</v>
      </c>
      <c r="D193">
        <v>0</v>
      </c>
      <c r="E193">
        <v>0</v>
      </c>
      <c r="F193" t="s">
        <v>25021</v>
      </c>
      <c r="G193">
        <v>846</v>
      </c>
      <c r="H193" t="s">
        <v>5283</v>
      </c>
      <c r="I193" t="s">
        <v>62</v>
      </c>
      <c r="J193">
        <v>885847</v>
      </c>
      <c r="K193">
        <v>886173</v>
      </c>
      <c r="L193" t="s">
        <v>4095</v>
      </c>
      <c r="M193">
        <v>109</v>
      </c>
      <c r="N193" t="s">
        <v>5284</v>
      </c>
      <c r="O193">
        <v>34</v>
      </c>
      <c r="P193" t="str">
        <f>HYPERLINK("Gene846-zp_tree_all.dnd", "Gene846-tree")</f>
        <v>Gene846-tree</v>
      </c>
      <c r="Q193">
        <v>7</v>
      </c>
      <c r="R193">
        <v>2</v>
      </c>
      <c r="S193">
        <v>7</v>
      </c>
      <c r="T193">
        <v>2</v>
      </c>
      <c r="U193">
        <v>0.22222</v>
      </c>
      <c r="V193" t="s">
        <v>152</v>
      </c>
      <c r="W193" t="s">
        <v>81</v>
      </c>
      <c r="X193" t="s">
        <v>62</v>
      </c>
      <c r="Y193" t="s">
        <v>62</v>
      </c>
      <c r="Z193">
        <v>0</v>
      </c>
      <c r="AA193">
        <v>0</v>
      </c>
      <c r="AB193">
        <v>3</v>
      </c>
      <c r="AC193">
        <v>0</v>
      </c>
      <c r="AD193" s="47">
        <v>0</v>
      </c>
      <c r="AE193" s="47">
        <v>0</v>
      </c>
      <c r="AF193" s="47">
        <v>0</v>
      </c>
      <c r="AG193" s="47">
        <v>1</v>
      </c>
      <c r="AH193" s="47">
        <v>0</v>
      </c>
      <c r="AI193" s="47">
        <v>0</v>
      </c>
      <c r="AJ193" s="47">
        <v>0</v>
      </c>
      <c r="AK193" s="47">
        <v>0</v>
      </c>
      <c r="AL193">
        <v>2</v>
      </c>
      <c r="AM193">
        <v>0</v>
      </c>
      <c r="AN193">
        <v>6</v>
      </c>
      <c r="AO193">
        <v>2</v>
      </c>
      <c r="AP193">
        <v>6</v>
      </c>
      <c r="AQ193">
        <v>2</v>
      </c>
      <c r="AR193">
        <v>3</v>
      </c>
      <c r="AS193">
        <v>1</v>
      </c>
      <c r="AT193" t="s">
        <v>5285</v>
      </c>
      <c r="AU193" t="s">
        <v>5286</v>
      </c>
      <c r="AV193">
        <v>0</v>
      </c>
      <c r="AW193" t="s">
        <v>65</v>
      </c>
      <c r="AX193">
        <v>9</v>
      </c>
      <c r="AY193">
        <v>3</v>
      </c>
      <c r="AZ193" t="s">
        <v>5287</v>
      </c>
      <c r="BA193">
        <v>3.056E-2</v>
      </c>
      <c r="BB193">
        <v>-3.0000000000000001E-3</v>
      </c>
      <c r="BC193">
        <v>3.5000000000000001E-3</v>
      </c>
      <c r="BD193">
        <v>-4.4000000000000002E-4</v>
      </c>
      <c r="BE193">
        <v>0.11445</v>
      </c>
      <c r="BF193">
        <v>1</v>
      </c>
      <c r="BG193" t="s">
        <v>69</v>
      </c>
      <c r="BH193">
        <v>-0.40100000000000002</v>
      </c>
      <c r="BI193">
        <v>-0.11899999999999999</v>
      </c>
    </row>
    <row r="194" spans="3:61">
      <c r="C194">
        <v>0</v>
      </c>
      <c r="D194">
        <v>4</v>
      </c>
      <c r="E194">
        <v>1</v>
      </c>
      <c r="F194" t="s">
        <v>25021</v>
      </c>
      <c r="G194">
        <v>3250</v>
      </c>
      <c r="H194" t="s">
        <v>18945</v>
      </c>
      <c r="I194" t="s">
        <v>57</v>
      </c>
      <c r="J194">
        <v>3218525</v>
      </c>
      <c r="K194">
        <v>3218854</v>
      </c>
      <c r="L194" t="s">
        <v>18946</v>
      </c>
      <c r="M194">
        <v>110</v>
      </c>
      <c r="N194" t="s">
        <v>125</v>
      </c>
      <c r="O194">
        <v>48</v>
      </c>
      <c r="P194" t="str">
        <f>HYPERLINK("Gene3250-zp_tree_all.dnd", "Gene3250-tree")</f>
        <v>Gene3250-tree</v>
      </c>
      <c r="Q194">
        <v>11</v>
      </c>
      <c r="R194">
        <v>2</v>
      </c>
      <c r="S194">
        <v>11</v>
      </c>
      <c r="T194">
        <v>2</v>
      </c>
      <c r="U194">
        <v>0.15384999999999999</v>
      </c>
      <c r="V194" t="s">
        <v>73</v>
      </c>
      <c r="W194" t="s">
        <v>81</v>
      </c>
      <c r="X194" t="s">
        <v>62</v>
      </c>
      <c r="Y194" t="s">
        <v>62</v>
      </c>
      <c r="Z194">
        <v>1</v>
      </c>
      <c r="AA194">
        <v>5</v>
      </c>
      <c r="AB194">
        <v>5</v>
      </c>
      <c r="AC194">
        <v>0.5</v>
      </c>
      <c r="AD194" s="47">
        <v>0</v>
      </c>
      <c r="AE194" s="47">
        <v>2</v>
      </c>
      <c r="AF194" s="47">
        <v>2</v>
      </c>
      <c r="AG194" s="47">
        <v>2</v>
      </c>
      <c r="AH194" s="47">
        <v>0.5</v>
      </c>
      <c r="AI194" s="47">
        <v>2</v>
      </c>
      <c r="AJ194" s="47">
        <v>0</v>
      </c>
      <c r="AK194" s="47">
        <v>2</v>
      </c>
      <c r="AL194">
        <v>0</v>
      </c>
      <c r="AM194">
        <v>1</v>
      </c>
      <c r="AN194">
        <v>9</v>
      </c>
      <c r="AO194">
        <v>6</v>
      </c>
      <c r="AP194">
        <v>10</v>
      </c>
      <c r="AQ194">
        <v>2</v>
      </c>
      <c r="AR194">
        <v>11</v>
      </c>
      <c r="AS194">
        <v>8</v>
      </c>
      <c r="AT194" t="s">
        <v>18947</v>
      </c>
      <c r="AU194" t="s">
        <v>18948</v>
      </c>
      <c r="AV194">
        <v>0.83899999999999997</v>
      </c>
      <c r="AW194" t="s">
        <v>65</v>
      </c>
      <c r="AX194">
        <v>21</v>
      </c>
      <c r="AY194">
        <v>10</v>
      </c>
      <c r="AZ194" t="s">
        <v>18949</v>
      </c>
      <c r="BA194">
        <v>8.5540000000000005E-2</v>
      </c>
      <c r="BB194">
        <v>-7.5300000000000002E-3</v>
      </c>
      <c r="BC194">
        <v>9.1400000000000006E-3</v>
      </c>
      <c r="BD194">
        <v>-8.7000000000000001E-4</v>
      </c>
      <c r="BE194">
        <v>0.10686</v>
      </c>
      <c r="BF194">
        <v>1</v>
      </c>
      <c r="BG194" t="s">
        <v>69</v>
      </c>
      <c r="BH194">
        <v>-0.90500000000000003</v>
      </c>
      <c r="BI194">
        <v>1.0780000000000001</v>
      </c>
    </row>
    <row r="195" spans="3:61">
      <c r="C195">
        <v>0</v>
      </c>
      <c r="D195">
        <v>0</v>
      </c>
      <c r="E195">
        <v>0</v>
      </c>
      <c r="F195" t="s">
        <v>25021</v>
      </c>
      <c r="G195">
        <v>1382</v>
      </c>
      <c r="H195" t="s">
        <v>8648</v>
      </c>
      <c r="I195" t="s">
        <v>62</v>
      </c>
      <c r="J195">
        <v>1397414</v>
      </c>
      <c r="K195">
        <v>1397743</v>
      </c>
      <c r="L195" t="s">
        <v>8649</v>
      </c>
      <c r="M195">
        <v>110</v>
      </c>
      <c r="N195" t="s">
        <v>59</v>
      </c>
      <c r="O195">
        <v>49</v>
      </c>
      <c r="P195" t="str">
        <f>HYPERLINK("Gene1382-zp_tree_all.dnd", "Gene1382-tree")</f>
        <v>Gene1382-tree</v>
      </c>
      <c r="Q195">
        <v>10</v>
      </c>
      <c r="R195">
        <v>1</v>
      </c>
      <c r="S195">
        <v>10</v>
      </c>
      <c r="T195">
        <v>1</v>
      </c>
      <c r="U195">
        <v>9.0910000000000005E-2</v>
      </c>
      <c r="V195" t="s">
        <v>117</v>
      </c>
      <c r="W195" t="s">
        <v>175</v>
      </c>
      <c r="X195" t="s">
        <v>62</v>
      </c>
      <c r="Y195" t="s">
        <v>62</v>
      </c>
      <c r="Z195">
        <v>0</v>
      </c>
      <c r="AA195">
        <v>0</v>
      </c>
      <c r="AB195">
        <v>3</v>
      </c>
      <c r="AC195">
        <v>0</v>
      </c>
      <c r="AD195" s="47">
        <v>0</v>
      </c>
      <c r="AE195" s="47">
        <v>0</v>
      </c>
      <c r="AF195" s="47">
        <v>0</v>
      </c>
      <c r="AG195" s="47">
        <v>1</v>
      </c>
      <c r="AH195" s="47">
        <v>0</v>
      </c>
      <c r="AI195" s="47">
        <v>0</v>
      </c>
      <c r="AJ195" s="47">
        <v>0</v>
      </c>
      <c r="AK195" s="47">
        <v>0</v>
      </c>
      <c r="AL195">
        <v>1</v>
      </c>
      <c r="AM195">
        <v>0</v>
      </c>
      <c r="AN195">
        <v>9</v>
      </c>
      <c r="AO195">
        <v>4</v>
      </c>
      <c r="AP195">
        <v>17</v>
      </c>
      <c r="AQ195">
        <v>1</v>
      </c>
      <c r="AR195">
        <v>14</v>
      </c>
      <c r="AS195">
        <v>2</v>
      </c>
      <c r="AT195" t="s">
        <v>8650</v>
      </c>
      <c r="AU195" t="s">
        <v>8651</v>
      </c>
      <c r="AV195">
        <v>0.42399999999999999</v>
      </c>
      <c r="AW195" t="s">
        <v>65</v>
      </c>
      <c r="AX195">
        <v>31</v>
      </c>
      <c r="AY195">
        <v>3</v>
      </c>
      <c r="AZ195" t="s">
        <v>8652</v>
      </c>
      <c r="BA195">
        <v>0.13852999999999999</v>
      </c>
      <c r="BB195">
        <v>-1.0500000000000001E-2</v>
      </c>
      <c r="BC195">
        <v>3.7399999999999998E-3</v>
      </c>
      <c r="BD195">
        <v>-4.2000000000000002E-4</v>
      </c>
      <c r="BE195">
        <v>2.7019999999999999E-2</v>
      </c>
      <c r="BF195">
        <v>1</v>
      </c>
      <c r="BG195" t="s">
        <v>69</v>
      </c>
      <c r="BH195">
        <v>-1.6639999999999999</v>
      </c>
      <c r="BI195">
        <v>-0.64600000000000002</v>
      </c>
    </row>
    <row r="196" spans="3:61">
      <c r="C196">
        <v>0</v>
      </c>
      <c r="D196">
        <v>0</v>
      </c>
      <c r="E196">
        <v>2</v>
      </c>
      <c r="F196" t="s">
        <v>25021</v>
      </c>
      <c r="G196">
        <v>3409</v>
      </c>
      <c r="H196" t="s">
        <v>19945</v>
      </c>
      <c r="I196" t="s">
        <v>57</v>
      </c>
      <c r="J196">
        <v>3374001</v>
      </c>
      <c r="K196">
        <v>3374330</v>
      </c>
      <c r="L196" t="s">
        <v>19946</v>
      </c>
      <c r="M196">
        <v>110</v>
      </c>
      <c r="N196" t="s">
        <v>59</v>
      </c>
      <c r="O196">
        <v>49</v>
      </c>
      <c r="P196" t="str">
        <f>HYPERLINK("Gene3409-zp_tree_all.dnd", "Gene3409-tree")</f>
        <v>Gene3409-tree</v>
      </c>
      <c r="Q196">
        <v>11</v>
      </c>
      <c r="R196">
        <v>1</v>
      </c>
      <c r="S196">
        <v>11</v>
      </c>
      <c r="T196">
        <v>1</v>
      </c>
      <c r="U196">
        <v>8.3330000000000001E-2</v>
      </c>
      <c r="V196" t="s">
        <v>73</v>
      </c>
      <c r="W196" t="s">
        <v>175</v>
      </c>
      <c r="X196" t="s">
        <v>62</v>
      </c>
      <c r="Y196" t="s">
        <v>62</v>
      </c>
      <c r="Z196">
        <v>1</v>
      </c>
      <c r="AA196">
        <v>2</v>
      </c>
      <c r="AB196">
        <v>0</v>
      </c>
      <c r="AC196">
        <v>1</v>
      </c>
      <c r="AD196" s="47">
        <v>0</v>
      </c>
      <c r="AE196" s="47">
        <v>0</v>
      </c>
      <c r="AF196" s="47">
        <v>0</v>
      </c>
      <c r="AG196" s="47">
        <v>1</v>
      </c>
      <c r="AH196" s="47">
        <v>0</v>
      </c>
      <c r="AI196" s="47">
        <v>0</v>
      </c>
      <c r="AJ196" s="47">
        <v>0</v>
      </c>
      <c r="AK196" s="47">
        <v>0</v>
      </c>
      <c r="AL196">
        <v>1</v>
      </c>
      <c r="AM196">
        <v>0</v>
      </c>
      <c r="AN196">
        <v>8</v>
      </c>
      <c r="AO196">
        <v>6</v>
      </c>
      <c r="AP196">
        <v>15</v>
      </c>
      <c r="AQ196">
        <v>1</v>
      </c>
      <c r="AR196">
        <v>16</v>
      </c>
      <c r="AS196">
        <v>1</v>
      </c>
      <c r="AT196" t="s">
        <v>19947</v>
      </c>
      <c r="AU196" t="s">
        <v>19948</v>
      </c>
      <c r="AV196">
        <v>2.5000000000000001E-2</v>
      </c>
      <c r="AW196" t="s">
        <v>65</v>
      </c>
      <c r="AX196">
        <v>31</v>
      </c>
      <c r="AY196">
        <v>2</v>
      </c>
      <c r="AZ196" t="s">
        <v>19949</v>
      </c>
      <c r="BA196">
        <v>0.13872999999999999</v>
      </c>
      <c r="BB196">
        <v>-1.191E-2</v>
      </c>
      <c r="BC196">
        <v>1.6900000000000001E-3</v>
      </c>
      <c r="BD196">
        <v>-2.2000000000000001E-4</v>
      </c>
      <c r="BE196">
        <v>1.2200000000000001E-2</v>
      </c>
      <c r="BF196">
        <v>1</v>
      </c>
      <c r="BG196" t="s">
        <v>69</v>
      </c>
      <c r="BH196">
        <v>-0.81100000000000005</v>
      </c>
      <c r="BI196">
        <v>0.223</v>
      </c>
    </row>
    <row r="197" spans="3:61">
      <c r="C197">
        <v>0</v>
      </c>
      <c r="D197">
        <v>0</v>
      </c>
      <c r="E197">
        <v>0</v>
      </c>
      <c r="F197" t="s">
        <v>25021</v>
      </c>
      <c r="G197">
        <v>3741</v>
      </c>
      <c r="H197" t="s">
        <v>21942</v>
      </c>
      <c r="I197" t="s">
        <v>57</v>
      </c>
      <c r="J197">
        <v>3718794</v>
      </c>
      <c r="K197">
        <v>3719126</v>
      </c>
      <c r="L197" t="s">
        <v>116</v>
      </c>
      <c r="M197">
        <v>111</v>
      </c>
      <c r="N197" t="s">
        <v>108</v>
      </c>
      <c r="O197">
        <v>44</v>
      </c>
      <c r="P197" t="str">
        <f>HYPERLINK("Gene3741-zp_tree_all.dnd", "Gene3741-tree")</f>
        <v>Gene3741-tree</v>
      </c>
      <c r="Q197">
        <v>4</v>
      </c>
      <c r="R197">
        <v>6</v>
      </c>
      <c r="S197">
        <v>4</v>
      </c>
      <c r="T197">
        <v>6</v>
      </c>
      <c r="U197">
        <v>0.6</v>
      </c>
      <c r="V197" t="s">
        <v>61</v>
      </c>
      <c r="W197" t="s">
        <v>90</v>
      </c>
      <c r="X197" t="s">
        <v>62</v>
      </c>
      <c r="Y197" t="s">
        <v>62</v>
      </c>
      <c r="Z197">
        <v>0</v>
      </c>
      <c r="AA197">
        <v>0</v>
      </c>
      <c r="AB197">
        <v>10</v>
      </c>
      <c r="AC197">
        <v>0</v>
      </c>
      <c r="AD197" s="47">
        <v>0</v>
      </c>
      <c r="AE197" s="47">
        <v>0</v>
      </c>
      <c r="AF197" s="47">
        <v>0</v>
      </c>
      <c r="AG197" s="47">
        <v>0</v>
      </c>
      <c r="AH197" s="47">
        <v>0</v>
      </c>
      <c r="AI197" s="47">
        <v>0</v>
      </c>
      <c r="AJ197" s="47">
        <v>0</v>
      </c>
      <c r="AK197" s="47">
        <v>0</v>
      </c>
      <c r="AL197">
        <v>7</v>
      </c>
      <c r="AM197">
        <v>0</v>
      </c>
      <c r="AN197">
        <v>10</v>
      </c>
      <c r="AO197">
        <v>2</v>
      </c>
      <c r="AP197">
        <v>8</v>
      </c>
      <c r="AQ197">
        <v>7</v>
      </c>
      <c r="AR197">
        <v>0</v>
      </c>
      <c r="AS197">
        <v>4</v>
      </c>
      <c r="AT197" t="s">
        <v>21943</v>
      </c>
      <c r="AU197" t="s">
        <v>193</v>
      </c>
      <c r="AV197">
        <v>2.25</v>
      </c>
      <c r="AW197" t="s">
        <v>267</v>
      </c>
      <c r="AX197">
        <v>8</v>
      </c>
      <c r="AY197">
        <v>11</v>
      </c>
      <c r="AZ197" t="s">
        <v>21944</v>
      </c>
      <c r="BA197">
        <v>2.3199999999999998E-2</v>
      </c>
      <c r="BB197">
        <v>-1.75E-3</v>
      </c>
      <c r="BC197">
        <v>1.221E-2</v>
      </c>
      <c r="BD197">
        <v>-1.2600000000000001E-3</v>
      </c>
      <c r="BE197">
        <v>0.52620999999999996</v>
      </c>
      <c r="BF197">
        <v>0.77300000000000002</v>
      </c>
      <c r="BG197" t="s">
        <v>635</v>
      </c>
      <c r="BH197">
        <v>-0.751</v>
      </c>
      <c r="BI197">
        <v>-1.0680000000000001</v>
      </c>
    </row>
    <row r="198" spans="3:61">
      <c r="C198">
        <v>0</v>
      </c>
      <c r="D198">
        <v>4</v>
      </c>
      <c r="E198">
        <v>0</v>
      </c>
      <c r="F198" t="s">
        <v>25021</v>
      </c>
      <c r="G198">
        <v>2949</v>
      </c>
      <c r="H198" t="s">
        <v>17006</v>
      </c>
      <c r="I198" t="s">
        <v>57</v>
      </c>
      <c r="J198">
        <v>2897788</v>
      </c>
      <c r="K198">
        <v>2898120</v>
      </c>
      <c r="L198" t="s">
        <v>17007</v>
      </c>
      <c r="M198">
        <v>111</v>
      </c>
      <c r="N198" t="s">
        <v>17008</v>
      </c>
      <c r="O198">
        <v>28</v>
      </c>
      <c r="P198" t="str">
        <f>HYPERLINK("Gene2949-zp_tree_all.dnd", "Gene2949-tree")</f>
        <v>Gene2949-tree</v>
      </c>
      <c r="Q198">
        <v>1</v>
      </c>
      <c r="R198">
        <v>5</v>
      </c>
      <c r="S198">
        <v>1</v>
      </c>
      <c r="T198">
        <v>5</v>
      </c>
      <c r="U198">
        <v>0.83333000000000002</v>
      </c>
      <c r="V198" t="s">
        <v>175</v>
      </c>
      <c r="W198" t="s">
        <v>199</v>
      </c>
      <c r="X198" t="s">
        <v>62</v>
      </c>
      <c r="Y198" t="s">
        <v>62</v>
      </c>
      <c r="Z198">
        <v>2</v>
      </c>
      <c r="AA198">
        <v>4</v>
      </c>
      <c r="AB198">
        <v>4</v>
      </c>
      <c r="AC198">
        <v>0.5</v>
      </c>
      <c r="AD198" s="47">
        <v>0</v>
      </c>
      <c r="AE198" s="47">
        <v>0</v>
      </c>
      <c r="AF198" s="47">
        <v>0</v>
      </c>
      <c r="AG198" s="47">
        <v>0</v>
      </c>
      <c r="AH198" s="47">
        <v>0</v>
      </c>
      <c r="AI198" s="47">
        <v>4</v>
      </c>
      <c r="AJ198" s="47">
        <v>0</v>
      </c>
      <c r="AK198" s="47">
        <v>4</v>
      </c>
      <c r="AL198">
        <v>4</v>
      </c>
      <c r="AM198">
        <v>0.5</v>
      </c>
      <c r="AN198">
        <v>5</v>
      </c>
      <c r="AO198">
        <v>2</v>
      </c>
      <c r="AP198">
        <v>7</v>
      </c>
      <c r="AQ198">
        <v>8</v>
      </c>
      <c r="AR198">
        <v>4</v>
      </c>
      <c r="AS198">
        <v>2</v>
      </c>
      <c r="AT198" t="s">
        <v>17009</v>
      </c>
      <c r="AU198" t="s">
        <v>17010</v>
      </c>
      <c r="AV198">
        <v>0.96499999999999997</v>
      </c>
      <c r="AW198" t="s">
        <v>65</v>
      </c>
      <c r="AX198">
        <v>11</v>
      </c>
      <c r="AY198">
        <v>10</v>
      </c>
      <c r="AZ198" t="s">
        <v>17011</v>
      </c>
      <c r="BA198">
        <v>4.9200000000000001E-2</v>
      </c>
      <c r="BB198">
        <v>-5.4299999999999999E-3</v>
      </c>
      <c r="BC198">
        <v>1.384E-2</v>
      </c>
      <c r="BD198">
        <v>-1.7099999999999999E-3</v>
      </c>
      <c r="BE198">
        <v>0.28132000000000001</v>
      </c>
      <c r="BF198">
        <v>0.94899999999999995</v>
      </c>
      <c r="BG198" t="s">
        <v>635</v>
      </c>
      <c r="BH198">
        <v>-0.432</v>
      </c>
      <c r="BI198">
        <v>1.1539999999999999</v>
      </c>
    </row>
    <row r="199" spans="3:61">
      <c r="C199">
        <v>0</v>
      </c>
      <c r="D199">
        <v>0</v>
      </c>
      <c r="E199">
        <v>0</v>
      </c>
      <c r="F199" t="s">
        <v>25021</v>
      </c>
      <c r="G199">
        <v>3575</v>
      </c>
      <c r="H199" t="s">
        <v>20970</v>
      </c>
      <c r="I199" t="s">
        <v>57</v>
      </c>
      <c r="J199">
        <v>3541488</v>
      </c>
      <c r="K199">
        <v>3541820</v>
      </c>
      <c r="L199" t="s">
        <v>20971</v>
      </c>
      <c r="M199">
        <v>111</v>
      </c>
      <c r="N199" t="s">
        <v>108</v>
      </c>
      <c r="O199">
        <v>44</v>
      </c>
      <c r="P199" t="str">
        <f>HYPERLINK("Gene3575-zp_tree_all.dnd", "Gene3575-tree")</f>
        <v>Gene3575-tree</v>
      </c>
      <c r="Q199">
        <v>5</v>
      </c>
      <c r="R199">
        <v>6</v>
      </c>
      <c r="S199">
        <v>5</v>
      </c>
      <c r="T199">
        <v>6</v>
      </c>
      <c r="U199">
        <v>0.54544999999999999</v>
      </c>
      <c r="V199" t="s">
        <v>199</v>
      </c>
      <c r="W199" t="s">
        <v>90</v>
      </c>
      <c r="X199" t="s">
        <v>62</v>
      </c>
      <c r="Y199" t="s">
        <v>62</v>
      </c>
      <c r="Z199">
        <v>0</v>
      </c>
      <c r="AA199">
        <v>0</v>
      </c>
      <c r="AB199">
        <v>6</v>
      </c>
      <c r="AC199">
        <v>0</v>
      </c>
      <c r="AD199" s="47">
        <v>0</v>
      </c>
      <c r="AE199" s="47">
        <v>0</v>
      </c>
      <c r="AF199" s="47">
        <v>0</v>
      </c>
      <c r="AG199" s="47">
        <v>0</v>
      </c>
      <c r="AH199" s="47">
        <v>0</v>
      </c>
      <c r="AI199" s="47">
        <v>0</v>
      </c>
      <c r="AJ199" s="47">
        <v>0</v>
      </c>
      <c r="AK199" s="47">
        <v>0</v>
      </c>
      <c r="AL199">
        <v>6</v>
      </c>
      <c r="AM199">
        <v>0</v>
      </c>
      <c r="AN199">
        <v>8</v>
      </c>
      <c r="AO199">
        <v>2</v>
      </c>
      <c r="AP199">
        <v>9</v>
      </c>
      <c r="AQ199">
        <v>6</v>
      </c>
      <c r="AR199">
        <v>2</v>
      </c>
      <c r="AS199">
        <v>0</v>
      </c>
      <c r="AT199" t="s">
        <v>20972</v>
      </c>
      <c r="AU199" t="s">
        <v>193</v>
      </c>
      <c r="AV199">
        <v>1.252</v>
      </c>
      <c r="AW199" t="s">
        <v>65</v>
      </c>
      <c r="AX199">
        <v>11</v>
      </c>
      <c r="AY199">
        <v>6</v>
      </c>
      <c r="AZ199" t="s">
        <v>20973</v>
      </c>
      <c r="BA199">
        <v>2.9850000000000002E-2</v>
      </c>
      <c r="BB199">
        <v>-3.3999999999999998E-3</v>
      </c>
      <c r="BC199">
        <v>4.3899999999999998E-3</v>
      </c>
      <c r="BD199">
        <v>-3.6000000000000002E-4</v>
      </c>
      <c r="BE199">
        <v>0.14715</v>
      </c>
      <c r="BF199">
        <v>1</v>
      </c>
      <c r="BG199" t="s">
        <v>69</v>
      </c>
      <c r="BH199">
        <v>-1.224</v>
      </c>
      <c r="BI199">
        <v>-0.94499999999999995</v>
      </c>
    </row>
    <row r="200" spans="3:61">
      <c r="C200">
        <v>0</v>
      </c>
      <c r="D200">
        <v>0</v>
      </c>
      <c r="E200">
        <v>0</v>
      </c>
      <c r="F200" t="s">
        <v>25021</v>
      </c>
      <c r="G200">
        <v>2563</v>
      </c>
      <c r="H200" t="s">
        <v>14989</v>
      </c>
      <c r="I200" t="s">
        <v>57</v>
      </c>
      <c r="J200">
        <v>2552653</v>
      </c>
      <c r="K200">
        <v>2552985</v>
      </c>
      <c r="L200" t="s">
        <v>14990</v>
      </c>
      <c r="M200">
        <v>111</v>
      </c>
      <c r="N200" t="s">
        <v>14991</v>
      </c>
      <c r="O200">
        <v>50</v>
      </c>
      <c r="P200" t="str">
        <f>HYPERLINK("Gene2563-zp_tree_all.dnd", "Gene2563-tree")</f>
        <v>Gene2563-tree</v>
      </c>
      <c r="Q200">
        <v>37</v>
      </c>
      <c r="R200">
        <v>2</v>
      </c>
      <c r="S200">
        <v>4</v>
      </c>
      <c r="T200">
        <v>2</v>
      </c>
      <c r="U200">
        <v>0.33333000000000002</v>
      </c>
      <c r="V200" t="s">
        <v>12688</v>
      </c>
      <c r="W200" t="s">
        <v>81</v>
      </c>
      <c r="X200" t="s">
        <v>62</v>
      </c>
      <c r="Y200" t="s">
        <v>62</v>
      </c>
      <c r="Z200">
        <v>0</v>
      </c>
      <c r="AA200">
        <v>0</v>
      </c>
      <c r="AB200">
        <v>2</v>
      </c>
      <c r="AC200">
        <v>0</v>
      </c>
      <c r="AD200" s="47">
        <v>0</v>
      </c>
      <c r="AE200" s="47">
        <v>0</v>
      </c>
      <c r="AF200" s="47">
        <v>0</v>
      </c>
      <c r="AG200" s="47">
        <v>0</v>
      </c>
      <c r="AH200" s="47">
        <v>0</v>
      </c>
      <c r="AI200" s="47">
        <v>0</v>
      </c>
      <c r="AJ200" s="47">
        <v>0</v>
      </c>
      <c r="AK200" s="47">
        <v>0</v>
      </c>
      <c r="AL200">
        <v>2</v>
      </c>
      <c r="AM200">
        <v>0</v>
      </c>
      <c r="AN200">
        <v>5</v>
      </c>
      <c r="AO200">
        <v>1</v>
      </c>
      <c r="AP200">
        <v>11</v>
      </c>
      <c r="AQ200">
        <v>2</v>
      </c>
      <c r="AR200">
        <v>1</v>
      </c>
      <c r="AS200">
        <v>0</v>
      </c>
      <c r="AT200" t="s">
        <v>14992</v>
      </c>
      <c r="AU200" t="s">
        <v>193</v>
      </c>
      <c r="AV200">
        <v>0.66600000000000004</v>
      </c>
      <c r="AW200" t="s">
        <v>65</v>
      </c>
      <c r="AX200">
        <v>12</v>
      </c>
      <c r="AY200">
        <v>2</v>
      </c>
      <c r="AZ200" t="s">
        <v>14993</v>
      </c>
      <c r="BA200">
        <v>5.6550000000000003E-2</v>
      </c>
      <c r="BB200">
        <v>-1.516E-2</v>
      </c>
      <c r="BC200">
        <v>2.5999999999999999E-3</v>
      </c>
      <c r="BD200">
        <v>-5.9999999999999995E-4</v>
      </c>
      <c r="BE200">
        <v>4.5940000000000002E-2</v>
      </c>
      <c r="BF200">
        <v>1</v>
      </c>
      <c r="BG200" t="s">
        <v>69</v>
      </c>
      <c r="BH200">
        <v>-1.536</v>
      </c>
      <c r="BI200">
        <v>1.4770000000000001</v>
      </c>
    </row>
    <row r="201" spans="3:61">
      <c r="C201">
        <v>0</v>
      </c>
      <c r="D201">
        <v>0</v>
      </c>
      <c r="E201">
        <v>0</v>
      </c>
      <c r="F201" t="s">
        <v>25021</v>
      </c>
      <c r="G201">
        <v>3340</v>
      </c>
      <c r="H201" t="s">
        <v>19512</v>
      </c>
      <c r="I201" t="s">
        <v>57</v>
      </c>
      <c r="J201">
        <v>3310386</v>
      </c>
      <c r="K201">
        <v>3310718</v>
      </c>
      <c r="L201" t="s">
        <v>19513</v>
      </c>
      <c r="M201">
        <v>111</v>
      </c>
      <c r="N201" t="s">
        <v>59</v>
      </c>
      <c r="O201">
        <v>49</v>
      </c>
      <c r="P201" t="str">
        <f>HYPERLINK("Gene3340-zp_tree_all.dnd", "Gene3340-tree")</f>
        <v>Gene3340-tree</v>
      </c>
      <c r="Q201">
        <v>11</v>
      </c>
      <c r="R201">
        <v>2</v>
      </c>
      <c r="S201">
        <v>11</v>
      </c>
      <c r="T201">
        <v>2</v>
      </c>
      <c r="U201">
        <v>0.15384999999999999</v>
      </c>
      <c r="V201" t="s">
        <v>73</v>
      </c>
      <c r="W201" t="s">
        <v>81</v>
      </c>
      <c r="X201" t="s">
        <v>62</v>
      </c>
      <c r="Y201" t="s">
        <v>62</v>
      </c>
      <c r="Z201">
        <v>0</v>
      </c>
      <c r="AA201">
        <v>0</v>
      </c>
      <c r="AB201">
        <v>2</v>
      </c>
      <c r="AC201">
        <v>0</v>
      </c>
      <c r="AD201" s="47">
        <v>0</v>
      </c>
      <c r="AE201" s="47">
        <v>0</v>
      </c>
      <c r="AF201" s="47">
        <v>0</v>
      </c>
      <c r="AG201" s="47">
        <v>0</v>
      </c>
      <c r="AH201" s="47">
        <v>0</v>
      </c>
      <c r="AI201" s="47">
        <v>0</v>
      </c>
      <c r="AJ201" s="47">
        <v>0</v>
      </c>
      <c r="AK201" s="47">
        <v>0</v>
      </c>
      <c r="AL201">
        <v>2</v>
      </c>
      <c r="AM201">
        <v>0</v>
      </c>
      <c r="AN201">
        <v>8</v>
      </c>
      <c r="AO201">
        <v>6</v>
      </c>
      <c r="AP201">
        <v>6</v>
      </c>
      <c r="AQ201">
        <v>2</v>
      </c>
      <c r="AR201">
        <v>7</v>
      </c>
      <c r="AS201">
        <v>0</v>
      </c>
      <c r="AT201" t="s">
        <v>19514</v>
      </c>
      <c r="AU201" t="s">
        <v>193</v>
      </c>
      <c r="AV201">
        <v>0.84899999999999998</v>
      </c>
      <c r="AW201" t="s">
        <v>65</v>
      </c>
      <c r="AX201">
        <v>13</v>
      </c>
      <c r="AY201">
        <v>2</v>
      </c>
      <c r="AZ201" t="s">
        <v>19515</v>
      </c>
      <c r="BA201">
        <v>4.3749999999999997E-2</v>
      </c>
      <c r="BB201">
        <v>-2.2599999999999999E-3</v>
      </c>
      <c r="BC201">
        <v>1.1999999999999999E-3</v>
      </c>
      <c r="BD201">
        <v>-2.2000000000000001E-4</v>
      </c>
      <c r="BE201">
        <v>2.7359999999999999E-2</v>
      </c>
      <c r="BF201">
        <v>1</v>
      </c>
      <c r="BG201" t="s">
        <v>69</v>
      </c>
      <c r="BH201">
        <v>-0.38500000000000001</v>
      </c>
      <c r="BI201">
        <v>1.0029999999999999</v>
      </c>
    </row>
    <row r="202" spans="3:61">
      <c r="C202">
        <v>0</v>
      </c>
      <c r="D202">
        <v>3</v>
      </c>
      <c r="E202">
        <v>2</v>
      </c>
      <c r="F202" t="s">
        <v>25021</v>
      </c>
      <c r="G202">
        <v>1959</v>
      </c>
      <c r="H202" t="s">
        <v>12273</v>
      </c>
      <c r="I202" t="s">
        <v>57</v>
      </c>
      <c r="J202">
        <v>2056278</v>
      </c>
      <c r="K202">
        <v>2056613</v>
      </c>
      <c r="L202" t="s">
        <v>12274</v>
      </c>
      <c r="M202">
        <v>112</v>
      </c>
      <c r="N202" t="s">
        <v>12275</v>
      </c>
      <c r="O202">
        <v>32</v>
      </c>
      <c r="P202" t="str">
        <f>HYPERLINK("Gene1959-zp_tree_all.dnd", "Gene1959-tree")</f>
        <v>Gene1959-tree</v>
      </c>
      <c r="Q202">
        <v>2</v>
      </c>
      <c r="R202">
        <v>7</v>
      </c>
      <c r="S202">
        <v>2</v>
      </c>
      <c r="T202">
        <v>7</v>
      </c>
      <c r="U202">
        <v>0.77778000000000003</v>
      </c>
      <c r="V202" t="s">
        <v>81</v>
      </c>
      <c r="W202" t="s">
        <v>152</v>
      </c>
      <c r="X202" t="s">
        <v>62</v>
      </c>
      <c r="Y202" t="s">
        <v>62</v>
      </c>
      <c r="Z202">
        <v>2</v>
      </c>
      <c r="AA202">
        <v>5</v>
      </c>
      <c r="AB202">
        <v>15</v>
      </c>
      <c r="AC202">
        <v>0.25</v>
      </c>
      <c r="AD202" s="47">
        <v>0</v>
      </c>
      <c r="AE202" s="47">
        <v>0</v>
      </c>
      <c r="AF202" s="47">
        <v>0</v>
      </c>
      <c r="AG202" s="47">
        <v>0</v>
      </c>
      <c r="AH202" s="47">
        <v>0</v>
      </c>
      <c r="AI202" s="47">
        <v>2</v>
      </c>
      <c r="AJ202" s="47">
        <v>0</v>
      </c>
      <c r="AK202" s="47">
        <v>2</v>
      </c>
      <c r="AL202">
        <v>10</v>
      </c>
      <c r="AM202">
        <v>0.16667000000000001</v>
      </c>
      <c r="AN202">
        <v>7</v>
      </c>
      <c r="AO202">
        <v>4</v>
      </c>
      <c r="AP202">
        <v>9</v>
      </c>
      <c r="AQ202">
        <v>8</v>
      </c>
      <c r="AR202">
        <v>7</v>
      </c>
      <c r="AS202">
        <v>12</v>
      </c>
      <c r="AT202" t="s">
        <v>12276</v>
      </c>
      <c r="AU202" t="s">
        <v>12277</v>
      </c>
      <c r="AV202">
        <v>0.83399999999999996</v>
      </c>
      <c r="AW202" t="s">
        <v>65</v>
      </c>
      <c r="AX202">
        <v>16</v>
      </c>
      <c r="AY202">
        <v>20</v>
      </c>
      <c r="AZ202" t="s">
        <v>12278</v>
      </c>
      <c r="BA202">
        <v>7.0610000000000006E-2</v>
      </c>
      <c r="BB202">
        <v>-5.3400000000000001E-3</v>
      </c>
      <c r="BC202">
        <v>2.5669999999999998E-2</v>
      </c>
      <c r="BD202">
        <v>-2.0200000000000001E-3</v>
      </c>
      <c r="BE202">
        <v>0.36353999999999997</v>
      </c>
      <c r="BF202">
        <v>0.99</v>
      </c>
      <c r="BG202" t="s">
        <v>69</v>
      </c>
      <c r="BH202">
        <v>-1.462</v>
      </c>
      <c r="BI202">
        <v>9.6000000000000002E-2</v>
      </c>
    </row>
    <row r="203" spans="3:61">
      <c r="C203">
        <v>2</v>
      </c>
      <c r="D203">
        <v>1</v>
      </c>
      <c r="E203">
        <v>0</v>
      </c>
      <c r="F203" t="s">
        <v>25021</v>
      </c>
      <c r="G203">
        <v>1020</v>
      </c>
      <c r="H203" t="s">
        <v>6409</v>
      </c>
      <c r="I203" t="s">
        <v>62</v>
      </c>
      <c r="J203">
        <v>1060991</v>
      </c>
      <c r="K203">
        <v>1061326</v>
      </c>
      <c r="L203" t="s">
        <v>6404</v>
      </c>
      <c r="M203">
        <v>112</v>
      </c>
      <c r="N203" t="s">
        <v>289</v>
      </c>
      <c r="O203">
        <v>46</v>
      </c>
      <c r="P203" t="str">
        <f>HYPERLINK("Gene1020-zp_tree_all.dnd", "Gene1020-tree")</f>
        <v>Gene1020-tree</v>
      </c>
      <c r="Q203">
        <v>7</v>
      </c>
      <c r="R203">
        <v>7</v>
      </c>
      <c r="S203">
        <v>7</v>
      </c>
      <c r="T203">
        <v>7</v>
      </c>
      <c r="U203">
        <v>0.5</v>
      </c>
      <c r="V203" t="s">
        <v>152</v>
      </c>
      <c r="W203" t="s">
        <v>152</v>
      </c>
      <c r="X203" t="s">
        <v>62</v>
      </c>
      <c r="Y203" t="s">
        <v>62</v>
      </c>
      <c r="Z203">
        <v>1</v>
      </c>
      <c r="AA203">
        <v>3</v>
      </c>
      <c r="AB203">
        <v>14</v>
      </c>
      <c r="AC203">
        <v>0.17646999999999999</v>
      </c>
      <c r="AD203" s="47">
        <v>0</v>
      </c>
      <c r="AE203" s="47">
        <v>0</v>
      </c>
      <c r="AF203" s="47">
        <v>0</v>
      </c>
      <c r="AG203" s="47">
        <v>1</v>
      </c>
      <c r="AH203" s="47">
        <v>0</v>
      </c>
      <c r="AI203" s="47">
        <v>0</v>
      </c>
      <c r="AJ203" s="47">
        <v>0</v>
      </c>
      <c r="AK203" s="47">
        <v>0</v>
      </c>
      <c r="AL203">
        <v>11</v>
      </c>
      <c r="AM203">
        <v>0</v>
      </c>
      <c r="AN203">
        <v>10</v>
      </c>
      <c r="AO203">
        <v>8</v>
      </c>
      <c r="AP203">
        <v>10</v>
      </c>
      <c r="AQ203">
        <v>7</v>
      </c>
      <c r="AR203">
        <v>10</v>
      </c>
      <c r="AS203">
        <v>10</v>
      </c>
      <c r="AT203" t="s">
        <v>6410</v>
      </c>
      <c r="AU203" t="s">
        <v>6411</v>
      </c>
      <c r="AV203">
        <v>0.24299999999999999</v>
      </c>
      <c r="AW203" t="s">
        <v>65</v>
      </c>
      <c r="AX203">
        <v>20</v>
      </c>
      <c r="AY203">
        <v>17</v>
      </c>
      <c r="AZ203" t="s">
        <v>6412</v>
      </c>
      <c r="BA203">
        <v>5.45E-2</v>
      </c>
      <c r="BB203">
        <v>-3.47E-3</v>
      </c>
      <c r="BC203">
        <v>1.6480000000000002E-2</v>
      </c>
      <c r="BD203">
        <v>-1.1299999999999999E-3</v>
      </c>
      <c r="BE203">
        <v>0.30231999999999998</v>
      </c>
      <c r="BF203">
        <v>0.99</v>
      </c>
      <c r="BG203" t="s">
        <v>69</v>
      </c>
      <c r="BH203">
        <v>-1.3240000000000001</v>
      </c>
      <c r="BI203">
        <v>-0.45300000000000001</v>
      </c>
    </row>
    <row r="204" spans="3:61">
      <c r="C204">
        <v>0</v>
      </c>
      <c r="D204">
        <v>0</v>
      </c>
      <c r="E204">
        <v>0</v>
      </c>
      <c r="F204" t="s">
        <v>25021</v>
      </c>
      <c r="G204">
        <v>1295</v>
      </c>
      <c r="H204" t="s">
        <v>8127</v>
      </c>
      <c r="I204" t="s">
        <v>62</v>
      </c>
      <c r="J204">
        <v>1321332</v>
      </c>
      <c r="K204">
        <v>1321670</v>
      </c>
      <c r="L204" t="s">
        <v>8128</v>
      </c>
      <c r="M204">
        <v>113</v>
      </c>
      <c r="N204" t="s">
        <v>8129</v>
      </c>
      <c r="O204">
        <v>47</v>
      </c>
      <c r="P204" t="str">
        <f>HYPERLINK("Gene1295-zp_tree_all.dnd", "Gene1295-tree")</f>
        <v>Gene1295-tree</v>
      </c>
      <c r="Q204">
        <v>6</v>
      </c>
      <c r="R204">
        <v>4</v>
      </c>
      <c r="S204">
        <v>6</v>
      </c>
      <c r="T204">
        <v>4</v>
      </c>
      <c r="U204">
        <v>0.4</v>
      </c>
      <c r="V204" t="s">
        <v>90</v>
      </c>
      <c r="W204" t="s">
        <v>61</v>
      </c>
      <c r="X204" t="s">
        <v>62</v>
      </c>
      <c r="Y204" t="s">
        <v>62</v>
      </c>
      <c r="Z204">
        <v>0</v>
      </c>
      <c r="AA204">
        <v>0</v>
      </c>
      <c r="AB204">
        <v>7</v>
      </c>
      <c r="AC204">
        <v>0</v>
      </c>
      <c r="AD204" s="47">
        <v>0</v>
      </c>
      <c r="AE204" s="47">
        <v>0</v>
      </c>
      <c r="AF204" s="47">
        <v>0</v>
      </c>
      <c r="AG204" s="47">
        <v>0</v>
      </c>
      <c r="AH204" s="47">
        <v>0</v>
      </c>
      <c r="AI204" s="47">
        <v>0</v>
      </c>
      <c r="AJ204" s="47">
        <v>0</v>
      </c>
      <c r="AK204" s="47">
        <v>0</v>
      </c>
      <c r="AL204">
        <v>3</v>
      </c>
      <c r="AM204">
        <v>0</v>
      </c>
      <c r="AN204">
        <v>8</v>
      </c>
      <c r="AO204">
        <v>5</v>
      </c>
      <c r="AP204">
        <v>7</v>
      </c>
      <c r="AQ204">
        <v>3</v>
      </c>
      <c r="AR204">
        <v>14</v>
      </c>
      <c r="AS204">
        <v>4</v>
      </c>
      <c r="AT204" t="s">
        <v>8130</v>
      </c>
      <c r="AU204" t="s">
        <v>8131</v>
      </c>
      <c r="AV204">
        <v>0.32800000000000001</v>
      </c>
      <c r="AW204" t="s">
        <v>65</v>
      </c>
      <c r="AX204">
        <v>21</v>
      </c>
      <c r="AY204">
        <v>7</v>
      </c>
      <c r="AZ204" t="s">
        <v>8132</v>
      </c>
      <c r="BA204">
        <v>0.11318</v>
      </c>
      <c r="BB204">
        <v>-1.042E-2</v>
      </c>
      <c r="BC204">
        <v>8.2799999999999992E-3</v>
      </c>
      <c r="BD204">
        <v>-6.8000000000000005E-4</v>
      </c>
      <c r="BE204">
        <v>7.3169999999999999E-2</v>
      </c>
      <c r="BF204">
        <v>1</v>
      </c>
      <c r="BG204" t="s">
        <v>69</v>
      </c>
      <c r="BH204">
        <v>-1.1659999999999999</v>
      </c>
      <c r="BI204">
        <v>-0.28999999999999998</v>
      </c>
    </row>
    <row r="205" spans="3:61">
      <c r="C205">
        <v>0</v>
      </c>
      <c r="D205">
        <v>0</v>
      </c>
      <c r="E205">
        <v>0</v>
      </c>
      <c r="F205" t="s">
        <v>25021</v>
      </c>
      <c r="G205">
        <v>3281</v>
      </c>
      <c r="H205" t="s">
        <v>19146</v>
      </c>
      <c r="I205" t="s">
        <v>57</v>
      </c>
      <c r="J205">
        <v>3249427</v>
      </c>
      <c r="K205">
        <v>3249765</v>
      </c>
      <c r="L205" t="s">
        <v>19147</v>
      </c>
      <c r="M205">
        <v>113</v>
      </c>
      <c r="N205" t="s">
        <v>59</v>
      </c>
      <c r="O205">
        <v>49</v>
      </c>
      <c r="P205" t="str">
        <f>HYPERLINK("Gene3281-zp_tree_all.dnd", "Gene3281-tree")</f>
        <v>Gene3281-tree</v>
      </c>
      <c r="Q205">
        <v>14</v>
      </c>
      <c r="R205">
        <v>1</v>
      </c>
      <c r="S205">
        <v>14</v>
      </c>
      <c r="T205">
        <v>1</v>
      </c>
      <c r="U205">
        <v>6.6669999999999993E-2</v>
      </c>
      <c r="V205" t="s">
        <v>543</v>
      </c>
      <c r="W205" t="s">
        <v>175</v>
      </c>
      <c r="X205" t="s">
        <v>62</v>
      </c>
      <c r="Y205" t="s">
        <v>62</v>
      </c>
      <c r="Z205">
        <v>0</v>
      </c>
      <c r="AA205">
        <v>0</v>
      </c>
      <c r="AB205">
        <v>1</v>
      </c>
      <c r="AC205">
        <v>0</v>
      </c>
      <c r="AD205" s="47">
        <v>0</v>
      </c>
      <c r="AE205" s="47">
        <v>0</v>
      </c>
      <c r="AF205" s="47">
        <v>0</v>
      </c>
      <c r="AG205" s="47">
        <v>0</v>
      </c>
      <c r="AH205" s="47">
        <v>0</v>
      </c>
      <c r="AI205" s="47">
        <v>0</v>
      </c>
      <c r="AJ205" s="47">
        <v>0</v>
      </c>
      <c r="AK205" s="47">
        <v>0</v>
      </c>
      <c r="AL205">
        <v>1</v>
      </c>
      <c r="AM205">
        <v>0</v>
      </c>
      <c r="AN205">
        <v>10</v>
      </c>
      <c r="AO205">
        <v>7</v>
      </c>
      <c r="AP205">
        <v>14</v>
      </c>
      <c r="AQ205">
        <v>1</v>
      </c>
      <c r="AR205">
        <v>12</v>
      </c>
      <c r="AS205">
        <v>1</v>
      </c>
      <c r="AT205" t="s">
        <v>19148</v>
      </c>
      <c r="AU205" t="s">
        <v>19149</v>
      </c>
      <c r="AV205">
        <v>0.04</v>
      </c>
      <c r="AW205" t="s">
        <v>65</v>
      </c>
      <c r="AX205">
        <v>26</v>
      </c>
      <c r="AY205">
        <v>2</v>
      </c>
      <c r="AZ205" t="s">
        <v>19150</v>
      </c>
      <c r="BA205">
        <v>7.0220000000000005E-2</v>
      </c>
      <c r="BB205">
        <v>-4.1200000000000004E-3</v>
      </c>
      <c r="BC205">
        <v>1.47E-3</v>
      </c>
      <c r="BD205">
        <v>-2.0000000000000001E-4</v>
      </c>
      <c r="BE205">
        <v>2.0920000000000001E-2</v>
      </c>
      <c r="BF205">
        <v>1</v>
      </c>
      <c r="BG205" t="s">
        <v>69</v>
      </c>
      <c r="BH205">
        <v>-1.25</v>
      </c>
      <c r="BI205">
        <v>-0.57199999999999995</v>
      </c>
    </row>
    <row r="206" spans="3:61">
      <c r="C206">
        <v>0</v>
      </c>
      <c r="D206">
        <v>0</v>
      </c>
      <c r="E206">
        <v>0</v>
      </c>
      <c r="F206" t="s">
        <v>25021</v>
      </c>
      <c r="G206">
        <v>3040</v>
      </c>
      <c r="H206" t="s">
        <v>17585</v>
      </c>
      <c r="I206" t="s">
        <v>57</v>
      </c>
      <c r="J206">
        <v>2994756</v>
      </c>
      <c r="K206">
        <v>2995094</v>
      </c>
      <c r="L206" t="s">
        <v>17586</v>
      </c>
      <c r="M206">
        <v>113</v>
      </c>
      <c r="N206" t="s">
        <v>289</v>
      </c>
      <c r="O206">
        <v>46</v>
      </c>
      <c r="P206" t="str">
        <f>HYPERLINK("Gene3040-zp_tree_all.dnd", "Gene3040-tree")</f>
        <v>Gene3040-tree</v>
      </c>
      <c r="Q206">
        <v>13</v>
      </c>
      <c r="R206">
        <v>0</v>
      </c>
      <c r="S206">
        <v>13</v>
      </c>
      <c r="T206">
        <v>0</v>
      </c>
      <c r="U206">
        <v>0</v>
      </c>
      <c r="V206" t="s">
        <v>507</v>
      </c>
      <c r="W206" t="s">
        <v>62</v>
      </c>
      <c r="X206" t="s">
        <v>62</v>
      </c>
      <c r="Y206" t="s">
        <v>62</v>
      </c>
      <c r="Z206">
        <v>0</v>
      </c>
      <c r="AA206">
        <v>0</v>
      </c>
      <c r="AB206">
        <v>1</v>
      </c>
      <c r="AC206">
        <v>0</v>
      </c>
      <c r="AD206" s="47">
        <v>0</v>
      </c>
      <c r="AE206" s="47">
        <v>0</v>
      </c>
      <c r="AF206" s="47">
        <v>0</v>
      </c>
      <c r="AG206" s="47">
        <v>0</v>
      </c>
      <c r="AH206" s="47">
        <v>0</v>
      </c>
      <c r="AI206" s="47">
        <v>0</v>
      </c>
      <c r="AJ206" s="47">
        <v>0</v>
      </c>
      <c r="AK206" s="47">
        <v>0</v>
      </c>
      <c r="AL206">
        <v>0</v>
      </c>
      <c r="AM206">
        <v>0</v>
      </c>
      <c r="AN206">
        <v>8</v>
      </c>
      <c r="AO206">
        <v>6</v>
      </c>
      <c r="AP206">
        <v>13</v>
      </c>
      <c r="AQ206">
        <v>0</v>
      </c>
      <c r="AR206">
        <v>16</v>
      </c>
      <c r="AS206">
        <v>1</v>
      </c>
      <c r="AT206" t="s">
        <v>193</v>
      </c>
      <c r="AU206" t="s">
        <v>17587</v>
      </c>
      <c r="AV206">
        <v>0.36799999999999999</v>
      </c>
      <c r="AW206" t="s">
        <v>65</v>
      </c>
      <c r="AX206">
        <v>29</v>
      </c>
      <c r="AY206">
        <v>1</v>
      </c>
      <c r="AZ206" t="s">
        <v>17588</v>
      </c>
      <c r="BA206">
        <v>8.4279999999999994E-2</v>
      </c>
      <c r="BB206">
        <v>-8.3000000000000001E-3</v>
      </c>
      <c r="BC206">
        <v>1.1100000000000001E-3</v>
      </c>
      <c r="BD206">
        <v>-2.0000000000000001E-4</v>
      </c>
      <c r="BE206">
        <v>1.3180000000000001E-2</v>
      </c>
      <c r="BF206">
        <v>1</v>
      </c>
      <c r="BG206" t="s">
        <v>69</v>
      </c>
      <c r="BH206">
        <v>-1.47</v>
      </c>
      <c r="BI206">
        <v>-0.35799999999999998</v>
      </c>
    </row>
    <row r="207" spans="3:61">
      <c r="C207">
        <v>0</v>
      </c>
      <c r="D207">
        <v>9</v>
      </c>
      <c r="E207">
        <v>2</v>
      </c>
      <c r="F207" t="s">
        <v>25021</v>
      </c>
      <c r="G207">
        <v>3364</v>
      </c>
      <c r="H207" t="s">
        <v>19659</v>
      </c>
      <c r="I207" t="s">
        <v>57</v>
      </c>
      <c r="J207">
        <v>3334646</v>
      </c>
      <c r="K207">
        <v>3334987</v>
      </c>
      <c r="L207" t="s">
        <v>19660</v>
      </c>
      <c r="M207">
        <v>114</v>
      </c>
      <c r="N207" t="s">
        <v>19661</v>
      </c>
      <c r="O207">
        <v>34</v>
      </c>
      <c r="P207" t="str">
        <f>HYPERLINK("Gene3364-zp_tree_all.dnd", "Gene3364-tree")</f>
        <v>Gene3364-tree</v>
      </c>
      <c r="Q207">
        <v>1</v>
      </c>
      <c r="R207">
        <v>7</v>
      </c>
      <c r="S207">
        <v>1</v>
      </c>
      <c r="T207">
        <v>7</v>
      </c>
      <c r="U207">
        <v>0.875</v>
      </c>
      <c r="V207" t="s">
        <v>175</v>
      </c>
      <c r="W207" t="s">
        <v>152</v>
      </c>
      <c r="X207" t="s">
        <v>62</v>
      </c>
      <c r="Y207" t="s">
        <v>62</v>
      </c>
      <c r="Z207">
        <v>4</v>
      </c>
      <c r="AA207">
        <v>11</v>
      </c>
      <c r="AB207">
        <v>10</v>
      </c>
      <c r="AC207">
        <v>0.52381</v>
      </c>
      <c r="AD207" s="47">
        <v>0</v>
      </c>
      <c r="AE207" s="47">
        <v>0</v>
      </c>
      <c r="AF207" s="47">
        <v>0</v>
      </c>
      <c r="AG207" s="47">
        <v>0</v>
      </c>
      <c r="AH207" s="47">
        <v>0</v>
      </c>
      <c r="AI207" s="47">
        <v>3</v>
      </c>
      <c r="AJ207" s="47">
        <v>0</v>
      </c>
      <c r="AK207" s="47">
        <v>3</v>
      </c>
      <c r="AL207">
        <v>7</v>
      </c>
      <c r="AM207">
        <v>0.3</v>
      </c>
      <c r="AN207">
        <v>6</v>
      </c>
      <c r="AO207">
        <v>5</v>
      </c>
      <c r="AP207">
        <v>5</v>
      </c>
      <c r="AQ207">
        <v>8</v>
      </c>
      <c r="AR207">
        <v>10</v>
      </c>
      <c r="AS207">
        <v>13</v>
      </c>
      <c r="AT207" t="s">
        <v>19662</v>
      </c>
      <c r="AU207" t="s">
        <v>19663</v>
      </c>
      <c r="AV207">
        <v>0.122</v>
      </c>
      <c r="AW207" t="s">
        <v>65</v>
      </c>
      <c r="AX207">
        <v>15</v>
      </c>
      <c r="AY207">
        <v>21</v>
      </c>
      <c r="AZ207" t="s">
        <v>19664</v>
      </c>
      <c r="BA207">
        <v>6.8559999999999996E-2</v>
      </c>
      <c r="BB207">
        <v>-7.6299999999999996E-3</v>
      </c>
      <c r="BC207">
        <v>2.4490000000000001E-2</v>
      </c>
      <c r="BD207">
        <v>-2.48E-3</v>
      </c>
      <c r="BE207">
        <v>0.35719000000000001</v>
      </c>
      <c r="BF207">
        <v>0.96</v>
      </c>
      <c r="BG207" t="s">
        <v>69</v>
      </c>
      <c r="BH207">
        <v>1.405</v>
      </c>
      <c r="BI207">
        <v>0.20399999999999999</v>
      </c>
    </row>
    <row r="208" spans="3:61">
      <c r="C208">
        <v>0</v>
      </c>
      <c r="D208">
        <v>0</v>
      </c>
      <c r="E208">
        <v>0</v>
      </c>
      <c r="F208" t="s">
        <v>25021</v>
      </c>
      <c r="G208">
        <v>1241</v>
      </c>
      <c r="H208" t="s">
        <v>7775</v>
      </c>
      <c r="I208" t="s">
        <v>62</v>
      </c>
      <c r="J208">
        <v>1269736</v>
      </c>
      <c r="K208">
        <v>1270080</v>
      </c>
      <c r="L208" t="s">
        <v>7776</v>
      </c>
      <c r="M208">
        <v>115</v>
      </c>
      <c r="N208" t="s">
        <v>7777</v>
      </c>
      <c r="O208">
        <v>31</v>
      </c>
      <c r="P208" t="str">
        <f>HYPERLINK("Gene1241-zp_tree_all.dnd", "Gene1241-tree")</f>
        <v>Gene1241-tree</v>
      </c>
      <c r="Q208">
        <v>5</v>
      </c>
      <c r="R208">
        <v>1</v>
      </c>
      <c r="S208">
        <v>5</v>
      </c>
      <c r="T208">
        <v>1</v>
      </c>
      <c r="U208">
        <v>0.16667000000000001</v>
      </c>
      <c r="V208" t="s">
        <v>199</v>
      </c>
      <c r="W208" t="s">
        <v>175</v>
      </c>
      <c r="X208" t="s">
        <v>62</v>
      </c>
      <c r="Y208" t="s">
        <v>62</v>
      </c>
      <c r="Z208">
        <v>0</v>
      </c>
      <c r="AA208">
        <v>0</v>
      </c>
      <c r="AB208">
        <v>2</v>
      </c>
      <c r="AC208">
        <v>0</v>
      </c>
      <c r="AD208" s="47">
        <v>0</v>
      </c>
      <c r="AE208" s="47">
        <v>0</v>
      </c>
      <c r="AF208" s="47">
        <v>0</v>
      </c>
      <c r="AG208" s="47">
        <v>0</v>
      </c>
      <c r="AH208" s="47">
        <v>0</v>
      </c>
      <c r="AI208" s="47">
        <v>0</v>
      </c>
      <c r="AJ208" s="47">
        <v>0</v>
      </c>
      <c r="AK208" s="47">
        <v>0</v>
      </c>
      <c r="AL208">
        <v>2</v>
      </c>
      <c r="AM208">
        <v>0</v>
      </c>
      <c r="AN208">
        <v>5</v>
      </c>
      <c r="AO208">
        <v>1</v>
      </c>
      <c r="AP208">
        <v>7</v>
      </c>
      <c r="AQ208">
        <v>2</v>
      </c>
      <c r="AR208">
        <v>1</v>
      </c>
      <c r="AS208">
        <v>0</v>
      </c>
      <c r="AT208" t="s">
        <v>7778</v>
      </c>
      <c r="AU208" t="s">
        <v>193</v>
      </c>
      <c r="AV208">
        <v>0.54200000000000004</v>
      </c>
      <c r="AW208" t="s">
        <v>65</v>
      </c>
      <c r="AX208">
        <v>8</v>
      </c>
      <c r="AY208">
        <v>2</v>
      </c>
      <c r="AZ208" t="s">
        <v>7779</v>
      </c>
      <c r="BA208">
        <v>2.9499999999999998E-2</v>
      </c>
      <c r="BB208">
        <v>-3.79E-3</v>
      </c>
      <c r="BC208">
        <v>2.5799999999999998E-3</v>
      </c>
      <c r="BD208">
        <v>-9.3999999999999997E-4</v>
      </c>
      <c r="BE208">
        <v>8.7580000000000005E-2</v>
      </c>
      <c r="BF208">
        <v>1</v>
      </c>
      <c r="BG208" t="s">
        <v>69</v>
      </c>
      <c r="BH208">
        <v>-0.8</v>
      </c>
      <c r="BI208">
        <v>0.68300000000000005</v>
      </c>
    </row>
    <row r="209" spans="3:61">
      <c r="C209">
        <v>0</v>
      </c>
      <c r="D209">
        <v>2</v>
      </c>
      <c r="E209">
        <v>0</v>
      </c>
      <c r="F209" t="s">
        <v>25021</v>
      </c>
      <c r="G209">
        <v>2458</v>
      </c>
      <c r="H209" t="s">
        <v>14318</v>
      </c>
      <c r="I209" t="s">
        <v>57</v>
      </c>
      <c r="J209">
        <v>2456990</v>
      </c>
      <c r="K209">
        <v>2457337</v>
      </c>
      <c r="L209" t="s">
        <v>14319</v>
      </c>
      <c r="M209">
        <v>116</v>
      </c>
      <c r="N209" t="s">
        <v>6390</v>
      </c>
      <c r="O209">
        <v>45</v>
      </c>
      <c r="P209" t="str">
        <f>HYPERLINK("Gene2458-zp_tree_all.dnd", "Gene2458-tree")</f>
        <v>Gene2458-tree</v>
      </c>
      <c r="Q209">
        <v>24</v>
      </c>
      <c r="R209">
        <v>2</v>
      </c>
      <c r="S209">
        <v>5</v>
      </c>
      <c r="T209">
        <v>2</v>
      </c>
      <c r="U209">
        <v>0.28571000000000002</v>
      </c>
      <c r="V209" t="s">
        <v>2668</v>
      </c>
      <c r="W209" t="s">
        <v>81</v>
      </c>
      <c r="X209" t="s">
        <v>62</v>
      </c>
      <c r="Y209" t="s">
        <v>62</v>
      </c>
      <c r="Z209">
        <v>1</v>
      </c>
      <c r="AA209">
        <v>2</v>
      </c>
      <c r="AB209">
        <v>3</v>
      </c>
      <c r="AC209">
        <v>0.4</v>
      </c>
      <c r="AD209" s="47">
        <v>0</v>
      </c>
      <c r="AE209" s="47">
        <v>0</v>
      </c>
      <c r="AF209" s="47">
        <v>0</v>
      </c>
      <c r="AG209" s="47">
        <v>0</v>
      </c>
      <c r="AH209" s="47">
        <v>0</v>
      </c>
      <c r="AI209" s="47">
        <v>2</v>
      </c>
      <c r="AJ209" s="47">
        <v>0</v>
      </c>
      <c r="AK209" s="47">
        <v>2</v>
      </c>
      <c r="AL209">
        <v>3</v>
      </c>
      <c r="AM209">
        <v>0.4</v>
      </c>
      <c r="AN209">
        <v>5</v>
      </c>
      <c r="AO209">
        <v>1</v>
      </c>
      <c r="AP209">
        <v>14</v>
      </c>
      <c r="AQ209">
        <v>5</v>
      </c>
      <c r="AR209">
        <v>1</v>
      </c>
      <c r="AS209">
        <v>0</v>
      </c>
      <c r="AT209" t="s">
        <v>14320</v>
      </c>
      <c r="AU209" t="s">
        <v>193</v>
      </c>
      <c r="AV209">
        <v>0.47799999999999998</v>
      </c>
      <c r="AW209" t="s">
        <v>65</v>
      </c>
      <c r="AX209">
        <v>15</v>
      </c>
      <c r="AY209">
        <v>5</v>
      </c>
      <c r="AZ209" t="s">
        <v>14321</v>
      </c>
      <c r="BA209">
        <v>6.148E-2</v>
      </c>
      <c r="BB209">
        <v>-1.55E-2</v>
      </c>
      <c r="BC209">
        <v>5.0200000000000002E-3</v>
      </c>
      <c r="BD209">
        <v>-1.3500000000000001E-3</v>
      </c>
      <c r="BE209">
        <v>8.1570000000000004E-2</v>
      </c>
      <c r="BF209">
        <v>1</v>
      </c>
      <c r="BG209" t="s">
        <v>69</v>
      </c>
      <c r="BH209">
        <v>-2.1339999999999999</v>
      </c>
      <c r="BI209">
        <v>-4.3079999999999998</v>
      </c>
    </row>
    <row r="210" spans="3:61">
      <c r="C210">
        <v>0</v>
      </c>
      <c r="D210">
        <v>0</v>
      </c>
      <c r="E210">
        <v>0</v>
      </c>
      <c r="F210" t="s">
        <v>25021</v>
      </c>
      <c r="G210">
        <v>3786</v>
      </c>
      <c r="H210" t="s">
        <v>22182</v>
      </c>
      <c r="I210" t="s">
        <v>57</v>
      </c>
      <c r="J210">
        <v>3758016</v>
      </c>
      <c r="K210">
        <v>3758363</v>
      </c>
      <c r="L210" t="s">
        <v>22183</v>
      </c>
      <c r="M210">
        <v>116</v>
      </c>
      <c r="N210" t="s">
        <v>1607</v>
      </c>
      <c r="O210">
        <v>47</v>
      </c>
      <c r="P210" t="str">
        <f>HYPERLINK("Gene3786-zp_tree_all.dnd", "Gene3786-tree")</f>
        <v>Gene3786-tree</v>
      </c>
      <c r="Q210">
        <v>9</v>
      </c>
      <c r="R210">
        <v>1</v>
      </c>
      <c r="S210">
        <v>9</v>
      </c>
      <c r="T210">
        <v>1</v>
      </c>
      <c r="U210">
        <v>0.1</v>
      </c>
      <c r="V210" t="s">
        <v>135</v>
      </c>
      <c r="W210" t="s">
        <v>175</v>
      </c>
      <c r="X210" t="s">
        <v>62</v>
      </c>
      <c r="Y210" t="s">
        <v>62</v>
      </c>
      <c r="Z210">
        <v>0</v>
      </c>
      <c r="AA210">
        <v>0</v>
      </c>
      <c r="AB210">
        <v>1</v>
      </c>
      <c r="AC210">
        <v>0</v>
      </c>
      <c r="AD210" s="47">
        <v>0</v>
      </c>
      <c r="AE210" s="47">
        <v>0</v>
      </c>
      <c r="AF210" s="47">
        <v>0</v>
      </c>
      <c r="AG210" s="47">
        <v>0</v>
      </c>
      <c r="AH210" s="47">
        <v>0</v>
      </c>
      <c r="AI210" s="47">
        <v>0</v>
      </c>
      <c r="AJ210" s="47">
        <v>0</v>
      </c>
      <c r="AK210" s="47">
        <v>0</v>
      </c>
      <c r="AL210">
        <v>1</v>
      </c>
      <c r="AM210">
        <v>0</v>
      </c>
      <c r="AN210">
        <v>8</v>
      </c>
      <c r="AO210">
        <v>4</v>
      </c>
      <c r="AP210">
        <v>15</v>
      </c>
      <c r="AQ210">
        <v>1</v>
      </c>
      <c r="AR210">
        <v>18</v>
      </c>
      <c r="AS210">
        <v>0</v>
      </c>
      <c r="AT210" t="s">
        <v>22184</v>
      </c>
      <c r="AU210" t="s">
        <v>193</v>
      </c>
      <c r="AV210">
        <v>0.34599999999999997</v>
      </c>
      <c r="AW210" t="s">
        <v>65</v>
      </c>
      <c r="AX210">
        <v>33</v>
      </c>
      <c r="AY210">
        <v>1</v>
      </c>
      <c r="AZ210" t="s">
        <v>22185</v>
      </c>
      <c r="BA210">
        <v>0.12427000000000001</v>
      </c>
      <c r="BB210">
        <v>-1.38E-2</v>
      </c>
      <c r="BC210">
        <v>7.6000000000000004E-4</v>
      </c>
      <c r="BD210">
        <v>-2.1000000000000001E-4</v>
      </c>
      <c r="BE210">
        <v>6.0899999999999999E-3</v>
      </c>
      <c r="BF210">
        <v>1</v>
      </c>
      <c r="BG210" t="s">
        <v>69</v>
      </c>
      <c r="BH210">
        <v>-1.286</v>
      </c>
      <c r="BI210">
        <v>-1.587</v>
      </c>
    </row>
    <row r="211" spans="3:61">
      <c r="C211">
        <v>0</v>
      </c>
      <c r="D211">
        <v>0</v>
      </c>
      <c r="E211">
        <v>0</v>
      </c>
      <c r="F211" t="s">
        <v>25021</v>
      </c>
      <c r="G211">
        <v>1792</v>
      </c>
      <c r="H211" t="s">
        <v>11225</v>
      </c>
      <c r="I211" t="s">
        <v>62</v>
      </c>
      <c r="J211">
        <v>1864694</v>
      </c>
      <c r="K211">
        <v>1865044</v>
      </c>
      <c r="L211" t="s">
        <v>11226</v>
      </c>
      <c r="M211">
        <v>117</v>
      </c>
      <c r="N211" t="s">
        <v>108</v>
      </c>
      <c r="O211">
        <v>44</v>
      </c>
      <c r="P211" t="str">
        <f>HYPERLINK("Gene1792-zp_tree_all.dnd", "Gene1792-tree")</f>
        <v>Gene1792-tree</v>
      </c>
      <c r="Q211">
        <v>7</v>
      </c>
      <c r="R211">
        <v>3</v>
      </c>
      <c r="S211">
        <v>7</v>
      </c>
      <c r="T211">
        <v>3</v>
      </c>
      <c r="U211">
        <v>0.3</v>
      </c>
      <c r="V211" t="s">
        <v>152</v>
      </c>
      <c r="W211" t="s">
        <v>324</v>
      </c>
      <c r="X211" t="s">
        <v>62</v>
      </c>
      <c r="Y211" t="s">
        <v>62</v>
      </c>
      <c r="Z211">
        <v>0</v>
      </c>
      <c r="AA211">
        <v>0</v>
      </c>
      <c r="AB211">
        <v>5</v>
      </c>
      <c r="AC211">
        <v>0</v>
      </c>
      <c r="AD211" s="47">
        <v>0</v>
      </c>
      <c r="AE211" s="47">
        <v>0</v>
      </c>
      <c r="AF211" s="47">
        <v>0</v>
      </c>
      <c r="AG211" s="47">
        <v>1</v>
      </c>
      <c r="AH211" s="47">
        <v>0</v>
      </c>
      <c r="AI211" s="47">
        <v>0</v>
      </c>
      <c r="AJ211" s="47">
        <v>0</v>
      </c>
      <c r="AK211" s="47">
        <v>0</v>
      </c>
      <c r="AL211">
        <v>4</v>
      </c>
      <c r="AM211">
        <v>0</v>
      </c>
      <c r="AN211">
        <v>7</v>
      </c>
      <c r="AO211">
        <v>2</v>
      </c>
      <c r="AP211">
        <v>5</v>
      </c>
      <c r="AQ211">
        <v>4</v>
      </c>
      <c r="AR211">
        <v>1</v>
      </c>
      <c r="AS211">
        <v>1</v>
      </c>
      <c r="AT211" t="s">
        <v>11227</v>
      </c>
      <c r="AU211" t="s">
        <v>11228</v>
      </c>
      <c r="AV211">
        <v>0.129</v>
      </c>
      <c r="AW211" t="s">
        <v>65</v>
      </c>
      <c r="AX211">
        <v>6</v>
      </c>
      <c r="AY211">
        <v>5</v>
      </c>
      <c r="AZ211" t="s">
        <v>2963</v>
      </c>
      <c r="BA211">
        <v>1.562E-2</v>
      </c>
      <c r="BB211">
        <v>-1.1000000000000001E-3</v>
      </c>
      <c r="BC211">
        <v>5.1799999999999997E-3</v>
      </c>
      <c r="BD211">
        <v>-5.1000000000000004E-4</v>
      </c>
      <c r="BE211">
        <v>0.33149000000000001</v>
      </c>
      <c r="BF211">
        <v>0.88700000000000001</v>
      </c>
      <c r="BG211" t="s">
        <v>635</v>
      </c>
      <c r="BH211">
        <v>-1.077</v>
      </c>
      <c r="BI211">
        <v>-1.9</v>
      </c>
    </row>
    <row r="212" spans="3:61">
      <c r="C212">
        <v>0</v>
      </c>
      <c r="D212">
        <v>0</v>
      </c>
      <c r="E212">
        <v>0</v>
      </c>
      <c r="F212" t="s">
        <v>25021</v>
      </c>
      <c r="G212">
        <v>2595</v>
      </c>
      <c r="H212" t="s">
        <v>15187</v>
      </c>
      <c r="I212" t="s">
        <v>57</v>
      </c>
      <c r="J212">
        <v>2576367</v>
      </c>
      <c r="K212">
        <v>2576717</v>
      </c>
      <c r="L212" t="s">
        <v>116</v>
      </c>
      <c r="M212">
        <v>117</v>
      </c>
      <c r="N212" t="s">
        <v>59</v>
      </c>
      <c r="O212">
        <v>49</v>
      </c>
      <c r="P212" t="str">
        <f>HYPERLINK("Gene2595-zp_tree_all.dnd", "Gene2595-tree")</f>
        <v>Gene2595-tree</v>
      </c>
      <c r="Q212">
        <v>31</v>
      </c>
      <c r="R212">
        <v>1</v>
      </c>
      <c r="S212">
        <v>12</v>
      </c>
      <c r="T212">
        <v>1</v>
      </c>
      <c r="U212">
        <v>7.6920000000000002E-2</v>
      </c>
      <c r="V212" t="s">
        <v>5000</v>
      </c>
      <c r="W212" t="s">
        <v>175</v>
      </c>
      <c r="X212" t="s">
        <v>62</v>
      </c>
      <c r="Y212" t="s">
        <v>62</v>
      </c>
      <c r="Z212">
        <v>0</v>
      </c>
      <c r="AA212">
        <v>0</v>
      </c>
      <c r="AB212">
        <v>3</v>
      </c>
      <c r="AC212">
        <v>0</v>
      </c>
      <c r="AD212" s="47">
        <v>0</v>
      </c>
      <c r="AE212" s="47">
        <v>0</v>
      </c>
      <c r="AF212" s="47">
        <v>0</v>
      </c>
      <c r="AG212" s="47">
        <v>1</v>
      </c>
      <c r="AH212" s="47">
        <v>0</v>
      </c>
      <c r="AI212" s="47">
        <v>0</v>
      </c>
      <c r="AJ212" s="47">
        <v>0</v>
      </c>
      <c r="AK212" s="47">
        <v>0</v>
      </c>
      <c r="AL212">
        <v>1</v>
      </c>
      <c r="AM212">
        <v>0</v>
      </c>
      <c r="AN212">
        <v>11</v>
      </c>
      <c r="AO212">
        <v>4</v>
      </c>
      <c r="AP212">
        <v>13</v>
      </c>
      <c r="AQ212">
        <v>1</v>
      </c>
      <c r="AR212">
        <v>8</v>
      </c>
      <c r="AS212">
        <v>2</v>
      </c>
      <c r="AT212" t="s">
        <v>15188</v>
      </c>
      <c r="AU212" t="s">
        <v>15189</v>
      </c>
      <c r="AV212">
        <v>0.439</v>
      </c>
      <c r="AW212" t="s">
        <v>65</v>
      </c>
      <c r="AX212">
        <v>21</v>
      </c>
      <c r="AY212">
        <v>3</v>
      </c>
      <c r="AZ212" t="s">
        <v>15190</v>
      </c>
      <c r="BA212">
        <v>7.5209999999999999E-2</v>
      </c>
      <c r="BB212">
        <v>-6.3200000000000001E-3</v>
      </c>
      <c r="BC212">
        <v>4.2100000000000002E-3</v>
      </c>
      <c r="BD212">
        <v>-3.3E-4</v>
      </c>
      <c r="BE212">
        <v>5.595E-2</v>
      </c>
      <c r="BF212">
        <v>1</v>
      </c>
      <c r="BG212" t="s">
        <v>69</v>
      </c>
      <c r="BH212">
        <v>-0.90400000000000003</v>
      </c>
      <c r="BI212">
        <v>-1.012</v>
      </c>
    </row>
    <row r="213" spans="3:61">
      <c r="C213">
        <v>0</v>
      </c>
      <c r="D213">
        <v>2</v>
      </c>
      <c r="E213">
        <v>0</v>
      </c>
      <c r="F213" t="s">
        <v>25021</v>
      </c>
      <c r="G213">
        <v>4100</v>
      </c>
      <c r="H213" t="s">
        <v>24143</v>
      </c>
      <c r="I213" t="s">
        <v>57</v>
      </c>
      <c r="J213">
        <v>4066210</v>
      </c>
      <c r="K213">
        <v>4066560</v>
      </c>
      <c r="L213" t="s">
        <v>116</v>
      </c>
      <c r="M213">
        <v>117</v>
      </c>
      <c r="N213" t="s">
        <v>59</v>
      </c>
      <c r="O213">
        <v>49</v>
      </c>
      <c r="P213" t="str">
        <f>HYPERLINK("Gene4100-zp_tree_all.dnd", "Gene4100-tree")</f>
        <v>Gene4100-tree</v>
      </c>
      <c r="Q213">
        <v>5</v>
      </c>
      <c r="R213">
        <v>35</v>
      </c>
      <c r="S213">
        <v>5</v>
      </c>
      <c r="T213">
        <v>9</v>
      </c>
      <c r="U213">
        <v>0.64285999999999999</v>
      </c>
      <c r="V213" t="s">
        <v>199</v>
      </c>
      <c r="W213" t="s">
        <v>7918</v>
      </c>
      <c r="X213">
        <v>3.8090000000000002</v>
      </c>
      <c r="Y213" t="s">
        <v>65</v>
      </c>
      <c r="Z213">
        <v>1</v>
      </c>
      <c r="AA213">
        <v>2</v>
      </c>
      <c r="AB213">
        <v>9</v>
      </c>
      <c r="AC213">
        <v>0.18182000000000001</v>
      </c>
      <c r="AD213" s="47">
        <v>0</v>
      </c>
      <c r="AE213" s="47">
        <v>0</v>
      </c>
      <c r="AF213" s="47">
        <v>0</v>
      </c>
      <c r="AG213" s="47">
        <v>0</v>
      </c>
      <c r="AH213" s="47">
        <v>0</v>
      </c>
      <c r="AI213" s="47">
        <v>0</v>
      </c>
      <c r="AJ213" s="47">
        <v>0</v>
      </c>
      <c r="AK213" s="47">
        <v>0</v>
      </c>
      <c r="AL213">
        <v>10</v>
      </c>
      <c r="AM213">
        <v>0</v>
      </c>
      <c r="AN213">
        <v>12</v>
      </c>
      <c r="AO213">
        <v>7</v>
      </c>
      <c r="AP213">
        <v>19</v>
      </c>
      <c r="AQ213">
        <v>10</v>
      </c>
      <c r="AR213">
        <v>16</v>
      </c>
      <c r="AS213">
        <v>1</v>
      </c>
      <c r="AT213" t="s">
        <v>24144</v>
      </c>
      <c r="AU213" t="s">
        <v>24145</v>
      </c>
      <c r="AV213">
        <v>2.456</v>
      </c>
      <c r="AW213" t="s">
        <v>267</v>
      </c>
      <c r="AX213">
        <v>35</v>
      </c>
      <c r="AY213">
        <v>11</v>
      </c>
      <c r="AZ213" t="s">
        <v>24146</v>
      </c>
      <c r="BA213">
        <v>0.14878</v>
      </c>
      <c r="BB213">
        <v>-9.6500000000000006E-3</v>
      </c>
      <c r="BC213">
        <v>5.7999999999999996E-3</v>
      </c>
      <c r="BD213">
        <v>-3.4000000000000002E-4</v>
      </c>
      <c r="BE213">
        <v>3.8969999999999998E-2</v>
      </c>
      <c r="BF213">
        <v>1</v>
      </c>
      <c r="BG213" t="s">
        <v>69</v>
      </c>
      <c r="BH213">
        <v>-1.2929999999999999</v>
      </c>
      <c r="BI213">
        <v>-1.43</v>
      </c>
    </row>
    <row r="214" spans="3:61">
      <c r="C214">
        <v>0</v>
      </c>
      <c r="D214">
        <v>0</v>
      </c>
      <c r="E214">
        <v>0</v>
      </c>
      <c r="F214" t="s">
        <v>25021</v>
      </c>
      <c r="G214">
        <v>907</v>
      </c>
      <c r="H214" t="s">
        <v>5665</v>
      </c>
      <c r="I214" t="s">
        <v>62</v>
      </c>
      <c r="J214">
        <v>944962</v>
      </c>
      <c r="K214">
        <v>945312</v>
      </c>
      <c r="L214" t="s">
        <v>4095</v>
      </c>
      <c r="M214">
        <v>117</v>
      </c>
      <c r="N214" t="s">
        <v>125</v>
      </c>
      <c r="O214">
        <v>48</v>
      </c>
      <c r="P214" t="str">
        <f>HYPERLINK("Gene907-zp_tree_all.dnd", "Gene907-tree")</f>
        <v>Gene907-tree</v>
      </c>
      <c r="Q214">
        <v>12</v>
      </c>
      <c r="R214">
        <v>1</v>
      </c>
      <c r="S214">
        <v>12</v>
      </c>
      <c r="T214">
        <v>1</v>
      </c>
      <c r="U214">
        <v>7.6920000000000002E-2</v>
      </c>
      <c r="V214" t="s">
        <v>109</v>
      </c>
      <c r="W214" t="s">
        <v>175</v>
      </c>
      <c r="X214" t="s">
        <v>62</v>
      </c>
      <c r="Y214" t="s">
        <v>62</v>
      </c>
      <c r="Z214">
        <v>0</v>
      </c>
      <c r="AA214">
        <v>0</v>
      </c>
      <c r="AB214">
        <v>2</v>
      </c>
      <c r="AC214">
        <v>0</v>
      </c>
      <c r="AD214" s="47">
        <v>0</v>
      </c>
      <c r="AE214" s="47">
        <v>0</v>
      </c>
      <c r="AF214" s="47">
        <v>0</v>
      </c>
      <c r="AG214" s="47">
        <v>0</v>
      </c>
      <c r="AH214" s="47">
        <v>0</v>
      </c>
      <c r="AI214" s="47">
        <v>0</v>
      </c>
      <c r="AJ214" s="47">
        <v>0</v>
      </c>
      <c r="AK214" s="47">
        <v>0</v>
      </c>
      <c r="AL214">
        <v>1</v>
      </c>
      <c r="AM214">
        <v>0</v>
      </c>
      <c r="AN214">
        <v>9</v>
      </c>
      <c r="AO214">
        <v>6</v>
      </c>
      <c r="AP214">
        <v>14</v>
      </c>
      <c r="AQ214">
        <v>2</v>
      </c>
      <c r="AR214">
        <v>23</v>
      </c>
      <c r="AS214">
        <v>1</v>
      </c>
      <c r="AT214" t="s">
        <v>5666</v>
      </c>
      <c r="AU214" t="s">
        <v>5667</v>
      </c>
      <c r="AV214">
        <v>0.245</v>
      </c>
      <c r="AW214" t="s">
        <v>65</v>
      </c>
      <c r="AX214">
        <v>37</v>
      </c>
      <c r="AY214">
        <v>3</v>
      </c>
      <c r="AZ214" t="s">
        <v>5668</v>
      </c>
      <c r="BA214">
        <v>0.13707</v>
      </c>
      <c r="BB214">
        <v>-7.6800000000000002E-3</v>
      </c>
      <c r="BC214">
        <v>2.5200000000000001E-3</v>
      </c>
      <c r="BD214">
        <v>-3.6000000000000002E-4</v>
      </c>
      <c r="BE214">
        <v>1.8380000000000001E-2</v>
      </c>
      <c r="BF214">
        <v>1</v>
      </c>
      <c r="BG214" t="s">
        <v>69</v>
      </c>
      <c r="BH214">
        <v>-0.32700000000000001</v>
      </c>
      <c r="BI214">
        <v>-0.28999999999999998</v>
      </c>
    </row>
    <row r="215" spans="3:61">
      <c r="C215">
        <v>0</v>
      </c>
      <c r="D215">
        <v>6</v>
      </c>
      <c r="E215">
        <v>2</v>
      </c>
      <c r="F215" t="s">
        <v>25021</v>
      </c>
      <c r="G215">
        <v>1835</v>
      </c>
      <c r="H215" t="s">
        <v>11498</v>
      </c>
      <c r="I215" t="s">
        <v>62</v>
      </c>
      <c r="J215">
        <v>1904396</v>
      </c>
      <c r="K215">
        <v>1904749</v>
      </c>
      <c r="L215" t="s">
        <v>11499</v>
      </c>
      <c r="M215">
        <v>118</v>
      </c>
      <c r="N215" t="s">
        <v>11500</v>
      </c>
      <c r="O215">
        <v>39</v>
      </c>
      <c r="P215" t="str">
        <f>HYPERLINK("Gene1835-zp_tree_all.dnd", "Gene1835-tree")</f>
        <v>Gene1835-tree</v>
      </c>
      <c r="Q215">
        <v>1</v>
      </c>
      <c r="R215">
        <v>9</v>
      </c>
      <c r="S215">
        <v>1</v>
      </c>
      <c r="T215">
        <v>9</v>
      </c>
      <c r="U215">
        <v>0.9</v>
      </c>
      <c r="V215" t="s">
        <v>175</v>
      </c>
      <c r="W215" t="s">
        <v>135</v>
      </c>
      <c r="X215" t="s">
        <v>62</v>
      </c>
      <c r="Y215" t="s">
        <v>62</v>
      </c>
      <c r="Z215">
        <v>4</v>
      </c>
      <c r="AA215">
        <v>8</v>
      </c>
      <c r="AB215">
        <v>9</v>
      </c>
      <c r="AC215">
        <v>0.47059000000000001</v>
      </c>
      <c r="AD215" s="47">
        <v>0</v>
      </c>
      <c r="AE215" s="47">
        <v>0</v>
      </c>
      <c r="AF215" s="47">
        <v>0</v>
      </c>
      <c r="AG215" s="47">
        <v>0</v>
      </c>
      <c r="AH215" s="47">
        <v>0</v>
      </c>
      <c r="AI215" s="47">
        <v>4</v>
      </c>
      <c r="AJ215" s="47">
        <v>2</v>
      </c>
      <c r="AK215" s="47">
        <v>6</v>
      </c>
      <c r="AL215">
        <v>8</v>
      </c>
      <c r="AM215">
        <v>0.42857000000000001</v>
      </c>
      <c r="AN215">
        <v>8</v>
      </c>
      <c r="AO215">
        <v>5</v>
      </c>
      <c r="AP215">
        <v>6</v>
      </c>
      <c r="AQ215">
        <v>12</v>
      </c>
      <c r="AR215">
        <v>0</v>
      </c>
      <c r="AS215">
        <v>5</v>
      </c>
      <c r="AT215" t="s">
        <v>11501</v>
      </c>
      <c r="AU215" t="s">
        <v>193</v>
      </c>
      <c r="AV215">
        <v>2.8130000000000002</v>
      </c>
      <c r="AW215" t="s">
        <v>267</v>
      </c>
      <c r="AX215">
        <v>6</v>
      </c>
      <c r="AY215">
        <v>17</v>
      </c>
      <c r="AZ215" t="s">
        <v>11502</v>
      </c>
      <c r="BA215">
        <v>1.553E-2</v>
      </c>
      <c r="BB215">
        <v>-1.72E-3</v>
      </c>
      <c r="BC215">
        <v>1.5089999999999999E-2</v>
      </c>
      <c r="BD215">
        <v>-7.6999999999999996E-4</v>
      </c>
      <c r="BE215">
        <v>0.97211999999999998</v>
      </c>
      <c r="BF215">
        <v>0.44</v>
      </c>
      <c r="BG215" t="s">
        <v>635</v>
      </c>
      <c r="BH215">
        <v>-0.57699999999999996</v>
      </c>
      <c r="BI215">
        <v>-1.7589999999999999</v>
      </c>
    </row>
    <row r="216" spans="3:61">
      <c r="C216">
        <v>0</v>
      </c>
      <c r="D216">
        <v>0</v>
      </c>
      <c r="E216">
        <v>0</v>
      </c>
      <c r="F216" t="s">
        <v>25021</v>
      </c>
      <c r="G216">
        <v>1941</v>
      </c>
      <c r="H216" t="s">
        <v>12166</v>
      </c>
      <c r="I216" t="s">
        <v>57</v>
      </c>
      <c r="J216">
        <v>2040673</v>
      </c>
      <c r="K216">
        <v>2041026</v>
      </c>
      <c r="L216" t="s">
        <v>288</v>
      </c>
      <c r="M216">
        <v>118</v>
      </c>
      <c r="N216" t="s">
        <v>12167</v>
      </c>
      <c r="O216">
        <v>25</v>
      </c>
      <c r="P216" t="str">
        <f>HYPERLINK("Gene1941-zp_tree_all.dnd", "Gene1941-tree")</f>
        <v>Gene1941-tree</v>
      </c>
      <c r="Q216">
        <v>1</v>
      </c>
      <c r="R216">
        <v>23</v>
      </c>
      <c r="S216">
        <v>1</v>
      </c>
      <c r="T216">
        <v>4</v>
      </c>
      <c r="U216">
        <v>0.8</v>
      </c>
      <c r="V216" t="s">
        <v>175</v>
      </c>
      <c r="W216" t="s">
        <v>690</v>
      </c>
      <c r="X216">
        <v>2.0529999999999999</v>
      </c>
      <c r="Y216" t="s">
        <v>267</v>
      </c>
      <c r="Z216">
        <v>0</v>
      </c>
      <c r="AA216">
        <v>0</v>
      </c>
      <c r="AB216">
        <v>8</v>
      </c>
      <c r="AC216">
        <v>0</v>
      </c>
      <c r="AD216" s="47">
        <v>0</v>
      </c>
      <c r="AE216" s="47">
        <v>0</v>
      </c>
      <c r="AF216" s="47">
        <v>0</v>
      </c>
      <c r="AG216" s="47">
        <v>0</v>
      </c>
      <c r="AH216" s="47">
        <v>0</v>
      </c>
      <c r="AI216" s="47">
        <v>0</v>
      </c>
      <c r="AJ216" s="47">
        <v>0</v>
      </c>
      <c r="AK216" s="47">
        <v>0</v>
      </c>
      <c r="AL216">
        <v>9</v>
      </c>
      <c r="AM216">
        <v>0</v>
      </c>
      <c r="AN216">
        <v>4</v>
      </c>
      <c r="AO216">
        <v>1</v>
      </c>
      <c r="AP216">
        <v>4</v>
      </c>
      <c r="AQ216">
        <v>9</v>
      </c>
      <c r="AR216">
        <v>1</v>
      </c>
      <c r="AS216">
        <v>1</v>
      </c>
      <c r="AT216" t="s">
        <v>12168</v>
      </c>
      <c r="AU216" t="s">
        <v>12169</v>
      </c>
      <c r="AV216">
        <v>0.54800000000000004</v>
      </c>
      <c r="AW216" t="s">
        <v>65</v>
      </c>
      <c r="AX216">
        <v>5</v>
      </c>
      <c r="AY216">
        <v>10</v>
      </c>
      <c r="AZ216" t="s">
        <v>12170</v>
      </c>
      <c r="BA216">
        <v>3.2559999999999999E-2</v>
      </c>
      <c r="BB216">
        <v>-5.5199999999999997E-3</v>
      </c>
      <c r="BC216">
        <v>1.503E-2</v>
      </c>
      <c r="BD216">
        <v>-3.63E-3</v>
      </c>
      <c r="BE216">
        <v>0.46151999999999999</v>
      </c>
      <c r="BF216">
        <v>0.80800000000000005</v>
      </c>
      <c r="BG216" t="s">
        <v>635</v>
      </c>
      <c r="BH216">
        <v>-1.909</v>
      </c>
      <c r="BI216">
        <v>-2.5390000000000001</v>
      </c>
    </row>
    <row r="217" spans="3:61">
      <c r="C217">
        <v>0</v>
      </c>
      <c r="D217">
        <v>10</v>
      </c>
      <c r="E217">
        <v>1</v>
      </c>
      <c r="F217" t="s">
        <v>25021</v>
      </c>
      <c r="G217">
        <v>1428</v>
      </c>
      <c r="H217" t="s">
        <v>8946</v>
      </c>
      <c r="I217" t="s">
        <v>62</v>
      </c>
      <c r="J217">
        <v>1442350</v>
      </c>
      <c r="K217">
        <v>1442703</v>
      </c>
      <c r="L217" t="s">
        <v>8947</v>
      </c>
      <c r="M217">
        <v>118</v>
      </c>
      <c r="N217" t="s">
        <v>8948</v>
      </c>
      <c r="O217">
        <v>40</v>
      </c>
      <c r="P217" t="str">
        <f>HYPERLINK("Gene1428-zp_tree_all.dnd", "Gene1428-tree")</f>
        <v>Gene1428-tree</v>
      </c>
      <c r="Q217">
        <v>6</v>
      </c>
      <c r="R217">
        <v>9</v>
      </c>
      <c r="S217">
        <v>6</v>
      </c>
      <c r="T217">
        <v>9</v>
      </c>
      <c r="U217">
        <v>0.6</v>
      </c>
      <c r="V217" t="s">
        <v>90</v>
      </c>
      <c r="W217" t="s">
        <v>135</v>
      </c>
      <c r="X217" t="s">
        <v>62</v>
      </c>
      <c r="Y217" t="s">
        <v>62</v>
      </c>
      <c r="Z217">
        <v>4</v>
      </c>
      <c r="AA217">
        <v>11</v>
      </c>
      <c r="AB217">
        <v>5</v>
      </c>
      <c r="AC217">
        <v>0.6875</v>
      </c>
      <c r="AD217" s="47">
        <v>0</v>
      </c>
      <c r="AE217" s="47">
        <v>0</v>
      </c>
      <c r="AF217" s="47">
        <v>0</v>
      </c>
      <c r="AG217" s="47">
        <v>2</v>
      </c>
      <c r="AH217" s="47">
        <v>0</v>
      </c>
      <c r="AI217" s="47">
        <v>4</v>
      </c>
      <c r="AJ217" s="47">
        <v>2</v>
      </c>
      <c r="AK217" s="47">
        <v>6</v>
      </c>
      <c r="AL217">
        <v>5</v>
      </c>
      <c r="AM217">
        <v>0.54544999999999999</v>
      </c>
      <c r="AN217">
        <v>9</v>
      </c>
      <c r="AO217">
        <v>8</v>
      </c>
      <c r="AP217">
        <v>6</v>
      </c>
      <c r="AQ217">
        <v>9</v>
      </c>
      <c r="AR217">
        <v>3</v>
      </c>
      <c r="AS217">
        <v>7</v>
      </c>
      <c r="AT217" t="s">
        <v>8949</v>
      </c>
      <c r="AU217" t="s">
        <v>8950</v>
      </c>
      <c r="AV217">
        <v>0.53100000000000003</v>
      </c>
      <c r="AW217" t="s">
        <v>65</v>
      </c>
      <c r="AX217">
        <v>9</v>
      </c>
      <c r="AY217">
        <v>16</v>
      </c>
      <c r="AZ217" t="s">
        <v>8951</v>
      </c>
      <c r="BA217">
        <v>2.3709999999999998E-2</v>
      </c>
      <c r="BB217">
        <v>-1.64E-3</v>
      </c>
      <c r="BC217">
        <v>1.072E-2</v>
      </c>
      <c r="BD217">
        <v>-5.1999999999999995E-4</v>
      </c>
      <c r="BE217">
        <v>0.45195999999999997</v>
      </c>
      <c r="BF217">
        <v>0.81799999999999995</v>
      </c>
      <c r="BG217" t="s">
        <v>635</v>
      </c>
      <c r="BH217">
        <v>-1.1140000000000001</v>
      </c>
      <c r="BI217">
        <v>-0.15</v>
      </c>
    </row>
    <row r="218" spans="3:61">
      <c r="C218">
        <v>0</v>
      </c>
      <c r="D218">
        <v>0</v>
      </c>
      <c r="E218">
        <v>2</v>
      </c>
      <c r="F218" t="s">
        <v>25021</v>
      </c>
      <c r="G218">
        <v>994</v>
      </c>
      <c r="H218" t="s">
        <v>6233</v>
      </c>
      <c r="I218" t="s">
        <v>62</v>
      </c>
      <c r="J218">
        <v>1036956</v>
      </c>
      <c r="K218">
        <v>1037309</v>
      </c>
      <c r="L218" t="s">
        <v>6234</v>
      </c>
      <c r="M218">
        <v>118</v>
      </c>
      <c r="N218" t="s">
        <v>108</v>
      </c>
      <c r="O218">
        <v>44</v>
      </c>
      <c r="P218" t="str">
        <f>HYPERLINK("Gene994-zp_tree_all.dnd", "Gene994-tree")</f>
        <v>Gene994-tree</v>
      </c>
      <c r="Q218">
        <v>5</v>
      </c>
      <c r="R218">
        <v>7</v>
      </c>
      <c r="S218">
        <v>5</v>
      </c>
      <c r="T218">
        <v>7</v>
      </c>
      <c r="U218">
        <v>0.58333000000000002</v>
      </c>
      <c r="V218" t="s">
        <v>199</v>
      </c>
      <c r="W218" t="s">
        <v>152</v>
      </c>
      <c r="X218" t="s">
        <v>62</v>
      </c>
      <c r="Y218" t="s">
        <v>62</v>
      </c>
      <c r="Z218">
        <v>1</v>
      </c>
      <c r="AA218">
        <v>2</v>
      </c>
      <c r="AB218">
        <v>12</v>
      </c>
      <c r="AC218">
        <v>0.14285999999999999</v>
      </c>
      <c r="AD218" s="47">
        <v>0</v>
      </c>
      <c r="AE218" s="47">
        <v>0</v>
      </c>
      <c r="AF218" s="47">
        <v>0</v>
      </c>
      <c r="AG218" s="47">
        <v>0</v>
      </c>
      <c r="AH218" s="47">
        <v>0</v>
      </c>
      <c r="AI218" s="47">
        <v>0</v>
      </c>
      <c r="AJ218" s="47">
        <v>0</v>
      </c>
      <c r="AK218" s="47">
        <v>0</v>
      </c>
      <c r="AL218">
        <v>12</v>
      </c>
      <c r="AM218">
        <v>0</v>
      </c>
      <c r="AN218">
        <v>10</v>
      </c>
      <c r="AO218">
        <v>6</v>
      </c>
      <c r="AP218">
        <v>9</v>
      </c>
      <c r="AQ218">
        <v>12</v>
      </c>
      <c r="AR218">
        <v>5</v>
      </c>
      <c r="AS218">
        <v>2</v>
      </c>
      <c r="AT218" t="s">
        <v>6235</v>
      </c>
      <c r="AU218" t="s">
        <v>6236</v>
      </c>
      <c r="AV218">
        <v>1.44</v>
      </c>
      <c r="AW218" t="s">
        <v>65</v>
      </c>
      <c r="AX218">
        <v>14</v>
      </c>
      <c r="AY218">
        <v>14</v>
      </c>
      <c r="AZ218" t="s">
        <v>6237</v>
      </c>
      <c r="BA218">
        <v>3.2550000000000003E-2</v>
      </c>
      <c r="BB218">
        <v>-1.72E-3</v>
      </c>
      <c r="BC218">
        <v>1.034E-2</v>
      </c>
      <c r="BD218">
        <v>-6.9999999999999999E-4</v>
      </c>
      <c r="BE218">
        <v>0.31757000000000002</v>
      </c>
      <c r="BF218">
        <v>0.99</v>
      </c>
      <c r="BG218" t="s">
        <v>69</v>
      </c>
      <c r="BH218">
        <v>0.19800000000000001</v>
      </c>
      <c r="BI218">
        <v>-1.591</v>
      </c>
    </row>
    <row r="219" spans="3:61">
      <c r="C219">
        <v>0</v>
      </c>
      <c r="D219">
        <v>4</v>
      </c>
      <c r="E219">
        <v>2</v>
      </c>
      <c r="F219" t="s">
        <v>25021</v>
      </c>
      <c r="G219">
        <v>1785</v>
      </c>
      <c r="H219" t="s">
        <v>11193</v>
      </c>
      <c r="I219" t="s">
        <v>62</v>
      </c>
      <c r="J219">
        <v>1860017</v>
      </c>
      <c r="K219">
        <v>1860370</v>
      </c>
      <c r="L219" t="s">
        <v>11194</v>
      </c>
      <c r="M219">
        <v>118</v>
      </c>
      <c r="N219" t="s">
        <v>108</v>
      </c>
      <c r="O219">
        <v>44</v>
      </c>
      <c r="P219" t="str">
        <f>HYPERLINK("Gene1785-zp_tree_all.dnd", "Gene1785-tree")</f>
        <v>Gene1785-tree</v>
      </c>
      <c r="Q219">
        <v>24</v>
      </c>
      <c r="R219">
        <v>4</v>
      </c>
      <c r="S219">
        <v>7</v>
      </c>
      <c r="T219">
        <v>4</v>
      </c>
      <c r="U219">
        <v>0.36364000000000002</v>
      </c>
      <c r="V219" t="s">
        <v>638</v>
      </c>
      <c r="W219" t="s">
        <v>61</v>
      </c>
      <c r="X219" t="s">
        <v>62</v>
      </c>
      <c r="Y219" t="s">
        <v>62</v>
      </c>
      <c r="Z219">
        <v>3</v>
      </c>
      <c r="AA219">
        <v>6</v>
      </c>
      <c r="AB219">
        <v>2</v>
      </c>
      <c r="AC219">
        <v>0.75</v>
      </c>
      <c r="AD219" s="47">
        <v>0</v>
      </c>
      <c r="AE219" s="47">
        <v>0</v>
      </c>
      <c r="AF219" s="47">
        <v>0</v>
      </c>
      <c r="AG219" s="47">
        <v>1</v>
      </c>
      <c r="AH219" s="47">
        <v>0</v>
      </c>
      <c r="AI219" s="47">
        <v>0</v>
      </c>
      <c r="AJ219" s="47">
        <v>0</v>
      </c>
      <c r="AK219" s="47">
        <v>0</v>
      </c>
      <c r="AL219">
        <v>5</v>
      </c>
      <c r="AM219">
        <v>0</v>
      </c>
      <c r="AN219">
        <v>6</v>
      </c>
      <c r="AO219">
        <v>5</v>
      </c>
      <c r="AP219">
        <v>5</v>
      </c>
      <c r="AQ219">
        <v>4</v>
      </c>
      <c r="AR219">
        <v>4</v>
      </c>
      <c r="AS219">
        <v>4</v>
      </c>
      <c r="AT219" t="s">
        <v>11195</v>
      </c>
      <c r="AU219" t="s">
        <v>11196</v>
      </c>
      <c r="AV219">
        <v>0.251</v>
      </c>
      <c r="AW219" t="s">
        <v>65</v>
      </c>
      <c r="AX219">
        <v>9</v>
      </c>
      <c r="AY219">
        <v>8</v>
      </c>
      <c r="AZ219" t="s">
        <v>3046</v>
      </c>
      <c r="BA219">
        <v>2.1700000000000001E-2</v>
      </c>
      <c r="BB219">
        <v>-1.72E-3</v>
      </c>
      <c r="BC219">
        <v>6.62E-3</v>
      </c>
      <c r="BD219">
        <v>-5.1999999999999995E-4</v>
      </c>
      <c r="BE219">
        <v>0.30503000000000002</v>
      </c>
      <c r="BF219">
        <v>0.96799999999999997</v>
      </c>
      <c r="BG219" t="s">
        <v>69</v>
      </c>
      <c r="BH219">
        <v>0.44900000000000001</v>
      </c>
      <c r="BI219">
        <v>-1.847</v>
      </c>
    </row>
    <row r="220" spans="3:61">
      <c r="C220">
        <v>0</v>
      </c>
      <c r="D220">
        <v>2</v>
      </c>
      <c r="E220">
        <v>4</v>
      </c>
      <c r="F220" t="s">
        <v>25021</v>
      </c>
      <c r="G220">
        <v>4226</v>
      </c>
      <c r="H220" t="s">
        <v>24825</v>
      </c>
      <c r="I220" t="s">
        <v>57</v>
      </c>
      <c r="J220">
        <v>4186092</v>
      </c>
      <c r="K220">
        <v>4186445</v>
      </c>
      <c r="L220" t="s">
        <v>288</v>
      </c>
      <c r="M220">
        <v>118</v>
      </c>
      <c r="N220" t="s">
        <v>1139</v>
      </c>
      <c r="O220">
        <v>42</v>
      </c>
      <c r="P220" t="str">
        <f>HYPERLINK("Gene4226-zp_tree_all.dnd", "Gene4226-tree")</f>
        <v>Gene4226-tree</v>
      </c>
      <c r="Q220">
        <v>0</v>
      </c>
      <c r="R220">
        <v>8</v>
      </c>
      <c r="S220">
        <v>0</v>
      </c>
      <c r="T220">
        <v>8</v>
      </c>
      <c r="U220">
        <v>1</v>
      </c>
      <c r="V220" t="s">
        <v>62</v>
      </c>
      <c r="W220" t="s">
        <v>136</v>
      </c>
      <c r="X220" t="s">
        <v>62</v>
      </c>
      <c r="Y220" t="s">
        <v>62</v>
      </c>
      <c r="Z220">
        <v>3</v>
      </c>
      <c r="AA220">
        <v>6</v>
      </c>
      <c r="AB220">
        <v>7</v>
      </c>
      <c r="AC220">
        <v>0.46154000000000001</v>
      </c>
      <c r="AD220" s="47">
        <v>0</v>
      </c>
      <c r="AE220" s="47">
        <v>0</v>
      </c>
      <c r="AF220" s="47">
        <v>0</v>
      </c>
      <c r="AG220" s="47">
        <v>0</v>
      </c>
      <c r="AH220" s="47">
        <v>0</v>
      </c>
      <c r="AI220" s="47">
        <v>2</v>
      </c>
      <c r="AJ220" s="47">
        <v>4</v>
      </c>
      <c r="AK220" s="47">
        <v>6</v>
      </c>
      <c r="AL220">
        <v>7</v>
      </c>
      <c r="AM220">
        <v>0.46154000000000001</v>
      </c>
      <c r="AN220">
        <v>5</v>
      </c>
      <c r="AO220">
        <v>3</v>
      </c>
      <c r="AP220">
        <v>1</v>
      </c>
      <c r="AQ220">
        <v>6</v>
      </c>
      <c r="AR220">
        <v>9</v>
      </c>
      <c r="AS220">
        <v>7</v>
      </c>
      <c r="AT220" t="s">
        <v>24826</v>
      </c>
      <c r="AU220" t="s">
        <v>24827</v>
      </c>
      <c r="AV220">
        <v>0.47599999999999998</v>
      </c>
      <c r="AW220" t="s">
        <v>65</v>
      </c>
      <c r="AX220">
        <v>10</v>
      </c>
      <c r="AY220">
        <v>13</v>
      </c>
      <c r="AZ220" t="s">
        <v>24828</v>
      </c>
      <c r="BA220">
        <v>5.9520000000000003E-2</v>
      </c>
      <c r="BB220">
        <v>-1.191E-2</v>
      </c>
      <c r="BC220">
        <v>1.5859999999999999E-2</v>
      </c>
      <c r="BD220">
        <v>-1.72E-3</v>
      </c>
      <c r="BE220">
        <v>0.26654</v>
      </c>
      <c r="BF220">
        <v>0.98</v>
      </c>
      <c r="BG220" t="s">
        <v>69</v>
      </c>
      <c r="BH220">
        <v>0.24399999999999999</v>
      </c>
      <c r="BI220">
        <v>1.2849999999999999</v>
      </c>
    </row>
    <row r="221" spans="3:61">
      <c r="C221">
        <v>0</v>
      </c>
      <c r="D221">
        <v>0</v>
      </c>
      <c r="E221">
        <v>0</v>
      </c>
      <c r="F221" t="s">
        <v>25021</v>
      </c>
      <c r="G221">
        <v>1035</v>
      </c>
      <c r="H221" t="s">
        <v>6491</v>
      </c>
      <c r="I221" t="s">
        <v>62</v>
      </c>
      <c r="J221">
        <v>1073898</v>
      </c>
      <c r="K221">
        <v>1074251</v>
      </c>
      <c r="L221" t="s">
        <v>6492</v>
      </c>
      <c r="M221">
        <v>118</v>
      </c>
      <c r="N221" t="s">
        <v>59</v>
      </c>
      <c r="O221">
        <v>49</v>
      </c>
      <c r="P221" t="str">
        <f>HYPERLINK("Gene1035-zp_tree_all.dnd", "Gene1035-tree")</f>
        <v>Gene1035-tree</v>
      </c>
      <c r="Q221">
        <v>13</v>
      </c>
      <c r="R221">
        <v>1</v>
      </c>
      <c r="S221">
        <v>13</v>
      </c>
      <c r="T221">
        <v>1</v>
      </c>
      <c r="U221">
        <v>7.1429999999999993E-2</v>
      </c>
      <c r="V221" t="s">
        <v>507</v>
      </c>
      <c r="W221" t="s">
        <v>175</v>
      </c>
      <c r="X221" t="s">
        <v>62</v>
      </c>
      <c r="Y221" t="s">
        <v>62</v>
      </c>
      <c r="Z221">
        <v>0</v>
      </c>
      <c r="AA221">
        <v>0</v>
      </c>
      <c r="AB221">
        <v>6</v>
      </c>
      <c r="AC221">
        <v>0</v>
      </c>
      <c r="AD221" s="47">
        <v>0</v>
      </c>
      <c r="AE221" s="47">
        <v>0</v>
      </c>
      <c r="AF221" s="47">
        <v>0</v>
      </c>
      <c r="AG221" s="47">
        <v>1</v>
      </c>
      <c r="AH221" s="47">
        <v>0</v>
      </c>
      <c r="AI221" s="47">
        <v>0</v>
      </c>
      <c r="AJ221" s="47">
        <v>0</v>
      </c>
      <c r="AK221" s="47">
        <v>0</v>
      </c>
      <c r="AL221">
        <v>3</v>
      </c>
      <c r="AM221">
        <v>0</v>
      </c>
      <c r="AN221">
        <v>10</v>
      </c>
      <c r="AO221">
        <v>6</v>
      </c>
      <c r="AP221">
        <v>18</v>
      </c>
      <c r="AQ221">
        <v>3</v>
      </c>
      <c r="AR221">
        <v>16</v>
      </c>
      <c r="AS221">
        <v>4</v>
      </c>
      <c r="AT221" t="s">
        <v>6493</v>
      </c>
      <c r="AU221" t="s">
        <v>6494</v>
      </c>
      <c r="AV221">
        <v>0.129</v>
      </c>
      <c r="AW221" t="s">
        <v>65</v>
      </c>
      <c r="AX221">
        <v>34</v>
      </c>
      <c r="AY221">
        <v>7</v>
      </c>
      <c r="AZ221" t="s">
        <v>6495</v>
      </c>
      <c r="BA221">
        <v>0.10428</v>
      </c>
      <c r="BB221">
        <v>-6.96E-3</v>
      </c>
      <c r="BC221">
        <v>7.3899999999999999E-3</v>
      </c>
      <c r="BD221">
        <v>-7.3999999999999999E-4</v>
      </c>
      <c r="BE221">
        <v>7.0830000000000004E-2</v>
      </c>
      <c r="BF221">
        <v>1</v>
      </c>
      <c r="BG221" t="s">
        <v>69</v>
      </c>
      <c r="BH221">
        <v>-1.294</v>
      </c>
      <c r="BI221">
        <v>-0.49299999999999999</v>
      </c>
    </row>
    <row r="222" spans="3:61">
      <c r="C222">
        <v>0</v>
      </c>
      <c r="D222">
        <v>6</v>
      </c>
      <c r="E222">
        <v>0</v>
      </c>
      <c r="F222" t="s">
        <v>25021</v>
      </c>
      <c r="G222">
        <v>2474</v>
      </c>
      <c r="H222" t="s">
        <v>14418</v>
      </c>
      <c r="I222" t="s">
        <v>57</v>
      </c>
      <c r="J222">
        <v>2467800</v>
      </c>
      <c r="K222">
        <v>2468159</v>
      </c>
      <c r="L222" t="s">
        <v>2302</v>
      </c>
      <c r="M222">
        <v>120</v>
      </c>
      <c r="N222" t="s">
        <v>108</v>
      </c>
      <c r="O222">
        <v>44</v>
      </c>
      <c r="P222" t="str">
        <f>HYPERLINK("Gene2474-zp_tree_all.dnd", "Gene2474-tree")</f>
        <v>Gene2474-tree</v>
      </c>
      <c r="Q222">
        <v>4</v>
      </c>
      <c r="R222">
        <v>6</v>
      </c>
      <c r="S222">
        <v>4</v>
      </c>
      <c r="T222">
        <v>6</v>
      </c>
      <c r="U222">
        <v>0.6</v>
      </c>
      <c r="V222" t="s">
        <v>61</v>
      </c>
      <c r="W222" t="s">
        <v>90</v>
      </c>
      <c r="X222" t="s">
        <v>62</v>
      </c>
      <c r="Y222" t="s">
        <v>62</v>
      </c>
      <c r="Z222">
        <v>3</v>
      </c>
      <c r="AA222">
        <v>6</v>
      </c>
      <c r="AB222">
        <v>19</v>
      </c>
      <c r="AC222">
        <v>0.24</v>
      </c>
      <c r="AD222" s="47">
        <v>0</v>
      </c>
      <c r="AE222" s="47">
        <v>0</v>
      </c>
      <c r="AF222" s="47">
        <v>0</v>
      </c>
      <c r="AG222" s="47">
        <v>2</v>
      </c>
      <c r="AH222" s="47">
        <v>0</v>
      </c>
      <c r="AI222" s="47">
        <v>2</v>
      </c>
      <c r="AJ222" s="47">
        <v>0</v>
      </c>
      <c r="AK222" s="47">
        <v>2</v>
      </c>
      <c r="AL222">
        <v>18</v>
      </c>
      <c r="AM222">
        <v>0.1</v>
      </c>
      <c r="AN222">
        <v>8</v>
      </c>
      <c r="AO222">
        <v>6</v>
      </c>
      <c r="AP222">
        <v>8</v>
      </c>
      <c r="AQ222">
        <v>20</v>
      </c>
      <c r="AR222">
        <v>1</v>
      </c>
      <c r="AS222">
        <v>5</v>
      </c>
      <c r="AT222" t="s">
        <v>14419</v>
      </c>
      <c r="AU222" t="s">
        <v>14420</v>
      </c>
      <c r="AV222">
        <v>0.22600000000000001</v>
      </c>
      <c r="AW222" t="s">
        <v>65</v>
      </c>
      <c r="AX222">
        <v>9</v>
      </c>
      <c r="AY222">
        <v>25</v>
      </c>
      <c r="AZ222" t="s">
        <v>14421</v>
      </c>
      <c r="BA222">
        <v>2.86E-2</v>
      </c>
      <c r="BB222">
        <v>-4.3800000000000002E-3</v>
      </c>
      <c r="BC222">
        <v>2.1420000000000002E-2</v>
      </c>
      <c r="BD222">
        <v>-1.97E-3</v>
      </c>
      <c r="BE222">
        <v>0.74904999999999999</v>
      </c>
      <c r="BF222">
        <v>0.56000000000000005</v>
      </c>
      <c r="BG222" t="s">
        <v>635</v>
      </c>
      <c r="BH222">
        <v>-1.671</v>
      </c>
      <c r="BI222">
        <v>-3.2669999999999999</v>
      </c>
    </row>
    <row r="223" spans="3:61">
      <c r="C223">
        <v>0</v>
      </c>
      <c r="D223">
        <v>0</v>
      </c>
      <c r="E223">
        <v>0</v>
      </c>
      <c r="F223" t="s">
        <v>25021</v>
      </c>
      <c r="G223">
        <v>753</v>
      </c>
      <c r="H223" t="s">
        <v>4685</v>
      </c>
      <c r="I223" t="s">
        <v>62</v>
      </c>
      <c r="J223">
        <v>785546</v>
      </c>
      <c r="K223">
        <v>785905</v>
      </c>
      <c r="L223" t="s">
        <v>4686</v>
      </c>
      <c r="M223">
        <v>120</v>
      </c>
      <c r="N223" t="s">
        <v>3401</v>
      </c>
      <c r="O223">
        <v>42</v>
      </c>
      <c r="P223" t="str">
        <f>HYPERLINK("Gene753-zp_tree_all.dnd", "Gene753-tree")</f>
        <v>Gene753-tree</v>
      </c>
      <c r="Q223">
        <v>7</v>
      </c>
      <c r="R223">
        <v>3</v>
      </c>
      <c r="S223">
        <v>7</v>
      </c>
      <c r="T223">
        <v>3</v>
      </c>
      <c r="U223">
        <v>0.3</v>
      </c>
      <c r="V223" t="s">
        <v>152</v>
      </c>
      <c r="W223" t="s">
        <v>324</v>
      </c>
      <c r="X223" t="s">
        <v>62</v>
      </c>
      <c r="Y223" t="s">
        <v>62</v>
      </c>
      <c r="Z223">
        <v>0</v>
      </c>
      <c r="AA223">
        <v>0</v>
      </c>
      <c r="AB223">
        <v>5</v>
      </c>
      <c r="AC223">
        <v>0</v>
      </c>
      <c r="AD223" s="47">
        <v>0</v>
      </c>
      <c r="AE223" s="47">
        <v>0</v>
      </c>
      <c r="AF223" s="47">
        <v>0</v>
      </c>
      <c r="AG223" s="47">
        <v>0</v>
      </c>
      <c r="AH223" s="47">
        <v>0</v>
      </c>
      <c r="AI223" s="47">
        <v>0</v>
      </c>
      <c r="AJ223" s="47">
        <v>0</v>
      </c>
      <c r="AK223" s="47">
        <v>0</v>
      </c>
      <c r="AL223">
        <v>5</v>
      </c>
      <c r="AM223">
        <v>0</v>
      </c>
      <c r="AN223">
        <v>7</v>
      </c>
      <c r="AO223">
        <v>2</v>
      </c>
      <c r="AP223">
        <v>7</v>
      </c>
      <c r="AQ223">
        <v>4</v>
      </c>
      <c r="AR223">
        <v>1</v>
      </c>
      <c r="AS223">
        <v>1</v>
      </c>
      <c r="AT223" t="s">
        <v>4687</v>
      </c>
      <c r="AU223" t="s">
        <v>4688</v>
      </c>
      <c r="AV223">
        <v>0.26400000000000001</v>
      </c>
      <c r="AW223" t="s">
        <v>65</v>
      </c>
      <c r="AX223">
        <v>8</v>
      </c>
      <c r="AY223">
        <v>5</v>
      </c>
      <c r="AZ223" t="s">
        <v>4689</v>
      </c>
      <c r="BA223">
        <v>2.656E-2</v>
      </c>
      <c r="BB223">
        <v>-2.1099999999999999E-3</v>
      </c>
      <c r="BC223">
        <v>4.0400000000000002E-3</v>
      </c>
      <c r="BD223">
        <v>-6.9999999999999999E-4</v>
      </c>
      <c r="BE223">
        <v>0.15198999999999999</v>
      </c>
      <c r="BF223">
        <v>1</v>
      </c>
      <c r="BG223" t="s">
        <v>69</v>
      </c>
      <c r="BH223">
        <v>-1.121</v>
      </c>
      <c r="BI223">
        <v>-1.9019999999999999</v>
      </c>
    </row>
    <row r="224" spans="3:61">
      <c r="C224">
        <v>0</v>
      </c>
      <c r="D224">
        <v>2</v>
      </c>
      <c r="E224">
        <v>1</v>
      </c>
      <c r="F224" t="s">
        <v>25021</v>
      </c>
      <c r="G224">
        <v>3833</v>
      </c>
      <c r="H224" t="s">
        <v>22471</v>
      </c>
      <c r="I224" t="s">
        <v>57</v>
      </c>
      <c r="J224">
        <v>3795491</v>
      </c>
      <c r="K224">
        <v>3795850</v>
      </c>
      <c r="L224" t="s">
        <v>3095</v>
      </c>
      <c r="M224">
        <v>120</v>
      </c>
      <c r="N224" t="s">
        <v>5762</v>
      </c>
      <c r="O224">
        <v>43</v>
      </c>
      <c r="P224" t="str">
        <f>HYPERLINK("Gene3833-zp_tree_all.dnd", "Gene3833-tree")</f>
        <v>Gene3833-tree</v>
      </c>
      <c r="Q224">
        <v>6</v>
      </c>
      <c r="R224">
        <v>6</v>
      </c>
      <c r="S224">
        <v>6</v>
      </c>
      <c r="T224">
        <v>6</v>
      </c>
      <c r="U224">
        <v>0.5</v>
      </c>
      <c r="V224" t="s">
        <v>90</v>
      </c>
      <c r="W224" t="s">
        <v>90</v>
      </c>
      <c r="X224" t="s">
        <v>62</v>
      </c>
      <c r="Y224" t="s">
        <v>62</v>
      </c>
      <c r="Z224">
        <v>1</v>
      </c>
      <c r="AA224">
        <v>3</v>
      </c>
      <c r="AB224">
        <v>3</v>
      </c>
      <c r="AC224">
        <v>0.5</v>
      </c>
      <c r="AD224" s="47">
        <v>0</v>
      </c>
      <c r="AE224" s="47">
        <v>0</v>
      </c>
      <c r="AF224" s="47">
        <v>0</v>
      </c>
      <c r="AG224" s="47">
        <v>0</v>
      </c>
      <c r="AH224" s="47">
        <v>0</v>
      </c>
      <c r="AI224" s="47">
        <v>2</v>
      </c>
      <c r="AJ224" s="47">
        <v>1</v>
      </c>
      <c r="AK224" s="47">
        <v>3</v>
      </c>
      <c r="AL224">
        <v>3</v>
      </c>
      <c r="AM224">
        <v>0.5</v>
      </c>
      <c r="AN224">
        <v>6</v>
      </c>
      <c r="AO224">
        <v>5</v>
      </c>
      <c r="AP224">
        <v>3</v>
      </c>
      <c r="AQ224">
        <v>5</v>
      </c>
      <c r="AR224">
        <v>5</v>
      </c>
      <c r="AS224">
        <v>1</v>
      </c>
      <c r="AT224" t="s">
        <v>22472</v>
      </c>
      <c r="AU224" t="s">
        <v>22473</v>
      </c>
      <c r="AV224">
        <v>0.41099999999999998</v>
      </c>
      <c r="AW224" t="s">
        <v>65</v>
      </c>
      <c r="AX224">
        <v>8</v>
      </c>
      <c r="AY224">
        <v>6</v>
      </c>
      <c r="AZ224" t="s">
        <v>22474</v>
      </c>
      <c r="BA224">
        <v>2.9180000000000001E-2</v>
      </c>
      <c r="BB224">
        <v>-2.2200000000000002E-3</v>
      </c>
      <c r="BC224">
        <v>4.0099999999999997E-3</v>
      </c>
      <c r="BD224">
        <v>-3.6000000000000002E-4</v>
      </c>
      <c r="BE224">
        <v>0.13736999999999999</v>
      </c>
      <c r="BF224">
        <v>0.96899999999999997</v>
      </c>
      <c r="BG224" t="s">
        <v>69</v>
      </c>
      <c r="BH224">
        <v>0.78200000000000003</v>
      </c>
      <c r="BI224">
        <v>0.52800000000000002</v>
      </c>
    </row>
    <row r="225" spans="3:61">
      <c r="C225">
        <v>0</v>
      </c>
      <c r="D225">
        <v>0</v>
      </c>
      <c r="E225">
        <v>0</v>
      </c>
      <c r="F225" t="s">
        <v>25021</v>
      </c>
      <c r="G225">
        <v>1082</v>
      </c>
      <c r="H225" t="s">
        <v>6798</v>
      </c>
      <c r="I225" t="s">
        <v>62</v>
      </c>
      <c r="J225">
        <v>1121039</v>
      </c>
      <c r="K225">
        <v>1121398</v>
      </c>
      <c r="L225" t="s">
        <v>288</v>
      </c>
      <c r="M225">
        <v>120</v>
      </c>
      <c r="N225" t="s">
        <v>108</v>
      </c>
      <c r="O225">
        <v>44</v>
      </c>
      <c r="P225" t="str">
        <f>HYPERLINK("Gene1082-zp_tree_all.dnd", "Gene1082-tree")</f>
        <v>Gene1082-tree</v>
      </c>
      <c r="Q225">
        <v>31</v>
      </c>
      <c r="R225">
        <v>2</v>
      </c>
      <c r="S225">
        <v>7</v>
      </c>
      <c r="T225">
        <v>2</v>
      </c>
      <c r="U225">
        <v>0.22222</v>
      </c>
      <c r="V225" t="s">
        <v>6799</v>
      </c>
      <c r="W225" t="s">
        <v>81</v>
      </c>
      <c r="X225" t="s">
        <v>62</v>
      </c>
      <c r="Y225" t="s">
        <v>62</v>
      </c>
      <c r="Z225">
        <v>0</v>
      </c>
      <c r="AA225">
        <v>0</v>
      </c>
      <c r="AB225">
        <v>3</v>
      </c>
      <c r="AC225">
        <v>0</v>
      </c>
      <c r="AD225" s="47">
        <v>0</v>
      </c>
      <c r="AE225" s="47">
        <v>0</v>
      </c>
      <c r="AF225" s="47">
        <v>0</v>
      </c>
      <c r="AG225" s="47">
        <v>0</v>
      </c>
      <c r="AH225" s="47">
        <v>0</v>
      </c>
      <c r="AI225" s="47">
        <v>0</v>
      </c>
      <c r="AJ225" s="47">
        <v>0</v>
      </c>
      <c r="AK225" s="47">
        <v>0</v>
      </c>
      <c r="AL225">
        <v>3</v>
      </c>
      <c r="AM225">
        <v>0</v>
      </c>
      <c r="AN225">
        <v>6</v>
      </c>
      <c r="AO225">
        <v>4</v>
      </c>
      <c r="AP225">
        <v>9</v>
      </c>
      <c r="AQ225">
        <v>3</v>
      </c>
      <c r="AR225">
        <v>5</v>
      </c>
      <c r="AS225">
        <v>0</v>
      </c>
      <c r="AT225" t="s">
        <v>6800</v>
      </c>
      <c r="AU225" t="s">
        <v>193</v>
      </c>
      <c r="AV225">
        <v>0.89100000000000001</v>
      </c>
      <c r="AW225" t="s">
        <v>65</v>
      </c>
      <c r="AX225">
        <v>14</v>
      </c>
      <c r="AY225">
        <v>3</v>
      </c>
      <c r="AZ225" t="s">
        <v>6801</v>
      </c>
      <c r="BA225">
        <v>5.015E-2</v>
      </c>
      <c r="BB225">
        <v>-3.2599999999999999E-3</v>
      </c>
      <c r="BC225">
        <v>2.3800000000000002E-3</v>
      </c>
      <c r="BD225">
        <v>-5.1000000000000004E-4</v>
      </c>
      <c r="BE225">
        <v>4.7390000000000002E-2</v>
      </c>
      <c r="BF225">
        <v>1</v>
      </c>
      <c r="BG225" t="s">
        <v>69</v>
      </c>
      <c r="BH225">
        <v>-0.65400000000000003</v>
      </c>
      <c r="BI225">
        <v>-1.264</v>
      </c>
    </row>
    <row r="226" spans="3:61">
      <c r="C226">
        <v>0</v>
      </c>
      <c r="D226">
        <v>0</v>
      </c>
      <c r="E226">
        <v>0</v>
      </c>
      <c r="F226" t="s">
        <v>25021</v>
      </c>
      <c r="G226">
        <v>1554</v>
      </c>
      <c r="H226" t="s">
        <v>9716</v>
      </c>
      <c r="I226" t="s">
        <v>62</v>
      </c>
      <c r="J226">
        <v>1565350</v>
      </c>
      <c r="K226">
        <v>1565709</v>
      </c>
      <c r="L226" t="s">
        <v>288</v>
      </c>
      <c r="M226">
        <v>120</v>
      </c>
      <c r="N226" t="s">
        <v>6390</v>
      </c>
      <c r="O226">
        <v>45</v>
      </c>
      <c r="P226" t="str">
        <f>HYPERLINK("Gene1554-zp_tree_all.dnd", "Gene1554-tree")</f>
        <v>Gene1554-tree</v>
      </c>
      <c r="Q226">
        <v>8</v>
      </c>
      <c r="R226">
        <v>2</v>
      </c>
      <c r="S226">
        <v>8</v>
      </c>
      <c r="T226">
        <v>2</v>
      </c>
      <c r="U226">
        <v>0.2</v>
      </c>
      <c r="V226" t="s">
        <v>136</v>
      </c>
      <c r="W226" t="s">
        <v>81</v>
      </c>
      <c r="X226" t="s">
        <v>62</v>
      </c>
      <c r="Y226" t="s">
        <v>62</v>
      </c>
      <c r="Z226">
        <v>0</v>
      </c>
      <c r="AA226">
        <v>0</v>
      </c>
      <c r="AB226">
        <v>4</v>
      </c>
      <c r="AC226">
        <v>0</v>
      </c>
      <c r="AD226" s="47">
        <v>0</v>
      </c>
      <c r="AE226" s="47">
        <v>0</v>
      </c>
      <c r="AF226" s="47">
        <v>0</v>
      </c>
      <c r="AG226" s="47">
        <v>0</v>
      </c>
      <c r="AH226" s="47">
        <v>0</v>
      </c>
      <c r="AI226" s="47">
        <v>0</v>
      </c>
      <c r="AJ226" s="47">
        <v>0</v>
      </c>
      <c r="AK226" s="47">
        <v>0</v>
      </c>
      <c r="AL226">
        <v>2</v>
      </c>
      <c r="AM226">
        <v>0</v>
      </c>
      <c r="AN226">
        <v>8</v>
      </c>
      <c r="AO226">
        <v>4</v>
      </c>
      <c r="AP226">
        <v>19</v>
      </c>
      <c r="AQ226">
        <v>2</v>
      </c>
      <c r="AR226">
        <v>12</v>
      </c>
      <c r="AS226">
        <v>2</v>
      </c>
      <c r="AT226" t="s">
        <v>9717</v>
      </c>
      <c r="AU226" t="s">
        <v>9718</v>
      </c>
      <c r="AV226">
        <v>0.19600000000000001</v>
      </c>
      <c r="AW226" t="s">
        <v>65</v>
      </c>
      <c r="AX226">
        <v>31</v>
      </c>
      <c r="AY226">
        <v>4</v>
      </c>
      <c r="AZ226" t="s">
        <v>9719</v>
      </c>
      <c r="BA226">
        <v>0.10032000000000001</v>
      </c>
      <c r="BB226">
        <v>-1.166E-2</v>
      </c>
      <c r="BC226">
        <v>4.0200000000000001E-3</v>
      </c>
      <c r="BD226">
        <v>-6.7000000000000002E-4</v>
      </c>
      <c r="BE226">
        <v>4.0030000000000003E-2</v>
      </c>
      <c r="BF226">
        <v>1</v>
      </c>
      <c r="BG226" t="s">
        <v>69</v>
      </c>
      <c r="BH226">
        <v>-1.0309999999999999</v>
      </c>
      <c r="BI226">
        <v>-1.119</v>
      </c>
    </row>
    <row r="227" spans="3:61">
      <c r="C227">
        <v>0</v>
      </c>
      <c r="D227">
        <v>4</v>
      </c>
      <c r="E227">
        <v>0</v>
      </c>
      <c r="F227" t="s">
        <v>25021</v>
      </c>
      <c r="G227">
        <v>1961</v>
      </c>
      <c r="H227" t="s">
        <v>12289</v>
      </c>
      <c r="I227" t="s">
        <v>57</v>
      </c>
      <c r="J227">
        <v>2057214</v>
      </c>
      <c r="K227">
        <v>2057576</v>
      </c>
      <c r="L227" t="s">
        <v>12290</v>
      </c>
      <c r="M227">
        <v>121</v>
      </c>
      <c r="N227" t="s">
        <v>12291</v>
      </c>
      <c r="O227">
        <v>27</v>
      </c>
      <c r="P227" t="str">
        <f>HYPERLINK("Gene1961-zp_tree_all.dnd", "Gene1961-tree")</f>
        <v>Gene1961-tree</v>
      </c>
      <c r="Q227">
        <v>1</v>
      </c>
      <c r="R227">
        <v>24</v>
      </c>
      <c r="S227">
        <v>1</v>
      </c>
      <c r="T227">
        <v>5</v>
      </c>
      <c r="U227">
        <v>0.83333000000000002</v>
      </c>
      <c r="V227" t="s">
        <v>175</v>
      </c>
      <c r="W227" t="s">
        <v>2668</v>
      </c>
      <c r="X227">
        <v>2.4790000000000001</v>
      </c>
      <c r="Y227" t="s">
        <v>267</v>
      </c>
      <c r="Z227">
        <v>2</v>
      </c>
      <c r="AA227">
        <v>4</v>
      </c>
      <c r="AB227">
        <v>10</v>
      </c>
      <c r="AC227">
        <v>0.28571000000000002</v>
      </c>
      <c r="AD227" s="47">
        <v>0</v>
      </c>
      <c r="AE227" s="47">
        <v>0</v>
      </c>
      <c r="AF227" s="47">
        <v>0</v>
      </c>
      <c r="AG227" s="47">
        <v>0</v>
      </c>
      <c r="AH227" s="47">
        <v>0</v>
      </c>
      <c r="AI227" s="47">
        <v>2</v>
      </c>
      <c r="AJ227" s="47">
        <v>0</v>
      </c>
      <c r="AK227" s="47">
        <v>2</v>
      </c>
      <c r="AL227">
        <v>9</v>
      </c>
      <c r="AM227">
        <v>0.18182000000000001</v>
      </c>
      <c r="AN227">
        <v>5</v>
      </c>
      <c r="AO227">
        <v>3</v>
      </c>
      <c r="AP227">
        <v>8</v>
      </c>
      <c r="AQ227">
        <v>7</v>
      </c>
      <c r="AR227">
        <v>5</v>
      </c>
      <c r="AS227">
        <v>7</v>
      </c>
      <c r="AT227" t="s">
        <v>12292</v>
      </c>
      <c r="AU227" t="s">
        <v>12293</v>
      </c>
      <c r="AV227">
        <v>0.64700000000000002</v>
      </c>
      <c r="AW227" t="s">
        <v>65</v>
      </c>
      <c r="AX227">
        <v>13</v>
      </c>
      <c r="AY227">
        <v>14</v>
      </c>
      <c r="AZ227" t="s">
        <v>12294</v>
      </c>
      <c r="BA227">
        <v>7.1309999999999998E-2</v>
      </c>
      <c r="BB227">
        <v>-9.2099999999999994E-3</v>
      </c>
      <c r="BC227">
        <v>1.9570000000000001E-2</v>
      </c>
      <c r="BD227">
        <v>-2.0999999999999999E-3</v>
      </c>
      <c r="BE227">
        <v>0.27445000000000003</v>
      </c>
      <c r="BF227">
        <v>1</v>
      </c>
      <c r="BG227" t="s">
        <v>69</v>
      </c>
      <c r="BH227">
        <v>-0.38600000000000001</v>
      </c>
      <c r="BI227">
        <v>0.58499999999999996</v>
      </c>
    </row>
    <row r="228" spans="3:61">
      <c r="C228">
        <v>0</v>
      </c>
      <c r="D228">
        <v>2</v>
      </c>
      <c r="E228">
        <v>0</v>
      </c>
      <c r="F228" t="s">
        <v>25021</v>
      </c>
      <c r="G228">
        <v>4099</v>
      </c>
      <c r="H228" t="s">
        <v>24137</v>
      </c>
      <c r="I228" t="s">
        <v>57</v>
      </c>
      <c r="J228">
        <v>4065597</v>
      </c>
      <c r="K228">
        <v>4065959</v>
      </c>
      <c r="L228" t="s">
        <v>17007</v>
      </c>
      <c r="M228">
        <v>121</v>
      </c>
      <c r="N228" t="s">
        <v>749</v>
      </c>
      <c r="O228">
        <v>47</v>
      </c>
      <c r="P228" t="str">
        <f>HYPERLINK("Gene4099-zp_tree_all.dnd", "Gene4099-tree")</f>
        <v>Gene4099-tree</v>
      </c>
      <c r="Q228">
        <v>10</v>
      </c>
      <c r="R228">
        <v>3</v>
      </c>
      <c r="S228">
        <v>10</v>
      </c>
      <c r="T228">
        <v>3</v>
      </c>
      <c r="U228">
        <v>0.23077</v>
      </c>
      <c r="V228" t="s">
        <v>117</v>
      </c>
      <c r="W228" t="s">
        <v>324</v>
      </c>
      <c r="X228" t="s">
        <v>62</v>
      </c>
      <c r="Y228" t="s">
        <v>62</v>
      </c>
      <c r="Z228">
        <v>1</v>
      </c>
      <c r="AA228">
        <v>2</v>
      </c>
      <c r="AB228">
        <v>5</v>
      </c>
      <c r="AC228">
        <v>0.28571000000000002</v>
      </c>
      <c r="AD228" s="47">
        <v>0</v>
      </c>
      <c r="AE228" s="47">
        <v>0</v>
      </c>
      <c r="AF228" s="47">
        <v>0</v>
      </c>
      <c r="AG228" s="47">
        <v>2</v>
      </c>
      <c r="AH228" s="47">
        <v>0</v>
      </c>
      <c r="AI228" s="47">
        <v>0</v>
      </c>
      <c r="AJ228" s="47">
        <v>0</v>
      </c>
      <c r="AK228" s="47">
        <v>0</v>
      </c>
      <c r="AL228">
        <v>5</v>
      </c>
      <c r="AM228">
        <v>0</v>
      </c>
      <c r="AN228">
        <v>9</v>
      </c>
      <c r="AO228">
        <v>8</v>
      </c>
      <c r="AP228">
        <v>26</v>
      </c>
      <c r="AQ228">
        <v>5</v>
      </c>
      <c r="AR228">
        <v>17</v>
      </c>
      <c r="AS228">
        <v>2</v>
      </c>
      <c r="AT228" t="s">
        <v>24138</v>
      </c>
      <c r="AU228" t="s">
        <v>24139</v>
      </c>
      <c r="AV228">
        <v>0.19700000000000001</v>
      </c>
      <c r="AW228" t="s">
        <v>65</v>
      </c>
      <c r="AX228">
        <v>43</v>
      </c>
      <c r="AY228">
        <v>7</v>
      </c>
      <c r="AZ228" t="s">
        <v>24140</v>
      </c>
      <c r="BA228">
        <v>0.1089</v>
      </c>
      <c r="BB228">
        <v>-8.09E-3</v>
      </c>
      <c r="BC228">
        <v>5.13E-3</v>
      </c>
      <c r="BD228">
        <v>-4.2999999999999999E-4</v>
      </c>
      <c r="BE228">
        <v>4.7140000000000001E-2</v>
      </c>
      <c r="BF228">
        <v>1</v>
      </c>
      <c r="BG228" t="s">
        <v>69</v>
      </c>
      <c r="BH228">
        <v>-1.4630000000000001</v>
      </c>
      <c r="BI228">
        <v>-2.8380000000000001</v>
      </c>
    </row>
    <row r="229" spans="3:61">
      <c r="C229">
        <v>0</v>
      </c>
      <c r="D229">
        <v>0</v>
      </c>
      <c r="E229">
        <v>0</v>
      </c>
      <c r="F229" t="s">
        <v>25021</v>
      </c>
      <c r="G229">
        <v>789</v>
      </c>
      <c r="H229" t="s">
        <v>4904</v>
      </c>
      <c r="I229" t="s">
        <v>62</v>
      </c>
      <c r="J229">
        <v>826846</v>
      </c>
      <c r="K229">
        <v>827211</v>
      </c>
      <c r="L229" t="s">
        <v>288</v>
      </c>
      <c r="M229">
        <v>122</v>
      </c>
      <c r="N229" t="s">
        <v>1933</v>
      </c>
      <c r="O229">
        <v>39</v>
      </c>
      <c r="P229" t="str">
        <f>HYPERLINK("Gene789-zp_tree_all.dnd", "Gene789-tree")</f>
        <v>Gene789-tree</v>
      </c>
      <c r="Q229">
        <v>32</v>
      </c>
      <c r="R229">
        <v>3</v>
      </c>
      <c r="S229">
        <v>2</v>
      </c>
      <c r="T229">
        <v>3</v>
      </c>
      <c r="U229">
        <v>0.6</v>
      </c>
      <c r="V229" t="s">
        <v>4905</v>
      </c>
      <c r="W229" t="s">
        <v>324</v>
      </c>
      <c r="X229" t="s">
        <v>62</v>
      </c>
      <c r="Y229" t="s">
        <v>62</v>
      </c>
      <c r="Z229">
        <v>0</v>
      </c>
      <c r="AA229">
        <v>0</v>
      </c>
      <c r="AB229">
        <v>3</v>
      </c>
      <c r="AC229">
        <v>0</v>
      </c>
      <c r="AD229" s="47">
        <v>0</v>
      </c>
      <c r="AE229" s="47">
        <v>0</v>
      </c>
      <c r="AF229" s="47">
        <v>0</v>
      </c>
      <c r="AG229" s="47">
        <v>0</v>
      </c>
      <c r="AH229" s="47">
        <v>0</v>
      </c>
      <c r="AI229" s="47">
        <v>0</v>
      </c>
      <c r="AJ229" s="47">
        <v>0</v>
      </c>
      <c r="AK229" s="47">
        <v>0</v>
      </c>
      <c r="AL229">
        <v>3</v>
      </c>
      <c r="AM229">
        <v>0</v>
      </c>
      <c r="AN229">
        <v>4</v>
      </c>
      <c r="AO229">
        <v>0</v>
      </c>
      <c r="AP229">
        <v>4</v>
      </c>
      <c r="AQ229">
        <v>3</v>
      </c>
      <c r="AR229">
        <v>0</v>
      </c>
      <c r="AS229">
        <v>0</v>
      </c>
      <c r="AT229" t="s">
        <v>4906</v>
      </c>
      <c r="AU229" t="s">
        <v>193</v>
      </c>
      <c r="AV229">
        <v>2.387</v>
      </c>
      <c r="AW229" t="s">
        <v>267</v>
      </c>
      <c r="AX229">
        <v>4</v>
      </c>
      <c r="AY229">
        <v>3</v>
      </c>
      <c r="AZ229" t="s">
        <v>4907</v>
      </c>
      <c r="BA229">
        <v>2.104E-2</v>
      </c>
      <c r="BB229">
        <v>-3.8500000000000001E-3</v>
      </c>
      <c r="BC229">
        <v>4.1700000000000001E-3</v>
      </c>
      <c r="BD229">
        <v>-6.6E-4</v>
      </c>
      <c r="BE229">
        <v>0.19833000000000001</v>
      </c>
      <c r="BF229">
        <v>0.96299999999999997</v>
      </c>
      <c r="BG229" t="s">
        <v>69</v>
      </c>
      <c r="BH229">
        <v>-1.704</v>
      </c>
      <c r="BI229">
        <v>-0.96299999999999997</v>
      </c>
    </row>
    <row r="230" spans="3:61">
      <c r="C230">
        <v>0</v>
      </c>
      <c r="D230">
        <v>0</v>
      </c>
      <c r="E230">
        <v>0</v>
      </c>
      <c r="F230" t="s">
        <v>25021</v>
      </c>
      <c r="G230">
        <v>2807</v>
      </c>
      <c r="H230" t="s">
        <v>16099</v>
      </c>
      <c r="I230" t="s">
        <v>57</v>
      </c>
      <c r="J230">
        <v>2753065</v>
      </c>
      <c r="K230">
        <v>2753430</v>
      </c>
      <c r="L230" t="s">
        <v>5691</v>
      </c>
      <c r="M230">
        <v>122</v>
      </c>
      <c r="N230" t="s">
        <v>5762</v>
      </c>
      <c r="O230">
        <v>43</v>
      </c>
      <c r="P230" t="str">
        <f>HYPERLINK("Gene2807-zp_tree_all.dnd", "Gene2807-tree")</f>
        <v>Gene2807-tree</v>
      </c>
      <c r="Q230">
        <v>12</v>
      </c>
      <c r="R230">
        <v>0</v>
      </c>
      <c r="S230">
        <v>12</v>
      </c>
      <c r="T230">
        <v>0</v>
      </c>
      <c r="U230">
        <v>0</v>
      </c>
      <c r="V230" t="s">
        <v>109</v>
      </c>
      <c r="W230" t="s">
        <v>62</v>
      </c>
      <c r="X230" t="s">
        <v>62</v>
      </c>
      <c r="Y230" t="s">
        <v>62</v>
      </c>
      <c r="Z230">
        <v>0</v>
      </c>
      <c r="AA230">
        <v>0</v>
      </c>
      <c r="AB230">
        <v>1</v>
      </c>
      <c r="AC230">
        <v>0</v>
      </c>
      <c r="AD230" s="47">
        <v>0</v>
      </c>
      <c r="AE230" s="47">
        <v>0</v>
      </c>
      <c r="AF230" s="47">
        <v>0</v>
      </c>
      <c r="AG230" s="47">
        <v>1</v>
      </c>
      <c r="AH230" s="47">
        <v>0</v>
      </c>
      <c r="AI230" s="47">
        <v>0</v>
      </c>
      <c r="AJ230" s="47">
        <v>0</v>
      </c>
      <c r="AK230" s="47">
        <v>0</v>
      </c>
      <c r="AL230">
        <v>0</v>
      </c>
      <c r="AM230">
        <v>0</v>
      </c>
      <c r="AN230">
        <v>6</v>
      </c>
      <c r="AO230">
        <v>6</v>
      </c>
      <c r="AP230">
        <v>11</v>
      </c>
      <c r="AQ230">
        <v>0</v>
      </c>
      <c r="AR230">
        <v>11</v>
      </c>
      <c r="AS230">
        <v>2</v>
      </c>
      <c r="AT230" t="s">
        <v>193</v>
      </c>
      <c r="AU230" t="s">
        <v>16100</v>
      </c>
      <c r="AV230">
        <v>0.44900000000000001</v>
      </c>
      <c r="AW230" t="s">
        <v>65</v>
      </c>
      <c r="AX230">
        <v>22</v>
      </c>
      <c r="AY230">
        <v>2</v>
      </c>
      <c r="AZ230" t="s">
        <v>16101</v>
      </c>
      <c r="BA230">
        <v>6.157E-2</v>
      </c>
      <c r="BB230">
        <v>-3.4399999999999999E-3</v>
      </c>
      <c r="BC230">
        <v>2.8600000000000001E-3</v>
      </c>
      <c r="BD230">
        <v>-3.8999999999999999E-4</v>
      </c>
      <c r="BE230">
        <v>4.6539999999999998E-2</v>
      </c>
      <c r="BF230">
        <v>1</v>
      </c>
      <c r="BG230" t="s">
        <v>69</v>
      </c>
      <c r="BH230">
        <v>0.376</v>
      </c>
      <c r="BI230">
        <v>0.24199999999999999</v>
      </c>
    </row>
    <row r="231" spans="3:61">
      <c r="C231">
        <v>0</v>
      </c>
      <c r="D231">
        <v>0</v>
      </c>
      <c r="E231">
        <v>0</v>
      </c>
      <c r="F231" t="s">
        <v>25021</v>
      </c>
      <c r="G231">
        <v>1918</v>
      </c>
      <c r="H231" t="s">
        <v>12016</v>
      </c>
      <c r="I231" t="s">
        <v>62</v>
      </c>
      <c r="J231">
        <v>2017889</v>
      </c>
      <c r="K231">
        <v>2018254</v>
      </c>
      <c r="L231" t="s">
        <v>12017</v>
      </c>
      <c r="M231">
        <v>122</v>
      </c>
      <c r="N231" t="s">
        <v>108</v>
      </c>
      <c r="O231">
        <v>44</v>
      </c>
      <c r="P231" t="str">
        <f>HYPERLINK("Gene1918-zp_tree_all.dnd", "Gene1918-tree")</f>
        <v>Gene1918-tree</v>
      </c>
      <c r="Q231">
        <v>8</v>
      </c>
      <c r="R231">
        <v>0</v>
      </c>
      <c r="S231">
        <v>8</v>
      </c>
      <c r="T231">
        <v>0</v>
      </c>
      <c r="U231">
        <v>0</v>
      </c>
      <c r="V231" t="s">
        <v>136</v>
      </c>
      <c r="W231" t="s">
        <v>62</v>
      </c>
      <c r="X231" t="s">
        <v>62</v>
      </c>
      <c r="Y231" t="s">
        <v>62</v>
      </c>
      <c r="Z231">
        <v>0</v>
      </c>
      <c r="AA231">
        <v>0</v>
      </c>
      <c r="AB231">
        <v>0</v>
      </c>
      <c r="AC231">
        <v>0</v>
      </c>
      <c r="AD231" s="47">
        <v>0</v>
      </c>
      <c r="AE231" s="47">
        <v>0</v>
      </c>
      <c r="AF231" s="47">
        <v>0</v>
      </c>
      <c r="AG231" s="47">
        <v>0</v>
      </c>
      <c r="AH231" s="47">
        <v>0</v>
      </c>
      <c r="AI231" s="47">
        <v>0</v>
      </c>
      <c r="AJ231" s="47">
        <v>0</v>
      </c>
      <c r="AK231" s="47">
        <v>0</v>
      </c>
      <c r="AL231">
        <v>0</v>
      </c>
      <c r="AM231">
        <v>0</v>
      </c>
      <c r="AN231">
        <v>5</v>
      </c>
      <c r="AO231">
        <v>2</v>
      </c>
      <c r="AP231">
        <v>7</v>
      </c>
      <c r="AQ231">
        <v>0</v>
      </c>
      <c r="AR231">
        <v>2</v>
      </c>
      <c r="AS231">
        <v>0</v>
      </c>
      <c r="AT231" t="s">
        <v>193</v>
      </c>
      <c r="AU231" t="s">
        <v>193</v>
      </c>
      <c r="AV231">
        <v>0</v>
      </c>
      <c r="AW231" t="s">
        <v>65</v>
      </c>
      <c r="AX231">
        <v>9</v>
      </c>
      <c r="AY231">
        <v>0</v>
      </c>
      <c r="AZ231" t="s">
        <v>12018</v>
      </c>
      <c r="BA231">
        <v>3.5290000000000002E-2</v>
      </c>
      <c r="BB231">
        <v>-3.0599999999999998E-3</v>
      </c>
      <c r="BC231">
        <v>0</v>
      </c>
      <c r="BD231">
        <v>0</v>
      </c>
      <c r="BE231">
        <v>0</v>
      </c>
      <c r="BF231">
        <v>1</v>
      </c>
      <c r="BG231" t="s">
        <v>69</v>
      </c>
      <c r="BH231">
        <v>-1.1479999999999999</v>
      </c>
      <c r="BI231">
        <v>7.4999999999999997E-2</v>
      </c>
    </row>
    <row r="232" spans="3:61">
      <c r="C232">
        <v>0</v>
      </c>
      <c r="D232">
        <v>0</v>
      </c>
      <c r="E232">
        <v>0</v>
      </c>
      <c r="F232" t="s">
        <v>25021</v>
      </c>
      <c r="G232">
        <v>1521</v>
      </c>
      <c r="H232" t="s">
        <v>9504</v>
      </c>
      <c r="I232" t="s">
        <v>62</v>
      </c>
      <c r="J232">
        <v>1533330</v>
      </c>
      <c r="K232">
        <v>1533701</v>
      </c>
      <c r="L232" t="s">
        <v>9505</v>
      </c>
      <c r="M232">
        <v>124</v>
      </c>
      <c r="N232" t="s">
        <v>59</v>
      </c>
      <c r="O232">
        <v>49</v>
      </c>
      <c r="P232" t="str">
        <f>HYPERLINK("Gene1521-zp_tree_all.dnd", "Gene1521-tree")</f>
        <v>Gene1521-tree</v>
      </c>
      <c r="Q232">
        <v>44</v>
      </c>
      <c r="R232">
        <v>3</v>
      </c>
      <c r="S232">
        <v>7</v>
      </c>
      <c r="T232">
        <v>3</v>
      </c>
      <c r="U232">
        <v>0.3</v>
      </c>
      <c r="V232" t="s">
        <v>9506</v>
      </c>
      <c r="W232" t="s">
        <v>324</v>
      </c>
      <c r="X232" t="s">
        <v>62</v>
      </c>
      <c r="Y232" t="s">
        <v>62</v>
      </c>
      <c r="Z232">
        <v>0</v>
      </c>
      <c r="AA232">
        <v>0</v>
      </c>
      <c r="AB232">
        <v>8</v>
      </c>
      <c r="AC232">
        <v>0</v>
      </c>
      <c r="AD232" s="47">
        <v>0</v>
      </c>
      <c r="AE232" s="47">
        <v>0</v>
      </c>
      <c r="AF232" s="47">
        <v>0</v>
      </c>
      <c r="AG232" s="47">
        <v>2</v>
      </c>
      <c r="AH232" s="47">
        <v>0</v>
      </c>
      <c r="AI232" s="47">
        <v>0</v>
      </c>
      <c r="AJ232" s="47">
        <v>0</v>
      </c>
      <c r="AK232" s="47">
        <v>0</v>
      </c>
      <c r="AL232">
        <v>5</v>
      </c>
      <c r="AM232">
        <v>0</v>
      </c>
      <c r="AN232">
        <v>9</v>
      </c>
      <c r="AO232">
        <v>3</v>
      </c>
      <c r="AP232">
        <v>13</v>
      </c>
      <c r="AQ232">
        <v>5</v>
      </c>
      <c r="AR232">
        <v>13</v>
      </c>
      <c r="AS232">
        <v>3</v>
      </c>
      <c r="AT232" t="s">
        <v>9507</v>
      </c>
      <c r="AU232" t="s">
        <v>9508</v>
      </c>
      <c r="AV232">
        <v>0.33300000000000002</v>
      </c>
      <c r="AW232" t="s">
        <v>65</v>
      </c>
      <c r="AX232">
        <v>26</v>
      </c>
      <c r="AY232">
        <v>8</v>
      </c>
      <c r="AZ232" t="s">
        <v>9509</v>
      </c>
      <c r="BA232">
        <v>0.10748000000000001</v>
      </c>
      <c r="BB232">
        <v>-9.6799999999999994E-3</v>
      </c>
      <c r="BC232">
        <v>8.3400000000000002E-3</v>
      </c>
      <c r="BD232">
        <v>-1.0399999999999999E-3</v>
      </c>
      <c r="BE232">
        <v>7.7630000000000005E-2</v>
      </c>
      <c r="BF232">
        <v>1</v>
      </c>
      <c r="BG232" t="s">
        <v>69</v>
      </c>
      <c r="BH232">
        <v>-2.032</v>
      </c>
      <c r="BI232">
        <v>-1.3380000000000001</v>
      </c>
    </row>
    <row r="233" spans="3:61">
      <c r="C233">
        <v>0</v>
      </c>
      <c r="D233">
        <v>5</v>
      </c>
      <c r="E233">
        <v>0</v>
      </c>
      <c r="F233" t="s">
        <v>25021</v>
      </c>
      <c r="G233">
        <v>3285</v>
      </c>
      <c r="H233" t="s">
        <v>19172</v>
      </c>
      <c r="I233" t="s">
        <v>57</v>
      </c>
      <c r="J233">
        <v>3251992</v>
      </c>
      <c r="K233">
        <v>3252363</v>
      </c>
      <c r="L233" t="s">
        <v>19161</v>
      </c>
      <c r="M233">
        <v>124</v>
      </c>
      <c r="N233" t="s">
        <v>108</v>
      </c>
      <c r="O233">
        <v>44</v>
      </c>
      <c r="P233" t="str">
        <f>HYPERLINK("Gene3285-zp_tree_all.dnd", "Gene3285-tree")</f>
        <v>Gene3285-tree</v>
      </c>
      <c r="Q233">
        <v>12</v>
      </c>
      <c r="R233">
        <v>3</v>
      </c>
      <c r="S233">
        <v>12</v>
      </c>
      <c r="T233">
        <v>3</v>
      </c>
      <c r="U233">
        <v>0.2</v>
      </c>
      <c r="V233" t="s">
        <v>109</v>
      </c>
      <c r="W233" t="s">
        <v>324</v>
      </c>
      <c r="X233" t="s">
        <v>62</v>
      </c>
      <c r="Y233" t="s">
        <v>62</v>
      </c>
      <c r="Z233">
        <v>2</v>
      </c>
      <c r="AA233">
        <v>5</v>
      </c>
      <c r="AB233">
        <v>1</v>
      </c>
      <c r="AC233">
        <v>0.83333000000000002</v>
      </c>
      <c r="AD233" s="47">
        <v>0</v>
      </c>
      <c r="AE233" s="47">
        <v>0</v>
      </c>
      <c r="AF233" s="47">
        <v>0</v>
      </c>
      <c r="AG233" s="47">
        <v>0</v>
      </c>
      <c r="AH233" s="47">
        <v>0</v>
      </c>
      <c r="AI233" s="47">
        <v>2</v>
      </c>
      <c r="AJ233" s="47">
        <v>0</v>
      </c>
      <c r="AK233" s="47">
        <v>2</v>
      </c>
      <c r="AL233">
        <v>2</v>
      </c>
      <c r="AM233">
        <v>0.5</v>
      </c>
      <c r="AN233">
        <v>12</v>
      </c>
      <c r="AO233">
        <v>8</v>
      </c>
      <c r="AP233">
        <v>19</v>
      </c>
      <c r="AQ233">
        <v>4</v>
      </c>
      <c r="AR233">
        <v>8</v>
      </c>
      <c r="AS233">
        <v>2</v>
      </c>
      <c r="AT233" t="s">
        <v>19173</v>
      </c>
      <c r="AU233" t="s">
        <v>19174</v>
      </c>
      <c r="AV233">
        <v>0.108</v>
      </c>
      <c r="AW233" t="s">
        <v>65</v>
      </c>
      <c r="AX233">
        <v>27</v>
      </c>
      <c r="AY233">
        <v>6</v>
      </c>
      <c r="AZ233" t="s">
        <v>19175</v>
      </c>
      <c r="BA233">
        <v>5.6160000000000002E-2</v>
      </c>
      <c r="BB233">
        <v>-2.2100000000000002E-3</v>
      </c>
      <c r="BC233">
        <v>3.8700000000000002E-3</v>
      </c>
      <c r="BD233">
        <v>-2.9E-4</v>
      </c>
      <c r="BE233">
        <v>6.8860000000000005E-2</v>
      </c>
      <c r="BF233">
        <v>1</v>
      </c>
      <c r="BG233" t="s">
        <v>69</v>
      </c>
      <c r="BH233">
        <v>0.34300000000000003</v>
      </c>
      <c r="BI233">
        <v>0.60599999999999998</v>
      </c>
    </row>
    <row r="234" spans="3:61">
      <c r="C234">
        <v>0</v>
      </c>
      <c r="D234">
        <v>2</v>
      </c>
      <c r="E234">
        <v>0</v>
      </c>
      <c r="F234" t="s">
        <v>25021</v>
      </c>
      <c r="G234">
        <v>1291</v>
      </c>
      <c r="H234" t="s">
        <v>8098</v>
      </c>
      <c r="I234" t="s">
        <v>62</v>
      </c>
      <c r="J234">
        <v>1318531</v>
      </c>
      <c r="K234">
        <v>1318905</v>
      </c>
      <c r="L234" t="s">
        <v>8099</v>
      </c>
      <c r="M234">
        <v>125</v>
      </c>
      <c r="N234" t="s">
        <v>8100</v>
      </c>
      <c r="O234">
        <v>32</v>
      </c>
      <c r="P234" t="str">
        <f>HYPERLINK("Gene1291-zp_tree_all.dnd", "Gene1291-tree")</f>
        <v>Gene1291-tree</v>
      </c>
      <c r="Q234">
        <v>3</v>
      </c>
      <c r="R234">
        <v>5</v>
      </c>
      <c r="S234">
        <v>3</v>
      </c>
      <c r="T234">
        <v>5</v>
      </c>
      <c r="U234">
        <v>0.625</v>
      </c>
      <c r="V234" t="s">
        <v>324</v>
      </c>
      <c r="W234" t="s">
        <v>199</v>
      </c>
      <c r="X234" t="s">
        <v>62</v>
      </c>
      <c r="Y234" t="s">
        <v>62</v>
      </c>
      <c r="Z234">
        <v>1</v>
      </c>
      <c r="AA234">
        <v>2</v>
      </c>
      <c r="AB234">
        <v>4</v>
      </c>
      <c r="AC234">
        <v>0.33333000000000002</v>
      </c>
      <c r="AD234" s="47">
        <v>0</v>
      </c>
      <c r="AE234" s="47">
        <v>0</v>
      </c>
      <c r="AF234" s="47">
        <v>0</v>
      </c>
      <c r="AG234" s="47">
        <v>0</v>
      </c>
      <c r="AH234" s="47">
        <v>0</v>
      </c>
      <c r="AI234" s="47">
        <v>0</v>
      </c>
      <c r="AJ234" s="47">
        <v>0</v>
      </c>
      <c r="AK234" s="47">
        <v>0</v>
      </c>
      <c r="AL234">
        <v>4</v>
      </c>
      <c r="AM234">
        <v>0</v>
      </c>
      <c r="AN234">
        <v>7</v>
      </c>
      <c r="AO234">
        <v>5</v>
      </c>
      <c r="AP234">
        <v>18</v>
      </c>
      <c r="AQ234">
        <v>4</v>
      </c>
      <c r="AR234">
        <v>16</v>
      </c>
      <c r="AS234">
        <v>2</v>
      </c>
      <c r="AT234" t="s">
        <v>8101</v>
      </c>
      <c r="AU234" t="s">
        <v>8102</v>
      </c>
      <c r="AV234">
        <v>0.626</v>
      </c>
      <c r="AW234" t="s">
        <v>65</v>
      </c>
      <c r="AX234">
        <v>34</v>
      </c>
      <c r="AY234">
        <v>6</v>
      </c>
      <c r="AZ234" t="s">
        <v>8103</v>
      </c>
      <c r="BA234">
        <v>0.12938</v>
      </c>
      <c r="BB234">
        <v>-1.2579999999999999E-2</v>
      </c>
      <c r="BC234">
        <v>5.96E-3</v>
      </c>
      <c r="BD234">
        <v>-6.3000000000000003E-4</v>
      </c>
      <c r="BE234">
        <v>4.6080000000000003E-2</v>
      </c>
      <c r="BF234">
        <v>1</v>
      </c>
      <c r="BG234" t="s">
        <v>69</v>
      </c>
      <c r="BH234">
        <v>-0.54500000000000004</v>
      </c>
      <c r="BI234">
        <v>0.33500000000000002</v>
      </c>
    </row>
    <row r="235" spans="3:61">
      <c r="C235">
        <v>0</v>
      </c>
      <c r="D235">
        <v>0</v>
      </c>
      <c r="E235">
        <v>0</v>
      </c>
      <c r="F235" t="s">
        <v>25021</v>
      </c>
      <c r="G235">
        <v>3974</v>
      </c>
      <c r="H235" t="s">
        <v>23353</v>
      </c>
      <c r="I235" t="s">
        <v>57</v>
      </c>
      <c r="J235">
        <v>3937135</v>
      </c>
      <c r="K235">
        <v>3937512</v>
      </c>
      <c r="L235" t="s">
        <v>23354</v>
      </c>
      <c r="M235">
        <v>126</v>
      </c>
      <c r="N235" t="s">
        <v>11485</v>
      </c>
      <c r="O235">
        <v>43</v>
      </c>
      <c r="P235" t="str">
        <f>HYPERLINK("Gene3974-zp_tree_all.dnd", "Gene3974-tree")</f>
        <v>Gene3974-tree</v>
      </c>
      <c r="Q235">
        <v>7</v>
      </c>
      <c r="R235">
        <v>3</v>
      </c>
      <c r="S235">
        <v>7</v>
      </c>
      <c r="T235">
        <v>3</v>
      </c>
      <c r="U235">
        <v>0.3</v>
      </c>
      <c r="V235" t="s">
        <v>152</v>
      </c>
      <c r="W235" t="s">
        <v>324</v>
      </c>
      <c r="X235" t="s">
        <v>62</v>
      </c>
      <c r="Y235" t="s">
        <v>62</v>
      </c>
      <c r="Z235">
        <v>0</v>
      </c>
      <c r="AA235">
        <v>0</v>
      </c>
      <c r="AB235">
        <v>5</v>
      </c>
      <c r="AC235">
        <v>0</v>
      </c>
      <c r="AD235" s="47">
        <v>0</v>
      </c>
      <c r="AE235" s="47">
        <v>0</v>
      </c>
      <c r="AF235" s="47">
        <v>0</v>
      </c>
      <c r="AG235" s="47">
        <v>1</v>
      </c>
      <c r="AH235" s="47">
        <v>0</v>
      </c>
      <c r="AI235" s="47">
        <v>0</v>
      </c>
      <c r="AJ235" s="47">
        <v>0</v>
      </c>
      <c r="AK235" s="47">
        <v>0</v>
      </c>
      <c r="AL235">
        <v>3</v>
      </c>
      <c r="AM235">
        <v>0</v>
      </c>
      <c r="AN235">
        <v>8</v>
      </c>
      <c r="AO235">
        <v>4</v>
      </c>
      <c r="AP235">
        <v>22</v>
      </c>
      <c r="AQ235">
        <v>3</v>
      </c>
      <c r="AR235">
        <v>8</v>
      </c>
      <c r="AS235">
        <v>2</v>
      </c>
      <c r="AT235" t="s">
        <v>23355</v>
      </c>
      <c r="AU235" t="s">
        <v>23356</v>
      </c>
      <c r="AV235">
        <v>0.48899999999999999</v>
      </c>
      <c r="AW235" t="s">
        <v>65</v>
      </c>
      <c r="AX235">
        <v>30</v>
      </c>
      <c r="AY235">
        <v>5</v>
      </c>
      <c r="AZ235" t="s">
        <v>23357</v>
      </c>
      <c r="BA235">
        <v>9.0200000000000002E-2</v>
      </c>
      <c r="BB235">
        <v>-9.8700000000000003E-3</v>
      </c>
      <c r="BC235">
        <v>5.1900000000000002E-3</v>
      </c>
      <c r="BD235">
        <v>-4.4000000000000002E-4</v>
      </c>
      <c r="BE235">
        <v>5.7529999999999998E-2</v>
      </c>
      <c r="BF235">
        <v>1</v>
      </c>
      <c r="BG235" t="s">
        <v>69</v>
      </c>
      <c r="BH235">
        <v>-0.57199999999999995</v>
      </c>
      <c r="BI235">
        <v>-2.2509999999999999</v>
      </c>
    </row>
    <row r="236" spans="3:61">
      <c r="C236">
        <v>0</v>
      </c>
      <c r="D236">
        <v>0</v>
      </c>
      <c r="E236">
        <v>0</v>
      </c>
      <c r="F236" t="s">
        <v>25021</v>
      </c>
      <c r="G236">
        <v>2556</v>
      </c>
      <c r="H236" t="s">
        <v>14941</v>
      </c>
      <c r="I236" t="s">
        <v>57</v>
      </c>
      <c r="J236">
        <v>2544995</v>
      </c>
      <c r="K236">
        <v>2545372</v>
      </c>
      <c r="L236" t="s">
        <v>14942</v>
      </c>
      <c r="M236">
        <v>126</v>
      </c>
      <c r="N236" t="s">
        <v>409</v>
      </c>
      <c r="O236">
        <v>45</v>
      </c>
      <c r="P236" t="str">
        <f>HYPERLINK("Gene2556-zp_tree_all.dnd", "Gene2556-tree")</f>
        <v>Gene2556-tree</v>
      </c>
      <c r="Q236">
        <v>7</v>
      </c>
      <c r="R236">
        <v>1</v>
      </c>
      <c r="S236">
        <v>7</v>
      </c>
      <c r="T236">
        <v>1</v>
      </c>
      <c r="U236">
        <v>0.125</v>
      </c>
      <c r="V236" t="s">
        <v>152</v>
      </c>
      <c r="W236" t="s">
        <v>175</v>
      </c>
      <c r="X236" t="s">
        <v>62</v>
      </c>
      <c r="Y236" t="s">
        <v>62</v>
      </c>
      <c r="Z236">
        <v>0</v>
      </c>
      <c r="AA236">
        <v>0</v>
      </c>
      <c r="AB236">
        <v>2</v>
      </c>
      <c r="AC236">
        <v>0</v>
      </c>
      <c r="AD236" s="47">
        <v>0</v>
      </c>
      <c r="AE236" s="47">
        <v>0</v>
      </c>
      <c r="AF236" s="47">
        <v>0</v>
      </c>
      <c r="AG236" s="47">
        <v>1</v>
      </c>
      <c r="AH236" s="47">
        <v>0</v>
      </c>
      <c r="AI236" s="47">
        <v>0</v>
      </c>
      <c r="AJ236" s="47">
        <v>0</v>
      </c>
      <c r="AK236" s="47">
        <v>0</v>
      </c>
      <c r="AL236">
        <v>1</v>
      </c>
      <c r="AM236">
        <v>0</v>
      </c>
      <c r="AN236">
        <v>5</v>
      </c>
      <c r="AO236">
        <v>3</v>
      </c>
      <c r="AP236">
        <v>16</v>
      </c>
      <c r="AQ236">
        <v>1</v>
      </c>
      <c r="AR236">
        <v>3</v>
      </c>
      <c r="AS236">
        <v>1</v>
      </c>
      <c r="AT236" t="s">
        <v>14943</v>
      </c>
      <c r="AU236" t="s">
        <v>14944</v>
      </c>
      <c r="AV236">
        <v>0.66200000000000003</v>
      </c>
      <c r="AW236" t="s">
        <v>65</v>
      </c>
      <c r="AX236">
        <v>19</v>
      </c>
      <c r="AY236">
        <v>2</v>
      </c>
      <c r="AZ236" t="s">
        <v>14945</v>
      </c>
      <c r="BA236">
        <v>7.1609999999999993E-2</v>
      </c>
      <c r="BB236">
        <v>-1.308E-2</v>
      </c>
      <c r="BC236">
        <v>2.7000000000000001E-3</v>
      </c>
      <c r="BD236">
        <v>-4.6999999999999999E-4</v>
      </c>
      <c r="BE236">
        <v>3.7719999999999997E-2</v>
      </c>
      <c r="BF236">
        <v>1</v>
      </c>
      <c r="BG236" t="s">
        <v>69</v>
      </c>
      <c r="BH236">
        <v>-1.5249999999999999</v>
      </c>
      <c r="BI236">
        <v>-2.7879999999999998</v>
      </c>
    </row>
    <row r="237" spans="3:61">
      <c r="C237">
        <v>0</v>
      </c>
      <c r="D237">
        <v>3</v>
      </c>
      <c r="E237">
        <v>0</v>
      </c>
      <c r="F237" t="s">
        <v>25021</v>
      </c>
      <c r="G237">
        <v>272</v>
      </c>
      <c r="H237" t="s">
        <v>1855</v>
      </c>
      <c r="I237" t="s">
        <v>62</v>
      </c>
      <c r="J237">
        <v>292884</v>
      </c>
      <c r="K237">
        <v>293264</v>
      </c>
      <c r="L237" t="s">
        <v>1856</v>
      </c>
      <c r="M237">
        <v>127</v>
      </c>
      <c r="N237" t="s">
        <v>1857</v>
      </c>
      <c r="O237">
        <v>42</v>
      </c>
      <c r="P237" t="str">
        <f>HYPERLINK("Gene272-zp_tree_all.dnd", "Gene272-tree")</f>
        <v>Gene272-tree</v>
      </c>
      <c r="Q237">
        <v>9</v>
      </c>
      <c r="R237">
        <v>2</v>
      </c>
      <c r="S237">
        <v>9</v>
      </c>
      <c r="T237">
        <v>2</v>
      </c>
      <c r="U237">
        <v>0.18182000000000001</v>
      </c>
      <c r="V237" t="s">
        <v>135</v>
      </c>
      <c r="W237" t="s">
        <v>81</v>
      </c>
      <c r="X237" t="s">
        <v>62</v>
      </c>
      <c r="Y237" t="s">
        <v>62</v>
      </c>
      <c r="Z237">
        <v>1</v>
      </c>
      <c r="AA237">
        <v>3</v>
      </c>
      <c r="AB237">
        <v>7</v>
      </c>
      <c r="AC237">
        <v>0.3</v>
      </c>
      <c r="AD237" s="47">
        <v>0</v>
      </c>
      <c r="AE237" s="47">
        <v>0</v>
      </c>
      <c r="AF237" s="47">
        <v>0</v>
      </c>
      <c r="AG237" s="47">
        <v>4</v>
      </c>
      <c r="AH237" s="47">
        <v>0</v>
      </c>
      <c r="AI237" s="47">
        <v>0</v>
      </c>
      <c r="AJ237" s="47">
        <v>0</v>
      </c>
      <c r="AK237" s="47">
        <v>0</v>
      </c>
      <c r="AL237">
        <v>4</v>
      </c>
      <c r="AM237">
        <v>0</v>
      </c>
      <c r="AN237">
        <v>7</v>
      </c>
      <c r="AO237">
        <v>6</v>
      </c>
      <c r="AP237">
        <v>9</v>
      </c>
      <c r="AQ237">
        <v>4</v>
      </c>
      <c r="AR237">
        <v>15</v>
      </c>
      <c r="AS237">
        <v>6</v>
      </c>
      <c r="AT237" t="s">
        <v>1858</v>
      </c>
      <c r="AU237" t="s">
        <v>1859</v>
      </c>
      <c r="AV237">
        <v>8.2000000000000003E-2</v>
      </c>
      <c r="AW237" t="s">
        <v>65</v>
      </c>
      <c r="AX237">
        <v>24</v>
      </c>
      <c r="AY237">
        <v>10</v>
      </c>
      <c r="AZ237" t="s">
        <v>1860</v>
      </c>
      <c r="BA237">
        <v>9.4009999999999996E-2</v>
      </c>
      <c r="BB237">
        <v>-7.6299999999999996E-3</v>
      </c>
      <c r="BC237">
        <v>1.1639999999999999E-2</v>
      </c>
      <c r="BD237">
        <v>-1.0399999999999999E-3</v>
      </c>
      <c r="BE237">
        <v>0.12383</v>
      </c>
      <c r="BF237">
        <v>1</v>
      </c>
      <c r="BG237" t="s">
        <v>69</v>
      </c>
      <c r="BH237">
        <v>0.79500000000000004</v>
      </c>
      <c r="BI237">
        <v>0.71099999999999997</v>
      </c>
    </row>
    <row r="238" spans="3:61">
      <c r="C238">
        <v>0</v>
      </c>
      <c r="D238">
        <v>0</v>
      </c>
      <c r="E238">
        <v>0</v>
      </c>
      <c r="F238" t="s">
        <v>25021</v>
      </c>
      <c r="G238">
        <v>3795</v>
      </c>
      <c r="H238" t="s">
        <v>22235</v>
      </c>
      <c r="I238" t="s">
        <v>57</v>
      </c>
      <c r="J238">
        <v>3765051</v>
      </c>
      <c r="K238">
        <v>3765431</v>
      </c>
      <c r="L238" t="s">
        <v>3095</v>
      </c>
      <c r="M238">
        <v>127</v>
      </c>
      <c r="N238" t="s">
        <v>749</v>
      </c>
      <c r="O238">
        <v>47</v>
      </c>
      <c r="P238" t="str">
        <f>HYPERLINK("Gene3795-zp_tree_all.dnd", "Gene3795-tree")</f>
        <v>Gene3795-tree</v>
      </c>
      <c r="Q238">
        <v>7</v>
      </c>
      <c r="R238">
        <v>1</v>
      </c>
      <c r="S238">
        <v>7</v>
      </c>
      <c r="T238">
        <v>1</v>
      </c>
      <c r="U238">
        <v>0.125</v>
      </c>
      <c r="V238" t="s">
        <v>152</v>
      </c>
      <c r="W238" t="s">
        <v>175</v>
      </c>
      <c r="X238" t="s">
        <v>62</v>
      </c>
      <c r="Y238" t="s">
        <v>62</v>
      </c>
      <c r="Z238">
        <v>0</v>
      </c>
      <c r="AA238">
        <v>0</v>
      </c>
      <c r="AB238">
        <v>4</v>
      </c>
      <c r="AC238">
        <v>0</v>
      </c>
      <c r="AD238" s="47">
        <v>0</v>
      </c>
      <c r="AE238" s="47">
        <v>0</v>
      </c>
      <c r="AF238" s="47">
        <v>0</v>
      </c>
      <c r="AG238" s="47">
        <v>1</v>
      </c>
      <c r="AH238" s="47">
        <v>0</v>
      </c>
      <c r="AI238" s="47">
        <v>0</v>
      </c>
      <c r="AJ238" s="47">
        <v>0</v>
      </c>
      <c r="AK238" s="47">
        <v>0</v>
      </c>
      <c r="AL238">
        <v>2</v>
      </c>
      <c r="AM238">
        <v>0</v>
      </c>
      <c r="AN238">
        <v>6</v>
      </c>
      <c r="AO238">
        <v>3</v>
      </c>
      <c r="AP238">
        <v>11</v>
      </c>
      <c r="AQ238">
        <v>2</v>
      </c>
      <c r="AR238">
        <v>16</v>
      </c>
      <c r="AS238">
        <v>2</v>
      </c>
      <c r="AT238" t="s">
        <v>22236</v>
      </c>
      <c r="AU238" t="s">
        <v>22237</v>
      </c>
      <c r="AV238">
        <v>0.13500000000000001</v>
      </c>
      <c r="AW238" t="s">
        <v>65</v>
      </c>
      <c r="AX238">
        <v>27</v>
      </c>
      <c r="AY238">
        <v>4</v>
      </c>
      <c r="AZ238" t="s">
        <v>22238</v>
      </c>
      <c r="BA238">
        <v>0.14391999999999999</v>
      </c>
      <c r="BB238">
        <v>-2.0389999999999998E-2</v>
      </c>
      <c r="BC238">
        <v>6.1999999999999998E-3</v>
      </c>
      <c r="BD238">
        <v>-1.01E-3</v>
      </c>
      <c r="BE238">
        <v>4.3090000000000003E-2</v>
      </c>
      <c r="BF238">
        <v>1</v>
      </c>
      <c r="BG238" t="s">
        <v>69</v>
      </c>
      <c r="BH238">
        <v>-1.8140000000000001</v>
      </c>
      <c r="BI238">
        <v>-1.157</v>
      </c>
    </row>
    <row r="239" spans="3:61">
      <c r="C239">
        <v>0</v>
      </c>
      <c r="D239">
        <v>0</v>
      </c>
      <c r="E239">
        <v>0</v>
      </c>
      <c r="F239" t="s">
        <v>25021</v>
      </c>
      <c r="G239">
        <v>541</v>
      </c>
      <c r="H239" t="s">
        <v>3491</v>
      </c>
      <c r="I239" t="s">
        <v>62</v>
      </c>
      <c r="J239">
        <v>575715</v>
      </c>
      <c r="K239">
        <v>576098</v>
      </c>
      <c r="L239" t="s">
        <v>637</v>
      </c>
      <c r="M239">
        <v>128</v>
      </c>
      <c r="N239" t="s">
        <v>3492</v>
      </c>
      <c r="O239">
        <v>31</v>
      </c>
      <c r="P239" t="str">
        <f>HYPERLINK("Gene541-zp_tree_all.dnd", "Gene541-tree")</f>
        <v>Gene541-tree</v>
      </c>
      <c r="Q239">
        <v>2</v>
      </c>
      <c r="R239">
        <v>2</v>
      </c>
      <c r="S239">
        <v>2</v>
      </c>
      <c r="T239">
        <v>2</v>
      </c>
      <c r="U239">
        <v>0.5</v>
      </c>
      <c r="V239" t="s">
        <v>81</v>
      </c>
      <c r="W239" t="s">
        <v>81</v>
      </c>
      <c r="X239" t="s">
        <v>62</v>
      </c>
      <c r="Y239" t="s">
        <v>62</v>
      </c>
      <c r="Z239">
        <v>0</v>
      </c>
      <c r="AA239">
        <v>0</v>
      </c>
      <c r="AB239">
        <v>2</v>
      </c>
      <c r="AC239">
        <v>0</v>
      </c>
      <c r="AD239" s="47">
        <v>0</v>
      </c>
      <c r="AE239" s="47">
        <v>0</v>
      </c>
      <c r="AF239" s="47">
        <v>0</v>
      </c>
      <c r="AG239" s="47">
        <v>0</v>
      </c>
      <c r="AH239" s="47">
        <v>0</v>
      </c>
      <c r="AI239" s="47">
        <v>0</v>
      </c>
      <c r="AJ239" s="47">
        <v>0</v>
      </c>
      <c r="AK239" s="47">
        <v>0</v>
      </c>
      <c r="AL239">
        <v>2</v>
      </c>
      <c r="AM239">
        <v>0</v>
      </c>
      <c r="AN239">
        <v>3</v>
      </c>
      <c r="AO239">
        <v>0</v>
      </c>
      <c r="AP239">
        <v>1</v>
      </c>
      <c r="AQ239">
        <v>2</v>
      </c>
      <c r="AR239">
        <v>0</v>
      </c>
      <c r="AS239">
        <v>0</v>
      </c>
      <c r="AT239" t="s">
        <v>3493</v>
      </c>
      <c r="AU239" t="s">
        <v>193</v>
      </c>
      <c r="AV239">
        <v>0.69299999999999995</v>
      </c>
      <c r="AW239" t="s">
        <v>65</v>
      </c>
      <c r="AX239">
        <v>1</v>
      </c>
      <c r="AY239">
        <v>2</v>
      </c>
      <c r="AZ239" t="s">
        <v>3494</v>
      </c>
      <c r="BA239">
        <v>5.9500000000000004E-3</v>
      </c>
      <c r="BB239">
        <v>-2.2200000000000002E-3</v>
      </c>
      <c r="BC239">
        <v>3.3500000000000001E-3</v>
      </c>
      <c r="BD239">
        <v>-7.9000000000000001E-4</v>
      </c>
      <c r="BE239">
        <v>0.56362999999999996</v>
      </c>
      <c r="BF239">
        <v>0.45800000000000002</v>
      </c>
      <c r="BG239" t="s">
        <v>635</v>
      </c>
      <c r="BH239">
        <v>-1.7310000000000001</v>
      </c>
      <c r="BI239">
        <v>-2.7109999999999999</v>
      </c>
    </row>
    <row r="240" spans="3:61">
      <c r="C240">
        <v>0</v>
      </c>
      <c r="D240">
        <v>7</v>
      </c>
      <c r="E240">
        <v>3</v>
      </c>
      <c r="F240" t="s">
        <v>25021</v>
      </c>
      <c r="G240">
        <v>3265</v>
      </c>
      <c r="H240" t="s">
        <v>19039</v>
      </c>
      <c r="I240" t="s">
        <v>57</v>
      </c>
      <c r="J240">
        <v>3231399</v>
      </c>
      <c r="K240">
        <v>3231782</v>
      </c>
      <c r="L240" t="s">
        <v>19040</v>
      </c>
      <c r="M240">
        <v>128</v>
      </c>
      <c r="N240" t="s">
        <v>72</v>
      </c>
      <c r="O240">
        <v>45</v>
      </c>
      <c r="P240" t="str">
        <f>HYPERLINK("Gene3265-zp_tree_all.dnd", "Gene3265-tree")</f>
        <v>Gene3265-tree</v>
      </c>
      <c r="Q240">
        <v>4</v>
      </c>
      <c r="R240">
        <v>9</v>
      </c>
      <c r="S240">
        <v>4</v>
      </c>
      <c r="T240">
        <v>9</v>
      </c>
      <c r="U240">
        <v>0.69230999999999998</v>
      </c>
      <c r="V240" t="s">
        <v>61</v>
      </c>
      <c r="W240" t="s">
        <v>135</v>
      </c>
      <c r="X240" t="s">
        <v>62</v>
      </c>
      <c r="Y240" t="s">
        <v>62</v>
      </c>
      <c r="Z240">
        <v>4</v>
      </c>
      <c r="AA240">
        <v>10</v>
      </c>
      <c r="AB240">
        <v>9</v>
      </c>
      <c r="AC240">
        <v>0.52632000000000001</v>
      </c>
      <c r="AD240" s="47">
        <v>0</v>
      </c>
      <c r="AE240" s="47">
        <v>0</v>
      </c>
      <c r="AF240" s="47">
        <v>0</v>
      </c>
      <c r="AG240" s="47">
        <v>1</v>
      </c>
      <c r="AH240" s="47">
        <v>0</v>
      </c>
      <c r="AI240" s="47">
        <v>7</v>
      </c>
      <c r="AJ240" s="47">
        <v>3</v>
      </c>
      <c r="AK240" s="47">
        <v>10</v>
      </c>
      <c r="AL240">
        <v>6</v>
      </c>
      <c r="AM240">
        <v>0.625</v>
      </c>
      <c r="AN240">
        <v>10</v>
      </c>
      <c r="AO240">
        <v>8</v>
      </c>
      <c r="AP240">
        <v>29</v>
      </c>
      <c r="AQ240">
        <v>14</v>
      </c>
      <c r="AR240">
        <v>9</v>
      </c>
      <c r="AS240">
        <v>5</v>
      </c>
      <c r="AT240" t="s">
        <v>19041</v>
      </c>
      <c r="AU240" t="s">
        <v>19042</v>
      </c>
      <c r="AV240">
        <v>0.189</v>
      </c>
      <c r="AW240" t="s">
        <v>65</v>
      </c>
      <c r="AX240">
        <v>38</v>
      </c>
      <c r="AY240">
        <v>19</v>
      </c>
      <c r="AZ240" t="s">
        <v>19043</v>
      </c>
      <c r="BA240">
        <v>7.1830000000000005E-2</v>
      </c>
      <c r="BB240">
        <v>-5.5599999999999998E-3</v>
      </c>
      <c r="BC240">
        <v>1.1140000000000001E-2</v>
      </c>
      <c r="BD240">
        <v>-6.8000000000000005E-4</v>
      </c>
      <c r="BE240">
        <v>0.15508</v>
      </c>
      <c r="BF240">
        <v>1</v>
      </c>
      <c r="BG240" t="s">
        <v>69</v>
      </c>
      <c r="BH240">
        <v>-1.36</v>
      </c>
      <c r="BI240">
        <v>-2.56</v>
      </c>
    </row>
    <row r="241" spans="3:61">
      <c r="C241">
        <v>0</v>
      </c>
      <c r="D241">
        <v>0</v>
      </c>
      <c r="E241">
        <v>2</v>
      </c>
      <c r="F241" t="s">
        <v>25021</v>
      </c>
      <c r="G241">
        <v>3837</v>
      </c>
      <c r="H241" t="s">
        <v>22498</v>
      </c>
      <c r="I241" t="s">
        <v>57</v>
      </c>
      <c r="J241">
        <v>3798281</v>
      </c>
      <c r="K241">
        <v>3798664</v>
      </c>
      <c r="L241" t="s">
        <v>1340</v>
      </c>
      <c r="M241">
        <v>128</v>
      </c>
      <c r="N241" t="s">
        <v>22465</v>
      </c>
      <c r="O241">
        <v>43</v>
      </c>
      <c r="P241" t="str">
        <f>HYPERLINK("Gene3837-zp_tree_all.dnd", "Gene3837-tree")</f>
        <v>Gene3837-tree</v>
      </c>
      <c r="Q241">
        <v>24</v>
      </c>
      <c r="R241">
        <v>5</v>
      </c>
      <c r="S241">
        <v>5</v>
      </c>
      <c r="T241">
        <v>5</v>
      </c>
      <c r="U241">
        <v>0.5</v>
      </c>
      <c r="V241" t="s">
        <v>2668</v>
      </c>
      <c r="W241" t="s">
        <v>199</v>
      </c>
      <c r="X241" t="s">
        <v>62</v>
      </c>
      <c r="Y241" t="s">
        <v>62</v>
      </c>
      <c r="Z241">
        <v>1</v>
      </c>
      <c r="AA241">
        <v>2</v>
      </c>
      <c r="AB241">
        <v>5</v>
      </c>
      <c r="AC241">
        <v>0.28571000000000002</v>
      </c>
      <c r="AD241" s="47">
        <v>0</v>
      </c>
      <c r="AE241" s="47">
        <v>0</v>
      </c>
      <c r="AF241" s="47">
        <v>0</v>
      </c>
      <c r="AG241" s="47">
        <v>1</v>
      </c>
      <c r="AH241" s="47">
        <v>0</v>
      </c>
      <c r="AI241" s="47">
        <v>0</v>
      </c>
      <c r="AJ241" s="47">
        <v>0</v>
      </c>
      <c r="AK241" s="47">
        <v>0</v>
      </c>
      <c r="AL241">
        <v>6</v>
      </c>
      <c r="AM241">
        <v>0</v>
      </c>
      <c r="AN241">
        <v>7</v>
      </c>
      <c r="AO241">
        <v>4</v>
      </c>
      <c r="AP241">
        <v>7</v>
      </c>
      <c r="AQ241">
        <v>5</v>
      </c>
      <c r="AR241">
        <v>7</v>
      </c>
      <c r="AS241">
        <v>2</v>
      </c>
      <c r="AT241" t="s">
        <v>22499</v>
      </c>
      <c r="AU241" t="s">
        <v>22500</v>
      </c>
      <c r="AV241">
        <v>0.82799999999999996</v>
      </c>
      <c r="AW241" t="s">
        <v>65</v>
      </c>
      <c r="AX241">
        <v>14</v>
      </c>
      <c r="AY241">
        <v>7</v>
      </c>
      <c r="AZ241" t="s">
        <v>22501</v>
      </c>
      <c r="BA241">
        <v>4.351E-2</v>
      </c>
      <c r="BB241">
        <v>-2.6700000000000001E-3</v>
      </c>
      <c r="BC241">
        <v>6.6899999999999998E-3</v>
      </c>
      <c r="BD241">
        <v>-6.2E-4</v>
      </c>
      <c r="BE241">
        <v>0.15382999999999999</v>
      </c>
      <c r="BF241">
        <v>1</v>
      </c>
      <c r="BG241" t="s">
        <v>69</v>
      </c>
      <c r="BH241">
        <v>-1.1459999999999999</v>
      </c>
      <c r="BI241">
        <v>-1.0509999999999999</v>
      </c>
    </row>
    <row r="242" spans="3:61">
      <c r="C242">
        <v>0</v>
      </c>
      <c r="D242">
        <v>4</v>
      </c>
      <c r="E242">
        <v>2</v>
      </c>
      <c r="F242" t="s">
        <v>25021</v>
      </c>
      <c r="G242">
        <v>1216</v>
      </c>
      <c r="H242" t="s">
        <v>7646</v>
      </c>
      <c r="I242" t="s">
        <v>62</v>
      </c>
      <c r="J242">
        <v>1251634</v>
      </c>
      <c r="K242">
        <v>1252017</v>
      </c>
      <c r="L242" t="s">
        <v>7645</v>
      </c>
      <c r="M242">
        <v>128</v>
      </c>
      <c r="N242" t="s">
        <v>7647</v>
      </c>
      <c r="O242">
        <v>31</v>
      </c>
      <c r="P242" t="str">
        <f>HYPERLINK("Gene1216-zp_tree_all.dnd", "Gene1216-tree")</f>
        <v>Gene1216-tree</v>
      </c>
      <c r="Q242">
        <v>3</v>
      </c>
      <c r="R242">
        <v>3</v>
      </c>
      <c r="S242">
        <v>3</v>
      </c>
      <c r="T242">
        <v>3</v>
      </c>
      <c r="U242">
        <v>0.5</v>
      </c>
      <c r="V242" t="s">
        <v>324</v>
      </c>
      <c r="W242" t="s">
        <v>324</v>
      </c>
      <c r="X242" t="s">
        <v>62</v>
      </c>
      <c r="Y242" t="s">
        <v>62</v>
      </c>
      <c r="Z242">
        <v>3</v>
      </c>
      <c r="AA242">
        <v>6</v>
      </c>
      <c r="AB242">
        <v>6</v>
      </c>
      <c r="AC242">
        <v>0.5</v>
      </c>
      <c r="AD242" s="47">
        <v>0</v>
      </c>
      <c r="AE242" s="47">
        <v>0</v>
      </c>
      <c r="AF242" s="47">
        <v>0</v>
      </c>
      <c r="AG242" s="47">
        <v>0</v>
      </c>
      <c r="AH242" s="47">
        <v>0</v>
      </c>
      <c r="AI242" s="47">
        <v>0</v>
      </c>
      <c r="AJ242" s="47">
        <v>0</v>
      </c>
      <c r="AK242" s="47">
        <v>0</v>
      </c>
      <c r="AL242">
        <v>7</v>
      </c>
      <c r="AM242">
        <v>0</v>
      </c>
      <c r="AN242">
        <v>5</v>
      </c>
      <c r="AO242">
        <v>3</v>
      </c>
      <c r="AP242">
        <v>19</v>
      </c>
      <c r="AQ242">
        <v>9</v>
      </c>
      <c r="AR242">
        <v>10</v>
      </c>
      <c r="AS242">
        <v>5</v>
      </c>
      <c r="AT242" t="s">
        <v>7648</v>
      </c>
      <c r="AU242" t="s">
        <v>7649</v>
      </c>
      <c r="AV242">
        <v>0.08</v>
      </c>
      <c r="AW242" t="s">
        <v>65</v>
      </c>
      <c r="AX242">
        <v>29</v>
      </c>
      <c r="AY242">
        <v>14</v>
      </c>
      <c r="AZ242" t="s">
        <v>7650</v>
      </c>
      <c r="BA242">
        <v>0.13564999999999999</v>
      </c>
      <c r="BB242">
        <v>-1.7639999999999999E-2</v>
      </c>
      <c r="BC242">
        <v>1.5959999999999998E-2</v>
      </c>
      <c r="BD242">
        <v>-2.2499999999999998E-3</v>
      </c>
      <c r="BE242">
        <v>0.11768000000000001</v>
      </c>
      <c r="BF242">
        <v>1</v>
      </c>
      <c r="BG242" t="s">
        <v>69</v>
      </c>
      <c r="BH242">
        <v>0.13700000000000001</v>
      </c>
      <c r="BI242">
        <v>1.379</v>
      </c>
    </row>
    <row r="243" spans="3:61">
      <c r="C243">
        <v>0</v>
      </c>
      <c r="D243">
        <v>0</v>
      </c>
      <c r="E243">
        <v>0</v>
      </c>
      <c r="F243" t="s">
        <v>25021</v>
      </c>
      <c r="G243">
        <v>3969</v>
      </c>
      <c r="H243" t="s">
        <v>23326</v>
      </c>
      <c r="I243" t="s">
        <v>57</v>
      </c>
      <c r="J243">
        <v>3933209</v>
      </c>
      <c r="K243">
        <v>3933592</v>
      </c>
      <c r="L243" t="s">
        <v>23327</v>
      </c>
      <c r="M243">
        <v>128</v>
      </c>
      <c r="N243" t="s">
        <v>59</v>
      </c>
      <c r="O243">
        <v>49</v>
      </c>
      <c r="P243" t="str">
        <f>HYPERLINK("Gene3969-zp_tree_all.dnd", "Gene3969-tree")</f>
        <v>Gene3969-tree</v>
      </c>
      <c r="Q243">
        <v>28</v>
      </c>
      <c r="R243">
        <v>3</v>
      </c>
      <c r="S243">
        <v>10</v>
      </c>
      <c r="T243">
        <v>3</v>
      </c>
      <c r="U243">
        <v>0.23077</v>
      </c>
      <c r="V243" t="s">
        <v>7613</v>
      </c>
      <c r="W243" t="s">
        <v>324</v>
      </c>
      <c r="X243" t="s">
        <v>62</v>
      </c>
      <c r="Y243" t="s">
        <v>62</v>
      </c>
      <c r="Z243">
        <v>0</v>
      </c>
      <c r="AA243">
        <v>0</v>
      </c>
      <c r="AB243">
        <v>4</v>
      </c>
      <c r="AC243">
        <v>0</v>
      </c>
      <c r="AD243" s="47">
        <v>0</v>
      </c>
      <c r="AE243" s="47">
        <v>0</v>
      </c>
      <c r="AF243" s="47">
        <v>0</v>
      </c>
      <c r="AG243" s="47">
        <v>0</v>
      </c>
      <c r="AH243" s="47">
        <v>0</v>
      </c>
      <c r="AI243" s="47">
        <v>0</v>
      </c>
      <c r="AJ243" s="47">
        <v>0</v>
      </c>
      <c r="AK243" s="47">
        <v>0</v>
      </c>
      <c r="AL243">
        <v>3</v>
      </c>
      <c r="AM243">
        <v>0</v>
      </c>
      <c r="AN243">
        <v>9</v>
      </c>
      <c r="AO243">
        <v>7</v>
      </c>
      <c r="AP243">
        <v>15</v>
      </c>
      <c r="AQ243">
        <v>2</v>
      </c>
      <c r="AR243">
        <v>16</v>
      </c>
      <c r="AS243">
        <v>2</v>
      </c>
      <c r="AT243" t="s">
        <v>23328</v>
      </c>
      <c r="AU243" t="s">
        <v>23329</v>
      </c>
      <c r="AV243">
        <v>4.2999999999999997E-2</v>
      </c>
      <c r="AW243" t="s">
        <v>65</v>
      </c>
      <c r="AX243">
        <v>31</v>
      </c>
      <c r="AY243">
        <v>4</v>
      </c>
      <c r="AZ243" t="s">
        <v>23330</v>
      </c>
      <c r="BA243">
        <v>7.1279999999999996E-2</v>
      </c>
      <c r="BB243">
        <v>-4.81E-3</v>
      </c>
      <c r="BC243">
        <v>4.4000000000000003E-3</v>
      </c>
      <c r="BD243">
        <v>-3.5E-4</v>
      </c>
      <c r="BE243">
        <v>6.1789999999999998E-2</v>
      </c>
      <c r="BF243">
        <v>1</v>
      </c>
      <c r="BG243" t="s">
        <v>69</v>
      </c>
      <c r="BH243">
        <v>-0.32800000000000001</v>
      </c>
      <c r="BI243">
        <v>0.99399999999999999</v>
      </c>
    </row>
    <row r="244" spans="3:61">
      <c r="C244">
        <v>0</v>
      </c>
      <c r="D244">
        <v>2</v>
      </c>
      <c r="E244">
        <v>0</v>
      </c>
      <c r="F244" t="s">
        <v>25021</v>
      </c>
      <c r="G244">
        <v>3300</v>
      </c>
      <c r="H244" t="s">
        <v>19259</v>
      </c>
      <c r="I244" t="s">
        <v>57</v>
      </c>
      <c r="J244">
        <v>3263835</v>
      </c>
      <c r="K244">
        <v>3264221</v>
      </c>
      <c r="L244" t="s">
        <v>116</v>
      </c>
      <c r="M244">
        <v>129</v>
      </c>
      <c r="N244" t="s">
        <v>1196</v>
      </c>
      <c r="O244">
        <v>39</v>
      </c>
      <c r="P244" t="str">
        <f>HYPERLINK("Gene3300-zp_tree_all.dnd", "Gene3300-tree")</f>
        <v>Gene3300-tree</v>
      </c>
      <c r="Q244">
        <v>4</v>
      </c>
      <c r="R244">
        <v>8</v>
      </c>
      <c r="S244">
        <v>4</v>
      </c>
      <c r="T244">
        <v>8</v>
      </c>
      <c r="U244">
        <v>0.66666999999999998</v>
      </c>
      <c r="V244" t="s">
        <v>61</v>
      </c>
      <c r="W244" t="s">
        <v>136</v>
      </c>
      <c r="X244" t="s">
        <v>62</v>
      </c>
      <c r="Y244" t="s">
        <v>62</v>
      </c>
      <c r="Z244">
        <v>1</v>
      </c>
      <c r="AA244">
        <v>2</v>
      </c>
      <c r="AB244">
        <v>16</v>
      </c>
      <c r="AC244">
        <v>0.11111</v>
      </c>
      <c r="AD244" s="47">
        <v>0</v>
      </c>
      <c r="AE244" s="47">
        <v>0</v>
      </c>
      <c r="AF244" s="47">
        <v>0</v>
      </c>
      <c r="AG244" s="47">
        <v>0</v>
      </c>
      <c r="AH244" s="47">
        <v>0</v>
      </c>
      <c r="AI244" s="47">
        <v>2</v>
      </c>
      <c r="AJ244" s="47">
        <v>0</v>
      </c>
      <c r="AK244" s="47">
        <v>2</v>
      </c>
      <c r="AL244">
        <v>13</v>
      </c>
      <c r="AM244">
        <v>0.13333</v>
      </c>
      <c r="AN244">
        <v>9</v>
      </c>
      <c r="AO244">
        <v>6</v>
      </c>
      <c r="AP244">
        <v>9</v>
      </c>
      <c r="AQ244">
        <v>9</v>
      </c>
      <c r="AR244">
        <v>12</v>
      </c>
      <c r="AS244">
        <v>10</v>
      </c>
      <c r="AT244" t="s">
        <v>19260</v>
      </c>
      <c r="AU244" t="s">
        <v>19261</v>
      </c>
      <c r="AV244">
        <v>0.183</v>
      </c>
      <c r="AW244" t="s">
        <v>65</v>
      </c>
      <c r="AX244">
        <v>21</v>
      </c>
      <c r="AY244">
        <v>19</v>
      </c>
      <c r="AZ244" t="s">
        <v>19262</v>
      </c>
      <c r="BA244">
        <v>5.0990000000000001E-2</v>
      </c>
      <c r="BB244">
        <v>-3.8600000000000001E-3</v>
      </c>
      <c r="BC244">
        <v>1.8540000000000001E-2</v>
      </c>
      <c r="BD244">
        <v>-1.66E-3</v>
      </c>
      <c r="BE244">
        <v>0.36362</v>
      </c>
      <c r="BF244">
        <v>0.97</v>
      </c>
      <c r="BG244" t="s">
        <v>69</v>
      </c>
      <c r="BH244">
        <v>-1.2849999999999999</v>
      </c>
      <c r="BI244">
        <v>-0.82399999999999995</v>
      </c>
    </row>
    <row r="245" spans="3:61">
      <c r="C245">
        <v>0</v>
      </c>
      <c r="D245">
        <v>2</v>
      </c>
      <c r="E245">
        <v>0</v>
      </c>
      <c r="F245" t="s">
        <v>25021</v>
      </c>
      <c r="G245">
        <v>2033</v>
      </c>
      <c r="H245" t="s">
        <v>12654</v>
      </c>
      <c r="I245" t="s">
        <v>57</v>
      </c>
      <c r="J245">
        <v>2126549</v>
      </c>
      <c r="K245">
        <v>2126935</v>
      </c>
      <c r="L245" t="s">
        <v>12655</v>
      </c>
      <c r="M245">
        <v>129</v>
      </c>
      <c r="N245" t="s">
        <v>108</v>
      </c>
      <c r="O245">
        <v>44</v>
      </c>
      <c r="P245" t="str">
        <f>HYPERLINK("Gene2033-zp_tree_all.dnd", "Gene2033-tree")</f>
        <v>Gene2033-tree</v>
      </c>
      <c r="Q245">
        <v>8</v>
      </c>
      <c r="R245">
        <v>4</v>
      </c>
      <c r="S245">
        <v>8</v>
      </c>
      <c r="T245">
        <v>4</v>
      </c>
      <c r="U245">
        <v>0.33333000000000002</v>
      </c>
      <c r="V245" t="s">
        <v>136</v>
      </c>
      <c r="W245" t="s">
        <v>61</v>
      </c>
      <c r="X245" t="s">
        <v>62</v>
      </c>
      <c r="Y245" t="s">
        <v>62</v>
      </c>
      <c r="Z245">
        <v>1</v>
      </c>
      <c r="AA245">
        <v>2</v>
      </c>
      <c r="AB245">
        <v>7</v>
      </c>
      <c r="AC245">
        <v>0.22222</v>
      </c>
      <c r="AD245" s="47">
        <v>0</v>
      </c>
      <c r="AE245" s="47">
        <v>0</v>
      </c>
      <c r="AF245" s="47">
        <v>0</v>
      </c>
      <c r="AG245" s="47">
        <v>1</v>
      </c>
      <c r="AH245" s="47">
        <v>0</v>
      </c>
      <c r="AI245" s="47">
        <v>0</v>
      </c>
      <c r="AJ245" s="47">
        <v>0</v>
      </c>
      <c r="AK245" s="47">
        <v>0</v>
      </c>
      <c r="AL245">
        <v>8</v>
      </c>
      <c r="AM245">
        <v>0</v>
      </c>
      <c r="AN245">
        <v>6</v>
      </c>
      <c r="AO245">
        <v>5</v>
      </c>
      <c r="AP245">
        <v>8</v>
      </c>
      <c r="AQ245">
        <v>8</v>
      </c>
      <c r="AR245">
        <v>6</v>
      </c>
      <c r="AS245">
        <v>1</v>
      </c>
      <c r="AT245" t="s">
        <v>12656</v>
      </c>
      <c r="AU245" t="s">
        <v>12657</v>
      </c>
      <c r="AV245">
        <v>0.71899999999999997</v>
      </c>
      <c r="AW245" t="s">
        <v>65</v>
      </c>
      <c r="AX245">
        <v>14</v>
      </c>
      <c r="AY245">
        <v>9</v>
      </c>
      <c r="AZ245" t="s">
        <v>12658</v>
      </c>
      <c r="BA245">
        <v>4.2430000000000002E-2</v>
      </c>
      <c r="BB245">
        <v>-2.7299999999999998E-3</v>
      </c>
      <c r="BC245">
        <v>5.62E-3</v>
      </c>
      <c r="BD245">
        <v>-6.7000000000000002E-4</v>
      </c>
      <c r="BE245">
        <v>0.13245999999999999</v>
      </c>
      <c r="BF245">
        <v>1</v>
      </c>
      <c r="BG245" t="s">
        <v>69</v>
      </c>
      <c r="BH245">
        <v>0.82399999999999995</v>
      </c>
      <c r="BI245">
        <v>0.17399999999999999</v>
      </c>
    </row>
    <row r="246" spans="3:61">
      <c r="C246">
        <v>0</v>
      </c>
      <c r="D246">
        <v>0</v>
      </c>
      <c r="E246">
        <v>4</v>
      </c>
      <c r="F246" t="s">
        <v>25021</v>
      </c>
      <c r="G246">
        <v>1863</v>
      </c>
      <c r="H246" t="s">
        <v>11671</v>
      </c>
      <c r="I246" t="s">
        <v>62</v>
      </c>
      <c r="J246">
        <v>1925658</v>
      </c>
      <c r="K246">
        <v>1926047</v>
      </c>
      <c r="L246" t="s">
        <v>11506</v>
      </c>
      <c r="M246">
        <v>130</v>
      </c>
      <c r="N246" t="s">
        <v>2220</v>
      </c>
      <c r="O246">
        <v>46</v>
      </c>
      <c r="P246" t="str">
        <f>HYPERLINK("Gene1863-zp_tree_all.dnd", "Gene1863-tree")</f>
        <v>Gene1863-tree</v>
      </c>
      <c r="Q246">
        <v>6</v>
      </c>
      <c r="R246">
        <v>25</v>
      </c>
      <c r="S246">
        <v>6</v>
      </c>
      <c r="T246">
        <v>5</v>
      </c>
      <c r="U246">
        <v>0.45455000000000001</v>
      </c>
      <c r="V246" t="s">
        <v>90</v>
      </c>
      <c r="W246" t="s">
        <v>4839</v>
      </c>
      <c r="X246">
        <v>4.6479999999999997</v>
      </c>
      <c r="Y246" t="s">
        <v>65</v>
      </c>
      <c r="Z246">
        <v>2</v>
      </c>
      <c r="AA246">
        <v>4</v>
      </c>
      <c r="AB246">
        <v>5</v>
      </c>
      <c r="AC246">
        <v>0.44444</v>
      </c>
      <c r="AD246" s="47">
        <v>0</v>
      </c>
      <c r="AE246" s="47">
        <v>0</v>
      </c>
      <c r="AF246" s="47">
        <v>0</v>
      </c>
      <c r="AG246" s="47">
        <v>1</v>
      </c>
      <c r="AH246" s="47">
        <v>0</v>
      </c>
      <c r="AI246" s="47">
        <v>0</v>
      </c>
      <c r="AJ246" s="47">
        <v>0</v>
      </c>
      <c r="AK246" s="47">
        <v>0</v>
      </c>
      <c r="AL246">
        <v>6</v>
      </c>
      <c r="AM246">
        <v>0</v>
      </c>
      <c r="AN246">
        <v>8</v>
      </c>
      <c r="AO246">
        <v>4</v>
      </c>
      <c r="AP246">
        <v>12</v>
      </c>
      <c r="AQ246">
        <v>5</v>
      </c>
      <c r="AR246">
        <v>13</v>
      </c>
      <c r="AS246">
        <v>4</v>
      </c>
      <c r="AT246" t="s">
        <v>11672</v>
      </c>
      <c r="AU246" t="s">
        <v>11673</v>
      </c>
      <c r="AV246">
        <v>0.26</v>
      </c>
      <c r="AW246" t="s">
        <v>65</v>
      </c>
      <c r="AX246">
        <v>25</v>
      </c>
      <c r="AY246">
        <v>9</v>
      </c>
      <c r="AZ246" t="s">
        <v>11674</v>
      </c>
      <c r="BA246">
        <v>9.221E-2</v>
      </c>
      <c r="BB246">
        <v>-1.269E-2</v>
      </c>
      <c r="BC246">
        <v>7.5300000000000002E-3</v>
      </c>
      <c r="BD246">
        <v>-5.1000000000000004E-4</v>
      </c>
      <c r="BE246">
        <v>8.1629999999999994E-2</v>
      </c>
      <c r="BF246">
        <v>1</v>
      </c>
      <c r="BG246" t="s">
        <v>69</v>
      </c>
      <c r="BH246">
        <v>-1.802</v>
      </c>
      <c r="BI246">
        <v>-1.7190000000000001</v>
      </c>
    </row>
    <row r="247" spans="3:61">
      <c r="C247">
        <v>0</v>
      </c>
      <c r="D247">
        <v>3</v>
      </c>
      <c r="E247">
        <v>0</v>
      </c>
      <c r="F247" t="s">
        <v>25021</v>
      </c>
      <c r="G247">
        <v>1898</v>
      </c>
      <c r="H247" t="s">
        <v>11876</v>
      </c>
      <c r="I247" t="s">
        <v>62</v>
      </c>
      <c r="J247">
        <v>1959698</v>
      </c>
      <c r="K247">
        <v>1960087</v>
      </c>
      <c r="L247" t="s">
        <v>3095</v>
      </c>
      <c r="M247">
        <v>130</v>
      </c>
      <c r="N247" t="s">
        <v>108</v>
      </c>
      <c r="O247">
        <v>44</v>
      </c>
      <c r="P247" t="str">
        <f>HYPERLINK("Gene1898-zp_tree_all.dnd", "Gene1898-tree")</f>
        <v>Gene1898-tree</v>
      </c>
      <c r="Q247">
        <v>7</v>
      </c>
      <c r="R247">
        <v>3</v>
      </c>
      <c r="S247">
        <v>7</v>
      </c>
      <c r="T247">
        <v>3</v>
      </c>
      <c r="U247">
        <v>0.3</v>
      </c>
      <c r="V247" t="s">
        <v>152</v>
      </c>
      <c r="W247" t="s">
        <v>324</v>
      </c>
      <c r="X247" t="s">
        <v>62</v>
      </c>
      <c r="Y247" t="s">
        <v>62</v>
      </c>
      <c r="Z247">
        <v>1</v>
      </c>
      <c r="AA247">
        <v>3</v>
      </c>
      <c r="AB247">
        <v>3</v>
      </c>
      <c r="AC247">
        <v>0.5</v>
      </c>
      <c r="AD247" s="47">
        <v>0</v>
      </c>
      <c r="AE247" s="47">
        <v>0</v>
      </c>
      <c r="AF247" s="47">
        <v>0</v>
      </c>
      <c r="AG247" s="47">
        <v>1</v>
      </c>
      <c r="AH247" s="47">
        <v>0</v>
      </c>
      <c r="AI247" s="47">
        <v>0</v>
      </c>
      <c r="AJ247" s="47">
        <v>0</v>
      </c>
      <c r="AK247" s="47">
        <v>0</v>
      </c>
      <c r="AL247">
        <v>3</v>
      </c>
      <c r="AM247">
        <v>0</v>
      </c>
      <c r="AN247">
        <v>6</v>
      </c>
      <c r="AO247">
        <v>6</v>
      </c>
      <c r="AP247">
        <v>13</v>
      </c>
      <c r="AQ247">
        <v>3</v>
      </c>
      <c r="AR247">
        <v>7</v>
      </c>
      <c r="AS247">
        <v>3</v>
      </c>
      <c r="AT247" t="s">
        <v>11877</v>
      </c>
      <c r="AU247" t="s">
        <v>11878</v>
      </c>
      <c r="AV247">
        <v>0.72799999999999998</v>
      </c>
      <c r="AW247" t="s">
        <v>65</v>
      </c>
      <c r="AX247">
        <v>20</v>
      </c>
      <c r="AY247">
        <v>6</v>
      </c>
      <c r="AZ247" t="s">
        <v>11879</v>
      </c>
      <c r="BA247">
        <v>6.1109999999999998E-2</v>
      </c>
      <c r="BB247">
        <v>-3.82E-3</v>
      </c>
      <c r="BC247">
        <v>4.2100000000000002E-3</v>
      </c>
      <c r="BD247">
        <v>-4.2999999999999999E-4</v>
      </c>
      <c r="BE247">
        <v>6.8849999999999995E-2</v>
      </c>
      <c r="BF247">
        <v>1</v>
      </c>
      <c r="BG247" t="s">
        <v>69</v>
      </c>
      <c r="BH247">
        <v>9.1999999999999998E-2</v>
      </c>
      <c r="BI247">
        <v>-0.41599999999999998</v>
      </c>
    </row>
    <row r="248" spans="3:61">
      <c r="C248">
        <v>0</v>
      </c>
      <c r="D248">
        <v>0</v>
      </c>
      <c r="E248">
        <v>0</v>
      </c>
      <c r="F248" t="s">
        <v>25021</v>
      </c>
      <c r="G248">
        <v>3000</v>
      </c>
      <c r="H248" t="s">
        <v>17326</v>
      </c>
      <c r="I248" t="s">
        <v>57</v>
      </c>
      <c r="J248">
        <v>2951490</v>
      </c>
      <c r="K248">
        <v>2951879</v>
      </c>
      <c r="L248" t="s">
        <v>116</v>
      </c>
      <c r="M248">
        <v>130</v>
      </c>
      <c r="N248" t="s">
        <v>59</v>
      </c>
      <c r="O248">
        <v>49</v>
      </c>
      <c r="P248" t="str">
        <f>HYPERLINK("Gene3000-zp_tree_all.dnd", "Gene3000-tree")</f>
        <v>Gene3000-tree</v>
      </c>
      <c r="Q248">
        <v>8</v>
      </c>
      <c r="R248">
        <v>3</v>
      </c>
      <c r="S248">
        <v>8</v>
      </c>
      <c r="T248">
        <v>3</v>
      </c>
      <c r="U248">
        <v>0.27272999999999997</v>
      </c>
      <c r="V248" t="s">
        <v>136</v>
      </c>
      <c r="W248" t="s">
        <v>324</v>
      </c>
      <c r="X248" t="s">
        <v>62</v>
      </c>
      <c r="Y248" t="s">
        <v>62</v>
      </c>
      <c r="Z248">
        <v>0</v>
      </c>
      <c r="AA248">
        <v>0</v>
      </c>
      <c r="AB248">
        <v>5</v>
      </c>
      <c r="AC248">
        <v>0</v>
      </c>
      <c r="AD248" s="47">
        <v>0</v>
      </c>
      <c r="AE248" s="47">
        <v>0</v>
      </c>
      <c r="AF248" s="47">
        <v>0</v>
      </c>
      <c r="AG248" s="47">
        <v>1</v>
      </c>
      <c r="AH248" s="47">
        <v>0</v>
      </c>
      <c r="AI248" s="47">
        <v>0</v>
      </c>
      <c r="AJ248" s="47">
        <v>0</v>
      </c>
      <c r="AK248" s="47">
        <v>0</v>
      </c>
      <c r="AL248">
        <v>3</v>
      </c>
      <c r="AM248">
        <v>0</v>
      </c>
      <c r="AN248">
        <v>7</v>
      </c>
      <c r="AO248">
        <v>5</v>
      </c>
      <c r="AP248">
        <v>10</v>
      </c>
      <c r="AQ248">
        <v>3</v>
      </c>
      <c r="AR248">
        <v>19</v>
      </c>
      <c r="AS248">
        <v>2</v>
      </c>
      <c r="AT248" t="s">
        <v>17327</v>
      </c>
      <c r="AU248" t="s">
        <v>17328</v>
      </c>
      <c r="AV248">
        <v>0.85099999999999998</v>
      </c>
      <c r="AW248" t="s">
        <v>65</v>
      </c>
      <c r="AX248">
        <v>29</v>
      </c>
      <c r="AY248">
        <v>5</v>
      </c>
      <c r="AZ248" t="s">
        <v>17329</v>
      </c>
      <c r="BA248">
        <v>0.13786000000000001</v>
      </c>
      <c r="BB248">
        <v>-1.163E-2</v>
      </c>
      <c r="BC248">
        <v>4.6800000000000001E-3</v>
      </c>
      <c r="BD248">
        <v>-3.6999999999999999E-4</v>
      </c>
      <c r="BE248">
        <v>3.3919999999999999E-2</v>
      </c>
      <c r="BF248">
        <v>1</v>
      </c>
      <c r="BG248" t="s">
        <v>69</v>
      </c>
      <c r="BH248">
        <v>-1.6519999999999999</v>
      </c>
      <c r="BI248">
        <v>-0.42199999999999999</v>
      </c>
    </row>
    <row r="249" spans="3:61">
      <c r="C249">
        <v>0</v>
      </c>
      <c r="D249">
        <v>0</v>
      </c>
      <c r="E249">
        <v>0</v>
      </c>
      <c r="F249" t="s">
        <v>25021</v>
      </c>
      <c r="G249">
        <v>995</v>
      </c>
      <c r="H249" t="s">
        <v>6240</v>
      </c>
      <c r="I249" t="s">
        <v>62</v>
      </c>
      <c r="J249">
        <v>1037309</v>
      </c>
      <c r="K249">
        <v>1037701</v>
      </c>
      <c r="L249" t="s">
        <v>6241</v>
      </c>
      <c r="M249">
        <v>131</v>
      </c>
      <c r="N249" t="s">
        <v>108</v>
      </c>
      <c r="O249">
        <v>44</v>
      </c>
      <c r="P249" t="str">
        <f>HYPERLINK("Gene995-zp_tree_all.dnd", "Gene995-tree")</f>
        <v>Gene995-tree</v>
      </c>
      <c r="Q249">
        <v>4</v>
      </c>
      <c r="R249">
        <v>7</v>
      </c>
      <c r="S249">
        <v>4</v>
      </c>
      <c r="T249">
        <v>7</v>
      </c>
      <c r="U249">
        <v>0.63636000000000004</v>
      </c>
      <c r="V249" t="s">
        <v>61</v>
      </c>
      <c r="W249" t="s">
        <v>152</v>
      </c>
      <c r="X249" t="s">
        <v>62</v>
      </c>
      <c r="Y249" t="s">
        <v>62</v>
      </c>
      <c r="Z249">
        <v>0</v>
      </c>
      <c r="AA249">
        <v>0</v>
      </c>
      <c r="AB249">
        <v>10</v>
      </c>
      <c r="AC249">
        <v>0</v>
      </c>
      <c r="AD249" s="47">
        <v>0</v>
      </c>
      <c r="AE249" s="47">
        <v>0</v>
      </c>
      <c r="AF249" s="47">
        <v>0</v>
      </c>
      <c r="AG249" s="47">
        <v>1</v>
      </c>
      <c r="AH249" s="47">
        <v>0</v>
      </c>
      <c r="AI249" s="47">
        <v>0</v>
      </c>
      <c r="AJ249" s="47">
        <v>0</v>
      </c>
      <c r="AK249" s="47">
        <v>0</v>
      </c>
      <c r="AL249">
        <v>9</v>
      </c>
      <c r="AM249">
        <v>0</v>
      </c>
      <c r="AN249">
        <v>8</v>
      </c>
      <c r="AO249">
        <v>3</v>
      </c>
      <c r="AP249">
        <v>5</v>
      </c>
      <c r="AQ249">
        <v>9</v>
      </c>
      <c r="AR249">
        <v>2</v>
      </c>
      <c r="AS249">
        <v>1</v>
      </c>
      <c r="AT249" t="s">
        <v>6242</v>
      </c>
      <c r="AU249" t="s">
        <v>6243</v>
      </c>
      <c r="AV249">
        <v>0.66800000000000004</v>
      </c>
      <c r="AW249" t="s">
        <v>65</v>
      </c>
      <c r="AX249">
        <v>7</v>
      </c>
      <c r="AY249">
        <v>10</v>
      </c>
      <c r="AZ249" t="s">
        <v>6244</v>
      </c>
      <c r="BA249">
        <v>1.5310000000000001E-2</v>
      </c>
      <c r="BB249">
        <v>-1.73E-3</v>
      </c>
      <c r="BC249">
        <v>6.79E-3</v>
      </c>
      <c r="BD249">
        <v>-5.6999999999999998E-4</v>
      </c>
      <c r="BE249">
        <v>0.44355</v>
      </c>
      <c r="BF249">
        <v>0.82</v>
      </c>
      <c r="BG249" t="s">
        <v>635</v>
      </c>
      <c r="BH249">
        <v>-1.454</v>
      </c>
      <c r="BI249">
        <v>-2.6349999999999998</v>
      </c>
    </row>
    <row r="250" spans="3:61">
      <c r="C250">
        <v>0</v>
      </c>
      <c r="D250">
        <v>9</v>
      </c>
      <c r="E250">
        <v>0</v>
      </c>
      <c r="F250" t="s">
        <v>25021</v>
      </c>
      <c r="G250">
        <v>3725</v>
      </c>
      <c r="H250" t="s">
        <v>21832</v>
      </c>
      <c r="I250" t="s">
        <v>57</v>
      </c>
      <c r="J250">
        <v>3703271</v>
      </c>
      <c r="K250">
        <v>3703663</v>
      </c>
      <c r="L250" t="s">
        <v>21833</v>
      </c>
      <c r="M250">
        <v>131</v>
      </c>
      <c r="N250" t="s">
        <v>108</v>
      </c>
      <c r="O250">
        <v>44</v>
      </c>
      <c r="P250" t="str">
        <f>HYPERLINK("Gene3725-zp_tree_all.dnd", "Gene3725-tree")</f>
        <v>Gene3725-tree</v>
      </c>
      <c r="Q250">
        <v>3</v>
      </c>
      <c r="R250">
        <v>7</v>
      </c>
      <c r="S250">
        <v>3</v>
      </c>
      <c r="T250">
        <v>7</v>
      </c>
      <c r="U250">
        <v>0.7</v>
      </c>
      <c r="V250" t="s">
        <v>324</v>
      </c>
      <c r="W250" t="s">
        <v>152</v>
      </c>
      <c r="X250" t="s">
        <v>62</v>
      </c>
      <c r="Y250" t="s">
        <v>62</v>
      </c>
      <c r="Z250">
        <v>3</v>
      </c>
      <c r="AA250">
        <v>9</v>
      </c>
      <c r="AB250">
        <v>8</v>
      </c>
      <c r="AC250">
        <v>0.52941000000000005</v>
      </c>
      <c r="AD250" s="47">
        <v>0</v>
      </c>
      <c r="AE250" s="47">
        <v>0</v>
      </c>
      <c r="AF250" s="47">
        <v>0</v>
      </c>
      <c r="AG250" s="47">
        <v>1</v>
      </c>
      <c r="AH250" s="47">
        <v>0</v>
      </c>
      <c r="AI250" s="47">
        <v>7</v>
      </c>
      <c r="AJ250" s="47">
        <v>0</v>
      </c>
      <c r="AK250" s="47">
        <v>7</v>
      </c>
      <c r="AL250">
        <v>8</v>
      </c>
      <c r="AM250">
        <v>0.46666999999999997</v>
      </c>
      <c r="AN250">
        <v>8</v>
      </c>
      <c r="AO250">
        <v>5</v>
      </c>
      <c r="AP250">
        <v>12</v>
      </c>
      <c r="AQ250">
        <v>11</v>
      </c>
      <c r="AR250">
        <v>9</v>
      </c>
      <c r="AS250">
        <v>6</v>
      </c>
      <c r="AT250" t="s">
        <v>21834</v>
      </c>
      <c r="AU250" t="s">
        <v>21835</v>
      </c>
      <c r="AV250">
        <v>0.38500000000000001</v>
      </c>
      <c r="AW250" t="s">
        <v>65</v>
      </c>
      <c r="AX250">
        <v>21</v>
      </c>
      <c r="AY250">
        <v>17</v>
      </c>
      <c r="AZ250" t="s">
        <v>21836</v>
      </c>
      <c r="BA250">
        <v>7.1730000000000002E-2</v>
      </c>
      <c r="BB250">
        <v>-4.5300000000000002E-3</v>
      </c>
      <c r="BC250">
        <v>1.308E-2</v>
      </c>
      <c r="BD250">
        <v>-9.8999999999999999E-4</v>
      </c>
      <c r="BE250">
        <v>0.18232000000000001</v>
      </c>
      <c r="BF250">
        <v>1</v>
      </c>
      <c r="BG250" t="s">
        <v>69</v>
      </c>
      <c r="BH250">
        <v>0.18099999999999999</v>
      </c>
      <c r="BI250">
        <v>0.70099999999999996</v>
      </c>
    </row>
    <row r="251" spans="3:61">
      <c r="C251">
        <v>0</v>
      </c>
      <c r="D251">
        <v>2</v>
      </c>
      <c r="E251">
        <v>0</v>
      </c>
      <c r="F251" t="s">
        <v>25021</v>
      </c>
      <c r="G251">
        <v>1063</v>
      </c>
      <c r="H251" t="s">
        <v>6674</v>
      </c>
      <c r="I251" t="s">
        <v>62</v>
      </c>
      <c r="J251">
        <v>1102563</v>
      </c>
      <c r="K251">
        <v>1102955</v>
      </c>
      <c r="L251" t="s">
        <v>4095</v>
      </c>
      <c r="M251">
        <v>131</v>
      </c>
      <c r="N251" t="s">
        <v>6390</v>
      </c>
      <c r="O251">
        <v>45</v>
      </c>
      <c r="P251" t="str">
        <f>HYPERLINK("Gene1063-zp_tree_all.dnd", "Gene1063-tree")</f>
        <v>Gene1063-tree</v>
      </c>
      <c r="Q251">
        <v>8</v>
      </c>
      <c r="R251">
        <v>5</v>
      </c>
      <c r="S251">
        <v>8</v>
      </c>
      <c r="T251">
        <v>5</v>
      </c>
      <c r="U251">
        <v>0.38462000000000002</v>
      </c>
      <c r="V251" t="s">
        <v>136</v>
      </c>
      <c r="W251" t="s">
        <v>199</v>
      </c>
      <c r="X251" t="s">
        <v>62</v>
      </c>
      <c r="Y251" t="s">
        <v>62</v>
      </c>
      <c r="Z251">
        <v>1</v>
      </c>
      <c r="AA251">
        <v>2</v>
      </c>
      <c r="AB251">
        <v>8</v>
      </c>
      <c r="AC251">
        <v>0.2</v>
      </c>
      <c r="AD251" s="47">
        <v>0</v>
      </c>
      <c r="AE251" s="47">
        <v>0</v>
      </c>
      <c r="AF251" s="47">
        <v>0</v>
      </c>
      <c r="AG251" s="47">
        <v>1</v>
      </c>
      <c r="AH251" s="47">
        <v>0</v>
      </c>
      <c r="AI251" s="47">
        <v>2</v>
      </c>
      <c r="AJ251" s="47">
        <v>0</v>
      </c>
      <c r="AK251" s="47">
        <v>2</v>
      </c>
      <c r="AL251">
        <v>7</v>
      </c>
      <c r="AM251">
        <v>0.22222</v>
      </c>
      <c r="AN251">
        <v>8</v>
      </c>
      <c r="AO251">
        <v>4</v>
      </c>
      <c r="AP251">
        <v>19</v>
      </c>
      <c r="AQ251">
        <v>9</v>
      </c>
      <c r="AR251">
        <v>4</v>
      </c>
      <c r="AS251">
        <v>1</v>
      </c>
      <c r="AT251" t="s">
        <v>6675</v>
      </c>
      <c r="AU251" t="s">
        <v>6676</v>
      </c>
      <c r="AV251">
        <v>0.23799999999999999</v>
      </c>
      <c r="AW251" t="s">
        <v>65</v>
      </c>
      <c r="AX251">
        <v>23</v>
      </c>
      <c r="AY251">
        <v>10</v>
      </c>
      <c r="AZ251" t="s">
        <v>6677</v>
      </c>
      <c r="BA251">
        <v>5.4440000000000002E-2</v>
      </c>
      <c r="BB251">
        <v>-6.7000000000000002E-3</v>
      </c>
      <c r="BC251">
        <v>6.0000000000000001E-3</v>
      </c>
      <c r="BD251">
        <v>-6.7000000000000002E-4</v>
      </c>
      <c r="BE251">
        <v>0.11021</v>
      </c>
      <c r="BF251">
        <v>1</v>
      </c>
      <c r="BG251" t="s">
        <v>69</v>
      </c>
      <c r="BH251">
        <v>-1.9770000000000001</v>
      </c>
      <c r="BI251">
        <v>-4.57</v>
      </c>
    </row>
    <row r="252" spans="3:61">
      <c r="C252">
        <v>0</v>
      </c>
      <c r="D252">
        <v>0</v>
      </c>
      <c r="E252">
        <v>0</v>
      </c>
      <c r="F252" t="s">
        <v>25021</v>
      </c>
      <c r="G252">
        <v>1247</v>
      </c>
      <c r="H252" t="s">
        <v>7815</v>
      </c>
      <c r="I252" t="s">
        <v>62</v>
      </c>
      <c r="J252">
        <v>1277065</v>
      </c>
      <c r="K252">
        <v>1277457</v>
      </c>
      <c r="L252" t="s">
        <v>5691</v>
      </c>
      <c r="M252">
        <v>131</v>
      </c>
      <c r="N252" t="s">
        <v>108</v>
      </c>
      <c r="O252">
        <v>44</v>
      </c>
      <c r="P252" t="str">
        <f>HYPERLINK("Gene1247-zp_tree_all.dnd", "Gene1247-tree")</f>
        <v>Gene1247-tree</v>
      </c>
      <c r="Q252">
        <v>27</v>
      </c>
      <c r="R252">
        <v>2</v>
      </c>
      <c r="S252">
        <v>8</v>
      </c>
      <c r="T252">
        <v>2</v>
      </c>
      <c r="U252">
        <v>0.2</v>
      </c>
      <c r="V252" t="s">
        <v>282</v>
      </c>
      <c r="W252" t="s">
        <v>81</v>
      </c>
      <c r="X252" t="s">
        <v>62</v>
      </c>
      <c r="Y252" t="s">
        <v>62</v>
      </c>
      <c r="Z252">
        <v>0</v>
      </c>
      <c r="AA252">
        <v>0</v>
      </c>
      <c r="AB252">
        <v>2</v>
      </c>
      <c r="AC252">
        <v>0</v>
      </c>
      <c r="AD252" s="47">
        <v>0</v>
      </c>
      <c r="AE252" s="47">
        <v>0</v>
      </c>
      <c r="AF252" s="47">
        <v>0</v>
      </c>
      <c r="AG252" s="47">
        <v>0</v>
      </c>
      <c r="AH252" s="47">
        <v>0</v>
      </c>
      <c r="AI252" s="47">
        <v>0</v>
      </c>
      <c r="AJ252" s="47">
        <v>0</v>
      </c>
      <c r="AK252" s="47">
        <v>0</v>
      </c>
      <c r="AL252">
        <v>2</v>
      </c>
      <c r="AM252">
        <v>0</v>
      </c>
      <c r="AN252">
        <v>7</v>
      </c>
      <c r="AO252">
        <v>2</v>
      </c>
      <c r="AP252">
        <v>9</v>
      </c>
      <c r="AQ252">
        <v>2</v>
      </c>
      <c r="AR252">
        <v>4</v>
      </c>
      <c r="AS252">
        <v>0</v>
      </c>
      <c r="AT252" t="s">
        <v>7816</v>
      </c>
      <c r="AU252" t="s">
        <v>193</v>
      </c>
      <c r="AV252">
        <v>0.94499999999999995</v>
      </c>
      <c r="AW252" t="s">
        <v>65</v>
      </c>
      <c r="AX252">
        <v>13</v>
      </c>
      <c r="AY252">
        <v>2</v>
      </c>
      <c r="AZ252" t="s">
        <v>7817</v>
      </c>
      <c r="BA252">
        <v>2.8490000000000001E-2</v>
      </c>
      <c r="BB252">
        <v>-1.8699999999999999E-3</v>
      </c>
      <c r="BC252">
        <v>1.34E-3</v>
      </c>
      <c r="BD252">
        <v>-2.7E-4</v>
      </c>
      <c r="BE252">
        <v>4.6969999999999998E-2</v>
      </c>
      <c r="BF252">
        <v>0.98899999999999999</v>
      </c>
      <c r="BG252" t="s">
        <v>69</v>
      </c>
      <c r="BH252">
        <v>-1.0580000000000001</v>
      </c>
      <c r="BI252">
        <v>-1.343</v>
      </c>
    </row>
    <row r="253" spans="3:61">
      <c r="C253">
        <v>0</v>
      </c>
      <c r="D253">
        <v>0</v>
      </c>
      <c r="E253">
        <v>0</v>
      </c>
      <c r="F253" t="s">
        <v>25021</v>
      </c>
      <c r="G253">
        <v>2552</v>
      </c>
      <c r="H253" t="s">
        <v>14915</v>
      </c>
      <c r="I253" t="s">
        <v>57</v>
      </c>
      <c r="J253">
        <v>2542047</v>
      </c>
      <c r="K253">
        <v>2542439</v>
      </c>
      <c r="L253" t="s">
        <v>116</v>
      </c>
      <c r="M253">
        <v>131</v>
      </c>
      <c r="N253" t="s">
        <v>59</v>
      </c>
      <c r="O253">
        <v>49</v>
      </c>
      <c r="P253" t="str">
        <f>HYPERLINK("Gene2552-zp_tree_all.dnd", "Gene2552-tree")</f>
        <v>Gene2552-tree</v>
      </c>
      <c r="Q253">
        <v>13</v>
      </c>
      <c r="R253">
        <v>1</v>
      </c>
      <c r="S253">
        <v>13</v>
      </c>
      <c r="T253">
        <v>1</v>
      </c>
      <c r="U253">
        <v>7.1429999999999993E-2</v>
      </c>
      <c r="V253" t="s">
        <v>507</v>
      </c>
      <c r="W253" t="s">
        <v>175</v>
      </c>
      <c r="X253" t="s">
        <v>62</v>
      </c>
      <c r="Y253" t="s">
        <v>62</v>
      </c>
      <c r="Z253">
        <v>0</v>
      </c>
      <c r="AA253">
        <v>0</v>
      </c>
      <c r="AB253">
        <v>3</v>
      </c>
      <c r="AC253">
        <v>0</v>
      </c>
      <c r="AD253" s="47">
        <v>0</v>
      </c>
      <c r="AE253" s="47">
        <v>0</v>
      </c>
      <c r="AF253" s="47">
        <v>0</v>
      </c>
      <c r="AG253" s="47">
        <v>2</v>
      </c>
      <c r="AH253" s="47">
        <v>0</v>
      </c>
      <c r="AI253" s="47">
        <v>0</v>
      </c>
      <c r="AJ253" s="47">
        <v>0</v>
      </c>
      <c r="AK253" s="47">
        <v>0</v>
      </c>
      <c r="AL253">
        <v>1</v>
      </c>
      <c r="AM253">
        <v>0</v>
      </c>
      <c r="AN253">
        <v>9</v>
      </c>
      <c r="AO253">
        <v>5</v>
      </c>
      <c r="AP253">
        <v>10</v>
      </c>
      <c r="AQ253">
        <v>1</v>
      </c>
      <c r="AR253">
        <v>11</v>
      </c>
      <c r="AS253">
        <v>2</v>
      </c>
      <c r="AT253" t="s">
        <v>14916</v>
      </c>
      <c r="AU253" t="s">
        <v>14917</v>
      </c>
      <c r="AV253">
        <v>0.17699999999999999</v>
      </c>
      <c r="AW253" t="s">
        <v>65</v>
      </c>
      <c r="AX253">
        <v>21</v>
      </c>
      <c r="AY253">
        <v>3</v>
      </c>
      <c r="AZ253" t="s">
        <v>14918</v>
      </c>
      <c r="BA253">
        <v>5.407E-2</v>
      </c>
      <c r="BB253">
        <v>-3.2499999999999999E-3</v>
      </c>
      <c r="BC253">
        <v>2.2200000000000002E-3</v>
      </c>
      <c r="BD253">
        <v>-3.2000000000000003E-4</v>
      </c>
      <c r="BE253">
        <v>4.1020000000000001E-2</v>
      </c>
      <c r="BF253">
        <v>1</v>
      </c>
      <c r="BG253" t="s">
        <v>69</v>
      </c>
      <c r="BH253">
        <v>-1.6930000000000001</v>
      </c>
      <c r="BI253">
        <v>-1.2310000000000001</v>
      </c>
    </row>
    <row r="254" spans="3:61">
      <c r="C254">
        <v>0</v>
      </c>
      <c r="D254">
        <v>2</v>
      </c>
      <c r="E254">
        <v>0</v>
      </c>
      <c r="F254" t="s">
        <v>25021</v>
      </c>
      <c r="G254">
        <v>344</v>
      </c>
      <c r="H254" t="s">
        <v>2346</v>
      </c>
      <c r="I254" t="s">
        <v>62</v>
      </c>
      <c r="J254">
        <v>371732</v>
      </c>
      <c r="K254">
        <v>372127</v>
      </c>
      <c r="L254" t="s">
        <v>2347</v>
      </c>
      <c r="M254">
        <v>132</v>
      </c>
      <c r="N254" t="s">
        <v>108</v>
      </c>
      <c r="O254">
        <v>44</v>
      </c>
      <c r="P254" t="str">
        <f>HYPERLINK("Gene344-zp_tree_all.dnd", "Gene344-tree")</f>
        <v>Gene344-tree</v>
      </c>
      <c r="Q254">
        <v>2</v>
      </c>
      <c r="R254">
        <v>9</v>
      </c>
      <c r="S254">
        <v>2</v>
      </c>
      <c r="T254">
        <v>9</v>
      </c>
      <c r="U254">
        <v>0.81818000000000002</v>
      </c>
      <c r="V254" t="s">
        <v>81</v>
      </c>
      <c r="W254" t="s">
        <v>135</v>
      </c>
      <c r="X254" t="s">
        <v>62</v>
      </c>
      <c r="Y254" t="s">
        <v>62</v>
      </c>
      <c r="Z254">
        <v>1</v>
      </c>
      <c r="AA254">
        <v>2</v>
      </c>
      <c r="AB254">
        <v>12</v>
      </c>
      <c r="AC254">
        <v>0.14285999999999999</v>
      </c>
      <c r="AD254" s="47">
        <v>0</v>
      </c>
      <c r="AE254" s="47">
        <v>0</v>
      </c>
      <c r="AF254" s="47">
        <v>0</v>
      </c>
      <c r="AG254" s="47">
        <v>1</v>
      </c>
      <c r="AH254" s="47">
        <v>0</v>
      </c>
      <c r="AI254" s="47">
        <v>2</v>
      </c>
      <c r="AJ254" s="47">
        <v>0</v>
      </c>
      <c r="AK254" s="47">
        <v>2</v>
      </c>
      <c r="AL254">
        <v>11</v>
      </c>
      <c r="AM254">
        <v>0.15384999999999999</v>
      </c>
      <c r="AN254">
        <v>8</v>
      </c>
      <c r="AO254">
        <v>4</v>
      </c>
      <c r="AP254">
        <v>11</v>
      </c>
      <c r="AQ254">
        <v>9</v>
      </c>
      <c r="AR254">
        <v>2</v>
      </c>
      <c r="AS254">
        <v>5</v>
      </c>
      <c r="AT254" t="s">
        <v>2348</v>
      </c>
      <c r="AU254" t="s">
        <v>2349</v>
      </c>
      <c r="AV254">
        <v>0.75900000000000001</v>
      </c>
      <c r="AW254" t="s">
        <v>65</v>
      </c>
      <c r="AX254">
        <v>13</v>
      </c>
      <c r="AY254">
        <v>14</v>
      </c>
      <c r="AZ254" t="s">
        <v>2350</v>
      </c>
      <c r="BA254">
        <v>3.0530000000000002E-2</v>
      </c>
      <c r="BB254">
        <v>-2.5899999999999999E-3</v>
      </c>
      <c r="BC254">
        <v>1.1010000000000001E-2</v>
      </c>
      <c r="BD254">
        <v>-6.7000000000000002E-4</v>
      </c>
      <c r="BE254">
        <v>0.36058000000000001</v>
      </c>
      <c r="BF254">
        <v>0.97</v>
      </c>
      <c r="BG254" t="s">
        <v>69</v>
      </c>
      <c r="BH254">
        <v>-1.1850000000000001</v>
      </c>
      <c r="BI254">
        <v>-2.5590000000000002</v>
      </c>
    </row>
    <row r="255" spans="3:61">
      <c r="C255">
        <v>0</v>
      </c>
      <c r="D255">
        <v>3</v>
      </c>
      <c r="E255">
        <v>3</v>
      </c>
      <c r="F255" t="s">
        <v>25021</v>
      </c>
      <c r="G255">
        <v>1257</v>
      </c>
      <c r="H255" t="s">
        <v>7877</v>
      </c>
      <c r="I255" t="s">
        <v>62</v>
      </c>
      <c r="J255">
        <v>1284374</v>
      </c>
      <c r="K255">
        <v>1284769</v>
      </c>
      <c r="L255" t="s">
        <v>4672</v>
      </c>
      <c r="M255">
        <v>132</v>
      </c>
      <c r="N255" t="s">
        <v>108</v>
      </c>
      <c r="O255">
        <v>44</v>
      </c>
      <c r="P255" t="str">
        <f>HYPERLINK("Gene1257-zp_tree_all.dnd", "Gene1257-tree")</f>
        <v>Gene1257-tree</v>
      </c>
      <c r="Q255">
        <v>4</v>
      </c>
      <c r="R255">
        <v>6</v>
      </c>
      <c r="S255">
        <v>4</v>
      </c>
      <c r="T255">
        <v>6</v>
      </c>
      <c r="U255">
        <v>0.6</v>
      </c>
      <c r="V255" t="s">
        <v>61</v>
      </c>
      <c r="W255" t="s">
        <v>90</v>
      </c>
      <c r="X255" t="s">
        <v>62</v>
      </c>
      <c r="Y255" t="s">
        <v>62</v>
      </c>
      <c r="Z255">
        <v>2</v>
      </c>
      <c r="AA255">
        <v>6</v>
      </c>
      <c r="AB255">
        <v>3</v>
      </c>
      <c r="AC255">
        <v>0.66666999999999998</v>
      </c>
      <c r="AD255" s="47">
        <v>0</v>
      </c>
      <c r="AE255" s="47">
        <v>0</v>
      </c>
      <c r="AF255" s="47">
        <v>0</v>
      </c>
      <c r="AG255" s="47">
        <v>0</v>
      </c>
      <c r="AH255" s="47">
        <v>0</v>
      </c>
      <c r="AI255" s="47">
        <v>2</v>
      </c>
      <c r="AJ255" s="47">
        <v>3</v>
      </c>
      <c r="AK255" s="47">
        <v>5</v>
      </c>
      <c r="AL255">
        <v>3</v>
      </c>
      <c r="AM255">
        <v>0.625</v>
      </c>
      <c r="AN255">
        <v>9</v>
      </c>
      <c r="AO255">
        <v>6</v>
      </c>
      <c r="AP255">
        <v>9</v>
      </c>
      <c r="AQ255">
        <v>7</v>
      </c>
      <c r="AR255">
        <v>4</v>
      </c>
      <c r="AS255">
        <v>2</v>
      </c>
      <c r="AT255" t="s">
        <v>7878</v>
      </c>
      <c r="AU255" t="s">
        <v>7879</v>
      </c>
      <c r="AV255">
        <v>0.35099999999999998</v>
      </c>
      <c r="AW255" t="s">
        <v>65</v>
      </c>
      <c r="AX255">
        <v>13</v>
      </c>
      <c r="AY255">
        <v>9</v>
      </c>
      <c r="AZ255" t="s">
        <v>7880</v>
      </c>
      <c r="BA255">
        <v>3.4759999999999999E-2</v>
      </c>
      <c r="BB255">
        <v>-2.5699999999999998E-3</v>
      </c>
      <c r="BC255">
        <v>6.1399999999999996E-3</v>
      </c>
      <c r="BD255">
        <v>-5.5999999999999995E-4</v>
      </c>
      <c r="BE255">
        <v>0.17677000000000001</v>
      </c>
      <c r="BF255">
        <v>0.99</v>
      </c>
      <c r="BG255" t="s">
        <v>69</v>
      </c>
      <c r="BH255">
        <v>-0.27100000000000002</v>
      </c>
      <c r="BI255">
        <v>-1.6140000000000001</v>
      </c>
    </row>
    <row r="256" spans="3:61">
      <c r="C256">
        <v>0</v>
      </c>
      <c r="D256">
        <v>6</v>
      </c>
      <c r="E256">
        <v>1</v>
      </c>
      <c r="F256" t="s">
        <v>25021</v>
      </c>
      <c r="G256">
        <v>2290</v>
      </c>
      <c r="H256" t="s">
        <v>13262</v>
      </c>
      <c r="I256" t="s">
        <v>57</v>
      </c>
      <c r="J256">
        <v>2310419</v>
      </c>
      <c r="K256">
        <v>2310814</v>
      </c>
      <c r="L256" t="s">
        <v>13263</v>
      </c>
      <c r="M256">
        <v>132</v>
      </c>
      <c r="N256" t="s">
        <v>108</v>
      </c>
      <c r="O256">
        <v>44</v>
      </c>
      <c r="P256" t="str">
        <f>HYPERLINK("Gene2290-zp_tree_all.dnd", "Gene2290-tree")</f>
        <v>Gene2290-tree</v>
      </c>
      <c r="Q256">
        <v>5</v>
      </c>
      <c r="R256">
        <v>7</v>
      </c>
      <c r="S256">
        <v>5</v>
      </c>
      <c r="T256">
        <v>7</v>
      </c>
      <c r="U256">
        <v>0.58333000000000002</v>
      </c>
      <c r="V256" t="s">
        <v>199</v>
      </c>
      <c r="W256" t="s">
        <v>152</v>
      </c>
      <c r="X256" t="s">
        <v>62</v>
      </c>
      <c r="Y256" t="s">
        <v>62</v>
      </c>
      <c r="Z256">
        <v>2</v>
      </c>
      <c r="AA256">
        <v>7</v>
      </c>
      <c r="AB256">
        <v>5</v>
      </c>
      <c r="AC256">
        <v>0.58333000000000002</v>
      </c>
      <c r="AD256" s="47">
        <v>0</v>
      </c>
      <c r="AE256" s="47">
        <v>0</v>
      </c>
      <c r="AF256" s="47">
        <v>0</v>
      </c>
      <c r="AG256" s="47">
        <v>0</v>
      </c>
      <c r="AH256" s="47">
        <v>0</v>
      </c>
      <c r="AI256" s="47">
        <v>2</v>
      </c>
      <c r="AJ256" s="47">
        <v>1</v>
      </c>
      <c r="AK256" s="47">
        <v>3</v>
      </c>
      <c r="AL256">
        <v>6</v>
      </c>
      <c r="AM256">
        <v>0.33333000000000002</v>
      </c>
      <c r="AN256">
        <v>7</v>
      </c>
      <c r="AO256">
        <v>7</v>
      </c>
      <c r="AP256">
        <v>12</v>
      </c>
      <c r="AQ256">
        <v>8</v>
      </c>
      <c r="AR256">
        <v>11</v>
      </c>
      <c r="AS256">
        <v>4</v>
      </c>
      <c r="AT256" t="s">
        <v>13264</v>
      </c>
      <c r="AU256" t="s">
        <v>13265</v>
      </c>
      <c r="AV256">
        <v>0.86299999999999999</v>
      </c>
      <c r="AW256" t="s">
        <v>65</v>
      </c>
      <c r="AX256">
        <v>23</v>
      </c>
      <c r="AY256">
        <v>12</v>
      </c>
      <c r="AZ256" t="s">
        <v>13266</v>
      </c>
      <c r="BA256">
        <v>5.5919999999999997E-2</v>
      </c>
      <c r="BB256">
        <v>-4.2399999999999998E-3</v>
      </c>
      <c r="BC256">
        <v>6.5700000000000003E-3</v>
      </c>
      <c r="BD256">
        <v>-4.0999999999999999E-4</v>
      </c>
      <c r="BE256">
        <v>0.11743000000000001</v>
      </c>
      <c r="BF256">
        <v>1</v>
      </c>
      <c r="BG256" t="s">
        <v>69</v>
      </c>
      <c r="BH256">
        <v>0.70399999999999996</v>
      </c>
      <c r="BI256">
        <v>-1.119</v>
      </c>
    </row>
    <row r="257" spans="3:61">
      <c r="C257">
        <v>0</v>
      </c>
      <c r="D257">
        <v>2</v>
      </c>
      <c r="E257">
        <v>0</v>
      </c>
      <c r="F257" t="s">
        <v>25021</v>
      </c>
      <c r="G257">
        <v>1194</v>
      </c>
      <c r="H257" t="s">
        <v>7509</v>
      </c>
      <c r="I257" t="s">
        <v>62</v>
      </c>
      <c r="J257">
        <v>1234513</v>
      </c>
      <c r="K257">
        <v>1234908</v>
      </c>
      <c r="L257" t="s">
        <v>7510</v>
      </c>
      <c r="M257">
        <v>132</v>
      </c>
      <c r="N257" t="s">
        <v>59</v>
      </c>
      <c r="O257">
        <v>49</v>
      </c>
      <c r="P257" t="str">
        <f>HYPERLINK("Gene1194-zp_tree_all.dnd", "Gene1194-tree")</f>
        <v>Gene1194-tree</v>
      </c>
      <c r="Q257">
        <v>10</v>
      </c>
      <c r="R257">
        <v>3</v>
      </c>
      <c r="S257">
        <v>10</v>
      </c>
      <c r="T257">
        <v>3</v>
      </c>
      <c r="U257">
        <v>0.23077</v>
      </c>
      <c r="V257" t="s">
        <v>117</v>
      </c>
      <c r="W257" t="s">
        <v>324</v>
      </c>
      <c r="X257" t="s">
        <v>62</v>
      </c>
      <c r="Y257" t="s">
        <v>62</v>
      </c>
      <c r="Z257">
        <v>1</v>
      </c>
      <c r="AA257">
        <v>2</v>
      </c>
      <c r="AB257">
        <v>3</v>
      </c>
      <c r="AC257">
        <v>0.4</v>
      </c>
      <c r="AD257" s="47">
        <v>0</v>
      </c>
      <c r="AE257" s="47">
        <v>0</v>
      </c>
      <c r="AF257" s="47">
        <v>0</v>
      </c>
      <c r="AG257" s="47">
        <v>2</v>
      </c>
      <c r="AH257" s="47">
        <v>0</v>
      </c>
      <c r="AI257" s="47">
        <v>0</v>
      </c>
      <c r="AJ257" s="47">
        <v>0</v>
      </c>
      <c r="AK257" s="47">
        <v>0</v>
      </c>
      <c r="AL257">
        <v>3</v>
      </c>
      <c r="AM257">
        <v>0</v>
      </c>
      <c r="AN257">
        <v>8</v>
      </c>
      <c r="AO257">
        <v>4</v>
      </c>
      <c r="AP257">
        <v>8</v>
      </c>
      <c r="AQ257">
        <v>3</v>
      </c>
      <c r="AR257">
        <v>13</v>
      </c>
      <c r="AS257">
        <v>2</v>
      </c>
      <c r="AT257" t="s">
        <v>7511</v>
      </c>
      <c r="AU257" t="s">
        <v>7512</v>
      </c>
      <c r="AV257">
        <v>0.59399999999999997</v>
      </c>
      <c r="AW257" t="s">
        <v>65</v>
      </c>
      <c r="AX257">
        <v>21</v>
      </c>
      <c r="AY257">
        <v>5</v>
      </c>
      <c r="AZ257" t="s">
        <v>7513</v>
      </c>
      <c r="BA257">
        <v>7.3669999999999999E-2</v>
      </c>
      <c r="BB257">
        <v>-6.7200000000000003E-3</v>
      </c>
      <c r="BC257">
        <v>3.7799999999999999E-3</v>
      </c>
      <c r="BD257">
        <v>-2.9999999999999997E-4</v>
      </c>
      <c r="BE257">
        <v>5.1360000000000003E-2</v>
      </c>
      <c r="BF257">
        <v>1</v>
      </c>
      <c r="BG257" t="s">
        <v>69</v>
      </c>
      <c r="BH257">
        <v>-0.24099999999999999</v>
      </c>
      <c r="BI257">
        <v>-0.249</v>
      </c>
    </row>
    <row r="258" spans="3:61">
      <c r="C258">
        <v>0</v>
      </c>
      <c r="D258">
        <v>7</v>
      </c>
      <c r="E258">
        <v>0</v>
      </c>
      <c r="F258" t="s">
        <v>25021</v>
      </c>
      <c r="G258">
        <v>2063</v>
      </c>
      <c r="H258" t="s">
        <v>12848</v>
      </c>
      <c r="I258" t="s">
        <v>57</v>
      </c>
      <c r="J258">
        <v>2148676</v>
      </c>
      <c r="K258">
        <v>2149074</v>
      </c>
      <c r="L258" t="s">
        <v>12849</v>
      </c>
      <c r="M258">
        <v>133</v>
      </c>
      <c r="N258" t="s">
        <v>12850</v>
      </c>
      <c r="O258">
        <v>39</v>
      </c>
      <c r="P258" t="str">
        <f>HYPERLINK("Gene2063-zp_tree_all.dnd", "Gene2063-tree")</f>
        <v>Gene2063-tree</v>
      </c>
      <c r="Q258">
        <v>24</v>
      </c>
      <c r="R258">
        <v>6</v>
      </c>
      <c r="S258">
        <v>8</v>
      </c>
      <c r="T258">
        <v>6</v>
      </c>
      <c r="U258">
        <v>0.42857000000000001</v>
      </c>
      <c r="V258" t="s">
        <v>12851</v>
      </c>
      <c r="W258" t="s">
        <v>90</v>
      </c>
      <c r="X258" t="s">
        <v>62</v>
      </c>
      <c r="Y258" t="s">
        <v>62</v>
      </c>
      <c r="Z258">
        <v>3</v>
      </c>
      <c r="AA258">
        <v>7</v>
      </c>
      <c r="AB258">
        <v>12</v>
      </c>
      <c r="AC258">
        <v>0.36842000000000003</v>
      </c>
      <c r="AD258" s="47">
        <v>0</v>
      </c>
      <c r="AE258" s="47">
        <v>0</v>
      </c>
      <c r="AF258" s="47">
        <v>0</v>
      </c>
      <c r="AG258" s="47">
        <v>1</v>
      </c>
      <c r="AH258" s="47">
        <v>0</v>
      </c>
      <c r="AI258" s="47">
        <v>2</v>
      </c>
      <c r="AJ258" s="47">
        <v>0</v>
      </c>
      <c r="AK258" s="47">
        <v>2</v>
      </c>
      <c r="AL258">
        <v>9</v>
      </c>
      <c r="AM258">
        <v>0.18182000000000001</v>
      </c>
      <c r="AN258">
        <v>11</v>
      </c>
      <c r="AO258">
        <v>7</v>
      </c>
      <c r="AP258">
        <v>22</v>
      </c>
      <c r="AQ258">
        <v>11</v>
      </c>
      <c r="AR258">
        <v>14</v>
      </c>
      <c r="AS258">
        <v>8</v>
      </c>
      <c r="AT258" t="s">
        <v>12852</v>
      </c>
      <c r="AU258" t="s">
        <v>12853</v>
      </c>
      <c r="AV258">
        <v>9.7000000000000003E-2</v>
      </c>
      <c r="AW258" t="s">
        <v>65</v>
      </c>
      <c r="AX258">
        <v>36</v>
      </c>
      <c r="AY258">
        <v>19</v>
      </c>
      <c r="AZ258" t="s">
        <v>12854</v>
      </c>
      <c r="BA258">
        <v>0.1082</v>
      </c>
      <c r="BB258">
        <v>-6.7400000000000003E-3</v>
      </c>
      <c r="BC258">
        <v>1.438E-2</v>
      </c>
      <c r="BD258">
        <v>-8.8000000000000003E-4</v>
      </c>
      <c r="BE258">
        <v>0.13286000000000001</v>
      </c>
      <c r="BF258">
        <v>1</v>
      </c>
      <c r="BG258" t="s">
        <v>69</v>
      </c>
      <c r="BH258">
        <v>-0.27100000000000002</v>
      </c>
      <c r="BI258">
        <v>-1.0629999999999999</v>
      </c>
    </row>
    <row r="259" spans="3:61">
      <c r="C259">
        <v>0</v>
      </c>
      <c r="D259">
        <v>2</v>
      </c>
      <c r="E259">
        <v>0</v>
      </c>
      <c r="F259" t="s">
        <v>25021</v>
      </c>
      <c r="G259">
        <v>1103</v>
      </c>
      <c r="H259" t="s">
        <v>6943</v>
      </c>
      <c r="I259" t="s">
        <v>62</v>
      </c>
      <c r="J259">
        <v>1148747</v>
      </c>
      <c r="K259">
        <v>1149145</v>
      </c>
      <c r="L259" t="s">
        <v>6937</v>
      </c>
      <c r="M259">
        <v>133</v>
      </c>
      <c r="N259" t="s">
        <v>108</v>
      </c>
      <c r="O259">
        <v>44</v>
      </c>
      <c r="P259" t="str">
        <f>HYPERLINK("Gene1103-zp_tree_all.dnd", "Gene1103-tree")</f>
        <v>Gene1103-tree</v>
      </c>
      <c r="Q259">
        <v>12</v>
      </c>
      <c r="R259">
        <v>1</v>
      </c>
      <c r="S259">
        <v>12</v>
      </c>
      <c r="T259">
        <v>1</v>
      </c>
      <c r="U259">
        <v>7.6920000000000002E-2</v>
      </c>
      <c r="V259" t="s">
        <v>109</v>
      </c>
      <c r="W259" t="s">
        <v>175</v>
      </c>
      <c r="X259" t="s">
        <v>62</v>
      </c>
      <c r="Y259" t="s">
        <v>62</v>
      </c>
      <c r="Z259">
        <v>1</v>
      </c>
      <c r="AA259">
        <v>2</v>
      </c>
      <c r="AB259">
        <v>5</v>
      </c>
      <c r="AC259">
        <v>0.28571000000000002</v>
      </c>
      <c r="AD259" s="47">
        <v>2</v>
      </c>
      <c r="AE259" s="47">
        <v>0</v>
      </c>
      <c r="AF259" s="47">
        <v>2</v>
      </c>
      <c r="AG259" s="47">
        <v>1</v>
      </c>
      <c r="AH259" s="47">
        <v>0.66666999999999998</v>
      </c>
      <c r="AI259" s="47">
        <v>0</v>
      </c>
      <c r="AJ259" s="47">
        <v>0</v>
      </c>
      <c r="AK259" s="47">
        <v>0</v>
      </c>
      <c r="AL259">
        <v>1</v>
      </c>
      <c r="AM259">
        <v>0</v>
      </c>
      <c r="AN259">
        <v>5</v>
      </c>
      <c r="AO259">
        <v>10</v>
      </c>
      <c r="AP259">
        <v>6</v>
      </c>
      <c r="AQ259">
        <v>1</v>
      </c>
      <c r="AR259">
        <v>16</v>
      </c>
      <c r="AS259">
        <v>6</v>
      </c>
      <c r="AT259" t="s">
        <v>6944</v>
      </c>
      <c r="AU259" t="s">
        <v>6945</v>
      </c>
      <c r="AV259">
        <v>0.33500000000000002</v>
      </c>
      <c r="AW259" t="s">
        <v>65</v>
      </c>
      <c r="AX259">
        <v>22</v>
      </c>
      <c r="AY259">
        <v>7</v>
      </c>
      <c r="AZ259" t="s">
        <v>6946</v>
      </c>
      <c r="BA259">
        <v>8.5169999999999996E-2</v>
      </c>
      <c r="BB259">
        <v>-6.3400000000000001E-3</v>
      </c>
      <c r="BC259">
        <v>8.0300000000000007E-3</v>
      </c>
      <c r="BD259">
        <v>-6.4999999999999997E-4</v>
      </c>
      <c r="BE259">
        <v>9.4310000000000005E-2</v>
      </c>
      <c r="BF259">
        <v>1</v>
      </c>
      <c r="BG259" t="s">
        <v>69</v>
      </c>
      <c r="BH259">
        <v>1.7909999999999999</v>
      </c>
      <c r="BI259">
        <v>1.006</v>
      </c>
    </row>
    <row r="260" spans="3:61">
      <c r="C260">
        <v>0</v>
      </c>
      <c r="D260">
        <v>0</v>
      </c>
      <c r="E260">
        <v>0</v>
      </c>
      <c r="F260" t="s">
        <v>25021</v>
      </c>
      <c r="G260">
        <v>4143</v>
      </c>
      <c r="H260" t="s">
        <v>24381</v>
      </c>
      <c r="I260" t="s">
        <v>57</v>
      </c>
      <c r="J260">
        <v>4109843</v>
      </c>
      <c r="K260">
        <v>4110244</v>
      </c>
      <c r="L260" t="s">
        <v>24382</v>
      </c>
      <c r="M260">
        <v>134</v>
      </c>
      <c r="N260" t="s">
        <v>265</v>
      </c>
      <c r="O260">
        <v>43</v>
      </c>
      <c r="P260" t="str">
        <f>HYPERLINK("Gene4143-zp_tree_all.dnd", "Gene4143-tree")</f>
        <v>Gene4143-tree</v>
      </c>
      <c r="Q260">
        <v>23</v>
      </c>
      <c r="R260">
        <v>4</v>
      </c>
      <c r="S260">
        <v>5</v>
      </c>
      <c r="T260">
        <v>4</v>
      </c>
      <c r="U260">
        <v>0.44444</v>
      </c>
      <c r="V260" t="s">
        <v>1652</v>
      </c>
      <c r="W260" t="s">
        <v>61</v>
      </c>
      <c r="X260" t="s">
        <v>62</v>
      </c>
      <c r="Y260" t="s">
        <v>62</v>
      </c>
      <c r="Z260">
        <v>0</v>
      </c>
      <c r="AA260">
        <v>0</v>
      </c>
      <c r="AB260">
        <v>7</v>
      </c>
      <c r="AC260">
        <v>0</v>
      </c>
      <c r="AD260" s="47">
        <v>0</v>
      </c>
      <c r="AE260" s="47">
        <v>0</v>
      </c>
      <c r="AF260" s="47">
        <v>0</v>
      </c>
      <c r="AG260" s="47">
        <v>0</v>
      </c>
      <c r="AH260" s="47">
        <v>0</v>
      </c>
      <c r="AI260" s="47">
        <v>0</v>
      </c>
      <c r="AJ260" s="47">
        <v>0</v>
      </c>
      <c r="AK260" s="47">
        <v>0</v>
      </c>
      <c r="AL260">
        <v>6</v>
      </c>
      <c r="AM260">
        <v>0</v>
      </c>
      <c r="AN260">
        <v>6</v>
      </c>
      <c r="AO260">
        <v>4</v>
      </c>
      <c r="AP260">
        <v>10</v>
      </c>
      <c r="AQ260">
        <v>6</v>
      </c>
      <c r="AR260">
        <v>3</v>
      </c>
      <c r="AS260">
        <v>1</v>
      </c>
      <c r="AT260" t="s">
        <v>24383</v>
      </c>
      <c r="AU260" t="s">
        <v>24384</v>
      </c>
      <c r="AV260">
        <v>0.39300000000000002</v>
      </c>
      <c r="AW260" t="s">
        <v>65</v>
      </c>
      <c r="AX260">
        <v>13</v>
      </c>
      <c r="AY260">
        <v>7</v>
      </c>
      <c r="AZ260" t="s">
        <v>24385</v>
      </c>
      <c r="BA260">
        <v>3.6560000000000002E-2</v>
      </c>
      <c r="BB260">
        <v>-3.6900000000000001E-3</v>
      </c>
      <c r="BC260">
        <v>5.7000000000000002E-3</v>
      </c>
      <c r="BD260">
        <v>-7.6000000000000004E-4</v>
      </c>
      <c r="BE260">
        <v>0.15603</v>
      </c>
      <c r="BF260">
        <v>1</v>
      </c>
      <c r="BG260" t="s">
        <v>69</v>
      </c>
      <c r="BH260">
        <v>-0.97499999999999998</v>
      </c>
      <c r="BI260">
        <v>-1.0509999999999999</v>
      </c>
    </row>
    <row r="261" spans="3:61">
      <c r="C261">
        <v>0</v>
      </c>
      <c r="D261">
        <v>0</v>
      </c>
      <c r="E261">
        <v>0</v>
      </c>
      <c r="F261" t="s">
        <v>25021</v>
      </c>
      <c r="G261">
        <v>3493</v>
      </c>
      <c r="H261" t="s">
        <v>20464</v>
      </c>
      <c r="I261" t="s">
        <v>57</v>
      </c>
      <c r="J261">
        <v>3456667</v>
      </c>
      <c r="K261">
        <v>3457071</v>
      </c>
      <c r="L261" t="s">
        <v>12662</v>
      </c>
      <c r="M261">
        <v>135</v>
      </c>
      <c r="N261" t="s">
        <v>20465</v>
      </c>
      <c r="O261">
        <v>46</v>
      </c>
      <c r="P261" t="str">
        <f>HYPERLINK("Gene3493-zp_tree_all.dnd", "Gene3493-tree")</f>
        <v>Gene3493-tree</v>
      </c>
      <c r="Q261">
        <v>15</v>
      </c>
      <c r="R261">
        <v>4</v>
      </c>
      <c r="S261">
        <v>15</v>
      </c>
      <c r="T261">
        <v>4</v>
      </c>
      <c r="U261">
        <v>0.21052999999999999</v>
      </c>
      <c r="V261" t="s">
        <v>100</v>
      </c>
      <c r="W261" t="s">
        <v>61</v>
      </c>
      <c r="X261" t="s">
        <v>62</v>
      </c>
      <c r="Y261" t="s">
        <v>62</v>
      </c>
      <c r="Z261">
        <v>0</v>
      </c>
      <c r="AA261">
        <v>0</v>
      </c>
      <c r="AB261">
        <v>6</v>
      </c>
      <c r="AC261">
        <v>0</v>
      </c>
      <c r="AD261" s="47">
        <v>0</v>
      </c>
      <c r="AE261" s="47">
        <v>0</v>
      </c>
      <c r="AF261" s="47">
        <v>0</v>
      </c>
      <c r="AG261" s="47">
        <v>0</v>
      </c>
      <c r="AH261" s="47">
        <v>0</v>
      </c>
      <c r="AI261" s="47">
        <v>0</v>
      </c>
      <c r="AJ261" s="47">
        <v>0</v>
      </c>
      <c r="AK261" s="47">
        <v>0</v>
      </c>
      <c r="AL261">
        <v>4</v>
      </c>
      <c r="AM261">
        <v>0</v>
      </c>
      <c r="AN261">
        <v>15</v>
      </c>
      <c r="AO261">
        <v>11</v>
      </c>
      <c r="AP261">
        <v>24</v>
      </c>
      <c r="AQ261">
        <v>4</v>
      </c>
      <c r="AR261">
        <v>27</v>
      </c>
      <c r="AS261">
        <v>2</v>
      </c>
      <c r="AT261" t="s">
        <v>20466</v>
      </c>
      <c r="AU261" t="s">
        <v>20467</v>
      </c>
      <c r="AV261">
        <v>0.53600000000000003</v>
      </c>
      <c r="AW261" t="s">
        <v>65</v>
      </c>
      <c r="AX261">
        <v>51</v>
      </c>
      <c r="AY261">
        <v>6</v>
      </c>
      <c r="AZ261" t="s">
        <v>20468</v>
      </c>
      <c r="BA261">
        <v>0.12017</v>
      </c>
      <c r="BB261">
        <v>-6.1900000000000002E-3</v>
      </c>
      <c r="BC261">
        <v>2.64E-3</v>
      </c>
      <c r="BD261">
        <v>-1.7000000000000001E-4</v>
      </c>
      <c r="BE261">
        <v>2.2009999999999998E-2</v>
      </c>
      <c r="BF261">
        <v>1</v>
      </c>
      <c r="BG261" t="s">
        <v>69</v>
      </c>
      <c r="BH261">
        <v>-1.3440000000000001</v>
      </c>
      <c r="BI261">
        <v>-1.1379999999999999</v>
      </c>
    </row>
    <row r="262" spans="3:61">
      <c r="C262">
        <v>0</v>
      </c>
      <c r="D262">
        <v>2</v>
      </c>
      <c r="E262">
        <v>2</v>
      </c>
      <c r="F262" t="s">
        <v>25021</v>
      </c>
      <c r="G262">
        <v>3766</v>
      </c>
      <c r="H262" t="s">
        <v>22071</v>
      </c>
      <c r="I262" t="s">
        <v>57</v>
      </c>
      <c r="J262">
        <v>3741182</v>
      </c>
      <c r="K262">
        <v>3741589</v>
      </c>
      <c r="L262" t="s">
        <v>116</v>
      </c>
      <c r="M262">
        <v>136</v>
      </c>
      <c r="N262" t="s">
        <v>59</v>
      </c>
      <c r="O262">
        <v>49</v>
      </c>
      <c r="P262" t="str">
        <f>HYPERLINK("Gene3766-zp_tree_all.dnd", "Gene3766-tree")</f>
        <v>Gene3766-tree</v>
      </c>
      <c r="Q262">
        <v>13</v>
      </c>
      <c r="R262">
        <v>3</v>
      </c>
      <c r="S262">
        <v>13</v>
      </c>
      <c r="T262">
        <v>3</v>
      </c>
      <c r="U262">
        <v>0.1875</v>
      </c>
      <c r="V262" t="s">
        <v>507</v>
      </c>
      <c r="W262" t="s">
        <v>324</v>
      </c>
      <c r="X262" t="s">
        <v>62</v>
      </c>
      <c r="Y262" t="s">
        <v>62</v>
      </c>
      <c r="Z262">
        <v>2</v>
      </c>
      <c r="AA262">
        <v>4</v>
      </c>
      <c r="AB262">
        <v>10</v>
      </c>
      <c r="AC262">
        <v>0.28571000000000002</v>
      </c>
      <c r="AD262" s="47">
        <v>0</v>
      </c>
      <c r="AE262" s="47">
        <v>0</v>
      </c>
      <c r="AF262" s="47">
        <v>0</v>
      </c>
      <c r="AG262" s="47">
        <v>1</v>
      </c>
      <c r="AH262" s="47">
        <v>0</v>
      </c>
      <c r="AI262" s="47">
        <v>0</v>
      </c>
      <c r="AJ262" s="47">
        <v>0</v>
      </c>
      <c r="AK262" s="47">
        <v>0</v>
      </c>
      <c r="AL262">
        <v>6</v>
      </c>
      <c r="AM262">
        <v>0</v>
      </c>
      <c r="AN262">
        <v>10</v>
      </c>
      <c r="AO262">
        <v>8</v>
      </c>
      <c r="AP262">
        <v>18</v>
      </c>
      <c r="AQ262">
        <v>6</v>
      </c>
      <c r="AR262">
        <v>17</v>
      </c>
      <c r="AS262">
        <v>9</v>
      </c>
      <c r="AT262" t="s">
        <v>22072</v>
      </c>
      <c r="AU262" t="s">
        <v>22073</v>
      </c>
      <c r="AV262">
        <v>0.25700000000000001</v>
      </c>
      <c r="AW262" t="s">
        <v>65</v>
      </c>
      <c r="AX262">
        <v>35</v>
      </c>
      <c r="AY262">
        <v>15</v>
      </c>
      <c r="AZ262" t="s">
        <v>22074</v>
      </c>
      <c r="BA262">
        <v>8.6190000000000003E-2</v>
      </c>
      <c r="BB262">
        <v>-6.2100000000000002E-3</v>
      </c>
      <c r="BC262">
        <v>9.9000000000000008E-3</v>
      </c>
      <c r="BD262">
        <v>-8.9999999999999998E-4</v>
      </c>
      <c r="BE262">
        <v>0.11489000000000001</v>
      </c>
      <c r="BF262">
        <v>1</v>
      </c>
      <c r="BG262" t="s">
        <v>69</v>
      </c>
      <c r="BH262">
        <v>-1.1919999999999999</v>
      </c>
      <c r="BI262">
        <v>7.9000000000000001E-2</v>
      </c>
    </row>
    <row r="263" spans="3:61">
      <c r="C263">
        <v>0</v>
      </c>
      <c r="D263">
        <v>0</v>
      </c>
      <c r="E263">
        <v>0</v>
      </c>
      <c r="F263" t="s">
        <v>25021</v>
      </c>
      <c r="G263">
        <v>3452</v>
      </c>
      <c r="H263" t="s">
        <v>20211</v>
      </c>
      <c r="I263" t="s">
        <v>57</v>
      </c>
      <c r="J263">
        <v>3411684</v>
      </c>
      <c r="K263">
        <v>3412091</v>
      </c>
      <c r="L263" t="s">
        <v>20212</v>
      </c>
      <c r="M263">
        <v>136</v>
      </c>
      <c r="N263" t="s">
        <v>108</v>
      </c>
      <c r="O263">
        <v>44</v>
      </c>
      <c r="P263" t="str">
        <f>HYPERLINK("Gene3452-zp_tree_all.dnd", "Gene3452-tree")</f>
        <v>Gene3452-tree</v>
      </c>
      <c r="Q263">
        <v>28</v>
      </c>
      <c r="R263">
        <v>5</v>
      </c>
      <c r="S263">
        <v>9</v>
      </c>
      <c r="T263">
        <v>5</v>
      </c>
      <c r="U263">
        <v>0.35714000000000001</v>
      </c>
      <c r="V263" t="s">
        <v>2825</v>
      </c>
      <c r="W263" t="s">
        <v>199</v>
      </c>
      <c r="X263" t="s">
        <v>62</v>
      </c>
      <c r="Y263" t="s">
        <v>62</v>
      </c>
      <c r="Z263">
        <v>0</v>
      </c>
      <c r="AA263">
        <v>0</v>
      </c>
      <c r="AB263">
        <v>7</v>
      </c>
      <c r="AC263">
        <v>0</v>
      </c>
      <c r="AD263" s="47">
        <v>0</v>
      </c>
      <c r="AE263" s="47">
        <v>0</v>
      </c>
      <c r="AF263" s="47">
        <v>0</v>
      </c>
      <c r="AG263" s="47">
        <v>0</v>
      </c>
      <c r="AH263" s="47">
        <v>0</v>
      </c>
      <c r="AI263" s="47">
        <v>0</v>
      </c>
      <c r="AJ263" s="47">
        <v>0</v>
      </c>
      <c r="AK263" s="47">
        <v>0</v>
      </c>
      <c r="AL263">
        <v>7</v>
      </c>
      <c r="AM263">
        <v>0</v>
      </c>
      <c r="AN263">
        <v>10</v>
      </c>
      <c r="AO263">
        <v>7</v>
      </c>
      <c r="AP263">
        <v>18</v>
      </c>
      <c r="AQ263">
        <v>7</v>
      </c>
      <c r="AR263">
        <v>8</v>
      </c>
      <c r="AS263">
        <v>0</v>
      </c>
      <c r="AT263" t="s">
        <v>20213</v>
      </c>
      <c r="AU263" t="s">
        <v>193</v>
      </c>
      <c r="AV263">
        <v>0.96899999999999997</v>
      </c>
      <c r="AW263" t="s">
        <v>65</v>
      </c>
      <c r="AX263">
        <v>26</v>
      </c>
      <c r="AY263">
        <v>7</v>
      </c>
      <c r="AZ263" t="s">
        <v>20214</v>
      </c>
      <c r="BA263">
        <v>5.219E-2</v>
      </c>
      <c r="BB263">
        <v>-3.7499999999999999E-3</v>
      </c>
      <c r="BC263">
        <v>3.2499999999999999E-3</v>
      </c>
      <c r="BD263">
        <v>-3.4000000000000002E-4</v>
      </c>
      <c r="BE263">
        <v>6.2309999999999997E-2</v>
      </c>
      <c r="BF263">
        <v>1</v>
      </c>
      <c r="BG263" t="s">
        <v>69</v>
      </c>
      <c r="BH263">
        <v>-1.532</v>
      </c>
      <c r="BI263">
        <v>-3.47</v>
      </c>
    </row>
    <row r="264" spans="3:61">
      <c r="C264">
        <v>0</v>
      </c>
      <c r="D264">
        <v>0</v>
      </c>
      <c r="E264">
        <v>0</v>
      </c>
      <c r="F264" t="s">
        <v>25021</v>
      </c>
      <c r="G264">
        <v>4168</v>
      </c>
      <c r="H264" t="s">
        <v>24531</v>
      </c>
      <c r="I264" t="s">
        <v>57</v>
      </c>
      <c r="J264">
        <v>4135351</v>
      </c>
      <c r="K264">
        <v>4135761</v>
      </c>
      <c r="L264" t="s">
        <v>1523</v>
      </c>
      <c r="M264">
        <v>137</v>
      </c>
      <c r="N264" t="s">
        <v>24532</v>
      </c>
      <c r="O264">
        <v>34</v>
      </c>
      <c r="P264" t="str">
        <f>HYPERLINK("Gene4168-zp_tree_all.dnd", "Gene4168-tree")</f>
        <v>Gene4168-tree</v>
      </c>
      <c r="Q264">
        <v>2</v>
      </c>
      <c r="R264">
        <v>5</v>
      </c>
      <c r="S264">
        <v>2</v>
      </c>
      <c r="T264">
        <v>5</v>
      </c>
      <c r="U264">
        <v>0.71428999999999998</v>
      </c>
      <c r="V264" t="s">
        <v>81</v>
      </c>
      <c r="W264" t="s">
        <v>199</v>
      </c>
      <c r="X264" t="s">
        <v>62</v>
      </c>
      <c r="Y264" t="s">
        <v>62</v>
      </c>
      <c r="Z264">
        <v>0</v>
      </c>
      <c r="AA264">
        <v>0</v>
      </c>
      <c r="AB264">
        <v>14</v>
      </c>
      <c r="AC264">
        <v>0</v>
      </c>
      <c r="AD264" s="47">
        <v>0</v>
      </c>
      <c r="AE264" s="47">
        <v>0</v>
      </c>
      <c r="AF264" s="47">
        <v>0</v>
      </c>
      <c r="AG264" s="47">
        <v>0</v>
      </c>
      <c r="AH264" s="47">
        <v>0</v>
      </c>
      <c r="AI264" s="47">
        <v>0</v>
      </c>
      <c r="AJ264" s="47">
        <v>0</v>
      </c>
      <c r="AK264" s="47">
        <v>0</v>
      </c>
      <c r="AL264">
        <v>7</v>
      </c>
      <c r="AM264">
        <v>0</v>
      </c>
      <c r="AN264">
        <v>6</v>
      </c>
      <c r="AO264">
        <v>4</v>
      </c>
      <c r="AP264">
        <v>5</v>
      </c>
      <c r="AQ264">
        <v>7</v>
      </c>
      <c r="AR264">
        <v>9</v>
      </c>
      <c r="AS264">
        <v>7</v>
      </c>
      <c r="AT264" t="s">
        <v>24533</v>
      </c>
      <c r="AU264" t="s">
        <v>24534</v>
      </c>
      <c r="AV264">
        <v>0.78200000000000003</v>
      </c>
      <c r="AW264" t="s">
        <v>65</v>
      </c>
      <c r="AX264">
        <v>14</v>
      </c>
      <c r="AY264">
        <v>14</v>
      </c>
      <c r="AZ264" t="s">
        <v>24535</v>
      </c>
      <c r="BA264">
        <v>7.5740000000000002E-2</v>
      </c>
      <c r="BB264">
        <v>-1.039E-2</v>
      </c>
      <c r="BC264">
        <v>1.8010000000000002E-2</v>
      </c>
      <c r="BD264">
        <v>-2.0300000000000001E-3</v>
      </c>
      <c r="BE264">
        <v>0.23784</v>
      </c>
      <c r="BF264">
        <v>0.99</v>
      </c>
      <c r="BG264" t="s">
        <v>69</v>
      </c>
      <c r="BH264">
        <v>0.82899999999999996</v>
      </c>
      <c r="BI264">
        <v>0.50600000000000001</v>
      </c>
    </row>
    <row r="265" spans="3:61">
      <c r="C265">
        <v>0</v>
      </c>
      <c r="D265">
        <v>5</v>
      </c>
      <c r="E265">
        <v>1</v>
      </c>
      <c r="F265" t="s">
        <v>25021</v>
      </c>
      <c r="G265">
        <v>3269</v>
      </c>
      <c r="H265" t="s">
        <v>19067</v>
      </c>
      <c r="I265" t="s">
        <v>57</v>
      </c>
      <c r="J265">
        <v>3235806</v>
      </c>
      <c r="K265">
        <v>3236216</v>
      </c>
      <c r="L265" t="s">
        <v>19068</v>
      </c>
      <c r="M265">
        <v>137</v>
      </c>
      <c r="N265" t="s">
        <v>214</v>
      </c>
      <c r="O265">
        <v>48</v>
      </c>
      <c r="P265" t="str">
        <f>HYPERLINK("Gene3269-zp_tree_all.dnd", "Gene3269-tree")</f>
        <v>Gene3269-tree</v>
      </c>
      <c r="Q265">
        <v>10</v>
      </c>
      <c r="R265">
        <v>5</v>
      </c>
      <c r="S265">
        <v>10</v>
      </c>
      <c r="T265">
        <v>5</v>
      </c>
      <c r="U265">
        <v>0.33333000000000002</v>
      </c>
      <c r="V265" t="s">
        <v>117</v>
      </c>
      <c r="W265" t="s">
        <v>199</v>
      </c>
      <c r="X265" t="s">
        <v>62</v>
      </c>
      <c r="Y265" t="s">
        <v>62</v>
      </c>
      <c r="Z265">
        <v>2</v>
      </c>
      <c r="AA265">
        <v>6</v>
      </c>
      <c r="AB265">
        <v>7</v>
      </c>
      <c r="AC265">
        <v>0.46154000000000001</v>
      </c>
      <c r="AD265" s="47">
        <v>0</v>
      </c>
      <c r="AE265" s="47">
        <v>0</v>
      </c>
      <c r="AF265" s="47">
        <v>0</v>
      </c>
      <c r="AG265" s="47">
        <v>2</v>
      </c>
      <c r="AH265" s="47">
        <v>0</v>
      </c>
      <c r="AI265" s="47">
        <v>0</v>
      </c>
      <c r="AJ265" s="47">
        <v>0</v>
      </c>
      <c r="AK265" s="47">
        <v>0</v>
      </c>
      <c r="AL265">
        <v>5</v>
      </c>
      <c r="AM265">
        <v>0</v>
      </c>
      <c r="AN265">
        <v>12</v>
      </c>
      <c r="AO265">
        <v>9</v>
      </c>
      <c r="AP265">
        <v>16</v>
      </c>
      <c r="AQ265">
        <v>5</v>
      </c>
      <c r="AR265">
        <v>25</v>
      </c>
      <c r="AS265">
        <v>8</v>
      </c>
      <c r="AT265" t="s">
        <v>19069</v>
      </c>
      <c r="AU265" t="s">
        <v>19070</v>
      </c>
      <c r="AV265">
        <v>6.0000000000000001E-3</v>
      </c>
      <c r="AW265" t="s">
        <v>65</v>
      </c>
      <c r="AX265">
        <v>41</v>
      </c>
      <c r="AY265">
        <v>13</v>
      </c>
      <c r="AZ265" t="s">
        <v>19071</v>
      </c>
      <c r="BA265">
        <v>0.10609</v>
      </c>
      <c r="BB265">
        <v>-6.2899999999999996E-3</v>
      </c>
      <c r="BC265">
        <v>8.9700000000000005E-3</v>
      </c>
      <c r="BD265">
        <v>-5.5000000000000003E-4</v>
      </c>
      <c r="BE265">
        <v>8.4559999999999996E-2</v>
      </c>
      <c r="BF265">
        <v>1</v>
      </c>
      <c r="BG265" t="s">
        <v>69</v>
      </c>
      <c r="BH265">
        <v>-1.0409999999999999</v>
      </c>
      <c r="BI265">
        <v>-0.215</v>
      </c>
    </row>
    <row r="266" spans="3:61">
      <c r="C266">
        <v>0</v>
      </c>
      <c r="D266">
        <v>0</v>
      </c>
      <c r="E266">
        <v>0</v>
      </c>
      <c r="F266" t="s">
        <v>25021</v>
      </c>
      <c r="G266">
        <v>3777</v>
      </c>
      <c r="H266" t="s">
        <v>22133</v>
      </c>
      <c r="I266" t="s">
        <v>57</v>
      </c>
      <c r="J266">
        <v>3749052</v>
      </c>
      <c r="K266">
        <v>3749462</v>
      </c>
      <c r="L266" t="s">
        <v>3745</v>
      </c>
      <c r="M266">
        <v>137</v>
      </c>
      <c r="N266" t="s">
        <v>59</v>
      </c>
      <c r="O266">
        <v>49</v>
      </c>
      <c r="P266" t="str">
        <f>HYPERLINK("Gene3777-zp_tree_all.dnd", "Gene3777-tree")</f>
        <v>Gene3777-tree</v>
      </c>
      <c r="Q266">
        <v>12</v>
      </c>
      <c r="R266">
        <v>2</v>
      </c>
      <c r="S266">
        <v>12</v>
      </c>
      <c r="T266">
        <v>2</v>
      </c>
      <c r="U266">
        <v>0.14285999999999999</v>
      </c>
      <c r="V266" t="s">
        <v>109</v>
      </c>
      <c r="W266" t="s">
        <v>81</v>
      </c>
      <c r="X266" t="s">
        <v>62</v>
      </c>
      <c r="Y266" t="s">
        <v>62</v>
      </c>
      <c r="Z266">
        <v>0</v>
      </c>
      <c r="AA266">
        <v>0</v>
      </c>
      <c r="AB266">
        <v>4</v>
      </c>
      <c r="AC266">
        <v>0</v>
      </c>
      <c r="AD266" s="47">
        <v>0</v>
      </c>
      <c r="AE266" s="47">
        <v>0</v>
      </c>
      <c r="AF266" s="47">
        <v>0</v>
      </c>
      <c r="AG266" s="47">
        <v>0</v>
      </c>
      <c r="AH266" s="47">
        <v>0</v>
      </c>
      <c r="AI266" s="47">
        <v>0</v>
      </c>
      <c r="AJ266" s="47">
        <v>0</v>
      </c>
      <c r="AK266" s="47">
        <v>0</v>
      </c>
      <c r="AL266">
        <v>3</v>
      </c>
      <c r="AM266">
        <v>0</v>
      </c>
      <c r="AN266">
        <v>9</v>
      </c>
      <c r="AO266">
        <v>6</v>
      </c>
      <c r="AP266">
        <v>17</v>
      </c>
      <c r="AQ266">
        <v>3</v>
      </c>
      <c r="AR266">
        <v>11</v>
      </c>
      <c r="AS266">
        <v>1</v>
      </c>
      <c r="AT266" t="s">
        <v>22134</v>
      </c>
      <c r="AU266" t="s">
        <v>22135</v>
      </c>
      <c r="AV266">
        <v>0.252</v>
      </c>
      <c r="AW266" t="s">
        <v>65</v>
      </c>
      <c r="AX266">
        <v>28</v>
      </c>
      <c r="AY266">
        <v>4</v>
      </c>
      <c r="AZ266" t="s">
        <v>22136</v>
      </c>
      <c r="BA266">
        <v>7.5329999999999994E-2</v>
      </c>
      <c r="BB266">
        <v>-4.9699999999999996E-3</v>
      </c>
      <c r="BC266">
        <v>2.7000000000000001E-3</v>
      </c>
      <c r="BD266">
        <v>-2.9999999999999997E-4</v>
      </c>
      <c r="BE266">
        <v>3.5779999999999999E-2</v>
      </c>
      <c r="BF266">
        <v>1</v>
      </c>
      <c r="BG266" t="s">
        <v>69</v>
      </c>
      <c r="BH266">
        <v>-1.218</v>
      </c>
      <c r="BI266">
        <v>-1.107</v>
      </c>
    </row>
    <row r="267" spans="3:61">
      <c r="C267">
        <v>0</v>
      </c>
      <c r="D267">
        <v>0</v>
      </c>
      <c r="E267">
        <v>0</v>
      </c>
      <c r="F267" t="s">
        <v>25021</v>
      </c>
      <c r="G267">
        <v>4231</v>
      </c>
      <c r="H267" t="s">
        <v>24845</v>
      </c>
      <c r="I267" t="s">
        <v>57</v>
      </c>
      <c r="J267">
        <v>4189796</v>
      </c>
      <c r="K267">
        <v>4190209</v>
      </c>
      <c r="L267" t="s">
        <v>24846</v>
      </c>
      <c r="M267">
        <v>138</v>
      </c>
      <c r="N267" t="s">
        <v>24847</v>
      </c>
      <c r="O267">
        <v>23</v>
      </c>
      <c r="P267" t="str">
        <f>HYPERLINK("Gene4231-zp_tree_all.dnd", "Gene4231-tree")</f>
        <v>Gene4231-tree</v>
      </c>
      <c r="Q267">
        <v>19</v>
      </c>
      <c r="R267">
        <v>2</v>
      </c>
      <c r="S267">
        <v>2</v>
      </c>
      <c r="T267">
        <v>2</v>
      </c>
      <c r="U267">
        <v>0.5</v>
      </c>
      <c r="V267" t="s">
        <v>3952</v>
      </c>
      <c r="W267" t="s">
        <v>81</v>
      </c>
      <c r="X267" t="s">
        <v>62</v>
      </c>
      <c r="Y267" t="s">
        <v>62</v>
      </c>
      <c r="Z267">
        <v>0</v>
      </c>
      <c r="AA267">
        <v>0</v>
      </c>
      <c r="AB267">
        <v>2</v>
      </c>
      <c r="AC267">
        <v>0</v>
      </c>
      <c r="AD267" s="47">
        <v>0</v>
      </c>
      <c r="AE267" s="47">
        <v>0</v>
      </c>
      <c r="AF267" s="47">
        <v>0</v>
      </c>
      <c r="AG267" s="47">
        <v>0</v>
      </c>
      <c r="AH267" s="47">
        <v>0</v>
      </c>
      <c r="AI267" s="47">
        <v>0</v>
      </c>
      <c r="AJ267" s="47">
        <v>0</v>
      </c>
      <c r="AK267" s="47">
        <v>0</v>
      </c>
      <c r="AL267">
        <v>2</v>
      </c>
      <c r="AM267">
        <v>0</v>
      </c>
      <c r="AN267">
        <v>2</v>
      </c>
      <c r="AO267">
        <v>1</v>
      </c>
      <c r="AP267">
        <v>3</v>
      </c>
      <c r="AQ267">
        <v>2</v>
      </c>
      <c r="AR267">
        <v>1</v>
      </c>
      <c r="AS267">
        <v>0</v>
      </c>
      <c r="AT267" t="s">
        <v>24848</v>
      </c>
      <c r="AU267" t="s">
        <v>193</v>
      </c>
      <c r="AV267">
        <v>1.4139999999999999</v>
      </c>
      <c r="AW267" t="s">
        <v>65</v>
      </c>
      <c r="AX267">
        <v>4</v>
      </c>
      <c r="AY267">
        <v>2</v>
      </c>
      <c r="AZ267" t="s">
        <v>24849</v>
      </c>
      <c r="BA267">
        <v>2.5739999999999999E-2</v>
      </c>
      <c r="BB267">
        <v>-7.6899999999999998E-3</v>
      </c>
      <c r="BC267">
        <v>3.0899999999999999E-3</v>
      </c>
      <c r="BD267">
        <v>-7.2999999999999996E-4</v>
      </c>
      <c r="BE267">
        <v>0.12003</v>
      </c>
      <c r="BF267">
        <v>0.96199999999999997</v>
      </c>
      <c r="BG267" t="s">
        <v>69</v>
      </c>
      <c r="BH267">
        <v>-1.647</v>
      </c>
      <c r="BI267">
        <v>-1.673</v>
      </c>
    </row>
    <row r="268" spans="3:61">
      <c r="C268">
        <v>0</v>
      </c>
      <c r="D268">
        <v>2</v>
      </c>
      <c r="E268">
        <v>0</v>
      </c>
      <c r="F268" t="s">
        <v>25021</v>
      </c>
      <c r="G268">
        <v>2318</v>
      </c>
      <c r="H268" t="s">
        <v>13439</v>
      </c>
      <c r="I268" t="s">
        <v>57</v>
      </c>
      <c r="J268">
        <v>2337577</v>
      </c>
      <c r="K268">
        <v>2337993</v>
      </c>
      <c r="L268" t="s">
        <v>12493</v>
      </c>
      <c r="M268">
        <v>139</v>
      </c>
      <c r="N268" t="s">
        <v>108</v>
      </c>
      <c r="O268">
        <v>44</v>
      </c>
      <c r="P268" t="str">
        <f>HYPERLINK("Gene2318-zp_tree_all.dnd", "Gene2318-tree")</f>
        <v>Gene2318-tree</v>
      </c>
      <c r="Q268">
        <v>6</v>
      </c>
      <c r="R268">
        <v>6</v>
      </c>
      <c r="S268">
        <v>6</v>
      </c>
      <c r="T268">
        <v>6</v>
      </c>
      <c r="U268">
        <v>0.5</v>
      </c>
      <c r="V268" t="s">
        <v>90</v>
      </c>
      <c r="W268" t="s">
        <v>90</v>
      </c>
      <c r="X268" t="s">
        <v>62</v>
      </c>
      <c r="Y268" t="s">
        <v>62</v>
      </c>
      <c r="Z268">
        <v>1</v>
      </c>
      <c r="AA268">
        <v>2</v>
      </c>
      <c r="AB268">
        <v>5</v>
      </c>
      <c r="AC268">
        <v>0.28571000000000002</v>
      </c>
      <c r="AD268" s="47">
        <v>0</v>
      </c>
      <c r="AE268" s="47">
        <v>0</v>
      </c>
      <c r="AF268" s="47">
        <v>0</v>
      </c>
      <c r="AG268" s="47">
        <v>0</v>
      </c>
      <c r="AH268" s="47">
        <v>0</v>
      </c>
      <c r="AI268" s="47">
        <v>2</v>
      </c>
      <c r="AJ268" s="47">
        <v>0</v>
      </c>
      <c r="AK268" s="47">
        <v>2</v>
      </c>
      <c r="AL268">
        <v>4</v>
      </c>
      <c r="AM268">
        <v>0.33333000000000002</v>
      </c>
      <c r="AN268">
        <v>7</v>
      </c>
      <c r="AO268">
        <v>5</v>
      </c>
      <c r="AP268">
        <v>5</v>
      </c>
      <c r="AQ268">
        <v>4</v>
      </c>
      <c r="AR268">
        <v>2</v>
      </c>
      <c r="AS268">
        <v>3</v>
      </c>
      <c r="AT268" t="s">
        <v>13440</v>
      </c>
      <c r="AU268" t="s">
        <v>13441</v>
      </c>
      <c r="AV268">
        <v>0.45500000000000002</v>
      </c>
      <c r="AW268" t="s">
        <v>65</v>
      </c>
      <c r="AX268">
        <v>7</v>
      </c>
      <c r="AY268">
        <v>7</v>
      </c>
      <c r="AZ268" t="s">
        <v>13442</v>
      </c>
      <c r="BA268">
        <v>1.9140000000000001E-2</v>
      </c>
      <c r="BB268">
        <v>-1.5499999999999999E-3</v>
      </c>
      <c r="BC268">
        <v>5.3099999999999996E-3</v>
      </c>
      <c r="BD268">
        <v>-3.8000000000000002E-4</v>
      </c>
      <c r="BE268">
        <v>0.27729999999999999</v>
      </c>
      <c r="BF268">
        <v>0.91600000000000004</v>
      </c>
      <c r="BG268" t="s">
        <v>635</v>
      </c>
      <c r="BH268">
        <v>-0.22700000000000001</v>
      </c>
      <c r="BI268">
        <v>0.43</v>
      </c>
    </row>
    <row r="269" spans="3:61">
      <c r="C269">
        <v>0</v>
      </c>
      <c r="D269">
        <v>2</v>
      </c>
      <c r="E269">
        <v>2</v>
      </c>
      <c r="F269" t="s">
        <v>25021</v>
      </c>
      <c r="G269">
        <v>3494</v>
      </c>
      <c r="H269" t="s">
        <v>20471</v>
      </c>
      <c r="I269" t="s">
        <v>57</v>
      </c>
      <c r="J269">
        <v>3457104</v>
      </c>
      <c r="K269">
        <v>3457520</v>
      </c>
      <c r="L269" t="s">
        <v>20472</v>
      </c>
      <c r="M269">
        <v>139</v>
      </c>
      <c r="N269" t="s">
        <v>8341</v>
      </c>
      <c r="O269">
        <v>42</v>
      </c>
      <c r="P269" t="str">
        <f>HYPERLINK("Gene3494-zp_tree_all.dnd", "Gene3494-tree")</f>
        <v>Gene3494-tree</v>
      </c>
      <c r="Q269">
        <v>5</v>
      </c>
      <c r="R269">
        <v>7</v>
      </c>
      <c r="S269">
        <v>5</v>
      </c>
      <c r="T269">
        <v>7</v>
      </c>
      <c r="U269">
        <v>0.58333000000000002</v>
      </c>
      <c r="V269" t="s">
        <v>199</v>
      </c>
      <c r="W269" t="s">
        <v>152</v>
      </c>
      <c r="X269" t="s">
        <v>62</v>
      </c>
      <c r="Y269" t="s">
        <v>62</v>
      </c>
      <c r="Z269">
        <v>2</v>
      </c>
      <c r="AA269">
        <v>4</v>
      </c>
      <c r="AB269">
        <v>9</v>
      </c>
      <c r="AC269">
        <v>0.30769000000000002</v>
      </c>
      <c r="AD269" s="47">
        <v>0</v>
      </c>
      <c r="AE269" s="47">
        <v>0</v>
      </c>
      <c r="AF269" s="47">
        <v>0</v>
      </c>
      <c r="AG269" s="47">
        <v>0</v>
      </c>
      <c r="AH269" s="47">
        <v>0</v>
      </c>
      <c r="AI269" s="47">
        <v>2</v>
      </c>
      <c r="AJ269" s="47">
        <v>0</v>
      </c>
      <c r="AK269" s="47">
        <v>2</v>
      </c>
      <c r="AL269">
        <v>8</v>
      </c>
      <c r="AM269">
        <v>0.2</v>
      </c>
      <c r="AN269">
        <v>9</v>
      </c>
      <c r="AO269">
        <v>4</v>
      </c>
      <c r="AP269">
        <v>20</v>
      </c>
      <c r="AQ269">
        <v>10</v>
      </c>
      <c r="AR269">
        <v>6</v>
      </c>
      <c r="AS269">
        <v>3</v>
      </c>
      <c r="AT269" t="s">
        <v>20473</v>
      </c>
      <c r="AU269" t="s">
        <v>20474</v>
      </c>
      <c r="AV269">
        <v>2.8000000000000001E-2</v>
      </c>
      <c r="AW269" t="s">
        <v>65</v>
      </c>
      <c r="AX269">
        <v>26</v>
      </c>
      <c r="AY269">
        <v>13</v>
      </c>
      <c r="AZ269" t="s">
        <v>20475</v>
      </c>
      <c r="BA269">
        <v>5.0029999999999998E-2</v>
      </c>
      <c r="BB269">
        <v>-7.1000000000000004E-3</v>
      </c>
      <c r="BC269">
        <v>9.1199999999999996E-3</v>
      </c>
      <c r="BD269">
        <v>-8.4000000000000003E-4</v>
      </c>
      <c r="BE269">
        <v>0.18223</v>
      </c>
      <c r="BF269">
        <v>1</v>
      </c>
      <c r="BG269" t="s">
        <v>69</v>
      </c>
      <c r="BH269">
        <v>-1.8240000000000001</v>
      </c>
      <c r="BI269">
        <v>-4.3810000000000002</v>
      </c>
    </row>
    <row r="270" spans="3:61">
      <c r="C270">
        <v>0</v>
      </c>
      <c r="D270">
        <v>0</v>
      </c>
      <c r="E270">
        <v>0</v>
      </c>
      <c r="F270" t="s">
        <v>25021</v>
      </c>
      <c r="G270">
        <v>688</v>
      </c>
      <c r="H270" t="s">
        <v>4299</v>
      </c>
      <c r="I270" t="s">
        <v>62</v>
      </c>
      <c r="J270">
        <v>711459</v>
      </c>
      <c r="K270">
        <v>711875</v>
      </c>
      <c r="L270" t="s">
        <v>4300</v>
      </c>
      <c r="M270">
        <v>139</v>
      </c>
      <c r="N270" t="s">
        <v>108</v>
      </c>
      <c r="O270">
        <v>44</v>
      </c>
      <c r="P270" t="str">
        <f>HYPERLINK("Gene688-zp_tree_all.dnd", "Gene688-tree")</f>
        <v>Gene688-tree</v>
      </c>
      <c r="Q270">
        <v>9</v>
      </c>
      <c r="R270">
        <v>7</v>
      </c>
      <c r="S270">
        <v>9</v>
      </c>
      <c r="T270">
        <v>7</v>
      </c>
      <c r="U270">
        <v>0.4375</v>
      </c>
      <c r="V270" t="s">
        <v>135</v>
      </c>
      <c r="W270" t="s">
        <v>152</v>
      </c>
      <c r="X270" t="s">
        <v>62</v>
      </c>
      <c r="Y270" t="s">
        <v>62</v>
      </c>
      <c r="Z270">
        <v>0</v>
      </c>
      <c r="AA270">
        <v>0</v>
      </c>
      <c r="AB270">
        <v>11</v>
      </c>
      <c r="AC270">
        <v>0</v>
      </c>
      <c r="AD270" s="47">
        <v>0</v>
      </c>
      <c r="AE270" s="47">
        <v>0</v>
      </c>
      <c r="AF270" s="47">
        <v>0</v>
      </c>
      <c r="AG270" s="47">
        <v>0</v>
      </c>
      <c r="AH270" s="47">
        <v>0</v>
      </c>
      <c r="AI270" s="47">
        <v>0</v>
      </c>
      <c r="AJ270" s="47">
        <v>0</v>
      </c>
      <c r="AK270" s="47">
        <v>0</v>
      </c>
      <c r="AL270">
        <v>9</v>
      </c>
      <c r="AM270">
        <v>0</v>
      </c>
      <c r="AN270">
        <v>13</v>
      </c>
      <c r="AO270">
        <v>12</v>
      </c>
      <c r="AP270">
        <v>29</v>
      </c>
      <c r="AQ270">
        <v>7</v>
      </c>
      <c r="AR270">
        <v>30</v>
      </c>
      <c r="AS270">
        <v>6</v>
      </c>
      <c r="AT270" t="s">
        <v>4301</v>
      </c>
      <c r="AU270" t="s">
        <v>4302</v>
      </c>
      <c r="AV270">
        <v>0.10100000000000001</v>
      </c>
      <c r="AW270" t="s">
        <v>65</v>
      </c>
      <c r="AX270">
        <v>59</v>
      </c>
      <c r="AY270">
        <v>13</v>
      </c>
      <c r="AZ270" t="s">
        <v>4303</v>
      </c>
      <c r="BA270">
        <v>0.1037</v>
      </c>
      <c r="BB270">
        <v>-3.3899999999999998E-3</v>
      </c>
      <c r="BC270">
        <v>9.8899999999999995E-3</v>
      </c>
      <c r="BD270">
        <v>-7.5000000000000002E-4</v>
      </c>
      <c r="BE270">
        <v>9.536E-2</v>
      </c>
      <c r="BF270">
        <v>1</v>
      </c>
      <c r="BG270" t="s">
        <v>69</v>
      </c>
      <c r="BH270">
        <v>0.55300000000000005</v>
      </c>
      <c r="BI270">
        <v>-6.4000000000000001E-2</v>
      </c>
    </row>
    <row r="271" spans="3:61">
      <c r="C271">
        <v>0</v>
      </c>
      <c r="D271">
        <v>0</v>
      </c>
      <c r="E271">
        <v>0</v>
      </c>
      <c r="F271" t="s">
        <v>25021</v>
      </c>
      <c r="G271">
        <v>1224</v>
      </c>
      <c r="H271" t="s">
        <v>7690</v>
      </c>
      <c r="I271" t="s">
        <v>62</v>
      </c>
      <c r="J271">
        <v>1256439</v>
      </c>
      <c r="K271">
        <v>1256858</v>
      </c>
      <c r="L271" t="s">
        <v>3537</v>
      </c>
      <c r="M271">
        <v>140</v>
      </c>
      <c r="N271" t="s">
        <v>7691</v>
      </c>
      <c r="O271">
        <v>46</v>
      </c>
      <c r="P271" t="str">
        <f>HYPERLINK("Gene1224-zp_tree_all.dnd", "Gene1224-tree")</f>
        <v>Gene1224-tree</v>
      </c>
      <c r="Q271">
        <v>4</v>
      </c>
      <c r="R271">
        <v>8</v>
      </c>
      <c r="S271">
        <v>4</v>
      </c>
      <c r="T271">
        <v>8</v>
      </c>
      <c r="U271">
        <v>0.66666999999999998</v>
      </c>
      <c r="V271" t="s">
        <v>61</v>
      </c>
      <c r="W271" t="s">
        <v>136</v>
      </c>
      <c r="X271" t="s">
        <v>62</v>
      </c>
      <c r="Y271" t="s">
        <v>62</v>
      </c>
      <c r="Z271">
        <v>0</v>
      </c>
      <c r="AA271">
        <v>0</v>
      </c>
      <c r="AB271">
        <v>14</v>
      </c>
      <c r="AC271">
        <v>0</v>
      </c>
      <c r="AD271" s="47">
        <v>0</v>
      </c>
      <c r="AE271" s="47">
        <v>0</v>
      </c>
      <c r="AF271" s="47">
        <v>0</v>
      </c>
      <c r="AG271" s="47">
        <v>0</v>
      </c>
      <c r="AH271" s="47">
        <v>0</v>
      </c>
      <c r="AI271" s="47">
        <v>0</v>
      </c>
      <c r="AJ271" s="47">
        <v>0</v>
      </c>
      <c r="AK271" s="47">
        <v>0</v>
      </c>
      <c r="AL271">
        <v>10</v>
      </c>
      <c r="AM271">
        <v>0</v>
      </c>
      <c r="AN271">
        <v>10</v>
      </c>
      <c r="AO271">
        <v>5</v>
      </c>
      <c r="AP271">
        <v>23</v>
      </c>
      <c r="AQ271">
        <v>10</v>
      </c>
      <c r="AR271">
        <v>12</v>
      </c>
      <c r="AS271">
        <v>4</v>
      </c>
      <c r="AT271" t="s">
        <v>7692</v>
      </c>
      <c r="AU271" t="s">
        <v>7693</v>
      </c>
      <c r="AV271">
        <v>0.216</v>
      </c>
      <c r="AW271" t="s">
        <v>65</v>
      </c>
      <c r="AX271">
        <v>35</v>
      </c>
      <c r="AY271">
        <v>14</v>
      </c>
      <c r="AZ271" t="s">
        <v>7694</v>
      </c>
      <c r="BA271">
        <v>9.0130000000000002E-2</v>
      </c>
      <c r="BB271">
        <v>-1.052E-2</v>
      </c>
      <c r="BC271">
        <v>9.0699999999999999E-3</v>
      </c>
      <c r="BD271">
        <v>-5.0000000000000001E-4</v>
      </c>
      <c r="BE271">
        <v>0.10061</v>
      </c>
      <c r="BF271">
        <v>1</v>
      </c>
      <c r="BG271" t="s">
        <v>69</v>
      </c>
      <c r="BH271">
        <v>-2.2210000000000001</v>
      </c>
      <c r="BI271">
        <v>-3.2029999999999998</v>
      </c>
    </row>
    <row r="272" spans="3:61">
      <c r="C272">
        <v>0</v>
      </c>
      <c r="D272">
        <v>0</v>
      </c>
      <c r="E272">
        <v>0</v>
      </c>
      <c r="F272" t="s">
        <v>25021</v>
      </c>
      <c r="G272">
        <v>2261</v>
      </c>
      <c r="H272" t="s">
        <v>13071</v>
      </c>
      <c r="I272" t="s">
        <v>57</v>
      </c>
      <c r="J272">
        <v>2288194</v>
      </c>
      <c r="K272">
        <v>2288616</v>
      </c>
      <c r="L272" t="s">
        <v>3745</v>
      </c>
      <c r="M272">
        <v>141</v>
      </c>
      <c r="N272" t="s">
        <v>59</v>
      </c>
      <c r="O272">
        <v>49</v>
      </c>
      <c r="P272" t="str">
        <f>HYPERLINK("Gene2261-zp_tree_all.dnd", "Gene2261-tree")</f>
        <v>Gene2261-tree</v>
      </c>
      <c r="Q272">
        <v>9</v>
      </c>
      <c r="R272">
        <v>1</v>
      </c>
      <c r="S272">
        <v>9</v>
      </c>
      <c r="T272">
        <v>1</v>
      </c>
      <c r="U272">
        <v>0.1</v>
      </c>
      <c r="V272" t="s">
        <v>135</v>
      </c>
      <c r="W272" t="s">
        <v>175</v>
      </c>
      <c r="X272" t="s">
        <v>62</v>
      </c>
      <c r="Y272" t="s">
        <v>62</v>
      </c>
      <c r="Z272">
        <v>0</v>
      </c>
      <c r="AA272">
        <v>0</v>
      </c>
      <c r="AB272">
        <v>3</v>
      </c>
      <c r="AC272">
        <v>0</v>
      </c>
      <c r="AD272" s="47">
        <v>0</v>
      </c>
      <c r="AE272" s="47">
        <v>0</v>
      </c>
      <c r="AF272" s="47">
        <v>0</v>
      </c>
      <c r="AG272" s="47">
        <v>0</v>
      </c>
      <c r="AH272" s="47">
        <v>0</v>
      </c>
      <c r="AI272" s="47">
        <v>0</v>
      </c>
      <c r="AJ272" s="47">
        <v>0</v>
      </c>
      <c r="AK272" s="47">
        <v>0</v>
      </c>
      <c r="AL272">
        <v>1</v>
      </c>
      <c r="AM272">
        <v>0</v>
      </c>
      <c r="AN272">
        <v>9</v>
      </c>
      <c r="AO272">
        <v>4</v>
      </c>
      <c r="AP272">
        <v>18</v>
      </c>
      <c r="AQ272">
        <v>1</v>
      </c>
      <c r="AR272">
        <v>20</v>
      </c>
      <c r="AS272">
        <v>2</v>
      </c>
      <c r="AT272" t="s">
        <v>13072</v>
      </c>
      <c r="AU272" t="s">
        <v>13073</v>
      </c>
      <c r="AV272">
        <v>0.187</v>
      </c>
      <c r="AW272" t="s">
        <v>65</v>
      </c>
      <c r="AX272">
        <v>38</v>
      </c>
      <c r="AY272">
        <v>3</v>
      </c>
      <c r="AZ272" t="s">
        <v>13074</v>
      </c>
      <c r="BA272">
        <v>0.14077000000000001</v>
      </c>
      <c r="BB272">
        <v>-1.2370000000000001E-2</v>
      </c>
      <c r="BC272">
        <v>3.8300000000000001E-3</v>
      </c>
      <c r="BD272">
        <v>-5.0000000000000001E-4</v>
      </c>
      <c r="BE272">
        <v>2.7210000000000002E-2</v>
      </c>
      <c r="BF272">
        <v>1</v>
      </c>
      <c r="BG272" t="s">
        <v>69</v>
      </c>
      <c r="BH272">
        <v>-1.36</v>
      </c>
      <c r="BI272">
        <v>-0.77100000000000002</v>
      </c>
    </row>
    <row r="273" spans="3:61">
      <c r="C273">
        <v>0</v>
      </c>
      <c r="D273">
        <v>0</v>
      </c>
      <c r="E273">
        <v>2</v>
      </c>
      <c r="F273" t="s">
        <v>25021</v>
      </c>
      <c r="G273">
        <v>1862</v>
      </c>
      <c r="H273" t="s">
        <v>11664</v>
      </c>
      <c r="I273" t="s">
        <v>62</v>
      </c>
      <c r="J273">
        <v>1924996</v>
      </c>
      <c r="K273">
        <v>1925421</v>
      </c>
      <c r="L273" t="s">
        <v>11665</v>
      </c>
      <c r="M273">
        <v>142</v>
      </c>
      <c r="N273" t="s">
        <v>108</v>
      </c>
      <c r="O273">
        <v>44</v>
      </c>
      <c r="P273" t="str">
        <f>HYPERLINK("Gene1862-zp_tree_all.dnd", "Gene1862-tree")</f>
        <v>Gene1862-tree</v>
      </c>
      <c r="Q273">
        <v>27</v>
      </c>
      <c r="R273">
        <v>4</v>
      </c>
      <c r="S273">
        <v>7</v>
      </c>
      <c r="T273">
        <v>4</v>
      </c>
      <c r="U273">
        <v>0.36364000000000002</v>
      </c>
      <c r="V273" t="s">
        <v>8429</v>
      </c>
      <c r="W273" t="s">
        <v>61</v>
      </c>
      <c r="X273" t="s">
        <v>62</v>
      </c>
      <c r="Y273" t="s">
        <v>62</v>
      </c>
      <c r="Z273">
        <v>1</v>
      </c>
      <c r="AA273">
        <v>2</v>
      </c>
      <c r="AB273">
        <v>4</v>
      </c>
      <c r="AC273">
        <v>0.33333000000000002</v>
      </c>
      <c r="AD273" s="47">
        <v>0</v>
      </c>
      <c r="AE273" s="47">
        <v>0</v>
      </c>
      <c r="AF273" s="47">
        <v>0</v>
      </c>
      <c r="AG273" s="47">
        <v>1</v>
      </c>
      <c r="AH273" s="47">
        <v>0</v>
      </c>
      <c r="AI273" s="47">
        <v>0</v>
      </c>
      <c r="AJ273" s="47">
        <v>2</v>
      </c>
      <c r="AK273" s="47">
        <v>2</v>
      </c>
      <c r="AL273">
        <v>3</v>
      </c>
      <c r="AM273">
        <v>0.4</v>
      </c>
      <c r="AN273">
        <v>7</v>
      </c>
      <c r="AO273">
        <v>5</v>
      </c>
      <c r="AP273">
        <v>10</v>
      </c>
      <c r="AQ273">
        <v>5</v>
      </c>
      <c r="AR273">
        <v>4</v>
      </c>
      <c r="AS273">
        <v>1</v>
      </c>
      <c r="AT273" t="s">
        <v>11666</v>
      </c>
      <c r="AU273" t="s">
        <v>11667</v>
      </c>
      <c r="AV273">
        <v>0.39300000000000002</v>
      </c>
      <c r="AW273" t="s">
        <v>65</v>
      </c>
      <c r="AX273">
        <v>14</v>
      </c>
      <c r="AY273">
        <v>6</v>
      </c>
      <c r="AZ273" t="s">
        <v>11668</v>
      </c>
      <c r="BA273">
        <v>3.9120000000000002E-2</v>
      </c>
      <c r="BB273">
        <v>-3.4499999999999999E-3</v>
      </c>
      <c r="BC273">
        <v>3.6600000000000001E-3</v>
      </c>
      <c r="BD273">
        <v>-3.4000000000000002E-4</v>
      </c>
      <c r="BE273">
        <v>9.3509999999999996E-2</v>
      </c>
      <c r="BF273">
        <v>1</v>
      </c>
      <c r="BG273" t="s">
        <v>69</v>
      </c>
      <c r="BH273">
        <v>-1.1359999999999999</v>
      </c>
      <c r="BI273">
        <v>-2.226</v>
      </c>
    </row>
    <row r="274" spans="3:61">
      <c r="C274">
        <v>0</v>
      </c>
      <c r="D274">
        <v>0</v>
      </c>
      <c r="E274">
        <v>0</v>
      </c>
      <c r="F274" t="s">
        <v>25021</v>
      </c>
      <c r="G274">
        <v>573</v>
      </c>
      <c r="H274" t="s">
        <v>3687</v>
      </c>
      <c r="I274" t="s">
        <v>62</v>
      </c>
      <c r="J274">
        <v>601744</v>
      </c>
      <c r="K274">
        <v>602172</v>
      </c>
      <c r="L274" t="s">
        <v>3688</v>
      </c>
      <c r="M274">
        <v>143</v>
      </c>
      <c r="N274" t="s">
        <v>2548</v>
      </c>
      <c r="O274">
        <v>37</v>
      </c>
      <c r="P274" t="str">
        <f>HYPERLINK("Gene573-zp_tree_all.dnd", "Gene573-tree")</f>
        <v>Gene573-tree</v>
      </c>
      <c r="Q274">
        <v>3</v>
      </c>
      <c r="R274">
        <v>3</v>
      </c>
      <c r="S274">
        <v>3</v>
      </c>
      <c r="T274">
        <v>3</v>
      </c>
      <c r="U274">
        <v>0.5</v>
      </c>
      <c r="V274" t="s">
        <v>324</v>
      </c>
      <c r="W274" t="s">
        <v>324</v>
      </c>
      <c r="X274" t="s">
        <v>62</v>
      </c>
      <c r="Y274" t="s">
        <v>62</v>
      </c>
      <c r="Z274">
        <v>0</v>
      </c>
      <c r="AA274">
        <v>0</v>
      </c>
      <c r="AB274">
        <v>5</v>
      </c>
      <c r="AC274">
        <v>0</v>
      </c>
      <c r="AD274" s="47">
        <v>0</v>
      </c>
      <c r="AE274" s="47">
        <v>0</v>
      </c>
      <c r="AF274" s="47">
        <v>0</v>
      </c>
      <c r="AG274" s="47">
        <v>1</v>
      </c>
      <c r="AH274" s="47">
        <v>0</v>
      </c>
      <c r="AI274" s="47">
        <v>0</v>
      </c>
      <c r="AJ274" s="47">
        <v>0</v>
      </c>
      <c r="AK274" s="47">
        <v>0</v>
      </c>
      <c r="AL274">
        <v>4</v>
      </c>
      <c r="AM274">
        <v>0</v>
      </c>
      <c r="AN274">
        <v>3</v>
      </c>
      <c r="AO274">
        <v>3</v>
      </c>
      <c r="AP274">
        <v>4</v>
      </c>
      <c r="AQ274">
        <v>2</v>
      </c>
      <c r="AR274">
        <v>6</v>
      </c>
      <c r="AS274">
        <v>3</v>
      </c>
      <c r="AT274" t="s">
        <v>3689</v>
      </c>
      <c r="AU274" t="s">
        <v>3690</v>
      </c>
      <c r="AV274">
        <v>3.0000000000000001E-3</v>
      </c>
      <c r="AW274" t="s">
        <v>65</v>
      </c>
      <c r="AX274">
        <v>10</v>
      </c>
      <c r="AY274">
        <v>5</v>
      </c>
      <c r="AZ274" t="s">
        <v>3691</v>
      </c>
      <c r="BA274">
        <v>4.836E-2</v>
      </c>
      <c r="BB274">
        <v>-5.4799999999999996E-3</v>
      </c>
      <c r="BC274">
        <v>6.8199999999999997E-3</v>
      </c>
      <c r="BD274">
        <v>-9.6000000000000002E-4</v>
      </c>
      <c r="BE274">
        <v>0.14104</v>
      </c>
      <c r="BF274">
        <v>1</v>
      </c>
      <c r="BG274" t="s">
        <v>69</v>
      </c>
      <c r="BH274">
        <v>0.98099999999999998</v>
      </c>
      <c r="BI274">
        <v>0.19800000000000001</v>
      </c>
    </row>
    <row r="275" spans="3:61">
      <c r="C275">
        <v>0</v>
      </c>
      <c r="D275">
        <v>0</v>
      </c>
      <c r="E275">
        <v>0</v>
      </c>
      <c r="F275" t="s">
        <v>25021</v>
      </c>
      <c r="G275">
        <v>3280</v>
      </c>
      <c r="H275" t="s">
        <v>19139</v>
      </c>
      <c r="I275" t="s">
        <v>57</v>
      </c>
      <c r="J275">
        <v>3248996</v>
      </c>
      <c r="K275">
        <v>3249424</v>
      </c>
      <c r="L275" t="s">
        <v>19140</v>
      </c>
      <c r="M275">
        <v>143</v>
      </c>
      <c r="N275" t="s">
        <v>59</v>
      </c>
      <c r="O275">
        <v>49</v>
      </c>
      <c r="P275" t="str">
        <f>HYPERLINK("Gene3280-zp_tree_all.dnd", "Gene3280-tree")</f>
        <v>Gene3280-tree</v>
      </c>
      <c r="Q275">
        <v>11</v>
      </c>
      <c r="R275">
        <v>2</v>
      </c>
      <c r="S275">
        <v>11</v>
      </c>
      <c r="T275">
        <v>2</v>
      </c>
      <c r="U275">
        <v>0.15384999999999999</v>
      </c>
      <c r="V275" t="s">
        <v>73</v>
      </c>
      <c r="W275" t="s">
        <v>81</v>
      </c>
      <c r="X275" t="s">
        <v>62</v>
      </c>
      <c r="Y275" t="s">
        <v>62</v>
      </c>
      <c r="Z275">
        <v>0</v>
      </c>
      <c r="AA275">
        <v>0</v>
      </c>
      <c r="AB275">
        <v>5</v>
      </c>
      <c r="AC275">
        <v>0</v>
      </c>
      <c r="AD275" s="47">
        <v>0</v>
      </c>
      <c r="AE275" s="47">
        <v>0</v>
      </c>
      <c r="AF275" s="47">
        <v>0</v>
      </c>
      <c r="AG275" s="47">
        <v>2</v>
      </c>
      <c r="AH275" s="47">
        <v>0</v>
      </c>
      <c r="AI275" s="47">
        <v>0</v>
      </c>
      <c r="AJ275" s="47">
        <v>0</v>
      </c>
      <c r="AK275" s="47">
        <v>0</v>
      </c>
      <c r="AL275">
        <v>2</v>
      </c>
      <c r="AM275">
        <v>0</v>
      </c>
      <c r="AN275">
        <v>9</v>
      </c>
      <c r="AO275">
        <v>5</v>
      </c>
      <c r="AP275">
        <v>27</v>
      </c>
      <c r="AQ275">
        <v>3</v>
      </c>
      <c r="AR275">
        <v>14</v>
      </c>
      <c r="AS275">
        <v>3</v>
      </c>
      <c r="AT275" t="s">
        <v>19141</v>
      </c>
      <c r="AU275" t="s">
        <v>19142</v>
      </c>
      <c r="AV275">
        <v>0.374</v>
      </c>
      <c r="AW275" t="s">
        <v>65</v>
      </c>
      <c r="AX275">
        <v>41</v>
      </c>
      <c r="AY275">
        <v>6</v>
      </c>
      <c r="AZ275" t="s">
        <v>19143</v>
      </c>
      <c r="BA275">
        <v>7.671E-2</v>
      </c>
      <c r="BB275">
        <v>-6.5100000000000002E-3</v>
      </c>
      <c r="BC275">
        <v>4.8199999999999996E-3</v>
      </c>
      <c r="BD275">
        <v>-5.8E-4</v>
      </c>
      <c r="BE275">
        <v>6.2820000000000001E-2</v>
      </c>
      <c r="BF275">
        <v>1</v>
      </c>
      <c r="BG275" t="s">
        <v>69</v>
      </c>
      <c r="BH275">
        <v>-1.0980000000000001</v>
      </c>
      <c r="BI275">
        <v>0.55200000000000005</v>
      </c>
    </row>
    <row r="276" spans="3:61">
      <c r="C276">
        <v>0</v>
      </c>
      <c r="D276">
        <v>0</v>
      </c>
      <c r="E276">
        <v>0</v>
      </c>
      <c r="F276" t="s">
        <v>25021</v>
      </c>
      <c r="G276">
        <v>991</v>
      </c>
      <c r="H276" t="s">
        <v>6213</v>
      </c>
      <c r="I276" t="s">
        <v>62</v>
      </c>
      <c r="J276">
        <v>1033461</v>
      </c>
      <c r="K276">
        <v>1033889</v>
      </c>
      <c r="L276" t="s">
        <v>6214</v>
      </c>
      <c r="M276">
        <v>143</v>
      </c>
      <c r="N276" t="s">
        <v>59</v>
      </c>
      <c r="O276">
        <v>49</v>
      </c>
      <c r="P276" t="str">
        <f>HYPERLINK("Gene991-zp_tree_all.dnd", "Gene991-tree")</f>
        <v>Gene991-tree</v>
      </c>
      <c r="Q276">
        <v>6</v>
      </c>
      <c r="R276">
        <v>3</v>
      </c>
      <c r="S276">
        <v>6</v>
      </c>
      <c r="T276">
        <v>3</v>
      </c>
      <c r="U276">
        <v>0.33333000000000002</v>
      </c>
      <c r="V276" t="s">
        <v>90</v>
      </c>
      <c r="W276" t="s">
        <v>324</v>
      </c>
      <c r="X276" t="s">
        <v>62</v>
      </c>
      <c r="Y276" t="s">
        <v>62</v>
      </c>
      <c r="Z276">
        <v>0</v>
      </c>
      <c r="AA276">
        <v>0</v>
      </c>
      <c r="AB276">
        <v>4</v>
      </c>
      <c r="AC276">
        <v>0</v>
      </c>
      <c r="AD276" s="47">
        <v>0</v>
      </c>
      <c r="AE276" s="47">
        <v>0</v>
      </c>
      <c r="AF276" s="47">
        <v>0</v>
      </c>
      <c r="AG276" s="47">
        <v>0</v>
      </c>
      <c r="AH276" s="47">
        <v>0</v>
      </c>
      <c r="AI276" s="47">
        <v>0</v>
      </c>
      <c r="AJ276" s="47">
        <v>0</v>
      </c>
      <c r="AK276" s="47">
        <v>0</v>
      </c>
      <c r="AL276">
        <v>3</v>
      </c>
      <c r="AM276">
        <v>0</v>
      </c>
      <c r="AN276">
        <v>6</v>
      </c>
      <c r="AO276">
        <v>3</v>
      </c>
      <c r="AP276">
        <v>4</v>
      </c>
      <c r="AQ276">
        <v>2</v>
      </c>
      <c r="AR276">
        <v>12</v>
      </c>
      <c r="AS276">
        <v>2</v>
      </c>
      <c r="AT276" t="s">
        <v>6215</v>
      </c>
      <c r="AU276" t="s">
        <v>6216</v>
      </c>
      <c r="AV276">
        <v>0.65700000000000003</v>
      </c>
      <c r="AW276" t="s">
        <v>65</v>
      </c>
      <c r="AX276">
        <v>16</v>
      </c>
      <c r="AY276">
        <v>4</v>
      </c>
      <c r="AZ276" t="s">
        <v>6217</v>
      </c>
      <c r="BA276">
        <v>6.4079999999999998E-2</v>
      </c>
      <c r="BB276">
        <v>-6.6299999999999996E-3</v>
      </c>
      <c r="BC276">
        <v>3.7399999999999998E-3</v>
      </c>
      <c r="BD276">
        <v>-4.4000000000000002E-4</v>
      </c>
      <c r="BE276">
        <v>5.8409999999999997E-2</v>
      </c>
      <c r="BF276">
        <v>1</v>
      </c>
      <c r="BG276" t="s">
        <v>69</v>
      </c>
      <c r="BH276">
        <v>-1.591</v>
      </c>
      <c r="BI276">
        <v>0.89900000000000002</v>
      </c>
    </row>
    <row r="277" spans="3:61">
      <c r="C277">
        <v>0</v>
      </c>
      <c r="D277">
        <v>0</v>
      </c>
      <c r="E277">
        <v>0</v>
      </c>
      <c r="F277" t="s">
        <v>25021</v>
      </c>
      <c r="G277">
        <v>1839</v>
      </c>
      <c r="H277" t="s">
        <v>11518</v>
      </c>
      <c r="I277" t="s">
        <v>62</v>
      </c>
      <c r="J277">
        <v>1906275</v>
      </c>
      <c r="K277">
        <v>1906706</v>
      </c>
      <c r="L277" t="s">
        <v>11519</v>
      </c>
      <c r="M277">
        <v>144</v>
      </c>
      <c r="N277" t="s">
        <v>1392</v>
      </c>
      <c r="O277">
        <v>43</v>
      </c>
      <c r="P277" t="str">
        <f>HYPERLINK("Gene1839-zp_tree_all.dnd", "Gene1839-tree")</f>
        <v>Gene1839-tree</v>
      </c>
      <c r="Q277">
        <v>4</v>
      </c>
      <c r="R277">
        <v>5</v>
      </c>
      <c r="S277">
        <v>4</v>
      </c>
      <c r="T277">
        <v>5</v>
      </c>
      <c r="U277">
        <v>0.55556000000000005</v>
      </c>
      <c r="V277" t="s">
        <v>61</v>
      </c>
      <c r="W277" t="s">
        <v>199</v>
      </c>
      <c r="X277" t="s">
        <v>62</v>
      </c>
      <c r="Y277" t="s">
        <v>62</v>
      </c>
      <c r="Z277">
        <v>0</v>
      </c>
      <c r="AA277">
        <v>0</v>
      </c>
      <c r="AB277">
        <v>6</v>
      </c>
      <c r="AC277">
        <v>0</v>
      </c>
      <c r="AD277" s="47">
        <v>0</v>
      </c>
      <c r="AE277" s="47">
        <v>0</v>
      </c>
      <c r="AF277" s="47">
        <v>0</v>
      </c>
      <c r="AG277" s="47">
        <v>0</v>
      </c>
      <c r="AH277" s="47">
        <v>0</v>
      </c>
      <c r="AI277" s="47">
        <v>0</v>
      </c>
      <c r="AJ277" s="47">
        <v>0</v>
      </c>
      <c r="AK277" s="47">
        <v>0</v>
      </c>
      <c r="AL277">
        <v>6</v>
      </c>
      <c r="AM277">
        <v>0</v>
      </c>
      <c r="AN277">
        <v>6</v>
      </c>
      <c r="AO277">
        <v>5</v>
      </c>
      <c r="AP277">
        <v>7</v>
      </c>
      <c r="AQ277">
        <v>5</v>
      </c>
      <c r="AR277">
        <v>4</v>
      </c>
      <c r="AS277">
        <v>1</v>
      </c>
      <c r="AT277" t="s">
        <v>11520</v>
      </c>
      <c r="AU277" t="s">
        <v>11521</v>
      </c>
      <c r="AV277">
        <v>0.82199999999999995</v>
      </c>
      <c r="AW277" t="s">
        <v>65</v>
      </c>
      <c r="AX277">
        <v>11</v>
      </c>
      <c r="AY277">
        <v>6</v>
      </c>
      <c r="AZ277" t="s">
        <v>11522</v>
      </c>
      <c r="BA277">
        <v>3.8460000000000001E-2</v>
      </c>
      <c r="BB277">
        <v>-2.98E-3</v>
      </c>
      <c r="BC277">
        <v>4.4600000000000004E-3</v>
      </c>
      <c r="BD277">
        <v>-5.0000000000000001E-4</v>
      </c>
      <c r="BE277">
        <v>0.11586</v>
      </c>
      <c r="BF277">
        <v>0.99</v>
      </c>
      <c r="BG277" t="s">
        <v>69</v>
      </c>
      <c r="BH277">
        <v>-1.2809999999999999</v>
      </c>
      <c r="BI277">
        <v>-0.51</v>
      </c>
    </row>
    <row r="278" spans="3:61">
      <c r="C278">
        <v>0</v>
      </c>
      <c r="D278">
        <v>0</v>
      </c>
      <c r="E278">
        <v>0</v>
      </c>
      <c r="F278" t="s">
        <v>25021</v>
      </c>
      <c r="G278">
        <v>1096</v>
      </c>
      <c r="H278" t="s">
        <v>6894</v>
      </c>
      <c r="I278" t="s">
        <v>62</v>
      </c>
      <c r="J278">
        <v>1135702</v>
      </c>
      <c r="K278">
        <v>1136136</v>
      </c>
      <c r="L278" t="s">
        <v>6895</v>
      </c>
      <c r="M278">
        <v>145</v>
      </c>
      <c r="N278" t="s">
        <v>108</v>
      </c>
      <c r="O278">
        <v>44</v>
      </c>
      <c r="P278" t="str">
        <f>HYPERLINK("Gene1096-zp_tree_all.dnd", "Gene1096-tree")</f>
        <v>Gene1096-tree</v>
      </c>
      <c r="Q278">
        <v>11</v>
      </c>
      <c r="R278">
        <v>5</v>
      </c>
      <c r="S278">
        <v>11</v>
      </c>
      <c r="T278">
        <v>5</v>
      </c>
      <c r="U278">
        <v>0.3125</v>
      </c>
      <c r="V278" t="s">
        <v>73</v>
      </c>
      <c r="W278" t="s">
        <v>199</v>
      </c>
      <c r="X278" t="s">
        <v>62</v>
      </c>
      <c r="Y278" t="s">
        <v>62</v>
      </c>
      <c r="Z278">
        <v>0</v>
      </c>
      <c r="AA278">
        <v>0</v>
      </c>
      <c r="AB278">
        <v>8</v>
      </c>
      <c r="AC278">
        <v>0</v>
      </c>
      <c r="AD278" s="47">
        <v>0</v>
      </c>
      <c r="AE278" s="47">
        <v>0</v>
      </c>
      <c r="AF278" s="47">
        <v>0</v>
      </c>
      <c r="AG278" s="47">
        <v>2</v>
      </c>
      <c r="AH278" s="47">
        <v>0</v>
      </c>
      <c r="AI278" s="47">
        <v>0</v>
      </c>
      <c r="AJ278" s="47">
        <v>0</v>
      </c>
      <c r="AK278" s="47">
        <v>0</v>
      </c>
      <c r="AL278">
        <v>6</v>
      </c>
      <c r="AM278">
        <v>0</v>
      </c>
      <c r="AN278">
        <v>11</v>
      </c>
      <c r="AO278">
        <v>8</v>
      </c>
      <c r="AP278">
        <v>17</v>
      </c>
      <c r="AQ278">
        <v>6</v>
      </c>
      <c r="AR278">
        <v>10</v>
      </c>
      <c r="AS278">
        <v>2</v>
      </c>
      <c r="AT278" t="s">
        <v>6896</v>
      </c>
      <c r="AU278" t="s">
        <v>6897</v>
      </c>
      <c r="AV278">
        <v>0.26100000000000001</v>
      </c>
      <c r="AW278" t="s">
        <v>65</v>
      </c>
      <c r="AX278">
        <v>27</v>
      </c>
      <c r="AY278">
        <v>8</v>
      </c>
      <c r="AZ278" t="s">
        <v>6898</v>
      </c>
      <c r="BA278">
        <v>5.074E-2</v>
      </c>
      <c r="BB278">
        <v>-2.0899999999999998E-3</v>
      </c>
      <c r="BC278">
        <v>3.62E-3</v>
      </c>
      <c r="BD278">
        <v>-2.7999999999999998E-4</v>
      </c>
      <c r="BE278">
        <v>7.1370000000000003E-2</v>
      </c>
      <c r="BF278">
        <v>1</v>
      </c>
      <c r="BG278" t="s">
        <v>69</v>
      </c>
      <c r="BH278">
        <v>-1.2090000000000001</v>
      </c>
      <c r="BI278">
        <v>-1.89</v>
      </c>
    </row>
    <row r="279" spans="3:61">
      <c r="C279">
        <v>0</v>
      </c>
      <c r="D279">
        <v>0</v>
      </c>
      <c r="E279">
        <v>0</v>
      </c>
      <c r="F279" t="s">
        <v>25021</v>
      </c>
      <c r="G279">
        <v>1039</v>
      </c>
      <c r="H279" t="s">
        <v>6519</v>
      </c>
      <c r="I279" t="s">
        <v>62</v>
      </c>
      <c r="J279">
        <v>1076518</v>
      </c>
      <c r="K279">
        <v>1076952</v>
      </c>
      <c r="L279" t="s">
        <v>6520</v>
      </c>
      <c r="M279">
        <v>145</v>
      </c>
      <c r="N279" t="s">
        <v>108</v>
      </c>
      <c r="O279">
        <v>44</v>
      </c>
      <c r="P279" t="str">
        <f>HYPERLINK("Gene1039-zp_tree_all.dnd", "Gene1039-tree")</f>
        <v>Gene1039-tree</v>
      </c>
      <c r="Q279">
        <v>7</v>
      </c>
      <c r="R279">
        <v>2</v>
      </c>
      <c r="S279">
        <v>7</v>
      </c>
      <c r="T279">
        <v>2</v>
      </c>
      <c r="U279">
        <v>0.22222</v>
      </c>
      <c r="V279" t="s">
        <v>152</v>
      </c>
      <c r="W279" t="s">
        <v>81</v>
      </c>
      <c r="X279" t="s">
        <v>62</v>
      </c>
      <c r="Y279" t="s">
        <v>62</v>
      </c>
      <c r="Z279">
        <v>0</v>
      </c>
      <c r="AA279">
        <v>0</v>
      </c>
      <c r="AB279">
        <v>2</v>
      </c>
      <c r="AC279">
        <v>0</v>
      </c>
      <c r="AD279" s="47">
        <v>0</v>
      </c>
      <c r="AE279" s="47">
        <v>0</v>
      </c>
      <c r="AF279" s="47">
        <v>0</v>
      </c>
      <c r="AG279" s="47">
        <v>0</v>
      </c>
      <c r="AH279" s="47">
        <v>0</v>
      </c>
      <c r="AI279" s="47">
        <v>0</v>
      </c>
      <c r="AJ279" s="47">
        <v>0</v>
      </c>
      <c r="AK279" s="47">
        <v>0</v>
      </c>
      <c r="AL279">
        <v>2</v>
      </c>
      <c r="AM279">
        <v>0</v>
      </c>
      <c r="AN279">
        <v>6</v>
      </c>
      <c r="AO279">
        <v>4</v>
      </c>
      <c r="AP279">
        <v>5</v>
      </c>
      <c r="AQ279">
        <v>2</v>
      </c>
      <c r="AR279">
        <v>4</v>
      </c>
      <c r="AS279">
        <v>0</v>
      </c>
      <c r="AT279" t="s">
        <v>6521</v>
      </c>
      <c r="AU279" t="s">
        <v>193</v>
      </c>
      <c r="AV279">
        <v>1.113</v>
      </c>
      <c r="AW279" t="s">
        <v>65</v>
      </c>
      <c r="AX279">
        <v>9</v>
      </c>
      <c r="AY279">
        <v>2</v>
      </c>
      <c r="AZ279" t="s">
        <v>6522</v>
      </c>
      <c r="BA279">
        <v>2.87E-2</v>
      </c>
      <c r="BB279">
        <v>-2E-3</v>
      </c>
      <c r="BC279">
        <v>1.32E-3</v>
      </c>
      <c r="BD279">
        <v>-2.7E-4</v>
      </c>
      <c r="BE279">
        <v>4.5920000000000002E-2</v>
      </c>
      <c r="BF279">
        <v>1</v>
      </c>
      <c r="BG279" t="s">
        <v>69</v>
      </c>
      <c r="BH279">
        <v>0.108</v>
      </c>
      <c r="BI279">
        <v>-0.98099999999999998</v>
      </c>
    </row>
    <row r="280" spans="3:61">
      <c r="C280">
        <v>0</v>
      </c>
      <c r="D280">
        <v>5</v>
      </c>
      <c r="E280">
        <v>0</v>
      </c>
      <c r="F280" t="s">
        <v>25021</v>
      </c>
      <c r="G280">
        <v>4250</v>
      </c>
      <c r="H280" t="s">
        <v>24962</v>
      </c>
      <c r="I280" t="s">
        <v>57</v>
      </c>
      <c r="J280">
        <v>4207406</v>
      </c>
      <c r="K280">
        <v>4207843</v>
      </c>
      <c r="L280" t="s">
        <v>24963</v>
      </c>
      <c r="M280">
        <v>146</v>
      </c>
      <c r="N280" t="s">
        <v>108</v>
      </c>
      <c r="O280">
        <v>44</v>
      </c>
      <c r="P280" t="str">
        <f>HYPERLINK("Gene4250-zp_tree_all.dnd", "Gene4250-tree")</f>
        <v>Gene4250-tree</v>
      </c>
      <c r="Q280">
        <v>6</v>
      </c>
      <c r="R280">
        <v>7</v>
      </c>
      <c r="S280">
        <v>6</v>
      </c>
      <c r="T280">
        <v>7</v>
      </c>
      <c r="U280">
        <v>0.53846000000000005</v>
      </c>
      <c r="V280" t="s">
        <v>90</v>
      </c>
      <c r="W280" t="s">
        <v>152</v>
      </c>
      <c r="X280" t="s">
        <v>62</v>
      </c>
      <c r="Y280" t="s">
        <v>62</v>
      </c>
      <c r="Z280">
        <v>2</v>
      </c>
      <c r="AA280">
        <v>5</v>
      </c>
      <c r="AB280">
        <v>8</v>
      </c>
      <c r="AC280">
        <v>0.38462000000000002</v>
      </c>
      <c r="AD280" s="47">
        <v>0</v>
      </c>
      <c r="AE280" s="47">
        <v>0</v>
      </c>
      <c r="AF280" s="47">
        <v>0</v>
      </c>
      <c r="AG280" s="47">
        <v>1</v>
      </c>
      <c r="AH280" s="47">
        <v>0</v>
      </c>
      <c r="AI280" s="47">
        <v>2</v>
      </c>
      <c r="AJ280" s="47">
        <v>0</v>
      </c>
      <c r="AK280" s="47">
        <v>2</v>
      </c>
      <c r="AL280">
        <v>9</v>
      </c>
      <c r="AM280">
        <v>0.18182000000000001</v>
      </c>
      <c r="AN280">
        <v>11</v>
      </c>
      <c r="AO280">
        <v>7</v>
      </c>
      <c r="AP280">
        <v>13</v>
      </c>
      <c r="AQ280">
        <v>11</v>
      </c>
      <c r="AR280">
        <v>13</v>
      </c>
      <c r="AS280">
        <v>2</v>
      </c>
      <c r="AT280" t="s">
        <v>24964</v>
      </c>
      <c r="AU280" t="s">
        <v>24965</v>
      </c>
      <c r="AV280">
        <v>0.96299999999999997</v>
      </c>
      <c r="AW280" t="s">
        <v>65</v>
      </c>
      <c r="AX280">
        <v>26</v>
      </c>
      <c r="AY280">
        <v>13</v>
      </c>
      <c r="AZ280" t="s">
        <v>24966</v>
      </c>
      <c r="BA280">
        <v>6.2600000000000003E-2</v>
      </c>
      <c r="BB280">
        <v>-4.1599999999999996E-3</v>
      </c>
      <c r="BC280">
        <v>6.4400000000000004E-3</v>
      </c>
      <c r="BD280">
        <v>-4.0000000000000002E-4</v>
      </c>
      <c r="BE280">
        <v>0.10289</v>
      </c>
      <c r="BF280">
        <v>1</v>
      </c>
      <c r="BG280" t="s">
        <v>69</v>
      </c>
      <c r="BH280">
        <v>-0.92</v>
      </c>
      <c r="BI280">
        <v>-1.1000000000000001</v>
      </c>
    </row>
    <row r="281" spans="3:61">
      <c r="C281">
        <v>0</v>
      </c>
      <c r="D281">
        <v>2</v>
      </c>
      <c r="E281">
        <v>0</v>
      </c>
      <c r="F281" t="s">
        <v>25021</v>
      </c>
      <c r="G281">
        <v>973</v>
      </c>
      <c r="H281" t="s">
        <v>6095</v>
      </c>
      <c r="I281" t="s">
        <v>62</v>
      </c>
      <c r="J281">
        <v>1013414</v>
      </c>
      <c r="K281">
        <v>1013851</v>
      </c>
      <c r="L281" t="s">
        <v>6096</v>
      </c>
      <c r="M281">
        <v>146</v>
      </c>
      <c r="N281" t="s">
        <v>108</v>
      </c>
      <c r="O281">
        <v>44</v>
      </c>
      <c r="P281" t="str">
        <f>HYPERLINK("Gene973-zp_tree_all.dnd", "Gene973-tree")</f>
        <v>Gene973-tree</v>
      </c>
      <c r="Q281">
        <v>10</v>
      </c>
      <c r="R281">
        <v>1</v>
      </c>
      <c r="S281">
        <v>10</v>
      </c>
      <c r="T281">
        <v>1</v>
      </c>
      <c r="U281">
        <v>9.0910000000000005E-2</v>
      </c>
      <c r="V281" t="s">
        <v>117</v>
      </c>
      <c r="W281" t="s">
        <v>175</v>
      </c>
      <c r="X281" t="s">
        <v>62</v>
      </c>
      <c r="Y281" t="s">
        <v>62</v>
      </c>
      <c r="Z281">
        <v>1</v>
      </c>
      <c r="AA281">
        <v>2</v>
      </c>
      <c r="AB281">
        <v>1</v>
      </c>
      <c r="AC281">
        <v>0.66666999999999998</v>
      </c>
      <c r="AD281" s="47">
        <v>0</v>
      </c>
      <c r="AE281" s="47">
        <v>0</v>
      </c>
      <c r="AF281" s="47">
        <v>0</v>
      </c>
      <c r="AG281" s="47">
        <v>0</v>
      </c>
      <c r="AH281" s="47">
        <v>0</v>
      </c>
      <c r="AI281" s="47">
        <v>0</v>
      </c>
      <c r="AJ281" s="47">
        <v>0</v>
      </c>
      <c r="AK281" s="47">
        <v>0</v>
      </c>
      <c r="AL281">
        <v>1</v>
      </c>
      <c r="AM281">
        <v>0</v>
      </c>
      <c r="AN281">
        <v>6</v>
      </c>
      <c r="AO281">
        <v>5</v>
      </c>
      <c r="AP281">
        <v>7</v>
      </c>
      <c r="AQ281">
        <v>1</v>
      </c>
      <c r="AR281">
        <v>9</v>
      </c>
      <c r="AS281">
        <v>2</v>
      </c>
      <c r="AT281" t="s">
        <v>6097</v>
      </c>
      <c r="AU281" t="s">
        <v>6098</v>
      </c>
      <c r="AV281">
        <v>0.13600000000000001</v>
      </c>
      <c r="AW281" t="s">
        <v>65</v>
      </c>
      <c r="AX281">
        <v>16</v>
      </c>
      <c r="AY281">
        <v>3</v>
      </c>
      <c r="AZ281" t="s">
        <v>6099</v>
      </c>
      <c r="BA281">
        <v>4.598E-2</v>
      </c>
      <c r="BB281">
        <v>-3.7100000000000002E-3</v>
      </c>
      <c r="BC281">
        <v>2.2699999999999999E-3</v>
      </c>
      <c r="BD281">
        <v>-3.3E-4</v>
      </c>
      <c r="BE281">
        <v>4.9270000000000001E-2</v>
      </c>
      <c r="BF281">
        <v>0.99</v>
      </c>
      <c r="BG281" t="s">
        <v>69</v>
      </c>
      <c r="BH281">
        <v>-1.1910000000000001</v>
      </c>
      <c r="BI281">
        <v>-0.40400000000000003</v>
      </c>
    </row>
    <row r="282" spans="3:61">
      <c r="C282">
        <v>0</v>
      </c>
      <c r="D282">
        <v>4</v>
      </c>
      <c r="E282">
        <v>0</v>
      </c>
      <c r="F282" t="s">
        <v>25021</v>
      </c>
      <c r="G282">
        <v>4219</v>
      </c>
      <c r="H282" t="s">
        <v>24798</v>
      </c>
      <c r="I282" t="s">
        <v>57</v>
      </c>
      <c r="J282">
        <v>4181456</v>
      </c>
      <c r="K282">
        <v>4181896</v>
      </c>
      <c r="L282" t="s">
        <v>3537</v>
      </c>
      <c r="M282">
        <v>147</v>
      </c>
      <c r="N282" t="s">
        <v>2078</v>
      </c>
      <c r="O282">
        <v>36</v>
      </c>
      <c r="P282" t="str">
        <f>HYPERLINK("Gene4219-zp_tree_all.dnd", "Gene4219-tree")</f>
        <v>Gene4219-tree</v>
      </c>
      <c r="Q282">
        <v>3</v>
      </c>
      <c r="R282">
        <v>7</v>
      </c>
      <c r="S282">
        <v>3</v>
      </c>
      <c r="T282">
        <v>7</v>
      </c>
      <c r="U282">
        <v>0.7</v>
      </c>
      <c r="V282" t="s">
        <v>324</v>
      </c>
      <c r="W282" t="s">
        <v>152</v>
      </c>
      <c r="X282" t="s">
        <v>62</v>
      </c>
      <c r="Y282" t="s">
        <v>62</v>
      </c>
      <c r="Z282">
        <v>2</v>
      </c>
      <c r="AA282">
        <v>4</v>
      </c>
      <c r="AB282">
        <v>9</v>
      </c>
      <c r="AC282">
        <v>0.30769000000000002</v>
      </c>
      <c r="AD282" s="47">
        <v>0</v>
      </c>
      <c r="AE282" s="47">
        <v>0</v>
      </c>
      <c r="AF282" s="47">
        <v>0</v>
      </c>
      <c r="AG282" s="47">
        <v>0</v>
      </c>
      <c r="AH282" s="47">
        <v>0</v>
      </c>
      <c r="AI282" s="47">
        <v>0</v>
      </c>
      <c r="AJ282" s="47">
        <v>0</v>
      </c>
      <c r="AK282" s="47">
        <v>0</v>
      </c>
      <c r="AL282">
        <v>8</v>
      </c>
      <c r="AM282">
        <v>0</v>
      </c>
      <c r="AN282">
        <v>9</v>
      </c>
      <c r="AO282">
        <v>6</v>
      </c>
      <c r="AP282">
        <v>9</v>
      </c>
      <c r="AQ282">
        <v>7</v>
      </c>
      <c r="AR282">
        <v>6</v>
      </c>
      <c r="AS282">
        <v>6</v>
      </c>
      <c r="AT282" t="s">
        <v>24799</v>
      </c>
      <c r="AU282" t="s">
        <v>24800</v>
      </c>
      <c r="AV282">
        <v>0.13400000000000001</v>
      </c>
      <c r="AW282" t="s">
        <v>65</v>
      </c>
      <c r="AX282">
        <v>15</v>
      </c>
      <c r="AY282">
        <v>13</v>
      </c>
      <c r="AZ282" t="s">
        <v>24801</v>
      </c>
      <c r="BA282">
        <v>4.1200000000000001E-2</v>
      </c>
      <c r="BB282">
        <v>-4.1999999999999997E-3</v>
      </c>
      <c r="BC282">
        <v>9.9100000000000004E-3</v>
      </c>
      <c r="BD282">
        <v>-5.8E-4</v>
      </c>
      <c r="BE282">
        <v>0.24049000000000001</v>
      </c>
      <c r="BF282">
        <v>0.99</v>
      </c>
      <c r="BG282" t="s">
        <v>69</v>
      </c>
      <c r="BH282">
        <v>-0.35</v>
      </c>
      <c r="BI282">
        <v>-0.58599999999999997</v>
      </c>
    </row>
    <row r="283" spans="3:61">
      <c r="C283">
        <v>0</v>
      </c>
      <c r="D283">
        <v>2</v>
      </c>
      <c r="E283">
        <v>0</v>
      </c>
      <c r="F283" t="s">
        <v>25021</v>
      </c>
      <c r="G283">
        <v>555</v>
      </c>
      <c r="H283" t="s">
        <v>3570</v>
      </c>
      <c r="I283" t="s">
        <v>62</v>
      </c>
      <c r="J283">
        <v>586631</v>
      </c>
      <c r="K283">
        <v>587071</v>
      </c>
      <c r="L283" t="s">
        <v>288</v>
      </c>
      <c r="M283">
        <v>147</v>
      </c>
      <c r="N283" t="s">
        <v>108</v>
      </c>
      <c r="O283">
        <v>44</v>
      </c>
      <c r="P283" t="str">
        <f>HYPERLINK("Gene555-zp_tree_all.dnd", "Gene555-tree")</f>
        <v>Gene555-tree</v>
      </c>
      <c r="Q283">
        <v>8</v>
      </c>
      <c r="R283">
        <v>3</v>
      </c>
      <c r="S283">
        <v>8</v>
      </c>
      <c r="T283">
        <v>3</v>
      </c>
      <c r="U283">
        <v>0.27272999999999997</v>
      </c>
      <c r="V283" t="s">
        <v>136</v>
      </c>
      <c r="W283" t="s">
        <v>324</v>
      </c>
      <c r="X283" t="s">
        <v>62</v>
      </c>
      <c r="Y283" t="s">
        <v>62</v>
      </c>
      <c r="Z283">
        <v>1</v>
      </c>
      <c r="AA283">
        <v>2</v>
      </c>
      <c r="AB283">
        <v>3</v>
      </c>
      <c r="AC283">
        <v>0.4</v>
      </c>
      <c r="AD283" s="47">
        <v>0</v>
      </c>
      <c r="AE283" s="47">
        <v>0</v>
      </c>
      <c r="AF283" s="47">
        <v>0</v>
      </c>
      <c r="AG283" s="47">
        <v>2</v>
      </c>
      <c r="AH283" s="47">
        <v>0</v>
      </c>
      <c r="AI283" s="47">
        <v>0</v>
      </c>
      <c r="AJ283" s="47">
        <v>0</v>
      </c>
      <c r="AK283" s="47">
        <v>0</v>
      </c>
      <c r="AL283">
        <v>2</v>
      </c>
      <c r="AM283">
        <v>0</v>
      </c>
      <c r="AN283">
        <v>6</v>
      </c>
      <c r="AO283">
        <v>6</v>
      </c>
      <c r="AP283">
        <v>7</v>
      </c>
      <c r="AQ283">
        <v>2</v>
      </c>
      <c r="AR283">
        <v>13</v>
      </c>
      <c r="AS283">
        <v>3</v>
      </c>
      <c r="AT283" t="s">
        <v>3571</v>
      </c>
      <c r="AU283" t="s">
        <v>3572</v>
      </c>
      <c r="AV283">
        <v>0.14899999999999999</v>
      </c>
      <c r="AW283" t="s">
        <v>65</v>
      </c>
      <c r="AX283">
        <v>20</v>
      </c>
      <c r="AY283">
        <v>5</v>
      </c>
      <c r="AZ283" t="s">
        <v>3573</v>
      </c>
      <c r="BA283">
        <v>5.8360000000000002E-2</v>
      </c>
      <c r="BB283">
        <v>-5.6100000000000004E-3</v>
      </c>
      <c r="BC283">
        <v>4.0400000000000002E-3</v>
      </c>
      <c r="BD283">
        <v>-3.5E-4</v>
      </c>
      <c r="BE283">
        <v>6.9250000000000006E-2</v>
      </c>
      <c r="BF283">
        <v>1</v>
      </c>
      <c r="BG283" t="s">
        <v>69</v>
      </c>
      <c r="BH283">
        <v>0.20699999999999999</v>
      </c>
      <c r="BI283">
        <v>0.17399999999999999</v>
      </c>
    </row>
    <row r="284" spans="3:61">
      <c r="C284">
        <v>0</v>
      </c>
      <c r="D284">
        <v>2</v>
      </c>
      <c r="E284">
        <v>0</v>
      </c>
      <c r="F284" t="s">
        <v>25021</v>
      </c>
      <c r="G284">
        <v>1365</v>
      </c>
      <c r="H284" t="s">
        <v>8546</v>
      </c>
      <c r="I284" t="s">
        <v>62</v>
      </c>
      <c r="J284">
        <v>1381437</v>
      </c>
      <c r="K284">
        <v>1381877</v>
      </c>
      <c r="L284" t="s">
        <v>8547</v>
      </c>
      <c r="M284">
        <v>147</v>
      </c>
      <c r="N284" t="s">
        <v>108</v>
      </c>
      <c r="O284">
        <v>44</v>
      </c>
      <c r="P284" t="str">
        <f>HYPERLINK("Gene1365-zp_tree_all.dnd", "Gene1365-tree")</f>
        <v>Gene1365-tree</v>
      </c>
      <c r="Q284">
        <v>7</v>
      </c>
      <c r="R284">
        <v>4</v>
      </c>
      <c r="S284">
        <v>7</v>
      </c>
      <c r="T284">
        <v>4</v>
      </c>
      <c r="U284">
        <v>0.36364000000000002</v>
      </c>
      <c r="V284" t="s">
        <v>152</v>
      </c>
      <c r="W284" t="s">
        <v>61</v>
      </c>
      <c r="X284" t="s">
        <v>62</v>
      </c>
      <c r="Y284" t="s">
        <v>62</v>
      </c>
      <c r="Z284">
        <v>1</v>
      </c>
      <c r="AA284">
        <v>2</v>
      </c>
      <c r="AB284">
        <v>4</v>
      </c>
      <c r="AC284">
        <v>0.33333000000000002</v>
      </c>
      <c r="AD284" s="47">
        <v>0</v>
      </c>
      <c r="AE284" s="47">
        <v>0</v>
      </c>
      <c r="AF284" s="47">
        <v>0</v>
      </c>
      <c r="AG284" s="47">
        <v>0</v>
      </c>
      <c r="AH284" s="47">
        <v>0</v>
      </c>
      <c r="AI284" s="47">
        <v>2</v>
      </c>
      <c r="AJ284" s="47">
        <v>0</v>
      </c>
      <c r="AK284" s="47">
        <v>2</v>
      </c>
      <c r="AL284">
        <v>4</v>
      </c>
      <c r="AM284">
        <v>0.33333000000000002</v>
      </c>
      <c r="AN284">
        <v>8</v>
      </c>
      <c r="AO284">
        <v>4</v>
      </c>
      <c r="AP284">
        <v>18</v>
      </c>
      <c r="AQ284">
        <v>6</v>
      </c>
      <c r="AR284">
        <v>5</v>
      </c>
      <c r="AS284">
        <v>0</v>
      </c>
      <c r="AT284" t="s">
        <v>8548</v>
      </c>
      <c r="AU284" t="s">
        <v>193</v>
      </c>
      <c r="AV284">
        <v>1.401</v>
      </c>
      <c r="AW284" t="s">
        <v>65</v>
      </c>
      <c r="AX284">
        <v>23</v>
      </c>
      <c r="AY284">
        <v>6</v>
      </c>
      <c r="AZ284" t="s">
        <v>8549</v>
      </c>
      <c r="BA284">
        <v>5.4330000000000003E-2</v>
      </c>
      <c r="BB284">
        <v>-4.2500000000000003E-3</v>
      </c>
      <c r="BC284">
        <v>3.3999999999999998E-3</v>
      </c>
      <c r="BD284">
        <v>-4.0000000000000002E-4</v>
      </c>
      <c r="BE284">
        <v>6.2609999999999999E-2</v>
      </c>
      <c r="BF284">
        <v>1</v>
      </c>
      <c r="BG284" t="s">
        <v>69</v>
      </c>
      <c r="BH284">
        <v>0.32500000000000001</v>
      </c>
      <c r="BI284">
        <v>0.89800000000000002</v>
      </c>
    </row>
    <row r="285" spans="3:61">
      <c r="C285">
        <v>0</v>
      </c>
      <c r="D285">
        <v>0</v>
      </c>
      <c r="E285">
        <v>0</v>
      </c>
      <c r="F285" t="s">
        <v>25021</v>
      </c>
      <c r="G285">
        <v>1212</v>
      </c>
      <c r="H285" t="s">
        <v>7632</v>
      </c>
      <c r="I285" t="s">
        <v>62</v>
      </c>
      <c r="J285">
        <v>1249445</v>
      </c>
      <c r="K285">
        <v>1249888</v>
      </c>
      <c r="L285" t="s">
        <v>7633</v>
      </c>
      <c r="M285">
        <v>148</v>
      </c>
      <c r="N285" t="s">
        <v>289</v>
      </c>
      <c r="O285">
        <v>46</v>
      </c>
      <c r="P285" t="str">
        <f>HYPERLINK("Gene1212-zp_tree_all.dnd", "Gene1212-tree")</f>
        <v>Gene1212-tree</v>
      </c>
      <c r="Q285">
        <v>11</v>
      </c>
      <c r="R285">
        <v>0</v>
      </c>
      <c r="S285">
        <v>11</v>
      </c>
      <c r="T285">
        <v>0</v>
      </c>
      <c r="U285">
        <v>0</v>
      </c>
      <c r="V285" t="s">
        <v>73</v>
      </c>
      <c r="W285" t="s">
        <v>62</v>
      </c>
      <c r="X285" t="s">
        <v>62</v>
      </c>
      <c r="Y285" t="s">
        <v>62</v>
      </c>
      <c r="Z285">
        <v>0</v>
      </c>
      <c r="AA285">
        <v>0</v>
      </c>
      <c r="AB285">
        <v>1</v>
      </c>
      <c r="AC285">
        <v>0</v>
      </c>
      <c r="AD285" s="47">
        <v>0</v>
      </c>
      <c r="AE285" s="47">
        <v>0</v>
      </c>
      <c r="AF285" s="47">
        <v>0</v>
      </c>
      <c r="AG285" s="47">
        <v>1</v>
      </c>
      <c r="AH285" s="47">
        <v>0</v>
      </c>
      <c r="AI285" s="47">
        <v>0</v>
      </c>
      <c r="AJ285" s="47">
        <v>0</v>
      </c>
      <c r="AK285" s="47">
        <v>0</v>
      </c>
      <c r="AL285">
        <v>0</v>
      </c>
      <c r="AM285">
        <v>0</v>
      </c>
      <c r="AN285">
        <v>9</v>
      </c>
      <c r="AO285">
        <v>3</v>
      </c>
      <c r="AP285">
        <v>13</v>
      </c>
      <c r="AQ285">
        <v>0</v>
      </c>
      <c r="AR285">
        <v>6</v>
      </c>
      <c r="AS285">
        <v>1</v>
      </c>
      <c r="AT285" t="s">
        <v>193</v>
      </c>
      <c r="AU285" t="s">
        <v>7634</v>
      </c>
      <c r="AV285">
        <v>0.79800000000000004</v>
      </c>
      <c r="AW285" t="s">
        <v>65</v>
      </c>
      <c r="AX285">
        <v>19</v>
      </c>
      <c r="AY285">
        <v>1</v>
      </c>
      <c r="AZ285" t="s">
        <v>7635</v>
      </c>
      <c r="BA285">
        <v>4.4889999999999999E-2</v>
      </c>
      <c r="BB285">
        <v>-4.0099999999999997E-3</v>
      </c>
      <c r="BC285">
        <v>1.47E-3</v>
      </c>
      <c r="BD285">
        <v>-1.9000000000000001E-4</v>
      </c>
      <c r="BE285">
        <v>3.2809999999999999E-2</v>
      </c>
      <c r="BF285">
        <v>1</v>
      </c>
      <c r="BG285" t="s">
        <v>69</v>
      </c>
      <c r="BH285">
        <v>-1.1499999999999999</v>
      </c>
      <c r="BI285">
        <v>-0.318</v>
      </c>
    </row>
    <row r="286" spans="3:61">
      <c r="C286">
        <v>0</v>
      </c>
      <c r="D286">
        <v>0</v>
      </c>
      <c r="E286">
        <v>0</v>
      </c>
      <c r="F286" t="s">
        <v>25021</v>
      </c>
      <c r="G286">
        <v>2963</v>
      </c>
      <c r="H286" t="s">
        <v>17093</v>
      </c>
      <c r="I286" t="s">
        <v>57</v>
      </c>
      <c r="J286">
        <v>2909030</v>
      </c>
      <c r="K286">
        <v>2909473</v>
      </c>
      <c r="L286" t="s">
        <v>116</v>
      </c>
      <c r="M286">
        <v>148</v>
      </c>
      <c r="N286" t="s">
        <v>59</v>
      </c>
      <c r="O286">
        <v>49</v>
      </c>
      <c r="P286" t="str">
        <f>HYPERLINK("Gene2963-zp_tree_all.dnd", "Gene2963-tree")</f>
        <v>Gene2963-tree</v>
      </c>
      <c r="Q286">
        <v>25</v>
      </c>
      <c r="R286">
        <v>3</v>
      </c>
      <c r="S286">
        <v>8</v>
      </c>
      <c r="T286">
        <v>3</v>
      </c>
      <c r="U286">
        <v>0.27272999999999997</v>
      </c>
      <c r="V286" t="s">
        <v>1667</v>
      </c>
      <c r="W286" t="s">
        <v>324</v>
      </c>
      <c r="X286" t="s">
        <v>62</v>
      </c>
      <c r="Y286" t="s">
        <v>62</v>
      </c>
      <c r="Z286">
        <v>0</v>
      </c>
      <c r="AA286">
        <v>0</v>
      </c>
      <c r="AB286">
        <v>3</v>
      </c>
      <c r="AC286">
        <v>0</v>
      </c>
      <c r="AD286" s="47">
        <v>0</v>
      </c>
      <c r="AE286" s="47">
        <v>0</v>
      </c>
      <c r="AF286" s="47">
        <v>0</v>
      </c>
      <c r="AG286" s="47">
        <v>0</v>
      </c>
      <c r="AH286" s="47">
        <v>0</v>
      </c>
      <c r="AI286" s="47">
        <v>0</v>
      </c>
      <c r="AJ286" s="47">
        <v>0</v>
      </c>
      <c r="AK286" s="47">
        <v>0</v>
      </c>
      <c r="AL286">
        <v>3</v>
      </c>
      <c r="AM286">
        <v>0</v>
      </c>
      <c r="AN286">
        <v>10</v>
      </c>
      <c r="AO286">
        <v>3</v>
      </c>
      <c r="AP286">
        <v>22</v>
      </c>
      <c r="AQ286">
        <v>3</v>
      </c>
      <c r="AR286">
        <v>8</v>
      </c>
      <c r="AS286">
        <v>0</v>
      </c>
      <c r="AT286" t="s">
        <v>17094</v>
      </c>
      <c r="AU286" t="s">
        <v>193</v>
      </c>
      <c r="AV286">
        <v>1.1659999999999999</v>
      </c>
      <c r="AW286" t="s">
        <v>65</v>
      </c>
      <c r="AX286">
        <v>30</v>
      </c>
      <c r="AY286">
        <v>3</v>
      </c>
      <c r="AZ286" t="s">
        <v>17095</v>
      </c>
      <c r="BA286">
        <v>7.0919999999999997E-2</v>
      </c>
      <c r="BB286">
        <v>-5.9500000000000004E-3</v>
      </c>
      <c r="BC286">
        <v>1.5499999999999999E-3</v>
      </c>
      <c r="BD286">
        <v>-2.3000000000000001E-4</v>
      </c>
      <c r="BE286">
        <v>2.1860000000000001E-2</v>
      </c>
      <c r="BF286">
        <v>1</v>
      </c>
      <c r="BG286" t="s">
        <v>69</v>
      </c>
      <c r="BH286">
        <v>-1.0389999999999999</v>
      </c>
      <c r="BI286">
        <v>5.2999999999999999E-2</v>
      </c>
    </row>
    <row r="287" spans="3:61">
      <c r="C287">
        <v>0</v>
      </c>
      <c r="D287">
        <v>0</v>
      </c>
      <c r="E287">
        <v>0</v>
      </c>
      <c r="F287" t="s">
        <v>25021</v>
      </c>
      <c r="G287">
        <v>4075</v>
      </c>
      <c r="H287" t="s">
        <v>23981</v>
      </c>
      <c r="I287" t="s">
        <v>57</v>
      </c>
      <c r="J287">
        <v>4041492</v>
      </c>
      <c r="K287">
        <v>4041935</v>
      </c>
      <c r="L287" t="s">
        <v>23388</v>
      </c>
      <c r="M287">
        <v>148</v>
      </c>
      <c r="N287" t="s">
        <v>23982</v>
      </c>
      <c r="O287">
        <v>40</v>
      </c>
      <c r="P287" t="str">
        <f>HYPERLINK("Gene4075-zp_tree_all.dnd", "Gene4075-tree")</f>
        <v>Gene4075-tree</v>
      </c>
      <c r="Q287">
        <v>33</v>
      </c>
      <c r="R287">
        <v>1</v>
      </c>
      <c r="S287">
        <v>16</v>
      </c>
      <c r="T287">
        <v>1</v>
      </c>
      <c r="U287">
        <v>5.8819999999999997E-2</v>
      </c>
      <c r="V287" t="s">
        <v>4634</v>
      </c>
      <c r="W287" t="s">
        <v>175</v>
      </c>
      <c r="X287" t="s">
        <v>62</v>
      </c>
      <c r="Y287" t="s">
        <v>62</v>
      </c>
      <c r="Z287">
        <v>0</v>
      </c>
      <c r="AA287">
        <v>0</v>
      </c>
      <c r="AB287">
        <v>3</v>
      </c>
      <c r="AC287">
        <v>0</v>
      </c>
      <c r="AD287" s="47">
        <v>0</v>
      </c>
      <c r="AE287" s="47">
        <v>0</v>
      </c>
      <c r="AF287" s="47">
        <v>0</v>
      </c>
      <c r="AG287" s="47">
        <v>0</v>
      </c>
      <c r="AH287" s="47">
        <v>0</v>
      </c>
      <c r="AI287" s="47">
        <v>0</v>
      </c>
      <c r="AJ287" s="47">
        <v>0</v>
      </c>
      <c r="AK287" s="47">
        <v>0</v>
      </c>
      <c r="AL287">
        <v>2</v>
      </c>
      <c r="AM287">
        <v>0</v>
      </c>
      <c r="AN287">
        <v>15</v>
      </c>
      <c r="AO287">
        <v>10</v>
      </c>
      <c r="AP287">
        <v>24</v>
      </c>
      <c r="AQ287">
        <v>2</v>
      </c>
      <c r="AR287">
        <v>35</v>
      </c>
      <c r="AS287">
        <v>1</v>
      </c>
      <c r="AT287" t="s">
        <v>23983</v>
      </c>
      <c r="AU287" t="s">
        <v>23984</v>
      </c>
      <c r="AV287">
        <v>0.17499999999999999</v>
      </c>
      <c r="AW287" t="s">
        <v>65</v>
      </c>
      <c r="AX287">
        <v>59</v>
      </c>
      <c r="AY287">
        <v>3</v>
      </c>
      <c r="AZ287" t="s">
        <v>23985</v>
      </c>
      <c r="BA287">
        <v>0.11766</v>
      </c>
      <c r="BB287">
        <v>-6.2500000000000003E-3</v>
      </c>
      <c r="BC287">
        <v>1.3699999999999999E-3</v>
      </c>
      <c r="BD287">
        <v>-1.9000000000000001E-4</v>
      </c>
      <c r="BE287">
        <v>1.1650000000000001E-2</v>
      </c>
      <c r="BF287">
        <v>1</v>
      </c>
      <c r="BG287" t="s">
        <v>69</v>
      </c>
      <c r="BH287">
        <v>-0.71899999999999997</v>
      </c>
      <c r="BI287">
        <v>0.35699999999999998</v>
      </c>
    </row>
    <row r="288" spans="3:61">
      <c r="C288">
        <v>0</v>
      </c>
      <c r="D288">
        <v>0</v>
      </c>
      <c r="E288">
        <v>2</v>
      </c>
      <c r="F288" t="s">
        <v>25021</v>
      </c>
      <c r="G288">
        <v>516</v>
      </c>
      <c r="H288" t="s">
        <v>3346</v>
      </c>
      <c r="I288" t="s">
        <v>62</v>
      </c>
      <c r="J288">
        <v>552055</v>
      </c>
      <c r="K288">
        <v>552501</v>
      </c>
      <c r="L288" t="s">
        <v>2942</v>
      </c>
      <c r="M288">
        <v>149</v>
      </c>
      <c r="N288" t="s">
        <v>3347</v>
      </c>
      <c r="O288">
        <v>22</v>
      </c>
      <c r="P288" t="str">
        <f>HYPERLINK("Gene516-zp_tree_all.dnd", "Gene516-tree")</f>
        <v>Gene516-tree</v>
      </c>
      <c r="Q288">
        <v>0</v>
      </c>
      <c r="R288">
        <v>21</v>
      </c>
      <c r="S288">
        <v>0</v>
      </c>
      <c r="T288">
        <v>4</v>
      </c>
      <c r="U288">
        <v>1</v>
      </c>
      <c r="V288" t="s">
        <v>62</v>
      </c>
      <c r="W288" t="s">
        <v>3348</v>
      </c>
      <c r="X288">
        <v>5.9980000000000002</v>
      </c>
      <c r="Y288" t="s">
        <v>65</v>
      </c>
      <c r="Z288">
        <v>1</v>
      </c>
      <c r="AA288">
        <v>2</v>
      </c>
      <c r="AB288">
        <v>10</v>
      </c>
      <c r="AC288">
        <v>0.16667000000000001</v>
      </c>
      <c r="AD288" s="47">
        <v>0</v>
      </c>
      <c r="AE288" s="47">
        <v>0</v>
      </c>
      <c r="AF288" s="47">
        <v>0</v>
      </c>
      <c r="AG288" s="47">
        <v>0</v>
      </c>
      <c r="AH288" s="47">
        <v>0</v>
      </c>
      <c r="AI288" s="47">
        <v>0</v>
      </c>
      <c r="AJ288" s="47">
        <v>2</v>
      </c>
      <c r="AK288" s="47">
        <v>2</v>
      </c>
      <c r="AL288">
        <v>10</v>
      </c>
      <c r="AM288">
        <v>0.16667000000000001</v>
      </c>
      <c r="AN288">
        <v>2</v>
      </c>
      <c r="AO288">
        <v>1</v>
      </c>
      <c r="AP288">
        <v>7</v>
      </c>
      <c r="AQ288">
        <v>11</v>
      </c>
      <c r="AR288">
        <v>0</v>
      </c>
      <c r="AS288">
        <v>1</v>
      </c>
      <c r="AT288" t="s">
        <v>3349</v>
      </c>
      <c r="AU288" t="s">
        <v>193</v>
      </c>
      <c r="AV288">
        <v>0.84499999999999997</v>
      </c>
      <c r="AW288" t="s">
        <v>65</v>
      </c>
      <c r="AX288">
        <v>7</v>
      </c>
      <c r="AY288">
        <v>12</v>
      </c>
      <c r="AZ288" t="s">
        <v>3350</v>
      </c>
      <c r="BA288">
        <v>4.0149999999999998E-2</v>
      </c>
      <c r="BB288">
        <v>-1.6389999999999998E-2</v>
      </c>
      <c r="BC288">
        <v>1.721E-2</v>
      </c>
      <c r="BD288">
        <v>-5.5199999999999997E-3</v>
      </c>
      <c r="BE288">
        <v>0.42867</v>
      </c>
      <c r="BF288">
        <v>0.92900000000000005</v>
      </c>
      <c r="BG288" t="s">
        <v>635</v>
      </c>
      <c r="BH288">
        <v>-2.2240000000000002</v>
      </c>
      <c r="BI288">
        <v>-3.5859999999999999</v>
      </c>
    </row>
    <row r="289" spans="3:61">
      <c r="C289">
        <v>0</v>
      </c>
      <c r="D289">
        <v>0</v>
      </c>
      <c r="E289">
        <v>2</v>
      </c>
      <c r="F289" t="s">
        <v>25021</v>
      </c>
      <c r="G289">
        <v>345</v>
      </c>
      <c r="H289" t="s">
        <v>2353</v>
      </c>
      <c r="I289" t="s">
        <v>62</v>
      </c>
      <c r="J289">
        <v>372157</v>
      </c>
      <c r="K289">
        <v>372603</v>
      </c>
      <c r="L289" t="s">
        <v>2354</v>
      </c>
      <c r="M289">
        <v>149</v>
      </c>
      <c r="N289" t="s">
        <v>265</v>
      </c>
      <c r="O289">
        <v>43</v>
      </c>
      <c r="P289" t="str">
        <f>HYPERLINK("Gene345-zp_tree_all.dnd", "Gene345-tree")</f>
        <v>Gene345-tree</v>
      </c>
      <c r="Q289">
        <v>7</v>
      </c>
      <c r="R289">
        <v>5</v>
      </c>
      <c r="S289">
        <v>7</v>
      </c>
      <c r="T289">
        <v>5</v>
      </c>
      <c r="U289">
        <v>0.41666999999999998</v>
      </c>
      <c r="V289" t="s">
        <v>152</v>
      </c>
      <c r="W289" t="s">
        <v>199</v>
      </c>
      <c r="X289" t="s">
        <v>62</v>
      </c>
      <c r="Y289" t="s">
        <v>62</v>
      </c>
      <c r="Z289">
        <v>1</v>
      </c>
      <c r="AA289">
        <v>2</v>
      </c>
      <c r="AB289">
        <v>5</v>
      </c>
      <c r="AC289">
        <v>0.28571000000000002</v>
      </c>
      <c r="AD289" s="47">
        <v>0</v>
      </c>
      <c r="AE289" s="47">
        <v>0</v>
      </c>
      <c r="AF289" s="47">
        <v>0</v>
      </c>
      <c r="AG289" s="47">
        <v>1</v>
      </c>
      <c r="AH289" s="47">
        <v>0</v>
      </c>
      <c r="AI289" s="47">
        <v>0</v>
      </c>
      <c r="AJ289" s="47">
        <v>2</v>
      </c>
      <c r="AK289" s="47">
        <v>2</v>
      </c>
      <c r="AL289">
        <v>4</v>
      </c>
      <c r="AM289">
        <v>0.33333000000000002</v>
      </c>
      <c r="AN289">
        <v>8</v>
      </c>
      <c r="AO289">
        <v>7</v>
      </c>
      <c r="AP289">
        <v>6</v>
      </c>
      <c r="AQ289">
        <v>6</v>
      </c>
      <c r="AR289">
        <v>8</v>
      </c>
      <c r="AS289">
        <v>1</v>
      </c>
      <c r="AT289" t="s">
        <v>2355</v>
      </c>
      <c r="AU289" t="s">
        <v>2356</v>
      </c>
      <c r="AV289">
        <v>1.4059999999999999</v>
      </c>
      <c r="AW289" t="s">
        <v>65</v>
      </c>
      <c r="AX289">
        <v>14</v>
      </c>
      <c r="AY289">
        <v>7</v>
      </c>
      <c r="AZ289" t="s">
        <v>2357</v>
      </c>
      <c r="BA289">
        <v>4.1880000000000001E-2</v>
      </c>
      <c r="BB289">
        <v>-2.4599999999999999E-3</v>
      </c>
      <c r="BC289">
        <v>3.81E-3</v>
      </c>
      <c r="BD289">
        <v>-3.1E-4</v>
      </c>
      <c r="BE289">
        <v>9.085E-2</v>
      </c>
      <c r="BF289">
        <v>1</v>
      </c>
      <c r="BG289" t="s">
        <v>69</v>
      </c>
      <c r="BH289">
        <v>-0.623</v>
      </c>
      <c r="BI289">
        <v>-0.66700000000000004</v>
      </c>
    </row>
    <row r="290" spans="3:61">
      <c r="C290">
        <v>0</v>
      </c>
      <c r="D290">
        <v>0</v>
      </c>
      <c r="E290">
        <v>0</v>
      </c>
      <c r="F290" t="s">
        <v>25021</v>
      </c>
      <c r="G290">
        <v>446</v>
      </c>
      <c r="H290" t="s">
        <v>3026</v>
      </c>
      <c r="I290" t="s">
        <v>62</v>
      </c>
      <c r="J290">
        <v>492992</v>
      </c>
      <c r="K290">
        <v>493441</v>
      </c>
      <c r="L290" t="s">
        <v>116</v>
      </c>
      <c r="M290">
        <v>150</v>
      </c>
      <c r="N290" t="s">
        <v>2513</v>
      </c>
      <c r="O290">
        <v>43</v>
      </c>
      <c r="P290" t="str">
        <f>HYPERLINK("Gene446-zp_tree_all.dnd", "Gene446-tree")</f>
        <v>Gene446-tree</v>
      </c>
      <c r="Q290">
        <v>27</v>
      </c>
      <c r="R290">
        <v>5</v>
      </c>
      <c r="S290">
        <v>4</v>
      </c>
      <c r="T290">
        <v>5</v>
      </c>
      <c r="U290">
        <v>0.55556000000000005</v>
      </c>
      <c r="V290" t="s">
        <v>3027</v>
      </c>
      <c r="W290" t="s">
        <v>199</v>
      </c>
      <c r="X290" t="s">
        <v>62</v>
      </c>
      <c r="Y290" t="s">
        <v>62</v>
      </c>
      <c r="Z290">
        <v>0</v>
      </c>
      <c r="AA290">
        <v>0</v>
      </c>
      <c r="AB290">
        <v>11</v>
      </c>
      <c r="AC290">
        <v>0</v>
      </c>
      <c r="AD290" s="47">
        <v>0</v>
      </c>
      <c r="AE290" s="47">
        <v>0</v>
      </c>
      <c r="AF290" s="47">
        <v>0</v>
      </c>
      <c r="AG290" s="47">
        <v>0</v>
      </c>
      <c r="AH290" s="47">
        <v>0</v>
      </c>
      <c r="AI290" s="47">
        <v>0</v>
      </c>
      <c r="AJ290" s="47">
        <v>0</v>
      </c>
      <c r="AK290" s="47">
        <v>0</v>
      </c>
      <c r="AL290">
        <v>9</v>
      </c>
      <c r="AM290">
        <v>0</v>
      </c>
      <c r="AN290">
        <v>7</v>
      </c>
      <c r="AO290">
        <v>3</v>
      </c>
      <c r="AP290">
        <v>8</v>
      </c>
      <c r="AQ290">
        <v>9</v>
      </c>
      <c r="AR290">
        <v>2</v>
      </c>
      <c r="AS290">
        <v>2</v>
      </c>
      <c r="AT290" t="s">
        <v>3028</v>
      </c>
      <c r="AU290" t="s">
        <v>3029</v>
      </c>
      <c r="AV290">
        <v>7.5999999999999998E-2</v>
      </c>
      <c r="AW290" t="s">
        <v>65</v>
      </c>
      <c r="AX290">
        <v>10</v>
      </c>
      <c r="AY290">
        <v>11</v>
      </c>
      <c r="AZ290" t="s">
        <v>3030</v>
      </c>
      <c r="BA290">
        <v>2.7040000000000002E-2</v>
      </c>
      <c r="BB290">
        <v>-2.3E-3</v>
      </c>
      <c r="BC290">
        <v>7.8700000000000003E-3</v>
      </c>
      <c r="BD290">
        <v>-8.4000000000000003E-4</v>
      </c>
      <c r="BE290">
        <v>0.29110999999999998</v>
      </c>
      <c r="BF290">
        <v>0.95</v>
      </c>
      <c r="BG290" t="s">
        <v>635</v>
      </c>
      <c r="BH290">
        <v>-1.804</v>
      </c>
      <c r="BI290">
        <v>-2.9180000000000001</v>
      </c>
    </row>
    <row r="291" spans="3:61">
      <c r="C291">
        <v>0</v>
      </c>
      <c r="D291">
        <v>2</v>
      </c>
      <c r="E291">
        <v>0</v>
      </c>
      <c r="F291" t="s">
        <v>25021</v>
      </c>
      <c r="G291">
        <v>2883</v>
      </c>
      <c r="H291" t="s">
        <v>16586</v>
      </c>
      <c r="I291" t="s">
        <v>57</v>
      </c>
      <c r="J291">
        <v>2831915</v>
      </c>
      <c r="K291">
        <v>2832364</v>
      </c>
      <c r="L291" t="s">
        <v>2569</v>
      </c>
      <c r="M291">
        <v>150</v>
      </c>
      <c r="N291" t="s">
        <v>2513</v>
      </c>
      <c r="O291">
        <v>43</v>
      </c>
      <c r="P291" t="str">
        <f>HYPERLINK("Gene2883-zp_tree_all.dnd", "Gene2883-tree")</f>
        <v>Gene2883-tree</v>
      </c>
      <c r="Q291">
        <v>5</v>
      </c>
      <c r="R291">
        <v>5</v>
      </c>
      <c r="S291">
        <v>5</v>
      </c>
      <c r="T291">
        <v>5</v>
      </c>
      <c r="U291">
        <v>0.5</v>
      </c>
      <c r="V291" t="s">
        <v>199</v>
      </c>
      <c r="W291" t="s">
        <v>199</v>
      </c>
      <c r="X291" t="s">
        <v>62</v>
      </c>
      <c r="Y291" t="s">
        <v>62</v>
      </c>
      <c r="Z291">
        <v>1</v>
      </c>
      <c r="AA291">
        <v>2</v>
      </c>
      <c r="AB291">
        <v>6</v>
      </c>
      <c r="AC291">
        <v>0.25</v>
      </c>
      <c r="AD291" s="47">
        <v>0</v>
      </c>
      <c r="AE291" s="47">
        <v>0</v>
      </c>
      <c r="AF291" s="47">
        <v>0</v>
      </c>
      <c r="AG291" s="47">
        <v>1</v>
      </c>
      <c r="AH291" s="47">
        <v>0</v>
      </c>
      <c r="AI291" s="47">
        <v>0</v>
      </c>
      <c r="AJ291" s="47">
        <v>0</v>
      </c>
      <c r="AK291" s="47">
        <v>0</v>
      </c>
      <c r="AL291">
        <v>6</v>
      </c>
      <c r="AM291">
        <v>0</v>
      </c>
      <c r="AN291">
        <v>6</v>
      </c>
      <c r="AO291">
        <v>5</v>
      </c>
      <c r="AP291">
        <v>5</v>
      </c>
      <c r="AQ291">
        <v>3</v>
      </c>
      <c r="AR291">
        <v>8</v>
      </c>
      <c r="AS291">
        <v>5</v>
      </c>
      <c r="AT291" t="s">
        <v>16587</v>
      </c>
      <c r="AU291" t="s">
        <v>16588</v>
      </c>
      <c r="AV291">
        <v>3.1E-2</v>
      </c>
      <c r="AW291" t="s">
        <v>65</v>
      </c>
      <c r="AX291">
        <v>13</v>
      </c>
      <c r="AY291">
        <v>8</v>
      </c>
      <c r="AZ291" t="s">
        <v>16589</v>
      </c>
      <c r="BA291">
        <v>4.3610000000000003E-2</v>
      </c>
      <c r="BB291">
        <v>-4.3499999999999997E-3</v>
      </c>
      <c r="BC291">
        <v>7.9799999999999992E-3</v>
      </c>
      <c r="BD291">
        <v>-5.9000000000000003E-4</v>
      </c>
      <c r="BE291">
        <v>0.18309</v>
      </c>
      <c r="BF291">
        <v>1</v>
      </c>
      <c r="BG291" t="s">
        <v>69</v>
      </c>
      <c r="BH291">
        <v>0.83899999999999997</v>
      </c>
      <c r="BI291">
        <v>0.55000000000000004</v>
      </c>
    </row>
    <row r="292" spans="3:61">
      <c r="C292">
        <v>0</v>
      </c>
      <c r="D292">
        <v>4</v>
      </c>
      <c r="E292">
        <v>0</v>
      </c>
      <c r="F292" t="s">
        <v>25021</v>
      </c>
      <c r="G292">
        <v>1767</v>
      </c>
      <c r="H292" t="s">
        <v>11066</v>
      </c>
      <c r="I292" t="s">
        <v>62</v>
      </c>
      <c r="J292">
        <v>1780621</v>
      </c>
      <c r="K292">
        <v>1781073</v>
      </c>
      <c r="L292" t="s">
        <v>3095</v>
      </c>
      <c r="M292">
        <v>151</v>
      </c>
      <c r="N292" t="s">
        <v>108</v>
      </c>
      <c r="O292">
        <v>44</v>
      </c>
      <c r="P292" t="str">
        <f>HYPERLINK("Gene1767-zp_tree_all.dnd", "Gene1767-tree")</f>
        <v>Gene1767-tree</v>
      </c>
      <c r="Q292">
        <v>4</v>
      </c>
      <c r="R292">
        <v>7</v>
      </c>
      <c r="S292">
        <v>4</v>
      </c>
      <c r="T292">
        <v>7</v>
      </c>
      <c r="U292">
        <v>0.63636000000000004</v>
      </c>
      <c r="V292" t="s">
        <v>61</v>
      </c>
      <c r="W292" t="s">
        <v>152</v>
      </c>
      <c r="X292" t="s">
        <v>62</v>
      </c>
      <c r="Y292" t="s">
        <v>62</v>
      </c>
      <c r="Z292">
        <v>2</v>
      </c>
      <c r="AA292">
        <v>4</v>
      </c>
      <c r="AB292">
        <v>13</v>
      </c>
      <c r="AC292">
        <v>0.23529</v>
      </c>
      <c r="AD292" s="47">
        <v>0</v>
      </c>
      <c r="AE292" s="47">
        <v>0</v>
      </c>
      <c r="AF292" s="47">
        <v>0</v>
      </c>
      <c r="AG292" s="47">
        <v>1</v>
      </c>
      <c r="AH292" s="47">
        <v>0</v>
      </c>
      <c r="AI292" s="47">
        <v>2</v>
      </c>
      <c r="AJ292" s="47">
        <v>0</v>
      </c>
      <c r="AK292" s="47">
        <v>2</v>
      </c>
      <c r="AL292">
        <v>10</v>
      </c>
      <c r="AM292">
        <v>0.16667000000000001</v>
      </c>
      <c r="AN292">
        <v>9</v>
      </c>
      <c r="AO292">
        <v>6</v>
      </c>
      <c r="AP292">
        <v>12</v>
      </c>
      <c r="AQ292">
        <v>12</v>
      </c>
      <c r="AR292">
        <v>9</v>
      </c>
      <c r="AS292">
        <v>5</v>
      </c>
      <c r="AT292" t="s">
        <v>11067</v>
      </c>
      <c r="AU292" t="s">
        <v>11068</v>
      </c>
      <c r="AV292">
        <v>0.48</v>
      </c>
      <c r="AW292" t="s">
        <v>65</v>
      </c>
      <c r="AX292">
        <v>21</v>
      </c>
      <c r="AY292">
        <v>17</v>
      </c>
      <c r="AZ292" t="s">
        <v>11069</v>
      </c>
      <c r="BA292">
        <v>4.5229999999999999E-2</v>
      </c>
      <c r="BB292">
        <v>-3.1800000000000001E-3</v>
      </c>
      <c r="BC292">
        <v>1.273E-2</v>
      </c>
      <c r="BD292">
        <v>-8.0999999999999996E-4</v>
      </c>
      <c r="BE292">
        <v>0.28134999999999999</v>
      </c>
      <c r="BF292">
        <v>1</v>
      </c>
      <c r="BG292" t="s">
        <v>69</v>
      </c>
      <c r="BH292">
        <v>7.0999999999999994E-2</v>
      </c>
      <c r="BI292">
        <v>0.159</v>
      </c>
    </row>
    <row r="293" spans="3:61">
      <c r="C293">
        <v>0</v>
      </c>
      <c r="D293">
        <v>16</v>
      </c>
      <c r="E293">
        <v>2</v>
      </c>
      <c r="F293" t="s">
        <v>25021</v>
      </c>
      <c r="G293">
        <v>949</v>
      </c>
      <c r="H293" t="s">
        <v>5949</v>
      </c>
      <c r="I293" t="s">
        <v>62</v>
      </c>
      <c r="J293">
        <v>988420</v>
      </c>
      <c r="K293">
        <v>988872</v>
      </c>
      <c r="L293" t="s">
        <v>5950</v>
      </c>
      <c r="M293">
        <v>151</v>
      </c>
      <c r="N293" t="s">
        <v>2513</v>
      </c>
      <c r="O293">
        <v>43</v>
      </c>
      <c r="P293" t="str">
        <f>HYPERLINK("Gene949-zp_tree_all.dnd", "Gene949-tree")</f>
        <v>Gene949-tree</v>
      </c>
      <c r="Q293">
        <v>0</v>
      </c>
      <c r="R293">
        <v>12</v>
      </c>
      <c r="S293">
        <v>0</v>
      </c>
      <c r="T293">
        <v>12</v>
      </c>
      <c r="U293">
        <v>1</v>
      </c>
      <c r="V293" t="s">
        <v>62</v>
      </c>
      <c r="W293" t="s">
        <v>109</v>
      </c>
      <c r="X293" t="s">
        <v>62</v>
      </c>
      <c r="Y293" t="s">
        <v>62</v>
      </c>
      <c r="Z293">
        <v>7</v>
      </c>
      <c r="AA293">
        <v>18</v>
      </c>
      <c r="AB293">
        <v>10</v>
      </c>
      <c r="AC293">
        <v>0.64285999999999999</v>
      </c>
      <c r="AD293" s="47">
        <v>0</v>
      </c>
      <c r="AE293" s="47">
        <v>0</v>
      </c>
      <c r="AF293" s="47">
        <v>0</v>
      </c>
      <c r="AG293" s="47">
        <v>0</v>
      </c>
      <c r="AH293" s="47">
        <v>0</v>
      </c>
      <c r="AI293" s="47">
        <v>9</v>
      </c>
      <c r="AJ293" s="47">
        <v>2</v>
      </c>
      <c r="AK293" s="47">
        <v>11</v>
      </c>
      <c r="AL293">
        <v>9</v>
      </c>
      <c r="AM293">
        <v>0.55000000000000004</v>
      </c>
      <c r="AN293">
        <v>11</v>
      </c>
      <c r="AO293">
        <v>7</v>
      </c>
      <c r="AP293">
        <v>13</v>
      </c>
      <c r="AQ293">
        <v>18</v>
      </c>
      <c r="AR293">
        <v>8</v>
      </c>
      <c r="AS293">
        <v>10</v>
      </c>
      <c r="AT293" t="s">
        <v>5951</v>
      </c>
      <c r="AU293" t="s">
        <v>5952</v>
      </c>
      <c r="AV293">
        <v>0.115</v>
      </c>
      <c r="AW293" t="s">
        <v>65</v>
      </c>
      <c r="AX293">
        <v>21</v>
      </c>
      <c r="AY293">
        <v>28</v>
      </c>
      <c r="AZ293" t="s">
        <v>5953</v>
      </c>
      <c r="BA293">
        <v>5.5329999999999997E-2</v>
      </c>
      <c r="BB293">
        <v>-3.6800000000000001E-3</v>
      </c>
      <c r="BC293">
        <v>1.524E-2</v>
      </c>
      <c r="BD293">
        <v>-5.9000000000000003E-4</v>
      </c>
      <c r="BE293">
        <v>0.27542</v>
      </c>
      <c r="BF293">
        <v>1</v>
      </c>
      <c r="BG293" t="s">
        <v>69</v>
      </c>
      <c r="BH293">
        <v>8.7999999999999995E-2</v>
      </c>
      <c r="BI293">
        <v>-1.45</v>
      </c>
    </row>
    <row r="294" spans="3:61">
      <c r="C294">
        <v>0</v>
      </c>
      <c r="D294">
        <v>2</v>
      </c>
      <c r="E294">
        <v>2</v>
      </c>
      <c r="F294" t="s">
        <v>25021</v>
      </c>
      <c r="G294">
        <v>2950</v>
      </c>
      <c r="H294" t="s">
        <v>17014</v>
      </c>
      <c r="I294" t="s">
        <v>57</v>
      </c>
      <c r="J294">
        <v>2898292</v>
      </c>
      <c r="K294">
        <v>2898744</v>
      </c>
      <c r="L294" t="s">
        <v>17015</v>
      </c>
      <c r="M294">
        <v>151</v>
      </c>
      <c r="N294" t="s">
        <v>17016</v>
      </c>
      <c r="O294">
        <v>27</v>
      </c>
      <c r="P294" t="str">
        <f>HYPERLINK("Gene2950-zp_tree_all.dnd", "Gene2950-tree")</f>
        <v>Gene2950-tree</v>
      </c>
      <c r="Q294">
        <v>1</v>
      </c>
      <c r="R294">
        <v>5</v>
      </c>
      <c r="S294">
        <v>1</v>
      </c>
      <c r="T294">
        <v>5</v>
      </c>
      <c r="U294">
        <v>0.83333000000000002</v>
      </c>
      <c r="V294" t="s">
        <v>175</v>
      </c>
      <c r="W294" t="s">
        <v>199</v>
      </c>
      <c r="X294" t="s">
        <v>62</v>
      </c>
      <c r="Y294" t="s">
        <v>62</v>
      </c>
      <c r="Z294">
        <v>1</v>
      </c>
      <c r="AA294">
        <v>4</v>
      </c>
      <c r="AB294">
        <v>12</v>
      </c>
      <c r="AC294">
        <v>0.25</v>
      </c>
      <c r="AD294" s="47">
        <v>0</v>
      </c>
      <c r="AE294" s="47">
        <v>0</v>
      </c>
      <c r="AF294" s="47">
        <v>0</v>
      </c>
      <c r="AG294" s="47">
        <v>0</v>
      </c>
      <c r="AH294" s="47">
        <v>0</v>
      </c>
      <c r="AI294" s="47">
        <v>2</v>
      </c>
      <c r="AJ294" s="47">
        <v>1</v>
      </c>
      <c r="AK294" s="47">
        <v>3</v>
      </c>
      <c r="AL294">
        <v>8</v>
      </c>
      <c r="AM294">
        <v>0.27272999999999997</v>
      </c>
      <c r="AN294">
        <v>6</v>
      </c>
      <c r="AO294">
        <v>2</v>
      </c>
      <c r="AP294">
        <v>9</v>
      </c>
      <c r="AQ294">
        <v>11</v>
      </c>
      <c r="AR294">
        <v>10</v>
      </c>
      <c r="AS294">
        <v>5</v>
      </c>
      <c r="AT294" t="s">
        <v>17017</v>
      </c>
      <c r="AU294" t="s">
        <v>17018</v>
      </c>
      <c r="AV294">
        <v>1.3129999999999999</v>
      </c>
      <c r="AW294" t="s">
        <v>65</v>
      </c>
      <c r="AX294">
        <v>19</v>
      </c>
      <c r="AY294">
        <v>16</v>
      </c>
      <c r="AZ294" t="s">
        <v>17019</v>
      </c>
      <c r="BA294">
        <v>8.9249999999999996E-2</v>
      </c>
      <c r="BB294">
        <v>-1.328E-2</v>
      </c>
      <c r="BC294">
        <v>1.753E-2</v>
      </c>
      <c r="BD294">
        <v>-1.6999999999999999E-3</v>
      </c>
      <c r="BE294">
        <v>0.19645000000000001</v>
      </c>
      <c r="BF294">
        <v>1</v>
      </c>
      <c r="BG294" t="s">
        <v>69</v>
      </c>
      <c r="BH294">
        <v>-0.997</v>
      </c>
      <c r="BI294">
        <v>-0.61699999999999999</v>
      </c>
    </row>
    <row r="295" spans="3:61">
      <c r="C295">
        <v>0</v>
      </c>
      <c r="D295">
        <v>3</v>
      </c>
      <c r="E295">
        <v>0</v>
      </c>
      <c r="F295" t="s">
        <v>25021</v>
      </c>
      <c r="G295">
        <v>173</v>
      </c>
      <c r="H295" t="s">
        <v>1223</v>
      </c>
      <c r="I295" t="s">
        <v>62</v>
      </c>
      <c r="J295">
        <v>193573</v>
      </c>
      <c r="K295">
        <v>194025</v>
      </c>
      <c r="L295" t="s">
        <v>116</v>
      </c>
      <c r="M295">
        <v>151</v>
      </c>
      <c r="N295" t="s">
        <v>108</v>
      </c>
      <c r="O295">
        <v>44</v>
      </c>
      <c r="P295" t="str">
        <f>HYPERLINK("Gene173-zp_tree_all.dnd", "Gene173-tree")</f>
        <v>Gene173-tree</v>
      </c>
      <c r="Q295">
        <v>7</v>
      </c>
      <c r="R295">
        <v>7</v>
      </c>
      <c r="S295">
        <v>7</v>
      </c>
      <c r="T295">
        <v>7</v>
      </c>
      <c r="U295">
        <v>0.5</v>
      </c>
      <c r="V295" t="s">
        <v>152</v>
      </c>
      <c r="W295" t="s">
        <v>152</v>
      </c>
      <c r="X295" t="s">
        <v>62</v>
      </c>
      <c r="Y295" t="s">
        <v>62</v>
      </c>
      <c r="Z295">
        <v>1</v>
      </c>
      <c r="AA295">
        <v>3</v>
      </c>
      <c r="AB295">
        <v>7</v>
      </c>
      <c r="AC295">
        <v>0.3</v>
      </c>
      <c r="AD295" s="47">
        <v>0</v>
      </c>
      <c r="AE295" s="47">
        <v>0</v>
      </c>
      <c r="AF295" s="47">
        <v>0</v>
      </c>
      <c r="AG295" s="47">
        <v>1</v>
      </c>
      <c r="AH295" s="47">
        <v>0</v>
      </c>
      <c r="AI295" s="47">
        <v>2</v>
      </c>
      <c r="AJ295" s="47">
        <v>0</v>
      </c>
      <c r="AK295" s="47">
        <v>2</v>
      </c>
      <c r="AL295">
        <v>6</v>
      </c>
      <c r="AM295">
        <v>0.25</v>
      </c>
      <c r="AN295">
        <v>8</v>
      </c>
      <c r="AO295">
        <v>8</v>
      </c>
      <c r="AP295">
        <v>9</v>
      </c>
      <c r="AQ295">
        <v>8</v>
      </c>
      <c r="AR295">
        <v>10</v>
      </c>
      <c r="AS295">
        <v>2</v>
      </c>
      <c r="AT295" t="s">
        <v>1224</v>
      </c>
      <c r="AU295" t="s">
        <v>1225</v>
      </c>
      <c r="AV295">
        <v>1.2889999999999999</v>
      </c>
      <c r="AW295" t="s">
        <v>65</v>
      </c>
      <c r="AX295">
        <v>19</v>
      </c>
      <c r="AY295">
        <v>10</v>
      </c>
      <c r="AZ295" t="s">
        <v>1226</v>
      </c>
      <c r="BA295">
        <v>3.7629999999999997E-2</v>
      </c>
      <c r="BB295">
        <v>-2.0999999999999999E-3</v>
      </c>
      <c r="BC295">
        <v>5.1999999999999998E-3</v>
      </c>
      <c r="BD295">
        <v>-3.8000000000000002E-4</v>
      </c>
      <c r="BE295">
        <v>0.13814000000000001</v>
      </c>
      <c r="BF295">
        <v>1</v>
      </c>
      <c r="BG295" t="s">
        <v>69</v>
      </c>
      <c r="BH295">
        <v>-0.998</v>
      </c>
      <c r="BI295">
        <v>-1.339</v>
      </c>
    </row>
    <row r="296" spans="3:61">
      <c r="C296">
        <v>2</v>
      </c>
      <c r="D296">
        <v>0</v>
      </c>
      <c r="E296">
        <v>2</v>
      </c>
      <c r="F296" t="s">
        <v>25021</v>
      </c>
      <c r="G296">
        <v>4137</v>
      </c>
      <c r="H296" t="s">
        <v>24343</v>
      </c>
      <c r="I296" t="s">
        <v>57</v>
      </c>
      <c r="J296">
        <v>4104444</v>
      </c>
      <c r="K296">
        <v>4104896</v>
      </c>
      <c r="L296" t="s">
        <v>1856</v>
      </c>
      <c r="M296">
        <v>151</v>
      </c>
      <c r="N296" t="s">
        <v>1933</v>
      </c>
      <c r="O296">
        <v>39</v>
      </c>
      <c r="P296" t="str">
        <f>HYPERLINK("Gene4137-zp_tree_all.dnd", "Gene4137-tree")</f>
        <v>Gene4137-tree</v>
      </c>
      <c r="Q296">
        <v>7</v>
      </c>
      <c r="R296">
        <v>4</v>
      </c>
      <c r="S296">
        <v>7</v>
      </c>
      <c r="T296">
        <v>4</v>
      </c>
      <c r="U296">
        <v>0.36364000000000002</v>
      </c>
      <c r="V296" t="s">
        <v>152</v>
      </c>
      <c r="W296" t="s">
        <v>61</v>
      </c>
      <c r="X296" t="s">
        <v>62</v>
      </c>
      <c r="Y296" t="s">
        <v>62</v>
      </c>
      <c r="Z296">
        <v>1</v>
      </c>
      <c r="AA296">
        <v>4</v>
      </c>
      <c r="AB296">
        <v>6</v>
      </c>
      <c r="AC296">
        <v>0.4</v>
      </c>
      <c r="AD296" s="47">
        <v>0</v>
      </c>
      <c r="AE296" s="47">
        <v>0</v>
      </c>
      <c r="AF296" s="47">
        <v>0</v>
      </c>
      <c r="AG296" s="47">
        <v>1</v>
      </c>
      <c r="AH296" s="47">
        <v>0</v>
      </c>
      <c r="AI296" s="47">
        <v>0</v>
      </c>
      <c r="AJ296" s="47">
        <v>3</v>
      </c>
      <c r="AK296" s="47">
        <v>3</v>
      </c>
      <c r="AL296">
        <v>4</v>
      </c>
      <c r="AM296">
        <v>0.42857000000000001</v>
      </c>
      <c r="AN296">
        <v>7</v>
      </c>
      <c r="AO296">
        <v>6</v>
      </c>
      <c r="AP296">
        <v>11</v>
      </c>
      <c r="AQ296">
        <v>7</v>
      </c>
      <c r="AR296">
        <v>9</v>
      </c>
      <c r="AS296">
        <v>3</v>
      </c>
      <c r="AT296" t="s">
        <v>24344</v>
      </c>
      <c r="AU296" t="s">
        <v>24345</v>
      </c>
      <c r="AV296">
        <v>0.60299999999999998</v>
      </c>
      <c r="AW296" t="s">
        <v>65</v>
      </c>
      <c r="AX296">
        <v>20</v>
      </c>
      <c r="AY296">
        <v>10</v>
      </c>
      <c r="AZ296" t="s">
        <v>24346</v>
      </c>
      <c r="BA296">
        <v>4.7350000000000003E-2</v>
      </c>
      <c r="BB296">
        <v>-2.9299999999999999E-3</v>
      </c>
      <c r="BC296">
        <v>6.1900000000000002E-3</v>
      </c>
      <c r="BD296">
        <v>-6.7000000000000002E-4</v>
      </c>
      <c r="BE296">
        <v>0.13075000000000001</v>
      </c>
      <c r="BF296">
        <v>1</v>
      </c>
      <c r="BG296" t="s">
        <v>69</v>
      </c>
      <c r="BH296">
        <v>-0.06</v>
      </c>
      <c r="BI296">
        <v>-0.52500000000000002</v>
      </c>
    </row>
    <row r="297" spans="3:61">
      <c r="C297">
        <v>0</v>
      </c>
      <c r="D297">
        <v>11</v>
      </c>
      <c r="E297">
        <v>0</v>
      </c>
      <c r="F297" t="s">
        <v>25021</v>
      </c>
      <c r="G297">
        <v>2766</v>
      </c>
      <c r="H297" t="s">
        <v>15871</v>
      </c>
      <c r="I297" t="s">
        <v>57</v>
      </c>
      <c r="J297">
        <v>2718344</v>
      </c>
      <c r="K297">
        <v>2718799</v>
      </c>
      <c r="L297" t="s">
        <v>15872</v>
      </c>
      <c r="M297">
        <v>152</v>
      </c>
      <c r="N297" t="s">
        <v>108</v>
      </c>
      <c r="O297">
        <v>44</v>
      </c>
      <c r="P297" t="str">
        <f>HYPERLINK("Gene2766-zp_tree_all.dnd", "Gene2766-tree")</f>
        <v>Gene2766-tree</v>
      </c>
      <c r="Q297">
        <v>3</v>
      </c>
      <c r="R297">
        <v>10</v>
      </c>
      <c r="S297">
        <v>3</v>
      </c>
      <c r="T297">
        <v>10</v>
      </c>
      <c r="U297">
        <v>0.76922999999999997</v>
      </c>
      <c r="V297" t="s">
        <v>324</v>
      </c>
      <c r="W297" t="s">
        <v>117</v>
      </c>
      <c r="X297" t="s">
        <v>62</v>
      </c>
      <c r="Y297" t="s">
        <v>62</v>
      </c>
      <c r="Z297">
        <v>5</v>
      </c>
      <c r="AA297">
        <v>11</v>
      </c>
      <c r="AB297">
        <v>10</v>
      </c>
      <c r="AC297">
        <v>0.52381</v>
      </c>
      <c r="AD297" s="47">
        <v>0</v>
      </c>
      <c r="AE297" s="47">
        <v>0</v>
      </c>
      <c r="AF297" s="47">
        <v>0</v>
      </c>
      <c r="AG297" s="47">
        <v>0</v>
      </c>
      <c r="AH297" s="47">
        <v>0</v>
      </c>
      <c r="AI297" s="47">
        <v>6</v>
      </c>
      <c r="AJ297" s="47">
        <v>0</v>
      </c>
      <c r="AK297" s="47">
        <v>6</v>
      </c>
      <c r="AL297">
        <v>10</v>
      </c>
      <c r="AM297">
        <v>0.375</v>
      </c>
      <c r="AN297">
        <v>9</v>
      </c>
      <c r="AO297">
        <v>9</v>
      </c>
      <c r="AP297">
        <v>9</v>
      </c>
      <c r="AQ297">
        <v>12</v>
      </c>
      <c r="AR297">
        <v>13</v>
      </c>
      <c r="AS297">
        <v>9</v>
      </c>
      <c r="AT297" t="s">
        <v>15873</v>
      </c>
      <c r="AU297" t="s">
        <v>15874</v>
      </c>
      <c r="AV297">
        <v>1.351</v>
      </c>
      <c r="AW297" t="s">
        <v>65</v>
      </c>
      <c r="AX297">
        <v>22</v>
      </c>
      <c r="AY297">
        <v>21</v>
      </c>
      <c r="AZ297" t="s">
        <v>15875</v>
      </c>
      <c r="BA297">
        <v>4.1910000000000003E-2</v>
      </c>
      <c r="BB297">
        <v>-2.15E-3</v>
      </c>
      <c r="BC297">
        <v>1.247E-2</v>
      </c>
      <c r="BD297">
        <v>-5.4000000000000001E-4</v>
      </c>
      <c r="BE297">
        <v>0.29748999999999998</v>
      </c>
      <c r="BF297">
        <v>0.99</v>
      </c>
      <c r="BG297" t="s">
        <v>69</v>
      </c>
      <c r="BH297">
        <v>-0.313</v>
      </c>
      <c r="BI297">
        <v>-0.31</v>
      </c>
    </row>
    <row r="298" spans="3:61">
      <c r="C298">
        <v>0</v>
      </c>
      <c r="D298">
        <v>0</v>
      </c>
      <c r="E298">
        <v>2</v>
      </c>
      <c r="F298" t="s">
        <v>25021</v>
      </c>
      <c r="G298">
        <v>847</v>
      </c>
      <c r="H298" t="s">
        <v>5290</v>
      </c>
      <c r="I298" t="s">
        <v>62</v>
      </c>
      <c r="J298">
        <v>886226</v>
      </c>
      <c r="K298">
        <v>886681</v>
      </c>
      <c r="L298" t="s">
        <v>3095</v>
      </c>
      <c r="M298">
        <v>152</v>
      </c>
      <c r="N298" t="s">
        <v>5291</v>
      </c>
      <c r="O298">
        <v>30</v>
      </c>
      <c r="P298" t="str">
        <f>HYPERLINK("Gene847-zp_tree_all.dnd", "Gene847-tree")</f>
        <v>Gene847-tree</v>
      </c>
      <c r="Q298">
        <v>3</v>
      </c>
      <c r="R298">
        <v>6</v>
      </c>
      <c r="S298">
        <v>3</v>
      </c>
      <c r="T298">
        <v>6</v>
      </c>
      <c r="U298">
        <v>0.66666999999999998</v>
      </c>
      <c r="V298" t="s">
        <v>324</v>
      </c>
      <c r="W298" t="s">
        <v>90</v>
      </c>
      <c r="X298" t="s">
        <v>62</v>
      </c>
      <c r="Y298" t="s">
        <v>62</v>
      </c>
      <c r="Z298">
        <v>1</v>
      </c>
      <c r="AA298">
        <v>2</v>
      </c>
      <c r="AB298">
        <v>11</v>
      </c>
      <c r="AC298">
        <v>0.15384999999999999</v>
      </c>
      <c r="AD298" s="47">
        <v>0</v>
      </c>
      <c r="AE298" s="47">
        <v>0</v>
      </c>
      <c r="AF298" s="47">
        <v>0</v>
      </c>
      <c r="AG298" s="47">
        <v>1</v>
      </c>
      <c r="AH298" s="47">
        <v>0</v>
      </c>
      <c r="AI298" s="47">
        <v>0</v>
      </c>
      <c r="AJ298" s="47">
        <v>2</v>
      </c>
      <c r="AK298" s="47">
        <v>2</v>
      </c>
      <c r="AL298">
        <v>9</v>
      </c>
      <c r="AM298">
        <v>0.18182000000000001</v>
      </c>
      <c r="AN298">
        <v>7</v>
      </c>
      <c r="AO298">
        <v>5</v>
      </c>
      <c r="AP298">
        <v>12</v>
      </c>
      <c r="AQ298">
        <v>11</v>
      </c>
      <c r="AR298">
        <v>11</v>
      </c>
      <c r="AS298">
        <v>2</v>
      </c>
      <c r="AT298" t="s">
        <v>5292</v>
      </c>
      <c r="AU298" t="s">
        <v>5293</v>
      </c>
      <c r="AV298">
        <v>1.266</v>
      </c>
      <c r="AW298" t="s">
        <v>65</v>
      </c>
      <c r="AX298">
        <v>23</v>
      </c>
      <c r="AY298">
        <v>13</v>
      </c>
      <c r="AZ298" t="s">
        <v>5294</v>
      </c>
      <c r="BA298">
        <v>6.9139999999999993E-2</v>
      </c>
      <c r="BB298">
        <v>-6.3200000000000001E-3</v>
      </c>
      <c r="BC298">
        <v>9.6699999999999998E-3</v>
      </c>
      <c r="BD298">
        <v>-1E-3</v>
      </c>
      <c r="BE298">
        <v>0.13982</v>
      </c>
      <c r="BF298">
        <v>1</v>
      </c>
      <c r="BG298" t="s">
        <v>69</v>
      </c>
      <c r="BH298">
        <v>-1.5680000000000001</v>
      </c>
      <c r="BI298">
        <v>-1.5</v>
      </c>
    </row>
    <row r="299" spans="3:61">
      <c r="C299">
        <v>0</v>
      </c>
      <c r="D299">
        <v>0</v>
      </c>
      <c r="E299">
        <v>0</v>
      </c>
      <c r="F299" t="s">
        <v>25021</v>
      </c>
      <c r="G299">
        <v>3564</v>
      </c>
      <c r="H299" t="s">
        <v>20905</v>
      </c>
      <c r="I299" t="s">
        <v>57</v>
      </c>
      <c r="J299">
        <v>3530101</v>
      </c>
      <c r="K299">
        <v>3530556</v>
      </c>
      <c r="L299" t="s">
        <v>20906</v>
      </c>
      <c r="M299">
        <v>152</v>
      </c>
      <c r="N299" t="s">
        <v>6390</v>
      </c>
      <c r="O299">
        <v>45</v>
      </c>
      <c r="P299" t="str">
        <f>HYPERLINK("Gene3564-zp_tree_all.dnd", "Gene3564-tree")</f>
        <v>Gene3564-tree</v>
      </c>
      <c r="Q299">
        <v>8</v>
      </c>
      <c r="R299">
        <v>5</v>
      </c>
      <c r="S299">
        <v>8</v>
      </c>
      <c r="T299">
        <v>5</v>
      </c>
      <c r="U299">
        <v>0.38462000000000002</v>
      </c>
      <c r="V299" t="s">
        <v>136</v>
      </c>
      <c r="W299" t="s">
        <v>199</v>
      </c>
      <c r="X299" t="s">
        <v>62</v>
      </c>
      <c r="Y299" t="s">
        <v>62</v>
      </c>
      <c r="Z299">
        <v>0</v>
      </c>
      <c r="AA299">
        <v>0</v>
      </c>
      <c r="AB299">
        <v>7</v>
      </c>
      <c r="AC299">
        <v>0</v>
      </c>
      <c r="AD299" s="47">
        <v>0</v>
      </c>
      <c r="AE299" s="47">
        <v>0</v>
      </c>
      <c r="AF299" s="47">
        <v>0</v>
      </c>
      <c r="AG299" s="47">
        <v>0</v>
      </c>
      <c r="AH299" s="47">
        <v>0</v>
      </c>
      <c r="AI299" s="47">
        <v>0</v>
      </c>
      <c r="AJ299" s="47">
        <v>0</v>
      </c>
      <c r="AK299" s="47">
        <v>0</v>
      </c>
      <c r="AL299">
        <v>6</v>
      </c>
      <c r="AM299">
        <v>0</v>
      </c>
      <c r="AN299">
        <v>11</v>
      </c>
      <c r="AO299">
        <v>6</v>
      </c>
      <c r="AP299">
        <v>27</v>
      </c>
      <c r="AQ299">
        <v>7</v>
      </c>
      <c r="AR299">
        <v>9</v>
      </c>
      <c r="AS299">
        <v>1</v>
      </c>
      <c r="AT299" t="s">
        <v>20907</v>
      </c>
      <c r="AU299" t="s">
        <v>20908</v>
      </c>
      <c r="AV299">
        <v>0.33500000000000002</v>
      </c>
      <c r="AW299" t="s">
        <v>65</v>
      </c>
      <c r="AX299">
        <v>36</v>
      </c>
      <c r="AY299">
        <v>8</v>
      </c>
      <c r="AZ299" t="s">
        <v>20909</v>
      </c>
      <c r="BA299">
        <v>7.0650000000000004E-2</v>
      </c>
      <c r="BB299">
        <v>-6.0299999999999998E-3</v>
      </c>
      <c r="BC299">
        <v>4.13E-3</v>
      </c>
      <c r="BD299">
        <v>-3.8000000000000002E-4</v>
      </c>
      <c r="BE299">
        <v>5.8470000000000001E-2</v>
      </c>
      <c r="BF299">
        <v>1</v>
      </c>
      <c r="BG299" t="s">
        <v>69</v>
      </c>
      <c r="BH299">
        <v>-0.997</v>
      </c>
      <c r="BI299">
        <v>-3.1019999999999999</v>
      </c>
    </row>
    <row r="300" spans="3:61">
      <c r="C300">
        <v>0</v>
      </c>
      <c r="D300">
        <v>0</v>
      </c>
      <c r="E300">
        <v>0</v>
      </c>
      <c r="F300" t="s">
        <v>25021</v>
      </c>
      <c r="G300">
        <v>525</v>
      </c>
      <c r="H300" t="s">
        <v>3386</v>
      </c>
      <c r="I300" t="s">
        <v>62</v>
      </c>
      <c r="J300">
        <v>560154</v>
      </c>
      <c r="K300">
        <v>560612</v>
      </c>
      <c r="L300" t="s">
        <v>3387</v>
      </c>
      <c r="M300">
        <v>153</v>
      </c>
      <c r="N300" t="s">
        <v>3388</v>
      </c>
      <c r="O300">
        <v>45</v>
      </c>
      <c r="P300" t="str">
        <f>HYPERLINK("Gene525-zp_tree_all.dnd", "Gene525-tree")</f>
        <v>Gene525-tree</v>
      </c>
      <c r="Q300">
        <v>8</v>
      </c>
      <c r="R300">
        <v>3</v>
      </c>
      <c r="S300">
        <v>8</v>
      </c>
      <c r="T300">
        <v>3</v>
      </c>
      <c r="U300">
        <v>0.27272999999999997</v>
      </c>
      <c r="V300" t="s">
        <v>136</v>
      </c>
      <c r="W300" t="s">
        <v>324</v>
      </c>
      <c r="X300" t="s">
        <v>62</v>
      </c>
      <c r="Y300" t="s">
        <v>62</v>
      </c>
      <c r="Z300">
        <v>0</v>
      </c>
      <c r="AA300">
        <v>0</v>
      </c>
      <c r="AB300">
        <v>14</v>
      </c>
      <c r="AC300">
        <v>0</v>
      </c>
      <c r="AD300" s="47">
        <v>0</v>
      </c>
      <c r="AE300" s="47">
        <v>0</v>
      </c>
      <c r="AF300" s="47">
        <v>0</v>
      </c>
      <c r="AG300" s="47">
        <v>1</v>
      </c>
      <c r="AH300" s="47">
        <v>0</v>
      </c>
      <c r="AI300" s="47">
        <v>0</v>
      </c>
      <c r="AJ300" s="47">
        <v>0</v>
      </c>
      <c r="AK300" s="47">
        <v>0</v>
      </c>
      <c r="AL300">
        <v>4</v>
      </c>
      <c r="AM300">
        <v>0</v>
      </c>
      <c r="AN300">
        <v>7</v>
      </c>
      <c r="AO300">
        <v>5</v>
      </c>
      <c r="AP300">
        <v>7</v>
      </c>
      <c r="AQ300">
        <v>4</v>
      </c>
      <c r="AR300">
        <v>9</v>
      </c>
      <c r="AS300">
        <v>10</v>
      </c>
      <c r="AT300" t="s">
        <v>3389</v>
      </c>
      <c r="AU300" t="s">
        <v>3390</v>
      </c>
      <c r="AV300">
        <v>0.22900000000000001</v>
      </c>
      <c r="AW300" t="s">
        <v>65</v>
      </c>
      <c r="AX300">
        <v>16</v>
      </c>
      <c r="AY300">
        <v>14</v>
      </c>
      <c r="AZ300" t="s">
        <v>3391</v>
      </c>
      <c r="BA300">
        <v>5.0979999999999998E-2</v>
      </c>
      <c r="BB300">
        <v>-4.8700000000000002E-3</v>
      </c>
      <c r="BC300">
        <v>1.15E-2</v>
      </c>
      <c r="BD300">
        <v>-1.74E-3</v>
      </c>
      <c r="BE300">
        <v>0.22567000000000001</v>
      </c>
      <c r="BF300">
        <v>1</v>
      </c>
      <c r="BG300" t="s">
        <v>69</v>
      </c>
      <c r="BH300">
        <v>-1.071</v>
      </c>
      <c r="BI300">
        <v>-5.8000000000000003E-2</v>
      </c>
    </row>
    <row r="301" spans="3:61">
      <c r="C301">
        <v>0</v>
      </c>
      <c r="D301">
        <v>0</v>
      </c>
      <c r="E301">
        <v>0</v>
      </c>
      <c r="F301" t="s">
        <v>25021</v>
      </c>
      <c r="G301">
        <v>3422</v>
      </c>
      <c r="H301" t="s">
        <v>20021</v>
      </c>
      <c r="I301" t="s">
        <v>57</v>
      </c>
      <c r="J301">
        <v>3383565</v>
      </c>
      <c r="K301">
        <v>3384023</v>
      </c>
      <c r="L301" t="s">
        <v>20022</v>
      </c>
      <c r="M301">
        <v>153</v>
      </c>
      <c r="N301" t="s">
        <v>59</v>
      </c>
      <c r="O301">
        <v>49</v>
      </c>
      <c r="P301" t="str">
        <f>HYPERLINK("Gene3422-zp_tree_all.dnd", "Gene3422-tree")</f>
        <v>Gene3422-tree</v>
      </c>
      <c r="Q301">
        <v>11</v>
      </c>
      <c r="R301">
        <v>4</v>
      </c>
      <c r="S301">
        <v>11</v>
      </c>
      <c r="T301">
        <v>4</v>
      </c>
      <c r="U301">
        <v>0.26667000000000002</v>
      </c>
      <c r="V301" t="s">
        <v>73</v>
      </c>
      <c r="W301" t="s">
        <v>61</v>
      </c>
      <c r="X301" t="s">
        <v>62</v>
      </c>
      <c r="Y301" t="s">
        <v>62</v>
      </c>
      <c r="Z301">
        <v>0</v>
      </c>
      <c r="AA301">
        <v>0</v>
      </c>
      <c r="AB301">
        <v>9</v>
      </c>
      <c r="AC301">
        <v>0</v>
      </c>
      <c r="AD301" s="47">
        <v>0</v>
      </c>
      <c r="AE301" s="47">
        <v>0</v>
      </c>
      <c r="AF301" s="47">
        <v>0</v>
      </c>
      <c r="AG301" s="47">
        <v>0</v>
      </c>
      <c r="AH301" s="47">
        <v>0</v>
      </c>
      <c r="AI301" s="47">
        <v>0</v>
      </c>
      <c r="AJ301" s="47">
        <v>0</v>
      </c>
      <c r="AK301" s="47">
        <v>0</v>
      </c>
      <c r="AL301">
        <v>5</v>
      </c>
      <c r="AM301">
        <v>0</v>
      </c>
      <c r="AN301">
        <v>12</v>
      </c>
      <c r="AO301">
        <v>8</v>
      </c>
      <c r="AP301">
        <v>15</v>
      </c>
      <c r="AQ301">
        <v>5</v>
      </c>
      <c r="AR301">
        <v>22</v>
      </c>
      <c r="AS301">
        <v>4</v>
      </c>
      <c r="AT301" t="s">
        <v>20023</v>
      </c>
      <c r="AU301" t="s">
        <v>20024</v>
      </c>
      <c r="AV301">
        <v>0.33900000000000002</v>
      </c>
      <c r="AW301" t="s">
        <v>65</v>
      </c>
      <c r="AX301">
        <v>37</v>
      </c>
      <c r="AY301">
        <v>9</v>
      </c>
      <c r="AZ301" t="s">
        <v>20025</v>
      </c>
      <c r="BA301">
        <v>0.10002999999999999</v>
      </c>
      <c r="BB301">
        <v>-7.0499999999999998E-3</v>
      </c>
      <c r="BC301">
        <v>7.2700000000000004E-3</v>
      </c>
      <c r="BD301">
        <v>-5.1000000000000004E-4</v>
      </c>
      <c r="BE301">
        <v>7.2720000000000007E-2</v>
      </c>
      <c r="BF301">
        <v>1</v>
      </c>
      <c r="BG301" t="s">
        <v>69</v>
      </c>
      <c r="BH301">
        <v>-1.427</v>
      </c>
      <c r="BI301">
        <v>-0.879</v>
      </c>
    </row>
    <row r="302" spans="3:61">
      <c r="C302">
        <v>0</v>
      </c>
      <c r="D302">
        <v>7</v>
      </c>
      <c r="E302">
        <v>2</v>
      </c>
      <c r="F302" t="s">
        <v>25021</v>
      </c>
      <c r="G302">
        <v>1285</v>
      </c>
      <c r="H302" t="s">
        <v>8062</v>
      </c>
      <c r="I302" t="s">
        <v>62</v>
      </c>
      <c r="J302">
        <v>1313843</v>
      </c>
      <c r="K302">
        <v>1314304</v>
      </c>
      <c r="L302" t="s">
        <v>8063</v>
      </c>
      <c r="M302">
        <v>154</v>
      </c>
      <c r="N302" t="s">
        <v>8064</v>
      </c>
      <c r="O302">
        <v>46</v>
      </c>
      <c r="P302" t="str">
        <f>HYPERLINK("Gene1285-zp_tree_all.dnd", "Gene1285-tree")</f>
        <v>Gene1285-tree</v>
      </c>
      <c r="Q302">
        <v>4</v>
      </c>
      <c r="R302">
        <v>10</v>
      </c>
      <c r="S302">
        <v>4</v>
      </c>
      <c r="T302">
        <v>10</v>
      </c>
      <c r="U302">
        <v>0.71428999999999998</v>
      </c>
      <c r="V302" t="s">
        <v>61</v>
      </c>
      <c r="W302" t="s">
        <v>117</v>
      </c>
      <c r="X302" t="s">
        <v>62</v>
      </c>
      <c r="Y302" t="s">
        <v>62</v>
      </c>
      <c r="Z302">
        <v>2</v>
      </c>
      <c r="AA302">
        <v>9</v>
      </c>
      <c r="AB302">
        <v>10</v>
      </c>
      <c r="AC302">
        <v>0.47367999999999999</v>
      </c>
      <c r="AD302" s="47">
        <v>0</v>
      </c>
      <c r="AE302" s="47">
        <v>0</v>
      </c>
      <c r="AF302" s="47">
        <v>0</v>
      </c>
      <c r="AG302" s="47">
        <v>0</v>
      </c>
      <c r="AH302" s="47">
        <v>0</v>
      </c>
      <c r="AI302" s="47">
        <v>4</v>
      </c>
      <c r="AJ302" s="47">
        <v>1</v>
      </c>
      <c r="AK302" s="47">
        <v>5</v>
      </c>
      <c r="AL302">
        <v>8</v>
      </c>
      <c r="AM302">
        <v>0.38462000000000002</v>
      </c>
      <c r="AN302">
        <v>12</v>
      </c>
      <c r="AO302">
        <v>7</v>
      </c>
      <c r="AP302">
        <v>19</v>
      </c>
      <c r="AQ302">
        <v>13</v>
      </c>
      <c r="AR302">
        <v>20</v>
      </c>
      <c r="AS302">
        <v>6</v>
      </c>
      <c r="AT302" t="s">
        <v>8065</v>
      </c>
      <c r="AU302" t="s">
        <v>8066</v>
      </c>
      <c r="AV302">
        <v>0.77800000000000002</v>
      </c>
      <c r="AW302" t="s">
        <v>65</v>
      </c>
      <c r="AX302">
        <v>39</v>
      </c>
      <c r="AY302">
        <v>19</v>
      </c>
      <c r="AZ302" t="s">
        <v>8067</v>
      </c>
      <c r="BA302">
        <v>9.2520000000000005E-2</v>
      </c>
      <c r="BB302">
        <v>-7.28E-3</v>
      </c>
      <c r="BC302">
        <v>9.7000000000000003E-3</v>
      </c>
      <c r="BD302">
        <v>-7.2000000000000005E-4</v>
      </c>
      <c r="BE302">
        <v>0.10484</v>
      </c>
      <c r="BF302">
        <v>1</v>
      </c>
      <c r="BG302" t="s">
        <v>69</v>
      </c>
      <c r="BH302">
        <v>-1.649</v>
      </c>
      <c r="BI302">
        <v>-1.6080000000000001</v>
      </c>
    </row>
    <row r="303" spans="3:61">
      <c r="C303">
        <v>0</v>
      </c>
      <c r="D303">
        <v>4</v>
      </c>
      <c r="E303">
        <v>0</v>
      </c>
      <c r="F303" t="s">
        <v>25021</v>
      </c>
      <c r="G303">
        <v>2596</v>
      </c>
      <c r="H303" t="s">
        <v>15193</v>
      </c>
      <c r="I303" t="s">
        <v>57</v>
      </c>
      <c r="J303">
        <v>2576717</v>
      </c>
      <c r="K303">
        <v>2577178</v>
      </c>
      <c r="L303" t="s">
        <v>116</v>
      </c>
      <c r="M303">
        <v>154</v>
      </c>
      <c r="N303" t="s">
        <v>15194</v>
      </c>
      <c r="O303">
        <v>45</v>
      </c>
      <c r="P303" t="str">
        <f>HYPERLINK("Gene2596-zp_tree_all.dnd", "Gene2596-tree")</f>
        <v>Gene2596-tree</v>
      </c>
      <c r="Q303">
        <v>6</v>
      </c>
      <c r="R303">
        <v>24</v>
      </c>
      <c r="S303">
        <v>6</v>
      </c>
      <c r="T303">
        <v>5</v>
      </c>
      <c r="U303">
        <v>0.45455000000000001</v>
      </c>
      <c r="V303" t="s">
        <v>90</v>
      </c>
      <c r="W303" t="s">
        <v>2668</v>
      </c>
      <c r="X303">
        <v>4.4390000000000001</v>
      </c>
      <c r="Y303" t="s">
        <v>65</v>
      </c>
      <c r="Z303">
        <v>2</v>
      </c>
      <c r="AA303">
        <v>4</v>
      </c>
      <c r="AB303">
        <v>8</v>
      </c>
      <c r="AC303">
        <v>0.33333000000000002</v>
      </c>
      <c r="AD303" s="47">
        <v>0</v>
      </c>
      <c r="AE303" s="47">
        <v>0</v>
      </c>
      <c r="AF303" s="47">
        <v>0</v>
      </c>
      <c r="AG303" s="47">
        <v>3</v>
      </c>
      <c r="AH303" s="47">
        <v>0</v>
      </c>
      <c r="AI303" s="47">
        <v>0</v>
      </c>
      <c r="AJ303" s="47">
        <v>0</v>
      </c>
      <c r="AK303" s="47">
        <v>0</v>
      </c>
      <c r="AL303">
        <v>4</v>
      </c>
      <c r="AM303">
        <v>0</v>
      </c>
      <c r="AN303">
        <v>8</v>
      </c>
      <c r="AO303">
        <v>4</v>
      </c>
      <c r="AP303">
        <v>10</v>
      </c>
      <c r="AQ303">
        <v>4</v>
      </c>
      <c r="AR303">
        <v>21</v>
      </c>
      <c r="AS303">
        <v>8</v>
      </c>
      <c r="AT303" t="s">
        <v>15195</v>
      </c>
      <c r="AU303" t="s">
        <v>15196</v>
      </c>
      <c r="AV303">
        <v>0.113</v>
      </c>
      <c r="AW303" t="s">
        <v>65</v>
      </c>
      <c r="AX303">
        <v>31</v>
      </c>
      <c r="AY303">
        <v>12</v>
      </c>
      <c r="AZ303" t="s">
        <v>15197</v>
      </c>
      <c r="BA303">
        <v>9.7559999999999994E-2</v>
      </c>
      <c r="BB303">
        <v>-0.01</v>
      </c>
      <c r="BC303">
        <v>1.001E-2</v>
      </c>
      <c r="BD303">
        <v>-1.0200000000000001E-3</v>
      </c>
      <c r="BE303">
        <v>0.10263</v>
      </c>
      <c r="BF303">
        <v>1</v>
      </c>
      <c r="BG303" t="s">
        <v>69</v>
      </c>
      <c r="BH303">
        <v>0.66100000000000003</v>
      </c>
      <c r="BI303">
        <v>-0.128</v>
      </c>
    </row>
    <row r="304" spans="3:61">
      <c r="C304">
        <v>0</v>
      </c>
      <c r="D304">
        <v>0</v>
      </c>
      <c r="E304">
        <v>0</v>
      </c>
      <c r="F304" t="s">
        <v>25021</v>
      </c>
      <c r="G304">
        <v>1458</v>
      </c>
      <c r="H304" t="s">
        <v>9132</v>
      </c>
      <c r="I304" t="s">
        <v>62</v>
      </c>
      <c r="J304">
        <v>1474563</v>
      </c>
      <c r="K304">
        <v>1475024</v>
      </c>
      <c r="L304" t="s">
        <v>9133</v>
      </c>
      <c r="M304">
        <v>154</v>
      </c>
      <c r="N304" t="s">
        <v>59</v>
      </c>
      <c r="O304">
        <v>49</v>
      </c>
      <c r="P304" t="str">
        <f>HYPERLINK("Gene1458-zp_tree_all.dnd", "Gene1458-tree")</f>
        <v>Gene1458-tree</v>
      </c>
      <c r="Q304">
        <v>24</v>
      </c>
      <c r="R304">
        <v>5</v>
      </c>
      <c r="S304">
        <v>5</v>
      </c>
      <c r="T304">
        <v>5</v>
      </c>
      <c r="U304">
        <v>0.5</v>
      </c>
      <c r="V304" t="s">
        <v>2668</v>
      </c>
      <c r="W304" t="s">
        <v>199</v>
      </c>
      <c r="X304" t="s">
        <v>62</v>
      </c>
      <c r="Y304" t="s">
        <v>62</v>
      </c>
      <c r="Z304">
        <v>0</v>
      </c>
      <c r="AA304">
        <v>0</v>
      </c>
      <c r="AB304">
        <v>5</v>
      </c>
      <c r="AC304">
        <v>0</v>
      </c>
      <c r="AD304" s="47">
        <v>0</v>
      </c>
      <c r="AE304" s="47">
        <v>0</v>
      </c>
      <c r="AF304" s="47">
        <v>0</v>
      </c>
      <c r="AG304" s="47">
        <v>0</v>
      </c>
      <c r="AH304" s="47">
        <v>0</v>
      </c>
      <c r="AI304" s="47">
        <v>0</v>
      </c>
      <c r="AJ304" s="47">
        <v>0</v>
      </c>
      <c r="AK304" s="47">
        <v>0</v>
      </c>
      <c r="AL304">
        <v>4</v>
      </c>
      <c r="AM304">
        <v>0</v>
      </c>
      <c r="AN304">
        <v>7</v>
      </c>
      <c r="AO304">
        <v>5</v>
      </c>
      <c r="AP304">
        <v>5</v>
      </c>
      <c r="AQ304">
        <v>4</v>
      </c>
      <c r="AR304">
        <v>10</v>
      </c>
      <c r="AS304">
        <v>1</v>
      </c>
      <c r="AT304" t="s">
        <v>9134</v>
      </c>
      <c r="AU304" t="s">
        <v>9135</v>
      </c>
      <c r="AV304">
        <v>1.2749999999999999</v>
      </c>
      <c r="AW304" t="s">
        <v>65</v>
      </c>
      <c r="AX304">
        <v>15</v>
      </c>
      <c r="AY304">
        <v>5</v>
      </c>
      <c r="AZ304" t="s">
        <v>9136</v>
      </c>
      <c r="BA304">
        <v>5.1270000000000003E-2</v>
      </c>
      <c r="BB304">
        <v>-5.0800000000000003E-3</v>
      </c>
      <c r="BC304">
        <v>3.2699999999999999E-3</v>
      </c>
      <c r="BD304">
        <v>-3.6000000000000002E-4</v>
      </c>
      <c r="BE304">
        <v>6.3740000000000005E-2</v>
      </c>
      <c r="BF304">
        <v>1</v>
      </c>
      <c r="BG304" t="s">
        <v>69</v>
      </c>
      <c r="BH304">
        <v>-1.51</v>
      </c>
      <c r="BI304">
        <v>-1.397</v>
      </c>
    </row>
    <row r="305" spans="3:61">
      <c r="C305">
        <v>0</v>
      </c>
      <c r="D305">
        <v>7</v>
      </c>
      <c r="E305">
        <v>3</v>
      </c>
      <c r="F305" t="s">
        <v>25021</v>
      </c>
      <c r="G305">
        <v>3209</v>
      </c>
      <c r="H305" t="s">
        <v>18689</v>
      </c>
      <c r="I305" t="s">
        <v>57</v>
      </c>
      <c r="J305">
        <v>3163237</v>
      </c>
      <c r="K305">
        <v>3163701</v>
      </c>
      <c r="L305" t="s">
        <v>18690</v>
      </c>
      <c r="M305">
        <v>155</v>
      </c>
      <c r="N305" t="s">
        <v>9585</v>
      </c>
      <c r="O305">
        <v>42</v>
      </c>
      <c r="P305" t="str">
        <f>HYPERLINK("Gene3209-zp_tree_all.dnd", "Gene3209-tree")</f>
        <v>Gene3209-tree</v>
      </c>
      <c r="Q305">
        <v>0</v>
      </c>
      <c r="R305">
        <v>10</v>
      </c>
      <c r="S305">
        <v>0</v>
      </c>
      <c r="T305">
        <v>10</v>
      </c>
      <c r="U305">
        <v>1</v>
      </c>
      <c r="V305" t="s">
        <v>62</v>
      </c>
      <c r="W305" t="s">
        <v>117</v>
      </c>
      <c r="X305" t="s">
        <v>62</v>
      </c>
      <c r="Y305" t="s">
        <v>62</v>
      </c>
      <c r="Z305">
        <v>2</v>
      </c>
      <c r="AA305">
        <v>10</v>
      </c>
      <c r="AB305">
        <v>10</v>
      </c>
      <c r="AC305">
        <v>0.5</v>
      </c>
      <c r="AD305" s="47">
        <v>0</v>
      </c>
      <c r="AE305" s="47">
        <v>0</v>
      </c>
      <c r="AF305" s="47">
        <v>0</v>
      </c>
      <c r="AG305" s="47">
        <v>0</v>
      </c>
      <c r="AH305" s="47">
        <v>0</v>
      </c>
      <c r="AI305" s="47">
        <v>7</v>
      </c>
      <c r="AJ305" s="47">
        <v>3</v>
      </c>
      <c r="AK305" s="47">
        <v>10</v>
      </c>
      <c r="AL305">
        <v>10</v>
      </c>
      <c r="AM305">
        <v>0.5</v>
      </c>
      <c r="AN305">
        <v>9</v>
      </c>
      <c r="AO305">
        <v>2</v>
      </c>
      <c r="AP305">
        <v>10</v>
      </c>
      <c r="AQ305">
        <v>19</v>
      </c>
      <c r="AR305">
        <v>3</v>
      </c>
      <c r="AS305">
        <v>1</v>
      </c>
      <c r="AT305" t="s">
        <v>18691</v>
      </c>
      <c r="AU305" t="s">
        <v>18692</v>
      </c>
      <c r="AV305">
        <v>1.46</v>
      </c>
      <c r="AW305" t="s">
        <v>65</v>
      </c>
      <c r="AX305">
        <v>13</v>
      </c>
      <c r="AY305">
        <v>20</v>
      </c>
      <c r="AZ305" t="s">
        <v>11097</v>
      </c>
      <c r="BA305">
        <v>2.76E-2</v>
      </c>
      <c r="BB305">
        <v>-2.1099999999999999E-3</v>
      </c>
      <c r="BC305">
        <v>8.5000000000000006E-3</v>
      </c>
      <c r="BD305">
        <v>-1.07E-3</v>
      </c>
      <c r="BE305">
        <v>0.30776999999999999</v>
      </c>
      <c r="BF305">
        <v>0.99</v>
      </c>
      <c r="BG305" t="s">
        <v>69</v>
      </c>
      <c r="BH305">
        <v>-1.607</v>
      </c>
      <c r="BI305">
        <v>-2.63</v>
      </c>
    </row>
    <row r="306" spans="3:61">
      <c r="C306">
        <v>0</v>
      </c>
      <c r="D306">
        <v>2</v>
      </c>
      <c r="E306">
        <v>0</v>
      </c>
      <c r="F306" t="s">
        <v>25021</v>
      </c>
      <c r="G306">
        <v>3516</v>
      </c>
      <c r="H306" t="s">
        <v>20585</v>
      </c>
      <c r="I306" t="s">
        <v>57</v>
      </c>
      <c r="J306">
        <v>3476043</v>
      </c>
      <c r="K306">
        <v>3476507</v>
      </c>
      <c r="L306" t="s">
        <v>20586</v>
      </c>
      <c r="M306">
        <v>155</v>
      </c>
      <c r="N306" t="s">
        <v>20587</v>
      </c>
      <c r="O306">
        <v>37</v>
      </c>
      <c r="P306" t="str">
        <f>HYPERLINK("Gene3516-zp_tree_all.dnd", "Gene3516-tree")</f>
        <v>Gene3516-tree</v>
      </c>
      <c r="Q306">
        <v>8</v>
      </c>
      <c r="R306">
        <v>2</v>
      </c>
      <c r="S306">
        <v>8</v>
      </c>
      <c r="T306">
        <v>2</v>
      </c>
      <c r="U306">
        <v>0.2</v>
      </c>
      <c r="V306" t="s">
        <v>136</v>
      </c>
      <c r="W306" t="s">
        <v>81</v>
      </c>
      <c r="X306" t="s">
        <v>62</v>
      </c>
      <c r="Y306" t="s">
        <v>62</v>
      </c>
      <c r="Z306">
        <v>1</v>
      </c>
      <c r="AA306">
        <v>2</v>
      </c>
      <c r="AB306">
        <v>4</v>
      </c>
      <c r="AC306">
        <v>0.33333000000000002</v>
      </c>
      <c r="AD306" s="47">
        <v>0</v>
      </c>
      <c r="AE306" s="47">
        <v>0</v>
      </c>
      <c r="AF306" s="47">
        <v>0</v>
      </c>
      <c r="AG306" s="47">
        <v>0</v>
      </c>
      <c r="AH306" s="47">
        <v>0</v>
      </c>
      <c r="AI306" s="47">
        <v>0</v>
      </c>
      <c r="AJ306" s="47">
        <v>0</v>
      </c>
      <c r="AK306" s="47">
        <v>0</v>
      </c>
      <c r="AL306">
        <v>2</v>
      </c>
      <c r="AM306">
        <v>0</v>
      </c>
      <c r="AN306">
        <v>7</v>
      </c>
      <c r="AO306">
        <v>6</v>
      </c>
      <c r="AP306">
        <v>12</v>
      </c>
      <c r="AQ306">
        <v>2</v>
      </c>
      <c r="AR306">
        <v>8</v>
      </c>
      <c r="AS306">
        <v>4</v>
      </c>
      <c r="AT306" t="s">
        <v>20588</v>
      </c>
      <c r="AU306" t="s">
        <v>20589</v>
      </c>
      <c r="AV306">
        <v>0.91800000000000004</v>
      </c>
      <c r="AW306" t="s">
        <v>65</v>
      </c>
      <c r="AX306">
        <v>20</v>
      </c>
      <c r="AY306">
        <v>6</v>
      </c>
      <c r="AZ306" t="s">
        <v>20590</v>
      </c>
      <c r="BA306">
        <v>4.5760000000000002E-2</v>
      </c>
      <c r="BB306">
        <v>-2.63E-3</v>
      </c>
      <c r="BC306">
        <v>5.1200000000000004E-3</v>
      </c>
      <c r="BD306">
        <v>-4.8000000000000001E-4</v>
      </c>
      <c r="BE306">
        <v>0.11194</v>
      </c>
      <c r="BF306">
        <v>1</v>
      </c>
      <c r="BG306" t="s">
        <v>69</v>
      </c>
      <c r="BH306">
        <v>0.60799999999999998</v>
      </c>
      <c r="BI306">
        <v>7.0999999999999994E-2</v>
      </c>
    </row>
    <row r="307" spans="3:61">
      <c r="C307">
        <v>0</v>
      </c>
      <c r="D307">
        <v>2</v>
      </c>
      <c r="E307">
        <v>0</v>
      </c>
      <c r="F307" t="s">
        <v>25021</v>
      </c>
      <c r="G307">
        <v>3410</v>
      </c>
      <c r="H307" t="s">
        <v>19952</v>
      </c>
      <c r="I307" t="s">
        <v>57</v>
      </c>
      <c r="J307">
        <v>3374492</v>
      </c>
      <c r="K307">
        <v>3374956</v>
      </c>
      <c r="L307" t="s">
        <v>19953</v>
      </c>
      <c r="M307">
        <v>155</v>
      </c>
      <c r="N307" t="s">
        <v>19954</v>
      </c>
      <c r="O307">
        <v>40</v>
      </c>
      <c r="P307" t="str">
        <f>HYPERLINK("Gene3410-zp_tree_all.dnd", "Gene3410-tree")</f>
        <v>Gene3410-tree</v>
      </c>
      <c r="Q307">
        <v>6</v>
      </c>
      <c r="R307">
        <v>3</v>
      </c>
      <c r="S307">
        <v>6</v>
      </c>
      <c r="T307">
        <v>3</v>
      </c>
      <c r="U307">
        <v>0.33333000000000002</v>
      </c>
      <c r="V307" t="s">
        <v>90</v>
      </c>
      <c r="W307" t="s">
        <v>324</v>
      </c>
      <c r="X307" t="s">
        <v>62</v>
      </c>
      <c r="Y307" t="s">
        <v>62</v>
      </c>
      <c r="Z307">
        <v>1</v>
      </c>
      <c r="AA307">
        <v>2</v>
      </c>
      <c r="AB307">
        <v>4</v>
      </c>
      <c r="AC307">
        <v>0.33333000000000002</v>
      </c>
      <c r="AD307" s="47">
        <v>0</v>
      </c>
      <c r="AE307" s="47">
        <v>0</v>
      </c>
      <c r="AF307" s="47">
        <v>0</v>
      </c>
      <c r="AG307" s="47">
        <v>0</v>
      </c>
      <c r="AH307" s="47">
        <v>0</v>
      </c>
      <c r="AI307" s="47">
        <v>0</v>
      </c>
      <c r="AJ307" s="47">
        <v>0</v>
      </c>
      <c r="AK307" s="47">
        <v>0</v>
      </c>
      <c r="AL307">
        <v>4</v>
      </c>
      <c r="AM307">
        <v>0</v>
      </c>
      <c r="AN307">
        <v>7</v>
      </c>
      <c r="AO307">
        <v>5</v>
      </c>
      <c r="AP307">
        <v>24</v>
      </c>
      <c r="AQ307">
        <v>5</v>
      </c>
      <c r="AR307">
        <v>4</v>
      </c>
      <c r="AS307">
        <v>2</v>
      </c>
      <c r="AT307" t="s">
        <v>19955</v>
      </c>
      <c r="AU307" t="s">
        <v>19956</v>
      </c>
      <c r="AV307">
        <v>0.5</v>
      </c>
      <c r="AW307" t="s">
        <v>65</v>
      </c>
      <c r="AX307">
        <v>28</v>
      </c>
      <c r="AY307">
        <v>7</v>
      </c>
      <c r="AZ307" t="s">
        <v>19957</v>
      </c>
      <c r="BA307">
        <v>7.4200000000000002E-2</v>
      </c>
      <c r="BB307">
        <v>-1.023E-2</v>
      </c>
      <c r="BC307">
        <v>4.6100000000000004E-3</v>
      </c>
      <c r="BD307">
        <v>-6.2E-4</v>
      </c>
      <c r="BE307">
        <v>6.2129999999999998E-2</v>
      </c>
      <c r="BF307">
        <v>1</v>
      </c>
      <c r="BG307" t="s">
        <v>69</v>
      </c>
      <c r="BH307">
        <v>-1.0549999999999999</v>
      </c>
      <c r="BI307">
        <v>-2.4220000000000002</v>
      </c>
    </row>
    <row r="308" spans="3:61">
      <c r="C308">
        <v>0</v>
      </c>
      <c r="D308">
        <v>0</v>
      </c>
      <c r="E308">
        <v>2</v>
      </c>
      <c r="F308" t="s">
        <v>25021</v>
      </c>
      <c r="G308">
        <v>1368</v>
      </c>
      <c r="H308" t="s">
        <v>8558</v>
      </c>
      <c r="I308" t="s">
        <v>62</v>
      </c>
      <c r="J308">
        <v>1382680</v>
      </c>
      <c r="K308">
        <v>1383147</v>
      </c>
      <c r="L308" t="s">
        <v>8559</v>
      </c>
      <c r="M308">
        <v>156</v>
      </c>
      <c r="N308" t="s">
        <v>108</v>
      </c>
      <c r="O308">
        <v>44</v>
      </c>
      <c r="P308" t="str">
        <f>HYPERLINK("Gene1368-zp_tree_all.dnd", "Gene1368-tree")</f>
        <v>Gene1368-tree</v>
      </c>
      <c r="Q308">
        <v>6</v>
      </c>
      <c r="R308">
        <v>6</v>
      </c>
      <c r="S308">
        <v>6</v>
      </c>
      <c r="T308">
        <v>6</v>
      </c>
      <c r="U308">
        <v>0.5</v>
      </c>
      <c r="V308" t="s">
        <v>90</v>
      </c>
      <c r="W308" t="s">
        <v>90</v>
      </c>
      <c r="X308" t="s">
        <v>62</v>
      </c>
      <c r="Y308" t="s">
        <v>62</v>
      </c>
      <c r="Z308">
        <v>1</v>
      </c>
      <c r="AA308">
        <v>2</v>
      </c>
      <c r="AB308">
        <v>17</v>
      </c>
      <c r="AC308">
        <v>0.10526000000000001</v>
      </c>
      <c r="AD308" s="47">
        <v>0</v>
      </c>
      <c r="AE308" s="47">
        <v>0</v>
      </c>
      <c r="AF308" s="47">
        <v>0</v>
      </c>
      <c r="AG308" s="47">
        <v>0</v>
      </c>
      <c r="AH308" s="47">
        <v>0</v>
      </c>
      <c r="AI308" s="47">
        <v>0</v>
      </c>
      <c r="AJ308" s="47">
        <v>0</v>
      </c>
      <c r="AK308" s="47">
        <v>0</v>
      </c>
      <c r="AL308">
        <v>15</v>
      </c>
      <c r="AM308">
        <v>0</v>
      </c>
      <c r="AN308">
        <v>9</v>
      </c>
      <c r="AO308">
        <v>7</v>
      </c>
      <c r="AP308">
        <v>29</v>
      </c>
      <c r="AQ308">
        <v>16</v>
      </c>
      <c r="AR308">
        <v>13</v>
      </c>
      <c r="AS308">
        <v>4</v>
      </c>
      <c r="AT308" t="s">
        <v>8560</v>
      </c>
      <c r="AU308" t="s">
        <v>8561</v>
      </c>
      <c r="AV308">
        <v>0.28599999999999998</v>
      </c>
      <c r="AW308" t="s">
        <v>65</v>
      </c>
      <c r="AX308">
        <v>42</v>
      </c>
      <c r="AY308">
        <v>20</v>
      </c>
      <c r="AZ308" t="s">
        <v>8562</v>
      </c>
      <c r="BA308">
        <v>9.0630000000000002E-2</v>
      </c>
      <c r="BB308">
        <v>-6.5700000000000003E-3</v>
      </c>
      <c r="BC308">
        <v>1.089E-2</v>
      </c>
      <c r="BD308">
        <v>-1.15E-3</v>
      </c>
      <c r="BE308">
        <v>0.12017</v>
      </c>
      <c r="BF308">
        <v>1</v>
      </c>
      <c r="BG308" t="s">
        <v>69</v>
      </c>
      <c r="BH308">
        <v>-2.073</v>
      </c>
      <c r="BI308">
        <v>-3.8069999999999999</v>
      </c>
    </row>
    <row r="309" spans="3:61">
      <c r="C309">
        <v>0</v>
      </c>
      <c r="D309">
        <v>0</v>
      </c>
      <c r="E309">
        <v>0</v>
      </c>
      <c r="F309" t="s">
        <v>25021</v>
      </c>
      <c r="G309">
        <v>2202</v>
      </c>
      <c r="H309" t="s">
        <v>12990</v>
      </c>
      <c r="I309" t="s">
        <v>57</v>
      </c>
      <c r="J309">
        <v>2237321</v>
      </c>
      <c r="K309">
        <v>2237788</v>
      </c>
      <c r="L309" t="s">
        <v>12900</v>
      </c>
      <c r="M309">
        <v>156</v>
      </c>
      <c r="N309" t="s">
        <v>12957</v>
      </c>
      <c r="O309">
        <v>17</v>
      </c>
      <c r="P309" t="str">
        <f>HYPERLINK("Gene2202-zp_tree_all.dnd", "Gene2202-tree")</f>
        <v>Gene2202-tree</v>
      </c>
      <c r="Q309">
        <v>2</v>
      </c>
      <c r="R309">
        <v>15</v>
      </c>
      <c r="S309">
        <v>2</v>
      </c>
      <c r="T309">
        <v>2</v>
      </c>
      <c r="U309">
        <v>0.5</v>
      </c>
      <c r="V309" t="s">
        <v>81</v>
      </c>
      <c r="W309" t="s">
        <v>12915</v>
      </c>
      <c r="X309">
        <v>3.3639999999999999</v>
      </c>
      <c r="Y309" t="s">
        <v>65</v>
      </c>
      <c r="Z309">
        <v>0</v>
      </c>
      <c r="AA309">
        <v>0</v>
      </c>
      <c r="AB309">
        <v>2</v>
      </c>
      <c r="AC309">
        <v>0</v>
      </c>
      <c r="AD309" s="47">
        <v>0</v>
      </c>
      <c r="AE309" s="47">
        <v>0</v>
      </c>
      <c r="AF309" s="47">
        <v>0</v>
      </c>
      <c r="AG309" s="47">
        <v>0</v>
      </c>
      <c r="AH309" s="47">
        <v>0</v>
      </c>
      <c r="AI309" s="47">
        <v>0</v>
      </c>
      <c r="AJ309" s="47">
        <v>0</v>
      </c>
      <c r="AK309" s="47">
        <v>0</v>
      </c>
      <c r="AL309">
        <v>2</v>
      </c>
      <c r="AM309">
        <v>0</v>
      </c>
      <c r="AN309">
        <v>3</v>
      </c>
      <c r="AO309">
        <v>1</v>
      </c>
      <c r="AP309">
        <v>11</v>
      </c>
      <c r="AQ309">
        <v>2</v>
      </c>
      <c r="AR309">
        <v>2</v>
      </c>
      <c r="AS309">
        <v>0</v>
      </c>
      <c r="AT309" t="s">
        <v>12991</v>
      </c>
      <c r="AU309" t="s">
        <v>193</v>
      </c>
      <c r="AV309">
        <v>0.85299999999999998</v>
      </c>
      <c r="AW309" t="s">
        <v>65</v>
      </c>
      <c r="AX309">
        <v>13</v>
      </c>
      <c r="AY309">
        <v>2</v>
      </c>
      <c r="AZ309" t="s">
        <v>12992</v>
      </c>
      <c r="BA309">
        <v>7.5819999999999999E-2</v>
      </c>
      <c r="BB309">
        <v>-2.299E-2</v>
      </c>
      <c r="BC309">
        <v>2.7000000000000001E-3</v>
      </c>
      <c r="BD309">
        <v>-6.4000000000000005E-4</v>
      </c>
      <c r="BE309">
        <v>3.567E-2</v>
      </c>
      <c r="BF309">
        <v>1</v>
      </c>
      <c r="BG309" t="s">
        <v>69</v>
      </c>
      <c r="BH309">
        <v>-1.9750000000000001</v>
      </c>
      <c r="BI309">
        <v>-2.335</v>
      </c>
    </row>
    <row r="310" spans="3:61">
      <c r="C310">
        <v>0</v>
      </c>
      <c r="D310">
        <v>0</v>
      </c>
      <c r="E310">
        <v>4</v>
      </c>
      <c r="F310" t="s">
        <v>25021</v>
      </c>
      <c r="G310">
        <v>2030</v>
      </c>
      <c r="H310" t="s">
        <v>12634</v>
      </c>
      <c r="I310" t="s">
        <v>57</v>
      </c>
      <c r="J310">
        <v>2124021</v>
      </c>
      <c r="K310">
        <v>2124491</v>
      </c>
      <c r="L310" t="s">
        <v>12635</v>
      </c>
      <c r="M310">
        <v>157</v>
      </c>
      <c r="N310" t="s">
        <v>108</v>
      </c>
      <c r="O310">
        <v>44</v>
      </c>
      <c r="P310" t="str">
        <f>HYPERLINK("Gene2030-zp_tree_all.dnd", "Gene2030-tree")</f>
        <v>Gene2030-tree</v>
      </c>
      <c r="Q310">
        <v>6</v>
      </c>
      <c r="R310">
        <v>4</v>
      </c>
      <c r="S310">
        <v>6</v>
      </c>
      <c r="T310">
        <v>4</v>
      </c>
      <c r="U310">
        <v>0.4</v>
      </c>
      <c r="V310" t="s">
        <v>90</v>
      </c>
      <c r="W310" t="s">
        <v>61</v>
      </c>
      <c r="X310" t="s">
        <v>62</v>
      </c>
      <c r="Y310" t="s">
        <v>62</v>
      </c>
      <c r="Z310">
        <v>2</v>
      </c>
      <c r="AA310">
        <v>4</v>
      </c>
      <c r="AB310">
        <v>4</v>
      </c>
      <c r="AC310">
        <v>0.5</v>
      </c>
      <c r="AD310" s="47">
        <v>0</v>
      </c>
      <c r="AE310" s="47">
        <v>0</v>
      </c>
      <c r="AF310" s="47">
        <v>0</v>
      </c>
      <c r="AG310" s="47">
        <v>2</v>
      </c>
      <c r="AH310" s="47">
        <v>0</v>
      </c>
      <c r="AI310" s="47">
        <v>0</v>
      </c>
      <c r="AJ310" s="47">
        <v>4</v>
      </c>
      <c r="AK310" s="47">
        <v>4</v>
      </c>
      <c r="AL310">
        <v>2</v>
      </c>
      <c r="AM310">
        <v>0.66666999999999998</v>
      </c>
      <c r="AN310">
        <v>7</v>
      </c>
      <c r="AO310">
        <v>3</v>
      </c>
      <c r="AP310">
        <v>11</v>
      </c>
      <c r="AQ310">
        <v>7</v>
      </c>
      <c r="AR310">
        <v>2</v>
      </c>
      <c r="AS310">
        <v>2</v>
      </c>
      <c r="AT310" t="s">
        <v>12636</v>
      </c>
      <c r="AU310" t="s">
        <v>12637</v>
      </c>
      <c r="AV310">
        <v>0.23599999999999999</v>
      </c>
      <c r="AW310" t="s">
        <v>65</v>
      </c>
      <c r="AX310">
        <v>13</v>
      </c>
      <c r="AY310">
        <v>9</v>
      </c>
      <c r="AZ310" t="s">
        <v>12638</v>
      </c>
      <c r="BA310">
        <v>3.2960000000000003E-2</v>
      </c>
      <c r="BB310">
        <v>-3.13E-3</v>
      </c>
      <c r="BC310">
        <v>6.43E-3</v>
      </c>
      <c r="BD310">
        <v>-7.2000000000000005E-4</v>
      </c>
      <c r="BE310">
        <v>0.19503999999999999</v>
      </c>
      <c r="BF310">
        <v>1</v>
      </c>
      <c r="BG310" t="s">
        <v>69</v>
      </c>
      <c r="BH310">
        <v>-1.5029999999999999</v>
      </c>
      <c r="BI310">
        <v>-3.661</v>
      </c>
    </row>
    <row r="311" spans="3:61">
      <c r="C311">
        <v>0</v>
      </c>
      <c r="D311">
        <v>4</v>
      </c>
      <c r="E311">
        <v>2</v>
      </c>
      <c r="F311" t="s">
        <v>25021</v>
      </c>
      <c r="G311">
        <v>923</v>
      </c>
      <c r="H311" t="s">
        <v>5776</v>
      </c>
      <c r="I311" t="s">
        <v>62</v>
      </c>
      <c r="J311">
        <v>966199</v>
      </c>
      <c r="K311">
        <v>966669</v>
      </c>
      <c r="L311" t="s">
        <v>3095</v>
      </c>
      <c r="M311">
        <v>157</v>
      </c>
      <c r="N311" t="s">
        <v>5762</v>
      </c>
      <c r="O311">
        <v>43</v>
      </c>
      <c r="P311" t="str">
        <f>HYPERLINK("Gene923-zp_tree_all.dnd", "Gene923-tree")</f>
        <v>Gene923-tree</v>
      </c>
      <c r="Q311">
        <v>3</v>
      </c>
      <c r="R311">
        <v>9</v>
      </c>
      <c r="S311">
        <v>3</v>
      </c>
      <c r="T311">
        <v>9</v>
      </c>
      <c r="U311">
        <v>0.75</v>
      </c>
      <c r="V311" t="s">
        <v>324</v>
      </c>
      <c r="W311" t="s">
        <v>135</v>
      </c>
      <c r="X311" t="s">
        <v>62</v>
      </c>
      <c r="Y311" t="s">
        <v>62</v>
      </c>
      <c r="Z311">
        <v>3</v>
      </c>
      <c r="AA311">
        <v>6</v>
      </c>
      <c r="AB311">
        <v>8</v>
      </c>
      <c r="AC311">
        <v>0.42857000000000001</v>
      </c>
      <c r="AD311" s="47">
        <v>0</v>
      </c>
      <c r="AE311" s="47">
        <v>0</v>
      </c>
      <c r="AF311" s="47">
        <v>0</v>
      </c>
      <c r="AG311" s="47">
        <v>0</v>
      </c>
      <c r="AH311" s="47">
        <v>0</v>
      </c>
      <c r="AI311" s="47">
        <v>4</v>
      </c>
      <c r="AJ311" s="47">
        <v>2</v>
      </c>
      <c r="AK311" s="47">
        <v>6</v>
      </c>
      <c r="AL311">
        <v>6</v>
      </c>
      <c r="AM311">
        <v>0.5</v>
      </c>
      <c r="AN311">
        <v>9</v>
      </c>
      <c r="AO311">
        <v>6</v>
      </c>
      <c r="AP311">
        <v>8</v>
      </c>
      <c r="AQ311">
        <v>11</v>
      </c>
      <c r="AR311">
        <v>12</v>
      </c>
      <c r="AS311">
        <v>3</v>
      </c>
      <c r="AT311" t="s">
        <v>5777</v>
      </c>
      <c r="AU311" t="s">
        <v>5778</v>
      </c>
      <c r="AV311">
        <v>1.929</v>
      </c>
      <c r="AW311" t="s">
        <v>65</v>
      </c>
      <c r="AX311">
        <v>20</v>
      </c>
      <c r="AY311">
        <v>14</v>
      </c>
      <c r="AZ311" t="s">
        <v>5779</v>
      </c>
      <c r="BA311">
        <v>4.5310000000000003E-2</v>
      </c>
      <c r="BB311">
        <v>-2.3999999999999998E-3</v>
      </c>
      <c r="BC311">
        <v>8.5299999999999994E-3</v>
      </c>
      <c r="BD311">
        <v>-5.0000000000000001E-4</v>
      </c>
      <c r="BE311">
        <v>0.18833</v>
      </c>
      <c r="BF311">
        <v>1</v>
      </c>
      <c r="BG311" t="s">
        <v>69</v>
      </c>
      <c r="BH311">
        <v>-0.47699999999999998</v>
      </c>
      <c r="BI311">
        <v>-0.24199999999999999</v>
      </c>
    </row>
    <row r="312" spans="3:61">
      <c r="C312">
        <v>0</v>
      </c>
      <c r="D312">
        <v>2</v>
      </c>
      <c r="E312">
        <v>0</v>
      </c>
      <c r="F312" t="s">
        <v>25021</v>
      </c>
      <c r="G312">
        <v>3814</v>
      </c>
      <c r="H312" t="s">
        <v>22350</v>
      </c>
      <c r="I312" t="s">
        <v>57</v>
      </c>
      <c r="J312">
        <v>3780562</v>
      </c>
      <c r="K312">
        <v>3781032</v>
      </c>
      <c r="L312" t="s">
        <v>116</v>
      </c>
      <c r="M312">
        <v>157</v>
      </c>
      <c r="N312" t="s">
        <v>108</v>
      </c>
      <c r="O312">
        <v>44</v>
      </c>
      <c r="P312" t="str">
        <f>HYPERLINK("Gene3814-zp_tree_all.dnd", "Gene3814-tree")</f>
        <v>Gene3814-tree</v>
      </c>
      <c r="Q312">
        <v>6</v>
      </c>
      <c r="R312">
        <v>8</v>
      </c>
      <c r="S312">
        <v>6</v>
      </c>
      <c r="T312">
        <v>8</v>
      </c>
      <c r="U312">
        <v>0.57142999999999999</v>
      </c>
      <c r="V312" t="s">
        <v>90</v>
      </c>
      <c r="W312" t="s">
        <v>136</v>
      </c>
      <c r="X312" t="s">
        <v>62</v>
      </c>
      <c r="Y312" t="s">
        <v>62</v>
      </c>
      <c r="Z312">
        <v>1</v>
      </c>
      <c r="AA312">
        <v>2</v>
      </c>
      <c r="AB312">
        <v>9</v>
      </c>
      <c r="AC312">
        <v>0.18182000000000001</v>
      </c>
      <c r="AD312" s="47">
        <v>0</v>
      </c>
      <c r="AE312" s="47">
        <v>0</v>
      </c>
      <c r="AF312" s="47">
        <v>0</v>
      </c>
      <c r="AG312" s="47">
        <v>1</v>
      </c>
      <c r="AH312" s="47">
        <v>0</v>
      </c>
      <c r="AI312" s="47">
        <v>0</v>
      </c>
      <c r="AJ312" s="47">
        <v>2</v>
      </c>
      <c r="AK312" s="47">
        <v>2</v>
      </c>
      <c r="AL312">
        <v>8</v>
      </c>
      <c r="AM312">
        <v>0.2</v>
      </c>
      <c r="AN312">
        <v>9</v>
      </c>
      <c r="AO312">
        <v>6</v>
      </c>
      <c r="AP312">
        <v>2</v>
      </c>
      <c r="AQ312">
        <v>10</v>
      </c>
      <c r="AR312">
        <v>9</v>
      </c>
      <c r="AS312">
        <v>1</v>
      </c>
      <c r="AT312" t="s">
        <v>22351</v>
      </c>
      <c r="AU312" t="s">
        <v>22352</v>
      </c>
      <c r="AV312">
        <v>0.78</v>
      </c>
      <c r="AW312" t="s">
        <v>65</v>
      </c>
      <c r="AX312">
        <v>11</v>
      </c>
      <c r="AY312">
        <v>11</v>
      </c>
      <c r="AZ312" t="s">
        <v>22353</v>
      </c>
      <c r="BA312">
        <v>3.6510000000000001E-2</v>
      </c>
      <c r="BB312">
        <v>-2.2000000000000001E-3</v>
      </c>
      <c r="BC312">
        <v>5.2599999999999999E-3</v>
      </c>
      <c r="BD312">
        <v>-2.7E-4</v>
      </c>
      <c r="BE312">
        <v>0.14394999999999999</v>
      </c>
      <c r="BF312">
        <v>1</v>
      </c>
      <c r="BG312" t="s">
        <v>69</v>
      </c>
      <c r="BH312">
        <v>0.66800000000000004</v>
      </c>
      <c r="BI312">
        <v>0.09</v>
      </c>
    </row>
    <row r="313" spans="3:61">
      <c r="C313">
        <v>0</v>
      </c>
      <c r="D313">
        <v>4</v>
      </c>
      <c r="E313">
        <v>0</v>
      </c>
      <c r="F313" t="s">
        <v>25021</v>
      </c>
      <c r="G313">
        <v>1254</v>
      </c>
      <c r="H313" t="s">
        <v>7860</v>
      </c>
      <c r="I313" t="s">
        <v>62</v>
      </c>
      <c r="J313">
        <v>1282574</v>
      </c>
      <c r="K313">
        <v>1283044</v>
      </c>
      <c r="L313" t="s">
        <v>288</v>
      </c>
      <c r="M313">
        <v>157</v>
      </c>
      <c r="N313" t="s">
        <v>465</v>
      </c>
      <c r="O313">
        <v>46</v>
      </c>
      <c r="P313" t="str">
        <f>HYPERLINK("Gene1254-zp_tree_all.dnd", "Gene1254-tree")</f>
        <v>Gene1254-tree</v>
      </c>
      <c r="Q313">
        <v>9</v>
      </c>
      <c r="R313">
        <v>3</v>
      </c>
      <c r="S313">
        <v>9</v>
      </c>
      <c r="T313">
        <v>3</v>
      </c>
      <c r="U313">
        <v>0.25</v>
      </c>
      <c r="V313" t="s">
        <v>135</v>
      </c>
      <c r="W313" t="s">
        <v>324</v>
      </c>
      <c r="X313" t="s">
        <v>62</v>
      </c>
      <c r="Y313" t="s">
        <v>62</v>
      </c>
      <c r="Z313">
        <v>2</v>
      </c>
      <c r="AA313">
        <v>4</v>
      </c>
      <c r="AB313">
        <v>7</v>
      </c>
      <c r="AC313">
        <v>0.36364000000000002</v>
      </c>
      <c r="AD313" s="47">
        <v>0</v>
      </c>
      <c r="AE313" s="47">
        <v>0</v>
      </c>
      <c r="AF313" s="47">
        <v>0</v>
      </c>
      <c r="AG313" s="47">
        <v>3</v>
      </c>
      <c r="AH313" s="47">
        <v>0</v>
      </c>
      <c r="AI313" s="47">
        <v>0</v>
      </c>
      <c r="AJ313" s="47">
        <v>0</v>
      </c>
      <c r="AK313" s="47">
        <v>0</v>
      </c>
      <c r="AL313">
        <v>4</v>
      </c>
      <c r="AM313">
        <v>0</v>
      </c>
      <c r="AN313">
        <v>9</v>
      </c>
      <c r="AO313">
        <v>8</v>
      </c>
      <c r="AP313">
        <v>12</v>
      </c>
      <c r="AQ313">
        <v>4</v>
      </c>
      <c r="AR313">
        <v>16</v>
      </c>
      <c r="AS313">
        <v>7</v>
      </c>
      <c r="AT313" t="s">
        <v>7861</v>
      </c>
      <c r="AU313" t="s">
        <v>7862</v>
      </c>
      <c r="AV313">
        <v>0.12</v>
      </c>
      <c r="AW313" t="s">
        <v>65</v>
      </c>
      <c r="AX313">
        <v>28</v>
      </c>
      <c r="AY313">
        <v>11</v>
      </c>
      <c r="AZ313" t="s">
        <v>7863</v>
      </c>
      <c r="BA313">
        <v>6.5769999999999995E-2</v>
      </c>
      <c r="BB313">
        <v>-5.7800000000000004E-3</v>
      </c>
      <c r="BC313">
        <v>7.5100000000000002E-3</v>
      </c>
      <c r="BD313">
        <v>-6.2E-4</v>
      </c>
      <c r="BE313">
        <v>0.11418</v>
      </c>
      <c r="BF313">
        <v>1</v>
      </c>
      <c r="BG313" t="s">
        <v>69</v>
      </c>
      <c r="BH313">
        <v>-0.34599999999999997</v>
      </c>
      <c r="BI313">
        <v>1.095</v>
      </c>
    </row>
    <row r="314" spans="3:61">
      <c r="C314">
        <v>0</v>
      </c>
      <c r="D314">
        <v>2</v>
      </c>
      <c r="E314">
        <v>0</v>
      </c>
      <c r="F314" t="s">
        <v>25021</v>
      </c>
      <c r="G314">
        <v>4027</v>
      </c>
      <c r="H314" t="s">
        <v>23700</v>
      </c>
      <c r="I314" t="s">
        <v>57</v>
      </c>
      <c r="J314">
        <v>3992671</v>
      </c>
      <c r="K314">
        <v>3993141</v>
      </c>
      <c r="L314" t="s">
        <v>2075</v>
      </c>
      <c r="M314">
        <v>157</v>
      </c>
      <c r="N314" t="s">
        <v>23701</v>
      </c>
      <c r="O314">
        <v>41</v>
      </c>
      <c r="P314" t="str">
        <f>HYPERLINK("Gene4027-zp_tree_all.dnd", "Gene4027-tree")</f>
        <v>Gene4027-tree</v>
      </c>
      <c r="Q314">
        <v>4</v>
      </c>
      <c r="R314">
        <v>7</v>
      </c>
      <c r="S314">
        <v>4</v>
      </c>
      <c r="T314">
        <v>7</v>
      </c>
      <c r="U314">
        <v>0.63636000000000004</v>
      </c>
      <c r="V314" t="s">
        <v>61</v>
      </c>
      <c r="W314" t="s">
        <v>152</v>
      </c>
      <c r="X314" t="s">
        <v>62</v>
      </c>
      <c r="Y314" t="s">
        <v>62</v>
      </c>
      <c r="Z314">
        <v>1</v>
      </c>
      <c r="AA314">
        <v>2</v>
      </c>
      <c r="AB314">
        <v>9</v>
      </c>
      <c r="AC314">
        <v>0.18182000000000001</v>
      </c>
      <c r="AD314" s="47">
        <v>0</v>
      </c>
      <c r="AE314" s="47">
        <v>0</v>
      </c>
      <c r="AF314" s="47">
        <v>0</v>
      </c>
      <c r="AG314" s="47">
        <v>0</v>
      </c>
      <c r="AH314" s="47">
        <v>0</v>
      </c>
      <c r="AI314" s="47">
        <v>2</v>
      </c>
      <c r="AJ314" s="47">
        <v>0</v>
      </c>
      <c r="AK314" s="47">
        <v>2</v>
      </c>
      <c r="AL314">
        <v>7</v>
      </c>
      <c r="AM314">
        <v>0.22222</v>
      </c>
      <c r="AN314">
        <v>10</v>
      </c>
      <c r="AO314">
        <v>6</v>
      </c>
      <c r="AP314">
        <v>27</v>
      </c>
      <c r="AQ314">
        <v>9</v>
      </c>
      <c r="AR314">
        <v>15</v>
      </c>
      <c r="AS314">
        <v>2</v>
      </c>
      <c r="AT314" t="s">
        <v>23702</v>
      </c>
      <c r="AU314" t="s">
        <v>23703</v>
      </c>
      <c r="AV314">
        <v>0.58599999999999997</v>
      </c>
      <c r="AW314" t="s">
        <v>65</v>
      </c>
      <c r="AX314">
        <v>42</v>
      </c>
      <c r="AY314">
        <v>11</v>
      </c>
      <c r="AZ314" t="s">
        <v>23704</v>
      </c>
      <c r="BA314">
        <v>9.2770000000000005E-2</v>
      </c>
      <c r="BB314">
        <v>-6.4200000000000004E-3</v>
      </c>
      <c r="BC314">
        <v>7.1000000000000004E-3</v>
      </c>
      <c r="BD314">
        <v>-4.6999999999999999E-4</v>
      </c>
      <c r="BE314">
        <v>7.6520000000000005E-2</v>
      </c>
      <c r="BF314">
        <v>1</v>
      </c>
      <c r="BG314" t="s">
        <v>69</v>
      </c>
      <c r="BH314">
        <v>0.45500000000000002</v>
      </c>
      <c r="BI314">
        <v>-0.183</v>
      </c>
    </row>
    <row r="315" spans="3:61">
      <c r="C315">
        <v>0</v>
      </c>
      <c r="D315">
        <v>5</v>
      </c>
      <c r="E315">
        <v>3</v>
      </c>
      <c r="F315" t="s">
        <v>25021</v>
      </c>
      <c r="G315">
        <v>3324</v>
      </c>
      <c r="H315" t="s">
        <v>19409</v>
      </c>
      <c r="I315" t="s">
        <v>57</v>
      </c>
      <c r="J315">
        <v>3298077</v>
      </c>
      <c r="K315">
        <v>3298550</v>
      </c>
      <c r="L315" t="s">
        <v>3095</v>
      </c>
      <c r="M315">
        <v>158</v>
      </c>
      <c r="N315" t="s">
        <v>160</v>
      </c>
      <c r="O315">
        <v>45</v>
      </c>
      <c r="P315" t="str">
        <f>HYPERLINK("Gene3324-zp_tree_all.dnd", "Gene3324-tree")</f>
        <v>Gene3324-tree</v>
      </c>
      <c r="Q315">
        <v>12</v>
      </c>
      <c r="R315">
        <v>4</v>
      </c>
      <c r="S315">
        <v>12</v>
      </c>
      <c r="T315">
        <v>4</v>
      </c>
      <c r="U315">
        <v>0.25</v>
      </c>
      <c r="V315" t="s">
        <v>109</v>
      </c>
      <c r="W315" t="s">
        <v>61</v>
      </c>
      <c r="X315" t="s">
        <v>62</v>
      </c>
      <c r="Y315" t="s">
        <v>62</v>
      </c>
      <c r="Z315">
        <v>3</v>
      </c>
      <c r="AA315">
        <v>8</v>
      </c>
      <c r="AB315">
        <v>4</v>
      </c>
      <c r="AC315">
        <v>0.66666999999999998</v>
      </c>
      <c r="AD315" s="47">
        <v>0</v>
      </c>
      <c r="AE315" s="47">
        <v>0</v>
      </c>
      <c r="AF315" s="47">
        <v>0</v>
      </c>
      <c r="AG315" s="47">
        <v>1</v>
      </c>
      <c r="AH315" s="47">
        <v>0</v>
      </c>
      <c r="AI315" s="47">
        <v>2</v>
      </c>
      <c r="AJ315" s="47">
        <v>4</v>
      </c>
      <c r="AK315" s="47">
        <v>6</v>
      </c>
      <c r="AL315">
        <v>4</v>
      </c>
      <c r="AM315">
        <v>0.6</v>
      </c>
      <c r="AN315">
        <v>12</v>
      </c>
      <c r="AO315">
        <v>10</v>
      </c>
      <c r="AP315">
        <v>34</v>
      </c>
      <c r="AQ315">
        <v>11</v>
      </c>
      <c r="AR315">
        <v>14</v>
      </c>
      <c r="AS315">
        <v>2</v>
      </c>
      <c r="AT315" t="s">
        <v>19410</v>
      </c>
      <c r="AU315" t="s">
        <v>19411</v>
      </c>
      <c r="AV315">
        <v>0.33100000000000002</v>
      </c>
      <c r="AW315" t="s">
        <v>65</v>
      </c>
      <c r="AX315">
        <v>48</v>
      </c>
      <c r="AY315">
        <v>13</v>
      </c>
      <c r="AZ315" t="s">
        <v>19412</v>
      </c>
      <c r="BA315">
        <v>6.8040000000000003E-2</v>
      </c>
      <c r="BB315">
        <v>-3.9199999999999999E-3</v>
      </c>
      <c r="BC315">
        <v>5.0299999999999997E-3</v>
      </c>
      <c r="BD315">
        <v>-6.0999999999999997E-4</v>
      </c>
      <c r="BE315">
        <v>7.3889999999999997E-2</v>
      </c>
      <c r="BF315">
        <v>1</v>
      </c>
      <c r="BG315" t="s">
        <v>69</v>
      </c>
      <c r="BH315">
        <v>-1.6080000000000001</v>
      </c>
      <c r="BI315">
        <v>-3.0750000000000002</v>
      </c>
    </row>
    <row r="316" spans="3:61">
      <c r="C316">
        <v>0</v>
      </c>
      <c r="D316">
        <v>0</v>
      </c>
      <c r="E316">
        <v>0</v>
      </c>
      <c r="F316" t="s">
        <v>25021</v>
      </c>
      <c r="G316">
        <v>3743</v>
      </c>
      <c r="H316" t="s">
        <v>21954</v>
      </c>
      <c r="I316" t="s">
        <v>57</v>
      </c>
      <c r="J316">
        <v>3720925</v>
      </c>
      <c r="K316">
        <v>3721398</v>
      </c>
      <c r="L316" t="s">
        <v>21955</v>
      </c>
      <c r="M316">
        <v>158</v>
      </c>
      <c r="N316" t="s">
        <v>108</v>
      </c>
      <c r="O316">
        <v>44</v>
      </c>
      <c r="P316" t="str">
        <f>HYPERLINK("Gene3743-zp_tree_all.dnd", "Gene3743-tree")</f>
        <v>Gene3743-tree</v>
      </c>
      <c r="Q316">
        <v>7</v>
      </c>
      <c r="R316">
        <v>2</v>
      </c>
      <c r="S316">
        <v>7</v>
      </c>
      <c r="T316">
        <v>2</v>
      </c>
      <c r="U316">
        <v>0.22222</v>
      </c>
      <c r="V316" t="s">
        <v>152</v>
      </c>
      <c r="W316" t="s">
        <v>81</v>
      </c>
      <c r="X316" t="s">
        <v>62</v>
      </c>
      <c r="Y316" t="s">
        <v>62</v>
      </c>
      <c r="Z316">
        <v>0</v>
      </c>
      <c r="AA316">
        <v>0</v>
      </c>
      <c r="AB316">
        <v>2</v>
      </c>
      <c r="AC316">
        <v>0</v>
      </c>
      <c r="AD316" s="47">
        <v>0</v>
      </c>
      <c r="AE316" s="47">
        <v>0</v>
      </c>
      <c r="AF316" s="47">
        <v>0</v>
      </c>
      <c r="AG316" s="47">
        <v>0</v>
      </c>
      <c r="AH316" s="47">
        <v>0</v>
      </c>
      <c r="AI316" s="47">
        <v>0</v>
      </c>
      <c r="AJ316" s="47">
        <v>0</v>
      </c>
      <c r="AK316" s="47">
        <v>0</v>
      </c>
      <c r="AL316">
        <v>2</v>
      </c>
      <c r="AM316">
        <v>0</v>
      </c>
      <c r="AN316">
        <v>6</v>
      </c>
      <c r="AO316">
        <v>3</v>
      </c>
      <c r="AP316">
        <v>9</v>
      </c>
      <c r="AQ316">
        <v>2</v>
      </c>
      <c r="AR316">
        <v>3</v>
      </c>
      <c r="AS316">
        <v>0</v>
      </c>
      <c r="AT316" t="s">
        <v>21956</v>
      </c>
      <c r="AU316" t="s">
        <v>193</v>
      </c>
      <c r="AV316">
        <v>0.77</v>
      </c>
      <c r="AW316" t="s">
        <v>65</v>
      </c>
      <c r="AX316">
        <v>12</v>
      </c>
      <c r="AY316">
        <v>2</v>
      </c>
      <c r="AZ316" t="s">
        <v>21957</v>
      </c>
      <c r="BA316">
        <v>0.03</v>
      </c>
      <c r="BB316">
        <v>-3.5599999999999998E-3</v>
      </c>
      <c r="BC316">
        <v>1.2099999999999999E-3</v>
      </c>
      <c r="BD316">
        <v>-2.5000000000000001E-4</v>
      </c>
      <c r="BE316">
        <v>4.0219999999999999E-2</v>
      </c>
      <c r="BF316">
        <v>1</v>
      </c>
      <c r="BG316" t="s">
        <v>69</v>
      </c>
      <c r="BH316">
        <v>-0.14199999999999999</v>
      </c>
      <c r="BI316">
        <v>-2.1850000000000001</v>
      </c>
    </row>
    <row r="317" spans="3:61">
      <c r="C317">
        <v>0</v>
      </c>
      <c r="D317">
        <v>0</v>
      </c>
      <c r="E317">
        <v>0</v>
      </c>
      <c r="F317" t="s">
        <v>25021</v>
      </c>
      <c r="G317">
        <v>3283</v>
      </c>
      <c r="H317" t="s">
        <v>19160</v>
      </c>
      <c r="I317" t="s">
        <v>57</v>
      </c>
      <c r="J317">
        <v>3251248</v>
      </c>
      <c r="K317">
        <v>3251721</v>
      </c>
      <c r="L317" t="s">
        <v>19161</v>
      </c>
      <c r="M317">
        <v>158</v>
      </c>
      <c r="N317" t="s">
        <v>108</v>
      </c>
      <c r="O317">
        <v>44</v>
      </c>
      <c r="P317" t="str">
        <f>HYPERLINK("Gene3283-zp_tree_all.dnd", "Gene3283-tree")</f>
        <v>Gene3283-tree</v>
      </c>
      <c r="Q317">
        <v>11</v>
      </c>
      <c r="R317">
        <v>1</v>
      </c>
      <c r="S317">
        <v>11</v>
      </c>
      <c r="T317">
        <v>1</v>
      </c>
      <c r="U317">
        <v>8.3330000000000001E-2</v>
      </c>
      <c r="V317" t="s">
        <v>73</v>
      </c>
      <c r="W317" t="s">
        <v>175</v>
      </c>
      <c r="X317" t="s">
        <v>62</v>
      </c>
      <c r="Y317" t="s">
        <v>62</v>
      </c>
      <c r="Z317">
        <v>0</v>
      </c>
      <c r="AA317">
        <v>0</v>
      </c>
      <c r="AB317">
        <v>1</v>
      </c>
      <c r="AC317">
        <v>0</v>
      </c>
      <c r="AD317" s="47">
        <v>0</v>
      </c>
      <c r="AE317" s="47">
        <v>0</v>
      </c>
      <c r="AF317" s="47">
        <v>0</v>
      </c>
      <c r="AG317" s="47">
        <v>0</v>
      </c>
      <c r="AH317" s="47">
        <v>0</v>
      </c>
      <c r="AI317" s="47">
        <v>0</v>
      </c>
      <c r="AJ317" s="47">
        <v>0</v>
      </c>
      <c r="AK317" s="47">
        <v>0</v>
      </c>
      <c r="AL317">
        <v>1</v>
      </c>
      <c r="AM317">
        <v>0</v>
      </c>
      <c r="AN317">
        <v>11</v>
      </c>
      <c r="AO317">
        <v>4</v>
      </c>
      <c r="AP317">
        <v>17</v>
      </c>
      <c r="AQ317">
        <v>1</v>
      </c>
      <c r="AR317">
        <v>5</v>
      </c>
      <c r="AS317">
        <v>0</v>
      </c>
      <c r="AT317" t="s">
        <v>19162</v>
      </c>
      <c r="AU317" t="s">
        <v>193</v>
      </c>
      <c r="AV317">
        <v>0.30199999999999999</v>
      </c>
      <c r="AW317" t="s">
        <v>65</v>
      </c>
      <c r="AX317">
        <v>22</v>
      </c>
      <c r="AY317">
        <v>1</v>
      </c>
      <c r="AZ317" t="s">
        <v>19163</v>
      </c>
      <c r="BA317">
        <v>3.9489999999999997E-2</v>
      </c>
      <c r="BB317">
        <v>-3.15E-3</v>
      </c>
      <c r="BC317">
        <v>4.4999999999999999E-4</v>
      </c>
      <c r="BD317">
        <v>-1.2E-4</v>
      </c>
      <c r="BE317">
        <v>1.15E-2</v>
      </c>
      <c r="BF317">
        <v>1</v>
      </c>
      <c r="BG317" t="s">
        <v>69</v>
      </c>
      <c r="BH317">
        <v>-0.66500000000000004</v>
      </c>
      <c r="BI317">
        <v>-1.2110000000000001</v>
      </c>
    </row>
    <row r="318" spans="3:61">
      <c r="C318">
        <v>0</v>
      </c>
      <c r="D318">
        <v>5</v>
      </c>
      <c r="E318">
        <v>2</v>
      </c>
      <c r="F318" t="s">
        <v>25021</v>
      </c>
      <c r="G318">
        <v>3740</v>
      </c>
      <c r="H318" t="s">
        <v>21934</v>
      </c>
      <c r="I318" t="s">
        <v>57</v>
      </c>
      <c r="J318">
        <v>3717326</v>
      </c>
      <c r="K318">
        <v>3717802</v>
      </c>
      <c r="L318" t="s">
        <v>21935</v>
      </c>
      <c r="M318">
        <v>159</v>
      </c>
      <c r="N318" t="s">
        <v>21936</v>
      </c>
      <c r="O318">
        <v>33</v>
      </c>
      <c r="P318" t="str">
        <f>HYPERLINK("Gene3740-zp_tree_all.dnd", "Gene3740-tree")</f>
        <v>Gene3740-tree</v>
      </c>
      <c r="Q318">
        <v>2</v>
      </c>
      <c r="R318">
        <v>8</v>
      </c>
      <c r="S318">
        <v>2</v>
      </c>
      <c r="T318">
        <v>8</v>
      </c>
      <c r="U318">
        <v>0.8</v>
      </c>
      <c r="V318" t="s">
        <v>81</v>
      </c>
      <c r="W318" t="s">
        <v>136</v>
      </c>
      <c r="X318" t="s">
        <v>62</v>
      </c>
      <c r="Y318" t="s">
        <v>62</v>
      </c>
      <c r="Z318">
        <v>3</v>
      </c>
      <c r="AA318">
        <v>7</v>
      </c>
      <c r="AB318">
        <v>22</v>
      </c>
      <c r="AC318">
        <v>0.24138000000000001</v>
      </c>
      <c r="AD318" s="47">
        <v>0</v>
      </c>
      <c r="AE318" s="47">
        <v>0</v>
      </c>
      <c r="AF318" s="47">
        <v>0</v>
      </c>
      <c r="AG318" s="47">
        <v>1</v>
      </c>
      <c r="AH318" s="47">
        <v>0</v>
      </c>
      <c r="AI318" s="47">
        <v>2</v>
      </c>
      <c r="AJ318" s="47">
        <v>2</v>
      </c>
      <c r="AK318" s="47">
        <v>4</v>
      </c>
      <c r="AL318">
        <v>18</v>
      </c>
      <c r="AM318">
        <v>0.18182000000000001</v>
      </c>
      <c r="AN318">
        <v>6</v>
      </c>
      <c r="AO318">
        <v>5</v>
      </c>
      <c r="AP318">
        <v>4</v>
      </c>
      <c r="AQ318">
        <v>20</v>
      </c>
      <c r="AR318">
        <v>2</v>
      </c>
      <c r="AS318">
        <v>9</v>
      </c>
      <c r="AT318" t="s">
        <v>21937</v>
      </c>
      <c r="AU318" t="s">
        <v>21938</v>
      </c>
      <c r="AV318">
        <v>4.2999999999999997E-2</v>
      </c>
      <c r="AW318" t="s">
        <v>65</v>
      </c>
      <c r="AX318">
        <v>6</v>
      </c>
      <c r="AY318">
        <v>29</v>
      </c>
      <c r="AZ318" t="s">
        <v>21939</v>
      </c>
      <c r="BA318">
        <v>1.3429999999999999E-2</v>
      </c>
      <c r="BB318">
        <v>-1.8799999999999999E-3</v>
      </c>
      <c r="BC318">
        <v>2.2290000000000001E-2</v>
      </c>
      <c r="BD318">
        <v>-2.3800000000000002E-3</v>
      </c>
      <c r="BE318">
        <v>1.65974</v>
      </c>
      <c r="BF318">
        <v>0.02</v>
      </c>
      <c r="BG318" t="s">
        <v>15934</v>
      </c>
      <c r="BH318">
        <v>-1.583</v>
      </c>
      <c r="BI318">
        <v>-2.5760000000000001</v>
      </c>
    </row>
    <row r="319" spans="3:61">
      <c r="C319">
        <v>0</v>
      </c>
      <c r="D319">
        <v>0</v>
      </c>
      <c r="E319">
        <v>0</v>
      </c>
      <c r="F319" t="s">
        <v>25021</v>
      </c>
      <c r="G319">
        <v>1115</v>
      </c>
      <c r="H319" t="s">
        <v>7011</v>
      </c>
      <c r="I319" t="s">
        <v>62</v>
      </c>
      <c r="J319">
        <v>1159214</v>
      </c>
      <c r="K319">
        <v>1159690</v>
      </c>
      <c r="L319" t="s">
        <v>7012</v>
      </c>
      <c r="M319">
        <v>159</v>
      </c>
      <c r="N319" t="s">
        <v>7013</v>
      </c>
      <c r="O319">
        <v>28</v>
      </c>
      <c r="P319" t="str">
        <f>HYPERLINK("Gene1115-zp_tree_all.dnd", "Gene1115-tree")</f>
        <v>Gene1115-tree</v>
      </c>
      <c r="Q319">
        <v>3</v>
      </c>
      <c r="R319">
        <v>4</v>
      </c>
      <c r="S319">
        <v>3</v>
      </c>
      <c r="T319">
        <v>4</v>
      </c>
      <c r="U319">
        <v>0.57142999999999999</v>
      </c>
      <c r="V319" t="s">
        <v>324</v>
      </c>
      <c r="W319" t="s">
        <v>61</v>
      </c>
      <c r="X319" t="s">
        <v>62</v>
      </c>
      <c r="Y319" t="s">
        <v>62</v>
      </c>
      <c r="Z319">
        <v>0</v>
      </c>
      <c r="AA319">
        <v>0</v>
      </c>
      <c r="AB319">
        <v>5</v>
      </c>
      <c r="AC319">
        <v>0</v>
      </c>
      <c r="AD319" s="47">
        <v>0</v>
      </c>
      <c r="AE319" s="47">
        <v>0</v>
      </c>
      <c r="AF319" s="47">
        <v>0</v>
      </c>
      <c r="AG319" s="47">
        <v>0</v>
      </c>
      <c r="AH319" s="47">
        <v>0</v>
      </c>
      <c r="AI319" s="47">
        <v>0</v>
      </c>
      <c r="AJ319" s="47">
        <v>0</v>
      </c>
      <c r="AK319" s="47">
        <v>0</v>
      </c>
      <c r="AL319">
        <v>4</v>
      </c>
      <c r="AM319">
        <v>0</v>
      </c>
      <c r="AN319">
        <v>6</v>
      </c>
      <c r="AO319">
        <v>1</v>
      </c>
      <c r="AP319">
        <v>2</v>
      </c>
      <c r="AQ319">
        <v>4</v>
      </c>
      <c r="AR319">
        <v>0</v>
      </c>
      <c r="AS319">
        <v>1</v>
      </c>
      <c r="AT319" t="s">
        <v>7014</v>
      </c>
      <c r="AU319" t="s">
        <v>193</v>
      </c>
      <c r="AV319">
        <v>0.98</v>
      </c>
      <c r="AW319" t="s">
        <v>65</v>
      </c>
      <c r="AX319">
        <v>2</v>
      </c>
      <c r="AY319">
        <v>5</v>
      </c>
      <c r="AZ319" t="s">
        <v>7015</v>
      </c>
      <c r="BA319">
        <v>5.6699999999999997E-3</v>
      </c>
      <c r="BB319">
        <v>-1.2600000000000001E-3</v>
      </c>
      <c r="BC319">
        <v>4.3299999999999996E-3</v>
      </c>
      <c r="BD319">
        <v>-4.6000000000000001E-4</v>
      </c>
      <c r="BE319">
        <v>0.76383999999999996</v>
      </c>
      <c r="BF319">
        <v>0.29499999999999998</v>
      </c>
      <c r="BG319" t="s">
        <v>635</v>
      </c>
      <c r="BH319">
        <v>-0.53900000000000003</v>
      </c>
      <c r="BI319">
        <v>-0.77700000000000002</v>
      </c>
    </row>
    <row r="320" spans="3:61">
      <c r="C320">
        <v>0</v>
      </c>
      <c r="D320">
        <v>9</v>
      </c>
      <c r="E320">
        <v>1</v>
      </c>
      <c r="F320" t="s">
        <v>25021</v>
      </c>
      <c r="G320">
        <v>4220</v>
      </c>
      <c r="H320" t="s">
        <v>24804</v>
      </c>
      <c r="I320" t="s">
        <v>57</v>
      </c>
      <c r="J320">
        <v>4181982</v>
      </c>
      <c r="K320">
        <v>4182458</v>
      </c>
      <c r="L320" t="s">
        <v>6103</v>
      </c>
      <c r="M320">
        <v>159</v>
      </c>
      <c r="N320" t="s">
        <v>2078</v>
      </c>
      <c r="O320">
        <v>36</v>
      </c>
      <c r="P320" t="str">
        <f>HYPERLINK("Gene4220-zp_tree_all.dnd", "Gene4220-tree")</f>
        <v>Gene4220-tree</v>
      </c>
      <c r="Q320">
        <v>0</v>
      </c>
      <c r="R320">
        <v>10</v>
      </c>
      <c r="S320">
        <v>0</v>
      </c>
      <c r="T320">
        <v>10</v>
      </c>
      <c r="U320">
        <v>1</v>
      </c>
      <c r="V320" t="s">
        <v>62</v>
      </c>
      <c r="W320" t="s">
        <v>117</v>
      </c>
      <c r="X320" t="s">
        <v>62</v>
      </c>
      <c r="Y320" t="s">
        <v>62</v>
      </c>
      <c r="Z320">
        <v>3</v>
      </c>
      <c r="AA320">
        <v>10</v>
      </c>
      <c r="AB320">
        <v>14</v>
      </c>
      <c r="AC320">
        <v>0.41666999999999998</v>
      </c>
      <c r="AD320" s="47">
        <v>0</v>
      </c>
      <c r="AE320" s="47">
        <v>0</v>
      </c>
      <c r="AF320" s="47">
        <v>0</v>
      </c>
      <c r="AG320" s="47">
        <v>0</v>
      </c>
      <c r="AH320" s="47">
        <v>0</v>
      </c>
      <c r="AI320" s="47">
        <v>7</v>
      </c>
      <c r="AJ320" s="47">
        <v>1</v>
      </c>
      <c r="AK320" s="47">
        <v>8</v>
      </c>
      <c r="AL320">
        <v>11</v>
      </c>
      <c r="AM320">
        <v>0.42104999999999998</v>
      </c>
      <c r="AN320">
        <v>9</v>
      </c>
      <c r="AO320">
        <v>4</v>
      </c>
      <c r="AP320">
        <v>7</v>
      </c>
      <c r="AQ320">
        <v>19</v>
      </c>
      <c r="AR320">
        <v>7</v>
      </c>
      <c r="AS320">
        <v>5</v>
      </c>
      <c r="AT320" t="s">
        <v>24805</v>
      </c>
      <c r="AU320" t="s">
        <v>24806</v>
      </c>
      <c r="AV320">
        <v>0.95499999999999996</v>
      </c>
      <c r="AW320" t="s">
        <v>65</v>
      </c>
      <c r="AX320">
        <v>14</v>
      </c>
      <c r="AY320">
        <v>24</v>
      </c>
      <c r="AZ320" t="s">
        <v>24807</v>
      </c>
      <c r="BA320">
        <v>3.6580000000000001E-2</v>
      </c>
      <c r="BB320">
        <v>-4.1900000000000001E-3</v>
      </c>
      <c r="BC320">
        <v>1.3939999999999999E-2</v>
      </c>
      <c r="BD320">
        <v>-8.0999999999999996E-4</v>
      </c>
      <c r="BE320">
        <v>0.38096999999999998</v>
      </c>
      <c r="BF320">
        <v>0.95</v>
      </c>
      <c r="BG320" t="s">
        <v>635</v>
      </c>
      <c r="BH320">
        <v>1.139</v>
      </c>
      <c r="BI320">
        <v>0.85199999999999998</v>
      </c>
    </row>
    <row r="321" spans="3:61">
      <c r="C321">
        <v>0</v>
      </c>
      <c r="D321">
        <v>15</v>
      </c>
      <c r="E321">
        <v>4</v>
      </c>
      <c r="F321" t="s">
        <v>25021</v>
      </c>
      <c r="G321">
        <v>595</v>
      </c>
      <c r="H321" t="s">
        <v>3832</v>
      </c>
      <c r="I321" t="s">
        <v>62</v>
      </c>
      <c r="J321">
        <v>622811</v>
      </c>
      <c r="K321">
        <v>623290</v>
      </c>
      <c r="L321" t="s">
        <v>3537</v>
      </c>
      <c r="M321">
        <v>160</v>
      </c>
      <c r="N321" t="s">
        <v>1392</v>
      </c>
      <c r="O321">
        <v>43</v>
      </c>
      <c r="P321" t="str">
        <f>HYPERLINK("Gene595-zp_tree_all.dnd", "Gene595-tree")</f>
        <v>Gene595-tree</v>
      </c>
      <c r="Q321">
        <v>2</v>
      </c>
      <c r="R321">
        <v>11</v>
      </c>
      <c r="S321">
        <v>2</v>
      </c>
      <c r="T321">
        <v>11</v>
      </c>
      <c r="U321">
        <v>0.84614999999999996</v>
      </c>
      <c r="V321" t="s">
        <v>81</v>
      </c>
      <c r="W321" t="s">
        <v>73</v>
      </c>
      <c r="X321">
        <v>515075683.63</v>
      </c>
      <c r="Y321" t="s">
        <v>267</v>
      </c>
      <c r="Z321">
        <v>7</v>
      </c>
      <c r="AA321">
        <v>19</v>
      </c>
      <c r="AB321">
        <v>11</v>
      </c>
      <c r="AC321">
        <v>0.63332999999999995</v>
      </c>
      <c r="AD321" s="47">
        <v>0</v>
      </c>
      <c r="AE321" s="47">
        <v>0</v>
      </c>
      <c r="AF321" s="47">
        <v>0</v>
      </c>
      <c r="AG321" s="47">
        <v>0</v>
      </c>
      <c r="AH321" s="47">
        <v>0</v>
      </c>
      <c r="AI321" s="47">
        <v>9</v>
      </c>
      <c r="AJ321" s="47">
        <v>2</v>
      </c>
      <c r="AK321" s="47">
        <v>11</v>
      </c>
      <c r="AL321">
        <v>12</v>
      </c>
      <c r="AM321">
        <v>0.47826000000000002</v>
      </c>
      <c r="AN321">
        <v>13</v>
      </c>
      <c r="AO321">
        <v>7</v>
      </c>
      <c r="AP321">
        <v>13</v>
      </c>
      <c r="AQ321">
        <v>23</v>
      </c>
      <c r="AR321">
        <v>3</v>
      </c>
      <c r="AS321">
        <v>8</v>
      </c>
      <c r="AT321" t="s">
        <v>3833</v>
      </c>
      <c r="AU321" t="s">
        <v>3834</v>
      </c>
      <c r="AV321">
        <v>0.50600000000000001</v>
      </c>
      <c r="AW321" t="s">
        <v>65</v>
      </c>
      <c r="AX321">
        <v>16</v>
      </c>
      <c r="AY321">
        <v>31</v>
      </c>
      <c r="AZ321" t="s">
        <v>3835</v>
      </c>
      <c r="BA321">
        <v>3.0519999999999999E-2</v>
      </c>
      <c r="BB321">
        <v>-1.5399999999999999E-3</v>
      </c>
      <c r="BC321">
        <v>1.5949999999999999E-2</v>
      </c>
      <c r="BD321">
        <v>-6.3000000000000003E-4</v>
      </c>
      <c r="BE321">
        <v>0.52248000000000006</v>
      </c>
      <c r="BF321">
        <v>0.85</v>
      </c>
      <c r="BG321" t="s">
        <v>635</v>
      </c>
      <c r="BH321">
        <v>-0.73799999999999999</v>
      </c>
      <c r="BI321">
        <v>-1.41</v>
      </c>
    </row>
    <row r="322" spans="3:61">
      <c r="C322">
        <v>0</v>
      </c>
      <c r="D322">
        <v>0</v>
      </c>
      <c r="E322">
        <v>0</v>
      </c>
      <c r="F322" t="s">
        <v>25021</v>
      </c>
      <c r="G322">
        <v>4200</v>
      </c>
      <c r="H322" t="s">
        <v>24735</v>
      </c>
      <c r="I322" t="s">
        <v>57</v>
      </c>
      <c r="J322">
        <v>4167110</v>
      </c>
      <c r="K322">
        <v>4167589</v>
      </c>
      <c r="L322" t="s">
        <v>3688</v>
      </c>
      <c r="M322">
        <v>160</v>
      </c>
      <c r="N322" t="s">
        <v>108</v>
      </c>
      <c r="O322">
        <v>44</v>
      </c>
      <c r="P322" t="str">
        <f>HYPERLINK("Gene4200-zp_tree_all.dnd", "Gene4200-tree")</f>
        <v>Gene4200-tree</v>
      </c>
      <c r="Q322">
        <v>6</v>
      </c>
      <c r="R322">
        <v>4</v>
      </c>
      <c r="S322">
        <v>6</v>
      </c>
      <c r="T322">
        <v>4</v>
      </c>
      <c r="U322">
        <v>0.4</v>
      </c>
      <c r="V322" t="s">
        <v>90</v>
      </c>
      <c r="W322" t="s">
        <v>61</v>
      </c>
      <c r="X322" t="s">
        <v>62</v>
      </c>
      <c r="Y322" t="s">
        <v>62</v>
      </c>
      <c r="Z322">
        <v>0</v>
      </c>
      <c r="AA322">
        <v>0</v>
      </c>
      <c r="AB322">
        <v>7</v>
      </c>
      <c r="AC322">
        <v>0</v>
      </c>
      <c r="AD322" s="47">
        <v>0</v>
      </c>
      <c r="AE322" s="47">
        <v>0</v>
      </c>
      <c r="AF322" s="47">
        <v>0</v>
      </c>
      <c r="AG322" s="47">
        <v>1</v>
      </c>
      <c r="AH322" s="47">
        <v>0</v>
      </c>
      <c r="AI322" s="47">
        <v>0</v>
      </c>
      <c r="AJ322" s="47">
        <v>0</v>
      </c>
      <c r="AK322" s="47">
        <v>0</v>
      </c>
      <c r="AL322">
        <v>6</v>
      </c>
      <c r="AM322">
        <v>0</v>
      </c>
      <c r="AN322">
        <v>7</v>
      </c>
      <c r="AO322">
        <v>3</v>
      </c>
      <c r="AP322">
        <v>4</v>
      </c>
      <c r="AQ322">
        <v>6</v>
      </c>
      <c r="AR322">
        <v>3</v>
      </c>
      <c r="AS322">
        <v>1</v>
      </c>
      <c r="AT322" t="s">
        <v>24736</v>
      </c>
      <c r="AU322" t="s">
        <v>24737</v>
      </c>
      <c r="AV322">
        <v>1.127</v>
      </c>
      <c r="AW322" t="s">
        <v>65</v>
      </c>
      <c r="AX322">
        <v>7</v>
      </c>
      <c r="AY322">
        <v>7</v>
      </c>
      <c r="AZ322" t="s">
        <v>24738</v>
      </c>
      <c r="BA322">
        <v>1.7600000000000001E-2</v>
      </c>
      <c r="BB322">
        <v>-1.1199999999999999E-3</v>
      </c>
      <c r="BC322">
        <v>4.2100000000000002E-3</v>
      </c>
      <c r="BD322">
        <v>-4.0999999999999999E-4</v>
      </c>
      <c r="BE322">
        <v>0.23934</v>
      </c>
      <c r="BF322">
        <v>0.92</v>
      </c>
      <c r="BG322" t="s">
        <v>635</v>
      </c>
      <c r="BH322">
        <v>-0.67700000000000005</v>
      </c>
      <c r="BI322">
        <v>-0.95799999999999996</v>
      </c>
    </row>
    <row r="323" spans="3:61">
      <c r="C323">
        <v>0</v>
      </c>
      <c r="D323">
        <v>4</v>
      </c>
      <c r="E323">
        <v>2</v>
      </c>
      <c r="F323" t="s">
        <v>25021</v>
      </c>
      <c r="G323">
        <v>1945</v>
      </c>
      <c r="H323" t="s">
        <v>12187</v>
      </c>
      <c r="I323" t="s">
        <v>57</v>
      </c>
      <c r="J323">
        <v>2043186</v>
      </c>
      <c r="K323">
        <v>2043665</v>
      </c>
      <c r="L323" t="s">
        <v>12188</v>
      </c>
      <c r="M323">
        <v>160</v>
      </c>
      <c r="N323" t="s">
        <v>12189</v>
      </c>
      <c r="O323">
        <v>37</v>
      </c>
      <c r="P323" t="str">
        <f>HYPERLINK("Gene1945-zp_tree_all.dnd", "Gene1945-tree")</f>
        <v>Gene1945-tree</v>
      </c>
      <c r="Q323">
        <v>7</v>
      </c>
      <c r="R323">
        <v>24</v>
      </c>
      <c r="S323">
        <v>7</v>
      </c>
      <c r="T323">
        <v>5</v>
      </c>
      <c r="U323">
        <v>0.41666999999999998</v>
      </c>
      <c r="V323" t="s">
        <v>152</v>
      </c>
      <c r="W323" t="s">
        <v>2668</v>
      </c>
      <c r="X323">
        <v>4.6369999999999996</v>
      </c>
      <c r="Y323" t="s">
        <v>65</v>
      </c>
      <c r="Z323">
        <v>3</v>
      </c>
      <c r="AA323">
        <v>6</v>
      </c>
      <c r="AB323">
        <v>6</v>
      </c>
      <c r="AC323">
        <v>0.5</v>
      </c>
      <c r="AD323" s="47">
        <v>0</v>
      </c>
      <c r="AE323" s="47">
        <v>0</v>
      </c>
      <c r="AF323" s="47">
        <v>0</v>
      </c>
      <c r="AG323" s="47">
        <v>0</v>
      </c>
      <c r="AH323" s="47">
        <v>0</v>
      </c>
      <c r="AI323" s="47">
        <v>4</v>
      </c>
      <c r="AJ323" s="47">
        <v>2</v>
      </c>
      <c r="AK323" s="47">
        <v>6</v>
      </c>
      <c r="AL323">
        <v>5</v>
      </c>
      <c r="AM323">
        <v>0.54544999999999999</v>
      </c>
      <c r="AN323">
        <v>10</v>
      </c>
      <c r="AO323">
        <v>4</v>
      </c>
      <c r="AP323">
        <v>10</v>
      </c>
      <c r="AQ323">
        <v>11</v>
      </c>
      <c r="AR323">
        <v>3</v>
      </c>
      <c r="AS323">
        <v>1</v>
      </c>
      <c r="AT323" t="s">
        <v>12190</v>
      </c>
      <c r="AU323" t="s">
        <v>12191</v>
      </c>
      <c r="AV323">
        <v>0.92700000000000005</v>
      </c>
      <c r="AW323" t="s">
        <v>65</v>
      </c>
      <c r="AX323">
        <v>13</v>
      </c>
      <c r="AY323">
        <v>12</v>
      </c>
      <c r="AZ323" t="s">
        <v>12192</v>
      </c>
      <c r="BA323">
        <v>2.504E-2</v>
      </c>
      <c r="BB323">
        <v>-1.1900000000000001E-3</v>
      </c>
      <c r="BC323">
        <v>5.6699999999999997E-3</v>
      </c>
      <c r="BD323">
        <v>-5.4000000000000001E-4</v>
      </c>
      <c r="BE323">
        <v>0.22622999999999999</v>
      </c>
      <c r="BF323">
        <v>1</v>
      </c>
      <c r="BG323" t="s">
        <v>69</v>
      </c>
      <c r="BH323">
        <v>-0.91900000000000004</v>
      </c>
      <c r="BI323">
        <v>-1.425</v>
      </c>
    </row>
    <row r="324" spans="3:61">
      <c r="C324">
        <v>0</v>
      </c>
      <c r="D324">
        <v>0</v>
      </c>
      <c r="E324">
        <v>0</v>
      </c>
      <c r="F324" t="s">
        <v>25021</v>
      </c>
      <c r="G324">
        <v>172</v>
      </c>
      <c r="H324" t="s">
        <v>1216</v>
      </c>
      <c r="I324" t="s">
        <v>62</v>
      </c>
      <c r="J324">
        <v>193078</v>
      </c>
      <c r="K324">
        <v>193557</v>
      </c>
      <c r="L324" t="s">
        <v>1217</v>
      </c>
      <c r="M324">
        <v>160</v>
      </c>
      <c r="N324" t="s">
        <v>108</v>
      </c>
      <c r="O324">
        <v>44</v>
      </c>
      <c r="P324" t="str">
        <f>HYPERLINK("Gene172-zp_tree_all.dnd", "Gene172-tree")</f>
        <v>Gene172-tree</v>
      </c>
      <c r="Q324">
        <v>6</v>
      </c>
      <c r="R324">
        <v>7</v>
      </c>
      <c r="S324">
        <v>6</v>
      </c>
      <c r="T324">
        <v>7</v>
      </c>
      <c r="U324">
        <v>0.53846000000000005</v>
      </c>
      <c r="V324" t="s">
        <v>90</v>
      </c>
      <c r="W324" t="s">
        <v>152</v>
      </c>
      <c r="X324" t="s">
        <v>62</v>
      </c>
      <c r="Y324" t="s">
        <v>62</v>
      </c>
      <c r="Z324">
        <v>0</v>
      </c>
      <c r="AA324">
        <v>0</v>
      </c>
      <c r="AB324">
        <v>8</v>
      </c>
      <c r="AC324">
        <v>0</v>
      </c>
      <c r="AD324" s="47">
        <v>0</v>
      </c>
      <c r="AE324" s="47">
        <v>0</v>
      </c>
      <c r="AF324" s="47">
        <v>0</v>
      </c>
      <c r="AG324" s="47">
        <v>1</v>
      </c>
      <c r="AH324" s="47">
        <v>0</v>
      </c>
      <c r="AI324" s="47">
        <v>0</v>
      </c>
      <c r="AJ324" s="47">
        <v>0</v>
      </c>
      <c r="AK324" s="47">
        <v>0</v>
      </c>
      <c r="AL324">
        <v>6</v>
      </c>
      <c r="AM324">
        <v>0</v>
      </c>
      <c r="AN324">
        <v>9</v>
      </c>
      <c r="AO324">
        <v>7</v>
      </c>
      <c r="AP324">
        <v>11</v>
      </c>
      <c r="AQ324">
        <v>6</v>
      </c>
      <c r="AR324">
        <v>6</v>
      </c>
      <c r="AS324">
        <v>2</v>
      </c>
      <c r="AT324" t="s">
        <v>1218</v>
      </c>
      <c r="AU324" t="s">
        <v>1219</v>
      </c>
      <c r="AV324">
        <v>0.54</v>
      </c>
      <c r="AW324" t="s">
        <v>65</v>
      </c>
      <c r="AX324">
        <v>17</v>
      </c>
      <c r="AY324">
        <v>8</v>
      </c>
      <c r="AZ324" t="s">
        <v>1220</v>
      </c>
      <c r="BA324">
        <v>3.3119999999999997E-2</v>
      </c>
      <c r="BB324">
        <v>-1.64E-3</v>
      </c>
      <c r="BC324">
        <v>4.0800000000000003E-3</v>
      </c>
      <c r="BD324">
        <v>-2.9E-4</v>
      </c>
      <c r="BE324">
        <v>0.12324</v>
      </c>
      <c r="BF324">
        <v>1</v>
      </c>
      <c r="BG324" t="s">
        <v>69</v>
      </c>
      <c r="BH324">
        <v>-1</v>
      </c>
      <c r="BI324">
        <v>-0.93100000000000005</v>
      </c>
    </row>
    <row r="325" spans="3:61">
      <c r="C325">
        <v>0</v>
      </c>
      <c r="D325">
        <v>0</v>
      </c>
      <c r="E325">
        <v>0</v>
      </c>
      <c r="F325" t="s">
        <v>25021</v>
      </c>
      <c r="G325">
        <v>2835</v>
      </c>
      <c r="H325" t="s">
        <v>16281</v>
      </c>
      <c r="I325" t="s">
        <v>57</v>
      </c>
      <c r="J325">
        <v>2784170</v>
      </c>
      <c r="K325">
        <v>2784649</v>
      </c>
      <c r="L325" t="s">
        <v>116</v>
      </c>
      <c r="M325">
        <v>160</v>
      </c>
      <c r="N325" t="s">
        <v>108</v>
      </c>
      <c r="O325">
        <v>44</v>
      </c>
      <c r="P325" t="str">
        <f>HYPERLINK("Gene2835-zp_tree_all.dnd", "Gene2835-tree")</f>
        <v>Gene2835-tree</v>
      </c>
      <c r="Q325">
        <v>13</v>
      </c>
      <c r="R325">
        <v>0</v>
      </c>
      <c r="S325">
        <v>13</v>
      </c>
      <c r="T325">
        <v>0</v>
      </c>
      <c r="U325">
        <v>0</v>
      </c>
      <c r="V325" t="s">
        <v>507</v>
      </c>
      <c r="W325" t="s">
        <v>62</v>
      </c>
      <c r="X325" t="s">
        <v>62</v>
      </c>
      <c r="Y325" t="s">
        <v>62</v>
      </c>
      <c r="Z325">
        <v>0</v>
      </c>
      <c r="AA325">
        <v>0</v>
      </c>
      <c r="AB325">
        <v>2</v>
      </c>
      <c r="AC325">
        <v>0</v>
      </c>
      <c r="AD325" s="47">
        <v>0</v>
      </c>
      <c r="AE325" s="47">
        <v>0</v>
      </c>
      <c r="AF325" s="47">
        <v>0</v>
      </c>
      <c r="AG325" s="47">
        <v>1</v>
      </c>
      <c r="AH325" s="47">
        <v>0</v>
      </c>
      <c r="AI325" s="47">
        <v>0</v>
      </c>
      <c r="AJ325" s="47">
        <v>0</v>
      </c>
      <c r="AK325" s="47">
        <v>0</v>
      </c>
      <c r="AL325">
        <v>0</v>
      </c>
      <c r="AM325">
        <v>0</v>
      </c>
      <c r="AN325">
        <v>11</v>
      </c>
      <c r="AO325">
        <v>3</v>
      </c>
      <c r="AP325">
        <v>13</v>
      </c>
      <c r="AQ325">
        <v>0</v>
      </c>
      <c r="AR325">
        <v>4</v>
      </c>
      <c r="AS325">
        <v>2</v>
      </c>
      <c r="AT325" t="s">
        <v>193</v>
      </c>
      <c r="AU325" t="s">
        <v>16282</v>
      </c>
      <c r="AV325">
        <v>2.76</v>
      </c>
      <c r="AW325" t="s">
        <v>65</v>
      </c>
      <c r="AX325">
        <v>17</v>
      </c>
      <c r="AY325">
        <v>2</v>
      </c>
      <c r="AZ325" t="s">
        <v>16283</v>
      </c>
      <c r="BA325">
        <v>2.622E-2</v>
      </c>
      <c r="BB325">
        <v>-1.1800000000000001E-3</v>
      </c>
      <c r="BC325">
        <v>2.6099999999999999E-3</v>
      </c>
      <c r="BD325">
        <v>-2.1000000000000001E-4</v>
      </c>
      <c r="BE325">
        <v>9.9680000000000005E-2</v>
      </c>
      <c r="BF325">
        <v>0.99</v>
      </c>
      <c r="BG325" t="s">
        <v>69</v>
      </c>
      <c r="BH325">
        <v>-0.505</v>
      </c>
      <c r="BI325">
        <v>-2.1850000000000001</v>
      </c>
    </row>
    <row r="326" spans="3:61">
      <c r="C326">
        <v>0</v>
      </c>
      <c r="D326">
        <v>4</v>
      </c>
      <c r="E326">
        <v>0</v>
      </c>
      <c r="F326" t="s">
        <v>25021</v>
      </c>
      <c r="G326">
        <v>875</v>
      </c>
      <c r="H326" t="s">
        <v>5463</v>
      </c>
      <c r="I326" t="s">
        <v>62</v>
      </c>
      <c r="J326">
        <v>916127</v>
      </c>
      <c r="K326">
        <v>916606</v>
      </c>
      <c r="L326" t="s">
        <v>3745</v>
      </c>
      <c r="M326">
        <v>160</v>
      </c>
      <c r="N326" t="s">
        <v>108</v>
      </c>
      <c r="O326">
        <v>44</v>
      </c>
      <c r="P326" t="str">
        <f>HYPERLINK("Gene875-zp_tree_all.dnd", "Gene875-tree")</f>
        <v>Gene875-tree</v>
      </c>
      <c r="Q326">
        <v>9</v>
      </c>
      <c r="R326">
        <v>4</v>
      </c>
      <c r="S326">
        <v>9</v>
      </c>
      <c r="T326">
        <v>4</v>
      </c>
      <c r="U326">
        <v>0.30769000000000002</v>
      </c>
      <c r="V326" t="s">
        <v>135</v>
      </c>
      <c r="W326" t="s">
        <v>61</v>
      </c>
      <c r="X326" t="s">
        <v>62</v>
      </c>
      <c r="Y326" t="s">
        <v>62</v>
      </c>
      <c r="Z326">
        <v>2</v>
      </c>
      <c r="AA326">
        <v>4</v>
      </c>
      <c r="AB326">
        <v>4</v>
      </c>
      <c r="AC326">
        <v>0.5</v>
      </c>
      <c r="AD326" s="47">
        <v>0</v>
      </c>
      <c r="AE326" s="47">
        <v>0</v>
      </c>
      <c r="AF326" s="47">
        <v>0</v>
      </c>
      <c r="AG326" s="47">
        <v>0</v>
      </c>
      <c r="AH326" s="47">
        <v>0</v>
      </c>
      <c r="AI326" s="47">
        <v>0</v>
      </c>
      <c r="AJ326" s="47">
        <v>0</v>
      </c>
      <c r="AK326" s="47">
        <v>0</v>
      </c>
      <c r="AL326">
        <v>6</v>
      </c>
      <c r="AM326">
        <v>0</v>
      </c>
      <c r="AN326">
        <v>11</v>
      </c>
      <c r="AO326">
        <v>8</v>
      </c>
      <c r="AP326">
        <v>17</v>
      </c>
      <c r="AQ326">
        <v>6</v>
      </c>
      <c r="AR326">
        <v>11</v>
      </c>
      <c r="AS326">
        <v>2</v>
      </c>
      <c r="AT326" t="s">
        <v>5464</v>
      </c>
      <c r="AU326" t="s">
        <v>5465</v>
      </c>
      <c r="AV326">
        <v>0.51</v>
      </c>
      <c r="AW326" t="s">
        <v>65</v>
      </c>
      <c r="AX326">
        <v>28</v>
      </c>
      <c r="AY326">
        <v>8</v>
      </c>
      <c r="AZ326" t="s">
        <v>5466</v>
      </c>
      <c r="BA326">
        <v>6.2129999999999998E-2</v>
      </c>
      <c r="BB326">
        <v>-3.0699999999999998E-3</v>
      </c>
      <c r="BC326">
        <v>3.9699999999999996E-3</v>
      </c>
      <c r="BD326">
        <v>-2.9999999999999997E-4</v>
      </c>
      <c r="BE326">
        <v>6.3979999999999995E-2</v>
      </c>
      <c r="BF326">
        <v>1</v>
      </c>
      <c r="BG326" t="s">
        <v>69</v>
      </c>
      <c r="BH326">
        <v>2.8000000000000001E-2</v>
      </c>
      <c r="BI326">
        <v>-0.83699999999999997</v>
      </c>
    </row>
    <row r="327" spans="3:61">
      <c r="C327">
        <v>0</v>
      </c>
      <c r="D327">
        <v>0</v>
      </c>
      <c r="E327">
        <v>0</v>
      </c>
      <c r="F327" t="s">
        <v>25021</v>
      </c>
      <c r="G327">
        <v>3462</v>
      </c>
      <c r="H327" t="s">
        <v>20271</v>
      </c>
      <c r="I327" t="s">
        <v>57</v>
      </c>
      <c r="J327">
        <v>3421772</v>
      </c>
      <c r="K327">
        <v>3422251</v>
      </c>
      <c r="L327" t="s">
        <v>5589</v>
      </c>
      <c r="M327">
        <v>160</v>
      </c>
      <c r="N327" t="s">
        <v>108</v>
      </c>
      <c r="O327">
        <v>44</v>
      </c>
      <c r="P327" t="str">
        <f>HYPERLINK("Gene3462-zp_tree_all.dnd", "Gene3462-tree")</f>
        <v>Gene3462-tree</v>
      </c>
      <c r="Q327">
        <v>7</v>
      </c>
      <c r="R327">
        <v>3</v>
      </c>
      <c r="S327">
        <v>7</v>
      </c>
      <c r="T327">
        <v>3</v>
      </c>
      <c r="U327">
        <v>0.3</v>
      </c>
      <c r="V327" t="s">
        <v>152</v>
      </c>
      <c r="W327" t="s">
        <v>324</v>
      </c>
      <c r="X327" t="s">
        <v>62</v>
      </c>
      <c r="Y327" t="s">
        <v>62</v>
      </c>
      <c r="Z327">
        <v>0</v>
      </c>
      <c r="AA327">
        <v>0</v>
      </c>
      <c r="AB327">
        <v>4</v>
      </c>
      <c r="AC327">
        <v>0</v>
      </c>
      <c r="AD327" s="47">
        <v>0</v>
      </c>
      <c r="AE327" s="47">
        <v>0</v>
      </c>
      <c r="AF327" s="47">
        <v>0</v>
      </c>
      <c r="AG327" s="47">
        <v>0</v>
      </c>
      <c r="AH327" s="47">
        <v>0</v>
      </c>
      <c r="AI327" s="47">
        <v>0</v>
      </c>
      <c r="AJ327" s="47">
        <v>0</v>
      </c>
      <c r="AK327" s="47">
        <v>0</v>
      </c>
      <c r="AL327">
        <v>4</v>
      </c>
      <c r="AM327">
        <v>0</v>
      </c>
      <c r="AN327">
        <v>8</v>
      </c>
      <c r="AO327">
        <v>4</v>
      </c>
      <c r="AP327">
        <v>11</v>
      </c>
      <c r="AQ327">
        <v>4</v>
      </c>
      <c r="AR327">
        <v>5</v>
      </c>
      <c r="AS327">
        <v>0</v>
      </c>
      <c r="AT327" t="s">
        <v>20272</v>
      </c>
      <c r="AU327" t="s">
        <v>193</v>
      </c>
      <c r="AV327">
        <v>1.2490000000000001</v>
      </c>
      <c r="AW327" t="s">
        <v>65</v>
      </c>
      <c r="AX327">
        <v>16</v>
      </c>
      <c r="AY327">
        <v>4</v>
      </c>
      <c r="AZ327" t="s">
        <v>20273</v>
      </c>
      <c r="BA327">
        <v>3.5950000000000003E-2</v>
      </c>
      <c r="BB327">
        <v>-2.3400000000000001E-3</v>
      </c>
      <c r="BC327">
        <v>2.2200000000000002E-3</v>
      </c>
      <c r="BD327">
        <v>-3.6999999999999999E-4</v>
      </c>
      <c r="BE327">
        <v>6.1690000000000002E-2</v>
      </c>
      <c r="BF327">
        <v>1</v>
      </c>
      <c r="BG327" t="s">
        <v>69</v>
      </c>
      <c r="BH327">
        <v>-0.59099999999999997</v>
      </c>
      <c r="BI327">
        <v>-1.454</v>
      </c>
    </row>
    <row r="328" spans="3:61">
      <c r="C328">
        <v>0</v>
      </c>
      <c r="D328">
        <v>0</v>
      </c>
      <c r="E328">
        <v>0</v>
      </c>
      <c r="F328" t="s">
        <v>25021</v>
      </c>
      <c r="G328">
        <v>1571</v>
      </c>
      <c r="H328" t="s">
        <v>9820</v>
      </c>
      <c r="I328" t="s">
        <v>62</v>
      </c>
      <c r="J328">
        <v>1576770</v>
      </c>
      <c r="K328">
        <v>1577249</v>
      </c>
      <c r="L328" t="s">
        <v>3537</v>
      </c>
      <c r="M328">
        <v>160</v>
      </c>
      <c r="N328" t="s">
        <v>160</v>
      </c>
      <c r="O328">
        <v>45</v>
      </c>
      <c r="P328" t="str">
        <f>HYPERLINK("Gene1571-zp_tree_all.dnd", "Gene1571-tree")</f>
        <v>Gene1571-tree</v>
      </c>
      <c r="Q328">
        <v>7</v>
      </c>
      <c r="R328">
        <v>2</v>
      </c>
      <c r="S328">
        <v>7</v>
      </c>
      <c r="T328">
        <v>2</v>
      </c>
      <c r="U328">
        <v>0.22222</v>
      </c>
      <c r="V328" t="s">
        <v>152</v>
      </c>
      <c r="W328" t="s">
        <v>81</v>
      </c>
      <c r="X328" t="s">
        <v>62</v>
      </c>
      <c r="Y328" t="s">
        <v>62</v>
      </c>
      <c r="Z328">
        <v>0</v>
      </c>
      <c r="AA328">
        <v>0</v>
      </c>
      <c r="AB328">
        <v>6</v>
      </c>
      <c r="AC328">
        <v>0</v>
      </c>
      <c r="AD328" s="47">
        <v>0</v>
      </c>
      <c r="AE328" s="47">
        <v>0</v>
      </c>
      <c r="AF328" s="47">
        <v>0</v>
      </c>
      <c r="AG328" s="47">
        <v>0</v>
      </c>
      <c r="AH328" s="47">
        <v>0</v>
      </c>
      <c r="AI328" s="47">
        <v>0</v>
      </c>
      <c r="AJ328" s="47">
        <v>0</v>
      </c>
      <c r="AK328" s="47">
        <v>0</v>
      </c>
      <c r="AL328">
        <v>5</v>
      </c>
      <c r="AM328">
        <v>0</v>
      </c>
      <c r="AN328">
        <v>7</v>
      </c>
      <c r="AO328">
        <v>3</v>
      </c>
      <c r="AP328">
        <v>29</v>
      </c>
      <c r="AQ328">
        <v>5</v>
      </c>
      <c r="AR328">
        <v>2</v>
      </c>
      <c r="AS328">
        <v>1</v>
      </c>
      <c r="AT328" t="s">
        <v>9821</v>
      </c>
      <c r="AU328" t="s">
        <v>9822</v>
      </c>
      <c r="AV328">
        <v>0.42399999999999999</v>
      </c>
      <c r="AW328" t="s">
        <v>65</v>
      </c>
      <c r="AX328">
        <v>31</v>
      </c>
      <c r="AY328">
        <v>6</v>
      </c>
      <c r="AZ328" t="s">
        <v>9823</v>
      </c>
      <c r="BA328">
        <v>7.7770000000000006E-2</v>
      </c>
      <c r="BB328">
        <v>-1.315E-2</v>
      </c>
      <c r="BC328">
        <v>4.0299999999999997E-3</v>
      </c>
      <c r="BD328">
        <v>-7.3999999999999999E-4</v>
      </c>
      <c r="BE328">
        <v>5.176E-2</v>
      </c>
      <c r="BF328">
        <v>1</v>
      </c>
      <c r="BG328" t="s">
        <v>69</v>
      </c>
      <c r="BH328">
        <v>-1.859</v>
      </c>
      <c r="BI328">
        <v>-3.641</v>
      </c>
    </row>
    <row r="329" spans="3:61">
      <c r="C329">
        <v>0</v>
      </c>
      <c r="D329">
        <v>6</v>
      </c>
      <c r="E329">
        <v>1</v>
      </c>
      <c r="F329" t="s">
        <v>25021</v>
      </c>
      <c r="G329">
        <v>3230</v>
      </c>
      <c r="H329" t="s">
        <v>18822</v>
      </c>
      <c r="I329" t="s">
        <v>57</v>
      </c>
      <c r="J329">
        <v>3193863</v>
      </c>
      <c r="K329">
        <v>3194345</v>
      </c>
      <c r="L329" t="s">
        <v>18823</v>
      </c>
      <c r="M329">
        <v>161</v>
      </c>
      <c r="N329" t="s">
        <v>108</v>
      </c>
      <c r="O329">
        <v>44</v>
      </c>
      <c r="P329" t="str">
        <f>HYPERLINK("Gene3230-zp_tree_all.dnd", "Gene3230-tree")</f>
        <v>Gene3230-tree</v>
      </c>
      <c r="Q329">
        <v>5</v>
      </c>
      <c r="R329">
        <v>7</v>
      </c>
      <c r="S329">
        <v>5</v>
      </c>
      <c r="T329">
        <v>7</v>
      </c>
      <c r="U329">
        <v>0.58333000000000002</v>
      </c>
      <c r="V329" t="s">
        <v>199</v>
      </c>
      <c r="W329" t="s">
        <v>152</v>
      </c>
      <c r="X329" t="s">
        <v>62</v>
      </c>
      <c r="Y329" t="s">
        <v>62</v>
      </c>
      <c r="Z329">
        <v>2</v>
      </c>
      <c r="AA329">
        <v>7</v>
      </c>
      <c r="AB329">
        <v>6</v>
      </c>
      <c r="AC329">
        <v>0.53846000000000005</v>
      </c>
      <c r="AD329" s="47">
        <v>0</v>
      </c>
      <c r="AE329" s="47">
        <v>0</v>
      </c>
      <c r="AF329" s="47">
        <v>0</v>
      </c>
      <c r="AG329" s="47">
        <v>0</v>
      </c>
      <c r="AH329" s="47">
        <v>0</v>
      </c>
      <c r="AI329" s="47">
        <v>3</v>
      </c>
      <c r="AJ329" s="47">
        <v>1</v>
      </c>
      <c r="AK329" s="47">
        <v>4</v>
      </c>
      <c r="AL329">
        <v>6</v>
      </c>
      <c r="AM329">
        <v>0.4</v>
      </c>
      <c r="AN329">
        <v>11</v>
      </c>
      <c r="AO329">
        <v>8</v>
      </c>
      <c r="AP329">
        <v>21</v>
      </c>
      <c r="AQ329">
        <v>10</v>
      </c>
      <c r="AR329">
        <v>9</v>
      </c>
      <c r="AS329">
        <v>3</v>
      </c>
      <c r="AT329" t="s">
        <v>18824</v>
      </c>
      <c r="AU329" t="s">
        <v>18825</v>
      </c>
      <c r="AV329">
        <v>0.317</v>
      </c>
      <c r="AW329" t="s">
        <v>65</v>
      </c>
      <c r="AX329">
        <v>30</v>
      </c>
      <c r="AY329">
        <v>13</v>
      </c>
      <c r="AZ329" t="s">
        <v>18826</v>
      </c>
      <c r="BA329">
        <v>5.9339999999999997E-2</v>
      </c>
      <c r="BB329">
        <v>-3.6600000000000001E-3</v>
      </c>
      <c r="BC329">
        <v>6.0299999999999998E-3</v>
      </c>
      <c r="BD329">
        <v>-3.4000000000000002E-4</v>
      </c>
      <c r="BE329">
        <v>0.10166</v>
      </c>
      <c r="BF329">
        <v>1</v>
      </c>
      <c r="BG329" t="s">
        <v>69</v>
      </c>
      <c r="BH329">
        <v>-0.30199999999999999</v>
      </c>
      <c r="BI329">
        <v>-1.421</v>
      </c>
    </row>
    <row r="330" spans="3:61">
      <c r="C330">
        <v>0</v>
      </c>
      <c r="D330">
        <v>2</v>
      </c>
      <c r="E330">
        <v>2</v>
      </c>
      <c r="F330" t="s">
        <v>25021</v>
      </c>
      <c r="G330">
        <v>3468</v>
      </c>
      <c r="H330" t="s">
        <v>20311</v>
      </c>
      <c r="I330" t="s">
        <v>57</v>
      </c>
      <c r="J330">
        <v>3427802</v>
      </c>
      <c r="K330">
        <v>3428284</v>
      </c>
      <c r="L330" t="s">
        <v>20312</v>
      </c>
      <c r="M330">
        <v>161</v>
      </c>
      <c r="N330" t="s">
        <v>465</v>
      </c>
      <c r="O330">
        <v>46</v>
      </c>
      <c r="P330" t="str">
        <f>HYPERLINK("Gene3468-zp_tree_all.dnd", "Gene3468-tree")</f>
        <v>Gene3468-tree</v>
      </c>
      <c r="Q330">
        <v>7</v>
      </c>
      <c r="R330">
        <v>3</v>
      </c>
      <c r="S330">
        <v>7</v>
      </c>
      <c r="T330">
        <v>3</v>
      </c>
      <c r="U330">
        <v>0.3</v>
      </c>
      <c r="V330" t="s">
        <v>152</v>
      </c>
      <c r="W330" t="s">
        <v>324</v>
      </c>
      <c r="X330" t="s">
        <v>62</v>
      </c>
      <c r="Y330" t="s">
        <v>62</v>
      </c>
      <c r="Z330">
        <v>2</v>
      </c>
      <c r="AA330">
        <v>4</v>
      </c>
      <c r="AB330">
        <v>6</v>
      </c>
      <c r="AC330">
        <v>0.4</v>
      </c>
      <c r="AD330" s="47">
        <v>0</v>
      </c>
      <c r="AE330" s="47">
        <v>0</v>
      </c>
      <c r="AF330" s="47">
        <v>0</v>
      </c>
      <c r="AG330" s="47">
        <v>1</v>
      </c>
      <c r="AH330" s="47">
        <v>0</v>
      </c>
      <c r="AI330" s="47">
        <v>0</v>
      </c>
      <c r="AJ330" s="47">
        <v>0</v>
      </c>
      <c r="AK330" s="47">
        <v>0</v>
      </c>
      <c r="AL330">
        <v>5</v>
      </c>
      <c r="AM330">
        <v>0</v>
      </c>
      <c r="AN330">
        <v>8</v>
      </c>
      <c r="AO330">
        <v>5</v>
      </c>
      <c r="AP330">
        <v>11</v>
      </c>
      <c r="AQ330">
        <v>5</v>
      </c>
      <c r="AR330">
        <v>19</v>
      </c>
      <c r="AS330">
        <v>5</v>
      </c>
      <c r="AT330" t="s">
        <v>20313</v>
      </c>
      <c r="AU330" t="s">
        <v>20314</v>
      </c>
      <c r="AV330">
        <v>0.36399999999999999</v>
      </c>
      <c r="AW330" t="s">
        <v>65</v>
      </c>
      <c r="AX330">
        <v>30</v>
      </c>
      <c r="AY330">
        <v>10</v>
      </c>
      <c r="AZ330" t="s">
        <v>20315</v>
      </c>
      <c r="BA330">
        <v>8.3860000000000004E-2</v>
      </c>
      <c r="BB330">
        <v>-9.5300000000000003E-3</v>
      </c>
      <c r="BC330">
        <v>7.2300000000000003E-3</v>
      </c>
      <c r="BD330">
        <v>-8.8999999999999995E-4</v>
      </c>
      <c r="BE330">
        <v>8.6269999999999999E-2</v>
      </c>
      <c r="BF330">
        <v>1</v>
      </c>
      <c r="BG330" t="s">
        <v>69</v>
      </c>
      <c r="BH330">
        <v>-1.0549999999999999</v>
      </c>
      <c r="BI330">
        <v>5.2999999999999999E-2</v>
      </c>
    </row>
    <row r="331" spans="3:61">
      <c r="C331">
        <v>0</v>
      </c>
      <c r="D331">
        <v>2</v>
      </c>
      <c r="E331">
        <v>0</v>
      </c>
      <c r="F331" t="s">
        <v>25021</v>
      </c>
      <c r="G331">
        <v>1542</v>
      </c>
      <c r="H331" t="s">
        <v>9636</v>
      </c>
      <c r="I331" t="s">
        <v>62</v>
      </c>
      <c r="J331">
        <v>1550800</v>
      </c>
      <c r="K331">
        <v>1551282</v>
      </c>
      <c r="L331" t="s">
        <v>288</v>
      </c>
      <c r="M331">
        <v>161</v>
      </c>
      <c r="N331" t="s">
        <v>108</v>
      </c>
      <c r="O331">
        <v>44</v>
      </c>
      <c r="P331" t="str">
        <f>HYPERLINK("Gene1542-zp_tree_all.dnd", "Gene1542-tree")</f>
        <v>Gene1542-tree</v>
      </c>
      <c r="Q331">
        <v>29</v>
      </c>
      <c r="R331">
        <v>4</v>
      </c>
      <c r="S331">
        <v>6</v>
      </c>
      <c r="T331">
        <v>4</v>
      </c>
      <c r="U331">
        <v>0.4</v>
      </c>
      <c r="V331" t="s">
        <v>3696</v>
      </c>
      <c r="W331" t="s">
        <v>61</v>
      </c>
      <c r="X331" t="s">
        <v>62</v>
      </c>
      <c r="Y331" t="s">
        <v>62</v>
      </c>
      <c r="Z331">
        <v>1</v>
      </c>
      <c r="AA331">
        <v>2</v>
      </c>
      <c r="AB331">
        <v>3</v>
      </c>
      <c r="AC331">
        <v>0.4</v>
      </c>
      <c r="AD331" s="47">
        <v>0</v>
      </c>
      <c r="AE331" s="47">
        <v>0</v>
      </c>
      <c r="AF331" s="47">
        <v>0</v>
      </c>
      <c r="AG331" s="47">
        <v>1</v>
      </c>
      <c r="AH331" s="47">
        <v>0</v>
      </c>
      <c r="AI331" s="47">
        <v>2</v>
      </c>
      <c r="AJ331" s="47">
        <v>0</v>
      </c>
      <c r="AK331" s="47">
        <v>2</v>
      </c>
      <c r="AL331">
        <v>2</v>
      </c>
      <c r="AM331">
        <v>0.5</v>
      </c>
      <c r="AN331">
        <v>6</v>
      </c>
      <c r="AO331">
        <v>5</v>
      </c>
      <c r="AP331">
        <v>14</v>
      </c>
      <c r="AQ331">
        <v>4</v>
      </c>
      <c r="AR331">
        <v>6</v>
      </c>
      <c r="AS331">
        <v>1</v>
      </c>
      <c r="AT331" t="s">
        <v>9637</v>
      </c>
      <c r="AU331" t="s">
        <v>9638</v>
      </c>
      <c r="AV331">
        <v>0.33100000000000002</v>
      </c>
      <c r="AW331" t="s">
        <v>65</v>
      </c>
      <c r="AX331">
        <v>20</v>
      </c>
      <c r="AY331">
        <v>5</v>
      </c>
      <c r="AZ331" t="s">
        <v>9639</v>
      </c>
      <c r="BA331">
        <v>4.5859999999999998E-2</v>
      </c>
      <c r="BB331">
        <v>-3.5200000000000001E-3</v>
      </c>
      <c r="BC331">
        <v>3.2599999999999999E-3</v>
      </c>
      <c r="BD331">
        <v>-2.7999999999999998E-4</v>
      </c>
      <c r="BE331">
        <v>7.1120000000000003E-2</v>
      </c>
      <c r="BF331">
        <v>1</v>
      </c>
      <c r="BG331" t="s">
        <v>69</v>
      </c>
      <c r="BH331">
        <v>-0.98099999999999998</v>
      </c>
      <c r="BI331">
        <v>0.09</v>
      </c>
    </row>
    <row r="332" spans="3:61">
      <c r="C332">
        <v>0</v>
      </c>
      <c r="D332">
        <v>0</v>
      </c>
      <c r="E332">
        <v>0</v>
      </c>
      <c r="F332" t="s">
        <v>25021</v>
      </c>
      <c r="G332">
        <v>1657</v>
      </c>
      <c r="H332" t="s">
        <v>10376</v>
      </c>
      <c r="I332" t="s">
        <v>62</v>
      </c>
      <c r="J332">
        <v>1671169</v>
      </c>
      <c r="K332">
        <v>1671651</v>
      </c>
      <c r="L332" t="s">
        <v>10377</v>
      </c>
      <c r="M332">
        <v>161</v>
      </c>
      <c r="N332" t="s">
        <v>108</v>
      </c>
      <c r="O332">
        <v>44</v>
      </c>
      <c r="P332" t="str">
        <f>HYPERLINK("Gene1657-zp_tree_all.dnd", "Gene1657-tree")</f>
        <v>Gene1657-tree</v>
      </c>
      <c r="Q332">
        <v>30</v>
      </c>
      <c r="R332">
        <v>3</v>
      </c>
      <c r="S332">
        <v>7</v>
      </c>
      <c r="T332">
        <v>3</v>
      </c>
      <c r="U332">
        <v>0.3</v>
      </c>
      <c r="V332" t="s">
        <v>5684</v>
      </c>
      <c r="W332" t="s">
        <v>324</v>
      </c>
      <c r="X332" t="s">
        <v>62</v>
      </c>
      <c r="Y332" t="s">
        <v>62</v>
      </c>
      <c r="Z332">
        <v>0</v>
      </c>
      <c r="AA332">
        <v>0</v>
      </c>
      <c r="AB332">
        <v>4</v>
      </c>
      <c r="AC332">
        <v>0</v>
      </c>
      <c r="AD332" s="47">
        <v>0</v>
      </c>
      <c r="AE332" s="47">
        <v>0</v>
      </c>
      <c r="AF332" s="47">
        <v>0</v>
      </c>
      <c r="AG332" s="47">
        <v>0</v>
      </c>
      <c r="AH332" s="47">
        <v>0</v>
      </c>
      <c r="AI332" s="47">
        <v>0</v>
      </c>
      <c r="AJ332" s="47">
        <v>0</v>
      </c>
      <c r="AK332" s="47">
        <v>0</v>
      </c>
      <c r="AL332">
        <v>4</v>
      </c>
      <c r="AM332">
        <v>0</v>
      </c>
      <c r="AN332">
        <v>7</v>
      </c>
      <c r="AO332">
        <v>6</v>
      </c>
      <c r="AP332">
        <v>15</v>
      </c>
      <c r="AQ332">
        <v>4</v>
      </c>
      <c r="AR332">
        <v>12</v>
      </c>
      <c r="AS332">
        <v>0</v>
      </c>
      <c r="AT332" t="s">
        <v>10378</v>
      </c>
      <c r="AU332" t="s">
        <v>193</v>
      </c>
      <c r="AV332">
        <v>1.486</v>
      </c>
      <c r="AW332" t="s">
        <v>65</v>
      </c>
      <c r="AX332">
        <v>27</v>
      </c>
      <c r="AY332">
        <v>4</v>
      </c>
      <c r="AZ332" t="s">
        <v>10379</v>
      </c>
      <c r="BA332">
        <v>6.6869999999999999E-2</v>
      </c>
      <c r="BB332">
        <v>-4.13E-3</v>
      </c>
      <c r="BC332">
        <v>2.2799999999999999E-3</v>
      </c>
      <c r="BD332">
        <v>-3.6999999999999999E-4</v>
      </c>
      <c r="BE332">
        <v>3.4160000000000003E-2</v>
      </c>
      <c r="BF332">
        <v>1</v>
      </c>
      <c r="BG332" t="s">
        <v>69</v>
      </c>
      <c r="BH332">
        <v>-1.2090000000000001</v>
      </c>
      <c r="BI332">
        <v>-2.153</v>
      </c>
    </row>
    <row r="333" spans="3:61">
      <c r="C333">
        <v>0</v>
      </c>
      <c r="D333">
        <v>0</v>
      </c>
      <c r="E333">
        <v>0</v>
      </c>
      <c r="F333" t="s">
        <v>25021</v>
      </c>
      <c r="G333">
        <v>4032</v>
      </c>
      <c r="H333" t="s">
        <v>23735</v>
      </c>
      <c r="I333" t="s">
        <v>57</v>
      </c>
      <c r="J333">
        <v>3997221</v>
      </c>
      <c r="K333">
        <v>3997706</v>
      </c>
      <c r="L333" t="s">
        <v>116</v>
      </c>
      <c r="M333">
        <v>162</v>
      </c>
      <c r="N333" t="s">
        <v>108</v>
      </c>
      <c r="O333">
        <v>44</v>
      </c>
      <c r="P333" t="str">
        <f>HYPERLINK("Gene4032-zp_tree_all.dnd", "Gene4032-tree")</f>
        <v>Gene4032-tree</v>
      </c>
      <c r="Q333">
        <v>5</v>
      </c>
      <c r="R333">
        <v>6</v>
      </c>
      <c r="S333">
        <v>5</v>
      </c>
      <c r="T333">
        <v>6</v>
      </c>
      <c r="U333">
        <v>0.54544999999999999</v>
      </c>
      <c r="V333" t="s">
        <v>199</v>
      </c>
      <c r="W333" t="s">
        <v>90</v>
      </c>
      <c r="X333" t="s">
        <v>62</v>
      </c>
      <c r="Y333" t="s">
        <v>62</v>
      </c>
      <c r="Z333">
        <v>0</v>
      </c>
      <c r="AA333">
        <v>0</v>
      </c>
      <c r="AB333">
        <v>11</v>
      </c>
      <c r="AC333">
        <v>0</v>
      </c>
      <c r="AD333" s="47">
        <v>0</v>
      </c>
      <c r="AE333" s="47">
        <v>0</v>
      </c>
      <c r="AF333" s="47">
        <v>0</v>
      </c>
      <c r="AG333" s="47">
        <v>1</v>
      </c>
      <c r="AH333" s="47">
        <v>0</v>
      </c>
      <c r="AI333" s="47">
        <v>0</v>
      </c>
      <c r="AJ333" s="47">
        <v>0</v>
      </c>
      <c r="AK333" s="47">
        <v>0</v>
      </c>
      <c r="AL333">
        <v>9</v>
      </c>
      <c r="AM333">
        <v>0</v>
      </c>
      <c r="AN333">
        <v>8</v>
      </c>
      <c r="AO333">
        <v>5</v>
      </c>
      <c r="AP333">
        <v>12</v>
      </c>
      <c r="AQ333">
        <v>9</v>
      </c>
      <c r="AR333">
        <v>3</v>
      </c>
      <c r="AS333">
        <v>2</v>
      </c>
      <c r="AT333" t="s">
        <v>23736</v>
      </c>
      <c r="AU333" t="s">
        <v>23737</v>
      </c>
      <c r="AV333">
        <v>0.104</v>
      </c>
      <c r="AW333" t="s">
        <v>65</v>
      </c>
      <c r="AX333">
        <v>15</v>
      </c>
      <c r="AY333">
        <v>11</v>
      </c>
      <c r="AZ333" t="s">
        <v>23738</v>
      </c>
      <c r="BA333">
        <v>3.2460000000000003E-2</v>
      </c>
      <c r="BB333">
        <v>-3.1900000000000001E-3</v>
      </c>
      <c r="BC333">
        <v>6.2700000000000004E-3</v>
      </c>
      <c r="BD333">
        <v>-3.1E-4</v>
      </c>
      <c r="BE333">
        <v>0.19314000000000001</v>
      </c>
      <c r="BF333">
        <v>1</v>
      </c>
      <c r="BG333" t="s">
        <v>69</v>
      </c>
      <c r="BH333">
        <v>-0.27300000000000002</v>
      </c>
      <c r="BI333">
        <v>-1.2609999999999999</v>
      </c>
    </row>
    <row r="334" spans="3:61">
      <c r="C334">
        <v>0</v>
      </c>
      <c r="D334">
        <v>0</v>
      </c>
      <c r="E334">
        <v>0</v>
      </c>
      <c r="F334" t="s">
        <v>25021</v>
      </c>
      <c r="G334">
        <v>3219</v>
      </c>
      <c r="H334" t="s">
        <v>18756</v>
      </c>
      <c r="I334" t="s">
        <v>57</v>
      </c>
      <c r="J334">
        <v>3182707</v>
      </c>
      <c r="K334">
        <v>3183192</v>
      </c>
      <c r="L334" t="s">
        <v>116</v>
      </c>
      <c r="M334">
        <v>162</v>
      </c>
      <c r="N334" t="s">
        <v>465</v>
      </c>
      <c r="O334">
        <v>46</v>
      </c>
      <c r="P334" t="str">
        <f>HYPERLINK("Gene3219-zp_tree_all.dnd", "Gene3219-tree")</f>
        <v>Gene3219-tree</v>
      </c>
      <c r="Q334">
        <v>7</v>
      </c>
      <c r="R334">
        <v>5</v>
      </c>
      <c r="S334">
        <v>7</v>
      </c>
      <c r="T334">
        <v>5</v>
      </c>
      <c r="U334">
        <v>0.41666999999999998</v>
      </c>
      <c r="V334" t="s">
        <v>152</v>
      </c>
      <c r="W334" t="s">
        <v>199</v>
      </c>
      <c r="X334" t="s">
        <v>62</v>
      </c>
      <c r="Y334" t="s">
        <v>62</v>
      </c>
      <c r="Z334">
        <v>0</v>
      </c>
      <c r="AA334">
        <v>0</v>
      </c>
      <c r="AB334">
        <v>12</v>
      </c>
      <c r="AC334">
        <v>0</v>
      </c>
      <c r="AD334" s="47">
        <v>0</v>
      </c>
      <c r="AE334" s="47">
        <v>0</v>
      </c>
      <c r="AF334" s="47">
        <v>0</v>
      </c>
      <c r="AG334" s="47">
        <v>0</v>
      </c>
      <c r="AH334" s="47">
        <v>0</v>
      </c>
      <c r="AI334" s="47">
        <v>0</v>
      </c>
      <c r="AJ334" s="47">
        <v>0</v>
      </c>
      <c r="AK334" s="47">
        <v>0</v>
      </c>
      <c r="AL334">
        <v>12</v>
      </c>
      <c r="AM334">
        <v>0</v>
      </c>
      <c r="AN334">
        <v>7</v>
      </c>
      <c r="AO334">
        <v>4</v>
      </c>
      <c r="AP334">
        <v>18</v>
      </c>
      <c r="AQ334">
        <v>12</v>
      </c>
      <c r="AR334">
        <v>5</v>
      </c>
      <c r="AS334">
        <v>0</v>
      </c>
      <c r="AT334" t="s">
        <v>18757</v>
      </c>
      <c r="AU334" t="s">
        <v>193</v>
      </c>
      <c r="AV334">
        <v>0.45400000000000001</v>
      </c>
      <c r="AW334" t="s">
        <v>65</v>
      </c>
      <c r="AX334">
        <v>23</v>
      </c>
      <c r="AY334">
        <v>12</v>
      </c>
      <c r="AZ334" t="s">
        <v>18758</v>
      </c>
      <c r="BA334">
        <v>4.8210000000000003E-2</v>
      </c>
      <c r="BB334">
        <v>-7.9100000000000004E-3</v>
      </c>
      <c r="BC334">
        <v>5.1700000000000001E-3</v>
      </c>
      <c r="BD334">
        <v>-8.1999999999999998E-4</v>
      </c>
      <c r="BE334">
        <v>0.10714</v>
      </c>
      <c r="BF334">
        <v>1</v>
      </c>
      <c r="BG334" t="s">
        <v>69</v>
      </c>
      <c r="BH334">
        <v>-1.6279999999999999</v>
      </c>
      <c r="BI334">
        <v>0.35599999999999998</v>
      </c>
    </row>
    <row r="335" spans="3:61">
      <c r="C335">
        <v>0</v>
      </c>
      <c r="D335">
        <v>0</v>
      </c>
      <c r="E335">
        <v>0</v>
      </c>
      <c r="F335" t="s">
        <v>25021</v>
      </c>
      <c r="G335">
        <v>1213</v>
      </c>
      <c r="H335" t="s">
        <v>7638</v>
      </c>
      <c r="I335" t="s">
        <v>62</v>
      </c>
      <c r="J335">
        <v>1250019</v>
      </c>
      <c r="K335">
        <v>1250504</v>
      </c>
      <c r="L335" t="s">
        <v>7639</v>
      </c>
      <c r="M335">
        <v>162</v>
      </c>
      <c r="N335" t="s">
        <v>125</v>
      </c>
      <c r="O335">
        <v>48</v>
      </c>
      <c r="P335" t="str">
        <f>HYPERLINK("Gene1213-zp_tree_all.dnd", "Gene1213-tree")</f>
        <v>Gene1213-tree</v>
      </c>
      <c r="Q335">
        <v>31</v>
      </c>
      <c r="R335">
        <v>2</v>
      </c>
      <c r="S335">
        <v>12</v>
      </c>
      <c r="T335">
        <v>2</v>
      </c>
      <c r="U335">
        <v>0.14285999999999999</v>
      </c>
      <c r="V335" t="s">
        <v>5000</v>
      </c>
      <c r="W335" t="s">
        <v>81</v>
      </c>
      <c r="X335" t="s">
        <v>62</v>
      </c>
      <c r="Y335" t="s">
        <v>62</v>
      </c>
      <c r="Z335">
        <v>0</v>
      </c>
      <c r="AA335">
        <v>0</v>
      </c>
      <c r="AB335">
        <v>4</v>
      </c>
      <c r="AC335">
        <v>0</v>
      </c>
      <c r="AD335" s="47">
        <v>0</v>
      </c>
      <c r="AE335" s="47">
        <v>0</v>
      </c>
      <c r="AF335" s="47">
        <v>0</v>
      </c>
      <c r="AG335" s="47">
        <v>0</v>
      </c>
      <c r="AH335" s="47">
        <v>0</v>
      </c>
      <c r="AI335" s="47">
        <v>0</v>
      </c>
      <c r="AJ335" s="47">
        <v>0</v>
      </c>
      <c r="AK335" s="47">
        <v>0</v>
      </c>
      <c r="AL335">
        <v>3</v>
      </c>
      <c r="AM335">
        <v>0</v>
      </c>
      <c r="AN335">
        <v>7</v>
      </c>
      <c r="AO335">
        <v>11</v>
      </c>
      <c r="AP335">
        <v>17</v>
      </c>
      <c r="AQ335">
        <v>3</v>
      </c>
      <c r="AR335">
        <v>28</v>
      </c>
      <c r="AS335">
        <v>1</v>
      </c>
      <c r="AT335" t="s">
        <v>7640</v>
      </c>
      <c r="AU335" t="s">
        <v>7641</v>
      </c>
      <c r="AV335">
        <v>0.52</v>
      </c>
      <c r="AW335" t="s">
        <v>65</v>
      </c>
      <c r="AX335">
        <v>45</v>
      </c>
      <c r="AY335">
        <v>4</v>
      </c>
      <c r="AZ335" t="s">
        <v>7642</v>
      </c>
      <c r="BA335">
        <v>0.13808000000000001</v>
      </c>
      <c r="BB335">
        <v>-8.7500000000000008E-3</v>
      </c>
      <c r="BC335">
        <v>2.4399999999999999E-3</v>
      </c>
      <c r="BD335">
        <v>-2.5000000000000001E-4</v>
      </c>
      <c r="BE335">
        <v>1.7680000000000001E-2</v>
      </c>
      <c r="BF335">
        <v>1</v>
      </c>
      <c r="BG335" t="s">
        <v>69</v>
      </c>
      <c r="BH335">
        <v>0.42599999999999999</v>
      </c>
      <c r="BI335">
        <v>0.63</v>
      </c>
    </row>
    <row r="336" spans="3:61">
      <c r="C336">
        <v>0</v>
      </c>
      <c r="D336">
        <v>7</v>
      </c>
      <c r="E336">
        <v>0</v>
      </c>
      <c r="F336" t="s">
        <v>25021</v>
      </c>
      <c r="G336">
        <v>3790</v>
      </c>
      <c r="H336" t="s">
        <v>22202</v>
      </c>
      <c r="I336" t="s">
        <v>57</v>
      </c>
      <c r="J336">
        <v>3760694</v>
      </c>
      <c r="K336">
        <v>3761182</v>
      </c>
      <c r="L336" t="s">
        <v>22203</v>
      </c>
      <c r="M336">
        <v>163</v>
      </c>
      <c r="N336" t="s">
        <v>108</v>
      </c>
      <c r="O336">
        <v>44</v>
      </c>
      <c r="P336" t="str">
        <f>HYPERLINK("Gene3790-zp_tree_all.dnd", "Gene3790-tree")</f>
        <v>Gene3790-tree</v>
      </c>
      <c r="Q336">
        <v>10</v>
      </c>
      <c r="R336">
        <v>2</v>
      </c>
      <c r="S336">
        <v>10</v>
      </c>
      <c r="T336">
        <v>2</v>
      </c>
      <c r="U336">
        <v>0.16667000000000001</v>
      </c>
      <c r="V336" t="s">
        <v>117</v>
      </c>
      <c r="W336" t="s">
        <v>81</v>
      </c>
      <c r="X336" t="s">
        <v>62</v>
      </c>
      <c r="Y336" t="s">
        <v>62</v>
      </c>
      <c r="Z336">
        <v>3</v>
      </c>
      <c r="AA336">
        <v>7</v>
      </c>
      <c r="AB336">
        <v>2</v>
      </c>
      <c r="AC336">
        <v>0.77778000000000003</v>
      </c>
      <c r="AD336" s="47">
        <v>2</v>
      </c>
      <c r="AE336" s="47">
        <v>0</v>
      </c>
      <c r="AF336" s="47">
        <v>2</v>
      </c>
      <c r="AG336" s="47">
        <v>0</v>
      </c>
      <c r="AH336" s="47">
        <v>1</v>
      </c>
      <c r="AI336" s="47">
        <v>0</v>
      </c>
      <c r="AJ336" s="47">
        <v>0</v>
      </c>
      <c r="AK336" s="47">
        <v>0</v>
      </c>
      <c r="AL336">
        <v>2</v>
      </c>
      <c r="AM336">
        <v>0</v>
      </c>
      <c r="AN336">
        <v>9</v>
      </c>
      <c r="AO336">
        <v>6</v>
      </c>
      <c r="AP336">
        <v>19</v>
      </c>
      <c r="AQ336">
        <v>2</v>
      </c>
      <c r="AR336">
        <v>14</v>
      </c>
      <c r="AS336">
        <v>7</v>
      </c>
      <c r="AT336" t="s">
        <v>22204</v>
      </c>
      <c r="AU336" t="s">
        <v>22205</v>
      </c>
      <c r="AV336">
        <v>2.266</v>
      </c>
      <c r="AW336" t="s">
        <v>65</v>
      </c>
      <c r="AX336">
        <v>33</v>
      </c>
      <c r="AY336">
        <v>9</v>
      </c>
      <c r="AZ336" t="s">
        <v>22206</v>
      </c>
      <c r="BA336">
        <v>6.8089999999999998E-2</v>
      </c>
      <c r="BB336">
        <v>-4.3400000000000001E-3</v>
      </c>
      <c r="BC336">
        <v>6.2100000000000002E-3</v>
      </c>
      <c r="BD336">
        <v>-3.8000000000000002E-4</v>
      </c>
      <c r="BE336">
        <v>9.1249999999999998E-2</v>
      </c>
      <c r="BF336">
        <v>1</v>
      </c>
      <c r="BG336" t="s">
        <v>69</v>
      </c>
      <c r="BH336">
        <v>0.20799999999999999</v>
      </c>
      <c r="BI336">
        <v>-0.57399999999999995</v>
      </c>
    </row>
    <row r="337" spans="3:61">
      <c r="C337">
        <v>0</v>
      </c>
      <c r="D337">
        <v>2</v>
      </c>
      <c r="E337">
        <v>0</v>
      </c>
      <c r="F337" t="s">
        <v>25021</v>
      </c>
      <c r="G337">
        <v>1137</v>
      </c>
      <c r="H337" t="s">
        <v>7147</v>
      </c>
      <c r="I337" t="s">
        <v>62</v>
      </c>
      <c r="J337">
        <v>1180912</v>
      </c>
      <c r="K337">
        <v>1181400</v>
      </c>
      <c r="L337" t="s">
        <v>7148</v>
      </c>
      <c r="M337">
        <v>163</v>
      </c>
      <c r="N337" t="s">
        <v>1557</v>
      </c>
      <c r="O337">
        <v>40</v>
      </c>
      <c r="P337" t="str">
        <f>HYPERLINK("Gene1137-zp_tree_all.dnd", "Gene1137-tree")</f>
        <v>Gene1137-tree</v>
      </c>
      <c r="Q337">
        <v>10</v>
      </c>
      <c r="R337">
        <v>4</v>
      </c>
      <c r="S337">
        <v>10</v>
      </c>
      <c r="T337">
        <v>4</v>
      </c>
      <c r="U337">
        <v>0.28571000000000002</v>
      </c>
      <c r="V337" t="s">
        <v>117</v>
      </c>
      <c r="W337" t="s">
        <v>61</v>
      </c>
      <c r="X337" t="s">
        <v>62</v>
      </c>
      <c r="Y337" t="s">
        <v>62</v>
      </c>
      <c r="Z337">
        <v>1</v>
      </c>
      <c r="AA337">
        <v>2</v>
      </c>
      <c r="AB337">
        <v>4</v>
      </c>
      <c r="AC337">
        <v>0.33333000000000002</v>
      </c>
      <c r="AD337" s="47">
        <v>0</v>
      </c>
      <c r="AE337" s="47">
        <v>0</v>
      </c>
      <c r="AF337" s="47">
        <v>0</v>
      </c>
      <c r="AG337" s="47">
        <v>0</v>
      </c>
      <c r="AH337" s="47">
        <v>0</v>
      </c>
      <c r="AI337" s="47">
        <v>0</v>
      </c>
      <c r="AJ337" s="47">
        <v>0</v>
      </c>
      <c r="AK337" s="47">
        <v>0</v>
      </c>
      <c r="AL337">
        <v>4</v>
      </c>
      <c r="AM337">
        <v>0</v>
      </c>
      <c r="AN337">
        <v>11</v>
      </c>
      <c r="AO337">
        <v>7</v>
      </c>
      <c r="AP337">
        <v>21</v>
      </c>
      <c r="AQ337">
        <v>4</v>
      </c>
      <c r="AR337">
        <v>10</v>
      </c>
      <c r="AS337">
        <v>2</v>
      </c>
      <c r="AT337" t="s">
        <v>7149</v>
      </c>
      <c r="AU337" t="s">
        <v>7150</v>
      </c>
      <c r="AV337">
        <v>4.2999999999999997E-2</v>
      </c>
      <c r="AW337" t="s">
        <v>65</v>
      </c>
      <c r="AX337">
        <v>31</v>
      </c>
      <c r="AY337">
        <v>6</v>
      </c>
      <c r="AZ337" t="s">
        <v>7151</v>
      </c>
      <c r="BA337">
        <v>5.0299999999999997E-2</v>
      </c>
      <c r="BB337">
        <v>-2.16E-3</v>
      </c>
      <c r="BC337">
        <v>3.81E-3</v>
      </c>
      <c r="BD337">
        <v>-2.5000000000000001E-4</v>
      </c>
      <c r="BE337">
        <v>7.5759999999999994E-2</v>
      </c>
      <c r="BF337">
        <v>1</v>
      </c>
      <c r="BG337" t="s">
        <v>69</v>
      </c>
      <c r="BH337">
        <v>-0.88300000000000001</v>
      </c>
      <c r="BI337">
        <v>-0.85499999999999998</v>
      </c>
    </row>
    <row r="338" spans="3:61">
      <c r="C338">
        <v>0</v>
      </c>
      <c r="D338">
        <v>2</v>
      </c>
      <c r="E338">
        <v>0</v>
      </c>
      <c r="F338" t="s">
        <v>25021</v>
      </c>
      <c r="G338">
        <v>3082</v>
      </c>
      <c r="H338" t="s">
        <v>17858</v>
      </c>
      <c r="I338" t="s">
        <v>57</v>
      </c>
      <c r="J338">
        <v>3033167</v>
      </c>
      <c r="K338">
        <v>3033655</v>
      </c>
      <c r="L338" t="s">
        <v>17859</v>
      </c>
      <c r="M338">
        <v>163</v>
      </c>
      <c r="N338" t="s">
        <v>108</v>
      </c>
      <c r="O338">
        <v>44</v>
      </c>
      <c r="P338" t="str">
        <f>HYPERLINK("Gene3082-zp_tree_all.dnd", "Gene3082-tree")</f>
        <v>Gene3082-tree</v>
      </c>
      <c r="Q338">
        <v>8</v>
      </c>
      <c r="R338">
        <v>2</v>
      </c>
      <c r="S338">
        <v>8</v>
      </c>
      <c r="T338">
        <v>2</v>
      </c>
      <c r="U338">
        <v>0.2</v>
      </c>
      <c r="V338" t="s">
        <v>136</v>
      </c>
      <c r="W338" t="s">
        <v>81</v>
      </c>
      <c r="X338" t="s">
        <v>62</v>
      </c>
      <c r="Y338" t="s">
        <v>62</v>
      </c>
      <c r="Z338">
        <v>1</v>
      </c>
      <c r="AA338">
        <v>2</v>
      </c>
      <c r="AB338">
        <v>1</v>
      </c>
      <c r="AC338">
        <v>0.66666999999999998</v>
      </c>
      <c r="AD338" s="47">
        <v>0</v>
      </c>
      <c r="AE338" s="47">
        <v>0</v>
      </c>
      <c r="AF338" s="47">
        <v>0</v>
      </c>
      <c r="AG338" s="47">
        <v>1</v>
      </c>
      <c r="AH338" s="47">
        <v>0</v>
      </c>
      <c r="AI338" s="47">
        <v>0</v>
      </c>
      <c r="AJ338" s="47">
        <v>0</v>
      </c>
      <c r="AK338" s="47">
        <v>0</v>
      </c>
      <c r="AL338">
        <v>2</v>
      </c>
      <c r="AM338">
        <v>0</v>
      </c>
      <c r="AN338">
        <v>8</v>
      </c>
      <c r="AO338">
        <v>4</v>
      </c>
      <c r="AP338">
        <v>9</v>
      </c>
      <c r="AQ338">
        <v>2</v>
      </c>
      <c r="AR338">
        <v>5</v>
      </c>
      <c r="AS338">
        <v>1</v>
      </c>
      <c r="AT338" t="s">
        <v>17860</v>
      </c>
      <c r="AU338" t="s">
        <v>17861</v>
      </c>
      <c r="AV338">
        <v>4.5999999999999999E-2</v>
      </c>
      <c r="AW338" t="s">
        <v>65</v>
      </c>
      <c r="AX338">
        <v>14</v>
      </c>
      <c r="AY338">
        <v>3</v>
      </c>
      <c r="AZ338" t="s">
        <v>17862</v>
      </c>
      <c r="BA338">
        <v>3.3959999999999997E-2</v>
      </c>
      <c r="BB338">
        <v>-2.63E-3</v>
      </c>
      <c r="BC338">
        <v>2.15E-3</v>
      </c>
      <c r="BD338">
        <v>-2.5999999999999998E-4</v>
      </c>
      <c r="BE338">
        <v>6.3320000000000001E-2</v>
      </c>
      <c r="BF338">
        <v>1</v>
      </c>
      <c r="BG338" t="s">
        <v>69</v>
      </c>
      <c r="BH338">
        <v>-0.68300000000000005</v>
      </c>
      <c r="BI338">
        <v>-1.984</v>
      </c>
    </row>
    <row r="339" spans="3:61">
      <c r="C339">
        <v>0</v>
      </c>
      <c r="D339">
        <v>0</v>
      </c>
      <c r="E339">
        <v>0</v>
      </c>
      <c r="F339" t="s">
        <v>25021</v>
      </c>
      <c r="G339">
        <v>987</v>
      </c>
      <c r="H339" t="s">
        <v>6187</v>
      </c>
      <c r="I339" t="s">
        <v>62</v>
      </c>
      <c r="J339">
        <v>1029580</v>
      </c>
      <c r="K339">
        <v>1030068</v>
      </c>
      <c r="L339" t="s">
        <v>6188</v>
      </c>
      <c r="M339">
        <v>163</v>
      </c>
      <c r="N339" t="s">
        <v>59</v>
      </c>
      <c r="O339">
        <v>49</v>
      </c>
      <c r="P339" t="str">
        <f>HYPERLINK("Gene987-zp_tree_all.dnd", "Gene987-tree")</f>
        <v>Gene987-tree</v>
      </c>
      <c r="Q339">
        <v>33</v>
      </c>
      <c r="R339">
        <v>0</v>
      </c>
      <c r="S339">
        <v>7</v>
      </c>
      <c r="T339">
        <v>0</v>
      </c>
      <c r="U339">
        <v>0</v>
      </c>
      <c r="V339" t="s">
        <v>5770</v>
      </c>
      <c r="W339" t="s">
        <v>62</v>
      </c>
      <c r="X339" t="s">
        <v>62</v>
      </c>
      <c r="Y339" t="s">
        <v>62</v>
      </c>
      <c r="Z339">
        <v>0</v>
      </c>
      <c r="AA339">
        <v>0</v>
      </c>
      <c r="AB339">
        <v>0</v>
      </c>
      <c r="AC339">
        <v>0</v>
      </c>
      <c r="AD339" s="47">
        <v>0</v>
      </c>
      <c r="AE339" s="47">
        <v>0</v>
      </c>
      <c r="AF339" s="47">
        <v>0</v>
      </c>
      <c r="AG339" s="47">
        <v>0</v>
      </c>
      <c r="AH339" s="47">
        <v>0</v>
      </c>
      <c r="AI339" s="47">
        <v>0</v>
      </c>
      <c r="AJ339" s="47">
        <v>0</v>
      </c>
      <c r="AK339" s="47">
        <v>0</v>
      </c>
      <c r="AL339">
        <v>0</v>
      </c>
      <c r="AM339">
        <v>0</v>
      </c>
      <c r="AN339">
        <v>5</v>
      </c>
      <c r="AO339">
        <v>3</v>
      </c>
      <c r="AP339">
        <v>6</v>
      </c>
      <c r="AQ339">
        <v>0</v>
      </c>
      <c r="AR339">
        <v>9</v>
      </c>
      <c r="AS339">
        <v>0</v>
      </c>
      <c r="AT339" t="s">
        <v>193</v>
      </c>
      <c r="AU339" t="s">
        <v>193</v>
      </c>
      <c r="AV339">
        <v>0</v>
      </c>
      <c r="AW339" t="s">
        <v>65</v>
      </c>
      <c r="AX339">
        <v>15</v>
      </c>
      <c r="AY339">
        <v>0</v>
      </c>
      <c r="AZ339" t="s">
        <v>6189</v>
      </c>
      <c r="BA339">
        <v>6.6710000000000005E-2</v>
      </c>
      <c r="BB339">
        <v>-7.5500000000000003E-3</v>
      </c>
      <c r="BC339">
        <v>0</v>
      </c>
      <c r="BD339">
        <v>0</v>
      </c>
      <c r="BE339">
        <v>0</v>
      </c>
      <c r="BF339">
        <v>1</v>
      </c>
      <c r="BG339" t="s">
        <v>69</v>
      </c>
      <c r="BH339">
        <v>-1.1759999999999999</v>
      </c>
      <c r="BI339">
        <v>-0.25900000000000001</v>
      </c>
    </row>
    <row r="340" spans="3:61">
      <c r="C340">
        <v>0</v>
      </c>
      <c r="D340">
        <v>2</v>
      </c>
      <c r="E340">
        <v>2</v>
      </c>
      <c r="F340" t="s">
        <v>25021</v>
      </c>
      <c r="G340">
        <v>585</v>
      </c>
      <c r="H340" t="s">
        <v>3765</v>
      </c>
      <c r="I340" t="s">
        <v>62</v>
      </c>
      <c r="J340">
        <v>612839</v>
      </c>
      <c r="K340">
        <v>613330</v>
      </c>
      <c r="L340" t="s">
        <v>3745</v>
      </c>
      <c r="M340">
        <v>164</v>
      </c>
      <c r="N340" t="s">
        <v>59</v>
      </c>
      <c r="O340">
        <v>49</v>
      </c>
      <c r="P340" t="str">
        <f>HYPERLINK("Gene585-zp_tree_all.dnd", "Gene585-tree")</f>
        <v>Gene585-tree</v>
      </c>
      <c r="Q340">
        <v>6</v>
      </c>
      <c r="R340">
        <v>7</v>
      </c>
      <c r="S340">
        <v>6</v>
      </c>
      <c r="T340">
        <v>7</v>
      </c>
      <c r="U340">
        <v>0.53846000000000005</v>
      </c>
      <c r="V340" t="s">
        <v>90</v>
      </c>
      <c r="W340" t="s">
        <v>152</v>
      </c>
      <c r="X340" t="s">
        <v>62</v>
      </c>
      <c r="Y340" t="s">
        <v>62</v>
      </c>
      <c r="Z340">
        <v>2</v>
      </c>
      <c r="AA340">
        <v>4</v>
      </c>
      <c r="AB340">
        <v>12</v>
      </c>
      <c r="AC340">
        <v>0.25</v>
      </c>
      <c r="AD340" s="47">
        <v>0</v>
      </c>
      <c r="AE340" s="47">
        <v>0</v>
      </c>
      <c r="AF340" s="47">
        <v>0</v>
      </c>
      <c r="AG340" s="47">
        <v>1</v>
      </c>
      <c r="AH340" s="47">
        <v>0</v>
      </c>
      <c r="AI340" s="47">
        <v>0</v>
      </c>
      <c r="AJ340" s="47">
        <v>2</v>
      </c>
      <c r="AK340" s="47">
        <v>2</v>
      </c>
      <c r="AL340">
        <v>8</v>
      </c>
      <c r="AM340">
        <v>0.2</v>
      </c>
      <c r="AN340">
        <v>11</v>
      </c>
      <c r="AO340">
        <v>6</v>
      </c>
      <c r="AP340">
        <v>6</v>
      </c>
      <c r="AQ340">
        <v>10</v>
      </c>
      <c r="AR340">
        <v>21</v>
      </c>
      <c r="AS340">
        <v>6</v>
      </c>
      <c r="AT340" t="s">
        <v>3766</v>
      </c>
      <c r="AU340" t="s">
        <v>3767</v>
      </c>
      <c r="AV340">
        <v>1.1319999999999999</v>
      </c>
      <c r="AW340" t="s">
        <v>65</v>
      </c>
      <c r="AX340">
        <v>27</v>
      </c>
      <c r="AY340">
        <v>16</v>
      </c>
      <c r="AZ340" t="s">
        <v>3768</v>
      </c>
      <c r="BA340">
        <v>8.7480000000000002E-2</v>
      </c>
      <c r="BB340">
        <v>-8.09E-3</v>
      </c>
      <c r="BC340">
        <v>9.1299999999999992E-3</v>
      </c>
      <c r="BD340">
        <v>-6.0999999999999997E-4</v>
      </c>
      <c r="BE340">
        <v>0.10440000000000001</v>
      </c>
      <c r="BF340">
        <v>1</v>
      </c>
      <c r="BG340" t="s">
        <v>69</v>
      </c>
      <c r="BH340">
        <v>-1.115</v>
      </c>
      <c r="BI340">
        <v>0.153</v>
      </c>
    </row>
    <row r="341" spans="3:61">
      <c r="C341">
        <v>0</v>
      </c>
      <c r="D341">
        <v>0</v>
      </c>
      <c r="E341">
        <v>0</v>
      </c>
      <c r="F341" t="s">
        <v>25021</v>
      </c>
      <c r="G341">
        <v>1460</v>
      </c>
      <c r="H341" t="s">
        <v>9144</v>
      </c>
      <c r="I341" t="s">
        <v>62</v>
      </c>
      <c r="J341">
        <v>1476521</v>
      </c>
      <c r="K341">
        <v>1477012</v>
      </c>
      <c r="L341" t="s">
        <v>9145</v>
      </c>
      <c r="M341">
        <v>164</v>
      </c>
      <c r="N341" t="s">
        <v>465</v>
      </c>
      <c r="O341">
        <v>46</v>
      </c>
      <c r="P341" t="str">
        <f>HYPERLINK("Gene1460-zp_tree_all.dnd", "Gene1460-tree")</f>
        <v>Gene1460-tree</v>
      </c>
      <c r="Q341">
        <v>12</v>
      </c>
      <c r="R341">
        <v>3</v>
      </c>
      <c r="S341">
        <v>12</v>
      </c>
      <c r="T341">
        <v>3</v>
      </c>
      <c r="U341">
        <v>0.2</v>
      </c>
      <c r="V341" t="s">
        <v>109</v>
      </c>
      <c r="W341" t="s">
        <v>324</v>
      </c>
      <c r="X341" t="s">
        <v>62</v>
      </c>
      <c r="Y341" t="s">
        <v>62</v>
      </c>
      <c r="Z341">
        <v>0</v>
      </c>
      <c r="AA341">
        <v>0</v>
      </c>
      <c r="AB341">
        <v>6</v>
      </c>
      <c r="AC341">
        <v>0</v>
      </c>
      <c r="AD341" s="47">
        <v>0</v>
      </c>
      <c r="AE341" s="47">
        <v>0</v>
      </c>
      <c r="AF341" s="47">
        <v>0</v>
      </c>
      <c r="AG341" s="47">
        <v>3</v>
      </c>
      <c r="AH341" s="47">
        <v>0</v>
      </c>
      <c r="AI341" s="47">
        <v>0</v>
      </c>
      <c r="AJ341" s="47">
        <v>0</v>
      </c>
      <c r="AK341" s="47">
        <v>0</v>
      </c>
      <c r="AL341">
        <v>3</v>
      </c>
      <c r="AM341">
        <v>0</v>
      </c>
      <c r="AN341">
        <v>11</v>
      </c>
      <c r="AO341">
        <v>5</v>
      </c>
      <c r="AP341">
        <v>12</v>
      </c>
      <c r="AQ341">
        <v>3</v>
      </c>
      <c r="AR341">
        <v>17</v>
      </c>
      <c r="AS341">
        <v>3</v>
      </c>
      <c r="AT341" t="s">
        <v>9146</v>
      </c>
      <c r="AU341" t="s">
        <v>9147</v>
      </c>
      <c r="AV341">
        <v>0.161</v>
      </c>
      <c r="AW341" t="s">
        <v>65</v>
      </c>
      <c r="AX341">
        <v>29</v>
      </c>
      <c r="AY341">
        <v>6</v>
      </c>
      <c r="AZ341" t="s">
        <v>9148</v>
      </c>
      <c r="BA341">
        <v>5.1470000000000002E-2</v>
      </c>
      <c r="BB341">
        <v>-4.8999999999999998E-3</v>
      </c>
      <c r="BC341">
        <v>3.14E-3</v>
      </c>
      <c r="BD341">
        <v>-3.5E-4</v>
      </c>
      <c r="BE341">
        <v>6.1100000000000002E-2</v>
      </c>
      <c r="BF341">
        <v>1</v>
      </c>
      <c r="BG341" t="s">
        <v>69</v>
      </c>
      <c r="BH341">
        <v>-1.4450000000000001</v>
      </c>
      <c r="BI341">
        <v>-0.45300000000000001</v>
      </c>
    </row>
    <row r="342" spans="3:61">
      <c r="C342">
        <v>2</v>
      </c>
      <c r="D342">
        <v>22</v>
      </c>
      <c r="E342">
        <v>7</v>
      </c>
      <c r="F342" t="s">
        <v>25021</v>
      </c>
      <c r="G342">
        <v>594</v>
      </c>
      <c r="H342" t="s">
        <v>3826</v>
      </c>
      <c r="I342" t="s">
        <v>62</v>
      </c>
      <c r="J342">
        <v>622296</v>
      </c>
      <c r="K342">
        <v>622790</v>
      </c>
      <c r="L342" t="s">
        <v>288</v>
      </c>
      <c r="M342">
        <v>165</v>
      </c>
      <c r="N342" t="s">
        <v>108</v>
      </c>
      <c r="O342">
        <v>44</v>
      </c>
      <c r="P342" t="str">
        <f>HYPERLINK("Gene594-zp_tree_all.dnd", "Gene594-tree")</f>
        <v>Gene594-tree</v>
      </c>
      <c r="Q342">
        <v>3</v>
      </c>
      <c r="R342">
        <v>10</v>
      </c>
      <c r="S342">
        <v>3</v>
      </c>
      <c r="T342">
        <v>10</v>
      </c>
      <c r="U342">
        <v>0.76922999999999997</v>
      </c>
      <c r="V342" t="s">
        <v>324</v>
      </c>
      <c r="W342" t="s">
        <v>117</v>
      </c>
      <c r="X342" t="s">
        <v>62</v>
      </c>
      <c r="Y342" t="s">
        <v>62</v>
      </c>
      <c r="Z342">
        <v>12</v>
      </c>
      <c r="AA342">
        <v>31</v>
      </c>
      <c r="AB342">
        <v>16</v>
      </c>
      <c r="AC342">
        <v>0.65956999999999999</v>
      </c>
      <c r="AD342" s="47">
        <v>0</v>
      </c>
      <c r="AE342" s="47">
        <v>0</v>
      </c>
      <c r="AF342" s="47">
        <v>0</v>
      </c>
      <c r="AG342" s="47">
        <v>0</v>
      </c>
      <c r="AH342" s="47">
        <v>0</v>
      </c>
      <c r="AI342" s="47">
        <v>6</v>
      </c>
      <c r="AJ342" s="47">
        <v>4</v>
      </c>
      <c r="AK342" s="47">
        <v>10</v>
      </c>
      <c r="AL342">
        <v>21</v>
      </c>
      <c r="AM342">
        <v>0.32257999999999998</v>
      </c>
      <c r="AN342">
        <v>13</v>
      </c>
      <c r="AO342">
        <v>10</v>
      </c>
      <c r="AP342">
        <v>18</v>
      </c>
      <c r="AQ342">
        <v>32</v>
      </c>
      <c r="AR342">
        <v>15</v>
      </c>
      <c r="AS342">
        <v>17</v>
      </c>
      <c r="AT342" t="s">
        <v>3827</v>
      </c>
      <c r="AU342" t="s">
        <v>3828</v>
      </c>
      <c r="AV342">
        <v>0.72499999999999998</v>
      </c>
      <c r="AW342" t="s">
        <v>65</v>
      </c>
      <c r="AX342">
        <v>33</v>
      </c>
      <c r="AY342">
        <v>49</v>
      </c>
      <c r="AZ342" t="s">
        <v>3829</v>
      </c>
      <c r="BA342">
        <v>6.2920000000000004E-2</v>
      </c>
      <c r="BB342">
        <v>-3.5899999999999999E-3</v>
      </c>
      <c r="BC342">
        <v>2.4680000000000001E-2</v>
      </c>
      <c r="BD342">
        <v>-1.0399999999999999E-3</v>
      </c>
      <c r="BE342">
        <v>0.39218999999999998</v>
      </c>
      <c r="BF342">
        <v>1</v>
      </c>
      <c r="BG342" t="s">
        <v>69</v>
      </c>
      <c r="BH342">
        <v>-0.26200000000000001</v>
      </c>
      <c r="BI342">
        <v>-0.75900000000000001</v>
      </c>
    </row>
    <row r="343" spans="3:61">
      <c r="C343">
        <v>0</v>
      </c>
      <c r="D343">
        <v>2</v>
      </c>
      <c r="E343">
        <v>0</v>
      </c>
      <c r="F343" t="s">
        <v>25021</v>
      </c>
      <c r="G343">
        <v>1995</v>
      </c>
      <c r="H343" t="s">
        <v>12422</v>
      </c>
      <c r="I343" t="s">
        <v>57</v>
      </c>
      <c r="J343">
        <v>2087696</v>
      </c>
      <c r="K343">
        <v>2088190</v>
      </c>
      <c r="L343" t="s">
        <v>116</v>
      </c>
      <c r="M343">
        <v>165</v>
      </c>
      <c r="N343" t="s">
        <v>108</v>
      </c>
      <c r="O343">
        <v>44</v>
      </c>
      <c r="P343" t="str">
        <f>HYPERLINK("Gene1995-zp_tree_all.dnd", "Gene1995-tree")</f>
        <v>Gene1995-tree</v>
      </c>
      <c r="Q343">
        <v>10</v>
      </c>
      <c r="R343">
        <v>22</v>
      </c>
      <c r="S343">
        <v>10</v>
      </c>
      <c r="T343">
        <v>4</v>
      </c>
      <c r="U343">
        <v>0.28571000000000002</v>
      </c>
      <c r="V343" t="s">
        <v>117</v>
      </c>
      <c r="W343" t="s">
        <v>2634</v>
      </c>
      <c r="X343">
        <v>5.4459999999999997</v>
      </c>
      <c r="Y343" t="s">
        <v>65</v>
      </c>
      <c r="Z343">
        <v>1</v>
      </c>
      <c r="AA343">
        <v>2</v>
      </c>
      <c r="AB343">
        <v>8</v>
      </c>
      <c r="AC343">
        <v>0.2</v>
      </c>
      <c r="AD343" s="47">
        <v>0</v>
      </c>
      <c r="AE343" s="47">
        <v>0</v>
      </c>
      <c r="AF343" s="47">
        <v>0</v>
      </c>
      <c r="AG343" s="47">
        <v>1</v>
      </c>
      <c r="AH343" s="47">
        <v>0</v>
      </c>
      <c r="AI343" s="47">
        <v>0</v>
      </c>
      <c r="AJ343" s="47">
        <v>0</v>
      </c>
      <c r="AK343" s="47">
        <v>0</v>
      </c>
      <c r="AL343">
        <v>5</v>
      </c>
      <c r="AM343">
        <v>0</v>
      </c>
      <c r="AN343">
        <v>11</v>
      </c>
      <c r="AO343">
        <v>8</v>
      </c>
      <c r="AP343">
        <v>16</v>
      </c>
      <c r="AQ343">
        <v>5</v>
      </c>
      <c r="AR343">
        <v>14</v>
      </c>
      <c r="AS343">
        <v>5</v>
      </c>
      <c r="AT343" t="s">
        <v>12423</v>
      </c>
      <c r="AU343" t="s">
        <v>12424</v>
      </c>
      <c r="AV343">
        <v>0.107</v>
      </c>
      <c r="AW343" t="s">
        <v>65</v>
      </c>
      <c r="AX343">
        <v>30</v>
      </c>
      <c r="AY343">
        <v>10</v>
      </c>
      <c r="AZ343" t="s">
        <v>12425</v>
      </c>
      <c r="BA343">
        <v>6.3850000000000004E-2</v>
      </c>
      <c r="BB343">
        <v>-3.16E-3</v>
      </c>
      <c r="BC343">
        <v>5.5799999999999999E-3</v>
      </c>
      <c r="BD343">
        <v>-4.8999999999999998E-4</v>
      </c>
      <c r="BE343">
        <v>8.7359999999999993E-2</v>
      </c>
      <c r="BF343">
        <v>1</v>
      </c>
      <c r="BG343" t="s">
        <v>69</v>
      </c>
      <c r="BH343">
        <v>2E-3</v>
      </c>
      <c r="BI343">
        <v>0.48</v>
      </c>
    </row>
    <row r="344" spans="3:61">
      <c r="C344">
        <v>0</v>
      </c>
      <c r="D344">
        <v>3</v>
      </c>
      <c r="E344">
        <v>0</v>
      </c>
      <c r="F344" t="s">
        <v>25021</v>
      </c>
      <c r="G344">
        <v>2935</v>
      </c>
      <c r="H344" t="s">
        <v>16912</v>
      </c>
      <c r="I344" t="s">
        <v>57</v>
      </c>
      <c r="J344">
        <v>2879363</v>
      </c>
      <c r="K344">
        <v>2879857</v>
      </c>
      <c r="L344" t="s">
        <v>3095</v>
      </c>
      <c r="M344">
        <v>165</v>
      </c>
      <c r="N344" t="s">
        <v>289</v>
      </c>
      <c r="O344">
        <v>46</v>
      </c>
      <c r="P344" t="str">
        <f>HYPERLINK("Gene2935-zp_tree_all.dnd", "Gene2935-tree")</f>
        <v>Gene2935-tree</v>
      </c>
      <c r="Q344">
        <v>12</v>
      </c>
      <c r="R344">
        <v>2</v>
      </c>
      <c r="S344">
        <v>12</v>
      </c>
      <c r="T344">
        <v>2</v>
      </c>
      <c r="U344">
        <v>0.14285999999999999</v>
      </c>
      <c r="V344" t="s">
        <v>109</v>
      </c>
      <c r="W344" t="s">
        <v>81</v>
      </c>
      <c r="X344" t="s">
        <v>62</v>
      </c>
      <c r="Y344" t="s">
        <v>62</v>
      </c>
      <c r="Z344">
        <v>1</v>
      </c>
      <c r="AA344">
        <v>3</v>
      </c>
      <c r="AB344">
        <v>6</v>
      </c>
      <c r="AC344">
        <v>0.33333000000000002</v>
      </c>
      <c r="AD344" s="47">
        <v>0</v>
      </c>
      <c r="AE344" s="47">
        <v>0</v>
      </c>
      <c r="AF344" s="47">
        <v>0</v>
      </c>
      <c r="AG344" s="47">
        <v>1</v>
      </c>
      <c r="AH344" s="47">
        <v>0</v>
      </c>
      <c r="AI344" s="47">
        <v>0</v>
      </c>
      <c r="AJ344" s="47">
        <v>0</v>
      </c>
      <c r="AK344" s="47">
        <v>0</v>
      </c>
      <c r="AL344">
        <v>2</v>
      </c>
      <c r="AM344">
        <v>0</v>
      </c>
      <c r="AN344">
        <v>13</v>
      </c>
      <c r="AO344">
        <v>6</v>
      </c>
      <c r="AP344">
        <v>26</v>
      </c>
      <c r="AQ344">
        <v>2</v>
      </c>
      <c r="AR344">
        <v>34</v>
      </c>
      <c r="AS344">
        <v>9</v>
      </c>
      <c r="AT344" t="s">
        <v>16913</v>
      </c>
      <c r="AU344" t="s">
        <v>16914</v>
      </c>
      <c r="AV344">
        <v>0.51900000000000002</v>
      </c>
      <c r="AW344" t="s">
        <v>65</v>
      </c>
      <c r="AX344">
        <v>60</v>
      </c>
      <c r="AY344">
        <v>11</v>
      </c>
      <c r="AZ344" t="s">
        <v>16915</v>
      </c>
      <c r="BA344">
        <v>0.11647</v>
      </c>
      <c r="BB344">
        <v>-8.26E-3</v>
      </c>
      <c r="BC344">
        <v>6.6499999999999997E-3</v>
      </c>
      <c r="BD344">
        <v>-7.2999999999999996E-4</v>
      </c>
      <c r="BE344">
        <v>5.7140000000000003E-2</v>
      </c>
      <c r="BF344">
        <v>1</v>
      </c>
      <c r="BG344" t="s">
        <v>69</v>
      </c>
      <c r="BH344">
        <v>-1.5429999999999999</v>
      </c>
      <c r="BI344">
        <v>0.82599999999999996</v>
      </c>
    </row>
    <row r="345" spans="3:61">
      <c r="C345">
        <v>0</v>
      </c>
      <c r="D345">
        <v>0</v>
      </c>
      <c r="E345">
        <v>0</v>
      </c>
      <c r="F345" t="s">
        <v>25021</v>
      </c>
      <c r="G345">
        <v>1019</v>
      </c>
      <c r="H345" t="s">
        <v>6403</v>
      </c>
      <c r="I345" t="s">
        <v>62</v>
      </c>
      <c r="J345">
        <v>1060430</v>
      </c>
      <c r="K345">
        <v>1060924</v>
      </c>
      <c r="L345" t="s">
        <v>6404</v>
      </c>
      <c r="M345">
        <v>165</v>
      </c>
      <c r="N345" t="s">
        <v>108</v>
      </c>
      <c r="O345">
        <v>44</v>
      </c>
      <c r="P345" t="str">
        <f>HYPERLINK("Gene1019-zp_tree_all.dnd", "Gene1019-tree")</f>
        <v>Gene1019-tree</v>
      </c>
      <c r="Q345">
        <v>27</v>
      </c>
      <c r="R345">
        <v>2</v>
      </c>
      <c r="S345">
        <v>6</v>
      </c>
      <c r="T345">
        <v>2</v>
      </c>
      <c r="U345">
        <v>0.25</v>
      </c>
      <c r="V345" t="s">
        <v>1055</v>
      </c>
      <c r="W345" t="s">
        <v>81</v>
      </c>
      <c r="X345" t="s">
        <v>62</v>
      </c>
      <c r="Y345" t="s">
        <v>62</v>
      </c>
      <c r="Z345">
        <v>0</v>
      </c>
      <c r="AA345">
        <v>0</v>
      </c>
      <c r="AB345">
        <v>2</v>
      </c>
      <c r="AC345">
        <v>0</v>
      </c>
      <c r="AD345" s="47">
        <v>0</v>
      </c>
      <c r="AE345" s="47">
        <v>0</v>
      </c>
      <c r="AF345" s="47">
        <v>0</v>
      </c>
      <c r="AG345" s="47">
        <v>0</v>
      </c>
      <c r="AH345" s="47">
        <v>0</v>
      </c>
      <c r="AI345" s="47">
        <v>0</v>
      </c>
      <c r="AJ345" s="47">
        <v>0</v>
      </c>
      <c r="AK345" s="47">
        <v>0</v>
      </c>
      <c r="AL345">
        <v>2</v>
      </c>
      <c r="AM345">
        <v>0</v>
      </c>
      <c r="AN345">
        <v>8</v>
      </c>
      <c r="AO345">
        <v>2</v>
      </c>
      <c r="AP345">
        <v>16</v>
      </c>
      <c r="AQ345">
        <v>2</v>
      </c>
      <c r="AR345">
        <v>2</v>
      </c>
      <c r="AS345">
        <v>0</v>
      </c>
      <c r="AT345" t="s">
        <v>6405</v>
      </c>
      <c r="AU345" t="s">
        <v>193</v>
      </c>
      <c r="AV345">
        <v>0.83699999999999997</v>
      </c>
      <c r="AW345" t="s">
        <v>65</v>
      </c>
      <c r="AX345">
        <v>18</v>
      </c>
      <c r="AY345">
        <v>2</v>
      </c>
      <c r="AZ345" t="s">
        <v>6406</v>
      </c>
      <c r="BA345">
        <v>4.6059999999999997E-2</v>
      </c>
      <c r="BB345">
        <v>-3.29E-3</v>
      </c>
      <c r="BC345">
        <v>1.2999999999999999E-3</v>
      </c>
      <c r="BD345">
        <v>-2.7999999999999998E-4</v>
      </c>
      <c r="BE345">
        <v>2.8129999999999999E-2</v>
      </c>
      <c r="BF345">
        <v>1</v>
      </c>
      <c r="BG345" t="s">
        <v>69</v>
      </c>
      <c r="BH345">
        <v>0.36899999999999999</v>
      </c>
      <c r="BI345">
        <v>-0.68200000000000005</v>
      </c>
    </row>
    <row r="346" spans="3:61">
      <c r="C346">
        <v>0</v>
      </c>
      <c r="D346">
        <v>0</v>
      </c>
      <c r="E346">
        <v>0</v>
      </c>
      <c r="F346" t="s">
        <v>25021</v>
      </c>
      <c r="G346">
        <v>1003</v>
      </c>
      <c r="H346" t="s">
        <v>6294</v>
      </c>
      <c r="I346" t="s">
        <v>62</v>
      </c>
      <c r="J346">
        <v>1044376</v>
      </c>
      <c r="K346">
        <v>1044873</v>
      </c>
      <c r="L346" t="s">
        <v>6295</v>
      </c>
      <c r="M346">
        <v>166</v>
      </c>
      <c r="N346" t="s">
        <v>108</v>
      </c>
      <c r="O346">
        <v>44</v>
      </c>
      <c r="P346" t="str">
        <f>HYPERLINK("Gene1003-zp_tree_all.dnd", "Gene1003-tree")</f>
        <v>Gene1003-tree</v>
      </c>
      <c r="Q346">
        <v>5</v>
      </c>
      <c r="R346">
        <v>7</v>
      </c>
      <c r="S346">
        <v>5</v>
      </c>
      <c r="T346">
        <v>7</v>
      </c>
      <c r="U346">
        <v>0.58333000000000002</v>
      </c>
      <c r="V346" t="s">
        <v>199</v>
      </c>
      <c r="W346" t="s">
        <v>152</v>
      </c>
      <c r="X346" t="s">
        <v>62</v>
      </c>
      <c r="Y346" t="s">
        <v>62</v>
      </c>
      <c r="Z346">
        <v>0</v>
      </c>
      <c r="AA346">
        <v>0</v>
      </c>
      <c r="AB346">
        <v>12</v>
      </c>
      <c r="AC346">
        <v>0</v>
      </c>
      <c r="AD346" s="47">
        <v>0</v>
      </c>
      <c r="AE346" s="47">
        <v>0</v>
      </c>
      <c r="AF346" s="47">
        <v>0</v>
      </c>
      <c r="AG346" s="47">
        <v>1</v>
      </c>
      <c r="AH346" s="47">
        <v>0</v>
      </c>
      <c r="AI346" s="47">
        <v>0</v>
      </c>
      <c r="AJ346" s="47">
        <v>0</v>
      </c>
      <c r="AK346" s="47">
        <v>0</v>
      </c>
      <c r="AL346">
        <v>10</v>
      </c>
      <c r="AM346">
        <v>0</v>
      </c>
      <c r="AN346">
        <v>8</v>
      </c>
      <c r="AO346">
        <v>4</v>
      </c>
      <c r="AP346">
        <v>10</v>
      </c>
      <c r="AQ346">
        <v>8</v>
      </c>
      <c r="AR346">
        <v>2</v>
      </c>
      <c r="AS346">
        <v>4</v>
      </c>
      <c r="AT346" t="s">
        <v>6296</v>
      </c>
      <c r="AU346" t="s">
        <v>6297</v>
      </c>
      <c r="AV346">
        <v>0.79300000000000004</v>
      </c>
      <c r="AW346" t="s">
        <v>65</v>
      </c>
      <c r="AX346">
        <v>12</v>
      </c>
      <c r="AY346">
        <v>12</v>
      </c>
      <c r="AZ346" t="s">
        <v>6298</v>
      </c>
      <c r="BA346">
        <v>2.0469999999999999E-2</v>
      </c>
      <c r="BB346">
        <v>-1.1199999999999999E-3</v>
      </c>
      <c r="BC346">
        <v>7.5500000000000003E-3</v>
      </c>
      <c r="BD346">
        <v>-4.8999999999999998E-4</v>
      </c>
      <c r="BE346">
        <v>0.36886999999999998</v>
      </c>
      <c r="BF346">
        <v>1</v>
      </c>
      <c r="BG346" t="s">
        <v>69</v>
      </c>
      <c r="BH346">
        <v>-1.849</v>
      </c>
      <c r="BI346">
        <v>-3.4910000000000001</v>
      </c>
    </row>
    <row r="347" spans="3:61">
      <c r="C347">
        <v>0</v>
      </c>
      <c r="D347">
        <v>2</v>
      </c>
      <c r="E347">
        <v>0</v>
      </c>
      <c r="F347" t="s">
        <v>25021</v>
      </c>
      <c r="G347">
        <v>1046</v>
      </c>
      <c r="H347" t="s">
        <v>6558</v>
      </c>
      <c r="I347" t="s">
        <v>62</v>
      </c>
      <c r="J347">
        <v>1083232</v>
      </c>
      <c r="K347">
        <v>1083729</v>
      </c>
      <c r="L347" t="s">
        <v>4679</v>
      </c>
      <c r="M347">
        <v>166</v>
      </c>
      <c r="N347" t="s">
        <v>108</v>
      </c>
      <c r="O347">
        <v>44</v>
      </c>
      <c r="P347" t="str">
        <f>HYPERLINK("Gene1046-zp_tree_all.dnd", "Gene1046-tree")</f>
        <v>Gene1046-tree</v>
      </c>
      <c r="Q347">
        <v>0</v>
      </c>
      <c r="R347">
        <v>9</v>
      </c>
      <c r="S347">
        <v>0</v>
      </c>
      <c r="T347">
        <v>9</v>
      </c>
      <c r="U347">
        <v>1</v>
      </c>
      <c r="V347" t="s">
        <v>62</v>
      </c>
      <c r="W347" t="s">
        <v>135</v>
      </c>
      <c r="X347" t="s">
        <v>62</v>
      </c>
      <c r="Y347" t="s">
        <v>62</v>
      </c>
      <c r="Z347">
        <v>1</v>
      </c>
      <c r="AA347">
        <v>2</v>
      </c>
      <c r="AB347">
        <v>8</v>
      </c>
      <c r="AC347">
        <v>0.2</v>
      </c>
      <c r="AD347" s="47">
        <v>0</v>
      </c>
      <c r="AE347" s="47">
        <v>0</v>
      </c>
      <c r="AF347" s="47">
        <v>0</v>
      </c>
      <c r="AG347" s="47">
        <v>0</v>
      </c>
      <c r="AH347" s="47">
        <v>0</v>
      </c>
      <c r="AI347" s="47">
        <v>2</v>
      </c>
      <c r="AJ347" s="47">
        <v>0</v>
      </c>
      <c r="AK347" s="47">
        <v>2</v>
      </c>
      <c r="AL347">
        <v>7</v>
      </c>
      <c r="AM347">
        <v>0.22222</v>
      </c>
      <c r="AN347">
        <v>7</v>
      </c>
      <c r="AO347">
        <v>4</v>
      </c>
      <c r="AP347">
        <v>8</v>
      </c>
      <c r="AQ347">
        <v>8</v>
      </c>
      <c r="AR347">
        <v>4</v>
      </c>
      <c r="AS347">
        <v>2</v>
      </c>
      <c r="AT347" t="s">
        <v>6559</v>
      </c>
      <c r="AU347" t="s">
        <v>6560</v>
      </c>
      <c r="AV347">
        <v>1.2170000000000001</v>
      </c>
      <c r="AW347" t="s">
        <v>65</v>
      </c>
      <c r="AX347">
        <v>12</v>
      </c>
      <c r="AY347">
        <v>10</v>
      </c>
      <c r="AZ347" t="s">
        <v>6561</v>
      </c>
      <c r="BA347">
        <v>3.2099999999999997E-2</v>
      </c>
      <c r="BB347">
        <v>-2.64E-3</v>
      </c>
      <c r="BC347">
        <v>6.5399999999999998E-3</v>
      </c>
      <c r="BD347">
        <v>-3.3E-4</v>
      </c>
      <c r="BE347">
        <v>0.20366000000000001</v>
      </c>
      <c r="BF347">
        <v>1</v>
      </c>
      <c r="BG347" t="s">
        <v>69</v>
      </c>
      <c r="BH347">
        <v>-0.91800000000000004</v>
      </c>
      <c r="BI347">
        <v>-1.3069999999999999</v>
      </c>
    </row>
    <row r="348" spans="3:61">
      <c r="C348">
        <v>0</v>
      </c>
      <c r="D348">
        <v>4</v>
      </c>
      <c r="E348">
        <v>0</v>
      </c>
      <c r="F348" t="s">
        <v>25021</v>
      </c>
      <c r="G348">
        <v>2824</v>
      </c>
      <c r="H348" t="s">
        <v>16206</v>
      </c>
      <c r="I348" t="s">
        <v>57</v>
      </c>
      <c r="J348">
        <v>2769850</v>
      </c>
      <c r="K348">
        <v>2770347</v>
      </c>
      <c r="L348" t="s">
        <v>16207</v>
      </c>
      <c r="M348">
        <v>166</v>
      </c>
      <c r="N348" t="s">
        <v>16208</v>
      </c>
      <c r="O348">
        <v>48</v>
      </c>
      <c r="P348" t="str">
        <f>HYPERLINK("Gene2824-zp_tree_all.dnd", "Gene2824-tree")</f>
        <v>Gene2824-tree</v>
      </c>
      <c r="Q348">
        <v>10</v>
      </c>
      <c r="R348">
        <v>5</v>
      </c>
      <c r="S348">
        <v>10</v>
      </c>
      <c r="T348">
        <v>5</v>
      </c>
      <c r="U348">
        <v>0.33333000000000002</v>
      </c>
      <c r="V348" t="s">
        <v>117</v>
      </c>
      <c r="W348" t="s">
        <v>199</v>
      </c>
      <c r="X348" t="s">
        <v>62</v>
      </c>
      <c r="Y348" t="s">
        <v>62</v>
      </c>
      <c r="Z348">
        <v>1</v>
      </c>
      <c r="AA348">
        <v>4</v>
      </c>
      <c r="AB348">
        <v>12</v>
      </c>
      <c r="AC348">
        <v>0.25</v>
      </c>
      <c r="AD348" s="47">
        <v>0</v>
      </c>
      <c r="AE348" s="47">
        <v>0</v>
      </c>
      <c r="AF348" s="47">
        <v>0</v>
      </c>
      <c r="AG348" s="47">
        <v>0</v>
      </c>
      <c r="AH348" s="47">
        <v>0</v>
      </c>
      <c r="AI348" s="47">
        <v>2</v>
      </c>
      <c r="AJ348" s="47">
        <v>1</v>
      </c>
      <c r="AK348" s="47">
        <v>3</v>
      </c>
      <c r="AL348">
        <v>5</v>
      </c>
      <c r="AM348">
        <v>0.375</v>
      </c>
      <c r="AN348">
        <v>12</v>
      </c>
      <c r="AO348">
        <v>9</v>
      </c>
      <c r="AP348">
        <v>18</v>
      </c>
      <c r="AQ348">
        <v>8</v>
      </c>
      <c r="AR348">
        <v>21</v>
      </c>
      <c r="AS348">
        <v>8</v>
      </c>
      <c r="AT348" t="s">
        <v>16209</v>
      </c>
      <c r="AU348" t="s">
        <v>16210</v>
      </c>
      <c r="AV348">
        <v>0.13900000000000001</v>
      </c>
      <c r="AW348" t="s">
        <v>65</v>
      </c>
      <c r="AX348">
        <v>39</v>
      </c>
      <c r="AY348">
        <v>16</v>
      </c>
      <c r="AZ348" t="s">
        <v>16211</v>
      </c>
      <c r="BA348">
        <v>9.0450000000000003E-2</v>
      </c>
      <c r="BB348">
        <v>-5.9699999999999996E-3</v>
      </c>
      <c r="BC348">
        <v>8.4899999999999993E-3</v>
      </c>
      <c r="BD348">
        <v>-5.5000000000000003E-4</v>
      </c>
      <c r="BE348">
        <v>9.3869999999999995E-2</v>
      </c>
      <c r="BF348">
        <v>1</v>
      </c>
      <c r="BG348" t="s">
        <v>69</v>
      </c>
      <c r="BH348">
        <v>-1.1439999999999999</v>
      </c>
      <c r="BI348">
        <v>-0.308</v>
      </c>
    </row>
    <row r="349" spans="3:61">
      <c r="C349">
        <v>0</v>
      </c>
      <c r="D349">
        <v>0</v>
      </c>
      <c r="E349">
        <v>2</v>
      </c>
      <c r="F349" t="s">
        <v>25021</v>
      </c>
      <c r="G349">
        <v>3346</v>
      </c>
      <c r="H349" t="s">
        <v>19552</v>
      </c>
      <c r="I349" t="s">
        <v>57</v>
      </c>
      <c r="J349">
        <v>3317502</v>
      </c>
      <c r="K349">
        <v>3317999</v>
      </c>
      <c r="L349" t="s">
        <v>13158</v>
      </c>
      <c r="M349">
        <v>166</v>
      </c>
      <c r="N349" t="s">
        <v>18451</v>
      </c>
      <c r="O349">
        <v>48</v>
      </c>
      <c r="P349" t="str">
        <f>HYPERLINK("Gene3346-zp_tree_all.dnd", "Gene3346-tree")</f>
        <v>Gene3346-tree</v>
      </c>
      <c r="Q349">
        <v>10</v>
      </c>
      <c r="R349">
        <v>2</v>
      </c>
      <c r="S349">
        <v>10</v>
      </c>
      <c r="T349">
        <v>2</v>
      </c>
      <c r="U349">
        <v>0.16667000000000001</v>
      </c>
      <c r="V349" t="s">
        <v>117</v>
      </c>
      <c r="W349" t="s">
        <v>81</v>
      </c>
      <c r="X349" t="s">
        <v>62</v>
      </c>
      <c r="Y349" t="s">
        <v>62</v>
      </c>
      <c r="Z349">
        <v>1</v>
      </c>
      <c r="AA349">
        <v>2</v>
      </c>
      <c r="AB349">
        <v>6</v>
      </c>
      <c r="AC349">
        <v>0.25</v>
      </c>
      <c r="AD349" s="47">
        <v>0</v>
      </c>
      <c r="AE349" s="47">
        <v>0</v>
      </c>
      <c r="AF349" s="47">
        <v>0</v>
      </c>
      <c r="AG349" s="47">
        <v>1</v>
      </c>
      <c r="AH349" s="47">
        <v>0</v>
      </c>
      <c r="AI349" s="47">
        <v>0</v>
      </c>
      <c r="AJ349" s="47">
        <v>2</v>
      </c>
      <c r="AK349" s="47">
        <v>2</v>
      </c>
      <c r="AL349">
        <v>2</v>
      </c>
      <c r="AM349">
        <v>0.5</v>
      </c>
      <c r="AN349">
        <v>8</v>
      </c>
      <c r="AO349">
        <v>6</v>
      </c>
      <c r="AP349">
        <v>15</v>
      </c>
      <c r="AQ349">
        <v>4</v>
      </c>
      <c r="AR349">
        <v>21</v>
      </c>
      <c r="AS349">
        <v>4</v>
      </c>
      <c r="AT349" t="s">
        <v>19553</v>
      </c>
      <c r="AU349" t="s">
        <v>19554</v>
      </c>
      <c r="AV349">
        <v>0.19</v>
      </c>
      <c r="AW349" t="s">
        <v>65</v>
      </c>
      <c r="AX349">
        <v>36</v>
      </c>
      <c r="AY349">
        <v>8</v>
      </c>
      <c r="AZ349" t="s">
        <v>19555</v>
      </c>
      <c r="BA349">
        <v>0.106</v>
      </c>
      <c r="BB349">
        <v>-9.2899999999999996E-3</v>
      </c>
      <c r="BC349">
        <v>6.3600000000000002E-3</v>
      </c>
      <c r="BD349">
        <v>-6.9999999999999999E-4</v>
      </c>
      <c r="BE349">
        <v>0.06</v>
      </c>
      <c r="BF349">
        <v>1</v>
      </c>
      <c r="BG349" t="s">
        <v>69</v>
      </c>
      <c r="BH349">
        <v>-1.7250000000000001</v>
      </c>
      <c r="BI349">
        <v>-1.129</v>
      </c>
    </row>
    <row r="350" spans="3:61">
      <c r="C350">
        <v>0</v>
      </c>
      <c r="D350">
        <v>2</v>
      </c>
      <c r="E350">
        <v>2</v>
      </c>
      <c r="F350" t="s">
        <v>25021</v>
      </c>
      <c r="G350">
        <v>282</v>
      </c>
      <c r="H350" t="s">
        <v>1924</v>
      </c>
      <c r="I350" t="s">
        <v>62</v>
      </c>
      <c r="J350">
        <v>303807</v>
      </c>
      <c r="K350">
        <v>304307</v>
      </c>
      <c r="L350" t="s">
        <v>1925</v>
      </c>
      <c r="M350">
        <v>167</v>
      </c>
      <c r="N350" t="s">
        <v>1557</v>
      </c>
      <c r="O350">
        <v>40</v>
      </c>
      <c r="P350" t="str">
        <f>HYPERLINK("Gene282-zp_tree_all.dnd", "Gene282-tree")</f>
        <v>Gene282-tree</v>
      </c>
      <c r="Q350">
        <v>5</v>
      </c>
      <c r="R350">
        <v>10</v>
      </c>
      <c r="S350">
        <v>5</v>
      </c>
      <c r="T350">
        <v>10</v>
      </c>
      <c r="U350">
        <v>0.66666999999999998</v>
      </c>
      <c r="V350" t="s">
        <v>199</v>
      </c>
      <c r="W350" t="s">
        <v>117</v>
      </c>
      <c r="X350" t="s">
        <v>62</v>
      </c>
      <c r="Y350" t="s">
        <v>62</v>
      </c>
      <c r="Z350">
        <v>2</v>
      </c>
      <c r="AA350">
        <v>4</v>
      </c>
      <c r="AB350">
        <v>13</v>
      </c>
      <c r="AC350">
        <v>0.23529</v>
      </c>
      <c r="AD350" s="47">
        <v>0</v>
      </c>
      <c r="AE350" s="47">
        <v>0</v>
      </c>
      <c r="AF350" s="47">
        <v>0</v>
      </c>
      <c r="AG350" s="47">
        <v>0</v>
      </c>
      <c r="AH350" s="47">
        <v>0</v>
      </c>
      <c r="AI350" s="47">
        <v>2</v>
      </c>
      <c r="AJ350" s="47">
        <v>0</v>
      </c>
      <c r="AK350" s="47">
        <v>2</v>
      </c>
      <c r="AL350">
        <v>11</v>
      </c>
      <c r="AM350">
        <v>0.15384999999999999</v>
      </c>
      <c r="AN350">
        <v>14</v>
      </c>
      <c r="AO350">
        <v>5</v>
      </c>
      <c r="AP350">
        <v>13</v>
      </c>
      <c r="AQ350">
        <v>13</v>
      </c>
      <c r="AR350">
        <v>4</v>
      </c>
      <c r="AS350">
        <v>4</v>
      </c>
      <c r="AT350" t="s">
        <v>1926</v>
      </c>
      <c r="AU350" t="s">
        <v>1927</v>
      </c>
      <c r="AV350">
        <v>1E-3</v>
      </c>
      <c r="AW350" t="s">
        <v>65</v>
      </c>
      <c r="AX350">
        <v>17</v>
      </c>
      <c r="AY350">
        <v>17</v>
      </c>
      <c r="AZ350" t="s">
        <v>1928</v>
      </c>
      <c r="BA350">
        <v>2.758E-2</v>
      </c>
      <c r="BB350">
        <v>-1.2600000000000001E-3</v>
      </c>
      <c r="BC350">
        <v>7.1900000000000002E-3</v>
      </c>
      <c r="BD350">
        <v>-3.8000000000000002E-4</v>
      </c>
      <c r="BE350">
        <v>0.26056000000000001</v>
      </c>
      <c r="BF350">
        <v>0.99</v>
      </c>
      <c r="BG350" t="s">
        <v>69</v>
      </c>
      <c r="BH350">
        <v>-1.2729999999999999</v>
      </c>
      <c r="BI350">
        <v>-2.7989999999999999</v>
      </c>
    </row>
    <row r="351" spans="3:61">
      <c r="C351">
        <v>0</v>
      </c>
      <c r="D351">
        <v>4</v>
      </c>
      <c r="E351">
        <v>0</v>
      </c>
      <c r="F351" t="s">
        <v>25021</v>
      </c>
      <c r="G351">
        <v>759</v>
      </c>
      <c r="H351" t="s">
        <v>4706</v>
      </c>
      <c r="I351" t="s">
        <v>62</v>
      </c>
      <c r="J351">
        <v>789655</v>
      </c>
      <c r="K351">
        <v>790155</v>
      </c>
      <c r="L351" t="s">
        <v>4707</v>
      </c>
      <c r="M351">
        <v>167</v>
      </c>
      <c r="N351" t="s">
        <v>4708</v>
      </c>
      <c r="O351">
        <v>27</v>
      </c>
      <c r="P351" t="str">
        <f>HYPERLINK("Gene759-zp_tree_all.dnd", "Gene759-tree")</f>
        <v>Gene759-tree</v>
      </c>
      <c r="Q351">
        <v>2</v>
      </c>
      <c r="R351">
        <v>5</v>
      </c>
      <c r="S351">
        <v>2</v>
      </c>
      <c r="T351">
        <v>5</v>
      </c>
      <c r="U351">
        <v>0.71428999999999998</v>
      </c>
      <c r="V351" t="s">
        <v>81</v>
      </c>
      <c r="W351" t="s">
        <v>199</v>
      </c>
      <c r="X351" t="s">
        <v>62</v>
      </c>
      <c r="Y351" t="s">
        <v>62</v>
      </c>
      <c r="Z351">
        <v>2</v>
      </c>
      <c r="AA351">
        <v>4</v>
      </c>
      <c r="AB351">
        <v>6</v>
      </c>
      <c r="AC351">
        <v>0.4</v>
      </c>
      <c r="AD351" s="47">
        <v>0</v>
      </c>
      <c r="AE351" s="47">
        <v>0</v>
      </c>
      <c r="AF351" s="47">
        <v>0</v>
      </c>
      <c r="AG351" s="47">
        <v>2</v>
      </c>
      <c r="AH351" s="47">
        <v>0</v>
      </c>
      <c r="AI351" s="47">
        <v>2</v>
      </c>
      <c r="AJ351" s="47">
        <v>0</v>
      </c>
      <c r="AK351" s="47">
        <v>2</v>
      </c>
      <c r="AL351">
        <v>5</v>
      </c>
      <c r="AM351">
        <v>0.28571000000000002</v>
      </c>
      <c r="AN351">
        <v>5</v>
      </c>
      <c r="AO351">
        <v>4</v>
      </c>
      <c r="AP351">
        <v>14</v>
      </c>
      <c r="AQ351">
        <v>7</v>
      </c>
      <c r="AR351">
        <v>10</v>
      </c>
      <c r="AS351">
        <v>3</v>
      </c>
      <c r="AT351" t="s">
        <v>4709</v>
      </c>
      <c r="AU351" t="s">
        <v>4710</v>
      </c>
      <c r="AV351">
        <v>0.57499999999999996</v>
      </c>
      <c r="AW351" t="s">
        <v>65</v>
      </c>
      <c r="AX351">
        <v>24</v>
      </c>
      <c r="AY351">
        <v>10</v>
      </c>
      <c r="AZ351" t="s">
        <v>4711</v>
      </c>
      <c r="BA351">
        <v>8.2049999999999998E-2</v>
      </c>
      <c r="BB351">
        <v>-9.0600000000000003E-3</v>
      </c>
      <c r="BC351">
        <v>8.3000000000000001E-3</v>
      </c>
      <c r="BD351">
        <v>-9.1E-4</v>
      </c>
      <c r="BE351">
        <v>0.10113</v>
      </c>
      <c r="BF351">
        <v>1</v>
      </c>
      <c r="BG351" t="s">
        <v>69</v>
      </c>
      <c r="BH351">
        <v>-0.85399999999999998</v>
      </c>
      <c r="BI351">
        <v>-0.16800000000000001</v>
      </c>
    </row>
    <row r="352" spans="3:61">
      <c r="C352">
        <v>0</v>
      </c>
      <c r="D352">
        <v>0</v>
      </c>
      <c r="E352">
        <v>0</v>
      </c>
      <c r="F352" t="s">
        <v>25021</v>
      </c>
      <c r="G352">
        <v>3041</v>
      </c>
      <c r="H352" t="s">
        <v>17591</v>
      </c>
      <c r="I352" t="s">
        <v>57</v>
      </c>
      <c r="J352">
        <v>2995094</v>
      </c>
      <c r="K352">
        <v>2995594</v>
      </c>
      <c r="L352" t="s">
        <v>17592</v>
      </c>
      <c r="M352">
        <v>167</v>
      </c>
      <c r="N352" t="s">
        <v>698</v>
      </c>
      <c r="O352">
        <v>47</v>
      </c>
      <c r="P352" t="str">
        <f>HYPERLINK("Gene3041-zp_tree_all.dnd", "Gene3041-tree")</f>
        <v>Gene3041-tree</v>
      </c>
      <c r="Q352">
        <v>15</v>
      </c>
      <c r="R352">
        <v>1</v>
      </c>
      <c r="S352">
        <v>15</v>
      </c>
      <c r="T352">
        <v>1</v>
      </c>
      <c r="U352">
        <v>6.25E-2</v>
      </c>
      <c r="V352" t="s">
        <v>100</v>
      </c>
      <c r="W352" t="s">
        <v>175</v>
      </c>
      <c r="X352" t="s">
        <v>62</v>
      </c>
      <c r="Y352" t="s">
        <v>62</v>
      </c>
      <c r="Z352">
        <v>0</v>
      </c>
      <c r="AA352">
        <v>0</v>
      </c>
      <c r="AB352">
        <v>3</v>
      </c>
      <c r="AC352">
        <v>0</v>
      </c>
      <c r="AD352" s="47">
        <v>0</v>
      </c>
      <c r="AE352" s="47">
        <v>0</v>
      </c>
      <c r="AF352" s="47">
        <v>0</v>
      </c>
      <c r="AG352" s="47">
        <v>0</v>
      </c>
      <c r="AH352" s="47">
        <v>0</v>
      </c>
      <c r="AI352" s="47">
        <v>0</v>
      </c>
      <c r="AJ352" s="47">
        <v>0</v>
      </c>
      <c r="AK352" s="47">
        <v>0</v>
      </c>
      <c r="AL352">
        <v>1</v>
      </c>
      <c r="AM352">
        <v>0</v>
      </c>
      <c r="AN352">
        <v>12</v>
      </c>
      <c r="AO352">
        <v>7</v>
      </c>
      <c r="AP352">
        <v>18</v>
      </c>
      <c r="AQ352">
        <v>0</v>
      </c>
      <c r="AR352">
        <v>25</v>
      </c>
      <c r="AS352">
        <v>3</v>
      </c>
      <c r="AT352" t="s">
        <v>193</v>
      </c>
      <c r="AU352" t="s">
        <v>17593</v>
      </c>
      <c r="AV352">
        <v>0.61399999999999999</v>
      </c>
      <c r="AW352" t="s">
        <v>65</v>
      </c>
      <c r="AX352">
        <v>43</v>
      </c>
      <c r="AY352">
        <v>3</v>
      </c>
      <c r="AZ352" t="s">
        <v>17594</v>
      </c>
      <c r="BA352">
        <v>0.10852000000000001</v>
      </c>
      <c r="BB352">
        <v>-1.008E-2</v>
      </c>
      <c r="BC352">
        <v>2.4399999999999999E-3</v>
      </c>
      <c r="BD352">
        <v>-2.1000000000000001E-4</v>
      </c>
      <c r="BE352">
        <v>2.247E-2</v>
      </c>
      <c r="BF352">
        <v>1</v>
      </c>
      <c r="BG352" t="s">
        <v>69</v>
      </c>
      <c r="BH352">
        <v>-1.401</v>
      </c>
      <c r="BI352">
        <v>0.53600000000000003</v>
      </c>
    </row>
    <row r="353" spans="3:61">
      <c r="C353">
        <v>0</v>
      </c>
      <c r="D353">
        <v>24</v>
      </c>
      <c r="E353">
        <v>1</v>
      </c>
      <c r="F353" t="s">
        <v>25021</v>
      </c>
      <c r="G353">
        <v>1246</v>
      </c>
      <c r="H353" t="s">
        <v>7809</v>
      </c>
      <c r="I353" t="s">
        <v>62</v>
      </c>
      <c r="J353">
        <v>1276340</v>
      </c>
      <c r="K353">
        <v>1276843</v>
      </c>
      <c r="L353" t="s">
        <v>3537</v>
      </c>
      <c r="M353">
        <v>168</v>
      </c>
      <c r="N353" t="s">
        <v>108</v>
      </c>
      <c r="O353">
        <v>44</v>
      </c>
      <c r="P353" t="str">
        <f>HYPERLINK("Gene1246-zp_tree_all.dnd", "Gene1246-tree")</f>
        <v>Gene1246-tree</v>
      </c>
      <c r="Q353">
        <v>0</v>
      </c>
      <c r="R353">
        <v>12</v>
      </c>
      <c r="S353">
        <v>0</v>
      </c>
      <c r="T353">
        <v>12</v>
      </c>
      <c r="U353">
        <v>1</v>
      </c>
      <c r="V353" t="s">
        <v>62</v>
      </c>
      <c r="W353" t="s">
        <v>109</v>
      </c>
      <c r="X353" t="s">
        <v>62</v>
      </c>
      <c r="Y353" t="s">
        <v>62</v>
      </c>
      <c r="Z353">
        <v>9</v>
      </c>
      <c r="AA353">
        <v>25</v>
      </c>
      <c r="AB353">
        <v>10</v>
      </c>
      <c r="AC353">
        <v>0.71428999999999998</v>
      </c>
      <c r="AD353" s="47">
        <v>0</v>
      </c>
      <c r="AE353" s="47">
        <v>0</v>
      </c>
      <c r="AF353" s="47">
        <v>0</v>
      </c>
      <c r="AG353" s="47">
        <v>0</v>
      </c>
      <c r="AH353" s="47">
        <v>0</v>
      </c>
      <c r="AI353" s="47">
        <v>12</v>
      </c>
      <c r="AJ353" s="47">
        <v>2</v>
      </c>
      <c r="AK353" s="47">
        <v>14</v>
      </c>
      <c r="AL353">
        <v>12</v>
      </c>
      <c r="AM353">
        <v>0.53846000000000005</v>
      </c>
      <c r="AN353">
        <v>9</v>
      </c>
      <c r="AO353">
        <v>8</v>
      </c>
      <c r="AP353">
        <v>24</v>
      </c>
      <c r="AQ353">
        <v>23</v>
      </c>
      <c r="AR353">
        <v>4</v>
      </c>
      <c r="AS353">
        <v>17</v>
      </c>
      <c r="AT353" t="s">
        <v>7810</v>
      </c>
      <c r="AU353" t="s">
        <v>7811</v>
      </c>
      <c r="AV353">
        <v>1.431</v>
      </c>
      <c r="AW353" t="s">
        <v>65</v>
      </c>
      <c r="AX353">
        <v>28</v>
      </c>
      <c r="AY353">
        <v>40</v>
      </c>
      <c r="AZ353" t="s">
        <v>7812</v>
      </c>
      <c r="BA353">
        <v>4.7660000000000001E-2</v>
      </c>
      <c r="BB353">
        <v>-3.7699999999999999E-3</v>
      </c>
      <c r="BC353">
        <v>1.7000000000000001E-2</v>
      </c>
      <c r="BD353">
        <v>-7.6999999999999996E-4</v>
      </c>
      <c r="BE353">
        <v>0.35669000000000001</v>
      </c>
      <c r="BF353">
        <v>0.99</v>
      </c>
      <c r="BG353" t="s">
        <v>69</v>
      </c>
      <c r="BH353">
        <v>-0.26800000000000002</v>
      </c>
      <c r="BI353">
        <v>-0.72</v>
      </c>
    </row>
    <row r="354" spans="3:61">
      <c r="C354">
        <v>0</v>
      </c>
      <c r="D354">
        <v>0</v>
      </c>
      <c r="E354">
        <v>0</v>
      </c>
      <c r="F354" t="s">
        <v>25021</v>
      </c>
      <c r="G354">
        <v>2206</v>
      </c>
      <c r="H354" t="s">
        <v>13000</v>
      </c>
      <c r="I354" t="s">
        <v>57</v>
      </c>
      <c r="J354">
        <v>2239083</v>
      </c>
      <c r="K354">
        <v>2239586</v>
      </c>
      <c r="L354" t="s">
        <v>12900</v>
      </c>
      <c r="M354">
        <v>168</v>
      </c>
      <c r="N354" t="s">
        <v>12873</v>
      </c>
      <c r="O354">
        <v>18</v>
      </c>
      <c r="P354" t="str">
        <f>HYPERLINK("Gene2206-zp_tree_all.dnd", "Gene2206-tree")</f>
        <v>Gene2206-tree</v>
      </c>
      <c r="Q354">
        <v>3</v>
      </c>
      <c r="R354">
        <v>2</v>
      </c>
      <c r="S354">
        <v>3</v>
      </c>
      <c r="T354">
        <v>2</v>
      </c>
      <c r="U354">
        <v>0.4</v>
      </c>
      <c r="V354" t="s">
        <v>324</v>
      </c>
      <c r="W354" t="s">
        <v>81</v>
      </c>
      <c r="X354" t="s">
        <v>62</v>
      </c>
      <c r="Y354" t="s">
        <v>62</v>
      </c>
      <c r="Z354">
        <v>0</v>
      </c>
      <c r="AA354">
        <v>0</v>
      </c>
      <c r="AB354">
        <v>6</v>
      </c>
      <c r="AC354">
        <v>0</v>
      </c>
      <c r="AD354" s="47">
        <v>0</v>
      </c>
      <c r="AE354" s="47">
        <v>0</v>
      </c>
      <c r="AF354" s="47">
        <v>0</v>
      </c>
      <c r="AG354" s="47">
        <v>0</v>
      </c>
      <c r="AH354" s="47">
        <v>0</v>
      </c>
      <c r="AI354" s="47">
        <v>0</v>
      </c>
      <c r="AJ354" s="47">
        <v>0</v>
      </c>
      <c r="AK354" s="47">
        <v>0</v>
      </c>
      <c r="AL354">
        <v>4</v>
      </c>
      <c r="AM354">
        <v>0</v>
      </c>
      <c r="AN354">
        <v>4</v>
      </c>
      <c r="AO354">
        <v>1</v>
      </c>
      <c r="AP354">
        <v>11</v>
      </c>
      <c r="AQ354">
        <v>5</v>
      </c>
      <c r="AR354">
        <v>2</v>
      </c>
      <c r="AS354">
        <v>2</v>
      </c>
      <c r="AT354" t="s">
        <v>13001</v>
      </c>
      <c r="AU354" t="s">
        <v>13002</v>
      </c>
      <c r="AV354">
        <v>1.02</v>
      </c>
      <c r="AW354" t="s">
        <v>65</v>
      </c>
      <c r="AX354">
        <v>13</v>
      </c>
      <c r="AY354">
        <v>7</v>
      </c>
      <c r="AZ354" t="s">
        <v>13003</v>
      </c>
      <c r="BA354">
        <v>5.3420000000000002E-2</v>
      </c>
      <c r="BB354">
        <v>-1.021E-2</v>
      </c>
      <c r="BC354">
        <v>8.1899999999999994E-3</v>
      </c>
      <c r="BD354">
        <v>-1.8799999999999999E-3</v>
      </c>
      <c r="BE354">
        <v>0.15331</v>
      </c>
      <c r="BF354">
        <v>1</v>
      </c>
      <c r="BG354" t="s">
        <v>69</v>
      </c>
      <c r="BH354">
        <v>-2.1459999999999999</v>
      </c>
      <c r="BI354">
        <v>-2.5139999999999998</v>
      </c>
    </row>
    <row r="355" spans="3:61">
      <c r="C355">
        <v>0</v>
      </c>
      <c r="D355">
        <v>0</v>
      </c>
      <c r="E355">
        <v>4</v>
      </c>
      <c r="F355" t="s">
        <v>25021</v>
      </c>
      <c r="G355">
        <v>1121</v>
      </c>
      <c r="H355" t="s">
        <v>7045</v>
      </c>
      <c r="I355" t="s">
        <v>62</v>
      </c>
      <c r="J355">
        <v>1165452</v>
      </c>
      <c r="K355">
        <v>1165958</v>
      </c>
      <c r="L355" t="s">
        <v>7046</v>
      </c>
      <c r="M355">
        <v>169</v>
      </c>
      <c r="N355" t="s">
        <v>108</v>
      </c>
      <c r="O355">
        <v>44</v>
      </c>
      <c r="P355" t="str">
        <f>HYPERLINK("Gene1121-zp_tree_all.dnd", "Gene1121-tree")</f>
        <v>Gene1121-tree</v>
      </c>
      <c r="Q355">
        <v>7</v>
      </c>
      <c r="R355">
        <v>6</v>
      </c>
      <c r="S355">
        <v>7</v>
      </c>
      <c r="T355">
        <v>6</v>
      </c>
      <c r="U355">
        <v>0.46154000000000001</v>
      </c>
      <c r="V355" t="s">
        <v>152</v>
      </c>
      <c r="W355" t="s">
        <v>90</v>
      </c>
      <c r="X355" t="s">
        <v>62</v>
      </c>
      <c r="Y355" t="s">
        <v>62</v>
      </c>
      <c r="Z355">
        <v>2</v>
      </c>
      <c r="AA355">
        <v>4</v>
      </c>
      <c r="AB355">
        <v>10</v>
      </c>
      <c r="AC355">
        <v>0.28571000000000002</v>
      </c>
      <c r="AD355" s="47">
        <v>0</v>
      </c>
      <c r="AE355" s="47">
        <v>0</v>
      </c>
      <c r="AF355" s="47">
        <v>0</v>
      </c>
      <c r="AG355" s="47">
        <v>1</v>
      </c>
      <c r="AH355" s="47">
        <v>0</v>
      </c>
      <c r="AI355" s="47">
        <v>0</v>
      </c>
      <c r="AJ355" s="47">
        <v>2</v>
      </c>
      <c r="AK355" s="47">
        <v>2</v>
      </c>
      <c r="AL355">
        <v>9</v>
      </c>
      <c r="AM355">
        <v>0.18182000000000001</v>
      </c>
      <c r="AN355">
        <v>10</v>
      </c>
      <c r="AO355">
        <v>5</v>
      </c>
      <c r="AP355">
        <v>11</v>
      </c>
      <c r="AQ355">
        <v>11</v>
      </c>
      <c r="AR355">
        <v>5</v>
      </c>
      <c r="AS355">
        <v>3</v>
      </c>
      <c r="AT355" t="s">
        <v>7047</v>
      </c>
      <c r="AU355" t="s">
        <v>7048</v>
      </c>
      <c r="AV355">
        <v>0.54500000000000004</v>
      </c>
      <c r="AW355" t="s">
        <v>65</v>
      </c>
      <c r="AX355">
        <v>16</v>
      </c>
      <c r="AY355">
        <v>14</v>
      </c>
      <c r="AZ355" t="s">
        <v>7049</v>
      </c>
      <c r="BA355">
        <v>2.7189999999999999E-2</v>
      </c>
      <c r="BB355">
        <v>-1.5E-3</v>
      </c>
      <c r="BC355">
        <v>6.7299999999999999E-3</v>
      </c>
      <c r="BD355">
        <v>-5.5000000000000003E-4</v>
      </c>
      <c r="BE355">
        <v>0.24745</v>
      </c>
      <c r="BF355">
        <v>1</v>
      </c>
      <c r="BG355" t="s">
        <v>69</v>
      </c>
      <c r="BH355">
        <v>-0.85399999999999998</v>
      </c>
      <c r="BI355">
        <v>-2.1179999999999999</v>
      </c>
    </row>
    <row r="356" spans="3:61">
      <c r="C356">
        <v>0</v>
      </c>
      <c r="D356">
        <v>0</v>
      </c>
      <c r="E356">
        <v>0</v>
      </c>
      <c r="F356" t="s">
        <v>25021</v>
      </c>
      <c r="G356">
        <v>3635</v>
      </c>
      <c r="H356" t="s">
        <v>21346</v>
      </c>
      <c r="I356" t="s">
        <v>57</v>
      </c>
      <c r="J356">
        <v>3604993</v>
      </c>
      <c r="K356">
        <v>3605499</v>
      </c>
      <c r="L356" t="s">
        <v>21347</v>
      </c>
      <c r="M356">
        <v>169</v>
      </c>
      <c r="N356" t="s">
        <v>21340</v>
      </c>
      <c r="O356">
        <v>26</v>
      </c>
      <c r="P356" t="str">
        <f>HYPERLINK("Gene3635-zp_tree_all.dnd", "Gene3635-tree")</f>
        <v>Gene3635-tree</v>
      </c>
      <c r="Q356">
        <v>23</v>
      </c>
      <c r="R356">
        <v>1</v>
      </c>
      <c r="S356">
        <v>4</v>
      </c>
      <c r="T356">
        <v>1</v>
      </c>
      <c r="U356">
        <v>0.2</v>
      </c>
      <c r="V356" t="s">
        <v>690</v>
      </c>
      <c r="W356" t="s">
        <v>175</v>
      </c>
      <c r="X356" t="s">
        <v>62</v>
      </c>
      <c r="Y356" t="s">
        <v>62</v>
      </c>
      <c r="Z356">
        <v>0</v>
      </c>
      <c r="AA356">
        <v>0</v>
      </c>
      <c r="AB356">
        <v>3</v>
      </c>
      <c r="AC356">
        <v>0</v>
      </c>
      <c r="AD356" s="47">
        <v>0</v>
      </c>
      <c r="AE356" s="47">
        <v>0</v>
      </c>
      <c r="AF356" s="47">
        <v>0</v>
      </c>
      <c r="AG356" s="47">
        <v>2</v>
      </c>
      <c r="AH356" s="47">
        <v>0</v>
      </c>
      <c r="AI356" s="47">
        <v>0</v>
      </c>
      <c r="AJ356" s="47">
        <v>0</v>
      </c>
      <c r="AK356" s="47">
        <v>0</v>
      </c>
      <c r="AL356">
        <v>1</v>
      </c>
      <c r="AM356">
        <v>0</v>
      </c>
      <c r="AN356">
        <v>3</v>
      </c>
      <c r="AO356">
        <v>1</v>
      </c>
      <c r="AP356">
        <v>5</v>
      </c>
      <c r="AQ356">
        <v>1</v>
      </c>
      <c r="AR356">
        <v>10</v>
      </c>
      <c r="AS356">
        <v>3</v>
      </c>
      <c r="AT356" t="s">
        <v>21348</v>
      </c>
      <c r="AU356" t="s">
        <v>21349</v>
      </c>
      <c r="AV356">
        <v>0.249</v>
      </c>
      <c r="AW356" t="s">
        <v>65</v>
      </c>
      <c r="AX356">
        <v>15</v>
      </c>
      <c r="AY356">
        <v>4</v>
      </c>
      <c r="AZ356" t="s">
        <v>21350</v>
      </c>
      <c r="BA356">
        <v>8.1100000000000005E-2</v>
      </c>
      <c r="BB356">
        <v>-1.806E-2</v>
      </c>
      <c r="BC356">
        <v>5.4900000000000001E-3</v>
      </c>
      <c r="BD356">
        <v>-1.0200000000000001E-3</v>
      </c>
      <c r="BE356">
        <v>6.769E-2</v>
      </c>
      <c r="BF356">
        <v>1</v>
      </c>
      <c r="BG356" t="s">
        <v>69</v>
      </c>
      <c r="BH356">
        <v>-0.29599999999999999</v>
      </c>
      <c r="BI356">
        <v>1.5840000000000001</v>
      </c>
    </row>
    <row r="357" spans="3:61">
      <c r="C357">
        <v>0</v>
      </c>
      <c r="D357">
        <v>0</v>
      </c>
      <c r="E357">
        <v>0</v>
      </c>
      <c r="F357" t="s">
        <v>25021</v>
      </c>
      <c r="G357">
        <v>2814</v>
      </c>
      <c r="H357" t="s">
        <v>16142</v>
      </c>
      <c r="I357" t="s">
        <v>57</v>
      </c>
      <c r="J357">
        <v>2757492</v>
      </c>
      <c r="K357">
        <v>2757998</v>
      </c>
      <c r="L357" t="s">
        <v>16143</v>
      </c>
      <c r="M357">
        <v>169</v>
      </c>
      <c r="N357" t="s">
        <v>160</v>
      </c>
      <c r="O357">
        <v>45</v>
      </c>
      <c r="P357" t="str">
        <f>HYPERLINK("Gene2814-zp_tree_all.dnd", "Gene2814-tree")</f>
        <v>Gene2814-tree</v>
      </c>
      <c r="Q357">
        <v>11</v>
      </c>
      <c r="R357">
        <v>2</v>
      </c>
      <c r="S357">
        <v>11</v>
      </c>
      <c r="T357">
        <v>2</v>
      </c>
      <c r="U357">
        <v>0.15384999999999999</v>
      </c>
      <c r="V357" t="s">
        <v>73</v>
      </c>
      <c r="W357" t="s">
        <v>81</v>
      </c>
      <c r="X357" t="s">
        <v>62</v>
      </c>
      <c r="Y357" t="s">
        <v>62</v>
      </c>
      <c r="Z357">
        <v>0</v>
      </c>
      <c r="AA357">
        <v>0</v>
      </c>
      <c r="AB357">
        <v>4</v>
      </c>
      <c r="AC357">
        <v>0</v>
      </c>
      <c r="AD357" s="47">
        <v>0</v>
      </c>
      <c r="AE357" s="47">
        <v>0</v>
      </c>
      <c r="AF357" s="47">
        <v>0</v>
      </c>
      <c r="AG357" s="47">
        <v>0</v>
      </c>
      <c r="AH357" s="47">
        <v>0</v>
      </c>
      <c r="AI357" s="47">
        <v>0</v>
      </c>
      <c r="AJ357" s="47">
        <v>0</v>
      </c>
      <c r="AK357" s="47">
        <v>0</v>
      </c>
      <c r="AL357">
        <v>4</v>
      </c>
      <c r="AM357">
        <v>0</v>
      </c>
      <c r="AN357">
        <v>6</v>
      </c>
      <c r="AO357">
        <v>7</v>
      </c>
      <c r="AP357">
        <v>26</v>
      </c>
      <c r="AQ357">
        <v>4</v>
      </c>
      <c r="AR357">
        <v>10</v>
      </c>
      <c r="AS357">
        <v>0</v>
      </c>
      <c r="AT357" t="s">
        <v>16144</v>
      </c>
      <c r="AU357" t="s">
        <v>193</v>
      </c>
      <c r="AV357">
        <v>0.44</v>
      </c>
      <c r="AW357" t="s">
        <v>65</v>
      </c>
      <c r="AX357">
        <v>36</v>
      </c>
      <c r="AY357">
        <v>4</v>
      </c>
      <c r="AZ357" t="s">
        <v>16145</v>
      </c>
      <c r="BA357">
        <v>7.2999999999999995E-2</v>
      </c>
      <c r="BB357">
        <v>-8.3899999999999999E-3</v>
      </c>
      <c r="BC357">
        <v>1.57E-3</v>
      </c>
      <c r="BD357">
        <v>-3.2000000000000003E-4</v>
      </c>
      <c r="BE357">
        <v>2.154E-2</v>
      </c>
      <c r="BF357">
        <v>1</v>
      </c>
      <c r="BG357" t="s">
        <v>69</v>
      </c>
      <c r="BH357">
        <v>-1.573</v>
      </c>
      <c r="BI357">
        <v>-3.585</v>
      </c>
    </row>
    <row r="358" spans="3:61">
      <c r="C358">
        <v>0</v>
      </c>
      <c r="D358">
        <v>0</v>
      </c>
      <c r="E358">
        <v>0</v>
      </c>
      <c r="F358" t="s">
        <v>25021</v>
      </c>
      <c r="G358">
        <v>3982</v>
      </c>
      <c r="H358" t="s">
        <v>23407</v>
      </c>
      <c r="I358" t="s">
        <v>57</v>
      </c>
      <c r="J358">
        <v>3946394</v>
      </c>
      <c r="K358">
        <v>3946906</v>
      </c>
      <c r="L358" t="s">
        <v>23408</v>
      </c>
      <c r="M358">
        <v>171</v>
      </c>
      <c r="N358" t="s">
        <v>108</v>
      </c>
      <c r="O358">
        <v>44</v>
      </c>
      <c r="P358" t="str">
        <f>HYPERLINK("Gene3982-zp_tree_all.dnd", "Gene3982-tree")</f>
        <v>Gene3982-tree</v>
      </c>
      <c r="Q358">
        <v>8</v>
      </c>
      <c r="R358">
        <v>22</v>
      </c>
      <c r="S358">
        <v>8</v>
      </c>
      <c r="T358">
        <v>5</v>
      </c>
      <c r="U358">
        <v>0.38462000000000002</v>
      </c>
      <c r="V358" t="s">
        <v>136</v>
      </c>
      <c r="W358" t="s">
        <v>1682</v>
      </c>
      <c r="X358">
        <v>4.3490000000000002</v>
      </c>
      <c r="Y358" t="s">
        <v>65</v>
      </c>
      <c r="Z358">
        <v>0</v>
      </c>
      <c r="AA358">
        <v>0</v>
      </c>
      <c r="AB358">
        <v>6</v>
      </c>
      <c r="AC358">
        <v>0</v>
      </c>
      <c r="AD358" s="47">
        <v>0</v>
      </c>
      <c r="AE358" s="47">
        <v>0</v>
      </c>
      <c r="AF358" s="47">
        <v>0</v>
      </c>
      <c r="AG358" s="47">
        <v>1</v>
      </c>
      <c r="AH358" s="47">
        <v>0</v>
      </c>
      <c r="AI358" s="47">
        <v>0</v>
      </c>
      <c r="AJ358" s="47">
        <v>0</v>
      </c>
      <c r="AK358" s="47">
        <v>0</v>
      </c>
      <c r="AL358">
        <v>5</v>
      </c>
      <c r="AM358">
        <v>0</v>
      </c>
      <c r="AN358">
        <v>9</v>
      </c>
      <c r="AO358">
        <v>5</v>
      </c>
      <c r="AP358">
        <v>13</v>
      </c>
      <c r="AQ358">
        <v>5</v>
      </c>
      <c r="AR358">
        <v>4</v>
      </c>
      <c r="AS358">
        <v>1</v>
      </c>
      <c r="AT358" t="s">
        <v>23409</v>
      </c>
      <c r="AU358" t="s">
        <v>23410</v>
      </c>
      <c r="AV358">
        <v>0.25800000000000001</v>
      </c>
      <c r="AW358" t="s">
        <v>65</v>
      </c>
      <c r="AX358">
        <v>17</v>
      </c>
      <c r="AY358">
        <v>6</v>
      </c>
      <c r="AZ358" t="s">
        <v>23411</v>
      </c>
      <c r="BA358">
        <v>2.5090000000000001E-2</v>
      </c>
      <c r="BB358">
        <v>-1.5E-3</v>
      </c>
      <c r="BC358">
        <v>3.3300000000000001E-3</v>
      </c>
      <c r="BD358">
        <v>-2.4000000000000001E-4</v>
      </c>
      <c r="BE358">
        <v>0.13274</v>
      </c>
      <c r="BF358">
        <v>1</v>
      </c>
      <c r="BG358" t="s">
        <v>69</v>
      </c>
      <c r="BH358">
        <v>-1.002</v>
      </c>
      <c r="BI358">
        <v>-2.0739999999999998</v>
      </c>
    </row>
    <row r="359" spans="3:61">
      <c r="C359">
        <v>0</v>
      </c>
      <c r="D359">
        <v>2</v>
      </c>
      <c r="E359">
        <v>3</v>
      </c>
      <c r="F359" t="s">
        <v>25021</v>
      </c>
      <c r="G359">
        <v>3168</v>
      </c>
      <c r="H359" t="s">
        <v>18419</v>
      </c>
      <c r="I359" t="s">
        <v>57</v>
      </c>
      <c r="J359">
        <v>3123490</v>
      </c>
      <c r="K359">
        <v>3124002</v>
      </c>
      <c r="L359" t="s">
        <v>18420</v>
      </c>
      <c r="M359">
        <v>171</v>
      </c>
      <c r="N359" t="s">
        <v>3274</v>
      </c>
      <c r="O359">
        <v>46</v>
      </c>
      <c r="P359" t="str">
        <f>HYPERLINK("Gene3168-zp_tree_all.dnd", "Gene3168-tree")</f>
        <v>Gene3168-tree</v>
      </c>
      <c r="Q359">
        <v>12</v>
      </c>
      <c r="R359">
        <v>3</v>
      </c>
      <c r="S359">
        <v>12</v>
      </c>
      <c r="T359">
        <v>3</v>
      </c>
      <c r="U359">
        <v>0.2</v>
      </c>
      <c r="V359" t="s">
        <v>109</v>
      </c>
      <c r="W359" t="s">
        <v>324</v>
      </c>
      <c r="X359" t="s">
        <v>62</v>
      </c>
      <c r="Y359" t="s">
        <v>62</v>
      </c>
      <c r="Z359">
        <v>2</v>
      </c>
      <c r="AA359">
        <v>5</v>
      </c>
      <c r="AB359">
        <v>8</v>
      </c>
      <c r="AC359">
        <v>0.38462000000000002</v>
      </c>
      <c r="AD359" s="47">
        <v>0</v>
      </c>
      <c r="AE359" s="47">
        <v>0</v>
      </c>
      <c r="AF359" s="47">
        <v>0</v>
      </c>
      <c r="AG359" s="47">
        <v>1</v>
      </c>
      <c r="AH359" s="47">
        <v>0</v>
      </c>
      <c r="AI359" s="47">
        <v>0</v>
      </c>
      <c r="AJ359" s="47">
        <v>2</v>
      </c>
      <c r="AK359" s="47">
        <v>2</v>
      </c>
      <c r="AL359">
        <v>3</v>
      </c>
      <c r="AM359">
        <v>0.4</v>
      </c>
      <c r="AN359">
        <v>12</v>
      </c>
      <c r="AO359">
        <v>8</v>
      </c>
      <c r="AP359">
        <v>22</v>
      </c>
      <c r="AQ359">
        <v>6</v>
      </c>
      <c r="AR359">
        <v>22</v>
      </c>
      <c r="AS359">
        <v>8</v>
      </c>
      <c r="AT359" t="s">
        <v>18421</v>
      </c>
      <c r="AU359" t="s">
        <v>18422</v>
      </c>
      <c r="AV359">
        <v>8.2000000000000003E-2</v>
      </c>
      <c r="AW359" t="s">
        <v>65</v>
      </c>
      <c r="AX359">
        <v>44</v>
      </c>
      <c r="AY359">
        <v>14</v>
      </c>
      <c r="AZ359" t="s">
        <v>18423</v>
      </c>
      <c r="BA359">
        <v>7.3620000000000005E-2</v>
      </c>
      <c r="BB359">
        <v>-6.3800000000000003E-3</v>
      </c>
      <c r="BC359">
        <v>7.1300000000000001E-3</v>
      </c>
      <c r="BD359">
        <v>-6.9999999999999999E-4</v>
      </c>
      <c r="BE359">
        <v>9.6799999999999997E-2</v>
      </c>
      <c r="BF359">
        <v>1</v>
      </c>
      <c r="BG359" t="s">
        <v>69</v>
      </c>
      <c r="BH359">
        <v>-1.546</v>
      </c>
      <c r="BI359">
        <v>-0.76600000000000001</v>
      </c>
    </row>
    <row r="360" spans="3:61">
      <c r="C360">
        <v>0</v>
      </c>
      <c r="D360">
        <v>0</v>
      </c>
      <c r="E360">
        <v>2</v>
      </c>
      <c r="F360" t="s">
        <v>25021</v>
      </c>
      <c r="G360">
        <v>1225</v>
      </c>
      <c r="H360" t="s">
        <v>7697</v>
      </c>
      <c r="I360" t="s">
        <v>62</v>
      </c>
      <c r="J360">
        <v>1256865</v>
      </c>
      <c r="K360">
        <v>1257377</v>
      </c>
      <c r="L360" t="s">
        <v>7698</v>
      </c>
      <c r="M360">
        <v>171</v>
      </c>
      <c r="N360" t="s">
        <v>108</v>
      </c>
      <c r="O360">
        <v>44</v>
      </c>
      <c r="P360" t="str">
        <f>HYPERLINK("Gene1225-zp_tree_all.dnd", "Gene1225-tree")</f>
        <v>Gene1225-tree</v>
      </c>
      <c r="Q360">
        <v>9</v>
      </c>
      <c r="R360">
        <v>4</v>
      </c>
      <c r="S360">
        <v>9</v>
      </c>
      <c r="T360">
        <v>4</v>
      </c>
      <c r="U360">
        <v>0.30769000000000002</v>
      </c>
      <c r="V360" t="s">
        <v>135</v>
      </c>
      <c r="W360" t="s">
        <v>61</v>
      </c>
      <c r="X360" t="s">
        <v>62</v>
      </c>
      <c r="Y360" t="s">
        <v>62</v>
      </c>
      <c r="Z360">
        <v>1</v>
      </c>
      <c r="AA360">
        <v>2</v>
      </c>
      <c r="AB360">
        <v>3</v>
      </c>
      <c r="AC360">
        <v>0.4</v>
      </c>
      <c r="AD360" s="47">
        <v>0</v>
      </c>
      <c r="AE360" s="47">
        <v>0</v>
      </c>
      <c r="AF360" s="47">
        <v>0</v>
      </c>
      <c r="AG360" s="47">
        <v>0</v>
      </c>
      <c r="AH360" s="47">
        <v>0</v>
      </c>
      <c r="AI360" s="47">
        <v>0</v>
      </c>
      <c r="AJ360" s="47">
        <v>0</v>
      </c>
      <c r="AK360" s="47">
        <v>0</v>
      </c>
      <c r="AL360">
        <v>3</v>
      </c>
      <c r="AM360">
        <v>0</v>
      </c>
      <c r="AN360">
        <v>10</v>
      </c>
      <c r="AO360">
        <v>7</v>
      </c>
      <c r="AP360">
        <v>19</v>
      </c>
      <c r="AQ360">
        <v>3</v>
      </c>
      <c r="AR360">
        <v>12</v>
      </c>
      <c r="AS360">
        <v>2</v>
      </c>
      <c r="AT360" t="s">
        <v>7699</v>
      </c>
      <c r="AU360" t="s">
        <v>7700</v>
      </c>
      <c r="AV360">
        <v>4.2999999999999997E-2</v>
      </c>
      <c r="AW360" t="s">
        <v>65</v>
      </c>
      <c r="AX360">
        <v>31</v>
      </c>
      <c r="AY360">
        <v>5</v>
      </c>
      <c r="AZ360" t="s">
        <v>7701</v>
      </c>
      <c r="BA360">
        <v>5.3159999999999999E-2</v>
      </c>
      <c r="BB360">
        <v>-4.0099999999999997E-3</v>
      </c>
      <c r="BC360">
        <v>2.2100000000000002E-3</v>
      </c>
      <c r="BD360">
        <v>-2.7E-4</v>
      </c>
      <c r="BE360">
        <v>4.1640000000000003E-2</v>
      </c>
      <c r="BF360">
        <v>1</v>
      </c>
      <c r="BG360" t="s">
        <v>69</v>
      </c>
      <c r="BH360">
        <v>-0.94399999999999995</v>
      </c>
      <c r="BI360">
        <v>-2.0089999999999999</v>
      </c>
    </row>
    <row r="361" spans="3:61">
      <c r="C361">
        <v>0</v>
      </c>
      <c r="D361">
        <v>9</v>
      </c>
      <c r="E361">
        <v>2</v>
      </c>
      <c r="F361" t="s">
        <v>25021</v>
      </c>
      <c r="G361">
        <v>581</v>
      </c>
      <c r="H361" t="s">
        <v>3737</v>
      </c>
      <c r="I361" t="s">
        <v>62</v>
      </c>
      <c r="J361">
        <v>608249</v>
      </c>
      <c r="K361">
        <v>608764</v>
      </c>
      <c r="L361" t="s">
        <v>3738</v>
      </c>
      <c r="M361">
        <v>172</v>
      </c>
      <c r="N361" t="s">
        <v>108</v>
      </c>
      <c r="O361">
        <v>44</v>
      </c>
      <c r="P361" t="str">
        <f>HYPERLINK("Gene581-zp_tree_all.dnd", "Gene581-tree")</f>
        <v>Gene581-tree</v>
      </c>
      <c r="Q361">
        <v>3</v>
      </c>
      <c r="R361">
        <v>11</v>
      </c>
      <c r="S361">
        <v>3</v>
      </c>
      <c r="T361">
        <v>11</v>
      </c>
      <c r="U361">
        <v>0.78571000000000002</v>
      </c>
      <c r="V361" t="s">
        <v>324</v>
      </c>
      <c r="W361" t="s">
        <v>73</v>
      </c>
      <c r="X361">
        <v>305230034.74400002</v>
      </c>
      <c r="Y361" t="s">
        <v>267</v>
      </c>
      <c r="Z361">
        <v>3</v>
      </c>
      <c r="AA361">
        <v>11</v>
      </c>
      <c r="AB361">
        <v>16</v>
      </c>
      <c r="AC361">
        <v>0.40740999999999999</v>
      </c>
      <c r="AD361" s="47">
        <v>0</v>
      </c>
      <c r="AE361" s="47">
        <v>0</v>
      </c>
      <c r="AF361" s="47">
        <v>0</v>
      </c>
      <c r="AG361" s="47">
        <v>0</v>
      </c>
      <c r="AH361" s="47">
        <v>0</v>
      </c>
      <c r="AI361" s="47">
        <v>6</v>
      </c>
      <c r="AJ361" s="47">
        <v>2</v>
      </c>
      <c r="AK361" s="47">
        <v>8</v>
      </c>
      <c r="AL361">
        <v>11</v>
      </c>
      <c r="AM361">
        <v>0.42104999999999998</v>
      </c>
      <c r="AN361">
        <v>11</v>
      </c>
      <c r="AO361">
        <v>8</v>
      </c>
      <c r="AP361">
        <v>11</v>
      </c>
      <c r="AQ361">
        <v>19</v>
      </c>
      <c r="AR361">
        <v>9</v>
      </c>
      <c r="AS361">
        <v>8</v>
      </c>
      <c r="AT361" t="s">
        <v>3739</v>
      </c>
      <c r="AU361" t="s">
        <v>3740</v>
      </c>
      <c r="AV361">
        <v>0.373</v>
      </c>
      <c r="AW361" t="s">
        <v>65</v>
      </c>
      <c r="AX361">
        <v>20</v>
      </c>
      <c r="AY361">
        <v>27</v>
      </c>
      <c r="AZ361" t="s">
        <v>3741</v>
      </c>
      <c r="BA361">
        <v>4.0849999999999997E-2</v>
      </c>
      <c r="BB361">
        <v>-2.4099999999999998E-3</v>
      </c>
      <c r="BC361">
        <v>1.234E-2</v>
      </c>
      <c r="BD361">
        <v>-8.7000000000000001E-4</v>
      </c>
      <c r="BE361">
        <v>0.30195</v>
      </c>
      <c r="BF361">
        <v>1</v>
      </c>
      <c r="BG361" t="s">
        <v>69</v>
      </c>
      <c r="BH361">
        <v>-1.0620000000000001</v>
      </c>
      <c r="BI361">
        <v>-1.9930000000000001</v>
      </c>
    </row>
    <row r="362" spans="3:61">
      <c r="C362">
        <v>0</v>
      </c>
      <c r="D362">
        <v>18</v>
      </c>
      <c r="E362">
        <v>0</v>
      </c>
      <c r="F362" t="s">
        <v>25021</v>
      </c>
      <c r="G362">
        <v>3791</v>
      </c>
      <c r="H362" t="s">
        <v>22209</v>
      </c>
      <c r="I362" t="s">
        <v>57</v>
      </c>
      <c r="J362">
        <v>3761182</v>
      </c>
      <c r="K362">
        <v>3761697</v>
      </c>
      <c r="L362" t="s">
        <v>3095</v>
      </c>
      <c r="M362">
        <v>172</v>
      </c>
      <c r="N362" t="s">
        <v>22210</v>
      </c>
      <c r="O362">
        <v>39</v>
      </c>
      <c r="P362" t="str">
        <f>HYPERLINK("Gene3791-zp_tree_all.dnd", "Gene3791-tree")</f>
        <v>Gene3791-tree</v>
      </c>
      <c r="Q362">
        <v>1</v>
      </c>
      <c r="R362">
        <v>9</v>
      </c>
      <c r="S362">
        <v>1</v>
      </c>
      <c r="T362">
        <v>9</v>
      </c>
      <c r="U362">
        <v>0.9</v>
      </c>
      <c r="V362" t="s">
        <v>175</v>
      </c>
      <c r="W362" t="s">
        <v>135</v>
      </c>
      <c r="X362" t="s">
        <v>62</v>
      </c>
      <c r="Y362" t="s">
        <v>62</v>
      </c>
      <c r="Z362">
        <v>6</v>
      </c>
      <c r="AA362">
        <v>18</v>
      </c>
      <c r="AB362">
        <v>7</v>
      </c>
      <c r="AC362">
        <v>0.72</v>
      </c>
      <c r="AD362" s="47">
        <v>0</v>
      </c>
      <c r="AE362" s="47">
        <v>0</v>
      </c>
      <c r="AF362" s="47">
        <v>0</v>
      </c>
      <c r="AG362" s="47">
        <v>0</v>
      </c>
      <c r="AH362" s="47">
        <v>0</v>
      </c>
      <c r="AI362" s="47">
        <v>13</v>
      </c>
      <c r="AJ362" s="47">
        <v>0</v>
      </c>
      <c r="AK362" s="47">
        <v>13</v>
      </c>
      <c r="AL362">
        <v>5</v>
      </c>
      <c r="AM362">
        <v>0.72221999999999997</v>
      </c>
      <c r="AN362">
        <v>9</v>
      </c>
      <c r="AO362">
        <v>6</v>
      </c>
      <c r="AP362">
        <v>20</v>
      </c>
      <c r="AQ362">
        <v>19</v>
      </c>
      <c r="AR362">
        <v>8</v>
      </c>
      <c r="AS362">
        <v>7</v>
      </c>
      <c r="AT362" t="s">
        <v>22211</v>
      </c>
      <c r="AU362" t="s">
        <v>22212</v>
      </c>
      <c r="AV362">
        <v>4.1000000000000002E-2</v>
      </c>
      <c r="AW362" t="s">
        <v>65</v>
      </c>
      <c r="AX362">
        <v>28</v>
      </c>
      <c r="AY362">
        <v>26</v>
      </c>
      <c r="AZ362" t="s">
        <v>22213</v>
      </c>
      <c r="BA362">
        <v>5.6300000000000003E-2</v>
      </c>
      <c r="BB362">
        <v>-6.1900000000000002E-3</v>
      </c>
      <c r="BC362">
        <v>1.2370000000000001E-2</v>
      </c>
      <c r="BD362">
        <v>-7.2999999999999996E-4</v>
      </c>
      <c r="BE362">
        <v>0.21972</v>
      </c>
      <c r="BF362">
        <v>1</v>
      </c>
      <c r="BG362" t="s">
        <v>69</v>
      </c>
      <c r="BH362">
        <v>-0.75</v>
      </c>
      <c r="BI362">
        <v>-1.667</v>
      </c>
    </row>
    <row r="363" spans="3:61">
      <c r="C363">
        <v>0</v>
      </c>
      <c r="D363">
        <v>0</v>
      </c>
      <c r="E363">
        <v>0</v>
      </c>
      <c r="F363" t="s">
        <v>25021</v>
      </c>
      <c r="G363">
        <v>1032</v>
      </c>
      <c r="H363" t="s">
        <v>6472</v>
      </c>
      <c r="I363" t="s">
        <v>62</v>
      </c>
      <c r="J363">
        <v>1072045</v>
      </c>
      <c r="K363">
        <v>1072560</v>
      </c>
      <c r="L363" t="s">
        <v>6473</v>
      </c>
      <c r="M363">
        <v>172</v>
      </c>
      <c r="N363" t="s">
        <v>6390</v>
      </c>
      <c r="O363">
        <v>45</v>
      </c>
      <c r="P363" t="str">
        <f>HYPERLINK("Gene1032-zp_tree_all.dnd", "Gene1032-tree")</f>
        <v>Gene1032-tree</v>
      </c>
      <c r="Q363">
        <v>27</v>
      </c>
      <c r="R363">
        <v>6</v>
      </c>
      <c r="S363">
        <v>4</v>
      </c>
      <c r="T363">
        <v>6</v>
      </c>
      <c r="U363">
        <v>0.6</v>
      </c>
      <c r="V363" t="s">
        <v>3027</v>
      </c>
      <c r="W363" t="s">
        <v>90</v>
      </c>
      <c r="X363" t="s">
        <v>62</v>
      </c>
      <c r="Y363" t="s">
        <v>62</v>
      </c>
      <c r="Z363">
        <v>0</v>
      </c>
      <c r="AA363">
        <v>0</v>
      </c>
      <c r="AB363">
        <v>7</v>
      </c>
      <c r="AC363">
        <v>0</v>
      </c>
      <c r="AD363" s="47">
        <v>0</v>
      </c>
      <c r="AE363" s="47">
        <v>0</v>
      </c>
      <c r="AF363" s="47">
        <v>0</v>
      </c>
      <c r="AG363" s="47">
        <v>0</v>
      </c>
      <c r="AH363" s="47">
        <v>0</v>
      </c>
      <c r="AI363" s="47">
        <v>0</v>
      </c>
      <c r="AJ363" s="47">
        <v>0</v>
      </c>
      <c r="AK363" s="47">
        <v>0</v>
      </c>
      <c r="AL363">
        <v>7</v>
      </c>
      <c r="AM363">
        <v>0</v>
      </c>
      <c r="AN363">
        <v>8</v>
      </c>
      <c r="AO363">
        <v>3</v>
      </c>
      <c r="AP363">
        <v>28</v>
      </c>
      <c r="AQ363">
        <v>7</v>
      </c>
      <c r="AR363">
        <v>5</v>
      </c>
      <c r="AS363">
        <v>0</v>
      </c>
      <c r="AT363" t="s">
        <v>6474</v>
      </c>
      <c r="AU363" t="s">
        <v>193</v>
      </c>
      <c r="AV363">
        <v>0.65100000000000002</v>
      </c>
      <c r="AW363" t="s">
        <v>65</v>
      </c>
      <c r="AX363">
        <v>33</v>
      </c>
      <c r="AY363">
        <v>7</v>
      </c>
      <c r="AZ363" t="s">
        <v>6475</v>
      </c>
      <c r="BA363">
        <v>6.7140000000000005E-2</v>
      </c>
      <c r="BB363">
        <v>-1.14E-2</v>
      </c>
      <c r="BC363">
        <v>3.5999999999999999E-3</v>
      </c>
      <c r="BD363">
        <v>-3.3E-4</v>
      </c>
      <c r="BE363">
        <v>5.3580000000000003E-2</v>
      </c>
      <c r="BF363">
        <v>1</v>
      </c>
      <c r="BG363" t="s">
        <v>69</v>
      </c>
      <c r="BH363">
        <v>-1.8340000000000001</v>
      </c>
      <c r="BI363">
        <v>-4.4249999999999998</v>
      </c>
    </row>
    <row r="364" spans="3:61">
      <c r="C364">
        <v>0</v>
      </c>
      <c r="D364">
        <v>0</v>
      </c>
      <c r="E364">
        <v>0</v>
      </c>
      <c r="F364" t="s">
        <v>25021</v>
      </c>
      <c r="G364">
        <v>1037</v>
      </c>
      <c r="H364" t="s">
        <v>6505</v>
      </c>
      <c r="I364" t="s">
        <v>62</v>
      </c>
      <c r="J364">
        <v>1074649</v>
      </c>
      <c r="K364">
        <v>1075164</v>
      </c>
      <c r="L364" t="s">
        <v>6506</v>
      </c>
      <c r="M364">
        <v>172</v>
      </c>
      <c r="N364" t="s">
        <v>108</v>
      </c>
      <c r="O364">
        <v>44</v>
      </c>
      <c r="P364" t="str">
        <f>HYPERLINK("Gene1037-zp_tree_all.dnd", "Gene1037-tree")</f>
        <v>Gene1037-tree</v>
      </c>
      <c r="Q364">
        <v>9</v>
      </c>
      <c r="R364">
        <v>5</v>
      </c>
      <c r="S364">
        <v>9</v>
      </c>
      <c r="T364">
        <v>5</v>
      </c>
      <c r="U364">
        <v>0.35714000000000001</v>
      </c>
      <c r="V364" t="s">
        <v>135</v>
      </c>
      <c r="W364" t="s">
        <v>199</v>
      </c>
      <c r="X364" t="s">
        <v>62</v>
      </c>
      <c r="Y364" t="s">
        <v>62</v>
      </c>
      <c r="Z364">
        <v>0</v>
      </c>
      <c r="AA364">
        <v>0</v>
      </c>
      <c r="AB364">
        <v>6</v>
      </c>
      <c r="AC364">
        <v>0</v>
      </c>
      <c r="AD364" s="47">
        <v>0</v>
      </c>
      <c r="AE364" s="47">
        <v>0</v>
      </c>
      <c r="AF364" s="47">
        <v>0</v>
      </c>
      <c r="AG364" s="47">
        <v>0</v>
      </c>
      <c r="AH364" s="47">
        <v>0</v>
      </c>
      <c r="AI364" s="47">
        <v>0</v>
      </c>
      <c r="AJ364" s="47">
        <v>0</v>
      </c>
      <c r="AK364" s="47">
        <v>0</v>
      </c>
      <c r="AL364">
        <v>6</v>
      </c>
      <c r="AM364">
        <v>0</v>
      </c>
      <c r="AN364">
        <v>9</v>
      </c>
      <c r="AO364">
        <v>8</v>
      </c>
      <c r="AP364">
        <v>20</v>
      </c>
      <c r="AQ364">
        <v>5</v>
      </c>
      <c r="AR364">
        <v>17</v>
      </c>
      <c r="AS364">
        <v>1</v>
      </c>
      <c r="AT364" t="s">
        <v>6507</v>
      </c>
      <c r="AU364" t="s">
        <v>6508</v>
      </c>
      <c r="AV364">
        <v>0.85299999999999998</v>
      </c>
      <c r="AW364" t="s">
        <v>65</v>
      </c>
      <c r="AX364">
        <v>37</v>
      </c>
      <c r="AY364">
        <v>6</v>
      </c>
      <c r="AZ364" t="s">
        <v>6509</v>
      </c>
      <c r="BA364">
        <v>5.2720000000000003E-2</v>
      </c>
      <c r="BB364">
        <v>-2.3999999999999998E-3</v>
      </c>
      <c r="BC364">
        <v>2.5500000000000002E-3</v>
      </c>
      <c r="BD364">
        <v>-2.9999999999999997E-4</v>
      </c>
      <c r="BE364">
        <v>4.8419999999999998E-2</v>
      </c>
      <c r="BF364">
        <v>1</v>
      </c>
      <c r="BG364" t="s">
        <v>69</v>
      </c>
      <c r="BH364">
        <v>-1.5</v>
      </c>
      <c r="BI364">
        <v>-1.327</v>
      </c>
    </row>
    <row r="365" spans="3:61">
      <c r="C365">
        <v>0</v>
      </c>
      <c r="D365">
        <v>4</v>
      </c>
      <c r="E365">
        <v>0</v>
      </c>
      <c r="F365" t="s">
        <v>25021</v>
      </c>
      <c r="G365">
        <v>3850</v>
      </c>
      <c r="H365" t="s">
        <v>22564</v>
      </c>
      <c r="I365" t="s">
        <v>57</v>
      </c>
      <c r="J365">
        <v>3810090</v>
      </c>
      <c r="K365">
        <v>3810608</v>
      </c>
      <c r="L365" t="s">
        <v>116</v>
      </c>
      <c r="M365">
        <v>173</v>
      </c>
      <c r="N365" t="s">
        <v>749</v>
      </c>
      <c r="O365">
        <v>47</v>
      </c>
      <c r="P365" t="str">
        <f>HYPERLINK("Gene3850-zp_tree_all.dnd", "Gene3850-tree")</f>
        <v>Gene3850-tree</v>
      </c>
      <c r="Q365">
        <v>8</v>
      </c>
      <c r="R365">
        <v>9</v>
      </c>
      <c r="S365">
        <v>8</v>
      </c>
      <c r="T365">
        <v>9</v>
      </c>
      <c r="U365">
        <v>0.52941000000000005</v>
      </c>
      <c r="V365" t="s">
        <v>136</v>
      </c>
      <c r="W365" t="s">
        <v>135</v>
      </c>
      <c r="X365" t="s">
        <v>62</v>
      </c>
      <c r="Y365" t="s">
        <v>62</v>
      </c>
      <c r="Z365">
        <v>2</v>
      </c>
      <c r="AA365">
        <v>4</v>
      </c>
      <c r="AB365">
        <v>12</v>
      </c>
      <c r="AC365">
        <v>0.25</v>
      </c>
      <c r="AD365" s="47">
        <v>0</v>
      </c>
      <c r="AE365" s="47">
        <v>0</v>
      </c>
      <c r="AF365" s="47">
        <v>0</v>
      </c>
      <c r="AG365" s="47">
        <v>0</v>
      </c>
      <c r="AH365" s="47">
        <v>0</v>
      </c>
      <c r="AI365" s="47">
        <v>2</v>
      </c>
      <c r="AJ365" s="47">
        <v>0</v>
      </c>
      <c r="AK365" s="47">
        <v>2</v>
      </c>
      <c r="AL365">
        <v>10</v>
      </c>
      <c r="AM365">
        <v>0.16667000000000001</v>
      </c>
      <c r="AN365">
        <v>16</v>
      </c>
      <c r="AO365">
        <v>7</v>
      </c>
      <c r="AP365">
        <v>23</v>
      </c>
      <c r="AQ365">
        <v>13</v>
      </c>
      <c r="AR365">
        <v>21</v>
      </c>
      <c r="AS365">
        <v>4</v>
      </c>
      <c r="AT365" t="s">
        <v>22565</v>
      </c>
      <c r="AU365" t="s">
        <v>22566</v>
      </c>
      <c r="AV365">
        <v>0.90200000000000002</v>
      </c>
      <c r="AW365" t="s">
        <v>65</v>
      </c>
      <c r="AX365">
        <v>44</v>
      </c>
      <c r="AY365">
        <v>17</v>
      </c>
      <c r="AZ365" t="s">
        <v>22567</v>
      </c>
      <c r="BA365">
        <v>7.2520000000000001E-2</v>
      </c>
      <c r="BB365">
        <v>-5.3899999999999998E-3</v>
      </c>
      <c r="BC365">
        <v>6.8999999999999999E-3</v>
      </c>
      <c r="BD365">
        <v>-3.2000000000000003E-4</v>
      </c>
      <c r="BE365">
        <v>9.5100000000000004E-2</v>
      </c>
      <c r="BF365">
        <v>1</v>
      </c>
      <c r="BG365" t="s">
        <v>69</v>
      </c>
      <c r="BH365">
        <v>-1.464</v>
      </c>
      <c r="BI365">
        <v>-1.3859999999999999</v>
      </c>
    </row>
    <row r="366" spans="3:61">
      <c r="C366">
        <v>0</v>
      </c>
      <c r="D366">
        <v>9</v>
      </c>
      <c r="E366">
        <v>1</v>
      </c>
      <c r="F366" t="s">
        <v>25021</v>
      </c>
      <c r="G366">
        <v>2418</v>
      </c>
      <c r="H366" t="s">
        <v>14089</v>
      </c>
      <c r="I366" t="s">
        <v>57</v>
      </c>
      <c r="J366">
        <v>2426867</v>
      </c>
      <c r="K366">
        <v>2427388</v>
      </c>
      <c r="L366" t="s">
        <v>116</v>
      </c>
      <c r="M366">
        <v>174</v>
      </c>
      <c r="N366" t="s">
        <v>10539</v>
      </c>
      <c r="O366">
        <v>43</v>
      </c>
      <c r="P366" t="str">
        <f>HYPERLINK("Gene2418-zp_tree_all.dnd", "Gene2418-tree")</f>
        <v>Gene2418-tree</v>
      </c>
      <c r="Q366">
        <v>4</v>
      </c>
      <c r="R366">
        <v>9</v>
      </c>
      <c r="S366">
        <v>4</v>
      </c>
      <c r="T366">
        <v>9</v>
      </c>
      <c r="U366">
        <v>0.69230999999999998</v>
      </c>
      <c r="V366" t="s">
        <v>61</v>
      </c>
      <c r="W366" t="s">
        <v>135</v>
      </c>
      <c r="X366" t="s">
        <v>62</v>
      </c>
      <c r="Y366" t="s">
        <v>62</v>
      </c>
      <c r="Z366">
        <v>3</v>
      </c>
      <c r="AA366">
        <v>10</v>
      </c>
      <c r="AB366">
        <v>8</v>
      </c>
      <c r="AC366">
        <v>0.55556000000000005</v>
      </c>
      <c r="AD366" s="47">
        <v>0</v>
      </c>
      <c r="AE366" s="47">
        <v>0</v>
      </c>
      <c r="AF366" s="47">
        <v>0</v>
      </c>
      <c r="AG366" s="47">
        <v>0</v>
      </c>
      <c r="AH366" s="47">
        <v>0</v>
      </c>
      <c r="AI366" s="47">
        <v>5</v>
      </c>
      <c r="AJ366" s="47">
        <v>1</v>
      </c>
      <c r="AK366" s="47">
        <v>6</v>
      </c>
      <c r="AL366">
        <v>6</v>
      </c>
      <c r="AM366">
        <v>0.5</v>
      </c>
      <c r="AN366">
        <v>12</v>
      </c>
      <c r="AO366">
        <v>7</v>
      </c>
      <c r="AP366">
        <v>21</v>
      </c>
      <c r="AQ366">
        <v>10</v>
      </c>
      <c r="AR366">
        <v>13</v>
      </c>
      <c r="AS366">
        <v>8</v>
      </c>
      <c r="AT366" t="s">
        <v>14090</v>
      </c>
      <c r="AU366" t="s">
        <v>14091</v>
      </c>
      <c r="AV366">
        <v>0.73299999999999998</v>
      </c>
      <c r="AW366" t="s">
        <v>65</v>
      </c>
      <c r="AX366">
        <v>34</v>
      </c>
      <c r="AY366">
        <v>18</v>
      </c>
      <c r="AZ366" t="s">
        <v>14092</v>
      </c>
      <c r="BA366">
        <v>5.774E-2</v>
      </c>
      <c r="BB366">
        <v>-2.4399999999999999E-3</v>
      </c>
      <c r="BC366">
        <v>7.6499999999999997E-3</v>
      </c>
      <c r="BD366">
        <v>-3.3E-4</v>
      </c>
      <c r="BE366">
        <v>0.13245000000000001</v>
      </c>
      <c r="BF366">
        <v>1</v>
      </c>
      <c r="BG366" t="s">
        <v>69</v>
      </c>
      <c r="BH366">
        <v>0.16800000000000001</v>
      </c>
      <c r="BI366">
        <v>-0.67500000000000004</v>
      </c>
    </row>
    <row r="367" spans="3:61">
      <c r="C367">
        <v>0</v>
      </c>
      <c r="D367">
        <v>13</v>
      </c>
      <c r="E367">
        <v>2</v>
      </c>
      <c r="F367" t="s">
        <v>25021</v>
      </c>
      <c r="G367">
        <v>1922</v>
      </c>
      <c r="H367" t="s">
        <v>12042</v>
      </c>
      <c r="I367" t="s">
        <v>57</v>
      </c>
      <c r="J367">
        <v>2020611</v>
      </c>
      <c r="K367">
        <v>2021141</v>
      </c>
      <c r="L367" t="s">
        <v>3718</v>
      </c>
      <c r="M367">
        <v>177</v>
      </c>
      <c r="N367" t="s">
        <v>11485</v>
      </c>
      <c r="O367">
        <v>43</v>
      </c>
      <c r="P367" t="str">
        <f>HYPERLINK("Gene1922-zp_tree_all.dnd", "Gene1922-tree")</f>
        <v>Gene1922-tree</v>
      </c>
      <c r="Q367">
        <v>3</v>
      </c>
      <c r="R367">
        <v>10</v>
      </c>
      <c r="S367">
        <v>3</v>
      </c>
      <c r="T367">
        <v>10</v>
      </c>
      <c r="U367">
        <v>0.76922999999999997</v>
      </c>
      <c r="V367" t="s">
        <v>324</v>
      </c>
      <c r="W367" t="s">
        <v>117</v>
      </c>
      <c r="X367" t="s">
        <v>62</v>
      </c>
      <c r="Y367" t="s">
        <v>62</v>
      </c>
      <c r="Z367">
        <v>7</v>
      </c>
      <c r="AA367">
        <v>15</v>
      </c>
      <c r="AB367">
        <v>13</v>
      </c>
      <c r="AC367">
        <v>0.53571000000000002</v>
      </c>
      <c r="AD367" s="47">
        <v>0</v>
      </c>
      <c r="AE367" s="47">
        <v>0</v>
      </c>
      <c r="AF367" s="47">
        <v>0</v>
      </c>
      <c r="AG367" s="47">
        <v>0</v>
      </c>
      <c r="AH367" s="47">
        <v>0</v>
      </c>
      <c r="AI367" s="47">
        <v>6</v>
      </c>
      <c r="AJ367" s="47">
        <v>2</v>
      </c>
      <c r="AK367" s="47">
        <v>8</v>
      </c>
      <c r="AL367">
        <v>14</v>
      </c>
      <c r="AM367">
        <v>0.36364000000000002</v>
      </c>
      <c r="AN367">
        <v>13</v>
      </c>
      <c r="AO367">
        <v>9</v>
      </c>
      <c r="AP367">
        <v>38</v>
      </c>
      <c r="AQ367">
        <v>22</v>
      </c>
      <c r="AR367">
        <v>16</v>
      </c>
      <c r="AS367">
        <v>6</v>
      </c>
      <c r="AT367" t="s">
        <v>12043</v>
      </c>
      <c r="AU367" t="s">
        <v>12044</v>
      </c>
      <c r="AV367">
        <v>0.60599999999999998</v>
      </c>
      <c r="AW367" t="s">
        <v>65</v>
      </c>
      <c r="AX367">
        <v>54</v>
      </c>
      <c r="AY367">
        <v>28</v>
      </c>
      <c r="AZ367" t="s">
        <v>12045</v>
      </c>
      <c r="BA367">
        <v>7.0720000000000005E-2</v>
      </c>
      <c r="BB367">
        <v>-2.8600000000000001E-3</v>
      </c>
      <c r="BC367">
        <v>1.1979999999999999E-2</v>
      </c>
      <c r="BD367">
        <v>-6.9999999999999999E-4</v>
      </c>
      <c r="BE367">
        <v>0.16943</v>
      </c>
      <c r="BF367">
        <v>1</v>
      </c>
      <c r="BG367" t="s">
        <v>69</v>
      </c>
      <c r="BH367">
        <v>-1.0960000000000001</v>
      </c>
      <c r="BI367">
        <v>-0.68100000000000005</v>
      </c>
    </row>
    <row r="368" spans="3:61">
      <c r="C368">
        <v>0</v>
      </c>
      <c r="D368">
        <v>7</v>
      </c>
      <c r="E368">
        <v>0</v>
      </c>
      <c r="F368" t="s">
        <v>25021</v>
      </c>
      <c r="G368">
        <v>3501</v>
      </c>
      <c r="H368" t="s">
        <v>20521</v>
      </c>
      <c r="I368" t="s">
        <v>57</v>
      </c>
      <c r="J368">
        <v>3463534</v>
      </c>
      <c r="K368">
        <v>3464064</v>
      </c>
      <c r="L368" t="s">
        <v>20522</v>
      </c>
      <c r="M368">
        <v>177</v>
      </c>
      <c r="N368" t="s">
        <v>72</v>
      </c>
      <c r="O368">
        <v>45</v>
      </c>
      <c r="P368" t="str">
        <f>HYPERLINK("Gene3501-zp_tree_all.dnd", "Gene3501-tree")</f>
        <v>Gene3501-tree</v>
      </c>
      <c r="Q368">
        <v>11</v>
      </c>
      <c r="R368">
        <v>5</v>
      </c>
      <c r="S368">
        <v>11</v>
      </c>
      <c r="T368">
        <v>5</v>
      </c>
      <c r="U368">
        <v>0.3125</v>
      </c>
      <c r="V368" t="s">
        <v>73</v>
      </c>
      <c r="W368" t="s">
        <v>199</v>
      </c>
      <c r="X368" t="s">
        <v>62</v>
      </c>
      <c r="Y368" t="s">
        <v>62</v>
      </c>
      <c r="Z368">
        <v>2</v>
      </c>
      <c r="AA368">
        <v>7</v>
      </c>
      <c r="AB368">
        <v>5</v>
      </c>
      <c r="AC368">
        <v>0.58333000000000002</v>
      </c>
      <c r="AD368" s="47">
        <v>0</v>
      </c>
      <c r="AE368" s="47">
        <v>0</v>
      </c>
      <c r="AF368" s="47">
        <v>0</v>
      </c>
      <c r="AG368" s="47">
        <v>2</v>
      </c>
      <c r="AH368" s="47">
        <v>0</v>
      </c>
      <c r="AI368" s="47">
        <v>3</v>
      </c>
      <c r="AJ368" s="47">
        <v>0</v>
      </c>
      <c r="AK368" s="47">
        <v>3</v>
      </c>
      <c r="AL368">
        <v>6</v>
      </c>
      <c r="AM368">
        <v>0.33333000000000002</v>
      </c>
      <c r="AN368">
        <v>10</v>
      </c>
      <c r="AO368">
        <v>9</v>
      </c>
      <c r="AP368">
        <v>34</v>
      </c>
      <c r="AQ368">
        <v>9</v>
      </c>
      <c r="AR368">
        <v>8</v>
      </c>
      <c r="AS368">
        <v>3</v>
      </c>
      <c r="AT368" t="s">
        <v>20523</v>
      </c>
      <c r="AU368" t="s">
        <v>20524</v>
      </c>
      <c r="AV368">
        <v>0.27500000000000002</v>
      </c>
      <c r="AW368" t="s">
        <v>65</v>
      </c>
      <c r="AX368">
        <v>42</v>
      </c>
      <c r="AY368">
        <v>12</v>
      </c>
      <c r="AZ368" t="s">
        <v>20525</v>
      </c>
      <c r="BA368">
        <v>6.1940000000000002E-2</v>
      </c>
      <c r="BB368">
        <v>-6.0200000000000002E-3</v>
      </c>
      <c r="BC368">
        <v>3.6700000000000001E-3</v>
      </c>
      <c r="BD368">
        <v>-3.1E-4</v>
      </c>
      <c r="BE368">
        <v>5.9310000000000002E-2</v>
      </c>
      <c r="BF368">
        <v>1</v>
      </c>
      <c r="BG368" t="s">
        <v>69</v>
      </c>
      <c r="BH368">
        <v>-0.69199999999999995</v>
      </c>
      <c r="BI368">
        <v>-3.2269999999999999</v>
      </c>
    </row>
    <row r="369" spans="3:61">
      <c r="C369">
        <v>0</v>
      </c>
      <c r="D369">
        <v>0</v>
      </c>
      <c r="E369">
        <v>2</v>
      </c>
      <c r="F369" t="s">
        <v>25021</v>
      </c>
      <c r="G369">
        <v>1141</v>
      </c>
      <c r="H369" t="s">
        <v>7176</v>
      </c>
      <c r="I369" t="s">
        <v>62</v>
      </c>
      <c r="J369">
        <v>1183946</v>
      </c>
      <c r="K369">
        <v>1184479</v>
      </c>
      <c r="L369" t="s">
        <v>288</v>
      </c>
      <c r="M369">
        <v>178</v>
      </c>
      <c r="N369" t="s">
        <v>7163</v>
      </c>
      <c r="O369">
        <v>40</v>
      </c>
      <c r="P369" t="str">
        <f>HYPERLINK("Gene1141-zp_tree_all.dnd", "Gene1141-tree")</f>
        <v>Gene1141-tree</v>
      </c>
      <c r="Q369">
        <v>9</v>
      </c>
      <c r="R369">
        <v>4</v>
      </c>
      <c r="S369">
        <v>9</v>
      </c>
      <c r="T369">
        <v>4</v>
      </c>
      <c r="U369">
        <v>0.30769000000000002</v>
      </c>
      <c r="V369" t="s">
        <v>135</v>
      </c>
      <c r="W369" t="s">
        <v>61</v>
      </c>
      <c r="X369" t="s">
        <v>62</v>
      </c>
      <c r="Y369" t="s">
        <v>62</v>
      </c>
      <c r="Z369">
        <v>1</v>
      </c>
      <c r="AA369">
        <v>2</v>
      </c>
      <c r="AB369">
        <v>10</v>
      </c>
      <c r="AC369">
        <v>0.16667000000000001</v>
      </c>
      <c r="AD369" s="47">
        <v>0</v>
      </c>
      <c r="AE369" s="47">
        <v>0</v>
      </c>
      <c r="AF369" s="47">
        <v>0</v>
      </c>
      <c r="AG369" s="47">
        <v>8</v>
      </c>
      <c r="AH369" s="47">
        <v>0</v>
      </c>
      <c r="AI369" s="47">
        <v>0</v>
      </c>
      <c r="AJ369" s="47">
        <v>2</v>
      </c>
      <c r="AK369" s="47">
        <v>2</v>
      </c>
      <c r="AL369">
        <v>2</v>
      </c>
      <c r="AM369">
        <v>0.5</v>
      </c>
      <c r="AN369">
        <v>9</v>
      </c>
      <c r="AO369">
        <v>6</v>
      </c>
      <c r="AP369">
        <v>11</v>
      </c>
      <c r="AQ369">
        <v>3</v>
      </c>
      <c r="AR369">
        <v>16</v>
      </c>
      <c r="AS369">
        <v>9</v>
      </c>
      <c r="AT369" t="s">
        <v>7177</v>
      </c>
      <c r="AU369" t="s">
        <v>7178</v>
      </c>
      <c r="AV369">
        <v>0.189</v>
      </c>
      <c r="AW369" t="s">
        <v>65</v>
      </c>
      <c r="AX369">
        <v>27</v>
      </c>
      <c r="AY369">
        <v>12</v>
      </c>
      <c r="AZ369" t="s">
        <v>7179</v>
      </c>
      <c r="BA369">
        <v>5.3060000000000003E-2</v>
      </c>
      <c r="BB369">
        <v>-5.96E-3</v>
      </c>
      <c r="BC369">
        <v>7.4000000000000003E-3</v>
      </c>
      <c r="BD369">
        <v>-9.7999999999999997E-4</v>
      </c>
      <c r="BE369">
        <v>0.13951</v>
      </c>
      <c r="BF369">
        <v>1</v>
      </c>
      <c r="BG369" t="s">
        <v>69</v>
      </c>
      <c r="BH369">
        <v>-1.7709999999999999</v>
      </c>
      <c r="BI369">
        <v>-0.33800000000000002</v>
      </c>
    </row>
    <row r="370" spans="3:61">
      <c r="C370">
        <v>0</v>
      </c>
      <c r="D370">
        <v>3</v>
      </c>
      <c r="E370">
        <v>1</v>
      </c>
      <c r="F370" t="s">
        <v>25021</v>
      </c>
      <c r="G370">
        <v>3745</v>
      </c>
      <c r="H370" t="s">
        <v>21967</v>
      </c>
      <c r="I370" t="s">
        <v>57</v>
      </c>
      <c r="J370">
        <v>3722005</v>
      </c>
      <c r="K370">
        <v>3722538</v>
      </c>
      <c r="L370" t="s">
        <v>21968</v>
      </c>
      <c r="M370">
        <v>178</v>
      </c>
      <c r="N370" t="s">
        <v>2748</v>
      </c>
      <c r="O370">
        <v>42</v>
      </c>
      <c r="P370" t="str">
        <f>HYPERLINK("Gene3745-zp_tree_all.dnd", "Gene3745-tree")</f>
        <v>Gene3745-tree</v>
      </c>
      <c r="Q370">
        <v>7</v>
      </c>
      <c r="R370">
        <v>5</v>
      </c>
      <c r="S370">
        <v>7</v>
      </c>
      <c r="T370">
        <v>5</v>
      </c>
      <c r="U370">
        <v>0.41666999999999998</v>
      </c>
      <c r="V370" t="s">
        <v>152</v>
      </c>
      <c r="W370" t="s">
        <v>199</v>
      </c>
      <c r="X370" t="s">
        <v>62</v>
      </c>
      <c r="Y370" t="s">
        <v>62</v>
      </c>
      <c r="Z370">
        <v>1</v>
      </c>
      <c r="AA370">
        <v>4</v>
      </c>
      <c r="AB370">
        <v>7</v>
      </c>
      <c r="AC370">
        <v>0.36364000000000002</v>
      </c>
      <c r="AD370" s="47">
        <v>0</v>
      </c>
      <c r="AE370" s="47">
        <v>0</v>
      </c>
      <c r="AF370" s="47">
        <v>0</v>
      </c>
      <c r="AG370" s="47">
        <v>2</v>
      </c>
      <c r="AH370" s="47">
        <v>0</v>
      </c>
      <c r="AI370" s="47">
        <v>2</v>
      </c>
      <c r="AJ370" s="47">
        <v>0</v>
      </c>
      <c r="AK370" s="47">
        <v>2</v>
      </c>
      <c r="AL370">
        <v>6</v>
      </c>
      <c r="AM370">
        <v>0.25</v>
      </c>
      <c r="AN370">
        <v>8</v>
      </c>
      <c r="AO370">
        <v>7</v>
      </c>
      <c r="AP370">
        <v>17</v>
      </c>
      <c r="AQ370">
        <v>8</v>
      </c>
      <c r="AR370">
        <v>8</v>
      </c>
      <c r="AS370">
        <v>3</v>
      </c>
      <c r="AT370" t="s">
        <v>21969</v>
      </c>
      <c r="AU370" t="s">
        <v>21970</v>
      </c>
      <c r="AV370">
        <v>9.7000000000000003E-2</v>
      </c>
      <c r="AW370" t="s">
        <v>65</v>
      </c>
      <c r="AX370">
        <v>25</v>
      </c>
      <c r="AY370">
        <v>11</v>
      </c>
      <c r="AZ370" t="s">
        <v>21971</v>
      </c>
      <c r="BA370">
        <v>4.104E-2</v>
      </c>
      <c r="BB370">
        <v>-4.8399999999999997E-3</v>
      </c>
      <c r="BC370">
        <v>5.2199999999999998E-3</v>
      </c>
      <c r="BD370">
        <v>-4.0000000000000002E-4</v>
      </c>
      <c r="BE370">
        <v>0.12712000000000001</v>
      </c>
      <c r="BF370">
        <v>1</v>
      </c>
      <c r="BG370" t="s">
        <v>69</v>
      </c>
      <c r="BH370">
        <v>-1.2629999999999999</v>
      </c>
      <c r="BI370">
        <v>-2.8439999999999999</v>
      </c>
    </row>
    <row r="371" spans="3:61">
      <c r="C371">
        <v>0</v>
      </c>
      <c r="D371">
        <v>12</v>
      </c>
      <c r="E371">
        <v>1</v>
      </c>
      <c r="F371" t="s">
        <v>25021</v>
      </c>
      <c r="G371">
        <v>3729</v>
      </c>
      <c r="H371" t="s">
        <v>21860</v>
      </c>
      <c r="I371" t="s">
        <v>57</v>
      </c>
      <c r="J371">
        <v>3707144</v>
      </c>
      <c r="K371">
        <v>3707677</v>
      </c>
      <c r="L371" t="s">
        <v>21861</v>
      </c>
      <c r="M371">
        <v>178</v>
      </c>
      <c r="N371" t="s">
        <v>1124</v>
      </c>
      <c r="O371">
        <v>43</v>
      </c>
      <c r="P371" t="str">
        <f>HYPERLINK("Gene3729-zp_tree_all.dnd", "Gene3729-tree")</f>
        <v>Gene3729-tree</v>
      </c>
      <c r="Q371">
        <v>4</v>
      </c>
      <c r="R371">
        <v>9</v>
      </c>
      <c r="S371">
        <v>4</v>
      </c>
      <c r="T371">
        <v>9</v>
      </c>
      <c r="U371">
        <v>0.69230999999999998</v>
      </c>
      <c r="V371" t="s">
        <v>61</v>
      </c>
      <c r="W371" t="s">
        <v>135</v>
      </c>
      <c r="X371" t="s">
        <v>62</v>
      </c>
      <c r="Y371" t="s">
        <v>62</v>
      </c>
      <c r="Z371">
        <v>5</v>
      </c>
      <c r="AA371">
        <v>13</v>
      </c>
      <c r="AB371">
        <v>12</v>
      </c>
      <c r="AC371">
        <v>0.52</v>
      </c>
      <c r="AD371" s="47">
        <v>0</v>
      </c>
      <c r="AE371" s="47">
        <v>0</v>
      </c>
      <c r="AF371" s="47">
        <v>0</v>
      </c>
      <c r="AG371" s="47">
        <v>0</v>
      </c>
      <c r="AH371" s="47">
        <v>0</v>
      </c>
      <c r="AI371" s="47">
        <v>8</v>
      </c>
      <c r="AJ371" s="47">
        <v>0</v>
      </c>
      <c r="AK371" s="47">
        <v>8</v>
      </c>
      <c r="AL371">
        <v>12</v>
      </c>
      <c r="AM371">
        <v>0.4</v>
      </c>
      <c r="AN371">
        <v>12</v>
      </c>
      <c r="AO371">
        <v>9</v>
      </c>
      <c r="AP371">
        <v>32</v>
      </c>
      <c r="AQ371">
        <v>18</v>
      </c>
      <c r="AR371">
        <v>21</v>
      </c>
      <c r="AS371">
        <v>7</v>
      </c>
      <c r="AT371" t="s">
        <v>21862</v>
      </c>
      <c r="AU371" t="s">
        <v>21863</v>
      </c>
      <c r="AV371">
        <v>0.746</v>
      </c>
      <c r="AW371" t="s">
        <v>65</v>
      </c>
      <c r="AX371">
        <v>53</v>
      </c>
      <c r="AY371">
        <v>25</v>
      </c>
      <c r="AZ371" t="s">
        <v>21864</v>
      </c>
      <c r="BA371">
        <v>8.7359999999999993E-2</v>
      </c>
      <c r="BB371">
        <v>-3.65E-3</v>
      </c>
      <c r="BC371">
        <v>1.1010000000000001E-2</v>
      </c>
      <c r="BD371">
        <v>-5.5999999999999995E-4</v>
      </c>
      <c r="BE371">
        <v>0.12601999999999999</v>
      </c>
      <c r="BF371">
        <v>1</v>
      </c>
      <c r="BG371" t="s">
        <v>69</v>
      </c>
      <c r="BH371">
        <v>-0.22600000000000001</v>
      </c>
      <c r="BI371">
        <v>-1.754</v>
      </c>
    </row>
    <row r="372" spans="3:61">
      <c r="C372">
        <v>0</v>
      </c>
      <c r="D372">
        <v>0</v>
      </c>
      <c r="E372">
        <v>0</v>
      </c>
      <c r="F372" t="s">
        <v>25021</v>
      </c>
      <c r="G372">
        <v>2200</v>
      </c>
      <c r="H372" t="s">
        <v>12980</v>
      </c>
      <c r="I372" t="s">
        <v>57</v>
      </c>
      <c r="J372">
        <v>2235694</v>
      </c>
      <c r="K372">
        <v>2236227</v>
      </c>
      <c r="L372" t="s">
        <v>12900</v>
      </c>
      <c r="M372">
        <v>178</v>
      </c>
      <c r="N372" t="s">
        <v>12957</v>
      </c>
      <c r="O372">
        <v>17</v>
      </c>
      <c r="P372" t="str">
        <f>HYPERLINK("Gene2200-zp_tree_all.dnd", "Gene2200-tree")</f>
        <v>Gene2200-tree</v>
      </c>
      <c r="Q372">
        <v>0</v>
      </c>
      <c r="R372">
        <v>17</v>
      </c>
      <c r="S372">
        <v>0</v>
      </c>
      <c r="T372">
        <v>4</v>
      </c>
      <c r="U372">
        <v>1</v>
      </c>
      <c r="V372" t="s">
        <v>62</v>
      </c>
      <c r="W372" t="s">
        <v>12884</v>
      </c>
      <c r="X372">
        <v>4.8689999999999998</v>
      </c>
      <c r="Y372" t="s">
        <v>65</v>
      </c>
      <c r="Z372">
        <v>0</v>
      </c>
      <c r="AA372">
        <v>0</v>
      </c>
      <c r="AB372">
        <v>4</v>
      </c>
      <c r="AC372">
        <v>0</v>
      </c>
      <c r="AD372" s="47">
        <v>0</v>
      </c>
      <c r="AE372" s="47">
        <v>0</v>
      </c>
      <c r="AF372" s="47">
        <v>0</v>
      </c>
      <c r="AG372" s="47">
        <v>0</v>
      </c>
      <c r="AH372" s="47">
        <v>0</v>
      </c>
      <c r="AI372" s="47">
        <v>0</v>
      </c>
      <c r="AJ372" s="47">
        <v>0</v>
      </c>
      <c r="AK372" s="47">
        <v>0</v>
      </c>
      <c r="AL372">
        <v>4</v>
      </c>
      <c r="AM372">
        <v>0</v>
      </c>
      <c r="AN372">
        <v>4</v>
      </c>
      <c r="AO372">
        <v>1</v>
      </c>
      <c r="AP372">
        <v>22</v>
      </c>
      <c r="AQ372">
        <v>4</v>
      </c>
      <c r="AR372">
        <v>1</v>
      </c>
      <c r="AS372">
        <v>0</v>
      </c>
      <c r="AT372" t="s">
        <v>12981</v>
      </c>
      <c r="AU372" t="s">
        <v>193</v>
      </c>
      <c r="AV372">
        <v>4.3460000000000001</v>
      </c>
      <c r="AW372" t="s">
        <v>267</v>
      </c>
      <c r="AX372">
        <v>23</v>
      </c>
      <c r="AY372">
        <v>4</v>
      </c>
      <c r="AZ372" t="s">
        <v>12982</v>
      </c>
      <c r="BA372">
        <v>9.5990000000000006E-2</v>
      </c>
      <c r="BB372">
        <v>-1.7170000000000001E-2</v>
      </c>
      <c r="BC372">
        <v>4.9300000000000004E-3</v>
      </c>
      <c r="BD372">
        <v>0</v>
      </c>
      <c r="BE372">
        <v>5.1389999999999998E-2</v>
      </c>
      <c r="BF372">
        <v>1</v>
      </c>
      <c r="BG372" t="s">
        <v>69</v>
      </c>
      <c r="BH372">
        <v>-1.9219999999999999</v>
      </c>
      <c r="BI372">
        <v>-2.3319999999999999</v>
      </c>
    </row>
    <row r="373" spans="3:61">
      <c r="C373">
        <v>0</v>
      </c>
      <c r="D373">
        <v>4</v>
      </c>
      <c r="E373">
        <v>1</v>
      </c>
      <c r="F373" t="s">
        <v>25021</v>
      </c>
      <c r="G373">
        <v>1849</v>
      </c>
      <c r="H373" t="s">
        <v>11585</v>
      </c>
      <c r="I373" t="s">
        <v>62</v>
      </c>
      <c r="J373">
        <v>1916009</v>
      </c>
      <c r="K373">
        <v>1916545</v>
      </c>
      <c r="L373" t="s">
        <v>3095</v>
      </c>
      <c r="M373">
        <v>179</v>
      </c>
      <c r="N373" t="s">
        <v>108</v>
      </c>
      <c r="O373">
        <v>44</v>
      </c>
      <c r="P373" t="str">
        <f>HYPERLINK("Gene1849-zp_tree_all.dnd", "Gene1849-tree")</f>
        <v>Gene1849-tree</v>
      </c>
      <c r="Q373">
        <v>4</v>
      </c>
      <c r="R373">
        <v>6</v>
      </c>
      <c r="S373">
        <v>4</v>
      </c>
      <c r="T373">
        <v>6</v>
      </c>
      <c r="U373">
        <v>0.6</v>
      </c>
      <c r="V373" t="s">
        <v>61</v>
      </c>
      <c r="W373" t="s">
        <v>90</v>
      </c>
      <c r="X373" t="s">
        <v>62</v>
      </c>
      <c r="Y373" t="s">
        <v>62</v>
      </c>
      <c r="Z373">
        <v>2</v>
      </c>
      <c r="AA373">
        <v>5</v>
      </c>
      <c r="AB373">
        <v>7</v>
      </c>
      <c r="AC373">
        <v>0.41666999999999998</v>
      </c>
      <c r="AD373" s="47">
        <v>0</v>
      </c>
      <c r="AE373" s="47">
        <v>0</v>
      </c>
      <c r="AF373" s="47">
        <v>0</v>
      </c>
      <c r="AG373" s="47">
        <v>0</v>
      </c>
      <c r="AH373" s="47">
        <v>0</v>
      </c>
      <c r="AI373" s="47">
        <v>2</v>
      </c>
      <c r="AJ373" s="47">
        <v>0</v>
      </c>
      <c r="AK373" s="47">
        <v>2</v>
      </c>
      <c r="AL373">
        <v>8</v>
      </c>
      <c r="AM373">
        <v>0.2</v>
      </c>
      <c r="AN373">
        <v>9</v>
      </c>
      <c r="AO373">
        <v>5</v>
      </c>
      <c r="AP373">
        <v>11</v>
      </c>
      <c r="AQ373">
        <v>10</v>
      </c>
      <c r="AR373">
        <v>5</v>
      </c>
      <c r="AS373">
        <v>2</v>
      </c>
      <c r="AT373" t="s">
        <v>11586</v>
      </c>
      <c r="AU373" t="s">
        <v>11587</v>
      </c>
      <c r="AV373">
        <v>1.0249999999999999</v>
      </c>
      <c r="AW373" t="s">
        <v>65</v>
      </c>
      <c r="AX373">
        <v>16</v>
      </c>
      <c r="AY373">
        <v>12</v>
      </c>
      <c r="AZ373" t="s">
        <v>11588</v>
      </c>
      <c r="BA373">
        <v>3.5549999999999998E-2</v>
      </c>
      <c r="BB373">
        <v>-2.4199999999999998E-3</v>
      </c>
      <c r="BC373">
        <v>6.0699999999999999E-3</v>
      </c>
      <c r="BD373">
        <v>-5.0000000000000001E-4</v>
      </c>
      <c r="BE373">
        <v>0.17079</v>
      </c>
      <c r="BF373">
        <v>1</v>
      </c>
      <c r="BG373" t="s">
        <v>69</v>
      </c>
      <c r="BH373">
        <v>-0.71699999999999997</v>
      </c>
      <c r="BI373">
        <v>-1.0309999999999999</v>
      </c>
    </row>
    <row r="374" spans="3:61">
      <c r="C374">
        <v>0</v>
      </c>
      <c r="D374">
        <v>4</v>
      </c>
      <c r="E374">
        <v>0</v>
      </c>
      <c r="F374" t="s">
        <v>25021</v>
      </c>
      <c r="G374">
        <v>3223</v>
      </c>
      <c r="H374" t="s">
        <v>18780</v>
      </c>
      <c r="I374" t="s">
        <v>57</v>
      </c>
      <c r="J374">
        <v>3186763</v>
      </c>
      <c r="K374">
        <v>3187302</v>
      </c>
      <c r="L374" t="s">
        <v>18781</v>
      </c>
      <c r="M374">
        <v>180</v>
      </c>
      <c r="N374" t="s">
        <v>108</v>
      </c>
      <c r="O374">
        <v>44</v>
      </c>
      <c r="P374" t="str">
        <f>HYPERLINK("Gene3223-zp_tree_all.dnd", "Gene3223-tree")</f>
        <v>Gene3223-tree</v>
      </c>
      <c r="Q374">
        <v>5</v>
      </c>
      <c r="R374">
        <v>6</v>
      </c>
      <c r="S374">
        <v>5</v>
      </c>
      <c r="T374">
        <v>6</v>
      </c>
      <c r="U374">
        <v>0.54544999999999999</v>
      </c>
      <c r="V374" t="s">
        <v>199</v>
      </c>
      <c r="W374" t="s">
        <v>90</v>
      </c>
      <c r="X374" t="s">
        <v>62</v>
      </c>
      <c r="Y374" t="s">
        <v>62</v>
      </c>
      <c r="Z374">
        <v>2</v>
      </c>
      <c r="AA374">
        <v>4</v>
      </c>
      <c r="AB374">
        <v>5</v>
      </c>
      <c r="AC374">
        <v>0.44444</v>
      </c>
      <c r="AD374" s="47">
        <v>0</v>
      </c>
      <c r="AE374" s="47">
        <v>0</v>
      </c>
      <c r="AF374" s="47">
        <v>0</v>
      </c>
      <c r="AG374" s="47">
        <v>1</v>
      </c>
      <c r="AH374" s="47">
        <v>0</v>
      </c>
      <c r="AI374" s="47">
        <v>0</v>
      </c>
      <c r="AJ374" s="47">
        <v>0</v>
      </c>
      <c r="AK374" s="47">
        <v>0</v>
      </c>
      <c r="AL374">
        <v>7</v>
      </c>
      <c r="AM374">
        <v>0</v>
      </c>
      <c r="AN374">
        <v>6</v>
      </c>
      <c r="AO374">
        <v>6</v>
      </c>
      <c r="AP374">
        <v>11</v>
      </c>
      <c r="AQ374">
        <v>2</v>
      </c>
      <c r="AR374">
        <v>3</v>
      </c>
      <c r="AS374">
        <v>7</v>
      </c>
      <c r="AT374" t="s">
        <v>18782</v>
      </c>
      <c r="AU374" t="s">
        <v>18783</v>
      </c>
      <c r="AV374">
        <v>2.0209999999999999</v>
      </c>
      <c r="AW374" t="s">
        <v>65</v>
      </c>
      <c r="AX374">
        <v>14</v>
      </c>
      <c r="AY374">
        <v>9</v>
      </c>
      <c r="AZ374" t="s">
        <v>18784</v>
      </c>
      <c r="BA374">
        <v>3.1320000000000001E-2</v>
      </c>
      <c r="BB374">
        <v>-2.3900000000000002E-3</v>
      </c>
      <c r="BC374">
        <v>5.4400000000000004E-3</v>
      </c>
      <c r="BD374">
        <v>-4.2999999999999999E-4</v>
      </c>
      <c r="BE374">
        <v>0.17358000000000001</v>
      </c>
      <c r="BF374">
        <v>1</v>
      </c>
      <c r="BG374" t="s">
        <v>69</v>
      </c>
      <c r="BH374">
        <v>-0.497</v>
      </c>
      <c r="BI374">
        <v>-0.81599999999999995</v>
      </c>
    </row>
    <row r="375" spans="3:61">
      <c r="C375">
        <v>0</v>
      </c>
      <c r="D375">
        <v>0</v>
      </c>
      <c r="E375">
        <v>0</v>
      </c>
      <c r="F375" t="s">
        <v>25021</v>
      </c>
      <c r="G375">
        <v>2905</v>
      </c>
      <c r="H375" t="s">
        <v>16725</v>
      </c>
      <c r="I375" t="s">
        <v>57</v>
      </c>
      <c r="J375">
        <v>2850716</v>
      </c>
      <c r="K375">
        <v>2851255</v>
      </c>
      <c r="L375" t="s">
        <v>16726</v>
      </c>
      <c r="M375">
        <v>180</v>
      </c>
      <c r="N375" t="s">
        <v>265</v>
      </c>
      <c r="O375">
        <v>43</v>
      </c>
      <c r="P375" t="str">
        <f>HYPERLINK("Gene2905-zp_tree_all.dnd", "Gene2905-tree")</f>
        <v>Gene2905-tree</v>
      </c>
      <c r="Q375">
        <v>7</v>
      </c>
      <c r="R375">
        <v>2</v>
      </c>
      <c r="S375">
        <v>7</v>
      </c>
      <c r="T375">
        <v>2</v>
      </c>
      <c r="U375">
        <v>0.22222</v>
      </c>
      <c r="V375" t="s">
        <v>152</v>
      </c>
      <c r="W375" t="s">
        <v>81</v>
      </c>
      <c r="X375" t="s">
        <v>62</v>
      </c>
      <c r="Y375" t="s">
        <v>62</v>
      </c>
      <c r="Z375">
        <v>0</v>
      </c>
      <c r="AA375">
        <v>0</v>
      </c>
      <c r="AB375">
        <v>4</v>
      </c>
      <c r="AC375">
        <v>0</v>
      </c>
      <c r="AD375" s="47">
        <v>0</v>
      </c>
      <c r="AE375" s="47">
        <v>0</v>
      </c>
      <c r="AF375" s="47">
        <v>0</v>
      </c>
      <c r="AG375" s="47">
        <v>0</v>
      </c>
      <c r="AH375" s="47">
        <v>0</v>
      </c>
      <c r="AI375" s="47">
        <v>0</v>
      </c>
      <c r="AJ375" s="47">
        <v>0</v>
      </c>
      <c r="AK375" s="47">
        <v>0</v>
      </c>
      <c r="AL375">
        <v>3</v>
      </c>
      <c r="AM375">
        <v>0</v>
      </c>
      <c r="AN375">
        <v>7</v>
      </c>
      <c r="AO375">
        <v>5</v>
      </c>
      <c r="AP375">
        <v>10</v>
      </c>
      <c r="AQ375">
        <v>3</v>
      </c>
      <c r="AR375">
        <v>7</v>
      </c>
      <c r="AS375">
        <v>1</v>
      </c>
      <c r="AT375" t="s">
        <v>16727</v>
      </c>
      <c r="AU375" t="s">
        <v>16728</v>
      </c>
      <c r="AV375">
        <v>0.34799999999999998</v>
      </c>
      <c r="AW375" t="s">
        <v>65</v>
      </c>
      <c r="AX375">
        <v>17</v>
      </c>
      <c r="AY375">
        <v>4</v>
      </c>
      <c r="AZ375" t="s">
        <v>16729</v>
      </c>
      <c r="BA375">
        <v>4.2090000000000002E-2</v>
      </c>
      <c r="BB375">
        <v>-2.7599999999999999E-3</v>
      </c>
      <c r="BC375">
        <v>2.5600000000000002E-3</v>
      </c>
      <c r="BD375">
        <v>-3.6999999999999999E-4</v>
      </c>
      <c r="BE375">
        <v>6.0879999999999997E-2</v>
      </c>
      <c r="BF375">
        <v>1</v>
      </c>
      <c r="BG375" t="s">
        <v>69</v>
      </c>
      <c r="BH375">
        <v>-0.749</v>
      </c>
      <c r="BI375">
        <v>-1.0509999999999999</v>
      </c>
    </row>
    <row r="376" spans="3:61">
      <c r="C376">
        <v>0</v>
      </c>
      <c r="D376">
        <v>2</v>
      </c>
      <c r="E376">
        <v>0</v>
      </c>
      <c r="F376" t="s">
        <v>25021</v>
      </c>
      <c r="G376">
        <v>4023</v>
      </c>
      <c r="H376" t="s">
        <v>23674</v>
      </c>
      <c r="I376" t="s">
        <v>57</v>
      </c>
      <c r="J376">
        <v>3989331</v>
      </c>
      <c r="K376">
        <v>3989870</v>
      </c>
      <c r="L376" t="s">
        <v>116</v>
      </c>
      <c r="M376">
        <v>180</v>
      </c>
      <c r="N376" t="s">
        <v>23675</v>
      </c>
      <c r="O376">
        <v>30</v>
      </c>
      <c r="P376" t="str">
        <f>HYPERLINK("Gene4023-zp_tree_all.dnd", "Gene4023-tree")</f>
        <v>Gene4023-tree</v>
      </c>
      <c r="Q376">
        <v>7</v>
      </c>
      <c r="R376">
        <v>2</v>
      </c>
      <c r="S376">
        <v>7</v>
      </c>
      <c r="T376">
        <v>2</v>
      </c>
      <c r="U376">
        <v>0.22222</v>
      </c>
      <c r="V376" t="s">
        <v>152</v>
      </c>
      <c r="W376" t="s">
        <v>81</v>
      </c>
      <c r="X376" t="s">
        <v>62</v>
      </c>
      <c r="Y376" t="s">
        <v>62</v>
      </c>
      <c r="Z376">
        <v>1</v>
      </c>
      <c r="AA376">
        <v>2</v>
      </c>
      <c r="AB376">
        <v>6</v>
      </c>
      <c r="AC376">
        <v>0.25</v>
      </c>
      <c r="AD376" s="47">
        <v>0</v>
      </c>
      <c r="AE376" s="47">
        <v>0</v>
      </c>
      <c r="AF376" s="47">
        <v>0</v>
      </c>
      <c r="AG376" s="47">
        <v>0</v>
      </c>
      <c r="AH376" s="47">
        <v>0</v>
      </c>
      <c r="AI376" s="47">
        <v>0</v>
      </c>
      <c r="AJ376" s="47">
        <v>0</v>
      </c>
      <c r="AK376" s="47">
        <v>0</v>
      </c>
      <c r="AL376">
        <v>5</v>
      </c>
      <c r="AM376">
        <v>0</v>
      </c>
      <c r="AN376">
        <v>9</v>
      </c>
      <c r="AO376">
        <v>6</v>
      </c>
      <c r="AP376">
        <v>33</v>
      </c>
      <c r="AQ376">
        <v>6</v>
      </c>
      <c r="AR376">
        <v>14</v>
      </c>
      <c r="AS376">
        <v>3</v>
      </c>
      <c r="AT376" t="s">
        <v>23676</v>
      </c>
      <c r="AU376" t="s">
        <v>23677</v>
      </c>
      <c r="AV376">
        <v>8.6999999999999994E-2</v>
      </c>
      <c r="AW376" t="s">
        <v>65</v>
      </c>
      <c r="AX376">
        <v>47</v>
      </c>
      <c r="AY376">
        <v>9</v>
      </c>
      <c r="AZ376" t="s">
        <v>23678</v>
      </c>
      <c r="BA376">
        <v>9.9470000000000003E-2</v>
      </c>
      <c r="BB376">
        <v>-8.7399999999999995E-3</v>
      </c>
      <c r="BC376">
        <v>5.4999999999999997E-3</v>
      </c>
      <c r="BD376">
        <v>-8.3000000000000001E-4</v>
      </c>
      <c r="BE376">
        <v>5.527E-2</v>
      </c>
      <c r="BF376">
        <v>1</v>
      </c>
      <c r="BG376" t="s">
        <v>69</v>
      </c>
      <c r="BH376">
        <v>-1.2849999999999999</v>
      </c>
      <c r="BI376">
        <v>-2.1360000000000001</v>
      </c>
    </row>
    <row r="377" spans="3:61">
      <c r="C377">
        <v>0</v>
      </c>
      <c r="D377">
        <v>11</v>
      </c>
      <c r="E377">
        <v>1</v>
      </c>
      <c r="F377" t="s">
        <v>25021</v>
      </c>
      <c r="G377">
        <v>1195</v>
      </c>
      <c r="H377" t="s">
        <v>7516</v>
      </c>
      <c r="I377" t="s">
        <v>62</v>
      </c>
      <c r="J377">
        <v>1235166</v>
      </c>
      <c r="K377">
        <v>1235708</v>
      </c>
      <c r="L377" t="s">
        <v>7517</v>
      </c>
      <c r="M377">
        <v>181</v>
      </c>
      <c r="N377" t="s">
        <v>108</v>
      </c>
      <c r="O377">
        <v>44</v>
      </c>
      <c r="P377" t="str">
        <f>HYPERLINK("Gene1195-zp_tree_all.dnd", "Gene1195-tree")</f>
        <v>Gene1195-tree</v>
      </c>
      <c r="Q377">
        <v>5</v>
      </c>
      <c r="R377">
        <v>9</v>
      </c>
      <c r="S377">
        <v>5</v>
      </c>
      <c r="T377">
        <v>9</v>
      </c>
      <c r="U377">
        <v>0.64285999999999999</v>
      </c>
      <c r="V377" t="s">
        <v>199</v>
      </c>
      <c r="W377" t="s">
        <v>135</v>
      </c>
      <c r="X377" t="s">
        <v>62</v>
      </c>
      <c r="Y377" t="s">
        <v>62</v>
      </c>
      <c r="Z377">
        <v>5</v>
      </c>
      <c r="AA377">
        <v>12</v>
      </c>
      <c r="AB377">
        <v>14</v>
      </c>
      <c r="AC377">
        <v>0.46154000000000001</v>
      </c>
      <c r="AD377" s="47">
        <v>0</v>
      </c>
      <c r="AE377" s="47">
        <v>0</v>
      </c>
      <c r="AF377" s="47">
        <v>0</v>
      </c>
      <c r="AG377" s="47">
        <v>0</v>
      </c>
      <c r="AH377" s="47">
        <v>0</v>
      </c>
      <c r="AI377" s="47">
        <v>4</v>
      </c>
      <c r="AJ377" s="47">
        <v>0</v>
      </c>
      <c r="AK377" s="47">
        <v>4</v>
      </c>
      <c r="AL377">
        <v>16</v>
      </c>
      <c r="AM377">
        <v>0.2</v>
      </c>
      <c r="AN377">
        <v>12</v>
      </c>
      <c r="AO377">
        <v>9</v>
      </c>
      <c r="AP377">
        <v>17</v>
      </c>
      <c r="AQ377">
        <v>19</v>
      </c>
      <c r="AR377">
        <v>8</v>
      </c>
      <c r="AS377">
        <v>7</v>
      </c>
      <c r="AT377" t="s">
        <v>7518</v>
      </c>
      <c r="AU377" t="s">
        <v>7519</v>
      </c>
      <c r="AV377">
        <v>0.23699999999999999</v>
      </c>
      <c r="AW377" t="s">
        <v>65</v>
      </c>
      <c r="AX377">
        <v>25</v>
      </c>
      <c r="AY377">
        <v>26</v>
      </c>
      <c r="AZ377" t="s">
        <v>7520</v>
      </c>
      <c r="BA377">
        <v>3.1550000000000002E-2</v>
      </c>
      <c r="BB377">
        <v>-2.31E-3</v>
      </c>
      <c r="BC377">
        <v>1.004E-2</v>
      </c>
      <c r="BD377">
        <v>-5.2999999999999998E-4</v>
      </c>
      <c r="BE377">
        <v>0.31830000000000003</v>
      </c>
      <c r="BF377">
        <v>0.99</v>
      </c>
      <c r="BG377" t="s">
        <v>69</v>
      </c>
      <c r="BH377">
        <v>-1.1839999999999999</v>
      </c>
      <c r="BI377">
        <v>-2.9460000000000002</v>
      </c>
    </row>
    <row r="378" spans="3:61">
      <c r="C378">
        <v>0</v>
      </c>
      <c r="D378">
        <v>6</v>
      </c>
      <c r="E378">
        <v>1</v>
      </c>
      <c r="F378" t="s">
        <v>25021</v>
      </c>
      <c r="G378">
        <v>426</v>
      </c>
      <c r="H378" t="s">
        <v>2893</v>
      </c>
      <c r="I378" t="s">
        <v>62</v>
      </c>
      <c r="J378">
        <v>470960</v>
      </c>
      <c r="K378">
        <v>471502</v>
      </c>
      <c r="L378" t="s">
        <v>1075</v>
      </c>
      <c r="M378">
        <v>181</v>
      </c>
      <c r="N378" t="s">
        <v>108</v>
      </c>
      <c r="O378">
        <v>44</v>
      </c>
      <c r="P378" t="str">
        <f>HYPERLINK("Gene426-zp_tree_all.dnd", "Gene426-tree")</f>
        <v>Gene426-tree</v>
      </c>
      <c r="Q378">
        <v>5</v>
      </c>
      <c r="R378">
        <v>8</v>
      </c>
      <c r="S378">
        <v>5</v>
      </c>
      <c r="T378">
        <v>8</v>
      </c>
      <c r="U378">
        <v>0.61538000000000004</v>
      </c>
      <c r="V378" t="s">
        <v>199</v>
      </c>
      <c r="W378" t="s">
        <v>136</v>
      </c>
      <c r="X378" t="s">
        <v>62</v>
      </c>
      <c r="Y378" t="s">
        <v>62</v>
      </c>
      <c r="Z378">
        <v>3</v>
      </c>
      <c r="AA378">
        <v>7</v>
      </c>
      <c r="AB378">
        <v>15</v>
      </c>
      <c r="AC378">
        <v>0.31818000000000002</v>
      </c>
      <c r="AD378" s="47">
        <v>0</v>
      </c>
      <c r="AE378" s="47">
        <v>0</v>
      </c>
      <c r="AF378" s="47">
        <v>0</v>
      </c>
      <c r="AG378" s="47">
        <v>1</v>
      </c>
      <c r="AH378" s="47">
        <v>0</v>
      </c>
      <c r="AI378" s="47">
        <v>0</v>
      </c>
      <c r="AJ378" s="47">
        <v>0</v>
      </c>
      <c r="AK378" s="47">
        <v>0</v>
      </c>
      <c r="AL378">
        <v>12</v>
      </c>
      <c r="AM378">
        <v>0</v>
      </c>
      <c r="AN378">
        <v>11</v>
      </c>
      <c r="AO378">
        <v>7</v>
      </c>
      <c r="AP378">
        <v>21</v>
      </c>
      <c r="AQ378">
        <v>11</v>
      </c>
      <c r="AR378">
        <v>9</v>
      </c>
      <c r="AS378">
        <v>11</v>
      </c>
      <c r="AT378" t="s">
        <v>2894</v>
      </c>
      <c r="AU378" t="s">
        <v>2895</v>
      </c>
      <c r="AV378">
        <v>1.0680000000000001</v>
      </c>
      <c r="AW378" t="s">
        <v>65</v>
      </c>
      <c r="AX378">
        <v>30</v>
      </c>
      <c r="AY378">
        <v>22</v>
      </c>
      <c r="AZ378" t="s">
        <v>2896</v>
      </c>
      <c r="BA378">
        <v>4.6390000000000001E-2</v>
      </c>
      <c r="BB378">
        <v>-4.1099999999999999E-3</v>
      </c>
      <c r="BC378">
        <v>1.179E-2</v>
      </c>
      <c r="BD378">
        <v>-7.7999999999999999E-4</v>
      </c>
      <c r="BE378">
        <v>0.25422</v>
      </c>
      <c r="BF378">
        <v>1</v>
      </c>
      <c r="BG378" t="s">
        <v>69</v>
      </c>
      <c r="BH378">
        <v>-1.56</v>
      </c>
      <c r="BI378">
        <v>-1.522</v>
      </c>
    </row>
    <row r="379" spans="3:61">
      <c r="C379">
        <v>0</v>
      </c>
      <c r="D379">
        <v>0</v>
      </c>
      <c r="E379">
        <v>0</v>
      </c>
      <c r="F379" t="s">
        <v>25021</v>
      </c>
      <c r="G379">
        <v>3928</v>
      </c>
      <c r="H379" t="s">
        <v>23051</v>
      </c>
      <c r="I379" t="s">
        <v>57</v>
      </c>
      <c r="J379">
        <v>3893441</v>
      </c>
      <c r="K379">
        <v>3893983</v>
      </c>
      <c r="L379" t="s">
        <v>17007</v>
      </c>
      <c r="M379">
        <v>181</v>
      </c>
      <c r="N379" t="s">
        <v>1378</v>
      </c>
      <c r="O379">
        <v>43</v>
      </c>
      <c r="P379" t="str">
        <f>HYPERLINK("Gene3928-zp_tree_all.dnd", "Gene3928-tree")</f>
        <v>Gene3928-tree</v>
      </c>
      <c r="Q379">
        <v>7</v>
      </c>
      <c r="R379">
        <v>24</v>
      </c>
      <c r="S379">
        <v>7</v>
      </c>
      <c r="T379">
        <v>4</v>
      </c>
      <c r="U379">
        <v>0.36364000000000002</v>
      </c>
      <c r="V379" t="s">
        <v>152</v>
      </c>
      <c r="W379" t="s">
        <v>1495</v>
      </c>
      <c r="X379">
        <v>5.5810000000000004</v>
      </c>
      <c r="Y379" t="s">
        <v>65</v>
      </c>
      <c r="Z379">
        <v>0</v>
      </c>
      <c r="AA379">
        <v>0</v>
      </c>
      <c r="AB379">
        <v>6</v>
      </c>
      <c r="AC379">
        <v>0</v>
      </c>
      <c r="AD379" s="47">
        <v>0</v>
      </c>
      <c r="AE379" s="47">
        <v>0</v>
      </c>
      <c r="AF379" s="47">
        <v>0</v>
      </c>
      <c r="AG379" s="47">
        <v>1</v>
      </c>
      <c r="AH379" s="47">
        <v>0</v>
      </c>
      <c r="AI379" s="47">
        <v>0</v>
      </c>
      <c r="AJ379" s="47">
        <v>0</v>
      </c>
      <c r="AK379" s="47">
        <v>0</v>
      </c>
      <c r="AL379">
        <v>5</v>
      </c>
      <c r="AM379">
        <v>0</v>
      </c>
      <c r="AN379">
        <v>7</v>
      </c>
      <c r="AO379">
        <v>3</v>
      </c>
      <c r="AP379">
        <v>8</v>
      </c>
      <c r="AQ379">
        <v>4</v>
      </c>
      <c r="AR379">
        <v>1</v>
      </c>
      <c r="AS379">
        <v>2</v>
      </c>
      <c r="AT379" t="s">
        <v>23052</v>
      </c>
      <c r="AU379" t="s">
        <v>23053</v>
      </c>
      <c r="AV379">
        <v>0.51500000000000001</v>
      </c>
      <c r="AW379" t="s">
        <v>65</v>
      </c>
      <c r="AX379">
        <v>9</v>
      </c>
      <c r="AY379">
        <v>6</v>
      </c>
      <c r="AZ379" t="s">
        <v>23054</v>
      </c>
      <c r="BA379">
        <v>1.6070000000000001E-2</v>
      </c>
      <c r="BB379">
        <v>-1.3500000000000001E-3</v>
      </c>
      <c r="BC379">
        <v>3.6900000000000001E-3</v>
      </c>
      <c r="BD379">
        <v>-3.5E-4</v>
      </c>
      <c r="BE379">
        <v>0.2296</v>
      </c>
      <c r="BF379">
        <v>0.97</v>
      </c>
      <c r="BG379" t="s">
        <v>69</v>
      </c>
      <c r="BH379">
        <v>-1.4139999999999999</v>
      </c>
      <c r="BI379">
        <v>-1.08</v>
      </c>
    </row>
    <row r="380" spans="3:61">
      <c r="C380">
        <v>0</v>
      </c>
      <c r="D380">
        <v>14</v>
      </c>
      <c r="E380">
        <v>0</v>
      </c>
      <c r="F380" t="s">
        <v>25021</v>
      </c>
      <c r="G380">
        <v>1990</v>
      </c>
      <c r="H380" t="s">
        <v>12393</v>
      </c>
      <c r="I380" t="s">
        <v>57</v>
      </c>
      <c r="J380">
        <v>2084214</v>
      </c>
      <c r="K380">
        <v>2084756</v>
      </c>
      <c r="L380" t="s">
        <v>12394</v>
      </c>
      <c r="M380">
        <v>181</v>
      </c>
      <c r="N380" t="s">
        <v>108</v>
      </c>
      <c r="O380">
        <v>44</v>
      </c>
      <c r="P380" t="str">
        <f>HYPERLINK("Gene1990-zp_tree_all.dnd", "Gene1990-tree")</f>
        <v>Gene1990-tree</v>
      </c>
      <c r="Q380">
        <v>3</v>
      </c>
      <c r="R380">
        <v>10</v>
      </c>
      <c r="S380">
        <v>3</v>
      </c>
      <c r="T380">
        <v>10</v>
      </c>
      <c r="U380">
        <v>0.76922999999999997</v>
      </c>
      <c r="V380" t="s">
        <v>324</v>
      </c>
      <c r="W380" t="s">
        <v>117</v>
      </c>
      <c r="X380" t="s">
        <v>62</v>
      </c>
      <c r="Y380" t="s">
        <v>62</v>
      </c>
      <c r="Z380">
        <v>4</v>
      </c>
      <c r="AA380">
        <v>14</v>
      </c>
      <c r="AB380">
        <v>10</v>
      </c>
      <c r="AC380">
        <v>0.58333000000000002</v>
      </c>
      <c r="AD380" s="47">
        <v>0</v>
      </c>
      <c r="AE380" s="47">
        <v>0</v>
      </c>
      <c r="AF380" s="47">
        <v>0</v>
      </c>
      <c r="AG380" s="47">
        <v>1</v>
      </c>
      <c r="AH380" s="47">
        <v>0</v>
      </c>
      <c r="AI380" s="47">
        <v>9</v>
      </c>
      <c r="AJ380" s="47">
        <v>1</v>
      </c>
      <c r="AK380" s="47">
        <v>10</v>
      </c>
      <c r="AL380">
        <v>7</v>
      </c>
      <c r="AM380">
        <v>0.58823999999999999</v>
      </c>
      <c r="AN380">
        <v>9</v>
      </c>
      <c r="AO380">
        <v>9</v>
      </c>
      <c r="AP380">
        <v>9</v>
      </c>
      <c r="AQ380">
        <v>14</v>
      </c>
      <c r="AR380">
        <v>13</v>
      </c>
      <c r="AS380">
        <v>10</v>
      </c>
      <c r="AT380" t="s">
        <v>12395</v>
      </c>
      <c r="AU380" t="s">
        <v>12396</v>
      </c>
      <c r="AV380">
        <v>0.63100000000000001</v>
      </c>
      <c r="AW380" t="s">
        <v>65</v>
      </c>
      <c r="AX380">
        <v>22</v>
      </c>
      <c r="AY380">
        <v>24</v>
      </c>
      <c r="AZ380" t="s">
        <v>12397</v>
      </c>
      <c r="BA380">
        <v>5.6140000000000002E-2</v>
      </c>
      <c r="BB380">
        <v>-3.65E-3</v>
      </c>
      <c r="BC380">
        <v>1.076E-2</v>
      </c>
      <c r="BD380">
        <v>-5.0000000000000001E-4</v>
      </c>
      <c r="BE380">
        <v>0.19170000000000001</v>
      </c>
      <c r="BF380">
        <v>0.99</v>
      </c>
      <c r="BG380" t="s">
        <v>69</v>
      </c>
      <c r="BH380">
        <v>0.66500000000000004</v>
      </c>
      <c r="BI380">
        <v>0.18</v>
      </c>
    </row>
    <row r="381" spans="3:61">
      <c r="C381">
        <v>0</v>
      </c>
      <c r="D381">
        <v>0</v>
      </c>
      <c r="E381">
        <v>2</v>
      </c>
      <c r="F381" t="s">
        <v>25021</v>
      </c>
      <c r="G381">
        <v>17</v>
      </c>
      <c r="H381" t="s">
        <v>189</v>
      </c>
      <c r="I381" t="s">
        <v>62</v>
      </c>
      <c r="J381">
        <v>25224</v>
      </c>
      <c r="K381">
        <v>25766</v>
      </c>
      <c r="L381" t="s">
        <v>190</v>
      </c>
      <c r="M381">
        <v>181</v>
      </c>
      <c r="N381" t="s">
        <v>108</v>
      </c>
      <c r="O381">
        <v>44</v>
      </c>
      <c r="P381" t="str">
        <f>HYPERLINK("Gene17-zp_tree_all.dnd", "Gene17-tree")</f>
        <v>Gene17-tree</v>
      </c>
      <c r="Q381">
        <v>6</v>
      </c>
      <c r="R381">
        <v>26</v>
      </c>
      <c r="S381">
        <v>6</v>
      </c>
      <c r="T381">
        <v>7</v>
      </c>
      <c r="U381">
        <v>0.53846000000000005</v>
      </c>
      <c r="V381" t="s">
        <v>90</v>
      </c>
      <c r="W381" t="s">
        <v>191</v>
      </c>
      <c r="X381">
        <v>3.593</v>
      </c>
      <c r="Y381" t="s">
        <v>65</v>
      </c>
      <c r="Z381">
        <v>1</v>
      </c>
      <c r="AA381">
        <v>2</v>
      </c>
      <c r="AB381">
        <v>11</v>
      </c>
      <c r="AC381">
        <v>0.15384999999999999</v>
      </c>
      <c r="AD381" s="47">
        <v>0</v>
      </c>
      <c r="AE381" s="47">
        <v>0</v>
      </c>
      <c r="AF381" s="47">
        <v>0</v>
      </c>
      <c r="AG381" s="47">
        <v>0</v>
      </c>
      <c r="AH381" s="47">
        <v>0</v>
      </c>
      <c r="AI381" s="47">
        <v>0</v>
      </c>
      <c r="AJ381" s="47">
        <v>2</v>
      </c>
      <c r="AK381" s="47">
        <v>2</v>
      </c>
      <c r="AL381">
        <v>11</v>
      </c>
      <c r="AM381">
        <v>0.15384999999999999</v>
      </c>
      <c r="AN381">
        <v>8</v>
      </c>
      <c r="AO381">
        <v>5</v>
      </c>
      <c r="AP381">
        <v>12</v>
      </c>
      <c r="AQ381">
        <v>13</v>
      </c>
      <c r="AR381">
        <v>5</v>
      </c>
      <c r="AS381">
        <v>0</v>
      </c>
      <c r="AT381" t="s">
        <v>192</v>
      </c>
      <c r="AU381" t="s">
        <v>193</v>
      </c>
      <c r="AV381">
        <v>1.498</v>
      </c>
      <c r="AW381" t="s">
        <v>65</v>
      </c>
      <c r="AX381">
        <v>17</v>
      </c>
      <c r="AY381">
        <v>13</v>
      </c>
      <c r="AZ381" t="s">
        <v>194</v>
      </c>
      <c r="BA381">
        <v>3.2530000000000003E-2</v>
      </c>
      <c r="BB381">
        <v>-2.14E-3</v>
      </c>
      <c r="BC381">
        <v>4.7099999999999998E-3</v>
      </c>
      <c r="BD381">
        <v>-4.8999999999999998E-4</v>
      </c>
      <c r="BE381">
        <v>0.14494000000000001</v>
      </c>
      <c r="BF381">
        <v>1</v>
      </c>
      <c r="BG381" t="s">
        <v>69</v>
      </c>
      <c r="BH381">
        <v>0.34300000000000003</v>
      </c>
      <c r="BI381">
        <v>-1.298</v>
      </c>
    </row>
    <row r="382" spans="3:61">
      <c r="C382">
        <v>0</v>
      </c>
      <c r="D382">
        <v>5</v>
      </c>
      <c r="E382">
        <v>4</v>
      </c>
      <c r="F382" t="s">
        <v>25021</v>
      </c>
      <c r="G382">
        <v>1229</v>
      </c>
      <c r="H382" t="s">
        <v>7725</v>
      </c>
      <c r="I382" t="s">
        <v>62</v>
      </c>
      <c r="J382">
        <v>1260814</v>
      </c>
      <c r="K382">
        <v>1261356</v>
      </c>
      <c r="L382" t="s">
        <v>7726</v>
      </c>
      <c r="M382">
        <v>181</v>
      </c>
      <c r="N382" t="s">
        <v>108</v>
      </c>
      <c r="O382">
        <v>44</v>
      </c>
      <c r="P382" t="str">
        <f>HYPERLINK("Gene1229-zp_tree_all.dnd", "Gene1229-tree")</f>
        <v>Gene1229-tree</v>
      </c>
      <c r="Q382">
        <v>5</v>
      </c>
      <c r="R382">
        <v>9</v>
      </c>
      <c r="S382">
        <v>5</v>
      </c>
      <c r="T382">
        <v>9</v>
      </c>
      <c r="U382">
        <v>0.64285999999999999</v>
      </c>
      <c r="V382" t="s">
        <v>199</v>
      </c>
      <c r="W382" t="s">
        <v>135</v>
      </c>
      <c r="X382" t="s">
        <v>62</v>
      </c>
      <c r="Y382" t="s">
        <v>62</v>
      </c>
      <c r="Z382">
        <v>4</v>
      </c>
      <c r="AA382">
        <v>9</v>
      </c>
      <c r="AB382">
        <v>11</v>
      </c>
      <c r="AC382">
        <v>0.45</v>
      </c>
      <c r="AD382" s="47">
        <v>0</v>
      </c>
      <c r="AE382" s="47">
        <v>0</v>
      </c>
      <c r="AF382" s="47">
        <v>0</v>
      </c>
      <c r="AG382" s="47">
        <v>1</v>
      </c>
      <c r="AH382" s="47">
        <v>0</v>
      </c>
      <c r="AI382" s="47">
        <v>2</v>
      </c>
      <c r="AJ382" s="47">
        <v>4</v>
      </c>
      <c r="AK382" s="47">
        <v>6</v>
      </c>
      <c r="AL382">
        <v>11</v>
      </c>
      <c r="AM382">
        <v>0.35293999999999998</v>
      </c>
      <c r="AN382">
        <v>11</v>
      </c>
      <c r="AO382">
        <v>8</v>
      </c>
      <c r="AP382">
        <v>26</v>
      </c>
      <c r="AQ382">
        <v>16</v>
      </c>
      <c r="AR382">
        <v>15</v>
      </c>
      <c r="AS382">
        <v>4</v>
      </c>
      <c r="AT382" t="s">
        <v>7727</v>
      </c>
      <c r="AU382" t="s">
        <v>7728</v>
      </c>
      <c r="AV382">
        <v>0.93</v>
      </c>
      <c r="AW382" t="s">
        <v>65</v>
      </c>
      <c r="AX382">
        <v>41</v>
      </c>
      <c r="AY382">
        <v>20</v>
      </c>
      <c r="AZ382" t="s">
        <v>7729</v>
      </c>
      <c r="BA382">
        <v>6.3899999999999998E-2</v>
      </c>
      <c r="BB382">
        <v>-3.5500000000000002E-3</v>
      </c>
      <c r="BC382">
        <v>7.1700000000000002E-3</v>
      </c>
      <c r="BD382">
        <v>-3.8000000000000002E-4</v>
      </c>
      <c r="BE382">
        <v>0.11229</v>
      </c>
      <c r="BF382">
        <v>1</v>
      </c>
      <c r="BG382" t="s">
        <v>69</v>
      </c>
      <c r="BH382">
        <v>-1.0269999999999999</v>
      </c>
      <c r="BI382">
        <v>-1.673</v>
      </c>
    </row>
    <row r="383" spans="3:61">
      <c r="C383">
        <v>0</v>
      </c>
      <c r="D383">
        <v>0</v>
      </c>
      <c r="E383">
        <v>0</v>
      </c>
      <c r="F383" t="s">
        <v>25021</v>
      </c>
      <c r="G383">
        <v>3224</v>
      </c>
      <c r="H383" t="s">
        <v>18787</v>
      </c>
      <c r="I383" t="s">
        <v>57</v>
      </c>
      <c r="J383">
        <v>3187503</v>
      </c>
      <c r="K383">
        <v>3188045</v>
      </c>
      <c r="L383" t="s">
        <v>18788</v>
      </c>
      <c r="M383">
        <v>181</v>
      </c>
      <c r="N383" t="s">
        <v>108</v>
      </c>
      <c r="O383">
        <v>44</v>
      </c>
      <c r="P383" t="str">
        <f>HYPERLINK("Gene3224-zp_tree_all.dnd", "Gene3224-tree")</f>
        <v>Gene3224-tree</v>
      </c>
      <c r="Q383">
        <v>9</v>
      </c>
      <c r="R383">
        <v>2</v>
      </c>
      <c r="S383">
        <v>9</v>
      </c>
      <c r="T383">
        <v>2</v>
      </c>
      <c r="U383">
        <v>0.18182000000000001</v>
      </c>
      <c r="V383" t="s">
        <v>135</v>
      </c>
      <c r="W383" t="s">
        <v>81</v>
      </c>
      <c r="X383" t="s">
        <v>62</v>
      </c>
      <c r="Y383" t="s">
        <v>62</v>
      </c>
      <c r="Z383">
        <v>0</v>
      </c>
      <c r="AA383">
        <v>0</v>
      </c>
      <c r="AB383">
        <v>2</v>
      </c>
      <c r="AC383">
        <v>0</v>
      </c>
      <c r="AD383" s="47">
        <v>0</v>
      </c>
      <c r="AE383" s="47">
        <v>0</v>
      </c>
      <c r="AF383" s="47">
        <v>0</v>
      </c>
      <c r="AG383" s="47">
        <v>0</v>
      </c>
      <c r="AH383" s="47">
        <v>0</v>
      </c>
      <c r="AI383" s="47">
        <v>0</v>
      </c>
      <c r="AJ383" s="47">
        <v>0</v>
      </c>
      <c r="AK383" s="47">
        <v>0</v>
      </c>
      <c r="AL383">
        <v>2</v>
      </c>
      <c r="AM383">
        <v>0</v>
      </c>
      <c r="AN383">
        <v>7</v>
      </c>
      <c r="AO383">
        <v>4</v>
      </c>
      <c r="AP383">
        <v>12</v>
      </c>
      <c r="AQ383">
        <v>2</v>
      </c>
      <c r="AR383">
        <v>5</v>
      </c>
      <c r="AS383">
        <v>0</v>
      </c>
      <c r="AT383" t="s">
        <v>18789</v>
      </c>
      <c r="AU383" t="s">
        <v>193</v>
      </c>
      <c r="AV383">
        <v>0.92400000000000004</v>
      </c>
      <c r="AW383" t="s">
        <v>65</v>
      </c>
      <c r="AX383">
        <v>17</v>
      </c>
      <c r="AY383">
        <v>2</v>
      </c>
      <c r="AZ383" t="s">
        <v>18790</v>
      </c>
      <c r="BA383">
        <v>2.9770000000000001E-2</v>
      </c>
      <c r="BB383">
        <v>-1.98E-3</v>
      </c>
      <c r="BC383">
        <v>8.8999999999999995E-4</v>
      </c>
      <c r="BD383">
        <v>-1.7000000000000001E-4</v>
      </c>
      <c r="BE383">
        <v>2.9960000000000001E-2</v>
      </c>
      <c r="BF383">
        <v>1</v>
      </c>
      <c r="BG383" t="s">
        <v>69</v>
      </c>
      <c r="BH383">
        <v>-7.5999999999999998E-2</v>
      </c>
      <c r="BI383">
        <v>-0.65300000000000002</v>
      </c>
    </row>
    <row r="384" spans="3:61">
      <c r="C384">
        <v>0</v>
      </c>
      <c r="D384">
        <v>0</v>
      </c>
      <c r="E384">
        <v>0</v>
      </c>
      <c r="F384" t="s">
        <v>25021</v>
      </c>
      <c r="G384">
        <v>1908</v>
      </c>
      <c r="H384" t="s">
        <v>11948</v>
      </c>
      <c r="I384" t="s">
        <v>62</v>
      </c>
      <c r="J384">
        <v>2003404</v>
      </c>
      <c r="K384">
        <v>2003946</v>
      </c>
      <c r="L384" t="s">
        <v>11949</v>
      </c>
      <c r="M384">
        <v>181</v>
      </c>
      <c r="N384" t="s">
        <v>265</v>
      </c>
      <c r="O384">
        <v>43</v>
      </c>
      <c r="P384" t="str">
        <f>HYPERLINK("Gene1908-zp_tree_all.dnd", "Gene1908-tree")</f>
        <v>Gene1908-tree</v>
      </c>
      <c r="Q384">
        <v>10</v>
      </c>
      <c r="R384">
        <v>2</v>
      </c>
      <c r="S384">
        <v>10</v>
      </c>
      <c r="T384">
        <v>2</v>
      </c>
      <c r="U384">
        <v>0.16667000000000001</v>
      </c>
      <c r="V384" t="s">
        <v>117</v>
      </c>
      <c r="W384" t="s">
        <v>81</v>
      </c>
      <c r="X384" t="s">
        <v>62</v>
      </c>
      <c r="Y384" t="s">
        <v>62</v>
      </c>
      <c r="Z384">
        <v>0</v>
      </c>
      <c r="AA384">
        <v>0</v>
      </c>
      <c r="AB384">
        <v>2</v>
      </c>
      <c r="AC384">
        <v>0</v>
      </c>
      <c r="AD384" s="47">
        <v>0</v>
      </c>
      <c r="AE384" s="47">
        <v>0</v>
      </c>
      <c r="AF384" s="47">
        <v>0</v>
      </c>
      <c r="AG384" s="47">
        <v>0</v>
      </c>
      <c r="AH384" s="47">
        <v>0</v>
      </c>
      <c r="AI384" s="47">
        <v>0</v>
      </c>
      <c r="AJ384" s="47">
        <v>0</v>
      </c>
      <c r="AK384" s="47">
        <v>0</v>
      </c>
      <c r="AL384">
        <v>2</v>
      </c>
      <c r="AM384">
        <v>0</v>
      </c>
      <c r="AN384">
        <v>10</v>
      </c>
      <c r="AO384">
        <v>3</v>
      </c>
      <c r="AP384">
        <v>15</v>
      </c>
      <c r="AQ384">
        <v>2</v>
      </c>
      <c r="AR384">
        <v>4</v>
      </c>
      <c r="AS384">
        <v>0</v>
      </c>
      <c r="AT384" t="s">
        <v>11950</v>
      </c>
      <c r="AU384" t="s">
        <v>193</v>
      </c>
      <c r="AV384">
        <v>0.76900000000000002</v>
      </c>
      <c r="AW384" t="s">
        <v>65</v>
      </c>
      <c r="AX384">
        <v>19</v>
      </c>
      <c r="AY384">
        <v>2</v>
      </c>
      <c r="AZ384" t="s">
        <v>11951</v>
      </c>
      <c r="BA384">
        <v>3.2649999999999998E-2</v>
      </c>
      <c r="BB384">
        <v>-1.6299999999999999E-3</v>
      </c>
      <c r="BC384">
        <v>7.9000000000000001E-4</v>
      </c>
      <c r="BD384">
        <v>-1.3999999999999999E-4</v>
      </c>
      <c r="BE384">
        <v>2.4309999999999998E-2</v>
      </c>
      <c r="BF384">
        <v>1</v>
      </c>
      <c r="BG384" t="s">
        <v>69</v>
      </c>
      <c r="BH384">
        <v>-1.123</v>
      </c>
      <c r="BI384">
        <v>-1.153</v>
      </c>
    </row>
    <row r="385" spans="3:61">
      <c r="C385">
        <v>0</v>
      </c>
      <c r="D385">
        <v>0</v>
      </c>
      <c r="E385">
        <v>0</v>
      </c>
      <c r="F385" t="s">
        <v>25021</v>
      </c>
      <c r="G385">
        <v>868</v>
      </c>
      <c r="H385" t="s">
        <v>5420</v>
      </c>
      <c r="I385" t="s">
        <v>62</v>
      </c>
      <c r="J385">
        <v>909201</v>
      </c>
      <c r="K385">
        <v>909746</v>
      </c>
      <c r="L385" t="s">
        <v>5421</v>
      </c>
      <c r="M385">
        <v>182</v>
      </c>
      <c r="N385" t="s">
        <v>5422</v>
      </c>
      <c r="O385">
        <v>37</v>
      </c>
      <c r="P385" t="str">
        <f>HYPERLINK("Gene868-zp_tree_all.dnd", "Gene868-tree")</f>
        <v>Gene868-tree</v>
      </c>
      <c r="Q385">
        <v>7</v>
      </c>
      <c r="R385">
        <v>3</v>
      </c>
      <c r="S385">
        <v>7</v>
      </c>
      <c r="T385">
        <v>3</v>
      </c>
      <c r="U385">
        <v>0.3</v>
      </c>
      <c r="V385" t="s">
        <v>152</v>
      </c>
      <c r="W385" t="s">
        <v>324</v>
      </c>
      <c r="X385" t="s">
        <v>62</v>
      </c>
      <c r="Y385" t="s">
        <v>62</v>
      </c>
      <c r="Z385">
        <v>0</v>
      </c>
      <c r="AA385">
        <v>0</v>
      </c>
      <c r="AB385">
        <v>8</v>
      </c>
      <c r="AC385">
        <v>0</v>
      </c>
      <c r="AD385" s="47">
        <v>0</v>
      </c>
      <c r="AE385" s="47">
        <v>0</v>
      </c>
      <c r="AF385" s="47">
        <v>0</v>
      </c>
      <c r="AG385" s="47">
        <v>0</v>
      </c>
      <c r="AH385" s="47">
        <v>0</v>
      </c>
      <c r="AI385" s="47">
        <v>0</v>
      </c>
      <c r="AJ385" s="47">
        <v>0</v>
      </c>
      <c r="AK385" s="47">
        <v>0</v>
      </c>
      <c r="AL385">
        <v>8</v>
      </c>
      <c r="AM385">
        <v>0</v>
      </c>
      <c r="AN385">
        <v>6</v>
      </c>
      <c r="AO385">
        <v>4</v>
      </c>
      <c r="AP385">
        <v>18</v>
      </c>
      <c r="AQ385">
        <v>7</v>
      </c>
      <c r="AR385">
        <v>5</v>
      </c>
      <c r="AS385">
        <v>1</v>
      </c>
      <c r="AT385" t="s">
        <v>5423</v>
      </c>
      <c r="AU385" t="s">
        <v>5424</v>
      </c>
      <c r="AV385">
        <v>0.21</v>
      </c>
      <c r="AW385" t="s">
        <v>65</v>
      </c>
      <c r="AX385">
        <v>23</v>
      </c>
      <c r="AY385">
        <v>8</v>
      </c>
      <c r="AZ385" t="s">
        <v>5425</v>
      </c>
      <c r="BA385">
        <v>4.8340000000000001E-2</v>
      </c>
      <c r="BB385">
        <v>-5.6600000000000001E-3</v>
      </c>
      <c r="BC385">
        <v>4.1599999999999996E-3</v>
      </c>
      <c r="BD385">
        <v>-8.4999999999999995E-4</v>
      </c>
      <c r="BE385">
        <v>8.6029999999999995E-2</v>
      </c>
      <c r="BF385">
        <v>1</v>
      </c>
      <c r="BG385" t="s">
        <v>69</v>
      </c>
      <c r="BH385">
        <v>-2.032</v>
      </c>
      <c r="BI385">
        <v>-3.746</v>
      </c>
    </row>
    <row r="386" spans="3:61">
      <c r="C386">
        <v>0</v>
      </c>
      <c r="D386">
        <v>0</v>
      </c>
      <c r="E386">
        <v>0</v>
      </c>
      <c r="F386" t="s">
        <v>25021</v>
      </c>
      <c r="G386">
        <v>3838</v>
      </c>
      <c r="H386" t="s">
        <v>22504</v>
      </c>
      <c r="I386" t="s">
        <v>57</v>
      </c>
      <c r="J386">
        <v>3798789</v>
      </c>
      <c r="K386">
        <v>3799340</v>
      </c>
      <c r="L386" t="s">
        <v>22505</v>
      </c>
      <c r="M386">
        <v>184</v>
      </c>
      <c r="N386" t="s">
        <v>108</v>
      </c>
      <c r="O386">
        <v>44</v>
      </c>
      <c r="P386" t="str">
        <f>HYPERLINK("Gene3838-zp_tree_all.dnd", "Gene3838-tree")</f>
        <v>Gene3838-tree</v>
      </c>
      <c r="Q386">
        <v>6</v>
      </c>
      <c r="R386">
        <v>5</v>
      </c>
      <c r="S386">
        <v>6</v>
      </c>
      <c r="T386">
        <v>5</v>
      </c>
      <c r="U386">
        <v>0.45455000000000001</v>
      </c>
      <c r="V386" t="s">
        <v>90</v>
      </c>
      <c r="W386" t="s">
        <v>199</v>
      </c>
      <c r="X386" t="s">
        <v>62</v>
      </c>
      <c r="Y386" t="s">
        <v>62</v>
      </c>
      <c r="Z386">
        <v>0</v>
      </c>
      <c r="AA386">
        <v>0</v>
      </c>
      <c r="AB386">
        <v>11</v>
      </c>
      <c r="AC386">
        <v>0</v>
      </c>
      <c r="AD386" s="47">
        <v>0</v>
      </c>
      <c r="AE386" s="47">
        <v>0</v>
      </c>
      <c r="AF386" s="47">
        <v>0</v>
      </c>
      <c r="AG386" s="47">
        <v>0</v>
      </c>
      <c r="AH386" s="47">
        <v>0</v>
      </c>
      <c r="AI386" s="47">
        <v>0</v>
      </c>
      <c r="AJ386" s="47">
        <v>0</v>
      </c>
      <c r="AK386" s="47">
        <v>0</v>
      </c>
      <c r="AL386">
        <v>6</v>
      </c>
      <c r="AM386">
        <v>0</v>
      </c>
      <c r="AN386">
        <v>11</v>
      </c>
      <c r="AO386">
        <v>4</v>
      </c>
      <c r="AP386">
        <v>20</v>
      </c>
      <c r="AQ386">
        <v>6</v>
      </c>
      <c r="AR386">
        <v>1</v>
      </c>
      <c r="AS386">
        <v>5</v>
      </c>
      <c r="AT386" t="s">
        <v>22506</v>
      </c>
      <c r="AU386" t="s">
        <v>22507</v>
      </c>
      <c r="AV386">
        <v>0.5</v>
      </c>
      <c r="AW386" t="s">
        <v>65</v>
      </c>
      <c r="AX386">
        <v>21</v>
      </c>
      <c r="AY386">
        <v>11</v>
      </c>
      <c r="AZ386" t="s">
        <v>22508</v>
      </c>
      <c r="BA386">
        <v>2.632E-2</v>
      </c>
      <c r="BB386">
        <v>-1.4499999999999999E-3</v>
      </c>
      <c r="BC386">
        <v>7.11E-3</v>
      </c>
      <c r="BD386">
        <v>-7.2000000000000005E-4</v>
      </c>
      <c r="BE386">
        <v>0.26989999999999997</v>
      </c>
      <c r="BF386">
        <v>0.99</v>
      </c>
      <c r="BG386" t="s">
        <v>69</v>
      </c>
      <c r="BH386">
        <v>-0.78200000000000003</v>
      </c>
      <c r="BI386">
        <v>-1.6950000000000001</v>
      </c>
    </row>
    <row r="387" spans="3:61">
      <c r="C387">
        <v>0</v>
      </c>
      <c r="D387">
        <v>2</v>
      </c>
      <c r="E387">
        <v>0</v>
      </c>
      <c r="F387" t="s">
        <v>25021</v>
      </c>
      <c r="G387">
        <v>1513</v>
      </c>
      <c r="H387" t="s">
        <v>9458</v>
      </c>
      <c r="I387" t="s">
        <v>62</v>
      </c>
      <c r="J387">
        <v>1526198</v>
      </c>
      <c r="K387">
        <v>1526749</v>
      </c>
      <c r="L387" t="s">
        <v>9459</v>
      </c>
      <c r="M387">
        <v>184</v>
      </c>
      <c r="N387" t="s">
        <v>59</v>
      </c>
      <c r="O387">
        <v>49</v>
      </c>
      <c r="P387" t="str">
        <f>HYPERLINK("Gene1513-zp_tree_all.dnd", "Gene1513-tree")</f>
        <v>Gene1513-tree</v>
      </c>
      <c r="Q387">
        <v>10</v>
      </c>
      <c r="R387">
        <v>7</v>
      </c>
      <c r="S387">
        <v>10</v>
      </c>
      <c r="T387">
        <v>7</v>
      </c>
      <c r="U387">
        <v>0.41176000000000001</v>
      </c>
      <c r="V387" t="s">
        <v>117</v>
      </c>
      <c r="W387" t="s">
        <v>152</v>
      </c>
      <c r="X387" t="s">
        <v>62</v>
      </c>
      <c r="Y387" t="s">
        <v>62</v>
      </c>
      <c r="Z387">
        <v>1</v>
      </c>
      <c r="AA387">
        <v>2</v>
      </c>
      <c r="AB387">
        <v>9</v>
      </c>
      <c r="AC387">
        <v>0.18182000000000001</v>
      </c>
      <c r="AD387" s="47">
        <v>0</v>
      </c>
      <c r="AE387" s="47">
        <v>0</v>
      </c>
      <c r="AF387" s="47">
        <v>0</v>
      </c>
      <c r="AG387" s="47">
        <v>0</v>
      </c>
      <c r="AH387" s="47">
        <v>0</v>
      </c>
      <c r="AI387" s="47">
        <v>2</v>
      </c>
      <c r="AJ387" s="47">
        <v>0</v>
      </c>
      <c r="AK387" s="47">
        <v>2</v>
      </c>
      <c r="AL387">
        <v>6</v>
      </c>
      <c r="AM387">
        <v>0.25</v>
      </c>
      <c r="AN387">
        <v>12</v>
      </c>
      <c r="AO387">
        <v>9</v>
      </c>
      <c r="AP387">
        <v>24</v>
      </c>
      <c r="AQ387">
        <v>7</v>
      </c>
      <c r="AR387">
        <v>31</v>
      </c>
      <c r="AS387">
        <v>4</v>
      </c>
      <c r="AT387" t="s">
        <v>9460</v>
      </c>
      <c r="AU387" t="s">
        <v>9461</v>
      </c>
      <c r="AV387">
        <v>0.872</v>
      </c>
      <c r="AW387" t="s">
        <v>65</v>
      </c>
      <c r="AX387">
        <v>55</v>
      </c>
      <c r="AY387">
        <v>11</v>
      </c>
      <c r="AZ387" t="s">
        <v>9462</v>
      </c>
      <c r="BA387">
        <v>0.1172</v>
      </c>
      <c r="BB387">
        <v>-8.09E-3</v>
      </c>
      <c r="BC387">
        <v>3.7399999999999998E-3</v>
      </c>
      <c r="BD387">
        <v>-2.5999999999999998E-4</v>
      </c>
      <c r="BE387">
        <v>3.1870000000000002E-2</v>
      </c>
      <c r="BF387">
        <v>1</v>
      </c>
      <c r="BG387" t="s">
        <v>69</v>
      </c>
      <c r="BH387">
        <v>-1.548</v>
      </c>
      <c r="BI387">
        <v>-0.79600000000000004</v>
      </c>
    </row>
    <row r="388" spans="3:61">
      <c r="C388">
        <v>0</v>
      </c>
      <c r="D388">
        <v>20</v>
      </c>
      <c r="E388">
        <v>8</v>
      </c>
      <c r="F388" t="s">
        <v>25021</v>
      </c>
      <c r="G388">
        <v>356</v>
      </c>
      <c r="H388" t="s">
        <v>2428</v>
      </c>
      <c r="I388" t="s">
        <v>62</v>
      </c>
      <c r="J388">
        <v>404461</v>
      </c>
      <c r="K388">
        <v>405015</v>
      </c>
      <c r="L388" t="s">
        <v>2302</v>
      </c>
      <c r="M388">
        <v>185</v>
      </c>
      <c r="N388" t="s">
        <v>108</v>
      </c>
      <c r="O388">
        <v>44</v>
      </c>
      <c r="P388" t="str">
        <f>HYPERLINK("Gene356-zp_tree_all.dnd", "Gene356-tree")</f>
        <v>Gene356-tree</v>
      </c>
      <c r="Q388">
        <v>4</v>
      </c>
      <c r="R388">
        <v>12</v>
      </c>
      <c r="S388">
        <v>4</v>
      </c>
      <c r="T388">
        <v>12</v>
      </c>
      <c r="U388">
        <v>0.75</v>
      </c>
      <c r="V388" t="s">
        <v>61</v>
      </c>
      <c r="W388" t="s">
        <v>109</v>
      </c>
      <c r="X388" t="s">
        <v>62</v>
      </c>
      <c r="Y388" t="s">
        <v>62</v>
      </c>
      <c r="Z388">
        <v>11</v>
      </c>
      <c r="AA388">
        <v>28</v>
      </c>
      <c r="AB388">
        <v>15</v>
      </c>
      <c r="AC388">
        <v>0.65115999999999996</v>
      </c>
      <c r="AD388" s="47">
        <v>0</v>
      </c>
      <c r="AE388" s="47">
        <v>0</v>
      </c>
      <c r="AF388" s="47">
        <v>0</v>
      </c>
      <c r="AG388" s="47">
        <v>0</v>
      </c>
      <c r="AH388" s="47">
        <v>0</v>
      </c>
      <c r="AI388" s="47">
        <v>5</v>
      </c>
      <c r="AJ388" s="47">
        <v>6</v>
      </c>
      <c r="AK388" s="47">
        <v>11</v>
      </c>
      <c r="AL388">
        <v>14</v>
      </c>
      <c r="AM388">
        <v>0.44</v>
      </c>
      <c r="AN388">
        <v>15</v>
      </c>
      <c r="AO388">
        <v>12</v>
      </c>
      <c r="AP388">
        <v>26</v>
      </c>
      <c r="AQ388">
        <v>24</v>
      </c>
      <c r="AR388">
        <v>25</v>
      </c>
      <c r="AS388">
        <v>19</v>
      </c>
      <c r="AT388" t="s">
        <v>2429</v>
      </c>
      <c r="AU388" t="s">
        <v>2430</v>
      </c>
      <c r="AV388">
        <v>0.32300000000000001</v>
      </c>
      <c r="AW388" t="s">
        <v>65</v>
      </c>
      <c r="AX388">
        <v>51</v>
      </c>
      <c r="AY388">
        <v>43</v>
      </c>
      <c r="AZ388" t="s">
        <v>2431</v>
      </c>
      <c r="BA388">
        <v>8.2849999999999993E-2</v>
      </c>
      <c r="BB388">
        <v>-3.31E-3</v>
      </c>
      <c r="BC388">
        <v>1.8589999999999999E-2</v>
      </c>
      <c r="BD388">
        <v>-7.3999999999999999E-4</v>
      </c>
      <c r="BE388">
        <v>0.22441</v>
      </c>
      <c r="BF388">
        <v>1</v>
      </c>
      <c r="BG388" t="s">
        <v>69</v>
      </c>
      <c r="BH388">
        <v>-0.45100000000000001</v>
      </c>
      <c r="BI388">
        <v>-1.2450000000000001</v>
      </c>
    </row>
    <row r="389" spans="3:61">
      <c r="C389">
        <v>0</v>
      </c>
      <c r="D389">
        <v>5</v>
      </c>
      <c r="E389">
        <v>3</v>
      </c>
      <c r="F389" t="s">
        <v>25021</v>
      </c>
      <c r="G389">
        <v>1768</v>
      </c>
      <c r="H389" t="s">
        <v>11072</v>
      </c>
      <c r="I389" t="s">
        <v>62</v>
      </c>
      <c r="J389">
        <v>1781231</v>
      </c>
      <c r="K389">
        <v>1781785</v>
      </c>
      <c r="L389" t="s">
        <v>3095</v>
      </c>
      <c r="M389">
        <v>185</v>
      </c>
      <c r="N389" t="s">
        <v>108</v>
      </c>
      <c r="O389">
        <v>44</v>
      </c>
      <c r="P389" t="str">
        <f>HYPERLINK("Gene1768-zp_tree_all.dnd", "Gene1768-tree")</f>
        <v>Gene1768-tree</v>
      </c>
      <c r="Q389">
        <v>2</v>
      </c>
      <c r="R389">
        <v>9</v>
      </c>
      <c r="S389">
        <v>2</v>
      </c>
      <c r="T389">
        <v>9</v>
      </c>
      <c r="U389">
        <v>0.81818000000000002</v>
      </c>
      <c r="V389" t="s">
        <v>81</v>
      </c>
      <c r="W389" t="s">
        <v>135</v>
      </c>
      <c r="X389" t="s">
        <v>62</v>
      </c>
      <c r="Y389" t="s">
        <v>62</v>
      </c>
      <c r="Z389">
        <v>3</v>
      </c>
      <c r="AA389">
        <v>8</v>
      </c>
      <c r="AB389">
        <v>9</v>
      </c>
      <c r="AC389">
        <v>0.47059000000000001</v>
      </c>
      <c r="AD389" s="47">
        <v>0</v>
      </c>
      <c r="AE389" s="47">
        <v>0</v>
      </c>
      <c r="AF389" s="47">
        <v>0</v>
      </c>
      <c r="AG389" s="47">
        <v>0</v>
      </c>
      <c r="AH389" s="47">
        <v>0</v>
      </c>
      <c r="AI389" s="47">
        <v>2</v>
      </c>
      <c r="AJ389" s="47">
        <v>4</v>
      </c>
      <c r="AK389" s="47">
        <v>6</v>
      </c>
      <c r="AL389">
        <v>9</v>
      </c>
      <c r="AM389">
        <v>0.4</v>
      </c>
      <c r="AN389">
        <v>10</v>
      </c>
      <c r="AO389">
        <v>7</v>
      </c>
      <c r="AP389">
        <v>16</v>
      </c>
      <c r="AQ389">
        <v>14</v>
      </c>
      <c r="AR389">
        <v>7</v>
      </c>
      <c r="AS389">
        <v>3</v>
      </c>
      <c r="AT389" t="s">
        <v>11073</v>
      </c>
      <c r="AU389" t="s">
        <v>11074</v>
      </c>
      <c r="AV389">
        <v>0.82699999999999996</v>
      </c>
      <c r="AW389" t="s">
        <v>65</v>
      </c>
      <c r="AX389">
        <v>23</v>
      </c>
      <c r="AY389">
        <v>17</v>
      </c>
      <c r="AZ389" t="s">
        <v>11075</v>
      </c>
      <c r="BA389">
        <v>4.0840000000000001E-2</v>
      </c>
      <c r="BB389">
        <v>-2.5400000000000002E-3</v>
      </c>
      <c r="BC389">
        <v>7.9399999999999991E-3</v>
      </c>
      <c r="BD389">
        <v>-5.1000000000000004E-4</v>
      </c>
      <c r="BE389">
        <v>0.19439999999999999</v>
      </c>
      <c r="BF389">
        <v>1</v>
      </c>
      <c r="BG389" t="s">
        <v>69</v>
      </c>
      <c r="BH389">
        <v>-0.79200000000000004</v>
      </c>
      <c r="BI389">
        <v>-1.7769999999999999</v>
      </c>
    </row>
    <row r="390" spans="3:61">
      <c r="C390">
        <v>0</v>
      </c>
      <c r="D390">
        <v>2</v>
      </c>
      <c r="E390">
        <v>0</v>
      </c>
      <c r="F390" t="s">
        <v>25021</v>
      </c>
      <c r="G390">
        <v>347</v>
      </c>
      <c r="H390" t="s">
        <v>2367</v>
      </c>
      <c r="I390" t="s">
        <v>62</v>
      </c>
      <c r="J390">
        <v>374606</v>
      </c>
      <c r="K390">
        <v>375160</v>
      </c>
      <c r="L390" t="s">
        <v>2368</v>
      </c>
      <c r="M390">
        <v>185</v>
      </c>
      <c r="N390" t="s">
        <v>629</v>
      </c>
      <c r="O390">
        <v>43</v>
      </c>
      <c r="P390" t="str">
        <f>HYPERLINK("Gene347-zp_tree_all.dnd", "Gene347-tree")</f>
        <v>Gene347-tree</v>
      </c>
      <c r="Q390">
        <v>5</v>
      </c>
      <c r="R390">
        <v>8</v>
      </c>
      <c r="S390">
        <v>5</v>
      </c>
      <c r="T390">
        <v>8</v>
      </c>
      <c r="U390">
        <v>0.61538000000000004</v>
      </c>
      <c r="V390" t="s">
        <v>199</v>
      </c>
      <c r="W390" t="s">
        <v>136</v>
      </c>
      <c r="X390" t="s">
        <v>62</v>
      </c>
      <c r="Y390" t="s">
        <v>62</v>
      </c>
      <c r="Z390">
        <v>1</v>
      </c>
      <c r="AA390">
        <v>2</v>
      </c>
      <c r="AB390">
        <v>14</v>
      </c>
      <c r="AC390">
        <v>0.125</v>
      </c>
      <c r="AD390" s="47">
        <v>0</v>
      </c>
      <c r="AE390" s="47">
        <v>0</v>
      </c>
      <c r="AF390" s="47">
        <v>0</v>
      </c>
      <c r="AG390" s="47">
        <v>1</v>
      </c>
      <c r="AH390" s="47">
        <v>0</v>
      </c>
      <c r="AI390" s="47">
        <v>2</v>
      </c>
      <c r="AJ390" s="47">
        <v>0</v>
      </c>
      <c r="AK390" s="47">
        <v>2</v>
      </c>
      <c r="AL390">
        <v>12</v>
      </c>
      <c r="AM390">
        <v>0.14285999999999999</v>
      </c>
      <c r="AN390">
        <v>8</v>
      </c>
      <c r="AO390">
        <v>10</v>
      </c>
      <c r="AP390">
        <v>13</v>
      </c>
      <c r="AQ390">
        <v>7</v>
      </c>
      <c r="AR390">
        <v>23</v>
      </c>
      <c r="AS390">
        <v>11</v>
      </c>
      <c r="AT390" t="s">
        <v>2369</v>
      </c>
      <c r="AU390" t="s">
        <v>2370</v>
      </c>
      <c r="AV390">
        <v>0.13</v>
      </c>
      <c r="AW390" t="s">
        <v>65</v>
      </c>
      <c r="AX390">
        <v>36</v>
      </c>
      <c r="AY390">
        <v>18</v>
      </c>
      <c r="AZ390" t="s">
        <v>2371</v>
      </c>
      <c r="BA390">
        <v>7.621E-2</v>
      </c>
      <c r="BB390">
        <v>-5.28E-3</v>
      </c>
      <c r="BC390">
        <v>1.218E-2</v>
      </c>
      <c r="BD390">
        <v>-7.9000000000000001E-4</v>
      </c>
      <c r="BE390">
        <v>0.15977</v>
      </c>
      <c r="BF390">
        <v>1</v>
      </c>
      <c r="BG390" t="s">
        <v>69</v>
      </c>
      <c r="BH390">
        <v>-0.34399999999999997</v>
      </c>
      <c r="BI390">
        <v>0.219</v>
      </c>
    </row>
    <row r="391" spans="3:61">
      <c r="C391">
        <v>0</v>
      </c>
      <c r="D391">
        <v>0</v>
      </c>
      <c r="E391">
        <v>0</v>
      </c>
      <c r="F391" t="s">
        <v>25021</v>
      </c>
      <c r="G391">
        <v>3511</v>
      </c>
      <c r="H391" t="s">
        <v>20554</v>
      </c>
      <c r="I391" t="s">
        <v>57</v>
      </c>
      <c r="J391">
        <v>3471266</v>
      </c>
      <c r="K391">
        <v>3471820</v>
      </c>
      <c r="L391" t="s">
        <v>20555</v>
      </c>
      <c r="M391">
        <v>185</v>
      </c>
      <c r="N391" t="s">
        <v>465</v>
      </c>
      <c r="O391">
        <v>46</v>
      </c>
      <c r="P391" t="str">
        <f>HYPERLINK("Gene3511-zp_tree_all.dnd", "Gene3511-tree")</f>
        <v>Gene3511-tree</v>
      </c>
      <c r="Q391">
        <v>8</v>
      </c>
      <c r="R391">
        <v>5</v>
      </c>
      <c r="S391">
        <v>8</v>
      </c>
      <c r="T391">
        <v>5</v>
      </c>
      <c r="U391">
        <v>0.38462000000000002</v>
      </c>
      <c r="V391" t="s">
        <v>136</v>
      </c>
      <c r="W391" t="s">
        <v>199</v>
      </c>
      <c r="X391" t="s">
        <v>62</v>
      </c>
      <c r="Y391" t="s">
        <v>62</v>
      </c>
      <c r="Z391">
        <v>0</v>
      </c>
      <c r="AA391">
        <v>0</v>
      </c>
      <c r="AB391">
        <v>10</v>
      </c>
      <c r="AC391">
        <v>0</v>
      </c>
      <c r="AD391" s="47">
        <v>0</v>
      </c>
      <c r="AE391" s="47">
        <v>0</v>
      </c>
      <c r="AF391" s="47">
        <v>0</v>
      </c>
      <c r="AG391" s="47">
        <v>0</v>
      </c>
      <c r="AH391" s="47">
        <v>0</v>
      </c>
      <c r="AI391" s="47">
        <v>0</v>
      </c>
      <c r="AJ391" s="47">
        <v>0</v>
      </c>
      <c r="AK391" s="47">
        <v>0</v>
      </c>
      <c r="AL391">
        <v>5</v>
      </c>
      <c r="AM391">
        <v>0</v>
      </c>
      <c r="AN391">
        <v>10</v>
      </c>
      <c r="AO391">
        <v>7</v>
      </c>
      <c r="AP391">
        <v>11</v>
      </c>
      <c r="AQ391">
        <v>4</v>
      </c>
      <c r="AR391">
        <v>16</v>
      </c>
      <c r="AS391">
        <v>6</v>
      </c>
      <c r="AT391" t="s">
        <v>20556</v>
      </c>
      <c r="AU391" t="s">
        <v>20557</v>
      </c>
      <c r="AV391">
        <v>1E-3</v>
      </c>
      <c r="AW391" t="s">
        <v>65</v>
      </c>
      <c r="AX391">
        <v>27</v>
      </c>
      <c r="AY391">
        <v>10</v>
      </c>
      <c r="AZ391" t="s">
        <v>20558</v>
      </c>
      <c r="BA391">
        <v>6.2129999999999998E-2</v>
      </c>
      <c r="BB391">
        <v>-6.0200000000000002E-3</v>
      </c>
      <c r="BC391">
        <v>5.3800000000000002E-3</v>
      </c>
      <c r="BD391">
        <v>-5.6999999999999998E-4</v>
      </c>
      <c r="BE391">
        <v>8.6660000000000001E-2</v>
      </c>
      <c r="BF391">
        <v>1</v>
      </c>
      <c r="BG391" t="s">
        <v>69</v>
      </c>
      <c r="BH391">
        <v>-1.4219999999999999</v>
      </c>
      <c r="BI391">
        <v>-0.79900000000000004</v>
      </c>
    </row>
    <row r="392" spans="3:61">
      <c r="C392">
        <v>0</v>
      </c>
      <c r="D392">
        <v>0</v>
      </c>
      <c r="E392">
        <v>0</v>
      </c>
      <c r="F392" t="s">
        <v>25021</v>
      </c>
      <c r="G392">
        <v>156</v>
      </c>
      <c r="H392" t="s">
        <v>1101</v>
      </c>
      <c r="I392" t="s">
        <v>62</v>
      </c>
      <c r="J392">
        <v>158518</v>
      </c>
      <c r="K392">
        <v>159072</v>
      </c>
      <c r="L392" t="s">
        <v>1102</v>
      </c>
      <c r="M392">
        <v>185</v>
      </c>
      <c r="N392" t="s">
        <v>59</v>
      </c>
      <c r="O392">
        <v>49</v>
      </c>
      <c r="P392" t="str">
        <f>HYPERLINK("Gene156-zp_tree_all.dnd", "Gene156-tree")</f>
        <v>Gene156-tree</v>
      </c>
      <c r="Q392">
        <v>9</v>
      </c>
      <c r="R392">
        <v>2</v>
      </c>
      <c r="S392">
        <v>9</v>
      </c>
      <c r="T392">
        <v>2</v>
      </c>
      <c r="U392">
        <v>0.18182000000000001</v>
      </c>
      <c r="V392" t="s">
        <v>135</v>
      </c>
      <c r="W392" t="s">
        <v>81</v>
      </c>
      <c r="X392" t="s">
        <v>62</v>
      </c>
      <c r="Y392" t="s">
        <v>62</v>
      </c>
      <c r="Z392">
        <v>0</v>
      </c>
      <c r="AA392">
        <v>0</v>
      </c>
      <c r="AB392">
        <v>7</v>
      </c>
      <c r="AC392">
        <v>0</v>
      </c>
      <c r="AD392" s="47">
        <v>0</v>
      </c>
      <c r="AE392" s="47">
        <v>0</v>
      </c>
      <c r="AF392" s="47">
        <v>0</v>
      </c>
      <c r="AG392" s="47">
        <v>0</v>
      </c>
      <c r="AH392" s="47">
        <v>0</v>
      </c>
      <c r="AI392" s="47">
        <v>0</v>
      </c>
      <c r="AJ392" s="47">
        <v>0</v>
      </c>
      <c r="AK392" s="47">
        <v>0</v>
      </c>
      <c r="AL392">
        <v>2</v>
      </c>
      <c r="AM392">
        <v>0</v>
      </c>
      <c r="AN392">
        <v>8</v>
      </c>
      <c r="AO392">
        <v>5</v>
      </c>
      <c r="AP392">
        <v>22</v>
      </c>
      <c r="AQ392">
        <v>2</v>
      </c>
      <c r="AR392">
        <v>19</v>
      </c>
      <c r="AS392">
        <v>5</v>
      </c>
      <c r="AT392" t="s">
        <v>1103</v>
      </c>
      <c r="AU392" t="s">
        <v>1104</v>
      </c>
      <c r="AV392">
        <v>0.47599999999999998</v>
      </c>
      <c r="AW392" t="s">
        <v>65</v>
      </c>
      <c r="AX392">
        <v>41</v>
      </c>
      <c r="AY392">
        <v>7</v>
      </c>
      <c r="AZ392" t="s">
        <v>1105</v>
      </c>
      <c r="BA392">
        <v>0.12647</v>
      </c>
      <c r="BB392">
        <v>-1.04E-2</v>
      </c>
      <c r="BC392">
        <v>6.2199999999999998E-3</v>
      </c>
      <c r="BD392">
        <v>-7.2000000000000005E-4</v>
      </c>
      <c r="BE392">
        <v>4.9149999999999999E-2</v>
      </c>
      <c r="BF392">
        <v>1</v>
      </c>
      <c r="BG392" t="s">
        <v>69</v>
      </c>
      <c r="BH392">
        <v>-1.3919999999999999</v>
      </c>
      <c r="BI392">
        <v>-0.27700000000000002</v>
      </c>
    </row>
    <row r="393" spans="3:61">
      <c r="C393">
        <v>0</v>
      </c>
      <c r="D393">
        <v>0</v>
      </c>
      <c r="E393">
        <v>0</v>
      </c>
      <c r="F393" t="s">
        <v>25021</v>
      </c>
      <c r="G393">
        <v>848</v>
      </c>
      <c r="H393" t="s">
        <v>5297</v>
      </c>
      <c r="I393" t="s">
        <v>62</v>
      </c>
      <c r="J393">
        <v>886778</v>
      </c>
      <c r="K393">
        <v>887332</v>
      </c>
      <c r="L393" t="s">
        <v>3095</v>
      </c>
      <c r="M393">
        <v>185</v>
      </c>
      <c r="N393" t="s">
        <v>5298</v>
      </c>
      <c r="O393">
        <v>37</v>
      </c>
      <c r="P393" t="str">
        <f>HYPERLINK("Gene848-zp_tree_all.dnd", "Gene848-tree")</f>
        <v>Gene848-tree</v>
      </c>
      <c r="Q393">
        <v>7</v>
      </c>
      <c r="R393">
        <v>1</v>
      </c>
      <c r="S393">
        <v>7</v>
      </c>
      <c r="T393">
        <v>1</v>
      </c>
      <c r="U393">
        <v>0.125</v>
      </c>
      <c r="V393" t="s">
        <v>152</v>
      </c>
      <c r="W393" t="s">
        <v>175</v>
      </c>
      <c r="X393" t="s">
        <v>62</v>
      </c>
      <c r="Y393" t="s">
        <v>62</v>
      </c>
      <c r="Z393">
        <v>0</v>
      </c>
      <c r="AA393">
        <v>0</v>
      </c>
      <c r="AB393">
        <v>1</v>
      </c>
      <c r="AC393">
        <v>0</v>
      </c>
      <c r="AD393" s="47">
        <v>0</v>
      </c>
      <c r="AE393" s="47">
        <v>0</v>
      </c>
      <c r="AF393" s="47">
        <v>0</v>
      </c>
      <c r="AG393" s="47">
        <v>0</v>
      </c>
      <c r="AH393" s="47">
        <v>0</v>
      </c>
      <c r="AI393" s="47">
        <v>0</v>
      </c>
      <c r="AJ393" s="47">
        <v>0</v>
      </c>
      <c r="AK393" s="47">
        <v>0</v>
      </c>
      <c r="AL393">
        <v>1</v>
      </c>
      <c r="AM393">
        <v>0</v>
      </c>
      <c r="AN393">
        <v>7</v>
      </c>
      <c r="AO393">
        <v>2</v>
      </c>
      <c r="AP393">
        <v>12</v>
      </c>
      <c r="AQ393">
        <v>1</v>
      </c>
      <c r="AR393">
        <v>2</v>
      </c>
      <c r="AS393">
        <v>0</v>
      </c>
      <c r="AT393" t="s">
        <v>5299</v>
      </c>
      <c r="AU393" t="s">
        <v>193</v>
      </c>
      <c r="AV393">
        <v>0.40899999999999997</v>
      </c>
      <c r="AW393" t="s">
        <v>65</v>
      </c>
      <c r="AX393">
        <v>14</v>
      </c>
      <c r="AY393">
        <v>1</v>
      </c>
      <c r="AZ393" t="s">
        <v>5300</v>
      </c>
      <c r="BA393">
        <v>3.5999999999999997E-2</v>
      </c>
      <c r="BB393">
        <v>-2.98E-3</v>
      </c>
      <c r="BC393">
        <v>5.6999999999999998E-4</v>
      </c>
      <c r="BD393">
        <v>-1.8000000000000001E-4</v>
      </c>
      <c r="BE393">
        <v>1.5890000000000001E-2</v>
      </c>
      <c r="BF393">
        <v>1</v>
      </c>
      <c r="BG393" t="s">
        <v>69</v>
      </c>
      <c r="BH393">
        <v>-1.0629999999999999</v>
      </c>
      <c r="BI393">
        <v>-2.657</v>
      </c>
    </row>
    <row r="394" spans="3:61">
      <c r="C394">
        <v>0</v>
      </c>
      <c r="D394">
        <v>2</v>
      </c>
      <c r="E394">
        <v>0</v>
      </c>
      <c r="F394" t="s">
        <v>25021</v>
      </c>
      <c r="G394">
        <v>1072</v>
      </c>
      <c r="H394" t="s">
        <v>6733</v>
      </c>
      <c r="I394" t="s">
        <v>62</v>
      </c>
      <c r="J394">
        <v>1111928</v>
      </c>
      <c r="K394">
        <v>1112485</v>
      </c>
      <c r="L394" t="s">
        <v>6734</v>
      </c>
      <c r="M394">
        <v>186</v>
      </c>
      <c r="N394" t="s">
        <v>108</v>
      </c>
      <c r="O394">
        <v>44</v>
      </c>
      <c r="P394" t="str">
        <f>HYPERLINK("Gene1072-zp_tree_all.dnd", "Gene1072-tree")</f>
        <v>Gene1072-tree</v>
      </c>
      <c r="Q394">
        <v>7</v>
      </c>
      <c r="R394">
        <v>6</v>
      </c>
      <c r="S394">
        <v>7</v>
      </c>
      <c r="T394">
        <v>6</v>
      </c>
      <c r="U394">
        <v>0.46154000000000001</v>
      </c>
      <c r="V394" t="s">
        <v>152</v>
      </c>
      <c r="W394" t="s">
        <v>90</v>
      </c>
      <c r="X394" t="s">
        <v>62</v>
      </c>
      <c r="Y394" t="s">
        <v>62</v>
      </c>
      <c r="Z394">
        <v>1</v>
      </c>
      <c r="AA394">
        <v>2</v>
      </c>
      <c r="AB394">
        <v>6</v>
      </c>
      <c r="AC394">
        <v>0.25</v>
      </c>
      <c r="AD394" s="47">
        <v>0</v>
      </c>
      <c r="AE394" s="47">
        <v>0</v>
      </c>
      <c r="AF394" s="47">
        <v>0</v>
      </c>
      <c r="AG394" s="47">
        <v>0</v>
      </c>
      <c r="AH394" s="47">
        <v>0</v>
      </c>
      <c r="AI394" s="47">
        <v>2</v>
      </c>
      <c r="AJ394" s="47">
        <v>0</v>
      </c>
      <c r="AK394" s="47">
        <v>2</v>
      </c>
      <c r="AL394">
        <v>5</v>
      </c>
      <c r="AM394">
        <v>0.28571000000000002</v>
      </c>
      <c r="AN394">
        <v>10</v>
      </c>
      <c r="AO394">
        <v>7</v>
      </c>
      <c r="AP394">
        <v>13</v>
      </c>
      <c r="AQ394">
        <v>7</v>
      </c>
      <c r="AR394">
        <v>9</v>
      </c>
      <c r="AS394">
        <v>1</v>
      </c>
      <c r="AT394" t="s">
        <v>6735</v>
      </c>
      <c r="AU394" t="s">
        <v>6736</v>
      </c>
      <c r="AV394">
        <v>0.98099999999999998</v>
      </c>
      <c r="AW394" t="s">
        <v>65</v>
      </c>
      <c r="AX394">
        <v>22</v>
      </c>
      <c r="AY394">
        <v>8</v>
      </c>
      <c r="AZ394" t="s">
        <v>6737</v>
      </c>
      <c r="BA394">
        <v>3.4590000000000003E-2</v>
      </c>
      <c r="BB394">
        <v>-2.0100000000000001E-3</v>
      </c>
      <c r="BC394">
        <v>3.2100000000000002E-3</v>
      </c>
      <c r="BD394">
        <v>-2.2000000000000001E-4</v>
      </c>
      <c r="BE394">
        <v>9.2730000000000007E-2</v>
      </c>
      <c r="BF394">
        <v>1</v>
      </c>
      <c r="BG394" t="s">
        <v>69</v>
      </c>
      <c r="BH394">
        <v>-0.61499999999999999</v>
      </c>
      <c r="BI394">
        <v>0.19800000000000001</v>
      </c>
    </row>
    <row r="395" spans="3:61">
      <c r="C395">
        <v>0</v>
      </c>
      <c r="D395">
        <v>0</v>
      </c>
      <c r="E395">
        <v>2</v>
      </c>
      <c r="F395" t="s">
        <v>25021</v>
      </c>
      <c r="G395">
        <v>4151</v>
      </c>
      <c r="H395" t="s">
        <v>24436</v>
      </c>
      <c r="I395" t="s">
        <v>57</v>
      </c>
      <c r="J395">
        <v>4118950</v>
      </c>
      <c r="K395">
        <v>4119510</v>
      </c>
      <c r="L395" t="s">
        <v>24437</v>
      </c>
      <c r="M395">
        <v>187</v>
      </c>
      <c r="N395" t="s">
        <v>515</v>
      </c>
      <c r="O395">
        <v>51</v>
      </c>
      <c r="P395" t="str">
        <f>HYPERLINK("Gene4151-zp_tree_all.dnd", "Gene4151-tree")</f>
        <v>Gene4151-tree</v>
      </c>
      <c r="Q395">
        <v>19</v>
      </c>
      <c r="R395">
        <v>2</v>
      </c>
      <c r="S395">
        <v>19</v>
      </c>
      <c r="T395">
        <v>2</v>
      </c>
      <c r="U395">
        <v>9.5240000000000005E-2</v>
      </c>
      <c r="V395" t="s">
        <v>587</v>
      </c>
      <c r="W395" t="s">
        <v>81</v>
      </c>
      <c r="X395" t="s">
        <v>62</v>
      </c>
      <c r="Y395" t="s">
        <v>62</v>
      </c>
      <c r="Z395">
        <v>1</v>
      </c>
      <c r="AA395">
        <v>2</v>
      </c>
      <c r="AB395">
        <v>7</v>
      </c>
      <c r="AC395">
        <v>0.22222</v>
      </c>
      <c r="AD395" s="47">
        <v>0</v>
      </c>
      <c r="AE395" s="47">
        <v>0</v>
      </c>
      <c r="AF395" s="47">
        <v>0</v>
      </c>
      <c r="AG395" s="47">
        <v>0</v>
      </c>
      <c r="AH395" s="47">
        <v>0</v>
      </c>
      <c r="AI395" s="47">
        <v>0</v>
      </c>
      <c r="AJ395" s="47">
        <v>0</v>
      </c>
      <c r="AK395" s="47">
        <v>0</v>
      </c>
      <c r="AL395">
        <v>2</v>
      </c>
      <c r="AM395">
        <v>0</v>
      </c>
      <c r="AN395">
        <v>15</v>
      </c>
      <c r="AO395">
        <v>12</v>
      </c>
      <c r="AP395">
        <v>29</v>
      </c>
      <c r="AQ395">
        <v>2</v>
      </c>
      <c r="AR395">
        <v>36</v>
      </c>
      <c r="AS395">
        <v>9</v>
      </c>
      <c r="AT395" t="s">
        <v>24438</v>
      </c>
      <c r="AU395" t="s">
        <v>24439</v>
      </c>
      <c r="AV395">
        <v>0.41499999999999998</v>
      </c>
      <c r="AW395" t="s">
        <v>65</v>
      </c>
      <c r="AX395">
        <v>65</v>
      </c>
      <c r="AY395">
        <v>11</v>
      </c>
      <c r="AZ395" t="s">
        <v>24440</v>
      </c>
      <c r="BA395">
        <v>9.7650000000000001E-2</v>
      </c>
      <c r="BB395">
        <v>-5.4599999999999996E-3</v>
      </c>
      <c r="BC395">
        <v>7.11E-3</v>
      </c>
      <c r="BD395">
        <v>-4.8999999999999998E-4</v>
      </c>
      <c r="BE395">
        <v>7.2859999999999994E-2</v>
      </c>
      <c r="BF395">
        <v>1</v>
      </c>
      <c r="BG395" t="s">
        <v>69</v>
      </c>
      <c r="BH395">
        <v>-1.2569999999999999</v>
      </c>
      <c r="BI395">
        <v>-0.48</v>
      </c>
    </row>
    <row r="396" spans="3:61">
      <c r="C396">
        <v>0</v>
      </c>
      <c r="D396">
        <v>7</v>
      </c>
      <c r="E396">
        <v>3</v>
      </c>
      <c r="F396" t="s">
        <v>25021</v>
      </c>
      <c r="G396">
        <v>4227</v>
      </c>
      <c r="H396" t="s">
        <v>24831</v>
      </c>
      <c r="I396" t="s">
        <v>57</v>
      </c>
      <c r="J396">
        <v>4186608</v>
      </c>
      <c r="K396">
        <v>4187171</v>
      </c>
      <c r="L396" t="s">
        <v>1940</v>
      </c>
      <c r="M396">
        <v>188</v>
      </c>
      <c r="N396" t="s">
        <v>1139</v>
      </c>
      <c r="O396">
        <v>42</v>
      </c>
      <c r="P396" t="str">
        <f>HYPERLINK("Gene4227-zp_tree_all.dnd", "Gene4227-tree")</f>
        <v>Gene4227-tree</v>
      </c>
      <c r="Q396">
        <v>3</v>
      </c>
      <c r="R396">
        <v>25</v>
      </c>
      <c r="S396">
        <v>3</v>
      </c>
      <c r="T396">
        <v>8</v>
      </c>
      <c r="U396">
        <v>0.72726999999999997</v>
      </c>
      <c r="V396" t="s">
        <v>324</v>
      </c>
      <c r="W396" t="s">
        <v>1667</v>
      </c>
      <c r="X396">
        <v>1.607</v>
      </c>
      <c r="Y396" t="s">
        <v>65</v>
      </c>
      <c r="Z396">
        <v>4</v>
      </c>
      <c r="AA396">
        <v>10</v>
      </c>
      <c r="AB396">
        <v>16</v>
      </c>
      <c r="AC396">
        <v>0.38462000000000002</v>
      </c>
      <c r="AD396" s="47">
        <v>0</v>
      </c>
      <c r="AE396" s="47">
        <v>0</v>
      </c>
      <c r="AF396" s="47">
        <v>0</v>
      </c>
      <c r="AG396" s="47">
        <v>1</v>
      </c>
      <c r="AH396" s="47">
        <v>0</v>
      </c>
      <c r="AI396" s="47">
        <v>2</v>
      </c>
      <c r="AJ396" s="47">
        <v>2</v>
      </c>
      <c r="AK396" s="47">
        <v>4</v>
      </c>
      <c r="AL396">
        <v>12</v>
      </c>
      <c r="AM396">
        <v>0.25</v>
      </c>
      <c r="AN396">
        <v>10</v>
      </c>
      <c r="AO396">
        <v>6</v>
      </c>
      <c r="AP396">
        <v>13</v>
      </c>
      <c r="AQ396">
        <v>15</v>
      </c>
      <c r="AR396">
        <v>13</v>
      </c>
      <c r="AS396">
        <v>11</v>
      </c>
      <c r="AT396" t="s">
        <v>24832</v>
      </c>
      <c r="AU396" t="s">
        <v>24833</v>
      </c>
      <c r="AV396">
        <v>0.23899999999999999</v>
      </c>
      <c r="AW396" t="s">
        <v>65</v>
      </c>
      <c r="AX396">
        <v>26</v>
      </c>
      <c r="AY396">
        <v>26</v>
      </c>
      <c r="AZ396" t="s">
        <v>24834</v>
      </c>
      <c r="BA396">
        <v>6.1019999999999998E-2</v>
      </c>
      <c r="BB396">
        <v>-5.9899999999999997E-3</v>
      </c>
      <c r="BC396">
        <v>1.3679999999999999E-2</v>
      </c>
      <c r="BD396">
        <v>-8.8000000000000003E-4</v>
      </c>
      <c r="BE396">
        <v>0.22423000000000001</v>
      </c>
      <c r="BF396">
        <v>1</v>
      </c>
      <c r="BG396" t="s">
        <v>69</v>
      </c>
      <c r="BH396">
        <v>-0.14199999999999999</v>
      </c>
      <c r="BI396">
        <v>0.44800000000000001</v>
      </c>
    </row>
    <row r="397" spans="3:61">
      <c r="C397">
        <v>0</v>
      </c>
      <c r="D397">
        <v>7</v>
      </c>
      <c r="E397">
        <v>1</v>
      </c>
      <c r="F397" t="s">
        <v>25021</v>
      </c>
      <c r="G397">
        <v>269</v>
      </c>
      <c r="H397" t="s">
        <v>1834</v>
      </c>
      <c r="I397" t="s">
        <v>62</v>
      </c>
      <c r="J397">
        <v>290135</v>
      </c>
      <c r="K397">
        <v>290698</v>
      </c>
      <c r="L397" t="s">
        <v>1835</v>
      </c>
      <c r="M397">
        <v>188</v>
      </c>
      <c r="N397" t="s">
        <v>108</v>
      </c>
      <c r="O397">
        <v>44</v>
      </c>
      <c r="P397" t="str">
        <f>HYPERLINK("Gene269-zp_tree_all.dnd", "Gene269-tree")</f>
        <v>Gene269-tree</v>
      </c>
      <c r="Q397">
        <v>8</v>
      </c>
      <c r="R397">
        <v>5</v>
      </c>
      <c r="S397">
        <v>8</v>
      </c>
      <c r="T397">
        <v>5</v>
      </c>
      <c r="U397">
        <v>0.38462000000000002</v>
      </c>
      <c r="V397" t="s">
        <v>136</v>
      </c>
      <c r="W397" t="s">
        <v>199</v>
      </c>
      <c r="X397" t="s">
        <v>62</v>
      </c>
      <c r="Y397" t="s">
        <v>62</v>
      </c>
      <c r="Z397">
        <v>3</v>
      </c>
      <c r="AA397">
        <v>8</v>
      </c>
      <c r="AB397">
        <v>5</v>
      </c>
      <c r="AC397">
        <v>0.61538000000000004</v>
      </c>
      <c r="AD397" s="47">
        <v>0</v>
      </c>
      <c r="AE397" s="47">
        <v>0</v>
      </c>
      <c r="AF397" s="47">
        <v>0</v>
      </c>
      <c r="AG397" s="47">
        <v>1</v>
      </c>
      <c r="AH397" s="47">
        <v>0</v>
      </c>
      <c r="AI397" s="47">
        <v>4</v>
      </c>
      <c r="AJ397" s="47">
        <v>1</v>
      </c>
      <c r="AK397" s="47">
        <v>5</v>
      </c>
      <c r="AL397">
        <v>5</v>
      </c>
      <c r="AM397">
        <v>0.5</v>
      </c>
      <c r="AN397">
        <v>11</v>
      </c>
      <c r="AO397">
        <v>8</v>
      </c>
      <c r="AP397">
        <v>21</v>
      </c>
      <c r="AQ397">
        <v>10</v>
      </c>
      <c r="AR397">
        <v>6</v>
      </c>
      <c r="AS397">
        <v>3</v>
      </c>
      <c r="AT397" t="s">
        <v>1836</v>
      </c>
      <c r="AU397" t="s">
        <v>1837</v>
      </c>
      <c r="AV397">
        <v>5.1999999999999998E-2</v>
      </c>
      <c r="AW397" t="s">
        <v>65</v>
      </c>
      <c r="AX397">
        <v>27</v>
      </c>
      <c r="AY397">
        <v>13</v>
      </c>
      <c r="AZ397" t="s">
        <v>1838</v>
      </c>
      <c r="BA397">
        <v>4.1549999999999997E-2</v>
      </c>
      <c r="BB397">
        <v>-2.7799999999999999E-3</v>
      </c>
      <c r="BC397">
        <v>4.9300000000000004E-3</v>
      </c>
      <c r="BD397">
        <v>-3.6999999999999999E-4</v>
      </c>
      <c r="BE397">
        <v>0.11859</v>
      </c>
      <c r="BF397">
        <v>1</v>
      </c>
      <c r="BG397" t="s">
        <v>69</v>
      </c>
      <c r="BH397">
        <v>-1.4419999999999999</v>
      </c>
      <c r="BI397">
        <v>-1.92</v>
      </c>
    </row>
    <row r="398" spans="3:61">
      <c r="C398">
        <v>0</v>
      </c>
      <c r="D398">
        <v>0</v>
      </c>
      <c r="E398">
        <v>0</v>
      </c>
      <c r="F398" t="s">
        <v>25021</v>
      </c>
      <c r="G398">
        <v>3647</v>
      </c>
      <c r="H398" t="s">
        <v>21405</v>
      </c>
      <c r="I398" t="s">
        <v>57</v>
      </c>
      <c r="J398">
        <v>3618364</v>
      </c>
      <c r="K398">
        <v>3618930</v>
      </c>
      <c r="L398" t="s">
        <v>2647</v>
      </c>
      <c r="M398">
        <v>189</v>
      </c>
      <c r="N398" t="s">
        <v>160</v>
      </c>
      <c r="O398">
        <v>45</v>
      </c>
      <c r="P398" t="str">
        <f>HYPERLINK("Gene3647-zp_tree_all.dnd", "Gene3647-tree")</f>
        <v>Gene3647-tree</v>
      </c>
      <c r="Q398">
        <v>6</v>
      </c>
      <c r="R398">
        <v>8</v>
      </c>
      <c r="S398">
        <v>6</v>
      </c>
      <c r="T398">
        <v>8</v>
      </c>
      <c r="U398">
        <v>0.57142999999999999</v>
      </c>
      <c r="V398" t="s">
        <v>90</v>
      </c>
      <c r="W398" t="s">
        <v>136</v>
      </c>
      <c r="X398" t="s">
        <v>62</v>
      </c>
      <c r="Y398" t="s">
        <v>62</v>
      </c>
      <c r="Z398">
        <v>0</v>
      </c>
      <c r="AA398">
        <v>0</v>
      </c>
      <c r="AB398">
        <v>16</v>
      </c>
      <c r="AC398">
        <v>0</v>
      </c>
      <c r="AD398" s="47">
        <v>0</v>
      </c>
      <c r="AE398" s="47">
        <v>0</v>
      </c>
      <c r="AF398" s="47">
        <v>0</v>
      </c>
      <c r="AG398" s="47">
        <v>0</v>
      </c>
      <c r="AH398" s="47">
        <v>0</v>
      </c>
      <c r="AI398" s="47">
        <v>0</v>
      </c>
      <c r="AJ398" s="47">
        <v>0</v>
      </c>
      <c r="AK398" s="47">
        <v>0</v>
      </c>
      <c r="AL398">
        <v>14</v>
      </c>
      <c r="AM398">
        <v>0</v>
      </c>
      <c r="AN398">
        <v>11</v>
      </c>
      <c r="AO398">
        <v>6</v>
      </c>
      <c r="AP398">
        <v>26</v>
      </c>
      <c r="AQ398">
        <v>14</v>
      </c>
      <c r="AR398">
        <v>4</v>
      </c>
      <c r="AS398">
        <v>2</v>
      </c>
      <c r="AT398" t="s">
        <v>21406</v>
      </c>
      <c r="AU398" t="s">
        <v>21407</v>
      </c>
      <c r="AV398">
        <v>0</v>
      </c>
      <c r="AW398" t="s">
        <v>65</v>
      </c>
      <c r="AX398">
        <v>30</v>
      </c>
      <c r="AY398">
        <v>16</v>
      </c>
      <c r="AZ398" t="s">
        <v>21408</v>
      </c>
      <c r="BA398">
        <v>4.539E-2</v>
      </c>
      <c r="BB398">
        <v>-6.7600000000000004E-3</v>
      </c>
      <c r="BC398">
        <v>5.7400000000000003E-3</v>
      </c>
      <c r="BD398">
        <v>-5.5999999999999995E-4</v>
      </c>
      <c r="BE398">
        <v>0.12644</v>
      </c>
      <c r="BF398">
        <v>1</v>
      </c>
      <c r="BG398" t="s">
        <v>69</v>
      </c>
      <c r="BH398">
        <v>-1.93</v>
      </c>
      <c r="BI398">
        <v>-4.4359999999999999</v>
      </c>
    </row>
    <row r="399" spans="3:61">
      <c r="C399">
        <v>0</v>
      </c>
      <c r="D399">
        <v>28</v>
      </c>
      <c r="E399">
        <v>3</v>
      </c>
      <c r="F399" t="s">
        <v>25021</v>
      </c>
      <c r="G399">
        <v>538</v>
      </c>
      <c r="H399" t="s">
        <v>3471</v>
      </c>
      <c r="I399" t="s">
        <v>62</v>
      </c>
      <c r="J399">
        <v>573455</v>
      </c>
      <c r="K399">
        <v>574024</v>
      </c>
      <c r="L399" t="s">
        <v>3472</v>
      </c>
      <c r="M399">
        <v>190</v>
      </c>
      <c r="N399" t="s">
        <v>465</v>
      </c>
      <c r="O399">
        <v>46</v>
      </c>
      <c r="P399" t="str">
        <f>HYPERLINK("Gene538-zp_tree_all.dnd", "Gene538-tree")</f>
        <v>Gene538-tree</v>
      </c>
      <c r="Q399">
        <v>2</v>
      </c>
      <c r="R399">
        <v>12</v>
      </c>
      <c r="S399">
        <v>2</v>
      </c>
      <c r="T399">
        <v>12</v>
      </c>
      <c r="U399">
        <v>0.85714000000000001</v>
      </c>
      <c r="V399" t="s">
        <v>81</v>
      </c>
      <c r="W399" t="s">
        <v>109</v>
      </c>
      <c r="X399" t="s">
        <v>62</v>
      </c>
      <c r="Y399" t="s">
        <v>62</v>
      </c>
      <c r="Z399">
        <v>13</v>
      </c>
      <c r="AA399">
        <v>31</v>
      </c>
      <c r="AB399">
        <v>9</v>
      </c>
      <c r="AC399">
        <v>0.77500000000000002</v>
      </c>
      <c r="AD399" s="47">
        <v>0</v>
      </c>
      <c r="AE399" s="47">
        <v>0</v>
      </c>
      <c r="AF399" s="47">
        <v>0</v>
      </c>
      <c r="AG399" s="47">
        <v>0</v>
      </c>
      <c r="AH399" s="47">
        <v>0</v>
      </c>
      <c r="AI399" s="47">
        <v>11</v>
      </c>
      <c r="AJ399" s="47">
        <v>1</v>
      </c>
      <c r="AK399" s="47">
        <v>12</v>
      </c>
      <c r="AL399">
        <v>12</v>
      </c>
      <c r="AM399">
        <v>0.5</v>
      </c>
      <c r="AN399">
        <v>14</v>
      </c>
      <c r="AO399">
        <v>11</v>
      </c>
      <c r="AP399">
        <v>27</v>
      </c>
      <c r="AQ399">
        <v>24</v>
      </c>
      <c r="AR399">
        <v>22</v>
      </c>
      <c r="AS399">
        <v>17</v>
      </c>
      <c r="AT399" t="s">
        <v>3473</v>
      </c>
      <c r="AU399" t="s">
        <v>3474</v>
      </c>
      <c r="AV399">
        <v>0.32600000000000001</v>
      </c>
      <c r="AW399" t="s">
        <v>65</v>
      </c>
      <c r="AX399">
        <v>49</v>
      </c>
      <c r="AY399">
        <v>41</v>
      </c>
      <c r="AZ399" t="s">
        <v>3475</v>
      </c>
      <c r="BA399">
        <v>8.301E-2</v>
      </c>
      <c r="BB399">
        <v>-3.9100000000000003E-3</v>
      </c>
      <c r="BC399">
        <v>1.7940000000000001E-2</v>
      </c>
      <c r="BD399">
        <v>-7.6999999999999996E-4</v>
      </c>
      <c r="BE399">
        <v>0.21618000000000001</v>
      </c>
      <c r="BF399">
        <v>1</v>
      </c>
      <c r="BG399" t="s">
        <v>69</v>
      </c>
      <c r="BH399">
        <v>-0.14000000000000001</v>
      </c>
      <c r="BI399">
        <v>-3.2000000000000001E-2</v>
      </c>
    </row>
    <row r="400" spans="3:61">
      <c r="C400">
        <v>0</v>
      </c>
      <c r="D400">
        <v>2</v>
      </c>
      <c r="E400">
        <v>2</v>
      </c>
      <c r="F400" t="s">
        <v>25021</v>
      </c>
      <c r="G400">
        <v>1196</v>
      </c>
      <c r="H400" t="s">
        <v>7523</v>
      </c>
      <c r="I400" t="s">
        <v>62</v>
      </c>
      <c r="J400">
        <v>1235915</v>
      </c>
      <c r="K400">
        <v>1236484</v>
      </c>
      <c r="L400" t="s">
        <v>7524</v>
      </c>
      <c r="M400">
        <v>190</v>
      </c>
      <c r="N400" t="s">
        <v>108</v>
      </c>
      <c r="O400">
        <v>44</v>
      </c>
      <c r="P400" t="str">
        <f>HYPERLINK("Gene1196-zp_tree_all.dnd", "Gene1196-tree")</f>
        <v>Gene1196-tree</v>
      </c>
      <c r="Q400">
        <v>5</v>
      </c>
      <c r="R400">
        <v>5</v>
      </c>
      <c r="S400">
        <v>5</v>
      </c>
      <c r="T400">
        <v>5</v>
      </c>
      <c r="U400">
        <v>0.5</v>
      </c>
      <c r="V400" t="s">
        <v>199</v>
      </c>
      <c r="W400" t="s">
        <v>199</v>
      </c>
      <c r="X400" t="s">
        <v>62</v>
      </c>
      <c r="Y400" t="s">
        <v>62</v>
      </c>
      <c r="Z400">
        <v>2</v>
      </c>
      <c r="AA400">
        <v>4</v>
      </c>
      <c r="AB400">
        <v>3</v>
      </c>
      <c r="AC400">
        <v>0.57142999999999999</v>
      </c>
      <c r="AD400" s="47">
        <v>0</v>
      </c>
      <c r="AE400" s="47">
        <v>0</v>
      </c>
      <c r="AF400" s="47">
        <v>0</v>
      </c>
      <c r="AG400" s="47">
        <v>1</v>
      </c>
      <c r="AH400" s="47">
        <v>0</v>
      </c>
      <c r="AI400" s="47">
        <v>2</v>
      </c>
      <c r="AJ400" s="47">
        <v>2</v>
      </c>
      <c r="AK400" s="47">
        <v>4</v>
      </c>
      <c r="AL400">
        <v>2</v>
      </c>
      <c r="AM400">
        <v>0.66666999999999998</v>
      </c>
      <c r="AN400">
        <v>7</v>
      </c>
      <c r="AO400">
        <v>4</v>
      </c>
      <c r="AP400">
        <v>8</v>
      </c>
      <c r="AQ400">
        <v>5</v>
      </c>
      <c r="AR400">
        <v>5</v>
      </c>
      <c r="AS400">
        <v>2</v>
      </c>
      <c r="AT400" t="s">
        <v>7525</v>
      </c>
      <c r="AU400" t="s">
        <v>7526</v>
      </c>
      <c r="AV400">
        <v>0.53600000000000003</v>
      </c>
      <c r="AW400" t="s">
        <v>65</v>
      </c>
      <c r="AX400">
        <v>13</v>
      </c>
      <c r="AY400">
        <v>7</v>
      </c>
      <c r="AZ400" t="s">
        <v>7527</v>
      </c>
      <c r="BA400">
        <v>3.1489999999999997E-2</v>
      </c>
      <c r="BB400">
        <v>-1.9599999999999999E-3</v>
      </c>
      <c r="BC400">
        <v>4.0600000000000002E-3</v>
      </c>
      <c r="BD400">
        <v>-3.3E-4</v>
      </c>
      <c r="BE400">
        <v>0.12908</v>
      </c>
      <c r="BF400">
        <v>1</v>
      </c>
      <c r="BG400" t="s">
        <v>69</v>
      </c>
      <c r="BH400">
        <v>0.443</v>
      </c>
      <c r="BI400">
        <v>-1.2110000000000001</v>
      </c>
    </row>
    <row r="401" spans="3:61">
      <c r="C401">
        <v>0</v>
      </c>
      <c r="D401">
        <v>2</v>
      </c>
      <c r="E401">
        <v>0</v>
      </c>
      <c r="F401" t="s">
        <v>25021</v>
      </c>
      <c r="G401">
        <v>402</v>
      </c>
      <c r="H401" t="s">
        <v>2724</v>
      </c>
      <c r="I401" t="s">
        <v>62</v>
      </c>
      <c r="J401">
        <v>448464</v>
      </c>
      <c r="K401">
        <v>449033</v>
      </c>
      <c r="L401" t="s">
        <v>2725</v>
      </c>
      <c r="M401">
        <v>190</v>
      </c>
      <c r="N401" t="s">
        <v>108</v>
      </c>
      <c r="O401">
        <v>44</v>
      </c>
      <c r="P401" t="str">
        <f>HYPERLINK("Gene402-zp_tree_all.dnd", "Gene402-tree")</f>
        <v>Gene402-tree</v>
      </c>
      <c r="Q401">
        <v>5</v>
      </c>
      <c r="R401">
        <v>26</v>
      </c>
      <c r="S401">
        <v>5</v>
      </c>
      <c r="T401">
        <v>7</v>
      </c>
      <c r="U401">
        <v>0.58333000000000002</v>
      </c>
      <c r="V401" t="s">
        <v>199</v>
      </c>
      <c r="W401" t="s">
        <v>191</v>
      </c>
      <c r="X401">
        <v>3.3170000000000002</v>
      </c>
      <c r="Y401" t="s">
        <v>65</v>
      </c>
      <c r="Z401">
        <v>1</v>
      </c>
      <c r="AA401">
        <v>2</v>
      </c>
      <c r="AB401">
        <v>8</v>
      </c>
      <c r="AC401">
        <v>0.2</v>
      </c>
      <c r="AD401" s="47">
        <v>0</v>
      </c>
      <c r="AE401" s="47">
        <v>0</v>
      </c>
      <c r="AF401" s="47">
        <v>0</v>
      </c>
      <c r="AG401" s="47">
        <v>4</v>
      </c>
      <c r="AH401" s="47">
        <v>0</v>
      </c>
      <c r="AI401" s="47">
        <v>2</v>
      </c>
      <c r="AJ401" s="47">
        <v>0</v>
      </c>
      <c r="AK401" s="47">
        <v>2</v>
      </c>
      <c r="AL401">
        <v>5</v>
      </c>
      <c r="AM401">
        <v>0.28571000000000002</v>
      </c>
      <c r="AN401">
        <v>11</v>
      </c>
      <c r="AO401">
        <v>5</v>
      </c>
      <c r="AP401">
        <v>21</v>
      </c>
      <c r="AQ401">
        <v>7</v>
      </c>
      <c r="AR401">
        <v>10</v>
      </c>
      <c r="AS401">
        <v>3</v>
      </c>
      <c r="AT401" t="s">
        <v>2726</v>
      </c>
      <c r="AU401" t="s">
        <v>2727</v>
      </c>
      <c r="AV401">
        <v>8.8999999999999996E-2</v>
      </c>
      <c r="AW401" t="s">
        <v>65</v>
      </c>
      <c r="AX401">
        <v>31</v>
      </c>
      <c r="AY401">
        <v>10</v>
      </c>
      <c r="AZ401" t="s">
        <v>2728</v>
      </c>
      <c r="BA401">
        <v>6.1589999999999999E-2</v>
      </c>
      <c r="BB401">
        <v>-4.0800000000000003E-3</v>
      </c>
      <c r="BC401">
        <v>5.7400000000000003E-3</v>
      </c>
      <c r="BD401">
        <v>-3.6000000000000002E-4</v>
      </c>
      <c r="BE401">
        <v>9.3229999999999993E-2</v>
      </c>
      <c r="BF401">
        <v>1</v>
      </c>
      <c r="BG401" t="s">
        <v>69</v>
      </c>
      <c r="BH401">
        <v>-0.23499999999999999</v>
      </c>
      <c r="BI401">
        <v>-0.70699999999999996</v>
      </c>
    </row>
    <row r="402" spans="3:61">
      <c r="C402">
        <v>0</v>
      </c>
      <c r="D402">
        <v>0</v>
      </c>
      <c r="E402">
        <v>2</v>
      </c>
      <c r="F402" t="s">
        <v>25021</v>
      </c>
      <c r="G402">
        <v>1258</v>
      </c>
      <c r="H402" t="s">
        <v>7883</v>
      </c>
      <c r="I402" t="s">
        <v>62</v>
      </c>
      <c r="J402">
        <v>1284873</v>
      </c>
      <c r="K402">
        <v>1285445</v>
      </c>
      <c r="L402" t="s">
        <v>2332</v>
      </c>
      <c r="M402">
        <v>191</v>
      </c>
      <c r="N402" t="s">
        <v>108</v>
      </c>
      <c r="O402">
        <v>44</v>
      </c>
      <c r="P402" t="str">
        <f>HYPERLINK("Gene1258-zp_tree_all.dnd", "Gene1258-tree")</f>
        <v>Gene1258-tree</v>
      </c>
      <c r="Q402">
        <v>5</v>
      </c>
      <c r="R402">
        <v>6</v>
      </c>
      <c r="S402">
        <v>5</v>
      </c>
      <c r="T402">
        <v>6</v>
      </c>
      <c r="U402">
        <v>0.54544999999999999</v>
      </c>
      <c r="V402" t="s">
        <v>199</v>
      </c>
      <c r="W402" t="s">
        <v>90</v>
      </c>
      <c r="X402" t="s">
        <v>62</v>
      </c>
      <c r="Y402" t="s">
        <v>62</v>
      </c>
      <c r="Z402">
        <v>1</v>
      </c>
      <c r="AA402">
        <v>2</v>
      </c>
      <c r="AB402">
        <v>8</v>
      </c>
      <c r="AC402">
        <v>0.2</v>
      </c>
      <c r="AD402" s="47">
        <v>0</v>
      </c>
      <c r="AE402" s="47">
        <v>0</v>
      </c>
      <c r="AF402" s="47">
        <v>0</v>
      </c>
      <c r="AG402" s="47">
        <v>0</v>
      </c>
      <c r="AH402" s="47">
        <v>0</v>
      </c>
      <c r="AI402" s="47">
        <v>0</v>
      </c>
      <c r="AJ402" s="47">
        <v>2</v>
      </c>
      <c r="AK402" s="47">
        <v>2</v>
      </c>
      <c r="AL402">
        <v>7</v>
      </c>
      <c r="AM402">
        <v>0.22222</v>
      </c>
      <c r="AN402">
        <v>10</v>
      </c>
      <c r="AO402">
        <v>6</v>
      </c>
      <c r="AP402">
        <v>23</v>
      </c>
      <c r="AQ402">
        <v>9</v>
      </c>
      <c r="AR402">
        <v>17</v>
      </c>
      <c r="AS402">
        <v>1</v>
      </c>
      <c r="AT402" t="s">
        <v>7884</v>
      </c>
      <c r="AU402" t="s">
        <v>7885</v>
      </c>
      <c r="AV402">
        <v>1.5249999999999999</v>
      </c>
      <c r="AW402" t="s">
        <v>65</v>
      </c>
      <c r="AX402">
        <v>40</v>
      </c>
      <c r="AY402">
        <v>10</v>
      </c>
      <c r="AZ402" t="s">
        <v>7886</v>
      </c>
      <c r="BA402">
        <v>8.3220000000000002E-2</v>
      </c>
      <c r="BB402">
        <v>-5.96E-3</v>
      </c>
      <c r="BC402">
        <v>4.7299999999999998E-3</v>
      </c>
      <c r="BD402">
        <v>-4.2999999999999999E-4</v>
      </c>
      <c r="BE402">
        <v>5.6860000000000001E-2</v>
      </c>
      <c r="BF402">
        <v>1</v>
      </c>
      <c r="BG402" t="s">
        <v>69</v>
      </c>
      <c r="BH402">
        <v>-0.41799999999999998</v>
      </c>
      <c r="BI402">
        <v>-0.16900000000000001</v>
      </c>
    </row>
    <row r="403" spans="3:61">
      <c r="C403">
        <v>0</v>
      </c>
      <c r="D403">
        <v>0</v>
      </c>
      <c r="E403">
        <v>0</v>
      </c>
      <c r="F403" t="s">
        <v>25021</v>
      </c>
      <c r="G403">
        <v>3215</v>
      </c>
      <c r="H403" t="s">
        <v>18729</v>
      </c>
      <c r="I403" t="s">
        <v>57</v>
      </c>
      <c r="J403">
        <v>3179306</v>
      </c>
      <c r="K403">
        <v>3179881</v>
      </c>
      <c r="L403" t="s">
        <v>18730</v>
      </c>
      <c r="M403">
        <v>192</v>
      </c>
      <c r="N403" t="s">
        <v>108</v>
      </c>
      <c r="O403">
        <v>44</v>
      </c>
      <c r="P403" t="str">
        <f>HYPERLINK("Gene3215-zp_tree_all.dnd", "Gene3215-tree")</f>
        <v>Gene3215-tree</v>
      </c>
      <c r="Q403">
        <v>5</v>
      </c>
      <c r="R403">
        <v>3</v>
      </c>
      <c r="S403">
        <v>5</v>
      </c>
      <c r="T403">
        <v>3</v>
      </c>
      <c r="U403">
        <v>0.375</v>
      </c>
      <c r="V403" t="s">
        <v>199</v>
      </c>
      <c r="W403" t="s">
        <v>324</v>
      </c>
      <c r="X403" t="s">
        <v>62</v>
      </c>
      <c r="Y403" t="s">
        <v>62</v>
      </c>
      <c r="Z403">
        <v>0</v>
      </c>
      <c r="AA403">
        <v>0</v>
      </c>
      <c r="AB403">
        <v>4</v>
      </c>
      <c r="AC403">
        <v>0</v>
      </c>
      <c r="AD403" s="47">
        <v>0</v>
      </c>
      <c r="AE403" s="47">
        <v>0</v>
      </c>
      <c r="AF403" s="47">
        <v>0</v>
      </c>
      <c r="AG403" s="47">
        <v>0</v>
      </c>
      <c r="AH403" s="47">
        <v>0</v>
      </c>
      <c r="AI403" s="47">
        <v>0</v>
      </c>
      <c r="AJ403" s="47">
        <v>0</v>
      </c>
      <c r="AK403" s="47">
        <v>0</v>
      </c>
      <c r="AL403">
        <v>3</v>
      </c>
      <c r="AM403">
        <v>0</v>
      </c>
      <c r="AN403">
        <v>6</v>
      </c>
      <c r="AO403">
        <v>3</v>
      </c>
      <c r="AP403">
        <v>8</v>
      </c>
      <c r="AQ403">
        <v>3</v>
      </c>
      <c r="AR403">
        <v>4</v>
      </c>
      <c r="AS403">
        <v>1</v>
      </c>
      <c r="AT403" t="s">
        <v>18731</v>
      </c>
      <c r="AU403" t="s">
        <v>18732</v>
      </c>
      <c r="AV403">
        <v>0.32400000000000001</v>
      </c>
      <c r="AW403" t="s">
        <v>65</v>
      </c>
      <c r="AX403">
        <v>12</v>
      </c>
      <c r="AY403">
        <v>4</v>
      </c>
      <c r="AZ403" t="s">
        <v>18733</v>
      </c>
      <c r="BA403">
        <v>2.3E-2</v>
      </c>
      <c r="BB403">
        <v>-2.2300000000000002E-3</v>
      </c>
      <c r="BC403">
        <v>2.7200000000000002E-3</v>
      </c>
      <c r="BD403">
        <v>-2.9E-4</v>
      </c>
      <c r="BE403">
        <v>0.11846</v>
      </c>
      <c r="BF403">
        <v>1</v>
      </c>
      <c r="BG403" t="s">
        <v>69</v>
      </c>
      <c r="BH403">
        <v>-1.5229999999999999</v>
      </c>
      <c r="BI403">
        <v>-1.452</v>
      </c>
    </row>
    <row r="404" spans="3:61">
      <c r="C404">
        <v>0</v>
      </c>
      <c r="D404">
        <v>0</v>
      </c>
      <c r="E404">
        <v>0</v>
      </c>
      <c r="F404" t="s">
        <v>25021</v>
      </c>
      <c r="G404">
        <v>3787</v>
      </c>
      <c r="H404" t="s">
        <v>22188</v>
      </c>
      <c r="I404" t="s">
        <v>57</v>
      </c>
      <c r="J404">
        <v>3758547</v>
      </c>
      <c r="K404">
        <v>3759125</v>
      </c>
      <c r="L404" t="s">
        <v>22189</v>
      </c>
      <c r="M404">
        <v>193</v>
      </c>
      <c r="N404" t="s">
        <v>108</v>
      </c>
      <c r="O404">
        <v>44</v>
      </c>
      <c r="P404" t="str">
        <f>HYPERLINK("Gene3787-zp_tree_all.dnd", "Gene3787-tree")</f>
        <v>Gene3787-tree</v>
      </c>
      <c r="Q404">
        <v>8</v>
      </c>
      <c r="R404">
        <v>5</v>
      </c>
      <c r="S404">
        <v>8</v>
      </c>
      <c r="T404">
        <v>5</v>
      </c>
      <c r="U404">
        <v>0.38462000000000002</v>
      </c>
      <c r="V404" t="s">
        <v>136</v>
      </c>
      <c r="W404" t="s">
        <v>199</v>
      </c>
      <c r="X404" t="s">
        <v>62</v>
      </c>
      <c r="Y404" t="s">
        <v>62</v>
      </c>
      <c r="Z404">
        <v>0</v>
      </c>
      <c r="AA404">
        <v>0</v>
      </c>
      <c r="AB404">
        <v>9</v>
      </c>
      <c r="AC404">
        <v>0</v>
      </c>
      <c r="AD404" s="47">
        <v>0</v>
      </c>
      <c r="AE404" s="47">
        <v>0</v>
      </c>
      <c r="AF404" s="47">
        <v>0</v>
      </c>
      <c r="AG404" s="47">
        <v>2</v>
      </c>
      <c r="AH404" s="47">
        <v>0</v>
      </c>
      <c r="AI404" s="47">
        <v>0</v>
      </c>
      <c r="AJ404" s="47">
        <v>0</v>
      </c>
      <c r="AK404" s="47">
        <v>0</v>
      </c>
      <c r="AL404">
        <v>6</v>
      </c>
      <c r="AM404">
        <v>0</v>
      </c>
      <c r="AN404">
        <v>8</v>
      </c>
      <c r="AO404">
        <v>7</v>
      </c>
      <c r="AP404">
        <v>12</v>
      </c>
      <c r="AQ404">
        <v>5</v>
      </c>
      <c r="AR404">
        <v>5</v>
      </c>
      <c r="AS404">
        <v>4</v>
      </c>
      <c r="AT404" t="s">
        <v>22190</v>
      </c>
      <c r="AU404" t="s">
        <v>22191</v>
      </c>
      <c r="AV404">
        <v>0.79</v>
      </c>
      <c r="AW404" t="s">
        <v>65</v>
      </c>
      <c r="AX404">
        <v>17</v>
      </c>
      <c r="AY404">
        <v>9</v>
      </c>
      <c r="AZ404" t="s">
        <v>22192</v>
      </c>
      <c r="BA404">
        <v>2.4240000000000001E-2</v>
      </c>
      <c r="BB404">
        <v>-1.33E-3</v>
      </c>
      <c r="BC404">
        <v>4.3600000000000002E-3</v>
      </c>
      <c r="BD404">
        <v>-3.1E-4</v>
      </c>
      <c r="BE404">
        <v>0.18004000000000001</v>
      </c>
      <c r="BF404">
        <v>1</v>
      </c>
      <c r="BG404" t="s">
        <v>69</v>
      </c>
      <c r="BH404">
        <v>-0.96399999999999997</v>
      </c>
      <c r="BI404">
        <v>-0.50600000000000001</v>
      </c>
    </row>
    <row r="405" spans="3:61">
      <c r="C405">
        <v>0</v>
      </c>
      <c r="D405">
        <v>0</v>
      </c>
      <c r="E405">
        <v>0</v>
      </c>
      <c r="F405" t="s">
        <v>25021</v>
      </c>
      <c r="G405">
        <v>2611</v>
      </c>
      <c r="H405" t="s">
        <v>15284</v>
      </c>
      <c r="I405" t="s">
        <v>57</v>
      </c>
      <c r="J405">
        <v>2590804</v>
      </c>
      <c r="K405">
        <v>2591382</v>
      </c>
      <c r="L405" t="s">
        <v>15285</v>
      </c>
      <c r="M405">
        <v>193</v>
      </c>
      <c r="N405" t="s">
        <v>108</v>
      </c>
      <c r="O405">
        <v>44</v>
      </c>
      <c r="P405" t="str">
        <f>HYPERLINK("Gene2611-zp_tree_all.dnd", "Gene2611-tree")</f>
        <v>Gene2611-tree</v>
      </c>
      <c r="Q405">
        <v>5</v>
      </c>
      <c r="R405">
        <v>5</v>
      </c>
      <c r="S405">
        <v>5</v>
      </c>
      <c r="T405">
        <v>5</v>
      </c>
      <c r="U405">
        <v>0.5</v>
      </c>
      <c r="V405" t="s">
        <v>199</v>
      </c>
      <c r="W405" t="s">
        <v>199</v>
      </c>
      <c r="X405" t="s">
        <v>62</v>
      </c>
      <c r="Y405" t="s">
        <v>62</v>
      </c>
      <c r="Z405">
        <v>0</v>
      </c>
      <c r="AA405">
        <v>0</v>
      </c>
      <c r="AB405">
        <v>6</v>
      </c>
      <c r="AC405">
        <v>0</v>
      </c>
      <c r="AD405" s="47">
        <v>0</v>
      </c>
      <c r="AE405" s="47">
        <v>0</v>
      </c>
      <c r="AF405" s="47">
        <v>0</v>
      </c>
      <c r="AG405" s="47">
        <v>1</v>
      </c>
      <c r="AH405" s="47">
        <v>0</v>
      </c>
      <c r="AI405" s="47">
        <v>0</v>
      </c>
      <c r="AJ405" s="47">
        <v>0</v>
      </c>
      <c r="AK405" s="47">
        <v>0</v>
      </c>
      <c r="AL405">
        <v>5</v>
      </c>
      <c r="AM405">
        <v>0</v>
      </c>
      <c r="AN405">
        <v>6</v>
      </c>
      <c r="AO405">
        <v>3</v>
      </c>
      <c r="AP405">
        <v>13</v>
      </c>
      <c r="AQ405">
        <v>5</v>
      </c>
      <c r="AR405">
        <v>3</v>
      </c>
      <c r="AS405">
        <v>1</v>
      </c>
      <c r="AT405" t="s">
        <v>15286</v>
      </c>
      <c r="AU405" t="s">
        <v>15287</v>
      </c>
      <c r="AV405">
        <v>8.7999999999999995E-2</v>
      </c>
      <c r="AW405" t="s">
        <v>65</v>
      </c>
      <c r="AX405">
        <v>16</v>
      </c>
      <c r="AY405">
        <v>6</v>
      </c>
      <c r="AZ405" t="s">
        <v>15288</v>
      </c>
      <c r="BA405">
        <v>3.0429999999999999E-2</v>
      </c>
      <c r="BB405">
        <v>-2.6199999999999999E-3</v>
      </c>
      <c r="BC405">
        <v>3.2100000000000002E-3</v>
      </c>
      <c r="BD405">
        <v>-3.3E-4</v>
      </c>
      <c r="BE405">
        <v>0.10537000000000001</v>
      </c>
      <c r="BF405">
        <v>1</v>
      </c>
      <c r="BG405" t="s">
        <v>69</v>
      </c>
      <c r="BH405">
        <v>-4.2999999999999997E-2</v>
      </c>
      <c r="BI405">
        <v>-0.93700000000000006</v>
      </c>
    </row>
    <row r="406" spans="3:61">
      <c r="C406">
        <v>0</v>
      </c>
      <c r="D406">
        <v>0</v>
      </c>
      <c r="E406">
        <v>0</v>
      </c>
      <c r="F406" t="s">
        <v>25021</v>
      </c>
      <c r="G406">
        <v>1874</v>
      </c>
      <c r="H406" t="s">
        <v>11730</v>
      </c>
      <c r="I406" t="s">
        <v>62</v>
      </c>
      <c r="J406">
        <v>1931923</v>
      </c>
      <c r="K406">
        <v>1932501</v>
      </c>
      <c r="L406" t="s">
        <v>11731</v>
      </c>
      <c r="M406">
        <v>193</v>
      </c>
      <c r="N406" t="s">
        <v>749</v>
      </c>
      <c r="O406">
        <v>47</v>
      </c>
      <c r="P406" t="str">
        <f>HYPERLINK("Gene1874-zp_tree_all.dnd", "Gene1874-tree")</f>
        <v>Gene1874-tree</v>
      </c>
      <c r="Q406">
        <v>32</v>
      </c>
      <c r="R406">
        <v>1</v>
      </c>
      <c r="S406">
        <v>12</v>
      </c>
      <c r="T406">
        <v>1</v>
      </c>
      <c r="U406">
        <v>7.6920000000000002E-2</v>
      </c>
      <c r="V406" t="s">
        <v>1782</v>
      </c>
      <c r="W406" t="s">
        <v>175</v>
      </c>
      <c r="X406" t="s">
        <v>62</v>
      </c>
      <c r="Y406" t="s">
        <v>62</v>
      </c>
      <c r="Z406">
        <v>0</v>
      </c>
      <c r="AA406">
        <v>0</v>
      </c>
      <c r="AB406">
        <v>4</v>
      </c>
      <c r="AC406">
        <v>0</v>
      </c>
      <c r="AD406" s="47">
        <v>0</v>
      </c>
      <c r="AE406" s="47">
        <v>0</v>
      </c>
      <c r="AF406" s="47">
        <v>0</v>
      </c>
      <c r="AG406" s="47">
        <v>0</v>
      </c>
      <c r="AH406" s="47">
        <v>0</v>
      </c>
      <c r="AI406" s="47">
        <v>0</v>
      </c>
      <c r="AJ406" s="47">
        <v>0</v>
      </c>
      <c r="AK406" s="47">
        <v>0</v>
      </c>
      <c r="AL406">
        <v>1</v>
      </c>
      <c r="AM406">
        <v>0</v>
      </c>
      <c r="AN406">
        <v>10</v>
      </c>
      <c r="AO406">
        <v>4</v>
      </c>
      <c r="AP406">
        <v>21</v>
      </c>
      <c r="AQ406">
        <v>1</v>
      </c>
      <c r="AR406">
        <v>21</v>
      </c>
      <c r="AS406">
        <v>3</v>
      </c>
      <c r="AT406" t="s">
        <v>11732</v>
      </c>
      <c r="AU406" t="s">
        <v>11733</v>
      </c>
      <c r="AV406">
        <v>0.27400000000000002</v>
      </c>
      <c r="AW406" t="s">
        <v>65</v>
      </c>
      <c r="AX406">
        <v>42</v>
      </c>
      <c r="AY406">
        <v>4</v>
      </c>
      <c r="AZ406" t="s">
        <v>11734</v>
      </c>
      <c r="BA406">
        <v>7.8939999999999996E-2</v>
      </c>
      <c r="BB406">
        <v>-8.3999999999999995E-3</v>
      </c>
      <c r="BC406">
        <v>3.0400000000000002E-3</v>
      </c>
      <c r="BD406">
        <v>-4.2999999999999999E-4</v>
      </c>
      <c r="BE406">
        <v>3.8559999999999997E-2</v>
      </c>
      <c r="BF406">
        <v>1</v>
      </c>
      <c r="BG406" t="s">
        <v>69</v>
      </c>
      <c r="BH406">
        <v>-1.7809999999999999</v>
      </c>
      <c r="BI406">
        <v>-1.714</v>
      </c>
    </row>
    <row r="407" spans="3:61">
      <c r="C407">
        <v>0</v>
      </c>
      <c r="D407">
        <v>3</v>
      </c>
      <c r="E407">
        <v>0</v>
      </c>
      <c r="F407" t="s">
        <v>25021</v>
      </c>
      <c r="G407">
        <v>1069</v>
      </c>
      <c r="H407" t="s">
        <v>6712</v>
      </c>
      <c r="I407" t="s">
        <v>62</v>
      </c>
      <c r="J407">
        <v>1108739</v>
      </c>
      <c r="K407">
        <v>1109317</v>
      </c>
      <c r="L407" t="s">
        <v>6713</v>
      </c>
      <c r="M407">
        <v>193</v>
      </c>
      <c r="N407" t="s">
        <v>108</v>
      </c>
      <c r="O407">
        <v>44</v>
      </c>
      <c r="P407" t="str">
        <f>HYPERLINK("Gene1069-zp_tree_all.dnd", "Gene1069-tree")</f>
        <v>Gene1069-tree</v>
      </c>
      <c r="Q407">
        <v>7</v>
      </c>
      <c r="R407">
        <v>5</v>
      </c>
      <c r="S407">
        <v>7</v>
      </c>
      <c r="T407">
        <v>5</v>
      </c>
      <c r="U407">
        <v>0.41666999999999998</v>
      </c>
      <c r="V407" t="s">
        <v>152</v>
      </c>
      <c r="W407" t="s">
        <v>199</v>
      </c>
      <c r="X407" t="s">
        <v>62</v>
      </c>
      <c r="Y407" t="s">
        <v>62</v>
      </c>
      <c r="Z407">
        <v>1</v>
      </c>
      <c r="AA407">
        <v>3</v>
      </c>
      <c r="AB407">
        <v>3</v>
      </c>
      <c r="AC407">
        <v>0.5</v>
      </c>
      <c r="AD407" s="47">
        <v>0</v>
      </c>
      <c r="AE407" s="47">
        <v>0</v>
      </c>
      <c r="AF407" s="47">
        <v>0</v>
      </c>
      <c r="AG407" s="47">
        <v>0</v>
      </c>
      <c r="AH407" s="47">
        <v>0</v>
      </c>
      <c r="AI407" s="47">
        <v>2</v>
      </c>
      <c r="AJ407" s="47">
        <v>0</v>
      </c>
      <c r="AK407" s="47">
        <v>2</v>
      </c>
      <c r="AL407">
        <v>3</v>
      </c>
      <c r="AM407">
        <v>0.4</v>
      </c>
      <c r="AN407">
        <v>8</v>
      </c>
      <c r="AO407">
        <v>7</v>
      </c>
      <c r="AP407">
        <v>12</v>
      </c>
      <c r="AQ407">
        <v>4</v>
      </c>
      <c r="AR407">
        <v>16</v>
      </c>
      <c r="AS407">
        <v>2</v>
      </c>
      <c r="AT407" t="s">
        <v>6714</v>
      </c>
      <c r="AU407" t="s">
        <v>6715</v>
      </c>
      <c r="AV407">
        <v>0.73</v>
      </c>
      <c r="AW407" t="s">
        <v>65</v>
      </c>
      <c r="AX407">
        <v>28</v>
      </c>
      <c r="AY407">
        <v>6</v>
      </c>
      <c r="AZ407" t="s">
        <v>6716</v>
      </c>
      <c r="BA407">
        <v>6.9779999999999995E-2</v>
      </c>
      <c r="BB407">
        <v>-5.2900000000000004E-3</v>
      </c>
      <c r="BC407">
        <v>2.0899999999999998E-3</v>
      </c>
      <c r="BD407">
        <v>-2.3000000000000001E-4</v>
      </c>
      <c r="BE407">
        <v>2.998E-2</v>
      </c>
      <c r="BF407">
        <v>1</v>
      </c>
      <c r="BG407" t="s">
        <v>69</v>
      </c>
      <c r="BH407">
        <v>-0.21199999999999999</v>
      </c>
      <c r="BI407">
        <v>0.65700000000000003</v>
      </c>
    </row>
    <row r="408" spans="3:61">
      <c r="C408">
        <v>0</v>
      </c>
      <c r="D408">
        <v>6</v>
      </c>
      <c r="E408">
        <v>0</v>
      </c>
      <c r="F408" t="s">
        <v>25021</v>
      </c>
      <c r="G408">
        <v>3165</v>
      </c>
      <c r="H408" t="s">
        <v>18398</v>
      </c>
      <c r="I408" t="s">
        <v>57</v>
      </c>
      <c r="J408">
        <v>3120964</v>
      </c>
      <c r="K408">
        <v>3121545</v>
      </c>
      <c r="L408" t="s">
        <v>18399</v>
      </c>
      <c r="M408">
        <v>194</v>
      </c>
      <c r="N408" t="s">
        <v>108</v>
      </c>
      <c r="O408">
        <v>44</v>
      </c>
      <c r="P408" t="str">
        <f>HYPERLINK("Gene3165-zp_tree_all.dnd", "Gene3165-tree")</f>
        <v>Gene3165-tree</v>
      </c>
      <c r="Q408">
        <v>9</v>
      </c>
      <c r="R408">
        <v>6</v>
      </c>
      <c r="S408">
        <v>9</v>
      </c>
      <c r="T408">
        <v>6</v>
      </c>
      <c r="U408">
        <v>0.4</v>
      </c>
      <c r="V408" t="s">
        <v>135</v>
      </c>
      <c r="W408" t="s">
        <v>90</v>
      </c>
      <c r="X408" t="s">
        <v>62</v>
      </c>
      <c r="Y408" t="s">
        <v>62</v>
      </c>
      <c r="Z408">
        <v>2</v>
      </c>
      <c r="AA408">
        <v>6</v>
      </c>
      <c r="AB408">
        <v>11</v>
      </c>
      <c r="AC408">
        <v>0.35293999999999998</v>
      </c>
      <c r="AD408" s="47">
        <v>0</v>
      </c>
      <c r="AE408" s="47">
        <v>0</v>
      </c>
      <c r="AF408" s="47">
        <v>0</v>
      </c>
      <c r="AG408" s="47">
        <v>3</v>
      </c>
      <c r="AH408" s="47">
        <v>0</v>
      </c>
      <c r="AI408" s="47">
        <v>3</v>
      </c>
      <c r="AJ408" s="47">
        <v>0</v>
      </c>
      <c r="AK408" s="47">
        <v>3</v>
      </c>
      <c r="AL408">
        <v>8</v>
      </c>
      <c r="AM408">
        <v>0.27272999999999997</v>
      </c>
      <c r="AN408">
        <v>12</v>
      </c>
      <c r="AO408">
        <v>11</v>
      </c>
      <c r="AP408">
        <v>32</v>
      </c>
      <c r="AQ408">
        <v>11</v>
      </c>
      <c r="AR408">
        <v>15</v>
      </c>
      <c r="AS408">
        <v>6</v>
      </c>
      <c r="AT408" t="s">
        <v>18400</v>
      </c>
      <c r="AU408" t="s">
        <v>18401</v>
      </c>
      <c r="AV408">
        <v>0.107</v>
      </c>
      <c r="AW408" t="s">
        <v>65</v>
      </c>
      <c r="AX408">
        <v>47</v>
      </c>
      <c r="AY408">
        <v>17</v>
      </c>
      <c r="AZ408" t="s">
        <v>18402</v>
      </c>
      <c r="BA408">
        <v>6.6860000000000003E-2</v>
      </c>
      <c r="BB408">
        <v>-3.81E-3</v>
      </c>
      <c r="BC408">
        <v>6.6299999999999996E-3</v>
      </c>
      <c r="BD408">
        <v>-4.6999999999999999E-4</v>
      </c>
      <c r="BE408">
        <v>9.9140000000000006E-2</v>
      </c>
      <c r="BF408">
        <v>1</v>
      </c>
      <c r="BG408" t="s">
        <v>69</v>
      </c>
      <c r="BH408">
        <v>-1.129</v>
      </c>
      <c r="BI408">
        <v>-2.161</v>
      </c>
    </row>
    <row r="409" spans="3:61">
      <c r="C409">
        <v>0</v>
      </c>
      <c r="D409">
        <v>0</v>
      </c>
      <c r="E409">
        <v>0</v>
      </c>
      <c r="F409" t="s">
        <v>25021</v>
      </c>
      <c r="G409">
        <v>1139</v>
      </c>
      <c r="H409" t="s">
        <v>7162</v>
      </c>
      <c r="I409" t="s">
        <v>62</v>
      </c>
      <c r="J409">
        <v>1182451</v>
      </c>
      <c r="K409">
        <v>1183032</v>
      </c>
      <c r="L409" t="s">
        <v>288</v>
      </c>
      <c r="M409">
        <v>194</v>
      </c>
      <c r="N409" t="s">
        <v>7163</v>
      </c>
      <c r="O409">
        <v>40</v>
      </c>
      <c r="P409" t="str">
        <f>HYPERLINK("Gene1139-zp_tree_all.dnd", "Gene1139-tree")</f>
        <v>Gene1139-tree</v>
      </c>
      <c r="Q409">
        <v>9</v>
      </c>
      <c r="R409">
        <v>4</v>
      </c>
      <c r="S409">
        <v>9</v>
      </c>
      <c r="T409">
        <v>4</v>
      </c>
      <c r="U409">
        <v>0.30769000000000002</v>
      </c>
      <c r="V409" t="s">
        <v>135</v>
      </c>
      <c r="W409" t="s">
        <v>61</v>
      </c>
      <c r="X409" t="s">
        <v>62</v>
      </c>
      <c r="Y409" t="s">
        <v>62</v>
      </c>
      <c r="Z409">
        <v>0</v>
      </c>
      <c r="AA409">
        <v>0</v>
      </c>
      <c r="AB409">
        <v>5</v>
      </c>
      <c r="AC409">
        <v>0</v>
      </c>
      <c r="AD409" s="47">
        <v>0</v>
      </c>
      <c r="AE409" s="47">
        <v>0</v>
      </c>
      <c r="AF409" s="47">
        <v>0</v>
      </c>
      <c r="AG409" s="47">
        <v>0</v>
      </c>
      <c r="AH409" s="47">
        <v>0</v>
      </c>
      <c r="AI409" s="47">
        <v>0</v>
      </c>
      <c r="AJ409" s="47">
        <v>0</v>
      </c>
      <c r="AK409" s="47">
        <v>0</v>
      </c>
      <c r="AL409">
        <v>4</v>
      </c>
      <c r="AM409">
        <v>0</v>
      </c>
      <c r="AN409">
        <v>12</v>
      </c>
      <c r="AO409">
        <v>4</v>
      </c>
      <c r="AP409">
        <v>19</v>
      </c>
      <c r="AQ409">
        <v>4</v>
      </c>
      <c r="AR409">
        <v>25</v>
      </c>
      <c r="AS409">
        <v>1</v>
      </c>
      <c r="AT409" t="s">
        <v>7164</v>
      </c>
      <c r="AU409" t="s">
        <v>7165</v>
      </c>
      <c r="AV409">
        <v>1.01</v>
      </c>
      <c r="AW409" t="s">
        <v>65</v>
      </c>
      <c r="AX409">
        <v>44</v>
      </c>
      <c r="AY409">
        <v>5</v>
      </c>
      <c r="AZ409" t="s">
        <v>7166</v>
      </c>
      <c r="BA409">
        <v>7.9320000000000002E-2</v>
      </c>
      <c r="BB409">
        <v>-9.3100000000000006E-3</v>
      </c>
      <c r="BC409">
        <v>2.0100000000000001E-3</v>
      </c>
      <c r="BD409">
        <v>-1.7000000000000001E-4</v>
      </c>
      <c r="BE409">
        <v>2.529E-2</v>
      </c>
      <c r="BF409">
        <v>1</v>
      </c>
      <c r="BG409" t="s">
        <v>69</v>
      </c>
      <c r="BH409">
        <v>-1.7</v>
      </c>
      <c r="BI409">
        <v>-0.21</v>
      </c>
    </row>
    <row r="410" spans="3:61">
      <c r="C410">
        <v>0</v>
      </c>
      <c r="D410">
        <v>8</v>
      </c>
      <c r="E410">
        <v>0</v>
      </c>
      <c r="F410" t="s">
        <v>25021</v>
      </c>
      <c r="G410">
        <v>1113</v>
      </c>
      <c r="H410" t="s">
        <v>6998</v>
      </c>
      <c r="I410" t="s">
        <v>62</v>
      </c>
      <c r="J410">
        <v>1156507</v>
      </c>
      <c r="K410">
        <v>1157091</v>
      </c>
      <c r="L410" t="s">
        <v>288</v>
      </c>
      <c r="M410">
        <v>195</v>
      </c>
      <c r="N410" t="s">
        <v>2513</v>
      </c>
      <c r="O410">
        <v>43</v>
      </c>
      <c r="P410" t="str">
        <f>HYPERLINK("Gene1113-zp_tree_all.dnd", "Gene1113-tree")</f>
        <v>Gene1113-tree</v>
      </c>
      <c r="Q410">
        <v>4</v>
      </c>
      <c r="R410">
        <v>9</v>
      </c>
      <c r="S410">
        <v>4</v>
      </c>
      <c r="T410">
        <v>9</v>
      </c>
      <c r="U410">
        <v>0.69230999999999998</v>
      </c>
      <c r="V410" t="s">
        <v>61</v>
      </c>
      <c r="W410" t="s">
        <v>135</v>
      </c>
      <c r="X410" t="s">
        <v>62</v>
      </c>
      <c r="Y410" t="s">
        <v>62</v>
      </c>
      <c r="Z410">
        <v>4</v>
      </c>
      <c r="AA410">
        <v>8</v>
      </c>
      <c r="AB410">
        <v>17</v>
      </c>
      <c r="AC410">
        <v>0.32</v>
      </c>
      <c r="AD410" s="47">
        <v>0</v>
      </c>
      <c r="AE410" s="47">
        <v>0</v>
      </c>
      <c r="AF410" s="47">
        <v>0</v>
      </c>
      <c r="AG410" s="47">
        <v>0</v>
      </c>
      <c r="AH410" s="47">
        <v>0</v>
      </c>
      <c r="AI410" s="47">
        <v>2</v>
      </c>
      <c r="AJ410" s="47">
        <v>0</v>
      </c>
      <c r="AK410" s="47">
        <v>2</v>
      </c>
      <c r="AL410">
        <v>18</v>
      </c>
      <c r="AM410">
        <v>0.1</v>
      </c>
      <c r="AN410">
        <v>10</v>
      </c>
      <c r="AO410">
        <v>6</v>
      </c>
      <c r="AP410">
        <v>10</v>
      </c>
      <c r="AQ410">
        <v>15</v>
      </c>
      <c r="AR410">
        <v>21</v>
      </c>
      <c r="AS410">
        <v>10</v>
      </c>
      <c r="AT410" t="s">
        <v>6999</v>
      </c>
      <c r="AU410" t="s">
        <v>7000</v>
      </c>
      <c r="AV410">
        <v>1.2789999999999999</v>
      </c>
      <c r="AW410" t="s">
        <v>65</v>
      </c>
      <c r="AX410">
        <v>31</v>
      </c>
      <c r="AY410">
        <v>25</v>
      </c>
      <c r="AZ410" t="s">
        <v>7001</v>
      </c>
      <c r="BA410">
        <v>6.4320000000000002E-2</v>
      </c>
      <c r="BB410">
        <v>-4.3699999999999998E-3</v>
      </c>
      <c r="BC410">
        <v>1.0710000000000001E-2</v>
      </c>
      <c r="BD410">
        <v>-7.6000000000000004E-4</v>
      </c>
      <c r="BE410">
        <v>0.16655</v>
      </c>
      <c r="BF410">
        <v>1</v>
      </c>
      <c r="BG410" t="s">
        <v>69</v>
      </c>
      <c r="BH410">
        <v>-0.23599999999999999</v>
      </c>
      <c r="BI410">
        <v>-0.02</v>
      </c>
    </row>
    <row r="411" spans="3:61">
      <c r="C411">
        <v>0</v>
      </c>
      <c r="D411">
        <v>0</v>
      </c>
      <c r="E411">
        <v>0</v>
      </c>
      <c r="F411" t="s">
        <v>25021</v>
      </c>
      <c r="G411">
        <v>3739</v>
      </c>
      <c r="H411" t="s">
        <v>21926</v>
      </c>
      <c r="I411" t="s">
        <v>57</v>
      </c>
      <c r="J411">
        <v>3717238</v>
      </c>
      <c r="K411">
        <v>3717822</v>
      </c>
      <c r="L411" t="s">
        <v>21927</v>
      </c>
      <c r="M411">
        <v>195</v>
      </c>
      <c r="N411" t="s">
        <v>21928</v>
      </c>
      <c r="O411">
        <v>32</v>
      </c>
      <c r="P411" t="str">
        <f>HYPERLINK("Gene3739-zp_tree_all.dnd", "Gene3739-tree")</f>
        <v>Gene3739-tree</v>
      </c>
      <c r="Q411">
        <v>7</v>
      </c>
      <c r="R411">
        <v>2</v>
      </c>
      <c r="S411">
        <v>7</v>
      </c>
      <c r="T411">
        <v>2</v>
      </c>
      <c r="U411">
        <v>0.22222</v>
      </c>
      <c r="V411" t="s">
        <v>152</v>
      </c>
      <c r="W411" t="s">
        <v>81</v>
      </c>
      <c r="X411" t="s">
        <v>62</v>
      </c>
      <c r="Y411" t="s">
        <v>62</v>
      </c>
      <c r="Z411">
        <v>0</v>
      </c>
      <c r="AA411">
        <v>0</v>
      </c>
      <c r="AB411">
        <v>7</v>
      </c>
      <c r="AC411">
        <v>0</v>
      </c>
      <c r="AD411" s="47">
        <v>0</v>
      </c>
      <c r="AE411" s="47">
        <v>0</v>
      </c>
      <c r="AF411" s="47">
        <v>0</v>
      </c>
      <c r="AG411" s="47">
        <v>3</v>
      </c>
      <c r="AH411" s="47">
        <v>0</v>
      </c>
      <c r="AI411" s="47">
        <v>0</v>
      </c>
      <c r="AJ411" s="47">
        <v>0</v>
      </c>
      <c r="AK411" s="47">
        <v>0</v>
      </c>
      <c r="AL411">
        <v>2</v>
      </c>
      <c r="AM411">
        <v>0</v>
      </c>
      <c r="AN411">
        <v>6</v>
      </c>
      <c r="AO411">
        <v>4</v>
      </c>
      <c r="AP411">
        <v>8</v>
      </c>
      <c r="AQ411">
        <v>2</v>
      </c>
      <c r="AR411">
        <v>6</v>
      </c>
      <c r="AS411">
        <v>5</v>
      </c>
      <c r="AT411" t="s">
        <v>21929</v>
      </c>
      <c r="AU411" t="s">
        <v>21930</v>
      </c>
      <c r="AV411">
        <v>0.8</v>
      </c>
      <c r="AW411" t="s">
        <v>65</v>
      </c>
      <c r="AX411">
        <v>14</v>
      </c>
      <c r="AY411">
        <v>7</v>
      </c>
      <c r="AZ411" t="s">
        <v>21931</v>
      </c>
      <c r="BA411">
        <v>3.7810000000000003E-2</v>
      </c>
      <c r="BB411">
        <v>-3.6600000000000001E-3</v>
      </c>
      <c r="BC411">
        <v>5.9699999999999996E-3</v>
      </c>
      <c r="BD411">
        <v>-6.8000000000000005E-4</v>
      </c>
      <c r="BE411">
        <v>0.15781999999999999</v>
      </c>
      <c r="BF411">
        <v>1</v>
      </c>
      <c r="BG411" t="s">
        <v>69</v>
      </c>
      <c r="BH411">
        <v>-0.67100000000000004</v>
      </c>
      <c r="BI411">
        <v>-0.70899999999999996</v>
      </c>
    </row>
    <row r="412" spans="3:61">
      <c r="C412">
        <v>0</v>
      </c>
      <c r="D412">
        <v>6</v>
      </c>
      <c r="E412">
        <v>1</v>
      </c>
      <c r="F412" t="s">
        <v>25021</v>
      </c>
      <c r="G412">
        <v>315</v>
      </c>
      <c r="H412" t="s">
        <v>2148</v>
      </c>
      <c r="I412" t="s">
        <v>62</v>
      </c>
      <c r="J412">
        <v>339159</v>
      </c>
      <c r="K412">
        <v>339749</v>
      </c>
      <c r="L412" t="s">
        <v>2149</v>
      </c>
      <c r="M412">
        <v>197</v>
      </c>
      <c r="N412" t="s">
        <v>108</v>
      </c>
      <c r="O412">
        <v>44</v>
      </c>
      <c r="P412" t="str">
        <f>HYPERLINK("Gene315-zp_tree_all.dnd", "Gene315-tree")</f>
        <v>Gene315-tree</v>
      </c>
      <c r="Q412">
        <v>25</v>
      </c>
      <c r="R412">
        <v>9</v>
      </c>
      <c r="S412">
        <v>6</v>
      </c>
      <c r="T412">
        <v>9</v>
      </c>
      <c r="U412">
        <v>0.6</v>
      </c>
      <c r="V412" t="s">
        <v>965</v>
      </c>
      <c r="W412" t="s">
        <v>135</v>
      </c>
      <c r="X412" t="s">
        <v>62</v>
      </c>
      <c r="Y412" t="s">
        <v>62</v>
      </c>
      <c r="Z412">
        <v>2</v>
      </c>
      <c r="AA412">
        <v>7</v>
      </c>
      <c r="AB412">
        <v>15</v>
      </c>
      <c r="AC412">
        <v>0.31818000000000002</v>
      </c>
      <c r="AD412" s="47">
        <v>0</v>
      </c>
      <c r="AE412" s="47">
        <v>0</v>
      </c>
      <c r="AF412" s="47">
        <v>0</v>
      </c>
      <c r="AG412" s="47">
        <v>2</v>
      </c>
      <c r="AH412" s="47">
        <v>0</v>
      </c>
      <c r="AI412" s="47">
        <v>2</v>
      </c>
      <c r="AJ412" s="47">
        <v>1</v>
      </c>
      <c r="AK412" s="47">
        <v>3</v>
      </c>
      <c r="AL412">
        <v>12</v>
      </c>
      <c r="AM412">
        <v>0.2</v>
      </c>
      <c r="AN412">
        <v>11</v>
      </c>
      <c r="AO412">
        <v>11</v>
      </c>
      <c r="AP412">
        <v>22</v>
      </c>
      <c r="AQ412">
        <v>15</v>
      </c>
      <c r="AR412">
        <v>12</v>
      </c>
      <c r="AS412">
        <v>7</v>
      </c>
      <c r="AT412" t="s">
        <v>2150</v>
      </c>
      <c r="AU412" t="s">
        <v>2151</v>
      </c>
      <c r="AV412">
        <v>0.16700000000000001</v>
      </c>
      <c r="AW412" t="s">
        <v>65</v>
      </c>
      <c r="AX412">
        <v>34</v>
      </c>
      <c r="AY412">
        <v>22</v>
      </c>
      <c r="AZ412" t="s">
        <v>2152</v>
      </c>
      <c r="BA412">
        <v>4.7750000000000001E-2</v>
      </c>
      <c r="BB412">
        <v>-2.2100000000000002E-3</v>
      </c>
      <c r="BC412">
        <v>8.5400000000000007E-3</v>
      </c>
      <c r="BD412">
        <v>-3.4000000000000002E-4</v>
      </c>
      <c r="BE412">
        <v>0.17887</v>
      </c>
      <c r="BF412">
        <v>1</v>
      </c>
      <c r="BG412" t="s">
        <v>69</v>
      </c>
      <c r="BH412">
        <v>-0.73899999999999999</v>
      </c>
      <c r="BI412">
        <v>-2.1230000000000002</v>
      </c>
    </row>
    <row r="413" spans="3:61">
      <c r="C413">
        <v>0</v>
      </c>
      <c r="D413">
        <v>4</v>
      </c>
      <c r="E413">
        <v>2</v>
      </c>
      <c r="F413" t="s">
        <v>25021</v>
      </c>
      <c r="G413">
        <v>3744</v>
      </c>
      <c r="H413" t="s">
        <v>21960</v>
      </c>
      <c r="I413" t="s">
        <v>57</v>
      </c>
      <c r="J413">
        <v>3721415</v>
      </c>
      <c r="K413">
        <v>3722005</v>
      </c>
      <c r="L413" t="s">
        <v>21961</v>
      </c>
      <c r="M413">
        <v>197</v>
      </c>
      <c r="N413" t="s">
        <v>108</v>
      </c>
      <c r="O413">
        <v>44</v>
      </c>
      <c r="P413" t="str">
        <f>HYPERLINK("Gene3744-zp_tree_all.dnd", "Gene3744-tree")</f>
        <v>Gene3744-tree</v>
      </c>
      <c r="Q413">
        <v>5</v>
      </c>
      <c r="R413">
        <v>8</v>
      </c>
      <c r="S413">
        <v>5</v>
      </c>
      <c r="T413">
        <v>8</v>
      </c>
      <c r="U413">
        <v>0.61538000000000004</v>
      </c>
      <c r="V413" t="s">
        <v>199</v>
      </c>
      <c r="W413" t="s">
        <v>136</v>
      </c>
      <c r="X413" t="s">
        <v>62</v>
      </c>
      <c r="Y413" t="s">
        <v>62</v>
      </c>
      <c r="Z413">
        <v>3</v>
      </c>
      <c r="AA413">
        <v>6</v>
      </c>
      <c r="AB413">
        <v>6</v>
      </c>
      <c r="AC413">
        <v>0.5</v>
      </c>
      <c r="AD413" s="47">
        <v>0</v>
      </c>
      <c r="AE413" s="47">
        <v>0</v>
      </c>
      <c r="AF413" s="47">
        <v>0</v>
      </c>
      <c r="AG413" s="47">
        <v>0</v>
      </c>
      <c r="AH413" s="47">
        <v>0</v>
      </c>
      <c r="AI413" s="47">
        <v>2</v>
      </c>
      <c r="AJ413" s="47">
        <v>2</v>
      </c>
      <c r="AK413" s="47">
        <v>4</v>
      </c>
      <c r="AL413">
        <v>6</v>
      </c>
      <c r="AM413">
        <v>0.4</v>
      </c>
      <c r="AN413">
        <v>10</v>
      </c>
      <c r="AO413">
        <v>8</v>
      </c>
      <c r="AP413">
        <v>23</v>
      </c>
      <c r="AQ413">
        <v>9</v>
      </c>
      <c r="AR413">
        <v>10</v>
      </c>
      <c r="AS413">
        <v>3</v>
      </c>
      <c r="AT413" t="s">
        <v>21962</v>
      </c>
      <c r="AU413" t="s">
        <v>21963</v>
      </c>
      <c r="AV413">
        <v>0.28100000000000003</v>
      </c>
      <c r="AW413" t="s">
        <v>65</v>
      </c>
      <c r="AX413">
        <v>33</v>
      </c>
      <c r="AY413">
        <v>12</v>
      </c>
      <c r="AZ413" t="s">
        <v>21964</v>
      </c>
      <c r="BA413">
        <v>4.6460000000000001E-2</v>
      </c>
      <c r="BB413">
        <v>-2.5699999999999998E-3</v>
      </c>
      <c r="BC413">
        <v>4.8900000000000002E-3</v>
      </c>
      <c r="BD413">
        <v>-3.2000000000000003E-4</v>
      </c>
      <c r="BE413">
        <v>0.10532</v>
      </c>
      <c r="BF413">
        <v>1</v>
      </c>
      <c r="BG413" t="s">
        <v>69</v>
      </c>
      <c r="BH413">
        <v>-0.39800000000000002</v>
      </c>
      <c r="BI413">
        <v>-0.92200000000000004</v>
      </c>
    </row>
    <row r="414" spans="3:61">
      <c r="C414">
        <v>0</v>
      </c>
      <c r="D414">
        <v>0</v>
      </c>
      <c r="E414">
        <v>0</v>
      </c>
      <c r="F414" t="s">
        <v>25021</v>
      </c>
      <c r="G414">
        <v>3580</v>
      </c>
      <c r="H414" t="s">
        <v>21003</v>
      </c>
      <c r="I414" t="s">
        <v>57</v>
      </c>
      <c r="J414">
        <v>3546234</v>
      </c>
      <c r="K414">
        <v>3546824</v>
      </c>
      <c r="L414" t="s">
        <v>21004</v>
      </c>
      <c r="M414">
        <v>197</v>
      </c>
      <c r="N414" t="s">
        <v>108</v>
      </c>
      <c r="O414">
        <v>44</v>
      </c>
      <c r="P414" t="str">
        <f>HYPERLINK("Gene3580-zp_tree_all.dnd", "Gene3580-tree")</f>
        <v>Gene3580-tree</v>
      </c>
      <c r="Q414">
        <v>12</v>
      </c>
      <c r="R414">
        <v>1</v>
      </c>
      <c r="S414">
        <v>12</v>
      </c>
      <c r="T414">
        <v>1</v>
      </c>
      <c r="U414">
        <v>7.6920000000000002E-2</v>
      </c>
      <c r="V414" t="s">
        <v>109</v>
      </c>
      <c r="W414" t="s">
        <v>175</v>
      </c>
      <c r="X414" t="s">
        <v>62</v>
      </c>
      <c r="Y414" t="s">
        <v>62</v>
      </c>
      <c r="Z414">
        <v>0</v>
      </c>
      <c r="AA414">
        <v>0</v>
      </c>
      <c r="AB414">
        <v>1</v>
      </c>
      <c r="AC414">
        <v>0</v>
      </c>
      <c r="AD414" s="47">
        <v>0</v>
      </c>
      <c r="AE414" s="47">
        <v>0</v>
      </c>
      <c r="AF414" s="47">
        <v>0</v>
      </c>
      <c r="AG414" s="47">
        <v>0</v>
      </c>
      <c r="AH414" s="47">
        <v>0</v>
      </c>
      <c r="AI414" s="47">
        <v>0</v>
      </c>
      <c r="AJ414" s="47">
        <v>0</v>
      </c>
      <c r="AK414" s="47">
        <v>0</v>
      </c>
      <c r="AL414">
        <v>1</v>
      </c>
      <c r="AM414">
        <v>0</v>
      </c>
      <c r="AN414">
        <v>10</v>
      </c>
      <c r="AO414">
        <v>7</v>
      </c>
      <c r="AP414">
        <v>18</v>
      </c>
      <c r="AQ414">
        <v>1</v>
      </c>
      <c r="AR414">
        <v>8</v>
      </c>
      <c r="AS414">
        <v>0</v>
      </c>
      <c r="AT414" t="s">
        <v>21005</v>
      </c>
      <c r="AU414" t="s">
        <v>193</v>
      </c>
      <c r="AV414">
        <v>0.32600000000000001</v>
      </c>
      <c r="AW414" t="s">
        <v>65</v>
      </c>
      <c r="AX414">
        <v>26</v>
      </c>
      <c r="AY414">
        <v>1</v>
      </c>
      <c r="AZ414" t="s">
        <v>21006</v>
      </c>
      <c r="BA414">
        <v>3.8780000000000002E-2</v>
      </c>
      <c r="BB414">
        <v>-2.14E-3</v>
      </c>
      <c r="BC414">
        <v>3.4000000000000002E-4</v>
      </c>
      <c r="BD414">
        <v>-9.0000000000000006E-5</v>
      </c>
      <c r="BE414">
        <v>8.8299999999999993E-3</v>
      </c>
      <c r="BF414">
        <v>1</v>
      </c>
      <c r="BG414" t="s">
        <v>69</v>
      </c>
      <c r="BH414">
        <v>-0.753</v>
      </c>
      <c r="BI414">
        <v>-1.7789999999999999</v>
      </c>
    </row>
    <row r="415" spans="3:61">
      <c r="C415">
        <v>0</v>
      </c>
      <c r="D415">
        <v>2</v>
      </c>
      <c r="E415">
        <v>0</v>
      </c>
      <c r="F415" t="s">
        <v>25021</v>
      </c>
      <c r="G415">
        <v>1294</v>
      </c>
      <c r="H415" t="s">
        <v>8120</v>
      </c>
      <c r="I415" t="s">
        <v>62</v>
      </c>
      <c r="J415">
        <v>1320573</v>
      </c>
      <c r="K415">
        <v>1321166</v>
      </c>
      <c r="L415" t="s">
        <v>8121</v>
      </c>
      <c r="M415">
        <v>198</v>
      </c>
      <c r="N415" t="s">
        <v>1305</v>
      </c>
      <c r="O415">
        <v>43</v>
      </c>
      <c r="P415" t="str">
        <f>HYPERLINK("Gene1294-zp_tree_all.dnd", "Gene1294-tree")</f>
        <v>Gene1294-tree</v>
      </c>
      <c r="Q415">
        <v>5</v>
      </c>
      <c r="R415">
        <v>5</v>
      </c>
      <c r="S415">
        <v>5</v>
      </c>
      <c r="T415">
        <v>5</v>
      </c>
      <c r="U415">
        <v>0.5</v>
      </c>
      <c r="V415" t="s">
        <v>199</v>
      </c>
      <c r="W415" t="s">
        <v>199</v>
      </c>
      <c r="X415" t="s">
        <v>62</v>
      </c>
      <c r="Y415" t="s">
        <v>62</v>
      </c>
      <c r="Z415">
        <v>1</v>
      </c>
      <c r="AA415">
        <v>2</v>
      </c>
      <c r="AB415">
        <v>7</v>
      </c>
      <c r="AC415">
        <v>0.22222</v>
      </c>
      <c r="AD415" s="47">
        <v>0</v>
      </c>
      <c r="AE415" s="47">
        <v>0</v>
      </c>
      <c r="AF415" s="47">
        <v>0</v>
      </c>
      <c r="AG415" s="47">
        <v>1</v>
      </c>
      <c r="AH415" s="47">
        <v>0</v>
      </c>
      <c r="AI415" s="47">
        <v>0</v>
      </c>
      <c r="AJ415" s="47">
        <v>0</v>
      </c>
      <c r="AK415" s="47">
        <v>0</v>
      </c>
      <c r="AL415">
        <v>6</v>
      </c>
      <c r="AM415">
        <v>0</v>
      </c>
      <c r="AN415">
        <v>6</v>
      </c>
      <c r="AO415">
        <v>6</v>
      </c>
      <c r="AP415">
        <v>23</v>
      </c>
      <c r="AQ415">
        <v>6</v>
      </c>
      <c r="AR415">
        <v>8</v>
      </c>
      <c r="AS415">
        <v>3</v>
      </c>
      <c r="AT415" t="s">
        <v>8122</v>
      </c>
      <c r="AU415" t="s">
        <v>8123</v>
      </c>
      <c r="AV415">
        <v>0.34200000000000003</v>
      </c>
      <c r="AW415" t="s">
        <v>65</v>
      </c>
      <c r="AX415">
        <v>31</v>
      </c>
      <c r="AY415">
        <v>9</v>
      </c>
      <c r="AZ415" t="s">
        <v>8124</v>
      </c>
      <c r="BA415">
        <v>6.1769999999999999E-2</v>
      </c>
      <c r="BB415">
        <v>-9.0699999999999999E-3</v>
      </c>
      <c r="BC415">
        <v>5.13E-3</v>
      </c>
      <c r="BD415">
        <v>-5.0000000000000001E-4</v>
      </c>
      <c r="BE415">
        <v>8.3119999999999999E-2</v>
      </c>
      <c r="BF415">
        <v>1</v>
      </c>
      <c r="BG415" t="s">
        <v>69</v>
      </c>
      <c r="BH415">
        <v>-1.595</v>
      </c>
      <c r="BI415">
        <v>-3.2789999999999999</v>
      </c>
    </row>
    <row r="416" spans="3:61">
      <c r="C416">
        <v>0</v>
      </c>
      <c r="D416">
        <v>0</v>
      </c>
      <c r="E416">
        <v>2</v>
      </c>
      <c r="F416" t="s">
        <v>25021</v>
      </c>
      <c r="G416">
        <v>470</v>
      </c>
      <c r="H416" t="s">
        <v>3191</v>
      </c>
      <c r="I416" t="s">
        <v>62</v>
      </c>
      <c r="J416">
        <v>515019</v>
      </c>
      <c r="K416">
        <v>515615</v>
      </c>
      <c r="L416" t="s">
        <v>3192</v>
      </c>
      <c r="M416">
        <v>199</v>
      </c>
      <c r="N416" t="s">
        <v>3193</v>
      </c>
      <c r="O416">
        <v>40</v>
      </c>
      <c r="P416" t="str">
        <f>HYPERLINK("Gene470-zp_tree_all.dnd", "Gene470-tree")</f>
        <v>Gene470-tree</v>
      </c>
      <c r="Q416">
        <v>22</v>
      </c>
      <c r="R416">
        <v>8</v>
      </c>
      <c r="S416">
        <v>4</v>
      </c>
      <c r="T416">
        <v>8</v>
      </c>
      <c r="U416">
        <v>0.66666999999999998</v>
      </c>
      <c r="V416" t="s">
        <v>2634</v>
      </c>
      <c r="W416" t="s">
        <v>136</v>
      </c>
      <c r="X416" t="s">
        <v>62</v>
      </c>
      <c r="Y416" t="s">
        <v>62</v>
      </c>
      <c r="Z416">
        <v>1</v>
      </c>
      <c r="AA416">
        <v>2</v>
      </c>
      <c r="AB416">
        <v>9</v>
      </c>
      <c r="AC416">
        <v>0.18182000000000001</v>
      </c>
      <c r="AD416" s="47">
        <v>0</v>
      </c>
      <c r="AE416" s="47">
        <v>0</v>
      </c>
      <c r="AF416" s="47">
        <v>0</v>
      </c>
      <c r="AG416" s="47">
        <v>0</v>
      </c>
      <c r="AH416" s="47">
        <v>0</v>
      </c>
      <c r="AI416" s="47">
        <v>0</v>
      </c>
      <c r="AJ416" s="47">
        <v>2</v>
      </c>
      <c r="AK416" s="47">
        <v>2</v>
      </c>
      <c r="AL416">
        <v>8</v>
      </c>
      <c r="AM416">
        <v>0.2</v>
      </c>
      <c r="AN416">
        <v>10</v>
      </c>
      <c r="AO416">
        <v>8</v>
      </c>
      <c r="AP416">
        <v>12</v>
      </c>
      <c r="AQ416">
        <v>10</v>
      </c>
      <c r="AR416">
        <v>20</v>
      </c>
      <c r="AS416">
        <v>1</v>
      </c>
      <c r="AT416" t="s">
        <v>3194</v>
      </c>
      <c r="AU416" t="s">
        <v>3195</v>
      </c>
      <c r="AV416">
        <v>2.262</v>
      </c>
      <c r="AW416" t="s">
        <v>267</v>
      </c>
      <c r="AX416">
        <v>32</v>
      </c>
      <c r="AY416">
        <v>11</v>
      </c>
      <c r="AZ416" t="s">
        <v>3196</v>
      </c>
      <c r="BA416">
        <v>5.9069999999999998E-2</v>
      </c>
      <c r="BB416">
        <v>-3.3400000000000001E-3</v>
      </c>
      <c r="BC416">
        <v>4.4400000000000004E-3</v>
      </c>
      <c r="BD416">
        <v>-2.9999999999999997E-4</v>
      </c>
      <c r="BE416">
        <v>7.5079999999999994E-2</v>
      </c>
      <c r="BF416">
        <v>1</v>
      </c>
      <c r="BG416" t="s">
        <v>69</v>
      </c>
      <c r="BH416">
        <v>5.1999999999999998E-2</v>
      </c>
      <c r="BI416">
        <v>-0.4</v>
      </c>
    </row>
    <row r="417" spans="3:61">
      <c r="C417">
        <v>0</v>
      </c>
      <c r="D417">
        <v>0</v>
      </c>
      <c r="E417">
        <v>2</v>
      </c>
      <c r="F417" t="s">
        <v>25021</v>
      </c>
      <c r="G417">
        <v>1374</v>
      </c>
      <c r="H417" t="s">
        <v>8599</v>
      </c>
      <c r="I417" t="s">
        <v>62</v>
      </c>
      <c r="J417">
        <v>1390442</v>
      </c>
      <c r="K417">
        <v>1391038</v>
      </c>
      <c r="L417" t="s">
        <v>8600</v>
      </c>
      <c r="M417">
        <v>199</v>
      </c>
      <c r="N417" t="s">
        <v>108</v>
      </c>
      <c r="O417">
        <v>44</v>
      </c>
      <c r="P417" t="str">
        <f>HYPERLINK("Gene1374-zp_tree_all.dnd", "Gene1374-tree")</f>
        <v>Gene1374-tree</v>
      </c>
      <c r="Q417">
        <v>25</v>
      </c>
      <c r="R417">
        <v>5</v>
      </c>
      <c r="S417">
        <v>8</v>
      </c>
      <c r="T417">
        <v>5</v>
      </c>
      <c r="U417">
        <v>0.38462000000000002</v>
      </c>
      <c r="V417" t="s">
        <v>1667</v>
      </c>
      <c r="W417" t="s">
        <v>199</v>
      </c>
      <c r="X417" t="s">
        <v>62</v>
      </c>
      <c r="Y417" t="s">
        <v>62</v>
      </c>
      <c r="Z417">
        <v>1</v>
      </c>
      <c r="AA417">
        <v>2</v>
      </c>
      <c r="AB417">
        <v>3</v>
      </c>
      <c r="AC417">
        <v>0.4</v>
      </c>
      <c r="AD417" s="47">
        <v>0</v>
      </c>
      <c r="AE417" s="47">
        <v>0</v>
      </c>
      <c r="AF417" s="47">
        <v>0</v>
      </c>
      <c r="AG417" s="47">
        <v>0</v>
      </c>
      <c r="AH417" s="47">
        <v>0</v>
      </c>
      <c r="AI417" s="47">
        <v>0</v>
      </c>
      <c r="AJ417" s="47">
        <v>2</v>
      </c>
      <c r="AK417" s="47">
        <v>2</v>
      </c>
      <c r="AL417">
        <v>3</v>
      </c>
      <c r="AM417">
        <v>0.4</v>
      </c>
      <c r="AN417">
        <v>12</v>
      </c>
      <c r="AO417">
        <v>2</v>
      </c>
      <c r="AP417">
        <v>20</v>
      </c>
      <c r="AQ417">
        <v>5</v>
      </c>
      <c r="AR417">
        <v>3</v>
      </c>
      <c r="AS417">
        <v>0</v>
      </c>
      <c r="AT417" t="s">
        <v>8601</v>
      </c>
      <c r="AU417" t="s">
        <v>193</v>
      </c>
      <c r="AV417">
        <v>1.8180000000000001</v>
      </c>
      <c r="AW417" t="s">
        <v>65</v>
      </c>
      <c r="AX417">
        <v>23</v>
      </c>
      <c r="AY417">
        <v>5</v>
      </c>
      <c r="AZ417" t="s">
        <v>8602</v>
      </c>
      <c r="BA417">
        <v>2.7550000000000002E-2</v>
      </c>
      <c r="BB417">
        <v>-1.4599999999999999E-3</v>
      </c>
      <c r="BC417">
        <v>1.75E-3</v>
      </c>
      <c r="BD417">
        <v>-1.7000000000000001E-4</v>
      </c>
      <c r="BE417">
        <v>6.3469999999999999E-2</v>
      </c>
      <c r="BF417">
        <v>1</v>
      </c>
      <c r="BG417" t="s">
        <v>69</v>
      </c>
      <c r="BH417">
        <v>-1.121</v>
      </c>
      <c r="BI417">
        <v>-1.0189999999999999</v>
      </c>
    </row>
    <row r="418" spans="3:61">
      <c r="C418">
        <v>0</v>
      </c>
      <c r="D418">
        <v>0</v>
      </c>
      <c r="E418">
        <v>0</v>
      </c>
      <c r="F418" t="s">
        <v>25021</v>
      </c>
      <c r="G418">
        <v>1999</v>
      </c>
      <c r="H418" t="s">
        <v>12448</v>
      </c>
      <c r="I418" t="s">
        <v>57</v>
      </c>
      <c r="J418">
        <v>2091705</v>
      </c>
      <c r="K418">
        <v>2092301</v>
      </c>
      <c r="L418" t="s">
        <v>12449</v>
      </c>
      <c r="M418">
        <v>199</v>
      </c>
      <c r="N418" t="s">
        <v>160</v>
      </c>
      <c r="O418">
        <v>45</v>
      </c>
      <c r="P418" t="str">
        <f>HYPERLINK("Gene1999-zp_tree_all.dnd", "Gene1999-tree")</f>
        <v>Gene1999-tree</v>
      </c>
      <c r="Q418">
        <v>8</v>
      </c>
      <c r="R418">
        <v>3</v>
      </c>
      <c r="S418">
        <v>8</v>
      </c>
      <c r="T418">
        <v>3</v>
      </c>
      <c r="U418">
        <v>0.27272999999999997</v>
      </c>
      <c r="V418" t="s">
        <v>136</v>
      </c>
      <c r="W418" t="s">
        <v>324</v>
      </c>
      <c r="X418" t="s">
        <v>62</v>
      </c>
      <c r="Y418" t="s">
        <v>62</v>
      </c>
      <c r="Z418">
        <v>0</v>
      </c>
      <c r="AA418">
        <v>0</v>
      </c>
      <c r="AB418">
        <v>7</v>
      </c>
      <c r="AC418">
        <v>0</v>
      </c>
      <c r="AD418" s="47">
        <v>0</v>
      </c>
      <c r="AE418" s="47">
        <v>0</v>
      </c>
      <c r="AF418" s="47">
        <v>0</v>
      </c>
      <c r="AG418" s="47">
        <v>0</v>
      </c>
      <c r="AH418" s="47">
        <v>0</v>
      </c>
      <c r="AI418" s="47">
        <v>0</v>
      </c>
      <c r="AJ418" s="47">
        <v>0</v>
      </c>
      <c r="AK418" s="47">
        <v>0</v>
      </c>
      <c r="AL418">
        <v>7</v>
      </c>
      <c r="AM418">
        <v>0</v>
      </c>
      <c r="AN418">
        <v>10</v>
      </c>
      <c r="AO418">
        <v>4</v>
      </c>
      <c r="AP418">
        <v>37</v>
      </c>
      <c r="AQ418">
        <v>7</v>
      </c>
      <c r="AR418">
        <v>5</v>
      </c>
      <c r="AS418">
        <v>0</v>
      </c>
      <c r="AT418" t="s">
        <v>12450</v>
      </c>
      <c r="AU418" t="s">
        <v>193</v>
      </c>
      <c r="AV418">
        <v>0.434</v>
      </c>
      <c r="AW418" t="s">
        <v>65</v>
      </c>
      <c r="AX418">
        <v>42</v>
      </c>
      <c r="AY418">
        <v>7</v>
      </c>
      <c r="AZ418" t="s">
        <v>12451</v>
      </c>
      <c r="BA418">
        <v>6.9070000000000006E-2</v>
      </c>
      <c r="BB418">
        <v>-8.8299999999999993E-3</v>
      </c>
      <c r="BC418">
        <v>3.0300000000000001E-3</v>
      </c>
      <c r="BD418">
        <v>-6.4000000000000005E-4</v>
      </c>
      <c r="BE418">
        <v>4.3810000000000002E-2</v>
      </c>
      <c r="BF418">
        <v>1</v>
      </c>
      <c r="BG418" t="s">
        <v>69</v>
      </c>
      <c r="BH418">
        <v>-1.8640000000000001</v>
      </c>
      <c r="BI418">
        <v>-4.4139999999999997</v>
      </c>
    </row>
    <row r="419" spans="3:61">
      <c r="C419">
        <v>0</v>
      </c>
      <c r="D419">
        <v>0</v>
      </c>
      <c r="E419">
        <v>0</v>
      </c>
      <c r="F419" t="s">
        <v>25021</v>
      </c>
      <c r="G419">
        <v>1126</v>
      </c>
      <c r="H419" t="s">
        <v>7079</v>
      </c>
      <c r="I419" t="s">
        <v>62</v>
      </c>
      <c r="J419">
        <v>1169880</v>
      </c>
      <c r="K419">
        <v>1170476</v>
      </c>
      <c r="L419" t="s">
        <v>7080</v>
      </c>
      <c r="M419">
        <v>199</v>
      </c>
      <c r="N419" t="s">
        <v>2289</v>
      </c>
      <c r="O419">
        <v>37</v>
      </c>
      <c r="P419" t="str">
        <f>HYPERLINK("Gene1126-zp_tree_all.dnd", "Gene1126-tree")</f>
        <v>Gene1126-tree</v>
      </c>
      <c r="Q419">
        <v>9</v>
      </c>
      <c r="R419">
        <v>5</v>
      </c>
      <c r="S419">
        <v>9</v>
      </c>
      <c r="T419">
        <v>5</v>
      </c>
      <c r="U419">
        <v>0.35714000000000001</v>
      </c>
      <c r="V419" t="s">
        <v>135</v>
      </c>
      <c r="W419" t="s">
        <v>199</v>
      </c>
      <c r="X419" t="s">
        <v>62</v>
      </c>
      <c r="Y419" t="s">
        <v>62</v>
      </c>
      <c r="Z419">
        <v>0</v>
      </c>
      <c r="AA419">
        <v>0</v>
      </c>
      <c r="AB419">
        <v>5</v>
      </c>
      <c r="AC419">
        <v>0</v>
      </c>
      <c r="AD419" s="47">
        <v>0</v>
      </c>
      <c r="AE419" s="47">
        <v>0</v>
      </c>
      <c r="AF419" s="47">
        <v>0</v>
      </c>
      <c r="AG419" s="47">
        <v>0</v>
      </c>
      <c r="AH419" s="47">
        <v>0</v>
      </c>
      <c r="AI419" s="47">
        <v>0</v>
      </c>
      <c r="AJ419" s="47">
        <v>0</v>
      </c>
      <c r="AK419" s="47">
        <v>0</v>
      </c>
      <c r="AL419">
        <v>5</v>
      </c>
      <c r="AM419">
        <v>0</v>
      </c>
      <c r="AN419">
        <v>12</v>
      </c>
      <c r="AO419">
        <v>7</v>
      </c>
      <c r="AP419">
        <v>23</v>
      </c>
      <c r="AQ419">
        <v>5</v>
      </c>
      <c r="AR419">
        <v>12</v>
      </c>
      <c r="AS419">
        <v>0</v>
      </c>
      <c r="AT419" t="s">
        <v>7081</v>
      </c>
      <c r="AU419" t="s">
        <v>193</v>
      </c>
      <c r="AV419">
        <v>1.8819999999999999</v>
      </c>
      <c r="AW419" t="s">
        <v>65</v>
      </c>
      <c r="AX419">
        <v>35</v>
      </c>
      <c r="AY419">
        <v>5</v>
      </c>
      <c r="AZ419" t="s">
        <v>7082</v>
      </c>
      <c r="BA419">
        <v>4.648E-2</v>
      </c>
      <c r="BB419">
        <v>-2.3900000000000002E-3</v>
      </c>
      <c r="BC419">
        <v>1.5499999999999999E-3</v>
      </c>
      <c r="BD419">
        <v>-1.3999999999999999E-4</v>
      </c>
      <c r="BE419">
        <v>3.3279999999999997E-2</v>
      </c>
      <c r="BF419">
        <v>1</v>
      </c>
      <c r="BG419" t="s">
        <v>69</v>
      </c>
      <c r="BH419">
        <v>-1.085</v>
      </c>
      <c r="BI419">
        <v>-1.5529999999999999</v>
      </c>
    </row>
    <row r="420" spans="3:61">
      <c r="C420">
        <v>0</v>
      </c>
      <c r="D420">
        <v>6</v>
      </c>
      <c r="E420">
        <v>2</v>
      </c>
      <c r="F420" t="s">
        <v>25021</v>
      </c>
      <c r="G420">
        <v>1375</v>
      </c>
      <c r="H420" t="s">
        <v>8605</v>
      </c>
      <c r="I420" t="s">
        <v>62</v>
      </c>
      <c r="J420">
        <v>1391043</v>
      </c>
      <c r="K420">
        <v>1391642</v>
      </c>
      <c r="L420" t="s">
        <v>8606</v>
      </c>
      <c r="M420">
        <v>200</v>
      </c>
      <c r="N420" t="s">
        <v>108</v>
      </c>
      <c r="O420">
        <v>44</v>
      </c>
      <c r="P420" t="str">
        <f>HYPERLINK("Gene1375-zp_tree_all.dnd", "Gene1375-tree")</f>
        <v>Gene1375-tree</v>
      </c>
      <c r="Q420">
        <v>4</v>
      </c>
      <c r="R420">
        <v>9</v>
      </c>
      <c r="S420">
        <v>4</v>
      </c>
      <c r="T420">
        <v>9</v>
      </c>
      <c r="U420">
        <v>0.69230999999999998</v>
      </c>
      <c r="V420" t="s">
        <v>61</v>
      </c>
      <c r="W420" t="s">
        <v>135</v>
      </c>
      <c r="X420" t="s">
        <v>62</v>
      </c>
      <c r="Y420" t="s">
        <v>62</v>
      </c>
      <c r="Z420">
        <v>4</v>
      </c>
      <c r="AA420">
        <v>8</v>
      </c>
      <c r="AB420">
        <v>12</v>
      </c>
      <c r="AC420">
        <v>0.4</v>
      </c>
      <c r="AD420" s="47">
        <v>0</v>
      </c>
      <c r="AE420" s="47">
        <v>0</v>
      </c>
      <c r="AF420" s="47">
        <v>0</v>
      </c>
      <c r="AG420" s="47">
        <v>0</v>
      </c>
      <c r="AH420" s="47">
        <v>0</v>
      </c>
      <c r="AI420" s="47">
        <v>6</v>
      </c>
      <c r="AJ420" s="47">
        <v>2</v>
      </c>
      <c r="AK420" s="47">
        <v>8</v>
      </c>
      <c r="AL420">
        <v>9</v>
      </c>
      <c r="AM420">
        <v>0.47059000000000001</v>
      </c>
      <c r="AN420">
        <v>12</v>
      </c>
      <c r="AO420">
        <v>5</v>
      </c>
      <c r="AP420">
        <v>24</v>
      </c>
      <c r="AQ420">
        <v>17</v>
      </c>
      <c r="AR420">
        <v>6</v>
      </c>
      <c r="AS420">
        <v>3</v>
      </c>
      <c r="AT420" t="s">
        <v>8607</v>
      </c>
      <c r="AU420" t="s">
        <v>8608</v>
      </c>
      <c r="AV420">
        <v>0.68400000000000005</v>
      </c>
      <c r="AW420" t="s">
        <v>65</v>
      </c>
      <c r="AX420">
        <v>30</v>
      </c>
      <c r="AY420">
        <v>20</v>
      </c>
      <c r="AZ420" t="s">
        <v>8609</v>
      </c>
      <c r="BA420">
        <v>4.0960000000000003E-2</v>
      </c>
      <c r="BB420">
        <v>-1.75E-3</v>
      </c>
      <c r="BC420">
        <v>7.7400000000000004E-3</v>
      </c>
      <c r="BD420">
        <v>-4.2000000000000002E-4</v>
      </c>
      <c r="BE420">
        <v>0.18905</v>
      </c>
      <c r="BF420">
        <v>1</v>
      </c>
      <c r="BG420" t="s">
        <v>69</v>
      </c>
      <c r="BH420">
        <v>-1.0589999999999999</v>
      </c>
      <c r="BI420">
        <v>-0.46200000000000002</v>
      </c>
    </row>
    <row r="421" spans="3:61">
      <c r="C421">
        <v>0</v>
      </c>
      <c r="D421">
        <v>0</v>
      </c>
      <c r="E421">
        <v>4</v>
      </c>
      <c r="F421" t="s">
        <v>25021</v>
      </c>
      <c r="G421">
        <v>3321</v>
      </c>
      <c r="H421" t="s">
        <v>19388</v>
      </c>
      <c r="I421" t="s">
        <v>57</v>
      </c>
      <c r="J421">
        <v>3294270</v>
      </c>
      <c r="K421">
        <v>3294869</v>
      </c>
      <c r="L421" t="s">
        <v>19389</v>
      </c>
      <c r="M421">
        <v>200</v>
      </c>
      <c r="N421" t="s">
        <v>108</v>
      </c>
      <c r="O421">
        <v>44</v>
      </c>
      <c r="P421" t="str">
        <f>HYPERLINK("Gene3321-zp_tree_all.dnd", "Gene3321-tree")</f>
        <v>Gene3321-tree</v>
      </c>
      <c r="Q421">
        <v>8</v>
      </c>
      <c r="R421">
        <v>6</v>
      </c>
      <c r="S421">
        <v>8</v>
      </c>
      <c r="T421">
        <v>6</v>
      </c>
      <c r="U421">
        <v>0.42857000000000001</v>
      </c>
      <c r="V421" t="s">
        <v>136</v>
      </c>
      <c r="W421" t="s">
        <v>90</v>
      </c>
      <c r="X421" t="s">
        <v>62</v>
      </c>
      <c r="Y421" t="s">
        <v>62</v>
      </c>
      <c r="Z421">
        <v>2</v>
      </c>
      <c r="AA421">
        <v>4</v>
      </c>
      <c r="AB421">
        <v>6</v>
      </c>
      <c r="AC421">
        <v>0.4</v>
      </c>
      <c r="AD421" s="47">
        <v>0</v>
      </c>
      <c r="AE421" s="47">
        <v>0</v>
      </c>
      <c r="AF421" s="47">
        <v>0</v>
      </c>
      <c r="AG421" s="47">
        <v>1</v>
      </c>
      <c r="AH421" s="47">
        <v>0</v>
      </c>
      <c r="AI421" s="47">
        <v>0</v>
      </c>
      <c r="AJ421" s="47">
        <v>2</v>
      </c>
      <c r="AK421" s="47">
        <v>2</v>
      </c>
      <c r="AL421">
        <v>6</v>
      </c>
      <c r="AM421">
        <v>0.25</v>
      </c>
      <c r="AN421">
        <v>10</v>
      </c>
      <c r="AO421">
        <v>7</v>
      </c>
      <c r="AP421">
        <v>10</v>
      </c>
      <c r="AQ421">
        <v>7</v>
      </c>
      <c r="AR421">
        <v>8</v>
      </c>
      <c r="AS421">
        <v>3</v>
      </c>
      <c r="AT421" t="s">
        <v>19390</v>
      </c>
      <c r="AU421" t="s">
        <v>19391</v>
      </c>
      <c r="AV421">
        <v>0.69</v>
      </c>
      <c r="AW421" t="s">
        <v>65</v>
      </c>
      <c r="AX421">
        <v>18</v>
      </c>
      <c r="AY421">
        <v>10</v>
      </c>
      <c r="AZ421" t="s">
        <v>19392</v>
      </c>
      <c r="BA421">
        <v>2.3089999999999999E-2</v>
      </c>
      <c r="BB421">
        <v>-1.2800000000000001E-3</v>
      </c>
      <c r="BC421">
        <v>4.2700000000000004E-3</v>
      </c>
      <c r="BD421">
        <v>-2.9E-4</v>
      </c>
      <c r="BE421">
        <v>0.18471000000000001</v>
      </c>
      <c r="BF421">
        <v>1</v>
      </c>
      <c r="BG421" t="s">
        <v>69</v>
      </c>
      <c r="BH421">
        <v>-1.2929999999999999</v>
      </c>
      <c r="BI421">
        <v>-2.58</v>
      </c>
    </row>
    <row r="422" spans="3:61">
      <c r="C422">
        <v>0</v>
      </c>
      <c r="D422">
        <v>0</v>
      </c>
      <c r="E422">
        <v>0</v>
      </c>
      <c r="F422" t="s">
        <v>25021</v>
      </c>
      <c r="G422">
        <v>3084</v>
      </c>
      <c r="H422" t="s">
        <v>17871</v>
      </c>
      <c r="I422" t="s">
        <v>57</v>
      </c>
      <c r="J422">
        <v>3035730</v>
      </c>
      <c r="K422">
        <v>3036329</v>
      </c>
      <c r="L422" t="s">
        <v>17872</v>
      </c>
      <c r="M422">
        <v>200</v>
      </c>
      <c r="N422" t="s">
        <v>59</v>
      </c>
      <c r="O422">
        <v>49</v>
      </c>
      <c r="P422" t="str">
        <f>HYPERLINK("Gene3084-zp_tree_all.dnd", "Gene3084-tree")</f>
        <v>Gene3084-tree</v>
      </c>
      <c r="Q422">
        <v>12</v>
      </c>
      <c r="R422">
        <v>0</v>
      </c>
      <c r="S422">
        <v>12</v>
      </c>
      <c r="T422">
        <v>0</v>
      </c>
      <c r="U422">
        <v>0</v>
      </c>
      <c r="V422" t="s">
        <v>109</v>
      </c>
      <c r="W422" t="s">
        <v>62</v>
      </c>
      <c r="X422" t="s">
        <v>62</v>
      </c>
      <c r="Y422" t="s">
        <v>62</v>
      </c>
      <c r="Z422">
        <v>0</v>
      </c>
      <c r="AA422">
        <v>0</v>
      </c>
      <c r="AB422">
        <v>2</v>
      </c>
      <c r="AC422">
        <v>0</v>
      </c>
      <c r="AD422" s="47">
        <v>0</v>
      </c>
      <c r="AE422" s="47">
        <v>0</v>
      </c>
      <c r="AF422" s="47">
        <v>0</v>
      </c>
      <c r="AG422" s="47">
        <v>2</v>
      </c>
      <c r="AH422" s="47">
        <v>0</v>
      </c>
      <c r="AI422" s="47">
        <v>0</v>
      </c>
      <c r="AJ422" s="47">
        <v>0</v>
      </c>
      <c r="AK422" s="47">
        <v>0</v>
      </c>
      <c r="AL422">
        <v>0</v>
      </c>
      <c r="AM422">
        <v>0</v>
      </c>
      <c r="AN422">
        <v>8</v>
      </c>
      <c r="AO422">
        <v>5</v>
      </c>
      <c r="AP422">
        <v>13</v>
      </c>
      <c r="AQ422">
        <v>0</v>
      </c>
      <c r="AR422">
        <v>9</v>
      </c>
      <c r="AS422">
        <v>2</v>
      </c>
      <c r="AT422" t="s">
        <v>193</v>
      </c>
      <c r="AU422" t="s">
        <v>17873</v>
      </c>
      <c r="AV422">
        <v>0.96799999999999997</v>
      </c>
      <c r="AW422" t="s">
        <v>65</v>
      </c>
      <c r="AX422">
        <v>22</v>
      </c>
      <c r="AY422">
        <v>2</v>
      </c>
      <c r="AZ422" t="s">
        <v>17874</v>
      </c>
      <c r="BA422">
        <v>3.4279999999999998E-2</v>
      </c>
      <c r="BB422">
        <v>-2.1900000000000001E-3</v>
      </c>
      <c r="BC422">
        <v>1.74E-3</v>
      </c>
      <c r="BD422">
        <v>-1.7000000000000001E-4</v>
      </c>
      <c r="BE422">
        <v>5.0729999999999997E-2</v>
      </c>
      <c r="BF422">
        <v>1</v>
      </c>
      <c r="BG422" t="s">
        <v>69</v>
      </c>
      <c r="BH422">
        <v>-1.6259999999999999</v>
      </c>
      <c r="BI422">
        <v>-1.014</v>
      </c>
    </row>
    <row r="423" spans="3:61">
      <c r="C423">
        <v>0</v>
      </c>
      <c r="D423">
        <v>9</v>
      </c>
      <c r="E423">
        <v>1</v>
      </c>
      <c r="F423" t="s">
        <v>25021</v>
      </c>
      <c r="G423">
        <v>4224</v>
      </c>
      <c r="H423" t="s">
        <v>24819</v>
      </c>
      <c r="I423" t="s">
        <v>57</v>
      </c>
      <c r="J423">
        <v>4184460</v>
      </c>
      <c r="K423">
        <v>4185062</v>
      </c>
      <c r="L423" t="s">
        <v>3095</v>
      </c>
      <c r="M423">
        <v>201</v>
      </c>
      <c r="N423" t="s">
        <v>1933</v>
      </c>
      <c r="O423">
        <v>39</v>
      </c>
      <c r="P423" t="str">
        <f>HYPERLINK("Gene4224-zp_tree_all.dnd", "Gene4224-tree")</f>
        <v>Gene4224-tree</v>
      </c>
      <c r="Q423">
        <v>4</v>
      </c>
      <c r="R423">
        <v>6</v>
      </c>
      <c r="S423">
        <v>4</v>
      </c>
      <c r="T423">
        <v>6</v>
      </c>
      <c r="U423">
        <v>0.6</v>
      </c>
      <c r="V423" t="s">
        <v>61</v>
      </c>
      <c r="W423" t="s">
        <v>90</v>
      </c>
      <c r="X423" t="s">
        <v>62</v>
      </c>
      <c r="Y423" t="s">
        <v>62</v>
      </c>
      <c r="Z423">
        <v>4</v>
      </c>
      <c r="AA423">
        <v>10</v>
      </c>
      <c r="AB423">
        <v>17</v>
      </c>
      <c r="AC423">
        <v>0.37036999999999998</v>
      </c>
      <c r="AD423" s="47">
        <v>0</v>
      </c>
      <c r="AE423" s="47">
        <v>0</v>
      </c>
      <c r="AF423" s="47">
        <v>0</v>
      </c>
      <c r="AG423" s="47">
        <v>0</v>
      </c>
      <c r="AH423" s="47">
        <v>0</v>
      </c>
      <c r="AI423" s="47">
        <v>0</v>
      </c>
      <c r="AJ423" s="47">
        <v>0</v>
      </c>
      <c r="AK423" s="47">
        <v>0</v>
      </c>
      <c r="AL423">
        <v>14</v>
      </c>
      <c r="AM423">
        <v>0</v>
      </c>
      <c r="AN423">
        <v>10</v>
      </c>
      <c r="AO423">
        <v>6</v>
      </c>
      <c r="AP423">
        <v>31</v>
      </c>
      <c r="AQ423">
        <v>14</v>
      </c>
      <c r="AR423">
        <v>11</v>
      </c>
      <c r="AS423">
        <v>13</v>
      </c>
      <c r="AT423" t="s">
        <v>24820</v>
      </c>
      <c r="AU423" t="s">
        <v>24821</v>
      </c>
      <c r="AV423">
        <v>1.288</v>
      </c>
      <c r="AW423" t="s">
        <v>65</v>
      </c>
      <c r="AX423">
        <v>42</v>
      </c>
      <c r="AY423">
        <v>27</v>
      </c>
      <c r="AZ423" t="s">
        <v>24822</v>
      </c>
      <c r="BA423">
        <v>7.5810000000000002E-2</v>
      </c>
      <c r="BB423">
        <v>-5.0099999999999997E-3</v>
      </c>
      <c r="BC423">
        <v>1.5740000000000001E-2</v>
      </c>
      <c r="BD423">
        <v>-1.0300000000000001E-3</v>
      </c>
      <c r="BE423">
        <v>0.20760999999999999</v>
      </c>
      <c r="BF423">
        <v>1</v>
      </c>
      <c r="BG423" t="s">
        <v>69</v>
      </c>
      <c r="BH423">
        <v>0.56799999999999995</v>
      </c>
      <c r="BI423">
        <v>0.34100000000000003</v>
      </c>
    </row>
    <row r="424" spans="3:61">
      <c r="C424">
        <v>0</v>
      </c>
      <c r="D424">
        <v>2</v>
      </c>
      <c r="E424">
        <v>0</v>
      </c>
      <c r="F424" t="s">
        <v>25021</v>
      </c>
      <c r="G424">
        <v>409</v>
      </c>
      <c r="H424" t="s">
        <v>2774</v>
      </c>
      <c r="I424" t="s">
        <v>62</v>
      </c>
      <c r="J424">
        <v>454655</v>
      </c>
      <c r="K424">
        <v>455260</v>
      </c>
      <c r="L424" t="s">
        <v>2512</v>
      </c>
      <c r="M424">
        <v>202</v>
      </c>
      <c r="N424" t="s">
        <v>2775</v>
      </c>
      <c r="O424">
        <v>32</v>
      </c>
      <c r="P424" t="str">
        <f>HYPERLINK("Gene409-zp_tree_all.dnd", "Gene409-tree")</f>
        <v>Gene409-tree</v>
      </c>
      <c r="Q424">
        <v>4</v>
      </c>
      <c r="R424">
        <v>5</v>
      </c>
      <c r="S424">
        <v>4</v>
      </c>
      <c r="T424">
        <v>5</v>
      </c>
      <c r="U424">
        <v>0.55556000000000005</v>
      </c>
      <c r="V424" t="s">
        <v>61</v>
      </c>
      <c r="W424" t="s">
        <v>199</v>
      </c>
      <c r="X424" t="s">
        <v>62</v>
      </c>
      <c r="Y424" t="s">
        <v>62</v>
      </c>
      <c r="Z424">
        <v>1</v>
      </c>
      <c r="AA424">
        <v>2</v>
      </c>
      <c r="AB424">
        <v>12</v>
      </c>
      <c r="AC424">
        <v>0.14285999999999999</v>
      </c>
      <c r="AD424" s="47">
        <v>0</v>
      </c>
      <c r="AE424" s="47">
        <v>0</v>
      </c>
      <c r="AF424" s="47">
        <v>0</v>
      </c>
      <c r="AG424" s="47">
        <v>4</v>
      </c>
      <c r="AH424" s="47">
        <v>0</v>
      </c>
      <c r="AI424" s="47">
        <v>0</v>
      </c>
      <c r="AJ424" s="47">
        <v>0</v>
      </c>
      <c r="AK424" s="47">
        <v>0</v>
      </c>
      <c r="AL424">
        <v>5</v>
      </c>
      <c r="AM424">
        <v>0</v>
      </c>
      <c r="AN424">
        <v>5</v>
      </c>
      <c r="AO424">
        <v>5</v>
      </c>
      <c r="AP424">
        <v>8</v>
      </c>
      <c r="AQ424">
        <v>6</v>
      </c>
      <c r="AR424">
        <v>5</v>
      </c>
      <c r="AS424">
        <v>10</v>
      </c>
      <c r="AT424" t="s">
        <v>2776</v>
      </c>
      <c r="AU424" t="s">
        <v>2777</v>
      </c>
      <c r="AV424">
        <v>1.1299999999999999</v>
      </c>
      <c r="AW424" t="s">
        <v>65</v>
      </c>
      <c r="AX424">
        <v>13</v>
      </c>
      <c r="AY424">
        <v>16</v>
      </c>
      <c r="AZ424" t="s">
        <v>2778</v>
      </c>
      <c r="BA424">
        <v>2.7969999999999998E-2</v>
      </c>
      <c r="BB424">
        <v>-2.5300000000000001E-3</v>
      </c>
      <c r="BC424">
        <v>1.1509999999999999E-2</v>
      </c>
      <c r="BD424">
        <v>-1.17E-3</v>
      </c>
      <c r="BE424">
        <v>0.41132000000000002</v>
      </c>
      <c r="BF424">
        <v>0.97</v>
      </c>
      <c r="BG424" t="s">
        <v>69</v>
      </c>
      <c r="BH424">
        <v>-2.4E-2</v>
      </c>
      <c r="BI424">
        <v>-0.51600000000000001</v>
      </c>
    </row>
    <row r="425" spans="3:61">
      <c r="C425">
        <v>0</v>
      </c>
      <c r="D425">
        <v>4</v>
      </c>
      <c r="E425">
        <v>3</v>
      </c>
      <c r="F425" t="s">
        <v>25021</v>
      </c>
      <c r="G425">
        <v>2035</v>
      </c>
      <c r="H425" t="s">
        <v>12667</v>
      </c>
      <c r="I425" t="s">
        <v>57</v>
      </c>
      <c r="J425">
        <v>2127813</v>
      </c>
      <c r="K425">
        <v>2128418</v>
      </c>
      <c r="L425" t="s">
        <v>12668</v>
      </c>
      <c r="M425">
        <v>202</v>
      </c>
      <c r="N425" t="s">
        <v>59</v>
      </c>
      <c r="O425">
        <v>49</v>
      </c>
      <c r="P425" t="str">
        <f>HYPERLINK("Gene2035-zp_tree_all.dnd", "Gene2035-tree")</f>
        <v>Gene2035-tree</v>
      </c>
      <c r="Q425">
        <v>9</v>
      </c>
      <c r="R425">
        <v>7</v>
      </c>
      <c r="S425">
        <v>9</v>
      </c>
      <c r="T425">
        <v>7</v>
      </c>
      <c r="U425">
        <v>0.4375</v>
      </c>
      <c r="V425" t="s">
        <v>135</v>
      </c>
      <c r="W425" t="s">
        <v>152</v>
      </c>
      <c r="X425" t="s">
        <v>62</v>
      </c>
      <c r="Y425" t="s">
        <v>62</v>
      </c>
      <c r="Z425">
        <v>3</v>
      </c>
      <c r="AA425">
        <v>7</v>
      </c>
      <c r="AB425">
        <v>11</v>
      </c>
      <c r="AC425">
        <v>0.38889000000000001</v>
      </c>
      <c r="AD425" s="47">
        <v>0</v>
      </c>
      <c r="AE425" s="47">
        <v>0</v>
      </c>
      <c r="AF425" s="47">
        <v>0</v>
      </c>
      <c r="AG425" s="47">
        <v>0</v>
      </c>
      <c r="AH425" s="47">
        <v>0</v>
      </c>
      <c r="AI425" s="47">
        <v>2</v>
      </c>
      <c r="AJ425" s="47">
        <v>0</v>
      </c>
      <c r="AK425" s="47">
        <v>2</v>
      </c>
      <c r="AL425">
        <v>8</v>
      </c>
      <c r="AM425">
        <v>0.2</v>
      </c>
      <c r="AN425">
        <v>13</v>
      </c>
      <c r="AO425">
        <v>9</v>
      </c>
      <c r="AP425">
        <v>17</v>
      </c>
      <c r="AQ425">
        <v>10</v>
      </c>
      <c r="AR425">
        <v>39</v>
      </c>
      <c r="AS425">
        <v>8</v>
      </c>
      <c r="AT425" t="s">
        <v>12669</v>
      </c>
      <c r="AU425" t="s">
        <v>12670</v>
      </c>
      <c r="AV425">
        <v>1.004</v>
      </c>
      <c r="AW425" t="s">
        <v>65</v>
      </c>
      <c r="AX425">
        <v>56</v>
      </c>
      <c r="AY425">
        <v>18</v>
      </c>
      <c r="AZ425" t="s">
        <v>12671</v>
      </c>
      <c r="BA425">
        <v>0.11389000000000001</v>
      </c>
      <c r="BB425">
        <v>-7.7400000000000004E-3</v>
      </c>
      <c r="BC425">
        <v>7.4000000000000003E-3</v>
      </c>
      <c r="BD425">
        <v>-4.4000000000000002E-4</v>
      </c>
      <c r="BE425">
        <v>6.4960000000000004E-2</v>
      </c>
      <c r="BF425">
        <v>1</v>
      </c>
      <c r="BG425" t="s">
        <v>69</v>
      </c>
      <c r="BH425">
        <v>-1.33</v>
      </c>
      <c r="BI425">
        <v>-0.438</v>
      </c>
    </row>
    <row r="426" spans="3:61">
      <c r="C426">
        <v>0</v>
      </c>
      <c r="D426">
        <v>2</v>
      </c>
      <c r="E426">
        <v>0</v>
      </c>
      <c r="F426" t="s">
        <v>25021</v>
      </c>
      <c r="G426">
        <v>1535</v>
      </c>
      <c r="H426" t="s">
        <v>9591</v>
      </c>
      <c r="I426" t="s">
        <v>62</v>
      </c>
      <c r="J426">
        <v>1544939</v>
      </c>
      <c r="K426">
        <v>1545547</v>
      </c>
      <c r="L426" t="s">
        <v>2332</v>
      </c>
      <c r="M426">
        <v>203</v>
      </c>
      <c r="N426" t="s">
        <v>108</v>
      </c>
      <c r="O426">
        <v>44</v>
      </c>
      <c r="P426" t="str">
        <f>HYPERLINK("Gene1535-zp_tree_all.dnd", "Gene1535-tree")</f>
        <v>Gene1535-tree</v>
      </c>
      <c r="Q426">
        <v>5</v>
      </c>
      <c r="R426">
        <v>6</v>
      </c>
      <c r="S426">
        <v>5</v>
      </c>
      <c r="T426">
        <v>6</v>
      </c>
      <c r="U426">
        <v>0.54544999999999999</v>
      </c>
      <c r="V426" t="s">
        <v>199</v>
      </c>
      <c r="W426" t="s">
        <v>90</v>
      </c>
      <c r="X426" t="s">
        <v>62</v>
      </c>
      <c r="Y426" t="s">
        <v>62</v>
      </c>
      <c r="Z426">
        <v>1</v>
      </c>
      <c r="AA426">
        <v>2</v>
      </c>
      <c r="AB426">
        <v>19</v>
      </c>
      <c r="AC426">
        <v>9.5240000000000005E-2</v>
      </c>
      <c r="AD426" s="47">
        <v>0</v>
      </c>
      <c r="AE426" s="47">
        <v>0</v>
      </c>
      <c r="AF426" s="47">
        <v>0</v>
      </c>
      <c r="AG426" s="47">
        <v>1</v>
      </c>
      <c r="AH426" s="47">
        <v>0</v>
      </c>
      <c r="AI426" s="47">
        <v>0</v>
      </c>
      <c r="AJ426" s="47">
        <v>0</v>
      </c>
      <c r="AK426" s="47">
        <v>0</v>
      </c>
      <c r="AL426">
        <v>18</v>
      </c>
      <c r="AM426">
        <v>0</v>
      </c>
      <c r="AN426">
        <v>7</v>
      </c>
      <c r="AO426">
        <v>4</v>
      </c>
      <c r="AP426">
        <v>20</v>
      </c>
      <c r="AQ426">
        <v>20</v>
      </c>
      <c r="AR426">
        <v>3</v>
      </c>
      <c r="AS426">
        <v>3</v>
      </c>
      <c r="AT426" t="s">
        <v>9592</v>
      </c>
      <c r="AU426" t="s">
        <v>9593</v>
      </c>
      <c r="AV426">
        <v>1.0999999999999999E-2</v>
      </c>
      <c r="AW426" t="s">
        <v>65</v>
      </c>
      <c r="AX426">
        <v>23</v>
      </c>
      <c r="AY426">
        <v>23</v>
      </c>
      <c r="AZ426" t="s">
        <v>9594</v>
      </c>
      <c r="BA426">
        <v>3.5560000000000001E-2</v>
      </c>
      <c r="BB426">
        <v>-4.5399999999999998E-3</v>
      </c>
      <c r="BC426">
        <v>1.001E-2</v>
      </c>
      <c r="BD426">
        <v>-1.6900000000000001E-3</v>
      </c>
      <c r="BE426">
        <v>0.28158</v>
      </c>
      <c r="BF426">
        <v>1</v>
      </c>
      <c r="BG426" t="s">
        <v>69</v>
      </c>
      <c r="BH426">
        <v>-2.319</v>
      </c>
      <c r="BI426">
        <v>-4.3079999999999998</v>
      </c>
    </row>
    <row r="427" spans="3:61">
      <c r="C427">
        <v>0</v>
      </c>
      <c r="D427">
        <v>0</v>
      </c>
      <c r="E427">
        <v>2</v>
      </c>
      <c r="F427" t="s">
        <v>25021</v>
      </c>
      <c r="G427">
        <v>2209</v>
      </c>
      <c r="H427" t="s">
        <v>13018</v>
      </c>
      <c r="I427" t="s">
        <v>57</v>
      </c>
      <c r="J427">
        <v>2241154</v>
      </c>
      <c r="K427">
        <v>2241762</v>
      </c>
      <c r="L427" t="s">
        <v>12900</v>
      </c>
      <c r="M427">
        <v>203</v>
      </c>
      <c r="N427" t="s">
        <v>12873</v>
      </c>
      <c r="O427">
        <v>18</v>
      </c>
      <c r="P427" t="str">
        <f>HYPERLINK("Gene2209-zp_tree_all.dnd", "Gene2209-tree")</f>
        <v>Gene2209-tree</v>
      </c>
      <c r="Q427">
        <v>0</v>
      </c>
      <c r="R427">
        <v>18</v>
      </c>
      <c r="S427">
        <v>0</v>
      </c>
      <c r="T427">
        <v>4</v>
      </c>
      <c r="U427">
        <v>1</v>
      </c>
      <c r="V427" t="s">
        <v>62</v>
      </c>
      <c r="W427" t="s">
        <v>13012</v>
      </c>
      <c r="X427">
        <v>5.15</v>
      </c>
      <c r="Y427" t="s">
        <v>65</v>
      </c>
      <c r="Z427">
        <v>1</v>
      </c>
      <c r="AA427">
        <v>2</v>
      </c>
      <c r="AB427">
        <v>4</v>
      </c>
      <c r="AC427">
        <v>0.33333000000000002</v>
      </c>
      <c r="AD427" s="47">
        <v>0</v>
      </c>
      <c r="AE427" s="47">
        <v>0</v>
      </c>
      <c r="AF427" s="47">
        <v>0</v>
      </c>
      <c r="AG427" s="47">
        <v>0</v>
      </c>
      <c r="AH427" s="47">
        <v>0</v>
      </c>
      <c r="AI427" s="47">
        <v>0</v>
      </c>
      <c r="AJ427" s="47">
        <v>2</v>
      </c>
      <c r="AK427" s="47">
        <v>2</v>
      </c>
      <c r="AL427">
        <v>4</v>
      </c>
      <c r="AM427">
        <v>0.33333000000000002</v>
      </c>
      <c r="AN427">
        <v>4</v>
      </c>
      <c r="AO427">
        <v>0</v>
      </c>
      <c r="AP427">
        <v>9</v>
      </c>
      <c r="AQ427">
        <v>6</v>
      </c>
      <c r="AR427">
        <v>0</v>
      </c>
      <c r="AS427">
        <v>0</v>
      </c>
      <c r="AT427" t="s">
        <v>13019</v>
      </c>
      <c r="AU427" t="s">
        <v>193</v>
      </c>
      <c r="AV427">
        <v>0.64300000000000002</v>
      </c>
      <c r="AW427" t="s">
        <v>65</v>
      </c>
      <c r="AX427">
        <v>9</v>
      </c>
      <c r="AY427">
        <v>6</v>
      </c>
      <c r="AZ427" t="s">
        <v>13020</v>
      </c>
      <c r="BA427">
        <v>3.0929999999999999E-2</v>
      </c>
      <c r="BB427">
        <v>-1.2630000000000001E-2</v>
      </c>
      <c r="BC427">
        <v>6.5900000000000004E-3</v>
      </c>
      <c r="BD427">
        <v>-5.1999999999999995E-4</v>
      </c>
      <c r="BE427">
        <v>0.21303</v>
      </c>
      <c r="BF427">
        <v>0.99</v>
      </c>
      <c r="BG427" t="s">
        <v>69</v>
      </c>
      <c r="BH427">
        <v>-2.1840000000000002</v>
      </c>
      <c r="BI427">
        <v>-3.0739999999999998</v>
      </c>
    </row>
    <row r="428" spans="3:61">
      <c r="C428">
        <v>0</v>
      </c>
      <c r="D428">
        <v>2</v>
      </c>
      <c r="E428">
        <v>0</v>
      </c>
      <c r="F428" t="s">
        <v>25021</v>
      </c>
      <c r="G428">
        <v>1034</v>
      </c>
      <c r="H428" t="s">
        <v>6484</v>
      </c>
      <c r="I428" t="s">
        <v>62</v>
      </c>
      <c r="J428">
        <v>1073109</v>
      </c>
      <c r="K428">
        <v>1073717</v>
      </c>
      <c r="L428" t="s">
        <v>6485</v>
      </c>
      <c r="M428">
        <v>203</v>
      </c>
      <c r="N428" t="s">
        <v>59</v>
      </c>
      <c r="O428">
        <v>49</v>
      </c>
      <c r="P428" t="str">
        <f>HYPERLINK("Gene1034-zp_tree_all.dnd", "Gene1034-tree")</f>
        <v>Gene1034-tree</v>
      </c>
      <c r="Q428">
        <v>13</v>
      </c>
      <c r="R428">
        <v>3</v>
      </c>
      <c r="S428">
        <v>13</v>
      </c>
      <c r="T428">
        <v>3</v>
      </c>
      <c r="U428">
        <v>0.1875</v>
      </c>
      <c r="V428" t="s">
        <v>507</v>
      </c>
      <c r="W428" t="s">
        <v>324</v>
      </c>
      <c r="X428" t="s">
        <v>62</v>
      </c>
      <c r="Y428" t="s">
        <v>62</v>
      </c>
      <c r="Z428">
        <v>1</v>
      </c>
      <c r="AA428">
        <v>2</v>
      </c>
      <c r="AB428">
        <v>3</v>
      </c>
      <c r="AC428">
        <v>0.4</v>
      </c>
      <c r="AD428" s="47">
        <v>0</v>
      </c>
      <c r="AE428" s="47">
        <v>0</v>
      </c>
      <c r="AF428" s="47">
        <v>0</v>
      </c>
      <c r="AG428" s="47">
        <v>0</v>
      </c>
      <c r="AH428" s="47">
        <v>0</v>
      </c>
      <c r="AI428" s="47">
        <v>0</v>
      </c>
      <c r="AJ428" s="47">
        <v>0</v>
      </c>
      <c r="AK428" s="47">
        <v>0</v>
      </c>
      <c r="AL428">
        <v>3</v>
      </c>
      <c r="AM428">
        <v>0</v>
      </c>
      <c r="AN428">
        <v>12</v>
      </c>
      <c r="AO428">
        <v>10</v>
      </c>
      <c r="AP428">
        <v>24</v>
      </c>
      <c r="AQ428">
        <v>3</v>
      </c>
      <c r="AR428">
        <v>24</v>
      </c>
      <c r="AS428">
        <v>2</v>
      </c>
      <c r="AT428" t="s">
        <v>6486</v>
      </c>
      <c r="AU428" t="s">
        <v>6487</v>
      </c>
      <c r="AV428">
        <v>0.223</v>
      </c>
      <c r="AW428" t="s">
        <v>65</v>
      </c>
      <c r="AX428">
        <v>48</v>
      </c>
      <c r="AY428">
        <v>5</v>
      </c>
      <c r="AZ428" t="s">
        <v>6488</v>
      </c>
      <c r="BA428">
        <v>8.9419999999999999E-2</v>
      </c>
      <c r="BB428">
        <v>-5.94E-3</v>
      </c>
      <c r="BC428">
        <v>1.47E-3</v>
      </c>
      <c r="BD428">
        <v>-1.6000000000000001E-4</v>
      </c>
      <c r="BE428">
        <v>1.6459999999999999E-2</v>
      </c>
      <c r="BF428">
        <v>1</v>
      </c>
      <c r="BG428" t="s">
        <v>69</v>
      </c>
      <c r="BH428">
        <v>-1.073</v>
      </c>
      <c r="BI428">
        <v>-0.67800000000000005</v>
      </c>
    </row>
    <row r="429" spans="3:61">
      <c r="C429">
        <v>0</v>
      </c>
      <c r="D429">
        <v>5</v>
      </c>
      <c r="E429">
        <v>0</v>
      </c>
      <c r="F429" t="s">
        <v>25021</v>
      </c>
      <c r="G429">
        <v>400</v>
      </c>
      <c r="H429" t="s">
        <v>2710</v>
      </c>
      <c r="I429" t="s">
        <v>62</v>
      </c>
      <c r="J429">
        <v>446177</v>
      </c>
      <c r="K429">
        <v>446788</v>
      </c>
      <c r="L429" t="s">
        <v>2711</v>
      </c>
      <c r="M429">
        <v>204</v>
      </c>
      <c r="N429" t="s">
        <v>108</v>
      </c>
      <c r="O429">
        <v>44</v>
      </c>
      <c r="P429" t="str">
        <f>HYPERLINK("Gene400-zp_tree_all.dnd", "Gene400-tree")</f>
        <v>Gene400-tree</v>
      </c>
      <c r="Q429">
        <v>7</v>
      </c>
      <c r="R429">
        <v>7</v>
      </c>
      <c r="S429">
        <v>7</v>
      </c>
      <c r="T429">
        <v>7</v>
      </c>
      <c r="U429">
        <v>0.5</v>
      </c>
      <c r="V429" t="s">
        <v>152</v>
      </c>
      <c r="W429" t="s">
        <v>152</v>
      </c>
      <c r="X429" t="s">
        <v>62</v>
      </c>
      <c r="Y429" t="s">
        <v>62</v>
      </c>
      <c r="Z429">
        <v>2</v>
      </c>
      <c r="AA429">
        <v>5</v>
      </c>
      <c r="AB429">
        <v>8</v>
      </c>
      <c r="AC429">
        <v>0.38462000000000002</v>
      </c>
      <c r="AD429" s="47">
        <v>0</v>
      </c>
      <c r="AE429" s="47">
        <v>0</v>
      </c>
      <c r="AF429" s="47">
        <v>0</v>
      </c>
      <c r="AG429" s="47">
        <v>1</v>
      </c>
      <c r="AH429" s="47">
        <v>0</v>
      </c>
      <c r="AI429" s="47">
        <v>2</v>
      </c>
      <c r="AJ429" s="47">
        <v>0</v>
      </c>
      <c r="AK429" s="47">
        <v>2</v>
      </c>
      <c r="AL429">
        <v>7</v>
      </c>
      <c r="AM429">
        <v>0.22222</v>
      </c>
      <c r="AN429">
        <v>11</v>
      </c>
      <c r="AO429">
        <v>10</v>
      </c>
      <c r="AP429">
        <v>26</v>
      </c>
      <c r="AQ429">
        <v>8</v>
      </c>
      <c r="AR429">
        <v>14</v>
      </c>
      <c r="AS429">
        <v>5</v>
      </c>
      <c r="AT429" t="s">
        <v>2712</v>
      </c>
      <c r="AU429" t="s">
        <v>2713</v>
      </c>
      <c r="AV429">
        <v>0.216</v>
      </c>
      <c r="AW429" t="s">
        <v>65</v>
      </c>
      <c r="AX429">
        <v>40</v>
      </c>
      <c r="AY429">
        <v>13</v>
      </c>
      <c r="AZ429" t="s">
        <v>2714</v>
      </c>
      <c r="BA429">
        <v>5.8139999999999997E-2</v>
      </c>
      <c r="BB429">
        <v>-2.6800000000000001E-3</v>
      </c>
      <c r="BC429">
        <v>4.3400000000000001E-3</v>
      </c>
      <c r="BD429">
        <v>-2.9999999999999997E-4</v>
      </c>
      <c r="BE429">
        <v>7.4560000000000001E-2</v>
      </c>
      <c r="BF429">
        <v>1</v>
      </c>
      <c r="BG429" t="s">
        <v>69</v>
      </c>
      <c r="BH429">
        <v>-0.57099999999999995</v>
      </c>
      <c r="BI429">
        <v>-0.40699999999999997</v>
      </c>
    </row>
    <row r="430" spans="3:61">
      <c r="C430">
        <v>0</v>
      </c>
      <c r="D430">
        <v>3</v>
      </c>
      <c r="E430">
        <v>1</v>
      </c>
      <c r="F430" t="s">
        <v>25021</v>
      </c>
      <c r="G430">
        <v>3513</v>
      </c>
      <c r="H430" t="s">
        <v>20567</v>
      </c>
      <c r="I430" t="s">
        <v>57</v>
      </c>
      <c r="J430">
        <v>3472626</v>
      </c>
      <c r="K430">
        <v>3473237</v>
      </c>
      <c r="L430" t="s">
        <v>116</v>
      </c>
      <c r="M430">
        <v>204</v>
      </c>
      <c r="N430" t="s">
        <v>108</v>
      </c>
      <c r="O430">
        <v>44</v>
      </c>
      <c r="P430" t="str">
        <f>HYPERLINK("Gene3513-zp_tree_all.dnd", "Gene3513-tree")</f>
        <v>Gene3513-tree</v>
      </c>
      <c r="Q430">
        <v>6</v>
      </c>
      <c r="R430">
        <v>6</v>
      </c>
      <c r="S430">
        <v>6</v>
      </c>
      <c r="T430">
        <v>6</v>
      </c>
      <c r="U430">
        <v>0.5</v>
      </c>
      <c r="V430" t="s">
        <v>90</v>
      </c>
      <c r="W430" t="s">
        <v>90</v>
      </c>
      <c r="X430" t="s">
        <v>62</v>
      </c>
      <c r="Y430" t="s">
        <v>62</v>
      </c>
      <c r="Z430">
        <v>1</v>
      </c>
      <c r="AA430">
        <v>4</v>
      </c>
      <c r="AB430">
        <v>5</v>
      </c>
      <c r="AC430">
        <v>0.44444</v>
      </c>
      <c r="AD430" s="47">
        <v>0</v>
      </c>
      <c r="AE430" s="47">
        <v>0</v>
      </c>
      <c r="AF430" s="47">
        <v>0</v>
      </c>
      <c r="AG430" s="47">
        <v>0</v>
      </c>
      <c r="AH430" s="47">
        <v>0</v>
      </c>
      <c r="AI430" s="47">
        <v>0</v>
      </c>
      <c r="AJ430" s="47">
        <v>2</v>
      </c>
      <c r="AK430" s="47">
        <v>2</v>
      </c>
      <c r="AL430">
        <v>5</v>
      </c>
      <c r="AM430">
        <v>0.28571000000000002</v>
      </c>
      <c r="AN430">
        <v>9</v>
      </c>
      <c r="AO430">
        <v>8</v>
      </c>
      <c r="AP430">
        <v>15</v>
      </c>
      <c r="AQ430">
        <v>7</v>
      </c>
      <c r="AR430">
        <v>15</v>
      </c>
      <c r="AS430">
        <v>2</v>
      </c>
      <c r="AT430" t="s">
        <v>20568</v>
      </c>
      <c r="AU430" t="s">
        <v>20569</v>
      </c>
      <c r="AV430">
        <v>1.2230000000000001</v>
      </c>
      <c r="AW430" t="s">
        <v>65</v>
      </c>
      <c r="AX430">
        <v>30</v>
      </c>
      <c r="AY430">
        <v>9</v>
      </c>
      <c r="AZ430" t="s">
        <v>20570</v>
      </c>
      <c r="BA430">
        <v>5.9330000000000001E-2</v>
      </c>
      <c r="BB430">
        <v>-3.63E-3</v>
      </c>
      <c r="BC430">
        <v>3.2299999999999998E-3</v>
      </c>
      <c r="BD430">
        <v>-2.5999999999999998E-4</v>
      </c>
      <c r="BE430">
        <v>5.4420000000000003E-2</v>
      </c>
      <c r="BF430">
        <v>1</v>
      </c>
      <c r="BG430" t="s">
        <v>69</v>
      </c>
      <c r="BH430">
        <v>-0.77</v>
      </c>
      <c r="BI430">
        <v>1.4999999999999999E-2</v>
      </c>
    </row>
    <row r="431" spans="3:61">
      <c r="C431">
        <v>0</v>
      </c>
      <c r="D431">
        <v>2</v>
      </c>
      <c r="E431">
        <v>2</v>
      </c>
      <c r="F431" t="s">
        <v>25021</v>
      </c>
      <c r="G431">
        <v>871</v>
      </c>
      <c r="H431" t="s">
        <v>5441</v>
      </c>
      <c r="I431" t="s">
        <v>62</v>
      </c>
      <c r="J431">
        <v>911967</v>
      </c>
      <c r="K431">
        <v>912581</v>
      </c>
      <c r="L431" t="s">
        <v>5442</v>
      </c>
      <c r="M431">
        <v>205</v>
      </c>
      <c r="N431" t="s">
        <v>5443</v>
      </c>
      <c r="O431">
        <v>32</v>
      </c>
      <c r="P431" t="str">
        <f>HYPERLINK("Gene871-zp_tree_all.dnd", "Gene871-tree")</f>
        <v>Gene871-tree</v>
      </c>
      <c r="Q431">
        <v>1</v>
      </c>
      <c r="R431">
        <v>5</v>
      </c>
      <c r="S431">
        <v>1</v>
      </c>
      <c r="T431">
        <v>5</v>
      </c>
      <c r="U431">
        <v>0.83333000000000002</v>
      </c>
      <c r="V431" t="s">
        <v>175</v>
      </c>
      <c r="W431" t="s">
        <v>199</v>
      </c>
      <c r="X431" t="s">
        <v>62</v>
      </c>
      <c r="Y431" t="s">
        <v>62</v>
      </c>
      <c r="Z431">
        <v>2</v>
      </c>
      <c r="AA431">
        <v>4</v>
      </c>
      <c r="AB431">
        <v>9</v>
      </c>
      <c r="AC431">
        <v>0.30769000000000002</v>
      </c>
      <c r="AD431" s="47">
        <v>0</v>
      </c>
      <c r="AE431" s="47">
        <v>0</v>
      </c>
      <c r="AF431" s="47">
        <v>0</v>
      </c>
      <c r="AG431" s="47">
        <v>0</v>
      </c>
      <c r="AH431" s="47">
        <v>0</v>
      </c>
      <c r="AI431" s="47">
        <v>2</v>
      </c>
      <c r="AJ431" s="47">
        <v>0</v>
      </c>
      <c r="AK431" s="47">
        <v>2</v>
      </c>
      <c r="AL431">
        <v>5</v>
      </c>
      <c r="AM431">
        <v>0.28571000000000002</v>
      </c>
      <c r="AN431">
        <v>4</v>
      </c>
      <c r="AO431">
        <v>4</v>
      </c>
      <c r="AP431">
        <v>3</v>
      </c>
      <c r="AQ431">
        <v>6</v>
      </c>
      <c r="AR431">
        <v>11</v>
      </c>
      <c r="AS431">
        <v>7</v>
      </c>
      <c r="AT431" t="s">
        <v>5444</v>
      </c>
      <c r="AU431" t="s">
        <v>5445</v>
      </c>
      <c r="AV431">
        <v>0.88800000000000001</v>
      </c>
      <c r="AW431" t="s">
        <v>65</v>
      </c>
      <c r="AX431">
        <v>14</v>
      </c>
      <c r="AY431">
        <v>13</v>
      </c>
      <c r="AZ431" t="s">
        <v>5446</v>
      </c>
      <c r="BA431">
        <v>5.1679999999999997E-2</v>
      </c>
      <c r="BB431">
        <v>-7.8300000000000002E-3</v>
      </c>
      <c r="BC431">
        <v>1.153E-2</v>
      </c>
      <c r="BD431">
        <v>-1.3799999999999999E-3</v>
      </c>
      <c r="BE431">
        <v>0.22317999999999999</v>
      </c>
      <c r="BF431">
        <v>1</v>
      </c>
      <c r="BG431" t="s">
        <v>69</v>
      </c>
      <c r="BH431">
        <v>1.3129999999999999</v>
      </c>
      <c r="BI431">
        <v>1.1679999999999999</v>
      </c>
    </row>
    <row r="432" spans="3:61">
      <c r="C432">
        <v>0</v>
      </c>
      <c r="D432">
        <v>6</v>
      </c>
      <c r="E432">
        <v>0</v>
      </c>
      <c r="F432" t="s">
        <v>25021</v>
      </c>
      <c r="G432">
        <v>1105</v>
      </c>
      <c r="H432" t="s">
        <v>6954</v>
      </c>
      <c r="I432" t="s">
        <v>62</v>
      </c>
      <c r="J432">
        <v>1149321</v>
      </c>
      <c r="K432">
        <v>1149935</v>
      </c>
      <c r="L432" t="s">
        <v>6937</v>
      </c>
      <c r="M432">
        <v>205</v>
      </c>
      <c r="N432" t="s">
        <v>409</v>
      </c>
      <c r="O432">
        <v>45</v>
      </c>
      <c r="P432" t="str">
        <f>HYPERLINK("Gene1105-zp_tree_all.dnd", "Gene1105-tree")</f>
        <v>Gene1105-tree</v>
      </c>
      <c r="Q432">
        <v>11</v>
      </c>
      <c r="R432">
        <v>4</v>
      </c>
      <c r="S432">
        <v>11</v>
      </c>
      <c r="T432">
        <v>4</v>
      </c>
      <c r="U432">
        <v>0.26667000000000002</v>
      </c>
      <c r="V432" t="s">
        <v>73</v>
      </c>
      <c r="W432" t="s">
        <v>61</v>
      </c>
      <c r="X432" t="s">
        <v>62</v>
      </c>
      <c r="Y432" t="s">
        <v>62</v>
      </c>
      <c r="Z432">
        <v>2</v>
      </c>
      <c r="AA432">
        <v>6</v>
      </c>
      <c r="AB432">
        <v>8</v>
      </c>
      <c r="AC432">
        <v>0.42857000000000001</v>
      </c>
      <c r="AD432" s="47">
        <v>0</v>
      </c>
      <c r="AE432" s="47">
        <v>0</v>
      </c>
      <c r="AF432" s="47">
        <v>0</v>
      </c>
      <c r="AG432" s="47">
        <v>1</v>
      </c>
      <c r="AH432" s="47">
        <v>0</v>
      </c>
      <c r="AI432" s="47">
        <v>0</v>
      </c>
      <c r="AJ432" s="47">
        <v>0</v>
      </c>
      <c r="AK432" s="47">
        <v>0</v>
      </c>
      <c r="AL432">
        <v>9</v>
      </c>
      <c r="AM432">
        <v>0</v>
      </c>
      <c r="AN432">
        <v>11</v>
      </c>
      <c r="AO432">
        <v>8</v>
      </c>
      <c r="AP432">
        <v>30</v>
      </c>
      <c r="AQ432">
        <v>9</v>
      </c>
      <c r="AR432">
        <v>11</v>
      </c>
      <c r="AS432">
        <v>5</v>
      </c>
      <c r="AT432" t="s">
        <v>6955</v>
      </c>
      <c r="AU432" t="s">
        <v>6956</v>
      </c>
      <c r="AV432">
        <v>0.28100000000000003</v>
      </c>
      <c r="AW432" t="s">
        <v>65</v>
      </c>
      <c r="AX432">
        <v>41</v>
      </c>
      <c r="AY432">
        <v>14</v>
      </c>
      <c r="AZ432" t="s">
        <v>6957</v>
      </c>
      <c r="BA432">
        <v>6.6869999999999999E-2</v>
      </c>
      <c r="BB432">
        <v>-4.3099999999999996E-3</v>
      </c>
      <c r="BC432">
        <v>4.28E-3</v>
      </c>
      <c r="BD432">
        <v>-4.2000000000000002E-4</v>
      </c>
      <c r="BE432">
        <v>6.3939999999999997E-2</v>
      </c>
      <c r="BF432">
        <v>1</v>
      </c>
      <c r="BG432" t="s">
        <v>69</v>
      </c>
      <c r="BH432">
        <v>-1.2569999999999999</v>
      </c>
      <c r="BI432">
        <v>-3.1110000000000002</v>
      </c>
    </row>
    <row r="433" spans="3:61">
      <c r="C433">
        <v>0</v>
      </c>
      <c r="D433">
        <v>0</v>
      </c>
      <c r="E433">
        <v>0</v>
      </c>
      <c r="F433" t="s">
        <v>25021</v>
      </c>
      <c r="G433">
        <v>4247</v>
      </c>
      <c r="H433" t="s">
        <v>24944</v>
      </c>
      <c r="I433" t="s">
        <v>57</v>
      </c>
      <c r="J433">
        <v>4204900</v>
      </c>
      <c r="K433">
        <v>4205514</v>
      </c>
      <c r="L433" t="s">
        <v>24945</v>
      </c>
      <c r="M433">
        <v>205</v>
      </c>
      <c r="N433" t="s">
        <v>108</v>
      </c>
      <c r="O433">
        <v>44</v>
      </c>
      <c r="P433" t="str">
        <f>HYPERLINK("Gene4247-zp_tree_all.dnd", "Gene4247-tree")</f>
        <v>Gene4247-tree</v>
      </c>
      <c r="Q433">
        <v>12</v>
      </c>
      <c r="R433">
        <v>2</v>
      </c>
      <c r="S433">
        <v>12</v>
      </c>
      <c r="T433">
        <v>2</v>
      </c>
      <c r="U433">
        <v>0.14285999999999999</v>
      </c>
      <c r="V433" t="s">
        <v>109</v>
      </c>
      <c r="W433" t="s">
        <v>81</v>
      </c>
      <c r="X433" t="s">
        <v>62</v>
      </c>
      <c r="Y433" t="s">
        <v>62</v>
      </c>
      <c r="Z433">
        <v>0</v>
      </c>
      <c r="AA433">
        <v>0</v>
      </c>
      <c r="AB433">
        <v>3</v>
      </c>
      <c r="AC433">
        <v>0</v>
      </c>
      <c r="AD433" s="47">
        <v>0</v>
      </c>
      <c r="AE433" s="47">
        <v>0</v>
      </c>
      <c r="AF433" s="47">
        <v>0</v>
      </c>
      <c r="AG433" s="47">
        <v>0</v>
      </c>
      <c r="AH433" s="47">
        <v>0</v>
      </c>
      <c r="AI433" s="47">
        <v>0</v>
      </c>
      <c r="AJ433" s="47">
        <v>0</v>
      </c>
      <c r="AK433" s="47">
        <v>0</v>
      </c>
      <c r="AL433">
        <v>2</v>
      </c>
      <c r="AM433">
        <v>0</v>
      </c>
      <c r="AN433">
        <v>11</v>
      </c>
      <c r="AO433">
        <v>7</v>
      </c>
      <c r="AP433">
        <v>27</v>
      </c>
      <c r="AQ433">
        <v>2</v>
      </c>
      <c r="AR433">
        <v>19</v>
      </c>
      <c r="AS433">
        <v>1</v>
      </c>
      <c r="AT433" t="s">
        <v>24946</v>
      </c>
      <c r="AU433" t="s">
        <v>24947</v>
      </c>
      <c r="AV433">
        <v>0.123</v>
      </c>
      <c r="AW433" t="s">
        <v>65</v>
      </c>
      <c r="AX433">
        <v>46</v>
      </c>
      <c r="AY433">
        <v>3</v>
      </c>
      <c r="AZ433" t="s">
        <v>24948</v>
      </c>
      <c r="BA433">
        <v>7.0849999999999996E-2</v>
      </c>
      <c r="BB433">
        <v>-3.2100000000000002E-3</v>
      </c>
      <c r="BC433">
        <v>1.65E-3</v>
      </c>
      <c r="BD433">
        <v>-1.4999999999999999E-4</v>
      </c>
      <c r="BE433">
        <v>2.333E-2</v>
      </c>
      <c r="BF433">
        <v>1</v>
      </c>
      <c r="BG433" t="s">
        <v>69</v>
      </c>
      <c r="BH433">
        <v>-0.32800000000000001</v>
      </c>
      <c r="BI433">
        <v>-0.92100000000000004</v>
      </c>
    </row>
    <row r="434" spans="3:61">
      <c r="C434">
        <v>0</v>
      </c>
      <c r="D434">
        <v>0</v>
      </c>
      <c r="E434">
        <v>0</v>
      </c>
      <c r="F434" t="s">
        <v>25021</v>
      </c>
      <c r="G434">
        <v>1335</v>
      </c>
      <c r="H434" t="s">
        <v>8354</v>
      </c>
      <c r="I434" t="s">
        <v>62</v>
      </c>
      <c r="J434">
        <v>1350485</v>
      </c>
      <c r="K434">
        <v>1351099</v>
      </c>
      <c r="L434" t="s">
        <v>8355</v>
      </c>
      <c r="M434">
        <v>205</v>
      </c>
      <c r="N434" t="s">
        <v>749</v>
      </c>
      <c r="O434">
        <v>47</v>
      </c>
      <c r="P434" t="str">
        <f>HYPERLINK("Gene1335-zp_tree_all.dnd", "Gene1335-tree")</f>
        <v>Gene1335-tree</v>
      </c>
      <c r="Q434">
        <v>13</v>
      </c>
      <c r="R434">
        <v>0</v>
      </c>
      <c r="S434">
        <v>13</v>
      </c>
      <c r="T434">
        <v>0</v>
      </c>
      <c r="U434">
        <v>0</v>
      </c>
      <c r="V434" t="s">
        <v>507</v>
      </c>
      <c r="W434" t="s">
        <v>62</v>
      </c>
      <c r="X434" t="s">
        <v>62</v>
      </c>
      <c r="Y434" t="s">
        <v>62</v>
      </c>
      <c r="Z434">
        <v>0</v>
      </c>
      <c r="AA434">
        <v>0</v>
      </c>
      <c r="AB434">
        <v>0</v>
      </c>
      <c r="AC434">
        <v>0</v>
      </c>
      <c r="AD434" s="47">
        <v>0</v>
      </c>
      <c r="AE434" s="47">
        <v>0</v>
      </c>
      <c r="AF434" s="47">
        <v>0</v>
      </c>
      <c r="AG434" s="47">
        <v>0</v>
      </c>
      <c r="AH434" s="47">
        <v>0</v>
      </c>
      <c r="AI434" s="47">
        <v>0</v>
      </c>
      <c r="AJ434" s="47">
        <v>0</v>
      </c>
      <c r="AK434" s="47">
        <v>0</v>
      </c>
      <c r="AL434">
        <v>0</v>
      </c>
      <c r="AM434">
        <v>0</v>
      </c>
      <c r="AN434">
        <v>10</v>
      </c>
      <c r="AO434">
        <v>6</v>
      </c>
      <c r="AP434">
        <v>35</v>
      </c>
      <c r="AQ434">
        <v>0</v>
      </c>
      <c r="AR434">
        <v>24</v>
      </c>
      <c r="AS434">
        <v>0</v>
      </c>
      <c r="AT434" t="s">
        <v>193</v>
      </c>
      <c r="AU434" t="s">
        <v>193</v>
      </c>
      <c r="AV434">
        <v>0</v>
      </c>
      <c r="AW434" t="s">
        <v>65</v>
      </c>
      <c r="AX434">
        <v>59</v>
      </c>
      <c r="AY434">
        <v>0</v>
      </c>
      <c r="AZ434" t="s">
        <v>8356</v>
      </c>
      <c r="BA434">
        <v>0.10700999999999999</v>
      </c>
      <c r="BB434">
        <v>-9.3399999999999993E-3</v>
      </c>
      <c r="BC434">
        <v>0</v>
      </c>
      <c r="BD434">
        <v>0</v>
      </c>
      <c r="BE434">
        <v>0</v>
      </c>
      <c r="BF434">
        <v>1</v>
      </c>
      <c r="BG434" t="s">
        <v>69</v>
      </c>
      <c r="BH434">
        <v>-1.2829999999999999</v>
      </c>
      <c r="BI434">
        <v>-1.86</v>
      </c>
    </row>
    <row r="435" spans="3:61">
      <c r="C435">
        <v>2</v>
      </c>
      <c r="D435">
        <v>9</v>
      </c>
      <c r="E435">
        <v>2</v>
      </c>
      <c r="F435" t="s">
        <v>25021</v>
      </c>
      <c r="G435">
        <v>1007</v>
      </c>
      <c r="H435" t="s">
        <v>6321</v>
      </c>
      <c r="I435" t="s">
        <v>62</v>
      </c>
      <c r="J435">
        <v>1049145</v>
      </c>
      <c r="K435">
        <v>1049762</v>
      </c>
      <c r="L435" t="s">
        <v>6322</v>
      </c>
      <c r="M435">
        <v>206</v>
      </c>
      <c r="N435" t="s">
        <v>108</v>
      </c>
      <c r="O435">
        <v>44</v>
      </c>
      <c r="P435" t="str">
        <f>HYPERLINK("Gene1007-zp_tree_all.dnd", "Gene1007-tree")</f>
        <v>Gene1007-tree</v>
      </c>
      <c r="Q435">
        <v>0</v>
      </c>
      <c r="R435">
        <v>13</v>
      </c>
      <c r="S435">
        <v>0</v>
      </c>
      <c r="T435">
        <v>13</v>
      </c>
      <c r="U435">
        <v>1</v>
      </c>
      <c r="V435" t="s">
        <v>62</v>
      </c>
      <c r="W435" t="s">
        <v>507</v>
      </c>
      <c r="X435" t="s">
        <v>62</v>
      </c>
      <c r="Y435" t="s">
        <v>62</v>
      </c>
      <c r="Z435">
        <v>5</v>
      </c>
      <c r="AA435">
        <v>13</v>
      </c>
      <c r="AB435">
        <v>9</v>
      </c>
      <c r="AC435">
        <v>0.59091000000000005</v>
      </c>
      <c r="AD435" s="47">
        <v>0</v>
      </c>
      <c r="AE435" s="47">
        <v>0</v>
      </c>
      <c r="AF435" s="47">
        <v>0</v>
      </c>
      <c r="AG435" s="47">
        <v>0</v>
      </c>
      <c r="AH435" s="47">
        <v>0</v>
      </c>
      <c r="AI435" s="47">
        <v>6</v>
      </c>
      <c r="AJ435" s="47">
        <v>3</v>
      </c>
      <c r="AK435" s="47">
        <v>9</v>
      </c>
      <c r="AL435">
        <v>7</v>
      </c>
      <c r="AM435">
        <v>0.5625</v>
      </c>
      <c r="AN435">
        <v>12</v>
      </c>
      <c r="AO435">
        <v>9</v>
      </c>
      <c r="AP435">
        <v>9</v>
      </c>
      <c r="AQ435">
        <v>16</v>
      </c>
      <c r="AR435">
        <v>4</v>
      </c>
      <c r="AS435">
        <v>7</v>
      </c>
      <c r="AT435" t="s">
        <v>6323</v>
      </c>
      <c r="AU435" t="s">
        <v>6324</v>
      </c>
      <c r="AV435">
        <v>2.7E-2</v>
      </c>
      <c r="AW435" t="s">
        <v>65</v>
      </c>
      <c r="AX435">
        <v>13</v>
      </c>
      <c r="AY435">
        <v>23</v>
      </c>
      <c r="AZ435" t="s">
        <v>6325</v>
      </c>
      <c r="BA435">
        <v>1.8939999999999999E-2</v>
      </c>
      <c r="BB435">
        <v>-9.7000000000000005E-4</v>
      </c>
      <c r="BC435">
        <v>9.6500000000000006E-3</v>
      </c>
      <c r="BD435">
        <v>-3.4000000000000002E-4</v>
      </c>
      <c r="BE435">
        <v>0.50973999999999997</v>
      </c>
      <c r="BF435">
        <v>0.88</v>
      </c>
      <c r="BG435" t="s">
        <v>635</v>
      </c>
      <c r="BH435">
        <v>-0.66900000000000004</v>
      </c>
      <c r="BI435">
        <v>-0.83699999999999997</v>
      </c>
    </row>
    <row r="436" spans="3:61">
      <c r="C436">
        <v>0</v>
      </c>
      <c r="D436">
        <v>0</v>
      </c>
      <c r="E436">
        <v>2</v>
      </c>
      <c r="F436" t="s">
        <v>25021</v>
      </c>
      <c r="G436">
        <v>2325</v>
      </c>
      <c r="H436" t="s">
        <v>13478</v>
      </c>
      <c r="I436" t="s">
        <v>57</v>
      </c>
      <c r="J436">
        <v>2340802</v>
      </c>
      <c r="K436">
        <v>2341419</v>
      </c>
      <c r="L436" t="s">
        <v>13479</v>
      </c>
      <c r="M436">
        <v>206</v>
      </c>
      <c r="N436" t="s">
        <v>59</v>
      </c>
      <c r="O436">
        <v>49</v>
      </c>
      <c r="P436" t="str">
        <f>HYPERLINK("Gene2325-zp_tree_all.dnd", "Gene2325-tree")</f>
        <v>Gene2325-tree</v>
      </c>
      <c r="Q436">
        <v>8</v>
      </c>
      <c r="R436">
        <v>6</v>
      </c>
      <c r="S436">
        <v>8</v>
      </c>
      <c r="T436">
        <v>6</v>
      </c>
      <c r="U436">
        <v>0.42857000000000001</v>
      </c>
      <c r="V436" t="s">
        <v>136</v>
      </c>
      <c r="W436" t="s">
        <v>90</v>
      </c>
      <c r="X436" t="s">
        <v>62</v>
      </c>
      <c r="Y436" t="s">
        <v>62</v>
      </c>
      <c r="Z436">
        <v>1</v>
      </c>
      <c r="AA436">
        <v>2</v>
      </c>
      <c r="AB436">
        <v>8</v>
      </c>
      <c r="AC436">
        <v>0.2</v>
      </c>
      <c r="AD436" s="47">
        <v>0</v>
      </c>
      <c r="AE436" s="47">
        <v>0</v>
      </c>
      <c r="AF436" s="47">
        <v>0</v>
      </c>
      <c r="AG436" s="47">
        <v>1</v>
      </c>
      <c r="AH436" s="47">
        <v>0</v>
      </c>
      <c r="AI436" s="47">
        <v>0</v>
      </c>
      <c r="AJ436" s="47">
        <v>0</v>
      </c>
      <c r="AK436" s="47">
        <v>0</v>
      </c>
      <c r="AL436">
        <v>6</v>
      </c>
      <c r="AM436">
        <v>0</v>
      </c>
      <c r="AN436">
        <v>10</v>
      </c>
      <c r="AO436">
        <v>6</v>
      </c>
      <c r="AP436">
        <v>14</v>
      </c>
      <c r="AQ436">
        <v>5</v>
      </c>
      <c r="AR436">
        <v>19</v>
      </c>
      <c r="AS436">
        <v>5</v>
      </c>
      <c r="AT436" t="s">
        <v>13480</v>
      </c>
      <c r="AU436" t="s">
        <v>13481</v>
      </c>
      <c r="AV436">
        <v>0.318</v>
      </c>
      <c r="AW436" t="s">
        <v>65</v>
      </c>
      <c r="AX436">
        <v>33</v>
      </c>
      <c r="AY436">
        <v>10</v>
      </c>
      <c r="AZ436" t="s">
        <v>13482</v>
      </c>
      <c r="BA436">
        <v>7.0959999999999995E-2</v>
      </c>
      <c r="BB436">
        <v>-5.5100000000000001E-3</v>
      </c>
      <c r="BC436">
        <v>4.81E-3</v>
      </c>
      <c r="BD436">
        <v>-2.9999999999999997E-4</v>
      </c>
      <c r="BE436">
        <v>6.7739999999999995E-2</v>
      </c>
      <c r="BF436">
        <v>1</v>
      </c>
      <c r="BG436" t="s">
        <v>69</v>
      </c>
      <c r="BH436">
        <v>-1.5289999999999999</v>
      </c>
      <c r="BI436">
        <v>-1.593</v>
      </c>
    </row>
    <row r="437" spans="3:61">
      <c r="C437">
        <v>0</v>
      </c>
      <c r="D437">
        <v>0</v>
      </c>
      <c r="E437">
        <v>0</v>
      </c>
      <c r="F437" t="s">
        <v>25021</v>
      </c>
      <c r="G437">
        <v>925</v>
      </c>
      <c r="H437" t="s">
        <v>5789</v>
      </c>
      <c r="I437" t="s">
        <v>62</v>
      </c>
      <c r="J437">
        <v>967232</v>
      </c>
      <c r="K437">
        <v>967852</v>
      </c>
      <c r="L437" t="s">
        <v>288</v>
      </c>
      <c r="M437">
        <v>207</v>
      </c>
      <c r="N437" t="s">
        <v>108</v>
      </c>
      <c r="O437">
        <v>44</v>
      </c>
      <c r="P437" t="str">
        <f>HYPERLINK("Gene925-zp_tree_all.dnd", "Gene925-tree")</f>
        <v>Gene925-tree</v>
      </c>
      <c r="Q437">
        <v>1</v>
      </c>
      <c r="R437">
        <v>8</v>
      </c>
      <c r="S437">
        <v>1</v>
      </c>
      <c r="T437">
        <v>8</v>
      </c>
      <c r="U437">
        <v>0.88888999999999996</v>
      </c>
      <c r="V437" t="s">
        <v>175</v>
      </c>
      <c r="W437" t="s">
        <v>136</v>
      </c>
      <c r="X437" t="s">
        <v>62</v>
      </c>
      <c r="Y437" t="s">
        <v>62</v>
      </c>
      <c r="Z437">
        <v>0</v>
      </c>
      <c r="AA437">
        <v>0</v>
      </c>
      <c r="AB437">
        <v>13</v>
      </c>
      <c r="AC437">
        <v>0</v>
      </c>
      <c r="AD437" s="47">
        <v>0</v>
      </c>
      <c r="AE437" s="47">
        <v>0</v>
      </c>
      <c r="AF437" s="47">
        <v>0</v>
      </c>
      <c r="AG437" s="47">
        <v>0</v>
      </c>
      <c r="AH437" s="47">
        <v>0</v>
      </c>
      <c r="AI437" s="47">
        <v>0</v>
      </c>
      <c r="AJ437" s="47">
        <v>0</v>
      </c>
      <c r="AK437" s="47">
        <v>0</v>
      </c>
      <c r="AL437">
        <v>11</v>
      </c>
      <c r="AM437">
        <v>0</v>
      </c>
      <c r="AN437">
        <v>6</v>
      </c>
      <c r="AO437">
        <v>4</v>
      </c>
      <c r="AP437">
        <v>11</v>
      </c>
      <c r="AQ437">
        <v>5</v>
      </c>
      <c r="AR437">
        <v>7</v>
      </c>
      <c r="AS437">
        <v>8</v>
      </c>
      <c r="AT437" t="s">
        <v>5790</v>
      </c>
      <c r="AU437" t="s">
        <v>5791</v>
      </c>
      <c r="AV437">
        <v>0.42699999999999999</v>
      </c>
      <c r="AW437" t="s">
        <v>65</v>
      </c>
      <c r="AX437">
        <v>18</v>
      </c>
      <c r="AY437">
        <v>13</v>
      </c>
      <c r="AZ437" t="s">
        <v>5792</v>
      </c>
      <c r="BA437">
        <v>3.6080000000000001E-2</v>
      </c>
      <c r="BB437">
        <v>-5.0400000000000002E-3</v>
      </c>
      <c r="BC437">
        <v>9.1000000000000004E-3</v>
      </c>
      <c r="BD437">
        <v>-8.7000000000000001E-4</v>
      </c>
      <c r="BE437">
        <v>0.25219000000000003</v>
      </c>
      <c r="BF437">
        <v>1</v>
      </c>
      <c r="BG437" t="s">
        <v>69</v>
      </c>
      <c r="BH437">
        <v>-0.73399999999999999</v>
      </c>
      <c r="BI437">
        <v>-0.38300000000000001</v>
      </c>
    </row>
    <row r="438" spans="3:61">
      <c r="C438">
        <v>0</v>
      </c>
      <c r="D438">
        <v>15</v>
      </c>
      <c r="E438">
        <v>2</v>
      </c>
      <c r="F438" t="s">
        <v>25021</v>
      </c>
      <c r="G438">
        <v>553</v>
      </c>
      <c r="H438" t="s">
        <v>3557</v>
      </c>
      <c r="I438" t="s">
        <v>62</v>
      </c>
      <c r="J438">
        <v>585158</v>
      </c>
      <c r="K438">
        <v>585778</v>
      </c>
      <c r="L438" t="s">
        <v>3558</v>
      </c>
      <c r="M438">
        <v>207</v>
      </c>
      <c r="N438" t="s">
        <v>108</v>
      </c>
      <c r="O438">
        <v>44</v>
      </c>
      <c r="P438" t="str">
        <f>HYPERLINK("Gene553-zp_tree_all.dnd", "Gene553-tree")</f>
        <v>Gene553-tree</v>
      </c>
      <c r="Q438">
        <v>9</v>
      </c>
      <c r="R438">
        <v>7</v>
      </c>
      <c r="S438">
        <v>9</v>
      </c>
      <c r="T438">
        <v>7</v>
      </c>
      <c r="U438">
        <v>0.4375</v>
      </c>
      <c r="V438" t="s">
        <v>135</v>
      </c>
      <c r="W438" t="s">
        <v>152</v>
      </c>
      <c r="X438" t="s">
        <v>62</v>
      </c>
      <c r="Y438" t="s">
        <v>62</v>
      </c>
      <c r="Z438">
        <v>5</v>
      </c>
      <c r="AA438">
        <v>17</v>
      </c>
      <c r="AB438">
        <v>11</v>
      </c>
      <c r="AC438">
        <v>0.60714000000000001</v>
      </c>
      <c r="AD438" s="47">
        <v>2</v>
      </c>
      <c r="AE438" s="47">
        <v>0</v>
      </c>
      <c r="AF438" s="47">
        <v>2</v>
      </c>
      <c r="AG438" s="47">
        <v>4</v>
      </c>
      <c r="AH438" s="47">
        <v>0.33333000000000002</v>
      </c>
      <c r="AI438" s="47">
        <v>4</v>
      </c>
      <c r="AJ438" s="47">
        <v>0</v>
      </c>
      <c r="AK438" s="47">
        <v>4</v>
      </c>
      <c r="AL438">
        <v>8</v>
      </c>
      <c r="AM438">
        <v>0.33333000000000002</v>
      </c>
      <c r="AN438">
        <v>11</v>
      </c>
      <c r="AO438">
        <v>11</v>
      </c>
      <c r="AP438">
        <v>29</v>
      </c>
      <c r="AQ438">
        <v>12</v>
      </c>
      <c r="AR438">
        <v>23</v>
      </c>
      <c r="AS438">
        <v>16</v>
      </c>
      <c r="AT438" t="s">
        <v>3559</v>
      </c>
      <c r="AU438" t="s">
        <v>3560</v>
      </c>
      <c r="AV438">
        <v>0.78600000000000003</v>
      </c>
      <c r="AW438" t="s">
        <v>65</v>
      </c>
      <c r="AX438">
        <v>52</v>
      </c>
      <c r="AY438">
        <v>28</v>
      </c>
      <c r="AZ438" t="s">
        <v>3561</v>
      </c>
      <c r="BA438">
        <v>5.8340000000000003E-2</v>
      </c>
      <c r="BB438">
        <v>-2.3900000000000002E-3</v>
      </c>
      <c r="BC438">
        <v>8.0599999999999995E-3</v>
      </c>
      <c r="BD438">
        <v>-4.2000000000000002E-4</v>
      </c>
      <c r="BE438">
        <v>0.13815</v>
      </c>
      <c r="BF438">
        <v>1</v>
      </c>
      <c r="BG438" t="s">
        <v>69</v>
      </c>
      <c r="BH438">
        <v>-0.49299999999999999</v>
      </c>
      <c r="BI438">
        <v>-0.98399999999999999</v>
      </c>
    </row>
    <row r="439" spans="3:61">
      <c r="C439">
        <v>0</v>
      </c>
      <c r="D439">
        <v>0</v>
      </c>
      <c r="E439">
        <v>0</v>
      </c>
      <c r="F439" t="s">
        <v>25021</v>
      </c>
      <c r="G439">
        <v>15</v>
      </c>
      <c r="H439" t="s">
        <v>173</v>
      </c>
      <c r="I439" t="s">
        <v>62</v>
      </c>
      <c r="J439">
        <v>23149</v>
      </c>
      <c r="K439">
        <v>23769</v>
      </c>
      <c r="L439" t="s">
        <v>174</v>
      </c>
      <c r="M439">
        <v>207</v>
      </c>
      <c r="N439" t="s">
        <v>108</v>
      </c>
      <c r="O439">
        <v>44</v>
      </c>
      <c r="P439" t="str">
        <f>HYPERLINK("Gene15-zp_tree_all.dnd", "Gene15-tree")</f>
        <v>Gene15-tree</v>
      </c>
      <c r="Q439">
        <v>9</v>
      </c>
      <c r="R439">
        <v>1</v>
      </c>
      <c r="S439">
        <v>9</v>
      </c>
      <c r="T439">
        <v>1</v>
      </c>
      <c r="U439">
        <v>0.1</v>
      </c>
      <c r="V439" t="s">
        <v>135</v>
      </c>
      <c r="W439" t="s">
        <v>175</v>
      </c>
      <c r="X439" t="s">
        <v>62</v>
      </c>
      <c r="Y439" t="s">
        <v>62</v>
      </c>
      <c r="Z439">
        <v>0</v>
      </c>
      <c r="AA439">
        <v>0</v>
      </c>
      <c r="AB439">
        <v>3</v>
      </c>
      <c r="AC439">
        <v>0</v>
      </c>
      <c r="AD439" s="47">
        <v>0</v>
      </c>
      <c r="AE439" s="47">
        <v>0</v>
      </c>
      <c r="AF439" s="47">
        <v>0</v>
      </c>
      <c r="AG439" s="47">
        <v>2</v>
      </c>
      <c r="AH439" s="47">
        <v>0</v>
      </c>
      <c r="AI439" s="47">
        <v>0</v>
      </c>
      <c r="AJ439" s="47">
        <v>0</v>
      </c>
      <c r="AK439" s="47">
        <v>0</v>
      </c>
      <c r="AL439">
        <v>1</v>
      </c>
      <c r="AM439">
        <v>0</v>
      </c>
      <c r="AN439">
        <v>6</v>
      </c>
      <c r="AO439">
        <v>3</v>
      </c>
      <c r="AP439">
        <v>6</v>
      </c>
      <c r="AQ439">
        <v>1</v>
      </c>
      <c r="AR439">
        <v>2</v>
      </c>
      <c r="AS439">
        <v>2</v>
      </c>
      <c r="AT439" t="s">
        <v>176</v>
      </c>
      <c r="AU439" t="s">
        <v>177</v>
      </c>
      <c r="AV439">
        <v>0.56000000000000005</v>
      </c>
      <c r="AW439" t="s">
        <v>65</v>
      </c>
      <c r="AX439">
        <v>8</v>
      </c>
      <c r="AY439">
        <v>3</v>
      </c>
      <c r="AZ439" t="s">
        <v>178</v>
      </c>
      <c r="BA439">
        <v>1.4189999999999999E-2</v>
      </c>
      <c r="BB439">
        <v>-1.07E-3</v>
      </c>
      <c r="BC439">
        <v>1.8799999999999999E-3</v>
      </c>
      <c r="BD439">
        <v>-2.9999999999999997E-4</v>
      </c>
      <c r="BE439">
        <v>0.13235</v>
      </c>
      <c r="BF439">
        <v>1</v>
      </c>
      <c r="BG439" t="s">
        <v>69</v>
      </c>
      <c r="BH439">
        <v>0.155</v>
      </c>
      <c r="BI439">
        <v>-0.38600000000000001</v>
      </c>
    </row>
    <row r="440" spans="3:61">
      <c r="C440">
        <v>0</v>
      </c>
      <c r="D440">
        <v>11</v>
      </c>
      <c r="E440">
        <v>0</v>
      </c>
      <c r="F440" t="s">
        <v>25021</v>
      </c>
      <c r="G440">
        <v>2676</v>
      </c>
      <c r="H440" t="s">
        <v>15697</v>
      </c>
      <c r="I440" t="s">
        <v>57</v>
      </c>
      <c r="J440">
        <v>2649842</v>
      </c>
      <c r="K440">
        <v>2650465</v>
      </c>
      <c r="L440" t="s">
        <v>3674</v>
      </c>
      <c r="M440">
        <v>208</v>
      </c>
      <c r="N440" t="s">
        <v>108</v>
      </c>
      <c r="O440">
        <v>44</v>
      </c>
      <c r="P440" t="str">
        <f>HYPERLINK("Gene2676-zp_tree_all.dnd", "Gene2676-tree")</f>
        <v>Gene2676-tree</v>
      </c>
      <c r="Q440">
        <v>4</v>
      </c>
      <c r="R440">
        <v>29</v>
      </c>
      <c r="S440">
        <v>4</v>
      </c>
      <c r="T440">
        <v>10</v>
      </c>
      <c r="U440">
        <v>0.71428999999999998</v>
      </c>
      <c r="V440" t="s">
        <v>61</v>
      </c>
      <c r="W440" t="s">
        <v>2184</v>
      </c>
      <c r="X440">
        <v>2.0990000000000002</v>
      </c>
      <c r="Y440" t="s">
        <v>65</v>
      </c>
      <c r="Z440">
        <v>5</v>
      </c>
      <c r="AA440">
        <v>11</v>
      </c>
      <c r="AB440">
        <v>11</v>
      </c>
      <c r="AC440">
        <v>0.5</v>
      </c>
      <c r="AD440" s="47">
        <v>0</v>
      </c>
      <c r="AE440" s="47">
        <v>0</v>
      </c>
      <c r="AF440" s="47">
        <v>0</v>
      </c>
      <c r="AG440" s="47">
        <v>1</v>
      </c>
      <c r="AH440" s="47">
        <v>0</v>
      </c>
      <c r="AI440" s="47">
        <v>6</v>
      </c>
      <c r="AJ440" s="47">
        <v>0</v>
      </c>
      <c r="AK440" s="47">
        <v>6</v>
      </c>
      <c r="AL440">
        <v>11</v>
      </c>
      <c r="AM440">
        <v>0.35293999999999998</v>
      </c>
      <c r="AN440">
        <v>12</v>
      </c>
      <c r="AO440">
        <v>7</v>
      </c>
      <c r="AP440">
        <v>11</v>
      </c>
      <c r="AQ440">
        <v>16</v>
      </c>
      <c r="AR440">
        <v>13</v>
      </c>
      <c r="AS440">
        <v>6</v>
      </c>
      <c r="AT440" t="s">
        <v>15698</v>
      </c>
      <c r="AU440" t="s">
        <v>15699</v>
      </c>
      <c r="AV440">
        <v>1.0569999999999999</v>
      </c>
      <c r="AW440" t="s">
        <v>65</v>
      </c>
      <c r="AX440">
        <v>24</v>
      </c>
      <c r="AY440">
        <v>22</v>
      </c>
      <c r="AZ440" t="s">
        <v>15700</v>
      </c>
      <c r="BA440">
        <v>3.6420000000000001E-2</v>
      </c>
      <c r="BB440">
        <v>-2.4099999999999998E-3</v>
      </c>
      <c r="BC440">
        <v>8.3999999999999995E-3</v>
      </c>
      <c r="BD440">
        <v>-3.6000000000000002E-4</v>
      </c>
      <c r="BE440">
        <v>0.23066</v>
      </c>
      <c r="BF440">
        <v>1</v>
      </c>
      <c r="BG440" t="s">
        <v>69</v>
      </c>
      <c r="BH440">
        <v>-8.0000000000000002E-3</v>
      </c>
      <c r="BI440">
        <v>-0.46100000000000002</v>
      </c>
    </row>
    <row r="441" spans="3:61">
      <c r="C441">
        <v>0</v>
      </c>
      <c r="D441">
        <v>0</v>
      </c>
      <c r="E441">
        <v>0</v>
      </c>
      <c r="F441" t="s">
        <v>25021</v>
      </c>
      <c r="G441">
        <v>1540</v>
      </c>
      <c r="H441" t="s">
        <v>9624</v>
      </c>
      <c r="I441" t="s">
        <v>62</v>
      </c>
      <c r="J441">
        <v>1548684</v>
      </c>
      <c r="K441">
        <v>1549310</v>
      </c>
      <c r="L441" t="s">
        <v>5957</v>
      </c>
      <c r="M441">
        <v>209</v>
      </c>
      <c r="N441" t="s">
        <v>108</v>
      </c>
      <c r="O441">
        <v>44</v>
      </c>
      <c r="P441" t="str">
        <f>HYPERLINK("Gene1540-zp_tree_all.dnd", "Gene1540-tree")</f>
        <v>Gene1540-tree</v>
      </c>
      <c r="Q441">
        <v>24</v>
      </c>
      <c r="R441">
        <v>8</v>
      </c>
      <c r="S441">
        <v>6</v>
      </c>
      <c r="T441">
        <v>8</v>
      </c>
      <c r="U441">
        <v>0.57142999999999999</v>
      </c>
      <c r="V441" t="s">
        <v>2675</v>
      </c>
      <c r="W441" t="s">
        <v>136</v>
      </c>
      <c r="X441" t="s">
        <v>62</v>
      </c>
      <c r="Y441" t="s">
        <v>62</v>
      </c>
      <c r="Z441">
        <v>0</v>
      </c>
      <c r="AA441">
        <v>0</v>
      </c>
      <c r="AB441">
        <v>12</v>
      </c>
      <c r="AC441">
        <v>0</v>
      </c>
      <c r="AD441" s="47">
        <v>0</v>
      </c>
      <c r="AE441" s="47">
        <v>0</v>
      </c>
      <c r="AF441" s="47">
        <v>0</v>
      </c>
      <c r="AG441" s="47">
        <v>0</v>
      </c>
      <c r="AH441" s="47">
        <v>0</v>
      </c>
      <c r="AI441" s="47">
        <v>0</v>
      </c>
      <c r="AJ441" s="47">
        <v>0</v>
      </c>
      <c r="AK441" s="47">
        <v>0</v>
      </c>
      <c r="AL441">
        <v>12</v>
      </c>
      <c r="AM441">
        <v>0</v>
      </c>
      <c r="AN441">
        <v>10</v>
      </c>
      <c r="AO441">
        <v>7</v>
      </c>
      <c r="AP441">
        <v>19</v>
      </c>
      <c r="AQ441">
        <v>11</v>
      </c>
      <c r="AR441">
        <v>10</v>
      </c>
      <c r="AS441">
        <v>1</v>
      </c>
      <c r="AT441" t="s">
        <v>9625</v>
      </c>
      <c r="AU441" t="s">
        <v>9626</v>
      </c>
      <c r="AV441">
        <v>1.4530000000000001</v>
      </c>
      <c r="AW441" t="s">
        <v>65</v>
      </c>
      <c r="AX441">
        <v>29</v>
      </c>
      <c r="AY441">
        <v>12</v>
      </c>
      <c r="AZ441" t="s">
        <v>9627</v>
      </c>
      <c r="BA441">
        <v>4.845E-2</v>
      </c>
      <c r="BB441">
        <v>-2.3500000000000001E-3</v>
      </c>
      <c r="BC441">
        <v>3.7599999999999999E-3</v>
      </c>
      <c r="BD441">
        <v>-2.7999999999999998E-4</v>
      </c>
      <c r="BE441">
        <v>7.7600000000000002E-2</v>
      </c>
      <c r="BF441">
        <v>1</v>
      </c>
      <c r="BG441" t="s">
        <v>69</v>
      </c>
      <c r="BH441">
        <v>-0.78500000000000003</v>
      </c>
      <c r="BI441">
        <v>-0.39700000000000002</v>
      </c>
    </row>
    <row r="442" spans="3:61">
      <c r="C442">
        <v>0</v>
      </c>
      <c r="D442">
        <v>2</v>
      </c>
      <c r="E442">
        <v>0</v>
      </c>
      <c r="F442" t="s">
        <v>25021</v>
      </c>
      <c r="G442">
        <v>584</v>
      </c>
      <c r="H442" t="s">
        <v>3758</v>
      </c>
      <c r="I442" t="s">
        <v>62</v>
      </c>
      <c r="J442">
        <v>612194</v>
      </c>
      <c r="K442">
        <v>612820</v>
      </c>
      <c r="L442" t="s">
        <v>3759</v>
      </c>
      <c r="M442">
        <v>209</v>
      </c>
      <c r="N442" t="s">
        <v>465</v>
      </c>
      <c r="O442">
        <v>46</v>
      </c>
      <c r="P442" t="str">
        <f>HYPERLINK("Gene584-zp_tree_all.dnd", "Gene584-tree")</f>
        <v>Gene584-tree</v>
      </c>
      <c r="Q442">
        <v>11</v>
      </c>
      <c r="R442">
        <v>2</v>
      </c>
      <c r="S442">
        <v>11</v>
      </c>
      <c r="T442">
        <v>2</v>
      </c>
      <c r="U442">
        <v>0.15384999999999999</v>
      </c>
      <c r="V442" t="s">
        <v>73</v>
      </c>
      <c r="W442" t="s">
        <v>81</v>
      </c>
      <c r="X442" t="s">
        <v>62</v>
      </c>
      <c r="Y442" t="s">
        <v>62</v>
      </c>
      <c r="Z442">
        <v>1</v>
      </c>
      <c r="AA442">
        <v>2</v>
      </c>
      <c r="AB442">
        <v>2</v>
      </c>
      <c r="AC442">
        <v>0.5</v>
      </c>
      <c r="AD442" s="47">
        <v>0</v>
      </c>
      <c r="AE442" s="47">
        <v>0</v>
      </c>
      <c r="AF442" s="47">
        <v>0</v>
      </c>
      <c r="AG442" s="47">
        <v>2</v>
      </c>
      <c r="AH442" s="47">
        <v>0</v>
      </c>
      <c r="AI442" s="47">
        <v>0</v>
      </c>
      <c r="AJ442" s="47">
        <v>0</v>
      </c>
      <c r="AK442" s="47">
        <v>0</v>
      </c>
      <c r="AL442">
        <v>2</v>
      </c>
      <c r="AM442">
        <v>0</v>
      </c>
      <c r="AN442">
        <v>10</v>
      </c>
      <c r="AO442">
        <v>5</v>
      </c>
      <c r="AP442">
        <v>25</v>
      </c>
      <c r="AQ442">
        <v>2</v>
      </c>
      <c r="AR442">
        <v>29</v>
      </c>
      <c r="AS442">
        <v>2</v>
      </c>
      <c r="AT442" t="s">
        <v>3760</v>
      </c>
      <c r="AU442" t="s">
        <v>3761</v>
      </c>
      <c r="AV442">
        <v>0.10299999999999999</v>
      </c>
      <c r="AW442" t="s">
        <v>65</v>
      </c>
      <c r="AX442">
        <v>54</v>
      </c>
      <c r="AY442">
        <v>4</v>
      </c>
      <c r="AZ442" t="s">
        <v>3762</v>
      </c>
      <c r="BA442">
        <v>8.1390000000000004E-2</v>
      </c>
      <c r="BB442">
        <v>-8.1499999999999993E-3</v>
      </c>
      <c r="BC442">
        <v>1.92E-3</v>
      </c>
      <c r="BD442">
        <v>-1.4999999999999999E-4</v>
      </c>
      <c r="BE442">
        <v>2.3619999999999999E-2</v>
      </c>
      <c r="BF442">
        <v>1</v>
      </c>
      <c r="BG442" t="s">
        <v>69</v>
      </c>
      <c r="BH442">
        <v>-1.042</v>
      </c>
      <c r="BI442">
        <v>0.57499999999999996</v>
      </c>
    </row>
    <row r="443" spans="3:61">
      <c r="C443">
        <v>0</v>
      </c>
      <c r="D443">
        <v>0</v>
      </c>
      <c r="E443">
        <v>0</v>
      </c>
      <c r="F443" t="s">
        <v>25021</v>
      </c>
      <c r="G443">
        <v>1131</v>
      </c>
      <c r="H443" t="s">
        <v>7114</v>
      </c>
      <c r="I443" t="s">
        <v>62</v>
      </c>
      <c r="J443">
        <v>1174139</v>
      </c>
      <c r="K443">
        <v>1174765</v>
      </c>
      <c r="L443" t="s">
        <v>3095</v>
      </c>
      <c r="M443">
        <v>209</v>
      </c>
      <c r="N443" t="s">
        <v>2289</v>
      </c>
      <c r="O443">
        <v>37</v>
      </c>
      <c r="P443" t="str">
        <f>HYPERLINK("Gene1131-zp_tree_all.dnd", "Gene1131-tree")</f>
        <v>Gene1131-tree</v>
      </c>
      <c r="Q443">
        <v>11</v>
      </c>
      <c r="R443">
        <v>1</v>
      </c>
      <c r="S443">
        <v>11</v>
      </c>
      <c r="T443">
        <v>1</v>
      </c>
      <c r="U443">
        <v>8.3330000000000001E-2</v>
      </c>
      <c r="V443" t="s">
        <v>73</v>
      </c>
      <c r="W443" t="s">
        <v>175</v>
      </c>
      <c r="X443" t="s">
        <v>62</v>
      </c>
      <c r="Y443" t="s">
        <v>62</v>
      </c>
      <c r="Z443">
        <v>0</v>
      </c>
      <c r="AA443">
        <v>0</v>
      </c>
      <c r="AB443">
        <v>1</v>
      </c>
      <c r="AC443">
        <v>0</v>
      </c>
      <c r="AD443" s="47">
        <v>0</v>
      </c>
      <c r="AE443" s="47">
        <v>0</v>
      </c>
      <c r="AF443" s="47">
        <v>0</v>
      </c>
      <c r="AG443" s="47">
        <v>0</v>
      </c>
      <c r="AH443" s="47">
        <v>0</v>
      </c>
      <c r="AI443" s="47">
        <v>0</v>
      </c>
      <c r="AJ443" s="47">
        <v>0</v>
      </c>
      <c r="AK443" s="47">
        <v>0</v>
      </c>
      <c r="AL443">
        <v>1</v>
      </c>
      <c r="AM443">
        <v>0</v>
      </c>
      <c r="AN443">
        <v>9</v>
      </c>
      <c r="AO443">
        <v>8</v>
      </c>
      <c r="AP443">
        <v>13</v>
      </c>
      <c r="AQ443">
        <v>1</v>
      </c>
      <c r="AR443">
        <v>14</v>
      </c>
      <c r="AS443">
        <v>0</v>
      </c>
      <c r="AT443" t="s">
        <v>7115</v>
      </c>
      <c r="AU443" t="s">
        <v>193</v>
      </c>
      <c r="AV443">
        <v>0.36499999999999999</v>
      </c>
      <c r="AW443" t="s">
        <v>65</v>
      </c>
      <c r="AX443">
        <v>27</v>
      </c>
      <c r="AY443">
        <v>1</v>
      </c>
      <c r="AZ443" t="s">
        <v>7116</v>
      </c>
      <c r="BA443">
        <v>4.6469999999999997E-2</v>
      </c>
      <c r="BB443">
        <v>-2.2699999999999999E-3</v>
      </c>
      <c r="BC443">
        <v>3.6000000000000002E-4</v>
      </c>
      <c r="BD443">
        <v>-1E-4</v>
      </c>
      <c r="BE443">
        <v>7.6600000000000001E-3</v>
      </c>
      <c r="BF443">
        <v>1</v>
      </c>
      <c r="BG443" t="s">
        <v>69</v>
      </c>
      <c r="BH443">
        <v>-0.32800000000000001</v>
      </c>
      <c r="BI443">
        <v>5.5E-2</v>
      </c>
    </row>
    <row r="444" spans="3:61">
      <c r="C444">
        <v>0</v>
      </c>
      <c r="D444">
        <v>4</v>
      </c>
      <c r="E444">
        <v>0</v>
      </c>
      <c r="F444" t="s">
        <v>25021</v>
      </c>
      <c r="G444">
        <v>3350</v>
      </c>
      <c r="H444" t="s">
        <v>19576</v>
      </c>
      <c r="I444" t="s">
        <v>57</v>
      </c>
      <c r="J444">
        <v>3319676</v>
      </c>
      <c r="K444">
        <v>3320305</v>
      </c>
      <c r="L444" t="s">
        <v>19577</v>
      </c>
      <c r="M444">
        <v>210</v>
      </c>
      <c r="N444" t="s">
        <v>108</v>
      </c>
      <c r="O444">
        <v>44</v>
      </c>
      <c r="P444" t="str">
        <f>HYPERLINK("Gene3350-zp_tree_all.dnd", "Gene3350-tree")</f>
        <v>Gene3350-tree</v>
      </c>
      <c r="Q444">
        <v>5</v>
      </c>
      <c r="R444">
        <v>7</v>
      </c>
      <c r="S444">
        <v>5</v>
      </c>
      <c r="T444">
        <v>7</v>
      </c>
      <c r="U444">
        <v>0.58333000000000002</v>
      </c>
      <c r="V444" t="s">
        <v>199</v>
      </c>
      <c r="W444" t="s">
        <v>152</v>
      </c>
      <c r="X444" t="s">
        <v>62</v>
      </c>
      <c r="Y444" t="s">
        <v>62</v>
      </c>
      <c r="Z444">
        <v>1</v>
      </c>
      <c r="AA444">
        <v>4</v>
      </c>
      <c r="AB444">
        <v>8</v>
      </c>
      <c r="AC444">
        <v>0.33333000000000002</v>
      </c>
      <c r="AD444" s="47">
        <v>0</v>
      </c>
      <c r="AE444" s="47">
        <v>0</v>
      </c>
      <c r="AF444" s="47">
        <v>0</v>
      </c>
      <c r="AG444" s="47">
        <v>0</v>
      </c>
      <c r="AH444" s="47">
        <v>0</v>
      </c>
      <c r="AI444" s="47">
        <v>3</v>
      </c>
      <c r="AJ444" s="47">
        <v>0</v>
      </c>
      <c r="AK444" s="47">
        <v>3</v>
      </c>
      <c r="AL444">
        <v>7</v>
      </c>
      <c r="AM444">
        <v>0.3</v>
      </c>
      <c r="AN444">
        <v>11</v>
      </c>
      <c r="AO444">
        <v>4</v>
      </c>
      <c r="AP444">
        <v>19</v>
      </c>
      <c r="AQ444">
        <v>10</v>
      </c>
      <c r="AR444">
        <v>5</v>
      </c>
      <c r="AS444">
        <v>2</v>
      </c>
      <c r="AT444" t="s">
        <v>19578</v>
      </c>
      <c r="AU444" t="s">
        <v>19579</v>
      </c>
      <c r="AV444">
        <v>0.182</v>
      </c>
      <c r="AW444" t="s">
        <v>65</v>
      </c>
      <c r="AX444">
        <v>24</v>
      </c>
      <c r="AY444">
        <v>12</v>
      </c>
      <c r="AZ444" t="s">
        <v>19580</v>
      </c>
      <c r="BA444">
        <v>3.356E-2</v>
      </c>
      <c r="BB444">
        <v>-1.9300000000000001E-3</v>
      </c>
      <c r="BC444">
        <v>4.3400000000000001E-3</v>
      </c>
      <c r="BD444">
        <v>-3.8999999999999999E-4</v>
      </c>
      <c r="BE444">
        <v>0.12948000000000001</v>
      </c>
      <c r="BF444">
        <v>1</v>
      </c>
      <c r="BG444" t="s">
        <v>69</v>
      </c>
      <c r="BH444">
        <v>-0.53500000000000003</v>
      </c>
      <c r="BI444">
        <v>-2.1179999999999999</v>
      </c>
    </row>
    <row r="445" spans="3:61">
      <c r="C445">
        <v>0</v>
      </c>
      <c r="D445">
        <v>6</v>
      </c>
      <c r="E445">
        <v>0</v>
      </c>
      <c r="F445" t="s">
        <v>25021</v>
      </c>
      <c r="G445">
        <v>348</v>
      </c>
      <c r="H445" t="s">
        <v>2374</v>
      </c>
      <c r="I445" t="s">
        <v>62</v>
      </c>
      <c r="J445">
        <v>375169</v>
      </c>
      <c r="K445">
        <v>375798</v>
      </c>
      <c r="L445" t="s">
        <v>2375</v>
      </c>
      <c r="M445">
        <v>210</v>
      </c>
      <c r="N445" t="s">
        <v>108</v>
      </c>
      <c r="O445">
        <v>44</v>
      </c>
      <c r="P445" t="str">
        <f>HYPERLINK("Gene348-zp_tree_all.dnd", "Gene348-tree")</f>
        <v>Gene348-tree</v>
      </c>
      <c r="Q445">
        <v>7</v>
      </c>
      <c r="R445">
        <v>6</v>
      </c>
      <c r="S445">
        <v>7</v>
      </c>
      <c r="T445">
        <v>6</v>
      </c>
      <c r="U445">
        <v>0.46154000000000001</v>
      </c>
      <c r="V445" t="s">
        <v>152</v>
      </c>
      <c r="W445" t="s">
        <v>90</v>
      </c>
      <c r="X445" t="s">
        <v>62</v>
      </c>
      <c r="Y445" t="s">
        <v>62</v>
      </c>
      <c r="Z445">
        <v>3</v>
      </c>
      <c r="AA445">
        <v>6</v>
      </c>
      <c r="AB445">
        <v>8</v>
      </c>
      <c r="AC445">
        <v>0.42857000000000001</v>
      </c>
      <c r="AD445" s="47">
        <v>0</v>
      </c>
      <c r="AE445" s="47">
        <v>0</v>
      </c>
      <c r="AF445" s="47">
        <v>0</v>
      </c>
      <c r="AG445" s="47">
        <v>2</v>
      </c>
      <c r="AH445" s="47">
        <v>0</v>
      </c>
      <c r="AI445" s="47">
        <v>0</v>
      </c>
      <c r="AJ445" s="47">
        <v>0</v>
      </c>
      <c r="AK445" s="47">
        <v>0</v>
      </c>
      <c r="AL445">
        <v>10</v>
      </c>
      <c r="AM445">
        <v>0</v>
      </c>
      <c r="AN445">
        <v>10</v>
      </c>
      <c r="AO445">
        <v>7</v>
      </c>
      <c r="AP445">
        <v>15</v>
      </c>
      <c r="AQ445">
        <v>9</v>
      </c>
      <c r="AR445">
        <v>17</v>
      </c>
      <c r="AS445">
        <v>5</v>
      </c>
      <c r="AT445" t="s">
        <v>2376</v>
      </c>
      <c r="AU445" t="s">
        <v>2377</v>
      </c>
      <c r="AV445">
        <v>0.61399999999999999</v>
      </c>
      <c r="AW445" t="s">
        <v>65</v>
      </c>
      <c r="AX445">
        <v>32</v>
      </c>
      <c r="AY445">
        <v>14</v>
      </c>
      <c r="AZ445" t="s">
        <v>2378</v>
      </c>
      <c r="BA445">
        <v>5.1020000000000003E-2</v>
      </c>
      <c r="BB445">
        <v>-3.1099999999999999E-3</v>
      </c>
      <c r="BC445">
        <v>6.1599999999999997E-3</v>
      </c>
      <c r="BD445">
        <v>-4.6999999999999999E-4</v>
      </c>
      <c r="BE445">
        <v>0.12074</v>
      </c>
      <c r="BF445">
        <v>1</v>
      </c>
      <c r="BG445" t="s">
        <v>69</v>
      </c>
      <c r="BH445">
        <v>-0.54200000000000004</v>
      </c>
      <c r="BI445">
        <v>-0.67400000000000004</v>
      </c>
    </row>
    <row r="446" spans="3:61">
      <c r="C446">
        <v>0</v>
      </c>
      <c r="D446">
        <v>0</v>
      </c>
      <c r="E446">
        <v>0</v>
      </c>
      <c r="F446" t="s">
        <v>25021</v>
      </c>
      <c r="G446">
        <v>3087</v>
      </c>
      <c r="H446" t="s">
        <v>17890</v>
      </c>
      <c r="I446" t="s">
        <v>57</v>
      </c>
      <c r="J446">
        <v>3040092</v>
      </c>
      <c r="K446">
        <v>3040721</v>
      </c>
      <c r="L446" t="s">
        <v>17891</v>
      </c>
      <c r="M446">
        <v>210</v>
      </c>
      <c r="N446" t="s">
        <v>698</v>
      </c>
      <c r="O446">
        <v>47</v>
      </c>
      <c r="P446" t="str">
        <f>HYPERLINK("Gene3087-zp_tree_all.dnd", "Gene3087-tree")</f>
        <v>Gene3087-tree</v>
      </c>
      <c r="Q446">
        <v>11</v>
      </c>
      <c r="R446">
        <v>2</v>
      </c>
      <c r="S446">
        <v>11</v>
      </c>
      <c r="T446">
        <v>2</v>
      </c>
      <c r="U446">
        <v>0.15384999999999999</v>
      </c>
      <c r="V446" t="s">
        <v>73</v>
      </c>
      <c r="W446" t="s">
        <v>81</v>
      </c>
      <c r="X446" t="s">
        <v>62</v>
      </c>
      <c r="Y446" t="s">
        <v>62</v>
      </c>
      <c r="Z446">
        <v>0</v>
      </c>
      <c r="AA446">
        <v>0</v>
      </c>
      <c r="AB446">
        <v>9</v>
      </c>
      <c r="AC446">
        <v>0</v>
      </c>
      <c r="AD446" s="47">
        <v>0</v>
      </c>
      <c r="AE446" s="47">
        <v>0</v>
      </c>
      <c r="AF446" s="47">
        <v>0</v>
      </c>
      <c r="AG446" s="47">
        <v>2</v>
      </c>
      <c r="AH446" s="47">
        <v>0</v>
      </c>
      <c r="AI446" s="47">
        <v>0</v>
      </c>
      <c r="AJ446" s="47">
        <v>0</v>
      </c>
      <c r="AK446" s="47">
        <v>0</v>
      </c>
      <c r="AL446">
        <v>3</v>
      </c>
      <c r="AM446">
        <v>0</v>
      </c>
      <c r="AN446">
        <v>8</v>
      </c>
      <c r="AO446">
        <v>8</v>
      </c>
      <c r="AP446">
        <v>17</v>
      </c>
      <c r="AQ446">
        <v>2</v>
      </c>
      <c r="AR446">
        <v>24</v>
      </c>
      <c r="AS446">
        <v>7</v>
      </c>
      <c r="AT446" t="s">
        <v>17892</v>
      </c>
      <c r="AU446" t="s">
        <v>17893</v>
      </c>
      <c r="AV446">
        <v>0.372</v>
      </c>
      <c r="AW446" t="s">
        <v>65</v>
      </c>
      <c r="AX446">
        <v>41</v>
      </c>
      <c r="AY446">
        <v>9</v>
      </c>
      <c r="AZ446" t="s">
        <v>17894</v>
      </c>
      <c r="BA446">
        <v>8.1699999999999995E-2</v>
      </c>
      <c r="BB446">
        <v>-8.5500000000000003E-3</v>
      </c>
      <c r="BC446">
        <v>5.9300000000000004E-3</v>
      </c>
      <c r="BD446">
        <v>-5.1000000000000004E-4</v>
      </c>
      <c r="BE446">
        <v>7.2559999999999999E-2</v>
      </c>
      <c r="BF446">
        <v>1</v>
      </c>
      <c r="BG446" t="s">
        <v>69</v>
      </c>
      <c r="BH446">
        <v>-1.6379999999999999</v>
      </c>
      <c r="BI446">
        <v>-0.66700000000000004</v>
      </c>
    </row>
    <row r="447" spans="3:61">
      <c r="C447">
        <v>0</v>
      </c>
      <c r="D447">
        <v>6</v>
      </c>
      <c r="E447">
        <v>0</v>
      </c>
      <c r="F447" t="s">
        <v>25021</v>
      </c>
      <c r="G447">
        <v>1826</v>
      </c>
      <c r="H447" t="s">
        <v>11444</v>
      </c>
      <c r="I447" t="s">
        <v>62</v>
      </c>
      <c r="J447">
        <v>1895381</v>
      </c>
      <c r="K447">
        <v>1896013</v>
      </c>
      <c r="L447" t="s">
        <v>11445</v>
      </c>
      <c r="M447">
        <v>211</v>
      </c>
      <c r="N447" t="s">
        <v>1392</v>
      </c>
      <c r="O447">
        <v>43</v>
      </c>
      <c r="P447" t="str">
        <f>HYPERLINK("Gene1826-zp_tree_all.dnd", "Gene1826-tree")</f>
        <v>Gene1826-tree</v>
      </c>
      <c r="Q447">
        <v>4</v>
      </c>
      <c r="R447">
        <v>8</v>
      </c>
      <c r="S447">
        <v>4</v>
      </c>
      <c r="T447">
        <v>8</v>
      </c>
      <c r="U447">
        <v>0.66666999999999998</v>
      </c>
      <c r="V447" t="s">
        <v>61</v>
      </c>
      <c r="W447" t="s">
        <v>136</v>
      </c>
      <c r="X447" t="s">
        <v>62</v>
      </c>
      <c r="Y447" t="s">
        <v>62</v>
      </c>
      <c r="Z447">
        <v>3</v>
      </c>
      <c r="AA447">
        <v>6</v>
      </c>
      <c r="AB447">
        <v>15</v>
      </c>
      <c r="AC447">
        <v>0.28571000000000002</v>
      </c>
      <c r="AD447" s="47">
        <v>0</v>
      </c>
      <c r="AE447" s="47">
        <v>0</v>
      </c>
      <c r="AF447" s="47">
        <v>0</v>
      </c>
      <c r="AG447" s="47">
        <v>0</v>
      </c>
      <c r="AH447" s="47">
        <v>0</v>
      </c>
      <c r="AI447" s="47">
        <v>0</v>
      </c>
      <c r="AJ447" s="47">
        <v>0</v>
      </c>
      <c r="AK447" s="47">
        <v>0</v>
      </c>
      <c r="AL447">
        <v>13</v>
      </c>
      <c r="AM447">
        <v>0</v>
      </c>
      <c r="AN447">
        <v>11</v>
      </c>
      <c r="AO447">
        <v>7</v>
      </c>
      <c r="AP447">
        <v>11</v>
      </c>
      <c r="AQ447">
        <v>13</v>
      </c>
      <c r="AR447">
        <v>3</v>
      </c>
      <c r="AS447">
        <v>8</v>
      </c>
      <c r="AT447" t="s">
        <v>11446</v>
      </c>
      <c r="AU447" t="s">
        <v>11447</v>
      </c>
      <c r="AV447">
        <v>0.83699999999999997</v>
      </c>
      <c r="AW447" t="s">
        <v>65</v>
      </c>
      <c r="AX447">
        <v>14</v>
      </c>
      <c r="AY447">
        <v>21</v>
      </c>
      <c r="AZ447" t="s">
        <v>11448</v>
      </c>
      <c r="BA447">
        <v>1.8319999999999999E-2</v>
      </c>
      <c r="BB447">
        <v>-1.17E-3</v>
      </c>
      <c r="BC447">
        <v>1.017E-2</v>
      </c>
      <c r="BD447">
        <v>-5.1999999999999995E-4</v>
      </c>
      <c r="BE447">
        <v>0.55486000000000002</v>
      </c>
      <c r="BF447">
        <v>0.73</v>
      </c>
      <c r="BG447" t="s">
        <v>635</v>
      </c>
      <c r="BH447">
        <v>-0.66800000000000004</v>
      </c>
      <c r="BI447">
        <v>-1.4450000000000001</v>
      </c>
    </row>
    <row r="448" spans="3:61">
      <c r="C448">
        <v>0</v>
      </c>
      <c r="D448">
        <v>2</v>
      </c>
      <c r="E448">
        <v>4</v>
      </c>
      <c r="F448" t="s">
        <v>25021</v>
      </c>
      <c r="G448">
        <v>1525</v>
      </c>
      <c r="H448" t="s">
        <v>9531</v>
      </c>
      <c r="I448" t="s">
        <v>62</v>
      </c>
      <c r="J448">
        <v>1536238</v>
      </c>
      <c r="K448">
        <v>1536873</v>
      </c>
      <c r="L448" t="s">
        <v>116</v>
      </c>
      <c r="M448">
        <v>212</v>
      </c>
      <c r="N448" t="s">
        <v>289</v>
      </c>
      <c r="O448">
        <v>46</v>
      </c>
      <c r="P448" t="str">
        <f>HYPERLINK("Gene1525-zp_tree_all.dnd", "Gene1525-tree")</f>
        <v>Gene1525-tree</v>
      </c>
      <c r="Q448">
        <v>7</v>
      </c>
      <c r="R448">
        <v>7</v>
      </c>
      <c r="S448">
        <v>7</v>
      </c>
      <c r="T448">
        <v>7</v>
      </c>
      <c r="U448">
        <v>0.5</v>
      </c>
      <c r="V448" t="s">
        <v>152</v>
      </c>
      <c r="W448" t="s">
        <v>152</v>
      </c>
      <c r="X448" t="s">
        <v>62</v>
      </c>
      <c r="Y448" t="s">
        <v>62</v>
      </c>
      <c r="Z448">
        <v>3</v>
      </c>
      <c r="AA448">
        <v>6</v>
      </c>
      <c r="AB448">
        <v>9</v>
      </c>
      <c r="AC448">
        <v>0.4</v>
      </c>
      <c r="AD448" s="47">
        <v>0</v>
      </c>
      <c r="AE448" s="47">
        <v>0</v>
      </c>
      <c r="AF448" s="47">
        <v>0</v>
      </c>
      <c r="AG448" s="47">
        <v>1</v>
      </c>
      <c r="AH448" s="47">
        <v>0</v>
      </c>
      <c r="AI448" s="47">
        <v>2</v>
      </c>
      <c r="AJ448" s="47">
        <v>2</v>
      </c>
      <c r="AK448" s="47">
        <v>4</v>
      </c>
      <c r="AL448">
        <v>6</v>
      </c>
      <c r="AM448">
        <v>0.4</v>
      </c>
      <c r="AN448">
        <v>12</v>
      </c>
      <c r="AO448">
        <v>7</v>
      </c>
      <c r="AP448">
        <v>27</v>
      </c>
      <c r="AQ448">
        <v>10</v>
      </c>
      <c r="AR448">
        <v>28</v>
      </c>
      <c r="AS448">
        <v>5</v>
      </c>
      <c r="AT448" t="s">
        <v>9532</v>
      </c>
      <c r="AU448" t="s">
        <v>9533</v>
      </c>
      <c r="AV448">
        <v>0.47799999999999998</v>
      </c>
      <c r="AW448" t="s">
        <v>65</v>
      </c>
      <c r="AX448">
        <v>55</v>
      </c>
      <c r="AY448">
        <v>15</v>
      </c>
      <c r="AZ448" t="s">
        <v>9534</v>
      </c>
      <c r="BA448">
        <v>8.8999999999999996E-2</v>
      </c>
      <c r="BB448">
        <v>-7.4700000000000001E-3</v>
      </c>
      <c r="BC448">
        <v>6.0699999999999999E-3</v>
      </c>
      <c r="BD448">
        <v>-4.4999999999999999E-4</v>
      </c>
      <c r="BE448">
        <v>6.8150000000000002E-2</v>
      </c>
      <c r="BF448">
        <v>1</v>
      </c>
      <c r="BG448" t="s">
        <v>69</v>
      </c>
      <c r="BH448">
        <v>-1.3</v>
      </c>
      <c r="BI448">
        <v>-1.0589999999999999</v>
      </c>
    </row>
    <row r="449" spans="3:61">
      <c r="C449">
        <v>0</v>
      </c>
      <c r="D449">
        <v>4</v>
      </c>
      <c r="E449">
        <v>0</v>
      </c>
      <c r="F449" t="s">
        <v>25021</v>
      </c>
      <c r="G449">
        <v>1124</v>
      </c>
      <c r="H449" t="s">
        <v>7066</v>
      </c>
      <c r="I449" t="s">
        <v>62</v>
      </c>
      <c r="J449">
        <v>1168202</v>
      </c>
      <c r="K449">
        <v>1168837</v>
      </c>
      <c r="L449" t="s">
        <v>288</v>
      </c>
      <c r="M449">
        <v>212</v>
      </c>
      <c r="N449" t="s">
        <v>108</v>
      </c>
      <c r="O449">
        <v>44</v>
      </c>
      <c r="P449" t="str">
        <f>HYPERLINK("Gene1124-zp_tree_all.dnd", "Gene1124-tree")</f>
        <v>Gene1124-tree</v>
      </c>
      <c r="Q449">
        <v>10</v>
      </c>
      <c r="R449">
        <v>5</v>
      </c>
      <c r="S449">
        <v>10</v>
      </c>
      <c r="T449">
        <v>5</v>
      </c>
      <c r="U449">
        <v>0.33333000000000002</v>
      </c>
      <c r="V449" t="s">
        <v>117</v>
      </c>
      <c r="W449" t="s">
        <v>199</v>
      </c>
      <c r="X449" t="s">
        <v>62</v>
      </c>
      <c r="Y449" t="s">
        <v>62</v>
      </c>
      <c r="Z449">
        <v>1</v>
      </c>
      <c r="AA449">
        <v>4</v>
      </c>
      <c r="AB449">
        <v>7</v>
      </c>
      <c r="AC449">
        <v>0.36364000000000002</v>
      </c>
      <c r="AD449" s="47">
        <v>0</v>
      </c>
      <c r="AE449" s="47">
        <v>0</v>
      </c>
      <c r="AF449" s="47">
        <v>0</v>
      </c>
      <c r="AG449" s="47">
        <v>3</v>
      </c>
      <c r="AH449" s="47">
        <v>0</v>
      </c>
      <c r="AI449" s="47">
        <v>0</v>
      </c>
      <c r="AJ449" s="47">
        <v>0</v>
      </c>
      <c r="AK449" s="47">
        <v>0</v>
      </c>
      <c r="AL449">
        <v>6</v>
      </c>
      <c r="AM449">
        <v>0</v>
      </c>
      <c r="AN449">
        <v>9</v>
      </c>
      <c r="AO449">
        <v>11</v>
      </c>
      <c r="AP449">
        <v>15</v>
      </c>
      <c r="AQ449">
        <v>6</v>
      </c>
      <c r="AR449">
        <v>22</v>
      </c>
      <c r="AS449">
        <v>5</v>
      </c>
      <c r="AT449" t="s">
        <v>7067</v>
      </c>
      <c r="AU449" t="s">
        <v>7068</v>
      </c>
      <c r="AV449">
        <v>0.48199999999999998</v>
      </c>
      <c r="AW449" t="s">
        <v>65</v>
      </c>
      <c r="AX449">
        <v>37</v>
      </c>
      <c r="AY449">
        <v>11</v>
      </c>
      <c r="AZ449" t="s">
        <v>7069</v>
      </c>
      <c r="BA449">
        <v>6.0229999999999999E-2</v>
      </c>
      <c r="BB449">
        <v>-2.4599999999999999E-3</v>
      </c>
      <c r="BC449">
        <v>3.4499999999999999E-3</v>
      </c>
      <c r="BD449">
        <v>-2.0000000000000001E-4</v>
      </c>
      <c r="BE449">
        <v>5.7230000000000003E-2</v>
      </c>
      <c r="BF449">
        <v>1</v>
      </c>
      <c r="BG449" t="s">
        <v>69</v>
      </c>
      <c r="BH449">
        <v>0.497</v>
      </c>
      <c r="BI449">
        <v>0.52600000000000002</v>
      </c>
    </row>
    <row r="450" spans="3:61">
      <c r="C450">
        <v>0</v>
      </c>
      <c r="D450">
        <v>0</v>
      </c>
      <c r="E450">
        <v>0</v>
      </c>
      <c r="F450" t="s">
        <v>25021</v>
      </c>
      <c r="G450">
        <v>2270</v>
      </c>
      <c r="H450" t="s">
        <v>13131</v>
      </c>
      <c r="I450" t="s">
        <v>57</v>
      </c>
      <c r="J450">
        <v>2295302</v>
      </c>
      <c r="K450">
        <v>2295940</v>
      </c>
      <c r="L450" t="s">
        <v>5589</v>
      </c>
      <c r="M450">
        <v>213</v>
      </c>
      <c r="N450" t="s">
        <v>108</v>
      </c>
      <c r="O450">
        <v>44</v>
      </c>
      <c r="P450" t="str">
        <f>HYPERLINK("Gene2270-zp_tree_all.dnd", "Gene2270-tree")</f>
        <v>Gene2270-tree</v>
      </c>
      <c r="Q450">
        <v>10</v>
      </c>
      <c r="R450">
        <v>2</v>
      </c>
      <c r="S450">
        <v>10</v>
      </c>
      <c r="T450">
        <v>2</v>
      </c>
      <c r="U450">
        <v>0.16667000000000001</v>
      </c>
      <c r="V450" t="s">
        <v>117</v>
      </c>
      <c r="W450" t="s">
        <v>81</v>
      </c>
      <c r="X450" t="s">
        <v>62</v>
      </c>
      <c r="Y450" t="s">
        <v>62</v>
      </c>
      <c r="Z450">
        <v>0</v>
      </c>
      <c r="AA450">
        <v>0</v>
      </c>
      <c r="AB450">
        <v>3</v>
      </c>
      <c r="AC450">
        <v>0</v>
      </c>
      <c r="AD450" s="47">
        <v>0</v>
      </c>
      <c r="AE450" s="47">
        <v>0</v>
      </c>
      <c r="AF450" s="47">
        <v>0</v>
      </c>
      <c r="AG450" s="47">
        <v>0</v>
      </c>
      <c r="AH450" s="47">
        <v>0</v>
      </c>
      <c r="AI450" s="47">
        <v>0</v>
      </c>
      <c r="AJ450" s="47">
        <v>0</v>
      </c>
      <c r="AK450" s="47">
        <v>0</v>
      </c>
      <c r="AL450">
        <v>3</v>
      </c>
      <c r="AM450">
        <v>0</v>
      </c>
      <c r="AN450">
        <v>9</v>
      </c>
      <c r="AO450">
        <v>4</v>
      </c>
      <c r="AP450">
        <v>10</v>
      </c>
      <c r="AQ450">
        <v>3</v>
      </c>
      <c r="AR450">
        <v>7</v>
      </c>
      <c r="AS450">
        <v>0</v>
      </c>
      <c r="AT450" t="s">
        <v>13132</v>
      </c>
      <c r="AU450" t="s">
        <v>193</v>
      </c>
      <c r="AV450">
        <v>0.67400000000000004</v>
      </c>
      <c r="AW450" t="s">
        <v>65</v>
      </c>
      <c r="AX450">
        <v>17</v>
      </c>
      <c r="AY450">
        <v>3</v>
      </c>
      <c r="AZ450" t="s">
        <v>13133</v>
      </c>
      <c r="BA450">
        <v>2.7550000000000002E-2</v>
      </c>
      <c r="BB450">
        <v>-1.6299999999999999E-3</v>
      </c>
      <c r="BC450">
        <v>1.0399999999999999E-3</v>
      </c>
      <c r="BD450">
        <v>-2.1000000000000001E-4</v>
      </c>
      <c r="BE450">
        <v>3.7699999999999997E-2</v>
      </c>
      <c r="BF450">
        <v>1</v>
      </c>
      <c r="BG450" t="s">
        <v>69</v>
      </c>
      <c r="BH450">
        <v>-4.1000000000000002E-2</v>
      </c>
      <c r="BI450">
        <v>-0.19600000000000001</v>
      </c>
    </row>
    <row r="451" spans="3:61">
      <c r="C451">
        <v>0</v>
      </c>
      <c r="D451">
        <v>2</v>
      </c>
      <c r="E451">
        <v>4</v>
      </c>
      <c r="F451" t="s">
        <v>25021</v>
      </c>
      <c r="G451">
        <v>3088</v>
      </c>
      <c r="H451" t="s">
        <v>17897</v>
      </c>
      <c r="I451" t="s">
        <v>57</v>
      </c>
      <c r="J451">
        <v>3040751</v>
      </c>
      <c r="K451">
        <v>3041392</v>
      </c>
      <c r="L451" t="s">
        <v>17898</v>
      </c>
      <c r="M451">
        <v>214</v>
      </c>
      <c r="N451" t="s">
        <v>698</v>
      </c>
      <c r="O451">
        <v>47</v>
      </c>
      <c r="P451" t="str">
        <f>HYPERLINK("Gene3088-zp_tree_all.dnd", "Gene3088-tree")</f>
        <v>Gene3088-tree</v>
      </c>
      <c r="Q451">
        <v>11</v>
      </c>
      <c r="R451">
        <v>7</v>
      </c>
      <c r="S451">
        <v>11</v>
      </c>
      <c r="T451">
        <v>7</v>
      </c>
      <c r="U451">
        <v>0.38889000000000001</v>
      </c>
      <c r="V451" t="s">
        <v>73</v>
      </c>
      <c r="W451" t="s">
        <v>152</v>
      </c>
      <c r="X451" t="s">
        <v>62</v>
      </c>
      <c r="Y451" t="s">
        <v>62</v>
      </c>
      <c r="Z451">
        <v>3</v>
      </c>
      <c r="AA451">
        <v>6</v>
      </c>
      <c r="AB451">
        <v>11</v>
      </c>
      <c r="AC451">
        <v>0.35293999999999998</v>
      </c>
      <c r="AD451" s="47">
        <v>0</v>
      </c>
      <c r="AE451" s="47">
        <v>0</v>
      </c>
      <c r="AF451" s="47">
        <v>0</v>
      </c>
      <c r="AG451" s="47">
        <v>2</v>
      </c>
      <c r="AH451" s="47">
        <v>0</v>
      </c>
      <c r="AI451" s="47">
        <v>0</v>
      </c>
      <c r="AJ451" s="47">
        <v>0</v>
      </c>
      <c r="AK451" s="47">
        <v>0</v>
      </c>
      <c r="AL451">
        <v>9</v>
      </c>
      <c r="AM451">
        <v>0</v>
      </c>
      <c r="AN451">
        <v>14</v>
      </c>
      <c r="AO451">
        <v>10</v>
      </c>
      <c r="AP451">
        <v>25</v>
      </c>
      <c r="AQ451">
        <v>10</v>
      </c>
      <c r="AR451">
        <v>32</v>
      </c>
      <c r="AS451">
        <v>8</v>
      </c>
      <c r="AT451" t="s">
        <v>17899</v>
      </c>
      <c r="AU451" t="s">
        <v>17900</v>
      </c>
      <c r="AV451">
        <v>0.24399999999999999</v>
      </c>
      <c r="AW451" t="s">
        <v>65</v>
      </c>
      <c r="AX451">
        <v>57</v>
      </c>
      <c r="AY451">
        <v>18</v>
      </c>
      <c r="AZ451" t="s">
        <v>17901</v>
      </c>
      <c r="BA451">
        <v>8.4239999999999995E-2</v>
      </c>
      <c r="BB451">
        <v>-5.6699999999999997E-3</v>
      </c>
      <c r="BC451">
        <v>6.4900000000000001E-3</v>
      </c>
      <c r="BD451">
        <v>-5.2999999999999998E-4</v>
      </c>
      <c r="BE451">
        <v>7.6999999999999999E-2</v>
      </c>
      <c r="BF451">
        <v>1</v>
      </c>
      <c r="BG451" t="s">
        <v>69</v>
      </c>
      <c r="BH451">
        <v>-1.417</v>
      </c>
      <c r="BI451">
        <v>-0.78300000000000003</v>
      </c>
    </row>
    <row r="452" spans="3:61">
      <c r="C452">
        <v>0</v>
      </c>
      <c r="D452">
        <v>8</v>
      </c>
      <c r="E452">
        <v>0</v>
      </c>
      <c r="F452" t="s">
        <v>25021</v>
      </c>
      <c r="G452">
        <v>266</v>
      </c>
      <c r="H452" t="s">
        <v>1813</v>
      </c>
      <c r="I452" t="s">
        <v>62</v>
      </c>
      <c r="J452">
        <v>286776</v>
      </c>
      <c r="K452">
        <v>287420</v>
      </c>
      <c r="L452" t="s">
        <v>1814</v>
      </c>
      <c r="M452">
        <v>215</v>
      </c>
      <c r="N452" t="s">
        <v>108</v>
      </c>
      <c r="O452">
        <v>44</v>
      </c>
      <c r="P452" t="str">
        <f>HYPERLINK("Gene266-zp_tree_all.dnd", "Gene266-tree")</f>
        <v>Gene266-tree</v>
      </c>
      <c r="Q452">
        <v>8</v>
      </c>
      <c r="R452">
        <v>8</v>
      </c>
      <c r="S452">
        <v>8</v>
      </c>
      <c r="T452">
        <v>8</v>
      </c>
      <c r="U452">
        <v>0.5</v>
      </c>
      <c r="V452" t="s">
        <v>136</v>
      </c>
      <c r="W452" t="s">
        <v>136</v>
      </c>
      <c r="X452" t="s">
        <v>62</v>
      </c>
      <c r="Y452" t="s">
        <v>62</v>
      </c>
      <c r="Z452">
        <v>3</v>
      </c>
      <c r="AA452">
        <v>8</v>
      </c>
      <c r="AB452">
        <v>13</v>
      </c>
      <c r="AC452">
        <v>0.38095000000000001</v>
      </c>
      <c r="AD452" s="47">
        <v>0</v>
      </c>
      <c r="AE452" s="47">
        <v>0</v>
      </c>
      <c r="AF452" s="47">
        <v>0</v>
      </c>
      <c r="AG452" s="47">
        <v>1</v>
      </c>
      <c r="AH452" s="47">
        <v>0</v>
      </c>
      <c r="AI452" s="47">
        <v>2</v>
      </c>
      <c r="AJ452" s="47">
        <v>0</v>
      </c>
      <c r="AK452" s="47">
        <v>2</v>
      </c>
      <c r="AL452">
        <v>11</v>
      </c>
      <c r="AM452">
        <v>0.15384999999999999</v>
      </c>
      <c r="AN452">
        <v>13</v>
      </c>
      <c r="AO452">
        <v>13</v>
      </c>
      <c r="AP452">
        <v>27</v>
      </c>
      <c r="AQ452">
        <v>12</v>
      </c>
      <c r="AR452">
        <v>22</v>
      </c>
      <c r="AS452">
        <v>9</v>
      </c>
      <c r="AT452" t="s">
        <v>1815</v>
      </c>
      <c r="AU452" t="s">
        <v>1816</v>
      </c>
      <c r="AV452">
        <v>0.128</v>
      </c>
      <c r="AW452" t="s">
        <v>65</v>
      </c>
      <c r="AX452">
        <v>49</v>
      </c>
      <c r="AY452">
        <v>21</v>
      </c>
      <c r="AZ452" t="s">
        <v>1817</v>
      </c>
      <c r="BA452">
        <v>5.6980000000000003E-2</v>
      </c>
      <c r="BB452">
        <v>-1.9499999999999999E-3</v>
      </c>
      <c r="BC452">
        <v>7.6699999999999997E-3</v>
      </c>
      <c r="BD452">
        <v>-3.4000000000000002E-4</v>
      </c>
      <c r="BE452">
        <v>0.13458999999999999</v>
      </c>
      <c r="BF452">
        <v>1</v>
      </c>
      <c r="BG452" t="s">
        <v>69</v>
      </c>
      <c r="BH452">
        <v>-0.41299999999999998</v>
      </c>
      <c r="BI452">
        <v>-1.135</v>
      </c>
    </row>
    <row r="453" spans="3:61">
      <c r="C453">
        <v>0</v>
      </c>
      <c r="D453">
        <v>2</v>
      </c>
      <c r="E453">
        <v>0</v>
      </c>
      <c r="F453" t="s">
        <v>25021</v>
      </c>
      <c r="G453">
        <v>361</v>
      </c>
      <c r="H453" t="s">
        <v>2448</v>
      </c>
      <c r="I453" t="s">
        <v>62</v>
      </c>
      <c r="J453">
        <v>408243</v>
      </c>
      <c r="K453">
        <v>408887</v>
      </c>
      <c r="L453" t="s">
        <v>2449</v>
      </c>
      <c r="M453">
        <v>215</v>
      </c>
      <c r="N453" t="s">
        <v>465</v>
      </c>
      <c r="O453">
        <v>46</v>
      </c>
      <c r="P453" t="str">
        <f>HYPERLINK("Gene361-zp_tree_all.dnd", "Gene361-tree")</f>
        <v>Gene361-tree</v>
      </c>
      <c r="Q453">
        <v>14</v>
      </c>
      <c r="R453">
        <v>1</v>
      </c>
      <c r="S453">
        <v>14</v>
      </c>
      <c r="T453">
        <v>1</v>
      </c>
      <c r="U453">
        <v>6.6669999999999993E-2</v>
      </c>
      <c r="V453" t="s">
        <v>543</v>
      </c>
      <c r="W453" t="s">
        <v>175</v>
      </c>
      <c r="X453" t="s">
        <v>62</v>
      </c>
      <c r="Y453" t="s">
        <v>62</v>
      </c>
      <c r="Z453">
        <v>1</v>
      </c>
      <c r="AA453">
        <v>2</v>
      </c>
      <c r="AB453">
        <v>7</v>
      </c>
      <c r="AC453">
        <v>0.22222</v>
      </c>
      <c r="AD453" s="47">
        <v>0</v>
      </c>
      <c r="AE453" s="47">
        <v>0</v>
      </c>
      <c r="AF453" s="47">
        <v>0</v>
      </c>
      <c r="AG453" s="47">
        <v>7</v>
      </c>
      <c r="AH453" s="47">
        <v>0</v>
      </c>
      <c r="AI453" s="47">
        <v>0</v>
      </c>
      <c r="AJ453" s="47">
        <v>0</v>
      </c>
      <c r="AK453" s="47">
        <v>0</v>
      </c>
      <c r="AL453">
        <v>1</v>
      </c>
      <c r="AM453">
        <v>0</v>
      </c>
      <c r="AN453">
        <v>7</v>
      </c>
      <c r="AO453">
        <v>11</v>
      </c>
      <c r="AP453">
        <v>15</v>
      </c>
      <c r="AQ453">
        <v>1</v>
      </c>
      <c r="AR453">
        <v>37</v>
      </c>
      <c r="AS453">
        <v>8</v>
      </c>
      <c r="AT453" t="s">
        <v>2450</v>
      </c>
      <c r="AU453" t="s">
        <v>2451</v>
      </c>
      <c r="AV453">
        <v>0.33200000000000002</v>
      </c>
      <c r="AW453" t="s">
        <v>65</v>
      </c>
      <c r="AX453">
        <v>52</v>
      </c>
      <c r="AY453">
        <v>9</v>
      </c>
      <c r="AZ453" t="s">
        <v>2452</v>
      </c>
      <c r="BA453">
        <v>6.4490000000000006E-2</v>
      </c>
      <c r="BB453">
        <v>-3.3700000000000002E-3</v>
      </c>
      <c r="BC453">
        <v>4.4900000000000001E-3</v>
      </c>
      <c r="BD453">
        <v>-5.2999999999999998E-4</v>
      </c>
      <c r="BE453">
        <v>6.9620000000000001E-2</v>
      </c>
      <c r="BF453">
        <v>1</v>
      </c>
      <c r="BG453" t="s">
        <v>69</v>
      </c>
      <c r="BH453">
        <v>-0.495</v>
      </c>
      <c r="BI453">
        <v>0.98299999999999998</v>
      </c>
    </row>
    <row r="454" spans="3:61">
      <c r="C454">
        <v>0</v>
      </c>
      <c r="D454">
        <v>0</v>
      </c>
      <c r="E454">
        <v>0</v>
      </c>
      <c r="F454" t="s">
        <v>25021</v>
      </c>
      <c r="G454">
        <v>2893</v>
      </c>
      <c r="H454" t="s">
        <v>16652</v>
      </c>
      <c r="I454" t="s">
        <v>57</v>
      </c>
      <c r="J454">
        <v>2840110</v>
      </c>
      <c r="K454">
        <v>2840754</v>
      </c>
      <c r="L454" t="s">
        <v>16653</v>
      </c>
      <c r="M454">
        <v>215</v>
      </c>
      <c r="N454" t="s">
        <v>409</v>
      </c>
      <c r="O454">
        <v>45</v>
      </c>
      <c r="P454" t="str">
        <f>HYPERLINK("Gene2893-zp_tree_all.dnd", "Gene2893-tree")</f>
        <v>Gene2893-tree</v>
      </c>
      <c r="Q454">
        <v>4</v>
      </c>
      <c r="R454">
        <v>7</v>
      </c>
      <c r="S454">
        <v>4</v>
      </c>
      <c r="T454">
        <v>7</v>
      </c>
      <c r="U454">
        <v>0.63636000000000004</v>
      </c>
      <c r="V454" t="s">
        <v>61</v>
      </c>
      <c r="W454" t="s">
        <v>152</v>
      </c>
      <c r="X454" t="s">
        <v>62</v>
      </c>
      <c r="Y454" t="s">
        <v>62</v>
      </c>
      <c r="Z454">
        <v>0</v>
      </c>
      <c r="AA454">
        <v>0</v>
      </c>
      <c r="AB454">
        <v>9</v>
      </c>
      <c r="AC454">
        <v>0</v>
      </c>
      <c r="AD454" s="47">
        <v>0</v>
      </c>
      <c r="AE454" s="47">
        <v>0</v>
      </c>
      <c r="AF454" s="47">
        <v>0</v>
      </c>
      <c r="AG454" s="47">
        <v>0</v>
      </c>
      <c r="AH454" s="47">
        <v>0</v>
      </c>
      <c r="AI454" s="47">
        <v>0</v>
      </c>
      <c r="AJ454" s="47">
        <v>0</v>
      </c>
      <c r="AK454" s="47">
        <v>0</v>
      </c>
      <c r="AL454">
        <v>8</v>
      </c>
      <c r="AM454">
        <v>0</v>
      </c>
      <c r="AN454">
        <v>9</v>
      </c>
      <c r="AO454">
        <v>3</v>
      </c>
      <c r="AP454">
        <v>31</v>
      </c>
      <c r="AQ454">
        <v>8</v>
      </c>
      <c r="AR454">
        <v>17</v>
      </c>
      <c r="AS454">
        <v>1</v>
      </c>
      <c r="AT454" t="s">
        <v>16654</v>
      </c>
      <c r="AU454" t="s">
        <v>16655</v>
      </c>
      <c r="AV454">
        <v>0.68100000000000005</v>
      </c>
      <c r="AW454" t="s">
        <v>65</v>
      </c>
      <c r="AX454">
        <v>48</v>
      </c>
      <c r="AY454">
        <v>9</v>
      </c>
      <c r="AZ454" t="s">
        <v>16656</v>
      </c>
      <c r="BA454">
        <v>8.4140000000000006E-2</v>
      </c>
      <c r="BB454">
        <v>-1.1639999999999999E-2</v>
      </c>
      <c r="BC454">
        <v>3.5799999999999998E-3</v>
      </c>
      <c r="BD454">
        <v>-2.0000000000000001E-4</v>
      </c>
      <c r="BE454">
        <v>4.2549999999999998E-2</v>
      </c>
      <c r="BF454">
        <v>1</v>
      </c>
      <c r="BG454" t="s">
        <v>69</v>
      </c>
      <c r="BH454">
        <v>-1.98</v>
      </c>
      <c r="BI454">
        <v>-2.4630000000000001</v>
      </c>
    </row>
    <row r="455" spans="3:61">
      <c r="C455">
        <v>0</v>
      </c>
      <c r="D455">
        <v>9</v>
      </c>
      <c r="E455">
        <v>2</v>
      </c>
      <c r="F455" t="s">
        <v>25021</v>
      </c>
      <c r="G455">
        <v>2857</v>
      </c>
      <c r="H455" t="s">
        <v>16419</v>
      </c>
      <c r="I455" t="s">
        <v>57</v>
      </c>
      <c r="J455">
        <v>2803990</v>
      </c>
      <c r="K455">
        <v>2804637</v>
      </c>
      <c r="L455" t="s">
        <v>16420</v>
      </c>
      <c r="M455">
        <v>216</v>
      </c>
      <c r="N455" t="s">
        <v>108</v>
      </c>
      <c r="O455">
        <v>44</v>
      </c>
      <c r="P455" t="str">
        <f>HYPERLINK("Gene2857-zp_tree_all.dnd", "Gene2857-tree")</f>
        <v>Gene2857-tree</v>
      </c>
      <c r="Q455">
        <v>6</v>
      </c>
      <c r="R455">
        <v>7</v>
      </c>
      <c r="S455">
        <v>6</v>
      </c>
      <c r="T455">
        <v>7</v>
      </c>
      <c r="U455">
        <v>0.53846000000000005</v>
      </c>
      <c r="V455" t="s">
        <v>90</v>
      </c>
      <c r="W455" t="s">
        <v>152</v>
      </c>
      <c r="X455" t="s">
        <v>62</v>
      </c>
      <c r="Y455" t="s">
        <v>62</v>
      </c>
      <c r="Z455">
        <v>5</v>
      </c>
      <c r="AA455">
        <v>11</v>
      </c>
      <c r="AB455">
        <v>3</v>
      </c>
      <c r="AC455">
        <v>0.78571000000000002</v>
      </c>
      <c r="AD455" s="47">
        <v>0</v>
      </c>
      <c r="AE455" s="47">
        <v>0</v>
      </c>
      <c r="AF455" s="47">
        <v>0</v>
      </c>
      <c r="AG455" s="47">
        <v>3</v>
      </c>
      <c r="AH455" s="47">
        <v>0</v>
      </c>
      <c r="AI455" s="47">
        <v>2</v>
      </c>
      <c r="AJ455" s="47">
        <v>2</v>
      </c>
      <c r="AK455" s="47">
        <v>4</v>
      </c>
      <c r="AL455">
        <v>5</v>
      </c>
      <c r="AM455">
        <v>0.44444</v>
      </c>
      <c r="AN455">
        <v>9</v>
      </c>
      <c r="AO455">
        <v>8</v>
      </c>
      <c r="AP455">
        <v>11</v>
      </c>
      <c r="AQ455">
        <v>8</v>
      </c>
      <c r="AR455">
        <v>9</v>
      </c>
      <c r="AS455">
        <v>6</v>
      </c>
      <c r="AT455" t="s">
        <v>16421</v>
      </c>
      <c r="AU455" t="s">
        <v>16422</v>
      </c>
      <c r="AV455">
        <v>0.111</v>
      </c>
      <c r="AW455" t="s">
        <v>65</v>
      </c>
      <c r="AX455">
        <v>20</v>
      </c>
      <c r="AY455">
        <v>14</v>
      </c>
      <c r="AZ455" t="s">
        <v>16423</v>
      </c>
      <c r="BA455">
        <v>3.141E-2</v>
      </c>
      <c r="BB455">
        <v>-1.9499999999999999E-3</v>
      </c>
      <c r="BC455">
        <v>5.0800000000000003E-3</v>
      </c>
      <c r="BD455">
        <v>-2.4000000000000001E-4</v>
      </c>
      <c r="BE455">
        <v>0.16159999999999999</v>
      </c>
      <c r="BF455">
        <v>1</v>
      </c>
      <c r="BG455" t="s">
        <v>69</v>
      </c>
      <c r="BH455">
        <v>-0.48099999999999998</v>
      </c>
      <c r="BI455">
        <v>-1.298</v>
      </c>
    </row>
    <row r="456" spans="3:61">
      <c r="C456">
        <v>0</v>
      </c>
      <c r="D456">
        <v>0</v>
      </c>
      <c r="E456">
        <v>0</v>
      </c>
      <c r="F456" t="s">
        <v>25021</v>
      </c>
      <c r="G456">
        <v>2205</v>
      </c>
      <c r="H456" t="s">
        <v>12995</v>
      </c>
      <c r="I456" t="s">
        <v>57</v>
      </c>
      <c r="J456">
        <v>2238436</v>
      </c>
      <c r="K456">
        <v>2239083</v>
      </c>
      <c r="L456" t="s">
        <v>12900</v>
      </c>
      <c r="M456">
        <v>216</v>
      </c>
      <c r="N456" t="s">
        <v>12957</v>
      </c>
      <c r="O456">
        <v>17</v>
      </c>
      <c r="P456" t="str">
        <f>HYPERLINK("Gene2205-zp_tree_all.dnd", "Gene2205-tree")</f>
        <v>Gene2205-tree</v>
      </c>
      <c r="Q456">
        <v>15</v>
      </c>
      <c r="R456">
        <v>2</v>
      </c>
      <c r="S456">
        <v>2</v>
      </c>
      <c r="T456">
        <v>2</v>
      </c>
      <c r="U456">
        <v>0.5</v>
      </c>
      <c r="V456" t="s">
        <v>12915</v>
      </c>
      <c r="W456" t="s">
        <v>81</v>
      </c>
      <c r="X456" t="s">
        <v>62</v>
      </c>
      <c r="Y456" t="s">
        <v>62</v>
      </c>
      <c r="Z456">
        <v>0</v>
      </c>
      <c r="AA456">
        <v>0</v>
      </c>
      <c r="AB456">
        <v>4</v>
      </c>
      <c r="AC456">
        <v>0</v>
      </c>
      <c r="AD456" s="47">
        <v>0</v>
      </c>
      <c r="AE456" s="47">
        <v>0</v>
      </c>
      <c r="AF456" s="47">
        <v>0</v>
      </c>
      <c r="AG456" s="47">
        <v>0</v>
      </c>
      <c r="AH456" s="47">
        <v>0</v>
      </c>
      <c r="AI456" s="47">
        <v>0</v>
      </c>
      <c r="AJ456" s="47">
        <v>0</v>
      </c>
      <c r="AK456" s="47">
        <v>0</v>
      </c>
      <c r="AL456">
        <v>4</v>
      </c>
      <c r="AM456">
        <v>0</v>
      </c>
      <c r="AN456">
        <v>4</v>
      </c>
      <c r="AO456">
        <v>1</v>
      </c>
      <c r="AP456">
        <v>8</v>
      </c>
      <c r="AQ456">
        <v>4</v>
      </c>
      <c r="AR456">
        <v>3</v>
      </c>
      <c r="AS456">
        <v>0</v>
      </c>
      <c r="AT456" t="s">
        <v>12996</v>
      </c>
      <c r="AU456" t="s">
        <v>193</v>
      </c>
      <c r="AV456">
        <v>1.7749999999999999</v>
      </c>
      <c r="AW456" t="s">
        <v>65</v>
      </c>
      <c r="AX456">
        <v>11</v>
      </c>
      <c r="AY456">
        <v>4</v>
      </c>
      <c r="AZ456" t="s">
        <v>12997</v>
      </c>
      <c r="BA456">
        <v>3.424E-2</v>
      </c>
      <c r="BB456">
        <v>-5.4799999999999996E-3</v>
      </c>
      <c r="BC456">
        <v>4.0099999999999997E-3</v>
      </c>
      <c r="BD456">
        <v>-9.5E-4</v>
      </c>
      <c r="BE456">
        <v>0.11723</v>
      </c>
      <c r="BF456">
        <v>1</v>
      </c>
      <c r="BG456" t="s">
        <v>69</v>
      </c>
      <c r="BH456">
        <v>-1.8169999999999999</v>
      </c>
      <c r="BI456">
        <v>-2.411</v>
      </c>
    </row>
    <row r="457" spans="3:61">
      <c r="C457">
        <v>0</v>
      </c>
      <c r="D457">
        <v>7</v>
      </c>
      <c r="E457">
        <v>1</v>
      </c>
      <c r="F457" t="s">
        <v>25021</v>
      </c>
      <c r="G457">
        <v>4120</v>
      </c>
      <c r="H457" t="s">
        <v>24281</v>
      </c>
      <c r="I457" t="s">
        <v>57</v>
      </c>
      <c r="J457">
        <v>4086802</v>
      </c>
      <c r="K457">
        <v>4087449</v>
      </c>
      <c r="L457" t="s">
        <v>116</v>
      </c>
      <c r="M457">
        <v>216</v>
      </c>
      <c r="N457" t="s">
        <v>2289</v>
      </c>
      <c r="O457">
        <v>37</v>
      </c>
      <c r="P457" t="str">
        <f>HYPERLINK("Gene4120-zp_tree_all.dnd", "Gene4120-tree")</f>
        <v>Gene4120-tree</v>
      </c>
      <c r="Q457">
        <v>6</v>
      </c>
      <c r="R457">
        <v>8</v>
      </c>
      <c r="S457">
        <v>6</v>
      </c>
      <c r="T457">
        <v>8</v>
      </c>
      <c r="U457">
        <v>0.57142999999999999</v>
      </c>
      <c r="V457" t="s">
        <v>90</v>
      </c>
      <c r="W457" t="s">
        <v>136</v>
      </c>
      <c r="X457" t="s">
        <v>62</v>
      </c>
      <c r="Y457" t="s">
        <v>62</v>
      </c>
      <c r="Z457">
        <v>3</v>
      </c>
      <c r="AA457">
        <v>8</v>
      </c>
      <c r="AB457">
        <v>8</v>
      </c>
      <c r="AC457">
        <v>0.5</v>
      </c>
      <c r="AD457" s="47">
        <v>0</v>
      </c>
      <c r="AE457" s="47">
        <v>0</v>
      </c>
      <c r="AF457" s="47">
        <v>0</v>
      </c>
      <c r="AG457" s="47">
        <v>0</v>
      </c>
      <c r="AH457" s="47">
        <v>0</v>
      </c>
      <c r="AI457" s="47">
        <v>6</v>
      </c>
      <c r="AJ457" s="47">
        <v>1</v>
      </c>
      <c r="AK457" s="47">
        <v>7</v>
      </c>
      <c r="AL457">
        <v>5</v>
      </c>
      <c r="AM457">
        <v>0.58333000000000002</v>
      </c>
      <c r="AN457">
        <v>12</v>
      </c>
      <c r="AO457">
        <v>10</v>
      </c>
      <c r="AP457">
        <v>37</v>
      </c>
      <c r="AQ457">
        <v>11</v>
      </c>
      <c r="AR457">
        <v>25</v>
      </c>
      <c r="AS457">
        <v>5</v>
      </c>
      <c r="AT457" t="s">
        <v>24282</v>
      </c>
      <c r="AU457" t="s">
        <v>24283</v>
      </c>
      <c r="AV457">
        <v>0.34300000000000003</v>
      </c>
      <c r="AW457" t="s">
        <v>65</v>
      </c>
      <c r="AX457">
        <v>62</v>
      </c>
      <c r="AY457">
        <v>16</v>
      </c>
      <c r="AZ457" t="s">
        <v>24284</v>
      </c>
      <c r="BA457">
        <v>7.689E-2</v>
      </c>
      <c r="BB457">
        <v>-3.6900000000000001E-3</v>
      </c>
      <c r="BC457">
        <v>6.3800000000000003E-3</v>
      </c>
      <c r="BD457">
        <v>-3.4000000000000002E-4</v>
      </c>
      <c r="BE457">
        <v>8.3000000000000004E-2</v>
      </c>
      <c r="BF457">
        <v>1</v>
      </c>
      <c r="BG457" t="s">
        <v>69</v>
      </c>
      <c r="BH457">
        <v>-1.208</v>
      </c>
      <c r="BI457">
        <v>-1.169</v>
      </c>
    </row>
    <row r="458" spans="3:61">
      <c r="C458">
        <v>0</v>
      </c>
      <c r="D458">
        <v>3</v>
      </c>
      <c r="E458">
        <v>0</v>
      </c>
      <c r="F458" t="s">
        <v>25021</v>
      </c>
      <c r="G458">
        <v>14</v>
      </c>
      <c r="H458" t="s">
        <v>166</v>
      </c>
      <c r="I458" t="s">
        <v>62</v>
      </c>
      <c r="J458">
        <v>22499</v>
      </c>
      <c r="K458">
        <v>23149</v>
      </c>
      <c r="L458" t="s">
        <v>167</v>
      </c>
      <c r="M458">
        <v>217</v>
      </c>
      <c r="N458" t="s">
        <v>108</v>
      </c>
      <c r="O458">
        <v>44</v>
      </c>
      <c r="P458" t="str">
        <f>HYPERLINK("Gene14-zp_tree_all.dnd", "Gene14-tree")</f>
        <v>Gene14-tree</v>
      </c>
      <c r="Q458">
        <v>9</v>
      </c>
      <c r="R458">
        <v>4</v>
      </c>
      <c r="S458">
        <v>9</v>
      </c>
      <c r="T458">
        <v>4</v>
      </c>
      <c r="U458">
        <v>0.30769000000000002</v>
      </c>
      <c r="V458" t="s">
        <v>135</v>
      </c>
      <c r="W458" t="s">
        <v>61</v>
      </c>
      <c r="X458" t="s">
        <v>62</v>
      </c>
      <c r="Y458" t="s">
        <v>62</v>
      </c>
      <c r="Z458">
        <v>1</v>
      </c>
      <c r="AA458">
        <v>3</v>
      </c>
      <c r="AB458">
        <v>5</v>
      </c>
      <c r="AC458">
        <v>0.375</v>
      </c>
      <c r="AD458" s="47">
        <v>0</v>
      </c>
      <c r="AE458" s="47">
        <v>0</v>
      </c>
      <c r="AF458" s="47">
        <v>0</v>
      </c>
      <c r="AG458" s="47">
        <v>0</v>
      </c>
      <c r="AH458" s="47">
        <v>0</v>
      </c>
      <c r="AI458" s="47">
        <v>2</v>
      </c>
      <c r="AJ458" s="47">
        <v>0</v>
      </c>
      <c r="AK458" s="47">
        <v>2</v>
      </c>
      <c r="AL458">
        <v>5</v>
      </c>
      <c r="AM458">
        <v>0.28571000000000002</v>
      </c>
      <c r="AN458">
        <v>10</v>
      </c>
      <c r="AO458">
        <v>7</v>
      </c>
      <c r="AP458">
        <v>17</v>
      </c>
      <c r="AQ458">
        <v>7</v>
      </c>
      <c r="AR458">
        <v>11</v>
      </c>
      <c r="AS458">
        <v>1</v>
      </c>
      <c r="AT458" t="s">
        <v>168</v>
      </c>
      <c r="AU458" t="s">
        <v>169</v>
      </c>
      <c r="AV458">
        <v>0.82199999999999995</v>
      </c>
      <c r="AW458" t="s">
        <v>65</v>
      </c>
      <c r="AX458">
        <v>28</v>
      </c>
      <c r="AY458">
        <v>8</v>
      </c>
      <c r="AZ458" t="s">
        <v>170</v>
      </c>
      <c r="BA458">
        <v>3.9359999999999999E-2</v>
      </c>
      <c r="BB458">
        <v>-1.5E-3</v>
      </c>
      <c r="BC458">
        <v>2.4099999999999998E-3</v>
      </c>
      <c r="BD458">
        <v>-2.4000000000000001E-4</v>
      </c>
      <c r="BE458">
        <v>6.1339999999999999E-2</v>
      </c>
      <c r="BF458">
        <v>1</v>
      </c>
      <c r="BG458" t="s">
        <v>69</v>
      </c>
      <c r="BH458">
        <v>-0.50600000000000001</v>
      </c>
      <c r="BI458">
        <v>-0.54300000000000004</v>
      </c>
    </row>
    <row r="459" spans="3:61">
      <c r="C459">
        <v>0</v>
      </c>
      <c r="D459">
        <v>0</v>
      </c>
      <c r="E459">
        <v>0</v>
      </c>
      <c r="F459" t="s">
        <v>25021</v>
      </c>
      <c r="G459">
        <v>3679</v>
      </c>
      <c r="H459" t="s">
        <v>21590</v>
      </c>
      <c r="I459" t="s">
        <v>57</v>
      </c>
      <c r="J459">
        <v>3646753</v>
      </c>
      <c r="K459">
        <v>3647403</v>
      </c>
      <c r="L459" t="s">
        <v>21591</v>
      </c>
      <c r="M459">
        <v>217</v>
      </c>
      <c r="N459" t="s">
        <v>21592</v>
      </c>
      <c r="O459">
        <v>37</v>
      </c>
      <c r="P459" t="str">
        <f>HYPERLINK("Gene3679-zp_tree_all.dnd", "Gene3679-tree")</f>
        <v>Gene3679-tree</v>
      </c>
      <c r="Q459">
        <v>8</v>
      </c>
      <c r="R459">
        <v>3</v>
      </c>
      <c r="S459">
        <v>8</v>
      </c>
      <c r="T459">
        <v>3</v>
      </c>
      <c r="U459">
        <v>0.27272999999999997</v>
      </c>
      <c r="V459" t="s">
        <v>136</v>
      </c>
      <c r="W459" t="s">
        <v>324</v>
      </c>
      <c r="X459" t="s">
        <v>62</v>
      </c>
      <c r="Y459" t="s">
        <v>62</v>
      </c>
      <c r="Z459">
        <v>0</v>
      </c>
      <c r="AA459">
        <v>0</v>
      </c>
      <c r="AB459">
        <v>7</v>
      </c>
      <c r="AC459">
        <v>0</v>
      </c>
      <c r="AD459" s="47">
        <v>0</v>
      </c>
      <c r="AE459" s="47">
        <v>0</v>
      </c>
      <c r="AF459" s="47">
        <v>0</v>
      </c>
      <c r="AG459" s="47">
        <v>0</v>
      </c>
      <c r="AH459" s="47">
        <v>0</v>
      </c>
      <c r="AI459" s="47">
        <v>0</v>
      </c>
      <c r="AJ459" s="47">
        <v>0</v>
      </c>
      <c r="AK459" s="47">
        <v>0</v>
      </c>
      <c r="AL459">
        <v>7</v>
      </c>
      <c r="AM459">
        <v>0</v>
      </c>
      <c r="AN459">
        <v>9</v>
      </c>
      <c r="AO459">
        <v>5</v>
      </c>
      <c r="AP459">
        <v>36</v>
      </c>
      <c r="AQ459">
        <v>7</v>
      </c>
      <c r="AR459">
        <v>8</v>
      </c>
      <c r="AS459">
        <v>0</v>
      </c>
      <c r="AT459" t="s">
        <v>21593</v>
      </c>
      <c r="AU459" t="s">
        <v>193</v>
      </c>
      <c r="AV459">
        <v>0.45800000000000002</v>
      </c>
      <c r="AW459" t="s">
        <v>65</v>
      </c>
      <c r="AX459">
        <v>44</v>
      </c>
      <c r="AY459">
        <v>7</v>
      </c>
      <c r="AZ459" t="s">
        <v>21594</v>
      </c>
      <c r="BA459">
        <v>6.9139999999999993E-2</v>
      </c>
      <c r="BB459">
        <v>-8.7100000000000007E-3</v>
      </c>
      <c r="BC459">
        <v>2.5000000000000001E-3</v>
      </c>
      <c r="BD459">
        <v>-5.1000000000000004E-4</v>
      </c>
      <c r="BE459">
        <v>3.6209999999999999E-2</v>
      </c>
      <c r="BF459">
        <v>1</v>
      </c>
      <c r="BG459" t="s">
        <v>69</v>
      </c>
      <c r="BH459">
        <v>-1.843</v>
      </c>
      <c r="BI459">
        <v>-3.5249999999999999</v>
      </c>
    </row>
    <row r="460" spans="3:61">
      <c r="C460">
        <v>0</v>
      </c>
      <c r="D460">
        <v>0</v>
      </c>
      <c r="E460">
        <v>0</v>
      </c>
      <c r="F460" t="s">
        <v>25021</v>
      </c>
      <c r="G460">
        <v>952</v>
      </c>
      <c r="H460" t="s">
        <v>5972</v>
      </c>
      <c r="I460" t="s">
        <v>62</v>
      </c>
      <c r="J460">
        <v>990615</v>
      </c>
      <c r="K460">
        <v>991265</v>
      </c>
      <c r="L460" t="s">
        <v>5691</v>
      </c>
      <c r="M460">
        <v>217</v>
      </c>
      <c r="N460" t="s">
        <v>2289</v>
      </c>
      <c r="O460">
        <v>37</v>
      </c>
      <c r="P460" t="str">
        <f>HYPERLINK("Gene952-zp_tree_all.dnd", "Gene952-tree")</f>
        <v>Gene952-tree</v>
      </c>
      <c r="Q460">
        <v>8</v>
      </c>
      <c r="R460">
        <v>3</v>
      </c>
      <c r="S460">
        <v>8</v>
      </c>
      <c r="T460">
        <v>3</v>
      </c>
      <c r="U460">
        <v>0.27272999999999997</v>
      </c>
      <c r="V460" t="s">
        <v>136</v>
      </c>
      <c r="W460" t="s">
        <v>324</v>
      </c>
      <c r="X460" t="s">
        <v>62</v>
      </c>
      <c r="Y460" t="s">
        <v>62</v>
      </c>
      <c r="Z460">
        <v>0</v>
      </c>
      <c r="AA460">
        <v>0</v>
      </c>
      <c r="AB460">
        <v>3</v>
      </c>
      <c r="AC460">
        <v>0</v>
      </c>
      <c r="AD460" s="47">
        <v>0</v>
      </c>
      <c r="AE460" s="47">
        <v>0</v>
      </c>
      <c r="AF460" s="47">
        <v>0</v>
      </c>
      <c r="AG460" s="47">
        <v>0</v>
      </c>
      <c r="AH460" s="47">
        <v>0</v>
      </c>
      <c r="AI460" s="47">
        <v>0</v>
      </c>
      <c r="AJ460" s="47">
        <v>0</v>
      </c>
      <c r="AK460" s="47">
        <v>0</v>
      </c>
      <c r="AL460">
        <v>3</v>
      </c>
      <c r="AM460">
        <v>0</v>
      </c>
      <c r="AN460">
        <v>8</v>
      </c>
      <c r="AO460">
        <v>5</v>
      </c>
      <c r="AP460">
        <v>9</v>
      </c>
      <c r="AQ460">
        <v>3</v>
      </c>
      <c r="AR460">
        <v>12</v>
      </c>
      <c r="AS460">
        <v>0</v>
      </c>
      <c r="AT460" t="s">
        <v>5973</v>
      </c>
      <c r="AU460" t="s">
        <v>193</v>
      </c>
      <c r="AV460">
        <v>1.024</v>
      </c>
      <c r="AW460" t="s">
        <v>65</v>
      </c>
      <c r="AX460">
        <v>21</v>
      </c>
      <c r="AY460">
        <v>3</v>
      </c>
      <c r="AZ460" t="s">
        <v>5974</v>
      </c>
      <c r="BA460">
        <v>3.943E-2</v>
      </c>
      <c r="BB460">
        <v>-2.3400000000000001E-3</v>
      </c>
      <c r="BC460">
        <v>1.1000000000000001E-3</v>
      </c>
      <c r="BD460">
        <v>-1.6000000000000001E-4</v>
      </c>
      <c r="BE460">
        <v>2.7799999999999998E-2</v>
      </c>
      <c r="BF460">
        <v>1</v>
      </c>
      <c r="BG460" t="s">
        <v>69</v>
      </c>
      <c r="BH460">
        <v>-0.86899999999999999</v>
      </c>
      <c r="BI460">
        <v>-1.0329999999999999</v>
      </c>
    </row>
    <row r="461" spans="3:61">
      <c r="C461">
        <v>0</v>
      </c>
      <c r="D461">
        <v>16</v>
      </c>
      <c r="E461">
        <v>1</v>
      </c>
      <c r="F461" t="s">
        <v>25021</v>
      </c>
      <c r="G461">
        <v>4029</v>
      </c>
      <c r="H461" t="s">
        <v>23715</v>
      </c>
      <c r="I461" t="s">
        <v>57</v>
      </c>
      <c r="J461">
        <v>3994369</v>
      </c>
      <c r="K461">
        <v>3995022</v>
      </c>
      <c r="L461" t="s">
        <v>23716</v>
      </c>
      <c r="M461">
        <v>218</v>
      </c>
      <c r="N461" t="s">
        <v>108</v>
      </c>
      <c r="O461">
        <v>44</v>
      </c>
      <c r="P461" t="str">
        <f>HYPERLINK("Gene4029-zp_tree_all.dnd", "Gene4029-tree")</f>
        <v>Gene4029-tree</v>
      </c>
      <c r="Q461">
        <v>4</v>
      </c>
      <c r="R461">
        <v>11</v>
      </c>
      <c r="S461">
        <v>4</v>
      </c>
      <c r="T461">
        <v>11</v>
      </c>
      <c r="U461">
        <v>0.73333000000000004</v>
      </c>
      <c r="V461" t="s">
        <v>61</v>
      </c>
      <c r="W461" t="s">
        <v>73</v>
      </c>
      <c r="X461">
        <v>200307210.301</v>
      </c>
      <c r="Y461" t="s">
        <v>267</v>
      </c>
      <c r="Z461">
        <v>5</v>
      </c>
      <c r="AA461">
        <v>17</v>
      </c>
      <c r="AB461">
        <v>6</v>
      </c>
      <c r="AC461">
        <v>0.73912999999999995</v>
      </c>
      <c r="AD461" s="47">
        <v>0</v>
      </c>
      <c r="AE461" s="47">
        <v>0</v>
      </c>
      <c r="AF461" s="47">
        <v>0</v>
      </c>
      <c r="AG461" s="47">
        <v>1</v>
      </c>
      <c r="AH461" s="47">
        <v>0</v>
      </c>
      <c r="AI461" s="47">
        <v>11</v>
      </c>
      <c r="AJ461" s="47">
        <v>0</v>
      </c>
      <c r="AK461" s="47">
        <v>11</v>
      </c>
      <c r="AL461">
        <v>6</v>
      </c>
      <c r="AM461">
        <v>0.64705999999999997</v>
      </c>
      <c r="AN461">
        <v>12</v>
      </c>
      <c r="AO461">
        <v>11</v>
      </c>
      <c r="AP461">
        <v>32</v>
      </c>
      <c r="AQ461">
        <v>18</v>
      </c>
      <c r="AR461">
        <v>17</v>
      </c>
      <c r="AS461">
        <v>7</v>
      </c>
      <c r="AT461" t="s">
        <v>23717</v>
      </c>
      <c r="AU461" t="s">
        <v>23718</v>
      </c>
      <c r="AV461">
        <v>0.39800000000000002</v>
      </c>
      <c r="AW461" t="s">
        <v>65</v>
      </c>
      <c r="AX461">
        <v>49</v>
      </c>
      <c r="AY461">
        <v>25</v>
      </c>
      <c r="AZ461" t="s">
        <v>23719</v>
      </c>
      <c r="BA461">
        <v>5.935E-2</v>
      </c>
      <c r="BB461">
        <v>-2.5600000000000002E-3</v>
      </c>
      <c r="BC461">
        <v>7.5199999999999998E-3</v>
      </c>
      <c r="BD461">
        <v>-4.4000000000000002E-4</v>
      </c>
      <c r="BE461">
        <v>0.12664</v>
      </c>
      <c r="BF461">
        <v>1</v>
      </c>
      <c r="BG461" t="s">
        <v>69</v>
      </c>
      <c r="BH461">
        <v>-5.8999999999999997E-2</v>
      </c>
      <c r="BI461">
        <v>-1.3180000000000001</v>
      </c>
    </row>
    <row r="462" spans="3:61">
      <c r="C462">
        <v>0</v>
      </c>
      <c r="D462">
        <v>0</v>
      </c>
      <c r="E462">
        <v>0</v>
      </c>
      <c r="F462" t="s">
        <v>25021</v>
      </c>
      <c r="G462">
        <v>2858</v>
      </c>
      <c r="H462" t="s">
        <v>16426</v>
      </c>
      <c r="I462" t="s">
        <v>57</v>
      </c>
      <c r="J462">
        <v>2804657</v>
      </c>
      <c r="K462">
        <v>2805310</v>
      </c>
      <c r="L462" t="s">
        <v>16420</v>
      </c>
      <c r="M462">
        <v>218</v>
      </c>
      <c r="N462" t="s">
        <v>108</v>
      </c>
      <c r="O462">
        <v>44</v>
      </c>
      <c r="P462" t="str">
        <f>HYPERLINK("Gene2858-zp_tree_all.dnd", "Gene2858-tree")</f>
        <v>Gene2858-tree</v>
      </c>
      <c r="Q462">
        <v>8</v>
      </c>
      <c r="R462">
        <v>3</v>
      </c>
      <c r="S462">
        <v>8</v>
      </c>
      <c r="T462">
        <v>3</v>
      </c>
      <c r="U462">
        <v>0.27272999999999997</v>
      </c>
      <c r="V462" t="s">
        <v>136</v>
      </c>
      <c r="W462" t="s">
        <v>324</v>
      </c>
      <c r="X462" t="s">
        <v>62</v>
      </c>
      <c r="Y462" t="s">
        <v>62</v>
      </c>
      <c r="Z462">
        <v>0</v>
      </c>
      <c r="AA462">
        <v>0</v>
      </c>
      <c r="AB462">
        <v>4</v>
      </c>
      <c r="AC462">
        <v>0</v>
      </c>
      <c r="AD462" s="47">
        <v>0</v>
      </c>
      <c r="AE462" s="47">
        <v>0</v>
      </c>
      <c r="AF462" s="47">
        <v>0</v>
      </c>
      <c r="AG462" s="47">
        <v>0</v>
      </c>
      <c r="AH462" s="47">
        <v>0</v>
      </c>
      <c r="AI462" s="47">
        <v>0</v>
      </c>
      <c r="AJ462" s="47">
        <v>0</v>
      </c>
      <c r="AK462" s="47">
        <v>0</v>
      </c>
      <c r="AL462">
        <v>4</v>
      </c>
      <c r="AM462">
        <v>0</v>
      </c>
      <c r="AN462">
        <v>10</v>
      </c>
      <c r="AO462">
        <v>5</v>
      </c>
      <c r="AP462">
        <v>13</v>
      </c>
      <c r="AQ462">
        <v>4</v>
      </c>
      <c r="AR462">
        <v>5</v>
      </c>
      <c r="AS462">
        <v>0</v>
      </c>
      <c r="AT462" t="s">
        <v>16427</v>
      </c>
      <c r="AU462" t="s">
        <v>193</v>
      </c>
      <c r="AV462">
        <v>0.90900000000000003</v>
      </c>
      <c r="AW462" t="s">
        <v>65</v>
      </c>
      <c r="AX462">
        <v>18</v>
      </c>
      <c r="AY462">
        <v>4</v>
      </c>
      <c r="AZ462" t="s">
        <v>16428</v>
      </c>
      <c r="BA462">
        <v>2.5989999999999999E-2</v>
      </c>
      <c r="BB462">
        <v>-1.41E-3</v>
      </c>
      <c r="BC462">
        <v>1.49E-3</v>
      </c>
      <c r="BD462">
        <v>-2.4000000000000001E-4</v>
      </c>
      <c r="BE462">
        <v>5.7450000000000001E-2</v>
      </c>
      <c r="BF462">
        <v>1</v>
      </c>
      <c r="BG462" t="s">
        <v>69</v>
      </c>
      <c r="BH462">
        <v>-0.98299999999999998</v>
      </c>
      <c r="BI462">
        <v>-2.0739999999999998</v>
      </c>
    </row>
    <row r="463" spans="3:61">
      <c r="C463">
        <v>0</v>
      </c>
      <c r="D463">
        <v>0</v>
      </c>
      <c r="E463">
        <v>0</v>
      </c>
      <c r="F463" t="s">
        <v>25021</v>
      </c>
      <c r="G463">
        <v>1188</v>
      </c>
      <c r="H463" t="s">
        <v>7477</v>
      </c>
      <c r="I463" t="s">
        <v>62</v>
      </c>
      <c r="J463">
        <v>1228138</v>
      </c>
      <c r="K463">
        <v>1228791</v>
      </c>
      <c r="L463" t="s">
        <v>7478</v>
      </c>
      <c r="M463">
        <v>218</v>
      </c>
      <c r="N463" t="s">
        <v>108</v>
      </c>
      <c r="O463">
        <v>44</v>
      </c>
      <c r="P463" t="str">
        <f>HYPERLINK("Gene1188-zp_tree_all.dnd", "Gene1188-tree")</f>
        <v>Gene1188-tree</v>
      </c>
      <c r="Q463">
        <v>27</v>
      </c>
      <c r="R463">
        <v>4</v>
      </c>
      <c r="S463">
        <v>10</v>
      </c>
      <c r="T463">
        <v>4</v>
      </c>
      <c r="U463">
        <v>0.28571000000000002</v>
      </c>
      <c r="V463" t="s">
        <v>2980</v>
      </c>
      <c r="W463" t="s">
        <v>61</v>
      </c>
      <c r="X463" t="s">
        <v>62</v>
      </c>
      <c r="Y463" t="s">
        <v>62</v>
      </c>
      <c r="Z463">
        <v>0</v>
      </c>
      <c r="AA463">
        <v>0</v>
      </c>
      <c r="AB463">
        <v>4</v>
      </c>
      <c r="AC463">
        <v>0</v>
      </c>
      <c r="AD463" s="47">
        <v>0</v>
      </c>
      <c r="AE463" s="47">
        <v>0</v>
      </c>
      <c r="AF463" s="47">
        <v>0</v>
      </c>
      <c r="AG463" s="47">
        <v>0</v>
      </c>
      <c r="AH463" s="47">
        <v>0</v>
      </c>
      <c r="AI463" s="47">
        <v>0</v>
      </c>
      <c r="AJ463" s="47">
        <v>0</v>
      </c>
      <c r="AK463" s="47">
        <v>0</v>
      </c>
      <c r="AL463">
        <v>4</v>
      </c>
      <c r="AM463">
        <v>0</v>
      </c>
      <c r="AN463">
        <v>9</v>
      </c>
      <c r="AO463">
        <v>9</v>
      </c>
      <c r="AP463">
        <v>14</v>
      </c>
      <c r="AQ463">
        <v>3</v>
      </c>
      <c r="AR463">
        <v>16</v>
      </c>
      <c r="AS463">
        <v>1</v>
      </c>
      <c r="AT463" t="s">
        <v>7479</v>
      </c>
      <c r="AU463" t="s">
        <v>7480</v>
      </c>
      <c r="AV463">
        <v>0.629</v>
      </c>
      <c r="AW463" t="s">
        <v>65</v>
      </c>
      <c r="AX463">
        <v>30</v>
      </c>
      <c r="AY463">
        <v>4</v>
      </c>
      <c r="AZ463" t="s">
        <v>7481</v>
      </c>
      <c r="BA463">
        <v>4.2450000000000002E-2</v>
      </c>
      <c r="BB463">
        <v>-1.7799999999999999E-3</v>
      </c>
      <c r="BC463">
        <v>1.42E-3</v>
      </c>
      <c r="BD463">
        <v>-1.7000000000000001E-4</v>
      </c>
      <c r="BE463">
        <v>3.3450000000000001E-2</v>
      </c>
      <c r="BF463">
        <v>1</v>
      </c>
      <c r="BG463" t="s">
        <v>69</v>
      </c>
      <c r="BH463">
        <v>0.30599999999999999</v>
      </c>
      <c r="BI463">
        <v>-0.255</v>
      </c>
    </row>
    <row r="464" spans="3:61">
      <c r="C464">
        <v>2</v>
      </c>
      <c r="D464">
        <v>31</v>
      </c>
      <c r="E464">
        <v>7</v>
      </c>
      <c r="F464" t="s">
        <v>25021</v>
      </c>
      <c r="G464">
        <v>534</v>
      </c>
      <c r="H464" t="s">
        <v>3445</v>
      </c>
      <c r="I464" t="s">
        <v>62</v>
      </c>
      <c r="J464">
        <v>569293</v>
      </c>
      <c r="K464">
        <v>569949</v>
      </c>
      <c r="L464" t="s">
        <v>1523</v>
      </c>
      <c r="M464">
        <v>219</v>
      </c>
      <c r="N464" t="s">
        <v>3446</v>
      </c>
      <c r="O464">
        <v>40</v>
      </c>
      <c r="P464" t="str">
        <f>HYPERLINK("Gene534-zp_tree_all.dnd", "Gene534-tree")</f>
        <v>Gene534-tree</v>
      </c>
      <c r="Q464">
        <v>0</v>
      </c>
      <c r="R464">
        <v>11</v>
      </c>
      <c r="S464">
        <v>0</v>
      </c>
      <c r="T464">
        <v>11</v>
      </c>
      <c r="U464">
        <v>1</v>
      </c>
      <c r="V464" t="s">
        <v>62</v>
      </c>
      <c r="W464" t="s">
        <v>73</v>
      </c>
      <c r="X464">
        <v>114461263.029</v>
      </c>
      <c r="Y464" t="s">
        <v>65</v>
      </c>
      <c r="Z464">
        <v>14</v>
      </c>
      <c r="AA464">
        <v>40</v>
      </c>
      <c r="AB464">
        <v>14</v>
      </c>
      <c r="AC464">
        <v>0.74073999999999995</v>
      </c>
      <c r="AD464" s="47">
        <v>0</v>
      </c>
      <c r="AE464" s="47">
        <v>0</v>
      </c>
      <c r="AF464" s="47">
        <v>0</v>
      </c>
      <c r="AG464" s="47">
        <v>0</v>
      </c>
      <c r="AH464" s="47">
        <v>0</v>
      </c>
      <c r="AI464" s="47">
        <v>7</v>
      </c>
      <c r="AJ464" s="47">
        <v>7</v>
      </c>
      <c r="AK464" s="47">
        <v>14</v>
      </c>
      <c r="AL464">
        <v>15</v>
      </c>
      <c r="AM464">
        <v>0.48276000000000002</v>
      </c>
      <c r="AN464">
        <v>11</v>
      </c>
      <c r="AO464">
        <v>8</v>
      </c>
      <c r="AP464">
        <v>23</v>
      </c>
      <c r="AQ464">
        <v>29</v>
      </c>
      <c r="AR464">
        <v>26</v>
      </c>
      <c r="AS464">
        <v>25</v>
      </c>
      <c r="AT464" t="s">
        <v>3447</v>
      </c>
      <c r="AU464" t="s">
        <v>3448</v>
      </c>
      <c r="AV464">
        <v>0.49399999999999999</v>
      </c>
      <c r="AW464" t="s">
        <v>65</v>
      </c>
      <c r="AX464">
        <v>49</v>
      </c>
      <c r="AY464">
        <v>54</v>
      </c>
      <c r="AZ464" t="s">
        <v>3449</v>
      </c>
      <c r="BA464">
        <v>7.1040000000000006E-2</v>
      </c>
      <c r="BB464">
        <v>-3.8600000000000001E-3</v>
      </c>
      <c r="BC464">
        <v>2.4119999999999999E-2</v>
      </c>
      <c r="BD464">
        <v>-1.1299999999999999E-3</v>
      </c>
      <c r="BE464">
        <v>0.33948</v>
      </c>
      <c r="BF464">
        <v>1</v>
      </c>
      <c r="BG464" t="s">
        <v>69</v>
      </c>
      <c r="BH464">
        <v>0.50700000000000001</v>
      </c>
      <c r="BI464">
        <v>-0.20599999999999999</v>
      </c>
    </row>
    <row r="465" spans="3:61">
      <c r="C465">
        <v>0</v>
      </c>
      <c r="D465">
        <v>5</v>
      </c>
      <c r="E465">
        <v>1</v>
      </c>
      <c r="F465" t="s">
        <v>25021</v>
      </c>
      <c r="G465">
        <v>1122</v>
      </c>
      <c r="H465" t="s">
        <v>7052</v>
      </c>
      <c r="I465" t="s">
        <v>62</v>
      </c>
      <c r="J465">
        <v>1166011</v>
      </c>
      <c r="K465">
        <v>1166670</v>
      </c>
      <c r="L465" t="s">
        <v>7053</v>
      </c>
      <c r="M465">
        <v>220</v>
      </c>
      <c r="N465" t="s">
        <v>7054</v>
      </c>
      <c r="O465">
        <v>40</v>
      </c>
      <c r="P465" t="str">
        <f>HYPERLINK("Gene1122-zp_tree_all.dnd", "Gene1122-tree")</f>
        <v>Gene1122-tree</v>
      </c>
      <c r="Q465">
        <v>3</v>
      </c>
      <c r="R465">
        <v>9</v>
      </c>
      <c r="S465">
        <v>3</v>
      </c>
      <c r="T465">
        <v>9</v>
      </c>
      <c r="U465">
        <v>0.75</v>
      </c>
      <c r="V465" t="s">
        <v>324</v>
      </c>
      <c r="W465" t="s">
        <v>135</v>
      </c>
      <c r="X465" t="s">
        <v>62</v>
      </c>
      <c r="Y465" t="s">
        <v>62</v>
      </c>
      <c r="Z465">
        <v>2</v>
      </c>
      <c r="AA465">
        <v>6</v>
      </c>
      <c r="AB465">
        <v>17</v>
      </c>
      <c r="AC465">
        <v>0.26086999999999999</v>
      </c>
      <c r="AD465" s="47">
        <v>0</v>
      </c>
      <c r="AE465" s="47">
        <v>0</v>
      </c>
      <c r="AF465" s="47">
        <v>0</v>
      </c>
      <c r="AG465" s="47">
        <v>0</v>
      </c>
      <c r="AH465" s="47">
        <v>0</v>
      </c>
      <c r="AI465" s="47">
        <v>0</v>
      </c>
      <c r="AJ465" s="47">
        <v>2</v>
      </c>
      <c r="AK465" s="47">
        <v>2</v>
      </c>
      <c r="AL465">
        <v>16</v>
      </c>
      <c r="AM465">
        <v>0.11111</v>
      </c>
      <c r="AN465">
        <v>10</v>
      </c>
      <c r="AO465">
        <v>8</v>
      </c>
      <c r="AP465">
        <v>8</v>
      </c>
      <c r="AQ465">
        <v>18</v>
      </c>
      <c r="AR465">
        <v>11</v>
      </c>
      <c r="AS465">
        <v>5</v>
      </c>
      <c r="AT465" t="s">
        <v>7055</v>
      </c>
      <c r="AU465" t="s">
        <v>7056</v>
      </c>
      <c r="AV465">
        <v>2.0699999999999998</v>
      </c>
      <c r="AW465" t="s">
        <v>267</v>
      </c>
      <c r="AX465">
        <v>19</v>
      </c>
      <c r="AY465">
        <v>23</v>
      </c>
      <c r="AZ465" t="s">
        <v>7057</v>
      </c>
      <c r="BA465">
        <v>3.1390000000000001E-2</v>
      </c>
      <c r="BB465">
        <v>-1.31E-3</v>
      </c>
      <c r="BC465">
        <v>8.6999999999999994E-3</v>
      </c>
      <c r="BD465">
        <v>-4.6999999999999999E-4</v>
      </c>
      <c r="BE465">
        <v>0.27725</v>
      </c>
      <c r="BF465">
        <v>0.99</v>
      </c>
      <c r="BG465" t="s">
        <v>69</v>
      </c>
      <c r="BH465">
        <v>-0.71299999999999997</v>
      </c>
      <c r="BI465">
        <v>-2.0819999999999999</v>
      </c>
    </row>
    <row r="466" spans="3:61">
      <c r="C466">
        <v>0</v>
      </c>
      <c r="D466">
        <v>7</v>
      </c>
      <c r="E466">
        <v>0</v>
      </c>
      <c r="F466" t="s">
        <v>25021</v>
      </c>
      <c r="G466">
        <v>3005</v>
      </c>
      <c r="H466" t="s">
        <v>17355</v>
      </c>
      <c r="I466" t="s">
        <v>57</v>
      </c>
      <c r="J466">
        <v>2953795</v>
      </c>
      <c r="K466">
        <v>2954457</v>
      </c>
      <c r="L466" t="s">
        <v>1523</v>
      </c>
      <c r="M466">
        <v>221</v>
      </c>
      <c r="N466" t="s">
        <v>17356</v>
      </c>
      <c r="O466">
        <v>36</v>
      </c>
      <c r="P466" t="str">
        <f>HYPERLINK("Gene3005-zp_tree_all.dnd", "Gene3005-tree")</f>
        <v>Gene3005-tree</v>
      </c>
      <c r="Q466">
        <v>4</v>
      </c>
      <c r="R466">
        <v>6</v>
      </c>
      <c r="S466">
        <v>4</v>
      </c>
      <c r="T466">
        <v>6</v>
      </c>
      <c r="U466">
        <v>0.6</v>
      </c>
      <c r="V466" t="s">
        <v>61</v>
      </c>
      <c r="W466" t="s">
        <v>90</v>
      </c>
      <c r="X466" t="s">
        <v>62</v>
      </c>
      <c r="Y466" t="s">
        <v>62</v>
      </c>
      <c r="Z466">
        <v>3</v>
      </c>
      <c r="AA466">
        <v>7</v>
      </c>
      <c r="AB466">
        <v>11</v>
      </c>
      <c r="AC466">
        <v>0.38889000000000001</v>
      </c>
      <c r="AD466" s="47">
        <v>0</v>
      </c>
      <c r="AE466" s="47">
        <v>0</v>
      </c>
      <c r="AF466" s="47">
        <v>0</v>
      </c>
      <c r="AG466" s="47">
        <v>0</v>
      </c>
      <c r="AH466" s="47">
        <v>0</v>
      </c>
      <c r="AI466" s="47">
        <v>2</v>
      </c>
      <c r="AJ466" s="47">
        <v>0</v>
      </c>
      <c r="AK466" s="47">
        <v>2</v>
      </c>
      <c r="AL466">
        <v>10</v>
      </c>
      <c r="AM466">
        <v>0.16667000000000001</v>
      </c>
      <c r="AN466">
        <v>9</v>
      </c>
      <c r="AO466">
        <v>7</v>
      </c>
      <c r="AP466">
        <v>13</v>
      </c>
      <c r="AQ466">
        <v>13</v>
      </c>
      <c r="AR466">
        <v>13</v>
      </c>
      <c r="AS466">
        <v>7</v>
      </c>
      <c r="AT466" t="s">
        <v>17357</v>
      </c>
      <c r="AU466" t="s">
        <v>17358</v>
      </c>
      <c r="AV466">
        <v>0.72</v>
      </c>
      <c r="AW466" t="s">
        <v>65</v>
      </c>
      <c r="AX466">
        <v>26</v>
      </c>
      <c r="AY466">
        <v>20</v>
      </c>
      <c r="AZ466" t="s">
        <v>17359</v>
      </c>
      <c r="BA466">
        <v>5.6950000000000001E-2</v>
      </c>
      <c r="BB466">
        <v>-3.7599999999999999E-3</v>
      </c>
      <c r="BC466">
        <v>9.9900000000000006E-3</v>
      </c>
      <c r="BD466">
        <v>-7.1000000000000002E-4</v>
      </c>
      <c r="BE466">
        <v>0.17544000000000001</v>
      </c>
      <c r="BF466">
        <v>1</v>
      </c>
      <c r="BG466" t="s">
        <v>69</v>
      </c>
      <c r="BH466">
        <v>0.30399999999999999</v>
      </c>
      <c r="BI466">
        <v>-0.27400000000000002</v>
      </c>
    </row>
    <row r="467" spans="3:61">
      <c r="C467">
        <v>0</v>
      </c>
      <c r="D467">
        <v>6</v>
      </c>
      <c r="E467">
        <v>0</v>
      </c>
      <c r="F467" t="s">
        <v>25021</v>
      </c>
      <c r="G467">
        <v>3622</v>
      </c>
      <c r="H467" t="s">
        <v>21272</v>
      </c>
      <c r="I467" t="s">
        <v>57</v>
      </c>
      <c r="J467">
        <v>3590603</v>
      </c>
      <c r="K467">
        <v>3591265</v>
      </c>
      <c r="L467" t="s">
        <v>21273</v>
      </c>
      <c r="M467">
        <v>221</v>
      </c>
      <c r="N467" t="s">
        <v>108</v>
      </c>
      <c r="O467">
        <v>44</v>
      </c>
      <c r="P467" t="str">
        <f>HYPERLINK("Gene3622-zp_tree_all.dnd", "Gene3622-tree")</f>
        <v>Gene3622-tree</v>
      </c>
      <c r="Q467">
        <v>9</v>
      </c>
      <c r="R467">
        <v>3</v>
      </c>
      <c r="S467">
        <v>9</v>
      </c>
      <c r="T467">
        <v>3</v>
      </c>
      <c r="U467">
        <v>0.25</v>
      </c>
      <c r="V467" t="s">
        <v>135</v>
      </c>
      <c r="W467" t="s">
        <v>324</v>
      </c>
      <c r="X467" t="s">
        <v>62</v>
      </c>
      <c r="Y467" t="s">
        <v>62</v>
      </c>
      <c r="Z467">
        <v>3</v>
      </c>
      <c r="AA467">
        <v>6</v>
      </c>
      <c r="AB467">
        <v>2</v>
      </c>
      <c r="AC467">
        <v>0.75</v>
      </c>
      <c r="AD467" s="47">
        <v>0</v>
      </c>
      <c r="AE467" s="47">
        <v>0</v>
      </c>
      <c r="AF467" s="47">
        <v>0</v>
      </c>
      <c r="AG467" s="47">
        <v>1</v>
      </c>
      <c r="AH467" s="47">
        <v>0</v>
      </c>
      <c r="AI467" s="47">
        <v>0</v>
      </c>
      <c r="AJ467" s="47">
        <v>0</v>
      </c>
      <c r="AK467" s="47">
        <v>0</v>
      </c>
      <c r="AL467">
        <v>4</v>
      </c>
      <c r="AM467">
        <v>0</v>
      </c>
      <c r="AN467">
        <v>8</v>
      </c>
      <c r="AO467">
        <v>7</v>
      </c>
      <c r="AP467">
        <v>20</v>
      </c>
      <c r="AQ467">
        <v>4</v>
      </c>
      <c r="AR467">
        <v>19</v>
      </c>
      <c r="AS467">
        <v>4</v>
      </c>
      <c r="AT467" t="s">
        <v>21274</v>
      </c>
      <c r="AU467" t="s">
        <v>21275</v>
      </c>
      <c r="AV467">
        <v>3.2000000000000001E-2</v>
      </c>
      <c r="AW467" t="s">
        <v>65</v>
      </c>
      <c r="AX467">
        <v>39</v>
      </c>
      <c r="AY467">
        <v>8</v>
      </c>
      <c r="AZ467" t="s">
        <v>21276</v>
      </c>
      <c r="BA467">
        <v>6.9209999999999994E-2</v>
      </c>
      <c r="BB467">
        <v>-4.4000000000000003E-3</v>
      </c>
      <c r="BC467">
        <v>3.7299999999999998E-3</v>
      </c>
      <c r="BD467">
        <v>-2.9E-4</v>
      </c>
      <c r="BE467">
        <v>5.3949999999999998E-2</v>
      </c>
      <c r="BF467">
        <v>1</v>
      </c>
      <c r="BG467" t="s">
        <v>69</v>
      </c>
      <c r="BH467">
        <v>0.96399999999999997</v>
      </c>
      <c r="BI467">
        <v>-1.2370000000000001</v>
      </c>
    </row>
    <row r="468" spans="3:61">
      <c r="C468">
        <v>0</v>
      </c>
      <c r="D468">
        <v>0</v>
      </c>
      <c r="E468">
        <v>0</v>
      </c>
      <c r="F468" t="s">
        <v>25021</v>
      </c>
      <c r="G468">
        <v>3225</v>
      </c>
      <c r="H468" t="s">
        <v>18793</v>
      </c>
      <c r="I468" t="s">
        <v>57</v>
      </c>
      <c r="J468">
        <v>3188414</v>
      </c>
      <c r="K468">
        <v>3189079</v>
      </c>
      <c r="L468" t="s">
        <v>9427</v>
      </c>
      <c r="M468">
        <v>222</v>
      </c>
      <c r="N468" t="s">
        <v>108</v>
      </c>
      <c r="O468">
        <v>44</v>
      </c>
      <c r="P468" t="str">
        <f>HYPERLINK("Gene3225-zp_tree_all.dnd", "Gene3225-tree")</f>
        <v>Gene3225-tree</v>
      </c>
      <c r="Q468">
        <v>10</v>
      </c>
      <c r="R468">
        <v>3</v>
      </c>
      <c r="S468">
        <v>10</v>
      </c>
      <c r="T468">
        <v>3</v>
      </c>
      <c r="U468">
        <v>0.23077</v>
      </c>
      <c r="V468" t="s">
        <v>117</v>
      </c>
      <c r="W468" t="s">
        <v>324</v>
      </c>
      <c r="X468" t="s">
        <v>62</v>
      </c>
      <c r="Y468" t="s">
        <v>62</v>
      </c>
      <c r="Z468">
        <v>0</v>
      </c>
      <c r="AA468">
        <v>0</v>
      </c>
      <c r="AB468">
        <v>4</v>
      </c>
      <c r="AC468">
        <v>0</v>
      </c>
      <c r="AD468" s="47">
        <v>0</v>
      </c>
      <c r="AE468" s="47">
        <v>0</v>
      </c>
      <c r="AF468" s="47">
        <v>0</v>
      </c>
      <c r="AG468" s="47">
        <v>1</v>
      </c>
      <c r="AH468" s="47">
        <v>0</v>
      </c>
      <c r="AI468" s="47">
        <v>0</v>
      </c>
      <c r="AJ468" s="47">
        <v>0</v>
      </c>
      <c r="AK468" s="47">
        <v>0</v>
      </c>
      <c r="AL468">
        <v>3</v>
      </c>
      <c r="AM468">
        <v>0</v>
      </c>
      <c r="AN468">
        <v>8</v>
      </c>
      <c r="AO468">
        <v>8</v>
      </c>
      <c r="AP468">
        <v>10</v>
      </c>
      <c r="AQ468">
        <v>3</v>
      </c>
      <c r="AR468">
        <v>11</v>
      </c>
      <c r="AS468">
        <v>1</v>
      </c>
      <c r="AT468" t="s">
        <v>18794</v>
      </c>
      <c r="AU468" t="s">
        <v>18795</v>
      </c>
      <c r="AV468">
        <v>0.59899999999999998</v>
      </c>
      <c r="AW468" t="s">
        <v>65</v>
      </c>
      <c r="AX468">
        <v>21</v>
      </c>
      <c r="AY468">
        <v>4</v>
      </c>
      <c r="AZ468" t="s">
        <v>18796</v>
      </c>
      <c r="BA468">
        <v>3.1989999999999998E-2</v>
      </c>
      <c r="BB468">
        <v>-1.6000000000000001E-3</v>
      </c>
      <c r="BC468">
        <v>1.4400000000000001E-3</v>
      </c>
      <c r="BD468">
        <v>-1.3999999999999999E-4</v>
      </c>
      <c r="BE468">
        <v>4.5100000000000001E-2</v>
      </c>
      <c r="BF468">
        <v>1</v>
      </c>
      <c r="BG468" t="s">
        <v>69</v>
      </c>
      <c r="BH468">
        <v>-0.52900000000000003</v>
      </c>
      <c r="BI468">
        <v>-1.1719999999999999</v>
      </c>
    </row>
    <row r="469" spans="3:61">
      <c r="C469">
        <v>0</v>
      </c>
      <c r="D469">
        <v>0</v>
      </c>
      <c r="E469">
        <v>2</v>
      </c>
      <c r="F469" t="s">
        <v>25021</v>
      </c>
      <c r="G469">
        <v>1992</v>
      </c>
      <c r="H469" t="s">
        <v>12404</v>
      </c>
      <c r="I469" t="s">
        <v>57</v>
      </c>
      <c r="J469">
        <v>2085303</v>
      </c>
      <c r="K469">
        <v>2085977</v>
      </c>
      <c r="L469" t="s">
        <v>12405</v>
      </c>
      <c r="M469">
        <v>225</v>
      </c>
      <c r="N469" t="s">
        <v>96</v>
      </c>
      <c r="O469">
        <v>48</v>
      </c>
      <c r="P469" t="str">
        <f>HYPERLINK("Gene1992-zp_tree_all.dnd", "Gene1992-tree")</f>
        <v>Gene1992-tree</v>
      </c>
      <c r="Q469">
        <v>9</v>
      </c>
      <c r="R469">
        <v>6</v>
      </c>
      <c r="S469">
        <v>9</v>
      </c>
      <c r="T469">
        <v>6</v>
      </c>
      <c r="U469">
        <v>0.4</v>
      </c>
      <c r="V469" t="s">
        <v>135</v>
      </c>
      <c r="W469" t="s">
        <v>90</v>
      </c>
      <c r="X469" t="s">
        <v>62</v>
      </c>
      <c r="Y469" t="s">
        <v>62</v>
      </c>
      <c r="Z469">
        <v>1</v>
      </c>
      <c r="AA469">
        <v>2</v>
      </c>
      <c r="AB469">
        <v>15</v>
      </c>
      <c r="AC469">
        <v>0.11765</v>
      </c>
      <c r="AD469" s="47">
        <v>0</v>
      </c>
      <c r="AE469" s="47">
        <v>0</v>
      </c>
      <c r="AF469" s="47">
        <v>0</v>
      </c>
      <c r="AG469" s="47">
        <v>1</v>
      </c>
      <c r="AH469" s="47">
        <v>0</v>
      </c>
      <c r="AI469" s="47">
        <v>0</v>
      </c>
      <c r="AJ469" s="47">
        <v>0</v>
      </c>
      <c r="AK469" s="47">
        <v>0</v>
      </c>
      <c r="AL469">
        <v>10</v>
      </c>
      <c r="AM469">
        <v>0</v>
      </c>
      <c r="AN469">
        <v>11</v>
      </c>
      <c r="AO469">
        <v>7</v>
      </c>
      <c r="AP469">
        <v>14</v>
      </c>
      <c r="AQ469">
        <v>11</v>
      </c>
      <c r="AR469">
        <v>23</v>
      </c>
      <c r="AS469">
        <v>8</v>
      </c>
      <c r="AT469" t="s">
        <v>12406</v>
      </c>
      <c r="AU469" t="s">
        <v>12407</v>
      </c>
      <c r="AV469">
        <v>0.64</v>
      </c>
      <c r="AW469" t="s">
        <v>65</v>
      </c>
      <c r="AX469">
        <v>37</v>
      </c>
      <c r="AY469">
        <v>19</v>
      </c>
      <c r="AZ469" t="s">
        <v>12408</v>
      </c>
      <c r="BA469">
        <v>6.2820000000000001E-2</v>
      </c>
      <c r="BB469">
        <v>-4.4400000000000004E-3</v>
      </c>
      <c r="BC469">
        <v>8.4100000000000008E-3</v>
      </c>
      <c r="BD469">
        <v>-6.7000000000000002E-4</v>
      </c>
      <c r="BE469">
        <v>0.1338</v>
      </c>
      <c r="BF469">
        <v>1</v>
      </c>
      <c r="BG469" t="s">
        <v>69</v>
      </c>
      <c r="BH469">
        <v>-1.7509999999999999</v>
      </c>
      <c r="BI469">
        <v>-1.4079999999999999</v>
      </c>
    </row>
    <row r="470" spans="3:61">
      <c r="C470">
        <v>0</v>
      </c>
      <c r="D470">
        <v>0</v>
      </c>
      <c r="E470">
        <v>0</v>
      </c>
      <c r="F470" t="s">
        <v>25021</v>
      </c>
      <c r="G470">
        <v>3312</v>
      </c>
      <c r="H470" t="s">
        <v>19325</v>
      </c>
      <c r="I470" t="s">
        <v>57</v>
      </c>
      <c r="J470">
        <v>3279573</v>
      </c>
      <c r="K470">
        <v>3280247</v>
      </c>
      <c r="L470" t="s">
        <v>116</v>
      </c>
      <c r="M470">
        <v>225</v>
      </c>
      <c r="N470" t="s">
        <v>19326</v>
      </c>
      <c r="O470">
        <v>42</v>
      </c>
      <c r="P470" t="str">
        <f>HYPERLINK("Gene3312-zp_tree_all.dnd", "Gene3312-tree")</f>
        <v>Gene3312-tree</v>
      </c>
      <c r="Q470">
        <v>9</v>
      </c>
      <c r="R470">
        <v>3</v>
      </c>
      <c r="S470">
        <v>9</v>
      </c>
      <c r="T470">
        <v>3</v>
      </c>
      <c r="U470">
        <v>0.25</v>
      </c>
      <c r="V470" t="s">
        <v>135</v>
      </c>
      <c r="W470" t="s">
        <v>324</v>
      </c>
      <c r="X470" t="s">
        <v>62</v>
      </c>
      <c r="Y470" t="s">
        <v>62</v>
      </c>
      <c r="Z470">
        <v>0</v>
      </c>
      <c r="AA470">
        <v>0</v>
      </c>
      <c r="AB470">
        <v>5</v>
      </c>
      <c r="AC470">
        <v>0</v>
      </c>
      <c r="AD470" s="47">
        <v>0</v>
      </c>
      <c r="AE470" s="47">
        <v>0</v>
      </c>
      <c r="AF470" s="47">
        <v>0</v>
      </c>
      <c r="AG470" s="47">
        <v>1</v>
      </c>
      <c r="AH470" s="47">
        <v>0</v>
      </c>
      <c r="AI470" s="47">
        <v>0</v>
      </c>
      <c r="AJ470" s="47">
        <v>0</v>
      </c>
      <c r="AK470" s="47">
        <v>0</v>
      </c>
      <c r="AL470">
        <v>4</v>
      </c>
      <c r="AM470">
        <v>0</v>
      </c>
      <c r="AN470">
        <v>9</v>
      </c>
      <c r="AO470">
        <v>6</v>
      </c>
      <c r="AP470">
        <v>27</v>
      </c>
      <c r="AQ470">
        <v>4</v>
      </c>
      <c r="AR470">
        <v>9</v>
      </c>
      <c r="AS470">
        <v>1</v>
      </c>
      <c r="AT470" t="s">
        <v>19327</v>
      </c>
      <c r="AU470" t="s">
        <v>19328</v>
      </c>
      <c r="AV470">
        <v>0.114</v>
      </c>
      <c r="AW470" t="s">
        <v>65</v>
      </c>
      <c r="AX470">
        <v>36</v>
      </c>
      <c r="AY470">
        <v>5</v>
      </c>
      <c r="AZ470" t="s">
        <v>19329</v>
      </c>
      <c r="BA470">
        <v>5.3949999999999998E-2</v>
      </c>
      <c r="BB470">
        <v>-4.0000000000000001E-3</v>
      </c>
      <c r="BC470">
        <v>1.82E-3</v>
      </c>
      <c r="BD470">
        <v>-2.0000000000000001E-4</v>
      </c>
      <c r="BE470">
        <v>3.3730000000000003E-2</v>
      </c>
      <c r="BF470">
        <v>1</v>
      </c>
      <c r="BG470" t="s">
        <v>69</v>
      </c>
      <c r="BH470">
        <v>-0.97699999999999998</v>
      </c>
      <c r="BI470">
        <v>-2.2360000000000002</v>
      </c>
    </row>
    <row r="471" spans="3:61">
      <c r="C471">
        <v>0</v>
      </c>
      <c r="D471">
        <v>3</v>
      </c>
      <c r="E471">
        <v>0</v>
      </c>
      <c r="F471" t="s">
        <v>25021</v>
      </c>
      <c r="G471">
        <v>3970</v>
      </c>
      <c r="H471" t="s">
        <v>23333</v>
      </c>
      <c r="I471" t="s">
        <v>57</v>
      </c>
      <c r="J471">
        <v>3933577</v>
      </c>
      <c r="K471">
        <v>3934251</v>
      </c>
      <c r="L471" t="s">
        <v>23334</v>
      </c>
      <c r="M471">
        <v>225</v>
      </c>
      <c r="N471" t="s">
        <v>59</v>
      </c>
      <c r="O471">
        <v>49</v>
      </c>
      <c r="P471" t="str">
        <f>HYPERLINK("Gene3970-zp_tree_all.dnd", "Gene3970-tree")</f>
        <v>Gene3970-tree</v>
      </c>
      <c r="Q471">
        <v>33</v>
      </c>
      <c r="R471">
        <v>5</v>
      </c>
      <c r="S471">
        <v>16</v>
      </c>
      <c r="T471">
        <v>5</v>
      </c>
      <c r="U471">
        <v>0.23810000000000001</v>
      </c>
      <c r="V471" t="s">
        <v>4634</v>
      </c>
      <c r="W471" t="s">
        <v>199</v>
      </c>
      <c r="X471" t="s">
        <v>62</v>
      </c>
      <c r="Y471" t="s">
        <v>62</v>
      </c>
      <c r="Z471">
        <v>1</v>
      </c>
      <c r="AA471">
        <v>3</v>
      </c>
      <c r="AB471">
        <v>4</v>
      </c>
      <c r="AC471">
        <v>0.42857000000000001</v>
      </c>
      <c r="AD471" s="47">
        <v>0</v>
      </c>
      <c r="AE471" s="47">
        <v>0</v>
      </c>
      <c r="AF471" s="47">
        <v>0</v>
      </c>
      <c r="AG471" s="47">
        <v>0</v>
      </c>
      <c r="AH471" s="47">
        <v>0</v>
      </c>
      <c r="AI471" s="47">
        <v>3</v>
      </c>
      <c r="AJ471" s="47">
        <v>0</v>
      </c>
      <c r="AK471" s="47">
        <v>3</v>
      </c>
      <c r="AL471">
        <v>3</v>
      </c>
      <c r="AM471">
        <v>0.5</v>
      </c>
      <c r="AN471">
        <v>15</v>
      </c>
      <c r="AO471">
        <v>14</v>
      </c>
      <c r="AP471">
        <v>57</v>
      </c>
      <c r="AQ471">
        <v>5</v>
      </c>
      <c r="AR471">
        <v>56</v>
      </c>
      <c r="AS471">
        <v>3</v>
      </c>
      <c r="AT471" t="s">
        <v>23335</v>
      </c>
      <c r="AU471" t="s">
        <v>23336</v>
      </c>
      <c r="AV471">
        <v>0.32800000000000001</v>
      </c>
      <c r="AW471" t="s">
        <v>65</v>
      </c>
      <c r="AX471">
        <v>113</v>
      </c>
      <c r="AY471">
        <v>8</v>
      </c>
      <c r="AZ471" t="s">
        <v>23337</v>
      </c>
      <c r="BA471">
        <v>9.8400000000000001E-2</v>
      </c>
      <c r="BB471">
        <v>-3.4199999999999999E-3</v>
      </c>
      <c r="BC471">
        <v>2.3E-3</v>
      </c>
      <c r="BD471">
        <v>-1.7000000000000001E-4</v>
      </c>
      <c r="BE471">
        <v>2.332E-2</v>
      </c>
      <c r="BF471">
        <v>1</v>
      </c>
      <c r="BG471" t="s">
        <v>69</v>
      </c>
      <c r="BH471">
        <v>-1.0069999999999999</v>
      </c>
      <c r="BI471">
        <v>-2.4390000000000001</v>
      </c>
    </row>
    <row r="472" spans="3:61">
      <c r="C472">
        <v>0</v>
      </c>
      <c r="D472">
        <v>0</v>
      </c>
      <c r="E472">
        <v>0</v>
      </c>
      <c r="F472" t="s">
        <v>25021</v>
      </c>
      <c r="G472">
        <v>3424</v>
      </c>
      <c r="H472" t="s">
        <v>20035</v>
      </c>
      <c r="I472" t="s">
        <v>57</v>
      </c>
      <c r="J472">
        <v>3385724</v>
      </c>
      <c r="K472">
        <v>3386398</v>
      </c>
      <c r="L472" t="s">
        <v>20036</v>
      </c>
      <c r="M472">
        <v>225</v>
      </c>
      <c r="N472" t="s">
        <v>214</v>
      </c>
      <c r="O472">
        <v>48</v>
      </c>
      <c r="P472" t="str">
        <f>HYPERLINK("Gene3424-zp_tree_all.dnd", "Gene3424-tree")</f>
        <v>Gene3424-tree</v>
      </c>
      <c r="Q472">
        <v>14</v>
      </c>
      <c r="R472">
        <v>2</v>
      </c>
      <c r="S472">
        <v>14</v>
      </c>
      <c r="T472">
        <v>2</v>
      </c>
      <c r="U472">
        <v>0.125</v>
      </c>
      <c r="V472" t="s">
        <v>543</v>
      </c>
      <c r="W472" t="s">
        <v>81</v>
      </c>
      <c r="X472" t="s">
        <v>62</v>
      </c>
      <c r="Y472" t="s">
        <v>62</v>
      </c>
      <c r="Z472">
        <v>0</v>
      </c>
      <c r="AA472">
        <v>0</v>
      </c>
      <c r="AB472">
        <v>5</v>
      </c>
      <c r="AC472">
        <v>0</v>
      </c>
      <c r="AD472" s="47">
        <v>0</v>
      </c>
      <c r="AE472" s="47">
        <v>0</v>
      </c>
      <c r="AF472" s="47">
        <v>0</v>
      </c>
      <c r="AG472" s="47">
        <v>0</v>
      </c>
      <c r="AH472" s="47">
        <v>0</v>
      </c>
      <c r="AI472" s="47">
        <v>0</v>
      </c>
      <c r="AJ472" s="47">
        <v>0</v>
      </c>
      <c r="AK472" s="47">
        <v>0</v>
      </c>
      <c r="AL472">
        <v>2</v>
      </c>
      <c r="AM472">
        <v>0</v>
      </c>
      <c r="AN472">
        <v>12</v>
      </c>
      <c r="AO472">
        <v>7</v>
      </c>
      <c r="AP472">
        <v>39</v>
      </c>
      <c r="AQ472">
        <v>2</v>
      </c>
      <c r="AR472">
        <v>28</v>
      </c>
      <c r="AS472">
        <v>3</v>
      </c>
      <c r="AT472" t="s">
        <v>20037</v>
      </c>
      <c r="AU472" t="s">
        <v>20038</v>
      </c>
      <c r="AV472">
        <v>0.26</v>
      </c>
      <c r="AW472" t="s">
        <v>65</v>
      </c>
      <c r="AX472">
        <v>67</v>
      </c>
      <c r="AY472">
        <v>5</v>
      </c>
      <c r="AZ472" t="s">
        <v>20039</v>
      </c>
      <c r="BA472">
        <v>9.7170000000000006E-2</v>
      </c>
      <c r="BB472">
        <v>-7.3800000000000003E-3</v>
      </c>
      <c r="BC472">
        <v>2.1800000000000001E-3</v>
      </c>
      <c r="BD472">
        <v>-2.1000000000000001E-4</v>
      </c>
      <c r="BE472">
        <v>2.2429999999999999E-2</v>
      </c>
      <c r="BF472">
        <v>1</v>
      </c>
      <c r="BG472" t="s">
        <v>69</v>
      </c>
      <c r="BH472">
        <v>-1.391</v>
      </c>
      <c r="BI472">
        <v>-1.96</v>
      </c>
    </row>
    <row r="473" spans="3:61">
      <c r="C473">
        <v>0</v>
      </c>
      <c r="D473">
        <v>2</v>
      </c>
      <c r="E473">
        <v>0</v>
      </c>
      <c r="F473" t="s">
        <v>25021</v>
      </c>
      <c r="G473">
        <v>571</v>
      </c>
      <c r="H473" t="s">
        <v>3673</v>
      </c>
      <c r="I473" t="s">
        <v>62</v>
      </c>
      <c r="J473">
        <v>600232</v>
      </c>
      <c r="K473">
        <v>600906</v>
      </c>
      <c r="L473" t="s">
        <v>3674</v>
      </c>
      <c r="M473">
        <v>225</v>
      </c>
      <c r="N473" t="s">
        <v>3675</v>
      </c>
      <c r="O473">
        <v>31</v>
      </c>
      <c r="P473" t="str">
        <f>HYPERLINK("Gene571-zp_tree_all.dnd", "Gene571-tree")</f>
        <v>Gene571-tree</v>
      </c>
      <c r="Q473">
        <v>5</v>
      </c>
      <c r="R473">
        <v>3</v>
      </c>
      <c r="S473">
        <v>5</v>
      </c>
      <c r="T473">
        <v>3</v>
      </c>
      <c r="U473">
        <v>0.375</v>
      </c>
      <c r="V473" t="s">
        <v>199</v>
      </c>
      <c r="W473" t="s">
        <v>324</v>
      </c>
      <c r="X473" t="s">
        <v>62</v>
      </c>
      <c r="Y473" t="s">
        <v>62</v>
      </c>
      <c r="Z473">
        <v>1</v>
      </c>
      <c r="AA473">
        <v>2</v>
      </c>
      <c r="AB473">
        <v>1</v>
      </c>
      <c r="AC473">
        <v>0.66666999999999998</v>
      </c>
      <c r="AD473" s="47">
        <v>0</v>
      </c>
      <c r="AE473" s="47">
        <v>0</v>
      </c>
      <c r="AF473" s="47">
        <v>0</v>
      </c>
      <c r="AG473" s="47">
        <v>0</v>
      </c>
      <c r="AH473" s="47">
        <v>0</v>
      </c>
      <c r="AI473" s="47">
        <v>2</v>
      </c>
      <c r="AJ473" s="47">
        <v>0</v>
      </c>
      <c r="AK473" s="47">
        <v>2</v>
      </c>
      <c r="AL473">
        <v>1</v>
      </c>
      <c r="AM473">
        <v>0.66666999999999998</v>
      </c>
      <c r="AN473">
        <v>7</v>
      </c>
      <c r="AO473">
        <v>4</v>
      </c>
      <c r="AP473">
        <v>19</v>
      </c>
      <c r="AQ473">
        <v>3</v>
      </c>
      <c r="AR473">
        <v>8</v>
      </c>
      <c r="AS473">
        <v>0</v>
      </c>
      <c r="AT473" t="s">
        <v>3676</v>
      </c>
      <c r="AU473" t="s">
        <v>193</v>
      </c>
      <c r="AV473">
        <v>1.506</v>
      </c>
      <c r="AW473" t="s">
        <v>65</v>
      </c>
      <c r="AX473">
        <v>27</v>
      </c>
      <c r="AY473">
        <v>3</v>
      </c>
      <c r="AZ473" t="s">
        <v>3677</v>
      </c>
      <c r="BA473">
        <v>5.8200000000000002E-2</v>
      </c>
      <c r="BB473">
        <v>-4.5799999999999999E-3</v>
      </c>
      <c r="BC473">
        <v>1.2899999999999999E-3</v>
      </c>
      <c r="BD473">
        <v>-2.1000000000000001E-4</v>
      </c>
      <c r="BE473">
        <v>2.2239999999999999E-2</v>
      </c>
      <c r="BF473">
        <v>1</v>
      </c>
      <c r="BG473" t="s">
        <v>69</v>
      </c>
      <c r="BH473">
        <v>-0.91</v>
      </c>
      <c r="BI473">
        <v>-0.38200000000000001</v>
      </c>
    </row>
    <row r="474" spans="3:61">
      <c r="C474">
        <v>0</v>
      </c>
      <c r="D474">
        <v>12</v>
      </c>
      <c r="E474">
        <v>4</v>
      </c>
      <c r="F474" t="s">
        <v>25021</v>
      </c>
      <c r="G474">
        <v>1449</v>
      </c>
      <c r="H474" t="s">
        <v>9078</v>
      </c>
      <c r="I474" t="s">
        <v>62</v>
      </c>
      <c r="J474">
        <v>1462816</v>
      </c>
      <c r="K474">
        <v>1463493</v>
      </c>
      <c r="L474" t="s">
        <v>9079</v>
      </c>
      <c r="M474">
        <v>226</v>
      </c>
      <c r="N474" t="s">
        <v>108</v>
      </c>
      <c r="O474">
        <v>44</v>
      </c>
      <c r="P474" t="str">
        <f>HYPERLINK("Gene1449-zp_tree_all.dnd", "Gene1449-tree")</f>
        <v>Gene1449-tree</v>
      </c>
      <c r="Q474">
        <v>3</v>
      </c>
      <c r="R474">
        <v>11</v>
      </c>
      <c r="S474">
        <v>3</v>
      </c>
      <c r="T474">
        <v>11</v>
      </c>
      <c r="U474">
        <v>0.78571000000000002</v>
      </c>
      <c r="V474" t="s">
        <v>324</v>
      </c>
      <c r="W474" t="s">
        <v>73</v>
      </c>
      <c r="X474">
        <v>305230034.74400002</v>
      </c>
      <c r="Y474" t="s">
        <v>267</v>
      </c>
      <c r="Z474">
        <v>5</v>
      </c>
      <c r="AA474">
        <v>16</v>
      </c>
      <c r="AB474">
        <v>19</v>
      </c>
      <c r="AC474">
        <v>0.45713999999999999</v>
      </c>
      <c r="AD474" s="47">
        <v>0</v>
      </c>
      <c r="AE474" s="47">
        <v>0</v>
      </c>
      <c r="AF474" s="47">
        <v>0</v>
      </c>
      <c r="AG474" s="47">
        <v>1</v>
      </c>
      <c r="AH474" s="47">
        <v>0</v>
      </c>
      <c r="AI474" s="47">
        <v>5</v>
      </c>
      <c r="AJ474" s="47">
        <v>3</v>
      </c>
      <c r="AK474" s="47">
        <v>8</v>
      </c>
      <c r="AL474">
        <v>20</v>
      </c>
      <c r="AM474">
        <v>0.28571000000000002</v>
      </c>
      <c r="AN474">
        <v>12</v>
      </c>
      <c r="AO474">
        <v>10</v>
      </c>
      <c r="AP474">
        <v>17</v>
      </c>
      <c r="AQ474">
        <v>27</v>
      </c>
      <c r="AR474">
        <v>15</v>
      </c>
      <c r="AS474">
        <v>8</v>
      </c>
      <c r="AT474" t="s">
        <v>9080</v>
      </c>
      <c r="AU474" t="s">
        <v>9081</v>
      </c>
      <c r="AV474">
        <v>1.4</v>
      </c>
      <c r="AW474" t="s">
        <v>65</v>
      </c>
      <c r="AX474">
        <v>32</v>
      </c>
      <c r="AY474">
        <v>35</v>
      </c>
      <c r="AZ474" t="s">
        <v>9082</v>
      </c>
      <c r="BA474">
        <v>4.9070000000000003E-2</v>
      </c>
      <c r="BB474">
        <v>-2.47E-3</v>
      </c>
      <c r="BC474">
        <v>1.155E-2</v>
      </c>
      <c r="BD474">
        <v>-5.1000000000000004E-4</v>
      </c>
      <c r="BE474">
        <v>0.23533999999999999</v>
      </c>
      <c r="BF474">
        <v>1</v>
      </c>
      <c r="BG474" t="s">
        <v>69</v>
      </c>
      <c r="BH474">
        <v>-0.104</v>
      </c>
      <c r="BI474">
        <v>-1.179</v>
      </c>
    </row>
    <row r="475" spans="3:61">
      <c r="C475">
        <v>0</v>
      </c>
      <c r="D475">
        <v>11</v>
      </c>
      <c r="E475">
        <v>1</v>
      </c>
      <c r="F475" t="s">
        <v>25021</v>
      </c>
      <c r="G475">
        <v>377</v>
      </c>
      <c r="H475" t="s">
        <v>2561</v>
      </c>
      <c r="I475" t="s">
        <v>62</v>
      </c>
      <c r="J475">
        <v>424211</v>
      </c>
      <c r="K475">
        <v>424888</v>
      </c>
      <c r="L475" t="s">
        <v>2562</v>
      </c>
      <c r="M475">
        <v>226</v>
      </c>
      <c r="N475" t="s">
        <v>108</v>
      </c>
      <c r="O475">
        <v>44</v>
      </c>
      <c r="P475" t="str">
        <f>HYPERLINK("Gene377-zp_tree_all.dnd", "Gene377-tree")</f>
        <v>Gene377-tree</v>
      </c>
      <c r="Q475">
        <v>6</v>
      </c>
      <c r="R475">
        <v>9</v>
      </c>
      <c r="S475">
        <v>6</v>
      </c>
      <c r="T475">
        <v>9</v>
      </c>
      <c r="U475">
        <v>0.6</v>
      </c>
      <c r="V475" t="s">
        <v>90</v>
      </c>
      <c r="W475" t="s">
        <v>135</v>
      </c>
      <c r="X475" t="s">
        <v>62</v>
      </c>
      <c r="Y475" t="s">
        <v>62</v>
      </c>
      <c r="Z475">
        <v>5</v>
      </c>
      <c r="AA475">
        <v>12</v>
      </c>
      <c r="AB475">
        <v>5</v>
      </c>
      <c r="AC475">
        <v>0.70587999999999995</v>
      </c>
      <c r="AD475" s="47">
        <v>0</v>
      </c>
      <c r="AE475" s="47">
        <v>0</v>
      </c>
      <c r="AF475" s="47">
        <v>0</v>
      </c>
      <c r="AG475" s="47">
        <v>0</v>
      </c>
      <c r="AH475" s="47">
        <v>0</v>
      </c>
      <c r="AI475" s="47">
        <v>6</v>
      </c>
      <c r="AJ475" s="47">
        <v>1</v>
      </c>
      <c r="AK475" s="47">
        <v>7</v>
      </c>
      <c r="AL475">
        <v>5</v>
      </c>
      <c r="AM475">
        <v>0.58333000000000002</v>
      </c>
      <c r="AN475">
        <v>13</v>
      </c>
      <c r="AO475">
        <v>11</v>
      </c>
      <c r="AP475">
        <v>26</v>
      </c>
      <c r="AQ475">
        <v>13</v>
      </c>
      <c r="AR475">
        <v>22</v>
      </c>
      <c r="AS475">
        <v>5</v>
      </c>
      <c r="AT475" t="s">
        <v>2563</v>
      </c>
      <c r="AU475" t="s">
        <v>2564</v>
      </c>
      <c r="AV475">
        <v>1.409</v>
      </c>
      <c r="AW475" t="s">
        <v>65</v>
      </c>
      <c r="AX475">
        <v>48</v>
      </c>
      <c r="AY475">
        <v>18</v>
      </c>
      <c r="AZ475" t="s">
        <v>2565</v>
      </c>
      <c r="BA475">
        <v>6.1170000000000002E-2</v>
      </c>
      <c r="BB475">
        <v>-2.2000000000000001E-3</v>
      </c>
      <c r="BC475">
        <v>5.1700000000000001E-3</v>
      </c>
      <c r="BD475">
        <v>-2.7999999999999998E-4</v>
      </c>
      <c r="BE475">
        <v>8.4540000000000004E-2</v>
      </c>
      <c r="BF475">
        <v>1</v>
      </c>
      <c r="BG475" t="s">
        <v>69</v>
      </c>
      <c r="BH475">
        <v>-0.47399999999999998</v>
      </c>
      <c r="BI475">
        <v>-0.30399999999999999</v>
      </c>
    </row>
    <row r="476" spans="3:61">
      <c r="C476">
        <v>0</v>
      </c>
      <c r="D476">
        <v>0</v>
      </c>
      <c r="E476">
        <v>0</v>
      </c>
      <c r="F476" t="s">
        <v>25021</v>
      </c>
      <c r="G476">
        <v>339</v>
      </c>
      <c r="H476" t="s">
        <v>2309</v>
      </c>
      <c r="I476" t="s">
        <v>62</v>
      </c>
      <c r="J476">
        <v>367308</v>
      </c>
      <c r="K476">
        <v>367985</v>
      </c>
      <c r="L476" t="s">
        <v>2310</v>
      </c>
      <c r="M476">
        <v>226</v>
      </c>
      <c r="N476" t="s">
        <v>108</v>
      </c>
      <c r="O476">
        <v>44</v>
      </c>
      <c r="P476" t="str">
        <f>HYPERLINK("Gene339-zp_tree_all.dnd", "Gene339-tree")</f>
        <v>Gene339-tree</v>
      </c>
      <c r="Q476">
        <v>9</v>
      </c>
      <c r="R476">
        <v>5</v>
      </c>
      <c r="S476">
        <v>9</v>
      </c>
      <c r="T476">
        <v>5</v>
      </c>
      <c r="U476">
        <v>0.35714000000000001</v>
      </c>
      <c r="V476" t="s">
        <v>135</v>
      </c>
      <c r="W476" t="s">
        <v>199</v>
      </c>
      <c r="X476" t="s">
        <v>62</v>
      </c>
      <c r="Y476" t="s">
        <v>62</v>
      </c>
      <c r="Z476">
        <v>0</v>
      </c>
      <c r="AA476">
        <v>0</v>
      </c>
      <c r="AB476">
        <v>10</v>
      </c>
      <c r="AC476">
        <v>0</v>
      </c>
      <c r="AD476" s="47">
        <v>0</v>
      </c>
      <c r="AE476" s="47">
        <v>0</v>
      </c>
      <c r="AF476" s="47">
        <v>0</v>
      </c>
      <c r="AG476" s="47">
        <v>0</v>
      </c>
      <c r="AH476" s="47">
        <v>0</v>
      </c>
      <c r="AI476" s="47">
        <v>0</v>
      </c>
      <c r="AJ476" s="47">
        <v>0</v>
      </c>
      <c r="AK476" s="47">
        <v>0</v>
      </c>
      <c r="AL476">
        <v>9</v>
      </c>
      <c r="AM476">
        <v>0</v>
      </c>
      <c r="AN476">
        <v>13</v>
      </c>
      <c r="AO476">
        <v>6</v>
      </c>
      <c r="AP476">
        <v>30</v>
      </c>
      <c r="AQ476">
        <v>9</v>
      </c>
      <c r="AR476">
        <v>9</v>
      </c>
      <c r="AS476">
        <v>1</v>
      </c>
      <c r="AT476" t="s">
        <v>2311</v>
      </c>
      <c r="AU476" t="s">
        <v>2312</v>
      </c>
      <c r="AV476">
        <v>0.58699999999999997</v>
      </c>
      <c r="AW476" t="s">
        <v>65</v>
      </c>
      <c r="AX476">
        <v>39</v>
      </c>
      <c r="AY476">
        <v>10</v>
      </c>
      <c r="AZ476" t="s">
        <v>2313</v>
      </c>
      <c r="BA476">
        <v>3.9469999999999998E-2</v>
      </c>
      <c r="BB476">
        <v>-1.6800000000000001E-3</v>
      </c>
      <c r="BC476">
        <v>3.2499999999999999E-3</v>
      </c>
      <c r="BD476">
        <v>-3.3E-4</v>
      </c>
      <c r="BE476">
        <v>8.2239999999999994E-2</v>
      </c>
      <c r="BF476">
        <v>1</v>
      </c>
      <c r="BG476" t="s">
        <v>69</v>
      </c>
      <c r="BH476">
        <v>-8.5999999999999993E-2</v>
      </c>
      <c r="BI476">
        <v>-0.69199999999999995</v>
      </c>
    </row>
    <row r="477" spans="3:61">
      <c r="C477">
        <v>0</v>
      </c>
      <c r="D477">
        <v>4</v>
      </c>
      <c r="E477">
        <v>0</v>
      </c>
      <c r="F477" t="s">
        <v>25021</v>
      </c>
      <c r="G477">
        <v>1936</v>
      </c>
      <c r="H477" t="s">
        <v>12133</v>
      </c>
      <c r="I477" t="s">
        <v>57</v>
      </c>
      <c r="J477">
        <v>2036039</v>
      </c>
      <c r="K477">
        <v>2036719</v>
      </c>
      <c r="L477" t="s">
        <v>12134</v>
      </c>
      <c r="M477">
        <v>227</v>
      </c>
      <c r="N477" t="s">
        <v>12135</v>
      </c>
      <c r="O477">
        <v>34</v>
      </c>
      <c r="P477" t="str">
        <f>HYPERLINK("Gene1936-zp_tree_all.dnd", "Gene1936-tree")</f>
        <v>Gene1936-tree</v>
      </c>
      <c r="Q477">
        <v>7</v>
      </c>
      <c r="R477">
        <v>4</v>
      </c>
      <c r="S477">
        <v>7</v>
      </c>
      <c r="T477">
        <v>4</v>
      </c>
      <c r="U477">
        <v>0.36364000000000002</v>
      </c>
      <c r="V477" t="s">
        <v>152</v>
      </c>
      <c r="W477" t="s">
        <v>61</v>
      </c>
      <c r="X477" t="s">
        <v>62</v>
      </c>
      <c r="Y477" t="s">
        <v>62</v>
      </c>
      <c r="Z477">
        <v>2</v>
      </c>
      <c r="AA477">
        <v>4</v>
      </c>
      <c r="AB477">
        <v>10</v>
      </c>
      <c r="AC477">
        <v>0.28571000000000002</v>
      </c>
      <c r="AD477" s="47">
        <v>0</v>
      </c>
      <c r="AE477" s="47">
        <v>0</v>
      </c>
      <c r="AF477" s="47">
        <v>0</v>
      </c>
      <c r="AG477" s="47">
        <v>2</v>
      </c>
      <c r="AH477" s="47">
        <v>0</v>
      </c>
      <c r="AI477" s="47">
        <v>4</v>
      </c>
      <c r="AJ477" s="47">
        <v>0</v>
      </c>
      <c r="AK477" s="47">
        <v>4</v>
      </c>
      <c r="AL477">
        <v>8</v>
      </c>
      <c r="AM477">
        <v>0.33333000000000002</v>
      </c>
      <c r="AN477">
        <v>6</v>
      </c>
      <c r="AO477">
        <v>4</v>
      </c>
      <c r="AP477">
        <v>24</v>
      </c>
      <c r="AQ477">
        <v>11</v>
      </c>
      <c r="AR477">
        <v>2</v>
      </c>
      <c r="AS477">
        <v>3</v>
      </c>
      <c r="AT477" t="s">
        <v>12136</v>
      </c>
      <c r="AU477" t="s">
        <v>12137</v>
      </c>
      <c r="AV477">
        <v>0.876</v>
      </c>
      <c r="AW477" t="s">
        <v>65</v>
      </c>
      <c r="AX477">
        <v>26</v>
      </c>
      <c r="AY477">
        <v>14</v>
      </c>
      <c r="AZ477" t="s">
        <v>12138</v>
      </c>
      <c r="BA477">
        <v>3.7190000000000001E-2</v>
      </c>
      <c r="BB477">
        <v>-6.13E-3</v>
      </c>
      <c r="BC477">
        <v>6.13E-3</v>
      </c>
      <c r="BD477">
        <v>-6.8999999999999997E-4</v>
      </c>
      <c r="BE477">
        <v>0.16483999999999999</v>
      </c>
      <c r="BF477">
        <v>1</v>
      </c>
      <c r="BG477" t="s">
        <v>69</v>
      </c>
      <c r="BH477">
        <v>-2.2709999999999999</v>
      </c>
      <c r="BI477">
        <v>-3.5529999999999999</v>
      </c>
    </row>
    <row r="478" spans="3:61">
      <c r="C478">
        <v>0</v>
      </c>
      <c r="D478">
        <v>5</v>
      </c>
      <c r="E478">
        <v>2</v>
      </c>
      <c r="F478" t="s">
        <v>25021</v>
      </c>
      <c r="G478">
        <v>2289</v>
      </c>
      <c r="H478" t="s">
        <v>13255</v>
      </c>
      <c r="I478" t="s">
        <v>57</v>
      </c>
      <c r="J478">
        <v>2309730</v>
      </c>
      <c r="K478">
        <v>2310416</v>
      </c>
      <c r="L478" t="s">
        <v>13256</v>
      </c>
      <c r="M478">
        <v>229</v>
      </c>
      <c r="N478" t="s">
        <v>96</v>
      </c>
      <c r="O478">
        <v>48</v>
      </c>
      <c r="P478" t="str">
        <f>HYPERLINK("Gene2289-zp_tree_all.dnd", "Gene2289-tree")</f>
        <v>Gene2289-tree</v>
      </c>
      <c r="Q478">
        <v>9</v>
      </c>
      <c r="R478">
        <v>27</v>
      </c>
      <c r="S478">
        <v>9</v>
      </c>
      <c r="T478">
        <v>8</v>
      </c>
      <c r="U478">
        <v>0.47059000000000001</v>
      </c>
      <c r="V478" t="s">
        <v>135</v>
      </c>
      <c r="W478" t="s">
        <v>282</v>
      </c>
      <c r="X478">
        <v>3.7669999999999999</v>
      </c>
      <c r="Y478" t="s">
        <v>65</v>
      </c>
      <c r="Z478">
        <v>3</v>
      </c>
      <c r="AA478">
        <v>7</v>
      </c>
      <c r="AB478">
        <v>8</v>
      </c>
      <c r="AC478">
        <v>0.46666999999999997</v>
      </c>
      <c r="AD478" s="47">
        <v>0</v>
      </c>
      <c r="AE478" s="47">
        <v>0</v>
      </c>
      <c r="AF478" s="47">
        <v>0</v>
      </c>
      <c r="AG478" s="47">
        <v>0</v>
      </c>
      <c r="AH478" s="47">
        <v>0</v>
      </c>
      <c r="AI478" s="47">
        <v>2</v>
      </c>
      <c r="AJ478" s="47">
        <v>0</v>
      </c>
      <c r="AK478" s="47">
        <v>2</v>
      </c>
      <c r="AL478">
        <v>7</v>
      </c>
      <c r="AM478">
        <v>0.22222</v>
      </c>
      <c r="AN478">
        <v>13</v>
      </c>
      <c r="AO478">
        <v>9</v>
      </c>
      <c r="AP478">
        <v>29</v>
      </c>
      <c r="AQ478">
        <v>7</v>
      </c>
      <c r="AR478">
        <v>30</v>
      </c>
      <c r="AS478">
        <v>8</v>
      </c>
      <c r="AT478" t="s">
        <v>13257</v>
      </c>
      <c r="AU478" t="s">
        <v>13258</v>
      </c>
      <c r="AV478">
        <v>5.0999999999999997E-2</v>
      </c>
      <c r="AW478" t="s">
        <v>65</v>
      </c>
      <c r="AX478">
        <v>59</v>
      </c>
      <c r="AY478">
        <v>15</v>
      </c>
      <c r="AZ478" t="s">
        <v>13259</v>
      </c>
      <c r="BA478">
        <v>7.7640000000000001E-2</v>
      </c>
      <c r="BB478">
        <v>-5.47E-3</v>
      </c>
      <c r="BC478">
        <v>5.9800000000000001E-3</v>
      </c>
      <c r="BD478">
        <v>-3.8999999999999999E-4</v>
      </c>
      <c r="BE478">
        <v>7.7020000000000005E-2</v>
      </c>
      <c r="BF478">
        <v>1</v>
      </c>
      <c r="BG478" t="s">
        <v>69</v>
      </c>
      <c r="BH478">
        <v>-0.94699999999999995</v>
      </c>
      <c r="BI478">
        <v>-1.5960000000000001</v>
      </c>
    </row>
    <row r="479" spans="3:61">
      <c r="C479">
        <v>0</v>
      </c>
      <c r="D479">
        <v>9</v>
      </c>
      <c r="E479">
        <v>3</v>
      </c>
      <c r="F479" t="s">
        <v>25021</v>
      </c>
      <c r="G479">
        <v>3574</v>
      </c>
      <c r="H479" t="s">
        <v>20964</v>
      </c>
      <c r="I479" t="s">
        <v>57</v>
      </c>
      <c r="J479">
        <v>3540717</v>
      </c>
      <c r="K479">
        <v>3541403</v>
      </c>
      <c r="L479" t="s">
        <v>2647</v>
      </c>
      <c r="M479">
        <v>229</v>
      </c>
      <c r="N479" t="s">
        <v>108</v>
      </c>
      <c r="O479">
        <v>44</v>
      </c>
      <c r="P479" t="str">
        <f>HYPERLINK("Gene3574-zp_tree_all.dnd", "Gene3574-tree")</f>
        <v>Gene3574-tree</v>
      </c>
      <c r="Q479">
        <v>6</v>
      </c>
      <c r="R479">
        <v>8</v>
      </c>
      <c r="S479">
        <v>6</v>
      </c>
      <c r="T479">
        <v>8</v>
      </c>
      <c r="U479">
        <v>0.57142999999999999</v>
      </c>
      <c r="V479" t="s">
        <v>90</v>
      </c>
      <c r="W479" t="s">
        <v>136</v>
      </c>
      <c r="X479" t="s">
        <v>62</v>
      </c>
      <c r="Y479" t="s">
        <v>62</v>
      </c>
      <c r="Z479">
        <v>4</v>
      </c>
      <c r="AA479">
        <v>12</v>
      </c>
      <c r="AB479">
        <v>3</v>
      </c>
      <c r="AC479">
        <v>0.8</v>
      </c>
      <c r="AD479" s="47">
        <v>0</v>
      </c>
      <c r="AE479" s="47">
        <v>0</v>
      </c>
      <c r="AF479" s="47">
        <v>0</v>
      </c>
      <c r="AG479" s="47">
        <v>0</v>
      </c>
      <c r="AH479" s="47">
        <v>0</v>
      </c>
      <c r="AI479" s="47">
        <v>5</v>
      </c>
      <c r="AJ479" s="47">
        <v>4</v>
      </c>
      <c r="AK479" s="47">
        <v>9</v>
      </c>
      <c r="AL479">
        <v>1</v>
      </c>
      <c r="AM479">
        <v>0.9</v>
      </c>
      <c r="AN479">
        <v>14</v>
      </c>
      <c r="AO479">
        <v>9</v>
      </c>
      <c r="AP479">
        <v>29</v>
      </c>
      <c r="AQ479">
        <v>10</v>
      </c>
      <c r="AR479">
        <v>17</v>
      </c>
      <c r="AS479">
        <v>6</v>
      </c>
      <c r="AT479" t="s">
        <v>20965</v>
      </c>
      <c r="AU479" t="s">
        <v>20966</v>
      </c>
      <c r="AV479">
        <v>3.7999999999999999E-2</v>
      </c>
      <c r="AW479" t="s">
        <v>65</v>
      </c>
      <c r="AX479">
        <v>46</v>
      </c>
      <c r="AY479">
        <v>16</v>
      </c>
      <c r="AZ479" t="s">
        <v>20967</v>
      </c>
      <c r="BA479">
        <v>6.3240000000000005E-2</v>
      </c>
      <c r="BB479">
        <v>-2.5899999999999999E-3</v>
      </c>
      <c r="BC479">
        <v>4.13E-3</v>
      </c>
      <c r="BD479">
        <v>-2.7999999999999998E-4</v>
      </c>
      <c r="BE479">
        <v>6.5250000000000002E-2</v>
      </c>
      <c r="BF479">
        <v>1</v>
      </c>
      <c r="BG479" t="s">
        <v>69</v>
      </c>
      <c r="BH479">
        <v>0.34699999999999998</v>
      </c>
      <c r="BI479">
        <v>0.32300000000000001</v>
      </c>
    </row>
    <row r="480" spans="3:61">
      <c r="C480">
        <v>0</v>
      </c>
      <c r="D480">
        <v>0</v>
      </c>
      <c r="E480">
        <v>2</v>
      </c>
      <c r="F480" t="s">
        <v>25021</v>
      </c>
      <c r="G480">
        <v>562</v>
      </c>
      <c r="H480" t="s">
        <v>3616</v>
      </c>
      <c r="I480" t="s">
        <v>62</v>
      </c>
      <c r="J480">
        <v>593410</v>
      </c>
      <c r="K480">
        <v>594096</v>
      </c>
      <c r="L480" t="s">
        <v>3095</v>
      </c>
      <c r="M480">
        <v>229</v>
      </c>
      <c r="N480" t="s">
        <v>3617</v>
      </c>
      <c r="O480">
        <v>30</v>
      </c>
      <c r="P480" t="str">
        <f>HYPERLINK("Gene562-zp_tree_all.dnd", "Gene562-tree")</f>
        <v>Gene562-tree</v>
      </c>
      <c r="Q480">
        <v>4</v>
      </c>
      <c r="R480">
        <v>2</v>
      </c>
      <c r="S480">
        <v>4</v>
      </c>
      <c r="T480">
        <v>2</v>
      </c>
      <c r="U480">
        <v>0.33333000000000002</v>
      </c>
      <c r="V480" t="s">
        <v>61</v>
      </c>
      <c r="W480" t="s">
        <v>81</v>
      </c>
      <c r="X480" t="s">
        <v>62</v>
      </c>
      <c r="Y480" t="s">
        <v>62</v>
      </c>
      <c r="Z480">
        <v>1</v>
      </c>
      <c r="AA480">
        <v>2</v>
      </c>
      <c r="AB480">
        <v>3</v>
      </c>
      <c r="AC480">
        <v>0.4</v>
      </c>
      <c r="AD480" s="47">
        <v>0</v>
      </c>
      <c r="AE480" s="47">
        <v>0</v>
      </c>
      <c r="AF480" s="47">
        <v>0</v>
      </c>
      <c r="AG480" s="47">
        <v>3</v>
      </c>
      <c r="AH480" s="47">
        <v>0</v>
      </c>
      <c r="AI480" s="47">
        <v>0</v>
      </c>
      <c r="AJ480" s="47">
        <v>0</v>
      </c>
      <c r="AK480" s="47">
        <v>0</v>
      </c>
      <c r="AL480">
        <v>2</v>
      </c>
      <c r="AM480">
        <v>0</v>
      </c>
      <c r="AN480">
        <v>5</v>
      </c>
      <c r="AO480">
        <v>3</v>
      </c>
      <c r="AP480">
        <v>18</v>
      </c>
      <c r="AQ480">
        <v>2</v>
      </c>
      <c r="AR480">
        <v>13</v>
      </c>
      <c r="AS480">
        <v>3</v>
      </c>
      <c r="AT480" t="s">
        <v>3618</v>
      </c>
      <c r="AU480" t="s">
        <v>3619</v>
      </c>
      <c r="AV480">
        <v>0.33200000000000002</v>
      </c>
      <c r="AW480" t="s">
        <v>65</v>
      </c>
      <c r="AX480">
        <v>31</v>
      </c>
      <c r="AY480">
        <v>5</v>
      </c>
      <c r="AZ480" t="s">
        <v>3620</v>
      </c>
      <c r="BA480">
        <v>7.4340000000000003E-2</v>
      </c>
      <c r="BB480">
        <v>-6.77E-3</v>
      </c>
      <c r="BC480">
        <v>4.3600000000000002E-3</v>
      </c>
      <c r="BD480">
        <v>-6.4999999999999997E-4</v>
      </c>
      <c r="BE480">
        <v>5.8639999999999998E-2</v>
      </c>
      <c r="BF480">
        <v>1</v>
      </c>
      <c r="BG480" t="s">
        <v>69</v>
      </c>
      <c r="BH480">
        <v>0.76400000000000001</v>
      </c>
      <c r="BI480">
        <v>0.184</v>
      </c>
    </row>
    <row r="481" spans="3:61">
      <c r="C481">
        <v>2</v>
      </c>
      <c r="D481">
        <v>5</v>
      </c>
      <c r="E481">
        <v>0</v>
      </c>
      <c r="F481" t="s">
        <v>25021</v>
      </c>
      <c r="G481">
        <v>3466</v>
      </c>
      <c r="H481" t="s">
        <v>20297</v>
      </c>
      <c r="I481" t="s">
        <v>57</v>
      </c>
      <c r="J481">
        <v>3426026</v>
      </c>
      <c r="K481">
        <v>3426715</v>
      </c>
      <c r="L481" t="s">
        <v>20298</v>
      </c>
      <c r="M481">
        <v>230</v>
      </c>
      <c r="N481" t="s">
        <v>108</v>
      </c>
      <c r="O481">
        <v>44</v>
      </c>
      <c r="P481" t="str">
        <f>HYPERLINK("Gene3466-zp_tree_all.dnd", "Gene3466-tree")</f>
        <v>Gene3466-tree</v>
      </c>
      <c r="Q481">
        <v>6</v>
      </c>
      <c r="R481">
        <v>7</v>
      </c>
      <c r="S481">
        <v>6</v>
      </c>
      <c r="T481">
        <v>7</v>
      </c>
      <c r="U481">
        <v>0.53846000000000005</v>
      </c>
      <c r="V481" t="s">
        <v>90</v>
      </c>
      <c r="W481" t="s">
        <v>152</v>
      </c>
      <c r="X481" t="s">
        <v>62</v>
      </c>
      <c r="Y481" t="s">
        <v>62</v>
      </c>
      <c r="Z481">
        <v>3</v>
      </c>
      <c r="AA481">
        <v>7</v>
      </c>
      <c r="AB481">
        <v>6</v>
      </c>
      <c r="AC481">
        <v>0.53846000000000005</v>
      </c>
      <c r="AD481" s="47">
        <v>0</v>
      </c>
      <c r="AE481" s="47">
        <v>0</v>
      </c>
      <c r="AF481" s="47">
        <v>0</v>
      </c>
      <c r="AG481" s="47">
        <v>0</v>
      </c>
      <c r="AH481" s="47">
        <v>0</v>
      </c>
      <c r="AI481" s="47">
        <v>4</v>
      </c>
      <c r="AJ481" s="47">
        <v>0</v>
      </c>
      <c r="AK481" s="47">
        <v>4</v>
      </c>
      <c r="AL481">
        <v>5</v>
      </c>
      <c r="AM481">
        <v>0.44444</v>
      </c>
      <c r="AN481">
        <v>10</v>
      </c>
      <c r="AO481">
        <v>7</v>
      </c>
      <c r="AP481">
        <v>24</v>
      </c>
      <c r="AQ481">
        <v>7</v>
      </c>
      <c r="AR481">
        <v>13</v>
      </c>
      <c r="AS481">
        <v>6</v>
      </c>
      <c r="AT481" t="s">
        <v>20299</v>
      </c>
      <c r="AU481" t="s">
        <v>20300</v>
      </c>
      <c r="AV481">
        <v>0.5</v>
      </c>
      <c r="AW481" t="s">
        <v>65</v>
      </c>
      <c r="AX481">
        <v>37</v>
      </c>
      <c r="AY481">
        <v>13</v>
      </c>
      <c r="AZ481" t="s">
        <v>20301</v>
      </c>
      <c r="BA481">
        <v>4.9970000000000001E-2</v>
      </c>
      <c r="BB481">
        <v>-3.8999999999999998E-3</v>
      </c>
      <c r="BC481">
        <v>4.9399999999999999E-3</v>
      </c>
      <c r="BD481">
        <v>-2.9999999999999997E-4</v>
      </c>
      <c r="BE481">
        <v>9.8780000000000007E-2</v>
      </c>
      <c r="BF481">
        <v>1</v>
      </c>
      <c r="BG481" t="s">
        <v>69</v>
      </c>
      <c r="BH481">
        <v>-0.84599999999999997</v>
      </c>
      <c r="BI481">
        <v>-2.0129999999999999</v>
      </c>
    </row>
    <row r="482" spans="3:61">
      <c r="C482">
        <v>0</v>
      </c>
      <c r="D482">
        <v>4</v>
      </c>
      <c r="E482">
        <v>0</v>
      </c>
      <c r="F482" t="s">
        <v>25021</v>
      </c>
      <c r="G482">
        <v>4144</v>
      </c>
      <c r="H482" t="s">
        <v>24388</v>
      </c>
      <c r="I482" t="s">
        <v>57</v>
      </c>
      <c r="J482">
        <v>4110217</v>
      </c>
      <c r="K482">
        <v>4110906</v>
      </c>
      <c r="L482" t="s">
        <v>24389</v>
      </c>
      <c r="M482">
        <v>230</v>
      </c>
      <c r="N482" t="s">
        <v>108</v>
      </c>
      <c r="O482">
        <v>44</v>
      </c>
      <c r="P482" t="str">
        <f>HYPERLINK("Gene4144-zp_tree_all.dnd", "Gene4144-tree")</f>
        <v>Gene4144-tree</v>
      </c>
      <c r="Q482">
        <v>29</v>
      </c>
      <c r="R482">
        <v>2</v>
      </c>
      <c r="S482">
        <v>11</v>
      </c>
      <c r="T482">
        <v>2</v>
      </c>
      <c r="U482">
        <v>0.15384999999999999</v>
      </c>
      <c r="V482" t="s">
        <v>2086</v>
      </c>
      <c r="W482" t="s">
        <v>81</v>
      </c>
      <c r="X482" t="s">
        <v>62</v>
      </c>
      <c r="Y482" t="s">
        <v>62</v>
      </c>
      <c r="Z482">
        <v>1</v>
      </c>
      <c r="AA482">
        <v>4</v>
      </c>
      <c r="AB482">
        <v>3</v>
      </c>
      <c r="AC482">
        <v>0.57142999999999999</v>
      </c>
      <c r="AD482" s="47">
        <v>0</v>
      </c>
      <c r="AE482" s="47">
        <v>0</v>
      </c>
      <c r="AF482" s="47">
        <v>0</v>
      </c>
      <c r="AG482" s="47">
        <v>0</v>
      </c>
      <c r="AH482" s="47">
        <v>0</v>
      </c>
      <c r="AI482" s="47">
        <v>0</v>
      </c>
      <c r="AJ482" s="47">
        <v>0</v>
      </c>
      <c r="AK482" s="47">
        <v>0</v>
      </c>
      <c r="AL482">
        <v>4</v>
      </c>
      <c r="AM482">
        <v>0</v>
      </c>
      <c r="AN482">
        <v>11</v>
      </c>
      <c r="AO482">
        <v>10</v>
      </c>
      <c r="AP482">
        <v>37</v>
      </c>
      <c r="AQ482">
        <v>4</v>
      </c>
      <c r="AR482">
        <v>25</v>
      </c>
      <c r="AS482">
        <v>3</v>
      </c>
      <c r="AT482" t="s">
        <v>24390</v>
      </c>
      <c r="AU482" t="s">
        <v>24391</v>
      </c>
      <c r="AV482">
        <v>5.6000000000000001E-2</v>
      </c>
      <c r="AW482" t="s">
        <v>65</v>
      </c>
      <c r="AX482">
        <v>62</v>
      </c>
      <c r="AY482">
        <v>7</v>
      </c>
      <c r="AZ482" t="s">
        <v>24392</v>
      </c>
      <c r="BA482">
        <v>6.9709999999999994E-2</v>
      </c>
      <c r="BB482">
        <v>-2.5100000000000001E-3</v>
      </c>
      <c r="BC482">
        <v>1.91E-3</v>
      </c>
      <c r="BD482">
        <v>-2.5999999999999998E-4</v>
      </c>
      <c r="BE482">
        <v>2.742E-2</v>
      </c>
      <c r="BF482">
        <v>1</v>
      </c>
      <c r="BG482" t="s">
        <v>69</v>
      </c>
      <c r="BH482">
        <v>0.60499999999999998</v>
      </c>
      <c r="BI482">
        <v>-0.11799999999999999</v>
      </c>
    </row>
    <row r="483" spans="3:61">
      <c r="C483">
        <v>0</v>
      </c>
      <c r="D483">
        <v>10</v>
      </c>
      <c r="E483">
        <v>0</v>
      </c>
      <c r="F483" t="s">
        <v>25021</v>
      </c>
      <c r="G483">
        <v>3514</v>
      </c>
      <c r="H483" t="s">
        <v>20573</v>
      </c>
      <c r="I483" t="s">
        <v>57</v>
      </c>
      <c r="J483">
        <v>3473372</v>
      </c>
      <c r="K483">
        <v>3474067</v>
      </c>
      <c r="L483" t="s">
        <v>116</v>
      </c>
      <c r="M483">
        <v>232</v>
      </c>
      <c r="N483" t="s">
        <v>108</v>
      </c>
      <c r="O483">
        <v>44</v>
      </c>
      <c r="P483" t="str">
        <f>HYPERLINK("Gene3514-zp_tree_all.dnd", "Gene3514-tree")</f>
        <v>Gene3514-tree</v>
      </c>
      <c r="Q483">
        <v>2</v>
      </c>
      <c r="R483">
        <v>31</v>
      </c>
      <c r="S483">
        <v>2</v>
      </c>
      <c r="T483">
        <v>12</v>
      </c>
      <c r="U483">
        <v>0.85714000000000001</v>
      </c>
      <c r="V483" t="s">
        <v>81</v>
      </c>
      <c r="W483" t="s">
        <v>5000</v>
      </c>
      <c r="X483">
        <v>0.68700000000000006</v>
      </c>
      <c r="Y483" t="s">
        <v>65</v>
      </c>
      <c r="Z483">
        <v>4</v>
      </c>
      <c r="AA483">
        <v>10</v>
      </c>
      <c r="AB483">
        <v>13</v>
      </c>
      <c r="AC483">
        <v>0.43478</v>
      </c>
      <c r="AD483" s="47">
        <v>0</v>
      </c>
      <c r="AE483" s="47">
        <v>0</v>
      </c>
      <c r="AF483" s="47">
        <v>0</v>
      </c>
      <c r="AG483" s="47">
        <v>0</v>
      </c>
      <c r="AH483" s="47">
        <v>0</v>
      </c>
      <c r="AI483" s="47">
        <v>5</v>
      </c>
      <c r="AJ483" s="47">
        <v>0</v>
      </c>
      <c r="AK483" s="47">
        <v>5</v>
      </c>
      <c r="AL483">
        <v>11</v>
      </c>
      <c r="AM483">
        <v>0.3125</v>
      </c>
      <c r="AN483">
        <v>12</v>
      </c>
      <c r="AO483">
        <v>9</v>
      </c>
      <c r="AP483">
        <v>20</v>
      </c>
      <c r="AQ483">
        <v>14</v>
      </c>
      <c r="AR483">
        <v>14</v>
      </c>
      <c r="AS483">
        <v>9</v>
      </c>
      <c r="AT483" t="s">
        <v>20574</v>
      </c>
      <c r="AU483" t="s">
        <v>20575</v>
      </c>
      <c r="AV483">
        <v>6.9000000000000006E-2</v>
      </c>
      <c r="AW483" t="s">
        <v>65</v>
      </c>
      <c r="AX483">
        <v>34</v>
      </c>
      <c r="AY483">
        <v>23</v>
      </c>
      <c r="AZ483" t="s">
        <v>20576</v>
      </c>
      <c r="BA483">
        <v>4.4650000000000002E-2</v>
      </c>
      <c r="BB483">
        <v>-2.9099999999999998E-3</v>
      </c>
      <c r="BC483">
        <v>8.0000000000000002E-3</v>
      </c>
      <c r="BD483">
        <v>-3.3E-4</v>
      </c>
      <c r="BE483">
        <v>0.17926</v>
      </c>
      <c r="BF483">
        <v>1</v>
      </c>
      <c r="BG483" t="s">
        <v>69</v>
      </c>
      <c r="BH483">
        <v>-0.35599999999999998</v>
      </c>
      <c r="BI483">
        <v>-1.2470000000000001</v>
      </c>
    </row>
    <row r="484" spans="3:61">
      <c r="C484">
        <v>0</v>
      </c>
      <c r="D484">
        <v>2</v>
      </c>
      <c r="E484">
        <v>0</v>
      </c>
      <c r="F484" t="s">
        <v>25021</v>
      </c>
      <c r="G484">
        <v>700</v>
      </c>
      <c r="H484" t="s">
        <v>4381</v>
      </c>
      <c r="I484" t="s">
        <v>62</v>
      </c>
      <c r="J484">
        <v>726038</v>
      </c>
      <c r="K484">
        <v>726733</v>
      </c>
      <c r="L484" t="s">
        <v>4382</v>
      </c>
      <c r="M484">
        <v>232</v>
      </c>
      <c r="N484" t="s">
        <v>72</v>
      </c>
      <c r="O484">
        <v>45</v>
      </c>
      <c r="P484" t="str">
        <f>HYPERLINK("Gene700-zp_tree_all.dnd", "Gene700-tree")</f>
        <v>Gene700-tree</v>
      </c>
      <c r="Q484">
        <v>14</v>
      </c>
      <c r="R484">
        <v>1</v>
      </c>
      <c r="S484">
        <v>14</v>
      </c>
      <c r="T484">
        <v>1</v>
      </c>
      <c r="U484">
        <v>6.6669999999999993E-2</v>
      </c>
      <c r="V484" t="s">
        <v>543</v>
      </c>
      <c r="W484" t="s">
        <v>175</v>
      </c>
      <c r="X484" t="s">
        <v>62</v>
      </c>
      <c r="Y484" t="s">
        <v>62</v>
      </c>
      <c r="Z484">
        <v>1</v>
      </c>
      <c r="AA484">
        <v>2</v>
      </c>
      <c r="AB484">
        <v>2</v>
      </c>
      <c r="AC484">
        <v>0.5</v>
      </c>
      <c r="AD484" s="47">
        <v>0</v>
      </c>
      <c r="AE484" s="47">
        <v>0</v>
      </c>
      <c r="AF484" s="47">
        <v>0</v>
      </c>
      <c r="AG484" s="47">
        <v>0</v>
      </c>
      <c r="AH484" s="47">
        <v>0</v>
      </c>
      <c r="AI484" s="47">
        <v>0</v>
      </c>
      <c r="AJ484" s="47">
        <v>0</v>
      </c>
      <c r="AK484" s="47">
        <v>0</v>
      </c>
      <c r="AL484">
        <v>1</v>
      </c>
      <c r="AM484">
        <v>0</v>
      </c>
      <c r="AN484">
        <v>12</v>
      </c>
      <c r="AO484">
        <v>8</v>
      </c>
      <c r="AP484">
        <v>45</v>
      </c>
      <c r="AQ484">
        <v>1</v>
      </c>
      <c r="AR484">
        <v>15</v>
      </c>
      <c r="AS484">
        <v>3</v>
      </c>
      <c r="AT484" t="s">
        <v>4383</v>
      </c>
      <c r="AU484" t="s">
        <v>4384</v>
      </c>
      <c r="AV484">
        <v>0.34399999999999997</v>
      </c>
      <c r="AW484" t="s">
        <v>65</v>
      </c>
      <c r="AX484">
        <v>60</v>
      </c>
      <c r="AY484">
        <v>4</v>
      </c>
      <c r="AZ484" t="s">
        <v>4385</v>
      </c>
      <c r="BA484">
        <v>6.4119999999999996E-2</v>
      </c>
      <c r="BB484">
        <v>-5.4200000000000003E-3</v>
      </c>
      <c r="BC484">
        <v>1.58E-3</v>
      </c>
      <c r="BD484">
        <v>-2.3000000000000001E-4</v>
      </c>
      <c r="BE484">
        <v>2.47E-2</v>
      </c>
      <c r="BF484">
        <v>1</v>
      </c>
      <c r="BG484" t="s">
        <v>69</v>
      </c>
      <c r="BH484">
        <v>-1.3959999999999999</v>
      </c>
      <c r="BI484">
        <v>-2.9710000000000001</v>
      </c>
    </row>
    <row r="485" spans="3:61">
      <c r="C485">
        <v>0</v>
      </c>
      <c r="D485">
        <v>7</v>
      </c>
      <c r="E485">
        <v>2</v>
      </c>
      <c r="F485" t="s">
        <v>25021</v>
      </c>
      <c r="G485">
        <v>3879</v>
      </c>
      <c r="H485" t="s">
        <v>22751</v>
      </c>
      <c r="I485" t="s">
        <v>57</v>
      </c>
      <c r="J485">
        <v>3842294</v>
      </c>
      <c r="K485">
        <v>3842992</v>
      </c>
      <c r="L485" t="s">
        <v>22752</v>
      </c>
      <c r="M485">
        <v>233</v>
      </c>
      <c r="N485" t="s">
        <v>108</v>
      </c>
      <c r="O485">
        <v>44</v>
      </c>
      <c r="P485" t="str">
        <f>HYPERLINK("Gene3879-zp_tree_all.dnd", "Gene3879-tree")</f>
        <v>Gene3879-tree</v>
      </c>
      <c r="Q485">
        <v>3</v>
      </c>
      <c r="R485">
        <v>10</v>
      </c>
      <c r="S485">
        <v>3</v>
      </c>
      <c r="T485">
        <v>10</v>
      </c>
      <c r="U485">
        <v>0.76922999999999997</v>
      </c>
      <c r="V485" t="s">
        <v>324</v>
      </c>
      <c r="W485" t="s">
        <v>117</v>
      </c>
      <c r="X485" t="s">
        <v>62</v>
      </c>
      <c r="Y485" t="s">
        <v>62</v>
      </c>
      <c r="Z485">
        <v>4</v>
      </c>
      <c r="AA485">
        <v>9</v>
      </c>
      <c r="AB485">
        <v>15</v>
      </c>
      <c r="AC485">
        <v>0.375</v>
      </c>
      <c r="AD485" s="47">
        <v>0</v>
      </c>
      <c r="AE485" s="47">
        <v>0</v>
      </c>
      <c r="AF485" s="47">
        <v>0</v>
      </c>
      <c r="AG485" s="47">
        <v>0</v>
      </c>
      <c r="AH485" s="47">
        <v>0</v>
      </c>
      <c r="AI485" s="47">
        <v>3</v>
      </c>
      <c r="AJ485" s="47">
        <v>2</v>
      </c>
      <c r="AK485" s="47">
        <v>5</v>
      </c>
      <c r="AL485">
        <v>13</v>
      </c>
      <c r="AM485">
        <v>0.27778000000000003</v>
      </c>
      <c r="AN485">
        <v>12</v>
      </c>
      <c r="AO485">
        <v>9</v>
      </c>
      <c r="AP485">
        <v>24</v>
      </c>
      <c r="AQ485">
        <v>17</v>
      </c>
      <c r="AR485">
        <v>10</v>
      </c>
      <c r="AS485">
        <v>7</v>
      </c>
      <c r="AT485" t="s">
        <v>22753</v>
      </c>
      <c r="AU485" t="s">
        <v>22754</v>
      </c>
      <c r="AV485">
        <v>1.4999999999999999E-2</v>
      </c>
      <c r="AW485" t="s">
        <v>65</v>
      </c>
      <c r="AX485">
        <v>34</v>
      </c>
      <c r="AY485">
        <v>24</v>
      </c>
      <c r="AZ485" t="s">
        <v>22755</v>
      </c>
      <c r="BA485">
        <v>3.9199999999999999E-2</v>
      </c>
      <c r="BB485">
        <v>-1.47E-3</v>
      </c>
      <c r="BC485">
        <v>8.4100000000000008E-3</v>
      </c>
      <c r="BD485">
        <v>-4.2999999999999999E-4</v>
      </c>
      <c r="BE485">
        <v>0.21451999999999999</v>
      </c>
      <c r="BF485">
        <v>1</v>
      </c>
      <c r="BG485" t="s">
        <v>69</v>
      </c>
      <c r="BH485">
        <v>-0.16400000000000001</v>
      </c>
      <c r="BI485">
        <v>0.126</v>
      </c>
    </row>
    <row r="486" spans="3:61">
      <c r="C486">
        <v>0</v>
      </c>
      <c r="D486">
        <v>0</v>
      </c>
      <c r="E486">
        <v>2</v>
      </c>
      <c r="F486" t="s">
        <v>25021</v>
      </c>
      <c r="G486">
        <v>2041</v>
      </c>
      <c r="H486" t="s">
        <v>12708</v>
      </c>
      <c r="I486" t="s">
        <v>57</v>
      </c>
      <c r="J486">
        <v>2133455</v>
      </c>
      <c r="K486">
        <v>2134153</v>
      </c>
      <c r="L486" t="s">
        <v>12709</v>
      </c>
      <c r="M486">
        <v>233</v>
      </c>
      <c r="N486" t="s">
        <v>108</v>
      </c>
      <c r="O486">
        <v>44</v>
      </c>
      <c r="P486" t="str">
        <f>HYPERLINK("Gene2041-zp_tree_all.dnd", "Gene2041-tree")</f>
        <v>Gene2041-tree</v>
      </c>
      <c r="Q486">
        <v>5</v>
      </c>
      <c r="R486">
        <v>5</v>
      </c>
      <c r="S486">
        <v>5</v>
      </c>
      <c r="T486">
        <v>5</v>
      </c>
      <c r="U486">
        <v>0.5</v>
      </c>
      <c r="V486" t="s">
        <v>199</v>
      </c>
      <c r="W486" t="s">
        <v>199</v>
      </c>
      <c r="X486" t="s">
        <v>62</v>
      </c>
      <c r="Y486" t="s">
        <v>62</v>
      </c>
      <c r="Z486">
        <v>1</v>
      </c>
      <c r="AA486">
        <v>2</v>
      </c>
      <c r="AB486">
        <v>7</v>
      </c>
      <c r="AC486">
        <v>0.22222</v>
      </c>
      <c r="AD486" s="47">
        <v>0</v>
      </c>
      <c r="AE486" s="47">
        <v>0</v>
      </c>
      <c r="AF486" s="47">
        <v>0</v>
      </c>
      <c r="AG486" s="47">
        <v>0</v>
      </c>
      <c r="AH486" s="47">
        <v>0</v>
      </c>
      <c r="AI486" s="47">
        <v>0</v>
      </c>
      <c r="AJ486" s="47">
        <v>0</v>
      </c>
      <c r="AK486" s="47">
        <v>0</v>
      </c>
      <c r="AL486">
        <v>6</v>
      </c>
      <c r="AM486">
        <v>0</v>
      </c>
      <c r="AN486">
        <v>8</v>
      </c>
      <c r="AO486">
        <v>5</v>
      </c>
      <c r="AP486">
        <v>13</v>
      </c>
      <c r="AQ486">
        <v>6</v>
      </c>
      <c r="AR486">
        <v>5</v>
      </c>
      <c r="AS486">
        <v>3</v>
      </c>
      <c r="AT486" t="s">
        <v>12710</v>
      </c>
      <c r="AU486" t="s">
        <v>12711</v>
      </c>
      <c r="AV486">
        <v>0.19900000000000001</v>
      </c>
      <c r="AW486" t="s">
        <v>65</v>
      </c>
      <c r="AX486">
        <v>18</v>
      </c>
      <c r="AY486">
        <v>9</v>
      </c>
      <c r="AZ486" t="s">
        <v>12712</v>
      </c>
      <c r="BA486">
        <v>3.1879999999999999E-2</v>
      </c>
      <c r="BB486">
        <v>-3.14E-3</v>
      </c>
      <c r="BC486">
        <v>4.4799999999999996E-3</v>
      </c>
      <c r="BD486">
        <v>-2.9E-4</v>
      </c>
      <c r="BE486">
        <v>0.14047000000000001</v>
      </c>
      <c r="BF486">
        <v>1</v>
      </c>
      <c r="BG486" t="s">
        <v>69</v>
      </c>
      <c r="BH486">
        <v>-0.73399999999999999</v>
      </c>
      <c r="BI486">
        <v>-1.196</v>
      </c>
    </row>
    <row r="487" spans="3:61">
      <c r="C487">
        <v>0</v>
      </c>
      <c r="D487">
        <v>4</v>
      </c>
      <c r="E487">
        <v>0</v>
      </c>
      <c r="F487" t="s">
        <v>25021</v>
      </c>
      <c r="G487">
        <v>1399</v>
      </c>
      <c r="H487" t="s">
        <v>8756</v>
      </c>
      <c r="I487" t="s">
        <v>62</v>
      </c>
      <c r="J487">
        <v>1414128</v>
      </c>
      <c r="K487">
        <v>1414826</v>
      </c>
      <c r="L487" t="s">
        <v>8757</v>
      </c>
      <c r="M487">
        <v>233</v>
      </c>
      <c r="N487" t="s">
        <v>125</v>
      </c>
      <c r="O487">
        <v>48</v>
      </c>
      <c r="P487" t="str">
        <f>HYPERLINK("Gene1399-zp_tree_all.dnd", "Gene1399-tree")</f>
        <v>Gene1399-tree</v>
      </c>
      <c r="Q487">
        <v>15</v>
      </c>
      <c r="R487">
        <v>4</v>
      </c>
      <c r="S487">
        <v>15</v>
      </c>
      <c r="T487">
        <v>4</v>
      </c>
      <c r="U487">
        <v>0.21052999999999999</v>
      </c>
      <c r="V487" t="s">
        <v>100</v>
      </c>
      <c r="W487" t="s">
        <v>61</v>
      </c>
      <c r="X487" t="s">
        <v>62</v>
      </c>
      <c r="Y487" t="s">
        <v>62</v>
      </c>
      <c r="Z487">
        <v>1</v>
      </c>
      <c r="AA487">
        <v>4</v>
      </c>
      <c r="AB487">
        <v>18</v>
      </c>
      <c r="AC487">
        <v>0.18182000000000001</v>
      </c>
      <c r="AD487" s="47">
        <v>2</v>
      </c>
      <c r="AE487" s="47">
        <v>0</v>
      </c>
      <c r="AF487" s="47">
        <v>2</v>
      </c>
      <c r="AG487" s="47">
        <v>0</v>
      </c>
      <c r="AH487" s="47">
        <v>1</v>
      </c>
      <c r="AI487" s="47">
        <v>0</v>
      </c>
      <c r="AJ487" s="47">
        <v>0</v>
      </c>
      <c r="AK487" s="47">
        <v>0</v>
      </c>
      <c r="AL487">
        <v>6</v>
      </c>
      <c r="AM487">
        <v>0</v>
      </c>
      <c r="AN487">
        <v>12</v>
      </c>
      <c r="AO487">
        <v>12</v>
      </c>
      <c r="AP487">
        <v>18</v>
      </c>
      <c r="AQ487">
        <v>6</v>
      </c>
      <c r="AR487">
        <v>47</v>
      </c>
      <c r="AS487">
        <v>18</v>
      </c>
      <c r="AT487" t="s">
        <v>8758</v>
      </c>
      <c r="AU487" t="s">
        <v>8759</v>
      </c>
      <c r="AV487">
        <v>8.6999999999999994E-2</v>
      </c>
      <c r="AW487" t="s">
        <v>65</v>
      </c>
      <c r="AX487">
        <v>65</v>
      </c>
      <c r="AY487">
        <v>24</v>
      </c>
      <c r="AZ487" t="s">
        <v>8760</v>
      </c>
      <c r="BA487">
        <v>9.0139999999999998E-2</v>
      </c>
      <c r="BB487">
        <v>-5.4299999999999999E-3</v>
      </c>
      <c r="BC487">
        <v>8.8299999999999993E-3</v>
      </c>
      <c r="BD487">
        <v>-6.3000000000000003E-4</v>
      </c>
      <c r="BE487">
        <v>9.7949999999999995E-2</v>
      </c>
      <c r="BF487">
        <v>1</v>
      </c>
      <c r="BG487" t="s">
        <v>69</v>
      </c>
      <c r="BH487">
        <v>-1.252</v>
      </c>
      <c r="BI487">
        <v>0.318</v>
      </c>
    </row>
    <row r="488" spans="3:61">
      <c r="C488">
        <v>0</v>
      </c>
      <c r="D488">
        <v>0</v>
      </c>
      <c r="E488">
        <v>0</v>
      </c>
      <c r="F488" t="s">
        <v>25021</v>
      </c>
      <c r="G488">
        <v>275</v>
      </c>
      <c r="H488" t="s">
        <v>1877</v>
      </c>
      <c r="I488" t="s">
        <v>62</v>
      </c>
      <c r="J488">
        <v>295587</v>
      </c>
      <c r="K488">
        <v>296285</v>
      </c>
      <c r="L488" t="s">
        <v>1878</v>
      </c>
      <c r="M488">
        <v>233</v>
      </c>
      <c r="N488" t="s">
        <v>1879</v>
      </c>
      <c r="O488">
        <v>33</v>
      </c>
      <c r="P488" t="str">
        <f>HYPERLINK("Gene275-zp_tree_all.dnd", "Gene275-tree")</f>
        <v>Gene275-tree</v>
      </c>
      <c r="Q488">
        <v>5</v>
      </c>
      <c r="R488">
        <v>1</v>
      </c>
      <c r="S488">
        <v>5</v>
      </c>
      <c r="T488">
        <v>1</v>
      </c>
      <c r="U488">
        <v>0.16667000000000001</v>
      </c>
      <c r="V488" t="s">
        <v>199</v>
      </c>
      <c r="W488" t="s">
        <v>175</v>
      </c>
      <c r="X488" t="s">
        <v>62</v>
      </c>
      <c r="Y488" t="s">
        <v>62</v>
      </c>
      <c r="Z488">
        <v>0</v>
      </c>
      <c r="AA488">
        <v>0</v>
      </c>
      <c r="AB488">
        <v>2</v>
      </c>
      <c r="AC488">
        <v>0</v>
      </c>
      <c r="AD488" s="47">
        <v>0</v>
      </c>
      <c r="AE488" s="47">
        <v>0</v>
      </c>
      <c r="AF488" s="47">
        <v>0</v>
      </c>
      <c r="AG488" s="47">
        <v>0</v>
      </c>
      <c r="AH488" s="47">
        <v>0</v>
      </c>
      <c r="AI488" s="47">
        <v>0</v>
      </c>
      <c r="AJ488" s="47">
        <v>0</v>
      </c>
      <c r="AK488" s="47">
        <v>0</v>
      </c>
      <c r="AL488">
        <v>2</v>
      </c>
      <c r="AM488">
        <v>0</v>
      </c>
      <c r="AN488">
        <v>5</v>
      </c>
      <c r="AO488">
        <v>2</v>
      </c>
      <c r="AP488">
        <v>10</v>
      </c>
      <c r="AQ488">
        <v>2</v>
      </c>
      <c r="AR488">
        <v>3</v>
      </c>
      <c r="AS488">
        <v>0</v>
      </c>
      <c r="AT488" t="s">
        <v>1880</v>
      </c>
      <c r="AU488" t="s">
        <v>193</v>
      </c>
      <c r="AV488">
        <v>0.50700000000000001</v>
      </c>
      <c r="AW488" t="s">
        <v>65</v>
      </c>
      <c r="AX488">
        <v>13</v>
      </c>
      <c r="AY488">
        <v>2</v>
      </c>
      <c r="AZ488" t="s">
        <v>1881</v>
      </c>
      <c r="BA488">
        <v>3.0849999999999999E-2</v>
      </c>
      <c r="BB488">
        <v>-3.1700000000000001E-3</v>
      </c>
      <c r="BC488">
        <v>1.24E-3</v>
      </c>
      <c r="BD488">
        <v>-3.6999999999999999E-4</v>
      </c>
      <c r="BE488">
        <v>4.0149999999999998E-2</v>
      </c>
      <c r="BF488">
        <v>1</v>
      </c>
      <c r="BG488" t="s">
        <v>69</v>
      </c>
      <c r="BH488">
        <v>-0.23200000000000001</v>
      </c>
      <c r="BI488">
        <v>-1.048</v>
      </c>
    </row>
    <row r="489" spans="3:61">
      <c r="C489">
        <v>0</v>
      </c>
      <c r="D489">
        <v>2</v>
      </c>
      <c r="E489">
        <v>0</v>
      </c>
      <c r="F489" t="s">
        <v>25021</v>
      </c>
      <c r="G489">
        <v>363</v>
      </c>
      <c r="H489" t="s">
        <v>2462</v>
      </c>
      <c r="I489" t="s">
        <v>62</v>
      </c>
      <c r="J489">
        <v>409968</v>
      </c>
      <c r="K489">
        <v>410669</v>
      </c>
      <c r="L489" t="s">
        <v>2463</v>
      </c>
      <c r="M489">
        <v>234</v>
      </c>
      <c r="N489" t="s">
        <v>59</v>
      </c>
      <c r="O489">
        <v>49</v>
      </c>
      <c r="P489" t="str">
        <f>HYPERLINK("Gene363-zp_tree_all.dnd", "Gene363-tree")</f>
        <v>Gene363-tree</v>
      </c>
      <c r="Q489">
        <v>33</v>
      </c>
      <c r="R489">
        <v>2</v>
      </c>
      <c r="S489">
        <v>12</v>
      </c>
      <c r="T489">
        <v>2</v>
      </c>
      <c r="U489">
        <v>0.14285999999999999</v>
      </c>
      <c r="V489" t="s">
        <v>705</v>
      </c>
      <c r="W489" t="s">
        <v>81</v>
      </c>
      <c r="X489" t="s">
        <v>62</v>
      </c>
      <c r="Y489" t="s">
        <v>62</v>
      </c>
      <c r="Z489">
        <v>1</v>
      </c>
      <c r="AA489">
        <v>2</v>
      </c>
      <c r="AB489">
        <v>5</v>
      </c>
      <c r="AC489">
        <v>0.28571000000000002</v>
      </c>
      <c r="AD489" s="47">
        <v>0</v>
      </c>
      <c r="AE489" s="47">
        <v>0</v>
      </c>
      <c r="AF489" s="47">
        <v>0</v>
      </c>
      <c r="AG489" s="47">
        <v>0</v>
      </c>
      <c r="AH489" s="47">
        <v>0</v>
      </c>
      <c r="AI489" s="47">
        <v>2</v>
      </c>
      <c r="AJ489" s="47">
        <v>0</v>
      </c>
      <c r="AK489" s="47">
        <v>2</v>
      </c>
      <c r="AL489">
        <v>1</v>
      </c>
      <c r="AM489">
        <v>0.66666999999999998</v>
      </c>
      <c r="AN489">
        <v>12</v>
      </c>
      <c r="AO489">
        <v>6</v>
      </c>
      <c r="AP489">
        <v>23</v>
      </c>
      <c r="AQ489">
        <v>3</v>
      </c>
      <c r="AR489">
        <v>21</v>
      </c>
      <c r="AS489">
        <v>4</v>
      </c>
      <c r="AT489" t="s">
        <v>2464</v>
      </c>
      <c r="AU489" t="s">
        <v>2465</v>
      </c>
      <c r="AV489">
        <v>0.218</v>
      </c>
      <c r="AW489" t="s">
        <v>65</v>
      </c>
      <c r="AX489">
        <v>44</v>
      </c>
      <c r="AY489">
        <v>7</v>
      </c>
      <c r="AZ489" t="s">
        <v>2466</v>
      </c>
      <c r="BA489">
        <v>6.019E-2</v>
      </c>
      <c r="BB489">
        <v>-4.0299999999999997E-3</v>
      </c>
      <c r="BC489">
        <v>3.0200000000000001E-3</v>
      </c>
      <c r="BD489">
        <v>-2.7E-4</v>
      </c>
      <c r="BE489">
        <v>5.0229999999999997E-2</v>
      </c>
      <c r="BF489">
        <v>1</v>
      </c>
      <c r="BG489" t="s">
        <v>69</v>
      </c>
      <c r="BH489">
        <v>-1.6339999999999999</v>
      </c>
      <c r="BI489">
        <v>-1.8120000000000001</v>
      </c>
    </row>
    <row r="490" spans="3:61">
      <c r="C490">
        <v>0</v>
      </c>
      <c r="D490">
        <v>6</v>
      </c>
      <c r="E490">
        <v>0</v>
      </c>
      <c r="F490" t="s">
        <v>25021</v>
      </c>
      <c r="G490">
        <v>770</v>
      </c>
      <c r="H490" t="s">
        <v>4783</v>
      </c>
      <c r="I490" t="s">
        <v>62</v>
      </c>
      <c r="J490">
        <v>804660</v>
      </c>
      <c r="K490">
        <v>805364</v>
      </c>
      <c r="L490" t="s">
        <v>4784</v>
      </c>
      <c r="M490">
        <v>235</v>
      </c>
      <c r="N490" t="s">
        <v>108</v>
      </c>
      <c r="O490">
        <v>44</v>
      </c>
      <c r="P490" t="str">
        <f>HYPERLINK("Gene770-zp_tree_all.dnd", "Gene770-tree")</f>
        <v>Gene770-tree</v>
      </c>
      <c r="Q490">
        <v>1</v>
      </c>
      <c r="R490">
        <v>11</v>
      </c>
      <c r="S490">
        <v>1</v>
      </c>
      <c r="T490">
        <v>11</v>
      </c>
      <c r="U490">
        <v>0.91666999999999998</v>
      </c>
      <c r="V490" t="s">
        <v>175</v>
      </c>
      <c r="W490" t="s">
        <v>73</v>
      </c>
      <c r="X490">
        <v>1144612630.289</v>
      </c>
      <c r="Y490" t="s">
        <v>267</v>
      </c>
      <c r="Z490">
        <v>3</v>
      </c>
      <c r="AA490">
        <v>6</v>
      </c>
      <c r="AB490">
        <v>15</v>
      </c>
      <c r="AC490">
        <v>0.28571000000000002</v>
      </c>
      <c r="AD490" s="47">
        <v>0</v>
      </c>
      <c r="AE490" s="47">
        <v>0</v>
      </c>
      <c r="AF490" s="47">
        <v>0</v>
      </c>
      <c r="AG490" s="47">
        <v>0</v>
      </c>
      <c r="AH490" s="47">
        <v>0</v>
      </c>
      <c r="AI490" s="47">
        <v>4</v>
      </c>
      <c r="AJ490" s="47">
        <v>0</v>
      </c>
      <c r="AK490" s="47">
        <v>4</v>
      </c>
      <c r="AL490">
        <v>16</v>
      </c>
      <c r="AM490">
        <v>0.2</v>
      </c>
      <c r="AN490">
        <v>10</v>
      </c>
      <c r="AO490">
        <v>6</v>
      </c>
      <c r="AP490">
        <v>26</v>
      </c>
      <c r="AQ490">
        <v>17</v>
      </c>
      <c r="AR490">
        <v>14</v>
      </c>
      <c r="AS490">
        <v>4</v>
      </c>
      <c r="AT490" t="s">
        <v>4785</v>
      </c>
      <c r="AU490" t="s">
        <v>4786</v>
      </c>
      <c r="AV490">
        <v>1.0629999999999999</v>
      </c>
      <c r="AW490" t="s">
        <v>65</v>
      </c>
      <c r="AX490">
        <v>40</v>
      </c>
      <c r="AY490">
        <v>21</v>
      </c>
      <c r="AZ490" t="s">
        <v>4787</v>
      </c>
      <c r="BA490">
        <v>5.457E-2</v>
      </c>
      <c r="BB490">
        <v>-3.5200000000000001E-3</v>
      </c>
      <c r="BC490">
        <v>7.3400000000000002E-3</v>
      </c>
      <c r="BD490">
        <v>-3.5E-4</v>
      </c>
      <c r="BE490">
        <v>0.13453999999999999</v>
      </c>
      <c r="BF490">
        <v>1</v>
      </c>
      <c r="BG490" t="s">
        <v>69</v>
      </c>
      <c r="BH490">
        <v>-0.74099999999999999</v>
      </c>
      <c r="BI490">
        <v>-2.161</v>
      </c>
    </row>
    <row r="491" spans="3:61">
      <c r="C491">
        <v>0</v>
      </c>
      <c r="D491">
        <v>4</v>
      </c>
      <c r="E491">
        <v>0</v>
      </c>
      <c r="F491" t="s">
        <v>25021</v>
      </c>
      <c r="G491">
        <v>2791</v>
      </c>
      <c r="H491" t="s">
        <v>16009</v>
      </c>
      <c r="I491" t="s">
        <v>57</v>
      </c>
      <c r="J491">
        <v>2739486</v>
      </c>
      <c r="K491">
        <v>2740190</v>
      </c>
      <c r="L491" t="s">
        <v>1523</v>
      </c>
      <c r="M491">
        <v>235</v>
      </c>
      <c r="N491" t="s">
        <v>5762</v>
      </c>
      <c r="O491">
        <v>43</v>
      </c>
      <c r="P491" t="str">
        <f>HYPERLINK("Gene2791-zp_tree_all.dnd", "Gene2791-tree")</f>
        <v>Gene2791-tree</v>
      </c>
      <c r="Q491">
        <v>7</v>
      </c>
      <c r="R491">
        <v>6</v>
      </c>
      <c r="S491">
        <v>7</v>
      </c>
      <c r="T491">
        <v>6</v>
      </c>
      <c r="U491">
        <v>0.46154000000000001</v>
      </c>
      <c r="V491" t="s">
        <v>152</v>
      </c>
      <c r="W491" t="s">
        <v>90</v>
      </c>
      <c r="X491" t="s">
        <v>62</v>
      </c>
      <c r="Y491" t="s">
        <v>62</v>
      </c>
      <c r="Z491">
        <v>2</v>
      </c>
      <c r="AA491">
        <v>4</v>
      </c>
      <c r="AB491">
        <v>7</v>
      </c>
      <c r="AC491">
        <v>0.36364000000000002</v>
      </c>
      <c r="AD491" s="47">
        <v>0</v>
      </c>
      <c r="AE491" s="47">
        <v>0</v>
      </c>
      <c r="AF491" s="47">
        <v>0</v>
      </c>
      <c r="AG491" s="47">
        <v>0</v>
      </c>
      <c r="AH491" s="47">
        <v>0</v>
      </c>
      <c r="AI491" s="47">
        <v>2</v>
      </c>
      <c r="AJ491" s="47">
        <v>0</v>
      </c>
      <c r="AK491" s="47">
        <v>2</v>
      </c>
      <c r="AL491">
        <v>5</v>
      </c>
      <c r="AM491">
        <v>0.28571000000000002</v>
      </c>
      <c r="AN491">
        <v>11</v>
      </c>
      <c r="AO491">
        <v>10</v>
      </c>
      <c r="AP491">
        <v>39</v>
      </c>
      <c r="AQ491">
        <v>7</v>
      </c>
      <c r="AR491">
        <v>33</v>
      </c>
      <c r="AS491">
        <v>4</v>
      </c>
      <c r="AT491" t="s">
        <v>16010</v>
      </c>
      <c r="AU491" t="s">
        <v>16011</v>
      </c>
      <c r="AV491">
        <v>0.25800000000000001</v>
      </c>
      <c r="AW491" t="s">
        <v>65</v>
      </c>
      <c r="AX491">
        <v>72</v>
      </c>
      <c r="AY491">
        <v>11</v>
      </c>
      <c r="AZ491" t="s">
        <v>16012</v>
      </c>
      <c r="BA491">
        <v>8.7830000000000005E-2</v>
      </c>
      <c r="BB491">
        <v>-3.2399999999999998E-3</v>
      </c>
      <c r="BC491">
        <v>5.1799999999999997E-3</v>
      </c>
      <c r="BD491">
        <v>-4.0000000000000002E-4</v>
      </c>
      <c r="BE491">
        <v>5.8990000000000001E-2</v>
      </c>
      <c r="BF491">
        <v>1</v>
      </c>
      <c r="BG491" t="s">
        <v>69</v>
      </c>
      <c r="BH491">
        <v>0.47199999999999998</v>
      </c>
      <c r="BI491">
        <v>0.90700000000000003</v>
      </c>
    </row>
    <row r="492" spans="3:61">
      <c r="C492">
        <v>0</v>
      </c>
      <c r="D492">
        <v>0</v>
      </c>
      <c r="E492">
        <v>0</v>
      </c>
      <c r="F492" t="s">
        <v>25021</v>
      </c>
      <c r="G492">
        <v>3272</v>
      </c>
      <c r="H492" t="s">
        <v>19087</v>
      </c>
      <c r="I492" t="s">
        <v>57</v>
      </c>
      <c r="J492">
        <v>3238751</v>
      </c>
      <c r="K492">
        <v>3239455</v>
      </c>
      <c r="L492" t="s">
        <v>19088</v>
      </c>
      <c r="M492">
        <v>235</v>
      </c>
      <c r="N492" t="s">
        <v>289</v>
      </c>
      <c r="O492">
        <v>46</v>
      </c>
      <c r="P492" t="str">
        <f>HYPERLINK("Gene3272-zp_tree_all.dnd", "Gene3272-tree")</f>
        <v>Gene3272-tree</v>
      </c>
      <c r="Q492">
        <v>13</v>
      </c>
      <c r="R492">
        <v>2</v>
      </c>
      <c r="S492">
        <v>13</v>
      </c>
      <c r="T492">
        <v>2</v>
      </c>
      <c r="U492">
        <v>0.13333</v>
      </c>
      <c r="V492" t="s">
        <v>507</v>
      </c>
      <c r="W492" t="s">
        <v>81</v>
      </c>
      <c r="X492" t="s">
        <v>62</v>
      </c>
      <c r="Y492" t="s">
        <v>62</v>
      </c>
      <c r="Z492">
        <v>0</v>
      </c>
      <c r="AA492">
        <v>0</v>
      </c>
      <c r="AB492">
        <v>8</v>
      </c>
      <c r="AC492">
        <v>0</v>
      </c>
      <c r="AD492" s="47">
        <v>0</v>
      </c>
      <c r="AE492" s="47">
        <v>0</v>
      </c>
      <c r="AF492" s="47">
        <v>0</v>
      </c>
      <c r="AG492" s="47">
        <v>5</v>
      </c>
      <c r="AH492" s="47">
        <v>0</v>
      </c>
      <c r="AI492" s="47">
        <v>0</v>
      </c>
      <c r="AJ492" s="47">
        <v>0</v>
      </c>
      <c r="AK492" s="47">
        <v>0</v>
      </c>
      <c r="AL492">
        <v>3</v>
      </c>
      <c r="AM492">
        <v>0</v>
      </c>
      <c r="AN492">
        <v>11</v>
      </c>
      <c r="AO492">
        <v>8</v>
      </c>
      <c r="AP492">
        <v>17</v>
      </c>
      <c r="AQ492">
        <v>3</v>
      </c>
      <c r="AR492">
        <v>31</v>
      </c>
      <c r="AS492">
        <v>5</v>
      </c>
      <c r="AT492" t="s">
        <v>19089</v>
      </c>
      <c r="AU492" t="s">
        <v>19090</v>
      </c>
      <c r="AV492">
        <v>0.04</v>
      </c>
      <c r="AW492" t="s">
        <v>65</v>
      </c>
      <c r="AX492">
        <v>48</v>
      </c>
      <c r="AY492">
        <v>8</v>
      </c>
      <c r="AZ492" t="s">
        <v>19091</v>
      </c>
      <c r="BA492">
        <v>6.9129999999999997E-2</v>
      </c>
      <c r="BB492">
        <v>-6.8100000000000001E-3</v>
      </c>
      <c r="BC492">
        <v>3.0100000000000001E-3</v>
      </c>
      <c r="BD492">
        <v>-3.8999999999999999E-4</v>
      </c>
      <c r="BE492">
        <v>4.3569999999999998E-2</v>
      </c>
      <c r="BF492">
        <v>1</v>
      </c>
      <c r="BG492" t="s">
        <v>69</v>
      </c>
      <c r="BH492">
        <v>-1.01</v>
      </c>
      <c r="BI492">
        <v>0.16500000000000001</v>
      </c>
    </row>
    <row r="493" spans="3:61">
      <c r="C493">
        <v>0</v>
      </c>
      <c r="D493">
        <v>5</v>
      </c>
      <c r="E493">
        <v>0</v>
      </c>
      <c r="F493" t="s">
        <v>25021</v>
      </c>
      <c r="G493">
        <v>591</v>
      </c>
      <c r="H493" t="s">
        <v>3804</v>
      </c>
      <c r="I493" t="s">
        <v>62</v>
      </c>
      <c r="J493">
        <v>619324</v>
      </c>
      <c r="K493">
        <v>620031</v>
      </c>
      <c r="L493" t="s">
        <v>3805</v>
      </c>
      <c r="M493">
        <v>236</v>
      </c>
      <c r="N493" t="s">
        <v>108</v>
      </c>
      <c r="O493">
        <v>44</v>
      </c>
      <c r="P493" t="str">
        <f>HYPERLINK("Gene591-zp_tree_all.dnd", "Gene591-tree")</f>
        <v>Gene591-tree</v>
      </c>
      <c r="Q493">
        <v>4</v>
      </c>
      <c r="R493">
        <v>8</v>
      </c>
      <c r="S493">
        <v>4</v>
      </c>
      <c r="T493">
        <v>8</v>
      </c>
      <c r="U493">
        <v>0.66666999999999998</v>
      </c>
      <c r="V493" t="s">
        <v>61</v>
      </c>
      <c r="W493" t="s">
        <v>136</v>
      </c>
      <c r="X493" t="s">
        <v>62</v>
      </c>
      <c r="Y493" t="s">
        <v>62</v>
      </c>
      <c r="Z493">
        <v>2</v>
      </c>
      <c r="AA493">
        <v>5</v>
      </c>
      <c r="AB493">
        <v>13</v>
      </c>
      <c r="AC493">
        <v>0.27778000000000003</v>
      </c>
      <c r="AD493" s="47">
        <v>0</v>
      </c>
      <c r="AE493" s="47">
        <v>0</v>
      </c>
      <c r="AF493" s="47">
        <v>0</v>
      </c>
      <c r="AG493" s="47">
        <v>1</v>
      </c>
      <c r="AH493" s="47">
        <v>0</v>
      </c>
      <c r="AI493" s="47">
        <v>2</v>
      </c>
      <c r="AJ493" s="47">
        <v>0</v>
      </c>
      <c r="AK493" s="47">
        <v>2</v>
      </c>
      <c r="AL493">
        <v>11</v>
      </c>
      <c r="AM493">
        <v>0.15384999999999999</v>
      </c>
      <c r="AN493">
        <v>10</v>
      </c>
      <c r="AO493">
        <v>8</v>
      </c>
      <c r="AP493">
        <v>15</v>
      </c>
      <c r="AQ493">
        <v>11</v>
      </c>
      <c r="AR493">
        <v>10</v>
      </c>
      <c r="AS493">
        <v>7</v>
      </c>
      <c r="AT493" t="s">
        <v>3806</v>
      </c>
      <c r="AU493" t="s">
        <v>3807</v>
      </c>
      <c r="AV493">
        <v>6.8000000000000005E-2</v>
      </c>
      <c r="AW493" t="s">
        <v>65</v>
      </c>
      <c r="AX493">
        <v>25</v>
      </c>
      <c r="AY493">
        <v>18</v>
      </c>
      <c r="AZ493" t="s">
        <v>3808</v>
      </c>
      <c r="BA493">
        <v>3.8870000000000002E-2</v>
      </c>
      <c r="BB493">
        <v>-2.1199999999999999E-3</v>
      </c>
      <c r="BC493">
        <v>7.1700000000000002E-3</v>
      </c>
      <c r="BD493">
        <v>-4.2999999999999999E-4</v>
      </c>
      <c r="BE493">
        <v>0.18451000000000001</v>
      </c>
      <c r="BF493">
        <v>1</v>
      </c>
      <c r="BG493" t="s">
        <v>69</v>
      </c>
      <c r="BH493">
        <v>-0.59199999999999997</v>
      </c>
      <c r="BI493">
        <v>-0.84699999999999998</v>
      </c>
    </row>
    <row r="494" spans="3:61">
      <c r="C494">
        <v>0</v>
      </c>
      <c r="D494">
        <v>6</v>
      </c>
      <c r="E494">
        <v>2</v>
      </c>
      <c r="F494" t="s">
        <v>25021</v>
      </c>
      <c r="G494">
        <v>1128</v>
      </c>
      <c r="H494" t="s">
        <v>7092</v>
      </c>
      <c r="I494" t="s">
        <v>62</v>
      </c>
      <c r="J494">
        <v>1171758</v>
      </c>
      <c r="K494">
        <v>1172465</v>
      </c>
      <c r="L494" t="s">
        <v>7093</v>
      </c>
      <c r="M494">
        <v>236</v>
      </c>
      <c r="N494" t="s">
        <v>2289</v>
      </c>
      <c r="O494">
        <v>37</v>
      </c>
      <c r="P494" t="str">
        <f>HYPERLINK("Gene1128-zp_tree_all.dnd", "Gene1128-tree")</f>
        <v>Gene1128-tree</v>
      </c>
      <c r="Q494">
        <v>6</v>
      </c>
      <c r="R494">
        <v>10</v>
      </c>
      <c r="S494">
        <v>6</v>
      </c>
      <c r="T494">
        <v>10</v>
      </c>
      <c r="U494">
        <v>0.625</v>
      </c>
      <c r="V494" t="s">
        <v>90</v>
      </c>
      <c r="W494" t="s">
        <v>117</v>
      </c>
      <c r="X494" t="s">
        <v>62</v>
      </c>
      <c r="Y494" t="s">
        <v>62</v>
      </c>
      <c r="Z494">
        <v>4</v>
      </c>
      <c r="AA494">
        <v>8</v>
      </c>
      <c r="AB494">
        <v>13</v>
      </c>
      <c r="AC494">
        <v>0.38095000000000001</v>
      </c>
      <c r="AD494" s="47">
        <v>0</v>
      </c>
      <c r="AE494" s="47">
        <v>0</v>
      </c>
      <c r="AF494" s="47">
        <v>0</v>
      </c>
      <c r="AG494" s="47">
        <v>0</v>
      </c>
      <c r="AH494" s="47">
        <v>0</v>
      </c>
      <c r="AI494" s="47">
        <v>2</v>
      </c>
      <c r="AJ494" s="47">
        <v>0</v>
      </c>
      <c r="AK494" s="47">
        <v>2</v>
      </c>
      <c r="AL494">
        <v>15</v>
      </c>
      <c r="AM494">
        <v>0.11765</v>
      </c>
      <c r="AN494">
        <v>12</v>
      </c>
      <c r="AO494">
        <v>10</v>
      </c>
      <c r="AP494">
        <v>17</v>
      </c>
      <c r="AQ494">
        <v>13</v>
      </c>
      <c r="AR494">
        <v>20</v>
      </c>
      <c r="AS494">
        <v>8</v>
      </c>
      <c r="AT494" t="s">
        <v>7094</v>
      </c>
      <c r="AU494" t="s">
        <v>7095</v>
      </c>
      <c r="AV494">
        <v>0.91900000000000004</v>
      </c>
      <c r="AW494" t="s">
        <v>65</v>
      </c>
      <c r="AX494">
        <v>37</v>
      </c>
      <c r="AY494">
        <v>21</v>
      </c>
      <c r="AZ494" t="s">
        <v>7096</v>
      </c>
      <c r="BA494">
        <v>4.8430000000000001E-2</v>
      </c>
      <c r="BB494">
        <v>-1.49E-3</v>
      </c>
      <c r="BC494">
        <v>7.3299999999999997E-3</v>
      </c>
      <c r="BD494">
        <v>-3.6000000000000002E-4</v>
      </c>
      <c r="BE494">
        <v>0.15131</v>
      </c>
      <c r="BF494">
        <v>1</v>
      </c>
      <c r="BG494" t="s">
        <v>69</v>
      </c>
      <c r="BH494">
        <v>-0.48299999999999998</v>
      </c>
      <c r="BI494">
        <v>-0.53200000000000003</v>
      </c>
    </row>
    <row r="495" spans="3:61">
      <c r="C495">
        <v>0</v>
      </c>
      <c r="D495">
        <v>15</v>
      </c>
      <c r="E495">
        <v>3</v>
      </c>
      <c r="F495" t="s">
        <v>25021</v>
      </c>
      <c r="G495">
        <v>4155</v>
      </c>
      <c r="H495" t="s">
        <v>24465</v>
      </c>
      <c r="I495" t="s">
        <v>57</v>
      </c>
      <c r="J495">
        <v>4123193</v>
      </c>
      <c r="K495">
        <v>4123900</v>
      </c>
      <c r="L495" t="s">
        <v>3784</v>
      </c>
      <c r="M495">
        <v>236</v>
      </c>
      <c r="N495" t="s">
        <v>11485</v>
      </c>
      <c r="O495">
        <v>43</v>
      </c>
      <c r="P495" t="str">
        <f>HYPERLINK("Gene4155-zp_tree_all.dnd", "Gene4155-tree")</f>
        <v>Gene4155-tree</v>
      </c>
      <c r="Q495">
        <v>3</v>
      </c>
      <c r="R495">
        <v>12</v>
      </c>
      <c r="S495">
        <v>3</v>
      </c>
      <c r="T495">
        <v>12</v>
      </c>
      <c r="U495">
        <v>0.8</v>
      </c>
      <c r="V495" t="s">
        <v>324</v>
      </c>
      <c r="W495" t="s">
        <v>109</v>
      </c>
      <c r="X495" t="s">
        <v>62</v>
      </c>
      <c r="Y495" t="s">
        <v>62</v>
      </c>
      <c r="Z495">
        <v>6</v>
      </c>
      <c r="AA495">
        <v>18</v>
      </c>
      <c r="AB495">
        <v>9</v>
      </c>
      <c r="AC495">
        <v>0.66666999999999998</v>
      </c>
      <c r="AD495" s="47">
        <v>0</v>
      </c>
      <c r="AE495" s="47">
        <v>0</v>
      </c>
      <c r="AF495" s="47">
        <v>0</v>
      </c>
      <c r="AG495" s="47">
        <v>0</v>
      </c>
      <c r="AH495" s="47">
        <v>0</v>
      </c>
      <c r="AI495" s="47">
        <v>7</v>
      </c>
      <c r="AJ495" s="47">
        <v>3</v>
      </c>
      <c r="AK495" s="47">
        <v>10</v>
      </c>
      <c r="AL495">
        <v>9</v>
      </c>
      <c r="AM495">
        <v>0.52632000000000001</v>
      </c>
      <c r="AN495">
        <v>13</v>
      </c>
      <c r="AO495">
        <v>11</v>
      </c>
      <c r="AP495">
        <v>52</v>
      </c>
      <c r="AQ495">
        <v>18</v>
      </c>
      <c r="AR495">
        <v>19</v>
      </c>
      <c r="AS495">
        <v>9</v>
      </c>
      <c r="AT495" t="s">
        <v>24466</v>
      </c>
      <c r="AU495" t="s">
        <v>24467</v>
      </c>
      <c r="AV495">
        <v>0.371</v>
      </c>
      <c r="AW495" t="s">
        <v>65</v>
      </c>
      <c r="AX495">
        <v>71</v>
      </c>
      <c r="AY495">
        <v>27</v>
      </c>
      <c r="AZ495" t="s">
        <v>24468</v>
      </c>
      <c r="BA495">
        <v>7.5660000000000005E-2</v>
      </c>
      <c r="BB495">
        <v>-3.47E-3</v>
      </c>
      <c r="BC495">
        <v>8.3800000000000003E-3</v>
      </c>
      <c r="BD495">
        <v>-4.4999999999999999E-4</v>
      </c>
      <c r="BE495">
        <v>0.1108</v>
      </c>
      <c r="BF495">
        <v>1</v>
      </c>
      <c r="BG495" t="s">
        <v>69</v>
      </c>
      <c r="BH495">
        <v>-0.51800000000000002</v>
      </c>
      <c r="BI495">
        <v>-1.581</v>
      </c>
    </row>
    <row r="496" spans="3:61">
      <c r="C496">
        <v>0</v>
      </c>
      <c r="D496">
        <v>0</v>
      </c>
      <c r="E496">
        <v>0</v>
      </c>
      <c r="F496" t="s">
        <v>25021</v>
      </c>
      <c r="G496">
        <v>2207</v>
      </c>
      <c r="H496" t="s">
        <v>13006</v>
      </c>
      <c r="I496" t="s">
        <v>57</v>
      </c>
      <c r="J496">
        <v>2239586</v>
      </c>
      <c r="K496">
        <v>2240293</v>
      </c>
      <c r="L496" t="s">
        <v>12900</v>
      </c>
      <c r="M496">
        <v>236</v>
      </c>
      <c r="N496" t="s">
        <v>12873</v>
      </c>
      <c r="O496">
        <v>18</v>
      </c>
      <c r="P496" t="str">
        <f>HYPERLINK("Gene2207-zp_tree_all.dnd", "Gene2207-tree")</f>
        <v>Gene2207-tree</v>
      </c>
      <c r="Q496">
        <v>17</v>
      </c>
      <c r="R496">
        <v>1</v>
      </c>
      <c r="S496">
        <v>4</v>
      </c>
      <c r="T496">
        <v>1</v>
      </c>
      <c r="U496">
        <v>0.2</v>
      </c>
      <c r="V496" t="s">
        <v>12884</v>
      </c>
      <c r="W496" t="s">
        <v>175</v>
      </c>
      <c r="X496" t="s">
        <v>62</v>
      </c>
      <c r="Y496" t="s">
        <v>62</v>
      </c>
      <c r="Z496">
        <v>0</v>
      </c>
      <c r="AA496">
        <v>0</v>
      </c>
      <c r="AB496">
        <v>1</v>
      </c>
      <c r="AC496">
        <v>0</v>
      </c>
      <c r="AD496" s="47">
        <v>0</v>
      </c>
      <c r="AE496" s="47">
        <v>0</v>
      </c>
      <c r="AF496" s="47">
        <v>0</v>
      </c>
      <c r="AG496" s="47">
        <v>0</v>
      </c>
      <c r="AH496" s="47">
        <v>0</v>
      </c>
      <c r="AI496" s="47">
        <v>0</v>
      </c>
      <c r="AJ496" s="47">
        <v>0</v>
      </c>
      <c r="AK496" s="47">
        <v>0</v>
      </c>
      <c r="AL496">
        <v>1</v>
      </c>
      <c r="AM496">
        <v>0</v>
      </c>
      <c r="AN496">
        <v>3</v>
      </c>
      <c r="AO496">
        <v>2</v>
      </c>
      <c r="AP496">
        <v>14</v>
      </c>
      <c r="AQ496">
        <v>1</v>
      </c>
      <c r="AR496">
        <v>5</v>
      </c>
      <c r="AS496">
        <v>0</v>
      </c>
      <c r="AT496" t="s">
        <v>13007</v>
      </c>
      <c r="AU496" t="s">
        <v>193</v>
      </c>
      <c r="AV496">
        <v>0.68799999999999994</v>
      </c>
      <c r="AW496" t="s">
        <v>65</v>
      </c>
      <c r="AX496">
        <v>19</v>
      </c>
      <c r="AY496">
        <v>1</v>
      </c>
      <c r="AZ496" t="s">
        <v>13008</v>
      </c>
      <c r="BA496">
        <v>5.5190000000000003E-2</v>
      </c>
      <c r="BB496">
        <v>-7.8499999999999993E-3</v>
      </c>
      <c r="BC496">
        <v>7.1000000000000002E-4</v>
      </c>
      <c r="BD496">
        <v>-2.7E-4</v>
      </c>
      <c r="BE496">
        <v>1.286E-2</v>
      </c>
      <c r="BF496">
        <v>1</v>
      </c>
      <c r="BG496" t="s">
        <v>69</v>
      </c>
      <c r="BH496">
        <v>-1.506</v>
      </c>
      <c r="BI496">
        <v>-2.194</v>
      </c>
    </row>
    <row r="497" spans="3:61">
      <c r="C497">
        <v>0</v>
      </c>
      <c r="D497">
        <v>10</v>
      </c>
      <c r="E497">
        <v>0</v>
      </c>
      <c r="F497" t="s">
        <v>25021</v>
      </c>
      <c r="G497">
        <v>3866</v>
      </c>
      <c r="H497" t="s">
        <v>22673</v>
      </c>
      <c r="I497" t="s">
        <v>57</v>
      </c>
      <c r="J497">
        <v>3830761</v>
      </c>
      <c r="K497">
        <v>3831477</v>
      </c>
      <c r="L497" t="s">
        <v>3095</v>
      </c>
      <c r="M497">
        <v>239</v>
      </c>
      <c r="N497" t="s">
        <v>1174</v>
      </c>
      <c r="O497">
        <v>42</v>
      </c>
      <c r="P497" t="str">
        <f>HYPERLINK("Gene3866-zp_tree_all.dnd", "Gene3866-tree")</f>
        <v>Gene3866-tree</v>
      </c>
      <c r="Q497">
        <v>6</v>
      </c>
      <c r="R497">
        <v>8</v>
      </c>
      <c r="S497">
        <v>6</v>
      </c>
      <c r="T497">
        <v>8</v>
      </c>
      <c r="U497">
        <v>0.57142999999999999</v>
      </c>
      <c r="V497" t="s">
        <v>90</v>
      </c>
      <c r="W497" t="s">
        <v>136</v>
      </c>
      <c r="X497" t="s">
        <v>62</v>
      </c>
      <c r="Y497" t="s">
        <v>62</v>
      </c>
      <c r="Z497">
        <v>4</v>
      </c>
      <c r="AA497">
        <v>10</v>
      </c>
      <c r="AB497">
        <v>7</v>
      </c>
      <c r="AC497">
        <v>0.58823999999999999</v>
      </c>
      <c r="AD497" s="47">
        <v>0</v>
      </c>
      <c r="AE497" s="47">
        <v>0</v>
      </c>
      <c r="AF497" s="47">
        <v>0</v>
      </c>
      <c r="AG497" s="47">
        <v>0</v>
      </c>
      <c r="AH497" s="47">
        <v>0</v>
      </c>
      <c r="AI497" s="47">
        <v>5</v>
      </c>
      <c r="AJ497" s="47">
        <v>0</v>
      </c>
      <c r="AK497" s="47">
        <v>5</v>
      </c>
      <c r="AL497">
        <v>7</v>
      </c>
      <c r="AM497">
        <v>0.41666999999999998</v>
      </c>
      <c r="AN497">
        <v>11</v>
      </c>
      <c r="AO497">
        <v>10</v>
      </c>
      <c r="AP497">
        <v>14</v>
      </c>
      <c r="AQ497">
        <v>9</v>
      </c>
      <c r="AR497">
        <v>18</v>
      </c>
      <c r="AS497">
        <v>8</v>
      </c>
      <c r="AT497" t="s">
        <v>22674</v>
      </c>
      <c r="AU497" t="s">
        <v>22675</v>
      </c>
      <c r="AV497">
        <v>0.56899999999999995</v>
      </c>
      <c r="AW497" t="s">
        <v>65</v>
      </c>
      <c r="AX497">
        <v>32</v>
      </c>
      <c r="AY497">
        <v>17</v>
      </c>
      <c r="AZ497" t="s">
        <v>22676</v>
      </c>
      <c r="BA497">
        <v>4.9689999999999998E-2</v>
      </c>
      <c r="BB497">
        <v>-2.2799999999999999E-3</v>
      </c>
      <c r="BC497">
        <v>4.8700000000000002E-3</v>
      </c>
      <c r="BD497">
        <v>-2.7999999999999998E-4</v>
      </c>
      <c r="BE497">
        <v>9.7939999999999999E-2</v>
      </c>
      <c r="BF497">
        <v>1</v>
      </c>
      <c r="BG497" t="s">
        <v>69</v>
      </c>
      <c r="BH497">
        <v>-0.71399999999999997</v>
      </c>
      <c r="BI497">
        <v>-1.1100000000000001</v>
      </c>
    </row>
    <row r="498" spans="3:61">
      <c r="C498">
        <v>0</v>
      </c>
      <c r="D498">
        <v>0</v>
      </c>
      <c r="E498">
        <v>0</v>
      </c>
      <c r="F498" t="s">
        <v>25021</v>
      </c>
      <c r="G498">
        <v>3875</v>
      </c>
      <c r="H498" t="s">
        <v>22724</v>
      </c>
      <c r="I498" t="s">
        <v>57</v>
      </c>
      <c r="J498">
        <v>3837840</v>
      </c>
      <c r="K498">
        <v>3838556</v>
      </c>
      <c r="L498" t="s">
        <v>22725</v>
      </c>
      <c r="M498">
        <v>239</v>
      </c>
      <c r="N498" t="s">
        <v>108</v>
      </c>
      <c r="O498">
        <v>44</v>
      </c>
      <c r="P498" t="str">
        <f>HYPERLINK("Gene3875-zp_tree_all.dnd", "Gene3875-tree")</f>
        <v>Gene3875-tree</v>
      </c>
      <c r="Q498">
        <v>24</v>
      </c>
      <c r="R498">
        <v>8</v>
      </c>
      <c r="S498">
        <v>6</v>
      </c>
      <c r="T498">
        <v>8</v>
      </c>
      <c r="U498">
        <v>0.57142999999999999</v>
      </c>
      <c r="V498" t="s">
        <v>2675</v>
      </c>
      <c r="W498" t="s">
        <v>136</v>
      </c>
      <c r="X498" t="s">
        <v>62</v>
      </c>
      <c r="Y498" t="s">
        <v>62</v>
      </c>
      <c r="Z498">
        <v>0</v>
      </c>
      <c r="AA498">
        <v>0</v>
      </c>
      <c r="AB498">
        <v>9</v>
      </c>
      <c r="AC498">
        <v>0</v>
      </c>
      <c r="AD498" s="47">
        <v>0</v>
      </c>
      <c r="AE498" s="47">
        <v>0</v>
      </c>
      <c r="AF498" s="47">
        <v>0</v>
      </c>
      <c r="AG498" s="47">
        <v>0</v>
      </c>
      <c r="AH498" s="47">
        <v>0</v>
      </c>
      <c r="AI498" s="47">
        <v>0</v>
      </c>
      <c r="AJ498" s="47">
        <v>0</v>
      </c>
      <c r="AK498" s="47">
        <v>0</v>
      </c>
      <c r="AL498">
        <v>9</v>
      </c>
      <c r="AM498">
        <v>0</v>
      </c>
      <c r="AN498">
        <v>11</v>
      </c>
      <c r="AO498">
        <v>8</v>
      </c>
      <c r="AP498">
        <v>19</v>
      </c>
      <c r="AQ498">
        <v>7</v>
      </c>
      <c r="AR498">
        <v>18</v>
      </c>
      <c r="AS498">
        <v>2</v>
      </c>
      <c r="AT498" t="s">
        <v>22726</v>
      </c>
      <c r="AU498" t="s">
        <v>22727</v>
      </c>
      <c r="AV498">
        <v>1.1000000000000001</v>
      </c>
      <c r="AW498" t="s">
        <v>65</v>
      </c>
      <c r="AX498">
        <v>37</v>
      </c>
      <c r="AY498">
        <v>9</v>
      </c>
      <c r="AZ498" t="s">
        <v>1519</v>
      </c>
      <c r="BA498">
        <v>4.58E-2</v>
      </c>
      <c r="BB498">
        <v>-1.5399999999999999E-3</v>
      </c>
      <c r="BC498">
        <v>2.7899999999999999E-3</v>
      </c>
      <c r="BD498">
        <v>-2.0000000000000001E-4</v>
      </c>
      <c r="BE498">
        <v>6.0999999999999999E-2</v>
      </c>
      <c r="BF498">
        <v>1</v>
      </c>
      <c r="BG498" t="s">
        <v>69</v>
      </c>
      <c r="BH498">
        <v>-0.29299999999999998</v>
      </c>
      <c r="BI498">
        <v>-0.39700000000000002</v>
      </c>
    </row>
    <row r="499" spans="3:61">
      <c r="C499">
        <v>0</v>
      </c>
      <c r="D499">
        <v>4</v>
      </c>
      <c r="E499">
        <v>0</v>
      </c>
      <c r="F499" t="s">
        <v>25021</v>
      </c>
      <c r="G499">
        <v>3200</v>
      </c>
      <c r="H499" t="s">
        <v>18630</v>
      </c>
      <c r="I499" t="s">
        <v>57</v>
      </c>
      <c r="J499">
        <v>3154007</v>
      </c>
      <c r="K499">
        <v>3154723</v>
      </c>
      <c r="L499" t="s">
        <v>18631</v>
      </c>
      <c r="M499">
        <v>239</v>
      </c>
      <c r="N499" t="s">
        <v>108</v>
      </c>
      <c r="O499">
        <v>44</v>
      </c>
      <c r="P499" t="str">
        <f>HYPERLINK("Gene3200-zp_tree_all.dnd", "Gene3200-tree")</f>
        <v>Gene3200-tree</v>
      </c>
      <c r="Q499">
        <v>7</v>
      </c>
      <c r="R499">
        <v>6</v>
      </c>
      <c r="S499">
        <v>7</v>
      </c>
      <c r="T499">
        <v>6</v>
      </c>
      <c r="U499">
        <v>0.46154000000000001</v>
      </c>
      <c r="V499" t="s">
        <v>152</v>
      </c>
      <c r="W499" t="s">
        <v>90</v>
      </c>
      <c r="X499" t="s">
        <v>62</v>
      </c>
      <c r="Y499" t="s">
        <v>62</v>
      </c>
      <c r="Z499">
        <v>2</v>
      </c>
      <c r="AA499">
        <v>4</v>
      </c>
      <c r="AB499">
        <v>4</v>
      </c>
      <c r="AC499">
        <v>0.5</v>
      </c>
      <c r="AD499" s="47">
        <v>0</v>
      </c>
      <c r="AE499" s="47">
        <v>0</v>
      </c>
      <c r="AF499" s="47">
        <v>0</v>
      </c>
      <c r="AG499" s="47">
        <v>0</v>
      </c>
      <c r="AH499" s="47">
        <v>0</v>
      </c>
      <c r="AI499" s="47">
        <v>4</v>
      </c>
      <c r="AJ499" s="47">
        <v>0</v>
      </c>
      <c r="AK499" s="47">
        <v>4</v>
      </c>
      <c r="AL499">
        <v>4</v>
      </c>
      <c r="AM499">
        <v>0.5</v>
      </c>
      <c r="AN499">
        <v>12</v>
      </c>
      <c r="AO499">
        <v>6</v>
      </c>
      <c r="AP499">
        <v>28</v>
      </c>
      <c r="AQ499">
        <v>9</v>
      </c>
      <c r="AR499">
        <v>12</v>
      </c>
      <c r="AS499">
        <v>0</v>
      </c>
      <c r="AT499" t="s">
        <v>18632</v>
      </c>
      <c r="AU499" t="s">
        <v>193</v>
      </c>
      <c r="AV499">
        <v>1.5580000000000001</v>
      </c>
      <c r="AW499" t="s">
        <v>65</v>
      </c>
      <c r="AX499">
        <v>40</v>
      </c>
      <c r="AY499">
        <v>9</v>
      </c>
      <c r="AZ499" t="s">
        <v>18633</v>
      </c>
      <c r="BA499">
        <v>4.913E-2</v>
      </c>
      <c r="BB499">
        <v>-2.7399999999999998E-3</v>
      </c>
      <c r="BC499">
        <v>2.3600000000000001E-3</v>
      </c>
      <c r="BD499">
        <v>-2.1000000000000001E-4</v>
      </c>
      <c r="BE499">
        <v>4.8050000000000002E-2</v>
      </c>
      <c r="BF499">
        <v>1</v>
      </c>
      <c r="BG499" t="s">
        <v>69</v>
      </c>
      <c r="BH499">
        <v>-1.135</v>
      </c>
      <c r="BI499">
        <v>-1.35</v>
      </c>
    </row>
    <row r="500" spans="3:61">
      <c r="C500">
        <v>0</v>
      </c>
      <c r="D500">
        <v>2</v>
      </c>
      <c r="E500">
        <v>0</v>
      </c>
      <c r="F500" t="s">
        <v>25021</v>
      </c>
      <c r="G500">
        <v>2678</v>
      </c>
      <c r="H500" t="s">
        <v>15709</v>
      </c>
      <c r="I500" t="s">
        <v>57</v>
      </c>
      <c r="J500">
        <v>2651632</v>
      </c>
      <c r="K500">
        <v>2652351</v>
      </c>
      <c r="L500" t="s">
        <v>116</v>
      </c>
      <c r="M500">
        <v>240</v>
      </c>
      <c r="N500" t="s">
        <v>108</v>
      </c>
      <c r="O500">
        <v>44</v>
      </c>
      <c r="P500" t="str">
        <f>HYPERLINK("Gene2678-zp_tree_all.dnd", "Gene2678-tree")</f>
        <v>Gene2678-tree</v>
      </c>
      <c r="Q500">
        <v>6</v>
      </c>
      <c r="R500">
        <v>6</v>
      </c>
      <c r="S500">
        <v>6</v>
      </c>
      <c r="T500">
        <v>6</v>
      </c>
      <c r="U500">
        <v>0.5</v>
      </c>
      <c r="V500" t="s">
        <v>90</v>
      </c>
      <c r="W500" t="s">
        <v>90</v>
      </c>
      <c r="X500" t="s">
        <v>62</v>
      </c>
      <c r="Y500" t="s">
        <v>62</v>
      </c>
      <c r="Z500">
        <v>1</v>
      </c>
      <c r="AA500">
        <v>2</v>
      </c>
      <c r="AB500">
        <v>12</v>
      </c>
      <c r="AC500">
        <v>0.14285999999999999</v>
      </c>
      <c r="AD500" s="47">
        <v>0</v>
      </c>
      <c r="AE500" s="47">
        <v>0</v>
      </c>
      <c r="AF500" s="47">
        <v>0</v>
      </c>
      <c r="AG500" s="47">
        <v>0</v>
      </c>
      <c r="AH500" s="47">
        <v>0</v>
      </c>
      <c r="AI500" s="47">
        <v>2</v>
      </c>
      <c r="AJ500" s="47">
        <v>0</v>
      </c>
      <c r="AK500" s="47">
        <v>2</v>
      </c>
      <c r="AL500">
        <v>9</v>
      </c>
      <c r="AM500">
        <v>0.18182000000000001</v>
      </c>
      <c r="AN500">
        <v>9</v>
      </c>
      <c r="AO500">
        <v>5</v>
      </c>
      <c r="AP500">
        <v>14</v>
      </c>
      <c r="AQ500">
        <v>11</v>
      </c>
      <c r="AR500">
        <v>7</v>
      </c>
      <c r="AS500">
        <v>3</v>
      </c>
      <c r="AT500" t="s">
        <v>15710</v>
      </c>
      <c r="AU500" t="s">
        <v>15711</v>
      </c>
      <c r="AV500">
        <v>0.58499999999999996</v>
      </c>
      <c r="AW500" t="s">
        <v>65</v>
      </c>
      <c r="AX500">
        <v>21</v>
      </c>
      <c r="AY500">
        <v>14</v>
      </c>
      <c r="AZ500" t="s">
        <v>15712</v>
      </c>
      <c r="BA500">
        <v>2.7859999999999999E-2</v>
      </c>
      <c r="BB500">
        <v>-1.6999999999999999E-3</v>
      </c>
      <c r="BC500">
        <v>5.8199999999999997E-3</v>
      </c>
      <c r="BD500">
        <v>-4.4000000000000002E-4</v>
      </c>
      <c r="BE500">
        <v>0.20899999999999999</v>
      </c>
      <c r="BF500">
        <v>1</v>
      </c>
      <c r="BG500" t="s">
        <v>69</v>
      </c>
      <c r="BH500">
        <v>-0.76800000000000002</v>
      </c>
      <c r="BI500">
        <v>-2.169</v>
      </c>
    </row>
    <row r="501" spans="3:61">
      <c r="C501">
        <v>0</v>
      </c>
      <c r="D501">
        <v>4</v>
      </c>
      <c r="E501">
        <v>0</v>
      </c>
      <c r="F501" t="s">
        <v>25021</v>
      </c>
      <c r="G501">
        <v>1226</v>
      </c>
      <c r="H501" t="s">
        <v>7704</v>
      </c>
      <c r="I501" t="s">
        <v>62</v>
      </c>
      <c r="J501">
        <v>1257417</v>
      </c>
      <c r="K501">
        <v>1258136</v>
      </c>
      <c r="L501" t="s">
        <v>7705</v>
      </c>
      <c r="M501">
        <v>240</v>
      </c>
      <c r="N501" t="s">
        <v>108</v>
      </c>
      <c r="O501">
        <v>44</v>
      </c>
      <c r="P501" t="str">
        <f>HYPERLINK("Gene1226-zp_tree_all.dnd", "Gene1226-tree")</f>
        <v>Gene1226-tree</v>
      </c>
      <c r="Q501">
        <v>8</v>
      </c>
      <c r="R501">
        <v>5</v>
      </c>
      <c r="S501">
        <v>8</v>
      </c>
      <c r="T501">
        <v>5</v>
      </c>
      <c r="U501">
        <v>0.38462000000000002</v>
      </c>
      <c r="V501" t="s">
        <v>136</v>
      </c>
      <c r="W501" t="s">
        <v>199</v>
      </c>
      <c r="X501" t="s">
        <v>62</v>
      </c>
      <c r="Y501" t="s">
        <v>62</v>
      </c>
      <c r="Z501">
        <v>2</v>
      </c>
      <c r="AA501">
        <v>4</v>
      </c>
      <c r="AB501">
        <v>9</v>
      </c>
      <c r="AC501">
        <v>0.30769000000000002</v>
      </c>
      <c r="AD501" s="47">
        <v>0</v>
      </c>
      <c r="AE501" s="47">
        <v>0</v>
      </c>
      <c r="AF501" s="47">
        <v>0</v>
      </c>
      <c r="AG501" s="47">
        <v>0</v>
      </c>
      <c r="AH501" s="47">
        <v>0</v>
      </c>
      <c r="AI501" s="47">
        <v>0</v>
      </c>
      <c r="AJ501" s="47">
        <v>0</v>
      </c>
      <c r="AK501" s="47">
        <v>0</v>
      </c>
      <c r="AL501">
        <v>7</v>
      </c>
      <c r="AM501">
        <v>0</v>
      </c>
      <c r="AN501">
        <v>10</v>
      </c>
      <c r="AO501">
        <v>10</v>
      </c>
      <c r="AP501">
        <v>28</v>
      </c>
      <c r="AQ501">
        <v>7</v>
      </c>
      <c r="AR501">
        <v>21</v>
      </c>
      <c r="AS501">
        <v>6</v>
      </c>
      <c r="AT501" t="s">
        <v>7706</v>
      </c>
      <c r="AU501" t="s">
        <v>7707</v>
      </c>
      <c r="AV501">
        <v>0.184</v>
      </c>
      <c r="AW501" t="s">
        <v>65</v>
      </c>
      <c r="AX501">
        <v>49</v>
      </c>
      <c r="AY501">
        <v>13</v>
      </c>
      <c r="AZ501" t="s">
        <v>7708</v>
      </c>
      <c r="BA501">
        <v>5.5530000000000003E-2</v>
      </c>
      <c r="BB501">
        <v>-2.3E-3</v>
      </c>
      <c r="BC501">
        <v>5.6299999999999996E-3</v>
      </c>
      <c r="BD501">
        <v>-3.6000000000000002E-4</v>
      </c>
      <c r="BE501">
        <v>0.10141</v>
      </c>
      <c r="BF501">
        <v>1</v>
      </c>
      <c r="BG501" t="s">
        <v>69</v>
      </c>
      <c r="BH501">
        <v>-0.63900000000000001</v>
      </c>
      <c r="BI501">
        <v>-0.98899999999999999</v>
      </c>
    </row>
    <row r="502" spans="3:61">
      <c r="C502">
        <v>0</v>
      </c>
      <c r="D502">
        <v>8</v>
      </c>
      <c r="E502">
        <v>0</v>
      </c>
      <c r="F502" t="s">
        <v>25021</v>
      </c>
      <c r="G502">
        <v>2855</v>
      </c>
      <c r="H502" t="s">
        <v>16405</v>
      </c>
      <c r="I502" t="s">
        <v>57</v>
      </c>
      <c r="J502">
        <v>2802358</v>
      </c>
      <c r="K502">
        <v>2803083</v>
      </c>
      <c r="L502" t="s">
        <v>16406</v>
      </c>
      <c r="M502">
        <v>242</v>
      </c>
      <c r="N502" t="s">
        <v>108</v>
      </c>
      <c r="O502">
        <v>44</v>
      </c>
      <c r="P502" t="str">
        <f>HYPERLINK("Gene2855-zp_tree_all.dnd", "Gene2855-tree")</f>
        <v>Gene2855-tree</v>
      </c>
      <c r="Q502">
        <v>9</v>
      </c>
      <c r="R502">
        <v>4</v>
      </c>
      <c r="S502">
        <v>9</v>
      </c>
      <c r="T502">
        <v>4</v>
      </c>
      <c r="U502">
        <v>0.30769000000000002</v>
      </c>
      <c r="V502" t="s">
        <v>135</v>
      </c>
      <c r="W502" t="s">
        <v>61</v>
      </c>
      <c r="X502" t="s">
        <v>62</v>
      </c>
      <c r="Y502" t="s">
        <v>62</v>
      </c>
      <c r="Z502">
        <v>4</v>
      </c>
      <c r="AA502">
        <v>8</v>
      </c>
      <c r="AB502">
        <v>8</v>
      </c>
      <c r="AC502">
        <v>0.5</v>
      </c>
      <c r="AD502" s="47">
        <v>0</v>
      </c>
      <c r="AE502" s="47">
        <v>0</v>
      </c>
      <c r="AF502" s="47">
        <v>0</v>
      </c>
      <c r="AG502" s="47">
        <v>3</v>
      </c>
      <c r="AH502" s="47">
        <v>0</v>
      </c>
      <c r="AI502" s="47">
        <v>0</v>
      </c>
      <c r="AJ502" s="47">
        <v>0</v>
      </c>
      <c r="AK502" s="47">
        <v>0</v>
      </c>
      <c r="AL502">
        <v>8</v>
      </c>
      <c r="AM502">
        <v>0</v>
      </c>
      <c r="AN502">
        <v>10</v>
      </c>
      <c r="AO502">
        <v>6</v>
      </c>
      <c r="AP502">
        <v>25</v>
      </c>
      <c r="AQ502">
        <v>8</v>
      </c>
      <c r="AR502">
        <v>9</v>
      </c>
      <c r="AS502">
        <v>8</v>
      </c>
      <c r="AT502" t="s">
        <v>16407</v>
      </c>
      <c r="AU502" t="s">
        <v>16408</v>
      </c>
      <c r="AV502">
        <v>1.774</v>
      </c>
      <c r="AW502" t="s">
        <v>65</v>
      </c>
      <c r="AX502">
        <v>34</v>
      </c>
      <c r="AY502">
        <v>16</v>
      </c>
      <c r="AZ502" t="s">
        <v>16409</v>
      </c>
      <c r="BA502">
        <v>3.7740000000000003E-2</v>
      </c>
      <c r="BB502">
        <v>-1.8500000000000001E-3</v>
      </c>
      <c r="BC502">
        <v>6.2300000000000003E-3</v>
      </c>
      <c r="BD502">
        <v>-3.5E-4</v>
      </c>
      <c r="BE502">
        <v>0.16508</v>
      </c>
      <c r="BF502">
        <v>1</v>
      </c>
      <c r="BG502" t="s">
        <v>69</v>
      </c>
      <c r="BH502">
        <v>-0.68400000000000005</v>
      </c>
      <c r="BI502">
        <v>-0.17199999999999999</v>
      </c>
    </row>
    <row r="503" spans="3:61">
      <c r="C503">
        <v>2</v>
      </c>
      <c r="D503">
        <v>14</v>
      </c>
      <c r="E503">
        <v>2</v>
      </c>
      <c r="F503" t="s">
        <v>25021</v>
      </c>
      <c r="G503">
        <v>2492</v>
      </c>
      <c r="H503" t="s">
        <v>14525</v>
      </c>
      <c r="I503" t="s">
        <v>57</v>
      </c>
      <c r="J503">
        <v>2484911</v>
      </c>
      <c r="K503">
        <v>2485636</v>
      </c>
      <c r="L503" t="s">
        <v>116</v>
      </c>
      <c r="M503">
        <v>242</v>
      </c>
      <c r="N503" t="s">
        <v>1124</v>
      </c>
      <c r="O503">
        <v>43</v>
      </c>
      <c r="P503" t="str">
        <f>HYPERLINK("Gene2492-zp_tree_all.dnd", "Gene2492-tree")</f>
        <v>Gene2492-tree</v>
      </c>
      <c r="Q503">
        <v>7</v>
      </c>
      <c r="R503">
        <v>7</v>
      </c>
      <c r="S503">
        <v>7</v>
      </c>
      <c r="T503">
        <v>7</v>
      </c>
      <c r="U503">
        <v>0.5</v>
      </c>
      <c r="V503" t="s">
        <v>152</v>
      </c>
      <c r="W503" t="s">
        <v>152</v>
      </c>
      <c r="X503" t="s">
        <v>62</v>
      </c>
      <c r="Y503" t="s">
        <v>62</v>
      </c>
      <c r="Z503">
        <v>7</v>
      </c>
      <c r="AA503">
        <v>18</v>
      </c>
      <c r="AB503">
        <v>13</v>
      </c>
      <c r="AC503">
        <v>0.58065</v>
      </c>
      <c r="AD503" s="47">
        <v>0</v>
      </c>
      <c r="AE503" s="47">
        <v>0</v>
      </c>
      <c r="AF503" s="47">
        <v>0</v>
      </c>
      <c r="AG503" s="47">
        <v>1</v>
      </c>
      <c r="AH503" s="47">
        <v>0</v>
      </c>
      <c r="AI503" s="47">
        <v>2</v>
      </c>
      <c r="AJ503" s="47">
        <v>2</v>
      </c>
      <c r="AK503" s="47">
        <v>4</v>
      </c>
      <c r="AL503">
        <v>13</v>
      </c>
      <c r="AM503">
        <v>0.23529</v>
      </c>
      <c r="AN503">
        <v>12</v>
      </c>
      <c r="AO503">
        <v>9</v>
      </c>
      <c r="AP503">
        <v>32</v>
      </c>
      <c r="AQ503">
        <v>18</v>
      </c>
      <c r="AR503">
        <v>31</v>
      </c>
      <c r="AS503">
        <v>14</v>
      </c>
      <c r="AT503" t="s">
        <v>14526</v>
      </c>
      <c r="AU503" t="s">
        <v>14527</v>
      </c>
      <c r="AV503">
        <v>0.223</v>
      </c>
      <c r="AW503" t="s">
        <v>65</v>
      </c>
      <c r="AX503">
        <v>63</v>
      </c>
      <c r="AY503">
        <v>32</v>
      </c>
      <c r="AZ503" t="s">
        <v>14528</v>
      </c>
      <c r="BA503">
        <v>8.6190000000000003E-2</v>
      </c>
      <c r="BB503">
        <v>-4.2300000000000003E-3</v>
      </c>
      <c r="BC503">
        <v>1.184E-2</v>
      </c>
      <c r="BD503">
        <v>-6.6E-4</v>
      </c>
      <c r="BE503">
        <v>0.13741999999999999</v>
      </c>
      <c r="BF503">
        <v>1</v>
      </c>
      <c r="BG503" t="s">
        <v>69</v>
      </c>
      <c r="BH503">
        <v>1.0029999999999999</v>
      </c>
      <c r="BI503">
        <v>0.49399999999999999</v>
      </c>
    </row>
    <row r="504" spans="3:61">
      <c r="C504">
        <v>0</v>
      </c>
      <c r="D504">
        <v>11</v>
      </c>
      <c r="E504">
        <v>0</v>
      </c>
      <c r="F504" t="s">
        <v>25021</v>
      </c>
      <c r="G504">
        <v>3629</v>
      </c>
      <c r="H504" t="s">
        <v>21319</v>
      </c>
      <c r="I504" t="s">
        <v>57</v>
      </c>
      <c r="J504">
        <v>3596543</v>
      </c>
      <c r="K504">
        <v>3597268</v>
      </c>
      <c r="L504" t="s">
        <v>21320</v>
      </c>
      <c r="M504">
        <v>242</v>
      </c>
      <c r="N504" t="s">
        <v>108</v>
      </c>
      <c r="O504">
        <v>44</v>
      </c>
      <c r="P504" t="str">
        <f>HYPERLINK("Gene3629-zp_tree_all.dnd", "Gene3629-tree")</f>
        <v>Gene3629-tree</v>
      </c>
      <c r="Q504">
        <v>6</v>
      </c>
      <c r="R504">
        <v>7</v>
      </c>
      <c r="S504">
        <v>6</v>
      </c>
      <c r="T504">
        <v>7</v>
      </c>
      <c r="U504">
        <v>0.53846000000000005</v>
      </c>
      <c r="V504" t="s">
        <v>90</v>
      </c>
      <c r="W504" t="s">
        <v>152</v>
      </c>
      <c r="X504" t="s">
        <v>62</v>
      </c>
      <c r="Y504" t="s">
        <v>62</v>
      </c>
      <c r="Z504">
        <v>5</v>
      </c>
      <c r="AA504">
        <v>11</v>
      </c>
      <c r="AB504">
        <v>11</v>
      </c>
      <c r="AC504">
        <v>0.5</v>
      </c>
      <c r="AD504" s="47">
        <v>0</v>
      </c>
      <c r="AE504" s="47">
        <v>0</v>
      </c>
      <c r="AF504" s="47">
        <v>0</v>
      </c>
      <c r="AG504" s="47">
        <v>0</v>
      </c>
      <c r="AH504" s="47">
        <v>0</v>
      </c>
      <c r="AI504" s="47">
        <v>4</v>
      </c>
      <c r="AJ504" s="47">
        <v>2</v>
      </c>
      <c r="AK504" s="47">
        <v>6</v>
      </c>
      <c r="AL504">
        <v>9</v>
      </c>
      <c r="AM504">
        <v>0.4</v>
      </c>
      <c r="AN504">
        <v>12</v>
      </c>
      <c r="AO504">
        <v>10</v>
      </c>
      <c r="AP504">
        <v>29</v>
      </c>
      <c r="AQ504">
        <v>15</v>
      </c>
      <c r="AR504">
        <v>19</v>
      </c>
      <c r="AS504">
        <v>7</v>
      </c>
      <c r="AT504" t="s">
        <v>21321</v>
      </c>
      <c r="AU504" t="s">
        <v>21322</v>
      </c>
      <c r="AV504">
        <v>0.42399999999999999</v>
      </c>
      <c r="AW504" t="s">
        <v>65</v>
      </c>
      <c r="AX504">
        <v>48</v>
      </c>
      <c r="AY504">
        <v>22</v>
      </c>
      <c r="AZ504" t="s">
        <v>21323</v>
      </c>
      <c r="BA504">
        <v>6.053E-2</v>
      </c>
      <c r="BB504">
        <v>-2.7299999999999998E-3</v>
      </c>
      <c r="BC504">
        <v>7.5799999999999999E-3</v>
      </c>
      <c r="BD504">
        <v>-4.0999999999999999E-4</v>
      </c>
      <c r="BE504">
        <v>0.12531999999999999</v>
      </c>
      <c r="BF504">
        <v>1</v>
      </c>
      <c r="BG504" t="s">
        <v>69</v>
      </c>
      <c r="BH504">
        <v>-0.09</v>
      </c>
      <c r="BI504">
        <v>-8.3000000000000004E-2</v>
      </c>
    </row>
    <row r="505" spans="3:61">
      <c r="C505">
        <v>0</v>
      </c>
      <c r="D505">
        <v>2</v>
      </c>
      <c r="E505">
        <v>6</v>
      </c>
      <c r="F505" t="s">
        <v>25021</v>
      </c>
      <c r="G505">
        <v>3375</v>
      </c>
      <c r="H505" t="s">
        <v>19729</v>
      </c>
      <c r="I505" t="s">
        <v>57</v>
      </c>
      <c r="J505">
        <v>3346298</v>
      </c>
      <c r="K505">
        <v>3347023</v>
      </c>
      <c r="L505" t="s">
        <v>19730</v>
      </c>
      <c r="M505">
        <v>242</v>
      </c>
      <c r="N505" t="s">
        <v>11803</v>
      </c>
      <c r="O505">
        <v>47</v>
      </c>
      <c r="P505" t="str">
        <f>HYPERLINK("Gene3375-zp_tree_all.dnd", "Gene3375-tree")</f>
        <v>Gene3375-tree</v>
      </c>
      <c r="Q505">
        <v>9</v>
      </c>
      <c r="R505">
        <v>7</v>
      </c>
      <c r="S505">
        <v>9</v>
      </c>
      <c r="T505">
        <v>7</v>
      </c>
      <c r="U505">
        <v>0.4375</v>
      </c>
      <c r="V505" t="s">
        <v>135</v>
      </c>
      <c r="W505" t="s">
        <v>152</v>
      </c>
      <c r="X505" t="s">
        <v>62</v>
      </c>
      <c r="Y505" t="s">
        <v>62</v>
      </c>
      <c r="Z505">
        <v>3</v>
      </c>
      <c r="AA505">
        <v>8</v>
      </c>
      <c r="AB505">
        <v>12</v>
      </c>
      <c r="AC505">
        <v>0.4</v>
      </c>
      <c r="AD505" s="47">
        <v>0</v>
      </c>
      <c r="AE505" s="47">
        <v>0</v>
      </c>
      <c r="AF505" s="47">
        <v>0</v>
      </c>
      <c r="AG505" s="47">
        <v>1</v>
      </c>
      <c r="AH505" s="47">
        <v>0</v>
      </c>
      <c r="AI505" s="47">
        <v>2</v>
      </c>
      <c r="AJ505" s="47">
        <v>0</v>
      </c>
      <c r="AK505" s="47">
        <v>2</v>
      </c>
      <c r="AL505">
        <v>8</v>
      </c>
      <c r="AM505">
        <v>0.2</v>
      </c>
      <c r="AN505">
        <v>12</v>
      </c>
      <c r="AO505">
        <v>7</v>
      </c>
      <c r="AP505">
        <v>31</v>
      </c>
      <c r="AQ505">
        <v>11</v>
      </c>
      <c r="AR505">
        <v>28</v>
      </c>
      <c r="AS505">
        <v>10</v>
      </c>
      <c r="AT505" t="s">
        <v>19731</v>
      </c>
      <c r="AU505" t="s">
        <v>19732</v>
      </c>
      <c r="AV505">
        <v>2E-3</v>
      </c>
      <c r="AW505" t="s">
        <v>65</v>
      </c>
      <c r="AX505">
        <v>59</v>
      </c>
      <c r="AY505">
        <v>21</v>
      </c>
      <c r="AZ505" t="s">
        <v>19733</v>
      </c>
      <c r="BA505">
        <v>7.5689999999999993E-2</v>
      </c>
      <c r="BB505">
        <v>-6.7999999999999996E-3</v>
      </c>
      <c r="BC505">
        <v>6.6800000000000002E-3</v>
      </c>
      <c r="BD505">
        <v>-5.1999999999999995E-4</v>
      </c>
      <c r="BE505">
        <v>8.8209999999999997E-2</v>
      </c>
      <c r="BF505">
        <v>1</v>
      </c>
      <c r="BG505" t="s">
        <v>69</v>
      </c>
      <c r="BH505">
        <v>-1.8620000000000001</v>
      </c>
      <c r="BI505">
        <v>-2.4769999999999999</v>
      </c>
    </row>
    <row r="506" spans="3:61">
      <c r="C506">
        <v>0</v>
      </c>
      <c r="D506">
        <v>2</v>
      </c>
      <c r="E506">
        <v>0</v>
      </c>
      <c r="F506" t="s">
        <v>25021</v>
      </c>
      <c r="G506">
        <v>996</v>
      </c>
      <c r="H506" t="s">
        <v>6247</v>
      </c>
      <c r="I506" t="s">
        <v>62</v>
      </c>
      <c r="J506">
        <v>1037691</v>
      </c>
      <c r="K506">
        <v>1038419</v>
      </c>
      <c r="L506" t="s">
        <v>6248</v>
      </c>
      <c r="M506">
        <v>243</v>
      </c>
      <c r="N506" t="s">
        <v>1392</v>
      </c>
      <c r="O506">
        <v>43</v>
      </c>
      <c r="P506" t="str">
        <f>HYPERLINK("Gene996-zp_tree_all.dnd", "Gene996-tree")</f>
        <v>Gene996-tree</v>
      </c>
      <c r="Q506">
        <v>2</v>
      </c>
      <c r="R506">
        <v>10</v>
      </c>
      <c r="S506">
        <v>2</v>
      </c>
      <c r="T506">
        <v>10</v>
      </c>
      <c r="U506">
        <v>0.83333000000000002</v>
      </c>
      <c r="V506" t="s">
        <v>81</v>
      </c>
      <c r="W506" t="s">
        <v>117</v>
      </c>
      <c r="X506" t="s">
        <v>62</v>
      </c>
      <c r="Y506" t="s">
        <v>62</v>
      </c>
      <c r="Z506">
        <v>1</v>
      </c>
      <c r="AA506">
        <v>2</v>
      </c>
      <c r="AB506">
        <v>11</v>
      </c>
      <c r="AC506">
        <v>0.15384999999999999</v>
      </c>
      <c r="AD506" s="47">
        <v>0</v>
      </c>
      <c r="AE506" s="47">
        <v>0</v>
      </c>
      <c r="AF506" s="47">
        <v>0</v>
      </c>
      <c r="AG506" s="47">
        <v>1</v>
      </c>
      <c r="AH506" s="47">
        <v>0</v>
      </c>
      <c r="AI506" s="47">
        <v>2</v>
      </c>
      <c r="AJ506" s="47">
        <v>0</v>
      </c>
      <c r="AK506" s="47">
        <v>2</v>
      </c>
      <c r="AL506">
        <v>10</v>
      </c>
      <c r="AM506">
        <v>0.16667000000000001</v>
      </c>
      <c r="AN506">
        <v>7</v>
      </c>
      <c r="AO506">
        <v>7</v>
      </c>
      <c r="AP506">
        <v>3</v>
      </c>
      <c r="AQ506">
        <v>8</v>
      </c>
      <c r="AR506">
        <v>10</v>
      </c>
      <c r="AS506">
        <v>5</v>
      </c>
      <c r="AT506" t="s">
        <v>6249</v>
      </c>
      <c r="AU506" t="s">
        <v>6250</v>
      </c>
      <c r="AV506">
        <v>1.45</v>
      </c>
      <c r="AW506" t="s">
        <v>65</v>
      </c>
      <c r="AX506">
        <v>13</v>
      </c>
      <c r="AY506">
        <v>13</v>
      </c>
      <c r="AZ506" t="s">
        <v>6251</v>
      </c>
      <c r="BA506">
        <v>2.179E-2</v>
      </c>
      <c r="BB506">
        <v>-1.9400000000000001E-3</v>
      </c>
      <c r="BC506">
        <v>5.5500000000000002E-3</v>
      </c>
      <c r="BD506">
        <v>-3.3E-4</v>
      </c>
      <c r="BE506">
        <v>0.25445000000000001</v>
      </c>
      <c r="BF506">
        <v>0.99</v>
      </c>
      <c r="BG506" t="s">
        <v>69</v>
      </c>
      <c r="BH506">
        <v>-0.33100000000000002</v>
      </c>
      <c r="BI506">
        <v>-0.40300000000000002</v>
      </c>
    </row>
    <row r="507" spans="3:61">
      <c r="C507">
        <v>0</v>
      </c>
      <c r="D507">
        <v>3</v>
      </c>
      <c r="E507">
        <v>0</v>
      </c>
      <c r="F507" t="s">
        <v>25021</v>
      </c>
      <c r="G507">
        <v>4147</v>
      </c>
      <c r="H507" t="s">
        <v>24409</v>
      </c>
      <c r="I507" t="s">
        <v>57</v>
      </c>
      <c r="J507">
        <v>4113417</v>
      </c>
      <c r="K507">
        <v>4114145</v>
      </c>
      <c r="L507" t="s">
        <v>24410</v>
      </c>
      <c r="M507">
        <v>243</v>
      </c>
      <c r="N507" t="s">
        <v>108</v>
      </c>
      <c r="O507">
        <v>44</v>
      </c>
      <c r="P507" t="str">
        <f>HYPERLINK("Gene4147-zp_tree_all.dnd", "Gene4147-tree")</f>
        <v>Gene4147-tree</v>
      </c>
      <c r="Q507">
        <v>6</v>
      </c>
      <c r="R507">
        <v>8</v>
      </c>
      <c r="S507">
        <v>6</v>
      </c>
      <c r="T507">
        <v>8</v>
      </c>
      <c r="U507">
        <v>0.57142999999999999</v>
      </c>
      <c r="V507" t="s">
        <v>90</v>
      </c>
      <c r="W507" t="s">
        <v>136</v>
      </c>
      <c r="X507" t="s">
        <v>62</v>
      </c>
      <c r="Y507" t="s">
        <v>62</v>
      </c>
      <c r="Z507">
        <v>1</v>
      </c>
      <c r="AA507">
        <v>3</v>
      </c>
      <c r="AB507">
        <v>5</v>
      </c>
      <c r="AC507">
        <v>0.375</v>
      </c>
      <c r="AD507" s="47">
        <v>0</v>
      </c>
      <c r="AE507" s="47">
        <v>0</v>
      </c>
      <c r="AF507" s="47">
        <v>0</v>
      </c>
      <c r="AG507" s="47">
        <v>0</v>
      </c>
      <c r="AH507" s="47">
        <v>0</v>
      </c>
      <c r="AI507" s="47">
        <v>3</v>
      </c>
      <c r="AJ507" s="47">
        <v>0</v>
      </c>
      <c r="AK507" s="47">
        <v>3</v>
      </c>
      <c r="AL507">
        <v>5</v>
      </c>
      <c r="AM507">
        <v>0.375</v>
      </c>
      <c r="AN507">
        <v>9</v>
      </c>
      <c r="AO507">
        <v>7</v>
      </c>
      <c r="AP507">
        <v>11</v>
      </c>
      <c r="AQ507">
        <v>8</v>
      </c>
      <c r="AR507">
        <v>9</v>
      </c>
      <c r="AS507">
        <v>0</v>
      </c>
      <c r="AT507" t="s">
        <v>24411</v>
      </c>
      <c r="AU507" t="s">
        <v>193</v>
      </c>
      <c r="AV507">
        <v>3.5609999999999999</v>
      </c>
      <c r="AW507" t="s">
        <v>267</v>
      </c>
      <c r="AX507">
        <v>20</v>
      </c>
      <c r="AY507">
        <v>8</v>
      </c>
      <c r="AZ507" t="s">
        <v>24412</v>
      </c>
      <c r="BA507">
        <v>2.206E-2</v>
      </c>
      <c r="BB507">
        <v>-1.0399999999999999E-3</v>
      </c>
      <c r="BC507">
        <v>1.9E-3</v>
      </c>
      <c r="BD507">
        <v>-1.2999999999999999E-4</v>
      </c>
      <c r="BE507">
        <v>8.6110000000000006E-2</v>
      </c>
      <c r="BF507">
        <v>1</v>
      </c>
      <c r="BG507" t="s">
        <v>69</v>
      </c>
      <c r="BH507">
        <v>-0.53300000000000003</v>
      </c>
      <c r="BI507">
        <v>-0.93700000000000006</v>
      </c>
    </row>
    <row r="508" spans="3:61">
      <c r="C508">
        <v>0</v>
      </c>
      <c r="D508">
        <v>0</v>
      </c>
      <c r="E508">
        <v>2</v>
      </c>
      <c r="F508" t="s">
        <v>25021</v>
      </c>
      <c r="G508">
        <v>3630</v>
      </c>
      <c r="H508" t="s">
        <v>21326</v>
      </c>
      <c r="I508" t="s">
        <v>57</v>
      </c>
      <c r="J508">
        <v>3597289</v>
      </c>
      <c r="K508">
        <v>3598017</v>
      </c>
      <c r="L508" t="s">
        <v>1703</v>
      </c>
      <c r="M508">
        <v>243</v>
      </c>
      <c r="N508" t="s">
        <v>108</v>
      </c>
      <c r="O508">
        <v>44</v>
      </c>
      <c r="P508" t="str">
        <f>HYPERLINK("Gene3630-zp_tree_all.dnd", "Gene3630-tree")</f>
        <v>Gene3630-tree</v>
      </c>
      <c r="Q508">
        <v>9</v>
      </c>
      <c r="R508">
        <v>3</v>
      </c>
      <c r="S508">
        <v>9</v>
      </c>
      <c r="T508">
        <v>3</v>
      </c>
      <c r="U508">
        <v>0.25</v>
      </c>
      <c r="V508" t="s">
        <v>135</v>
      </c>
      <c r="W508" t="s">
        <v>324</v>
      </c>
      <c r="X508" t="s">
        <v>62</v>
      </c>
      <c r="Y508" t="s">
        <v>62</v>
      </c>
      <c r="Z508">
        <v>1</v>
      </c>
      <c r="AA508">
        <v>2</v>
      </c>
      <c r="AB508">
        <v>4</v>
      </c>
      <c r="AC508">
        <v>0.33333000000000002</v>
      </c>
      <c r="AD508" s="47">
        <v>0</v>
      </c>
      <c r="AE508" s="47">
        <v>0</v>
      </c>
      <c r="AF508" s="47">
        <v>0</v>
      </c>
      <c r="AG508" s="47">
        <v>1</v>
      </c>
      <c r="AH508" s="47">
        <v>0</v>
      </c>
      <c r="AI508" s="47">
        <v>0</v>
      </c>
      <c r="AJ508" s="47">
        <v>0</v>
      </c>
      <c r="AK508" s="47">
        <v>0</v>
      </c>
      <c r="AL508">
        <v>4</v>
      </c>
      <c r="AM508">
        <v>0</v>
      </c>
      <c r="AN508">
        <v>11</v>
      </c>
      <c r="AO508">
        <v>8</v>
      </c>
      <c r="AP508">
        <v>20</v>
      </c>
      <c r="AQ508">
        <v>4</v>
      </c>
      <c r="AR508">
        <v>14</v>
      </c>
      <c r="AS508">
        <v>2</v>
      </c>
      <c r="AT508" t="s">
        <v>21327</v>
      </c>
      <c r="AU508" t="s">
        <v>21328</v>
      </c>
      <c r="AV508">
        <v>0.214</v>
      </c>
      <c r="AW508" t="s">
        <v>65</v>
      </c>
      <c r="AX508">
        <v>34</v>
      </c>
      <c r="AY508">
        <v>6</v>
      </c>
      <c r="AZ508" t="s">
        <v>21329</v>
      </c>
      <c r="BA508">
        <v>4.2689999999999999E-2</v>
      </c>
      <c r="BB508">
        <v>-1.8699999999999999E-3</v>
      </c>
      <c r="BC508">
        <v>2.63E-3</v>
      </c>
      <c r="BD508">
        <v>-2.3000000000000001E-4</v>
      </c>
      <c r="BE508">
        <v>6.1600000000000002E-2</v>
      </c>
      <c r="BF508">
        <v>1</v>
      </c>
      <c r="BG508" t="s">
        <v>69</v>
      </c>
      <c r="BH508">
        <v>6.7000000000000004E-2</v>
      </c>
      <c r="BI508">
        <v>-0.54300000000000004</v>
      </c>
    </row>
    <row r="509" spans="3:61">
      <c r="C509">
        <v>0</v>
      </c>
      <c r="D509">
        <v>4</v>
      </c>
      <c r="E509">
        <v>0</v>
      </c>
      <c r="F509" t="s">
        <v>25021</v>
      </c>
      <c r="G509">
        <v>1201</v>
      </c>
      <c r="H509" t="s">
        <v>7556</v>
      </c>
      <c r="I509" t="s">
        <v>62</v>
      </c>
      <c r="J509">
        <v>1239390</v>
      </c>
      <c r="K509">
        <v>1240121</v>
      </c>
      <c r="L509" t="s">
        <v>7557</v>
      </c>
      <c r="M509">
        <v>244</v>
      </c>
      <c r="N509" t="s">
        <v>108</v>
      </c>
      <c r="O509">
        <v>44</v>
      </c>
      <c r="P509" t="str">
        <f>HYPERLINK("Gene1201-zp_tree_all.dnd", "Gene1201-tree")</f>
        <v>Gene1201-tree</v>
      </c>
      <c r="Q509">
        <v>8</v>
      </c>
      <c r="R509">
        <v>5</v>
      </c>
      <c r="S509">
        <v>8</v>
      </c>
      <c r="T509">
        <v>5</v>
      </c>
      <c r="U509">
        <v>0.38462000000000002</v>
      </c>
      <c r="V509" t="s">
        <v>136</v>
      </c>
      <c r="W509" t="s">
        <v>199</v>
      </c>
      <c r="X509" t="s">
        <v>62</v>
      </c>
      <c r="Y509" t="s">
        <v>62</v>
      </c>
      <c r="Z509">
        <v>2</v>
      </c>
      <c r="AA509">
        <v>4</v>
      </c>
      <c r="AB509">
        <v>5</v>
      </c>
      <c r="AC509">
        <v>0.44444</v>
      </c>
      <c r="AD509" s="47">
        <v>0</v>
      </c>
      <c r="AE509" s="47">
        <v>0</v>
      </c>
      <c r="AF509" s="47">
        <v>0</v>
      </c>
      <c r="AG509" s="47">
        <v>3</v>
      </c>
      <c r="AH509" s="47">
        <v>0</v>
      </c>
      <c r="AI509" s="47">
        <v>0</v>
      </c>
      <c r="AJ509" s="47">
        <v>0</v>
      </c>
      <c r="AK509" s="47">
        <v>0</v>
      </c>
      <c r="AL509">
        <v>5</v>
      </c>
      <c r="AM509">
        <v>0</v>
      </c>
      <c r="AN509">
        <v>8</v>
      </c>
      <c r="AO509">
        <v>8</v>
      </c>
      <c r="AP509">
        <v>14</v>
      </c>
      <c r="AQ509">
        <v>5</v>
      </c>
      <c r="AR509">
        <v>12</v>
      </c>
      <c r="AS509">
        <v>4</v>
      </c>
      <c r="AT509" t="s">
        <v>7558</v>
      </c>
      <c r="AU509" t="s">
        <v>7559</v>
      </c>
      <c r="AV509">
        <v>7.0999999999999994E-2</v>
      </c>
      <c r="AW509" t="s">
        <v>65</v>
      </c>
      <c r="AX509">
        <v>26</v>
      </c>
      <c r="AY509">
        <v>9</v>
      </c>
      <c r="AZ509" t="s">
        <v>7560</v>
      </c>
      <c r="BA509">
        <v>3.4630000000000001E-2</v>
      </c>
      <c r="BB509">
        <v>-2.0500000000000002E-3</v>
      </c>
      <c r="BC509">
        <v>3.8400000000000001E-3</v>
      </c>
      <c r="BD509">
        <v>-2.3000000000000001E-4</v>
      </c>
      <c r="BE509">
        <v>0.11078</v>
      </c>
      <c r="BF509">
        <v>1</v>
      </c>
      <c r="BG509" t="s">
        <v>69</v>
      </c>
      <c r="BH509">
        <v>-0.65200000000000002</v>
      </c>
      <c r="BI509">
        <v>-1.2649999999999999</v>
      </c>
    </row>
    <row r="510" spans="3:61">
      <c r="C510">
        <v>0</v>
      </c>
      <c r="D510">
        <v>5</v>
      </c>
      <c r="E510">
        <v>0</v>
      </c>
      <c r="F510" t="s">
        <v>25021</v>
      </c>
      <c r="G510">
        <v>620</v>
      </c>
      <c r="H510" t="s">
        <v>3985</v>
      </c>
      <c r="I510" t="s">
        <v>62</v>
      </c>
      <c r="J510">
        <v>648933</v>
      </c>
      <c r="K510">
        <v>649664</v>
      </c>
      <c r="L510" t="s">
        <v>3986</v>
      </c>
      <c r="M510">
        <v>244</v>
      </c>
      <c r="N510" t="s">
        <v>108</v>
      </c>
      <c r="O510">
        <v>44</v>
      </c>
      <c r="P510" t="str">
        <f>HYPERLINK("Gene620-zp_tree_all.dnd", "Gene620-tree")</f>
        <v>Gene620-tree</v>
      </c>
      <c r="Q510">
        <v>7</v>
      </c>
      <c r="R510">
        <v>6</v>
      </c>
      <c r="S510">
        <v>7</v>
      </c>
      <c r="T510">
        <v>6</v>
      </c>
      <c r="U510">
        <v>0.46154000000000001</v>
      </c>
      <c r="V510" t="s">
        <v>152</v>
      </c>
      <c r="W510" t="s">
        <v>90</v>
      </c>
      <c r="X510" t="s">
        <v>62</v>
      </c>
      <c r="Y510" t="s">
        <v>62</v>
      </c>
      <c r="Z510">
        <v>2</v>
      </c>
      <c r="AA510">
        <v>5</v>
      </c>
      <c r="AB510">
        <v>8</v>
      </c>
      <c r="AC510">
        <v>0.38462000000000002</v>
      </c>
      <c r="AD510" s="47">
        <v>0</v>
      </c>
      <c r="AE510" s="47">
        <v>0</v>
      </c>
      <c r="AF510" s="47">
        <v>0</v>
      </c>
      <c r="AG510" s="47">
        <v>0</v>
      </c>
      <c r="AH510" s="47">
        <v>0</v>
      </c>
      <c r="AI510" s="47">
        <v>5</v>
      </c>
      <c r="AJ510" s="47">
        <v>0</v>
      </c>
      <c r="AK510" s="47">
        <v>5</v>
      </c>
      <c r="AL510">
        <v>8</v>
      </c>
      <c r="AM510">
        <v>0.38462000000000002</v>
      </c>
      <c r="AN510">
        <v>11</v>
      </c>
      <c r="AO510">
        <v>7</v>
      </c>
      <c r="AP510">
        <v>20</v>
      </c>
      <c r="AQ510">
        <v>13</v>
      </c>
      <c r="AR510">
        <v>13</v>
      </c>
      <c r="AS510">
        <v>0</v>
      </c>
      <c r="AT510" t="s">
        <v>3987</v>
      </c>
      <c r="AU510" t="s">
        <v>193</v>
      </c>
      <c r="AV510">
        <v>0.8</v>
      </c>
      <c r="AW510" t="s">
        <v>65</v>
      </c>
      <c r="AX510">
        <v>33</v>
      </c>
      <c r="AY510">
        <v>13</v>
      </c>
      <c r="AZ510" t="s">
        <v>3988</v>
      </c>
      <c r="BA510">
        <v>3.8359999999999998E-2</v>
      </c>
      <c r="BB510">
        <v>-2.82E-3</v>
      </c>
      <c r="BC510">
        <v>3.3899999999999998E-3</v>
      </c>
      <c r="BD510">
        <v>-3.5E-4</v>
      </c>
      <c r="BE510">
        <v>8.8459999999999997E-2</v>
      </c>
      <c r="BF510">
        <v>1</v>
      </c>
      <c r="BG510" t="s">
        <v>69</v>
      </c>
      <c r="BH510">
        <v>-1.6279999999999999</v>
      </c>
      <c r="BI510">
        <v>-2.4220000000000002</v>
      </c>
    </row>
    <row r="511" spans="3:61">
      <c r="C511">
        <v>0</v>
      </c>
      <c r="D511">
        <v>0</v>
      </c>
      <c r="E511">
        <v>0</v>
      </c>
      <c r="F511" t="s">
        <v>25021</v>
      </c>
      <c r="G511">
        <v>3243</v>
      </c>
      <c r="H511" t="s">
        <v>18907</v>
      </c>
      <c r="I511" t="s">
        <v>57</v>
      </c>
      <c r="J511">
        <v>3212591</v>
      </c>
      <c r="K511">
        <v>3213325</v>
      </c>
      <c r="L511" t="s">
        <v>18908</v>
      </c>
      <c r="M511">
        <v>245</v>
      </c>
      <c r="N511" t="s">
        <v>108</v>
      </c>
      <c r="O511">
        <v>44</v>
      </c>
      <c r="P511" t="str">
        <f>HYPERLINK("Gene3243-zp_tree_all.dnd", "Gene3243-tree")</f>
        <v>Gene3243-tree</v>
      </c>
      <c r="Q511">
        <v>9</v>
      </c>
      <c r="R511">
        <v>4</v>
      </c>
      <c r="S511">
        <v>9</v>
      </c>
      <c r="T511">
        <v>4</v>
      </c>
      <c r="U511">
        <v>0.30769000000000002</v>
      </c>
      <c r="V511" t="s">
        <v>135</v>
      </c>
      <c r="W511" t="s">
        <v>61</v>
      </c>
      <c r="X511" t="s">
        <v>62</v>
      </c>
      <c r="Y511" t="s">
        <v>62</v>
      </c>
      <c r="Z511">
        <v>0</v>
      </c>
      <c r="AA511">
        <v>0</v>
      </c>
      <c r="AB511">
        <v>8</v>
      </c>
      <c r="AC511">
        <v>0</v>
      </c>
      <c r="AD511" s="47">
        <v>0</v>
      </c>
      <c r="AE511" s="47">
        <v>0</v>
      </c>
      <c r="AF511" s="47">
        <v>0</v>
      </c>
      <c r="AG511" s="47">
        <v>0</v>
      </c>
      <c r="AH511" s="47">
        <v>0</v>
      </c>
      <c r="AI511" s="47">
        <v>0</v>
      </c>
      <c r="AJ511" s="47">
        <v>0</v>
      </c>
      <c r="AK511" s="47">
        <v>0</v>
      </c>
      <c r="AL511">
        <v>6</v>
      </c>
      <c r="AM511">
        <v>0</v>
      </c>
      <c r="AN511">
        <v>11</v>
      </c>
      <c r="AO511">
        <v>8</v>
      </c>
      <c r="AP511">
        <v>24</v>
      </c>
      <c r="AQ511">
        <v>6</v>
      </c>
      <c r="AR511">
        <v>9</v>
      </c>
      <c r="AS511">
        <v>2</v>
      </c>
      <c r="AT511" t="s">
        <v>18909</v>
      </c>
      <c r="AU511" t="s">
        <v>18910</v>
      </c>
      <c r="AV511">
        <v>8.3000000000000004E-2</v>
      </c>
      <c r="AW511" t="s">
        <v>65</v>
      </c>
      <c r="AX511">
        <v>33</v>
      </c>
      <c r="AY511">
        <v>8</v>
      </c>
      <c r="AZ511" t="s">
        <v>18911</v>
      </c>
      <c r="BA511">
        <v>3.5839999999999997E-2</v>
      </c>
      <c r="BB511">
        <v>-1.49E-3</v>
      </c>
      <c r="BC511">
        <v>2.9399999999999999E-3</v>
      </c>
      <c r="BD511">
        <v>-2.9999999999999997E-4</v>
      </c>
      <c r="BE511">
        <v>8.1920000000000007E-2</v>
      </c>
      <c r="BF511">
        <v>1</v>
      </c>
      <c r="BG511" t="s">
        <v>69</v>
      </c>
      <c r="BH511">
        <v>-0.40699999999999997</v>
      </c>
      <c r="BI511">
        <v>-0.74</v>
      </c>
    </row>
    <row r="512" spans="3:61">
      <c r="C512">
        <v>0</v>
      </c>
      <c r="D512">
        <v>2</v>
      </c>
      <c r="E512">
        <v>0</v>
      </c>
      <c r="F512" t="s">
        <v>25021</v>
      </c>
      <c r="G512">
        <v>587</v>
      </c>
      <c r="H512" t="s">
        <v>3777</v>
      </c>
      <c r="I512" t="s">
        <v>62</v>
      </c>
      <c r="J512">
        <v>614888</v>
      </c>
      <c r="K512">
        <v>615622</v>
      </c>
      <c r="L512" t="s">
        <v>3095</v>
      </c>
      <c r="M512">
        <v>245</v>
      </c>
      <c r="N512" t="s">
        <v>108</v>
      </c>
      <c r="O512">
        <v>44</v>
      </c>
      <c r="P512" t="str">
        <f>HYPERLINK("Gene587-zp_tree_all.dnd", "Gene587-tree")</f>
        <v>Gene587-tree</v>
      </c>
      <c r="Q512">
        <v>28</v>
      </c>
      <c r="R512">
        <v>5</v>
      </c>
      <c r="S512">
        <v>8</v>
      </c>
      <c r="T512">
        <v>5</v>
      </c>
      <c r="U512">
        <v>0.38462000000000002</v>
      </c>
      <c r="V512" t="s">
        <v>3778</v>
      </c>
      <c r="W512" t="s">
        <v>199</v>
      </c>
      <c r="X512" t="s">
        <v>62</v>
      </c>
      <c r="Y512" t="s">
        <v>62</v>
      </c>
      <c r="Z512">
        <v>1</v>
      </c>
      <c r="AA512">
        <v>2</v>
      </c>
      <c r="AB512">
        <v>4</v>
      </c>
      <c r="AC512">
        <v>0.33333000000000002</v>
      </c>
      <c r="AD512" s="47">
        <v>0</v>
      </c>
      <c r="AE512" s="47">
        <v>0</v>
      </c>
      <c r="AF512" s="47">
        <v>0</v>
      </c>
      <c r="AG512" s="47">
        <v>0</v>
      </c>
      <c r="AH512" s="47">
        <v>0</v>
      </c>
      <c r="AI512" s="47">
        <v>2</v>
      </c>
      <c r="AJ512" s="47">
        <v>0</v>
      </c>
      <c r="AK512" s="47">
        <v>2</v>
      </c>
      <c r="AL512">
        <v>4</v>
      </c>
      <c r="AM512">
        <v>0.33333000000000002</v>
      </c>
      <c r="AN512">
        <v>10</v>
      </c>
      <c r="AO512">
        <v>7</v>
      </c>
      <c r="AP512">
        <v>20</v>
      </c>
      <c r="AQ512">
        <v>6</v>
      </c>
      <c r="AR512">
        <v>12</v>
      </c>
      <c r="AS512">
        <v>0</v>
      </c>
      <c r="AT512" t="s">
        <v>3779</v>
      </c>
      <c r="AU512" t="s">
        <v>193</v>
      </c>
      <c r="AV512">
        <v>1.4419999999999999</v>
      </c>
      <c r="AW512" t="s">
        <v>65</v>
      </c>
      <c r="AX512">
        <v>32</v>
      </c>
      <c r="AY512">
        <v>6</v>
      </c>
      <c r="AZ512" t="s">
        <v>3780</v>
      </c>
      <c r="BA512">
        <v>3.4770000000000002E-2</v>
      </c>
      <c r="BB512">
        <v>-1.67E-3</v>
      </c>
      <c r="BC512">
        <v>1.65E-3</v>
      </c>
      <c r="BD512">
        <v>-1.7000000000000001E-4</v>
      </c>
      <c r="BE512">
        <v>4.7410000000000001E-2</v>
      </c>
      <c r="BF512">
        <v>1</v>
      </c>
      <c r="BG512" t="s">
        <v>69</v>
      </c>
      <c r="BH512">
        <v>-0.34300000000000003</v>
      </c>
      <c r="BI512">
        <v>0.43</v>
      </c>
    </row>
    <row r="513" spans="3:61">
      <c r="C513">
        <v>0</v>
      </c>
      <c r="D513">
        <v>5</v>
      </c>
      <c r="E513">
        <v>4</v>
      </c>
      <c r="F513" t="s">
        <v>25021</v>
      </c>
      <c r="G513">
        <v>2617</v>
      </c>
      <c r="H513" t="s">
        <v>15325</v>
      </c>
      <c r="I513" t="s">
        <v>57</v>
      </c>
      <c r="J513">
        <v>2595669</v>
      </c>
      <c r="K513">
        <v>2596409</v>
      </c>
      <c r="L513" t="s">
        <v>116</v>
      </c>
      <c r="M513">
        <v>247</v>
      </c>
      <c r="N513" t="s">
        <v>15326</v>
      </c>
      <c r="O513">
        <v>36</v>
      </c>
      <c r="P513" t="str">
        <f>HYPERLINK("Gene2617-zp_tree_all.dnd", "Gene2617-tree")</f>
        <v>Gene2617-tree</v>
      </c>
      <c r="Q513">
        <v>2</v>
      </c>
      <c r="R513">
        <v>10</v>
      </c>
      <c r="S513">
        <v>2</v>
      </c>
      <c r="T513">
        <v>10</v>
      </c>
      <c r="U513">
        <v>0.83333000000000002</v>
      </c>
      <c r="V513" t="s">
        <v>81</v>
      </c>
      <c r="W513" t="s">
        <v>117</v>
      </c>
      <c r="X513" t="s">
        <v>62</v>
      </c>
      <c r="Y513" t="s">
        <v>62</v>
      </c>
      <c r="Z513">
        <v>4</v>
      </c>
      <c r="AA513">
        <v>9</v>
      </c>
      <c r="AB513">
        <v>9</v>
      </c>
      <c r="AC513">
        <v>0.5</v>
      </c>
      <c r="AD513" s="47">
        <v>0</v>
      </c>
      <c r="AE513" s="47">
        <v>0</v>
      </c>
      <c r="AF513" s="47">
        <v>0</v>
      </c>
      <c r="AG513" s="47">
        <v>0</v>
      </c>
      <c r="AH513" s="47">
        <v>0</v>
      </c>
      <c r="AI513" s="47">
        <v>4</v>
      </c>
      <c r="AJ513" s="47">
        <v>4</v>
      </c>
      <c r="AK513" s="47">
        <v>8</v>
      </c>
      <c r="AL513">
        <v>8</v>
      </c>
      <c r="AM513">
        <v>0.5</v>
      </c>
      <c r="AN513">
        <v>11</v>
      </c>
      <c r="AO513">
        <v>7</v>
      </c>
      <c r="AP513">
        <v>12</v>
      </c>
      <c r="AQ513">
        <v>13</v>
      </c>
      <c r="AR513">
        <v>8</v>
      </c>
      <c r="AS513">
        <v>6</v>
      </c>
      <c r="AT513" t="s">
        <v>15327</v>
      </c>
      <c r="AU513" t="s">
        <v>15328</v>
      </c>
      <c r="AV513">
        <v>0.33900000000000002</v>
      </c>
      <c r="AW513" t="s">
        <v>65</v>
      </c>
      <c r="AX513">
        <v>20</v>
      </c>
      <c r="AY513">
        <v>19</v>
      </c>
      <c r="AZ513" t="s">
        <v>15329</v>
      </c>
      <c r="BA513">
        <v>2.8209999999999999E-2</v>
      </c>
      <c r="BB513">
        <v>-1.4499999999999999E-3</v>
      </c>
      <c r="BC513">
        <v>6.9699999999999996E-3</v>
      </c>
      <c r="BD513">
        <v>-4.0000000000000002E-4</v>
      </c>
      <c r="BE513">
        <v>0.24715000000000001</v>
      </c>
      <c r="BF513">
        <v>1</v>
      </c>
      <c r="BG513" t="s">
        <v>69</v>
      </c>
      <c r="BH513">
        <v>-0.54100000000000004</v>
      </c>
      <c r="BI513">
        <v>-1.3129999999999999</v>
      </c>
    </row>
    <row r="514" spans="3:61">
      <c r="C514">
        <v>0</v>
      </c>
      <c r="D514">
        <v>4</v>
      </c>
      <c r="E514">
        <v>2</v>
      </c>
      <c r="F514" t="s">
        <v>25021</v>
      </c>
      <c r="G514">
        <v>362</v>
      </c>
      <c r="H514" t="s">
        <v>2455</v>
      </c>
      <c r="I514" t="s">
        <v>62</v>
      </c>
      <c r="J514">
        <v>409211</v>
      </c>
      <c r="K514">
        <v>409951</v>
      </c>
      <c r="L514" t="s">
        <v>2456</v>
      </c>
      <c r="M514">
        <v>247</v>
      </c>
      <c r="N514" t="s">
        <v>59</v>
      </c>
      <c r="O514">
        <v>49</v>
      </c>
      <c r="P514" t="str">
        <f>HYPERLINK("Gene362-zp_tree_all.dnd", "Gene362-tree")</f>
        <v>Gene362-tree</v>
      </c>
      <c r="Q514">
        <v>13</v>
      </c>
      <c r="R514">
        <v>6</v>
      </c>
      <c r="S514">
        <v>13</v>
      </c>
      <c r="T514">
        <v>6</v>
      </c>
      <c r="U514">
        <v>0.31579000000000002</v>
      </c>
      <c r="V514" t="s">
        <v>507</v>
      </c>
      <c r="W514" t="s">
        <v>90</v>
      </c>
      <c r="X514" t="s">
        <v>62</v>
      </c>
      <c r="Y514" t="s">
        <v>62</v>
      </c>
      <c r="Z514">
        <v>3</v>
      </c>
      <c r="AA514">
        <v>6</v>
      </c>
      <c r="AB514">
        <v>7</v>
      </c>
      <c r="AC514">
        <v>0.46154000000000001</v>
      </c>
      <c r="AD514" s="47">
        <v>0</v>
      </c>
      <c r="AE514" s="47">
        <v>0</v>
      </c>
      <c r="AF514" s="47">
        <v>0</v>
      </c>
      <c r="AG514" s="47">
        <v>0</v>
      </c>
      <c r="AH514" s="47">
        <v>0</v>
      </c>
      <c r="AI514" s="47">
        <v>2</v>
      </c>
      <c r="AJ514" s="47">
        <v>2</v>
      </c>
      <c r="AK514" s="47">
        <v>4</v>
      </c>
      <c r="AL514">
        <v>3</v>
      </c>
      <c r="AM514">
        <v>0.57142999999999999</v>
      </c>
      <c r="AN514">
        <v>17</v>
      </c>
      <c r="AO514">
        <v>10</v>
      </c>
      <c r="AP514">
        <v>41</v>
      </c>
      <c r="AQ514">
        <v>7</v>
      </c>
      <c r="AR514">
        <v>47</v>
      </c>
      <c r="AS514">
        <v>6</v>
      </c>
      <c r="AT514" t="s">
        <v>2457</v>
      </c>
      <c r="AU514" t="s">
        <v>2458</v>
      </c>
      <c r="AV514">
        <v>0.314</v>
      </c>
      <c r="AW514" t="s">
        <v>65</v>
      </c>
      <c r="AX514">
        <v>88</v>
      </c>
      <c r="AY514">
        <v>13</v>
      </c>
      <c r="AZ514" t="s">
        <v>2459</v>
      </c>
      <c r="BA514">
        <v>0.10274</v>
      </c>
      <c r="BB514">
        <v>-6.2199999999999998E-3</v>
      </c>
      <c r="BC514">
        <v>3.8300000000000001E-3</v>
      </c>
      <c r="BD514">
        <v>-2.0000000000000001E-4</v>
      </c>
      <c r="BE514">
        <v>3.7229999999999999E-2</v>
      </c>
      <c r="BF514">
        <v>1</v>
      </c>
      <c r="BG514" t="s">
        <v>69</v>
      </c>
      <c r="BH514">
        <v>-1.349</v>
      </c>
      <c r="BI514">
        <v>-1.3080000000000001</v>
      </c>
    </row>
    <row r="515" spans="3:61">
      <c r="C515">
        <v>0</v>
      </c>
      <c r="D515">
        <v>4</v>
      </c>
      <c r="E515">
        <v>0</v>
      </c>
      <c r="F515" t="s">
        <v>25021</v>
      </c>
      <c r="G515">
        <v>3151</v>
      </c>
      <c r="H515" t="s">
        <v>18306</v>
      </c>
      <c r="I515" t="s">
        <v>57</v>
      </c>
      <c r="J515">
        <v>3108614</v>
      </c>
      <c r="K515">
        <v>3109357</v>
      </c>
      <c r="L515" t="s">
        <v>116</v>
      </c>
      <c r="M515">
        <v>248</v>
      </c>
      <c r="N515" t="s">
        <v>108</v>
      </c>
      <c r="O515">
        <v>44</v>
      </c>
      <c r="P515" t="str">
        <f>HYPERLINK("Gene3151-zp_tree_all.dnd", "Gene3151-tree")</f>
        <v>Gene3151-tree</v>
      </c>
      <c r="Q515">
        <v>5</v>
      </c>
      <c r="R515">
        <v>9</v>
      </c>
      <c r="S515">
        <v>5</v>
      </c>
      <c r="T515">
        <v>9</v>
      </c>
      <c r="U515">
        <v>0.64285999999999999</v>
      </c>
      <c r="V515" t="s">
        <v>199</v>
      </c>
      <c r="W515" t="s">
        <v>135</v>
      </c>
      <c r="X515" t="s">
        <v>62</v>
      </c>
      <c r="Y515" t="s">
        <v>62</v>
      </c>
      <c r="Z515">
        <v>2</v>
      </c>
      <c r="AA515">
        <v>4</v>
      </c>
      <c r="AB515">
        <v>14</v>
      </c>
      <c r="AC515">
        <v>0.22222</v>
      </c>
      <c r="AD515" s="47">
        <v>0</v>
      </c>
      <c r="AE515" s="47">
        <v>0</v>
      </c>
      <c r="AF515" s="47">
        <v>0</v>
      </c>
      <c r="AG515" s="47">
        <v>0</v>
      </c>
      <c r="AH515" s="47">
        <v>0</v>
      </c>
      <c r="AI515" s="47">
        <v>0</v>
      </c>
      <c r="AJ515" s="47">
        <v>0</v>
      </c>
      <c r="AK515" s="47">
        <v>0</v>
      </c>
      <c r="AL515">
        <v>14</v>
      </c>
      <c r="AM515">
        <v>0</v>
      </c>
      <c r="AN515">
        <v>12</v>
      </c>
      <c r="AO515">
        <v>9</v>
      </c>
      <c r="AP515">
        <v>19</v>
      </c>
      <c r="AQ515">
        <v>13</v>
      </c>
      <c r="AR515">
        <v>17</v>
      </c>
      <c r="AS515">
        <v>5</v>
      </c>
      <c r="AT515" t="s">
        <v>18307</v>
      </c>
      <c r="AU515" t="s">
        <v>18308</v>
      </c>
      <c r="AV515">
        <v>1.1020000000000001</v>
      </c>
      <c r="AW515" t="s">
        <v>65</v>
      </c>
      <c r="AX515">
        <v>36</v>
      </c>
      <c r="AY515">
        <v>18</v>
      </c>
      <c r="AZ515" t="s">
        <v>18309</v>
      </c>
      <c r="BA515">
        <v>4.725E-2</v>
      </c>
      <c r="BB515">
        <v>-1.81E-3</v>
      </c>
      <c r="BC515">
        <v>6.2599999999999999E-3</v>
      </c>
      <c r="BD515">
        <v>-3.3E-4</v>
      </c>
      <c r="BE515">
        <v>0.13244</v>
      </c>
      <c r="BF515">
        <v>1</v>
      </c>
      <c r="BG515" t="s">
        <v>69</v>
      </c>
      <c r="BH515">
        <v>-0.93700000000000006</v>
      </c>
      <c r="BI515">
        <v>-0.6</v>
      </c>
    </row>
    <row r="516" spans="3:61">
      <c r="C516">
        <v>0</v>
      </c>
      <c r="D516">
        <v>0</v>
      </c>
      <c r="E516">
        <v>0</v>
      </c>
      <c r="F516" t="s">
        <v>25021</v>
      </c>
      <c r="G516">
        <v>1333</v>
      </c>
      <c r="H516" t="s">
        <v>8342</v>
      </c>
      <c r="I516" t="s">
        <v>62</v>
      </c>
      <c r="J516">
        <v>1348615</v>
      </c>
      <c r="K516">
        <v>1349358</v>
      </c>
      <c r="L516" t="s">
        <v>8343</v>
      </c>
      <c r="M516">
        <v>248</v>
      </c>
      <c r="N516" t="s">
        <v>108</v>
      </c>
      <c r="O516">
        <v>44</v>
      </c>
      <c r="P516" t="str">
        <f>HYPERLINK("Gene1333-zp_tree_all.dnd", "Gene1333-tree")</f>
        <v>Gene1333-tree</v>
      </c>
      <c r="Q516">
        <v>10</v>
      </c>
      <c r="R516">
        <v>4</v>
      </c>
      <c r="S516">
        <v>10</v>
      </c>
      <c r="T516">
        <v>4</v>
      </c>
      <c r="U516">
        <v>0.28571000000000002</v>
      </c>
      <c r="V516" t="s">
        <v>117</v>
      </c>
      <c r="W516" t="s">
        <v>61</v>
      </c>
      <c r="X516" t="s">
        <v>62</v>
      </c>
      <c r="Y516" t="s">
        <v>62</v>
      </c>
      <c r="Z516">
        <v>0</v>
      </c>
      <c r="AA516">
        <v>0</v>
      </c>
      <c r="AB516">
        <v>5</v>
      </c>
      <c r="AC516">
        <v>0</v>
      </c>
      <c r="AD516" s="47">
        <v>0</v>
      </c>
      <c r="AE516" s="47">
        <v>0</v>
      </c>
      <c r="AF516" s="47">
        <v>0</v>
      </c>
      <c r="AG516" s="47">
        <v>0</v>
      </c>
      <c r="AH516" s="47">
        <v>0</v>
      </c>
      <c r="AI516" s="47">
        <v>0</v>
      </c>
      <c r="AJ516" s="47">
        <v>0</v>
      </c>
      <c r="AK516" s="47">
        <v>0</v>
      </c>
      <c r="AL516">
        <v>5</v>
      </c>
      <c r="AM516">
        <v>0</v>
      </c>
      <c r="AN516">
        <v>10</v>
      </c>
      <c r="AO516">
        <v>5</v>
      </c>
      <c r="AP516">
        <v>9</v>
      </c>
      <c r="AQ516">
        <v>5</v>
      </c>
      <c r="AR516">
        <v>7</v>
      </c>
      <c r="AS516">
        <v>0</v>
      </c>
      <c r="AT516" t="s">
        <v>8344</v>
      </c>
      <c r="AU516" t="s">
        <v>193</v>
      </c>
      <c r="AV516">
        <v>1.3129999999999999</v>
      </c>
      <c r="AW516" t="s">
        <v>65</v>
      </c>
      <c r="AX516">
        <v>16</v>
      </c>
      <c r="AY516">
        <v>5</v>
      </c>
      <c r="AZ516" t="s">
        <v>8345</v>
      </c>
      <c r="BA516">
        <v>2.2329999999999999E-2</v>
      </c>
      <c r="BB516">
        <v>-1.08E-3</v>
      </c>
      <c r="BC516">
        <v>1.25E-3</v>
      </c>
      <c r="BD516">
        <v>-1.4999999999999999E-4</v>
      </c>
      <c r="BE516">
        <v>5.6070000000000002E-2</v>
      </c>
      <c r="BF516">
        <v>1</v>
      </c>
      <c r="BG516" t="s">
        <v>69</v>
      </c>
      <c r="BH516">
        <v>-0.28100000000000003</v>
      </c>
      <c r="BI516">
        <v>-0.56699999999999995</v>
      </c>
    </row>
    <row r="517" spans="3:61">
      <c r="C517">
        <v>0</v>
      </c>
      <c r="D517">
        <v>17</v>
      </c>
      <c r="E517">
        <v>8</v>
      </c>
      <c r="F517" t="s">
        <v>25021</v>
      </c>
      <c r="G517">
        <v>236</v>
      </c>
      <c r="H517" t="s">
        <v>1598</v>
      </c>
      <c r="I517" t="s">
        <v>62</v>
      </c>
      <c r="J517">
        <v>256826</v>
      </c>
      <c r="K517">
        <v>257572</v>
      </c>
      <c r="L517" t="s">
        <v>1599</v>
      </c>
      <c r="M517">
        <v>249</v>
      </c>
      <c r="N517" t="s">
        <v>108</v>
      </c>
      <c r="O517">
        <v>44</v>
      </c>
      <c r="P517" t="str">
        <f>HYPERLINK("Gene236-zp_tree_all.dnd", "Gene236-tree")</f>
        <v>Gene236-tree</v>
      </c>
      <c r="Q517">
        <v>2</v>
      </c>
      <c r="R517">
        <v>29</v>
      </c>
      <c r="S517">
        <v>2</v>
      </c>
      <c r="T517">
        <v>12</v>
      </c>
      <c r="U517">
        <v>0.85714000000000001</v>
      </c>
      <c r="V517" t="s">
        <v>81</v>
      </c>
      <c r="W517" t="s">
        <v>1455</v>
      </c>
      <c r="X517">
        <v>0.96199999999999997</v>
      </c>
      <c r="Y517" t="s">
        <v>65</v>
      </c>
      <c r="Z517">
        <v>9</v>
      </c>
      <c r="AA517">
        <v>25</v>
      </c>
      <c r="AB517">
        <v>16</v>
      </c>
      <c r="AC517">
        <v>0.60975999999999997</v>
      </c>
      <c r="AD517" s="47">
        <v>0</v>
      </c>
      <c r="AE517" s="47">
        <v>0</v>
      </c>
      <c r="AF517" s="47">
        <v>0</v>
      </c>
      <c r="AG517" s="47">
        <v>0</v>
      </c>
      <c r="AH517" s="47">
        <v>0</v>
      </c>
      <c r="AI517" s="47">
        <v>8</v>
      </c>
      <c r="AJ517" s="47">
        <v>7</v>
      </c>
      <c r="AK517" s="47">
        <v>15</v>
      </c>
      <c r="AL517">
        <v>18</v>
      </c>
      <c r="AM517">
        <v>0.45455000000000001</v>
      </c>
      <c r="AN517">
        <v>13</v>
      </c>
      <c r="AO517">
        <v>10</v>
      </c>
      <c r="AP517">
        <v>29</v>
      </c>
      <c r="AQ517">
        <v>33</v>
      </c>
      <c r="AR517">
        <v>19</v>
      </c>
      <c r="AS517">
        <v>9</v>
      </c>
      <c r="AT517" t="s">
        <v>1600</v>
      </c>
      <c r="AU517" t="s">
        <v>1601</v>
      </c>
      <c r="AV517">
        <v>1.35</v>
      </c>
      <c r="AW517" t="s">
        <v>65</v>
      </c>
      <c r="AX517">
        <v>48</v>
      </c>
      <c r="AY517">
        <v>42</v>
      </c>
      <c r="AZ517" t="s">
        <v>1602</v>
      </c>
      <c r="BA517">
        <v>5.5500000000000001E-2</v>
      </c>
      <c r="BB517">
        <v>-2.2799999999999999E-3</v>
      </c>
      <c r="BC517">
        <v>1.124E-2</v>
      </c>
      <c r="BD517">
        <v>-5.0000000000000001E-4</v>
      </c>
      <c r="BE517">
        <v>0.20258999999999999</v>
      </c>
      <c r="BF517">
        <v>1</v>
      </c>
      <c r="BG517" t="s">
        <v>69</v>
      </c>
      <c r="BH517">
        <v>-0.755</v>
      </c>
      <c r="BI517">
        <v>-2.0859999999999999</v>
      </c>
    </row>
    <row r="518" spans="3:61">
      <c r="C518">
        <v>0</v>
      </c>
      <c r="D518">
        <v>2</v>
      </c>
      <c r="E518">
        <v>0</v>
      </c>
      <c r="F518" t="s">
        <v>25021</v>
      </c>
      <c r="G518">
        <v>392</v>
      </c>
      <c r="H518" t="s">
        <v>2653</v>
      </c>
      <c r="I518" t="s">
        <v>62</v>
      </c>
      <c r="J518">
        <v>438519</v>
      </c>
      <c r="K518">
        <v>439265</v>
      </c>
      <c r="L518" t="s">
        <v>2654</v>
      </c>
      <c r="M518">
        <v>249</v>
      </c>
      <c r="N518" t="s">
        <v>108</v>
      </c>
      <c r="O518">
        <v>44</v>
      </c>
      <c r="P518" t="str">
        <f>HYPERLINK("Gene392-zp_tree_all.dnd", "Gene392-tree")</f>
        <v>Gene392-tree</v>
      </c>
      <c r="Q518">
        <v>29</v>
      </c>
      <c r="R518">
        <v>3</v>
      </c>
      <c r="S518">
        <v>12</v>
      </c>
      <c r="T518">
        <v>3</v>
      </c>
      <c r="U518">
        <v>0.2</v>
      </c>
      <c r="V518" t="s">
        <v>1455</v>
      </c>
      <c r="W518" t="s">
        <v>324</v>
      </c>
      <c r="X518" t="s">
        <v>62</v>
      </c>
      <c r="Y518" t="s">
        <v>62</v>
      </c>
      <c r="Z518">
        <v>1</v>
      </c>
      <c r="AA518">
        <v>2</v>
      </c>
      <c r="AB518">
        <v>2</v>
      </c>
      <c r="AC518">
        <v>0.5</v>
      </c>
      <c r="AD518" s="47">
        <v>0</v>
      </c>
      <c r="AE518" s="47">
        <v>0</v>
      </c>
      <c r="AF518" s="47">
        <v>0</v>
      </c>
      <c r="AG518" s="47">
        <v>1</v>
      </c>
      <c r="AH518" s="47">
        <v>0</v>
      </c>
      <c r="AI518" s="47">
        <v>0</v>
      </c>
      <c r="AJ518" s="47">
        <v>0</v>
      </c>
      <c r="AK518" s="47">
        <v>0</v>
      </c>
      <c r="AL518">
        <v>3</v>
      </c>
      <c r="AM518">
        <v>0</v>
      </c>
      <c r="AN518">
        <v>11</v>
      </c>
      <c r="AO518">
        <v>6</v>
      </c>
      <c r="AP518">
        <v>13</v>
      </c>
      <c r="AQ518">
        <v>3</v>
      </c>
      <c r="AR518">
        <v>8</v>
      </c>
      <c r="AS518">
        <v>1</v>
      </c>
      <c r="AT518" t="s">
        <v>2655</v>
      </c>
      <c r="AU518" t="s">
        <v>2656</v>
      </c>
      <c r="AV518">
        <v>0.28100000000000003</v>
      </c>
      <c r="AW518" t="s">
        <v>65</v>
      </c>
      <c r="AX518">
        <v>21</v>
      </c>
      <c r="AY518">
        <v>4</v>
      </c>
      <c r="AZ518" t="s">
        <v>2657</v>
      </c>
      <c r="BA518">
        <v>2.4389999999999998E-2</v>
      </c>
      <c r="BB518">
        <v>-1.1199999999999999E-3</v>
      </c>
      <c r="BC518">
        <v>1.07E-3</v>
      </c>
      <c r="BD518">
        <v>-1E-4</v>
      </c>
      <c r="BE518">
        <v>4.3770000000000003E-2</v>
      </c>
      <c r="BF518">
        <v>1</v>
      </c>
      <c r="BG518" t="s">
        <v>69</v>
      </c>
      <c r="BH518">
        <v>-0.58699999999999997</v>
      </c>
      <c r="BI518">
        <v>-1.389</v>
      </c>
    </row>
    <row r="519" spans="3:61">
      <c r="C519">
        <v>0</v>
      </c>
      <c r="D519">
        <v>0</v>
      </c>
      <c r="E519">
        <v>0</v>
      </c>
      <c r="F519" t="s">
        <v>25021</v>
      </c>
      <c r="G519">
        <v>804</v>
      </c>
      <c r="H519" t="s">
        <v>4998</v>
      </c>
      <c r="I519" t="s">
        <v>62</v>
      </c>
      <c r="J519">
        <v>839738</v>
      </c>
      <c r="K519">
        <v>840484</v>
      </c>
      <c r="L519" t="s">
        <v>4999</v>
      </c>
      <c r="M519">
        <v>249</v>
      </c>
      <c r="N519" t="s">
        <v>572</v>
      </c>
      <c r="O519">
        <v>48</v>
      </c>
      <c r="P519" t="str">
        <f>HYPERLINK("Gene804-zp_tree_all.dnd", "Gene804-tree")</f>
        <v>Gene804-tree</v>
      </c>
      <c r="Q519">
        <v>31</v>
      </c>
      <c r="R519">
        <v>5</v>
      </c>
      <c r="S519">
        <v>12</v>
      </c>
      <c r="T519">
        <v>5</v>
      </c>
      <c r="U519">
        <v>0.29411999999999999</v>
      </c>
      <c r="V519" t="s">
        <v>5000</v>
      </c>
      <c r="W519" t="s">
        <v>199</v>
      </c>
      <c r="X519" t="s">
        <v>62</v>
      </c>
      <c r="Y519" t="s">
        <v>62</v>
      </c>
      <c r="Z519">
        <v>0</v>
      </c>
      <c r="AA519">
        <v>0</v>
      </c>
      <c r="AB519">
        <v>7</v>
      </c>
      <c r="AC519">
        <v>0</v>
      </c>
      <c r="AD519" s="47">
        <v>0</v>
      </c>
      <c r="AE519" s="47">
        <v>0</v>
      </c>
      <c r="AF519" s="47">
        <v>0</v>
      </c>
      <c r="AG519" s="47">
        <v>0</v>
      </c>
      <c r="AH519" s="47">
        <v>0</v>
      </c>
      <c r="AI519" s="47">
        <v>0</v>
      </c>
      <c r="AJ519" s="47">
        <v>0</v>
      </c>
      <c r="AK519" s="47">
        <v>0</v>
      </c>
      <c r="AL519">
        <v>6</v>
      </c>
      <c r="AM519">
        <v>0</v>
      </c>
      <c r="AN519">
        <v>15</v>
      </c>
      <c r="AO519">
        <v>11</v>
      </c>
      <c r="AP519">
        <v>46</v>
      </c>
      <c r="AQ519">
        <v>6</v>
      </c>
      <c r="AR519">
        <v>42</v>
      </c>
      <c r="AS519">
        <v>1</v>
      </c>
      <c r="AT519" t="s">
        <v>5001</v>
      </c>
      <c r="AU519" t="s">
        <v>5002</v>
      </c>
      <c r="AV519">
        <v>0.76500000000000001</v>
      </c>
      <c r="AW519" t="s">
        <v>65</v>
      </c>
      <c r="AX519">
        <v>88</v>
      </c>
      <c r="AY519">
        <v>7</v>
      </c>
      <c r="AZ519" t="s">
        <v>5003</v>
      </c>
      <c r="BA519">
        <v>0.11867</v>
      </c>
      <c r="BB519">
        <v>-8.7399999999999995E-3</v>
      </c>
      <c r="BC519">
        <v>2.0100000000000001E-3</v>
      </c>
      <c r="BD519">
        <v>-1.3999999999999999E-4</v>
      </c>
      <c r="BE519">
        <v>1.6920000000000001E-2</v>
      </c>
      <c r="BF519">
        <v>1</v>
      </c>
      <c r="BG519" t="s">
        <v>69</v>
      </c>
      <c r="BH519">
        <v>-1.4059999999999999</v>
      </c>
      <c r="BI519">
        <v>-1.68</v>
      </c>
    </row>
    <row r="520" spans="3:61">
      <c r="C520">
        <v>0</v>
      </c>
      <c r="D520">
        <v>9</v>
      </c>
      <c r="E520">
        <v>0</v>
      </c>
      <c r="F520" t="s">
        <v>25021</v>
      </c>
      <c r="G520">
        <v>161</v>
      </c>
      <c r="H520" t="s">
        <v>1137</v>
      </c>
      <c r="I520" t="s">
        <v>62</v>
      </c>
      <c r="J520">
        <v>179598</v>
      </c>
      <c r="K520">
        <v>180347</v>
      </c>
      <c r="L520" t="s">
        <v>1138</v>
      </c>
      <c r="M520">
        <v>250</v>
      </c>
      <c r="N520" t="s">
        <v>1139</v>
      </c>
      <c r="O520">
        <v>42</v>
      </c>
      <c r="P520" t="str">
        <f>HYPERLINK("Gene161-zp_tree_all.dnd", "Gene161-tree")</f>
        <v>Gene161-tree</v>
      </c>
      <c r="Q520">
        <v>0</v>
      </c>
      <c r="R520">
        <v>10</v>
      </c>
      <c r="S520">
        <v>0</v>
      </c>
      <c r="T520">
        <v>10</v>
      </c>
      <c r="U520">
        <v>1</v>
      </c>
      <c r="V520" t="s">
        <v>62</v>
      </c>
      <c r="W520" t="s">
        <v>117</v>
      </c>
      <c r="X520" t="s">
        <v>62</v>
      </c>
      <c r="Y520" t="s">
        <v>62</v>
      </c>
      <c r="Z520">
        <v>4</v>
      </c>
      <c r="AA520">
        <v>9</v>
      </c>
      <c r="AB520">
        <v>26</v>
      </c>
      <c r="AC520">
        <v>0.25713999999999998</v>
      </c>
      <c r="AD520" s="47">
        <v>0</v>
      </c>
      <c r="AE520" s="47">
        <v>0</v>
      </c>
      <c r="AF520" s="47">
        <v>0</v>
      </c>
      <c r="AG520" s="47">
        <v>0</v>
      </c>
      <c r="AH520" s="47">
        <v>0</v>
      </c>
      <c r="AI520" s="47">
        <v>6</v>
      </c>
      <c r="AJ520" s="47">
        <v>0</v>
      </c>
      <c r="AK520" s="47">
        <v>6</v>
      </c>
      <c r="AL520">
        <v>25</v>
      </c>
      <c r="AM520">
        <v>0.19355</v>
      </c>
      <c r="AN520">
        <v>10</v>
      </c>
      <c r="AO520">
        <v>4</v>
      </c>
      <c r="AP520">
        <v>12</v>
      </c>
      <c r="AQ520">
        <v>32</v>
      </c>
      <c r="AR520">
        <v>7</v>
      </c>
      <c r="AS520">
        <v>4</v>
      </c>
      <c r="AT520" t="s">
        <v>1140</v>
      </c>
      <c r="AU520" t="s">
        <v>1141</v>
      </c>
      <c r="AV520">
        <v>0.85099999999999998</v>
      </c>
      <c r="AW520" t="s">
        <v>65</v>
      </c>
      <c r="AX520">
        <v>19</v>
      </c>
      <c r="AY520">
        <v>36</v>
      </c>
      <c r="AZ520" t="s">
        <v>1142</v>
      </c>
      <c r="BA520">
        <v>2.8899999999999999E-2</v>
      </c>
      <c r="BB520">
        <v>-2.4299999999999999E-3</v>
      </c>
      <c r="BC520">
        <v>1.316E-2</v>
      </c>
      <c r="BD520">
        <v>-1.1100000000000001E-3</v>
      </c>
      <c r="BE520">
        <v>0.45545000000000002</v>
      </c>
      <c r="BF520">
        <v>0.99</v>
      </c>
      <c r="BG520" t="s">
        <v>69</v>
      </c>
      <c r="BH520">
        <v>-1.01</v>
      </c>
      <c r="BI520">
        <v>-0.65100000000000002</v>
      </c>
    </row>
    <row r="521" spans="3:61">
      <c r="C521">
        <v>0</v>
      </c>
      <c r="D521">
        <v>4</v>
      </c>
      <c r="E521">
        <v>2</v>
      </c>
      <c r="F521" t="s">
        <v>25021</v>
      </c>
      <c r="G521">
        <v>1269</v>
      </c>
      <c r="H521" t="s">
        <v>7956</v>
      </c>
      <c r="I521" t="s">
        <v>62</v>
      </c>
      <c r="J521">
        <v>1295751</v>
      </c>
      <c r="K521">
        <v>1296500</v>
      </c>
      <c r="L521" t="s">
        <v>5350</v>
      </c>
      <c r="M521">
        <v>250</v>
      </c>
      <c r="N521" t="s">
        <v>108</v>
      </c>
      <c r="O521">
        <v>44</v>
      </c>
      <c r="P521" t="str">
        <f>HYPERLINK("Gene1269-zp_tree_all.dnd", "Gene1269-tree")</f>
        <v>Gene1269-tree</v>
      </c>
      <c r="Q521">
        <v>7</v>
      </c>
      <c r="R521">
        <v>5</v>
      </c>
      <c r="S521">
        <v>7</v>
      </c>
      <c r="T521">
        <v>5</v>
      </c>
      <c r="U521">
        <v>0.41666999999999998</v>
      </c>
      <c r="V521" t="s">
        <v>152</v>
      </c>
      <c r="W521" t="s">
        <v>199</v>
      </c>
      <c r="X521" t="s">
        <v>62</v>
      </c>
      <c r="Y521" t="s">
        <v>62</v>
      </c>
      <c r="Z521">
        <v>3</v>
      </c>
      <c r="AA521">
        <v>6</v>
      </c>
      <c r="AB521">
        <v>16</v>
      </c>
      <c r="AC521">
        <v>0.27272999999999997</v>
      </c>
      <c r="AD521" s="47">
        <v>0</v>
      </c>
      <c r="AE521" s="47">
        <v>0</v>
      </c>
      <c r="AF521" s="47">
        <v>0</v>
      </c>
      <c r="AG521" s="47">
        <v>0</v>
      </c>
      <c r="AH521" s="47">
        <v>0</v>
      </c>
      <c r="AI521" s="47">
        <v>0</v>
      </c>
      <c r="AJ521" s="47">
        <v>0</v>
      </c>
      <c r="AK521" s="47">
        <v>0</v>
      </c>
      <c r="AL521">
        <v>14</v>
      </c>
      <c r="AM521">
        <v>0</v>
      </c>
      <c r="AN521">
        <v>10</v>
      </c>
      <c r="AO521">
        <v>7</v>
      </c>
      <c r="AP521">
        <v>28</v>
      </c>
      <c r="AQ521">
        <v>14</v>
      </c>
      <c r="AR521">
        <v>15</v>
      </c>
      <c r="AS521">
        <v>8</v>
      </c>
      <c r="AT521" t="s">
        <v>7957</v>
      </c>
      <c r="AU521" t="s">
        <v>7958</v>
      </c>
      <c r="AV521">
        <v>7.1999999999999995E-2</v>
      </c>
      <c r="AW521" t="s">
        <v>65</v>
      </c>
      <c r="AX521">
        <v>43</v>
      </c>
      <c r="AY521">
        <v>22</v>
      </c>
      <c r="AZ521" t="s">
        <v>7959</v>
      </c>
      <c r="BA521">
        <v>4.9880000000000001E-2</v>
      </c>
      <c r="BB521">
        <v>-2.49E-3</v>
      </c>
      <c r="BC521">
        <v>8.7100000000000007E-3</v>
      </c>
      <c r="BD521">
        <v>-5.9999999999999995E-4</v>
      </c>
      <c r="BE521">
        <v>0.17459</v>
      </c>
      <c r="BF521">
        <v>1</v>
      </c>
      <c r="BG521" t="s">
        <v>69</v>
      </c>
      <c r="BH521">
        <v>-0.84199999999999997</v>
      </c>
      <c r="BI521">
        <v>-0.91900000000000004</v>
      </c>
    </row>
    <row r="522" spans="3:61">
      <c r="C522">
        <v>0</v>
      </c>
      <c r="D522">
        <v>2</v>
      </c>
      <c r="E522">
        <v>0</v>
      </c>
      <c r="F522" t="s">
        <v>25021</v>
      </c>
      <c r="G522">
        <v>3621</v>
      </c>
      <c r="H522" t="s">
        <v>21265</v>
      </c>
      <c r="I522" t="s">
        <v>57</v>
      </c>
      <c r="J522">
        <v>3589611</v>
      </c>
      <c r="K522">
        <v>3590360</v>
      </c>
      <c r="L522" t="s">
        <v>21266</v>
      </c>
      <c r="M522">
        <v>250</v>
      </c>
      <c r="N522" t="s">
        <v>108</v>
      </c>
      <c r="O522">
        <v>44</v>
      </c>
      <c r="P522" t="str">
        <f>HYPERLINK("Gene3621-zp_tree_all.dnd", "Gene3621-tree")</f>
        <v>Gene3621-tree</v>
      </c>
      <c r="Q522">
        <v>7</v>
      </c>
      <c r="R522">
        <v>4</v>
      </c>
      <c r="S522">
        <v>7</v>
      </c>
      <c r="T522">
        <v>4</v>
      </c>
      <c r="U522">
        <v>0.36364000000000002</v>
      </c>
      <c r="V522" t="s">
        <v>152</v>
      </c>
      <c r="W522" t="s">
        <v>61</v>
      </c>
      <c r="X522" t="s">
        <v>62</v>
      </c>
      <c r="Y522" t="s">
        <v>62</v>
      </c>
      <c r="Z522">
        <v>1</v>
      </c>
      <c r="AA522">
        <v>2</v>
      </c>
      <c r="AB522">
        <v>7</v>
      </c>
      <c r="AC522">
        <v>0.22222</v>
      </c>
      <c r="AD522" s="47">
        <v>0</v>
      </c>
      <c r="AE522" s="47">
        <v>0</v>
      </c>
      <c r="AF522" s="47">
        <v>0</v>
      </c>
      <c r="AG522" s="47">
        <v>0</v>
      </c>
      <c r="AH522" s="47">
        <v>0</v>
      </c>
      <c r="AI522" s="47">
        <v>2</v>
      </c>
      <c r="AJ522" s="47">
        <v>0</v>
      </c>
      <c r="AK522" s="47">
        <v>2</v>
      </c>
      <c r="AL522">
        <v>5</v>
      </c>
      <c r="AM522">
        <v>0.28571000000000002</v>
      </c>
      <c r="AN522">
        <v>8</v>
      </c>
      <c r="AO522">
        <v>8</v>
      </c>
      <c r="AP522">
        <v>16</v>
      </c>
      <c r="AQ522">
        <v>6</v>
      </c>
      <c r="AR522">
        <v>12</v>
      </c>
      <c r="AS522">
        <v>3</v>
      </c>
      <c r="AT522" t="s">
        <v>21267</v>
      </c>
      <c r="AU522" t="s">
        <v>21268</v>
      </c>
      <c r="AV522">
        <v>0.33600000000000002</v>
      </c>
      <c r="AW522" t="s">
        <v>65</v>
      </c>
      <c r="AX522">
        <v>28</v>
      </c>
      <c r="AY522">
        <v>9</v>
      </c>
      <c r="AZ522" t="s">
        <v>21269</v>
      </c>
      <c r="BA522">
        <v>4.0280000000000003E-2</v>
      </c>
      <c r="BB522">
        <v>-1.6999999999999999E-3</v>
      </c>
      <c r="BC522">
        <v>3.8899999999999998E-3</v>
      </c>
      <c r="BD522">
        <v>-3.5E-4</v>
      </c>
      <c r="BE522">
        <v>9.6589999999999995E-2</v>
      </c>
      <c r="BF522">
        <v>1</v>
      </c>
      <c r="BG522" t="s">
        <v>69</v>
      </c>
      <c r="BH522">
        <v>-0.39500000000000002</v>
      </c>
      <c r="BI522">
        <v>-0.42499999999999999</v>
      </c>
    </row>
    <row r="523" spans="3:61">
      <c r="C523">
        <v>0</v>
      </c>
      <c r="D523">
        <v>0</v>
      </c>
      <c r="E523">
        <v>0</v>
      </c>
      <c r="F523" t="s">
        <v>25021</v>
      </c>
      <c r="G523">
        <v>1268</v>
      </c>
      <c r="H523" t="s">
        <v>7950</v>
      </c>
      <c r="I523" t="s">
        <v>62</v>
      </c>
      <c r="J523">
        <v>1294999</v>
      </c>
      <c r="K523">
        <v>1295748</v>
      </c>
      <c r="L523" t="s">
        <v>5916</v>
      </c>
      <c r="M523">
        <v>250</v>
      </c>
      <c r="N523" t="s">
        <v>108</v>
      </c>
      <c r="O523">
        <v>44</v>
      </c>
      <c r="P523" t="str">
        <f>HYPERLINK("Gene1268-zp_tree_all.dnd", "Gene1268-tree")</f>
        <v>Gene1268-tree</v>
      </c>
      <c r="Q523">
        <v>10</v>
      </c>
      <c r="R523">
        <v>4</v>
      </c>
      <c r="S523">
        <v>10</v>
      </c>
      <c r="T523">
        <v>4</v>
      </c>
      <c r="U523">
        <v>0.28571000000000002</v>
      </c>
      <c r="V523" t="s">
        <v>117</v>
      </c>
      <c r="W523" t="s">
        <v>61</v>
      </c>
      <c r="X523" t="s">
        <v>62</v>
      </c>
      <c r="Y523" t="s">
        <v>62</v>
      </c>
      <c r="Z523">
        <v>0</v>
      </c>
      <c r="AA523">
        <v>0</v>
      </c>
      <c r="AB523">
        <v>5</v>
      </c>
      <c r="AC523">
        <v>0</v>
      </c>
      <c r="AD523" s="47">
        <v>0</v>
      </c>
      <c r="AE523" s="47">
        <v>0</v>
      </c>
      <c r="AF523" s="47">
        <v>0</v>
      </c>
      <c r="AG523" s="47">
        <v>0</v>
      </c>
      <c r="AH523" s="47">
        <v>0</v>
      </c>
      <c r="AI523" s="47">
        <v>0</v>
      </c>
      <c r="AJ523" s="47">
        <v>0</v>
      </c>
      <c r="AK523" s="47">
        <v>0</v>
      </c>
      <c r="AL523">
        <v>4</v>
      </c>
      <c r="AM523">
        <v>0</v>
      </c>
      <c r="AN523">
        <v>12</v>
      </c>
      <c r="AO523">
        <v>6</v>
      </c>
      <c r="AP523">
        <v>23</v>
      </c>
      <c r="AQ523">
        <v>3</v>
      </c>
      <c r="AR523">
        <v>14</v>
      </c>
      <c r="AS523">
        <v>2</v>
      </c>
      <c r="AT523" t="s">
        <v>7951</v>
      </c>
      <c r="AU523" t="s">
        <v>7952</v>
      </c>
      <c r="AV523">
        <v>6.7000000000000004E-2</v>
      </c>
      <c r="AW523" t="s">
        <v>65</v>
      </c>
      <c r="AX523">
        <v>37</v>
      </c>
      <c r="AY523">
        <v>5</v>
      </c>
      <c r="AZ523" t="s">
        <v>7953</v>
      </c>
      <c r="BA523">
        <v>4.36E-2</v>
      </c>
      <c r="BB523">
        <v>-2.0300000000000001E-3</v>
      </c>
      <c r="BC523">
        <v>1.8799999999999999E-3</v>
      </c>
      <c r="BD523">
        <v>-1.9000000000000001E-4</v>
      </c>
      <c r="BE523">
        <v>4.3159999999999997E-2</v>
      </c>
      <c r="BF523">
        <v>1</v>
      </c>
      <c r="BG523" t="s">
        <v>69</v>
      </c>
      <c r="BH523">
        <v>-1.0549999999999999</v>
      </c>
      <c r="BI523">
        <v>-0.84199999999999997</v>
      </c>
    </row>
    <row r="524" spans="3:61">
      <c r="C524">
        <v>0</v>
      </c>
      <c r="D524">
        <v>0</v>
      </c>
      <c r="E524">
        <v>0</v>
      </c>
      <c r="F524" t="s">
        <v>25021</v>
      </c>
      <c r="G524">
        <v>4118</v>
      </c>
      <c r="H524" t="s">
        <v>24268</v>
      </c>
      <c r="I524" t="s">
        <v>57</v>
      </c>
      <c r="J524">
        <v>4084799</v>
      </c>
      <c r="K524">
        <v>4085551</v>
      </c>
      <c r="L524" t="s">
        <v>24269</v>
      </c>
      <c r="M524">
        <v>251</v>
      </c>
      <c r="N524" t="s">
        <v>125</v>
      </c>
      <c r="O524">
        <v>48</v>
      </c>
      <c r="P524" t="str">
        <f>HYPERLINK("Gene4118-zp_tree_all.dnd", "Gene4118-tree")</f>
        <v>Gene4118-tree</v>
      </c>
      <c r="Q524">
        <v>17</v>
      </c>
      <c r="R524">
        <v>3</v>
      </c>
      <c r="S524">
        <v>17</v>
      </c>
      <c r="T524">
        <v>3</v>
      </c>
      <c r="U524">
        <v>0.15</v>
      </c>
      <c r="V524" t="s">
        <v>266</v>
      </c>
      <c r="W524" t="s">
        <v>324</v>
      </c>
      <c r="X524" t="s">
        <v>62</v>
      </c>
      <c r="Y524" t="s">
        <v>62</v>
      </c>
      <c r="Z524">
        <v>0</v>
      </c>
      <c r="AA524">
        <v>0</v>
      </c>
      <c r="AB524">
        <v>8</v>
      </c>
      <c r="AC524">
        <v>0</v>
      </c>
      <c r="AD524" s="47">
        <v>0</v>
      </c>
      <c r="AE524" s="47">
        <v>0</v>
      </c>
      <c r="AF524" s="47">
        <v>0</v>
      </c>
      <c r="AG524" s="47">
        <v>0</v>
      </c>
      <c r="AH524" s="47">
        <v>0</v>
      </c>
      <c r="AI524" s="47">
        <v>0</v>
      </c>
      <c r="AJ524" s="47">
        <v>0</v>
      </c>
      <c r="AK524" s="47">
        <v>0</v>
      </c>
      <c r="AL524">
        <v>5</v>
      </c>
      <c r="AM524">
        <v>0</v>
      </c>
      <c r="AN524">
        <v>14</v>
      </c>
      <c r="AO524">
        <v>13</v>
      </c>
      <c r="AP524">
        <v>21</v>
      </c>
      <c r="AQ524">
        <v>5</v>
      </c>
      <c r="AR524">
        <v>49</v>
      </c>
      <c r="AS524">
        <v>3</v>
      </c>
      <c r="AT524" t="s">
        <v>24270</v>
      </c>
      <c r="AU524" t="s">
        <v>24271</v>
      </c>
      <c r="AV524">
        <v>0.50600000000000001</v>
      </c>
      <c r="AW524" t="s">
        <v>65</v>
      </c>
      <c r="AX524">
        <v>70</v>
      </c>
      <c r="AY524">
        <v>8</v>
      </c>
      <c r="AZ524" t="s">
        <v>24272</v>
      </c>
      <c r="BA524">
        <v>8.5900000000000004E-2</v>
      </c>
      <c r="BB524">
        <v>-5.8599999999999998E-3</v>
      </c>
      <c r="BC524">
        <v>2.1299999999999999E-3</v>
      </c>
      <c r="BD524">
        <v>-1.9000000000000001E-4</v>
      </c>
      <c r="BE524">
        <v>2.4809999999999999E-2</v>
      </c>
      <c r="BF524">
        <v>1</v>
      </c>
      <c r="BG524" t="s">
        <v>69</v>
      </c>
      <c r="BH524">
        <v>-1.478</v>
      </c>
      <c r="BI524">
        <v>-6.2E-2</v>
      </c>
    </row>
    <row r="525" spans="3:61">
      <c r="C525">
        <v>0</v>
      </c>
      <c r="D525">
        <v>7</v>
      </c>
      <c r="E525">
        <v>0</v>
      </c>
      <c r="F525" t="s">
        <v>25021</v>
      </c>
      <c r="G525">
        <v>3992</v>
      </c>
      <c r="H525" t="s">
        <v>23470</v>
      </c>
      <c r="I525" t="s">
        <v>57</v>
      </c>
      <c r="J525">
        <v>3956492</v>
      </c>
      <c r="K525">
        <v>3957247</v>
      </c>
      <c r="L525" t="s">
        <v>1940</v>
      </c>
      <c r="M525">
        <v>252</v>
      </c>
      <c r="N525" t="s">
        <v>465</v>
      </c>
      <c r="O525">
        <v>46</v>
      </c>
      <c r="P525" t="str">
        <f>HYPERLINK("Gene3992-zp_tree_all.dnd", "Gene3992-tree")</f>
        <v>Gene3992-tree</v>
      </c>
      <c r="Q525">
        <v>9</v>
      </c>
      <c r="R525">
        <v>7</v>
      </c>
      <c r="S525">
        <v>9</v>
      </c>
      <c r="T525">
        <v>7</v>
      </c>
      <c r="U525">
        <v>0.4375</v>
      </c>
      <c r="V525" t="s">
        <v>135</v>
      </c>
      <c r="W525" t="s">
        <v>152</v>
      </c>
      <c r="X525" t="s">
        <v>62</v>
      </c>
      <c r="Y525" t="s">
        <v>62</v>
      </c>
      <c r="Z525">
        <v>2</v>
      </c>
      <c r="AA525">
        <v>7</v>
      </c>
      <c r="AB525">
        <v>13</v>
      </c>
      <c r="AC525">
        <v>0.35</v>
      </c>
      <c r="AD525" s="47">
        <v>0</v>
      </c>
      <c r="AE525" s="47">
        <v>0</v>
      </c>
      <c r="AF525" s="47">
        <v>0</v>
      </c>
      <c r="AG525" s="47">
        <v>8</v>
      </c>
      <c r="AH525" s="47">
        <v>0</v>
      </c>
      <c r="AI525" s="47">
        <v>2</v>
      </c>
      <c r="AJ525" s="47">
        <v>0</v>
      </c>
      <c r="AK525" s="47">
        <v>2</v>
      </c>
      <c r="AL525">
        <v>6</v>
      </c>
      <c r="AM525">
        <v>0.25</v>
      </c>
      <c r="AN525">
        <v>10</v>
      </c>
      <c r="AO525">
        <v>11</v>
      </c>
      <c r="AP525">
        <v>14</v>
      </c>
      <c r="AQ525">
        <v>6</v>
      </c>
      <c r="AR525">
        <v>43</v>
      </c>
      <c r="AS525">
        <v>15</v>
      </c>
      <c r="AT525" t="s">
        <v>23471</v>
      </c>
      <c r="AU525" t="s">
        <v>23472</v>
      </c>
      <c r="AV525">
        <v>0.17399999999999999</v>
      </c>
      <c r="AW525" t="s">
        <v>65</v>
      </c>
      <c r="AX525">
        <v>57</v>
      </c>
      <c r="AY525">
        <v>21</v>
      </c>
      <c r="AZ525" t="s">
        <v>23473</v>
      </c>
      <c r="BA525">
        <v>7.1840000000000001E-2</v>
      </c>
      <c r="BB525">
        <v>-6.11E-3</v>
      </c>
      <c r="BC525">
        <v>7.0000000000000001E-3</v>
      </c>
      <c r="BD525">
        <v>-3.8999999999999999E-4</v>
      </c>
      <c r="BE525">
        <v>9.7420000000000007E-2</v>
      </c>
      <c r="BF525">
        <v>1</v>
      </c>
      <c r="BG525" t="s">
        <v>69</v>
      </c>
      <c r="BH525">
        <v>-0.93200000000000005</v>
      </c>
      <c r="BI525">
        <v>0.68400000000000005</v>
      </c>
    </row>
    <row r="526" spans="3:61">
      <c r="C526">
        <v>0</v>
      </c>
      <c r="D526">
        <v>13</v>
      </c>
      <c r="E526">
        <v>8</v>
      </c>
      <c r="F526" t="s">
        <v>25021</v>
      </c>
      <c r="G526">
        <v>317</v>
      </c>
      <c r="H526" t="s">
        <v>2163</v>
      </c>
      <c r="I526" t="s">
        <v>62</v>
      </c>
      <c r="J526">
        <v>340616</v>
      </c>
      <c r="K526">
        <v>341374</v>
      </c>
      <c r="L526" t="s">
        <v>2134</v>
      </c>
      <c r="M526">
        <v>253</v>
      </c>
      <c r="N526" t="s">
        <v>108</v>
      </c>
      <c r="O526">
        <v>44</v>
      </c>
      <c r="P526" t="str">
        <f>HYPERLINK("Gene317-zp_tree_all.dnd", "Gene317-tree")</f>
        <v>Gene317-tree</v>
      </c>
      <c r="Q526">
        <v>3</v>
      </c>
      <c r="R526">
        <v>10</v>
      </c>
      <c r="S526">
        <v>3</v>
      </c>
      <c r="T526">
        <v>10</v>
      </c>
      <c r="U526">
        <v>0.76922999999999997</v>
      </c>
      <c r="V526" t="s">
        <v>324</v>
      </c>
      <c r="W526" t="s">
        <v>117</v>
      </c>
      <c r="X526" t="s">
        <v>62</v>
      </c>
      <c r="Y526" t="s">
        <v>62</v>
      </c>
      <c r="Z526">
        <v>9</v>
      </c>
      <c r="AA526">
        <v>21</v>
      </c>
      <c r="AB526">
        <v>15</v>
      </c>
      <c r="AC526">
        <v>0.58333000000000002</v>
      </c>
      <c r="AD526" s="47">
        <v>0</v>
      </c>
      <c r="AE526" s="47">
        <v>0</v>
      </c>
      <c r="AF526" s="47">
        <v>0</v>
      </c>
      <c r="AG526" s="47">
        <v>1</v>
      </c>
      <c r="AH526" s="47">
        <v>0</v>
      </c>
      <c r="AI526" s="47">
        <v>7</v>
      </c>
      <c r="AJ526" s="47">
        <v>6</v>
      </c>
      <c r="AK526" s="47">
        <v>13</v>
      </c>
      <c r="AL526">
        <v>11</v>
      </c>
      <c r="AM526">
        <v>0.54166999999999998</v>
      </c>
      <c r="AN526">
        <v>12</v>
      </c>
      <c r="AO526">
        <v>9</v>
      </c>
      <c r="AP526">
        <v>35</v>
      </c>
      <c r="AQ526">
        <v>26</v>
      </c>
      <c r="AR526">
        <v>20</v>
      </c>
      <c r="AS526">
        <v>12</v>
      </c>
      <c r="AT526" t="s">
        <v>2164</v>
      </c>
      <c r="AU526" t="s">
        <v>2165</v>
      </c>
      <c r="AV526">
        <v>0.23400000000000001</v>
      </c>
      <c r="AW526" t="s">
        <v>65</v>
      </c>
      <c r="AX526">
        <v>55</v>
      </c>
      <c r="AY526">
        <v>38</v>
      </c>
      <c r="AZ526" t="s">
        <v>2166</v>
      </c>
      <c r="BA526">
        <v>6.2179999999999999E-2</v>
      </c>
      <c r="BB526">
        <v>-3.64E-3</v>
      </c>
      <c r="BC526">
        <v>1.239E-2</v>
      </c>
      <c r="BD526">
        <v>-5.6999999999999998E-4</v>
      </c>
      <c r="BE526">
        <v>0.19933000000000001</v>
      </c>
      <c r="BF526">
        <v>1</v>
      </c>
      <c r="BG526" t="s">
        <v>69</v>
      </c>
      <c r="BH526">
        <v>-0.61699999999999999</v>
      </c>
      <c r="BI526">
        <v>-2.0739999999999998</v>
      </c>
    </row>
    <row r="527" spans="3:61">
      <c r="C527">
        <v>0</v>
      </c>
      <c r="D527">
        <v>0</v>
      </c>
      <c r="E527">
        <v>0</v>
      </c>
      <c r="F527" t="s">
        <v>25021</v>
      </c>
      <c r="G527">
        <v>2483</v>
      </c>
      <c r="H527" t="s">
        <v>14479</v>
      </c>
      <c r="I527" t="s">
        <v>57</v>
      </c>
      <c r="J527">
        <v>2476969</v>
      </c>
      <c r="K527">
        <v>2477727</v>
      </c>
      <c r="L527" t="s">
        <v>2512</v>
      </c>
      <c r="M527">
        <v>253</v>
      </c>
      <c r="N527" t="s">
        <v>108</v>
      </c>
      <c r="O527">
        <v>44</v>
      </c>
      <c r="P527" t="str">
        <f>HYPERLINK("Gene2483-zp_tree_all.dnd", "Gene2483-tree")</f>
        <v>Gene2483-tree</v>
      </c>
      <c r="Q527">
        <v>7</v>
      </c>
      <c r="R527">
        <v>4</v>
      </c>
      <c r="S527">
        <v>7</v>
      </c>
      <c r="T527">
        <v>4</v>
      </c>
      <c r="U527">
        <v>0.36364000000000002</v>
      </c>
      <c r="V527" t="s">
        <v>152</v>
      </c>
      <c r="W527" t="s">
        <v>61</v>
      </c>
      <c r="X527" t="s">
        <v>62</v>
      </c>
      <c r="Y527" t="s">
        <v>62</v>
      </c>
      <c r="Z527">
        <v>0</v>
      </c>
      <c r="AA527">
        <v>0</v>
      </c>
      <c r="AB527">
        <v>6</v>
      </c>
      <c r="AC527">
        <v>0</v>
      </c>
      <c r="AD527" s="47">
        <v>0</v>
      </c>
      <c r="AE527" s="47">
        <v>0</v>
      </c>
      <c r="AF527" s="47">
        <v>0</v>
      </c>
      <c r="AG527" s="47">
        <v>2</v>
      </c>
      <c r="AH527" s="47">
        <v>0</v>
      </c>
      <c r="AI527" s="47">
        <v>0</v>
      </c>
      <c r="AJ527" s="47">
        <v>0</v>
      </c>
      <c r="AK527" s="47">
        <v>0</v>
      </c>
      <c r="AL527">
        <v>4</v>
      </c>
      <c r="AM527">
        <v>0</v>
      </c>
      <c r="AN527">
        <v>7</v>
      </c>
      <c r="AO527">
        <v>4</v>
      </c>
      <c r="AP527">
        <v>9</v>
      </c>
      <c r="AQ527">
        <v>3</v>
      </c>
      <c r="AR527">
        <v>3</v>
      </c>
      <c r="AS527">
        <v>3</v>
      </c>
      <c r="AT527" t="s">
        <v>14480</v>
      </c>
      <c r="AU527" t="s">
        <v>14481</v>
      </c>
      <c r="AV527">
        <v>0.82699999999999996</v>
      </c>
      <c r="AW527" t="s">
        <v>65</v>
      </c>
      <c r="AX527">
        <v>12</v>
      </c>
      <c r="AY527">
        <v>6</v>
      </c>
      <c r="AZ527" t="s">
        <v>14482</v>
      </c>
      <c r="BA527">
        <v>1.5890000000000001E-2</v>
      </c>
      <c r="BB527">
        <v>-1.2700000000000001E-3</v>
      </c>
      <c r="BC527">
        <v>2.7599999999999999E-3</v>
      </c>
      <c r="BD527">
        <v>-2.0000000000000001E-4</v>
      </c>
      <c r="BE527">
        <v>0.17399000000000001</v>
      </c>
      <c r="BF527">
        <v>1</v>
      </c>
      <c r="BG527" t="s">
        <v>69</v>
      </c>
      <c r="BH527">
        <v>-1.6930000000000001</v>
      </c>
      <c r="BI527">
        <v>-2.4209999999999998</v>
      </c>
    </row>
    <row r="528" spans="3:61">
      <c r="C528">
        <v>0</v>
      </c>
      <c r="D528">
        <v>9</v>
      </c>
      <c r="E528">
        <v>0</v>
      </c>
      <c r="F528" t="s">
        <v>25021</v>
      </c>
      <c r="G528">
        <v>2307</v>
      </c>
      <c r="H528" t="s">
        <v>13374</v>
      </c>
      <c r="I528" t="s">
        <v>57</v>
      </c>
      <c r="J528">
        <v>2326683</v>
      </c>
      <c r="K528">
        <v>2327444</v>
      </c>
      <c r="L528" t="s">
        <v>13375</v>
      </c>
      <c r="M528">
        <v>254</v>
      </c>
      <c r="N528" t="s">
        <v>108</v>
      </c>
      <c r="O528">
        <v>44</v>
      </c>
      <c r="P528" t="str">
        <f>HYPERLINK("Gene2307-zp_tree_all.dnd", "Gene2307-tree")</f>
        <v>Gene2307-tree</v>
      </c>
      <c r="Q528">
        <v>4</v>
      </c>
      <c r="R528">
        <v>7</v>
      </c>
      <c r="S528">
        <v>4</v>
      </c>
      <c r="T528">
        <v>7</v>
      </c>
      <c r="U528">
        <v>0.63636000000000004</v>
      </c>
      <c r="V528" t="s">
        <v>61</v>
      </c>
      <c r="W528" t="s">
        <v>152</v>
      </c>
      <c r="X528" t="s">
        <v>62</v>
      </c>
      <c r="Y528" t="s">
        <v>62</v>
      </c>
      <c r="Z528">
        <v>4</v>
      </c>
      <c r="AA528">
        <v>9</v>
      </c>
      <c r="AB528">
        <v>10</v>
      </c>
      <c r="AC528">
        <v>0.47367999999999999</v>
      </c>
      <c r="AD528" s="47">
        <v>0</v>
      </c>
      <c r="AE528" s="47">
        <v>0</v>
      </c>
      <c r="AF528" s="47">
        <v>0</v>
      </c>
      <c r="AG528" s="47">
        <v>0</v>
      </c>
      <c r="AH528" s="47">
        <v>0</v>
      </c>
      <c r="AI528" s="47">
        <v>3</v>
      </c>
      <c r="AJ528" s="47">
        <v>0</v>
      </c>
      <c r="AK528" s="47">
        <v>3</v>
      </c>
      <c r="AL528">
        <v>9</v>
      </c>
      <c r="AM528">
        <v>0.25</v>
      </c>
      <c r="AN528">
        <v>9</v>
      </c>
      <c r="AO528">
        <v>8</v>
      </c>
      <c r="AP528">
        <v>18</v>
      </c>
      <c r="AQ528">
        <v>12</v>
      </c>
      <c r="AR528">
        <v>8</v>
      </c>
      <c r="AS528">
        <v>7</v>
      </c>
      <c r="AT528" t="s">
        <v>13376</v>
      </c>
      <c r="AU528" t="s">
        <v>13377</v>
      </c>
      <c r="AV528">
        <v>0.35399999999999998</v>
      </c>
      <c r="AW528" t="s">
        <v>65</v>
      </c>
      <c r="AX528">
        <v>26</v>
      </c>
      <c r="AY528">
        <v>19</v>
      </c>
      <c r="AZ528" t="s">
        <v>13378</v>
      </c>
      <c r="BA528">
        <v>3.2820000000000002E-2</v>
      </c>
      <c r="BB528">
        <v>-2.2699999999999999E-3</v>
      </c>
      <c r="BC528">
        <v>7.1700000000000002E-3</v>
      </c>
      <c r="BD528">
        <v>-4.2000000000000002E-4</v>
      </c>
      <c r="BE528">
        <v>0.21848000000000001</v>
      </c>
      <c r="BF528">
        <v>1</v>
      </c>
      <c r="BG528" t="s">
        <v>69</v>
      </c>
      <c r="BH528">
        <v>-0.28399999999999997</v>
      </c>
      <c r="BI528">
        <v>-1.746</v>
      </c>
    </row>
    <row r="529" spans="3:61">
      <c r="C529">
        <v>0</v>
      </c>
      <c r="D529">
        <v>14</v>
      </c>
      <c r="E529">
        <v>1</v>
      </c>
      <c r="F529" t="s">
        <v>25021</v>
      </c>
      <c r="G529">
        <v>1372</v>
      </c>
      <c r="H529" t="s">
        <v>8585</v>
      </c>
      <c r="I529" t="s">
        <v>62</v>
      </c>
      <c r="J529">
        <v>1388073</v>
      </c>
      <c r="K529">
        <v>1388834</v>
      </c>
      <c r="L529" t="s">
        <v>8586</v>
      </c>
      <c r="M529">
        <v>254</v>
      </c>
      <c r="N529" t="s">
        <v>108</v>
      </c>
      <c r="O529">
        <v>44</v>
      </c>
      <c r="P529" t="str">
        <f>HYPERLINK("Gene1372-zp_tree_all.dnd", "Gene1372-tree")</f>
        <v>Gene1372-tree</v>
      </c>
      <c r="Q529">
        <v>3</v>
      </c>
      <c r="R529">
        <v>12</v>
      </c>
      <c r="S529">
        <v>3</v>
      </c>
      <c r="T529">
        <v>12</v>
      </c>
      <c r="U529">
        <v>0.8</v>
      </c>
      <c r="V529" t="s">
        <v>324</v>
      </c>
      <c r="W529" t="s">
        <v>109</v>
      </c>
      <c r="X529" t="s">
        <v>62</v>
      </c>
      <c r="Y529" t="s">
        <v>62</v>
      </c>
      <c r="Z529">
        <v>6</v>
      </c>
      <c r="AA529">
        <v>15</v>
      </c>
      <c r="AB529">
        <v>13</v>
      </c>
      <c r="AC529">
        <v>0.53571000000000002</v>
      </c>
      <c r="AD529" s="47">
        <v>0</v>
      </c>
      <c r="AE529" s="47">
        <v>0</v>
      </c>
      <c r="AF529" s="47">
        <v>0</v>
      </c>
      <c r="AG529" s="47">
        <v>0</v>
      </c>
      <c r="AH529" s="47">
        <v>0</v>
      </c>
      <c r="AI529" s="47">
        <v>6</v>
      </c>
      <c r="AJ529" s="47">
        <v>3</v>
      </c>
      <c r="AK529" s="47">
        <v>9</v>
      </c>
      <c r="AL529">
        <v>12</v>
      </c>
      <c r="AM529">
        <v>0.42857000000000001</v>
      </c>
      <c r="AN529">
        <v>15</v>
      </c>
      <c r="AO529">
        <v>11</v>
      </c>
      <c r="AP529">
        <v>29</v>
      </c>
      <c r="AQ529">
        <v>21</v>
      </c>
      <c r="AR529">
        <v>25</v>
      </c>
      <c r="AS529">
        <v>7</v>
      </c>
      <c r="AT529" t="s">
        <v>8587</v>
      </c>
      <c r="AU529" t="s">
        <v>8588</v>
      </c>
      <c r="AV529">
        <v>1.43</v>
      </c>
      <c r="AW529" t="s">
        <v>65</v>
      </c>
      <c r="AX529">
        <v>54</v>
      </c>
      <c r="AY529">
        <v>28</v>
      </c>
      <c r="AZ529" t="s">
        <v>8589</v>
      </c>
      <c r="BA529">
        <v>5.5169999999999997E-2</v>
      </c>
      <c r="BB529">
        <v>-1.98E-3</v>
      </c>
      <c r="BC529">
        <v>7.8700000000000003E-3</v>
      </c>
      <c r="BD529">
        <v>-2.9999999999999997E-4</v>
      </c>
      <c r="BE529">
        <v>0.14263999999999999</v>
      </c>
      <c r="BF529">
        <v>1</v>
      </c>
      <c r="BG529" t="s">
        <v>69</v>
      </c>
      <c r="BH529">
        <v>-0.55800000000000005</v>
      </c>
      <c r="BI529">
        <v>-0.123</v>
      </c>
    </row>
    <row r="530" spans="3:61">
      <c r="C530">
        <v>0</v>
      </c>
      <c r="D530">
        <v>0</v>
      </c>
      <c r="E530">
        <v>2</v>
      </c>
      <c r="F530" t="s">
        <v>25021</v>
      </c>
      <c r="G530">
        <v>158</v>
      </c>
      <c r="H530" t="s">
        <v>1115</v>
      </c>
      <c r="I530" t="s">
        <v>62</v>
      </c>
      <c r="J530">
        <v>159782</v>
      </c>
      <c r="K530">
        <v>160543</v>
      </c>
      <c r="L530" t="s">
        <v>1116</v>
      </c>
      <c r="M530">
        <v>254</v>
      </c>
      <c r="N530" t="s">
        <v>108</v>
      </c>
      <c r="O530">
        <v>44</v>
      </c>
      <c r="P530" t="str">
        <f>HYPERLINK("Gene158-zp_tree_all.dnd", "Gene158-tree")</f>
        <v>Gene158-tree</v>
      </c>
      <c r="Q530">
        <v>5</v>
      </c>
      <c r="R530">
        <v>6</v>
      </c>
      <c r="S530">
        <v>5</v>
      </c>
      <c r="T530">
        <v>6</v>
      </c>
      <c r="U530">
        <v>0.54544999999999999</v>
      </c>
      <c r="V530" t="s">
        <v>199</v>
      </c>
      <c r="W530" t="s">
        <v>90</v>
      </c>
      <c r="X530" t="s">
        <v>62</v>
      </c>
      <c r="Y530" t="s">
        <v>62</v>
      </c>
      <c r="Z530">
        <v>1</v>
      </c>
      <c r="AA530">
        <v>2</v>
      </c>
      <c r="AB530">
        <v>6</v>
      </c>
      <c r="AC530">
        <v>0.25</v>
      </c>
      <c r="AD530" s="47">
        <v>0</v>
      </c>
      <c r="AE530" s="47">
        <v>0</v>
      </c>
      <c r="AF530" s="47">
        <v>0</v>
      </c>
      <c r="AG530" s="47">
        <v>0</v>
      </c>
      <c r="AH530" s="47">
        <v>0</v>
      </c>
      <c r="AI530" s="47">
        <v>0</v>
      </c>
      <c r="AJ530" s="47">
        <v>2</v>
      </c>
      <c r="AK530" s="47">
        <v>2</v>
      </c>
      <c r="AL530">
        <v>5</v>
      </c>
      <c r="AM530">
        <v>0.28571000000000002</v>
      </c>
      <c r="AN530">
        <v>9</v>
      </c>
      <c r="AO530">
        <v>7</v>
      </c>
      <c r="AP530">
        <v>37</v>
      </c>
      <c r="AQ530">
        <v>6</v>
      </c>
      <c r="AR530">
        <v>10</v>
      </c>
      <c r="AS530">
        <v>2</v>
      </c>
      <c r="AT530" t="s">
        <v>1117</v>
      </c>
      <c r="AU530" t="s">
        <v>1118</v>
      </c>
      <c r="AV530">
        <v>0.17299999999999999</v>
      </c>
      <c r="AW530" t="s">
        <v>65</v>
      </c>
      <c r="AX530">
        <v>47</v>
      </c>
      <c r="AY530">
        <v>8</v>
      </c>
      <c r="AZ530" t="s">
        <v>1119</v>
      </c>
      <c r="BA530">
        <v>5.6669999999999998E-2</v>
      </c>
      <c r="BB530">
        <v>-3.4299999999999999E-3</v>
      </c>
      <c r="BC530">
        <v>3.15E-3</v>
      </c>
      <c r="BD530">
        <v>-2.7E-4</v>
      </c>
      <c r="BE530">
        <v>5.5620000000000003E-2</v>
      </c>
      <c r="BF530">
        <v>1</v>
      </c>
      <c r="BG530" t="s">
        <v>69</v>
      </c>
      <c r="BH530">
        <v>-1.1839999999999999</v>
      </c>
      <c r="BI530">
        <v>-3.1789999999999998</v>
      </c>
    </row>
    <row r="531" spans="3:61">
      <c r="C531">
        <v>0</v>
      </c>
      <c r="D531">
        <v>4</v>
      </c>
      <c r="E531">
        <v>0</v>
      </c>
      <c r="F531" t="s">
        <v>25021</v>
      </c>
      <c r="G531">
        <v>3903</v>
      </c>
      <c r="H531" t="s">
        <v>22887</v>
      </c>
      <c r="I531" t="s">
        <v>57</v>
      </c>
      <c r="J531">
        <v>3866596</v>
      </c>
      <c r="K531">
        <v>3867357</v>
      </c>
      <c r="L531" t="s">
        <v>22888</v>
      </c>
      <c r="M531">
        <v>254</v>
      </c>
      <c r="N531" t="s">
        <v>108</v>
      </c>
      <c r="O531">
        <v>44</v>
      </c>
      <c r="P531" t="str">
        <f>HYPERLINK("Gene3903-zp_tree_all.dnd", "Gene3903-tree")</f>
        <v>Gene3903-tree</v>
      </c>
      <c r="Q531">
        <v>10</v>
      </c>
      <c r="R531">
        <v>5</v>
      </c>
      <c r="S531">
        <v>10</v>
      </c>
      <c r="T531">
        <v>5</v>
      </c>
      <c r="U531">
        <v>0.33333000000000002</v>
      </c>
      <c r="V531" t="s">
        <v>117</v>
      </c>
      <c r="W531" t="s">
        <v>199</v>
      </c>
      <c r="X531" t="s">
        <v>62</v>
      </c>
      <c r="Y531" t="s">
        <v>62</v>
      </c>
      <c r="Z531">
        <v>1</v>
      </c>
      <c r="AA531">
        <v>4</v>
      </c>
      <c r="AB531">
        <v>3</v>
      </c>
      <c r="AC531">
        <v>0.57142999999999999</v>
      </c>
      <c r="AD531" s="47">
        <v>0</v>
      </c>
      <c r="AE531" s="47">
        <v>0</v>
      </c>
      <c r="AF531" s="47">
        <v>0</v>
      </c>
      <c r="AG531" s="47">
        <v>0</v>
      </c>
      <c r="AH531" s="47">
        <v>0</v>
      </c>
      <c r="AI531" s="47">
        <v>2</v>
      </c>
      <c r="AJ531" s="47">
        <v>0</v>
      </c>
      <c r="AK531" s="47">
        <v>2</v>
      </c>
      <c r="AL531">
        <v>3</v>
      </c>
      <c r="AM531">
        <v>0.4</v>
      </c>
      <c r="AN531">
        <v>14</v>
      </c>
      <c r="AO531">
        <v>12</v>
      </c>
      <c r="AP531">
        <v>33</v>
      </c>
      <c r="AQ531">
        <v>5</v>
      </c>
      <c r="AR531">
        <v>17</v>
      </c>
      <c r="AS531">
        <v>2</v>
      </c>
      <c r="AT531" t="s">
        <v>22889</v>
      </c>
      <c r="AU531" t="s">
        <v>22890</v>
      </c>
      <c r="AV531">
        <v>0.16400000000000001</v>
      </c>
      <c r="AW531" t="s">
        <v>65</v>
      </c>
      <c r="AX531">
        <v>50</v>
      </c>
      <c r="AY531">
        <v>7</v>
      </c>
      <c r="AZ531" t="s">
        <v>22891</v>
      </c>
      <c r="BA531">
        <v>5.1639999999999998E-2</v>
      </c>
      <c r="BB531">
        <v>-1.6999999999999999E-3</v>
      </c>
      <c r="BC531">
        <v>1.67E-3</v>
      </c>
      <c r="BD531">
        <v>-1.3999999999999999E-4</v>
      </c>
      <c r="BE531">
        <v>3.2320000000000002E-2</v>
      </c>
      <c r="BF531">
        <v>1</v>
      </c>
      <c r="BG531" t="s">
        <v>69</v>
      </c>
      <c r="BH531">
        <v>-6.5000000000000002E-2</v>
      </c>
      <c r="BI531">
        <v>-0.76500000000000001</v>
      </c>
    </row>
    <row r="532" spans="3:61">
      <c r="C532">
        <v>0</v>
      </c>
      <c r="D532">
        <v>2</v>
      </c>
      <c r="E532">
        <v>0</v>
      </c>
      <c r="F532" t="s">
        <v>25021</v>
      </c>
      <c r="G532">
        <v>1284</v>
      </c>
      <c r="H532" t="s">
        <v>8055</v>
      </c>
      <c r="I532" t="s">
        <v>62</v>
      </c>
      <c r="J532">
        <v>1312854</v>
      </c>
      <c r="K532">
        <v>1313615</v>
      </c>
      <c r="L532" t="s">
        <v>1123</v>
      </c>
      <c r="M532">
        <v>254</v>
      </c>
      <c r="N532" t="s">
        <v>99</v>
      </c>
      <c r="O532">
        <v>47</v>
      </c>
      <c r="P532" t="str">
        <f>HYPERLINK("Gene1284-zp_tree_all.dnd", "Gene1284-tree")</f>
        <v>Gene1284-tree</v>
      </c>
      <c r="Q532">
        <v>32</v>
      </c>
      <c r="R532">
        <v>2</v>
      </c>
      <c r="S532">
        <v>16</v>
      </c>
      <c r="T532">
        <v>2</v>
      </c>
      <c r="U532">
        <v>0.11111</v>
      </c>
      <c r="V532" t="s">
        <v>8056</v>
      </c>
      <c r="W532" t="s">
        <v>81</v>
      </c>
      <c r="X532" t="s">
        <v>62</v>
      </c>
      <c r="Y532" t="s">
        <v>62</v>
      </c>
      <c r="Z532">
        <v>1</v>
      </c>
      <c r="AA532">
        <v>2</v>
      </c>
      <c r="AB532">
        <v>3</v>
      </c>
      <c r="AC532">
        <v>0.4</v>
      </c>
      <c r="AD532" s="47">
        <v>0</v>
      </c>
      <c r="AE532" s="47">
        <v>0</v>
      </c>
      <c r="AF532" s="47">
        <v>0</v>
      </c>
      <c r="AG532" s="47">
        <v>1</v>
      </c>
      <c r="AH532" s="47">
        <v>0</v>
      </c>
      <c r="AI532" s="47">
        <v>0</v>
      </c>
      <c r="AJ532" s="47">
        <v>0</v>
      </c>
      <c r="AK532" s="47">
        <v>0</v>
      </c>
      <c r="AL532">
        <v>2</v>
      </c>
      <c r="AM532">
        <v>0</v>
      </c>
      <c r="AN532">
        <v>13</v>
      </c>
      <c r="AO532">
        <v>13</v>
      </c>
      <c r="AP532">
        <v>37</v>
      </c>
      <c r="AQ532">
        <v>2</v>
      </c>
      <c r="AR532">
        <v>52</v>
      </c>
      <c r="AS532">
        <v>3</v>
      </c>
      <c r="AT532" t="s">
        <v>8057</v>
      </c>
      <c r="AU532" t="s">
        <v>8058</v>
      </c>
      <c r="AV532">
        <v>1.7999999999999999E-2</v>
      </c>
      <c r="AW532" t="s">
        <v>65</v>
      </c>
      <c r="AX532">
        <v>89</v>
      </c>
      <c r="AY532">
        <v>5</v>
      </c>
      <c r="AZ532" t="s">
        <v>8059</v>
      </c>
      <c r="BA532">
        <v>9.5979999999999996E-2</v>
      </c>
      <c r="BB532">
        <v>-6.7200000000000003E-3</v>
      </c>
      <c r="BC532">
        <v>1.5900000000000001E-3</v>
      </c>
      <c r="BD532">
        <v>-1.1E-4</v>
      </c>
      <c r="BE532">
        <v>1.6549999999999999E-2</v>
      </c>
      <c r="BF532">
        <v>1</v>
      </c>
      <c r="BG532" t="s">
        <v>69</v>
      </c>
      <c r="BH532">
        <v>-1.012</v>
      </c>
      <c r="BI532">
        <v>-1.355</v>
      </c>
    </row>
    <row r="533" spans="3:61">
      <c r="C533">
        <v>0</v>
      </c>
      <c r="D533">
        <v>11</v>
      </c>
      <c r="E533">
        <v>0</v>
      </c>
      <c r="F533" t="s">
        <v>25021</v>
      </c>
      <c r="G533">
        <v>1804</v>
      </c>
      <c r="H533" t="s">
        <v>11300</v>
      </c>
      <c r="I533" t="s">
        <v>62</v>
      </c>
      <c r="J533">
        <v>1872815</v>
      </c>
      <c r="K533">
        <v>1873579</v>
      </c>
      <c r="L533" t="s">
        <v>11301</v>
      </c>
      <c r="M533">
        <v>255</v>
      </c>
      <c r="N533" t="s">
        <v>108</v>
      </c>
      <c r="O533">
        <v>44</v>
      </c>
      <c r="P533" t="str">
        <f>HYPERLINK("Gene1804-zp_tree_all.dnd", "Gene1804-tree")</f>
        <v>Gene1804-tree</v>
      </c>
      <c r="Q533">
        <v>4</v>
      </c>
      <c r="R533">
        <v>10</v>
      </c>
      <c r="S533">
        <v>4</v>
      </c>
      <c r="T533">
        <v>10</v>
      </c>
      <c r="U533">
        <v>0.71428999999999998</v>
      </c>
      <c r="V533" t="s">
        <v>61</v>
      </c>
      <c r="W533" t="s">
        <v>117</v>
      </c>
      <c r="X533" t="s">
        <v>62</v>
      </c>
      <c r="Y533" t="s">
        <v>62</v>
      </c>
      <c r="Z533">
        <v>4</v>
      </c>
      <c r="AA533">
        <v>11</v>
      </c>
      <c r="AB533">
        <v>11</v>
      </c>
      <c r="AC533">
        <v>0.5</v>
      </c>
      <c r="AD533" s="47">
        <v>0</v>
      </c>
      <c r="AE533" s="47">
        <v>0</v>
      </c>
      <c r="AF533" s="47">
        <v>0</v>
      </c>
      <c r="AG533" s="47">
        <v>2</v>
      </c>
      <c r="AH533" s="47">
        <v>0</v>
      </c>
      <c r="AI533" s="47">
        <v>5</v>
      </c>
      <c r="AJ533" s="47">
        <v>0</v>
      </c>
      <c r="AK533" s="47">
        <v>5</v>
      </c>
      <c r="AL533">
        <v>11</v>
      </c>
      <c r="AM533">
        <v>0.3125</v>
      </c>
      <c r="AN533">
        <v>12</v>
      </c>
      <c r="AO533">
        <v>7</v>
      </c>
      <c r="AP533">
        <v>15</v>
      </c>
      <c r="AQ533">
        <v>15</v>
      </c>
      <c r="AR533">
        <v>3</v>
      </c>
      <c r="AS533">
        <v>7</v>
      </c>
      <c r="AT533" t="s">
        <v>11302</v>
      </c>
      <c r="AU533" t="s">
        <v>11303</v>
      </c>
      <c r="AV533">
        <v>0.77</v>
      </c>
      <c r="AW533" t="s">
        <v>65</v>
      </c>
      <c r="AX533">
        <v>18</v>
      </c>
      <c r="AY533">
        <v>22</v>
      </c>
      <c r="AZ533" t="s">
        <v>11304</v>
      </c>
      <c r="BA533">
        <v>1.7229999999999999E-2</v>
      </c>
      <c r="BB533">
        <v>-8.7000000000000001E-4</v>
      </c>
      <c r="BC533">
        <v>6.8700000000000002E-3</v>
      </c>
      <c r="BD533">
        <v>-3.4000000000000002E-4</v>
      </c>
      <c r="BE533">
        <v>0.39872999999999997</v>
      </c>
      <c r="BF533">
        <v>0.93</v>
      </c>
      <c r="BG533" t="s">
        <v>635</v>
      </c>
      <c r="BH533">
        <v>-1.0569999999999999</v>
      </c>
      <c r="BI533">
        <v>-2.0329999999999999</v>
      </c>
    </row>
    <row r="534" spans="3:61">
      <c r="C534">
        <v>0</v>
      </c>
      <c r="D534">
        <v>0</v>
      </c>
      <c r="E534">
        <v>0</v>
      </c>
      <c r="F534" t="s">
        <v>25021</v>
      </c>
      <c r="G534">
        <v>849</v>
      </c>
      <c r="H534" t="s">
        <v>5303</v>
      </c>
      <c r="I534" t="s">
        <v>62</v>
      </c>
      <c r="J534">
        <v>887367</v>
      </c>
      <c r="K534">
        <v>888131</v>
      </c>
      <c r="L534" t="s">
        <v>116</v>
      </c>
      <c r="M534">
        <v>255</v>
      </c>
      <c r="N534" t="s">
        <v>5298</v>
      </c>
      <c r="O534">
        <v>37</v>
      </c>
      <c r="P534" t="str">
        <f>HYPERLINK("Gene849-zp_tree_all.dnd", "Gene849-tree")</f>
        <v>Gene849-tree</v>
      </c>
      <c r="Q534">
        <v>26</v>
      </c>
      <c r="R534">
        <v>2</v>
      </c>
      <c r="S534">
        <v>6</v>
      </c>
      <c r="T534">
        <v>2</v>
      </c>
      <c r="U534">
        <v>0.25</v>
      </c>
      <c r="V534" t="s">
        <v>1030</v>
      </c>
      <c r="W534" t="s">
        <v>81</v>
      </c>
      <c r="X534" t="s">
        <v>62</v>
      </c>
      <c r="Y534" t="s">
        <v>62</v>
      </c>
      <c r="Z534">
        <v>0</v>
      </c>
      <c r="AA534">
        <v>0</v>
      </c>
      <c r="AB534">
        <v>4</v>
      </c>
      <c r="AC534">
        <v>0</v>
      </c>
      <c r="AD534" s="47">
        <v>0</v>
      </c>
      <c r="AE534" s="47">
        <v>0</v>
      </c>
      <c r="AF534" s="47">
        <v>0</v>
      </c>
      <c r="AG534" s="47">
        <v>1</v>
      </c>
      <c r="AH534" s="47">
        <v>0</v>
      </c>
      <c r="AI534" s="47">
        <v>0</v>
      </c>
      <c r="AJ534" s="47">
        <v>0</v>
      </c>
      <c r="AK534" s="47">
        <v>0</v>
      </c>
      <c r="AL534">
        <v>3</v>
      </c>
      <c r="AM534">
        <v>0</v>
      </c>
      <c r="AN534">
        <v>5</v>
      </c>
      <c r="AO534">
        <v>3</v>
      </c>
      <c r="AP534">
        <v>9</v>
      </c>
      <c r="AQ534">
        <v>3</v>
      </c>
      <c r="AR534">
        <v>8</v>
      </c>
      <c r="AS534">
        <v>1</v>
      </c>
      <c r="AT534" t="s">
        <v>5304</v>
      </c>
      <c r="AU534" t="s">
        <v>5305</v>
      </c>
      <c r="AV534">
        <v>0.44700000000000001</v>
      </c>
      <c r="AW534" t="s">
        <v>65</v>
      </c>
      <c r="AX534">
        <v>17</v>
      </c>
      <c r="AY534">
        <v>4</v>
      </c>
      <c r="AZ534" t="s">
        <v>5306</v>
      </c>
      <c r="BA534">
        <v>3.7100000000000001E-2</v>
      </c>
      <c r="BB534">
        <v>-6.0899999999999999E-3</v>
      </c>
      <c r="BC534">
        <v>1.97E-3</v>
      </c>
      <c r="BD534">
        <v>-2.7999999999999998E-4</v>
      </c>
      <c r="BE534">
        <v>5.3129999999999997E-2</v>
      </c>
      <c r="BF534">
        <v>1</v>
      </c>
      <c r="BG534" t="s">
        <v>69</v>
      </c>
      <c r="BH534">
        <v>1.611</v>
      </c>
      <c r="BI534">
        <v>5.5E-2</v>
      </c>
    </row>
    <row r="535" spans="3:61">
      <c r="C535">
        <v>0</v>
      </c>
      <c r="D535">
        <v>0</v>
      </c>
      <c r="E535">
        <v>0</v>
      </c>
      <c r="F535" t="s">
        <v>25021</v>
      </c>
      <c r="G535">
        <v>2606</v>
      </c>
      <c r="H535" t="s">
        <v>15258</v>
      </c>
      <c r="I535" t="s">
        <v>57</v>
      </c>
      <c r="J535">
        <v>2586813</v>
      </c>
      <c r="K535">
        <v>2587577</v>
      </c>
      <c r="L535" t="s">
        <v>15259</v>
      </c>
      <c r="M535">
        <v>255</v>
      </c>
      <c r="N535" t="s">
        <v>160</v>
      </c>
      <c r="O535">
        <v>45</v>
      </c>
      <c r="P535" t="str">
        <f>HYPERLINK("Gene2606-zp_tree_all.dnd", "Gene2606-tree")</f>
        <v>Gene2606-tree</v>
      </c>
      <c r="Q535">
        <v>8</v>
      </c>
      <c r="R535">
        <v>7</v>
      </c>
      <c r="S535">
        <v>8</v>
      </c>
      <c r="T535">
        <v>7</v>
      </c>
      <c r="U535">
        <v>0.46666999999999997</v>
      </c>
      <c r="V535" t="s">
        <v>136</v>
      </c>
      <c r="W535" t="s">
        <v>152</v>
      </c>
      <c r="X535" t="s">
        <v>62</v>
      </c>
      <c r="Y535" t="s">
        <v>62</v>
      </c>
      <c r="Z535">
        <v>0</v>
      </c>
      <c r="AA535">
        <v>0</v>
      </c>
      <c r="AB535">
        <v>9</v>
      </c>
      <c r="AC535">
        <v>0</v>
      </c>
      <c r="AD535" s="47">
        <v>0</v>
      </c>
      <c r="AE535" s="47">
        <v>0</v>
      </c>
      <c r="AF535" s="47">
        <v>0</v>
      </c>
      <c r="AG535" s="47">
        <v>0</v>
      </c>
      <c r="AH535" s="47">
        <v>0</v>
      </c>
      <c r="AI535" s="47">
        <v>0</v>
      </c>
      <c r="AJ535" s="47">
        <v>0</v>
      </c>
      <c r="AK535" s="47">
        <v>0</v>
      </c>
      <c r="AL535">
        <v>9</v>
      </c>
      <c r="AM535">
        <v>0</v>
      </c>
      <c r="AN535">
        <v>13</v>
      </c>
      <c r="AO535">
        <v>8</v>
      </c>
      <c r="AP535">
        <v>35</v>
      </c>
      <c r="AQ535">
        <v>9</v>
      </c>
      <c r="AR535">
        <v>8</v>
      </c>
      <c r="AS535">
        <v>0</v>
      </c>
      <c r="AT535" t="s">
        <v>15260</v>
      </c>
      <c r="AU535" t="s">
        <v>193</v>
      </c>
      <c r="AV535">
        <v>0.68600000000000005</v>
      </c>
      <c r="AW535" t="s">
        <v>65</v>
      </c>
      <c r="AX535">
        <v>43</v>
      </c>
      <c r="AY535">
        <v>9</v>
      </c>
      <c r="AZ535" t="s">
        <v>15261</v>
      </c>
      <c r="BA535">
        <v>4.3650000000000001E-2</v>
      </c>
      <c r="BB535">
        <v>-4.0299999999999997E-3</v>
      </c>
      <c r="BC535">
        <v>2.0899999999999998E-3</v>
      </c>
      <c r="BD535">
        <v>-1.9000000000000001E-4</v>
      </c>
      <c r="BE535">
        <v>4.7849999999999997E-2</v>
      </c>
      <c r="BF535">
        <v>1</v>
      </c>
      <c r="BG535" t="s">
        <v>69</v>
      </c>
      <c r="BH535">
        <v>-1.63</v>
      </c>
      <c r="BI535">
        <v>-3.625</v>
      </c>
    </row>
    <row r="536" spans="3:61">
      <c r="C536">
        <v>0</v>
      </c>
      <c r="D536">
        <v>0</v>
      </c>
      <c r="E536">
        <v>2</v>
      </c>
      <c r="F536" t="s">
        <v>25021</v>
      </c>
      <c r="G536">
        <v>1921</v>
      </c>
      <c r="H536" t="s">
        <v>12035</v>
      </c>
      <c r="I536" t="s">
        <v>57</v>
      </c>
      <c r="J536">
        <v>2019797</v>
      </c>
      <c r="K536">
        <v>2020564</v>
      </c>
      <c r="L536" t="s">
        <v>116</v>
      </c>
      <c r="M536">
        <v>256</v>
      </c>
      <c r="N536" t="s">
        <v>12036</v>
      </c>
      <c r="O536">
        <v>29</v>
      </c>
      <c r="P536" t="str">
        <f>HYPERLINK("Gene1921-zp_tree_all.dnd", "Gene1921-tree")</f>
        <v>Gene1921-tree</v>
      </c>
      <c r="Q536">
        <v>0</v>
      </c>
      <c r="R536">
        <v>25</v>
      </c>
      <c r="S536">
        <v>0</v>
      </c>
      <c r="T536">
        <v>6</v>
      </c>
      <c r="U536">
        <v>1</v>
      </c>
      <c r="V536" t="s">
        <v>62</v>
      </c>
      <c r="W536" t="s">
        <v>965</v>
      </c>
      <c r="X536">
        <v>5.3289999999999997</v>
      </c>
      <c r="Y536" t="s">
        <v>65</v>
      </c>
      <c r="Z536">
        <v>1</v>
      </c>
      <c r="AA536">
        <v>2</v>
      </c>
      <c r="AB536">
        <v>20</v>
      </c>
      <c r="AC536">
        <v>9.0910000000000005E-2</v>
      </c>
      <c r="AD536" s="47">
        <v>0</v>
      </c>
      <c r="AE536" s="47">
        <v>0</v>
      </c>
      <c r="AF536" s="47">
        <v>0</v>
      </c>
      <c r="AG536" s="47">
        <v>0</v>
      </c>
      <c r="AH536" s="47">
        <v>0</v>
      </c>
      <c r="AI536" s="47">
        <v>0</v>
      </c>
      <c r="AJ536" s="47">
        <v>2</v>
      </c>
      <c r="AK536" s="47">
        <v>2</v>
      </c>
      <c r="AL536">
        <v>19</v>
      </c>
      <c r="AM536">
        <v>9.5240000000000005E-2</v>
      </c>
      <c r="AN536">
        <v>6</v>
      </c>
      <c r="AO536">
        <v>3</v>
      </c>
      <c r="AP536">
        <v>10</v>
      </c>
      <c r="AQ536">
        <v>8</v>
      </c>
      <c r="AR536">
        <v>18</v>
      </c>
      <c r="AS536">
        <v>16</v>
      </c>
      <c r="AT536" t="s">
        <v>12037</v>
      </c>
      <c r="AU536" t="s">
        <v>12038</v>
      </c>
      <c r="AV536">
        <v>6.2E-2</v>
      </c>
      <c r="AW536" t="s">
        <v>65</v>
      </c>
      <c r="AX536">
        <v>28</v>
      </c>
      <c r="AY536">
        <v>24</v>
      </c>
      <c r="AZ536" t="s">
        <v>12039</v>
      </c>
      <c r="BA536">
        <v>7.2590000000000002E-2</v>
      </c>
      <c r="BB536">
        <v>-1.026E-2</v>
      </c>
      <c r="BC536">
        <v>1.9470000000000001E-2</v>
      </c>
      <c r="BD536">
        <v>-3.5999999999999999E-3</v>
      </c>
      <c r="BE536">
        <v>0.26817999999999997</v>
      </c>
      <c r="BF536">
        <v>1</v>
      </c>
      <c r="BG536" t="s">
        <v>69</v>
      </c>
      <c r="BH536">
        <v>1.081</v>
      </c>
      <c r="BI536">
        <v>0.69099999999999995</v>
      </c>
    </row>
    <row r="537" spans="3:61">
      <c r="C537">
        <v>0</v>
      </c>
      <c r="D537">
        <v>4</v>
      </c>
      <c r="E537">
        <v>2</v>
      </c>
      <c r="F537" t="s">
        <v>25021</v>
      </c>
      <c r="G537">
        <v>3491</v>
      </c>
      <c r="H537" t="s">
        <v>20452</v>
      </c>
      <c r="I537" t="s">
        <v>57</v>
      </c>
      <c r="J537">
        <v>3455472</v>
      </c>
      <c r="K537">
        <v>3456239</v>
      </c>
      <c r="L537" t="s">
        <v>2512</v>
      </c>
      <c r="M537">
        <v>256</v>
      </c>
      <c r="N537" t="s">
        <v>108</v>
      </c>
      <c r="O537">
        <v>44</v>
      </c>
      <c r="P537" t="str">
        <f>HYPERLINK("Gene3491-zp_tree_all.dnd", "Gene3491-tree")</f>
        <v>Gene3491-tree</v>
      </c>
      <c r="Q537">
        <v>6</v>
      </c>
      <c r="R537">
        <v>8</v>
      </c>
      <c r="S537">
        <v>6</v>
      </c>
      <c r="T537">
        <v>8</v>
      </c>
      <c r="U537">
        <v>0.57142999999999999</v>
      </c>
      <c r="V537" t="s">
        <v>90</v>
      </c>
      <c r="W537" t="s">
        <v>136</v>
      </c>
      <c r="X537" t="s">
        <v>62</v>
      </c>
      <c r="Y537" t="s">
        <v>62</v>
      </c>
      <c r="Z537">
        <v>3</v>
      </c>
      <c r="AA537">
        <v>6</v>
      </c>
      <c r="AB537">
        <v>14</v>
      </c>
      <c r="AC537">
        <v>0.3</v>
      </c>
      <c r="AD537" s="47">
        <v>0</v>
      </c>
      <c r="AE537" s="47">
        <v>0</v>
      </c>
      <c r="AF537" s="47">
        <v>0</v>
      </c>
      <c r="AG537" s="47">
        <v>0</v>
      </c>
      <c r="AH537" s="47">
        <v>0</v>
      </c>
      <c r="AI537" s="47">
        <v>0</v>
      </c>
      <c r="AJ537" s="47">
        <v>2</v>
      </c>
      <c r="AK537" s="47">
        <v>2</v>
      </c>
      <c r="AL537">
        <v>12</v>
      </c>
      <c r="AM537">
        <v>0.14285999999999999</v>
      </c>
      <c r="AN537">
        <v>12</v>
      </c>
      <c r="AO537">
        <v>8</v>
      </c>
      <c r="AP537">
        <v>20</v>
      </c>
      <c r="AQ537">
        <v>12</v>
      </c>
      <c r="AR537">
        <v>8</v>
      </c>
      <c r="AS537">
        <v>8</v>
      </c>
      <c r="AT537" t="s">
        <v>20453</v>
      </c>
      <c r="AU537" t="s">
        <v>20454</v>
      </c>
      <c r="AV537">
        <v>0.61899999999999999</v>
      </c>
      <c r="AW537" t="s">
        <v>65</v>
      </c>
      <c r="AX537">
        <v>28</v>
      </c>
      <c r="AY537">
        <v>20</v>
      </c>
      <c r="AZ537" t="s">
        <v>20455</v>
      </c>
      <c r="BA537">
        <v>3.1530000000000002E-2</v>
      </c>
      <c r="BB537">
        <v>-1.31E-3</v>
      </c>
      <c r="BC537">
        <v>7.9699999999999997E-3</v>
      </c>
      <c r="BD537">
        <v>-4.2000000000000002E-4</v>
      </c>
      <c r="BE537">
        <v>0.25273000000000001</v>
      </c>
      <c r="BF537">
        <v>1</v>
      </c>
      <c r="BG537" t="s">
        <v>69</v>
      </c>
      <c r="BH537">
        <v>-1.167</v>
      </c>
      <c r="BI537">
        <v>-1.7030000000000001</v>
      </c>
    </row>
    <row r="538" spans="3:61">
      <c r="C538">
        <v>0</v>
      </c>
      <c r="D538">
        <v>4</v>
      </c>
      <c r="E538">
        <v>4</v>
      </c>
      <c r="F538" t="s">
        <v>25021</v>
      </c>
      <c r="G538">
        <v>202</v>
      </c>
      <c r="H538" t="s">
        <v>1376</v>
      </c>
      <c r="I538" t="s">
        <v>62</v>
      </c>
      <c r="J538">
        <v>223222</v>
      </c>
      <c r="K538">
        <v>223989</v>
      </c>
      <c r="L538" t="s">
        <v>1377</v>
      </c>
      <c r="M538">
        <v>256</v>
      </c>
      <c r="N538" t="s">
        <v>1378</v>
      </c>
      <c r="O538">
        <v>43</v>
      </c>
      <c r="P538" t="str">
        <f>HYPERLINK("Gene202-zp_tree_all.dnd", "Gene202-tree")</f>
        <v>Gene202-tree</v>
      </c>
      <c r="Q538">
        <v>4</v>
      </c>
      <c r="R538">
        <v>9</v>
      </c>
      <c r="S538">
        <v>4</v>
      </c>
      <c r="T538">
        <v>9</v>
      </c>
      <c r="U538">
        <v>0.69230999999999998</v>
      </c>
      <c r="V538" t="s">
        <v>61</v>
      </c>
      <c r="W538" t="s">
        <v>135</v>
      </c>
      <c r="X538" t="s">
        <v>62</v>
      </c>
      <c r="Y538" t="s">
        <v>62</v>
      </c>
      <c r="Z538">
        <v>4</v>
      </c>
      <c r="AA538">
        <v>8</v>
      </c>
      <c r="AB538">
        <v>17</v>
      </c>
      <c r="AC538">
        <v>0.32</v>
      </c>
      <c r="AD538" s="47">
        <v>0</v>
      </c>
      <c r="AE538" s="47">
        <v>0</v>
      </c>
      <c r="AF538" s="47">
        <v>0</v>
      </c>
      <c r="AG538" s="47">
        <v>0</v>
      </c>
      <c r="AH538" s="47">
        <v>0</v>
      </c>
      <c r="AI538" s="47">
        <v>0</v>
      </c>
      <c r="AJ538" s="47">
        <v>0</v>
      </c>
      <c r="AK538" s="47">
        <v>0</v>
      </c>
      <c r="AL538">
        <v>20</v>
      </c>
      <c r="AM538">
        <v>0</v>
      </c>
      <c r="AN538">
        <v>12</v>
      </c>
      <c r="AO538">
        <v>7</v>
      </c>
      <c r="AP538">
        <v>27</v>
      </c>
      <c r="AQ538">
        <v>20</v>
      </c>
      <c r="AR538">
        <v>16</v>
      </c>
      <c r="AS538">
        <v>6</v>
      </c>
      <c r="AT538" t="s">
        <v>1379</v>
      </c>
      <c r="AU538" t="s">
        <v>1380</v>
      </c>
      <c r="AV538">
        <v>1.3089999999999999</v>
      </c>
      <c r="AW538" t="s">
        <v>65</v>
      </c>
      <c r="AX538">
        <v>43</v>
      </c>
      <c r="AY538">
        <v>26</v>
      </c>
      <c r="AZ538" t="s">
        <v>1381</v>
      </c>
      <c r="BA538">
        <v>4.6489999999999997E-2</v>
      </c>
      <c r="BB538">
        <v>-1.91E-3</v>
      </c>
      <c r="BC538">
        <v>7.9799999999999992E-3</v>
      </c>
      <c r="BD538">
        <v>-3.3E-4</v>
      </c>
      <c r="BE538">
        <v>0.17171</v>
      </c>
      <c r="BF538">
        <v>1</v>
      </c>
      <c r="BG538" t="s">
        <v>69</v>
      </c>
      <c r="BH538">
        <v>-0.38600000000000001</v>
      </c>
      <c r="BI538">
        <v>-0.35399999999999998</v>
      </c>
    </row>
    <row r="539" spans="3:61">
      <c r="C539">
        <v>0</v>
      </c>
      <c r="D539">
        <v>7</v>
      </c>
      <c r="E539">
        <v>2</v>
      </c>
      <c r="F539" t="s">
        <v>25021</v>
      </c>
      <c r="G539">
        <v>3942</v>
      </c>
      <c r="H539" t="s">
        <v>23141</v>
      </c>
      <c r="I539" t="s">
        <v>57</v>
      </c>
      <c r="J539">
        <v>3905333</v>
      </c>
      <c r="K539">
        <v>3906100</v>
      </c>
      <c r="L539" t="s">
        <v>23142</v>
      </c>
      <c r="M539">
        <v>256</v>
      </c>
      <c r="N539" t="s">
        <v>23143</v>
      </c>
      <c r="O539">
        <v>35</v>
      </c>
      <c r="P539" t="str">
        <f>HYPERLINK("Gene3942-zp_tree_all.dnd", "Gene3942-tree")</f>
        <v>Gene3942-tree</v>
      </c>
      <c r="Q539">
        <v>21</v>
      </c>
      <c r="R539">
        <v>5</v>
      </c>
      <c r="S539">
        <v>8</v>
      </c>
      <c r="T539">
        <v>5</v>
      </c>
      <c r="U539">
        <v>0.38462000000000002</v>
      </c>
      <c r="V539" t="s">
        <v>23144</v>
      </c>
      <c r="W539" t="s">
        <v>199</v>
      </c>
      <c r="X539" t="s">
        <v>62</v>
      </c>
      <c r="Y539" t="s">
        <v>62</v>
      </c>
      <c r="Z539">
        <v>4</v>
      </c>
      <c r="AA539">
        <v>9</v>
      </c>
      <c r="AB539">
        <v>5</v>
      </c>
      <c r="AC539">
        <v>0.64285999999999999</v>
      </c>
      <c r="AD539" s="47">
        <v>0</v>
      </c>
      <c r="AE539" s="47">
        <v>0</v>
      </c>
      <c r="AF539" s="47">
        <v>0</v>
      </c>
      <c r="AG539" s="47">
        <v>1</v>
      </c>
      <c r="AH539" s="47">
        <v>0</v>
      </c>
      <c r="AI539" s="47">
        <v>0</v>
      </c>
      <c r="AJ539" s="47">
        <v>0</v>
      </c>
      <c r="AK539" s="47">
        <v>0</v>
      </c>
      <c r="AL539">
        <v>9</v>
      </c>
      <c r="AM539">
        <v>0</v>
      </c>
      <c r="AN539">
        <v>9</v>
      </c>
      <c r="AO539">
        <v>6</v>
      </c>
      <c r="AP539">
        <v>31</v>
      </c>
      <c r="AQ539">
        <v>9</v>
      </c>
      <c r="AR539">
        <v>5</v>
      </c>
      <c r="AS539">
        <v>5</v>
      </c>
      <c r="AT539" t="s">
        <v>23145</v>
      </c>
      <c r="AU539" t="s">
        <v>23146</v>
      </c>
      <c r="AV539">
        <v>0.92700000000000005</v>
      </c>
      <c r="AW539" t="s">
        <v>65</v>
      </c>
      <c r="AX539">
        <v>36</v>
      </c>
      <c r="AY539">
        <v>14</v>
      </c>
      <c r="AZ539" t="s">
        <v>23147</v>
      </c>
      <c r="BA539">
        <v>3.5490000000000001E-2</v>
      </c>
      <c r="BB539">
        <v>-2.3500000000000001E-3</v>
      </c>
      <c r="BC539">
        <v>5.0099999999999997E-3</v>
      </c>
      <c r="BD539">
        <v>-3.3E-4</v>
      </c>
      <c r="BE539">
        <v>0.14116000000000001</v>
      </c>
      <c r="BF539">
        <v>1</v>
      </c>
      <c r="BG539" t="s">
        <v>69</v>
      </c>
      <c r="BH539">
        <v>-1.08</v>
      </c>
      <c r="BI539">
        <v>-2.6070000000000002</v>
      </c>
    </row>
    <row r="540" spans="3:61">
      <c r="C540">
        <v>0</v>
      </c>
      <c r="D540">
        <v>2</v>
      </c>
      <c r="E540">
        <v>0</v>
      </c>
      <c r="F540" t="s">
        <v>25021</v>
      </c>
      <c r="G540">
        <v>1452</v>
      </c>
      <c r="H540" t="s">
        <v>9099</v>
      </c>
      <c r="I540" t="s">
        <v>62</v>
      </c>
      <c r="J540">
        <v>1466641</v>
      </c>
      <c r="K540">
        <v>1467411</v>
      </c>
      <c r="L540" t="s">
        <v>288</v>
      </c>
      <c r="M540">
        <v>257</v>
      </c>
      <c r="N540" t="s">
        <v>2289</v>
      </c>
      <c r="O540">
        <v>37</v>
      </c>
      <c r="P540" t="str">
        <f>HYPERLINK("Gene1452-zp_tree_all.dnd", "Gene1452-tree")</f>
        <v>Gene1452-tree</v>
      </c>
      <c r="Q540">
        <v>11</v>
      </c>
      <c r="R540">
        <v>2</v>
      </c>
      <c r="S540">
        <v>11</v>
      </c>
      <c r="T540">
        <v>2</v>
      </c>
      <c r="U540">
        <v>0.15384999999999999</v>
      </c>
      <c r="V540" t="s">
        <v>73</v>
      </c>
      <c r="W540" t="s">
        <v>81</v>
      </c>
      <c r="X540" t="s">
        <v>62</v>
      </c>
      <c r="Y540" t="s">
        <v>62</v>
      </c>
      <c r="Z540">
        <v>1</v>
      </c>
      <c r="AA540">
        <v>2</v>
      </c>
      <c r="AB540">
        <v>6</v>
      </c>
      <c r="AC540">
        <v>0.25</v>
      </c>
      <c r="AD540" s="47">
        <v>0</v>
      </c>
      <c r="AE540" s="47">
        <v>0</v>
      </c>
      <c r="AF540" s="47">
        <v>0</v>
      </c>
      <c r="AG540" s="47">
        <v>3</v>
      </c>
      <c r="AH540" s="47">
        <v>0</v>
      </c>
      <c r="AI540" s="47">
        <v>0</v>
      </c>
      <c r="AJ540" s="47">
        <v>0</v>
      </c>
      <c r="AK540" s="47">
        <v>0</v>
      </c>
      <c r="AL540">
        <v>4</v>
      </c>
      <c r="AM540">
        <v>0</v>
      </c>
      <c r="AN540">
        <v>9</v>
      </c>
      <c r="AO540">
        <v>8</v>
      </c>
      <c r="AP540">
        <v>10</v>
      </c>
      <c r="AQ540">
        <v>4</v>
      </c>
      <c r="AR540">
        <v>15</v>
      </c>
      <c r="AS540">
        <v>4</v>
      </c>
      <c r="AT540" t="s">
        <v>9100</v>
      </c>
      <c r="AU540" t="s">
        <v>9101</v>
      </c>
      <c r="AV540">
        <v>0.21</v>
      </c>
      <c r="AW540" t="s">
        <v>65</v>
      </c>
      <c r="AX540">
        <v>25</v>
      </c>
      <c r="AY540">
        <v>8</v>
      </c>
      <c r="AZ540" t="s">
        <v>9102</v>
      </c>
      <c r="BA540">
        <v>4.0379999999999999E-2</v>
      </c>
      <c r="BB540">
        <v>-2.0600000000000002E-3</v>
      </c>
      <c r="BC540">
        <v>2.8800000000000002E-3</v>
      </c>
      <c r="BD540">
        <v>-2.2000000000000001E-4</v>
      </c>
      <c r="BE540">
        <v>7.1300000000000002E-2</v>
      </c>
      <c r="BF540">
        <v>1</v>
      </c>
      <c r="BG540" t="s">
        <v>69</v>
      </c>
      <c r="BH540">
        <v>-0.72199999999999998</v>
      </c>
      <c r="BI540">
        <v>-0.45900000000000002</v>
      </c>
    </row>
    <row r="541" spans="3:61">
      <c r="C541">
        <v>0</v>
      </c>
      <c r="D541">
        <v>8</v>
      </c>
      <c r="E541">
        <v>0</v>
      </c>
      <c r="F541" t="s">
        <v>25021</v>
      </c>
      <c r="G541">
        <v>3898</v>
      </c>
      <c r="H541" t="s">
        <v>22853</v>
      </c>
      <c r="I541" t="s">
        <v>57</v>
      </c>
      <c r="J541">
        <v>3861437</v>
      </c>
      <c r="K541">
        <v>3862210</v>
      </c>
      <c r="L541" t="s">
        <v>22854</v>
      </c>
      <c r="M541">
        <v>258</v>
      </c>
      <c r="N541" t="s">
        <v>108</v>
      </c>
      <c r="O541">
        <v>44</v>
      </c>
      <c r="P541" t="str">
        <f>HYPERLINK("Gene3898-zp_tree_all.dnd", "Gene3898-tree")</f>
        <v>Gene3898-tree</v>
      </c>
      <c r="Q541">
        <v>5</v>
      </c>
      <c r="R541">
        <v>9</v>
      </c>
      <c r="S541">
        <v>5</v>
      </c>
      <c r="T541">
        <v>9</v>
      </c>
      <c r="U541">
        <v>0.64285999999999999</v>
      </c>
      <c r="V541" t="s">
        <v>199</v>
      </c>
      <c r="W541" t="s">
        <v>135</v>
      </c>
      <c r="X541" t="s">
        <v>62</v>
      </c>
      <c r="Y541" t="s">
        <v>62</v>
      </c>
      <c r="Z541">
        <v>2</v>
      </c>
      <c r="AA541">
        <v>8</v>
      </c>
      <c r="AB541">
        <v>8</v>
      </c>
      <c r="AC541">
        <v>0.5</v>
      </c>
      <c r="AD541" s="47">
        <v>0</v>
      </c>
      <c r="AE541" s="47">
        <v>0</v>
      </c>
      <c r="AF541" s="47">
        <v>0</v>
      </c>
      <c r="AG541" s="47">
        <v>0</v>
      </c>
      <c r="AH541" s="47">
        <v>0</v>
      </c>
      <c r="AI541" s="47">
        <v>4</v>
      </c>
      <c r="AJ541" s="47">
        <v>2</v>
      </c>
      <c r="AK541" s="47">
        <v>6</v>
      </c>
      <c r="AL541">
        <v>7</v>
      </c>
      <c r="AM541">
        <v>0.46154000000000001</v>
      </c>
      <c r="AN541">
        <v>14</v>
      </c>
      <c r="AO541">
        <v>5</v>
      </c>
      <c r="AP541">
        <v>22</v>
      </c>
      <c r="AQ541">
        <v>13</v>
      </c>
      <c r="AR541">
        <v>6</v>
      </c>
      <c r="AS541">
        <v>3</v>
      </c>
      <c r="AT541" t="s">
        <v>22855</v>
      </c>
      <c r="AU541" t="s">
        <v>22856</v>
      </c>
      <c r="AV541">
        <v>0.185</v>
      </c>
      <c r="AW541" t="s">
        <v>65</v>
      </c>
      <c r="AX541">
        <v>28</v>
      </c>
      <c r="AY541">
        <v>16</v>
      </c>
      <c r="AZ541" t="s">
        <v>22857</v>
      </c>
      <c r="BA541">
        <v>3.1460000000000002E-2</v>
      </c>
      <c r="BB541">
        <v>-1.4599999999999999E-3</v>
      </c>
      <c r="BC541">
        <v>3.2200000000000002E-3</v>
      </c>
      <c r="BD541">
        <v>-1.9000000000000001E-4</v>
      </c>
      <c r="BE541">
        <v>0.10227</v>
      </c>
      <c r="BF541">
        <v>1</v>
      </c>
      <c r="BG541" t="s">
        <v>69</v>
      </c>
      <c r="BH541">
        <v>-1.3480000000000001</v>
      </c>
      <c r="BI541">
        <v>-2.419</v>
      </c>
    </row>
    <row r="542" spans="3:61">
      <c r="C542">
        <v>0</v>
      </c>
      <c r="D542">
        <v>0</v>
      </c>
      <c r="E542">
        <v>2</v>
      </c>
      <c r="F542" t="s">
        <v>25021</v>
      </c>
      <c r="G542">
        <v>909</v>
      </c>
      <c r="H542" t="s">
        <v>5676</v>
      </c>
      <c r="I542" t="s">
        <v>62</v>
      </c>
      <c r="J542">
        <v>953376</v>
      </c>
      <c r="K542">
        <v>954149</v>
      </c>
      <c r="L542" t="s">
        <v>5677</v>
      </c>
      <c r="M542">
        <v>258</v>
      </c>
      <c r="N542" t="s">
        <v>108</v>
      </c>
      <c r="O542">
        <v>44</v>
      </c>
      <c r="P542" t="str">
        <f>HYPERLINK("Gene909-zp_tree_all.dnd", "Gene909-tree")</f>
        <v>Gene909-tree</v>
      </c>
      <c r="Q542">
        <v>2</v>
      </c>
      <c r="R542">
        <v>8</v>
      </c>
      <c r="S542">
        <v>2</v>
      </c>
      <c r="T542">
        <v>8</v>
      </c>
      <c r="U542">
        <v>0.8</v>
      </c>
      <c r="V542" t="s">
        <v>81</v>
      </c>
      <c r="W542" t="s">
        <v>136</v>
      </c>
      <c r="X542" t="s">
        <v>62</v>
      </c>
      <c r="Y542" t="s">
        <v>62</v>
      </c>
      <c r="Z542">
        <v>1</v>
      </c>
      <c r="AA542">
        <v>2</v>
      </c>
      <c r="AB542">
        <v>12</v>
      </c>
      <c r="AC542">
        <v>0.14285999999999999</v>
      </c>
      <c r="AD542" s="47">
        <v>0</v>
      </c>
      <c r="AE542" s="47">
        <v>0</v>
      </c>
      <c r="AF542" s="47">
        <v>0</v>
      </c>
      <c r="AG542" s="47">
        <v>0</v>
      </c>
      <c r="AH542" s="47">
        <v>0</v>
      </c>
      <c r="AI542" s="47">
        <v>0</v>
      </c>
      <c r="AJ542" s="47">
        <v>2</v>
      </c>
      <c r="AK542" s="47">
        <v>2</v>
      </c>
      <c r="AL542">
        <v>10</v>
      </c>
      <c r="AM542">
        <v>0.16667000000000001</v>
      </c>
      <c r="AN542">
        <v>8</v>
      </c>
      <c r="AO542">
        <v>6</v>
      </c>
      <c r="AP542">
        <v>21</v>
      </c>
      <c r="AQ542">
        <v>11</v>
      </c>
      <c r="AR542">
        <v>16</v>
      </c>
      <c r="AS542">
        <v>3</v>
      </c>
      <c r="AT542" t="s">
        <v>5678</v>
      </c>
      <c r="AU542" t="s">
        <v>5679</v>
      </c>
      <c r="AV542">
        <v>1.113</v>
      </c>
      <c r="AW542" t="s">
        <v>65</v>
      </c>
      <c r="AX542">
        <v>37</v>
      </c>
      <c r="AY542">
        <v>14</v>
      </c>
      <c r="AZ542" t="s">
        <v>5680</v>
      </c>
      <c r="BA542">
        <v>6.6900000000000001E-2</v>
      </c>
      <c r="BB542">
        <v>-4.8999999999999998E-3</v>
      </c>
      <c r="BC542">
        <v>6.0099999999999997E-3</v>
      </c>
      <c r="BD542">
        <v>-4.2000000000000002E-4</v>
      </c>
      <c r="BE542">
        <v>8.9770000000000003E-2</v>
      </c>
      <c r="BF542">
        <v>1</v>
      </c>
      <c r="BG542" t="s">
        <v>69</v>
      </c>
      <c r="BH542">
        <v>-0.67800000000000005</v>
      </c>
      <c r="BI542">
        <v>-0.98</v>
      </c>
    </row>
    <row r="543" spans="3:61">
      <c r="C543">
        <v>0</v>
      </c>
      <c r="D543">
        <v>9</v>
      </c>
      <c r="E543">
        <v>4</v>
      </c>
      <c r="F543" t="s">
        <v>25021</v>
      </c>
      <c r="G543">
        <v>3904</v>
      </c>
      <c r="H543" t="s">
        <v>22893</v>
      </c>
      <c r="I543" t="s">
        <v>57</v>
      </c>
      <c r="J543">
        <v>3867493</v>
      </c>
      <c r="K543">
        <v>3868269</v>
      </c>
      <c r="L543" t="s">
        <v>22894</v>
      </c>
      <c r="M543">
        <v>259</v>
      </c>
      <c r="N543" t="s">
        <v>289</v>
      </c>
      <c r="O543">
        <v>46</v>
      </c>
      <c r="P543" t="str">
        <f>HYPERLINK("Gene3904-zp_tree_all.dnd", "Gene3904-tree")</f>
        <v>Gene3904-tree</v>
      </c>
      <c r="Q543">
        <v>7</v>
      </c>
      <c r="R543">
        <v>10</v>
      </c>
      <c r="S543">
        <v>7</v>
      </c>
      <c r="T543">
        <v>10</v>
      </c>
      <c r="U543">
        <v>0.58823999999999999</v>
      </c>
      <c r="V543" t="s">
        <v>152</v>
      </c>
      <c r="W543" t="s">
        <v>117</v>
      </c>
      <c r="X543" t="s">
        <v>62</v>
      </c>
      <c r="Y543" t="s">
        <v>62</v>
      </c>
      <c r="Z543">
        <v>5</v>
      </c>
      <c r="AA543">
        <v>13</v>
      </c>
      <c r="AB543">
        <v>14</v>
      </c>
      <c r="AC543">
        <v>0.48148000000000002</v>
      </c>
      <c r="AD543" s="47">
        <v>0</v>
      </c>
      <c r="AE543" s="47">
        <v>0</v>
      </c>
      <c r="AF543" s="47">
        <v>0</v>
      </c>
      <c r="AG543" s="47">
        <v>1</v>
      </c>
      <c r="AH543" s="47">
        <v>0</v>
      </c>
      <c r="AI543" s="47">
        <v>4</v>
      </c>
      <c r="AJ543" s="47">
        <v>2</v>
      </c>
      <c r="AK543" s="47">
        <v>6</v>
      </c>
      <c r="AL543">
        <v>9</v>
      </c>
      <c r="AM543">
        <v>0.4</v>
      </c>
      <c r="AN543">
        <v>15</v>
      </c>
      <c r="AO543">
        <v>10</v>
      </c>
      <c r="AP543">
        <v>40</v>
      </c>
      <c r="AQ543">
        <v>15</v>
      </c>
      <c r="AR543">
        <v>29</v>
      </c>
      <c r="AS543">
        <v>12</v>
      </c>
      <c r="AT543" t="s">
        <v>22895</v>
      </c>
      <c r="AU543" t="s">
        <v>22896</v>
      </c>
      <c r="AV543">
        <v>4.2000000000000003E-2</v>
      </c>
      <c r="AW543" t="s">
        <v>65</v>
      </c>
      <c r="AX543">
        <v>69</v>
      </c>
      <c r="AY543">
        <v>27</v>
      </c>
      <c r="AZ543" t="s">
        <v>22897</v>
      </c>
      <c r="BA543">
        <v>7.0220000000000005E-2</v>
      </c>
      <c r="BB543">
        <v>-5.3899999999999998E-3</v>
      </c>
      <c r="BC543">
        <v>8.1099999999999992E-3</v>
      </c>
      <c r="BD543">
        <v>-3.8999999999999999E-4</v>
      </c>
      <c r="BE543">
        <v>0.11548</v>
      </c>
      <c r="BF543">
        <v>1</v>
      </c>
      <c r="BG543" t="s">
        <v>69</v>
      </c>
      <c r="BH543">
        <v>-1.216</v>
      </c>
      <c r="BI543">
        <v>-1.4830000000000001</v>
      </c>
    </row>
    <row r="544" spans="3:61">
      <c r="C544">
        <v>0</v>
      </c>
      <c r="D544">
        <v>2</v>
      </c>
      <c r="E544">
        <v>0</v>
      </c>
      <c r="F544" t="s">
        <v>25021</v>
      </c>
      <c r="G544">
        <v>1409</v>
      </c>
      <c r="H544" t="s">
        <v>8822</v>
      </c>
      <c r="I544" t="s">
        <v>62</v>
      </c>
      <c r="J544">
        <v>1424770</v>
      </c>
      <c r="K544">
        <v>1425546</v>
      </c>
      <c r="L544" t="s">
        <v>8823</v>
      </c>
      <c r="M544">
        <v>259</v>
      </c>
      <c r="N544" t="s">
        <v>108</v>
      </c>
      <c r="O544">
        <v>44</v>
      </c>
      <c r="P544" t="str">
        <f>HYPERLINK("Gene1409-zp_tree_all.dnd", "Gene1409-tree")</f>
        <v>Gene1409-tree</v>
      </c>
      <c r="Q544">
        <v>5</v>
      </c>
      <c r="R544">
        <v>9</v>
      </c>
      <c r="S544">
        <v>5</v>
      </c>
      <c r="T544">
        <v>9</v>
      </c>
      <c r="U544">
        <v>0.64285999999999999</v>
      </c>
      <c r="V544" t="s">
        <v>199</v>
      </c>
      <c r="W544" t="s">
        <v>135</v>
      </c>
      <c r="X544" t="s">
        <v>62</v>
      </c>
      <c r="Y544" t="s">
        <v>62</v>
      </c>
      <c r="Z544">
        <v>1</v>
      </c>
      <c r="AA544">
        <v>2</v>
      </c>
      <c r="AB544">
        <v>14</v>
      </c>
      <c r="AC544">
        <v>0.125</v>
      </c>
      <c r="AD544" s="47">
        <v>0</v>
      </c>
      <c r="AE544" s="47">
        <v>0</v>
      </c>
      <c r="AF544" s="47">
        <v>0</v>
      </c>
      <c r="AG544" s="47">
        <v>0</v>
      </c>
      <c r="AH544" s="47">
        <v>0</v>
      </c>
      <c r="AI544" s="47">
        <v>2</v>
      </c>
      <c r="AJ544" s="47">
        <v>0</v>
      </c>
      <c r="AK544" s="47">
        <v>2</v>
      </c>
      <c r="AL544">
        <v>12</v>
      </c>
      <c r="AM544">
        <v>0.14285999999999999</v>
      </c>
      <c r="AN544">
        <v>13</v>
      </c>
      <c r="AO544">
        <v>9</v>
      </c>
      <c r="AP544">
        <v>24</v>
      </c>
      <c r="AQ544">
        <v>14</v>
      </c>
      <c r="AR544">
        <v>20</v>
      </c>
      <c r="AS544">
        <v>2</v>
      </c>
      <c r="AT544" t="s">
        <v>8824</v>
      </c>
      <c r="AU544" t="s">
        <v>8825</v>
      </c>
      <c r="AV544">
        <v>1.917</v>
      </c>
      <c r="AW544" t="s">
        <v>65</v>
      </c>
      <c r="AX544">
        <v>44</v>
      </c>
      <c r="AY544">
        <v>16</v>
      </c>
      <c r="AZ544" t="s">
        <v>8826</v>
      </c>
      <c r="BA544">
        <v>4.1059999999999999E-2</v>
      </c>
      <c r="BB544">
        <v>-1.5399999999999999E-3</v>
      </c>
      <c r="BC544">
        <v>4.15E-3</v>
      </c>
      <c r="BD544">
        <v>-2.1000000000000001E-4</v>
      </c>
      <c r="BE544">
        <v>0.10116</v>
      </c>
      <c r="BF544">
        <v>1</v>
      </c>
      <c r="BG544" t="s">
        <v>69</v>
      </c>
      <c r="BH544">
        <v>-1.2270000000000001</v>
      </c>
      <c r="BI544">
        <v>-1.603</v>
      </c>
    </row>
    <row r="545" spans="3:61">
      <c r="C545">
        <v>0</v>
      </c>
      <c r="D545">
        <v>13</v>
      </c>
      <c r="E545">
        <v>2</v>
      </c>
      <c r="F545" t="s">
        <v>25021</v>
      </c>
      <c r="G545">
        <v>1890</v>
      </c>
      <c r="H545" t="s">
        <v>11829</v>
      </c>
      <c r="I545" t="s">
        <v>62</v>
      </c>
      <c r="J545">
        <v>1951231</v>
      </c>
      <c r="K545">
        <v>1952010</v>
      </c>
      <c r="L545" t="s">
        <v>11830</v>
      </c>
      <c r="M545">
        <v>260</v>
      </c>
      <c r="N545" t="s">
        <v>108</v>
      </c>
      <c r="O545">
        <v>44</v>
      </c>
      <c r="P545" t="str">
        <f>HYPERLINK("Gene1890-zp_tree_all.dnd", "Gene1890-tree")</f>
        <v>Gene1890-tree</v>
      </c>
      <c r="Q545">
        <v>1</v>
      </c>
      <c r="R545">
        <v>10</v>
      </c>
      <c r="S545">
        <v>1</v>
      </c>
      <c r="T545">
        <v>10</v>
      </c>
      <c r="U545">
        <v>0.90908999999999995</v>
      </c>
      <c r="V545" t="s">
        <v>175</v>
      </c>
      <c r="W545" t="s">
        <v>117</v>
      </c>
      <c r="X545" t="s">
        <v>62</v>
      </c>
      <c r="Y545" t="s">
        <v>62</v>
      </c>
      <c r="Z545">
        <v>7</v>
      </c>
      <c r="AA545">
        <v>15</v>
      </c>
      <c r="AB545">
        <v>9</v>
      </c>
      <c r="AC545">
        <v>0.625</v>
      </c>
      <c r="AD545" s="47">
        <v>0</v>
      </c>
      <c r="AE545" s="47">
        <v>0</v>
      </c>
      <c r="AF545" s="47">
        <v>0</v>
      </c>
      <c r="AG545" s="47">
        <v>0</v>
      </c>
      <c r="AH545" s="47">
        <v>0</v>
      </c>
      <c r="AI545" s="47">
        <v>8</v>
      </c>
      <c r="AJ545" s="47">
        <v>0</v>
      </c>
      <c r="AK545" s="47">
        <v>8</v>
      </c>
      <c r="AL545">
        <v>10</v>
      </c>
      <c r="AM545">
        <v>0.44444</v>
      </c>
      <c r="AN545">
        <v>11</v>
      </c>
      <c r="AO545">
        <v>8</v>
      </c>
      <c r="AP545">
        <v>27</v>
      </c>
      <c r="AQ545">
        <v>18</v>
      </c>
      <c r="AR545">
        <v>11</v>
      </c>
      <c r="AS545">
        <v>6</v>
      </c>
      <c r="AT545" t="s">
        <v>11831</v>
      </c>
      <c r="AU545" t="s">
        <v>11832</v>
      </c>
      <c r="AV545">
        <v>7.1999999999999995E-2</v>
      </c>
      <c r="AW545" t="s">
        <v>65</v>
      </c>
      <c r="AX545">
        <v>38</v>
      </c>
      <c r="AY545">
        <v>24</v>
      </c>
      <c r="AZ545" t="s">
        <v>11833</v>
      </c>
      <c r="BA545">
        <v>4.4880000000000003E-2</v>
      </c>
      <c r="BB545">
        <v>-5.3E-3</v>
      </c>
      <c r="BC545">
        <v>8.5800000000000008E-3</v>
      </c>
      <c r="BD545">
        <v>-4.4000000000000002E-4</v>
      </c>
      <c r="BE545">
        <v>0.19109999999999999</v>
      </c>
      <c r="BF545">
        <v>1</v>
      </c>
      <c r="BG545" t="s">
        <v>69</v>
      </c>
      <c r="BH545">
        <v>-0.67800000000000005</v>
      </c>
      <c r="BI545">
        <v>-2.339</v>
      </c>
    </row>
    <row r="546" spans="3:61">
      <c r="C546">
        <v>0</v>
      </c>
      <c r="D546">
        <v>2</v>
      </c>
      <c r="E546">
        <v>2</v>
      </c>
      <c r="F546" t="s">
        <v>25021</v>
      </c>
      <c r="G546">
        <v>3465</v>
      </c>
      <c r="H546" t="s">
        <v>20290</v>
      </c>
      <c r="I546" t="s">
        <v>57</v>
      </c>
      <c r="J546">
        <v>3425272</v>
      </c>
      <c r="K546">
        <v>3426051</v>
      </c>
      <c r="L546" t="s">
        <v>20291</v>
      </c>
      <c r="M546">
        <v>260</v>
      </c>
      <c r="N546" t="s">
        <v>108</v>
      </c>
      <c r="O546">
        <v>44</v>
      </c>
      <c r="P546" t="str">
        <f>HYPERLINK("Gene3465-zp_tree_all.dnd", "Gene3465-tree")</f>
        <v>Gene3465-tree</v>
      </c>
      <c r="Q546">
        <v>4</v>
      </c>
      <c r="R546">
        <v>8</v>
      </c>
      <c r="S546">
        <v>4</v>
      </c>
      <c r="T546">
        <v>8</v>
      </c>
      <c r="U546">
        <v>0.66666999999999998</v>
      </c>
      <c r="V546" t="s">
        <v>61</v>
      </c>
      <c r="W546" t="s">
        <v>136</v>
      </c>
      <c r="X546" t="s">
        <v>62</v>
      </c>
      <c r="Y546" t="s">
        <v>62</v>
      </c>
      <c r="Z546">
        <v>2</v>
      </c>
      <c r="AA546">
        <v>4</v>
      </c>
      <c r="AB546">
        <v>12</v>
      </c>
      <c r="AC546">
        <v>0.25</v>
      </c>
      <c r="AD546" s="47">
        <v>0</v>
      </c>
      <c r="AE546" s="47">
        <v>0</v>
      </c>
      <c r="AF546" s="47">
        <v>0</v>
      </c>
      <c r="AG546" s="47">
        <v>0</v>
      </c>
      <c r="AH546" s="47">
        <v>0</v>
      </c>
      <c r="AI546" s="47">
        <v>0</v>
      </c>
      <c r="AJ546" s="47">
        <v>2</v>
      </c>
      <c r="AK546" s="47">
        <v>2</v>
      </c>
      <c r="AL546">
        <v>12</v>
      </c>
      <c r="AM546">
        <v>0.14285999999999999</v>
      </c>
      <c r="AN546">
        <v>10</v>
      </c>
      <c r="AO546">
        <v>6</v>
      </c>
      <c r="AP546">
        <v>21</v>
      </c>
      <c r="AQ546">
        <v>11</v>
      </c>
      <c r="AR546">
        <v>11</v>
      </c>
      <c r="AS546">
        <v>5</v>
      </c>
      <c r="AT546" t="s">
        <v>20292</v>
      </c>
      <c r="AU546" t="s">
        <v>20293</v>
      </c>
      <c r="AV546">
        <v>0.114</v>
      </c>
      <c r="AW546" t="s">
        <v>65</v>
      </c>
      <c r="AX546">
        <v>32</v>
      </c>
      <c r="AY546">
        <v>16</v>
      </c>
      <c r="AZ546" t="s">
        <v>20294</v>
      </c>
      <c r="BA546">
        <v>3.8440000000000002E-2</v>
      </c>
      <c r="BB546">
        <v>-1.81E-3</v>
      </c>
      <c r="BC546">
        <v>5.8500000000000002E-3</v>
      </c>
      <c r="BD546">
        <v>-4.8000000000000001E-4</v>
      </c>
      <c r="BE546">
        <v>0.15214</v>
      </c>
      <c r="BF546">
        <v>1</v>
      </c>
      <c r="BG546" t="s">
        <v>69</v>
      </c>
      <c r="BH546">
        <v>-0.50900000000000001</v>
      </c>
      <c r="BI546">
        <v>-3.0129999999999999</v>
      </c>
    </row>
    <row r="547" spans="3:61">
      <c r="C547">
        <v>0</v>
      </c>
      <c r="D547">
        <v>0</v>
      </c>
      <c r="E547">
        <v>0</v>
      </c>
      <c r="F547" t="s">
        <v>25021</v>
      </c>
      <c r="G547">
        <v>3010</v>
      </c>
      <c r="H547" t="s">
        <v>17388</v>
      </c>
      <c r="I547" t="s">
        <v>57</v>
      </c>
      <c r="J547">
        <v>2958434</v>
      </c>
      <c r="K547">
        <v>2959213</v>
      </c>
      <c r="L547" t="s">
        <v>17389</v>
      </c>
      <c r="M547">
        <v>260</v>
      </c>
      <c r="N547" t="s">
        <v>108</v>
      </c>
      <c r="O547">
        <v>44</v>
      </c>
      <c r="P547" t="str">
        <f>HYPERLINK("Gene3010-zp_tree_all.dnd", "Gene3010-tree")</f>
        <v>Gene3010-tree</v>
      </c>
      <c r="Q547">
        <v>5</v>
      </c>
      <c r="R547">
        <v>6</v>
      </c>
      <c r="S547">
        <v>5</v>
      </c>
      <c r="T547">
        <v>6</v>
      </c>
      <c r="U547">
        <v>0.54544999999999999</v>
      </c>
      <c r="V547" t="s">
        <v>199</v>
      </c>
      <c r="W547" t="s">
        <v>90</v>
      </c>
      <c r="X547" t="s">
        <v>62</v>
      </c>
      <c r="Y547" t="s">
        <v>62</v>
      </c>
      <c r="Z547">
        <v>0</v>
      </c>
      <c r="AA547">
        <v>0</v>
      </c>
      <c r="AB547">
        <v>9</v>
      </c>
      <c r="AC547">
        <v>0</v>
      </c>
      <c r="AD547" s="47">
        <v>0</v>
      </c>
      <c r="AE547" s="47">
        <v>0</v>
      </c>
      <c r="AF547" s="47">
        <v>0</v>
      </c>
      <c r="AG547" s="47">
        <v>0</v>
      </c>
      <c r="AH547" s="47">
        <v>0</v>
      </c>
      <c r="AI547" s="47">
        <v>0</v>
      </c>
      <c r="AJ547" s="47">
        <v>0</v>
      </c>
      <c r="AK547" s="47">
        <v>0</v>
      </c>
      <c r="AL547">
        <v>8</v>
      </c>
      <c r="AM547">
        <v>0</v>
      </c>
      <c r="AN547">
        <v>10</v>
      </c>
      <c r="AO547">
        <v>4</v>
      </c>
      <c r="AP547">
        <v>22</v>
      </c>
      <c r="AQ547">
        <v>8</v>
      </c>
      <c r="AR547">
        <v>7</v>
      </c>
      <c r="AS547">
        <v>1</v>
      </c>
      <c r="AT547" t="s">
        <v>17390</v>
      </c>
      <c r="AU547" t="s">
        <v>17391</v>
      </c>
      <c r="AV547">
        <v>0.76</v>
      </c>
      <c r="AW547" t="s">
        <v>65</v>
      </c>
      <c r="AX547">
        <v>29</v>
      </c>
      <c r="AY547">
        <v>9</v>
      </c>
      <c r="AZ547" t="s">
        <v>17392</v>
      </c>
      <c r="BA547">
        <v>3.0300000000000001E-2</v>
      </c>
      <c r="BB547">
        <v>-1.5399999999999999E-3</v>
      </c>
      <c r="BC547">
        <v>3.0000000000000001E-3</v>
      </c>
      <c r="BD547">
        <v>-2.5000000000000001E-4</v>
      </c>
      <c r="BE547">
        <v>9.9070000000000005E-2</v>
      </c>
      <c r="BF547">
        <v>1</v>
      </c>
      <c r="BG547" t="s">
        <v>69</v>
      </c>
      <c r="BH547">
        <v>-1.4999999999999999E-2</v>
      </c>
      <c r="BI547">
        <v>-1.196</v>
      </c>
    </row>
    <row r="548" spans="3:61">
      <c r="C548">
        <v>0</v>
      </c>
      <c r="D548">
        <v>0</v>
      </c>
      <c r="E548">
        <v>0</v>
      </c>
      <c r="F548" t="s">
        <v>25021</v>
      </c>
      <c r="G548">
        <v>3176</v>
      </c>
      <c r="H548" t="s">
        <v>18473</v>
      </c>
      <c r="I548" t="s">
        <v>57</v>
      </c>
      <c r="J548">
        <v>3133387</v>
      </c>
      <c r="K548">
        <v>3134166</v>
      </c>
      <c r="L548" t="s">
        <v>18474</v>
      </c>
      <c r="M548">
        <v>260</v>
      </c>
      <c r="N548" t="s">
        <v>289</v>
      </c>
      <c r="O548">
        <v>46</v>
      </c>
      <c r="P548" t="str">
        <f>HYPERLINK("Gene3176-zp_tree_all.dnd", "Gene3176-tree")</f>
        <v>Gene3176-tree</v>
      </c>
      <c r="Q548">
        <v>10</v>
      </c>
      <c r="R548">
        <v>1</v>
      </c>
      <c r="S548">
        <v>10</v>
      </c>
      <c r="T548">
        <v>1</v>
      </c>
      <c r="U548">
        <v>9.0910000000000005E-2</v>
      </c>
      <c r="V548" t="s">
        <v>117</v>
      </c>
      <c r="W548" t="s">
        <v>175</v>
      </c>
      <c r="X548" t="s">
        <v>62</v>
      </c>
      <c r="Y548" t="s">
        <v>62</v>
      </c>
      <c r="Z548">
        <v>0</v>
      </c>
      <c r="AA548">
        <v>0</v>
      </c>
      <c r="AB548">
        <v>7</v>
      </c>
      <c r="AC548">
        <v>0</v>
      </c>
      <c r="AD548" s="47">
        <v>0</v>
      </c>
      <c r="AE548" s="47">
        <v>0</v>
      </c>
      <c r="AF548" s="47">
        <v>0</v>
      </c>
      <c r="AG548" s="47">
        <v>0</v>
      </c>
      <c r="AH548" s="47">
        <v>0</v>
      </c>
      <c r="AI548" s="47">
        <v>0</v>
      </c>
      <c r="AJ548" s="47">
        <v>0</v>
      </c>
      <c r="AK548" s="47">
        <v>0</v>
      </c>
      <c r="AL548">
        <v>1</v>
      </c>
      <c r="AM548">
        <v>0</v>
      </c>
      <c r="AN548">
        <v>8</v>
      </c>
      <c r="AO548">
        <v>5</v>
      </c>
      <c r="AP548">
        <v>11</v>
      </c>
      <c r="AQ548">
        <v>1</v>
      </c>
      <c r="AR548">
        <v>33</v>
      </c>
      <c r="AS548">
        <v>6</v>
      </c>
      <c r="AT548" t="s">
        <v>18475</v>
      </c>
      <c r="AU548" t="s">
        <v>18476</v>
      </c>
      <c r="AV548">
        <v>0.14199999999999999</v>
      </c>
      <c r="AW548" t="s">
        <v>65</v>
      </c>
      <c r="AX548">
        <v>44</v>
      </c>
      <c r="AY548">
        <v>7</v>
      </c>
      <c r="AZ548" t="s">
        <v>18477</v>
      </c>
      <c r="BA548">
        <v>7.8890000000000002E-2</v>
      </c>
      <c r="BB548">
        <v>-1.155E-2</v>
      </c>
      <c r="BC548">
        <v>3.5899999999999999E-3</v>
      </c>
      <c r="BD548">
        <v>-6.3000000000000003E-4</v>
      </c>
      <c r="BE548">
        <v>4.5519999999999998E-2</v>
      </c>
      <c r="BF548">
        <v>1</v>
      </c>
      <c r="BG548" t="s">
        <v>69</v>
      </c>
      <c r="BH548">
        <v>-1.6719999999999999</v>
      </c>
      <c r="BI548">
        <v>1.03</v>
      </c>
    </row>
    <row r="549" spans="3:61">
      <c r="C549">
        <v>0</v>
      </c>
      <c r="D549">
        <v>0</v>
      </c>
      <c r="E549">
        <v>0</v>
      </c>
      <c r="F549" t="s">
        <v>25021</v>
      </c>
      <c r="G549">
        <v>3149</v>
      </c>
      <c r="H549" t="s">
        <v>18293</v>
      </c>
      <c r="I549" t="s">
        <v>57</v>
      </c>
      <c r="J549">
        <v>3106210</v>
      </c>
      <c r="K549">
        <v>3106992</v>
      </c>
      <c r="L549" t="s">
        <v>18294</v>
      </c>
      <c r="M549">
        <v>261</v>
      </c>
      <c r="N549" t="s">
        <v>108</v>
      </c>
      <c r="O549">
        <v>44</v>
      </c>
      <c r="P549" t="str">
        <f>HYPERLINK("Gene3149-zp_tree_all.dnd", "Gene3149-tree")</f>
        <v>Gene3149-tree</v>
      </c>
      <c r="Q549">
        <v>11</v>
      </c>
      <c r="R549">
        <v>4</v>
      </c>
      <c r="S549">
        <v>11</v>
      </c>
      <c r="T549">
        <v>4</v>
      </c>
      <c r="U549">
        <v>0.26667000000000002</v>
      </c>
      <c r="V549" t="s">
        <v>73</v>
      </c>
      <c r="W549" t="s">
        <v>61</v>
      </c>
      <c r="X549" t="s">
        <v>62</v>
      </c>
      <c r="Y549" t="s">
        <v>62</v>
      </c>
      <c r="Z549">
        <v>0</v>
      </c>
      <c r="AA549">
        <v>0</v>
      </c>
      <c r="AB549">
        <v>15</v>
      </c>
      <c r="AC549">
        <v>0</v>
      </c>
      <c r="AD549" s="47">
        <v>0</v>
      </c>
      <c r="AE549" s="47">
        <v>0</v>
      </c>
      <c r="AF549" s="47">
        <v>0</v>
      </c>
      <c r="AG549" s="47">
        <v>0</v>
      </c>
      <c r="AH549" s="47">
        <v>0</v>
      </c>
      <c r="AI549" s="47">
        <v>0</v>
      </c>
      <c r="AJ549" s="47">
        <v>0</v>
      </c>
      <c r="AK549" s="47">
        <v>0</v>
      </c>
      <c r="AL549">
        <v>8</v>
      </c>
      <c r="AM549">
        <v>0</v>
      </c>
      <c r="AN549">
        <v>14</v>
      </c>
      <c r="AO549">
        <v>10</v>
      </c>
      <c r="AP549">
        <v>23</v>
      </c>
      <c r="AQ549">
        <v>8</v>
      </c>
      <c r="AR549">
        <v>16</v>
      </c>
      <c r="AS549">
        <v>7</v>
      </c>
      <c r="AT549" t="s">
        <v>18295</v>
      </c>
      <c r="AU549" t="s">
        <v>18296</v>
      </c>
      <c r="AV549">
        <v>0.23100000000000001</v>
      </c>
      <c r="AW549" t="s">
        <v>65</v>
      </c>
      <c r="AX549">
        <v>39</v>
      </c>
      <c r="AY549">
        <v>15</v>
      </c>
      <c r="AZ549" t="s">
        <v>18297</v>
      </c>
      <c r="BA549">
        <v>4.011E-2</v>
      </c>
      <c r="BB549">
        <v>-1.75E-3</v>
      </c>
      <c r="BC549">
        <v>5.2300000000000003E-3</v>
      </c>
      <c r="BD549">
        <v>-3.4000000000000002E-4</v>
      </c>
      <c r="BE549">
        <v>0.13031999999999999</v>
      </c>
      <c r="BF549">
        <v>1</v>
      </c>
      <c r="BG549" t="s">
        <v>69</v>
      </c>
      <c r="BH549">
        <v>-0.23300000000000001</v>
      </c>
      <c r="BI549">
        <v>-1.0509999999999999</v>
      </c>
    </row>
    <row r="550" spans="3:61">
      <c r="C550">
        <v>0</v>
      </c>
      <c r="D550">
        <v>0</v>
      </c>
      <c r="E550">
        <v>0</v>
      </c>
      <c r="F550" t="s">
        <v>25021</v>
      </c>
      <c r="G550">
        <v>1420</v>
      </c>
      <c r="H550" t="s">
        <v>8893</v>
      </c>
      <c r="I550" t="s">
        <v>62</v>
      </c>
      <c r="J550">
        <v>1433679</v>
      </c>
      <c r="K550">
        <v>1434461</v>
      </c>
      <c r="L550" t="s">
        <v>8894</v>
      </c>
      <c r="M550">
        <v>261</v>
      </c>
      <c r="N550" t="s">
        <v>698</v>
      </c>
      <c r="O550">
        <v>47</v>
      </c>
      <c r="P550" t="str">
        <f>HYPERLINK("Gene1420-zp_tree_all.dnd", "Gene1420-tree")</f>
        <v>Gene1420-tree</v>
      </c>
      <c r="Q550">
        <v>11</v>
      </c>
      <c r="R550">
        <v>3</v>
      </c>
      <c r="S550">
        <v>11</v>
      </c>
      <c r="T550">
        <v>3</v>
      </c>
      <c r="U550">
        <v>0.21429000000000001</v>
      </c>
      <c r="V550" t="s">
        <v>73</v>
      </c>
      <c r="W550" t="s">
        <v>324</v>
      </c>
      <c r="X550" t="s">
        <v>62</v>
      </c>
      <c r="Y550" t="s">
        <v>62</v>
      </c>
      <c r="Z550">
        <v>0</v>
      </c>
      <c r="AA550">
        <v>0</v>
      </c>
      <c r="AB550">
        <v>6</v>
      </c>
      <c r="AC550">
        <v>0</v>
      </c>
      <c r="AD550" s="47">
        <v>0</v>
      </c>
      <c r="AE550" s="47">
        <v>0</v>
      </c>
      <c r="AF550" s="47">
        <v>0</v>
      </c>
      <c r="AG550" s="47">
        <v>0</v>
      </c>
      <c r="AH550" s="47">
        <v>0</v>
      </c>
      <c r="AI550" s="47">
        <v>0</v>
      </c>
      <c r="AJ550" s="47">
        <v>0</v>
      </c>
      <c r="AK550" s="47">
        <v>0</v>
      </c>
      <c r="AL550">
        <v>3</v>
      </c>
      <c r="AM550">
        <v>0</v>
      </c>
      <c r="AN550">
        <v>11</v>
      </c>
      <c r="AO550">
        <v>6</v>
      </c>
      <c r="AP550">
        <v>20</v>
      </c>
      <c r="AQ550">
        <v>3</v>
      </c>
      <c r="AR550">
        <v>34</v>
      </c>
      <c r="AS550">
        <v>4</v>
      </c>
      <c r="AT550" t="s">
        <v>8895</v>
      </c>
      <c r="AU550" t="s">
        <v>8896</v>
      </c>
      <c r="AV550">
        <v>0.11</v>
      </c>
      <c r="AW550" t="s">
        <v>65</v>
      </c>
      <c r="AX550">
        <v>54</v>
      </c>
      <c r="AY550">
        <v>7</v>
      </c>
      <c r="AZ550" t="s">
        <v>8897</v>
      </c>
      <c r="BA550">
        <v>9.715E-2</v>
      </c>
      <c r="BB550">
        <v>-9.9500000000000005E-3</v>
      </c>
      <c r="BC550">
        <v>3.0699999999999998E-3</v>
      </c>
      <c r="BD550">
        <v>-3.2000000000000003E-4</v>
      </c>
      <c r="BE550">
        <v>3.1600000000000003E-2</v>
      </c>
      <c r="BF550">
        <v>1</v>
      </c>
      <c r="BG550" t="s">
        <v>69</v>
      </c>
      <c r="BH550">
        <v>-1.464</v>
      </c>
      <c r="BI550">
        <v>-0.23899999999999999</v>
      </c>
    </row>
    <row r="551" spans="3:61">
      <c r="C551">
        <v>0</v>
      </c>
      <c r="D551">
        <v>6</v>
      </c>
      <c r="E551">
        <v>0</v>
      </c>
      <c r="F551" t="s">
        <v>25021</v>
      </c>
      <c r="G551">
        <v>3444</v>
      </c>
      <c r="H551" t="s">
        <v>20166</v>
      </c>
      <c r="I551" t="s">
        <v>57</v>
      </c>
      <c r="J551">
        <v>3404835</v>
      </c>
      <c r="K551">
        <v>3405623</v>
      </c>
      <c r="L551" t="s">
        <v>1940</v>
      </c>
      <c r="M551">
        <v>263</v>
      </c>
      <c r="N551" t="s">
        <v>108</v>
      </c>
      <c r="O551">
        <v>44</v>
      </c>
      <c r="P551" t="str">
        <f>HYPERLINK("Gene3444-zp_tree_all.dnd", "Gene3444-tree")</f>
        <v>Gene3444-tree</v>
      </c>
      <c r="Q551">
        <v>10</v>
      </c>
      <c r="R551">
        <v>4</v>
      </c>
      <c r="S551">
        <v>10</v>
      </c>
      <c r="T551">
        <v>4</v>
      </c>
      <c r="U551">
        <v>0.28571000000000002</v>
      </c>
      <c r="V551" t="s">
        <v>117</v>
      </c>
      <c r="W551" t="s">
        <v>61</v>
      </c>
      <c r="X551" t="s">
        <v>62</v>
      </c>
      <c r="Y551" t="s">
        <v>62</v>
      </c>
      <c r="Z551">
        <v>3</v>
      </c>
      <c r="AA551">
        <v>6</v>
      </c>
      <c r="AB551">
        <v>3</v>
      </c>
      <c r="AC551">
        <v>0.66666999999999998</v>
      </c>
      <c r="AD551" s="47">
        <v>0</v>
      </c>
      <c r="AE551" s="47">
        <v>0</v>
      </c>
      <c r="AF551" s="47">
        <v>0</v>
      </c>
      <c r="AG551" s="47">
        <v>0</v>
      </c>
      <c r="AH551" s="47">
        <v>0</v>
      </c>
      <c r="AI551" s="47">
        <v>2</v>
      </c>
      <c r="AJ551" s="47">
        <v>0</v>
      </c>
      <c r="AK551" s="47">
        <v>2</v>
      </c>
      <c r="AL551">
        <v>3</v>
      </c>
      <c r="AM551">
        <v>0.4</v>
      </c>
      <c r="AN551">
        <v>13</v>
      </c>
      <c r="AO551">
        <v>11</v>
      </c>
      <c r="AP551">
        <v>32</v>
      </c>
      <c r="AQ551">
        <v>5</v>
      </c>
      <c r="AR551">
        <v>22</v>
      </c>
      <c r="AS551">
        <v>4</v>
      </c>
      <c r="AT551" t="s">
        <v>20167</v>
      </c>
      <c r="AU551" t="s">
        <v>20168</v>
      </c>
      <c r="AV551">
        <v>0.11600000000000001</v>
      </c>
      <c r="AW551" t="s">
        <v>65</v>
      </c>
      <c r="AX551">
        <v>54</v>
      </c>
      <c r="AY551">
        <v>9</v>
      </c>
      <c r="AZ551" t="s">
        <v>20169</v>
      </c>
      <c r="BA551">
        <v>6.2330000000000003E-2</v>
      </c>
      <c r="BB551">
        <v>-2.3900000000000002E-3</v>
      </c>
      <c r="BC551">
        <v>2.8600000000000001E-3</v>
      </c>
      <c r="BD551">
        <v>-2.1000000000000001E-4</v>
      </c>
      <c r="BE551">
        <v>4.5870000000000001E-2</v>
      </c>
      <c r="BF551">
        <v>1</v>
      </c>
      <c r="BG551" t="s">
        <v>69</v>
      </c>
      <c r="BH551">
        <v>-0.503</v>
      </c>
      <c r="BI551">
        <v>-1.732</v>
      </c>
    </row>
    <row r="552" spans="3:61">
      <c r="C552">
        <v>0</v>
      </c>
      <c r="D552">
        <v>11</v>
      </c>
      <c r="E552">
        <v>1</v>
      </c>
      <c r="F552" t="s">
        <v>25021</v>
      </c>
      <c r="G552">
        <v>1947</v>
      </c>
      <c r="H552" t="s">
        <v>12195</v>
      </c>
      <c r="I552" t="s">
        <v>57</v>
      </c>
      <c r="J552">
        <v>2044038</v>
      </c>
      <c r="K552">
        <v>2044829</v>
      </c>
      <c r="L552" t="s">
        <v>3095</v>
      </c>
      <c r="M552">
        <v>264</v>
      </c>
      <c r="N552" t="s">
        <v>12189</v>
      </c>
      <c r="O552">
        <v>37</v>
      </c>
      <c r="P552" t="str">
        <f>HYPERLINK("Gene1947-zp_tree_all.dnd", "Gene1947-tree")</f>
        <v>Gene1947-tree</v>
      </c>
      <c r="Q552">
        <v>5</v>
      </c>
      <c r="R552">
        <v>9</v>
      </c>
      <c r="S552">
        <v>5</v>
      </c>
      <c r="T552">
        <v>9</v>
      </c>
      <c r="U552">
        <v>0.64285999999999999</v>
      </c>
      <c r="V552" t="s">
        <v>199</v>
      </c>
      <c r="W552" t="s">
        <v>135</v>
      </c>
      <c r="X552" t="s">
        <v>62</v>
      </c>
      <c r="Y552" t="s">
        <v>62</v>
      </c>
      <c r="Z552">
        <v>5</v>
      </c>
      <c r="AA552">
        <v>12</v>
      </c>
      <c r="AB552">
        <v>12</v>
      </c>
      <c r="AC552">
        <v>0.5</v>
      </c>
      <c r="AD552" s="47">
        <v>0</v>
      </c>
      <c r="AE552" s="47">
        <v>0</v>
      </c>
      <c r="AF552" s="47">
        <v>0</v>
      </c>
      <c r="AG552" s="47">
        <v>2</v>
      </c>
      <c r="AH552" s="47">
        <v>0</v>
      </c>
      <c r="AI552" s="47">
        <v>4</v>
      </c>
      <c r="AJ552" s="47">
        <v>0</v>
      </c>
      <c r="AK552" s="47">
        <v>4</v>
      </c>
      <c r="AL552">
        <v>10</v>
      </c>
      <c r="AM552">
        <v>0.28571000000000002</v>
      </c>
      <c r="AN552">
        <v>11</v>
      </c>
      <c r="AO552">
        <v>8</v>
      </c>
      <c r="AP552">
        <v>22</v>
      </c>
      <c r="AQ552">
        <v>12</v>
      </c>
      <c r="AR552">
        <v>15</v>
      </c>
      <c r="AS552">
        <v>12</v>
      </c>
      <c r="AT552" t="s">
        <v>12196</v>
      </c>
      <c r="AU552" t="s">
        <v>12197</v>
      </c>
      <c r="AV552">
        <v>0.65800000000000003</v>
      </c>
      <c r="AW552" t="s">
        <v>65</v>
      </c>
      <c r="AX552">
        <v>37</v>
      </c>
      <c r="AY552">
        <v>24</v>
      </c>
      <c r="AZ552" t="s">
        <v>12198</v>
      </c>
      <c r="BA552">
        <v>3.8989999999999997E-2</v>
      </c>
      <c r="BB552">
        <v>-1.97E-3</v>
      </c>
      <c r="BC552">
        <v>7.5900000000000004E-3</v>
      </c>
      <c r="BD552">
        <v>-2.9999999999999997E-4</v>
      </c>
      <c r="BE552">
        <v>0.19458</v>
      </c>
      <c r="BF552">
        <v>1</v>
      </c>
      <c r="BG552" t="s">
        <v>69</v>
      </c>
      <c r="BH552">
        <v>-0.82699999999999996</v>
      </c>
      <c r="BI552">
        <v>-1.125</v>
      </c>
    </row>
    <row r="553" spans="3:61">
      <c r="C553">
        <v>0</v>
      </c>
      <c r="D553">
        <v>2</v>
      </c>
      <c r="E553">
        <v>2</v>
      </c>
      <c r="F553" t="s">
        <v>25021</v>
      </c>
      <c r="G553">
        <v>2561</v>
      </c>
      <c r="H553" t="s">
        <v>14976</v>
      </c>
      <c r="I553" t="s">
        <v>57</v>
      </c>
      <c r="J553">
        <v>2551469</v>
      </c>
      <c r="K553">
        <v>2552260</v>
      </c>
      <c r="L553" t="s">
        <v>116</v>
      </c>
      <c r="M553">
        <v>264</v>
      </c>
      <c r="N553" t="s">
        <v>108</v>
      </c>
      <c r="O553">
        <v>44</v>
      </c>
      <c r="P553" t="str">
        <f>HYPERLINK("Gene2561-zp_tree_all.dnd", "Gene2561-tree")</f>
        <v>Gene2561-tree</v>
      </c>
      <c r="Q553">
        <v>5</v>
      </c>
      <c r="R553">
        <v>5</v>
      </c>
      <c r="S553">
        <v>5</v>
      </c>
      <c r="T553">
        <v>5</v>
      </c>
      <c r="U553">
        <v>0.5</v>
      </c>
      <c r="V553" t="s">
        <v>199</v>
      </c>
      <c r="W553" t="s">
        <v>199</v>
      </c>
      <c r="X553" t="s">
        <v>62</v>
      </c>
      <c r="Y553" t="s">
        <v>62</v>
      </c>
      <c r="Z553">
        <v>2</v>
      </c>
      <c r="AA553">
        <v>4</v>
      </c>
      <c r="AB553">
        <v>4</v>
      </c>
      <c r="AC553">
        <v>0.5</v>
      </c>
      <c r="AD553" s="47">
        <v>0</v>
      </c>
      <c r="AE553" s="47">
        <v>0</v>
      </c>
      <c r="AF553" s="47">
        <v>0</v>
      </c>
      <c r="AG553" s="47">
        <v>0</v>
      </c>
      <c r="AH553" s="47">
        <v>0</v>
      </c>
      <c r="AI553" s="47">
        <v>2</v>
      </c>
      <c r="AJ553" s="47">
        <v>0</v>
      </c>
      <c r="AK553" s="47">
        <v>2</v>
      </c>
      <c r="AL553">
        <v>4</v>
      </c>
      <c r="AM553">
        <v>0.33333000000000002</v>
      </c>
      <c r="AN553">
        <v>8</v>
      </c>
      <c r="AO553">
        <v>3</v>
      </c>
      <c r="AP553">
        <v>9</v>
      </c>
      <c r="AQ553">
        <v>6</v>
      </c>
      <c r="AR553">
        <v>8</v>
      </c>
      <c r="AS553">
        <v>2</v>
      </c>
      <c r="AT553" t="s">
        <v>14977</v>
      </c>
      <c r="AU553" t="s">
        <v>14978</v>
      </c>
      <c r="AV553">
        <v>0.77</v>
      </c>
      <c r="AW553" t="s">
        <v>65</v>
      </c>
      <c r="AX553">
        <v>17</v>
      </c>
      <c r="AY553">
        <v>8</v>
      </c>
      <c r="AZ553" t="s">
        <v>14979</v>
      </c>
      <c r="BA553">
        <v>2.5680000000000001E-2</v>
      </c>
      <c r="BB553">
        <v>-2.6700000000000001E-3</v>
      </c>
      <c r="BC553">
        <v>3.1700000000000001E-3</v>
      </c>
      <c r="BD553">
        <v>-3.6999999999999999E-4</v>
      </c>
      <c r="BE553">
        <v>0.12363</v>
      </c>
      <c r="BF553">
        <v>1</v>
      </c>
      <c r="BG553" t="s">
        <v>69</v>
      </c>
      <c r="BH553">
        <v>-0.72499999999999998</v>
      </c>
      <c r="BI553">
        <v>-0.70499999999999996</v>
      </c>
    </row>
    <row r="554" spans="3:61">
      <c r="C554">
        <v>0</v>
      </c>
      <c r="D554">
        <v>8</v>
      </c>
      <c r="E554">
        <v>2</v>
      </c>
      <c r="F554" t="s">
        <v>25021</v>
      </c>
      <c r="G554">
        <v>2790</v>
      </c>
      <c r="H554" t="s">
        <v>16002</v>
      </c>
      <c r="I554" t="s">
        <v>57</v>
      </c>
      <c r="J554">
        <v>2738308</v>
      </c>
      <c r="K554">
        <v>2739102</v>
      </c>
      <c r="L554" t="s">
        <v>16003</v>
      </c>
      <c r="M554">
        <v>265</v>
      </c>
      <c r="N554" t="s">
        <v>5762</v>
      </c>
      <c r="O554">
        <v>43</v>
      </c>
      <c r="P554" t="str">
        <f>HYPERLINK("Gene2790-zp_tree_all.dnd", "Gene2790-tree")</f>
        <v>Gene2790-tree</v>
      </c>
      <c r="Q554">
        <v>4</v>
      </c>
      <c r="R554">
        <v>10</v>
      </c>
      <c r="S554">
        <v>4</v>
      </c>
      <c r="T554">
        <v>10</v>
      </c>
      <c r="U554">
        <v>0.71428999999999998</v>
      </c>
      <c r="V554" t="s">
        <v>61</v>
      </c>
      <c r="W554" t="s">
        <v>117</v>
      </c>
      <c r="X554" t="s">
        <v>62</v>
      </c>
      <c r="Y554" t="s">
        <v>62</v>
      </c>
      <c r="Z554">
        <v>4</v>
      </c>
      <c r="AA554">
        <v>10</v>
      </c>
      <c r="AB554">
        <v>23</v>
      </c>
      <c r="AC554">
        <v>0.30303000000000002</v>
      </c>
      <c r="AD554" s="47">
        <v>0</v>
      </c>
      <c r="AE554" s="47">
        <v>0</v>
      </c>
      <c r="AF554" s="47">
        <v>0</v>
      </c>
      <c r="AG554" s="47">
        <v>2</v>
      </c>
      <c r="AH554" s="47">
        <v>0</v>
      </c>
      <c r="AI554" s="47">
        <v>2</v>
      </c>
      <c r="AJ554" s="47">
        <v>2</v>
      </c>
      <c r="AK554" s="47">
        <v>4</v>
      </c>
      <c r="AL554">
        <v>16</v>
      </c>
      <c r="AM554">
        <v>0.2</v>
      </c>
      <c r="AN554">
        <v>12</v>
      </c>
      <c r="AO554">
        <v>10</v>
      </c>
      <c r="AP554">
        <v>20</v>
      </c>
      <c r="AQ554">
        <v>21</v>
      </c>
      <c r="AR554">
        <v>17</v>
      </c>
      <c r="AS554">
        <v>13</v>
      </c>
      <c r="AT554" t="s">
        <v>16004</v>
      </c>
      <c r="AU554" t="s">
        <v>16005</v>
      </c>
      <c r="AV554">
        <v>0.29199999999999998</v>
      </c>
      <c r="AW554" t="s">
        <v>65</v>
      </c>
      <c r="AX554">
        <v>37</v>
      </c>
      <c r="AY554">
        <v>34</v>
      </c>
      <c r="AZ554" t="s">
        <v>16006</v>
      </c>
      <c r="BA554">
        <v>4.2439999999999999E-2</v>
      </c>
      <c r="BB554">
        <v>-2.32E-3</v>
      </c>
      <c r="BC554">
        <v>1.0699999999999999E-2</v>
      </c>
      <c r="BD554">
        <v>-5.5999999999999995E-4</v>
      </c>
      <c r="BE554">
        <v>0.25208999999999998</v>
      </c>
      <c r="BF554">
        <v>1</v>
      </c>
      <c r="BG554" t="s">
        <v>69</v>
      </c>
      <c r="BH554">
        <v>-1.5029999999999999</v>
      </c>
      <c r="BI554">
        <v>-2.0539999999999998</v>
      </c>
    </row>
    <row r="555" spans="3:61">
      <c r="C555">
        <v>0</v>
      </c>
      <c r="D555">
        <v>0</v>
      </c>
      <c r="E555">
        <v>0</v>
      </c>
      <c r="F555" t="s">
        <v>25021</v>
      </c>
      <c r="G555">
        <v>2208</v>
      </c>
      <c r="H555" t="s">
        <v>13011</v>
      </c>
      <c r="I555" t="s">
        <v>57</v>
      </c>
      <c r="J555">
        <v>2240339</v>
      </c>
      <c r="K555">
        <v>2241133</v>
      </c>
      <c r="L555" t="s">
        <v>12900</v>
      </c>
      <c r="M555">
        <v>265</v>
      </c>
      <c r="N555" t="s">
        <v>12873</v>
      </c>
      <c r="O555">
        <v>18</v>
      </c>
      <c r="P555" t="str">
        <f>HYPERLINK("Gene2208-zp_tree_all.dnd", "Gene2208-tree")</f>
        <v>Gene2208-tree</v>
      </c>
      <c r="Q555">
        <v>0</v>
      </c>
      <c r="R555">
        <v>18</v>
      </c>
      <c r="S555">
        <v>0</v>
      </c>
      <c r="T555">
        <v>4</v>
      </c>
      <c r="U555">
        <v>1</v>
      </c>
      <c r="V555" t="s">
        <v>62</v>
      </c>
      <c r="W555" t="s">
        <v>13012</v>
      </c>
      <c r="X555">
        <v>5.15</v>
      </c>
      <c r="Y555" t="s">
        <v>65</v>
      </c>
      <c r="Z555">
        <v>0</v>
      </c>
      <c r="AA555">
        <v>0</v>
      </c>
      <c r="AB555">
        <v>4</v>
      </c>
      <c r="AC555">
        <v>0</v>
      </c>
      <c r="AD555" s="47">
        <v>0</v>
      </c>
      <c r="AE555" s="47">
        <v>0</v>
      </c>
      <c r="AF555" s="47">
        <v>0</v>
      </c>
      <c r="AG555" s="47">
        <v>0</v>
      </c>
      <c r="AH555" s="47">
        <v>0</v>
      </c>
      <c r="AI555" s="47">
        <v>0</v>
      </c>
      <c r="AJ555" s="47">
        <v>0</v>
      </c>
      <c r="AK555" s="47">
        <v>0</v>
      </c>
      <c r="AL555">
        <v>4</v>
      </c>
      <c r="AM555">
        <v>0</v>
      </c>
      <c r="AN555">
        <v>3</v>
      </c>
      <c r="AO555">
        <v>1</v>
      </c>
      <c r="AP555">
        <v>6</v>
      </c>
      <c r="AQ555">
        <v>3</v>
      </c>
      <c r="AR555">
        <v>5</v>
      </c>
      <c r="AS555">
        <v>1</v>
      </c>
      <c r="AT555" t="s">
        <v>13013</v>
      </c>
      <c r="AU555" t="s">
        <v>13014</v>
      </c>
      <c r="AV555">
        <v>2.089</v>
      </c>
      <c r="AW555" t="s">
        <v>267</v>
      </c>
      <c r="AX555">
        <v>11</v>
      </c>
      <c r="AY555">
        <v>4</v>
      </c>
      <c r="AZ555" t="s">
        <v>13015</v>
      </c>
      <c r="BA555">
        <v>3.0949999999999998E-2</v>
      </c>
      <c r="BB555">
        <v>-4.62E-3</v>
      </c>
      <c r="BC555">
        <v>3.5400000000000002E-3</v>
      </c>
      <c r="BD555">
        <v>-4.6000000000000001E-4</v>
      </c>
      <c r="BE555">
        <v>0.1145</v>
      </c>
      <c r="BF555">
        <v>1</v>
      </c>
      <c r="BG555" t="s">
        <v>69</v>
      </c>
      <c r="BH555">
        <v>-1.1759999999999999</v>
      </c>
      <c r="BI555">
        <v>-0.73899999999999999</v>
      </c>
    </row>
    <row r="556" spans="3:61">
      <c r="C556">
        <v>0</v>
      </c>
      <c r="D556">
        <v>0</v>
      </c>
      <c r="E556">
        <v>2</v>
      </c>
      <c r="F556" t="s">
        <v>25021</v>
      </c>
      <c r="G556">
        <v>785</v>
      </c>
      <c r="H556" t="s">
        <v>4877</v>
      </c>
      <c r="I556" t="s">
        <v>62</v>
      </c>
      <c r="J556">
        <v>822906</v>
      </c>
      <c r="K556">
        <v>823703</v>
      </c>
      <c r="L556" t="s">
        <v>4878</v>
      </c>
      <c r="M556">
        <v>266</v>
      </c>
      <c r="N556" t="s">
        <v>4879</v>
      </c>
      <c r="O556">
        <v>40</v>
      </c>
      <c r="P556" t="str">
        <f>HYPERLINK("Gene785-zp_tree_all.dnd", "Gene785-tree")</f>
        <v>Gene785-tree</v>
      </c>
      <c r="Q556">
        <v>10</v>
      </c>
      <c r="R556">
        <v>5</v>
      </c>
      <c r="S556">
        <v>10</v>
      </c>
      <c r="T556">
        <v>5</v>
      </c>
      <c r="U556">
        <v>0.33333000000000002</v>
      </c>
      <c r="V556" t="s">
        <v>117</v>
      </c>
      <c r="W556" t="s">
        <v>199</v>
      </c>
      <c r="X556" t="s">
        <v>62</v>
      </c>
      <c r="Y556" t="s">
        <v>62</v>
      </c>
      <c r="Z556">
        <v>1</v>
      </c>
      <c r="AA556">
        <v>2</v>
      </c>
      <c r="AB556">
        <v>6</v>
      </c>
      <c r="AC556">
        <v>0.25</v>
      </c>
      <c r="AD556" s="47">
        <v>0</v>
      </c>
      <c r="AE556" s="47">
        <v>0</v>
      </c>
      <c r="AF556" s="47">
        <v>0</v>
      </c>
      <c r="AG556" s="47">
        <v>0</v>
      </c>
      <c r="AH556" s="47">
        <v>0</v>
      </c>
      <c r="AI556" s="47">
        <v>0</v>
      </c>
      <c r="AJ556" s="47">
        <v>2</v>
      </c>
      <c r="AK556" s="47">
        <v>2</v>
      </c>
      <c r="AL556">
        <v>6</v>
      </c>
      <c r="AM556">
        <v>0.25</v>
      </c>
      <c r="AN556">
        <v>12</v>
      </c>
      <c r="AO556">
        <v>11</v>
      </c>
      <c r="AP556">
        <v>47</v>
      </c>
      <c r="AQ556">
        <v>8</v>
      </c>
      <c r="AR556">
        <v>29</v>
      </c>
      <c r="AS556">
        <v>0</v>
      </c>
      <c r="AT556" t="s">
        <v>4880</v>
      </c>
      <c r="AU556" t="s">
        <v>193</v>
      </c>
      <c r="AV556">
        <v>0.752</v>
      </c>
      <c r="AW556" t="s">
        <v>65</v>
      </c>
      <c r="AX556">
        <v>76</v>
      </c>
      <c r="AY556">
        <v>8</v>
      </c>
      <c r="AZ556" t="s">
        <v>4881</v>
      </c>
      <c r="BA556">
        <v>7.8570000000000001E-2</v>
      </c>
      <c r="BB556">
        <v>-6.0299999999999998E-3</v>
      </c>
      <c r="BC556">
        <v>1.7600000000000001E-3</v>
      </c>
      <c r="BD556">
        <v>-1.9000000000000001E-4</v>
      </c>
      <c r="BE556">
        <v>2.239E-2</v>
      </c>
      <c r="BF556">
        <v>1</v>
      </c>
      <c r="BG556" t="s">
        <v>69</v>
      </c>
      <c r="BH556">
        <v>-1.6579999999999999</v>
      </c>
      <c r="BI556">
        <v>-2.5419999999999998</v>
      </c>
    </row>
    <row r="557" spans="3:61">
      <c r="C557">
        <v>0</v>
      </c>
      <c r="D557">
        <v>10</v>
      </c>
      <c r="E557">
        <v>3</v>
      </c>
      <c r="F557" t="s">
        <v>25021</v>
      </c>
      <c r="G557">
        <v>208</v>
      </c>
      <c r="H557" t="s">
        <v>1418</v>
      </c>
      <c r="I557" t="s">
        <v>62</v>
      </c>
      <c r="J557">
        <v>228552</v>
      </c>
      <c r="K557">
        <v>229352</v>
      </c>
      <c r="L557" t="s">
        <v>1419</v>
      </c>
      <c r="M557">
        <v>267</v>
      </c>
      <c r="N557" t="s">
        <v>108</v>
      </c>
      <c r="O557">
        <v>44</v>
      </c>
      <c r="P557" t="str">
        <f>HYPERLINK("Gene208-zp_tree_all.dnd", "Gene208-tree")</f>
        <v>Gene208-tree</v>
      </c>
      <c r="Q557">
        <v>3</v>
      </c>
      <c r="R557">
        <v>12</v>
      </c>
      <c r="S557">
        <v>3</v>
      </c>
      <c r="T557">
        <v>12</v>
      </c>
      <c r="U557">
        <v>0.8</v>
      </c>
      <c r="V557" t="s">
        <v>324</v>
      </c>
      <c r="W557" t="s">
        <v>109</v>
      </c>
      <c r="X557" t="s">
        <v>62</v>
      </c>
      <c r="Y557" t="s">
        <v>62</v>
      </c>
      <c r="Z557">
        <v>6</v>
      </c>
      <c r="AA557">
        <v>13</v>
      </c>
      <c r="AB557">
        <v>17</v>
      </c>
      <c r="AC557">
        <v>0.43332999999999999</v>
      </c>
      <c r="AD557" s="47">
        <v>0</v>
      </c>
      <c r="AE557" s="47">
        <v>0</v>
      </c>
      <c r="AF557" s="47">
        <v>0</v>
      </c>
      <c r="AG557" s="47">
        <v>1</v>
      </c>
      <c r="AH557" s="47">
        <v>0</v>
      </c>
      <c r="AI557" s="47">
        <v>4</v>
      </c>
      <c r="AJ557" s="47">
        <v>2</v>
      </c>
      <c r="AK557" s="47">
        <v>6</v>
      </c>
      <c r="AL557">
        <v>17</v>
      </c>
      <c r="AM557">
        <v>0.26086999999999999</v>
      </c>
      <c r="AN557">
        <v>14</v>
      </c>
      <c r="AO557">
        <v>11</v>
      </c>
      <c r="AP557">
        <v>18</v>
      </c>
      <c r="AQ557">
        <v>23</v>
      </c>
      <c r="AR557">
        <v>19</v>
      </c>
      <c r="AS557">
        <v>7</v>
      </c>
      <c r="AT557" t="s">
        <v>1420</v>
      </c>
      <c r="AU557" t="s">
        <v>1421</v>
      </c>
      <c r="AV557">
        <v>2.1779999999999999</v>
      </c>
      <c r="AW557" t="s">
        <v>267</v>
      </c>
      <c r="AX557">
        <v>37</v>
      </c>
      <c r="AY557">
        <v>30</v>
      </c>
      <c r="AZ557" t="s">
        <v>1422</v>
      </c>
      <c r="BA557">
        <v>4.0669999999999998E-2</v>
      </c>
      <c r="BB557">
        <v>-1.72E-3</v>
      </c>
      <c r="BC557">
        <v>8.7299999999999999E-3</v>
      </c>
      <c r="BD557">
        <v>-2.7E-4</v>
      </c>
      <c r="BE557">
        <v>0.21461</v>
      </c>
      <c r="BF557">
        <v>1</v>
      </c>
      <c r="BG557" t="s">
        <v>69</v>
      </c>
      <c r="BH557">
        <v>-0.317</v>
      </c>
      <c r="BI557">
        <v>-1.383</v>
      </c>
    </row>
    <row r="558" spans="3:61">
      <c r="C558">
        <v>0</v>
      </c>
      <c r="D558">
        <v>4</v>
      </c>
      <c r="E558">
        <v>1</v>
      </c>
      <c r="F558" t="s">
        <v>25021</v>
      </c>
      <c r="G558">
        <v>3072</v>
      </c>
      <c r="H558" t="s">
        <v>17792</v>
      </c>
      <c r="I558" t="s">
        <v>57</v>
      </c>
      <c r="J558">
        <v>3021233</v>
      </c>
      <c r="K558">
        <v>3022033</v>
      </c>
      <c r="L558" t="s">
        <v>17793</v>
      </c>
      <c r="M558">
        <v>267</v>
      </c>
      <c r="N558" t="s">
        <v>108</v>
      </c>
      <c r="O558">
        <v>44</v>
      </c>
      <c r="P558" t="str">
        <f>HYPERLINK("Gene3072-zp_tree_all.dnd", "Gene3072-tree")</f>
        <v>Gene3072-tree</v>
      </c>
      <c r="Q558">
        <v>10</v>
      </c>
      <c r="R558">
        <v>5</v>
      </c>
      <c r="S558">
        <v>10</v>
      </c>
      <c r="T558">
        <v>5</v>
      </c>
      <c r="U558">
        <v>0.33333000000000002</v>
      </c>
      <c r="V558" t="s">
        <v>117</v>
      </c>
      <c r="W558" t="s">
        <v>199</v>
      </c>
      <c r="X558" t="s">
        <v>62</v>
      </c>
      <c r="Y558" t="s">
        <v>62</v>
      </c>
      <c r="Z558">
        <v>2</v>
      </c>
      <c r="AA558">
        <v>5</v>
      </c>
      <c r="AB558">
        <v>6</v>
      </c>
      <c r="AC558">
        <v>0.45455000000000001</v>
      </c>
      <c r="AD558" s="47">
        <v>0</v>
      </c>
      <c r="AE558" s="47">
        <v>0</v>
      </c>
      <c r="AF558" s="47">
        <v>0</v>
      </c>
      <c r="AG558" s="47">
        <v>0</v>
      </c>
      <c r="AH558" s="47">
        <v>0</v>
      </c>
      <c r="AI558" s="47">
        <v>2</v>
      </c>
      <c r="AJ558" s="47">
        <v>0</v>
      </c>
      <c r="AK558" s="47">
        <v>2</v>
      </c>
      <c r="AL558">
        <v>6</v>
      </c>
      <c r="AM558">
        <v>0.25</v>
      </c>
      <c r="AN558">
        <v>13</v>
      </c>
      <c r="AO558">
        <v>10</v>
      </c>
      <c r="AP558">
        <v>47</v>
      </c>
      <c r="AQ558">
        <v>8</v>
      </c>
      <c r="AR558">
        <v>34</v>
      </c>
      <c r="AS558">
        <v>3</v>
      </c>
      <c r="AT558" t="s">
        <v>17794</v>
      </c>
      <c r="AU558" t="s">
        <v>17795</v>
      </c>
      <c r="AV558">
        <v>0.53400000000000003</v>
      </c>
      <c r="AW558" t="s">
        <v>65</v>
      </c>
      <c r="AX558">
        <v>81</v>
      </c>
      <c r="AY558">
        <v>11</v>
      </c>
      <c r="AZ558" t="s">
        <v>17796</v>
      </c>
      <c r="BA558">
        <v>0.10592</v>
      </c>
      <c r="BB558">
        <v>-5.3400000000000001E-3</v>
      </c>
      <c r="BC558">
        <v>3.63E-3</v>
      </c>
      <c r="BD558">
        <v>-2.4000000000000001E-4</v>
      </c>
      <c r="BE558">
        <v>3.4279999999999998E-2</v>
      </c>
      <c r="BF558">
        <v>1</v>
      </c>
      <c r="BG558" t="s">
        <v>69</v>
      </c>
      <c r="BH558">
        <v>-0.46600000000000003</v>
      </c>
      <c r="BI558">
        <v>-0.83599999999999997</v>
      </c>
    </row>
    <row r="559" spans="3:61">
      <c r="C559">
        <v>0</v>
      </c>
      <c r="D559">
        <v>0</v>
      </c>
      <c r="E559">
        <v>0</v>
      </c>
      <c r="F559" t="s">
        <v>25021</v>
      </c>
      <c r="G559">
        <v>1478</v>
      </c>
      <c r="H559" t="s">
        <v>9236</v>
      </c>
      <c r="I559" t="s">
        <v>62</v>
      </c>
      <c r="J559">
        <v>1491224</v>
      </c>
      <c r="K559">
        <v>1492024</v>
      </c>
      <c r="L559" t="s">
        <v>9237</v>
      </c>
      <c r="M559">
        <v>267</v>
      </c>
      <c r="N559" t="s">
        <v>108</v>
      </c>
      <c r="O559">
        <v>44</v>
      </c>
      <c r="P559" t="str">
        <f>HYPERLINK("Gene1478-zp_tree_all.dnd", "Gene1478-tree")</f>
        <v>Gene1478-tree</v>
      </c>
      <c r="Q559">
        <v>11</v>
      </c>
      <c r="R559">
        <v>3</v>
      </c>
      <c r="S559">
        <v>11</v>
      </c>
      <c r="T559">
        <v>3</v>
      </c>
      <c r="U559">
        <v>0.21429000000000001</v>
      </c>
      <c r="V559" t="s">
        <v>73</v>
      </c>
      <c r="W559" t="s">
        <v>324</v>
      </c>
      <c r="X559" t="s">
        <v>62</v>
      </c>
      <c r="Y559" t="s">
        <v>62</v>
      </c>
      <c r="Z559">
        <v>0</v>
      </c>
      <c r="AA559">
        <v>0</v>
      </c>
      <c r="AB559">
        <v>3</v>
      </c>
      <c r="AC559">
        <v>0</v>
      </c>
      <c r="AD559" s="47">
        <v>0</v>
      </c>
      <c r="AE559" s="47">
        <v>0</v>
      </c>
      <c r="AF559" s="47">
        <v>0</v>
      </c>
      <c r="AG559" s="47">
        <v>0</v>
      </c>
      <c r="AH559" s="47">
        <v>0</v>
      </c>
      <c r="AI559" s="47">
        <v>0</v>
      </c>
      <c r="AJ559" s="47">
        <v>0</v>
      </c>
      <c r="AK559" s="47">
        <v>0</v>
      </c>
      <c r="AL559">
        <v>3</v>
      </c>
      <c r="AM559">
        <v>0</v>
      </c>
      <c r="AN559">
        <v>11</v>
      </c>
      <c r="AO559">
        <v>8</v>
      </c>
      <c r="AP559">
        <v>19</v>
      </c>
      <c r="AQ559">
        <v>3</v>
      </c>
      <c r="AR559">
        <v>16</v>
      </c>
      <c r="AS559">
        <v>0</v>
      </c>
      <c r="AT559" t="s">
        <v>9238</v>
      </c>
      <c r="AU559" t="s">
        <v>193</v>
      </c>
      <c r="AV559">
        <v>0.99</v>
      </c>
      <c r="AW559" t="s">
        <v>65</v>
      </c>
      <c r="AX559">
        <v>35</v>
      </c>
      <c r="AY559">
        <v>3</v>
      </c>
      <c r="AZ559" t="s">
        <v>9239</v>
      </c>
      <c r="BA559">
        <v>4.9930000000000002E-2</v>
      </c>
      <c r="BB559">
        <v>-2.8500000000000001E-3</v>
      </c>
      <c r="BC559">
        <v>6.8999999999999997E-4</v>
      </c>
      <c r="BD559">
        <v>-9.0000000000000006E-5</v>
      </c>
      <c r="BE559">
        <v>1.3899999999999999E-2</v>
      </c>
      <c r="BF559">
        <v>1</v>
      </c>
      <c r="BG559" t="s">
        <v>69</v>
      </c>
      <c r="BH559">
        <v>1.9E-2</v>
      </c>
      <c r="BI559">
        <v>-0.65400000000000003</v>
      </c>
    </row>
    <row r="560" spans="3:61">
      <c r="C560">
        <v>0</v>
      </c>
      <c r="D560">
        <v>4</v>
      </c>
      <c r="E560">
        <v>0</v>
      </c>
      <c r="F560" t="s">
        <v>25021</v>
      </c>
      <c r="G560">
        <v>364</v>
      </c>
      <c r="H560" t="s">
        <v>2469</v>
      </c>
      <c r="I560" t="s">
        <v>62</v>
      </c>
      <c r="J560">
        <v>410659</v>
      </c>
      <c r="K560">
        <v>411462</v>
      </c>
      <c r="L560" t="s">
        <v>2470</v>
      </c>
      <c r="M560">
        <v>268</v>
      </c>
      <c r="N560" t="s">
        <v>108</v>
      </c>
      <c r="O560">
        <v>44</v>
      </c>
      <c r="P560" t="str">
        <f>HYPERLINK("Gene364-zp_tree_all.dnd", "Gene364-tree")</f>
        <v>Gene364-tree</v>
      </c>
      <c r="Q560">
        <v>10</v>
      </c>
      <c r="R560">
        <v>4</v>
      </c>
      <c r="S560">
        <v>10</v>
      </c>
      <c r="T560">
        <v>4</v>
      </c>
      <c r="U560">
        <v>0.28571000000000002</v>
      </c>
      <c r="V560" t="s">
        <v>117</v>
      </c>
      <c r="W560" t="s">
        <v>61</v>
      </c>
      <c r="X560" t="s">
        <v>62</v>
      </c>
      <c r="Y560" t="s">
        <v>62</v>
      </c>
      <c r="Z560">
        <v>2</v>
      </c>
      <c r="AA560">
        <v>4</v>
      </c>
      <c r="AB560">
        <v>5</v>
      </c>
      <c r="AC560">
        <v>0.44444</v>
      </c>
      <c r="AD560" s="47">
        <v>0</v>
      </c>
      <c r="AE560" s="47">
        <v>0</v>
      </c>
      <c r="AF560" s="47">
        <v>0</v>
      </c>
      <c r="AG560" s="47">
        <v>1</v>
      </c>
      <c r="AH560" s="47">
        <v>0</v>
      </c>
      <c r="AI560" s="47">
        <v>2</v>
      </c>
      <c r="AJ560" s="47">
        <v>0</v>
      </c>
      <c r="AK560" s="47">
        <v>2</v>
      </c>
      <c r="AL560">
        <v>3</v>
      </c>
      <c r="AM560">
        <v>0.4</v>
      </c>
      <c r="AN560">
        <v>12</v>
      </c>
      <c r="AO560">
        <v>6</v>
      </c>
      <c r="AP560">
        <v>22</v>
      </c>
      <c r="AQ560">
        <v>5</v>
      </c>
      <c r="AR560">
        <v>7</v>
      </c>
      <c r="AS560">
        <v>5</v>
      </c>
      <c r="AT560" t="s">
        <v>2471</v>
      </c>
      <c r="AU560" t="s">
        <v>2472</v>
      </c>
      <c r="AV560">
        <v>0.99199999999999999</v>
      </c>
      <c r="AW560" t="s">
        <v>65</v>
      </c>
      <c r="AX560">
        <v>29</v>
      </c>
      <c r="AY560">
        <v>10</v>
      </c>
      <c r="AZ560" t="s">
        <v>2473</v>
      </c>
      <c r="BA560">
        <v>2.648E-2</v>
      </c>
      <c r="BB560">
        <v>-1.5E-3</v>
      </c>
      <c r="BC560">
        <v>3.7499999999999999E-3</v>
      </c>
      <c r="BD560">
        <v>-2.2000000000000001E-4</v>
      </c>
      <c r="BE560">
        <v>0.14163000000000001</v>
      </c>
      <c r="BF560">
        <v>1</v>
      </c>
      <c r="BG560" t="s">
        <v>69</v>
      </c>
      <c r="BH560">
        <v>-0.45900000000000002</v>
      </c>
      <c r="BI560">
        <v>9.8000000000000004E-2</v>
      </c>
    </row>
    <row r="561" spans="3:61">
      <c r="C561">
        <v>0</v>
      </c>
      <c r="D561">
        <v>2</v>
      </c>
      <c r="E561">
        <v>0</v>
      </c>
      <c r="F561" t="s">
        <v>25021</v>
      </c>
      <c r="G561">
        <v>3080</v>
      </c>
      <c r="H561" t="s">
        <v>17844</v>
      </c>
      <c r="I561" t="s">
        <v>57</v>
      </c>
      <c r="J561">
        <v>3031614</v>
      </c>
      <c r="K561">
        <v>3032417</v>
      </c>
      <c r="L561" t="s">
        <v>17845</v>
      </c>
      <c r="M561">
        <v>268</v>
      </c>
      <c r="N561" t="s">
        <v>108</v>
      </c>
      <c r="O561">
        <v>44</v>
      </c>
      <c r="P561" t="str">
        <f>HYPERLINK("Gene3080-zp_tree_all.dnd", "Gene3080-tree")</f>
        <v>Gene3080-tree</v>
      </c>
      <c r="Q561">
        <v>7</v>
      </c>
      <c r="R561">
        <v>5</v>
      </c>
      <c r="S561">
        <v>7</v>
      </c>
      <c r="T561">
        <v>5</v>
      </c>
      <c r="U561">
        <v>0.41666999999999998</v>
      </c>
      <c r="V561" t="s">
        <v>152</v>
      </c>
      <c r="W561" t="s">
        <v>199</v>
      </c>
      <c r="X561" t="s">
        <v>62</v>
      </c>
      <c r="Y561" t="s">
        <v>62</v>
      </c>
      <c r="Z561">
        <v>1</v>
      </c>
      <c r="AA561">
        <v>2</v>
      </c>
      <c r="AB561">
        <v>9</v>
      </c>
      <c r="AC561">
        <v>0.18182000000000001</v>
      </c>
      <c r="AD561" s="47">
        <v>0</v>
      </c>
      <c r="AE561" s="47">
        <v>0</v>
      </c>
      <c r="AF561" s="47">
        <v>0</v>
      </c>
      <c r="AG561" s="47">
        <v>0</v>
      </c>
      <c r="AH561" s="47">
        <v>0</v>
      </c>
      <c r="AI561" s="47">
        <v>2</v>
      </c>
      <c r="AJ561" s="47">
        <v>0</v>
      </c>
      <c r="AK561" s="47">
        <v>2</v>
      </c>
      <c r="AL561">
        <v>7</v>
      </c>
      <c r="AM561">
        <v>0.22222</v>
      </c>
      <c r="AN561">
        <v>11</v>
      </c>
      <c r="AO561">
        <v>5</v>
      </c>
      <c r="AP561">
        <v>20</v>
      </c>
      <c r="AQ561">
        <v>9</v>
      </c>
      <c r="AR561">
        <v>15</v>
      </c>
      <c r="AS561">
        <v>2</v>
      </c>
      <c r="AT561" t="s">
        <v>17846</v>
      </c>
      <c r="AU561" t="s">
        <v>17847</v>
      </c>
      <c r="AV561">
        <v>0.76200000000000001</v>
      </c>
      <c r="AW561" t="s">
        <v>65</v>
      </c>
      <c r="AX561">
        <v>35</v>
      </c>
      <c r="AY561">
        <v>11</v>
      </c>
      <c r="AZ561" t="s">
        <v>17848</v>
      </c>
      <c r="BA561">
        <v>3.4139999999999997E-2</v>
      </c>
      <c r="BB561">
        <v>-1.89E-3</v>
      </c>
      <c r="BC561">
        <v>3.46E-3</v>
      </c>
      <c r="BD561">
        <v>-3.6999999999999999E-4</v>
      </c>
      <c r="BE561">
        <v>0.10138</v>
      </c>
      <c r="BF561">
        <v>1</v>
      </c>
      <c r="BG561" t="s">
        <v>69</v>
      </c>
      <c r="BH561">
        <v>-0.75900000000000001</v>
      </c>
      <c r="BI561">
        <v>-1.421</v>
      </c>
    </row>
    <row r="562" spans="3:61">
      <c r="C562">
        <v>0</v>
      </c>
      <c r="D562">
        <v>0</v>
      </c>
      <c r="E562">
        <v>2</v>
      </c>
      <c r="F562" t="s">
        <v>25021</v>
      </c>
      <c r="G562">
        <v>3537</v>
      </c>
      <c r="H562" t="s">
        <v>20723</v>
      </c>
      <c r="I562" t="s">
        <v>57</v>
      </c>
      <c r="J562">
        <v>3499541</v>
      </c>
      <c r="K562">
        <v>3500347</v>
      </c>
      <c r="L562" t="s">
        <v>20724</v>
      </c>
      <c r="M562">
        <v>269</v>
      </c>
      <c r="N562" t="s">
        <v>20725</v>
      </c>
      <c r="O562">
        <v>42</v>
      </c>
      <c r="P562" t="str">
        <f>HYPERLINK("Gene3537-zp_tree_all.dnd", "Gene3537-tree")</f>
        <v>Gene3537-tree</v>
      </c>
      <c r="Q562">
        <v>29</v>
      </c>
      <c r="R562">
        <v>7</v>
      </c>
      <c r="S562">
        <v>2</v>
      </c>
      <c r="T562">
        <v>7</v>
      </c>
      <c r="U562">
        <v>0.77778000000000003</v>
      </c>
      <c r="V562" t="s">
        <v>20726</v>
      </c>
      <c r="W562" t="s">
        <v>152</v>
      </c>
      <c r="X562" t="s">
        <v>62</v>
      </c>
      <c r="Y562" t="s">
        <v>62</v>
      </c>
      <c r="Z562">
        <v>1</v>
      </c>
      <c r="AA562">
        <v>2</v>
      </c>
      <c r="AB562">
        <v>9</v>
      </c>
      <c r="AC562">
        <v>0.18182000000000001</v>
      </c>
      <c r="AD562" s="47">
        <v>0</v>
      </c>
      <c r="AE562" s="47">
        <v>0</v>
      </c>
      <c r="AF562" s="47">
        <v>0</v>
      </c>
      <c r="AG562" s="47">
        <v>0</v>
      </c>
      <c r="AH562" s="47">
        <v>0</v>
      </c>
      <c r="AI562" s="47">
        <v>0</v>
      </c>
      <c r="AJ562" s="47">
        <v>2</v>
      </c>
      <c r="AK562" s="47">
        <v>2</v>
      </c>
      <c r="AL562">
        <v>7</v>
      </c>
      <c r="AM562">
        <v>0.22222</v>
      </c>
      <c r="AN562">
        <v>8</v>
      </c>
      <c r="AO562">
        <v>5</v>
      </c>
      <c r="AP562">
        <v>10</v>
      </c>
      <c r="AQ562">
        <v>9</v>
      </c>
      <c r="AR562">
        <v>3</v>
      </c>
      <c r="AS562">
        <v>2</v>
      </c>
      <c r="AT562" t="s">
        <v>20727</v>
      </c>
      <c r="AU562" t="s">
        <v>20728</v>
      </c>
      <c r="AV562">
        <v>0.316</v>
      </c>
      <c r="AW562" t="s">
        <v>65</v>
      </c>
      <c r="AX562">
        <v>13</v>
      </c>
      <c r="AY562">
        <v>11</v>
      </c>
      <c r="AZ562" t="s">
        <v>20729</v>
      </c>
      <c r="BA562">
        <v>1.779E-2</v>
      </c>
      <c r="BB562">
        <v>-1.2199999999999999E-3</v>
      </c>
      <c r="BC562">
        <v>4.47E-3</v>
      </c>
      <c r="BD562">
        <v>-3.5E-4</v>
      </c>
      <c r="BE562">
        <v>0.25128</v>
      </c>
      <c r="BF562">
        <v>1</v>
      </c>
      <c r="BG562" t="s">
        <v>69</v>
      </c>
      <c r="BH562">
        <v>-1.6930000000000001</v>
      </c>
      <c r="BI562">
        <v>-2.536</v>
      </c>
    </row>
    <row r="563" spans="3:61">
      <c r="C563">
        <v>0</v>
      </c>
      <c r="D563">
        <v>4</v>
      </c>
      <c r="E563">
        <v>2</v>
      </c>
      <c r="F563" t="s">
        <v>25021</v>
      </c>
      <c r="G563">
        <v>563</v>
      </c>
      <c r="H563" t="s">
        <v>3623</v>
      </c>
      <c r="I563" t="s">
        <v>62</v>
      </c>
      <c r="J563">
        <v>594189</v>
      </c>
      <c r="K563">
        <v>594998</v>
      </c>
      <c r="L563" t="s">
        <v>3624</v>
      </c>
      <c r="M563">
        <v>270</v>
      </c>
      <c r="N563" t="s">
        <v>108</v>
      </c>
      <c r="O563">
        <v>44</v>
      </c>
      <c r="P563" t="str">
        <f>HYPERLINK("Gene563-zp_tree_all.dnd", "Gene563-tree")</f>
        <v>Gene563-tree</v>
      </c>
      <c r="Q563">
        <v>6</v>
      </c>
      <c r="R563">
        <v>7</v>
      </c>
      <c r="S563">
        <v>6</v>
      </c>
      <c r="T563">
        <v>7</v>
      </c>
      <c r="U563">
        <v>0.53846000000000005</v>
      </c>
      <c r="V563" t="s">
        <v>90</v>
      </c>
      <c r="W563" t="s">
        <v>152</v>
      </c>
      <c r="X563" t="s">
        <v>62</v>
      </c>
      <c r="Y563" t="s">
        <v>62</v>
      </c>
      <c r="Z563">
        <v>3</v>
      </c>
      <c r="AA563">
        <v>6</v>
      </c>
      <c r="AB563">
        <v>17</v>
      </c>
      <c r="AC563">
        <v>0.26086999999999999</v>
      </c>
      <c r="AD563" s="47">
        <v>0</v>
      </c>
      <c r="AE563" s="47">
        <v>0</v>
      </c>
      <c r="AF563" s="47">
        <v>0</v>
      </c>
      <c r="AG563" s="47">
        <v>0</v>
      </c>
      <c r="AH563" s="47">
        <v>0</v>
      </c>
      <c r="AI563" s="47">
        <v>0</v>
      </c>
      <c r="AJ563" s="47">
        <v>2</v>
      </c>
      <c r="AK563" s="47">
        <v>2</v>
      </c>
      <c r="AL563">
        <v>16</v>
      </c>
      <c r="AM563">
        <v>0.11111</v>
      </c>
      <c r="AN563">
        <v>10</v>
      </c>
      <c r="AO563">
        <v>9</v>
      </c>
      <c r="AP563">
        <v>36</v>
      </c>
      <c r="AQ563">
        <v>17</v>
      </c>
      <c r="AR563">
        <v>19</v>
      </c>
      <c r="AS563">
        <v>6</v>
      </c>
      <c r="AT563" t="s">
        <v>3625</v>
      </c>
      <c r="AU563" t="s">
        <v>3626</v>
      </c>
      <c r="AV563">
        <v>0.27</v>
      </c>
      <c r="AW563" t="s">
        <v>65</v>
      </c>
      <c r="AX563">
        <v>55</v>
      </c>
      <c r="AY563">
        <v>23</v>
      </c>
      <c r="AZ563" t="s">
        <v>3627</v>
      </c>
      <c r="BA563">
        <v>5.8840000000000003E-2</v>
      </c>
      <c r="BB563">
        <v>-4.2900000000000004E-3</v>
      </c>
      <c r="BC563">
        <v>7.1900000000000002E-3</v>
      </c>
      <c r="BD563">
        <v>-5.5999999999999995E-4</v>
      </c>
      <c r="BE563">
        <v>0.1222</v>
      </c>
      <c r="BF563">
        <v>1</v>
      </c>
      <c r="BG563" t="s">
        <v>69</v>
      </c>
      <c r="BH563">
        <v>-0.89200000000000002</v>
      </c>
      <c r="BI563">
        <v>-1.7849999999999999</v>
      </c>
    </row>
    <row r="564" spans="3:61">
      <c r="C564">
        <v>0</v>
      </c>
      <c r="D564">
        <v>3</v>
      </c>
      <c r="E564">
        <v>0</v>
      </c>
      <c r="F564" t="s">
        <v>25021</v>
      </c>
      <c r="G564">
        <v>1388</v>
      </c>
      <c r="H564" t="s">
        <v>8687</v>
      </c>
      <c r="I564" t="s">
        <v>62</v>
      </c>
      <c r="J564">
        <v>1400770</v>
      </c>
      <c r="K564">
        <v>1401579</v>
      </c>
      <c r="L564" t="s">
        <v>8688</v>
      </c>
      <c r="M564">
        <v>270</v>
      </c>
      <c r="N564" t="s">
        <v>108</v>
      </c>
      <c r="O564">
        <v>44</v>
      </c>
      <c r="P564" t="str">
        <f>HYPERLINK("Gene1388-zp_tree_all.dnd", "Gene1388-tree")</f>
        <v>Gene1388-tree</v>
      </c>
      <c r="Q564">
        <v>6</v>
      </c>
      <c r="R564">
        <v>8</v>
      </c>
      <c r="S564">
        <v>6</v>
      </c>
      <c r="T564">
        <v>8</v>
      </c>
      <c r="U564">
        <v>0.57142999999999999</v>
      </c>
      <c r="V564" t="s">
        <v>90</v>
      </c>
      <c r="W564" t="s">
        <v>136</v>
      </c>
      <c r="X564" t="s">
        <v>62</v>
      </c>
      <c r="Y564" t="s">
        <v>62</v>
      </c>
      <c r="Z564">
        <v>1</v>
      </c>
      <c r="AA564">
        <v>3</v>
      </c>
      <c r="AB564">
        <v>10</v>
      </c>
      <c r="AC564">
        <v>0.23077</v>
      </c>
      <c r="AD564" s="47">
        <v>0</v>
      </c>
      <c r="AE564" s="47">
        <v>0</v>
      </c>
      <c r="AF564" s="47">
        <v>0</v>
      </c>
      <c r="AG564" s="47">
        <v>0</v>
      </c>
      <c r="AH564" s="47">
        <v>0</v>
      </c>
      <c r="AI564" s="47">
        <v>2</v>
      </c>
      <c r="AJ564" s="47">
        <v>0</v>
      </c>
      <c r="AK564" s="47">
        <v>2</v>
      </c>
      <c r="AL564">
        <v>10</v>
      </c>
      <c r="AM564">
        <v>0.16667000000000001</v>
      </c>
      <c r="AN564">
        <v>13</v>
      </c>
      <c r="AO564">
        <v>7</v>
      </c>
      <c r="AP564">
        <v>41</v>
      </c>
      <c r="AQ564">
        <v>13</v>
      </c>
      <c r="AR564">
        <v>15</v>
      </c>
      <c r="AS564">
        <v>1</v>
      </c>
      <c r="AT564" t="s">
        <v>8689</v>
      </c>
      <c r="AU564" t="s">
        <v>8690</v>
      </c>
      <c r="AV564">
        <v>1.119</v>
      </c>
      <c r="AW564" t="s">
        <v>65</v>
      </c>
      <c r="AX564">
        <v>56</v>
      </c>
      <c r="AY564">
        <v>14</v>
      </c>
      <c r="AZ564" t="s">
        <v>8691</v>
      </c>
      <c r="BA564">
        <v>4.5760000000000002E-2</v>
      </c>
      <c r="BB564">
        <v>-1.4400000000000001E-3</v>
      </c>
      <c r="BC564">
        <v>3.3700000000000002E-3</v>
      </c>
      <c r="BD564">
        <v>-2.5000000000000001E-4</v>
      </c>
      <c r="BE564">
        <v>7.3679999999999995E-2</v>
      </c>
      <c r="BF564">
        <v>1</v>
      </c>
      <c r="BG564" t="s">
        <v>69</v>
      </c>
      <c r="BH564">
        <v>-0.98399999999999999</v>
      </c>
      <c r="BI564">
        <v>-1.484</v>
      </c>
    </row>
    <row r="565" spans="3:61">
      <c r="C565">
        <v>0</v>
      </c>
      <c r="D565">
        <v>0</v>
      </c>
      <c r="E565">
        <v>0</v>
      </c>
      <c r="F565" t="s">
        <v>25021</v>
      </c>
      <c r="G565">
        <v>3177</v>
      </c>
      <c r="H565" t="s">
        <v>18480</v>
      </c>
      <c r="I565" t="s">
        <v>57</v>
      </c>
      <c r="J565">
        <v>3134144</v>
      </c>
      <c r="K565">
        <v>3134953</v>
      </c>
      <c r="L565" t="s">
        <v>18481</v>
      </c>
      <c r="M565">
        <v>270</v>
      </c>
      <c r="N565" t="s">
        <v>108</v>
      </c>
      <c r="O565">
        <v>44</v>
      </c>
      <c r="P565" t="str">
        <f>HYPERLINK("Gene3177-zp_tree_all.dnd", "Gene3177-tree")</f>
        <v>Gene3177-tree</v>
      </c>
      <c r="Q565">
        <v>11</v>
      </c>
      <c r="R565">
        <v>0</v>
      </c>
      <c r="S565">
        <v>11</v>
      </c>
      <c r="T565">
        <v>0</v>
      </c>
      <c r="U565">
        <v>0</v>
      </c>
      <c r="V565" t="s">
        <v>73</v>
      </c>
      <c r="W565" t="s">
        <v>62</v>
      </c>
      <c r="X565" t="s">
        <v>62</v>
      </c>
      <c r="Y565" t="s">
        <v>62</v>
      </c>
      <c r="Z565">
        <v>0</v>
      </c>
      <c r="AA565">
        <v>0</v>
      </c>
      <c r="AB565">
        <v>2</v>
      </c>
      <c r="AC565">
        <v>0</v>
      </c>
      <c r="AD565" s="47">
        <v>0</v>
      </c>
      <c r="AE565" s="47">
        <v>0</v>
      </c>
      <c r="AF565" s="47">
        <v>0</v>
      </c>
      <c r="AG565" s="47">
        <v>0</v>
      </c>
      <c r="AH565" s="47">
        <v>0</v>
      </c>
      <c r="AI565" s="47">
        <v>0</v>
      </c>
      <c r="AJ565" s="47">
        <v>0</v>
      </c>
      <c r="AK565" s="47">
        <v>0</v>
      </c>
      <c r="AL565">
        <v>0</v>
      </c>
      <c r="AM565">
        <v>0</v>
      </c>
      <c r="AN565">
        <v>8</v>
      </c>
      <c r="AO565">
        <v>7</v>
      </c>
      <c r="AP565">
        <v>13</v>
      </c>
      <c r="AQ565">
        <v>0</v>
      </c>
      <c r="AR565">
        <v>14</v>
      </c>
      <c r="AS565">
        <v>2</v>
      </c>
      <c r="AT565" t="s">
        <v>193</v>
      </c>
      <c r="AU565" t="s">
        <v>18482</v>
      </c>
      <c r="AV565">
        <v>0.88</v>
      </c>
      <c r="AW565" t="s">
        <v>65</v>
      </c>
      <c r="AX565">
        <v>27</v>
      </c>
      <c r="AY565">
        <v>2</v>
      </c>
      <c r="AZ565" t="s">
        <v>18483</v>
      </c>
      <c r="BA565">
        <v>3.3669999999999999E-2</v>
      </c>
      <c r="BB565">
        <v>-1.56E-3</v>
      </c>
      <c r="BC565">
        <v>1.41E-3</v>
      </c>
      <c r="BD565">
        <v>-1.6000000000000001E-4</v>
      </c>
      <c r="BE565">
        <v>4.1980000000000003E-2</v>
      </c>
      <c r="BF565">
        <v>1</v>
      </c>
      <c r="BG565" t="s">
        <v>69</v>
      </c>
      <c r="BH565">
        <v>0.30199999999999999</v>
      </c>
      <c r="BI565">
        <v>0.66400000000000003</v>
      </c>
    </row>
    <row r="566" spans="3:61">
      <c r="C566">
        <v>0</v>
      </c>
      <c r="D566">
        <v>4</v>
      </c>
      <c r="E566">
        <v>2</v>
      </c>
      <c r="F566" t="s">
        <v>25021</v>
      </c>
      <c r="G566">
        <v>1150</v>
      </c>
      <c r="H566" t="s">
        <v>7233</v>
      </c>
      <c r="I566" t="s">
        <v>62</v>
      </c>
      <c r="J566">
        <v>1190493</v>
      </c>
      <c r="K566">
        <v>1191302</v>
      </c>
      <c r="L566" t="s">
        <v>7234</v>
      </c>
      <c r="M566">
        <v>270</v>
      </c>
      <c r="N566" t="s">
        <v>108</v>
      </c>
      <c r="O566">
        <v>44</v>
      </c>
      <c r="P566" t="str">
        <f>HYPERLINK("Gene1150-zp_tree_all.dnd", "Gene1150-tree")</f>
        <v>Gene1150-tree</v>
      </c>
      <c r="Q566">
        <v>5</v>
      </c>
      <c r="R566">
        <v>29</v>
      </c>
      <c r="S566">
        <v>5</v>
      </c>
      <c r="T566">
        <v>9</v>
      </c>
      <c r="U566">
        <v>0.64285999999999999</v>
      </c>
      <c r="V566" t="s">
        <v>199</v>
      </c>
      <c r="W566" t="s">
        <v>234</v>
      </c>
      <c r="X566">
        <v>2.9169999999999998</v>
      </c>
      <c r="Y566" t="s">
        <v>65</v>
      </c>
      <c r="Z566">
        <v>2</v>
      </c>
      <c r="AA566">
        <v>6</v>
      </c>
      <c r="AB566">
        <v>5</v>
      </c>
      <c r="AC566">
        <v>0.54544999999999999</v>
      </c>
      <c r="AD566" s="47">
        <v>0</v>
      </c>
      <c r="AE566" s="47">
        <v>0</v>
      </c>
      <c r="AF566" s="47">
        <v>0</v>
      </c>
      <c r="AG566" s="47">
        <v>0</v>
      </c>
      <c r="AH566" s="47">
        <v>0</v>
      </c>
      <c r="AI566" s="47">
        <v>3</v>
      </c>
      <c r="AJ566" s="47">
        <v>2</v>
      </c>
      <c r="AK566" s="47">
        <v>5</v>
      </c>
      <c r="AL566">
        <v>5</v>
      </c>
      <c r="AM566">
        <v>0.5</v>
      </c>
      <c r="AN566">
        <v>12</v>
      </c>
      <c r="AO566">
        <v>9</v>
      </c>
      <c r="AP566">
        <v>39</v>
      </c>
      <c r="AQ566">
        <v>10</v>
      </c>
      <c r="AR566">
        <v>33</v>
      </c>
      <c r="AS566">
        <v>1</v>
      </c>
      <c r="AT566" t="s">
        <v>7235</v>
      </c>
      <c r="AU566" t="s">
        <v>7236</v>
      </c>
      <c r="AV566">
        <v>2.036</v>
      </c>
      <c r="AW566" t="s">
        <v>267</v>
      </c>
      <c r="AX566">
        <v>72</v>
      </c>
      <c r="AY566">
        <v>11</v>
      </c>
      <c r="AZ566" t="s">
        <v>7237</v>
      </c>
      <c r="BA566">
        <v>7.8310000000000005E-2</v>
      </c>
      <c r="BB566">
        <v>-3.13E-3</v>
      </c>
      <c r="BC566">
        <v>2.3600000000000001E-3</v>
      </c>
      <c r="BD566">
        <v>-1.4999999999999999E-4</v>
      </c>
      <c r="BE566">
        <v>3.0169999999999999E-2</v>
      </c>
      <c r="BF566">
        <v>1</v>
      </c>
      <c r="BG566" t="s">
        <v>69</v>
      </c>
      <c r="BH566">
        <v>6.4000000000000001E-2</v>
      </c>
      <c r="BI566">
        <v>-0.97</v>
      </c>
    </row>
    <row r="567" spans="3:61">
      <c r="C567">
        <v>0</v>
      </c>
      <c r="D567">
        <v>0</v>
      </c>
      <c r="E567">
        <v>0</v>
      </c>
      <c r="F567" t="s">
        <v>25021</v>
      </c>
      <c r="G567">
        <v>1421</v>
      </c>
      <c r="H567" t="s">
        <v>8900</v>
      </c>
      <c r="I567" t="s">
        <v>62</v>
      </c>
      <c r="J567">
        <v>1434436</v>
      </c>
      <c r="K567">
        <v>1435245</v>
      </c>
      <c r="L567" t="s">
        <v>8901</v>
      </c>
      <c r="M567">
        <v>270</v>
      </c>
      <c r="N567" t="s">
        <v>8902</v>
      </c>
      <c r="O567">
        <v>45</v>
      </c>
      <c r="P567" t="str">
        <f>HYPERLINK("Gene1421-zp_tree_all.dnd", "Gene1421-tree")</f>
        <v>Gene1421-tree</v>
      </c>
      <c r="Q567">
        <v>10</v>
      </c>
      <c r="R567">
        <v>3</v>
      </c>
      <c r="S567">
        <v>10</v>
      </c>
      <c r="T567">
        <v>3</v>
      </c>
      <c r="U567">
        <v>0.23077</v>
      </c>
      <c r="V567" t="s">
        <v>117</v>
      </c>
      <c r="W567" t="s">
        <v>324</v>
      </c>
      <c r="X567" t="s">
        <v>62</v>
      </c>
      <c r="Y567" t="s">
        <v>62</v>
      </c>
      <c r="Z567">
        <v>0</v>
      </c>
      <c r="AA567">
        <v>0</v>
      </c>
      <c r="AB567">
        <v>3</v>
      </c>
      <c r="AC567">
        <v>0</v>
      </c>
      <c r="AD567" s="47">
        <v>0</v>
      </c>
      <c r="AE567" s="47">
        <v>0</v>
      </c>
      <c r="AF567" s="47">
        <v>0</v>
      </c>
      <c r="AG567" s="47">
        <v>0</v>
      </c>
      <c r="AH567" s="47">
        <v>0</v>
      </c>
      <c r="AI567" s="47">
        <v>0</v>
      </c>
      <c r="AJ567" s="47">
        <v>0</v>
      </c>
      <c r="AK567" s="47">
        <v>0</v>
      </c>
      <c r="AL567">
        <v>3</v>
      </c>
      <c r="AM567">
        <v>0</v>
      </c>
      <c r="AN567">
        <v>12</v>
      </c>
      <c r="AO567">
        <v>8</v>
      </c>
      <c r="AP567">
        <v>19</v>
      </c>
      <c r="AQ567">
        <v>3</v>
      </c>
      <c r="AR567">
        <v>41</v>
      </c>
      <c r="AS567">
        <v>0</v>
      </c>
      <c r="AT567" t="s">
        <v>8903</v>
      </c>
      <c r="AU567" t="s">
        <v>193</v>
      </c>
      <c r="AV567">
        <v>1.071</v>
      </c>
      <c r="AW567" t="s">
        <v>65</v>
      </c>
      <c r="AX567">
        <v>60</v>
      </c>
      <c r="AY567">
        <v>3</v>
      </c>
      <c r="AZ567" t="s">
        <v>8904</v>
      </c>
      <c r="BA567">
        <v>8.7749999999999995E-2</v>
      </c>
      <c r="BB567">
        <v>-9.4900000000000002E-3</v>
      </c>
      <c r="BC567">
        <v>7.5000000000000002E-4</v>
      </c>
      <c r="BD567">
        <v>-1E-4</v>
      </c>
      <c r="BE567">
        <v>8.5100000000000002E-3</v>
      </c>
      <c r="BF567">
        <v>1</v>
      </c>
      <c r="BG567" t="s">
        <v>69</v>
      </c>
      <c r="BH567">
        <v>-1.109</v>
      </c>
      <c r="BI567">
        <v>0.40899999999999997</v>
      </c>
    </row>
    <row r="568" spans="3:61">
      <c r="C568">
        <v>0</v>
      </c>
      <c r="D568">
        <v>26</v>
      </c>
      <c r="E568">
        <v>13</v>
      </c>
      <c r="F568" t="s">
        <v>25021</v>
      </c>
      <c r="G568">
        <v>2802</v>
      </c>
      <c r="H568" t="s">
        <v>16066</v>
      </c>
      <c r="I568" t="s">
        <v>57</v>
      </c>
      <c r="J568">
        <v>2749660</v>
      </c>
      <c r="K568">
        <v>2750472</v>
      </c>
      <c r="L568" t="s">
        <v>2512</v>
      </c>
      <c r="M568">
        <v>271</v>
      </c>
      <c r="N568" t="s">
        <v>16067</v>
      </c>
      <c r="O568">
        <v>44</v>
      </c>
      <c r="P568" t="str">
        <f>HYPERLINK("Gene2802-zp_tree_all.dnd", "Gene2802-tree")</f>
        <v>Gene2802-tree</v>
      </c>
      <c r="Q568">
        <v>2</v>
      </c>
      <c r="R568">
        <v>13</v>
      </c>
      <c r="S568">
        <v>2</v>
      </c>
      <c r="T568">
        <v>13</v>
      </c>
      <c r="U568">
        <v>0.86667000000000005</v>
      </c>
      <c r="V568" t="s">
        <v>81</v>
      </c>
      <c r="W568" t="s">
        <v>507</v>
      </c>
      <c r="X568" t="s">
        <v>62</v>
      </c>
      <c r="Y568" t="s">
        <v>62</v>
      </c>
      <c r="Z568">
        <v>15</v>
      </c>
      <c r="AA568">
        <v>39</v>
      </c>
      <c r="AB568">
        <v>19</v>
      </c>
      <c r="AC568">
        <v>0.67240999999999995</v>
      </c>
      <c r="AD568" s="47">
        <v>0</v>
      </c>
      <c r="AE568" s="47">
        <v>0</v>
      </c>
      <c r="AF568" s="47">
        <v>0</v>
      </c>
      <c r="AG568" s="47">
        <v>0</v>
      </c>
      <c r="AH568" s="47">
        <v>0</v>
      </c>
      <c r="AI568" s="47">
        <v>16</v>
      </c>
      <c r="AJ568" s="47">
        <v>12</v>
      </c>
      <c r="AK568" s="47">
        <v>28</v>
      </c>
      <c r="AL568">
        <v>16</v>
      </c>
      <c r="AM568">
        <v>0.63636000000000004</v>
      </c>
      <c r="AN568">
        <v>15</v>
      </c>
      <c r="AO568">
        <v>11</v>
      </c>
      <c r="AP568">
        <v>31</v>
      </c>
      <c r="AQ568">
        <v>44</v>
      </c>
      <c r="AR568">
        <v>18</v>
      </c>
      <c r="AS568">
        <v>14</v>
      </c>
      <c r="AT568" t="s">
        <v>16068</v>
      </c>
      <c r="AU568" t="s">
        <v>16069</v>
      </c>
      <c r="AV568">
        <v>0.875</v>
      </c>
      <c r="AW568" t="s">
        <v>65</v>
      </c>
      <c r="AX568">
        <v>49</v>
      </c>
      <c r="AY568">
        <v>58</v>
      </c>
      <c r="AZ568" t="s">
        <v>16070</v>
      </c>
      <c r="BA568">
        <v>4.9570000000000003E-2</v>
      </c>
      <c r="BB568">
        <v>-2.0500000000000002E-3</v>
      </c>
      <c r="BC568">
        <v>1.5180000000000001E-2</v>
      </c>
      <c r="BD568">
        <v>-6.7000000000000002E-4</v>
      </c>
      <c r="BE568">
        <v>0.30630000000000002</v>
      </c>
      <c r="BF568">
        <v>1</v>
      </c>
      <c r="BG568" t="s">
        <v>69</v>
      </c>
      <c r="BH568">
        <v>-0.78</v>
      </c>
      <c r="BI568">
        <v>-1.528</v>
      </c>
    </row>
    <row r="569" spans="3:61">
      <c r="C569">
        <v>0</v>
      </c>
      <c r="D569">
        <v>6</v>
      </c>
      <c r="E569">
        <v>0</v>
      </c>
      <c r="F569" t="s">
        <v>25021</v>
      </c>
      <c r="G569">
        <v>661</v>
      </c>
      <c r="H569" t="s">
        <v>4113</v>
      </c>
      <c r="I569" t="s">
        <v>62</v>
      </c>
      <c r="J569">
        <v>681550</v>
      </c>
      <c r="K569">
        <v>682362</v>
      </c>
      <c r="L569" t="s">
        <v>4114</v>
      </c>
      <c r="M569">
        <v>271</v>
      </c>
      <c r="N569" t="s">
        <v>4115</v>
      </c>
      <c r="O569">
        <v>36</v>
      </c>
      <c r="P569" t="str">
        <f>HYPERLINK("Gene661-zp_tree_all.dnd", "Gene661-tree")</f>
        <v>Gene661-tree</v>
      </c>
      <c r="Q569">
        <v>4</v>
      </c>
      <c r="R569">
        <v>23</v>
      </c>
      <c r="S569">
        <v>4</v>
      </c>
      <c r="T569">
        <v>6</v>
      </c>
      <c r="U569">
        <v>0.6</v>
      </c>
      <c r="V569" t="s">
        <v>61</v>
      </c>
      <c r="W569" t="s">
        <v>3589</v>
      </c>
      <c r="X569">
        <v>2.9249999999999998</v>
      </c>
      <c r="Y569" t="s">
        <v>65</v>
      </c>
      <c r="Z569">
        <v>3</v>
      </c>
      <c r="AA569">
        <v>6</v>
      </c>
      <c r="AB569">
        <v>10</v>
      </c>
      <c r="AC569">
        <v>0.375</v>
      </c>
      <c r="AD569" s="47">
        <v>0</v>
      </c>
      <c r="AE569" s="47">
        <v>0</v>
      </c>
      <c r="AF569" s="47">
        <v>0</v>
      </c>
      <c r="AG569" s="47">
        <v>0</v>
      </c>
      <c r="AH569" s="47">
        <v>0</v>
      </c>
      <c r="AI569" s="47">
        <v>4</v>
      </c>
      <c r="AJ569" s="47">
        <v>0</v>
      </c>
      <c r="AK569" s="47">
        <v>4</v>
      </c>
      <c r="AL569">
        <v>9</v>
      </c>
      <c r="AM569">
        <v>0.30769000000000002</v>
      </c>
      <c r="AN569">
        <v>9</v>
      </c>
      <c r="AO569">
        <v>7</v>
      </c>
      <c r="AP569">
        <v>15</v>
      </c>
      <c r="AQ569">
        <v>13</v>
      </c>
      <c r="AR569">
        <v>12</v>
      </c>
      <c r="AS569">
        <v>3</v>
      </c>
      <c r="AT569" t="s">
        <v>4116</v>
      </c>
      <c r="AU569" t="s">
        <v>4117</v>
      </c>
      <c r="AV569">
        <v>1.173</v>
      </c>
      <c r="AW569" t="s">
        <v>65</v>
      </c>
      <c r="AX569">
        <v>27</v>
      </c>
      <c r="AY569">
        <v>16</v>
      </c>
      <c r="AZ569" t="s">
        <v>4118</v>
      </c>
      <c r="BA569">
        <v>3.7350000000000001E-2</v>
      </c>
      <c r="BB569">
        <v>-2.3E-3</v>
      </c>
      <c r="BC569">
        <v>5.7099999999999998E-3</v>
      </c>
      <c r="BD569">
        <v>-4.2999999999999999E-4</v>
      </c>
      <c r="BE569">
        <v>0.15287999999999999</v>
      </c>
      <c r="BF569">
        <v>1</v>
      </c>
      <c r="BG569" t="s">
        <v>69</v>
      </c>
      <c r="BH569">
        <v>3.1E-2</v>
      </c>
      <c r="BI569">
        <v>-0.30299999999999999</v>
      </c>
    </row>
    <row r="570" spans="3:61">
      <c r="C570">
        <v>0</v>
      </c>
      <c r="D570">
        <v>2</v>
      </c>
      <c r="E570">
        <v>1</v>
      </c>
      <c r="F570" t="s">
        <v>25021</v>
      </c>
      <c r="G570">
        <v>3938</v>
      </c>
      <c r="H570" t="s">
        <v>23113</v>
      </c>
      <c r="I570" t="s">
        <v>57</v>
      </c>
      <c r="J570">
        <v>3900963</v>
      </c>
      <c r="K570">
        <v>3901775</v>
      </c>
      <c r="L570" t="s">
        <v>23114</v>
      </c>
      <c r="M570">
        <v>271</v>
      </c>
      <c r="N570" t="s">
        <v>572</v>
      </c>
      <c r="O570">
        <v>48</v>
      </c>
      <c r="P570" t="str">
        <f>HYPERLINK("Gene3938-zp_tree_all.dnd", "Gene3938-tree")</f>
        <v>Gene3938-tree</v>
      </c>
      <c r="Q570">
        <v>10</v>
      </c>
      <c r="R570">
        <v>7</v>
      </c>
      <c r="S570">
        <v>10</v>
      </c>
      <c r="T570">
        <v>7</v>
      </c>
      <c r="U570">
        <v>0.41176000000000001</v>
      </c>
      <c r="V570" t="s">
        <v>117</v>
      </c>
      <c r="W570" t="s">
        <v>152</v>
      </c>
      <c r="X570" t="s">
        <v>62</v>
      </c>
      <c r="Y570" t="s">
        <v>62</v>
      </c>
      <c r="Z570">
        <v>1</v>
      </c>
      <c r="AA570">
        <v>3</v>
      </c>
      <c r="AB570">
        <v>6</v>
      </c>
      <c r="AC570">
        <v>0.33333000000000002</v>
      </c>
      <c r="AD570" s="47">
        <v>0</v>
      </c>
      <c r="AE570" s="47">
        <v>0</v>
      </c>
      <c r="AF570" s="47">
        <v>0</v>
      </c>
      <c r="AG570" s="47">
        <v>0</v>
      </c>
      <c r="AH570" s="47">
        <v>0</v>
      </c>
      <c r="AI570" s="47">
        <v>4</v>
      </c>
      <c r="AJ570" s="47">
        <v>0</v>
      </c>
      <c r="AK570" s="47">
        <v>4</v>
      </c>
      <c r="AL570">
        <v>3</v>
      </c>
      <c r="AM570">
        <v>0.57142999999999999</v>
      </c>
      <c r="AN570">
        <v>16</v>
      </c>
      <c r="AO570">
        <v>10</v>
      </c>
      <c r="AP570">
        <v>49</v>
      </c>
      <c r="AQ570">
        <v>7</v>
      </c>
      <c r="AR570">
        <v>45</v>
      </c>
      <c r="AS570">
        <v>2</v>
      </c>
      <c r="AT570" t="s">
        <v>23115</v>
      </c>
      <c r="AU570" t="s">
        <v>23116</v>
      </c>
      <c r="AV570">
        <v>0.68</v>
      </c>
      <c r="AW570" t="s">
        <v>65</v>
      </c>
      <c r="AX570">
        <v>94</v>
      </c>
      <c r="AY570">
        <v>9</v>
      </c>
      <c r="AZ570" t="s">
        <v>23117</v>
      </c>
      <c r="BA570">
        <v>0.10616</v>
      </c>
      <c r="BB570">
        <v>-7.7000000000000002E-3</v>
      </c>
      <c r="BC570">
        <v>2.2799999999999999E-3</v>
      </c>
      <c r="BD570">
        <v>-1.4999999999999999E-4</v>
      </c>
      <c r="BE570">
        <v>2.1440000000000001E-2</v>
      </c>
      <c r="BF570">
        <v>1</v>
      </c>
      <c r="BG570" t="s">
        <v>69</v>
      </c>
      <c r="BH570">
        <v>-1.54</v>
      </c>
      <c r="BI570">
        <v>-2.2360000000000002</v>
      </c>
    </row>
    <row r="571" spans="3:61">
      <c r="C571">
        <v>0</v>
      </c>
      <c r="D571">
        <v>4</v>
      </c>
      <c r="E571">
        <v>0</v>
      </c>
      <c r="F571" t="s">
        <v>25021</v>
      </c>
      <c r="G571">
        <v>2856</v>
      </c>
      <c r="H571" t="s">
        <v>16412</v>
      </c>
      <c r="I571" t="s">
        <v>57</v>
      </c>
      <c r="J571">
        <v>2803108</v>
      </c>
      <c r="K571">
        <v>2803926</v>
      </c>
      <c r="L571" t="s">
        <v>16413</v>
      </c>
      <c r="M571">
        <v>273</v>
      </c>
      <c r="N571" t="s">
        <v>108</v>
      </c>
      <c r="O571">
        <v>44</v>
      </c>
      <c r="P571" t="str">
        <f>HYPERLINK("Gene2856-zp_tree_all.dnd", "Gene2856-tree")</f>
        <v>Gene2856-tree</v>
      </c>
      <c r="Q571">
        <v>6</v>
      </c>
      <c r="R571">
        <v>5</v>
      </c>
      <c r="S571">
        <v>6</v>
      </c>
      <c r="T571">
        <v>5</v>
      </c>
      <c r="U571">
        <v>0.45455000000000001</v>
      </c>
      <c r="V571" t="s">
        <v>90</v>
      </c>
      <c r="W571" t="s">
        <v>199</v>
      </c>
      <c r="X571" t="s">
        <v>62</v>
      </c>
      <c r="Y571" t="s">
        <v>62</v>
      </c>
      <c r="Z571">
        <v>1</v>
      </c>
      <c r="AA571">
        <v>4</v>
      </c>
      <c r="AB571">
        <v>8</v>
      </c>
      <c r="AC571">
        <v>0.33333000000000002</v>
      </c>
      <c r="AD571" s="47">
        <v>0</v>
      </c>
      <c r="AE571" s="47">
        <v>0</v>
      </c>
      <c r="AF571" s="47">
        <v>0</v>
      </c>
      <c r="AG571" s="47">
        <v>3</v>
      </c>
      <c r="AH571" s="47">
        <v>0</v>
      </c>
      <c r="AI571" s="47">
        <v>2</v>
      </c>
      <c r="AJ571" s="47">
        <v>0</v>
      </c>
      <c r="AK571" s="47">
        <v>2</v>
      </c>
      <c r="AL571">
        <v>5</v>
      </c>
      <c r="AM571">
        <v>0.28571000000000002</v>
      </c>
      <c r="AN571">
        <v>10</v>
      </c>
      <c r="AO571">
        <v>4</v>
      </c>
      <c r="AP571">
        <v>20</v>
      </c>
      <c r="AQ571">
        <v>7</v>
      </c>
      <c r="AR571">
        <v>3</v>
      </c>
      <c r="AS571">
        <v>5</v>
      </c>
      <c r="AT571" t="s">
        <v>16414</v>
      </c>
      <c r="AU571" t="s">
        <v>16415</v>
      </c>
      <c r="AV571">
        <v>0.79100000000000004</v>
      </c>
      <c r="AW571" t="s">
        <v>65</v>
      </c>
      <c r="AX571">
        <v>23</v>
      </c>
      <c r="AY571">
        <v>12</v>
      </c>
      <c r="AZ571" t="s">
        <v>16416</v>
      </c>
      <c r="BA571">
        <v>2.58E-2</v>
      </c>
      <c r="BB571">
        <v>-1.7799999999999999E-3</v>
      </c>
      <c r="BC571">
        <v>4.5799999999999999E-3</v>
      </c>
      <c r="BD571">
        <v>-3.5E-4</v>
      </c>
      <c r="BE571">
        <v>0.17735999999999999</v>
      </c>
      <c r="BF571">
        <v>1</v>
      </c>
      <c r="BG571" t="s">
        <v>69</v>
      </c>
      <c r="BH571">
        <v>-0.13200000000000001</v>
      </c>
      <c r="BI571">
        <v>3.3000000000000002E-2</v>
      </c>
    </row>
    <row r="572" spans="3:61">
      <c r="C572">
        <v>0</v>
      </c>
      <c r="D572">
        <v>4</v>
      </c>
      <c r="E572">
        <v>0</v>
      </c>
      <c r="F572" t="s">
        <v>25021</v>
      </c>
      <c r="G572">
        <v>2951</v>
      </c>
      <c r="H572" t="s">
        <v>17022</v>
      </c>
      <c r="I572" t="s">
        <v>57</v>
      </c>
      <c r="J572">
        <v>2898931</v>
      </c>
      <c r="K572">
        <v>2899749</v>
      </c>
      <c r="L572" t="s">
        <v>17023</v>
      </c>
      <c r="M572">
        <v>273</v>
      </c>
      <c r="N572" t="s">
        <v>17024</v>
      </c>
      <c r="O572">
        <v>33</v>
      </c>
      <c r="P572" t="str">
        <f>HYPERLINK("Gene2951-zp_tree_all.dnd", "Gene2951-tree")</f>
        <v>Gene2951-tree</v>
      </c>
      <c r="Q572">
        <v>3</v>
      </c>
      <c r="R572">
        <v>6</v>
      </c>
      <c r="S572">
        <v>3</v>
      </c>
      <c r="T572">
        <v>6</v>
      </c>
      <c r="U572">
        <v>0.66666999999999998</v>
      </c>
      <c r="V572" t="s">
        <v>324</v>
      </c>
      <c r="W572" t="s">
        <v>90</v>
      </c>
      <c r="X572" t="s">
        <v>62</v>
      </c>
      <c r="Y572" t="s">
        <v>62</v>
      </c>
      <c r="Z572">
        <v>2</v>
      </c>
      <c r="AA572">
        <v>4</v>
      </c>
      <c r="AB572">
        <v>12</v>
      </c>
      <c r="AC572">
        <v>0.25</v>
      </c>
      <c r="AD572" s="47">
        <v>0</v>
      </c>
      <c r="AE572" s="47">
        <v>0</v>
      </c>
      <c r="AF572" s="47">
        <v>0</v>
      </c>
      <c r="AG572" s="47">
        <v>0</v>
      </c>
      <c r="AH572" s="47">
        <v>0</v>
      </c>
      <c r="AI572" s="47">
        <v>2</v>
      </c>
      <c r="AJ572" s="47">
        <v>0</v>
      </c>
      <c r="AK572" s="47">
        <v>2</v>
      </c>
      <c r="AL572">
        <v>11</v>
      </c>
      <c r="AM572">
        <v>0.15384999999999999</v>
      </c>
      <c r="AN572">
        <v>9</v>
      </c>
      <c r="AO572">
        <v>5</v>
      </c>
      <c r="AP572">
        <v>28</v>
      </c>
      <c r="AQ572">
        <v>13</v>
      </c>
      <c r="AR572">
        <v>9</v>
      </c>
      <c r="AS572">
        <v>3</v>
      </c>
      <c r="AT572" t="s">
        <v>17025</v>
      </c>
      <c r="AU572" t="s">
        <v>17026</v>
      </c>
      <c r="AV572">
        <v>0.31900000000000001</v>
      </c>
      <c r="AW572" t="s">
        <v>65</v>
      </c>
      <c r="AX572">
        <v>37</v>
      </c>
      <c r="AY572">
        <v>16</v>
      </c>
      <c r="AZ572" t="s">
        <v>17027</v>
      </c>
      <c r="BA572">
        <v>4.8809999999999999E-2</v>
      </c>
      <c r="BB572">
        <v>-4.3099999999999996E-3</v>
      </c>
      <c r="BC572">
        <v>6.11E-3</v>
      </c>
      <c r="BD572">
        <v>-5.0000000000000001E-4</v>
      </c>
      <c r="BE572">
        <v>0.12512999999999999</v>
      </c>
      <c r="BF572">
        <v>1</v>
      </c>
      <c r="BG572" t="s">
        <v>69</v>
      </c>
      <c r="BH572">
        <v>-1.2450000000000001</v>
      </c>
      <c r="BI572">
        <v>-1.081</v>
      </c>
    </row>
    <row r="573" spans="3:61">
      <c r="C573">
        <v>0</v>
      </c>
      <c r="D573">
        <v>3</v>
      </c>
      <c r="E573">
        <v>4</v>
      </c>
      <c r="F573" t="s">
        <v>25021</v>
      </c>
      <c r="G573">
        <v>3261</v>
      </c>
      <c r="H573" t="s">
        <v>19013</v>
      </c>
      <c r="I573" t="s">
        <v>57</v>
      </c>
      <c r="J573">
        <v>3227581</v>
      </c>
      <c r="K573">
        <v>3228399</v>
      </c>
      <c r="L573" t="s">
        <v>2512</v>
      </c>
      <c r="M573">
        <v>273</v>
      </c>
      <c r="N573" t="s">
        <v>108</v>
      </c>
      <c r="O573">
        <v>44</v>
      </c>
      <c r="P573" t="str">
        <f>HYPERLINK("Gene3261-zp_tree_all.dnd", "Gene3261-tree")</f>
        <v>Gene3261-tree</v>
      </c>
      <c r="Q573">
        <v>8</v>
      </c>
      <c r="R573">
        <v>5</v>
      </c>
      <c r="S573">
        <v>8</v>
      </c>
      <c r="T573">
        <v>5</v>
      </c>
      <c r="U573">
        <v>0.38462000000000002</v>
      </c>
      <c r="V573" t="s">
        <v>136</v>
      </c>
      <c r="W573" t="s">
        <v>199</v>
      </c>
      <c r="X573" t="s">
        <v>62</v>
      </c>
      <c r="Y573" t="s">
        <v>62</v>
      </c>
      <c r="Z573">
        <v>3</v>
      </c>
      <c r="AA573">
        <v>7</v>
      </c>
      <c r="AB573">
        <v>6</v>
      </c>
      <c r="AC573">
        <v>0.53846000000000005</v>
      </c>
      <c r="AD573" s="47">
        <v>0</v>
      </c>
      <c r="AE573" s="47">
        <v>0</v>
      </c>
      <c r="AF573" s="47">
        <v>0</v>
      </c>
      <c r="AG573" s="47">
        <v>0</v>
      </c>
      <c r="AH573" s="47">
        <v>0</v>
      </c>
      <c r="AI573" s="47">
        <v>2</v>
      </c>
      <c r="AJ573" s="47">
        <v>0</v>
      </c>
      <c r="AK573" s="47">
        <v>2</v>
      </c>
      <c r="AL573">
        <v>7</v>
      </c>
      <c r="AM573">
        <v>0.22222</v>
      </c>
      <c r="AN573">
        <v>12</v>
      </c>
      <c r="AO573">
        <v>7</v>
      </c>
      <c r="AP573">
        <v>36</v>
      </c>
      <c r="AQ573">
        <v>9</v>
      </c>
      <c r="AR573">
        <v>13</v>
      </c>
      <c r="AS573">
        <v>4</v>
      </c>
      <c r="AT573" t="s">
        <v>19014</v>
      </c>
      <c r="AU573" t="s">
        <v>19015</v>
      </c>
      <c r="AV573">
        <v>0.214</v>
      </c>
      <c r="AW573" t="s">
        <v>65</v>
      </c>
      <c r="AX573">
        <v>49</v>
      </c>
      <c r="AY573">
        <v>13</v>
      </c>
      <c r="AZ573" t="s">
        <v>19016</v>
      </c>
      <c r="BA573">
        <v>4.684E-2</v>
      </c>
      <c r="BB573">
        <v>-2.7299999999999998E-3</v>
      </c>
      <c r="BC573">
        <v>3.2499999999999999E-3</v>
      </c>
      <c r="BD573">
        <v>-2.3000000000000001E-4</v>
      </c>
      <c r="BE573">
        <v>6.9320000000000007E-2</v>
      </c>
      <c r="BF573">
        <v>1</v>
      </c>
      <c r="BG573" t="s">
        <v>69</v>
      </c>
      <c r="BH573">
        <v>-1.6839999999999999</v>
      </c>
      <c r="BI573">
        <v>-1.806</v>
      </c>
    </row>
    <row r="574" spans="3:61">
      <c r="C574">
        <v>2</v>
      </c>
      <c r="D574">
        <v>3</v>
      </c>
      <c r="E574">
        <v>2</v>
      </c>
      <c r="F574" t="s">
        <v>25021</v>
      </c>
      <c r="G574">
        <v>451</v>
      </c>
      <c r="H574" t="s">
        <v>3060</v>
      </c>
      <c r="I574" t="s">
        <v>62</v>
      </c>
      <c r="J574">
        <v>495743</v>
      </c>
      <c r="K574">
        <v>496561</v>
      </c>
      <c r="L574" t="s">
        <v>3061</v>
      </c>
      <c r="M574">
        <v>273</v>
      </c>
      <c r="N574" t="s">
        <v>72</v>
      </c>
      <c r="O574">
        <v>45</v>
      </c>
      <c r="P574" t="str">
        <f>HYPERLINK("Gene451-zp_tree_all.dnd", "Gene451-tree")</f>
        <v>Gene451-tree</v>
      </c>
      <c r="Q574">
        <v>5</v>
      </c>
      <c r="R574">
        <v>9</v>
      </c>
      <c r="S574">
        <v>5</v>
      </c>
      <c r="T574">
        <v>9</v>
      </c>
      <c r="U574">
        <v>0.64285999999999999</v>
      </c>
      <c r="V574" t="s">
        <v>199</v>
      </c>
      <c r="W574" t="s">
        <v>135</v>
      </c>
      <c r="X574" t="s">
        <v>62</v>
      </c>
      <c r="Y574" t="s">
        <v>62</v>
      </c>
      <c r="Z574">
        <v>2</v>
      </c>
      <c r="AA574">
        <v>7</v>
      </c>
      <c r="AB574">
        <v>9</v>
      </c>
      <c r="AC574">
        <v>0.4375</v>
      </c>
      <c r="AD574" s="47">
        <v>0</v>
      </c>
      <c r="AE574" s="47">
        <v>0</v>
      </c>
      <c r="AF574" s="47">
        <v>0</v>
      </c>
      <c r="AG574" s="47">
        <v>0</v>
      </c>
      <c r="AH574" s="47">
        <v>0</v>
      </c>
      <c r="AI574" s="47">
        <v>0</v>
      </c>
      <c r="AJ574" s="47">
        <v>3</v>
      </c>
      <c r="AK574" s="47">
        <v>3</v>
      </c>
      <c r="AL574">
        <v>10</v>
      </c>
      <c r="AM574">
        <v>0.23077</v>
      </c>
      <c r="AN574">
        <v>12</v>
      </c>
      <c r="AO574">
        <v>9</v>
      </c>
      <c r="AP574">
        <v>39</v>
      </c>
      <c r="AQ574">
        <v>11</v>
      </c>
      <c r="AR574">
        <v>25</v>
      </c>
      <c r="AS574">
        <v>5</v>
      </c>
      <c r="AT574" t="s">
        <v>3062</v>
      </c>
      <c r="AU574" t="s">
        <v>3063</v>
      </c>
      <c r="AV574">
        <v>0.123</v>
      </c>
      <c r="AW574" t="s">
        <v>65</v>
      </c>
      <c r="AX574">
        <v>64</v>
      </c>
      <c r="AY574">
        <v>16</v>
      </c>
      <c r="AZ574" t="s">
        <v>3064</v>
      </c>
      <c r="BA574">
        <v>6.5850000000000006E-2</v>
      </c>
      <c r="BB574">
        <v>-6.4000000000000003E-3</v>
      </c>
      <c r="BC574">
        <v>3.8500000000000001E-3</v>
      </c>
      <c r="BD574">
        <v>-2.4000000000000001E-4</v>
      </c>
      <c r="BE574">
        <v>5.8430000000000003E-2</v>
      </c>
      <c r="BF574">
        <v>1</v>
      </c>
      <c r="BG574" t="s">
        <v>69</v>
      </c>
      <c r="BH574">
        <v>-1.389</v>
      </c>
      <c r="BI574">
        <v>-3.3069999999999999</v>
      </c>
    </row>
    <row r="575" spans="3:61">
      <c r="C575">
        <v>0</v>
      </c>
      <c r="D575">
        <v>8</v>
      </c>
      <c r="E575">
        <v>2</v>
      </c>
      <c r="F575" t="s">
        <v>25021</v>
      </c>
      <c r="G575">
        <v>2664</v>
      </c>
      <c r="H575" t="s">
        <v>15624</v>
      </c>
      <c r="I575" t="s">
        <v>57</v>
      </c>
      <c r="J575">
        <v>2641214</v>
      </c>
      <c r="K575">
        <v>2642032</v>
      </c>
      <c r="L575" t="s">
        <v>15625</v>
      </c>
      <c r="M575">
        <v>273</v>
      </c>
      <c r="N575" t="s">
        <v>99</v>
      </c>
      <c r="O575">
        <v>47</v>
      </c>
      <c r="P575" t="str">
        <f>HYPERLINK("Gene2664-zp_tree_all.dnd", "Gene2664-tree")</f>
        <v>Gene2664-tree</v>
      </c>
      <c r="Q575">
        <v>9</v>
      </c>
      <c r="R575">
        <v>6</v>
      </c>
      <c r="S575">
        <v>9</v>
      </c>
      <c r="T575">
        <v>6</v>
      </c>
      <c r="U575">
        <v>0.4</v>
      </c>
      <c r="V575" t="s">
        <v>135</v>
      </c>
      <c r="W575" t="s">
        <v>90</v>
      </c>
      <c r="X575" t="s">
        <v>62</v>
      </c>
      <c r="Y575" t="s">
        <v>62</v>
      </c>
      <c r="Z575">
        <v>3</v>
      </c>
      <c r="AA575">
        <v>10</v>
      </c>
      <c r="AB575">
        <v>10</v>
      </c>
      <c r="AC575">
        <v>0.5</v>
      </c>
      <c r="AD575" s="47">
        <v>0</v>
      </c>
      <c r="AE575" s="47">
        <v>0</v>
      </c>
      <c r="AF575" s="47">
        <v>0</v>
      </c>
      <c r="AG575" s="47">
        <v>1</v>
      </c>
      <c r="AH575" s="47">
        <v>0</v>
      </c>
      <c r="AI575" s="47">
        <v>6</v>
      </c>
      <c r="AJ575" s="47">
        <v>0</v>
      </c>
      <c r="AK575" s="47">
        <v>6</v>
      </c>
      <c r="AL575">
        <v>8</v>
      </c>
      <c r="AM575">
        <v>0.42857000000000001</v>
      </c>
      <c r="AN575">
        <v>12</v>
      </c>
      <c r="AO575">
        <v>11</v>
      </c>
      <c r="AP575">
        <v>37</v>
      </c>
      <c r="AQ575">
        <v>14</v>
      </c>
      <c r="AR575">
        <v>51</v>
      </c>
      <c r="AS575">
        <v>6</v>
      </c>
      <c r="AT575" t="s">
        <v>15626</v>
      </c>
      <c r="AU575" t="s">
        <v>15627</v>
      </c>
      <c r="AV575">
        <v>0.66700000000000004</v>
      </c>
      <c r="AW575" t="s">
        <v>65</v>
      </c>
      <c r="AX575">
        <v>88</v>
      </c>
      <c r="AY575">
        <v>20</v>
      </c>
      <c r="AZ575" t="s">
        <v>15628</v>
      </c>
      <c r="BA575">
        <v>0.11515</v>
      </c>
      <c r="BB575">
        <v>-9.1500000000000001E-3</v>
      </c>
      <c r="BC575">
        <v>5.0200000000000002E-3</v>
      </c>
      <c r="BD575">
        <v>-3.1E-4</v>
      </c>
      <c r="BE575">
        <v>4.3549999999999998E-2</v>
      </c>
      <c r="BF575">
        <v>1</v>
      </c>
      <c r="BG575" t="s">
        <v>69</v>
      </c>
      <c r="BH575">
        <v>-1.6020000000000001</v>
      </c>
      <c r="BI575">
        <v>-0.86699999999999999</v>
      </c>
    </row>
    <row r="576" spans="3:61">
      <c r="C576">
        <v>0</v>
      </c>
      <c r="D576">
        <v>4</v>
      </c>
      <c r="E576">
        <v>0</v>
      </c>
      <c r="F576" t="s">
        <v>25021</v>
      </c>
      <c r="G576">
        <v>4125</v>
      </c>
      <c r="H576" t="s">
        <v>24311</v>
      </c>
      <c r="I576" t="s">
        <v>57</v>
      </c>
      <c r="J576">
        <v>4091845</v>
      </c>
      <c r="K576">
        <v>4092663</v>
      </c>
      <c r="L576" t="s">
        <v>1940</v>
      </c>
      <c r="M576">
        <v>273</v>
      </c>
      <c r="N576" t="s">
        <v>2078</v>
      </c>
      <c r="O576">
        <v>36</v>
      </c>
      <c r="P576" t="str">
        <f>HYPERLINK("Gene4125-zp_tree_all.dnd", "Gene4125-tree")</f>
        <v>Gene4125-tree</v>
      </c>
      <c r="Q576">
        <v>6</v>
      </c>
      <c r="R576">
        <v>6</v>
      </c>
      <c r="S576">
        <v>6</v>
      </c>
      <c r="T576">
        <v>6</v>
      </c>
      <c r="U576">
        <v>0.5</v>
      </c>
      <c r="V576" t="s">
        <v>90</v>
      </c>
      <c r="W576" t="s">
        <v>90</v>
      </c>
      <c r="X576" t="s">
        <v>62</v>
      </c>
      <c r="Y576" t="s">
        <v>62</v>
      </c>
      <c r="Z576">
        <v>2</v>
      </c>
      <c r="AA576">
        <v>4</v>
      </c>
      <c r="AB576">
        <v>8</v>
      </c>
      <c r="AC576">
        <v>0.33333000000000002</v>
      </c>
      <c r="AD576" s="47">
        <v>0</v>
      </c>
      <c r="AE576" s="47">
        <v>0</v>
      </c>
      <c r="AF576" s="47">
        <v>0</v>
      </c>
      <c r="AG576" s="47">
        <v>0</v>
      </c>
      <c r="AH576" s="47">
        <v>0</v>
      </c>
      <c r="AI576" s="47">
        <v>0</v>
      </c>
      <c r="AJ576" s="47">
        <v>0</v>
      </c>
      <c r="AK576" s="47">
        <v>0</v>
      </c>
      <c r="AL576">
        <v>7</v>
      </c>
      <c r="AM576">
        <v>0</v>
      </c>
      <c r="AN576">
        <v>11</v>
      </c>
      <c r="AO576">
        <v>8</v>
      </c>
      <c r="AP576">
        <v>49</v>
      </c>
      <c r="AQ576">
        <v>5</v>
      </c>
      <c r="AR576">
        <v>48</v>
      </c>
      <c r="AS576">
        <v>7</v>
      </c>
      <c r="AT576" t="s">
        <v>24312</v>
      </c>
      <c r="AU576" t="s">
        <v>24313</v>
      </c>
      <c r="AV576">
        <v>0.40300000000000002</v>
      </c>
      <c r="AW576" t="s">
        <v>65</v>
      </c>
      <c r="AX576">
        <v>97</v>
      </c>
      <c r="AY576">
        <v>12</v>
      </c>
      <c r="AZ576" t="s">
        <v>24314</v>
      </c>
      <c r="BA576">
        <v>0.12523000000000001</v>
      </c>
      <c r="BB576">
        <v>-9.3399999999999993E-3</v>
      </c>
      <c r="BC576">
        <v>5.2100000000000002E-3</v>
      </c>
      <c r="BD576">
        <v>-3.8999999999999999E-4</v>
      </c>
      <c r="BE576">
        <v>4.1619999999999997E-2</v>
      </c>
      <c r="BF576">
        <v>1</v>
      </c>
      <c r="BG576" t="s">
        <v>69</v>
      </c>
      <c r="BH576">
        <v>0.53200000000000003</v>
      </c>
      <c r="BI576">
        <v>0.41899999999999998</v>
      </c>
    </row>
    <row r="577" spans="3:61">
      <c r="C577">
        <v>0</v>
      </c>
      <c r="D577">
        <v>8</v>
      </c>
      <c r="E577">
        <v>2</v>
      </c>
      <c r="F577" t="s">
        <v>25021</v>
      </c>
      <c r="G577">
        <v>1786</v>
      </c>
      <c r="H577" t="s">
        <v>11199</v>
      </c>
      <c r="I577" t="s">
        <v>62</v>
      </c>
      <c r="J577">
        <v>1860452</v>
      </c>
      <c r="K577">
        <v>1861273</v>
      </c>
      <c r="L577" t="s">
        <v>2512</v>
      </c>
      <c r="M577">
        <v>274</v>
      </c>
      <c r="N577" t="s">
        <v>265</v>
      </c>
      <c r="O577">
        <v>43</v>
      </c>
      <c r="P577" t="str">
        <f>HYPERLINK("Gene1786-zp_tree_all.dnd", "Gene1786-tree")</f>
        <v>Gene1786-tree</v>
      </c>
      <c r="Q577">
        <v>5</v>
      </c>
      <c r="R577">
        <v>10</v>
      </c>
      <c r="S577">
        <v>5</v>
      </c>
      <c r="T577">
        <v>10</v>
      </c>
      <c r="U577">
        <v>0.66666999999999998</v>
      </c>
      <c r="V577" t="s">
        <v>199</v>
      </c>
      <c r="W577" t="s">
        <v>117</v>
      </c>
      <c r="X577" t="s">
        <v>62</v>
      </c>
      <c r="Y577" t="s">
        <v>62</v>
      </c>
      <c r="Z577">
        <v>4</v>
      </c>
      <c r="AA577">
        <v>10</v>
      </c>
      <c r="AB577">
        <v>15</v>
      </c>
      <c r="AC577">
        <v>0.4</v>
      </c>
      <c r="AD577" s="47">
        <v>0</v>
      </c>
      <c r="AE577" s="47">
        <v>0</v>
      </c>
      <c r="AF577" s="47">
        <v>0</v>
      </c>
      <c r="AG577" s="47">
        <v>0</v>
      </c>
      <c r="AH577" s="47">
        <v>0</v>
      </c>
      <c r="AI577" s="47">
        <v>2</v>
      </c>
      <c r="AJ577" s="47">
        <v>0</v>
      </c>
      <c r="AK577" s="47">
        <v>2</v>
      </c>
      <c r="AL577">
        <v>12</v>
      </c>
      <c r="AM577">
        <v>0.14285999999999999</v>
      </c>
      <c r="AN577">
        <v>14</v>
      </c>
      <c r="AO577">
        <v>12</v>
      </c>
      <c r="AP577">
        <v>39</v>
      </c>
      <c r="AQ577">
        <v>14</v>
      </c>
      <c r="AR577">
        <v>22</v>
      </c>
      <c r="AS577">
        <v>11</v>
      </c>
      <c r="AT577" t="s">
        <v>11200</v>
      </c>
      <c r="AU577" t="s">
        <v>11201</v>
      </c>
      <c r="AV577">
        <v>0.49299999999999999</v>
      </c>
      <c r="AW577" t="s">
        <v>65</v>
      </c>
      <c r="AX577">
        <v>61</v>
      </c>
      <c r="AY577">
        <v>25</v>
      </c>
      <c r="AZ577" t="s">
        <v>11202</v>
      </c>
      <c r="BA577">
        <v>5.4899999999999997E-2</v>
      </c>
      <c r="BB577">
        <v>-1.89E-3</v>
      </c>
      <c r="BC577">
        <v>7.3000000000000001E-3</v>
      </c>
      <c r="BD577">
        <v>-3.1E-4</v>
      </c>
      <c r="BE577">
        <v>0.13292000000000001</v>
      </c>
      <c r="BF577">
        <v>1</v>
      </c>
      <c r="BG577" t="s">
        <v>69</v>
      </c>
      <c r="BH577">
        <v>8.4000000000000005E-2</v>
      </c>
      <c r="BI577">
        <v>-0.33900000000000002</v>
      </c>
    </row>
    <row r="578" spans="3:61">
      <c r="C578">
        <v>0</v>
      </c>
      <c r="D578">
        <v>3</v>
      </c>
      <c r="E578">
        <v>5</v>
      </c>
      <c r="F578" t="s">
        <v>25021</v>
      </c>
      <c r="G578">
        <v>2306</v>
      </c>
      <c r="H578" t="s">
        <v>13367</v>
      </c>
      <c r="I578" t="s">
        <v>57</v>
      </c>
      <c r="J578">
        <v>2325854</v>
      </c>
      <c r="K578">
        <v>2326678</v>
      </c>
      <c r="L578" t="s">
        <v>13368</v>
      </c>
      <c r="M578">
        <v>275</v>
      </c>
      <c r="N578" t="s">
        <v>108</v>
      </c>
      <c r="O578">
        <v>44</v>
      </c>
      <c r="P578" t="str">
        <f>HYPERLINK("Gene2306-zp_tree_all.dnd", "Gene2306-tree")</f>
        <v>Gene2306-tree</v>
      </c>
      <c r="Q578">
        <v>5</v>
      </c>
      <c r="R578">
        <v>8</v>
      </c>
      <c r="S578">
        <v>5</v>
      </c>
      <c r="T578">
        <v>8</v>
      </c>
      <c r="U578">
        <v>0.61538000000000004</v>
      </c>
      <c r="V578" t="s">
        <v>199</v>
      </c>
      <c r="W578" t="s">
        <v>136</v>
      </c>
      <c r="X578" t="s">
        <v>62</v>
      </c>
      <c r="Y578" t="s">
        <v>62</v>
      </c>
      <c r="Z578">
        <v>3</v>
      </c>
      <c r="AA578">
        <v>8</v>
      </c>
      <c r="AB578">
        <v>6</v>
      </c>
      <c r="AC578">
        <v>0.57142999999999999</v>
      </c>
      <c r="AD578" s="47">
        <v>0</v>
      </c>
      <c r="AE578" s="47">
        <v>0</v>
      </c>
      <c r="AF578" s="47">
        <v>0</v>
      </c>
      <c r="AG578" s="47">
        <v>0</v>
      </c>
      <c r="AH578" s="47">
        <v>0</v>
      </c>
      <c r="AI578" s="47">
        <v>2</v>
      </c>
      <c r="AJ578" s="47">
        <v>2</v>
      </c>
      <c r="AK578" s="47">
        <v>4</v>
      </c>
      <c r="AL578">
        <v>5</v>
      </c>
      <c r="AM578">
        <v>0.44444</v>
      </c>
      <c r="AN578">
        <v>10</v>
      </c>
      <c r="AO578">
        <v>8</v>
      </c>
      <c r="AP578">
        <v>13</v>
      </c>
      <c r="AQ578">
        <v>7</v>
      </c>
      <c r="AR578">
        <v>16</v>
      </c>
      <c r="AS578">
        <v>7</v>
      </c>
      <c r="AT578" t="s">
        <v>13369</v>
      </c>
      <c r="AU578" t="s">
        <v>13370</v>
      </c>
      <c r="AV578">
        <v>0.33700000000000002</v>
      </c>
      <c r="AW578" t="s">
        <v>65</v>
      </c>
      <c r="AX578">
        <v>29</v>
      </c>
      <c r="AY578">
        <v>14</v>
      </c>
      <c r="AZ578" t="s">
        <v>13371</v>
      </c>
      <c r="BA578">
        <v>4.0939999999999997E-2</v>
      </c>
      <c r="BB578">
        <v>-2.2599999999999999E-3</v>
      </c>
      <c r="BC578">
        <v>4.1099999999999999E-3</v>
      </c>
      <c r="BD578">
        <v>-2.3000000000000001E-4</v>
      </c>
      <c r="BE578">
        <v>0.10047</v>
      </c>
      <c r="BF578">
        <v>1</v>
      </c>
      <c r="BG578" t="s">
        <v>69</v>
      </c>
      <c r="BH578">
        <v>0.39600000000000002</v>
      </c>
      <c r="BI578">
        <v>0.128</v>
      </c>
    </row>
    <row r="579" spans="3:61">
      <c r="C579">
        <v>0</v>
      </c>
      <c r="D579">
        <v>12</v>
      </c>
      <c r="E579">
        <v>0</v>
      </c>
      <c r="F579" t="s">
        <v>25021</v>
      </c>
      <c r="G579">
        <v>2823</v>
      </c>
      <c r="H579" t="s">
        <v>16199</v>
      </c>
      <c r="I579" t="s">
        <v>57</v>
      </c>
      <c r="J579">
        <v>2768827</v>
      </c>
      <c r="K579">
        <v>2769651</v>
      </c>
      <c r="L579" t="s">
        <v>16200</v>
      </c>
      <c r="M579">
        <v>275</v>
      </c>
      <c r="N579" t="s">
        <v>108</v>
      </c>
      <c r="O579">
        <v>44</v>
      </c>
      <c r="P579" t="str">
        <f>HYPERLINK("Gene2823-zp_tree_all.dnd", "Gene2823-tree")</f>
        <v>Gene2823-tree</v>
      </c>
      <c r="Q579">
        <v>7</v>
      </c>
      <c r="R579">
        <v>7</v>
      </c>
      <c r="S579">
        <v>7</v>
      </c>
      <c r="T579">
        <v>7</v>
      </c>
      <c r="U579">
        <v>0.5</v>
      </c>
      <c r="V579" t="s">
        <v>152</v>
      </c>
      <c r="W579" t="s">
        <v>152</v>
      </c>
      <c r="X579" t="s">
        <v>62</v>
      </c>
      <c r="Y579" t="s">
        <v>62</v>
      </c>
      <c r="Z579">
        <v>4</v>
      </c>
      <c r="AA579">
        <v>12</v>
      </c>
      <c r="AB579">
        <v>6</v>
      </c>
      <c r="AC579">
        <v>0.66666999999999998</v>
      </c>
      <c r="AD579" s="47">
        <v>0</v>
      </c>
      <c r="AE579" s="47">
        <v>0</v>
      </c>
      <c r="AF579" s="47">
        <v>0</v>
      </c>
      <c r="AG579" s="47">
        <v>1</v>
      </c>
      <c r="AH579" s="47">
        <v>0</v>
      </c>
      <c r="AI579" s="47">
        <v>7</v>
      </c>
      <c r="AJ579" s="47">
        <v>0</v>
      </c>
      <c r="AK579" s="47">
        <v>7</v>
      </c>
      <c r="AL579">
        <v>5</v>
      </c>
      <c r="AM579">
        <v>0.58333000000000002</v>
      </c>
      <c r="AN579">
        <v>13</v>
      </c>
      <c r="AO579">
        <v>9</v>
      </c>
      <c r="AP579">
        <v>33</v>
      </c>
      <c r="AQ579">
        <v>12</v>
      </c>
      <c r="AR579">
        <v>21</v>
      </c>
      <c r="AS579">
        <v>6</v>
      </c>
      <c r="AT579" t="s">
        <v>16201</v>
      </c>
      <c r="AU579" t="s">
        <v>16202</v>
      </c>
      <c r="AV579">
        <v>0.41699999999999998</v>
      </c>
      <c r="AW579" t="s">
        <v>65</v>
      </c>
      <c r="AX579">
        <v>54</v>
      </c>
      <c r="AY579">
        <v>18</v>
      </c>
      <c r="AZ579" t="s">
        <v>16203</v>
      </c>
      <c r="BA579">
        <v>5.5350000000000003E-2</v>
      </c>
      <c r="BB579">
        <v>-1.66E-3</v>
      </c>
      <c r="BC579">
        <v>4.7499999999999999E-3</v>
      </c>
      <c r="BD579">
        <v>-1.9000000000000001E-4</v>
      </c>
      <c r="BE579">
        <v>8.5819999999999994E-2</v>
      </c>
      <c r="BF579">
        <v>1</v>
      </c>
      <c r="BG579" t="s">
        <v>69</v>
      </c>
      <c r="BH579">
        <v>0.21</v>
      </c>
      <c r="BI579">
        <v>-0.61799999999999999</v>
      </c>
    </row>
    <row r="580" spans="3:61">
      <c r="C580">
        <v>0</v>
      </c>
      <c r="D580">
        <v>2</v>
      </c>
      <c r="E580">
        <v>2</v>
      </c>
      <c r="F580" t="s">
        <v>25021</v>
      </c>
      <c r="G580">
        <v>222</v>
      </c>
      <c r="H580" t="s">
        <v>1501</v>
      </c>
      <c r="I580" t="s">
        <v>62</v>
      </c>
      <c r="J580">
        <v>242837</v>
      </c>
      <c r="K580">
        <v>243661</v>
      </c>
      <c r="L580" t="s">
        <v>1502</v>
      </c>
      <c r="M580">
        <v>275</v>
      </c>
      <c r="N580" t="s">
        <v>265</v>
      </c>
      <c r="O580">
        <v>43</v>
      </c>
      <c r="P580" t="str">
        <f>HYPERLINK("Gene222-zp_tree_all.dnd", "Gene222-tree")</f>
        <v>Gene222-tree</v>
      </c>
      <c r="Q580">
        <v>7</v>
      </c>
      <c r="R580">
        <v>6</v>
      </c>
      <c r="S580">
        <v>7</v>
      </c>
      <c r="T580">
        <v>6</v>
      </c>
      <c r="U580">
        <v>0.46154000000000001</v>
      </c>
      <c r="V580" t="s">
        <v>152</v>
      </c>
      <c r="W580" t="s">
        <v>90</v>
      </c>
      <c r="X580" t="s">
        <v>62</v>
      </c>
      <c r="Y580" t="s">
        <v>62</v>
      </c>
      <c r="Z580">
        <v>2</v>
      </c>
      <c r="AA580">
        <v>4</v>
      </c>
      <c r="AB580">
        <v>8</v>
      </c>
      <c r="AC580">
        <v>0.33333000000000002</v>
      </c>
      <c r="AD580" s="47">
        <v>0</v>
      </c>
      <c r="AE580" s="47">
        <v>0</v>
      </c>
      <c r="AF580" s="47">
        <v>0</v>
      </c>
      <c r="AG580" s="47">
        <v>0</v>
      </c>
      <c r="AH580" s="47">
        <v>0</v>
      </c>
      <c r="AI580" s="47">
        <v>0</v>
      </c>
      <c r="AJ580" s="47">
        <v>2</v>
      </c>
      <c r="AK580" s="47">
        <v>2</v>
      </c>
      <c r="AL580">
        <v>8</v>
      </c>
      <c r="AM580">
        <v>0.2</v>
      </c>
      <c r="AN580">
        <v>13</v>
      </c>
      <c r="AO580">
        <v>10</v>
      </c>
      <c r="AP580">
        <v>54</v>
      </c>
      <c r="AQ580">
        <v>11</v>
      </c>
      <c r="AR580">
        <v>11</v>
      </c>
      <c r="AS580">
        <v>2</v>
      </c>
      <c r="AT580" t="s">
        <v>1503</v>
      </c>
      <c r="AU580" t="s">
        <v>1504</v>
      </c>
      <c r="AV580">
        <v>6.7000000000000004E-2</v>
      </c>
      <c r="AW580" t="s">
        <v>65</v>
      </c>
      <c r="AX580">
        <v>65</v>
      </c>
      <c r="AY580">
        <v>13</v>
      </c>
      <c r="AZ580" t="s">
        <v>1505</v>
      </c>
      <c r="BA580">
        <v>6.4329999999999998E-2</v>
      </c>
      <c r="BB580">
        <v>-2.97E-3</v>
      </c>
      <c r="BC580">
        <v>3.4399999999999999E-3</v>
      </c>
      <c r="BD580">
        <v>-2.7E-4</v>
      </c>
      <c r="BE580">
        <v>5.3429999999999998E-2</v>
      </c>
      <c r="BF580">
        <v>1</v>
      </c>
      <c r="BG580" t="s">
        <v>69</v>
      </c>
      <c r="BH580">
        <v>-1.345</v>
      </c>
      <c r="BI580">
        <v>-1.2370000000000001</v>
      </c>
    </row>
    <row r="581" spans="3:61">
      <c r="C581">
        <v>0</v>
      </c>
      <c r="D581">
        <v>0</v>
      </c>
      <c r="E581">
        <v>0</v>
      </c>
      <c r="F581" t="s">
        <v>25021</v>
      </c>
      <c r="G581">
        <v>2491</v>
      </c>
      <c r="H581" t="s">
        <v>14518</v>
      </c>
      <c r="I581" t="s">
        <v>57</v>
      </c>
      <c r="J581">
        <v>2483904</v>
      </c>
      <c r="K581">
        <v>2484728</v>
      </c>
      <c r="L581" t="s">
        <v>14519</v>
      </c>
      <c r="M581">
        <v>275</v>
      </c>
      <c r="N581" t="s">
        <v>14520</v>
      </c>
      <c r="O581">
        <v>33</v>
      </c>
      <c r="P581" t="str">
        <f>HYPERLINK("Gene2491-zp_tree_all.dnd", "Gene2491-tree")</f>
        <v>Gene2491-tree</v>
      </c>
      <c r="Q581">
        <v>5</v>
      </c>
      <c r="R581">
        <v>1</v>
      </c>
      <c r="S581">
        <v>5</v>
      </c>
      <c r="T581">
        <v>1</v>
      </c>
      <c r="U581">
        <v>0.16667000000000001</v>
      </c>
      <c r="V581" t="s">
        <v>199</v>
      </c>
      <c r="W581" t="s">
        <v>175</v>
      </c>
      <c r="X581" t="s">
        <v>62</v>
      </c>
      <c r="Y581" t="s">
        <v>62</v>
      </c>
      <c r="Z581">
        <v>0</v>
      </c>
      <c r="AA581">
        <v>0</v>
      </c>
      <c r="AB581">
        <v>1</v>
      </c>
      <c r="AC581">
        <v>0</v>
      </c>
      <c r="AD581" s="47">
        <v>0</v>
      </c>
      <c r="AE581" s="47">
        <v>0</v>
      </c>
      <c r="AF581" s="47">
        <v>0</v>
      </c>
      <c r="AG581" s="47">
        <v>0</v>
      </c>
      <c r="AH581" s="47">
        <v>0</v>
      </c>
      <c r="AI581" s="47">
        <v>0</v>
      </c>
      <c r="AJ581" s="47">
        <v>0</v>
      </c>
      <c r="AK581" s="47">
        <v>0</v>
      </c>
      <c r="AL581">
        <v>1</v>
      </c>
      <c r="AM581">
        <v>0</v>
      </c>
      <c r="AN581">
        <v>5</v>
      </c>
      <c r="AO581">
        <v>2</v>
      </c>
      <c r="AP581">
        <v>15</v>
      </c>
      <c r="AQ581">
        <v>1</v>
      </c>
      <c r="AR581">
        <v>2</v>
      </c>
      <c r="AS581">
        <v>0</v>
      </c>
      <c r="AT581" t="s">
        <v>14521</v>
      </c>
      <c r="AU581" t="s">
        <v>193</v>
      </c>
      <c r="AV581">
        <v>0.41299999999999998</v>
      </c>
      <c r="AW581" t="s">
        <v>65</v>
      </c>
      <c r="AX581">
        <v>17</v>
      </c>
      <c r="AY581">
        <v>1</v>
      </c>
      <c r="AZ581" t="s">
        <v>14522</v>
      </c>
      <c r="BA581">
        <v>3.0499999999999999E-2</v>
      </c>
      <c r="BB581">
        <v>-6.5199999999999998E-3</v>
      </c>
      <c r="BC581">
        <v>5.1999999999999995E-4</v>
      </c>
      <c r="BD581">
        <v>-1.9000000000000001E-4</v>
      </c>
      <c r="BE581">
        <v>1.7160000000000002E-2</v>
      </c>
      <c r="BF581">
        <v>1</v>
      </c>
      <c r="BG581" t="s">
        <v>69</v>
      </c>
      <c r="BH581">
        <v>0.65100000000000002</v>
      </c>
      <c r="BI581">
        <v>1.143</v>
      </c>
    </row>
    <row r="582" spans="3:61">
      <c r="C582">
        <v>0</v>
      </c>
      <c r="D582">
        <v>5</v>
      </c>
      <c r="E582">
        <v>0</v>
      </c>
      <c r="F582" t="s">
        <v>25021</v>
      </c>
      <c r="G582">
        <v>3144</v>
      </c>
      <c r="H582" t="s">
        <v>18261</v>
      </c>
      <c r="I582" t="s">
        <v>57</v>
      </c>
      <c r="J582">
        <v>3100031</v>
      </c>
      <c r="K582">
        <v>3100858</v>
      </c>
      <c r="L582" t="s">
        <v>18262</v>
      </c>
      <c r="M582">
        <v>276</v>
      </c>
      <c r="N582" t="s">
        <v>108</v>
      </c>
      <c r="O582">
        <v>44</v>
      </c>
      <c r="P582" t="str">
        <f>HYPERLINK("Gene3144-zp_tree_all.dnd", "Gene3144-tree")</f>
        <v>Gene3144-tree</v>
      </c>
      <c r="Q582">
        <v>8</v>
      </c>
      <c r="R582">
        <v>8</v>
      </c>
      <c r="S582">
        <v>8</v>
      </c>
      <c r="T582">
        <v>8</v>
      </c>
      <c r="U582">
        <v>0.5</v>
      </c>
      <c r="V582" t="s">
        <v>136</v>
      </c>
      <c r="W582" t="s">
        <v>136</v>
      </c>
      <c r="X582" t="s">
        <v>62</v>
      </c>
      <c r="Y582" t="s">
        <v>62</v>
      </c>
      <c r="Z582">
        <v>2</v>
      </c>
      <c r="AA582">
        <v>5</v>
      </c>
      <c r="AB582">
        <v>8</v>
      </c>
      <c r="AC582">
        <v>0.38462000000000002</v>
      </c>
      <c r="AD582" s="47">
        <v>0</v>
      </c>
      <c r="AE582" s="47">
        <v>0</v>
      </c>
      <c r="AF582" s="47">
        <v>0</v>
      </c>
      <c r="AG582" s="47">
        <v>0</v>
      </c>
      <c r="AH582" s="47">
        <v>0</v>
      </c>
      <c r="AI582" s="47">
        <v>2</v>
      </c>
      <c r="AJ582" s="47">
        <v>1</v>
      </c>
      <c r="AK582" s="47">
        <v>3</v>
      </c>
      <c r="AL582">
        <v>7</v>
      </c>
      <c r="AM582">
        <v>0.3</v>
      </c>
      <c r="AN582">
        <v>13</v>
      </c>
      <c r="AO582">
        <v>10</v>
      </c>
      <c r="AP582">
        <v>23</v>
      </c>
      <c r="AQ582">
        <v>7</v>
      </c>
      <c r="AR582">
        <v>17</v>
      </c>
      <c r="AS582">
        <v>6</v>
      </c>
      <c r="AT582" t="s">
        <v>18263</v>
      </c>
      <c r="AU582" t="s">
        <v>18264</v>
      </c>
      <c r="AV582">
        <v>0.15</v>
      </c>
      <c r="AW582" t="s">
        <v>65</v>
      </c>
      <c r="AX582">
        <v>40</v>
      </c>
      <c r="AY582">
        <v>13</v>
      </c>
      <c r="AZ582" t="s">
        <v>18265</v>
      </c>
      <c r="BA582">
        <v>3.3340000000000002E-2</v>
      </c>
      <c r="BB582">
        <v>-1.32E-3</v>
      </c>
      <c r="BC582">
        <v>3.5999999999999999E-3</v>
      </c>
      <c r="BD582">
        <v>-2.0000000000000001E-4</v>
      </c>
      <c r="BE582">
        <v>0.10789</v>
      </c>
      <c r="BF582">
        <v>1</v>
      </c>
      <c r="BG582" t="s">
        <v>69</v>
      </c>
      <c r="BH582">
        <v>-1.022</v>
      </c>
      <c r="BI582">
        <v>-1.135</v>
      </c>
    </row>
    <row r="583" spans="3:61">
      <c r="C583">
        <v>0</v>
      </c>
      <c r="D583">
        <v>15</v>
      </c>
      <c r="E583">
        <v>0</v>
      </c>
      <c r="F583" t="s">
        <v>25021</v>
      </c>
      <c r="G583">
        <v>3768</v>
      </c>
      <c r="H583" t="s">
        <v>22084</v>
      </c>
      <c r="I583" t="s">
        <v>57</v>
      </c>
      <c r="J583">
        <v>3742384</v>
      </c>
      <c r="K583">
        <v>3743217</v>
      </c>
      <c r="L583" t="s">
        <v>22085</v>
      </c>
      <c r="M583">
        <v>278</v>
      </c>
      <c r="N583" t="s">
        <v>108</v>
      </c>
      <c r="O583">
        <v>44</v>
      </c>
      <c r="P583" t="str">
        <f>HYPERLINK("Gene3768-zp_tree_all.dnd", "Gene3768-tree")</f>
        <v>Gene3768-tree</v>
      </c>
      <c r="Q583">
        <v>1</v>
      </c>
      <c r="R583">
        <v>11</v>
      </c>
      <c r="S583">
        <v>1</v>
      </c>
      <c r="T583">
        <v>11</v>
      </c>
      <c r="U583">
        <v>0.91666999999999998</v>
      </c>
      <c r="V583" t="s">
        <v>175</v>
      </c>
      <c r="W583" t="s">
        <v>73</v>
      </c>
      <c r="X583">
        <v>1144612630.289</v>
      </c>
      <c r="Y583" t="s">
        <v>267</v>
      </c>
      <c r="Z583">
        <v>7</v>
      </c>
      <c r="AA583">
        <v>15</v>
      </c>
      <c r="AB583">
        <v>17</v>
      </c>
      <c r="AC583">
        <v>0.46875</v>
      </c>
      <c r="AD583" s="47">
        <v>0</v>
      </c>
      <c r="AE583" s="47">
        <v>0</v>
      </c>
      <c r="AF583" s="47">
        <v>0</v>
      </c>
      <c r="AG583" s="47">
        <v>0</v>
      </c>
      <c r="AH583" s="47">
        <v>0</v>
      </c>
      <c r="AI583" s="47">
        <v>2</v>
      </c>
      <c r="AJ583" s="47">
        <v>0</v>
      </c>
      <c r="AK583" s="47">
        <v>2</v>
      </c>
      <c r="AL583">
        <v>15</v>
      </c>
      <c r="AM583">
        <v>0.11765</v>
      </c>
      <c r="AN583">
        <v>12</v>
      </c>
      <c r="AO583">
        <v>8</v>
      </c>
      <c r="AP583">
        <v>28</v>
      </c>
      <c r="AQ583">
        <v>17</v>
      </c>
      <c r="AR583">
        <v>18</v>
      </c>
      <c r="AS583">
        <v>16</v>
      </c>
      <c r="AT583" t="s">
        <v>22086</v>
      </c>
      <c r="AU583" t="s">
        <v>22087</v>
      </c>
      <c r="AV583">
        <v>0.50700000000000001</v>
      </c>
      <c r="AW583" t="s">
        <v>65</v>
      </c>
      <c r="AX583">
        <v>46</v>
      </c>
      <c r="AY583">
        <v>33</v>
      </c>
      <c r="AZ583" t="s">
        <v>22088</v>
      </c>
      <c r="BA583">
        <v>5.5329999999999997E-2</v>
      </c>
      <c r="BB583">
        <v>-3.0500000000000002E-3</v>
      </c>
      <c r="BC583">
        <v>1.285E-2</v>
      </c>
      <c r="BD583">
        <v>-7.5000000000000002E-4</v>
      </c>
      <c r="BE583">
        <v>0.23235</v>
      </c>
      <c r="BF583">
        <v>1</v>
      </c>
      <c r="BG583" t="s">
        <v>69</v>
      </c>
      <c r="BH583">
        <v>0.151</v>
      </c>
      <c r="BI583">
        <v>-0.52700000000000002</v>
      </c>
    </row>
    <row r="584" spans="3:61">
      <c r="C584">
        <v>0</v>
      </c>
      <c r="D584">
        <v>4</v>
      </c>
      <c r="E584">
        <v>0</v>
      </c>
      <c r="F584" t="s">
        <v>25021</v>
      </c>
      <c r="G584">
        <v>2480</v>
      </c>
      <c r="H584" t="s">
        <v>14459</v>
      </c>
      <c r="I584" t="s">
        <v>57</v>
      </c>
      <c r="J584">
        <v>2473151</v>
      </c>
      <c r="K584">
        <v>2473984</v>
      </c>
      <c r="L584" t="s">
        <v>14460</v>
      </c>
      <c r="M584">
        <v>278</v>
      </c>
      <c r="N584" t="s">
        <v>108</v>
      </c>
      <c r="O584">
        <v>44</v>
      </c>
      <c r="P584" t="str">
        <f>HYPERLINK("Gene2480-zp_tree_all.dnd", "Gene2480-tree")</f>
        <v>Gene2480-tree</v>
      </c>
      <c r="Q584">
        <v>8</v>
      </c>
      <c r="R584">
        <v>5</v>
      </c>
      <c r="S584">
        <v>8</v>
      </c>
      <c r="T584">
        <v>5</v>
      </c>
      <c r="U584">
        <v>0.38462000000000002</v>
      </c>
      <c r="V584" t="s">
        <v>136</v>
      </c>
      <c r="W584" t="s">
        <v>199</v>
      </c>
      <c r="X584" t="s">
        <v>62</v>
      </c>
      <c r="Y584" t="s">
        <v>62</v>
      </c>
      <c r="Z584">
        <v>2</v>
      </c>
      <c r="AA584">
        <v>4</v>
      </c>
      <c r="AB584">
        <v>9</v>
      </c>
      <c r="AC584">
        <v>0.30769000000000002</v>
      </c>
      <c r="AD584" s="47">
        <v>0</v>
      </c>
      <c r="AE584" s="47">
        <v>0</v>
      </c>
      <c r="AF584" s="47">
        <v>0</v>
      </c>
      <c r="AG584" s="47">
        <v>1</v>
      </c>
      <c r="AH584" s="47">
        <v>0</v>
      </c>
      <c r="AI584" s="47">
        <v>0</v>
      </c>
      <c r="AJ584" s="47">
        <v>0</v>
      </c>
      <c r="AK584" s="47">
        <v>0</v>
      </c>
      <c r="AL584">
        <v>10</v>
      </c>
      <c r="AM584">
        <v>0</v>
      </c>
      <c r="AN584">
        <v>9</v>
      </c>
      <c r="AO584">
        <v>8</v>
      </c>
      <c r="AP584">
        <v>14</v>
      </c>
      <c r="AQ584">
        <v>10</v>
      </c>
      <c r="AR584">
        <v>12</v>
      </c>
      <c r="AS584">
        <v>3</v>
      </c>
      <c r="AT584" t="s">
        <v>14461</v>
      </c>
      <c r="AU584" t="s">
        <v>14462</v>
      </c>
      <c r="AV584">
        <v>0.65700000000000003</v>
      </c>
      <c r="AW584" t="s">
        <v>65</v>
      </c>
      <c r="AX584">
        <v>26</v>
      </c>
      <c r="AY584">
        <v>13</v>
      </c>
      <c r="AZ584" t="s">
        <v>14463</v>
      </c>
      <c r="BA584">
        <v>3.0689999999999999E-2</v>
      </c>
      <c r="BB584">
        <v>-1.64E-3</v>
      </c>
      <c r="BC584">
        <v>3.5799999999999998E-3</v>
      </c>
      <c r="BD584">
        <v>-2.9999999999999997E-4</v>
      </c>
      <c r="BE584">
        <v>0.11656</v>
      </c>
      <c r="BF584">
        <v>1</v>
      </c>
      <c r="BG584" t="s">
        <v>69</v>
      </c>
      <c r="BH584">
        <v>-1.0649999999999999</v>
      </c>
      <c r="BI584">
        <v>-0.92300000000000004</v>
      </c>
    </row>
    <row r="585" spans="3:61">
      <c r="C585">
        <v>0</v>
      </c>
      <c r="D585">
        <v>0</v>
      </c>
      <c r="E585">
        <v>2</v>
      </c>
      <c r="F585" t="s">
        <v>25021</v>
      </c>
      <c r="G585">
        <v>2504</v>
      </c>
      <c r="H585" t="s">
        <v>14604</v>
      </c>
      <c r="I585" t="s">
        <v>57</v>
      </c>
      <c r="J585">
        <v>2495898</v>
      </c>
      <c r="K585">
        <v>2496731</v>
      </c>
      <c r="L585" t="s">
        <v>14605</v>
      </c>
      <c r="M585">
        <v>278</v>
      </c>
      <c r="N585" t="s">
        <v>14606</v>
      </c>
      <c r="O585">
        <v>42</v>
      </c>
      <c r="P585" t="str">
        <f>HYPERLINK("Gene2504-zp_tree_all.dnd", "Gene2504-tree")</f>
        <v>Gene2504-tree</v>
      </c>
      <c r="Q585">
        <v>5</v>
      </c>
      <c r="R585">
        <v>8</v>
      </c>
      <c r="S585">
        <v>5</v>
      </c>
      <c r="T585">
        <v>8</v>
      </c>
      <c r="U585">
        <v>0.61538000000000004</v>
      </c>
      <c r="V585" t="s">
        <v>199</v>
      </c>
      <c r="W585" t="s">
        <v>136</v>
      </c>
      <c r="X585" t="s">
        <v>62</v>
      </c>
      <c r="Y585" t="s">
        <v>62</v>
      </c>
      <c r="Z585">
        <v>1</v>
      </c>
      <c r="AA585">
        <v>2</v>
      </c>
      <c r="AB585">
        <v>10</v>
      </c>
      <c r="AC585">
        <v>0.16667000000000001</v>
      </c>
      <c r="AD585" s="47">
        <v>0</v>
      </c>
      <c r="AE585" s="47">
        <v>0</v>
      </c>
      <c r="AF585" s="47">
        <v>0</v>
      </c>
      <c r="AG585" s="47">
        <v>0</v>
      </c>
      <c r="AH585" s="47">
        <v>0</v>
      </c>
      <c r="AI585" s="47">
        <v>0</v>
      </c>
      <c r="AJ585" s="47">
        <v>2</v>
      </c>
      <c r="AK585" s="47">
        <v>2</v>
      </c>
      <c r="AL585">
        <v>10</v>
      </c>
      <c r="AM585">
        <v>0.16667000000000001</v>
      </c>
      <c r="AN585">
        <v>11</v>
      </c>
      <c r="AO585">
        <v>9</v>
      </c>
      <c r="AP585">
        <v>28</v>
      </c>
      <c r="AQ585">
        <v>9</v>
      </c>
      <c r="AR585">
        <v>33</v>
      </c>
      <c r="AS585">
        <v>3</v>
      </c>
      <c r="AT585" t="s">
        <v>14607</v>
      </c>
      <c r="AU585" t="s">
        <v>14608</v>
      </c>
      <c r="AV585">
        <v>0.80300000000000005</v>
      </c>
      <c r="AW585" t="s">
        <v>65</v>
      </c>
      <c r="AX585">
        <v>61</v>
      </c>
      <c r="AY585">
        <v>12</v>
      </c>
      <c r="AZ585" t="s">
        <v>14609</v>
      </c>
      <c r="BA585">
        <v>7.1190000000000003E-2</v>
      </c>
      <c r="BB585">
        <v>-2.65E-3</v>
      </c>
      <c r="BC585">
        <v>3.4499999999999999E-3</v>
      </c>
      <c r="BD585">
        <v>-3.1E-4</v>
      </c>
      <c r="BE585">
        <v>4.8489999999999998E-2</v>
      </c>
      <c r="BF585">
        <v>1</v>
      </c>
      <c r="BG585" t="s">
        <v>69</v>
      </c>
      <c r="BH585">
        <v>-0.224</v>
      </c>
      <c r="BI585">
        <v>-0.26400000000000001</v>
      </c>
    </row>
    <row r="586" spans="3:61">
      <c r="C586">
        <v>0</v>
      </c>
      <c r="D586">
        <v>15</v>
      </c>
      <c r="E586">
        <v>1</v>
      </c>
      <c r="F586" t="s">
        <v>25021</v>
      </c>
      <c r="G586">
        <v>4216</v>
      </c>
      <c r="H586" t="s">
        <v>24780</v>
      </c>
      <c r="I586" t="s">
        <v>57</v>
      </c>
      <c r="J586">
        <v>4178291</v>
      </c>
      <c r="K586">
        <v>4179127</v>
      </c>
      <c r="L586" t="s">
        <v>288</v>
      </c>
      <c r="M586">
        <v>279</v>
      </c>
      <c r="N586" t="s">
        <v>5904</v>
      </c>
      <c r="O586">
        <v>42</v>
      </c>
      <c r="P586" t="str">
        <f>HYPERLINK("Gene4216-zp_tree_all.dnd", "Gene4216-tree")</f>
        <v>Gene4216-tree</v>
      </c>
      <c r="Q586">
        <v>5</v>
      </c>
      <c r="R586">
        <v>8</v>
      </c>
      <c r="S586">
        <v>5</v>
      </c>
      <c r="T586">
        <v>8</v>
      </c>
      <c r="U586">
        <v>0.61538000000000004</v>
      </c>
      <c r="V586" t="s">
        <v>199</v>
      </c>
      <c r="W586" t="s">
        <v>136</v>
      </c>
      <c r="X586" t="s">
        <v>62</v>
      </c>
      <c r="Y586" t="s">
        <v>62</v>
      </c>
      <c r="Z586">
        <v>6</v>
      </c>
      <c r="AA586">
        <v>16</v>
      </c>
      <c r="AB586">
        <v>17</v>
      </c>
      <c r="AC586">
        <v>0.48485</v>
      </c>
      <c r="AD586" s="47">
        <v>0</v>
      </c>
      <c r="AE586" s="47">
        <v>0</v>
      </c>
      <c r="AF586" s="47">
        <v>0</v>
      </c>
      <c r="AG586" s="47">
        <v>0</v>
      </c>
      <c r="AH586" s="47">
        <v>0</v>
      </c>
      <c r="AI586" s="47">
        <v>7</v>
      </c>
      <c r="AJ586" s="47">
        <v>0</v>
      </c>
      <c r="AK586" s="47">
        <v>7</v>
      </c>
      <c r="AL586">
        <v>15</v>
      </c>
      <c r="AM586">
        <v>0.31818000000000002</v>
      </c>
      <c r="AN586">
        <v>11</v>
      </c>
      <c r="AO586">
        <v>8</v>
      </c>
      <c r="AP586">
        <v>23</v>
      </c>
      <c r="AQ586">
        <v>22</v>
      </c>
      <c r="AR586">
        <v>14</v>
      </c>
      <c r="AS586">
        <v>11</v>
      </c>
      <c r="AT586" t="s">
        <v>24781</v>
      </c>
      <c r="AU586" t="s">
        <v>24782</v>
      </c>
      <c r="AV586">
        <v>0.224</v>
      </c>
      <c r="AW586" t="s">
        <v>65</v>
      </c>
      <c r="AX586">
        <v>37</v>
      </c>
      <c r="AY586">
        <v>33</v>
      </c>
      <c r="AZ586" t="s">
        <v>24783</v>
      </c>
      <c r="BA586">
        <v>4.403E-2</v>
      </c>
      <c r="BB586">
        <v>-2.4499999999999999E-3</v>
      </c>
      <c r="BC586">
        <v>9.2200000000000008E-3</v>
      </c>
      <c r="BD586">
        <v>-5.1999999999999995E-4</v>
      </c>
      <c r="BE586">
        <v>0.20946000000000001</v>
      </c>
      <c r="BF586">
        <v>1</v>
      </c>
      <c r="BG586" t="s">
        <v>69</v>
      </c>
      <c r="BH586">
        <v>-0.38500000000000001</v>
      </c>
      <c r="BI586">
        <v>-9.6000000000000002E-2</v>
      </c>
    </row>
    <row r="587" spans="3:61">
      <c r="C587">
        <v>0</v>
      </c>
      <c r="D587">
        <v>8</v>
      </c>
      <c r="E587">
        <v>0</v>
      </c>
      <c r="F587" t="s">
        <v>25021</v>
      </c>
      <c r="G587">
        <v>3421</v>
      </c>
      <c r="H587" t="s">
        <v>20014</v>
      </c>
      <c r="I587" t="s">
        <v>57</v>
      </c>
      <c r="J587">
        <v>3382633</v>
      </c>
      <c r="K587">
        <v>3383472</v>
      </c>
      <c r="L587" t="s">
        <v>20015</v>
      </c>
      <c r="M587">
        <v>280</v>
      </c>
      <c r="N587" t="s">
        <v>2078</v>
      </c>
      <c r="O587">
        <v>36</v>
      </c>
      <c r="P587" t="str">
        <f>HYPERLINK("Gene3421-zp_tree_all.dnd", "Gene3421-tree")</f>
        <v>Gene3421-tree</v>
      </c>
      <c r="Q587">
        <v>6</v>
      </c>
      <c r="R587">
        <v>5</v>
      </c>
      <c r="S587">
        <v>6</v>
      </c>
      <c r="T587">
        <v>5</v>
      </c>
      <c r="U587">
        <v>0.45455000000000001</v>
      </c>
      <c r="V587" t="s">
        <v>90</v>
      </c>
      <c r="W587" t="s">
        <v>199</v>
      </c>
      <c r="X587" t="s">
        <v>62</v>
      </c>
      <c r="Y587" t="s">
        <v>62</v>
      </c>
      <c r="Z587">
        <v>3</v>
      </c>
      <c r="AA587">
        <v>8</v>
      </c>
      <c r="AB587">
        <v>9</v>
      </c>
      <c r="AC587">
        <v>0.47059000000000001</v>
      </c>
      <c r="AD587" s="47">
        <v>0</v>
      </c>
      <c r="AE587" s="47">
        <v>0</v>
      </c>
      <c r="AF587" s="47">
        <v>0</v>
      </c>
      <c r="AG587" s="47">
        <v>0</v>
      </c>
      <c r="AH587" s="47">
        <v>0</v>
      </c>
      <c r="AI587" s="47">
        <v>2</v>
      </c>
      <c r="AJ587" s="47">
        <v>2</v>
      </c>
      <c r="AK587" s="47">
        <v>4</v>
      </c>
      <c r="AL587">
        <v>8</v>
      </c>
      <c r="AM587">
        <v>0.33333000000000002</v>
      </c>
      <c r="AN587">
        <v>10</v>
      </c>
      <c r="AO587">
        <v>8</v>
      </c>
      <c r="AP587">
        <v>25</v>
      </c>
      <c r="AQ587">
        <v>12</v>
      </c>
      <c r="AR587">
        <v>18</v>
      </c>
      <c r="AS587">
        <v>5</v>
      </c>
      <c r="AT587" t="s">
        <v>20016</v>
      </c>
      <c r="AU587" t="s">
        <v>20017</v>
      </c>
      <c r="AV587">
        <v>0.58599999999999997</v>
      </c>
      <c r="AW587" t="s">
        <v>65</v>
      </c>
      <c r="AX587">
        <v>43</v>
      </c>
      <c r="AY587">
        <v>17</v>
      </c>
      <c r="AZ587" t="s">
        <v>20018</v>
      </c>
      <c r="BA587">
        <v>4.5960000000000001E-2</v>
      </c>
      <c r="BB587">
        <v>-2.1199999999999999E-3</v>
      </c>
      <c r="BC587">
        <v>5.2399999999999999E-3</v>
      </c>
      <c r="BD587">
        <v>-3.8000000000000002E-4</v>
      </c>
      <c r="BE587">
        <v>0.11408</v>
      </c>
      <c r="BF587">
        <v>1</v>
      </c>
      <c r="BG587" t="s">
        <v>69</v>
      </c>
      <c r="BH587">
        <v>-0.39800000000000002</v>
      </c>
      <c r="BI587">
        <v>-0.98899999999999999</v>
      </c>
    </row>
    <row r="588" spans="3:61">
      <c r="C588">
        <v>0</v>
      </c>
      <c r="D588">
        <v>9</v>
      </c>
      <c r="E588">
        <v>0</v>
      </c>
      <c r="F588" t="s">
        <v>25021</v>
      </c>
      <c r="G588">
        <v>3979</v>
      </c>
      <c r="H588" t="s">
        <v>23387</v>
      </c>
      <c r="I588" t="s">
        <v>57</v>
      </c>
      <c r="J588">
        <v>3943667</v>
      </c>
      <c r="K588">
        <v>3944506</v>
      </c>
      <c r="L588" t="s">
        <v>23388</v>
      </c>
      <c r="M588">
        <v>280</v>
      </c>
      <c r="N588" t="s">
        <v>698</v>
      </c>
      <c r="O588">
        <v>47</v>
      </c>
      <c r="P588" t="str">
        <f>HYPERLINK("Gene3979-zp_tree_all.dnd", "Gene3979-tree")</f>
        <v>Gene3979-tree</v>
      </c>
      <c r="Q588">
        <v>12</v>
      </c>
      <c r="R588">
        <v>6</v>
      </c>
      <c r="S588">
        <v>12</v>
      </c>
      <c r="T588">
        <v>6</v>
      </c>
      <c r="U588">
        <v>0.33333000000000002</v>
      </c>
      <c r="V588" t="s">
        <v>109</v>
      </c>
      <c r="W588" t="s">
        <v>90</v>
      </c>
      <c r="X588" t="s">
        <v>62</v>
      </c>
      <c r="Y588" t="s">
        <v>62</v>
      </c>
      <c r="Z588">
        <v>2</v>
      </c>
      <c r="AA588">
        <v>9</v>
      </c>
      <c r="AB588">
        <v>10</v>
      </c>
      <c r="AC588">
        <v>0.47367999999999999</v>
      </c>
      <c r="AD588" s="47">
        <v>0</v>
      </c>
      <c r="AE588" s="47">
        <v>0</v>
      </c>
      <c r="AF588" s="47">
        <v>0</v>
      </c>
      <c r="AG588" s="47">
        <v>1</v>
      </c>
      <c r="AH588" s="47">
        <v>0</v>
      </c>
      <c r="AI588" s="47">
        <v>4</v>
      </c>
      <c r="AJ588" s="47">
        <v>0</v>
      </c>
      <c r="AK588" s="47">
        <v>4</v>
      </c>
      <c r="AL588">
        <v>3</v>
      </c>
      <c r="AM588">
        <v>0.57142999999999999</v>
      </c>
      <c r="AN588">
        <v>15</v>
      </c>
      <c r="AO588">
        <v>9</v>
      </c>
      <c r="AP588">
        <v>28</v>
      </c>
      <c r="AQ588">
        <v>7</v>
      </c>
      <c r="AR588">
        <v>44</v>
      </c>
      <c r="AS588">
        <v>12</v>
      </c>
      <c r="AT588" t="s">
        <v>23389</v>
      </c>
      <c r="AU588" t="s">
        <v>23390</v>
      </c>
      <c r="AV588">
        <v>1.7000000000000001E-2</v>
      </c>
      <c r="AW588" t="s">
        <v>65</v>
      </c>
      <c r="AX588">
        <v>72</v>
      </c>
      <c r="AY588">
        <v>19</v>
      </c>
      <c r="AZ588" t="s">
        <v>23391</v>
      </c>
      <c r="BA588">
        <v>9.4399999999999998E-2</v>
      </c>
      <c r="BB588">
        <v>-7.1900000000000002E-3</v>
      </c>
      <c r="BC588">
        <v>5.2900000000000004E-3</v>
      </c>
      <c r="BD588">
        <v>-3.5E-4</v>
      </c>
      <c r="BE588">
        <v>5.604E-2</v>
      </c>
      <c r="BF588">
        <v>1</v>
      </c>
      <c r="BG588" t="s">
        <v>69</v>
      </c>
      <c r="BH588">
        <v>-1.2929999999999999</v>
      </c>
      <c r="BI588">
        <v>0.44700000000000001</v>
      </c>
    </row>
    <row r="589" spans="3:61">
      <c r="C589">
        <v>0</v>
      </c>
      <c r="D589">
        <v>0</v>
      </c>
      <c r="E589">
        <v>0</v>
      </c>
      <c r="F589" t="s">
        <v>25021</v>
      </c>
      <c r="G589">
        <v>828</v>
      </c>
      <c r="H589" t="s">
        <v>5158</v>
      </c>
      <c r="I589" t="s">
        <v>62</v>
      </c>
      <c r="J589">
        <v>867167</v>
      </c>
      <c r="K589">
        <v>868006</v>
      </c>
      <c r="L589" t="s">
        <v>5159</v>
      </c>
      <c r="M589">
        <v>280</v>
      </c>
      <c r="N589" t="s">
        <v>5160</v>
      </c>
      <c r="O589">
        <v>45</v>
      </c>
      <c r="P589" t="str">
        <f>HYPERLINK("Gene828-zp_tree_all.dnd", "Gene828-tree")</f>
        <v>Gene828-tree</v>
      </c>
      <c r="Q589">
        <v>10</v>
      </c>
      <c r="R589">
        <v>7</v>
      </c>
      <c r="S589">
        <v>10</v>
      </c>
      <c r="T589">
        <v>7</v>
      </c>
      <c r="U589">
        <v>0.41176000000000001</v>
      </c>
      <c r="V589" t="s">
        <v>117</v>
      </c>
      <c r="W589" t="s">
        <v>152</v>
      </c>
      <c r="X589" t="s">
        <v>62</v>
      </c>
      <c r="Y589" t="s">
        <v>62</v>
      </c>
      <c r="Z589">
        <v>0</v>
      </c>
      <c r="AA589">
        <v>0</v>
      </c>
      <c r="AB589">
        <v>14</v>
      </c>
      <c r="AC589">
        <v>0</v>
      </c>
      <c r="AD589" s="47">
        <v>0</v>
      </c>
      <c r="AE589" s="47">
        <v>0</v>
      </c>
      <c r="AF589" s="47">
        <v>0</v>
      </c>
      <c r="AG589" s="47">
        <v>0</v>
      </c>
      <c r="AH589" s="47">
        <v>0</v>
      </c>
      <c r="AI589" s="47">
        <v>0</v>
      </c>
      <c r="AJ589" s="47">
        <v>0</v>
      </c>
      <c r="AK589" s="47">
        <v>0</v>
      </c>
      <c r="AL589">
        <v>11</v>
      </c>
      <c r="AM589">
        <v>0</v>
      </c>
      <c r="AN589">
        <v>12</v>
      </c>
      <c r="AO589">
        <v>8</v>
      </c>
      <c r="AP589">
        <v>36</v>
      </c>
      <c r="AQ589">
        <v>11</v>
      </c>
      <c r="AR589">
        <v>45</v>
      </c>
      <c r="AS589">
        <v>3</v>
      </c>
      <c r="AT589" t="s">
        <v>5161</v>
      </c>
      <c r="AU589" t="s">
        <v>5162</v>
      </c>
      <c r="AV589">
        <v>0.91</v>
      </c>
      <c r="AW589" t="s">
        <v>65</v>
      </c>
      <c r="AX589">
        <v>81</v>
      </c>
      <c r="AY589">
        <v>14</v>
      </c>
      <c r="AZ589" t="s">
        <v>5163</v>
      </c>
      <c r="BA589">
        <v>8.3790000000000003E-2</v>
      </c>
      <c r="BB589">
        <v>-8.1099999999999992E-3</v>
      </c>
      <c r="BC589">
        <v>3.15E-3</v>
      </c>
      <c r="BD589">
        <v>-1.8000000000000001E-4</v>
      </c>
      <c r="BE589">
        <v>3.7609999999999998E-2</v>
      </c>
      <c r="BF589">
        <v>1</v>
      </c>
      <c r="BG589" t="s">
        <v>69</v>
      </c>
      <c r="BH589">
        <v>-1.899</v>
      </c>
      <c r="BI589">
        <v>-0.79800000000000004</v>
      </c>
    </row>
    <row r="590" spans="3:61">
      <c r="C590">
        <v>0</v>
      </c>
      <c r="D590">
        <v>0</v>
      </c>
      <c r="E590">
        <v>0</v>
      </c>
      <c r="F590" t="s">
        <v>25021</v>
      </c>
      <c r="G590">
        <v>3021</v>
      </c>
      <c r="H590" t="s">
        <v>17459</v>
      </c>
      <c r="I590" t="s">
        <v>57</v>
      </c>
      <c r="J590">
        <v>2970038</v>
      </c>
      <c r="K590">
        <v>2970877</v>
      </c>
      <c r="L590" t="s">
        <v>17460</v>
      </c>
      <c r="M590">
        <v>280</v>
      </c>
      <c r="N590" t="s">
        <v>108</v>
      </c>
      <c r="O590">
        <v>44</v>
      </c>
      <c r="P590" t="str">
        <f>HYPERLINK("Gene3021-zp_tree_all.dnd", "Gene3021-tree")</f>
        <v>Gene3021-tree</v>
      </c>
      <c r="Q590">
        <v>8</v>
      </c>
      <c r="R590">
        <v>4</v>
      </c>
      <c r="S590">
        <v>8</v>
      </c>
      <c r="T590">
        <v>4</v>
      </c>
      <c r="U590">
        <v>0.33333000000000002</v>
      </c>
      <c r="V590" t="s">
        <v>136</v>
      </c>
      <c r="W590" t="s">
        <v>61</v>
      </c>
      <c r="X590" t="s">
        <v>62</v>
      </c>
      <c r="Y590" t="s">
        <v>62</v>
      </c>
      <c r="Z590">
        <v>0</v>
      </c>
      <c r="AA590">
        <v>0</v>
      </c>
      <c r="AB590">
        <v>6</v>
      </c>
      <c r="AC590">
        <v>0</v>
      </c>
      <c r="AD590" s="47">
        <v>0</v>
      </c>
      <c r="AE590" s="47">
        <v>0</v>
      </c>
      <c r="AF590" s="47">
        <v>0</v>
      </c>
      <c r="AG590" s="47">
        <v>0</v>
      </c>
      <c r="AH590" s="47">
        <v>0</v>
      </c>
      <c r="AI590" s="47">
        <v>0</v>
      </c>
      <c r="AJ590" s="47">
        <v>0</v>
      </c>
      <c r="AK590" s="47">
        <v>0</v>
      </c>
      <c r="AL590">
        <v>6</v>
      </c>
      <c r="AM590">
        <v>0</v>
      </c>
      <c r="AN590">
        <v>9</v>
      </c>
      <c r="AO590">
        <v>7</v>
      </c>
      <c r="AP590">
        <v>25</v>
      </c>
      <c r="AQ590">
        <v>6</v>
      </c>
      <c r="AR590">
        <v>17</v>
      </c>
      <c r="AS590">
        <v>0</v>
      </c>
      <c r="AT590" t="s">
        <v>17461</v>
      </c>
      <c r="AU590" t="s">
        <v>193</v>
      </c>
      <c r="AV590">
        <v>1.246</v>
      </c>
      <c r="AW590" t="s">
        <v>65</v>
      </c>
      <c r="AX590">
        <v>42</v>
      </c>
      <c r="AY590">
        <v>6</v>
      </c>
      <c r="AZ590" t="s">
        <v>17462</v>
      </c>
      <c r="BA590">
        <v>5.5579999999999997E-2</v>
      </c>
      <c r="BB590">
        <v>-3.5799999999999998E-3</v>
      </c>
      <c r="BC590">
        <v>1.5299999999999999E-3</v>
      </c>
      <c r="BD590">
        <v>-1.9000000000000001E-4</v>
      </c>
      <c r="BE590">
        <v>2.76E-2</v>
      </c>
      <c r="BF590">
        <v>1</v>
      </c>
      <c r="BG590" t="s">
        <v>69</v>
      </c>
      <c r="BH590">
        <v>-1.091</v>
      </c>
      <c r="BI590">
        <v>-1.8979999999999999</v>
      </c>
    </row>
    <row r="591" spans="3:61">
      <c r="C591">
        <v>0</v>
      </c>
      <c r="D591">
        <v>0</v>
      </c>
      <c r="E591">
        <v>0</v>
      </c>
      <c r="F591" t="s">
        <v>25021</v>
      </c>
      <c r="G591">
        <v>2013</v>
      </c>
      <c r="H591" t="s">
        <v>12520</v>
      </c>
      <c r="I591" t="s">
        <v>57</v>
      </c>
      <c r="J591">
        <v>2104056</v>
      </c>
      <c r="K591">
        <v>2104898</v>
      </c>
      <c r="L591" t="s">
        <v>12521</v>
      </c>
      <c r="M591">
        <v>281</v>
      </c>
      <c r="N591" t="s">
        <v>108</v>
      </c>
      <c r="O591">
        <v>44</v>
      </c>
      <c r="P591" t="str">
        <f>HYPERLINK("Gene2013-zp_tree_all.dnd", "Gene2013-tree")</f>
        <v>Gene2013-tree</v>
      </c>
      <c r="Q591">
        <v>10</v>
      </c>
      <c r="R591">
        <v>20</v>
      </c>
      <c r="S591">
        <v>10</v>
      </c>
      <c r="T591">
        <v>3</v>
      </c>
      <c r="U591">
        <v>0.23077</v>
      </c>
      <c r="V591" t="s">
        <v>117</v>
      </c>
      <c r="W591" t="s">
        <v>11261</v>
      </c>
      <c r="X591">
        <v>6.27</v>
      </c>
      <c r="Y591" t="s">
        <v>65</v>
      </c>
      <c r="Z591">
        <v>0</v>
      </c>
      <c r="AA591">
        <v>0</v>
      </c>
      <c r="AB591">
        <v>5</v>
      </c>
      <c r="AC591">
        <v>0</v>
      </c>
      <c r="AD591" s="47">
        <v>0</v>
      </c>
      <c r="AE591" s="47">
        <v>0</v>
      </c>
      <c r="AF591" s="47">
        <v>0</v>
      </c>
      <c r="AG591" s="47">
        <v>1</v>
      </c>
      <c r="AH591" s="47">
        <v>0</v>
      </c>
      <c r="AI591" s="47">
        <v>0</v>
      </c>
      <c r="AJ591" s="47">
        <v>0</v>
      </c>
      <c r="AK591" s="47">
        <v>0</v>
      </c>
      <c r="AL591">
        <v>4</v>
      </c>
      <c r="AM591">
        <v>0</v>
      </c>
      <c r="AN591">
        <v>11</v>
      </c>
      <c r="AO591">
        <v>8</v>
      </c>
      <c r="AP591">
        <v>24</v>
      </c>
      <c r="AQ591">
        <v>4</v>
      </c>
      <c r="AR591">
        <v>14</v>
      </c>
      <c r="AS591">
        <v>1</v>
      </c>
      <c r="AT591" t="s">
        <v>12522</v>
      </c>
      <c r="AU591" t="s">
        <v>12523</v>
      </c>
      <c r="AV591">
        <v>0.37</v>
      </c>
      <c r="AW591" t="s">
        <v>65</v>
      </c>
      <c r="AX591">
        <v>38</v>
      </c>
      <c r="AY591">
        <v>5</v>
      </c>
      <c r="AZ591" t="s">
        <v>12524</v>
      </c>
      <c r="BA591">
        <v>5.2060000000000002E-2</v>
      </c>
      <c r="BB591">
        <v>-2.3900000000000002E-3</v>
      </c>
      <c r="BC591">
        <v>1.3699999999999999E-3</v>
      </c>
      <c r="BD591">
        <v>-1.9000000000000001E-4</v>
      </c>
      <c r="BE591">
        <v>2.64E-2</v>
      </c>
      <c r="BF591">
        <v>1</v>
      </c>
      <c r="BG591" t="s">
        <v>69</v>
      </c>
      <c r="BH591">
        <v>-0.1</v>
      </c>
      <c r="BI591">
        <v>-0.39700000000000002</v>
      </c>
    </row>
    <row r="592" spans="3:61">
      <c r="C592">
        <v>2</v>
      </c>
      <c r="D592">
        <v>22</v>
      </c>
      <c r="E592">
        <v>4</v>
      </c>
      <c r="F592" t="s">
        <v>25021</v>
      </c>
      <c r="G592">
        <v>1134</v>
      </c>
      <c r="H592" t="s">
        <v>7133</v>
      </c>
      <c r="I592" t="s">
        <v>62</v>
      </c>
      <c r="J592">
        <v>1177368</v>
      </c>
      <c r="K592">
        <v>1178213</v>
      </c>
      <c r="L592" t="s">
        <v>3718</v>
      </c>
      <c r="M592">
        <v>282</v>
      </c>
      <c r="N592" t="s">
        <v>7134</v>
      </c>
      <c r="O592">
        <v>35</v>
      </c>
      <c r="P592" t="str">
        <f>HYPERLINK("Gene1134-zp_tree_all.dnd", "Gene1134-tree")</f>
        <v>Gene1134-tree</v>
      </c>
      <c r="Q592">
        <v>4</v>
      </c>
      <c r="R592">
        <v>10</v>
      </c>
      <c r="S592">
        <v>4</v>
      </c>
      <c r="T592">
        <v>10</v>
      </c>
      <c r="U592">
        <v>0.71428999999999998</v>
      </c>
      <c r="V592" t="s">
        <v>61</v>
      </c>
      <c r="W592" t="s">
        <v>117</v>
      </c>
      <c r="X592" t="s">
        <v>62</v>
      </c>
      <c r="Y592" t="s">
        <v>62</v>
      </c>
      <c r="Z592">
        <v>12</v>
      </c>
      <c r="AA592">
        <v>28</v>
      </c>
      <c r="AB592">
        <v>13</v>
      </c>
      <c r="AC592">
        <v>0.68293000000000004</v>
      </c>
      <c r="AD592" s="47">
        <v>0</v>
      </c>
      <c r="AE592" s="47">
        <v>0</v>
      </c>
      <c r="AF592" s="47">
        <v>0</v>
      </c>
      <c r="AG592" s="47">
        <v>2</v>
      </c>
      <c r="AH592" s="47">
        <v>0</v>
      </c>
      <c r="AI592" s="47">
        <v>8</v>
      </c>
      <c r="AJ592" s="47">
        <v>1</v>
      </c>
      <c r="AK592" s="47">
        <v>9</v>
      </c>
      <c r="AL592">
        <v>12</v>
      </c>
      <c r="AM592">
        <v>0.42857000000000001</v>
      </c>
      <c r="AN592">
        <v>13</v>
      </c>
      <c r="AO592">
        <v>11</v>
      </c>
      <c r="AP592">
        <v>45</v>
      </c>
      <c r="AQ592">
        <v>21</v>
      </c>
      <c r="AR592">
        <v>29</v>
      </c>
      <c r="AS592">
        <v>21</v>
      </c>
      <c r="AT592" t="s">
        <v>7135</v>
      </c>
      <c r="AU592" t="s">
        <v>7136</v>
      </c>
      <c r="AV592">
        <v>0.67600000000000005</v>
      </c>
      <c r="AW592" t="s">
        <v>65</v>
      </c>
      <c r="AX592">
        <v>74</v>
      </c>
      <c r="AY592">
        <v>42</v>
      </c>
      <c r="AZ592" t="s">
        <v>7137</v>
      </c>
      <c r="BA592">
        <v>7.0150000000000004E-2</v>
      </c>
      <c r="BB592">
        <v>-3.0400000000000002E-3</v>
      </c>
      <c r="BC592">
        <v>1.3690000000000001E-2</v>
      </c>
      <c r="BD592">
        <v>-5.4000000000000001E-4</v>
      </c>
      <c r="BE592">
        <v>0.19516</v>
      </c>
      <c r="BF592">
        <v>1</v>
      </c>
      <c r="BG592" t="s">
        <v>69</v>
      </c>
      <c r="BH592">
        <v>0.23899999999999999</v>
      </c>
      <c r="BI592">
        <v>-0.81599999999999995</v>
      </c>
    </row>
    <row r="593" spans="3:61">
      <c r="C593">
        <v>0</v>
      </c>
      <c r="D593">
        <v>12</v>
      </c>
      <c r="E593">
        <v>2</v>
      </c>
      <c r="F593" t="s">
        <v>25021</v>
      </c>
      <c r="G593">
        <v>1000</v>
      </c>
      <c r="H593" t="s">
        <v>6273</v>
      </c>
      <c r="I593" t="s">
        <v>62</v>
      </c>
      <c r="J593">
        <v>1040864</v>
      </c>
      <c r="K593">
        <v>1041709</v>
      </c>
      <c r="L593" t="s">
        <v>6274</v>
      </c>
      <c r="M593">
        <v>282</v>
      </c>
      <c r="N593" t="s">
        <v>108</v>
      </c>
      <c r="O593">
        <v>44</v>
      </c>
      <c r="P593" t="str">
        <f>HYPERLINK("Gene1000-zp_tree_all.dnd", "Gene1000-tree")</f>
        <v>Gene1000-tree</v>
      </c>
      <c r="Q593">
        <v>4</v>
      </c>
      <c r="R593">
        <v>10</v>
      </c>
      <c r="S593">
        <v>4</v>
      </c>
      <c r="T593">
        <v>10</v>
      </c>
      <c r="U593">
        <v>0.71428999999999998</v>
      </c>
      <c r="V593" t="s">
        <v>61</v>
      </c>
      <c r="W593" t="s">
        <v>117</v>
      </c>
      <c r="X593" t="s">
        <v>62</v>
      </c>
      <c r="Y593" t="s">
        <v>62</v>
      </c>
      <c r="Z593">
        <v>7</v>
      </c>
      <c r="AA593">
        <v>14</v>
      </c>
      <c r="AB593">
        <v>11</v>
      </c>
      <c r="AC593">
        <v>0.56000000000000005</v>
      </c>
      <c r="AD593" s="47">
        <v>0</v>
      </c>
      <c r="AE593" s="47">
        <v>0</v>
      </c>
      <c r="AF593" s="47">
        <v>0</v>
      </c>
      <c r="AG593" s="47">
        <v>0</v>
      </c>
      <c r="AH593" s="47">
        <v>0</v>
      </c>
      <c r="AI593" s="47">
        <v>4</v>
      </c>
      <c r="AJ593" s="47">
        <v>0</v>
      </c>
      <c r="AK593" s="47">
        <v>4</v>
      </c>
      <c r="AL593">
        <v>11</v>
      </c>
      <c r="AM593">
        <v>0.26667000000000002</v>
      </c>
      <c r="AN593">
        <v>13</v>
      </c>
      <c r="AO593">
        <v>9</v>
      </c>
      <c r="AP593">
        <v>37</v>
      </c>
      <c r="AQ593">
        <v>15</v>
      </c>
      <c r="AR593">
        <v>34</v>
      </c>
      <c r="AS593">
        <v>10</v>
      </c>
      <c r="AT593" t="s">
        <v>6275</v>
      </c>
      <c r="AU593" t="s">
        <v>6276</v>
      </c>
      <c r="AV593">
        <v>0.35399999999999998</v>
      </c>
      <c r="AW593" t="s">
        <v>65</v>
      </c>
      <c r="AX593">
        <v>71</v>
      </c>
      <c r="AY593">
        <v>25</v>
      </c>
      <c r="AZ593" t="s">
        <v>6277</v>
      </c>
      <c r="BA593">
        <v>9.3429999999999999E-2</v>
      </c>
      <c r="BB593">
        <v>-5.1700000000000001E-3</v>
      </c>
      <c r="BC593">
        <v>9.4999999999999998E-3</v>
      </c>
      <c r="BD593">
        <v>-5.1999999999999995E-4</v>
      </c>
      <c r="BE593">
        <v>0.10165</v>
      </c>
      <c r="BF593">
        <v>1</v>
      </c>
      <c r="BG593" t="s">
        <v>69</v>
      </c>
      <c r="BH593">
        <v>1.1000000000000001</v>
      </c>
      <c r="BI593">
        <v>0.24399999999999999</v>
      </c>
    </row>
    <row r="594" spans="3:61">
      <c r="C594">
        <v>0</v>
      </c>
      <c r="D594">
        <v>4</v>
      </c>
      <c r="E594">
        <v>2</v>
      </c>
      <c r="F594" t="s">
        <v>25021</v>
      </c>
      <c r="G594">
        <v>2025</v>
      </c>
      <c r="H594" t="s">
        <v>12601</v>
      </c>
      <c r="I594" t="s">
        <v>57</v>
      </c>
      <c r="J594">
        <v>2120767</v>
      </c>
      <c r="K594">
        <v>2121612</v>
      </c>
      <c r="L594" t="s">
        <v>12602</v>
      </c>
      <c r="M594">
        <v>282</v>
      </c>
      <c r="N594" t="s">
        <v>108</v>
      </c>
      <c r="O594">
        <v>44</v>
      </c>
      <c r="P594" t="str">
        <f>HYPERLINK("Gene2025-zp_tree_all.dnd", "Gene2025-tree")</f>
        <v>Gene2025-tree</v>
      </c>
      <c r="Q594">
        <v>6</v>
      </c>
      <c r="R594">
        <v>8</v>
      </c>
      <c r="S594">
        <v>6</v>
      </c>
      <c r="T594">
        <v>8</v>
      </c>
      <c r="U594">
        <v>0.57142999999999999</v>
      </c>
      <c r="V594" t="s">
        <v>90</v>
      </c>
      <c r="W594" t="s">
        <v>136</v>
      </c>
      <c r="X594" t="s">
        <v>62</v>
      </c>
      <c r="Y594" t="s">
        <v>62</v>
      </c>
      <c r="Z594">
        <v>3</v>
      </c>
      <c r="AA594">
        <v>6</v>
      </c>
      <c r="AB594">
        <v>4</v>
      </c>
      <c r="AC594">
        <v>0.6</v>
      </c>
      <c r="AD594" s="47">
        <v>0</v>
      </c>
      <c r="AE594" s="47">
        <v>0</v>
      </c>
      <c r="AF594" s="47">
        <v>0</v>
      </c>
      <c r="AG594" s="47">
        <v>0</v>
      </c>
      <c r="AH594" s="47">
        <v>0</v>
      </c>
      <c r="AI594" s="47">
        <v>2</v>
      </c>
      <c r="AJ594" s="47">
        <v>4</v>
      </c>
      <c r="AK594" s="47">
        <v>6</v>
      </c>
      <c r="AL594">
        <v>4</v>
      </c>
      <c r="AM594">
        <v>0.6</v>
      </c>
      <c r="AN594">
        <v>11</v>
      </c>
      <c r="AO594">
        <v>7</v>
      </c>
      <c r="AP594">
        <v>16</v>
      </c>
      <c r="AQ594">
        <v>9</v>
      </c>
      <c r="AR594">
        <v>6</v>
      </c>
      <c r="AS594">
        <v>1</v>
      </c>
      <c r="AT594" t="s">
        <v>12603</v>
      </c>
      <c r="AU594" t="s">
        <v>12604</v>
      </c>
      <c r="AV594">
        <v>0.75800000000000001</v>
      </c>
      <c r="AW594" t="s">
        <v>65</v>
      </c>
      <c r="AX594">
        <v>22</v>
      </c>
      <c r="AY594">
        <v>10</v>
      </c>
      <c r="AZ594" t="s">
        <v>12605</v>
      </c>
      <c r="BA594">
        <v>2.291E-2</v>
      </c>
      <c r="BB594">
        <v>-1.25E-3</v>
      </c>
      <c r="BC594">
        <v>2.2699999999999999E-3</v>
      </c>
      <c r="BD594">
        <v>-1.8000000000000001E-4</v>
      </c>
      <c r="BE594">
        <v>9.9250000000000005E-2</v>
      </c>
      <c r="BF594">
        <v>1</v>
      </c>
      <c r="BG594" t="s">
        <v>69</v>
      </c>
      <c r="BH594">
        <v>-1.2430000000000001</v>
      </c>
      <c r="BI594">
        <v>-1.857</v>
      </c>
    </row>
    <row r="595" spans="3:61">
      <c r="C595">
        <v>0</v>
      </c>
      <c r="D595">
        <v>15</v>
      </c>
      <c r="E595">
        <v>0</v>
      </c>
      <c r="F595" t="s">
        <v>25021</v>
      </c>
      <c r="G595">
        <v>1089</v>
      </c>
      <c r="H595" t="s">
        <v>6844</v>
      </c>
      <c r="I595" t="s">
        <v>62</v>
      </c>
      <c r="J595">
        <v>1127469</v>
      </c>
      <c r="K595">
        <v>1128314</v>
      </c>
      <c r="L595" t="s">
        <v>6845</v>
      </c>
      <c r="M595">
        <v>282</v>
      </c>
      <c r="N595" t="s">
        <v>108</v>
      </c>
      <c r="O595">
        <v>44</v>
      </c>
      <c r="P595" t="str">
        <f>HYPERLINK("Gene1089-zp_tree_all.dnd", "Gene1089-tree")</f>
        <v>Gene1089-tree</v>
      </c>
      <c r="Q595">
        <v>3</v>
      </c>
      <c r="R595">
        <v>11</v>
      </c>
      <c r="S595">
        <v>3</v>
      </c>
      <c r="T595">
        <v>11</v>
      </c>
      <c r="U595">
        <v>0.78571000000000002</v>
      </c>
      <c r="V595" t="s">
        <v>324</v>
      </c>
      <c r="W595" t="s">
        <v>73</v>
      </c>
      <c r="X595">
        <v>305230034.74400002</v>
      </c>
      <c r="Y595" t="s">
        <v>267</v>
      </c>
      <c r="Z595">
        <v>4</v>
      </c>
      <c r="AA595">
        <v>15</v>
      </c>
      <c r="AB595">
        <v>6</v>
      </c>
      <c r="AC595">
        <v>0.71428999999999998</v>
      </c>
      <c r="AD595" s="47">
        <v>0</v>
      </c>
      <c r="AE595" s="47">
        <v>0</v>
      </c>
      <c r="AF595" s="47">
        <v>0</v>
      </c>
      <c r="AG595" s="47">
        <v>0</v>
      </c>
      <c r="AH595" s="47">
        <v>0</v>
      </c>
      <c r="AI595" s="47">
        <v>11</v>
      </c>
      <c r="AJ595" s="47">
        <v>0</v>
      </c>
      <c r="AK595" s="47">
        <v>11</v>
      </c>
      <c r="AL595">
        <v>4</v>
      </c>
      <c r="AM595">
        <v>0.73333000000000004</v>
      </c>
      <c r="AN595">
        <v>13</v>
      </c>
      <c r="AO595">
        <v>10</v>
      </c>
      <c r="AP595">
        <v>33</v>
      </c>
      <c r="AQ595">
        <v>14</v>
      </c>
      <c r="AR595">
        <v>19</v>
      </c>
      <c r="AS595">
        <v>7</v>
      </c>
      <c r="AT595" t="s">
        <v>6846</v>
      </c>
      <c r="AU595" t="s">
        <v>6847</v>
      </c>
      <c r="AV595">
        <v>0.32200000000000001</v>
      </c>
      <c r="AW595" t="s">
        <v>65</v>
      </c>
      <c r="AX595">
        <v>52</v>
      </c>
      <c r="AY595">
        <v>21</v>
      </c>
      <c r="AZ595" t="s">
        <v>6848</v>
      </c>
      <c r="BA595">
        <v>5.3690000000000002E-2</v>
      </c>
      <c r="BB595">
        <v>-2.1800000000000001E-3</v>
      </c>
      <c r="BC595">
        <v>4.4999999999999997E-3</v>
      </c>
      <c r="BD595">
        <v>-2.0000000000000001E-4</v>
      </c>
      <c r="BE595">
        <v>8.3739999999999995E-2</v>
      </c>
      <c r="BF595">
        <v>1</v>
      </c>
      <c r="BG595" t="s">
        <v>69</v>
      </c>
      <c r="BH595">
        <v>-8.5999999999999993E-2</v>
      </c>
      <c r="BI595">
        <v>-0.40699999999999997</v>
      </c>
    </row>
    <row r="596" spans="3:61">
      <c r="C596">
        <v>0</v>
      </c>
      <c r="D596">
        <v>3</v>
      </c>
      <c r="E596">
        <v>0</v>
      </c>
      <c r="F596" t="s">
        <v>25021</v>
      </c>
      <c r="G596">
        <v>1146</v>
      </c>
      <c r="H596" t="s">
        <v>7207</v>
      </c>
      <c r="I596" t="s">
        <v>62</v>
      </c>
      <c r="J596">
        <v>1187703</v>
      </c>
      <c r="K596">
        <v>1188551</v>
      </c>
      <c r="L596" t="s">
        <v>7208</v>
      </c>
      <c r="M596">
        <v>283</v>
      </c>
      <c r="N596" t="s">
        <v>108</v>
      </c>
      <c r="O596">
        <v>44</v>
      </c>
      <c r="P596" t="str">
        <f>HYPERLINK("Gene1146-zp_tree_all.dnd", "Gene1146-tree")</f>
        <v>Gene1146-tree</v>
      </c>
      <c r="Q596">
        <v>11</v>
      </c>
      <c r="R596">
        <v>3</v>
      </c>
      <c r="S596">
        <v>11</v>
      </c>
      <c r="T596">
        <v>3</v>
      </c>
      <c r="U596">
        <v>0.21429000000000001</v>
      </c>
      <c r="V596" t="s">
        <v>73</v>
      </c>
      <c r="W596" t="s">
        <v>324</v>
      </c>
      <c r="X596" t="s">
        <v>62</v>
      </c>
      <c r="Y596" t="s">
        <v>62</v>
      </c>
      <c r="Z596">
        <v>1</v>
      </c>
      <c r="AA596">
        <v>3</v>
      </c>
      <c r="AB596">
        <v>7</v>
      </c>
      <c r="AC596">
        <v>0.3</v>
      </c>
      <c r="AD596" s="47">
        <v>0</v>
      </c>
      <c r="AE596" s="47">
        <v>0</v>
      </c>
      <c r="AF596" s="47">
        <v>0</v>
      </c>
      <c r="AG596" s="47">
        <v>0</v>
      </c>
      <c r="AH596" s="47">
        <v>0</v>
      </c>
      <c r="AI596" s="47">
        <v>0</v>
      </c>
      <c r="AJ596" s="47">
        <v>0</v>
      </c>
      <c r="AK596" s="47">
        <v>0</v>
      </c>
      <c r="AL596">
        <v>6</v>
      </c>
      <c r="AM596">
        <v>0</v>
      </c>
      <c r="AN596">
        <v>12</v>
      </c>
      <c r="AO596">
        <v>7</v>
      </c>
      <c r="AP596">
        <v>24</v>
      </c>
      <c r="AQ596">
        <v>3</v>
      </c>
      <c r="AR596">
        <v>9</v>
      </c>
      <c r="AS596">
        <v>7</v>
      </c>
      <c r="AT596" t="s">
        <v>7209</v>
      </c>
      <c r="AU596" t="s">
        <v>7210</v>
      </c>
      <c r="AV596">
        <v>1.248</v>
      </c>
      <c r="AW596" t="s">
        <v>65</v>
      </c>
      <c r="AX596">
        <v>33</v>
      </c>
      <c r="AY596">
        <v>10</v>
      </c>
      <c r="AZ596" t="s">
        <v>7211</v>
      </c>
      <c r="BA596">
        <v>3.0530000000000002E-2</v>
      </c>
      <c r="BB596">
        <v>-1.23E-3</v>
      </c>
      <c r="BC596">
        <v>4.1099999999999999E-3</v>
      </c>
      <c r="BD596">
        <v>-3.1E-4</v>
      </c>
      <c r="BE596">
        <v>0.13458000000000001</v>
      </c>
      <c r="BF596">
        <v>1</v>
      </c>
      <c r="BG596" t="s">
        <v>69</v>
      </c>
      <c r="BH596">
        <v>-0.29099999999999998</v>
      </c>
      <c r="BI596">
        <v>-0.67400000000000004</v>
      </c>
    </row>
    <row r="597" spans="3:61">
      <c r="C597">
        <v>0</v>
      </c>
      <c r="D597">
        <v>4</v>
      </c>
      <c r="E597">
        <v>0</v>
      </c>
      <c r="F597" t="s">
        <v>25021</v>
      </c>
      <c r="G597">
        <v>170</v>
      </c>
      <c r="H597" t="s">
        <v>1202</v>
      </c>
      <c r="I597" t="s">
        <v>62</v>
      </c>
      <c r="J597">
        <v>191186</v>
      </c>
      <c r="K597">
        <v>192034</v>
      </c>
      <c r="L597" t="s">
        <v>1203</v>
      </c>
      <c r="M597">
        <v>283</v>
      </c>
      <c r="N597" t="s">
        <v>108</v>
      </c>
      <c r="O597">
        <v>44</v>
      </c>
      <c r="P597" t="str">
        <f>HYPERLINK("Gene170-zp_tree_all.dnd", "Gene170-tree")</f>
        <v>Gene170-tree</v>
      </c>
      <c r="Q597">
        <v>9</v>
      </c>
      <c r="R597">
        <v>7</v>
      </c>
      <c r="S597">
        <v>9</v>
      </c>
      <c r="T597">
        <v>7</v>
      </c>
      <c r="U597">
        <v>0.4375</v>
      </c>
      <c r="V597" t="s">
        <v>135</v>
      </c>
      <c r="W597" t="s">
        <v>152</v>
      </c>
      <c r="X597" t="s">
        <v>62</v>
      </c>
      <c r="Y597" t="s">
        <v>62</v>
      </c>
      <c r="Z597">
        <v>1</v>
      </c>
      <c r="AA597">
        <v>4</v>
      </c>
      <c r="AB597">
        <v>16</v>
      </c>
      <c r="AC597">
        <v>0.2</v>
      </c>
      <c r="AD597" s="47">
        <v>0</v>
      </c>
      <c r="AE597" s="47">
        <v>0</v>
      </c>
      <c r="AF597" s="47">
        <v>0</v>
      </c>
      <c r="AG597" s="47">
        <v>2</v>
      </c>
      <c r="AH597" s="47">
        <v>0</v>
      </c>
      <c r="AI597" s="47">
        <v>3</v>
      </c>
      <c r="AJ597" s="47">
        <v>0</v>
      </c>
      <c r="AK597" s="47">
        <v>3</v>
      </c>
      <c r="AL597">
        <v>14</v>
      </c>
      <c r="AM597">
        <v>0.17646999999999999</v>
      </c>
      <c r="AN597">
        <v>11</v>
      </c>
      <c r="AO597">
        <v>9</v>
      </c>
      <c r="AP597">
        <v>29</v>
      </c>
      <c r="AQ597">
        <v>18</v>
      </c>
      <c r="AR597">
        <v>19</v>
      </c>
      <c r="AS597">
        <v>3</v>
      </c>
      <c r="AT597" t="s">
        <v>1204</v>
      </c>
      <c r="AU597" t="s">
        <v>1205</v>
      </c>
      <c r="AV597">
        <v>1.3260000000000001</v>
      </c>
      <c r="AW597" t="s">
        <v>65</v>
      </c>
      <c r="AX597">
        <v>48</v>
      </c>
      <c r="AY597">
        <v>21</v>
      </c>
      <c r="AZ597" t="s">
        <v>1206</v>
      </c>
      <c r="BA597">
        <v>3.8949999999999999E-2</v>
      </c>
      <c r="BB597">
        <v>-1.5399999999999999E-3</v>
      </c>
      <c r="BC597">
        <v>4.62E-3</v>
      </c>
      <c r="BD597">
        <v>-3.2000000000000003E-4</v>
      </c>
      <c r="BE597">
        <v>0.11855</v>
      </c>
      <c r="BF597">
        <v>1</v>
      </c>
      <c r="BG597" t="s">
        <v>69</v>
      </c>
      <c r="BH597">
        <v>-1.226</v>
      </c>
      <c r="BI597">
        <v>-2.343</v>
      </c>
    </row>
    <row r="598" spans="3:61">
      <c r="C598">
        <v>0</v>
      </c>
      <c r="D598">
        <v>18</v>
      </c>
      <c r="E598">
        <v>10</v>
      </c>
      <c r="F598" t="s">
        <v>25021</v>
      </c>
      <c r="G598">
        <v>327</v>
      </c>
      <c r="H598" t="s">
        <v>2232</v>
      </c>
      <c r="I598" t="s">
        <v>62</v>
      </c>
      <c r="J598">
        <v>351845</v>
      </c>
      <c r="K598">
        <v>352696</v>
      </c>
      <c r="L598" t="s">
        <v>2233</v>
      </c>
      <c r="M598">
        <v>284</v>
      </c>
      <c r="N598" t="s">
        <v>108</v>
      </c>
      <c r="O598">
        <v>44</v>
      </c>
      <c r="P598" t="str">
        <f>HYPERLINK("Gene327-zp_tree_all.dnd", "Gene327-tree")</f>
        <v>Gene327-tree</v>
      </c>
      <c r="Q598">
        <v>4</v>
      </c>
      <c r="R598">
        <v>11</v>
      </c>
      <c r="S598">
        <v>4</v>
      </c>
      <c r="T598">
        <v>11</v>
      </c>
      <c r="U598">
        <v>0.73333000000000004</v>
      </c>
      <c r="V598" t="s">
        <v>61</v>
      </c>
      <c r="W598" t="s">
        <v>73</v>
      </c>
      <c r="X598">
        <v>200307210.301</v>
      </c>
      <c r="Y598" t="s">
        <v>267</v>
      </c>
      <c r="Z598">
        <v>11</v>
      </c>
      <c r="AA598">
        <v>28</v>
      </c>
      <c r="AB598">
        <v>22</v>
      </c>
      <c r="AC598">
        <v>0.56000000000000005</v>
      </c>
      <c r="AD598" s="47">
        <v>0</v>
      </c>
      <c r="AE598" s="47">
        <v>0</v>
      </c>
      <c r="AF598" s="47">
        <v>0</v>
      </c>
      <c r="AG598" s="47">
        <v>0</v>
      </c>
      <c r="AH598" s="47">
        <v>0</v>
      </c>
      <c r="AI598" s="47">
        <v>7</v>
      </c>
      <c r="AJ598" s="47">
        <v>5</v>
      </c>
      <c r="AK598" s="47">
        <v>12</v>
      </c>
      <c r="AL598">
        <v>18</v>
      </c>
      <c r="AM598">
        <v>0.4</v>
      </c>
      <c r="AN598">
        <v>13</v>
      </c>
      <c r="AO598">
        <v>11</v>
      </c>
      <c r="AP598">
        <v>36</v>
      </c>
      <c r="AQ598">
        <v>31</v>
      </c>
      <c r="AR598">
        <v>28</v>
      </c>
      <c r="AS598">
        <v>23</v>
      </c>
      <c r="AT598" t="s">
        <v>2234</v>
      </c>
      <c r="AU598" t="s">
        <v>2235</v>
      </c>
      <c r="AV598">
        <v>9.8000000000000004E-2</v>
      </c>
      <c r="AW598" t="s">
        <v>65</v>
      </c>
      <c r="AX598">
        <v>64</v>
      </c>
      <c r="AY598">
        <v>54</v>
      </c>
      <c r="AZ598" t="s">
        <v>2236</v>
      </c>
      <c r="BA598">
        <v>6.6019999999999995E-2</v>
      </c>
      <c r="BB598">
        <v>-2.2899999999999999E-3</v>
      </c>
      <c r="BC598">
        <v>1.7510000000000001E-2</v>
      </c>
      <c r="BD598">
        <v>-7.1000000000000002E-4</v>
      </c>
      <c r="BE598">
        <v>0.26521</v>
      </c>
      <c r="BF598">
        <v>1</v>
      </c>
      <c r="BG598" t="s">
        <v>69</v>
      </c>
      <c r="BH598">
        <v>0.248</v>
      </c>
      <c r="BI598">
        <v>-0.10100000000000001</v>
      </c>
    </row>
    <row r="599" spans="3:61">
      <c r="C599">
        <v>0</v>
      </c>
      <c r="D599">
        <v>9</v>
      </c>
      <c r="E599">
        <v>1</v>
      </c>
      <c r="F599" t="s">
        <v>25021</v>
      </c>
      <c r="G599">
        <v>2825</v>
      </c>
      <c r="H599" t="s">
        <v>16214</v>
      </c>
      <c r="I599" t="s">
        <v>57</v>
      </c>
      <c r="J599">
        <v>2770350</v>
      </c>
      <c r="K599">
        <v>2771204</v>
      </c>
      <c r="L599" t="s">
        <v>16215</v>
      </c>
      <c r="M599">
        <v>285</v>
      </c>
      <c r="N599" t="s">
        <v>108</v>
      </c>
      <c r="O599">
        <v>44</v>
      </c>
      <c r="P599" t="str">
        <f>HYPERLINK("Gene2825-zp_tree_all.dnd", "Gene2825-tree")</f>
        <v>Gene2825-tree</v>
      </c>
      <c r="Q599">
        <v>6</v>
      </c>
      <c r="R599">
        <v>25</v>
      </c>
      <c r="S599">
        <v>6</v>
      </c>
      <c r="T599">
        <v>8</v>
      </c>
      <c r="U599">
        <v>0.57142999999999999</v>
      </c>
      <c r="V599" t="s">
        <v>90</v>
      </c>
      <c r="W599" t="s">
        <v>1667</v>
      </c>
      <c r="X599">
        <v>2.972</v>
      </c>
      <c r="Y599" t="s">
        <v>65</v>
      </c>
      <c r="Z599">
        <v>4</v>
      </c>
      <c r="AA599">
        <v>10</v>
      </c>
      <c r="AB599">
        <v>9</v>
      </c>
      <c r="AC599">
        <v>0.52632000000000001</v>
      </c>
      <c r="AD599" s="47">
        <v>0</v>
      </c>
      <c r="AE599" s="47">
        <v>0</v>
      </c>
      <c r="AF599" s="47">
        <v>0</v>
      </c>
      <c r="AG599" s="47">
        <v>2</v>
      </c>
      <c r="AH599" s="47">
        <v>0</v>
      </c>
      <c r="AI599" s="47">
        <v>4</v>
      </c>
      <c r="AJ599" s="47">
        <v>1</v>
      </c>
      <c r="AK599" s="47">
        <v>5</v>
      </c>
      <c r="AL599">
        <v>9</v>
      </c>
      <c r="AM599">
        <v>0.35714000000000001</v>
      </c>
      <c r="AN599">
        <v>10</v>
      </c>
      <c r="AO599">
        <v>7</v>
      </c>
      <c r="AP599">
        <v>16</v>
      </c>
      <c r="AQ599">
        <v>12</v>
      </c>
      <c r="AR599">
        <v>10</v>
      </c>
      <c r="AS599">
        <v>7</v>
      </c>
      <c r="AT599" t="s">
        <v>16216</v>
      </c>
      <c r="AU599" t="s">
        <v>16217</v>
      </c>
      <c r="AV599">
        <v>0.115</v>
      </c>
      <c r="AW599" t="s">
        <v>65</v>
      </c>
      <c r="AX599">
        <v>26</v>
      </c>
      <c r="AY599">
        <v>19</v>
      </c>
      <c r="AZ599" t="s">
        <v>16218</v>
      </c>
      <c r="BA599">
        <v>3.7339999999999998E-2</v>
      </c>
      <c r="BB599">
        <v>-2.14E-3</v>
      </c>
      <c r="BC599">
        <v>5.8300000000000001E-3</v>
      </c>
      <c r="BD599">
        <v>-3.4000000000000002E-4</v>
      </c>
      <c r="BE599">
        <v>0.15606</v>
      </c>
      <c r="BF599">
        <v>1</v>
      </c>
      <c r="BG599" t="s">
        <v>69</v>
      </c>
      <c r="BH599">
        <v>0.115</v>
      </c>
      <c r="BI599">
        <v>-1.2370000000000001</v>
      </c>
    </row>
    <row r="600" spans="3:61">
      <c r="C600">
        <v>0</v>
      </c>
      <c r="D600">
        <v>6</v>
      </c>
      <c r="E600">
        <v>0</v>
      </c>
      <c r="F600" t="s">
        <v>25021</v>
      </c>
      <c r="G600">
        <v>1911</v>
      </c>
      <c r="H600" t="s">
        <v>11968</v>
      </c>
      <c r="I600" t="s">
        <v>62</v>
      </c>
      <c r="J600">
        <v>2006544</v>
      </c>
      <c r="K600">
        <v>2007398</v>
      </c>
      <c r="L600" t="s">
        <v>11969</v>
      </c>
      <c r="M600">
        <v>285</v>
      </c>
      <c r="N600" t="s">
        <v>108</v>
      </c>
      <c r="O600">
        <v>44</v>
      </c>
      <c r="P600" t="str">
        <f>HYPERLINK("Gene1911-zp_tree_all.dnd", "Gene1911-tree")</f>
        <v>Gene1911-tree</v>
      </c>
      <c r="Q600">
        <v>6</v>
      </c>
      <c r="R600">
        <v>8</v>
      </c>
      <c r="S600">
        <v>6</v>
      </c>
      <c r="T600">
        <v>8</v>
      </c>
      <c r="U600">
        <v>0.57142999999999999</v>
      </c>
      <c r="V600" t="s">
        <v>90</v>
      </c>
      <c r="W600" t="s">
        <v>136</v>
      </c>
      <c r="X600" t="s">
        <v>62</v>
      </c>
      <c r="Y600" t="s">
        <v>62</v>
      </c>
      <c r="Z600">
        <v>3</v>
      </c>
      <c r="AA600">
        <v>6</v>
      </c>
      <c r="AB600">
        <v>15</v>
      </c>
      <c r="AC600">
        <v>0.28571000000000002</v>
      </c>
      <c r="AD600" s="47">
        <v>0</v>
      </c>
      <c r="AE600" s="47">
        <v>0</v>
      </c>
      <c r="AF600" s="47">
        <v>0</v>
      </c>
      <c r="AG600" s="47">
        <v>1</v>
      </c>
      <c r="AH600" s="47">
        <v>0</v>
      </c>
      <c r="AI600" s="47">
        <v>4</v>
      </c>
      <c r="AJ600" s="47">
        <v>0</v>
      </c>
      <c r="AK600" s="47">
        <v>4</v>
      </c>
      <c r="AL600">
        <v>12</v>
      </c>
      <c r="AM600">
        <v>0.25</v>
      </c>
      <c r="AN600">
        <v>9</v>
      </c>
      <c r="AO600">
        <v>11</v>
      </c>
      <c r="AP600">
        <v>25</v>
      </c>
      <c r="AQ600">
        <v>13</v>
      </c>
      <c r="AR600">
        <v>19</v>
      </c>
      <c r="AS600">
        <v>8</v>
      </c>
      <c r="AT600" t="s">
        <v>11970</v>
      </c>
      <c r="AU600" t="s">
        <v>11971</v>
      </c>
      <c r="AV600">
        <v>0.16800000000000001</v>
      </c>
      <c r="AW600" t="s">
        <v>65</v>
      </c>
      <c r="AX600">
        <v>44</v>
      </c>
      <c r="AY600">
        <v>21</v>
      </c>
      <c r="AZ600" t="s">
        <v>11972</v>
      </c>
      <c r="BA600">
        <v>4.7649999999999998E-2</v>
      </c>
      <c r="BB600">
        <v>-2.48E-3</v>
      </c>
      <c r="BC600">
        <v>7.2300000000000003E-3</v>
      </c>
      <c r="BD600">
        <v>-4.6000000000000001E-4</v>
      </c>
      <c r="BE600">
        <v>0.15174000000000001</v>
      </c>
      <c r="BF600">
        <v>1</v>
      </c>
      <c r="BG600" t="s">
        <v>69</v>
      </c>
      <c r="BH600">
        <v>-1.23</v>
      </c>
      <c r="BI600">
        <v>-2.3519999999999999</v>
      </c>
    </row>
    <row r="601" spans="3:61">
      <c r="C601">
        <v>0</v>
      </c>
      <c r="D601">
        <v>4</v>
      </c>
      <c r="E601">
        <v>0</v>
      </c>
      <c r="F601" t="s">
        <v>25021</v>
      </c>
      <c r="G601">
        <v>203</v>
      </c>
      <c r="H601" t="s">
        <v>1384</v>
      </c>
      <c r="I601" t="s">
        <v>62</v>
      </c>
      <c r="J601">
        <v>224078</v>
      </c>
      <c r="K601">
        <v>224932</v>
      </c>
      <c r="L601" t="s">
        <v>1385</v>
      </c>
      <c r="M601">
        <v>285</v>
      </c>
      <c r="N601" t="s">
        <v>108</v>
      </c>
      <c r="O601">
        <v>44</v>
      </c>
      <c r="P601" t="str">
        <f>HYPERLINK("Gene203-zp_tree_all.dnd", "Gene203-tree")</f>
        <v>Gene203-tree</v>
      </c>
      <c r="Q601">
        <v>1</v>
      </c>
      <c r="R601">
        <v>11</v>
      </c>
      <c r="S601">
        <v>1</v>
      </c>
      <c r="T601">
        <v>11</v>
      </c>
      <c r="U601">
        <v>0.91666999999999998</v>
      </c>
      <c r="V601" t="s">
        <v>175</v>
      </c>
      <c r="W601" t="s">
        <v>73</v>
      </c>
      <c r="X601">
        <v>1144612630.289</v>
      </c>
      <c r="Y601" t="s">
        <v>267</v>
      </c>
      <c r="Z601">
        <v>2</v>
      </c>
      <c r="AA601">
        <v>4</v>
      </c>
      <c r="AB601">
        <v>13</v>
      </c>
      <c r="AC601">
        <v>0.23529</v>
      </c>
      <c r="AD601" s="47">
        <v>0</v>
      </c>
      <c r="AE601" s="47">
        <v>0</v>
      </c>
      <c r="AF601" s="47">
        <v>0</v>
      </c>
      <c r="AG601" s="47">
        <v>0</v>
      </c>
      <c r="AH601" s="47">
        <v>0</v>
      </c>
      <c r="AI601" s="47">
        <v>2</v>
      </c>
      <c r="AJ601" s="47">
        <v>0</v>
      </c>
      <c r="AK601" s="47">
        <v>2</v>
      </c>
      <c r="AL601">
        <v>14</v>
      </c>
      <c r="AM601">
        <v>0.125</v>
      </c>
      <c r="AN601">
        <v>10</v>
      </c>
      <c r="AO601">
        <v>7</v>
      </c>
      <c r="AP601">
        <v>24</v>
      </c>
      <c r="AQ601">
        <v>15</v>
      </c>
      <c r="AR601">
        <v>22</v>
      </c>
      <c r="AS601">
        <v>2</v>
      </c>
      <c r="AT601" t="s">
        <v>1386</v>
      </c>
      <c r="AU601" t="s">
        <v>1387</v>
      </c>
      <c r="AV601">
        <v>2.347</v>
      </c>
      <c r="AW601" t="s">
        <v>267</v>
      </c>
      <c r="AX601">
        <v>46</v>
      </c>
      <c r="AY601">
        <v>17</v>
      </c>
      <c r="AZ601" t="s">
        <v>1388</v>
      </c>
      <c r="BA601">
        <v>5.2519999999999997E-2</v>
      </c>
      <c r="BB601">
        <v>-2.96E-3</v>
      </c>
      <c r="BC601">
        <v>4.81E-3</v>
      </c>
      <c r="BD601">
        <v>-2.5000000000000001E-4</v>
      </c>
      <c r="BE601">
        <v>9.153E-2</v>
      </c>
      <c r="BF601">
        <v>1</v>
      </c>
      <c r="BG601" t="s">
        <v>69</v>
      </c>
      <c r="BH601">
        <v>1.1240000000000001</v>
      </c>
      <c r="BI601">
        <v>-0.33900000000000002</v>
      </c>
    </row>
    <row r="602" spans="3:61">
      <c r="C602">
        <v>0</v>
      </c>
      <c r="D602">
        <v>6</v>
      </c>
      <c r="E602">
        <v>1</v>
      </c>
      <c r="F602" t="s">
        <v>25021</v>
      </c>
      <c r="G602">
        <v>325</v>
      </c>
      <c r="H602" t="s">
        <v>2219</v>
      </c>
      <c r="I602" t="s">
        <v>62</v>
      </c>
      <c r="J602">
        <v>349999</v>
      </c>
      <c r="K602">
        <v>350853</v>
      </c>
      <c r="L602" t="s">
        <v>116</v>
      </c>
      <c r="M602">
        <v>285</v>
      </c>
      <c r="N602" t="s">
        <v>2220</v>
      </c>
      <c r="O602">
        <v>46</v>
      </c>
      <c r="P602" t="str">
        <f>HYPERLINK("Gene325-zp_tree_all.dnd", "Gene325-tree")</f>
        <v>Gene325-tree</v>
      </c>
      <c r="Q602">
        <v>6</v>
      </c>
      <c r="R602">
        <v>10</v>
      </c>
      <c r="S602">
        <v>6</v>
      </c>
      <c r="T602">
        <v>10</v>
      </c>
      <c r="U602">
        <v>0.625</v>
      </c>
      <c r="V602" t="s">
        <v>90</v>
      </c>
      <c r="W602" t="s">
        <v>117</v>
      </c>
      <c r="X602" t="s">
        <v>62</v>
      </c>
      <c r="Y602" t="s">
        <v>62</v>
      </c>
      <c r="Z602">
        <v>3</v>
      </c>
      <c r="AA602">
        <v>7</v>
      </c>
      <c r="AB602">
        <v>16</v>
      </c>
      <c r="AC602">
        <v>0.30435000000000001</v>
      </c>
      <c r="AD602" s="47">
        <v>0</v>
      </c>
      <c r="AE602" s="47">
        <v>0</v>
      </c>
      <c r="AF602" s="47">
        <v>0</v>
      </c>
      <c r="AG602" s="47">
        <v>0</v>
      </c>
      <c r="AH602" s="47">
        <v>0</v>
      </c>
      <c r="AI602" s="47">
        <v>2</v>
      </c>
      <c r="AJ602" s="47">
        <v>2</v>
      </c>
      <c r="AK602" s="47">
        <v>4</v>
      </c>
      <c r="AL602">
        <v>15</v>
      </c>
      <c r="AM602">
        <v>0.21052999999999999</v>
      </c>
      <c r="AN602">
        <v>15</v>
      </c>
      <c r="AO602">
        <v>12</v>
      </c>
      <c r="AP602">
        <v>60</v>
      </c>
      <c r="AQ602">
        <v>19</v>
      </c>
      <c r="AR602">
        <v>42</v>
      </c>
      <c r="AS602">
        <v>5</v>
      </c>
      <c r="AT602" t="s">
        <v>2221</v>
      </c>
      <c r="AU602" t="s">
        <v>2222</v>
      </c>
      <c r="AV602">
        <v>0.56599999999999995</v>
      </c>
      <c r="AW602" t="s">
        <v>65</v>
      </c>
      <c r="AX602">
        <v>102</v>
      </c>
      <c r="AY602">
        <v>24</v>
      </c>
      <c r="AZ602" t="s">
        <v>2223</v>
      </c>
      <c r="BA602">
        <v>9.5039999999999999E-2</v>
      </c>
      <c r="BB602">
        <v>-6.5399999999999998E-3</v>
      </c>
      <c r="BC602">
        <v>5.7499999999999999E-3</v>
      </c>
      <c r="BD602">
        <v>-3.6000000000000002E-4</v>
      </c>
      <c r="BE602">
        <v>6.0510000000000001E-2</v>
      </c>
      <c r="BF602">
        <v>1</v>
      </c>
      <c r="BG602" t="s">
        <v>69</v>
      </c>
      <c r="BH602">
        <v>-1.5129999999999999</v>
      </c>
      <c r="BI602">
        <v>-1.5840000000000001</v>
      </c>
    </row>
    <row r="603" spans="3:61">
      <c r="C603">
        <v>0</v>
      </c>
      <c r="D603">
        <v>6</v>
      </c>
      <c r="E603">
        <v>4</v>
      </c>
      <c r="F603" t="s">
        <v>25021</v>
      </c>
      <c r="G603">
        <v>3717</v>
      </c>
      <c r="H603" t="s">
        <v>21780</v>
      </c>
      <c r="I603" t="s">
        <v>57</v>
      </c>
      <c r="J603">
        <v>3695363</v>
      </c>
      <c r="K603">
        <v>3696220</v>
      </c>
      <c r="L603" t="s">
        <v>21781</v>
      </c>
      <c r="M603">
        <v>286</v>
      </c>
      <c r="N603" t="s">
        <v>465</v>
      </c>
      <c r="O603">
        <v>46</v>
      </c>
      <c r="P603" t="str">
        <f>HYPERLINK("Gene3717-zp_tree_all.dnd", "Gene3717-tree")</f>
        <v>Gene3717-tree</v>
      </c>
      <c r="Q603">
        <v>7</v>
      </c>
      <c r="R603">
        <v>7</v>
      </c>
      <c r="S603">
        <v>7</v>
      </c>
      <c r="T603">
        <v>7</v>
      </c>
      <c r="U603">
        <v>0.5</v>
      </c>
      <c r="V603" t="s">
        <v>152</v>
      </c>
      <c r="W603" t="s">
        <v>152</v>
      </c>
      <c r="X603" t="s">
        <v>62</v>
      </c>
      <c r="Y603" t="s">
        <v>62</v>
      </c>
      <c r="Z603">
        <v>4</v>
      </c>
      <c r="AA603">
        <v>10</v>
      </c>
      <c r="AB603">
        <v>13</v>
      </c>
      <c r="AC603">
        <v>0.43478</v>
      </c>
      <c r="AD603" s="47">
        <v>0</v>
      </c>
      <c r="AE603" s="47">
        <v>0</v>
      </c>
      <c r="AF603" s="47">
        <v>0</v>
      </c>
      <c r="AG603" s="47">
        <v>1</v>
      </c>
      <c r="AH603" s="47">
        <v>0</v>
      </c>
      <c r="AI603" s="47">
        <v>2</v>
      </c>
      <c r="AJ603" s="47">
        <v>0</v>
      </c>
      <c r="AK603" s="47">
        <v>2</v>
      </c>
      <c r="AL603">
        <v>10</v>
      </c>
      <c r="AM603">
        <v>0.16667000000000001</v>
      </c>
      <c r="AN603">
        <v>7</v>
      </c>
      <c r="AO603">
        <v>11</v>
      </c>
      <c r="AP603">
        <v>27</v>
      </c>
      <c r="AQ603">
        <v>8</v>
      </c>
      <c r="AR603">
        <v>51</v>
      </c>
      <c r="AS603">
        <v>16</v>
      </c>
      <c r="AT603" t="s">
        <v>21782</v>
      </c>
      <c r="AU603" t="s">
        <v>21783</v>
      </c>
      <c r="AV603">
        <v>2.1000000000000001E-2</v>
      </c>
      <c r="AW603" t="s">
        <v>65</v>
      </c>
      <c r="AX603">
        <v>78</v>
      </c>
      <c r="AY603">
        <v>24</v>
      </c>
      <c r="AZ603" t="s">
        <v>21784</v>
      </c>
      <c r="BA603">
        <v>9.2740000000000003E-2</v>
      </c>
      <c r="BB603">
        <v>-7.5500000000000003E-3</v>
      </c>
      <c r="BC603">
        <v>8.6300000000000005E-3</v>
      </c>
      <c r="BD603">
        <v>-6.9999999999999999E-4</v>
      </c>
      <c r="BE603">
        <v>9.3090000000000006E-2</v>
      </c>
      <c r="BF603">
        <v>1</v>
      </c>
      <c r="BG603" t="s">
        <v>69</v>
      </c>
      <c r="BH603">
        <v>-0.60299999999999998</v>
      </c>
      <c r="BI603">
        <v>0.65300000000000002</v>
      </c>
    </row>
    <row r="604" spans="3:61">
      <c r="C604">
        <v>0</v>
      </c>
      <c r="D604">
        <v>12</v>
      </c>
      <c r="E604">
        <v>2</v>
      </c>
      <c r="F604" t="s">
        <v>25021</v>
      </c>
      <c r="G604">
        <v>832</v>
      </c>
      <c r="H604" t="s">
        <v>5184</v>
      </c>
      <c r="I604" t="s">
        <v>62</v>
      </c>
      <c r="J604">
        <v>870391</v>
      </c>
      <c r="K604">
        <v>871248</v>
      </c>
      <c r="L604" t="s">
        <v>5185</v>
      </c>
      <c r="M604">
        <v>286</v>
      </c>
      <c r="N604" t="s">
        <v>108</v>
      </c>
      <c r="O604">
        <v>44</v>
      </c>
      <c r="P604" t="str">
        <f>HYPERLINK("Gene832-zp_tree_all.dnd", "Gene832-tree")</f>
        <v>Gene832-tree</v>
      </c>
      <c r="Q604">
        <v>4</v>
      </c>
      <c r="R604">
        <v>10</v>
      </c>
      <c r="S604">
        <v>4</v>
      </c>
      <c r="T604">
        <v>10</v>
      </c>
      <c r="U604">
        <v>0.71428999999999998</v>
      </c>
      <c r="V604" t="s">
        <v>61</v>
      </c>
      <c r="W604" t="s">
        <v>117</v>
      </c>
      <c r="X604" t="s">
        <v>62</v>
      </c>
      <c r="Y604" t="s">
        <v>62</v>
      </c>
      <c r="Z604">
        <v>6</v>
      </c>
      <c r="AA604">
        <v>14</v>
      </c>
      <c r="AB604">
        <v>12</v>
      </c>
      <c r="AC604">
        <v>0.53846000000000005</v>
      </c>
      <c r="AD604" s="47">
        <v>0</v>
      </c>
      <c r="AE604" s="47">
        <v>0</v>
      </c>
      <c r="AF604" s="47">
        <v>0</v>
      </c>
      <c r="AG604" s="47">
        <v>0</v>
      </c>
      <c r="AH604" s="47">
        <v>0</v>
      </c>
      <c r="AI604" s="47">
        <v>6</v>
      </c>
      <c r="AJ604" s="47">
        <v>2</v>
      </c>
      <c r="AK604" s="47">
        <v>8</v>
      </c>
      <c r="AL604">
        <v>11</v>
      </c>
      <c r="AM604">
        <v>0.42104999999999998</v>
      </c>
      <c r="AN604">
        <v>14</v>
      </c>
      <c r="AO604">
        <v>9</v>
      </c>
      <c r="AP604">
        <v>43</v>
      </c>
      <c r="AQ604">
        <v>19</v>
      </c>
      <c r="AR604">
        <v>33</v>
      </c>
      <c r="AS604">
        <v>7</v>
      </c>
      <c r="AT604" t="s">
        <v>5186</v>
      </c>
      <c r="AU604" t="s">
        <v>5187</v>
      </c>
      <c r="AV604">
        <v>0.996</v>
      </c>
      <c r="AW604" t="s">
        <v>65</v>
      </c>
      <c r="AX604">
        <v>76</v>
      </c>
      <c r="AY604">
        <v>26</v>
      </c>
      <c r="AZ604" t="s">
        <v>5188</v>
      </c>
      <c r="BA604">
        <v>7.3380000000000001E-2</v>
      </c>
      <c r="BB604">
        <v>-4.15E-3</v>
      </c>
      <c r="BC604">
        <v>6.7999999999999996E-3</v>
      </c>
      <c r="BD604">
        <v>-3.4000000000000002E-4</v>
      </c>
      <c r="BE604">
        <v>9.2700000000000005E-2</v>
      </c>
      <c r="BF604">
        <v>1</v>
      </c>
      <c r="BG604" t="s">
        <v>69</v>
      </c>
      <c r="BH604">
        <v>-0.97</v>
      </c>
      <c r="BI604">
        <v>8.4000000000000005E-2</v>
      </c>
    </row>
    <row r="605" spans="3:61">
      <c r="C605">
        <v>0</v>
      </c>
      <c r="D605">
        <v>6</v>
      </c>
      <c r="E605">
        <v>2</v>
      </c>
      <c r="F605" t="s">
        <v>25021</v>
      </c>
      <c r="G605">
        <v>1352</v>
      </c>
      <c r="H605" t="s">
        <v>8463</v>
      </c>
      <c r="I605" t="s">
        <v>62</v>
      </c>
      <c r="J605">
        <v>1371018</v>
      </c>
      <c r="K605">
        <v>1371875</v>
      </c>
      <c r="L605" t="s">
        <v>8464</v>
      </c>
      <c r="M605">
        <v>286</v>
      </c>
      <c r="N605" t="s">
        <v>265</v>
      </c>
      <c r="O605">
        <v>43</v>
      </c>
      <c r="P605" t="str">
        <f>HYPERLINK("Gene1352-zp_tree_all.dnd", "Gene1352-tree")</f>
        <v>Gene1352-tree</v>
      </c>
      <c r="Q605">
        <v>8</v>
      </c>
      <c r="R605">
        <v>5</v>
      </c>
      <c r="S605">
        <v>8</v>
      </c>
      <c r="T605">
        <v>5</v>
      </c>
      <c r="U605">
        <v>0.38462000000000002</v>
      </c>
      <c r="V605" t="s">
        <v>136</v>
      </c>
      <c r="W605" t="s">
        <v>199</v>
      </c>
      <c r="X605" t="s">
        <v>62</v>
      </c>
      <c r="Y605" t="s">
        <v>62</v>
      </c>
      <c r="Z605">
        <v>4</v>
      </c>
      <c r="AA605">
        <v>8</v>
      </c>
      <c r="AB605">
        <v>8</v>
      </c>
      <c r="AC605">
        <v>0.5</v>
      </c>
      <c r="AD605" s="47">
        <v>0</v>
      </c>
      <c r="AE605" s="47">
        <v>0</v>
      </c>
      <c r="AF605" s="47">
        <v>0</v>
      </c>
      <c r="AG605" s="47">
        <v>0</v>
      </c>
      <c r="AH605" s="47">
        <v>0</v>
      </c>
      <c r="AI605" s="47">
        <v>4</v>
      </c>
      <c r="AJ605" s="47">
        <v>0</v>
      </c>
      <c r="AK605" s="47">
        <v>4</v>
      </c>
      <c r="AL605">
        <v>7</v>
      </c>
      <c r="AM605">
        <v>0.36364000000000002</v>
      </c>
      <c r="AN605">
        <v>11</v>
      </c>
      <c r="AO605">
        <v>7</v>
      </c>
      <c r="AP605">
        <v>41</v>
      </c>
      <c r="AQ605">
        <v>11</v>
      </c>
      <c r="AR605">
        <v>17</v>
      </c>
      <c r="AS605">
        <v>6</v>
      </c>
      <c r="AT605" t="s">
        <v>8465</v>
      </c>
      <c r="AU605" t="s">
        <v>8466</v>
      </c>
      <c r="AV605">
        <v>0.186</v>
      </c>
      <c r="AW605" t="s">
        <v>65</v>
      </c>
      <c r="AX605">
        <v>58</v>
      </c>
      <c r="AY605">
        <v>17</v>
      </c>
      <c r="AZ605" t="s">
        <v>8467</v>
      </c>
      <c r="BA605">
        <v>6.5769999999999995E-2</v>
      </c>
      <c r="BB605">
        <v>-6.0499999999999998E-3</v>
      </c>
      <c r="BC605">
        <v>5.1900000000000002E-3</v>
      </c>
      <c r="BD605">
        <v>-4.2999999999999999E-4</v>
      </c>
      <c r="BE605">
        <v>7.886E-2</v>
      </c>
      <c r="BF605">
        <v>1</v>
      </c>
      <c r="BG605" t="s">
        <v>69</v>
      </c>
      <c r="BH605">
        <v>-0.95299999999999996</v>
      </c>
      <c r="BI605">
        <v>-2.4</v>
      </c>
    </row>
    <row r="606" spans="3:61">
      <c r="C606">
        <v>0</v>
      </c>
      <c r="D606">
        <v>0</v>
      </c>
      <c r="E606">
        <v>0</v>
      </c>
      <c r="F606" t="s">
        <v>25021</v>
      </c>
      <c r="G606">
        <v>1461</v>
      </c>
      <c r="H606" t="s">
        <v>9151</v>
      </c>
      <c r="I606" t="s">
        <v>62</v>
      </c>
      <c r="J606">
        <v>1477072</v>
      </c>
      <c r="K606">
        <v>1477929</v>
      </c>
      <c r="L606" t="s">
        <v>9152</v>
      </c>
      <c r="M606">
        <v>286</v>
      </c>
      <c r="N606" t="s">
        <v>108</v>
      </c>
      <c r="O606">
        <v>44</v>
      </c>
      <c r="P606" t="str">
        <f>HYPERLINK("Gene1461-zp_tree_all.dnd", "Gene1461-tree")</f>
        <v>Gene1461-tree</v>
      </c>
      <c r="Q606">
        <v>30</v>
      </c>
      <c r="R606">
        <v>4</v>
      </c>
      <c r="S606">
        <v>11</v>
      </c>
      <c r="T606">
        <v>4</v>
      </c>
      <c r="U606">
        <v>0.26667000000000002</v>
      </c>
      <c r="V606" t="s">
        <v>89</v>
      </c>
      <c r="W606" t="s">
        <v>61</v>
      </c>
      <c r="X606" t="s">
        <v>62</v>
      </c>
      <c r="Y606" t="s">
        <v>62</v>
      </c>
      <c r="Z606">
        <v>0</v>
      </c>
      <c r="AA606">
        <v>0</v>
      </c>
      <c r="AB606">
        <v>7</v>
      </c>
      <c r="AC606">
        <v>0</v>
      </c>
      <c r="AD606" s="47">
        <v>0</v>
      </c>
      <c r="AE606" s="47">
        <v>0</v>
      </c>
      <c r="AF606" s="47">
        <v>0</v>
      </c>
      <c r="AG606" s="47">
        <v>1</v>
      </c>
      <c r="AH606" s="47">
        <v>0</v>
      </c>
      <c r="AI606" s="47">
        <v>0</v>
      </c>
      <c r="AJ606" s="47">
        <v>0</v>
      </c>
      <c r="AK606" s="47">
        <v>0</v>
      </c>
      <c r="AL606">
        <v>5</v>
      </c>
      <c r="AM606">
        <v>0</v>
      </c>
      <c r="AN606">
        <v>12</v>
      </c>
      <c r="AO606">
        <v>6</v>
      </c>
      <c r="AP606">
        <v>24</v>
      </c>
      <c r="AQ606">
        <v>5</v>
      </c>
      <c r="AR606">
        <v>11</v>
      </c>
      <c r="AS606">
        <v>2</v>
      </c>
      <c r="AT606" t="s">
        <v>9153</v>
      </c>
      <c r="AU606" t="s">
        <v>9154</v>
      </c>
      <c r="AV606">
        <v>0.106</v>
      </c>
      <c r="AW606" t="s">
        <v>65</v>
      </c>
      <c r="AX606">
        <v>35</v>
      </c>
      <c r="AY606">
        <v>7</v>
      </c>
      <c r="AZ606" t="s">
        <v>9155</v>
      </c>
      <c r="BA606">
        <v>2.7439999999999999E-2</v>
      </c>
      <c r="BB606">
        <v>-1.4599999999999999E-3</v>
      </c>
      <c r="BC606">
        <v>1.9499999999999999E-3</v>
      </c>
      <c r="BD606">
        <v>-1.3999999999999999E-4</v>
      </c>
      <c r="BE606">
        <v>7.0910000000000001E-2</v>
      </c>
      <c r="BF606">
        <v>1</v>
      </c>
      <c r="BG606" t="s">
        <v>69</v>
      </c>
      <c r="BH606">
        <v>-1.794</v>
      </c>
      <c r="BI606">
        <v>-2.42</v>
      </c>
    </row>
    <row r="607" spans="3:61">
      <c r="C607">
        <v>0</v>
      </c>
      <c r="D607">
        <v>8</v>
      </c>
      <c r="E607">
        <v>1</v>
      </c>
      <c r="F607" t="s">
        <v>25021</v>
      </c>
      <c r="G607">
        <v>340</v>
      </c>
      <c r="H607" t="s">
        <v>2316</v>
      </c>
      <c r="I607" t="s">
        <v>62</v>
      </c>
      <c r="J607">
        <v>367998</v>
      </c>
      <c r="K607">
        <v>368858</v>
      </c>
      <c r="L607" t="s">
        <v>2317</v>
      </c>
      <c r="M607">
        <v>287</v>
      </c>
      <c r="N607" t="s">
        <v>108</v>
      </c>
      <c r="O607">
        <v>44</v>
      </c>
      <c r="P607" t="str">
        <f>HYPERLINK("Gene340-zp_tree_all.dnd", "Gene340-tree")</f>
        <v>Gene340-tree</v>
      </c>
      <c r="Q607">
        <v>5</v>
      </c>
      <c r="R607">
        <v>8</v>
      </c>
      <c r="S607">
        <v>5</v>
      </c>
      <c r="T607">
        <v>8</v>
      </c>
      <c r="U607">
        <v>0.61538000000000004</v>
      </c>
      <c r="V607" t="s">
        <v>199</v>
      </c>
      <c r="W607" t="s">
        <v>136</v>
      </c>
      <c r="X607" t="s">
        <v>62</v>
      </c>
      <c r="Y607" t="s">
        <v>62</v>
      </c>
      <c r="Z607">
        <v>4</v>
      </c>
      <c r="AA607">
        <v>9</v>
      </c>
      <c r="AB607">
        <v>8</v>
      </c>
      <c r="AC607">
        <v>0.52941000000000005</v>
      </c>
      <c r="AD607" s="47">
        <v>0</v>
      </c>
      <c r="AE607" s="47">
        <v>0</v>
      </c>
      <c r="AF607" s="47">
        <v>0</v>
      </c>
      <c r="AG607" s="47">
        <v>0</v>
      </c>
      <c r="AH607" s="47">
        <v>0</v>
      </c>
      <c r="AI607" s="47">
        <v>4</v>
      </c>
      <c r="AJ607" s="47">
        <v>1</v>
      </c>
      <c r="AK607" s="47">
        <v>5</v>
      </c>
      <c r="AL607">
        <v>6</v>
      </c>
      <c r="AM607">
        <v>0.45455000000000001</v>
      </c>
      <c r="AN607">
        <v>12</v>
      </c>
      <c r="AO607">
        <v>9</v>
      </c>
      <c r="AP607">
        <v>34</v>
      </c>
      <c r="AQ607">
        <v>10</v>
      </c>
      <c r="AR607">
        <v>34</v>
      </c>
      <c r="AS607">
        <v>7</v>
      </c>
      <c r="AT607" t="s">
        <v>2318</v>
      </c>
      <c r="AU607" t="s">
        <v>2319</v>
      </c>
      <c r="AV607">
        <v>0.41399999999999998</v>
      </c>
      <c r="AW607" t="s">
        <v>65</v>
      </c>
      <c r="AX607">
        <v>68</v>
      </c>
      <c r="AY607">
        <v>17</v>
      </c>
      <c r="AZ607" t="s">
        <v>2320</v>
      </c>
      <c r="BA607">
        <v>7.1629999999999999E-2</v>
      </c>
      <c r="BB607">
        <v>-2.82E-3</v>
      </c>
      <c r="BC607">
        <v>5.62E-3</v>
      </c>
      <c r="BD607">
        <v>-3.2000000000000003E-4</v>
      </c>
      <c r="BE607">
        <v>7.8490000000000004E-2</v>
      </c>
      <c r="BF607">
        <v>1</v>
      </c>
      <c r="BG607" t="s">
        <v>69</v>
      </c>
      <c r="BH607">
        <v>0.314</v>
      </c>
      <c r="BI607">
        <v>0.01</v>
      </c>
    </row>
    <row r="608" spans="3:61">
      <c r="C608">
        <v>0</v>
      </c>
      <c r="D608">
        <v>10</v>
      </c>
      <c r="E608">
        <v>1</v>
      </c>
      <c r="F608" t="s">
        <v>25021</v>
      </c>
      <c r="G608">
        <v>535</v>
      </c>
      <c r="H608" t="s">
        <v>3452</v>
      </c>
      <c r="I608" t="s">
        <v>62</v>
      </c>
      <c r="J608">
        <v>570374</v>
      </c>
      <c r="K608">
        <v>571234</v>
      </c>
      <c r="L608" t="s">
        <v>1123</v>
      </c>
      <c r="M608">
        <v>287</v>
      </c>
      <c r="N608" t="s">
        <v>108</v>
      </c>
      <c r="O608">
        <v>44</v>
      </c>
      <c r="P608" t="str">
        <f>HYPERLINK("Gene535-zp_tree_all.dnd", "Gene535-tree")</f>
        <v>Gene535-tree</v>
      </c>
      <c r="Q608">
        <v>7</v>
      </c>
      <c r="R608">
        <v>7</v>
      </c>
      <c r="S608">
        <v>7</v>
      </c>
      <c r="T608">
        <v>7</v>
      </c>
      <c r="U608">
        <v>0.5</v>
      </c>
      <c r="V608" t="s">
        <v>152</v>
      </c>
      <c r="W608" t="s">
        <v>152</v>
      </c>
      <c r="X608" t="s">
        <v>62</v>
      </c>
      <c r="Y608" t="s">
        <v>62</v>
      </c>
      <c r="Z608">
        <v>4</v>
      </c>
      <c r="AA608">
        <v>11</v>
      </c>
      <c r="AB608">
        <v>8</v>
      </c>
      <c r="AC608">
        <v>0.57894999999999996</v>
      </c>
      <c r="AD608" s="47">
        <v>0</v>
      </c>
      <c r="AE608" s="47">
        <v>0</v>
      </c>
      <c r="AF608" s="47">
        <v>0</v>
      </c>
      <c r="AG608" s="47">
        <v>2</v>
      </c>
      <c r="AH608" s="47">
        <v>0</v>
      </c>
      <c r="AI608" s="47">
        <v>0</v>
      </c>
      <c r="AJ608" s="47">
        <v>2</v>
      </c>
      <c r="AK608" s="47">
        <v>2</v>
      </c>
      <c r="AL608">
        <v>8</v>
      </c>
      <c r="AM608">
        <v>0.2</v>
      </c>
      <c r="AN608">
        <v>10</v>
      </c>
      <c r="AO608">
        <v>11</v>
      </c>
      <c r="AP608">
        <v>47</v>
      </c>
      <c r="AQ608">
        <v>10</v>
      </c>
      <c r="AR608">
        <v>46</v>
      </c>
      <c r="AS608">
        <v>10</v>
      </c>
      <c r="AT608" t="s">
        <v>3453</v>
      </c>
      <c r="AU608" t="s">
        <v>3454</v>
      </c>
      <c r="AV608">
        <v>4.3999999999999997E-2</v>
      </c>
      <c r="AW608" t="s">
        <v>65</v>
      </c>
      <c r="AX608">
        <v>93</v>
      </c>
      <c r="AY608">
        <v>20</v>
      </c>
      <c r="AZ608" t="s">
        <v>3455</v>
      </c>
      <c r="BA608">
        <v>8.6800000000000002E-2</v>
      </c>
      <c r="BB608">
        <v>-3.4499999999999999E-3</v>
      </c>
      <c r="BC608">
        <v>6.7400000000000003E-3</v>
      </c>
      <c r="BD608">
        <v>-3.6000000000000002E-4</v>
      </c>
      <c r="BE608">
        <v>7.7649999999999997E-2</v>
      </c>
      <c r="BF608">
        <v>1</v>
      </c>
      <c r="BG608" t="s">
        <v>69</v>
      </c>
      <c r="BH608">
        <v>0.74399999999999999</v>
      </c>
      <c r="BI608">
        <v>-0.79100000000000004</v>
      </c>
    </row>
    <row r="609" spans="3:61">
      <c r="C609">
        <v>0</v>
      </c>
      <c r="D609">
        <v>6</v>
      </c>
      <c r="E609">
        <v>1</v>
      </c>
      <c r="F609" t="s">
        <v>25021</v>
      </c>
      <c r="G609">
        <v>2770</v>
      </c>
      <c r="H609" t="s">
        <v>15896</v>
      </c>
      <c r="I609" t="s">
        <v>57</v>
      </c>
      <c r="J609">
        <v>2721778</v>
      </c>
      <c r="K609">
        <v>2722641</v>
      </c>
      <c r="L609" t="s">
        <v>11969</v>
      </c>
      <c r="M609">
        <v>288</v>
      </c>
      <c r="N609" t="s">
        <v>1392</v>
      </c>
      <c r="O609">
        <v>43</v>
      </c>
      <c r="P609" t="str">
        <f>HYPERLINK("Gene2770-zp_tree_all.dnd", "Gene2770-tree")</f>
        <v>Gene2770-tree</v>
      </c>
      <c r="Q609">
        <v>7</v>
      </c>
      <c r="R609">
        <v>8</v>
      </c>
      <c r="S609">
        <v>7</v>
      </c>
      <c r="T609">
        <v>8</v>
      </c>
      <c r="U609">
        <v>0.53332999999999997</v>
      </c>
      <c r="V609" t="s">
        <v>152</v>
      </c>
      <c r="W609" t="s">
        <v>136</v>
      </c>
      <c r="X609" t="s">
        <v>62</v>
      </c>
      <c r="Y609" t="s">
        <v>62</v>
      </c>
      <c r="Z609">
        <v>3</v>
      </c>
      <c r="AA609">
        <v>7</v>
      </c>
      <c r="AB609">
        <v>6</v>
      </c>
      <c r="AC609">
        <v>0.53846000000000005</v>
      </c>
      <c r="AD609" s="47">
        <v>0</v>
      </c>
      <c r="AE609" s="47">
        <v>0</v>
      </c>
      <c r="AF609" s="47">
        <v>0</v>
      </c>
      <c r="AG609" s="47">
        <v>1</v>
      </c>
      <c r="AH609" s="47">
        <v>0</v>
      </c>
      <c r="AI609" s="47">
        <v>2</v>
      </c>
      <c r="AJ609" s="47">
        <v>1</v>
      </c>
      <c r="AK609" s="47">
        <v>3</v>
      </c>
      <c r="AL609">
        <v>8</v>
      </c>
      <c r="AM609">
        <v>0.27272999999999997</v>
      </c>
      <c r="AN609">
        <v>10</v>
      </c>
      <c r="AO609">
        <v>10</v>
      </c>
      <c r="AP609">
        <v>13</v>
      </c>
      <c r="AQ609">
        <v>8</v>
      </c>
      <c r="AR609">
        <v>23</v>
      </c>
      <c r="AS609">
        <v>5</v>
      </c>
      <c r="AT609" t="s">
        <v>15897</v>
      </c>
      <c r="AU609" t="s">
        <v>15898</v>
      </c>
      <c r="AV609">
        <v>1.157</v>
      </c>
      <c r="AW609" t="s">
        <v>65</v>
      </c>
      <c r="AX609">
        <v>36</v>
      </c>
      <c r="AY609">
        <v>13</v>
      </c>
      <c r="AZ609" t="s">
        <v>15899</v>
      </c>
      <c r="BA609">
        <v>4.0960000000000003E-2</v>
      </c>
      <c r="BB609">
        <v>-1.65E-3</v>
      </c>
      <c r="BC609">
        <v>3.31E-3</v>
      </c>
      <c r="BD609">
        <v>-1.8000000000000001E-4</v>
      </c>
      <c r="BE609">
        <v>8.0799999999999997E-2</v>
      </c>
      <c r="BF609">
        <v>1</v>
      </c>
      <c r="BG609" t="s">
        <v>69</v>
      </c>
      <c r="BH609">
        <v>-0.03</v>
      </c>
      <c r="BI609">
        <v>-1.1319999999999999</v>
      </c>
    </row>
    <row r="610" spans="3:61">
      <c r="C610">
        <v>0</v>
      </c>
      <c r="D610">
        <v>6</v>
      </c>
      <c r="E610">
        <v>4</v>
      </c>
      <c r="F610" t="s">
        <v>25021</v>
      </c>
      <c r="G610">
        <v>529</v>
      </c>
      <c r="H610" t="s">
        <v>3413</v>
      </c>
      <c r="I610" t="s">
        <v>62</v>
      </c>
      <c r="J610">
        <v>563617</v>
      </c>
      <c r="K610">
        <v>564486</v>
      </c>
      <c r="L610" t="s">
        <v>1572</v>
      </c>
      <c r="M610">
        <v>290</v>
      </c>
      <c r="N610" t="s">
        <v>3414</v>
      </c>
      <c r="O610">
        <v>44</v>
      </c>
      <c r="P610" t="str">
        <f>HYPERLINK("Gene529-zp_tree_all.dnd", "Gene529-tree")</f>
        <v>Gene529-tree</v>
      </c>
      <c r="Q610">
        <v>4</v>
      </c>
      <c r="R610">
        <v>11</v>
      </c>
      <c r="S610">
        <v>4</v>
      </c>
      <c r="T610">
        <v>11</v>
      </c>
      <c r="U610">
        <v>0.73333000000000004</v>
      </c>
      <c r="V610" t="s">
        <v>61</v>
      </c>
      <c r="W610" t="s">
        <v>73</v>
      </c>
      <c r="X610">
        <v>200307210.301</v>
      </c>
      <c r="Y610" t="s">
        <v>267</v>
      </c>
      <c r="Z610">
        <v>5</v>
      </c>
      <c r="AA610">
        <v>10</v>
      </c>
      <c r="AB610">
        <v>28</v>
      </c>
      <c r="AC610">
        <v>0.26316000000000001</v>
      </c>
      <c r="AD610" s="47">
        <v>0</v>
      </c>
      <c r="AE610" s="47">
        <v>0</v>
      </c>
      <c r="AF610" s="47">
        <v>0</v>
      </c>
      <c r="AG610" s="47">
        <v>1</v>
      </c>
      <c r="AH610" s="47">
        <v>0</v>
      </c>
      <c r="AI610" s="47">
        <v>2</v>
      </c>
      <c r="AJ610" s="47">
        <v>4</v>
      </c>
      <c r="AK610" s="47">
        <v>6</v>
      </c>
      <c r="AL610">
        <v>26</v>
      </c>
      <c r="AM610">
        <v>0.1875</v>
      </c>
      <c r="AN610">
        <v>12</v>
      </c>
      <c r="AO610">
        <v>12</v>
      </c>
      <c r="AP610">
        <v>20</v>
      </c>
      <c r="AQ610">
        <v>20</v>
      </c>
      <c r="AR610">
        <v>44</v>
      </c>
      <c r="AS610">
        <v>18</v>
      </c>
      <c r="AT610" t="s">
        <v>3415</v>
      </c>
      <c r="AU610" t="s">
        <v>3416</v>
      </c>
      <c r="AV610">
        <v>0.67300000000000004</v>
      </c>
      <c r="AW610" t="s">
        <v>65</v>
      </c>
      <c r="AX610">
        <v>64</v>
      </c>
      <c r="AY610">
        <v>38</v>
      </c>
      <c r="AZ610" t="s">
        <v>3417</v>
      </c>
      <c r="BA610">
        <v>7.9299999999999995E-2</v>
      </c>
      <c r="BB610">
        <v>-4.3400000000000001E-3</v>
      </c>
      <c r="BC610">
        <v>1.0919999999999999E-2</v>
      </c>
      <c r="BD610">
        <v>-7.9000000000000001E-4</v>
      </c>
      <c r="BE610">
        <v>0.13775999999999999</v>
      </c>
      <c r="BF610">
        <v>1</v>
      </c>
      <c r="BG610" t="s">
        <v>69</v>
      </c>
      <c r="BH610">
        <v>-0.90900000000000003</v>
      </c>
      <c r="BI610">
        <v>-0.154</v>
      </c>
    </row>
    <row r="611" spans="3:61">
      <c r="C611">
        <v>0</v>
      </c>
      <c r="D611">
        <v>2</v>
      </c>
      <c r="E611">
        <v>0</v>
      </c>
      <c r="F611" t="s">
        <v>25021</v>
      </c>
      <c r="G611">
        <v>2434</v>
      </c>
      <c r="H611" t="s">
        <v>14167</v>
      </c>
      <c r="I611" t="s">
        <v>57</v>
      </c>
      <c r="J611">
        <v>2436045</v>
      </c>
      <c r="K611">
        <v>2436914</v>
      </c>
      <c r="L611" t="s">
        <v>2332</v>
      </c>
      <c r="M611">
        <v>290</v>
      </c>
      <c r="N611" t="s">
        <v>108</v>
      </c>
      <c r="O611">
        <v>44</v>
      </c>
      <c r="P611" t="str">
        <f>HYPERLINK("Gene2434-zp_tree_all.dnd", "Gene2434-tree")</f>
        <v>Gene2434-tree</v>
      </c>
      <c r="Q611">
        <v>8</v>
      </c>
      <c r="R611">
        <v>5</v>
      </c>
      <c r="S611">
        <v>8</v>
      </c>
      <c r="T611">
        <v>5</v>
      </c>
      <c r="U611">
        <v>0.38462000000000002</v>
      </c>
      <c r="V611" t="s">
        <v>136</v>
      </c>
      <c r="W611" t="s">
        <v>199</v>
      </c>
      <c r="X611" t="s">
        <v>62</v>
      </c>
      <c r="Y611" t="s">
        <v>62</v>
      </c>
      <c r="Z611">
        <v>1</v>
      </c>
      <c r="AA611">
        <v>2</v>
      </c>
      <c r="AB611">
        <v>5</v>
      </c>
      <c r="AC611">
        <v>0.28571000000000002</v>
      </c>
      <c r="AD611" s="47">
        <v>0</v>
      </c>
      <c r="AE611" s="47">
        <v>0</v>
      </c>
      <c r="AF611" s="47">
        <v>0</v>
      </c>
      <c r="AG611" s="47">
        <v>0</v>
      </c>
      <c r="AH611" s="47">
        <v>0</v>
      </c>
      <c r="AI611" s="47">
        <v>0</v>
      </c>
      <c r="AJ611" s="47">
        <v>0</v>
      </c>
      <c r="AK611" s="47">
        <v>0</v>
      </c>
      <c r="AL611">
        <v>5</v>
      </c>
      <c r="AM611">
        <v>0</v>
      </c>
      <c r="AN611">
        <v>11</v>
      </c>
      <c r="AO611">
        <v>9</v>
      </c>
      <c r="AP611">
        <v>33</v>
      </c>
      <c r="AQ611">
        <v>5</v>
      </c>
      <c r="AR611">
        <v>29</v>
      </c>
      <c r="AS611">
        <v>2</v>
      </c>
      <c r="AT611" t="s">
        <v>14168</v>
      </c>
      <c r="AU611" t="s">
        <v>14169</v>
      </c>
      <c r="AV611">
        <v>0.65100000000000002</v>
      </c>
      <c r="AW611" t="s">
        <v>65</v>
      </c>
      <c r="AX611">
        <v>62</v>
      </c>
      <c r="AY611">
        <v>7</v>
      </c>
      <c r="AZ611" t="s">
        <v>14170</v>
      </c>
      <c r="BA611">
        <v>6.0630000000000003E-2</v>
      </c>
      <c r="BB611">
        <v>-2.16E-3</v>
      </c>
      <c r="BC611">
        <v>1.91E-3</v>
      </c>
      <c r="BD611">
        <v>-1.1E-4</v>
      </c>
      <c r="BE611">
        <v>3.15E-2</v>
      </c>
      <c r="BF611">
        <v>1</v>
      </c>
      <c r="BG611" t="s">
        <v>69</v>
      </c>
      <c r="BH611">
        <v>-0.81</v>
      </c>
      <c r="BI611">
        <v>-1.097</v>
      </c>
    </row>
    <row r="612" spans="3:61">
      <c r="C612">
        <v>0</v>
      </c>
      <c r="D612">
        <v>2</v>
      </c>
      <c r="E612">
        <v>0</v>
      </c>
      <c r="F612" t="s">
        <v>25021</v>
      </c>
      <c r="G612">
        <v>365</v>
      </c>
      <c r="H612" t="s">
        <v>2476</v>
      </c>
      <c r="I612" t="s">
        <v>62</v>
      </c>
      <c r="J612">
        <v>411581</v>
      </c>
      <c r="K612">
        <v>412450</v>
      </c>
      <c r="L612" t="s">
        <v>2477</v>
      </c>
      <c r="M612">
        <v>290</v>
      </c>
      <c r="N612" t="s">
        <v>108</v>
      </c>
      <c r="O612">
        <v>44</v>
      </c>
      <c r="P612" t="str">
        <f>HYPERLINK("Gene365-zp_tree_all.dnd", "Gene365-tree")</f>
        <v>Gene365-tree</v>
      </c>
      <c r="Q612">
        <v>7</v>
      </c>
      <c r="R612">
        <v>5</v>
      </c>
      <c r="S612">
        <v>7</v>
      </c>
      <c r="T612">
        <v>5</v>
      </c>
      <c r="U612">
        <v>0.41666999999999998</v>
      </c>
      <c r="V612" t="s">
        <v>152</v>
      </c>
      <c r="W612" t="s">
        <v>199</v>
      </c>
      <c r="X612" t="s">
        <v>62</v>
      </c>
      <c r="Y612" t="s">
        <v>62</v>
      </c>
      <c r="Z612">
        <v>1</v>
      </c>
      <c r="AA612">
        <v>2</v>
      </c>
      <c r="AB612">
        <v>3</v>
      </c>
      <c r="AC612">
        <v>0.4</v>
      </c>
      <c r="AD612" s="47">
        <v>0</v>
      </c>
      <c r="AE612" s="47">
        <v>0</v>
      </c>
      <c r="AF612" s="47">
        <v>0</v>
      </c>
      <c r="AG612" s="47">
        <v>0</v>
      </c>
      <c r="AH612" s="47">
        <v>0</v>
      </c>
      <c r="AI612" s="47">
        <v>2</v>
      </c>
      <c r="AJ612" s="47">
        <v>0</v>
      </c>
      <c r="AK612" s="47">
        <v>2</v>
      </c>
      <c r="AL612">
        <v>3</v>
      </c>
      <c r="AM612">
        <v>0.4</v>
      </c>
      <c r="AN612">
        <v>12</v>
      </c>
      <c r="AO612">
        <v>9</v>
      </c>
      <c r="AP612">
        <v>53</v>
      </c>
      <c r="AQ612">
        <v>5</v>
      </c>
      <c r="AR612">
        <v>14</v>
      </c>
      <c r="AS612">
        <v>0</v>
      </c>
      <c r="AT612" t="s">
        <v>2478</v>
      </c>
      <c r="AU612" t="s">
        <v>193</v>
      </c>
      <c r="AV612">
        <v>1.0660000000000001</v>
      </c>
      <c r="AW612" t="s">
        <v>65</v>
      </c>
      <c r="AX612">
        <v>67</v>
      </c>
      <c r="AY612">
        <v>5</v>
      </c>
      <c r="AZ612" t="s">
        <v>2479</v>
      </c>
      <c r="BA612">
        <v>6.2640000000000001E-2</v>
      </c>
      <c r="BB612">
        <v>-4.8999999999999998E-3</v>
      </c>
      <c r="BC612">
        <v>1.1999999999999999E-3</v>
      </c>
      <c r="BD612">
        <v>-1.1E-4</v>
      </c>
      <c r="BE612">
        <v>1.9140000000000001E-2</v>
      </c>
      <c r="BF612">
        <v>1</v>
      </c>
      <c r="BG612" t="s">
        <v>69</v>
      </c>
      <c r="BH612">
        <v>-0.98</v>
      </c>
      <c r="BI612">
        <v>-2.173</v>
      </c>
    </row>
    <row r="613" spans="3:61">
      <c r="C613">
        <v>0</v>
      </c>
      <c r="D613">
        <v>0</v>
      </c>
      <c r="E613">
        <v>0</v>
      </c>
      <c r="F613" t="s">
        <v>25021</v>
      </c>
      <c r="G613">
        <v>2345</v>
      </c>
      <c r="H613" t="s">
        <v>13615</v>
      </c>
      <c r="I613" t="s">
        <v>57</v>
      </c>
      <c r="J613">
        <v>2360630</v>
      </c>
      <c r="K613">
        <v>2361499</v>
      </c>
      <c r="L613" t="s">
        <v>3095</v>
      </c>
      <c r="M613">
        <v>290</v>
      </c>
      <c r="N613" t="s">
        <v>13568</v>
      </c>
      <c r="O613">
        <v>40</v>
      </c>
      <c r="P613" t="str">
        <f>HYPERLINK("Gene2345-zp_tree_all.dnd", "Gene2345-tree")</f>
        <v>Gene2345-tree</v>
      </c>
      <c r="Q613">
        <v>9</v>
      </c>
      <c r="R613">
        <v>2</v>
      </c>
      <c r="S613">
        <v>9</v>
      </c>
      <c r="T613">
        <v>2</v>
      </c>
      <c r="U613">
        <v>0.18182000000000001</v>
      </c>
      <c r="V613" t="s">
        <v>135</v>
      </c>
      <c r="W613" t="s">
        <v>81</v>
      </c>
      <c r="X613" t="s">
        <v>62</v>
      </c>
      <c r="Y613" t="s">
        <v>62</v>
      </c>
      <c r="Z613">
        <v>0</v>
      </c>
      <c r="AA613">
        <v>0</v>
      </c>
      <c r="AB613">
        <v>2</v>
      </c>
      <c r="AC613">
        <v>0</v>
      </c>
      <c r="AD613" s="47">
        <v>0</v>
      </c>
      <c r="AE613" s="47">
        <v>0</v>
      </c>
      <c r="AF613" s="47">
        <v>0</v>
      </c>
      <c r="AG613" s="47">
        <v>0</v>
      </c>
      <c r="AH613" s="47">
        <v>0</v>
      </c>
      <c r="AI613" s="47">
        <v>0</v>
      </c>
      <c r="AJ613" s="47">
        <v>0</v>
      </c>
      <c r="AK613" s="47">
        <v>0</v>
      </c>
      <c r="AL613">
        <v>2</v>
      </c>
      <c r="AM613">
        <v>0</v>
      </c>
      <c r="AN613">
        <v>11</v>
      </c>
      <c r="AO613">
        <v>2</v>
      </c>
      <c r="AP613">
        <v>36</v>
      </c>
      <c r="AQ613">
        <v>2</v>
      </c>
      <c r="AR613">
        <v>3</v>
      </c>
      <c r="AS613">
        <v>0</v>
      </c>
      <c r="AT613" t="s">
        <v>13616</v>
      </c>
      <c r="AU613" t="s">
        <v>193</v>
      </c>
      <c r="AV613">
        <v>0.69699999999999995</v>
      </c>
      <c r="AW613" t="s">
        <v>65</v>
      </c>
      <c r="AX613">
        <v>39</v>
      </c>
      <c r="AY613">
        <v>2</v>
      </c>
      <c r="AZ613" t="s">
        <v>582</v>
      </c>
      <c r="BA613">
        <v>3.7420000000000002E-2</v>
      </c>
      <c r="BB613">
        <v>-1.6000000000000001E-3</v>
      </c>
      <c r="BC613">
        <v>5.5000000000000003E-4</v>
      </c>
      <c r="BD613">
        <v>-1E-4</v>
      </c>
      <c r="BE613">
        <v>1.47E-2</v>
      </c>
      <c r="BF613">
        <v>1</v>
      </c>
      <c r="BG613" t="s">
        <v>69</v>
      </c>
      <c r="BH613">
        <v>-1.53</v>
      </c>
      <c r="BI613">
        <v>-3.734</v>
      </c>
    </row>
    <row r="614" spans="3:61">
      <c r="C614">
        <v>0</v>
      </c>
      <c r="D614">
        <v>6</v>
      </c>
      <c r="E614">
        <v>0</v>
      </c>
      <c r="F614" t="s">
        <v>25021</v>
      </c>
      <c r="G614">
        <v>4026</v>
      </c>
      <c r="H614" t="s">
        <v>23694</v>
      </c>
      <c r="I614" t="s">
        <v>57</v>
      </c>
      <c r="J614">
        <v>3991718</v>
      </c>
      <c r="K614">
        <v>3992590</v>
      </c>
      <c r="L614" t="s">
        <v>2170</v>
      </c>
      <c r="M614">
        <v>291</v>
      </c>
      <c r="N614" t="s">
        <v>23689</v>
      </c>
      <c r="O614">
        <v>27</v>
      </c>
      <c r="P614" t="str">
        <f>HYPERLINK("Gene4026-zp_tree_all.dnd", "Gene4026-tree")</f>
        <v>Gene4026-tree</v>
      </c>
      <c r="Q614">
        <v>1</v>
      </c>
      <c r="R614">
        <v>5</v>
      </c>
      <c r="S614">
        <v>1</v>
      </c>
      <c r="T614">
        <v>5</v>
      </c>
      <c r="U614">
        <v>0.83333000000000002</v>
      </c>
      <c r="V614" t="s">
        <v>175</v>
      </c>
      <c r="W614" t="s">
        <v>199</v>
      </c>
      <c r="X614" t="s">
        <v>62</v>
      </c>
      <c r="Y614" t="s">
        <v>62</v>
      </c>
      <c r="Z614">
        <v>3</v>
      </c>
      <c r="AA614">
        <v>6</v>
      </c>
      <c r="AB614">
        <v>12</v>
      </c>
      <c r="AC614">
        <v>0.33333000000000002</v>
      </c>
      <c r="AD614" s="47">
        <v>0</v>
      </c>
      <c r="AE614" s="47">
        <v>0</v>
      </c>
      <c r="AF614" s="47">
        <v>0</v>
      </c>
      <c r="AG614" s="47">
        <v>0</v>
      </c>
      <c r="AH614" s="47">
        <v>0</v>
      </c>
      <c r="AI614" s="47">
        <v>2</v>
      </c>
      <c r="AJ614" s="47">
        <v>0</v>
      </c>
      <c r="AK614" s="47">
        <v>2</v>
      </c>
      <c r="AL614">
        <v>9</v>
      </c>
      <c r="AM614">
        <v>0.18182000000000001</v>
      </c>
      <c r="AN614">
        <v>6</v>
      </c>
      <c r="AO614">
        <v>3</v>
      </c>
      <c r="AP614">
        <v>13</v>
      </c>
      <c r="AQ614">
        <v>11</v>
      </c>
      <c r="AR614">
        <v>6</v>
      </c>
      <c r="AS614">
        <v>7</v>
      </c>
      <c r="AT614" t="s">
        <v>23695</v>
      </c>
      <c r="AU614" t="s">
        <v>23696</v>
      </c>
      <c r="AV614">
        <v>0.28399999999999997</v>
      </c>
      <c r="AW614" t="s">
        <v>65</v>
      </c>
      <c r="AX614">
        <v>19</v>
      </c>
      <c r="AY614">
        <v>18</v>
      </c>
      <c r="AZ614" t="s">
        <v>23697</v>
      </c>
      <c r="BA614">
        <v>3.5560000000000001E-2</v>
      </c>
      <c r="BB614">
        <v>-3.7299999999999998E-3</v>
      </c>
      <c r="BC614">
        <v>1.004E-2</v>
      </c>
      <c r="BD614">
        <v>-1.23E-3</v>
      </c>
      <c r="BE614">
        <v>0.28223999999999999</v>
      </c>
      <c r="BF614">
        <v>0.98</v>
      </c>
      <c r="BG614" t="s">
        <v>69</v>
      </c>
      <c r="BH614">
        <v>-0.70499999999999996</v>
      </c>
      <c r="BI614">
        <v>-0.54400000000000004</v>
      </c>
    </row>
    <row r="615" spans="3:61">
      <c r="C615">
        <v>0</v>
      </c>
      <c r="D615">
        <v>10</v>
      </c>
      <c r="E615">
        <v>0</v>
      </c>
      <c r="F615" t="s">
        <v>25021</v>
      </c>
      <c r="G615">
        <v>527</v>
      </c>
      <c r="H615" t="s">
        <v>3400</v>
      </c>
      <c r="I615" t="s">
        <v>62</v>
      </c>
      <c r="J615">
        <v>561517</v>
      </c>
      <c r="K615">
        <v>562389</v>
      </c>
      <c r="L615" t="s">
        <v>1572</v>
      </c>
      <c r="M615">
        <v>291</v>
      </c>
      <c r="N615" t="s">
        <v>3401</v>
      </c>
      <c r="O615">
        <v>42</v>
      </c>
      <c r="P615" t="str">
        <f>HYPERLINK("Gene527-zp_tree_all.dnd", "Gene527-tree")</f>
        <v>Gene527-tree</v>
      </c>
      <c r="Q615">
        <v>1</v>
      </c>
      <c r="R615">
        <v>10</v>
      </c>
      <c r="S615">
        <v>1</v>
      </c>
      <c r="T615">
        <v>10</v>
      </c>
      <c r="U615">
        <v>0.90908999999999995</v>
      </c>
      <c r="V615" t="s">
        <v>175</v>
      </c>
      <c r="W615" t="s">
        <v>117</v>
      </c>
      <c r="X615" t="s">
        <v>62</v>
      </c>
      <c r="Y615" t="s">
        <v>62</v>
      </c>
      <c r="Z615">
        <v>5</v>
      </c>
      <c r="AA615">
        <v>10</v>
      </c>
      <c r="AB615">
        <v>13</v>
      </c>
      <c r="AC615">
        <v>0.43478</v>
      </c>
      <c r="AD615" s="47">
        <v>0</v>
      </c>
      <c r="AE615" s="47">
        <v>0</v>
      </c>
      <c r="AF615" s="47">
        <v>0</v>
      </c>
      <c r="AG615" s="47">
        <v>0</v>
      </c>
      <c r="AH615" s="47">
        <v>0</v>
      </c>
      <c r="AI615" s="47">
        <v>6</v>
      </c>
      <c r="AJ615" s="47">
        <v>0</v>
      </c>
      <c r="AK615" s="47">
        <v>6</v>
      </c>
      <c r="AL615">
        <v>14</v>
      </c>
      <c r="AM615">
        <v>0.3</v>
      </c>
      <c r="AN615">
        <v>9</v>
      </c>
      <c r="AO615">
        <v>7</v>
      </c>
      <c r="AP615">
        <v>17</v>
      </c>
      <c r="AQ615">
        <v>17</v>
      </c>
      <c r="AR615">
        <v>11</v>
      </c>
      <c r="AS615">
        <v>6</v>
      </c>
      <c r="AT615" t="s">
        <v>3402</v>
      </c>
      <c r="AU615" t="s">
        <v>3403</v>
      </c>
      <c r="AV615">
        <v>1.0409999999999999</v>
      </c>
      <c r="AW615" t="s">
        <v>65</v>
      </c>
      <c r="AX615">
        <v>28</v>
      </c>
      <c r="AY615">
        <v>23</v>
      </c>
      <c r="AZ615" t="s">
        <v>3404</v>
      </c>
      <c r="BA615">
        <v>4.2099999999999999E-2</v>
      </c>
      <c r="BB615">
        <v>-2.0999999999999999E-3</v>
      </c>
      <c r="BC615">
        <v>7.0299999999999998E-3</v>
      </c>
      <c r="BD615">
        <v>-4.0000000000000002E-4</v>
      </c>
      <c r="BE615">
        <v>0.16703999999999999</v>
      </c>
      <c r="BF615">
        <v>1</v>
      </c>
      <c r="BG615" t="s">
        <v>69</v>
      </c>
      <c r="BH615">
        <v>-0.45400000000000001</v>
      </c>
      <c r="BI615">
        <v>-1.202</v>
      </c>
    </row>
    <row r="616" spans="3:61">
      <c r="C616">
        <v>0</v>
      </c>
      <c r="D616">
        <v>0</v>
      </c>
      <c r="E616">
        <v>0</v>
      </c>
      <c r="F616" t="s">
        <v>25021</v>
      </c>
      <c r="G616">
        <v>3427</v>
      </c>
      <c r="H616" t="s">
        <v>20052</v>
      </c>
      <c r="I616" t="s">
        <v>57</v>
      </c>
      <c r="J616">
        <v>3388113</v>
      </c>
      <c r="K616">
        <v>3388985</v>
      </c>
      <c r="L616" t="s">
        <v>637</v>
      </c>
      <c r="M616">
        <v>291</v>
      </c>
      <c r="N616" t="s">
        <v>59</v>
      </c>
      <c r="O616">
        <v>49</v>
      </c>
      <c r="P616" t="str">
        <f>HYPERLINK("Gene3427-zp_tree_all.dnd", "Gene3427-tree")</f>
        <v>Gene3427-tree</v>
      </c>
      <c r="Q616">
        <v>13</v>
      </c>
      <c r="R616">
        <v>6</v>
      </c>
      <c r="S616">
        <v>13</v>
      </c>
      <c r="T616">
        <v>6</v>
      </c>
      <c r="U616">
        <v>0.31579000000000002</v>
      </c>
      <c r="V616" t="s">
        <v>507</v>
      </c>
      <c r="W616" t="s">
        <v>90</v>
      </c>
      <c r="X616" t="s">
        <v>62</v>
      </c>
      <c r="Y616" t="s">
        <v>62</v>
      </c>
      <c r="Z616">
        <v>0</v>
      </c>
      <c r="AA616">
        <v>0</v>
      </c>
      <c r="AB616">
        <v>16</v>
      </c>
      <c r="AC616">
        <v>0</v>
      </c>
      <c r="AD616" s="47">
        <v>0</v>
      </c>
      <c r="AE616" s="47">
        <v>0</v>
      </c>
      <c r="AF616" s="47">
        <v>0</v>
      </c>
      <c r="AG616" s="47">
        <v>1</v>
      </c>
      <c r="AH616" s="47">
        <v>0</v>
      </c>
      <c r="AI616" s="47">
        <v>0</v>
      </c>
      <c r="AJ616" s="47">
        <v>0</v>
      </c>
      <c r="AK616" s="47">
        <v>0</v>
      </c>
      <c r="AL616">
        <v>8</v>
      </c>
      <c r="AM616">
        <v>0</v>
      </c>
      <c r="AN616">
        <v>14</v>
      </c>
      <c r="AO616">
        <v>12</v>
      </c>
      <c r="AP616">
        <v>29</v>
      </c>
      <c r="AQ616">
        <v>8</v>
      </c>
      <c r="AR616">
        <v>40</v>
      </c>
      <c r="AS616">
        <v>9</v>
      </c>
      <c r="AT616" t="s">
        <v>20053</v>
      </c>
      <c r="AU616" t="s">
        <v>20054</v>
      </c>
      <c r="AV616">
        <v>0.17100000000000001</v>
      </c>
      <c r="AW616" t="s">
        <v>65</v>
      </c>
      <c r="AX616">
        <v>69</v>
      </c>
      <c r="AY616">
        <v>17</v>
      </c>
      <c r="AZ616" t="s">
        <v>20055</v>
      </c>
      <c r="BA616">
        <v>8.1199999999999994E-2</v>
      </c>
      <c r="BB616">
        <v>-4.9300000000000004E-3</v>
      </c>
      <c r="BC616">
        <v>5.7600000000000004E-3</v>
      </c>
      <c r="BD616">
        <v>-3.8999999999999999E-4</v>
      </c>
      <c r="BE616">
        <v>7.0980000000000001E-2</v>
      </c>
      <c r="BF616">
        <v>1</v>
      </c>
      <c r="BG616" t="s">
        <v>69</v>
      </c>
      <c r="BH616">
        <v>-1.276</v>
      </c>
      <c r="BI616">
        <v>-0.50700000000000001</v>
      </c>
    </row>
    <row r="617" spans="3:61">
      <c r="C617">
        <v>0</v>
      </c>
      <c r="D617">
        <v>0</v>
      </c>
      <c r="E617">
        <v>0</v>
      </c>
      <c r="F617" t="s">
        <v>25021</v>
      </c>
      <c r="G617">
        <v>978</v>
      </c>
      <c r="H617" t="s">
        <v>6130</v>
      </c>
      <c r="I617" t="s">
        <v>62</v>
      </c>
      <c r="J617">
        <v>1020076</v>
      </c>
      <c r="K617">
        <v>1020948</v>
      </c>
      <c r="L617" t="s">
        <v>6131</v>
      </c>
      <c r="M617">
        <v>291</v>
      </c>
      <c r="N617" t="s">
        <v>108</v>
      </c>
      <c r="O617">
        <v>44</v>
      </c>
      <c r="P617" t="str">
        <f>HYPERLINK("Gene978-zp_tree_all.dnd", "Gene978-tree")</f>
        <v>Gene978-tree</v>
      </c>
      <c r="Q617">
        <v>9</v>
      </c>
      <c r="R617">
        <v>4</v>
      </c>
      <c r="S617">
        <v>9</v>
      </c>
      <c r="T617">
        <v>4</v>
      </c>
      <c r="U617">
        <v>0.30769000000000002</v>
      </c>
      <c r="V617" t="s">
        <v>135</v>
      </c>
      <c r="W617" t="s">
        <v>61</v>
      </c>
      <c r="X617" t="s">
        <v>62</v>
      </c>
      <c r="Y617" t="s">
        <v>62</v>
      </c>
      <c r="Z617">
        <v>0</v>
      </c>
      <c r="AA617">
        <v>0</v>
      </c>
      <c r="AB617">
        <v>4</v>
      </c>
      <c r="AC617">
        <v>0</v>
      </c>
      <c r="AD617" s="47">
        <v>0</v>
      </c>
      <c r="AE617" s="47">
        <v>0</v>
      </c>
      <c r="AF617" s="47">
        <v>0</v>
      </c>
      <c r="AG617" s="47">
        <v>0</v>
      </c>
      <c r="AH617" s="47">
        <v>0</v>
      </c>
      <c r="AI617" s="47">
        <v>0</v>
      </c>
      <c r="AJ617" s="47">
        <v>0</v>
      </c>
      <c r="AK617" s="47">
        <v>0</v>
      </c>
      <c r="AL617">
        <v>4</v>
      </c>
      <c r="AM617">
        <v>0</v>
      </c>
      <c r="AN617">
        <v>9</v>
      </c>
      <c r="AO617">
        <v>7</v>
      </c>
      <c r="AP617">
        <v>31</v>
      </c>
      <c r="AQ617">
        <v>4</v>
      </c>
      <c r="AR617">
        <v>7</v>
      </c>
      <c r="AS617">
        <v>0</v>
      </c>
      <c r="AT617" t="s">
        <v>6132</v>
      </c>
      <c r="AU617" t="s">
        <v>193</v>
      </c>
      <c r="AV617">
        <v>1.2450000000000001</v>
      </c>
      <c r="AW617" t="s">
        <v>65</v>
      </c>
      <c r="AX617">
        <v>38</v>
      </c>
      <c r="AY617">
        <v>4</v>
      </c>
      <c r="AZ617" t="s">
        <v>6133</v>
      </c>
      <c r="BA617">
        <v>3.4909999999999997E-2</v>
      </c>
      <c r="BB617">
        <v>-2.4499999999999999E-3</v>
      </c>
      <c r="BC617">
        <v>9.2000000000000003E-4</v>
      </c>
      <c r="BD617">
        <v>-1.1E-4</v>
      </c>
      <c r="BE617">
        <v>2.6329999999999999E-2</v>
      </c>
      <c r="BF617">
        <v>1</v>
      </c>
      <c r="BG617" t="s">
        <v>69</v>
      </c>
      <c r="BH617">
        <v>-1.1739999999999999</v>
      </c>
      <c r="BI617">
        <v>-3.3639999999999999</v>
      </c>
    </row>
    <row r="618" spans="3:61">
      <c r="C618">
        <v>0</v>
      </c>
      <c r="D618">
        <v>8</v>
      </c>
      <c r="E618">
        <v>0</v>
      </c>
      <c r="F618" t="s">
        <v>25021</v>
      </c>
      <c r="G618">
        <v>1949</v>
      </c>
      <c r="H618" t="s">
        <v>12207</v>
      </c>
      <c r="I618" t="s">
        <v>57</v>
      </c>
      <c r="J618">
        <v>2045929</v>
      </c>
      <c r="K618">
        <v>2046804</v>
      </c>
      <c r="L618" t="s">
        <v>12208</v>
      </c>
      <c r="M618">
        <v>292</v>
      </c>
      <c r="N618" t="s">
        <v>1907</v>
      </c>
      <c r="O618">
        <v>38</v>
      </c>
      <c r="P618" t="str">
        <f>HYPERLINK("Gene1949-zp_tree_all.dnd", "Gene1949-tree")</f>
        <v>Gene1949-tree</v>
      </c>
      <c r="Q618">
        <v>4</v>
      </c>
      <c r="R618">
        <v>8</v>
      </c>
      <c r="S618">
        <v>4</v>
      </c>
      <c r="T618">
        <v>8</v>
      </c>
      <c r="U618">
        <v>0.66666999999999998</v>
      </c>
      <c r="V618" t="s">
        <v>61</v>
      </c>
      <c r="W618" t="s">
        <v>136</v>
      </c>
      <c r="X618" t="s">
        <v>62</v>
      </c>
      <c r="Y618" t="s">
        <v>62</v>
      </c>
      <c r="Z618">
        <v>4</v>
      </c>
      <c r="AA618">
        <v>8</v>
      </c>
      <c r="AB618">
        <v>16</v>
      </c>
      <c r="AC618">
        <v>0.33333000000000002</v>
      </c>
      <c r="AD618" s="47">
        <v>0</v>
      </c>
      <c r="AE618" s="47">
        <v>0</v>
      </c>
      <c r="AF618" s="47">
        <v>0</v>
      </c>
      <c r="AG618" s="47">
        <v>0</v>
      </c>
      <c r="AH618" s="47">
        <v>0</v>
      </c>
      <c r="AI618" s="47">
        <v>2</v>
      </c>
      <c r="AJ618" s="47">
        <v>0</v>
      </c>
      <c r="AK618" s="47">
        <v>2</v>
      </c>
      <c r="AL618">
        <v>15</v>
      </c>
      <c r="AM618">
        <v>0.11765</v>
      </c>
      <c r="AN618">
        <v>12</v>
      </c>
      <c r="AO618">
        <v>9</v>
      </c>
      <c r="AP618">
        <v>25</v>
      </c>
      <c r="AQ618">
        <v>17</v>
      </c>
      <c r="AR618">
        <v>11</v>
      </c>
      <c r="AS618">
        <v>7</v>
      </c>
      <c r="AT618" t="s">
        <v>12209</v>
      </c>
      <c r="AU618" t="s">
        <v>12210</v>
      </c>
      <c r="AV618">
        <v>0.111</v>
      </c>
      <c r="AW618" t="s">
        <v>65</v>
      </c>
      <c r="AX618">
        <v>36</v>
      </c>
      <c r="AY618">
        <v>24</v>
      </c>
      <c r="AZ618" t="s">
        <v>12211</v>
      </c>
      <c r="BA618">
        <v>3.8739999999999997E-2</v>
      </c>
      <c r="BB618">
        <v>-1.67E-3</v>
      </c>
      <c r="BC618">
        <v>7.4599999999999996E-3</v>
      </c>
      <c r="BD618">
        <v>-4.2000000000000002E-4</v>
      </c>
      <c r="BE618">
        <v>0.1925</v>
      </c>
      <c r="BF618">
        <v>1</v>
      </c>
      <c r="BG618" t="s">
        <v>69</v>
      </c>
      <c r="BH618">
        <v>-0.71899999999999997</v>
      </c>
      <c r="BI618">
        <v>-1.363</v>
      </c>
    </row>
    <row r="619" spans="3:61">
      <c r="C619">
        <v>0</v>
      </c>
      <c r="D619">
        <v>2</v>
      </c>
      <c r="E619">
        <v>0</v>
      </c>
      <c r="F619" t="s">
        <v>25021</v>
      </c>
      <c r="G619">
        <v>1029</v>
      </c>
      <c r="H619" t="s">
        <v>6464</v>
      </c>
      <c r="I619" t="s">
        <v>62</v>
      </c>
      <c r="J619">
        <v>1070367</v>
      </c>
      <c r="K619">
        <v>1071242</v>
      </c>
      <c r="L619" t="s">
        <v>6465</v>
      </c>
      <c r="M619">
        <v>292</v>
      </c>
      <c r="N619" t="s">
        <v>6466</v>
      </c>
      <c r="O619">
        <v>33</v>
      </c>
      <c r="P619" t="str">
        <f>HYPERLINK("Gene1029-zp_tree_all.dnd", "Gene1029-tree")</f>
        <v>Gene1029-tree</v>
      </c>
      <c r="Q619">
        <v>3</v>
      </c>
      <c r="R619">
        <v>5</v>
      </c>
      <c r="S619">
        <v>3</v>
      </c>
      <c r="T619">
        <v>5</v>
      </c>
      <c r="U619">
        <v>0.625</v>
      </c>
      <c r="V619" t="s">
        <v>324</v>
      </c>
      <c r="W619" t="s">
        <v>199</v>
      </c>
      <c r="X619" t="s">
        <v>62</v>
      </c>
      <c r="Y619" t="s">
        <v>62</v>
      </c>
      <c r="Z619">
        <v>1</v>
      </c>
      <c r="AA619">
        <v>2</v>
      </c>
      <c r="AB619">
        <v>10</v>
      </c>
      <c r="AC619">
        <v>0.16667000000000001</v>
      </c>
      <c r="AD619" s="47">
        <v>0</v>
      </c>
      <c r="AE619" s="47">
        <v>0</v>
      </c>
      <c r="AF619" s="47">
        <v>0</v>
      </c>
      <c r="AG619" s="47">
        <v>0</v>
      </c>
      <c r="AH619" s="47">
        <v>0</v>
      </c>
      <c r="AI619" s="47">
        <v>0</v>
      </c>
      <c r="AJ619" s="47">
        <v>0</v>
      </c>
      <c r="AK619" s="47">
        <v>0</v>
      </c>
      <c r="AL619">
        <v>10</v>
      </c>
      <c r="AM619">
        <v>0</v>
      </c>
      <c r="AN619">
        <v>6</v>
      </c>
      <c r="AO619">
        <v>5</v>
      </c>
      <c r="AP619">
        <v>21</v>
      </c>
      <c r="AQ619">
        <v>11</v>
      </c>
      <c r="AR619">
        <v>13</v>
      </c>
      <c r="AS619">
        <v>3</v>
      </c>
      <c r="AT619" t="s">
        <v>6467</v>
      </c>
      <c r="AU619" t="s">
        <v>6468</v>
      </c>
      <c r="AV619">
        <v>0.629</v>
      </c>
      <c r="AW619" t="s">
        <v>65</v>
      </c>
      <c r="AX619">
        <v>34</v>
      </c>
      <c r="AY619">
        <v>14</v>
      </c>
      <c r="AZ619" t="s">
        <v>6469</v>
      </c>
      <c r="BA619">
        <v>6.2950000000000006E-2</v>
      </c>
      <c r="BB619">
        <v>-5.3E-3</v>
      </c>
      <c r="BC619">
        <v>5.8900000000000003E-3</v>
      </c>
      <c r="BD619">
        <v>-8.0000000000000004E-4</v>
      </c>
      <c r="BE619">
        <v>9.3619999999999995E-2</v>
      </c>
      <c r="BF619">
        <v>1</v>
      </c>
      <c r="BG619" t="s">
        <v>69</v>
      </c>
      <c r="BH619">
        <v>-1.0429999999999999</v>
      </c>
      <c r="BI619">
        <v>-9.0999999999999998E-2</v>
      </c>
    </row>
    <row r="620" spans="3:61">
      <c r="C620">
        <v>0</v>
      </c>
      <c r="D620">
        <v>14</v>
      </c>
      <c r="E620">
        <v>3</v>
      </c>
      <c r="F620" t="s">
        <v>25021</v>
      </c>
      <c r="G620">
        <v>391</v>
      </c>
      <c r="H620" t="s">
        <v>2646</v>
      </c>
      <c r="I620" t="s">
        <v>62</v>
      </c>
      <c r="J620">
        <v>437477</v>
      </c>
      <c r="K620">
        <v>438352</v>
      </c>
      <c r="L620" t="s">
        <v>2647</v>
      </c>
      <c r="M620">
        <v>292</v>
      </c>
      <c r="N620" t="s">
        <v>96</v>
      </c>
      <c r="O620">
        <v>48</v>
      </c>
      <c r="P620" t="str">
        <f>HYPERLINK("Gene391-zp_tree_all.dnd", "Gene391-tree")</f>
        <v>Gene391-tree</v>
      </c>
      <c r="Q620">
        <v>25</v>
      </c>
      <c r="R620">
        <v>11</v>
      </c>
      <c r="S620">
        <v>8</v>
      </c>
      <c r="T620">
        <v>11</v>
      </c>
      <c r="U620">
        <v>0.57894999999999996</v>
      </c>
      <c r="V620" t="s">
        <v>1667</v>
      </c>
      <c r="W620" t="s">
        <v>73</v>
      </c>
      <c r="X620">
        <v>3.5920000000000001</v>
      </c>
      <c r="Y620" t="s">
        <v>267</v>
      </c>
      <c r="Z620">
        <v>7</v>
      </c>
      <c r="AA620">
        <v>17</v>
      </c>
      <c r="AB620">
        <v>13</v>
      </c>
      <c r="AC620">
        <v>0.56667000000000001</v>
      </c>
      <c r="AD620" s="47">
        <v>0</v>
      </c>
      <c r="AE620" s="47">
        <v>0</v>
      </c>
      <c r="AF620" s="47">
        <v>0</v>
      </c>
      <c r="AG620" s="47">
        <v>2</v>
      </c>
      <c r="AH620" s="47">
        <v>0</v>
      </c>
      <c r="AI620" s="47">
        <v>0</v>
      </c>
      <c r="AJ620" s="47">
        <v>2</v>
      </c>
      <c r="AK620" s="47">
        <v>2</v>
      </c>
      <c r="AL620">
        <v>12</v>
      </c>
      <c r="AM620">
        <v>0.14285999999999999</v>
      </c>
      <c r="AN620">
        <v>16</v>
      </c>
      <c r="AO620">
        <v>12</v>
      </c>
      <c r="AP620">
        <v>35</v>
      </c>
      <c r="AQ620">
        <v>14</v>
      </c>
      <c r="AR620">
        <v>46</v>
      </c>
      <c r="AS620">
        <v>16</v>
      </c>
      <c r="AT620" t="s">
        <v>2648</v>
      </c>
      <c r="AU620" t="s">
        <v>2649</v>
      </c>
      <c r="AV620">
        <v>0.14399999999999999</v>
      </c>
      <c r="AW620" t="s">
        <v>65</v>
      </c>
      <c r="AX620">
        <v>81</v>
      </c>
      <c r="AY620">
        <v>30</v>
      </c>
      <c r="AZ620" t="s">
        <v>2650</v>
      </c>
      <c r="BA620">
        <v>8.337E-2</v>
      </c>
      <c r="BB620">
        <v>-5.2100000000000002E-3</v>
      </c>
      <c r="BC620">
        <v>7.1599999999999997E-3</v>
      </c>
      <c r="BD620">
        <v>-3.6000000000000002E-4</v>
      </c>
      <c r="BE620">
        <v>8.5849999999999996E-2</v>
      </c>
      <c r="BF620">
        <v>1</v>
      </c>
      <c r="BG620" t="s">
        <v>69</v>
      </c>
      <c r="BH620">
        <v>-1.486</v>
      </c>
      <c r="BI620">
        <v>-1.143</v>
      </c>
    </row>
    <row r="621" spans="3:61">
      <c r="C621">
        <v>0</v>
      </c>
      <c r="D621">
        <v>8</v>
      </c>
      <c r="E621">
        <v>0</v>
      </c>
      <c r="F621" t="s">
        <v>25021</v>
      </c>
      <c r="G621">
        <v>4218</v>
      </c>
      <c r="H621" t="s">
        <v>24792</v>
      </c>
      <c r="I621" t="s">
        <v>57</v>
      </c>
      <c r="J621">
        <v>4180564</v>
      </c>
      <c r="K621">
        <v>4181439</v>
      </c>
      <c r="L621" t="s">
        <v>2170</v>
      </c>
      <c r="M621">
        <v>292</v>
      </c>
      <c r="N621" t="s">
        <v>2078</v>
      </c>
      <c r="O621">
        <v>36</v>
      </c>
      <c r="P621" t="str">
        <f>HYPERLINK("Gene4218-zp_tree_all.dnd", "Gene4218-tree")</f>
        <v>Gene4218-tree</v>
      </c>
      <c r="Q621">
        <v>5</v>
      </c>
      <c r="R621">
        <v>6</v>
      </c>
      <c r="S621">
        <v>5</v>
      </c>
      <c r="T621">
        <v>6</v>
      </c>
      <c r="U621">
        <v>0.54544999999999999</v>
      </c>
      <c r="V621" t="s">
        <v>199</v>
      </c>
      <c r="W621" t="s">
        <v>90</v>
      </c>
      <c r="X621" t="s">
        <v>62</v>
      </c>
      <c r="Y621" t="s">
        <v>62</v>
      </c>
      <c r="Z621">
        <v>3</v>
      </c>
      <c r="AA621">
        <v>8</v>
      </c>
      <c r="AB621">
        <v>7</v>
      </c>
      <c r="AC621">
        <v>0.53332999999999997</v>
      </c>
      <c r="AD621" s="47">
        <v>0</v>
      </c>
      <c r="AE621" s="47">
        <v>0</v>
      </c>
      <c r="AF621" s="47">
        <v>0</v>
      </c>
      <c r="AG621" s="47">
        <v>1</v>
      </c>
      <c r="AH621" s="47">
        <v>0</v>
      </c>
      <c r="AI621" s="47">
        <v>4</v>
      </c>
      <c r="AJ621" s="47">
        <v>0</v>
      </c>
      <c r="AK621" s="47">
        <v>4</v>
      </c>
      <c r="AL621">
        <v>7</v>
      </c>
      <c r="AM621">
        <v>0.36364000000000002</v>
      </c>
      <c r="AN621">
        <v>9</v>
      </c>
      <c r="AO621">
        <v>8</v>
      </c>
      <c r="AP621">
        <v>18</v>
      </c>
      <c r="AQ621">
        <v>11</v>
      </c>
      <c r="AR621">
        <v>28</v>
      </c>
      <c r="AS621">
        <v>4</v>
      </c>
      <c r="AT621" t="s">
        <v>24793</v>
      </c>
      <c r="AU621" t="s">
        <v>24794</v>
      </c>
      <c r="AV621">
        <v>1.153</v>
      </c>
      <c r="AW621" t="s">
        <v>65</v>
      </c>
      <c r="AX621">
        <v>46</v>
      </c>
      <c r="AY621">
        <v>15</v>
      </c>
      <c r="AZ621" t="s">
        <v>24795</v>
      </c>
      <c r="BA621">
        <v>6.6040000000000001E-2</v>
      </c>
      <c r="BB621">
        <v>-4.4299999999999999E-3</v>
      </c>
      <c r="BC621">
        <v>4.3099999999999996E-3</v>
      </c>
      <c r="BD621">
        <v>-3.2000000000000003E-4</v>
      </c>
      <c r="BE621">
        <v>6.5269999999999995E-2</v>
      </c>
      <c r="BF621">
        <v>1</v>
      </c>
      <c r="BG621" t="s">
        <v>69</v>
      </c>
      <c r="BH621">
        <v>2.3E-2</v>
      </c>
      <c r="BI621">
        <v>2.7E-2</v>
      </c>
    </row>
    <row r="622" spans="3:61">
      <c r="C622">
        <v>0</v>
      </c>
      <c r="D622">
        <v>4</v>
      </c>
      <c r="E622">
        <v>0</v>
      </c>
      <c r="F622" t="s">
        <v>25021</v>
      </c>
      <c r="G622">
        <v>3696</v>
      </c>
      <c r="H622" t="s">
        <v>21682</v>
      </c>
      <c r="I622" t="s">
        <v>57</v>
      </c>
      <c r="J622">
        <v>3665629</v>
      </c>
      <c r="K622">
        <v>3666504</v>
      </c>
      <c r="L622" t="s">
        <v>21683</v>
      </c>
      <c r="M622">
        <v>292</v>
      </c>
      <c r="N622" t="s">
        <v>5958</v>
      </c>
      <c r="O622">
        <v>35</v>
      </c>
      <c r="P622" t="str">
        <f>HYPERLINK("Gene3696-zp_tree_all.dnd", "Gene3696-tree")</f>
        <v>Gene3696-tree</v>
      </c>
      <c r="Q622">
        <v>8</v>
      </c>
      <c r="R622">
        <v>4</v>
      </c>
      <c r="S622">
        <v>8</v>
      </c>
      <c r="T622">
        <v>4</v>
      </c>
      <c r="U622">
        <v>0.33333000000000002</v>
      </c>
      <c r="V622" t="s">
        <v>136</v>
      </c>
      <c r="W622" t="s">
        <v>61</v>
      </c>
      <c r="X622" t="s">
        <v>62</v>
      </c>
      <c r="Y622" t="s">
        <v>62</v>
      </c>
      <c r="Z622">
        <v>1</v>
      </c>
      <c r="AA622">
        <v>4</v>
      </c>
      <c r="AB622">
        <v>2</v>
      </c>
      <c r="AC622">
        <v>0.66666999999999998</v>
      </c>
      <c r="AD622" s="47">
        <v>0</v>
      </c>
      <c r="AE622" s="47">
        <v>0</v>
      </c>
      <c r="AF622" s="47">
        <v>0</v>
      </c>
      <c r="AG622" s="47">
        <v>1</v>
      </c>
      <c r="AH622" s="47">
        <v>0</v>
      </c>
      <c r="AI622" s="47">
        <v>2</v>
      </c>
      <c r="AJ622" s="47">
        <v>0</v>
      </c>
      <c r="AK622" s="47">
        <v>2</v>
      </c>
      <c r="AL622">
        <v>2</v>
      </c>
      <c r="AM622">
        <v>0.5</v>
      </c>
      <c r="AN622">
        <v>10</v>
      </c>
      <c r="AO622">
        <v>5</v>
      </c>
      <c r="AP622">
        <v>24</v>
      </c>
      <c r="AQ622">
        <v>5</v>
      </c>
      <c r="AR622">
        <v>23</v>
      </c>
      <c r="AS622">
        <v>5</v>
      </c>
      <c r="AT622" t="s">
        <v>21684</v>
      </c>
      <c r="AU622" t="s">
        <v>21685</v>
      </c>
      <c r="AV622">
        <v>3.5999999999999997E-2</v>
      </c>
      <c r="AW622" t="s">
        <v>65</v>
      </c>
      <c r="AX622">
        <v>47</v>
      </c>
      <c r="AY622">
        <v>10</v>
      </c>
      <c r="AZ622" t="s">
        <v>21686</v>
      </c>
      <c r="BA622">
        <v>6.6820000000000004E-2</v>
      </c>
      <c r="BB622">
        <v>-3.7699999999999999E-3</v>
      </c>
      <c r="BC622">
        <v>4.0200000000000001E-3</v>
      </c>
      <c r="BD622">
        <v>-3.2000000000000003E-4</v>
      </c>
      <c r="BE622">
        <v>6.0220000000000003E-2</v>
      </c>
      <c r="BF622">
        <v>1</v>
      </c>
      <c r="BG622" t="s">
        <v>69</v>
      </c>
      <c r="BH622">
        <v>-4.5999999999999999E-2</v>
      </c>
      <c r="BI622">
        <v>-0.94699999999999995</v>
      </c>
    </row>
    <row r="623" spans="3:61">
      <c r="C623">
        <v>0</v>
      </c>
      <c r="D623">
        <v>4</v>
      </c>
      <c r="E623">
        <v>2</v>
      </c>
      <c r="F623" t="s">
        <v>25021</v>
      </c>
      <c r="G623">
        <v>212</v>
      </c>
      <c r="H623" t="s">
        <v>1445</v>
      </c>
      <c r="I623" t="s">
        <v>62</v>
      </c>
      <c r="J623">
        <v>233017</v>
      </c>
      <c r="K623">
        <v>233895</v>
      </c>
      <c r="L623" t="s">
        <v>1446</v>
      </c>
      <c r="M623">
        <v>293</v>
      </c>
      <c r="N623" t="s">
        <v>1447</v>
      </c>
      <c r="O623">
        <v>42</v>
      </c>
      <c r="P623" t="str">
        <f>HYPERLINK("Gene212-zp_tree_all.dnd", "Gene212-tree")</f>
        <v>Gene212-tree</v>
      </c>
      <c r="Q623">
        <v>2</v>
      </c>
      <c r="R623">
        <v>9</v>
      </c>
      <c r="S623">
        <v>2</v>
      </c>
      <c r="T623">
        <v>9</v>
      </c>
      <c r="U623">
        <v>0.81818000000000002</v>
      </c>
      <c r="V623" t="s">
        <v>81</v>
      </c>
      <c r="W623" t="s">
        <v>135</v>
      </c>
      <c r="X623" t="s">
        <v>62</v>
      </c>
      <c r="Y623" t="s">
        <v>62</v>
      </c>
      <c r="Z623">
        <v>3</v>
      </c>
      <c r="AA623">
        <v>6</v>
      </c>
      <c r="AB623">
        <v>14</v>
      </c>
      <c r="AC623">
        <v>0.3</v>
      </c>
      <c r="AD623" s="47">
        <v>0</v>
      </c>
      <c r="AE623" s="47">
        <v>0</v>
      </c>
      <c r="AF623" s="47">
        <v>0</v>
      </c>
      <c r="AG623" s="47">
        <v>0</v>
      </c>
      <c r="AH623" s="47">
        <v>0</v>
      </c>
      <c r="AI623" s="47">
        <v>4</v>
      </c>
      <c r="AJ623" s="47">
        <v>2</v>
      </c>
      <c r="AK623" s="47">
        <v>6</v>
      </c>
      <c r="AL623">
        <v>13</v>
      </c>
      <c r="AM623">
        <v>0.31579000000000002</v>
      </c>
      <c r="AN623">
        <v>7</v>
      </c>
      <c r="AO623">
        <v>7</v>
      </c>
      <c r="AP623">
        <v>15</v>
      </c>
      <c r="AQ623">
        <v>12</v>
      </c>
      <c r="AR623">
        <v>15</v>
      </c>
      <c r="AS623">
        <v>8</v>
      </c>
      <c r="AT623" t="s">
        <v>1448</v>
      </c>
      <c r="AU623" t="s">
        <v>1449</v>
      </c>
      <c r="AV623">
        <v>0.50900000000000001</v>
      </c>
      <c r="AW623" t="s">
        <v>65</v>
      </c>
      <c r="AX623">
        <v>30</v>
      </c>
      <c r="AY623">
        <v>20</v>
      </c>
      <c r="AZ623" t="s">
        <v>1450</v>
      </c>
      <c r="BA623">
        <v>3.9449999999999999E-2</v>
      </c>
      <c r="BB623">
        <v>-2.16E-3</v>
      </c>
      <c r="BC623">
        <v>7.1199999999999996E-3</v>
      </c>
      <c r="BD623">
        <v>-4.8000000000000001E-4</v>
      </c>
      <c r="BE623">
        <v>0.18056</v>
      </c>
      <c r="BF623">
        <v>1</v>
      </c>
      <c r="BG623" t="s">
        <v>69</v>
      </c>
      <c r="BH623">
        <v>-1.0429999999999999</v>
      </c>
      <c r="BI623">
        <v>-0.14099999999999999</v>
      </c>
    </row>
    <row r="624" spans="3:61">
      <c r="C624">
        <v>0</v>
      </c>
      <c r="D624">
        <v>5</v>
      </c>
      <c r="E624">
        <v>0</v>
      </c>
      <c r="F624" t="s">
        <v>25021</v>
      </c>
      <c r="G624">
        <v>3748</v>
      </c>
      <c r="H624" t="s">
        <v>21983</v>
      </c>
      <c r="I624" t="s">
        <v>57</v>
      </c>
      <c r="J624">
        <v>3723454</v>
      </c>
      <c r="K624">
        <v>3724332</v>
      </c>
      <c r="L624" t="s">
        <v>2170</v>
      </c>
      <c r="M624">
        <v>293</v>
      </c>
      <c r="N624" t="s">
        <v>21984</v>
      </c>
      <c r="O624">
        <v>39</v>
      </c>
      <c r="P624" t="str">
        <f>HYPERLINK("Gene3748-zp_tree_all.dnd", "Gene3748-tree")</f>
        <v>Gene3748-tree</v>
      </c>
      <c r="Q624">
        <v>5</v>
      </c>
      <c r="R624">
        <v>7</v>
      </c>
      <c r="S624">
        <v>5</v>
      </c>
      <c r="T624">
        <v>7</v>
      </c>
      <c r="U624">
        <v>0.58333000000000002</v>
      </c>
      <c r="V624" t="s">
        <v>199</v>
      </c>
      <c r="W624" t="s">
        <v>152</v>
      </c>
      <c r="X624" t="s">
        <v>62</v>
      </c>
      <c r="Y624" t="s">
        <v>62</v>
      </c>
      <c r="Z624">
        <v>2</v>
      </c>
      <c r="AA624">
        <v>5</v>
      </c>
      <c r="AB624">
        <v>17</v>
      </c>
      <c r="AC624">
        <v>0.22727</v>
      </c>
      <c r="AD624" s="47">
        <v>0</v>
      </c>
      <c r="AE624" s="47">
        <v>0</v>
      </c>
      <c r="AF624" s="47">
        <v>0</v>
      </c>
      <c r="AG624" s="47">
        <v>2</v>
      </c>
      <c r="AH624" s="47">
        <v>0</v>
      </c>
      <c r="AI624" s="47">
        <v>2</v>
      </c>
      <c r="AJ624" s="47">
        <v>0</v>
      </c>
      <c r="AK624" s="47">
        <v>2</v>
      </c>
      <c r="AL624">
        <v>8</v>
      </c>
      <c r="AM624">
        <v>0.2</v>
      </c>
      <c r="AN624">
        <v>8</v>
      </c>
      <c r="AO624">
        <v>7</v>
      </c>
      <c r="AP624">
        <v>16</v>
      </c>
      <c r="AQ624">
        <v>10</v>
      </c>
      <c r="AR624">
        <v>24</v>
      </c>
      <c r="AS624">
        <v>13</v>
      </c>
      <c r="AT624" t="s">
        <v>21985</v>
      </c>
      <c r="AU624" t="s">
        <v>21986</v>
      </c>
      <c r="AV624">
        <v>6.8000000000000005E-2</v>
      </c>
      <c r="AW624" t="s">
        <v>65</v>
      </c>
      <c r="AX624">
        <v>40</v>
      </c>
      <c r="AY624">
        <v>23</v>
      </c>
      <c r="AZ624" t="s">
        <v>21987</v>
      </c>
      <c r="BA624">
        <v>5.4420000000000003E-2</v>
      </c>
      <c r="BB624">
        <v>-7.1000000000000004E-3</v>
      </c>
      <c r="BC624">
        <v>8.0099999999999998E-3</v>
      </c>
      <c r="BD624">
        <v>-1.01E-3</v>
      </c>
      <c r="BE624">
        <v>0.14718999999999999</v>
      </c>
      <c r="BF624">
        <v>1</v>
      </c>
      <c r="BG624" t="s">
        <v>69</v>
      </c>
      <c r="BH624">
        <v>-1.397</v>
      </c>
      <c r="BI624">
        <v>-0.66900000000000004</v>
      </c>
    </row>
    <row r="625" spans="3:61">
      <c r="C625">
        <v>0</v>
      </c>
      <c r="D625">
        <v>6</v>
      </c>
      <c r="E625">
        <v>0</v>
      </c>
      <c r="F625" t="s">
        <v>25021</v>
      </c>
      <c r="G625">
        <v>3724</v>
      </c>
      <c r="H625" t="s">
        <v>21826</v>
      </c>
      <c r="I625" t="s">
        <v>57</v>
      </c>
      <c r="J625">
        <v>3702393</v>
      </c>
      <c r="K625">
        <v>3703271</v>
      </c>
      <c r="L625" t="s">
        <v>21827</v>
      </c>
      <c r="M625">
        <v>293</v>
      </c>
      <c r="N625" t="s">
        <v>108</v>
      </c>
      <c r="O625">
        <v>44</v>
      </c>
      <c r="P625" t="str">
        <f>HYPERLINK("Gene3724-zp_tree_all.dnd", "Gene3724-tree")</f>
        <v>Gene3724-tree</v>
      </c>
      <c r="Q625">
        <v>4</v>
      </c>
      <c r="R625">
        <v>9</v>
      </c>
      <c r="S625">
        <v>4</v>
      </c>
      <c r="T625">
        <v>9</v>
      </c>
      <c r="U625">
        <v>0.69230999999999998</v>
      </c>
      <c r="V625" t="s">
        <v>61</v>
      </c>
      <c r="W625" t="s">
        <v>135</v>
      </c>
      <c r="X625" t="s">
        <v>62</v>
      </c>
      <c r="Y625" t="s">
        <v>62</v>
      </c>
      <c r="Z625">
        <v>2</v>
      </c>
      <c r="AA625">
        <v>6</v>
      </c>
      <c r="AB625">
        <v>13</v>
      </c>
      <c r="AC625">
        <v>0.31579000000000002</v>
      </c>
      <c r="AD625" s="47">
        <v>0</v>
      </c>
      <c r="AE625" s="47">
        <v>0</v>
      </c>
      <c r="AF625" s="47">
        <v>0</v>
      </c>
      <c r="AG625" s="47">
        <v>1</v>
      </c>
      <c r="AH625" s="47">
        <v>0</v>
      </c>
      <c r="AI625" s="47">
        <v>5</v>
      </c>
      <c r="AJ625" s="47">
        <v>0</v>
      </c>
      <c r="AK625" s="47">
        <v>5</v>
      </c>
      <c r="AL625">
        <v>11</v>
      </c>
      <c r="AM625">
        <v>0.3125</v>
      </c>
      <c r="AN625">
        <v>11</v>
      </c>
      <c r="AO625">
        <v>8</v>
      </c>
      <c r="AP625">
        <v>33</v>
      </c>
      <c r="AQ625">
        <v>15</v>
      </c>
      <c r="AR625">
        <v>25</v>
      </c>
      <c r="AS625">
        <v>4</v>
      </c>
      <c r="AT625" t="s">
        <v>21828</v>
      </c>
      <c r="AU625" t="s">
        <v>21829</v>
      </c>
      <c r="AV625">
        <v>0.97199999999999998</v>
      </c>
      <c r="AW625" t="s">
        <v>65</v>
      </c>
      <c r="AX625">
        <v>58</v>
      </c>
      <c r="AY625">
        <v>19</v>
      </c>
      <c r="AZ625" t="s">
        <v>21830</v>
      </c>
      <c r="BA625">
        <v>6.0240000000000002E-2</v>
      </c>
      <c r="BB625">
        <v>-2.8400000000000001E-3</v>
      </c>
      <c r="BC625">
        <v>5.3499999999999997E-3</v>
      </c>
      <c r="BD625">
        <v>-3.6000000000000002E-4</v>
      </c>
      <c r="BE625">
        <v>8.8859999999999995E-2</v>
      </c>
      <c r="BF625">
        <v>1</v>
      </c>
      <c r="BG625" t="s">
        <v>69</v>
      </c>
      <c r="BH625">
        <v>0.11</v>
      </c>
      <c r="BI625">
        <v>-0.64200000000000002</v>
      </c>
    </row>
    <row r="626" spans="3:61">
      <c r="C626">
        <v>0</v>
      </c>
      <c r="D626">
        <v>2</v>
      </c>
      <c r="E626">
        <v>0</v>
      </c>
      <c r="F626" t="s">
        <v>25021</v>
      </c>
      <c r="G626">
        <v>326</v>
      </c>
      <c r="H626" t="s">
        <v>2226</v>
      </c>
      <c r="I626" t="s">
        <v>62</v>
      </c>
      <c r="J626">
        <v>350861</v>
      </c>
      <c r="K626">
        <v>351742</v>
      </c>
      <c r="L626" t="s">
        <v>1123</v>
      </c>
      <c r="M626">
        <v>294</v>
      </c>
      <c r="N626" t="s">
        <v>289</v>
      </c>
      <c r="O626">
        <v>46</v>
      </c>
      <c r="P626" t="str">
        <f>HYPERLINK("Gene326-zp_tree_all.dnd", "Gene326-tree")</f>
        <v>Gene326-tree</v>
      </c>
      <c r="Q626">
        <v>8</v>
      </c>
      <c r="R626">
        <v>6</v>
      </c>
      <c r="S626">
        <v>8</v>
      </c>
      <c r="T626">
        <v>6</v>
      </c>
      <c r="U626">
        <v>0.42857000000000001</v>
      </c>
      <c r="V626" t="s">
        <v>136</v>
      </c>
      <c r="W626" t="s">
        <v>90</v>
      </c>
      <c r="X626" t="s">
        <v>62</v>
      </c>
      <c r="Y626" t="s">
        <v>62</v>
      </c>
      <c r="Z626">
        <v>1</v>
      </c>
      <c r="AA626">
        <v>2</v>
      </c>
      <c r="AB626">
        <v>8</v>
      </c>
      <c r="AC626">
        <v>0.2</v>
      </c>
      <c r="AD626" s="47">
        <v>0</v>
      </c>
      <c r="AE626" s="47">
        <v>0</v>
      </c>
      <c r="AF626" s="47">
        <v>0</v>
      </c>
      <c r="AG626" s="47">
        <v>1</v>
      </c>
      <c r="AH626" s="47">
        <v>0</v>
      </c>
      <c r="AI626" s="47">
        <v>0</v>
      </c>
      <c r="AJ626" s="47">
        <v>0</v>
      </c>
      <c r="AK626" s="47">
        <v>0</v>
      </c>
      <c r="AL626">
        <v>8</v>
      </c>
      <c r="AM626">
        <v>0</v>
      </c>
      <c r="AN626">
        <v>11</v>
      </c>
      <c r="AO626">
        <v>7</v>
      </c>
      <c r="AP626">
        <v>29</v>
      </c>
      <c r="AQ626">
        <v>8</v>
      </c>
      <c r="AR626">
        <v>38</v>
      </c>
      <c r="AS626">
        <v>2</v>
      </c>
      <c r="AT626" t="s">
        <v>2227</v>
      </c>
      <c r="AU626" t="s">
        <v>2228</v>
      </c>
      <c r="AV626">
        <v>1.7969999999999999</v>
      </c>
      <c r="AW626" t="s">
        <v>65</v>
      </c>
      <c r="AX626">
        <v>67</v>
      </c>
      <c r="AY626">
        <v>10</v>
      </c>
      <c r="AZ626" t="s">
        <v>2229</v>
      </c>
      <c r="BA626">
        <v>7.7660000000000007E-2</v>
      </c>
      <c r="BB626">
        <v>-6.6600000000000001E-3</v>
      </c>
      <c r="BC626">
        <v>2.5000000000000001E-3</v>
      </c>
      <c r="BD626">
        <v>-2.0000000000000001E-4</v>
      </c>
      <c r="BE626">
        <v>3.218E-2</v>
      </c>
      <c r="BF626">
        <v>1</v>
      </c>
      <c r="BG626" t="s">
        <v>69</v>
      </c>
      <c r="BH626">
        <v>-1.1259999999999999</v>
      </c>
      <c r="BI626">
        <v>-0.57099999999999995</v>
      </c>
    </row>
    <row r="627" spans="3:61">
      <c r="C627">
        <v>0</v>
      </c>
      <c r="D627">
        <v>0</v>
      </c>
      <c r="E627">
        <v>0</v>
      </c>
      <c r="F627" t="s">
        <v>25021</v>
      </c>
      <c r="G627">
        <v>3415</v>
      </c>
      <c r="H627" t="s">
        <v>19986</v>
      </c>
      <c r="I627" t="s">
        <v>57</v>
      </c>
      <c r="J627">
        <v>3377893</v>
      </c>
      <c r="K627">
        <v>3378777</v>
      </c>
      <c r="L627" t="s">
        <v>19987</v>
      </c>
      <c r="M627">
        <v>295</v>
      </c>
      <c r="N627" t="s">
        <v>108</v>
      </c>
      <c r="O627">
        <v>44</v>
      </c>
      <c r="P627" t="str">
        <f>HYPERLINK("Gene3415-zp_tree_all.dnd", "Gene3415-tree")</f>
        <v>Gene3415-tree</v>
      </c>
      <c r="Q627">
        <v>6</v>
      </c>
      <c r="R627">
        <v>7</v>
      </c>
      <c r="S627">
        <v>6</v>
      </c>
      <c r="T627">
        <v>7</v>
      </c>
      <c r="U627">
        <v>0.53846000000000005</v>
      </c>
      <c r="V627" t="s">
        <v>90</v>
      </c>
      <c r="W627" t="s">
        <v>152</v>
      </c>
      <c r="X627" t="s">
        <v>62</v>
      </c>
      <c r="Y627" t="s">
        <v>62</v>
      </c>
      <c r="Z627">
        <v>0</v>
      </c>
      <c r="AA627">
        <v>0</v>
      </c>
      <c r="AB627">
        <v>13</v>
      </c>
      <c r="AC627">
        <v>0</v>
      </c>
      <c r="AD627" s="47">
        <v>0</v>
      </c>
      <c r="AE627" s="47">
        <v>0</v>
      </c>
      <c r="AF627" s="47">
        <v>0</v>
      </c>
      <c r="AG627" s="47">
        <v>0</v>
      </c>
      <c r="AH627" s="47">
        <v>0</v>
      </c>
      <c r="AI627" s="47">
        <v>0</v>
      </c>
      <c r="AJ627" s="47">
        <v>0</v>
      </c>
      <c r="AK627" s="47">
        <v>0</v>
      </c>
      <c r="AL627">
        <v>12</v>
      </c>
      <c r="AM627">
        <v>0</v>
      </c>
      <c r="AN627">
        <v>11</v>
      </c>
      <c r="AO627">
        <v>10</v>
      </c>
      <c r="AP627">
        <v>35</v>
      </c>
      <c r="AQ627">
        <v>9</v>
      </c>
      <c r="AR627">
        <v>28</v>
      </c>
      <c r="AS627">
        <v>4</v>
      </c>
      <c r="AT627" t="s">
        <v>19988</v>
      </c>
      <c r="AU627" t="s">
        <v>19989</v>
      </c>
      <c r="AV627">
        <v>0.40400000000000003</v>
      </c>
      <c r="AW627" t="s">
        <v>65</v>
      </c>
      <c r="AX627">
        <v>63</v>
      </c>
      <c r="AY627">
        <v>13</v>
      </c>
      <c r="AZ627" t="s">
        <v>19990</v>
      </c>
      <c r="BA627">
        <v>6.3549999999999995E-2</v>
      </c>
      <c r="BB627">
        <v>-2.9299999999999999E-3</v>
      </c>
      <c r="BC627">
        <v>3.98E-3</v>
      </c>
      <c r="BD627">
        <v>-3.3E-4</v>
      </c>
      <c r="BE627">
        <v>6.2670000000000003E-2</v>
      </c>
      <c r="BF627">
        <v>1</v>
      </c>
      <c r="BG627" t="s">
        <v>69</v>
      </c>
      <c r="BH627">
        <v>-0.28499999999999998</v>
      </c>
      <c r="BI627">
        <v>-0.75900000000000001</v>
      </c>
    </row>
    <row r="628" spans="3:61">
      <c r="C628">
        <v>0</v>
      </c>
      <c r="D628">
        <v>2</v>
      </c>
      <c r="E628">
        <v>0</v>
      </c>
      <c r="F628" t="s">
        <v>25021</v>
      </c>
      <c r="G628">
        <v>2774</v>
      </c>
      <c r="H628" t="s">
        <v>15921</v>
      </c>
      <c r="I628" t="s">
        <v>57</v>
      </c>
      <c r="J628">
        <v>2725837</v>
      </c>
      <c r="K628">
        <v>2726724</v>
      </c>
      <c r="L628" t="s">
        <v>11969</v>
      </c>
      <c r="M628">
        <v>296</v>
      </c>
      <c r="N628" t="s">
        <v>15922</v>
      </c>
      <c r="O628">
        <v>29</v>
      </c>
      <c r="P628" t="str">
        <f>HYPERLINK("Gene2774-zp_tree_all.dnd", "Gene2774-tree")</f>
        <v>Gene2774-tree</v>
      </c>
      <c r="Q628">
        <v>4</v>
      </c>
      <c r="R628">
        <v>4</v>
      </c>
      <c r="S628">
        <v>4</v>
      </c>
      <c r="T628">
        <v>4</v>
      </c>
      <c r="U628">
        <v>0.5</v>
      </c>
      <c r="V628" t="s">
        <v>61</v>
      </c>
      <c r="W628" t="s">
        <v>61</v>
      </c>
      <c r="X628" t="s">
        <v>62</v>
      </c>
      <c r="Y628" t="s">
        <v>62</v>
      </c>
      <c r="Z628">
        <v>1</v>
      </c>
      <c r="AA628">
        <v>2</v>
      </c>
      <c r="AB628">
        <v>6</v>
      </c>
      <c r="AC628">
        <v>0.25</v>
      </c>
      <c r="AD628" s="47">
        <v>0</v>
      </c>
      <c r="AE628" s="47">
        <v>0</v>
      </c>
      <c r="AF628" s="47">
        <v>0</v>
      </c>
      <c r="AG628" s="47">
        <v>1</v>
      </c>
      <c r="AH628" s="47">
        <v>0</v>
      </c>
      <c r="AI628" s="47">
        <v>0</v>
      </c>
      <c r="AJ628" s="47">
        <v>0</v>
      </c>
      <c r="AK628" s="47">
        <v>0</v>
      </c>
      <c r="AL628">
        <v>5</v>
      </c>
      <c r="AM628">
        <v>0</v>
      </c>
      <c r="AN628">
        <v>7</v>
      </c>
      <c r="AO628">
        <v>5</v>
      </c>
      <c r="AP628">
        <v>11</v>
      </c>
      <c r="AQ628">
        <v>5</v>
      </c>
      <c r="AR628">
        <v>8</v>
      </c>
      <c r="AS628">
        <v>3</v>
      </c>
      <c r="AT628" t="s">
        <v>15923</v>
      </c>
      <c r="AU628" t="s">
        <v>15924</v>
      </c>
      <c r="AV628">
        <v>0.26</v>
      </c>
      <c r="AW628" t="s">
        <v>65</v>
      </c>
      <c r="AX628">
        <v>19</v>
      </c>
      <c r="AY628">
        <v>8</v>
      </c>
      <c r="AZ628" t="s">
        <v>15925</v>
      </c>
      <c r="BA628">
        <v>2.5499999999999998E-2</v>
      </c>
      <c r="BB628">
        <v>-2.1900000000000001E-3</v>
      </c>
      <c r="BC628">
        <v>3.7000000000000002E-3</v>
      </c>
      <c r="BD628">
        <v>-2.9999999999999997E-4</v>
      </c>
      <c r="BE628">
        <v>0.14499999999999999</v>
      </c>
      <c r="BF628">
        <v>1</v>
      </c>
      <c r="BG628" t="s">
        <v>69</v>
      </c>
      <c r="BH628">
        <v>3.6999999999999998E-2</v>
      </c>
      <c r="BI628">
        <v>-0.432</v>
      </c>
    </row>
    <row r="629" spans="3:61">
      <c r="C629">
        <v>0</v>
      </c>
      <c r="D629">
        <v>0</v>
      </c>
      <c r="E629">
        <v>2</v>
      </c>
      <c r="F629" t="s">
        <v>25021</v>
      </c>
      <c r="G629">
        <v>1917</v>
      </c>
      <c r="H629" t="s">
        <v>12008</v>
      </c>
      <c r="I629" t="s">
        <v>62</v>
      </c>
      <c r="J629">
        <v>2016848</v>
      </c>
      <c r="K629">
        <v>2017738</v>
      </c>
      <c r="L629" t="s">
        <v>12009</v>
      </c>
      <c r="M629">
        <v>297</v>
      </c>
      <c r="N629" t="s">
        <v>12010</v>
      </c>
      <c r="O629">
        <v>39</v>
      </c>
      <c r="P629" t="str">
        <f>HYPERLINK("Gene1917-zp_tree_all.dnd", "Gene1917-tree")</f>
        <v>Gene1917-tree</v>
      </c>
      <c r="Q629">
        <v>10</v>
      </c>
      <c r="R629">
        <v>6</v>
      </c>
      <c r="S629">
        <v>10</v>
      </c>
      <c r="T629">
        <v>6</v>
      </c>
      <c r="U629">
        <v>0.375</v>
      </c>
      <c r="V629" t="s">
        <v>117</v>
      </c>
      <c r="W629" t="s">
        <v>90</v>
      </c>
      <c r="X629" t="s">
        <v>62</v>
      </c>
      <c r="Y629" t="s">
        <v>62</v>
      </c>
      <c r="Z629">
        <v>1</v>
      </c>
      <c r="AA629">
        <v>2</v>
      </c>
      <c r="AB629">
        <v>16</v>
      </c>
      <c r="AC629">
        <v>0.11111</v>
      </c>
      <c r="AD629" s="47">
        <v>0</v>
      </c>
      <c r="AE629" s="47">
        <v>0</v>
      </c>
      <c r="AF629" s="47">
        <v>0</v>
      </c>
      <c r="AG629" s="47">
        <v>1</v>
      </c>
      <c r="AH629" s="47">
        <v>0</v>
      </c>
      <c r="AI629" s="47">
        <v>0</v>
      </c>
      <c r="AJ629" s="47">
        <v>0</v>
      </c>
      <c r="AK629" s="47">
        <v>0</v>
      </c>
      <c r="AL629">
        <v>7</v>
      </c>
      <c r="AM629">
        <v>0</v>
      </c>
      <c r="AN629">
        <v>12</v>
      </c>
      <c r="AO629">
        <v>10</v>
      </c>
      <c r="AP629">
        <v>17</v>
      </c>
      <c r="AQ629">
        <v>6</v>
      </c>
      <c r="AR629">
        <v>36</v>
      </c>
      <c r="AS629">
        <v>12</v>
      </c>
      <c r="AT629" t="s">
        <v>12011</v>
      </c>
      <c r="AU629" t="s">
        <v>12012</v>
      </c>
      <c r="AV629">
        <v>3.4000000000000002E-2</v>
      </c>
      <c r="AW629" t="s">
        <v>65</v>
      </c>
      <c r="AX629">
        <v>53</v>
      </c>
      <c r="AY629">
        <v>18</v>
      </c>
      <c r="AZ629" t="s">
        <v>12013</v>
      </c>
      <c r="BA629">
        <v>5.9560000000000002E-2</v>
      </c>
      <c r="BB629">
        <v>-5.7999999999999996E-3</v>
      </c>
      <c r="BC629">
        <v>5.0499999999999998E-3</v>
      </c>
      <c r="BD629">
        <v>-5.5000000000000003E-4</v>
      </c>
      <c r="BE629">
        <v>8.48E-2</v>
      </c>
      <c r="BF629">
        <v>1</v>
      </c>
      <c r="BG629" t="s">
        <v>69</v>
      </c>
      <c r="BH629">
        <v>-1.462</v>
      </c>
      <c r="BI629">
        <v>7.0000000000000001E-3</v>
      </c>
    </row>
    <row r="630" spans="3:61">
      <c r="C630">
        <v>0</v>
      </c>
      <c r="D630">
        <v>7</v>
      </c>
      <c r="E630">
        <v>2</v>
      </c>
      <c r="F630" t="s">
        <v>25021</v>
      </c>
      <c r="G630">
        <v>564</v>
      </c>
      <c r="H630" t="s">
        <v>3630</v>
      </c>
      <c r="I630" t="s">
        <v>62</v>
      </c>
      <c r="J630">
        <v>595112</v>
      </c>
      <c r="K630">
        <v>596002</v>
      </c>
      <c r="L630" t="s">
        <v>3631</v>
      </c>
      <c r="M630">
        <v>297</v>
      </c>
      <c r="N630" t="s">
        <v>108</v>
      </c>
      <c r="O630">
        <v>44</v>
      </c>
      <c r="P630" t="str">
        <f>HYPERLINK("Gene564-zp_tree_all.dnd", "Gene564-tree")</f>
        <v>Gene564-tree</v>
      </c>
      <c r="Q630">
        <v>4</v>
      </c>
      <c r="R630">
        <v>8</v>
      </c>
      <c r="S630">
        <v>4</v>
      </c>
      <c r="T630">
        <v>8</v>
      </c>
      <c r="U630">
        <v>0.66666999999999998</v>
      </c>
      <c r="V630" t="s">
        <v>61</v>
      </c>
      <c r="W630" t="s">
        <v>136</v>
      </c>
      <c r="X630" t="s">
        <v>62</v>
      </c>
      <c r="Y630" t="s">
        <v>62</v>
      </c>
      <c r="Z630">
        <v>3</v>
      </c>
      <c r="AA630">
        <v>9</v>
      </c>
      <c r="AB630">
        <v>4</v>
      </c>
      <c r="AC630">
        <v>0.69230999999999998</v>
      </c>
      <c r="AD630" s="47">
        <v>0</v>
      </c>
      <c r="AE630" s="47">
        <v>0</v>
      </c>
      <c r="AF630" s="47">
        <v>0</v>
      </c>
      <c r="AG630" s="47">
        <v>0</v>
      </c>
      <c r="AH630" s="47">
        <v>0</v>
      </c>
      <c r="AI630" s="47">
        <v>5</v>
      </c>
      <c r="AJ630" s="47">
        <v>2</v>
      </c>
      <c r="AK630" s="47">
        <v>7</v>
      </c>
      <c r="AL630">
        <v>2</v>
      </c>
      <c r="AM630">
        <v>0.77778000000000003</v>
      </c>
      <c r="AN630">
        <v>11</v>
      </c>
      <c r="AO630">
        <v>7</v>
      </c>
      <c r="AP630">
        <v>25</v>
      </c>
      <c r="AQ630">
        <v>8</v>
      </c>
      <c r="AR630">
        <v>21</v>
      </c>
      <c r="AS630">
        <v>5</v>
      </c>
      <c r="AT630" t="s">
        <v>3632</v>
      </c>
      <c r="AU630" t="s">
        <v>3633</v>
      </c>
      <c r="AV630">
        <v>0.23300000000000001</v>
      </c>
      <c r="AW630" t="s">
        <v>65</v>
      </c>
      <c r="AX630">
        <v>46</v>
      </c>
      <c r="AY630">
        <v>13</v>
      </c>
      <c r="AZ630" t="s">
        <v>3634</v>
      </c>
      <c r="BA630">
        <v>5.296E-2</v>
      </c>
      <c r="BB630">
        <v>-4.8799999999999998E-3</v>
      </c>
      <c r="BC630">
        <v>3.1700000000000001E-3</v>
      </c>
      <c r="BD630">
        <v>-2.4000000000000001E-4</v>
      </c>
      <c r="BE630">
        <v>5.9889999999999999E-2</v>
      </c>
      <c r="BF630">
        <v>1</v>
      </c>
      <c r="BG630" t="s">
        <v>69</v>
      </c>
      <c r="BH630">
        <v>-0.36299999999999999</v>
      </c>
      <c r="BI630">
        <v>-0.38700000000000001</v>
      </c>
    </row>
    <row r="631" spans="3:61">
      <c r="C631">
        <v>0</v>
      </c>
      <c r="D631">
        <v>10</v>
      </c>
      <c r="E631">
        <v>0</v>
      </c>
      <c r="F631" t="s">
        <v>25021</v>
      </c>
      <c r="G631">
        <v>2502</v>
      </c>
      <c r="H631" t="s">
        <v>14591</v>
      </c>
      <c r="I631" t="s">
        <v>57</v>
      </c>
      <c r="J631">
        <v>2493662</v>
      </c>
      <c r="K631">
        <v>2494552</v>
      </c>
      <c r="L631" t="s">
        <v>14592</v>
      </c>
      <c r="M631">
        <v>297</v>
      </c>
      <c r="N631" t="s">
        <v>108</v>
      </c>
      <c r="O631">
        <v>44</v>
      </c>
      <c r="P631" t="str">
        <f>HYPERLINK("Gene2502-zp_tree_all.dnd", "Gene2502-tree")</f>
        <v>Gene2502-tree</v>
      </c>
      <c r="Q631">
        <v>9</v>
      </c>
      <c r="R631">
        <v>5</v>
      </c>
      <c r="S631">
        <v>9</v>
      </c>
      <c r="T631">
        <v>5</v>
      </c>
      <c r="U631">
        <v>0.35714000000000001</v>
      </c>
      <c r="V631" t="s">
        <v>135</v>
      </c>
      <c r="W631" t="s">
        <v>199</v>
      </c>
      <c r="X631" t="s">
        <v>62</v>
      </c>
      <c r="Y631" t="s">
        <v>62</v>
      </c>
      <c r="Z631">
        <v>3</v>
      </c>
      <c r="AA631">
        <v>10</v>
      </c>
      <c r="AB631">
        <v>6</v>
      </c>
      <c r="AC631">
        <v>0.625</v>
      </c>
      <c r="AD631" s="47">
        <v>0</v>
      </c>
      <c r="AE631" s="47">
        <v>0</v>
      </c>
      <c r="AF631" s="47">
        <v>0</v>
      </c>
      <c r="AG631" s="47">
        <v>0</v>
      </c>
      <c r="AH631" s="47">
        <v>0</v>
      </c>
      <c r="AI631" s="47">
        <v>2</v>
      </c>
      <c r="AJ631" s="47">
        <v>0</v>
      </c>
      <c r="AK631" s="47">
        <v>2</v>
      </c>
      <c r="AL631">
        <v>6</v>
      </c>
      <c r="AM631">
        <v>0.25</v>
      </c>
      <c r="AN631">
        <v>10</v>
      </c>
      <c r="AO631">
        <v>11</v>
      </c>
      <c r="AP631">
        <v>28</v>
      </c>
      <c r="AQ631">
        <v>8</v>
      </c>
      <c r="AR631">
        <v>32</v>
      </c>
      <c r="AS631">
        <v>8</v>
      </c>
      <c r="AT631" t="s">
        <v>14593</v>
      </c>
      <c r="AU631" t="s">
        <v>14594</v>
      </c>
      <c r="AV631">
        <v>0.13500000000000001</v>
      </c>
      <c r="AW631" t="s">
        <v>65</v>
      </c>
      <c r="AX631">
        <v>60</v>
      </c>
      <c r="AY631">
        <v>16</v>
      </c>
      <c r="AZ631" t="s">
        <v>14595</v>
      </c>
      <c r="BA631">
        <v>6.411E-2</v>
      </c>
      <c r="BB631">
        <v>-2.5899999999999999E-3</v>
      </c>
      <c r="BC631">
        <v>3.81E-3</v>
      </c>
      <c r="BD631">
        <v>-2.1000000000000001E-4</v>
      </c>
      <c r="BE631">
        <v>5.9400000000000001E-2</v>
      </c>
      <c r="BF631">
        <v>1</v>
      </c>
      <c r="BG631" t="s">
        <v>69</v>
      </c>
      <c r="BH631">
        <v>0.215</v>
      </c>
      <c r="BI631">
        <v>-0.63400000000000001</v>
      </c>
    </row>
    <row r="632" spans="3:61">
      <c r="C632">
        <v>5</v>
      </c>
      <c r="D632">
        <v>3</v>
      </c>
      <c r="E632">
        <v>0</v>
      </c>
      <c r="F632" t="s">
        <v>25021</v>
      </c>
      <c r="G632">
        <v>1891</v>
      </c>
      <c r="H632" t="s">
        <v>11836</v>
      </c>
      <c r="I632" t="s">
        <v>62</v>
      </c>
      <c r="J632">
        <v>1952034</v>
      </c>
      <c r="K632">
        <v>1952930</v>
      </c>
      <c r="L632" t="s">
        <v>11837</v>
      </c>
      <c r="M632">
        <v>299</v>
      </c>
      <c r="N632" t="s">
        <v>108</v>
      </c>
      <c r="O632">
        <v>44</v>
      </c>
      <c r="P632" t="str">
        <f>HYPERLINK("Gene1891-zp_tree_all.dnd", "Gene1891-tree")</f>
        <v>Gene1891-tree</v>
      </c>
      <c r="Q632">
        <v>5</v>
      </c>
      <c r="R632">
        <v>7</v>
      </c>
      <c r="S632">
        <v>5</v>
      </c>
      <c r="T632">
        <v>7</v>
      </c>
      <c r="U632">
        <v>0.58333000000000002</v>
      </c>
      <c r="V632" t="s">
        <v>199</v>
      </c>
      <c r="W632" t="s">
        <v>152</v>
      </c>
      <c r="X632" t="s">
        <v>62</v>
      </c>
      <c r="Y632" t="s">
        <v>62</v>
      </c>
      <c r="Z632">
        <v>2</v>
      </c>
      <c r="AA632">
        <v>8</v>
      </c>
      <c r="AB632">
        <v>9</v>
      </c>
      <c r="AC632">
        <v>0.47059000000000001</v>
      </c>
      <c r="AD632" s="47">
        <v>0</v>
      </c>
      <c r="AE632" s="47">
        <v>0</v>
      </c>
      <c r="AF632" s="47">
        <v>0</v>
      </c>
      <c r="AG632" s="47">
        <v>1</v>
      </c>
      <c r="AH632" s="47">
        <v>0</v>
      </c>
      <c r="AI632" s="47">
        <v>2</v>
      </c>
      <c r="AJ632" s="47">
        <v>1</v>
      </c>
      <c r="AK632" s="47">
        <v>3</v>
      </c>
      <c r="AL632">
        <v>6</v>
      </c>
      <c r="AM632">
        <v>0.33333000000000002</v>
      </c>
      <c r="AN632">
        <v>11</v>
      </c>
      <c r="AO632">
        <v>7</v>
      </c>
      <c r="AP632">
        <v>31</v>
      </c>
      <c r="AQ632">
        <v>10</v>
      </c>
      <c r="AR632">
        <v>22</v>
      </c>
      <c r="AS632">
        <v>9</v>
      </c>
      <c r="AT632" t="s">
        <v>11838</v>
      </c>
      <c r="AU632" t="s">
        <v>11839</v>
      </c>
      <c r="AV632">
        <v>0.47199999999999998</v>
      </c>
      <c r="AW632" t="s">
        <v>65</v>
      </c>
      <c r="AX632">
        <v>53</v>
      </c>
      <c r="AY632">
        <v>19</v>
      </c>
      <c r="AZ632" t="s">
        <v>11840</v>
      </c>
      <c r="BA632">
        <v>3.9530000000000003E-2</v>
      </c>
      <c r="BB632">
        <v>-1.64E-3</v>
      </c>
      <c r="BC632">
        <v>5.5199999999999997E-3</v>
      </c>
      <c r="BD632">
        <v>-2.7999999999999998E-4</v>
      </c>
      <c r="BE632">
        <v>0.13975000000000001</v>
      </c>
      <c r="BF632">
        <v>1</v>
      </c>
      <c r="BG632" t="s">
        <v>69</v>
      </c>
      <c r="BH632">
        <v>0.54100000000000004</v>
      </c>
      <c r="BI632">
        <v>3.5999999999999997E-2</v>
      </c>
    </row>
    <row r="633" spans="3:61">
      <c r="C633">
        <v>0</v>
      </c>
      <c r="D633">
        <v>0</v>
      </c>
      <c r="E633">
        <v>4</v>
      </c>
      <c r="F633" t="s">
        <v>25021</v>
      </c>
      <c r="G633">
        <v>1078</v>
      </c>
      <c r="H633" t="s">
        <v>6773</v>
      </c>
      <c r="I633" t="s">
        <v>62</v>
      </c>
      <c r="J633">
        <v>1117737</v>
      </c>
      <c r="K633">
        <v>1118633</v>
      </c>
      <c r="L633" t="s">
        <v>1940</v>
      </c>
      <c r="M633">
        <v>299</v>
      </c>
      <c r="N633" t="s">
        <v>108</v>
      </c>
      <c r="O633">
        <v>44</v>
      </c>
      <c r="P633" t="str">
        <f>HYPERLINK("Gene1078-zp_tree_all.dnd", "Gene1078-tree")</f>
        <v>Gene1078-tree</v>
      </c>
      <c r="Q633">
        <v>28</v>
      </c>
      <c r="R633">
        <v>6</v>
      </c>
      <c r="S633">
        <v>8</v>
      </c>
      <c r="T633">
        <v>6</v>
      </c>
      <c r="U633">
        <v>0.42857000000000001</v>
      </c>
      <c r="V633" t="s">
        <v>3778</v>
      </c>
      <c r="W633" t="s">
        <v>90</v>
      </c>
      <c r="X633" t="s">
        <v>62</v>
      </c>
      <c r="Y633" t="s">
        <v>62</v>
      </c>
      <c r="Z633">
        <v>2</v>
      </c>
      <c r="AA633">
        <v>4</v>
      </c>
      <c r="AB633">
        <v>12</v>
      </c>
      <c r="AC633">
        <v>0.25</v>
      </c>
      <c r="AD633" s="47">
        <v>0</v>
      </c>
      <c r="AE633" s="47">
        <v>0</v>
      </c>
      <c r="AF633" s="47">
        <v>0</v>
      </c>
      <c r="AG633" s="47">
        <v>0</v>
      </c>
      <c r="AH633" s="47">
        <v>0</v>
      </c>
      <c r="AI633" s="47">
        <v>0</v>
      </c>
      <c r="AJ633" s="47">
        <v>2</v>
      </c>
      <c r="AK633" s="47">
        <v>2</v>
      </c>
      <c r="AL633">
        <v>9</v>
      </c>
      <c r="AM633">
        <v>0.18182000000000001</v>
      </c>
      <c r="AN633">
        <v>12</v>
      </c>
      <c r="AO633">
        <v>7</v>
      </c>
      <c r="AP633">
        <v>42</v>
      </c>
      <c r="AQ633">
        <v>10</v>
      </c>
      <c r="AR633">
        <v>18</v>
      </c>
      <c r="AS633">
        <v>6</v>
      </c>
      <c r="AT633" t="s">
        <v>6774</v>
      </c>
      <c r="AU633" t="s">
        <v>6775</v>
      </c>
      <c r="AV633">
        <v>0.32800000000000001</v>
      </c>
      <c r="AW633" t="s">
        <v>65</v>
      </c>
      <c r="AX633">
        <v>60</v>
      </c>
      <c r="AY633">
        <v>16</v>
      </c>
      <c r="AZ633" t="s">
        <v>6776</v>
      </c>
      <c r="BA633">
        <v>4.8039999999999999E-2</v>
      </c>
      <c r="BB633">
        <v>-2.48E-3</v>
      </c>
      <c r="BC633">
        <v>5.1900000000000002E-3</v>
      </c>
      <c r="BD633">
        <v>-4.8000000000000001E-4</v>
      </c>
      <c r="BE633">
        <v>0.108</v>
      </c>
      <c r="BF633">
        <v>1</v>
      </c>
      <c r="BG633" t="s">
        <v>69</v>
      </c>
      <c r="BH633">
        <v>-0.98899999999999999</v>
      </c>
      <c r="BI633">
        <v>-2.5779999999999998</v>
      </c>
    </row>
    <row r="634" spans="3:61">
      <c r="C634">
        <v>0</v>
      </c>
      <c r="D634">
        <v>2</v>
      </c>
      <c r="E634">
        <v>0</v>
      </c>
      <c r="F634" t="s">
        <v>25021</v>
      </c>
      <c r="G634">
        <v>1193</v>
      </c>
      <c r="H634" t="s">
        <v>7502</v>
      </c>
      <c r="I634" t="s">
        <v>62</v>
      </c>
      <c r="J634">
        <v>1233617</v>
      </c>
      <c r="K634">
        <v>1234513</v>
      </c>
      <c r="L634" t="s">
        <v>7503</v>
      </c>
      <c r="M634">
        <v>299</v>
      </c>
      <c r="N634" t="s">
        <v>108</v>
      </c>
      <c r="O634">
        <v>44</v>
      </c>
      <c r="P634" t="str">
        <f>HYPERLINK("Gene1193-zp_tree_all.dnd", "Gene1193-tree")</f>
        <v>Gene1193-tree</v>
      </c>
      <c r="Q634">
        <v>8</v>
      </c>
      <c r="R634">
        <v>3</v>
      </c>
      <c r="S634">
        <v>8</v>
      </c>
      <c r="T634">
        <v>3</v>
      </c>
      <c r="U634">
        <v>0.27272999999999997</v>
      </c>
      <c r="V634" t="s">
        <v>136</v>
      </c>
      <c r="W634" t="s">
        <v>324</v>
      </c>
      <c r="X634" t="s">
        <v>62</v>
      </c>
      <c r="Y634" t="s">
        <v>62</v>
      </c>
      <c r="Z634">
        <v>1</v>
      </c>
      <c r="AA634">
        <v>2</v>
      </c>
      <c r="AB634">
        <v>2</v>
      </c>
      <c r="AC634">
        <v>0.5</v>
      </c>
      <c r="AD634" s="47">
        <v>0</v>
      </c>
      <c r="AE634" s="47">
        <v>0</v>
      </c>
      <c r="AF634" s="47">
        <v>0</v>
      </c>
      <c r="AG634" s="47">
        <v>0</v>
      </c>
      <c r="AH634" s="47">
        <v>0</v>
      </c>
      <c r="AI634" s="47">
        <v>2</v>
      </c>
      <c r="AJ634" s="47">
        <v>0</v>
      </c>
      <c r="AK634" s="47">
        <v>2</v>
      </c>
      <c r="AL634">
        <v>2</v>
      </c>
      <c r="AM634">
        <v>0.5</v>
      </c>
      <c r="AN634">
        <v>9</v>
      </c>
      <c r="AO634">
        <v>4</v>
      </c>
      <c r="AP634">
        <v>36</v>
      </c>
      <c r="AQ634">
        <v>4</v>
      </c>
      <c r="AR634">
        <v>9</v>
      </c>
      <c r="AS634">
        <v>1</v>
      </c>
      <c r="AT634" t="s">
        <v>7504</v>
      </c>
      <c r="AU634" t="s">
        <v>7505</v>
      </c>
      <c r="AV634">
        <v>0.01</v>
      </c>
      <c r="AW634" t="s">
        <v>65</v>
      </c>
      <c r="AX634">
        <v>45</v>
      </c>
      <c r="AY634">
        <v>5</v>
      </c>
      <c r="AZ634" t="s">
        <v>7506</v>
      </c>
      <c r="BA634">
        <v>3.8109999999999998E-2</v>
      </c>
      <c r="BB634">
        <v>-3.7599999999999999E-3</v>
      </c>
      <c r="BC634">
        <v>1.4400000000000001E-3</v>
      </c>
      <c r="BD634">
        <v>-2.3000000000000001E-4</v>
      </c>
      <c r="BE634">
        <v>3.7900000000000003E-2</v>
      </c>
      <c r="BF634">
        <v>1</v>
      </c>
      <c r="BG634" t="s">
        <v>69</v>
      </c>
      <c r="BH634">
        <v>-1.071</v>
      </c>
      <c r="BI634">
        <v>-1.57</v>
      </c>
    </row>
    <row r="635" spans="3:61">
      <c r="C635">
        <v>0</v>
      </c>
      <c r="D635">
        <v>16</v>
      </c>
      <c r="E635">
        <v>1</v>
      </c>
      <c r="F635" t="s">
        <v>25021</v>
      </c>
      <c r="G635">
        <v>561</v>
      </c>
      <c r="H635" t="s">
        <v>3609</v>
      </c>
      <c r="I635" t="s">
        <v>62</v>
      </c>
      <c r="J635">
        <v>592306</v>
      </c>
      <c r="K635">
        <v>593205</v>
      </c>
      <c r="L635" t="s">
        <v>3610</v>
      </c>
      <c r="M635">
        <v>300</v>
      </c>
      <c r="N635" t="s">
        <v>1139</v>
      </c>
      <c r="O635">
        <v>42</v>
      </c>
      <c r="P635" t="str">
        <f>HYPERLINK("Gene561-zp_tree_all.dnd", "Gene561-tree")</f>
        <v>Gene561-tree</v>
      </c>
      <c r="Q635">
        <v>2</v>
      </c>
      <c r="R635">
        <v>10</v>
      </c>
      <c r="S635">
        <v>2</v>
      </c>
      <c r="T635">
        <v>10</v>
      </c>
      <c r="U635">
        <v>0.83333000000000002</v>
      </c>
      <c r="V635" t="s">
        <v>81</v>
      </c>
      <c r="W635" t="s">
        <v>117</v>
      </c>
      <c r="X635" t="s">
        <v>62</v>
      </c>
      <c r="Y635" t="s">
        <v>62</v>
      </c>
      <c r="Z635">
        <v>6</v>
      </c>
      <c r="AA635">
        <v>17</v>
      </c>
      <c r="AB635">
        <v>11</v>
      </c>
      <c r="AC635">
        <v>0.60714000000000001</v>
      </c>
      <c r="AD635" s="47">
        <v>0</v>
      </c>
      <c r="AE635" s="47">
        <v>0</v>
      </c>
      <c r="AF635" s="47">
        <v>0</v>
      </c>
      <c r="AG635" s="47">
        <v>0</v>
      </c>
      <c r="AH635" s="47">
        <v>0</v>
      </c>
      <c r="AI635" s="47">
        <v>11</v>
      </c>
      <c r="AJ635" s="47">
        <v>2</v>
      </c>
      <c r="AK635" s="47">
        <v>13</v>
      </c>
      <c r="AL635">
        <v>8</v>
      </c>
      <c r="AM635">
        <v>0.61904999999999999</v>
      </c>
      <c r="AN635">
        <v>11</v>
      </c>
      <c r="AO635">
        <v>6</v>
      </c>
      <c r="AP635">
        <v>7</v>
      </c>
      <c r="AQ635">
        <v>21</v>
      </c>
      <c r="AR635">
        <v>4</v>
      </c>
      <c r="AS635">
        <v>7</v>
      </c>
      <c r="AT635" t="s">
        <v>3611</v>
      </c>
      <c r="AU635" t="s">
        <v>3612</v>
      </c>
      <c r="AV635">
        <v>0.73799999999999999</v>
      </c>
      <c r="AW635" t="s">
        <v>65</v>
      </c>
      <c r="AX635">
        <v>11</v>
      </c>
      <c r="AY635">
        <v>28</v>
      </c>
      <c r="AZ635" t="s">
        <v>3613</v>
      </c>
      <c r="BA635">
        <v>1.187E-2</v>
      </c>
      <c r="BB635">
        <v>-8.8999999999999995E-4</v>
      </c>
      <c r="BC635">
        <v>7.1900000000000002E-3</v>
      </c>
      <c r="BD635">
        <v>-3.6000000000000002E-4</v>
      </c>
      <c r="BE635">
        <v>0.60560999999999998</v>
      </c>
      <c r="BF635">
        <v>0.75</v>
      </c>
      <c r="BG635" t="s">
        <v>635</v>
      </c>
      <c r="BH635">
        <v>0.216</v>
      </c>
      <c r="BI635">
        <v>0.216</v>
      </c>
    </row>
    <row r="636" spans="3:61">
      <c r="C636">
        <v>0</v>
      </c>
      <c r="D636">
        <v>7</v>
      </c>
      <c r="E636">
        <v>2</v>
      </c>
      <c r="F636" t="s">
        <v>25021</v>
      </c>
      <c r="G636">
        <v>2282</v>
      </c>
      <c r="H636" t="s">
        <v>13210</v>
      </c>
      <c r="I636" t="s">
        <v>57</v>
      </c>
      <c r="J636">
        <v>2305378</v>
      </c>
      <c r="K636">
        <v>2306280</v>
      </c>
      <c r="L636" t="s">
        <v>13211</v>
      </c>
      <c r="M636">
        <v>301</v>
      </c>
      <c r="N636" t="s">
        <v>59</v>
      </c>
      <c r="O636">
        <v>49</v>
      </c>
      <c r="P636" t="str">
        <f>HYPERLINK("Gene2282-zp_tree_all.dnd", "Gene2282-tree")</f>
        <v>Gene2282-tree</v>
      </c>
      <c r="Q636">
        <v>28</v>
      </c>
      <c r="R636">
        <v>11</v>
      </c>
      <c r="S636">
        <v>6</v>
      </c>
      <c r="T636">
        <v>11</v>
      </c>
      <c r="U636">
        <v>0.64705999999999997</v>
      </c>
      <c r="V636" t="s">
        <v>5497</v>
      </c>
      <c r="W636" t="s">
        <v>73</v>
      </c>
      <c r="X636">
        <v>5.1890000000000001</v>
      </c>
      <c r="Y636" t="s">
        <v>267</v>
      </c>
      <c r="Z636">
        <v>4</v>
      </c>
      <c r="AA636">
        <v>9</v>
      </c>
      <c r="AB636">
        <v>14</v>
      </c>
      <c r="AC636">
        <v>0.39129999999999998</v>
      </c>
      <c r="AD636" s="47">
        <v>0</v>
      </c>
      <c r="AE636" s="47">
        <v>0</v>
      </c>
      <c r="AF636" s="47">
        <v>0</v>
      </c>
      <c r="AG636" s="47">
        <v>2</v>
      </c>
      <c r="AH636" s="47">
        <v>0</v>
      </c>
      <c r="AI636" s="47">
        <v>3</v>
      </c>
      <c r="AJ636" s="47">
        <v>0</v>
      </c>
      <c r="AK636" s="47">
        <v>3</v>
      </c>
      <c r="AL636">
        <v>9</v>
      </c>
      <c r="AM636">
        <v>0.25</v>
      </c>
      <c r="AN636">
        <v>13</v>
      </c>
      <c r="AO636">
        <v>10</v>
      </c>
      <c r="AP636">
        <v>20</v>
      </c>
      <c r="AQ636">
        <v>12</v>
      </c>
      <c r="AR636">
        <v>34</v>
      </c>
      <c r="AS636">
        <v>11</v>
      </c>
      <c r="AT636" t="s">
        <v>13212</v>
      </c>
      <c r="AU636" t="s">
        <v>13213</v>
      </c>
      <c r="AV636">
        <v>0.80100000000000005</v>
      </c>
      <c r="AW636" t="s">
        <v>65</v>
      </c>
      <c r="AX636">
        <v>54</v>
      </c>
      <c r="AY636">
        <v>23</v>
      </c>
      <c r="AZ636" t="s">
        <v>13214</v>
      </c>
      <c r="BA636">
        <v>7.0720000000000005E-2</v>
      </c>
      <c r="BB636">
        <v>-4.62E-3</v>
      </c>
      <c r="BC636">
        <v>6.9899999999999997E-3</v>
      </c>
      <c r="BD636">
        <v>-4.0000000000000002E-4</v>
      </c>
      <c r="BE636">
        <v>9.8799999999999999E-2</v>
      </c>
      <c r="BF636">
        <v>1</v>
      </c>
      <c r="BG636" t="s">
        <v>69</v>
      </c>
      <c r="BH636">
        <v>-1.3919999999999999</v>
      </c>
      <c r="BI636">
        <v>-1.0169999999999999</v>
      </c>
    </row>
    <row r="637" spans="3:61">
      <c r="C637">
        <v>0</v>
      </c>
      <c r="D637">
        <v>9</v>
      </c>
      <c r="E637">
        <v>2</v>
      </c>
      <c r="F637" t="s">
        <v>25021</v>
      </c>
      <c r="G637">
        <v>955</v>
      </c>
      <c r="H637" t="s">
        <v>5992</v>
      </c>
      <c r="I637" t="s">
        <v>62</v>
      </c>
      <c r="J637">
        <v>995627</v>
      </c>
      <c r="K637">
        <v>996532</v>
      </c>
      <c r="L637" t="s">
        <v>5993</v>
      </c>
      <c r="M637">
        <v>302</v>
      </c>
      <c r="N637" t="s">
        <v>108</v>
      </c>
      <c r="O637">
        <v>44</v>
      </c>
      <c r="P637" t="str">
        <f>HYPERLINK("Gene955-zp_tree_all.dnd", "Gene955-tree")</f>
        <v>Gene955-tree</v>
      </c>
      <c r="Q637">
        <v>6</v>
      </c>
      <c r="R637">
        <v>10</v>
      </c>
      <c r="S637">
        <v>6</v>
      </c>
      <c r="T637">
        <v>10</v>
      </c>
      <c r="U637">
        <v>0.625</v>
      </c>
      <c r="V637" t="s">
        <v>90</v>
      </c>
      <c r="W637" t="s">
        <v>117</v>
      </c>
      <c r="X637" t="s">
        <v>62</v>
      </c>
      <c r="Y637" t="s">
        <v>62</v>
      </c>
      <c r="Z637">
        <v>5</v>
      </c>
      <c r="AA637">
        <v>11</v>
      </c>
      <c r="AB637">
        <v>11</v>
      </c>
      <c r="AC637">
        <v>0.5</v>
      </c>
      <c r="AD637" s="47">
        <v>0</v>
      </c>
      <c r="AE637" s="47">
        <v>0</v>
      </c>
      <c r="AF637" s="47">
        <v>0</v>
      </c>
      <c r="AG637" s="47">
        <v>1</v>
      </c>
      <c r="AH637" s="47">
        <v>0</v>
      </c>
      <c r="AI637" s="47">
        <v>6</v>
      </c>
      <c r="AJ637" s="47">
        <v>2</v>
      </c>
      <c r="AK637" s="47">
        <v>8</v>
      </c>
      <c r="AL637">
        <v>11</v>
      </c>
      <c r="AM637">
        <v>0.42104999999999998</v>
      </c>
      <c r="AN637">
        <v>13</v>
      </c>
      <c r="AO637">
        <v>7</v>
      </c>
      <c r="AP637">
        <v>27</v>
      </c>
      <c r="AQ637">
        <v>18</v>
      </c>
      <c r="AR637">
        <v>15</v>
      </c>
      <c r="AS637">
        <v>4</v>
      </c>
      <c r="AT637" t="s">
        <v>5994</v>
      </c>
      <c r="AU637" t="s">
        <v>5995</v>
      </c>
      <c r="AV637">
        <v>1.127</v>
      </c>
      <c r="AW637" t="s">
        <v>65</v>
      </c>
      <c r="AX637">
        <v>42</v>
      </c>
      <c r="AY637">
        <v>22</v>
      </c>
      <c r="AZ637" t="s">
        <v>5996</v>
      </c>
      <c r="BA637">
        <v>3.6240000000000001E-2</v>
      </c>
      <c r="BB637">
        <v>-1.4599999999999999E-3</v>
      </c>
      <c r="BC637">
        <v>4.4600000000000004E-3</v>
      </c>
      <c r="BD637">
        <v>-2.4000000000000001E-4</v>
      </c>
      <c r="BE637">
        <v>0.1232</v>
      </c>
      <c r="BF637">
        <v>1</v>
      </c>
      <c r="BG637" t="s">
        <v>69</v>
      </c>
      <c r="BH637">
        <v>-1.4319999999999999</v>
      </c>
      <c r="BI637">
        <v>-1.4890000000000001</v>
      </c>
    </row>
    <row r="638" spans="3:61">
      <c r="C638">
        <v>0</v>
      </c>
      <c r="D638">
        <v>0</v>
      </c>
      <c r="E638">
        <v>0</v>
      </c>
      <c r="F638" t="s">
        <v>25021</v>
      </c>
      <c r="G638">
        <v>3734</v>
      </c>
      <c r="H638" t="s">
        <v>21894</v>
      </c>
      <c r="I638" t="s">
        <v>57</v>
      </c>
      <c r="J638">
        <v>3711498</v>
      </c>
      <c r="K638">
        <v>3712403</v>
      </c>
      <c r="L638" t="s">
        <v>21895</v>
      </c>
      <c r="M638">
        <v>302</v>
      </c>
      <c r="N638" t="s">
        <v>108</v>
      </c>
      <c r="O638">
        <v>44</v>
      </c>
      <c r="P638" t="str">
        <f>HYPERLINK("Gene3734-zp_tree_all.dnd", "Gene3734-tree")</f>
        <v>Gene3734-tree</v>
      </c>
      <c r="Q638">
        <v>6</v>
      </c>
      <c r="R638">
        <v>2</v>
      </c>
      <c r="S638">
        <v>6</v>
      </c>
      <c r="T638">
        <v>2</v>
      </c>
      <c r="U638">
        <v>0.25</v>
      </c>
      <c r="V638" t="s">
        <v>90</v>
      </c>
      <c r="W638" t="s">
        <v>81</v>
      </c>
      <c r="X638" t="s">
        <v>62</v>
      </c>
      <c r="Y638" t="s">
        <v>62</v>
      </c>
      <c r="Z638">
        <v>0</v>
      </c>
      <c r="AA638">
        <v>0</v>
      </c>
      <c r="AB638">
        <v>2</v>
      </c>
      <c r="AC638">
        <v>0</v>
      </c>
      <c r="AD638" s="47">
        <v>0</v>
      </c>
      <c r="AE638" s="47">
        <v>0</v>
      </c>
      <c r="AF638" s="47">
        <v>0</v>
      </c>
      <c r="AG638" s="47">
        <v>0</v>
      </c>
      <c r="AH638" s="47">
        <v>0</v>
      </c>
      <c r="AI638" s="47">
        <v>0</v>
      </c>
      <c r="AJ638" s="47">
        <v>0</v>
      </c>
      <c r="AK638" s="47">
        <v>0</v>
      </c>
      <c r="AL638">
        <v>2</v>
      </c>
      <c r="AM638">
        <v>0</v>
      </c>
      <c r="AN638">
        <v>6</v>
      </c>
      <c r="AO638">
        <v>3</v>
      </c>
      <c r="AP638">
        <v>16</v>
      </c>
      <c r="AQ638">
        <v>2</v>
      </c>
      <c r="AR638">
        <v>5</v>
      </c>
      <c r="AS638">
        <v>0</v>
      </c>
      <c r="AT638" t="s">
        <v>21896</v>
      </c>
      <c r="AU638" t="s">
        <v>193</v>
      </c>
      <c r="AV638">
        <v>0.86299999999999999</v>
      </c>
      <c r="AW638" t="s">
        <v>65</v>
      </c>
      <c r="AX638">
        <v>21</v>
      </c>
      <c r="AY638">
        <v>2</v>
      </c>
      <c r="AZ638" t="s">
        <v>21897</v>
      </c>
      <c r="BA638">
        <v>2.785E-2</v>
      </c>
      <c r="BB638">
        <v>-2.7899999999999999E-3</v>
      </c>
      <c r="BC638">
        <v>7.1000000000000002E-4</v>
      </c>
      <c r="BD638">
        <v>-1.4999999999999999E-4</v>
      </c>
      <c r="BE638">
        <v>2.563E-2</v>
      </c>
      <c r="BF638">
        <v>1</v>
      </c>
      <c r="BG638" t="s">
        <v>69</v>
      </c>
      <c r="BH638">
        <v>-0.94299999999999995</v>
      </c>
      <c r="BI638">
        <v>-0.56699999999999995</v>
      </c>
    </row>
    <row r="639" spans="3:61">
      <c r="C639">
        <v>0</v>
      </c>
      <c r="D639">
        <v>2</v>
      </c>
      <c r="E639">
        <v>0</v>
      </c>
      <c r="F639" t="s">
        <v>25021</v>
      </c>
      <c r="G639">
        <v>219</v>
      </c>
      <c r="H639" t="s">
        <v>1479</v>
      </c>
      <c r="I639" t="s">
        <v>62</v>
      </c>
      <c r="J639">
        <v>238647</v>
      </c>
      <c r="K639">
        <v>239555</v>
      </c>
      <c r="L639" t="s">
        <v>116</v>
      </c>
      <c r="M639">
        <v>303</v>
      </c>
      <c r="N639" t="s">
        <v>1480</v>
      </c>
      <c r="O639">
        <v>32</v>
      </c>
      <c r="P639" t="str">
        <f>HYPERLINK("Gene219-zp_tree_all.dnd", "Gene219-tree")</f>
        <v>Gene219-tree</v>
      </c>
      <c r="Q639">
        <v>0</v>
      </c>
      <c r="R639">
        <v>4</v>
      </c>
      <c r="S639">
        <v>0</v>
      </c>
      <c r="T639">
        <v>4</v>
      </c>
      <c r="U639">
        <v>1</v>
      </c>
      <c r="V639" t="s">
        <v>62</v>
      </c>
      <c r="W639" t="s">
        <v>61</v>
      </c>
      <c r="X639" t="s">
        <v>62</v>
      </c>
      <c r="Y639" t="s">
        <v>62</v>
      </c>
      <c r="Z639">
        <v>1</v>
      </c>
      <c r="AA639">
        <v>2</v>
      </c>
      <c r="AB639">
        <v>25</v>
      </c>
      <c r="AC639">
        <v>7.4069999999999997E-2</v>
      </c>
      <c r="AD639" s="47">
        <v>0</v>
      </c>
      <c r="AE639" s="47">
        <v>0</v>
      </c>
      <c r="AF639" s="47">
        <v>0</v>
      </c>
      <c r="AG639" s="47">
        <v>0</v>
      </c>
      <c r="AH639" s="47">
        <v>0</v>
      </c>
      <c r="AI639" s="47">
        <v>2</v>
      </c>
      <c r="AJ639" s="47">
        <v>0</v>
      </c>
      <c r="AK639" s="47">
        <v>2</v>
      </c>
      <c r="AL639">
        <v>16</v>
      </c>
      <c r="AM639">
        <v>0.11111</v>
      </c>
      <c r="AN639">
        <v>4</v>
      </c>
      <c r="AO639">
        <v>1</v>
      </c>
      <c r="AP639">
        <v>18</v>
      </c>
      <c r="AQ639">
        <v>18</v>
      </c>
      <c r="AR639">
        <v>9</v>
      </c>
      <c r="AS639">
        <v>9</v>
      </c>
      <c r="AT639" t="s">
        <v>1481</v>
      </c>
      <c r="AU639" t="s">
        <v>1482</v>
      </c>
      <c r="AV639">
        <v>0.01</v>
      </c>
      <c r="AW639" t="s">
        <v>65</v>
      </c>
      <c r="AX639">
        <v>27</v>
      </c>
      <c r="AY639">
        <v>27</v>
      </c>
      <c r="AZ639" t="s">
        <v>1483</v>
      </c>
      <c r="BA639">
        <v>7.9500000000000001E-2</v>
      </c>
      <c r="BB639">
        <v>-1.295E-2</v>
      </c>
      <c r="BC639">
        <v>2.0840000000000001E-2</v>
      </c>
      <c r="BD639">
        <v>-2.5899999999999999E-3</v>
      </c>
      <c r="BE639">
        <v>0.26218999999999998</v>
      </c>
      <c r="BF639">
        <v>1</v>
      </c>
      <c r="BG639" t="s">
        <v>69</v>
      </c>
      <c r="BH639">
        <v>-2.2069999999999999</v>
      </c>
      <c r="BI639">
        <v>-1.5449999999999999</v>
      </c>
    </row>
    <row r="640" spans="3:61">
      <c r="C640">
        <v>0</v>
      </c>
      <c r="D640">
        <v>14</v>
      </c>
      <c r="E640">
        <v>3</v>
      </c>
      <c r="F640" t="s">
        <v>25021</v>
      </c>
      <c r="G640">
        <v>884</v>
      </c>
      <c r="H640" t="s">
        <v>5520</v>
      </c>
      <c r="I640" t="s">
        <v>62</v>
      </c>
      <c r="J640">
        <v>924636</v>
      </c>
      <c r="K640">
        <v>925544</v>
      </c>
      <c r="L640" t="s">
        <v>5521</v>
      </c>
      <c r="M640">
        <v>303</v>
      </c>
      <c r="N640" t="s">
        <v>108</v>
      </c>
      <c r="O640">
        <v>44</v>
      </c>
      <c r="P640" t="str">
        <f>HYPERLINK("Gene884-zp_tree_all.dnd", "Gene884-tree")</f>
        <v>Gene884-tree</v>
      </c>
      <c r="Q640">
        <v>6</v>
      </c>
      <c r="R640">
        <v>11</v>
      </c>
      <c r="S640">
        <v>6</v>
      </c>
      <c r="T640">
        <v>11</v>
      </c>
      <c r="U640">
        <v>0.64705999999999997</v>
      </c>
      <c r="V640" t="s">
        <v>90</v>
      </c>
      <c r="W640" t="s">
        <v>73</v>
      </c>
      <c r="X640">
        <v>95384385.856999993</v>
      </c>
      <c r="Y640" t="s">
        <v>267</v>
      </c>
      <c r="Z640">
        <v>7</v>
      </c>
      <c r="AA640">
        <v>17</v>
      </c>
      <c r="AB640">
        <v>15</v>
      </c>
      <c r="AC640">
        <v>0.53125</v>
      </c>
      <c r="AD640" s="47">
        <v>0</v>
      </c>
      <c r="AE640" s="47">
        <v>0</v>
      </c>
      <c r="AF640" s="47">
        <v>0</v>
      </c>
      <c r="AG640" s="47">
        <v>0</v>
      </c>
      <c r="AH640" s="47">
        <v>0</v>
      </c>
      <c r="AI640" s="47">
        <v>6</v>
      </c>
      <c r="AJ640" s="47">
        <v>2</v>
      </c>
      <c r="AK640" s="47">
        <v>8</v>
      </c>
      <c r="AL640">
        <v>15</v>
      </c>
      <c r="AM640">
        <v>0.34782999999999997</v>
      </c>
      <c r="AN640">
        <v>12</v>
      </c>
      <c r="AO640">
        <v>13</v>
      </c>
      <c r="AP640">
        <v>28</v>
      </c>
      <c r="AQ640">
        <v>22</v>
      </c>
      <c r="AR640">
        <v>36</v>
      </c>
      <c r="AS640">
        <v>11</v>
      </c>
      <c r="AT640" t="s">
        <v>5522</v>
      </c>
      <c r="AU640" t="s">
        <v>5523</v>
      </c>
      <c r="AV640">
        <v>0.83399999999999996</v>
      </c>
      <c r="AW640" t="s">
        <v>65</v>
      </c>
      <c r="AX640">
        <v>64</v>
      </c>
      <c r="AY640">
        <v>33</v>
      </c>
      <c r="AZ640" t="s">
        <v>5524</v>
      </c>
      <c r="BA640">
        <v>5.7430000000000002E-2</v>
      </c>
      <c r="BB640">
        <v>-1.8400000000000001E-3</v>
      </c>
      <c r="BC640">
        <v>8.2699999999999996E-3</v>
      </c>
      <c r="BD640">
        <v>-2.9E-4</v>
      </c>
      <c r="BE640">
        <v>0.14396</v>
      </c>
      <c r="BF640">
        <v>1</v>
      </c>
      <c r="BG640" t="s">
        <v>69</v>
      </c>
      <c r="BH640">
        <v>-0.61199999999999999</v>
      </c>
      <c r="BI640">
        <v>-0.70399999999999996</v>
      </c>
    </row>
    <row r="641" spans="3:61">
      <c r="C641">
        <v>0</v>
      </c>
      <c r="D641">
        <v>0</v>
      </c>
      <c r="E641">
        <v>0</v>
      </c>
      <c r="F641" t="s">
        <v>25021</v>
      </c>
      <c r="G641">
        <v>3143</v>
      </c>
      <c r="H641" t="s">
        <v>18255</v>
      </c>
      <c r="I641" t="s">
        <v>57</v>
      </c>
      <c r="J641">
        <v>3099123</v>
      </c>
      <c r="K641">
        <v>3100031</v>
      </c>
      <c r="L641" t="s">
        <v>18256</v>
      </c>
      <c r="M641">
        <v>303</v>
      </c>
      <c r="N641" t="s">
        <v>1933</v>
      </c>
      <c r="O641">
        <v>39</v>
      </c>
      <c r="P641" t="str">
        <f>HYPERLINK("Gene3143-zp_tree_all.dnd", "Gene3143-tree")</f>
        <v>Gene3143-tree</v>
      </c>
      <c r="Q641">
        <v>10</v>
      </c>
      <c r="R641">
        <v>6</v>
      </c>
      <c r="S641">
        <v>10</v>
      </c>
      <c r="T641">
        <v>6</v>
      </c>
      <c r="U641">
        <v>0.375</v>
      </c>
      <c r="V641" t="s">
        <v>117</v>
      </c>
      <c r="W641" t="s">
        <v>90</v>
      </c>
      <c r="X641" t="s">
        <v>62</v>
      </c>
      <c r="Y641" t="s">
        <v>62</v>
      </c>
      <c r="Z641">
        <v>0</v>
      </c>
      <c r="AA641">
        <v>0</v>
      </c>
      <c r="AB641">
        <v>9</v>
      </c>
      <c r="AC641">
        <v>0</v>
      </c>
      <c r="AD641" s="47">
        <v>0</v>
      </c>
      <c r="AE641" s="47">
        <v>0</v>
      </c>
      <c r="AF641" s="47">
        <v>0</v>
      </c>
      <c r="AG641" s="47">
        <v>0</v>
      </c>
      <c r="AH641" s="47">
        <v>0</v>
      </c>
      <c r="AI641" s="47">
        <v>0</v>
      </c>
      <c r="AJ641" s="47">
        <v>0</v>
      </c>
      <c r="AK641" s="47">
        <v>0</v>
      </c>
      <c r="AL641">
        <v>8</v>
      </c>
      <c r="AM641">
        <v>0</v>
      </c>
      <c r="AN641">
        <v>13</v>
      </c>
      <c r="AO641">
        <v>10</v>
      </c>
      <c r="AP641">
        <v>33</v>
      </c>
      <c r="AQ641">
        <v>7</v>
      </c>
      <c r="AR641">
        <v>28</v>
      </c>
      <c r="AS641">
        <v>2</v>
      </c>
      <c r="AT641" t="s">
        <v>18257</v>
      </c>
      <c r="AU641" t="s">
        <v>18258</v>
      </c>
      <c r="AV641">
        <v>0.68</v>
      </c>
      <c r="AW641" t="s">
        <v>65</v>
      </c>
      <c r="AX641">
        <v>61</v>
      </c>
      <c r="AY641">
        <v>9</v>
      </c>
      <c r="AZ641" t="s">
        <v>18259</v>
      </c>
      <c r="BA641">
        <v>5.144E-2</v>
      </c>
      <c r="BB641">
        <v>-1.8600000000000001E-3</v>
      </c>
      <c r="BC641">
        <v>1.9300000000000001E-3</v>
      </c>
      <c r="BD641">
        <v>-1.3999999999999999E-4</v>
      </c>
      <c r="BE641">
        <v>3.7560000000000003E-2</v>
      </c>
      <c r="BF641">
        <v>1</v>
      </c>
      <c r="BG641" t="s">
        <v>69</v>
      </c>
      <c r="BH641">
        <v>-0.77700000000000002</v>
      </c>
      <c r="BI641">
        <v>-1.2110000000000001</v>
      </c>
    </row>
    <row r="642" spans="3:61">
      <c r="C642">
        <v>0</v>
      </c>
      <c r="D642">
        <v>6</v>
      </c>
      <c r="E642">
        <v>0</v>
      </c>
      <c r="F642" t="s">
        <v>25021</v>
      </c>
      <c r="G642">
        <v>1529</v>
      </c>
      <c r="H642" t="s">
        <v>9556</v>
      </c>
      <c r="I642" t="s">
        <v>62</v>
      </c>
      <c r="J642">
        <v>1538773</v>
      </c>
      <c r="K642">
        <v>1539684</v>
      </c>
      <c r="L642" t="s">
        <v>9557</v>
      </c>
      <c r="M642">
        <v>304</v>
      </c>
      <c r="N642" t="s">
        <v>108</v>
      </c>
      <c r="O642">
        <v>44</v>
      </c>
      <c r="P642" t="str">
        <f>HYPERLINK("Gene1529-zp_tree_all.dnd", "Gene1529-tree")</f>
        <v>Gene1529-tree</v>
      </c>
      <c r="Q642">
        <v>4</v>
      </c>
      <c r="R642">
        <v>10</v>
      </c>
      <c r="S642">
        <v>4</v>
      </c>
      <c r="T642">
        <v>10</v>
      </c>
      <c r="U642">
        <v>0.71428999999999998</v>
      </c>
      <c r="V642" t="s">
        <v>61</v>
      </c>
      <c r="W642" t="s">
        <v>117</v>
      </c>
      <c r="X642" t="s">
        <v>62</v>
      </c>
      <c r="Y642" t="s">
        <v>62</v>
      </c>
      <c r="Z642">
        <v>3</v>
      </c>
      <c r="AA642">
        <v>6</v>
      </c>
      <c r="AB642">
        <v>19</v>
      </c>
      <c r="AC642">
        <v>0.24</v>
      </c>
      <c r="AD642" s="47">
        <v>0</v>
      </c>
      <c r="AE642" s="47">
        <v>0</v>
      </c>
      <c r="AF642" s="47">
        <v>0</v>
      </c>
      <c r="AG642" s="47">
        <v>1</v>
      </c>
      <c r="AH642" s="47">
        <v>0</v>
      </c>
      <c r="AI642" s="47">
        <v>2</v>
      </c>
      <c r="AJ642" s="47">
        <v>0</v>
      </c>
      <c r="AK642" s="47">
        <v>2</v>
      </c>
      <c r="AL642">
        <v>15</v>
      </c>
      <c r="AM642">
        <v>0.11765</v>
      </c>
      <c r="AN642">
        <v>11</v>
      </c>
      <c r="AO642">
        <v>10</v>
      </c>
      <c r="AP642">
        <v>36</v>
      </c>
      <c r="AQ642">
        <v>17</v>
      </c>
      <c r="AR642">
        <v>21</v>
      </c>
      <c r="AS642">
        <v>10</v>
      </c>
      <c r="AT642" t="s">
        <v>9558</v>
      </c>
      <c r="AU642" t="s">
        <v>9559</v>
      </c>
      <c r="AV642">
        <v>0.02</v>
      </c>
      <c r="AW642" t="s">
        <v>65</v>
      </c>
      <c r="AX642">
        <v>57</v>
      </c>
      <c r="AY642">
        <v>27</v>
      </c>
      <c r="AZ642" t="s">
        <v>9560</v>
      </c>
      <c r="BA642">
        <v>6.1060000000000003E-2</v>
      </c>
      <c r="BB642">
        <v>-2.5500000000000002E-3</v>
      </c>
      <c r="BC642">
        <v>8.0099999999999998E-3</v>
      </c>
      <c r="BD642">
        <v>-2.9999999999999997E-4</v>
      </c>
      <c r="BE642">
        <v>0.13117999999999999</v>
      </c>
      <c r="BF642">
        <v>1</v>
      </c>
      <c r="BG642" t="s">
        <v>69</v>
      </c>
      <c r="BH642">
        <v>-0.73699999999999999</v>
      </c>
      <c r="BI642">
        <v>-0.91800000000000004</v>
      </c>
    </row>
    <row r="643" spans="3:61">
      <c r="C643">
        <v>0</v>
      </c>
      <c r="D643">
        <v>2</v>
      </c>
      <c r="E643">
        <v>0</v>
      </c>
      <c r="F643" t="s">
        <v>25021</v>
      </c>
      <c r="G643">
        <v>171</v>
      </c>
      <c r="H643" t="s">
        <v>1209</v>
      </c>
      <c r="I643" t="s">
        <v>62</v>
      </c>
      <c r="J643">
        <v>192054</v>
      </c>
      <c r="K643">
        <v>192965</v>
      </c>
      <c r="L643" t="s">
        <v>1210</v>
      </c>
      <c r="M643">
        <v>304</v>
      </c>
      <c r="N643" t="s">
        <v>108</v>
      </c>
      <c r="O643">
        <v>44</v>
      </c>
      <c r="P643" t="str">
        <f>HYPERLINK("Gene171-zp_tree_all.dnd", "Gene171-tree")</f>
        <v>Gene171-tree</v>
      </c>
      <c r="Q643">
        <v>6</v>
      </c>
      <c r="R643">
        <v>9</v>
      </c>
      <c r="S643">
        <v>6</v>
      </c>
      <c r="T643">
        <v>9</v>
      </c>
      <c r="U643">
        <v>0.6</v>
      </c>
      <c r="V643" t="s">
        <v>90</v>
      </c>
      <c r="W643" t="s">
        <v>135</v>
      </c>
      <c r="X643" t="s">
        <v>62</v>
      </c>
      <c r="Y643" t="s">
        <v>62</v>
      </c>
      <c r="Z643">
        <v>1</v>
      </c>
      <c r="AA643">
        <v>2</v>
      </c>
      <c r="AB643">
        <v>12</v>
      </c>
      <c r="AC643">
        <v>0.14285999999999999</v>
      </c>
      <c r="AD643" s="47">
        <v>0</v>
      </c>
      <c r="AE643" s="47">
        <v>0</v>
      </c>
      <c r="AF643" s="47">
        <v>0</v>
      </c>
      <c r="AG643" s="47">
        <v>2</v>
      </c>
      <c r="AH643" s="47">
        <v>0</v>
      </c>
      <c r="AI643" s="47">
        <v>0</v>
      </c>
      <c r="AJ643" s="47">
        <v>0</v>
      </c>
      <c r="AK643" s="47">
        <v>0</v>
      </c>
      <c r="AL643">
        <v>10</v>
      </c>
      <c r="AM643">
        <v>0</v>
      </c>
      <c r="AN643">
        <v>13</v>
      </c>
      <c r="AO643">
        <v>10</v>
      </c>
      <c r="AP643">
        <v>18</v>
      </c>
      <c r="AQ643">
        <v>10</v>
      </c>
      <c r="AR643">
        <v>25</v>
      </c>
      <c r="AS643">
        <v>4</v>
      </c>
      <c r="AT643" t="s">
        <v>1211</v>
      </c>
      <c r="AU643" t="s">
        <v>1212</v>
      </c>
      <c r="AV643">
        <v>1.7</v>
      </c>
      <c r="AW643" t="s">
        <v>65</v>
      </c>
      <c r="AX643">
        <v>43</v>
      </c>
      <c r="AY643">
        <v>14</v>
      </c>
      <c r="AZ643" t="s">
        <v>1213</v>
      </c>
      <c r="BA643">
        <v>4.1149999999999999E-2</v>
      </c>
      <c r="BB643">
        <v>-1.33E-3</v>
      </c>
      <c r="BC643">
        <v>3.5400000000000002E-3</v>
      </c>
      <c r="BD643">
        <v>-1.3999999999999999E-4</v>
      </c>
      <c r="BE643">
        <v>8.6120000000000002E-2</v>
      </c>
      <c r="BF643">
        <v>1</v>
      </c>
      <c r="BG643" t="s">
        <v>69</v>
      </c>
      <c r="BH643">
        <v>-0.41899999999999998</v>
      </c>
      <c r="BI643">
        <v>-0.85499999999999998</v>
      </c>
    </row>
    <row r="644" spans="3:61">
      <c r="C644">
        <v>0</v>
      </c>
      <c r="D644">
        <v>0</v>
      </c>
      <c r="E644">
        <v>2</v>
      </c>
      <c r="F644" t="s">
        <v>25021</v>
      </c>
      <c r="G644">
        <v>4232</v>
      </c>
      <c r="H644" t="s">
        <v>24852</v>
      </c>
      <c r="I644" t="s">
        <v>57</v>
      </c>
      <c r="J644">
        <v>4190209</v>
      </c>
      <c r="K644">
        <v>4191123</v>
      </c>
      <c r="L644" t="s">
        <v>2641</v>
      </c>
      <c r="M644">
        <v>305</v>
      </c>
      <c r="N644" t="s">
        <v>24853</v>
      </c>
      <c r="O644">
        <v>24</v>
      </c>
      <c r="P644" t="str">
        <f>HYPERLINK("Gene4232-zp_tree_all.dnd", "Gene4232-tree")</f>
        <v>Gene4232-tree</v>
      </c>
      <c r="Q644">
        <v>1</v>
      </c>
      <c r="R644">
        <v>4</v>
      </c>
      <c r="S644">
        <v>1</v>
      </c>
      <c r="T644">
        <v>4</v>
      </c>
      <c r="U644">
        <v>0.8</v>
      </c>
      <c r="V644" t="s">
        <v>175</v>
      </c>
      <c r="W644" t="s">
        <v>61</v>
      </c>
      <c r="X644" t="s">
        <v>62</v>
      </c>
      <c r="Y644" t="s">
        <v>62</v>
      </c>
      <c r="Z644">
        <v>1</v>
      </c>
      <c r="AA644">
        <v>2</v>
      </c>
      <c r="AB644">
        <v>15</v>
      </c>
      <c r="AC644">
        <v>0.11765</v>
      </c>
      <c r="AD644" s="47">
        <v>0</v>
      </c>
      <c r="AE644" s="47">
        <v>0</v>
      </c>
      <c r="AF644" s="47">
        <v>0</v>
      </c>
      <c r="AG644" s="47">
        <v>0</v>
      </c>
      <c r="AH644" s="47">
        <v>0</v>
      </c>
      <c r="AI644" s="47">
        <v>0</v>
      </c>
      <c r="AJ644" s="47">
        <v>0</v>
      </c>
      <c r="AK644" s="47">
        <v>0</v>
      </c>
      <c r="AL644">
        <v>16</v>
      </c>
      <c r="AM644">
        <v>0</v>
      </c>
      <c r="AN644">
        <v>5</v>
      </c>
      <c r="AO644">
        <v>2</v>
      </c>
      <c r="AP644">
        <v>28</v>
      </c>
      <c r="AQ644">
        <v>16</v>
      </c>
      <c r="AR644">
        <v>7</v>
      </c>
      <c r="AS644">
        <v>1</v>
      </c>
      <c r="AT644" t="s">
        <v>24854</v>
      </c>
      <c r="AU644" t="s">
        <v>24855</v>
      </c>
      <c r="AV644">
        <v>0.47099999999999997</v>
      </c>
      <c r="AW644" t="s">
        <v>65</v>
      </c>
      <c r="AX644">
        <v>35</v>
      </c>
      <c r="AY644">
        <v>17</v>
      </c>
      <c r="AZ644" t="s">
        <v>24856</v>
      </c>
      <c r="BA644">
        <v>7.3359999999999995E-2</v>
      </c>
      <c r="BB644">
        <v>-1.7239999999999998E-2</v>
      </c>
      <c r="BC644">
        <v>9.8399999999999998E-3</v>
      </c>
      <c r="BD644">
        <v>-2.1800000000000001E-3</v>
      </c>
      <c r="BE644">
        <v>0.13417999999999999</v>
      </c>
      <c r="BF644">
        <v>1</v>
      </c>
      <c r="BG644" t="s">
        <v>69</v>
      </c>
      <c r="BH644">
        <v>-2.1829999999999998</v>
      </c>
      <c r="BI644">
        <v>-2.8239999999999998</v>
      </c>
    </row>
    <row r="645" spans="3:61">
      <c r="C645">
        <v>0</v>
      </c>
      <c r="D645">
        <v>2</v>
      </c>
      <c r="E645">
        <v>0</v>
      </c>
      <c r="F645" t="s">
        <v>25021</v>
      </c>
      <c r="G645">
        <v>3527</v>
      </c>
      <c r="H645" t="s">
        <v>20658</v>
      </c>
      <c r="I645" t="s">
        <v>57</v>
      </c>
      <c r="J645">
        <v>3488952</v>
      </c>
      <c r="K645">
        <v>3489866</v>
      </c>
      <c r="L645" t="s">
        <v>20659</v>
      </c>
      <c r="M645">
        <v>305</v>
      </c>
      <c r="N645" t="s">
        <v>108</v>
      </c>
      <c r="O645">
        <v>44</v>
      </c>
      <c r="P645" t="str">
        <f>HYPERLINK("Gene3527-zp_tree_all.dnd", "Gene3527-tree")</f>
        <v>Gene3527-tree</v>
      </c>
      <c r="Q645">
        <v>8</v>
      </c>
      <c r="R645">
        <v>7</v>
      </c>
      <c r="S645">
        <v>8</v>
      </c>
      <c r="T645">
        <v>7</v>
      </c>
      <c r="U645">
        <v>0.46666999999999997</v>
      </c>
      <c r="V645" t="s">
        <v>136</v>
      </c>
      <c r="W645" t="s">
        <v>152</v>
      </c>
      <c r="X645" t="s">
        <v>62</v>
      </c>
      <c r="Y645" t="s">
        <v>62</v>
      </c>
      <c r="Z645">
        <v>1</v>
      </c>
      <c r="AA645">
        <v>2</v>
      </c>
      <c r="AB645">
        <v>11</v>
      </c>
      <c r="AC645">
        <v>0.15384999999999999</v>
      </c>
      <c r="AD645" s="47">
        <v>0</v>
      </c>
      <c r="AE645" s="47">
        <v>0</v>
      </c>
      <c r="AF645" s="47">
        <v>0</v>
      </c>
      <c r="AG645" s="47">
        <v>1</v>
      </c>
      <c r="AH645" s="47">
        <v>0</v>
      </c>
      <c r="AI645" s="47">
        <v>0</v>
      </c>
      <c r="AJ645" s="47">
        <v>0</v>
      </c>
      <c r="AK645" s="47">
        <v>0</v>
      </c>
      <c r="AL645">
        <v>11</v>
      </c>
      <c r="AM645">
        <v>0</v>
      </c>
      <c r="AN645">
        <v>11</v>
      </c>
      <c r="AO645">
        <v>9</v>
      </c>
      <c r="AP645">
        <v>21</v>
      </c>
      <c r="AQ645">
        <v>11</v>
      </c>
      <c r="AR645">
        <v>13</v>
      </c>
      <c r="AS645">
        <v>2</v>
      </c>
      <c r="AT645" t="s">
        <v>20660</v>
      </c>
      <c r="AU645" t="s">
        <v>20661</v>
      </c>
      <c r="AV645">
        <v>1.298</v>
      </c>
      <c r="AW645" t="s">
        <v>65</v>
      </c>
      <c r="AX645">
        <v>34</v>
      </c>
      <c r="AY645">
        <v>13</v>
      </c>
      <c r="AZ645" t="s">
        <v>20662</v>
      </c>
      <c r="BA645">
        <v>2.6239999999999999E-2</v>
      </c>
      <c r="BB645">
        <v>-1.01E-3</v>
      </c>
      <c r="BC645">
        <v>3.2699999999999999E-3</v>
      </c>
      <c r="BD645">
        <v>-1.9000000000000001E-4</v>
      </c>
      <c r="BE645">
        <v>0.12459000000000001</v>
      </c>
      <c r="BF645">
        <v>1</v>
      </c>
      <c r="BG645" t="s">
        <v>69</v>
      </c>
      <c r="BH645">
        <v>-0.32800000000000001</v>
      </c>
      <c r="BI645">
        <v>-1.4330000000000001</v>
      </c>
    </row>
    <row r="646" spans="3:61">
      <c r="C646">
        <v>0</v>
      </c>
      <c r="D646">
        <v>8</v>
      </c>
      <c r="E646">
        <v>0</v>
      </c>
      <c r="F646" t="s">
        <v>25021</v>
      </c>
      <c r="G646">
        <v>2464</v>
      </c>
      <c r="H646" t="s">
        <v>14355</v>
      </c>
      <c r="I646" t="s">
        <v>57</v>
      </c>
      <c r="J646">
        <v>2460664</v>
      </c>
      <c r="K646">
        <v>2461578</v>
      </c>
      <c r="L646" t="s">
        <v>2512</v>
      </c>
      <c r="M646">
        <v>305</v>
      </c>
      <c r="N646" t="s">
        <v>5451</v>
      </c>
      <c r="O646">
        <v>43</v>
      </c>
      <c r="P646" t="str">
        <f>HYPERLINK("Gene2464-zp_tree_all.dnd", "Gene2464-tree")</f>
        <v>Gene2464-tree</v>
      </c>
      <c r="Q646">
        <v>3</v>
      </c>
      <c r="R646">
        <v>9</v>
      </c>
      <c r="S646">
        <v>3</v>
      </c>
      <c r="T646">
        <v>9</v>
      </c>
      <c r="U646">
        <v>0.75</v>
      </c>
      <c r="V646" t="s">
        <v>324</v>
      </c>
      <c r="W646" t="s">
        <v>135</v>
      </c>
      <c r="X646" t="s">
        <v>62</v>
      </c>
      <c r="Y646" t="s">
        <v>62</v>
      </c>
      <c r="Z646">
        <v>4</v>
      </c>
      <c r="AA646">
        <v>8</v>
      </c>
      <c r="AB646">
        <v>15</v>
      </c>
      <c r="AC646">
        <v>0.34782999999999997</v>
      </c>
      <c r="AD646" s="47">
        <v>0</v>
      </c>
      <c r="AE646" s="47">
        <v>0</v>
      </c>
      <c r="AF646" s="47">
        <v>0</v>
      </c>
      <c r="AG646" s="47">
        <v>0</v>
      </c>
      <c r="AH646" s="47">
        <v>0</v>
      </c>
      <c r="AI646" s="47">
        <v>6</v>
      </c>
      <c r="AJ646" s="47">
        <v>2</v>
      </c>
      <c r="AK646" s="47">
        <v>8</v>
      </c>
      <c r="AL646">
        <v>15</v>
      </c>
      <c r="AM646">
        <v>0.34782999999999997</v>
      </c>
      <c r="AN646">
        <v>11</v>
      </c>
      <c r="AO646">
        <v>9</v>
      </c>
      <c r="AP646">
        <v>34</v>
      </c>
      <c r="AQ646">
        <v>19</v>
      </c>
      <c r="AR646">
        <v>26</v>
      </c>
      <c r="AS646">
        <v>4</v>
      </c>
      <c r="AT646" t="s">
        <v>14356</v>
      </c>
      <c r="AU646" t="s">
        <v>14357</v>
      </c>
      <c r="AV646">
        <v>0.82499999999999996</v>
      </c>
      <c r="AW646" t="s">
        <v>65</v>
      </c>
      <c r="AX646">
        <v>60</v>
      </c>
      <c r="AY646">
        <v>23</v>
      </c>
      <c r="AZ646" t="s">
        <v>14358</v>
      </c>
      <c r="BA646">
        <v>6.1269999999999998E-2</v>
      </c>
      <c r="BB646">
        <v>-2.8800000000000002E-3</v>
      </c>
      <c r="BC646">
        <v>5.96E-3</v>
      </c>
      <c r="BD646">
        <v>-3.8000000000000002E-4</v>
      </c>
      <c r="BE646">
        <v>9.7229999999999997E-2</v>
      </c>
      <c r="BF646">
        <v>1</v>
      </c>
      <c r="BG646" t="s">
        <v>69</v>
      </c>
      <c r="BH646">
        <v>0.56000000000000005</v>
      </c>
      <c r="BI646">
        <v>0.16600000000000001</v>
      </c>
    </row>
    <row r="647" spans="3:61">
      <c r="C647">
        <v>0</v>
      </c>
      <c r="D647">
        <v>6</v>
      </c>
      <c r="E647">
        <v>2</v>
      </c>
      <c r="F647" t="s">
        <v>25021</v>
      </c>
      <c r="G647">
        <v>3728</v>
      </c>
      <c r="H647" t="s">
        <v>21853</v>
      </c>
      <c r="I647" t="s">
        <v>57</v>
      </c>
      <c r="J647">
        <v>3706145</v>
      </c>
      <c r="K647">
        <v>3707059</v>
      </c>
      <c r="L647" t="s">
        <v>21854</v>
      </c>
      <c r="M647">
        <v>305</v>
      </c>
      <c r="N647" t="s">
        <v>108</v>
      </c>
      <c r="O647">
        <v>44</v>
      </c>
      <c r="P647" t="str">
        <f>HYPERLINK("Gene3728-zp_tree_all.dnd", "Gene3728-tree")</f>
        <v>Gene3728-tree</v>
      </c>
      <c r="Q647">
        <v>9</v>
      </c>
      <c r="R647">
        <v>6</v>
      </c>
      <c r="S647">
        <v>9</v>
      </c>
      <c r="T647">
        <v>6</v>
      </c>
      <c r="U647">
        <v>0.4</v>
      </c>
      <c r="V647" t="s">
        <v>135</v>
      </c>
      <c r="W647" t="s">
        <v>90</v>
      </c>
      <c r="X647" t="s">
        <v>62</v>
      </c>
      <c r="Y647" t="s">
        <v>62</v>
      </c>
      <c r="Z647">
        <v>3</v>
      </c>
      <c r="AA647">
        <v>8</v>
      </c>
      <c r="AB647">
        <v>7</v>
      </c>
      <c r="AC647">
        <v>0.53332999999999997</v>
      </c>
      <c r="AD647" s="47">
        <v>0</v>
      </c>
      <c r="AE647" s="47">
        <v>0</v>
      </c>
      <c r="AF647" s="47">
        <v>0</v>
      </c>
      <c r="AG647" s="47">
        <v>0</v>
      </c>
      <c r="AH647" s="47">
        <v>0</v>
      </c>
      <c r="AI647" s="47">
        <v>4</v>
      </c>
      <c r="AJ647" s="47">
        <v>0</v>
      </c>
      <c r="AK647" s="47">
        <v>4</v>
      </c>
      <c r="AL647">
        <v>5</v>
      </c>
      <c r="AM647">
        <v>0.44444</v>
      </c>
      <c r="AN647">
        <v>13</v>
      </c>
      <c r="AO647">
        <v>11</v>
      </c>
      <c r="AP647">
        <v>43</v>
      </c>
      <c r="AQ647">
        <v>9</v>
      </c>
      <c r="AR647">
        <v>21</v>
      </c>
      <c r="AS647">
        <v>6</v>
      </c>
      <c r="AT647" t="s">
        <v>21855</v>
      </c>
      <c r="AU647" t="s">
        <v>21856</v>
      </c>
      <c r="AV647">
        <v>0.39</v>
      </c>
      <c r="AW647" t="s">
        <v>65</v>
      </c>
      <c r="AX647">
        <v>64</v>
      </c>
      <c r="AY647">
        <v>15</v>
      </c>
      <c r="AZ647" t="s">
        <v>21857</v>
      </c>
      <c r="BA647">
        <v>5.2589999999999998E-2</v>
      </c>
      <c r="BB647">
        <v>-2.15E-3</v>
      </c>
      <c r="BC647">
        <v>4.1000000000000003E-3</v>
      </c>
      <c r="BD647">
        <v>-2.2000000000000001E-4</v>
      </c>
      <c r="BE647">
        <v>7.7939999999999995E-2</v>
      </c>
      <c r="BF647">
        <v>1</v>
      </c>
      <c r="BG647" t="s">
        <v>69</v>
      </c>
      <c r="BH647">
        <v>-0.627</v>
      </c>
      <c r="BI647">
        <v>-1.496</v>
      </c>
    </row>
    <row r="648" spans="3:61">
      <c r="C648">
        <v>0</v>
      </c>
      <c r="D648">
        <v>9</v>
      </c>
      <c r="E648">
        <v>1</v>
      </c>
      <c r="F648" t="s">
        <v>25021</v>
      </c>
      <c r="G648">
        <v>551</v>
      </c>
      <c r="H648" t="s">
        <v>3543</v>
      </c>
      <c r="I648" t="s">
        <v>62</v>
      </c>
      <c r="J648">
        <v>582539</v>
      </c>
      <c r="K648">
        <v>583456</v>
      </c>
      <c r="L648" t="s">
        <v>3544</v>
      </c>
      <c r="M648">
        <v>306</v>
      </c>
      <c r="N648" t="s">
        <v>3545</v>
      </c>
      <c r="O648">
        <v>36</v>
      </c>
      <c r="P648" t="str">
        <f>HYPERLINK("Gene551-zp_tree_all.dnd", "Gene551-tree")</f>
        <v>Gene551-tree</v>
      </c>
      <c r="Q648">
        <v>1</v>
      </c>
      <c r="R648">
        <v>8</v>
      </c>
      <c r="S648">
        <v>1</v>
      </c>
      <c r="T648">
        <v>8</v>
      </c>
      <c r="U648">
        <v>0.88888999999999996</v>
      </c>
      <c r="V648" t="s">
        <v>175</v>
      </c>
      <c r="W648" t="s">
        <v>136</v>
      </c>
      <c r="X648" t="s">
        <v>62</v>
      </c>
      <c r="Y648" t="s">
        <v>62</v>
      </c>
      <c r="Z648">
        <v>4</v>
      </c>
      <c r="AA648">
        <v>10</v>
      </c>
      <c r="AB648">
        <v>28</v>
      </c>
      <c r="AC648">
        <v>0.26316000000000001</v>
      </c>
      <c r="AD648" s="47">
        <v>0</v>
      </c>
      <c r="AE648" s="47">
        <v>0</v>
      </c>
      <c r="AF648" s="47">
        <v>0</v>
      </c>
      <c r="AG648" s="47">
        <v>0</v>
      </c>
      <c r="AH648" s="47">
        <v>0</v>
      </c>
      <c r="AI648" s="47">
        <v>6</v>
      </c>
      <c r="AJ648" s="47">
        <v>0</v>
      </c>
      <c r="AK648" s="47">
        <v>6</v>
      </c>
      <c r="AL648">
        <v>22</v>
      </c>
      <c r="AM648">
        <v>0.21429000000000001</v>
      </c>
      <c r="AN648">
        <v>7</v>
      </c>
      <c r="AO648">
        <v>5</v>
      </c>
      <c r="AP648">
        <v>35</v>
      </c>
      <c r="AQ648">
        <v>21</v>
      </c>
      <c r="AR648">
        <v>30</v>
      </c>
      <c r="AS648">
        <v>18</v>
      </c>
      <c r="AT648" t="s">
        <v>3546</v>
      </c>
      <c r="AU648" t="s">
        <v>3547</v>
      </c>
      <c r="AV648">
        <v>2E-3</v>
      </c>
      <c r="AW648" t="s">
        <v>65</v>
      </c>
      <c r="AX648">
        <v>65</v>
      </c>
      <c r="AY648">
        <v>39</v>
      </c>
      <c r="AZ648" t="s">
        <v>3548</v>
      </c>
      <c r="BA648">
        <v>9.2990000000000003E-2</v>
      </c>
      <c r="BB648">
        <v>-1.094E-2</v>
      </c>
      <c r="BC648">
        <v>1.702E-2</v>
      </c>
      <c r="BD648">
        <v>-1.6000000000000001E-3</v>
      </c>
      <c r="BE648">
        <v>0.18303</v>
      </c>
      <c r="BF648">
        <v>1</v>
      </c>
      <c r="BG648" t="s">
        <v>69</v>
      </c>
      <c r="BH648">
        <v>0.34899999999999998</v>
      </c>
      <c r="BI648">
        <v>1.8779999999999999</v>
      </c>
    </row>
    <row r="649" spans="3:61">
      <c r="C649">
        <v>0</v>
      </c>
      <c r="D649">
        <v>4</v>
      </c>
      <c r="E649">
        <v>0</v>
      </c>
      <c r="F649" t="s">
        <v>25021</v>
      </c>
      <c r="G649">
        <v>1952</v>
      </c>
      <c r="H649" t="s">
        <v>12228</v>
      </c>
      <c r="I649" t="s">
        <v>57</v>
      </c>
      <c r="J649">
        <v>2048533</v>
      </c>
      <c r="K649">
        <v>2049450</v>
      </c>
      <c r="L649" t="s">
        <v>12229</v>
      </c>
      <c r="M649">
        <v>306</v>
      </c>
      <c r="N649" t="s">
        <v>1907</v>
      </c>
      <c r="O649">
        <v>38</v>
      </c>
      <c r="P649" t="str">
        <f>HYPERLINK("Gene1952-zp_tree_all.dnd", "Gene1952-tree")</f>
        <v>Gene1952-tree</v>
      </c>
      <c r="Q649">
        <v>5</v>
      </c>
      <c r="R649">
        <v>8</v>
      </c>
      <c r="S649">
        <v>5</v>
      </c>
      <c r="T649">
        <v>8</v>
      </c>
      <c r="U649">
        <v>0.61538000000000004</v>
      </c>
      <c r="V649" t="s">
        <v>199</v>
      </c>
      <c r="W649" t="s">
        <v>136</v>
      </c>
      <c r="X649" t="s">
        <v>62</v>
      </c>
      <c r="Y649" t="s">
        <v>62</v>
      </c>
      <c r="Z649">
        <v>2</v>
      </c>
      <c r="AA649">
        <v>4</v>
      </c>
      <c r="AB649">
        <v>18</v>
      </c>
      <c r="AC649">
        <v>0.18182000000000001</v>
      </c>
      <c r="AD649" s="47">
        <v>0</v>
      </c>
      <c r="AE649" s="47">
        <v>0</v>
      </c>
      <c r="AF649" s="47">
        <v>0</v>
      </c>
      <c r="AG649" s="47">
        <v>2</v>
      </c>
      <c r="AH649" s="47">
        <v>0</v>
      </c>
      <c r="AI649" s="47">
        <v>2</v>
      </c>
      <c r="AJ649" s="47">
        <v>0</v>
      </c>
      <c r="AK649" s="47">
        <v>2</v>
      </c>
      <c r="AL649">
        <v>15</v>
      </c>
      <c r="AM649">
        <v>0.11765</v>
      </c>
      <c r="AN649">
        <v>9</v>
      </c>
      <c r="AO649">
        <v>10</v>
      </c>
      <c r="AP649">
        <v>24</v>
      </c>
      <c r="AQ649">
        <v>17</v>
      </c>
      <c r="AR649">
        <v>15</v>
      </c>
      <c r="AS649">
        <v>5</v>
      </c>
      <c r="AT649" t="s">
        <v>12230</v>
      </c>
      <c r="AU649" t="s">
        <v>12231</v>
      </c>
      <c r="AV649">
        <v>0.54800000000000004</v>
      </c>
      <c r="AW649" t="s">
        <v>65</v>
      </c>
      <c r="AX649">
        <v>39</v>
      </c>
      <c r="AY649">
        <v>22</v>
      </c>
      <c r="AZ649" t="s">
        <v>12232</v>
      </c>
      <c r="BA649">
        <v>3.8150000000000003E-2</v>
      </c>
      <c r="BB649">
        <v>-2.5799999999999998E-3</v>
      </c>
      <c r="BC649">
        <v>6.4700000000000001E-3</v>
      </c>
      <c r="BD649">
        <v>-3.3E-4</v>
      </c>
      <c r="BE649">
        <v>0.16952</v>
      </c>
      <c r="BF649">
        <v>1</v>
      </c>
      <c r="BG649" t="s">
        <v>69</v>
      </c>
      <c r="BH649">
        <v>-1.129</v>
      </c>
      <c r="BI649">
        <v>-2.214</v>
      </c>
    </row>
    <row r="650" spans="3:61">
      <c r="C650">
        <v>0</v>
      </c>
      <c r="D650">
        <v>13</v>
      </c>
      <c r="E650">
        <v>6</v>
      </c>
      <c r="F650" t="s">
        <v>25021</v>
      </c>
      <c r="G650">
        <v>221</v>
      </c>
      <c r="H650" t="s">
        <v>1494</v>
      </c>
      <c r="I650" t="s">
        <v>62</v>
      </c>
      <c r="J650">
        <v>241920</v>
      </c>
      <c r="K650">
        <v>242837</v>
      </c>
      <c r="L650" t="s">
        <v>1123</v>
      </c>
      <c r="M650">
        <v>306</v>
      </c>
      <c r="N650" t="s">
        <v>108</v>
      </c>
      <c r="O650">
        <v>44</v>
      </c>
      <c r="P650" t="str">
        <f>HYPERLINK("Gene221-zp_tree_all.dnd", "Gene221-tree")</f>
        <v>Gene221-tree</v>
      </c>
      <c r="Q650">
        <v>24</v>
      </c>
      <c r="R650">
        <v>9</v>
      </c>
      <c r="S650">
        <v>4</v>
      </c>
      <c r="T650">
        <v>9</v>
      </c>
      <c r="U650">
        <v>0.69230999999999998</v>
      </c>
      <c r="V650" t="s">
        <v>1495</v>
      </c>
      <c r="W650" t="s">
        <v>135</v>
      </c>
      <c r="X650" t="s">
        <v>62</v>
      </c>
      <c r="Y650" t="s">
        <v>62</v>
      </c>
      <c r="Z650">
        <v>8</v>
      </c>
      <c r="AA650">
        <v>19</v>
      </c>
      <c r="AB650">
        <v>9</v>
      </c>
      <c r="AC650">
        <v>0.67857000000000001</v>
      </c>
      <c r="AD650" s="47">
        <v>0</v>
      </c>
      <c r="AE650" s="47">
        <v>0</v>
      </c>
      <c r="AF650" s="47">
        <v>0</v>
      </c>
      <c r="AG650" s="47">
        <v>2</v>
      </c>
      <c r="AH650" s="47">
        <v>0</v>
      </c>
      <c r="AI650" s="47">
        <v>2</v>
      </c>
      <c r="AJ650" s="47">
        <v>4</v>
      </c>
      <c r="AK650" s="47">
        <v>6</v>
      </c>
      <c r="AL650">
        <v>10</v>
      </c>
      <c r="AM650">
        <v>0.375</v>
      </c>
      <c r="AN650">
        <v>11</v>
      </c>
      <c r="AO650">
        <v>10</v>
      </c>
      <c r="AP650">
        <v>36</v>
      </c>
      <c r="AQ650">
        <v>15</v>
      </c>
      <c r="AR650">
        <v>45</v>
      </c>
      <c r="AS650">
        <v>13</v>
      </c>
      <c r="AT650" t="s">
        <v>1496</v>
      </c>
      <c r="AU650" t="s">
        <v>1497</v>
      </c>
      <c r="AV650">
        <v>0.502</v>
      </c>
      <c r="AW650" t="s">
        <v>65</v>
      </c>
      <c r="AX650">
        <v>81</v>
      </c>
      <c r="AY650">
        <v>28</v>
      </c>
      <c r="AZ650" t="s">
        <v>1498</v>
      </c>
      <c r="BA650">
        <v>8.4250000000000005E-2</v>
      </c>
      <c r="BB650">
        <v>-3.7299999999999998E-3</v>
      </c>
      <c r="BC650">
        <v>8.6700000000000006E-3</v>
      </c>
      <c r="BD650">
        <v>-3.8999999999999999E-4</v>
      </c>
      <c r="BE650">
        <v>0.10288</v>
      </c>
      <c r="BF650">
        <v>1</v>
      </c>
      <c r="BG650" t="s">
        <v>69</v>
      </c>
      <c r="BH650">
        <v>0.23499999999999999</v>
      </c>
      <c r="BI650">
        <v>-0.56599999999999995</v>
      </c>
    </row>
    <row r="651" spans="3:61">
      <c r="C651">
        <v>0</v>
      </c>
      <c r="D651">
        <v>4</v>
      </c>
      <c r="E651">
        <v>0</v>
      </c>
      <c r="F651" t="s">
        <v>25021</v>
      </c>
      <c r="G651">
        <v>2462</v>
      </c>
      <c r="H651" t="s">
        <v>14342</v>
      </c>
      <c r="I651" t="s">
        <v>57</v>
      </c>
      <c r="J651">
        <v>2459326</v>
      </c>
      <c r="K651">
        <v>2460243</v>
      </c>
      <c r="L651" t="s">
        <v>14343</v>
      </c>
      <c r="M651">
        <v>306</v>
      </c>
      <c r="N651" t="s">
        <v>108</v>
      </c>
      <c r="O651">
        <v>44</v>
      </c>
      <c r="P651" t="str">
        <f>HYPERLINK("Gene2462-zp_tree_all.dnd", "Gene2462-tree")</f>
        <v>Gene2462-tree</v>
      </c>
      <c r="Q651">
        <v>4</v>
      </c>
      <c r="R651">
        <v>28</v>
      </c>
      <c r="S651">
        <v>4</v>
      </c>
      <c r="T651">
        <v>11</v>
      </c>
      <c r="U651">
        <v>0.73333000000000004</v>
      </c>
      <c r="V651" t="s">
        <v>61</v>
      </c>
      <c r="W651" t="s">
        <v>4050</v>
      </c>
      <c r="X651">
        <v>1.601</v>
      </c>
      <c r="Y651" t="s">
        <v>65</v>
      </c>
      <c r="Z651">
        <v>2</v>
      </c>
      <c r="AA651">
        <v>4</v>
      </c>
      <c r="AB651">
        <v>17</v>
      </c>
      <c r="AC651">
        <v>0.19048000000000001</v>
      </c>
      <c r="AD651" s="47">
        <v>0</v>
      </c>
      <c r="AE651" s="47">
        <v>0</v>
      </c>
      <c r="AF651" s="47">
        <v>0</v>
      </c>
      <c r="AG651" s="47">
        <v>1</v>
      </c>
      <c r="AH651" s="47">
        <v>0</v>
      </c>
      <c r="AI651" s="47">
        <v>0</v>
      </c>
      <c r="AJ651" s="47">
        <v>0</v>
      </c>
      <c r="AK651" s="47">
        <v>0</v>
      </c>
      <c r="AL651">
        <v>17</v>
      </c>
      <c r="AM651">
        <v>0</v>
      </c>
      <c r="AN651">
        <v>13</v>
      </c>
      <c r="AO651">
        <v>12</v>
      </c>
      <c r="AP651">
        <v>41</v>
      </c>
      <c r="AQ651">
        <v>17</v>
      </c>
      <c r="AR651">
        <v>18</v>
      </c>
      <c r="AS651">
        <v>4</v>
      </c>
      <c r="AT651" t="s">
        <v>14344</v>
      </c>
      <c r="AU651" t="s">
        <v>14345</v>
      </c>
      <c r="AV651">
        <v>0.995</v>
      </c>
      <c r="AW651" t="s">
        <v>65</v>
      </c>
      <c r="AX651">
        <v>59</v>
      </c>
      <c r="AY651">
        <v>21</v>
      </c>
      <c r="AZ651" t="s">
        <v>14346</v>
      </c>
      <c r="BA651">
        <v>4.521E-2</v>
      </c>
      <c r="BB651">
        <v>-1.82E-3</v>
      </c>
      <c r="BC651">
        <v>4.4900000000000001E-3</v>
      </c>
      <c r="BD651">
        <v>-1.9000000000000001E-4</v>
      </c>
      <c r="BE651">
        <v>9.9260000000000001E-2</v>
      </c>
      <c r="BF651">
        <v>1</v>
      </c>
      <c r="BG651" t="s">
        <v>69</v>
      </c>
      <c r="BH651">
        <v>-0.69199999999999995</v>
      </c>
      <c r="BI651">
        <v>-1.8740000000000001</v>
      </c>
    </row>
    <row r="652" spans="3:61">
      <c r="C652">
        <v>0</v>
      </c>
      <c r="D652">
        <v>11</v>
      </c>
      <c r="E652">
        <v>0</v>
      </c>
      <c r="F652" t="s">
        <v>25021</v>
      </c>
      <c r="G652">
        <v>1547</v>
      </c>
      <c r="H652" t="s">
        <v>9669</v>
      </c>
      <c r="I652" t="s">
        <v>62</v>
      </c>
      <c r="J652">
        <v>1558037</v>
      </c>
      <c r="K652">
        <v>1558954</v>
      </c>
      <c r="L652" t="s">
        <v>9670</v>
      </c>
      <c r="M652">
        <v>306</v>
      </c>
      <c r="N652" t="s">
        <v>108</v>
      </c>
      <c r="O652">
        <v>44</v>
      </c>
      <c r="P652" t="str">
        <f>HYPERLINK("Gene1547-zp_tree_all.dnd", "Gene1547-tree")</f>
        <v>Gene1547-tree</v>
      </c>
      <c r="Q652">
        <v>10</v>
      </c>
      <c r="R652">
        <v>6</v>
      </c>
      <c r="S652">
        <v>10</v>
      </c>
      <c r="T652">
        <v>6</v>
      </c>
      <c r="U652">
        <v>0.375</v>
      </c>
      <c r="V652" t="s">
        <v>117</v>
      </c>
      <c r="W652" t="s">
        <v>90</v>
      </c>
      <c r="X652" t="s">
        <v>62</v>
      </c>
      <c r="Y652" t="s">
        <v>62</v>
      </c>
      <c r="Z652">
        <v>2</v>
      </c>
      <c r="AA652">
        <v>11</v>
      </c>
      <c r="AB652">
        <v>6</v>
      </c>
      <c r="AC652">
        <v>0.64705999999999997</v>
      </c>
      <c r="AD652" s="47">
        <v>0</v>
      </c>
      <c r="AE652" s="47">
        <v>0</v>
      </c>
      <c r="AF652" s="47">
        <v>0</v>
      </c>
      <c r="AG652" s="47">
        <v>1</v>
      </c>
      <c r="AH652" s="47">
        <v>0</v>
      </c>
      <c r="AI652" s="47">
        <v>6</v>
      </c>
      <c r="AJ652" s="47">
        <v>0</v>
      </c>
      <c r="AK652" s="47">
        <v>6</v>
      </c>
      <c r="AL652">
        <v>4</v>
      </c>
      <c r="AM652">
        <v>0.6</v>
      </c>
      <c r="AN652">
        <v>13</v>
      </c>
      <c r="AO652">
        <v>11</v>
      </c>
      <c r="AP652">
        <v>24</v>
      </c>
      <c r="AQ652">
        <v>10</v>
      </c>
      <c r="AR652">
        <v>20</v>
      </c>
      <c r="AS652">
        <v>7</v>
      </c>
      <c r="AT652" t="s">
        <v>9671</v>
      </c>
      <c r="AU652" t="s">
        <v>9672</v>
      </c>
      <c r="AV652">
        <v>0.154</v>
      </c>
      <c r="AW652" t="s">
        <v>65</v>
      </c>
      <c r="AX652">
        <v>44</v>
      </c>
      <c r="AY652">
        <v>17</v>
      </c>
      <c r="AZ652" t="s">
        <v>9673</v>
      </c>
      <c r="BA652">
        <v>3.7280000000000001E-2</v>
      </c>
      <c r="BB652">
        <v>-1.7600000000000001E-3</v>
      </c>
      <c r="BC652">
        <v>2.98E-3</v>
      </c>
      <c r="BD652">
        <v>-1.7000000000000001E-4</v>
      </c>
      <c r="BE652">
        <v>7.9890000000000003E-2</v>
      </c>
      <c r="BF652">
        <v>1</v>
      </c>
      <c r="BG652" t="s">
        <v>69</v>
      </c>
      <c r="BH652">
        <v>-0.377</v>
      </c>
      <c r="BI652">
        <v>-0.78400000000000003</v>
      </c>
    </row>
    <row r="653" spans="3:61">
      <c r="C653">
        <v>0</v>
      </c>
      <c r="D653">
        <v>0</v>
      </c>
      <c r="E653">
        <v>0</v>
      </c>
      <c r="F653" t="s">
        <v>25021</v>
      </c>
      <c r="G653">
        <v>3694</v>
      </c>
      <c r="H653" t="s">
        <v>21668</v>
      </c>
      <c r="I653" t="s">
        <v>57</v>
      </c>
      <c r="J653">
        <v>3663281</v>
      </c>
      <c r="K653">
        <v>3664198</v>
      </c>
      <c r="L653" t="s">
        <v>21669</v>
      </c>
      <c r="M653">
        <v>306</v>
      </c>
      <c r="N653" t="s">
        <v>12343</v>
      </c>
      <c r="O653">
        <v>25</v>
      </c>
      <c r="P653" t="str">
        <f>HYPERLINK("Gene3694-zp_tree_all.dnd", "Gene3694-tree")</f>
        <v>Gene3694-tree</v>
      </c>
      <c r="Q653">
        <v>5</v>
      </c>
      <c r="R653">
        <v>1</v>
      </c>
      <c r="S653">
        <v>5</v>
      </c>
      <c r="T653">
        <v>1</v>
      </c>
      <c r="U653">
        <v>0.16667000000000001</v>
      </c>
      <c r="V653" t="s">
        <v>199</v>
      </c>
      <c r="W653" t="s">
        <v>175</v>
      </c>
      <c r="X653" t="s">
        <v>62</v>
      </c>
      <c r="Y653" t="s">
        <v>62</v>
      </c>
      <c r="Z653">
        <v>0</v>
      </c>
      <c r="AA653">
        <v>0</v>
      </c>
      <c r="AB653">
        <v>2</v>
      </c>
      <c r="AC653">
        <v>0</v>
      </c>
      <c r="AD653" s="47">
        <v>0</v>
      </c>
      <c r="AE653" s="47">
        <v>0</v>
      </c>
      <c r="AF653" s="47">
        <v>0</v>
      </c>
      <c r="AG653" s="47">
        <v>0</v>
      </c>
      <c r="AH653" s="47">
        <v>0</v>
      </c>
      <c r="AI653" s="47">
        <v>0</v>
      </c>
      <c r="AJ653" s="47">
        <v>0</v>
      </c>
      <c r="AK653" s="47">
        <v>0</v>
      </c>
      <c r="AL653">
        <v>1</v>
      </c>
      <c r="AM653">
        <v>0</v>
      </c>
      <c r="AN653">
        <v>5</v>
      </c>
      <c r="AO653">
        <v>3</v>
      </c>
      <c r="AP653">
        <v>15</v>
      </c>
      <c r="AQ653">
        <v>1</v>
      </c>
      <c r="AR653">
        <v>3</v>
      </c>
      <c r="AS653">
        <v>1</v>
      </c>
      <c r="AT653" t="s">
        <v>21670</v>
      </c>
      <c r="AU653" t="s">
        <v>21671</v>
      </c>
      <c r="AV653">
        <v>0.504</v>
      </c>
      <c r="AW653" t="s">
        <v>65</v>
      </c>
      <c r="AX653">
        <v>18</v>
      </c>
      <c r="AY653">
        <v>2</v>
      </c>
      <c r="AZ653" t="s">
        <v>21672</v>
      </c>
      <c r="BA653">
        <v>3.2910000000000002E-2</v>
      </c>
      <c r="BB653">
        <v>-4.5599999999999998E-3</v>
      </c>
      <c r="BC653">
        <v>1.2099999999999999E-3</v>
      </c>
      <c r="BD653">
        <v>-2.2000000000000001E-4</v>
      </c>
      <c r="BE653">
        <v>3.6819999999999999E-2</v>
      </c>
      <c r="BF653">
        <v>1</v>
      </c>
      <c r="BG653" t="s">
        <v>69</v>
      </c>
      <c r="BH653">
        <v>-1.976</v>
      </c>
      <c r="BI653">
        <v>-2.36</v>
      </c>
    </row>
    <row r="654" spans="3:61">
      <c r="C654">
        <v>0</v>
      </c>
      <c r="D654">
        <v>0</v>
      </c>
      <c r="E654">
        <v>0</v>
      </c>
      <c r="F654" t="s">
        <v>25021</v>
      </c>
      <c r="G654">
        <v>2196</v>
      </c>
      <c r="H654" t="s">
        <v>12956</v>
      </c>
      <c r="I654" t="s">
        <v>57</v>
      </c>
      <c r="J654">
        <v>2229988</v>
      </c>
      <c r="K654">
        <v>2230905</v>
      </c>
      <c r="L654" t="s">
        <v>12900</v>
      </c>
      <c r="M654">
        <v>306</v>
      </c>
      <c r="N654" t="s">
        <v>12957</v>
      </c>
      <c r="O654">
        <v>17</v>
      </c>
      <c r="P654" t="str">
        <f>HYPERLINK("Gene2196-zp_tree_all.dnd", "Gene2196-tree")</f>
        <v>Gene2196-tree</v>
      </c>
      <c r="Q654">
        <v>15</v>
      </c>
      <c r="R654">
        <v>2</v>
      </c>
      <c r="S654">
        <v>2</v>
      </c>
      <c r="T654">
        <v>2</v>
      </c>
      <c r="U654">
        <v>0.5</v>
      </c>
      <c r="V654" t="s">
        <v>12915</v>
      </c>
      <c r="W654" t="s">
        <v>81</v>
      </c>
      <c r="X654" t="s">
        <v>62</v>
      </c>
      <c r="Y654" t="s">
        <v>62</v>
      </c>
      <c r="Z654">
        <v>0</v>
      </c>
      <c r="AA654">
        <v>0</v>
      </c>
      <c r="AB654">
        <v>6</v>
      </c>
      <c r="AC654">
        <v>0</v>
      </c>
      <c r="AD654" s="47">
        <v>0</v>
      </c>
      <c r="AE654" s="47">
        <v>0</v>
      </c>
      <c r="AF654" s="47">
        <v>0</v>
      </c>
      <c r="AG654" s="47">
        <v>0</v>
      </c>
      <c r="AH654" s="47">
        <v>0</v>
      </c>
      <c r="AI654" s="47">
        <v>0</v>
      </c>
      <c r="AJ654" s="47">
        <v>0</v>
      </c>
      <c r="AK654" s="47">
        <v>0</v>
      </c>
      <c r="AL654">
        <v>6</v>
      </c>
      <c r="AM654">
        <v>0</v>
      </c>
      <c r="AN654">
        <v>4</v>
      </c>
      <c r="AO654">
        <v>1</v>
      </c>
      <c r="AP654">
        <v>45</v>
      </c>
      <c r="AQ654">
        <v>6</v>
      </c>
      <c r="AR654">
        <v>6</v>
      </c>
      <c r="AS654">
        <v>0</v>
      </c>
      <c r="AT654" t="s">
        <v>12958</v>
      </c>
      <c r="AU654" t="s">
        <v>193</v>
      </c>
      <c r="AV654">
        <v>1.02</v>
      </c>
      <c r="AW654" t="s">
        <v>65</v>
      </c>
      <c r="AX654">
        <v>51</v>
      </c>
      <c r="AY654">
        <v>6</v>
      </c>
      <c r="AZ654" t="s">
        <v>12959</v>
      </c>
      <c r="BA654">
        <v>0.13786000000000001</v>
      </c>
      <c r="BB654">
        <v>-7.7400000000000004E-3</v>
      </c>
      <c r="BC654">
        <v>4.1099999999999999E-3</v>
      </c>
      <c r="BD654">
        <v>-1.33E-3</v>
      </c>
      <c r="BE654">
        <v>2.9790000000000001E-2</v>
      </c>
      <c r="BF654">
        <v>1</v>
      </c>
      <c r="BG654" t="s">
        <v>69</v>
      </c>
      <c r="BH654">
        <v>-1.871</v>
      </c>
      <c r="BI654">
        <v>-2.0760000000000001</v>
      </c>
    </row>
    <row r="655" spans="3:61">
      <c r="C655">
        <v>0</v>
      </c>
      <c r="D655">
        <v>5</v>
      </c>
      <c r="E655">
        <v>0</v>
      </c>
      <c r="F655" t="s">
        <v>25021</v>
      </c>
      <c r="G655">
        <v>1109</v>
      </c>
      <c r="H655" t="s">
        <v>6971</v>
      </c>
      <c r="I655" t="s">
        <v>62</v>
      </c>
      <c r="J655">
        <v>1151169</v>
      </c>
      <c r="K655">
        <v>1152089</v>
      </c>
      <c r="L655" t="s">
        <v>6972</v>
      </c>
      <c r="M655">
        <v>307</v>
      </c>
      <c r="N655" t="s">
        <v>108</v>
      </c>
      <c r="O655">
        <v>44</v>
      </c>
      <c r="P655" t="str">
        <f>HYPERLINK("Gene1109-zp_tree_all.dnd", "Gene1109-tree")</f>
        <v>Gene1109-tree</v>
      </c>
      <c r="Q655">
        <v>4</v>
      </c>
      <c r="R655">
        <v>9</v>
      </c>
      <c r="S655">
        <v>4</v>
      </c>
      <c r="T655">
        <v>9</v>
      </c>
      <c r="U655">
        <v>0.69230999999999998</v>
      </c>
      <c r="V655" t="s">
        <v>61</v>
      </c>
      <c r="W655" t="s">
        <v>135</v>
      </c>
      <c r="X655" t="s">
        <v>62</v>
      </c>
      <c r="Y655" t="s">
        <v>62</v>
      </c>
      <c r="Z655">
        <v>2</v>
      </c>
      <c r="AA655">
        <v>5</v>
      </c>
      <c r="AB655">
        <v>19</v>
      </c>
      <c r="AC655">
        <v>0.20832999999999999</v>
      </c>
      <c r="AD655" s="47">
        <v>0</v>
      </c>
      <c r="AE655" s="47">
        <v>0</v>
      </c>
      <c r="AF655" s="47">
        <v>0</v>
      </c>
      <c r="AG655" s="47">
        <v>1</v>
      </c>
      <c r="AH655" s="47">
        <v>0</v>
      </c>
      <c r="AI655" s="47">
        <v>2</v>
      </c>
      <c r="AJ655" s="47">
        <v>0</v>
      </c>
      <c r="AK655" s="47">
        <v>2</v>
      </c>
      <c r="AL655">
        <v>15</v>
      </c>
      <c r="AM655">
        <v>0.11765</v>
      </c>
      <c r="AN655">
        <v>10</v>
      </c>
      <c r="AO655">
        <v>10</v>
      </c>
      <c r="AP655">
        <v>12</v>
      </c>
      <c r="AQ655">
        <v>17</v>
      </c>
      <c r="AR655">
        <v>13</v>
      </c>
      <c r="AS655">
        <v>8</v>
      </c>
      <c r="AT655" t="s">
        <v>6973</v>
      </c>
      <c r="AU655" t="s">
        <v>6974</v>
      </c>
      <c r="AV655">
        <v>1.127</v>
      </c>
      <c r="AW655" t="s">
        <v>65</v>
      </c>
      <c r="AX655">
        <v>25</v>
      </c>
      <c r="AY655">
        <v>25</v>
      </c>
      <c r="AZ655" t="s">
        <v>6975</v>
      </c>
      <c r="BA655">
        <v>2.9409999999999999E-2</v>
      </c>
      <c r="BB655">
        <v>-1.48E-3</v>
      </c>
      <c r="BC655">
        <v>7.5399999999999998E-3</v>
      </c>
      <c r="BD655">
        <v>-4.0999999999999999E-4</v>
      </c>
      <c r="BE655">
        <v>0.25641000000000003</v>
      </c>
      <c r="BF655">
        <v>1</v>
      </c>
      <c r="BG655" t="s">
        <v>69</v>
      </c>
      <c r="BH655">
        <v>-0.63900000000000001</v>
      </c>
      <c r="BI655">
        <v>-1.9450000000000001</v>
      </c>
    </row>
    <row r="656" spans="3:61">
      <c r="C656">
        <v>0</v>
      </c>
      <c r="D656">
        <v>2</v>
      </c>
      <c r="E656">
        <v>0</v>
      </c>
      <c r="F656" t="s">
        <v>25021</v>
      </c>
      <c r="G656">
        <v>2645</v>
      </c>
      <c r="H656" t="s">
        <v>15495</v>
      </c>
      <c r="I656" t="s">
        <v>57</v>
      </c>
      <c r="J656">
        <v>2620717</v>
      </c>
      <c r="K656">
        <v>2621637</v>
      </c>
      <c r="L656" t="s">
        <v>15496</v>
      </c>
      <c r="M656">
        <v>307</v>
      </c>
      <c r="N656" t="s">
        <v>1392</v>
      </c>
      <c r="O656">
        <v>43</v>
      </c>
      <c r="P656" t="str">
        <f>HYPERLINK("Gene2645-zp_tree_all.dnd", "Gene2645-tree")</f>
        <v>Gene2645-tree</v>
      </c>
      <c r="Q656">
        <v>10</v>
      </c>
      <c r="R656">
        <v>3</v>
      </c>
      <c r="S656">
        <v>10</v>
      </c>
      <c r="T656">
        <v>3</v>
      </c>
      <c r="U656">
        <v>0.23077</v>
      </c>
      <c r="V656" t="s">
        <v>117</v>
      </c>
      <c r="W656" t="s">
        <v>324</v>
      </c>
      <c r="X656" t="s">
        <v>62</v>
      </c>
      <c r="Y656" t="s">
        <v>62</v>
      </c>
      <c r="Z656">
        <v>1</v>
      </c>
      <c r="AA656">
        <v>2</v>
      </c>
      <c r="AB656">
        <v>8</v>
      </c>
      <c r="AC656">
        <v>0.2</v>
      </c>
      <c r="AD656" s="47">
        <v>0</v>
      </c>
      <c r="AE656" s="47">
        <v>0</v>
      </c>
      <c r="AF656" s="47">
        <v>0</v>
      </c>
      <c r="AG656" s="47">
        <v>1</v>
      </c>
      <c r="AH656" s="47">
        <v>0</v>
      </c>
      <c r="AI656" s="47">
        <v>0</v>
      </c>
      <c r="AJ656" s="47">
        <v>0</v>
      </c>
      <c r="AK656" s="47">
        <v>0</v>
      </c>
      <c r="AL656">
        <v>5</v>
      </c>
      <c r="AM656">
        <v>0</v>
      </c>
      <c r="AN656">
        <v>9</v>
      </c>
      <c r="AO656">
        <v>10</v>
      </c>
      <c r="AP656">
        <v>31</v>
      </c>
      <c r="AQ656">
        <v>5</v>
      </c>
      <c r="AR656">
        <v>45</v>
      </c>
      <c r="AS656">
        <v>5</v>
      </c>
      <c r="AT656" t="s">
        <v>15497</v>
      </c>
      <c r="AU656" t="s">
        <v>15498</v>
      </c>
      <c r="AV656">
        <v>0.247</v>
      </c>
      <c r="AW656" t="s">
        <v>65</v>
      </c>
      <c r="AX656">
        <v>76</v>
      </c>
      <c r="AY656">
        <v>10</v>
      </c>
      <c r="AZ656" t="s">
        <v>15499</v>
      </c>
      <c r="BA656">
        <v>8.4010000000000001E-2</v>
      </c>
      <c r="BB656">
        <v>-3.8999999999999998E-3</v>
      </c>
      <c r="BC656">
        <v>3.7699999999999999E-3</v>
      </c>
      <c r="BD656">
        <v>-2.5000000000000001E-4</v>
      </c>
      <c r="BE656">
        <v>4.4819999999999999E-2</v>
      </c>
      <c r="BF656">
        <v>1</v>
      </c>
      <c r="BG656" t="s">
        <v>69</v>
      </c>
      <c r="BH656">
        <v>0.45400000000000001</v>
      </c>
      <c r="BI656">
        <v>-3.9E-2</v>
      </c>
    </row>
    <row r="657" spans="3:61">
      <c r="C657">
        <v>0</v>
      </c>
      <c r="D657">
        <v>2</v>
      </c>
      <c r="E657">
        <v>0</v>
      </c>
      <c r="F657" t="s">
        <v>25021</v>
      </c>
      <c r="G657">
        <v>3058</v>
      </c>
      <c r="H657" t="s">
        <v>17703</v>
      </c>
      <c r="I657" t="s">
        <v>57</v>
      </c>
      <c r="J657">
        <v>3008938</v>
      </c>
      <c r="K657">
        <v>3009861</v>
      </c>
      <c r="L657" t="s">
        <v>17704</v>
      </c>
      <c r="M657">
        <v>308</v>
      </c>
      <c r="N657" t="s">
        <v>2555</v>
      </c>
      <c r="O657">
        <v>34</v>
      </c>
      <c r="P657" t="str">
        <f>HYPERLINK("Gene3058-zp_tree_all.dnd", "Gene3058-tree")</f>
        <v>Gene3058-tree</v>
      </c>
      <c r="Q657">
        <v>2</v>
      </c>
      <c r="R657">
        <v>7</v>
      </c>
      <c r="S657">
        <v>2</v>
      </c>
      <c r="T657">
        <v>7</v>
      </c>
      <c r="U657">
        <v>0.77778000000000003</v>
      </c>
      <c r="V657" t="s">
        <v>81</v>
      </c>
      <c r="W657" t="s">
        <v>152</v>
      </c>
      <c r="X657" t="s">
        <v>62</v>
      </c>
      <c r="Y657" t="s">
        <v>62</v>
      </c>
      <c r="Z657">
        <v>1</v>
      </c>
      <c r="AA657">
        <v>2</v>
      </c>
      <c r="AB657">
        <v>11</v>
      </c>
      <c r="AC657">
        <v>0.15384999999999999</v>
      </c>
      <c r="AD657" s="47">
        <v>0</v>
      </c>
      <c r="AE657" s="47">
        <v>0</v>
      </c>
      <c r="AF657" s="47">
        <v>0</v>
      </c>
      <c r="AG657" s="47">
        <v>0</v>
      </c>
      <c r="AH657" s="47">
        <v>0</v>
      </c>
      <c r="AI657" s="47">
        <v>2</v>
      </c>
      <c r="AJ657" s="47">
        <v>0</v>
      </c>
      <c r="AK657" s="47">
        <v>2</v>
      </c>
      <c r="AL657">
        <v>6</v>
      </c>
      <c r="AM657">
        <v>0.25</v>
      </c>
      <c r="AN657">
        <v>8</v>
      </c>
      <c r="AO657">
        <v>4</v>
      </c>
      <c r="AP657">
        <v>21</v>
      </c>
      <c r="AQ657">
        <v>8</v>
      </c>
      <c r="AR657">
        <v>8</v>
      </c>
      <c r="AS657">
        <v>6</v>
      </c>
      <c r="AT657" t="s">
        <v>17705</v>
      </c>
      <c r="AU657" t="s">
        <v>17706</v>
      </c>
      <c r="AV657">
        <v>0.85199999999999998</v>
      </c>
      <c r="AW657" t="s">
        <v>65</v>
      </c>
      <c r="AX657">
        <v>29</v>
      </c>
      <c r="AY657">
        <v>14</v>
      </c>
      <c r="AZ657" t="s">
        <v>17707</v>
      </c>
      <c r="BA657">
        <v>3.211E-2</v>
      </c>
      <c r="BB657">
        <v>-2.48E-3</v>
      </c>
      <c r="BC657">
        <v>5.6600000000000001E-3</v>
      </c>
      <c r="BD657">
        <v>-5.0000000000000001E-4</v>
      </c>
      <c r="BE657">
        <v>0.17632</v>
      </c>
      <c r="BF657">
        <v>1</v>
      </c>
      <c r="BG657" t="s">
        <v>69</v>
      </c>
      <c r="BH657">
        <v>-1.2070000000000001</v>
      </c>
      <c r="BI657">
        <v>-1.002</v>
      </c>
    </row>
    <row r="658" spans="3:61">
      <c r="C658">
        <v>0</v>
      </c>
      <c r="D658">
        <v>2</v>
      </c>
      <c r="E658">
        <v>4</v>
      </c>
      <c r="F658" t="s">
        <v>25021</v>
      </c>
      <c r="G658">
        <v>1140</v>
      </c>
      <c r="H658" t="s">
        <v>7169</v>
      </c>
      <c r="I658" t="s">
        <v>62</v>
      </c>
      <c r="J658">
        <v>1183032</v>
      </c>
      <c r="K658">
        <v>1183958</v>
      </c>
      <c r="L658" t="s">
        <v>7170</v>
      </c>
      <c r="M658">
        <v>309</v>
      </c>
      <c r="N658" t="s">
        <v>7163</v>
      </c>
      <c r="O658">
        <v>40</v>
      </c>
      <c r="P658" t="str">
        <f>HYPERLINK("Gene1140-zp_tree_all.dnd", "Gene1140-tree")</f>
        <v>Gene1140-tree</v>
      </c>
      <c r="Q658">
        <v>11</v>
      </c>
      <c r="R658">
        <v>3</v>
      </c>
      <c r="S658">
        <v>11</v>
      </c>
      <c r="T658">
        <v>3</v>
      </c>
      <c r="U658">
        <v>0.21429000000000001</v>
      </c>
      <c r="V658" t="s">
        <v>73</v>
      </c>
      <c r="W658" t="s">
        <v>324</v>
      </c>
      <c r="X658" t="s">
        <v>62</v>
      </c>
      <c r="Y658" t="s">
        <v>62</v>
      </c>
      <c r="Z658">
        <v>3</v>
      </c>
      <c r="AA658">
        <v>6</v>
      </c>
      <c r="AB658">
        <v>10</v>
      </c>
      <c r="AC658">
        <v>0.375</v>
      </c>
      <c r="AD658" s="47">
        <v>0</v>
      </c>
      <c r="AE658" s="47">
        <v>0</v>
      </c>
      <c r="AF658" s="47">
        <v>0</v>
      </c>
      <c r="AG658" s="47">
        <v>0</v>
      </c>
      <c r="AH658" s="47">
        <v>0</v>
      </c>
      <c r="AI658" s="47">
        <v>0</v>
      </c>
      <c r="AJ658" s="47">
        <v>0</v>
      </c>
      <c r="AK658" s="47">
        <v>0</v>
      </c>
      <c r="AL658">
        <v>3</v>
      </c>
      <c r="AM658">
        <v>0</v>
      </c>
      <c r="AN658">
        <v>12</v>
      </c>
      <c r="AO658">
        <v>9</v>
      </c>
      <c r="AP658">
        <v>26</v>
      </c>
      <c r="AQ658">
        <v>3</v>
      </c>
      <c r="AR658">
        <v>37</v>
      </c>
      <c r="AS658">
        <v>13</v>
      </c>
      <c r="AT658" t="s">
        <v>7171</v>
      </c>
      <c r="AU658" t="s">
        <v>7172</v>
      </c>
      <c r="AV658">
        <v>0.29899999999999999</v>
      </c>
      <c r="AW658" t="s">
        <v>65</v>
      </c>
      <c r="AX658">
        <v>63</v>
      </c>
      <c r="AY658">
        <v>16</v>
      </c>
      <c r="AZ658" t="s">
        <v>7173</v>
      </c>
      <c r="BA658">
        <v>7.0760000000000003E-2</v>
      </c>
      <c r="BB658">
        <v>-6.1900000000000002E-3</v>
      </c>
      <c r="BC658">
        <v>5.1399999999999996E-3</v>
      </c>
      <c r="BD658">
        <v>-5.4000000000000001E-4</v>
      </c>
      <c r="BE658">
        <v>7.2690000000000005E-2</v>
      </c>
      <c r="BF658">
        <v>1</v>
      </c>
      <c r="BG658" t="s">
        <v>69</v>
      </c>
      <c r="BH658">
        <v>-1.4830000000000001</v>
      </c>
      <c r="BI658">
        <v>-0.187</v>
      </c>
    </row>
    <row r="659" spans="3:61">
      <c r="C659">
        <v>0</v>
      </c>
      <c r="D659">
        <v>4</v>
      </c>
      <c r="E659">
        <v>0</v>
      </c>
      <c r="F659" t="s">
        <v>25021</v>
      </c>
      <c r="G659">
        <v>4202</v>
      </c>
      <c r="H659" t="s">
        <v>24748</v>
      </c>
      <c r="I659" t="s">
        <v>57</v>
      </c>
      <c r="J659">
        <v>4168204</v>
      </c>
      <c r="K659">
        <v>4169130</v>
      </c>
      <c r="L659" t="s">
        <v>24749</v>
      </c>
      <c r="M659">
        <v>309</v>
      </c>
      <c r="N659" t="s">
        <v>99</v>
      </c>
      <c r="O659">
        <v>47</v>
      </c>
      <c r="P659" t="str">
        <f>HYPERLINK("Gene4202-zp_tree_all.dnd", "Gene4202-tree")</f>
        <v>Gene4202-tree</v>
      </c>
      <c r="Q659">
        <v>12</v>
      </c>
      <c r="R659">
        <v>7</v>
      </c>
      <c r="S659">
        <v>12</v>
      </c>
      <c r="T659">
        <v>7</v>
      </c>
      <c r="U659">
        <v>0.36842000000000003</v>
      </c>
      <c r="V659" t="s">
        <v>109</v>
      </c>
      <c r="W659" t="s">
        <v>152</v>
      </c>
      <c r="X659" t="s">
        <v>62</v>
      </c>
      <c r="Y659" t="s">
        <v>62</v>
      </c>
      <c r="Z659">
        <v>2</v>
      </c>
      <c r="AA659">
        <v>4</v>
      </c>
      <c r="AB659">
        <v>6</v>
      </c>
      <c r="AC659">
        <v>0.4</v>
      </c>
      <c r="AD659" s="47">
        <v>0</v>
      </c>
      <c r="AE659" s="47">
        <v>0</v>
      </c>
      <c r="AF659" s="47">
        <v>0</v>
      </c>
      <c r="AG659" s="47">
        <v>1</v>
      </c>
      <c r="AH659" s="47">
        <v>0</v>
      </c>
      <c r="AI659" s="47">
        <v>0</v>
      </c>
      <c r="AJ659" s="47">
        <v>0</v>
      </c>
      <c r="AK659" s="47">
        <v>0</v>
      </c>
      <c r="AL659">
        <v>8</v>
      </c>
      <c r="AM659">
        <v>0</v>
      </c>
      <c r="AN659">
        <v>13</v>
      </c>
      <c r="AO659">
        <v>13</v>
      </c>
      <c r="AP659">
        <v>39</v>
      </c>
      <c r="AQ659">
        <v>4</v>
      </c>
      <c r="AR659">
        <v>60</v>
      </c>
      <c r="AS659">
        <v>7</v>
      </c>
      <c r="AT659" t="s">
        <v>24750</v>
      </c>
      <c r="AU659" t="s">
        <v>24751</v>
      </c>
      <c r="AV659">
        <v>6.4000000000000001E-2</v>
      </c>
      <c r="AW659" t="s">
        <v>65</v>
      </c>
      <c r="AX659">
        <v>99</v>
      </c>
      <c r="AY659">
        <v>11</v>
      </c>
      <c r="AZ659" t="s">
        <v>24752</v>
      </c>
      <c r="BA659">
        <v>9.5430000000000001E-2</v>
      </c>
      <c r="BB659">
        <v>-6.8999999999999999E-3</v>
      </c>
      <c r="BC659">
        <v>2.7799999999999999E-3</v>
      </c>
      <c r="BD659">
        <v>-1.6000000000000001E-4</v>
      </c>
      <c r="BE659">
        <v>2.9090000000000001E-2</v>
      </c>
      <c r="BF659">
        <v>1</v>
      </c>
      <c r="BG659" t="s">
        <v>69</v>
      </c>
      <c r="BH659">
        <v>-1.1850000000000001</v>
      </c>
      <c r="BI659">
        <v>0.14299999999999999</v>
      </c>
    </row>
    <row r="660" spans="3:61">
      <c r="C660">
        <v>0</v>
      </c>
      <c r="D660">
        <v>0</v>
      </c>
      <c r="E660">
        <v>0</v>
      </c>
      <c r="F660" t="s">
        <v>25021</v>
      </c>
      <c r="G660">
        <v>4119</v>
      </c>
      <c r="H660" t="s">
        <v>24275</v>
      </c>
      <c r="I660" t="s">
        <v>57</v>
      </c>
      <c r="J660">
        <v>4085608</v>
      </c>
      <c r="K660">
        <v>4086537</v>
      </c>
      <c r="L660" t="s">
        <v>16023</v>
      </c>
      <c r="M660">
        <v>310</v>
      </c>
      <c r="N660" t="s">
        <v>465</v>
      </c>
      <c r="O660">
        <v>46</v>
      </c>
      <c r="P660" t="str">
        <f>HYPERLINK("Gene4119-zp_tree_all.dnd", "Gene4119-tree")</f>
        <v>Gene4119-tree</v>
      </c>
      <c r="Q660">
        <v>10</v>
      </c>
      <c r="R660">
        <v>7</v>
      </c>
      <c r="S660">
        <v>10</v>
      </c>
      <c r="T660">
        <v>7</v>
      </c>
      <c r="U660">
        <v>0.41176000000000001</v>
      </c>
      <c r="V660" t="s">
        <v>117</v>
      </c>
      <c r="W660" t="s">
        <v>152</v>
      </c>
      <c r="X660" t="s">
        <v>62</v>
      </c>
      <c r="Y660" t="s">
        <v>62</v>
      </c>
      <c r="Z660">
        <v>0</v>
      </c>
      <c r="AA660">
        <v>0</v>
      </c>
      <c r="AB660">
        <v>11</v>
      </c>
      <c r="AC660">
        <v>0</v>
      </c>
      <c r="AD660" s="47">
        <v>0</v>
      </c>
      <c r="AE660" s="47">
        <v>0</v>
      </c>
      <c r="AF660" s="47">
        <v>0</v>
      </c>
      <c r="AG660" s="47">
        <v>2</v>
      </c>
      <c r="AH660" s="47">
        <v>0</v>
      </c>
      <c r="AI660" s="47">
        <v>0</v>
      </c>
      <c r="AJ660" s="47">
        <v>0</v>
      </c>
      <c r="AK660" s="47">
        <v>0</v>
      </c>
      <c r="AL660">
        <v>9</v>
      </c>
      <c r="AM660">
        <v>0</v>
      </c>
      <c r="AN660">
        <v>13</v>
      </c>
      <c r="AO660">
        <v>10</v>
      </c>
      <c r="AP660">
        <v>38</v>
      </c>
      <c r="AQ660">
        <v>7</v>
      </c>
      <c r="AR660">
        <v>52</v>
      </c>
      <c r="AS660">
        <v>4</v>
      </c>
      <c r="AT660" t="s">
        <v>24276</v>
      </c>
      <c r="AU660" t="s">
        <v>24277</v>
      </c>
      <c r="AV660">
        <v>0.66800000000000004</v>
      </c>
      <c r="AW660" t="s">
        <v>65</v>
      </c>
      <c r="AX660">
        <v>90</v>
      </c>
      <c r="AY660">
        <v>11</v>
      </c>
      <c r="AZ660" t="s">
        <v>24278</v>
      </c>
      <c r="BA660">
        <v>8.165E-2</v>
      </c>
      <c r="BB660">
        <v>-5.8999999999999999E-3</v>
      </c>
      <c r="BC660">
        <v>2.3700000000000001E-3</v>
      </c>
      <c r="BD660">
        <v>-1.2999999999999999E-4</v>
      </c>
      <c r="BE660">
        <v>2.904E-2</v>
      </c>
      <c r="BF660">
        <v>1</v>
      </c>
      <c r="BG660" t="s">
        <v>69</v>
      </c>
      <c r="BH660">
        <v>-0.90800000000000003</v>
      </c>
      <c r="BI660">
        <v>-0.80100000000000005</v>
      </c>
    </row>
    <row r="661" spans="3:61">
      <c r="C661">
        <v>0</v>
      </c>
      <c r="D661">
        <v>2</v>
      </c>
      <c r="E661">
        <v>0</v>
      </c>
      <c r="F661" t="s">
        <v>25021</v>
      </c>
      <c r="G661">
        <v>1392</v>
      </c>
      <c r="H661" t="s">
        <v>8713</v>
      </c>
      <c r="I661" t="s">
        <v>62</v>
      </c>
      <c r="J661">
        <v>1406360</v>
      </c>
      <c r="K661">
        <v>1407292</v>
      </c>
      <c r="L661" t="s">
        <v>8714</v>
      </c>
      <c r="M661">
        <v>311</v>
      </c>
      <c r="N661" t="s">
        <v>1392</v>
      </c>
      <c r="O661">
        <v>43</v>
      </c>
      <c r="P661" t="str">
        <f>HYPERLINK("Gene1392-zp_tree_all.dnd", "Gene1392-tree")</f>
        <v>Gene1392-tree</v>
      </c>
      <c r="Q661">
        <v>7</v>
      </c>
      <c r="R661">
        <v>6</v>
      </c>
      <c r="S661">
        <v>7</v>
      </c>
      <c r="T661">
        <v>6</v>
      </c>
      <c r="U661">
        <v>0.46154000000000001</v>
      </c>
      <c r="V661" t="s">
        <v>152</v>
      </c>
      <c r="W661" t="s">
        <v>90</v>
      </c>
      <c r="X661" t="s">
        <v>62</v>
      </c>
      <c r="Y661" t="s">
        <v>62</v>
      </c>
      <c r="Z661">
        <v>1</v>
      </c>
      <c r="AA661">
        <v>2</v>
      </c>
      <c r="AB661">
        <v>9</v>
      </c>
      <c r="AC661">
        <v>0.18182000000000001</v>
      </c>
      <c r="AD661" s="47">
        <v>0</v>
      </c>
      <c r="AE661" s="47">
        <v>0</v>
      </c>
      <c r="AF661" s="47">
        <v>0</v>
      </c>
      <c r="AG661" s="47">
        <v>2</v>
      </c>
      <c r="AH661" s="47">
        <v>0</v>
      </c>
      <c r="AI661" s="47">
        <v>0</v>
      </c>
      <c r="AJ661" s="47">
        <v>0</v>
      </c>
      <c r="AK661" s="47">
        <v>0</v>
      </c>
      <c r="AL661">
        <v>5</v>
      </c>
      <c r="AM661">
        <v>0</v>
      </c>
      <c r="AN661">
        <v>10</v>
      </c>
      <c r="AO661">
        <v>9</v>
      </c>
      <c r="AP661">
        <v>17</v>
      </c>
      <c r="AQ661">
        <v>5</v>
      </c>
      <c r="AR661">
        <v>28</v>
      </c>
      <c r="AS661">
        <v>6</v>
      </c>
      <c r="AT661" t="s">
        <v>8715</v>
      </c>
      <c r="AU661" t="s">
        <v>8716</v>
      </c>
      <c r="AV661">
        <v>0.41499999999999998</v>
      </c>
      <c r="AW661" t="s">
        <v>65</v>
      </c>
      <c r="AX661">
        <v>45</v>
      </c>
      <c r="AY661">
        <v>11</v>
      </c>
      <c r="AZ661" t="s">
        <v>8717</v>
      </c>
      <c r="BA661">
        <v>5.1639999999999998E-2</v>
      </c>
      <c r="BB661">
        <v>-2.5300000000000001E-3</v>
      </c>
      <c r="BC661">
        <v>3.5200000000000001E-3</v>
      </c>
      <c r="BD661">
        <v>-2.0000000000000001E-4</v>
      </c>
      <c r="BE661">
        <v>6.8190000000000001E-2</v>
      </c>
      <c r="BF661">
        <v>1</v>
      </c>
      <c r="BG661" t="s">
        <v>69</v>
      </c>
      <c r="BH661">
        <v>0.42799999999999999</v>
      </c>
      <c r="BI661">
        <v>0.49</v>
      </c>
    </row>
    <row r="662" spans="3:61">
      <c r="C662">
        <v>0</v>
      </c>
      <c r="D662">
        <v>0</v>
      </c>
      <c r="E662">
        <v>2</v>
      </c>
      <c r="F662" t="s">
        <v>25021</v>
      </c>
      <c r="G662">
        <v>3114</v>
      </c>
      <c r="H662" t="s">
        <v>18068</v>
      </c>
      <c r="I662" t="s">
        <v>57</v>
      </c>
      <c r="J662">
        <v>3066451</v>
      </c>
      <c r="K662">
        <v>3067383</v>
      </c>
      <c r="L662" t="s">
        <v>18069</v>
      </c>
      <c r="M662">
        <v>311</v>
      </c>
      <c r="N662" t="s">
        <v>108</v>
      </c>
      <c r="O662">
        <v>44</v>
      </c>
      <c r="P662" t="str">
        <f>HYPERLINK("Gene3114-zp_tree_all.dnd", "Gene3114-tree")</f>
        <v>Gene3114-tree</v>
      </c>
      <c r="Q662">
        <v>9</v>
      </c>
      <c r="R662">
        <v>6</v>
      </c>
      <c r="S662">
        <v>9</v>
      </c>
      <c r="T662">
        <v>6</v>
      </c>
      <c r="U662">
        <v>0.4</v>
      </c>
      <c r="V662" t="s">
        <v>135</v>
      </c>
      <c r="W662" t="s">
        <v>90</v>
      </c>
      <c r="X662" t="s">
        <v>62</v>
      </c>
      <c r="Y662" t="s">
        <v>62</v>
      </c>
      <c r="Z662">
        <v>1</v>
      </c>
      <c r="AA662">
        <v>2</v>
      </c>
      <c r="AB662">
        <v>4</v>
      </c>
      <c r="AC662">
        <v>0.33333000000000002</v>
      </c>
      <c r="AD662" s="47">
        <v>0</v>
      </c>
      <c r="AE662" s="47">
        <v>0</v>
      </c>
      <c r="AF662" s="47">
        <v>0</v>
      </c>
      <c r="AG662" s="47">
        <v>0</v>
      </c>
      <c r="AH662" s="47">
        <v>0</v>
      </c>
      <c r="AI662" s="47">
        <v>0</v>
      </c>
      <c r="AJ662" s="47">
        <v>2</v>
      </c>
      <c r="AK662" s="47">
        <v>2</v>
      </c>
      <c r="AL662">
        <v>4</v>
      </c>
      <c r="AM662">
        <v>0.33333000000000002</v>
      </c>
      <c r="AN662">
        <v>13</v>
      </c>
      <c r="AO662">
        <v>9</v>
      </c>
      <c r="AP662">
        <v>42</v>
      </c>
      <c r="AQ662">
        <v>6</v>
      </c>
      <c r="AR662">
        <v>14</v>
      </c>
      <c r="AS662">
        <v>0</v>
      </c>
      <c r="AT662" t="s">
        <v>18070</v>
      </c>
      <c r="AU662" t="s">
        <v>193</v>
      </c>
      <c r="AV662">
        <v>1.5780000000000001</v>
      </c>
      <c r="AW662" t="s">
        <v>65</v>
      </c>
      <c r="AX662">
        <v>56</v>
      </c>
      <c r="AY662">
        <v>6</v>
      </c>
      <c r="AZ662" t="s">
        <v>18071</v>
      </c>
      <c r="BA662">
        <v>3.977E-2</v>
      </c>
      <c r="BB662">
        <v>-1.7899999999999999E-3</v>
      </c>
      <c r="BC662">
        <v>1.14E-3</v>
      </c>
      <c r="BD662">
        <v>-9.0000000000000006E-5</v>
      </c>
      <c r="BE662">
        <v>2.878E-2</v>
      </c>
      <c r="BF662">
        <v>1</v>
      </c>
      <c r="BG662" t="s">
        <v>69</v>
      </c>
      <c r="BH662">
        <v>-1.377</v>
      </c>
      <c r="BI662">
        <v>-2.15</v>
      </c>
    </row>
    <row r="663" spans="3:61">
      <c r="C663">
        <v>0</v>
      </c>
      <c r="D663">
        <v>10</v>
      </c>
      <c r="E663">
        <v>4</v>
      </c>
      <c r="F663" t="s">
        <v>25021</v>
      </c>
      <c r="G663">
        <v>357</v>
      </c>
      <c r="H663" t="s">
        <v>2434</v>
      </c>
      <c r="I663" t="s">
        <v>62</v>
      </c>
      <c r="J663">
        <v>405072</v>
      </c>
      <c r="K663">
        <v>406007</v>
      </c>
      <c r="L663" t="s">
        <v>1123</v>
      </c>
      <c r="M663">
        <v>312</v>
      </c>
      <c r="N663" t="s">
        <v>108</v>
      </c>
      <c r="O663">
        <v>44</v>
      </c>
      <c r="P663" t="str">
        <f>HYPERLINK("Gene357-zp_tree_all.dnd", "Gene357-tree")</f>
        <v>Gene357-tree</v>
      </c>
      <c r="Q663">
        <v>4</v>
      </c>
      <c r="R663">
        <v>12</v>
      </c>
      <c r="S663">
        <v>4</v>
      </c>
      <c r="T663">
        <v>12</v>
      </c>
      <c r="U663">
        <v>0.75</v>
      </c>
      <c r="V663" t="s">
        <v>61</v>
      </c>
      <c r="W663" t="s">
        <v>109</v>
      </c>
      <c r="X663" t="s">
        <v>62</v>
      </c>
      <c r="Y663" t="s">
        <v>62</v>
      </c>
      <c r="Z663">
        <v>5</v>
      </c>
      <c r="AA663">
        <v>14</v>
      </c>
      <c r="AB663">
        <v>19</v>
      </c>
      <c r="AC663">
        <v>0.42424000000000001</v>
      </c>
      <c r="AD663" s="47">
        <v>0</v>
      </c>
      <c r="AE663" s="47">
        <v>0</v>
      </c>
      <c r="AF663" s="47">
        <v>0</v>
      </c>
      <c r="AG663" s="47">
        <v>0</v>
      </c>
      <c r="AH663" s="47">
        <v>0</v>
      </c>
      <c r="AI663" s="47">
        <v>5</v>
      </c>
      <c r="AJ663" s="47">
        <v>3</v>
      </c>
      <c r="AK663" s="47">
        <v>8</v>
      </c>
      <c r="AL663">
        <v>21</v>
      </c>
      <c r="AM663">
        <v>0.27585999999999999</v>
      </c>
      <c r="AN663">
        <v>15</v>
      </c>
      <c r="AO663">
        <v>10</v>
      </c>
      <c r="AP663">
        <v>32</v>
      </c>
      <c r="AQ663">
        <v>26</v>
      </c>
      <c r="AR663">
        <v>14</v>
      </c>
      <c r="AS663">
        <v>8</v>
      </c>
      <c r="AT663" t="s">
        <v>2435</v>
      </c>
      <c r="AU663" t="s">
        <v>2436</v>
      </c>
      <c r="AV663">
        <v>0.316</v>
      </c>
      <c r="AW663" t="s">
        <v>65</v>
      </c>
      <c r="AX663">
        <v>46</v>
      </c>
      <c r="AY663">
        <v>34</v>
      </c>
      <c r="AZ663" t="s">
        <v>2437</v>
      </c>
      <c r="BA663">
        <v>2.98E-2</v>
      </c>
      <c r="BB663">
        <v>-1.17E-3</v>
      </c>
      <c r="BC663">
        <v>6.96E-3</v>
      </c>
      <c r="BD663">
        <v>-3.5E-4</v>
      </c>
      <c r="BE663">
        <v>0.23355999999999999</v>
      </c>
      <c r="BF663">
        <v>1</v>
      </c>
      <c r="BG663" t="s">
        <v>69</v>
      </c>
      <c r="BH663">
        <v>-1.534</v>
      </c>
      <c r="BI663">
        <v>-1.746</v>
      </c>
    </row>
    <row r="664" spans="3:61">
      <c r="C664">
        <v>0</v>
      </c>
      <c r="D664">
        <v>4</v>
      </c>
      <c r="E664">
        <v>0</v>
      </c>
      <c r="F664" t="s">
        <v>25021</v>
      </c>
      <c r="G664">
        <v>2979</v>
      </c>
      <c r="H664" t="s">
        <v>17187</v>
      </c>
      <c r="I664" t="s">
        <v>57</v>
      </c>
      <c r="J664">
        <v>2926031</v>
      </c>
      <c r="K664">
        <v>2926969</v>
      </c>
      <c r="L664" t="s">
        <v>17188</v>
      </c>
      <c r="M664">
        <v>313</v>
      </c>
      <c r="N664" t="s">
        <v>108</v>
      </c>
      <c r="O664">
        <v>44</v>
      </c>
      <c r="P664" t="str">
        <f>HYPERLINK("Gene2979-zp_tree_all.dnd", "Gene2979-tree")</f>
        <v>Gene2979-tree</v>
      </c>
      <c r="Q664">
        <v>11</v>
      </c>
      <c r="R664">
        <v>3</v>
      </c>
      <c r="S664">
        <v>11</v>
      </c>
      <c r="T664">
        <v>3</v>
      </c>
      <c r="U664">
        <v>0.21429000000000001</v>
      </c>
      <c r="V664" t="s">
        <v>73</v>
      </c>
      <c r="W664" t="s">
        <v>324</v>
      </c>
      <c r="X664" t="s">
        <v>62</v>
      </c>
      <c r="Y664" t="s">
        <v>62</v>
      </c>
      <c r="Z664">
        <v>2</v>
      </c>
      <c r="AA664">
        <v>4</v>
      </c>
      <c r="AB664">
        <v>5</v>
      </c>
      <c r="AC664">
        <v>0.44444</v>
      </c>
      <c r="AD664" s="47">
        <v>0</v>
      </c>
      <c r="AE664" s="47">
        <v>0</v>
      </c>
      <c r="AF664" s="47">
        <v>0</v>
      </c>
      <c r="AG664" s="47">
        <v>0</v>
      </c>
      <c r="AH664" s="47">
        <v>0</v>
      </c>
      <c r="AI664" s="47">
        <v>0</v>
      </c>
      <c r="AJ664" s="47">
        <v>0</v>
      </c>
      <c r="AK664" s="47">
        <v>0</v>
      </c>
      <c r="AL664">
        <v>3</v>
      </c>
      <c r="AM664">
        <v>0</v>
      </c>
      <c r="AN664">
        <v>9</v>
      </c>
      <c r="AO664">
        <v>10</v>
      </c>
      <c r="AP664">
        <v>32</v>
      </c>
      <c r="AQ664">
        <v>3</v>
      </c>
      <c r="AR664">
        <v>34</v>
      </c>
      <c r="AS664">
        <v>6</v>
      </c>
      <c r="AT664" t="s">
        <v>17189</v>
      </c>
      <c r="AU664" t="s">
        <v>17190</v>
      </c>
      <c r="AV664">
        <v>0.44500000000000001</v>
      </c>
      <c r="AW664" t="s">
        <v>65</v>
      </c>
      <c r="AX664">
        <v>66</v>
      </c>
      <c r="AY664">
        <v>9</v>
      </c>
      <c r="AZ664" t="s">
        <v>17191</v>
      </c>
      <c r="BA664">
        <v>6.4280000000000004E-2</v>
      </c>
      <c r="BB664">
        <v>-2.8700000000000002E-3</v>
      </c>
      <c r="BC664">
        <v>3.7399999999999998E-3</v>
      </c>
      <c r="BD664">
        <v>-2.2000000000000001E-4</v>
      </c>
      <c r="BE664">
        <v>5.8209999999999998E-2</v>
      </c>
      <c r="BF664">
        <v>1</v>
      </c>
      <c r="BG664" t="s">
        <v>69</v>
      </c>
      <c r="BH664">
        <v>1.331</v>
      </c>
      <c r="BI664">
        <v>0.80300000000000005</v>
      </c>
    </row>
    <row r="665" spans="3:61">
      <c r="C665">
        <v>0</v>
      </c>
      <c r="D665">
        <v>0</v>
      </c>
      <c r="E665">
        <v>0</v>
      </c>
      <c r="F665" t="s">
        <v>25021</v>
      </c>
      <c r="G665">
        <v>2618</v>
      </c>
      <c r="H665" t="s">
        <v>15332</v>
      </c>
      <c r="I665" t="s">
        <v>57</v>
      </c>
      <c r="J665">
        <v>2596535</v>
      </c>
      <c r="K665">
        <v>2597476</v>
      </c>
      <c r="L665" t="s">
        <v>15333</v>
      </c>
      <c r="M665">
        <v>314</v>
      </c>
      <c r="N665" t="s">
        <v>15334</v>
      </c>
      <c r="O665">
        <v>41</v>
      </c>
      <c r="P665" t="str">
        <f>HYPERLINK("Gene2618-zp_tree_all.dnd", "Gene2618-tree")</f>
        <v>Gene2618-tree</v>
      </c>
      <c r="Q665">
        <v>12</v>
      </c>
      <c r="R665">
        <v>2</v>
      </c>
      <c r="S665">
        <v>12</v>
      </c>
      <c r="T665">
        <v>2</v>
      </c>
      <c r="U665">
        <v>0.14285999999999999</v>
      </c>
      <c r="V665" t="s">
        <v>109</v>
      </c>
      <c r="W665" t="s">
        <v>81</v>
      </c>
      <c r="X665" t="s">
        <v>62</v>
      </c>
      <c r="Y665" t="s">
        <v>62</v>
      </c>
      <c r="Z665">
        <v>0</v>
      </c>
      <c r="AA665">
        <v>0</v>
      </c>
      <c r="AB665">
        <v>3</v>
      </c>
      <c r="AC665">
        <v>0</v>
      </c>
      <c r="AD665" s="47">
        <v>0</v>
      </c>
      <c r="AE665" s="47">
        <v>0</v>
      </c>
      <c r="AF665" s="47">
        <v>0</v>
      </c>
      <c r="AG665" s="47">
        <v>0</v>
      </c>
      <c r="AH665" s="47">
        <v>0</v>
      </c>
      <c r="AI665" s="47">
        <v>0</v>
      </c>
      <c r="AJ665" s="47">
        <v>0</v>
      </c>
      <c r="AK665" s="47">
        <v>0</v>
      </c>
      <c r="AL665">
        <v>2</v>
      </c>
      <c r="AM665">
        <v>0</v>
      </c>
      <c r="AN665">
        <v>13</v>
      </c>
      <c r="AO665">
        <v>5</v>
      </c>
      <c r="AP665">
        <v>23</v>
      </c>
      <c r="AQ665">
        <v>2</v>
      </c>
      <c r="AR665">
        <v>7</v>
      </c>
      <c r="AS665">
        <v>1</v>
      </c>
      <c r="AT665" t="s">
        <v>15335</v>
      </c>
      <c r="AU665" t="s">
        <v>15336</v>
      </c>
      <c r="AV665">
        <v>0.189</v>
      </c>
      <c r="AW665" t="s">
        <v>65</v>
      </c>
      <c r="AX665">
        <v>30</v>
      </c>
      <c r="AY665">
        <v>3</v>
      </c>
      <c r="AZ665" t="s">
        <v>15337</v>
      </c>
      <c r="BA665">
        <v>2.146E-2</v>
      </c>
      <c r="BB665">
        <v>-8.0000000000000004E-4</v>
      </c>
      <c r="BC665">
        <v>7.6000000000000004E-4</v>
      </c>
      <c r="BD665">
        <v>-8.0000000000000007E-5</v>
      </c>
      <c r="BE665">
        <v>3.5279999999999999E-2</v>
      </c>
      <c r="BF665">
        <v>1</v>
      </c>
      <c r="BG665" t="s">
        <v>69</v>
      </c>
      <c r="BH665">
        <v>-1.014</v>
      </c>
      <c r="BI665">
        <v>-1.744</v>
      </c>
    </row>
    <row r="666" spans="3:61">
      <c r="C666">
        <v>0</v>
      </c>
      <c r="D666">
        <v>11</v>
      </c>
      <c r="E666">
        <v>2</v>
      </c>
      <c r="F666" t="s">
        <v>25021</v>
      </c>
      <c r="G666">
        <v>8</v>
      </c>
      <c r="H666" t="s">
        <v>115</v>
      </c>
      <c r="I666" t="s">
        <v>62</v>
      </c>
      <c r="J666">
        <v>14850</v>
      </c>
      <c r="K666">
        <v>15794</v>
      </c>
      <c r="L666" t="s">
        <v>116</v>
      </c>
      <c r="M666">
        <v>315</v>
      </c>
      <c r="N666" t="s">
        <v>108</v>
      </c>
      <c r="O666">
        <v>44</v>
      </c>
      <c r="P666" t="str">
        <f>HYPERLINK("Gene8-zp_tree_all.dnd", "Gene8-tree")</f>
        <v>Gene8-tree</v>
      </c>
      <c r="Q666">
        <v>2</v>
      </c>
      <c r="R666">
        <v>10</v>
      </c>
      <c r="S666">
        <v>2</v>
      </c>
      <c r="T666">
        <v>10</v>
      </c>
      <c r="U666">
        <v>0.83333000000000002</v>
      </c>
      <c r="V666" t="s">
        <v>81</v>
      </c>
      <c r="W666" t="s">
        <v>117</v>
      </c>
      <c r="X666" t="s">
        <v>62</v>
      </c>
      <c r="Y666" t="s">
        <v>62</v>
      </c>
      <c r="Z666">
        <v>6</v>
      </c>
      <c r="AA666">
        <v>13</v>
      </c>
      <c r="AB666">
        <v>12</v>
      </c>
      <c r="AC666">
        <v>0.52</v>
      </c>
      <c r="AD666" s="47">
        <v>0</v>
      </c>
      <c r="AE666" s="47">
        <v>0</v>
      </c>
      <c r="AF666" s="47">
        <v>0</v>
      </c>
      <c r="AG666" s="47">
        <v>0</v>
      </c>
      <c r="AH666" s="47">
        <v>0</v>
      </c>
      <c r="AI666" s="47">
        <v>7</v>
      </c>
      <c r="AJ666" s="47">
        <v>2</v>
      </c>
      <c r="AK666" s="47">
        <v>9</v>
      </c>
      <c r="AL666">
        <v>13</v>
      </c>
      <c r="AM666">
        <v>0.40909000000000001</v>
      </c>
      <c r="AN666">
        <v>11</v>
      </c>
      <c r="AO666">
        <v>7</v>
      </c>
      <c r="AP666">
        <v>22</v>
      </c>
      <c r="AQ666">
        <v>21</v>
      </c>
      <c r="AR666">
        <v>7</v>
      </c>
      <c r="AS666">
        <v>4</v>
      </c>
      <c r="AT666" t="s">
        <v>118</v>
      </c>
      <c r="AU666" t="s">
        <v>119</v>
      </c>
      <c r="AV666">
        <v>0.70199999999999996</v>
      </c>
      <c r="AW666" t="s">
        <v>65</v>
      </c>
      <c r="AX666">
        <v>29</v>
      </c>
      <c r="AY666">
        <v>25</v>
      </c>
      <c r="AZ666" t="s">
        <v>120</v>
      </c>
      <c r="BA666">
        <v>3.083E-2</v>
      </c>
      <c r="BB666">
        <v>-1.5200000000000001E-3</v>
      </c>
      <c r="BC666">
        <v>6.1000000000000004E-3</v>
      </c>
      <c r="BD666">
        <v>-3.6000000000000002E-4</v>
      </c>
      <c r="BE666">
        <v>0.19777</v>
      </c>
      <c r="BF666">
        <v>1</v>
      </c>
      <c r="BG666" t="s">
        <v>69</v>
      </c>
      <c r="BH666">
        <v>-1.075</v>
      </c>
      <c r="BI666">
        <v>-0.85499999999999998</v>
      </c>
    </row>
    <row r="667" spans="3:61">
      <c r="C667">
        <v>0</v>
      </c>
      <c r="D667">
        <v>9</v>
      </c>
      <c r="E667">
        <v>0</v>
      </c>
      <c r="F667" t="s">
        <v>25021</v>
      </c>
      <c r="G667">
        <v>241</v>
      </c>
      <c r="H667" t="s">
        <v>1636</v>
      </c>
      <c r="I667" t="s">
        <v>62</v>
      </c>
      <c r="J667">
        <v>261659</v>
      </c>
      <c r="K667">
        <v>262603</v>
      </c>
      <c r="L667" t="s">
        <v>1637</v>
      </c>
      <c r="M667">
        <v>315</v>
      </c>
      <c r="N667" t="s">
        <v>108</v>
      </c>
      <c r="O667">
        <v>44</v>
      </c>
      <c r="P667" t="str">
        <f>HYPERLINK("Gene241-zp_tree_all.dnd", "Gene241-tree")</f>
        <v>Gene241-tree</v>
      </c>
      <c r="Q667">
        <v>9</v>
      </c>
      <c r="R667">
        <v>6</v>
      </c>
      <c r="S667">
        <v>9</v>
      </c>
      <c r="T667">
        <v>6</v>
      </c>
      <c r="U667">
        <v>0.4</v>
      </c>
      <c r="V667" t="s">
        <v>135</v>
      </c>
      <c r="W667" t="s">
        <v>90</v>
      </c>
      <c r="X667" t="s">
        <v>62</v>
      </c>
      <c r="Y667" t="s">
        <v>62</v>
      </c>
      <c r="Z667">
        <v>4</v>
      </c>
      <c r="AA667">
        <v>9</v>
      </c>
      <c r="AB667">
        <v>9</v>
      </c>
      <c r="AC667">
        <v>0.5</v>
      </c>
      <c r="AD667" s="47">
        <v>0</v>
      </c>
      <c r="AE667" s="47">
        <v>0</v>
      </c>
      <c r="AF667" s="47">
        <v>0</v>
      </c>
      <c r="AG667" s="47">
        <v>0</v>
      </c>
      <c r="AH667" s="47">
        <v>0</v>
      </c>
      <c r="AI667" s="47">
        <v>0</v>
      </c>
      <c r="AJ667" s="47">
        <v>0</v>
      </c>
      <c r="AK667" s="47">
        <v>0</v>
      </c>
      <c r="AL667">
        <v>7</v>
      </c>
      <c r="AM667">
        <v>0</v>
      </c>
      <c r="AN667">
        <v>12</v>
      </c>
      <c r="AO667">
        <v>12</v>
      </c>
      <c r="AP667">
        <v>30</v>
      </c>
      <c r="AQ667">
        <v>7</v>
      </c>
      <c r="AR667">
        <v>29</v>
      </c>
      <c r="AS667">
        <v>13</v>
      </c>
      <c r="AT667" t="s">
        <v>1638</v>
      </c>
      <c r="AU667" t="s">
        <v>1639</v>
      </c>
      <c r="AV667">
        <v>0.88</v>
      </c>
      <c r="AW667" t="s">
        <v>65</v>
      </c>
      <c r="AX667">
        <v>59</v>
      </c>
      <c r="AY667">
        <v>20</v>
      </c>
      <c r="AZ667" t="s">
        <v>1640</v>
      </c>
      <c r="BA667">
        <v>5.5780000000000003E-2</v>
      </c>
      <c r="BB667">
        <v>-1.9300000000000001E-3</v>
      </c>
      <c r="BC667">
        <v>6.6800000000000002E-3</v>
      </c>
      <c r="BD667">
        <v>-2.9999999999999997E-4</v>
      </c>
      <c r="BE667">
        <v>0.11981</v>
      </c>
      <c r="BF667">
        <v>1</v>
      </c>
      <c r="BG667" t="s">
        <v>69</v>
      </c>
      <c r="BH667">
        <v>-0.38</v>
      </c>
      <c r="BI667">
        <v>-1.2070000000000001</v>
      </c>
    </row>
    <row r="668" spans="3:61">
      <c r="C668">
        <v>0</v>
      </c>
      <c r="D668">
        <v>8</v>
      </c>
      <c r="E668">
        <v>0</v>
      </c>
      <c r="F668" t="s">
        <v>25021</v>
      </c>
      <c r="G668">
        <v>788</v>
      </c>
      <c r="H668" t="s">
        <v>4897</v>
      </c>
      <c r="I668" t="s">
        <v>62</v>
      </c>
      <c r="J668">
        <v>825790</v>
      </c>
      <c r="K668">
        <v>826734</v>
      </c>
      <c r="L668" t="s">
        <v>4898</v>
      </c>
      <c r="M668">
        <v>315</v>
      </c>
      <c r="N668" t="s">
        <v>3479</v>
      </c>
      <c r="O668">
        <v>41</v>
      </c>
      <c r="P668" t="str">
        <f>HYPERLINK("Gene788-zp_tree_all.dnd", "Gene788-tree")</f>
        <v>Gene788-tree</v>
      </c>
      <c r="Q668">
        <v>5</v>
      </c>
      <c r="R668">
        <v>10</v>
      </c>
      <c r="S668">
        <v>5</v>
      </c>
      <c r="T668">
        <v>10</v>
      </c>
      <c r="U668">
        <v>0.66666999999999998</v>
      </c>
      <c r="V668" t="s">
        <v>199</v>
      </c>
      <c r="W668" t="s">
        <v>117</v>
      </c>
      <c r="X668" t="s">
        <v>62</v>
      </c>
      <c r="Y668" t="s">
        <v>62</v>
      </c>
      <c r="Z668">
        <v>3</v>
      </c>
      <c r="AA668">
        <v>8</v>
      </c>
      <c r="AB668">
        <v>16</v>
      </c>
      <c r="AC668">
        <v>0.33333000000000002</v>
      </c>
      <c r="AD668" s="47">
        <v>0</v>
      </c>
      <c r="AE668" s="47">
        <v>0</v>
      </c>
      <c r="AF668" s="47">
        <v>0</v>
      </c>
      <c r="AG668" s="47">
        <v>2</v>
      </c>
      <c r="AH668" s="47">
        <v>0</v>
      </c>
      <c r="AI668" s="47">
        <v>6</v>
      </c>
      <c r="AJ668" s="47">
        <v>0</v>
      </c>
      <c r="AK668" s="47">
        <v>6</v>
      </c>
      <c r="AL668">
        <v>9</v>
      </c>
      <c r="AM668">
        <v>0.4</v>
      </c>
      <c r="AN668">
        <v>13</v>
      </c>
      <c r="AO668">
        <v>9</v>
      </c>
      <c r="AP668">
        <v>27</v>
      </c>
      <c r="AQ668">
        <v>15</v>
      </c>
      <c r="AR668">
        <v>30</v>
      </c>
      <c r="AS668">
        <v>9</v>
      </c>
      <c r="AT668" t="s">
        <v>4899</v>
      </c>
      <c r="AU668" t="s">
        <v>4900</v>
      </c>
      <c r="AV668">
        <v>0.39600000000000002</v>
      </c>
      <c r="AW668" t="s">
        <v>65</v>
      </c>
      <c r="AX668">
        <v>57</v>
      </c>
      <c r="AY668">
        <v>24</v>
      </c>
      <c r="AZ668" t="s">
        <v>4901</v>
      </c>
      <c r="BA668">
        <v>5.8869999999999999E-2</v>
      </c>
      <c r="BB668">
        <v>-5.3800000000000002E-3</v>
      </c>
      <c r="BC668">
        <v>5.9899999999999997E-3</v>
      </c>
      <c r="BD668">
        <v>-3.6000000000000002E-4</v>
      </c>
      <c r="BE668">
        <v>0.1017</v>
      </c>
      <c r="BF668">
        <v>1</v>
      </c>
      <c r="BG668" t="s">
        <v>69</v>
      </c>
      <c r="BH668">
        <v>-1.387</v>
      </c>
      <c r="BI668">
        <v>-0.59799999999999998</v>
      </c>
    </row>
    <row r="669" spans="3:61">
      <c r="C669">
        <v>0</v>
      </c>
      <c r="D669">
        <v>11</v>
      </c>
      <c r="E669">
        <v>0</v>
      </c>
      <c r="F669" t="s">
        <v>25021</v>
      </c>
      <c r="G669">
        <v>3459</v>
      </c>
      <c r="H669" t="s">
        <v>20253</v>
      </c>
      <c r="I669" t="s">
        <v>57</v>
      </c>
      <c r="J669">
        <v>3418474</v>
      </c>
      <c r="K669">
        <v>3419418</v>
      </c>
      <c r="L669" t="s">
        <v>20254</v>
      </c>
      <c r="M669">
        <v>315</v>
      </c>
      <c r="N669" t="s">
        <v>108</v>
      </c>
      <c r="O669">
        <v>44</v>
      </c>
      <c r="P669" t="str">
        <f>HYPERLINK("Gene3459-zp_tree_all.dnd", "Gene3459-tree")</f>
        <v>Gene3459-tree</v>
      </c>
      <c r="Q669">
        <v>3</v>
      </c>
      <c r="R669">
        <v>11</v>
      </c>
      <c r="S669">
        <v>3</v>
      </c>
      <c r="T669">
        <v>11</v>
      </c>
      <c r="U669">
        <v>0.78571000000000002</v>
      </c>
      <c r="V669" t="s">
        <v>324</v>
      </c>
      <c r="W669" t="s">
        <v>73</v>
      </c>
      <c r="X669">
        <v>305230034.74400002</v>
      </c>
      <c r="Y669" t="s">
        <v>267</v>
      </c>
      <c r="Z669">
        <v>4</v>
      </c>
      <c r="AA669">
        <v>11</v>
      </c>
      <c r="AB669">
        <v>10</v>
      </c>
      <c r="AC669">
        <v>0.52381</v>
      </c>
      <c r="AD669" s="47">
        <v>0</v>
      </c>
      <c r="AE669" s="47">
        <v>0</v>
      </c>
      <c r="AF669" s="47">
        <v>0</v>
      </c>
      <c r="AG669" s="47">
        <v>0</v>
      </c>
      <c r="AH669" s="47">
        <v>0</v>
      </c>
      <c r="AI669" s="47">
        <v>5</v>
      </c>
      <c r="AJ669" s="47">
        <v>0</v>
      </c>
      <c r="AK669" s="47">
        <v>5</v>
      </c>
      <c r="AL669">
        <v>7</v>
      </c>
      <c r="AM669">
        <v>0.41666999999999998</v>
      </c>
      <c r="AN669">
        <v>12</v>
      </c>
      <c r="AO669">
        <v>8</v>
      </c>
      <c r="AP669">
        <v>29</v>
      </c>
      <c r="AQ669">
        <v>11</v>
      </c>
      <c r="AR669">
        <v>31</v>
      </c>
      <c r="AS669">
        <v>10</v>
      </c>
      <c r="AT669" t="s">
        <v>20255</v>
      </c>
      <c r="AU669" t="s">
        <v>20256</v>
      </c>
      <c r="AV669">
        <v>0.32600000000000001</v>
      </c>
      <c r="AW669" t="s">
        <v>65</v>
      </c>
      <c r="AX669">
        <v>60</v>
      </c>
      <c r="AY669">
        <v>21</v>
      </c>
      <c r="AZ669" t="s">
        <v>20257</v>
      </c>
      <c r="BA669">
        <v>6.0569999999999999E-2</v>
      </c>
      <c r="BB669">
        <v>-3.0799999999999998E-3</v>
      </c>
      <c r="BC669">
        <v>5.9699999999999996E-3</v>
      </c>
      <c r="BD669">
        <v>-2.4000000000000001E-4</v>
      </c>
      <c r="BE669">
        <v>9.8570000000000005E-2</v>
      </c>
      <c r="BF669">
        <v>1</v>
      </c>
      <c r="BG669" t="s">
        <v>69</v>
      </c>
      <c r="BH669">
        <v>-0.29399999999999998</v>
      </c>
      <c r="BI669">
        <v>-0.42099999999999999</v>
      </c>
    </row>
    <row r="670" spans="3:61">
      <c r="C670">
        <v>0</v>
      </c>
      <c r="D670">
        <v>22</v>
      </c>
      <c r="E670">
        <v>3</v>
      </c>
      <c r="F670" t="s">
        <v>25021</v>
      </c>
      <c r="G670">
        <v>3203</v>
      </c>
      <c r="H670" t="s">
        <v>18649</v>
      </c>
      <c r="I670" t="s">
        <v>57</v>
      </c>
      <c r="J670">
        <v>3157008</v>
      </c>
      <c r="K670">
        <v>3157955</v>
      </c>
      <c r="L670" t="s">
        <v>18650</v>
      </c>
      <c r="M670">
        <v>316</v>
      </c>
      <c r="N670" t="s">
        <v>108</v>
      </c>
      <c r="O670">
        <v>44</v>
      </c>
      <c r="P670" t="str">
        <f>HYPERLINK("Gene3203-zp_tree_all.dnd", "Gene3203-tree")</f>
        <v>Gene3203-tree</v>
      </c>
      <c r="Q670">
        <v>3</v>
      </c>
      <c r="R670">
        <v>31</v>
      </c>
      <c r="S670">
        <v>3</v>
      </c>
      <c r="T670">
        <v>12</v>
      </c>
      <c r="U670">
        <v>0.8</v>
      </c>
      <c r="V670" t="s">
        <v>324</v>
      </c>
      <c r="W670" t="s">
        <v>5000</v>
      </c>
      <c r="X670">
        <v>0.89600000000000002</v>
      </c>
      <c r="Y670" t="s">
        <v>65</v>
      </c>
      <c r="Z670">
        <v>10</v>
      </c>
      <c r="AA670">
        <v>25</v>
      </c>
      <c r="AB670">
        <v>11</v>
      </c>
      <c r="AC670">
        <v>0.69443999999999995</v>
      </c>
      <c r="AD670" s="47">
        <v>0</v>
      </c>
      <c r="AE670" s="47">
        <v>0</v>
      </c>
      <c r="AF670" s="47">
        <v>0</v>
      </c>
      <c r="AG670" s="47">
        <v>0</v>
      </c>
      <c r="AH670" s="47">
        <v>0</v>
      </c>
      <c r="AI670" s="47">
        <v>13</v>
      </c>
      <c r="AJ670" s="47">
        <v>2</v>
      </c>
      <c r="AK670" s="47">
        <v>15</v>
      </c>
      <c r="AL670">
        <v>11</v>
      </c>
      <c r="AM670">
        <v>0.57691999999999999</v>
      </c>
      <c r="AN670">
        <v>13</v>
      </c>
      <c r="AO670">
        <v>10</v>
      </c>
      <c r="AP670">
        <v>40</v>
      </c>
      <c r="AQ670">
        <v>24</v>
      </c>
      <c r="AR670">
        <v>15</v>
      </c>
      <c r="AS670">
        <v>12</v>
      </c>
      <c r="AT670" t="s">
        <v>18651</v>
      </c>
      <c r="AU670" t="s">
        <v>18652</v>
      </c>
      <c r="AV670">
        <v>0.40600000000000003</v>
      </c>
      <c r="AW670" t="s">
        <v>65</v>
      </c>
      <c r="AX670">
        <v>55</v>
      </c>
      <c r="AY670">
        <v>36</v>
      </c>
      <c r="AZ670" t="s">
        <v>18653</v>
      </c>
      <c r="BA670">
        <v>4.2360000000000002E-2</v>
      </c>
      <c r="BB670">
        <v>-2.2100000000000002E-3</v>
      </c>
      <c r="BC670">
        <v>8.6300000000000005E-3</v>
      </c>
      <c r="BD670">
        <v>-3.6999999999999999E-4</v>
      </c>
      <c r="BE670">
        <v>0.20362</v>
      </c>
      <c r="BF670">
        <v>1</v>
      </c>
      <c r="BG670" t="s">
        <v>69</v>
      </c>
      <c r="BH670">
        <v>-0.91100000000000003</v>
      </c>
      <c r="BI670">
        <v>-2.1779999999999999</v>
      </c>
    </row>
    <row r="671" spans="3:61">
      <c r="C671">
        <v>0</v>
      </c>
      <c r="D671">
        <v>13</v>
      </c>
      <c r="E671">
        <v>2</v>
      </c>
      <c r="F671" t="s">
        <v>25021</v>
      </c>
      <c r="G671">
        <v>2064</v>
      </c>
      <c r="H671" t="s">
        <v>12857</v>
      </c>
      <c r="I671" t="s">
        <v>57</v>
      </c>
      <c r="J671">
        <v>2149084</v>
      </c>
      <c r="K671">
        <v>2150034</v>
      </c>
      <c r="L671" t="s">
        <v>12830</v>
      </c>
      <c r="M671">
        <v>317</v>
      </c>
      <c r="N671" t="s">
        <v>108</v>
      </c>
      <c r="O671">
        <v>44</v>
      </c>
      <c r="P671" t="str">
        <f>HYPERLINK("Gene2064-zp_tree_all.dnd", "Gene2064-tree")</f>
        <v>Gene2064-tree</v>
      </c>
      <c r="Q671">
        <v>6</v>
      </c>
      <c r="R671">
        <v>11</v>
      </c>
      <c r="S671">
        <v>6</v>
      </c>
      <c r="T671">
        <v>11</v>
      </c>
      <c r="U671">
        <v>0.64705999999999997</v>
      </c>
      <c r="V671" t="s">
        <v>90</v>
      </c>
      <c r="W671" t="s">
        <v>73</v>
      </c>
      <c r="X671">
        <v>95384385.856999993</v>
      </c>
      <c r="Y671" t="s">
        <v>267</v>
      </c>
      <c r="Z671">
        <v>7</v>
      </c>
      <c r="AA671">
        <v>15</v>
      </c>
      <c r="AB671">
        <v>27</v>
      </c>
      <c r="AC671">
        <v>0.35714000000000001</v>
      </c>
      <c r="AD671" s="47">
        <v>0</v>
      </c>
      <c r="AE671" s="47">
        <v>0</v>
      </c>
      <c r="AF671" s="47">
        <v>0</v>
      </c>
      <c r="AG671" s="47">
        <v>1</v>
      </c>
      <c r="AH671" s="47">
        <v>0</v>
      </c>
      <c r="AI671" s="47">
        <v>4</v>
      </c>
      <c r="AJ671" s="47">
        <v>0</v>
      </c>
      <c r="AK671" s="47">
        <v>4</v>
      </c>
      <c r="AL671">
        <v>15</v>
      </c>
      <c r="AM671">
        <v>0.21052999999999999</v>
      </c>
      <c r="AN671">
        <v>15</v>
      </c>
      <c r="AO671">
        <v>10</v>
      </c>
      <c r="AP671">
        <v>18</v>
      </c>
      <c r="AQ671">
        <v>19</v>
      </c>
      <c r="AR671">
        <v>16</v>
      </c>
      <c r="AS671">
        <v>24</v>
      </c>
      <c r="AT671" t="s">
        <v>12858</v>
      </c>
      <c r="AU671" t="s">
        <v>12859</v>
      </c>
      <c r="AV671">
        <v>0.155</v>
      </c>
      <c r="AW671" t="s">
        <v>65</v>
      </c>
      <c r="AX671">
        <v>34</v>
      </c>
      <c r="AY671">
        <v>43</v>
      </c>
      <c r="AZ671" t="s">
        <v>12860</v>
      </c>
      <c r="BA671">
        <v>4.2680000000000003E-2</v>
      </c>
      <c r="BB671">
        <v>-2.3900000000000002E-3</v>
      </c>
      <c r="BC671">
        <v>1.67E-2</v>
      </c>
      <c r="BD671">
        <v>-9.2000000000000003E-4</v>
      </c>
      <c r="BE671">
        <v>0.39138000000000001</v>
      </c>
      <c r="BF671">
        <v>0.97</v>
      </c>
      <c r="BG671" t="s">
        <v>69</v>
      </c>
      <c r="BH671">
        <v>0.61399999999999999</v>
      </c>
      <c r="BI671">
        <v>-0.56000000000000005</v>
      </c>
    </row>
    <row r="672" spans="3:61">
      <c r="C672">
        <v>0</v>
      </c>
      <c r="D672">
        <v>9</v>
      </c>
      <c r="E672">
        <v>2</v>
      </c>
      <c r="F672" t="s">
        <v>25021</v>
      </c>
      <c r="G672">
        <v>164</v>
      </c>
      <c r="H672" t="s">
        <v>1159</v>
      </c>
      <c r="I672" t="s">
        <v>62</v>
      </c>
      <c r="J672">
        <v>182373</v>
      </c>
      <c r="K672">
        <v>183323</v>
      </c>
      <c r="L672" t="s">
        <v>1160</v>
      </c>
      <c r="M672">
        <v>317</v>
      </c>
      <c r="N672" t="s">
        <v>465</v>
      </c>
      <c r="O672">
        <v>46</v>
      </c>
      <c r="P672" t="str">
        <f>HYPERLINK("Gene164-zp_tree_all.dnd", "Gene164-tree")</f>
        <v>Gene164-tree</v>
      </c>
      <c r="Q672">
        <v>10</v>
      </c>
      <c r="R672">
        <v>7</v>
      </c>
      <c r="S672">
        <v>10</v>
      </c>
      <c r="T672">
        <v>7</v>
      </c>
      <c r="U672">
        <v>0.41176000000000001</v>
      </c>
      <c r="V672" t="s">
        <v>117</v>
      </c>
      <c r="W672" t="s">
        <v>152</v>
      </c>
      <c r="X672" t="s">
        <v>62</v>
      </c>
      <c r="Y672" t="s">
        <v>62</v>
      </c>
      <c r="Z672">
        <v>4</v>
      </c>
      <c r="AA672">
        <v>11</v>
      </c>
      <c r="AB672">
        <v>7</v>
      </c>
      <c r="AC672">
        <v>0.61111000000000004</v>
      </c>
      <c r="AD672" s="47">
        <v>0</v>
      </c>
      <c r="AE672" s="47">
        <v>0</v>
      </c>
      <c r="AF672" s="47">
        <v>0</v>
      </c>
      <c r="AG672" s="47">
        <v>1</v>
      </c>
      <c r="AH672" s="47">
        <v>0</v>
      </c>
      <c r="AI672" s="47">
        <v>0</v>
      </c>
      <c r="AJ672" s="47">
        <v>0</v>
      </c>
      <c r="AK672" s="47">
        <v>0</v>
      </c>
      <c r="AL672">
        <v>8</v>
      </c>
      <c r="AM672">
        <v>0</v>
      </c>
      <c r="AN672">
        <v>14</v>
      </c>
      <c r="AO672">
        <v>14</v>
      </c>
      <c r="AP672">
        <v>25</v>
      </c>
      <c r="AQ672">
        <v>7</v>
      </c>
      <c r="AR672">
        <v>47</v>
      </c>
      <c r="AS672">
        <v>11</v>
      </c>
      <c r="AT672" t="s">
        <v>1161</v>
      </c>
      <c r="AU672" t="s">
        <v>1162</v>
      </c>
      <c r="AV672">
        <v>0.14699999999999999</v>
      </c>
      <c r="AW672" t="s">
        <v>65</v>
      </c>
      <c r="AX672">
        <v>72</v>
      </c>
      <c r="AY672">
        <v>18</v>
      </c>
      <c r="AZ672" t="s">
        <v>1163</v>
      </c>
      <c r="BA672">
        <v>7.4160000000000004E-2</v>
      </c>
      <c r="BB672">
        <v>-4.7800000000000004E-3</v>
      </c>
      <c r="BC672">
        <v>3.65E-3</v>
      </c>
      <c r="BD672">
        <v>-2.4000000000000001E-4</v>
      </c>
      <c r="BE672">
        <v>4.9189999999999998E-2</v>
      </c>
      <c r="BF672">
        <v>1</v>
      </c>
      <c r="BG672" t="s">
        <v>69</v>
      </c>
      <c r="BH672">
        <v>-1.0860000000000001</v>
      </c>
      <c r="BI672">
        <v>-0.182</v>
      </c>
    </row>
    <row r="673" spans="3:61">
      <c r="C673">
        <v>0</v>
      </c>
      <c r="D673">
        <v>27</v>
      </c>
      <c r="E673">
        <v>4</v>
      </c>
      <c r="F673" t="s">
        <v>25021</v>
      </c>
      <c r="G673">
        <v>274</v>
      </c>
      <c r="H673" t="s">
        <v>1869</v>
      </c>
      <c r="I673" t="s">
        <v>62</v>
      </c>
      <c r="J673">
        <v>294618</v>
      </c>
      <c r="K673">
        <v>295571</v>
      </c>
      <c r="L673" t="s">
        <v>1870</v>
      </c>
      <c r="M673">
        <v>318</v>
      </c>
      <c r="N673" t="s">
        <v>1871</v>
      </c>
      <c r="O673">
        <v>41</v>
      </c>
      <c r="P673" t="str">
        <f>HYPERLINK("Gene274-zp_tree_all.dnd", "Gene274-tree")</f>
        <v>Gene274-tree</v>
      </c>
      <c r="Q673">
        <v>2</v>
      </c>
      <c r="R673">
        <v>13</v>
      </c>
      <c r="S673">
        <v>2</v>
      </c>
      <c r="T673">
        <v>13</v>
      </c>
      <c r="U673">
        <v>0.86667000000000005</v>
      </c>
      <c r="V673" t="s">
        <v>81</v>
      </c>
      <c r="W673" t="s">
        <v>507</v>
      </c>
      <c r="X673" t="s">
        <v>62</v>
      </c>
      <c r="Y673" t="s">
        <v>62</v>
      </c>
      <c r="Z673">
        <v>12</v>
      </c>
      <c r="AA673">
        <v>31</v>
      </c>
      <c r="AB673">
        <v>25</v>
      </c>
      <c r="AC673">
        <v>0.55357000000000001</v>
      </c>
      <c r="AD673" s="47">
        <v>0</v>
      </c>
      <c r="AE673" s="47">
        <v>0</v>
      </c>
      <c r="AF673" s="47">
        <v>0</v>
      </c>
      <c r="AG673" s="47">
        <v>0</v>
      </c>
      <c r="AH673" s="47">
        <v>0</v>
      </c>
      <c r="AI673" s="47">
        <v>4</v>
      </c>
      <c r="AJ673" s="47">
        <v>2</v>
      </c>
      <c r="AK673" s="47">
        <v>6</v>
      </c>
      <c r="AL673">
        <v>25</v>
      </c>
      <c r="AM673">
        <v>0.19355</v>
      </c>
      <c r="AN673">
        <v>14</v>
      </c>
      <c r="AO673">
        <v>12</v>
      </c>
      <c r="AP673">
        <v>34</v>
      </c>
      <c r="AQ673">
        <v>28</v>
      </c>
      <c r="AR673">
        <v>20</v>
      </c>
      <c r="AS673">
        <v>30</v>
      </c>
      <c r="AT673" t="s">
        <v>1872</v>
      </c>
      <c r="AU673" t="s">
        <v>1873</v>
      </c>
      <c r="AV673">
        <v>1.079</v>
      </c>
      <c r="AW673" t="s">
        <v>65</v>
      </c>
      <c r="AX673">
        <v>54</v>
      </c>
      <c r="AY673">
        <v>58</v>
      </c>
      <c r="AZ673" t="s">
        <v>1874</v>
      </c>
      <c r="BA673">
        <v>4.3319999999999997E-2</v>
      </c>
      <c r="BB673">
        <v>-1.3600000000000001E-3</v>
      </c>
      <c r="BC673">
        <v>1.5049999999999999E-2</v>
      </c>
      <c r="BD673">
        <v>-5.1999999999999995E-4</v>
      </c>
      <c r="BE673">
        <v>0.34736</v>
      </c>
      <c r="BF673">
        <v>1</v>
      </c>
      <c r="BG673" t="s">
        <v>69</v>
      </c>
      <c r="BH673">
        <v>-0.77500000000000002</v>
      </c>
      <c r="BI673">
        <v>-0.78200000000000003</v>
      </c>
    </row>
    <row r="674" spans="3:61">
      <c r="C674">
        <v>0</v>
      </c>
      <c r="D674">
        <v>9</v>
      </c>
      <c r="E674">
        <v>4</v>
      </c>
      <c r="F674" t="s">
        <v>25021</v>
      </c>
      <c r="G674">
        <v>2551</v>
      </c>
      <c r="H674" t="s">
        <v>14909</v>
      </c>
      <c r="I674" t="s">
        <v>57</v>
      </c>
      <c r="J674">
        <v>2541051</v>
      </c>
      <c r="K674">
        <v>2542004</v>
      </c>
      <c r="L674" t="s">
        <v>116</v>
      </c>
      <c r="M674">
        <v>318</v>
      </c>
      <c r="N674" t="s">
        <v>108</v>
      </c>
      <c r="O674">
        <v>44</v>
      </c>
      <c r="P674" t="str">
        <f>HYPERLINK("Gene2551-zp_tree_all.dnd", "Gene2551-tree")</f>
        <v>Gene2551-tree</v>
      </c>
      <c r="Q674">
        <v>7</v>
      </c>
      <c r="R674">
        <v>10</v>
      </c>
      <c r="S674">
        <v>7</v>
      </c>
      <c r="T674">
        <v>10</v>
      </c>
      <c r="U674">
        <v>0.58823999999999999</v>
      </c>
      <c r="V674" t="s">
        <v>152</v>
      </c>
      <c r="W674" t="s">
        <v>117</v>
      </c>
      <c r="X674" t="s">
        <v>62</v>
      </c>
      <c r="Y674" t="s">
        <v>62</v>
      </c>
      <c r="Z674">
        <v>4</v>
      </c>
      <c r="AA674">
        <v>13</v>
      </c>
      <c r="AB674">
        <v>7</v>
      </c>
      <c r="AC674">
        <v>0.65</v>
      </c>
      <c r="AD674" s="47">
        <v>0</v>
      </c>
      <c r="AE674" s="47">
        <v>0</v>
      </c>
      <c r="AF674" s="47">
        <v>0</v>
      </c>
      <c r="AG674" s="47">
        <v>1</v>
      </c>
      <c r="AH674" s="47">
        <v>0</v>
      </c>
      <c r="AI674" s="47">
        <v>4</v>
      </c>
      <c r="AJ674" s="47">
        <v>2</v>
      </c>
      <c r="AK674" s="47">
        <v>6</v>
      </c>
      <c r="AL674">
        <v>7</v>
      </c>
      <c r="AM674">
        <v>0.46154000000000001</v>
      </c>
      <c r="AN674">
        <v>14</v>
      </c>
      <c r="AO674">
        <v>10</v>
      </c>
      <c r="AP674">
        <v>24</v>
      </c>
      <c r="AQ674">
        <v>13</v>
      </c>
      <c r="AR674">
        <v>18</v>
      </c>
      <c r="AS674">
        <v>7</v>
      </c>
      <c r="AT674" t="s">
        <v>14910</v>
      </c>
      <c r="AU674" t="s">
        <v>14911</v>
      </c>
      <c r="AV674">
        <v>0.47599999999999998</v>
      </c>
      <c r="AW674" t="s">
        <v>65</v>
      </c>
      <c r="AX674">
        <v>42</v>
      </c>
      <c r="AY674">
        <v>20</v>
      </c>
      <c r="AZ674" t="s">
        <v>14912</v>
      </c>
      <c r="BA674">
        <v>2.962E-2</v>
      </c>
      <c r="BB674">
        <v>-1.15E-3</v>
      </c>
      <c r="BC674">
        <v>3.3400000000000001E-3</v>
      </c>
      <c r="BD674">
        <v>-1.7000000000000001E-4</v>
      </c>
      <c r="BE674">
        <v>0.11285000000000001</v>
      </c>
      <c r="BF674">
        <v>1</v>
      </c>
      <c r="BG674" t="s">
        <v>69</v>
      </c>
      <c r="BH674">
        <v>-0.57799999999999996</v>
      </c>
      <c r="BI674">
        <v>-0.85499999999999998</v>
      </c>
    </row>
    <row r="675" spans="3:61">
      <c r="C675">
        <v>0</v>
      </c>
      <c r="D675">
        <v>16</v>
      </c>
      <c r="E675">
        <v>2</v>
      </c>
      <c r="F675" t="s">
        <v>25021</v>
      </c>
      <c r="G675">
        <v>4079</v>
      </c>
      <c r="H675" t="s">
        <v>24009</v>
      </c>
      <c r="I675" t="s">
        <v>57</v>
      </c>
      <c r="J675">
        <v>4046503</v>
      </c>
      <c r="K675">
        <v>4047459</v>
      </c>
      <c r="L675" t="s">
        <v>24010</v>
      </c>
      <c r="M675">
        <v>319</v>
      </c>
      <c r="N675" t="s">
        <v>2289</v>
      </c>
      <c r="O675">
        <v>37</v>
      </c>
      <c r="P675" t="str">
        <f>HYPERLINK("Gene4079-zp_tree_all.dnd", "Gene4079-tree")</f>
        <v>Gene4079-tree</v>
      </c>
      <c r="Q675">
        <v>10</v>
      </c>
      <c r="R675">
        <v>5</v>
      </c>
      <c r="S675">
        <v>10</v>
      </c>
      <c r="T675">
        <v>5</v>
      </c>
      <c r="U675">
        <v>0.33333000000000002</v>
      </c>
      <c r="V675" t="s">
        <v>117</v>
      </c>
      <c r="W675" t="s">
        <v>199</v>
      </c>
      <c r="X675" t="s">
        <v>62</v>
      </c>
      <c r="Y675" t="s">
        <v>62</v>
      </c>
      <c r="Z675">
        <v>8</v>
      </c>
      <c r="AA675">
        <v>18</v>
      </c>
      <c r="AB675">
        <v>7</v>
      </c>
      <c r="AC675">
        <v>0.72</v>
      </c>
      <c r="AD675" s="47">
        <v>0</v>
      </c>
      <c r="AE675" s="47">
        <v>0</v>
      </c>
      <c r="AF675" s="47">
        <v>0</v>
      </c>
      <c r="AG675" s="47">
        <v>3</v>
      </c>
      <c r="AH675" s="47">
        <v>0</v>
      </c>
      <c r="AI675" s="47">
        <v>2</v>
      </c>
      <c r="AJ675" s="47">
        <v>0</v>
      </c>
      <c r="AK675" s="47">
        <v>2</v>
      </c>
      <c r="AL675">
        <v>8</v>
      </c>
      <c r="AM675">
        <v>0.2</v>
      </c>
      <c r="AN675">
        <v>13</v>
      </c>
      <c r="AO675">
        <v>9</v>
      </c>
      <c r="AP675">
        <v>27</v>
      </c>
      <c r="AQ675">
        <v>11</v>
      </c>
      <c r="AR675">
        <v>27</v>
      </c>
      <c r="AS675">
        <v>15</v>
      </c>
      <c r="AT675" t="s">
        <v>24011</v>
      </c>
      <c r="AU675" t="s">
        <v>24012</v>
      </c>
      <c r="AV675">
        <v>0.27200000000000002</v>
      </c>
      <c r="AW675" t="s">
        <v>65</v>
      </c>
      <c r="AX675">
        <v>54</v>
      </c>
      <c r="AY675">
        <v>26</v>
      </c>
      <c r="AZ675" t="s">
        <v>24013</v>
      </c>
      <c r="BA675">
        <v>5.0540000000000002E-2</v>
      </c>
      <c r="BB675">
        <v>-2.2499999999999998E-3</v>
      </c>
      <c r="BC675">
        <v>7.6899999999999998E-3</v>
      </c>
      <c r="BD675">
        <v>-4.2000000000000002E-4</v>
      </c>
      <c r="BE675">
        <v>0.15225</v>
      </c>
      <c r="BF675">
        <v>1</v>
      </c>
      <c r="BG675" t="s">
        <v>69</v>
      </c>
      <c r="BH675">
        <v>-0.153</v>
      </c>
      <c r="BI675">
        <v>-0.14599999999999999</v>
      </c>
    </row>
    <row r="676" spans="3:61">
      <c r="C676">
        <v>0</v>
      </c>
      <c r="D676">
        <v>2</v>
      </c>
      <c r="E676">
        <v>0</v>
      </c>
      <c r="F676" t="s">
        <v>25021</v>
      </c>
      <c r="G676">
        <v>3276</v>
      </c>
      <c r="H676" t="s">
        <v>19113</v>
      </c>
      <c r="I676" t="s">
        <v>57</v>
      </c>
      <c r="J676">
        <v>3243657</v>
      </c>
      <c r="K676">
        <v>3244613</v>
      </c>
      <c r="L676" t="s">
        <v>19107</v>
      </c>
      <c r="M676">
        <v>319</v>
      </c>
      <c r="N676" t="s">
        <v>108</v>
      </c>
      <c r="O676">
        <v>44</v>
      </c>
      <c r="P676" t="str">
        <f>HYPERLINK("Gene3276-zp_tree_all.dnd", "Gene3276-tree")</f>
        <v>Gene3276-tree</v>
      </c>
      <c r="Q676">
        <v>9</v>
      </c>
      <c r="R676">
        <v>6</v>
      </c>
      <c r="S676">
        <v>9</v>
      </c>
      <c r="T676">
        <v>6</v>
      </c>
      <c r="U676">
        <v>0.4</v>
      </c>
      <c r="V676" t="s">
        <v>135</v>
      </c>
      <c r="W676" t="s">
        <v>90</v>
      </c>
      <c r="X676" t="s">
        <v>62</v>
      </c>
      <c r="Y676" t="s">
        <v>62</v>
      </c>
      <c r="Z676">
        <v>1</v>
      </c>
      <c r="AA676">
        <v>2</v>
      </c>
      <c r="AB676">
        <v>10</v>
      </c>
      <c r="AC676">
        <v>0.16667000000000001</v>
      </c>
      <c r="AD676" s="47">
        <v>0</v>
      </c>
      <c r="AE676" s="47">
        <v>0</v>
      </c>
      <c r="AF676" s="47">
        <v>0</v>
      </c>
      <c r="AG676" s="47">
        <v>2</v>
      </c>
      <c r="AH676" s="47">
        <v>0</v>
      </c>
      <c r="AI676" s="47">
        <v>0</v>
      </c>
      <c r="AJ676" s="47">
        <v>0</v>
      </c>
      <c r="AK676" s="47">
        <v>0</v>
      </c>
      <c r="AL676">
        <v>7</v>
      </c>
      <c r="AM676">
        <v>0</v>
      </c>
      <c r="AN676">
        <v>12</v>
      </c>
      <c r="AO676">
        <v>10</v>
      </c>
      <c r="AP676">
        <v>32</v>
      </c>
      <c r="AQ676">
        <v>7</v>
      </c>
      <c r="AR676">
        <v>24</v>
      </c>
      <c r="AS676">
        <v>5</v>
      </c>
      <c r="AT676" t="s">
        <v>19114</v>
      </c>
      <c r="AU676" t="s">
        <v>19115</v>
      </c>
      <c r="AV676">
        <v>4.3999999999999997E-2</v>
      </c>
      <c r="AW676" t="s">
        <v>65</v>
      </c>
      <c r="AX676">
        <v>56</v>
      </c>
      <c r="AY676">
        <v>12</v>
      </c>
      <c r="AZ676" t="s">
        <v>19116</v>
      </c>
      <c r="BA676">
        <v>3.7850000000000002E-2</v>
      </c>
      <c r="BB676">
        <v>-1.25E-3</v>
      </c>
      <c r="BC676">
        <v>3.1199999999999999E-3</v>
      </c>
      <c r="BD676">
        <v>-1.7000000000000001E-4</v>
      </c>
      <c r="BE676">
        <v>8.2379999999999995E-2</v>
      </c>
      <c r="BF676">
        <v>1</v>
      </c>
      <c r="BG676" t="s">
        <v>69</v>
      </c>
      <c r="BH676">
        <v>-1.177</v>
      </c>
      <c r="BI676">
        <v>-0.29199999999999998</v>
      </c>
    </row>
    <row r="677" spans="3:61">
      <c r="C677">
        <v>0</v>
      </c>
      <c r="D677">
        <v>2</v>
      </c>
      <c r="E677">
        <v>0</v>
      </c>
      <c r="F677" t="s">
        <v>25021</v>
      </c>
      <c r="G677">
        <v>833</v>
      </c>
      <c r="H677" t="s">
        <v>5191</v>
      </c>
      <c r="I677" t="s">
        <v>62</v>
      </c>
      <c r="J677">
        <v>871350</v>
      </c>
      <c r="K677">
        <v>872306</v>
      </c>
      <c r="L677" t="s">
        <v>5192</v>
      </c>
      <c r="M677">
        <v>319</v>
      </c>
      <c r="N677" t="s">
        <v>108</v>
      </c>
      <c r="O677">
        <v>44</v>
      </c>
      <c r="P677" t="str">
        <f>HYPERLINK("Gene833-zp_tree_all.dnd", "Gene833-tree")</f>
        <v>Gene833-tree</v>
      </c>
      <c r="Q677">
        <v>9</v>
      </c>
      <c r="R677">
        <v>6</v>
      </c>
      <c r="S677">
        <v>9</v>
      </c>
      <c r="T677">
        <v>6</v>
      </c>
      <c r="U677">
        <v>0.4</v>
      </c>
      <c r="V677" t="s">
        <v>135</v>
      </c>
      <c r="W677" t="s">
        <v>90</v>
      </c>
      <c r="X677" t="s">
        <v>62</v>
      </c>
      <c r="Y677" t="s">
        <v>62</v>
      </c>
      <c r="Z677">
        <v>1</v>
      </c>
      <c r="AA677">
        <v>2</v>
      </c>
      <c r="AB677">
        <v>8</v>
      </c>
      <c r="AC677">
        <v>0.2</v>
      </c>
      <c r="AD677" s="47">
        <v>0</v>
      </c>
      <c r="AE677" s="47">
        <v>0</v>
      </c>
      <c r="AF677" s="47">
        <v>0</v>
      </c>
      <c r="AG677" s="47">
        <v>0</v>
      </c>
      <c r="AH677" s="47">
        <v>0</v>
      </c>
      <c r="AI677" s="47">
        <v>2</v>
      </c>
      <c r="AJ677" s="47">
        <v>0</v>
      </c>
      <c r="AK677" s="47">
        <v>2</v>
      </c>
      <c r="AL677">
        <v>4</v>
      </c>
      <c r="AM677">
        <v>0.33333000000000002</v>
      </c>
      <c r="AN677">
        <v>13</v>
      </c>
      <c r="AO677">
        <v>8</v>
      </c>
      <c r="AP677">
        <v>42</v>
      </c>
      <c r="AQ677">
        <v>6</v>
      </c>
      <c r="AR677">
        <v>11</v>
      </c>
      <c r="AS677">
        <v>5</v>
      </c>
      <c r="AT677" t="s">
        <v>5193</v>
      </c>
      <c r="AU677" t="s">
        <v>5194</v>
      </c>
      <c r="AV677">
        <v>0.40200000000000002</v>
      </c>
      <c r="AW677" t="s">
        <v>65</v>
      </c>
      <c r="AX677">
        <v>53</v>
      </c>
      <c r="AY677">
        <v>11</v>
      </c>
      <c r="AZ677" t="s">
        <v>5195</v>
      </c>
      <c r="BA677">
        <v>3.9699999999999999E-2</v>
      </c>
      <c r="BB677">
        <v>-2.16E-3</v>
      </c>
      <c r="BC677">
        <v>2.7200000000000002E-3</v>
      </c>
      <c r="BD677">
        <v>-2.7E-4</v>
      </c>
      <c r="BE677">
        <v>6.8559999999999996E-2</v>
      </c>
      <c r="BF677">
        <v>1</v>
      </c>
      <c r="BG677" t="s">
        <v>69</v>
      </c>
      <c r="BH677">
        <v>-0.74</v>
      </c>
      <c r="BI677">
        <v>0.184</v>
      </c>
    </row>
    <row r="678" spans="3:61">
      <c r="C678">
        <v>0</v>
      </c>
      <c r="D678">
        <v>4</v>
      </c>
      <c r="E678">
        <v>0</v>
      </c>
      <c r="F678" t="s">
        <v>25021</v>
      </c>
      <c r="G678">
        <v>1370</v>
      </c>
      <c r="H678" t="s">
        <v>8572</v>
      </c>
      <c r="I678" t="s">
        <v>62</v>
      </c>
      <c r="J678">
        <v>1386027</v>
      </c>
      <c r="K678">
        <v>1386983</v>
      </c>
      <c r="L678" t="s">
        <v>8573</v>
      </c>
      <c r="M678">
        <v>319</v>
      </c>
      <c r="N678" t="s">
        <v>108</v>
      </c>
      <c r="O678">
        <v>44</v>
      </c>
      <c r="P678" t="str">
        <f>HYPERLINK("Gene1370-zp_tree_all.dnd", "Gene1370-tree")</f>
        <v>Gene1370-tree</v>
      </c>
      <c r="Q678">
        <v>6</v>
      </c>
      <c r="R678">
        <v>6</v>
      </c>
      <c r="S678">
        <v>6</v>
      </c>
      <c r="T678">
        <v>6</v>
      </c>
      <c r="U678">
        <v>0.5</v>
      </c>
      <c r="V678" t="s">
        <v>90</v>
      </c>
      <c r="W678" t="s">
        <v>90</v>
      </c>
      <c r="X678" t="s">
        <v>62</v>
      </c>
      <c r="Y678" t="s">
        <v>62</v>
      </c>
      <c r="Z678">
        <v>2</v>
      </c>
      <c r="AA678">
        <v>4</v>
      </c>
      <c r="AB678">
        <v>4</v>
      </c>
      <c r="AC678">
        <v>0.5</v>
      </c>
      <c r="AD678" s="47">
        <v>0</v>
      </c>
      <c r="AE678" s="47">
        <v>0</v>
      </c>
      <c r="AF678" s="47">
        <v>0</v>
      </c>
      <c r="AG678" s="47">
        <v>0</v>
      </c>
      <c r="AH678" s="47">
        <v>0</v>
      </c>
      <c r="AI678" s="47">
        <v>4</v>
      </c>
      <c r="AJ678" s="47">
        <v>0</v>
      </c>
      <c r="AK678" s="47">
        <v>4</v>
      </c>
      <c r="AL678">
        <v>3</v>
      </c>
      <c r="AM678">
        <v>0.57142999999999999</v>
      </c>
      <c r="AN678">
        <v>9</v>
      </c>
      <c r="AO678">
        <v>6</v>
      </c>
      <c r="AP678">
        <v>24</v>
      </c>
      <c r="AQ678">
        <v>7</v>
      </c>
      <c r="AR678">
        <v>10</v>
      </c>
      <c r="AS678">
        <v>1</v>
      </c>
      <c r="AT678" t="s">
        <v>8574</v>
      </c>
      <c r="AU678" t="s">
        <v>8575</v>
      </c>
      <c r="AV678">
        <v>0.77300000000000002</v>
      </c>
      <c r="AW678" t="s">
        <v>65</v>
      </c>
      <c r="AX678">
        <v>34</v>
      </c>
      <c r="AY678">
        <v>8</v>
      </c>
      <c r="AZ678" t="s">
        <v>8576</v>
      </c>
      <c r="BA678">
        <v>2.9929999999999998E-2</v>
      </c>
      <c r="BB678">
        <v>-1.65E-3</v>
      </c>
      <c r="BC678">
        <v>1.9300000000000001E-3</v>
      </c>
      <c r="BD678">
        <v>-1.6000000000000001E-4</v>
      </c>
      <c r="BE678">
        <v>6.4560000000000006E-2</v>
      </c>
      <c r="BF678">
        <v>1</v>
      </c>
      <c r="BG678" t="s">
        <v>69</v>
      </c>
      <c r="BH678">
        <v>-0.59199999999999997</v>
      </c>
      <c r="BI678">
        <v>-2.0329999999999999</v>
      </c>
    </row>
    <row r="679" spans="3:61">
      <c r="C679">
        <v>0</v>
      </c>
      <c r="D679">
        <v>13</v>
      </c>
      <c r="E679">
        <v>2</v>
      </c>
      <c r="F679" t="s">
        <v>25021</v>
      </c>
      <c r="G679">
        <v>3856</v>
      </c>
      <c r="H679" t="s">
        <v>22606</v>
      </c>
      <c r="I679" t="s">
        <v>57</v>
      </c>
      <c r="J679">
        <v>3817863</v>
      </c>
      <c r="K679">
        <v>3818822</v>
      </c>
      <c r="L679" t="s">
        <v>22607</v>
      </c>
      <c r="M679">
        <v>320</v>
      </c>
      <c r="N679" t="s">
        <v>108</v>
      </c>
      <c r="O679">
        <v>44</v>
      </c>
      <c r="P679" t="str">
        <f>HYPERLINK("Gene3856-zp_tree_all.dnd", "Gene3856-tree")</f>
        <v>Gene3856-tree</v>
      </c>
      <c r="Q679">
        <v>3</v>
      </c>
      <c r="R679">
        <v>10</v>
      </c>
      <c r="S679">
        <v>3</v>
      </c>
      <c r="T679">
        <v>10</v>
      </c>
      <c r="U679">
        <v>0.76922999999999997</v>
      </c>
      <c r="V679" t="s">
        <v>324</v>
      </c>
      <c r="W679" t="s">
        <v>117</v>
      </c>
      <c r="X679" t="s">
        <v>62</v>
      </c>
      <c r="Y679" t="s">
        <v>62</v>
      </c>
      <c r="Z679">
        <v>5</v>
      </c>
      <c r="AA679">
        <v>15</v>
      </c>
      <c r="AB679">
        <v>9</v>
      </c>
      <c r="AC679">
        <v>0.625</v>
      </c>
      <c r="AD679" s="47">
        <v>0</v>
      </c>
      <c r="AE679" s="47">
        <v>0</v>
      </c>
      <c r="AF679" s="47">
        <v>0</v>
      </c>
      <c r="AG679" s="47">
        <v>0</v>
      </c>
      <c r="AH679" s="47">
        <v>0</v>
      </c>
      <c r="AI679" s="47">
        <v>6</v>
      </c>
      <c r="AJ679" s="47">
        <v>2</v>
      </c>
      <c r="AK679" s="47">
        <v>8</v>
      </c>
      <c r="AL679">
        <v>9</v>
      </c>
      <c r="AM679">
        <v>0.47059000000000001</v>
      </c>
      <c r="AN679">
        <v>12</v>
      </c>
      <c r="AO679">
        <v>8</v>
      </c>
      <c r="AP679">
        <v>21</v>
      </c>
      <c r="AQ679">
        <v>17</v>
      </c>
      <c r="AR679">
        <v>13</v>
      </c>
      <c r="AS679">
        <v>7</v>
      </c>
      <c r="AT679" t="s">
        <v>22608</v>
      </c>
      <c r="AU679" t="s">
        <v>22609</v>
      </c>
      <c r="AV679">
        <v>0.84899999999999998</v>
      </c>
      <c r="AW679" t="s">
        <v>65</v>
      </c>
      <c r="AX679">
        <v>34</v>
      </c>
      <c r="AY679">
        <v>24</v>
      </c>
      <c r="AZ679" t="s">
        <v>22610</v>
      </c>
      <c r="BA679">
        <v>3.2930000000000001E-2</v>
      </c>
      <c r="BB679">
        <v>-1.2099999999999999E-3</v>
      </c>
      <c r="BC679">
        <v>4.6899999999999997E-3</v>
      </c>
      <c r="BD679">
        <v>-2.2000000000000001E-4</v>
      </c>
      <c r="BE679">
        <v>0.14248</v>
      </c>
      <c r="BF679">
        <v>1</v>
      </c>
      <c r="BG679" t="s">
        <v>69</v>
      </c>
      <c r="BH679">
        <v>-0.63300000000000001</v>
      </c>
      <c r="BI679">
        <v>-1.194</v>
      </c>
    </row>
    <row r="680" spans="3:61">
      <c r="C680">
        <v>0</v>
      </c>
      <c r="D680">
        <v>0</v>
      </c>
      <c r="E680">
        <v>0</v>
      </c>
      <c r="F680" t="s">
        <v>25021</v>
      </c>
      <c r="G680">
        <v>3579</v>
      </c>
      <c r="H680" t="s">
        <v>20996</v>
      </c>
      <c r="I680" t="s">
        <v>57</v>
      </c>
      <c r="J680">
        <v>3544642</v>
      </c>
      <c r="K680">
        <v>3545601</v>
      </c>
      <c r="L680" t="s">
        <v>20997</v>
      </c>
      <c r="M680">
        <v>320</v>
      </c>
      <c r="N680" t="s">
        <v>20990</v>
      </c>
      <c r="O680">
        <v>28</v>
      </c>
      <c r="P680" t="str">
        <f>HYPERLINK("Gene3579-zp_tree_all.dnd", "Gene3579-tree")</f>
        <v>Gene3579-tree</v>
      </c>
      <c r="Q680">
        <v>7</v>
      </c>
      <c r="R680">
        <v>1</v>
      </c>
      <c r="S680">
        <v>7</v>
      </c>
      <c r="T680">
        <v>1</v>
      </c>
      <c r="U680">
        <v>0.125</v>
      </c>
      <c r="V680" t="s">
        <v>152</v>
      </c>
      <c r="W680" t="s">
        <v>175</v>
      </c>
      <c r="X680" t="s">
        <v>62</v>
      </c>
      <c r="Y680" t="s">
        <v>62</v>
      </c>
      <c r="Z680">
        <v>0</v>
      </c>
      <c r="AA680">
        <v>0</v>
      </c>
      <c r="AB680">
        <v>2</v>
      </c>
      <c r="AC680">
        <v>0</v>
      </c>
      <c r="AD680" s="47">
        <v>0</v>
      </c>
      <c r="AE680" s="47">
        <v>0</v>
      </c>
      <c r="AF680" s="47">
        <v>0</v>
      </c>
      <c r="AG680" s="47">
        <v>0</v>
      </c>
      <c r="AH680" s="47">
        <v>0</v>
      </c>
      <c r="AI680" s="47">
        <v>0</v>
      </c>
      <c r="AJ680" s="47">
        <v>0</v>
      </c>
      <c r="AK680" s="47">
        <v>0</v>
      </c>
      <c r="AL680">
        <v>1</v>
      </c>
      <c r="AM680">
        <v>0</v>
      </c>
      <c r="AN680">
        <v>6</v>
      </c>
      <c r="AO680">
        <v>4</v>
      </c>
      <c r="AP680">
        <v>16</v>
      </c>
      <c r="AQ680">
        <v>1</v>
      </c>
      <c r="AR680">
        <v>19</v>
      </c>
      <c r="AS680">
        <v>1</v>
      </c>
      <c r="AT680" t="s">
        <v>20998</v>
      </c>
      <c r="AU680" t="s">
        <v>20999</v>
      </c>
      <c r="AV680">
        <v>6.3E-2</v>
      </c>
      <c r="AW680" t="s">
        <v>65</v>
      </c>
      <c r="AX680">
        <v>35</v>
      </c>
      <c r="AY680">
        <v>2</v>
      </c>
      <c r="AZ680" t="s">
        <v>21000</v>
      </c>
      <c r="BA680">
        <v>5.4280000000000002E-2</v>
      </c>
      <c r="BB680">
        <v>-5.1399999999999996E-3</v>
      </c>
      <c r="BC680">
        <v>1.1299999999999999E-3</v>
      </c>
      <c r="BD680">
        <v>-1.7000000000000001E-4</v>
      </c>
      <c r="BE680">
        <v>2.0729999999999998E-2</v>
      </c>
      <c r="BF680">
        <v>1</v>
      </c>
      <c r="BG680" t="s">
        <v>69</v>
      </c>
      <c r="BH680">
        <v>0.39300000000000002</v>
      </c>
      <c r="BI680">
        <v>1.6850000000000001</v>
      </c>
    </row>
    <row r="681" spans="3:61">
      <c r="C681">
        <v>0</v>
      </c>
      <c r="D681">
        <v>8</v>
      </c>
      <c r="E681">
        <v>0</v>
      </c>
      <c r="F681" t="s">
        <v>25021</v>
      </c>
      <c r="G681">
        <v>1482</v>
      </c>
      <c r="H681" t="s">
        <v>9262</v>
      </c>
      <c r="I681" t="s">
        <v>62</v>
      </c>
      <c r="J681">
        <v>1494406</v>
      </c>
      <c r="K681">
        <v>1495368</v>
      </c>
      <c r="L681" t="s">
        <v>9263</v>
      </c>
      <c r="M681">
        <v>321</v>
      </c>
      <c r="N681" t="s">
        <v>108</v>
      </c>
      <c r="O681">
        <v>44</v>
      </c>
      <c r="P681" t="str">
        <f>HYPERLINK("Gene1482-zp_tree_all.dnd", "Gene1482-tree")</f>
        <v>Gene1482-tree</v>
      </c>
      <c r="Q681">
        <v>6</v>
      </c>
      <c r="R681">
        <v>8</v>
      </c>
      <c r="S681">
        <v>6</v>
      </c>
      <c r="T681">
        <v>8</v>
      </c>
      <c r="U681">
        <v>0.57142999999999999</v>
      </c>
      <c r="V681" t="s">
        <v>90</v>
      </c>
      <c r="W681" t="s">
        <v>136</v>
      </c>
      <c r="X681" t="s">
        <v>62</v>
      </c>
      <c r="Y681" t="s">
        <v>62</v>
      </c>
      <c r="Z681">
        <v>2</v>
      </c>
      <c r="AA681">
        <v>8</v>
      </c>
      <c r="AB681">
        <v>14</v>
      </c>
      <c r="AC681">
        <v>0.36364000000000002</v>
      </c>
      <c r="AD681" s="47">
        <v>0</v>
      </c>
      <c r="AE681" s="47">
        <v>0</v>
      </c>
      <c r="AF681" s="47">
        <v>0</v>
      </c>
      <c r="AG681" s="47">
        <v>2</v>
      </c>
      <c r="AH681" s="47">
        <v>0</v>
      </c>
      <c r="AI681" s="47">
        <v>2</v>
      </c>
      <c r="AJ681" s="47">
        <v>0</v>
      </c>
      <c r="AK681" s="47">
        <v>2</v>
      </c>
      <c r="AL681">
        <v>12</v>
      </c>
      <c r="AM681">
        <v>0.14285999999999999</v>
      </c>
      <c r="AN681">
        <v>11</v>
      </c>
      <c r="AO681">
        <v>9</v>
      </c>
      <c r="AP681">
        <v>21</v>
      </c>
      <c r="AQ681">
        <v>12</v>
      </c>
      <c r="AR681">
        <v>8</v>
      </c>
      <c r="AS681">
        <v>10</v>
      </c>
      <c r="AT681" t="s">
        <v>9264</v>
      </c>
      <c r="AU681" t="s">
        <v>9265</v>
      </c>
      <c r="AV681">
        <v>1.2250000000000001</v>
      </c>
      <c r="AW681" t="s">
        <v>65</v>
      </c>
      <c r="AX681">
        <v>29</v>
      </c>
      <c r="AY681">
        <v>22</v>
      </c>
      <c r="AZ681" t="s">
        <v>9266</v>
      </c>
      <c r="BA681">
        <v>2.8330000000000001E-2</v>
      </c>
      <c r="BB681">
        <v>-1.23E-3</v>
      </c>
      <c r="BC681">
        <v>5.47E-3</v>
      </c>
      <c r="BD681">
        <v>-2.5000000000000001E-4</v>
      </c>
      <c r="BE681">
        <v>0.19295000000000001</v>
      </c>
      <c r="BF681">
        <v>1</v>
      </c>
      <c r="BG681" t="s">
        <v>69</v>
      </c>
      <c r="BH681">
        <v>-0.80700000000000005</v>
      </c>
      <c r="BI681">
        <v>-1.8080000000000001</v>
      </c>
    </row>
    <row r="682" spans="3:61">
      <c r="C682">
        <v>0</v>
      </c>
      <c r="D682">
        <v>0</v>
      </c>
      <c r="E682">
        <v>3</v>
      </c>
      <c r="F682" t="s">
        <v>25021</v>
      </c>
      <c r="G682">
        <v>2015</v>
      </c>
      <c r="H682" t="s">
        <v>12533</v>
      </c>
      <c r="I682" t="s">
        <v>57</v>
      </c>
      <c r="J682">
        <v>2106490</v>
      </c>
      <c r="K682">
        <v>2107452</v>
      </c>
      <c r="L682" t="s">
        <v>12534</v>
      </c>
      <c r="M682">
        <v>321</v>
      </c>
      <c r="N682" t="s">
        <v>108</v>
      </c>
      <c r="O682">
        <v>44</v>
      </c>
      <c r="P682" t="str">
        <f>HYPERLINK("Gene2015-zp_tree_all.dnd", "Gene2015-tree")</f>
        <v>Gene2015-tree</v>
      </c>
      <c r="Q682">
        <v>23</v>
      </c>
      <c r="R682">
        <v>8</v>
      </c>
      <c r="S682">
        <v>5</v>
      </c>
      <c r="T682">
        <v>8</v>
      </c>
      <c r="U682">
        <v>0.61538000000000004</v>
      </c>
      <c r="V682" t="s">
        <v>1652</v>
      </c>
      <c r="W682" t="s">
        <v>136</v>
      </c>
      <c r="X682" t="s">
        <v>62</v>
      </c>
      <c r="Y682" t="s">
        <v>62</v>
      </c>
      <c r="Z682">
        <v>1</v>
      </c>
      <c r="AA682">
        <v>3</v>
      </c>
      <c r="AB682">
        <v>10</v>
      </c>
      <c r="AC682">
        <v>0.23077</v>
      </c>
      <c r="AD682" s="47">
        <v>0</v>
      </c>
      <c r="AE682" s="47">
        <v>0</v>
      </c>
      <c r="AF682" s="47">
        <v>0</v>
      </c>
      <c r="AG682" s="47">
        <v>0</v>
      </c>
      <c r="AH682" s="47">
        <v>0</v>
      </c>
      <c r="AI682" s="47">
        <v>0</v>
      </c>
      <c r="AJ682" s="47">
        <v>3</v>
      </c>
      <c r="AK682" s="47">
        <v>3</v>
      </c>
      <c r="AL682">
        <v>8</v>
      </c>
      <c r="AM682">
        <v>0.27272999999999997</v>
      </c>
      <c r="AN682">
        <v>12</v>
      </c>
      <c r="AO682">
        <v>7</v>
      </c>
      <c r="AP682">
        <v>36</v>
      </c>
      <c r="AQ682">
        <v>11</v>
      </c>
      <c r="AR682">
        <v>9</v>
      </c>
      <c r="AS682">
        <v>2</v>
      </c>
      <c r="AT682" t="s">
        <v>12535</v>
      </c>
      <c r="AU682" t="s">
        <v>12536</v>
      </c>
      <c r="AV682">
        <v>0.32500000000000001</v>
      </c>
      <c r="AW682" t="s">
        <v>65</v>
      </c>
      <c r="AX682">
        <v>45</v>
      </c>
      <c r="AY682">
        <v>13</v>
      </c>
      <c r="AZ682" t="s">
        <v>12537</v>
      </c>
      <c r="BA682">
        <v>3.2469999999999999E-2</v>
      </c>
      <c r="BB682">
        <v>-1.25E-3</v>
      </c>
      <c r="BC682">
        <v>3.13E-3</v>
      </c>
      <c r="BD682">
        <v>-1.6000000000000001E-4</v>
      </c>
      <c r="BE682">
        <v>9.647E-2</v>
      </c>
      <c r="BF682">
        <v>1</v>
      </c>
      <c r="BG682" t="s">
        <v>69</v>
      </c>
      <c r="BH682">
        <v>-1.0680000000000001</v>
      </c>
      <c r="BI682">
        <v>-1.411</v>
      </c>
    </row>
    <row r="683" spans="3:61">
      <c r="C683">
        <v>0</v>
      </c>
      <c r="D683">
        <v>6</v>
      </c>
      <c r="E683">
        <v>0</v>
      </c>
      <c r="F683" t="s">
        <v>25021</v>
      </c>
      <c r="G683">
        <v>4102</v>
      </c>
      <c r="H683" t="s">
        <v>24155</v>
      </c>
      <c r="I683" t="s">
        <v>57</v>
      </c>
      <c r="J683">
        <v>4067183</v>
      </c>
      <c r="K683">
        <v>4068145</v>
      </c>
      <c r="L683" t="s">
        <v>24156</v>
      </c>
      <c r="M683">
        <v>321</v>
      </c>
      <c r="N683" t="s">
        <v>465</v>
      </c>
      <c r="O683">
        <v>46</v>
      </c>
      <c r="P683" t="str">
        <f>HYPERLINK("Gene4102-zp_tree_all.dnd", "Gene4102-tree")</f>
        <v>Gene4102-tree</v>
      </c>
      <c r="Q683">
        <v>7</v>
      </c>
      <c r="R683">
        <v>9</v>
      </c>
      <c r="S683">
        <v>7</v>
      </c>
      <c r="T683">
        <v>9</v>
      </c>
      <c r="U683">
        <v>0.5625</v>
      </c>
      <c r="V683" t="s">
        <v>152</v>
      </c>
      <c r="W683" t="s">
        <v>135</v>
      </c>
      <c r="X683" t="s">
        <v>62</v>
      </c>
      <c r="Y683" t="s">
        <v>62</v>
      </c>
      <c r="Z683">
        <v>3</v>
      </c>
      <c r="AA683">
        <v>6</v>
      </c>
      <c r="AB683">
        <v>16</v>
      </c>
      <c r="AC683">
        <v>0.27272999999999997</v>
      </c>
      <c r="AD683" s="47">
        <v>0</v>
      </c>
      <c r="AE683" s="47">
        <v>0</v>
      </c>
      <c r="AF683" s="47">
        <v>0</v>
      </c>
      <c r="AG683" s="47">
        <v>1</v>
      </c>
      <c r="AH683" s="47">
        <v>0</v>
      </c>
      <c r="AI683" s="47">
        <v>4</v>
      </c>
      <c r="AJ683" s="47">
        <v>0</v>
      </c>
      <c r="AK683" s="47">
        <v>4</v>
      </c>
      <c r="AL683">
        <v>11</v>
      </c>
      <c r="AM683">
        <v>0.26667000000000002</v>
      </c>
      <c r="AN683">
        <v>13</v>
      </c>
      <c r="AO683">
        <v>10</v>
      </c>
      <c r="AP683">
        <v>32</v>
      </c>
      <c r="AQ683">
        <v>14</v>
      </c>
      <c r="AR683">
        <v>27</v>
      </c>
      <c r="AS683">
        <v>8</v>
      </c>
      <c r="AT683" t="s">
        <v>24157</v>
      </c>
      <c r="AU683" t="s">
        <v>24158</v>
      </c>
      <c r="AV683">
        <v>0.23400000000000001</v>
      </c>
      <c r="AW683" t="s">
        <v>65</v>
      </c>
      <c r="AX683">
        <v>59</v>
      </c>
      <c r="AY683">
        <v>22</v>
      </c>
      <c r="AZ683" t="s">
        <v>24159</v>
      </c>
      <c r="BA683">
        <v>6.2789999999999999E-2</v>
      </c>
      <c r="BB683">
        <v>-4.9699999999999996E-3</v>
      </c>
      <c r="BC683">
        <v>5.1799999999999997E-3</v>
      </c>
      <c r="BD683">
        <v>-2.4000000000000001E-4</v>
      </c>
      <c r="BE683">
        <v>8.2460000000000006E-2</v>
      </c>
      <c r="BF683">
        <v>1</v>
      </c>
      <c r="BG683" t="s">
        <v>69</v>
      </c>
      <c r="BH683">
        <v>-1.734</v>
      </c>
      <c r="BI683">
        <v>-1.6719999999999999</v>
      </c>
    </row>
    <row r="684" spans="3:61">
      <c r="C684">
        <v>0</v>
      </c>
      <c r="D684">
        <v>4</v>
      </c>
      <c r="E684">
        <v>0</v>
      </c>
      <c r="F684" t="s">
        <v>25021</v>
      </c>
      <c r="G684">
        <v>3716</v>
      </c>
      <c r="H684" t="s">
        <v>21772</v>
      </c>
      <c r="I684" t="s">
        <v>57</v>
      </c>
      <c r="J684">
        <v>3694239</v>
      </c>
      <c r="K684">
        <v>3695204</v>
      </c>
      <c r="L684" t="s">
        <v>21773</v>
      </c>
      <c r="M684">
        <v>322</v>
      </c>
      <c r="N684" t="s">
        <v>21774</v>
      </c>
      <c r="O684">
        <v>31</v>
      </c>
      <c r="P684" t="str">
        <f>HYPERLINK("Gene3716-zp_tree_all.dnd", "Gene3716-tree")</f>
        <v>Gene3716-tree</v>
      </c>
      <c r="Q684">
        <v>4</v>
      </c>
      <c r="R684">
        <v>6</v>
      </c>
      <c r="S684">
        <v>4</v>
      </c>
      <c r="T684">
        <v>6</v>
      </c>
      <c r="U684">
        <v>0.6</v>
      </c>
      <c r="V684" t="s">
        <v>61</v>
      </c>
      <c r="W684" t="s">
        <v>90</v>
      </c>
      <c r="X684" t="s">
        <v>62</v>
      </c>
      <c r="Y684" t="s">
        <v>62</v>
      </c>
      <c r="Z684">
        <v>1</v>
      </c>
      <c r="AA684">
        <v>4</v>
      </c>
      <c r="AB684">
        <v>6</v>
      </c>
      <c r="AC684">
        <v>0.4</v>
      </c>
      <c r="AD684" s="47">
        <v>0</v>
      </c>
      <c r="AE684" s="47">
        <v>0</v>
      </c>
      <c r="AF684" s="47">
        <v>0</v>
      </c>
      <c r="AG684" s="47">
        <v>0</v>
      </c>
      <c r="AH684" s="47">
        <v>0</v>
      </c>
      <c r="AI684" s="47">
        <v>3</v>
      </c>
      <c r="AJ684" s="47">
        <v>0</v>
      </c>
      <c r="AK684" s="47">
        <v>3</v>
      </c>
      <c r="AL684">
        <v>2</v>
      </c>
      <c r="AM684">
        <v>0.6</v>
      </c>
      <c r="AN684">
        <v>8</v>
      </c>
      <c r="AO684">
        <v>7</v>
      </c>
      <c r="AP684">
        <v>12</v>
      </c>
      <c r="AQ684">
        <v>5</v>
      </c>
      <c r="AR684">
        <v>21</v>
      </c>
      <c r="AS684">
        <v>5</v>
      </c>
      <c r="AT684" t="s">
        <v>21775</v>
      </c>
      <c r="AU684" t="s">
        <v>21776</v>
      </c>
      <c r="AV684">
        <v>0.45500000000000002</v>
      </c>
      <c r="AW684" t="s">
        <v>65</v>
      </c>
      <c r="AX684">
        <v>33</v>
      </c>
      <c r="AY684">
        <v>10</v>
      </c>
      <c r="AZ684" t="s">
        <v>21777</v>
      </c>
      <c r="BA684">
        <v>4.5130000000000003E-2</v>
      </c>
      <c r="BB684">
        <v>-4.1900000000000001E-3</v>
      </c>
      <c r="BC684">
        <v>3.2100000000000002E-3</v>
      </c>
      <c r="BD684">
        <v>-2.9E-4</v>
      </c>
      <c r="BE684">
        <v>7.1040000000000006E-2</v>
      </c>
      <c r="BF684">
        <v>1</v>
      </c>
      <c r="BG684" t="s">
        <v>69</v>
      </c>
      <c r="BH684">
        <v>-1.0109999999999999</v>
      </c>
      <c r="BI684">
        <v>-0.57599999999999996</v>
      </c>
    </row>
    <row r="685" spans="3:61">
      <c r="C685">
        <v>0</v>
      </c>
      <c r="D685">
        <v>8</v>
      </c>
      <c r="E685">
        <v>0</v>
      </c>
      <c r="F685" t="s">
        <v>25021</v>
      </c>
      <c r="G685">
        <v>3727</v>
      </c>
      <c r="H685" t="s">
        <v>21846</v>
      </c>
      <c r="I685" t="s">
        <v>57</v>
      </c>
      <c r="J685">
        <v>3705165</v>
      </c>
      <c r="K685">
        <v>3706130</v>
      </c>
      <c r="L685" t="s">
        <v>21847</v>
      </c>
      <c r="M685">
        <v>322</v>
      </c>
      <c r="N685" t="s">
        <v>6390</v>
      </c>
      <c r="O685">
        <v>45</v>
      </c>
      <c r="P685" t="str">
        <f>HYPERLINK("Gene3727-zp_tree_all.dnd", "Gene3727-tree")</f>
        <v>Gene3727-tree</v>
      </c>
      <c r="Q685">
        <v>27</v>
      </c>
      <c r="R685">
        <v>8</v>
      </c>
      <c r="S685">
        <v>8</v>
      </c>
      <c r="T685">
        <v>8</v>
      </c>
      <c r="U685">
        <v>0.5</v>
      </c>
      <c r="V685" t="s">
        <v>282</v>
      </c>
      <c r="W685" t="s">
        <v>136</v>
      </c>
      <c r="X685" t="s">
        <v>62</v>
      </c>
      <c r="Y685" t="s">
        <v>62</v>
      </c>
      <c r="Z685">
        <v>3</v>
      </c>
      <c r="AA685">
        <v>8</v>
      </c>
      <c r="AB685">
        <v>9</v>
      </c>
      <c r="AC685">
        <v>0.47059000000000001</v>
      </c>
      <c r="AD685" s="47">
        <v>0</v>
      </c>
      <c r="AE685" s="47">
        <v>0</v>
      </c>
      <c r="AF685" s="47">
        <v>0</v>
      </c>
      <c r="AG685" s="47">
        <v>1</v>
      </c>
      <c r="AH685" s="47">
        <v>0</v>
      </c>
      <c r="AI685" s="47">
        <v>4</v>
      </c>
      <c r="AJ685" s="47">
        <v>0</v>
      </c>
      <c r="AK685" s="47">
        <v>4</v>
      </c>
      <c r="AL685">
        <v>10</v>
      </c>
      <c r="AM685">
        <v>0.28571000000000002</v>
      </c>
      <c r="AN685">
        <v>13</v>
      </c>
      <c r="AO685">
        <v>12</v>
      </c>
      <c r="AP685">
        <v>69</v>
      </c>
      <c r="AQ685">
        <v>14</v>
      </c>
      <c r="AR685">
        <v>36</v>
      </c>
      <c r="AS685">
        <v>3</v>
      </c>
      <c r="AT685" t="s">
        <v>21848</v>
      </c>
      <c r="AU685" t="s">
        <v>21849</v>
      </c>
      <c r="AV685">
        <v>0.436</v>
      </c>
      <c r="AW685" t="s">
        <v>65</v>
      </c>
      <c r="AX685">
        <v>105</v>
      </c>
      <c r="AY685">
        <v>17</v>
      </c>
      <c r="AZ685" t="s">
        <v>21850</v>
      </c>
      <c r="BA685">
        <v>7.1840000000000001E-2</v>
      </c>
      <c r="BB685">
        <v>-4.7000000000000002E-3</v>
      </c>
      <c r="BC685">
        <v>2.81E-3</v>
      </c>
      <c r="BD685">
        <v>-1.6000000000000001E-4</v>
      </c>
      <c r="BE685">
        <v>3.9149999999999997E-2</v>
      </c>
      <c r="BF685">
        <v>1</v>
      </c>
      <c r="BG685" t="s">
        <v>69</v>
      </c>
      <c r="BH685">
        <v>-1.1020000000000001</v>
      </c>
      <c r="BI685">
        <v>-2.8540000000000001</v>
      </c>
    </row>
    <row r="686" spans="3:61">
      <c r="C686">
        <v>0</v>
      </c>
      <c r="D686">
        <v>0</v>
      </c>
      <c r="E686">
        <v>0</v>
      </c>
      <c r="F686" t="s">
        <v>25021</v>
      </c>
      <c r="G686">
        <v>3164</v>
      </c>
      <c r="H686" t="s">
        <v>18393</v>
      </c>
      <c r="I686" t="s">
        <v>57</v>
      </c>
      <c r="J686">
        <v>3119999</v>
      </c>
      <c r="K686">
        <v>3120964</v>
      </c>
      <c r="L686" t="s">
        <v>1340</v>
      </c>
      <c r="M686">
        <v>322</v>
      </c>
      <c r="N686" t="s">
        <v>108</v>
      </c>
      <c r="O686">
        <v>44</v>
      </c>
      <c r="P686" t="str">
        <f>HYPERLINK("Gene3164-zp_tree_all.dnd", "Gene3164-tree")</f>
        <v>Gene3164-tree</v>
      </c>
      <c r="Q686">
        <v>9</v>
      </c>
      <c r="R686">
        <v>4</v>
      </c>
      <c r="S686">
        <v>9</v>
      </c>
      <c r="T686">
        <v>4</v>
      </c>
      <c r="U686">
        <v>0.30769000000000002</v>
      </c>
      <c r="V686" t="s">
        <v>135</v>
      </c>
      <c r="W686" t="s">
        <v>61</v>
      </c>
      <c r="X686" t="s">
        <v>62</v>
      </c>
      <c r="Y686" t="s">
        <v>62</v>
      </c>
      <c r="Z686">
        <v>0</v>
      </c>
      <c r="AA686">
        <v>0</v>
      </c>
      <c r="AB686">
        <v>6</v>
      </c>
      <c r="AC686">
        <v>0</v>
      </c>
      <c r="AD686" s="47">
        <v>0</v>
      </c>
      <c r="AE686" s="47">
        <v>0</v>
      </c>
      <c r="AF686" s="47">
        <v>0</v>
      </c>
      <c r="AG686" s="47">
        <v>0</v>
      </c>
      <c r="AH686" s="47">
        <v>0</v>
      </c>
      <c r="AI686" s="47">
        <v>0</v>
      </c>
      <c r="AJ686" s="47">
        <v>0</v>
      </c>
      <c r="AK686" s="47">
        <v>0</v>
      </c>
      <c r="AL686">
        <v>4</v>
      </c>
      <c r="AM686">
        <v>0</v>
      </c>
      <c r="AN686">
        <v>12</v>
      </c>
      <c r="AO686">
        <v>9</v>
      </c>
      <c r="AP686">
        <v>58</v>
      </c>
      <c r="AQ686">
        <v>4</v>
      </c>
      <c r="AR686">
        <v>32</v>
      </c>
      <c r="AS686">
        <v>3</v>
      </c>
      <c r="AT686" t="s">
        <v>18394</v>
      </c>
      <c r="AU686" t="s">
        <v>18395</v>
      </c>
      <c r="AV686">
        <v>0.27100000000000002</v>
      </c>
      <c r="AW686" t="s">
        <v>65</v>
      </c>
      <c r="AX686">
        <v>90</v>
      </c>
      <c r="AY686">
        <v>7</v>
      </c>
      <c r="AZ686" t="s">
        <v>18396</v>
      </c>
      <c r="BA686">
        <v>8.5430000000000006E-2</v>
      </c>
      <c r="BB686">
        <v>-4.8900000000000002E-3</v>
      </c>
      <c r="BC686">
        <v>2.0899999999999998E-3</v>
      </c>
      <c r="BD686">
        <v>-1.3999999999999999E-4</v>
      </c>
      <c r="BE686">
        <v>2.4410000000000001E-2</v>
      </c>
      <c r="BF686">
        <v>1</v>
      </c>
      <c r="BG686" t="s">
        <v>69</v>
      </c>
      <c r="BH686">
        <v>-0.67</v>
      </c>
      <c r="BI686">
        <v>-1.9319999999999999</v>
      </c>
    </row>
    <row r="687" spans="3:61">
      <c r="C687">
        <v>0</v>
      </c>
      <c r="D687">
        <v>6</v>
      </c>
      <c r="E687">
        <v>0</v>
      </c>
      <c r="F687" t="s">
        <v>25021</v>
      </c>
      <c r="G687">
        <v>1270</v>
      </c>
      <c r="H687" t="s">
        <v>7962</v>
      </c>
      <c r="I687" t="s">
        <v>62</v>
      </c>
      <c r="J687">
        <v>1296623</v>
      </c>
      <c r="K687">
        <v>1297594</v>
      </c>
      <c r="L687" t="s">
        <v>1123</v>
      </c>
      <c r="M687">
        <v>324</v>
      </c>
      <c r="N687" t="s">
        <v>2513</v>
      </c>
      <c r="O687">
        <v>43</v>
      </c>
      <c r="P687" t="str">
        <f>HYPERLINK("Gene1270-zp_tree_all.dnd", "Gene1270-tree")</f>
        <v>Gene1270-tree</v>
      </c>
      <c r="Q687">
        <v>4</v>
      </c>
      <c r="R687">
        <v>9</v>
      </c>
      <c r="S687">
        <v>4</v>
      </c>
      <c r="T687">
        <v>9</v>
      </c>
      <c r="U687">
        <v>0.69230999999999998</v>
      </c>
      <c r="V687" t="s">
        <v>61</v>
      </c>
      <c r="W687" t="s">
        <v>135</v>
      </c>
      <c r="X687" t="s">
        <v>62</v>
      </c>
      <c r="Y687" t="s">
        <v>62</v>
      </c>
      <c r="Z687">
        <v>3</v>
      </c>
      <c r="AA687">
        <v>6</v>
      </c>
      <c r="AB687">
        <v>10</v>
      </c>
      <c r="AC687">
        <v>0.375</v>
      </c>
      <c r="AD687" s="47">
        <v>0</v>
      </c>
      <c r="AE687" s="47">
        <v>0</v>
      </c>
      <c r="AF687" s="47">
        <v>0</v>
      </c>
      <c r="AG687" s="47">
        <v>0</v>
      </c>
      <c r="AH687" s="47">
        <v>0</v>
      </c>
      <c r="AI687" s="47">
        <v>4</v>
      </c>
      <c r="AJ687" s="47">
        <v>0</v>
      </c>
      <c r="AK687" s="47">
        <v>4</v>
      </c>
      <c r="AL687">
        <v>10</v>
      </c>
      <c r="AM687">
        <v>0.28571000000000002</v>
      </c>
      <c r="AN687">
        <v>11</v>
      </c>
      <c r="AO687">
        <v>7</v>
      </c>
      <c r="AP687">
        <v>26</v>
      </c>
      <c r="AQ687">
        <v>13</v>
      </c>
      <c r="AR687">
        <v>13</v>
      </c>
      <c r="AS687">
        <v>3</v>
      </c>
      <c r="AT687" t="s">
        <v>7963</v>
      </c>
      <c r="AU687" t="s">
        <v>7964</v>
      </c>
      <c r="AV687">
        <v>1.087</v>
      </c>
      <c r="AW687" t="s">
        <v>65</v>
      </c>
      <c r="AX687">
        <v>39</v>
      </c>
      <c r="AY687">
        <v>16</v>
      </c>
      <c r="AZ687" t="s">
        <v>7965</v>
      </c>
      <c r="BA687">
        <v>3.4360000000000002E-2</v>
      </c>
      <c r="BB687">
        <v>-1.72E-3</v>
      </c>
      <c r="BC687">
        <v>3.8999999999999998E-3</v>
      </c>
      <c r="BD687">
        <v>-2.3000000000000001E-4</v>
      </c>
      <c r="BE687">
        <v>0.11352</v>
      </c>
      <c r="BF687">
        <v>1</v>
      </c>
      <c r="BG687" t="s">
        <v>69</v>
      </c>
      <c r="BH687">
        <v>5.5E-2</v>
      </c>
      <c r="BI687">
        <v>-0.54800000000000004</v>
      </c>
    </row>
    <row r="688" spans="3:61">
      <c r="C688">
        <v>0</v>
      </c>
      <c r="D688">
        <v>14</v>
      </c>
      <c r="E688">
        <v>0</v>
      </c>
      <c r="F688" t="s">
        <v>25021</v>
      </c>
      <c r="G688">
        <v>1905</v>
      </c>
      <c r="H688" t="s">
        <v>11928</v>
      </c>
      <c r="I688" t="s">
        <v>62</v>
      </c>
      <c r="J688">
        <v>1999852</v>
      </c>
      <c r="K688">
        <v>2000826</v>
      </c>
      <c r="L688" t="s">
        <v>11929</v>
      </c>
      <c r="M688">
        <v>325</v>
      </c>
      <c r="N688" t="s">
        <v>108</v>
      </c>
      <c r="O688">
        <v>44</v>
      </c>
      <c r="P688" t="str">
        <f>HYPERLINK("Gene1905-zp_tree_all.dnd", "Gene1905-tree")</f>
        <v>Gene1905-tree</v>
      </c>
      <c r="Q688">
        <v>5</v>
      </c>
      <c r="R688">
        <v>8</v>
      </c>
      <c r="S688">
        <v>5</v>
      </c>
      <c r="T688">
        <v>8</v>
      </c>
      <c r="U688">
        <v>0.61538000000000004</v>
      </c>
      <c r="V688" t="s">
        <v>199</v>
      </c>
      <c r="W688" t="s">
        <v>136</v>
      </c>
      <c r="X688" t="s">
        <v>62</v>
      </c>
      <c r="Y688" t="s">
        <v>62</v>
      </c>
      <c r="Z688">
        <v>5</v>
      </c>
      <c r="AA688">
        <v>14</v>
      </c>
      <c r="AB688">
        <v>21</v>
      </c>
      <c r="AC688">
        <v>0.4</v>
      </c>
      <c r="AD688" s="47">
        <v>0</v>
      </c>
      <c r="AE688" s="47">
        <v>0</v>
      </c>
      <c r="AF688" s="47">
        <v>0</v>
      </c>
      <c r="AG688" s="47">
        <v>4</v>
      </c>
      <c r="AH688" s="47">
        <v>0</v>
      </c>
      <c r="AI688" s="47">
        <v>4</v>
      </c>
      <c r="AJ688" s="47">
        <v>0</v>
      </c>
      <c r="AK688" s="47">
        <v>4</v>
      </c>
      <c r="AL688">
        <v>14</v>
      </c>
      <c r="AM688">
        <v>0.22222</v>
      </c>
      <c r="AN688">
        <v>11</v>
      </c>
      <c r="AO688">
        <v>10</v>
      </c>
      <c r="AP688">
        <v>31</v>
      </c>
      <c r="AQ688">
        <v>17</v>
      </c>
      <c r="AR688">
        <v>22</v>
      </c>
      <c r="AS688">
        <v>19</v>
      </c>
      <c r="AT688" t="s">
        <v>11930</v>
      </c>
      <c r="AU688" t="s">
        <v>11931</v>
      </c>
      <c r="AV688">
        <v>0.59199999999999997</v>
      </c>
      <c r="AW688" t="s">
        <v>65</v>
      </c>
      <c r="AX688">
        <v>53</v>
      </c>
      <c r="AY688">
        <v>36</v>
      </c>
      <c r="AZ688" t="s">
        <v>11932</v>
      </c>
      <c r="BA688">
        <v>5.4550000000000001E-2</v>
      </c>
      <c r="BB688">
        <v>-3.1199999999999999E-3</v>
      </c>
      <c r="BC688">
        <v>1.0789999999999999E-2</v>
      </c>
      <c r="BD688">
        <v>-5.1999999999999995E-4</v>
      </c>
      <c r="BE688">
        <v>0.19781000000000001</v>
      </c>
      <c r="BF688">
        <v>1</v>
      </c>
      <c r="BG688" t="s">
        <v>69</v>
      </c>
      <c r="BH688">
        <v>-0.312</v>
      </c>
      <c r="BI688">
        <v>-0.875</v>
      </c>
    </row>
    <row r="689" spans="3:61">
      <c r="C689">
        <v>0</v>
      </c>
      <c r="D689">
        <v>10</v>
      </c>
      <c r="E689">
        <v>0</v>
      </c>
      <c r="F689" t="s">
        <v>25021</v>
      </c>
      <c r="G689">
        <v>1996</v>
      </c>
      <c r="H689" t="s">
        <v>12428</v>
      </c>
      <c r="I689" t="s">
        <v>57</v>
      </c>
      <c r="J689">
        <v>2088257</v>
      </c>
      <c r="K689">
        <v>2089231</v>
      </c>
      <c r="L689" t="s">
        <v>12429</v>
      </c>
      <c r="M689">
        <v>325</v>
      </c>
      <c r="N689" t="s">
        <v>108</v>
      </c>
      <c r="O689">
        <v>44</v>
      </c>
      <c r="P689" t="str">
        <f>HYPERLINK("Gene1996-zp_tree_all.dnd", "Gene1996-tree")</f>
        <v>Gene1996-tree</v>
      </c>
      <c r="Q689">
        <v>3</v>
      </c>
      <c r="R689">
        <v>11</v>
      </c>
      <c r="S689">
        <v>3</v>
      </c>
      <c r="T689">
        <v>11</v>
      </c>
      <c r="U689">
        <v>0.78571000000000002</v>
      </c>
      <c r="V689" t="s">
        <v>324</v>
      </c>
      <c r="W689" t="s">
        <v>73</v>
      </c>
      <c r="X689">
        <v>305230034.74400002</v>
      </c>
      <c r="Y689" t="s">
        <v>267</v>
      </c>
      <c r="Z689">
        <v>4</v>
      </c>
      <c r="AA689">
        <v>10</v>
      </c>
      <c r="AB689">
        <v>16</v>
      </c>
      <c r="AC689">
        <v>0.38462000000000002</v>
      </c>
      <c r="AD689" s="47">
        <v>0</v>
      </c>
      <c r="AE689" s="47">
        <v>0</v>
      </c>
      <c r="AF689" s="47">
        <v>0</v>
      </c>
      <c r="AG689" s="47">
        <v>0</v>
      </c>
      <c r="AH689" s="47">
        <v>0</v>
      </c>
      <c r="AI689" s="47">
        <v>8</v>
      </c>
      <c r="AJ689" s="47">
        <v>0</v>
      </c>
      <c r="AK689" s="47">
        <v>8</v>
      </c>
      <c r="AL689">
        <v>10</v>
      </c>
      <c r="AM689">
        <v>0.44444</v>
      </c>
      <c r="AN689">
        <v>12</v>
      </c>
      <c r="AO689">
        <v>9</v>
      </c>
      <c r="AP689">
        <v>27</v>
      </c>
      <c r="AQ689">
        <v>15</v>
      </c>
      <c r="AR689">
        <v>31</v>
      </c>
      <c r="AS689">
        <v>14</v>
      </c>
      <c r="AT689" t="s">
        <v>12430</v>
      </c>
      <c r="AU689" t="s">
        <v>12431</v>
      </c>
      <c r="AV689">
        <v>0.33500000000000002</v>
      </c>
      <c r="AW689" t="s">
        <v>65</v>
      </c>
      <c r="AX689">
        <v>58</v>
      </c>
      <c r="AY689">
        <v>29</v>
      </c>
      <c r="AZ689" t="s">
        <v>12432</v>
      </c>
      <c r="BA689">
        <v>5.6250000000000001E-2</v>
      </c>
      <c r="BB689">
        <v>-1.99E-3</v>
      </c>
      <c r="BC689">
        <v>7.7499999999999999E-3</v>
      </c>
      <c r="BD689">
        <v>-3.8999999999999999E-4</v>
      </c>
      <c r="BE689">
        <v>0.13771</v>
      </c>
      <c r="BF689">
        <v>1</v>
      </c>
      <c r="BG689" t="s">
        <v>69</v>
      </c>
      <c r="BH689">
        <v>0.5</v>
      </c>
      <c r="BI689">
        <v>0.17499999999999999</v>
      </c>
    </row>
    <row r="690" spans="3:61">
      <c r="C690">
        <v>0</v>
      </c>
      <c r="D690">
        <v>9</v>
      </c>
      <c r="E690">
        <v>0</v>
      </c>
      <c r="F690" t="s">
        <v>25021</v>
      </c>
      <c r="G690">
        <v>3594</v>
      </c>
      <c r="H690" t="s">
        <v>21099</v>
      </c>
      <c r="I690" t="s">
        <v>57</v>
      </c>
      <c r="J690">
        <v>3562566</v>
      </c>
      <c r="K690">
        <v>3563540</v>
      </c>
      <c r="L690" t="s">
        <v>21100</v>
      </c>
      <c r="M690">
        <v>325</v>
      </c>
      <c r="N690" t="s">
        <v>108</v>
      </c>
      <c r="O690">
        <v>44</v>
      </c>
      <c r="P690" t="str">
        <f>HYPERLINK("Gene3594-zp_tree_all.dnd", "Gene3594-tree")</f>
        <v>Gene3594-tree</v>
      </c>
      <c r="Q690">
        <v>9</v>
      </c>
      <c r="R690">
        <v>6</v>
      </c>
      <c r="S690">
        <v>9</v>
      </c>
      <c r="T690">
        <v>6</v>
      </c>
      <c r="U690">
        <v>0.4</v>
      </c>
      <c r="V690" t="s">
        <v>135</v>
      </c>
      <c r="W690" t="s">
        <v>90</v>
      </c>
      <c r="X690" t="s">
        <v>62</v>
      </c>
      <c r="Y690" t="s">
        <v>62</v>
      </c>
      <c r="Z690">
        <v>4</v>
      </c>
      <c r="AA690">
        <v>9</v>
      </c>
      <c r="AB690">
        <v>12</v>
      </c>
      <c r="AC690">
        <v>0.42857000000000001</v>
      </c>
      <c r="AD690" s="47">
        <v>0</v>
      </c>
      <c r="AE690" s="47">
        <v>0</v>
      </c>
      <c r="AF690" s="47">
        <v>0</v>
      </c>
      <c r="AG690" s="47">
        <v>4</v>
      </c>
      <c r="AH690" s="47">
        <v>0</v>
      </c>
      <c r="AI690" s="47">
        <v>2</v>
      </c>
      <c r="AJ690" s="47">
        <v>0</v>
      </c>
      <c r="AK690" s="47">
        <v>2</v>
      </c>
      <c r="AL690">
        <v>12</v>
      </c>
      <c r="AM690">
        <v>0.14285999999999999</v>
      </c>
      <c r="AN690">
        <v>10</v>
      </c>
      <c r="AO690">
        <v>10</v>
      </c>
      <c r="AP690">
        <v>19</v>
      </c>
      <c r="AQ690">
        <v>13</v>
      </c>
      <c r="AR690">
        <v>37</v>
      </c>
      <c r="AS690">
        <v>8</v>
      </c>
      <c r="AT690" t="s">
        <v>21101</v>
      </c>
      <c r="AU690" t="s">
        <v>21102</v>
      </c>
      <c r="AV690">
        <v>0.91700000000000004</v>
      </c>
      <c r="AW690" t="s">
        <v>65</v>
      </c>
      <c r="AX690">
        <v>56</v>
      </c>
      <c r="AY690">
        <v>21</v>
      </c>
      <c r="AZ690" t="s">
        <v>21103</v>
      </c>
      <c r="BA690">
        <v>6.3920000000000005E-2</v>
      </c>
      <c r="BB690">
        <v>-3.47E-3</v>
      </c>
      <c r="BC690">
        <v>5.4200000000000003E-3</v>
      </c>
      <c r="BD690">
        <v>-2.9E-4</v>
      </c>
      <c r="BE690">
        <v>8.4720000000000004E-2</v>
      </c>
      <c r="BF690">
        <v>1</v>
      </c>
      <c r="BG690" t="s">
        <v>69</v>
      </c>
      <c r="BH690">
        <v>0.46300000000000002</v>
      </c>
      <c r="BI690">
        <v>0.29399999999999998</v>
      </c>
    </row>
    <row r="691" spans="3:61">
      <c r="C691">
        <v>0</v>
      </c>
      <c r="D691">
        <v>2</v>
      </c>
      <c r="E691">
        <v>0</v>
      </c>
      <c r="F691" t="s">
        <v>25021</v>
      </c>
      <c r="G691">
        <v>1053</v>
      </c>
      <c r="H691" t="s">
        <v>6607</v>
      </c>
      <c r="I691" t="s">
        <v>62</v>
      </c>
      <c r="J691">
        <v>1092773</v>
      </c>
      <c r="K691">
        <v>1093747</v>
      </c>
      <c r="L691" t="s">
        <v>6608</v>
      </c>
      <c r="M691">
        <v>325</v>
      </c>
      <c r="N691" t="s">
        <v>108</v>
      </c>
      <c r="O691">
        <v>44</v>
      </c>
      <c r="P691" t="str">
        <f>HYPERLINK("Gene1053-zp_tree_all.dnd", "Gene1053-tree")</f>
        <v>Gene1053-tree</v>
      </c>
      <c r="Q691">
        <v>7</v>
      </c>
      <c r="R691">
        <v>7</v>
      </c>
      <c r="S691">
        <v>7</v>
      </c>
      <c r="T691">
        <v>7</v>
      </c>
      <c r="U691">
        <v>0.5</v>
      </c>
      <c r="V691" t="s">
        <v>152</v>
      </c>
      <c r="W691" t="s">
        <v>152</v>
      </c>
      <c r="X691" t="s">
        <v>62</v>
      </c>
      <c r="Y691" t="s">
        <v>62</v>
      </c>
      <c r="Z691">
        <v>1</v>
      </c>
      <c r="AA691">
        <v>2</v>
      </c>
      <c r="AB691">
        <v>15</v>
      </c>
      <c r="AC691">
        <v>0.11765</v>
      </c>
      <c r="AD691" s="47">
        <v>0</v>
      </c>
      <c r="AE691" s="47">
        <v>0</v>
      </c>
      <c r="AF691" s="47">
        <v>0</v>
      </c>
      <c r="AG691" s="47">
        <v>0</v>
      </c>
      <c r="AH691" s="47">
        <v>0</v>
      </c>
      <c r="AI691" s="47">
        <v>2</v>
      </c>
      <c r="AJ691" s="47">
        <v>0</v>
      </c>
      <c r="AK691" s="47">
        <v>2</v>
      </c>
      <c r="AL691">
        <v>13</v>
      </c>
      <c r="AM691">
        <v>0.13333</v>
      </c>
      <c r="AN691">
        <v>13</v>
      </c>
      <c r="AO691">
        <v>9</v>
      </c>
      <c r="AP691">
        <v>58</v>
      </c>
      <c r="AQ691">
        <v>15</v>
      </c>
      <c r="AR691">
        <v>17</v>
      </c>
      <c r="AS691">
        <v>2</v>
      </c>
      <c r="AT691" t="s">
        <v>6609</v>
      </c>
      <c r="AU691" t="s">
        <v>6610</v>
      </c>
      <c r="AV691">
        <v>0.33200000000000002</v>
      </c>
      <c r="AW691" t="s">
        <v>65</v>
      </c>
      <c r="AX691">
        <v>75</v>
      </c>
      <c r="AY691">
        <v>17</v>
      </c>
      <c r="AZ691" t="s">
        <v>6611</v>
      </c>
      <c r="BA691">
        <v>5.6739999999999999E-2</v>
      </c>
      <c r="BB691">
        <v>-3.63E-3</v>
      </c>
      <c r="BC691">
        <v>3.5999999999999999E-3</v>
      </c>
      <c r="BD691">
        <v>-3.4000000000000002E-4</v>
      </c>
      <c r="BE691">
        <v>6.3500000000000001E-2</v>
      </c>
      <c r="BF691">
        <v>1</v>
      </c>
      <c r="BG691" t="s">
        <v>69</v>
      </c>
      <c r="BH691">
        <v>-1.474</v>
      </c>
      <c r="BI691">
        <v>-3.2330000000000001</v>
      </c>
    </row>
    <row r="692" spans="3:61">
      <c r="C692">
        <v>0</v>
      </c>
      <c r="D692">
        <v>6</v>
      </c>
      <c r="E692">
        <v>0</v>
      </c>
      <c r="F692" t="s">
        <v>25021</v>
      </c>
      <c r="G692">
        <v>877</v>
      </c>
      <c r="H692" t="s">
        <v>5475</v>
      </c>
      <c r="I692" t="s">
        <v>62</v>
      </c>
      <c r="J692">
        <v>919369</v>
      </c>
      <c r="K692">
        <v>920343</v>
      </c>
      <c r="L692" t="s">
        <v>5476</v>
      </c>
      <c r="M692">
        <v>325</v>
      </c>
      <c r="N692" t="s">
        <v>289</v>
      </c>
      <c r="O692">
        <v>46</v>
      </c>
      <c r="P692" t="str">
        <f>HYPERLINK("Gene877-zp_tree_all.dnd", "Gene877-tree")</f>
        <v>Gene877-tree</v>
      </c>
      <c r="Q692">
        <v>9</v>
      </c>
      <c r="R692">
        <v>8</v>
      </c>
      <c r="S692">
        <v>9</v>
      </c>
      <c r="T692">
        <v>8</v>
      </c>
      <c r="U692">
        <v>0.47059000000000001</v>
      </c>
      <c r="V692" t="s">
        <v>135</v>
      </c>
      <c r="W692" t="s">
        <v>136</v>
      </c>
      <c r="X692" t="s">
        <v>62</v>
      </c>
      <c r="Y692" t="s">
        <v>62</v>
      </c>
      <c r="Z692">
        <v>3</v>
      </c>
      <c r="AA692">
        <v>6</v>
      </c>
      <c r="AB692">
        <v>9</v>
      </c>
      <c r="AC692">
        <v>0.4</v>
      </c>
      <c r="AD692" s="47">
        <v>0</v>
      </c>
      <c r="AE692" s="47">
        <v>0</v>
      </c>
      <c r="AF692" s="47">
        <v>0</v>
      </c>
      <c r="AG692" s="47">
        <v>2</v>
      </c>
      <c r="AH692" s="47">
        <v>0</v>
      </c>
      <c r="AI692" s="47">
        <v>2</v>
      </c>
      <c r="AJ692" s="47">
        <v>0</v>
      </c>
      <c r="AK692" s="47">
        <v>2</v>
      </c>
      <c r="AL692">
        <v>6</v>
      </c>
      <c r="AM692">
        <v>0.25</v>
      </c>
      <c r="AN692">
        <v>15</v>
      </c>
      <c r="AO692">
        <v>12</v>
      </c>
      <c r="AP692">
        <v>51</v>
      </c>
      <c r="AQ692">
        <v>8</v>
      </c>
      <c r="AR692">
        <v>36</v>
      </c>
      <c r="AS692">
        <v>7</v>
      </c>
      <c r="AT692" t="s">
        <v>5477</v>
      </c>
      <c r="AU692" t="s">
        <v>5478</v>
      </c>
      <c r="AV692">
        <v>0.21299999999999999</v>
      </c>
      <c r="AW692" t="s">
        <v>65</v>
      </c>
      <c r="AX692">
        <v>87</v>
      </c>
      <c r="AY692">
        <v>15</v>
      </c>
      <c r="AZ692" t="s">
        <v>5479</v>
      </c>
      <c r="BA692">
        <v>7.0010000000000003E-2</v>
      </c>
      <c r="BB692">
        <v>-3.0300000000000001E-3</v>
      </c>
      <c r="BC692">
        <v>3.5999999999999999E-3</v>
      </c>
      <c r="BD692">
        <v>-1.2E-4</v>
      </c>
      <c r="BE692">
        <v>5.142E-2</v>
      </c>
      <c r="BF692">
        <v>1</v>
      </c>
      <c r="BG692" t="s">
        <v>69</v>
      </c>
      <c r="BH692">
        <v>-0.42399999999999999</v>
      </c>
      <c r="BI692">
        <v>-0.29199999999999998</v>
      </c>
    </row>
    <row r="693" spans="3:61">
      <c r="C693">
        <v>0</v>
      </c>
      <c r="D693">
        <v>4</v>
      </c>
      <c r="E693">
        <v>4</v>
      </c>
      <c r="F693" t="s">
        <v>25021</v>
      </c>
      <c r="G693">
        <v>2796</v>
      </c>
      <c r="H693" t="s">
        <v>16022</v>
      </c>
      <c r="I693" t="s">
        <v>57</v>
      </c>
      <c r="J693">
        <v>2742909</v>
      </c>
      <c r="K693">
        <v>2743886</v>
      </c>
      <c r="L693" t="s">
        <v>16023</v>
      </c>
      <c r="M693">
        <v>326</v>
      </c>
      <c r="N693" t="s">
        <v>16024</v>
      </c>
      <c r="O693">
        <v>45</v>
      </c>
      <c r="P693" t="str">
        <f>HYPERLINK("Gene2796-zp_tree_all.dnd", "Gene2796-tree")</f>
        <v>Gene2796-tree</v>
      </c>
      <c r="Q693">
        <v>4</v>
      </c>
      <c r="R693">
        <v>12</v>
      </c>
      <c r="S693">
        <v>4</v>
      </c>
      <c r="T693">
        <v>12</v>
      </c>
      <c r="U693">
        <v>0.75</v>
      </c>
      <c r="V693" t="s">
        <v>61</v>
      </c>
      <c r="W693" t="s">
        <v>109</v>
      </c>
      <c r="X693" t="s">
        <v>62</v>
      </c>
      <c r="Y693" t="s">
        <v>62</v>
      </c>
      <c r="Z693">
        <v>4</v>
      </c>
      <c r="AA693">
        <v>8</v>
      </c>
      <c r="AB693">
        <v>23</v>
      </c>
      <c r="AC693">
        <v>0.25806000000000001</v>
      </c>
      <c r="AD693" s="47">
        <v>0</v>
      </c>
      <c r="AE693" s="47">
        <v>0</v>
      </c>
      <c r="AF693" s="47">
        <v>0</v>
      </c>
      <c r="AG693" s="47">
        <v>0</v>
      </c>
      <c r="AH693" s="47">
        <v>0</v>
      </c>
      <c r="AI693" s="47">
        <v>2</v>
      </c>
      <c r="AJ693" s="47">
        <v>2</v>
      </c>
      <c r="AK693" s="47">
        <v>4</v>
      </c>
      <c r="AL693">
        <v>21</v>
      </c>
      <c r="AM693">
        <v>0.16</v>
      </c>
      <c r="AN693">
        <v>13</v>
      </c>
      <c r="AO693">
        <v>7</v>
      </c>
      <c r="AP693">
        <v>55</v>
      </c>
      <c r="AQ693">
        <v>23</v>
      </c>
      <c r="AR693">
        <v>23</v>
      </c>
      <c r="AS693">
        <v>8</v>
      </c>
      <c r="AT693" t="s">
        <v>16025</v>
      </c>
      <c r="AU693" t="s">
        <v>16026</v>
      </c>
      <c r="AV693">
        <v>0.122</v>
      </c>
      <c r="AW693" t="s">
        <v>65</v>
      </c>
      <c r="AX693">
        <v>78</v>
      </c>
      <c r="AY693">
        <v>31</v>
      </c>
      <c r="AZ693" t="s">
        <v>16027</v>
      </c>
      <c r="BA693">
        <v>6.2560000000000004E-2</v>
      </c>
      <c r="BB693">
        <v>-6.4200000000000004E-3</v>
      </c>
      <c r="BC693">
        <v>6.62E-3</v>
      </c>
      <c r="BD693">
        <v>-4.4000000000000002E-4</v>
      </c>
      <c r="BE693">
        <v>0.10582</v>
      </c>
      <c r="BF693">
        <v>1</v>
      </c>
      <c r="BG693" t="s">
        <v>69</v>
      </c>
      <c r="BH693">
        <v>-1.986</v>
      </c>
      <c r="BI693">
        <v>-2.887</v>
      </c>
    </row>
    <row r="694" spans="3:61">
      <c r="C694">
        <v>0</v>
      </c>
      <c r="D694">
        <v>4</v>
      </c>
      <c r="E694">
        <v>0</v>
      </c>
      <c r="F694" t="s">
        <v>25021</v>
      </c>
      <c r="G694">
        <v>3723</v>
      </c>
      <c r="H694" t="s">
        <v>21818</v>
      </c>
      <c r="I694" t="s">
        <v>57</v>
      </c>
      <c r="J694">
        <v>3701411</v>
      </c>
      <c r="K694">
        <v>3702388</v>
      </c>
      <c r="L694" t="s">
        <v>21819</v>
      </c>
      <c r="M694">
        <v>326</v>
      </c>
      <c r="N694" t="s">
        <v>108</v>
      </c>
      <c r="O694">
        <v>44</v>
      </c>
      <c r="P694" t="str">
        <f>HYPERLINK("Gene3723-zp_tree_all.dnd", "Gene3723-tree")</f>
        <v>Gene3723-tree</v>
      </c>
      <c r="Q694">
        <v>6</v>
      </c>
      <c r="R694">
        <v>21</v>
      </c>
      <c r="S694">
        <v>6</v>
      </c>
      <c r="T694">
        <v>9</v>
      </c>
      <c r="U694">
        <v>0.6</v>
      </c>
      <c r="V694" t="s">
        <v>90</v>
      </c>
      <c r="W694" t="s">
        <v>21820</v>
      </c>
      <c r="X694">
        <v>1.9379999999999999</v>
      </c>
      <c r="Y694" t="s">
        <v>65</v>
      </c>
      <c r="Z694">
        <v>1</v>
      </c>
      <c r="AA694">
        <v>4</v>
      </c>
      <c r="AB694">
        <v>12</v>
      </c>
      <c r="AC694">
        <v>0.25</v>
      </c>
      <c r="AD694" s="47">
        <v>0</v>
      </c>
      <c r="AE694" s="47">
        <v>0</v>
      </c>
      <c r="AF694" s="47">
        <v>0</v>
      </c>
      <c r="AG694" s="47">
        <v>0</v>
      </c>
      <c r="AH694" s="47">
        <v>0</v>
      </c>
      <c r="AI694" s="47">
        <v>3</v>
      </c>
      <c r="AJ694" s="47">
        <v>0</v>
      </c>
      <c r="AK694" s="47">
        <v>3</v>
      </c>
      <c r="AL694">
        <v>8</v>
      </c>
      <c r="AM694">
        <v>0.27272999999999997</v>
      </c>
      <c r="AN694">
        <v>10</v>
      </c>
      <c r="AO694">
        <v>11</v>
      </c>
      <c r="AP694">
        <v>25</v>
      </c>
      <c r="AQ694">
        <v>8</v>
      </c>
      <c r="AR694">
        <v>30</v>
      </c>
      <c r="AS694">
        <v>9</v>
      </c>
      <c r="AT694" t="s">
        <v>21821</v>
      </c>
      <c r="AU694" t="s">
        <v>21822</v>
      </c>
      <c r="AV694">
        <v>7.1999999999999995E-2</v>
      </c>
      <c r="AW694" t="s">
        <v>65</v>
      </c>
      <c r="AX694">
        <v>55</v>
      </c>
      <c r="AY694">
        <v>17</v>
      </c>
      <c r="AZ694" t="s">
        <v>21823</v>
      </c>
      <c r="BA694">
        <v>4.7370000000000002E-2</v>
      </c>
      <c r="BB694">
        <v>-2.0200000000000001E-3</v>
      </c>
      <c r="BC694">
        <v>4.79E-3</v>
      </c>
      <c r="BD694">
        <v>-2.5999999999999998E-4</v>
      </c>
      <c r="BE694">
        <v>0.10117</v>
      </c>
      <c r="BF694">
        <v>1</v>
      </c>
      <c r="BG694" t="s">
        <v>69</v>
      </c>
      <c r="BH694">
        <v>4.0000000000000001E-3</v>
      </c>
      <c r="BI694">
        <v>-0.50800000000000001</v>
      </c>
    </row>
    <row r="695" spans="3:61">
      <c r="C695">
        <v>0</v>
      </c>
      <c r="D695">
        <v>7</v>
      </c>
      <c r="E695">
        <v>7</v>
      </c>
      <c r="F695" t="s">
        <v>25021</v>
      </c>
      <c r="G695">
        <v>3331</v>
      </c>
      <c r="H695" t="s">
        <v>19453</v>
      </c>
      <c r="I695" t="s">
        <v>57</v>
      </c>
      <c r="J695">
        <v>3303042</v>
      </c>
      <c r="K695">
        <v>3304019</v>
      </c>
      <c r="L695" t="s">
        <v>19454</v>
      </c>
      <c r="M695">
        <v>326</v>
      </c>
      <c r="N695" t="s">
        <v>125</v>
      </c>
      <c r="O695">
        <v>48</v>
      </c>
      <c r="P695" t="str">
        <f>HYPERLINK("Gene3331-zp_tree_all.dnd", "Gene3331-tree")</f>
        <v>Gene3331-tree</v>
      </c>
      <c r="Q695">
        <v>13</v>
      </c>
      <c r="R695">
        <v>6</v>
      </c>
      <c r="S695">
        <v>13</v>
      </c>
      <c r="T695">
        <v>6</v>
      </c>
      <c r="U695">
        <v>0.31579000000000002</v>
      </c>
      <c r="V695" t="s">
        <v>507</v>
      </c>
      <c r="W695" t="s">
        <v>90</v>
      </c>
      <c r="X695" t="s">
        <v>62</v>
      </c>
      <c r="Y695" t="s">
        <v>62</v>
      </c>
      <c r="Z695">
        <v>6</v>
      </c>
      <c r="AA695">
        <v>14</v>
      </c>
      <c r="AB695">
        <v>7</v>
      </c>
      <c r="AC695">
        <v>0.66666999999999998</v>
      </c>
      <c r="AD695" s="47">
        <v>0</v>
      </c>
      <c r="AE695" s="47">
        <v>0</v>
      </c>
      <c r="AF695" s="47">
        <v>0</v>
      </c>
      <c r="AG695" s="47">
        <v>0</v>
      </c>
      <c r="AH695" s="47">
        <v>0</v>
      </c>
      <c r="AI695" s="47">
        <v>0</v>
      </c>
      <c r="AJ695" s="47">
        <v>2</v>
      </c>
      <c r="AK695" s="47">
        <v>2</v>
      </c>
      <c r="AL695">
        <v>8</v>
      </c>
      <c r="AM695">
        <v>0.2</v>
      </c>
      <c r="AN695">
        <v>19</v>
      </c>
      <c r="AO695">
        <v>13</v>
      </c>
      <c r="AP695">
        <v>79</v>
      </c>
      <c r="AQ695">
        <v>11</v>
      </c>
      <c r="AR695">
        <v>72</v>
      </c>
      <c r="AS695">
        <v>14</v>
      </c>
      <c r="AT695" t="s">
        <v>19455</v>
      </c>
      <c r="AU695" t="s">
        <v>19456</v>
      </c>
      <c r="AV695">
        <v>0.249</v>
      </c>
      <c r="AW695" t="s">
        <v>65</v>
      </c>
      <c r="AX695">
        <v>151</v>
      </c>
      <c r="AY695">
        <v>25</v>
      </c>
      <c r="AZ695" t="s">
        <v>19457</v>
      </c>
      <c r="BA695">
        <v>0.11011</v>
      </c>
      <c r="BB695">
        <v>-5.0899999999999999E-3</v>
      </c>
      <c r="BC695">
        <v>5.1799999999999997E-3</v>
      </c>
      <c r="BD695">
        <v>-2.5000000000000001E-4</v>
      </c>
      <c r="BE695">
        <v>4.7070000000000001E-2</v>
      </c>
      <c r="BF695">
        <v>1</v>
      </c>
      <c r="BG695" t="s">
        <v>69</v>
      </c>
      <c r="BH695">
        <v>-0.97199999999999998</v>
      </c>
      <c r="BI695">
        <v>-0.33400000000000002</v>
      </c>
    </row>
    <row r="696" spans="3:61">
      <c r="C696">
        <v>0</v>
      </c>
      <c r="D696">
        <v>2</v>
      </c>
      <c r="E696">
        <v>0</v>
      </c>
      <c r="F696" t="s">
        <v>25021</v>
      </c>
      <c r="G696">
        <v>3352</v>
      </c>
      <c r="H696" t="s">
        <v>19589</v>
      </c>
      <c r="I696" t="s">
        <v>57</v>
      </c>
      <c r="J696">
        <v>3321455</v>
      </c>
      <c r="K696">
        <v>3322432</v>
      </c>
      <c r="L696" t="s">
        <v>19590</v>
      </c>
      <c r="M696">
        <v>326</v>
      </c>
      <c r="N696" t="s">
        <v>108</v>
      </c>
      <c r="O696">
        <v>44</v>
      </c>
      <c r="P696" t="str">
        <f>HYPERLINK("Gene3352-zp_tree_all.dnd", "Gene3352-tree")</f>
        <v>Gene3352-tree</v>
      </c>
      <c r="Q696">
        <v>9</v>
      </c>
      <c r="R696">
        <v>3</v>
      </c>
      <c r="S696">
        <v>9</v>
      </c>
      <c r="T696">
        <v>3</v>
      </c>
      <c r="U696">
        <v>0.25</v>
      </c>
      <c r="V696" t="s">
        <v>135</v>
      </c>
      <c r="W696" t="s">
        <v>324</v>
      </c>
      <c r="X696" t="s">
        <v>62</v>
      </c>
      <c r="Y696" t="s">
        <v>62</v>
      </c>
      <c r="Z696">
        <v>1</v>
      </c>
      <c r="AA696">
        <v>2</v>
      </c>
      <c r="AB696">
        <v>2</v>
      </c>
      <c r="AC696">
        <v>0.5</v>
      </c>
      <c r="AD696" s="47">
        <v>0</v>
      </c>
      <c r="AE696" s="47">
        <v>0</v>
      </c>
      <c r="AF696" s="47">
        <v>0</v>
      </c>
      <c r="AG696" s="47">
        <v>0</v>
      </c>
      <c r="AH696" s="47">
        <v>0</v>
      </c>
      <c r="AI696" s="47">
        <v>0</v>
      </c>
      <c r="AJ696" s="47">
        <v>0</v>
      </c>
      <c r="AK696" s="47">
        <v>0</v>
      </c>
      <c r="AL696">
        <v>3</v>
      </c>
      <c r="AM696">
        <v>0</v>
      </c>
      <c r="AN696">
        <v>9</v>
      </c>
      <c r="AO696">
        <v>6</v>
      </c>
      <c r="AP696">
        <v>22</v>
      </c>
      <c r="AQ696">
        <v>3</v>
      </c>
      <c r="AR696">
        <v>15</v>
      </c>
      <c r="AS696">
        <v>1</v>
      </c>
      <c r="AT696" t="s">
        <v>19591</v>
      </c>
      <c r="AU696" t="s">
        <v>19592</v>
      </c>
      <c r="AV696">
        <v>0.35599999999999998</v>
      </c>
      <c r="AW696" t="s">
        <v>65</v>
      </c>
      <c r="AX696">
        <v>37</v>
      </c>
      <c r="AY696">
        <v>4</v>
      </c>
      <c r="AZ696" t="s">
        <v>19593</v>
      </c>
      <c r="BA696">
        <v>3.4909999999999997E-2</v>
      </c>
      <c r="BB696">
        <v>-2.1800000000000001E-3</v>
      </c>
      <c r="BC696">
        <v>1.17E-3</v>
      </c>
      <c r="BD696">
        <v>-1.1E-4</v>
      </c>
      <c r="BE696">
        <v>3.3500000000000002E-2</v>
      </c>
      <c r="BF696">
        <v>1</v>
      </c>
      <c r="BG696" t="s">
        <v>69</v>
      </c>
      <c r="BH696">
        <v>-1.087</v>
      </c>
      <c r="BI696">
        <v>-0.115</v>
      </c>
    </row>
    <row r="697" spans="3:61">
      <c r="C697">
        <v>0</v>
      </c>
      <c r="D697">
        <v>0</v>
      </c>
      <c r="E697">
        <v>0</v>
      </c>
      <c r="F697" t="s">
        <v>25021</v>
      </c>
      <c r="G697">
        <v>243</v>
      </c>
      <c r="H697" t="s">
        <v>1650</v>
      </c>
      <c r="I697" t="s">
        <v>62</v>
      </c>
      <c r="J697">
        <v>264194</v>
      </c>
      <c r="K697">
        <v>265174</v>
      </c>
      <c r="L697" t="s">
        <v>1651</v>
      </c>
      <c r="M697">
        <v>327</v>
      </c>
      <c r="N697" t="s">
        <v>108</v>
      </c>
      <c r="O697">
        <v>44</v>
      </c>
      <c r="P697" t="str">
        <f>HYPERLINK("Gene243-zp_tree_all.dnd", "Gene243-tree")</f>
        <v>Gene243-tree</v>
      </c>
      <c r="Q697">
        <v>9</v>
      </c>
      <c r="R697">
        <v>23</v>
      </c>
      <c r="S697">
        <v>9</v>
      </c>
      <c r="T697">
        <v>5</v>
      </c>
      <c r="U697">
        <v>0.35714000000000001</v>
      </c>
      <c r="V697" t="s">
        <v>135</v>
      </c>
      <c r="W697" t="s">
        <v>1652</v>
      </c>
      <c r="X697">
        <v>4.6790000000000003</v>
      </c>
      <c r="Y697" t="s">
        <v>65</v>
      </c>
      <c r="Z697">
        <v>0</v>
      </c>
      <c r="AA697">
        <v>0</v>
      </c>
      <c r="AB697">
        <v>8</v>
      </c>
      <c r="AC697">
        <v>0</v>
      </c>
      <c r="AD697" s="47">
        <v>0</v>
      </c>
      <c r="AE697" s="47">
        <v>0</v>
      </c>
      <c r="AF697" s="47">
        <v>0</v>
      </c>
      <c r="AG697" s="47">
        <v>0</v>
      </c>
      <c r="AH697" s="47">
        <v>0</v>
      </c>
      <c r="AI697" s="47">
        <v>0</v>
      </c>
      <c r="AJ697" s="47">
        <v>0</v>
      </c>
      <c r="AK697" s="47">
        <v>0</v>
      </c>
      <c r="AL697">
        <v>6</v>
      </c>
      <c r="AM697">
        <v>0</v>
      </c>
      <c r="AN697">
        <v>14</v>
      </c>
      <c r="AO697">
        <v>11</v>
      </c>
      <c r="AP697">
        <v>33</v>
      </c>
      <c r="AQ697">
        <v>6</v>
      </c>
      <c r="AR697">
        <v>23</v>
      </c>
      <c r="AS697">
        <v>2</v>
      </c>
      <c r="AT697" t="s">
        <v>1653</v>
      </c>
      <c r="AU697" t="s">
        <v>1654</v>
      </c>
      <c r="AV697">
        <v>0.53500000000000003</v>
      </c>
      <c r="AW697" t="s">
        <v>65</v>
      </c>
      <c r="AX697">
        <v>56</v>
      </c>
      <c r="AY697">
        <v>8</v>
      </c>
      <c r="AZ697" t="s">
        <v>1655</v>
      </c>
      <c r="BA697">
        <v>4.4670000000000001E-2</v>
      </c>
      <c r="BB697">
        <v>-1.67E-3</v>
      </c>
      <c r="BC697">
        <v>2.0699999999999998E-3</v>
      </c>
      <c r="BD697">
        <v>-1.6000000000000001E-4</v>
      </c>
      <c r="BE697">
        <v>4.6350000000000002E-2</v>
      </c>
      <c r="BF697">
        <v>1</v>
      </c>
      <c r="BG697" t="s">
        <v>69</v>
      </c>
      <c r="BH697">
        <v>0.253</v>
      </c>
      <c r="BI697">
        <v>-0.11799999999999999</v>
      </c>
    </row>
    <row r="698" spans="3:61">
      <c r="C698">
        <v>0</v>
      </c>
      <c r="D698">
        <v>3</v>
      </c>
      <c r="E698">
        <v>0</v>
      </c>
      <c r="F698" t="s">
        <v>25021</v>
      </c>
      <c r="G698">
        <v>895</v>
      </c>
      <c r="H698" t="s">
        <v>5588</v>
      </c>
      <c r="I698" t="s">
        <v>62</v>
      </c>
      <c r="J698">
        <v>934460</v>
      </c>
      <c r="K698">
        <v>935440</v>
      </c>
      <c r="L698" t="s">
        <v>5589</v>
      </c>
      <c r="M698">
        <v>327</v>
      </c>
      <c r="N698" t="s">
        <v>698</v>
      </c>
      <c r="O698">
        <v>47</v>
      </c>
      <c r="P698" t="str">
        <f>HYPERLINK("Gene895-zp_tree_all.dnd", "Gene895-tree")</f>
        <v>Gene895-tree</v>
      </c>
      <c r="Q698">
        <v>12</v>
      </c>
      <c r="R698">
        <v>4</v>
      </c>
      <c r="S698">
        <v>12</v>
      </c>
      <c r="T698">
        <v>4</v>
      </c>
      <c r="U698">
        <v>0.25</v>
      </c>
      <c r="V698" t="s">
        <v>109</v>
      </c>
      <c r="W698" t="s">
        <v>61</v>
      </c>
      <c r="X698" t="s">
        <v>62</v>
      </c>
      <c r="Y698" t="s">
        <v>62</v>
      </c>
      <c r="Z698">
        <v>1</v>
      </c>
      <c r="AA698">
        <v>3</v>
      </c>
      <c r="AB698">
        <v>3</v>
      </c>
      <c r="AC698">
        <v>0.5</v>
      </c>
      <c r="AD698" s="47">
        <v>0</v>
      </c>
      <c r="AE698" s="47">
        <v>0</v>
      </c>
      <c r="AF698" s="47">
        <v>0</v>
      </c>
      <c r="AG698" s="47">
        <v>1</v>
      </c>
      <c r="AH698" s="47">
        <v>0</v>
      </c>
      <c r="AI698" s="47">
        <v>2</v>
      </c>
      <c r="AJ698" s="47">
        <v>0</v>
      </c>
      <c r="AK698" s="47">
        <v>2</v>
      </c>
      <c r="AL698">
        <v>1</v>
      </c>
      <c r="AM698">
        <v>0.66666999999999998</v>
      </c>
      <c r="AN698">
        <v>13</v>
      </c>
      <c r="AO698">
        <v>10</v>
      </c>
      <c r="AP698">
        <v>31</v>
      </c>
      <c r="AQ698">
        <v>3</v>
      </c>
      <c r="AR698">
        <v>46</v>
      </c>
      <c r="AS698">
        <v>3</v>
      </c>
      <c r="AT698" t="s">
        <v>5590</v>
      </c>
      <c r="AU698" t="s">
        <v>5591</v>
      </c>
      <c r="AV698">
        <v>0.18</v>
      </c>
      <c r="AW698" t="s">
        <v>65</v>
      </c>
      <c r="AX698">
        <v>77</v>
      </c>
      <c r="AY698">
        <v>6</v>
      </c>
      <c r="AZ698" t="s">
        <v>5592</v>
      </c>
      <c r="BA698">
        <v>8.1040000000000001E-2</v>
      </c>
      <c r="BB698">
        <v>-7.11E-3</v>
      </c>
      <c r="BC698">
        <v>1.58E-3</v>
      </c>
      <c r="BD698">
        <v>-1.2999999999999999E-4</v>
      </c>
      <c r="BE698">
        <v>1.951E-2</v>
      </c>
      <c r="BF698">
        <v>1</v>
      </c>
      <c r="BG698" t="s">
        <v>69</v>
      </c>
      <c r="BH698">
        <v>-1.4670000000000001</v>
      </c>
      <c r="BI698">
        <v>-0.626</v>
      </c>
    </row>
    <row r="699" spans="3:61">
      <c r="C699">
        <v>0</v>
      </c>
      <c r="D699">
        <v>10</v>
      </c>
      <c r="E699">
        <v>0</v>
      </c>
      <c r="F699" t="s">
        <v>25021</v>
      </c>
      <c r="G699">
        <v>3233</v>
      </c>
      <c r="H699" t="s">
        <v>18842</v>
      </c>
      <c r="I699" t="s">
        <v>57</v>
      </c>
      <c r="J699">
        <v>3196906</v>
      </c>
      <c r="K699">
        <v>3197889</v>
      </c>
      <c r="L699" t="s">
        <v>18843</v>
      </c>
      <c r="M699">
        <v>328</v>
      </c>
      <c r="N699" t="s">
        <v>108</v>
      </c>
      <c r="O699">
        <v>44</v>
      </c>
      <c r="P699" t="str">
        <f>HYPERLINK("Gene3233-zp_tree_all.dnd", "Gene3233-tree")</f>
        <v>Gene3233-tree</v>
      </c>
      <c r="Q699">
        <v>8</v>
      </c>
      <c r="R699">
        <v>7</v>
      </c>
      <c r="S699">
        <v>8</v>
      </c>
      <c r="T699">
        <v>7</v>
      </c>
      <c r="U699">
        <v>0.46666999999999997</v>
      </c>
      <c r="V699" t="s">
        <v>136</v>
      </c>
      <c r="W699" t="s">
        <v>152</v>
      </c>
      <c r="X699" t="s">
        <v>62</v>
      </c>
      <c r="Y699" t="s">
        <v>62</v>
      </c>
      <c r="Z699">
        <v>4</v>
      </c>
      <c r="AA699">
        <v>10</v>
      </c>
      <c r="AB699">
        <v>11</v>
      </c>
      <c r="AC699">
        <v>0.47619</v>
      </c>
      <c r="AD699" s="47">
        <v>0</v>
      </c>
      <c r="AE699" s="47">
        <v>0</v>
      </c>
      <c r="AF699" s="47">
        <v>0</v>
      </c>
      <c r="AG699" s="47">
        <v>0</v>
      </c>
      <c r="AH699" s="47">
        <v>0</v>
      </c>
      <c r="AI699" s="47">
        <v>0</v>
      </c>
      <c r="AJ699" s="47">
        <v>0</v>
      </c>
      <c r="AK699" s="47">
        <v>0</v>
      </c>
      <c r="AL699">
        <v>14</v>
      </c>
      <c r="AM699">
        <v>0</v>
      </c>
      <c r="AN699">
        <v>12</v>
      </c>
      <c r="AO699">
        <v>11</v>
      </c>
      <c r="AP699">
        <v>37</v>
      </c>
      <c r="AQ699">
        <v>14</v>
      </c>
      <c r="AR699">
        <v>24</v>
      </c>
      <c r="AS699">
        <v>7</v>
      </c>
      <c r="AT699" t="s">
        <v>18844</v>
      </c>
      <c r="AU699" t="s">
        <v>18845</v>
      </c>
      <c r="AV699">
        <v>0.161</v>
      </c>
      <c r="AW699" t="s">
        <v>65</v>
      </c>
      <c r="AX699">
        <v>61</v>
      </c>
      <c r="AY699">
        <v>21</v>
      </c>
      <c r="AZ699" t="s">
        <v>18846</v>
      </c>
      <c r="BA699">
        <v>5.1369999999999999E-2</v>
      </c>
      <c r="BB699">
        <v>-3.0300000000000001E-3</v>
      </c>
      <c r="BC699">
        <v>3.8700000000000002E-3</v>
      </c>
      <c r="BD699">
        <v>-2.9999999999999997E-4</v>
      </c>
      <c r="BE699">
        <v>7.535E-2</v>
      </c>
      <c r="BF699">
        <v>1</v>
      </c>
      <c r="BG699" t="s">
        <v>69</v>
      </c>
      <c r="BH699">
        <v>-1.3</v>
      </c>
      <c r="BI699">
        <v>-1.901</v>
      </c>
    </row>
    <row r="700" spans="3:61">
      <c r="C700">
        <v>0</v>
      </c>
      <c r="D700">
        <v>0</v>
      </c>
      <c r="E700">
        <v>2</v>
      </c>
      <c r="F700" t="s">
        <v>25021</v>
      </c>
      <c r="G700">
        <v>3251</v>
      </c>
      <c r="H700" t="s">
        <v>18952</v>
      </c>
      <c r="I700" t="s">
        <v>57</v>
      </c>
      <c r="J700">
        <v>3218854</v>
      </c>
      <c r="K700">
        <v>3219837</v>
      </c>
      <c r="L700" t="s">
        <v>18953</v>
      </c>
      <c r="M700">
        <v>328</v>
      </c>
      <c r="N700" t="s">
        <v>108</v>
      </c>
      <c r="O700">
        <v>44</v>
      </c>
      <c r="P700" t="str">
        <f>HYPERLINK("Gene3251-zp_tree_all.dnd", "Gene3251-tree")</f>
        <v>Gene3251-tree</v>
      </c>
      <c r="Q700">
        <v>9</v>
      </c>
      <c r="R700">
        <v>7</v>
      </c>
      <c r="S700">
        <v>9</v>
      </c>
      <c r="T700">
        <v>7</v>
      </c>
      <c r="U700">
        <v>0.4375</v>
      </c>
      <c r="V700" t="s">
        <v>135</v>
      </c>
      <c r="W700" t="s">
        <v>152</v>
      </c>
      <c r="X700" t="s">
        <v>62</v>
      </c>
      <c r="Y700" t="s">
        <v>62</v>
      </c>
      <c r="Z700">
        <v>1</v>
      </c>
      <c r="AA700">
        <v>2</v>
      </c>
      <c r="AB700">
        <v>7</v>
      </c>
      <c r="AC700">
        <v>0.22222</v>
      </c>
      <c r="AD700" s="47">
        <v>0</v>
      </c>
      <c r="AE700" s="47">
        <v>0</v>
      </c>
      <c r="AF700" s="47">
        <v>0</v>
      </c>
      <c r="AG700" s="47">
        <v>0</v>
      </c>
      <c r="AH700" s="47">
        <v>0</v>
      </c>
      <c r="AI700" s="47">
        <v>0</v>
      </c>
      <c r="AJ700" s="47">
        <v>2</v>
      </c>
      <c r="AK700" s="47">
        <v>2</v>
      </c>
      <c r="AL700">
        <v>5</v>
      </c>
      <c r="AM700">
        <v>0.28571000000000002</v>
      </c>
      <c r="AN700">
        <v>14</v>
      </c>
      <c r="AO700">
        <v>11</v>
      </c>
      <c r="AP700">
        <v>38</v>
      </c>
      <c r="AQ700">
        <v>8</v>
      </c>
      <c r="AR700">
        <v>23</v>
      </c>
      <c r="AS700">
        <v>2</v>
      </c>
      <c r="AT700" t="s">
        <v>18954</v>
      </c>
      <c r="AU700" t="s">
        <v>18955</v>
      </c>
      <c r="AV700">
        <v>0.42599999999999999</v>
      </c>
      <c r="AW700" t="s">
        <v>65</v>
      </c>
      <c r="AX700">
        <v>61</v>
      </c>
      <c r="AY700">
        <v>10</v>
      </c>
      <c r="AZ700" t="s">
        <v>18956</v>
      </c>
      <c r="BA700">
        <v>3.916E-2</v>
      </c>
      <c r="BB700">
        <v>-1.2999999999999999E-3</v>
      </c>
      <c r="BC700">
        <v>2.6800000000000001E-3</v>
      </c>
      <c r="BD700">
        <v>-1.6000000000000001E-4</v>
      </c>
      <c r="BE700">
        <v>6.8479999999999999E-2</v>
      </c>
      <c r="BF700">
        <v>1</v>
      </c>
      <c r="BG700" t="s">
        <v>69</v>
      </c>
      <c r="BH700">
        <v>-0.32800000000000001</v>
      </c>
      <c r="BI700">
        <v>-0.68700000000000006</v>
      </c>
    </row>
    <row r="701" spans="3:61">
      <c r="C701">
        <v>0</v>
      </c>
      <c r="D701">
        <v>23</v>
      </c>
      <c r="E701">
        <v>1</v>
      </c>
      <c r="F701" t="s">
        <v>25021</v>
      </c>
      <c r="G701">
        <v>662</v>
      </c>
      <c r="H701" t="s">
        <v>4121</v>
      </c>
      <c r="I701" t="s">
        <v>62</v>
      </c>
      <c r="J701">
        <v>682378</v>
      </c>
      <c r="K701">
        <v>683364</v>
      </c>
      <c r="L701" t="s">
        <v>288</v>
      </c>
      <c r="M701">
        <v>329</v>
      </c>
      <c r="N701" t="s">
        <v>4013</v>
      </c>
      <c r="O701">
        <v>43</v>
      </c>
      <c r="P701" t="str">
        <f>HYPERLINK("Gene662-zp_tree_all.dnd", "Gene662-tree")</f>
        <v>Gene662-tree</v>
      </c>
      <c r="Q701">
        <v>3</v>
      </c>
      <c r="R701">
        <v>13</v>
      </c>
      <c r="S701">
        <v>3</v>
      </c>
      <c r="T701">
        <v>13</v>
      </c>
      <c r="U701">
        <v>0.8125</v>
      </c>
      <c r="V701" t="s">
        <v>324</v>
      </c>
      <c r="W701" t="s">
        <v>507</v>
      </c>
      <c r="X701" t="s">
        <v>62</v>
      </c>
      <c r="Y701" t="s">
        <v>62</v>
      </c>
      <c r="Z701">
        <v>8</v>
      </c>
      <c r="AA701">
        <v>24</v>
      </c>
      <c r="AB701">
        <v>19</v>
      </c>
      <c r="AC701">
        <v>0.55813999999999997</v>
      </c>
      <c r="AD701" s="47">
        <v>0</v>
      </c>
      <c r="AE701" s="47">
        <v>0</v>
      </c>
      <c r="AF701" s="47">
        <v>0</v>
      </c>
      <c r="AG701" s="47">
        <v>0</v>
      </c>
      <c r="AH701" s="47">
        <v>0</v>
      </c>
      <c r="AI701" s="47">
        <v>18</v>
      </c>
      <c r="AJ701" s="47">
        <v>1</v>
      </c>
      <c r="AK701" s="47">
        <v>19</v>
      </c>
      <c r="AL701">
        <v>16</v>
      </c>
      <c r="AM701">
        <v>0.54286000000000001</v>
      </c>
      <c r="AN701">
        <v>16</v>
      </c>
      <c r="AO701">
        <v>11</v>
      </c>
      <c r="AP701">
        <v>24</v>
      </c>
      <c r="AQ701">
        <v>36</v>
      </c>
      <c r="AR701">
        <v>15</v>
      </c>
      <c r="AS701">
        <v>8</v>
      </c>
      <c r="AT701" t="s">
        <v>4122</v>
      </c>
      <c r="AU701" t="s">
        <v>4123</v>
      </c>
      <c r="AV701">
        <v>1.5620000000000001</v>
      </c>
      <c r="AW701" t="s">
        <v>65</v>
      </c>
      <c r="AX701">
        <v>39</v>
      </c>
      <c r="AY701">
        <v>44</v>
      </c>
      <c r="AZ701" t="s">
        <v>4124</v>
      </c>
      <c r="BA701">
        <v>3.3840000000000002E-2</v>
      </c>
      <c r="BB701">
        <v>-1.1900000000000001E-3</v>
      </c>
      <c r="BC701">
        <v>7.7000000000000002E-3</v>
      </c>
      <c r="BD701">
        <v>-2.7999999999999998E-4</v>
      </c>
      <c r="BE701">
        <v>0.22742999999999999</v>
      </c>
      <c r="BF701">
        <v>1</v>
      </c>
      <c r="BG701" t="s">
        <v>69</v>
      </c>
      <c r="BH701">
        <v>-0.35799999999999998</v>
      </c>
      <c r="BI701">
        <v>-1.3819999999999999</v>
      </c>
    </row>
    <row r="702" spans="3:61">
      <c r="C702">
        <v>0</v>
      </c>
      <c r="D702">
        <v>4</v>
      </c>
      <c r="E702">
        <v>0</v>
      </c>
      <c r="F702" t="s">
        <v>25021</v>
      </c>
      <c r="G702">
        <v>1251</v>
      </c>
      <c r="H702" t="s">
        <v>7838</v>
      </c>
      <c r="I702" t="s">
        <v>62</v>
      </c>
      <c r="J702">
        <v>1279517</v>
      </c>
      <c r="K702">
        <v>1280503</v>
      </c>
      <c r="L702" t="s">
        <v>7839</v>
      </c>
      <c r="M702">
        <v>329</v>
      </c>
      <c r="N702" t="s">
        <v>7840</v>
      </c>
      <c r="O702">
        <v>32</v>
      </c>
      <c r="P702" t="str">
        <f>HYPERLINK("Gene1251-zp_tree_all.dnd", "Gene1251-tree")</f>
        <v>Gene1251-tree</v>
      </c>
      <c r="Q702">
        <v>4</v>
      </c>
      <c r="R702">
        <v>7</v>
      </c>
      <c r="S702">
        <v>4</v>
      </c>
      <c r="T702">
        <v>7</v>
      </c>
      <c r="U702">
        <v>0.63636000000000004</v>
      </c>
      <c r="V702" t="s">
        <v>61</v>
      </c>
      <c r="W702" t="s">
        <v>152</v>
      </c>
      <c r="X702" t="s">
        <v>62</v>
      </c>
      <c r="Y702" t="s">
        <v>62</v>
      </c>
      <c r="Z702">
        <v>2</v>
      </c>
      <c r="AA702">
        <v>4</v>
      </c>
      <c r="AB702">
        <v>14</v>
      </c>
      <c r="AC702">
        <v>0.22222</v>
      </c>
      <c r="AD702" s="47">
        <v>0</v>
      </c>
      <c r="AE702" s="47">
        <v>0</v>
      </c>
      <c r="AF702" s="47">
        <v>0</v>
      </c>
      <c r="AG702" s="47">
        <v>1</v>
      </c>
      <c r="AH702" s="47">
        <v>0</v>
      </c>
      <c r="AI702" s="47">
        <v>0</v>
      </c>
      <c r="AJ702" s="47">
        <v>0</v>
      </c>
      <c r="AK702" s="47">
        <v>0</v>
      </c>
      <c r="AL702">
        <v>14</v>
      </c>
      <c r="AM702">
        <v>0</v>
      </c>
      <c r="AN702">
        <v>9</v>
      </c>
      <c r="AO702">
        <v>6</v>
      </c>
      <c r="AP702">
        <v>28</v>
      </c>
      <c r="AQ702">
        <v>13</v>
      </c>
      <c r="AR702">
        <v>18</v>
      </c>
      <c r="AS702">
        <v>5</v>
      </c>
      <c r="AT702" t="s">
        <v>7841</v>
      </c>
      <c r="AU702" t="s">
        <v>7842</v>
      </c>
      <c r="AV702">
        <v>0.64500000000000002</v>
      </c>
      <c r="AW702" t="s">
        <v>65</v>
      </c>
      <c r="AX702">
        <v>46</v>
      </c>
      <c r="AY702">
        <v>18</v>
      </c>
      <c r="AZ702" t="s">
        <v>7843</v>
      </c>
      <c r="BA702">
        <v>4.6489999999999997E-2</v>
      </c>
      <c r="BB702">
        <v>-3.16E-3</v>
      </c>
      <c r="BC702">
        <v>4.9800000000000001E-3</v>
      </c>
      <c r="BD702">
        <v>-5.0000000000000001E-4</v>
      </c>
      <c r="BE702">
        <v>0.10721</v>
      </c>
      <c r="BF702">
        <v>1</v>
      </c>
      <c r="BG702" t="s">
        <v>69</v>
      </c>
      <c r="BH702">
        <v>-1.7969999999999999</v>
      </c>
      <c r="BI702">
        <v>-1.8280000000000001</v>
      </c>
    </row>
    <row r="703" spans="3:61">
      <c r="C703">
        <v>0</v>
      </c>
      <c r="D703">
        <v>4</v>
      </c>
      <c r="E703">
        <v>0</v>
      </c>
      <c r="F703" t="s">
        <v>25021</v>
      </c>
      <c r="G703">
        <v>1179</v>
      </c>
      <c r="H703" t="s">
        <v>7413</v>
      </c>
      <c r="I703" t="s">
        <v>62</v>
      </c>
      <c r="J703">
        <v>1218116</v>
      </c>
      <c r="K703">
        <v>1219105</v>
      </c>
      <c r="L703" t="s">
        <v>7414</v>
      </c>
      <c r="M703">
        <v>330</v>
      </c>
      <c r="N703" t="s">
        <v>108</v>
      </c>
      <c r="O703">
        <v>44</v>
      </c>
      <c r="P703" t="str">
        <f>HYPERLINK("Gene1179-zp_tree_all.dnd", "Gene1179-tree")</f>
        <v>Gene1179-tree</v>
      </c>
      <c r="Q703">
        <v>8</v>
      </c>
      <c r="R703">
        <v>4</v>
      </c>
      <c r="S703">
        <v>8</v>
      </c>
      <c r="T703">
        <v>4</v>
      </c>
      <c r="U703">
        <v>0.33333000000000002</v>
      </c>
      <c r="V703" t="s">
        <v>136</v>
      </c>
      <c r="W703" t="s">
        <v>61</v>
      </c>
      <c r="X703" t="s">
        <v>62</v>
      </c>
      <c r="Y703" t="s">
        <v>62</v>
      </c>
      <c r="Z703">
        <v>2</v>
      </c>
      <c r="AA703">
        <v>4</v>
      </c>
      <c r="AB703">
        <v>2</v>
      </c>
      <c r="AC703">
        <v>0.66666999999999998</v>
      </c>
      <c r="AD703" s="47">
        <v>0</v>
      </c>
      <c r="AE703" s="47">
        <v>0</v>
      </c>
      <c r="AF703" s="47">
        <v>0</v>
      </c>
      <c r="AG703" s="47">
        <v>0</v>
      </c>
      <c r="AH703" s="47">
        <v>0</v>
      </c>
      <c r="AI703" s="47">
        <v>2</v>
      </c>
      <c r="AJ703" s="47">
        <v>0</v>
      </c>
      <c r="AK703" s="47">
        <v>2</v>
      </c>
      <c r="AL703">
        <v>3</v>
      </c>
      <c r="AM703">
        <v>0.4</v>
      </c>
      <c r="AN703">
        <v>11</v>
      </c>
      <c r="AO703">
        <v>9</v>
      </c>
      <c r="AP703">
        <v>43</v>
      </c>
      <c r="AQ703">
        <v>5</v>
      </c>
      <c r="AR703">
        <v>40</v>
      </c>
      <c r="AS703">
        <v>1</v>
      </c>
      <c r="AT703" t="s">
        <v>7415</v>
      </c>
      <c r="AU703" t="s">
        <v>7416</v>
      </c>
      <c r="AV703">
        <v>0.85799999999999998</v>
      </c>
      <c r="AW703" t="s">
        <v>65</v>
      </c>
      <c r="AX703">
        <v>83</v>
      </c>
      <c r="AY703">
        <v>6</v>
      </c>
      <c r="AZ703" t="s">
        <v>7417</v>
      </c>
      <c r="BA703">
        <v>8.3680000000000004E-2</v>
      </c>
      <c r="BB703">
        <v>-3.2699999999999999E-3</v>
      </c>
      <c r="BC703">
        <v>1.5499999999999999E-3</v>
      </c>
      <c r="BD703">
        <v>-1.2999999999999999E-4</v>
      </c>
      <c r="BE703">
        <v>1.8519999999999998E-2</v>
      </c>
      <c r="BF703">
        <v>1</v>
      </c>
      <c r="BG703" t="s">
        <v>69</v>
      </c>
      <c r="BH703">
        <v>0.2</v>
      </c>
      <c r="BI703">
        <v>-0.312</v>
      </c>
    </row>
    <row r="704" spans="3:61">
      <c r="C704">
        <v>0</v>
      </c>
      <c r="D704">
        <v>2</v>
      </c>
      <c r="E704">
        <v>2</v>
      </c>
      <c r="F704" t="s">
        <v>25021</v>
      </c>
      <c r="G704">
        <v>2269</v>
      </c>
      <c r="H704" t="s">
        <v>13124</v>
      </c>
      <c r="I704" t="s">
        <v>57</v>
      </c>
      <c r="J704">
        <v>2294286</v>
      </c>
      <c r="K704">
        <v>2295278</v>
      </c>
      <c r="L704" t="s">
        <v>13125</v>
      </c>
      <c r="M704">
        <v>331</v>
      </c>
      <c r="N704" t="s">
        <v>108</v>
      </c>
      <c r="O704">
        <v>44</v>
      </c>
      <c r="P704" t="str">
        <f>HYPERLINK("Gene2269-zp_tree_all.dnd", "Gene2269-tree")</f>
        <v>Gene2269-tree</v>
      </c>
      <c r="Q704">
        <v>6</v>
      </c>
      <c r="R704">
        <v>7</v>
      </c>
      <c r="S704">
        <v>6</v>
      </c>
      <c r="T704">
        <v>7</v>
      </c>
      <c r="U704">
        <v>0.53846000000000005</v>
      </c>
      <c r="V704" t="s">
        <v>90</v>
      </c>
      <c r="W704" t="s">
        <v>152</v>
      </c>
      <c r="X704" t="s">
        <v>62</v>
      </c>
      <c r="Y704" t="s">
        <v>62</v>
      </c>
      <c r="Z704">
        <v>2</v>
      </c>
      <c r="AA704">
        <v>4</v>
      </c>
      <c r="AB704">
        <v>13</v>
      </c>
      <c r="AC704">
        <v>0.23529</v>
      </c>
      <c r="AD704" s="47">
        <v>0</v>
      </c>
      <c r="AE704" s="47">
        <v>0</v>
      </c>
      <c r="AF704" s="47">
        <v>0</v>
      </c>
      <c r="AG704" s="47">
        <v>0</v>
      </c>
      <c r="AH704" s="47">
        <v>0</v>
      </c>
      <c r="AI704" s="47">
        <v>2</v>
      </c>
      <c r="AJ704" s="47">
        <v>0</v>
      </c>
      <c r="AK704" s="47">
        <v>2</v>
      </c>
      <c r="AL704">
        <v>11</v>
      </c>
      <c r="AM704">
        <v>0.15384999999999999</v>
      </c>
      <c r="AN704">
        <v>9</v>
      </c>
      <c r="AO704">
        <v>9</v>
      </c>
      <c r="AP704">
        <v>11</v>
      </c>
      <c r="AQ704">
        <v>6</v>
      </c>
      <c r="AR704">
        <v>11</v>
      </c>
      <c r="AS704">
        <v>11</v>
      </c>
      <c r="AT704" t="s">
        <v>13126</v>
      </c>
      <c r="AU704" t="s">
        <v>13127</v>
      </c>
      <c r="AV704">
        <v>0.35099999999999998</v>
      </c>
      <c r="AW704" t="s">
        <v>65</v>
      </c>
      <c r="AX704">
        <v>22</v>
      </c>
      <c r="AY704">
        <v>17</v>
      </c>
      <c r="AZ704" t="s">
        <v>13128</v>
      </c>
      <c r="BA704">
        <v>2.5020000000000001E-2</v>
      </c>
      <c r="BB704">
        <v>-1.17E-3</v>
      </c>
      <c r="BC704">
        <v>6.3400000000000001E-3</v>
      </c>
      <c r="BD704">
        <v>-5.4000000000000001E-4</v>
      </c>
      <c r="BE704">
        <v>0.25330999999999998</v>
      </c>
      <c r="BF704">
        <v>1</v>
      </c>
      <c r="BG704" t="s">
        <v>69</v>
      </c>
      <c r="BH704">
        <v>-0.20499999999999999</v>
      </c>
      <c r="BI704">
        <v>-0.29199999999999998</v>
      </c>
    </row>
    <row r="705" spans="3:61">
      <c r="C705">
        <v>0</v>
      </c>
      <c r="D705">
        <v>16</v>
      </c>
      <c r="E705">
        <v>3</v>
      </c>
      <c r="F705" t="s">
        <v>25021</v>
      </c>
      <c r="G705">
        <v>289</v>
      </c>
      <c r="H705" t="s">
        <v>1973</v>
      </c>
      <c r="I705" t="s">
        <v>62</v>
      </c>
      <c r="J705">
        <v>310883</v>
      </c>
      <c r="K705">
        <v>311875</v>
      </c>
      <c r="L705" t="s">
        <v>1974</v>
      </c>
      <c r="M705">
        <v>331</v>
      </c>
      <c r="N705" t="s">
        <v>108</v>
      </c>
      <c r="O705">
        <v>44</v>
      </c>
      <c r="P705" t="str">
        <f>HYPERLINK("Gene289-zp_tree_all.dnd", "Gene289-tree")</f>
        <v>Gene289-tree</v>
      </c>
      <c r="Q705">
        <v>4</v>
      </c>
      <c r="R705">
        <v>30</v>
      </c>
      <c r="S705">
        <v>4</v>
      </c>
      <c r="T705">
        <v>10</v>
      </c>
      <c r="U705">
        <v>0.71428999999999998</v>
      </c>
      <c r="V705" t="s">
        <v>61</v>
      </c>
      <c r="W705" t="s">
        <v>250</v>
      </c>
      <c r="X705">
        <v>2.2410000000000001</v>
      </c>
      <c r="Y705" t="s">
        <v>65</v>
      </c>
      <c r="Z705">
        <v>8</v>
      </c>
      <c r="AA705">
        <v>19</v>
      </c>
      <c r="AB705">
        <v>10</v>
      </c>
      <c r="AC705">
        <v>0.65517000000000003</v>
      </c>
      <c r="AD705" s="47">
        <v>0</v>
      </c>
      <c r="AE705" s="47">
        <v>0</v>
      </c>
      <c r="AF705" s="47">
        <v>0</v>
      </c>
      <c r="AG705" s="47">
        <v>0</v>
      </c>
      <c r="AH705" s="47">
        <v>0</v>
      </c>
      <c r="AI705" s="47">
        <v>4</v>
      </c>
      <c r="AJ705" s="47">
        <v>0</v>
      </c>
      <c r="AK705" s="47">
        <v>4</v>
      </c>
      <c r="AL705">
        <v>14</v>
      </c>
      <c r="AM705">
        <v>0.22222</v>
      </c>
      <c r="AN705">
        <v>13</v>
      </c>
      <c r="AO705">
        <v>9</v>
      </c>
      <c r="AP705">
        <v>34</v>
      </c>
      <c r="AQ705">
        <v>17</v>
      </c>
      <c r="AR705">
        <v>28</v>
      </c>
      <c r="AS705">
        <v>13</v>
      </c>
      <c r="AT705" t="s">
        <v>1975</v>
      </c>
      <c r="AU705" t="s">
        <v>1976</v>
      </c>
      <c r="AV705">
        <v>0.14599999999999999</v>
      </c>
      <c r="AW705" t="s">
        <v>65</v>
      </c>
      <c r="AX705">
        <v>62</v>
      </c>
      <c r="AY705">
        <v>30</v>
      </c>
      <c r="AZ705" t="s">
        <v>1977</v>
      </c>
      <c r="BA705">
        <v>4.7390000000000002E-2</v>
      </c>
      <c r="BB705">
        <v>-1.56E-3</v>
      </c>
      <c r="BC705">
        <v>7.11E-3</v>
      </c>
      <c r="BD705">
        <v>-2.7999999999999998E-4</v>
      </c>
      <c r="BE705">
        <v>0.15007999999999999</v>
      </c>
      <c r="BF705">
        <v>1</v>
      </c>
      <c r="BG705" t="s">
        <v>69</v>
      </c>
      <c r="BH705">
        <v>0.14000000000000001</v>
      </c>
      <c r="BI705">
        <v>-0.27200000000000002</v>
      </c>
    </row>
    <row r="706" spans="3:61">
      <c r="C706">
        <v>0</v>
      </c>
      <c r="D706">
        <v>5</v>
      </c>
      <c r="E706">
        <v>0</v>
      </c>
      <c r="F706" t="s">
        <v>25021</v>
      </c>
      <c r="G706">
        <v>3329</v>
      </c>
      <c r="H706" t="s">
        <v>19440</v>
      </c>
      <c r="I706" t="s">
        <v>57</v>
      </c>
      <c r="J706">
        <v>3301586</v>
      </c>
      <c r="K706">
        <v>3302581</v>
      </c>
      <c r="L706" t="s">
        <v>19441</v>
      </c>
      <c r="M706">
        <v>332</v>
      </c>
      <c r="N706" t="s">
        <v>125</v>
      </c>
      <c r="O706">
        <v>48</v>
      </c>
      <c r="P706" t="str">
        <f>HYPERLINK("Gene3329-zp_tree_all.dnd", "Gene3329-tree")</f>
        <v>Gene3329-tree</v>
      </c>
      <c r="Q706">
        <v>15</v>
      </c>
      <c r="R706">
        <v>4</v>
      </c>
      <c r="S706">
        <v>15</v>
      </c>
      <c r="T706">
        <v>4</v>
      </c>
      <c r="U706">
        <v>0.21052999999999999</v>
      </c>
      <c r="V706" t="s">
        <v>100</v>
      </c>
      <c r="W706" t="s">
        <v>61</v>
      </c>
      <c r="X706" t="s">
        <v>62</v>
      </c>
      <c r="Y706" t="s">
        <v>62</v>
      </c>
      <c r="Z706">
        <v>2</v>
      </c>
      <c r="AA706">
        <v>5</v>
      </c>
      <c r="AB706">
        <v>1</v>
      </c>
      <c r="AC706">
        <v>0.83333000000000002</v>
      </c>
      <c r="AD706" s="47">
        <v>0</v>
      </c>
      <c r="AE706" s="47">
        <v>0</v>
      </c>
      <c r="AF706" s="47">
        <v>0</v>
      </c>
      <c r="AG706" s="47">
        <v>1</v>
      </c>
      <c r="AH706" s="47">
        <v>0</v>
      </c>
      <c r="AI706" s="47">
        <v>2</v>
      </c>
      <c r="AJ706" s="47">
        <v>0</v>
      </c>
      <c r="AK706" s="47">
        <v>2</v>
      </c>
      <c r="AL706">
        <v>2</v>
      </c>
      <c r="AM706">
        <v>0.5</v>
      </c>
      <c r="AN706">
        <v>14</v>
      </c>
      <c r="AO706">
        <v>13</v>
      </c>
      <c r="AP706">
        <v>45</v>
      </c>
      <c r="AQ706">
        <v>4</v>
      </c>
      <c r="AR706">
        <v>56</v>
      </c>
      <c r="AS706">
        <v>2</v>
      </c>
      <c r="AT706" t="s">
        <v>19442</v>
      </c>
      <c r="AU706" t="s">
        <v>19443</v>
      </c>
      <c r="AV706">
        <v>0.47399999999999998</v>
      </c>
      <c r="AW706" t="s">
        <v>65</v>
      </c>
      <c r="AX706">
        <v>101</v>
      </c>
      <c r="AY706">
        <v>6</v>
      </c>
      <c r="AZ706" t="s">
        <v>19444</v>
      </c>
      <c r="BA706">
        <v>7.9519999999999993E-2</v>
      </c>
      <c r="BB706">
        <v>-5.7600000000000004E-3</v>
      </c>
      <c r="BC706">
        <v>1.1000000000000001E-3</v>
      </c>
      <c r="BD706">
        <v>-8.0000000000000007E-5</v>
      </c>
      <c r="BE706">
        <v>1.387E-2</v>
      </c>
      <c r="BF706">
        <v>1</v>
      </c>
      <c r="BG706" t="s">
        <v>69</v>
      </c>
      <c r="BH706">
        <v>-0.97499999999999998</v>
      </c>
      <c r="BI706">
        <v>0.58399999999999996</v>
      </c>
    </row>
    <row r="707" spans="3:61">
      <c r="C707">
        <v>0</v>
      </c>
      <c r="D707">
        <v>2</v>
      </c>
      <c r="E707">
        <v>0</v>
      </c>
      <c r="F707" t="s">
        <v>25021</v>
      </c>
      <c r="G707">
        <v>787</v>
      </c>
      <c r="H707" t="s">
        <v>4891</v>
      </c>
      <c r="I707" t="s">
        <v>62</v>
      </c>
      <c r="J707">
        <v>824717</v>
      </c>
      <c r="K707">
        <v>825715</v>
      </c>
      <c r="L707" t="s">
        <v>4885</v>
      </c>
      <c r="M707">
        <v>333</v>
      </c>
      <c r="N707" t="s">
        <v>1933</v>
      </c>
      <c r="O707">
        <v>39</v>
      </c>
      <c r="P707" t="str">
        <f>HYPERLINK("Gene787-zp_tree_all.dnd", "Gene787-tree")</f>
        <v>Gene787-tree</v>
      </c>
      <c r="Q707">
        <v>10</v>
      </c>
      <c r="R707">
        <v>6</v>
      </c>
      <c r="S707">
        <v>10</v>
      </c>
      <c r="T707">
        <v>6</v>
      </c>
      <c r="U707">
        <v>0.375</v>
      </c>
      <c r="V707" t="s">
        <v>117</v>
      </c>
      <c r="W707" t="s">
        <v>90</v>
      </c>
      <c r="X707" t="s">
        <v>62</v>
      </c>
      <c r="Y707" t="s">
        <v>62</v>
      </c>
      <c r="Z707">
        <v>1</v>
      </c>
      <c r="AA707">
        <v>2</v>
      </c>
      <c r="AB707">
        <v>6</v>
      </c>
      <c r="AC707">
        <v>0.25</v>
      </c>
      <c r="AD707" s="47">
        <v>0</v>
      </c>
      <c r="AE707" s="47">
        <v>0</v>
      </c>
      <c r="AF707" s="47">
        <v>0</v>
      </c>
      <c r="AG707" s="47">
        <v>0</v>
      </c>
      <c r="AH707" s="47">
        <v>0</v>
      </c>
      <c r="AI707" s="47">
        <v>0</v>
      </c>
      <c r="AJ707" s="47">
        <v>0</v>
      </c>
      <c r="AK707" s="47">
        <v>0</v>
      </c>
      <c r="AL707">
        <v>6</v>
      </c>
      <c r="AM707">
        <v>0</v>
      </c>
      <c r="AN707">
        <v>12</v>
      </c>
      <c r="AO707">
        <v>12</v>
      </c>
      <c r="AP707">
        <v>23</v>
      </c>
      <c r="AQ707">
        <v>5</v>
      </c>
      <c r="AR707">
        <v>15</v>
      </c>
      <c r="AS707">
        <v>3</v>
      </c>
      <c r="AT707" t="s">
        <v>4892</v>
      </c>
      <c r="AU707" t="s">
        <v>4893</v>
      </c>
      <c r="AV707">
        <v>6.8000000000000005E-2</v>
      </c>
      <c r="AW707" t="s">
        <v>65</v>
      </c>
      <c r="AX707">
        <v>38</v>
      </c>
      <c r="AY707">
        <v>8</v>
      </c>
      <c r="AZ707" t="s">
        <v>4894</v>
      </c>
      <c r="BA707">
        <v>2.5680000000000001E-2</v>
      </c>
      <c r="BB707">
        <v>-8.8999999999999995E-4</v>
      </c>
      <c r="BC707">
        <v>1.73E-3</v>
      </c>
      <c r="BD707">
        <v>-1.1E-4</v>
      </c>
      <c r="BE707">
        <v>6.7379999999999995E-2</v>
      </c>
      <c r="BF707">
        <v>1</v>
      </c>
      <c r="BG707" t="s">
        <v>69</v>
      </c>
      <c r="BH707">
        <v>0.183</v>
      </c>
      <c r="BI707">
        <v>-0.60399999999999998</v>
      </c>
    </row>
    <row r="708" spans="3:61">
      <c r="C708">
        <v>0</v>
      </c>
      <c r="D708">
        <v>0</v>
      </c>
      <c r="E708">
        <v>0</v>
      </c>
      <c r="F708" t="s">
        <v>25021</v>
      </c>
      <c r="G708">
        <v>786</v>
      </c>
      <c r="H708" t="s">
        <v>4884</v>
      </c>
      <c r="I708" t="s">
        <v>62</v>
      </c>
      <c r="J708">
        <v>823719</v>
      </c>
      <c r="K708">
        <v>824717</v>
      </c>
      <c r="L708" t="s">
        <v>4885</v>
      </c>
      <c r="M708">
        <v>333</v>
      </c>
      <c r="N708" t="s">
        <v>1933</v>
      </c>
      <c r="O708">
        <v>39</v>
      </c>
      <c r="P708" t="str">
        <f>HYPERLINK("Gene786-zp_tree_all.dnd", "Gene786-tree")</f>
        <v>Gene786-tree</v>
      </c>
      <c r="Q708">
        <v>9</v>
      </c>
      <c r="R708">
        <v>4</v>
      </c>
      <c r="S708">
        <v>9</v>
      </c>
      <c r="T708">
        <v>4</v>
      </c>
      <c r="U708">
        <v>0.30769000000000002</v>
      </c>
      <c r="V708" t="s">
        <v>135</v>
      </c>
      <c r="W708" t="s">
        <v>61</v>
      </c>
      <c r="X708" t="s">
        <v>62</v>
      </c>
      <c r="Y708" t="s">
        <v>62</v>
      </c>
      <c r="Z708">
        <v>0</v>
      </c>
      <c r="AA708">
        <v>0</v>
      </c>
      <c r="AB708">
        <v>7</v>
      </c>
      <c r="AC708">
        <v>0</v>
      </c>
      <c r="AD708" s="47">
        <v>0</v>
      </c>
      <c r="AE708" s="47">
        <v>0</v>
      </c>
      <c r="AF708" s="47">
        <v>0</v>
      </c>
      <c r="AG708" s="47">
        <v>1</v>
      </c>
      <c r="AH708" s="47">
        <v>0</v>
      </c>
      <c r="AI708" s="47">
        <v>0</v>
      </c>
      <c r="AJ708" s="47">
        <v>0</v>
      </c>
      <c r="AK708" s="47">
        <v>0</v>
      </c>
      <c r="AL708">
        <v>4</v>
      </c>
      <c r="AM708">
        <v>0</v>
      </c>
      <c r="AN708">
        <v>11</v>
      </c>
      <c r="AO708">
        <v>10</v>
      </c>
      <c r="AP708">
        <v>44</v>
      </c>
      <c r="AQ708">
        <v>4</v>
      </c>
      <c r="AR708">
        <v>17</v>
      </c>
      <c r="AS708">
        <v>3</v>
      </c>
      <c r="AT708" t="s">
        <v>4886</v>
      </c>
      <c r="AU708" t="s">
        <v>4887</v>
      </c>
      <c r="AV708">
        <v>0.54900000000000004</v>
      </c>
      <c r="AW708" t="s">
        <v>65</v>
      </c>
      <c r="AX708">
        <v>61</v>
      </c>
      <c r="AY708">
        <v>7</v>
      </c>
      <c r="AZ708" t="s">
        <v>4888</v>
      </c>
      <c r="BA708">
        <v>4.3860000000000003E-2</v>
      </c>
      <c r="BB708">
        <v>-1.7700000000000001E-3</v>
      </c>
      <c r="BC708">
        <v>2.5400000000000002E-3</v>
      </c>
      <c r="BD708">
        <v>-1.8000000000000001E-4</v>
      </c>
      <c r="BE708">
        <v>5.7849999999999999E-2</v>
      </c>
      <c r="BF708">
        <v>1</v>
      </c>
      <c r="BG708" t="s">
        <v>69</v>
      </c>
      <c r="BH708">
        <v>-0.40200000000000002</v>
      </c>
      <c r="BI708">
        <v>-0.26400000000000001</v>
      </c>
    </row>
    <row r="709" spans="3:61">
      <c r="C709">
        <v>0</v>
      </c>
      <c r="D709">
        <v>2</v>
      </c>
      <c r="E709">
        <v>0</v>
      </c>
      <c r="F709" t="s">
        <v>25021</v>
      </c>
      <c r="G709">
        <v>1334</v>
      </c>
      <c r="H709" t="s">
        <v>8348</v>
      </c>
      <c r="I709" t="s">
        <v>62</v>
      </c>
      <c r="J709">
        <v>1349471</v>
      </c>
      <c r="K709">
        <v>1350469</v>
      </c>
      <c r="L709" t="s">
        <v>8349</v>
      </c>
      <c r="M709">
        <v>333</v>
      </c>
      <c r="N709" t="s">
        <v>1392</v>
      </c>
      <c r="O709">
        <v>43</v>
      </c>
      <c r="P709" t="str">
        <f>HYPERLINK("Gene1334-zp_tree_all.dnd", "Gene1334-tree")</f>
        <v>Gene1334-tree</v>
      </c>
      <c r="Q709">
        <v>23</v>
      </c>
      <c r="R709">
        <v>4</v>
      </c>
      <c r="S709">
        <v>7</v>
      </c>
      <c r="T709">
        <v>4</v>
      </c>
      <c r="U709">
        <v>0.36364000000000002</v>
      </c>
      <c r="V709" t="s">
        <v>8350</v>
      </c>
      <c r="W709" t="s">
        <v>61</v>
      </c>
      <c r="X709" t="s">
        <v>62</v>
      </c>
      <c r="Y709" t="s">
        <v>62</v>
      </c>
      <c r="Z709">
        <v>1</v>
      </c>
      <c r="AA709">
        <v>2</v>
      </c>
      <c r="AB709">
        <v>2</v>
      </c>
      <c r="AC709">
        <v>0.5</v>
      </c>
      <c r="AD709" s="47">
        <v>0</v>
      </c>
      <c r="AE709" s="47">
        <v>0</v>
      </c>
      <c r="AF709" s="47">
        <v>0</v>
      </c>
      <c r="AG709" s="47">
        <v>0</v>
      </c>
      <c r="AH709" s="47">
        <v>0</v>
      </c>
      <c r="AI709" s="47">
        <v>2</v>
      </c>
      <c r="AJ709" s="47">
        <v>0</v>
      </c>
      <c r="AK709" s="47">
        <v>2</v>
      </c>
      <c r="AL709">
        <v>2</v>
      </c>
      <c r="AM709">
        <v>0.5</v>
      </c>
      <c r="AN709">
        <v>10</v>
      </c>
      <c r="AO709">
        <v>4</v>
      </c>
      <c r="AP709">
        <v>18</v>
      </c>
      <c r="AQ709">
        <v>4</v>
      </c>
      <c r="AR709">
        <v>12</v>
      </c>
      <c r="AS709">
        <v>0</v>
      </c>
      <c r="AT709" t="s">
        <v>8351</v>
      </c>
      <c r="AU709" t="s">
        <v>193</v>
      </c>
      <c r="AV709">
        <v>1.454</v>
      </c>
      <c r="AW709" t="s">
        <v>65</v>
      </c>
      <c r="AX709">
        <v>30</v>
      </c>
      <c r="AY709">
        <v>4</v>
      </c>
      <c r="AZ709" t="s">
        <v>8352</v>
      </c>
      <c r="BA709">
        <v>2.7969999999999998E-2</v>
      </c>
      <c r="BB709">
        <v>-1.6999999999999999E-3</v>
      </c>
      <c r="BC709">
        <v>9.2000000000000003E-4</v>
      </c>
      <c r="BD709">
        <v>-1.1E-4</v>
      </c>
      <c r="BE709">
        <v>3.295E-2</v>
      </c>
      <c r="BF709">
        <v>1</v>
      </c>
      <c r="BG709" t="s">
        <v>69</v>
      </c>
      <c r="BH709">
        <v>-0.52700000000000002</v>
      </c>
      <c r="BI709">
        <v>-1.2050000000000001</v>
      </c>
    </row>
    <row r="710" spans="3:61">
      <c r="C710">
        <v>0</v>
      </c>
      <c r="D710">
        <v>9</v>
      </c>
      <c r="E710">
        <v>0</v>
      </c>
      <c r="F710" t="s">
        <v>25021</v>
      </c>
      <c r="G710">
        <v>3175</v>
      </c>
      <c r="H710" t="s">
        <v>18465</v>
      </c>
      <c r="I710" t="s">
        <v>57</v>
      </c>
      <c r="J710">
        <v>3132370</v>
      </c>
      <c r="K710">
        <v>3133371</v>
      </c>
      <c r="L710" t="s">
        <v>18466</v>
      </c>
      <c r="M710">
        <v>334</v>
      </c>
      <c r="N710" t="s">
        <v>108</v>
      </c>
      <c r="O710">
        <v>44</v>
      </c>
      <c r="P710" t="str">
        <f>HYPERLINK("Gene3175-zp_tree_all.dnd", "Gene3175-tree")</f>
        <v>Gene3175-tree</v>
      </c>
      <c r="Q710">
        <v>5</v>
      </c>
      <c r="R710">
        <v>33</v>
      </c>
      <c r="S710">
        <v>5</v>
      </c>
      <c r="T710">
        <v>9</v>
      </c>
      <c r="U710">
        <v>0.64285999999999999</v>
      </c>
      <c r="V710" t="s">
        <v>199</v>
      </c>
      <c r="W710" t="s">
        <v>18467</v>
      </c>
      <c r="X710">
        <v>3.5139999999999998</v>
      </c>
      <c r="Y710" t="s">
        <v>65</v>
      </c>
      <c r="Z710">
        <v>3</v>
      </c>
      <c r="AA710">
        <v>9</v>
      </c>
      <c r="AB710">
        <v>5</v>
      </c>
      <c r="AC710">
        <v>0.64285999999999999</v>
      </c>
      <c r="AD710" s="47">
        <v>0</v>
      </c>
      <c r="AE710" s="47">
        <v>0</v>
      </c>
      <c r="AF710" s="47">
        <v>0</v>
      </c>
      <c r="AG710" s="47">
        <v>1</v>
      </c>
      <c r="AH710" s="47">
        <v>0</v>
      </c>
      <c r="AI710" s="47">
        <v>7</v>
      </c>
      <c r="AJ710" s="47">
        <v>0</v>
      </c>
      <c r="AK710" s="47">
        <v>7</v>
      </c>
      <c r="AL710">
        <v>3</v>
      </c>
      <c r="AM710">
        <v>0.7</v>
      </c>
      <c r="AN710">
        <v>11</v>
      </c>
      <c r="AO710">
        <v>8</v>
      </c>
      <c r="AP710">
        <v>24</v>
      </c>
      <c r="AQ710">
        <v>10</v>
      </c>
      <c r="AR710">
        <v>10</v>
      </c>
      <c r="AS710">
        <v>6</v>
      </c>
      <c r="AT710" t="s">
        <v>18468</v>
      </c>
      <c r="AU710" t="s">
        <v>18469</v>
      </c>
      <c r="AV710">
        <v>0.33400000000000002</v>
      </c>
      <c r="AW710" t="s">
        <v>65</v>
      </c>
      <c r="AX710">
        <v>34</v>
      </c>
      <c r="AY710">
        <v>16</v>
      </c>
      <c r="AZ710" t="s">
        <v>18470</v>
      </c>
      <c r="BA710">
        <v>3.007E-2</v>
      </c>
      <c r="BB710">
        <v>-1.5499999999999999E-3</v>
      </c>
      <c r="BC710">
        <v>3.8E-3</v>
      </c>
      <c r="BD710">
        <v>-1.9000000000000001E-4</v>
      </c>
      <c r="BE710">
        <v>0.12631999999999999</v>
      </c>
      <c r="BF710">
        <v>1</v>
      </c>
      <c r="BG710" t="s">
        <v>69</v>
      </c>
      <c r="BH710">
        <v>-1.054</v>
      </c>
      <c r="BI710">
        <v>-0.77500000000000002</v>
      </c>
    </row>
    <row r="711" spans="3:61">
      <c r="C711">
        <v>0</v>
      </c>
      <c r="D711">
        <v>2</v>
      </c>
      <c r="E711">
        <v>0</v>
      </c>
      <c r="F711" t="s">
        <v>25021</v>
      </c>
      <c r="G711">
        <v>163</v>
      </c>
      <c r="H711" t="s">
        <v>1152</v>
      </c>
      <c r="I711" t="s">
        <v>62</v>
      </c>
      <c r="J711">
        <v>181350</v>
      </c>
      <c r="K711">
        <v>182351</v>
      </c>
      <c r="L711" t="s">
        <v>1153</v>
      </c>
      <c r="M711">
        <v>334</v>
      </c>
      <c r="N711" t="s">
        <v>108</v>
      </c>
      <c r="O711">
        <v>44</v>
      </c>
      <c r="P711" t="str">
        <f>HYPERLINK("Gene163-zp_tree_all.dnd", "Gene163-tree")</f>
        <v>Gene163-tree</v>
      </c>
      <c r="Q711">
        <v>29</v>
      </c>
      <c r="R711">
        <v>4</v>
      </c>
      <c r="S711">
        <v>9</v>
      </c>
      <c r="T711">
        <v>4</v>
      </c>
      <c r="U711">
        <v>0.30769000000000002</v>
      </c>
      <c r="V711" t="s">
        <v>234</v>
      </c>
      <c r="W711" t="s">
        <v>61</v>
      </c>
      <c r="X711" t="s">
        <v>62</v>
      </c>
      <c r="Y711" t="s">
        <v>62</v>
      </c>
      <c r="Z711">
        <v>1</v>
      </c>
      <c r="AA711">
        <v>2</v>
      </c>
      <c r="AB711">
        <v>3</v>
      </c>
      <c r="AC711">
        <v>0.4</v>
      </c>
      <c r="AD711" s="47">
        <v>0</v>
      </c>
      <c r="AE711" s="47">
        <v>0</v>
      </c>
      <c r="AF711" s="47">
        <v>0</v>
      </c>
      <c r="AG711" s="47">
        <v>0</v>
      </c>
      <c r="AH711" s="47">
        <v>0</v>
      </c>
      <c r="AI711" s="47">
        <v>2</v>
      </c>
      <c r="AJ711" s="47">
        <v>0</v>
      </c>
      <c r="AK711" s="47">
        <v>2</v>
      </c>
      <c r="AL711">
        <v>2</v>
      </c>
      <c r="AM711">
        <v>0.5</v>
      </c>
      <c r="AN711">
        <v>10</v>
      </c>
      <c r="AO711">
        <v>9</v>
      </c>
      <c r="AP711">
        <v>33</v>
      </c>
      <c r="AQ711">
        <v>4</v>
      </c>
      <c r="AR711">
        <v>23</v>
      </c>
      <c r="AS711">
        <v>1</v>
      </c>
      <c r="AT711" t="s">
        <v>1154</v>
      </c>
      <c r="AU711" t="s">
        <v>1155</v>
      </c>
      <c r="AV711">
        <v>0.54200000000000004</v>
      </c>
      <c r="AW711" t="s">
        <v>65</v>
      </c>
      <c r="AX711">
        <v>56</v>
      </c>
      <c r="AY711">
        <v>5</v>
      </c>
      <c r="AZ711" t="s">
        <v>1156</v>
      </c>
      <c r="BA711">
        <v>4.0640000000000003E-2</v>
      </c>
      <c r="BB711">
        <v>-1.5299999999999999E-3</v>
      </c>
      <c r="BC711">
        <v>1.4599999999999999E-3</v>
      </c>
      <c r="BD711">
        <v>-1.1E-4</v>
      </c>
      <c r="BE711">
        <v>3.5920000000000001E-2</v>
      </c>
      <c r="BF711">
        <v>1</v>
      </c>
      <c r="BG711" t="s">
        <v>69</v>
      </c>
      <c r="BH711">
        <v>-0.68100000000000005</v>
      </c>
      <c r="BI711">
        <v>-0.432</v>
      </c>
    </row>
    <row r="712" spans="3:61">
      <c r="C712">
        <v>0</v>
      </c>
      <c r="D712">
        <v>0</v>
      </c>
      <c r="E712">
        <v>0</v>
      </c>
      <c r="F712" t="s">
        <v>25021</v>
      </c>
      <c r="G712">
        <v>1504</v>
      </c>
      <c r="H712" t="s">
        <v>9406</v>
      </c>
      <c r="I712" t="s">
        <v>62</v>
      </c>
      <c r="J712">
        <v>1516577</v>
      </c>
      <c r="K712">
        <v>1517581</v>
      </c>
      <c r="L712" t="s">
        <v>9407</v>
      </c>
      <c r="M712">
        <v>335</v>
      </c>
      <c r="N712" t="s">
        <v>108</v>
      </c>
      <c r="O712">
        <v>44</v>
      </c>
      <c r="P712" t="str">
        <f>HYPERLINK("Gene1504-zp_tree_all.dnd", "Gene1504-tree")</f>
        <v>Gene1504-tree</v>
      </c>
      <c r="Q712">
        <v>8</v>
      </c>
      <c r="R712">
        <v>6</v>
      </c>
      <c r="S712">
        <v>8</v>
      </c>
      <c r="T712">
        <v>6</v>
      </c>
      <c r="U712">
        <v>0.42857000000000001</v>
      </c>
      <c r="V712" t="s">
        <v>136</v>
      </c>
      <c r="W712" t="s">
        <v>90</v>
      </c>
      <c r="X712" t="s">
        <v>62</v>
      </c>
      <c r="Y712" t="s">
        <v>62</v>
      </c>
      <c r="Z712">
        <v>0</v>
      </c>
      <c r="AA712">
        <v>0</v>
      </c>
      <c r="AB712">
        <v>6</v>
      </c>
      <c r="AC712">
        <v>0</v>
      </c>
      <c r="AD712" s="47">
        <v>0</v>
      </c>
      <c r="AE712" s="47">
        <v>0</v>
      </c>
      <c r="AF712" s="47">
        <v>0</v>
      </c>
      <c r="AG712" s="47">
        <v>0</v>
      </c>
      <c r="AH712" s="47">
        <v>0</v>
      </c>
      <c r="AI712" s="47">
        <v>0</v>
      </c>
      <c r="AJ712" s="47">
        <v>0</v>
      </c>
      <c r="AK712" s="47">
        <v>0</v>
      </c>
      <c r="AL712">
        <v>6</v>
      </c>
      <c r="AM712">
        <v>0</v>
      </c>
      <c r="AN712">
        <v>11</v>
      </c>
      <c r="AO712">
        <v>6</v>
      </c>
      <c r="AP712">
        <v>26</v>
      </c>
      <c r="AQ712">
        <v>6</v>
      </c>
      <c r="AR712">
        <v>7</v>
      </c>
      <c r="AS712">
        <v>0</v>
      </c>
      <c r="AT712" t="s">
        <v>9408</v>
      </c>
      <c r="AU712" t="s">
        <v>193</v>
      </c>
      <c r="AV712">
        <v>2.16</v>
      </c>
      <c r="AW712" t="s">
        <v>267</v>
      </c>
      <c r="AX712">
        <v>33</v>
      </c>
      <c r="AY712">
        <v>6</v>
      </c>
      <c r="AZ712" t="s">
        <v>8097</v>
      </c>
      <c r="BA712">
        <v>2.733E-2</v>
      </c>
      <c r="BB712">
        <v>-1.5900000000000001E-3</v>
      </c>
      <c r="BC712">
        <v>1.1199999999999999E-3</v>
      </c>
      <c r="BD712">
        <v>-9.0000000000000006E-5</v>
      </c>
      <c r="BE712">
        <v>4.1110000000000001E-2</v>
      </c>
      <c r="BF712">
        <v>1</v>
      </c>
      <c r="BG712" t="s">
        <v>69</v>
      </c>
      <c r="BH712">
        <v>-1.625</v>
      </c>
      <c r="BI712">
        <v>-2.42</v>
      </c>
    </row>
    <row r="713" spans="3:61">
      <c r="C713">
        <v>0</v>
      </c>
      <c r="D713">
        <v>2</v>
      </c>
      <c r="E713">
        <v>0</v>
      </c>
      <c r="F713" t="s">
        <v>25021</v>
      </c>
      <c r="G713">
        <v>162</v>
      </c>
      <c r="H713" t="s">
        <v>1145</v>
      </c>
      <c r="I713" t="s">
        <v>62</v>
      </c>
      <c r="J713">
        <v>180347</v>
      </c>
      <c r="K713">
        <v>181354</v>
      </c>
      <c r="L713" t="s">
        <v>1146</v>
      </c>
      <c r="M713">
        <v>336</v>
      </c>
      <c r="N713" t="s">
        <v>108</v>
      </c>
      <c r="O713">
        <v>44</v>
      </c>
      <c r="P713" t="str">
        <f>HYPERLINK("Gene162-zp_tree_all.dnd", "Gene162-tree")</f>
        <v>Gene162-tree</v>
      </c>
      <c r="Q713">
        <v>29</v>
      </c>
      <c r="R713">
        <v>6</v>
      </c>
      <c r="S713">
        <v>9</v>
      </c>
      <c r="T713">
        <v>6</v>
      </c>
      <c r="U713">
        <v>0.4</v>
      </c>
      <c r="V713" t="s">
        <v>234</v>
      </c>
      <c r="W713" t="s">
        <v>90</v>
      </c>
      <c r="X713" t="s">
        <v>62</v>
      </c>
      <c r="Y713" t="s">
        <v>62</v>
      </c>
      <c r="Z713">
        <v>1</v>
      </c>
      <c r="AA713">
        <v>2</v>
      </c>
      <c r="AB713">
        <v>7</v>
      </c>
      <c r="AC713">
        <v>0.22222</v>
      </c>
      <c r="AD713" s="47">
        <v>0</v>
      </c>
      <c r="AE713" s="47">
        <v>0</v>
      </c>
      <c r="AF713" s="47">
        <v>0</v>
      </c>
      <c r="AG713" s="47">
        <v>1</v>
      </c>
      <c r="AH713" s="47">
        <v>0</v>
      </c>
      <c r="AI713" s="47">
        <v>0</v>
      </c>
      <c r="AJ713" s="47">
        <v>0</v>
      </c>
      <c r="AK713" s="47">
        <v>0</v>
      </c>
      <c r="AL713">
        <v>6</v>
      </c>
      <c r="AM713">
        <v>0</v>
      </c>
      <c r="AN713">
        <v>12</v>
      </c>
      <c r="AO713">
        <v>8</v>
      </c>
      <c r="AP713">
        <v>29</v>
      </c>
      <c r="AQ713">
        <v>6</v>
      </c>
      <c r="AR713">
        <v>24</v>
      </c>
      <c r="AS713">
        <v>3</v>
      </c>
      <c r="AT713" t="s">
        <v>1147</v>
      </c>
      <c r="AU713" t="s">
        <v>1148</v>
      </c>
      <c r="AV713">
        <v>0.57299999999999995</v>
      </c>
      <c r="AW713" t="s">
        <v>65</v>
      </c>
      <c r="AX713">
        <v>53</v>
      </c>
      <c r="AY713">
        <v>9</v>
      </c>
      <c r="AZ713" t="s">
        <v>1149</v>
      </c>
      <c r="BA713">
        <v>3.2710000000000003E-2</v>
      </c>
      <c r="BB713">
        <v>-1.1900000000000001E-3</v>
      </c>
      <c r="BC713">
        <v>2.0100000000000001E-3</v>
      </c>
      <c r="BD713">
        <v>-1.2999999999999999E-4</v>
      </c>
      <c r="BE713">
        <v>6.132E-2</v>
      </c>
      <c r="BF713">
        <v>1</v>
      </c>
      <c r="BG713" t="s">
        <v>69</v>
      </c>
      <c r="BH713">
        <v>-0.42499999999999999</v>
      </c>
      <c r="BI713">
        <v>-1.2470000000000001</v>
      </c>
    </row>
    <row r="714" spans="3:61">
      <c r="C714">
        <v>0</v>
      </c>
      <c r="D714">
        <v>0</v>
      </c>
      <c r="E714">
        <v>0</v>
      </c>
      <c r="F714" t="s">
        <v>25021</v>
      </c>
      <c r="G714">
        <v>2482</v>
      </c>
      <c r="H714" t="s">
        <v>14473</v>
      </c>
      <c r="I714" t="s">
        <v>57</v>
      </c>
      <c r="J714">
        <v>2475843</v>
      </c>
      <c r="K714">
        <v>2476856</v>
      </c>
      <c r="L714" t="s">
        <v>14474</v>
      </c>
      <c r="M714">
        <v>338</v>
      </c>
      <c r="N714" t="s">
        <v>108</v>
      </c>
      <c r="O714">
        <v>44</v>
      </c>
      <c r="P714" t="str">
        <f>HYPERLINK("Gene2482-zp_tree_all.dnd", "Gene2482-tree")</f>
        <v>Gene2482-tree</v>
      </c>
      <c r="Q714">
        <v>9</v>
      </c>
      <c r="R714">
        <v>4</v>
      </c>
      <c r="S714">
        <v>9</v>
      </c>
      <c r="T714">
        <v>4</v>
      </c>
      <c r="U714">
        <v>0.30769000000000002</v>
      </c>
      <c r="V714" t="s">
        <v>135</v>
      </c>
      <c r="W714" t="s">
        <v>61</v>
      </c>
      <c r="X714" t="s">
        <v>62</v>
      </c>
      <c r="Y714" t="s">
        <v>62</v>
      </c>
      <c r="Z714">
        <v>0</v>
      </c>
      <c r="AA714">
        <v>0</v>
      </c>
      <c r="AB714">
        <v>5</v>
      </c>
      <c r="AC714">
        <v>0</v>
      </c>
      <c r="AD714" s="47">
        <v>0</v>
      </c>
      <c r="AE714" s="47">
        <v>0</v>
      </c>
      <c r="AF714" s="47">
        <v>0</v>
      </c>
      <c r="AG714" s="47">
        <v>0</v>
      </c>
      <c r="AH714" s="47">
        <v>0</v>
      </c>
      <c r="AI714" s="47">
        <v>0</v>
      </c>
      <c r="AJ714" s="47">
        <v>0</v>
      </c>
      <c r="AK714" s="47">
        <v>0</v>
      </c>
      <c r="AL714">
        <v>5</v>
      </c>
      <c r="AM714">
        <v>0</v>
      </c>
      <c r="AN714">
        <v>13</v>
      </c>
      <c r="AO714">
        <v>6</v>
      </c>
      <c r="AP714">
        <v>37</v>
      </c>
      <c r="AQ714">
        <v>5</v>
      </c>
      <c r="AR714">
        <v>13</v>
      </c>
      <c r="AS714">
        <v>0</v>
      </c>
      <c r="AT714" t="s">
        <v>14475</v>
      </c>
      <c r="AU714" t="s">
        <v>193</v>
      </c>
      <c r="AV714">
        <v>1.1779999999999999</v>
      </c>
      <c r="AW714" t="s">
        <v>65</v>
      </c>
      <c r="AX714">
        <v>50</v>
      </c>
      <c r="AY714">
        <v>5</v>
      </c>
      <c r="AZ714" t="s">
        <v>14476</v>
      </c>
      <c r="BA714">
        <v>3.9379999999999998E-2</v>
      </c>
      <c r="BB714">
        <v>-1.6100000000000001E-3</v>
      </c>
      <c r="BC714">
        <v>9.1E-4</v>
      </c>
      <c r="BD714">
        <v>-1.1E-4</v>
      </c>
      <c r="BE714">
        <v>2.3060000000000001E-2</v>
      </c>
      <c r="BF714">
        <v>1</v>
      </c>
      <c r="BG714" t="s">
        <v>69</v>
      </c>
      <c r="BH714">
        <v>-0.83299999999999996</v>
      </c>
      <c r="BI714">
        <v>-1.194</v>
      </c>
    </row>
    <row r="715" spans="3:61">
      <c r="C715">
        <v>0</v>
      </c>
      <c r="D715">
        <v>0</v>
      </c>
      <c r="E715">
        <v>0</v>
      </c>
      <c r="F715" t="s">
        <v>25021</v>
      </c>
      <c r="G715">
        <v>2201</v>
      </c>
      <c r="H715" t="s">
        <v>12985</v>
      </c>
      <c r="I715" t="s">
        <v>57</v>
      </c>
      <c r="J715">
        <v>2236269</v>
      </c>
      <c r="K715">
        <v>2237282</v>
      </c>
      <c r="L715" t="s">
        <v>12900</v>
      </c>
      <c r="M715">
        <v>338</v>
      </c>
      <c r="N715" t="s">
        <v>12957</v>
      </c>
      <c r="O715">
        <v>17</v>
      </c>
      <c r="P715" t="str">
        <f>HYPERLINK("Gene2201-zp_tree_all.dnd", "Gene2201-tree")</f>
        <v>Gene2201-tree</v>
      </c>
      <c r="Q715">
        <v>2</v>
      </c>
      <c r="R715">
        <v>15</v>
      </c>
      <c r="S715">
        <v>2</v>
      </c>
      <c r="T715">
        <v>2</v>
      </c>
      <c r="U715">
        <v>0.5</v>
      </c>
      <c r="V715" t="s">
        <v>81</v>
      </c>
      <c r="W715" t="s">
        <v>12915</v>
      </c>
      <c r="X715">
        <v>3.3639999999999999</v>
      </c>
      <c r="Y715" t="s">
        <v>65</v>
      </c>
      <c r="Z715">
        <v>0</v>
      </c>
      <c r="AA715">
        <v>0</v>
      </c>
      <c r="AB715">
        <v>2</v>
      </c>
      <c r="AC715">
        <v>0</v>
      </c>
      <c r="AD715" s="47">
        <v>0</v>
      </c>
      <c r="AE715" s="47">
        <v>0</v>
      </c>
      <c r="AF715" s="47">
        <v>0</v>
      </c>
      <c r="AG715" s="47">
        <v>0</v>
      </c>
      <c r="AH715" s="47">
        <v>0</v>
      </c>
      <c r="AI715" s="47">
        <v>0</v>
      </c>
      <c r="AJ715" s="47">
        <v>0</v>
      </c>
      <c r="AK715" s="47">
        <v>0</v>
      </c>
      <c r="AL715">
        <v>2</v>
      </c>
      <c r="AM715">
        <v>0</v>
      </c>
      <c r="AN715">
        <v>4</v>
      </c>
      <c r="AO715">
        <v>1</v>
      </c>
      <c r="AP715">
        <v>48</v>
      </c>
      <c r="AQ715">
        <v>2</v>
      </c>
      <c r="AR715">
        <v>10</v>
      </c>
      <c r="AS715">
        <v>0</v>
      </c>
      <c r="AT715" t="s">
        <v>12986</v>
      </c>
      <c r="AU715" t="s">
        <v>193</v>
      </c>
      <c r="AV715">
        <v>1.21</v>
      </c>
      <c r="AW715" t="s">
        <v>65</v>
      </c>
      <c r="AX715">
        <v>58</v>
      </c>
      <c r="AY715">
        <v>2</v>
      </c>
      <c r="AZ715" t="s">
        <v>12987</v>
      </c>
      <c r="BA715">
        <v>0.13947999999999999</v>
      </c>
      <c r="BB715">
        <v>-2.315E-2</v>
      </c>
      <c r="BC715">
        <v>1.2899999999999999E-3</v>
      </c>
      <c r="BD715">
        <v>-2.9999999999999997E-4</v>
      </c>
      <c r="BE715">
        <v>9.2300000000000004E-3</v>
      </c>
      <c r="BF715">
        <v>1</v>
      </c>
      <c r="BG715" t="s">
        <v>69</v>
      </c>
      <c r="BH715">
        <v>-2.121</v>
      </c>
      <c r="BI715">
        <v>-3.0430000000000001</v>
      </c>
    </row>
    <row r="716" spans="3:61">
      <c r="C716">
        <v>0</v>
      </c>
      <c r="D716">
        <v>0</v>
      </c>
      <c r="E716">
        <v>2</v>
      </c>
      <c r="F716" t="s">
        <v>25021</v>
      </c>
      <c r="G716">
        <v>514</v>
      </c>
      <c r="H716" t="s">
        <v>3331</v>
      </c>
      <c r="I716" t="s">
        <v>62</v>
      </c>
      <c r="J716">
        <v>550243</v>
      </c>
      <c r="K716">
        <v>551259</v>
      </c>
      <c r="L716" t="s">
        <v>3332</v>
      </c>
      <c r="M716">
        <v>339</v>
      </c>
      <c r="N716" t="s">
        <v>3333</v>
      </c>
      <c r="O716">
        <v>23</v>
      </c>
      <c r="P716" t="str">
        <f>HYPERLINK("Gene514-zp_tree_all.dnd", "Gene514-tree")</f>
        <v>Gene514-tree</v>
      </c>
      <c r="Q716">
        <v>1</v>
      </c>
      <c r="R716">
        <v>3</v>
      </c>
      <c r="S716">
        <v>1</v>
      </c>
      <c r="T716">
        <v>3</v>
      </c>
      <c r="U716">
        <v>0.75</v>
      </c>
      <c r="V716" t="s">
        <v>175</v>
      </c>
      <c r="W716" t="s">
        <v>324</v>
      </c>
      <c r="X716" t="s">
        <v>62</v>
      </c>
      <c r="Y716" t="s">
        <v>62</v>
      </c>
      <c r="Z716">
        <v>1</v>
      </c>
      <c r="AA716">
        <v>2</v>
      </c>
      <c r="AB716">
        <v>17</v>
      </c>
      <c r="AC716">
        <v>0.10526000000000001</v>
      </c>
      <c r="AD716" s="47">
        <v>0</v>
      </c>
      <c r="AE716" s="47">
        <v>0</v>
      </c>
      <c r="AF716" s="47">
        <v>0</v>
      </c>
      <c r="AG716" s="47">
        <v>0</v>
      </c>
      <c r="AH716" s="47">
        <v>0</v>
      </c>
      <c r="AI716" s="47">
        <v>0</v>
      </c>
      <c r="AJ716" s="47">
        <v>0</v>
      </c>
      <c r="AK716" s="47">
        <v>0</v>
      </c>
      <c r="AL716">
        <v>10</v>
      </c>
      <c r="AM716">
        <v>0</v>
      </c>
      <c r="AN716">
        <v>4</v>
      </c>
      <c r="AO716">
        <v>1</v>
      </c>
      <c r="AP716">
        <v>18</v>
      </c>
      <c r="AQ716">
        <v>10</v>
      </c>
      <c r="AR716">
        <v>5</v>
      </c>
      <c r="AS716">
        <v>9</v>
      </c>
      <c r="AT716" t="s">
        <v>3334</v>
      </c>
      <c r="AU716" t="s">
        <v>3335</v>
      </c>
      <c r="AV716">
        <v>2.9529999999999998</v>
      </c>
      <c r="AW716" t="s">
        <v>65</v>
      </c>
      <c r="AX716">
        <v>23</v>
      </c>
      <c r="AY716">
        <v>19</v>
      </c>
      <c r="AZ716" t="s">
        <v>3336</v>
      </c>
      <c r="BA716">
        <v>5.5109999999999999E-2</v>
      </c>
      <c r="BB716">
        <v>-9.7099999999999999E-3</v>
      </c>
      <c r="BC716">
        <v>1.423E-2</v>
      </c>
      <c r="BD716">
        <v>-2.5699999999999998E-3</v>
      </c>
      <c r="BE716">
        <v>0.25813000000000003</v>
      </c>
      <c r="BF716">
        <v>1</v>
      </c>
      <c r="BG716" t="s">
        <v>69</v>
      </c>
      <c r="BH716">
        <v>-2.1779999999999999</v>
      </c>
      <c r="BI716">
        <v>-2.3460000000000001</v>
      </c>
    </row>
    <row r="717" spans="3:61">
      <c r="C717">
        <v>0</v>
      </c>
      <c r="D717">
        <v>2</v>
      </c>
      <c r="E717">
        <v>2</v>
      </c>
      <c r="F717" t="s">
        <v>25021</v>
      </c>
      <c r="G717">
        <v>782</v>
      </c>
      <c r="H717" t="s">
        <v>4864</v>
      </c>
      <c r="I717" t="s">
        <v>62</v>
      </c>
      <c r="J717">
        <v>817813</v>
      </c>
      <c r="K717">
        <v>818829</v>
      </c>
      <c r="L717" t="s">
        <v>1940</v>
      </c>
      <c r="M717">
        <v>339</v>
      </c>
      <c r="N717" t="s">
        <v>1933</v>
      </c>
      <c r="O717">
        <v>39</v>
      </c>
      <c r="P717" t="str">
        <f>HYPERLINK("Gene782-zp_tree_all.dnd", "Gene782-tree")</f>
        <v>Gene782-tree</v>
      </c>
      <c r="Q717">
        <v>4</v>
      </c>
      <c r="R717">
        <v>7</v>
      </c>
      <c r="S717">
        <v>4</v>
      </c>
      <c r="T717">
        <v>7</v>
      </c>
      <c r="U717">
        <v>0.63636000000000004</v>
      </c>
      <c r="V717" t="s">
        <v>61</v>
      </c>
      <c r="W717" t="s">
        <v>152</v>
      </c>
      <c r="X717" t="s">
        <v>62</v>
      </c>
      <c r="Y717" t="s">
        <v>62</v>
      </c>
      <c r="Z717">
        <v>2</v>
      </c>
      <c r="AA717">
        <v>4</v>
      </c>
      <c r="AB717">
        <v>14</v>
      </c>
      <c r="AC717">
        <v>0.22222</v>
      </c>
      <c r="AD717" s="47">
        <v>0</v>
      </c>
      <c r="AE717" s="47">
        <v>0</v>
      </c>
      <c r="AF717" s="47">
        <v>0</v>
      </c>
      <c r="AG717" s="47">
        <v>1</v>
      </c>
      <c r="AH717" s="47">
        <v>0</v>
      </c>
      <c r="AI717" s="47">
        <v>0</v>
      </c>
      <c r="AJ717" s="47">
        <v>2</v>
      </c>
      <c r="AK717" s="47">
        <v>2</v>
      </c>
      <c r="AL717">
        <v>11</v>
      </c>
      <c r="AM717">
        <v>0.15384999999999999</v>
      </c>
      <c r="AN717">
        <v>8</v>
      </c>
      <c r="AO717">
        <v>8</v>
      </c>
      <c r="AP717">
        <v>38</v>
      </c>
      <c r="AQ717">
        <v>11</v>
      </c>
      <c r="AR717">
        <v>22</v>
      </c>
      <c r="AS717">
        <v>7</v>
      </c>
      <c r="AT717" t="s">
        <v>4865</v>
      </c>
      <c r="AU717" t="s">
        <v>4866</v>
      </c>
      <c r="AV717">
        <v>0.108</v>
      </c>
      <c r="AW717" t="s">
        <v>65</v>
      </c>
      <c r="AX717">
        <v>60</v>
      </c>
      <c r="AY717">
        <v>18</v>
      </c>
      <c r="AZ717" t="s">
        <v>4867</v>
      </c>
      <c r="BA717">
        <v>5.8400000000000001E-2</v>
      </c>
      <c r="BB717">
        <v>-4.3299999999999996E-3</v>
      </c>
      <c r="BC717">
        <v>5.8399999999999997E-3</v>
      </c>
      <c r="BD717">
        <v>-4.6000000000000001E-4</v>
      </c>
      <c r="BE717">
        <v>9.9959999999999993E-2</v>
      </c>
      <c r="BF717">
        <v>1</v>
      </c>
      <c r="BG717" t="s">
        <v>69</v>
      </c>
      <c r="BH717">
        <v>-1.083</v>
      </c>
      <c r="BI717">
        <v>-1.9990000000000001</v>
      </c>
    </row>
    <row r="718" spans="3:61">
      <c r="C718">
        <v>0</v>
      </c>
      <c r="D718">
        <v>6</v>
      </c>
      <c r="E718">
        <v>0</v>
      </c>
      <c r="F718" t="s">
        <v>25021</v>
      </c>
      <c r="G718">
        <v>1404</v>
      </c>
      <c r="H718" t="s">
        <v>8787</v>
      </c>
      <c r="I718" t="s">
        <v>62</v>
      </c>
      <c r="J718">
        <v>1417941</v>
      </c>
      <c r="K718">
        <v>1418960</v>
      </c>
      <c r="L718" t="s">
        <v>8788</v>
      </c>
      <c r="M718">
        <v>340</v>
      </c>
      <c r="N718" t="s">
        <v>108</v>
      </c>
      <c r="O718">
        <v>44</v>
      </c>
      <c r="P718" t="str">
        <f>HYPERLINK("Gene1404-zp_tree_all.dnd", "Gene1404-tree")</f>
        <v>Gene1404-tree</v>
      </c>
      <c r="Q718">
        <v>11</v>
      </c>
      <c r="R718">
        <v>6</v>
      </c>
      <c r="S718">
        <v>11</v>
      </c>
      <c r="T718">
        <v>6</v>
      </c>
      <c r="U718">
        <v>0.35293999999999998</v>
      </c>
      <c r="V718" t="s">
        <v>73</v>
      </c>
      <c r="W718" t="s">
        <v>90</v>
      </c>
      <c r="X718" t="s">
        <v>62</v>
      </c>
      <c r="Y718" t="s">
        <v>62</v>
      </c>
      <c r="Z718">
        <v>3</v>
      </c>
      <c r="AA718">
        <v>6</v>
      </c>
      <c r="AB718">
        <v>6</v>
      </c>
      <c r="AC718">
        <v>0.5</v>
      </c>
      <c r="AD718" s="47">
        <v>0</v>
      </c>
      <c r="AE718" s="47">
        <v>0</v>
      </c>
      <c r="AF718" s="47">
        <v>0</v>
      </c>
      <c r="AG718" s="47">
        <v>1</v>
      </c>
      <c r="AH718" s="47">
        <v>0</v>
      </c>
      <c r="AI718" s="47">
        <v>4</v>
      </c>
      <c r="AJ718" s="47">
        <v>0</v>
      </c>
      <c r="AK718" s="47">
        <v>4</v>
      </c>
      <c r="AL718">
        <v>5</v>
      </c>
      <c r="AM718">
        <v>0.44444</v>
      </c>
      <c r="AN718">
        <v>13</v>
      </c>
      <c r="AO718">
        <v>8</v>
      </c>
      <c r="AP718">
        <v>22</v>
      </c>
      <c r="AQ718">
        <v>9</v>
      </c>
      <c r="AR718">
        <v>9</v>
      </c>
      <c r="AS718">
        <v>3</v>
      </c>
      <c r="AT718" t="s">
        <v>8789</v>
      </c>
      <c r="AU718" t="s">
        <v>8790</v>
      </c>
      <c r="AV718">
        <v>0.17</v>
      </c>
      <c r="AW718" t="s">
        <v>65</v>
      </c>
      <c r="AX718">
        <v>31</v>
      </c>
      <c r="AY718">
        <v>12</v>
      </c>
      <c r="AZ718" t="s">
        <v>8791</v>
      </c>
      <c r="BA718">
        <v>2.332E-2</v>
      </c>
      <c r="BB718">
        <v>-8.7000000000000001E-4</v>
      </c>
      <c r="BC718">
        <v>2.47E-3</v>
      </c>
      <c r="BD718">
        <v>-1.4999999999999999E-4</v>
      </c>
      <c r="BE718">
        <v>0.10605000000000001</v>
      </c>
      <c r="BF718">
        <v>1</v>
      </c>
      <c r="BG718" t="s">
        <v>69</v>
      </c>
      <c r="BH718">
        <v>-0.93200000000000005</v>
      </c>
      <c r="BI718">
        <v>-1.9930000000000001</v>
      </c>
    </row>
    <row r="719" spans="3:61">
      <c r="C719">
        <v>0</v>
      </c>
      <c r="D719">
        <v>4</v>
      </c>
      <c r="E719">
        <v>2</v>
      </c>
      <c r="F719" t="s">
        <v>25021</v>
      </c>
      <c r="G719">
        <v>654</v>
      </c>
      <c r="H719" t="s">
        <v>4064</v>
      </c>
      <c r="I719" t="s">
        <v>62</v>
      </c>
      <c r="J719">
        <v>674835</v>
      </c>
      <c r="K719">
        <v>675857</v>
      </c>
      <c r="L719" t="s">
        <v>4065</v>
      </c>
      <c r="M719">
        <v>341</v>
      </c>
      <c r="N719" t="s">
        <v>4066</v>
      </c>
      <c r="O719">
        <v>42</v>
      </c>
      <c r="P719" t="str">
        <f>HYPERLINK("Gene654-zp_tree_all.dnd", "Gene654-tree")</f>
        <v>Gene654-tree</v>
      </c>
      <c r="Q719">
        <v>23</v>
      </c>
      <c r="R719">
        <v>7</v>
      </c>
      <c r="S719">
        <v>6</v>
      </c>
      <c r="T719">
        <v>7</v>
      </c>
      <c r="U719">
        <v>0.53846000000000005</v>
      </c>
      <c r="V719" t="s">
        <v>3589</v>
      </c>
      <c r="W719" t="s">
        <v>152</v>
      </c>
      <c r="X719" t="s">
        <v>62</v>
      </c>
      <c r="Y719" t="s">
        <v>62</v>
      </c>
      <c r="Z719">
        <v>3</v>
      </c>
      <c r="AA719">
        <v>6</v>
      </c>
      <c r="AB719">
        <v>14</v>
      </c>
      <c r="AC719">
        <v>0.3</v>
      </c>
      <c r="AD719" s="47">
        <v>0</v>
      </c>
      <c r="AE719" s="47">
        <v>0</v>
      </c>
      <c r="AF719" s="47">
        <v>0</v>
      </c>
      <c r="AG719" s="47">
        <v>0</v>
      </c>
      <c r="AH719" s="47">
        <v>0</v>
      </c>
      <c r="AI719" s="47">
        <v>2</v>
      </c>
      <c r="AJ719" s="47">
        <v>2</v>
      </c>
      <c r="AK719" s="47">
        <v>4</v>
      </c>
      <c r="AL719">
        <v>12</v>
      </c>
      <c r="AM719">
        <v>0.25</v>
      </c>
      <c r="AN719">
        <v>12</v>
      </c>
      <c r="AO719">
        <v>8</v>
      </c>
      <c r="AP719">
        <v>34</v>
      </c>
      <c r="AQ719">
        <v>17</v>
      </c>
      <c r="AR719">
        <v>14</v>
      </c>
      <c r="AS719">
        <v>4</v>
      </c>
      <c r="AT719" t="s">
        <v>4067</v>
      </c>
      <c r="AU719" t="s">
        <v>4068</v>
      </c>
      <c r="AV719">
        <v>0.35299999999999998</v>
      </c>
      <c r="AW719" t="s">
        <v>65</v>
      </c>
      <c r="AX719">
        <v>48</v>
      </c>
      <c r="AY719">
        <v>21</v>
      </c>
      <c r="AZ719" t="s">
        <v>4069</v>
      </c>
      <c r="BA719">
        <v>4.0129999999999999E-2</v>
      </c>
      <c r="BB719">
        <v>-2.7000000000000001E-3</v>
      </c>
      <c r="BC719">
        <v>5.0899999999999999E-3</v>
      </c>
      <c r="BD719">
        <v>-3.8999999999999999E-4</v>
      </c>
      <c r="BE719">
        <v>0.12684000000000001</v>
      </c>
      <c r="BF719">
        <v>1</v>
      </c>
      <c r="BG719" t="s">
        <v>69</v>
      </c>
      <c r="BH719">
        <v>-1.232</v>
      </c>
      <c r="BI719">
        <v>-2.3650000000000002</v>
      </c>
    </row>
    <row r="720" spans="3:61">
      <c r="C720">
        <v>0</v>
      </c>
      <c r="D720">
        <v>14</v>
      </c>
      <c r="E720">
        <v>0</v>
      </c>
      <c r="F720" t="s">
        <v>25021</v>
      </c>
      <c r="G720">
        <v>3141</v>
      </c>
      <c r="H720" t="s">
        <v>18242</v>
      </c>
      <c r="I720" t="s">
        <v>57</v>
      </c>
      <c r="J720">
        <v>3096782</v>
      </c>
      <c r="K720">
        <v>3097813</v>
      </c>
      <c r="L720" t="s">
        <v>8035</v>
      </c>
      <c r="M720">
        <v>344</v>
      </c>
      <c r="N720" t="s">
        <v>108</v>
      </c>
      <c r="O720">
        <v>44</v>
      </c>
      <c r="P720" t="str">
        <f>HYPERLINK("Gene3141-zp_tree_all.dnd", "Gene3141-tree")</f>
        <v>Gene3141-tree</v>
      </c>
      <c r="Q720">
        <v>8</v>
      </c>
      <c r="R720">
        <v>9</v>
      </c>
      <c r="S720">
        <v>8</v>
      </c>
      <c r="T720">
        <v>9</v>
      </c>
      <c r="U720">
        <v>0.52941000000000005</v>
      </c>
      <c r="V720" t="s">
        <v>136</v>
      </c>
      <c r="W720" t="s">
        <v>135</v>
      </c>
      <c r="X720" t="s">
        <v>62</v>
      </c>
      <c r="Y720" t="s">
        <v>62</v>
      </c>
      <c r="Z720">
        <v>6</v>
      </c>
      <c r="AA720">
        <v>14</v>
      </c>
      <c r="AB720">
        <v>13</v>
      </c>
      <c r="AC720">
        <v>0.51851999999999998</v>
      </c>
      <c r="AD720" s="47">
        <v>0</v>
      </c>
      <c r="AE720" s="47">
        <v>0</v>
      </c>
      <c r="AF720" s="47">
        <v>0</v>
      </c>
      <c r="AG720" s="47">
        <v>0</v>
      </c>
      <c r="AH720" s="47">
        <v>0</v>
      </c>
      <c r="AI720" s="47">
        <v>6</v>
      </c>
      <c r="AJ720" s="47">
        <v>2</v>
      </c>
      <c r="AK720" s="47">
        <v>8</v>
      </c>
      <c r="AL720">
        <v>10</v>
      </c>
      <c r="AM720">
        <v>0.44444</v>
      </c>
      <c r="AN720">
        <v>15</v>
      </c>
      <c r="AO720">
        <v>12</v>
      </c>
      <c r="AP720">
        <v>49</v>
      </c>
      <c r="AQ720">
        <v>18</v>
      </c>
      <c r="AR720">
        <v>20</v>
      </c>
      <c r="AS720">
        <v>9</v>
      </c>
      <c r="AT720" t="s">
        <v>18243</v>
      </c>
      <c r="AU720" t="s">
        <v>18244</v>
      </c>
      <c r="AV720">
        <v>0.34399999999999997</v>
      </c>
      <c r="AW720" t="s">
        <v>65</v>
      </c>
      <c r="AX720">
        <v>69</v>
      </c>
      <c r="AY720">
        <v>27</v>
      </c>
      <c r="AZ720" t="s">
        <v>18245</v>
      </c>
      <c r="BA720">
        <v>4.4019999999999997E-2</v>
      </c>
      <c r="BB720">
        <v>-1.32E-3</v>
      </c>
      <c r="BC720">
        <v>5.0000000000000001E-3</v>
      </c>
      <c r="BD720">
        <v>-2.3000000000000001E-4</v>
      </c>
      <c r="BE720">
        <v>0.11358</v>
      </c>
      <c r="BF720">
        <v>1</v>
      </c>
      <c r="BG720" t="s">
        <v>69</v>
      </c>
      <c r="BH720">
        <v>-0.77800000000000002</v>
      </c>
      <c r="BI720">
        <v>7.0000000000000001E-3</v>
      </c>
    </row>
    <row r="721" spans="3:61">
      <c r="C721">
        <v>0</v>
      </c>
      <c r="D721">
        <v>0</v>
      </c>
      <c r="E721">
        <v>0</v>
      </c>
      <c r="F721" t="s">
        <v>25021</v>
      </c>
      <c r="G721">
        <v>1935</v>
      </c>
      <c r="H721" t="s">
        <v>12127</v>
      </c>
      <c r="I721" t="s">
        <v>57</v>
      </c>
      <c r="J721">
        <v>2034745</v>
      </c>
      <c r="K721">
        <v>2035779</v>
      </c>
      <c r="L721" t="s">
        <v>12128</v>
      </c>
      <c r="M721">
        <v>345</v>
      </c>
      <c r="N721" t="s">
        <v>2078</v>
      </c>
      <c r="O721">
        <v>36</v>
      </c>
      <c r="P721" t="str">
        <f>HYPERLINK("Gene1935-zp_tree_all.dnd", "Gene1935-tree")</f>
        <v>Gene1935-tree</v>
      </c>
      <c r="Q721">
        <v>7</v>
      </c>
      <c r="R721">
        <v>23</v>
      </c>
      <c r="S721">
        <v>7</v>
      </c>
      <c r="T721">
        <v>6</v>
      </c>
      <c r="U721">
        <v>0.46154000000000001</v>
      </c>
      <c r="V721" t="s">
        <v>152</v>
      </c>
      <c r="W721" t="s">
        <v>3589</v>
      </c>
      <c r="X721">
        <v>3.7679999999999998</v>
      </c>
      <c r="Y721" t="s">
        <v>65</v>
      </c>
      <c r="Z721">
        <v>0</v>
      </c>
      <c r="AA721">
        <v>0</v>
      </c>
      <c r="AB721">
        <v>11</v>
      </c>
      <c r="AC721">
        <v>0</v>
      </c>
      <c r="AD721" s="47">
        <v>0</v>
      </c>
      <c r="AE721" s="47">
        <v>0</v>
      </c>
      <c r="AF721" s="47">
        <v>0</v>
      </c>
      <c r="AG721" s="47">
        <v>1</v>
      </c>
      <c r="AH721" s="47">
        <v>0</v>
      </c>
      <c r="AI721" s="47">
        <v>0</v>
      </c>
      <c r="AJ721" s="47">
        <v>0</v>
      </c>
      <c r="AK721" s="47">
        <v>0</v>
      </c>
      <c r="AL721">
        <v>7</v>
      </c>
      <c r="AM721">
        <v>0</v>
      </c>
      <c r="AN721">
        <v>9</v>
      </c>
      <c r="AO721">
        <v>7</v>
      </c>
      <c r="AP721">
        <v>14</v>
      </c>
      <c r="AQ721">
        <v>7</v>
      </c>
      <c r="AR721">
        <v>8</v>
      </c>
      <c r="AS721">
        <v>4</v>
      </c>
      <c r="AT721" t="s">
        <v>12129</v>
      </c>
      <c r="AU721" t="s">
        <v>12130</v>
      </c>
      <c r="AV721">
        <v>2E-3</v>
      </c>
      <c r="AW721" t="s">
        <v>65</v>
      </c>
      <c r="AX721">
        <v>22</v>
      </c>
      <c r="AY721">
        <v>11</v>
      </c>
      <c r="AZ721" t="s">
        <v>12131</v>
      </c>
      <c r="BA721">
        <v>2.392E-2</v>
      </c>
      <c r="BB721">
        <v>-1.66E-3</v>
      </c>
      <c r="BC721">
        <v>3.4199999999999999E-3</v>
      </c>
      <c r="BD721">
        <v>-1.8000000000000001E-4</v>
      </c>
      <c r="BE721">
        <v>0.14288000000000001</v>
      </c>
      <c r="BF721">
        <v>1</v>
      </c>
      <c r="BG721" t="s">
        <v>69</v>
      </c>
      <c r="BH721">
        <v>-1.0920000000000001</v>
      </c>
      <c r="BI721">
        <v>-2.3660000000000001</v>
      </c>
    </row>
    <row r="722" spans="3:61">
      <c r="C722">
        <v>0</v>
      </c>
      <c r="D722">
        <v>9</v>
      </c>
      <c r="E722">
        <v>0</v>
      </c>
      <c r="F722" t="s">
        <v>25021</v>
      </c>
      <c r="G722">
        <v>3188</v>
      </c>
      <c r="H722" t="s">
        <v>18551</v>
      </c>
      <c r="I722" t="s">
        <v>57</v>
      </c>
      <c r="J722">
        <v>3140806</v>
      </c>
      <c r="K722">
        <v>3141843</v>
      </c>
      <c r="L722" t="s">
        <v>18552</v>
      </c>
      <c r="M722">
        <v>346</v>
      </c>
      <c r="N722" t="s">
        <v>108</v>
      </c>
      <c r="O722">
        <v>44</v>
      </c>
      <c r="P722" t="str">
        <f>HYPERLINK("Gene3188-zp_tree_all.dnd", "Gene3188-tree")</f>
        <v>Gene3188-tree</v>
      </c>
      <c r="Q722">
        <v>11</v>
      </c>
      <c r="R722">
        <v>4</v>
      </c>
      <c r="S722">
        <v>11</v>
      </c>
      <c r="T722">
        <v>4</v>
      </c>
      <c r="U722">
        <v>0.26667000000000002</v>
      </c>
      <c r="V722" t="s">
        <v>73</v>
      </c>
      <c r="W722" t="s">
        <v>61</v>
      </c>
      <c r="X722" t="s">
        <v>62</v>
      </c>
      <c r="Y722" t="s">
        <v>62</v>
      </c>
      <c r="Z722">
        <v>4</v>
      </c>
      <c r="AA722">
        <v>9</v>
      </c>
      <c r="AB722">
        <v>1</v>
      </c>
      <c r="AC722">
        <v>0.9</v>
      </c>
      <c r="AD722" s="47">
        <v>0</v>
      </c>
      <c r="AE722" s="47">
        <v>0</v>
      </c>
      <c r="AF722" s="47">
        <v>0</v>
      </c>
      <c r="AG722" s="47">
        <v>1</v>
      </c>
      <c r="AH722" s="47">
        <v>0</v>
      </c>
      <c r="AI722" s="47">
        <v>2</v>
      </c>
      <c r="AJ722" s="47">
        <v>0</v>
      </c>
      <c r="AK722" s="47">
        <v>2</v>
      </c>
      <c r="AL722">
        <v>3</v>
      </c>
      <c r="AM722">
        <v>0.4</v>
      </c>
      <c r="AN722">
        <v>11</v>
      </c>
      <c r="AO722">
        <v>12</v>
      </c>
      <c r="AP722">
        <v>34</v>
      </c>
      <c r="AQ722">
        <v>5</v>
      </c>
      <c r="AR722">
        <v>28</v>
      </c>
      <c r="AS722">
        <v>5</v>
      </c>
      <c r="AT722" t="s">
        <v>18553</v>
      </c>
      <c r="AU722" t="s">
        <v>18554</v>
      </c>
      <c r="AV722">
        <v>0.21</v>
      </c>
      <c r="AW722" t="s">
        <v>65</v>
      </c>
      <c r="AX722">
        <v>62</v>
      </c>
      <c r="AY722">
        <v>10</v>
      </c>
      <c r="AZ722" t="s">
        <v>18555</v>
      </c>
      <c r="BA722">
        <v>5.126E-2</v>
      </c>
      <c r="BB722">
        <v>-1.8600000000000001E-3</v>
      </c>
      <c r="BC722">
        <v>2.5300000000000001E-3</v>
      </c>
      <c r="BD722">
        <v>-1.4999999999999999E-4</v>
      </c>
      <c r="BE722">
        <v>4.9399999999999999E-2</v>
      </c>
      <c r="BF722">
        <v>1</v>
      </c>
      <c r="BG722" t="s">
        <v>69</v>
      </c>
      <c r="BH722">
        <v>0.17199999999999999</v>
      </c>
      <c r="BI722">
        <v>-0.25600000000000001</v>
      </c>
    </row>
    <row r="723" spans="3:61">
      <c r="C723">
        <v>0</v>
      </c>
      <c r="D723">
        <v>0</v>
      </c>
      <c r="E723">
        <v>0</v>
      </c>
      <c r="F723" t="s">
        <v>25021</v>
      </c>
      <c r="G723">
        <v>656</v>
      </c>
      <c r="H723" t="s">
        <v>4079</v>
      </c>
      <c r="I723" t="s">
        <v>62</v>
      </c>
      <c r="J723">
        <v>677914</v>
      </c>
      <c r="K723">
        <v>678951</v>
      </c>
      <c r="L723" t="s">
        <v>4080</v>
      </c>
      <c r="M723">
        <v>346</v>
      </c>
      <c r="N723" t="s">
        <v>4013</v>
      </c>
      <c r="O723">
        <v>43</v>
      </c>
      <c r="P723" t="str">
        <f>HYPERLINK("Gene656-zp_tree_all.dnd", "Gene656-tree")</f>
        <v>Gene656-tree</v>
      </c>
      <c r="Q723">
        <v>13</v>
      </c>
      <c r="R723">
        <v>2</v>
      </c>
      <c r="S723">
        <v>13</v>
      </c>
      <c r="T723">
        <v>2</v>
      </c>
      <c r="U723">
        <v>0.13333</v>
      </c>
      <c r="V723" t="s">
        <v>507</v>
      </c>
      <c r="W723" t="s">
        <v>81</v>
      </c>
      <c r="X723" t="s">
        <v>62</v>
      </c>
      <c r="Y723" t="s">
        <v>62</v>
      </c>
      <c r="Z723">
        <v>0</v>
      </c>
      <c r="AA723">
        <v>0</v>
      </c>
      <c r="AB723">
        <v>3</v>
      </c>
      <c r="AC723">
        <v>0</v>
      </c>
      <c r="AD723" s="47">
        <v>0</v>
      </c>
      <c r="AE723" s="47">
        <v>0</v>
      </c>
      <c r="AF723" s="47">
        <v>0</v>
      </c>
      <c r="AG723" s="47">
        <v>0</v>
      </c>
      <c r="AH723" s="47">
        <v>0</v>
      </c>
      <c r="AI723" s="47">
        <v>0</v>
      </c>
      <c r="AJ723" s="47">
        <v>0</v>
      </c>
      <c r="AK723" s="47">
        <v>0</v>
      </c>
      <c r="AL723">
        <v>2</v>
      </c>
      <c r="AM723">
        <v>0</v>
      </c>
      <c r="AN723">
        <v>11</v>
      </c>
      <c r="AO723">
        <v>7</v>
      </c>
      <c r="AP723">
        <v>39</v>
      </c>
      <c r="AQ723">
        <v>2</v>
      </c>
      <c r="AR723">
        <v>14</v>
      </c>
      <c r="AS723">
        <v>1</v>
      </c>
      <c r="AT723" t="s">
        <v>4081</v>
      </c>
      <c r="AU723" t="s">
        <v>4082</v>
      </c>
      <c r="AV723">
        <v>0.111</v>
      </c>
      <c r="AW723" t="s">
        <v>65</v>
      </c>
      <c r="AX723">
        <v>53</v>
      </c>
      <c r="AY723">
        <v>3</v>
      </c>
      <c r="AZ723" t="s">
        <v>4083</v>
      </c>
      <c r="BA723">
        <v>3.5220000000000001E-2</v>
      </c>
      <c r="BB723">
        <v>-1.7899999999999999E-3</v>
      </c>
      <c r="BC723">
        <v>6.4999999999999997E-4</v>
      </c>
      <c r="BD723">
        <v>-9.0000000000000006E-5</v>
      </c>
      <c r="BE723">
        <v>1.8499999999999999E-2</v>
      </c>
      <c r="BF723">
        <v>1</v>
      </c>
      <c r="BG723" t="s">
        <v>69</v>
      </c>
      <c r="BH723">
        <v>-1.8440000000000001</v>
      </c>
      <c r="BI723">
        <v>-3.0089999999999999</v>
      </c>
    </row>
    <row r="724" spans="3:61">
      <c r="C724">
        <v>0</v>
      </c>
      <c r="D724">
        <v>12</v>
      </c>
      <c r="E724">
        <v>0</v>
      </c>
      <c r="F724" t="s">
        <v>25021</v>
      </c>
      <c r="G724">
        <v>2789</v>
      </c>
      <c r="H724" t="s">
        <v>15996</v>
      </c>
      <c r="I724" t="s">
        <v>57</v>
      </c>
      <c r="J724">
        <v>2736915</v>
      </c>
      <c r="K724">
        <v>2737955</v>
      </c>
      <c r="L724" t="s">
        <v>15997</v>
      </c>
      <c r="M724">
        <v>347</v>
      </c>
      <c r="N724" t="s">
        <v>5762</v>
      </c>
      <c r="O724">
        <v>43</v>
      </c>
      <c r="P724" t="str">
        <f>HYPERLINK("Gene2789-zp_tree_all.dnd", "Gene2789-tree")</f>
        <v>Gene2789-tree</v>
      </c>
      <c r="Q724">
        <v>6</v>
      </c>
      <c r="R724">
        <v>9</v>
      </c>
      <c r="S724">
        <v>6</v>
      </c>
      <c r="T724">
        <v>9</v>
      </c>
      <c r="U724">
        <v>0.6</v>
      </c>
      <c r="V724" t="s">
        <v>90</v>
      </c>
      <c r="W724" t="s">
        <v>135</v>
      </c>
      <c r="X724" t="s">
        <v>62</v>
      </c>
      <c r="Y724" t="s">
        <v>62</v>
      </c>
      <c r="Z724">
        <v>5</v>
      </c>
      <c r="AA724">
        <v>12</v>
      </c>
      <c r="AB724">
        <v>12</v>
      </c>
      <c r="AC724">
        <v>0.5</v>
      </c>
      <c r="AD724" s="47">
        <v>2</v>
      </c>
      <c r="AE724" s="47">
        <v>0</v>
      </c>
      <c r="AF724" s="47">
        <v>2</v>
      </c>
      <c r="AG724" s="47">
        <v>1</v>
      </c>
      <c r="AH724" s="47">
        <v>0.66666999999999998</v>
      </c>
      <c r="AI724" s="47">
        <v>7</v>
      </c>
      <c r="AJ724" s="47">
        <v>0</v>
      </c>
      <c r="AK724" s="47">
        <v>7</v>
      </c>
      <c r="AL724">
        <v>8</v>
      </c>
      <c r="AM724">
        <v>0.46666999999999997</v>
      </c>
      <c r="AN724">
        <v>10</v>
      </c>
      <c r="AO724">
        <v>11</v>
      </c>
      <c r="AP724">
        <v>26</v>
      </c>
      <c r="AQ724">
        <v>14</v>
      </c>
      <c r="AR724">
        <v>18</v>
      </c>
      <c r="AS724">
        <v>10</v>
      </c>
      <c r="AT724" t="s">
        <v>15998</v>
      </c>
      <c r="AU724" t="s">
        <v>15999</v>
      </c>
      <c r="AV724">
        <v>3.1E-2</v>
      </c>
      <c r="AW724" t="s">
        <v>65</v>
      </c>
      <c r="AX724">
        <v>44</v>
      </c>
      <c r="AY724">
        <v>24</v>
      </c>
      <c r="AZ724" t="s">
        <v>7588</v>
      </c>
      <c r="BA724">
        <v>3.5929999999999997E-2</v>
      </c>
      <c r="BB724">
        <v>-1.2700000000000001E-3</v>
      </c>
      <c r="BC724">
        <v>5.4099999999999999E-3</v>
      </c>
      <c r="BD724">
        <v>-3.8999999999999999E-4</v>
      </c>
      <c r="BE724">
        <v>0.15059</v>
      </c>
      <c r="BF724">
        <v>1</v>
      </c>
      <c r="BG724" t="s">
        <v>69</v>
      </c>
      <c r="BH724">
        <v>-0.04</v>
      </c>
      <c r="BI724">
        <v>-1.3180000000000001</v>
      </c>
    </row>
    <row r="725" spans="3:61">
      <c r="C725">
        <v>0</v>
      </c>
      <c r="D725">
        <v>0</v>
      </c>
      <c r="E725">
        <v>2</v>
      </c>
      <c r="F725" t="s">
        <v>25021</v>
      </c>
      <c r="G725">
        <v>3275</v>
      </c>
      <c r="H725" t="s">
        <v>19106</v>
      </c>
      <c r="I725" t="s">
        <v>57</v>
      </c>
      <c r="J725">
        <v>3242610</v>
      </c>
      <c r="K725">
        <v>3243653</v>
      </c>
      <c r="L725" t="s">
        <v>19107</v>
      </c>
      <c r="M725">
        <v>348</v>
      </c>
      <c r="N725" t="s">
        <v>108</v>
      </c>
      <c r="O725">
        <v>44</v>
      </c>
      <c r="P725" t="str">
        <f>HYPERLINK("Gene3275-zp_tree_all.dnd", "Gene3275-tree")</f>
        <v>Gene3275-tree</v>
      </c>
      <c r="Q725">
        <v>10</v>
      </c>
      <c r="R725">
        <v>5</v>
      </c>
      <c r="S725">
        <v>10</v>
      </c>
      <c r="T725">
        <v>5</v>
      </c>
      <c r="U725">
        <v>0.33333000000000002</v>
      </c>
      <c r="V725" t="s">
        <v>117</v>
      </c>
      <c r="W725" t="s">
        <v>199</v>
      </c>
      <c r="X725" t="s">
        <v>62</v>
      </c>
      <c r="Y725" t="s">
        <v>62</v>
      </c>
      <c r="Z725">
        <v>1</v>
      </c>
      <c r="AA725">
        <v>2</v>
      </c>
      <c r="AB725">
        <v>12</v>
      </c>
      <c r="AC725">
        <v>0.14285999999999999</v>
      </c>
      <c r="AD725" s="47">
        <v>0</v>
      </c>
      <c r="AE725" s="47">
        <v>0</v>
      </c>
      <c r="AF725" s="47">
        <v>0</v>
      </c>
      <c r="AG725" s="47">
        <v>1</v>
      </c>
      <c r="AH725" s="47">
        <v>0</v>
      </c>
      <c r="AI725" s="47">
        <v>0</v>
      </c>
      <c r="AJ725" s="47">
        <v>0</v>
      </c>
      <c r="AK725" s="47">
        <v>0</v>
      </c>
      <c r="AL725">
        <v>7</v>
      </c>
      <c r="AM725">
        <v>0</v>
      </c>
      <c r="AN725">
        <v>13</v>
      </c>
      <c r="AO725">
        <v>11</v>
      </c>
      <c r="AP725">
        <v>38</v>
      </c>
      <c r="AQ725">
        <v>7</v>
      </c>
      <c r="AR725">
        <v>20</v>
      </c>
      <c r="AS725">
        <v>7</v>
      </c>
      <c r="AT725" t="s">
        <v>19108</v>
      </c>
      <c r="AU725" t="s">
        <v>19109</v>
      </c>
      <c r="AV725">
        <v>0.61299999999999999</v>
      </c>
      <c r="AW725" t="s">
        <v>65</v>
      </c>
      <c r="AX725">
        <v>58</v>
      </c>
      <c r="AY725">
        <v>14</v>
      </c>
      <c r="AZ725" t="s">
        <v>19110</v>
      </c>
      <c r="BA725">
        <v>4.2529999999999998E-2</v>
      </c>
      <c r="BB725">
        <v>-1.6800000000000001E-3</v>
      </c>
      <c r="BC725">
        <v>4.2300000000000003E-3</v>
      </c>
      <c r="BD725">
        <v>-2.5999999999999998E-4</v>
      </c>
      <c r="BE725">
        <v>9.9540000000000003E-2</v>
      </c>
      <c r="BF725">
        <v>1</v>
      </c>
      <c r="BG725" t="s">
        <v>69</v>
      </c>
      <c r="BH725">
        <v>-1.02</v>
      </c>
      <c r="BI725">
        <v>-2.16</v>
      </c>
    </row>
    <row r="726" spans="3:61">
      <c r="C726">
        <v>0</v>
      </c>
      <c r="D726">
        <v>7</v>
      </c>
      <c r="E726">
        <v>0</v>
      </c>
      <c r="F726" t="s">
        <v>25021</v>
      </c>
      <c r="G726">
        <v>2813</v>
      </c>
      <c r="H726" t="s">
        <v>16135</v>
      </c>
      <c r="I726" t="s">
        <v>57</v>
      </c>
      <c r="J726">
        <v>2756312</v>
      </c>
      <c r="K726">
        <v>2757358</v>
      </c>
      <c r="L726" t="s">
        <v>16136</v>
      </c>
      <c r="M726">
        <v>349</v>
      </c>
      <c r="N726" t="s">
        <v>108</v>
      </c>
      <c r="O726">
        <v>44</v>
      </c>
      <c r="P726" t="str">
        <f>HYPERLINK("Gene2813-zp_tree_all.dnd", "Gene2813-tree")</f>
        <v>Gene2813-tree</v>
      </c>
      <c r="Q726">
        <v>9</v>
      </c>
      <c r="R726">
        <v>7</v>
      </c>
      <c r="S726">
        <v>9</v>
      </c>
      <c r="T726">
        <v>7</v>
      </c>
      <c r="U726">
        <v>0.4375</v>
      </c>
      <c r="V726" t="s">
        <v>135</v>
      </c>
      <c r="W726" t="s">
        <v>152</v>
      </c>
      <c r="X726" t="s">
        <v>62</v>
      </c>
      <c r="Y726" t="s">
        <v>62</v>
      </c>
      <c r="Z726">
        <v>3</v>
      </c>
      <c r="AA726">
        <v>7</v>
      </c>
      <c r="AB726">
        <v>14</v>
      </c>
      <c r="AC726">
        <v>0.33333000000000002</v>
      </c>
      <c r="AD726" s="47">
        <v>0</v>
      </c>
      <c r="AE726" s="47">
        <v>0</v>
      </c>
      <c r="AF726" s="47">
        <v>0</v>
      </c>
      <c r="AG726" s="47">
        <v>3</v>
      </c>
      <c r="AH726" s="47">
        <v>0</v>
      </c>
      <c r="AI726" s="47">
        <v>2</v>
      </c>
      <c r="AJ726" s="47">
        <v>0</v>
      </c>
      <c r="AK726" s="47">
        <v>2</v>
      </c>
      <c r="AL726">
        <v>10</v>
      </c>
      <c r="AM726">
        <v>0.16667000000000001</v>
      </c>
      <c r="AN726">
        <v>13</v>
      </c>
      <c r="AO726">
        <v>12</v>
      </c>
      <c r="AP726">
        <v>23</v>
      </c>
      <c r="AQ726">
        <v>12</v>
      </c>
      <c r="AR726">
        <v>40</v>
      </c>
      <c r="AS726">
        <v>9</v>
      </c>
      <c r="AT726" t="s">
        <v>16137</v>
      </c>
      <c r="AU726" t="s">
        <v>16138</v>
      </c>
      <c r="AV726">
        <v>0.94899999999999995</v>
      </c>
      <c r="AW726" t="s">
        <v>65</v>
      </c>
      <c r="AX726">
        <v>63</v>
      </c>
      <c r="AY726">
        <v>21</v>
      </c>
      <c r="AZ726" t="s">
        <v>16139</v>
      </c>
      <c r="BA726">
        <v>5.4609999999999999E-2</v>
      </c>
      <c r="BB726">
        <v>-2E-3</v>
      </c>
      <c r="BC726">
        <v>4.5999999999999999E-3</v>
      </c>
      <c r="BD726">
        <v>-2.5999999999999998E-4</v>
      </c>
      <c r="BE726">
        <v>8.4190000000000001E-2</v>
      </c>
      <c r="BF726">
        <v>1</v>
      </c>
      <c r="BG726" t="s">
        <v>69</v>
      </c>
      <c r="BH726">
        <v>0.57199999999999995</v>
      </c>
      <c r="BI726">
        <v>-0.27200000000000002</v>
      </c>
    </row>
    <row r="727" spans="3:61">
      <c r="C727">
        <v>0</v>
      </c>
      <c r="D727">
        <v>5</v>
      </c>
      <c r="E727">
        <v>0</v>
      </c>
      <c r="F727" t="s">
        <v>25021</v>
      </c>
      <c r="G727">
        <v>1351</v>
      </c>
      <c r="H727" t="s">
        <v>8456</v>
      </c>
      <c r="I727" t="s">
        <v>62</v>
      </c>
      <c r="J727">
        <v>1369879</v>
      </c>
      <c r="K727">
        <v>1370925</v>
      </c>
      <c r="L727" t="s">
        <v>8457</v>
      </c>
      <c r="M727">
        <v>349</v>
      </c>
      <c r="N727" t="s">
        <v>108</v>
      </c>
      <c r="O727">
        <v>44</v>
      </c>
      <c r="P727" t="str">
        <f>HYPERLINK("Gene1351-zp_tree_all.dnd", "Gene1351-tree")</f>
        <v>Gene1351-tree</v>
      </c>
      <c r="Q727">
        <v>7</v>
      </c>
      <c r="R727">
        <v>7</v>
      </c>
      <c r="S727">
        <v>7</v>
      </c>
      <c r="T727">
        <v>7</v>
      </c>
      <c r="U727">
        <v>0.5</v>
      </c>
      <c r="V727" t="s">
        <v>152</v>
      </c>
      <c r="W727" t="s">
        <v>152</v>
      </c>
      <c r="X727" t="s">
        <v>62</v>
      </c>
      <c r="Y727" t="s">
        <v>62</v>
      </c>
      <c r="Z727">
        <v>1</v>
      </c>
      <c r="AA727">
        <v>5</v>
      </c>
      <c r="AB727">
        <v>13</v>
      </c>
      <c r="AC727">
        <v>0.27778000000000003</v>
      </c>
      <c r="AD727" s="47">
        <v>0</v>
      </c>
      <c r="AE727" s="47">
        <v>0</v>
      </c>
      <c r="AF727" s="47">
        <v>0</v>
      </c>
      <c r="AG727" s="47">
        <v>1</v>
      </c>
      <c r="AH727" s="47">
        <v>0</v>
      </c>
      <c r="AI727" s="47">
        <v>0</v>
      </c>
      <c r="AJ727" s="47">
        <v>0</v>
      </c>
      <c r="AK727" s="47">
        <v>0</v>
      </c>
      <c r="AL727">
        <v>11</v>
      </c>
      <c r="AM727">
        <v>0</v>
      </c>
      <c r="AN727">
        <v>12</v>
      </c>
      <c r="AO727">
        <v>9</v>
      </c>
      <c r="AP727">
        <v>38</v>
      </c>
      <c r="AQ727">
        <v>11</v>
      </c>
      <c r="AR727">
        <v>15</v>
      </c>
      <c r="AS727">
        <v>7</v>
      </c>
      <c r="AT727" t="s">
        <v>8458</v>
      </c>
      <c r="AU727" t="s">
        <v>8459</v>
      </c>
      <c r="AV727">
        <v>0.67700000000000005</v>
      </c>
      <c r="AW727" t="s">
        <v>65</v>
      </c>
      <c r="AX727">
        <v>53</v>
      </c>
      <c r="AY727">
        <v>18</v>
      </c>
      <c r="AZ727" t="s">
        <v>8460</v>
      </c>
      <c r="BA727">
        <v>4.1959999999999997E-2</v>
      </c>
      <c r="BB727">
        <v>-2.15E-3</v>
      </c>
      <c r="BC727">
        <v>3.4099999999999998E-3</v>
      </c>
      <c r="BD727">
        <v>-1.9000000000000001E-4</v>
      </c>
      <c r="BE727">
        <v>8.1259999999999999E-2</v>
      </c>
      <c r="BF727">
        <v>1</v>
      </c>
      <c r="BG727" t="s">
        <v>69</v>
      </c>
      <c r="BH727">
        <v>-1.4410000000000001</v>
      </c>
      <c r="BI727">
        <v>-2.13</v>
      </c>
    </row>
    <row r="728" spans="3:61">
      <c r="C728">
        <v>0</v>
      </c>
      <c r="D728">
        <v>3</v>
      </c>
      <c r="E728">
        <v>2</v>
      </c>
      <c r="F728" t="s">
        <v>25021</v>
      </c>
      <c r="G728">
        <v>452</v>
      </c>
      <c r="H728" t="s">
        <v>3067</v>
      </c>
      <c r="I728" t="s">
        <v>62</v>
      </c>
      <c r="J728">
        <v>496649</v>
      </c>
      <c r="K728">
        <v>497698</v>
      </c>
      <c r="L728" t="s">
        <v>3068</v>
      </c>
      <c r="M728">
        <v>350</v>
      </c>
      <c r="N728" t="s">
        <v>108</v>
      </c>
      <c r="O728">
        <v>44</v>
      </c>
      <c r="P728" t="str">
        <f>HYPERLINK("Gene452-zp_tree_all.dnd", "Gene452-tree")</f>
        <v>Gene452-tree</v>
      </c>
      <c r="Q728">
        <v>5</v>
      </c>
      <c r="R728">
        <v>8</v>
      </c>
      <c r="S728">
        <v>5</v>
      </c>
      <c r="T728">
        <v>8</v>
      </c>
      <c r="U728">
        <v>0.61538000000000004</v>
      </c>
      <c r="V728" t="s">
        <v>199</v>
      </c>
      <c r="W728" t="s">
        <v>136</v>
      </c>
      <c r="X728" t="s">
        <v>62</v>
      </c>
      <c r="Y728" t="s">
        <v>62</v>
      </c>
      <c r="Z728">
        <v>2</v>
      </c>
      <c r="AA728">
        <v>5</v>
      </c>
      <c r="AB728">
        <v>12</v>
      </c>
      <c r="AC728">
        <v>0.29411999999999999</v>
      </c>
      <c r="AD728" s="47">
        <v>0</v>
      </c>
      <c r="AE728" s="47">
        <v>0</v>
      </c>
      <c r="AF728" s="47">
        <v>0</v>
      </c>
      <c r="AG728" s="47">
        <v>0</v>
      </c>
      <c r="AH728" s="47">
        <v>0</v>
      </c>
      <c r="AI728" s="47">
        <v>2</v>
      </c>
      <c r="AJ728" s="47">
        <v>0</v>
      </c>
      <c r="AK728" s="47">
        <v>2</v>
      </c>
      <c r="AL728">
        <v>10</v>
      </c>
      <c r="AM728">
        <v>0.16667000000000001</v>
      </c>
      <c r="AN728">
        <v>13</v>
      </c>
      <c r="AO728">
        <v>7</v>
      </c>
      <c r="AP728">
        <v>34</v>
      </c>
      <c r="AQ728">
        <v>12</v>
      </c>
      <c r="AR728">
        <v>12</v>
      </c>
      <c r="AS728">
        <v>5</v>
      </c>
      <c r="AT728" t="s">
        <v>3069</v>
      </c>
      <c r="AU728" t="s">
        <v>3070</v>
      </c>
      <c r="AV728">
        <v>0.28499999999999998</v>
      </c>
      <c r="AW728" t="s">
        <v>65</v>
      </c>
      <c r="AX728">
        <v>46</v>
      </c>
      <c r="AY728">
        <v>17</v>
      </c>
      <c r="AZ728" t="s">
        <v>3071</v>
      </c>
      <c r="BA728">
        <v>3.5619999999999999E-2</v>
      </c>
      <c r="BB728">
        <v>-1.4E-3</v>
      </c>
      <c r="BC728">
        <v>3.7499999999999999E-3</v>
      </c>
      <c r="BD728">
        <v>-2.2000000000000001E-4</v>
      </c>
      <c r="BE728">
        <v>0.10514999999999999</v>
      </c>
      <c r="BF728">
        <v>1</v>
      </c>
      <c r="BG728" t="s">
        <v>69</v>
      </c>
      <c r="BH728">
        <v>-0.66700000000000004</v>
      </c>
      <c r="BI728">
        <v>-1.2549999999999999</v>
      </c>
    </row>
    <row r="729" spans="3:61">
      <c r="C729">
        <v>0</v>
      </c>
      <c r="D729">
        <v>7</v>
      </c>
      <c r="E729">
        <v>4</v>
      </c>
      <c r="F729" t="s">
        <v>25021</v>
      </c>
      <c r="G729">
        <v>1088</v>
      </c>
      <c r="H729" t="s">
        <v>6836</v>
      </c>
      <c r="I729" t="s">
        <v>62</v>
      </c>
      <c r="J729">
        <v>1126403</v>
      </c>
      <c r="K729">
        <v>1127452</v>
      </c>
      <c r="L729" t="s">
        <v>6837</v>
      </c>
      <c r="M729">
        <v>350</v>
      </c>
      <c r="N729" t="s">
        <v>6838</v>
      </c>
      <c r="O729">
        <v>46</v>
      </c>
      <c r="P729" t="str">
        <f>HYPERLINK("Gene1088-zp_tree_all.dnd", "Gene1088-tree")</f>
        <v>Gene1088-tree</v>
      </c>
      <c r="Q729">
        <v>10</v>
      </c>
      <c r="R729">
        <v>8</v>
      </c>
      <c r="S729">
        <v>10</v>
      </c>
      <c r="T729">
        <v>8</v>
      </c>
      <c r="U729">
        <v>0.44444</v>
      </c>
      <c r="V729" t="s">
        <v>117</v>
      </c>
      <c r="W729" t="s">
        <v>136</v>
      </c>
      <c r="X729" t="s">
        <v>62</v>
      </c>
      <c r="Y729" t="s">
        <v>62</v>
      </c>
      <c r="Z729">
        <v>4</v>
      </c>
      <c r="AA729">
        <v>11</v>
      </c>
      <c r="AB729">
        <v>22</v>
      </c>
      <c r="AC729">
        <v>0.33333000000000002</v>
      </c>
      <c r="AD729" s="47">
        <v>0</v>
      </c>
      <c r="AE729" s="47">
        <v>0</v>
      </c>
      <c r="AF729" s="47">
        <v>0</v>
      </c>
      <c r="AG729" s="47">
        <v>0</v>
      </c>
      <c r="AH729" s="47">
        <v>0</v>
      </c>
      <c r="AI729" s="47">
        <v>4</v>
      </c>
      <c r="AJ729" s="47">
        <v>0</v>
      </c>
      <c r="AK729" s="47">
        <v>4</v>
      </c>
      <c r="AL729">
        <v>14</v>
      </c>
      <c r="AM729">
        <v>0.22222</v>
      </c>
      <c r="AN729">
        <v>15</v>
      </c>
      <c r="AO729">
        <v>15</v>
      </c>
      <c r="AP729">
        <v>51</v>
      </c>
      <c r="AQ729">
        <v>17</v>
      </c>
      <c r="AR729">
        <v>52</v>
      </c>
      <c r="AS729">
        <v>16</v>
      </c>
      <c r="AT729" t="s">
        <v>6839</v>
      </c>
      <c r="AU729" t="s">
        <v>6840</v>
      </c>
      <c r="AV729">
        <v>5.2999999999999999E-2</v>
      </c>
      <c r="AW729" t="s">
        <v>65</v>
      </c>
      <c r="AX729">
        <v>103</v>
      </c>
      <c r="AY729">
        <v>33</v>
      </c>
      <c r="AZ729" t="s">
        <v>6841</v>
      </c>
      <c r="BA729">
        <v>8.294E-2</v>
      </c>
      <c r="BB729">
        <v>-4.9100000000000003E-3</v>
      </c>
      <c r="BC729">
        <v>7.0899999999999999E-3</v>
      </c>
      <c r="BD729">
        <v>-5.5999999999999995E-4</v>
      </c>
      <c r="BE729">
        <v>8.5510000000000003E-2</v>
      </c>
      <c r="BF729">
        <v>1</v>
      </c>
      <c r="BG729" t="s">
        <v>69</v>
      </c>
      <c r="BH729">
        <v>-1.222</v>
      </c>
      <c r="BI729">
        <v>-1.121</v>
      </c>
    </row>
    <row r="730" spans="3:61">
      <c r="C730">
        <v>0</v>
      </c>
      <c r="D730">
        <v>2</v>
      </c>
      <c r="E730">
        <v>0</v>
      </c>
      <c r="F730" t="s">
        <v>25021</v>
      </c>
      <c r="G730">
        <v>1997</v>
      </c>
      <c r="H730" t="s">
        <v>12435</v>
      </c>
      <c r="I730" t="s">
        <v>57</v>
      </c>
      <c r="J730">
        <v>2089396</v>
      </c>
      <c r="K730">
        <v>2090451</v>
      </c>
      <c r="L730" t="s">
        <v>12436</v>
      </c>
      <c r="M730">
        <v>352</v>
      </c>
      <c r="N730" t="s">
        <v>108</v>
      </c>
      <c r="O730">
        <v>44</v>
      </c>
      <c r="P730" t="str">
        <f>HYPERLINK("Gene1997-zp_tree_all.dnd", "Gene1997-tree")</f>
        <v>Gene1997-tree</v>
      </c>
      <c r="Q730">
        <v>11</v>
      </c>
      <c r="R730">
        <v>4</v>
      </c>
      <c r="S730">
        <v>11</v>
      </c>
      <c r="T730">
        <v>4</v>
      </c>
      <c r="U730">
        <v>0.26667000000000002</v>
      </c>
      <c r="V730" t="s">
        <v>73</v>
      </c>
      <c r="W730" t="s">
        <v>61</v>
      </c>
      <c r="X730" t="s">
        <v>62</v>
      </c>
      <c r="Y730" t="s">
        <v>62</v>
      </c>
      <c r="Z730">
        <v>1</v>
      </c>
      <c r="AA730">
        <v>2</v>
      </c>
      <c r="AB730">
        <v>3</v>
      </c>
      <c r="AC730">
        <v>0.4</v>
      </c>
      <c r="AD730" s="47">
        <v>0</v>
      </c>
      <c r="AE730" s="47">
        <v>0</v>
      </c>
      <c r="AF730" s="47">
        <v>0</v>
      </c>
      <c r="AG730" s="47">
        <v>1</v>
      </c>
      <c r="AH730" s="47">
        <v>0</v>
      </c>
      <c r="AI730" s="47">
        <v>2</v>
      </c>
      <c r="AJ730" s="47">
        <v>0</v>
      </c>
      <c r="AK730" s="47">
        <v>2</v>
      </c>
      <c r="AL730">
        <v>2</v>
      </c>
      <c r="AM730">
        <v>0.5</v>
      </c>
      <c r="AN730">
        <v>13</v>
      </c>
      <c r="AO730">
        <v>8</v>
      </c>
      <c r="AP730">
        <v>26</v>
      </c>
      <c r="AQ730">
        <v>4</v>
      </c>
      <c r="AR730">
        <v>14</v>
      </c>
      <c r="AS730">
        <v>1</v>
      </c>
      <c r="AT730" t="s">
        <v>12437</v>
      </c>
      <c r="AU730" t="s">
        <v>12438</v>
      </c>
      <c r="AV730">
        <v>0.376</v>
      </c>
      <c r="AW730" t="s">
        <v>65</v>
      </c>
      <c r="AX730">
        <v>40</v>
      </c>
      <c r="AY730">
        <v>5</v>
      </c>
      <c r="AZ730" t="s">
        <v>12439</v>
      </c>
      <c r="BA730">
        <v>2.7480000000000001E-2</v>
      </c>
      <c r="BB730">
        <v>-9.1E-4</v>
      </c>
      <c r="BC730">
        <v>9.3999999999999997E-4</v>
      </c>
      <c r="BD730">
        <v>-8.0000000000000007E-5</v>
      </c>
      <c r="BE730">
        <v>3.415E-2</v>
      </c>
      <c r="BF730">
        <v>1</v>
      </c>
      <c r="BG730" t="s">
        <v>69</v>
      </c>
      <c r="BH730">
        <v>-1.012</v>
      </c>
      <c r="BI730">
        <v>-0.52900000000000003</v>
      </c>
    </row>
    <row r="731" spans="3:61">
      <c r="C731">
        <v>0</v>
      </c>
      <c r="D731">
        <v>4</v>
      </c>
      <c r="E731">
        <v>0</v>
      </c>
      <c r="F731" t="s">
        <v>25021</v>
      </c>
      <c r="G731">
        <v>903</v>
      </c>
      <c r="H731" t="s">
        <v>5638</v>
      </c>
      <c r="I731" t="s">
        <v>62</v>
      </c>
      <c r="J731">
        <v>941171</v>
      </c>
      <c r="K731">
        <v>942229</v>
      </c>
      <c r="L731" t="s">
        <v>4095</v>
      </c>
      <c r="M731">
        <v>353</v>
      </c>
      <c r="N731" t="s">
        <v>59</v>
      </c>
      <c r="O731">
        <v>49</v>
      </c>
      <c r="P731" t="str">
        <f>HYPERLINK("Gene903-zp_tree_all.dnd", "Gene903-tree")</f>
        <v>Gene903-tree</v>
      </c>
      <c r="Q731">
        <v>12</v>
      </c>
      <c r="R731">
        <v>4</v>
      </c>
      <c r="S731">
        <v>12</v>
      </c>
      <c r="T731">
        <v>4</v>
      </c>
      <c r="U731">
        <v>0.25</v>
      </c>
      <c r="V731" t="s">
        <v>109</v>
      </c>
      <c r="W731" t="s">
        <v>61</v>
      </c>
      <c r="X731" t="s">
        <v>62</v>
      </c>
      <c r="Y731" t="s">
        <v>62</v>
      </c>
      <c r="Z731">
        <v>2</v>
      </c>
      <c r="AA731">
        <v>4</v>
      </c>
      <c r="AB731">
        <v>6</v>
      </c>
      <c r="AC731">
        <v>0.4</v>
      </c>
      <c r="AD731" s="47">
        <v>0</v>
      </c>
      <c r="AE731" s="47">
        <v>0</v>
      </c>
      <c r="AF731" s="47">
        <v>0</v>
      </c>
      <c r="AG731" s="47">
        <v>0</v>
      </c>
      <c r="AH731" s="47">
        <v>0</v>
      </c>
      <c r="AI731" s="47">
        <v>2</v>
      </c>
      <c r="AJ731" s="47">
        <v>0</v>
      </c>
      <c r="AK731" s="47">
        <v>2</v>
      </c>
      <c r="AL731">
        <v>2</v>
      </c>
      <c r="AM731">
        <v>0.5</v>
      </c>
      <c r="AN731">
        <v>14</v>
      </c>
      <c r="AO731">
        <v>10</v>
      </c>
      <c r="AP731">
        <v>31</v>
      </c>
      <c r="AQ731">
        <v>4</v>
      </c>
      <c r="AR731">
        <v>54</v>
      </c>
      <c r="AS731">
        <v>6</v>
      </c>
      <c r="AT731" t="s">
        <v>5639</v>
      </c>
      <c r="AU731" t="s">
        <v>5640</v>
      </c>
      <c r="AV731">
        <v>0.11799999999999999</v>
      </c>
      <c r="AW731" t="s">
        <v>65</v>
      </c>
      <c r="AX731">
        <v>85</v>
      </c>
      <c r="AY731">
        <v>10</v>
      </c>
      <c r="AZ731" t="s">
        <v>5641</v>
      </c>
      <c r="BA731">
        <v>9.0039999999999995E-2</v>
      </c>
      <c r="BB731">
        <v>-5.2900000000000004E-3</v>
      </c>
      <c r="BC731">
        <v>3.0100000000000001E-3</v>
      </c>
      <c r="BD731">
        <v>-2.0000000000000001E-4</v>
      </c>
      <c r="BE731">
        <v>3.3399999999999999E-2</v>
      </c>
      <c r="BF731">
        <v>1</v>
      </c>
      <c r="BG731" t="s">
        <v>69</v>
      </c>
      <c r="BH731">
        <v>-0.74299999999999999</v>
      </c>
      <c r="BI731">
        <v>-9.9000000000000005E-2</v>
      </c>
    </row>
    <row r="732" spans="3:61">
      <c r="C732">
        <v>0</v>
      </c>
      <c r="D732">
        <v>6</v>
      </c>
      <c r="E732">
        <v>2</v>
      </c>
      <c r="F732" t="s">
        <v>25021</v>
      </c>
      <c r="G732">
        <v>3771</v>
      </c>
      <c r="H732" t="s">
        <v>22095</v>
      </c>
      <c r="I732" t="s">
        <v>57</v>
      </c>
      <c r="J732">
        <v>3744349</v>
      </c>
      <c r="K732">
        <v>3745410</v>
      </c>
      <c r="L732" t="s">
        <v>1932</v>
      </c>
      <c r="M732">
        <v>354</v>
      </c>
      <c r="N732" t="s">
        <v>108</v>
      </c>
      <c r="O732">
        <v>44</v>
      </c>
      <c r="P732" t="str">
        <f>HYPERLINK("Gene3771-zp_tree_all.dnd", "Gene3771-tree")</f>
        <v>Gene3771-tree</v>
      </c>
      <c r="Q732">
        <v>7</v>
      </c>
      <c r="R732">
        <v>7</v>
      </c>
      <c r="S732">
        <v>7</v>
      </c>
      <c r="T732">
        <v>7</v>
      </c>
      <c r="U732">
        <v>0.5</v>
      </c>
      <c r="V732" t="s">
        <v>152</v>
      </c>
      <c r="W732" t="s">
        <v>152</v>
      </c>
      <c r="X732" t="s">
        <v>62</v>
      </c>
      <c r="Y732" t="s">
        <v>62</v>
      </c>
      <c r="Z732">
        <v>3</v>
      </c>
      <c r="AA732">
        <v>8</v>
      </c>
      <c r="AB732">
        <v>5</v>
      </c>
      <c r="AC732">
        <v>0.61538000000000004</v>
      </c>
      <c r="AD732" s="47">
        <v>0</v>
      </c>
      <c r="AE732" s="47">
        <v>0</v>
      </c>
      <c r="AF732" s="47">
        <v>0</v>
      </c>
      <c r="AG732" s="47">
        <v>0</v>
      </c>
      <c r="AH732" s="47">
        <v>0</v>
      </c>
      <c r="AI732" s="47">
        <v>2</v>
      </c>
      <c r="AJ732" s="47">
        <v>2</v>
      </c>
      <c r="AK732" s="47">
        <v>4</v>
      </c>
      <c r="AL732">
        <v>5</v>
      </c>
      <c r="AM732">
        <v>0.44444</v>
      </c>
      <c r="AN732">
        <v>11</v>
      </c>
      <c r="AO732">
        <v>10</v>
      </c>
      <c r="AP732">
        <v>15</v>
      </c>
      <c r="AQ732">
        <v>8</v>
      </c>
      <c r="AR732">
        <v>15</v>
      </c>
      <c r="AS732">
        <v>5</v>
      </c>
      <c r="AT732" t="s">
        <v>22096</v>
      </c>
      <c r="AU732" t="s">
        <v>22097</v>
      </c>
      <c r="AV732">
        <v>0.59399999999999997</v>
      </c>
      <c r="AW732" t="s">
        <v>65</v>
      </c>
      <c r="AX732">
        <v>30</v>
      </c>
      <c r="AY732">
        <v>13</v>
      </c>
      <c r="AZ732" t="s">
        <v>22098</v>
      </c>
      <c r="BA732">
        <v>3.0640000000000001E-2</v>
      </c>
      <c r="BB732">
        <v>-1.2899999999999999E-3</v>
      </c>
      <c r="BC732">
        <v>2.8700000000000002E-3</v>
      </c>
      <c r="BD732">
        <v>-1.7000000000000001E-4</v>
      </c>
      <c r="BE732">
        <v>9.3719999999999998E-2</v>
      </c>
      <c r="BF732">
        <v>1</v>
      </c>
      <c r="BG732" t="s">
        <v>69</v>
      </c>
      <c r="BH732">
        <v>-2.5999999999999999E-2</v>
      </c>
      <c r="BI732">
        <v>-1.363</v>
      </c>
    </row>
    <row r="733" spans="3:61">
      <c r="C733">
        <v>0</v>
      </c>
      <c r="D733">
        <v>0</v>
      </c>
      <c r="E733">
        <v>0</v>
      </c>
      <c r="F733" t="s">
        <v>25021</v>
      </c>
      <c r="G733">
        <v>279</v>
      </c>
      <c r="H733" t="s">
        <v>1905</v>
      </c>
      <c r="I733" t="s">
        <v>62</v>
      </c>
      <c r="J733">
        <v>299441</v>
      </c>
      <c r="K733">
        <v>300502</v>
      </c>
      <c r="L733" t="s">
        <v>1906</v>
      </c>
      <c r="M733">
        <v>354</v>
      </c>
      <c r="N733" t="s">
        <v>1907</v>
      </c>
      <c r="O733">
        <v>38</v>
      </c>
      <c r="P733" t="str">
        <f>HYPERLINK("Gene279-zp_tree_all.dnd", "Gene279-tree")</f>
        <v>Gene279-tree</v>
      </c>
      <c r="Q733">
        <v>7</v>
      </c>
      <c r="R733">
        <v>5</v>
      </c>
      <c r="S733">
        <v>7</v>
      </c>
      <c r="T733">
        <v>5</v>
      </c>
      <c r="U733">
        <v>0.41666999999999998</v>
      </c>
      <c r="V733" t="s">
        <v>152</v>
      </c>
      <c r="W733" t="s">
        <v>199</v>
      </c>
      <c r="X733" t="s">
        <v>62</v>
      </c>
      <c r="Y733" t="s">
        <v>62</v>
      </c>
      <c r="Z733">
        <v>0</v>
      </c>
      <c r="AA733">
        <v>0</v>
      </c>
      <c r="AB733">
        <v>10</v>
      </c>
      <c r="AC733">
        <v>0</v>
      </c>
      <c r="AD733" s="47">
        <v>0</v>
      </c>
      <c r="AE733" s="47">
        <v>0</v>
      </c>
      <c r="AF733" s="47">
        <v>0</v>
      </c>
      <c r="AG733" s="47">
        <v>0</v>
      </c>
      <c r="AH733" s="47">
        <v>0</v>
      </c>
      <c r="AI733" s="47">
        <v>0</v>
      </c>
      <c r="AJ733" s="47">
        <v>0</v>
      </c>
      <c r="AK733" s="47">
        <v>0</v>
      </c>
      <c r="AL733">
        <v>10</v>
      </c>
      <c r="AM733">
        <v>0</v>
      </c>
      <c r="AN733">
        <v>10</v>
      </c>
      <c r="AO733">
        <v>7</v>
      </c>
      <c r="AP733">
        <v>55</v>
      </c>
      <c r="AQ733">
        <v>11</v>
      </c>
      <c r="AR733">
        <v>15</v>
      </c>
      <c r="AS733">
        <v>0</v>
      </c>
      <c r="AT733" t="s">
        <v>1908</v>
      </c>
      <c r="AU733" t="s">
        <v>193</v>
      </c>
      <c r="AV733">
        <v>0.55700000000000005</v>
      </c>
      <c r="AW733" t="s">
        <v>65</v>
      </c>
      <c r="AX733">
        <v>70</v>
      </c>
      <c r="AY733">
        <v>11</v>
      </c>
      <c r="AZ733" t="s">
        <v>1909</v>
      </c>
      <c r="BA733">
        <v>5.5359999999999999E-2</v>
      </c>
      <c r="BB733">
        <v>-6.7499999999999999E-3</v>
      </c>
      <c r="BC733">
        <v>2.2300000000000002E-3</v>
      </c>
      <c r="BD733">
        <v>-3.4000000000000002E-4</v>
      </c>
      <c r="BE733">
        <v>4.0370000000000003E-2</v>
      </c>
      <c r="BF733">
        <v>1</v>
      </c>
      <c r="BG733" t="s">
        <v>69</v>
      </c>
      <c r="BH733">
        <v>-2.0139999999999998</v>
      </c>
      <c r="BI733">
        <v>-4.0650000000000004</v>
      </c>
    </row>
    <row r="734" spans="3:61">
      <c r="C734">
        <v>0</v>
      </c>
      <c r="D734">
        <v>0</v>
      </c>
      <c r="E734">
        <v>0</v>
      </c>
      <c r="F734" t="s">
        <v>25021</v>
      </c>
      <c r="G734">
        <v>3338</v>
      </c>
      <c r="H734" t="s">
        <v>19498</v>
      </c>
      <c r="I734" t="s">
        <v>57</v>
      </c>
      <c r="J734">
        <v>3308867</v>
      </c>
      <c r="K734">
        <v>3309931</v>
      </c>
      <c r="L734" t="s">
        <v>19499</v>
      </c>
      <c r="M734">
        <v>355</v>
      </c>
      <c r="N734" t="s">
        <v>96</v>
      </c>
      <c r="O734">
        <v>48</v>
      </c>
      <c r="P734" t="str">
        <f>HYPERLINK("Gene3338-zp_tree_all.dnd", "Gene3338-tree")</f>
        <v>Gene3338-tree</v>
      </c>
      <c r="Q734">
        <v>13</v>
      </c>
      <c r="R734">
        <v>5</v>
      </c>
      <c r="S734">
        <v>13</v>
      </c>
      <c r="T734">
        <v>5</v>
      </c>
      <c r="U734">
        <v>0.27778000000000003</v>
      </c>
      <c r="V734" t="s">
        <v>507</v>
      </c>
      <c r="W734" t="s">
        <v>199</v>
      </c>
      <c r="X734" t="s">
        <v>62</v>
      </c>
      <c r="Y734" t="s">
        <v>62</v>
      </c>
      <c r="Z734">
        <v>0</v>
      </c>
      <c r="AA734">
        <v>0</v>
      </c>
      <c r="AB734">
        <v>11</v>
      </c>
      <c r="AC734">
        <v>0</v>
      </c>
      <c r="AD734" s="47">
        <v>0</v>
      </c>
      <c r="AE734" s="47">
        <v>0</v>
      </c>
      <c r="AF734" s="47">
        <v>0</v>
      </c>
      <c r="AG734" s="47">
        <v>3</v>
      </c>
      <c r="AH734" s="47">
        <v>0</v>
      </c>
      <c r="AI734" s="47">
        <v>0</v>
      </c>
      <c r="AJ734" s="47">
        <v>0</v>
      </c>
      <c r="AK734" s="47">
        <v>0</v>
      </c>
      <c r="AL734">
        <v>5</v>
      </c>
      <c r="AM734">
        <v>0</v>
      </c>
      <c r="AN734">
        <v>15</v>
      </c>
      <c r="AO734">
        <v>8</v>
      </c>
      <c r="AP734">
        <v>42</v>
      </c>
      <c r="AQ734">
        <v>6</v>
      </c>
      <c r="AR734">
        <v>47</v>
      </c>
      <c r="AS734">
        <v>7</v>
      </c>
      <c r="AT734" t="s">
        <v>19500</v>
      </c>
      <c r="AU734" t="s">
        <v>19501</v>
      </c>
      <c r="AV734">
        <v>2.3E-2</v>
      </c>
      <c r="AW734" t="s">
        <v>65</v>
      </c>
      <c r="AX734">
        <v>89</v>
      </c>
      <c r="AY734">
        <v>13</v>
      </c>
      <c r="AZ734" t="s">
        <v>19502</v>
      </c>
      <c r="BA734">
        <v>7.6380000000000003E-2</v>
      </c>
      <c r="BB734">
        <v>-5.1700000000000001E-3</v>
      </c>
      <c r="BC734">
        <v>3.63E-3</v>
      </c>
      <c r="BD734">
        <v>-2.7E-4</v>
      </c>
      <c r="BE734">
        <v>4.7500000000000001E-2</v>
      </c>
      <c r="BF734">
        <v>1</v>
      </c>
      <c r="BG734" t="s">
        <v>69</v>
      </c>
      <c r="BH734">
        <v>-1.623</v>
      </c>
      <c r="BI734">
        <v>-1.373</v>
      </c>
    </row>
    <row r="735" spans="3:61">
      <c r="C735">
        <v>0</v>
      </c>
      <c r="D735">
        <v>19</v>
      </c>
      <c r="E735">
        <v>3</v>
      </c>
      <c r="F735" t="s">
        <v>25021</v>
      </c>
      <c r="G735">
        <v>4141</v>
      </c>
      <c r="H735" t="s">
        <v>24369</v>
      </c>
      <c r="I735" t="s">
        <v>57</v>
      </c>
      <c r="J735">
        <v>4108058</v>
      </c>
      <c r="K735">
        <v>4109125</v>
      </c>
      <c r="L735" t="s">
        <v>1940</v>
      </c>
      <c r="M735">
        <v>356</v>
      </c>
      <c r="N735" t="s">
        <v>108</v>
      </c>
      <c r="O735">
        <v>44</v>
      </c>
      <c r="P735" t="str">
        <f>HYPERLINK("Gene4141-zp_tree_all.dnd", "Gene4141-tree")</f>
        <v>Gene4141-tree</v>
      </c>
      <c r="Q735">
        <v>4</v>
      </c>
      <c r="R735">
        <v>10</v>
      </c>
      <c r="S735">
        <v>4</v>
      </c>
      <c r="T735">
        <v>10</v>
      </c>
      <c r="U735">
        <v>0.71428999999999998</v>
      </c>
      <c r="V735" t="s">
        <v>61</v>
      </c>
      <c r="W735" t="s">
        <v>117</v>
      </c>
      <c r="X735" t="s">
        <v>62</v>
      </c>
      <c r="Y735" t="s">
        <v>62</v>
      </c>
      <c r="Z735">
        <v>8</v>
      </c>
      <c r="AA735">
        <v>22</v>
      </c>
      <c r="AB735">
        <v>11</v>
      </c>
      <c r="AC735">
        <v>0.66666999999999998</v>
      </c>
      <c r="AD735" s="47">
        <v>0</v>
      </c>
      <c r="AE735" s="47">
        <v>0</v>
      </c>
      <c r="AF735" s="47">
        <v>0</v>
      </c>
      <c r="AG735" s="47">
        <v>0</v>
      </c>
      <c r="AH735" s="47">
        <v>0</v>
      </c>
      <c r="AI735" s="47">
        <v>4</v>
      </c>
      <c r="AJ735" s="47">
        <v>6</v>
      </c>
      <c r="AK735" s="47">
        <v>10</v>
      </c>
      <c r="AL735">
        <v>13</v>
      </c>
      <c r="AM735">
        <v>0.43478</v>
      </c>
      <c r="AN735">
        <v>12</v>
      </c>
      <c r="AO735">
        <v>11</v>
      </c>
      <c r="AP735">
        <v>52</v>
      </c>
      <c r="AQ735">
        <v>18</v>
      </c>
      <c r="AR735">
        <v>42</v>
      </c>
      <c r="AS735">
        <v>16</v>
      </c>
      <c r="AT735" t="s">
        <v>24370</v>
      </c>
      <c r="AU735" t="s">
        <v>24371</v>
      </c>
      <c r="AV735">
        <v>0.20399999999999999</v>
      </c>
      <c r="AW735" t="s">
        <v>65</v>
      </c>
      <c r="AX735">
        <v>94</v>
      </c>
      <c r="AY735">
        <v>34</v>
      </c>
      <c r="AZ735" t="s">
        <v>24372</v>
      </c>
      <c r="BA735">
        <v>7.6020000000000004E-2</v>
      </c>
      <c r="BB735">
        <v>-2.32E-3</v>
      </c>
      <c r="BC735">
        <v>7.1300000000000001E-3</v>
      </c>
      <c r="BD735">
        <v>-3.3E-4</v>
      </c>
      <c r="BE735">
        <v>9.3780000000000002E-2</v>
      </c>
      <c r="BF735">
        <v>1</v>
      </c>
      <c r="BG735" t="s">
        <v>69</v>
      </c>
      <c r="BH735">
        <v>-8.5000000000000006E-2</v>
      </c>
      <c r="BI735">
        <v>-0.99</v>
      </c>
    </row>
    <row r="736" spans="3:61">
      <c r="C736">
        <v>0</v>
      </c>
      <c r="D736">
        <v>0</v>
      </c>
      <c r="E736">
        <v>0</v>
      </c>
      <c r="F736" t="s">
        <v>25021</v>
      </c>
      <c r="G736">
        <v>761</v>
      </c>
      <c r="H736" t="s">
        <v>4722</v>
      </c>
      <c r="I736" t="s">
        <v>62</v>
      </c>
      <c r="J736">
        <v>791465</v>
      </c>
      <c r="K736">
        <v>792532</v>
      </c>
      <c r="L736" t="s">
        <v>288</v>
      </c>
      <c r="M736">
        <v>356</v>
      </c>
      <c r="N736" t="s">
        <v>160</v>
      </c>
      <c r="O736">
        <v>45</v>
      </c>
      <c r="P736" t="str">
        <f>HYPERLINK("Gene761-zp_tree_all.dnd", "Gene761-tree")</f>
        <v>Gene761-tree</v>
      </c>
      <c r="Q736">
        <v>26</v>
      </c>
      <c r="R736">
        <v>7</v>
      </c>
      <c r="S736">
        <v>9</v>
      </c>
      <c r="T736">
        <v>7</v>
      </c>
      <c r="U736">
        <v>0.4375</v>
      </c>
      <c r="V736" t="s">
        <v>4723</v>
      </c>
      <c r="W736" t="s">
        <v>152</v>
      </c>
      <c r="X736" t="s">
        <v>62</v>
      </c>
      <c r="Y736" t="s">
        <v>62</v>
      </c>
      <c r="Z736">
        <v>0</v>
      </c>
      <c r="AA736">
        <v>0</v>
      </c>
      <c r="AB736">
        <v>9</v>
      </c>
      <c r="AC736">
        <v>0</v>
      </c>
      <c r="AD736" s="47">
        <v>0</v>
      </c>
      <c r="AE736" s="47">
        <v>0</v>
      </c>
      <c r="AF736" s="47">
        <v>0</v>
      </c>
      <c r="AG736" s="47">
        <v>0</v>
      </c>
      <c r="AH736" s="47">
        <v>0</v>
      </c>
      <c r="AI736" s="47">
        <v>0</v>
      </c>
      <c r="AJ736" s="47">
        <v>0</v>
      </c>
      <c r="AK736" s="47">
        <v>0</v>
      </c>
      <c r="AL736">
        <v>8</v>
      </c>
      <c r="AM736">
        <v>0</v>
      </c>
      <c r="AN736">
        <v>12</v>
      </c>
      <c r="AO736">
        <v>13</v>
      </c>
      <c r="AP736">
        <v>85</v>
      </c>
      <c r="AQ736">
        <v>8</v>
      </c>
      <c r="AR736">
        <v>43</v>
      </c>
      <c r="AS736">
        <v>1</v>
      </c>
      <c r="AT736" t="s">
        <v>4724</v>
      </c>
      <c r="AU736" t="s">
        <v>4725</v>
      </c>
      <c r="AV736">
        <v>0.58699999999999997</v>
      </c>
      <c r="AW736" t="s">
        <v>65</v>
      </c>
      <c r="AX736">
        <v>128</v>
      </c>
      <c r="AY736">
        <v>9</v>
      </c>
      <c r="AZ736" t="s">
        <v>4726</v>
      </c>
      <c r="BA736">
        <v>0.10291</v>
      </c>
      <c r="BB736">
        <v>-5.9500000000000004E-3</v>
      </c>
      <c r="BC736">
        <v>1.5299999999999999E-3</v>
      </c>
      <c r="BD736">
        <v>-1.2E-4</v>
      </c>
      <c r="BE736">
        <v>1.4919999999999999E-2</v>
      </c>
      <c r="BF736">
        <v>1</v>
      </c>
      <c r="BG736" t="s">
        <v>69</v>
      </c>
      <c r="BH736">
        <v>-1.288</v>
      </c>
      <c r="BI736">
        <v>-2.9079999999999999</v>
      </c>
    </row>
    <row r="737" spans="3:61">
      <c r="C737">
        <v>0</v>
      </c>
      <c r="D737">
        <v>8</v>
      </c>
      <c r="E737">
        <v>2</v>
      </c>
      <c r="F737" t="s">
        <v>25021</v>
      </c>
      <c r="G737">
        <v>1015</v>
      </c>
      <c r="H737" t="s">
        <v>6377</v>
      </c>
      <c r="I737" t="s">
        <v>62</v>
      </c>
      <c r="J737">
        <v>1055146</v>
      </c>
      <c r="K737">
        <v>1056216</v>
      </c>
      <c r="L737" t="s">
        <v>288</v>
      </c>
      <c r="M737">
        <v>357</v>
      </c>
      <c r="N737" t="s">
        <v>108</v>
      </c>
      <c r="O737">
        <v>44</v>
      </c>
      <c r="P737" t="str">
        <f>HYPERLINK("Gene1015-zp_tree_all.dnd", "Gene1015-tree")</f>
        <v>Gene1015-tree</v>
      </c>
      <c r="Q737">
        <v>3</v>
      </c>
      <c r="R737">
        <v>10</v>
      </c>
      <c r="S737">
        <v>3</v>
      </c>
      <c r="T737">
        <v>10</v>
      </c>
      <c r="U737">
        <v>0.76922999999999997</v>
      </c>
      <c r="V737" t="s">
        <v>324</v>
      </c>
      <c r="W737" t="s">
        <v>117</v>
      </c>
      <c r="X737" t="s">
        <v>62</v>
      </c>
      <c r="Y737" t="s">
        <v>62</v>
      </c>
      <c r="Z737">
        <v>4</v>
      </c>
      <c r="AA737">
        <v>10</v>
      </c>
      <c r="AB737">
        <v>24</v>
      </c>
      <c r="AC737">
        <v>0.29411999999999999</v>
      </c>
      <c r="AD737" s="47">
        <v>0</v>
      </c>
      <c r="AE737" s="47">
        <v>0</v>
      </c>
      <c r="AF737" s="47">
        <v>0</v>
      </c>
      <c r="AG737" s="47">
        <v>0</v>
      </c>
      <c r="AH737" s="47">
        <v>0</v>
      </c>
      <c r="AI737" s="47">
        <v>5</v>
      </c>
      <c r="AJ737" s="47">
        <v>0</v>
      </c>
      <c r="AK737" s="47">
        <v>5</v>
      </c>
      <c r="AL737">
        <v>22</v>
      </c>
      <c r="AM737">
        <v>0.18518999999999999</v>
      </c>
      <c r="AN737">
        <v>11</v>
      </c>
      <c r="AO737">
        <v>9</v>
      </c>
      <c r="AP737">
        <v>18</v>
      </c>
      <c r="AQ737">
        <v>27</v>
      </c>
      <c r="AR737">
        <v>14</v>
      </c>
      <c r="AS737">
        <v>8</v>
      </c>
      <c r="AT737" t="s">
        <v>6378</v>
      </c>
      <c r="AU737" t="s">
        <v>6379</v>
      </c>
      <c r="AV737">
        <v>0.89200000000000002</v>
      </c>
      <c r="AW737" t="s">
        <v>65</v>
      </c>
      <c r="AX737">
        <v>32</v>
      </c>
      <c r="AY737">
        <v>35</v>
      </c>
      <c r="AZ737" t="s">
        <v>6380</v>
      </c>
      <c r="BA737">
        <v>2.7349999999999999E-2</v>
      </c>
      <c r="BB737">
        <v>-1.6800000000000001E-3</v>
      </c>
      <c r="BC737">
        <v>7.9000000000000008E-3</v>
      </c>
      <c r="BD737">
        <v>-4.0000000000000002E-4</v>
      </c>
      <c r="BE737">
        <v>0.28863</v>
      </c>
      <c r="BF737">
        <v>1</v>
      </c>
      <c r="BG737" t="s">
        <v>69</v>
      </c>
      <c r="BH737">
        <v>-0.83</v>
      </c>
      <c r="BI737">
        <v>-1.278</v>
      </c>
    </row>
    <row r="738" spans="3:61">
      <c r="C738">
        <v>0</v>
      </c>
      <c r="D738">
        <v>11</v>
      </c>
      <c r="E738">
        <v>2</v>
      </c>
      <c r="F738" t="s">
        <v>25021</v>
      </c>
      <c r="G738">
        <v>3208</v>
      </c>
      <c r="H738" t="s">
        <v>18682</v>
      </c>
      <c r="I738" t="s">
        <v>57</v>
      </c>
      <c r="J738">
        <v>3162084</v>
      </c>
      <c r="K738">
        <v>3163154</v>
      </c>
      <c r="L738" t="s">
        <v>18683</v>
      </c>
      <c r="M738">
        <v>357</v>
      </c>
      <c r="N738" t="s">
        <v>108</v>
      </c>
      <c r="O738">
        <v>44</v>
      </c>
      <c r="P738" t="str">
        <f>HYPERLINK("Gene3208-zp_tree_all.dnd", "Gene3208-tree")</f>
        <v>Gene3208-tree</v>
      </c>
      <c r="Q738">
        <v>3</v>
      </c>
      <c r="R738">
        <v>10</v>
      </c>
      <c r="S738">
        <v>3</v>
      </c>
      <c r="T738">
        <v>10</v>
      </c>
      <c r="U738">
        <v>0.76922999999999997</v>
      </c>
      <c r="V738" t="s">
        <v>324</v>
      </c>
      <c r="W738" t="s">
        <v>117</v>
      </c>
      <c r="X738" t="s">
        <v>62</v>
      </c>
      <c r="Y738" t="s">
        <v>62</v>
      </c>
      <c r="Z738">
        <v>4</v>
      </c>
      <c r="AA738">
        <v>13</v>
      </c>
      <c r="AB738">
        <v>13</v>
      </c>
      <c r="AC738">
        <v>0.5</v>
      </c>
      <c r="AD738" s="47">
        <v>0</v>
      </c>
      <c r="AE738" s="47">
        <v>0</v>
      </c>
      <c r="AF738" s="47">
        <v>0</v>
      </c>
      <c r="AG738" s="47">
        <v>0</v>
      </c>
      <c r="AH738" s="47">
        <v>0</v>
      </c>
      <c r="AI738" s="47">
        <v>6</v>
      </c>
      <c r="AJ738" s="47">
        <v>3</v>
      </c>
      <c r="AK738" s="47">
        <v>9</v>
      </c>
      <c r="AL738">
        <v>10</v>
      </c>
      <c r="AM738">
        <v>0.47367999999999999</v>
      </c>
      <c r="AN738">
        <v>10</v>
      </c>
      <c r="AO738">
        <v>9</v>
      </c>
      <c r="AP738">
        <v>29</v>
      </c>
      <c r="AQ738">
        <v>21</v>
      </c>
      <c r="AR738">
        <v>13</v>
      </c>
      <c r="AS738">
        <v>7</v>
      </c>
      <c r="AT738" t="s">
        <v>18684</v>
      </c>
      <c r="AU738" t="s">
        <v>18685</v>
      </c>
      <c r="AV738">
        <v>0.32900000000000001</v>
      </c>
      <c r="AW738" t="s">
        <v>65</v>
      </c>
      <c r="AX738">
        <v>42</v>
      </c>
      <c r="AY738">
        <v>28</v>
      </c>
      <c r="AZ738" t="s">
        <v>18686</v>
      </c>
      <c r="BA738">
        <v>3.8589999999999999E-2</v>
      </c>
      <c r="BB738">
        <v>-2.96E-3</v>
      </c>
      <c r="BC738">
        <v>5.94E-3</v>
      </c>
      <c r="BD738">
        <v>-3.6999999999999999E-4</v>
      </c>
      <c r="BE738">
        <v>0.15384</v>
      </c>
      <c r="BF738">
        <v>1</v>
      </c>
      <c r="BG738" t="s">
        <v>69</v>
      </c>
      <c r="BH738">
        <v>-0.46899999999999997</v>
      </c>
      <c r="BI738">
        <v>-2.13</v>
      </c>
    </row>
    <row r="739" spans="3:61">
      <c r="C739">
        <v>0</v>
      </c>
      <c r="D739">
        <v>13</v>
      </c>
      <c r="E739">
        <v>0</v>
      </c>
      <c r="F739" t="s">
        <v>25021</v>
      </c>
      <c r="G739">
        <v>3480</v>
      </c>
      <c r="H739" t="s">
        <v>20388</v>
      </c>
      <c r="I739" t="s">
        <v>57</v>
      </c>
      <c r="J739">
        <v>3444329</v>
      </c>
      <c r="K739">
        <v>3445402</v>
      </c>
      <c r="L739" t="s">
        <v>20389</v>
      </c>
      <c r="M739">
        <v>358</v>
      </c>
      <c r="N739" t="s">
        <v>108</v>
      </c>
      <c r="O739">
        <v>44</v>
      </c>
      <c r="P739" t="str">
        <f>HYPERLINK("Gene3480-zp_tree_all.dnd", "Gene3480-tree")</f>
        <v>Gene3480-tree</v>
      </c>
      <c r="Q739">
        <v>8</v>
      </c>
      <c r="R739">
        <v>7</v>
      </c>
      <c r="S739">
        <v>8</v>
      </c>
      <c r="T739">
        <v>7</v>
      </c>
      <c r="U739">
        <v>0.46666999999999997</v>
      </c>
      <c r="V739" t="s">
        <v>136</v>
      </c>
      <c r="W739" t="s">
        <v>152</v>
      </c>
      <c r="X739" t="s">
        <v>62</v>
      </c>
      <c r="Y739" t="s">
        <v>62</v>
      </c>
      <c r="Z739">
        <v>4</v>
      </c>
      <c r="AA739">
        <v>13</v>
      </c>
      <c r="AB739">
        <v>18</v>
      </c>
      <c r="AC739">
        <v>0.41935</v>
      </c>
      <c r="AD739" s="47">
        <v>0</v>
      </c>
      <c r="AE739" s="47">
        <v>0</v>
      </c>
      <c r="AF739" s="47">
        <v>0</v>
      </c>
      <c r="AG739" s="47">
        <v>0</v>
      </c>
      <c r="AH739" s="47">
        <v>0</v>
      </c>
      <c r="AI739" s="47">
        <v>5</v>
      </c>
      <c r="AJ739" s="47">
        <v>0</v>
      </c>
      <c r="AK739" s="47">
        <v>5</v>
      </c>
      <c r="AL739">
        <v>7</v>
      </c>
      <c r="AM739">
        <v>0.41666999999999998</v>
      </c>
      <c r="AN739">
        <v>12</v>
      </c>
      <c r="AO739">
        <v>12</v>
      </c>
      <c r="AP739">
        <v>27</v>
      </c>
      <c r="AQ739">
        <v>12</v>
      </c>
      <c r="AR739">
        <v>33</v>
      </c>
      <c r="AS739">
        <v>19</v>
      </c>
      <c r="AT739" t="s">
        <v>20390</v>
      </c>
      <c r="AU739" t="s">
        <v>20391</v>
      </c>
      <c r="AV739">
        <v>0.24099999999999999</v>
      </c>
      <c r="AW739" t="s">
        <v>65</v>
      </c>
      <c r="AX739">
        <v>60</v>
      </c>
      <c r="AY739">
        <v>31</v>
      </c>
      <c r="AZ739" t="s">
        <v>20392</v>
      </c>
      <c r="BA739">
        <v>5.4989999999999997E-2</v>
      </c>
      <c r="BB739">
        <v>-2.96E-3</v>
      </c>
      <c r="BC739">
        <v>8.1300000000000001E-3</v>
      </c>
      <c r="BD739">
        <v>-4.4999999999999999E-4</v>
      </c>
      <c r="BE739">
        <v>0.14792</v>
      </c>
      <c r="BF739">
        <v>1</v>
      </c>
      <c r="BG739" t="s">
        <v>69</v>
      </c>
      <c r="BH739">
        <v>-2E-3</v>
      </c>
      <c r="BI739">
        <v>-0.626</v>
      </c>
    </row>
    <row r="740" spans="3:61">
      <c r="C740">
        <v>0</v>
      </c>
      <c r="D740">
        <v>8</v>
      </c>
      <c r="E740">
        <v>0</v>
      </c>
      <c r="F740" t="s">
        <v>25021</v>
      </c>
      <c r="G740">
        <v>810</v>
      </c>
      <c r="H740" t="s">
        <v>5038</v>
      </c>
      <c r="I740" t="s">
        <v>62</v>
      </c>
      <c r="J740">
        <v>846185</v>
      </c>
      <c r="K740">
        <v>847258</v>
      </c>
      <c r="L740" t="s">
        <v>5039</v>
      </c>
      <c r="M740">
        <v>358</v>
      </c>
      <c r="N740" t="s">
        <v>5040</v>
      </c>
      <c r="O740">
        <v>33</v>
      </c>
      <c r="P740" t="str">
        <f>HYPERLINK("Gene810-zp_tree_all.dnd", "Gene810-tree")</f>
        <v>Gene810-tree</v>
      </c>
      <c r="Q740">
        <v>4</v>
      </c>
      <c r="R740">
        <v>6</v>
      </c>
      <c r="S740">
        <v>4</v>
      </c>
      <c r="T740">
        <v>6</v>
      </c>
      <c r="U740">
        <v>0.6</v>
      </c>
      <c r="V740" t="s">
        <v>61</v>
      </c>
      <c r="W740" t="s">
        <v>90</v>
      </c>
      <c r="X740" t="s">
        <v>62</v>
      </c>
      <c r="Y740" t="s">
        <v>62</v>
      </c>
      <c r="Z740">
        <v>3</v>
      </c>
      <c r="AA740">
        <v>8</v>
      </c>
      <c r="AB740">
        <v>9</v>
      </c>
      <c r="AC740">
        <v>0.47059000000000001</v>
      </c>
      <c r="AD740" s="47">
        <v>0</v>
      </c>
      <c r="AE740" s="47">
        <v>0</v>
      </c>
      <c r="AF740" s="47">
        <v>0</v>
      </c>
      <c r="AG740" s="47">
        <v>1</v>
      </c>
      <c r="AH740" s="47">
        <v>0</v>
      </c>
      <c r="AI740" s="47">
        <v>2</v>
      </c>
      <c r="AJ740" s="47">
        <v>0</v>
      </c>
      <c r="AK740" s="47">
        <v>2</v>
      </c>
      <c r="AL740">
        <v>10</v>
      </c>
      <c r="AM740">
        <v>0.16667000000000001</v>
      </c>
      <c r="AN740">
        <v>8</v>
      </c>
      <c r="AO740">
        <v>6</v>
      </c>
      <c r="AP740">
        <v>19</v>
      </c>
      <c r="AQ740">
        <v>11</v>
      </c>
      <c r="AR740">
        <v>10</v>
      </c>
      <c r="AS740">
        <v>6</v>
      </c>
      <c r="AT740" t="s">
        <v>5041</v>
      </c>
      <c r="AU740" t="s">
        <v>5042</v>
      </c>
      <c r="AV740">
        <v>3.6999999999999998E-2</v>
      </c>
      <c r="AW740" t="s">
        <v>65</v>
      </c>
      <c r="AX740">
        <v>29</v>
      </c>
      <c r="AY740">
        <v>17</v>
      </c>
      <c r="AZ740" t="s">
        <v>5043</v>
      </c>
      <c r="BA740">
        <v>2.93E-2</v>
      </c>
      <c r="BB740">
        <v>-1.6999999999999999E-3</v>
      </c>
      <c r="BC740">
        <v>4.2199999999999998E-3</v>
      </c>
      <c r="BD740">
        <v>-3.6000000000000002E-4</v>
      </c>
      <c r="BE740">
        <v>0.14387</v>
      </c>
      <c r="BF740">
        <v>1</v>
      </c>
      <c r="BG740" t="s">
        <v>69</v>
      </c>
      <c r="BH740">
        <v>-0.79400000000000004</v>
      </c>
      <c r="BI740">
        <v>-0.48599999999999999</v>
      </c>
    </row>
    <row r="741" spans="3:61">
      <c r="C741">
        <v>0</v>
      </c>
      <c r="D741">
        <v>2</v>
      </c>
      <c r="E741">
        <v>0</v>
      </c>
      <c r="F741" t="s">
        <v>25021</v>
      </c>
      <c r="G741">
        <v>986</v>
      </c>
      <c r="H741" t="s">
        <v>6182</v>
      </c>
      <c r="I741" t="s">
        <v>62</v>
      </c>
      <c r="J741">
        <v>1028514</v>
      </c>
      <c r="K741">
        <v>1029587</v>
      </c>
      <c r="L741" t="s">
        <v>6177</v>
      </c>
      <c r="M741">
        <v>358</v>
      </c>
      <c r="N741" t="s">
        <v>108</v>
      </c>
      <c r="O741">
        <v>44</v>
      </c>
      <c r="P741" t="str">
        <f>HYPERLINK("Gene986-zp_tree_all.dnd", "Gene986-tree")</f>
        <v>Gene986-tree</v>
      </c>
      <c r="Q741">
        <v>12</v>
      </c>
      <c r="R741">
        <v>3</v>
      </c>
      <c r="S741">
        <v>12</v>
      </c>
      <c r="T741">
        <v>3</v>
      </c>
      <c r="U741">
        <v>0.2</v>
      </c>
      <c r="V741" t="s">
        <v>109</v>
      </c>
      <c r="W741" t="s">
        <v>324</v>
      </c>
      <c r="X741" t="s">
        <v>62</v>
      </c>
      <c r="Y741" t="s">
        <v>62</v>
      </c>
      <c r="Z741">
        <v>1</v>
      </c>
      <c r="AA741">
        <v>2</v>
      </c>
      <c r="AB741">
        <v>3</v>
      </c>
      <c r="AC741">
        <v>0.4</v>
      </c>
      <c r="AD741" s="47">
        <v>0</v>
      </c>
      <c r="AE741" s="47">
        <v>0</v>
      </c>
      <c r="AF741" s="47">
        <v>0</v>
      </c>
      <c r="AG741" s="47">
        <v>2</v>
      </c>
      <c r="AH741" s="47">
        <v>0</v>
      </c>
      <c r="AI741" s="47">
        <v>0</v>
      </c>
      <c r="AJ741" s="47">
        <v>0</v>
      </c>
      <c r="AK741" s="47">
        <v>0</v>
      </c>
      <c r="AL741">
        <v>3</v>
      </c>
      <c r="AM741">
        <v>0</v>
      </c>
      <c r="AN741">
        <v>11</v>
      </c>
      <c r="AO741">
        <v>9</v>
      </c>
      <c r="AP741">
        <v>17</v>
      </c>
      <c r="AQ741">
        <v>3</v>
      </c>
      <c r="AR741">
        <v>10</v>
      </c>
      <c r="AS741">
        <v>2</v>
      </c>
      <c r="AT741" t="s">
        <v>6183</v>
      </c>
      <c r="AU741" t="s">
        <v>6184</v>
      </c>
      <c r="AV741">
        <v>8.4000000000000005E-2</v>
      </c>
      <c r="AW741" t="s">
        <v>65</v>
      </c>
      <c r="AX741">
        <v>27</v>
      </c>
      <c r="AY741">
        <v>5</v>
      </c>
      <c r="AZ741" t="s">
        <v>6185</v>
      </c>
      <c r="BA741">
        <v>2.0930000000000001E-2</v>
      </c>
      <c r="BB741">
        <v>-6.9999999999999999E-4</v>
      </c>
      <c r="BC741">
        <v>1.0300000000000001E-3</v>
      </c>
      <c r="BD741">
        <v>-8.0000000000000007E-5</v>
      </c>
      <c r="BE741">
        <v>4.9020000000000001E-2</v>
      </c>
      <c r="BF741">
        <v>1</v>
      </c>
      <c r="BG741" t="s">
        <v>69</v>
      </c>
      <c r="BH741">
        <v>-0.96499999999999997</v>
      </c>
      <c r="BI741">
        <v>-0.92800000000000005</v>
      </c>
    </row>
    <row r="742" spans="3:61">
      <c r="C742">
        <v>0</v>
      </c>
      <c r="D742">
        <v>4</v>
      </c>
      <c r="E742">
        <v>0</v>
      </c>
      <c r="F742" t="s">
        <v>25021</v>
      </c>
      <c r="G742">
        <v>947</v>
      </c>
      <c r="H742" t="s">
        <v>5936</v>
      </c>
      <c r="I742" t="s">
        <v>62</v>
      </c>
      <c r="J742">
        <v>985737</v>
      </c>
      <c r="K742">
        <v>986813</v>
      </c>
      <c r="L742" t="s">
        <v>5937</v>
      </c>
      <c r="M742">
        <v>359</v>
      </c>
      <c r="N742" t="s">
        <v>108</v>
      </c>
      <c r="O742">
        <v>44</v>
      </c>
      <c r="P742" t="str">
        <f>HYPERLINK("Gene947-zp_tree_all.dnd", "Gene947-tree")</f>
        <v>Gene947-tree</v>
      </c>
      <c r="Q742">
        <v>5</v>
      </c>
      <c r="R742">
        <v>6</v>
      </c>
      <c r="S742">
        <v>5</v>
      </c>
      <c r="T742">
        <v>6</v>
      </c>
      <c r="U742">
        <v>0.54544999999999999</v>
      </c>
      <c r="V742" t="s">
        <v>199</v>
      </c>
      <c r="W742" t="s">
        <v>90</v>
      </c>
      <c r="X742" t="s">
        <v>62</v>
      </c>
      <c r="Y742" t="s">
        <v>62</v>
      </c>
      <c r="Z742">
        <v>2</v>
      </c>
      <c r="AA742">
        <v>4</v>
      </c>
      <c r="AB742">
        <v>12</v>
      </c>
      <c r="AC742">
        <v>0.25</v>
      </c>
      <c r="AD742" s="47">
        <v>0</v>
      </c>
      <c r="AE742" s="47">
        <v>0</v>
      </c>
      <c r="AF742" s="47">
        <v>0</v>
      </c>
      <c r="AG742" s="47">
        <v>0</v>
      </c>
      <c r="AH742" s="47">
        <v>0</v>
      </c>
      <c r="AI742" s="47">
        <v>2</v>
      </c>
      <c r="AJ742" s="47">
        <v>0</v>
      </c>
      <c r="AK742" s="47">
        <v>2</v>
      </c>
      <c r="AL742">
        <v>12</v>
      </c>
      <c r="AM742">
        <v>0.14285999999999999</v>
      </c>
      <c r="AN742">
        <v>9</v>
      </c>
      <c r="AO742">
        <v>7</v>
      </c>
      <c r="AP742">
        <v>28</v>
      </c>
      <c r="AQ742">
        <v>14</v>
      </c>
      <c r="AR742">
        <v>15</v>
      </c>
      <c r="AS742">
        <v>2</v>
      </c>
      <c r="AT742" t="s">
        <v>5938</v>
      </c>
      <c r="AU742" t="s">
        <v>5939</v>
      </c>
      <c r="AV742">
        <v>1.167</v>
      </c>
      <c r="AW742" t="s">
        <v>65</v>
      </c>
      <c r="AX742">
        <v>43</v>
      </c>
      <c r="AY742">
        <v>16</v>
      </c>
      <c r="AZ742" t="s">
        <v>5940</v>
      </c>
      <c r="BA742">
        <v>3.5470000000000002E-2</v>
      </c>
      <c r="BB742">
        <v>-1.8699999999999999E-3</v>
      </c>
      <c r="BC742">
        <v>3.9100000000000003E-3</v>
      </c>
      <c r="BD742">
        <v>-3.5E-4</v>
      </c>
      <c r="BE742">
        <v>0.11029</v>
      </c>
      <c r="BF742">
        <v>1</v>
      </c>
      <c r="BG742" t="s">
        <v>69</v>
      </c>
      <c r="BH742">
        <v>-0.45300000000000001</v>
      </c>
      <c r="BI742">
        <v>-1.722</v>
      </c>
    </row>
    <row r="743" spans="3:61">
      <c r="C743">
        <v>0</v>
      </c>
      <c r="D743">
        <v>12</v>
      </c>
      <c r="E743">
        <v>0</v>
      </c>
      <c r="F743" t="s">
        <v>25021</v>
      </c>
      <c r="G743">
        <v>1038</v>
      </c>
      <c r="H743" t="s">
        <v>6512</v>
      </c>
      <c r="I743" t="s">
        <v>62</v>
      </c>
      <c r="J743">
        <v>1075292</v>
      </c>
      <c r="K743">
        <v>1076368</v>
      </c>
      <c r="L743" t="s">
        <v>6513</v>
      </c>
      <c r="M743">
        <v>359</v>
      </c>
      <c r="N743" t="s">
        <v>108</v>
      </c>
      <c r="O743">
        <v>44</v>
      </c>
      <c r="P743" t="str">
        <f>HYPERLINK("Gene1038-zp_tree_all.dnd", "Gene1038-tree")</f>
        <v>Gene1038-tree</v>
      </c>
      <c r="Q743">
        <v>3</v>
      </c>
      <c r="R743">
        <v>11</v>
      </c>
      <c r="S743">
        <v>3</v>
      </c>
      <c r="T743">
        <v>11</v>
      </c>
      <c r="U743">
        <v>0.78571000000000002</v>
      </c>
      <c r="V743" t="s">
        <v>324</v>
      </c>
      <c r="W743" t="s">
        <v>73</v>
      </c>
      <c r="X743">
        <v>305230034.74400002</v>
      </c>
      <c r="Y743" t="s">
        <v>267</v>
      </c>
      <c r="Z743">
        <v>4</v>
      </c>
      <c r="AA743">
        <v>12</v>
      </c>
      <c r="AB743">
        <v>12</v>
      </c>
      <c r="AC743">
        <v>0.5</v>
      </c>
      <c r="AD743" s="47">
        <v>0</v>
      </c>
      <c r="AE743" s="47">
        <v>0</v>
      </c>
      <c r="AF743" s="47">
        <v>0</v>
      </c>
      <c r="AG743" s="47">
        <v>1</v>
      </c>
      <c r="AH743" s="47">
        <v>0</v>
      </c>
      <c r="AI743" s="47">
        <v>8</v>
      </c>
      <c r="AJ743" s="47">
        <v>0</v>
      </c>
      <c r="AK743" s="47">
        <v>8</v>
      </c>
      <c r="AL743">
        <v>12</v>
      </c>
      <c r="AM743">
        <v>0.4</v>
      </c>
      <c r="AN743">
        <v>13</v>
      </c>
      <c r="AO743">
        <v>9</v>
      </c>
      <c r="AP743">
        <v>38</v>
      </c>
      <c r="AQ743">
        <v>20</v>
      </c>
      <c r="AR743">
        <v>26</v>
      </c>
      <c r="AS743">
        <v>4</v>
      </c>
      <c r="AT743" t="s">
        <v>6514</v>
      </c>
      <c r="AU743" t="s">
        <v>6515</v>
      </c>
      <c r="AV743">
        <v>1.343</v>
      </c>
      <c r="AW743" t="s">
        <v>65</v>
      </c>
      <c r="AX743">
        <v>64</v>
      </c>
      <c r="AY743">
        <v>24</v>
      </c>
      <c r="AZ743" t="s">
        <v>6516</v>
      </c>
      <c r="BA743">
        <v>4.7620000000000003E-2</v>
      </c>
      <c r="BB743">
        <v>-1.8500000000000001E-3</v>
      </c>
      <c r="BC743">
        <v>4.1599999999999996E-3</v>
      </c>
      <c r="BD743">
        <v>-2.0000000000000001E-4</v>
      </c>
      <c r="BE743">
        <v>8.7459999999999996E-2</v>
      </c>
      <c r="BF743">
        <v>1</v>
      </c>
      <c r="BG743" t="s">
        <v>69</v>
      </c>
      <c r="BH743">
        <v>-0.67200000000000004</v>
      </c>
      <c r="BI743">
        <v>-1.07</v>
      </c>
    </row>
    <row r="744" spans="3:61">
      <c r="C744">
        <v>0</v>
      </c>
      <c r="D744">
        <v>3</v>
      </c>
      <c r="E744">
        <v>0</v>
      </c>
      <c r="F744" t="s">
        <v>25021</v>
      </c>
      <c r="G744">
        <v>3273</v>
      </c>
      <c r="H744" t="s">
        <v>19094</v>
      </c>
      <c r="I744" t="s">
        <v>57</v>
      </c>
      <c r="J744">
        <v>3239930</v>
      </c>
      <c r="K744">
        <v>3241006</v>
      </c>
      <c r="L744" t="s">
        <v>19095</v>
      </c>
      <c r="M744">
        <v>359</v>
      </c>
      <c r="N744" t="s">
        <v>1392</v>
      </c>
      <c r="O744">
        <v>43</v>
      </c>
      <c r="P744" t="str">
        <f>HYPERLINK("Gene3273-zp_tree_all.dnd", "Gene3273-tree")</f>
        <v>Gene3273-tree</v>
      </c>
      <c r="Q744">
        <v>6</v>
      </c>
      <c r="R744">
        <v>6</v>
      </c>
      <c r="S744">
        <v>6</v>
      </c>
      <c r="T744">
        <v>6</v>
      </c>
      <c r="U744">
        <v>0.5</v>
      </c>
      <c r="V744" t="s">
        <v>90</v>
      </c>
      <c r="W744" t="s">
        <v>90</v>
      </c>
      <c r="X744" t="s">
        <v>62</v>
      </c>
      <c r="Y744" t="s">
        <v>62</v>
      </c>
      <c r="Z744">
        <v>1</v>
      </c>
      <c r="AA744">
        <v>3</v>
      </c>
      <c r="AB744">
        <v>4</v>
      </c>
      <c r="AC744">
        <v>0.42857000000000001</v>
      </c>
      <c r="AD744" s="47">
        <v>0</v>
      </c>
      <c r="AE744" s="47">
        <v>0</v>
      </c>
      <c r="AF744" s="47">
        <v>0</v>
      </c>
      <c r="AG744" s="47">
        <v>1</v>
      </c>
      <c r="AH744" s="47">
        <v>0</v>
      </c>
      <c r="AI744" s="47">
        <v>2</v>
      </c>
      <c r="AJ744" s="47">
        <v>0</v>
      </c>
      <c r="AK744" s="47">
        <v>2</v>
      </c>
      <c r="AL744">
        <v>4</v>
      </c>
      <c r="AM744">
        <v>0.33333000000000002</v>
      </c>
      <c r="AN744">
        <v>9</v>
      </c>
      <c r="AO744">
        <v>7</v>
      </c>
      <c r="AP744">
        <v>13</v>
      </c>
      <c r="AQ744">
        <v>6</v>
      </c>
      <c r="AR744">
        <v>14</v>
      </c>
      <c r="AS744">
        <v>1</v>
      </c>
      <c r="AT744" t="s">
        <v>19096</v>
      </c>
      <c r="AU744" t="s">
        <v>19097</v>
      </c>
      <c r="AV744">
        <v>1.512</v>
      </c>
      <c r="AW744" t="s">
        <v>65</v>
      </c>
      <c r="AX744">
        <v>27</v>
      </c>
      <c r="AY744">
        <v>7</v>
      </c>
      <c r="AZ744" t="s">
        <v>19098</v>
      </c>
      <c r="BA744">
        <v>2.7449999999999999E-2</v>
      </c>
      <c r="BB744">
        <v>-1.2800000000000001E-3</v>
      </c>
      <c r="BC744">
        <v>1.41E-3</v>
      </c>
      <c r="BD744">
        <v>-1.2E-4</v>
      </c>
      <c r="BE744">
        <v>5.1380000000000002E-2</v>
      </c>
      <c r="BF744">
        <v>1</v>
      </c>
      <c r="BG744" t="s">
        <v>69</v>
      </c>
      <c r="BH744">
        <v>-0.90200000000000002</v>
      </c>
      <c r="BI744">
        <v>-0.63800000000000001</v>
      </c>
    </row>
    <row r="745" spans="3:61">
      <c r="C745">
        <v>0</v>
      </c>
      <c r="D745">
        <v>0</v>
      </c>
      <c r="E745">
        <v>0</v>
      </c>
      <c r="F745" t="s">
        <v>25021</v>
      </c>
      <c r="G745">
        <v>3524</v>
      </c>
      <c r="H745" t="s">
        <v>20641</v>
      </c>
      <c r="I745" t="s">
        <v>57</v>
      </c>
      <c r="J745">
        <v>3485670</v>
      </c>
      <c r="K745">
        <v>3486755</v>
      </c>
      <c r="L745" t="s">
        <v>20642</v>
      </c>
      <c r="M745">
        <v>362</v>
      </c>
      <c r="N745" t="s">
        <v>108</v>
      </c>
      <c r="O745">
        <v>44</v>
      </c>
      <c r="P745" t="str">
        <f>HYPERLINK("Gene3524-zp_tree_all.dnd", "Gene3524-tree")</f>
        <v>Gene3524-tree</v>
      </c>
      <c r="Q745">
        <v>10</v>
      </c>
      <c r="R745">
        <v>2</v>
      </c>
      <c r="S745">
        <v>10</v>
      </c>
      <c r="T745">
        <v>2</v>
      </c>
      <c r="U745">
        <v>0.16667000000000001</v>
      </c>
      <c r="V745" t="s">
        <v>117</v>
      </c>
      <c r="W745" t="s">
        <v>81</v>
      </c>
      <c r="X745" t="s">
        <v>62</v>
      </c>
      <c r="Y745" t="s">
        <v>62</v>
      </c>
      <c r="Z745">
        <v>0</v>
      </c>
      <c r="AA745">
        <v>0</v>
      </c>
      <c r="AB745">
        <v>2</v>
      </c>
      <c r="AC745">
        <v>0</v>
      </c>
      <c r="AD745" s="47">
        <v>0</v>
      </c>
      <c r="AE745" s="47">
        <v>0</v>
      </c>
      <c r="AF745" s="47">
        <v>0</v>
      </c>
      <c r="AG745" s="47">
        <v>0</v>
      </c>
      <c r="AH745" s="47">
        <v>0</v>
      </c>
      <c r="AI745" s="47">
        <v>0</v>
      </c>
      <c r="AJ745" s="47">
        <v>0</v>
      </c>
      <c r="AK745" s="47">
        <v>0</v>
      </c>
      <c r="AL745">
        <v>2</v>
      </c>
      <c r="AM745">
        <v>0</v>
      </c>
      <c r="AN745">
        <v>10</v>
      </c>
      <c r="AO745">
        <v>5</v>
      </c>
      <c r="AP745">
        <v>18</v>
      </c>
      <c r="AQ745">
        <v>2</v>
      </c>
      <c r="AR745">
        <v>8</v>
      </c>
      <c r="AS745">
        <v>0</v>
      </c>
      <c r="AT745" t="s">
        <v>20643</v>
      </c>
      <c r="AU745" t="s">
        <v>193</v>
      </c>
      <c r="AV745">
        <v>0.746</v>
      </c>
      <c r="AW745" t="s">
        <v>65</v>
      </c>
      <c r="AX745">
        <v>26</v>
      </c>
      <c r="AY745">
        <v>2</v>
      </c>
      <c r="AZ745" t="s">
        <v>20644</v>
      </c>
      <c r="BA745">
        <v>2.2380000000000001E-2</v>
      </c>
      <c r="BB745">
        <v>-9.1E-4</v>
      </c>
      <c r="BC745">
        <v>4.0000000000000002E-4</v>
      </c>
      <c r="BD745">
        <v>-6.9999999999999994E-5</v>
      </c>
      <c r="BE745">
        <v>1.7690000000000001E-2</v>
      </c>
      <c r="BF745">
        <v>1</v>
      </c>
      <c r="BG745" t="s">
        <v>69</v>
      </c>
      <c r="BH745">
        <v>-0.33500000000000002</v>
      </c>
      <c r="BI745">
        <v>-1.389</v>
      </c>
    </row>
    <row r="746" spans="3:61">
      <c r="C746">
        <v>0</v>
      </c>
      <c r="D746">
        <v>4</v>
      </c>
      <c r="E746">
        <v>0</v>
      </c>
      <c r="F746" t="s">
        <v>25021</v>
      </c>
      <c r="G746">
        <v>1012</v>
      </c>
      <c r="H746" t="s">
        <v>6358</v>
      </c>
      <c r="I746" t="s">
        <v>62</v>
      </c>
      <c r="J746">
        <v>1052165</v>
      </c>
      <c r="K746">
        <v>1053253</v>
      </c>
      <c r="L746" t="s">
        <v>6359</v>
      </c>
      <c r="M746">
        <v>363</v>
      </c>
      <c r="N746" t="s">
        <v>108</v>
      </c>
      <c r="O746">
        <v>44</v>
      </c>
      <c r="P746" t="str">
        <f>HYPERLINK("Gene1012-zp_tree_all.dnd", "Gene1012-tree")</f>
        <v>Gene1012-tree</v>
      </c>
      <c r="Q746">
        <v>7</v>
      </c>
      <c r="R746">
        <v>6</v>
      </c>
      <c r="S746">
        <v>7</v>
      </c>
      <c r="T746">
        <v>6</v>
      </c>
      <c r="U746">
        <v>0.46154000000000001</v>
      </c>
      <c r="V746" t="s">
        <v>152</v>
      </c>
      <c r="W746" t="s">
        <v>90</v>
      </c>
      <c r="X746" t="s">
        <v>62</v>
      </c>
      <c r="Y746" t="s">
        <v>62</v>
      </c>
      <c r="Z746">
        <v>2</v>
      </c>
      <c r="AA746">
        <v>4</v>
      </c>
      <c r="AB746">
        <v>5</v>
      </c>
      <c r="AC746">
        <v>0.44444</v>
      </c>
      <c r="AD746" s="47">
        <v>0</v>
      </c>
      <c r="AE746" s="47">
        <v>0</v>
      </c>
      <c r="AF746" s="47">
        <v>0</v>
      </c>
      <c r="AG746" s="47">
        <v>0</v>
      </c>
      <c r="AH746" s="47">
        <v>0</v>
      </c>
      <c r="AI746" s="47">
        <v>2</v>
      </c>
      <c r="AJ746" s="47">
        <v>0</v>
      </c>
      <c r="AK746" s="47">
        <v>2</v>
      </c>
      <c r="AL746">
        <v>6</v>
      </c>
      <c r="AM746">
        <v>0.25</v>
      </c>
      <c r="AN746">
        <v>10</v>
      </c>
      <c r="AO746">
        <v>7</v>
      </c>
      <c r="AP746">
        <v>20</v>
      </c>
      <c r="AQ746">
        <v>7</v>
      </c>
      <c r="AR746">
        <v>22</v>
      </c>
      <c r="AS746">
        <v>2</v>
      </c>
      <c r="AT746" t="s">
        <v>6360</v>
      </c>
      <c r="AU746" t="s">
        <v>6361</v>
      </c>
      <c r="AV746">
        <v>0.98799999999999999</v>
      </c>
      <c r="AW746" t="s">
        <v>65</v>
      </c>
      <c r="AX746">
        <v>42</v>
      </c>
      <c r="AY746">
        <v>9</v>
      </c>
      <c r="AZ746" t="s">
        <v>6362</v>
      </c>
      <c r="BA746">
        <v>3.2759999999999997E-2</v>
      </c>
      <c r="BB746">
        <v>-1.2099999999999999E-3</v>
      </c>
      <c r="BC746">
        <v>1.99E-3</v>
      </c>
      <c r="BD746">
        <v>-1.7000000000000001E-4</v>
      </c>
      <c r="BE746">
        <v>6.0589999999999998E-2</v>
      </c>
      <c r="BF746">
        <v>1</v>
      </c>
      <c r="BG746" t="s">
        <v>69</v>
      </c>
      <c r="BH746">
        <v>-0.70299999999999996</v>
      </c>
      <c r="BI746">
        <v>-1.5209999999999999</v>
      </c>
    </row>
    <row r="747" spans="3:61">
      <c r="C747">
        <v>0</v>
      </c>
      <c r="D747">
        <v>2</v>
      </c>
      <c r="E747">
        <v>2</v>
      </c>
      <c r="F747" t="s">
        <v>25021</v>
      </c>
      <c r="G747">
        <v>3993</v>
      </c>
      <c r="H747" t="s">
        <v>23476</v>
      </c>
      <c r="I747" t="s">
        <v>57</v>
      </c>
      <c r="J747">
        <v>3957391</v>
      </c>
      <c r="K747">
        <v>3958479</v>
      </c>
      <c r="L747" t="s">
        <v>23477</v>
      </c>
      <c r="M747">
        <v>363</v>
      </c>
      <c r="N747" t="s">
        <v>698</v>
      </c>
      <c r="O747">
        <v>47</v>
      </c>
      <c r="P747" t="str">
        <f>HYPERLINK("Gene3993-zp_tree_all.dnd", "Gene3993-tree")</f>
        <v>Gene3993-tree</v>
      </c>
      <c r="Q747">
        <v>11</v>
      </c>
      <c r="R747">
        <v>6</v>
      </c>
      <c r="S747">
        <v>11</v>
      </c>
      <c r="T747">
        <v>6</v>
      </c>
      <c r="U747">
        <v>0.35293999999999998</v>
      </c>
      <c r="V747" t="s">
        <v>73</v>
      </c>
      <c r="W747" t="s">
        <v>90</v>
      </c>
      <c r="X747" t="s">
        <v>62</v>
      </c>
      <c r="Y747" t="s">
        <v>62</v>
      </c>
      <c r="Z747">
        <v>2</v>
      </c>
      <c r="AA747">
        <v>4</v>
      </c>
      <c r="AB747">
        <v>8</v>
      </c>
      <c r="AC747">
        <v>0.33333000000000002</v>
      </c>
      <c r="AD747" s="47">
        <v>0</v>
      </c>
      <c r="AE747" s="47">
        <v>0</v>
      </c>
      <c r="AF747" s="47">
        <v>0</v>
      </c>
      <c r="AG747" s="47">
        <v>1</v>
      </c>
      <c r="AH747" s="47">
        <v>0</v>
      </c>
      <c r="AI747" s="47">
        <v>0</v>
      </c>
      <c r="AJ747" s="47">
        <v>2</v>
      </c>
      <c r="AK747" s="47">
        <v>2</v>
      </c>
      <c r="AL747">
        <v>6</v>
      </c>
      <c r="AM747">
        <v>0.25</v>
      </c>
      <c r="AN747">
        <v>14</v>
      </c>
      <c r="AO747">
        <v>11</v>
      </c>
      <c r="AP747">
        <v>44</v>
      </c>
      <c r="AQ747">
        <v>8</v>
      </c>
      <c r="AR747">
        <v>66</v>
      </c>
      <c r="AS747">
        <v>4</v>
      </c>
      <c r="AT747" t="s">
        <v>23478</v>
      </c>
      <c r="AU747" t="s">
        <v>23479</v>
      </c>
      <c r="AV747">
        <v>0.72599999999999998</v>
      </c>
      <c r="AW747" t="s">
        <v>65</v>
      </c>
      <c r="AX747">
        <v>110</v>
      </c>
      <c r="AY747">
        <v>12</v>
      </c>
      <c r="AZ747" t="s">
        <v>23480</v>
      </c>
      <c r="BA747">
        <v>9.2179999999999998E-2</v>
      </c>
      <c r="BB747">
        <v>-4.7099999999999998E-3</v>
      </c>
      <c r="BC747">
        <v>2.4499999999999999E-3</v>
      </c>
      <c r="BD747">
        <v>-1.7000000000000001E-4</v>
      </c>
      <c r="BE747">
        <v>2.656E-2</v>
      </c>
      <c r="BF747">
        <v>1</v>
      </c>
      <c r="BG747" t="s">
        <v>69</v>
      </c>
      <c r="BH747">
        <v>-0.41899999999999998</v>
      </c>
      <c r="BI747">
        <v>0.32300000000000001</v>
      </c>
    </row>
    <row r="748" spans="3:61">
      <c r="C748">
        <v>0</v>
      </c>
      <c r="D748">
        <v>30</v>
      </c>
      <c r="E748">
        <v>4</v>
      </c>
      <c r="F748" t="s">
        <v>25021</v>
      </c>
      <c r="G748">
        <v>1070</v>
      </c>
      <c r="H748" t="s">
        <v>6719</v>
      </c>
      <c r="I748" t="s">
        <v>62</v>
      </c>
      <c r="J748">
        <v>1109391</v>
      </c>
      <c r="K748">
        <v>1110482</v>
      </c>
      <c r="L748" t="s">
        <v>6720</v>
      </c>
      <c r="M748">
        <v>364</v>
      </c>
      <c r="N748" t="s">
        <v>108</v>
      </c>
      <c r="O748">
        <v>44</v>
      </c>
      <c r="P748" t="str">
        <f>HYPERLINK("Gene1070-zp_tree_all.dnd", "Gene1070-tree")</f>
        <v>Gene1070-tree</v>
      </c>
      <c r="Q748">
        <v>1</v>
      </c>
      <c r="R748">
        <v>15</v>
      </c>
      <c r="S748">
        <v>1</v>
      </c>
      <c r="T748">
        <v>15</v>
      </c>
      <c r="U748">
        <v>0.9375</v>
      </c>
      <c r="V748" t="s">
        <v>175</v>
      </c>
      <c r="W748" t="s">
        <v>100</v>
      </c>
      <c r="X748" t="s">
        <v>62</v>
      </c>
      <c r="Y748" t="s">
        <v>62</v>
      </c>
      <c r="Z748">
        <v>13</v>
      </c>
      <c r="AA748">
        <v>34</v>
      </c>
      <c r="AB748">
        <v>22</v>
      </c>
      <c r="AC748">
        <v>0.60714000000000001</v>
      </c>
      <c r="AD748" s="47">
        <v>0</v>
      </c>
      <c r="AE748" s="47">
        <v>0</v>
      </c>
      <c r="AF748" s="47">
        <v>0</v>
      </c>
      <c r="AG748" s="47">
        <v>0</v>
      </c>
      <c r="AH748" s="47">
        <v>0</v>
      </c>
      <c r="AI748" s="47">
        <v>11</v>
      </c>
      <c r="AJ748" s="47">
        <v>4</v>
      </c>
      <c r="AK748" s="47">
        <v>15</v>
      </c>
      <c r="AL748">
        <v>24</v>
      </c>
      <c r="AM748">
        <v>0.38462000000000002</v>
      </c>
      <c r="AN748">
        <v>13</v>
      </c>
      <c r="AO748">
        <v>12</v>
      </c>
      <c r="AP748">
        <v>50</v>
      </c>
      <c r="AQ748">
        <v>38</v>
      </c>
      <c r="AR748">
        <v>54</v>
      </c>
      <c r="AS748">
        <v>20</v>
      </c>
      <c r="AT748" t="s">
        <v>6721</v>
      </c>
      <c r="AU748" t="s">
        <v>6722</v>
      </c>
      <c r="AV748">
        <v>1.5640000000000001</v>
      </c>
      <c r="AW748" t="s">
        <v>65</v>
      </c>
      <c r="AX748">
        <v>104</v>
      </c>
      <c r="AY748">
        <v>58</v>
      </c>
      <c r="AZ748" t="s">
        <v>6723</v>
      </c>
      <c r="BA748">
        <v>7.4840000000000004E-2</v>
      </c>
      <c r="BB748">
        <v>-2.7299999999999998E-3</v>
      </c>
      <c r="BC748">
        <v>1.174E-2</v>
      </c>
      <c r="BD748">
        <v>-3.8999999999999999E-4</v>
      </c>
      <c r="BE748">
        <v>0.15694</v>
      </c>
      <c r="BF748">
        <v>1</v>
      </c>
      <c r="BG748" t="s">
        <v>69</v>
      </c>
      <c r="BH748">
        <v>0.183</v>
      </c>
      <c r="BI748">
        <v>-1.1879999999999999</v>
      </c>
    </row>
    <row r="749" spans="3:61">
      <c r="C749">
        <v>0</v>
      </c>
      <c r="D749">
        <v>6</v>
      </c>
      <c r="E749">
        <v>4</v>
      </c>
      <c r="F749" t="s">
        <v>25021</v>
      </c>
      <c r="G749">
        <v>3431</v>
      </c>
      <c r="H749" t="s">
        <v>20078</v>
      </c>
      <c r="I749" t="s">
        <v>57</v>
      </c>
      <c r="J749">
        <v>3392199</v>
      </c>
      <c r="K749">
        <v>3393293</v>
      </c>
      <c r="L749" t="s">
        <v>20079</v>
      </c>
      <c r="M749">
        <v>365</v>
      </c>
      <c r="N749" t="s">
        <v>108</v>
      </c>
      <c r="O749">
        <v>44</v>
      </c>
      <c r="P749" t="str">
        <f>HYPERLINK("Gene3431-zp_tree_all.dnd", "Gene3431-tree")</f>
        <v>Gene3431-tree</v>
      </c>
      <c r="Q749">
        <v>28</v>
      </c>
      <c r="R749">
        <v>7</v>
      </c>
      <c r="S749">
        <v>6</v>
      </c>
      <c r="T749">
        <v>7</v>
      </c>
      <c r="U749">
        <v>0.53846000000000005</v>
      </c>
      <c r="V749" t="s">
        <v>5497</v>
      </c>
      <c r="W749" t="s">
        <v>152</v>
      </c>
      <c r="X749" t="s">
        <v>62</v>
      </c>
      <c r="Y749" t="s">
        <v>62</v>
      </c>
      <c r="Z749">
        <v>4</v>
      </c>
      <c r="AA749">
        <v>10</v>
      </c>
      <c r="AB749">
        <v>14</v>
      </c>
      <c r="AC749">
        <v>0.41666999999999998</v>
      </c>
      <c r="AD749" s="47">
        <v>0</v>
      </c>
      <c r="AE749" s="47">
        <v>0</v>
      </c>
      <c r="AF749" s="47">
        <v>0</v>
      </c>
      <c r="AG749" s="47">
        <v>2</v>
      </c>
      <c r="AH749" s="47">
        <v>0</v>
      </c>
      <c r="AI749" s="47">
        <v>2</v>
      </c>
      <c r="AJ749" s="47">
        <v>4</v>
      </c>
      <c r="AK749" s="47">
        <v>6</v>
      </c>
      <c r="AL749">
        <v>10</v>
      </c>
      <c r="AM749">
        <v>0.375</v>
      </c>
      <c r="AN749">
        <v>10</v>
      </c>
      <c r="AO749">
        <v>8</v>
      </c>
      <c r="AP749">
        <v>52</v>
      </c>
      <c r="AQ749">
        <v>15</v>
      </c>
      <c r="AR749">
        <v>37</v>
      </c>
      <c r="AS749">
        <v>9</v>
      </c>
      <c r="AT749" t="s">
        <v>20080</v>
      </c>
      <c r="AU749" t="s">
        <v>20081</v>
      </c>
      <c r="AV749">
        <v>7.2999999999999995E-2</v>
      </c>
      <c r="AW749" t="s">
        <v>65</v>
      </c>
      <c r="AX749">
        <v>89</v>
      </c>
      <c r="AY749">
        <v>24</v>
      </c>
      <c r="AZ749" t="s">
        <v>20082</v>
      </c>
      <c r="BA749">
        <v>7.0870000000000002E-2</v>
      </c>
      <c r="BB749">
        <v>-5.5999999999999999E-3</v>
      </c>
      <c r="BC749">
        <v>5.6699999999999997E-3</v>
      </c>
      <c r="BD749">
        <v>-4.8999999999999998E-4</v>
      </c>
      <c r="BE749">
        <v>8.0060000000000006E-2</v>
      </c>
      <c r="BF749">
        <v>1</v>
      </c>
      <c r="BG749" t="s">
        <v>69</v>
      </c>
      <c r="BH749">
        <v>-1.1950000000000001</v>
      </c>
      <c r="BI749">
        <v>-2.7090000000000001</v>
      </c>
    </row>
    <row r="750" spans="3:61">
      <c r="C750">
        <v>0</v>
      </c>
      <c r="D750">
        <v>13</v>
      </c>
      <c r="E750">
        <v>1</v>
      </c>
      <c r="F750" t="s">
        <v>25021</v>
      </c>
      <c r="G750">
        <v>4175</v>
      </c>
      <c r="H750" t="s">
        <v>24578</v>
      </c>
      <c r="I750" t="s">
        <v>57</v>
      </c>
      <c r="J750">
        <v>4140260</v>
      </c>
      <c r="K750">
        <v>4141354</v>
      </c>
      <c r="L750" t="s">
        <v>1932</v>
      </c>
      <c r="M750">
        <v>365</v>
      </c>
      <c r="N750" t="s">
        <v>108</v>
      </c>
      <c r="O750">
        <v>44</v>
      </c>
      <c r="P750" t="str">
        <f>HYPERLINK("Gene4175-zp_tree_all.dnd", "Gene4175-tree")</f>
        <v>Gene4175-tree</v>
      </c>
      <c r="Q750">
        <v>8</v>
      </c>
      <c r="R750">
        <v>24</v>
      </c>
      <c r="S750">
        <v>8</v>
      </c>
      <c r="T750">
        <v>7</v>
      </c>
      <c r="U750">
        <v>0.46666999999999997</v>
      </c>
      <c r="V750" t="s">
        <v>136</v>
      </c>
      <c r="W750" t="s">
        <v>638</v>
      </c>
      <c r="X750">
        <v>3.577</v>
      </c>
      <c r="Y750" t="s">
        <v>65</v>
      </c>
      <c r="Z750">
        <v>5</v>
      </c>
      <c r="AA750">
        <v>14</v>
      </c>
      <c r="AB750">
        <v>8</v>
      </c>
      <c r="AC750">
        <v>0.63636000000000004</v>
      </c>
      <c r="AD750" s="47">
        <v>0</v>
      </c>
      <c r="AE750" s="47">
        <v>0</v>
      </c>
      <c r="AF750" s="47">
        <v>0</v>
      </c>
      <c r="AG750" s="47">
        <v>3</v>
      </c>
      <c r="AH750" s="47">
        <v>0</v>
      </c>
      <c r="AI750" s="47">
        <v>4</v>
      </c>
      <c r="AJ750" s="47">
        <v>3</v>
      </c>
      <c r="AK750" s="47">
        <v>7</v>
      </c>
      <c r="AL750">
        <v>8</v>
      </c>
      <c r="AM750">
        <v>0.46666999999999997</v>
      </c>
      <c r="AN750">
        <v>13</v>
      </c>
      <c r="AO750">
        <v>12</v>
      </c>
      <c r="AP750">
        <v>58</v>
      </c>
      <c r="AQ750">
        <v>16</v>
      </c>
      <c r="AR750">
        <v>25</v>
      </c>
      <c r="AS750">
        <v>7</v>
      </c>
      <c r="AT750" t="s">
        <v>24579</v>
      </c>
      <c r="AU750" t="s">
        <v>24580</v>
      </c>
      <c r="AV750">
        <v>2.1999999999999999E-2</v>
      </c>
      <c r="AW750" t="s">
        <v>65</v>
      </c>
      <c r="AX750">
        <v>83</v>
      </c>
      <c r="AY750">
        <v>23</v>
      </c>
      <c r="AZ750" t="s">
        <v>24581</v>
      </c>
      <c r="BA750">
        <v>6.071E-2</v>
      </c>
      <c r="BB750">
        <v>-1.81E-3</v>
      </c>
      <c r="BC750">
        <v>4.28E-3</v>
      </c>
      <c r="BD750">
        <v>-2.3000000000000001E-4</v>
      </c>
      <c r="BE750">
        <v>7.0550000000000002E-2</v>
      </c>
      <c r="BF750">
        <v>1</v>
      </c>
      <c r="BG750" t="s">
        <v>69</v>
      </c>
      <c r="BH750">
        <v>-0.17399999999999999</v>
      </c>
      <c r="BI750">
        <v>-0.158</v>
      </c>
    </row>
    <row r="751" spans="3:61">
      <c r="C751">
        <v>0</v>
      </c>
      <c r="D751">
        <v>0</v>
      </c>
      <c r="E751">
        <v>0</v>
      </c>
      <c r="F751" t="s">
        <v>25021</v>
      </c>
      <c r="G751">
        <v>2799</v>
      </c>
      <c r="H751" t="s">
        <v>16045</v>
      </c>
      <c r="I751" t="s">
        <v>57</v>
      </c>
      <c r="J751">
        <v>2746608</v>
      </c>
      <c r="K751">
        <v>2747708</v>
      </c>
      <c r="L751" t="s">
        <v>16046</v>
      </c>
      <c r="M751">
        <v>367</v>
      </c>
      <c r="N751" t="s">
        <v>16040</v>
      </c>
      <c r="O751">
        <v>30</v>
      </c>
      <c r="P751" t="str">
        <f>HYPERLINK("Gene2799-zp_tree_all.dnd", "Gene2799-tree")</f>
        <v>Gene2799-tree</v>
      </c>
      <c r="Q751">
        <v>5</v>
      </c>
      <c r="R751">
        <v>4</v>
      </c>
      <c r="S751">
        <v>5</v>
      </c>
      <c r="T751">
        <v>4</v>
      </c>
      <c r="U751">
        <v>0.44444</v>
      </c>
      <c r="V751" t="s">
        <v>199</v>
      </c>
      <c r="W751" t="s">
        <v>61</v>
      </c>
      <c r="X751" t="s">
        <v>62</v>
      </c>
      <c r="Y751" t="s">
        <v>62</v>
      </c>
      <c r="Z751">
        <v>0</v>
      </c>
      <c r="AA751">
        <v>0</v>
      </c>
      <c r="AB751">
        <v>18</v>
      </c>
      <c r="AC751">
        <v>0</v>
      </c>
      <c r="AD751" s="47">
        <v>0</v>
      </c>
      <c r="AE751" s="47">
        <v>0</v>
      </c>
      <c r="AF751" s="47">
        <v>0</v>
      </c>
      <c r="AG751" s="47">
        <v>0</v>
      </c>
      <c r="AH751" s="47">
        <v>0</v>
      </c>
      <c r="AI751" s="47">
        <v>0</v>
      </c>
      <c r="AJ751" s="47">
        <v>0</v>
      </c>
      <c r="AK751" s="47">
        <v>0</v>
      </c>
      <c r="AL751">
        <v>13</v>
      </c>
      <c r="AM751">
        <v>0</v>
      </c>
      <c r="AN751">
        <v>8</v>
      </c>
      <c r="AO751">
        <v>4</v>
      </c>
      <c r="AP751">
        <v>47</v>
      </c>
      <c r="AQ751">
        <v>13</v>
      </c>
      <c r="AR751">
        <v>12</v>
      </c>
      <c r="AS751">
        <v>5</v>
      </c>
      <c r="AT751" t="s">
        <v>16047</v>
      </c>
      <c r="AU751" t="s">
        <v>16048</v>
      </c>
      <c r="AV751">
        <v>0.192</v>
      </c>
      <c r="AW751" t="s">
        <v>65</v>
      </c>
      <c r="AX751">
        <v>59</v>
      </c>
      <c r="AY751">
        <v>18</v>
      </c>
      <c r="AZ751" t="s">
        <v>16049</v>
      </c>
      <c r="BA751">
        <v>6.4360000000000001E-2</v>
      </c>
      <c r="BB751">
        <v>-1.0019999999999999E-2</v>
      </c>
      <c r="BC751">
        <v>6.0899999999999999E-3</v>
      </c>
      <c r="BD751">
        <v>-9.1E-4</v>
      </c>
      <c r="BE751">
        <v>9.468E-2</v>
      </c>
      <c r="BF751">
        <v>1</v>
      </c>
      <c r="BG751" t="s">
        <v>69</v>
      </c>
      <c r="BH751">
        <v>-2.02</v>
      </c>
      <c r="BI751">
        <v>-2.7909999999999999</v>
      </c>
    </row>
    <row r="752" spans="3:61">
      <c r="C752">
        <v>0</v>
      </c>
      <c r="D752">
        <v>21</v>
      </c>
      <c r="E752">
        <v>1</v>
      </c>
      <c r="F752" t="s">
        <v>25021</v>
      </c>
      <c r="G752">
        <v>2984</v>
      </c>
      <c r="H752" t="s">
        <v>17220</v>
      </c>
      <c r="I752" t="s">
        <v>57</v>
      </c>
      <c r="J752">
        <v>2931976</v>
      </c>
      <c r="K752">
        <v>2933079</v>
      </c>
      <c r="L752" t="s">
        <v>17221</v>
      </c>
      <c r="M752">
        <v>368</v>
      </c>
      <c r="N752" t="s">
        <v>108</v>
      </c>
      <c r="O752">
        <v>44</v>
      </c>
      <c r="P752" t="str">
        <f>HYPERLINK("Gene2984-zp_tree_all.dnd", "Gene2984-tree")</f>
        <v>Gene2984-tree</v>
      </c>
      <c r="Q752">
        <v>2</v>
      </c>
      <c r="R752">
        <v>14</v>
      </c>
      <c r="S752">
        <v>2</v>
      </c>
      <c r="T752">
        <v>14</v>
      </c>
      <c r="U752">
        <v>0.875</v>
      </c>
      <c r="V752" t="s">
        <v>81</v>
      </c>
      <c r="W752" t="s">
        <v>543</v>
      </c>
      <c r="X752">
        <v>860908720.12699997</v>
      </c>
      <c r="Y752" t="s">
        <v>267</v>
      </c>
      <c r="Z752">
        <v>7</v>
      </c>
      <c r="AA752">
        <v>22</v>
      </c>
      <c r="AB752">
        <v>17</v>
      </c>
      <c r="AC752">
        <v>0.56410000000000005</v>
      </c>
      <c r="AD752" s="47">
        <v>0</v>
      </c>
      <c r="AE752" s="47">
        <v>0</v>
      </c>
      <c r="AF752" s="47">
        <v>0</v>
      </c>
      <c r="AG752" s="47">
        <v>0</v>
      </c>
      <c r="AH752" s="47">
        <v>0</v>
      </c>
      <c r="AI752" s="47">
        <v>14</v>
      </c>
      <c r="AJ752" s="47">
        <v>1</v>
      </c>
      <c r="AK752" s="47">
        <v>15</v>
      </c>
      <c r="AL752">
        <v>12</v>
      </c>
      <c r="AM752">
        <v>0.55556000000000005</v>
      </c>
      <c r="AN752">
        <v>12</v>
      </c>
      <c r="AO752">
        <v>10</v>
      </c>
      <c r="AP752">
        <v>17</v>
      </c>
      <c r="AQ752">
        <v>21</v>
      </c>
      <c r="AR752">
        <v>35</v>
      </c>
      <c r="AS752">
        <v>18</v>
      </c>
      <c r="AT752" t="s">
        <v>17222</v>
      </c>
      <c r="AU752" t="s">
        <v>17223</v>
      </c>
      <c r="AV752">
        <v>1.0629999999999999</v>
      </c>
      <c r="AW752" t="s">
        <v>65</v>
      </c>
      <c r="AX752">
        <v>52</v>
      </c>
      <c r="AY752">
        <v>39</v>
      </c>
      <c r="AZ752" t="s">
        <v>17224</v>
      </c>
      <c r="BA752">
        <v>4.7600000000000003E-2</v>
      </c>
      <c r="BB752">
        <v>-1.8E-3</v>
      </c>
      <c r="BC752">
        <v>7.9600000000000001E-3</v>
      </c>
      <c r="BD752">
        <v>-2.9E-4</v>
      </c>
      <c r="BE752">
        <v>0.16713</v>
      </c>
      <c r="BF752">
        <v>1</v>
      </c>
      <c r="BG752" t="s">
        <v>69</v>
      </c>
      <c r="BH752">
        <v>-0.16900000000000001</v>
      </c>
      <c r="BI752">
        <v>-0.19600000000000001</v>
      </c>
    </row>
    <row r="753" spans="3:61">
      <c r="C753">
        <v>0</v>
      </c>
      <c r="D753">
        <v>4</v>
      </c>
      <c r="E753">
        <v>0</v>
      </c>
      <c r="F753" t="s">
        <v>25021</v>
      </c>
      <c r="G753">
        <v>3713</v>
      </c>
      <c r="H753" t="s">
        <v>21752</v>
      </c>
      <c r="I753" t="s">
        <v>57</v>
      </c>
      <c r="J753">
        <v>3690269</v>
      </c>
      <c r="K753">
        <v>3691372</v>
      </c>
      <c r="L753" t="s">
        <v>21745</v>
      </c>
      <c r="M753">
        <v>368</v>
      </c>
      <c r="N753" t="s">
        <v>3492</v>
      </c>
      <c r="O753">
        <v>31</v>
      </c>
      <c r="P753" t="str">
        <f>HYPERLINK("Gene3713-zp_tree_all.dnd", "Gene3713-tree")</f>
        <v>Gene3713-tree</v>
      </c>
      <c r="Q753">
        <v>26</v>
      </c>
      <c r="R753">
        <v>3</v>
      </c>
      <c r="S753">
        <v>6</v>
      </c>
      <c r="T753">
        <v>3</v>
      </c>
      <c r="U753">
        <v>0.33333000000000002</v>
      </c>
      <c r="V753" t="s">
        <v>1030</v>
      </c>
      <c r="W753" t="s">
        <v>324</v>
      </c>
      <c r="X753" t="s">
        <v>62</v>
      </c>
      <c r="Y753" t="s">
        <v>62</v>
      </c>
      <c r="Z753">
        <v>2</v>
      </c>
      <c r="AA753">
        <v>4</v>
      </c>
      <c r="AB753">
        <v>17</v>
      </c>
      <c r="AC753">
        <v>0.19048000000000001</v>
      </c>
      <c r="AD753" s="47">
        <v>0</v>
      </c>
      <c r="AE753" s="47">
        <v>0</v>
      </c>
      <c r="AF753" s="47">
        <v>0</v>
      </c>
      <c r="AG753" s="47">
        <v>1</v>
      </c>
      <c r="AH753" s="47">
        <v>0</v>
      </c>
      <c r="AI753" s="47">
        <v>0</v>
      </c>
      <c r="AJ753" s="47">
        <v>0</v>
      </c>
      <c r="AK753" s="47">
        <v>0</v>
      </c>
      <c r="AL753">
        <v>5</v>
      </c>
      <c r="AM753">
        <v>0</v>
      </c>
      <c r="AN753">
        <v>7</v>
      </c>
      <c r="AO753">
        <v>5</v>
      </c>
      <c r="AP753">
        <v>16</v>
      </c>
      <c r="AQ753">
        <v>5</v>
      </c>
      <c r="AR753">
        <v>37</v>
      </c>
      <c r="AS753">
        <v>16</v>
      </c>
      <c r="AT753" t="s">
        <v>21753</v>
      </c>
      <c r="AU753" t="s">
        <v>21754</v>
      </c>
      <c r="AV753">
        <v>9.8000000000000004E-2</v>
      </c>
      <c r="AW753" t="s">
        <v>65</v>
      </c>
      <c r="AX753">
        <v>53</v>
      </c>
      <c r="AY753">
        <v>21</v>
      </c>
      <c r="AZ753" t="s">
        <v>21755</v>
      </c>
      <c r="BA753">
        <v>9.9570000000000006E-2</v>
      </c>
      <c r="BB753">
        <v>-1.217E-2</v>
      </c>
      <c r="BC753">
        <v>1.125E-2</v>
      </c>
      <c r="BD753">
        <v>-1.33E-3</v>
      </c>
      <c r="BE753">
        <v>0.11297</v>
      </c>
      <c r="BF753">
        <v>1</v>
      </c>
      <c r="BG753" t="s">
        <v>69</v>
      </c>
      <c r="BH753">
        <v>1.4E-2</v>
      </c>
      <c r="BI753">
        <v>1.0999999999999999E-2</v>
      </c>
    </row>
    <row r="754" spans="3:61">
      <c r="C754">
        <v>0</v>
      </c>
      <c r="D754">
        <v>4</v>
      </c>
      <c r="E754">
        <v>0</v>
      </c>
      <c r="F754" t="s">
        <v>25021</v>
      </c>
      <c r="G754">
        <v>1998</v>
      </c>
      <c r="H754" t="s">
        <v>12441</v>
      </c>
      <c r="I754" t="s">
        <v>57</v>
      </c>
      <c r="J754">
        <v>2090574</v>
      </c>
      <c r="K754">
        <v>2091683</v>
      </c>
      <c r="L754" t="s">
        <v>12442</v>
      </c>
      <c r="M754">
        <v>370</v>
      </c>
      <c r="N754" t="s">
        <v>108</v>
      </c>
      <c r="O754">
        <v>44</v>
      </c>
      <c r="P754" t="str">
        <f>HYPERLINK("Gene1998-zp_tree_all.dnd", "Gene1998-tree")</f>
        <v>Gene1998-tree</v>
      </c>
      <c r="Q754">
        <v>10</v>
      </c>
      <c r="R754">
        <v>3</v>
      </c>
      <c r="S754">
        <v>10</v>
      </c>
      <c r="T754">
        <v>3</v>
      </c>
      <c r="U754">
        <v>0.23077</v>
      </c>
      <c r="V754" t="s">
        <v>117</v>
      </c>
      <c r="W754" t="s">
        <v>324</v>
      </c>
      <c r="X754" t="s">
        <v>62</v>
      </c>
      <c r="Y754" t="s">
        <v>62</v>
      </c>
      <c r="Z754">
        <v>2</v>
      </c>
      <c r="AA754">
        <v>4</v>
      </c>
      <c r="AB754">
        <v>6</v>
      </c>
      <c r="AC754">
        <v>0.4</v>
      </c>
      <c r="AD754" s="47">
        <v>0</v>
      </c>
      <c r="AE754" s="47">
        <v>0</v>
      </c>
      <c r="AF754" s="47">
        <v>0</v>
      </c>
      <c r="AG754" s="47">
        <v>0</v>
      </c>
      <c r="AH754" s="47">
        <v>0</v>
      </c>
      <c r="AI754" s="47">
        <v>0</v>
      </c>
      <c r="AJ754" s="47">
        <v>0</v>
      </c>
      <c r="AK754" s="47">
        <v>0</v>
      </c>
      <c r="AL754">
        <v>4</v>
      </c>
      <c r="AM754">
        <v>0</v>
      </c>
      <c r="AN754">
        <v>12</v>
      </c>
      <c r="AO754">
        <v>9</v>
      </c>
      <c r="AP754">
        <v>36</v>
      </c>
      <c r="AQ754">
        <v>4</v>
      </c>
      <c r="AR754">
        <v>23</v>
      </c>
      <c r="AS754">
        <v>6</v>
      </c>
      <c r="AT754" t="s">
        <v>12443</v>
      </c>
      <c r="AU754" t="s">
        <v>12444</v>
      </c>
      <c r="AV754">
        <v>0.63100000000000001</v>
      </c>
      <c r="AW754" t="s">
        <v>65</v>
      </c>
      <c r="AX754">
        <v>59</v>
      </c>
      <c r="AY754">
        <v>10</v>
      </c>
      <c r="AZ754" t="s">
        <v>12445</v>
      </c>
      <c r="BA754">
        <v>5.1299999999999998E-2</v>
      </c>
      <c r="BB754">
        <v>-2.5000000000000001E-3</v>
      </c>
      <c r="BC754">
        <v>2.8600000000000001E-3</v>
      </c>
      <c r="BD754">
        <v>-2.0000000000000001E-4</v>
      </c>
      <c r="BE754">
        <v>5.5739999999999998E-2</v>
      </c>
      <c r="BF754">
        <v>1</v>
      </c>
      <c r="BG754" t="s">
        <v>69</v>
      </c>
      <c r="BH754">
        <v>-8.3000000000000004E-2</v>
      </c>
      <c r="BI754">
        <v>-0.91900000000000004</v>
      </c>
    </row>
    <row r="755" spans="3:61">
      <c r="C755">
        <v>0</v>
      </c>
      <c r="D755">
        <v>8</v>
      </c>
      <c r="E755">
        <v>0</v>
      </c>
      <c r="F755" t="s">
        <v>25021</v>
      </c>
      <c r="G755">
        <v>1132</v>
      </c>
      <c r="H755" t="s">
        <v>7119</v>
      </c>
      <c r="I755" t="s">
        <v>62</v>
      </c>
      <c r="J755">
        <v>1174864</v>
      </c>
      <c r="K755">
        <v>1175976</v>
      </c>
      <c r="L755" t="s">
        <v>7120</v>
      </c>
      <c r="M755">
        <v>371</v>
      </c>
      <c r="N755" t="s">
        <v>7121</v>
      </c>
      <c r="O755">
        <v>36</v>
      </c>
      <c r="P755" t="str">
        <f>HYPERLINK("Gene1132-zp_tree_all.dnd", "Gene1132-tree")</f>
        <v>Gene1132-tree</v>
      </c>
      <c r="Q755">
        <v>2</v>
      </c>
      <c r="R755">
        <v>11</v>
      </c>
      <c r="S755">
        <v>2</v>
      </c>
      <c r="T755">
        <v>11</v>
      </c>
      <c r="U755">
        <v>0.84614999999999996</v>
      </c>
      <c r="V755" t="s">
        <v>81</v>
      </c>
      <c r="W755" t="s">
        <v>73</v>
      </c>
      <c r="X755">
        <v>515075683.63</v>
      </c>
      <c r="Y755" t="s">
        <v>267</v>
      </c>
      <c r="Z755">
        <v>4</v>
      </c>
      <c r="AA755">
        <v>8</v>
      </c>
      <c r="AB755">
        <v>19</v>
      </c>
      <c r="AC755">
        <v>0.29630000000000001</v>
      </c>
      <c r="AD755" s="47">
        <v>0</v>
      </c>
      <c r="AE755" s="47">
        <v>0</v>
      </c>
      <c r="AF755" s="47">
        <v>0</v>
      </c>
      <c r="AG755" s="47">
        <v>0</v>
      </c>
      <c r="AH755" s="47">
        <v>0</v>
      </c>
      <c r="AI755" s="47">
        <v>6</v>
      </c>
      <c r="AJ755" s="47">
        <v>0</v>
      </c>
      <c r="AK755" s="47">
        <v>6</v>
      </c>
      <c r="AL755">
        <v>16</v>
      </c>
      <c r="AM755">
        <v>0.27272999999999997</v>
      </c>
      <c r="AN755">
        <v>10</v>
      </c>
      <c r="AO755">
        <v>8</v>
      </c>
      <c r="AP755">
        <v>30</v>
      </c>
      <c r="AQ755">
        <v>20</v>
      </c>
      <c r="AR755">
        <v>17</v>
      </c>
      <c r="AS755">
        <v>7</v>
      </c>
      <c r="AT755" t="s">
        <v>7122</v>
      </c>
      <c r="AU755" t="s">
        <v>7123</v>
      </c>
      <c r="AV755">
        <v>0.73699999999999999</v>
      </c>
      <c r="AW755" t="s">
        <v>65</v>
      </c>
      <c r="AX755">
        <v>47</v>
      </c>
      <c r="AY755">
        <v>27</v>
      </c>
      <c r="AZ755" t="s">
        <v>7124</v>
      </c>
      <c r="BA755">
        <v>3.7490000000000002E-2</v>
      </c>
      <c r="BB755">
        <v>-1.6299999999999999E-3</v>
      </c>
      <c r="BC755">
        <v>5.8399999999999997E-3</v>
      </c>
      <c r="BD755">
        <v>-3.1E-4</v>
      </c>
      <c r="BE755">
        <v>0.15581</v>
      </c>
      <c r="BF755">
        <v>1</v>
      </c>
      <c r="BG755" t="s">
        <v>69</v>
      </c>
      <c r="BH755">
        <v>-1.673</v>
      </c>
      <c r="BI755">
        <v>-2.3330000000000002</v>
      </c>
    </row>
    <row r="756" spans="3:61">
      <c r="C756">
        <v>0</v>
      </c>
      <c r="D756">
        <v>4</v>
      </c>
      <c r="E756">
        <v>0</v>
      </c>
      <c r="F756" t="s">
        <v>25021</v>
      </c>
      <c r="G756">
        <v>1916</v>
      </c>
      <c r="H756" t="s">
        <v>12002</v>
      </c>
      <c r="I756" t="s">
        <v>62</v>
      </c>
      <c r="J756">
        <v>2015736</v>
      </c>
      <c r="K756">
        <v>2016848</v>
      </c>
      <c r="L756" t="s">
        <v>8527</v>
      </c>
      <c r="M756">
        <v>371</v>
      </c>
      <c r="N756" t="s">
        <v>2289</v>
      </c>
      <c r="O756">
        <v>37</v>
      </c>
      <c r="P756" t="str">
        <f>HYPERLINK("Gene1916-zp_tree_all.dnd", "Gene1916-tree")</f>
        <v>Gene1916-tree</v>
      </c>
      <c r="Q756">
        <v>4</v>
      </c>
      <c r="R756">
        <v>8</v>
      </c>
      <c r="S756">
        <v>4</v>
      </c>
      <c r="T756">
        <v>8</v>
      </c>
      <c r="U756">
        <v>0.66666999999999998</v>
      </c>
      <c r="V756" t="s">
        <v>61</v>
      </c>
      <c r="W756" t="s">
        <v>136</v>
      </c>
      <c r="X756" t="s">
        <v>62</v>
      </c>
      <c r="Y756" t="s">
        <v>62</v>
      </c>
      <c r="Z756">
        <v>2</v>
      </c>
      <c r="AA756">
        <v>4</v>
      </c>
      <c r="AB756">
        <v>10</v>
      </c>
      <c r="AC756">
        <v>0.28571000000000002</v>
      </c>
      <c r="AD756" s="47">
        <v>0</v>
      </c>
      <c r="AE756" s="47">
        <v>0</v>
      </c>
      <c r="AF756" s="47">
        <v>0</v>
      </c>
      <c r="AG756" s="47">
        <v>0</v>
      </c>
      <c r="AH756" s="47">
        <v>0</v>
      </c>
      <c r="AI756" s="47">
        <v>2</v>
      </c>
      <c r="AJ756" s="47">
        <v>0</v>
      </c>
      <c r="AK756" s="47">
        <v>2</v>
      </c>
      <c r="AL756">
        <v>8</v>
      </c>
      <c r="AM756">
        <v>0.2</v>
      </c>
      <c r="AN756">
        <v>8</v>
      </c>
      <c r="AO756">
        <v>8</v>
      </c>
      <c r="AP756">
        <v>28</v>
      </c>
      <c r="AQ756">
        <v>9</v>
      </c>
      <c r="AR756">
        <v>22</v>
      </c>
      <c r="AS756">
        <v>5</v>
      </c>
      <c r="AT756" t="s">
        <v>12003</v>
      </c>
      <c r="AU756" t="s">
        <v>12004</v>
      </c>
      <c r="AV756">
        <v>0.433</v>
      </c>
      <c r="AW756" t="s">
        <v>65</v>
      </c>
      <c r="AX756">
        <v>50</v>
      </c>
      <c r="AY756">
        <v>14</v>
      </c>
      <c r="AZ756" t="s">
        <v>12005</v>
      </c>
      <c r="BA756">
        <v>4.4510000000000001E-2</v>
      </c>
      <c r="BB756">
        <v>-3.13E-3</v>
      </c>
      <c r="BC756">
        <v>4.0099999999999997E-3</v>
      </c>
      <c r="BD756">
        <v>-2.9999999999999997E-4</v>
      </c>
      <c r="BE756">
        <v>9.0060000000000001E-2</v>
      </c>
      <c r="BF756">
        <v>1</v>
      </c>
      <c r="BG756" t="s">
        <v>69</v>
      </c>
      <c r="BH756">
        <v>-0.29199999999999998</v>
      </c>
      <c r="BI756">
        <v>-0.98299999999999998</v>
      </c>
    </row>
    <row r="757" spans="3:61">
      <c r="C757">
        <v>0</v>
      </c>
      <c r="D757">
        <v>2</v>
      </c>
      <c r="E757">
        <v>0</v>
      </c>
      <c r="F757" t="s">
        <v>25021</v>
      </c>
      <c r="G757">
        <v>1969</v>
      </c>
      <c r="H757" t="s">
        <v>12297</v>
      </c>
      <c r="I757" t="s">
        <v>57</v>
      </c>
      <c r="J757">
        <v>2062150</v>
      </c>
      <c r="K757">
        <v>2063262</v>
      </c>
      <c r="L757" t="s">
        <v>1932</v>
      </c>
      <c r="M757">
        <v>371</v>
      </c>
      <c r="N757" t="s">
        <v>12298</v>
      </c>
      <c r="O757">
        <v>26</v>
      </c>
      <c r="P757" t="str">
        <f>HYPERLINK("Gene1969-zp_tree_all.dnd", "Gene1969-tree")</f>
        <v>Gene1969-tree</v>
      </c>
      <c r="Q757">
        <v>0</v>
      </c>
      <c r="R757">
        <v>6</v>
      </c>
      <c r="S757">
        <v>0</v>
      </c>
      <c r="T757">
        <v>6</v>
      </c>
      <c r="U757">
        <v>1</v>
      </c>
      <c r="V757" t="s">
        <v>62</v>
      </c>
      <c r="W757" t="s">
        <v>90</v>
      </c>
      <c r="X757" t="s">
        <v>62</v>
      </c>
      <c r="Y757" t="s">
        <v>62</v>
      </c>
      <c r="Z757">
        <v>1</v>
      </c>
      <c r="AA757">
        <v>2</v>
      </c>
      <c r="AB757">
        <v>14</v>
      </c>
      <c r="AC757">
        <v>0.125</v>
      </c>
      <c r="AD757" s="47">
        <v>0</v>
      </c>
      <c r="AE757" s="47">
        <v>0</v>
      </c>
      <c r="AF757" s="47">
        <v>0</v>
      </c>
      <c r="AG757" s="47">
        <v>0</v>
      </c>
      <c r="AH757" s="47">
        <v>0</v>
      </c>
      <c r="AI757" s="47">
        <v>2</v>
      </c>
      <c r="AJ757" s="47">
        <v>0</v>
      </c>
      <c r="AK757" s="47">
        <v>2</v>
      </c>
      <c r="AL757">
        <v>13</v>
      </c>
      <c r="AM757">
        <v>0.13333</v>
      </c>
      <c r="AN757">
        <v>5</v>
      </c>
      <c r="AO757">
        <v>2</v>
      </c>
      <c r="AP757">
        <v>40</v>
      </c>
      <c r="AQ757">
        <v>15</v>
      </c>
      <c r="AR757">
        <v>6</v>
      </c>
      <c r="AS757">
        <v>1</v>
      </c>
      <c r="AT757" t="s">
        <v>12299</v>
      </c>
      <c r="AU757" t="s">
        <v>12300</v>
      </c>
      <c r="AV757">
        <v>0.629</v>
      </c>
      <c r="AW757" t="s">
        <v>65</v>
      </c>
      <c r="AX757">
        <v>46</v>
      </c>
      <c r="AY757">
        <v>16</v>
      </c>
      <c r="AZ757" t="s">
        <v>12301</v>
      </c>
      <c r="BA757">
        <v>7.714E-2</v>
      </c>
      <c r="BB757">
        <v>-1.2869999999999999E-2</v>
      </c>
      <c r="BC757">
        <v>6.1000000000000004E-3</v>
      </c>
      <c r="BD757">
        <v>-7.5000000000000002E-4</v>
      </c>
      <c r="BE757">
        <v>7.911E-2</v>
      </c>
      <c r="BF757">
        <v>1</v>
      </c>
      <c r="BG757" t="s">
        <v>69</v>
      </c>
      <c r="BH757">
        <v>-2.3780000000000001</v>
      </c>
      <c r="BI757">
        <v>-3.1909999999999998</v>
      </c>
    </row>
    <row r="758" spans="3:61">
      <c r="C758">
        <v>0</v>
      </c>
      <c r="D758">
        <v>2</v>
      </c>
      <c r="E758">
        <v>0</v>
      </c>
      <c r="F758" t="s">
        <v>25021</v>
      </c>
      <c r="G758">
        <v>3032</v>
      </c>
      <c r="H758" t="s">
        <v>17531</v>
      </c>
      <c r="I758" t="s">
        <v>57</v>
      </c>
      <c r="J758">
        <v>2983164</v>
      </c>
      <c r="K758">
        <v>2984276</v>
      </c>
      <c r="L758" t="s">
        <v>17532</v>
      </c>
      <c r="M758">
        <v>371</v>
      </c>
      <c r="N758" t="s">
        <v>108</v>
      </c>
      <c r="O758">
        <v>44</v>
      </c>
      <c r="P758" t="str">
        <f>HYPERLINK("Gene3032-zp_tree_all.dnd", "Gene3032-tree")</f>
        <v>Gene3032-tree</v>
      </c>
      <c r="Q758">
        <v>11</v>
      </c>
      <c r="R758">
        <v>2</v>
      </c>
      <c r="S758">
        <v>11</v>
      </c>
      <c r="T758">
        <v>2</v>
      </c>
      <c r="U758">
        <v>0.15384999999999999</v>
      </c>
      <c r="V758" t="s">
        <v>73</v>
      </c>
      <c r="W758" t="s">
        <v>81</v>
      </c>
      <c r="X758" t="s">
        <v>62</v>
      </c>
      <c r="Y758" t="s">
        <v>62</v>
      </c>
      <c r="Z758">
        <v>1</v>
      </c>
      <c r="AA758">
        <v>2</v>
      </c>
      <c r="AB758">
        <v>3</v>
      </c>
      <c r="AC758">
        <v>0.4</v>
      </c>
      <c r="AD758" s="47">
        <v>0</v>
      </c>
      <c r="AE758" s="47">
        <v>0</v>
      </c>
      <c r="AF758" s="47">
        <v>0</v>
      </c>
      <c r="AG758" s="47">
        <v>1</v>
      </c>
      <c r="AH758" s="47">
        <v>0</v>
      </c>
      <c r="AI758" s="47">
        <v>0</v>
      </c>
      <c r="AJ758" s="47">
        <v>0</v>
      </c>
      <c r="AK758" s="47">
        <v>0</v>
      </c>
      <c r="AL758">
        <v>3</v>
      </c>
      <c r="AM758">
        <v>0</v>
      </c>
      <c r="AN758">
        <v>9</v>
      </c>
      <c r="AO758">
        <v>10</v>
      </c>
      <c r="AP758">
        <v>30</v>
      </c>
      <c r="AQ758">
        <v>3</v>
      </c>
      <c r="AR758">
        <v>14</v>
      </c>
      <c r="AS758">
        <v>2</v>
      </c>
      <c r="AT758" t="s">
        <v>17533</v>
      </c>
      <c r="AU758" t="s">
        <v>17534</v>
      </c>
      <c r="AV758">
        <v>0.17599999999999999</v>
      </c>
      <c r="AW758" t="s">
        <v>65</v>
      </c>
      <c r="AX758">
        <v>44</v>
      </c>
      <c r="AY758">
        <v>5</v>
      </c>
      <c r="AZ758" t="s">
        <v>17535</v>
      </c>
      <c r="BA758">
        <v>3.0669999999999999E-2</v>
      </c>
      <c r="BB758">
        <v>-1.5299999999999999E-3</v>
      </c>
      <c r="BC758">
        <v>8.9999999999999998E-4</v>
      </c>
      <c r="BD758">
        <v>-1.1E-4</v>
      </c>
      <c r="BE758">
        <v>2.9329999999999998E-2</v>
      </c>
      <c r="BF758">
        <v>1</v>
      </c>
      <c r="BG758" t="s">
        <v>69</v>
      </c>
      <c r="BH758">
        <v>-0.46800000000000003</v>
      </c>
      <c r="BI758">
        <v>-1.27</v>
      </c>
    </row>
    <row r="759" spans="3:61">
      <c r="C759">
        <v>0</v>
      </c>
      <c r="D759">
        <v>14</v>
      </c>
      <c r="E759">
        <v>1</v>
      </c>
      <c r="F759" t="s">
        <v>25021</v>
      </c>
      <c r="G759">
        <v>1386</v>
      </c>
      <c r="H759" t="s">
        <v>8673</v>
      </c>
      <c r="I759" t="s">
        <v>62</v>
      </c>
      <c r="J759">
        <v>1398978</v>
      </c>
      <c r="K759">
        <v>1400096</v>
      </c>
      <c r="L759" t="s">
        <v>3798</v>
      </c>
      <c r="M759">
        <v>373</v>
      </c>
      <c r="N759" t="s">
        <v>8674</v>
      </c>
      <c r="O759">
        <v>41</v>
      </c>
      <c r="P759" t="str">
        <f>HYPERLINK("Gene1386-zp_tree_all.dnd", "Gene1386-tree")</f>
        <v>Gene1386-tree</v>
      </c>
      <c r="Q759">
        <v>2</v>
      </c>
      <c r="R759">
        <v>11</v>
      </c>
      <c r="S759">
        <v>2</v>
      </c>
      <c r="T759">
        <v>11</v>
      </c>
      <c r="U759">
        <v>0.84614999999999996</v>
      </c>
      <c r="V759" t="s">
        <v>81</v>
      </c>
      <c r="W759" t="s">
        <v>73</v>
      </c>
      <c r="X759">
        <v>515075683.63</v>
      </c>
      <c r="Y759" t="s">
        <v>267</v>
      </c>
      <c r="Z759">
        <v>6</v>
      </c>
      <c r="AA759">
        <v>15</v>
      </c>
      <c r="AB759">
        <v>32</v>
      </c>
      <c r="AC759">
        <v>0.31914999999999999</v>
      </c>
      <c r="AD759" s="47">
        <v>0</v>
      </c>
      <c r="AE759" s="47">
        <v>0</v>
      </c>
      <c r="AF759" s="47">
        <v>0</v>
      </c>
      <c r="AG759" s="47">
        <v>0</v>
      </c>
      <c r="AH759" s="47">
        <v>0</v>
      </c>
      <c r="AI759" s="47">
        <v>5</v>
      </c>
      <c r="AJ759" s="47">
        <v>1</v>
      </c>
      <c r="AK759" s="47">
        <v>6</v>
      </c>
      <c r="AL759">
        <v>35</v>
      </c>
      <c r="AM759">
        <v>0.14634</v>
      </c>
      <c r="AN759">
        <v>13</v>
      </c>
      <c r="AO759">
        <v>9</v>
      </c>
      <c r="AP759">
        <v>42</v>
      </c>
      <c r="AQ759">
        <v>42</v>
      </c>
      <c r="AR759">
        <v>11</v>
      </c>
      <c r="AS759">
        <v>6</v>
      </c>
      <c r="AT759" t="s">
        <v>8675</v>
      </c>
      <c r="AU759" t="s">
        <v>8676</v>
      </c>
      <c r="AV759">
        <v>0.89700000000000002</v>
      </c>
      <c r="AW759" t="s">
        <v>65</v>
      </c>
      <c r="AX759">
        <v>53</v>
      </c>
      <c r="AY759">
        <v>48</v>
      </c>
      <c r="AZ759" t="s">
        <v>8677</v>
      </c>
      <c r="BA759">
        <v>3.6220000000000002E-2</v>
      </c>
      <c r="BB759">
        <v>-1.67E-3</v>
      </c>
      <c r="BC759">
        <v>9.0600000000000003E-3</v>
      </c>
      <c r="BD759">
        <v>-5.1999999999999995E-4</v>
      </c>
      <c r="BE759">
        <v>0.25002999999999997</v>
      </c>
      <c r="BF759">
        <v>1</v>
      </c>
      <c r="BG759" t="s">
        <v>69</v>
      </c>
      <c r="BH759">
        <v>-1.5640000000000001</v>
      </c>
      <c r="BI759">
        <v>-3.5219999999999998</v>
      </c>
    </row>
    <row r="760" spans="3:61">
      <c r="C760">
        <v>0</v>
      </c>
      <c r="D760">
        <v>9</v>
      </c>
      <c r="E760">
        <v>4</v>
      </c>
      <c r="F760" t="s">
        <v>25021</v>
      </c>
      <c r="G760">
        <v>3432</v>
      </c>
      <c r="H760" t="s">
        <v>20084</v>
      </c>
      <c r="I760" t="s">
        <v>57</v>
      </c>
      <c r="J760">
        <v>3393293</v>
      </c>
      <c r="K760">
        <v>3394411</v>
      </c>
      <c r="L760" t="s">
        <v>20085</v>
      </c>
      <c r="M760">
        <v>373</v>
      </c>
      <c r="N760" t="s">
        <v>1392</v>
      </c>
      <c r="O760">
        <v>43</v>
      </c>
      <c r="P760" t="str">
        <f>HYPERLINK("Gene3432-zp_tree_all.dnd", "Gene3432-tree")</f>
        <v>Gene3432-tree</v>
      </c>
      <c r="Q760">
        <v>0</v>
      </c>
      <c r="R760">
        <v>9</v>
      </c>
      <c r="S760">
        <v>0</v>
      </c>
      <c r="T760">
        <v>9</v>
      </c>
      <c r="U760">
        <v>1</v>
      </c>
      <c r="V760" t="s">
        <v>62</v>
      </c>
      <c r="W760" t="s">
        <v>135</v>
      </c>
      <c r="X760" t="s">
        <v>62</v>
      </c>
      <c r="Y760" t="s">
        <v>62</v>
      </c>
      <c r="Z760">
        <v>6</v>
      </c>
      <c r="AA760">
        <v>13</v>
      </c>
      <c r="AB760">
        <v>35</v>
      </c>
      <c r="AC760">
        <v>0.27083000000000002</v>
      </c>
      <c r="AD760" s="47">
        <v>0</v>
      </c>
      <c r="AE760" s="47">
        <v>0</v>
      </c>
      <c r="AF760" s="47">
        <v>0</v>
      </c>
      <c r="AG760" s="47">
        <v>0</v>
      </c>
      <c r="AH760" s="47">
        <v>0</v>
      </c>
      <c r="AI760" s="47">
        <v>0</v>
      </c>
      <c r="AJ760" s="47">
        <v>0</v>
      </c>
      <c r="AK760" s="47">
        <v>0</v>
      </c>
      <c r="AL760">
        <v>31</v>
      </c>
      <c r="AM760">
        <v>0</v>
      </c>
      <c r="AN760">
        <v>8</v>
      </c>
      <c r="AO760">
        <v>6</v>
      </c>
      <c r="AP760">
        <v>46</v>
      </c>
      <c r="AQ760">
        <v>31</v>
      </c>
      <c r="AR760">
        <v>22</v>
      </c>
      <c r="AS760">
        <v>17</v>
      </c>
      <c r="AT760" t="s">
        <v>20086</v>
      </c>
      <c r="AU760" t="s">
        <v>20087</v>
      </c>
      <c r="AV760">
        <v>0.184</v>
      </c>
      <c r="AW760" t="s">
        <v>65</v>
      </c>
      <c r="AX760">
        <v>68</v>
      </c>
      <c r="AY760">
        <v>48</v>
      </c>
      <c r="AZ760" t="s">
        <v>20088</v>
      </c>
      <c r="BA760">
        <v>8.337E-2</v>
      </c>
      <c r="BB760">
        <v>-8.4399999999999996E-3</v>
      </c>
      <c r="BC760">
        <v>1.515E-2</v>
      </c>
      <c r="BD760">
        <v>-9.6000000000000002E-4</v>
      </c>
      <c r="BE760">
        <v>0.18171000000000001</v>
      </c>
      <c r="BF760">
        <v>1</v>
      </c>
      <c r="BG760" t="s">
        <v>69</v>
      </c>
      <c r="BH760">
        <v>0.28499999999999998</v>
      </c>
      <c r="BI760">
        <v>-0.05</v>
      </c>
    </row>
    <row r="761" spans="3:61">
      <c r="C761">
        <v>0</v>
      </c>
      <c r="D761">
        <v>0</v>
      </c>
      <c r="E761">
        <v>0</v>
      </c>
      <c r="F761" t="s">
        <v>25021</v>
      </c>
      <c r="G761">
        <v>829</v>
      </c>
      <c r="H761" t="s">
        <v>5166</v>
      </c>
      <c r="I761" t="s">
        <v>62</v>
      </c>
      <c r="J761">
        <v>868010</v>
      </c>
      <c r="K761">
        <v>869128</v>
      </c>
      <c r="L761" t="s">
        <v>5167</v>
      </c>
      <c r="M761">
        <v>373</v>
      </c>
      <c r="N761" t="s">
        <v>108</v>
      </c>
      <c r="O761">
        <v>44</v>
      </c>
      <c r="P761" t="str">
        <f>HYPERLINK("Gene829-zp_tree_all.dnd", "Gene829-tree")</f>
        <v>Gene829-tree</v>
      </c>
      <c r="Q761">
        <v>11</v>
      </c>
      <c r="R761">
        <v>4</v>
      </c>
      <c r="S761">
        <v>11</v>
      </c>
      <c r="T761">
        <v>4</v>
      </c>
      <c r="U761">
        <v>0.26667000000000002</v>
      </c>
      <c r="V761" t="s">
        <v>73</v>
      </c>
      <c r="W761" t="s">
        <v>61</v>
      </c>
      <c r="X761" t="s">
        <v>62</v>
      </c>
      <c r="Y761" t="s">
        <v>62</v>
      </c>
      <c r="Z761">
        <v>0</v>
      </c>
      <c r="AA761">
        <v>0</v>
      </c>
      <c r="AB761">
        <v>7</v>
      </c>
      <c r="AC761">
        <v>0</v>
      </c>
      <c r="AD761" s="47">
        <v>0</v>
      </c>
      <c r="AE761" s="47">
        <v>0</v>
      </c>
      <c r="AF761" s="47">
        <v>0</v>
      </c>
      <c r="AG761" s="47">
        <v>0</v>
      </c>
      <c r="AH761" s="47">
        <v>0</v>
      </c>
      <c r="AI761" s="47">
        <v>0</v>
      </c>
      <c r="AJ761" s="47">
        <v>0</v>
      </c>
      <c r="AK761" s="47">
        <v>0</v>
      </c>
      <c r="AL761">
        <v>7</v>
      </c>
      <c r="AM761">
        <v>0</v>
      </c>
      <c r="AN761">
        <v>10</v>
      </c>
      <c r="AO761">
        <v>9</v>
      </c>
      <c r="AP761">
        <v>38</v>
      </c>
      <c r="AQ761">
        <v>7</v>
      </c>
      <c r="AR761">
        <v>14</v>
      </c>
      <c r="AS761">
        <v>0</v>
      </c>
      <c r="AT761" t="s">
        <v>5168</v>
      </c>
      <c r="AU761" t="s">
        <v>193</v>
      </c>
      <c r="AV761">
        <v>0.98399999999999999</v>
      </c>
      <c r="AW761" t="s">
        <v>65</v>
      </c>
      <c r="AX761">
        <v>52</v>
      </c>
      <c r="AY761">
        <v>7</v>
      </c>
      <c r="AZ761" t="s">
        <v>5169</v>
      </c>
      <c r="BA761">
        <v>3.5159999999999997E-2</v>
      </c>
      <c r="BB761">
        <v>-2.2300000000000002E-3</v>
      </c>
      <c r="BC761">
        <v>1.08E-3</v>
      </c>
      <c r="BD761">
        <v>-1.3999999999999999E-4</v>
      </c>
      <c r="BE761">
        <v>3.0689999999999999E-2</v>
      </c>
      <c r="BF761">
        <v>1</v>
      </c>
      <c r="BG761" t="s">
        <v>69</v>
      </c>
      <c r="BH761">
        <v>-1.41</v>
      </c>
      <c r="BI761">
        <v>-0.63400000000000001</v>
      </c>
    </row>
    <row r="762" spans="3:61">
      <c r="C762">
        <v>0</v>
      </c>
      <c r="D762">
        <v>15</v>
      </c>
      <c r="E762">
        <v>2</v>
      </c>
      <c r="F762" t="s">
        <v>25021</v>
      </c>
      <c r="G762">
        <v>3714</v>
      </c>
      <c r="H762" t="s">
        <v>21758</v>
      </c>
      <c r="I762" t="s">
        <v>57</v>
      </c>
      <c r="J762">
        <v>3691372</v>
      </c>
      <c r="K762">
        <v>3692493</v>
      </c>
      <c r="L762" t="s">
        <v>21759</v>
      </c>
      <c r="M762">
        <v>374</v>
      </c>
      <c r="N762" t="s">
        <v>3492</v>
      </c>
      <c r="O762">
        <v>31</v>
      </c>
      <c r="P762" t="str">
        <f>HYPERLINK("Gene3714-zp_tree_all.dnd", "Gene3714-tree")</f>
        <v>Gene3714-tree</v>
      </c>
      <c r="Q762">
        <v>1</v>
      </c>
      <c r="R762">
        <v>26</v>
      </c>
      <c r="S762">
        <v>1</v>
      </c>
      <c r="T762">
        <v>7</v>
      </c>
      <c r="U762">
        <v>0.875</v>
      </c>
      <c r="V762" t="s">
        <v>175</v>
      </c>
      <c r="W762" t="s">
        <v>191</v>
      </c>
      <c r="X762">
        <v>3.3069999999999999</v>
      </c>
      <c r="Y762" t="s">
        <v>267</v>
      </c>
      <c r="Z762">
        <v>8</v>
      </c>
      <c r="AA762">
        <v>17</v>
      </c>
      <c r="AB762">
        <v>19</v>
      </c>
      <c r="AC762">
        <v>0.47221999999999997</v>
      </c>
      <c r="AD762" s="47">
        <v>0</v>
      </c>
      <c r="AE762" s="47">
        <v>0</v>
      </c>
      <c r="AF762" s="47">
        <v>0</v>
      </c>
      <c r="AG762" s="47">
        <v>0</v>
      </c>
      <c r="AH762" s="47">
        <v>0</v>
      </c>
      <c r="AI762" s="47">
        <v>8</v>
      </c>
      <c r="AJ762" s="47">
        <v>2</v>
      </c>
      <c r="AK762" s="47">
        <v>10</v>
      </c>
      <c r="AL762">
        <v>10</v>
      </c>
      <c r="AM762">
        <v>0.5</v>
      </c>
      <c r="AN762">
        <v>7</v>
      </c>
      <c r="AO762">
        <v>5</v>
      </c>
      <c r="AP762">
        <v>32</v>
      </c>
      <c r="AQ762">
        <v>20</v>
      </c>
      <c r="AR762">
        <v>26</v>
      </c>
      <c r="AS762">
        <v>16</v>
      </c>
      <c r="AT762" t="s">
        <v>21760</v>
      </c>
      <c r="AU762" t="s">
        <v>21761</v>
      </c>
      <c r="AV762">
        <v>1.9E-2</v>
      </c>
      <c r="AW762" t="s">
        <v>65</v>
      </c>
      <c r="AX762">
        <v>58</v>
      </c>
      <c r="AY762">
        <v>36</v>
      </c>
      <c r="AZ762" t="s">
        <v>21762</v>
      </c>
      <c r="BA762">
        <v>7.0720000000000005E-2</v>
      </c>
      <c r="BB762">
        <v>-5.8599999999999998E-3</v>
      </c>
      <c r="BC762">
        <v>1.294E-2</v>
      </c>
      <c r="BD762">
        <v>-1.3500000000000001E-3</v>
      </c>
      <c r="BE762">
        <v>0.18303</v>
      </c>
      <c r="BF762">
        <v>1</v>
      </c>
      <c r="BG762" t="s">
        <v>69</v>
      </c>
      <c r="BH762">
        <v>0.26900000000000002</v>
      </c>
      <c r="BI762">
        <v>0.36099999999999999</v>
      </c>
    </row>
    <row r="763" spans="3:61">
      <c r="C763">
        <v>0</v>
      </c>
      <c r="D763">
        <v>2</v>
      </c>
      <c r="E763">
        <v>0</v>
      </c>
      <c r="F763" t="s">
        <v>25021</v>
      </c>
      <c r="G763">
        <v>2687</v>
      </c>
      <c r="H763" t="s">
        <v>15730</v>
      </c>
      <c r="I763" t="s">
        <v>57</v>
      </c>
      <c r="J763">
        <v>2659213</v>
      </c>
      <c r="K763">
        <v>2660337</v>
      </c>
      <c r="L763" t="s">
        <v>15731</v>
      </c>
      <c r="M763">
        <v>375</v>
      </c>
      <c r="N763" t="s">
        <v>15732</v>
      </c>
      <c r="O763">
        <v>23</v>
      </c>
      <c r="P763" t="str">
        <f>HYPERLINK("Gene2687-zp_tree_all.dnd", "Gene2687-tree")</f>
        <v>Gene2687-tree</v>
      </c>
      <c r="Q763">
        <v>3</v>
      </c>
      <c r="R763">
        <v>3</v>
      </c>
      <c r="S763">
        <v>3</v>
      </c>
      <c r="T763">
        <v>3</v>
      </c>
      <c r="U763">
        <v>0.5</v>
      </c>
      <c r="V763" t="s">
        <v>324</v>
      </c>
      <c r="W763" t="s">
        <v>324</v>
      </c>
      <c r="X763" t="s">
        <v>62</v>
      </c>
      <c r="Y763" t="s">
        <v>62</v>
      </c>
      <c r="Z763">
        <v>1</v>
      </c>
      <c r="AA763">
        <v>2</v>
      </c>
      <c r="AB763">
        <v>6</v>
      </c>
      <c r="AC763">
        <v>0.25</v>
      </c>
      <c r="AD763" s="47">
        <v>0</v>
      </c>
      <c r="AE763" s="47">
        <v>0</v>
      </c>
      <c r="AF763" s="47">
        <v>0</v>
      </c>
      <c r="AG763" s="47">
        <v>1</v>
      </c>
      <c r="AH763" s="47">
        <v>0</v>
      </c>
      <c r="AI763" s="47">
        <v>2</v>
      </c>
      <c r="AJ763" s="47">
        <v>0</v>
      </c>
      <c r="AK763" s="47">
        <v>2</v>
      </c>
      <c r="AL763">
        <v>4</v>
      </c>
      <c r="AM763">
        <v>0.33333000000000002</v>
      </c>
      <c r="AN763">
        <v>5</v>
      </c>
      <c r="AO763">
        <v>3</v>
      </c>
      <c r="AP763">
        <v>54</v>
      </c>
      <c r="AQ763">
        <v>6</v>
      </c>
      <c r="AR763">
        <v>38</v>
      </c>
      <c r="AS763">
        <v>2</v>
      </c>
      <c r="AT763" t="s">
        <v>15733</v>
      </c>
      <c r="AU763" t="s">
        <v>15734</v>
      </c>
      <c r="AV763">
        <v>1.0629999999999999</v>
      </c>
      <c r="AW763" t="s">
        <v>65</v>
      </c>
      <c r="AX763">
        <v>92</v>
      </c>
      <c r="AY763">
        <v>8</v>
      </c>
      <c r="AZ763" t="s">
        <v>15735</v>
      </c>
      <c r="BA763">
        <v>0.17136000000000001</v>
      </c>
      <c r="BB763">
        <v>-1.494E-2</v>
      </c>
      <c r="BC763">
        <v>3.3800000000000002E-3</v>
      </c>
      <c r="BD763">
        <v>-3.8000000000000002E-4</v>
      </c>
      <c r="BE763">
        <v>1.975E-2</v>
      </c>
      <c r="BF763">
        <v>1</v>
      </c>
      <c r="BG763" t="s">
        <v>69</v>
      </c>
      <c r="BH763">
        <v>-1.1299999999999999</v>
      </c>
      <c r="BI763">
        <v>-0.52700000000000002</v>
      </c>
    </row>
    <row r="764" spans="3:61">
      <c r="C764">
        <v>0</v>
      </c>
      <c r="D764">
        <v>7</v>
      </c>
      <c r="E764">
        <v>2</v>
      </c>
      <c r="F764" t="s">
        <v>25021</v>
      </c>
      <c r="G764">
        <v>4033</v>
      </c>
      <c r="H764" t="s">
        <v>23741</v>
      </c>
      <c r="I764" t="s">
        <v>57</v>
      </c>
      <c r="J764">
        <v>3997964</v>
      </c>
      <c r="K764">
        <v>3999094</v>
      </c>
      <c r="L764" t="s">
        <v>23742</v>
      </c>
      <c r="M764">
        <v>377</v>
      </c>
      <c r="N764" t="s">
        <v>265</v>
      </c>
      <c r="O764">
        <v>43</v>
      </c>
      <c r="P764" t="str">
        <f>HYPERLINK("Gene4033-zp_tree_all.dnd", "Gene4033-tree")</f>
        <v>Gene4033-tree</v>
      </c>
      <c r="Q764">
        <v>6</v>
      </c>
      <c r="R764">
        <v>9</v>
      </c>
      <c r="S764">
        <v>6</v>
      </c>
      <c r="T764">
        <v>9</v>
      </c>
      <c r="U764">
        <v>0.6</v>
      </c>
      <c r="V764" t="s">
        <v>90</v>
      </c>
      <c r="W764" t="s">
        <v>135</v>
      </c>
      <c r="X764" t="s">
        <v>62</v>
      </c>
      <c r="Y764" t="s">
        <v>62</v>
      </c>
      <c r="Z764">
        <v>4</v>
      </c>
      <c r="AA764">
        <v>9</v>
      </c>
      <c r="AB764">
        <v>19</v>
      </c>
      <c r="AC764">
        <v>0.32142999999999999</v>
      </c>
      <c r="AD764" s="47">
        <v>0</v>
      </c>
      <c r="AE764" s="47">
        <v>0</v>
      </c>
      <c r="AF764" s="47">
        <v>0</v>
      </c>
      <c r="AG764" s="47">
        <v>1</v>
      </c>
      <c r="AH764" s="47">
        <v>0</v>
      </c>
      <c r="AI764" s="47">
        <v>7</v>
      </c>
      <c r="AJ764" s="47">
        <v>2</v>
      </c>
      <c r="AK764" s="47">
        <v>9</v>
      </c>
      <c r="AL764">
        <v>15</v>
      </c>
      <c r="AM764">
        <v>0.375</v>
      </c>
      <c r="AN764">
        <v>12</v>
      </c>
      <c r="AO764">
        <v>11</v>
      </c>
      <c r="AP764">
        <v>49</v>
      </c>
      <c r="AQ764">
        <v>21</v>
      </c>
      <c r="AR764">
        <v>26</v>
      </c>
      <c r="AS764">
        <v>8</v>
      </c>
      <c r="AT764" t="s">
        <v>23743</v>
      </c>
      <c r="AU764" t="s">
        <v>23744</v>
      </c>
      <c r="AV764">
        <v>0.29199999999999998</v>
      </c>
      <c r="AW764" t="s">
        <v>65</v>
      </c>
      <c r="AX764">
        <v>75</v>
      </c>
      <c r="AY764">
        <v>29</v>
      </c>
      <c r="AZ764" t="s">
        <v>23745</v>
      </c>
      <c r="BA764">
        <v>4.8910000000000002E-2</v>
      </c>
      <c r="BB764">
        <v>-2.3E-3</v>
      </c>
      <c r="BC764">
        <v>5.2100000000000002E-3</v>
      </c>
      <c r="BD764">
        <v>-3.3E-4</v>
      </c>
      <c r="BE764">
        <v>0.10644000000000001</v>
      </c>
      <c r="BF764">
        <v>1</v>
      </c>
      <c r="BG764" t="s">
        <v>69</v>
      </c>
      <c r="BH764">
        <v>-1.109</v>
      </c>
      <c r="BI764">
        <v>-1.661</v>
      </c>
    </row>
    <row r="765" spans="3:61">
      <c r="C765">
        <v>0</v>
      </c>
      <c r="D765">
        <v>2</v>
      </c>
      <c r="E765">
        <v>0</v>
      </c>
      <c r="F765" t="s">
        <v>25021</v>
      </c>
      <c r="G765">
        <v>2609</v>
      </c>
      <c r="H765" t="s">
        <v>15270</v>
      </c>
      <c r="I765" t="s">
        <v>57</v>
      </c>
      <c r="J765">
        <v>2589123</v>
      </c>
      <c r="K765">
        <v>2590253</v>
      </c>
      <c r="L765" t="s">
        <v>15271</v>
      </c>
      <c r="M765">
        <v>377</v>
      </c>
      <c r="N765" t="s">
        <v>698</v>
      </c>
      <c r="O765">
        <v>47</v>
      </c>
      <c r="P765" t="str">
        <f>HYPERLINK("Gene2609-zp_tree_all.dnd", "Gene2609-tree")</f>
        <v>Gene2609-tree</v>
      </c>
      <c r="Q765">
        <v>16</v>
      </c>
      <c r="R765">
        <v>3</v>
      </c>
      <c r="S765">
        <v>16</v>
      </c>
      <c r="T765">
        <v>3</v>
      </c>
      <c r="U765">
        <v>0.15789</v>
      </c>
      <c r="V765" t="s">
        <v>60</v>
      </c>
      <c r="W765" t="s">
        <v>324</v>
      </c>
      <c r="X765" t="s">
        <v>62</v>
      </c>
      <c r="Y765" t="s">
        <v>62</v>
      </c>
      <c r="Z765">
        <v>1</v>
      </c>
      <c r="AA765">
        <v>2</v>
      </c>
      <c r="AB765">
        <v>5</v>
      </c>
      <c r="AC765">
        <v>0.28571000000000002</v>
      </c>
      <c r="AD765" s="47">
        <v>0</v>
      </c>
      <c r="AE765" s="47">
        <v>0</v>
      </c>
      <c r="AF765" s="47">
        <v>0</v>
      </c>
      <c r="AG765" s="47">
        <v>0</v>
      </c>
      <c r="AH765" s="47">
        <v>0</v>
      </c>
      <c r="AI765" s="47">
        <v>2</v>
      </c>
      <c r="AJ765" s="47">
        <v>0</v>
      </c>
      <c r="AK765" s="47">
        <v>2</v>
      </c>
      <c r="AL765">
        <v>3</v>
      </c>
      <c r="AM765">
        <v>0.4</v>
      </c>
      <c r="AN765">
        <v>19</v>
      </c>
      <c r="AO765">
        <v>12</v>
      </c>
      <c r="AP765">
        <v>58</v>
      </c>
      <c r="AQ765">
        <v>5</v>
      </c>
      <c r="AR765">
        <v>69</v>
      </c>
      <c r="AS765">
        <v>3</v>
      </c>
      <c r="AT765" t="s">
        <v>15272</v>
      </c>
      <c r="AU765" t="s">
        <v>15273</v>
      </c>
      <c r="AV765">
        <v>0.19400000000000001</v>
      </c>
      <c r="AW765" t="s">
        <v>65</v>
      </c>
      <c r="AX765">
        <v>127</v>
      </c>
      <c r="AY765">
        <v>8</v>
      </c>
      <c r="AZ765" t="s">
        <v>15274</v>
      </c>
      <c r="BA765">
        <v>8.9709999999999998E-2</v>
      </c>
      <c r="BB765">
        <v>-6.8500000000000002E-3</v>
      </c>
      <c r="BC765">
        <v>1.58E-3</v>
      </c>
      <c r="BD765">
        <v>-1.7000000000000001E-4</v>
      </c>
      <c r="BE765">
        <v>1.7590000000000001E-2</v>
      </c>
      <c r="BF765">
        <v>1</v>
      </c>
      <c r="BG765" t="s">
        <v>69</v>
      </c>
      <c r="BH765">
        <v>-1.347</v>
      </c>
      <c r="BI765">
        <v>-0.64700000000000002</v>
      </c>
    </row>
    <row r="766" spans="3:61">
      <c r="C766">
        <v>0</v>
      </c>
      <c r="D766">
        <v>6</v>
      </c>
      <c r="E766">
        <v>0</v>
      </c>
      <c r="F766" t="s">
        <v>25021</v>
      </c>
      <c r="G766">
        <v>2808</v>
      </c>
      <c r="H766" t="s">
        <v>16104</v>
      </c>
      <c r="I766" t="s">
        <v>57</v>
      </c>
      <c r="J766">
        <v>2753452</v>
      </c>
      <c r="K766">
        <v>2754585</v>
      </c>
      <c r="L766" t="s">
        <v>16105</v>
      </c>
      <c r="M766">
        <v>378</v>
      </c>
      <c r="N766" t="s">
        <v>5762</v>
      </c>
      <c r="O766">
        <v>43</v>
      </c>
      <c r="P766" t="str">
        <f>HYPERLINK("Gene2808-zp_tree_all.dnd", "Gene2808-tree")</f>
        <v>Gene2808-tree</v>
      </c>
      <c r="Q766">
        <v>8</v>
      </c>
      <c r="R766">
        <v>5</v>
      </c>
      <c r="S766">
        <v>8</v>
      </c>
      <c r="T766">
        <v>5</v>
      </c>
      <c r="U766">
        <v>0.38462000000000002</v>
      </c>
      <c r="V766" t="s">
        <v>136</v>
      </c>
      <c r="W766" t="s">
        <v>199</v>
      </c>
      <c r="X766" t="s">
        <v>62</v>
      </c>
      <c r="Y766" t="s">
        <v>62</v>
      </c>
      <c r="Z766">
        <v>3</v>
      </c>
      <c r="AA766">
        <v>6</v>
      </c>
      <c r="AB766">
        <v>9</v>
      </c>
      <c r="AC766">
        <v>0.4</v>
      </c>
      <c r="AD766" s="47">
        <v>0</v>
      </c>
      <c r="AE766" s="47">
        <v>0</v>
      </c>
      <c r="AF766" s="47">
        <v>0</v>
      </c>
      <c r="AG766" s="47">
        <v>0</v>
      </c>
      <c r="AH766" s="47">
        <v>0</v>
      </c>
      <c r="AI766" s="47">
        <v>0</v>
      </c>
      <c r="AJ766" s="47">
        <v>0</v>
      </c>
      <c r="AK766" s="47">
        <v>0</v>
      </c>
      <c r="AL766">
        <v>6</v>
      </c>
      <c r="AM766">
        <v>0</v>
      </c>
      <c r="AN766">
        <v>13</v>
      </c>
      <c r="AO766">
        <v>8</v>
      </c>
      <c r="AP766">
        <v>54</v>
      </c>
      <c r="AQ766">
        <v>7</v>
      </c>
      <c r="AR766">
        <v>53</v>
      </c>
      <c r="AS766">
        <v>10</v>
      </c>
      <c r="AT766" t="s">
        <v>16106</v>
      </c>
      <c r="AU766" t="s">
        <v>16107</v>
      </c>
      <c r="AV766">
        <v>0.36099999999999999</v>
      </c>
      <c r="AW766" t="s">
        <v>65</v>
      </c>
      <c r="AX766">
        <v>107</v>
      </c>
      <c r="AY766">
        <v>17</v>
      </c>
      <c r="AZ766" t="s">
        <v>16108</v>
      </c>
      <c r="BA766">
        <v>0.11292000000000001</v>
      </c>
      <c r="BB766">
        <v>-6.9899999999999997E-3</v>
      </c>
      <c r="BC766">
        <v>5.1799999999999997E-3</v>
      </c>
      <c r="BD766">
        <v>-4.0000000000000002E-4</v>
      </c>
      <c r="BE766">
        <v>4.5870000000000001E-2</v>
      </c>
      <c r="BF766">
        <v>1</v>
      </c>
      <c r="BG766" t="s">
        <v>69</v>
      </c>
      <c r="BH766">
        <v>-0.255</v>
      </c>
      <c r="BI766">
        <v>0.65</v>
      </c>
    </row>
    <row r="767" spans="3:61">
      <c r="C767">
        <v>0</v>
      </c>
      <c r="D767">
        <v>4</v>
      </c>
      <c r="E767">
        <v>0</v>
      </c>
      <c r="F767" t="s">
        <v>25021</v>
      </c>
      <c r="G767">
        <v>3311</v>
      </c>
      <c r="H767" t="s">
        <v>19320</v>
      </c>
      <c r="I767" t="s">
        <v>57</v>
      </c>
      <c r="J767">
        <v>3278325</v>
      </c>
      <c r="K767">
        <v>3279458</v>
      </c>
      <c r="L767" t="s">
        <v>19321</v>
      </c>
      <c r="M767">
        <v>378</v>
      </c>
      <c r="N767" t="s">
        <v>1124</v>
      </c>
      <c r="O767">
        <v>43</v>
      </c>
      <c r="P767" t="str">
        <f>HYPERLINK("Gene3311-zp_tree_all.dnd", "Gene3311-tree")</f>
        <v>Gene3311-tree</v>
      </c>
      <c r="Q767">
        <v>6</v>
      </c>
      <c r="R767">
        <v>9</v>
      </c>
      <c r="S767">
        <v>6</v>
      </c>
      <c r="T767">
        <v>9</v>
      </c>
      <c r="U767">
        <v>0.6</v>
      </c>
      <c r="V767" t="s">
        <v>90</v>
      </c>
      <c r="W767" t="s">
        <v>135</v>
      </c>
      <c r="X767" t="s">
        <v>62</v>
      </c>
      <c r="Y767" t="s">
        <v>62</v>
      </c>
      <c r="Z767">
        <v>2</v>
      </c>
      <c r="AA767">
        <v>4</v>
      </c>
      <c r="AB767">
        <v>7</v>
      </c>
      <c r="AC767">
        <v>0.36364000000000002</v>
      </c>
      <c r="AD767" s="47">
        <v>0</v>
      </c>
      <c r="AE767" s="47">
        <v>0</v>
      </c>
      <c r="AF767" s="47">
        <v>0</v>
      </c>
      <c r="AG767" s="47">
        <v>0</v>
      </c>
      <c r="AH767" s="47">
        <v>0</v>
      </c>
      <c r="AI767" s="47">
        <v>0</v>
      </c>
      <c r="AJ767" s="47">
        <v>4</v>
      </c>
      <c r="AK767" s="47">
        <v>4</v>
      </c>
      <c r="AL767">
        <v>7</v>
      </c>
      <c r="AM767">
        <v>0.36364000000000002</v>
      </c>
      <c r="AN767">
        <v>14</v>
      </c>
      <c r="AO767">
        <v>10</v>
      </c>
      <c r="AP767">
        <v>55</v>
      </c>
      <c r="AQ767">
        <v>11</v>
      </c>
      <c r="AR767">
        <v>19</v>
      </c>
      <c r="AS767">
        <v>0</v>
      </c>
      <c r="AT767" t="s">
        <v>19322</v>
      </c>
      <c r="AU767" t="s">
        <v>193</v>
      </c>
      <c r="AV767">
        <v>3.0859999999999999</v>
      </c>
      <c r="AW767" t="s">
        <v>267</v>
      </c>
      <c r="AX767">
        <v>74</v>
      </c>
      <c r="AY767">
        <v>11</v>
      </c>
      <c r="AZ767" t="s">
        <v>9142</v>
      </c>
      <c r="BA767">
        <v>4.0079999999999998E-2</v>
      </c>
      <c r="BB767">
        <v>-1.4499999999999999E-3</v>
      </c>
      <c r="BC767">
        <v>1.6900000000000001E-3</v>
      </c>
      <c r="BD767">
        <v>-1E-4</v>
      </c>
      <c r="BE767">
        <v>4.2130000000000001E-2</v>
      </c>
      <c r="BF767">
        <v>1</v>
      </c>
      <c r="BG767" t="s">
        <v>69</v>
      </c>
      <c r="BH767">
        <v>-0.495</v>
      </c>
      <c r="BI767">
        <v>-0.84899999999999998</v>
      </c>
    </row>
    <row r="768" spans="3:61">
      <c r="C768">
        <v>0</v>
      </c>
      <c r="D768">
        <v>15</v>
      </c>
      <c r="E768">
        <v>0</v>
      </c>
      <c r="F768" t="s">
        <v>25021</v>
      </c>
      <c r="G768">
        <v>4034</v>
      </c>
      <c r="H768" t="s">
        <v>23748</v>
      </c>
      <c r="I768" t="s">
        <v>57</v>
      </c>
      <c r="J768">
        <v>3999350</v>
      </c>
      <c r="K768">
        <v>4000483</v>
      </c>
      <c r="L768" t="s">
        <v>23749</v>
      </c>
      <c r="M768">
        <v>378</v>
      </c>
      <c r="N768" t="s">
        <v>59</v>
      </c>
      <c r="O768">
        <v>49</v>
      </c>
      <c r="P768" t="str">
        <f>HYPERLINK("Gene4034-zp_tree_all.dnd", "Gene4034-tree")</f>
        <v>Gene4034-tree</v>
      </c>
      <c r="Q768">
        <v>5</v>
      </c>
      <c r="R768">
        <v>14</v>
      </c>
      <c r="S768">
        <v>5</v>
      </c>
      <c r="T768">
        <v>14</v>
      </c>
      <c r="U768">
        <v>0.73684000000000005</v>
      </c>
      <c r="V768" t="s">
        <v>199</v>
      </c>
      <c r="W768" t="s">
        <v>543</v>
      </c>
      <c r="X768">
        <v>258272616.03799999</v>
      </c>
      <c r="Y768" t="s">
        <v>267</v>
      </c>
      <c r="Z768">
        <v>6</v>
      </c>
      <c r="AA768">
        <v>15</v>
      </c>
      <c r="AB768">
        <v>19</v>
      </c>
      <c r="AC768">
        <v>0.44118000000000002</v>
      </c>
      <c r="AD768" s="47">
        <v>0</v>
      </c>
      <c r="AE768" s="47">
        <v>0</v>
      </c>
      <c r="AF768" s="47">
        <v>0</v>
      </c>
      <c r="AG768" s="47">
        <v>1</v>
      </c>
      <c r="AH768" s="47">
        <v>0</v>
      </c>
      <c r="AI768" s="47">
        <v>6</v>
      </c>
      <c r="AJ768" s="47">
        <v>0</v>
      </c>
      <c r="AK768" s="47">
        <v>6</v>
      </c>
      <c r="AL768">
        <v>18</v>
      </c>
      <c r="AM768">
        <v>0.25</v>
      </c>
      <c r="AN768">
        <v>14</v>
      </c>
      <c r="AO768">
        <v>16</v>
      </c>
      <c r="AP768">
        <v>67</v>
      </c>
      <c r="AQ768">
        <v>21</v>
      </c>
      <c r="AR768">
        <v>117</v>
      </c>
      <c r="AS768">
        <v>13</v>
      </c>
      <c r="AT768" t="s">
        <v>23750</v>
      </c>
      <c r="AU768" t="s">
        <v>23751</v>
      </c>
      <c r="AV768">
        <v>2.2290000000000001</v>
      </c>
      <c r="AW768" t="s">
        <v>267</v>
      </c>
      <c r="AX768">
        <v>184</v>
      </c>
      <c r="AY768">
        <v>34</v>
      </c>
      <c r="AZ768" t="s">
        <v>23752</v>
      </c>
      <c r="BA768">
        <v>0.14598</v>
      </c>
      <c r="BB768">
        <v>-6.0299999999999998E-3</v>
      </c>
      <c r="BC768">
        <v>5.8999999999999999E-3</v>
      </c>
      <c r="BD768">
        <v>-1.8000000000000001E-4</v>
      </c>
      <c r="BE768">
        <v>4.0419999999999998E-2</v>
      </c>
      <c r="BF768">
        <v>1</v>
      </c>
      <c r="BG768" t="s">
        <v>69</v>
      </c>
      <c r="BH768">
        <v>-0.52100000000000002</v>
      </c>
      <c r="BI768">
        <v>-0.19800000000000001</v>
      </c>
    </row>
    <row r="769" spans="3:61">
      <c r="C769">
        <v>0</v>
      </c>
      <c r="D769">
        <v>11</v>
      </c>
      <c r="E769">
        <v>0</v>
      </c>
      <c r="F769" t="s">
        <v>25021</v>
      </c>
      <c r="G769">
        <v>1895</v>
      </c>
      <c r="H769" t="s">
        <v>11863</v>
      </c>
      <c r="I769" t="s">
        <v>62</v>
      </c>
      <c r="J769">
        <v>1956221</v>
      </c>
      <c r="K769">
        <v>1957360</v>
      </c>
      <c r="L769" t="s">
        <v>11864</v>
      </c>
      <c r="M769">
        <v>380</v>
      </c>
      <c r="N769" t="s">
        <v>108</v>
      </c>
      <c r="O769">
        <v>44</v>
      </c>
      <c r="P769" t="str">
        <f>HYPERLINK("Gene1895-zp_tree_all.dnd", "Gene1895-tree")</f>
        <v>Gene1895-tree</v>
      </c>
      <c r="Q769">
        <v>5</v>
      </c>
      <c r="R769">
        <v>7</v>
      </c>
      <c r="S769">
        <v>5</v>
      </c>
      <c r="T769">
        <v>7</v>
      </c>
      <c r="U769">
        <v>0.58333000000000002</v>
      </c>
      <c r="V769" t="s">
        <v>199</v>
      </c>
      <c r="W769" t="s">
        <v>152</v>
      </c>
      <c r="X769" t="s">
        <v>62</v>
      </c>
      <c r="Y769" t="s">
        <v>62</v>
      </c>
      <c r="Z769">
        <v>4</v>
      </c>
      <c r="AA769">
        <v>11</v>
      </c>
      <c r="AB769">
        <v>8</v>
      </c>
      <c r="AC769">
        <v>0.57894999999999996</v>
      </c>
      <c r="AD769" s="47">
        <v>0</v>
      </c>
      <c r="AE769" s="47">
        <v>0</v>
      </c>
      <c r="AF769" s="47">
        <v>0</v>
      </c>
      <c r="AG769" s="47">
        <v>0</v>
      </c>
      <c r="AH769" s="47">
        <v>0</v>
      </c>
      <c r="AI769" s="47">
        <v>7</v>
      </c>
      <c r="AJ769" s="47">
        <v>0</v>
      </c>
      <c r="AK769" s="47">
        <v>7</v>
      </c>
      <c r="AL769">
        <v>9</v>
      </c>
      <c r="AM769">
        <v>0.4375</v>
      </c>
      <c r="AN769">
        <v>10</v>
      </c>
      <c r="AO769">
        <v>7</v>
      </c>
      <c r="AP769">
        <v>47</v>
      </c>
      <c r="AQ769">
        <v>14</v>
      </c>
      <c r="AR769">
        <v>13</v>
      </c>
      <c r="AS769">
        <v>5</v>
      </c>
      <c r="AT769" t="s">
        <v>11865</v>
      </c>
      <c r="AU769" t="s">
        <v>11866</v>
      </c>
      <c r="AV769">
        <v>0.33</v>
      </c>
      <c r="AW769" t="s">
        <v>65</v>
      </c>
      <c r="AX769">
        <v>60</v>
      </c>
      <c r="AY769">
        <v>19</v>
      </c>
      <c r="AZ769" t="s">
        <v>11867</v>
      </c>
      <c r="BA769">
        <v>4.5870000000000001E-2</v>
      </c>
      <c r="BB769">
        <v>-2.4599999999999999E-3</v>
      </c>
      <c r="BC769">
        <v>4.0200000000000001E-3</v>
      </c>
      <c r="BD769">
        <v>-2.5000000000000001E-4</v>
      </c>
      <c r="BE769">
        <v>8.7569999999999995E-2</v>
      </c>
      <c r="BF769">
        <v>1</v>
      </c>
      <c r="BG769" t="s">
        <v>69</v>
      </c>
      <c r="BH769">
        <v>-1.1879999999999999</v>
      </c>
      <c r="BI769">
        <v>-3.165</v>
      </c>
    </row>
    <row r="770" spans="3:61">
      <c r="C770">
        <v>0</v>
      </c>
      <c r="D770">
        <v>0</v>
      </c>
      <c r="E770">
        <v>0</v>
      </c>
      <c r="F770" t="s">
        <v>25021</v>
      </c>
      <c r="G770">
        <v>3708</v>
      </c>
      <c r="H770" t="s">
        <v>21715</v>
      </c>
      <c r="I770" t="s">
        <v>57</v>
      </c>
      <c r="J770">
        <v>3682173</v>
      </c>
      <c r="K770">
        <v>3683315</v>
      </c>
      <c r="L770" t="s">
        <v>21716</v>
      </c>
      <c r="M770">
        <v>381</v>
      </c>
      <c r="N770" t="s">
        <v>12343</v>
      </c>
      <c r="O770">
        <v>25</v>
      </c>
      <c r="P770" t="str">
        <f>HYPERLINK("Gene3708-zp_tree_all.dnd", "Gene3708-tree")</f>
        <v>Gene3708-tree</v>
      </c>
      <c r="Q770">
        <v>21</v>
      </c>
      <c r="R770">
        <v>4</v>
      </c>
      <c r="S770">
        <v>2</v>
      </c>
      <c r="T770">
        <v>4</v>
      </c>
      <c r="U770">
        <v>0.66666999999999998</v>
      </c>
      <c r="V770" t="s">
        <v>21717</v>
      </c>
      <c r="W770" t="s">
        <v>61</v>
      </c>
      <c r="X770" t="s">
        <v>62</v>
      </c>
      <c r="Y770" t="s">
        <v>62</v>
      </c>
      <c r="Z770">
        <v>0</v>
      </c>
      <c r="AA770">
        <v>0</v>
      </c>
      <c r="AB770">
        <v>4</v>
      </c>
      <c r="AC770">
        <v>0</v>
      </c>
      <c r="AD770" s="47">
        <v>0</v>
      </c>
      <c r="AE770" s="47">
        <v>0</v>
      </c>
      <c r="AF770" s="47">
        <v>0</v>
      </c>
      <c r="AG770" s="47">
        <v>0</v>
      </c>
      <c r="AH770" s="47">
        <v>0</v>
      </c>
      <c r="AI770" s="47">
        <v>0</v>
      </c>
      <c r="AJ770" s="47">
        <v>0</v>
      </c>
      <c r="AK770" s="47">
        <v>0</v>
      </c>
      <c r="AL770">
        <v>4</v>
      </c>
      <c r="AM770">
        <v>0</v>
      </c>
      <c r="AN770">
        <v>4</v>
      </c>
      <c r="AO770">
        <v>1</v>
      </c>
      <c r="AP770">
        <v>3</v>
      </c>
      <c r="AQ770">
        <v>4</v>
      </c>
      <c r="AR770">
        <v>2</v>
      </c>
      <c r="AS770">
        <v>0</v>
      </c>
      <c r="AT770" t="s">
        <v>21718</v>
      </c>
      <c r="AU770" t="s">
        <v>193</v>
      </c>
      <c r="AV770">
        <v>0.66700000000000004</v>
      </c>
      <c r="AW770" t="s">
        <v>65</v>
      </c>
      <c r="AX770">
        <v>5</v>
      </c>
      <c r="AY770">
        <v>4</v>
      </c>
      <c r="AZ770" t="s">
        <v>21719</v>
      </c>
      <c r="BA770">
        <v>8.4799999999999997E-3</v>
      </c>
      <c r="BB770">
        <v>-2.14E-3</v>
      </c>
      <c r="BC770">
        <v>1.49E-3</v>
      </c>
      <c r="BD770">
        <v>-1.7000000000000001E-4</v>
      </c>
      <c r="BE770">
        <v>0.17630000000000001</v>
      </c>
      <c r="BF770">
        <v>0.96799999999999997</v>
      </c>
      <c r="BG770" t="s">
        <v>69</v>
      </c>
      <c r="BH770">
        <v>-2.0649999999999999</v>
      </c>
      <c r="BI770">
        <v>-2.496</v>
      </c>
    </row>
    <row r="771" spans="3:61">
      <c r="C771">
        <v>0</v>
      </c>
      <c r="D771">
        <v>5</v>
      </c>
      <c r="E771">
        <v>0</v>
      </c>
      <c r="F771" t="s">
        <v>25021</v>
      </c>
      <c r="G771">
        <v>3882</v>
      </c>
      <c r="H771" t="s">
        <v>22771</v>
      </c>
      <c r="I771" t="s">
        <v>57</v>
      </c>
      <c r="J771">
        <v>3846001</v>
      </c>
      <c r="K771">
        <v>3847143</v>
      </c>
      <c r="L771" t="s">
        <v>22772</v>
      </c>
      <c r="M771">
        <v>381</v>
      </c>
      <c r="N771" t="s">
        <v>22773</v>
      </c>
      <c r="O771">
        <v>44</v>
      </c>
      <c r="P771" t="str">
        <f>HYPERLINK("Gene3882-zp_tree_all.dnd", "Gene3882-tree")</f>
        <v>Gene3882-tree</v>
      </c>
      <c r="Q771">
        <v>4</v>
      </c>
      <c r="R771">
        <v>30</v>
      </c>
      <c r="S771">
        <v>4</v>
      </c>
      <c r="T771">
        <v>11</v>
      </c>
      <c r="U771">
        <v>0.73333000000000004</v>
      </c>
      <c r="V771" t="s">
        <v>61</v>
      </c>
      <c r="W771" t="s">
        <v>89</v>
      </c>
      <c r="X771">
        <v>1.8859999999999999</v>
      </c>
      <c r="Y771" t="s">
        <v>65</v>
      </c>
      <c r="Z771">
        <v>2</v>
      </c>
      <c r="AA771">
        <v>5</v>
      </c>
      <c r="AB771">
        <v>21</v>
      </c>
      <c r="AC771">
        <v>0.19231000000000001</v>
      </c>
      <c r="AD771" s="47">
        <v>0</v>
      </c>
      <c r="AE771" s="47">
        <v>0</v>
      </c>
      <c r="AF771" s="47">
        <v>0</v>
      </c>
      <c r="AG771" s="47">
        <v>0</v>
      </c>
      <c r="AH771" s="47">
        <v>0</v>
      </c>
      <c r="AI771" s="47">
        <v>2</v>
      </c>
      <c r="AJ771" s="47">
        <v>0</v>
      </c>
      <c r="AK771" s="47">
        <v>2</v>
      </c>
      <c r="AL771">
        <v>11</v>
      </c>
      <c r="AM771">
        <v>0.15384999999999999</v>
      </c>
      <c r="AN771">
        <v>13</v>
      </c>
      <c r="AO771">
        <v>9</v>
      </c>
      <c r="AP771">
        <v>16</v>
      </c>
      <c r="AQ771">
        <v>12</v>
      </c>
      <c r="AR771">
        <v>45</v>
      </c>
      <c r="AS771">
        <v>14</v>
      </c>
      <c r="AT771" t="s">
        <v>22774</v>
      </c>
      <c r="AU771" t="s">
        <v>22775</v>
      </c>
      <c r="AV771">
        <v>0.73499999999999999</v>
      </c>
      <c r="AW771" t="s">
        <v>65</v>
      </c>
      <c r="AX771">
        <v>61</v>
      </c>
      <c r="AY771">
        <v>26</v>
      </c>
      <c r="AZ771" t="s">
        <v>22776</v>
      </c>
      <c r="BA771">
        <v>6.1379999999999997E-2</v>
      </c>
      <c r="BB771">
        <v>-6.3E-3</v>
      </c>
      <c r="BC771">
        <v>6.0800000000000003E-3</v>
      </c>
      <c r="BD771">
        <v>-4.6999999999999999E-4</v>
      </c>
      <c r="BE771">
        <v>9.9070000000000005E-2</v>
      </c>
      <c r="BF771">
        <v>1</v>
      </c>
      <c r="BG771" t="s">
        <v>69</v>
      </c>
      <c r="BH771">
        <v>-1.4239999999999999</v>
      </c>
      <c r="BI771">
        <v>0.77700000000000002</v>
      </c>
    </row>
    <row r="772" spans="3:61">
      <c r="C772">
        <v>0</v>
      </c>
      <c r="D772">
        <v>7</v>
      </c>
      <c r="E772">
        <v>0</v>
      </c>
      <c r="F772" t="s">
        <v>25021</v>
      </c>
      <c r="G772">
        <v>1065</v>
      </c>
      <c r="H772" t="s">
        <v>6687</v>
      </c>
      <c r="I772" t="s">
        <v>62</v>
      </c>
      <c r="J772">
        <v>1104426</v>
      </c>
      <c r="K772">
        <v>1105568</v>
      </c>
      <c r="L772" t="s">
        <v>6688</v>
      </c>
      <c r="M772">
        <v>381</v>
      </c>
      <c r="N772" t="s">
        <v>125</v>
      </c>
      <c r="O772">
        <v>48</v>
      </c>
      <c r="P772" t="str">
        <f>HYPERLINK("Gene1065-zp_tree_all.dnd", "Gene1065-tree")</f>
        <v>Gene1065-tree</v>
      </c>
      <c r="Q772">
        <v>15</v>
      </c>
      <c r="R772">
        <v>6</v>
      </c>
      <c r="S772">
        <v>15</v>
      </c>
      <c r="T772">
        <v>6</v>
      </c>
      <c r="U772">
        <v>0.28571000000000002</v>
      </c>
      <c r="V772" t="s">
        <v>100</v>
      </c>
      <c r="W772" t="s">
        <v>90</v>
      </c>
      <c r="X772" t="s">
        <v>62</v>
      </c>
      <c r="Y772" t="s">
        <v>62</v>
      </c>
      <c r="Z772">
        <v>3</v>
      </c>
      <c r="AA772">
        <v>7</v>
      </c>
      <c r="AB772">
        <v>15</v>
      </c>
      <c r="AC772">
        <v>0.31818000000000002</v>
      </c>
      <c r="AD772" s="47">
        <v>0</v>
      </c>
      <c r="AE772" s="47">
        <v>0</v>
      </c>
      <c r="AF772" s="47">
        <v>0</v>
      </c>
      <c r="AG772" s="47">
        <v>5</v>
      </c>
      <c r="AH772" s="47">
        <v>0</v>
      </c>
      <c r="AI772" s="47">
        <v>0</v>
      </c>
      <c r="AJ772" s="47">
        <v>0</v>
      </c>
      <c r="AK772" s="47">
        <v>0</v>
      </c>
      <c r="AL772">
        <v>6</v>
      </c>
      <c r="AM772">
        <v>0</v>
      </c>
      <c r="AN772">
        <v>15</v>
      </c>
      <c r="AO772">
        <v>16</v>
      </c>
      <c r="AP772">
        <v>41</v>
      </c>
      <c r="AQ772">
        <v>6</v>
      </c>
      <c r="AR772">
        <v>84</v>
      </c>
      <c r="AS772">
        <v>16</v>
      </c>
      <c r="AT772" t="s">
        <v>6689</v>
      </c>
      <c r="AU772" t="s">
        <v>6690</v>
      </c>
      <c r="AV772">
        <v>0.26</v>
      </c>
      <c r="AW772" t="s">
        <v>65</v>
      </c>
      <c r="AX772">
        <v>125</v>
      </c>
      <c r="AY772">
        <v>22</v>
      </c>
      <c r="AZ772" t="s">
        <v>6691</v>
      </c>
      <c r="BA772">
        <v>9.1700000000000004E-2</v>
      </c>
      <c r="BB772">
        <v>-3.2499999999999999E-3</v>
      </c>
      <c r="BC772">
        <v>5.4599999999999996E-3</v>
      </c>
      <c r="BD772">
        <v>-2.5000000000000001E-4</v>
      </c>
      <c r="BE772">
        <v>5.9569999999999998E-2</v>
      </c>
      <c r="BF772">
        <v>1</v>
      </c>
      <c r="BG772" t="s">
        <v>69</v>
      </c>
      <c r="BH772">
        <v>-0.626</v>
      </c>
      <c r="BI772">
        <v>-0.39800000000000002</v>
      </c>
    </row>
    <row r="773" spans="3:61">
      <c r="C773">
        <v>0</v>
      </c>
      <c r="D773">
        <v>0</v>
      </c>
      <c r="E773">
        <v>0</v>
      </c>
      <c r="F773" t="s">
        <v>25021</v>
      </c>
      <c r="G773">
        <v>2283</v>
      </c>
      <c r="H773" t="s">
        <v>13217</v>
      </c>
      <c r="I773" t="s">
        <v>57</v>
      </c>
      <c r="J773">
        <v>2306514</v>
      </c>
      <c r="K773">
        <v>2307659</v>
      </c>
      <c r="L773" t="s">
        <v>13218</v>
      </c>
      <c r="M773">
        <v>382</v>
      </c>
      <c r="N773" t="s">
        <v>108</v>
      </c>
      <c r="O773">
        <v>44</v>
      </c>
      <c r="P773" t="str">
        <f>HYPERLINK("Gene2283-zp_tree_all.dnd", "Gene2283-tree")</f>
        <v>Gene2283-tree</v>
      </c>
      <c r="Q773">
        <v>29</v>
      </c>
      <c r="R773">
        <v>3</v>
      </c>
      <c r="S773">
        <v>6</v>
      </c>
      <c r="T773">
        <v>3</v>
      </c>
      <c r="U773">
        <v>0.33333000000000002</v>
      </c>
      <c r="V773" t="s">
        <v>3696</v>
      </c>
      <c r="W773" t="s">
        <v>324</v>
      </c>
      <c r="X773" t="s">
        <v>62</v>
      </c>
      <c r="Y773" t="s">
        <v>62</v>
      </c>
      <c r="Z773">
        <v>0</v>
      </c>
      <c r="AA773">
        <v>0</v>
      </c>
      <c r="AB773">
        <v>4</v>
      </c>
      <c r="AC773">
        <v>0</v>
      </c>
      <c r="AD773" s="47">
        <v>0</v>
      </c>
      <c r="AE773" s="47">
        <v>0</v>
      </c>
      <c r="AF773" s="47">
        <v>0</v>
      </c>
      <c r="AG773" s="47">
        <v>1</v>
      </c>
      <c r="AH773" s="47">
        <v>0</v>
      </c>
      <c r="AI773" s="47">
        <v>0</v>
      </c>
      <c r="AJ773" s="47">
        <v>0</v>
      </c>
      <c r="AK773" s="47">
        <v>0</v>
      </c>
      <c r="AL773">
        <v>3</v>
      </c>
      <c r="AM773">
        <v>0</v>
      </c>
      <c r="AN773">
        <v>6</v>
      </c>
      <c r="AO773">
        <v>5</v>
      </c>
      <c r="AP773">
        <v>8</v>
      </c>
      <c r="AQ773">
        <v>3</v>
      </c>
      <c r="AR773">
        <v>16</v>
      </c>
      <c r="AS773">
        <v>1</v>
      </c>
      <c r="AT773" t="s">
        <v>13219</v>
      </c>
      <c r="AU773" t="s">
        <v>13220</v>
      </c>
      <c r="AV773">
        <v>0.91900000000000004</v>
      </c>
      <c r="AW773" t="s">
        <v>65</v>
      </c>
      <c r="AX773">
        <v>24</v>
      </c>
      <c r="AY773">
        <v>4</v>
      </c>
      <c r="AZ773" t="s">
        <v>13221</v>
      </c>
      <c r="BA773">
        <v>3.2870000000000003E-2</v>
      </c>
      <c r="BB773">
        <v>-3.0999999999999999E-3</v>
      </c>
      <c r="BC773">
        <v>1.1999999999999999E-3</v>
      </c>
      <c r="BD773">
        <v>-1.2E-4</v>
      </c>
      <c r="BE773">
        <v>3.637E-2</v>
      </c>
      <c r="BF773">
        <v>1</v>
      </c>
      <c r="BG773" t="s">
        <v>69</v>
      </c>
      <c r="BH773">
        <v>-0.155</v>
      </c>
      <c r="BI773">
        <v>-0.54300000000000004</v>
      </c>
    </row>
    <row r="774" spans="3:61">
      <c r="C774">
        <v>0</v>
      </c>
      <c r="D774">
        <v>6</v>
      </c>
      <c r="E774">
        <v>0</v>
      </c>
      <c r="F774" t="s">
        <v>25021</v>
      </c>
      <c r="G774">
        <v>302</v>
      </c>
      <c r="H774" t="s">
        <v>2061</v>
      </c>
      <c r="I774" t="s">
        <v>62</v>
      </c>
      <c r="J774">
        <v>324041</v>
      </c>
      <c r="K774">
        <v>325189</v>
      </c>
      <c r="L774" t="s">
        <v>2062</v>
      </c>
      <c r="M774">
        <v>383</v>
      </c>
      <c r="N774" t="s">
        <v>1392</v>
      </c>
      <c r="O774">
        <v>43</v>
      </c>
      <c r="P774" t="str">
        <f>HYPERLINK("Gene302-zp_tree_all.dnd", "Gene302-tree")</f>
        <v>Gene302-tree</v>
      </c>
      <c r="Q774">
        <v>6</v>
      </c>
      <c r="R774">
        <v>7</v>
      </c>
      <c r="S774">
        <v>6</v>
      </c>
      <c r="T774">
        <v>7</v>
      </c>
      <c r="U774">
        <v>0.53846000000000005</v>
      </c>
      <c r="V774" t="s">
        <v>90</v>
      </c>
      <c r="W774" t="s">
        <v>152</v>
      </c>
      <c r="X774" t="s">
        <v>62</v>
      </c>
      <c r="Y774" t="s">
        <v>62</v>
      </c>
      <c r="Z774">
        <v>3</v>
      </c>
      <c r="AA774">
        <v>6</v>
      </c>
      <c r="AB774">
        <v>14</v>
      </c>
      <c r="AC774">
        <v>0.3</v>
      </c>
      <c r="AD774" s="47">
        <v>0</v>
      </c>
      <c r="AE774" s="47">
        <v>0</v>
      </c>
      <c r="AF774" s="47">
        <v>0</v>
      </c>
      <c r="AG774" s="47">
        <v>0</v>
      </c>
      <c r="AH774" s="47">
        <v>0</v>
      </c>
      <c r="AI774" s="47">
        <v>2</v>
      </c>
      <c r="AJ774" s="47">
        <v>0</v>
      </c>
      <c r="AK774" s="47">
        <v>2</v>
      </c>
      <c r="AL774">
        <v>10</v>
      </c>
      <c r="AM774">
        <v>0.16667000000000001</v>
      </c>
      <c r="AN774">
        <v>11</v>
      </c>
      <c r="AO774">
        <v>7</v>
      </c>
      <c r="AP774">
        <v>37</v>
      </c>
      <c r="AQ774">
        <v>9</v>
      </c>
      <c r="AR774">
        <v>26</v>
      </c>
      <c r="AS774">
        <v>12</v>
      </c>
      <c r="AT774" t="s">
        <v>2063</v>
      </c>
      <c r="AU774" t="s">
        <v>2064</v>
      </c>
      <c r="AV774">
        <v>0.873</v>
      </c>
      <c r="AW774" t="s">
        <v>65</v>
      </c>
      <c r="AX774">
        <v>63</v>
      </c>
      <c r="AY774">
        <v>21</v>
      </c>
      <c r="AZ774" t="s">
        <v>2065</v>
      </c>
      <c r="BA774">
        <v>5.7849999999999999E-2</v>
      </c>
      <c r="BB774">
        <v>-2.6099999999999999E-3</v>
      </c>
      <c r="BC774">
        <v>6.5900000000000004E-3</v>
      </c>
      <c r="BD774">
        <v>-3.6999999999999999E-4</v>
      </c>
      <c r="BE774">
        <v>0.11398999999999999</v>
      </c>
      <c r="BF774">
        <v>1</v>
      </c>
      <c r="BG774" t="s">
        <v>69</v>
      </c>
      <c r="BH774">
        <v>0.89</v>
      </c>
      <c r="BI774">
        <v>-5.2999999999999999E-2</v>
      </c>
    </row>
    <row r="775" spans="3:61">
      <c r="C775">
        <v>0</v>
      </c>
      <c r="D775">
        <v>4</v>
      </c>
      <c r="E775">
        <v>2</v>
      </c>
      <c r="F775" t="s">
        <v>25021</v>
      </c>
      <c r="G775">
        <v>812</v>
      </c>
      <c r="H775" t="s">
        <v>5052</v>
      </c>
      <c r="I775" t="s">
        <v>62</v>
      </c>
      <c r="J775">
        <v>847501</v>
      </c>
      <c r="K775">
        <v>848652</v>
      </c>
      <c r="L775" t="s">
        <v>5053</v>
      </c>
      <c r="M775">
        <v>384</v>
      </c>
      <c r="N775" t="s">
        <v>5040</v>
      </c>
      <c r="O775">
        <v>33</v>
      </c>
      <c r="P775" t="str">
        <f>HYPERLINK("Gene812-zp_tree_all.dnd", "Gene812-tree")</f>
        <v>Gene812-tree</v>
      </c>
      <c r="Q775">
        <v>3</v>
      </c>
      <c r="R775">
        <v>8</v>
      </c>
      <c r="S775">
        <v>3</v>
      </c>
      <c r="T775">
        <v>8</v>
      </c>
      <c r="U775">
        <v>0.72726999999999997</v>
      </c>
      <c r="V775" t="s">
        <v>324</v>
      </c>
      <c r="W775" t="s">
        <v>136</v>
      </c>
      <c r="X775" t="s">
        <v>62</v>
      </c>
      <c r="Y775" t="s">
        <v>62</v>
      </c>
      <c r="Z775">
        <v>3</v>
      </c>
      <c r="AA775">
        <v>6</v>
      </c>
      <c r="AB775">
        <v>10</v>
      </c>
      <c r="AC775">
        <v>0.375</v>
      </c>
      <c r="AD775" s="47">
        <v>0</v>
      </c>
      <c r="AE775" s="47">
        <v>0</v>
      </c>
      <c r="AF775" s="47">
        <v>0</v>
      </c>
      <c r="AG775" s="47">
        <v>0</v>
      </c>
      <c r="AH775" s="47">
        <v>0</v>
      </c>
      <c r="AI775" s="47">
        <v>2</v>
      </c>
      <c r="AJ775" s="47">
        <v>2</v>
      </c>
      <c r="AK775" s="47">
        <v>4</v>
      </c>
      <c r="AL775">
        <v>9</v>
      </c>
      <c r="AM775">
        <v>0.30769000000000002</v>
      </c>
      <c r="AN775">
        <v>9</v>
      </c>
      <c r="AO775">
        <v>7</v>
      </c>
      <c r="AP775">
        <v>15</v>
      </c>
      <c r="AQ775">
        <v>11</v>
      </c>
      <c r="AR775">
        <v>16</v>
      </c>
      <c r="AS775">
        <v>5</v>
      </c>
      <c r="AT775" t="s">
        <v>5054</v>
      </c>
      <c r="AU775" t="s">
        <v>5055</v>
      </c>
      <c r="AV775">
        <v>1.399</v>
      </c>
      <c r="AW775" t="s">
        <v>65</v>
      </c>
      <c r="AX775">
        <v>31</v>
      </c>
      <c r="AY775">
        <v>16</v>
      </c>
      <c r="AZ775" t="s">
        <v>5056</v>
      </c>
      <c r="BA775">
        <v>2.9790000000000001E-2</v>
      </c>
      <c r="BB775">
        <v>-1.82E-3</v>
      </c>
      <c r="BC775">
        <v>3.8999999999999998E-3</v>
      </c>
      <c r="BD775">
        <v>-2.2000000000000001E-4</v>
      </c>
      <c r="BE775">
        <v>0.13095999999999999</v>
      </c>
      <c r="BF775">
        <v>1</v>
      </c>
      <c r="BG775" t="s">
        <v>69</v>
      </c>
      <c r="BH775">
        <v>-1.361</v>
      </c>
      <c r="BI775">
        <v>-1.476</v>
      </c>
    </row>
    <row r="776" spans="3:61">
      <c r="C776">
        <v>0</v>
      </c>
      <c r="D776">
        <v>16</v>
      </c>
      <c r="E776">
        <v>1</v>
      </c>
      <c r="F776" t="s">
        <v>25021</v>
      </c>
      <c r="G776">
        <v>1823</v>
      </c>
      <c r="H776" t="s">
        <v>11424</v>
      </c>
      <c r="I776" t="s">
        <v>62</v>
      </c>
      <c r="J776">
        <v>1890515</v>
      </c>
      <c r="K776">
        <v>1891666</v>
      </c>
      <c r="L776" t="s">
        <v>9411</v>
      </c>
      <c r="M776">
        <v>384</v>
      </c>
      <c r="N776" t="s">
        <v>265</v>
      </c>
      <c r="O776">
        <v>43</v>
      </c>
      <c r="P776" t="str">
        <f>HYPERLINK("Gene1823-zp_tree_all.dnd", "Gene1823-tree")</f>
        <v>Gene1823-tree</v>
      </c>
      <c r="Q776">
        <v>4</v>
      </c>
      <c r="R776">
        <v>9</v>
      </c>
      <c r="S776">
        <v>4</v>
      </c>
      <c r="T776">
        <v>9</v>
      </c>
      <c r="U776">
        <v>0.69230999999999998</v>
      </c>
      <c r="V776" t="s">
        <v>61</v>
      </c>
      <c r="W776" t="s">
        <v>135</v>
      </c>
      <c r="X776" t="s">
        <v>62</v>
      </c>
      <c r="Y776" t="s">
        <v>62</v>
      </c>
      <c r="Z776">
        <v>6</v>
      </c>
      <c r="AA776">
        <v>17</v>
      </c>
      <c r="AB776">
        <v>13</v>
      </c>
      <c r="AC776">
        <v>0.56667000000000001</v>
      </c>
      <c r="AD776" s="47">
        <v>0</v>
      </c>
      <c r="AE776" s="47">
        <v>0</v>
      </c>
      <c r="AF776" s="47">
        <v>0</v>
      </c>
      <c r="AG776" s="47">
        <v>0</v>
      </c>
      <c r="AH776" s="47">
        <v>0</v>
      </c>
      <c r="AI776" s="47">
        <v>2</v>
      </c>
      <c r="AJ776" s="47">
        <v>0</v>
      </c>
      <c r="AK776" s="47">
        <v>2</v>
      </c>
      <c r="AL776">
        <v>12</v>
      </c>
      <c r="AM776">
        <v>0.14285999999999999</v>
      </c>
      <c r="AN776">
        <v>12</v>
      </c>
      <c r="AO776">
        <v>9</v>
      </c>
      <c r="AP776">
        <v>38</v>
      </c>
      <c r="AQ776">
        <v>14</v>
      </c>
      <c r="AR776">
        <v>26</v>
      </c>
      <c r="AS776">
        <v>16</v>
      </c>
      <c r="AT776" t="s">
        <v>11425</v>
      </c>
      <c r="AU776" t="s">
        <v>11426</v>
      </c>
      <c r="AV776">
        <v>1.0469999999999999</v>
      </c>
      <c r="AW776" t="s">
        <v>65</v>
      </c>
      <c r="AX776">
        <v>64</v>
      </c>
      <c r="AY776">
        <v>30</v>
      </c>
      <c r="AZ776" t="s">
        <v>11427</v>
      </c>
      <c r="BA776">
        <v>4.9259999999999998E-2</v>
      </c>
      <c r="BB776">
        <v>-2.0899999999999998E-3</v>
      </c>
      <c r="BC776">
        <v>6.4000000000000003E-3</v>
      </c>
      <c r="BD776">
        <v>-2.5000000000000001E-4</v>
      </c>
      <c r="BE776">
        <v>0.12997</v>
      </c>
      <c r="BF776">
        <v>1</v>
      </c>
      <c r="BG776" t="s">
        <v>69</v>
      </c>
      <c r="BH776">
        <v>0.56799999999999995</v>
      </c>
      <c r="BI776">
        <v>-1.1439999999999999</v>
      </c>
    </row>
    <row r="777" spans="3:61">
      <c r="C777">
        <v>0</v>
      </c>
      <c r="D777">
        <v>3</v>
      </c>
      <c r="E777">
        <v>2</v>
      </c>
      <c r="F777" t="s">
        <v>25021</v>
      </c>
      <c r="G777">
        <v>1092</v>
      </c>
      <c r="H777" t="s">
        <v>6865</v>
      </c>
      <c r="I777" t="s">
        <v>62</v>
      </c>
      <c r="J777">
        <v>1130921</v>
      </c>
      <c r="K777">
        <v>1132072</v>
      </c>
      <c r="L777" t="s">
        <v>6866</v>
      </c>
      <c r="M777">
        <v>384</v>
      </c>
      <c r="N777" t="s">
        <v>108</v>
      </c>
      <c r="O777">
        <v>44</v>
      </c>
      <c r="P777" t="str">
        <f>HYPERLINK("Gene1092-zp_tree_all.dnd", "Gene1092-tree")</f>
        <v>Gene1092-tree</v>
      </c>
      <c r="Q777">
        <v>9</v>
      </c>
      <c r="R777">
        <v>8</v>
      </c>
      <c r="S777">
        <v>9</v>
      </c>
      <c r="T777">
        <v>8</v>
      </c>
      <c r="U777">
        <v>0.47059000000000001</v>
      </c>
      <c r="V777" t="s">
        <v>135</v>
      </c>
      <c r="W777" t="s">
        <v>136</v>
      </c>
      <c r="X777" t="s">
        <v>62</v>
      </c>
      <c r="Y777" t="s">
        <v>62</v>
      </c>
      <c r="Z777">
        <v>2</v>
      </c>
      <c r="AA777">
        <v>5</v>
      </c>
      <c r="AB777">
        <v>9</v>
      </c>
      <c r="AC777">
        <v>0.35714000000000001</v>
      </c>
      <c r="AD777" s="47">
        <v>0</v>
      </c>
      <c r="AE777" s="47">
        <v>0</v>
      </c>
      <c r="AF777" s="47">
        <v>0</v>
      </c>
      <c r="AG777" s="47">
        <v>2</v>
      </c>
      <c r="AH777" s="47">
        <v>0</v>
      </c>
      <c r="AI777" s="47">
        <v>2</v>
      </c>
      <c r="AJ777" s="47">
        <v>0</v>
      </c>
      <c r="AK777" s="47">
        <v>2</v>
      </c>
      <c r="AL777">
        <v>8</v>
      </c>
      <c r="AM777">
        <v>0.2</v>
      </c>
      <c r="AN777">
        <v>13</v>
      </c>
      <c r="AO777">
        <v>11</v>
      </c>
      <c r="AP777">
        <v>32</v>
      </c>
      <c r="AQ777">
        <v>10</v>
      </c>
      <c r="AR777">
        <v>17</v>
      </c>
      <c r="AS777">
        <v>4</v>
      </c>
      <c r="AT777" t="s">
        <v>6867</v>
      </c>
      <c r="AU777" t="s">
        <v>6868</v>
      </c>
      <c r="AV777">
        <v>0.23300000000000001</v>
      </c>
      <c r="AW777" t="s">
        <v>65</v>
      </c>
      <c r="AX777">
        <v>49</v>
      </c>
      <c r="AY777">
        <v>14</v>
      </c>
      <c r="AZ777" t="s">
        <v>6869</v>
      </c>
      <c r="BA777">
        <v>2.777E-2</v>
      </c>
      <c r="BB777">
        <v>-1.1000000000000001E-3</v>
      </c>
      <c r="BC777">
        <v>2.6700000000000001E-3</v>
      </c>
      <c r="BD777">
        <v>-1.4999999999999999E-4</v>
      </c>
      <c r="BE777">
        <v>9.6259999999999998E-2</v>
      </c>
      <c r="BF777">
        <v>1</v>
      </c>
      <c r="BG777" t="s">
        <v>69</v>
      </c>
      <c r="BH777">
        <v>-1.3879999999999999</v>
      </c>
      <c r="BI777">
        <v>-2.4319999999999999</v>
      </c>
    </row>
    <row r="778" spans="3:61">
      <c r="C778">
        <v>0</v>
      </c>
      <c r="D778">
        <v>3</v>
      </c>
      <c r="E778">
        <v>0</v>
      </c>
      <c r="F778" t="s">
        <v>25021</v>
      </c>
      <c r="G778">
        <v>3451</v>
      </c>
      <c r="H778" t="s">
        <v>20204</v>
      </c>
      <c r="I778" t="s">
        <v>57</v>
      </c>
      <c r="J778">
        <v>3410466</v>
      </c>
      <c r="K778">
        <v>3411620</v>
      </c>
      <c r="L778" t="s">
        <v>20205</v>
      </c>
      <c r="M778">
        <v>385</v>
      </c>
      <c r="N778" t="s">
        <v>15618</v>
      </c>
      <c r="O778">
        <v>43</v>
      </c>
      <c r="P778" t="str">
        <f>HYPERLINK("Gene3451-zp_tree_all.dnd", "Gene3451-tree")</f>
        <v>Gene3451-tree</v>
      </c>
      <c r="Q778">
        <v>6</v>
      </c>
      <c r="R778">
        <v>7</v>
      </c>
      <c r="S778">
        <v>6</v>
      </c>
      <c r="T778">
        <v>7</v>
      </c>
      <c r="U778">
        <v>0.53846000000000005</v>
      </c>
      <c r="V778" t="s">
        <v>90</v>
      </c>
      <c r="W778" t="s">
        <v>152</v>
      </c>
      <c r="X778" t="s">
        <v>62</v>
      </c>
      <c r="Y778" t="s">
        <v>62</v>
      </c>
      <c r="Z778">
        <v>1</v>
      </c>
      <c r="AA778">
        <v>3</v>
      </c>
      <c r="AB778">
        <v>8</v>
      </c>
      <c r="AC778">
        <v>0.27272999999999997</v>
      </c>
      <c r="AD778" s="47">
        <v>0</v>
      </c>
      <c r="AE778" s="47">
        <v>0</v>
      </c>
      <c r="AF778" s="47">
        <v>0</v>
      </c>
      <c r="AG778" s="47">
        <v>1</v>
      </c>
      <c r="AH778" s="47">
        <v>0</v>
      </c>
      <c r="AI778" s="47">
        <v>2</v>
      </c>
      <c r="AJ778" s="47">
        <v>0</v>
      </c>
      <c r="AK778" s="47">
        <v>2</v>
      </c>
      <c r="AL778">
        <v>6</v>
      </c>
      <c r="AM778">
        <v>0.25</v>
      </c>
      <c r="AN778">
        <v>11</v>
      </c>
      <c r="AO778">
        <v>7</v>
      </c>
      <c r="AP778">
        <v>46</v>
      </c>
      <c r="AQ778">
        <v>8</v>
      </c>
      <c r="AR778">
        <v>19</v>
      </c>
      <c r="AS778">
        <v>3</v>
      </c>
      <c r="AT778" t="s">
        <v>20206</v>
      </c>
      <c r="AU778" t="s">
        <v>20207</v>
      </c>
      <c r="AV778">
        <v>0.128</v>
      </c>
      <c r="AW778" t="s">
        <v>65</v>
      </c>
      <c r="AX778">
        <v>65</v>
      </c>
      <c r="AY778">
        <v>11</v>
      </c>
      <c r="AZ778" t="s">
        <v>20208</v>
      </c>
      <c r="BA778">
        <v>4.7579999999999997E-2</v>
      </c>
      <c r="BB778">
        <v>-1.72E-3</v>
      </c>
      <c r="BC778">
        <v>2.4299999999999999E-3</v>
      </c>
      <c r="BD778">
        <v>-1.1E-4</v>
      </c>
      <c r="BE778">
        <v>5.1150000000000001E-2</v>
      </c>
      <c r="BF778">
        <v>1</v>
      </c>
      <c r="BG778" t="s">
        <v>69</v>
      </c>
      <c r="BH778">
        <v>-0.997</v>
      </c>
      <c r="BI778">
        <v>-2.169</v>
      </c>
    </row>
    <row r="779" spans="3:61">
      <c r="C779">
        <v>0</v>
      </c>
      <c r="D779">
        <v>20</v>
      </c>
      <c r="E779">
        <v>0</v>
      </c>
      <c r="F779" t="s">
        <v>25021</v>
      </c>
      <c r="G779">
        <v>3877</v>
      </c>
      <c r="H779" t="s">
        <v>22737</v>
      </c>
      <c r="I779" t="s">
        <v>57</v>
      </c>
      <c r="J779">
        <v>3839852</v>
      </c>
      <c r="K779">
        <v>3841009</v>
      </c>
      <c r="L779" t="s">
        <v>22738</v>
      </c>
      <c r="M779">
        <v>386</v>
      </c>
      <c r="N779" t="s">
        <v>108</v>
      </c>
      <c r="O779">
        <v>44</v>
      </c>
      <c r="P779" t="str">
        <f>HYPERLINK("Gene3877-zp_tree_all.dnd", "Gene3877-tree")</f>
        <v>Gene3877-tree</v>
      </c>
      <c r="Q779">
        <v>1</v>
      </c>
      <c r="R779">
        <v>33</v>
      </c>
      <c r="S779">
        <v>1</v>
      </c>
      <c r="T779">
        <v>13</v>
      </c>
      <c r="U779">
        <v>0.92857000000000001</v>
      </c>
      <c r="V779" t="s">
        <v>175</v>
      </c>
      <c r="W779" t="s">
        <v>2041</v>
      </c>
      <c r="X779">
        <v>5.7539999999999996</v>
      </c>
      <c r="Y779" t="s">
        <v>267</v>
      </c>
      <c r="Z779">
        <v>6</v>
      </c>
      <c r="AA779">
        <v>20</v>
      </c>
      <c r="AB779">
        <v>16</v>
      </c>
      <c r="AC779">
        <v>0.55556000000000005</v>
      </c>
      <c r="AD779" s="47">
        <v>0</v>
      </c>
      <c r="AE779" s="47">
        <v>0</v>
      </c>
      <c r="AF779" s="47">
        <v>0</v>
      </c>
      <c r="AG779" s="47">
        <v>0</v>
      </c>
      <c r="AH779" s="47">
        <v>0</v>
      </c>
      <c r="AI779" s="47">
        <v>10</v>
      </c>
      <c r="AJ779" s="47">
        <v>0</v>
      </c>
      <c r="AK779" s="47">
        <v>10</v>
      </c>
      <c r="AL779">
        <v>16</v>
      </c>
      <c r="AM779">
        <v>0.38462000000000002</v>
      </c>
      <c r="AN779">
        <v>13</v>
      </c>
      <c r="AO779">
        <v>10</v>
      </c>
      <c r="AP779">
        <v>19</v>
      </c>
      <c r="AQ779">
        <v>22</v>
      </c>
      <c r="AR779">
        <v>12</v>
      </c>
      <c r="AS779">
        <v>14</v>
      </c>
      <c r="AT779" t="s">
        <v>22739</v>
      </c>
      <c r="AU779" t="s">
        <v>22740</v>
      </c>
      <c r="AV779">
        <v>8.0000000000000002E-3</v>
      </c>
      <c r="AW779" t="s">
        <v>65</v>
      </c>
      <c r="AX779">
        <v>31</v>
      </c>
      <c r="AY779">
        <v>36</v>
      </c>
      <c r="AZ779" t="s">
        <v>22741</v>
      </c>
      <c r="BA779">
        <v>2.1770000000000001E-2</v>
      </c>
      <c r="BB779">
        <v>-8.8000000000000003E-4</v>
      </c>
      <c r="BC779">
        <v>7.0400000000000003E-3</v>
      </c>
      <c r="BD779">
        <v>-2.7999999999999998E-4</v>
      </c>
      <c r="BE779">
        <v>0.32346999999999998</v>
      </c>
      <c r="BF779">
        <v>0.99</v>
      </c>
      <c r="BG779" t="s">
        <v>69</v>
      </c>
      <c r="BH779">
        <v>-0.47</v>
      </c>
      <c r="BI779">
        <v>-0.73099999999999998</v>
      </c>
    </row>
    <row r="780" spans="3:61">
      <c r="C780">
        <v>0</v>
      </c>
      <c r="D780">
        <v>22</v>
      </c>
      <c r="E780">
        <v>0</v>
      </c>
      <c r="F780" t="s">
        <v>25021</v>
      </c>
      <c r="G780">
        <v>3263</v>
      </c>
      <c r="H780" t="s">
        <v>19025</v>
      </c>
      <c r="I780" t="s">
        <v>57</v>
      </c>
      <c r="J780">
        <v>3228778</v>
      </c>
      <c r="K780">
        <v>3229938</v>
      </c>
      <c r="L780" t="s">
        <v>19026</v>
      </c>
      <c r="M780">
        <v>387</v>
      </c>
      <c r="N780" t="s">
        <v>108</v>
      </c>
      <c r="O780">
        <v>44</v>
      </c>
      <c r="P780" t="str">
        <f>HYPERLINK("Gene3263-zp_tree_all.dnd", "Gene3263-tree")</f>
        <v>Gene3263-tree</v>
      </c>
      <c r="Q780">
        <v>2</v>
      </c>
      <c r="R780">
        <v>14</v>
      </c>
      <c r="S780">
        <v>2</v>
      </c>
      <c r="T780">
        <v>14</v>
      </c>
      <c r="U780">
        <v>0.875</v>
      </c>
      <c r="V780" t="s">
        <v>81</v>
      </c>
      <c r="W780" t="s">
        <v>543</v>
      </c>
      <c r="X780">
        <v>860908720.12699997</v>
      </c>
      <c r="Y780" t="s">
        <v>267</v>
      </c>
      <c r="Z780">
        <v>6</v>
      </c>
      <c r="AA780">
        <v>22</v>
      </c>
      <c r="AB780">
        <v>21</v>
      </c>
      <c r="AC780">
        <v>0.51163000000000003</v>
      </c>
      <c r="AD780" s="47">
        <v>0</v>
      </c>
      <c r="AE780" s="47">
        <v>0</v>
      </c>
      <c r="AF780" s="47">
        <v>0</v>
      </c>
      <c r="AG780" s="47">
        <v>4</v>
      </c>
      <c r="AH780" s="47">
        <v>0</v>
      </c>
      <c r="AI780" s="47">
        <v>12</v>
      </c>
      <c r="AJ780" s="47">
        <v>0</v>
      </c>
      <c r="AK780" s="47">
        <v>12</v>
      </c>
      <c r="AL780">
        <v>19</v>
      </c>
      <c r="AM780">
        <v>0.3871</v>
      </c>
      <c r="AN780">
        <v>14</v>
      </c>
      <c r="AO780">
        <v>12</v>
      </c>
      <c r="AP780">
        <v>43</v>
      </c>
      <c r="AQ780">
        <v>28</v>
      </c>
      <c r="AR780">
        <v>34</v>
      </c>
      <c r="AS780">
        <v>16</v>
      </c>
      <c r="AT780" t="s">
        <v>19027</v>
      </c>
      <c r="AU780" t="s">
        <v>19028</v>
      </c>
      <c r="AV780">
        <v>0.56599999999999995</v>
      </c>
      <c r="AW780" t="s">
        <v>65</v>
      </c>
      <c r="AX780">
        <v>77</v>
      </c>
      <c r="AY780">
        <v>44</v>
      </c>
      <c r="AZ780" t="s">
        <v>19029</v>
      </c>
      <c r="BA780">
        <v>5.4859999999999999E-2</v>
      </c>
      <c r="BB780">
        <v>-1.9400000000000001E-3</v>
      </c>
      <c r="BC780">
        <v>7.2500000000000004E-3</v>
      </c>
      <c r="BD780">
        <v>-2.5000000000000001E-4</v>
      </c>
      <c r="BE780">
        <v>0.13217999999999999</v>
      </c>
      <c r="BF780">
        <v>1</v>
      </c>
      <c r="BG780" t="s">
        <v>69</v>
      </c>
      <c r="BH780">
        <v>-0.56599999999999995</v>
      </c>
      <c r="BI780">
        <v>-1.821</v>
      </c>
    </row>
    <row r="781" spans="3:61">
      <c r="C781">
        <v>0</v>
      </c>
      <c r="D781">
        <v>2</v>
      </c>
      <c r="E781">
        <v>0</v>
      </c>
      <c r="F781" t="s">
        <v>25021</v>
      </c>
      <c r="G781">
        <v>3089</v>
      </c>
      <c r="H781" t="s">
        <v>17904</v>
      </c>
      <c r="I781" t="s">
        <v>57</v>
      </c>
      <c r="J781">
        <v>3041392</v>
      </c>
      <c r="K781">
        <v>3042552</v>
      </c>
      <c r="L781" t="s">
        <v>17905</v>
      </c>
      <c r="M781">
        <v>387</v>
      </c>
      <c r="N781" t="s">
        <v>108</v>
      </c>
      <c r="O781">
        <v>44</v>
      </c>
      <c r="P781" t="str">
        <f>HYPERLINK("Gene3089-zp_tree_all.dnd", "Gene3089-tree")</f>
        <v>Gene3089-tree</v>
      </c>
      <c r="Q781">
        <v>9</v>
      </c>
      <c r="R781">
        <v>5</v>
      </c>
      <c r="S781">
        <v>9</v>
      </c>
      <c r="T781">
        <v>5</v>
      </c>
      <c r="U781">
        <v>0.35714000000000001</v>
      </c>
      <c r="V781" t="s">
        <v>135</v>
      </c>
      <c r="W781" t="s">
        <v>199</v>
      </c>
      <c r="X781" t="s">
        <v>62</v>
      </c>
      <c r="Y781" t="s">
        <v>62</v>
      </c>
      <c r="Z781">
        <v>1</v>
      </c>
      <c r="AA781">
        <v>2</v>
      </c>
      <c r="AB781">
        <v>11</v>
      </c>
      <c r="AC781">
        <v>0.15384999999999999</v>
      </c>
      <c r="AD781" s="47">
        <v>0</v>
      </c>
      <c r="AE781" s="47">
        <v>0</v>
      </c>
      <c r="AF781" s="47">
        <v>0</v>
      </c>
      <c r="AG781" s="47">
        <v>0</v>
      </c>
      <c r="AH781" s="47">
        <v>0</v>
      </c>
      <c r="AI781" s="47">
        <v>0</v>
      </c>
      <c r="AJ781" s="47">
        <v>0</v>
      </c>
      <c r="AK781" s="47">
        <v>0</v>
      </c>
      <c r="AL781">
        <v>10</v>
      </c>
      <c r="AM781">
        <v>0</v>
      </c>
      <c r="AN781">
        <v>12</v>
      </c>
      <c r="AO781">
        <v>10</v>
      </c>
      <c r="AP781">
        <v>28</v>
      </c>
      <c r="AQ781">
        <v>10</v>
      </c>
      <c r="AR781">
        <v>35</v>
      </c>
      <c r="AS781">
        <v>3</v>
      </c>
      <c r="AT781" t="s">
        <v>17906</v>
      </c>
      <c r="AU781" t="s">
        <v>17907</v>
      </c>
      <c r="AV781">
        <v>0.59199999999999997</v>
      </c>
      <c r="AW781" t="s">
        <v>65</v>
      </c>
      <c r="AX781">
        <v>63</v>
      </c>
      <c r="AY781">
        <v>13</v>
      </c>
      <c r="AZ781" t="s">
        <v>17908</v>
      </c>
      <c r="BA781">
        <v>5.6030000000000003E-2</v>
      </c>
      <c r="BB781">
        <v>-2.7000000000000001E-3</v>
      </c>
      <c r="BC781">
        <v>3.1800000000000001E-3</v>
      </c>
      <c r="BD781">
        <v>-1.9000000000000001E-4</v>
      </c>
      <c r="BE781">
        <v>5.6669999999999998E-2</v>
      </c>
      <c r="BF781">
        <v>1</v>
      </c>
      <c r="BG781" t="s">
        <v>69</v>
      </c>
      <c r="BH781">
        <v>0.02</v>
      </c>
      <c r="BI781">
        <v>-0.82</v>
      </c>
    </row>
    <row r="782" spans="3:61">
      <c r="C782">
        <v>0</v>
      </c>
      <c r="D782">
        <v>2</v>
      </c>
      <c r="E782">
        <v>0</v>
      </c>
      <c r="F782" t="s">
        <v>25021</v>
      </c>
      <c r="G782">
        <v>598</v>
      </c>
      <c r="H782" t="s">
        <v>3851</v>
      </c>
      <c r="I782" t="s">
        <v>62</v>
      </c>
      <c r="J782">
        <v>625128</v>
      </c>
      <c r="K782">
        <v>626291</v>
      </c>
      <c r="L782" t="s">
        <v>3852</v>
      </c>
      <c r="M782">
        <v>388</v>
      </c>
      <c r="N782" t="s">
        <v>698</v>
      </c>
      <c r="O782">
        <v>47</v>
      </c>
      <c r="P782" t="str">
        <f>HYPERLINK("Gene598-zp_tree_all.dnd", "Gene598-tree")</f>
        <v>Gene598-tree</v>
      </c>
      <c r="Q782">
        <v>13</v>
      </c>
      <c r="R782">
        <v>6</v>
      </c>
      <c r="S782">
        <v>13</v>
      </c>
      <c r="T782">
        <v>6</v>
      </c>
      <c r="U782">
        <v>0.31579000000000002</v>
      </c>
      <c r="V782" t="s">
        <v>507</v>
      </c>
      <c r="W782" t="s">
        <v>90</v>
      </c>
      <c r="X782" t="s">
        <v>62</v>
      </c>
      <c r="Y782" t="s">
        <v>62</v>
      </c>
      <c r="Z782">
        <v>1</v>
      </c>
      <c r="AA782">
        <v>2</v>
      </c>
      <c r="AB782">
        <v>9</v>
      </c>
      <c r="AC782">
        <v>0.18182000000000001</v>
      </c>
      <c r="AD782" s="47">
        <v>0</v>
      </c>
      <c r="AE782" s="47">
        <v>0</v>
      </c>
      <c r="AF782" s="47">
        <v>0</v>
      </c>
      <c r="AG782" s="47">
        <v>0</v>
      </c>
      <c r="AH782" s="47">
        <v>0</v>
      </c>
      <c r="AI782" s="47">
        <v>0</v>
      </c>
      <c r="AJ782" s="47">
        <v>0</v>
      </c>
      <c r="AK782" s="47">
        <v>0</v>
      </c>
      <c r="AL782">
        <v>6</v>
      </c>
      <c r="AM782">
        <v>0</v>
      </c>
      <c r="AN782">
        <v>14</v>
      </c>
      <c r="AO782">
        <v>12</v>
      </c>
      <c r="AP782">
        <v>46</v>
      </c>
      <c r="AQ782">
        <v>5</v>
      </c>
      <c r="AR782">
        <v>79</v>
      </c>
      <c r="AS782">
        <v>6</v>
      </c>
      <c r="AT782" t="s">
        <v>3853</v>
      </c>
      <c r="AU782" t="s">
        <v>3854</v>
      </c>
      <c r="AV782">
        <v>0.34100000000000003</v>
      </c>
      <c r="AW782" t="s">
        <v>65</v>
      </c>
      <c r="AX782">
        <v>125</v>
      </c>
      <c r="AY782">
        <v>11</v>
      </c>
      <c r="AZ782" t="s">
        <v>3855</v>
      </c>
      <c r="BA782">
        <v>8.405E-2</v>
      </c>
      <c r="BB782">
        <v>-4.7999999999999996E-3</v>
      </c>
      <c r="BC782">
        <v>2.2200000000000002E-3</v>
      </c>
      <c r="BD782">
        <v>-1.6000000000000001E-4</v>
      </c>
      <c r="BE782">
        <v>2.647E-2</v>
      </c>
      <c r="BF782">
        <v>1</v>
      </c>
      <c r="BG782" t="s">
        <v>69</v>
      </c>
      <c r="BH782">
        <v>-0.95099999999999996</v>
      </c>
      <c r="BI782">
        <v>-0.25900000000000001</v>
      </c>
    </row>
    <row r="783" spans="3:61">
      <c r="C783">
        <v>0</v>
      </c>
      <c r="D783">
        <v>13</v>
      </c>
      <c r="E783">
        <v>2</v>
      </c>
      <c r="F783" t="s">
        <v>25021</v>
      </c>
      <c r="G783">
        <v>1127</v>
      </c>
      <c r="H783" t="s">
        <v>7085</v>
      </c>
      <c r="I783" t="s">
        <v>62</v>
      </c>
      <c r="J783">
        <v>1170476</v>
      </c>
      <c r="K783">
        <v>1171642</v>
      </c>
      <c r="L783" t="s">
        <v>7086</v>
      </c>
      <c r="M783">
        <v>389</v>
      </c>
      <c r="N783" t="s">
        <v>2289</v>
      </c>
      <c r="O783">
        <v>37</v>
      </c>
      <c r="P783" t="str">
        <f>HYPERLINK("Gene1127-zp_tree_all.dnd", "Gene1127-tree")</f>
        <v>Gene1127-tree</v>
      </c>
      <c r="Q783">
        <v>3</v>
      </c>
      <c r="R783">
        <v>11</v>
      </c>
      <c r="S783">
        <v>3</v>
      </c>
      <c r="T783">
        <v>11</v>
      </c>
      <c r="U783">
        <v>0.78571000000000002</v>
      </c>
      <c r="V783" t="s">
        <v>324</v>
      </c>
      <c r="W783" t="s">
        <v>73</v>
      </c>
      <c r="X783">
        <v>305230034.74400002</v>
      </c>
      <c r="Y783" t="s">
        <v>267</v>
      </c>
      <c r="Z783">
        <v>6</v>
      </c>
      <c r="AA783">
        <v>15</v>
      </c>
      <c r="AB783">
        <v>11</v>
      </c>
      <c r="AC783">
        <v>0.57691999999999999</v>
      </c>
      <c r="AD783" s="47">
        <v>0</v>
      </c>
      <c r="AE783" s="47">
        <v>0</v>
      </c>
      <c r="AF783" s="47">
        <v>0</v>
      </c>
      <c r="AG783" s="47">
        <v>0</v>
      </c>
      <c r="AH783" s="47">
        <v>0</v>
      </c>
      <c r="AI783" s="47">
        <v>8</v>
      </c>
      <c r="AJ783" s="47">
        <v>1</v>
      </c>
      <c r="AK783" s="47">
        <v>9</v>
      </c>
      <c r="AL783">
        <v>10</v>
      </c>
      <c r="AM783">
        <v>0.47367999999999999</v>
      </c>
      <c r="AN783">
        <v>14</v>
      </c>
      <c r="AO783">
        <v>10</v>
      </c>
      <c r="AP783">
        <v>34</v>
      </c>
      <c r="AQ783">
        <v>20</v>
      </c>
      <c r="AR783">
        <v>27</v>
      </c>
      <c r="AS783">
        <v>8</v>
      </c>
      <c r="AT783" t="s">
        <v>7087</v>
      </c>
      <c r="AU783" t="s">
        <v>7088</v>
      </c>
      <c r="AV783">
        <v>0.98299999999999998</v>
      </c>
      <c r="AW783" t="s">
        <v>65</v>
      </c>
      <c r="AX783">
        <v>61</v>
      </c>
      <c r="AY783">
        <v>28</v>
      </c>
      <c r="AZ783" t="s">
        <v>7089</v>
      </c>
      <c r="BA783">
        <v>4.2930000000000003E-2</v>
      </c>
      <c r="BB783">
        <v>-1.67E-3</v>
      </c>
      <c r="BC783">
        <v>5.8900000000000003E-3</v>
      </c>
      <c r="BD783">
        <v>-2.4000000000000001E-4</v>
      </c>
      <c r="BE783">
        <v>0.13719999999999999</v>
      </c>
      <c r="BF783">
        <v>1</v>
      </c>
      <c r="BG783" t="s">
        <v>69</v>
      </c>
      <c r="BH783">
        <v>-0.70599999999999996</v>
      </c>
      <c r="BI783">
        <v>-1.2</v>
      </c>
    </row>
    <row r="784" spans="3:61">
      <c r="C784">
        <v>0</v>
      </c>
      <c r="D784">
        <v>4</v>
      </c>
      <c r="E784">
        <v>0</v>
      </c>
      <c r="F784" t="s">
        <v>25021</v>
      </c>
      <c r="G784">
        <v>2503</v>
      </c>
      <c r="H784" t="s">
        <v>14598</v>
      </c>
      <c r="I784" t="s">
        <v>57</v>
      </c>
      <c r="J784">
        <v>2494656</v>
      </c>
      <c r="K784">
        <v>2495822</v>
      </c>
      <c r="L784" t="s">
        <v>2100</v>
      </c>
      <c r="M784">
        <v>389</v>
      </c>
      <c r="N784" t="s">
        <v>108</v>
      </c>
      <c r="O784">
        <v>44</v>
      </c>
      <c r="P784" t="str">
        <f>HYPERLINK("Gene2503-zp_tree_all.dnd", "Gene2503-tree")</f>
        <v>Gene2503-tree</v>
      </c>
      <c r="Q784">
        <v>6</v>
      </c>
      <c r="R784">
        <v>7</v>
      </c>
      <c r="S784">
        <v>6</v>
      </c>
      <c r="T784">
        <v>7</v>
      </c>
      <c r="U784">
        <v>0.53846000000000005</v>
      </c>
      <c r="V784" t="s">
        <v>90</v>
      </c>
      <c r="W784" t="s">
        <v>152</v>
      </c>
      <c r="X784" t="s">
        <v>62</v>
      </c>
      <c r="Y784" t="s">
        <v>62</v>
      </c>
      <c r="Z784">
        <v>2</v>
      </c>
      <c r="AA784">
        <v>4</v>
      </c>
      <c r="AB784">
        <v>9</v>
      </c>
      <c r="AC784">
        <v>0.30769000000000002</v>
      </c>
      <c r="AD784" s="47">
        <v>0</v>
      </c>
      <c r="AE784" s="47">
        <v>0</v>
      </c>
      <c r="AF784" s="47">
        <v>0</v>
      </c>
      <c r="AG784" s="47">
        <v>0</v>
      </c>
      <c r="AH784" s="47">
        <v>0</v>
      </c>
      <c r="AI784" s="47">
        <v>4</v>
      </c>
      <c r="AJ784" s="47">
        <v>0</v>
      </c>
      <c r="AK784" s="47">
        <v>4</v>
      </c>
      <c r="AL784">
        <v>8</v>
      </c>
      <c r="AM784">
        <v>0.33333000000000002</v>
      </c>
      <c r="AN784">
        <v>13</v>
      </c>
      <c r="AO784">
        <v>10</v>
      </c>
      <c r="AP784">
        <v>65</v>
      </c>
      <c r="AQ784">
        <v>12</v>
      </c>
      <c r="AR784">
        <v>27</v>
      </c>
      <c r="AS784">
        <v>1</v>
      </c>
      <c r="AT784" t="s">
        <v>14599</v>
      </c>
      <c r="AU784" t="s">
        <v>14600</v>
      </c>
      <c r="AV784">
        <v>1.0469999999999999</v>
      </c>
      <c r="AW784" t="s">
        <v>65</v>
      </c>
      <c r="AX784">
        <v>92</v>
      </c>
      <c r="AY784">
        <v>13</v>
      </c>
      <c r="AZ784" t="s">
        <v>14601</v>
      </c>
      <c r="BA784">
        <v>5.8310000000000001E-2</v>
      </c>
      <c r="BB784">
        <v>-2.2599999999999999E-3</v>
      </c>
      <c r="BC784">
        <v>2.4199999999999998E-3</v>
      </c>
      <c r="BD784">
        <v>-1.9000000000000001E-4</v>
      </c>
      <c r="BE784">
        <v>4.1579999999999999E-2</v>
      </c>
      <c r="BF784">
        <v>1</v>
      </c>
      <c r="BG784" t="s">
        <v>69</v>
      </c>
      <c r="BH784">
        <v>-0.79800000000000004</v>
      </c>
      <c r="BI784">
        <v>-0.751</v>
      </c>
    </row>
    <row r="785" spans="3:61">
      <c r="C785">
        <v>0</v>
      </c>
      <c r="D785">
        <v>11</v>
      </c>
      <c r="E785">
        <v>7</v>
      </c>
      <c r="F785" t="s">
        <v>25021</v>
      </c>
      <c r="G785">
        <v>297</v>
      </c>
      <c r="H785" t="s">
        <v>2025</v>
      </c>
      <c r="I785" t="s">
        <v>62</v>
      </c>
      <c r="J785">
        <v>319183</v>
      </c>
      <c r="K785">
        <v>320352</v>
      </c>
      <c r="L785" t="s">
        <v>2026</v>
      </c>
      <c r="M785">
        <v>390</v>
      </c>
      <c r="N785" t="s">
        <v>108</v>
      </c>
      <c r="O785">
        <v>44</v>
      </c>
      <c r="P785" t="str">
        <f>HYPERLINK("Gene297-zp_tree_all.dnd", "Gene297-tree")</f>
        <v>Gene297-tree</v>
      </c>
      <c r="Q785">
        <v>5</v>
      </c>
      <c r="R785">
        <v>13</v>
      </c>
      <c r="S785">
        <v>5</v>
      </c>
      <c r="T785">
        <v>13</v>
      </c>
      <c r="U785">
        <v>0.72221999999999997</v>
      </c>
      <c r="V785" t="s">
        <v>199</v>
      </c>
      <c r="W785" t="s">
        <v>507</v>
      </c>
      <c r="X785" t="s">
        <v>62</v>
      </c>
      <c r="Y785" t="s">
        <v>62</v>
      </c>
      <c r="Z785">
        <v>7</v>
      </c>
      <c r="AA785">
        <v>18</v>
      </c>
      <c r="AB785">
        <v>24</v>
      </c>
      <c r="AC785">
        <v>0.42857000000000001</v>
      </c>
      <c r="AD785" s="47">
        <v>0</v>
      </c>
      <c r="AE785" s="47">
        <v>0</v>
      </c>
      <c r="AF785" s="47">
        <v>0</v>
      </c>
      <c r="AG785" s="47">
        <v>2</v>
      </c>
      <c r="AH785" s="47">
        <v>0</v>
      </c>
      <c r="AI785" s="47">
        <v>7</v>
      </c>
      <c r="AJ785" s="47">
        <v>2</v>
      </c>
      <c r="AK785" s="47">
        <v>9</v>
      </c>
      <c r="AL785">
        <v>20</v>
      </c>
      <c r="AM785">
        <v>0.31034</v>
      </c>
      <c r="AN785">
        <v>13</v>
      </c>
      <c r="AO785">
        <v>13</v>
      </c>
      <c r="AP785">
        <v>21</v>
      </c>
      <c r="AQ785">
        <v>21</v>
      </c>
      <c r="AR785">
        <v>29</v>
      </c>
      <c r="AS785">
        <v>23</v>
      </c>
      <c r="AT785" t="s">
        <v>2027</v>
      </c>
      <c r="AU785" t="s">
        <v>2028</v>
      </c>
      <c r="AV785">
        <v>0.27400000000000002</v>
      </c>
      <c r="AW785" t="s">
        <v>65</v>
      </c>
      <c r="AX785">
        <v>50</v>
      </c>
      <c r="AY785">
        <v>44</v>
      </c>
      <c r="AZ785" t="s">
        <v>2029</v>
      </c>
      <c r="BA785">
        <v>2.9219999999999999E-2</v>
      </c>
      <c r="BB785">
        <v>-1.1100000000000001E-3</v>
      </c>
      <c r="BC785">
        <v>8.6700000000000006E-3</v>
      </c>
      <c r="BD785">
        <v>-2.9E-4</v>
      </c>
      <c r="BE785">
        <v>0.29676000000000002</v>
      </c>
      <c r="BF785">
        <v>1</v>
      </c>
      <c r="BG785" t="s">
        <v>69</v>
      </c>
      <c r="BH785">
        <v>-0.747</v>
      </c>
      <c r="BI785">
        <v>-1.298</v>
      </c>
    </row>
    <row r="786" spans="3:61">
      <c r="C786">
        <v>0</v>
      </c>
      <c r="D786">
        <v>10</v>
      </c>
      <c r="E786">
        <v>3</v>
      </c>
      <c r="F786" t="s">
        <v>25021</v>
      </c>
      <c r="G786">
        <v>3680</v>
      </c>
      <c r="H786" t="s">
        <v>21597</v>
      </c>
      <c r="I786" t="s">
        <v>57</v>
      </c>
      <c r="J786">
        <v>3647406</v>
      </c>
      <c r="K786">
        <v>3648578</v>
      </c>
      <c r="L786" t="s">
        <v>21598</v>
      </c>
      <c r="M786">
        <v>391</v>
      </c>
      <c r="N786" t="s">
        <v>12101</v>
      </c>
      <c r="O786">
        <v>35</v>
      </c>
      <c r="P786" t="str">
        <f>HYPERLINK("Gene3680-zp_tree_all.dnd", "Gene3680-tree")</f>
        <v>Gene3680-tree</v>
      </c>
      <c r="Q786">
        <v>5</v>
      </c>
      <c r="R786">
        <v>6</v>
      </c>
      <c r="S786">
        <v>5</v>
      </c>
      <c r="T786">
        <v>6</v>
      </c>
      <c r="U786">
        <v>0.54544999999999999</v>
      </c>
      <c r="V786" t="s">
        <v>199</v>
      </c>
      <c r="W786" t="s">
        <v>90</v>
      </c>
      <c r="X786" t="s">
        <v>62</v>
      </c>
      <c r="Y786" t="s">
        <v>62</v>
      </c>
      <c r="Z786">
        <v>5</v>
      </c>
      <c r="AA786">
        <v>13</v>
      </c>
      <c r="AB786">
        <v>9</v>
      </c>
      <c r="AC786">
        <v>0.59091000000000005</v>
      </c>
      <c r="AD786" s="47">
        <v>0</v>
      </c>
      <c r="AE786" s="47">
        <v>0</v>
      </c>
      <c r="AF786" s="47">
        <v>0</v>
      </c>
      <c r="AG786" s="47">
        <v>0</v>
      </c>
      <c r="AH786" s="47">
        <v>0</v>
      </c>
      <c r="AI786" s="47">
        <v>4</v>
      </c>
      <c r="AJ786" s="47">
        <v>0</v>
      </c>
      <c r="AK786" s="47">
        <v>4</v>
      </c>
      <c r="AL786">
        <v>7</v>
      </c>
      <c r="AM786">
        <v>0.36364000000000002</v>
      </c>
      <c r="AN786">
        <v>11</v>
      </c>
      <c r="AO786">
        <v>7</v>
      </c>
      <c r="AP786">
        <v>43</v>
      </c>
      <c r="AQ786">
        <v>11</v>
      </c>
      <c r="AR786">
        <v>18</v>
      </c>
      <c r="AS786">
        <v>13</v>
      </c>
      <c r="AT786" t="s">
        <v>21599</v>
      </c>
      <c r="AU786" t="s">
        <v>21600</v>
      </c>
      <c r="AV786">
        <v>0.34100000000000003</v>
      </c>
      <c r="AW786" t="s">
        <v>65</v>
      </c>
      <c r="AX786">
        <v>61</v>
      </c>
      <c r="AY786">
        <v>24</v>
      </c>
      <c r="AZ786" t="s">
        <v>21601</v>
      </c>
      <c r="BA786">
        <v>5.389E-2</v>
      </c>
      <c r="BB786">
        <v>-4.7099999999999998E-3</v>
      </c>
      <c r="BC786">
        <v>6.0600000000000003E-3</v>
      </c>
      <c r="BD786">
        <v>-6.4999999999999997E-4</v>
      </c>
      <c r="BE786">
        <v>0.11247</v>
      </c>
      <c r="BF786">
        <v>1</v>
      </c>
      <c r="BG786" t="s">
        <v>69</v>
      </c>
      <c r="BH786">
        <v>-0.19900000000000001</v>
      </c>
      <c r="BI786">
        <v>-1.8009999999999999</v>
      </c>
    </row>
    <row r="787" spans="3:61">
      <c r="C787">
        <v>0</v>
      </c>
      <c r="D787">
        <v>2</v>
      </c>
      <c r="E787">
        <v>2</v>
      </c>
      <c r="F787" t="s">
        <v>25021</v>
      </c>
      <c r="G787">
        <v>825</v>
      </c>
      <c r="H787" t="s">
        <v>5140</v>
      </c>
      <c r="I787" t="s">
        <v>62</v>
      </c>
      <c r="J787">
        <v>863865</v>
      </c>
      <c r="K787">
        <v>865037</v>
      </c>
      <c r="L787" t="s">
        <v>2641</v>
      </c>
      <c r="M787">
        <v>391</v>
      </c>
      <c r="N787" t="s">
        <v>108</v>
      </c>
      <c r="O787">
        <v>44</v>
      </c>
      <c r="P787" t="str">
        <f>HYPERLINK("Gene825-zp_tree_all.dnd", "Gene825-tree")</f>
        <v>Gene825-tree</v>
      </c>
      <c r="Q787">
        <v>11</v>
      </c>
      <c r="R787">
        <v>4</v>
      </c>
      <c r="S787">
        <v>11</v>
      </c>
      <c r="T787">
        <v>4</v>
      </c>
      <c r="U787">
        <v>0.26667000000000002</v>
      </c>
      <c r="V787" t="s">
        <v>73</v>
      </c>
      <c r="W787" t="s">
        <v>61</v>
      </c>
      <c r="X787" t="s">
        <v>62</v>
      </c>
      <c r="Y787" t="s">
        <v>62</v>
      </c>
      <c r="Z787">
        <v>2</v>
      </c>
      <c r="AA787">
        <v>4</v>
      </c>
      <c r="AB787">
        <v>6</v>
      </c>
      <c r="AC787">
        <v>0.4</v>
      </c>
      <c r="AD787" s="47">
        <v>0</v>
      </c>
      <c r="AE787" s="47">
        <v>0</v>
      </c>
      <c r="AF787" s="47">
        <v>0</v>
      </c>
      <c r="AG787" s="47">
        <v>0</v>
      </c>
      <c r="AH787" s="47">
        <v>0</v>
      </c>
      <c r="AI787" s="47">
        <v>0</v>
      </c>
      <c r="AJ787" s="47">
        <v>2</v>
      </c>
      <c r="AK787" s="47">
        <v>2</v>
      </c>
      <c r="AL787">
        <v>6</v>
      </c>
      <c r="AM787">
        <v>0.25</v>
      </c>
      <c r="AN787">
        <v>14</v>
      </c>
      <c r="AO787">
        <v>10</v>
      </c>
      <c r="AP787">
        <v>59</v>
      </c>
      <c r="AQ787">
        <v>9</v>
      </c>
      <c r="AR787">
        <v>18</v>
      </c>
      <c r="AS787">
        <v>2</v>
      </c>
      <c r="AT787" t="s">
        <v>5141</v>
      </c>
      <c r="AU787" t="s">
        <v>5142</v>
      </c>
      <c r="AV787">
        <v>0.13</v>
      </c>
      <c r="AW787" t="s">
        <v>65</v>
      </c>
      <c r="AX787">
        <v>77</v>
      </c>
      <c r="AY787">
        <v>11</v>
      </c>
      <c r="AZ787" t="s">
        <v>5143</v>
      </c>
      <c r="BA787">
        <v>4.0059999999999998E-2</v>
      </c>
      <c r="BB787">
        <v>-1.65E-3</v>
      </c>
      <c r="BC787">
        <v>2.14E-3</v>
      </c>
      <c r="BD787">
        <v>-2.2000000000000001E-4</v>
      </c>
      <c r="BE787">
        <v>5.3400000000000003E-2</v>
      </c>
      <c r="BF787">
        <v>1</v>
      </c>
      <c r="BG787" t="s">
        <v>69</v>
      </c>
      <c r="BH787">
        <v>-0.84399999999999997</v>
      </c>
      <c r="BI787">
        <v>-2.5070000000000001</v>
      </c>
    </row>
    <row r="788" spans="3:61">
      <c r="C788">
        <v>0</v>
      </c>
      <c r="D788">
        <v>7</v>
      </c>
      <c r="E788">
        <v>1</v>
      </c>
      <c r="F788" t="s">
        <v>25021</v>
      </c>
      <c r="G788">
        <v>3267</v>
      </c>
      <c r="H788" t="s">
        <v>19053</v>
      </c>
      <c r="I788" t="s">
        <v>57</v>
      </c>
      <c r="J788">
        <v>3232640</v>
      </c>
      <c r="K788">
        <v>3233815</v>
      </c>
      <c r="L788" t="s">
        <v>19054</v>
      </c>
      <c r="M788">
        <v>392</v>
      </c>
      <c r="N788" t="s">
        <v>59</v>
      </c>
      <c r="O788">
        <v>49</v>
      </c>
      <c r="P788" t="str">
        <f>HYPERLINK("Gene3267-zp_tree_all.dnd", "Gene3267-tree")</f>
        <v>Gene3267-tree</v>
      </c>
      <c r="Q788">
        <v>11</v>
      </c>
      <c r="R788">
        <v>28</v>
      </c>
      <c r="S788">
        <v>11</v>
      </c>
      <c r="T788">
        <v>9</v>
      </c>
      <c r="U788">
        <v>0.45</v>
      </c>
      <c r="V788" t="s">
        <v>73</v>
      </c>
      <c r="W788" t="s">
        <v>2825</v>
      </c>
      <c r="X788">
        <v>3.7069999999999999</v>
      </c>
      <c r="Y788" t="s">
        <v>65</v>
      </c>
      <c r="Z788">
        <v>3</v>
      </c>
      <c r="AA788">
        <v>8</v>
      </c>
      <c r="AB788">
        <v>20</v>
      </c>
      <c r="AC788">
        <v>0.28571000000000002</v>
      </c>
      <c r="AD788" s="47">
        <v>0</v>
      </c>
      <c r="AE788" s="47">
        <v>0</v>
      </c>
      <c r="AF788" s="47">
        <v>0</v>
      </c>
      <c r="AG788" s="47">
        <v>0</v>
      </c>
      <c r="AH788" s="47">
        <v>0</v>
      </c>
      <c r="AI788" s="47">
        <v>2</v>
      </c>
      <c r="AJ788" s="47">
        <v>0</v>
      </c>
      <c r="AK788" s="47">
        <v>2</v>
      </c>
      <c r="AL788">
        <v>10</v>
      </c>
      <c r="AM788">
        <v>0.16667000000000001</v>
      </c>
      <c r="AN788">
        <v>20</v>
      </c>
      <c r="AO788">
        <v>13</v>
      </c>
      <c r="AP788">
        <v>74</v>
      </c>
      <c r="AQ788">
        <v>12</v>
      </c>
      <c r="AR788">
        <v>60</v>
      </c>
      <c r="AS788">
        <v>17</v>
      </c>
      <c r="AT788" t="s">
        <v>19055</v>
      </c>
      <c r="AU788" t="s">
        <v>19056</v>
      </c>
      <c r="AV788">
        <v>0.42199999999999999</v>
      </c>
      <c r="AW788" t="s">
        <v>65</v>
      </c>
      <c r="AX788">
        <v>134</v>
      </c>
      <c r="AY788">
        <v>29</v>
      </c>
      <c r="AZ788" t="s">
        <v>19057</v>
      </c>
      <c r="BA788">
        <v>8.5540000000000005E-2</v>
      </c>
      <c r="BB788">
        <v>-4.7000000000000002E-3</v>
      </c>
      <c r="BC788">
        <v>6.3899999999999998E-3</v>
      </c>
      <c r="BD788">
        <v>-3.6999999999999999E-4</v>
      </c>
      <c r="BE788">
        <v>7.4709999999999999E-2</v>
      </c>
      <c r="BF788">
        <v>1</v>
      </c>
      <c r="BG788" t="s">
        <v>69</v>
      </c>
      <c r="BH788">
        <v>-1.639</v>
      </c>
      <c r="BI788">
        <v>-1.587</v>
      </c>
    </row>
    <row r="789" spans="3:61">
      <c r="C789">
        <v>0</v>
      </c>
      <c r="D789">
        <v>0</v>
      </c>
      <c r="E789">
        <v>0</v>
      </c>
      <c r="F789" t="s">
        <v>25021</v>
      </c>
      <c r="G789">
        <v>3991</v>
      </c>
      <c r="H789" t="s">
        <v>23464</v>
      </c>
      <c r="I789" t="s">
        <v>57</v>
      </c>
      <c r="J789">
        <v>3955223</v>
      </c>
      <c r="K789">
        <v>3956398</v>
      </c>
      <c r="L789" t="s">
        <v>23465</v>
      </c>
      <c r="M789">
        <v>392</v>
      </c>
      <c r="N789" t="s">
        <v>108</v>
      </c>
      <c r="O789">
        <v>44</v>
      </c>
      <c r="P789" t="str">
        <f>HYPERLINK("Gene3991-zp_tree_all.dnd", "Gene3991-tree")</f>
        <v>Gene3991-tree</v>
      </c>
      <c r="Q789">
        <v>11</v>
      </c>
      <c r="R789">
        <v>2</v>
      </c>
      <c r="S789">
        <v>11</v>
      </c>
      <c r="T789">
        <v>2</v>
      </c>
      <c r="U789">
        <v>0.15384999999999999</v>
      </c>
      <c r="V789" t="s">
        <v>73</v>
      </c>
      <c r="W789" t="s">
        <v>81</v>
      </c>
      <c r="X789" t="s">
        <v>62</v>
      </c>
      <c r="Y789" t="s">
        <v>62</v>
      </c>
      <c r="Z789">
        <v>0</v>
      </c>
      <c r="AA789">
        <v>0</v>
      </c>
      <c r="AB789">
        <v>2</v>
      </c>
      <c r="AC789">
        <v>0</v>
      </c>
      <c r="AD789" s="47">
        <v>0</v>
      </c>
      <c r="AE789" s="47">
        <v>0</v>
      </c>
      <c r="AF789" s="47">
        <v>0</v>
      </c>
      <c r="AG789" s="47">
        <v>0</v>
      </c>
      <c r="AH789" s="47">
        <v>0</v>
      </c>
      <c r="AI789" s="47">
        <v>0</v>
      </c>
      <c r="AJ789" s="47">
        <v>0</v>
      </c>
      <c r="AK789" s="47">
        <v>0</v>
      </c>
      <c r="AL789">
        <v>2</v>
      </c>
      <c r="AM789">
        <v>0</v>
      </c>
      <c r="AN789">
        <v>9</v>
      </c>
      <c r="AO789">
        <v>9</v>
      </c>
      <c r="AP789">
        <v>21</v>
      </c>
      <c r="AQ789">
        <v>2</v>
      </c>
      <c r="AR789">
        <v>16</v>
      </c>
      <c r="AS789">
        <v>0</v>
      </c>
      <c r="AT789" t="s">
        <v>23466</v>
      </c>
      <c r="AU789" t="s">
        <v>193</v>
      </c>
      <c r="AV789">
        <v>0.60399999999999998</v>
      </c>
      <c r="AW789" t="s">
        <v>65</v>
      </c>
      <c r="AX789">
        <v>37</v>
      </c>
      <c r="AY789">
        <v>2</v>
      </c>
      <c r="AZ789" t="s">
        <v>23467</v>
      </c>
      <c r="BA789">
        <v>2.819E-2</v>
      </c>
      <c r="BB789">
        <v>-1.4400000000000001E-3</v>
      </c>
      <c r="BC789">
        <v>3.4000000000000002E-4</v>
      </c>
      <c r="BD789">
        <v>-6.0000000000000002E-5</v>
      </c>
      <c r="BE789">
        <v>1.1990000000000001E-2</v>
      </c>
      <c r="BF789">
        <v>1</v>
      </c>
      <c r="BG789" t="s">
        <v>69</v>
      </c>
      <c r="BH789">
        <v>-0.97499999999999998</v>
      </c>
      <c r="BI789">
        <v>-1.7769999999999999</v>
      </c>
    </row>
    <row r="790" spans="3:61">
      <c r="C790">
        <v>0</v>
      </c>
      <c r="D790">
        <v>2</v>
      </c>
      <c r="E790">
        <v>0</v>
      </c>
      <c r="F790" t="s">
        <v>25021</v>
      </c>
      <c r="G790">
        <v>1455</v>
      </c>
      <c r="H790" t="s">
        <v>9113</v>
      </c>
      <c r="I790" t="s">
        <v>62</v>
      </c>
      <c r="J790">
        <v>1471860</v>
      </c>
      <c r="K790">
        <v>1473038</v>
      </c>
      <c r="L790" t="s">
        <v>9114</v>
      </c>
      <c r="M790">
        <v>393</v>
      </c>
      <c r="N790" t="s">
        <v>108</v>
      </c>
      <c r="O790">
        <v>44</v>
      </c>
      <c r="P790" t="str">
        <f>HYPERLINK("Gene1455-zp_tree_all.dnd", "Gene1455-tree")</f>
        <v>Gene1455-tree</v>
      </c>
      <c r="Q790">
        <v>11</v>
      </c>
      <c r="R790">
        <v>2</v>
      </c>
      <c r="S790">
        <v>11</v>
      </c>
      <c r="T790">
        <v>2</v>
      </c>
      <c r="U790">
        <v>0.15384999999999999</v>
      </c>
      <c r="V790" t="s">
        <v>73</v>
      </c>
      <c r="W790" t="s">
        <v>81</v>
      </c>
      <c r="X790" t="s">
        <v>62</v>
      </c>
      <c r="Y790" t="s">
        <v>62</v>
      </c>
      <c r="Z790">
        <v>1</v>
      </c>
      <c r="AA790">
        <v>2</v>
      </c>
      <c r="AB790">
        <v>6</v>
      </c>
      <c r="AC790">
        <v>0.25</v>
      </c>
      <c r="AD790" s="47">
        <v>0</v>
      </c>
      <c r="AE790" s="47">
        <v>0</v>
      </c>
      <c r="AF790" s="47">
        <v>0</v>
      </c>
      <c r="AG790" s="47">
        <v>3</v>
      </c>
      <c r="AH790" s="47">
        <v>0</v>
      </c>
      <c r="AI790" s="47">
        <v>2</v>
      </c>
      <c r="AJ790" s="47">
        <v>0</v>
      </c>
      <c r="AK790" s="47">
        <v>2</v>
      </c>
      <c r="AL790">
        <v>1</v>
      </c>
      <c r="AM790">
        <v>0.66666999999999998</v>
      </c>
      <c r="AN790">
        <v>11</v>
      </c>
      <c r="AO790">
        <v>7</v>
      </c>
      <c r="AP790">
        <v>51</v>
      </c>
      <c r="AQ790">
        <v>3</v>
      </c>
      <c r="AR790">
        <v>19</v>
      </c>
      <c r="AS790">
        <v>5</v>
      </c>
      <c r="AT790" t="s">
        <v>9115</v>
      </c>
      <c r="AU790" t="s">
        <v>9116</v>
      </c>
      <c r="AV790">
        <v>1.01</v>
      </c>
      <c r="AW790" t="s">
        <v>65</v>
      </c>
      <c r="AX790">
        <v>70</v>
      </c>
      <c r="AY790">
        <v>8</v>
      </c>
      <c r="AZ790" t="s">
        <v>9117</v>
      </c>
      <c r="BA790">
        <v>4.7199999999999999E-2</v>
      </c>
      <c r="BB790">
        <v>-2.0799999999999998E-3</v>
      </c>
      <c r="BC790">
        <v>2.4599999999999999E-3</v>
      </c>
      <c r="BD790">
        <v>-2.5000000000000001E-4</v>
      </c>
      <c r="BE790">
        <v>5.2150000000000002E-2</v>
      </c>
      <c r="BF790">
        <v>1</v>
      </c>
      <c r="BG790" t="s">
        <v>69</v>
      </c>
      <c r="BH790">
        <v>0.39200000000000002</v>
      </c>
      <c r="BI790">
        <v>-0.122</v>
      </c>
    </row>
    <row r="791" spans="3:61">
      <c r="C791">
        <v>0</v>
      </c>
      <c r="D791">
        <v>8</v>
      </c>
      <c r="E791">
        <v>0</v>
      </c>
      <c r="F791" t="s">
        <v>25021</v>
      </c>
      <c r="G791">
        <v>1828</v>
      </c>
      <c r="H791" t="s">
        <v>11458</v>
      </c>
      <c r="I791" t="s">
        <v>62</v>
      </c>
      <c r="J791">
        <v>1897944</v>
      </c>
      <c r="K791">
        <v>1899125</v>
      </c>
      <c r="L791" t="s">
        <v>11459</v>
      </c>
      <c r="M791">
        <v>394</v>
      </c>
      <c r="N791" t="s">
        <v>108</v>
      </c>
      <c r="O791">
        <v>44</v>
      </c>
      <c r="P791" t="str">
        <f>HYPERLINK("Gene1828-zp_tree_all.dnd", "Gene1828-tree")</f>
        <v>Gene1828-tree</v>
      </c>
      <c r="Q791">
        <v>8</v>
      </c>
      <c r="R791">
        <v>8</v>
      </c>
      <c r="S791">
        <v>8</v>
      </c>
      <c r="T791">
        <v>8</v>
      </c>
      <c r="U791">
        <v>0.5</v>
      </c>
      <c r="V791" t="s">
        <v>136</v>
      </c>
      <c r="W791" t="s">
        <v>136</v>
      </c>
      <c r="X791" t="s">
        <v>62</v>
      </c>
      <c r="Y791" t="s">
        <v>62</v>
      </c>
      <c r="Z791">
        <v>3</v>
      </c>
      <c r="AA791">
        <v>8</v>
      </c>
      <c r="AB791">
        <v>19</v>
      </c>
      <c r="AC791">
        <v>0.29630000000000001</v>
      </c>
      <c r="AD791" s="47">
        <v>0</v>
      </c>
      <c r="AE791" s="47">
        <v>0</v>
      </c>
      <c r="AF791" s="47">
        <v>0</v>
      </c>
      <c r="AG791" s="47">
        <v>1</v>
      </c>
      <c r="AH791" s="47">
        <v>0</v>
      </c>
      <c r="AI791" s="47">
        <v>4</v>
      </c>
      <c r="AJ791" s="47">
        <v>0</v>
      </c>
      <c r="AK791" s="47">
        <v>4</v>
      </c>
      <c r="AL791">
        <v>17</v>
      </c>
      <c r="AM791">
        <v>0.19048000000000001</v>
      </c>
      <c r="AN791">
        <v>14</v>
      </c>
      <c r="AO791">
        <v>9</v>
      </c>
      <c r="AP791">
        <v>49</v>
      </c>
      <c r="AQ791">
        <v>22</v>
      </c>
      <c r="AR791">
        <v>19</v>
      </c>
      <c r="AS791">
        <v>6</v>
      </c>
      <c r="AT791" t="s">
        <v>11460</v>
      </c>
      <c r="AU791" t="s">
        <v>11461</v>
      </c>
      <c r="AV791">
        <v>0.185</v>
      </c>
      <c r="AW791" t="s">
        <v>65</v>
      </c>
      <c r="AX791">
        <v>68</v>
      </c>
      <c r="AY791">
        <v>28</v>
      </c>
      <c r="AZ791" t="s">
        <v>11462</v>
      </c>
      <c r="BA791">
        <v>4.19E-2</v>
      </c>
      <c r="BB791">
        <v>-2.7000000000000001E-3</v>
      </c>
      <c r="BC791">
        <v>4.5999999999999999E-3</v>
      </c>
      <c r="BD791">
        <v>-3.3E-4</v>
      </c>
      <c r="BE791">
        <v>0.10983</v>
      </c>
      <c r="BF791">
        <v>1</v>
      </c>
      <c r="BG791" t="s">
        <v>69</v>
      </c>
      <c r="BH791">
        <v>-1.34</v>
      </c>
      <c r="BI791">
        <v>-2.976</v>
      </c>
    </row>
    <row r="792" spans="3:61">
      <c r="C792">
        <v>0</v>
      </c>
      <c r="D792">
        <v>0</v>
      </c>
      <c r="E792">
        <v>2</v>
      </c>
      <c r="F792" t="s">
        <v>25021</v>
      </c>
      <c r="G792">
        <v>2904</v>
      </c>
      <c r="H792" t="s">
        <v>16718</v>
      </c>
      <c r="I792" t="s">
        <v>57</v>
      </c>
      <c r="J792">
        <v>2849569</v>
      </c>
      <c r="K792">
        <v>2850753</v>
      </c>
      <c r="L792" t="s">
        <v>16719</v>
      </c>
      <c r="M792">
        <v>395</v>
      </c>
      <c r="N792" t="s">
        <v>108</v>
      </c>
      <c r="O792">
        <v>44</v>
      </c>
      <c r="P792" t="str">
        <f>HYPERLINK("Gene2904-zp_tree_all.dnd", "Gene2904-tree")</f>
        <v>Gene2904-tree</v>
      </c>
      <c r="Q792">
        <v>4</v>
      </c>
      <c r="R792">
        <v>9</v>
      </c>
      <c r="S792">
        <v>4</v>
      </c>
      <c r="T792">
        <v>9</v>
      </c>
      <c r="U792">
        <v>0.69230999999999998</v>
      </c>
      <c r="V792" t="s">
        <v>61</v>
      </c>
      <c r="W792" t="s">
        <v>135</v>
      </c>
      <c r="X792" t="s">
        <v>62</v>
      </c>
      <c r="Y792" t="s">
        <v>62</v>
      </c>
      <c r="Z792">
        <v>1</v>
      </c>
      <c r="AA792">
        <v>2</v>
      </c>
      <c r="AB792">
        <v>24</v>
      </c>
      <c r="AC792">
        <v>7.6920000000000002E-2</v>
      </c>
      <c r="AD792" s="47">
        <v>0</v>
      </c>
      <c r="AE792" s="47">
        <v>0</v>
      </c>
      <c r="AF792" s="47">
        <v>0</v>
      </c>
      <c r="AG792" s="47">
        <v>3</v>
      </c>
      <c r="AH792" s="47">
        <v>0</v>
      </c>
      <c r="AI792" s="47">
        <v>0</v>
      </c>
      <c r="AJ792" s="47">
        <v>2</v>
      </c>
      <c r="AK792" s="47">
        <v>2</v>
      </c>
      <c r="AL792">
        <v>15</v>
      </c>
      <c r="AM792">
        <v>0.11765</v>
      </c>
      <c r="AN792">
        <v>11</v>
      </c>
      <c r="AO792">
        <v>7</v>
      </c>
      <c r="AP792">
        <v>18</v>
      </c>
      <c r="AQ792">
        <v>17</v>
      </c>
      <c r="AR792">
        <v>13</v>
      </c>
      <c r="AS792">
        <v>9</v>
      </c>
      <c r="AT792" t="s">
        <v>16720</v>
      </c>
      <c r="AU792" t="s">
        <v>16721</v>
      </c>
      <c r="AV792">
        <v>0.248</v>
      </c>
      <c r="AW792" t="s">
        <v>65</v>
      </c>
      <c r="AX792">
        <v>31</v>
      </c>
      <c r="AY792">
        <v>26</v>
      </c>
      <c r="AZ792" t="s">
        <v>16722</v>
      </c>
      <c r="BA792">
        <v>2.606E-2</v>
      </c>
      <c r="BB792">
        <v>-1.98E-3</v>
      </c>
      <c r="BC792">
        <v>6.0699999999999999E-3</v>
      </c>
      <c r="BD792">
        <v>-2.9999999999999997E-4</v>
      </c>
      <c r="BE792">
        <v>0.23285</v>
      </c>
      <c r="BF792">
        <v>1</v>
      </c>
      <c r="BG792" t="s">
        <v>69</v>
      </c>
      <c r="BH792">
        <v>-1.022</v>
      </c>
      <c r="BI792">
        <v>-2.1190000000000002</v>
      </c>
    </row>
    <row r="793" spans="3:61">
      <c r="C793">
        <v>0</v>
      </c>
      <c r="D793">
        <v>6</v>
      </c>
      <c r="E793">
        <v>8</v>
      </c>
      <c r="F793" t="s">
        <v>25021</v>
      </c>
      <c r="G793">
        <v>543</v>
      </c>
      <c r="H793" t="s">
        <v>3503</v>
      </c>
      <c r="I793" t="s">
        <v>62</v>
      </c>
      <c r="J793">
        <v>576949</v>
      </c>
      <c r="K793">
        <v>578133</v>
      </c>
      <c r="L793" t="s">
        <v>2641</v>
      </c>
      <c r="M793">
        <v>395</v>
      </c>
      <c r="N793" t="s">
        <v>2555</v>
      </c>
      <c r="O793">
        <v>34</v>
      </c>
      <c r="P793" t="str">
        <f>HYPERLINK("Gene543-zp_tree_all.dnd", "Gene543-tree")</f>
        <v>Gene543-tree</v>
      </c>
      <c r="Q793">
        <v>2</v>
      </c>
      <c r="R793">
        <v>7</v>
      </c>
      <c r="S793">
        <v>2</v>
      </c>
      <c r="T793">
        <v>7</v>
      </c>
      <c r="U793">
        <v>0.77778000000000003</v>
      </c>
      <c r="V793" t="s">
        <v>81</v>
      </c>
      <c r="W793" t="s">
        <v>152</v>
      </c>
      <c r="X793" t="s">
        <v>62</v>
      </c>
      <c r="Y793" t="s">
        <v>62</v>
      </c>
      <c r="Z793">
        <v>7</v>
      </c>
      <c r="AA793">
        <v>14</v>
      </c>
      <c r="AB793">
        <v>14</v>
      </c>
      <c r="AC793">
        <v>0.5</v>
      </c>
      <c r="AD793" s="47">
        <v>0</v>
      </c>
      <c r="AE793" s="47">
        <v>0</v>
      </c>
      <c r="AF793" s="47">
        <v>0</v>
      </c>
      <c r="AG793" s="47">
        <v>0</v>
      </c>
      <c r="AH793" s="47">
        <v>0</v>
      </c>
      <c r="AI793" s="47">
        <v>2</v>
      </c>
      <c r="AJ793" s="47">
        <v>4</v>
      </c>
      <c r="AK793" s="47">
        <v>6</v>
      </c>
      <c r="AL793">
        <v>15</v>
      </c>
      <c r="AM793">
        <v>0.28571000000000002</v>
      </c>
      <c r="AN793">
        <v>8</v>
      </c>
      <c r="AO793">
        <v>6</v>
      </c>
      <c r="AP793">
        <v>37</v>
      </c>
      <c r="AQ793">
        <v>23</v>
      </c>
      <c r="AR793">
        <v>30</v>
      </c>
      <c r="AS793">
        <v>7</v>
      </c>
      <c r="AT793" t="s">
        <v>3504</v>
      </c>
      <c r="AU793" t="s">
        <v>3505</v>
      </c>
      <c r="AV793">
        <v>0.51700000000000002</v>
      </c>
      <c r="AW793" t="s">
        <v>65</v>
      </c>
      <c r="AX793">
        <v>67</v>
      </c>
      <c r="AY793">
        <v>30</v>
      </c>
      <c r="AZ793" t="s">
        <v>3506</v>
      </c>
      <c r="BA793">
        <v>5.8250000000000003E-2</v>
      </c>
      <c r="BB793">
        <v>-4.9500000000000004E-3</v>
      </c>
      <c r="BC793">
        <v>8.7399999999999995E-3</v>
      </c>
      <c r="BD793">
        <v>-7.9000000000000001E-4</v>
      </c>
      <c r="BE793">
        <v>0.15010000000000001</v>
      </c>
      <c r="BF793">
        <v>1</v>
      </c>
      <c r="BG793" t="s">
        <v>69</v>
      </c>
      <c r="BH793">
        <v>-0.48699999999999999</v>
      </c>
      <c r="BI793">
        <v>0.89200000000000002</v>
      </c>
    </row>
    <row r="794" spans="3:61">
      <c r="C794">
        <v>0</v>
      </c>
      <c r="D794">
        <v>6</v>
      </c>
      <c r="E794">
        <v>4</v>
      </c>
      <c r="F794" t="s">
        <v>25021</v>
      </c>
      <c r="G794">
        <v>3989</v>
      </c>
      <c r="H794" t="s">
        <v>23452</v>
      </c>
      <c r="I794" t="s">
        <v>57</v>
      </c>
      <c r="J794">
        <v>3953783</v>
      </c>
      <c r="K794">
        <v>3954967</v>
      </c>
      <c r="L794" t="s">
        <v>23453</v>
      </c>
      <c r="M794">
        <v>395</v>
      </c>
      <c r="N794" t="s">
        <v>59</v>
      </c>
      <c r="O794">
        <v>49</v>
      </c>
      <c r="P794" t="str">
        <f>HYPERLINK("Gene3989-zp_tree_all.dnd", "Gene3989-tree")</f>
        <v>Gene3989-tree</v>
      </c>
      <c r="Q794">
        <v>11</v>
      </c>
      <c r="R794">
        <v>7</v>
      </c>
      <c r="S794">
        <v>11</v>
      </c>
      <c r="T794">
        <v>7</v>
      </c>
      <c r="U794">
        <v>0.38889000000000001</v>
      </c>
      <c r="V794" t="s">
        <v>73</v>
      </c>
      <c r="W794" t="s">
        <v>152</v>
      </c>
      <c r="X794" t="s">
        <v>62</v>
      </c>
      <c r="Y794" t="s">
        <v>62</v>
      </c>
      <c r="Z794">
        <v>5</v>
      </c>
      <c r="AA794">
        <v>10</v>
      </c>
      <c r="AB794">
        <v>5</v>
      </c>
      <c r="AC794">
        <v>0.66666999999999998</v>
      </c>
      <c r="AD794" s="47">
        <v>0</v>
      </c>
      <c r="AE794" s="47">
        <v>0</v>
      </c>
      <c r="AF794" s="47">
        <v>0</v>
      </c>
      <c r="AG794" s="47">
        <v>0</v>
      </c>
      <c r="AH794" s="47">
        <v>0</v>
      </c>
      <c r="AI794" s="47">
        <v>0</v>
      </c>
      <c r="AJ794" s="47">
        <v>0</v>
      </c>
      <c r="AK794" s="47">
        <v>0</v>
      </c>
      <c r="AL794">
        <v>7</v>
      </c>
      <c r="AM794">
        <v>0</v>
      </c>
      <c r="AN794">
        <v>16</v>
      </c>
      <c r="AO794">
        <v>15</v>
      </c>
      <c r="AP794">
        <v>44</v>
      </c>
      <c r="AQ794">
        <v>7</v>
      </c>
      <c r="AR794">
        <v>75</v>
      </c>
      <c r="AS794">
        <v>9</v>
      </c>
      <c r="AT794" t="s">
        <v>23454</v>
      </c>
      <c r="AU794" t="s">
        <v>23455</v>
      </c>
      <c r="AV794">
        <v>0.214</v>
      </c>
      <c r="AW794" t="s">
        <v>65</v>
      </c>
      <c r="AX794">
        <v>119</v>
      </c>
      <c r="AY794">
        <v>16</v>
      </c>
      <c r="AZ794" t="s">
        <v>23456</v>
      </c>
      <c r="BA794">
        <v>0.10582</v>
      </c>
      <c r="BB794">
        <v>-6.6E-3</v>
      </c>
      <c r="BC794">
        <v>2.4499999999999999E-3</v>
      </c>
      <c r="BD794">
        <v>-1.6000000000000001E-4</v>
      </c>
      <c r="BE794">
        <v>2.316E-2</v>
      </c>
      <c r="BF794">
        <v>1</v>
      </c>
      <c r="BG794" t="s">
        <v>69</v>
      </c>
      <c r="BH794">
        <v>-1.343</v>
      </c>
      <c r="BI794">
        <v>-0.83699999999999997</v>
      </c>
    </row>
    <row r="795" spans="3:61">
      <c r="C795">
        <v>3</v>
      </c>
      <c r="D795">
        <v>7</v>
      </c>
      <c r="E795">
        <v>2</v>
      </c>
      <c r="F795" t="s">
        <v>25021</v>
      </c>
      <c r="G795">
        <v>3628</v>
      </c>
      <c r="H795" t="s">
        <v>21312</v>
      </c>
      <c r="I795" t="s">
        <v>57</v>
      </c>
      <c r="J795">
        <v>3595356</v>
      </c>
      <c r="K795">
        <v>3596543</v>
      </c>
      <c r="L795" t="s">
        <v>21313</v>
      </c>
      <c r="M795">
        <v>396</v>
      </c>
      <c r="N795" t="s">
        <v>108</v>
      </c>
      <c r="O795">
        <v>44</v>
      </c>
      <c r="P795" t="str">
        <f>HYPERLINK("Gene3628-zp_tree_all.dnd", "Gene3628-tree")</f>
        <v>Gene3628-tree</v>
      </c>
      <c r="Q795">
        <v>8</v>
      </c>
      <c r="R795">
        <v>7</v>
      </c>
      <c r="S795">
        <v>8</v>
      </c>
      <c r="T795">
        <v>7</v>
      </c>
      <c r="U795">
        <v>0.46666999999999997</v>
      </c>
      <c r="V795" t="s">
        <v>136</v>
      </c>
      <c r="W795" t="s">
        <v>152</v>
      </c>
      <c r="X795" t="s">
        <v>62</v>
      </c>
      <c r="Y795" t="s">
        <v>62</v>
      </c>
      <c r="Z795">
        <v>5</v>
      </c>
      <c r="AA795">
        <v>12</v>
      </c>
      <c r="AB795">
        <v>14</v>
      </c>
      <c r="AC795">
        <v>0.46154000000000001</v>
      </c>
      <c r="AD795" s="47">
        <v>2</v>
      </c>
      <c r="AE795" s="47">
        <v>1</v>
      </c>
      <c r="AF795" s="47">
        <v>3</v>
      </c>
      <c r="AG795" s="47">
        <v>3</v>
      </c>
      <c r="AH795" s="47">
        <v>0.5</v>
      </c>
      <c r="AI795" s="47">
        <v>0</v>
      </c>
      <c r="AJ795" s="47">
        <v>0</v>
      </c>
      <c r="AK795" s="47">
        <v>0</v>
      </c>
      <c r="AL795">
        <v>11</v>
      </c>
      <c r="AM795">
        <v>0</v>
      </c>
      <c r="AN795">
        <v>11</v>
      </c>
      <c r="AO795">
        <v>12</v>
      </c>
      <c r="AP795">
        <v>47</v>
      </c>
      <c r="AQ795">
        <v>11</v>
      </c>
      <c r="AR795">
        <v>33</v>
      </c>
      <c r="AS795">
        <v>15</v>
      </c>
      <c r="AT795" t="s">
        <v>21314</v>
      </c>
      <c r="AU795" t="s">
        <v>21315</v>
      </c>
      <c r="AV795">
        <v>0.79400000000000004</v>
      </c>
      <c r="AW795" t="s">
        <v>65</v>
      </c>
      <c r="AX795">
        <v>80</v>
      </c>
      <c r="AY795">
        <v>26</v>
      </c>
      <c r="AZ795" t="s">
        <v>21316</v>
      </c>
      <c r="BA795">
        <v>5.2749999999999998E-2</v>
      </c>
      <c r="BB795">
        <v>-2.2399999999999998E-3</v>
      </c>
      <c r="BC795">
        <v>5.8700000000000002E-3</v>
      </c>
      <c r="BD795">
        <v>-2.9999999999999997E-4</v>
      </c>
      <c r="BE795">
        <v>0.11135</v>
      </c>
      <c r="BF795">
        <v>1</v>
      </c>
      <c r="BG795" t="s">
        <v>69</v>
      </c>
      <c r="BH795">
        <v>-0.53900000000000003</v>
      </c>
      <c r="BI795">
        <v>-0.35299999999999998</v>
      </c>
    </row>
    <row r="796" spans="3:61">
      <c r="C796">
        <v>0</v>
      </c>
      <c r="D796">
        <v>16</v>
      </c>
      <c r="E796">
        <v>3</v>
      </c>
      <c r="F796" t="s">
        <v>25021</v>
      </c>
      <c r="G796">
        <v>1043</v>
      </c>
      <c r="H796" t="s">
        <v>6545</v>
      </c>
      <c r="I796" t="s">
        <v>62</v>
      </c>
      <c r="J796">
        <v>1080153</v>
      </c>
      <c r="K796">
        <v>1081340</v>
      </c>
      <c r="L796" t="s">
        <v>6546</v>
      </c>
      <c r="M796">
        <v>396</v>
      </c>
      <c r="N796" t="s">
        <v>108</v>
      </c>
      <c r="O796">
        <v>44</v>
      </c>
      <c r="P796" t="str">
        <f>HYPERLINK("Gene1043-zp_tree_all.dnd", "Gene1043-tree")</f>
        <v>Gene1043-tree</v>
      </c>
      <c r="Q796">
        <v>2</v>
      </c>
      <c r="R796">
        <v>12</v>
      </c>
      <c r="S796">
        <v>2</v>
      </c>
      <c r="T796">
        <v>12</v>
      </c>
      <c r="U796">
        <v>0.85714000000000001</v>
      </c>
      <c r="V796" t="s">
        <v>81</v>
      </c>
      <c r="W796" t="s">
        <v>109</v>
      </c>
      <c r="X796" t="s">
        <v>62</v>
      </c>
      <c r="Y796" t="s">
        <v>62</v>
      </c>
      <c r="Z796">
        <v>8</v>
      </c>
      <c r="AA796">
        <v>19</v>
      </c>
      <c r="AB796">
        <v>12</v>
      </c>
      <c r="AC796">
        <v>0.6129</v>
      </c>
      <c r="AD796" s="47">
        <v>0</v>
      </c>
      <c r="AE796" s="47">
        <v>0</v>
      </c>
      <c r="AF796" s="47">
        <v>0</v>
      </c>
      <c r="AG796" s="47">
        <v>0</v>
      </c>
      <c r="AH796" s="47">
        <v>0</v>
      </c>
      <c r="AI796" s="47">
        <v>11</v>
      </c>
      <c r="AJ796" s="47">
        <v>3</v>
      </c>
      <c r="AK796" s="47">
        <v>14</v>
      </c>
      <c r="AL796">
        <v>14</v>
      </c>
      <c r="AM796">
        <v>0.5</v>
      </c>
      <c r="AN796">
        <v>14</v>
      </c>
      <c r="AO796">
        <v>11</v>
      </c>
      <c r="AP796">
        <v>48</v>
      </c>
      <c r="AQ796">
        <v>28</v>
      </c>
      <c r="AR796">
        <v>26</v>
      </c>
      <c r="AS796">
        <v>3</v>
      </c>
      <c r="AT796" t="s">
        <v>6547</v>
      </c>
      <c r="AU796" t="s">
        <v>6548</v>
      </c>
      <c r="AV796">
        <v>2.7</v>
      </c>
      <c r="AW796" t="s">
        <v>267</v>
      </c>
      <c r="AX796">
        <v>74</v>
      </c>
      <c r="AY796">
        <v>31</v>
      </c>
      <c r="AZ796" t="s">
        <v>6549</v>
      </c>
      <c r="BA796">
        <v>4.8379999999999999E-2</v>
      </c>
      <c r="BB796">
        <v>-1.57E-3</v>
      </c>
      <c r="BC796">
        <v>5.2700000000000004E-3</v>
      </c>
      <c r="BD796">
        <v>-2.0000000000000001E-4</v>
      </c>
      <c r="BE796">
        <v>0.10896</v>
      </c>
      <c r="BF796">
        <v>1</v>
      </c>
      <c r="BG796" t="s">
        <v>69</v>
      </c>
      <c r="BH796">
        <v>-0.10199999999999999</v>
      </c>
      <c r="BI796">
        <v>-1.0820000000000001</v>
      </c>
    </row>
    <row r="797" spans="3:61">
      <c r="C797">
        <v>0</v>
      </c>
      <c r="D797">
        <v>0</v>
      </c>
      <c r="E797">
        <v>2</v>
      </c>
      <c r="F797" t="s">
        <v>25021</v>
      </c>
      <c r="G797">
        <v>820</v>
      </c>
      <c r="H797" t="s">
        <v>5108</v>
      </c>
      <c r="I797" t="s">
        <v>62</v>
      </c>
      <c r="J797">
        <v>860306</v>
      </c>
      <c r="K797">
        <v>861493</v>
      </c>
      <c r="L797" t="s">
        <v>5109</v>
      </c>
      <c r="M797">
        <v>396</v>
      </c>
      <c r="N797" t="s">
        <v>108</v>
      </c>
      <c r="O797">
        <v>44</v>
      </c>
      <c r="P797" t="str">
        <f>HYPERLINK("Gene820-zp_tree_all.dnd", "Gene820-tree")</f>
        <v>Gene820-tree</v>
      </c>
      <c r="Q797">
        <v>6</v>
      </c>
      <c r="R797">
        <v>9</v>
      </c>
      <c r="S797">
        <v>6</v>
      </c>
      <c r="T797">
        <v>9</v>
      </c>
      <c r="U797">
        <v>0.6</v>
      </c>
      <c r="V797" t="s">
        <v>90</v>
      </c>
      <c r="W797" t="s">
        <v>135</v>
      </c>
      <c r="X797" t="s">
        <v>62</v>
      </c>
      <c r="Y797" t="s">
        <v>62</v>
      </c>
      <c r="Z797">
        <v>1</v>
      </c>
      <c r="AA797">
        <v>2</v>
      </c>
      <c r="AB797">
        <v>16</v>
      </c>
      <c r="AC797">
        <v>0.11111</v>
      </c>
      <c r="AD797" s="47">
        <v>0</v>
      </c>
      <c r="AE797" s="47">
        <v>0</v>
      </c>
      <c r="AF797" s="47">
        <v>0</v>
      </c>
      <c r="AG797" s="47">
        <v>0</v>
      </c>
      <c r="AH797" s="47">
        <v>0</v>
      </c>
      <c r="AI797" s="47">
        <v>0</v>
      </c>
      <c r="AJ797" s="47">
        <v>2</v>
      </c>
      <c r="AK797" s="47">
        <v>2</v>
      </c>
      <c r="AL797">
        <v>13</v>
      </c>
      <c r="AM797">
        <v>0.13333</v>
      </c>
      <c r="AN797">
        <v>15</v>
      </c>
      <c r="AO797">
        <v>9</v>
      </c>
      <c r="AP797">
        <v>55</v>
      </c>
      <c r="AQ797">
        <v>16</v>
      </c>
      <c r="AR797">
        <v>22</v>
      </c>
      <c r="AS797">
        <v>3</v>
      </c>
      <c r="AT797" t="s">
        <v>5110</v>
      </c>
      <c r="AU797" t="s">
        <v>5111</v>
      </c>
      <c r="AV797">
        <v>0.63600000000000001</v>
      </c>
      <c r="AW797" t="s">
        <v>65</v>
      </c>
      <c r="AX797">
        <v>77</v>
      </c>
      <c r="AY797">
        <v>19</v>
      </c>
      <c r="AZ797" t="s">
        <v>5112</v>
      </c>
      <c r="BA797">
        <v>3.884E-2</v>
      </c>
      <c r="BB797">
        <v>-1.2199999999999999E-3</v>
      </c>
      <c r="BC797">
        <v>3.47E-3</v>
      </c>
      <c r="BD797">
        <v>-2.5999999999999998E-4</v>
      </c>
      <c r="BE797">
        <v>8.9330000000000007E-2</v>
      </c>
      <c r="BF797">
        <v>1</v>
      </c>
      <c r="BG797" t="s">
        <v>69</v>
      </c>
      <c r="BH797">
        <v>-0.92700000000000005</v>
      </c>
      <c r="BI797">
        <v>-1.599</v>
      </c>
    </row>
    <row r="798" spans="3:61">
      <c r="C798">
        <v>0</v>
      </c>
      <c r="D798">
        <v>2</v>
      </c>
      <c r="E798">
        <v>0</v>
      </c>
      <c r="F798" t="s">
        <v>25021</v>
      </c>
      <c r="G798">
        <v>3020</v>
      </c>
      <c r="H798" t="s">
        <v>17452</v>
      </c>
      <c r="I798" t="s">
        <v>57</v>
      </c>
      <c r="J798">
        <v>2968824</v>
      </c>
      <c r="K798">
        <v>2970011</v>
      </c>
      <c r="L798" t="s">
        <v>2569</v>
      </c>
      <c r="M798">
        <v>396</v>
      </c>
      <c r="N798" t="s">
        <v>17453</v>
      </c>
      <c r="O798">
        <v>43</v>
      </c>
      <c r="P798" t="str">
        <f>HYPERLINK("Gene3020-zp_tree_all.dnd", "Gene3020-tree")</f>
        <v>Gene3020-tree</v>
      </c>
      <c r="Q798">
        <v>7</v>
      </c>
      <c r="R798">
        <v>5</v>
      </c>
      <c r="S798">
        <v>7</v>
      </c>
      <c r="T798">
        <v>5</v>
      </c>
      <c r="U798">
        <v>0.41666999999999998</v>
      </c>
      <c r="V798" t="s">
        <v>152</v>
      </c>
      <c r="W798" t="s">
        <v>199</v>
      </c>
      <c r="X798" t="s">
        <v>62</v>
      </c>
      <c r="Y798" t="s">
        <v>62</v>
      </c>
      <c r="Z798">
        <v>1</v>
      </c>
      <c r="AA798">
        <v>2</v>
      </c>
      <c r="AB798">
        <v>8</v>
      </c>
      <c r="AC798">
        <v>0.2</v>
      </c>
      <c r="AD798" s="47">
        <v>0</v>
      </c>
      <c r="AE798" s="47">
        <v>0</v>
      </c>
      <c r="AF798" s="47">
        <v>0</v>
      </c>
      <c r="AG798" s="47">
        <v>2</v>
      </c>
      <c r="AH798" s="47">
        <v>0</v>
      </c>
      <c r="AI798" s="47">
        <v>0</v>
      </c>
      <c r="AJ798" s="47">
        <v>0</v>
      </c>
      <c r="AK798" s="47">
        <v>0</v>
      </c>
      <c r="AL798">
        <v>6</v>
      </c>
      <c r="AM798">
        <v>0</v>
      </c>
      <c r="AN798">
        <v>10</v>
      </c>
      <c r="AO798">
        <v>9</v>
      </c>
      <c r="AP798">
        <v>18</v>
      </c>
      <c r="AQ798">
        <v>6</v>
      </c>
      <c r="AR798">
        <v>25</v>
      </c>
      <c r="AS798">
        <v>4</v>
      </c>
      <c r="AT798" t="s">
        <v>17454</v>
      </c>
      <c r="AU798" t="s">
        <v>17455</v>
      </c>
      <c r="AV798">
        <v>0.877</v>
      </c>
      <c r="AW798" t="s">
        <v>65</v>
      </c>
      <c r="AX798">
        <v>43</v>
      </c>
      <c r="AY798">
        <v>10</v>
      </c>
      <c r="AZ798" t="s">
        <v>17456</v>
      </c>
      <c r="BA798">
        <v>3.4470000000000001E-2</v>
      </c>
      <c r="BB798">
        <v>-1.7799999999999999E-3</v>
      </c>
      <c r="BC798">
        <v>2.4599999999999999E-3</v>
      </c>
      <c r="BD798">
        <v>-1.2999999999999999E-4</v>
      </c>
      <c r="BE798">
        <v>7.1340000000000001E-2</v>
      </c>
      <c r="BF798">
        <v>1</v>
      </c>
      <c r="BG798" t="s">
        <v>69</v>
      </c>
      <c r="BH798">
        <v>-0.63800000000000001</v>
      </c>
      <c r="BI798">
        <v>-0.30499999999999999</v>
      </c>
    </row>
    <row r="799" spans="3:61">
      <c r="C799">
        <v>0</v>
      </c>
      <c r="D799">
        <v>8</v>
      </c>
      <c r="E799">
        <v>0</v>
      </c>
      <c r="F799" t="s">
        <v>25021</v>
      </c>
      <c r="G799">
        <v>1230</v>
      </c>
      <c r="H799" t="s">
        <v>7732</v>
      </c>
      <c r="I799" t="s">
        <v>62</v>
      </c>
      <c r="J799">
        <v>1261429</v>
      </c>
      <c r="K799">
        <v>1262616</v>
      </c>
      <c r="L799" t="s">
        <v>7733</v>
      </c>
      <c r="M799">
        <v>396</v>
      </c>
      <c r="N799" t="s">
        <v>1392</v>
      </c>
      <c r="O799">
        <v>43</v>
      </c>
      <c r="P799" t="str">
        <f>HYPERLINK("Gene1230-zp_tree_all.dnd", "Gene1230-tree")</f>
        <v>Gene1230-tree</v>
      </c>
      <c r="Q799">
        <v>3</v>
      </c>
      <c r="R799">
        <v>10</v>
      </c>
      <c r="S799">
        <v>3</v>
      </c>
      <c r="T799">
        <v>10</v>
      </c>
      <c r="U799">
        <v>0.76922999999999997</v>
      </c>
      <c r="V799" t="s">
        <v>324</v>
      </c>
      <c r="W799" t="s">
        <v>117</v>
      </c>
      <c r="X799" t="s">
        <v>62</v>
      </c>
      <c r="Y799" t="s">
        <v>62</v>
      </c>
      <c r="Z799">
        <v>3</v>
      </c>
      <c r="AA799">
        <v>8</v>
      </c>
      <c r="AB799">
        <v>15</v>
      </c>
      <c r="AC799">
        <v>0.34782999999999997</v>
      </c>
      <c r="AD799" s="47">
        <v>0</v>
      </c>
      <c r="AE799" s="47">
        <v>0</v>
      </c>
      <c r="AF799" s="47">
        <v>0</v>
      </c>
      <c r="AG799" s="47">
        <v>0</v>
      </c>
      <c r="AH799" s="47">
        <v>0</v>
      </c>
      <c r="AI799" s="47">
        <v>5</v>
      </c>
      <c r="AJ799" s="47">
        <v>0</v>
      </c>
      <c r="AK799" s="47">
        <v>5</v>
      </c>
      <c r="AL799">
        <v>12</v>
      </c>
      <c r="AM799">
        <v>0.29411999999999999</v>
      </c>
      <c r="AN799">
        <v>12</v>
      </c>
      <c r="AO799">
        <v>10</v>
      </c>
      <c r="AP799">
        <v>64</v>
      </c>
      <c r="AQ799">
        <v>18</v>
      </c>
      <c r="AR799">
        <v>61</v>
      </c>
      <c r="AS799">
        <v>8</v>
      </c>
      <c r="AT799" t="s">
        <v>7734</v>
      </c>
      <c r="AU799" t="s">
        <v>7735</v>
      </c>
      <c r="AV799">
        <v>0.75</v>
      </c>
      <c r="AW799" t="s">
        <v>65</v>
      </c>
      <c r="AX799">
        <v>125</v>
      </c>
      <c r="AY799">
        <v>26</v>
      </c>
      <c r="AZ799" t="s">
        <v>7736</v>
      </c>
      <c r="BA799">
        <v>8.9139999999999997E-2</v>
      </c>
      <c r="BB799">
        <v>-3.64E-3</v>
      </c>
      <c r="BC799">
        <v>5.5900000000000004E-3</v>
      </c>
      <c r="BD799">
        <v>-3.1E-4</v>
      </c>
      <c r="BE799">
        <v>6.2759999999999996E-2</v>
      </c>
      <c r="BF799">
        <v>1</v>
      </c>
      <c r="BG799" t="s">
        <v>69</v>
      </c>
      <c r="BH799">
        <v>1.9E-2</v>
      </c>
      <c r="BI799">
        <v>-1.0529999999999999</v>
      </c>
    </row>
    <row r="800" spans="3:61">
      <c r="C800">
        <v>0</v>
      </c>
      <c r="D800">
        <v>0</v>
      </c>
      <c r="E800">
        <v>0</v>
      </c>
      <c r="F800" t="s">
        <v>25021</v>
      </c>
      <c r="G800">
        <v>3778</v>
      </c>
      <c r="H800" t="s">
        <v>22139</v>
      </c>
      <c r="I800" t="s">
        <v>57</v>
      </c>
      <c r="J800">
        <v>3749487</v>
      </c>
      <c r="K800">
        <v>3750674</v>
      </c>
      <c r="L800" t="s">
        <v>2641</v>
      </c>
      <c r="M800">
        <v>396</v>
      </c>
      <c r="N800" t="s">
        <v>108</v>
      </c>
      <c r="O800">
        <v>44</v>
      </c>
      <c r="P800" t="str">
        <f>HYPERLINK("Gene3778-zp_tree_all.dnd", "Gene3778-tree")</f>
        <v>Gene3778-tree</v>
      </c>
      <c r="Q800">
        <v>11</v>
      </c>
      <c r="R800">
        <v>3</v>
      </c>
      <c r="S800">
        <v>11</v>
      </c>
      <c r="T800">
        <v>3</v>
      </c>
      <c r="U800">
        <v>0.21429000000000001</v>
      </c>
      <c r="V800" t="s">
        <v>73</v>
      </c>
      <c r="W800" t="s">
        <v>324</v>
      </c>
      <c r="X800" t="s">
        <v>62</v>
      </c>
      <c r="Y800" t="s">
        <v>62</v>
      </c>
      <c r="Z800">
        <v>0</v>
      </c>
      <c r="AA800">
        <v>0</v>
      </c>
      <c r="AB800">
        <v>4</v>
      </c>
      <c r="AC800">
        <v>0</v>
      </c>
      <c r="AD800" s="47">
        <v>0</v>
      </c>
      <c r="AE800" s="47">
        <v>0</v>
      </c>
      <c r="AF800" s="47">
        <v>0</v>
      </c>
      <c r="AG800" s="47">
        <v>0</v>
      </c>
      <c r="AH800" s="47">
        <v>0</v>
      </c>
      <c r="AI800" s="47">
        <v>0</v>
      </c>
      <c r="AJ800" s="47">
        <v>0</v>
      </c>
      <c r="AK800" s="47">
        <v>0</v>
      </c>
      <c r="AL800">
        <v>3</v>
      </c>
      <c r="AM800">
        <v>0</v>
      </c>
      <c r="AN800">
        <v>11</v>
      </c>
      <c r="AO800">
        <v>10</v>
      </c>
      <c r="AP800">
        <v>29</v>
      </c>
      <c r="AQ800">
        <v>3</v>
      </c>
      <c r="AR800">
        <v>20</v>
      </c>
      <c r="AS800">
        <v>1</v>
      </c>
      <c r="AT800" t="s">
        <v>22140</v>
      </c>
      <c r="AU800" t="s">
        <v>22141</v>
      </c>
      <c r="AV800">
        <v>0.3</v>
      </c>
      <c r="AW800" t="s">
        <v>65</v>
      </c>
      <c r="AX800">
        <v>49</v>
      </c>
      <c r="AY800">
        <v>4</v>
      </c>
      <c r="AZ800" t="s">
        <v>22142</v>
      </c>
      <c r="BA800">
        <v>3.322E-2</v>
      </c>
      <c r="BB800">
        <v>-1.1999999999999999E-3</v>
      </c>
      <c r="BC800">
        <v>7.7999999999999999E-4</v>
      </c>
      <c r="BD800">
        <v>-9.0000000000000006E-5</v>
      </c>
      <c r="BE800">
        <v>2.3380000000000001E-2</v>
      </c>
      <c r="BF800">
        <v>1</v>
      </c>
      <c r="BG800" t="s">
        <v>69</v>
      </c>
      <c r="BH800">
        <v>-0.49299999999999999</v>
      </c>
      <c r="BI800">
        <v>-0.99399999999999999</v>
      </c>
    </row>
    <row r="801" spans="3:61">
      <c r="C801">
        <v>0</v>
      </c>
      <c r="D801">
        <v>5</v>
      </c>
      <c r="E801">
        <v>4</v>
      </c>
      <c r="F801" t="s">
        <v>25021</v>
      </c>
      <c r="G801">
        <v>1408</v>
      </c>
      <c r="H801" t="s">
        <v>8815</v>
      </c>
      <c r="I801" t="s">
        <v>62</v>
      </c>
      <c r="J801">
        <v>1423244</v>
      </c>
      <c r="K801">
        <v>1424434</v>
      </c>
      <c r="L801" t="s">
        <v>8816</v>
      </c>
      <c r="M801">
        <v>397</v>
      </c>
      <c r="N801" t="s">
        <v>108</v>
      </c>
      <c r="O801">
        <v>44</v>
      </c>
      <c r="P801" t="str">
        <f>HYPERLINK("Gene1408-zp_tree_all.dnd", "Gene1408-tree")</f>
        <v>Gene1408-tree</v>
      </c>
      <c r="Q801">
        <v>8</v>
      </c>
      <c r="R801">
        <v>7</v>
      </c>
      <c r="S801">
        <v>8</v>
      </c>
      <c r="T801">
        <v>7</v>
      </c>
      <c r="U801">
        <v>0.46666999999999997</v>
      </c>
      <c r="V801" t="s">
        <v>136</v>
      </c>
      <c r="W801" t="s">
        <v>152</v>
      </c>
      <c r="X801" t="s">
        <v>62</v>
      </c>
      <c r="Y801" t="s">
        <v>62</v>
      </c>
      <c r="Z801">
        <v>4</v>
      </c>
      <c r="AA801">
        <v>9</v>
      </c>
      <c r="AB801">
        <v>10</v>
      </c>
      <c r="AC801">
        <v>0.47367999999999999</v>
      </c>
      <c r="AD801" s="47">
        <v>0</v>
      </c>
      <c r="AE801" s="47">
        <v>0</v>
      </c>
      <c r="AF801" s="47">
        <v>0</v>
      </c>
      <c r="AG801" s="47">
        <v>0</v>
      </c>
      <c r="AH801" s="47">
        <v>0</v>
      </c>
      <c r="AI801" s="47">
        <v>4</v>
      </c>
      <c r="AJ801" s="47">
        <v>4</v>
      </c>
      <c r="AK801" s="47">
        <v>8</v>
      </c>
      <c r="AL801">
        <v>7</v>
      </c>
      <c r="AM801">
        <v>0.53332999999999997</v>
      </c>
      <c r="AN801">
        <v>13</v>
      </c>
      <c r="AO801">
        <v>6</v>
      </c>
      <c r="AP801">
        <v>37</v>
      </c>
      <c r="AQ801">
        <v>15</v>
      </c>
      <c r="AR801">
        <v>6</v>
      </c>
      <c r="AS801">
        <v>4</v>
      </c>
      <c r="AT801" t="s">
        <v>8817</v>
      </c>
      <c r="AU801" t="s">
        <v>8818</v>
      </c>
      <c r="AV801">
        <v>0.30499999999999999</v>
      </c>
      <c r="AW801" t="s">
        <v>65</v>
      </c>
      <c r="AX801">
        <v>43</v>
      </c>
      <c r="AY801">
        <v>19</v>
      </c>
      <c r="AZ801" t="s">
        <v>8819</v>
      </c>
      <c r="BA801">
        <v>2.5229999999999999E-2</v>
      </c>
      <c r="BB801">
        <v>-1.16E-3</v>
      </c>
      <c r="BC801">
        <v>3.48E-3</v>
      </c>
      <c r="BD801">
        <v>-2.2000000000000001E-4</v>
      </c>
      <c r="BE801">
        <v>0.13797999999999999</v>
      </c>
      <c r="BF801">
        <v>1</v>
      </c>
      <c r="BG801" t="s">
        <v>69</v>
      </c>
      <c r="BH801">
        <v>-1.3420000000000001</v>
      </c>
      <c r="BI801">
        <v>-1.758</v>
      </c>
    </row>
    <row r="802" spans="3:61">
      <c r="C802">
        <v>0</v>
      </c>
      <c r="D802">
        <v>5</v>
      </c>
      <c r="E802">
        <v>0</v>
      </c>
      <c r="F802" t="s">
        <v>25021</v>
      </c>
      <c r="G802">
        <v>4040</v>
      </c>
      <c r="H802" t="s">
        <v>23789</v>
      </c>
      <c r="I802" t="s">
        <v>57</v>
      </c>
      <c r="J802">
        <v>4005752</v>
      </c>
      <c r="K802">
        <v>4006942</v>
      </c>
      <c r="L802" t="s">
        <v>23790</v>
      </c>
      <c r="M802">
        <v>397</v>
      </c>
      <c r="N802" t="s">
        <v>125</v>
      </c>
      <c r="O802">
        <v>48</v>
      </c>
      <c r="P802" t="str">
        <f>HYPERLINK("Gene4040-zp_tree_all.dnd", "Gene4040-tree")</f>
        <v>Gene4040-tree</v>
      </c>
      <c r="Q802">
        <v>14</v>
      </c>
      <c r="R802">
        <v>6</v>
      </c>
      <c r="S802">
        <v>14</v>
      </c>
      <c r="T802">
        <v>6</v>
      </c>
      <c r="U802">
        <v>0.3</v>
      </c>
      <c r="V802" t="s">
        <v>543</v>
      </c>
      <c r="W802" t="s">
        <v>90</v>
      </c>
      <c r="X802" t="s">
        <v>62</v>
      </c>
      <c r="Y802" t="s">
        <v>62</v>
      </c>
      <c r="Z802">
        <v>2</v>
      </c>
      <c r="AA802">
        <v>5</v>
      </c>
      <c r="AB802">
        <v>9</v>
      </c>
      <c r="AC802">
        <v>0.35714000000000001</v>
      </c>
      <c r="AD802" s="47">
        <v>0</v>
      </c>
      <c r="AE802" s="47">
        <v>0</v>
      </c>
      <c r="AF802" s="47">
        <v>0</v>
      </c>
      <c r="AG802" s="47">
        <v>0</v>
      </c>
      <c r="AH802" s="47">
        <v>0</v>
      </c>
      <c r="AI802" s="47">
        <v>0</v>
      </c>
      <c r="AJ802" s="47">
        <v>0</v>
      </c>
      <c r="AK802" s="47">
        <v>0</v>
      </c>
      <c r="AL802">
        <v>7</v>
      </c>
      <c r="AM802">
        <v>0</v>
      </c>
      <c r="AN802">
        <v>17</v>
      </c>
      <c r="AO802">
        <v>17</v>
      </c>
      <c r="AP802">
        <v>56</v>
      </c>
      <c r="AQ802">
        <v>6</v>
      </c>
      <c r="AR802">
        <v>85</v>
      </c>
      <c r="AS802">
        <v>9</v>
      </c>
      <c r="AT802" t="s">
        <v>23791</v>
      </c>
      <c r="AU802" t="s">
        <v>23792</v>
      </c>
      <c r="AV802">
        <v>2.9000000000000001E-2</v>
      </c>
      <c r="AW802" t="s">
        <v>65</v>
      </c>
      <c r="AX802">
        <v>141</v>
      </c>
      <c r="AY802">
        <v>15</v>
      </c>
      <c r="AZ802" t="s">
        <v>23793</v>
      </c>
      <c r="BA802">
        <v>9.8640000000000005E-2</v>
      </c>
      <c r="BB802">
        <v>-5.7999999999999996E-3</v>
      </c>
      <c r="BC802">
        <v>3.16E-3</v>
      </c>
      <c r="BD802">
        <v>-1.6000000000000001E-4</v>
      </c>
      <c r="BE802">
        <v>3.2059999999999998E-2</v>
      </c>
      <c r="BF802">
        <v>1</v>
      </c>
      <c r="BG802" t="s">
        <v>69</v>
      </c>
      <c r="BH802">
        <v>-1.012</v>
      </c>
      <c r="BI802">
        <v>-0.48699999999999999</v>
      </c>
    </row>
    <row r="803" spans="3:61">
      <c r="C803">
        <v>0</v>
      </c>
      <c r="D803">
        <v>9</v>
      </c>
      <c r="E803">
        <v>5</v>
      </c>
      <c r="F803" t="s">
        <v>25021</v>
      </c>
      <c r="G803">
        <v>3855</v>
      </c>
      <c r="H803" t="s">
        <v>22599</v>
      </c>
      <c r="I803" t="s">
        <v>57</v>
      </c>
      <c r="J803">
        <v>3816654</v>
      </c>
      <c r="K803">
        <v>3817847</v>
      </c>
      <c r="L803" t="s">
        <v>22600</v>
      </c>
      <c r="M803">
        <v>398</v>
      </c>
      <c r="N803" t="s">
        <v>108</v>
      </c>
      <c r="O803">
        <v>44</v>
      </c>
      <c r="P803" t="str">
        <f>HYPERLINK("Gene3855-zp_tree_all.dnd", "Gene3855-tree")</f>
        <v>Gene3855-tree</v>
      </c>
      <c r="Q803">
        <v>24</v>
      </c>
      <c r="R803">
        <v>9</v>
      </c>
      <c r="S803">
        <v>6</v>
      </c>
      <c r="T803">
        <v>9</v>
      </c>
      <c r="U803">
        <v>0.6</v>
      </c>
      <c r="V803" t="s">
        <v>2675</v>
      </c>
      <c r="W803" t="s">
        <v>135</v>
      </c>
      <c r="X803" t="s">
        <v>62</v>
      </c>
      <c r="Y803" t="s">
        <v>62</v>
      </c>
      <c r="Z803">
        <v>6</v>
      </c>
      <c r="AA803">
        <v>14</v>
      </c>
      <c r="AB803">
        <v>20</v>
      </c>
      <c r="AC803">
        <v>0.41176000000000001</v>
      </c>
      <c r="AD803" s="47">
        <v>0</v>
      </c>
      <c r="AE803" s="47">
        <v>0</v>
      </c>
      <c r="AF803" s="47">
        <v>0</v>
      </c>
      <c r="AG803" s="47">
        <v>0</v>
      </c>
      <c r="AH803" s="47">
        <v>0</v>
      </c>
      <c r="AI803" s="47">
        <v>0</v>
      </c>
      <c r="AJ803" s="47">
        <v>2</v>
      </c>
      <c r="AK803" s="47">
        <v>2</v>
      </c>
      <c r="AL803">
        <v>24</v>
      </c>
      <c r="AM803">
        <v>7.6920000000000002E-2</v>
      </c>
      <c r="AN803">
        <v>12</v>
      </c>
      <c r="AO803">
        <v>11</v>
      </c>
      <c r="AP803">
        <v>63</v>
      </c>
      <c r="AQ803">
        <v>28</v>
      </c>
      <c r="AR803">
        <v>25</v>
      </c>
      <c r="AS803">
        <v>9</v>
      </c>
      <c r="AT803" t="s">
        <v>22601</v>
      </c>
      <c r="AU803" t="s">
        <v>22602</v>
      </c>
      <c r="AV803">
        <v>0.105</v>
      </c>
      <c r="AW803" t="s">
        <v>65</v>
      </c>
      <c r="AX803">
        <v>88</v>
      </c>
      <c r="AY803">
        <v>37</v>
      </c>
      <c r="AZ803" t="s">
        <v>22603</v>
      </c>
      <c r="BA803">
        <v>5.806E-2</v>
      </c>
      <c r="BB803">
        <v>-3.4099999999999998E-3</v>
      </c>
      <c r="BC803">
        <v>6.6699999999999997E-3</v>
      </c>
      <c r="BD803">
        <v>-6.2E-4</v>
      </c>
      <c r="BE803">
        <v>0.11495</v>
      </c>
      <c r="BF803">
        <v>1</v>
      </c>
      <c r="BG803" t="s">
        <v>69</v>
      </c>
      <c r="BH803">
        <v>-1.046</v>
      </c>
      <c r="BI803">
        <v>6.0999999999999999E-2</v>
      </c>
    </row>
    <row r="804" spans="3:61">
      <c r="C804">
        <v>0</v>
      </c>
      <c r="D804">
        <v>4</v>
      </c>
      <c r="E804">
        <v>0</v>
      </c>
      <c r="F804" t="s">
        <v>25021</v>
      </c>
      <c r="G804">
        <v>1888</v>
      </c>
      <c r="H804" t="s">
        <v>11815</v>
      </c>
      <c r="I804" t="s">
        <v>62</v>
      </c>
      <c r="J804">
        <v>1948316</v>
      </c>
      <c r="K804">
        <v>1949512</v>
      </c>
      <c r="L804" t="s">
        <v>11816</v>
      </c>
      <c r="M804">
        <v>399</v>
      </c>
      <c r="N804" t="s">
        <v>108</v>
      </c>
      <c r="O804">
        <v>44</v>
      </c>
      <c r="P804" t="str">
        <f>HYPERLINK("Gene1888-zp_tree_all.dnd", "Gene1888-tree")</f>
        <v>Gene1888-tree</v>
      </c>
      <c r="Q804">
        <v>6</v>
      </c>
      <c r="R804">
        <v>8</v>
      </c>
      <c r="S804">
        <v>6</v>
      </c>
      <c r="T804">
        <v>8</v>
      </c>
      <c r="U804">
        <v>0.57142999999999999</v>
      </c>
      <c r="V804" t="s">
        <v>90</v>
      </c>
      <c r="W804" t="s">
        <v>136</v>
      </c>
      <c r="X804" t="s">
        <v>62</v>
      </c>
      <c r="Y804" t="s">
        <v>62</v>
      </c>
      <c r="Z804">
        <v>2</v>
      </c>
      <c r="AA804">
        <v>4</v>
      </c>
      <c r="AB804">
        <v>12</v>
      </c>
      <c r="AC804">
        <v>0.25</v>
      </c>
      <c r="AD804" s="47">
        <v>0</v>
      </c>
      <c r="AE804" s="47">
        <v>0</v>
      </c>
      <c r="AF804" s="47">
        <v>0</v>
      </c>
      <c r="AG804" s="47">
        <v>0</v>
      </c>
      <c r="AH804" s="47">
        <v>0</v>
      </c>
      <c r="AI804" s="47">
        <v>2</v>
      </c>
      <c r="AJ804" s="47">
        <v>0</v>
      </c>
      <c r="AK804" s="47">
        <v>2</v>
      </c>
      <c r="AL804">
        <v>11</v>
      </c>
      <c r="AM804">
        <v>0.15384999999999999</v>
      </c>
      <c r="AN804">
        <v>11</v>
      </c>
      <c r="AO804">
        <v>10</v>
      </c>
      <c r="AP804">
        <v>33</v>
      </c>
      <c r="AQ804">
        <v>10</v>
      </c>
      <c r="AR804">
        <v>17</v>
      </c>
      <c r="AS804">
        <v>6</v>
      </c>
      <c r="AT804" t="s">
        <v>11817</v>
      </c>
      <c r="AU804" t="s">
        <v>11818</v>
      </c>
      <c r="AV804">
        <v>0.12</v>
      </c>
      <c r="AW804" t="s">
        <v>65</v>
      </c>
      <c r="AX804">
        <v>50</v>
      </c>
      <c r="AY804">
        <v>16</v>
      </c>
      <c r="AZ804" t="s">
        <v>11819</v>
      </c>
      <c r="BA804">
        <v>3.576E-2</v>
      </c>
      <c r="BB804">
        <v>-1.6800000000000001E-3</v>
      </c>
      <c r="BC804">
        <v>3.4199999999999999E-3</v>
      </c>
      <c r="BD804">
        <v>-1.8000000000000001E-4</v>
      </c>
      <c r="BE804">
        <v>9.5619999999999997E-2</v>
      </c>
      <c r="BF804">
        <v>1</v>
      </c>
      <c r="BG804" t="s">
        <v>69</v>
      </c>
      <c r="BH804">
        <v>-0.84399999999999997</v>
      </c>
      <c r="BI804">
        <v>-0.16300000000000001</v>
      </c>
    </row>
    <row r="805" spans="3:61">
      <c r="C805">
        <v>0</v>
      </c>
      <c r="D805">
        <v>12</v>
      </c>
      <c r="E805">
        <v>1</v>
      </c>
      <c r="F805" t="s">
        <v>25021</v>
      </c>
      <c r="G805">
        <v>4002</v>
      </c>
      <c r="H805" t="s">
        <v>23536</v>
      </c>
      <c r="I805" t="s">
        <v>57</v>
      </c>
      <c r="J805">
        <v>3966745</v>
      </c>
      <c r="K805">
        <v>3967944</v>
      </c>
      <c r="L805" t="s">
        <v>2569</v>
      </c>
      <c r="M805">
        <v>400</v>
      </c>
      <c r="N805" t="s">
        <v>23537</v>
      </c>
      <c r="O805">
        <v>40</v>
      </c>
      <c r="P805" t="str">
        <f>HYPERLINK("Gene4002-zp_tree_all.dnd", "Gene4002-tree")</f>
        <v>Gene4002-tree</v>
      </c>
      <c r="Q805">
        <v>1</v>
      </c>
      <c r="R805">
        <v>11</v>
      </c>
      <c r="S805">
        <v>1</v>
      </c>
      <c r="T805">
        <v>11</v>
      </c>
      <c r="U805">
        <v>0.91666999999999998</v>
      </c>
      <c r="V805" t="s">
        <v>175</v>
      </c>
      <c r="W805" t="s">
        <v>73</v>
      </c>
      <c r="X805">
        <v>1144612630.289</v>
      </c>
      <c r="Y805" t="s">
        <v>267</v>
      </c>
      <c r="Z805">
        <v>5</v>
      </c>
      <c r="AA805">
        <v>13</v>
      </c>
      <c r="AB805">
        <v>23</v>
      </c>
      <c r="AC805">
        <v>0.36110999999999999</v>
      </c>
      <c r="AD805" s="47">
        <v>0</v>
      </c>
      <c r="AE805" s="47">
        <v>0</v>
      </c>
      <c r="AF805" s="47">
        <v>0</v>
      </c>
      <c r="AG805" s="47">
        <v>0</v>
      </c>
      <c r="AH805" s="47">
        <v>0</v>
      </c>
      <c r="AI805" s="47">
        <v>5</v>
      </c>
      <c r="AJ805" s="47">
        <v>1</v>
      </c>
      <c r="AK805" s="47">
        <v>6</v>
      </c>
      <c r="AL805">
        <v>20</v>
      </c>
      <c r="AM805">
        <v>0.23077</v>
      </c>
      <c r="AN805">
        <v>10</v>
      </c>
      <c r="AO805">
        <v>8</v>
      </c>
      <c r="AP805">
        <v>45</v>
      </c>
      <c r="AQ805">
        <v>20</v>
      </c>
      <c r="AR805">
        <v>26</v>
      </c>
      <c r="AS805">
        <v>16</v>
      </c>
      <c r="AT805" t="s">
        <v>23538</v>
      </c>
      <c r="AU805" t="s">
        <v>23539</v>
      </c>
      <c r="AV805">
        <v>0.625</v>
      </c>
      <c r="AW805" t="s">
        <v>65</v>
      </c>
      <c r="AX805">
        <v>71</v>
      </c>
      <c r="AY805">
        <v>36</v>
      </c>
      <c r="AZ805" t="s">
        <v>23540</v>
      </c>
      <c r="BA805">
        <v>5.0610000000000002E-2</v>
      </c>
      <c r="BB805">
        <v>-2.6900000000000001E-3</v>
      </c>
      <c r="BC805">
        <v>9.11E-3</v>
      </c>
      <c r="BD805">
        <v>-4.0999999999999999E-4</v>
      </c>
      <c r="BE805">
        <v>0.18004000000000001</v>
      </c>
      <c r="BF805">
        <v>1</v>
      </c>
      <c r="BG805" t="s">
        <v>69</v>
      </c>
      <c r="BH805">
        <v>-0.92900000000000005</v>
      </c>
      <c r="BI805">
        <v>-2.08</v>
      </c>
    </row>
    <row r="806" spans="3:61">
      <c r="C806">
        <v>0</v>
      </c>
      <c r="D806">
        <v>13</v>
      </c>
      <c r="E806">
        <v>4</v>
      </c>
      <c r="F806" t="s">
        <v>25021</v>
      </c>
      <c r="G806">
        <v>2765</v>
      </c>
      <c r="H806" t="s">
        <v>15864</v>
      </c>
      <c r="I806" t="s">
        <v>57</v>
      </c>
      <c r="J806">
        <v>2716973</v>
      </c>
      <c r="K806">
        <v>2718172</v>
      </c>
      <c r="L806" t="s">
        <v>15865</v>
      </c>
      <c r="M806">
        <v>400</v>
      </c>
      <c r="N806" t="s">
        <v>6390</v>
      </c>
      <c r="O806">
        <v>45</v>
      </c>
      <c r="P806" t="str">
        <f>HYPERLINK("Gene2765-zp_tree_all.dnd", "Gene2765-tree")</f>
        <v>Gene2765-tree</v>
      </c>
      <c r="Q806">
        <v>4</v>
      </c>
      <c r="R806">
        <v>12</v>
      </c>
      <c r="S806">
        <v>4</v>
      </c>
      <c r="T806">
        <v>12</v>
      </c>
      <c r="U806">
        <v>0.75</v>
      </c>
      <c r="V806" t="s">
        <v>61</v>
      </c>
      <c r="W806" t="s">
        <v>109</v>
      </c>
      <c r="X806" t="s">
        <v>62</v>
      </c>
      <c r="Y806" t="s">
        <v>62</v>
      </c>
      <c r="Z806">
        <v>7</v>
      </c>
      <c r="AA806">
        <v>17</v>
      </c>
      <c r="AB806">
        <v>26</v>
      </c>
      <c r="AC806">
        <v>0.39534999999999998</v>
      </c>
      <c r="AD806" s="47">
        <v>0</v>
      </c>
      <c r="AE806" s="47">
        <v>0</v>
      </c>
      <c r="AF806" s="47">
        <v>0</v>
      </c>
      <c r="AG806" s="47">
        <v>0</v>
      </c>
      <c r="AH806" s="47">
        <v>0</v>
      </c>
      <c r="AI806" s="47">
        <v>9</v>
      </c>
      <c r="AJ806" s="47">
        <v>4</v>
      </c>
      <c r="AK806" s="47">
        <v>13</v>
      </c>
      <c r="AL806">
        <v>23</v>
      </c>
      <c r="AM806">
        <v>0.36110999999999999</v>
      </c>
      <c r="AN806">
        <v>16</v>
      </c>
      <c r="AO806">
        <v>9</v>
      </c>
      <c r="AP806">
        <v>84</v>
      </c>
      <c r="AQ806">
        <v>38</v>
      </c>
      <c r="AR806">
        <v>20</v>
      </c>
      <c r="AS806">
        <v>7</v>
      </c>
      <c r="AT806" t="s">
        <v>15866</v>
      </c>
      <c r="AU806" t="s">
        <v>15867</v>
      </c>
      <c r="AV806">
        <v>0.1</v>
      </c>
      <c r="AW806" t="s">
        <v>65</v>
      </c>
      <c r="AX806">
        <v>104</v>
      </c>
      <c r="AY806">
        <v>45</v>
      </c>
      <c r="AZ806" t="s">
        <v>15868</v>
      </c>
      <c r="BA806">
        <v>5.7450000000000001E-2</v>
      </c>
      <c r="BB806">
        <v>-4.8199999999999996E-3</v>
      </c>
      <c r="BC806">
        <v>7.0800000000000004E-3</v>
      </c>
      <c r="BD806">
        <v>-4.4999999999999999E-4</v>
      </c>
      <c r="BE806">
        <v>0.12332</v>
      </c>
      <c r="BF806">
        <v>1</v>
      </c>
      <c r="BG806" t="s">
        <v>69</v>
      </c>
      <c r="BH806">
        <v>-1.595</v>
      </c>
      <c r="BI806">
        <v>-2.694</v>
      </c>
    </row>
    <row r="807" spans="3:61">
      <c r="C807">
        <v>0</v>
      </c>
      <c r="D807">
        <v>15</v>
      </c>
      <c r="E807">
        <v>0</v>
      </c>
      <c r="F807" t="s">
        <v>25021</v>
      </c>
      <c r="G807">
        <v>1093</v>
      </c>
      <c r="H807" t="s">
        <v>6872</v>
      </c>
      <c r="I807" t="s">
        <v>62</v>
      </c>
      <c r="J807">
        <v>1132182</v>
      </c>
      <c r="K807">
        <v>1133384</v>
      </c>
      <c r="L807" t="s">
        <v>6873</v>
      </c>
      <c r="M807">
        <v>401</v>
      </c>
      <c r="N807" t="s">
        <v>2513</v>
      </c>
      <c r="O807">
        <v>43</v>
      </c>
      <c r="P807" t="str">
        <f>HYPERLINK("Gene1093-zp_tree_all.dnd", "Gene1093-tree")</f>
        <v>Gene1093-tree</v>
      </c>
      <c r="Q807">
        <v>1</v>
      </c>
      <c r="R807">
        <v>13</v>
      </c>
      <c r="S807">
        <v>1</v>
      </c>
      <c r="T807">
        <v>13</v>
      </c>
      <c r="U807">
        <v>0.92857000000000001</v>
      </c>
      <c r="V807" t="s">
        <v>175</v>
      </c>
      <c r="W807" t="s">
        <v>507</v>
      </c>
      <c r="X807" t="s">
        <v>62</v>
      </c>
      <c r="Y807" t="s">
        <v>62</v>
      </c>
      <c r="Z807">
        <v>7</v>
      </c>
      <c r="AA807">
        <v>15</v>
      </c>
      <c r="AB807">
        <v>24</v>
      </c>
      <c r="AC807">
        <v>0.38462000000000002</v>
      </c>
      <c r="AD807" s="47">
        <v>0</v>
      </c>
      <c r="AE807" s="47">
        <v>0</v>
      </c>
      <c r="AF807" s="47">
        <v>0</v>
      </c>
      <c r="AG807" s="47">
        <v>0</v>
      </c>
      <c r="AH807" s="47">
        <v>0</v>
      </c>
      <c r="AI807" s="47">
        <v>6</v>
      </c>
      <c r="AJ807" s="47">
        <v>0</v>
      </c>
      <c r="AK807" s="47">
        <v>6</v>
      </c>
      <c r="AL807">
        <v>20</v>
      </c>
      <c r="AM807">
        <v>0.23077</v>
      </c>
      <c r="AN807">
        <v>13</v>
      </c>
      <c r="AO807">
        <v>9</v>
      </c>
      <c r="AP807">
        <v>44</v>
      </c>
      <c r="AQ807">
        <v>24</v>
      </c>
      <c r="AR807">
        <v>33</v>
      </c>
      <c r="AS807">
        <v>17</v>
      </c>
      <c r="AT807" t="s">
        <v>6874</v>
      </c>
      <c r="AU807" t="s">
        <v>6875</v>
      </c>
      <c r="AV807">
        <v>9.4E-2</v>
      </c>
      <c r="AW807" t="s">
        <v>65</v>
      </c>
      <c r="AX807">
        <v>77</v>
      </c>
      <c r="AY807">
        <v>41</v>
      </c>
      <c r="AZ807" t="s">
        <v>6876</v>
      </c>
      <c r="BA807">
        <v>4.5560000000000003E-2</v>
      </c>
      <c r="BB807">
        <v>-1.9599999999999999E-3</v>
      </c>
      <c r="BC807">
        <v>9.7000000000000003E-3</v>
      </c>
      <c r="BD807">
        <v>-3.6999999999999999E-4</v>
      </c>
      <c r="BE807">
        <v>0.21296000000000001</v>
      </c>
      <c r="BF807">
        <v>1</v>
      </c>
      <c r="BG807" t="s">
        <v>69</v>
      </c>
      <c r="BH807">
        <v>-0.127</v>
      </c>
      <c r="BI807">
        <v>-0.193</v>
      </c>
    </row>
    <row r="808" spans="3:61">
      <c r="C808">
        <v>0</v>
      </c>
      <c r="D808">
        <v>9</v>
      </c>
      <c r="E808">
        <v>0</v>
      </c>
      <c r="F808" t="s">
        <v>25021</v>
      </c>
      <c r="G808">
        <v>1087</v>
      </c>
      <c r="H808" t="s">
        <v>6829</v>
      </c>
      <c r="I808" t="s">
        <v>62</v>
      </c>
      <c r="J808">
        <v>1125126</v>
      </c>
      <c r="K808">
        <v>1126328</v>
      </c>
      <c r="L808" t="s">
        <v>6830</v>
      </c>
      <c r="M808">
        <v>401</v>
      </c>
      <c r="N808" t="s">
        <v>108</v>
      </c>
      <c r="O808">
        <v>44</v>
      </c>
      <c r="P808" t="str">
        <f>HYPERLINK("Gene1087-zp_tree_all.dnd", "Gene1087-tree")</f>
        <v>Gene1087-tree</v>
      </c>
      <c r="Q808">
        <v>7</v>
      </c>
      <c r="R808">
        <v>7</v>
      </c>
      <c r="S808">
        <v>7</v>
      </c>
      <c r="T808">
        <v>7</v>
      </c>
      <c r="U808">
        <v>0.5</v>
      </c>
      <c r="V808" t="s">
        <v>152</v>
      </c>
      <c r="W808" t="s">
        <v>152</v>
      </c>
      <c r="X808" t="s">
        <v>62</v>
      </c>
      <c r="Y808" t="s">
        <v>62</v>
      </c>
      <c r="Z808">
        <v>4</v>
      </c>
      <c r="AA808">
        <v>9</v>
      </c>
      <c r="AB808">
        <v>9</v>
      </c>
      <c r="AC808">
        <v>0.5</v>
      </c>
      <c r="AD808" s="47">
        <v>0</v>
      </c>
      <c r="AE808" s="47">
        <v>0</v>
      </c>
      <c r="AF808" s="47">
        <v>0</v>
      </c>
      <c r="AG808" s="47">
        <v>0</v>
      </c>
      <c r="AH808" s="47">
        <v>0</v>
      </c>
      <c r="AI808" s="47">
        <v>2</v>
      </c>
      <c r="AJ808" s="47">
        <v>0</v>
      </c>
      <c r="AK808" s="47">
        <v>2</v>
      </c>
      <c r="AL808">
        <v>10</v>
      </c>
      <c r="AM808">
        <v>0.16667000000000001</v>
      </c>
      <c r="AN808">
        <v>13</v>
      </c>
      <c r="AO808">
        <v>11</v>
      </c>
      <c r="AP808">
        <v>36</v>
      </c>
      <c r="AQ808">
        <v>11</v>
      </c>
      <c r="AR808">
        <v>35</v>
      </c>
      <c r="AS808">
        <v>7</v>
      </c>
      <c r="AT808" t="s">
        <v>6831</v>
      </c>
      <c r="AU808" t="s">
        <v>6832</v>
      </c>
      <c r="AV808">
        <v>0.52700000000000002</v>
      </c>
      <c r="AW808" t="s">
        <v>65</v>
      </c>
      <c r="AX808">
        <v>71</v>
      </c>
      <c r="AY808">
        <v>18</v>
      </c>
      <c r="AZ808" t="s">
        <v>6833</v>
      </c>
      <c r="BA808">
        <v>4.7149999999999997E-2</v>
      </c>
      <c r="BB808">
        <v>-1.5299999999999999E-3</v>
      </c>
      <c r="BC808">
        <v>3.8400000000000001E-3</v>
      </c>
      <c r="BD808">
        <v>-2.0000000000000001E-4</v>
      </c>
      <c r="BE808">
        <v>8.1519999999999995E-2</v>
      </c>
      <c r="BF808">
        <v>1</v>
      </c>
      <c r="BG808" t="s">
        <v>69</v>
      </c>
      <c r="BH808">
        <v>0.51200000000000001</v>
      </c>
      <c r="BI808">
        <v>-0.16300000000000001</v>
      </c>
    </row>
    <row r="809" spans="3:61">
      <c r="C809">
        <v>0</v>
      </c>
      <c r="D809">
        <v>0</v>
      </c>
      <c r="E809">
        <v>2</v>
      </c>
      <c r="F809" t="s">
        <v>25021</v>
      </c>
      <c r="G809">
        <v>4194</v>
      </c>
      <c r="H809" t="s">
        <v>24694</v>
      </c>
      <c r="I809" t="s">
        <v>57</v>
      </c>
      <c r="J809">
        <v>4159790</v>
      </c>
      <c r="K809">
        <v>4160995</v>
      </c>
      <c r="L809" t="s">
        <v>24695</v>
      </c>
      <c r="M809">
        <v>402</v>
      </c>
      <c r="N809" t="s">
        <v>108</v>
      </c>
      <c r="O809">
        <v>44</v>
      </c>
      <c r="P809" t="str">
        <f>HYPERLINK("Gene4194-zp_tree_all.dnd", "Gene4194-tree")</f>
        <v>Gene4194-tree</v>
      </c>
      <c r="Q809">
        <v>25</v>
      </c>
      <c r="R809">
        <v>9</v>
      </c>
      <c r="S809">
        <v>7</v>
      </c>
      <c r="T809">
        <v>9</v>
      </c>
      <c r="U809">
        <v>0.5625</v>
      </c>
      <c r="V809" t="s">
        <v>2683</v>
      </c>
      <c r="W809" t="s">
        <v>135</v>
      </c>
      <c r="X809" t="s">
        <v>62</v>
      </c>
      <c r="Y809" t="s">
        <v>62</v>
      </c>
      <c r="Z809">
        <v>1</v>
      </c>
      <c r="AA809">
        <v>2</v>
      </c>
      <c r="AB809">
        <v>15</v>
      </c>
      <c r="AC809">
        <v>0.11765</v>
      </c>
      <c r="AD809" s="47">
        <v>0</v>
      </c>
      <c r="AE809" s="47">
        <v>0</v>
      </c>
      <c r="AF809" s="47">
        <v>0</v>
      </c>
      <c r="AG809" s="47">
        <v>0</v>
      </c>
      <c r="AH809" s="47">
        <v>0</v>
      </c>
      <c r="AI809" s="47">
        <v>0</v>
      </c>
      <c r="AJ809" s="47">
        <v>0</v>
      </c>
      <c r="AK809" s="47">
        <v>0</v>
      </c>
      <c r="AL809">
        <v>14</v>
      </c>
      <c r="AM809">
        <v>0</v>
      </c>
      <c r="AN809">
        <v>13</v>
      </c>
      <c r="AO809">
        <v>12</v>
      </c>
      <c r="AP809">
        <v>43</v>
      </c>
      <c r="AQ809">
        <v>12</v>
      </c>
      <c r="AR809">
        <v>37</v>
      </c>
      <c r="AS809">
        <v>5</v>
      </c>
      <c r="AT809" t="s">
        <v>24696</v>
      </c>
      <c r="AU809" t="s">
        <v>24697</v>
      </c>
      <c r="AV809">
        <v>0.58499999999999996</v>
      </c>
      <c r="AW809" t="s">
        <v>65</v>
      </c>
      <c r="AX809">
        <v>80</v>
      </c>
      <c r="AY809">
        <v>17</v>
      </c>
      <c r="AZ809" t="s">
        <v>24698</v>
      </c>
      <c r="BA809">
        <v>4.6929999999999999E-2</v>
      </c>
      <c r="BB809">
        <v>-1.6000000000000001E-3</v>
      </c>
      <c r="BC809">
        <v>3.3600000000000001E-3</v>
      </c>
      <c r="BD809">
        <v>-1.7000000000000001E-4</v>
      </c>
      <c r="BE809">
        <v>7.1559999999999999E-2</v>
      </c>
      <c r="BF809">
        <v>1</v>
      </c>
      <c r="BG809" t="s">
        <v>69</v>
      </c>
      <c r="BH809">
        <v>-0.13800000000000001</v>
      </c>
      <c r="BI809">
        <v>-0.42599999999999999</v>
      </c>
    </row>
    <row r="810" spans="3:61">
      <c r="C810">
        <v>0</v>
      </c>
      <c r="D810">
        <v>12</v>
      </c>
      <c r="E810">
        <v>0</v>
      </c>
      <c r="F810" t="s">
        <v>25021</v>
      </c>
      <c r="G810">
        <v>3538</v>
      </c>
      <c r="H810" t="s">
        <v>20732</v>
      </c>
      <c r="I810" t="s">
        <v>57</v>
      </c>
      <c r="J810">
        <v>3500386</v>
      </c>
      <c r="K810">
        <v>3501594</v>
      </c>
      <c r="L810" t="s">
        <v>20733</v>
      </c>
      <c r="M810">
        <v>403</v>
      </c>
      <c r="N810" t="s">
        <v>5451</v>
      </c>
      <c r="O810">
        <v>43</v>
      </c>
      <c r="P810" t="str">
        <f>HYPERLINK("Gene3538-zp_tree_all.dnd", "Gene3538-tree")</f>
        <v>Gene3538-tree</v>
      </c>
      <c r="Q810">
        <v>6</v>
      </c>
      <c r="R810">
        <v>9</v>
      </c>
      <c r="S810">
        <v>6</v>
      </c>
      <c r="T810">
        <v>9</v>
      </c>
      <c r="U810">
        <v>0.6</v>
      </c>
      <c r="V810" t="s">
        <v>90</v>
      </c>
      <c r="W810" t="s">
        <v>135</v>
      </c>
      <c r="X810" t="s">
        <v>62</v>
      </c>
      <c r="Y810" t="s">
        <v>62</v>
      </c>
      <c r="Z810">
        <v>6</v>
      </c>
      <c r="AA810">
        <v>12</v>
      </c>
      <c r="AB810">
        <v>23</v>
      </c>
      <c r="AC810">
        <v>0.34286</v>
      </c>
      <c r="AD810" s="47">
        <v>0</v>
      </c>
      <c r="AE810" s="47">
        <v>0</v>
      </c>
      <c r="AF810" s="47">
        <v>0</v>
      </c>
      <c r="AG810" s="47">
        <v>3</v>
      </c>
      <c r="AH810" s="47">
        <v>0</v>
      </c>
      <c r="AI810" s="47">
        <v>0</v>
      </c>
      <c r="AJ810" s="47">
        <v>0</v>
      </c>
      <c r="AK810" s="47">
        <v>0</v>
      </c>
      <c r="AL810">
        <v>26</v>
      </c>
      <c r="AM810">
        <v>0</v>
      </c>
      <c r="AN810">
        <v>12</v>
      </c>
      <c r="AO810">
        <v>10</v>
      </c>
      <c r="AP810">
        <v>51</v>
      </c>
      <c r="AQ810">
        <v>20</v>
      </c>
      <c r="AR810">
        <v>32</v>
      </c>
      <c r="AS810">
        <v>17</v>
      </c>
      <c r="AT810" t="s">
        <v>20734</v>
      </c>
      <c r="AU810" t="s">
        <v>20735</v>
      </c>
      <c r="AV810">
        <v>0.24399999999999999</v>
      </c>
      <c r="AW810" t="s">
        <v>65</v>
      </c>
      <c r="AX810">
        <v>83</v>
      </c>
      <c r="AY810">
        <v>37</v>
      </c>
      <c r="AZ810" t="s">
        <v>20736</v>
      </c>
      <c r="BA810">
        <v>5.3359999999999998E-2</v>
      </c>
      <c r="BB810">
        <v>-2.3700000000000001E-3</v>
      </c>
      <c r="BC810">
        <v>7.5399999999999998E-3</v>
      </c>
      <c r="BD810">
        <v>-4.2000000000000002E-4</v>
      </c>
      <c r="BE810">
        <v>0.14138999999999999</v>
      </c>
      <c r="BF810">
        <v>1</v>
      </c>
      <c r="BG810" t="s">
        <v>69</v>
      </c>
      <c r="BH810">
        <v>-1.091</v>
      </c>
      <c r="BI810">
        <v>-1.9970000000000001</v>
      </c>
    </row>
    <row r="811" spans="3:61">
      <c r="C811">
        <v>0</v>
      </c>
      <c r="D811">
        <v>0</v>
      </c>
      <c r="E811">
        <v>0</v>
      </c>
      <c r="F811" t="s">
        <v>25021</v>
      </c>
      <c r="G811">
        <v>3636</v>
      </c>
      <c r="H811" t="s">
        <v>21353</v>
      </c>
      <c r="I811" t="s">
        <v>57</v>
      </c>
      <c r="J811">
        <v>3605523</v>
      </c>
      <c r="K811">
        <v>3606731</v>
      </c>
      <c r="L811" t="s">
        <v>21354</v>
      </c>
      <c r="M811">
        <v>403</v>
      </c>
      <c r="N811" t="s">
        <v>21340</v>
      </c>
      <c r="O811">
        <v>26</v>
      </c>
      <c r="P811" t="str">
        <f>HYPERLINK("Gene3636-zp_tree_all.dnd", "Gene3636-tree")</f>
        <v>Gene3636-tree</v>
      </c>
      <c r="Q811">
        <v>22</v>
      </c>
      <c r="R811">
        <v>2</v>
      </c>
      <c r="S811">
        <v>3</v>
      </c>
      <c r="T811">
        <v>2</v>
      </c>
      <c r="U811">
        <v>0.4</v>
      </c>
      <c r="V811" t="s">
        <v>1005</v>
      </c>
      <c r="W811" t="s">
        <v>81</v>
      </c>
      <c r="X811" t="s">
        <v>62</v>
      </c>
      <c r="Y811" t="s">
        <v>62</v>
      </c>
      <c r="Z811">
        <v>0</v>
      </c>
      <c r="AA811">
        <v>0</v>
      </c>
      <c r="AB811">
        <v>3</v>
      </c>
      <c r="AC811">
        <v>0</v>
      </c>
      <c r="AD811" s="47">
        <v>0</v>
      </c>
      <c r="AE811" s="47">
        <v>0</v>
      </c>
      <c r="AF811" s="47">
        <v>0</v>
      </c>
      <c r="AG811" s="47">
        <v>1</v>
      </c>
      <c r="AH811" s="47">
        <v>0</v>
      </c>
      <c r="AI811" s="47">
        <v>0</v>
      </c>
      <c r="AJ811" s="47">
        <v>0</v>
      </c>
      <c r="AK811" s="47">
        <v>0</v>
      </c>
      <c r="AL811">
        <v>2</v>
      </c>
      <c r="AM811">
        <v>0</v>
      </c>
      <c r="AN811">
        <v>3</v>
      </c>
      <c r="AO811">
        <v>2</v>
      </c>
      <c r="AP811">
        <v>2</v>
      </c>
      <c r="AQ811">
        <v>2</v>
      </c>
      <c r="AR811">
        <v>5</v>
      </c>
      <c r="AS811">
        <v>1</v>
      </c>
      <c r="AT811" t="s">
        <v>21355</v>
      </c>
      <c r="AU811" t="s">
        <v>21356</v>
      </c>
      <c r="AV811">
        <v>1.3440000000000001</v>
      </c>
      <c r="AW811" t="s">
        <v>65</v>
      </c>
      <c r="AX811">
        <v>7</v>
      </c>
      <c r="AY811">
        <v>3</v>
      </c>
      <c r="AZ811" t="s">
        <v>21357</v>
      </c>
      <c r="BA811">
        <v>1.1429999999999999E-2</v>
      </c>
      <c r="BB811">
        <v>-1.74E-3</v>
      </c>
      <c r="BC811">
        <v>1.5399999999999999E-3</v>
      </c>
      <c r="BD811">
        <v>-2.7999999999999998E-4</v>
      </c>
      <c r="BE811">
        <v>0.13492999999999999</v>
      </c>
      <c r="BF811">
        <v>0.96699999999999997</v>
      </c>
      <c r="BG811" t="s">
        <v>69</v>
      </c>
      <c r="BH811">
        <v>-0.58099999999999996</v>
      </c>
      <c r="BI811">
        <v>0.81200000000000006</v>
      </c>
    </row>
    <row r="812" spans="3:61">
      <c r="C812">
        <v>0</v>
      </c>
      <c r="D812">
        <v>2</v>
      </c>
      <c r="E812">
        <v>1</v>
      </c>
      <c r="F812" t="s">
        <v>25021</v>
      </c>
      <c r="G812">
        <v>3785</v>
      </c>
      <c r="H812" t="s">
        <v>22176</v>
      </c>
      <c r="I812" t="s">
        <v>57</v>
      </c>
      <c r="J812">
        <v>3756790</v>
      </c>
      <c r="K812">
        <v>3758001</v>
      </c>
      <c r="L812" t="s">
        <v>22177</v>
      </c>
      <c r="M812">
        <v>404</v>
      </c>
      <c r="N812" t="s">
        <v>108</v>
      </c>
      <c r="O812">
        <v>44</v>
      </c>
      <c r="P812" t="str">
        <f>HYPERLINK("Gene3785-zp_tree_all.dnd", "Gene3785-tree")</f>
        <v>Gene3785-tree</v>
      </c>
      <c r="Q812">
        <v>10</v>
      </c>
      <c r="R812">
        <v>5</v>
      </c>
      <c r="S812">
        <v>10</v>
      </c>
      <c r="T812">
        <v>5</v>
      </c>
      <c r="U812">
        <v>0.33333000000000002</v>
      </c>
      <c r="V812" t="s">
        <v>117</v>
      </c>
      <c r="W812" t="s">
        <v>199</v>
      </c>
      <c r="X812" t="s">
        <v>62</v>
      </c>
      <c r="Y812" t="s">
        <v>62</v>
      </c>
      <c r="Z812">
        <v>1</v>
      </c>
      <c r="AA812">
        <v>3</v>
      </c>
      <c r="AB812">
        <v>5</v>
      </c>
      <c r="AC812">
        <v>0.375</v>
      </c>
      <c r="AD812" s="47">
        <v>0</v>
      </c>
      <c r="AE812" s="47">
        <v>0</v>
      </c>
      <c r="AF812" s="47">
        <v>0</v>
      </c>
      <c r="AG812" s="47">
        <v>1</v>
      </c>
      <c r="AH812" s="47">
        <v>0</v>
      </c>
      <c r="AI812" s="47">
        <v>0</v>
      </c>
      <c r="AJ812" s="47">
        <v>2</v>
      </c>
      <c r="AK812" s="47">
        <v>2</v>
      </c>
      <c r="AL812">
        <v>5</v>
      </c>
      <c r="AM812">
        <v>0.28571000000000002</v>
      </c>
      <c r="AN812">
        <v>12</v>
      </c>
      <c r="AO812">
        <v>10</v>
      </c>
      <c r="AP812">
        <v>27</v>
      </c>
      <c r="AQ812">
        <v>7</v>
      </c>
      <c r="AR812">
        <v>28</v>
      </c>
      <c r="AS812">
        <v>1</v>
      </c>
      <c r="AT812" t="s">
        <v>22178</v>
      </c>
      <c r="AU812" t="s">
        <v>22179</v>
      </c>
      <c r="AV812">
        <v>1.1659999999999999</v>
      </c>
      <c r="AW812" t="s">
        <v>65</v>
      </c>
      <c r="AX812">
        <v>55</v>
      </c>
      <c r="AY812">
        <v>8</v>
      </c>
      <c r="AZ812" t="s">
        <v>22180</v>
      </c>
      <c r="BA812">
        <v>3.5180000000000003E-2</v>
      </c>
      <c r="BB812">
        <v>-1.5200000000000001E-3</v>
      </c>
      <c r="BC812">
        <v>1.4599999999999999E-3</v>
      </c>
      <c r="BD812">
        <v>-1E-4</v>
      </c>
      <c r="BE812">
        <v>4.1430000000000002E-2</v>
      </c>
      <c r="BF812">
        <v>1</v>
      </c>
      <c r="BG812" t="s">
        <v>69</v>
      </c>
      <c r="BH812">
        <v>0.38</v>
      </c>
      <c r="BI812">
        <v>-0.222</v>
      </c>
    </row>
    <row r="813" spans="3:61">
      <c r="C813">
        <v>0</v>
      </c>
      <c r="D813">
        <v>0</v>
      </c>
      <c r="E813">
        <v>0</v>
      </c>
      <c r="F813" t="s">
        <v>25021</v>
      </c>
      <c r="G813">
        <v>2750</v>
      </c>
      <c r="H813" t="s">
        <v>15791</v>
      </c>
      <c r="I813" t="s">
        <v>57</v>
      </c>
      <c r="J813">
        <v>2705398</v>
      </c>
      <c r="K813">
        <v>2706612</v>
      </c>
      <c r="L813" t="s">
        <v>3095</v>
      </c>
      <c r="M813">
        <v>405</v>
      </c>
      <c r="N813" t="s">
        <v>15778</v>
      </c>
      <c r="O813">
        <v>29</v>
      </c>
      <c r="P813" t="str">
        <f>HYPERLINK("Gene2750-zp_tree_all.dnd", "Gene2750-tree")</f>
        <v>Gene2750-tree</v>
      </c>
      <c r="Q813">
        <v>0</v>
      </c>
      <c r="R813">
        <v>5</v>
      </c>
      <c r="S813">
        <v>0</v>
      </c>
      <c r="T813">
        <v>5</v>
      </c>
      <c r="U813">
        <v>1</v>
      </c>
      <c r="V813" t="s">
        <v>62</v>
      </c>
      <c r="W813" t="s">
        <v>199</v>
      </c>
      <c r="X813" t="s">
        <v>62</v>
      </c>
      <c r="Y813" t="s">
        <v>62</v>
      </c>
      <c r="Z813">
        <v>0</v>
      </c>
      <c r="AA813">
        <v>0</v>
      </c>
      <c r="AB813">
        <v>11</v>
      </c>
      <c r="AC813">
        <v>0</v>
      </c>
      <c r="AD813" s="47">
        <v>0</v>
      </c>
      <c r="AE813" s="47">
        <v>0</v>
      </c>
      <c r="AF813" s="47">
        <v>0</v>
      </c>
      <c r="AG813" s="47">
        <v>0</v>
      </c>
      <c r="AH813" s="47">
        <v>0</v>
      </c>
      <c r="AI813" s="47">
        <v>0</v>
      </c>
      <c r="AJ813" s="47">
        <v>0</v>
      </c>
      <c r="AK813" s="47">
        <v>0</v>
      </c>
      <c r="AL813">
        <v>10</v>
      </c>
      <c r="AM813">
        <v>0</v>
      </c>
      <c r="AN813">
        <v>4</v>
      </c>
      <c r="AO813">
        <v>2</v>
      </c>
      <c r="AP813">
        <v>7</v>
      </c>
      <c r="AQ813">
        <v>10</v>
      </c>
      <c r="AR813">
        <v>1</v>
      </c>
      <c r="AS813">
        <v>1</v>
      </c>
      <c r="AT813" t="s">
        <v>15792</v>
      </c>
      <c r="AU813" t="s">
        <v>15793</v>
      </c>
      <c r="AV813">
        <v>0.25700000000000001</v>
      </c>
      <c r="AW813" t="s">
        <v>65</v>
      </c>
      <c r="AX813">
        <v>8</v>
      </c>
      <c r="AY813">
        <v>11</v>
      </c>
      <c r="AZ813" t="s">
        <v>15794</v>
      </c>
      <c r="BA813">
        <v>1.247E-2</v>
      </c>
      <c r="BB813">
        <v>-2.7599999999999999E-3</v>
      </c>
      <c r="BC813">
        <v>4.9199999999999999E-3</v>
      </c>
      <c r="BD813">
        <v>-5.2999999999999998E-4</v>
      </c>
      <c r="BE813">
        <v>0.39434999999999998</v>
      </c>
      <c r="BF813">
        <v>0.94899999999999995</v>
      </c>
      <c r="BG813" t="s">
        <v>635</v>
      </c>
      <c r="BH813">
        <v>-1.276</v>
      </c>
      <c r="BI813">
        <v>-1.603</v>
      </c>
    </row>
    <row r="814" spans="3:61">
      <c r="C814">
        <v>0</v>
      </c>
      <c r="D814">
        <v>7</v>
      </c>
      <c r="E814">
        <v>1</v>
      </c>
      <c r="F814" t="s">
        <v>25021</v>
      </c>
      <c r="G814">
        <v>1784</v>
      </c>
      <c r="H814" t="s">
        <v>11185</v>
      </c>
      <c r="I814" t="s">
        <v>62</v>
      </c>
      <c r="J814">
        <v>1858569</v>
      </c>
      <c r="K814">
        <v>1859783</v>
      </c>
      <c r="L814" t="s">
        <v>11186</v>
      </c>
      <c r="M814">
        <v>405</v>
      </c>
      <c r="N814" t="s">
        <v>11187</v>
      </c>
      <c r="O814">
        <v>35</v>
      </c>
      <c r="P814" t="str">
        <f>HYPERLINK("Gene1784-zp_tree_all.dnd", "Gene1784-tree")</f>
        <v>Gene1784-tree</v>
      </c>
      <c r="Q814">
        <v>2</v>
      </c>
      <c r="R814">
        <v>10</v>
      </c>
      <c r="S814">
        <v>2</v>
      </c>
      <c r="T814">
        <v>10</v>
      </c>
      <c r="U814">
        <v>0.83333000000000002</v>
      </c>
      <c r="V814" t="s">
        <v>81</v>
      </c>
      <c r="W814" t="s">
        <v>117</v>
      </c>
      <c r="X814" t="s">
        <v>62</v>
      </c>
      <c r="Y814" t="s">
        <v>62</v>
      </c>
      <c r="Z814">
        <v>3</v>
      </c>
      <c r="AA814">
        <v>8</v>
      </c>
      <c r="AB814">
        <v>15</v>
      </c>
      <c r="AC814">
        <v>0.34782999999999997</v>
      </c>
      <c r="AD814" s="47">
        <v>0</v>
      </c>
      <c r="AE814" s="47">
        <v>0</v>
      </c>
      <c r="AF814" s="47">
        <v>0</v>
      </c>
      <c r="AG814" s="47">
        <v>0</v>
      </c>
      <c r="AH814" s="47">
        <v>0</v>
      </c>
      <c r="AI814" s="47">
        <v>4</v>
      </c>
      <c r="AJ814" s="47">
        <v>1</v>
      </c>
      <c r="AK814" s="47">
        <v>5</v>
      </c>
      <c r="AL814">
        <v>12</v>
      </c>
      <c r="AM814">
        <v>0.29411999999999999</v>
      </c>
      <c r="AN814">
        <v>12</v>
      </c>
      <c r="AO814">
        <v>7</v>
      </c>
      <c r="AP814">
        <v>33</v>
      </c>
      <c r="AQ814">
        <v>17</v>
      </c>
      <c r="AR814">
        <v>14</v>
      </c>
      <c r="AS814">
        <v>6</v>
      </c>
      <c r="AT814" t="s">
        <v>11188</v>
      </c>
      <c r="AU814" t="s">
        <v>11189</v>
      </c>
      <c r="AV814">
        <v>0.29899999999999999</v>
      </c>
      <c r="AW814" t="s">
        <v>65</v>
      </c>
      <c r="AX814">
        <v>47</v>
      </c>
      <c r="AY814">
        <v>23</v>
      </c>
      <c r="AZ814" t="s">
        <v>11190</v>
      </c>
      <c r="BA814">
        <v>3.4779999999999998E-2</v>
      </c>
      <c r="BB814">
        <v>-1.2899999999999999E-3</v>
      </c>
      <c r="BC814">
        <v>4.7499999999999999E-3</v>
      </c>
      <c r="BD814">
        <v>-2.2000000000000001E-4</v>
      </c>
      <c r="BE814">
        <v>0.13663</v>
      </c>
      <c r="BF814">
        <v>1</v>
      </c>
      <c r="BG814" t="s">
        <v>69</v>
      </c>
      <c r="BH814">
        <v>-0.47499999999999998</v>
      </c>
      <c r="BI814">
        <v>-0.40400000000000003</v>
      </c>
    </row>
    <row r="815" spans="3:61">
      <c r="C815">
        <v>0</v>
      </c>
      <c r="D815">
        <v>6</v>
      </c>
      <c r="E815">
        <v>2</v>
      </c>
      <c r="F815" t="s">
        <v>25021</v>
      </c>
      <c r="G815">
        <v>1018</v>
      </c>
      <c r="H815" t="s">
        <v>6396</v>
      </c>
      <c r="I815" t="s">
        <v>62</v>
      </c>
      <c r="J815">
        <v>1059206</v>
      </c>
      <c r="K815">
        <v>1060420</v>
      </c>
      <c r="L815" t="s">
        <v>6397</v>
      </c>
      <c r="M815">
        <v>405</v>
      </c>
      <c r="N815" t="s">
        <v>6390</v>
      </c>
      <c r="O815">
        <v>45</v>
      </c>
      <c r="P815" t="str">
        <f>HYPERLINK("Gene1018-zp_tree_all.dnd", "Gene1018-tree")</f>
        <v>Gene1018-tree</v>
      </c>
      <c r="Q815">
        <v>8</v>
      </c>
      <c r="R815">
        <v>9</v>
      </c>
      <c r="S815">
        <v>8</v>
      </c>
      <c r="T815">
        <v>9</v>
      </c>
      <c r="U815">
        <v>0.52941000000000005</v>
      </c>
      <c r="V815" t="s">
        <v>136</v>
      </c>
      <c r="W815" t="s">
        <v>135</v>
      </c>
      <c r="X815" t="s">
        <v>62</v>
      </c>
      <c r="Y815" t="s">
        <v>62</v>
      </c>
      <c r="Z815">
        <v>3</v>
      </c>
      <c r="AA815">
        <v>8</v>
      </c>
      <c r="AB815">
        <v>11</v>
      </c>
      <c r="AC815">
        <v>0.42104999999999998</v>
      </c>
      <c r="AD815" s="47">
        <v>0</v>
      </c>
      <c r="AE815" s="47">
        <v>0</v>
      </c>
      <c r="AF815" s="47">
        <v>0</v>
      </c>
      <c r="AG815" s="47">
        <v>0</v>
      </c>
      <c r="AH815" s="47">
        <v>0</v>
      </c>
      <c r="AI815" s="47">
        <v>4</v>
      </c>
      <c r="AJ815" s="47">
        <v>0</v>
      </c>
      <c r="AK815" s="47">
        <v>4</v>
      </c>
      <c r="AL815">
        <v>12</v>
      </c>
      <c r="AM815">
        <v>0.25</v>
      </c>
      <c r="AN815">
        <v>13</v>
      </c>
      <c r="AO815">
        <v>13</v>
      </c>
      <c r="AP815">
        <v>55</v>
      </c>
      <c r="AQ815">
        <v>14</v>
      </c>
      <c r="AR815">
        <v>35</v>
      </c>
      <c r="AS815">
        <v>6</v>
      </c>
      <c r="AT815" t="s">
        <v>6398</v>
      </c>
      <c r="AU815" t="s">
        <v>6399</v>
      </c>
      <c r="AV815">
        <v>0.16300000000000001</v>
      </c>
      <c r="AW815" t="s">
        <v>65</v>
      </c>
      <c r="AX815">
        <v>90</v>
      </c>
      <c r="AY815">
        <v>20</v>
      </c>
      <c r="AZ815" t="s">
        <v>6400</v>
      </c>
      <c r="BA815">
        <v>4.7289999999999999E-2</v>
      </c>
      <c r="BB815">
        <v>-3.3400000000000001E-3</v>
      </c>
      <c r="BC815">
        <v>3.6800000000000001E-3</v>
      </c>
      <c r="BD815">
        <v>-2.0000000000000001E-4</v>
      </c>
      <c r="BE815">
        <v>7.7869999999999995E-2</v>
      </c>
      <c r="BF815">
        <v>1</v>
      </c>
      <c r="BG815" t="s">
        <v>69</v>
      </c>
      <c r="BH815">
        <v>-1.2809999999999999</v>
      </c>
      <c r="BI815">
        <v>-3.335</v>
      </c>
    </row>
    <row r="816" spans="3:61">
      <c r="C816">
        <v>0</v>
      </c>
      <c r="D816">
        <v>19</v>
      </c>
      <c r="E816">
        <v>0</v>
      </c>
      <c r="F816" t="s">
        <v>25021</v>
      </c>
      <c r="G816">
        <v>4028</v>
      </c>
      <c r="H816" t="s">
        <v>23707</v>
      </c>
      <c r="I816" t="s">
        <v>57</v>
      </c>
      <c r="J816">
        <v>3993162</v>
      </c>
      <c r="K816">
        <v>3994379</v>
      </c>
      <c r="L816" t="s">
        <v>23708</v>
      </c>
      <c r="M816">
        <v>406</v>
      </c>
      <c r="N816" t="s">
        <v>23709</v>
      </c>
      <c r="O816">
        <v>31</v>
      </c>
      <c r="P816" t="str">
        <f>HYPERLINK("Gene4028-zp_tree_all.dnd", "Gene4028-tree")</f>
        <v>Gene4028-tree</v>
      </c>
      <c r="Q816">
        <v>0</v>
      </c>
      <c r="R816">
        <v>10</v>
      </c>
      <c r="S816">
        <v>0</v>
      </c>
      <c r="T816">
        <v>10</v>
      </c>
      <c r="U816">
        <v>1</v>
      </c>
      <c r="V816" t="s">
        <v>62</v>
      </c>
      <c r="W816" t="s">
        <v>117</v>
      </c>
      <c r="X816" t="s">
        <v>62</v>
      </c>
      <c r="Y816" t="s">
        <v>62</v>
      </c>
      <c r="Z816">
        <v>8</v>
      </c>
      <c r="AA816">
        <v>19</v>
      </c>
      <c r="AB816">
        <v>19</v>
      </c>
      <c r="AC816">
        <v>0.5</v>
      </c>
      <c r="AD816" s="47">
        <v>0</v>
      </c>
      <c r="AE816" s="47">
        <v>0</v>
      </c>
      <c r="AF816" s="47">
        <v>0</v>
      </c>
      <c r="AG816" s="47">
        <v>0</v>
      </c>
      <c r="AH816" s="47">
        <v>0</v>
      </c>
      <c r="AI816" s="47">
        <v>15</v>
      </c>
      <c r="AJ816" s="47">
        <v>1</v>
      </c>
      <c r="AK816" s="47">
        <v>16</v>
      </c>
      <c r="AL816">
        <v>15</v>
      </c>
      <c r="AM816">
        <v>0.51612999999999998</v>
      </c>
      <c r="AN816">
        <v>7</v>
      </c>
      <c r="AO816">
        <v>7</v>
      </c>
      <c r="AP816">
        <v>30</v>
      </c>
      <c r="AQ816">
        <v>29</v>
      </c>
      <c r="AR816">
        <v>27</v>
      </c>
      <c r="AS816">
        <v>11</v>
      </c>
      <c r="AT816" t="s">
        <v>23710</v>
      </c>
      <c r="AU816" t="s">
        <v>23711</v>
      </c>
      <c r="AV816">
        <v>2.4460000000000002</v>
      </c>
      <c r="AW816" t="s">
        <v>267</v>
      </c>
      <c r="AX816">
        <v>57</v>
      </c>
      <c r="AY816">
        <v>40</v>
      </c>
      <c r="AZ816" t="s">
        <v>23712</v>
      </c>
      <c r="BA816">
        <v>4.99E-2</v>
      </c>
      <c r="BB816">
        <v>-2.9199999999999999E-3</v>
      </c>
      <c r="BC816">
        <v>9.5399999999999999E-3</v>
      </c>
      <c r="BD816">
        <v>-5.2999999999999998E-4</v>
      </c>
      <c r="BE816">
        <v>0.19111</v>
      </c>
      <c r="BF816">
        <v>1</v>
      </c>
      <c r="BG816" t="s">
        <v>69</v>
      </c>
      <c r="BH816">
        <v>-1.155</v>
      </c>
      <c r="BI816">
        <v>-0.32200000000000001</v>
      </c>
    </row>
    <row r="817" spans="3:61">
      <c r="C817">
        <v>0</v>
      </c>
      <c r="D817">
        <v>0</v>
      </c>
      <c r="E817">
        <v>0</v>
      </c>
      <c r="F817" t="s">
        <v>25021</v>
      </c>
      <c r="G817">
        <v>783</v>
      </c>
      <c r="H817" t="s">
        <v>4870</v>
      </c>
      <c r="I817" t="s">
        <v>62</v>
      </c>
      <c r="J817">
        <v>819314</v>
      </c>
      <c r="K817">
        <v>820531</v>
      </c>
      <c r="L817" t="s">
        <v>2641</v>
      </c>
      <c r="M817">
        <v>406</v>
      </c>
      <c r="N817" t="s">
        <v>4871</v>
      </c>
      <c r="O817">
        <v>27</v>
      </c>
      <c r="P817" t="str">
        <f>HYPERLINK("Gene783-zp_tree_all.dnd", "Gene783-tree")</f>
        <v>Gene783-tree</v>
      </c>
      <c r="Q817">
        <v>3</v>
      </c>
      <c r="R817">
        <v>20</v>
      </c>
      <c r="S817">
        <v>3</v>
      </c>
      <c r="T817">
        <v>2</v>
      </c>
      <c r="U817">
        <v>0.4</v>
      </c>
      <c r="V817" t="s">
        <v>324</v>
      </c>
      <c r="W817" t="s">
        <v>4872</v>
      </c>
      <c r="X817">
        <v>6.5170000000000003</v>
      </c>
      <c r="Y817" t="s">
        <v>65</v>
      </c>
      <c r="Z817">
        <v>0</v>
      </c>
      <c r="AA817">
        <v>0</v>
      </c>
      <c r="AB817">
        <v>6</v>
      </c>
      <c r="AC817">
        <v>0</v>
      </c>
      <c r="AD817" s="47">
        <v>0</v>
      </c>
      <c r="AE817" s="47">
        <v>0</v>
      </c>
      <c r="AF817" s="47">
        <v>0</v>
      </c>
      <c r="AG817" s="47">
        <v>0</v>
      </c>
      <c r="AH817" s="47">
        <v>0</v>
      </c>
      <c r="AI817" s="47">
        <v>0</v>
      </c>
      <c r="AJ817" s="47">
        <v>0</v>
      </c>
      <c r="AK817" s="47">
        <v>0</v>
      </c>
      <c r="AL817">
        <v>6</v>
      </c>
      <c r="AM817">
        <v>0</v>
      </c>
      <c r="AN817">
        <v>4</v>
      </c>
      <c r="AO817">
        <v>0</v>
      </c>
      <c r="AP817">
        <v>15</v>
      </c>
      <c r="AQ817">
        <v>6</v>
      </c>
      <c r="AR817">
        <v>0</v>
      </c>
      <c r="AS817">
        <v>0</v>
      </c>
      <c r="AT817" t="s">
        <v>4873</v>
      </c>
      <c r="AU817" t="s">
        <v>193</v>
      </c>
      <c r="AV817">
        <v>0.50600000000000001</v>
      </c>
      <c r="AW817" t="s">
        <v>65</v>
      </c>
      <c r="AX817">
        <v>15</v>
      </c>
      <c r="AY817">
        <v>6</v>
      </c>
      <c r="AZ817" t="s">
        <v>4874</v>
      </c>
      <c r="BA817">
        <v>2.2100000000000002E-2</v>
      </c>
      <c r="BB817">
        <v>-7.1999999999999998E-3</v>
      </c>
      <c r="BC817">
        <v>2.5799999999999998E-3</v>
      </c>
      <c r="BD817">
        <v>-8.0999999999999996E-4</v>
      </c>
      <c r="BE817">
        <v>0.11655</v>
      </c>
      <c r="BF817">
        <v>1</v>
      </c>
      <c r="BG817" t="s">
        <v>69</v>
      </c>
      <c r="BH817">
        <v>-2.1880000000000002</v>
      </c>
      <c r="BI817">
        <v>-3.5529999999999999</v>
      </c>
    </row>
    <row r="818" spans="3:61">
      <c r="C818">
        <v>0</v>
      </c>
      <c r="D818">
        <v>17</v>
      </c>
      <c r="E818">
        <v>2</v>
      </c>
      <c r="F818" t="s">
        <v>25021</v>
      </c>
      <c r="G818">
        <v>3204</v>
      </c>
      <c r="H818" t="s">
        <v>18656</v>
      </c>
      <c r="I818" t="s">
        <v>57</v>
      </c>
      <c r="J818">
        <v>3157961</v>
      </c>
      <c r="K818">
        <v>3159181</v>
      </c>
      <c r="L818" t="s">
        <v>18657</v>
      </c>
      <c r="M818">
        <v>407</v>
      </c>
      <c r="N818" t="s">
        <v>108</v>
      </c>
      <c r="O818">
        <v>44</v>
      </c>
      <c r="P818" t="str">
        <f>HYPERLINK("Gene3204-zp_tree_all.dnd", "Gene3204-tree")</f>
        <v>Gene3204-tree</v>
      </c>
      <c r="Q818">
        <v>23</v>
      </c>
      <c r="R818">
        <v>10</v>
      </c>
      <c r="S818">
        <v>4</v>
      </c>
      <c r="T818">
        <v>10</v>
      </c>
      <c r="U818">
        <v>0.71428999999999998</v>
      </c>
      <c r="V818" t="s">
        <v>690</v>
      </c>
      <c r="W818" t="s">
        <v>117</v>
      </c>
      <c r="X818" t="s">
        <v>62</v>
      </c>
      <c r="Y818" t="s">
        <v>62</v>
      </c>
      <c r="Z818">
        <v>8</v>
      </c>
      <c r="AA818">
        <v>19</v>
      </c>
      <c r="AB818">
        <v>8</v>
      </c>
      <c r="AC818">
        <v>0.70369999999999999</v>
      </c>
      <c r="AD818" s="47">
        <v>0</v>
      </c>
      <c r="AE818" s="47">
        <v>0</v>
      </c>
      <c r="AF818" s="47">
        <v>0</v>
      </c>
      <c r="AG818" s="47">
        <v>0</v>
      </c>
      <c r="AH818" s="47">
        <v>0</v>
      </c>
      <c r="AI818" s="47">
        <v>6</v>
      </c>
      <c r="AJ818" s="47">
        <v>4</v>
      </c>
      <c r="AK818" s="47">
        <v>10</v>
      </c>
      <c r="AL818">
        <v>10</v>
      </c>
      <c r="AM818">
        <v>0.5</v>
      </c>
      <c r="AN818">
        <v>13</v>
      </c>
      <c r="AO818">
        <v>10</v>
      </c>
      <c r="AP818">
        <v>48</v>
      </c>
      <c r="AQ818">
        <v>20</v>
      </c>
      <c r="AR818">
        <v>24</v>
      </c>
      <c r="AS818">
        <v>7</v>
      </c>
      <c r="AT818" t="s">
        <v>18658</v>
      </c>
      <c r="AU818" t="s">
        <v>18659</v>
      </c>
      <c r="AV818">
        <v>0.57099999999999995</v>
      </c>
      <c r="AW818" t="s">
        <v>65</v>
      </c>
      <c r="AX818">
        <v>72</v>
      </c>
      <c r="AY818">
        <v>27</v>
      </c>
      <c r="AZ818" t="s">
        <v>18660</v>
      </c>
      <c r="BA818">
        <v>4.7829999999999998E-2</v>
      </c>
      <c r="BB818">
        <v>-1.6199999999999999E-3</v>
      </c>
      <c r="BC818">
        <v>5.1399999999999996E-3</v>
      </c>
      <c r="BD818">
        <v>-1.9000000000000001E-4</v>
      </c>
      <c r="BE818">
        <v>0.10736</v>
      </c>
      <c r="BF818">
        <v>1</v>
      </c>
      <c r="BG818" t="s">
        <v>69</v>
      </c>
      <c r="BH818">
        <v>-0.65900000000000003</v>
      </c>
      <c r="BI818">
        <v>-1.633</v>
      </c>
    </row>
    <row r="819" spans="3:61">
      <c r="C819">
        <v>0</v>
      </c>
      <c r="D819">
        <v>0</v>
      </c>
      <c r="E819">
        <v>0</v>
      </c>
      <c r="F819" t="s">
        <v>25021</v>
      </c>
      <c r="G819">
        <v>850</v>
      </c>
      <c r="H819" t="s">
        <v>5309</v>
      </c>
      <c r="I819" t="s">
        <v>62</v>
      </c>
      <c r="J819">
        <v>888146</v>
      </c>
      <c r="K819">
        <v>889366</v>
      </c>
      <c r="L819" t="s">
        <v>4057</v>
      </c>
      <c r="M819">
        <v>407</v>
      </c>
      <c r="N819" t="s">
        <v>5298</v>
      </c>
      <c r="O819">
        <v>37</v>
      </c>
      <c r="P819" t="str">
        <f>HYPERLINK("Gene850-zp_tree_all.dnd", "Gene850-tree")</f>
        <v>Gene850-tree</v>
      </c>
      <c r="Q819">
        <v>4</v>
      </c>
      <c r="R819">
        <v>5</v>
      </c>
      <c r="S819">
        <v>4</v>
      </c>
      <c r="T819">
        <v>5</v>
      </c>
      <c r="U819">
        <v>0.55556000000000005</v>
      </c>
      <c r="V819" t="s">
        <v>61</v>
      </c>
      <c r="W819" t="s">
        <v>199</v>
      </c>
      <c r="X819" t="s">
        <v>62</v>
      </c>
      <c r="Y819" t="s">
        <v>62</v>
      </c>
      <c r="Z819">
        <v>0</v>
      </c>
      <c r="AA819">
        <v>0</v>
      </c>
      <c r="AB819">
        <v>8</v>
      </c>
      <c r="AC819">
        <v>0</v>
      </c>
      <c r="AD819" s="47">
        <v>0</v>
      </c>
      <c r="AE819" s="47">
        <v>0</v>
      </c>
      <c r="AF819" s="47">
        <v>0</v>
      </c>
      <c r="AG819" s="47">
        <v>1</v>
      </c>
      <c r="AH819" s="47">
        <v>0</v>
      </c>
      <c r="AI819" s="47">
        <v>0</v>
      </c>
      <c r="AJ819" s="47">
        <v>0</v>
      </c>
      <c r="AK819" s="47">
        <v>0</v>
      </c>
      <c r="AL819">
        <v>6</v>
      </c>
      <c r="AM819">
        <v>0</v>
      </c>
      <c r="AN819">
        <v>8</v>
      </c>
      <c r="AO819">
        <v>5</v>
      </c>
      <c r="AP819">
        <v>46</v>
      </c>
      <c r="AQ819">
        <v>6</v>
      </c>
      <c r="AR819">
        <v>22</v>
      </c>
      <c r="AS819">
        <v>2</v>
      </c>
      <c r="AT819" t="s">
        <v>5310</v>
      </c>
      <c r="AU819" t="s">
        <v>5311</v>
      </c>
      <c r="AV819">
        <v>0.48399999999999999</v>
      </c>
      <c r="AW819" t="s">
        <v>65</v>
      </c>
      <c r="AX819">
        <v>68</v>
      </c>
      <c r="AY819">
        <v>8</v>
      </c>
      <c r="AZ819" t="s">
        <v>5312</v>
      </c>
      <c r="BA819">
        <v>5.2769999999999997E-2</v>
      </c>
      <c r="BB819">
        <v>-2.1199999999999999E-3</v>
      </c>
      <c r="BC819">
        <v>2.2699999999999999E-3</v>
      </c>
      <c r="BD819">
        <v>-1.4999999999999999E-4</v>
      </c>
      <c r="BE819">
        <v>4.3029999999999999E-2</v>
      </c>
      <c r="BF819">
        <v>1</v>
      </c>
      <c r="BG819" t="s">
        <v>69</v>
      </c>
      <c r="BH819">
        <v>-0.42599999999999999</v>
      </c>
      <c r="BI819">
        <v>-1.026</v>
      </c>
    </row>
    <row r="820" spans="3:61">
      <c r="C820">
        <v>0</v>
      </c>
      <c r="D820">
        <v>2</v>
      </c>
      <c r="E820">
        <v>0</v>
      </c>
      <c r="F820" t="s">
        <v>25021</v>
      </c>
      <c r="G820">
        <v>1563</v>
      </c>
      <c r="H820" t="s">
        <v>9773</v>
      </c>
      <c r="I820" t="s">
        <v>62</v>
      </c>
      <c r="J820">
        <v>1570577</v>
      </c>
      <c r="K820">
        <v>1571800</v>
      </c>
      <c r="L820" t="s">
        <v>9774</v>
      </c>
      <c r="M820">
        <v>408</v>
      </c>
      <c r="N820" t="s">
        <v>108</v>
      </c>
      <c r="O820">
        <v>44</v>
      </c>
      <c r="P820" t="str">
        <f>HYPERLINK("Gene1563-zp_tree_all.dnd", "Gene1563-tree")</f>
        <v>Gene1563-tree</v>
      </c>
      <c r="Q820">
        <v>8</v>
      </c>
      <c r="R820">
        <v>6</v>
      </c>
      <c r="S820">
        <v>8</v>
      </c>
      <c r="T820">
        <v>6</v>
      </c>
      <c r="U820">
        <v>0.42857000000000001</v>
      </c>
      <c r="V820" t="s">
        <v>136</v>
      </c>
      <c r="W820" t="s">
        <v>90</v>
      </c>
      <c r="X820" t="s">
        <v>62</v>
      </c>
      <c r="Y820" t="s">
        <v>62</v>
      </c>
      <c r="Z820">
        <v>1</v>
      </c>
      <c r="AA820">
        <v>2</v>
      </c>
      <c r="AB820">
        <v>8</v>
      </c>
      <c r="AC820">
        <v>0.2</v>
      </c>
      <c r="AD820" s="47">
        <v>0</v>
      </c>
      <c r="AE820" s="47">
        <v>0</v>
      </c>
      <c r="AF820" s="47">
        <v>0</v>
      </c>
      <c r="AG820" s="47">
        <v>0</v>
      </c>
      <c r="AH820" s="47">
        <v>0</v>
      </c>
      <c r="AI820" s="47">
        <v>0</v>
      </c>
      <c r="AJ820" s="47">
        <v>0</v>
      </c>
      <c r="AK820" s="47">
        <v>0</v>
      </c>
      <c r="AL820">
        <v>6</v>
      </c>
      <c r="AM820">
        <v>0</v>
      </c>
      <c r="AN820">
        <v>11</v>
      </c>
      <c r="AO820">
        <v>10</v>
      </c>
      <c r="AP820">
        <v>24</v>
      </c>
      <c r="AQ820">
        <v>6</v>
      </c>
      <c r="AR820">
        <v>24</v>
      </c>
      <c r="AS820">
        <v>4</v>
      </c>
      <c r="AT820" t="s">
        <v>9775</v>
      </c>
      <c r="AU820" t="s">
        <v>9776</v>
      </c>
      <c r="AV820">
        <v>0.34100000000000003</v>
      </c>
      <c r="AW820" t="s">
        <v>65</v>
      </c>
      <c r="AX820">
        <v>48</v>
      </c>
      <c r="AY820">
        <v>10</v>
      </c>
      <c r="AZ820" t="s">
        <v>9777</v>
      </c>
      <c r="BA820">
        <v>3.3680000000000002E-2</v>
      </c>
      <c r="BB820">
        <v>-1.39E-3</v>
      </c>
      <c r="BC820">
        <v>2.0899999999999998E-3</v>
      </c>
      <c r="BD820">
        <v>-1.7000000000000001E-4</v>
      </c>
      <c r="BE820">
        <v>6.2149999999999997E-2</v>
      </c>
      <c r="BF820">
        <v>1</v>
      </c>
      <c r="BG820" t="s">
        <v>69</v>
      </c>
      <c r="BH820">
        <v>-0.37</v>
      </c>
      <c r="BI820">
        <v>-0.79200000000000004</v>
      </c>
    </row>
    <row r="821" spans="3:61">
      <c r="C821">
        <v>0</v>
      </c>
      <c r="D821">
        <v>0</v>
      </c>
      <c r="E821">
        <v>0</v>
      </c>
      <c r="F821" t="s">
        <v>25021</v>
      </c>
      <c r="G821">
        <v>1231</v>
      </c>
      <c r="H821" t="s">
        <v>7739</v>
      </c>
      <c r="I821" t="s">
        <v>62</v>
      </c>
      <c r="J821">
        <v>1263705</v>
      </c>
      <c r="K821">
        <v>1264931</v>
      </c>
      <c r="L821" t="s">
        <v>7740</v>
      </c>
      <c r="M821">
        <v>409</v>
      </c>
      <c r="N821" t="s">
        <v>7741</v>
      </c>
      <c r="O821">
        <v>22</v>
      </c>
      <c r="P821" t="str">
        <f>HYPERLINK("Gene1231-zp_tree_all.dnd", "Gene1231-tree")</f>
        <v>Gene1231-tree</v>
      </c>
      <c r="Q821">
        <v>0</v>
      </c>
      <c r="R821">
        <v>7</v>
      </c>
      <c r="S821">
        <v>0</v>
      </c>
      <c r="T821">
        <v>4</v>
      </c>
      <c r="U821">
        <v>1</v>
      </c>
      <c r="V821" t="s">
        <v>62</v>
      </c>
      <c r="W821" t="s">
        <v>7742</v>
      </c>
      <c r="X821">
        <v>2.419</v>
      </c>
      <c r="Y821" t="s">
        <v>65</v>
      </c>
      <c r="Z821">
        <v>0</v>
      </c>
      <c r="AA821">
        <v>0</v>
      </c>
      <c r="AB821">
        <v>3</v>
      </c>
      <c r="AC821">
        <v>0</v>
      </c>
      <c r="AD821" s="47">
        <v>0</v>
      </c>
      <c r="AE821" s="47">
        <v>0</v>
      </c>
      <c r="AF821" s="47">
        <v>0</v>
      </c>
      <c r="AG821" s="47">
        <v>0</v>
      </c>
      <c r="AH821" s="47">
        <v>0</v>
      </c>
      <c r="AI821" s="47">
        <v>0</v>
      </c>
      <c r="AJ821" s="47">
        <v>0</v>
      </c>
      <c r="AK821" s="47">
        <v>0</v>
      </c>
      <c r="AL821">
        <v>3</v>
      </c>
      <c r="AM821">
        <v>0</v>
      </c>
      <c r="AN821">
        <v>3</v>
      </c>
      <c r="AO821">
        <v>0</v>
      </c>
      <c r="AP821">
        <v>3</v>
      </c>
      <c r="AQ821">
        <v>3</v>
      </c>
      <c r="AR821">
        <v>0</v>
      </c>
      <c r="AS821">
        <v>0</v>
      </c>
      <c r="AT821" t="s">
        <v>7743</v>
      </c>
      <c r="AU821" t="s">
        <v>193</v>
      </c>
      <c r="AV821">
        <v>0.86599999999999999</v>
      </c>
      <c r="AW821" t="s">
        <v>65</v>
      </c>
      <c r="AX821">
        <v>3</v>
      </c>
      <c r="AY821">
        <v>3</v>
      </c>
      <c r="AZ821" t="s">
        <v>7744</v>
      </c>
      <c r="BA821">
        <v>5.5399999999999998E-3</v>
      </c>
      <c r="BB821">
        <v>-2.2599999999999999E-3</v>
      </c>
      <c r="BC821">
        <v>1.57E-3</v>
      </c>
      <c r="BD821">
        <v>-2.1000000000000001E-4</v>
      </c>
      <c r="BE821">
        <v>0.28438999999999998</v>
      </c>
      <c r="BF821">
        <v>0.81100000000000005</v>
      </c>
      <c r="BG821" t="s">
        <v>635</v>
      </c>
      <c r="BH821">
        <v>-1.6559999999999999</v>
      </c>
      <c r="BI821">
        <v>-2.3559999999999999</v>
      </c>
    </row>
    <row r="822" spans="3:61">
      <c r="C822">
        <v>0</v>
      </c>
      <c r="D822">
        <v>2</v>
      </c>
      <c r="E822">
        <v>2</v>
      </c>
      <c r="F822" t="s">
        <v>25021</v>
      </c>
      <c r="G822">
        <v>769</v>
      </c>
      <c r="H822" t="s">
        <v>4777</v>
      </c>
      <c r="I822" t="s">
        <v>62</v>
      </c>
      <c r="J822">
        <v>803320</v>
      </c>
      <c r="K822">
        <v>804546</v>
      </c>
      <c r="L822" t="s">
        <v>2641</v>
      </c>
      <c r="M822">
        <v>409</v>
      </c>
      <c r="N822" t="s">
        <v>108</v>
      </c>
      <c r="O822">
        <v>44</v>
      </c>
      <c r="P822" t="str">
        <f>HYPERLINK("Gene769-zp_tree_all.dnd", "Gene769-tree")</f>
        <v>Gene769-tree</v>
      </c>
      <c r="Q822">
        <v>10</v>
      </c>
      <c r="R822">
        <v>4</v>
      </c>
      <c r="S822">
        <v>10</v>
      </c>
      <c r="T822">
        <v>4</v>
      </c>
      <c r="U822">
        <v>0.28571000000000002</v>
      </c>
      <c r="V822" t="s">
        <v>117</v>
      </c>
      <c r="W822" t="s">
        <v>61</v>
      </c>
      <c r="X822" t="s">
        <v>62</v>
      </c>
      <c r="Y822" t="s">
        <v>62</v>
      </c>
      <c r="Z822">
        <v>2</v>
      </c>
      <c r="AA822">
        <v>4</v>
      </c>
      <c r="AB822">
        <v>7</v>
      </c>
      <c r="AC822">
        <v>0.36364000000000002</v>
      </c>
      <c r="AD822" s="47">
        <v>0</v>
      </c>
      <c r="AE822" s="47">
        <v>0</v>
      </c>
      <c r="AF822" s="47">
        <v>0</v>
      </c>
      <c r="AG822" s="47">
        <v>0</v>
      </c>
      <c r="AH822" s="47">
        <v>0</v>
      </c>
      <c r="AI822" s="47">
        <v>0</v>
      </c>
      <c r="AJ822" s="47">
        <v>2</v>
      </c>
      <c r="AK822" s="47">
        <v>2</v>
      </c>
      <c r="AL822">
        <v>4</v>
      </c>
      <c r="AM822">
        <v>0.33333000000000002</v>
      </c>
      <c r="AN822">
        <v>11</v>
      </c>
      <c r="AO822">
        <v>10</v>
      </c>
      <c r="AP822">
        <v>49</v>
      </c>
      <c r="AQ822">
        <v>6</v>
      </c>
      <c r="AR822">
        <v>32</v>
      </c>
      <c r="AS822">
        <v>5</v>
      </c>
      <c r="AT822" t="s">
        <v>4778</v>
      </c>
      <c r="AU822" t="s">
        <v>4779</v>
      </c>
      <c r="AV822">
        <v>0.14499999999999999</v>
      </c>
      <c r="AW822" t="s">
        <v>65</v>
      </c>
      <c r="AX822">
        <v>81</v>
      </c>
      <c r="AY822">
        <v>11</v>
      </c>
      <c r="AZ822" t="s">
        <v>4780</v>
      </c>
      <c r="BA822">
        <v>4.786E-2</v>
      </c>
      <c r="BB822">
        <v>-2.4399999999999999E-3</v>
      </c>
      <c r="BC822">
        <v>2.47E-3</v>
      </c>
      <c r="BD822">
        <v>-2.2000000000000001E-4</v>
      </c>
      <c r="BE822">
        <v>5.151E-2</v>
      </c>
      <c r="BF822">
        <v>1</v>
      </c>
      <c r="BG822" t="s">
        <v>69</v>
      </c>
      <c r="BH822">
        <v>-0.623</v>
      </c>
      <c r="BI822">
        <v>-1.6559999999999999</v>
      </c>
    </row>
    <row r="823" spans="3:61">
      <c r="C823">
        <v>0</v>
      </c>
      <c r="D823">
        <v>9</v>
      </c>
      <c r="E823">
        <v>2</v>
      </c>
      <c r="F823" t="s">
        <v>25021</v>
      </c>
      <c r="G823">
        <v>2473</v>
      </c>
      <c r="H823" t="s">
        <v>14412</v>
      </c>
      <c r="I823" t="s">
        <v>57</v>
      </c>
      <c r="J823">
        <v>2466721</v>
      </c>
      <c r="K823">
        <v>2467950</v>
      </c>
      <c r="L823" t="s">
        <v>2641</v>
      </c>
      <c r="M823">
        <v>410</v>
      </c>
      <c r="N823" t="s">
        <v>108</v>
      </c>
      <c r="O823">
        <v>44</v>
      </c>
      <c r="P823" t="str">
        <f>HYPERLINK("Gene2473-zp_tree_all.dnd", "Gene2473-tree")</f>
        <v>Gene2473-tree</v>
      </c>
      <c r="Q823">
        <v>6</v>
      </c>
      <c r="R823">
        <v>7</v>
      </c>
      <c r="S823">
        <v>6</v>
      </c>
      <c r="T823">
        <v>7</v>
      </c>
      <c r="U823">
        <v>0.53846000000000005</v>
      </c>
      <c r="V823" t="s">
        <v>90</v>
      </c>
      <c r="W823" t="s">
        <v>152</v>
      </c>
      <c r="X823" t="s">
        <v>62</v>
      </c>
      <c r="Y823" t="s">
        <v>62</v>
      </c>
      <c r="Z823">
        <v>5</v>
      </c>
      <c r="AA823">
        <v>11</v>
      </c>
      <c r="AB823">
        <v>16</v>
      </c>
      <c r="AC823">
        <v>0.40740999999999999</v>
      </c>
      <c r="AD823" s="47">
        <v>0</v>
      </c>
      <c r="AE823" s="47">
        <v>0</v>
      </c>
      <c r="AF823" s="47">
        <v>0</v>
      </c>
      <c r="AG823" s="47">
        <v>0</v>
      </c>
      <c r="AH823" s="47">
        <v>0</v>
      </c>
      <c r="AI823" s="47">
        <v>4</v>
      </c>
      <c r="AJ823" s="47">
        <v>0</v>
      </c>
      <c r="AK823" s="47">
        <v>4</v>
      </c>
      <c r="AL823">
        <v>15</v>
      </c>
      <c r="AM823">
        <v>0.21052999999999999</v>
      </c>
      <c r="AN823">
        <v>11</v>
      </c>
      <c r="AO823">
        <v>10</v>
      </c>
      <c r="AP823">
        <v>27</v>
      </c>
      <c r="AQ823">
        <v>19</v>
      </c>
      <c r="AR823">
        <v>23</v>
      </c>
      <c r="AS823">
        <v>8</v>
      </c>
      <c r="AT823" t="s">
        <v>14413</v>
      </c>
      <c r="AU823" t="s">
        <v>14414</v>
      </c>
      <c r="AV823">
        <v>1.1419999999999999</v>
      </c>
      <c r="AW823" t="s">
        <v>65</v>
      </c>
      <c r="AX823">
        <v>50</v>
      </c>
      <c r="AY823">
        <v>27</v>
      </c>
      <c r="AZ823" t="s">
        <v>14415</v>
      </c>
      <c r="BA823">
        <v>3.5229999999999997E-2</v>
      </c>
      <c r="BB823">
        <v>-1.5100000000000001E-3</v>
      </c>
      <c r="BC823">
        <v>5.3600000000000002E-3</v>
      </c>
      <c r="BD823">
        <v>-2.7E-4</v>
      </c>
      <c r="BE823">
        <v>0.152</v>
      </c>
      <c r="BF823">
        <v>1</v>
      </c>
      <c r="BG823" t="s">
        <v>69</v>
      </c>
      <c r="BH823">
        <v>-0.42299999999999999</v>
      </c>
      <c r="BI823">
        <v>-1.07</v>
      </c>
    </row>
    <row r="824" spans="3:61">
      <c r="C824">
        <v>0</v>
      </c>
      <c r="D824">
        <v>7</v>
      </c>
      <c r="E824">
        <v>0</v>
      </c>
      <c r="F824" t="s">
        <v>25021</v>
      </c>
      <c r="G824">
        <v>4030</v>
      </c>
      <c r="H824" t="s">
        <v>23722</v>
      </c>
      <c r="I824" t="s">
        <v>57</v>
      </c>
      <c r="J824">
        <v>3995075</v>
      </c>
      <c r="K824">
        <v>3996304</v>
      </c>
      <c r="L824" t="s">
        <v>23723</v>
      </c>
      <c r="M824">
        <v>410</v>
      </c>
      <c r="N824" t="s">
        <v>108</v>
      </c>
      <c r="O824">
        <v>44</v>
      </c>
      <c r="P824" t="str">
        <f>HYPERLINK("Gene4030-zp_tree_all.dnd", "Gene4030-tree")</f>
        <v>Gene4030-tree</v>
      </c>
      <c r="Q824">
        <v>6</v>
      </c>
      <c r="R824">
        <v>9</v>
      </c>
      <c r="S824">
        <v>6</v>
      </c>
      <c r="T824">
        <v>9</v>
      </c>
      <c r="U824">
        <v>0.6</v>
      </c>
      <c r="V824" t="s">
        <v>90</v>
      </c>
      <c r="W824" t="s">
        <v>135</v>
      </c>
      <c r="X824" t="s">
        <v>62</v>
      </c>
      <c r="Y824" t="s">
        <v>62</v>
      </c>
      <c r="Z824">
        <v>2</v>
      </c>
      <c r="AA824">
        <v>7</v>
      </c>
      <c r="AB824">
        <v>11</v>
      </c>
      <c r="AC824">
        <v>0.38889000000000001</v>
      </c>
      <c r="AD824" s="47">
        <v>0</v>
      </c>
      <c r="AE824" s="47">
        <v>0</v>
      </c>
      <c r="AF824" s="47">
        <v>0</v>
      </c>
      <c r="AG824" s="47">
        <v>0</v>
      </c>
      <c r="AH824" s="47">
        <v>0</v>
      </c>
      <c r="AI824" s="47">
        <v>6</v>
      </c>
      <c r="AJ824" s="47">
        <v>0</v>
      </c>
      <c r="AK824" s="47">
        <v>6</v>
      </c>
      <c r="AL824">
        <v>11</v>
      </c>
      <c r="AM824">
        <v>0.35293999999999998</v>
      </c>
      <c r="AN824">
        <v>13</v>
      </c>
      <c r="AO824">
        <v>12</v>
      </c>
      <c r="AP824">
        <v>62</v>
      </c>
      <c r="AQ824">
        <v>17</v>
      </c>
      <c r="AR824">
        <v>28</v>
      </c>
      <c r="AS824">
        <v>1</v>
      </c>
      <c r="AT824" t="s">
        <v>23724</v>
      </c>
      <c r="AU824" t="s">
        <v>23725</v>
      </c>
      <c r="AV824">
        <v>1.5980000000000001</v>
      </c>
      <c r="AW824" t="s">
        <v>65</v>
      </c>
      <c r="AX824">
        <v>90</v>
      </c>
      <c r="AY824">
        <v>18</v>
      </c>
      <c r="AZ824" t="s">
        <v>23726</v>
      </c>
      <c r="BA824">
        <v>5.457E-2</v>
      </c>
      <c r="BB824">
        <v>-1.91E-3</v>
      </c>
      <c r="BC824">
        <v>2.4099999999999998E-3</v>
      </c>
      <c r="BD824">
        <v>-1.3999999999999999E-4</v>
      </c>
      <c r="BE824">
        <v>4.4200000000000003E-2</v>
      </c>
      <c r="BF824">
        <v>1</v>
      </c>
      <c r="BG824" t="s">
        <v>69</v>
      </c>
      <c r="BH824">
        <v>-0.95799999999999996</v>
      </c>
      <c r="BI824">
        <v>-2.0579999999999998</v>
      </c>
    </row>
    <row r="825" spans="3:61">
      <c r="C825">
        <v>0</v>
      </c>
      <c r="D825">
        <v>0</v>
      </c>
      <c r="E825">
        <v>0</v>
      </c>
      <c r="F825" t="s">
        <v>25021</v>
      </c>
      <c r="G825">
        <v>1502</v>
      </c>
      <c r="H825" t="s">
        <v>9394</v>
      </c>
      <c r="I825" t="s">
        <v>62</v>
      </c>
      <c r="J825">
        <v>1515000</v>
      </c>
      <c r="K825">
        <v>1516229</v>
      </c>
      <c r="L825" t="s">
        <v>9395</v>
      </c>
      <c r="M825">
        <v>410</v>
      </c>
      <c r="N825" t="s">
        <v>108</v>
      </c>
      <c r="O825">
        <v>44</v>
      </c>
      <c r="P825" t="str">
        <f>HYPERLINK("Gene1502-zp_tree_all.dnd", "Gene1502-tree")</f>
        <v>Gene1502-tree</v>
      </c>
      <c r="Q825">
        <v>9</v>
      </c>
      <c r="R825">
        <v>4</v>
      </c>
      <c r="S825">
        <v>9</v>
      </c>
      <c r="T825">
        <v>4</v>
      </c>
      <c r="U825">
        <v>0.30769000000000002</v>
      </c>
      <c r="V825" t="s">
        <v>135</v>
      </c>
      <c r="W825" t="s">
        <v>61</v>
      </c>
      <c r="X825" t="s">
        <v>62</v>
      </c>
      <c r="Y825" t="s">
        <v>62</v>
      </c>
      <c r="Z825">
        <v>0</v>
      </c>
      <c r="AA825">
        <v>0</v>
      </c>
      <c r="AB825">
        <v>6</v>
      </c>
      <c r="AC825">
        <v>0</v>
      </c>
      <c r="AD825" s="47">
        <v>0</v>
      </c>
      <c r="AE825" s="47">
        <v>0</v>
      </c>
      <c r="AF825" s="47">
        <v>0</v>
      </c>
      <c r="AG825" s="47">
        <v>0</v>
      </c>
      <c r="AH825" s="47">
        <v>0</v>
      </c>
      <c r="AI825" s="47">
        <v>0</v>
      </c>
      <c r="AJ825" s="47">
        <v>0</v>
      </c>
      <c r="AK825" s="47">
        <v>0</v>
      </c>
      <c r="AL825">
        <v>5</v>
      </c>
      <c r="AM825">
        <v>0</v>
      </c>
      <c r="AN825">
        <v>12</v>
      </c>
      <c r="AO825">
        <v>7</v>
      </c>
      <c r="AP825">
        <v>25</v>
      </c>
      <c r="AQ825">
        <v>5</v>
      </c>
      <c r="AR825">
        <v>13</v>
      </c>
      <c r="AS825">
        <v>1</v>
      </c>
      <c r="AT825" t="s">
        <v>9396</v>
      </c>
      <c r="AU825" t="s">
        <v>9397</v>
      </c>
      <c r="AV825">
        <v>0.47799999999999998</v>
      </c>
      <c r="AW825" t="s">
        <v>65</v>
      </c>
      <c r="AX825">
        <v>38</v>
      </c>
      <c r="AY825">
        <v>6</v>
      </c>
      <c r="AZ825" t="s">
        <v>9398</v>
      </c>
      <c r="BA825">
        <v>2.7969999999999998E-2</v>
      </c>
      <c r="BB825">
        <v>-1.1999999999999999E-3</v>
      </c>
      <c r="BC825">
        <v>1.2199999999999999E-3</v>
      </c>
      <c r="BD825">
        <v>-1.2999999999999999E-4</v>
      </c>
      <c r="BE825">
        <v>4.3610000000000003E-2</v>
      </c>
      <c r="BF825">
        <v>1</v>
      </c>
      <c r="BG825" t="s">
        <v>69</v>
      </c>
      <c r="BH825">
        <v>-0.879</v>
      </c>
      <c r="BI825">
        <v>-1.778</v>
      </c>
    </row>
    <row r="826" spans="3:61">
      <c r="C826">
        <v>0</v>
      </c>
      <c r="D826">
        <v>9</v>
      </c>
      <c r="E826">
        <v>3</v>
      </c>
      <c r="F826" t="s">
        <v>25021</v>
      </c>
      <c r="G826">
        <v>3983</v>
      </c>
      <c r="H826" t="s">
        <v>23414</v>
      </c>
      <c r="I826" t="s">
        <v>57</v>
      </c>
      <c r="J826">
        <v>3947158</v>
      </c>
      <c r="K826">
        <v>3948396</v>
      </c>
      <c r="L826" t="s">
        <v>17878</v>
      </c>
      <c r="M826">
        <v>413</v>
      </c>
      <c r="N826" t="s">
        <v>108</v>
      </c>
      <c r="O826">
        <v>44</v>
      </c>
      <c r="P826" t="str">
        <f>HYPERLINK("Gene3983-zp_tree_all.dnd", "Gene3983-tree")</f>
        <v>Gene3983-tree</v>
      </c>
      <c r="Q826">
        <v>2</v>
      </c>
      <c r="R826">
        <v>13</v>
      </c>
      <c r="S826">
        <v>2</v>
      </c>
      <c r="T826">
        <v>13</v>
      </c>
      <c r="U826">
        <v>0.86667000000000005</v>
      </c>
      <c r="V826" t="s">
        <v>81</v>
      </c>
      <c r="W826" t="s">
        <v>507</v>
      </c>
      <c r="X826" t="s">
        <v>62</v>
      </c>
      <c r="Y826" t="s">
        <v>62</v>
      </c>
      <c r="Z826">
        <v>5</v>
      </c>
      <c r="AA826">
        <v>12</v>
      </c>
      <c r="AB826">
        <v>27</v>
      </c>
      <c r="AC826">
        <v>0.30769000000000002</v>
      </c>
      <c r="AD826" s="47">
        <v>0</v>
      </c>
      <c r="AE826" s="47">
        <v>0</v>
      </c>
      <c r="AF826" s="47">
        <v>0</v>
      </c>
      <c r="AG826" s="47">
        <v>0</v>
      </c>
      <c r="AH826" s="47">
        <v>0</v>
      </c>
      <c r="AI826" s="47">
        <v>9</v>
      </c>
      <c r="AJ826" s="47">
        <v>1</v>
      </c>
      <c r="AK826" s="47">
        <v>10</v>
      </c>
      <c r="AL826">
        <v>22</v>
      </c>
      <c r="AM826">
        <v>0.3125</v>
      </c>
      <c r="AN826">
        <v>14</v>
      </c>
      <c r="AO826">
        <v>10</v>
      </c>
      <c r="AP826">
        <v>58</v>
      </c>
      <c r="AQ826">
        <v>30</v>
      </c>
      <c r="AR826">
        <v>28</v>
      </c>
      <c r="AS826">
        <v>10</v>
      </c>
      <c r="AT826" t="s">
        <v>23415</v>
      </c>
      <c r="AU826" t="s">
        <v>23416</v>
      </c>
      <c r="AV826">
        <v>0.17899999999999999</v>
      </c>
      <c r="AW826" t="s">
        <v>65</v>
      </c>
      <c r="AX826">
        <v>86</v>
      </c>
      <c r="AY826">
        <v>40</v>
      </c>
      <c r="AZ826" t="s">
        <v>23417</v>
      </c>
      <c r="BA826">
        <v>6.2309999999999997E-2</v>
      </c>
      <c r="BB826">
        <v>-3.0799999999999998E-3</v>
      </c>
      <c r="BC826">
        <v>7.9500000000000005E-3</v>
      </c>
      <c r="BD826">
        <v>-3.8999999999999999E-4</v>
      </c>
      <c r="BE826">
        <v>0.12761</v>
      </c>
      <c r="BF826">
        <v>1</v>
      </c>
      <c r="BG826" t="s">
        <v>69</v>
      </c>
      <c r="BH826">
        <v>-1.087</v>
      </c>
      <c r="BI826">
        <v>-1.819</v>
      </c>
    </row>
    <row r="827" spans="3:61">
      <c r="C827">
        <v>0</v>
      </c>
      <c r="D827">
        <v>11</v>
      </c>
      <c r="E827">
        <v>3</v>
      </c>
      <c r="F827" t="s">
        <v>25021</v>
      </c>
      <c r="G827">
        <v>166</v>
      </c>
      <c r="H827" t="s">
        <v>1173</v>
      </c>
      <c r="I827" t="s">
        <v>62</v>
      </c>
      <c r="J827">
        <v>185197</v>
      </c>
      <c r="K827">
        <v>186438</v>
      </c>
      <c r="L827" t="s">
        <v>116</v>
      </c>
      <c r="M827">
        <v>414</v>
      </c>
      <c r="N827" t="s">
        <v>1174</v>
      </c>
      <c r="O827">
        <v>42</v>
      </c>
      <c r="P827" t="str">
        <f>HYPERLINK("Gene166-zp_tree_all.dnd", "Gene166-tree")</f>
        <v>Gene166-tree</v>
      </c>
      <c r="Q827">
        <v>5</v>
      </c>
      <c r="R827">
        <v>9</v>
      </c>
      <c r="S827">
        <v>5</v>
      </c>
      <c r="T827">
        <v>9</v>
      </c>
      <c r="U827">
        <v>0.64285999999999999</v>
      </c>
      <c r="V827" t="s">
        <v>199</v>
      </c>
      <c r="W827" t="s">
        <v>135</v>
      </c>
      <c r="X827" t="s">
        <v>62</v>
      </c>
      <c r="Y827" t="s">
        <v>62</v>
      </c>
      <c r="Z827">
        <v>5</v>
      </c>
      <c r="AA827">
        <v>14</v>
      </c>
      <c r="AB827">
        <v>20</v>
      </c>
      <c r="AC827">
        <v>0.41176000000000001</v>
      </c>
      <c r="AD827" s="47">
        <v>0</v>
      </c>
      <c r="AE827" s="47">
        <v>0</v>
      </c>
      <c r="AF827" s="47">
        <v>0</v>
      </c>
      <c r="AG827" s="47">
        <v>1</v>
      </c>
      <c r="AH827" s="47">
        <v>0</v>
      </c>
      <c r="AI827" s="47">
        <v>7</v>
      </c>
      <c r="AJ827" s="47">
        <v>0</v>
      </c>
      <c r="AK827" s="47">
        <v>7</v>
      </c>
      <c r="AL827">
        <v>19</v>
      </c>
      <c r="AM827">
        <v>0.26923000000000002</v>
      </c>
      <c r="AN827">
        <v>12</v>
      </c>
      <c r="AO827">
        <v>11</v>
      </c>
      <c r="AP827">
        <v>34</v>
      </c>
      <c r="AQ827">
        <v>27</v>
      </c>
      <c r="AR827">
        <v>26</v>
      </c>
      <c r="AS827">
        <v>9</v>
      </c>
      <c r="AT827" t="s">
        <v>1175</v>
      </c>
      <c r="AU827" t="s">
        <v>1176</v>
      </c>
      <c r="AV827">
        <v>0.93100000000000005</v>
      </c>
      <c r="AW827" t="s">
        <v>65</v>
      </c>
      <c r="AX827">
        <v>60</v>
      </c>
      <c r="AY827">
        <v>36</v>
      </c>
      <c r="AZ827" t="s">
        <v>1177</v>
      </c>
      <c r="BA827">
        <v>3.9140000000000001E-2</v>
      </c>
      <c r="BB827">
        <v>-1.4599999999999999E-3</v>
      </c>
      <c r="BC827">
        <v>7.0400000000000003E-3</v>
      </c>
      <c r="BD827">
        <v>-3.1E-4</v>
      </c>
      <c r="BE827">
        <v>0.17998</v>
      </c>
      <c r="BF827">
        <v>1</v>
      </c>
      <c r="BG827" t="s">
        <v>69</v>
      </c>
      <c r="BH827">
        <v>-0.22</v>
      </c>
      <c r="BI827">
        <v>-1</v>
      </c>
    </row>
    <row r="828" spans="3:61">
      <c r="C828">
        <v>0</v>
      </c>
      <c r="D828">
        <v>2</v>
      </c>
      <c r="E828">
        <v>0</v>
      </c>
      <c r="F828" t="s">
        <v>25021</v>
      </c>
      <c r="G828">
        <v>234</v>
      </c>
      <c r="H828" t="s">
        <v>1585</v>
      </c>
      <c r="I828" t="s">
        <v>62</v>
      </c>
      <c r="J828">
        <v>253521</v>
      </c>
      <c r="K828">
        <v>254762</v>
      </c>
      <c r="L828" t="s">
        <v>1586</v>
      </c>
      <c r="M828">
        <v>414</v>
      </c>
      <c r="N828" t="s">
        <v>108</v>
      </c>
      <c r="O828">
        <v>44</v>
      </c>
      <c r="P828" t="str">
        <f>HYPERLINK("Gene234-zp_tree_all.dnd", "Gene234-tree")</f>
        <v>Gene234-tree</v>
      </c>
      <c r="Q828">
        <v>9</v>
      </c>
      <c r="R828">
        <v>5</v>
      </c>
      <c r="S828">
        <v>9</v>
      </c>
      <c r="T828">
        <v>5</v>
      </c>
      <c r="U828">
        <v>0.35714000000000001</v>
      </c>
      <c r="V828" t="s">
        <v>135</v>
      </c>
      <c r="W828" t="s">
        <v>199</v>
      </c>
      <c r="X828" t="s">
        <v>62</v>
      </c>
      <c r="Y828" t="s">
        <v>62</v>
      </c>
      <c r="Z828">
        <v>1</v>
      </c>
      <c r="AA828">
        <v>2</v>
      </c>
      <c r="AB828">
        <v>4</v>
      </c>
      <c r="AC828">
        <v>0.33333000000000002</v>
      </c>
      <c r="AD828" s="47">
        <v>0</v>
      </c>
      <c r="AE828" s="47">
        <v>0</v>
      </c>
      <c r="AF828" s="47">
        <v>0</v>
      </c>
      <c r="AG828" s="47">
        <v>0</v>
      </c>
      <c r="AH828" s="47">
        <v>0</v>
      </c>
      <c r="AI828" s="47">
        <v>2</v>
      </c>
      <c r="AJ828" s="47">
        <v>0</v>
      </c>
      <c r="AK828" s="47">
        <v>2</v>
      </c>
      <c r="AL828">
        <v>4</v>
      </c>
      <c r="AM828">
        <v>0.33333000000000002</v>
      </c>
      <c r="AN828">
        <v>13</v>
      </c>
      <c r="AO828">
        <v>10</v>
      </c>
      <c r="AP828">
        <v>39</v>
      </c>
      <c r="AQ828">
        <v>6</v>
      </c>
      <c r="AR828">
        <v>21</v>
      </c>
      <c r="AS828">
        <v>0</v>
      </c>
      <c r="AT828" t="s">
        <v>1587</v>
      </c>
      <c r="AU828" t="s">
        <v>193</v>
      </c>
      <c r="AV828">
        <v>1.613</v>
      </c>
      <c r="AW828" t="s">
        <v>65</v>
      </c>
      <c r="AX828">
        <v>60</v>
      </c>
      <c r="AY828">
        <v>6</v>
      </c>
      <c r="AZ828" t="s">
        <v>1588</v>
      </c>
      <c r="BA828">
        <v>3.5159999999999997E-2</v>
      </c>
      <c r="BB828">
        <v>-1.16E-3</v>
      </c>
      <c r="BC828">
        <v>8.8999999999999995E-4</v>
      </c>
      <c r="BD828">
        <v>-9.0000000000000006E-5</v>
      </c>
      <c r="BE828">
        <v>2.5239999999999999E-2</v>
      </c>
      <c r="BF828">
        <v>1</v>
      </c>
      <c r="BG828" t="s">
        <v>69</v>
      </c>
      <c r="BH828">
        <v>-0.45800000000000002</v>
      </c>
      <c r="BI828">
        <v>-0.79200000000000004</v>
      </c>
    </row>
    <row r="829" spans="3:61">
      <c r="C829">
        <v>0</v>
      </c>
      <c r="D829">
        <v>8</v>
      </c>
      <c r="E829">
        <v>0</v>
      </c>
      <c r="F829" t="s">
        <v>25021</v>
      </c>
      <c r="G829">
        <v>1566</v>
      </c>
      <c r="H829" t="s">
        <v>9793</v>
      </c>
      <c r="I829" t="s">
        <v>62</v>
      </c>
      <c r="J829">
        <v>1573810</v>
      </c>
      <c r="K829">
        <v>1575054</v>
      </c>
      <c r="L829" t="s">
        <v>9794</v>
      </c>
      <c r="M829">
        <v>415</v>
      </c>
      <c r="N829" t="s">
        <v>1557</v>
      </c>
      <c r="O829">
        <v>40</v>
      </c>
      <c r="P829" t="str">
        <f>HYPERLINK("Gene1566-zp_tree_all.dnd", "Gene1566-tree")</f>
        <v>Gene1566-tree</v>
      </c>
      <c r="Q829">
        <v>3</v>
      </c>
      <c r="R829">
        <v>8</v>
      </c>
      <c r="S829">
        <v>3</v>
      </c>
      <c r="T829">
        <v>8</v>
      </c>
      <c r="U829">
        <v>0.72726999999999997</v>
      </c>
      <c r="V829" t="s">
        <v>324</v>
      </c>
      <c r="W829" t="s">
        <v>136</v>
      </c>
      <c r="X829" t="s">
        <v>62</v>
      </c>
      <c r="Y829" t="s">
        <v>62</v>
      </c>
      <c r="Z829">
        <v>4</v>
      </c>
      <c r="AA829">
        <v>8</v>
      </c>
      <c r="AB829">
        <v>28</v>
      </c>
      <c r="AC829">
        <v>0.22222</v>
      </c>
      <c r="AD829" s="47">
        <v>0</v>
      </c>
      <c r="AE829" s="47">
        <v>0</v>
      </c>
      <c r="AF829" s="47">
        <v>0</v>
      </c>
      <c r="AG829" s="47">
        <v>1</v>
      </c>
      <c r="AH829" s="47">
        <v>0</v>
      </c>
      <c r="AI829" s="47">
        <v>4</v>
      </c>
      <c r="AJ829" s="47">
        <v>0</v>
      </c>
      <c r="AK829" s="47">
        <v>4</v>
      </c>
      <c r="AL829">
        <v>18</v>
      </c>
      <c r="AM829">
        <v>0.18182000000000001</v>
      </c>
      <c r="AN829">
        <v>10</v>
      </c>
      <c r="AO829">
        <v>8</v>
      </c>
      <c r="AP829">
        <v>28</v>
      </c>
      <c r="AQ829">
        <v>22</v>
      </c>
      <c r="AR829">
        <v>33</v>
      </c>
      <c r="AS829">
        <v>14</v>
      </c>
      <c r="AT829" t="s">
        <v>9795</v>
      </c>
      <c r="AU829" t="s">
        <v>9796</v>
      </c>
      <c r="AV829">
        <v>1.1599999999999999</v>
      </c>
      <c r="AW829" t="s">
        <v>65</v>
      </c>
      <c r="AX829">
        <v>61</v>
      </c>
      <c r="AY829">
        <v>36</v>
      </c>
      <c r="AZ829" t="s">
        <v>9797</v>
      </c>
      <c r="BA829">
        <v>5.219E-2</v>
      </c>
      <c r="BB829">
        <v>-2.8600000000000001E-3</v>
      </c>
      <c r="BC829">
        <v>9.3299999999999998E-3</v>
      </c>
      <c r="BD829">
        <v>-4.6000000000000001E-4</v>
      </c>
      <c r="BE829">
        <v>0.17885000000000001</v>
      </c>
      <c r="BF829">
        <v>1</v>
      </c>
      <c r="BG829" t="s">
        <v>69</v>
      </c>
      <c r="BH829">
        <v>0.128</v>
      </c>
      <c r="BI829">
        <v>-0.64900000000000002</v>
      </c>
    </row>
    <row r="830" spans="3:61">
      <c r="C830">
        <v>0</v>
      </c>
      <c r="D830">
        <v>4</v>
      </c>
      <c r="E830">
        <v>4</v>
      </c>
      <c r="F830" t="s">
        <v>25021</v>
      </c>
      <c r="G830">
        <v>3122</v>
      </c>
      <c r="H830" t="s">
        <v>18114</v>
      </c>
      <c r="I830" t="s">
        <v>57</v>
      </c>
      <c r="J830">
        <v>3075367</v>
      </c>
      <c r="K830">
        <v>3076626</v>
      </c>
      <c r="L830" t="s">
        <v>18115</v>
      </c>
      <c r="M830">
        <v>420</v>
      </c>
      <c r="N830" t="s">
        <v>72</v>
      </c>
      <c r="O830">
        <v>45</v>
      </c>
      <c r="P830" t="str">
        <f>HYPERLINK("Gene3122-zp_tree_all.dnd", "Gene3122-tree")</f>
        <v>Gene3122-tree</v>
      </c>
      <c r="Q830">
        <v>9</v>
      </c>
      <c r="R830">
        <v>7</v>
      </c>
      <c r="S830">
        <v>9</v>
      </c>
      <c r="T830">
        <v>7</v>
      </c>
      <c r="U830">
        <v>0.4375</v>
      </c>
      <c r="V830" t="s">
        <v>135</v>
      </c>
      <c r="W830" t="s">
        <v>152</v>
      </c>
      <c r="X830" t="s">
        <v>62</v>
      </c>
      <c r="Y830" t="s">
        <v>62</v>
      </c>
      <c r="Z830">
        <v>4</v>
      </c>
      <c r="AA830">
        <v>8</v>
      </c>
      <c r="AB830">
        <v>8</v>
      </c>
      <c r="AC830">
        <v>0.5</v>
      </c>
      <c r="AD830" s="47">
        <v>0</v>
      </c>
      <c r="AE830" s="47">
        <v>0</v>
      </c>
      <c r="AF830" s="47">
        <v>0</v>
      </c>
      <c r="AG830" s="47">
        <v>0</v>
      </c>
      <c r="AH830" s="47">
        <v>0</v>
      </c>
      <c r="AI830" s="47">
        <v>4</v>
      </c>
      <c r="AJ830" s="47">
        <v>2</v>
      </c>
      <c r="AK830" s="47">
        <v>6</v>
      </c>
      <c r="AL830">
        <v>7</v>
      </c>
      <c r="AM830">
        <v>0.46154000000000001</v>
      </c>
      <c r="AN830">
        <v>16</v>
      </c>
      <c r="AO830">
        <v>11</v>
      </c>
      <c r="AP830">
        <v>90</v>
      </c>
      <c r="AQ830">
        <v>15</v>
      </c>
      <c r="AR830">
        <v>23</v>
      </c>
      <c r="AS830">
        <v>3</v>
      </c>
      <c r="AT830" t="s">
        <v>18116</v>
      </c>
      <c r="AU830" t="s">
        <v>18117</v>
      </c>
      <c r="AV830">
        <v>7.0999999999999994E-2</v>
      </c>
      <c r="AW830" t="s">
        <v>65</v>
      </c>
      <c r="AX830">
        <v>113</v>
      </c>
      <c r="AY830">
        <v>18</v>
      </c>
      <c r="AZ830" t="s">
        <v>18118</v>
      </c>
      <c r="BA830">
        <v>5.3900000000000003E-2</v>
      </c>
      <c r="BB830">
        <v>-5.79E-3</v>
      </c>
      <c r="BC830">
        <v>2.8999999999999998E-3</v>
      </c>
      <c r="BD830">
        <v>-2.4000000000000001E-4</v>
      </c>
      <c r="BE830">
        <v>5.3749999999999999E-2</v>
      </c>
      <c r="BF830">
        <v>1</v>
      </c>
      <c r="BG830" t="s">
        <v>69</v>
      </c>
      <c r="BH830">
        <v>-2.0169999999999999</v>
      </c>
      <c r="BI830">
        <v>-4.4800000000000004</v>
      </c>
    </row>
    <row r="831" spans="3:61">
      <c r="C831">
        <v>0</v>
      </c>
      <c r="D831">
        <v>12</v>
      </c>
      <c r="E831">
        <v>5</v>
      </c>
      <c r="F831" t="s">
        <v>25021</v>
      </c>
      <c r="G831">
        <v>4078</v>
      </c>
      <c r="H831" t="s">
        <v>24002</v>
      </c>
      <c r="I831" t="s">
        <v>57</v>
      </c>
      <c r="J831">
        <v>4045245</v>
      </c>
      <c r="K831">
        <v>4046507</v>
      </c>
      <c r="L831" t="s">
        <v>24003</v>
      </c>
      <c r="M831">
        <v>421</v>
      </c>
      <c r="N831" t="s">
        <v>2289</v>
      </c>
      <c r="O831">
        <v>37</v>
      </c>
      <c r="P831" t="str">
        <f>HYPERLINK("Gene4078-zp_tree_all.dnd", "Gene4078-tree")</f>
        <v>Gene4078-tree</v>
      </c>
      <c r="Q831">
        <v>2</v>
      </c>
      <c r="R831">
        <v>13</v>
      </c>
      <c r="S831">
        <v>2</v>
      </c>
      <c r="T831">
        <v>13</v>
      </c>
      <c r="U831">
        <v>0.86667000000000005</v>
      </c>
      <c r="V831" t="s">
        <v>81</v>
      </c>
      <c r="W831" t="s">
        <v>507</v>
      </c>
      <c r="X831" t="s">
        <v>62</v>
      </c>
      <c r="Y831" t="s">
        <v>62</v>
      </c>
      <c r="Z831">
        <v>7</v>
      </c>
      <c r="AA831">
        <v>17</v>
      </c>
      <c r="AB831">
        <v>19</v>
      </c>
      <c r="AC831">
        <v>0.47221999999999997</v>
      </c>
      <c r="AD831" s="47">
        <v>0</v>
      </c>
      <c r="AE831" s="47">
        <v>0</v>
      </c>
      <c r="AF831" s="47">
        <v>0</v>
      </c>
      <c r="AG831" s="47">
        <v>0</v>
      </c>
      <c r="AH831" s="47">
        <v>0</v>
      </c>
      <c r="AI831" s="47">
        <v>6</v>
      </c>
      <c r="AJ831" s="47">
        <v>2</v>
      </c>
      <c r="AK831" s="47">
        <v>8</v>
      </c>
      <c r="AL831">
        <v>21</v>
      </c>
      <c r="AM831">
        <v>0.27585999999999999</v>
      </c>
      <c r="AN831">
        <v>14</v>
      </c>
      <c r="AO831">
        <v>10</v>
      </c>
      <c r="AP831">
        <v>40</v>
      </c>
      <c r="AQ831">
        <v>27</v>
      </c>
      <c r="AR831">
        <v>31</v>
      </c>
      <c r="AS831">
        <v>10</v>
      </c>
      <c r="AT831" t="s">
        <v>24004</v>
      </c>
      <c r="AU831" t="s">
        <v>24005</v>
      </c>
      <c r="AV831">
        <v>0.81599999999999995</v>
      </c>
      <c r="AW831" t="s">
        <v>65</v>
      </c>
      <c r="AX831">
        <v>71</v>
      </c>
      <c r="AY831">
        <v>37</v>
      </c>
      <c r="AZ831" t="s">
        <v>24006</v>
      </c>
      <c r="BA831">
        <v>4.5080000000000002E-2</v>
      </c>
      <c r="BB831">
        <v>-2.0899999999999998E-3</v>
      </c>
      <c r="BC831">
        <v>6.3299999999999997E-3</v>
      </c>
      <c r="BD831">
        <v>-2.2000000000000001E-4</v>
      </c>
      <c r="BE831">
        <v>0.14033999999999999</v>
      </c>
      <c r="BF831">
        <v>1</v>
      </c>
      <c r="BG831" t="s">
        <v>69</v>
      </c>
      <c r="BH831">
        <v>-0.74</v>
      </c>
      <c r="BI831">
        <v>-1.2629999999999999</v>
      </c>
    </row>
    <row r="832" spans="3:61">
      <c r="C832">
        <v>0</v>
      </c>
      <c r="D832">
        <v>2</v>
      </c>
      <c r="E832">
        <v>0</v>
      </c>
      <c r="F832" t="s">
        <v>25021</v>
      </c>
      <c r="G832">
        <v>2867</v>
      </c>
      <c r="H832" t="s">
        <v>16478</v>
      </c>
      <c r="I832" t="s">
        <v>57</v>
      </c>
      <c r="J832">
        <v>2812336</v>
      </c>
      <c r="K832">
        <v>2813598</v>
      </c>
      <c r="L832" t="s">
        <v>16479</v>
      </c>
      <c r="M832">
        <v>421</v>
      </c>
      <c r="N832" t="s">
        <v>108</v>
      </c>
      <c r="O832">
        <v>44</v>
      </c>
      <c r="P832" t="str">
        <f>HYPERLINK("Gene2867-zp_tree_all.dnd", "Gene2867-tree")</f>
        <v>Gene2867-tree</v>
      </c>
      <c r="Q832">
        <v>6</v>
      </c>
      <c r="R832">
        <v>7</v>
      </c>
      <c r="S832">
        <v>6</v>
      </c>
      <c r="T832">
        <v>7</v>
      </c>
      <c r="U832">
        <v>0.53846000000000005</v>
      </c>
      <c r="V832" t="s">
        <v>90</v>
      </c>
      <c r="W832" t="s">
        <v>152</v>
      </c>
      <c r="X832" t="s">
        <v>62</v>
      </c>
      <c r="Y832" t="s">
        <v>62</v>
      </c>
      <c r="Z832">
        <v>1</v>
      </c>
      <c r="AA832">
        <v>2</v>
      </c>
      <c r="AB832">
        <v>9</v>
      </c>
      <c r="AC832">
        <v>0.18182000000000001</v>
      </c>
      <c r="AD832" s="47">
        <v>0</v>
      </c>
      <c r="AE832" s="47">
        <v>0</v>
      </c>
      <c r="AF832" s="47">
        <v>0</v>
      </c>
      <c r="AG832" s="47">
        <v>1</v>
      </c>
      <c r="AH832" s="47">
        <v>0</v>
      </c>
      <c r="AI832" s="47">
        <v>2</v>
      </c>
      <c r="AJ832" s="47">
        <v>0</v>
      </c>
      <c r="AK832" s="47">
        <v>2</v>
      </c>
      <c r="AL832">
        <v>7</v>
      </c>
      <c r="AM832">
        <v>0.22222</v>
      </c>
      <c r="AN832">
        <v>12</v>
      </c>
      <c r="AO832">
        <v>8</v>
      </c>
      <c r="AP832">
        <v>30</v>
      </c>
      <c r="AQ832">
        <v>9</v>
      </c>
      <c r="AR832">
        <v>30</v>
      </c>
      <c r="AS832">
        <v>2</v>
      </c>
      <c r="AT832" t="s">
        <v>16480</v>
      </c>
      <c r="AU832" t="s">
        <v>16481</v>
      </c>
      <c r="AV832">
        <v>1.6220000000000001</v>
      </c>
      <c r="AW832" t="s">
        <v>65</v>
      </c>
      <c r="AX832">
        <v>60</v>
      </c>
      <c r="AY832">
        <v>11</v>
      </c>
      <c r="AZ832" t="s">
        <v>16482</v>
      </c>
      <c r="BA832">
        <v>3.9469999999999998E-2</v>
      </c>
      <c r="BB832">
        <v>-1.9400000000000001E-3</v>
      </c>
      <c r="BC832">
        <v>1.99E-3</v>
      </c>
      <c r="BD832">
        <v>-1.1E-4</v>
      </c>
      <c r="BE832">
        <v>5.0340000000000003E-2</v>
      </c>
      <c r="BF832">
        <v>1</v>
      </c>
      <c r="BG832" t="s">
        <v>69</v>
      </c>
      <c r="BH832">
        <v>-0.49099999999999999</v>
      </c>
      <c r="BI832">
        <v>-0.97299999999999998</v>
      </c>
    </row>
    <row r="833" spans="3:61">
      <c r="C833">
        <v>0</v>
      </c>
      <c r="D833">
        <v>14</v>
      </c>
      <c r="E833">
        <v>0</v>
      </c>
      <c r="F833" t="s">
        <v>25021</v>
      </c>
      <c r="G833">
        <v>3310</v>
      </c>
      <c r="H833" t="s">
        <v>19313</v>
      </c>
      <c r="I833" t="s">
        <v>57</v>
      </c>
      <c r="J833">
        <v>3276955</v>
      </c>
      <c r="K833">
        <v>3278220</v>
      </c>
      <c r="L833" t="s">
        <v>19314</v>
      </c>
      <c r="M833">
        <v>422</v>
      </c>
      <c r="N833" t="s">
        <v>265</v>
      </c>
      <c r="O833">
        <v>43</v>
      </c>
      <c r="P833" t="str">
        <f>HYPERLINK("Gene3310-zp_tree_all.dnd", "Gene3310-tree")</f>
        <v>Gene3310-tree</v>
      </c>
      <c r="Q833">
        <v>7</v>
      </c>
      <c r="R833">
        <v>10</v>
      </c>
      <c r="S833">
        <v>7</v>
      </c>
      <c r="T833">
        <v>10</v>
      </c>
      <c r="U833">
        <v>0.58823999999999999</v>
      </c>
      <c r="V833" t="s">
        <v>152</v>
      </c>
      <c r="W833" t="s">
        <v>117</v>
      </c>
      <c r="X833" t="s">
        <v>62</v>
      </c>
      <c r="Y833" t="s">
        <v>62</v>
      </c>
      <c r="Z833">
        <v>6</v>
      </c>
      <c r="AA833">
        <v>14</v>
      </c>
      <c r="AB833">
        <v>14</v>
      </c>
      <c r="AC833">
        <v>0.5</v>
      </c>
      <c r="AD833" s="47">
        <v>0</v>
      </c>
      <c r="AE833" s="47">
        <v>0</v>
      </c>
      <c r="AF833" s="47">
        <v>0</v>
      </c>
      <c r="AG833" s="47">
        <v>1</v>
      </c>
      <c r="AH833" s="47">
        <v>0</v>
      </c>
      <c r="AI833" s="47">
        <v>10</v>
      </c>
      <c r="AJ833" s="47">
        <v>2</v>
      </c>
      <c r="AK833" s="47">
        <v>12</v>
      </c>
      <c r="AL833">
        <v>14</v>
      </c>
      <c r="AM833">
        <v>0.46154000000000001</v>
      </c>
      <c r="AN833">
        <v>14</v>
      </c>
      <c r="AO833">
        <v>11</v>
      </c>
      <c r="AP833">
        <v>43</v>
      </c>
      <c r="AQ833">
        <v>26</v>
      </c>
      <c r="AR833">
        <v>29</v>
      </c>
      <c r="AS833">
        <v>2</v>
      </c>
      <c r="AT833" t="s">
        <v>19315</v>
      </c>
      <c r="AU833" t="s">
        <v>19316</v>
      </c>
      <c r="AV833">
        <v>0.998</v>
      </c>
      <c r="AW833" t="s">
        <v>65</v>
      </c>
      <c r="AX833">
        <v>72</v>
      </c>
      <c r="AY833">
        <v>28</v>
      </c>
      <c r="AZ833" t="s">
        <v>19317</v>
      </c>
      <c r="BA833">
        <v>4.2709999999999998E-2</v>
      </c>
      <c r="BB833">
        <v>-2.0999999999999999E-3</v>
      </c>
      <c r="BC833">
        <v>3.4199999999999999E-3</v>
      </c>
      <c r="BD833">
        <v>-2.5000000000000001E-4</v>
      </c>
      <c r="BE833">
        <v>8.0180000000000001E-2</v>
      </c>
      <c r="BF833">
        <v>1</v>
      </c>
      <c r="BG833" t="s">
        <v>69</v>
      </c>
      <c r="BH833">
        <v>-1.2729999999999999</v>
      </c>
      <c r="BI833">
        <v>-2.2120000000000002</v>
      </c>
    </row>
    <row r="834" spans="3:61">
      <c r="C834">
        <v>0</v>
      </c>
      <c r="D834">
        <v>8</v>
      </c>
      <c r="E834">
        <v>2</v>
      </c>
      <c r="F834" t="s">
        <v>25021</v>
      </c>
      <c r="G834">
        <v>1883</v>
      </c>
      <c r="H834" t="s">
        <v>11778</v>
      </c>
      <c r="I834" t="s">
        <v>62</v>
      </c>
      <c r="J834">
        <v>1942717</v>
      </c>
      <c r="K834">
        <v>1943982</v>
      </c>
      <c r="L834" t="s">
        <v>11779</v>
      </c>
      <c r="M834">
        <v>422</v>
      </c>
      <c r="N834" t="s">
        <v>11780</v>
      </c>
      <c r="O834">
        <v>43</v>
      </c>
      <c r="P834" t="str">
        <f>HYPERLINK("Gene1883-zp_tree_all.dnd", "Gene1883-tree")</f>
        <v>Gene1883-tree</v>
      </c>
      <c r="Q834">
        <v>3</v>
      </c>
      <c r="R834">
        <v>30</v>
      </c>
      <c r="S834">
        <v>3</v>
      </c>
      <c r="T834">
        <v>9</v>
      </c>
      <c r="U834">
        <v>0.75</v>
      </c>
      <c r="V834" t="s">
        <v>324</v>
      </c>
      <c r="W834" t="s">
        <v>2142</v>
      </c>
      <c r="X834">
        <v>1.887</v>
      </c>
      <c r="Y834" t="s">
        <v>65</v>
      </c>
      <c r="Z834">
        <v>5</v>
      </c>
      <c r="AA834">
        <v>10</v>
      </c>
      <c r="AB834">
        <v>17</v>
      </c>
      <c r="AC834">
        <v>0.37036999999999998</v>
      </c>
      <c r="AD834" s="47">
        <v>0</v>
      </c>
      <c r="AE834" s="47">
        <v>0</v>
      </c>
      <c r="AF834" s="47">
        <v>0</v>
      </c>
      <c r="AG834" s="47">
        <v>0</v>
      </c>
      <c r="AH834" s="47">
        <v>0</v>
      </c>
      <c r="AI834" s="47">
        <v>4</v>
      </c>
      <c r="AJ834" s="47">
        <v>4</v>
      </c>
      <c r="AK834" s="47">
        <v>8</v>
      </c>
      <c r="AL834">
        <v>17</v>
      </c>
      <c r="AM834">
        <v>0.32</v>
      </c>
      <c r="AN834">
        <v>10</v>
      </c>
      <c r="AO834">
        <v>9</v>
      </c>
      <c r="AP834">
        <v>72</v>
      </c>
      <c r="AQ834">
        <v>23</v>
      </c>
      <c r="AR834">
        <v>53</v>
      </c>
      <c r="AS834">
        <v>5</v>
      </c>
      <c r="AT834" t="s">
        <v>11781</v>
      </c>
      <c r="AU834" t="s">
        <v>11782</v>
      </c>
      <c r="AV834">
        <v>0.86499999999999999</v>
      </c>
      <c r="AW834" t="s">
        <v>65</v>
      </c>
      <c r="AX834">
        <v>125</v>
      </c>
      <c r="AY834">
        <v>28</v>
      </c>
      <c r="AZ834" t="s">
        <v>11783</v>
      </c>
      <c r="BA834">
        <v>9.3520000000000006E-2</v>
      </c>
      <c r="BB834">
        <v>-5.1399999999999996E-3</v>
      </c>
      <c r="BC834">
        <v>5.4400000000000004E-3</v>
      </c>
      <c r="BD834">
        <v>-4.6999999999999999E-4</v>
      </c>
      <c r="BE834">
        <v>5.8169999999999999E-2</v>
      </c>
      <c r="BF834">
        <v>1</v>
      </c>
      <c r="BG834" t="s">
        <v>69</v>
      </c>
      <c r="BH834">
        <v>-0.99099999999999999</v>
      </c>
      <c r="BI834">
        <v>-1.7270000000000001</v>
      </c>
    </row>
    <row r="835" spans="3:61">
      <c r="C835">
        <v>0</v>
      </c>
      <c r="D835">
        <v>3</v>
      </c>
      <c r="E835">
        <v>0</v>
      </c>
      <c r="F835" t="s">
        <v>25021</v>
      </c>
      <c r="G835">
        <v>1133</v>
      </c>
      <c r="H835" t="s">
        <v>7127</v>
      </c>
      <c r="I835" t="s">
        <v>62</v>
      </c>
      <c r="J835">
        <v>1175988</v>
      </c>
      <c r="K835">
        <v>1177253</v>
      </c>
      <c r="L835" t="s">
        <v>2641</v>
      </c>
      <c r="M835">
        <v>422</v>
      </c>
      <c r="N835" t="s">
        <v>2289</v>
      </c>
      <c r="O835">
        <v>37</v>
      </c>
      <c r="P835" t="str">
        <f>HYPERLINK("Gene1133-zp_tree_all.dnd", "Gene1133-tree")</f>
        <v>Gene1133-tree</v>
      </c>
      <c r="Q835">
        <v>8</v>
      </c>
      <c r="R835">
        <v>6</v>
      </c>
      <c r="S835">
        <v>8</v>
      </c>
      <c r="T835">
        <v>6</v>
      </c>
      <c r="U835">
        <v>0.42857000000000001</v>
      </c>
      <c r="V835" t="s">
        <v>136</v>
      </c>
      <c r="W835" t="s">
        <v>90</v>
      </c>
      <c r="X835" t="s">
        <v>62</v>
      </c>
      <c r="Y835" t="s">
        <v>62</v>
      </c>
      <c r="Z835">
        <v>1</v>
      </c>
      <c r="AA835">
        <v>3</v>
      </c>
      <c r="AB835">
        <v>6</v>
      </c>
      <c r="AC835">
        <v>0.33333000000000002</v>
      </c>
      <c r="AD835" s="47">
        <v>0</v>
      </c>
      <c r="AE835" s="47">
        <v>0</v>
      </c>
      <c r="AF835" s="47">
        <v>0</v>
      </c>
      <c r="AG835" s="47">
        <v>0</v>
      </c>
      <c r="AH835" s="47">
        <v>0</v>
      </c>
      <c r="AI835" s="47">
        <v>0</v>
      </c>
      <c r="AJ835" s="47">
        <v>0</v>
      </c>
      <c r="AK835" s="47">
        <v>0</v>
      </c>
      <c r="AL835">
        <v>6</v>
      </c>
      <c r="AM835">
        <v>0</v>
      </c>
      <c r="AN835">
        <v>12</v>
      </c>
      <c r="AO835">
        <v>8</v>
      </c>
      <c r="AP835">
        <v>63</v>
      </c>
      <c r="AQ835">
        <v>7</v>
      </c>
      <c r="AR835">
        <v>14</v>
      </c>
      <c r="AS835">
        <v>4</v>
      </c>
      <c r="AT835" t="s">
        <v>7128</v>
      </c>
      <c r="AU835" t="s">
        <v>7129</v>
      </c>
      <c r="AV835">
        <v>1.2609999999999999</v>
      </c>
      <c r="AW835" t="s">
        <v>65</v>
      </c>
      <c r="AX835">
        <v>77</v>
      </c>
      <c r="AY835">
        <v>11</v>
      </c>
      <c r="AZ835" t="s">
        <v>7130</v>
      </c>
      <c r="BA835">
        <v>4.1450000000000001E-2</v>
      </c>
      <c r="BB835">
        <v>-3.0699999999999998E-3</v>
      </c>
      <c r="BC835">
        <v>1.6999999999999999E-3</v>
      </c>
      <c r="BD835">
        <v>-1.2E-4</v>
      </c>
      <c r="BE835">
        <v>4.1059999999999999E-2</v>
      </c>
      <c r="BF835">
        <v>1</v>
      </c>
      <c r="BG835" t="s">
        <v>69</v>
      </c>
      <c r="BH835">
        <v>-2.008</v>
      </c>
      <c r="BI835">
        <v>-4.2320000000000002</v>
      </c>
    </row>
    <row r="836" spans="3:61">
      <c r="C836">
        <v>0</v>
      </c>
      <c r="D836">
        <v>5</v>
      </c>
      <c r="E836">
        <v>0</v>
      </c>
      <c r="F836" t="s">
        <v>25021</v>
      </c>
      <c r="G836">
        <v>444</v>
      </c>
      <c r="H836" t="s">
        <v>3016</v>
      </c>
      <c r="I836" t="s">
        <v>62</v>
      </c>
      <c r="J836">
        <v>491150</v>
      </c>
      <c r="K836">
        <v>492424</v>
      </c>
      <c r="L836" t="s">
        <v>3017</v>
      </c>
      <c r="M836">
        <v>425</v>
      </c>
      <c r="N836" t="s">
        <v>2950</v>
      </c>
      <c r="O836">
        <v>41</v>
      </c>
      <c r="P836" t="str">
        <f>HYPERLINK("Gene444-zp_tree_all.dnd", "Gene444-tree")</f>
        <v>Gene444-tree</v>
      </c>
      <c r="Q836">
        <v>8</v>
      </c>
      <c r="R836">
        <v>5</v>
      </c>
      <c r="S836">
        <v>8</v>
      </c>
      <c r="T836">
        <v>5</v>
      </c>
      <c r="U836">
        <v>0.38462000000000002</v>
      </c>
      <c r="V836" t="s">
        <v>136</v>
      </c>
      <c r="W836" t="s">
        <v>199</v>
      </c>
      <c r="X836" t="s">
        <v>62</v>
      </c>
      <c r="Y836" t="s">
        <v>62</v>
      </c>
      <c r="Z836">
        <v>1</v>
      </c>
      <c r="AA836">
        <v>5</v>
      </c>
      <c r="AB836">
        <v>4</v>
      </c>
      <c r="AC836">
        <v>0.55556000000000005</v>
      </c>
      <c r="AD836" s="47">
        <v>0</v>
      </c>
      <c r="AE836" s="47">
        <v>0</v>
      </c>
      <c r="AF836" s="47">
        <v>0</v>
      </c>
      <c r="AG836" s="47">
        <v>1</v>
      </c>
      <c r="AH836" s="47">
        <v>0</v>
      </c>
      <c r="AI836" s="47">
        <v>0</v>
      </c>
      <c r="AJ836" s="47">
        <v>0</v>
      </c>
      <c r="AK836" s="47">
        <v>0</v>
      </c>
      <c r="AL836">
        <v>4</v>
      </c>
      <c r="AM836">
        <v>0</v>
      </c>
      <c r="AN836">
        <v>11</v>
      </c>
      <c r="AO836">
        <v>8</v>
      </c>
      <c r="AP836">
        <v>46</v>
      </c>
      <c r="AQ836">
        <v>4</v>
      </c>
      <c r="AR836">
        <v>18</v>
      </c>
      <c r="AS836">
        <v>5</v>
      </c>
      <c r="AT836" t="s">
        <v>3018</v>
      </c>
      <c r="AU836" t="s">
        <v>3019</v>
      </c>
      <c r="AV836">
        <v>0.65800000000000003</v>
      </c>
      <c r="AW836" t="s">
        <v>65</v>
      </c>
      <c r="AX836">
        <v>64</v>
      </c>
      <c r="AY836">
        <v>9</v>
      </c>
      <c r="AZ836" t="s">
        <v>3020</v>
      </c>
      <c r="BA836">
        <v>4.4159999999999998E-2</v>
      </c>
      <c r="BB836">
        <v>-2.3500000000000001E-3</v>
      </c>
      <c r="BC836">
        <v>1.5E-3</v>
      </c>
      <c r="BD836">
        <v>-1.2E-4</v>
      </c>
      <c r="BE836">
        <v>3.3890000000000003E-2</v>
      </c>
      <c r="BF836">
        <v>1</v>
      </c>
      <c r="BG836" t="s">
        <v>69</v>
      </c>
      <c r="BH836">
        <v>-0.68799999999999994</v>
      </c>
      <c r="BI836">
        <v>-1.9139999999999999</v>
      </c>
    </row>
    <row r="837" spans="3:61">
      <c r="C837">
        <v>0</v>
      </c>
      <c r="D837">
        <v>11</v>
      </c>
      <c r="E837">
        <v>1</v>
      </c>
      <c r="F837" t="s">
        <v>25021</v>
      </c>
      <c r="G837">
        <v>3878</v>
      </c>
      <c r="H837" t="s">
        <v>22744</v>
      </c>
      <c r="I837" t="s">
        <v>57</v>
      </c>
      <c r="J837">
        <v>3841017</v>
      </c>
      <c r="K837">
        <v>3842294</v>
      </c>
      <c r="L837" t="s">
        <v>22745</v>
      </c>
      <c r="M837">
        <v>426</v>
      </c>
      <c r="N837" t="s">
        <v>7661</v>
      </c>
      <c r="O837">
        <v>43</v>
      </c>
      <c r="P837" t="str">
        <f>HYPERLINK("Gene3878-zp_tree_all.dnd", "Gene3878-tree")</f>
        <v>Gene3878-tree</v>
      </c>
      <c r="Q837">
        <v>4</v>
      </c>
      <c r="R837">
        <v>12</v>
      </c>
      <c r="S837">
        <v>4</v>
      </c>
      <c r="T837">
        <v>12</v>
      </c>
      <c r="U837">
        <v>0.75</v>
      </c>
      <c r="V837" t="s">
        <v>61</v>
      </c>
      <c r="W837" t="s">
        <v>109</v>
      </c>
      <c r="X837" t="s">
        <v>62</v>
      </c>
      <c r="Y837" t="s">
        <v>62</v>
      </c>
      <c r="Z837">
        <v>5</v>
      </c>
      <c r="AA837">
        <v>12</v>
      </c>
      <c r="AB837">
        <v>24</v>
      </c>
      <c r="AC837">
        <v>0.33333000000000002</v>
      </c>
      <c r="AD837" s="47">
        <v>0</v>
      </c>
      <c r="AE837" s="47">
        <v>0</v>
      </c>
      <c r="AF837" s="47">
        <v>0</v>
      </c>
      <c r="AG837" s="47">
        <v>0</v>
      </c>
      <c r="AH837" s="47">
        <v>0</v>
      </c>
      <c r="AI837" s="47">
        <v>6</v>
      </c>
      <c r="AJ837" s="47">
        <v>0</v>
      </c>
      <c r="AK837" s="47">
        <v>6</v>
      </c>
      <c r="AL837">
        <v>25</v>
      </c>
      <c r="AM837">
        <v>0.19355</v>
      </c>
      <c r="AN837">
        <v>12</v>
      </c>
      <c r="AO837">
        <v>13</v>
      </c>
      <c r="AP837">
        <v>20</v>
      </c>
      <c r="AQ837">
        <v>19</v>
      </c>
      <c r="AR837">
        <v>26</v>
      </c>
      <c r="AS837">
        <v>18</v>
      </c>
      <c r="AT837" t="s">
        <v>22746</v>
      </c>
      <c r="AU837" t="s">
        <v>22747</v>
      </c>
      <c r="AV837">
        <v>0.40699999999999997</v>
      </c>
      <c r="AW837" t="s">
        <v>65</v>
      </c>
      <c r="AX837">
        <v>46</v>
      </c>
      <c r="AY837">
        <v>37</v>
      </c>
      <c r="AZ837" t="s">
        <v>22748</v>
      </c>
      <c r="BA837">
        <v>3.1879999999999999E-2</v>
      </c>
      <c r="BB837">
        <v>-9.6000000000000002E-4</v>
      </c>
      <c r="BC837">
        <v>6.4000000000000003E-3</v>
      </c>
      <c r="BD837">
        <v>-3.3E-4</v>
      </c>
      <c r="BE837">
        <v>0.20077</v>
      </c>
      <c r="BF837">
        <v>1</v>
      </c>
      <c r="BG837" t="s">
        <v>69</v>
      </c>
      <c r="BH837">
        <v>-0.93799999999999994</v>
      </c>
      <c r="BI837">
        <v>-0.73199999999999998</v>
      </c>
    </row>
    <row r="838" spans="3:61">
      <c r="C838">
        <v>0</v>
      </c>
      <c r="D838">
        <v>22</v>
      </c>
      <c r="E838">
        <v>0</v>
      </c>
      <c r="F838" t="s">
        <v>25021</v>
      </c>
      <c r="G838">
        <v>3142</v>
      </c>
      <c r="H838" t="s">
        <v>18248</v>
      </c>
      <c r="I838" t="s">
        <v>57</v>
      </c>
      <c r="J838">
        <v>3097850</v>
      </c>
      <c r="K838">
        <v>3099127</v>
      </c>
      <c r="L838" t="s">
        <v>18249</v>
      </c>
      <c r="M838">
        <v>426</v>
      </c>
      <c r="N838" t="s">
        <v>108</v>
      </c>
      <c r="O838">
        <v>44</v>
      </c>
      <c r="P838" t="str">
        <f>HYPERLINK("Gene3142-zp_tree_all.dnd", "Gene3142-tree")</f>
        <v>Gene3142-tree</v>
      </c>
      <c r="Q838">
        <v>6</v>
      </c>
      <c r="R838">
        <v>11</v>
      </c>
      <c r="S838">
        <v>6</v>
      </c>
      <c r="T838">
        <v>11</v>
      </c>
      <c r="U838">
        <v>0.64705999999999997</v>
      </c>
      <c r="V838" t="s">
        <v>90</v>
      </c>
      <c r="W838" t="s">
        <v>73</v>
      </c>
      <c r="X838">
        <v>95384385.856999993</v>
      </c>
      <c r="Y838" t="s">
        <v>267</v>
      </c>
      <c r="Z838">
        <v>10</v>
      </c>
      <c r="AA838">
        <v>22</v>
      </c>
      <c r="AB838">
        <v>21</v>
      </c>
      <c r="AC838">
        <v>0.51163000000000003</v>
      </c>
      <c r="AD838" s="47">
        <v>0</v>
      </c>
      <c r="AE838" s="47">
        <v>0</v>
      </c>
      <c r="AF838" s="47">
        <v>0</v>
      </c>
      <c r="AG838" s="47">
        <v>1</v>
      </c>
      <c r="AH838" s="47">
        <v>0</v>
      </c>
      <c r="AI838" s="47">
        <v>6</v>
      </c>
      <c r="AJ838" s="47">
        <v>0</v>
      </c>
      <c r="AK838" s="47">
        <v>6</v>
      </c>
      <c r="AL838">
        <v>22</v>
      </c>
      <c r="AM838">
        <v>0.21429000000000001</v>
      </c>
      <c r="AN838">
        <v>15</v>
      </c>
      <c r="AO838">
        <v>13</v>
      </c>
      <c r="AP838">
        <v>62</v>
      </c>
      <c r="AQ838">
        <v>27</v>
      </c>
      <c r="AR838">
        <v>47</v>
      </c>
      <c r="AS838">
        <v>17</v>
      </c>
      <c r="AT838" t="s">
        <v>18250</v>
      </c>
      <c r="AU838" t="s">
        <v>18251</v>
      </c>
      <c r="AV838">
        <v>0.318</v>
      </c>
      <c r="AW838" t="s">
        <v>65</v>
      </c>
      <c r="AX838">
        <v>109</v>
      </c>
      <c r="AY838">
        <v>44</v>
      </c>
      <c r="AZ838" t="s">
        <v>18252</v>
      </c>
      <c r="BA838">
        <v>5.611E-2</v>
      </c>
      <c r="BB838">
        <v>-1.6800000000000001E-3</v>
      </c>
      <c r="BC838">
        <v>7.0600000000000003E-3</v>
      </c>
      <c r="BD838">
        <v>-2.9E-4</v>
      </c>
      <c r="BE838">
        <v>0.12586</v>
      </c>
      <c r="BF838">
        <v>1</v>
      </c>
      <c r="BG838" t="s">
        <v>69</v>
      </c>
      <c r="BH838">
        <v>-0.311</v>
      </c>
      <c r="BI838">
        <v>-0.746</v>
      </c>
    </row>
    <row r="839" spans="3:61">
      <c r="C839">
        <v>0</v>
      </c>
      <c r="D839">
        <v>0</v>
      </c>
      <c r="E839">
        <v>0</v>
      </c>
      <c r="F839" t="s">
        <v>25021</v>
      </c>
      <c r="G839">
        <v>4045</v>
      </c>
      <c r="H839" t="s">
        <v>23809</v>
      </c>
      <c r="I839" t="s">
        <v>57</v>
      </c>
      <c r="J839">
        <v>4010404</v>
      </c>
      <c r="K839">
        <v>4011681</v>
      </c>
      <c r="L839" t="s">
        <v>23810</v>
      </c>
      <c r="M839">
        <v>426</v>
      </c>
      <c r="N839" t="s">
        <v>108</v>
      </c>
      <c r="O839">
        <v>44</v>
      </c>
      <c r="P839" t="str">
        <f>HYPERLINK("Gene4045-zp_tree_all.dnd", "Gene4045-tree")</f>
        <v>Gene4045-tree</v>
      </c>
      <c r="Q839">
        <v>10</v>
      </c>
      <c r="R839">
        <v>5</v>
      </c>
      <c r="S839">
        <v>10</v>
      </c>
      <c r="T839">
        <v>5</v>
      </c>
      <c r="U839">
        <v>0.33333000000000002</v>
      </c>
      <c r="V839" t="s">
        <v>117</v>
      </c>
      <c r="W839" t="s">
        <v>199</v>
      </c>
      <c r="X839" t="s">
        <v>62</v>
      </c>
      <c r="Y839" t="s">
        <v>62</v>
      </c>
      <c r="Z839">
        <v>0</v>
      </c>
      <c r="AA839">
        <v>0</v>
      </c>
      <c r="AB839">
        <v>7</v>
      </c>
      <c r="AC839">
        <v>0</v>
      </c>
      <c r="AD839" s="47">
        <v>0</v>
      </c>
      <c r="AE839" s="47">
        <v>0</v>
      </c>
      <c r="AF839" s="47">
        <v>0</v>
      </c>
      <c r="AG839" s="47">
        <v>0</v>
      </c>
      <c r="AH839" s="47">
        <v>0</v>
      </c>
      <c r="AI839" s="47">
        <v>0</v>
      </c>
      <c r="AJ839" s="47">
        <v>0</v>
      </c>
      <c r="AK839" s="47">
        <v>0</v>
      </c>
      <c r="AL839">
        <v>7</v>
      </c>
      <c r="AM839">
        <v>0</v>
      </c>
      <c r="AN839">
        <v>13</v>
      </c>
      <c r="AO839">
        <v>11</v>
      </c>
      <c r="AP839">
        <v>65</v>
      </c>
      <c r="AQ839">
        <v>7</v>
      </c>
      <c r="AR839">
        <v>36</v>
      </c>
      <c r="AS839">
        <v>0</v>
      </c>
      <c r="AT839" t="s">
        <v>23811</v>
      </c>
      <c r="AU839" t="s">
        <v>193</v>
      </c>
      <c r="AV839">
        <v>1.2190000000000001</v>
      </c>
      <c r="AW839" t="s">
        <v>65</v>
      </c>
      <c r="AX839">
        <v>101</v>
      </c>
      <c r="AY839">
        <v>7</v>
      </c>
      <c r="AZ839" t="s">
        <v>23812</v>
      </c>
      <c r="BA839">
        <v>5.076E-2</v>
      </c>
      <c r="BB839">
        <v>-1.9599999999999999E-3</v>
      </c>
      <c r="BC839">
        <v>9.7999999999999997E-4</v>
      </c>
      <c r="BD839">
        <v>-1.1E-4</v>
      </c>
      <c r="BE839">
        <v>1.9300000000000001E-2</v>
      </c>
      <c r="BF839">
        <v>1</v>
      </c>
      <c r="BG839" t="s">
        <v>69</v>
      </c>
      <c r="BH839">
        <v>-0.501</v>
      </c>
      <c r="BI839">
        <v>-1.4530000000000001</v>
      </c>
    </row>
    <row r="840" spans="3:61">
      <c r="C840">
        <v>0</v>
      </c>
      <c r="D840">
        <v>6</v>
      </c>
      <c r="E840">
        <v>1</v>
      </c>
      <c r="F840" t="s">
        <v>25021</v>
      </c>
      <c r="G840">
        <v>16</v>
      </c>
      <c r="H840" t="s">
        <v>181</v>
      </c>
      <c r="I840" t="s">
        <v>62</v>
      </c>
      <c r="J840">
        <v>23871</v>
      </c>
      <c r="K840">
        <v>25151</v>
      </c>
      <c r="L840" t="s">
        <v>182</v>
      </c>
      <c r="M840">
        <v>427</v>
      </c>
      <c r="N840" t="s">
        <v>183</v>
      </c>
      <c r="O840">
        <v>37</v>
      </c>
      <c r="P840" t="str">
        <f>HYPERLINK("Gene16-zp_tree_all.dnd", "Gene16-tree")</f>
        <v>Gene16-tree</v>
      </c>
      <c r="Q840">
        <v>4</v>
      </c>
      <c r="R840">
        <v>9</v>
      </c>
      <c r="S840">
        <v>4</v>
      </c>
      <c r="T840">
        <v>9</v>
      </c>
      <c r="U840">
        <v>0.69230999999999998</v>
      </c>
      <c r="V840" t="s">
        <v>61</v>
      </c>
      <c r="W840" t="s">
        <v>135</v>
      </c>
      <c r="X840" t="s">
        <v>62</v>
      </c>
      <c r="Y840" t="s">
        <v>62</v>
      </c>
      <c r="Z840">
        <v>3</v>
      </c>
      <c r="AA840">
        <v>7</v>
      </c>
      <c r="AB840">
        <v>11</v>
      </c>
      <c r="AC840">
        <v>0.38889000000000001</v>
      </c>
      <c r="AD840" s="47">
        <v>0</v>
      </c>
      <c r="AE840" s="47">
        <v>0</v>
      </c>
      <c r="AF840" s="47">
        <v>0</v>
      </c>
      <c r="AG840" s="47">
        <v>0</v>
      </c>
      <c r="AH840" s="47">
        <v>0</v>
      </c>
      <c r="AI840" s="47">
        <v>0</v>
      </c>
      <c r="AJ840" s="47">
        <v>2</v>
      </c>
      <c r="AK840" s="47">
        <v>2</v>
      </c>
      <c r="AL840">
        <v>10</v>
      </c>
      <c r="AM840">
        <v>0.16667000000000001</v>
      </c>
      <c r="AN840">
        <v>10</v>
      </c>
      <c r="AO840">
        <v>10</v>
      </c>
      <c r="AP840">
        <v>28</v>
      </c>
      <c r="AQ840">
        <v>9</v>
      </c>
      <c r="AR840">
        <v>23</v>
      </c>
      <c r="AS840">
        <v>9</v>
      </c>
      <c r="AT840" t="s">
        <v>184</v>
      </c>
      <c r="AU840" t="s">
        <v>185</v>
      </c>
      <c r="AV840">
        <v>0.249</v>
      </c>
      <c r="AW840" t="s">
        <v>65</v>
      </c>
      <c r="AX840">
        <v>51</v>
      </c>
      <c r="AY840">
        <v>18</v>
      </c>
      <c r="AZ840" t="s">
        <v>186</v>
      </c>
      <c r="BA840">
        <v>4.0059999999999998E-2</v>
      </c>
      <c r="BB840">
        <v>-1.98E-3</v>
      </c>
      <c r="BC840">
        <v>4.5700000000000003E-3</v>
      </c>
      <c r="BD840">
        <v>-2.4000000000000001E-4</v>
      </c>
      <c r="BE840">
        <v>0.11403000000000001</v>
      </c>
      <c r="BF840">
        <v>1</v>
      </c>
      <c r="BG840" t="s">
        <v>69</v>
      </c>
      <c r="BH840">
        <v>-5.0999999999999997E-2</v>
      </c>
      <c r="BI840">
        <v>-6.7000000000000004E-2</v>
      </c>
    </row>
    <row r="841" spans="3:61">
      <c r="C841">
        <v>0</v>
      </c>
      <c r="D841">
        <v>12</v>
      </c>
      <c r="E841">
        <v>0</v>
      </c>
      <c r="F841" t="s">
        <v>25021</v>
      </c>
      <c r="G841">
        <v>3202</v>
      </c>
      <c r="H841" t="s">
        <v>18642</v>
      </c>
      <c r="I841" t="s">
        <v>57</v>
      </c>
      <c r="J841">
        <v>3155725</v>
      </c>
      <c r="K841">
        <v>3157008</v>
      </c>
      <c r="L841" t="s">
        <v>18643</v>
      </c>
      <c r="M841">
        <v>428</v>
      </c>
      <c r="N841" t="s">
        <v>108</v>
      </c>
      <c r="O841">
        <v>44</v>
      </c>
      <c r="P841" t="str">
        <f>HYPERLINK("Gene3202-zp_tree_all.dnd", "Gene3202-tree")</f>
        <v>Gene3202-tree</v>
      </c>
      <c r="Q841">
        <v>7</v>
      </c>
      <c r="R841">
        <v>8</v>
      </c>
      <c r="S841">
        <v>7</v>
      </c>
      <c r="T841">
        <v>8</v>
      </c>
      <c r="U841">
        <v>0.53332999999999997</v>
      </c>
      <c r="V841" t="s">
        <v>152</v>
      </c>
      <c r="W841" t="s">
        <v>136</v>
      </c>
      <c r="X841" t="s">
        <v>62</v>
      </c>
      <c r="Y841" t="s">
        <v>62</v>
      </c>
      <c r="Z841">
        <v>5</v>
      </c>
      <c r="AA841">
        <v>12</v>
      </c>
      <c r="AB841">
        <v>11</v>
      </c>
      <c r="AC841">
        <v>0.52173999999999998</v>
      </c>
      <c r="AD841" s="47">
        <v>0</v>
      </c>
      <c r="AE841" s="47">
        <v>0</v>
      </c>
      <c r="AF841" s="47">
        <v>0</v>
      </c>
      <c r="AG841" s="47">
        <v>4</v>
      </c>
      <c r="AH841" s="47">
        <v>0</v>
      </c>
      <c r="AI841" s="47">
        <v>4</v>
      </c>
      <c r="AJ841" s="47">
        <v>0</v>
      </c>
      <c r="AK841" s="47">
        <v>4</v>
      </c>
      <c r="AL841">
        <v>11</v>
      </c>
      <c r="AM841">
        <v>0.26667000000000002</v>
      </c>
      <c r="AN841">
        <v>10</v>
      </c>
      <c r="AO841">
        <v>10</v>
      </c>
      <c r="AP841">
        <v>25</v>
      </c>
      <c r="AQ841">
        <v>12</v>
      </c>
      <c r="AR841">
        <v>25</v>
      </c>
      <c r="AS841">
        <v>11</v>
      </c>
      <c r="AT841" t="s">
        <v>18644</v>
      </c>
      <c r="AU841" t="s">
        <v>18645</v>
      </c>
      <c r="AV841">
        <v>0.185</v>
      </c>
      <c r="AW841" t="s">
        <v>65</v>
      </c>
      <c r="AX841">
        <v>50</v>
      </c>
      <c r="AY841">
        <v>23</v>
      </c>
      <c r="AZ841" t="s">
        <v>18646</v>
      </c>
      <c r="BA841">
        <v>3.6420000000000001E-2</v>
      </c>
      <c r="BB841">
        <v>-1.6000000000000001E-3</v>
      </c>
      <c r="BC841">
        <v>4.5599999999999998E-3</v>
      </c>
      <c r="BD841">
        <v>-2.0000000000000001E-4</v>
      </c>
      <c r="BE841">
        <v>0.12515999999999999</v>
      </c>
      <c r="BF841">
        <v>1</v>
      </c>
      <c r="BG841" t="s">
        <v>69</v>
      </c>
      <c r="BH841">
        <v>-0.53500000000000003</v>
      </c>
      <c r="BI841">
        <v>-0.08</v>
      </c>
    </row>
    <row r="842" spans="3:61">
      <c r="C842">
        <v>0</v>
      </c>
      <c r="D842">
        <v>22</v>
      </c>
      <c r="E842">
        <v>0</v>
      </c>
      <c r="F842" t="s">
        <v>25021</v>
      </c>
      <c r="G842">
        <v>4049</v>
      </c>
      <c r="H842" t="s">
        <v>23833</v>
      </c>
      <c r="I842" t="s">
        <v>57</v>
      </c>
      <c r="J842">
        <v>4014682</v>
      </c>
      <c r="K842">
        <v>4015965</v>
      </c>
      <c r="L842" t="s">
        <v>2641</v>
      </c>
      <c r="M842">
        <v>428</v>
      </c>
      <c r="N842" t="s">
        <v>108</v>
      </c>
      <c r="O842">
        <v>44</v>
      </c>
      <c r="P842" t="str">
        <f>HYPERLINK("Gene4049-zp_tree_all.dnd", "Gene4049-tree")</f>
        <v>Gene4049-tree</v>
      </c>
      <c r="Q842">
        <v>3</v>
      </c>
      <c r="R842">
        <v>13</v>
      </c>
      <c r="S842">
        <v>3</v>
      </c>
      <c r="T842">
        <v>13</v>
      </c>
      <c r="U842">
        <v>0.8125</v>
      </c>
      <c r="V842" t="s">
        <v>324</v>
      </c>
      <c r="W842" t="s">
        <v>507</v>
      </c>
      <c r="X842" t="s">
        <v>62</v>
      </c>
      <c r="Y842" t="s">
        <v>62</v>
      </c>
      <c r="Z842">
        <v>8</v>
      </c>
      <c r="AA842">
        <v>22</v>
      </c>
      <c r="AB842">
        <v>14</v>
      </c>
      <c r="AC842">
        <v>0.61111000000000004</v>
      </c>
      <c r="AD842" s="47">
        <v>0</v>
      </c>
      <c r="AE842" s="47">
        <v>0</v>
      </c>
      <c r="AF842" s="47">
        <v>0</v>
      </c>
      <c r="AG842" s="47">
        <v>0</v>
      </c>
      <c r="AH842" s="47">
        <v>0</v>
      </c>
      <c r="AI842" s="47">
        <v>16</v>
      </c>
      <c r="AJ842" s="47">
        <v>0</v>
      </c>
      <c r="AK842" s="47">
        <v>16</v>
      </c>
      <c r="AL842">
        <v>11</v>
      </c>
      <c r="AM842">
        <v>0.59258999999999995</v>
      </c>
      <c r="AN842">
        <v>16</v>
      </c>
      <c r="AO842">
        <v>13</v>
      </c>
      <c r="AP842">
        <v>104</v>
      </c>
      <c r="AQ842">
        <v>27</v>
      </c>
      <c r="AR842">
        <v>44</v>
      </c>
      <c r="AS842">
        <v>9</v>
      </c>
      <c r="AT842" t="s">
        <v>23834</v>
      </c>
      <c r="AU842" t="s">
        <v>23835</v>
      </c>
      <c r="AV842">
        <v>0.442</v>
      </c>
      <c r="AW842" t="s">
        <v>65</v>
      </c>
      <c r="AX842">
        <v>148</v>
      </c>
      <c r="AY842">
        <v>36</v>
      </c>
      <c r="AZ842" t="s">
        <v>23836</v>
      </c>
      <c r="BA842">
        <v>6.7680000000000004E-2</v>
      </c>
      <c r="BB842">
        <v>-2.0699999999999998E-3</v>
      </c>
      <c r="BC842">
        <v>5.0800000000000003E-3</v>
      </c>
      <c r="BD842">
        <v>-1.6000000000000001E-4</v>
      </c>
      <c r="BE842">
        <v>7.51E-2</v>
      </c>
      <c r="BF842">
        <v>1</v>
      </c>
      <c r="BG842" t="s">
        <v>69</v>
      </c>
      <c r="BH842">
        <v>0.14499999999999999</v>
      </c>
      <c r="BI842">
        <v>-0.22</v>
      </c>
    </row>
    <row r="843" spans="3:61">
      <c r="C843">
        <v>0</v>
      </c>
      <c r="D843">
        <v>0</v>
      </c>
      <c r="E843">
        <v>0</v>
      </c>
      <c r="F843" t="s">
        <v>25021</v>
      </c>
      <c r="G843">
        <v>3264</v>
      </c>
      <c r="H843" t="s">
        <v>19032</v>
      </c>
      <c r="I843" t="s">
        <v>57</v>
      </c>
      <c r="J843">
        <v>3230067</v>
      </c>
      <c r="K843">
        <v>3231350</v>
      </c>
      <c r="L843" t="s">
        <v>19033</v>
      </c>
      <c r="M843">
        <v>428</v>
      </c>
      <c r="N843" t="s">
        <v>5577</v>
      </c>
      <c r="O843">
        <v>43</v>
      </c>
      <c r="P843" t="str">
        <f>HYPERLINK("Gene3264-zp_tree_all.dnd", "Gene3264-tree")</f>
        <v>Gene3264-tree</v>
      </c>
      <c r="Q843">
        <v>9</v>
      </c>
      <c r="R843">
        <v>6</v>
      </c>
      <c r="S843">
        <v>9</v>
      </c>
      <c r="T843">
        <v>6</v>
      </c>
      <c r="U843">
        <v>0.4</v>
      </c>
      <c r="V843" t="s">
        <v>135</v>
      </c>
      <c r="W843" t="s">
        <v>90</v>
      </c>
      <c r="X843" t="s">
        <v>62</v>
      </c>
      <c r="Y843" t="s">
        <v>62</v>
      </c>
      <c r="Z843">
        <v>0</v>
      </c>
      <c r="AA843">
        <v>0</v>
      </c>
      <c r="AB843">
        <v>11</v>
      </c>
      <c r="AC843">
        <v>0</v>
      </c>
      <c r="AD843" s="47">
        <v>0</v>
      </c>
      <c r="AE843" s="47">
        <v>0</v>
      </c>
      <c r="AF843" s="47">
        <v>0</v>
      </c>
      <c r="AG843" s="47">
        <v>1</v>
      </c>
      <c r="AH843" s="47">
        <v>0</v>
      </c>
      <c r="AI843" s="47">
        <v>0</v>
      </c>
      <c r="AJ843" s="47">
        <v>0</v>
      </c>
      <c r="AK843" s="47">
        <v>0</v>
      </c>
      <c r="AL843">
        <v>9</v>
      </c>
      <c r="AM843">
        <v>0</v>
      </c>
      <c r="AN843">
        <v>12</v>
      </c>
      <c r="AO843">
        <v>11</v>
      </c>
      <c r="AP843">
        <v>39</v>
      </c>
      <c r="AQ843">
        <v>9</v>
      </c>
      <c r="AR843">
        <v>15</v>
      </c>
      <c r="AS843">
        <v>2</v>
      </c>
      <c r="AT843" t="s">
        <v>19034</v>
      </c>
      <c r="AU843" t="s">
        <v>19035</v>
      </c>
      <c r="AV843">
        <v>0.39200000000000002</v>
      </c>
      <c r="AW843" t="s">
        <v>65</v>
      </c>
      <c r="AX843">
        <v>54</v>
      </c>
      <c r="AY843">
        <v>11</v>
      </c>
      <c r="AZ843" t="s">
        <v>19036</v>
      </c>
      <c r="BA843">
        <v>3.1879999999999999E-2</v>
      </c>
      <c r="BB843">
        <v>-1.4499999999999999E-3</v>
      </c>
      <c r="BC843">
        <v>1.83E-3</v>
      </c>
      <c r="BD843">
        <v>-1.2E-4</v>
      </c>
      <c r="BE843">
        <v>5.7290000000000001E-2</v>
      </c>
      <c r="BF843">
        <v>1</v>
      </c>
      <c r="BG843" t="s">
        <v>69</v>
      </c>
      <c r="BH843">
        <v>-1.498</v>
      </c>
      <c r="BI843">
        <v>-2.242</v>
      </c>
    </row>
    <row r="844" spans="3:61">
      <c r="C844">
        <v>0</v>
      </c>
      <c r="D844">
        <v>5</v>
      </c>
      <c r="E844">
        <v>0</v>
      </c>
      <c r="F844" t="s">
        <v>25021</v>
      </c>
      <c r="G844">
        <v>904</v>
      </c>
      <c r="H844" t="s">
        <v>5644</v>
      </c>
      <c r="I844" t="s">
        <v>62</v>
      </c>
      <c r="J844">
        <v>942452</v>
      </c>
      <c r="K844">
        <v>943738</v>
      </c>
      <c r="L844" t="s">
        <v>5645</v>
      </c>
      <c r="M844">
        <v>429</v>
      </c>
      <c r="N844" t="s">
        <v>108</v>
      </c>
      <c r="O844">
        <v>44</v>
      </c>
      <c r="P844" t="str">
        <f>HYPERLINK("Gene904-zp_tree_all.dnd", "Gene904-tree")</f>
        <v>Gene904-tree</v>
      </c>
      <c r="Q844">
        <v>4</v>
      </c>
      <c r="R844">
        <v>9</v>
      </c>
      <c r="S844">
        <v>4</v>
      </c>
      <c r="T844">
        <v>9</v>
      </c>
      <c r="U844">
        <v>0.69230999999999998</v>
      </c>
      <c r="V844" t="s">
        <v>61</v>
      </c>
      <c r="W844" t="s">
        <v>135</v>
      </c>
      <c r="X844" t="s">
        <v>62</v>
      </c>
      <c r="Y844" t="s">
        <v>62</v>
      </c>
      <c r="Z844">
        <v>2</v>
      </c>
      <c r="AA844">
        <v>5</v>
      </c>
      <c r="AB844">
        <v>10</v>
      </c>
      <c r="AC844">
        <v>0.33333000000000002</v>
      </c>
      <c r="AD844" s="47">
        <v>0</v>
      </c>
      <c r="AE844" s="47">
        <v>0</v>
      </c>
      <c r="AF844" s="47">
        <v>0</v>
      </c>
      <c r="AG844" s="47">
        <v>0</v>
      </c>
      <c r="AH844" s="47">
        <v>0</v>
      </c>
      <c r="AI844" s="47">
        <v>2</v>
      </c>
      <c r="AJ844" s="47">
        <v>0</v>
      </c>
      <c r="AK844" s="47">
        <v>2</v>
      </c>
      <c r="AL844">
        <v>11</v>
      </c>
      <c r="AM844">
        <v>0.15384999999999999</v>
      </c>
      <c r="AN844">
        <v>11</v>
      </c>
      <c r="AO844">
        <v>7</v>
      </c>
      <c r="AP844">
        <v>41</v>
      </c>
      <c r="AQ844">
        <v>8</v>
      </c>
      <c r="AR844">
        <v>44</v>
      </c>
      <c r="AS844">
        <v>7</v>
      </c>
      <c r="AT844" t="s">
        <v>5646</v>
      </c>
      <c r="AU844" t="s">
        <v>5647</v>
      </c>
      <c r="AV844">
        <v>0.28299999999999997</v>
      </c>
      <c r="AW844" t="s">
        <v>65</v>
      </c>
      <c r="AX844">
        <v>85</v>
      </c>
      <c r="AY844">
        <v>15</v>
      </c>
      <c r="AZ844" t="s">
        <v>5648</v>
      </c>
      <c r="BA844">
        <v>6.2489999999999997E-2</v>
      </c>
      <c r="BB844">
        <v>-4.5799999999999999E-3</v>
      </c>
      <c r="BC844">
        <v>2.97E-3</v>
      </c>
      <c r="BD844">
        <v>-2.2000000000000001E-4</v>
      </c>
      <c r="BE844">
        <v>4.7539999999999999E-2</v>
      </c>
      <c r="BF844">
        <v>1</v>
      </c>
      <c r="BG844" t="s">
        <v>69</v>
      </c>
      <c r="BH844">
        <v>-8.0000000000000002E-3</v>
      </c>
      <c r="BI844">
        <v>-0.61299999999999999</v>
      </c>
    </row>
    <row r="845" spans="3:61">
      <c r="C845">
        <v>0</v>
      </c>
      <c r="D845">
        <v>2</v>
      </c>
      <c r="E845">
        <v>0</v>
      </c>
      <c r="F845" t="s">
        <v>25021</v>
      </c>
      <c r="G845">
        <v>1057</v>
      </c>
      <c r="H845" t="s">
        <v>6634</v>
      </c>
      <c r="I845" t="s">
        <v>62</v>
      </c>
      <c r="J845">
        <v>1096563</v>
      </c>
      <c r="K845">
        <v>1097849</v>
      </c>
      <c r="L845" t="s">
        <v>6635</v>
      </c>
      <c r="M845">
        <v>429</v>
      </c>
      <c r="N845" t="s">
        <v>289</v>
      </c>
      <c r="O845">
        <v>46</v>
      </c>
      <c r="P845" t="str">
        <f>HYPERLINK("Gene1057-zp_tree_all.dnd", "Gene1057-tree")</f>
        <v>Gene1057-tree</v>
      </c>
      <c r="Q845">
        <v>13</v>
      </c>
      <c r="R845">
        <v>2</v>
      </c>
      <c r="S845">
        <v>13</v>
      </c>
      <c r="T845">
        <v>2</v>
      </c>
      <c r="U845">
        <v>0.13333</v>
      </c>
      <c r="V845" t="s">
        <v>507</v>
      </c>
      <c r="W845" t="s">
        <v>81</v>
      </c>
      <c r="X845" t="s">
        <v>62</v>
      </c>
      <c r="Y845" t="s">
        <v>62</v>
      </c>
      <c r="Z845">
        <v>1</v>
      </c>
      <c r="AA845">
        <v>2</v>
      </c>
      <c r="AB845">
        <v>5</v>
      </c>
      <c r="AC845">
        <v>0.28571000000000002</v>
      </c>
      <c r="AD845" s="47">
        <v>0</v>
      </c>
      <c r="AE845" s="47">
        <v>0</v>
      </c>
      <c r="AF845" s="47">
        <v>0</v>
      </c>
      <c r="AG845" s="47">
        <v>0</v>
      </c>
      <c r="AH845" s="47">
        <v>0</v>
      </c>
      <c r="AI845" s="47">
        <v>0</v>
      </c>
      <c r="AJ845" s="47">
        <v>0</v>
      </c>
      <c r="AK845" s="47">
        <v>0</v>
      </c>
      <c r="AL845">
        <v>2</v>
      </c>
      <c r="AM845">
        <v>0</v>
      </c>
      <c r="AN845">
        <v>12</v>
      </c>
      <c r="AO845">
        <v>8</v>
      </c>
      <c r="AP845">
        <v>30</v>
      </c>
      <c r="AQ845">
        <v>2</v>
      </c>
      <c r="AR845">
        <v>55</v>
      </c>
      <c r="AS845">
        <v>5</v>
      </c>
      <c r="AT845" t="s">
        <v>6636</v>
      </c>
      <c r="AU845" t="s">
        <v>6637</v>
      </c>
      <c r="AV845">
        <v>4.9000000000000002E-2</v>
      </c>
      <c r="AW845" t="s">
        <v>65</v>
      </c>
      <c r="AX845">
        <v>85</v>
      </c>
      <c r="AY845">
        <v>7</v>
      </c>
      <c r="AZ845" t="s">
        <v>6638</v>
      </c>
      <c r="BA845">
        <v>6.2350000000000003E-2</v>
      </c>
      <c r="BB845">
        <v>-7.0099999999999997E-3</v>
      </c>
      <c r="BC845">
        <v>1.5200000000000001E-3</v>
      </c>
      <c r="BD845">
        <v>-2.1000000000000001E-4</v>
      </c>
      <c r="BE845">
        <v>2.436E-2</v>
      </c>
      <c r="BF845">
        <v>1</v>
      </c>
      <c r="BG845" t="s">
        <v>69</v>
      </c>
      <c r="BH845">
        <v>-1.6419999999999999</v>
      </c>
      <c r="BI845">
        <v>0.39700000000000002</v>
      </c>
    </row>
    <row r="846" spans="3:61">
      <c r="C846">
        <v>0</v>
      </c>
      <c r="D846">
        <v>13</v>
      </c>
      <c r="E846">
        <v>2</v>
      </c>
      <c r="F846" t="s">
        <v>25021</v>
      </c>
      <c r="G846">
        <v>3362</v>
      </c>
      <c r="H846" t="s">
        <v>19645</v>
      </c>
      <c r="I846" t="s">
        <v>57</v>
      </c>
      <c r="J846">
        <v>3331857</v>
      </c>
      <c r="K846">
        <v>3333146</v>
      </c>
      <c r="L846" t="s">
        <v>19646</v>
      </c>
      <c r="M846">
        <v>430</v>
      </c>
      <c r="N846" t="s">
        <v>1392</v>
      </c>
      <c r="O846">
        <v>43</v>
      </c>
      <c r="P846" t="str">
        <f>HYPERLINK("Gene3362-zp_tree_all.dnd", "Gene3362-tree")</f>
        <v>Gene3362-tree</v>
      </c>
      <c r="Q846">
        <v>23</v>
      </c>
      <c r="R846">
        <v>11</v>
      </c>
      <c r="S846">
        <v>6</v>
      </c>
      <c r="T846">
        <v>11</v>
      </c>
      <c r="U846">
        <v>0.64705999999999997</v>
      </c>
      <c r="V846" t="s">
        <v>3589</v>
      </c>
      <c r="W846" t="s">
        <v>73</v>
      </c>
      <c r="X846">
        <v>4.1769999999999996</v>
      </c>
      <c r="Y846" t="s">
        <v>267</v>
      </c>
      <c r="Z846">
        <v>7</v>
      </c>
      <c r="AA846">
        <v>15</v>
      </c>
      <c r="AB846">
        <v>15</v>
      </c>
      <c r="AC846">
        <v>0.5</v>
      </c>
      <c r="AD846" s="47">
        <v>0</v>
      </c>
      <c r="AE846" s="47">
        <v>0</v>
      </c>
      <c r="AF846" s="47">
        <v>0</v>
      </c>
      <c r="AG846" s="47">
        <v>4</v>
      </c>
      <c r="AH846" s="47">
        <v>0</v>
      </c>
      <c r="AI846" s="47">
        <v>7</v>
      </c>
      <c r="AJ846" s="47">
        <v>0</v>
      </c>
      <c r="AK846" s="47">
        <v>7</v>
      </c>
      <c r="AL846">
        <v>14</v>
      </c>
      <c r="AM846">
        <v>0.33333000000000002</v>
      </c>
      <c r="AN846">
        <v>13</v>
      </c>
      <c r="AO846">
        <v>13</v>
      </c>
      <c r="AP846">
        <v>55</v>
      </c>
      <c r="AQ846">
        <v>20</v>
      </c>
      <c r="AR846">
        <v>39</v>
      </c>
      <c r="AS846">
        <v>11</v>
      </c>
      <c r="AT846" t="s">
        <v>19647</v>
      </c>
      <c r="AU846" t="s">
        <v>19648</v>
      </c>
      <c r="AV846">
        <v>0.28000000000000003</v>
      </c>
      <c r="AW846" t="s">
        <v>65</v>
      </c>
      <c r="AX846">
        <v>94</v>
      </c>
      <c r="AY846">
        <v>31</v>
      </c>
      <c r="AZ846" t="s">
        <v>19649</v>
      </c>
      <c r="BA846">
        <v>5.1069999999999997E-2</v>
      </c>
      <c r="BB846">
        <v>-1.81E-3</v>
      </c>
      <c r="BC846">
        <v>5.8399999999999997E-3</v>
      </c>
      <c r="BD846">
        <v>-1.9000000000000001E-4</v>
      </c>
      <c r="BE846">
        <v>0.11430999999999999</v>
      </c>
      <c r="BF846">
        <v>1</v>
      </c>
      <c r="BG846" t="s">
        <v>69</v>
      </c>
      <c r="BH846">
        <v>-0.313</v>
      </c>
      <c r="BI846">
        <v>-0.64800000000000002</v>
      </c>
    </row>
    <row r="847" spans="3:61">
      <c r="C847">
        <v>0</v>
      </c>
      <c r="D847">
        <v>2</v>
      </c>
      <c r="E847">
        <v>0</v>
      </c>
      <c r="F847" t="s">
        <v>25021</v>
      </c>
      <c r="G847">
        <v>1459</v>
      </c>
      <c r="H847" t="s">
        <v>9139</v>
      </c>
      <c r="I847" t="s">
        <v>62</v>
      </c>
      <c r="J847">
        <v>1475153</v>
      </c>
      <c r="K847">
        <v>1476442</v>
      </c>
      <c r="L847" t="s">
        <v>2569</v>
      </c>
      <c r="M847">
        <v>430</v>
      </c>
      <c r="N847" t="s">
        <v>108</v>
      </c>
      <c r="O847">
        <v>44</v>
      </c>
      <c r="P847" t="str">
        <f>HYPERLINK("Gene1459-zp_tree_all.dnd", "Gene1459-tree")</f>
        <v>Gene1459-tree</v>
      </c>
      <c r="Q847">
        <v>12</v>
      </c>
      <c r="R847">
        <v>4</v>
      </c>
      <c r="S847">
        <v>12</v>
      </c>
      <c r="T847">
        <v>4</v>
      </c>
      <c r="U847">
        <v>0.25</v>
      </c>
      <c r="V847" t="s">
        <v>109</v>
      </c>
      <c r="W847" t="s">
        <v>61</v>
      </c>
      <c r="X847" t="s">
        <v>62</v>
      </c>
      <c r="Y847" t="s">
        <v>62</v>
      </c>
      <c r="Z847">
        <v>1</v>
      </c>
      <c r="AA847">
        <v>2</v>
      </c>
      <c r="AB847">
        <v>6</v>
      </c>
      <c r="AC847">
        <v>0.25</v>
      </c>
      <c r="AD847" s="47">
        <v>0</v>
      </c>
      <c r="AE847" s="47">
        <v>0</v>
      </c>
      <c r="AF847" s="47">
        <v>0</v>
      </c>
      <c r="AG847" s="47">
        <v>0</v>
      </c>
      <c r="AH847" s="47">
        <v>0</v>
      </c>
      <c r="AI847" s="47">
        <v>0</v>
      </c>
      <c r="AJ847" s="47">
        <v>0</v>
      </c>
      <c r="AK847" s="47">
        <v>0</v>
      </c>
      <c r="AL847">
        <v>6</v>
      </c>
      <c r="AM847">
        <v>0</v>
      </c>
      <c r="AN847">
        <v>12</v>
      </c>
      <c r="AO847">
        <v>10</v>
      </c>
      <c r="AP847">
        <v>46</v>
      </c>
      <c r="AQ847">
        <v>6</v>
      </c>
      <c r="AR847">
        <v>29</v>
      </c>
      <c r="AS847">
        <v>2</v>
      </c>
      <c r="AT847" t="s">
        <v>9140</v>
      </c>
      <c r="AU847" t="s">
        <v>9141</v>
      </c>
      <c r="AV847">
        <v>0.42</v>
      </c>
      <c r="AW847" t="s">
        <v>65</v>
      </c>
      <c r="AX847">
        <v>75</v>
      </c>
      <c r="AY847">
        <v>8</v>
      </c>
      <c r="AZ847" t="s">
        <v>9142</v>
      </c>
      <c r="BA847">
        <v>4.4609999999999997E-2</v>
      </c>
      <c r="BB847">
        <v>-1.5200000000000001E-3</v>
      </c>
      <c r="BC847">
        <v>1.3699999999999999E-3</v>
      </c>
      <c r="BD847">
        <v>-9.0000000000000006E-5</v>
      </c>
      <c r="BE847">
        <v>3.0620000000000001E-2</v>
      </c>
      <c r="BF847">
        <v>1</v>
      </c>
      <c r="BG847" t="s">
        <v>69</v>
      </c>
      <c r="BH847">
        <v>-0.60099999999999998</v>
      </c>
      <c r="BI847">
        <v>-1.407</v>
      </c>
    </row>
    <row r="848" spans="3:61">
      <c r="C848">
        <v>0</v>
      </c>
      <c r="D848">
        <v>4</v>
      </c>
      <c r="E848">
        <v>3</v>
      </c>
      <c r="F848" t="s">
        <v>25021</v>
      </c>
      <c r="G848">
        <v>1073</v>
      </c>
      <c r="H848" t="s">
        <v>6740</v>
      </c>
      <c r="I848" t="s">
        <v>62</v>
      </c>
      <c r="J848">
        <v>1112623</v>
      </c>
      <c r="K848">
        <v>1113918</v>
      </c>
      <c r="L848" t="s">
        <v>6741</v>
      </c>
      <c r="M848">
        <v>432</v>
      </c>
      <c r="N848" t="s">
        <v>108</v>
      </c>
      <c r="O848">
        <v>44</v>
      </c>
      <c r="P848" t="str">
        <f>HYPERLINK("Gene1073-zp_tree_all.dnd", "Gene1073-tree")</f>
        <v>Gene1073-tree</v>
      </c>
      <c r="Q848">
        <v>5</v>
      </c>
      <c r="R848">
        <v>9</v>
      </c>
      <c r="S848">
        <v>5</v>
      </c>
      <c r="T848">
        <v>9</v>
      </c>
      <c r="U848">
        <v>0.64285999999999999</v>
      </c>
      <c r="V848" t="s">
        <v>199</v>
      </c>
      <c r="W848" t="s">
        <v>135</v>
      </c>
      <c r="X848" t="s">
        <v>62</v>
      </c>
      <c r="Y848" t="s">
        <v>62</v>
      </c>
      <c r="Z848">
        <v>3</v>
      </c>
      <c r="AA848">
        <v>7</v>
      </c>
      <c r="AB848">
        <v>10</v>
      </c>
      <c r="AC848">
        <v>0.41176000000000001</v>
      </c>
      <c r="AD848" s="47">
        <v>0</v>
      </c>
      <c r="AE848" s="47">
        <v>0</v>
      </c>
      <c r="AF848" s="47">
        <v>0</v>
      </c>
      <c r="AG848" s="47">
        <v>0</v>
      </c>
      <c r="AH848" s="47">
        <v>0</v>
      </c>
      <c r="AI848" s="47">
        <v>0</v>
      </c>
      <c r="AJ848" s="47">
        <v>4</v>
      </c>
      <c r="AK848" s="47">
        <v>4</v>
      </c>
      <c r="AL848">
        <v>11</v>
      </c>
      <c r="AM848">
        <v>0.26667000000000002</v>
      </c>
      <c r="AN848">
        <v>11</v>
      </c>
      <c r="AO848">
        <v>8</v>
      </c>
      <c r="AP848">
        <v>39</v>
      </c>
      <c r="AQ848">
        <v>13</v>
      </c>
      <c r="AR848">
        <v>24</v>
      </c>
      <c r="AS848">
        <v>4</v>
      </c>
      <c r="AT848" t="s">
        <v>6742</v>
      </c>
      <c r="AU848" t="s">
        <v>6743</v>
      </c>
      <c r="AV848">
        <v>0.67400000000000004</v>
      </c>
      <c r="AW848" t="s">
        <v>65</v>
      </c>
      <c r="AX848">
        <v>63</v>
      </c>
      <c r="AY848">
        <v>17</v>
      </c>
      <c r="AZ848" t="s">
        <v>6744</v>
      </c>
      <c r="BA848">
        <v>4.3110000000000002E-2</v>
      </c>
      <c r="BB848">
        <v>-2.3900000000000002E-3</v>
      </c>
      <c r="BC848">
        <v>2.7599999999999999E-3</v>
      </c>
      <c r="BD848">
        <v>-1.9000000000000001E-4</v>
      </c>
      <c r="BE848">
        <v>6.3939999999999997E-2</v>
      </c>
      <c r="BF848">
        <v>1</v>
      </c>
      <c r="BG848" t="s">
        <v>69</v>
      </c>
      <c r="BH848">
        <v>-0.80500000000000005</v>
      </c>
      <c r="BI848">
        <v>-2.298</v>
      </c>
    </row>
    <row r="849" spans="3:61">
      <c r="C849">
        <v>0</v>
      </c>
      <c r="D849">
        <v>5</v>
      </c>
      <c r="E849">
        <v>1</v>
      </c>
      <c r="F849" t="s">
        <v>25021</v>
      </c>
      <c r="G849">
        <v>3145</v>
      </c>
      <c r="H849" t="s">
        <v>18268</v>
      </c>
      <c r="I849" t="s">
        <v>57</v>
      </c>
      <c r="J849">
        <v>3100881</v>
      </c>
      <c r="K849">
        <v>3102176</v>
      </c>
      <c r="L849" t="s">
        <v>18269</v>
      </c>
      <c r="M849">
        <v>432</v>
      </c>
      <c r="N849" t="s">
        <v>265</v>
      </c>
      <c r="O849">
        <v>43</v>
      </c>
      <c r="P849" t="str">
        <f>HYPERLINK("Gene3145-zp_tree_all.dnd", "Gene3145-tree")</f>
        <v>Gene3145-tree</v>
      </c>
      <c r="Q849">
        <v>5</v>
      </c>
      <c r="R849">
        <v>9</v>
      </c>
      <c r="S849">
        <v>5</v>
      </c>
      <c r="T849">
        <v>9</v>
      </c>
      <c r="U849">
        <v>0.64285999999999999</v>
      </c>
      <c r="V849" t="s">
        <v>199</v>
      </c>
      <c r="W849" t="s">
        <v>135</v>
      </c>
      <c r="X849" t="s">
        <v>62</v>
      </c>
      <c r="Y849" t="s">
        <v>62</v>
      </c>
      <c r="Z849">
        <v>2</v>
      </c>
      <c r="AA849">
        <v>6</v>
      </c>
      <c r="AB849">
        <v>8</v>
      </c>
      <c r="AC849">
        <v>0.42857000000000001</v>
      </c>
      <c r="AD849" s="47">
        <v>0</v>
      </c>
      <c r="AE849" s="47">
        <v>0</v>
      </c>
      <c r="AF849" s="47">
        <v>0</v>
      </c>
      <c r="AG849" s="47">
        <v>0</v>
      </c>
      <c r="AH849" s="47">
        <v>0</v>
      </c>
      <c r="AI849" s="47">
        <v>3</v>
      </c>
      <c r="AJ849" s="47">
        <v>0</v>
      </c>
      <c r="AK849" s="47">
        <v>3</v>
      </c>
      <c r="AL849">
        <v>8</v>
      </c>
      <c r="AM849">
        <v>0.27272999999999997</v>
      </c>
      <c r="AN849">
        <v>14</v>
      </c>
      <c r="AO849">
        <v>10</v>
      </c>
      <c r="AP849">
        <v>43</v>
      </c>
      <c r="AQ849">
        <v>11</v>
      </c>
      <c r="AR849">
        <v>18</v>
      </c>
      <c r="AS849">
        <v>3</v>
      </c>
      <c r="AT849" t="s">
        <v>18270</v>
      </c>
      <c r="AU849" t="s">
        <v>18271</v>
      </c>
      <c r="AV849">
        <v>0.58599999999999997</v>
      </c>
      <c r="AW849" t="s">
        <v>65</v>
      </c>
      <c r="AX849">
        <v>61</v>
      </c>
      <c r="AY849">
        <v>14</v>
      </c>
      <c r="AZ849" t="s">
        <v>2447</v>
      </c>
      <c r="BA849">
        <v>3.6749999999999998E-2</v>
      </c>
      <c r="BB849">
        <v>-1.2199999999999999E-3</v>
      </c>
      <c r="BC849">
        <v>2.2799999999999999E-3</v>
      </c>
      <c r="BD849">
        <v>-1.1E-4</v>
      </c>
      <c r="BE849">
        <v>6.1920000000000003E-2</v>
      </c>
      <c r="BF849">
        <v>1</v>
      </c>
      <c r="BG849" t="s">
        <v>69</v>
      </c>
      <c r="BH849">
        <v>-0.49399999999999999</v>
      </c>
      <c r="BI849">
        <v>-1.171</v>
      </c>
    </row>
    <row r="850" spans="3:61">
      <c r="C850">
        <v>0</v>
      </c>
      <c r="D850">
        <v>4</v>
      </c>
      <c r="E850">
        <v>2</v>
      </c>
      <c r="F850" t="s">
        <v>25021</v>
      </c>
      <c r="G850">
        <v>3116</v>
      </c>
      <c r="H850" t="s">
        <v>18081</v>
      </c>
      <c r="I850" t="s">
        <v>57</v>
      </c>
      <c r="J850">
        <v>3068908</v>
      </c>
      <c r="K850">
        <v>3070203</v>
      </c>
      <c r="L850" t="s">
        <v>4184</v>
      </c>
      <c r="M850">
        <v>432</v>
      </c>
      <c r="N850" t="s">
        <v>160</v>
      </c>
      <c r="O850">
        <v>45</v>
      </c>
      <c r="P850" t="str">
        <f>HYPERLINK("Gene3116-zp_tree_all.dnd", "Gene3116-tree")</f>
        <v>Gene3116-tree</v>
      </c>
      <c r="Q850">
        <v>12</v>
      </c>
      <c r="R850">
        <v>5</v>
      </c>
      <c r="S850">
        <v>12</v>
      </c>
      <c r="T850">
        <v>5</v>
      </c>
      <c r="U850">
        <v>0.29411999999999999</v>
      </c>
      <c r="V850" t="s">
        <v>109</v>
      </c>
      <c r="W850" t="s">
        <v>199</v>
      </c>
      <c r="X850" t="s">
        <v>62</v>
      </c>
      <c r="Y850" t="s">
        <v>62</v>
      </c>
      <c r="Z850">
        <v>2</v>
      </c>
      <c r="AA850">
        <v>6</v>
      </c>
      <c r="AB850">
        <v>8</v>
      </c>
      <c r="AC850">
        <v>0.42857000000000001</v>
      </c>
      <c r="AD850" s="47">
        <v>0</v>
      </c>
      <c r="AE850" s="47">
        <v>0</v>
      </c>
      <c r="AF850" s="47">
        <v>0</v>
      </c>
      <c r="AG850" s="47">
        <v>0</v>
      </c>
      <c r="AH850" s="47">
        <v>0</v>
      </c>
      <c r="AI850" s="47">
        <v>0</v>
      </c>
      <c r="AJ850" s="47">
        <v>2</v>
      </c>
      <c r="AK850" s="47">
        <v>2</v>
      </c>
      <c r="AL850">
        <v>9</v>
      </c>
      <c r="AM850">
        <v>0.18182000000000001</v>
      </c>
      <c r="AN850">
        <v>15</v>
      </c>
      <c r="AO850">
        <v>14</v>
      </c>
      <c r="AP850">
        <v>81</v>
      </c>
      <c r="AQ850">
        <v>11</v>
      </c>
      <c r="AR850">
        <v>52</v>
      </c>
      <c r="AS850">
        <v>3</v>
      </c>
      <c r="AT850" t="s">
        <v>18082</v>
      </c>
      <c r="AU850" t="s">
        <v>18083</v>
      </c>
      <c r="AV850">
        <v>0.224</v>
      </c>
      <c r="AW850" t="s">
        <v>65</v>
      </c>
      <c r="AX850">
        <v>133</v>
      </c>
      <c r="AY850">
        <v>14</v>
      </c>
      <c r="AZ850" t="s">
        <v>18084</v>
      </c>
      <c r="BA850">
        <v>6.8510000000000001E-2</v>
      </c>
      <c r="BB850">
        <v>-4.0400000000000002E-3</v>
      </c>
      <c r="BC850">
        <v>1.7700000000000001E-3</v>
      </c>
      <c r="BD850">
        <v>-2.1000000000000001E-4</v>
      </c>
      <c r="BE850">
        <v>2.5899999999999999E-2</v>
      </c>
      <c r="BF850">
        <v>1</v>
      </c>
      <c r="BG850" t="s">
        <v>69</v>
      </c>
      <c r="BH850">
        <v>-1.103</v>
      </c>
      <c r="BI850">
        <v>-2.9929999999999999</v>
      </c>
    </row>
    <row r="851" spans="3:61">
      <c r="C851">
        <v>0</v>
      </c>
      <c r="D851">
        <v>0</v>
      </c>
      <c r="E851">
        <v>0</v>
      </c>
      <c r="F851" t="s">
        <v>25021</v>
      </c>
      <c r="G851">
        <v>4204</v>
      </c>
      <c r="H851" t="s">
        <v>24762</v>
      </c>
      <c r="I851" t="s">
        <v>57</v>
      </c>
      <c r="J851">
        <v>4170045</v>
      </c>
      <c r="K851">
        <v>4171349</v>
      </c>
      <c r="L851" t="s">
        <v>1123</v>
      </c>
      <c r="M851">
        <v>435</v>
      </c>
      <c r="N851" t="s">
        <v>108</v>
      </c>
      <c r="O851">
        <v>44</v>
      </c>
      <c r="P851" t="str">
        <f>HYPERLINK("Gene4204-zp_tree_all.dnd", "Gene4204-tree")</f>
        <v>Gene4204-tree</v>
      </c>
      <c r="Q851">
        <v>12</v>
      </c>
      <c r="R851">
        <v>2</v>
      </c>
      <c r="S851">
        <v>12</v>
      </c>
      <c r="T851">
        <v>2</v>
      </c>
      <c r="U851">
        <v>0.14285999999999999</v>
      </c>
      <c r="V851" t="s">
        <v>109</v>
      </c>
      <c r="W851" t="s">
        <v>81</v>
      </c>
      <c r="X851" t="s">
        <v>62</v>
      </c>
      <c r="Y851" t="s">
        <v>62</v>
      </c>
      <c r="Z851">
        <v>0</v>
      </c>
      <c r="AA851">
        <v>0</v>
      </c>
      <c r="AB851">
        <v>5</v>
      </c>
      <c r="AC851">
        <v>0</v>
      </c>
      <c r="AD851" s="47">
        <v>0</v>
      </c>
      <c r="AE851" s="47">
        <v>0</v>
      </c>
      <c r="AF851" s="47">
        <v>0</v>
      </c>
      <c r="AG851" s="47">
        <v>0</v>
      </c>
      <c r="AH851" s="47">
        <v>0</v>
      </c>
      <c r="AI851" s="47">
        <v>0</v>
      </c>
      <c r="AJ851" s="47">
        <v>0</v>
      </c>
      <c r="AK851" s="47">
        <v>0</v>
      </c>
      <c r="AL851">
        <v>5</v>
      </c>
      <c r="AM851">
        <v>0</v>
      </c>
      <c r="AN851">
        <v>11</v>
      </c>
      <c r="AO851">
        <v>10</v>
      </c>
      <c r="AP851">
        <v>60</v>
      </c>
      <c r="AQ851">
        <v>5</v>
      </c>
      <c r="AR851">
        <v>20</v>
      </c>
      <c r="AS851">
        <v>0</v>
      </c>
      <c r="AT851" t="s">
        <v>24763</v>
      </c>
      <c r="AU851" t="s">
        <v>193</v>
      </c>
      <c r="AV851">
        <v>0.443</v>
      </c>
      <c r="AW851" t="s">
        <v>65</v>
      </c>
      <c r="AX851">
        <v>80</v>
      </c>
      <c r="AY851">
        <v>5</v>
      </c>
      <c r="AZ851" t="s">
        <v>24764</v>
      </c>
      <c r="BA851">
        <v>4.648E-2</v>
      </c>
      <c r="BB851">
        <v>-3.98E-3</v>
      </c>
      <c r="BC851">
        <v>7.3999999999999999E-4</v>
      </c>
      <c r="BD851">
        <v>-1.2999999999999999E-4</v>
      </c>
      <c r="BE851">
        <v>1.584E-2</v>
      </c>
      <c r="BF851">
        <v>1</v>
      </c>
      <c r="BG851" t="s">
        <v>69</v>
      </c>
      <c r="BH851">
        <v>-1.528</v>
      </c>
      <c r="BI851">
        <v>-3.4279999999999999</v>
      </c>
    </row>
    <row r="852" spans="3:61">
      <c r="C852">
        <v>0</v>
      </c>
      <c r="D852">
        <v>26</v>
      </c>
      <c r="E852">
        <v>0</v>
      </c>
      <c r="F852" t="s">
        <v>25021</v>
      </c>
      <c r="G852">
        <v>3876</v>
      </c>
      <c r="H852" t="s">
        <v>22730</v>
      </c>
      <c r="I852" t="s">
        <v>57</v>
      </c>
      <c r="J852">
        <v>3838552</v>
      </c>
      <c r="K852">
        <v>3839859</v>
      </c>
      <c r="L852" t="s">
        <v>22731</v>
      </c>
      <c r="M852">
        <v>436</v>
      </c>
      <c r="N852" t="s">
        <v>108</v>
      </c>
      <c r="O852">
        <v>44</v>
      </c>
      <c r="P852" t="str">
        <f>HYPERLINK("Gene3876-zp_tree_all.dnd", "Gene3876-tree")</f>
        <v>Gene3876-tree</v>
      </c>
      <c r="Q852">
        <v>1</v>
      </c>
      <c r="R852">
        <v>33</v>
      </c>
      <c r="S852">
        <v>1</v>
      </c>
      <c r="T852">
        <v>13</v>
      </c>
      <c r="U852">
        <v>0.92857000000000001</v>
      </c>
      <c r="V852" t="s">
        <v>175</v>
      </c>
      <c r="W852" t="s">
        <v>2041</v>
      </c>
      <c r="X852">
        <v>5.7539999999999996</v>
      </c>
      <c r="Y852" t="s">
        <v>267</v>
      </c>
      <c r="Z852">
        <v>10</v>
      </c>
      <c r="AA852">
        <v>26</v>
      </c>
      <c r="AB852">
        <v>19</v>
      </c>
      <c r="AC852">
        <v>0.57777999999999996</v>
      </c>
      <c r="AD852" s="47">
        <v>0</v>
      </c>
      <c r="AE852" s="47">
        <v>0</v>
      </c>
      <c r="AF852" s="47">
        <v>0</v>
      </c>
      <c r="AG852" s="47">
        <v>4</v>
      </c>
      <c r="AH852" s="47">
        <v>0</v>
      </c>
      <c r="AI852" s="47">
        <v>13</v>
      </c>
      <c r="AJ852" s="47">
        <v>0</v>
      </c>
      <c r="AK852" s="47">
        <v>13</v>
      </c>
      <c r="AL852">
        <v>17</v>
      </c>
      <c r="AM852">
        <v>0.43332999999999999</v>
      </c>
      <c r="AN852">
        <v>12</v>
      </c>
      <c r="AO852">
        <v>10</v>
      </c>
      <c r="AP852">
        <v>42</v>
      </c>
      <c r="AQ852">
        <v>24</v>
      </c>
      <c r="AR852">
        <v>17</v>
      </c>
      <c r="AS852">
        <v>21</v>
      </c>
      <c r="AT852" t="s">
        <v>22732</v>
      </c>
      <c r="AU852" t="s">
        <v>22733</v>
      </c>
      <c r="AV852">
        <v>1.3859999999999999</v>
      </c>
      <c r="AW852" t="s">
        <v>65</v>
      </c>
      <c r="AX852">
        <v>59</v>
      </c>
      <c r="AY852">
        <v>45</v>
      </c>
      <c r="AZ852" t="s">
        <v>22734</v>
      </c>
      <c r="BA852">
        <v>3.6020000000000003E-2</v>
      </c>
      <c r="BB852">
        <v>-1.1199999999999999E-3</v>
      </c>
      <c r="BC852">
        <v>8.2799999999999992E-3</v>
      </c>
      <c r="BD852">
        <v>-2.9999999999999997E-4</v>
      </c>
      <c r="BE852">
        <v>0.22980999999999999</v>
      </c>
      <c r="BF852">
        <v>1</v>
      </c>
      <c r="BG852" t="s">
        <v>69</v>
      </c>
      <c r="BH852">
        <v>-0.11</v>
      </c>
      <c r="BI852">
        <v>-1.5740000000000001</v>
      </c>
    </row>
    <row r="853" spans="3:61">
      <c r="C853">
        <v>0</v>
      </c>
      <c r="D853">
        <v>7</v>
      </c>
      <c r="E853">
        <v>0</v>
      </c>
      <c r="F853" t="s">
        <v>25021</v>
      </c>
      <c r="G853">
        <v>1336</v>
      </c>
      <c r="H853" t="s">
        <v>8358</v>
      </c>
      <c r="I853" t="s">
        <v>62</v>
      </c>
      <c r="J853">
        <v>1351378</v>
      </c>
      <c r="K853">
        <v>1352691</v>
      </c>
      <c r="L853" t="s">
        <v>8359</v>
      </c>
      <c r="M853">
        <v>438</v>
      </c>
      <c r="N853" t="s">
        <v>108</v>
      </c>
      <c r="O853">
        <v>44</v>
      </c>
      <c r="P853" t="str">
        <f>HYPERLINK("Gene1336-zp_tree_all.dnd", "Gene1336-tree")</f>
        <v>Gene1336-tree</v>
      </c>
      <c r="Q853">
        <v>7</v>
      </c>
      <c r="R853">
        <v>8</v>
      </c>
      <c r="S853">
        <v>7</v>
      </c>
      <c r="T853">
        <v>8</v>
      </c>
      <c r="U853">
        <v>0.53332999999999997</v>
      </c>
      <c r="V853" t="s">
        <v>152</v>
      </c>
      <c r="W853" t="s">
        <v>136</v>
      </c>
      <c r="X853" t="s">
        <v>62</v>
      </c>
      <c r="Y853" t="s">
        <v>62</v>
      </c>
      <c r="Z853">
        <v>3</v>
      </c>
      <c r="AA853">
        <v>7</v>
      </c>
      <c r="AB853">
        <v>6</v>
      </c>
      <c r="AC853">
        <v>0.53846000000000005</v>
      </c>
      <c r="AD853" s="47">
        <v>0</v>
      </c>
      <c r="AE853" s="47">
        <v>0</v>
      </c>
      <c r="AF853" s="47">
        <v>0</v>
      </c>
      <c r="AG853" s="47">
        <v>0</v>
      </c>
      <c r="AH853" s="47">
        <v>0</v>
      </c>
      <c r="AI853" s="47">
        <v>0</v>
      </c>
      <c r="AJ853" s="47">
        <v>0</v>
      </c>
      <c r="AK853" s="47">
        <v>0</v>
      </c>
      <c r="AL853">
        <v>9</v>
      </c>
      <c r="AM853">
        <v>0</v>
      </c>
      <c r="AN853">
        <v>13</v>
      </c>
      <c r="AO853">
        <v>10</v>
      </c>
      <c r="AP853">
        <v>54</v>
      </c>
      <c r="AQ853">
        <v>9</v>
      </c>
      <c r="AR853">
        <v>31</v>
      </c>
      <c r="AS853">
        <v>4</v>
      </c>
      <c r="AT853" t="s">
        <v>8360</v>
      </c>
      <c r="AU853" t="s">
        <v>8361</v>
      </c>
      <c r="AV853">
        <v>0.26900000000000002</v>
      </c>
      <c r="AW853" t="s">
        <v>65</v>
      </c>
      <c r="AX853">
        <v>85</v>
      </c>
      <c r="AY853">
        <v>13</v>
      </c>
      <c r="AZ853" t="s">
        <v>8362</v>
      </c>
      <c r="BA853">
        <v>4.6359999999999998E-2</v>
      </c>
      <c r="BB853">
        <v>-1.81E-3</v>
      </c>
      <c r="BC853">
        <v>2.1900000000000001E-3</v>
      </c>
      <c r="BD853">
        <v>-1.1E-4</v>
      </c>
      <c r="BE853">
        <v>4.725E-2</v>
      </c>
      <c r="BF853">
        <v>1</v>
      </c>
      <c r="BG853" t="s">
        <v>69</v>
      </c>
      <c r="BH853">
        <v>-0.71199999999999997</v>
      </c>
      <c r="BI853">
        <v>-1.47</v>
      </c>
    </row>
    <row r="854" spans="3:61">
      <c r="C854">
        <v>0</v>
      </c>
      <c r="D854">
        <v>12</v>
      </c>
      <c r="E854">
        <v>4</v>
      </c>
      <c r="F854" t="s">
        <v>25021</v>
      </c>
      <c r="G854">
        <v>1090</v>
      </c>
      <c r="H854" t="s">
        <v>6851</v>
      </c>
      <c r="I854" t="s">
        <v>62</v>
      </c>
      <c r="J854">
        <v>1128289</v>
      </c>
      <c r="K854">
        <v>1129611</v>
      </c>
      <c r="L854" t="s">
        <v>6852</v>
      </c>
      <c r="M854">
        <v>441</v>
      </c>
      <c r="N854" t="s">
        <v>465</v>
      </c>
      <c r="O854">
        <v>46</v>
      </c>
      <c r="P854" t="str">
        <f>HYPERLINK("Gene1090-zp_tree_all.dnd", "Gene1090-tree")</f>
        <v>Gene1090-tree</v>
      </c>
      <c r="Q854">
        <v>3</v>
      </c>
      <c r="R854">
        <v>13</v>
      </c>
      <c r="S854">
        <v>3</v>
      </c>
      <c r="T854">
        <v>13</v>
      </c>
      <c r="U854">
        <v>0.8125</v>
      </c>
      <c r="V854" t="s">
        <v>324</v>
      </c>
      <c r="W854" t="s">
        <v>507</v>
      </c>
      <c r="X854" t="s">
        <v>62</v>
      </c>
      <c r="Y854" t="s">
        <v>62</v>
      </c>
      <c r="Z854">
        <v>5</v>
      </c>
      <c r="AA854">
        <v>16</v>
      </c>
      <c r="AB854">
        <v>33</v>
      </c>
      <c r="AC854">
        <v>0.32652999999999999</v>
      </c>
      <c r="AD854" s="47">
        <v>0</v>
      </c>
      <c r="AE854" s="47">
        <v>0</v>
      </c>
      <c r="AF854" s="47">
        <v>0</v>
      </c>
      <c r="AG854" s="47">
        <v>0</v>
      </c>
      <c r="AH854" s="47">
        <v>0</v>
      </c>
      <c r="AI854" s="47">
        <v>5</v>
      </c>
      <c r="AJ854" s="47">
        <v>2</v>
      </c>
      <c r="AK854" s="47">
        <v>7</v>
      </c>
      <c r="AL854">
        <v>12</v>
      </c>
      <c r="AM854">
        <v>0.36842000000000003</v>
      </c>
      <c r="AN854">
        <v>14</v>
      </c>
      <c r="AO854">
        <v>12</v>
      </c>
      <c r="AP854">
        <v>21</v>
      </c>
      <c r="AQ854">
        <v>17</v>
      </c>
      <c r="AR854">
        <v>55</v>
      </c>
      <c r="AS854">
        <v>33</v>
      </c>
      <c r="AT854" t="s">
        <v>6853</v>
      </c>
      <c r="AU854" t="s">
        <v>6854</v>
      </c>
      <c r="AV854">
        <v>0.16400000000000001</v>
      </c>
      <c r="AW854" t="s">
        <v>65</v>
      </c>
      <c r="AX854">
        <v>76</v>
      </c>
      <c r="AY854">
        <v>50</v>
      </c>
      <c r="AZ854" t="s">
        <v>6855</v>
      </c>
      <c r="BA854">
        <v>5.4919999999999997E-2</v>
      </c>
      <c r="BB854">
        <v>-4.3099999999999996E-3</v>
      </c>
      <c r="BC854">
        <v>9.3699999999999999E-3</v>
      </c>
      <c r="BD854">
        <v>-8.3000000000000001E-4</v>
      </c>
      <c r="BE854">
        <v>0.1706</v>
      </c>
      <c r="BF854">
        <v>1</v>
      </c>
      <c r="BG854" t="s">
        <v>69</v>
      </c>
      <c r="BH854">
        <v>-1.2430000000000001</v>
      </c>
      <c r="BI854">
        <v>0.65</v>
      </c>
    </row>
    <row r="855" spans="3:61">
      <c r="C855">
        <v>0</v>
      </c>
      <c r="D855">
        <v>17</v>
      </c>
      <c r="E855">
        <v>2</v>
      </c>
      <c r="F855" t="s">
        <v>25021</v>
      </c>
      <c r="G855">
        <v>168</v>
      </c>
      <c r="H855" t="s">
        <v>1187</v>
      </c>
      <c r="I855" t="s">
        <v>62</v>
      </c>
      <c r="J855">
        <v>188411</v>
      </c>
      <c r="K855">
        <v>189733</v>
      </c>
      <c r="L855" t="s">
        <v>1188</v>
      </c>
      <c r="M855">
        <v>441</v>
      </c>
      <c r="N855" t="s">
        <v>265</v>
      </c>
      <c r="O855">
        <v>43</v>
      </c>
      <c r="P855" t="str">
        <f>HYPERLINK("Gene168-zp_tree_all.dnd", "Gene168-tree")</f>
        <v>Gene168-tree</v>
      </c>
      <c r="Q855">
        <v>2</v>
      </c>
      <c r="R855">
        <v>13</v>
      </c>
      <c r="S855">
        <v>2</v>
      </c>
      <c r="T855">
        <v>13</v>
      </c>
      <c r="U855">
        <v>0.86667000000000005</v>
      </c>
      <c r="V855" t="s">
        <v>81</v>
      </c>
      <c r="W855" t="s">
        <v>507</v>
      </c>
      <c r="X855" t="s">
        <v>62</v>
      </c>
      <c r="Y855" t="s">
        <v>62</v>
      </c>
      <c r="Z855">
        <v>7</v>
      </c>
      <c r="AA855">
        <v>19</v>
      </c>
      <c r="AB855">
        <v>21</v>
      </c>
      <c r="AC855">
        <v>0.47499999999999998</v>
      </c>
      <c r="AD855" s="47">
        <v>0</v>
      </c>
      <c r="AE855" s="47">
        <v>0</v>
      </c>
      <c r="AF855" s="47">
        <v>0</v>
      </c>
      <c r="AG855" s="47">
        <v>0</v>
      </c>
      <c r="AH855" s="47">
        <v>0</v>
      </c>
      <c r="AI855" s="47">
        <v>4</v>
      </c>
      <c r="AJ855" s="47">
        <v>0</v>
      </c>
      <c r="AK855" s="47">
        <v>4</v>
      </c>
      <c r="AL855">
        <v>23</v>
      </c>
      <c r="AM855">
        <v>0.14815</v>
      </c>
      <c r="AN855">
        <v>14</v>
      </c>
      <c r="AO855">
        <v>12</v>
      </c>
      <c r="AP855">
        <v>47</v>
      </c>
      <c r="AQ855">
        <v>27</v>
      </c>
      <c r="AR855">
        <v>29</v>
      </c>
      <c r="AS855">
        <v>13</v>
      </c>
      <c r="AT855" t="s">
        <v>1189</v>
      </c>
      <c r="AU855" t="s">
        <v>1190</v>
      </c>
      <c r="AV855">
        <v>0.40899999999999997</v>
      </c>
      <c r="AW855" t="s">
        <v>65</v>
      </c>
      <c r="AX855">
        <v>76</v>
      </c>
      <c r="AY855">
        <v>40</v>
      </c>
      <c r="AZ855" t="s">
        <v>1191</v>
      </c>
      <c r="BA855">
        <v>4.1860000000000001E-2</v>
      </c>
      <c r="BB855">
        <v>-1.7099999999999999E-3</v>
      </c>
      <c r="BC855">
        <v>6.2300000000000003E-3</v>
      </c>
      <c r="BD855">
        <v>-1.9000000000000001E-4</v>
      </c>
      <c r="BE855">
        <v>0.14885999999999999</v>
      </c>
      <c r="BF855">
        <v>1</v>
      </c>
      <c r="BG855" t="s">
        <v>69</v>
      </c>
      <c r="BH855">
        <v>-0.65400000000000003</v>
      </c>
      <c r="BI855">
        <v>-2.1859999999999999</v>
      </c>
    </row>
    <row r="856" spans="3:61">
      <c r="C856">
        <v>0</v>
      </c>
      <c r="D856">
        <v>14</v>
      </c>
      <c r="E856">
        <v>0</v>
      </c>
      <c r="F856" t="s">
        <v>25021</v>
      </c>
      <c r="G856">
        <v>1787</v>
      </c>
      <c r="H856" t="s">
        <v>11205</v>
      </c>
      <c r="I856" t="s">
        <v>62</v>
      </c>
      <c r="J856">
        <v>1861387</v>
      </c>
      <c r="K856">
        <v>1862712</v>
      </c>
      <c r="L856" t="s">
        <v>11206</v>
      </c>
      <c r="M856">
        <v>442</v>
      </c>
      <c r="N856" t="s">
        <v>108</v>
      </c>
      <c r="O856">
        <v>44</v>
      </c>
      <c r="P856" t="str">
        <f>HYPERLINK("Gene1787-zp_tree_all.dnd", "Gene1787-tree")</f>
        <v>Gene1787-tree</v>
      </c>
      <c r="Q856">
        <v>5</v>
      </c>
      <c r="R856">
        <v>10</v>
      </c>
      <c r="S856">
        <v>5</v>
      </c>
      <c r="T856">
        <v>10</v>
      </c>
      <c r="U856">
        <v>0.66666999999999998</v>
      </c>
      <c r="V856" t="s">
        <v>199</v>
      </c>
      <c r="W856" t="s">
        <v>117</v>
      </c>
      <c r="X856" t="s">
        <v>62</v>
      </c>
      <c r="Y856" t="s">
        <v>62</v>
      </c>
      <c r="Z856">
        <v>6</v>
      </c>
      <c r="AA856">
        <v>14</v>
      </c>
      <c r="AB856">
        <v>16</v>
      </c>
      <c r="AC856">
        <v>0.46666999999999997</v>
      </c>
      <c r="AD856" s="47">
        <v>0</v>
      </c>
      <c r="AE856" s="47">
        <v>0</v>
      </c>
      <c r="AF856" s="47">
        <v>0</v>
      </c>
      <c r="AG856" s="47">
        <v>1</v>
      </c>
      <c r="AH856" s="47">
        <v>0</v>
      </c>
      <c r="AI856" s="47">
        <v>10</v>
      </c>
      <c r="AJ856" s="47">
        <v>0</v>
      </c>
      <c r="AK856" s="47">
        <v>10</v>
      </c>
      <c r="AL856">
        <v>15</v>
      </c>
      <c r="AM856">
        <v>0.4</v>
      </c>
      <c r="AN856">
        <v>14</v>
      </c>
      <c r="AO856">
        <v>11</v>
      </c>
      <c r="AP856">
        <v>34</v>
      </c>
      <c r="AQ856">
        <v>25</v>
      </c>
      <c r="AR856">
        <v>15</v>
      </c>
      <c r="AS856">
        <v>5</v>
      </c>
      <c r="AT856" t="s">
        <v>11207</v>
      </c>
      <c r="AU856" t="s">
        <v>11208</v>
      </c>
      <c r="AV856">
        <v>1.746</v>
      </c>
      <c r="AW856" t="s">
        <v>65</v>
      </c>
      <c r="AX856">
        <v>49</v>
      </c>
      <c r="AY856">
        <v>30</v>
      </c>
      <c r="AZ856" t="s">
        <v>11209</v>
      </c>
      <c r="BA856">
        <v>2.5229999999999999E-2</v>
      </c>
      <c r="BB856">
        <v>-7.5000000000000002E-4</v>
      </c>
      <c r="BC856">
        <v>4.5500000000000002E-3</v>
      </c>
      <c r="BD856">
        <v>-1.8000000000000001E-4</v>
      </c>
      <c r="BE856">
        <v>0.18051</v>
      </c>
      <c r="BF856">
        <v>1</v>
      </c>
      <c r="BG856" t="s">
        <v>69</v>
      </c>
      <c r="BH856">
        <v>-0.83099999999999996</v>
      </c>
      <c r="BI856">
        <v>-1.7829999999999999</v>
      </c>
    </row>
    <row r="857" spans="3:61">
      <c r="C857">
        <v>0</v>
      </c>
      <c r="D857">
        <v>13</v>
      </c>
      <c r="E857">
        <v>0</v>
      </c>
      <c r="F857" t="s">
        <v>25021</v>
      </c>
      <c r="G857">
        <v>3735</v>
      </c>
      <c r="H857" t="s">
        <v>21899</v>
      </c>
      <c r="I857" t="s">
        <v>57</v>
      </c>
      <c r="J857">
        <v>3712617</v>
      </c>
      <c r="K857">
        <v>3713942</v>
      </c>
      <c r="L857" t="s">
        <v>21900</v>
      </c>
      <c r="M857">
        <v>442</v>
      </c>
      <c r="N857" t="s">
        <v>108</v>
      </c>
      <c r="O857">
        <v>44</v>
      </c>
      <c r="P857" t="str">
        <f>HYPERLINK("Gene3735-zp_tree_all.dnd", "Gene3735-tree")</f>
        <v>Gene3735-tree</v>
      </c>
      <c r="Q857">
        <v>8</v>
      </c>
      <c r="R857">
        <v>6</v>
      </c>
      <c r="S857">
        <v>8</v>
      </c>
      <c r="T857">
        <v>6</v>
      </c>
      <c r="U857">
        <v>0.42857000000000001</v>
      </c>
      <c r="V857" t="s">
        <v>136</v>
      </c>
      <c r="W857" t="s">
        <v>90</v>
      </c>
      <c r="X857" t="s">
        <v>62</v>
      </c>
      <c r="Y857" t="s">
        <v>62</v>
      </c>
      <c r="Z857">
        <v>4</v>
      </c>
      <c r="AA857">
        <v>13</v>
      </c>
      <c r="AB857">
        <v>12</v>
      </c>
      <c r="AC857">
        <v>0.52</v>
      </c>
      <c r="AD857" s="47">
        <v>0</v>
      </c>
      <c r="AE857" s="47">
        <v>0</v>
      </c>
      <c r="AF857" s="47">
        <v>0</v>
      </c>
      <c r="AG857" s="47">
        <v>2</v>
      </c>
      <c r="AH857" s="47">
        <v>0</v>
      </c>
      <c r="AI857" s="47">
        <v>4</v>
      </c>
      <c r="AJ857" s="47">
        <v>0</v>
      </c>
      <c r="AK857" s="47">
        <v>4</v>
      </c>
      <c r="AL857">
        <v>11</v>
      </c>
      <c r="AM857">
        <v>0.26667000000000002</v>
      </c>
      <c r="AN857">
        <v>12</v>
      </c>
      <c r="AO857">
        <v>9</v>
      </c>
      <c r="AP857">
        <v>30</v>
      </c>
      <c r="AQ857">
        <v>15</v>
      </c>
      <c r="AR857">
        <v>9</v>
      </c>
      <c r="AS857">
        <v>10</v>
      </c>
      <c r="AT857" t="s">
        <v>21901</v>
      </c>
      <c r="AU857" t="s">
        <v>21902</v>
      </c>
      <c r="AV857">
        <v>0.754</v>
      </c>
      <c r="AW857" t="s">
        <v>65</v>
      </c>
      <c r="AX857">
        <v>39</v>
      </c>
      <c r="AY857">
        <v>25</v>
      </c>
      <c r="AZ857" t="s">
        <v>21903</v>
      </c>
      <c r="BA857">
        <v>2.564E-2</v>
      </c>
      <c r="BB857">
        <v>-1.5900000000000001E-3</v>
      </c>
      <c r="BC857">
        <v>3.98E-3</v>
      </c>
      <c r="BD857">
        <v>-2.3000000000000001E-4</v>
      </c>
      <c r="BE857">
        <v>0.15506</v>
      </c>
      <c r="BF857">
        <v>1</v>
      </c>
      <c r="BG857" t="s">
        <v>69</v>
      </c>
      <c r="BH857">
        <v>-1.1439999999999999</v>
      </c>
      <c r="BI857">
        <v>-1.135</v>
      </c>
    </row>
    <row r="858" spans="3:61">
      <c r="C858">
        <v>0</v>
      </c>
      <c r="D858">
        <v>0</v>
      </c>
      <c r="E858">
        <v>0</v>
      </c>
      <c r="F858" t="s">
        <v>25021</v>
      </c>
      <c r="G858">
        <v>3709</v>
      </c>
      <c r="H858" t="s">
        <v>21722</v>
      </c>
      <c r="I858" t="s">
        <v>57</v>
      </c>
      <c r="J858">
        <v>3683438</v>
      </c>
      <c r="K858">
        <v>3684763</v>
      </c>
      <c r="L858" t="s">
        <v>21723</v>
      </c>
      <c r="M858">
        <v>442</v>
      </c>
      <c r="N858" t="s">
        <v>21724</v>
      </c>
      <c r="O858">
        <v>24</v>
      </c>
      <c r="P858" t="str">
        <f>HYPERLINK("Gene3709-zp_tree_all.dnd", "Gene3709-tree")</f>
        <v>Gene3709-tree</v>
      </c>
      <c r="Q858">
        <v>2</v>
      </c>
      <c r="R858">
        <v>3</v>
      </c>
      <c r="S858">
        <v>2</v>
      </c>
      <c r="T858">
        <v>3</v>
      </c>
      <c r="U858">
        <v>0.6</v>
      </c>
      <c r="V858" t="s">
        <v>81</v>
      </c>
      <c r="W858" t="s">
        <v>324</v>
      </c>
      <c r="X858" t="s">
        <v>62</v>
      </c>
      <c r="Y858" t="s">
        <v>62</v>
      </c>
      <c r="Z858">
        <v>0</v>
      </c>
      <c r="AA858">
        <v>0</v>
      </c>
      <c r="AB858">
        <v>5</v>
      </c>
      <c r="AC858">
        <v>0</v>
      </c>
      <c r="AD858" s="47">
        <v>0</v>
      </c>
      <c r="AE858" s="47">
        <v>0</v>
      </c>
      <c r="AF858" s="47">
        <v>0</v>
      </c>
      <c r="AG858" s="47">
        <v>0</v>
      </c>
      <c r="AH858" s="47">
        <v>0</v>
      </c>
      <c r="AI858" s="47">
        <v>0</v>
      </c>
      <c r="AJ858" s="47">
        <v>0</v>
      </c>
      <c r="AK858" s="47">
        <v>0</v>
      </c>
      <c r="AL858">
        <v>5</v>
      </c>
      <c r="AM858">
        <v>0</v>
      </c>
      <c r="AN858">
        <v>2</v>
      </c>
      <c r="AO858">
        <v>2</v>
      </c>
      <c r="AP858">
        <v>9</v>
      </c>
      <c r="AQ858">
        <v>4</v>
      </c>
      <c r="AR858">
        <v>1</v>
      </c>
      <c r="AS858">
        <v>1</v>
      </c>
      <c r="AT858" t="s">
        <v>21725</v>
      </c>
      <c r="AU858" t="s">
        <v>21726</v>
      </c>
      <c r="AV858">
        <v>0.39300000000000002</v>
      </c>
      <c r="AW858" t="s">
        <v>65</v>
      </c>
      <c r="AX858">
        <v>10</v>
      </c>
      <c r="AY858">
        <v>5</v>
      </c>
      <c r="AZ858" t="s">
        <v>21727</v>
      </c>
      <c r="BA858">
        <v>1.421E-2</v>
      </c>
      <c r="BB858">
        <v>-3.3899999999999998E-3</v>
      </c>
      <c r="BC858">
        <v>2.1199999999999999E-3</v>
      </c>
      <c r="BD858">
        <v>-4.8999999999999998E-4</v>
      </c>
      <c r="BE858">
        <v>0.14907999999999999</v>
      </c>
      <c r="BF858">
        <v>1</v>
      </c>
      <c r="BG858" t="s">
        <v>69</v>
      </c>
      <c r="BH858">
        <v>-2.1349999999999998</v>
      </c>
      <c r="BI858">
        <v>-2.7349999999999999</v>
      </c>
    </row>
    <row r="859" spans="3:61">
      <c r="C859">
        <v>0</v>
      </c>
      <c r="D859">
        <v>11</v>
      </c>
      <c r="E859">
        <v>0</v>
      </c>
      <c r="F859" t="s">
        <v>25021</v>
      </c>
      <c r="G859">
        <v>2577</v>
      </c>
      <c r="H859" t="s">
        <v>15082</v>
      </c>
      <c r="I859" t="s">
        <v>57</v>
      </c>
      <c r="J859">
        <v>2561585</v>
      </c>
      <c r="K859">
        <v>2562910</v>
      </c>
      <c r="L859" t="s">
        <v>15083</v>
      </c>
      <c r="M859">
        <v>442</v>
      </c>
      <c r="N859" t="s">
        <v>5451</v>
      </c>
      <c r="O859">
        <v>43</v>
      </c>
      <c r="P859" t="str">
        <f>HYPERLINK("Gene2577-zp_tree_all.dnd", "Gene2577-tree")</f>
        <v>Gene2577-tree</v>
      </c>
      <c r="Q859">
        <v>7</v>
      </c>
      <c r="R859">
        <v>7</v>
      </c>
      <c r="S859">
        <v>7</v>
      </c>
      <c r="T859">
        <v>7</v>
      </c>
      <c r="U859">
        <v>0.5</v>
      </c>
      <c r="V859" t="s">
        <v>152</v>
      </c>
      <c r="W859" t="s">
        <v>152</v>
      </c>
      <c r="X859" t="s">
        <v>62</v>
      </c>
      <c r="Y859" t="s">
        <v>62</v>
      </c>
      <c r="Z859">
        <v>4</v>
      </c>
      <c r="AA859">
        <v>11</v>
      </c>
      <c r="AB859">
        <v>6</v>
      </c>
      <c r="AC859">
        <v>0.64705999999999997</v>
      </c>
      <c r="AD859" s="47">
        <v>0</v>
      </c>
      <c r="AE859" s="47">
        <v>0</v>
      </c>
      <c r="AF859" s="47">
        <v>0</v>
      </c>
      <c r="AG859" s="47">
        <v>0</v>
      </c>
      <c r="AH859" s="47">
        <v>0</v>
      </c>
      <c r="AI859" s="47">
        <v>3</v>
      </c>
      <c r="AJ859" s="47">
        <v>0</v>
      </c>
      <c r="AK859" s="47">
        <v>3</v>
      </c>
      <c r="AL859">
        <v>6</v>
      </c>
      <c r="AM859">
        <v>0.33333000000000002</v>
      </c>
      <c r="AN859">
        <v>11</v>
      </c>
      <c r="AO859">
        <v>10</v>
      </c>
      <c r="AP859">
        <v>33</v>
      </c>
      <c r="AQ859">
        <v>9</v>
      </c>
      <c r="AR859">
        <v>38</v>
      </c>
      <c r="AS859">
        <v>8</v>
      </c>
      <c r="AT859" t="s">
        <v>15084</v>
      </c>
      <c r="AU859" t="s">
        <v>15085</v>
      </c>
      <c r="AV859">
        <v>0.378</v>
      </c>
      <c r="AW859" t="s">
        <v>65</v>
      </c>
      <c r="AX859">
        <v>71</v>
      </c>
      <c r="AY859">
        <v>17</v>
      </c>
      <c r="AZ859" t="s">
        <v>15086</v>
      </c>
      <c r="BA859">
        <v>4.7840000000000001E-2</v>
      </c>
      <c r="BB859">
        <v>-1.6000000000000001E-3</v>
      </c>
      <c r="BC859">
        <v>2.6900000000000001E-3</v>
      </c>
      <c r="BD859">
        <v>-1.7000000000000001E-4</v>
      </c>
      <c r="BE859">
        <v>5.6180000000000001E-2</v>
      </c>
      <c r="BF859">
        <v>1</v>
      </c>
      <c r="BG859" t="s">
        <v>69</v>
      </c>
      <c r="BH859">
        <v>0.44600000000000001</v>
      </c>
      <c r="BI859">
        <v>-0.42499999999999999</v>
      </c>
    </row>
    <row r="860" spans="3:61">
      <c r="C860">
        <v>0</v>
      </c>
      <c r="D860">
        <v>3</v>
      </c>
      <c r="E860">
        <v>0</v>
      </c>
      <c r="F860" t="s">
        <v>25021</v>
      </c>
      <c r="G860">
        <v>3187</v>
      </c>
      <c r="H860" t="s">
        <v>18545</v>
      </c>
      <c r="I860" t="s">
        <v>57</v>
      </c>
      <c r="J860">
        <v>3139431</v>
      </c>
      <c r="K860">
        <v>3140759</v>
      </c>
      <c r="L860" t="s">
        <v>18546</v>
      </c>
      <c r="M860">
        <v>443</v>
      </c>
      <c r="N860" t="s">
        <v>108</v>
      </c>
      <c r="O860">
        <v>44</v>
      </c>
      <c r="P860" t="str">
        <f>HYPERLINK("Gene3187-zp_tree_all.dnd", "Gene3187-tree")</f>
        <v>Gene3187-tree</v>
      </c>
      <c r="Q860">
        <v>9</v>
      </c>
      <c r="R860">
        <v>6</v>
      </c>
      <c r="S860">
        <v>9</v>
      </c>
      <c r="T860">
        <v>6</v>
      </c>
      <c r="U860">
        <v>0.4</v>
      </c>
      <c r="V860" t="s">
        <v>135</v>
      </c>
      <c r="W860" t="s">
        <v>90</v>
      </c>
      <c r="X860" t="s">
        <v>62</v>
      </c>
      <c r="Y860" t="s">
        <v>62</v>
      </c>
      <c r="Z860">
        <v>1</v>
      </c>
      <c r="AA860">
        <v>3</v>
      </c>
      <c r="AB860">
        <v>6</v>
      </c>
      <c r="AC860">
        <v>0.33333000000000002</v>
      </c>
      <c r="AD860" s="47">
        <v>0</v>
      </c>
      <c r="AE860" s="47">
        <v>0</v>
      </c>
      <c r="AF860" s="47">
        <v>0</v>
      </c>
      <c r="AG860" s="47">
        <v>0</v>
      </c>
      <c r="AH860" s="47">
        <v>0</v>
      </c>
      <c r="AI860" s="47">
        <v>0</v>
      </c>
      <c r="AJ860" s="47">
        <v>0</v>
      </c>
      <c r="AK860" s="47">
        <v>0</v>
      </c>
      <c r="AL860">
        <v>6</v>
      </c>
      <c r="AM860">
        <v>0</v>
      </c>
      <c r="AN860">
        <v>15</v>
      </c>
      <c r="AO860">
        <v>10</v>
      </c>
      <c r="AP860">
        <v>58</v>
      </c>
      <c r="AQ860">
        <v>6</v>
      </c>
      <c r="AR860">
        <v>57</v>
      </c>
      <c r="AS860">
        <v>3</v>
      </c>
      <c r="AT860" t="s">
        <v>18547</v>
      </c>
      <c r="AU860" t="s">
        <v>18548</v>
      </c>
      <c r="AV860">
        <v>0.60499999999999998</v>
      </c>
      <c r="AW860" t="s">
        <v>65</v>
      </c>
      <c r="AX860">
        <v>115</v>
      </c>
      <c r="AY860">
        <v>9</v>
      </c>
      <c r="AZ860" t="s">
        <v>18549</v>
      </c>
      <c r="BA860">
        <v>7.127E-2</v>
      </c>
      <c r="BB860">
        <v>-3.2699999999999999E-3</v>
      </c>
      <c r="BC860">
        <v>1.48E-3</v>
      </c>
      <c r="BD860">
        <v>-8.0000000000000007E-5</v>
      </c>
      <c r="BE860">
        <v>2.078E-2</v>
      </c>
      <c r="BF860">
        <v>1</v>
      </c>
      <c r="BG860" t="s">
        <v>69</v>
      </c>
      <c r="BH860">
        <v>-0.217</v>
      </c>
      <c r="BI860">
        <v>-0.72</v>
      </c>
    </row>
    <row r="861" spans="3:61">
      <c r="C861">
        <v>0</v>
      </c>
      <c r="D861">
        <v>8</v>
      </c>
      <c r="E861">
        <v>3</v>
      </c>
      <c r="F861" t="s">
        <v>25021</v>
      </c>
      <c r="G861">
        <v>1893</v>
      </c>
      <c r="H861" t="s">
        <v>11849</v>
      </c>
      <c r="I861" t="s">
        <v>62</v>
      </c>
      <c r="J861">
        <v>1953184</v>
      </c>
      <c r="K861">
        <v>1954515</v>
      </c>
      <c r="L861" t="s">
        <v>11850</v>
      </c>
      <c r="M861">
        <v>444</v>
      </c>
      <c r="N861" t="s">
        <v>108</v>
      </c>
      <c r="O861">
        <v>44</v>
      </c>
      <c r="P861" t="str">
        <f>HYPERLINK("Gene1893-zp_tree_all.dnd", "Gene1893-tree")</f>
        <v>Gene1893-tree</v>
      </c>
      <c r="Q861">
        <v>3</v>
      </c>
      <c r="R861">
        <v>10</v>
      </c>
      <c r="S861">
        <v>3</v>
      </c>
      <c r="T861">
        <v>10</v>
      </c>
      <c r="U861">
        <v>0.76922999999999997</v>
      </c>
      <c r="V861" t="s">
        <v>324</v>
      </c>
      <c r="W861" t="s">
        <v>117</v>
      </c>
      <c r="X861" t="s">
        <v>62</v>
      </c>
      <c r="Y861" t="s">
        <v>62</v>
      </c>
      <c r="Z861">
        <v>4</v>
      </c>
      <c r="AA861">
        <v>11</v>
      </c>
      <c r="AB861">
        <v>13</v>
      </c>
      <c r="AC861">
        <v>0.45833000000000002</v>
      </c>
      <c r="AD861" s="47">
        <v>0</v>
      </c>
      <c r="AE861" s="47">
        <v>0</v>
      </c>
      <c r="AF861" s="47">
        <v>0</v>
      </c>
      <c r="AG861" s="47">
        <v>0</v>
      </c>
      <c r="AH861" s="47">
        <v>0</v>
      </c>
      <c r="AI861" s="47">
        <v>0</v>
      </c>
      <c r="AJ861" s="47">
        <v>4</v>
      </c>
      <c r="AK861" s="47">
        <v>4</v>
      </c>
      <c r="AL861">
        <v>14</v>
      </c>
      <c r="AM861">
        <v>0.22222</v>
      </c>
      <c r="AN861">
        <v>11</v>
      </c>
      <c r="AO861">
        <v>8</v>
      </c>
      <c r="AP861">
        <v>27</v>
      </c>
      <c r="AQ861">
        <v>17</v>
      </c>
      <c r="AR861">
        <v>20</v>
      </c>
      <c r="AS861">
        <v>7</v>
      </c>
      <c r="AT861" t="s">
        <v>11851</v>
      </c>
      <c r="AU861" t="s">
        <v>11852</v>
      </c>
      <c r="AV861">
        <v>0.73099999999999998</v>
      </c>
      <c r="AW861" t="s">
        <v>65</v>
      </c>
      <c r="AX861">
        <v>47</v>
      </c>
      <c r="AY861">
        <v>24</v>
      </c>
      <c r="AZ861" t="s">
        <v>11853</v>
      </c>
      <c r="BA861">
        <v>3.4380000000000001E-2</v>
      </c>
      <c r="BB861">
        <v>-1.5100000000000001E-3</v>
      </c>
      <c r="BC861">
        <v>3.8700000000000002E-3</v>
      </c>
      <c r="BD861">
        <v>-2.0000000000000001E-4</v>
      </c>
      <c r="BE861">
        <v>0.11255999999999999</v>
      </c>
      <c r="BF861">
        <v>1</v>
      </c>
      <c r="BG861" t="s">
        <v>69</v>
      </c>
      <c r="BH861">
        <v>0.109</v>
      </c>
      <c r="BI861">
        <v>-1.5860000000000001</v>
      </c>
    </row>
    <row r="862" spans="3:61">
      <c r="C862">
        <v>0</v>
      </c>
      <c r="D862">
        <v>10</v>
      </c>
      <c r="E862">
        <v>2</v>
      </c>
      <c r="F862" t="s">
        <v>25021</v>
      </c>
      <c r="G862">
        <v>3648</v>
      </c>
      <c r="H862" t="s">
        <v>21411</v>
      </c>
      <c r="I862" t="s">
        <v>57</v>
      </c>
      <c r="J862">
        <v>3618964</v>
      </c>
      <c r="K862">
        <v>3620295</v>
      </c>
      <c r="L862" t="s">
        <v>2641</v>
      </c>
      <c r="M862">
        <v>444</v>
      </c>
      <c r="N862" t="s">
        <v>108</v>
      </c>
      <c r="O862">
        <v>44</v>
      </c>
      <c r="P862" t="str">
        <f>HYPERLINK("Gene3648-zp_tree_all.dnd", "Gene3648-tree")</f>
        <v>Gene3648-tree</v>
      </c>
      <c r="Q862">
        <v>9</v>
      </c>
      <c r="R862">
        <v>5</v>
      </c>
      <c r="S862">
        <v>9</v>
      </c>
      <c r="T862">
        <v>5</v>
      </c>
      <c r="U862">
        <v>0.35714000000000001</v>
      </c>
      <c r="V862" t="s">
        <v>135</v>
      </c>
      <c r="W862" t="s">
        <v>199</v>
      </c>
      <c r="X862" t="s">
        <v>62</v>
      </c>
      <c r="Y862" t="s">
        <v>62</v>
      </c>
      <c r="Z862">
        <v>6</v>
      </c>
      <c r="AA862">
        <v>12</v>
      </c>
      <c r="AB862">
        <v>6</v>
      </c>
      <c r="AC862">
        <v>0.66666999999999998</v>
      </c>
      <c r="AD862" s="47">
        <v>0</v>
      </c>
      <c r="AE862" s="47">
        <v>0</v>
      </c>
      <c r="AF862" s="47">
        <v>0</v>
      </c>
      <c r="AG862" s="47">
        <v>6</v>
      </c>
      <c r="AH862" s="47">
        <v>0</v>
      </c>
      <c r="AI862" s="47">
        <v>4</v>
      </c>
      <c r="AJ862" s="47">
        <v>2</v>
      </c>
      <c r="AK862" s="47">
        <v>6</v>
      </c>
      <c r="AL862">
        <v>5</v>
      </c>
      <c r="AM862">
        <v>0.54544999999999999</v>
      </c>
      <c r="AN862">
        <v>12</v>
      </c>
      <c r="AO862">
        <v>9</v>
      </c>
      <c r="AP862">
        <v>43</v>
      </c>
      <c r="AQ862">
        <v>11</v>
      </c>
      <c r="AR862">
        <v>20</v>
      </c>
      <c r="AS862">
        <v>7</v>
      </c>
      <c r="AT862" t="s">
        <v>21412</v>
      </c>
      <c r="AU862" t="s">
        <v>21413</v>
      </c>
      <c r="AV862">
        <v>0.245</v>
      </c>
      <c r="AW862" t="s">
        <v>65</v>
      </c>
      <c r="AX862">
        <v>63</v>
      </c>
      <c r="AY862">
        <v>18</v>
      </c>
      <c r="AZ862" t="s">
        <v>21414</v>
      </c>
      <c r="BA862">
        <v>3.3480000000000003E-2</v>
      </c>
      <c r="BB862">
        <v>-1.57E-3</v>
      </c>
      <c r="BC862">
        <v>3.32E-3</v>
      </c>
      <c r="BD862">
        <v>-1.8000000000000001E-4</v>
      </c>
      <c r="BE862">
        <v>9.9269999999999997E-2</v>
      </c>
      <c r="BF862">
        <v>1</v>
      </c>
      <c r="BG862" t="s">
        <v>69</v>
      </c>
      <c r="BH862">
        <v>-0.98799999999999999</v>
      </c>
      <c r="BI862">
        <v>-2.4340000000000002</v>
      </c>
    </row>
    <row r="863" spans="3:61">
      <c r="C863">
        <v>2</v>
      </c>
      <c r="D863">
        <v>15</v>
      </c>
      <c r="E863">
        <v>2</v>
      </c>
      <c r="F863" t="s">
        <v>25021</v>
      </c>
      <c r="G863">
        <v>2986</v>
      </c>
      <c r="H863" t="s">
        <v>17234</v>
      </c>
      <c r="I863" t="s">
        <v>57</v>
      </c>
      <c r="J863">
        <v>2934594</v>
      </c>
      <c r="K863">
        <v>2935925</v>
      </c>
      <c r="L863" t="s">
        <v>17235</v>
      </c>
      <c r="M863">
        <v>444</v>
      </c>
      <c r="N863" t="s">
        <v>1557</v>
      </c>
      <c r="O863">
        <v>40</v>
      </c>
      <c r="P863" t="str">
        <f>HYPERLINK("Gene2986-zp_tree_all.dnd", "Gene2986-tree")</f>
        <v>Gene2986-tree</v>
      </c>
      <c r="Q863">
        <v>5</v>
      </c>
      <c r="R863">
        <v>9</v>
      </c>
      <c r="S863">
        <v>5</v>
      </c>
      <c r="T863">
        <v>9</v>
      </c>
      <c r="U863">
        <v>0.64285999999999999</v>
      </c>
      <c r="V863" t="s">
        <v>199</v>
      </c>
      <c r="W863" t="s">
        <v>135</v>
      </c>
      <c r="X863" t="s">
        <v>62</v>
      </c>
      <c r="Y863" t="s">
        <v>62</v>
      </c>
      <c r="Z863">
        <v>7</v>
      </c>
      <c r="AA863">
        <v>19</v>
      </c>
      <c r="AB863">
        <v>18</v>
      </c>
      <c r="AC863">
        <v>0.51351000000000002</v>
      </c>
      <c r="AD863" s="47">
        <v>0</v>
      </c>
      <c r="AE863" s="47">
        <v>0</v>
      </c>
      <c r="AF863" s="47">
        <v>0</v>
      </c>
      <c r="AG863" s="47">
        <v>0</v>
      </c>
      <c r="AH863" s="47">
        <v>0</v>
      </c>
      <c r="AI863" s="47">
        <v>2</v>
      </c>
      <c r="AJ863" s="47">
        <v>4</v>
      </c>
      <c r="AK863" s="47">
        <v>6</v>
      </c>
      <c r="AL863">
        <v>19</v>
      </c>
      <c r="AM863">
        <v>0.24</v>
      </c>
      <c r="AN863">
        <v>12</v>
      </c>
      <c r="AO863">
        <v>10</v>
      </c>
      <c r="AP863">
        <v>82</v>
      </c>
      <c r="AQ863">
        <v>23</v>
      </c>
      <c r="AR863">
        <v>74</v>
      </c>
      <c r="AS863">
        <v>15</v>
      </c>
      <c r="AT863" t="s">
        <v>17236</v>
      </c>
      <c r="AU863" t="s">
        <v>17237</v>
      </c>
      <c r="AV863">
        <v>0.52500000000000002</v>
      </c>
      <c r="AW863" t="s">
        <v>65</v>
      </c>
      <c r="AX863">
        <v>156</v>
      </c>
      <c r="AY863">
        <v>38</v>
      </c>
      <c r="AZ863" t="s">
        <v>17238</v>
      </c>
      <c r="BA863">
        <v>0.1132</v>
      </c>
      <c r="BB863">
        <v>-4.45E-3</v>
      </c>
      <c r="BC863">
        <v>6.1000000000000004E-3</v>
      </c>
      <c r="BD863">
        <v>-2.5999999999999998E-4</v>
      </c>
      <c r="BE863">
        <v>5.3870000000000001E-2</v>
      </c>
      <c r="BF863">
        <v>1</v>
      </c>
      <c r="BG863" t="s">
        <v>69</v>
      </c>
      <c r="BH863">
        <v>0.24199999999999999</v>
      </c>
      <c r="BI863">
        <v>-0.44900000000000001</v>
      </c>
    </row>
    <row r="864" spans="3:61">
      <c r="C864">
        <v>0</v>
      </c>
      <c r="D864">
        <v>2</v>
      </c>
      <c r="E864">
        <v>0</v>
      </c>
      <c r="F864" t="s">
        <v>25021</v>
      </c>
      <c r="G864">
        <v>990</v>
      </c>
      <c r="H864" t="s">
        <v>6205</v>
      </c>
      <c r="I864" t="s">
        <v>62</v>
      </c>
      <c r="J864">
        <v>1032066</v>
      </c>
      <c r="K864">
        <v>1033397</v>
      </c>
      <c r="L864" t="s">
        <v>6206</v>
      </c>
      <c r="M864">
        <v>444</v>
      </c>
      <c r="N864" t="s">
        <v>59</v>
      </c>
      <c r="O864">
        <v>49</v>
      </c>
      <c r="P864" t="str">
        <f>HYPERLINK("Gene990-zp_tree_all.dnd", "Gene990-tree")</f>
        <v>Gene990-tree</v>
      </c>
      <c r="Q864">
        <v>34</v>
      </c>
      <c r="R864">
        <v>3</v>
      </c>
      <c r="S864">
        <v>15</v>
      </c>
      <c r="T864">
        <v>3</v>
      </c>
      <c r="U864">
        <v>0.16667000000000001</v>
      </c>
      <c r="V864" t="s">
        <v>6207</v>
      </c>
      <c r="W864" t="s">
        <v>324</v>
      </c>
      <c r="X864" t="s">
        <v>62</v>
      </c>
      <c r="Y864" t="s">
        <v>62</v>
      </c>
      <c r="Z864">
        <v>1</v>
      </c>
      <c r="AA864">
        <v>2</v>
      </c>
      <c r="AB864">
        <v>10</v>
      </c>
      <c r="AC864">
        <v>0.16667000000000001</v>
      </c>
      <c r="AD864" s="47">
        <v>0</v>
      </c>
      <c r="AE864" s="47">
        <v>0</v>
      </c>
      <c r="AF864" s="47">
        <v>0</v>
      </c>
      <c r="AG864" s="47">
        <v>1</v>
      </c>
      <c r="AH864" s="47">
        <v>0</v>
      </c>
      <c r="AI864" s="47">
        <v>0</v>
      </c>
      <c r="AJ864" s="47">
        <v>0</v>
      </c>
      <c r="AK864" s="47">
        <v>0</v>
      </c>
      <c r="AL864">
        <v>4</v>
      </c>
      <c r="AM864">
        <v>0</v>
      </c>
      <c r="AN864">
        <v>16</v>
      </c>
      <c r="AO864">
        <v>12</v>
      </c>
      <c r="AP864">
        <v>45</v>
      </c>
      <c r="AQ864">
        <v>4</v>
      </c>
      <c r="AR864">
        <v>79</v>
      </c>
      <c r="AS864">
        <v>9</v>
      </c>
      <c r="AT864" t="s">
        <v>6208</v>
      </c>
      <c r="AU864" t="s">
        <v>6209</v>
      </c>
      <c r="AV864">
        <v>0.10299999999999999</v>
      </c>
      <c r="AW864" t="s">
        <v>65</v>
      </c>
      <c r="AX864">
        <v>124</v>
      </c>
      <c r="AY864">
        <v>13</v>
      </c>
      <c r="AZ864" t="s">
        <v>6210</v>
      </c>
      <c r="BA864">
        <v>0.10788</v>
      </c>
      <c r="BB864">
        <v>-6.8199999999999997E-3</v>
      </c>
      <c r="BC864">
        <v>3.3500000000000001E-3</v>
      </c>
      <c r="BD864">
        <v>-2.7E-4</v>
      </c>
      <c r="BE864">
        <v>3.1060000000000001E-2</v>
      </c>
      <c r="BF864">
        <v>1</v>
      </c>
      <c r="BG864" t="s">
        <v>69</v>
      </c>
      <c r="BH864">
        <v>-1.18</v>
      </c>
      <c r="BI864">
        <v>0.129</v>
      </c>
    </row>
    <row r="865" spans="3:61">
      <c r="C865">
        <v>0</v>
      </c>
      <c r="D865">
        <v>0</v>
      </c>
      <c r="E865">
        <v>0</v>
      </c>
      <c r="F865" t="s">
        <v>25021</v>
      </c>
      <c r="G865">
        <v>213</v>
      </c>
      <c r="H865" t="s">
        <v>1453</v>
      </c>
      <c r="I865" t="s">
        <v>62</v>
      </c>
      <c r="J865">
        <v>233997</v>
      </c>
      <c r="K865">
        <v>235328</v>
      </c>
      <c r="L865" t="s">
        <v>1454</v>
      </c>
      <c r="M865">
        <v>444</v>
      </c>
      <c r="N865" t="s">
        <v>108</v>
      </c>
      <c r="O865">
        <v>44</v>
      </c>
      <c r="P865" t="str">
        <f>HYPERLINK("Gene213-zp_tree_all.dnd", "Gene213-tree")</f>
        <v>Gene213-tree</v>
      </c>
      <c r="Q865">
        <v>29</v>
      </c>
      <c r="R865">
        <v>3</v>
      </c>
      <c r="S865">
        <v>12</v>
      </c>
      <c r="T865">
        <v>3</v>
      </c>
      <c r="U865">
        <v>0.2</v>
      </c>
      <c r="V865" t="s">
        <v>1455</v>
      </c>
      <c r="W865" t="s">
        <v>324</v>
      </c>
      <c r="X865" t="s">
        <v>62</v>
      </c>
      <c r="Y865" t="s">
        <v>62</v>
      </c>
      <c r="Z865">
        <v>0</v>
      </c>
      <c r="AA865">
        <v>0</v>
      </c>
      <c r="AB865">
        <v>4</v>
      </c>
      <c r="AC865">
        <v>0</v>
      </c>
      <c r="AD865" s="47">
        <v>0</v>
      </c>
      <c r="AE865" s="47">
        <v>0</v>
      </c>
      <c r="AF865" s="47">
        <v>0</v>
      </c>
      <c r="AG865" s="47">
        <v>0</v>
      </c>
      <c r="AH865" s="47">
        <v>0</v>
      </c>
      <c r="AI865" s="47">
        <v>0</v>
      </c>
      <c r="AJ865" s="47">
        <v>0</v>
      </c>
      <c r="AK865" s="47">
        <v>0</v>
      </c>
      <c r="AL865">
        <v>4</v>
      </c>
      <c r="AM865">
        <v>0</v>
      </c>
      <c r="AN865">
        <v>13</v>
      </c>
      <c r="AO865">
        <v>10</v>
      </c>
      <c r="AP865">
        <v>45</v>
      </c>
      <c r="AQ865">
        <v>4</v>
      </c>
      <c r="AR865">
        <v>25</v>
      </c>
      <c r="AS865">
        <v>0</v>
      </c>
      <c r="AT865" t="s">
        <v>1456</v>
      </c>
      <c r="AU865" t="s">
        <v>193</v>
      </c>
      <c r="AV865">
        <v>0.63200000000000001</v>
      </c>
      <c r="AW865" t="s">
        <v>65</v>
      </c>
      <c r="AX865">
        <v>70</v>
      </c>
      <c r="AY865">
        <v>4</v>
      </c>
      <c r="AZ865" t="s">
        <v>1457</v>
      </c>
      <c r="BA865">
        <v>4.3490000000000001E-2</v>
      </c>
      <c r="BB865">
        <v>-1.9E-3</v>
      </c>
      <c r="BC865">
        <v>5.2999999999999998E-4</v>
      </c>
      <c r="BD865">
        <v>-6.9999999999999994E-5</v>
      </c>
      <c r="BE865">
        <v>1.208E-2</v>
      </c>
      <c r="BF865">
        <v>1</v>
      </c>
      <c r="BG865" t="s">
        <v>69</v>
      </c>
      <c r="BH865">
        <v>-0.42399999999999999</v>
      </c>
      <c r="BI865">
        <v>-2.2749999999999999</v>
      </c>
    </row>
    <row r="866" spans="3:61">
      <c r="C866">
        <v>0</v>
      </c>
      <c r="D866">
        <v>6</v>
      </c>
      <c r="E866">
        <v>0</v>
      </c>
      <c r="F866" t="s">
        <v>25021</v>
      </c>
      <c r="G866">
        <v>3226</v>
      </c>
      <c r="H866" t="s">
        <v>18798</v>
      </c>
      <c r="I866" t="s">
        <v>57</v>
      </c>
      <c r="J866">
        <v>3189089</v>
      </c>
      <c r="K866">
        <v>3190423</v>
      </c>
      <c r="L866" t="s">
        <v>18799</v>
      </c>
      <c r="M866">
        <v>445</v>
      </c>
      <c r="N866" t="s">
        <v>108</v>
      </c>
      <c r="O866">
        <v>44</v>
      </c>
      <c r="P866" t="str">
        <f>HYPERLINK("Gene3226-zp_tree_all.dnd", "Gene3226-tree")</f>
        <v>Gene3226-tree</v>
      </c>
      <c r="Q866">
        <v>7</v>
      </c>
      <c r="R866">
        <v>11</v>
      </c>
      <c r="S866">
        <v>7</v>
      </c>
      <c r="T866">
        <v>11</v>
      </c>
      <c r="U866">
        <v>0.61111000000000004</v>
      </c>
      <c r="V866" t="s">
        <v>152</v>
      </c>
      <c r="W866" t="s">
        <v>73</v>
      </c>
      <c r="X866">
        <v>65406436.016999997</v>
      </c>
      <c r="Y866" t="s">
        <v>267</v>
      </c>
      <c r="Z866">
        <v>3</v>
      </c>
      <c r="AA866">
        <v>6</v>
      </c>
      <c r="AB866">
        <v>14</v>
      </c>
      <c r="AC866">
        <v>0.3</v>
      </c>
      <c r="AD866" s="47">
        <v>0</v>
      </c>
      <c r="AE866" s="47">
        <v>0</v>
      </c>
      <c r="AF866" s="47">
        <v>0</v>
      </c>
      <c r="AG866" s="47">
        <v>0</v>
      </c>
      <c r="AH866" s="47">
        <v>0</v>
      </c>
      <c r="AI866" s="47">
        <v>2</v>
      </c>
      <c r="AJ866" s="47">
        <v>0</v>
      </c>
      <c r="AK866" s="47">
        <v>2</v>
      </c>
      <c r="AL866">
        <v>15</v>
      </c>
      <c r="AM866">
        <v>0.11765</v>
      </c>
      <c r="AN866">
        <v>15</v>
      </c>
      <c r="AO866">
        <v>11</v>
      </c>
      <c r="AP866">
        <v>32</v>
      </c>
      <c r="AQ866">
        <v>17</v>
      </c>
      <c r="AR866">
        <v>35</v>
      </c>
      <c r="AS866">
        <v>3</v>
      </c>
      <c r="AT866" t="s">
        <v>18800</v>
      </c>
      <c r="AU866" t="s">
        <v>18801</v>
      </c>
      <c r="AV866">
        <v>1.268</v>
      </c>
      <c r="AW866" t="s">
        <v>65</v>
      </c>
      <c r="AX866">
        <v>67</v>
      </c>
      <c r="AY866">
        <v>20</v>
      </c>
      <c r="AZ866" t="s">
        <v>18802</v>
      </c>
      <c r="BA866">
        <v>3.6720000000000003E-2</v>
      </c>
      <c r="BB866">
        <v>-1.1199999999999999E-3</v>
      </c>
      <c r="BC866">
        <v>2.97E-3</v>
      </c>
      <c r="BD866">
        <v>-1.3999999999999999E-4</v>
      </c>
      <c r="BE866">
        <v>8.0769999999999995E-2</v>
      </c>
      <c r="BF866">
        <v>1</v>
      </c>
      <c r="BG866" t="s">
        <v>69</v>
      </c>
      <c r="BH866">
        <v>-0.52800000000000002</v>
      </c>
      <c r="BI866">
        <v>-1.1819999999999999</v>
      </c>
    </row>
    <row r="867" spans="3:61">
      <c r="C867">
        <v>0</v>
      </c>
      <c r="D867">
        <v>8</v>
      </c>
      <c r="E867">
        <v>5</v>
      </c>
      <c r="F867" t="s">
        <v>25021</v>
      </c>
      <c r="G867">
        <v>4127</v>
      </c>
      <c r="H867" t="s">
        <v>24324</v>
      </c>
      <c r="I867" t="s">
        <v>57</v>
      </c>
      <c r="J867">
        <v>4093980</v>
      </c>
      <c r="K867">
        <v>4095314</v>
      </c>
      <c r="L867" t="s">
        <v>23075</v>
      </c>
      <c r="M867">
        <v>445</v>
      </c>
      <c r="N867" t="s">
        <v>1907</v>
      </c>
      <c r="O867">
        <v>38</v>
      </c>
      <c r="P867" t="str">
        <f>HYPERLINK("Gene4127-zp_tree_all.dnd", "Gene4127-tree")</f>
        <v>Gene4127-tree</v>
      </c>
      <c r="Q867">
        <v>2</v>
      </c>
      <c r="R867">
        <v>11</v>
      </c>
      <c r="S867">
        <v>2</v>
      </c>
      <c r="T867">
        <v>11</v>
      </c>
      <c r="U867">
        <v>0.84614999999999996</v>
      </c>
      <c r="V867" t="s">
        <v>81</v>
      </c>
      <c r="W867" t="s">
        <v>73</v>
      </c>
      <c r="X867">
        <v>515075683.63</v>
      </c>
      <c r="Y867" t="s">
        <v>267</v>
      </c>
      <c r="Z867">
        <v>4</v>
      </c>
      <c r="AA867">
        <v>13</v>
      </c>
      <c r="AB867">
        <v>14</v>
      </c>
      <c r="AC867">
        <v>0.48148000000000002</v>
      </c>
      <c r="AD867" s="47">
        <v>0</v>
      </c>
      <c r="AE867" s="47">
        <v>0</v>
      </c>
      <c r="AF867" s="47">
        <v>0</v>
      </c>
      <c r="AG867" s="47">
        <v>0</v>
      </c>
      <c r="AH867" s="47">
        <v>0</v>
      </c>
      <c r="AI867" s="47">
        <v>2</v>
      </c>
      <c r="AJ867" s="47">
        <v>8</v>
      </c>
      <c r="AK867" s="47">
        <v>10</v>
      </c>
      <c r="AL867">
        <v>10</v>
      </c>
      <c r="AM867">
        <v>0.5</v>
      </c>
      <c r="AN867">
        <v>13</v>
      </c>
      <c r="AO867">
        <v>8</v>
      </c>
      <c r="AP867">
        <v>73</v>
      </c>
      <c r="AQ867">
        <v>21</v>
      </c>
      <c r="AR867">
        <v>30</v>
      </c>
      <c r="AS867">
        <v>7</v>
      </c>
      <c r="AT867" t="s">
        <v>24325</v>
      </c>
      <c r="AU867" t="s">
        <v>24326</v>
      </c>
      <c r="AV867">
        <v>0.20300000000000001</v>
      </c>
      <c r="AW867" t="s">
        <v>65</v>
      </c>
      <c r="AX867">
        <v>103</v>
      </c>
      <c r="AY867">
        <v>28</v>
      </c>
      <c r="AZ867" t="s">
        <v>24327</v>
      </c>
      <c r="BA867">
        <v>6.837E-2</v>
      </c>
      <c r="BB867">
        <v>-4.9899999999999996E-3</v>
      </c>
      <c r="BC867">
        <v>4.8199999999999996E-3</v>
      </c>
      <c r="BD867">
        <v>-2.3000000000000001E-4</v>
      </c>
      <c r="BE867">
        <v>7.0510000000000003E-2</v>
      </c>
      <c r="BF867">
        <v>1</v>
      </c>
      <c r="BG867" t="s">
        <v>69</v>
      </c>
      <c r="BH867">
        <v>-1.123</v>
      </c>
      <c r="BI867">
        <v>-2.2589999999999999</v>
      </c>
    </row>
    <row r="868" spans="3:61">
      <c r="C868">
        <v>0</v>
      </c>
      <c r="D868">
        <v>3</v>
      </c>
      <c r="E868">
        <v>0</v>
      </c>
      <c r="F868" t="s">
        <v>25021</v>
      </c>
      <c r="G868">
        <v>3078</v>
      </c>
      <c r="H868" t="s">
        <v>17832</v>
      </c>
      <c r="I868" t="s">
        <v>57</v>
      </c>
      <c r="J868">
        <v>3028297</v>
      </c>
      <c r="K868">
        <v>3029631</v>
      </c>
      <c r="L868" t="s">
        <v>17833</v>
      </c>
      <c r="M868">
        <v>445</v>
      </c>
      <c r="N868" t="s">
        <v>108</v>
      </c>
      <c r="O868">
        <v>44</v>
      </c>
      <c r="P868" t="str">
        <f>HYPERLINK("Gene3078-zp_tree_all.dnd", "Gene3078-tree")</f>
        <v>Gene3078-tree</v>
      </c>
      <c r="Q868">
        <v>10</v>
      </c>
      <c r="R868">
        <v>4</v>
      </c>
      <c r="S868">
        <v>10</v>
      </c>
      <c r="T868">
        <v>4</v>
      </c>
      <c r="U868">
        <v>0.28571000000000002</v>
      </c>
      <c r="V868" t="s">
        <v>117</v>
      </c>
      <c r="W868" t="s">
        <v>61</v>
      </c>
      <c r="X868" t="s">
        <v>62</v>
      </c>
      <c r="Y868" t="s">
        <v>62</v>
      </c>
      <c r="Z868">
        <v>1</v>
      </c>
      <c r="AA868">
        <v>3</v>
      </c>
      <c r="AB868">
        <v>1</v>
      </c>
      <c r="AC868">
        <v>0.75</v>
      </c>
      <c r="AD868" s="47">
        <v>0</v>
      </c>
      <c r="AE868" s="47">
        <v>0</v>
      </c>
      <c r="AF868" s="47">
        <v>0</v>
      </c>
      <c r="AG868" s="47">
        <v>0</v>
      </c>
      <c r="AH868" s="47">
        <v>0</v>
      </c>
      <c r="AI868" s="47">
        <v>3</v>
      </c>
      <c r="AJ868" s="47">
        <v>0</v>
      </c>
      <c r="AK868" s="47">
        <v>3</v>
      </c>
      <c r="AL868">
        <v>1</v>
      </c>
      <c r="AM868">
        <v>0.75</v>
      </c>
      <c r="AN868">
        <v>12</v>
      </c>
      <c r="AO868">
        <v>10</v>
      </c>
      <c r="AP868">
        <v>34</v>
      </c>
      <c r="AQ868">
        <v>4</v>
      </c>
      <c r="AR868">
        <v>14</v>
      </c>
      <c r="AS868">
        <v>0</v>
      </c>
      <c r="AT868" t="s">
        <v>17834</v>
      </c>
      <c r="AU868" t="s">
        <v>193</v>
      </c>
      <c r="AV868">
        <v>1.385</v>
      </c>
      <c r="AW868" t="s">
        <v>65</v>
      </c>
      <c r="AX868">
        <v>48</v>
      </c>
      <c r="AY868">
        <v>4</v>
      </c>
      <c r="AZ868" t="s">
        <v>17835</v>
      </c>
      <c r="BA868">
        <v>2.444E-2</v>
      </c>
      <c r="BB868">
        <v>-9.1E-4</v>
      </c>
      <c r="BC868">
        <v>5.1000000000000004E-4</v>
      </c>
      <c r="BD868">
        <v>-6.0000000000000002E-5</v>
      </c>
      <c r="BE868">
        <v>2.094E-2</v>
      </c>
      <c r="BF868">
        <v>1</v>
      </c>
      <c r="BG868" t="s">
        <v>69</v>
      </c>
      <c r="BH868">
        <v>-0.502</v>
      </c>
      <c r="BI868">
        <v>-0.622</v>
      </c>
    </row>
    <row r="869" spans="3:61">
      <c r="C869">
        <v>0</v>
      </c>
      <c r="D869">
        <v>0</v>
      </c>
      <c r="E869">
        <v>4</v>
      </c>
      <c r="F869" t="s">
        <v>25021</v>
      </c>
      <c r="G869">
        <v>312</v>
      </c>
      <c r="H869" t="s">
        <v>2126</v>
      </c>
      <c r="I869" t="s">
        <v>62</v>
      </c>
      <c r="J869">
        <v>336095</v>
      </c>
      <c r="K869">
        <v>337432</v>
      </c>
      <c r="L869" t="s">
        <v>2127</v>
      </c>
      <c r="M869">
        <v>446</v>
      </c>
      <c r="N869" t="s">
        <v>1907</v>
      </c>
      <c r="O869">
        <v>38</v>
      </c>
      <c r="P869" t="str">
        <f>HYPERLINK("Gene312-zp_tree_all.dnd", "Gene312-tree")</f>
        <v>Gene312-tree</v>
      </c>
      <c r="Q869">
        <v>7</v>
      </c>
      <c r="R869">
        <v>8</v>
      </c>
      <c r="S869">
        <v>7</v>
      </c>
      <c r="T869">
        <v>8</v>
      </c>
      <c r="U869">
        <v>0.53332999999999997</v>
      </c>
      <c r="V869" t="s">
        <v>152</v>
      </c>
      <c r="W869" t="s">
        <v>136</v>
      </c>
      <c r="X869" t="s">
        <v>62</v>
      </c>
      <c r="Y869" t="s">
        <v>62</v>
      </c>
      <c r="Z869">
        <v>2</v>
      </c>
      <c r="AA869">
        <v>4</v>
      </c>
      <c r="AB869">
        <v>13</v>
      </c>
      <c r="AC869">
        <v>0.23529</v>
      </c>
      <c r="AD869" s="47">
        <v>0</v>
      </c>
      <c r="AE869" s="47">
        <v>0</v>
      </c>
      <c r="AF869" s="47">
        <v>0</v>
      </c>
      <c r="AG869" s="47">
        <v>2</v>
      </c>
      <c r="AH869" s="47">
        <v>0</v>
      </c>
      <c r="AI869" s="47">
        <v>0</v>
      </c>
      <c r="AJ869" s="47">
        <v>0</v>
      </c>
      <c r="AK869" s="47">
        <v>0</v>
      </c>
      <c r="AL869">
        <v>12</v>
      </c>
      <c r="AM869">
        <v>0</v>
      </c>
      <c r="AN869">
        <v>11</v>
      </c>
      <c r="AO869">
        <v>11</v>
      </c>
      <c r="AP869">
        <v>45</v>
      </c>
      <c r="AQ869">
        <v>14</v>
      </c>
      <c r="AR869">
        <v>33</v>
      </c>
      <c r="AS869">
        <v>5</v>
      </c>
      <c r="AT869" t="s">
        <v>2128</v>
      </c>
      <c r="AU869" t="s">
        <v>2129</v>
      </c>
      <c r="AV869">
        <v>0.58899999999999997</v>
      </c>
      <c r="AW869" t="s">
        <v>65</v>
      </c>
      <c r="AX869">
        <v>78</v>
      </c>
      <c r="AY869">
        <v>19</v>
      </c>
      <c r="AZ869" t="s">
        <v>2130</v>
      </c>
      <c r="BA869">
        <v>4.478E-2</v>
      </c>
      <c r="BB869">
        <v>-1.6999999999999999E-3</v>
      </c>
      <c r="BC869">
        <v>3.4199999999999999E-3</v>
      </c>
      <c r="BD869">
        <v>-2.1000000000000001E-4</v>
      </c>
      <c r="BE869">
        <v>7.6469999999999996E-2</v>
      </c>
      <c r="BF869">
        <v>1</v>
      </c>
      <c r="BG869" t="s">
        <v>69</v>
      </c>
      <c r="BH869">
        <v>-0.68300000000000005</v>
      </c>
      <c r="BI869">
        <v>-1.087</v>
      </c>
    </row>
    <row r="870" spans="3:61">
      <c r="C870">
        <v>0</v>
      </c>
      <c r="D870">
        <v>3</v>
      </c>
      <c r="E870">
        <v>0</v>
      </c>
      <c r="F870" t="s">
        <v>25021</v>
      </c>
      <c r="G870">
        <v>3277</v>
      </c>
      <c r="H870" t="s">
        <v>19119</v>
      </c>
      <c r="I870" t="s">
        <v>57</v>
      </c>
      <c r="J870">
        <v>3244770</v>
      </c>
      <c r="K870">
        <v>3246113</v>
      </c>
      <c r="L870" t="s">
        <v>19120</v>
      </c>
      <c r="M870">
        <v>448</v>
      </c>
      <c r="N870" t="s">
        <v>108</v>
      </c>
      <c r="O870">
        <v>44</v>
      </c>
      <c r="P870" t="str">
        <f>HYPERLINK("Gene3277-zp_tree_all.dnd", "Gene3277-tree")</f>
        <v>Gene3277-tree</v>
      </c>
      <c r="Q870">
        <v>12</v>
      </c>
      <c r="R870">
        <v>4</v>
      </c>
      <c r="S870">
        <v>12</v>
      </c>
      <c r="T870">
        <v>4</v>
      </c>
      <c r="U870">
        <v>0.25</v>
      </c>
      <c r="V870" t="s">
        <v>109</v>
      </c>
      <c r="W870" t="s">
        <v>61</v>
      </c>
      <c r="X870" t="s">
        <v>62</v>
      </c>
      <c r="Y870" t="s">
        <v>62</v>
      </c>
      <c r="Z870">
        <v>1</v>
      </c>
      <c r="AA870">
        <v>3</v>
      </c>
      <c r="AB870">
        <v>6</v>
      </c>
      <c r="AC870">
        <v>0.33333000000000002</v>
      </c>
      <c r="AD870" s="47">
        <v>0</v>
      </c>
      <c r="AE870" s="47">
        <v>0</v>
      </c>
      <c r="AF870" s="47">
        <v>0</v>
      </c>
      <c r="AG870" s="47">
        <v>0</v>
      </c>
      <c r="AH870" s="47">
        <v>0</v>
      </c>
      <c r="AI870" s="47">
        <v>2</v>
      </c>
      <c r="AJ870" s="47">
        <v>0</v>
      </c>
      <c r="AK870" s="47">
        <v>2</v>
      </c>
      <c r="AL870">
        <v>4</v>
      </c>
      <c r="AM870">
        <v>0.33333000000000002</v>
      </c>
      <c r="AN870">
        <v>15</v>
      </c>
      <c r="AO870">
        <v>12</v>
      </c>
      <c r="AP870">
        <v>52</v>
      </c>
      <c r="AQ870">
        <v>5</v>
      </c>
      <c r="AR870">
        <v>34</v>
      </c>
      <c r="AS870">
        <v>4</v>
      </c>
      <c r="AT870" t="s">
        <v>19121</v>
      </c>
      <c r="AU870" t="s">
        <v>19122</v>
      </c>
      <c r="AV870">
        <v>0.127</v>
      </c>
      <c r="AW870" t="s">
        <v>65</v>
      </c>
      <c r="AX870">
        <v>86</v>
      </c>
      <c r="AY870">
        <v>9</v>
      </c>
      <c r="AZ870" t="s">
        <v>19123</v>
      </c>
      <c r="BA870">
        <v>4.3319999999999997E-2</v>
      </c>
      <c r="BB870">
        <v>-1.4599999999999999E-3</v>
      </c>
      <c r="BC870">
        <v>1.6999999999999999E-3</v>
      </c>
      <c r="BD870">
        <v>-1E-4</v>
      </c>
      <c r="BE870">
        <v>3.9219999999999998E-2</v>
      </c>
      <c r="BF870">
        <v>1</v>
      </c>
      <c r="BG870" t="s">
        <v>69</v>
      </c>
      <c r="BH870">
        <v>-0.61199999999999999</v>
      </c>
      <c r="BI870">
        <v>-0.82499999999999996</v>
      </c>
    </row>
    <row r="871" spans="3:61">
      <c r="C871">
        <v>0</v>
      </c>
      <c r="D871">
        <v>5</v>
      </c>
      <c r="E871">
        <v>2</v>
      </c>
      <c r="F871" t="s">
        <v>25021</v>
      </c>
      <c r="G871">
        <v>3873</v>
      </c>
      <c r="H871" t="s">
        <v>22710</v>
      </c>
      <c r="I871" t="s">
        <v>57</v>
      </c>
      <c r="J871">
        <v>3836323</v>
      </c>
      <c r="K871">
        <v>3837666</v>
      </c>
      <c r="L871" t="s">
        <v>22711</v>
      </c>
      <c r="M871">
        <v>448</v>
      </c>
      <c r="N871" t="s">
        <v>6390</v>
      </c>
      <c r="O871">
        <v>45</v>
      </c>
      <c r="P871" t="str">
        <f>HYPERLINK("Gene3873-zp_tree_all.dnd", "Gene3873-tree")</f>
        <v>Gene3873-tree</v>
      </c>
      <c r="Q871">
        <v>8</v>
      </c>
      <c r="R871">
        <v>8</v>
      </c>
      <c r="S871">
        <v>8</v>
      </c>
      <c r="T871">
        <v>8</v>
      </c>
      <c r="U871">
        <v>0.5</v>
      </c>
      <c r="V871" t="s">
        <v>136</v>
      </c>
      <c r="W871" t="s">
        <v>136</v>
      </c>
      <c r="X871" t="s">
        <v>62</v>
      </c>
      <c r="Y871" t="s">
        <v>62</v>
      </c>
      <c r="Z871">
        <v>3</v>
      </c>
      <c r="AA871">
        <v>7</v>
      </c>
      <c r="AB871">
        <v>11</v>
      </c>
      <c r="AC871">
        <v>0.38889000000000001</v>
      </c>
      <c r="AD871" s="47">
        <v>0</v>
      </c>
      <c r="AE871" s="47">
        <v>0</v>
      </c>
      <c r="AF871" s="47">
        <v>0</v>
      </c>
      <c r="AG871" s="47">
        <v>1</v>
      </c>
      <c r="AH871" s="47">
        <v>0</v>
      </c>
      <c r="AI871" s="47">
        <v>2</v>
      </c>
      <c r="AJ871" s="47">
        <v>2</v>
      </c>
      <c r="AK871" s="47">
        <v>4</v>
      </c>
      <c r="AL871">
        <v>9</v>
      </c>
      <c r="AM871">
        <v>0.30769000000000002</v>
      </c>
      <c r="AN871">
        <v>15</v>
      </c>
      <c r="AO871">
        <v>10</v>
      </c>
      <c r="AP871">
        <v>101</v>
      </c>
      <c r="AQ871">
        <v>13</v>
      </c>
      <c r="AR871">
        <v>22</v>
      </c>
      <c r="AS871">
        <v>5</v>
      </c>
      <c r="AT871" t="s">
        <v>22712</v>
      </c>
      <c r="AU871" t="s">
        <v>22713</v>
      </c>
      <c r="AV871">
        <v>0.49099999999999999</v>
      </c>
      <c r="AW871" t="s">
        <v>65</v>
      </c>
      <c r="AX871">
        <v>123</v>
      </c>
      <c r="AY871">
        <v>18</v>
      </c>
      <c r="AZ871" t="s">
        <v>22714</v>
      </c>
      <c r="BA871">
        <v>6.4740000000000006E-2</v>
      </c>
      <c r="BB871">
        <v>-6.1799999999999997E-3</v>
      </c>
      <c r="BC871">
        <v>2.5300000000000001E-3</v>
      </c>
      <c r="BD871">
        <v>-1.7000000000000001E-4</v>
      </c>
      <c r="BE871">
        <v>3.9019999999999999E-2</v>
      </c>
      <c r="BF871">
        <v>1</v>
      </c>
      <c r="BG871" t="s">
        <v>69</v>
      </c>
      <c r="BH871">
        <v>-1.6140000000000001</v>
      </c>
      <c r="BI871">
        <v>-3.8530000000000002</v>
      </c>
    </row>
    <row r="872" spans="3:61">
      <c r="C872">
        <v>0</v>
      </c>
      <c r="D872">
        <v>3</v>
      </c>
      <c r="E872">
        <v>0</v>
      </c>
      <c r="F872" t="s">
        <v>25021</v>
      </c>
      <c r="G872">
        <v>4149</v>
      </c>
      <c r="H872" t="s">
        <v>24422</v>
      </c>
      <c r="I872" t="s">
        <v>57</v>
      </c>
      <c r="J872">
        <v>4115711</v>
      </c>
      <c r="K872">
        <v>4117054</v>
      </c>
      <c r="L872" t="s">
        <v>24423</v>
      </c>
      <c r="M872">
        <v>448</v>
      </c>
      <c r="N872" t="s">
        <v>4013</v>
      </c>
      <c r="O872">
        <v>43</v>
      </c>
      <c r="P872" t="str">
        <f>HYPERLINK("Gene4149-zp_tree_all.dnd", "Gene4149-tree")</f>
        <v>Gene4149-tree</v>
      </c>
      <c r="Q872">
        <v>28</v>
      </c>
      <c r="R872">
        <v>6</v>
      </c>
      <c r="S872">
        <v>12</v>
      </c>
      <c r="T872">
        <v>6</v>
      </c>
      <c r="U872">
        <v>0.33333000000000002</v>
      </c>
      <c r="V872" t="s">
        <v>24424</v>
      </c>
      <c r="W872" t="s">
        <v>90</v>
      </c>
      <c r="X872" t="s">
        <v>62</v>
      </c>
      <c r="Y872" t="s">
        <v>62</v>
      </c>
      <c r="Z872">
        <v>1</v>
      </c>
      <c r="AA872">
        <v>3</v>
      </c>
      <c r="AB872">
        <v>4</v>
      </c>
      <c r="AC872">
        <v>0.42857000000000001</v>
      </c>
      <c r="AD872" s="47">
        <v>0</v>
      </c>
      <c r="AE872" s="47">
        <v>0</v>
      </c>
      <c r="AF872" s="47">
        <v>0</v>
      </c>
      <c r="AG872" s="47">
        <v>1</v>
      </c>
      <c r="AH872" s="47">
        <v>0</v>
      </c>
      <c r="AI872" s="47">
        <v>2</v>
      </c>
      <c r="AJ872" s="47">
        <v>0</v>
      </c>
      <c r="AK872" s="47">
        <v>2</v>
      </c>
      <c r="AL872">
        <v>4</v>
      </c>
      <c r="AM872">
        <v>0.33333000000000002</v>
      </c>
      <c r="AN872">
        <v>14</v>
      </c>
      <c r="AO872">
        <v>12</v>
      </c>
      <c r="AP872">
        <v>54</v>
      </c>
      <c r="AQ872">
        <v>6</v>
      </c>
      <c r="AR872">
        <v>32</v>
      </c>
      <c r="AS872">
        <v>1</v>
      </c>
      <c r="AT872" t="s">
        <v>24425</v>
      </c>
      <c r="AU872" t="s">
        <v>24426</v>
      </c>
      <c r="AV872">
        <v>0.69699999999999995</v>
      </c>
      <c r="AW872" t="s">
        <v>65</v>
      </c>
      <c r="AX872">
        <v>86</v>
      </c>
      <c r="AY872">
        <v>7</v>
      </c>
      <c r="AZ872" t="s">
        <v>24427</v>
      </c>
      <c r="BA872">
        <v>3.6450000000000003E-2</v>
      </c>
      <c r="BB872">
        <v>-1.01E-3</v>
      </c>
      <c r="BC872">
        <v>8.0999999999999996E-4</v>
      </c>
      <c r="BD872">
        <v>-5.0000000000000002E-5</v>
      </c>
      <c r="BE872">
        <v>2.2249999999999999E-2</v>
      </c>
      <c r="BF872">
        <v>1</v>
      </c>
      <c r="BG872" t="s">
        <v>69</v>
      </c>
      <c r="BH872">
        <v>-0.79500000000000004</v>
      </c>
      <c r="BI872">
        <v>-1.292</v>
      </c>
    </row>
    <row r="873" spans="3:61">
      <c r="C873">
        <v>0</v>
      </c>
      <c r="D873">
        <v>18</v>
      </c>
      <c r="E873">
        <v>0</v>
      </c>
      <c r="F873" t="s">
        <v>25021</v>
      </c>
      <c r="G873">
        <v>3361</v>
      </c>
      <c r="H873" t="s">
        <v>19638</v>
      </c>
      <c r="I873" t="s">
        <v>57</v>
      </c>
      <c r="J873">
        <v>3330502</v>
      </c>
      <c r="K873">
        <v>3331848</v>
      </c>
      <c r="L873" t="s">
        <v>19639</v>
      </c>
      <c r="M873">
        <v>449</v>
      </c>
      <c r="N873" t="s">
        <v>108</v>
      </c>
      <c r="O873">
        <v>44</v>
      </c>
      <c r="P873" t="str">
        <f>HYPERLINK("Gene3361-zp_tree_all.dnd", "Gene3361-tree")</f>
        <v>Gene3361-tree</v>
      </c>
      <c r="Q873">
        <v>5</v>
      </c>
      <c r="R873">
        <v>11</v>
      </c>
      <c r="S873">
        <v>5</v>
      </c>
      <c r="T873">
        <v>11</v>
      </c>
      <c r="U873">
        <v>0.6875</v>
      </c>
      <c r="V873" t="s">
        <v>199</v>
      </c>
      <c r="W873" t="s">
        <v>73</v>
      </c>
      <c r="X873">
        <v>137353515.63499999</v>
      </c>
      <c r="Y873" t="s">
        <v>267</v>
      </c>
      <c r="Z873">
        <v>7</v>
      </c>
      <c r="AA873">
        <v>18</v>
      </c>
      <c r="AB873">
        <v>27</v>
      </c>
      <c r="AC873">
        <v>0.4</v>
      </c>
      <c r="AD873" s="47">
        <v>0</v>
      </c>
      <c r="AE873" s="47">
        <v>0</v>
      </c>
      <c r="AF873" s="47">
        <v>0</v>
      </c>
      <c r="AG873" s="47">
        <v>4</v>
      </c>
      <c r="AH873" s="47">
        <v>0</v>
      </c>
      <c r="AI873" s="47">
        <v>7</v>
      </c>
      <c r="AJ873" s="47">
        <v>0</v>
      </c>
      <c r="AK873" s="47">
        <v>7</v>
      </c>
      <c r="AL873">
        <v>23</v>
      </c>
      <c r="AM873">
        <v>0.23333000000000001</v>
      </c>
      <c r="AN873">
        <v>14</v>
      </c>
      <c r="AO873">
        <v>12</v>
      </c>
      <c r="AP873">
        <v>62</v>
      </c>
      <c r="AQ873">
        <v>30</v>
      </c>
      <c r="AR873">
        <v>34</v>
      </c>
      <c r="AS873">
        <v>16</v>
      </c>
      <c r="AT873" t="s">
        <v>19640</v>
      </c>
      <c r="AU873" t="s">
        <v>19641</v>
      </c>
      <c r="AV873">
        <v>0.04</v>
      </c>
      <c r="AW873" t="s">
        <v>65</v>
      </c>
      <c r="AX873">
        <v>96</v>
      </c>
      <c r="AY873">
        <v>46</v>
      </c>
      <c r="AZ873" t="s">
        <v>19642</v>
      </c>
      <c r="BA873">
        <v>4.2819999999999997E-2</v>
      </c>
      <c r="BB873">
        <v>-1.4E-3</v>
      </c>
      <c r="BC873">
        <v>7.3200000000000001E-3</v>
      </c>
      <c r="BD873">
        <v>-3.4000000000000002E-4</v>
      </c>
      <c r="BE873">
        <v>0.17104</v>
      </c>
      <c r="BF873">
        <v>1</v>
      </c>
      <c r="BG873" t="s">
        <v>69</v>
      </c>
      <c r="BH873">
        <v>-0.76</v>
      </c>
      <c r="BI873">
        <v>-0.88800000000000001</v>
      </c>
    </row>
    <row r="874" spans="3:61">
      <c r="C874">
        <v>0</v>
      </c>
      <c r="D874">
        <v>3</v>
      </c>
      <c r="E874">
        <v>0</v>
      </c>
      <c r="F874" t="s">
        <v>25021</v>
      </c>
      <c r="G874">
        <v>4015</v>
      </c>
      <c r="H874" t="s">
        <v>23623</v>
      </c>
      <c r="I874" t="s">
        <v>57</v>
      </c>
      <c r="J874">
        <v>3979753</v>
      </c>
      <c r="K874">
        <v>3981102</v>
      </c>
      <c r="L874" t="s">
        <v>23624</v>
      </c>
      <c r="M874">
        <v>450</v>
      </c>
      <c r="N874" t="s">
        <v>108</v>
      </c>
      <c r="O874">
        <v>44</v>
      </c>
      <c r="P874" t="str">
        <f>HYPERLINK("Gene4015-zp_tree_all.dnd", "Gene4015-tree")</f>
        <v>Gene4015-tree</v>
      </c>
      <c r="Q874">
        <v>12</v>
      </c>
      <c r="R874">
        <v>5</v>
      </c>
      <c r="S874">
        <v>12</v>
      </c>
      <c r="T874">
        <v>5</v>
      </c>
      <c r="U874">
        <v>0.29411999999999999</v>
      </c>
      <c r="V874" t="s">
        <v>109</v>
      </c>
      <c r="W874" t="s">
        <v>199</v>
      </c>
      <c r="X874" t="s">
        <v>62</v>
      </c>
      <c r="Y874" t="s">
        <v>62</v>
      </c>
      <c r="Z874">
        <v>1</v>
      </c>
      <c r="AA874">
        <v>3</v>
      </c>
      <c r="AB874">
        <v>9</v>
      </c>
      <c r="AC874">
        <v>0.25</v>
      </c>
      <c r="AD874" s="47">
        <v>0</v>
      </c>
      <c r="AE874" s="47">
        <v>0</v>
      </c>
      <c r="AF874" s="47">
        <v>0</v>
      </c>
      <c r="AG874" s="47">
        <v>2</v>
      </c>
      <c r="AH874" s="47">
        <v>0</v>
      </c>
      <c r="AI874" s="47">
        <v>0</v>
      </c>
      <c r="AJ874" s="47">
        <v>0</v>
      </c>
      <c r="AK874" s="47">
        <v>0</v>
      </c>
      <c r="AL874">
        <v>8</v>
      </c>
      <c r="AM874">
        <v>0</v>
      </c>
      <c r="AN874">
        <v>14</v>
      </c>
      <c r="AO874">
        <v>13</v>
      </c>
      <c r="AP874">
        <v>62</v>
      </c>
      <c r="AQ874">
        <v>8</v>
      </c>
      <c r="AR874">
        <v>57</v>
      </c>
      <c r="AS874">
        <v>4</v>
      </c>
      <c r="AT874" t="s">
        <v>23625</v>
      </c>
      <c r="AU874" t="s">
        <v>23626</v>
      </c>
      <c r="AV874">
        <v>0.437</v>
      </c>
      <c r="AW874" t="s">
        <v>65</v>
      </c>
      <c r="AX874">
        <v>119</v>
      </c>
      <c r="AY874">
        <v>12</v>
      </c>
      <c r="AZ874" t="s">
        <v>23627</v>
      </c>
      <c r="BA874">
        <v>6.719E-2</v>
      </c>
      <c r="BB874">
        <v>-1.99E-3</v>
      </c>
      <c r="BC874">
        <v>1.9E-3</v>
      </c>
      <c r="BD874">
        <v>-1.2E-4</v>
      </c>
      <c r="BE874">
        <v>2.8240000000000001E-2</v>
      </c>
      <c r="BF874">
        <v>1</v>
      </c>
      <c r="BG874" t="s">
        <v>69</v>
      </c>
      <c r="BH874">
        <v>-0.55700000000000005</v>
      </c>
      <c r="BI874">
        <v>-1.224</v>
      </c>
    </row>
    <row r="875" spans="3:61">
      <c r="C875">
        <v>0</v>
      </c>
      <c r="D875">
        <v>0</v>
      </c>
      <c r="E875">
        <v>0</v>
      </c>
      <c r="F875" t="s">
        <v>25021</v>
      </c>
      <c r="G875">
        <v>914</v>
      </c>
      <c r="H875" t="s">
        <v>5711</v>
      </c>
      <c r="I875" t="s">
        <v>62</v>
      </c>
      <c r="J875">
        <v>957708</v>
      </c>
      <c r="K875">
        <v>959060</v>
      </c>
      <c r="L875" t="s">
        <v>5712</v>
      </c>
      <c r="M875">
        <v>451</v>
      </c>
      <c r="N875" t="s">
        <v>5713</v>
      </c>
      <c r="O875">
        <v>29</v>
      </c>
      <c r="P875" t="str">
        <f>HYPERLINK("Gene914-zp_tree_all.dnd", "Gene914-tree")</f>
        <v>Gene914-tree</v>
      </c>
      <c r="Q875">
        <v>1</v>
      </c>
      <c r="R875">
        <v>6</v>
      </c>
      <c r="S875">
        <v>1</v>
      </c>
      <c r="T875">
        <v>6</v>
      </c>
      <c r="U875">
        <v>0.85714000000000001</v>
      </c>
      <c r="V875" t="s">
        <v>175</v>
      </c>
      <c r="W875" t="s">
        <v>90</v>
      </c>
      <c r="X875" t="s">
        <v>62</v>
      </c>
      <c r="Y875" t="s">
        <v>62</v>
      </c>
      <c r="Z875">
        <v>0</v>
      </c>
      <c r="AA875">
        <v>0</v>
      </c>
      <c r="AB875">
        <v>18</v>
      </c>
      <c r="AC875">
        <v>0</v>
      </c>
      <c r="AD875" s="47">
        <v>0</v>
      </c>
      <c r="AE875" s="47">
        <v>0</v>
      </c>
      <c r="AF875" s="47">
        <v>0</v>
      </c>
      <c r="AG875" s="47">
        <v>0</v>
      </c>
      <c r="AH875" s="47">
        <v>0</v>
      </c>
      <c r="AI875" s="47">
        <v>0</v>
      </c>
      <c r="AJ875" s="47">
        <v>0</v>
      </c>
      <c r="AK875" s="47">
        <v>0</v>
      </c>
      <c r="AL875">
        <v>16</v>
      </c>
      <c r="AM875">
        <v>0</v>
      </c>
      <c r="AN875">
        <v>7</v>
      </c>
      <c r="AO875">
        <v>4</v>
      </c>
      <c r="AP875">
        <v>34</v>
      </c>
      <c r="AQ875">
        <v>17</v>
      </c>
      <c r="AR875">
        <v>16</v>
      </c>
      <c r="AS875">
        <v>2</v>
      </c>
      <c r="AT875" t="s">
        <v>5714</v>
      </c>
      <c r="AU875" t="s">
        <v>5715</v>
      </c>
      <c r="AV875">
        <v>1.6559999999999999</v>
      </c>
      <c r="AW875" t="s">
        <v>65</v>
      </c>
      <c r="AX875">
        <v>50</v>
      </c>
      <c r="AY875">
        <v>19</v>
      </c>
      <c r="AZ875" t="s">
        <v>5716</v>
      </c>
      <c r="BA875">
        <v>5.2449999999999997E-2</v>
      </c>
      <c r="BB875">
        <v>-4.1700000000000001E-3</v>
      </c>
      <c r="BC875">
        <v>5.7000000000000002E-3</v>
      </c>
      <c r="BD875">
        <v>-5.0000000000000001E-4</v>
      </c>
      <c r="BE875">
        <v>0.10859000000000001</v>
      </c>
      <c r="BF875">
        <v>1</v>
      </c>
      <c r="BG875" t="s">
        <v>69</v>
      </c>
      <c r="BH875">
        <v>-0.55800000000000005</v>
      </c>
      <c r="BI875">
        <v>1.2</v>
      </c>
    </row>
    <row r="876" spans="3:61">
      <c r="C876">
        <v>0</v>
      </c>
      <c r="D876">
        <v>4</v>
      </c>
      <c r="E876">
        <v>0</v>
      </c>
      <c r="F876" t="s">
        <v>25021</v>
      </c>
      <c r="G876">
        <v>4235</v>
      </c>
      <c r="H876" t="s">
        <v>24872</v>
      </c>
      <c r="I876" t="s">
        <v>57</v>
      </c>
      <c r="J876">
        <v>4194389</v>
      </c>
      <c r="K876">
        <v>4195741</v>
      </c>
      <c r="L876" t="s">
        <v>2569</v>
      </c>
      <c r="M876">
        <v>451</v>
      </c>
      <c r="N876" t="s">
        <v>108</v>
      </c>
      <c r="O876">
        <v>44</v>
      </c>
      <c r="P876" t="str">
        <f>HYPERLINK("Gene4235-zp_tree_all.dnd", "Gene4235-tree")</f>
        <v>Gene4235-tree</v>
      </c>
      <c r="Q876">
        <v>23</v>
      </c>
      <c r="R876">
        <v>8</v>
      </c>
      <c r="S876">
        <v>8</v>
      </c>
      <c r="T876">
        <v>8</v>
      </c>
      <c r="U876">
        <v>0.5</v>
      </c>
      <c r="V876" t="s">
        <v>24873</v>
      </c>
      <c r="W876" t="s">
        <v>136</v>
      </c>
      <c r="X876" t="s">
        <v>62</v>
      </c>
      <c r="Y876" t="s">
        <v>62</v>
      </c>
      <c r="Z876">
        <v>1</v>
      </c>
      <c r="AA876">
        <v>4</v>
      </c>
      <c r="AB876">
        <v>22</v>
      </c>
      <c r="AC876">
        <v>0.15384999999999999</v>
      </c>
      <c r="AD876" s="47">
        <v>0</v>
      </c>
      <c r="AE876" s="47">
        <v>0</v>
      </c>
      <c r="AF876" s="47">
        <v>0</v>
      </c>
      <c r="AG876" s="47">
        <v>0</v>
      </c>
      <c r="AH876" s="47">
        <v>0</v>
      </c>
      <c r="AI876" s="47">
        <v>0</v>
      </c>
      <c r="AJ876" s="47">
        <v>2</v>
      </c>
      <c r="AK876" s="47">
        <v>2</v>
      </c>
      <c r="AL876">
        <v>18</v>
      </c>
      <c r="AM876">
        <v>0.1</v>
      </c>
      <c r="AN876">
        <v>15</v>
      </c>
      <c r="AO876">
        <v>13</v>
      </c>
      <c r="AP876">
        <v>90</v>
      </c>
      <c r="AQ876">
        <v>21</v>
      </c>
      <c r="AR876">
        <v>35</v>
      </c>
      <c r="AS876">
        <v>6</v>
      </c>
      <c r="AT876" t="s">
        <v>24874</v>
      </c>
      <c r="AU876" t="s">
        <v>24875</v>
      </c>
      <c r="AV876">
        <v>0.17100000000000001</v>
      </c>
      <c r="AW876" t="s">
        <v>65</v>
      </c>
      <c r="AX876">
        <v>125</v>
      </c>
      <c r="AY876">
        <v>27</v>
      </c>
      <c r="AZ876" t="s">
        <v>24876</v>
      </c>
      <c r="BA876">
        <v>6.4829999999999999E-2</v>
      </c>
      <c r="BB876">
        <v>-3.4499999999999999E-3</v>
      </c>
      <c r="BC876">
        <v>4.3400000000000001E-3</v>
      </c>
      <c r="BD876">
        <v>-3.3E-4</v>
      </c>
      <c r="BE876">
        <v>6.6949999999999996E-2</v>
      </c>
      <c r="BF876">
        <v>1</v>
      </c>
      <c r="BG876" t="s">
        <v>69</v>
      </c>
      <c r="BH876">
        <v>-0.64500000000000002</v>
      </c>
      <c r="BI876">
        <v>-0.68799999999999994</v>
      </c>
    </row>
    <row r="877" spans="3:61">
      <c r="C877">
        <v>0</v>
      </c>
      <c r="D877">
        <v>0</v>
      </c>
      <c r="E877">
        <v>0</v>
      </c>
      <c r="F877" t="s">
        <v>25021</v>
      </c>
      <c r="G877">
        <v>3425</v>
      </c>
      <c r="H877" t="s">
        <v>20042</v>
      </c>
      <c r="I877" t="s">
        <v>57</v>
      </c>
      <c r="J877">
        <v>3386398</v>
      </c>
      <c r="K877">
        <v>3387750</v>
      </c>
      <c r="L877" t="s">
        <v>20043</v>
      </c>
      <c r="M877">
        <v>451</v>
      </c>
      <c r="N877" t="s">
        <v>108</v>
      </c>
      <c r="O877">
        <v>44</v>
      </c>
      <c r="P877" t="str">
        <f>HYPERLINK("Gene3425-zp_tree_all.dnd", "Gene3425-tree")</f>
        <v>Gene3425-tree</v>
      </c>
      <c r="Q877">
        <v>11</v>
      </c>
      <c r="R877">
        <v>3</v>
      </c>
      <c r="S877">
        <v>11</v>
      </c>
      <c r="T877">
        <v>3</v>
      </c>
      <c r="U877">
        <v>0.21429000000000001</v>
      </c>
      <c r="V877" t="s">
        <v>73</v>
      </c>
      <c r="W877" t="s">
        <v>324</v>
      </c>
      <c r="X877" t="s">
        <v>62</v>
      </c>
      <c r="Y877" t="s">
        <v>62</v>
      </c>
      <c r="Z877">
        <v>0</v>
      </c>
      <c r="AA877">
        <v>0</v>
      </c>
      <c r="AB877">
        <v>4</v>
      </c>
      <c r="AC877">
        <v>0</v>
      </c>
      <c r="AD877" s="47">
        <v>0</v>
      </c>
      <c r="AE877" s="47">
        <v>0</v>
      </c>
      <c r="AF877" s="47">
        <v>0</v>
      </c>
      <c r="AG877" s="47">
        <v>0</v>
      </c>
      <c r="AH877" s="47">
        <v>0</v>
      </c>
      <c r="AI877" s="47">
        <v>0</v>
      </c>
      <c r="AJ877" s="47">
        <v>0</v>
      </c>
      <c r="AK877" s="47">
        <v>0</v>
      </c>
      <c r="AL877">
        <v>4</v>
      </c>
      <c r="AM877">
        <v>0</v>
      </c>
      <c r="AN877">
        <v>11</v>
      </c>
      <c r="AO877">
        <v>6</v>
      </c>
      <c r="AP877">
        <v>35</v>
      </c>
      <c r="AQ877">
        <v>4</v>
      </c>
      <c r="AR877">
        <v>13</v>
      </c>
      <c r="AS877">
        <v>0</v>
      </c>
      <c r="AT877" t="s">
        <v>20044</v>
      </c>
      <c r="AU877" t="s">
        <v>193</v>
      </c>
      <c r="AV877">
        <v>0.91800000000000004</v>
      </c>
      <c r="AW877" t="s">
        <v>65</v>
      </c>
      <c r="AX877">
        <v>48</v>
      </c>
      <c r="AY877">
        <v>4</v>
      </c>
      <c r="AZ877" t="s">
        <v>20045</v>
      </c>
      <c r="BA877">
        <v>2.937E-2</v>
      </c>
      <c r="BB877">
        <v>-1.4300000000000001E-3</v>
      </c>
      <c r="BC877">
        <v>5.4000000000000001E-4</v>
      </c>
      <c r="BD877">
        <v>-8.0000000000000007E-5</v>
      </c>
      <c r="BE877">
        <v>1.848E-2</v>
      </c>
      <c r="BF877">
        <v>1</v>
      </c>
      <c r="BG877" t="s">
        <v>69</v>
      </c>
      <c r="BH877">
        <v>-1.611</v>
      </c>
      <c r="BI877">
        <v>-1.629</v>
      </c>
    </row>
    <row r="878" spans="3:61">
      <c r="C878">
        <v>0</v>
      </c>
      <c r="D878">
        <v>0</v>
      </c>
      <c r="E878">
        <v>0</v>
      </c>
      <c r="F878" t="s">
        <v>25021</v>
      </c>
      <c r="G878">
        <v>2024</v>
      </c>
      <c r="H878" t="s">
        <v>12594</v>
      </c>
      <c r="I878" t="s">
        <v>57</v>
      </c>
      <c r="J878">
        <v>2119393</v>
      </c>
      <c r="K878">
        <v>2120748</v>
      </c>
      <c r="L878" t="s">
        <v>12595</v>
      </c>
      <c r="M878">
        <v>452</v>
      </c>
      <c r="N878" t="s">
        <v>5228</v>
      </c>
      <c r="O878">
        <v>43</v>
      </c>
      <c r="P878" t="str">
        <f>HYPERLINK("Gene2024-zp_tree_all.dnd", "Gene2024-tree")</f>
        <v>Gene2024-tree</v>
      </c>
      <c r="Q878">
        <v>5</v>
      </c>
      <c r="R878">
        <v>8</v>
      </c>
      <c r="S878">
        <v>5</v>
      </c>
      <c r="T878">
        <v>8</v>
      </c>
      <c r="U878">
        <v>0.61538000000000004</v>
      </c>
      <c r="V878" t="s">
        <v>199</v>
      </c>
      <c r="W878" t="s">
        <v>136</v>
      </c>
      <c r="X878" t="s">
        <v>62</v>
      </c>
      <c r="Y878" t="s">
        <v>62</v>
      </c>
      <c r="Z878">
        <v>0</v>
      </c>
      <c r="AA878">
        <v>0</v>
      </c>
      <c r="AB878">
        <v>16</v>
      </c>
      <c r="AC878">
        <v>0</v>
      </c>
      <c r="AD878" s="47">
        <v>0</v>
      </c>
      <c r="AE878" s="47">
        <v>0</v>
      </c>
      <c r="AF878" s="47">
        <v>0</v>
      </c>
      <c r="AG878" s="47">
        <v>0</v>
      </c>
      <c r="AH878" s="47">
        <v>0</v>
      </c>
      <c r="AI878" s="47">
        <v>0</v>
      </c>
      <c r="AJ878" s="47">
        <v>0</v>
      </c>
      <c r="AK878" s="47">
        <v>0</v>
      </c>
      <c r="AL878">
        <v>13</v>
      </c>
      <c r="AM878">
        <v>0</v>
      </c>
      <c r="AN878">
        <v>12</v>
      </c>
      <c r="AO878">
        <v>10</v>
      </c>
      <c r="AP878">
        <v>48</v>
      </c>
      <c r="AQ878">
        <v>13</v>
      </c>
      <c r="AR878">
        <v>36</v>
      </c>
      <c r="AS878">
        <v>3</v>
      </c>
      <c r="AT878" t="s">
        <v>12596</v>
      </c>
      <c r="AU878" t="s">
        <v>12597</v>
      </c>
      <c r="AV878">
        <v>0.70699999999999996</v>
      </c>
      <c r="AW878" t="s">
        <v>65</v>
      </c>
      <c r="AX878">
        <v>84</v>
      </c>
      <c r="AY878">
        <v>16</v>
      </c>
      <c r="AZ878" t="s">
        <v>12598</v>
      </c>
      <c r="BA878">
        <v>5.2769999999999997E-2</v>
      </c>
      <c r="BB878">
        <v>-2.7200000000000002E-3</v>
      </c>
      <c r="BC878">
        <v>3.0799999999999998E-3</v>
      </c>
      <c r="BD878">
        <v>-1.9000000000000001E-4</v>
      </c>
      <c r="BE878">
        <v>5.8369999999999998E-2</v>
      </c>
      <c r="BF878">
        <v>1</v>
      </c>
      <c r="BG878" t="s">
        <v>69</v>
      </c>
      <c r="BH878">
        <v>-0.66</v>
      </c>
      <c r="BI878">
        <v>-1.1910000000000001</v>
      </c>
    </row>
    <row r="879" spans="3:61">
      <c r="C879">
        <v>0</v>
      </c>
      <c r="D879">
        <v>13</v>
      </c>
      <c r="E879">
        <v>2</v>
      </c>
      <c r="F879" t="s">
        <v>25021</v>
      </c>
      <c r="G879">
        <v>1002</v>
      </c>
      <c r="H879" t="s">
        <v>6287</v>
      </c>
      <c r="I879" t="s">
        <v>62</v>
      </c>
      <c r="J879">
        <v>1042888</v>
      </c>
      <c r="K879">
        <v>1044246</v>
      </c>
      <c r="L879" t="s">
        <v>6288</v>
      </c>
      <c r="M879">
        <v>453</v>
      </c>
      <c r="N879" t="s">
        <v>108</v>
      </c>
      <c r="O879">
        <v>44</v>
      </c>
      <c r="P879" t="str">
        <f>HYPERLINK("Gene1002-zp_tree_all.dnd", "Gene1002-tree")</f>
        <v>Gene1002-tree</v>
      </c>
      <c r="Q879">
        <v>2</v>
      </c>
      <c r="R879">
        <v>13</v>
      </c>
      <c r="S879">
        <v>2</v>
      </c>
      <c r="T879">
        <v>13</v>
      </c>
      <c r="U879">
        <v>0.86667000000000005</v>
      </c>
      <c r="V879" t="s">
        <v>81</v>
      </c>
      <c r="W879" t="s">
        <v>507</v>
      </c>
      <c r="X879" t="s">
        <v>62</v>
      </c>
      <c r="Y879" t="s">
        <v>62</v>
      </c>
      <c r="Z879">
        <v>6</v>
      </c>
      <c r="AA879">
        <v>15</v>
      </c>
      <c r="AB879">
        <v>9</v>
      </c>
      <c r="AC879">
        <v>0.625</v>
      </c>
      <c r="AD879" s="47">
        <v>0</v>
      </c>
      <c r="AE879" s="47">
        <v>0</v>
      </c>
      <c r="AF879" s="47">
        <v>0</v>
      </c>
      <c r="AG879" s="47">
        <v>0</v>
      </c>
      <c r="AH879" s="47">
        <v>0</v>
      </c>
      <c r="AI879" s="47">
        <v>8</v>
      </c>
      <c r="AJ879" s="47">
        <v>2</v>
      </c>
      <c r="AK879" s="47">
        <v>10</v>
      </c>
      <c r="AL879">
        <v>7</v>
      </c>
      <c r="AM879">
        <v>0.58823999999999999</v>
      </c>
      <c r="AN879">
        <v>12</v>
      </c>
      <c r="AO879">
        <v>12</v>
      </c>
      <c r="AP879">
        <v>38</v>
      </c>
      <c r="AQ879">
        <v>12</v>
      </c>
      <c r="AR879">
        <v>31</v>
      </c>
      <c r="AS879">
        <v>12</v>
      </c>
      <c r="AT879" t="s">
        <v>6289</v>
      </c>
      <c r="AU879" t="s">
        <v>6290</v>
      </c>
      <c r="AV879">
        <v>0.35699999999999998</v>
      </c>
      <c r="AW879" t="s">
        <v>65</v>
      </c>
      <c r="AX879">
        <v>69</v>
      </c>
      <c r="AY879">
        <v>24</v>
      </c>
      <c r="AZ879" t="s">
        <v>6291</v>
      </c>
      <c r="BA879">
        <v>4.0340000000000001E-2</v>
      </c>
      <c r="BB879">
        <v>-1.39E-3</v>
      </c>
      <c r="BC879">
        <v>4.47E-3</v>
      </c>
      <c r="BD879">
        <v>-1.8000000000000001E-4</v>
      </c>
      <c r="BE879">
        <v>0.11068</v>
      </c>
      <c r="BF879">
        <v>1</v>
      </c>
      <c r="BG879" t="s">
        <v>69</v>
      </c>
      <c r="BH879">
        <v>-8.0000000000000002E-3</v>
      </c>
      <c r="BI879">
        <v>-1.105</v>
      </c>
    </row>
    <row r="880" spans="3:61">
      <c r="C880">
        <v>0</v>
      </c>
      <c r="D880">
        <v>5</v>
      </c>
      <c r="E880">
        <v>0</v>
      </c>
      <c r="F880" t="s">
        <v>25021</v>
      </c>
      <c r="G880">
        <v>1011</v>
      </c>
      <c r="H880" t="s">
        <v>6351</v>
      </c>
      <c r="I880" t="s">
        <v>62</v>
      </c>
      <c r="J880">
        <v>1050814</v>
      </c>
      <c r="K880">
        <v>1052172</v>
      </c>
      <c r="L880" t="s">
        <v>6352</v>
      </c>
      <c r="M880">
        <v>453</v>
      </c>
      <c r="N880" t="s">
        <v>108</v>
      </c>
      <c r="O880">
        <v>44</v>
      </c>
      <c r="P880" t="str">
        <f>HYPERLINK("Gene1011-zp_tree_all.dnd", "Gene1011-tree")</f>
        <v>Gene1011-tree</v>
      </c>
      <c r="Q880">
        <v>10</v>
      </c>
      <c r="R880">
        <v>5</v>
      </c>
      <c r="S880">
        <v>10</v>
      </c>
      <c r="T880">
        <v>5</v>
      </c>
      <c r="U880">
        <v>0.33333000000000002</v>
      </c>
      <c r="V880" t="s">
        <v>117</v>
      </c>
      <c r="W880" t="s">
        <v>199</v>
      </c>
      <c r="X880" t="s">
        <v>62</v>
      </c>
      <c r="Y880" t="s">
        <v>62</v>
      </c>
      <c r="Z880">
        <v>2</v>
      </c>
      <c r="AA880">
        <v>5</v>
      </c>
      <c r="AB880">
        <v>7</v>
      </c>
      <c r="AC880">
        <v>0.41666999999999998</v>
      </c>
      <c r="AD880" s="47">
        <v>0</v>
      </c>
      <c r="AE880" s="47">
        <v>0</v>
      </c>
      <c r="AF880" s="47">
        <v>0</v>
      </c>
      <c r="AG880" s="47">
        <v>1</v>
      </c>
      <c r="AH880" s="47">
        <v>0</v>
      </c>
      <c r="AI880" s="47">
        <v>0</v>
      </c>
      <c r="AJ880" s="47">
        <v>0</v>
      </c>
      <c r="AK880" s="47">
        <v>0</v>
      </c>
      <c r="AL880">
        <v>5</v>
      </c>
      <c r="AM880">
        <v>0</v>
      </c>
      <c r="AN880">
        <v>12</v>
      </c>
      <c r="AO880">
        <v>11</v>
      </c>
      <c r="AP880">
        <v>25</v>
      </c>
      <c r="AQ880">
        <v>5</v>
      </c>
      <c r="AR880">
        <v>28</v>
      </c>
      <c r="AS880">
        <v>7</v>
      </c>
      <c r="AT880" t="s">
        <v>6353</v>
      </c>
      <c r="AU880" t="s">
        <v>6354</v>
      </c>
      <c r="AV880">
        <v>0.27400000000000002</v>
      </c>
      <c r="AW880" t="s">
        <v>65</v>
      </c>
      <c r="AX880">
        <v>53</v>
      </c>
      <c r="AY880">
        <v>12</v>
      </c>
      <c r="AZ880" t="s">
        <v>6355</v>
      </c>
      <c r="BA880">
        <v>3.7589999999999998E-2</v>
      </c>
      <c r="BB880">
        <v>-1.6199999999999999E-3</v>
      </c>
      <c r="BC880">
        <v>2.5200000000000001E-3</v>
      </c>
      <c r="BD880">
        <v>-1.7000000000000001E-4</v>
      </c>
      <c r="BE880">
        <v>6.7140000000000005E-2</v>
      </c>
      <c r="BF880">
        <v>1</v>
      </c>
      <c r="BG880" t="s">
        <v>69</v>
      </c>
      <c r="BH880">
        <v>0.66200000000000003</v>
      </c>
      <c r="BI880">
        <v>-0.30399999999999999</v>
      </c>
    </row>
    <row r="881" spans="3:61">
      <c r="C881">
        <v>0</v>
      </c>
      <c r="D881">
        <v>9</v>
      </c>
      <c r="E881">
        <v>2</v>
      </c>
      <c r="F881" t="s">
        <v>25021</v>
      </c>
      <c r="G881">
        <v>385</v>
      </c>
      <c r="H881" t="s">
        <v>2604</v>
      </c>
      <c r="I881" t="s">
        <v>62</v>
      </c>
      <c r="J881">
        <v>430626</v>
      </c>
      <c r="K881">
        <v>431987</v>
      </c>
      <c r="L881" t="s">
        <v>2605</v>
      </c>
      <c r="M881">
        <v>454</v>
      </c>
      <c r="N881" t="s">
        <v>108</v>
      </c>
      <c r="O881">
        <v>44</v>
      </c>
      <c r="P881" t="str">
        <f>HYPERLINK("Gene385-zp_tree_all.dnd", "Gene385-tree")</f>
        <v>Gene385-tree</v>
      </c>
      <c r="Q881">
        <v>4</v>
      </c>
      <c r="R881">
        <v>10</v>
      </c>
      <c r="S881">
        <v>4</v>
      </c>
      <c r="T881">
        <v>10</v>
      </c>
      <c r="U881">
        <v>0.71428999999999998</v>
      </c>
      <c r="V881" t="s">
        <v>61</v>
      </c>
      <c r="W881" t="s">
        <v>117</v>
      </c>
      <c r="X881" t="s">
        <v>62</v>
      </c>
      <c r="Y881" t="s">
        <v>62</v>
      </c>
      <c r="Z881">
        <v>4</v>
      </c>
      <c r="AA881">
        <v>11</v>
      </c>
      <c r="AB881">
        <v>16</v>
      </c>
      <c r="AC881">
        <v>0.40740999999999999</v>
      </c>
      <c r="AD881" s="47">
        <v>0</v>
      </c>
      <c r="AE881" s="47">
        <v>0</v>
      </c>
      <c r="AF881" s="47">
        <v>0</v>
      </c>
      <c r="AG881" s="47">
        <v>0</v>
      </c>
      <c r="AH881" s="47">
        <v>0</v>
      </c>
      <c r="AI881" s="47">
        <v>7</v>
      </c>
      <c r="AJ881" s="47">
        <v>0</v>
      </c>
      <c r="AK881" s="47">
        <v>7</v>
      </c>
      <c r="AL881">
        <v>14</v>
      </c>
      <c r="AM881">
        <v>0.33333000000000002</v>
      </c>
      <c r="AN881">
        <v>13</v>
      </c>
      <c r="AO881">
        <v>10</v>
      </c>
      <c r="AP881">
        <v>54</v>
      </c>
      <c r="AQ881">
        <v>21</v>
      </c>
      <c r="AR881">
        <v>25</v>
      </c>
      <c r="AS881">
        <v>6</v>
      </c>
      <c r="AT881" t="s">
        <v>2606</v>
      </c>
      <c r="AU881" t="s">
        <v>2607</v>
      </c>
      <c r="AV881">
        <v>0.64500000000000002</v>
      </c>
      <c r="AW881" t="s">
        <v>65</v>
      </c>
      <c r="AX881">
        <v>79</v>
      </c>
      <c r="AY881">
        <v>27</v>
      </c>
      <c r="AZ881" t="s">
        <v>2608</v>
      </c>
      <c r="BA881">
        <v>4.036E-2</v>
      </c>
      <c r="BB881">
        <v>-1.4E-3</v>
      </c>
      <c r="BC881">
        <v>4.7099999999999998E-3</v>
      </c>
      <c r="BD881">
        <v>-2.3000000000000001E-4</v>
      </c>
      <c r="BE881">
        <v>0.11676</v>
      </c>
      <c r="BF881">
        <v>1</v>
      </c>
      <c r="BG881" t="s">
        <v>69</v>
      </c>
      <c r="BH881">
        <v>-0.92800000000000005</v>
      </c>
      <c r="BI881">
        <v>-0.998</v>
      </c>
    </row>
    <row r="882" spans="3:61">
      <c r="C882">
        <v>0</v>
      </c>
      <c r="D882">
        <v>15</v>
      </c>
      <c r="E882">
        <v>4</v>
      </c>
      <c r="F882" t="s">
        <v>25021</v>
      </c>
      <c r="G882">
        <v>3984</v>
      </c>
      <c r="H882" t="s">
        <v>23420</v>
      </c>
      <c r="I882" t="s">
        <v>57</v>
      </c>
      <c r="J882">
        <v>3948555</v>
      </c>
      <c r="K882">
        <v>3949919</v>
      </c>
      <c r="L882" t="s">
        <v>23421</v>
      </c>
      <c r="M882">
        <v>455</v>
      </c>
      <c r="N882" t="s">
        <v>108</v>
      </c>
      <c r="O882">
        <v>44</v>
      </c>
      <c r="P882" t="str">
        <f>HYPERLINK("Gene3984-zp_tree_all.dnd", "Gene3984-tree")</f>
        <v>Gene3984-tree</v>
      </c>
      <c r="Q882">
        <v>22</v>
      </c>
      <c r="R882">
        <v>11</v>
      </c>
      <c r="S882">
        <v>5</v>
      </c>
      <c r="T882">
        <v>11</v>
      </c>
      <c r="U882">
        <v>0.6875</v>
      </c>
      <c r="V882" t="s">
        <v>1682</v>
      </c>
      <c r="W882" t="s">
        <v>73</v>
      </c>
      <c r="X882">
        <v>4.617</v>
      </c>
      <c r="Y882" t="s">
        <v>267</v>
      </c>
      <c r="Z882">
        <v>6</v>
      </c>
      <c r="AA882">
        <v>19</v>
      </c>
      <c r="AB882">
        <v>24</v>
      </c>
      <c r="AC882">
        <v>0.44185999999999998</v>
      </c>
      <c r="AD882" s="47">
        <v>0</v>
      </c>
      <c r="AE882" s="47">
        <v>0</v>
      </c>
      <c r="AF882" s="47">
        <v>0</v>
      </c>
      <c r="AG882" s="47">
        <v>9</v>
      </c>
      <c r="AH882" s="47">
        <v>0</v>
      </c>
      <c r="AI882" s="47">
        <v>6</v>
      </c>
      <c r="AJ882" s="47">
        <v>3</v>
      </c>
      <c r="AK882" s="47">
        <v>9</v>
      </c>
      <c r="AL882">
        <v>17</v>
      </c>
      <c r="AM882">
        <v>0.34615000000000001</v>
      </c>
      <c r="AN882">
        <v>14</v>
      </c>
      <c r="AO882">
        <v>12</v>
      </c>
      <c r="AP882">
        <v>55</v>
      </c>
      <c r="AQ882">
        <v>27</v>
      </c>
      <c r="AR882">
        <v>39</v>
      </c>
      <c r="AS882">
        <v>17</v>
      </c>
      <c r="AT882" t="s">
        <v>23422</v>
      </c>
      <c r="AU882" t="s">
        <v>23423</v>
      </c>
      <c r="AV882">
        <v>0.114</v>
      </c>
      <c r="AW882" t="s">
        <v>65</v>
      </c>
      <c r="AX882">
        <v>94</v>
      </c>
      <c r="AY882">
        <v>44</v>
      </c>
      <c r="AZ882" t="s">
        <v>23424</v>
      </c>
      <c r="BA882">
        <v>5.5219999999999998E-2</v>
      </c>
      <c r="BB882">
        <v>-1.66E-3</v>
      </c>
      <c r="BC882">
        <v>6.7999999999999996E-3</v>
      </c>
      <c r="BD882">
        <v>-2.9999999999999997E-4</v>
      </c>
      <c r="BE882">
        <v>0.12307</v>
      </c>
      <c r="BF882">
        <v>1</v>
      </c>
      <c r="BG882" t="s">
        <v>69</v>
      </c>
      <c r="BH882">
        <v>-0.45900000000000002</v>
      </c>
      <c r="BI882">
        <v>-1.5309999999999999</v>
      </c>
    </row>
    <row r="883" spans="3:61">
      <c r="C883">
        <v>0</v>
      </c>
      <c r="D883">
        <v>9</v>
      </c>
      <c r="E883">
        <v>0</v>
      </c>
      <c r="F883" t="s">
        <v>25021</v>
      </c>
      <c r="G883">
        <v>169</v>
      </c>
      <c r="H883" t="s">
        <v>1194</v>
      </c>
      <c r="I883" t="s">
        <v>62</v>
      </c>
      <c r="J883">
        <v>189793</v>
      </c>
      <c r="K883">
        <v>191157</v>
      </c>
      <c r="L883" t="s">
        <v>1195</v>
      </c>
      <c r="M883">
        <v>455</v>
      </c>
      <c r="N883" t="s">
        <v>1196</v>
      </c>
      <c r="O883">
        <v>39</v>
      </c>
      <c r="P883" t="str">
        <f>HYPERLINK("Gene169-zp_tree_all.dnd", "Gene169-tree")</f>
        <v>Gene169-tree</v>
      </c>
      <c r="Q883">
        <v>5</v>
      </c>
      <c r="R883">
        <v>7</v>
      </c>
      <c r="S883">
        <v>5</v>
      </c>
      <c r="T883">
        <v>7</v>
      </c>
      <c r="U883">
        <v>0.58333000000000002</v>
      </c>
      <c r="V883" t="s">
        <v>199</v>
      </c>
      <c r="W883" t="s">
        <v>152</v>
      </c>
      <c r="X883" t="s">
        <v>62</v>
      </c>
      <c r="Y883" t="s">
        <v>62</v>
      </c>
      <c r="Z883">
        <v>3</v>
      </c>
      <c r="AA883">
        <v>9</v>
      </c>
      <c r="AB883">
        <v>3</v>
      </c>
      <c r="AC883">
        <v>0.75</v>
      </c>
      <c r="AD883" s="47">
        <v>0</v>
      </c>
      <c r="AE883" s="47">
        <v>0</v>
      </c>
      <c r="AF883" s="47">
        <v>0</v>
      </c>
      <c r="AG883" s="47">
        <v>0</v>
      </c>
      <c r="AH883" s="47">
        <v>0</v>
      </c>
      <c r="AI883" s="47">
        <v>4</v>
      </c>
      <c r="AJ883" s="47">
        <v>0</v>
      </c>
      <c r="AK883" s="47">
        <v>4</v>
      </c>
      <c r="AL883">
        <v>5</v>
      </c>
      <c r="AM883">
        <v>0.44444</v>
      </c>
      <c r="AN883">
        <v>11</v>
      </c>
      <c r="AO883">
        <v>7</v>
      </c>
      <c r="AP883">
        <v>44</v>
      </c>
      <c r="AQ883">
        <v>9</v>
      </c>
      <c r="AR883">
        <v>17</v>
      </c>
      <c r="AS883">
        <v>3</v>
      </c>
      <c r="AT883" t="s">
        <v>1197</v>
      </c>
      <c r="AU883" t="s">
        <v>1198</v>
      </c>
      <c r="AV883">
        <v>0.11600000000000001</v>
      </c>
      <c r="AW883" t="s">
        <v>65</v>
      </c>
      <c r="AX883">
        <v>61</v>
      </c>
      <c r="AY883">
        <v>12</v>
      </c>
      <c r="AZ883" t="s">
        <v>1199</v>
      </c>
      <c r="BA883">
        <v>3.2989999999999998E-2</v>
      </c>
      <c r="BB883">
        <v>-1.33E-3</v>
      </c>
      <c r="BC883">
        <v>1.91E-3</v>
      </c>
      <c r="BD883">
        <v>-1.2999999999999999E-4</v>
      </c>
      <c r="BE883">
        <v>5.7930000000000002E-2</v>
      </c>
      <c r="BF883">
        <v>1</v>
      </c>
      <c r="BG883" t="s">
        <v>69</v>
      </c>
      <c r="BH883">
        <v>-0.28299999999999997</v>
      </c>
      <c r="BI883">
        <v>-2.08</v>
      </c>
    </row>
    <row r="884" spans="3:61">
      <c r="C884">
        <v>0</v>
      </c>
      <c r="D884">
        <v>3</v>
      </c>
      <c r="E884">
        <v>0</v>
      </c>
      <c r="F884" t="s">
        <v>25021</v>
      </c>
      <c r="G884">
        <v>1117</v>
      </c>
      <c r="H884" t="s">
        <v>7018</v>
      </c>
      <c r="I884" t="s">
        <v>62</v>
      </c>
      <c r="J884">
        <v>1160779</v>
      </c>
      <c r="K884">
        <v>1162143</v>
      </c>
      <c r="L884" t="s">
        <v>7019</v>
      </c>
      <c r="M884">
        <v>455</v>
      </c>
      <c r="N884" t="s">
        <v>289</v>
      </c>
      <c r="O884">
        <v>46</v>
      </c>
      <c r="P884" t="str">
        <f>HYPERLINK("Gene1117-zp_tree_all.dnd", "Gene1117-tree")</f>
        <v>Gene1117-tree</v>
      </c>
      <c r="Q884">
        <v>12</v>
      </c>
      <c r="R884">
        <v>5</v>
      </c>
      <c r="S884">
        <v>12</v>
      </c>
      <c r="T884">
        <v>5</v>
      </c>
      <c r="U884">
        <v>0.29411999999999999</v>
      </c>
      <c r="V884" t="s">
        <v>109</v>
      </c>
      <c r="W884" t="s">
        <v>199</v>
      </c>
      <c r="X884" t="s">
        <v>62</v>
      </c>
      <c r="Y884" t="s">
        <v>62</v>
      </c>
      <c r="Z884">
        <v>1</v>
      </c>
      <c r="AA884">
        <v>3</v>
      </c>
      <c r="AB884">
        <v>7</v>
      </c>
      <c r="AC884">
        <v>0.3</v>
      </c>
      <c r="AD884" s="47">
        <v>0</v>
      </c>
      <c r="AE884" s="47">
        <v>0</v>
      </c>
      <c r="AF884" s="47">
        <v>0</v>
      </c>
      <c r="AG884" s="47">
        <v>0</v>
      </c>
      <c r="AH884" s="47">
        <v>0</v>
      </c>
      <c r="AI884" s="47">
        <v>2</v>
      </c>
      <c r="AJ884" s="47">
        <v>0</v>
      </c>
      <c r="AK884" s="47">
        <v>2</v>
      </c>
      <c r="AL884">
        <v>3</v>
      </c>
      <c r="AM884">
        <v>0.4</v>
      </c>
      <c r="AN884">
        <v>15</v>
      </c>
      <c r="AO884">
        <v>9</v>
      </c>
      <c r="AP884">
        <v>53</v>
      </c>
      <c r="AQ884">
        <v>5</v>
      </c>
      <c r="AR884">
        <v>71</v>
      </c>
      <c r="AS884">
        <v>5</v>
      </c>
      <c r="AT884" t="s">
        <v>7020</v>
      </c>
      <c r="AU884" t="s">
        <v>7021</v>
      </c>
      <c r="AV884">
        <v>0.13500000000000001</v>
      </c>
      <c r="AW884" t="s">
        <v>65</v>
      </c>
      <c r="AX884">
        <v>124</v>
      </c>
      <c r="AY884">
        <v>10</v>
      </c>
      <c r="AZ884" t="s">
        <v>7022</v>
      </c>
      <c r="BA884">
        <v>7.0510000000000003E-2</v>
      </c>
      <c r="BB884">
        <v>-6.6100000000000004E-3</v>
      </c>
      <c r="BC884">
        <v>1.6900000000000001E-3</v>
      </c>
      <c r="BD884">
        <v>-1.7000000000000001E-4</v>
      </c>
      <c r="BE884">
        <v>2.402E-2</v>
      </c>
      <c r="BF884">
        <v>1</v>
      </c>
      <c r="BG884" t="s">
        <v>69</v>
      </c>
      <c r="BH884">
        <v>-1.5580000000000001</v>
      </c>
      <c r="BI884">
        <v>0.56000000000000005</v>
      </c>
    </row>
    <row r="885" spans="3:61">
      <c r="C885">
        <v>0</v>
      </c>
      <c r="D885">
        <v>38</v>
      </c>
      <c r="E885">
        <v>1</v>
      </c>
      <c r="F885" t="s">
        <v>25021</v>
      </c>
      <c r="G885">
        <v>3932</v>
      </c>
      <c r="H885" t="s">
        <v>23074</v>
      </c>
      <c r="I885" t="s">
        <v>57</v>
      </c>
      <c r="J885">
        <v>3896290</v>
      </c>
      <c r="K885">
        <v>3897657</v>
      </c>
      <c r="L885" t="s">
        <v>23075</v>
      </c>
      <c r="M885">
        <v>456</v>
      </c>
      <c r="N885" t="s">
        <v>108</v>
      </c>
      <c r="O885">
        <v>44</v>
      </c>
      <c r="P885" t="str">
        <f>HYPERLINK("Gene3932-zp_tree_all.dnd", "Gene3932-tree")</f>
        <v>Gene3932-tree</v>
      </c>
      <c r="Q885">
        <v>2</v>
      </c>
      <c r="R885">
        <v>16</v>
      </c>
      <c r="S885">
        <v>2</v>
      </c>
      <c r="T885">
        <v>16</v>
      </c>
      <c r="U885">
        <v>0.88888999999999996</v>
      </c>
      <c r="V885" t="s">
        <v>81</v>
      </c>
      <c r="W885" t="s">
        <v>60</v>
      </c>
      <c r="X885" t="s">
        <v>62</v>
      </c>
      <c r="Y885" t="s">
        <v>62</v>
      </c>
      <c r="Z885">
        <v>14</v>
      </c>
      <c r="AA885">
        <v>39</v>
      </c>
      <c r="AB885">
        <v>28</v>
      </c>
      <c r="AC885">
        <v>0.58209</v>
      </c>
      <c r="AD885" s="47">
        <v>0</v>
      </c>
      <c r="AE885" s="47">
        <v>0</v>
      </c>
      <c r="AF885" s="47">
        <v>0</v>
      </c>
      <c r="AG885" s="47">
        <v>0</v>
      </c>
      <c r="AH885" s="47">
        <v>0</v>
      </c>
      <c r="AI885" s="47">
        <v>21</v>
      </c>
      <c r="AJ885" s="47">
        <v>1</v>
      </c>
      <c r="AK885" s="47">
        <v>22</v>
      </c>
      <c r="AL885">
        <v>30</v>
      </c>
      <c r="AM885">
        <v>0.42308000000000001</v>
      </c>
      <c r="AN885">
        <v>16</v>
      </c>
      <c r="AO885">
        <v>15</v>
      </c>
      <c r="AP885">
        <v>75</v>
      </c>
      <c r="AQ885">
        <v>52</v>
      </c>
      <c r="AR885">
        <v>65</v>
      </c>
      <c r="AS885">
        <v>18</v>
      </c>
      <c r="AT885" t="s">
        <v>23076</v>
      </c>
      <c r="AU885" t="s">
        <v>23077</v>
      </c>
      <c r="AV885">
        <v>1.242</v>
      </c>
      <c r="AW885" t="s">
        <v>65</v>
      </c>
      <c r="AX885">
        <v>140</v>
      </c>
      <c r="AY885">
        <v>70</v>
      </c>
      <c r="AZ885" t="s">
        <v>23078</v>
      </c>
      <c r="BA885">
        <v>6.4850000000000005E-2</v>
      </c>
      <c r="BB885">
        <v>-1.67E-3</v>
      </c>
      <c r="BC885">
        <v>8.6400000000000001E-3</v>
      </c>
      <c r="BD885">
        <v>-2.7999999999999998E-4</v>
      </c>
      <c r="BE885">
        <v>0.13331000000000001</v>
      </c>
      <c r="BF885">
        <v>1</v>
      </c>
      <c r="BG885" t="s">
        <v>69</v>
      </c>
      <c r="BH885">
        <v>-0.69299999999999995</v>
      </c>
      <c r="BI885">
        <v>-1.302</v>
      </c>
    </row>
    <row r="886" spans="3:61">
      <c r="C886">
        <v>0</v>
      </c>
      <c r="D886">
        <v>4</v>
      </c>
      <c r="E886">
        <v>0</v>
      </c>
      <c r="F886" t="s">
        <v>25021</v>
      </c>
      <c r="G886">
        <v>4009</v>
      </c>
      <c r="H886" t="s">
        <v>23582</v>
      </c>
      <c r="I886" t="s">
        <v>57</v>
      </c>
      <c r="J886">
        <v>3971060</v>
      </c>
      <c r="K886">
        <v>3972430</v>
      </c>
      <c r="L886" t="s">
        <v>23583</v>
      </c>
      <c r="M886">
        <v>457</v>
      </c>
      <c r="N886" t="s">
        <v>289</v>
      </c>
      <c r="O886">
        <v>46</v>
      </c>
      <c r="P886" t="str">
        <f>HYPERLINK("Gene4009-zp_tree_all.dnd", "Gene4009-tree")</f>
        <v>Gene4009-tree</v>
      </c>
      <c r="Q886">
        <v>6</v>
      </c>
      <c r="R886">
        <v>8</v>
      </c>
      <c r="S886">
        <v>6</v>
      </c>
      <c r="T886">
        <v>8</v>
      </c>
      <c r="U886">
        <v>0.57142999999999999</v>
      </c>
      <c r="V886" t="s">
        <v>90</v>
      </c>
      <c r="W886" t="s">
        <v>136</v>
      </c>
      <c r="X886" t="s">
        <v>62</v>
      </c>
      <c r="Y886" t="s">
        <v>62</v>
      </c>
      <c r="Z886">
        <v>2</v>
      </c>
      <c r="AA886">
        <v>4</v>
      </c>
      <c r="AB886">
        <v>9</v>
      </c>
      <c r="AC886">
        <v>0.30769000000000002</v>
      </c>
      <c r="AD886" s="47">
        <v>0</v>
      </c>
      <c r="AE886" s="47">
        <v>0</v>
      </c>
      <c r="AF886" s="47">
        <v>0</v>
      </c>
      <c r="AG886" s="47">
        <v>0</v>
      </c>
      <c r="AH886" s="47">
        <v>0</v>
      </c>
      <c r="AI886" s="47">
        <v>4</v>
      </c>
      <c r="AJ886" s="47">
        <v>0</v>
      </c>
      <c r="AK886" s="47">
        <v>4</v>
      </c>
      <c r="AL886">
        <v>5</v>
      </c>
      <c r="AM886">
        <v>0.44444</v>
      </c>
      <c r="AN886">
        <v>12</v>
      </c>
      <c r="AO886">
        <v>9</v>
      </c>
      <c r="AP886">
        <v>34</v>
      </c>
      <c r="AQ886">
        <v>7</v>
      </c>
      <c r="AR886">
        <v>57</v>
      </c>
      <c r="AS886">
        <v>8</v>
      </c>
      <c r="AT886" t="s">
        <v>23584</v>
      </c>
      <c r="AU886" t="s">
        <v>23585</v>
      </c>
      <c r="AV886">
        <v>0.22900000000000001</v>
      </c>
      <c r="AW886" t="s">
        <v>65</v>
      </c>
      <c r="AX886">
        <v>91</v>
      </c>
      <c r="AY886">
        <v>15</v>
      </c>
      <c r="AZ886" t="s">
        <v>23586</v>
      </c>
      <c r="BA886">
        <v>6.6259999999999999E-2</v>
      </c>
      <c r="BB886">
        <v>-7.0200000000000002E-3</v>
      </c>
      <c r="BC886">
        <v>2.97E-3</v>
      </c>
      <c r="BD886">
        <v>-2.5999999999999998E-4</v>
      </c>
      <c r="BE886">
        <v>4.4900000000000002E-2</v>
      </c>
      <c r="BF886">
        <v>1</v>
      </c>
      <c r="BG886" t="s">
        <v>69</v>
      </c>
      <c r="BH886">
        <v>-1.337</v>
      </c>
      <c r="BI886">
        <v>-0.48599999999999999</v>
      </c>
    </row>
    <row r="887" spans="3:61">
      <c r="C887">
        <v>0</v>
      </c>
      <c r="D887">
        <v>0</v>
      </c>
      <c r="E887">
        <v>0</v>
      </c>
      <c r="F887" t="s">
        <v>25021</v>
      </c>
      <c r="G887">
        <v>580</v>
      </c>
      <c r="H887" t="s">
        <v>3732</v>
      </c>
      <c r="I887" t="s">
        <v>62</v>
      </c>
      <c r="J887">
        <v>606702</v>
      </c>
      <c r="K887">
        <v>608075</v>
      </c>
      <c r="L887" t="s">
        <v>1399</v>
      </c>
      <c r="M887">
        <v>458</v>
      </c>
      <c r="N887" t="s">
        <v>108</v>
      </c>
      <c r="O887">
        <v>44</v>
      </c>
      <c r="P887" t="str">
        <f>HYPERLINK("Gene580-zp_tree_all.dnd", "Gene580-tree")</f>
        <v>Gene580-tree</v>
      </c>
      <c r="Q887">
        <v>9</v>
      </c>
      <c r="R887">
        <v>3</v>
      </c>
      <c r="S887">
        <v>9</v>
      </c>
      <c r="T887">
        <v>3</v>
      </c>
      <c r="U887">
        <v>0.25</v>
      </c>
      <c r="V887" t="s">
        <v>135</v>
      </c>
      <c r="W887" t="s">
        <v>324</v>
      </c>
      <c r="X887" t="s">
        <v>62</v>
      </c>
      <c r="Y887" t="s">
        <v>62</v>
      </c>
      <c r="Z887">
        <v>0</v>
      </c>
      <c r="AA887">
        <v>0</v>
      </c>
      <c r="AB887">
        <v>3</v>
      </c>
      <c r="AC887">
        <v>0</v>
      </c>
      <c r="AD887" s="47">
        <v>0</v>
      </c>
      <c r="AE887" s="47">
        <v>0</v>
      </c>
      <c r="AF887" s="47">
        <v>0</v>
      </c>
      <c r="AG887" s="47">
        <v>0</v>
      </c>
      <c r="AH887" s="47">
        <v>0</v>
      </c>
      <c r="AI887" s="47">
        <v>0</v>
      </c>
      <c r="AJ887" s="47">
        <v>0</v>
      </c>
      <c r="AK887" s="47">
        <v>0</v>
      </c>
      <c r="AL887">
        <v>3</v>
      </c>
      <c r="AM887">
        <v>0</v>
      </c>
      <c r="AN887">
        <v>12</v>
      </c>
      <c r="AO887">
        <v>8</v>
      </c>
      <c r="AP887">
        <v>52</v>
      </c>
      <c r="AQ887">
        <v>3</v>
      </c>
      <c r="AR887">
        <v>23</v>
      </c>
      <c r="AS887">
        <v>0</v>
      </c>
      <c r="AT887" t="s">
        <v>3733</v>
      </c>
      <c r="AU887" t="s">
        <v>193</v>
      </c>
      <c r="AV887">
        <v>1.0880000000000001</v>
      </c>
      <c r="AW887" t="s">
        <v>65</v>
      </c>
      <c r="AX887">
        <v>75</v>
      </c>
      <c r="AY887">
        <v>3</v>
      </c>
      <c r="AZ887" t="s">
        <v>3734</v>
      </c>
      <c r="BA887">
        <v>4.2849999999999999E-2</v>
      </c>
      <c r="BB887">
        <v>-1.23E-3</v>
      </c>
      <c r="BC887">
        <v>4.8000000000000001E-4</v>
      </c>
      <c r="BD887">
        <v>-6.9999999999999994E-5</v>
      </c>
      <c r="BE887">
        <v>1.1169999999999999E-2</v>
      </c>
      <c r="BF887">
        <v>1</v>
      </c>
      <c r="BG887" t="s">
        <v>69</v>
      </c>
      <c r="BH887">
        <v>-0.502</v>
      </c>
      <c r="BI887">
        <v>-0.53400000000000003</v>
      </c>
    </row>
    <row r="888" spans="3:61">
      <c r="C888">
        <v>0</v>
      </c>
      <c r="D888">
        <v>14</v>
      </c>
      <c r="E888">
        <v>0</v>
      </c>
      <c r="F888" t="s">
        <v>25021</v>
      </c>
      <c r="G888">
        <v>3978</v>
      </c>
      <c r="H888" t="s">
        <v>23381</v>
      </c>
      <c r="I888" t="s">
        <v>57</v>
      </c>
      <c r="J888">
        <v>3942234</v>
      </c>
      <c r="K888">
        <v>3943610</v>
      </c>
      <c r="L888" t="s">
        <v>23382</v>
      </c>
      <c r="M888">
        <v>459</v>
      </c>
      <c r="N888" t="s">
        <v>108</v>
      </c>
      <c r="O888">
        <v>44</v>
      </c>
      <c r="P888" t="str">
        <f>HYPERLINK("Gene3978-zp_tree_all.dnd", "Gene3978-tree")</f>
        <v>Gene3978-tree</v>
      </c>
      <c r="Q888">
        <v>5</v>
      </c>
      <c r="R888">
        <v>10</v>
      </c>
      <c r="S888">
        <v>5</v>
      </c>
      <c r="T888">
        <v>10</v>
      </c>
      <c r="U888">
        <v>0.66666999999999998</v>
      </c>
      <c r="V888" t="s">
        <v>199</v>
      </c>
      <c r="W888" t="s">
        <v>117</v>
      </c>
      <c r="X888" t="s">
        <v>62</v>
      </c>
      <c r="Y888" t="s">
        <v>62</v>
      </c>
      <c r="Z888">
        <v>5</v>
      </c>
      <c r="AA888">
        <v>14</v>
      </c>
      <c r="AB888">
        <v>13</v>
      </c>
      <c r="AC888">
        <v>0.51851999999999998</v>
      </c>
      <c r="AD888" s="47">
        <v>2</v>
      </c>
      <c r="AE888" s="47">
        <v>0</v>
      </c>
      <c r="AF888" s="47">
        <v>2</v>
      </c>
      <c r="AG888" s="47">
        <v>3</v>
      </c>
      <c r="AH888" s="47">
        <v>0.4</v>
      </c>
      <c r="AI888" s="47">
        <v>4</v>
      </c>
      <c r="AJ888" s="47">
        <v>0</v>
      </c>
      <c r="AK888" s="47">
        <v>4</v>
      </c>
      <c r="AL888">
        <v>14</v>
      </c>
      <c r="AM888">
        <v>0.22222</v>
      </c>
      <c r="AN888">
        <v>11</v>
      </c>
      <c r="AO888">
        <v>12</v>
      </c>
      <c r="AP888">
        <v>50</v>
      </c>
      <c r="AQ888">
        <v>14</v>
      </c>
      <c r="AR888">
        <v>43</v>
      </c>
      <c r="AS888">
        <v>13</v>
      </c>
      <c r="AT888" t="s">
        <v>23383</v>
      </c>
      <c r="AU888" t="s">
        <v>23384</v>
      </c>
      <c r="AV888">
        <v>0.127</v>
      </c>
      <c r="AW888" t="s">
        <v>65</v>
      </c>
      <c r="AX888">
        <v>93</v>
      </c>
      <c r="AY888">
        <v>27</v>
      </c>
      <c r="AZ888" t="s">
        <v>23385</v>
      </c>
      <c r="BA888">
        <v>5.4679999999999999E-2</v>
      </c>
      <c r="BB888">
        <v>-2.47E-3</v>
      </c>
      <c r="BC888">
        <v>3.8E-3</v>
      </c>
      <c r="BD888">
        <v>-1.9000000000000001E-4</v>
      </c>
      <c r="BE888">
        <v>6.9440000000000002E-2</v>
      </c>
      <c r="BF888">
        <v>1</v>
      </c>
      <c r="BG888" t="s">
        <v>69</v>
      </c>
      <c r="BH888">
        <v>-0.192</v>
      </c>
      <c r="BI888">
        <v>-0.76900000000000002</v>
      </c>
    </row>
    <row r="889" spans="3:61">
      <c r="C889">
        <v>0</v>
      </c>
      <c r="D889">
        <v>23</v>
      </c>
      <c r="E889">
        <v>1</v>
      </c>
      <c r="F889" t="s">
        <v>25021</v>
      </c>
      <c r="G889">
        <v>976</v>
      </c>
      <c r="H889" t="s">
        <v>6116</v>
      </c>
      <c r="I889" t="s">
        <v>62</v>
      </c>
      <c r="J889">
        <v>1017086</v>
      </c>
      <c r="K889">
        <v>1018468</v>
      </c>
      <c r="L889" t="s">
        <v>6117</v>
      </c>
      <c r="M889">
        <v>461</v>
      </c>
      <c r="N889" t="s">
        <v>108</v>
      </c>
      <c r="O889">
        <v>44</v>
      </c>
      <c r="P889" t="str">
        <f>HYPERLINK("Gene976-zp_tree_all.dnd", "Gene976-tree")</f>
        <v>Gene976-tree</v>
      </c>
      <c r="Q889">
        <v>3</v>
      </c>
      <c r="R889">
        <v>12</v>
      </c>
      <c r="S889">
        <v>3</v>
      </c>
      <c r="T889">
        <v>12</v>
      </c>
      <c r="U889">
        <v>0.8</v>
      </c>
      <c r="V889" t="s">
        <v>324</v>
      </c>
      <c r="W889" t="s">
        <v>109</v>
      </c>
      <c r="X889" t="s">
        <v>62</v>
      </c>
      <c r="Y889" t="s">
        <v>62</v>
      </c>
      <c r="Z889">
        <v>8</v>
      </c>
      <c r="AA889">
        <v>24</v>
      </c>
      <c r="AB889">
        <v>17</v>
      </c>
      <c r="AC889">
        <v>0.58536999999999995</v>
      </c>
      <c r="AD889" s="47">
        <v>0</v>
      </c>
      <c r="AE889" s="47">
        <v>0</v>
      </c>
      <c r="AF889" s="47">
        <v>0</v>
      </c>
      <c r="AG889" s="47">
        <v>0</v>
      </c>
      <c r="AH889" s="47">
        <v>0</v>
      </c>
      <c r="AI889" s="47">
        <v>12</v>
      </c>
      <c r="AJ889" s="47">
        <v>0</v>
      </c>
      <c r="AK889" s="47">
        <v>12</v>
      </c>
      <c r="AL889">
        <v>18</v>
      </c>
      <c r="AM889">
        <v>0.4</v>
      </c>
      <c r="AN889">
        <v>14</v>
      </c>
      <c r="AO889">
        <v>12</v>
      </c>
      <c r="AP889">
        <v>45</v>
      </c>
      <c r="AQ889">
        <v>31</v>
      </c>
      <c r="AR889">
        <v>26</v>
      </c>
      <c r="AS889">
        <v>12</v>
      </c>
      <c r="AT889" t="s">
        <v>6118</v>
      </c>
      <c r="AU889" t="s">
        <v>6119</v>
      </c>
      <c r="AV889">
        <v>0.52</v>
      </c>
      <c r="AW889" t="s">
        <v>65</v>
      </c>
      <c r="AX889">
        <v>71</v>
      </c>
      <c r="AY889">
        <v>43</v>
      </c>
      <c r="AZ889" t="s">
        <v>6120</v>
      </c>
      <c r="BA889">
        <v>4.4159999999999998E-2</v>
      </c>
      <c r="BB889">
        <v>-2.1900000000000001E-3</v>
      </c>
      <c r="BC889">
        <v>6.4200000000000004E-3</v>
      </c>
      <c r="BD889">
        <v>-2.7999999999999998E-4</v>
      </c>
      <c r="BE889">
        <v>0.14535999999999999</v>
      </c>
      <c r="BF889">
        <v>1</v>
      </c>
      <c r="BG889" t="s">
        <v>69</v>
      </c>
      <c r="BH889">
        <v>-1.0029999999999999</v>
      </c>
      <c r="BI889">
        <v>-1.5289999999999999</v>
      </c>
    </row>
    <row r="890" spans="3:61">
      <c r="C890">
        <v>0</v>
      </c>
      <c r="D890">
        <v>8</v>
      </c>
      <c r="E890">
        <v>0</v>
      </c>
      <c r="F890" t="s">
        <v>25021</v>
      </c>
      <c r="G890">
        <v>771</v>
      </c>
      <c r="H890" t="s">
        <v>4790</v>
      </c>
      <c r="I890" t="s">
        <v>62</v>
      </c>
      <c r="J890">
        <v>805459</v>
      </c>
      <c r="K890">
        <v>806841</v>
      </c>
      <c r="L890" t="s">
        <v>4791</v>
      </c>
      <c r="M890">
        <v>461</v>
      </c>
      <c r="N890" t="s">
        <v>289</v>
      </c>
      <c r="O890">
        <v>46</v>
      </c>
      <c r="P890" t="str">
        <f>HYPERLINK("Gene771-zp_tree_all.dnd", "Gene771-tree")</f>
        <v>Gene771-tree</v>
      </c>
      <c r="Q890">
        <v>11</v>
      </c>
      <c r="R890">
        <v>5</v>
      </c>
      <c r="S890">
        <v>11</v>
      </c>
      <c r="T890">
        <v>5</v>
      </c>
      <c r="U890">
        <v>0.3125</v>
      </c>
      <c r="V890" t="s">
        <v>73</v>
      </c>
      <c r="W890" t="s">
        <v>199</v>
      </c>
      <c r="X890" t="s">
        <v>62</v>
      </c>
      <c r="Y890" t="s">
        <v>62</v>
      </c>
      <c r="Z890">
        <v>3</v>
      </c>
      <c r="AA890">
        <v>8</v>
      </c>
      <c r="AB890">
        <v>9</v>
      </c>
      <c r="AC890">
        <v>0.47059000000000001</v>
      </c>
      <c r="AD890" s="47">
        <v>0</v>
      </c>
      <c r="AE890" s="47">
        <v>0</v>
      </c>
      <c r="AF890" s="47">
        <v>0</v>
      </c>
      <c r="AG890" s="47">
        <v>0</v>
      </c>
      <c r="AH890" s="47">
        <v>0</v>
      </c>
      <c r="AI890" s="47">
        <v>0</v>
      </c>
      <c r="AJ890" s="47">
        <v>0</v>
      </c>
      <c r="AK890" s="47">
        <v>0</v>
      </c>
      <c r="AL890">
        <v>7</v>
      </c>
      <c r="AM890">
        <v>0</v>
      </c>
      <c r="AN890">
        <v>14</v>
      </c>
      <c r="AO890">
        <v>12</v>
      </c>
      <c r="AP890">
        <v>57</v>
      </c>
      <c r="AQ890">
        <v>7</v>
      </c>
      <c r="AR890">
        <v>85</v>
      </c>
      <c r="AS890">
        <v>10</v>
      </c>
      <c r="AT890" t="s">
        <v>4792</v>
      </c>
      <c r="AU890" t="s">
        <v>4793</v>
      </c>
      <c r="AV890">
        <v>3.7999999999999999E-2</v>
      </c>
      <c r="AW890" t="s">
        <v>65</v>
      </c>
      <c r="AX890">
        <v>142</v>
      </c>
      <c r="AY890">
        <v>17</v>
      </c>
      <c r="AZ890" t="s">
        <v>4794</v>
      </c>
      <c r="BA890">
        <v>7.9079999999999998E-2</v>
      </c>
      <c r="BB890">
        <v>-5.9300000000000004E-3</v>
      </c>
      <c r="BC890">
        <v>2.7499999999999998E-3</v>
      </c>
      <c r="BD890">
        <v>-2.5000000000000001E-4</v>
      </c>
      <c r="BE890">
        <v>3.4770000000000002E-2</v>
      </c>
      <c r="BF890">
        <v>1</v>
      </c>
      <c r="BG890" t="s">
        <v>69</v>
      </c>
      <c r="BH890">
        <v>-1.2969999999999999</v>
      </c>
      <c r="BI890">
        <v>-1.4379999999999999</v>
      </c>
    </row>
    <row r="891" spans="3:61">
      <c r="C891">
        <v>0</v>
      </c>
      <c r="D891">
        <v>7</v>
      </c>
      <c r="E891">
        <v>2</v>
      </c>
      <c r="F891" t="s">
        <v>25021</v>
      </c>
      <c r="G891">
        <v>4180</v>
      </c>
      <c r="H891" t="s">
        <v>24610</v>
      </c>
      <c r="I891" t="s">
        <v>57</v>
      </c>
      <c r="J891">
        <v>4145747</v>
      </c>
      <c r="K891">
        <v>4147129</v>
      </c>
      <c r="L891" t="s">
        <v>24611</v>
      </c>
      <c r="M891">
        <v>461</v>
      </c>
      <c r="N891" t="s">
        <v>108</v>
      </c>
      <c r="O891">
        <v>44</v>
      </c>
      <c r="P891" t="str">
        <f>HYPERLINK("Gene4180-zp_tree_all.dnd", "Gene4180-tree")</f>
        <v>Gene4180-tree</v>
      </c>
      <c r="Q891">
        <v>8</v>
      </c>
      <c r="R891">
        <v>7</v>
      </c>
      <c r="S891">
        <v>8</v>
      </c>
      <c r="T891">
        <v>7</v>
      </c>
      <c r="U891">
        <v>0.46666999999999997</v>
      </c>
      <c r="V891" t="s">
        <v>136</v>
      </c>
      <c r="W891" t="s">
        <v>152</v>
      </c>
      <c r="X891" t="s">
        <v>62</v>
      </c>
      <c r="Y891" t="s">
        <v>62</v>
      </c>
      <c r="Z891">
        <v>4</v>
      </c>
      <c r="AA891">
        <v>9</v>
      </c>
      <c r="AB891">
        <v>10</v>
      </c>
      <c r="AC891">
        <v>0.47367999999999999</v>
      </c>
      <c r="AD891" s="47">
        <v>0</v>
      </c>
      <c r="AE891" s="47">
        <v>0</v>
      </c>
      <c r="AF891" s="47">
        <v>0</v>
      </c>
      <c r="AG891" s="47">
        <v>0</v>
      </c>
      <c r="AH891" s="47">
        <v>0</v>
      </c>
      <c r="AI891" s="47">
        <v>4</v>
      </c>
      <c r="AJ891" s="47">
        <v>4</v>
      </c>
      <c r="AK891" s="47">
        <v>8</v>
      </c>
      <c r="AL891">
        <v>9</v>
      </c>
      <c r="AM891">
        <v>0.47059000000000001</v>
      </c>
      <c r="AN891">
        <v>15</v>
      </c>
      <c r="AO891">
        <v>10</v>
      </c>
      <c r="AP891">
        <v>125</v>
      </c>
      <c r="AQ891">
        <v>18</v>
      </c>
      <c r="AR891">
        <v>37</v>
      </c>
      <c r="AS891">
        <v>2</v>
      </c>
      <c r="AT891" t="s">
        <v>24612</v>
      </c>
      <c r="AU891" t="s">
        <v>24613</v>
      </c>
      <c r="AV891">
        <v>0.60599999999999998</v>
      </c>
      <c r="AW891" t="s">
        <v>65</v>
      </c>
      <c r="AX891">
        <v>162</v>
      </c>
      <c r="AY891">
        <v>20</v>
      </c>
      <c r="AZ891" t="s">
        <v>24614</v>
      </c>
      <c r="BA891">
        <v>8.2419999999999993E-2</v>
      </c>
      <c r="BB891">
        <v>-4.3899999999999998E-3</v>
      </c>
      <c r="BC891">
        <v>2.5699999999999998E-3</v>
      </c>
      <c r="BD891">
        <v>-2.3000000000000001E-4</v>
      </c>
      <c r="BE891">
        <v>3.1130000000000001E-2</v>
      </c>
      <c r="BF891">
        <v>1</v>
      </c>
      <c r="BG891" t="s">
        <v>69</v>
      </c>
      <c r="BH891">
        <v>-1.385</v>
      </c>
      <c r="BI891">
        <v>-2.532</v>
      </c>
    </row>
    <row r="892" spans="3:61">
      <c r="C892">
        <v>0</v>
      </c>
      <c r="D892">
        <v>5</v>
      </c>
      <c r="E892">
        <v>0</v>
      </c>
      <c r="F892" t="s">
        <v>25021</v>
      </c>
      <c r="G892">
        <v>4122</v>
      </c>
      <c r="H892" t="s">
        <v>24292</v>
      </c>
      <c r="I892" t="s">
        <v>57</v>
      </c>
      <c r="J892">
        <v>4088002</v>
      </c>
      <c r="K892">
        <v>4089384</v>
      </c>
      <c r="L892" t="s">
        <v>22512</v>
      </c>
      <c r="M892">
        <v>461</v>
      </c>
      <c r="N892" t="s">
        <v>108</v>
      </c>
      <c r="O892">
        <v>44</v>
      </c>
      <c r="P892" t="str">
        <f>HYPERLINK("Gene4122-zp_tree_all.dnd", "Gene4122-tree")</f>
        <v>Gene4122-tree</v>
      </c>
      <c r="Q892">
        <v>6</v>
      </c>
      <c r="R892">
        <v>8</v>
      </c>
      <c r="S892">
        <v>6</v>
      </c>
      <c r="T892">
        <v>8</v>
      </c>
      <c r="U892">
        <v>0.57142999999999999</v>
      </c>
      <c r="V892" t="s">
        <v>90</v>
      </c>
      <c r="W892" t="s">
        <v>136</v>
      </c>
      <c r="X892" t="s">
        <v>62</v>
      </c>
      <c r="Y892" t="s">
        <v>62</v>
      </c>
      <c r="Z892">
        <v>2</v>
      </c>
      <c r="AA892">
        <v>5</v>
      </c>
      <c r="AB892">
        <v>10</v>
      </c>
      <c r="AC892">
        <v>0.33333000000000002</v>
      </c>
      <c r="AD892" s="47">
        <v>0</v>
      </c>
      <c r="AE892" s="47">
        <v>0</v>
      </c>
      <c r="AF892" s="47">
        <v>0</v>
      </c>
      <c r="AG892" s="47">
        <v>0</v>
      </c>
      <c r="AH892" s="47">
        <v>0</v>
      </c>
      <c r="AI892" s="47">
        <v>4</v>
      </c>
      <c r="AJ892" s="47">
        <v>0</v>
      </c>
      <c r="AK892" s="47">
        <v>4</v>
      </c>
      <c r="AL892">
        <v>8</v>
      </c>
      <c r="AM892">
        <v>0.33333000000000002</v>
      </c>
      <c r="AN892">
        <v>12</v>
      </c>
      <c r="AO892">
        <v>10</v>
      </c>
      <c r="AP892">
        <v>66</v>
      </c>
      <c r="AQ892">
        <v>12</v>
      </c>
      <c r="AR892">
        <v>76</v>
      </c>
      <c r="AS892">
        <v>4</v>
      </c>
      <c r="AT892" t="s">
        <v>24293</v>
      </c>
      <c r="AU892" t="s">
        <v>24294</v>
      </c>
      <c r="AV892">
        <v>1.2430000000000001</v>
      </c>
      <c r="AW892" t="s">
        <v>65</v>
      </c>
      <c r="AX892">
        <v>142</v>
      </c>
      <c r="AY892">
        <v>16</v>
      </c>
      <c r="AZ892" t="s">
        <v>24295</v>
      </c>
      <c r="BA892">
        <v>9.7799999999999998E-2</v>
      </c>
      <c r="BB892">
        <v>-5.0800000000000003E-3</v>
      </c>
      <c r="BC892">
        <v>2.8400000000000001E-3</v>
      </c>
      <c r="BD892">
        <v>-1.8000000000000001E-4</v>
      </c>
      <c r="BE892">
        <v>2.9080000000000002E-2</v>
      </c>
      <c r="BF892">
        <v>1</v>
      </c>
      <c r="BG892" t="s">
        <v>69</v>
      </c>
      <c r="BH892">
        <v>-0.27800000000000002</v>
      </c>
      <c r="BI892">
        <v>-0.503</v>
      </c>
    </row>
    <row r="893" spans="3:61">
      <c r="C893">
        <v>0</v>
      </c>
      <c r="D893">
        <v>10</v>
      </c>
      <c r="E893">
        <v>0</v>
      </c>
      <c r="F893" t="s">
        <v>25021</v>
      </c>
      <c r="G893">
        <v>592</v>
      </c>
      <c r="H893" t="s">
        <v>3811</v>
      </c>
      <c r="I893" t="s">
        <v>62</v>
      </c>
      <c r="J893">
        <v>620100</v>
      </c>
      <c r="K893">
        <v>621485</v>
      </c>
      <c r="L893" t="s">
        <v>3812</v>
      </c>
      <c r="M893">
        <v>462</v>
      </c>
      <c r="N893" t="s">
        <v>108</v>
      </c>
      <c r="O893">
        <v>44</v>
      </c>
      <c r="P893" t="str">
        <f>HYPERLINK("Gene592-zp_tree_all.dnd", "Gene592-tree")</f>
        <v>Gene592-tree</v>
      </c>
      <c r="Q893">
        <v>4</v>
      </c>
      <c r="R893">
        <v>9</v>
      </c>
      <c r="S893">
        <v>4</v>
      </c>
      <c r="T893">
        <v>9</v>
      </c>
      <c r="U893">
        <v>0.69230999999999998</v>
      </c>
      <c r="V893" t="s">
        <v>61</v>
      </c>
      <c r="W893" t="s">
        <v>135</v>
      </c>
      <c r="X893" t="s">
        <v>62</v>
      </c>
      <c r="Y893" t="s">
        <v>62</v>
      </c>
      <c r="Z893">
        <v>3</v>
      </c>
      <c r="AA893">
        <v>10</v>
      </c>
      <c r="AB893">
        <v>14</v>
      </c>
      <c r="AC893">
        <v>0.41666999999999998</v>
      </c>
      <c r="AD893" s="47">
        <v>0</v>
      </c>
      <c r="AE893" s="47">
        <v>0</v>
      </c>
      <c r="AF893" s="47">
        <v>0</v>
      </c>
      <c r="AG893" s="47">
        <v>0</v>
      </c>
      <c r="AH893" s="47">
        <v>0</v>
      </c>
      <c r="AI893" s="47">
        <v>7</v>
      </c>
      <c r="AJ893" s="47">
        <v>0</v>
      </c>
      <c r="AK893" s="47">
        <v>7</v>
      </c>
      <c r="AL893">
        <v>12</v>
      </c>
      <c r="AM893">
        <v>0.36842000000000003</v>
      </c>
      <c r="AN893">
        <v>12</v>
      </c>
      <c r="AO893">
        <v>10</v>
      </c>
      <c r="AP893">
        <v>69</v>
      </c>
      <c r="AQ893">
        <v>19</v>
      </c>
      <c r="AR893">
        <v>37</v>
      </c>
      <c r="AS893">
        <v>5</v>
      </c>
      <c r="AT893" t="s">
        <v>3813</v>
      </c>
      <c r="AU893" t="s">
        <v>3814</v>
      </c>
      <c r="AV893">
        <v>1.23</v>
      </c>
      <c r="AW893" t="s">
        <v>65</v>
      </c>
      <c r="AX893">
        <v>106</v>
      </c>
      <c r="AY893">
        <v>24</v>
      </c>
      <c r="AZ893" t="s">
        <v>3815</v>
      </c>
      <c r="BA893">
        <v>7.1459999999999996E-2</v>
      </c>
      <c r="BB893">
        <v>-2.14E-3</v>
      </c>
      <c r="BC893">
        <v>3.5300000000000002E-3</v>
      </c>
      <c r="BD893">
        <v>-1.8000000000000001E-4</v>
      </c>
      <c r="BE893">
        <v>4.9329999999999999E-2</v>
      </c>
      <c r="BF893">
        <v>1</v>
      </c>
      <c r="BG893" t="s">
        <v>69</v>
      </c>
      <c r="BH893">
        <v>-0.56100000000000005</v>
      </c>
      <c r="BI893">
        <v>-0.81599999999999995</v>
      </c>
    </row>
    <row r="894" spans="3:61">
      <c r="C894">
        <v>0</v>
      </c>
      <c r="D894">
        <v>8</v>
      </c>
      <c r="E894">
        <v>0</v>
      </c>
      <c r="F894" t="s">
        <v>25021</v>
      </c>
      <c r="G894">
        <v>1044</v>
      </c>
      <c r="H894" t="s">
        <v>6552</v>
      </c>
      <c r="I894" t="s">
        <v>62</v>
      </c>
      <c r="J894">
        <v>1081416</v>
      </c>
      <c r="K894">
        <v>1082804</v>
      </c>
      <c r="L894" t="s">
        <v>2569</v>
      </c>
      <c r="M894">
        <v>463</v>
      </c>
      <c r="N894" t="s">
        <v>108</v>
      </c>
      <c r="O894">
        <v>44</v>
      </c>
      <c r="P894" t="str">
        <f>HYPERLINK("Gene1044-zp_tree_all.dnd", "Gene1044-tree")</f>
        <v>Gene1044-tree</v>
      </c>
      <c r="Q894">
        <v>8</v>
      </c>
      <c r="R894">
        <v>9</v>
      </c>
      <c r="S894">
        <v>8</v>
      </c>
      <c r="T894">
        <v>9</v>
      </c>
      <c r="U894">
        <v>0.52941000000000005</v>
      </c>
      <c r="V894" t="s">
        <v>136</v>
      </c>
      <c r="W894" t="s">
        <v>135</v>
      </c>
      <c r="X894" t="s">
        <v>62</v>
      </c>
      <c r="Y894" t="s">
        <v>62</v>
      </c>
      <c r="Z894">
        <v>4</v>
      </c>
      <c r="AA894">
        <v>8</v>
      </c>
      <c r="AB894">
        <v>15</v>
      </c>
      <c r="AC894">
        <v>0.34782999999999997</v>
      </c>
      <c r="AD894" s="47">
        <v>0</v>
      </c>
      <c r="AE894" s="47">
        <v>0</v>
      </c>
      <c r="AF894" s="47">
        <v>0</v>
      </c>
      <c r="AG894" s="47">
        <v>2</v>
      </c>
      <c r="AH894" s="47">
        <v>0</v>
      </c>
      <c r="AI894" s="47">
        <v>4</v>
      </c>
      <c r="AJ894" s="47">
        <v>0</v>
      </c>
      <c r="AK894" s="47">
        <v>4</v>
      </c>
      <c r="AL894">
        <v>12</v>
      </c>
      <c r="AM894">
        <v>0.25</v>
      </c>
      <c r="AN894">
        <v>13</v>
      </c>
      <c r="AO894">
        <v>11</v>
      </c>
      <c r="AP894">
        <v>45</v>
      </c>
      <c r="AQ894">
        <v>15</v>
      </c>
      <c r="AR894">
        <v>25</v>
      </c>
      <c r="AS894">
        <v>8</v>
      </c>
      <c r="AT894" t="s">
        <v>6553</v>
      </c>
      <c r="AU894" t="s">
        <v>6554</v>
      </c>
      <c r="AV894">
        <v>0.05</v>
      </c>
      <c r="AW894" t="s">
        <v>65</v>
      </c>
      <c r="AX894">
        <v>70</v>
      </c>
      <c r="AY894">
        <v>23</v>
      </c>
      <c r="AZ894" t="s">
        <v>6555</v>
      </c>
      <c r="BA894">
        <v>3.0980000000000001E-2</v>
      </c>
      <c r="BB894">
        <v>-1.0300000000000001E-3</v>
      </c>
      <c r="BC894">
        <v>3.82E-3</v>
      </c>
      <c r="BD894">
        <v>-1.6000000000000001E-4</v>
      </c>
      <c r="BE894">
        <v>0.12333</v>
      </c>
      <c r="BF894">
        <v>1</v>
      </c>
      <c r="BG894" t="s">
        <v>69</v>
      </c>
      <c r="BH894">
        <v>-0.41599999999999998</v>
      </c>
      <c r="BI894">
        <v>-1.5249999999999999</v>
      </c>
    </row>
    <row r="895" spans="3:61">
      <c r="C895">
        <v>0</v>
      </c>
      <c r="D895">
        <v>0</v>
      </c>
      <c r="E895">
        <v>0</v>
      </c>
      <c r="F895" t="s">
        <v>25021</v>
      </c>
      <c r="G895">
        <v>1906</v>
      </c>
      <c r="H895" t="s">
        <v>11935</v>
      </c>
      <c r="I895" t="s">
        <v>62</v>
      </c>
      <c r="J895">
        <v>2000963</v>
      </c>
      <c r="K895">
        <v>2002351</v>
      </c>
      <c r="L895" t="s">
        <v>11936</v>
      </c>
      <c r="M895">
        <v>463</v>
      </c>
      <c r="N895" t="s">
        <v>108</v>
      </c>
      <c r="O895">
        <v>44</v>
      </c>
      <c r="P895" t="str">
        <f>HYPERLINK("Gene1906-zp_tree_all.dnd", "Gene1906-tree")</f>
        <v>Gene1906-tree</v>
      </c>
      <c r="Q895">
        <v>10</v>
      </c>
      <c r="R895">
        <v>4</v>
      </c>
      <c r="S895">
        <v>10</v>
      </c>
      <c r="T895">
        <v>4</v>
      </c>
      <c r="U895">
        <v>0.28571000000000002</v>
      </c>
      <c r="V895" t="s">
        <v>117</v>
      </c>
      <c r="W895" t="s">
        <v>61</v>
      </c>
      <c r="X895" t="s">
        <v>62</v>
      </c>
      <c r="Y895" t="s">
        <v>62</v>
      </c>
      <c r="Z895">
        <v>0</v>
      </c>
      <c r="AA895">
        <v>0</v>
      </c>
      <c r="AB895">
        <v>5</v>
      </c>
      <c r="AC895">
        <v>0</v>
      </c>
      <c r="AD895" s="47">
        <v>0</v>
      </c>
      <c r="AE895" s="47">
        <v>0</v>
      </c>
      <c r="AF895" s="47">
        <v>0</v>
      </c>
      <c r="AG895" s="47">
        <v>0</v>
      </c>
      <c r="AH895" s="47">
        <v>0</v>
      </c>
      <c r="AI895" s="47">
        <v>0</v>
      </c>
      <c r="AJ895" s="47">
        <v>0</v>
      </c>
      <c r="AK895" s="47">
        <v>0</v>
      </c>
      <c r="AL895">
        <v>5</v>
      </c>
      <c r="AM895">
        <v>0</v>
      </c>
      <c r="AN895">
        <v>12</v>
      </c>
      <c r="AO895">
        <v>11</v>
      </c>
      <c r="AP895">
        <v>39</v>
      </c>
      <c r="AQ895">
        <v>5</v>
      </c>
      <c r="AR895">
        <v>30</v>
      </c>
      <c r="AS895">
        <v>0</v>
      </c>
      <c r="AT895" t="s">
        <v>11937</v>
      </c>
      <c r="AU895" t="s">
        <v>193</v>
      </c>
      <c r="AV895">
        <v>1.292</v>
      </c>
      <c r="AW895" t="s">
        <v>65</v>
      </c>
      <c r="AX895">
        <v>69</v>
      </c>
      <c r="AY895">
        <v>5</v>
      </c>
      <c r="AZ895" t="s">
        <v>11938</v>
      </c>
      <c r="BA895">
        <v>3.6400000000000002E-2</v>
      </c>
      <c r="BB895">
        <v>-1.07E-3</v>
      </c>
      <c r="BC895">
        <v>7.1000000000000002E-4</v>
      </c>
      <c r="BD895">
        <v>-8.0000000000000007E-5</v>
      </c>
      <c r="BE895">
        <v>1.949E-2</v>
      </c>
      <c r="BF895">
        <v>1</v>
      </c>
      <c r="BG895" t="s">
        <v>69</v>
      </c>
      <c r="BH895">
        <v>-0.66</v>
      </c>
      <c r="BI895">
        <v>-0.71</v>
      </c>
    </row>
    <row r="896" spans="3:61">
      <c r="C896">
        <v>0</v>
      </c>
      <c r="D896">
        <v>11</v>
      </c>
      <c r="E896">
        <v>0</v>
      </c>
      <c r="F896" t="s">
        <v>25021</v>
      </c>
      <c r="G896">
        <v>4150</v>
      </c>
      <c r="H896" t="s">
        <v>24430</v>
      </c>
      <c r="I896" t="s">
        <v>57</v>
      </c>
      <c r="J896">
        <v>4117080</v>
      </c>
      <c r="K896">
        <v>4118483</v>
      </c>
      <c r="L896" t="s">
        <v>24431</v>
      </c>
      <c r="M896">
        <v>468</v>
      </c>
      <c r="N896" t="s">
        <v>160</v>
      </c>
      <c r="O896">
        <v>45</v>
      </c>
      <c r="P896" t="str">
        <f>HYPERLINK("Gene4150-zp_tree_all.dnd", "Gene4150-tree")</f>
        <v>Gene4150-tree</v>
      </c>
      <c r="Q896">
        <v>28</v>
      </c>
      <c r="R896">
        <v>9</v>
      </c>
      <c r="S896">
        <v>11</v>
      </c>
      <c r="T896">
        <v>9</v>
      </c>
      <c r="U896">
        <v>0.45</v>
      </c>
      <c r="V896" t="s">
        <v>4050</v>
      </c>
      <c r="W896" t="s">
        <v>135</v>
      </c>
      <c r="X896" t="s">
        <v>62</v>
      </c>
      <c r="Y896" t="s">
        <v>62</v>
      </c>
      <c r="Z896">
        <v>4</v>
      </c>
      <c r="AA896">
        <v>11</v>
      </c>
      <c r="AB896">
        <v>20</v>
      </c>
      <c r="AC896">
        <v>0.35483999999999999</v>
      </c>
      <c r="AD896" s="47">
        <v>0</v>
      </c>
      <c r="AE896" s="47">
        <v>0</v>
      </c>
      <c r="AF896" s="47">
        <v>0</v>
      </c>
      <c r="AG896" s="47">
        <v>0</v>
      </c>
      <c r="AH896" s="47">
        <v>0</v>
      </c>
      <c r="AI896" s="47">
        <v>2</v>
      </c>
      <c r="AJ896" s="47">
        <v>0</v>
      </c>
      <c r="AK896" s="47">
        <v>2</v>
      </c>
      <c r="AL896">
        <v>18</v>
      </c>
      <c r="AM896">
        <v>0.1</v>
      </c>
      <c r="AN896">
        <v>18</v>
      </c>
      <c r="AO896">
        <v>14</v>
      </c>
      <c r="AP896">
        <v>113</v>
      </c>
      <c r="AQ896">
        <v>20</v>
      </c>
      <c r="AR896">
        <v>32</v>
      </c>
      <c r="AS896">
        <v>11</v>
      </c>
      <c r="AT896" t="s">
        <v>24432</v>
      </c>
      <c r="AU896" t="s">
        <v>24433</v>
      </c>
      <c r="AV896">
        <v>0.621</v>
      </c>
      <c r="AW896" t="s">
        <v>65</v>
      </c>
      <c r="AX896">
        <v>145</v>
      </c>
      <c r="AY896">
        <v>31</v>
      </c>
      <c r="AZ896" t="s">
        <v>24434</v>
      </c>
      <c r="BA896">
        <v>5.706E-2</v>
      </c>
      <c r="BB896">
        <v>-3.3600000000000001E-3</v>
      </c>
      <c r="BC896">
        <v>3.96E-3</v>
      </c>
      <c r="BD896">
        <v>-1.7000000000000001E-4</v>
      </c>
      <c r="BE896">
        <v>6.9430000000000006E-2</v>
      </c>
      <c r="BF896">
        <v>1</v>
      </c>
      <c r="BG896" t="s">
        <v>69</v>
      </c>
      <c r="BH896">
        <v>-1.038</v>
      </c>
      <c r="BI896">
        <v>-2.6139999999999999</v>
      </c>
    </row>
    <row r="897" spans="3:61">
      <c r="C897">
        <v>0</v>
      </c>
      <c r="D897">
        <v>33</v>
      </c>
      <c r="E897">
        <v>6</v>
      </c>
      <c r="F897" t="s">
        <v>25021</v>
      </c>
      <c r="G897">
        <v>983</v>
      </c>
      <c r="H897" t="s">
        <v>6164</v>
      </c>
      <c r="I897" t="s">
        <v>62</v>
      </c>
      <c r="J897">
        <v>1026258</v>
      </c>
      <c r="K897">
        <v>1027664</v>
      </c>
      <c r="L897" t="s">
        <v>2441</v>
      </c>
      <c r="M897">
        <v>469</v>
      </c>
      <c r="N897" t="s">
        <v>108</v>
      </c>
      <c r="O897">
        <v>44</v>
      </c>
      <c r="P897" t="str">
        <f>HYPERLINK("Gene983-zp_tree_all.dnd", "Gene983-tree")</f>
        <v>Gene983-tree</v>
      </c>
      <c r="Q897">
        <v>2</v>
      </c>
      <c r="R897">
        <v>13</v>
      </c>
      <c r="S897">
        <v>2</v>
      </c>
      <c r="T897">
        <v>13</v>
      </c>
      <c r="U897">
        <v>0.86667000000000005</v>
      </c>
      <c r="V897" t="s">
        <v>81</v>
      </c>
      <c r="W897" t="s">
        <v>507</v>
      </c>
      <c r="X897" t="s">
        <v>62</v>
      </c>
      <c r="Y897" t="s">
        <v>62</v>
      </c>
      <c r="Z897">
        <v>15</v>
      </c>
      <c r="AA897">
        <v>39</v>
      </c>
      <c r="AB897">
        <v>28</v>
      </c>
      <c r="AC897">
        <v>0.58209</v>
      </c>
      <c r="AD897" s="47">
        <v>0</v>
      </c>
      <c r="AE897" s="47">
        <v>0</v>
      </c>
      <c r="AF897" s="47">
        <v>0</v>
      </c>
      <c r="AG897" s="47">
        <v>0</v>
      </c>
      <c r="AH897" s="47">
        <v>0</v>
      </c>
      <c r="AI897" s="47">
        <v>15</v>
      </c>
      <c r="AJ897" s="47">
        <v>5</v>
      </c>
      <c r="AK897" s="47">
        <v>20</v>
      </c>
      <c r="AL897">
        <v>22</v>
      </c>
      <c r="AM897">
        <v>0.47619</v>
      </c>
      <c r="AN897">
        <v>13</v>
      </c>
      <c r="AO897">
        <v>12</v>
      </c>
      <c r="AP897">
        <v>62</v>
      </c>
      <c r="AQ897">
        <v>42</v>
      </c>
      <c r="AR897">
        <v>34</v>
      </c>
      <c r="AS897">
        <v>25</v>
      </c>
      <c r="AT897" t="s">
        <v>6165</v>
      </c>
      <c r="AU897" t="s">
        <v>6166</v>
      </c>
      <c r="AV897">
        <v>0.13800000000000001</v>
      </c>
      <c r="AW897" t="s">
        <v>65</v>
      </c>
      <c r="AX897">
        <v>96</v>
      </c>
      <c r="AY897">
        <v>67</v>
      </c>
      <c r="AZ897" t="s">
        <v>6167</v>
      </c>
      <c r="BA897">
        <v>4.7960000000000003E-2</v>
      </c>
      <c r="BB897">
        <v>-1.74E-3</v>
      </c>
      <c r="BC897">
        <v>1.051E-2</v>
      </c>
      <c r="BD897">
        <v>-3.1E-4</v>
      </c>
      <c r="BE897">
        <v>0.21915000000000001</v>
      </c>
      <c r="BF897">
        <v>1</v>
      </c>
      <c r="BG897" t="s">
        <v>69</v>
      </c>
      <c r="BH897">
        <v>-0.67500000000000004</v>
      </c>
      <c r="BI897">
        <v>-1.5489999999999999</v>
      </c>
    </row>
    <row r="898" spans="3:61">
      <c r="C898">
        <v>0</v>
      </c>
      <c r="D898">
        <v>2</v>
      </c>
      <c r="E898">
        <v>0</v>
      </c>
      <c r="F898" t="s">
        <v>25021</v>
      </c>
      <c r="G898">
        <v>664</v>
      </c>
      <c r="H898" t="s">
        <v>4133</v>
      </c>
      <c r="I898" t="s">
        <v>62</v>
      </c>
      <c r="J898">
        <v>685158</v>
      </c>
      <c r="K898">
        <v>686564</v>
      </c>
      <c r="L898" t="s">
        <v>4134</v>
      </c>
      <c r="M898">
        <v>469</v>
      </c>
      <c r="N898" t="s">
        <v>4013</v>
      </c>
      <c r="O898">
        <v>43</v>
      </c>
      <c r="P898" t="str">
        <f>HYPERLINK("Gene664-zp_tree_all.dnd", "Gene664-tree")</f>
        <v>Gene664-tree</v>
      </c>
      <c r="Q898">
        <v>11</v>
      </c>
      <c r="R898">
        <v>4</v>
      </c>
      <c r="S898">
        <v>11</v>
      </c>
      <c r="T898">
        <v>4</v>
      </c>
      <c r="U898">
        <v>0.26667000000000002</v>
      </c>
      <c r="V898" t="s">
        <v>73</v>
      </c>
      <c r="W898" t="s">
        <v>61</v>
      </c>
      <c r="X898" t="s">
        <v>62</v>
      </c>
      <c r="Y898" t="s">
        <v>62</v>
      </c>
      <c r="Z898">
        <v>1</v>
      </c>
      <c r="AA898">
        <v>2</v>
      </c>
      <c r="AB898">
        <v>9</v>
      </c>
      <c r="AC898">
        <v>0.18182000000000001</v>
      </c>
      <c r="AD898" s="47">
        <v>0</v>
      </c>
      <c r="AE898" s="47">
        <v>0</v>
      </c>
      <c r="AF898" s="47">
        <v>0</v>
      </c>
      <c r="AG898" s="47">
        <v>0</v>
      </c>
      <c r="AH898" s="47">
        <v>0</v>
      </c>
      <c r="AI898" s="47">
        <v>0</v>
      </c>
      <c r="AJ898" s="47">
        <v>0</v>
      </c>
      <c r="AK898" s="47">
        <v>0</v>
      </c>
      <c r="AL898">
        <v>10</v>
      </c>
      <c r="AM898">
        <v>0</v>
      </c>
      <c r="AN898">
        <v>13</v>
      </c>
      <c r="AO898">
        <v>11</v>
      </c>
      <c r="AP898">
        <v>51</v>
      </c>
      <c r="AQ898">
        <v>10</v>
      </c>
      <c r="AR898">
        <v>18</v>
      </c>
      <c r="AS898">
        <v>1</v>
      </c>
      <c r="AT898" t="s">
        <v>4135</v>
      </c>
      <c r="AU898" t="s">
        <v>4136</v>
      </c>
      <c r="AV898">
        <v>0.38200000000000001</v>
      </c>
      <c r="AW898" t="s">
        <v>65</v>
      </c>
      <c r="AX898">
        <v>69</v>
      </c>
      <c r="AY898">
        <v>11</v>
      </c>
      <c r="AZ898" t="s">
        <v>4137</v>
      </c>
      <c r="BA898">
        <v>3.177E-2</v>
      </c>
      <c r="BB898">
        <v>-1.7600000000000001E-3</v>
      </c>
      <c r="BC898">
        <v>1.4599999999999999E-3</v>
      </c>
      <c r="BD898">
        <v>-1.9000000000000001E-4</v>
      </c>
      <c r="BE898">
        <v>4.6100000000000002E-2</v>
      </c>
      <c r="BF898">
        <v>1</v>
      </c>
      <c r="BG898" t="s">
        <v>69</v>
      </c>
      <c r="BH898">
        <v>-0.88700000000000001</v>
      </c>
      <c r="BI898">
        <v>-1.9319999999999999</v>
      </c>
    </row>
    <row r="899" spans="3:61">
      <c r="C899">
        <v>2</v>
      </c>
      <c r="D899">
        <v>13</v>
      </c>
      <c r="E899">
        <v>5</v>
      </c>
      <c r="F899" t="s">
        <v>25021</v>
      </c>
      <c r="G899">
        <v>240</v>
      </c>
      <c r="H899" t="s">
        <v>1629</v>
      </c>
      <c r="I899" t="s">
        <v>62</v>
      </c>
      <c r="J899">
        <v>260126</v>
      </c>
      <c r="K899">
        <v>261535</v>
      </c>
      <c r="L899" t="s">
        <v>1630</v>
      </c>
      <c r="M899">
        <v>470</v>
      </c>
      <c r="N899" t="s">
        <v>108</v>
      </c>
      <c r="O899">
        <v>44</v>
      </c>
      <c r="P899" t="str">
        <f>HYPERLINK("Gene240-zp_tree_all.dnd", "Gene240-tree")</f>
        <v>Gene240-tree</v>
      </c>
      <c r="Q899">
        <v>1</v>
      </c>
      <c r="R899">
        <v>12</v>
      </c>
      <c r="S899">
        <v>1</v>
      </c>
      <c r="T899">
        <v>12</v>
      </c>
      <c r="U899">
        <v>0.92308000000000001</v>
      </c>
      <c r="V899" t="s">
        <v>175</v>
      </c>
      <c r="W899" t="s">
        <v>109</v>
      </c>
      <c r="X899" t="s">
        <v>62</v>
      </c>
      <c r="Y899" t="s">
        <v>62</v>
      </c>
      <c r="Z899">
        <v>7</v>
      </c>
      <c r="AA899">
        <v>20</v>
      </c>
      <c r="AB899">
        <v>11</v>
      </c>
      <c r="AC899">
        <v>0.64515999999999996</v>
      </c>
      <c r="AD899" s="47">
        <v>0</v>
      </c>
      <c r="AE899" s="47">
        <v>0</v>
      </c>
      <c r="AF899" s="47">
        <v>0</v>
      </c>
      <c r="AG899" s="47">
        <v>0</v>
      </c>
      <c r="AH899" s="47">
        <v>0</v>
      </c>
      <c r="AI899" s="47">
        <v>10</v>
      </c>
      <c r="AJ899" s="47">
        <v>5</v>
      </c>
      <c r="AK899" s="47">
        <v>15</v>
      </c>
      <c r="AL899">
        <v>10</v>
      </c>
      <c r="AM899">
        <v>0.6</v>
      </c>
      <c r="AN899">
        <v>13</v>
      </c>
      <c r="AO899">
        <v>9</v>
      </c>
      <c r="AP899">
        <v>71</v>
      </c>
      <c r="AQ899">
        <v>26</v>
      </c>
      <c r="AR899">
        <v>20</v>
      </c>
      <c r="AS899">
        <v>6</v>
      </c>
      <c r="AT899" t="s">
        <v>1631</v>
      </c>
      <c r="AU899" t="s">
        <v>1632</v>
      </c>
      <c r="AV899">
        <v>0.36499999999999999</v>
      </c>
      <c r="AW899" t="s">
        <v>65</v>
      </c>
      <c r="AX899">
        <v>91</v>
      </c>
      <c r="AY899">
        <v>32</v>
      </c>
      <c r="AZ899" t="s">
        <v>1633</v>
      </c>
      <c r="BA899">
        <v>4.4249999999999998E-2</v>
      </c>
      <c r="BB899">
        <v>-1.89E-3</v>
      </c>
      <c r="BC899">
        <v>5.1500000000000001E-3</v>
      </c>
      <c r="BD899">
        <v>-2.1000000000000001E-4</v>
      </c>
      <c r="BE899">
        <v>0.11642</v>
      </c>
      <c r="BF899">
        <v>1</v>
      </c>
      <c r="BG899" t="s">
        <v>69</v>
      </c>
      <c r="BH899">
        <v>-0.78400000000000003</v>
      </c>
      <c r="BI899">
        <v>-1.1359999999999999</v>
      </c>
    </row>
    <row r="900" spans="3:61">
      <c r="C900">
        <v>2</v>
      </c>
      <c r="D900">
        <v>20</v>
      </c>
      <c r="E900">
        <v>1</v>
      </c>
      <c r="F900" t="s">
        <v>25021</v>
      </c>
      <c r="G900">
        <v>2985</v>
      </c>
      <c r="H900" t="s">
        <v>17227</v>
      </c>
      <c r="I900" t="s">
        <v>57</v>
      </c>
      <c r="J900">
        <v>2933185</v>
      </c>
      <c r="K900">
        <v>2934594</v>
      </c>
      <c r="L900" t="s">
        <v>17228</v>
      </c>
      <c r="M900">
        <v>470</v>
      </c>
      <c r="N900" t="s">
        <v>108</v>
      </c>
      <c r="O900">
        <v>44</v>
      </c>
      <c r="P900" t="str">
        <f>HYPERLINK("Gene2985-zp_tree_all.dnd", "Gene2985-tree")</f>
        <v>Gene2985-tree</v>
      </c>
      <c r="Q900">
        <v>4</v>
      </c>
      <c r="R900">
        <v>10</v>
      </c>
      <c r="S900">
        <v>4</v>
      </c>
      <c r="T900">
        <v>10</v>
      </c>
      <c r="U900">
        <v>0.71428999999999998</v>
      </c>
      <c r="V900" t="s">
        <v>61</v>
      </c>
      <c r="W900" t="s">
        <v>117</v>
      </c>
      <c r="X900" t="s">
        <v>62</v>
      </c>
      <c r="Y900" t="s">
        <v>62</v>
      </c>
      <c r="Z900">
        <v>8</v>
      </c>
      <c r="AA900">
        <v>23</v>
      </c>
      <c r="AB900">
        <v>18</v>
      </c>
      <c r="AC900">
        <v>0.56098000000000003</v>
      </c>
      <c r="AD900" s="47">
        <v>0</v>
      </c>
      <c r="AE900" s="47">
        <v>0</v>
      </c>
      <c r="AF900" s="47">
        <v>0</v>
      </c>
      <c r="AG900" s="47">
        <v>0</v>
      </c>
      <c r="AH900" s="47">
        <v>0</v>
      </c>
      <c r="AI900" s="47">
        <v>8</v>
      </c>
      <c r="AJ900" s="47">
        <v>2</v>
      </c>
      <c r="AK900" s="47">
        <v>10</v>
      </c>
      <c r="AL900">
        <v>14</v>
      </c>
      <c r="AM900">
        <v>0.41666999999999998</v>
      </c>
      <c r="AN900">
        <v>13</v>
      </c>
      <c r="AO900">
        <v>10</v>
      </c>
      <c r="AP900">
        <v>102</v>
      </c>
      <c r="AQ900">
        <v>25</v>
      </c>
      <c r="AR900">
        <v>71</v>
      </c>
      <c r="AS900">
        <v>17</v>
      </c>
      <c r="AT900" t="s">
        <v>17229</v>
      </c>
      <c r="AU900" t="s">
        <v>17230</v>
      </c>
      <c r="AV900">
        <v>3.3000000000000002E-2</v>
      </c>
      <c r="AW900" t="s">
        <v>65</v>
      </c>
      <c r="AX900">
        <v>173</v>
      </c>
      <c r="AY900">
        <v>42</v>
      </c>
      <c r="AZ900" t="s">
        <v>17231</v>
      </c>
      <c r="BA900">
        <v>9.9580000000000002E-2</v>
      </c>
      <c r="BB900">
        <v>-3.5300000000000002E-3</v>
      </c>
      <c r="BC900">
        <v>8.0999999999999996E-3</v>
      </c>
      <c r="BD900">
        <v>-4.0999999999999999E-4</v>
      </c>
      <c r="BE900">
        <v>8.1290000000000001E-2</v>
      </c>
      <c r="BF900">
        <v>1</v>
      </c>
      <c r="BG900" t="s">
        <v>69</v>
      </c>
      <c r="BH900">
        <v>0.38200000000000001</v>
      </c>
      <c r="BI900">
        <v>2.9000000000000001E-2</v>
      </c>
    </row>
    <row r="901" spans="3:61">
      <c r="C901">
        <v>0</v>
      </c>
      <c r="D901">
        <v>0</v>
      </c>
      <c r="E901">
        <v>2</v>
      </c>
      <c r="F901" t="s">
        <v>25021</v>
      </c>
      <c r="G901">
        <v>390</v>
      </c>
      <c r="H901" t="s">
        <v>2640</v>
      </c>
      <c r="I901" t="s">
        <v>62</v>
      </c>
      <c r="J901">
        <v>436039</v>
      </c>
      <c r="K901">
        <v>437454</v>
      </c>
      <c r="L901" t="s">
        <v>2641</v>
      </c>
      <c r="M901">
        <v>472</v>
      </c>
      <c r="N901" t="s">
        <v>108</v>
      </c>
      <c r="O901">
        <v>44</v>
      </c>
      <c r="P901" t="str">
        <f>HYPERLINK("Gene390-zp_tree_all.dnd", "Gene390-tree")</f>
        <v>Gene390-tree</v>
      </c>
      <c r="Q901">
        <v>7</v>
      </c>
      <c r="R901">
        <v>9</v>
      </c>
      <c r="S901">
        <v>7</v>
      </c>
      <c r="T901">
        <v>9</v>
      </c>
      <c r="U901">
        <v>0.5625</v>
      </c>
      <c r="V901" t="s">
        <v>152</v>
      </c>
      <c r="W901" t="s">
        <v>135</v>
      </c>
      <c r="X901" t="s">
        <v>62</v>
      </c>
      <c r="Y901" t="s">
        <v>62</v>
      </c>
      <c r="Z901">
        <v>1</v>
      </c>
      <c r="AA901">
        <v>2</v>
      </c>
      <c r="AB901">
        <v>9</v>
      </c>
      <c r="AC901">
        <v>0.18182000000000001</v>
      </c>
      <c r="AD901" s="47">
        <v>0</v>
      </c>
      <c r="AE901" s="47">
        <v>0</v>
      </c>
      <c r="AF901" s="47">
        <v>0</v>
      </c>
      <c r="AG901" s="47">
        <v>0</v>
      </c>
      <c r="AH901" s="47">
        <v>0</v>
      </c>
      <c r="AI901" s="47">
        <v>0</v>
      </c>
      <c r="AJ901" s="47">
        <v>2</v>
      </c>
      <c r="AK901" s="47">
        <v>2</v>
      </c>
      <c r="AL901">
        <v>8</v>
      </c>
      <c r="AM901">
        <v>0.2</v>
      </c>
      <c r="AN901">
        <v>12</v>
      </c>
      <c r="AO901">
        <v>11</v>
      </c>
      <c r="AP901">
        <v>55</v>
      </c>
      <c r="AQ901">
        <v>9</v>
      </c>
      <c r="AR901">
        <v>20</v>
      </c>
      <c r="AS901">
        <v>2</v>
      </c>
      <c r="AT901" t="s">
        <v>2642</v>
      </c>
      <c r="AU901" t="s">
        <v>2643</v>
      </c>
      <c r="AV901">
        <v>0.39200000000000002</v>
      </c>
      <c r="AW901" t="s">
        <v>65</v>
      </c>
      <c r="AX901">
        <v>75</v>
      </c>
      <c r="AY901">
        <v>11</v>
      </c>
      <c r="AZ901" t="s">
        <v>2644</v>
      </c>
      <c r="BA901">
        <v>3.2190000000000003E-2</v>
      </c>
      <c r="BB901">
        <v>-1.41E-3</v>
      </c>
      <c r="BC901">
        <v>1.5499999999999999E-3</v>
      </c>
      <c r="BD901">
        <v>-6.9999999999999994E-5</v>
      </c>
      <c r="BE901">
        <v>4.8210000000000003E-2</v>
      </c>
      <c r="BF901">
        <v>1</v>
      </c>
      <c r="BG901" t="s">
        <v>69</v>
      </c>
      <c r="BH901">
        <v>-1.2070000000000001</v>
      </c>
      <c r="BI901">
        <v>-2.2400000000000002</v>
      </c>
    </row>
    <row r="902" spans="3:61">
      <c r="C902">
        <v>0</v>
      </c>
      <c r="D902">
        <v>13</v>
      </c>
      <c r="E902">
        <v>2</v>
      </c>
      <c r="F902" t="s">
        <v>25021</v>
      </c>
      <c r="G902">
        <v>3571</v>
      </c>
      <c r="H902" t="s">
        <v>20943</v>
      </c>
      <c r="I902" t="s">
        <v>57</v>
      </c>
      <c r="J902">
        <v>3536012</v>
      </c>
      <c r="K902">
        <v>3537430</v>
      </c>
      <c r="L902" t="s">
        <v>20944</v>
      </c>
      <c r="M902">
        <v>473</v>
      </c>
      <c r="N902" t="s">
        <v>59</v>
      </c>
      <c r="O902">
        <v>49</v>
      </c>
      <c r="P902" t="str">
        <f>HYPERLINK("Gene3571-zp_tree_all.dnd", "Gene3571-tree")</f>
        <v>Gene3571-tree</v>
      </c>
      <c r="Q902">
        <v>10</v>
      </c>
      <c r="R902">
        <v>12</v>
      </c>
      <c r="S902">
        <v>10</v>
      </c>
      <c r="T902">
        <v>12</v>
      </c>
      <c r="U902">
        <v>0.54544999999999999</v>
      </c>
      <c r="V902" t="s">
        <v>117</v>
      </c>
      <c r="W902" t="s">
        <v>109</v>
      </c>
      <c r="X902" t="s">
        <v>62</v>
      </c>
      <c r="Y902" t="s">
        <v>62</v>
      </c>
      <c r="Z902">
        <v>5</v>
      </c>
      <c r="AA902">
        <v>15</v>
      </c>
      <c r="AB902">
        <v>20</v>
      </c>
      <c r="AC902">
        <v>0.42857000000000001</v>
      </c>
      <c r="AD902" s="47">
        <v>0</v>
      </c>
      <c r="AE902" s="47">
        <v>0</v>
      </c>
      <c r="AF902" s="47">
        <v>0</v>
      </c>
      <c r="AG902" s="47">
        <v>2</v>
      </c>
      <c r="AH902" s="47">
        <v>0</v>
      </c>
      <c r="AI902" s="47">
        <v>7</v>
      </c>
      <c r="AJ902" s="47">
        <v>1</v>
      </c>
      <c r="AK902" s="47">
        <v>8</v>
      </c>
      <c r="AL902">
        <v>12</v>
      </c>
      <c r="AM902">
        <v>0.4</v>
      </c>
      <c r="AN902">
        <v>16</v>
      </c>
      <c r="AO902">
        <v>18</v>
      </c>
      <c r="AP902">
        <v>90</v>
      </c>
      <c r="AQ902">
        <v>19</v>
      </c>
      <c r="AR902">
        <v>134</v>
      </c>
      <c r="AS902">
        <v>17</v>
      </c>
      <c r="AT902" t="s">
        <v>20945</v>
      </c>
      <c r="AU902" t="s">
        <v>20946</v>
      </c>
      <c r="AV902">
        <v>0.60399999999999998</v>
      </c>
      <c r="AW902" t="s">
        <v>65</v>
      </c>
      <c r="AX902">
        <v>224</v>
      </c>
      <c r="AY902">
        <v>36</v>
      </c>
      <c r="AZ902" t="s">
        <v>20947</v>
      </c>
      <c r="BA902">
        <v>0.11913</v>
      </c>
      <c r="BB902">
        <v>-4.6899999999999997E-3</v>
      </c>
      <c r="BC902">
        <v>4.9699999999999996E-3</v>
      </c>
      <c r="BD902">
        <v>-2.4000000000000001E-4</v>
      </c>
      <c r="BE902">
        <v>4.1750000000000002E-2</v>
      </c>
      <c r="BF902">
        <v>1</v>
      </c>
      <c r="BG902" t="s">
        <v>69</v>
      </c>
      <c r="BH902">
        <v>-0.90500000000000003</v>
      </c>
      <c r="BI902">
        <v>-0.61499999999999999</v>
      </c>
    </row>
    <row r="903" spans="3:61">
      <c r="C903">
        <v>0</v>
      </c>
      <c r="D903">
        <v>6</v>
      </c>
      <c r="E903">
        <v>0</v>
      </c>
      <c r="F903" t="s">
        <v>25021</v>
      </c>
      <c r="G903">
        <v>4080</v>
      </c>
      <c r="H903" t="s">
        <v>24016</v>
      </c>
      <c r="I903" t="s">
        <v>57</v>
      </c>
      <c r="J903">
        <v>4047538</v>
      </c>
      <c r="K903">
        <v>4048962</v>
      </c>
      <c r="L903" t="s">
        <v>24017</v>
      </c>
      <c r="M903">
        <v>475</v>
      </c>
      <c r="N903" t="s">
        <v>2289</v>
      </c>
      <c r="O903">
        <v>37</v>
      </c>
      <c r="P903" t="str">
        <f>HYPERLINK("Gene4080-zp_tree_all.dnd", "Gene4080-tree")</f>
        <v>Gene4080-tree</v>
      </c>
      <c r="Q903">
        <v>7</v>
      </c>
      <c r="R903">
        <v>8</v>
      </c>
      <c r="S903">
        <v>7</v>
      </c>
      <c r="T903">
        <v>8</v>
      </c>
      <c r="U903">
        <v>0.53332999999999997</v>
      </c>
      <c r="V903" t="s">
        <v>152</v>
      </c>
      <c r="W903" t="s">
        <v>136</v>
      </c>
      <c r="X903" t="s">
        <v>62</v>
      </c>
      <c r="Y903" t="s">
        <v>62</v>
      </c>
      <c r="Z903">
        <v>2</v>
      </c>
      <c r="AA903">
        <v>6</v>
      </c>
      <c r="AB903">
        <v>8</v>
      </c>
      <c r="AC903">
        <v>0.42857000000000001</v>
      </c>
      <c r="AD903" s="47">
        <v>0</v>
      </c>
      <c r="AE903" s="47">
        <v>0</v>
      </c>
      <c r="AF903" s="47">
        <v>0</v>
      </c>
      <c r="AG903" s="47">
        <v>0</v>
      </c>
      <c r="AH903" s="47">
        <v>0</v>
      </c>
      <c r="AI903" s="47">
        <v>2</v>
      </c>
      <c r="AJ903" s="47">
        <v>0</v>
      </c>
      <c r="AK903" s="47">
        <v>2</v>
      </c>
      <c r="AL903">
        <v>7</v>
      </c>
      <c r="AM903">
        <v>0.22222</v>
      </c>
      <c r="AN903">
        <v>14</v>
      </c>
      <c r="AO903">
        <v>11</v>
      </c>
      <c r="AP903">
        <v>82</v>
      </c>
      <c r="AQ903">
        <v>9</v>
      </c>
      <c r="AR903">
        <v>35</v>
      </c>
      <c r="AS903">
        <v>5</v>
      </c>
      <c r="AT903" t="s">
        <v>24018</v>
      </c>
      <c r="AU903" t="s">
        <v>24019</v>
      </c>
      <c r="AV903">
        <v>0.29299999999999998</v>
      </c>
      <c r="AW903" t="s">
        <v>65</v>
      </c>
      <c r="AX903">
        <v>117</v>
      </c>
      <c r="AY903">
        <v>14</v>
      </c>
      <c r="AZ903" t="s">
        <v>24020</v>
      </c>
      <c r="BA903">
        <v>5.7729999999999997E-2</v>
      </c>
      <c r="BB903">
        <v>-2.1099999999999999E-3</v>
      </c>
      <c r="BC903">
        <v>2E-3</v>
      </c>
      <c r="BD903">
        <v>-9.0000000000000006E-5</v>
      </c>
      <c r="BE903">
        <v>3.4709999999999998E-2</v>
      </c>
      <c r="BF903">
        <v>1</v>
      </c>
      <c r="BG903" t="s">
        <v>69</v>
      </c>
      <c r="BH903">
        <v>-0.64700000000000002</v>
      </c>
      <c r="BI903">
        <v>-1.7150000000000001</v>
      </c>
    </row>
    <row r="904" spans="3:61">
      <c r="C904">
        <v>0</v>
      </c>
      <c r="D904">
        <v>27</v>
      </c>
      <c r="E904">
        <v>1</v>
      </c>
      <c r="F904" t="s">
        <v>25021</v>
      </c>
      <c r="G904">
        <v>1981</v>
      </c>
      <c r="H904" t="s">
        <v>12334</v>
      </c>
      <c r="I904" t="s">
        <v>57</v>
      </c>
      <c r="J904">
        <v>2074343</v>
      </c>
      <c r="K904">
        <v>2075776</v>
      </c>
      <c r="L904" t="s">
        <v>12335</v>
      </c>
      <c r="M904">
        <v>478</v>
      </c>
      <c r="N904" t="s">
        <v>108</v>
      </c>
      <c r="O904">
        <v>44</v>
      </c>
      <c r="P904" t="str">
        <f>HYPERLINK("Gene1981-zp_tree_all.dnd", "Gene1981-tree")</f>
        <v>Gene1981-tree</v>
      </c>
      <c r="Q904">
        <v>3</v>
      </c>
      <c r="R904">
        <v>10</v>
      </c>
      <c r="S904">
        <v>3</v>
      </c>
      <c r="T904">
        <v>10</v>
      </c>
      <c r="U904">
        <v>0.76922999999999997</v>
      </c>
      <c r="V904" t="s">
        <v>324</v>
      </c>
      <c r="W904" t="s">
        <v>117</v>
      </c>
      <c r="X904" t="s">
        <v>62</v>
      </c>
      <c r="Y904" t="s">
        <v>62</v>
      </c>
      <c r="Z904">
        <v>10</v>
      </c>
      <c r="AA904">
        <v>28</v>
      </c>
      <c r="AB904">
        <v>24</v>
      </c>
      <c r="AC904">
        <v>0.53846000000000005</v>
      </c>
      <c r="AD904" s="47">
        <v>0</v>
      </c>
      <c r="AE904" s="47">
        <v>0</v>
      </c>
      <c r="AF904" s="47">
        <v>0</v>
      </c>
      <c r="AG904" s="47">
        <v>0</v>
      </c>
      <c r="AH904" s="47">
        <v>0</v>
      </c>
      <c r="AI904" s="47">
        <v>10</v>
      </c>
      <c r="AJ904" s="47">
        <v>2</v>
      </c>
      <c r="AK904" s="47">
        <v>12</v>
      </c>
      <c r="AL904">
        <v>22</v>
      </c>
      <c r="AM904">
        <v>0.35293999999999998</v>
      </c>
      <c r="AN904">
        <v>12</v>
      </c>
      <c r="AO904">
        <v>10</v>
      </c>
      <c r="AP904">
        <v>44</v>
      </c>
      <c r="AQ904">
        <v>31</v>
      </c>
      <c r="AR904">
        <v>52</v>
      </c>
      <c r="AS904">
        <v>22</v>
      </c>
      <c r="AT904" t="s">
        <v>12336</v>
      </c>
      <c r="AU904" t="s">
        <v>12337</v>
      </c>
      <c r="AV904">
        <v>0.66500000000000004</v>
      </c>
      <c r="AW904" t="s">
        <v>65</v>
      </c>
      <c r="AX904">
        <v>96</v>
      </c>
      <c r="AY904">
        <v>53</v>
      </c>
      <c r="AZ904" t="s">
        <v>12338</v>
      </c>
      <c r="BA904">
        <v>6.6250000000000003E-2</v>
      </c>
      <c r="BB904">
        <v>-2.7399999999999998E-3</v>
      </c>
      <c r="BC904">
        <v>8.4200000000000004E-3</v>
      </c>
      <c r="BD904">
        <v>-3.6000000000000002E-4</v>
      </c>
      <c r="BE904">
        <v>0.12714</v>
      </c>
      <c r="BF904">
        <v>1</v>
      </c>
      <c r="BG904" t="s">
        <v>69</v>
      </c>
      <c r="BH904">
        <v>-0.46500000000000002</v>
      </c>
      <c r="BI904">
        <v>-0.85899999999999999</v>
      </c>
    </row>
    <row r="905" spans="3:61">
      <c r="C905">
        <v>0</v>
      </c>
      <c r="D905">
        <v>6</v>
      </c>
      <c r="E905">
        <v>0</v>
      </c>
      <c r="F905" t="s">
        <v>25021</v>
      </c>
      <c r="G905">
        <v>2199</v>
      </c>
      <c r="H905" t="s">
        <v>12974</v>
      </c>
      <c r="I905" t="s">
        <v>57</v>
      </c>
      <c r="J905">
        <v>2234233</v>
      </c>
      <c r="K905">
        <v>2235666</v>
      </c>
      <c r="L905" t="s">
        <v>12900</v>
      </c>
      <c r="M905">
        <v>478</v>
      </c>
      <c r="N905" t="s">
        <v>12957</v>
      </c>
      <c r="O905">
        <v>17</v>
      </c>
      <c r="P905" t="str">
        <f>HYPERLINK("Gene2199-zp_tree_all.dnd", "Gene2199-tree")</f>
        <v>Gene2199-tree</v>
      </c>
      <c r="Q905">
        <v>0</v>
      </c>
      <c r="R905">
        <v>17</v>
      </c>
      <c r="S905">
        <v>0</v>
      </c>
      <c r="T905">
        <v>4</v>
      </c>
      <c r="U905">
        <v>1</v>
      </c>
      <c r="V905" t="s">
        <v>62</v>
      </c>
      <c r="W905" t="s">
        <v>12884</v>
      </c>
      <c r="X905">
        <v>4.8689999999999998</v>
      </c>
      <c r="Y905" t="s">
        <v>65</v>
      </c>
      <c r="Z905">
        <v>3</v>
      </c>
      <c r="AA905">
        <v>6</v>
      </c>
      <c r="AB905">
        <v>24</v>
      </c>
      <c r="AC905">
        <v>0.2</v>
      </c>
      <c r="AD905" s="47">
        <v>0</v>
      </c>
      <c r="AE905" s="47">
        <v>0</v>
      </c>
      <c r="AF905" s="47">
        <v>0</v>
      </c>
      <c r="AG905" s="47">
        <v>0</v>
      </c>
      <c r="AH905" s="47">
        <v>0</v>
      </c>
      <c r="AI905" s="47">
        <v>4</v>
      </c>
      <c r="AJ905" s="47">
        <v>2</v>
      </c>
      <c r="AK905" s="47">
        <v>6</v>
      </c>
      <c r="AL905">
        <v>24</v>
      </c>
      <c r="AM905">
        <v>0.2</v>
      </c>
      <c r="AN905">
        <v>4</v>
      </c>
      <c r="AO905">
        <v>1</v>
      </c>
      <c r="AP905">
        <v>30</v>
      </c>
      <c r="AQ905">
        <v>21</v>
      </c>
      <c r="AR905">
        <v>26</v>
      </c>
      <c r="AS905">
        <v>10</v>
      </c>
      <c r="AT905" t="s">
        <v>12975</v>
      </c>
      <c r="AU905" t="s">
        <v>12976</v>
      </c>
      <c r="AV905">
        <v>7.7960000000000003</v>
      </c>
      <c r="AW905" t="s">
        <v>267</v>
      </c>
      <c r="AX905">
        <v>56</v>
      </c>
      <c r="AY905">
        <v>31</v>
      </c>
      <c r="AZ905" t="s">
        <v>12977</v>
      </c>
      <c r="BA905">
        <v>0.1145</v>
      </c>
      <c r="BB905">
        <v>-1.8429999999999998E-2</v>
      </c>
      <c r="BC905">
        <v>1.443E-2</v>
      </c>
      <c r="BD905">
        <v>-1.6900000000000001E-3</v>
      </c>
      <c r="BE905">
        <v>0.12598999999999999</v>
      </c>
      <c r="BF905">
        <v>1</v>
      </c>
      <c r="BG905" t="s">
        <v>69</v>
      </c>
      <c r="BH905">
        <v>-1.4470000000000001</v>
      </c>
      <c r="BI905">
        <v>-0.41699999999999998</v>
      </c>
    </row>
    <row r="906" spans="3:61">
      <c r="C906">
        <v>0</v>
      </c>
      <c r="D906">
        <v>10</v>
      </c>
      <c r="E906">
        <v>1</v>
      </c>
      <c r="F906" t="s">
        <v>25021</v>
      </c>
      <c r="G906">
        <v>242</v>
      </c>
      <c r="H906" t="s">
        <v>1643</v>
      </c>
      <c r="I906" t="s">
        <v>62</v>
      </c>
      <c r="J906">
        <v>262735</v>
      </c>
      <c r="K906">
        <v>264168</v>
      </c>
      <c r="L906" t="s">
        <v>1644</v>
      </c>
      <c r="M906">
        <v>478</v>
      </c>
      <c r="N906" t="s">
        <v>108</v>
      </c>
      <c r="O906">
        <v>44</v>
      </c>
      <c r="P906" t="str">
        <f>HYPERLINK("Gene242-zp_tree_all.dnd", "Gene242-tree")</f>
        <v>Gene242-tree</v>
      </c>
      <c r="Q906">
        <v>6</v>
      </c>
      <c r="R906">
        <v>8</v>
      </c>
      <c r="S906">
        <v>6</v>
      </c>
      <c r="T906">
        <v>8</v>
      </c>
      <c r="U906">
        <v>0.57142999999999999</v>
      </c>
      <c r="V906" t="s">
        <v>90</v>
      </c>
      <c r="W906" t="s">
        <v>136</v>
      </c>
      <c r="X906" t="s">
        <v>62</v>
      </c>
      <c r="Y906" t="s">
        <v>62</v>
      </c>
      <c r="Z906">
        <v>4</v>
      </c>
      <c r="AA906">
        <v>11</v>
      </c>
      <c r="AB906">
        <v>10</v>
      </c>
      <c r="AC906">
        <v>0.52381</v>
      </c>
      <c r="AD906" s="47">
        <v>0</v>
      </c>
      <c r="AE906" s="47">
        <v>0</v>
      </c>
      <c r="AF906" s="47">
        <v>0</v>
      </c>
      <c r="AG906" s="47">
        <v>0</v>
      </c>
      <c r="AH906" s="47">
        <v>0</v>
      </c>
      <c r="AI906" s="47">
        <v>4</v>
      </c>
      <c r="AJ906" s="47">
        <v>0</v>
      </c>
      <c r="AK906" s="47">
        <v>4</v>
      </c>
      <c r="AL906">
        <v>8</v>
      </c>
      <c r="AM906">
        <v>0.33333000000000002</v>
      </c>
      <c r="AN906">
        <v>14</v>
      </c>
      <c r="AO906">
        <v>11</v>
      </c>
      <c r="AP906">
        <v>101</v>
      </c>
      <c r="AQ906">
        <v>13</v>
      </c>
      <c r="AR906">
        <v>32</v>
      </c>
      <c r="AS906">
        <v>9</v>
      </c>
      <c r="AT906" t="s">
        <v>1645</v>
      </c>
      <c r="AU906" t="s">
        <v>1646</v>
      </c>
      <c r="AV906">
        <v>0.67400000000000004</v>
      </c>
      <c r="AW906" t="s">
        <v>65</v>
      </c>
      <c r="AX906">
        <v>133</v>
      </c>
      <c r="AY906">
        <v>22</v>
      </c>
      <c r="AZ906" t="s">
        <v>1647</v>
      </c>
      <c r="BA906">
        <v>6.8269999999999997E-2</v>
      </c>
      <c r="BB906">
        <v>-5.4999999999999997E-3</v>
      </c>
      <c r="BC906">
        <v>3.9399999999999999E-3</v>
      </c>
      <c r="BD906">
        <v>-2.5000000000000001E-4</v>
      </c>
      <c r="BE906">
        <v>5.772E-2</v>
      </c>
      <c r="BF906">
        <v>1</v>
      </c>
      <c r="BG906" t="s">
        <v>69</v>
      </c>
      <c r="BH906">
        <v>-1.157</v>
      </c>
      <c r="BI906">
        <v>-2.923</v>
      </c>
    </row>
    <row r="907" spans="3:61">
      <c r="C907">
        <v>0</v>
      </c>
      <c r="D907">
        <v>59</v>
      </c>
      <c r="E907">
        <v>2</v>
      </c>
      <c r="F907" t="s">
        <v>25021</v>
      </c>
      <c r="G907">
        <v>1071</v>
      </c>
      <c r="H907" t="s">
        <v>6726</v>
      </c>
      <c r="I907" t="s">
        <v>62</v>
      </c>
      <c r="J907">
        <v>1110482</v>
      </c>
      <c r="K907">
        <v>1111918</v>
      </c>
      <c r="L907" t="s">
        <v>6727</v>
      </c>
      <c r="M907">
        <v>479</v>
      </c>
      <c r="N907" t="s">
        <v>1557</v>
      </c>
      <c r="O907">
        <v>40</v>
      </c>
      <c r="P907" t="str">
        <f>HYPERLINK("Gene1071-zp_tree_all.dnd", "Gene1071-tree")</f>
        <v>Gene1071-tree</v>
      </c>
      <c r="Q907">
        <v>2</v>
      </c>
      <c r="R907">
        <v>13</v>
      </c>
      <c r="S907">
        <v>2</v>
      </c>
      <c r="T907">
        <v>13</v>
      </c>
      <c r="U907">
        <v>0.86667000000000005</v>
      </c>
      <c r="V907" t="s">
        <v>81</v>
      </c>
      <c r="W907" t="s">
        <v>507</v>
      </c>
      <c r="X907" t="s">
        <v>62</v>
      </c>
      <c r="Y907" t="s">
        <v>62</v>
      </c>
      <c r="Z907">
        <v>20</v>
      </c>
      <c r="AA907">
        <v>61</v>
      </c>
      <c r="AB907">
        <v>41</v>
      </c>
      <c r="AC907">
        <v>0.59804000000000002</v>
      </c>
      <c r="AD907" s="47">
        <v>0</v>
      </c>
      <c r="AE907" s="47">
        <v>0</v>
      </c>
      <c r="AF907" s="47">
        <v>0</v>
      </c>
      <c r="AG907" s="47">
        <v>0</v>
      </c>
      <c r="AH907" s="47">
        <v>0</v>
      </c>
      <c r="AI907" s="47">
        <v>23</v>
      </c>
      <c r="AJ907" s="47">
        <v>8</v>
      </c>
      <c r="AK907" s="47">
        <v>31</v>
      </c>
      <c r="AL907">
        <v>42</v>
      </c>
      <c r="AM907">
        <v>0.42465999999999998</v>
      </c>
      <c r="AN907">
        <v>14</v>
      </c>
      <c r="AO907">
        <v>12</v>
      </c>
      <c r="AP907">
        <v>70</v>
      </c>
      <c r="AQ907">
        <v>72</v>
      </c>
      <c r="AR907">
        <v>44</v>
      </c>
      <c r="AS907">
        <v>31</v>
      </c>
      <c r="AT907" t="s">
        <v>6728</v>
      </c>
      <c r="AU907" t="s">
        <v>6729</v>
      </c>
      <c r="AV907">
        <v>0.38600000000000001</v>
      </c>
      <c r="AW907" t="s">
        <v>65</v>
      </c>
      <c r="AX907">
        <v>114</v>
      </c>
      <c r="AY907">
        <v>103</v>
      </c>
      <c r="AZ907" t="s">
        <v>6730</v>
      </c>
      <c r="BA907">
        <v>6.1550000000000001E-2</v>
      </c>
      <c r="BB907">
        <v>-2.6099999999999999E-3</v>
      </c>
      <c r="BC907">
        <v>1.4279999999999999E-2</v>
      </c>
      <c r="BD907">
        <v>-6.3000000000000003E-4</v>
      </c>
      <c r="BE907">
        <v>0.23202999999999999</v>
      </c>
      <c r="BF907">
        <v>1</v>
      </c>
      <c r="BG907" t="s">
        <v>69</v>
      </c>
      <c r="BH907">
        <v>-0.68400000000000005</v>
      </c>
      <c r="BI907">
        <v>-2.2330000000000001</v>
      </c>
    </row>
    <row r="908" spans="3:61">
      <c r="C908">
        <v>0</v>
      </c>
      <c r="D908">
        <v>0</v>
      </c>
      <c r="E908">
        <v>4</v>
      </c>
      <c r="F908" t="s">
        <v>25021</v>
      </c>
      <c r="G908">
        <v>395</v>
      </c>
      <c r="H908" t="s">
        <v>2673</v>
      </c>
      <c r="I908" t="s">
        <v>62</v>
      </c>
      <c r="J908">
        <v>440028</v>
      </c>
      <c r="K908">
        <v>441464</v>
      </c>
      <c r="L908" t="s">
        <v>2674</v>
      </c>
      <c r="M908">
        <v>479</v>
      </c>
      <c r="N908" t="s">
        <v>108</v>
      </c>
      <c r="O908">
        <v>44</v>
      </c>
      <c r="P908" t="str">
        <f>HYPERLINK("Gene395-zp_tree_all.dnd", "Gene395-tree")</f>
        <v>Gene395-tree</v>
      </c>
      <c r="Q908">
        <v>24</v>
      </c>
      <c r="R908">
        <v>9</v>
      </c>
      <c r="S908">
        <v>6</v>
      </c>
      <c r="T908">
        <v>9</v>
      </c>
      <c r="U908">
        <v>0.6</v>
      </c>
      <c r="V908" t="s">
        <v>2675</v>
      </c>
      <c r="W908" t="s">
        <v>135</v>
      </c>
      <c r="X908" t="s">
        <v>62</v>
      </c>
      <c r="Y908" t="s">
        <v>62</v>
      </c>
      <c r="Z908">
        <v>2</v>
      </c>
      <c r="AA908">
        <v>4</v>
      </c>
      <c r="AB908">
        <v>26</v>
      </c>
      <c r="AC908">
        <v>0.13333</v>
      </c>
      <c r="AD908" s="47">
        <v>0</v>
      </c>
      <c r="AE908" s="47">
        <v>0</v>
      </c>
      <c r="AF908" s="47">
        <v>0</v>
      </c>
      <c r="AG908" s="47">
        <v>5</v>
      </c>
      <c r="AH908" s="47">
        <v>0</v>
      </c>
      <c r="AI908" s="47">
        <v>0</v>
      </c>
      <c r="AJ908" s="47">
        <v>2</v>
      </c>
      <c r="AK908" s="47">
        <v>2</v>
      </c>
      <c r="AL908">
        <v>20</v>
      </c>
      <c r="AM908">
        <v>9.0910000000000005E-2</v>
      </c>
      <c r="AN908">
        <v>13</v>
      </c>
      <c r="AO908">
        <v>11</v>
      </c>
      <c r="AP908">
        <v>59</v>
      </c>
      <c r="AQ908">
        <v>22</v>
      </c>
      <c r="AR908">
        <v>25</v>
      </c>
      <c r="AS908">
        <v>8</v>
      </c>
      <c r="AT908" t="s">
        <v>2676</v>
      </c>
      <c r="AU908" t="s">
        <v>2677</v>
      </c>
      <c r="AV908">
        <v>0.19600000000000001</v>
      </c>
      <c r="AW908" t="s">
        <v>65</v>
      </c>
      <c r="AX908">
        <v>84</v>
      </c>
      <c r="AY908">
        <v>30</v>
      </c>
      <c r="AZ908" t="s">
        <v>2678</v>
      </c>
      <c r="BA908">
        <v>4.0649999999999999E-2</v>
      </c>
      <c r="BB908">
        <v>-1.6000000000000001E-3</v>
      </c>
      <c r="BC908">
        <v>4.81E-3</v>
      </c>
      <c r="BD908">
        <v>-2.2000000000000001E-4</v>
      </c>
      <c r="BE908">
        <v>0.11835</v>
      </c>
      <c r="BF908">
        <v>1</v>
      </c>
      <c r="BG908" t="s">
        <v>69</v>
      </c>
      <c r="BH908">
        <v>-1.327</v>
      </c>
      <c r="BI908">
        <v>-1.486</v>
      </c>
    </row>
    <row r="909" spans="3:61">
      <c r="C909">
        <v>0</v>
      </c>
      <c r="D909">
        <v>2</v>
      </c>
      <c r="E909">
        <v>0</v>
      </c>
      <c r="F909" t="s">
        <v>25021</v>
      </c>
      <c r="G909">
        <v>268</v>
      </c>
      <c r="H909" t="s">
        <v>1827</v>
      </c>
      <c r="I909" t="s">
        <v>62</v>
      </c>
      <c r="J909">
        <v>288656</v>
      </c>
      <c r="K909">
        <v>290092</v>
      </c>
      <c r="L909" t="s">
        <v>1828</v>
      </c>
      <c r="M909">
        <v>479</v>
      </c>
      <c r="N909" t="s">
        <v>108</v>
      </c>
      <c r="O909">
        <v>44</v>
      </c>
      <c r="P909" t="str">
        <f>HYPERLINK("Gene268-zp_tree_all.dnd", "Gene268-tree")</f>
        <v>Gene268-tree</v>
      </c>
      <c r="Q909">
        <v>11</v>
      </c>
      <c r="R909">
        <v>4</v>
      </c>
      <c r="S909">
        <v>11</v>
      </c>
      <c r="T909">
        <v>4</v>
      </c>
      <c r="U909">
        <v>0.26667000000000002</v>
      </c>
      <c r="V909" t="s">
        <v>73</v>
      </c>
      <c r="W909" t="s">
        <v>61</v>
      </c>
      <c r="X909" t="s">
        <v>62</v>
      </c>
      <c r="Y909" t="s">
        <v>62</v>
      </c>
      <c r="Z909">
        <v>1</v>
      </c>
      <c r="AA909">
        <v>2</v>
      </c>
      <c r="AB909">
        <v>5</v>
      </c>
      <c r="AC909">
        <v>0.28571000000000002</v>
      </c>
      <c r="AD909" s="47">
        <v>0</v>
      </c>
      <c r="AE909" s="47">
        <v>0</v>
      </c>
      <c r="AF909" s="47">
        <v>0</v>
      </c>
      <c r="AG909" s="47">
        <v>0</v>
      </c>
      <c r="AH909" s="47">
        <v>0</v>
      </c>
      <c r="AI909" s="47">
        <v>2</v>
      </c>
      <c r="AJ909" s="47">
        <v>0</v>
      </c>
      <c r="AK909" s="47">
        <v>2</v>
      </c>
      <c r="AL909">
        <v>2</v>
      </c>
      <c r="AM909">
        <v>0.5</v>
      </c>
      <c r="AN909">
        <v>13</v>
      </c>
      <c r="AO909">
        <v>11</v>
      </c>
      <c r="AP909">
        <v>66</v>
      </c>
      <c r="AQ909">
        <v>3</v>
      </c>
      <c r="AR909">
        <v>43</v>
      </c>
      <c r="AS909">
        <v>4</v>
      </c>
      <c r="AT909" t="s">
        <v>1829</v>
      </c>
      <c r="AU909" t="s">
        <v>1830</v>
      </c>
      <c r="AV909">
        <v>0.432</v>
      </c>
      <c r="AW909" t="s">
        <v>65</v>
      </c>
      <c r="AX909">
        <v>109</v>
      </c>
      <c r="AY909">
        <v>7</v>
      </c>
      <c r="AZ909" t="s">
        <v>1831</v>
      </c>
      <c r="BA909">
        <v>5.2900000000000003E-2</v>
      </c>
      <c r="BB909">
        <v>-1.72E-3</v>
      </c>
      <c r="BC909">
        <v>2.0200000000000001E-3</v>
      </c>
      <c r="BD909">
        <v>-1.3999999999999999E-4</v>
      </c>
      <c r="BE909">
        <v>3.8120000000000001E-2</v>
      </c>
      <c r="BF909">
        <v>1</v>
      </c>
      <c r="BG909" t="s">
        <v>69</v>
      </c>
      <c r="BH909">
        <v>0.65900000000000003</v>
      </c>
      <c r="BI909">
        <v>3.7999999999999999E-2</v>
      </c>
    </row>
    <row r="910" spans="3:61">
      <c r="C910">
        <v>0</v>
      </c>
      <c r="D910">
        <v>5</v>
      </c>
      <c r="E910">
        <v>0</v>
      </c>
      <c r="F910" t="s">
        <v>25021</v>
      </c>
      <c r="G910">
        <v>3430</v>
      </c>
      <c r="H910" t="s">
        <v>20070</v>
      </c>
      <c r="I910" t="s">
        <v>57</v>
      </c>
      <c r="J910">
        <v>3390782</v>
      </c>
      <c r="K910">
        <v>3392227</v>
      </c>
      <c r="L910" t="s">
        <v>20071</v>
      </c>
      <c r="M910">
        <v>482</v>
      </c>
      <c r="N910" t="s">
        <v>108</v>
      </c>
      <c r="O910">
        <v>44</v>
      </c>
      <c r="P910" t="str">
        <f>HYPERLINK("Gene3430-zp_tree_all.dnd", "Gene3430-tree")</f>
        <v>Gene3430-tree</v>
      </c>
      <c r="Q910">
        <v>9</v>
      </c>
      <c r="R910">
        <v>10</v>
      </c>
      <c r="S910">
        <v>9</v>
      </c>
      <c r="T910">
        <v>8</v>
      </c>
      <c r="U910">
        <v>0.47059000000000001</v>
      </c>
      <c r="V910" t="s">
        <v>135</v>
      </c>
      <c r="W910" t="s">
        <v>20072</v>
      </c>
      <c r="X910">
        <v>0.84299999999999997</v>
      </c>
      <c r="Y910" t="s">
        <v>65</v>
      </c>
      <c r="Z910">
        <v>2</v>
      </c>
      <c r="AA910">
        <v>5</v>
      </c>
      <c r="AB910">
        <v>11</v>
      </c>
      <c r="AC910">
        <v>0.3125</v>
      </c>
      <c r="AD910" s="47">
        <v>0</v>
      </c>
      <c r="AE910" s="47">
        <v>0</v>
      </c>
      <c r="AF910" s="47">
        <v>0</v>
      </c>
      <c r="AG910" s="47">
        <v>1</v>
      </c>
      <c r="AH910" s="47">
        <v>0</v>
      </c>
      <c r="AI910" s="47">
        <v>2</v>
      </c>
      <c r="AJ910" s="47">
        <v>0</v>
      </c>
      <c r="AK910" s="47">
        <v>2</v>
      </c>
      <c r="AL910">
        <v>9</v>
      </c>
      <c r="AM910">
        <v>0.18182000000000001</v>
      </c>
      <c r="AN910">
        <v>13</v>
      </c>
      <c r="AO910">
        <v>12</v>
      </c>
      <c r="AP910">
        <v>38</v>
      </c>
      <c r="AQ910">
        <v>10</v>
      </c>
      <c r="AR910">
        <v>47</v>
      </c>
      <c r="AS910">
        <v>7</v>
      </c>
      <c r="AT910" t="s">
        <v>20073</v>
      </c>
      <c r="AU910" t="s">
        <v>20074</v>
      </c>
      <c r="AV910">
        <v>0.47299999999999998</v>
      </c>
      <c r="AW910" t="s">
        <v>65</v>
      </c>
      <c r="AX910">
        <v>85</v>
      </c>
      <c r="AY910">
        <v>17</v>
      </c>
      <c r="AZ910" t="s">
        <v>20075</v>
      </c>
      <c r="BA910">
        <v>4.7960000000000003E-2</v>
      </c>
      <c r="BB910">
        <v>-2.97E-3</v>
      </c>
      <c r="BC910">
        <v>2.8999999999999998E-3</v>
      </c>
      <c r="BD910">
        <v>-1.3999999999999999E-4</v>
      </c>
      <c r="BE910">
        <v>6.0539999999999997E-2</v>
      </c>
      <c r="BF910">
        <v>1</v>
      </c>
      <c r="BG910" t="s">
        <v>69</v>
      </c>
      <c r="BH910">
        <v>-0.34499999999999997</v>
      </c>
      <c r="BI910">
        <v>-0.46600000000000003</v>
      </c>
    </row>
    <row r="911" spans="3:61">
      <c r="C911">
        <v>0</v>
      </c>
      <c r="D911">
        <v>0</v>
      </c>
      <c r="E911">
        <v>0</v>
      </c>
      <c r="F911" t="s">
        <v>25021</v>
      </c>
      <c r="G911">
        <v>3793</v>
      </c>
      <c r="H911" t="s">
        <v>22221</v>
      </c>
      <c r="I911" t="s">
        <v>57</v>
      </c>
      <c r="J911">
        <v>3762664</v>
      </c>
      <c r="K911">
        <v>3764109</v>
      </c>
      <c r="L911" t="s">
        <v>22222</v>
      </c>
      <c r="M911">
        <v>482</v>
      </c>
      <c r="N911" t="s">
        <v>108</v>
      </c>
      <c r="O911">
        <v>44</v>
      </c>
      <c r="P911" t="str">
        <f>HYPERLINK("Gene3793-zp_tree_all.dnd", "Gene3793-tree")</f>
        <v>Gene3793-tree</v>
      </c>
      <c r="Q911">
        <v>11</v>
      </c>
      <c r="R911">
        <v>4</v>
      </c>
      <c r="S911">
        <v>11</v>
      </c>
      <c r="T911">
        <v>4</v>
      </c>
      <c r="U911">
        <v>0.26667000000000002</v>
      </c>
      <c r="V911" t="s">
        <v>73</v>
      </c>
      <c r="W911" t="s">
        <v>61</v>
      </c>
      <c r="X911" t="s">
        <v>62</v>
      </c>
      <c r="Y911" t="s">
        <v>62</v>
      </c>
      <c r="Z911">
        <v>0</v>
      </c>
      <c r="AA911">
        <v>0</v>
      </c>
      <c r="AB911">
        <v>5</v>
      </c>
      <c r="AC911">
        <v>0</v>
      </c>
      <c r="AD911" s="47">
        <v>0</v>
      </c>
      <c r="AE911" s="47">
        <v>0</v>
      </c>
      <c r="AF911" s="47">
        <v>0</v>
      </c>
      <c r="AG911" s="47">
        <v>0</v>
      </c>
      <c r="AH911" s="47">
        <v>0</v>
      </c>
      <c r="AI911" s="47">
        <v>0</v>
      </c>
      <c r="AJ911" s="47">
        <v>0</v>
      </c>
      <c r="AK911" s="47">
        <v>0</v>
      </c>
      <c r="AL911">
        <v>4</v>
      </c>
      <c r="AM911">
        <v>0</v>
      </c>
      <c r="AN911">
        <v>12</v>
      </c>
      <c r="AO911">
        <v>10</v>
      </c>
      <c r="AP911">
        <v>43</v>
      </c>
      <c r="AQ911">
        <v>4</v>
      </c>
      <c r="AR911">
        <v>21</v>
      </c>
      <c r="AS911">
        <v>1</v>
      </c>
      <c r="AT911" t="s">
        <v>22223</v>
      </c>
      <c r="AU911" t="s">
        <v>22224</v>
      </c>
      <c r="AV911">
        <v>0.23699999999999999</v>
      </c>
      <c r="AW911" t="s">
        <v>65</v>
      </c>
      <c r="AX911">
        <v>64</v>
      </c>
      <c r="AY911">
        <v>5</v>
      </c>
      <c r="AZ911" t="s">
        <v>22225</v>
      </c>
      <c r="BA911">
        <v>3.3309999999999999E-2</v>
      </c>
      <c r="BB911">
        <v>-1.4599999999999999E-3</v>
      </c>
      <c r="BC911">
        <v>6.9999999999999999E-4</v>
      </c>
      <c r="BD911">
        <v>-8.0000000000000007E-5</v>
      </c>
      <c r="BE911">
        <v>2.1129999999999999E-2</v>
      </c>
      <c r="BF911">
        <v>1</v>
      </c>
      <c r="BG911" t="s">
        <v>69</v>
      </c>
      <c r="BH911">
        <v>-1.17</v>
      </c>
      <c r="BI911">
        <v>-1.4890000000000001</v>
      </c>
    </row>
    <row r="912" spans="3:61">
      <c r="C912">
        <v>0</v>
      </c>
      <c r="D912">
        <v>36</v>
      </c>
      <c r="E912">
        <v>0</v>
      </c>
      <c r="F912" t="s">
        <v>25021</v>
      </c>
      <c r="G912">
        <v>329</v>
      </c>
      <c r="H912" t="s">
        <v>2246</v>
      </c>
      <c r="I912" t="s">
        <v>62</v>
      </c>
      <c r="J912">
        <v>353903</v>
      </c>
      <c r="K912">
        <v>355351</v>
      </c>
      <c r="L912" t="s">
        <v>2247</v>
      </c>
      <c r="M912">
        <v>483</v>
      </c>
      <c r="N912" t="s">
        <v>108</v>
      </c>
      <c r="O912">
        <v>44</v>
      </c>
      <c r="P912" t="str">
        <f>HYPERLINK("Gene329-zp_tree_all.dnd", "Gene329-tree")</f>
        <v>Gene329-tree</v>
      </c>
      <c r="Q912">
        <v>4</v>
      </c>
      <c r="R912">
        <v>12</v>
      </c>
      <c r="S912">
        <v>4</v>
      </c>
      <c r="T912">
        <v>12</v>
      </c>
      <c r="U912">
        <v>0.75</v>
      </c>
      <c r="V912" t="s">
        <v>61</v>
      </c>
      <c r="W912" t="s">
        <v>109</v>
      </c>
      <c r="X912" t="s">
        <v>62</v>
      </c>
      <c r="Y912" t="s">
        <v>62</v>
      </c>
      <c r="Z912">
        <v>14</v>
      </c>
      <c r="AA912">
        <v>36</v>
      </c>
      <c r="AB912">
        <v>29</v>
      </c>
      <c r="AC912">
        <v>0.55384999999999995</v>
      </c>
      <c r="AD912" s="47">
        <v>0</v>
      </c>
      <c r="AE912" s="47">
        <v>0</v>
      </c>
      <c r="AF912" s="47">
        <v>0</v>
      </c>
      <c r="AG912" s="47">
        <v>1</v>
      </c>
      <c r="AH912" s="47">
        <v>0</v>
      </c>
      <c r="AI912" s="47">
        <v>15</v>
      </c>
      <c r="AJ912" s="47">
        <v>2</v>
      </c>
      <c r="AK912" s="47">
        <v>17</v>
      </c>
      <c r="AL912">
        <v>24</v>
      </c>
      <c r="AM912">
        <v>0.41463</v>
      </c>
      <c r="AN912">
        <v>15</v>
      </c>
      <c r="AO912">
        <v>13</v>
      </c>
      <c r="AP912">
        <v>81</v>
      </c>
      <c r="AQ912">
        <v>44</v>
      </c>
      <c r="AR912">
        <v>43</v>
      </c>
      <c r="AS912">
        <v>28</v>
      </c>
      <c r="AT912" t="s">
        <v>2248</v>
      </c>
      <c r="AU912" t="s">
        <v>2249</v>
      </c>
      <c r="AV912">
        <v>0.32200000000000001</v>
      </c>
      <c r="AW912" t="s">
        <v>65</v>
      </c>
      <c r="AX912">
        <v>124</v>
      </c>
      <c r="AY912">
        <v>72</v>
      </c>
      <c r="AZ912" t="s">
        <v>2250</v>
      </c>
      <c r="BA912">
        <v>5.6840000000000002E-2</v>
      </c>
      <c r="BB912">
        <v>-1.57E-3</v>
      </c>
      <c r="BC912">
        <v>1.175E-2</v>
      </c>
      <c r="BD912">
        <v>-3.6000000000000002E-4</v>
      </c>
      <c r="BE912">
        <v>0.20674000000000001</v>
      </c>
      <c r="BF912">
        <v>1</v>
      </c>
      <c r="BG912" t="s">
        <v>69</v>
      </c>
      <c r="BH912">
        <v>-8.6999999999999994E-2</v>
      </c>
      <c r="BI912">
        <v>-0.191</v>
      </c>
    </row>
    <row r="913" spans="3:61">
      <c r="C913">
        <v>0</v>
      </c>
      <c r="D913">
        <v>4</v>
      </c>
      <c r="E913">
        <v>4</v>
      </c>
      <c r="F913" t="s">
        <v>25021</v>
      </c>
      <c r="G913">
        <v>1932</v>
      </c>
      <c r="H913" t="s">
        <v>12107</v>
      </c>
      <c r="I913" t="s">
        <v>57</v>
      </c>
      <c r="J913">
        <v>2031439</v>
      </c>
      <c r="K913">
        <v>2032887</v>
      </c>
      <c r="L913" t="s">
        <v>12108</v>
      </c>
      <c r="M913">
        <v>483</v>
      </c>
      <c r="N913" t="s">
        <v>1907</v>
      </c>
      <c r="O913">
        <v>38</v>
      </c>
      <c r="P913" t="str">
        <f>HYPERLINK("Gene1932-zp_tree_all.dnd", "Gene1932-tree")</f>
        <v>Gene1932-tree</v>
      </c>
      <c r="Q913">
        <v>5</v>
      </c>
      <c r="R913">
        <v>7</v>
      </c>
      <c r="S913">
        <v>5</v>
      </c>
      <c r="T913">
        <v>7</v>
      </c>
      <c r="U913">
        <v>0.58333000000000002</v>
      </c>
      <c r="V913" t="s">
        <v>199</v>
      </c>
      <c r="W913" t="s">
        <v>152</v>
      </c>
      <c r="X913" t="s">
        <v>62</v>
      </c>
      <c r="Y913" t="s">
        <v>62</v>
      </c>
      <c r="Z913">
        <v>4</v>
      </c>
      <c r="AA913">
        <v>8</v>
      </c>
      <c r="AB913">
        <v>14</v>
      </c>
      <c r="AC913">
        <v>0.36364000000000002</v>
      </c>
      <c r="AD913" s="47">
        <v>0</v>
      </c>
      <c r="AE913" s="47">
        <v>0</v>
      </c>
      <c r="AF913" s="47">
        <v>0</v>
      </c>
      <c r="AG913" s="47">
        <v>0</v>
      </c>
      <c r="AH913" s="47">
        <v>0</v>
      </c>
      <c r="AI913" s="47">
        <v>2</v>
      </c>
      <c r="AJ913" s="47">
        <v>2</v>
      </c>
      <c r="AK913" s="47">
        <v>4</v>
      </c>
      <c r="AL913">
        <v>13</v>
      </c>
      <c r="AM913">
        <v>0.23529</v>
      </c>
      <c r="AN913">
        <v>11</v>
      </c>
      <c r="AO913">
        <v>8</v>
      </c>
      <c r="AP913">
        <v>37</v>
      </c>
      <c r="AQ913">
        <v>17</v>
      </c>
      <c r="AR913">
        <v>19</v>
      </c>
      <c r="AS913">
        <v>5</v>
      </c>
      <c r="AT913" t="s">
        <v>12109</v>
      </c>
      <c r="AU913" t="s">
        <v>12110</v>
      </c>
      <c r="AV913">
        <v>0.51200000000000001</v>
      </c>
      <c r="AW913" t="s">
        <v>65</v>
      </c>
      <c r="AX913">
        <v>56</v>
      </c>
      <c r="AY913">
        <v>22</v>
      </c>
      <c r="AZ913" t="s">
        <v>12111</v>
      </c>
      <c r="BA913">
        <v>3.619E-2</v>
      </c>
      <c r="BB913">
        <v>-2.0400000000000001E-3</v>
      </c>
      <c r="BC913">
        <v>4.0800000000000003E-3</v>
      </c>
      <c r="BD913">
        <v>-3.3E-4</v>
      </c>
      <c r="BE913">
        <v>0.11272</v>
      </c>
      <c r="BF913">
        <v>1</v>
      </c>
      <c r="BG913" t="s">
        <v>69</v>
      </c>
      <c r="BH913">
        <v>-1.33</v>
      </c>
      <c r="BI913">
        <v>-0.70199999999999996</v>
      </c>
    </row>
    <row r="914" spans="3:61">
      <c r="C914">
        <v>0</v>
      </c>
      <c r="D914">
        <v>2</v>
      </c>
      <c r="E914">
        <v>2</v>
      </c>
      <c r="F914" t="s">
        <v>25021</v>
      </c>
      <c r="G914">
        <v>3712</v>
      </c>
      <c r="H914" t="s">
        <v>21744</v>
      </c>
      <c r="I914" t="s">
        <v>57</v>
      </c>
      <c r="J914">
        <v>3688812</v>
      </c>
      <c r="K914">
        <v>3690260</v>
      </c>
      <c r="L914" t="s">
        <v>21745</v>
      </c>
      <c r="M914">
        <v>483</v>
      </c>
      <c r="N914" t="s">
        <v>21746</v>
      </c>
      <c r="O914">
        <v>33</v>
      </c>
      <c r="P914" t="str">
        <f>HYPERLINK("Gene3712-zp_tree_all.dnd", "Gene3712-tree")</f>
        <v>Gene3712-tree</v>
      </c>
      <c r="Q914">
        <v>24</v>
      </c>
      <c r="R914">
        <v>5</v>
      </c>
      <c r="S914">
        <v>5</v>
      </c>
      <c r="T914">
        <v>5</v>
      </c>
      <c r="U914">
        <v>0.5</v>
      </c>
      <c r="V914" t="s">
        <v>2668</v>
      </c>
      <c r="W914" t="s">
        <v>199</v>
      </c>
      <c r="X914" t="s">
        <v>62</v>
      </c>
      <c r="Y914" t="s">
        <v>62</v>
      </c>
      <c r="Z914">
        <v>2</v>
      </c>
      <c r="AA914">
        <v>4</v>
      </c>
      <c r="AB914">
        <v>15</v>
      </c>
      <c r="AC914">
        <v>0.21052999999999999</v>
      </c>
      <c r="AD914" s="47">
        <v>0</v>
      </c>
      <c r="AE914" s="47">
        <v>0</v>
      </c>
      <c r="AF914" s="47">
        <v>0</v>
      </c>
      <c r="AG914" s="47">
        <v>0</v>
      </c>
      <c r="AH914" s="47">
        <v>0</v>
      </c>
      <c r="AI914" s="47">
        <v>0</v>
      </c>
      <c r="AJ914" s="47">
        <v>0</v>
      </c>
      <c r="AK914" s="47">
        <v>0</v>
      </c>
      <c r="AL914">
        <v>9</v>
      </c>
      <c r="AM914">
        <v>0</v>
      </c>
      <c r="AN914">
        <v>9</v>
      </c>
      <c r="AO914">
        <v>7</v>
      </c>
      <c r="AP914">
        <v>30</v>
      </c>
      <c r="AQ914">
        <v>9</v>
      </c>
      <c r="AR914">
        <v>44</v>
      </c>
      <c r="AS914">
        <v>13</v>
      </c>
      <c r="AT914" t="s">
        <v>21747</v>
      </c>
      <c r="AU914" t="s">
        <v>21748</v>
      </c>
      <c r="AV914">
        <v>2.5999999999999999E-2</v>
      </c>
      <c r="AW914" t="s">
        <v>65</v>
      </c>
      <c r="AX914">
        <v>74</v>
      </c>
      <c r="AY914">
        <v>22</v>
      </c>
      <c r="AZ914" t="s">
        <v>21749</v>
      </c>
      <c r="BA914">
        <v>6.7000000000000004E-2</v>
      </c>
      <c r="BB914">
        <v>-5.8700000000000002E-3</v>
      </c>
      <c r="BC914">
        <v>7.0099999999999997E-3</v>
      </c>
      <c r="BD914">
        <v>-7.1000000000000002E-4</v>
      </c>
      <c r="BE914">
        <v>0.10468</v>
      </c>
      <c r="BF914">
        <v>1</v>
      </c>
      <c r="BG914" t="s">
        <v>69</v>
      </c>
      <c r="BH914">
        <v>-5.3999999999999999E-2</v>
      </c>
      <c r="BI914">
        <v>0.35399999999999998</v>
      </c>
    </row>
    <row r="915" spans="3:61">
      <c r="C915">
        <v>0</v>
      </c>
      <c r="D915">
        <v>0</v>
      </c>
      <c r="E915">
        <v>0</v>
      </c>
      <c r="F915" t="s">
        <v>25021</v>
      </c>
      <c r="G915">
        <v>916</v>
      </c>
      <c r="H915" t="s">
        <v>5726</v>
      </c>
      <c r="I915" t="s">
        <v>62</v>
      </c>
      <c r="J915">
        <v>959538</v>
      </c>
      <c r="K915">
        <v>960986</v>
      </c>
      <c r="L915" t="s">
        <v>5727</v>
      </c>
      <c r="M915">
        <v>483</v>
      </c>
      <c r="N915" t="s">
        <v>698</v>
      </c>
      <c r="O915">
        <v>47</v>
      </c>
      <c r="P915" t="str">
        <f>HYPERLINK("Gene916-zp_tree_all.dnd", "Gene916-tree")</f>
        <v>Gene916-tree</v>
      </c>
      <c r="Q915">
        <v>15</v>
      </c>
      <c r="R915">
        <v>4</v>
      </c>
      <c r="S915">
        <v>15</v>
      </c>
      <c r="T915">
        <v>4</v>
      </c>
      <c r="U915">
        <v>0.21052999999999999</v>
      </c>
      <c r="V915" t="s">
        <v>100</v>
      </c>
      <c r="W915" t="s">
        <v>61</v>
      </c>
      <c r="X915" t="s">
        <v>62</v>
      </c>
      <c r="Y915" t="s">
        <v>62</v>
      </c>
      <c r="Z915">
        <v>0</v>
      </c>
      <c r="AA915">
        <v>0</v>
      </c>
      <c r="AB915">
        <v>8</v>
      </c>
      <c r="AC915">
        <v>0</v>
      </c>
      <c r="AD915" s="47">
        <v>0</v>
      </c>
      <c r="AE915" s="47">
        <v>0</v>
      </c>
      <c r="AF915" s="47">
        <v>0</v>
      </c>
      <c r="AG915" s="47">
        <v>0</v>
      </c>
      <c r="AH915" s="47">
        <v>0</v>
      </c>
      <c r="AI915" s="47">
        <v>0</v>
      </c>
      <c r="AJ915" s="47">
        <v>0</v>
      </c>
      <c r="AK915" s="47">
        <v>0</v>
      </c>
      <c r="AL915">
        <v>4</v>
      </c>
      <c r="AM915">
        <v>0</v>
      </c>
      <c r="AN915">
        <v>16</v>
      </c>
      <c r="AO915">
        <v>14</v>
      </c>
      <c r="AP915">
        <v>52</v>
      </c>
      <c r="AQ915">
        <v>4</v>
      </c>
      <c r="AR915">
        <v>91</v>
      </c>
      <c r="AS915">
        <v>4</v>
      </c>
      <c r="AT915" t="s">
        <v>5728</v>
      </c>
      <c r="AU915" t="s">
        <v>5729</v>
      </c>
      <c r="AV915">
        <v>0.17899999999999999</v>
      </c>
      <c r="AW915" t="s">
        <v>65</v>
      </c>
      <c r="AX915">
        <v>143</v>
      </c>
      <c r="AY915">
        <v>8</v>
      </c>
      <c r="AZ915" t="s">
        <v>5730</v>
      </c>
      <c r="BA915">
        <v>8.8249999999999995E-2</v>
      </c>
      <c r="BB915">
        <v>-6.13E-3</v>
      </c>
      <c r="BC915">
        <v>1.39E-3</v>
      </c>
      <c r="BD915">
        <v>-1.2999999999999999E-4</v>
      </c>
      <c r="BE915">
        <v>1.5740000000000001E-2</v>
      </c>
      <c r="BF915">
        <v>1</v>
      </c>
      <c r="BG915" t="s">
        <v>69</v>
      </c>
      <c r="BH915">
        <v>-1.127</v>
      </c>
      <c r="BI915">
        <v>-0.15</v>
      </c>
    </row>
    <row r="916" spans="3:61">
      <c r="C916">
        <v>0</v>
      </c>
      <c r="D916">
        <v>8</v>
      </c>
      <c r="E916">
        <v>0</v>
      </c>
      <c r="F916" t="s">
        <v>25021</v>
      </c>
      <c r="G916">
        <v>2897</v>
      </c>
      <c r="H916" t="s">
        <v>16670</v>
      </c>
      <c r="I916" t="s">
        <v>57</v>
      </c>
      <c r="J916">
        <v>2841611</v>
      </c>
      <c r="K916">
        <v>2843062</v>
      </c>
      <c r="L916" t="s">
        <v>16671</v>
      </c>
      <c r="M916">
        <v>484</v>
      </c>
      <c r="N916" t="s">
        <v>108</v>
      </c>
      <c r="O916">
        <v>44</v>
      </c>
      <c r="P916" t="str">
        <f>HYPERLINK("Gene2897-zp_tree_all.dnd", "Gene2897-tree")</f>
        <v>Gene2897-tree</v>
      </c>
      <c r="Q916">
        <v>5</v>
      </c>
      <c r="R916">
        <v>8</v>
      </c>
      <c r="S916">
        <v>5</v>
      </c>
      <c r="T916">
        <v>8</v>
      </c>
      <c r="U916">
        <v>0.61538000000000004</v>
      </c>
      <c r="V916" t="s">
        <v>199</v>
      </c>
      <c r="W916" t="s">
        <v>136</v>
      </c>
      <c r="X916" t="s">
        <v>62</v>
      </c>
      <c r="Y916" t="s">
        <v>62</v>
      </c>
      <c r="Z916">
        <v>3</v>
      </c>
      <c r="AA916">
        <v>8</v>
      </c>
      <c r="AB916">
        <v>10</v>
      </c>
      <c r="AC916">
        <v>0.44444</v>
      </c>
      <c r="AD916" s="47">
        <v>0</v>
      </c>
      <c r="AE916" s="47">
        <v>0</v>
      </c>
      <c r="AF916" s="47">
        <v>0</v>
      </c>
      <c r="AG916" s="47">
        <v>0</v>
      </c>
      <c r="AH916" s="47">
        <v>0</v>
      </c>
      <c r="AI916" s="47">
        <v>2</v>
      </c>
      <c r="AJ916" s="47">
        <v>0</v>
      </c>
      <c r="AK916" s="47">
        <v>2</v>
      </c>
      <c r="AL916">
        <v>10</v>
      </c>
      <c r="AM916">
        <v>0.16667000000000001</v>
      </c>
      <c r="AN916">
        <v>12</v>
      </c>
      <c r="AO916">
        <v>9</v>
      </c>
      <c r="AP916">
        <v>36</v>
      </c>
      <c r="AQ916">
        <v>14</v>
      </c>
      <c r="AR916">
        <v>21</v>
      </c>
      <c r="AS916">
        <v>6</v>
      </c>
      <c r="AT916" t="s">
        <v>16672</v>
      </c>
      <c r="AU916" t="s">
        <v>16673</v>
      </c>
      <c r="AV916">
        <v>0.34100000000000003</v>
      </c>
      <c r="AW916" t="s">
        <v>65</v>
      </c>
      <c r="AX916">
        <v>57</v>
      </c>
      <c r="AY916">
        <v>20</v>
      </c>
      <c r="AZ916" t="s">
        <v>16674</v>
      </c>
      <c r="BA916">
        <v>3.4110000000000001E-2</v>
      </c>
      <c r="BB916">
        <v>-1.67E-3</v>
      </c>
      <c r="BC916">
        <v>3.3500000000000001E-3</v>
      </c>
      <c r="BD916">
        <v>-1.9000000000000001E-4</v>
      </c>
      <c r="BE916">
        <v>9.8150000000000001E-2</v>
      </c>
      <c r="BF916">
        <v>1</v>
      </c>
      <c r="BG916" t="s">
        <v>69</v>
      </c>
      <c r="BH916">
        <v>-0.95799999999999996</v>
      </c>
      <c r="BI916">
        <v>-1.0629999999999999</v>
      </c>
    </row>
    <row r="917" spans="3:61">
      <c r="C917">
        <v>0</v>
      </c>
      <c r="D917">
        <v>21</v>
      </c>
      <c r="E917">
        <v>4</v>
      </c>
      <c r="F917" t="s">
        <v>25021</v>
      </c>
      <c r="G917">
        <v>4021</v>
      </c>
      <c r="H917" t="s">
        <v>23662</v>
      </c>
      <c r="I917" t="s">
        <v>57</v>
      </c>
      <c r="J917">
        <v>3986428</v>
      </c>
      <c r="K917">
        <v>3987882</v>
      </c>
      <c r="L917" t="s">
        <v>23075</v>
      </c>
      <c r="M917">
        <v>485</v>
      </c>
      <c r="N917" t="s">
        <v>108</v>
      </c>
      <c r="O917">
        <v>44</v>
      </c>
      <c r="P917" t="str">
        <f>HYPERLINK("Gene4021-zp_tree_all.dnd", "Gene4021-tree")</f>
        <v>Gene4021-tree</v>
      </c>
      <c r="Q917">
        <v>0</v>
      </c>
      <c r="R917">
        <v>33</v>
      </c>
      <c r="S917">
        <v>0</v>
      </c>
      <c r="T917">
        <v>14</v>
      </c>
      <c r="U917">
        <v>1</v>
      </c>
      <c r="V917" t="s">
        <v>62</v>
      </c>
      <c r="W917" t="s">
        <v>126</v>
      </c>
      <c r="X917">
        <v>3.8719999999999999</v>
      </c>
      <c r="Y917" t="s">
        <v>65</v>
      </c>
      <c r="Z917">
        <v>10</v>
      </c>
      <c r="AA917">
        <v>25</v>
      </c>
      <c r="AB917">
        <v>31</v>
      </c>
      <c r="AC917">
        <v>0.44642999999999999</v>
      </c>
      <c r="AD917" s="47">
        <v>0</v>
      </c>
      <c r="AE917" s="47">
        <v>0</v>
      </c>
      <c r="AF917" s="47">
        <v>0</v>
      </c>
      <c r="AG917" s="47">
        <v>0</v>
      </c>
      <c r="AH917" s="47">
        <v>0</v>
      </c>
      <c r="AI917" s="47">
        <v>13</v>
      </c>
      <c r="AJ917" s="47">
        <v>5</v>
      </c>
      <c r="AK917" s="47">
        <v>18</v>
      </c>
      <c r="AL917">
        <v>31</v>
      </c>
      <c r="AM917">
        <v>0.36735000000000001</v>
      </c>
      <c r="AN917">
        <v>12</v>
      </c>
      <c r="AO917">
        <v>11</v>
      </c>
      <c r="AP917">
        <v>61</v>
      </c>
      <c r="AQ917">
        <v>38</v>
      </c>
      <c r="AR917">
        <v>69</v>
      </c>
      <c r="AS917">
        <v>19</v>
      </c>
      <c r="AT917" t="s">
        <v>23663</v>
      </c>
      <c r="AU917" t="s">
        <v>23664</v>
      </c>
      <c r="AV917">
        <v>1.2030000000000001</v>
      </c>
      <c r="AW917" t="s">
        <v>65</v>
      </c>
      <c r="AX917">
        <v>130</v>
      </c>
      <c r="AY917">
        <v>57</v>
      </c>
      <c r="AZ917" t="s">
        <v>23665</v>
      </c>
      <c r="BA917">
        <v>7.6590000000000005E-2</v>
      </c>
      <c r="BB917">
        <v>-2.8500000000000001E-3</v>
      </c>
      <c r="BC917">
        <v>8.9099999999999995E-3</v>
      </c>
      <c r="BD917">
        <v>-4.0999999999999999E-4</v>
      </c>
      <c r="BE917">
        <v>0.11637</v>
      </c>
      <c r="BF917">
        <v>1</v>
      </c>
      <c r="BG917" t="s">
        <v>69</v>
      </c>
      <c r="BH917">
        <v>-0.74399999999999999</v>
      </c>
      <c r="BI917">
        <v>-1.33</v>
      </c>
    </row>
    <row r="918" spans="3:61">
      <c r="C918">
        <v>0</v>
      </c>
      <c r="D918">
        <v>4</v>
      </c>
      <c r="E918">
        <v>2</v>
      </c>
      <c r="F918" t="s">
        <v>25021</v>
      </c>
      <c r="G918">
        <v>378</v>
      </c>
      <c r="H918" t="s">
        <v>2568</v>
      </c>
      <c r="I918" t="s">
        <v>62</v>
      </c>
      <c r="J918">
        <v>424907</v>
      </c>
      <c r="K918">
        <v>426364</v>
      </c>
      <c r="L918" t="s">
        <v>2569</v>
      </c>
      <c r="M918">
        <v>486</v>
      </c>
      <c r="N918" t="s">
        <v>2570</v>
      </c>
      <c r="O918">
        <v>37</v>
      </c>
      <c r="P918" t="str">
        <f>HYPERLINK("Gene378-zp_tree_all.dnd", "Gene378-tree")</f>
        <v>Gene378-tree</v>
      </c>
      <c r="Q918">
        <v>2</v>
      </c>
      <c r="R918">
        <v>8</v>
      </c>
      <c r="S918">
        <v>2</v>
      </c>
      <c r="T918">
        <v>8</v>
      </c>
      <c r="U918">
        <v>0.8</v>
      </c>
      <c r="V918" t="s">
        <v>81</v>
      </c>
      <c r="W918" t="s">
        <v>136</v>
      </c>
      <c r="X918" t="s">
        <v>62</v>
      </c>
      <c r="Y918" t="s">
        <v>62</v>
      </c>
      <c r="Z918">
        <v>2</v>
      </c>
      <c r="AA918">
        <v>6</v>
      </c>
      <c r="AB918">
        <v>7</v>
      </c>
      <c r="AC918">
        <v>0.46154000000000001</v>
      </c>
      <c r="AD918" s="47">
        <v>0</v>
      </c>
      <c r="AE918" s="47">
        <v>0</v>
      </c>
      <c r="AF918" s="47">
        <v>0</v>
      </c>
      <c r="AG918" s="47">
        <v>0</v>
      </c>
      <c r="AH918" s="47">
        <v>0</v>
      </c>
      <c r="AI918" s="47">
        <v>0</v>
      </c>
      <c r="AJ918" s="47">
        <v>0</v>
      </c>
      <c r="AK918" s="47">
        <v>0</v>
      </c>
      <c r="AL918">
        <v>9</v>
      </c>
      <c r="AM918">
        <v>0</v>
      </c>
      <c r="AN918">
        <v>9</v>
      </c>
      <c r="AO918">
        <v>7</v>
      </c>
      <c r="AP918">
        <v>55</v>
      </c>
      <c r="AQ918">
        <v>10</v>
      </c>
      <c r="AR918">
        <v>33</v>
      </c>
      <c r="AS918">
        <v>5</v>
      </c>
      <c r="AT918" t="s">
        <v>2571</v>
      </c>
      <c r="AU918" t="s">
        <v>2572</v>
      </c>
      <c r="AV918">
        <v>0.311</v>
      </c>
      <c r="AW918" t="s">
        <v>65</v>
      </c>
      <c r="AX918">
        <v>88</v>
      </c>
      <c r="AY918">
        <v>15</v>
      </c>
      <c r="AZ918" t="s">
        <v>2573</v>
      </c>
      <c r="BA918">
        <v>6.5199999999999994E-2</v>
      </c>
      <c r="BB918">
        <v>-3.0000000000000001E-3</v>
      </c>
      <c r="BC918">
        <v>2.5699999999999998E-3</v>
      </c>
      <c r="BD918">
        <v>-1.4999999999999999E-4</v>
      </c>
      <c r="BE918">
        <v>3.9399999999999998E-2</v>
      </c>
      <c r="BF918">
        <v>1</v>
      </c>
      <c r="BG918" t="s">
        <v>69</v>
      </c>
      <c r="BH918">
        <v>6.9000000000000006E-2</v>
      </c>
      <c r="BI918">
        <v>-0.41199999999999998</v>
      </c>
    </row>
    <row r="919" spans="3:61">
      <c r="C919">
        <v>0</v>
      </c>
      <c r="D919">
        <v>12</v>
      </c>
      <c r="E919">
        <v>0</v>
      </c>
      <c r="F919" t="s">
        <v>25021</v>
      </c>
      <c r="G919">
        <v>972</v>
      </c>
      <c r="H919" t="s">
        <v>6088</v>
      </c>
      <c r="I919" t="s">
        <v>62</v>
      </c>
      <c r="J919">
        <v>1011795</v>
      </c>
      <c r="K919">
        <v>1013258</v>
      </c>
      <c r="L919" t="s">
        <v>6089</v>
      </c>
      <c r="M919">
        <v>488</v>
      </c>
      <c r="N919" t="s">
        <v>1392</v>
      </c>
      <c r="O919">
        <v>43</v>
      </c>
      <c r="P919" t="str">
        <f>HYPERLINK("Gene972-zp_tree_all.dnd", "Gene972-tree")</f>
        <v>Gene972-tree</v>
      </c>
      <c r="Q919">
        <v>4</v>
      </c>
      <c r="R919">
        <v>12</v>
      </c>
      <c r="S919">
        <v>4</v>
      </c>
      <c r="T919">
        <v>12</v>
      </c>
      <c r="U919">
        <v>0.75</v>
      </c>
      <c r="V919" t="s">
        <v>61</v>
      </c>
      <c r="W919" t="s">
        <v>109</v>
      </c>
      <c r="X919" t="s">
        <v>62</v>
      </c>
      <c r="Y919" t="s">
        <v>62</v>
      </c>
      <c r="Z919">
        <v>5</v>
      </c>
      <c r="AA919">
        <v>12</v>
      </c>
      <c r="AB919">
        <v>19</v>
      </c>
      <c r="AC919">
        <v>0.3871</v>
      </c>
      <c r="AD919" s="47">
        <v>0</v>
      </c>
      <c r="AE919" s="47">
        <v>0</v>
      </c>
      <c r="AF919" s="47">
        <v>0</v>
      </c>
      <c r="AG919" s="47">
        <v>6</v>
      </c>
      <c r="AH919" s="47">
        <v>0</v>
      </c>
      <c r="AI919" s="47">
        <v>6</v>
      </c>
      <c r="AJ919" s="47">
        <v>0</v>
      </c>
      <c r="AK919" s="47">
        <v>6</v>
      </c>
      <c r="AL919">
        <v>14</v>
      </c>
      <c r="AM919">
        <v>0.3</v>
      </c>
      <c r="AN919">
        <v>12</v>
      </c>
      <c r="AO919">
        <v>10</v>
      </c>
      <c r="AP919">
        <v>27</v>
      </c>
      <c r="AQ919">
        <v>19</v>
      </c>
      <c r="AR919">
        <v>27</v>
      </c>
      <c r="AS919">
        <v>12</v>
      </c>
      <c r="AT919" t="s">
        <v>6090</v>
      </c>
      <c r="AU919" t="s">
        <v>6091</v>
      </c>
      <c r="AV919">
        <v>0.753</v>
      </c>
      <c r="AW919" t="s">
        <v>65</v>
      </c>
      <c r="AX919">
        <v>54</v>
      </c>
      <c r="AY919">
        <v>31</v>
      </c>
      <c r="AZ919" t="s">
        <v>6092</v>
      </c>
      <c r="BA919">
        <v>2.3879999999999998E-2</v>
      </c>
      <c r="BB919">
        <v>-7.2000000000000005E-4</v>
      </c>
      <c r="BC919">
        <v>4.9300000000000004E-3</v>
      </c>
      <c r="BD919">
        <v>-2.2000000000000001E-4</v>
      </c>
      <c r="BE919">
        <v>0.2064</v>
      </c>
      <c r="BF919">
        <v>1</v>
      </c>
      <c r="BG919" t="s">
        <v>69</v>
      </c>
      <c r="BH919">
        <v>-0.84499999999999997</v>
      </c>
      <c r="BI919">
        <v>-1.1439999999999999</v>
      </c>
    </row>
    <row r="920" spans="3:61">
      <c r="C920">
        <v>0</v>
      </c>
      <c r="D920">
        <v>45</v>
      </c>
      <c r="E920">
        <v>6</v>
      </c>
      <c r="F920" t="s">
        <v>25021</v>
      </c>
      <c r="G920">
        <v>3565</v>
      </c>
      <c r="H920" t="s">
        <v>20912</v>
      </c>
      <c r="I920" t="s">
        <v>57</v>
      </c>
      <c r="J920">
        <v>3530635</v>
      </c>
      <c r="K920">
        <v>3532101</v>
      </c>
      <c r="L920" t="s">
        <v>20913</v>
      </c>
      <c r="M920">
        <v>489</v>
      </c>
      <c r="N920" t="s">
        <v>20914</v>
      </c>
      <c r="O920">
        <v>39</v>
      </c>
      <c r="P920" t="str">
        <f>HYPERLINK("Gene3565-zp_tree_all.dnd", "Gene3565-tree")</f>
        <v>Gene3565-tree</v>
      </c>
      <c r="Q920">
        <v>2</v>
      </c>
      <c r="R920">
        <v>12</v>
      </c>
      <c r="S920">
        <v>2</v>
      </c>
      <c r="T920">
        <v>12</v>
      </c>
      <c r="U920">
        <v>0.85714000000000001</v>
      </c>
      <c r="V920" t="s">
        <v>81</v>
      </c>
      <c r="W920" t="s">
        <v>109</v>
      </c>
      <c r="X920" t="s">
        <v>62</v>
      </c>
      <c r="Y920" t="s">
        <v>62</v>
      </c>
      <c r="Z920">
        <v>20</v>
      </c>
      <c r="AA920">
        <v>51</v>
      </c>
      <c r="AB920">
        <v>29</v>
      </c>
      <c r="AC920">
        <v>0.63749999999999996</v>
      </c>
      <c r="AD920" s="47">
        <v>0</v>
      </c>
      <c r="AE920" s="47">
        <v>0</v>
      </c>
      <c r="AF920" s="47">
        <v>0</v>
      </c>
      <c r="AG920" s="47">
        <v>4</v>
      </c>
      <c r="AH920" s="47">
        <v>0</v>
      </c>
      <c r="AI920" s="47">
        <v>11</v>
      </c>
      <c r="AJ920" s="47">
        <v>10</v>
      </c>
      <c r="AK920" s="47">
        <v>21</v>
      </c>
      <c r="AL920">
        <v>35</v>
      </c>
      <c r="AM920">
        <v>0.375</v>
      </c>
      <c r="AN920">
        <v>12</v>
      </c>
      <c r="AO920">
        <v>11</v>
      </c>
      <c r="AP920">
        <v>119</v>
      </c>
      <c r="AQ920">
        <v>58</v>
      </c>
      <c r="AR920">
        <v>75</v>
      </c>
      <c r="AS920">
        <v>24</v>
      </c>
      <c r="AT920" t="s">
        <v>20915</v>
      </c>
      <c r="AU920" t="s">
        <v>20916</v>
      </c>
      <c r="AV920">
        <v>0.75600000000000001</v>
      </c>
      <c r="AW920" t="s">
        <v>65</v>
      </c>
      <c r="AX920">
        <v>194</v>
      </c>
      <c r="AY920">
        <v>82</v>
      </c>
      <c r="AZ920" t="s">
        <v>20917</v>
      </c>
      <c r="BA920">
        <v>0.10471</v>
      </c>
      <c r="BB920">
        <v>-3.7100000000000002E-3</v>
      </c>
      <c r="BC920">
        <v>1.2279999999999999E-2</v>
      </c>
      <c r="BD920">
        <v>-4.4000000000000002E-4</v>
      </c>
      <c r="BE920">
        <v>0.11729000000000001</v>
      </c>
      <c r="BF920">
        <v>1</v>
      </c>
      <c r="BG920" t="s">
        <v>69</v>
      </c>
      <c r="BH920">
        <v>-0.26900000000000002</v>
      </c>
      <c r="BI920">
        <v>-1.5049999999999999</v>
      </c>
    </row>
    <row r="921" spans="3:61">
      <c r="C921">
        <v>0</v>
      </c>
      <c r="D921">
        <v>0</v>
      </c>
      <c r="E921">
        <v>0</v>
      </c>
      <c r="F921" t="s">
        <v>25021</v>
      </c>
      <c r="G921">
        <v>2487</v>
      </c>
      <c r="H921" t="s">
        <v>14491</v>
      </c>
      <c r="I921" t="s">
        <v>57</v>
      </c>
      <c r="J921">
        <v>2479156</v>
      </c>
      <c r="K921">
        <v>2480622</v>
      </c>
      <c r="L921" t="s">
        <v>14492</v>
      </c>
      <c r="M921">
        <v>489</v>
      </c>
      <c r="N921" t="s">
        <v>108</v>
      </c>
      <c r="O921">
        <v>44</v>
      </c>
      <c r="P921" t="str">
        <f>HYPERLINK("Gene2487-zp_tree_all.dnd", "Gene2487-tree")</f>
        <v>Gene2487-tree</v>
      </c>
      <c r="Q921">
        <v>12</v>
      </c>
      <c r="R921">
        <v>3</v>
      </c>
      <c r="S921">
        <v>12</v>
      </c>
      <c r="T921">
        <v>3</v>
      </c>
      <c r="U921">
        <v>0.2</v>
      </c>
      <c r="V921" t="s">
        <v>109</v>
      </c>
      <c r="W921" t="s">
        <v>324</v>
      </c>
      <c r="X921" t="s">
        <v>62</v>
      </c>
      <c r="Y921" t="s">
        <v>62</v>
      </c>
      <c r="Z921">
        <v>0</v>
      </c>
      <c r="AA921">
        <v>0</v>
      </c>
      <c r="AB921">
        <v>10</v>
      </c>
      <c r="AC921">
        <v>0</v>
      </c>
      <c r="AD921" s="47">
        <v>0</v>
      </c>
      <c r="AE921" s="47">
        <v>0</v>
      </c>
      <c r="AF921" s="47">
        <v>0</v>
      </c>
      <c r="AG921" s="47">
        <v>3</v>
      </c>
      <c r="AH921" s="47">
        <v>0</v>
      </c>
      <c r="AI921" s="47">
        <v>0</v>
      </c>
      <c r="AJ921" s="47">
        <v>0</v>
      </c>
      <c r="AK921" s="47">
        <v>0</v>
      </c>
      <c r="AL921">
        <v>3</v>
      </c>
      <c r="AM921">
        <v>0</v>
      </c>
      <c r="AN921">
        <v>11</v>
      </c>
      <c r="AO921">
        <v>8</v>
      </c>
      <c r="AP921">
        <v>49</v>
      </c>
      <c r="AQ921">
        <v>4</v>
      </c>
      <c r="AR921">
        <v>21</v>
      </c>
      <c r="AS921">
        <v>7</v>
      </c>
      <c r="AT921" t="s">
        <v>14493</v>
      </c>
      <c r="AU921" t="s">
        <v>14494</v>
      </c>
      <c r="AV921">
        <v>1.1180000000000001</v>
      </c>
      <c r="AW921" t="s">
        <v>65</v>
      </c>
      <c r="AX921">
        <v>70</v>
      </c>
      <c r="AY921">
        <v>11</v>
      </c>
      <c r="AZ921" t="s">
        <v>1060</v>
      </c>
      <c r="BA921">
        <v>3.2849999999999997E-2</v>
      </c>
      <c r="BB921">
        <v>-2.1800000000000001E-3</v>
      </c>
      <c r="BC921">
        <v>2.3E-3</v>
      </c>
      <c r="BD921">
        <v>-1.2E-4</v>
      </c>
      <c r="BE921">
        <v>7.0000000000000007E-2</v>
      </c>
      <c r="BF921">
        <v>1</v>
      </c>
      <c r="BG921" t="s">
        <v>69</v>
      </c>
      <c r="BH921">
        <v>-1.2529999999999999</v>
      </c>
      <c r="BI921">
        <v>-1.901</v>
      </c>
    </row>
    <row r="922" spans="3:61">
      <c r="C922">
        <v>0</v>
      </c>
      <c r="D922">
        <v>12</v>
      </c>
      <c r="E922">
        <v>2</v>
      </c>
      <c r="F922" t="s">
        <v>25021</v>
      </c>
      <c r="G922">
        <v>1080</v>
      </c>
      <c r="H922" t="s">
        <v>6785</v>
      </c>
      <c r="I922" t="s">
        <v>62</v>
      </c>
      <c r="J922">
        <v>1119165</v>
      </c>
      <c r="K922">
        <v>1120631</v>
      </c>
      <c r="L922" t="s">
        <v>6786</v>
      </c>
      <c r="M922">
        <v>489</v>
      </c>
      <c r="N922" t="s">
        <v>108</v>
      </c>
      <c r="O922">
        <v>44</v>
      </c>
      <c r="P922" t="str">
        <f>HYPERLINK("Gene1080-zp_tree_all.dnd", "Gene1080-tree")</f>
        <v>Gene1080-tree</v>
      </c>
      <c r="Q922">
        <v>4</v>
      </c>
      <c r="R922">
        <v>29</v>
      </c>
      <c r="S922">
        <v>4</v>
      </c>
      <c r="T922">
        <v>9</v>
      </c>
      <c r="U922">
        <v>0.69230999999999998</v>
      </c>
      <c r="V922" t="s">
        <v>61</v>
      </c>
      <c r="W922" t="s">
        <v>234</v>
      </c>
      <c r="X922">
        <v>2.48</v>
      </c>
      <c r="Y922" t="s">
        <v>65</v>
      </c>
      <c r="Z922">
        <v>6</v>
      </c>
      <c r="AA922">
        <v>14</v>
      </c>
      <c r="AB922">
        <v>9</v>
      </c>
      <c r="AC922">
        <v>0.60870000000000002</v>
      </c>
      <c r="AD922" s="47">
        <v>0</v>
      </c>
      <c r="AE922" s="47">
        <v>0</v>
      </c>
      <c r="AF922" s="47">
        <v>0</v>
      </c>
      <c r="AG922" s="47">
        <v>0</v>
      </c>
      <c r="AH922" s="47">
        <v>0</v>
      </c>
      <c r="AI922" s="47">
        <v>8</v>
      </c>
      <c r="AJ922" s="47">
        <v>2</v>
      </c>
      <c r="AK922" s="47">
        <v>10</v>
      </c>
      <c r="AL922">
        <v>6</v>
      </c>
      <c r="AM922">
        <v>0.625</v>
      </c>
      <c r="AN922">
        <v>11</v>
      </c>
      <c r="AO922">
        <v>10</v>
      </c>
      <c r="AP922">
        <v>76</v>
      </c>
      <c r="AQ922">
        <v>16</v>
      </c>
      <c r="AR922">
        <v>46</v>
      </c>
      <c r="AS922">
        <v>7</v>
      </c>
      <c r="AT922" t="s">
        <v>6787</v>
      </c>
      <c r="AU922" t="s">
        <v>6788</v>
      </c>
      <c r="AV922">
        <v>0.38700000000000001</v>
      </c>
      <c r="AW922" t="s">
        <v>65</v>
      </c>
      <c r="AX922">
        <v>122</v>
      </c>
      <c r="AY922">
        <v>23</v>
      </c>
      <c r="AZ922" t="s">
        <v>6789</v>
      </c>
      <c r="BA922">
        <v>6.0940000000000001E-2</v>
      </c>
      <c r="BB922">
        <v>-2.31E-3</v>
      </c>
      <c r="BC922">
        <v>4.0899999999999999E-3</v>
      </c>
      <c r="BD922">
        <v>-2.4000000000000001E-4</v>
      </c>
      <c r="BE922">
        <v>6.7159999999999997E-2</v>
      </c>
      <c r="BF922">
        <v>1</v>
      </c>
      <c r="BG922" t="s">
        <v>69</v>
      </c>
      <c r="BH922">
        <v>-0.20499999999999999</v>
      </c>
      <c r="BI922">
        <v>-0.88300000000000001</v>
      </c>
    </row>
    <row r="923" spans="3:61">
      <c r="C923">
        <v>0</v>
      </c>
      <c r="D923">
        <v>4</v>
      </c>
      <c r="E923">
        <v>0</v>
      </c>
      <c r="F923" t="s">
        <v>25021</v>
      </c>
      <c r="G923">
        <v>1523</v>
      </c>
      <c r="H923" t="s">
        <v>9518</v>
      </c>
      <c r="I923" t="s">
        <v>62</v>
      </c>
      <c r="J923">
        <v>1534282</v>
      </c>
      <c r="K923">
        <v>1535751</v>
      </c>
      <c r="L923" t="s">
        <v>9519</v>
      </c>
      <c r="M923">
        <v>490</v>
      </c>
      <c r="N923" t="s">
        <v>108</v>
      </c>
      <c r="O923">
        <v>44</v>
      </c>
      <c r="P923" t="str">
        <f>HYPERLINK("Gene1523-zp_tree_all.dnd", "Gene1523-tree")</f>
        <v>Gene1523-tree</v>
      </c>
      <c r="Q923">
        <v>8</v>
      </c>
      <c r="R923">
        <v>4</v>
      </c>
      <c r="S923">
        <v>8</v>
      </c>
      <c r="T923">
        <v>4</v>
      </c>
      <c r="U923">
        <v>0.33333000000000002</v>
      </c>
      <c r="V923" t="s">
        <v>136</v>
      </c>
      <c r="W923" t="s">
        <v>61</v>
      </c>
      <c r="X923" t="s">
        <v>62</v>
      </c>
      <c r="Y923" t="s">
        <v>62</v>
      </c>
      <c r="Z923">
        <v>2</v>
      </c>
      <c r="AA923">
        <v>4</v>
      </c>
      <c r="AB923">
        <v>5</v>
      </c>
      <c r="AC923">
        <v>0.44444</v>
      </c>
      <c r="AD923" s="47">
        <v>0</v>
      </c>
      <c r="AE923" s="47">
        <v>0</v>
      </c>
      <c r="AF923" s="47">
        <v>0</v>
      </c>
      <c r="AG923" s="47">
        <v>0</v>
      </c>
      <c r="AH923" s="47">
        <v>0</v>
      </c>
      <c r="AI923" s="47">
        <v>2</v>
      </c>
      <c r="AJ923" s="47">
        <v>0</v>
      </c>
      <c r="AK923" s="47">
        <v>2</v>
      </c>
      <c r="AL923">
        <v>6</v>
      </c>
      <c r="AM923">
        <v>0.25</v>
      </c>
      <c r="AN923">
        <v>10</v>
      </c>
      <c r="AO923">
        <v>8</v>
      </c>
      <c r="AP923">
        <v>53</v>
      </c>
      <c r="AQ923">
        <v>8</v>
      </c>
      <c r="AR923">
        <v>26</v>
      </c>
      <c r="AS923">
        <v>1</v>
      </c>
      <c r="AT923" t="s">
        <v>9520</v>
      </c>
      <c r="AU923" t="s">
        <v>9521</v>
      </c>
      <c r="AV923">
        <v>0.63700000000000001</v>
      </c>
      <c r="AW923" t="s">
        <v>65</v>
      </c>
      <c r="AX923">
        <v>79</v>
      </c>
      <c r="AY923">
        <v>9</v>
      </c>
      <c r="AZ923" t="s">
        <v>9522</v>
      </c>
      <c r="BA923">
        <v>5.1409999999999997E-2</v>
      </c>
      <c r="BB923">
        <v>-2.5600000000000002E-3</v>
      </c>
      <c r="BC923">
        <v>1.4400000000000001E-3</v>
      </c>
      <c r="BD923">
        <v>-1.7000000000000001E-4</v>
      </c>
      <c r="BE923">
        <v>2.801E-2</v>
      </c>
      <c r="BF923">
        <v>1</v>
      </c>
      <c r="BG923" t="s">
        <v>69</v>
      </c>
      <c r="BH923">
        <v>-0.38400000000000001</v>
      </c>
      <c r="BI923">
        <v>-0.91800000000000004</v>
      </c>
    </row>
    <row r="924" spans="3:61">
      <c r="C924">
        <v>0</v>
      </c>
      <c r="D924">
        <v>23</v>
      </c>
      <c r="E924">
        <v>0</v>
      </c>
      <c r="F924" t="s">
        <v>25021</v>
      </c>
      <c r="G924">
        <v>1904</v>
      </c>
      <c r="H924" t="s">
        <v>11921</v>
      </c>
      <c r="I924" t="s">
        <v>62</v>
      </c>
      <c r="J924">
        <v>1998343</v>
      </c>
      <c r="K924">
        <v>1999815</v>
      </c>
      <c r="L924" t="s">
        <v>11922</v>
      </c>
      <c r="M924">
        <v>491</v>
      </c>
      <c r="N924" t="s">
        <v>108</v>
      </c>
      <c r="O924">
        <v>44</v>
      </c>
      <c r="P924" t="str">
        <f>HYPERLINK("Gene1904-zp_tree_all.dnd", "Gene1904-tree")</f>
        <v>Gene1904-tree</v>
      </c>
      <c r="Q924">
        <v>2</v>
      </c>
      <c r="R924">
        <v>14</v>
      </c>
      <c r="S924">
        <v>2</v>
      </c>
      <c r="T924">
        <v>14</v>
      </c>
      <c r="U924">
        <v>0.875</v>
      </c>
      <c r="V924" t="s">
        <v>81</v>
      </c>
      <c r="W924" t="s">
        <v>543</v>
      </c>
      <c r="X924">
        <v>860908720.12699997</v>
      </c>
      <c r="Y924" t="s">
        <v>267</v>
      </c>
      <c r="Z924">
        <v>10</v>
      </c>
      <c r="AA924">
        <v>23</v>
      </c>
      <c r="AB924">
        <v>21</v>
      </c>
      <c r="AC924">
        <v>0.52273000000000003</v>
      </c>
      <c r="AD924" s="47">
        <v>0</v>
      </c>
      <c r="AE924" s="47">
        <v>0</v>
      </c>
      <c r="AF924" s="47">
        <v>0</v>
      </c>
      <c r="AG924" s="47">
        <v>0</v>
      </c>
      <c r="AH924" s="47">
        <v>0</v>
      </c>
      <c r="AI924" s="47">
        <v>12</v>
      </c>
      <c r="AJ924" s="47">
        <v>0</v>
      </c>
      <c r="AK924" s="47">
        <v>12</v>
      </c>
      <c r="AL924">
        <v>23</v>
      </c>
      <c r="AM924">
        <v>0.34286</v>
      </c>
      <c r="AN924">
        <v>13</v>
      </c>
      <c r="AO924">
        <v>9</v>
      </c>
      <c r="AP924">
        <v>38</v>
      </c>
      <c r="AQ924">
        <v>32</v>
      </c>
      <c r="AR924">
        <v>12</v>
      </c>
      <c r="AS924">
        <v>12</v>
      </c>
      <c r="AT924" t="s">
        <v>11923</v>
      </c>
      <c r="AU924" t="s">
        <v>11924</v>
      </c>
      <c r="AV924">
        <v>0.23799999999999999</v>
      </c>
      <c r="AW924" t="s">
        <v>65</v>
      </c>
      <c r="AX924">
        <v>50</v>
      </c>
      <c r="AY924">
        <v>44</v>
      </c>
      <c r="AZ924" t="s">
        <v>11925</v>
      </c>
      <c r="BA924">
        <v>2.2849999999999999E-2</v>
      </c>
      <c r="BB924">
        <v>-1.0499999999999999E-3</v>
      </c>
      <c r="BC924">
        <v>5.3800000000000002E-3</v>
      </c>
      <c r="BD924">
        <v>-2.0000000000000001E-4</v>
      </c>
      <c r="BE924">
        <v>0.23566000000000001</v>
      </c>
      <c r="BF924">
        <v>1</v>
      </c>
      <c r="BG924" t="s">
        <v>69</v>
      </c>
      <c r="BH924">
        <v>-1.365</v>
      </c>
      <c r="BI924">
        <v>-1.9730000000000001</v>
      </c>
    </row>
    <row r="925" spans="3:61">
      <c r="C925">
        <v>0</v>
      </c>
      <c r="D925">
        <v>16</v>
      </c>
      <c r="E925">
        <v>1</v>
      </c>
      <c r="F925" t="s">
        <v>25021</v>
      </c>
      <c r="G925">
        <v>371</v>
      </c>
      <c r="H925" t="s">
        <v>2519</v>
      </c>
      <c r="I925" t="s">
        <v>62</v>
      </c>
      <c r="J925">
        <v>416238</v>
      </c>
      <c r="K925">
        <v>417713</v>
      </c>
      <c r="L925" t="s">
        <v>2520</v>
      </c>
      <c r="M925">
        <v>492</v>
      </c>
      <c r="N925" t="s">
        <v>72</v>
      </c>
      <c r="O925">
        <v>45</v>
      </c>
      <c r="P925" t="str">
        <f>HYPERLINK("Gene371-zp_tree_all.dnd", "Gene371-tree")</f>
        <v>Gene371-tree</v>
      </c>
      <c r="Q925">
        <v>25</v>
      </c>
      <c r="R925">
        <v>8</v>
      </c>
      <c r="S925">
        <v>9</v>
      </c>
      <c r="T925">
        <v>8</v>
      </c>
      <c r="U925">
        <v>0.47059000000000001</v>
      </c>
      <c r="V925" t="s">
        <v>2521</v>
      </c>
      <c r="W925" t="s">
        <v>136</v>
      </c>
      <c r="X925" t="s">
        <v>62</v>
      </c>
      <c r="Y925" t="s">
        <v>62</v>
      </c>
      <c r="Z925">
        <v>5</v>
      </c>
      <c r="AA925">
        <v>17</v>
      </c>
      <c r="AB925">
        <v>18</v>
      </c>
      <c r="AC925">
        <v>0.48570999999999998</v>
      </c>
      <c r="AD925" s="47">
        <v>0</v>
      </c>
      <c r="AE925" s="47">
        <v>0</v>
      </c>
      <c r="AF925" s="47">
        <v>0</v>
      </c>
      <c r="AG925" s="47">
        <v>2</v>
      </c>
      <c r="AH925" s="47">
        <v>0</v>
      </c>
      <c r="AI925" s="47">
        <v>5</v>
      </c>
      <c r="AJ925" s="47">
        <v>0</v>
      </c>
      <c r="AK925" s="47">
        <v>5</v>
      </c>
      <c r="AL925">
        <v>16</v>
      </c>
      <c r="AM925">
        <v>0.23810000000000001</v>
      </c>
      <c r="AN925">
        <v>14</v>
      </c>
      <c r="AO925">
        <v>14</v>
      </c>
      <c r="AP925">
        <v>77</v>
      </c>
      <c r="AQ925">
        <v>21</v>
      </c>
      <c r="AR925">
        <v>54</v>
      </c>
      <c r="AS925">
        <v>15</v>
      </c>
      <c r="AT925" t="s">
        <v>2522</v>
      </c>
      <c r="AU925" t="s">
        <v>2523</v>
      </c>
      <c r="AV925">
        <v>3.2000000000000001E-2</v>
      </c>
      <c r="AW925" t="s">
        <v>65</v>
      </c>
      <c r="AX925">
        <v>131</v>
      </c>
      <c r="AY925">
        <v>36</v>
      </c>
      <c r="AZ925" t="s">
        <v>2524</v>
      </c>
      <c r="BA925">
        <v>5.4890000000000001E-2</v>
      </c>
      <c r="BB925">
        <v>-3.6600000000000001E-3</v>
      </c>
      <c r="BC925">
        <v>5.1399999999999996E-3</v>
      </c>
      <c r="BD925">
        <v>-2.9E-4</v>
      </c>
      <c r="BE925">
        <v>9.3630000000000005E-2</v>
      </c>
      <c r="BF925">
        <v>1</v>
      </c>
      <c r="BG925" t="s">
        <v>69</v>
      </c>
      <c r="BH925">
        <v>-0.90300000000000002</v>
      </c>
      <c r="BI925">
        <v>-3.2360000000000002</v>
      </c>
    </row>
    <row r="926" spans="3:61">
      <c r="C926">
        <v>0</v>
      </c>
      <c r="D926">
        <v>2</v>
      </c>
      <c r="E926">
        <v>4</v>
      </c>
      <c r="F926" t="s">
        <v>25021</v>
      </c>
      <c r="G926">
        <v>701</v>
      </c>
      <c r="H926" t="s">
        <v>4388</v>
      </c>
      <c r="I926" t="s">
        <v>62</v>
      </c>
      <c r="J926">
        <v>726843</v>
      </c>
      <c r="K926">
        <v>728318</v>
      </c>
      <c r="L926" t="s">
        <v>4389</v>
      </c>
      <c r="M926">
        <v>492</v>
      </c>
      <c r="N926" t="s">
        <v>108</v>
      </c>
      <c r="O926">
        <v>44</v>
      </c>
      <c r="P926" t="str">
        <f>HYPERLINK("Gene701-zp_tree_all.dnd", "Gene701-tree")</f>
        <v>Gene701-tree</v>
      </c>
      <c r="Q926">
        <v>12</v>
      </c>
      <c r="R926">
        <v>5</v>
      </c>
      <c r="S926">
        <v>12</v>
      </c>
      <c r="T926">
        <v>5</v>
      </c>
      <c r="U926">
        <v>0.29411999999999999</v>
      </c>
      <c r="V926" t="s">
        <v>109</v>
      </c>
      <c r="W926" t="s">
        <v>199</v>
      </c>
      <c r="X926" t="s">
        <v>62</v>
      </c>
      <c r="Y926" t="s">
        <v>62</v>
      </c>
      <c r="Z926">
        <v>3</v>
      </c>
      <c r="AA926">
        <v>6</v>
      </c>
      <c r="AB926">
        <v>10</v>
      </c>
      <c r="AC926">
        <v>0.375</v>
      </c>
      <c r="AD926" s="47">
        <v>0</v>
      </c>
      <c r="AE926" s="47">
        <v>0</v>
      </c>
      <c r="AF926" s="47">
        <v>0</v>
      </c>
      <c r="AG926" s="47">
        <v>0</v>
      </c>
      <c r="AH926" s="47">
        <v>0</v>
      </c>
      <c r="AI926" s="47">
        <v>0</v>
      </c>
      <c r="AJ926" s="47">
        <v>2</v>
      </c>
      <c r="AK926" s="47">
        <v>2</v>
      </c>
      <c r="AL926">
        <v>11</v>
      </c>
      <c r="AM926">
        <v>0.15384999999999999</v>
      </c>
      <c r="AN926">
        <v>15</v>
      </c>
      <c r="AO926">
        <v>13</v>
      </c>
      <c r="AP926">
        <v>90</v>
      </c>
      <c r="AQ926">
        <v>13</v>
      </c>
      <c r="AR926">
        <v>43</v>
      </c>
      <c r="AS926">
        <v>3</v>
      </c>
      <c r="AT926" t="s">
        <v>4390</v>
      </c>
      <c r="AU926" t="s">
        <v>4391</v>
      </c>
      <c r="AV926">
        <v>0.19800000000000001</v>
      </c>
      <c r="AW926" t="s">
        <v>65</v>
      </c>
      <c r="AX926">
        <v>133</v>
      </c>
      <c r="AY926">
        <v>16</v>
      </c>
      <c r="AZ926" t="s">
        <v>4392</v>
      </c>
      <c r="BA926">
        <v>5.4179999999999999E-2</v>
      </c>
      <c r="BB926">
        <v>-3.81E-3</v>
      </c>
      <c r="BC926">
        <v>2.4199999999999998E-3</v>
      </c>
      <c r="BD926">
        <v>-2.4000000000000001E-4</v>
      </c>
      <c r="BE926">
        <v>4.4729999999999999E-2</v>
      </c>
      <c r="BF926">
        <v>1</v>
      </c>
      <c r="BG926" t="s">
        <v>69</v>
      </c>
      <c r="BH926">
        <v>-1.3779999999999999</v>
      </c>
      <c r="BI926">
        <v>-2.9420000000000002</v>
      </c>
    </row>
    <row r="927" spans="3:61">
      <c r="C927">
        <v>0</v>
      </c>
      <c r="D927">
        <v>15</v>
      </c>
      <c r="E927">
        <v>0</v>
      </c>
      <c r="F927" t="s">
        <v>25021</v>
      </c>
      <c r="G927">
        <v>3282</v>
      </c>
      <c r="H927" t="s">
        <v>19153</v>
      </c>
      <c r="I927" t="s">
        <v>57</v>
      </c>
      <c r="J927">
        <v>3249761</v>
      </c>
      <c r="K927">
        <v>3251239</v>
      </c>
      <c r="L927" t="s">
        <v>19154</v>
      </c>
      <c r="M927">
        <v>493</v>
      </c>
      <c r="N927" t="s">
        <v>108</v>
      </c>
      <c r="O927">
        <v>44</v>
      </c>
      <c r="P927" t="str">
        <f>HYPERLINK("Gene3282-zp_tree_all.dnd", "Gene3282-tree")</f>
        <v>Gene3282-tree</v>
      </c>
      <c r="Q927">
        <v>6</v>
      </c>
      <c r="R927">
        <v>11</v>
      </c>
      <c r="S927">
        <v>6</v>
      </c>
      <c r="T927">
        <v>11</v>
      </c>
      <c r="U927">
        <v>0.64705999999999997</v>
      </c>
      <c r="V927" t="s">
        <v>90</v>
      </c>
      <c r="W927" t="s">
        <v>73</v>
      </c>
      <c r="X927">
        <v>95384385.856999993</v>
      </c>
      <c r="Y927" t="s">
        <v>267</v>
      </c>
      <c r="Z927">
        <v>4</v>
      </c>
      <c r="AA927">
        <v>15</v>
      </c>
      <c r="AB927">
        <v>15</v>
      </c>
      <c r="AC927">
        <v>0.5</v>
      </c>
      <c r="AD927" s="47">
        <v>0</v>
      </c>
      <c r="AE927" s="47">
        <v>0</v>
      </c>
      <c r="AF927" s="47">
        <v>0</v>
      </c>
      <c r="AG927" s="47">
        <v>0</v>
      </c>
      <c r="AH927" s="47">
        <v>0</v>
      </c>
      <c r="AI927" s="47">
        <v>9</v>
      </c>
      <c r="AJ927" s="47">
        <v>0</v>
      </c>
      <c r="AK927" s="47">
        <v>9</v>
      </c>
      <c r="AL927">
        <v>10</v>
      </c>
      <c r="AM927">
        <v>0.47367999999999999</v>
      </c>
      <c r="AN927">
        <v>17</v>
      </c>
      <c r="AO927">
        <v>14</v>
      </c>
      <c r="AP927">
        <v>69</v>
      </c>
      <c r="AQ927">
        <v>19</v>
      </c>
      <c r="AR927">
        <v>44</v>
      </c>
      <c r="AS927">
        <v>11</v>
      </c>
      <c r="AT927" t="s">
        <v>19155</v>
      </c>
      <c r="AU927" t="s">
        <v>19156</v>
      </c>
      <c r="AV927">
        <v>0.125</v>
      </c>
      <c r="AW927" t="s">
        <v>65</v>
      </c>
      <c r="AX927">
        <v>113</v>
      </c>
      <c r="AY927">
        <v>30</v>
      </c>
      <c r="AZ927" t="s">
        <v>19157</v>
      </c>
      <c r="BA927">
        <v>4.2130000000000001E-2</v>
      </c>
      <c r="BB927">
        <v>-1.31E-3</v>
      </c>
      <c r="BC927">
        <v>3.98E-3</v>
      </c>
      <c r="BD927">
        <v>-1.4999999999999999E-4</v>
      </c>
      <c r="BE927">
        <v>9.4409999999999994E-2</v>
      </c>
      <c r="BF927">
        <v>1</v>
      </c>
      <c r="BG927" t="s">
        <v>69</v>
      </c>
      <c r="BH927">
        <v>-0.45100000000000001</v>
      </c>
      <c r="BI927">
        <v>-1.593</v>
      </c>
    </row>
    <row r="928" spans="3:61">
      <c r="C928">
        <v>0</v>
      </c>
      <c r="D928">
        <v>2</v>
      </c>
      <c r="E928">
        <v>3</v>
      </c>
      <c r="F928" t="s">
        <v>25021</v>
      </c>
      <c r="G928">
        <v>3726</v>
      </c>
      <c r="H928" t="s">
        <v>21839</v>
      </c>
      <c r="I928" t="s">
        <v>57</v>
      </c>
      <c r="J928">
        <v>3703682</v>
      </c>
      <c r="K928">
        <v>3705160</v>
      </c>
      <c r="L928" t="s">
        <v>21840</v>
      </c>
      <c r="M928">
        <v>493</v>
      </c>
      <c r="N928" t="s">
        <v>108</v>
      </c>
      <c r="O928">
        <v>44</v>
      </c>
      <c r="P928" t="str">
        <f>HYPERLINK("Gene3726-zp_tree_all.dnd", "Gene3726-tree")</f>
        <v>Gene3726-tree</v>
      </c>
      <c r="Q928">
        <v>7</v>
      </c>
      <c r="R928">
        <v>27</v>
      </c>
      <c r="S928">
        <v>7</v>
      </c>
      <c r="T928">
        <v>8</v>
      </c>
      <c r="U928">
        <v>0.53332999999999997</v>
      </c>
      <c r="V928" t="s">
        <v>152</v>
      </c>
      <c r="W928" t="s">
        <v>282</v>
      </c>
      <c r="X928">
        <v>3.5</v>
      </c>
      <c r="Y928" t="s">
        <v>65</v>
      </c>
      <c r="Z928">
        <v>2</v>
      </c>
      <c r="AA928">
        <v>5</v>
      </c>
      <c r="AB928">
        <v>9</v>
      </c>
      <c r="AC928">
        <v>0.35714000000000001</v>
      </c>
      <c r="AD928" s="47">
        <v>0</v>
      </c>
      <c r="AE928" s="47">
        <v>0</v>
      </c>
      <c r="AF928" s="47">
        <v>0</v>
      </c>
      <c r="AG928" s="47">
        <v>0</v>
      </c>
      <c r="AH928" s="47">
        <v>0</v>
      </c>
      <c r="AI928" s="47">
        <v>0</v>
      </c>
      <c r="AJ928" s="47">
        <v>2</v>
      </c>
      <c r="AK928" s="47">
        <v>2</v>
      </c>
      <c r="AL928">
        <v>7</v>
      </c>
      <c r="AM928">
        <v>0.22222</v>
      </c>
      <c r="AN928">
        <v>12</v>
      </c>
      <c r="AO928">
        <v>12</v>
      </c>
      <c r="AP928">
        <v>67</v>
      </c>
      <c r="AQ928">
        <v>6</v>
      </c>
      <c r="AR928">
        <v>62</v>
      </c>
      <c r="AS928">
        <v>8</v>
      </c>
      <c r="AT928" t="s">
        <v>21841</v>
      </c>
      <c r="AU928" t="s">
        <v>21842</v>
      </c>
      <c r="AV928">
        <v>0.28699999999999998</v>
      </c>
      <c r="AW928" t="s">
        <v>65</v>
      </c>
      <c r="AX928">
        <v>129</v>
      </c>
      <c r="AY928">
        <v>14</v>
      </c>
      <c r="AZ928" t="s">
        <v>21843</v>
      </c>
      <c r="BA928">
        <v>7.0069999999999993E-2</v>
      </c>
      <c r="BB928">
        <v>-2.6900000000000001E-3</v>
      </c>
      <c r="BC928">
        <v>2.66E-3</v>
      </c>
      <c r="BD928">
        <v>-1.4999999999999999E-4</v>
      </c>
      <c r="BE928">
        <v>3.7969999999999997E-2</v>
      </c>
      <c r="BF928">
        <v>1</v>
      </c>
      <c r="BG928" t="s">
        <v>69</v>
      </c>
      <c r="BH928">
        <v>3.6999999999999998E-2</v>
      </c>
      <c r="BI928">
        <v>-0.24399999999999999</v>
      </c>
    </row>
    <row r="929" spans="3:61">
      <c r="C929">
        <v>0</v>
      </c>
      <c r="D929">
        <v>0</v>
      </c>
      <c r="E929">
        <v>0</v>
      </c>
      <c r="F929" t="s">
        <v>25021</v>
      </c>
      <c r="G929">
        <v>1913</v>
      </c>
      <c r="H929" t="s">
        <v>11981</v>
      </c>
      <c r="I929" t="s">
        <v>62</v>
      </c>
      <c r="J929">
        <v>2008575</v>
      </c>
      <c r="K929">
        <v>2010053</v>
      </c>
      <c r="L929" t="s">
        <v>11982</v>
      </c>
      <c r="M929">
        <v>493</v>
      </c>
      <c r="N929" t="s">
        <v>108</v>
      </c>
      <c r="O929">
        <v>44</v>
      </c>
      <c r="P929" t="str">
        <f>HYPERLINK("Gene1913-zp_tree_all.dnd", "Gene1913-tree")</f>
        <v>Gene1913-tree</v>
      </c>
      <c r="Q929">
        <v>10</v>
      </c>
      <c r="R929">
        <v>4</v>
      </c>
      <c r="S929">
        <v>10</v>
      </c>
      <c r="T929">
        <v>4</v>
      </c>
      <c r="U929">
        <v>0.28571000000000002</v>
      </c>
      <c r="V929" t="s">
        <v>117</v>
      </c>
      <c r="W929" t="s">
        <v>61</v>
      </c>
      <c r="X929" t="s">
        <v>62</v>
      </c>
      <c r="Y929" t="s">
        <v>62</v>
      </c>
      <c r="Z929">
        <v>0</v>
      </c>
      <c r="AA929">
        <v>0</v>
      </c>
      <c r="AB929">
        <v>5</v>
      </c>
      <c r="AC929">
        <v>0</v>
      </c>
      <c r="AD929" s="47">
        <v>0</v>
      </c>
      <c r="AE929" s="47">
        <v>0</v>
      </c>
      <c r="AF929" s="47">
        <v>0</v>
      </c>
      <c r="AG929" s="47">
        <v>0</v>
      </c>
      <c r="AH929" s="47">
        <v>0</v>
      </c>
      <c r="AI929" s="47">
        <v>0</v>
      </c>
      <c r="AJ929" s="47">
        <v>0</v>
      </c>
      <c r="AK929" s="47">
        <v>0</v>
      </c>
      <c r="AL929">
        <v>4</v>
      </c>
      <c r="AM929">
        <v>0</v>
      </c>
      <c r="AN929">
        <v>12</v>
      </c>
      <c r="AO929">
        <v>11</v>
      </c>
      <c r="AP929">
        <v>61</v>
      </c>
      <c r="AQ929">
        <v>4</v>
      </c>
      <c r="AR929">
        <v>43</v>
      </c>
      <c r="AS929">
        <v>1</v>
      </c>
      <c r="AT929" t="s">
        <v>11983</v>
      </c>
      <c r="AU929" t="s">
        <v>11984</v>
      </c>
      <c r="AV929">
        <v>0.48899999999999999</v>
      </c>
      <c r="AW929" t="s">
        <v>65</v>
      </c>
      <c r="AX929">
        <v>104</v>
      </c>
      <c r="AY929">
        <v>5</v>
      </c>
      <c r="AZ929" t="s">
        <v>11985</v>
      </c>
      <c r="BA929">
        <v>5.6520000000000001E-2</v>
      </c>
      <c r="BB929">
        <v>-1.72E-3</v>
      </c>
      <c r="BC929">
        <v>9.6000000000000002E-4</v>
      </c>
      <c r="BD929">
        <v>-6.9999999999999994E-5</v>
      </c>
      <c r="BE929">
        <v>1.704E-2</v>
      </c>
      <c r="BF929">
        <v>1</v>
      </c>
      <c r="BG929" t="s">
        <v>69</v>
      </c>
      <c r="BH929">
        <v>-0.189</v>
      </c>
      <c r="BI929">
        <v>-0.223</v>
      </c>
    </row>
    <row r="930" spans="3:61">
      <c r="C930">
        <v>0</v>
      </c>
      <c r="D930">
        <v>24</v>
      </c>
      <c r="E930">
        <v>0</v>
      </c>
      <c r="F930" t="s">
        <v>25021</v>
      </c>
      <c r="G930">
        <v>3363</v>
      </c>
      <c r="H930" t="s">
        <v>19652</v>
      </c>
      <c r="I930" t="s">
        <v>57</v>
      </c>
      <c r="J930">
        <v>3333162</v>
      </c>
      <c r="K930">
        <v>3334643</v>
      </c>
      <c r="L930" t="s">
        <v>19653</v>
      </c>
      <c r="M930">
        <v>494</v>
      </c>
      <c r="N930" t="s">
        <v>1392</v>
      </c>
      <c r="O930">
        <v>43</v>
      </c>
      <c r="P930" t="str">
        <f>HYPERLINK("Gene3363-zp_tree_all.dnd", "Gene3363-tree")</f>
        <v>Gene3363-tree</v>
      </c>
      <c r="Q930">
        <v>3</v>
      </c>
      <c r="R930">
        <v>14</v>
      </c>
      <c r="S930">
        <v>3</v>
      </c>
      <c r="T930">
        <v>14</v>
      </c>
      <c r="U930">
        <v>0.82352999999999998</v>
      </c>
      <c r="V930" t="s">
        <v>324</v>
      </c>
      <c r="W930" t="s">
        <v>543</v>
      </c>
      <c r="X930">
        <v>526110884.52200001</v>
      </c>
      <c r="Y930" t="s">
        <v>267</v>
      </c>
      <c r="Z930">
        <v>8</v>
      </c>
      <c r="AA930">
        <v>24</v>
      </c>
      <c r="AB930">
        <v>18</v>
      </c>
      <c r="AC930">
        <v>0.57142999999999999</v>
      </c>
      <c r="AD930" s="47">
        <v>0</v>
      </c>
      <c r="AE930" s="47">
        <v>0</v>
      </c>
      <c r="AF930" s="47">
        <v>0</v>
      </c>
      <c r="AG930" s="47">
        <v>0</v>
      </c>
      <c r="AH930" s="47">
        <v>0</v>
      </c>
      <c r="AI930" s="47">
        <v>11</v>
      </c>
      <c r="AJ930" s="47">
        <v>0</v>
      </c>
      <c r="AK930" s="47">
        <v>11</v>
      </c>
      <c r="AL930">
        <v>15</v>
      </c>
      <c r="AM930">
        <v>0.42308000000000001</v>
      </c>
      <c r="AN930">
        <v>15</v>
      </c>
      <c r="AO930">
        <v>11</v>
      </c>
      <c r="AP930">
        <v>36</v>
      </c>
      <c r="AQ930">
        <v>20</v>
      </c>
      <c r="AR930">
        <v>39</v>
      </c>
      <c r="AS930">
        <v>23</v>
      </c>
      <c r="AT930" t="s">
        <v>19654</v>
      </c>
      <c r="AU930" t="s">
        <v>19655</v>
      </c>
      <c r="AV930">
        <v>0.16600000000000001</v>
      </c>
      <c r="AW930" t="s">
        <v>65</v>
      </c>
      <c r="AX930">
        <v>75</v>
      </c>
      <c r="AY930">
        <v>43</v>
      </c>
      <c r="AZ930" t="s">
        <v>19656</v>
      </c>
      <c r="BA930">
        <v>3.8210000000000001E-2</v>
      </c>
      <c r="BB930">
        <v>-1.17E-3</v>
      </c>
      <c r="BC930">
        <v>6.7299999999999999E-3</v>
      </c>
      <c r="BD930">
        <v>-2.5999999999999998E-4</v>
      </c>
      <c r="BE930">
        <v>0.17618</v>
      </c>
      <c r="BF930">
        <v>1</v>
      </c>
      <c r="BG930" t="s">
        <v>69</v>
      </c>
      <c r="BH930">
        <v>0.19800000000000001</v>
      </c>
      <c r="BI930">
        <v>-0.57099999999999995</v>
      </c>
    </row>
    <row r="931" spans="3:61">
      <c r="C931">
        <v>0</v>
      </c>
      <c r="D931">
        <v>4</v>
      </c>
      <c r="E931">
        <v>0</v>
      </c>
      <c r="F931" t="s">
        <v>25021</v>
      </c>
      <c r="G931">
        <v>2011</v>
      </c>
      <c r="H931" t="s">
        <v>12506</v>
      </c>
      <c r="I931" t="s">
        <v>57</v>
      </c>
      <c r="J931">
        <v>2100580</v>
      </c>
      <c r="K931">
        <v>2102064</v>
      </c>
      <c r="L931" t="s">
        <v>12507</v>
      </c>
      <c r="M931">
        <v>495</v>
      </c>
      <c r="N931" t="s">
        <v>108</v>
      </c>
      <c r="O931">
        <v>44</v>
      </c>
      <c r="P931" t="str">
        <f>HYPERLINK("Gene2011-zp_tree_all.dnd", "Gene2011-tree")</f>
        <v>Gene2011-tree</v>
      </c>
      <c r="Q931">
        <v>8</v>
      </c>
      <c r="R931">
        <v>9</v>
      </c>
      <c r="S931">
        <v>8</v>
      </c>
      <c r="T931">
        <v>9</v>
      </c>
      <c r="U931">
        <v>0.52941000000000005</v>
      </c>
      <c r="V931" t="s">
        <v>136</v>
      </c>
      <c r="W931" t="s">
        <v>135</v>
      </c>
      <c r="X931" t="s">
        <v>62</v>
      </c>
      <c r="Y931" t="s">
        <v>62</v>
      </c>
      <c r="Z931">
        <v>2</v>
      </c>
      <c r="AA931">
        <v>4</v>
      </c>
      <c r="AB931">
        <v>6</v>
      </c>
      <c r="AC931">
        <v>0.4</v>
      </c>
      <c r="AD931" s="47">
        <v>0</v>
      </c>
      <c r="AE931" s="47">
        <v>0</v>
      </c>
      <c r="AF931" s="47">
        <v>0</v>
      </c>
      <c r="AG931" s="47">
        <v>0</v>
      </c>
      <c r="AH931" s="47">
        <v>0</v>
      </c>
      <c r="AI931" s="47">
        <v>4</v>
      </c>
      <c r="AJ931" s="47">
        <v>0</v>
      </c>
      <c r="AK931" s="47">
        <v>4</v>
      </c>
      <c r="AL931">
        <v>5</v>
      </c>
      <c r="AM931">
        <v>0.44444</v>
      </c>
      <c r="AN931">
        <v>14</v>
      </c>
      <c r="AO931">
        <v>12</v>
      </c>
      <c r="AP931">
        <v>46</v>
      </c>
      <c r="AQ931">
        <v>8</v>
      </c>
      <c r="AR931">
        <v>23</v>
      </c>
      <c r="AS931">
        <v>2</v>
      </c>
      <c r="AT931" t="s">
        <v>12508</v>
      </c>
      <c r="AU931" t="s">
        <v>12509</v>
      </c>
      <c r="AV931">
        <v>0.51800000000000002</v>
      </c>
      <c r="AW931" t="s">
        <v>65</v>
      </c>
      <c r="AX931">
        <v>69</v>
      </c>
      <c r="AY931">
        <v>10</v>
      </c>
      <c r="AZ931" t="s">
        <v>12510</v>
      </c>
      <c r="BA931">
        <v>3.0949999999999998E-2</v>
      </c>
      <c r="BB931">
        <v>-1.06E-3</v>
      </c>
      <c r="BC931">
        <v>1.1800000000000001E-3</v>
      </c>
      <c r="BD931">
        <v>-8.0000000000000007E-5</v>
      </c>
      <c r="BE931">
        <v>3.8170000000000003E-2</v>
      </c>
      <c r="BF931">
        <v>1</v>
      </c>
      <c r="BG931" t="s">
        <v>69</v>
      </c>
      <c r="BH931">
        <v>-1.2190000000000001</v>
      </c>
      <c r="BI931">
        <v>-2.0859999999999999</v>
      </c>
    </row>
    <row r="932" spans="3:61">
      <c r="C932">
        <v>0</v>
      </c>
      <c r="D932">
        <v>11</v>
      </c>
      <c r="E932">
        <v>2</v>
      </c>
      <c r="F932" t="s">
        <v>25021</v>
      </c>
      <c r="G932">
        <v>2039</v>
      </c>
      <c r="H932" t="s">
        <v>12694</v>
      </c>
      <c r="I932" t="s">
        <v>57</v>
      </c>
      <c r="J932">
        <v>2130377</v>
      </c>
      <c r="K932">
        <v>2131864</v>
      </c>
      <c r="L932" t="s">
        <v>12695</v>
      </c>
      <c r="M932">
        <v>496</v>
      </c>
      <c r="N932" t="s">
        <v>2513</v>
      </c>
      <c r="O932">
        <v>43</v>
      </c>
      <c r="P932" t="str">
        <f>HYPERLINK("Gene2039-zp_tree_all.dnd", "Gene2039-tree")</f>
        <v>Gene2039-tree</v>
      </c>
      <c r="Q932">
        <v>4</v>
      </c>
      <c r="R932">
        <v>10</v>
      </c>
      <c r="S932">
        <v>4</v>
      </c>
      <c r="T932">
        <v>10</v>
      </c>
      <c r="U932">
        <v>0.71428999999999998</v>
      </c>
      <c r="V932" t="s">
        <v>61</v>
      </c>
      <c r="W932" t="s">
        <v>117</v>
      </c>
      <c r="X932" t="s">
        <v>62</v>
      </c>
      <c r="Y932" t="s">
        <v>62</v>
      </c>
      <c r="Z932">
        <v>5</v>
      </c>
      <c r="AA932">
        <v>13</v>
      </c>
      <c r="AB932">
        <v>10</v>
      </c>
      <c r="AC932">
        <v>0.56521999999999994</v>
      </c>
      <c r="AD932" s="47">
        <v>0</v>
      </c>
      <c r="AE932" s="47">
        <v>0</v>
      </c>
      <c r="AF932" s="47">
        <v>0</v>
      </c>
      <c r="AG932" s="47">
        <v>0</v>
      </c>
      <c r="AH932" s="47">
        <v>0</v>
      </c>
      <c r="AI932" s="47">
        <v>4</v>
      </c>
      <c r="AJ932" s="47">
        <v>0</v>
      </c>
      <c r="AK932" s="47">
        <v>4</v>
      </c>
      <c r="AL932">
        <v>10</v>
      </c>
      <c r="AM932">
        <v>0.28571000000000002</v>
      </c>
      <c r="AN932">
        <v>12</v>
      </c>
      <c r="AO932">
        <v>11</v>
      </c>
      <c r="AP932">
        <v>96</v>
      </c>
      <c r="AQ932">
        <v>11</v>
      </c>
      <c r="AR932">
        <v>87</v>
      </c>
      <c r="AS932">
        <v>13</v>
      </c>
      <c r="AT932" t="s">
        <v>12696</v>
      </c>
      <c r="AU932" t="s">
        <v>12697</v>
      </c>
      <c r="AV932">
        <v>0.47699999999999998</v>
      </c>
      <c r="AW932" t="s">
        <v>65</v>
      </c>
      <c r="AX932">
        <v>183</v>
      </c>
      <c r="AY932">
        <v>24</v>
      </c>
      <c r="AZ932" t="s">
        <v>12698</v>
      </c>
      <c r="BA932">
        <v>9.5880000000000007E-2</v>
      </c>
      <c r="BB932">
        <v>-5.0699999999999999E-3</v>
      </c>
      <c r="BC932">
        <v>4.1399999999999996E-3</v>
      </c>
      <c r="BD932">
        <v>-1.7000000000000001E-4</v>
      </c>
      <c r="BE932">
        <v>4.3200000000000002E-2</v>
      </c>
      <c r="BF932">
        <v>1</v>
      </c>
      <c r="BG932" t="s">
        <v>69</v>
      </c>
      <c r="BH932">
        <v>-0.20699999999999999</v>
      </c>
      <c r="BI932">
        <v>-0.36199999999999999</v>
      </c>
    </row>
    <row r="933" spans="3:61">
      <c r="C933">
        <v>0</v>
      </c>
      <c r="D933">
        <v>13</v>
      </c>
      <c r="E933">
        <v>4</v>
      </c>
      <c r="F933" t="s">
        <v>25021</v>
      </c>
      <c r="G933">
        <v>3988</v>
      </c>
      <c r="H933" t="s">
        <v>23445</v>
      </c>
      <c r="I933" t="s">
        <v>57</v>
      </c>
      <c r="J933">
        <v>3952275</v>
      </c>
      <c r="K933">
        <v>3953783</v>
      </c>
      <c r="L933" t="s">
        <v>23446</v>
      </c>
      <c r="M933">
        <v>503</v>
      </c>
      <c r="N933" t="s">
        <v>108</v>
      </c>
      <c r="O933">
        <v>44</v>
      </c>
      <c r="P933" t="str">
        <f>HYPERLINK("Gene3988-zp_tree_all.dnd", "Gene3988-tree")</f>
        <v>Gene3988-tree</v>
      </c>
      <c r="Q933">
        <v>5</v>
      </c>
      <c r="R933">
        <v>9</v>
      </c>
      <c r="S933">
        <v>5</v>
      </c>
      <c r="T933">
        <v>9</v>
      </c>
      <c r="U933">
        <v>0.64285999999999999</v>
      </c>
      <c r="V933" t="s">
        <v>199</v>
      </c>
      <c r="W933" t="s">
        <v>135</v>
      </c>
      <c r="X933" t="s">
        <v>62</v>
      </c>
      <c r="Y933" t="s">
        <v>62</v>
      </c>
      <c r="Z933">
        <v>8</v>
      </c>
      <c r="AA933">
        <v>17</v>
      </c>
      <c r="AB933">
        <v>7</v>
      </c>
      <c r="AC933">
        <v>0.70833000000000002</v>
      </c>
      <c r="AD933" s="47">
        <v>0</v>
      </c>
      <c r="AE933" s="47">
        <v>0</v>
      </c>
      <c r="AF933" s="47">
        <v>0</v>
      </c>
      <c r="AG933" s="47">
        <v>0</v>
      </c>
      <c r="AH933" s="47">
        <v>0</v>
      </c>
      <c r="AI933" s="47">
        <v>6</v>
      </c>
      <c r="AJ933" s="47">
        <v>2</v>
      </c>
      <c r="AK933" s="47">
        <v>8</v>
      </c>
      <c r="AL933">
        <v>9</v>
      </c>
      <c r="AM933">
        <v>0.47059000000000001</v>
      </c>
      <c r="AN933">
        <v>14</v>
      </c>
      <c r="AO933">
        <v>9</v>
      </c>
      <c r="AP933">
        <v>43</v>
      </c>
      <c r="AQ933">
        <v>17</v>
      </c>
      <c r="AR933">
        <v>27</v>
      </c>
      <c r="AS933">
        <v>7</v>
      </c>
      <c r="AT933" t="s">
        <v>23447</v>
      </c>
      <c r="AU933" t="s">
        <v>23448</v>
      </c>
      <c r="AV933">
        <v>0.61</v>
      </c>
      <c r="AW933" t="s">
        <v>65</v>
      </c>
      <c r="AX933">
        <v>70</v>
      </c>
      <c r="AY933">
        <v>24</v>
      </c>
      <c r="AZ933" t="s">
        <v>23449</v>
      </c>
      <c r="BA933">
        <v>3.5180000000000003E-2</v>
      </c>
      <c r="BB933">
        <v>-9.3000000000000005E-4</v>
      </c>
      <c r="BC933">
        <v>3.47E-3</v>
      </c>
      <c r="BD933">
        <v>-1.6000000000000001E-4</v>
      </c>
      <c r="BE933">
        <v>9.8760000000000001E-2</v>
      </c>
      <c r="BF933">
        <v>1</v>
      </c>
      <c r="BG933" t="s">
        <v>69</v>
      </c>
      <c r="BH933">
        <v>-0.71599999999999997</v>
      </c>
      <c r="BI933">
        <v>-1.633</v>
      </c>
    </row>
    <row r="934" spans="3:61">
      <c r="C934">
        <v>0</v>
      </c>
      <c r="D934">
        <v>6</v>
      </c>
      <c r="E934">
        <v>3</v>
      </c>
      <c r="F934" t="s">
        <v>25021</v>
      </c>
      <c r="G934">
        <v>2198</v>
      </c>
      <c r="H934" t="s">
        <v>12968</v>
      </c>
      <c r="I934" t="s">
        <v>57</v>
      </c>
      <c r="J934">
        <v>2232682</v>
      </c>
      <c r="K934">
        <v>2234199</v>
      </c>
      <c r="L934" t="s">
        <v>12900</v>
      </c>
      <c r="M934">
        <v>506</v>
      </c>
      <c r="N934" t="s">
        <v>12957</v>
      </c>
      <c r="O934">
        <v>17</v>
      </c>
      <c r="P934" t="str">
        <f>HYPERLINK("Gene2198-zp_tree_all.dnd", "Gene2198-tree")</f>
        <v>Gene2198-tree</v>
      </c>
      <c r="Q934">
        <v>0</v>
      </c>
      <c r="R934">
        <v>17</v>
      </c>
      <c r="S934">
        <v>0</v>
      </c>
      <c r="T934">
        <v>4</v>
      </c>
      <c r="U934">
        <v>1</v>
      </c>
      <c r="V934" t="s">
        <v>62</v>
      </c>
      <c r="W934" t="s">
        <v>12884</v>
      </c>
      <c r="X934">
        <v>4.8689999999999998</v>
      </c>
      <c r="Y934" t="s">
        <v>65</v>
      </c>
      <c r="Z934">
        <v>4</v>
      </c>
      <c r="AA934">
        <v>9</v>
      </c>
      <c r="AB934">
        <v>13</v>
      </c>
      <c r="AC934">
        <v>0.40909000000000001</v>
      </c>
      <c r="AD934" s="47">
        <v>0</v>
      </c>
      <c r="AE934" s="47">
        <v>0</v>
      </c>
      <c r="AF934" s="47">
        <v>0</v>
      </c>
      <c r="AG934" s="47">
        <v>0</v>
      </c>
      <c r="AH934" s="47">
        <v>0</v>
      </c>
      <c r="AI934" s="47">
        <v>6</v>
      </c>
      <c r="AJ934" s="47">
        <v>3</v>
      </c>
      <c r="AK934" s="47">
        <v>9</v>
      </c>
      <c r="AL934">
        <v>12</v>
      </c>
      <c r="AM934">
        <v>0.42857000000000001</v>
      </c>
      <c r="AN934">
        <v>4</v>
      </c>
      <c r="AO934">
        <v>1</v>
      </c>
      <c r="AP934">
        <v>87</v>
      </c>
      <c r="AQ934">
        <v>21</v>
      </c>
      <c r="AR934">
        <v>9</v>
      </c>
      <c r="AS934">
        <v>1</v>
      </c>
      <c r="AT934" t="s">
        <v>12969</v>
      </c>
      <c r="AU934" t="s">
        <v>12970</v>
      </c>
      <c r="AV934">
        <v>2.117</v>
      </c>
      <c r="AW934" t="s">
        <v>267</v>
      </c>
      <c r="AX934">
        <v>96</v>
      </c>
      <c r="AY934">
        <v>22</v>
      </c>
      <c r="AZ934" t="s">
        <v>12971</v>
      </c>
      <c r="BA934">
        <v>0.14817</v>
      </c>
      <c r="BB934">
        <v>-2.2300000000000002E-3</v>
      </c>
      <c r="BC934">
        <v>8.4899999999999993E-3</v>
      </c>
      <c r="BD934">
        <v>-1.2199999999999999E-3</v>
      </c>
      <c r="BE934">
        <v>5.7279999999999998E-2</v>
      </c>
      <c r="BF934">
        <v>1</v>
      </c>
      <c r="BG934" t="s">
        <v>69</v>
      </c>
      <c r="BH934">
        <v>-1.6819999999999999</v>
      </c>
      <c r="BI934">
        <v>-1.722</v>
      </c>
    </row>
    <row r="935" spans="3:61">
      <c r="C935">
        <v>0</v>
      </c>
      <c r="D935">
        <v>0</v>
      </c>
      <c r="E935">
        <v>0</v>
      </c>
      <c r="F935" t="s">
        <v>25021</v>
      </c>
      <c r="G935">
        <v>1418</v>
      </c>
      <c r="H935" t="s">
        <v>8880</v>
      </c>
      <c r="I935" t="s">
        <v>62</v>
      </c>
      <c r="J935">
        <v>1431489</v>
      </c>
      <c r="K935">
        <v>1433006</v>
      </c>
      <c r="L935" t="s">
        <v>8881</v>
      </c>
      <c r="M935">
        <v>506</v>
      </c>
      <c r="N935" t="s">
        <v>409</v>
      </c>
      <c r="O935">
        <v>45</v>
      </c>
      <c r="P935" t="str">
        <f>HYPERLINK("Gene1418-zp_tree_all.dnd", "Gene1418-tree")</f>
        <v>Gene1418-tree</v>
      </c>
      <c r="Q935">
        <v>8</v>
      </c>
      <c r="R935">
        <v>8</v>
      </c>
      <c r="S935">
        <v>8</v>
      </c>
      <c r="T935">
        <v>8</v>
      </c>
      <c r="U935">
        <v>0.5</v>
      </c>
      <c r="V935" t="s">
        <v>136</v>
      </c>
      <c r="W935" t="s">
        <v>136</v>
      </c>
      <c r="X935" t="s">
        <v>62</v>
      </c>
      <c r="Y935" t="s">
        <v>62</v>
      </c>
      <c r="Z935">
        <v>0</v>
      </c>
      <c r="AA935">
        <v>0</v>
      </c>
      <c r="AB935">
        <v>15</v>
      </c>
      <c r="AC935">
        <v>0</v>
      </c>
      <c r="AD935" s="47">
        <v>0</v>
      </c>
      <c r="AE935" s="47">
        <v>0</v>
      </c>
      <c r="AF935" s="47">
        <v>0</v>
      </c>
      <c r="AG935" s="47">
        <v>0</v>
      </c>
      <c r="AH935" s="47">
        <v>0</v>
      </c>
      <c r="AI935" s="47">
        <v>0</v>
      </c>
      <c r="AJ935" s="47">
        <v>0</v>
      </c>
      <c r="AK935" s="47">
        <v>0</v>
      </c>
      <c r="AL935">
        <v>13</v>
      </c>
      <c r="AM935">
        <v>0</v>
      </c>
      <c r="AN935">
        <v>15</v>
      </c>
      <c r="AO935">
        <v>11</v>
      </c>
      <c r="AP935">
        <v>106</v>
      </c>
      <c r="AQ935">
        <v>14</v>
      </c>
      <c r="AR935">
        <v>33</v>
      </c>
      <c r="AS935">
        <v>2</v>
      </c>
      <c r="AT935" t="s">
        <v>8882</v>
      </c>
      <c r="AU935" t="s">
        <v>8883</v>
      </c>
      <c r="AV935">
        <v>0.24</v>
      </c>
      <c r="AW935" t="s">
        <v>65</v>
      </c>
      <c r="AX935">
        <v>139</v>
      </c>
      <c r="AY935">
        <v>16</v>
      </c>
      <c r="AZ935" t="s">
        <v>8884</v>
      </c>
      <c r="BA935">
        <v>6.651E-2</v>
      </c>
      <c r="BB935">
        <v>-4.7400000000000003E-3</v>
      </c>
      <c r="BC935">
        <v>2.2000000000000001E-3</v>
      </c>
      <c r="BD935">
        <v>-2.1000000000000001E-4</v>
      </c>
      <c r="BE935">
        <v>3.3090000000000001E-2</v>
      </c>
      <c r="BF935">
        <v>1</v>
      </c>
      <c r="BG935" t="s">
        <v>69</v>
      </c>
      <c r="BH935">
        <v>-1.2949999999999999</v>
      </c>
      <c r="BI935">
        <v>-3.2240000000000002</v>
      </c>
    </row>
    <row r="936" spans="3:61">
      <c r="C936">
        <v>0</v>
      </c>
      <c r="D936">
        <v>7</v>
      </c>
      <c r="E936">
        <v>0</v>
      </c>
      <c r="F936" t="s">
        <v>25021</v>
      </c>
      <c r="G936">
        <v>4076</v>
      </c>
      <c r="H936" t="s">
        <v>23987</v>
      </c>
      <c r="I936" t="s">
        <v>57</v>
      </c>
      <c r="J936">
        <v>4042051</v>
      </c>
      <c r="K936">
        <v>4043574</v>
      </c>
      <c r="L936" t="s">
        <v>23988</v>
      </c>
      <c r="M936">
        <v>508</v>
      </c>
      <c r="N936" t="s">
        <v>2078</v>
      </c>
      <c r="O936">
        <v>36</v>
      </c>
      <c r="P936" t="str">
        <f>HYPERLINK("Gene4076-zp_tree_all.dnd", "Gene4076-tree")</f>
        <v>Gene4076-tree</v>
      </c>
      <c r="Q936">
        <v>6</v>
      </c>
      <c r="R936">
        <v>7</v>
      </c>
      <c r="S936">
        <v>6</v>
      </c>
      <c r="T936">
        <v>7</v>
      </c>
      <c r="U936">
        <v>0.53846000000000005</v>
      </c>
      <c r="V936" t="s">
        <v>90</v>
      </c>
      <c r="W936" t="s">
        <v>152</v>
      </c>
      <c r="X936" t="s">
        <v>62</v>
      </c>
      <c r="Y936" t="s">
        <v>62</v>
      </c>
      <c r="Z936">
        <v>3</v>
      </c>
      <c r="AA936">
        <v>7</v>
      </c>
      <c r="AB936">
        <v>12</v>
      </c>
      <c r="AC936">
        <v>0.36842000000000003</v>
      </c>
      <c r="AD936" s="47">
        <v>0</v>
      </c>
      <c r="AE936" s="47">
        <v>0</v>
      </c>
      <c r="AF936" s="47">
        <v>0</v>
      </c>
      <c r="AG936" s="47">
        <v>1</v>
      </c>
      <c r="AH936" s="47">
        <v>0</v>
      </c>
      <c r="AI936" s="47">
        <v>2</v>
      </c>
      <c r="AJ936" s="47">
        <v>0</v>
      </c>
      <c r="AK936" s="47">
        <v>2</v>
      </c>
      <c r="AL936">
        <v>14</v>
      </c>
      <c r="AM936">
        <v>0.125</v>
      </c>
      <c r="AN936">
        <v>12</v>
      </c>
      <c r="AO936">
        <v>10</v>
      </c>
      <c r="AP936">
        <v>116</v>
      </c>
      <c r="AQ936">
        <v>16</v>
      </c>
      <c r="AR936">
        <v>44</v>
      </c>
      <c r="AS936">
        <v>3</v>
      </c>
      <c r="AT936" t="s">
        <v>23989</v>
      </c>
      <c r="AU936" t="s">
        <v>23990</v>
      </c>
      <c r="AV936">
        <v>0.80900000000000005</v>
      </c>
      <c r="AW936" t="s">
        <v>65</v>
      </c>
      <c r="AX936">
        <v>160</v>
      </c>
      <c r="AY936">
        <v>19</v>
      </c>
      <c r="AZ936" t="s">
        <v>23991</v>
      </c>
      <c r="BA936">
        <v>7.4899999999999994E-2</v>
      </c>
      <c r="BB936">
        <v>-2.8700000000000002E-3</v>
      </c>
      <c r="BC936">
        <v>2.6099999999999999E-3</v>
      </c>
      <c r="BD936">
        <v>-1.6000000000000001E-4</v>
      </c>
      <c r="BE936">
        <v>3.49E-2</v>
      </c>
      <c r="BF936">
        <v>1</v>
      </c>
      <c r="BG936" t="s">
        <v>69</v>
      </c>
      <c r="BH936">
        <v>-1.1659999999999999</v>
      </c>
      <c r="BI936">
        <v>-2.4590000000000001</v>
      </c>
    </row>
    <row r="937" spans="3:61">
      <c r="C937">
        <v>0</v>
      </c>
      <c r="D937">
        <v>13</v>
      </c>
      <c r="E937">
        <v>0</v>
      </c>
      <c r="F937" t="s">
        <v>25021</v>
      </c>
      <c r="G937">
        <v>1074</v>
      </c>
      <c r="H937" t="s">
        <v>6747</v>
      </c>
      <c r="I937" t="s">
        <v>62</v>
      </c>
      <c r="J937">
        <v>1114060</v>
      </c>
      <c r="K937">
        <v>1115586</v>
      </c>
      <c r="L937" t="s">
        <v>6748</v>
      </c>
      <c r="M937">
        <v>509</v>
      </c>
      <c r="N937" t="s">
        <v>108</v>
      </c>
      <c r="O937">
        <v>44</v>
      </c>
      <c r="P937" t="str">
        <f>HYPERLINK("Gene1074-zp_tree_all.dnd", "Gene1074-tree")</f>
        <v>Gene1074-tree</v>
      </c>
      <c r="Q937">
        <v>3</v>
      </c>
      <c r="R937">
        <v>12</v>
      </c>
      <c r="S937">
        <v>3</v>
      </c>
      <c r="T937">
        <v>12</v>
      </c>
      <c r="U937">
        <v>0.8</v>
      </c>
      <c r="V937" t="s">
        <v>324</v>
      </c>
      <c r="W937" t="s">
        <v>109</v>
      </c>
      <c r="X937" t="s">
        <v>62</v>
      </c>
      <c r="Y937" t="s">
        <v>62</v>
      </c>
      <c r="Z937">
        <v>5</v>
      </c>
      <c r="AA937">
        <v>13</v>
      </c>
      <c r="AB937">
        <v>25</v>
      </c>
      <c r="AC937">
        <v>0.34211000000000003</v>
      </c>
      <c r="AD937" s="47">
        <v>0</v>
      </c>
      <c r="AE937" s="47">
        <v>0</v>
      </c>
      <c r="AF937" s="47">
        <v>0</v>
      </c>
      <c r="AG937" s="47">
        <v>0</v>
      </c>
      <c r="AH937" s="47">
        <v>0</v>
      </c>
      <c r="AI937" s="47">
        <v>6</v>
      </c>
      <c r="AJ937" s="47">
        <v>0</v>
      </c>
      <c r="AK937" s="47">
        <v>6</v>
      </c>
      <c r="AL937">
        <v>25</v>
      </c>
      <c r="AM937">
        <v>0.19355</v>
      </c>
      <c r="AN937">
        <v>14</v>
      </c>
      <c r="AO937">
        <v>10</v>
      </c>
      <c r="AP937">
        <v>62</v>
      </c>
      <c r="AQ937">
        <v>30</v>
      </c>
      <c r="AR937">
        <v>20</v>
      </c>
      <c r="AS937">
        <v>9</v>
      </c>
      <c r="AT937" t="s">
        <v>6749</v>
      </c>
      <c r="AU937" t="s">
        <v>6750</v>
      </c>
      <c r="AV937">
        <v>8.1000000000000003E-2</v>
      </c>
      <c r="AW937" t="s">
        <v>65</v>
      </c>
      <c r="AX937">
        <v>82</v>
      </c>
      <c r="AY937">
        <v>39</v>
      </c>
      <c r="AZ937" t="s">
        <v>6751</v>
      </c>
      <c r="BA937">
        <v>3.9239999999999997E-2</v>
      </c>
      <c r="BB937">
        <v>-1.74E-3</v>
      </c>
      <c r="BC937">
        <v>4.7200000000000002E-3</v>
      </c>
      <c r="BD937">
        <v>-2.9999999999999997E-4</v>
      </c>
      <c r="BE937">
        <v>0.12038</v>
      </c>
      <c r="BF937">
        <v>1</v>
      </c>
      <c r="BG937" t="s">
        <v>69</v>
      </c>
      <c r="BH937">
        <v>-0.496</v>
      </c>
      <c r="BI937">
        <v>-0.98099999999999998</v>
      </c>
    </row>
    <row r="938" spans="3:61">
      <c r="C938">
        <v>0</v>
      </c>
      <c r="D938">
        <v>14</v>
      </c>
      <c r="E938">
        <v>0</v>
      </c>
      <c r="F938" t="s">
        <v>25021</v>
      </c>
      <c r="G938">
        <v>4152</v>
      </c>
      <c r="H938" t="s">
        <v>24443</v>
      </c>
      <c r="I938" t="s">
        <v>57</v>
      </c>
      <c r="J938">
        <v>4119527</v>
      </c>
      <c r="K938">
        <v>4121053</v>
      </c>
      <c r="L938" t="s">
        <v>24444</v>
      </c>
      <c r="M938">
        <v>509</v>
      </c>
      <c r="N938" t="s">
        <v>394</v>
      </c>
      <c r="O938">
        <v>48</v>
      </c>
      <c r="P938" t="str">
        <f>HYPERLINK("Gene4152-zp_tree_all.dnd", "Gene4152-tree")</f>
        <v>Gene4152-tree</v>
      </c>
      <c r="Q938">
        <v>13</v>
      </c>
      <c r="R938">
        <v>9</v>
      </c>
      <c r="S938">
        <v>13</v>
      </c>
      <c r="T938">
        <v>9</v>
      </c>
      <c r="U938">
        <v>0.40909000000000001</v>
      </c>
      <c r="V938" t="s">
        <v>507</v>
      </c>
      <c r="W938" t="s">
        <v>135</v>
      </c>
      <c r="X938" t="s">
        <v>62</v>
      </c>
      <c r="Y938" t="s">
        <v>62</v>
      </c>
      <c r="Z938">
        <v>6</v>
      </c>
      <c r="AA938">
        <v>14</v>
      </c>
      <c r="AB938">
        <v>14</v>
      </c>
      <c r="AC938">
        <v>0.5</v>
      </c>
      <c r="AD938" s="47">
        <v>0</v>
      </c>
      <c r="AE938" s="47">
        <v>0</v>
      </c>
      <c r="AF938" s="47">
        <v>0</v>
      </c>
      <c r="AG938" s="47">
        <v>0</v>
      </c>
      <c r="AH938" s="47">
        <v>0</v>
      </c>
      <c r="AI938" s="47">
        <v>2</v>
      </c>
      <c r="AJ938" s="47">
        <v>0</v>
      </c>
      <c r="AK938" s="47">
        <v>2</v>
      </c>
      <c r="AL938">
        <v>17</v>
      </c>
      <c r="AM938">
        <v>0.10526000000000001</v>
      </c>
      <c r="AN938">
        <v>20</v>
      </c>
      <c r="AO938">
        <v>19</v>
      </c>
      <c r="AP938">
        <v>150</v>
      </c>
      <c r="AQ938">
        <v>20</v>
      </c>
      <c r="AR938">
        <v>131</v>
      </c>
      <c r="AS938">
        <v>9</v>
      </c>
      <c r="AT938" t="s">
        <v>24445</v>
      </c>
      <c r="AU938" t="s">
        <v>24446</v>
      </c>
      <c r="AV938">
        <v>0.75600000000000001</v>
      </c>
      <c r="AW938" t="s">
        <v>65</v>
      </c>
      <c r="AX938">
        <v>281</v>
      </c>
      <c r="AY938">
        <v>29</v>
      </c>
      <c r="AZ938" t="s">
        <v>24447</v>
      </c>
      <c r="BA938">
        <v>0.11028</v>
      </c>
      <c r="BB938">
        <v>-4.15E-3</v>
      </c>
      <c r="BC938">
        <v>3.13E-3</v>
      </c>
      <c r="BD938">
        <v>-1.8000000000000001E-4</v>
      </c>
      <c r="BE938">
        <v>2.8340000000000001E-2</v>
      </c>
      <c r="BF938">
        <v>1</v>
      </c>
      <c r="BG938" t="s">
        <v>69</v>
      </c>
      <c r="BH938">
        <v>-1.0349999999999999</v>
      </c>
      <c r="BI938">
        <v>-1.796</v>
      </c>
    </row>
    <row r="939" spans="3:61">
      <c r="C939">
        <v>0</v>
      </c>
      <c r="D939">
        <v>6</v>
      </c>
      <c r="E939">
        <v>0</v>
      </c>
      <c r="F939" t="s">
        <v>25021</v>
      </c>
      <c r="G939">
        <v>3274</v>
      </c>
      <c r="H939" t="s">
        <v>19100</v>
      </c>
      <c r="I939" t="s">
        <v>57</v>
      </c>
      <c r="J939">
        <v>3241085</v>
      </c>
      <c r="K939">
        <v>3242614</v>
      </c>
      <c r="L939" t="s">
        <v>19101</v>
      </c>
      <c r="M939">
        <v>510</v>
      </c>
      <c r="N939" t="s">
        <v>108</v>
      </c>
      <c r="O939">
        <v>44</v>
      </c>
      <c r="P939" t="str">
        <f>HYPERLINK("Gene3274-zp_tree_all.dnd", "Gene3274-tree")</f>
        <v>Gene3274-tree</v>
      </c>
      <c r="Q939">
        <v>4</v>
      </c>
      <c r="R939">
        <v>10</v>
      </c>
      <c r="S939">
        <v>4</v>
      </c>
      <c r="T939">
        <v>10</v>
      </c>
      <c r="U939">
        <v>0.71428999999999998</v>
      </c>
      <c r="V939" t="s">
        <v>61</v>
      </c>
      <c r="W939" t="s">
        <v>117</v>
      </c>
      <c r="X939" t="s">
        <v>62</v>
      </c>
      <c r="Y939" t="s">
        <v>62</v>
      </c>
      <c r="Z939">
        <v>3</v>
      </c>
      <c r="AA939">
        <v>6</v>
      </c>
      <c r="AB939">
        <v>13</v>
      </c>
      <c r="AC939">
        <v>0.31579000000000002</v>
      </c>
      <c r="AD939" s="47">
        <v>0</v>
      </c>
      <c r="AE939" s="47">
        <v>0</v>
      </c>
      <c r="AF939" s="47">
        <v>0</v>
      </c>
      <c r="AG939" s="47">
        <v>1</v>
      </c>
      <c r="AH939" s="47">
        <v>0</v>
      </c>
      <c r="AI939" s="47">
        <v>0</v>
      </c>
      <c r="AJ939" s="47">
        <v>0</v>
      </c>
      <c r="AK939" s="47">
        <v>0</v>
      </c>
      <c r="AL939">
        <v>13</v>
      </c>
      <c r="AM939">
        <v>0</v>
      </c>
      <c r="AN939">
        <v>10</v>
      </c>
      <c r="AO939">
        <v>11</v>
      </c>
      <c r="AP939">
        <v>17</v>
      </c>
      <c r="AQ939">
        <v>12</v>
      </c>
      <c r="AR939">
        <v>38</v>
      </c>
      <c r="AS939">
        <v>7</v>
      </c>
      <c r="AT939" t="s">
        <v>19102</v>
      </c>
      <c r="AU939" t="s">
        <v>19103</v>
      </c>
      <c r="AV939">
        <v>0.97799999999999998</v>
      </c>
      <c r="AW939" t="s">
        <v>65</v>
      </c>
      <c r="AX939">
        <v>55</v>
      </c>
      <c r="AY939">
        <v>19</v>
      </c>
      <c r="AZ939" t="s">
        <v>19104</v>
      </c>
      <c r="BA939">
        <v>3.6179999999999997E-2</v>
      </c>
      <c r="BB939">
        <v>-2.5600000000000002E-3</v>
      </c>
      <c r="BC939">
        <v>3.32E-3</v>
      </c>
      <c r="BD939">
        <v>-1.7000000000000001E-4</v>
      </c>
      <c r="BE939">
        <v>9.1670000000000001E-2</v>
      </c>
      <c r="BF939">
        <v>1</v>
      </c>
      <c r="BG939" t="s">
        <v>69</v>
      </c>
      <c r="BH939">
        <v>-0.753</v>
      </c>
      <c r="BI939">
        <v>-1.724</v>
      </c>
    </row>
    <row r="940" spans="3:61">
      <c r="C940">
        <v>0</v>
      </c>
      <c r="D940">
        <v>6</v>
      </c>
      <c r="E940">
        <v>1</v>
      </c>
      <c r="F940" t="s">
        <v>25021</v>
      </c>
      <c r="G940">
        <v>1889</v>
      </c>
      <c r="H940" t="s">
        <v>11822</v>
      </c>
      <c r="I940" t="s">
        <v>62</v>
      </c>
      <c r="J940">
        <v>1949685</v>
      </c>
      <c r="K940">
        <v>1951217</v>
      </c>
      <c r="L940" t="s">
        <v>11823</v>
      </c>
      <c r="M940">
        <v>511</v>
      </c>
      <c r="N940" t="s">
        <v>108</v>
      </c>
      <c r="O940">
        <v>44</v>
      </c>
      <c r="P940" t="str">
        <f>HYPERLINK("Gene1889-zp_tree_all.dnd", "Gene1889-tree")</f>
        <v>Gene1889-tree</v>
      </c>
      <c r="Q940">
        <v>4</v>
      </c>
      <c r="R940">
        <v>30</v>
      </c>
      <c r="S940">
        <v>4</v>
      </c>
      <c r="T940">
        <v>10</v>
      </c>
      <c r="U940">
        <v>0.71428999999999998</v>
      </c>
      <c r="V940" t="s">
        <v>61</v>
      </c>
      <c r="W940" t="s">
        <v>250</v>
      </c>
      <c r="X940">
        <v>2.2410000000000001</v>
      </c>
      <c r="Y940" t="s">
        <v>65</v>
      </c>
      <c r="Z940">
        <v>2</v>
      </c>
      <c r="AA940">
        <v>7</v>
      </c>
      <c r="AB940">
        <v>17</v>
      </c>
      <c r="AC940">
        <v>0.29166999999999998</v>
      </c>
      <c r="AD940" s="47">
        <v>0</v>
      </c>
      <c r="AE940" s="47">
        <v>0</v>
      </c>
      <c r="AF940" s="47">
        <v>0</v>
      </c>
      <c r="AG940" s="47">
        <v>0</v>
      </c>
      <c r="AH940" s="47">
        <v>0</v>
      </c>
      <c r="AI940" s="47">
        <v>2</v>
      </c>
      <c r="AJ940" s="47">
        <v>0</v>
      </c>
      <c r="AK940" s="47">
        <v>2</v>
      </c>
      <c r="AL940">
        <v>17</v>
      </c>
      <c r="AM940">
        <v>0.10526000000000001</v>
      </c>
      <c r="AN940">
        <v>13</v>
      </c>
      <c r="AO940">
        <v>9</v>
      </c>
      <c r="AP940">
        <v>54</v>
      </c>
      <c r="AQ940">
        <v>20</v>
      </c>
      <c r="AR940">
        <v>21</v>
      </c>
      <c r="AS940">
        <v>5</v>
      </c>
      <c r="AT940" t="s">
        <v>11824</v>
      </c>
      <c r="AU940" t="s">
        <v>11825</v>
      </c>
      <c r="AV940">
        <v>0.70199999999999996</v>
      </c>
      <c r="AW940" t="s">
        <v>65</v>
      </c>
      <c r="AX940">
        <v>75</v>
      </c>
      <c r="AY940">
        <v>25</v>
      </c>
      <c r="AZ940" t="s">
        <v>11826</v>
      </c>
      <c r="BA940">
        <v>3.6880000000000003E-2</v>
      </c>
      <c r="BB940">
        <v>-1.15E-3</v>
      </c>
      <c r="BC940">
        <v>3.6099999999999999E-3</v>
      </c>
      <c r="BD940">
        <v>-1.6000000000000001E-4</v>
      </c>
      <c r="BE940">
        <v>9.7799999999999998E-2</v>
      </c>
      <c r="BF940">
        <v>1</v>
      </c>
      <c r="BG940" t="s">
        <v>69</v>
      </c>
      <c r="BH940">
        <v>-0.82399999999999995</v>
      </c>
      <c r="BI940">
        <v>-1.1950000000000001</v>
      </c>
    </row>
    <row r="941" spans="3:61">
      <c r="C941">
        <v>2</v>
      </c>
      <c r="D941">
        <v>3</v>
      </c>
      <c r="E941">
        <v>8</v>
      </c>
      <c r="F941" t="s">
        <v>25021</v>
      </c>
      <c r="G941">
        <v>308</v>
      </c>
      <c r="H941" t="s">
        <v>2099</v>
      </c>
      <c r="I941" t="s">
        <v>62</v>
      </c>
      <c r="J941">
        <v>332444</v>
      </c>
      <c r="K941">
        <v>333979</v>
      </c>
      <c r="L941" t="s">
        <v>2100</v>
      </c>
      <c r="M941">
        <v>512</v>
      </c>
      <c r="N941" t="s">
        <v>2101</v>
      </c>
      <c r="O941">
        <v>39</v>
      </c>
      <c r="P941" t="str">
        <f>HYPERLINK("Gene308-zp_tree_all.dnd", "Gene308-tree")</f>
        <v>Gene308-tree</v>
      </c>
      <c r="Q941">
        <v>6</v>
      </c>
      <c r="R941">
        <v>29</v>
      </c>
      <c r="S941">
        <v>6</v>
      </c>
      <c r="T941">
        <v>11</v>
      </c>
      <c r="U941">
        <v>0.64705999999999997</v>
      </c>
      <c r="V941" t="s">
        <v>90</v>
      </c>
      <c r="W941" t="s">
        <v>2086</v>
      </c>
      <c r="X941">
        <v>2.5049999999999999</v>
      </c>
      <c r="Y941" t="s">
        <v>65</v>
      </c>
      <c r="Z941">
        <v>5</v>
      </c>
      <c r="AA941">
        <v>13</v>
      </c>
      <c r="AB941">
        <v>19</v>
      </c>
      <c r="AC941">
        <v>0.40625</v>
      </c>
      <c r="AD941" s="47">
        <v>0</v>
      </c>
      <c r="AE941" s="47">
        <v>0</v>
      </c>
      <c r="AF941" s="47">
        <v>0</v>
      </c>
      <c r="AG941" s="47">
        <v>1</v>
      </c>
      <c r="AH941" s="47">
        <v>0</v>
      </c>
      <c r="AI941" s="47">
        <v>0</v>
      </c>
      <c r="AJ941" s="47">
        <v>3</v>
      </c>
      <c r="AK941" s="47">
        <v>3</v>
      </c>
      <c r="AL941">
        <v>14</v>
      </c>
      <c r="AM941">
        <v>0.17646999999999999</v>
      </c>
      <c r="AN941">
        <v>15</v>
      </c>
      <c r="AO941">
        <v>13</v>
      </c>
      <c r="AP941">
        <v>89</v>
      </c>
      <c r="AQ941">
        <v>17</v>
      </c>
      <c r="AR941">
        <v>91</v>
      </c>
      <c r="AS941">
        <v>16</v>
      </c>
      <c r="AT941" t="s">
        <v>2102</v>
      </c>
      <c r="AU941" t="s">
        <v>2103</v>
      </c>
      <c r="AV941">
        <v>0.08</v>
      </c>
      <c r="AW941" t="s">
        <v>65</v>
      </c>
      <c r="AX941">
        <v>180</v>
      </c>
      <c r="AY941">
        <v>33</v>
      </c>
      <c r="AZ941" t="s">
        <v>2104</v>
      </c>
      <c r="BA941">
        <v>9.4259999999999997E-2</v>
      </c>
      <c r="BB941">
        <v>-6.5100000000000002E-3</v>
      </c>
      <c r="BC941">
        <v>5.1200000000000004E-3</v>
      </c>
      <c r="BD941">
        <v>-3.4000000000000002E-4</v>
      </c>
      <c r="BE941">
        <v>5.4350000000000002E-2</v>
      </c>
      <c r="BF941">
        <v>1</v>
      </c>
      <c r="BG941" t="s">
        <v>69</v>
      </c>
      <c r="BH941">
        <v>-1.373</v>
      </c>
      <c r="BI941">
        <v>-1.976</v>
      </c>
    </row>
    <row r="942" spans="3:61">
      <c r="C942">
        <v>0</v>
      </c>
      <c r="D942">
        <v>0</v>
      </c>
      <c r="E942">
        <v>0</v>
      </c>
      <c r="F942" t="s">
        <v>25021</v>
      </c>
      <c r="G942">
        <v>3123</v>
      </c>
      <c r="H942" t="s">
        <v>18121</v>
      </c>
      <c r="I942" t="s">
        <v>57</v>
      </c>
      <c r="J942">
        <v>3076818</v>
      </c>
      <c r="K942">
        <v>3078353</v>
      </c>
      <c r="L942" t="s">
        <v>18122</v>
      </c>
      <c r="M942">
        <v>512</v>
      </c>
      <c r="N942" t="s">
        <v>108</v>
      </c>
      <c r="O942">
        <v>44</v>
      </c>
      <c r="P942" t="str">
        <f>HYPERLINK("Gene3123-zp_tree_all.dnd", "Gene3123-tree")</f>
        <v>Gene3123-tree</v>
      </c>
      <c r="Q942">
        <v>12</v>
      </c>
      <c r="R942">
        <v>2</v>
      </c>
      <c r="S942">
        <v>12</v>
      </c>
      <c r="T942">
        <v>2</v>
      </c>
      <c r="U942">
        <v>0.14285999999999999</v>
      </c>
      <c r="V942" t="s">
        <v>109</v>
      </c>
      <c r="W942" t="s">
        <v>81</v>
      </c>
      <c r="X942" t="s">
        <v>62</v>
      </c>
      <c r="Y942" t="s">
        <v>62</v>
      </c>
      <c r="Z942">
        <v>0</v>
      </c>
      <c r="AA942">
        <v>0</v>
      </c>
      <c r="AB942">
        <v>3</v>
      </c>
      <c r="AC942">
        <v>0</v>
      </c>
      <c r="AD942" s="47">
        <v>0</v>
      </c>
      <c r="AE942" s="47">
        <v>0</v>
      </c>
      <c r="AF942" s="47">
        <v>0</v>
      </c>
      <c r="AG942" s="47">
        <v>0</v>
      </c>
      <c r="AH942" s="47">
        <v>0</v>
      </c>
      <c r="AI942" s="47">
        <v>0</v>
      </c>
      <c r="AJ942" s="47">
        <v>0</v>
      </c>
      <c r="AK942" s="47">
        <v>0</v>
      </c>
      <c r="AL942">
        <v>2</v>
      </c>
      <c r="AM942">
        <v>0</v>
      </c>
      <c r="AN942">
        <v>12</v>
      </c>
      <c r="AO942">
        <v>8</v>
      </c>
      <c r="AP942">
        <v>23</v>
      </c>
      <c r="AQ942">
        <v>2</v>
      </c>
      <c r="AR942">
        <v>16</v>
      </c>
      <c r="AS942">
        <v>1</v>
      </c>
      <c r="AT942" t="s">
        <v>18123</v>
      </c>
      <c r="AU942" t="s">
        <v>18124</v>
      </c>
      <c r="AV942">
        <v>0.115</v>
      </c>
      <c r="AW942" t="s">
        <v>65</v>
      </c>
      <c r="AX942">
        <v>39</v>
      </c>
      <c r="AY942">
        <v>3</v>
      </c>
      <c r="AZ942" t="s">
        <v>18125</v>
      </c>
      <c r="BA942">
        <v>1.9779999999999999E-2</v>
      </c>
      <c r="BB942">
        <v>-8.4999999999999995E-4</v>
      </c>
      <c r="BC942">
        <v>5.5999999999999995E-4</v>
      </c>
      <c r="BD942">
        <v>-6.9999999999999994E-5</v>
      </c>
      <c r="BE942">
        <v>2.8129999999999999E-2</v>
      </c>
      <c r="BF942">
        <v>1</v>
      </c>
      <c r="BG942" t="s">
        <v>69</v>
      </c>
      <c r="BH942">
        <v>-0.75</v>
      </c>
      <c r="BI942">
        <v>-1.57</v>
      </c>
    </row>
    <row r="943" spans="3:61">
      <c r="C943">
        <v>2</v>
      </c>
      <c r="D943">
        <v>32</v>
      </c>
      <c r="E943">
        <v>7</v>
      </c>
      <c r="F943" t="s">
        <v>25021</v>
      </c>
      <c r="G943">
        <v>1884</v>
      </c>
      <c r="H943" t="s">
        <v>11786</v>
      </c>
      <c r="I943" t="s">
        <v>62</v>
      </c>
      <c r="J943">
        <v>1944116</v>
      </c>
      <c r="K943">
        <v>1945654</v>
      </c>
      <c r="L943" t="s">
        <v>11787</v>
      </c>
      <c r="M943">
        <v>513</v>
      </c>
      <c r="N943" t="s">
        <v>11788</v>
      </c>
      <c r="O943">
        <v>36</v>
      </c>
      <c r="P943" t="str">
        <f>HYPERLINK("Gene1884-zp_tree_all.dnd", "Gene1884-tree")</f>
        <v>Gene1884-tree</v>
      </c>
      <c r="Q943">
        <v>0</v>
      </c>
      <c r="R943">
        <v>12</v>
      </c>
      <c r="S943">
        <v>0</v>
      </c>
      <c r="T943">
        <v>12</v>
      </c>
      <c r="U943">
        <v>1</v>
      </c>
      <c r="V943" t="s">
        <v>62</v>
      </c>
      <c r="W943" t="s">
        <v>109</v>
      </c>
      <c r="X943" t="s">
        <v>62</v>
      </c>
      <c r="Y943" t="s">
        <v>62</v>
      </c>
      <c r="Z943">
        <v>17</v>
      </c>
      <c r="AA943">
        <v>41</v>
      </c>
      <c r="AB943">
        <v>24</v>
      </c>
      <c r="AC943">
        <v>0.63077000000000005</v>
      </c>
      <c r="AD943" s="47">
        <v>0</v>
      </c>
      <c r="AE943" s="47">
        <v>0</v>
      </c>
      <c r="AF943" s="47">
        <v>0</v>
      </c>
      <c r="AG943" s="47">
        <v>0</v>
      </c>
      <c r="AH943" s="47">
        <v>0</v>
      </c>
      <c r="AI943" s="47">
        <v>11</v>
      </c>
      <c r="AJ943" s="47">
        <v>7</v>
      </c>
      <c r="AK943" s="47">
        <v>18</v>
      </c>
      <c r="AL943">
        <v>25</v>
      </c>
      <c r="AM943">
        <v>0.41860000000000003</v>
      </c>
      <c r="AN943">
        <v>11</v>
      </c>
      <c r="AO943">
        <v>9</v>
      </c>
      <c r="AP943">
        <v>105</v>
      </c>
      <c r="AQ943">
        <v>45</v>
      </c>
      <c r="AR943">
        <v>52</v>
      </c>
      <c r="AS943">
        <v>24</v>
      </c>
      <c r="AT943" t="s">
        <v>11789</v>
      </c>
      <c r="AU943" t="s">
        <v>11790</v>
      </c>
      <c r="AV943">
        <v>0.14099999999999999</v>
      </c>
      <c r="AW943" t="s">
        <v>65</v>
      </c>
      <c r="AX943">
        <v>157</v>
      </c>
      <c r="AY943">
        <v>69</v>
      </c>
      <c r="AZ943" t="s">
        <v>11791</v>
      </c>
      <c r="BA943">
        <v>8.6610000000000006E-2</v>
      </c>
      <c r="BB943">
        <v>-4.5999999999999999E-3</v>
      </c>
      <c r="BC943">
        <v>1.145E-2</v>
      </c>
      <c r="BD943">
        <v>-5.1999999999999995E-4</v>
      </c>
      <c r="BE943">
        <v>0.13227</v>
      </c>
      <c r="BF943">
        <v>1</v>
      </c>
      <c r="BG943" t="s">
        <v>69</v>
      </c>
      <c r="BH943">
        <v>-0.73399999999999999</v>
      </c>
      <c r="BI943">
        <v>-1.431</v>
      </c>
    </row>
    <row r="944" spans="3:61">
      <c r="C944">
        <v>0</v>
      </c>
      <c r="D944">
        <v>8</v>
      </c>
      <c r="E944">
        <v>0</v>
      </c>
      <c r="F944" t="s">
        <v>25021</v>
      </c>
      <c r="G944">
        <v>813</v>
      </c>
      <c r="H944" t="s">
        <v>5059</v>
      </c>
      <c r="I944" t="s">
        <v>62</v>
      </c>
      <c r="J944">
        <v>848636</v>
      </c>
      <c r="K944">
        <v>850174</v>
      </c>
      <c r="L944" t="s">
        <v>5053</v>
      </c>
      <c r="M944">
        <v>513</v>
      </c>
      <c r="N944" t="s">
        <v>5040</v>
      </c>
      <c r="O944">
        <v>33</v>
      </c>
      <c r="P944" t="str">
        <f>HYPERLINK("Gene813-zp_tree_all.dnd", "Gene813-tree")</f>
        <v>Gene813-tree</v>
      </c>
      <c r="Q944">
        <v>3</v>
      </c>
      <c r="R944">
        <v>7</v>
      </c>
      <c r="S944">
        <v>3</v>
      </c>
      <c r="T944">
        <v>7</v>
      </c>
      <c r="U944">
        <v>0.7</v>
      </c>
      <c r="V944" t="s">
        <v>324</v>
      </c>
      <c r="W944" t="s">
        <v>152</v>
      </c>
      <c r="X944" t="s">
        <v>62</v>
      </c>
      <c r="Y944" t="s">
        <v>62</v>
      </c>
      <c r="Z944">
        <v>2</v>
      </c>
      <c r="AA944">
        <v>8</v>
      </c>
      <c r="AB944">
        <v>12</v>
      </c>
      <c r="AC944">
        <v>0.4</v>
      </c>
      <c r="AD944" s="47">
        <v>0</v>
      </c>
      <c r="AE944" s="47">
        <v>0</v>
      </c>
      <c r="AF944" s="47">
        <v>0</v>
      </c>
      <c r="AG944" s="47">
        <v>0</v>
      </c>
      <c r="AH944" s="47">
        <v>0</v>
      </c>
      <c r="AI944" s="47">
        <v>5</v>
      </c>
      <c r="AJ944" s="47">
        <v>1</v>
      </c>
      <c r="AK944" s="47">
        <v>6</v>
      </c>
      <c r="AL944">
        <v>9</v>
      </c>
      <c r="AM944">
        <v>0.4</v>
      </c>
      <c r="AN944">
        <v>9</v>
      </c>
      <c r="AO944">
        <v>7</v>
      </c>
      <c r="AP944">
        <v>27</v>
      </c>
      <c r="AQ944">
        <v>15</v>
      </c>
      <c r="AR944">
        <v>30</v>
      </c>
      <c r="AS944">
        <v>5</v>
      </c>
      <c r="AT944" t="s">
        <v>5060</v>
      </c>
      <c r="AU944" t="s">
        <v>5061</v>
      </c>
      <c r="AV944">
        <v>1.1659999999999999</v>
      </c>
      <c r="AW944" t="s">
        <v>65</v>
      </c>
      <c r="AX944">
        <v>57</v>
      </c>
      <c r="AY944">
        <v>20</v>
      </c>
      <c r="AZ944" t="s">
        <v>5062</v>
      </c>
      <c r="BA944">
        <v>4.3790000000000003E-2</v>
      </c>
      <c r="BB944">
        <v>-2.3900000000000002E-3</v>
      </c>
      <c r="BC944">
        <v>4.0200000000000001E-3</v>
      </c>
      <c r="BD944">
        <v>-2.9999999999999997E-4</v>
      </c>
      <c r="BE944">
        <v>9.1859999999999997E-2</v>
      </c>
      <c r="BF944">
        <v>1</v>
      </c>
      <c r="BG944" t="s">
        <v>69</v>
      </c>
      <c r="BH944">
        <v>-0.73399999999999999</v>
      </c>
      <c r="BI944">
        <v>-1.0529999999999999</v>
      </c>
    </row>
    <row r="945" spans="3:61">
      <c r="C945">
        <v>0</v>
      </c>
      <c r="D945">
        <v>22</v>
      </c>
      <c r="E945">
        <v>2</v>
      </c>
      <c r="F945" t="s">
        <v>25021</v>
      </c>
      <c r="G945">
        <v>4148</v>
      </c>
      <c r="H945" t="s">
        <v>24415</v>
      </c>
      <c r="I945" t="s">
        <v>57</v>
      </c>
      <c r="J945">
        <v>4114141</v>
      </c>
      <c r="K945">
        <v>4115679</v>
      </c>
      <c r="L945" t="s">
        <v>24416</v>
      </c>
      <c r="M945">
        <v>513</v>
      </c>
      <c r="N945" t="s">
        <v>108</v>
      </c>
      <c r="O945">
        <v>44</v>
      </c>
      <c r="P945" t="str">
        <f>HYPERLINK("Gene4148-zp_tree_all.dnd", "Gene4148-tree")</f>
        <v>Gene4148-tree</v>
      </c>
      <c r="Q945">
        <v>8</v>
      </c>
      <c r="R945">
        <v>9</v>
      </c>
      <c r="S945">
        <v>8</v>
      </c>
      <c r="T945">
        <v>9</v>
      </c>
      <c r="U945">
        <v>0.52941000000000005</v>
      </c>
      <c r="V945" t="s">
        <v>136</v>
      </c>
      <c r="W945" t="s">
        <v>135</v>
      </c>
      <c r="X945" t="s">
        <v>62</v>
      </c>
      <c r="Y945" t="s">
        <v>62</v>
      </c>
      <c r="Z945">
        <v>8</v>
      </c>
      <c r="AA945">
        <v>24</v>
      </c>
      <c r="AB945">
        <v>4</v>
      </c>
      <c r="AC945">
        <v>0.85714000000000001</v>
      </c>
      <c r="AD945" s="47">
        <v>0</v>
      </c>
      <c r="AE945" s="47">
        <v>0</v>
      </c>
      <c r="AF945" s="47">
        <v>0</v>
      </c>
      <c r="AG945" s="47">
        <v>1</v>
      </c>
      <c r="AH945" s="47">
        <v>0</v>
      </c>
      <c r="AI945" s="47">
        <v>12</v>
      </c>
      <c r="AJ945" s="47">
        <v>1</v>
      </c>
      <c r="AK945" s="47">
        <v>13</v>
      </c>
      <c r="AL945">
        <v>5</v>
      </c>
      <c r="AM945">
        <v>0.72221999999999997</v>
      </c>
      <c r="AN945">
        <v>15</v>
      </c>
      <c r="AO945">
        <v>12</v>
      </c>
      <c r="AP945">
        <v>62</v>
      </c>
      <c r="AQ945">
        <v>17</v>
      </c>
      <c r="AR945">
        <v>46</v>
      </c>
      <c r="AS945">
        <v>11</v>
      </c>
      <c r="AT945" t="s">
        <v>24417</v>
      </c>
      <c r="AU945" t="s">
        <v>24418</v>
      </c>
      <c r="AV945">
        <v>0.22900000000000001</v>
      </c>
      <c r="AW945" t="s">
        <v>65</v>
      </c>
      <c r="AX945">
        <v>108</v>
      </c>
      <c r="AY945">
        <v>28</v>
      </c>
      <c r="AZ945" t="s">
        <v>24419</v>
      </c>
      <c r="BA945">
        <v>4.5019999999999998E-2</v>
      </c>
      <c r="BB945">
        <v>-1.3799999999999999E-3</v>
      </c>
      <c r="BC945">
        <v>3.31E-3</v>
      </c>
      <c r="BD945">
        <v>-1.2999999999999999E-4</v>
      </c>
      <c r="BE945">
        <v>7.3550000000000004E-2</v>
      </c>
      <c r="BF945">
        <v>1</v>
      </c>
      <c r="BG945" t="s">
        <v>69</v>
      </c>
      <c r="BH945">
        <v>-0.40400000000000003</v>
      </c>
      <c r="BI945">
        <v>-0.99</v>
      </c>
    </row>
    <row r="946" spans="3:61">
      <c r="C946">
        <v>0</v>
      </c>
      <c r="D946">
        <v>2</v>
      </c>
      <c r="E946">
        <v>0</v>
      </c>
      <c r="F946" t="s">
        <v>25021</v>
      </c>
      <c r="G946">
        <v>3961</v>
      </c>
      <c r="H946" t="s">
        <v>23270</v>
      </c>
      <c r="I946" t="s">
        <v>57</v>
      </c>
      <c r="J946">
        <v>3924225</v>
      </c>
      <c r="K946">
        <v>3925763</v>
      </c>
      <c r="L946" t="s">
        <v>23271</v>
      </c>
      <c r="M946">
        <v>513</v>
      </c>
      <c r="N946" t="s">
        <v>108</v>
      </c>
      <c r="O946">
        <v>44</v>
      </c>
      <c r="P946" t="str">
        <f>HYPERLINK("Gene3961-zp_tree_all.dnd", "Gene3961-tree")</f>
        <v>Gene3961-tree</v>
      </c>
      <c r="Q946">
        <v>23</v>
      </c>
      <c r="R946">
        <v>9</v>
      </c>
      <c r="S946">
        <v>7</v>
      </c>
      <c r="T946">
        <v>9</v>
      </c>
      <c r="U946">
        <v>0.5625</v>
      </c>
      <c r="V946" t="s">
        <v>8350</v>
      </c>
      <c r="W946" t="s">
        <v>135</v>
      </c>
      <c r="X946" t="s">
        <v>62</v>
      </c>
      <c r="Y946" t="s">
        <v>62</v>
      </c>
      <c r="Z946">
        <v>1</v>
      </c>
      <c r="AA946">
        <v>2</v>
      </c>
      <c r="AB946">
        <v>11</v>
      </c>
      <c r="AC946">
        <v>0.15384999999999999</v>
      </c>
      <c r="AD946" s="47">
        <v>0</v>
      </c>
      <c r="AE946" s="47">
        <v>0</v>
      </c>
      <c r="AF946" s="47">
        <v>0</v>
      </c>
      <c r="AG946" s="47">
        <v>0</v>
      </c>
      <c r="AH946" s="47">
        <v>0</v>
      </c>
      <c r="AI946" s="47">
        <v>0</v>
      </c>
      <c r="AJ946" s="47">
        <v>0</v>
      </c>
      <c r="AK946" s="47">
        <v>0</v>
      </c>
      <c r="AL946">
        <v>12</v>
      </c>
      <c r="AM946">
        <v>0</v>
      </c>
      <c r="AN946">
        <v>13</v>
      </c>
      <c r="AO946">
        <v>12</v>
      </c>
      <c r="AP946">
        <v>49</v>
      </c>
      <c r="AQ946">
        <v>13</v>
      </c>
      <c r="AR946">
        <v>44</v>
      </c>
      <c r="AS946">
        <v>1</v>
      </c>
      <c r="AT946" t="s">
        <v>23272</v>
      </c>
      <c r="AU946" t="s">
        <v>23273</v>
      </c>
      <c r="AV946">
        <v>1.212</v>
      </c>
      <c r="AW946" t="s">
        <v>65</v>
      </c>
      <c r="AX946">
        <v>93</v>
      </c>
      <c r="AY946">
        <v>14</v>
      </c>
      <c r="AZ946" t="s">
        <v>23274</v>
      </c>
      <c r="BA946">
        <v>4.3619999999999999E-2</v>
      </c>
      <c r="BB946">
        <v>-1.75E-3</v>
      </c>
      <c r="BC946">
        <v>1.6000000000000001E-3</v>
      </c>
      <c r="BD946">
        <v>-9.0000000000000006E-5</v>
      </c>
      <c r="BE946">
        <v>3.6720000000000003E-2</v>
      </c>
      <c r="BF946">
        <v>1</v>
      </c>
      <c r="BG946" t="s">
        <v>69</v>
      </c>
      <c r="BH946">
        <v>-1.008</v>
      </c>
      <c r="BI946">
        <v>-2.161</v>
      </c>
    </row>
    <row r="947" spans="3:61">
      <c r="C947">
        <v>0</v>
      </c>
      <c r="D947">
        <v>2</v>
      </c>
      <c r="E947">
        <v>0</v>
      </c>
      <c r="F947" t="s">
        <v>25021</v>
      </c>
      <c r="G947">
        <v>663</v>
      </c>
      <c r="H947" t="s">
        <v>4127</v>
      </c>
      <c r="I947" t="s">
        <v>62</v>
      </c>
      <c r="J947">
        <v>683465</v>
      </c>
      <c r="K947">
        <v>685003</v>
      </c>
      <c r="L947" t="s">
        <v>4128</v>
      </c>
      <c r="M947">
        <v>513</v>
      </c>
      <c r="N947" t="s">
        <v>4013</v>
      </c>
      <c r="O947">
        <v>43</v>
      </c>
      <c r="P947" t="str">
        <f>HYPERLINK("Gene663-zp_tree_all.dnd", "Gene663-tree")</f>
        <v>Gene663-tree</v>
      </c>
      <c r="Q947">
        <v>9</v>
      </c>
      <c r="R947">
        <v>6</v>
      </c>
      <c r="S947">
        <v>9</v>
      </c>
      <c r="T947">
        <v>6</v>
      </c>
      <c r="U947">
        <v>0.4</v>
      </c>
      <c r="V947" t="s">
        <v>135</v>
      </c>
      <c r="W947" t="s">
        <v>90</v>
      </c>
      <c r="X947" t="s">
        <v>62</v>
      </c>
      <c r="Y947" t="s">
        <v>62</v>
      </c>
      <c r="Z947">
        <v>1</v>
      </c>
      <c r="AA947">
        <v>2</v>
      </c>
      <c r="AB947">
        <v>7</v>
      </c>
      <c r="AC947">
        <v>0.22222</v>
      </c>
      <c r="AD947" s="47">
        <v>0</v>
      </c>
      <c r="AE947" s="47">
        <v>0</v>
      </c>
      <c r="AF947" s="47">
        <v>0</v>
      </c>
      <c r="AG947" s="47">
        <v>0</v>
      </c>
      <c r="AH947" s="47">
        <v>0</v>
      </c>
      <c r="AI947" s="47">
        <v>2</v>
      </c>
      <c r="AJ947" s="47">
        <v>0</v>
      </c>
      <c r="AK947" s="47">
        <v>2</v>
      </c>
      <c r="AL947">
        <v>7</v>
      </c>
      <c r="AM947">
        <v>0.22222</v>
      </c>
      <c r="AN947">
        <v>13</v>
      </c>
      <c r="AO947">
        <v>10</v>
      </c>
      <c r="AP947">
        <v>46</v>
      </c>
      <c r="AQ947">
        <v>9</v>
      </c>
      <c r="AR947">
        <v>31</v>
      </c>
      <c r="AS947">
        <v>0</v>
      </c>
      <c r="AT947" t="s">
        <v>4129</v>
      </c>
      <c r="AU947" t="s">
        <v>193</v>
      </c>
      <c r="AV947">
        <v>1.9750000000000001</v>
      </c>
      <c r="AW947" t="s">
        <v>267</v>
      </c>
      <c r="AX947">
        <v>77</v>
      </c>
      <c r="AY947">
        <v>9</v>
      </c>
      <c r="AZ947" t="s">
        <v>4130</v>
      </c>
      <c r="BA947">
        <v>3.6609999999999997E-2</v>
      </c>
      <c r="BB947">
        <v>-1.0399999999999999E-3</v>
      </c>
      <c r="BC947">
        <v>1.01E-3</v>
      </c>
      <c r="BD947">
        <v>-9.0000000000000006E-5</v>
      </c>
      <c r="BE947">
        <v>2.7539999999999999E-2</v>
      </c>
      <c r="BF947">
        <v>1</v>
      </c>
      <c r="BG947" t="s">
        <v>69</v>
      </c>
      <c r="BH947">
        <v>-0.77300000000000002</v>
      </c>
      <c r="BI947">
        <v>5.8999999999999997E-2</v>
      </c>
    </row>
    <row r="948" spans="3:61">
      <c r="C948">
        <v>0</v>
      </c>
      <c r="D948">
        <v>22</v>
      </c>
      <c r="E948">
        <v>5</v>
      </c>
      <c r="F948" t="s">
        <v>25021</v>
      </c>
      <c r="G948">
        <v>3572</v>
      </c>
      <c r="H948" t="s">
        <v>20950</v>
      </c>
      <c r="I948" t="s">
        <v>57</v>
      </c>
      <c r="J948">
        <v>3537507</v>
      </c>
      <c r="K948">
        <v>3539054</v>
      </c>
      <c r="L948" t="s">
        <v>20951</v>
      </c>
      <c r="M948">
        <v>516</v>
      </c>
      <c r="N948" t="s">
        <v>108</v>
      </c>
      <c r="O948">
        <v>44</v>
      </c>
      <c r="P948" t="str">
        <f>HYPERLINK("Gene3572-zp_tree_all.dnd", "Gene3572-tree")</f>
        <v>Gene3572-tree</v>
      </c>
      <c r="Q948">
        <v>2</v>
      </c>
      <c r="R948">
        <v>13</v>
      </c>
      <c r="S948">
        <v>2</v>
      </c>
      <c r="T948">
        <v>13</v>
      </c>
      <c r="U948">
        <v>0.86667000000000005</v>
      </c>
      <c r="V948" t="s">
        <v>81</v>
      </c>
      <c r="W948" t="s">
        <v>507</v>
      </c>
      <c r="X948" t="s">
        <v>62</v>
      </c>
      <c r="Y948" t="s">
        <v>62</v>
      </c>
      <c r="Z948">
        <v>12</v>
      </c>
      <c r="AA948">
        <v>27</v>
      </c>
      <c r="AB948">
        <v>19</v>
      </c>
      <c r="AC948">
        <v>0.58696000000000004</v>
      </c>
      <c r="AD948" s="47">
        <v>0</v>
      </c>
      <c r="AE948" s="47">
        <v>0</v>
      </c>
      <c r="AF948" s="47">
        <v>0</v>
      </c>
      <c r="AG948" s="47">
        <v>0</v>
      </c>
      <c r="AH948" s="47">
        <v>0</v>
      </c>
      <c r="AI948" s="47">
        <v>11</v>
      </c>
      <c r="AJ948" s="47">
        <v>5</v>
      </c>
      <c r="AK948" s="47">
        <v>16</v>
      </c>
      <c r="AL948">
        <v>18</v>
      </c>
      <c r="AM948">
        <v>0.47059000000000001</v>
      </c>
      <c r="AN948">
        <v>13</v>
      </c>
      <c r="AO948">
        <v>10</v>
      </c>
      <c r="AP948">
        <v>56</v>
      </c>
      <c r="AQ948">
        <v>31</v>
      </c>
      <c r="AR948">
        <v>41</v>
      </c>
      <c r="AS948">
        <v>16</v>
      </c>
      <c r="AT948" t="s">
        <v>20952</v>
      </c>
      <c r="AU948" t="s">
        <v>20953</v>
      </c>
      <c r="AV948">
        <v>0.315</v>
      </c>
      <c r="AW948" t="s">
        <v>65</v>
      </c>
      <c r="AX948">
        <v>97</v>
      </c>
      <c r="AY948">
        <v>47</v>
      </c>
      <c r="AZ948" t="s">
        <v>20954</v>
      </c>
      <c r="BA948">
        <v>5.2310000000000002E-2</v>
      </c>
      <c r="BB948">
        <v>-2.8900000000000002E-3</v>
      </c>
      <c r="BC948">
        <v>6.62E-3</v>
      </c>
      <c r="BD948">
        <v>-3.1E-4</v>
      </c>
      <c r="BE948">
        <v>0.12664</v>
      </c>
      <c r="BF948">
        <v>1</v>
      </c>
      <c r="BG948" t="s">
        <v>69</v>
      </c>
      <c r="BH948">
        <v>-0.88800000000000001</v>
      </c>
      <c r="BI948">
        <v>-2.1040000000000001</v>
      </c>
    </row>
    <row r="949" spans="3:61">
      <c r="C949">
        <v>0</v>
      </c>
      <c r="D949">
        <v>2</v>
      </c>
      <c r="E949">
        <v>0</v>
      </c>
      <c r="F949" t="s">
        <v>25021</v>
      </c>
      <c r="G949">
        <v>2872</v>
      </c>
      <c r="H949" t="s">
        <v>16512</v>
      </c>
      <c r="I949" t="s">
        <v>57</v>
      </c>
      <c r="J949">
        <v>2818494</v>
      </c>
      <c r="K949">
        <v>2820047</v>
      </c>
      <c r="L949" t="s">
        <v>16513</v>
      </c>
      <c r="M949">
        <v>518</v>
      </c>
      <c r="N949" t="s">
        <v>108</v>
      </c>
      <c r="O949">
        <v>44</v>
      </c>
      <c r="P949" t="str">
        <f>HYPERLINK("Gene2872-zp_tree_all.dnd", "Gene2872-tree")</f>
        <v>Gene2872-tree</v>
      </c>
      <c r="Q949">
        <v>26</v>
      </c>
      <c r="R949">
        <v>7</v>
      </c>
      <c r="S949">
        <v>6</v>
      </c>
      <c r="T949">
        <v>7</v>
      </c>
      <c r="U949">
        <v>0.53846000000000005</v>
      </c>
      <c r="V949" t="s">
        <v>1030</v>
      </c>
      <c r="W949" t="s">
        <v>152</v>
      </c>
      <c r="X949" t="s">
        <v>62</v>
      </c>
      <c r="Y949" t="s">
        <v>62</v>
      </c>
      <c r="Z949">
        <v>1</v>
      </c>
      <c r="AA949">
        <v>2</v>
      </c>
      <c r="AB949">
        <v>18</v>
      </c>
      <c r="AC949">
        <v>0.1</v>
      </c>
      <c r="AD949" s="47">
        <v>0</v>
      </c>
      <c r="AE949" s="47">
        <v>0</v>
      </c>
      <c r="AF949" s="47">
        <v>0</v>
      </c>
      <c r="AG949" s="47">
        <v>1</v>
      </c>
      <c r="AH949" s="47">
        <v>0</v>
      </c>
      <c r="AI949" s="47">
        <v>0</v>
      </c>
      <c r="AJ949" s="47">
        <v>0</v>
      </c>
      <c r="AK949" s="47">
        <v>0</v>
      </c>
      <c r="AL949">
        <v>15</v>
      </c>
      <c r="AM949">
        <v>0</v>
      </c>
      <c r="AN949">
        <v>8</v>
      </c>
      <c r="AO949">
        <v>8</v>
      </c>
      <c r="AP949">
        <v>22</v>
      </c>
      <c r="AQ949">
        <v>15</v>
      </c>
      <c r="AR949">
        <v>19</v>
      </c>
      <c r="AS949">
        <v>5</v>
      </c>
      <c r="AT949" t="s">
        <v>16514</v>
      </c>
      <c r="AU949" t="s">
        <v>16515</v>
      </c>
      <c r="AV949">
        <v>0.74399999999999999</v>
      </c>
      <c r="AW949" t="s">
        <v>65</v>
      </c>
      <c r="AX949">
        <v>41</v>
      </c>
      <c r="AY949">
        <v>20</v>
      </c>
      <c r="AZ949" t="s">
        <v>16516</v>
      </c>
      <c r="BA949">
        <v>2.3869999999999999E-2</v>
      </c>
      <c r="BB949">
        <v>-1.4400000000000001E-3</v>
      </c>
      <c r="BC949">
        <v>3.2799999999999999E-3</v>
      </c>
      <c r="BD949">
        <v>-2.4000000000000001E-4</v>
      </c>
      <c r="BE949">
        <v>0.13755999999999999</v>
      </c>
      <c r="BF949">
        <v>1</v>
      </c>
      <c r="BG949" t="s">
        <v>69</v>
      </c>
      <c r="BH949">
        <v>-0.97</v>
      </c>
      <c r="BI949">
        <v>-1.853</v>
      </c>
    </row>
    <row r="950" spans="3:61">
      <c r="C950">
        <v>2</v>
      </c>
      <c r="D950">
        <v>24</v>
      </c>
      <c r="E950">
        <v>7</v>
      </c>
      <c r="F950" t="s">
        <v>25021</v>
      </c>
      <c r="G950">
        <v>874</v>
      </c>
      <c r="H950" t="s">
        <v>5457</v>
      </c>
      <c r="I950" t="s">
        <v>62</v>
      </c>
      <c r="J950">
        <v>914460</v>
      </c>
      <c r="K950">
        <v>916013</v>
      </c>
      <c r="L950" t="s">
        <v>2641</v>
      </c>
      <c r="M950">
        <v>518</v>
      </c>
      <c r="N950" t="s">
        <v>108</v>
      </c>
      <c r="O950">
        <v>44</v>
      </c>
      <c r="P950" t="str">
        <f>HYPERLINK("Gene874-zp_tree_all.dnd", "Gene874-tree")</f>
        <v>Gene874-tree</v>
      </c>
      <c r="Q950">
        <v>1</v>
      </c>
      <c r="R950">
        <v>14</v>
      </c>
      <c r="S950">
        <v>1</v>
      </c>
      <c r="T950">
        <v>14</v>
      </c>
      <c r="U950">
        <v>0.93332999999999999</v>
      </c>
      <c r="V950" t="s">
        <v>175</v>
      </c>
      <c r="W950" t="s">
        <v>543</v>
      </c>
      <c r="X950">
        <v>1865302226.941</v>
      </c>
      <c r="Y950" t="s">
        <v>267</v>
      </c>
      <c r="Z950">
        <v>13</v>
      </c>
      <c r="AA950">
        <v>33</v>
      </c>
      <c r="AB950">
        <v>24</v>
      </c>
      <c r="AC950">
        <v>0.57894999999999996</v>
      </c>
      <c r="AD950" s="47">
        <v>0</v>
      </c>
      <c r="AE950" s="47">
        <v>0</v>
      </c>
      <c r="AF950" s="47">
        <v>0</v>
      </c>
      <c r="AG950" s="47">
        <v>0</v>
      </c>
      <c r="AH950" s="47">
        <v>0</v>
      </c>
      <c r="AI950" s="47">
        <v>15</v>
      </c>
      <c r="AJ950" s="47">
        <v>8</v>
      </c>
      <c r="AK950" s="47">
        <v>23</v>
      </c>
      <c r="AL950">
        <v>25</v>
      </c>
      <c r="AM950">
        <v>0.47916999999999998</v>
      </c>
      <c r="AN950">
        <v>14</v>
      </c>
      <c r="AO950">
        <v>10</v>
      </c>
      <c r="AP950">
        <v>98</v>
      </c>
      <c r="AQ950">
        <v>47</v>
      </c>
      <c r="AR950">
        <v>31</v>
      </c>
      <c r="AS950">
        <v>10</v>
      </c>
      <c r="AT950" t="s">
        <v>5458</v>
      </c>
      <c r="AU950" t="s">
        <v>5459</v>
      </c>
      <c r="AV950">
        <v>0.75800000000000001</v>
      </c>
      <c r="AW950" t="s">
        <v>65</v>
      </c>
      <c r="AX950">
        <v>129</v>
      </c>
      <c r="AY950">
        <v>57</v>
      </c>
      <c r="AZ950" t="s">
        <v>5460</v>
      </c>
      <c r="BA950">
        <v>5.2310000000000002E-2</v>
      </c>
      <c r="BB950">
        <v>-2.6099999999999999E-3</v>
      </c>
      <c r="BC950">
        <v>6.8500000000000002E-3</v>
      </c>
      <c r="BD950">
        <v>-1.9000000000000001E-4</v>
      </c>
      <c r="BE950">
        <v>0.13105</v>
      </c>
      <c r="BF950">
        <v>1</v>
      </c>
      <c r="BG950" t="s">
        <v>69</v>
      </c>
      <c r="BH950">
        <v>-0.85499999999999998</v>
      </c>
      <c r="BI950">
        <v>-2.0630000000000002</v>
      </c>
    </row>
    <row r="951" spans="3:61">
      <c r="C951">
        <v>0</v>
      </c>
      <c r="D951">
        <v>4</v>
      </c>
      <c r="E951">
        <v>0</v>
      </c>
      <c r="F951" t="s">
        <v>25021</v>
      </c>
      <c r="G951">
        <v>2881</v>
      </c>
      <c r="H951" t="s">
        <v>16574</v>
      </c>
      <c r="I951" t="s">
        <v>57</v>
      </c>
      <c r="J951">
        <v>2829564</v>
      </c>
      <c r="K951">
        <v>2831117</v>
      </c>
      <c r="L951" t="s">
        <v>16575</v>
      </c>
      <c r="M951">
        <v>518</v>
      </c>
      <c r="N951" t="s">
        <v>108</v>
      </c>
      <c r="O951">
        <v>44</v>
      </c>
      <c r="P951" t="str">
        <f>HYPERLINK("Gene2881-zp_tree_all.dnd", "Gene2881-tree")</f>
        <v>Gene2881-tree</v>
      </c>
      <c r="Q951">
        <v>8</v>
      </c>
      <c r="R951">
        <v>4</v>
      </c>
      <c r="S951">
        <v>8</v>
      </c>
      <c r="T951">
        <v>4</v>
      </c>
      <c r="U951">
        <v>0.33333000000000002</v>
      </c>
      <c r="V951" t="s">
        <v>136</v>
      </c>
      <c r="W951" t="s">
        <v>61</v>
      </c>
      <c r="X951" t="s">
        <v>62</v>
      </c>
      <c r="Y951" t="s">
        <v>62</v>
      </c>
      <c r="Z951">
        <v>2</v>
      </c>
      <c r="AA951">
        <v>4</v>
      </c>
      <c r="AB951">
        <v>7</v>
      </c>
      <c r="AC951">
        <v>0.36364000000000002</v>
      </c>
      <c r="AD951" s="47">
        <v>0</v>
      </c>
      <c r="AE951" s="47">
        <v>0</v>
      </c>
      <c r="AF951" s="47">
        <v>0</v>
      </c>
      <c r="AG951" s="47">
        <v>0</v>
      </c>
      <c r="AH951" s="47">
        <v>0</v>
      </c>
      <c r="AI951" s="47">
        <v>0</v>
      </c>
      <c r="AJ951" s="47">
        <v>0</v>
      </c>
      <c r="AK951" s="47">
        <v>0</v>
      </c>
      <c r="AL951">
        <v>5</v>
      </c>
      <c r="AM951">
        <v>0</v>
      </c>
      <c r="AN951">
        <v>11</v>
      </c>
      <c r="AO951">
        <v>8</v>
      </c>
      <c r="AP951">
        <v>38</v>
      </c>
      <c r="AQ951">
        <v>5</v>
      </c>
      <c r="AR951">
        <v>21</v>
      </c>
      <c r="AS951">
        <v>6</v>
      </c>
      <c r="AT951" t="s">
        <v>16576</v>
      </c>
      <c r="AU951" t="s">
        <v>16577</v>
      </c>
      <c r="AV951">
        <v>0.73699999999999999</v>
      </c>
      <c r="AW951" t="s">
        <v>65</v>
      </c>
      <c r="AX951">
        <v>59</v>
      </c>
      <c r="AY951">
        <v>11</v>
      </c>
      <c r="AZ951" t="s">
        <v>16578</v>
      </c>
      <c r="BA951">
        <v>3.533E-2</v>
      </c>
      <c r="BB951">
        <v>-1.4400000000000001E-3</v>
      </c>
      <c r="BC951">
        <v>2.4199999999999998E-3</v>
      </c>
      <c r="BD951">
        <v>-1.9000000000000001E-4</v>
      </c>
      <c r="BE951">
        <v>6.8400000000000002E-2</v>
      </c>
      <c r="BF951">
        <v>1</v>
      </c>
      <c r="BG951" t="s">
        <v>69</v>
      </c>
      <c r="BH951">
        <v>0.34399999999999997</v>
      </c>
      <c r="BI951">
        <v>-0.6</v>
      </c>
    </row>
    <row r="952" spans="3:61">
      <c r="C952">
        <v>0</v>
      </c>
      <c r="D952">
        <v>2</v>
      </c>
      <c r="E952">
        <v>0</v>
      </c>
      <c r="F952" t="s">
        <v>25021</v>
      </c>
      <c r="G952">
        <v>779</v>
      </c>
      <c r="H952" t="s">
        <v>4844</v>
      </c>
      <c r="I952" t="s">
        <v>62</v>
      </c>
      <c r="J952">
        <v>814387</v>
      </c>
      <c r="K952">
        <v>815940</v>
      </c>
      <c r="L952" t="s">
        <v>3951</v>
      </c>
      <c r="M952">
        <v>518</v>
      </c>
      <c r="N952" t="s">
        <v>108</v>
      </c>
      <c r="O952">
        <v>44</v>
      </c>
      <c r="P952" t="str">
        <f>HYPERLINK("Gene779-zp_tree_all.dnd", "Gene779-tree")</f>
        <v>Gene779-tree</v>
      </c>
      <c r="Q952">
        <v>10</v>
      </c>
      <c r="R952">
        <v>6</v>
      </c>
      <c r="S952">
        <v>10</v>
      </c>
      <c r="T952">
        <v>6</v>
      </c>
      <c r="U952">
        <v>0.375</v>
      </c>
      <c r="V952" t="s">
        <v>117</v>
      </c>
      <c r="W952" t="s">
        <v>90</v>
      </c>
      <c r="X952" t="s">
        <v>62</v>
      </c>
      <c r="Y952" t="s">
        <v>62</v>
      </c>
      <c r="Z952">
        <v>1</v>
      </c>
      <c r="AA952">
        <v>2</v>
      </c>
      <c r="AB952">
        <v>6</v>
      </c>
      <c r="AC952">
        <v>0.25</v>
      </c>
      <c r="AD952" s="47">
        <v>0</v>
      </c>
      <c r="AE952" s="47">
        <v>0</v>
      </c>
      <c r="AF952" s="47">
        <v>0</v>
      </c>
      <c r="AG952" s="47">
        <v>1</v>
      </c>
      <c r="AH952" s="47">
        <v>0</v>
      </c>
      <c r="AI952" s="47">
        <v>0</v>
      </c>
      <c r="AJ952" s="47">
        <v>0</v>
      </c>
      <c r="AK952" s="47">
        <v>0</v>
      </c>
      <c r="AL952">
        <v>6</v>
      </c>
      <c r="AM952">
        <v>0</v>
      </c>
      <c r="AN952">
        <v>11</v>
      </c>
      <c r="AO952">
        <v>13</v>
      </c>
      <c r="AP952">
        <v>91</v>
      </c>
      <c r="AQ952">
        <v>4</v>
      </c>
      <c r="AR952">
        <v>69</v>
      </c>
      <c r="AS952">
        <v>4</v>
      </c>
      <c r="AT952" t="s">
        <v>4845</v>
      </c>
      <c r="AU952" t="s">
        <v>4846</v>
      </c>
      <c r="AV952">
        <v>0.26200000000000001</v>
      </c>
      <c r="AW952" t="s">
        <v>65</v>
      </c>
      <c r="AX952">
        <v>160</v>
      </c>
      <c r="AY952">
        <v>8</v>
      </c>
      <c r="AZ952" t="s">
        <v>4847</v>
      </c>
      <c r="BA952">
        <v>8.0439999999999998E-2</v>
      </c>
      <c r="BB952">
        <v>-2.8800000000000002E-3</v>
      </c>
      <c r="BC952">
        <v>1.07E-3</v>
      </c>
      <c r="BD952">
        <v>-6.0000000000000002E-5</v>
      </c>
      <c r="BE952">
        <v>1.333E-2</v>
      </c>
      <c r="BF952">
        <v>1</v>
      </c>
      <c r="BG952" t="s">
        <v>69</v>
      </c>
      <c r="BH952">
        <v>-0.36799999999999999</v>
      </c>
      <c r="BI952">
        <v>-1.4750000000000001</v>
      </c>
    </row>
    <row r="953" spans="3:61">
      <c r="C953">
        <v>0</v>
      </c>
      <c r="D953">
        <v>2</v>
      </c>
      <c r="E953">
        <v>0</v>
      </c>
      <c r="F953" t="s">
        <v>25021</v>
      </c>
      <c r="G953">
        <v>3573</v>
      </c>
      <c r="H953" t="s">
        <v>20957</v>
      </c>
      <c r="I953" t="s">
        <v>57</v>
      </c>
      <c r="J953">
        <v>3539165</v>
      </c>
      <c r="K953">
        <v>3540724</v>
      </c>
      <c r="L953" t="s">
        <v>20958</v>
      </c>
      <c r="M953">
        <v>520</v>
      </c>
      <c r="N953" t="s">
        <v>108</v>
      </c>
      <c r="O953">
        <v>44</v>
      </c>
      <c r="P953" t="str">
        <f>HYPERLINK("Gene3573-zp_tree_all.dnd", "Gene3573-tree")</f>
        <v>Gene3573-tree</v>
      </c>
      <c r="Q953">
        <v>10</v>
      </c>
      <c r="R953">
        <v>3</v>
      </c>
      <c r="S953">
        <v>10</v>
      </c>
      <c r="T953">
        <v>3</v>
      </c>
      <c r="U953">
        <v>0.23077</v>
      </c>
      <c r="V953" t="s">
        <v>117</v>
      </c>
      <c r="W953" t="s">
        <v>324</v>
      </c>
      <c r="X953" t="s">
        <v>62</v>
      </c>
      <c r="Y953" t="s">
        <v>62</v>
      </c>
      <c r="Z953">
        <v>1</v>
      </c>
      <c r="AA953">
        <v>2</v>
      </c>
      <c r="AB953">
        <v>3</v>
      </c>
      <c r="AC953">
        <v>0.4</v>
      </c>
      <c r="AD953" s="47">
        <v>0</v>
      </c>
      <c r="AE953" s="47">
        <v>0</v>
      </c>
      <c r="AF953" s="47">
        <v>0</v>
      </c>
      <c r="AG953" s="47">
        <v>0</v>
      </c>
      <c r="AH953" s="47">
        <v>0</v>
      </c>
      <c r="AI953" s="47">
        <v>0</v>
      </c>
      <c r="AJ953" s="47">
        <v>0</v>
      </c>
      <c r="AK953" s="47">
        <v>0</v>
      </c>
      <c r="AL953">
        <v>4</v>
      </c>
      <c r="AM953">
        <v>0</v>
      </c>
      <c r="AN953">
        <v>13</v>
      </c>
      <c r="AO953">
        <v>8</v>
      </c>
      <c r="AP953">
        <v>52</v>
      </c>
      <c r="AQ953">
        <v>4</v>
      </c>
      <c r="AR953">
        <v>16</v>
      </c>
      <c r="AS953">
        <v>1</v>
      </c>
      <c r="AT953" t="s">
        <v>20959</v>
      </c>
      <c r="AU953" t="s">
        <v>20960</v>
      </c>
      <c r="AV953">
        <v>7.6999999999999999E-2</v>
      </c>
      <c r="AW953" t="s">
        <v>65</v>
      </c>
      <c r="AX953">
        <v>68</v>
      </c>
      <c r="AY953">
        <v>5</v>
      </c>
      <c r="AZ953" t="s">
        <v>20961</v>
      </c>
      <c r="BA953">
        <v>3.0450000000000001E-2</v>
      </c>
      <c r="BB953">
        <v>-1.09E-3</v>
      </c>
      <c r="BC953">
        <v>7.2000000000000005E-4</v>
      </c>
      <c r="BD953">
        <v>-1E-4</v>
      </c>
      <c r="BE953">
        <v>2.3769999999999999E-2</v>
      </c>
      <c r="BF953">
        <v>1</v>
      </c>
      <c r="BG953" t="s">
        <v>69</v>
      </c>
      <c r="BH953">
        <v>-0.89600000000000002</v>
      </c>
      <c r="BI953">
        <v>-1.7829999999999999</v>
      </c>
    </row>
    <row r="954" spans="3:61">
      <c r="C954">
        <v>0</v>
      </c>
      <c r="D954">
        <v>0</v>
      </c>
      <c r="E954">
        <v>0</v>
      </c>
      <c r="F954" t="s">
        <v>25021</v>
      </c>
      <c r="G954">
        <v>1530</v>
      </c>
      <c r="H954" t="s">
        <v>9563</v>
      </c>
      <c r="I954" t="s">
        <v>62</v>
      </c>
      <c r="J954">
        <v>1540039</v>
      </c>
      <c r="K954">
        <v>1541601</v>
      </c>
      <c r="L954" t="s">
        <v>9564</v>
      </c>
      <c r="M954">
        <v>521</v>
      </c>
      <c r="N954" t="s">
        <v>108</v>
      </c>
      <c r="O954">
        <v>44</v>
      </c>
      <c r="P954" t="str">
        <f>HYPERLINK("Gene1530-zp_tree_all.dnd", "Gene1530-tree")</f>
        <v>Gene1530-tree</v>
      </c>
      <c r="Q954">
        <v>9</v>
      </c>
      <c r="R954">
        <v>3</v>
      </c>
      <c r="S954">
        <v>9</v>
      </c>
      <c r="T954">
        <v>3</v>
      </c>
      <c r="U954">
        <v>0.25</v>
      </c>
      <c r="V954" t="s">
        <v>135</v>
      </c>
      <c r="W954" t="s">
        <v>324</v>
      </c>
      <c r="X954" t="s">
        <v>62</v>
      </c>
      <c r="Y954" t="s">
        <v>62</v>
      </c>
      <c r="Z954">
        <v>0</v>
      </c>
      <c r="AA954">
        <v>0</v>
      </c>
      <c r="AB954">
        <v>4</v>
      </c>
      <c r="AC954">
        <v>0</v>
      </c>
      <c r="AD954" s="47">
        <v>0</v>
      </c>
      <c r="AE954" s="47">
        <v>0</v>
      </c>
      <c r="AF954" s="47">
        <v>0</v>
      </c>
      <c r="AG954" s="47">
        <v>1</v>
      </c>
      <c r="AH954" s="47">
        <v>0</v>
      </c>
      <c r="AI954" s="47">
        <v>0</v>
      </c>
      <c r="AJ954" s="47">
        <v>0</v>
      </c>
      <c r="AK954" s="47">
        <v>0</v>
      </c>
      <c r="AL954">
        <v>3</v>
      </c>
      <c r="AM954">
        <v>0</v>
      </c>
      <c r="AN954">
        <v>11</v>
      </c>
      <c r="AO954">
        <v>7</v>
      </c>
      <c r="AP954">
        <v>38</v>
      </c>
      <c r="AQ954">
        <v>3</v>
      </c>
      <c r="AR954">
        <v>8</v>
      </c>
      <c r="AS954">
        <v>1</v>
      </c>
      <c r="AT954" t="s">
        <v>9565</v>
      </c>
      <c r="AU954" t="s">
        <v>9566</v>
      </c>
      <c r="AV954">
        <v>0.151</v>
      </c>
      <c r="AW954" t="s">
        <v>65</v>
      </c>
      <c r="AX954">
        <v>46</v>
      </c>
      <c r="AY954">
        <v>4</v>
      </c>
      <c r="AZ954" t="s">
        <v>9567</v>
      </c>
      <c r="BA954">
        <v>2.3539999999999998E-2</v>
      </c>
      <c r="BB954">
        <v>-1.6299999999999999E-3</v>
      </c>
      <c r="BC954">
        <v>6.8000000000000005E-4</v>
      </c>
      <c r="BD954">
        <v>-6.9999999999999994E-5</v>
      </c>
      <c r="BE954">
        <v>2.8680000000000001E-2</v>
      </c>
      <c r="BF954">
        <v>1</v>
      </c>
      <c r="BG954" t="s">
        <v>69</v>
      </c>
      <c r="BH954">
        <v>-1.474</v>
      </c>
      <c r="BI954">
        <v>-2.9049999999999998</v>
      </c>
    </row>
    <row r="955" spans="3:61">
      <c r="C955">
        <v>0</v>
      </c>
      <c r="D955">
        <v>15</v>
      </c>
      <c r="E955">
        <v>0</v>
      </c>
      <c r="F955" t="s">
        <v>25021</v>
      </c>
      <c r="G955">
        <v>694</v>
      </c>
      <c r="H955" t="s">
        <v>4340</v>
      </c>
      <c r="I955" t="s">
        <v>62</v>
      </c>
      <c r="J955">
        <v>716783</v>
      </c>
      <c r="K955">
        <v>718357</v>
      </c>
      <c r="L955" t="s">
        <v>4341</v>
      </c>
      <c r="M955">
        <v>525</v>
      </c>
      <c r="N955" t="s">
        <v>108</v>
      </c>
      <c r="O955">
        <v>44</v>
      </c>
      <c r="P955" t="str">
        <f>HYPERLINK("Gene694-zp_tree_all.dnd", "Gene694-tree")</f>
        <v>Gene694-tree</v>
      </c>
      <c r="Q955">
        <v>3</v>
      </c>
      <c r="R955">
        <v>12</v>
      </c>
      <c r="S955">
        <v>3</v>
      </c>
      <c r="T955">
        <v>12</v>
      </c>
      <c r="U955">
        <v>0.8</v>
      </c>
      <c r="V955" t="s">
        <v>324</v>
      </c>
      <c r="W955" t="s">
        <v>109</v>
      </c>
      <c r="X955" t="s">
        <v>62</v>
      </c>
      <c r="Y955" t="s">
        <v>62</v>
      </c>
      <c r="Z955">
        <v>5</v>
      </c>
      <c r="AA955">
        <v>15</v>
      </c>
      <c r="AB955">
        <v>17</v>
      </c>
      <c r="AC955">
        <v>0.46875</v>
      </c>
      <c r="AD955" s="47">
        <v>0</v>
      </c>
      <c r="AE955" s="47">
        <v>0</v>
      </c>
      <c r="AF955" s="47">
        <v>0</v>
      </c>
      <c r="AG955" s="47">
        <v>0</v>
      </c>
      <c r="AH955" s="47">
        <v>0</v>
      </c>
      <c r="AI955" s="47">
        <v>6</v>
      </c>
      <c r="AJ955" s="47">
        <v>0</v>
      </c>
      <c r="AK955" s="47">
        <v>6</v>
      </c>
      <c r="AL955">
        <v>17</v>
      </c>
      <c r="AM955">
        <v>0.26086999999999999</v>
      </c>
      <c r="AN955">
        <v>15</v>
      </c>
      <c r="AO955">
        <v>11</v>
      </c>
      <c r="AP955">
        <v>94</v>
      </c>
      <c r="AQ955">
        <v>23</v>
      </c>
      <c r="AR955">
        <v>42</v>
      </c>
      <c r="AS955">
        <v>9</v>
      </c>
      <c r="AT955" t="s">
        <v>4342</v>
      </c>
      <c r="AU955" t="s">
        <v>4343</v>
      </c>
      <c r="AV955">
        <v>0.22</v>
      </c>
      <c r="AW955" t="s">
        <v>65</v>
      </c>
      <c r="AX955">
        <v>136</v>
      </c>
      <c r="AY955">
        <v>32</v>
      </c>
      <c r="AZ955" t="s">
        <v>4344</v>
      </c>
      <c r="BA955">
        <v>6.1830000000000003E-2</v>
      </c>
      <c r="BB955">
        <v>-1.64E-3</v>
      </c>
      <c r="BC955">
        <v>3.6099999999999999E-3</v>
      </c>
      <c r="BD955">
        <v>-1.2999999999999999E-4</v>
      </c>
      <c r="BE955">
        <v>5.8319999999999997E-2</v>
      </c>
      <c r="BF955">
        <v>1</v>
      </c>
      <c r="BG955" t="s">
        <v>69</v>
      </c>
      <c r="BH955">
        <v>-0.67</v>
      </c>
      <c r="BI955">
        <v>-2.1179999999999999</v>
      </c>
    </row>
    <row r="956" spans="3:61">
      <c r="C956">
        <v>0</v>
      </c>
      <c r="D956">
        <v>2</v>
      </c>
      <c r="E956">
        <v>0</v>
      </c>
      <c r="F956" t="s">
        <v>25021</v>
      </c>
      <c r="G956">
        <v>2402</v>
      </c>
      <c r="H956" t="s">
        <v>13982</v>
      </c>
      <c r="I956" t="s">
        <v>57</v>
      </c>
      <c r="J956">
        <v>2411086</v>
      </c>
      <c r="K956">
        <v>2412660</v>
      </c>
      <c r="L956" t="s">
        <v>13983</v>
      </c>
      <c r="M956">
        <v>525</v>
      </c>
      <c r="N956" t="s">
        <v>108</v>
      </c>
      <c r="O956">
        <v>44</v>
      </c>
      <c r="P956" t="str">
        <f>HYPERLINK("Gene2402-zp_tree_all.dnd", "Gene2402-tree")</f>
        <v>Gene2402-tree</v>
      </c>
      <c r="Q956">
        <v>9</v>
      </c>
      <c r="R956">
        <v>4</v>
      </c>
      <c r="S956">
        <v>9</v>
      </c>
      <c r="T956">
        <v>4</v>
      </c>
      <c r="U956">
        <v>0.30769000000000002</v>
      </c>
      <c r="V956" t="s">
        <v>135</v>
      </c>
      <c r="W956" t="s">
        <v>61</v>
      </c>
      <c r="X956" t="s">
        <v>62</v>
      </c>
      <c r="Y956" t="s">
        <v>62</v>
      </c>
      <c r="Z956">
        <v>1</v>
      </c>
      <c r="AA956">
        <v>2</v>
      </c>
      <c r="AB956">
        <v>4</v>
      </c>
      <c r="AC956">
        <v>0.33333000000000002</v>
      </c>
      <c r="AD956" s="47">
        <v>0</v>
      </c>
      <c r="AE956" s="47">
        <v>0</v>
      </c>
      <c r="AF956" s="47">
        <v>0</v>
      </c>
      <c r="AG956" s="47">
        <v>0</v>
      </c>
      <c r="AH956" s="47">
        <v>0</v>
      </c>
      <c r="AI956" s="47">
        <v>0</v>
      </c>
      <c r="AJ956" s="47">
        <v>0</v>
      </c>
      <c r="AK956" s="47">
        <v>0</v>
      </c>
      <c r="AL956">
        <v>4</v>
      </c>
      <c r="AM956">
        <v>0</v>
      </c>
      <c r="AN956">
        <v>13</v>
      </c>
      <c r="AO956">
        <v>10</v>
      </c>
      <c r="AP956">
        <v>62</v>
      </c>
      <c r="AQ956">
        <v>4</v>
      </c>
      <c r="AR956">
        <v>26</v>
      </c>
      <c r="AS956">
        <v>2</v>
      </c>
      <c r="AT956" t="s">
        <v>13984</v>
      </c>
      <c r="AU956" t="s">
        <v>13985</v>
      </c>
      <c r="AV956">
        <v>0.106</v>
      </c>
      <c r="AW956" t="s">
        <v>65</v>
      </c>
      <c r="AX956">
        <v>88</v>
      </c>
      <c r="AY956">
        <v>6</v>
      </c>
      <c r="AZ956" t="s">
        <v>13986</v>
      </c>
      <c r="BA956">
        <v>4.521E-2</v>
      </c>
      <c r="BB956">
        <v>-3.49E-3</v>
      </c>
      <c r="BC956">
        <v>7.3999999999999999E-4</v>
      </c>
      <c r="BD956">
        <v>-8.0000000000000007E-5</v>
      </c>
      <c r="BE956">
        <v>1.6459999999999999E-2</v>
      </c>
      <c r="BF956">
        <v>1</v>
      </c>
      <c r="BG956" t="s">
        <v>69</v>
      </c>
      <c r="BH956">
        <v>-1.258</v>
      </c>
      <c r="BI956">
        <v>-2.9220000000000002</v>
      </c>
    </row>
    <row r="957" spans="3:61">
      <c r="C957">
        <v>0</v>
      </c>
      <c r="D957">
        <v>0</v>
      </c>
      <c r="E957">
        <v>0</v>
      </c>
      <c r="F957" t="s">
        <v>25021</v>
      </c>
      <c r="G957">
        <v>3172</v>
      </c>
      <c r="H957" t="s">
        <v>18444</v>
      </c>
      <c r="I957" t="s">
        <v>57</v>
      </c>
      <c r="J957">
        <v>3129530</v>
      </c>
      <c r="K957">
        <v>3131110</v>
      </c>
      <c r="L957" t="s">
        <v>18445</v>
      </c>
      <c r="M957">
        <v>527</v>
      </c>
      <c r="N957" t="s">
        <v>108</v>
      </c>
      <c r="O957">
        <v>44</v>
      </c>
      <c r="P957" t="str">
        <f>HYPERLINK("Gene3172-zp_tree_all.dnd", "Gene3172-tree")</f>
        <v>Gene3172-tree</v>
      </c>
      <c r="Q957">
        <v>9</v>
      </c>
      <c r="R957">
        <v>6</v>
      </c>
      <c r="S957">
        <v>9</v>
      </c>
      <c r="T957">
        <v>6</v>
      </c>
      <c r="U957">
        <v>0.4</v>
      </c>
      <c r="V957" t="s">
        <v>135</v>
      </c>
      <c r="W957" t="s">
        <v>90</v>
      </c>
      <c r="X957" t="s">
        <v>62</v>
      </c>
      <c r="Y957" t="s">
        <v>62</v>
      </c>
      <c r="Z957">
        <v>0</v>
      </c>
      <c r="AA957">
        <v>0</v>
      </c>
      <c r="AB957">
        <v>10</v>
      </c>
      <c r="AC957">
        <v>0</v>
      </c>
      <c r="AD957" s="47">
        <v>0</v>
      </c>
      <c r="AE957" s="47">
        <v>0</v>
      </c>
      <c r="AF957" s="47">
        <v>0</v>
      </c>
      <c r="AG957" s="47">
        <v>0</v>
      </c>
      <c r="AH957" s="47">
        <v>0</v>
      </c>
      <c r="AI957" s="47">
        <v>0</v>
      </c>
      <c r="AJ957" s="47">
        <v>0</v>
      </c>
      <c r="AK957" s="47">
        <v>0</v>
      </c>
      <c r="AL957">
        <v>9</v>
      </c>
      <c r="AM957">
        <v>0</v>
      </c>
      <c r="AN957">
        <v>11</v>
      </c>
      <c r="AO957">
        <v>11</v>
      </c>
      <c r="AP957">
        <v>85</v>
      </c>
      <c r="AQ957">
        <v>9</v>
      </c>
      <c r="AR957">
        <v>47</v>
      </c>
      <c r="AS957">
        <v>2</v>
      </c>
      <c r="AT957" t="s">
        <v>18446</v>
      </c>
      <c r="AU957" t="s">
        <v>18447</v>
      </c>
      <c r="AV957">
        <v>0.67400000000000004</v>
      </c>
      <c r="AW957" t="s">
        <v>65</v>
      </c>
      <c r="AX957">
        <v>132</v>
      </c>
      <c r="AY957">
        <v>11</v>
      </c>
      <c r="AZ957" t="s">
        <v>18448</v>
      </c>
      <c r="BA957">
        <v>5.7729999999999997E-2</v>
      </c>
      <c r="BB957">
        <v>-2.2699999999999999E-3</v>
      </c>
      <c r="BC957">
        <v>1.4E-3</v>
      </c>
      <c r="BD957">
        <v>-1E-4</v>
      </c>
      <c r="BE957">
        <v>2.4309999999999998E-2</v>
      </c>
      <c r="BF957">
        <v>1</v>
      </c>
      <c r="BG957" t="s">
        <v>69</v>
      </c>
      <c r="BH957">
        <v>-0.83599999999999997</v>
      </c>
      <c r="BI957">
        <v>-2.2480000000000002</v>
      </c>
    </row>
    <row r="958" spans="3:61">
      <c r="C958">
        <v>0</v>
      </c>
      <c r="D958">
        <v>13</v>
      </c>
      <c r="E958">
        <v>0</v>
      </c>
      <c r="F958" t="s">
        <v>25021</v>
      </c>
      <c r="G958">
        <v>165</v>
      </c>
      <c r="H958" t="s">
        <v>1166</v>
      </c>
      <c r="I958" t="s">
        <v>62</v>
      </c>
      <c r="J958">
        <v>183417</v>
      </c>
      <c r="K958">
        <v>185003</v>
      </c>
      <c r="L958" t="s">
        <v>1167</v>
      </c>
      <c r="M958">
        <v>529</v>
      </c>
      <c r="N958" t="s">
        <v>108</v>
      </c>
      <c r="O958">
        <v>44</v>
      </c>
      <c r="P958" t="str">
        <f>HYPERLINK("Gene165-zp_tree_all.dnd", "Gene165-tree")</f>
        <v>Gene165-tree</v>
      </c>
      <c r="Q958">
        <v>1</v>
      </c>
      <c r="R958">
        <v>14</v>
      </c>
      <c r="S958">
        <v>1</v>
      </c>
      <c r="T958">
        <v>14</v>
      </c>
      <c r="U958">
        <v>0.93332999999999999</v>
      </c>
      <c r="V958" t="s">
        <v>175</v>
      </c>
      <c r="W958" t="s">
        <v>543</v>
      </c>
      <c r="X958">
        <v>1865302226.941</v>
      </c>
      <c r="Y958" t="s">
        <v>267</v>
      </c>
      <c r="Z958">
        <v>4</v>
      </c>
      <c r="AA958">
        <v>13</v>
      </c>
      <c r="AB958">
        <v>37</v>
      </c>
      <c r="AC958">
        <v>0.26</v>
      </c>
      <c r="AD958" s="47">
        <v>0</v>
      </c>
      <c r="AE958" s="47">
        <v>0</v>
      </c>
      <c r="AF958" s="47">
        <v>0</v>
      </c>
      <c r="AG958" s="47">
        <v>0</v>
      </c>
      <c r="AH958" s="47">
        <v>0</v>
      </c>
      <c r="AI958" s="47">
        <v>3</v>
      </c>
      <c r="AJ958" s="47">
        <v>0</v>
      </c>
      <c r="AK958" s="47">
        <v>3</v>
      </c>
      <c r="AL958">
        <v>29</v>
      </c>
      <c r="AM958">
        <v>9.375E-2</v>
      </c>
      <c r="AN958">
        <v>13</v>
      </c>
      <c r="AO958">
        <v>12</v>
      </c>
      <c r="AP958">
        <v>52</v>
      </c>
      <c r="AQ958">
        <v>32</v>
      </c>
      <c r="AR958">
        <v>34</v>
      </c>
      <c r="AS958">
        <v>18</v>
      </c>
      <c r="AT958" t="s">
        <v>1168</v>
      </c>
      <c r="AU958" t="s">
        <v>1169</v>
      </c>
      <c r="AV958">
        <v>0.248</v>
      </c>
      <c r="AW958" t="s">
        <v>65</v>
      </c>
      <c r="AX958">
        <v>86</v>
      </c>
      <c r="AY958">
        <v>50</v>
      </c>
      <c r="AZ958" t="s">
        <v>1170</v>
      </c>
      <c r="BA958">
        <v>3.8699999999999998E-2</v>
      </c>
      <c r="BB958">
        <v>-1.39E-3</v>
      </c>
      <c r="BC958">
        <v>7.1799999999999998E-3</v>
      </c>
      <c r="BD958">
        <v>-2.2000000000000001E-4</v>
      </c>
      <c r="BE958">
        <v>0.18553</v>
      </c>
      <c r="BF958">
        <v>1</v>
      </c>
      <c r="BG958" t="s">
        <v>69</v>
      </c>
      <c r="BH958">
        <v>-0.92800000000000005</v>
      </c>
      <c r="BI958">
        <v>-2.1739999999999999</v>
      </c>
    </row>
    <row r="959" spans="3:61">
      <c r="C959">
        <v>0</v>
      </c>
      <c r="D959">
        <v>0</v>
      </c>
      <c r="E959">
        <v>0</v>
      </c>
      <c r="F959" t="s">
        <v>25021</v>
      </c>
      <c r="G959">
        <v>2690</v>
      </c>
      <c r="H959" t="s">
        <v>15746</v>
      </c>
      <c r="I959" t="s">
        <v>57</v>
      </c>
      <c r="J959">
        <v>2661102</v>
      </c>
      <c r="K959">
        <v>2662694</v>
      </c>
      <c r="L959" t="s">
        <v>15747</v>
      </c>
      <c r="M959">
        <v>531</v>
      </c>
      <c r="N959" t="s">
        <v>15729</v>
      </c>
      <c r="O959">
        <v>20</v>
      </c>
      <c r="P959" t="str">
        <f>HYPERLINK("Gene2690-zp_tree_all.dnd", "Gene2690-tree")</f>
        <v>Gene2690-tree</v>
      </c>
      <c r="Q959">
        <v>2</v>
      </c>
      <c r="R959">
        <v>2</v>
      </c>
      <c r="S959">
        <v>2</v>
      </c>
      <c r="T959">
        <v>2</v>
      </c>
      <c r="U959">
        <v>0.5</v>
      </c>
      <c r="V959" t="s">
        <v>81</v>
      </c>
      <c r="W959" t="s">
        <v>81</v>
      </c>
      <c r="X959" t="s">
        <v>62</v>
      </c>
      <c r="Y959" t="s">
        <v>62</v>
      </c>
      <c r="Z959">
        <v>0</v>
      </c>
      <c r="AA959">
        <v>0</v>
      </c>
      <c r="AB959">
        <v>8</v>
      </c>
      <c r="AC959">
        <v>0</v>
      </c>
      <c r="AD959" s="47">
        <v>0</v>
      </c>
      <c r="AE959" s="47">
        <v>0</v>
      </c>
      <c r="AF959" s="47">
        <v>0</v>
      </c>
      <c r="AG959" s="47">
        <v>0</v>
      </c>
      <c r="AH959" s="47">
        <v>0</v>
      </c>
      <c r="AI959" s="47">
        <v>0</v>
      </c>
      <c r="AJ959" s="47">
        <v>0</v>
      </c>
      <c r="AK959" s="47">
        <v>0</v>
      </c>
      <c r="AL959">
        <v>4</v>
      </c>
      <c r="AM959">
        <v>0</v>
      </c>
      <c r="AN959">
        <v>4</v>
      </c>
      <c r="AO959">
        <v>1</v>
      </c>
      <c r="AP959">
        <v>27</v>
      </c>
      <c r="AQ959">
        <v>4</v>
      </c>
      <c r="AR959">
        <v>2</v>
      </c>
      <c r="AS959">
        <v>4</v>
      </c>
      <c r="AT959" t="s">
        <v>15748</v>
      </c>
      <c r="AU959" t="s">
        <v>15749</v>
      </c>
      <c r="AV959">
        <v>10.872</v>
      </c>
      <c r="AW959" t="s">
        <v>65</v>
      </c>
      <c r="AX959">
        <v>29</v>
      </c>
      <c r="AY959">
        <v>8</v>
      </c>
      <c r="AZ959" t="s">
        <v>15750</v>
      </c>
      <c r="BA959">
        <v>4.4940000000000001E-2</v>
      </c>
      <c r="BB959">
        <v>-1.223E-2</v>
      </c>
      <c r="BC959">
        <v>3.7299999999999998E-3</v>
      </c>
      <c r="BD959">
        <v>-7.2000000000000005E-4</v>
      </c>
      <c r="BE959">
        <v>8.2909999999999998E-2</v>
      </c>
      <c r="BF959">
        <v>1</v>
      </c>
      <c r="BG959" t="s">
        <v>69</v>
      </c>
      <c r="BH959">
        <v>-2.3119999999999998</v>
      </c>
      <c r="BI959">
        <v>-2.8860000000000001</v>
      </c>
    </row>
    <row r="960" spans="3:61">
      <c r="C960">
        <v>0</v>
      </c>
      <c r="D960">
        <v>0</v>
      </c>
      <c r="E960">
        <v>0</v>
      </c>
      <c r="F960" t="s">
        <v>25021</v>
      </c>
      <c r="G960">
        <v>3360</v>
      </c>
      <c r="H960" t="s">
        <v>19632</v>
      </c>
      <c r="I960" t="s">
        <v>57</v>
      </c>
      <c r="J960">
        <v>3328762</v>
      </c>
      <c r="K960">
        <v>3330354</v>
      </c>
      <c r="L960" t="s">
        <v>19633</v>
      </c>
      <c r="M960">
        <v>531</v>
      </c>
      <c r="N960" t="s">
        <v>108</v>
      </c>
      <c r="O960">
        <v>44</v>
      </c>
      <c r="P960" t="str">
        <f>HYPERLINK("Gene3360-zp_tree_all.dnd", "Gene3360-tree")</f>
        <v>Gene3360-tree</v>
      </c>
      <c r="Q960">
        <v>8</v>
      </c>
      <c r="R960">
        <v>8</v>
      </c>
      <c r="S960">
        <v>8</v>
      </c>
      <c r="T960">
        <v>8</v>
      </c>
      <c r="U960">
        <v>0.5</v>
      </c>
      <c r="V960" t="s">
        <v>136</v>
      </c>
      <c r="W960" t="s">
        <v>136</v>
      </c>
      <c r="X960" t="s">
        <v>62</v>
      </c>
      <c r="Y960" t="s">
        <v>62</v>
      </c>
      <c r="Z960">
        <v>0</v>
      </c>
      <c r="AA960">
        <v>0</v>
      </c>
      <c r="AB960">
        <v>11</v>
      </c>
      <c r="AC960">
        <v>0</v>
      </c>
      <c r="AD960" s="47">
        <v>0</v>
      </c>
      <c r="AE960" s="47">
        <v>0</v>
      </c>
      <c r="AF960" s="47">
        <v>0</v>
      </c>
      <c r="AG960" s="47">
        <v>1</v>
      </c>
      <c r="AH960" s="47">
        <v>0</v>
      </c>
      <c r="AI960" s="47">
        <v>0</v>
      </c>
      <c r="AJ960" s="47">
        <v>0</v>
      </c>
      <c r="AK960" s="47">
        <v>0</v>
      </c>
      <c r="AL960">
        <v>9</v>
      </c>
      <c r="AM960">
        <v>0</v>
      </c>
      <c r="AN960">
        <v>13</v>
      </c>
      <c r="AO960">
        <v>11</v>
      </c>
      <c r="AP960">
        <v>64</v>
      </c>
      <c r="AQ960">
        <v>7</v>
      </c>
      <c r="AR960">
        <v>32</v>
      </c>
      <c r="AS960">
        <v>4</v>
      </c>
      <c r="AT960" t="s">
        <v>19634</v>
      </c>
      <c r="AU960" t="s">
        <v>19635</v>
      </c>
      <c r="AV960">
        <v>0.123</v>
      </c>
      <c r="AW960" t="s">
        <v>65</v>
      </c>
      <c r="AX960">
        <v>96</v>
      </c>
      <c r="AY960">
        <v>11</v>
      </c>
      <c r="AZ960" t="s">
        <v>6995</v>
      </c>
      <c r="BA960">
        <v>4.4909999999999999E-2</v>
      </c>
      <c r="BB960">
        <v>-1.1800000000000001E-3</v>
      </c>
      <c r="BC960">
        <v>1.6000000000000001E-3</v>
      </c>
      <c r="BD960">
        <v>-1E-4</v>
      </c>
      <c r="BE960">
        <v>3.5580000000000001E-2</v>
      </c>
      <c r="BF960">
        <v>1</v>
      </c>
      <c r="BG960" t="s">
        <v>69</v>
      </c>
      <c r="BH960">
        <v>-0.52700000000000002</v>
      </c>
      <c r="BI960">
        <v>-0.72699999999999998</v>
      </c>
    </row>
    <row r="961" spans="3:61">
      <c r="C961">
        <v>0</v>
      </c>
      <c r="D961">
        <v>2</v>
      </c>
      <c r="E961">
        <v>0</v>
      </c>
      <c r="F961" t="s">
        <v>25021</v>
      </c>
      <c r="G961">
        <v>3271</v>
      </c>
      <c r="H961" t="s">
        <v>19080</v>
      </c>
      <c r="I961" t="s">
        <v>57</v>
      </c>
      <c r="J961">
        <v>3237157</v>
      </c>
      <c r="K961">
        <v>3238755</v>
      </c>
      <c r="L961" t="s">
        <v>19081</v>
      </c>
      <c r="M961">
        <v>533</v>
      </c>
      <c r="N961" t="s">
        <v>108</v>
      </c>
      <c r="O961">
        <v>44</v>
      </c>
      <c r="P961" t="str">
        <f>HYPERLINK("Gene3271-zp_tree_all.dnd", "Gene3271-tree")</f>
        <v>Gene3271-tree</v>
      </c>
      <c r="Q961">
        <v>5</v>
      </c>
      <c r="R961">
        <v>8</v>
      </c>
      <c r="S961">
        <v>5</v>
      </c>
      <c r="T961">
        <v>8</v>
      </c>
      <c r="U961">
        <v>0.61538000000000004</v>
      </c>
      <c r="V961" t="s">
        <v>199</v>
      </c>
      <c r="W961" t="s">
        <v>136</v>
      </c>
      <c r="X961" t="s">
        <v>62</v>
      </c>
      <c r="Y961" t="s">
        <v>62</v>
      </c>
      <c r="Z961">
        <v>1</v>
      </c>
      <c r="AA961">
        <v>2</v>
      </c>
      <c r="AB961">
        <v>8</v>
      </c>
      <c r="AC961">
        <v>0.2</v>
      </c>
      <c r="AD961" s="47">
        <v>0</v>
      </c>
      <c r="AE961" s="47">
        <v>0</v>
      </c>
      <c r="AF961" s="47">
        <v>0</v>
      </c>
      <c r="AG961" s="47">
        <v>1</v>
      </c>
      <c r="AH961" s="47">
        <v>0</v>
      </c>
      <c r="AI961" s="47">
        <v>0</v>
      </c>
      <c r="AJ961" s="47">
        <v>0</v>
      </c>
      <c r="AK961" s="47">
        <v>0</v>
      </c>
      <c r="AL961">
        <v>8</v>
      </c>
      <c r="AM961">
        <v>0</v>
      </c>
      <c r="AN961">
        <v>12</v>
      </c>
      <c r="AO961">
        <v>6</v>
      </c>
      <c r="AP961">
        <v>35</v>
      </c>
      <c r="AQ961">
        <v>8</v>
      </c>
      <c r="AR961">
        <v>13</v>
      </c>
      <c r="AS961">
        <v>2</v>
      </c>
      <c r="AT961" t="s">
        <v>19082</v>
      </c>
      <c r="AU961" t="s">
        <v>19083</v>
      </c>
      <c r="AV961">
        <v>0.432</v>
      </c>
      <c r="AW961" t="s">
        <v>65</v>
      </c>
      <c r="AX961">
        <v>48</v>
      </c>
      <c r="AY961">
        <v>10</v>
      </c>
      <c r="AZ961" t="s">
        <v>19084</v>
      </c>
      <c r="BA961">
        <v>2.393E-2</v>
      </c>
      <c r="BB961">
        <v>-1.2600000000000001E-3</v>
      </c>
      <c r="BC961">
        <v>1.41E-3</v>
      </c>
      <c r="BD961">
        <v>-8.0000000000000007E-5</v>
      </c>
      <c r="BE961">
        <v>5.9089999999999997E-2</v>
      </c>
      <c r="BF961">
        <v>1</v>
      </c>
      <c r="BG961" t="s">
        <v>69</v>
      </c>
      <c r="BH961">
        <v>-1.4570000000000001</v>
      </c>
      <c r="BI961">
        <v>-2.08</v>
      </c>
    </row>
    <row r="962" spans="3:61">
      <c r="C962">
        <v>2</v>
      </c>
      <c r="D962">
        <v>5</v>
      </c>
      <c r="E962">
        <v>6</v>
      </c>
      <c r="F962" t="s">
        <v>25021</v>
      </c>
      <c r="G962">
        <v>3760</v>
      </c>
      <c r="H962" t="s">
        <v>22030</v>
      </c>
      <c r="I962" t="s">
        <v>57</v>
      </c>
      <c r="J962">
        <v>3733852</v>
      </c>
      <c r="K962">
        <v>3735459</v>
      </c>
      <c r="L962" t="s">
        <v>22031</v>
      </c>
      <c r="M962">
        <v>536</v>
      </c>
      <c r="N962" t="s">
        <v>289</v>
      </c>
      <c r="O962">
        <v>46</v>
      </c>
      <c r="P962" t="str">
        <f>HYPERLINK("Gene3760-zp_tree_all.dnd", "Gene3760-tree")</f>
        <v>Gene3760-tree</v>
      </c>
      <c r="Q962">
        <v>6</v>
      </c>
      <c r="R962">
        <v>14</v>
      </c>
      <c r="S962">
        <v>6</v>
      </c>
      <c r="T962">
        <v>14</v>
      </c>
      <c r="U962">
        <v>0.7</v>
      </c>
      <c r="V962" t="s">
        <v>90</v>
      </c>
      <c r="W962" t="s">
        <v>543</v>
      </c>
      <c r="X962">
        <v>191313048.917</v>
      </c>
      <c r="Y962" t="s">
        <v>267</v>
      </c>
      <c r="Z962">
        <v>6</v>
      </c>
      <c r="AA962">
        <v>13</v>
      </c>
      <c r="AB962">
        <v>28</v>
      </c>
      <c r="AC962">
        <v>0.31707000000000002</v>
      </c>
      <c r="AD962" s="47">
        <v>0</v>
      </c>
      <c r="AE962" s="47">
        <v>0</v>
      </c>
      <c r="AF962" s="47">
        <v>0</v>
      </c>
      <c r="AG962" s="47">
        <v>0</v>
      </c>
      <c r="AH962" s="47">
        <v>0</v>
      </c>
      <c r="AI962" s="47">
        <v>0</v>
      </c>
      <c r="AJ962" s="47">
        <v>4</v>
      </c>
      <c r="AK962" s="47">
        <v>4</v>
      </c>
      <c r="AL962">
        <v>16</v>
      </c>
      <c r="AM962">
        <v>0.2</v>
      </c>
      <c r="AN962">
        <v>19</v>
      </c>
      <c r="AO962">
        <v>14</v>
      </c>
      <c r="AP962">
        <v>59</v>
      </c>
      <c r="AQ962">
        <v>21</v>
      </c>
      <c r="AR962">
        <v>75</v>
      </c>
      <c r="AS962">
        <v>21</v>
      </c>
      <c r="AT962" t="s">
        <v>22032</v>
      </c>
      <c r="AU962" t="s">
        <v>22033</v>
      </c>
      <c r="AV962">
        <v>0.192</v>
      </c>
      <c r="AW962" t="s">
        <v>65</v>
      </c>
      <c r="AX962">
        <v>134</v>
      </c>
      <c r="AY962">
        <v>42</v>
      </c>
      <c r="AZ962" t="s">
        <v>22034</v>
      </c>
      <c r="BA962">
        <v>6.7720000000000002E-2</v>
      </c>
      <c r="BB962">
        <v>-4.1900000000000001E-3</v>
      </c>
      <c r="BC962">
        <v>5.9899999999999997E-3</v>
      </c>
      <c r="BD962">
        <v>-3.1E-4</v>
      </c>
      <c r="BE962">
        <v>8.8419999999999999E-2</v>
      </c>
      <c r="BF962">
        <v>1</v>
      </c>
      <c r="BG962" t="s">
        <v>69</v>
      </c>
      <c r="BH962">
        <v>-1.367</v>
      </c>
      <c r="BI962">
        <v>-0.873</v>
      </c>
    </row>
    <row r="963" spans="3:61">
      <c r="C963">
        <v>0</v>
      </c>
      <c r="D963">
        <v>4</v>
      </c>
      <c r="E963">
        <v>0</v>
      </c>
      <c r="F963" t="s">
        <v>25021</v>
      </c>
      <c r="G963">
        <v>401</v>
      </c>
      <c r="H963" t="s">
        <v>2717</v>
      </c>
      <c r="I963" t="s">
        <v>62</v>
      </c>
      <c r="J963">
        <v>446804</v>
      </c>
      <c r="K963">
        <v>448426</v>
      </c>
      <c r="L963" t="s">
        <v>2718</v>
      </c>
      <c r="M963">
        <v>541</v>
      </c>
      <c r="N963" t="s">
        <v>108</v>
      </c>
      <c r="O963">
        <v>44</v>
      </c>
      <c r="P963" t="str">
        <f>HYPERLINK("Gene401-zp_tree_all.dnd", "Gene401-tree")</f>
        <v>Gene401-tree</v>
      </c>
      <c r="Q963">
        <v>3</v>
      </c>
      <c r="R963">
        <v>11</v>
      </c>
      <c r="S963">
        <v>3</v>
      </c>
      <c r="T963">
        <v>11</v>
      </c>
      <c r="U963">
        <v>0.78571000000000002</v>
      </c>
      <c r="V963" t="s">
        <v>324</v>
      </c>
      <c r="W963" t="s">
        <v>73</v>
      </c>
      <c r="X963">
        <v>305230034.74400002</v>
      </c>
      <c r="Y963" t="s">
        <v>267</v>
      </c>
      <c r="Z963">
        <v>2</v>
      </c>
      <c r="AA963">
        <v>4</v>
      </c>
      <c r="AB963">
        <v>23</v>
      </c>
      <c r="AC963">
        <v>0.14815</v>
      </c>
      <c r="AD963" s="47">
        <v>0</v>
      </c>
      <c r="AE963" s="47">
        <v>0</v>
      </c>
      <c r="AF963" s="47">
        <v>0</v>
      </c>
      <c r="AG963" s="47">
        <v>0</v>
      </c>
      <c r="AH963" s="47">
        <v>0</v>
      </c>
      <c r="AI963" s="47">
        <v>4</v>
      </c>
      <c r="AJ963" s="47">
        <v>0</v>
      </c>
      <c r="AK963" s="47">
        <v>4</v>
      </c>
      <c r="AL963">
        <v>21</v>
      </c>
      <c r="AM963">
        <v>0.16</v>
      </c>
      <c r="AN963">
        <v>12</v>
      </c>
      <c r="AO963">
        <v>11</v>
      </c>
      <c r="AP963">
        <v>61</v>
      </c>
      <c r="AQ963">
        <v>27</v>
      </c>
      <c r="AR963">
        <v>45</v>
      </c>
      <c r="AS963">
        <v>2</v>
      </c>
      <c r="AT963" t="s">
        <v>2719</v>
      </c>
      <c r="AU963" t="s">
        <v>2720</v>
      </c>
      <c r="AV963">
        <v>1.8560000000000001</v>
      </c>
      <c r="AW963" t="s">
        <v>65</v>
      </c>
      <c r="AX963">
        <v>106</v>
      </c>
      <c r="AY963">
        <v>29</v>
      </c>
      <c r="AZ963" t="s">
        <v>2721</v>
      </c>
      <c r="BA963">
        <v>5.3120000000000001E-2</v>
      </c>
      <c r="BB963">
        <v>-1.6199999999999999E-3</v>
      </c>
      <c r="BC963">
        <v>3.5200000000000001E-3</v>
      </c>
      <c r="BD963">
        <v>-2.2000000000000001E-4</v>
      </c>
      <c r="BE963">
        <v>6.6229999999999997E-2</v>
      </c>
      <c r="BF963">
        <v>1</v>
      </c>
      <c r="BG963" t="s">
        <v>69</v>
      </c>
      <c r="BH963">
        <v>-0.54400000000000004</v>
      </c>
      <c r="BI963">
        <v>-0.71499999999999997</v>
      </c>
    </row>
    <row r="964" spans="3:61">
      <c r="C964">
        <v>0</v>
      </c>
      <c r="D964">
        <v>5</v>
      </c>
      <c r="E964">
        <v>0</v>
      </c>
      <c r="F964" t="s">
        <v>25021</v>
      </c>
      <c r="G964">
        <v>3411</v>
      </c>
      <c r="H964" t="s">
        <v>19960</v>
      </c>
      <c r="I964" t="s">
        <v>57</v>
      </c>
      <c r="J964">
        <v>3374956</v>
      </c>
      <c r="K964">
        <v>3376578</v>
      </c>
      <c r="L964" t="s">
        <v>2100</v>
      </c>
      <c r="M964">
        <v>541</v>
      </c>
      <c r="N964" t="s">
        <v>1392</v>
      </c>
      <c r="O964">
        <v>43</v>
      </c>
      <c r="P964" t="str">
        <f>HYPERLINK("Gene3411-zp_tree_all.dnd", "Gene3411-tree")</f>
        <v>Gene3411-tree</v>
      </c>
      <c r="Q964">
        <v>6</v>
      </c>
      <c r="R964">
        <v>6</v>
      </c>
      <c r="S964">
        <v>6</v>
      </c>
      <c r="T964">
        <v>6</v>
      </c>
      <c r="U964">
        <v>0.5</v>
      </c>
      <c r="V964" t="s">
        <v>90</v>
      </c>
      <c r="W964" t="s">
        <v>90</v>
      </c>
      <c r="X964" t="s">
        <v>62</v>
      </c>
      <c r="Y964" t="s">
        <v>62</v>
      </c>
      <c r="Z964">
        <v>2</v>
      </c>
      <c r="AA964">
        <v>5</v>
      </c>
      <c r="AB964">
        <v>6</v>
      </c>
      <c r="AC964">
        <v>0.45455000000000001</v>
      </c>
      <c r="AD964" s="47">
        <v>0</v>
      </c>
      <c r="AE964" s="47">
        <v>0</v>
      </c>
      <c r="AF964" s="47">
        <v>0</v>
      </c>
      <c r="AG964" s="47">
        <v>1</v>
      </c>
      <c r="AH964" s="47">
        <v>0</v>
      </c>
      <c r="AI964" s="47">
        <v>2</v>
      </c>
      <c r="AJ964" s="47">
        <v>0</v>
      </c>
      <c r="AK964" s="47">
        <v>2</v>
      </c>
      <c r="AL964">
        <v>7</v>
      </c>
      <c r="AM964">
        <v>0.22222</v>
      </c>
      <c r="AN964">
        <v>10</v>
      </c>
      <c r="AO964">
        <v>7</v>
      </c>
      <c r="AP964">
        <v>46</v>
      </c>
      <c r="AQ964">
        <v>9</v>
      </c>
      <c r="AR964">
        <v>16</v>
      </c>
      <c r="AS964">
        <v>2</v>
      </c>
      <c r="AT964" t="s">
        <v>19961</v>
      </c>
      <c r="AU964" t="s">
        <v>19962</v>
      </c>
      <c r="AV964">
        <v>0.40899999999999997</v>
      </c>
      <c r="AW964" t="s">
        <v>65</v>
      </c>
      <c r="AX964">
        <v>62</v>
      </c>
      <c r="AY964">
        <v>11</v>
      </c>
      <c r="AZ964" t="s">
        <v>19963</v>
      </c>
      <c r="BA964">
        <v>3.209E-2</v>
      </c>
      <c r="BB964">
        <v>-1.6900000000000001E-3</v>
      </c>
      <c r="BC964">
        <v>1.6299999999999999E-3</v>
      </c>
      <c r="BD964">
        <v>-1.1E-4</v>
      </c>
      <c r="BE964">
        <v>5.083E-2</v>
      </c>
      <c r="BF964">
        <v>1</v>
      </c>
      <c r="BG964" t="s">
        <v>69</v>
      </c>
      <c r="BH964">
        <v>-0.81899999999999995</v>
      </c>
      <c r="BI964">
        <v>-0.47099999999999997</v>
      </c>
    </row>
    <row r="965" spans="3:61">
      <c r="C965">
        <v>0</v>
      </c>
      <c r="D965">
        <v>22</v>
      </c>
      <c r="E965">
        <v>8</v>
      </c>
      <c r="F965" t="s">
        <v>25021</v>
      </c>
      <c r="G965">
        <v>1373</v>
      </c>
      <c r="H965" t="s">
        <v>8592</v>
      </c>
      <c r="I965" t="s">
        <v>62</v>
      </c>
      <c r="J965">
        <v>1388812</v>
      </c>
      <c r="K965">
        <v>1390452</v>
      </c>
      <c r="L965" t="s">
        <v>8593</v>
      </c>
      <c r="M965">
        <v>547</v>
      </c>
      <c r="N965" t="s">
        <v>108</v>
      </c>
      <c r="O965">
        <v>44</v>
      </c>
      <c r="P965" t="str">
        <f>HYPERLINK("Gene1373-zp_tree_all.dnd", "Gene1373-tree")</f>
        <v>Gene1373-tree</v>
      </c>
      <c r="Q965">
        <v>1</v>
      </c>
      <c r="R965">
        <v>15</v>
      </c>
      <c r="S965">
        <v>1</v>
      </c>
      <c r="T965">
        <v>15</v>
      </c>
      <c r="U965">
        <v>0.9375</v>
      </c>
      <c r="V965" t="s">
        <v>175</v>
      </c>
      <c r="W965" t="s">
        <v>100</v>
      </c>
      <c r="X965" t="s">
        <v>62</v>
      </c>
      <c r="Y965" t="s">
        <v>62</v>
      </c>
      <c r="Z965">
        <v>11</v>
      </c>
      <c r="AA965">
        <v>30</v>
      </c>
      <c r="AB965">
        <v>39</v>
      </c>
      <c r="AC965">
        <v>0.43478</v>
      </c>
      <c r="AD965" s="47">
        <v>0</v>
      </c>
      <c r="AE965" s="47">
        <v>0</v>
      </c>
      <c r="AF965" s="47">
        <v>0</v>
      </c>
      <c r="AG965" s="47">
        <v>0</v>
      </c>
      <c r="AH965" s="47">
        <v>0</v>
      </c>
      <c r="AI965" s="47">
        <v>9</v>
      </c>
      <c r="AJ965" s="47">
        <v>5</v>
      </c>
      <c r="AK965" s="47">
        <v>14</v>
      </c>
      <c r="AL965">
        <v>37</v>
      </c>
      <c r="AM965">
        <v>0.27450999999999998</v>
      </c>
      <c r="AN965">
        <v>15</v>
      </c>
      <c r="AO965">
        <v>12</v>
      </c>
      <c r="AP965">
        <v>51</v>
      </c>
      <c r="AQ965">
        <v>48</v>
      </c>
      <c r="AR965">
        <v>52</v>
      </c>
      <c r="AS965">
        <v>22</v>
      </c>
      <c r="AT965" t="s">
        <v>8594</v>
      </c>
      <c r="AU965" t="s">
        <v>8595</v>
      </c>
      <c r="AV965">
        <v>1.258</v>
      </c>
      <c r="AW965" t="s">
        <v>65</v>
      </c>
      <c r="AX965">
        <v>103</v>
      </c>
      <c r="AY965">
        <v>70</v>
      </c>
      <c r="AZ965" t="s">
        <v>8596</v>
      </c>
      <c r="BA965">
        <v>5.2650000000000002E-2</v>
      </c>
      <c r="BB965">
        <v>-1.6000000000000001E-3</v>
      </c>
      <c r="BC965">
        <v>9.1900000000000003E-3</v>
      </c>
      <c r="BD965">
        <v>-2.9E-4</v>
      </c>
      <c r="BE965">
        <v>0.17454</v>
      </c>
      <c r="BF965">
        <v>1</v>
      </c>
      <c r="BG965" t="s">
        <v>69</v>
      </c>
      <c r="BH965">
        <v>-0.501</v>
      </c>
      <c r="BI965">
        <v>-0.70799999999999996</v>
      </c>
    </row>
    <row r="966" spans="3:61">
      <c r="C966">
        <v>0</v>
      </c>
      <c r="D966">
        <v>12</v>
      </c>
      <c r="E966">
        <v>3</v>
      </c>
      <c r="F966" t="s">
        <v>25021</v>
      </c>
      <c r="G966">
        <v>579</v>
      </c>
      <c r="H966" t="s">
        <v>3724</v>
      </c>
      <c r="I966" t="s">
        <v>62</v>
      </c>
      <c r="J966">
        <v>604739</v>
      </c>
      <c r="K966">
        <v>606379</v>
      </c>
      <c r="L966" t="s">
        <v>3725</v>
      </c>
      <c r="M966">
        <v>547</v>
      </c>
      <c r="N966" t="s">
        <v>3726</v>
      </c>
      <c r="O966">
        <v>31</v>
      </c>
      <c r="P966" t="str">
        <f>HYPERLINK("Gene579-zp_tree_all.dnd", "Gene579-tree")</f>
        <v>Gene579-tree</v>
      </c>
      <c r="Q966">
        <v>0</v>
      </c>
      <c r="R966">
        <v>7</v>
      </c>
      <c r="S966">
        <v>0</v>
      </c>
      <c r="T966">
        <v>7</v>
      </c>
      <c r="U966">
        <v>1</v>
      </c>
      <c r="V966" t="s">
        <v>62</v>
      </c>
      <c r="W966" t="s">
        <v>152</v>
      </c>
      <c r="X966" t="s">
        <v>62</v>
      </c>
      <c r="Y966" t="s">
        <v>62</v>
      </c>
      <c r="Z966">
        <v>6</v>
      </c>
      <c r="AA966">
        <v>15</v>
      </c>
      <c r="AB966">
        <v>32</v>
      </c>
      <c r="AC966">
        <v>0.31914999999999999</v>
      </c>
      <c r="AD966" s="47">
        <v>0</v>
      </c>
      <c r="AE966" s="47">
        <v>0</v>
      </c>
      <c r="AF966" s="47">
        <v>0</v>
      </c>
      <c r="AG966" s="47">
        <v>0</v>
      </c>
      <c r="AH966" s="47">
        <v>0</v>
      </c>
      <c r="AI966" s="47">
        <v>4</v>
      </c>
      <c r="AJ966" s="47">
        <v>0</v>
      </c>
      <c r="AK966" s="47">
        <v>4</v>
      </c>
      <c r="AL966">
        <v>19</v>
      </c>
      <c r="AM966">
        <v>0.17391000000000001</v>
      </c>
      <c r="AN966">
        <v>7</v>
      </c>
      <c r="AO966">
        <v>4</v>
      </c>
      <c r="AP966">
        <v>49</v>
      </c>
      <c r="AQ966">
        <v>23</v>
      </c>
      <c r="AR966">
        <v>48</v>
      </c>
      <c r="AS966">
        <v>25</v>
      </c>
      <c r="AT966" t="s">
        <v>3727</v>
      </c>
      <c r="AU966" t="s">
        <v>3728</v>
      </c>
      <c r="AV966">
        <v>8.1000000000000003E-2</v>
      </c>
      <c r="AW966" t="s">
        <v>65</v>
      </c>
      <c r="AX966">
        <v>97</v>
      </c>
      <c r="AY966">
        <v>48</v>
      </c>
      <c r="AZ966" t="s">
        <v>3729</v>
      </c>
      <c r="BA966">
        <v>0.10238999999999999</v>
      </c>
      <c r="BB966">
        <v>-9.7699999999999992E-3</v>
      </c>
      <c r="BC966">
        <v>1.3480000000000001E-2</v>
      </c>
      <c r="BD966">
        <v>-1.6199999999999999E-3</v>
      </c>
      <c r="BE966">
        <v>0.13161999999999999</v>
      </c>
      <c r="BF966">
        <v>1</v>
      </c>
      <c r="BG966" t="s">
        <v>69</v>
      </c>
      <c r="BH966">
        <v>-0.33100000000000002</v>
      </c>
      <c r="BI966">
        <v>-0.03</v>
      </c>
    </row>
    <row r="967" spans="3:61">
      <c r="C967">
        <v>0</v>
      </c>
      <c r="D967">
        <v>3</v>
      </c>
      <c r="E967">
        <v>0</v>
      </c>
      <c r="F967" t="s">
        <v>25021</v>
      </c>
      <c r="G967">
        <v>4001</v>
      </c>
      <c r="H967" t="s">
        <v>23529</v>
      </c>
      <c r="I967" t="s">
        <v>57</v>
      </c>
      <c r="J967">
        <v>3964997</v>
      </c>
      <c r="K967">
        <v>3966637</v>
      </c>
      <c r="L967" t="s">
        <v>23530</v>
      </c>
      <c r="M967">
        <v>547</v>
      </c>
      <c r="N967" t="s">
        <v>108</v>
      </c>
      <c r="O967">
        <v>44</v>
      </c>
      <c r="P967" t="str">
        <f>HYPERLINK("Gene4001-zp_tree_all.dnd", "Gene4001-tree")</f>
        <v>Gene4001-tree</v>
      </c>
      <c r="Q967">
        <v>9</v>
      </c>
      <c r="R967">
        <v>5</v>
      </c>
      <c r="S967">
        <v>9</v>
      </c>
      <c r="T967">
        <v>5</v>
      </c>
      <c r="U967">
        <v>0.35714000000000001</v>
      </c>
      <c r="V967" t="s">
        <v>135</v>
      </c>
      <c r="W967" t="s">
        <v>199</v>
      </c>
      <c r="X967" t="s">
        <v>62</v>
      </c>
      <c r="Y967" t="s">
        <v>62</v>
      </c>
      <c r="Z967">
        <v>1</v>
      </c>
      <c r="AA967">
        <v>3</v>
      </c>
      <c r="AB967">
        <v>7</v>
      </c>
      <c r="AC967">
        <v>0.3</v>
      </c>
      <c r="AD967" s="47">
        <v>0</v>
      </c>
      <c r="AE967" s="47">
        <v>0</v>
      </c>
      <c r="AF967" s="47">
        <v>0</v>
      </c>
      <c r="AG967" s="47">
        <v>1</v>
      </c>
      <c r="AH967" s="47">
        <v>0</v>
      </c>
      <c r="AI967" s="47">
        <v>0</v>
      </c>
      <c r="AJ967" s="47">
        <v>0</v>
      </c>
      <c r="AK967" s="47">
        <v>0</v>
      </c>
      <c r="AL967">
        <v>7</v>
      </c>
      <c r="AM967">
        <v>0</v>
      </c>
      <c r="AN967">
        <v>13</v>
      </c>
      <c r="AO967">
        <v>11</v>
      </c>
      <c r="AP967">
        <v>53</v>
      </c>
      <c r="AQ967">
        <v>7</v>
      </c>
      <c r="AR967">
        <v>50</v>
      </c>
      <c r="AS967">
        <v>3</v>
      </c>
      <c r="AT967" t="s">
        <v>23531</v>
      </c>
      <c r="AU967" t="s">
        <v>23532</v>
      </c>
      <c r="AV967">
        <v>0.58599999999999997</v>
      </c>
      <c r="AW967" t="s">
        <v>65</v>
      </c>
      <c r="AX967">
        <v>103</v>
      </c>
      <c r="AY967">
        <v>10</v>
      </c>
      <c r="AZ967" t="s">
        <v>23533</v>
      </c>
      <c r="BA967">
        <v>5.2780000000000001E-2</v>
      </c>
      <c r="BB967">
        <v>-2.0999999999999999E-3</v>
      </c>
      <c r="BC967">
        <v>1.2600000000000001E-3</v>
      </c>
      <c r="BD967">
        <v>-1E-4</v>
      </c>
      <c r="BE967">
        <v>2.3939999999999999E-2</v>
      </c>
      <c r="BF967">
        <v>1</v>
      </c>
      <c r="BG967" t="s">
        <v>69</v>
      </c>
      <c r="BH967">
        <v>-0.12</v>
      </c>
      <c r="BI967">
        <v>-0.83599999999999997</v>
      </c>
    </row>
    <row r="968" spans="3:61">
      <c r="C968">
        <v>0</v>
      </c>
      <c r="D968">
        <v>14</v>
      </c>
      <c r="E968">
        <v>6</v>
      </c>
      <c r="F968" t="s">
        <v>25021</v>
      </c>
      <c r="G968">
        <v>1894</v>
      </c>
      <c r="H968" t="s">
        <v>11856</v>
      </c>
      <c r="I968" t="s">
        <v>62</v>
      </c>
      <c r="J968">
        <v>1954528</v>
      </c>
      <c r="K968">
        <v>1956174</v>
      </c>
      <c r="L968" t="s">
        <v>11857</v>
      </c>
      <c r="M968">
        <v>549</v>
      </c>
      <c r="N968" t="s">
        <v>108</v>
      </c>
      <c r="O968">
        <v>44</v>
      </c>
      <c r="P968" t="str">
        <f>HYPERLINK("Gene1894-zp_tree_all.dnd", "Gene1894-tree")</f>
        <v>Gene1894-tree</v>
      </c>
      <c r="Q968">
        <v>2</v>
      </c>
      <c r="R968">
        <v>31</v>
      </c>
      <c r="S968">
        <v>2</v>
      </c>
      <c r="T968">
        <v>11</v>
      </c>
      <c r="U968">
        <v>0.84614999999999996</v>
      </c>
      <c r="V968" t="s">
        <v>81</v>
      </c>
      <c r="W968" t="s">
        <v>2860</v>
      </c>
      <c r="X968">
        <v>0.28299999999999997</v>
      </c>
      <c r="Y968" t="s">
        <v>65</v>
      </c>
      <c r="Z968">
        <v>9</v>
      </c>
      <c r="AA968">
        <v>20</v>
      </c>
      <c r="AB968">
        <v>21</v>
      </c>
      <c r="AC968">
        <v>0.48780000000000001</v>
      </c>
      <c r="AD968" s="47">
        <v>0</v>
      </c>
      <c r="AE968" s="47">
        <v>0</v>
      </c>
      <c r="AF968" s="47">
        <v>0</v>
      </c>
      <c r="AG968" s="47">
        <v>0</v>
      </c>
      <c r="AH968" s="47">
        <v>0</v>
      </c>
      <c r="AI968" s="47">
        <v>4</v>
      </c>
      <c r="AJ968" s="47">
        <v>0</v>
      </c>
      <c r="AK968" s="47">
        <v>4</v>
      </c>
      <c r="AL968">
        <v>24</v>
      </c>
      <c r="AM968">
        <v>0.14285999999999999</v>
      </c>
      <c r="AN968">
        <v>12</v>
      </c>
      <c r="AO968">
        <v>10</v>
      </c>
      <c r="AP968">
        <v>62</v>
      </c>
      <c r="AQ968">
        <v>25</v>
      </c>
      <c r="AR968">
        <v>43</v>
      </c>
      <c r="AS968">
        <v>17</v>
      </c>
      <c r="AT968" t="s">
        <v>11858</v>
      </c>
      <c r="AU968" t="s">
        <v>11859</v>
      </c>
      <c r="AV968">
        <v>1.9E-2</v>
      </c>
      <c r="AW968" t="s">
        <v>65</v>
      </c>
      <c r="AX968">
        <v>105</v>
      </c>
      <c r="AY968">
        <v>42</v>
      </c>
      <c r="AZ968" t="s">
        <v>11860</v>
      </c>
      <c r="BA968">
        <v>5.4469999999999998E-2</v>
      </c>
      <c r="BB968">
        <v>-2.1900000000000001E-3</v>
      </c>
      <c r="BC968">
        <v>6.4200000000000004E-3</v>
      </c>
      <c r="BD968">
        <v>-3.1E-4</v>
      </c>
      <c r="BE968">
        <v>0.11788</v>
      </c>
      <c r="BF968">
        <v>1</v>
      </c>
      <c r="BG968" t="s">
        <v>69</v>
      </c>
      <c r="BH968">
        <v>-0.315</v>
      </c>
      <c r="BI968">
        <v>-1.5309999999999999</v>
      </c>
    </row>
    <row r="969" spans="3:61">
      <c r="C969">
        <v>0</v>
      </c>
      <c r="D969">
        <v>17</v>
      </c>
      <c r="E969">
        <v>2</v>
      </c>
      <c r="F969" t="s">
        <v>25021</v>
      </c>
      <c r="G969">
        <v>974</v>
      </c>
      <c r="H969" t="s">
        <v>6102</v>
      </c>
      <c r="I969" t="s">
        <v>62</v>
      </c>
      <c r="J969">
        <v>1013961</v>
      </c>
      <c r="K969">
        <v>1015616</v>
      </c>
      <c r="L969" t="s">
        <v>6103</v>
      </c>
      <c r="M969">
        <v>552</v>
      </c>
      <c r="N969" t="s">
        <v>1557</v>
      </c>
      <c r="O969">
        <v>40</v>
      </c>
      <c r="P969" t="str">
        <f>HYPERLINK("Gene974-zp_tree_all.dnd", "Gene974-tree")</f>
        <v>Gene974-tree</v>
      </c>
      <c r="Q969">
        <v>3</v>
      </c>
      <c r="R969">
        <v>11</v>
      </c>
      <c r="S969">
        <v>3</v>
      </c>
      <c r="T969">
        <v>11</v>
      </c>
      <c r="U969">
        <v>0.78571000000000002</v>
      </c>
      <c r="V969" t="s">
        <v>324</v>
      </c>
      <c r="W969" t="s">
        <v>73</v>
      </c>
      <c r="X969">
        <v>305230034.74400002</v>
      </c>
      <c r="Y969" t="s">
        <v>267</v>
      </c>
      <c r="Z969">
        <v>6</v>
      </c>
      <c r="AA969">
        <v>19</v>
      </c>
      <c r="AB969">
        <v>11</v>
      </c>
      <c r="AC969">
        <v>0.63332999999999995</v>
      </c>
      <c r="AD969" s="47">
        <v>0</v>
      </c>
      <c r="AE969" s="47">
        <v>0</v>
      </c>
      <c r="AF969" s="47">
        <v>0</v>
      </c>
      <c r="AG969" s="47">
        <v>0</v>
      </c>
      <c r="AH969" s="47">
        <v>0</v>
      </c>
      <c r="AI969" s="47">
        <v>6</v>
      </c>
      <c r="AJ969" s="47">
        <v>2</v>
      </c>
      <c r="AK969" s="47">
        <v>8</v>
      </c>
      <c r="AL969">
        <v>14</v>
      </c>
      <c r="AM969">
        <v>0.36364000000000002</v>
      </c>
      <c r="AN969">
        <v>12</v>
      </c>
      <c r="AO969">
        <v>10</v>
      </c>
      <c r="AP969">
        <v>62</v>
      </c>
      <c r="AQ969">
        <v>22</v>
      </c>
      <c r="AR969">
        <v>22</v>
      </c>
      <c r="AS969">
        <v>8</v>
      </c>
      <c r="AT969" t="s">
        <v>6104</v>
      </c>
      <c r="AU969" t="s">
        <v>6105</v>
      </c>
      <c r="AV969">
        <v>4.5999999999999999E-2</v>
      </c>
      <c r="AW969" t="s">
        <v>65</v>
      </c>
      <c r="AX969">
        <v>84</v>
      </c>
      <c r="AY969">
        <v>30</v>
      </c>
      <c r="AZ969" t="s">
        <v>6106</v>
      </c>
      <c r="BA969">
        <v>3.6450000000000003E-2</v>
      </c>
      <c r="BB969">
        <v>-2.0899999999999998E-3</v>
      </c>
      <c r="BC969">
        <v>3.1700000000000001E-3</v>
      </c>
      <c r="BD969">
        <v>-1.4999999999999999E-4</v>
      </c>
      <c r="BE969">
        <v>8.6980000000000002E-2</v>
      </c>
      <c r="BF969">
        <v>1</v>
      </c>
      <c r="BG969" t="s">
        <v>69</v>
      </c>
      <c r="BH969">
        <v>-1.0349999999999999</v>
      </c>
      <c r="BI969">
        <v>-2.9359999999999999</v>
      </c>
    </row>
    <row r="970" spans="3:61">
      <c r="C970">
        <v>0</v>
      </c>
      <c r="D970">
        <v>6</v>
      </c>
      <c r="E970">
        <v>1</v>
      </c>
      <c r="F970" t="s">
        <v>25021</v>
      </c>
      <c r="G970">
        <v>4077</v>
      </c>
      <c r="H970" t="s">
        <v>23994</v>
      </c>
      <c r="I970" t="s">
        <v>57</v>
      </c>
      <c r="J970">
        <v>4043574</v>
      </c>
      <c r="K970">
        <v>4045229</v>
      </c>
      <c r="L970" t="s">
        <v>23995</v>
      </c>
      <c r="M970">
        <v>552</v>
      </c>
      <c r="N970" t="s">
        <v>23996</v>
      </c>
      <c r="O970">
        <v>38</v>
      </c>
      <c r="P970" t="str">
        <f>HYPERLINK("Gene4077-zp_tree_all.dnd", "Gene4077-tree")</f>
        <v>Gene4077-tree</v>
      </c>
      <c r="Q970">
        <v>8</v>
      </c>
      <c r="R970">
        <v>8</v>
      </c>
      <c r="S970">
        <v>8</v>
      </c>
      <c r="T970">
        <v>8</v>
      </c>
      <c r="U970">
        <v>0.5</v>
      </c>
      <c r="V970" t="s">
        <v>136</v>
      </c>
      <c r="W970" t="s">
        <v>136</v>
      </c>
      <c r="X970" t="s">
        <v>62</v>
      </c>
      <c r="Y970" t="s">
        <v>62</v>
      </c>
      <c r="Z970">
        <v>3</v>
      </c>
      <c r="AA970">
        <v>7</v>
      </c>
      <c r="AB970">
        <v>14</v>
      </c>
      <c r="AC970">
        <v>0.33333000000000002</v>
      </c>
      <c r="AD970" s="47">
        <v>0</v>
      </c>
      <c r="AE970" s="47">
        <v>0</v>
      </c>
      <c r="AF970" s="47">
        <v>0</v>
      </c>
      <c r="AG970" s="47">
        <v>0</v>
      </c>
      <c r="AH970" s="47">
        <v>0</v>
      </c>
      <c r="AI970" s="47">
        <v>0</v>
      </c>
      <c r="AJ970" s="47">
        <v>0</v>
      </c>
      <c r="AK970" s="47">
        <v>0</v>
      </c>
      <c r="AL970">
        <v>13</v>
      </c>
      <c r="AM970">
        <v>0</v>
      </c>
      <c r="AN970">
        <v>15</v>
      </c>
      <c r="AO970">
        <v>13</v>
      </c>
      <c r="AP970">
        <v>63</v>
      </c>
      <c r="AQ970">
        <v>14</v>
      </c>
      <c r="AR970">
        <v>107</v>
      </c>
      <c r="AS970">
        <v>8</v>
      </c>
      <c r="AT970" t="s">
        <v>23997</v>
      </c>
      <c r="AU970" t="s">
        <v>23998</v>
      </c>
      <c r="AV970">
        <v>0.92100000000000004</v>
      </c>
      <c r="AW970" t="s">
        <v>65</v>
      </c>
      <c r="AX970">
        <v>170</v>
      </c>
      <c r="AY970">
        <v>22</v>
      </c>
      <c r="AZ970" t="s">
        <v>23999</v>
      </c>
      <c r="BA970">
        <v>8.7599999999999997E-2</v>
      </c>
      <c r="BB970">
        <v>-6.2700000000000004E-3</v>
      </c>
      <c r="BC970">
        <v>2.8600000000000001E-3</v>
      </c>
      <c r="BD970">
        <v>-1.6000000000000001E-4</v>
      </c>
      <c r="BE970">
        <v>3.2629999999999999E-2</v>
      </c>
      <c r="BF970">
        <v>1</v>
      </c>
      <c r="BG970" t="s">
        <v>69</v>
      </c>
      <c r="BH970">
        <v>-1.298</v>
      </c>
      <c r="BI970">
        <v>-3.1E-2</v>
      </c>
    </row>
    <row r="971" spans="3:61">
      <c r="C971">
        <v>0</v>
      </c>
      <c r="D971">
        <v>0</v>
      </c>
      <c r="E971">
        <v>0</v>
      </c>
      <c r="F971" t="s">
        <v>25021</v>
      </c>
      <c r="G971">
        <v>1510</v>
      </c>
      <c r="H971" t="s">
        <v>9439</v>
      </c>
      <c r="I971" t="s">
        <v>62</v>
      </c>
      <c r="J971">
        <v>1523121</v>
      </c>
      <c r="K971">
        <v>1524785</v>
      </c>
      <c r="L971" t="s">
        <v>9440</v>
      </c>
      <c r="M971">
        <v>555</v>
      </c>
      <c r="N971" t="s">
        <v>108</v>
      </c>
      <c r="O971">
        <v>44</v>
      </c>
      <c r="P971" t="str">
        <f>HYPERLINK("Gene1510-zp_tree_all.dnd", "Gene1510-tree")</f>
        <v>Gene1510-tree</v>
      </c>
      <c r="Q971">
        <v>13</v>
      </c>
      <c r="R971">
        <v>1</v>
      </c>
      <c r="S971">
        <v>13</v>
      </c>
      <c r="T971">
        <v>1</v>
      </c>
      <c r="U971">
        <v>7.1429999999999993E-2</v>
      </c>
      <c r="V971" t="s">
        <v>507</v>
      </c>
      <c r="W971" t="s">
        <v>175</v>
      </c>
      <c r="X971" t="s">
        <v>62</v>
      </c>
      <c r="Y971" t="s">
        <v>62</v>
      </c>
      <c r="Z971">
        <v>0</v>
      </c>
      <c r="AA971">
        <v>0</v>
      </c>
      <c r="AB971">
        <v>2</v>
      </c>
      <c r="AC971">
        <v>0</v>
      </c>
      <c r="AD971" s="47">
        <v>0</v>
      </c>
      <c r="AE971" s="47">
        <v>0</v>
      </c>
      <c r="AF971" s="47">
        <v>0</v>
      </c>
      <c r="AG971" s="47">
        <v>1</v>
      </c>
      <c r="AH971" s="47">
        <v>0</v>
      </c>
      <c r="AI971" s="47">
        <v>0</v>
      </c>
      <c r="AJ971" s="47">
        <v>0</v>
      </c>
      <c r="AK971" s="47">
        <v>0</v>
      </c>
      <c r="AL971">
        <v>1</v>
      </c>
      <c r="AM971">
        <v>0</v>
      </c>
      <c r="AN971">
        <v>11</v>
      </c>
      <c r="AO971">
        <v>10</v>
      </c>
      <c r="AP971">
        <v>27</v>
      </c>
      <c r="AQ971">
        <v>1</v>
      </c>
      <c r="AR971">
        <v>27</v>
      </c>
      <c r="AS971">
        <v>1</v>
      </c>
      <c r="AT971" t="s">
        <v>9441</v>
      </c>
      <c r="AU971" t="s">
        <v>9442</v>
      </c>
      <c r="AV971">
        <v>0</v>
      </c>
      <c r="AW971" t="s">
        <v>65</v>
      </c>
      <c r="AX971">
        <v>54</v>
      </c>
      <c r="AY971">
        <v>2</v>
      </c>
      <c r="AZ971" t="s">
        <v>9443</v>
      </c>
      <c r="BA971">
        <v>2.9870000000000001E-2</v>
      </c>
      <c r="BB971">
        <v>-1.0399999999999999E-3</v>
      </c>
      <c r="BC971">
        <v>3.2000000000000003E-4</v>
      </c>
      <c r="BD971">
        <v>-4.0000000000000003E-5</v>
      </c>
      <c r="BE971">
        <v>1.057E-2</v>
      </c>
      <c r="BF971">
        <v>1</v>
      </c>
      <c r="BG971" t="s">
        <v>69</v>
      </c>
      <c r="BH971">
        <v>-0.18099999999999999</v>
      </c>
      <c r="BI971">
        <v>-0.73099999999999998</v>
      </c>
    </row>
    <row r="972" spans="3:61">
      <c r="C972">
        <v>0</v>
      </c>
      <c r="D972">
        <v>4</v>
      </c>
      <c r="E972">
        <v>0</v>
      </c>
      <c r="F972" t="s">
        <v>25021</v>
      </c>
      <c r="G972">
        <v>2560</v>
      </c>
      <c r="H972" t="s">
        <v>14969</v>
      </c>
      <c r="I972" t="s">
        <v>57</v>
      </c>
      <c r="J972">
        <v>2549775</v>
      </c>
      <c r="K972">
        <v>2551445</v>
      </c>
      <c r="L972" t="s">
        <v>14970</v>
      </c>
      <c r="M972">
        <v>557</v>
      </c>
      <c r="N972" t="s">
        <v>108</v>
      </c>
      <c r="O972">
        <v>44</v>
      </c>
      <c r="P972" t="str">
        <f>HYPERLINK("Gene2560-zp_tree_all.dnd", "Gene2560-tree")</f>
        <v>Gene2560-tree</v>
      </c>
      <c r="Q972">
        <v>9</v>
      </c>
      <c r="R972">
        <v>5</v>
      </c>
      <c r="S972">
        <v>9</v>
      </c>
      <c r="T972">
        <v>5</v>
      </c>
      <c r="U972">
        <v>0.35714000000000001</v>
      </c>
      <c r="V972" t="s">
        <v>135</v>
      </c>
      <c r="W972" t="s">
        <v>199</v>
      </c>
      <c r="X972" t="s">
        <v>62</v>
      </c>
      <c r="Y972" t="s">
        <v>62</v>
      </c>
      <c r="Z972">
        <v>2</v>
      </c>
      <c r="AA972">
        <v>4</v>
      </c>
      <c r="AB972">
        <v>7</v>
      </c>
      <c r="AC972">
        <v>0.36364000000000002</v>
      </c>
      <c r="AD972" s="47">
        <v>0</v>
      </c>
      <c r="AE972" s="47">
        <v>0</v>
      </c>
      <c r="AF972" s="47">
        <v>0</v>
      </c>
      <c r="AG972" s="47">
        <v>0</v>
      </c>
      <c r="AH972" s="47">
        <v>0</v>
      </c>
      <c r="AI972" s="47">
        <v>0</v>
      </c>
      <c r="AJ972" s="47">
        <v>0</v>
      </c>
      <c r="AK972" s="47">
        <v>0</v>
      </c>
      <c r="AL972">
        <v>7</v>
      </c>
      <c r="AM972">
        <v>0</v>
      </c>
      <c r="AN972">
        <v>12</v>
      </c>
      <c r="AO972">
        <v>11</v>
      </c>
      <c r="AP972">
        <v>35</v>
      </c>
      <c r="AQ972">
        <v>7</v>
      </c>
      <c r="AR972">
        <v>55</v>
      </c>
      <c r="AS972">
        <v>4</v>
      </c>
      <c r="AT972" t="s">
        <v>14971</v>
      </c>
      <c r="AU972" t="s">
        <v>14972</v>
      </c>
      <c r="AV972">
        <v>0.80100000000000005</v>
      </c>
      <c r="AW972" t="s">
        <v>65</v>
      </c>
      <c r="AX972">
        <v>90</v>
      </c>
      <c r="AY972">
        <v>11</v>
      </c>
      <c r="AZ972" t="s">
        <v>14973</v>
      </c>
      <c r="BA972">
        <v>5.7729999999999997E-2</v>
      </c>
      <c r="BB972">
        <v>-2.2599999999999999E-3</v>
      </c>
      <c r="BC972">
        <v>2.0500000000000002E-3</v>
      </c>
      <c r="BD972">
        <v>-1.2E-4</v>
      </c>
      <c r="BE972">
        <v>3.551E-2</v>
      </c>
      <c r="BF972">
        <v>1</v>
      </c>
      <c r="BG972" t="s">
        <v>69</v>
      </c>
      <c r="BH972">
        <v>-3.7999999999999999E-2</v>
      </c>
      <c r="BI972">
        <v>2.9000000000000001E-2</v>
      </c>
    </row>
    <row r="973" spans="3:61">
      <c r="C973">
        <v>0</v>
      </c>
      <c r="D973">
        <v>36</v>
      </c>
      <c r="E973">
        <v>6</v>
      </c>
      <c r="F973" t="s">
        <v>25021</v>
      </c>
      <c r="G973">
        <v>4016</v>
      </c>
      <c r="H973" t="s">
        <v>23630</v>
      </c>
      <c r="I973" t="s">
        <v>57</v>
      </c>
      <c r="J973">
        <v>3981227</v>
      </c>
      <c r="K973">
        <v>3982912</v>
      </c>
      <c r="L973" t="s">
        <v>3986</v>
      </c>
      <c r="M973">
        <v>562</v>
      </c>
      <c r="N973" t="s">
        <v>108</v>
      </c>
      <c r="O973">
        <v>44</v>
      </c>
      <c r="P973" t="str">
        <f>HYPERLINK("Gene4016-zp_tree_all.dnd", "Gene4016-tree")</f>
        <v>Gene4016-tree</v>
      </c>
      <c r="Q973">
        <v>0</v>
      </c>
      <c r="R973">
        <v>17</v>
      </c>
      <c r="S973">
        <v>0</v>
      </c>
      <c r="T973">
        <v>17</v>
      </c>
      <c r="U973">
        <v>1</v>
      </c>
      <c r="V973" t="s">
        <v>62</v>
      </c>
      <c r="W973" t="s">
        <v>266</v>
      </c>
      <c r="X973">
        <v>69600344.844999999</v>
      </c>
      <c r="Y973" t="s">
        <v>65</v>
      </c>
      <c r="Z973">
        <v>18</v>
      </c>
      <c r="AA973">
        <v>42</v>
      </c>
      <c r="AB973">
        <v>24</v>
      </c>
      <c r="AC973">
        <v>0.63636000000000004</v>
      </c>
      <c r="AD973" s="47">
        <v>0</v>
      </c>
      <c r="AE973" s="47">
        <v>0</v>
      </c>
      <c r="AF973" s="47">
        <v>0</v>
      </c>
      <c r="AG973" s="47">
        <v>0</v>
      </c>
      <c r="AH973" s="47">
        <v>0</v>
      </c>
      <c r="AI973" s="47">
        <v>6</v>
      </c>
      <c r="AJ973" s="47">
        <v>0</v>
      </c>
      <c r="AK973" s="47">
        <v>6</v>
      </c>
      <c r="AL973">
        <v>28</v>
      </c>
      <c r="AM973">
        <v>0.17646999999999999</v>
      </c>
      <c r="AN973">
        <v>15</v>
      </c>
      <c r="AO973">
        <v>13</v>
      </c>
      <c r="AP973">
        <v>67</v>
      </c>
      <c r="AQ973">
        <v>33</v>
      </c>
      <c r="AR973">
        <v>82</v>
      </c>
      <c r="AS973">
        <v>33</v>
      </c>
      <c r="AT973" t="s">
        <v>23631</v>
      </c>
      <c r="AU973" t="s">
        <v>23632</v>
      </c>
      <c r="AV973">
        <v>0.47299999999999998</v>
      </c>
      <c r="AW973" t="s">
        <v>65</v>
      </c>
      <c r="AX973">
        <v>149</v>
      </c>
      <c r="AY973">
        <v>66</v>
      </c>
      <c r="AZ973" t="s">
        <v>23633</v>
      </c>
      <c r="BA973">
        <v>6.5570000000000003E-2</v>
      </c>
      <c r="BB973">
        <v>-1.9300000000000001E-3</v>
      </c>
      <c r="BC973">
        <v>8.9300000000000004E-3</v>
      </c>
      <c r="BD973">
        <v>-2.5999999999999998E-4</v>
      </c>
      <c r="BE973">
        <v>0.13616</v>
      </c>
      <c r="BF973">
        <v>1</v>
      </c>
      <c r="BG973" t="s">
        <v>69</v>
      </c>
      <c r="BH973">
        <v>0.441</v>
      </c>
      <c r="BI973">
        <v>-0.23699999999999999</v>
      </c>
    </row>
    <row r="974" spans="3:61">
      <c r="C974">
        <v>0</v>
      </c>
      <c r="D974">
        <v>11</v>
      </c>
      <c r="E974">
        <v>1</v>
      </c>
      <c r="F974" t="s">
        <v>25021</v>
      </c>
      <c r="G974">
        <v>3546</v>
      </c>
      <c r="H974" t="s">
        <v>20783</v>
      </c>
      <c r="I974" t="s">
        <v>57</v>
      </c>
      <c r="J974">
        <v>3510780</v>
      </c>
      <c r="K974">
        <v>3512468</v>
      </c>
      <c r="L974" t="s">
        <v>2093</v>
      </c>
      <c r="M974">
        <v>563</v>
      </c>
      <c r="N974" t="s">
        <v>108</v>
      </c>
      <c r="O974">
        <v>44</v>
      </c>
      <c r="P974" t="str">
        <f>HYPERLINK("Gene3546-zp_tree_all.dnd", "Gene3546-tree")</f>
        <v>Gene3546-tree</v>
      </c>
      <c r="Q974">
        <v>7</v>
      </c>
      <c r="R974">
        <v>8</v>
      </c>
      <c r="S974">
        <v>7</v>
      </c>
      <c r="T974">
        <v>8</v>
      </c>
      <c r="U974">
        <v>0.53332999999999997</v>
      </c>
      <c r="V974" t="s">
        <v>152</v>
      </c>
      <c r="W974" t="s">
        <v>136</v>
      </c>
      <c r="X974" t="s">
        <v>62</v>
      </c>
      <c r="Y974" t="s">
        <v>62</v>
      </c>
      <c r="Z974">
        <v>5</v>
      </c>
      <c r="AA974">
        <v>12</v>
      </c>
      <c r="AB974">
        <v>13</v>
      </c>
      <c r="AC974">
        <v>0.48</v>
      </c>
      <c r="AD974" s="47">
        <v>0</v>
      </c>
      <c r="AE974" s="47">
        <v>0</v>
      </c>
      <c r="AF974" s="47">
        <v>0</v>
      </c>
      <c r="AG974" s="47">
        <v>0</v>
      </c>
      <c r="AH974" s="47">
        <v>0</v>
      </c>
      <c r="AI974" s="47">
        <v>3</v>
      </c>
      <c r="AJ974" s="47">
        <v>2</v>
      </c>
      <c r="AK974" s="47">
        <v>5</v>
      </c>
      <c r="AL974">
        <v>6</v>
      </c>
      <c r="AM974">
        <v>0.45455000000000001</v>
      </c>
      <c r="AN974">
        <v>14</v>
      </c>
      <c r="AO974">
        <v>12</v>
      </c>
      <c r="AP974">
        <v>74</v>
      </c>
      <c r="AQ974">
        <v>11</v>
      </c>
      <c r="AR974">
        <v>54</v>
      </c>
      <c r="AS974">
        <v>15</v>
      </c>
      <c r="AT974" t="s">
        <v>20784</v>
      </c>
      <c r="AU974" t="s">
        <v>20785</v>
      </c>
      <c r="AV974">
        <v>1.002</v>
      </c>
      <c r="AW974" t="s">
        <v>65</v>
      </c>
      <c r="AX974">
        <v>128</v>
      </c>
      <c r="AY974">
        <v>26</v>
      </c>
      <c r="AZ974" t="s">
        <v>20786</v>
      </c>
      <c r="BA974">
        <v>5.1459999999999999E-2</v>
      </c>
      <c r="BB974">
        <v>-1.7600000000000001E-3</v>
      </c>
      <c r="BC974">
        <v>4.1799999999999997E-3</v>
      </c>
      <c r="BD974">
        <v>-1.9000000000000001E-4</v>
      </c>
      <c r="BE974">
        <v>8.1170000000000006E-2</v>
      </c>
      <c r="BF974">
        <v>1</v>
      </c>
      <c r="BG974" t="s">
        <v>69</v>
      </c>
      <c r="BH974">
        <v>-0.443</v>
      </c>
      <c r="BI974">
        <v>-0.88700000000000001</v>
      </c>
    </row>
    <row r="975" spans="3:61">
      <c r="C975">
        <v>0</v>
      </c>
      <c r="D975">
        <v>16</v>
      </c>
      <c r="E975">
        <v>0</v>
      </c>
      <c r="F975" t="s">
        <v>25021</v>
      </c>
      <c r="G975">
        <v>3496</v>
      </c>
      <c r="H975" t="s">
        <v>20486</v>
      </c>
      <c r="I975" t="s">
        <v>57</v>
      </c>
      <c r="J975">
        <v>3458066</v>
      </c>
      <c r="K975">
        <v>3459763</v>
      </c>
      <c r="L975" t="s">
        <v>20487</v>
      </c>
      <c r="M975">
        <v>566</v>
      </c>
      <c r="N975" t="s">
        <v>20488</v>
      </c>
      <c r="O975">
        <v>37</v>
      </c>
      <c r="P975" t="str">
        <f>HYPERLINK("Gene3496-zp_tree_all.dnd", "Gene3496-tree")</f>
        <v>Gene3496-tree</v>
      </c>
      <c r="Q975">
        <v>2</v>
      </c>
      <c r="R975">
        <v>7</v>
      </c>
      <c r="S975">
        <v>2</v>
      </c>
      <c r="T975">
        <v>7</v>
      </c>
      <c r="U975">
        <v>0.77778000000000003</v>
      </c>
      <c r="V975" t="s">
        <v>81</v>
      </c>
      <c r="W975" t="s">
        <v>152</v>
      </c>
      <c r="X975" t="s">
        <v>62</v>
      </c>
      <c r="Y975" t="s">
        <v>62</v>
      </c>
      <c r="Z975">
        <v>7</v>
      </c>
      <c r="AA975">
        <v>16</v>
      </c>
      <c r="AB975">
        <v>28</v>
      </c>
      <c r="AC975">
        <v>0.36364000000000002</v>
      </c>
      <c r="AD975" s="47">
        <v>0</v>
      </c>
      <c r="AE975" s="47">
        <v>0</v>
      </c>
      <c r="AF975" s="47">
        <v>0</v>
      </c>
      <c r="AG975" s="47">
        <v>0</v>
      </c>
      <c r="AH975" s="47">
        <v>0</v>
      </c>
      <c r="AI975" s="47">
        <v>2</v>
      </c>
      <c r="AJ975" s="47">
        <v>0</v>
      </c>
      <c r="AK975" s="47">
        <v>2</v>
      </c>
      <c r="AL975">
        <v>31</v>
      </c>
      <c r="AM975">
        <v>6.0609999999999997E-2</v>
      </c>
      <c r="AN975">
        <v>9</v>
      </c>
      <c r="AO975">
        <v>5</v>
      </c>
      <c r="AP975">
        <v>86</v>
      </c>
      <c r="AQ975">
        <v>34</v>
      </c>
      <c r="AR975">
        <v>36</v>
      </c>
      <c r="AS975">
        <v>12</v>
      </c>
      <c r="AT975" t="s">
        <v>20489</v>
      </c>
      <c r="AU975" t="s">
        <v>20490</v>
      </c>
      <c r="AV975">
        <v>0.39500000000000002</v>
      </c>
      <c r="AW975" t="s">
        <v>65</v>
      </c>
      <c r="AX975">
        <v>122</v>
      </c>
      <c r="AY975">
        <v>46</v>
      </c>
      <c r="AZ975" t="s">
        <v>20491</v>
      </c>
      <c r="BA975">
        <v>7.2010000000000005E-2</v>
      </c>
      <c r="BB975">
        <v>-3.2599999999999999E-3</v>
      </c>
      <c r="BC975">
        <v>8.3999999999999995E-3</v>
      </c>
      <c r="BD975">
        <v>-6.4000000000000005E-4</v>
      </c>
      <c r="BE975">
        <v>0.11661000000000001</v>
      </c>
      <c r="BF975">
        <v>1</v>
      </c>
      <c r="BG975" t="s">
        <v>69</v>
      </c>
      <c r="BH975">
        <v>-0.49099999999999999</v>
      </c>
      <c r="BI975">
        <v>-1.056</v>
      </c>
    </row>
    <row r="976" spans="3:61">
      <c r="C976">
        <v>0</v>
      </c>
      <c r="D976">
        <v>3</v>
      </c>
      <c r="E976">
        <v>2</v>
      </c>
      <c r="F976" t="s">
        <v>25021</v>
      </c>
      <c r="G976">
        <v>1625</v>
      </c>
      <c r="H976" t="s">
        <v>10181</v>
      </c>
      <c r="I976" t="s">
        <v>62</v>
      </c>
      <c r="J976">
        <v>1636134</v>
      </c>
      <c r="K976">
        <v>1637849</v>
      </c>
      <c r="L976" t="s">
        <v>10182</v>
      </c>
      <c r="M976">
        <v>572</v>
      </c>
      <c r="N976" t="s">
        <v>108</v>
      </c>
      <c r="O976">
        <v>44</v>
      </c>
      <c r="P976" t="str">
        <f>HYPERLINK("Gene1625-zp_tree_all.dnd", "Gene1625-tree")</f>
        <v>Gene1625-tree</v>
      </c>
      <c r="Q976">
        <v>3</v>
      </c>
      <c r="R976">
        <v>11</v>
      </c>
      <c r="S976">
        <v>3</v>
      </c>
      <c r="T976">
        <v>11</v>
      </c>
      <c r="U976">
        <v>0.78571000000000002</v>
      </c>
      <c r="V976" t="s">
        <v>324</v>
      </c>
      <c r="W976" t="s">
        <v>73</v>
      </c>
      <c r="X976">
        <v>305230034.74400002</v>
      </c>
      <c r="Y976" t="s">
        <v>267</v>
      </c>
      <c r="Z976">
        <v>2</v>
      </c>
      <c r="AA976">
        <v>5</v>
      </c>
      <c r="AB976">
        <v>15</v>
      </c>
      <c r="AC976">
        <v>0.25</v>
      </c>
      <c r="AD976" s="47">
        <v>0</v>
      </c>
      <c r="AE976" s="47">
        <v>0</v>
      </c>
      <c r="AF976" s="47">
        <v>0</v>
      </c>
      <c r="AG976" s="47">
        <v>1</v>
      </c>
      <c r="AH976" s="47">
        <v>0</v>
      </c>
      <c r="AI976" s="47">
        <v>2</v>
      </c>
      <c r="AJ976" s="47">
        <v>0</v>
      </c>
      <c r="AK976" s="47">
        <v>2</v>
      </c>
      <c r="AL976">
        <v>11</v>
      </c>
      <c r="AM976">
        <v>0.15384999999999999</v>
      </c>
      <c r="AN976">
        <v>13</v>
      </c>
      <c r="AO976">
        <v>11</v>
      </c>
      <c r="AP976">
        <v>46</v>
      </c>
      <c r="AQ976">
        <v>13</v>
      </c>
      <c r="AR976">
        <v>46</v>
      </c>
      <c r="AS976">
        <v>7</v>
      </c>
      <c r="AT976" t="s">
        <v>10183</v>
      </c>
      <c r="AU976" t="s">
        <v>10184</v>
      </c>
      <c r="AV976">
        <v>0.90700000000000003</v>
      </c>
      <c r="AW976" t="s">
        <v>65</v>
      </c>
      <c r="AX976">
        <v>92</v>
      </c>
      <c r="AY976">
        <v>20</v>
      </c>
      <c r="AZ976" t="s">
        <v>10185</v>
      </c>
      <c r="BA976">
        <v>5.1630000000000002E-2</v>
      </c>
      <c r="BB976">
        <v>-1.81E-3</v>
      </c>
      <c r="BC976">
        <v>3.0899999999999999E-3</v>
      </c>
      <c r="BD976">
        <v>-1.1E-4</v>
      </c>
      <c r="BE976">
        <v>5.9859999999999997E-2</v>
      </c>
      <c r="BF976">
        <v>1</v>
      </c>
      <c r="BG976" t="s">
        <v>69</v>
      </c>
      <c r="BH976">
        <v>-0.70799999999999996</v>
      </c>
      <c r="BI976">
        <v>-0.57099999999999995</v>
      </c>
    </row>
    <row r="977" spans="3:61">
      <c r="C977">
        <v>0</v>
      </c>
      <c r="D977">
        <v>15</v>
      </c>
      <c r="E977">
        <v>4</v>
      </c>
      <c r="F977" t="s">
        <v>25021</v>
      </c>
      <c r="G977">
        <v>346</v>
      </c>
      <c r="H977" t="s">
        <v>2360</v>
      </c>
      <c r="I977" t="s">
        <v>62</v>
      </c>
      <c r="J977">
        <v>372774</v>
      </c>
      <c r="K977">
        <v>374492</v>
      </c>
      <c r="L977" t="s">
        <v>2361</v>
      </c>
      <c r="M977">
        <v>573</v>
      </c>
      <c r="N977" t="s">
        <v>108</v>
      </c>
      <c r="O977">
        <v>44</v>
      </c>
      <c r="P977" t="str">
        <f>HYPERLINK("Gene346-zp_tree_all.dnd", "Gene346-tree")</f>
        <v>Gene346-tree</v>
      </c>
      <c r="Q977">
        <v>2</v>
      </c>
      <c r="R977">
        <v>12</v>
      </c>
      <c r="S977">
        <v>2</v>
      </c>
      <c r="T977">
        <v>12</v>
      </c>
      <c r="U977">
        <v>0.85714000000000001</v>
      </c>
      <c r="V977" t="s">
        <v>81</v>
      </c>
      <c r="W977" t="s">
        <v>109</v>
      </c>
      <c r="X977" t="s">
        <v>62</v>
      </c>
      <c r="Y977" t="s">
        <v>62</v>
      </c>
      <c r="Z977">
        <v>8</v>
      </c>
      <c r="AA977">
        <v>19</v>
      </c>
      <c r="AB977">
        <v>20</v>
      </c>
      <c r="AC977">
        <v>0.48718</v>
      </c>
      <c r="AD977" s="47">
        <v>0</v>
      </c>
      <c r="AE977" s="47">
        <v>0</v>
      </c>
      <c r="AF977" s="47">
        <v>0</v>
      </c>
      <c r="AG977" s="47">
        <v>0</v>
      </c>
      <c r="AH977" s="47">
        <v>0</v>
      </c>
      <c r="AI977" s="47">
        <v>7</v>
      </c>
      <c r="AJ977" s="47">
        <v>2</v>
      </c>
      <c r="AK977" s="47">
        <v>9</v>
      </c>
      <c r="AL977">
        <v>22</v>
      </c>
      <c r="AM977">
        <v>0.29032000000000002</v>
      </c>
      <c r="AN977">
        <v>13</v>
      </c>
      <c r="AO977">
        <v>10</v>
      </c>
      <c r="AP977">
        <v>62</v>
      </c>
      <c r="AQ977">
        <v>31</v>
      </c>
      <c r="AR977">
        <v>22</v>
      </c>
      <c r="AS977">
        <v>9</v>
      </c>
      <c r="AT977" t="s">
        <v>2362</v>
      </c>
      <c r="AU977" t="s">
        <v>2363</v>
      </c>
      <c r="AV977">
        <v>0.251</v>
      </c>
      <c r="AW977" t="s">
        <v>65</v>
      </c>
      <c r="AX977">
        <v>84</v>
      </c>
      <c r="AY977">
        <v>40</v>
      </c>
      <c r="AZ977" t="s">
        <v>2364</v>
      </c>
      <c r="BA977">
        <v>3.4360000000000002E-2</v>
      </c>
      <c r="BB977">
        <v>-1.72E-3</v>
      </c>
      <c r="BC977">
        <v>4.79E-3</v>
      </c>
      <c r="BD977">
        <v>-2.9E-4</v>
      </c>
      <c r="BE977">
        <v>0.13952000000000001</v>
      </c>
      <c r="BF977">
        <v>1</v>
      </c>
      <c r="BG977" t="s">
        <v>69</v>
      </c>
      <c r="BH977">
        <v>-0.94499999999999995</v>
      </c>
      <c r="BI977">
        <v>-1.9370000000000001</v>
      </c>
    </row>
    <row r="978" spans="3:61">
      <c r="C978">
        <v>0</v>
      </c>
      <c r="D978">
        <v>0</v>
      </c>
      <c r="E978">
        <v>0</v>
      </c>
      <c r="F978" t="s">
        <v>25021</v>
      </c>
      <c r="G978">
        <v>2197</v>
      </c>
      <c r="H978" t="s">
        <v>12962</v>
      </c>
      <c r="I978" t="s">
        <v>57</v>
      </c>
      <c r="J978">
        <v>2230895</v>
      </c>
      <c r="K978">
        <v>2232661</v>
      </c>
      <c r="L978" t="s">
        <v>12963</v>
      </c>
      <c r="M978">
        <v>589</v>
      </c>
      <c r="N978" t="s">
        <v>12957</v>
      </c>
      <c r="O978">
        <v>17</v>
      </c>
      <c r="P978" t="str">
        <f>HYPERLINK("Gene2197-zp_tree_all.dnd", "Gene2197-tree")</f>
        <v>Gene2197-tree</v>
      </c>
      <c r="Q978">
        <v>2</v>
      </c>
      <c r="R978">
        <v>15</v>
      </c>
      <c r="S978">
        <v>2</v>
      </c>
      <c r="T978">
        <v>2</v>
      </c>
      <c r="U978">
        <v>0.5</v>
      </c>
      <c r="V978" t="s">
        <v>81</v>
      </c>
      <c r="W978" t="s">
        <v>12915</v>
      </c>
      <c r="X978">
        <v>3.3639999999999999</v>
      </c>
      <c r="Y978" t="s">
        <v>65</v>
      </c>
      <c r="Z978">
        <v>0</v>
      </c>
      <c r="AA978">
        <v>0</v>
      </c>
      <c r="AB978">
        <v>3</v>
      </c>
      <c r="AC978">
        <v>0</v>
      </c>
      <c r="AD978" s="47">
        <v>0</v>
      </c>
      <c r="AE978" s="47">
        <v>0</v>
      </c>
      <c r="AF978" s="47">
        <v>0</v>
      </c>
      <c r="AG978" s="47">
        <v>0</v>
      </c>
      <c r="AH978" s="47">
        <v>0</v>
      </c>
      <c r="AI978" s="47">
        <v>0</v>
      </c>
      <c r="AJ978" s="47">
        <v>0</v>
      </c>
      <c r="AK978" s="47">
        <v>0</v>
      </c>
      <c r="AL978">
        <v>3</v>
      </c>
      <c r="AM978">
        <v>0</v>
      </c>
      <c r="AN978">
        <v>4</v>
      </c>
      <c r="AO978">
        <v>1</v>
      </c>
      <c r="AP978">
        <v>49</v>
      </c>
      <c r="AQ978">
        <v>3</v>
      </c>
      <c r="AR978">
        <v>10</v>
      </c>
      <c r="AS978">
        <v>0</v>
      </c>
      <c r="AT978" t="s">
        <v>12964</v>
      </c>
      <c r="AU978" t="s">
        <v>193</v>
      </c>
      <c r="AV978">
        <v>1.47</v>
      </c>
      <c r="AW978" t="s">
        <v>65</v>
      </c>
      <c r="AX978">
        <v>59</v>
      </c>
      <c r="AY978">
        <v>3</v>
      </c>
      <c r="AZ978" t="s">
        <v>12965</v>
      </c>
      <c r="BA978">
        <v>7.8589999999999993E-2</v>
      </c>
      <c r="BB978">
        <v>-5.5199999999999997E-3</v>
      </c>
      <c r="BC978">
        <v>1.08E-3</v>
      </c>
      <c r="BD978">
        <v>-2.7999999999999998E-4</v>
      </c>
      <c r="BE978">
        <v>1.376E-2</v>
      </c>
      <c r="BF978">
        <v>1</v>
      </c>
      <c r="BG978" t="s">
        <v>69</v>
      </c>
      <c r="BH978">
        <v>-1.385</v>
      </c>
      <c r="BI978">
        <v>-0.54300000000000004</v>
      </c>
    </row>
    <row r="979" spans="3:61">
      <c r="C979">
        <v>2</v>
      </c>
      <c r="D979">
        <v>2</v>
      </c>
      <c r="E979">
        <v>3</v>
      </c>
      <c r="F979" t="s">
        <v>25021</v>
      </c>
      <c r="G979">
        <v>1391</v>
      </c>
      <c r="H979" t="s">
        <v>8706</v>
      </c>
      <c r="I979" t="s">
        <v>62</v>
      </c>
      <c r="J979">
        <v>1404521</v>
      </c>
      <c r="K979">
        <v>1406353</v>
      </c>
      <c r="L979" t="s">
        <v>8707</v>
      </c>
      <c r="M979">
        <v>611</v>
      </c>
      <c r="N979" t="s">
        <v>108</v>
      </c>
      <c r="O979">
        <v>44</v>
      </c>
      <c r="P979" t="str">
        <f>HYPERLINK("Gene1391-zp_tree_all.dnd", "Gene1391-tree")</f>
        <v>Gene1391-tree</v>
      </c>
      <c r="Q979">
        <v>4</v>
      </c>
      <c r="R979">
        <v>12</v>
      </c>
      <c r="S979">
        <v>4</v>
      </c>
      <c r="T979">
        <v>12</v>
      </c>
      <c r="U979">
        <v>0.75</v>
      </c>
      <c r="V979" t="s">
        <v>61</v>
      </c>
      <c r="W979" t="s">
        <v>109</v>
      </c>
      <c r="X979" t="s">
        <v>62</v>
      </c>
      <c r="Y979" t="s">
        <v>62</v>
      </c>
      <c r="Z979">
        <v>3</v>
      </c>
      <c r="AA979">
        <v>7</v>
      </c>
      <c r="AB979">
        <v>30</v>
      </c>
      <c r="AC979">
        <v>0.18919</v>
      </c>
      <c r="AD979" s="47">
        <v>0</v>
      </c>
      <c r="AE979" s="47">
        <v>0</v>
      </c>
      <c r="AF979" s="47">
        <v>0</v>
      </c>
      <c r="AG979" s="47">
        <v>0</v>
      </c>
      <c r="AH979" s="47">
        <v>0</v>
      </c>
      <c r="AI979" s="47">
        <v>0</v>
      </c>
      <c r="AJ979" s="47">
        <v>2</v>
      </c>
      <c r="AK979" s="47">
        <v>2</v>
      </c>
      <c r="AL979">
        <v>24</v>
      </c>
      <c r="AM979">
        <v>7.6920000000000002E-2</v>
      </c>
      <c r="AN979">
        <v>14</v>
      </c>
      <c r="AO979">
        <v>11</v>
      </c>
      <c r="AP979">
        <v>55</v>
      </c>
      <c r="AQ979">
        <v>26</v>
      </c>
      <c r="AR979">
        <v>28</v>
      </c>
      <c r="AS979">
        <v>12</v>
      </c>
      <c r="AT979" t="s">
        <v>8708</v>
      </c>
      <c r="AU979" t="s">
        <v>8709</v>
      </c>
      <c r="AV979">
        <v>7.0000000000000007E-2</v>
      </c>
      <c r="AW979" t="s">
        <v>65</v>
      </c>
      <c r="AX979">
        <v>83</v>
      </c>
      <c r="AY979">
        <v>38</v>
      </c>
      <c r="AZ979" t="s">
        <v>8710</v>
      </c>
      <c r="BA979">
        <v>3.4819999999999997E-2</v>
      </c>
      <c r="BB979">
        <v>-1.66E-3</v>
      </c>
      <c r="BC979">
        <v>4.6499999999999996E-3</v>
      </c>
      <c r="BD979">
        <v>-2.3000000000000001E-4</v>
      </c>
      <c r="BE979">
        <v>0.13367000000000001</v>
      </c>
      <c r="BF979">
        <v>1</v>
      </c>
      <c r="BG979" t="s">
        <v>69</v>
      </c>
      <c r="BH979">
        <v>-1.4710000000000001</v>
      </c>
      <c r="BI979">
        <v>-2.6819999999999999</v>
      </c>
    </row>
    <row r="980" spans="3:61">
      <c r="C980">
        <v>0</v>
      </c>
      <c r="D980">
        <v>5</v>
      </c>
      <c r="E980">
        <v>2</v>
      </c>
      <c r="F980" t="s">
        <v>25021</v>
      </c>
      <c r="G980">
        <v>1136</v>
      </c>
      <c r="H980" t="s">
        <v>7140</v>
      </c>
      <c r="I980" t="s">
        <v>62</v>
      </c>
      <c r="J980">
        <v>1178760</v>
      </c>
      <c r="K980">
        <v>1180595</v>
      </c>
      <c r="L980" t="s">
        <v>7141</v>
      </c>
      <c r="M980">
        <v>612</v>
      </c>
      <c r="N980" t="s">
        <v>108</v>
      </c>
      <c r="O980">
        <v>44</v>
      </c>
      <c r="P980" t="str">
        <f>HYPERLINK("Gene1136-zp_tree_all.dnd", "Gene1136-tree")</f>
        <v>Gene1136-tree</v>
      </c>
      <c r="Q980">
        <v>26</v>
      </c>
      <c r="R980">
        <v>8</v>
      </c>
      <c r="S980">
        <v>9</v>
      </c>
      <c r="T980">
        <v>8</v>
      </c>
      <c r="U980">
        <v>0.47059000000000001</v>
      </c>
      <c r="V980" t="s">
        <v>4723</v>
      </c>
      <c r="W980" t="s">
        <v>136</v>
      </c>
      <c r="X980" t="s">
        <v>62</v>
      </c>
      <c r="Y980" t="s">
        <v>62</v>
      </c>
      <c r="Z980">
        <v>3</v>
      </c>
      <c r="AA980">
        <v>7</v>
      </c>
      <c r="AB980">
        <v>13</v>
      </c>
      <c r="AC980">
        <v>0.35</v>
      </c>
      <c r="AD980" s="47">
        <v>0</v>
      </c>
      <c r="AE980" s="47">
        <v>0</v>
      </c>
      <c r="AF980" s="47">
        <v>0</v>
      </c>
      <c r="AG980" s="47">
        <v>0</v>
      </c>
      <c r="AH980" s="47">
        <v>0</v>
      </c>
      <c r="AI980" s="47">
        <v>0</v>
      </c>
      <c r="AJ980" s="47">
        <v>2</v>
      </c>
      <c r="AK980" s="47">
        <v>2</v>
      </c>
      <c r="AL980">
        <v>11</v>
      </c>
      <c r="AM980">
        <v>0.15384999999999999</v>
      </c>
      <c r="AN980">
        <v>15</v>
      </c>
      <c r="AO980">
        <v>13</v>
      </c>
      <c r="AP980">
        <v>64</v>
      </c>
      <c r="AQ980">
        <v>11</v>
      </c>
      <c r="AR980">
        <v>73</v>
      </c>
      <c r="AS980">
        <v>9</v>
      </c>
      <c r="AT980" t="s">
        <v>7142</v>
      </c>
      <c r="AU980" t="s">
        <v>7143</v>
      </c>
      <c r="AV980">
        <v>0.38800000000000001</v>
      </c>
      <c r="AW980" t="s">
        <v>65</v>
      </c>
      <c r="AX980">
        <v>137</v>
      </c>
      <c r="AY980">
        <v>20</v>
      </c>
      <c r="AZ980" t="s">
        <v>7144</v>
      </c>
      <c r="BA980">
        <v>5.8959999999999999E-2</v>
      </c>
      <c r="BB980">
        <v>-1.7799999999999999E-3</v>
      </c>
      <c r="BC980">
        <v>2.3E-3</v>
      </c>
      <c r="BD980">
        <v>-1.2999999999999999E-4</v>
      </c>
      <c r="BE980">
        <v>3.9079999999999997E-2</v>
      </c>
      <c r="BF980">
        <v>1</v>
      </c>
      <c r="BG980" t="s">
        <v>69</v>
      </c>
      <c r="BH980">
        <v>-0.215</v>
      </c>
      <c r="BI980">
        <v>-0.94699999999999995</v>
      </c>
    </row>
    <row r="981" spans="3:61">
      <c r="C981">
        <v>0</v>
      </c>
      <c r="D981">
        <v>11</v>
      </c>
      <c r="E981">
        <v>0</v>
      </c>
      <c r="F981" t="s">
        <v>25021</v>
      </c>
      <c r="G981">
        <v>3463</v>
      </c>
      <c r="H981" t="s">
        <v>20276</v>
      </c>
      <c r="I981" t="s">
        <v>57</v>
      </c>
      <c r="J981">
        <v>3422354</v>
      </c>
      <c r="K981">
        <v>3424204</v>
      </c>
      <c r="L981" t="s">
        <v>20277</v>
      </c>
      <c r="M981">
        <v>617</v>
      </c>
      <c r="N981" t="s">
        <v>108</v>
      </c>
      <c r="O981">
        <v>44</v>
      </c>
      <c r="P981" t="str">
        <f>HYPERLINK("Gene3463-zp_tree_all.dnd", "Gene3463-tree")</f>
        <v>Gene3463-tree</v>
      </c>
      <c r="Q981">
        <v>3</v>
      </c>
      <c r="R981">
        <v>32</v>
      </c>
      <c r="S981">
        <v>3</v>
      </c>
      <c r="T981">
        <v>12</v>
      </c>
      <c r="U981">
        <v>0.8</v>
      </c>
      <c r="V981" t="s">
        <v>324</v>
      </c>
      <c r="W981" t="s">
        <v>1782</v>
      </c>
      <c r="X981">
        <v>1.03</v>
      </c>
      <c r="Y981" t="s">
        <v>65</v>
      </c>
      <c r="Z981">
        <v>5</v>
      </c>
      <c r="AA981">
        <v>11</v>
      </c>
      <c r="AB981">
        <v>33</v>
      </c>
      <c r="AC981">
        <v>0.25</v>
      </c>
      <c r="AD981" s="47">
        <v>0</v>
      </c>
      <c r="AE981" s="47">
        <v>0</v>
      </c>
      <c r="AF981" s="47">
        <v>0</v>
      </c>
      <c r="AG981" s="47">
        <v>0</v>
      </c>
      <c r="AH981" s="47">
        <v>0</v>
      </c>
      <c r="AI981" s="47">
        <v>2</v>
      </c>
      <c r="AJ981" s="47">
        <v>2</v>
      </c>
      <c r="AK981" s="47">
        <v>4</v>
      </c>
      <c r="AL981">
        <v>24</v>
      </c>
      <c r="AM981">
        <v>0.14285999999999999</v>
      </c>
      <c r="AN981">
        <v>11</v>
      </c>
      <c r="AO981">
        <v>12</v>
      </c>
      <c r="AP981">
        <v>79</v>
      </c>
      <c r="AQ981">
        <v>25</v>
      </c>
      <c r="AR981">
        <v>49</v>
      </c>
      <c r="AS981">
        <v>19</v>
      </c>
      <c r="AT981" t="s">
        <v>20278</v>
      </c>
      <c r="AU981" t="s">
        <v>20279</v>
      </c>
      <c r="AV981">
        <v>0.17799999999999999</v>
      </c>
      <c r="AW981" t="s">
        <v>65</v>
      </c>
      <c r="AX981">
        <v>128</v>
      </c>
      <c r="AY981">
        <v>44</v>
      </c>
      <c r="AZ981" t="s">
        <v>20280</v>
      </c>
      <c r="BA981">
        <v>5.4940000000000003E-2</v>
      </c>
      <c r="BB981">
        <v>-3.49E-3</v>
      </c>
      <c r="BC981">
        <v>5.7999999999999996E-3</v>
      </c>
      <c r="BD981">
        <v>-3.5E-4</v>
      </c>
      <c r="BE981">
        <v>0.10564999999999999</v>
      </c>
      <c r="BF981">
        <v>1</v>
      </c>
      <c r="BG981" t="s">
        <v>69</v>
      </c>
      <c r="BH981">
        <v>-1.1739999999999999</v>
      </c>
      <c r="BI981">
        <v>-2.766</v>
      </c>
    </row>
    <row r="982" spans="3:61">
      <c r="C982">
        <v>2</v>
      </c>
      <c r="D982">
        <v>9</v>
      </c>
      <c r="E982">
        <v>2</v>
      </c>
      <c r="F982" t="s">
        <v>25021</v>
      </c>
      <c r="G982">
        <v>3268</v>
      </c>
      <c r="H982" t="s">
        <v>19060</v>
      </c>
      <c r="I982" t="s">
        <v>57</v>
      </c>
      <c r="J982">
        <v>3233911</v>
      </c>
      <c r="K982">
        <v>3235782</v>
      </c>
      <c r="L982" t="s">
        <v>19061</v>
      </c>
      <c r="M982">
        <v>624</v>
      </c>
      <c r="N982" t="s">
        <v>1607</v>
      </c>
      <c r="O982">
        <v>47</v>
      </c>
      <c r="P982" t="str">
        <f>HYPERLINK("Gene3268-zp_tree_all.dnd", "Gene3268-tree")</f>
        <v>Gene3268-tree</v>
      </c>
      <c r="Q982">
        <v>11</v>
      </c>
      <c r="R982">
        <v>8</v>
      </c>
      <c r="S982">
        <v>11</v>
      </c>
      <c r="T982">
        <v>8</v>
      </c>
      <c r="U982">
        <v>0.42104999999999998</v>
      </c>
      <c r="V982" t="s">
        <v>73</v>
      </c>
      <c r="W982" t="s">
        <v>136</v>
      </c>
      <c r="X982" t="s">
        <v>62</v>
      </c>
      <c r="Y982" t="s">
        <v>62</v>
      </c>
      <c r="Z982">
        <v>4</v>
      </c>
      <c r="AA982">
        <v>13</v>
      </c>
      <c r="AB982">
        <v>22</v>
      </c>
      <c r="AC982">
        <v>0.37142999999999998</v>
      </c>
      <c r="AD982" s="47">
        <v>0</v>
      </c>
      <c r="AE982" s="47">
        <v>0</v>
      </c>
      <c r="AF982" s="47">
        <v>0</v>
      </c>
      <c r="AG982" s="47">
        <v>0</v>
      </c>
      <c r="AH982" s="47">
        <v>0</v>
      </c>
      <c r="AI982" s="47">
        <v>0</v>
      </c>
      <c r="AJ982" s="47">
        <v>2</v>
      </c>
      <c r="AK982" s="47">
        <v>2</v>
      </c>
      <c r="AL982">
        <v>13</v>
      </c>
      <c r="AM982">
        <v>0.13333</v>
      </c>
      <c r="AN982">
        <v>18</v>
      </c>
      <c r="AO982">
        <v>14</v>
      </c>
      <c r="AP982">
        <v>107</v>
      </c>
      <c r="AQ982">
        <v>14</v>
      </c>
      <c r="AR982">
        <v>98</v>
      </c>
      <c r="AS982">
        <v>25</v>
      </c>
      <c r="AT982" t="s">
        <v>19062</v>
      </c>
      <c r="AU982" t="s">
        <v>19063</v>
      </c>
      <c r="AV982">
        <v>0.42399999999999999</v>
      </c>
      <c r="AW982" t="s">
        <v>65</v>
      </c>
      <c r="AX982">
        <v>205</v>
      </c>
      <c r="AY982">
        <v>39</v>
      </c>
      <c r="AZ982" t="s">
        <v>19064</v>
      </c>
      <c r="BA982">
        <v>8.0369999999999997E-2</v>
      </c>
      <c r="BB982">
        <v>-5.4599999999999996E-3</v>
      </c>
      <c r="BC982">
        <v>4.8399999999999997E-3</v>
      </c>
      <c r="BD982">
        <v>-3.3E-4</v>
      </c>
      <c r="BE982">
        <v>6.0240000000000002E-2</v>
      </c>
      <c r="BF982">
        <v>1</v>
      </c>
      <c r="BG982" t="s">
        <v>69</v>
      </c>
      <c r="BH982">
        <v>-1.6659999999999999</v>
      </c>
      <c r="BI982">
        <v>-2.0369999999999999</v>
      </c>
    </row>
    <row r="983" spans="3:61">
      <c r="C983">
        <v>0</v>
      </c>
      <c r="D983">
        <v>23</v>
      </c>
      <c r="E983">
        <v>7</v>
      </c>
      <c r="F983" t="s">
        <v>25021</v>
      </c>
      <c r="G983">
        <v>235</v>
      </c>
      <c r="H983" t="s">
        <v>1591</v>
      </c>
      <c r="I983" t="s">
        <v>62</v>
      </c>
      <c r="J983">
        <v>254910</v>
      </c>
      <c r="K983">
        <v>256802</v>
      </c>
      <c r="L983" t="s">
        <v>1592</v>
      </c>
      <c r="M983">
        <v>631</v>
      </c>
      <c r="N983" t="s">
        <v>629</v>
      </c>
      <c r="O983">
        <v>43</v>
      </c>
      <c r="P983" t="str">
        <f>HYPERLINK("Gene235-zp_tree_all.dnd", "Gene235-tree")</f>
        <v>Gene235-tree</v>
      </c>
      <c r="Q983">
        <v>4</v>
      </c>
      <c r="R983">
        <v>12</v>
      </c>
      <c r="S983">
        <v>4</v>
      </c>
      <c r="T983">
        <v>12</v>
      </c>
      <c r="U983">
        <v>0.75</v>
      </c>
      <c r="V983" t="s">
        <v>61</v>
      </c>
      <c r="W983" t="s">
        <v>109</v>
      </c>
      <c r="X983" t="s">
        <v>62</v>
      </c>
      <c r="Y983" t="s">
        <v>62</v>
      </c>
      <c r="Z983">
        <v>11</v>
      </c>
      <c r="AA983">
        <v>30</v>
      </c>
      <c r="AB983">
        <v>17</v>
      </c>
      <c r="AC983">
        <v>0.63829999999999998</v>
      </c>
      <c r="AD983" s="47">
        <v>0</v>
      </c>
      <c r="AE983" s="47">
        <v>0</v>
      </c>
      <c r="AF983" s="47">
        <v>0</v>
      </c>
      <c r="AG983" s="47">
        <v>2</v>
      </c>
      <c r="AH983" s="47">
        <v>0</v>
      </c>
      <c r="AI983" s="47">
        <v>7</v>
      </c>
      <c r="AJ983" s="47">
        <v>7</v>
      </c>
      <c r="AK983" s="47">
        <v>14</v>
      </c>
      <c r="AL983">
        <v>18</v>
      </c>
      <c r="AM983">
        <v>0.4375</v>
      </c>
      <c r="AN983">
        <v>15</v>
      </c>
      <c r="AO983">
        <v>12</v>
      </c>
      <c r="AP983">
        <v>88</v>
      </c>
      <c r="AQ983">
        <v>33</v>
      </c>
      <c r="AR983">
        <v>47</v>
      </c>
      <c r="AS983">
        <v>16</v>
      </c>
      <c r="AT983" t="s">
        <v>1593</v>
      </c>
      <c r="AU983" t="s">
        <v>1594</v>
      </c>
      <c r="AV983">
        <v>0.20699999999999999</v>
      </c>
      <c r="AW983" t="s">
        <v>65</v>
      </c>
      <c r="AX983">
        <v>135</v>
      </c>
      <c r="AY983">
        <v>49</v>
      </c>
      <c r="AZ983" t="s">
        <v>1595</v>
      </c>
      <c r="BA983">
        <v>4.6339999999999999E-2</v>
      </c>
      <c r="BB983">
        <v>-1.5900000000000001E-3</v>
      </c>
      <c r="BC983">
        <v>5.1000000000000004E-3</v>
      </c>
      <c r="BD983">
        <v>-1.7000000000000001E-4</v>
      </c>
      <c r="BE983">
        <v>0.10997</v>
      </c>
      <c r="BF983">
        <v>1</v>
      </c>
      <c r="BG983" t="s">
        <v>69</v>
      </c>
      <c r="BH983">
        <v>-0.71799999999999997</v>
      </c>
      <c r="BI983">
        <v>-0.92100000000000004</v>
      </c>
    </row>
    <row r="984" spans="3:61">
      <c r="C984">
        <v>0</v>
      </c>
      <c r="D984">
        <v>21</v>
      </c>
      <c r="E984">
        <v>2</v>
      </c>
      <c r="F984" t="s">
        <v>25021</v>
      </c>
      <c r="G984">
        <v>2012</v>
      </c>
      <c r="H984" t="s">
        <v>12513</v>
      </c>
      <c r="I984" t="s">
        <v>57</v>
      </c>
      <c r="J984">
        <v>2102168</v>
      </c>
      <c r="K984">
        <v>2104063</v>
      </c>
      <c r="L984" t="s">
        <v>12514</v>
      </c>
      <c r="M984">
        <v>632</v>
      </c>
      <c r="N984" t="s">
        <v>108</v>
      </c>
      <c r="O984">
        <v>44</v>
      </c>
      <c r="P984" t="str">
        <f>HYPERLINK("Gene2012-zp_tree_all.dnd", "Gene2012-tree")</f>
        <v>Gene2012-tree</v>
      </c>
      <c r="Q984">
        <v>3</v>
      </c>
      <c r="R984">
        <v>12</v>
      </c>
      <c r="S984">
        <v>3</v>
      </c>
      <c r="T984">
        <v>12</v>
      </c>
      <c r="U984">
        <v>0.8</v>
      </c>
      <c r="V984" t="s">
        <v>324</v>
      </c>
      <c r="W984" t="s">
        <v>109</v>
      </c>
      <c r="X984" t="s">
        <v>62</v>
      </c>
      <c r="Y984" t="s">
        <v>62</v>
      </c>
      <c r="Z984">
        <v>10</v>
      </c>
      <c r="AA984">
        <v>23</v>
      </c>
      <c r="AB984">
        <v>40</v>
      </c>
      <c r="AC984">
        <v>0.36508000000000002</v>
      </c>
      <c r="AD984" s="47">
        <v>0</v>
      </c>
      <c r="AE984" s="47">
        <v>0</v>
      </c>
      <c r="AF984" s="47">
        <v>0</v>
      </c>
      <c r="AG984" s="47">
        <v>0</v>
      </c>
      <c r="AH984" s="47">
        <v>0</v>
      </c>
      <c r="AI984" s="47">
        <v>8</v>
      </c>
      <c r="AJ984" s="47">
        <v>0</v>
      </c>
      <c r="AK984" s="47">
        <v>8</v>
      </c>
      <c r="AL984">
        <v>35</v>
      </c>
      <c r="AM984">
        <v>0.18604999999999999</v>
      </c>
      <c r="AN984">
        <v>15</v>
      </c>
      <c r="AO984">
        <v>12</v>
      </c>
      <c r="AP984">
        <v>62</v>
      </c>
      <c r="AQ984">
        <v>44</v>
      </c>
      <c r="AR984">
        <v>41</v>
      </c>
      <c r="AS984">
        <v>20</v>
      </c>
      <c r="AT984" t="s">
        <v>12515</v>
      </c>
      <c r="AU984" t="s">
        <v>12516</v>
      </c>
      <c r="AV984">
        <v>0.69499999999999995</v>
      </c>
      <c r="AW984" t="s">
        <v>65</v>
      </c>
      <c r="AX984">
        <v>103</v>
      </c>
      <c r="AY984">
        <v>64</v>
      </c>
      <c r="AZ984" t="s">
        <v>12517</v>
      </c>
      <c r="BA984">
        <v>3.8550000000000001E-2</v>
      </c>
      <c r="BB984">
        <v>-1.15E-3</v>
      </c>
      <c r="BC984">
        <v>7.6099999999999996E-3</v>
      </c>
      <c r="BD984">
        <v>-2.3000000000000001E-4</v>
      </c>
      <c r="BE984">
        <v>0.19750999999999999</v>
      </c>
      <c r="BF984">
        <v>1</v>
      </c>
      <c r="BG984" t="s">
        <v>69</v>
      </c>
      <c r="BH984">
        <v>-0.95</v>
      </c>
      <c r="BI984">
        <v>-0.73599999999999999</v>
      </c>
    </row>
    <row r="985" spans="3:61">
      <c r="C985">
        <v>3</v>
      </c>
      <c r="D985">
        <v>35</v>
      </c>
      <c r="E985">
        <v>12</v>
      </c>
      <c r="F985" t="s">
        <v>25021</v>
      </c>
      <c r="G985">
        <v>2826</v>
      </c>
      <c r="H985" t="s">
        <v>16221</v>
      </c>
      <c r="I985" t="s">
        <v>57</v>
      </c>
      <c r="J985">
        <v>2771318</v>
      </c>
      <c r="K985">
        <v>2773219</v>
      </c>
      <c r="L985" t="s">
        <v>16222</v>
      </c>
      <c r="M985">
        <v>634</v>
      </c>
      <c r="N985" t="s">
        <v>16223</v>
      </c>
      <c r="O985">
        <v>38</v>
      </c>
      <c r="P985" t="str">
        <f>HYPERLINK("Gene2826-zp_tree_all.dnd", "Gene2826-tree")</f>
        <v>Gene2826-tree</v>
      </c>
      <c r="Q985">
        <v>3</v>
      </c>
      <c r="R985">
        <v>12</v>
      </c>
      <c r="S985">
        <v>3</v>
      </c>
      <c r="T985">
        <v>12</v>
      </c>
      <c r="U985">
        <v>0.8</v>
      </c>
      <c r="V985" t="s">
        <v>324</v>
      </c>
      <c r="W985" t="s">
        <v>109</v>
      </c>
      <c r="X985" t="s">
        <v>62</v>
      </c>
      <c r="Y985" t="s">
        <v>62</v>
      </c>
      <c r="Z985">
        <v>20</v>
      </c>
      <c r="AA985">
        <v>50</v>
      </c>
      <c r="AB985">
        <v>35</v>
      </c>
      <c r="AC985">
        <v>0.58823999999999999</v>
      </c>
      <c r="AD985" s="47">
        <v>0</v>
      </c>
      <c r="AE985" s="47">
        <v>0</v>
      </c>
      <c r="AF985" s="47">
        <v>0</v>
      </c>
      <c r="AG985" s="47">
        <v>0</v>
      </c>
      <c r="AH985" s="47">
        <v>0</v>
      </c>
      <c r="AI985" s="47">
        <v>6</v>
      </c>
      <c r="AJ985" s="47">
        <v>6</v>
      </c>
      <c r="AK985" s="47">
        <v>12</v>
      </c>
      <c r="AL985">
        <v>26</v>
      </c>
      <c r="AM985">
        <v>0.31579000000000002</v>
      </c>
      <c r="AN985">
        <v>14</v>
      </c>
      <c r="AO985">
        <v>11</v>
      </c>
      <c r="AP985">
        <v>62</v>
      </c>
      <c r="AQ985">
        <v>39</v>
      </c>
      <c r="AR985">
        <v>66</v>
      </c>
      <c r="AS985">
        <v>49</v>
      </c>
      <c r="AT985" t="s">
        <v>16224</v>
      </c>
      <c r="AU985" t="s">
        <v>16225</v>
      </c>
      <c r="AV985">
        <v>0.33400000000000002</v>
      </c>
      <c r="AW985" t="s">
        <v>65</v>
      </c>
      <c r="AX985">
        <v>128</v>
      </c>
      <c r="AY985">
        <v>88</v>
      </c>
      <c r="AZ985" t="s">
        <v>16226</v>
      </c>
      <c r="BA985">
        <v>6.1249999999999999E-2</v>
      </c>
      <c r="BB985">
        <v>-1.97E-3</v>
      </c>
      <c r="BC985">
        <v>1.311E-2</v>
      </c>
      <c r="BD985">
        <v>-4.4999999999999999E-4</v>
      </c>
      <c r="BE985">
        <v>0.21407000000000001</v>
      </c>
      <c r="BF985">
        <v>1</v>
      </c>
      <c r="BG985" t="s">
        <v>69</v>
      </c>
      <c r="BH985">
        <v>0.16700000000000001</v>
      </c>
      <c r="BI985">
        <v>0.443</v>
      </c>
    </row>
    <row r="986" spans="3:61">
      <c r="C986">
        <v>7</v>
      </c>
      <c r="D986">
        <v>30</v>
      </c>
      <c r="E986">
        <v>2</v>
      </c>
      <c r="F986" t="s">
        <v>25021</v>
      </c>
      <c r="G986">
        <v>4162</v>
      </c>
      <c r="H986" t="s">
        <v>24511</v>
      </c>
      <c r="I986" t="s">
        <v>57</v>
      </c>
      <c r="J986">
        <v>4128119</v>
      </c>
      <c r="K986">
        <v>4130041</v>
      </c>
      <c r="L986" t="s">
        <v>24512</v>
      </c>
      <c r="M986">
        <v>641</v>
      </c>
      <c r="N986" t="s">
        <v>59</v>
      </c>
      <c r="O986">
        <v>49</v>
      </c>
      <c r="P986" t="str">
        <f>HYPERLINK("Gene4162-zp_tree_all.dnd", "Gene4162-tree")</f>
        <v>Gene4162-tree</v>
      </c>
      <c r="Q986">
        <v>3</v>
      </c>
      <c r="R986">
        <v>21</v>
      </c>
      <c r="S986">
        <v>3</v>
      </c>
      <c r="T986">
        <v>21</v>
      </c>
      <c r="U986">
        <v>0.875</v>
      </c>
      <c r="V986" t="s">
        <v>324</v>
      </c>
      <c r="W986" t="s">
        <v>557</v>
      </c>
      <c r="X986">
        <v>405836262.65600002</v>
      </c>
      <c r="Y986" t="s">
        <v>267</v>
      </c>
      <c r="Z986">
        <v>10</v>
      </c>
      <c r="AA986">
        <v>39</v>
      </c>
      <c r="AB986">
        <v>21</v>
      </c>
      <c r="AC986">
        <v>0.65</v>
      </c>
      <c r="AD986" s="47">
        <v>0</v>
      </c>
      <c r="AE986" s="47">
        <v>0</v>
      </c>
      <c r="AF986" s="47">
        <v>0</v>
      </c>
      <c r="AG986" s="47">
        <v>0</v>
      </c>
      <c r="AH986" s="47">
        <v>0</v>
      </c>
      <c r="AI986" s="47">
        <v>17</v>
      </c>
      <c r="AJ986" s="47">
        <v>5</v>
      </c>
      <c r="AK986" s="47">
        <v>22</v>
      </c>
      <c r="AL986">
        <v>25</v>
      </c>
      <c r="AM986">
        <v>0.46809000000000001</v>
      </c>
      <c r="AN986">
        <v>22</v>
      </c>
      <c r="AO986">
        <v>21</v>
      </c>
      <c r="AP986">
        <v>491</v>
      </c>
      <c r="AQ986">
        <v>44</v>
      </c>
      <c r="AR986">
        <v>259</v>
      </c>
      <c r="AS986">
        <v>18</v>
      </c>
      <c r="AT986" t="s">
        <v>24513</v>
      </c>
      <c r="AU986" t="s">
        <v>24514</v>
      </c>
      <c r="AV986">
        <v>0.38200000000000001</v>
      </c>
      <c r="AW986" t="s">
        <v>65</v>
      </c>
      <c r="AX986">
        <v>750</v>
      </c>
      <c r="AY986">
        <v>62</v>
      </c>
      <c r="AZ986" t="s">
        <v>24515</v>
      </c>
      <c r="BA986">
        <v>0.17954999999999999</v>
      </c>
      <c r="BB986">
        <v>-2.4499999999999999E-3</v>
      </c>
      <c r="BC986">
        <v>3.96E-3</v>
      </c>
      <c r="BD986">
        <v>-1.1E-4</v>
      </c>
      <c r="BE986">
        <v>2.205E-2</v>
      </c>
      <c r="BF986">
        <v>1</v>
      </c>
      <c r="BG986" t="s">
        <v>69</v>
      </c>
      <c r="BH986">
        <v>-0.58499999999999996</v>
      </c>
      <c r="BI986">
        <v>-1.2729999999999999</v>
      </c>
    </row>
    <row r="987" spans="3:61">
      <c r="C987">
        <v>0</v>
      </c>
      <c r="D987">
        <v>51</v>
      </c>
      <c r="E987">
        <v>3</v>
      </c>
      <c r="F987" t="s">
        <v>25021</v>
      </c>
      <c r="G987">
        <v>167</v>
      </c>
      <c r="H987" t="s">
        <v>1180</v>
      </c>
      <c r="I987" t="s">
        <v>62</v>
      </c>
      <c r="J987">
        <v>186455</v>
      </c>
      <c r="K987">
        <v>188380</v>
      </c>
      <c r="L987" t="s">
        <v>1181</v>
      </c>
      <c r="M987">
        <v>642</v>
      </c>
      <c r="N987" t="s">
        <v>108</v>
      </c>
      <c r="O987">
        <v>44</v>
      </c>
      <c r="P987" t="str">
        <f>HYPERLINK("Gene167-zp_tree_all.dnd", "Gene167-tree")</f>
        <v>Gene167-tree</v>
      </c>
      <c r="Q987">
        <v>1</v>
      </c>
      <c r="R987">
        <v>14</v>
      </c>
      <c r="S987">
        <v>1</v>
      </c>
      <c r="T987">
        <v>14</v>
      </c>
      <c r="U987">
        <v>0.93332999999999999</v>
      </c>
      <c r="V987" t="s">
        <v>175</v>
      </c>
      <c r="W987" t="s">
        <v>543</v>
      </c>
      <c r="X987">
        <v>1865302226.941</v>
      </c>
      <c r="Y987" t="s">
        <v>267</v>
      </c>
      <c r="Z987">
        <v>21</v>
      </c>
      <c r="AA987">
        <v>54</v>
      </c>
      <c r="AB987">
        <v>31</v>
      </c>
      <c r="AC987">
        <v>0.63529000000000002</v>
      </c>
      <c r="AD987" s="47">
        <v>0</v>
      </c>
      <c r="AE987" s="47">
        <v>0</v>
      </c>
      <c r="AF987" s="47">
        <v>0</v>
      </c>
      <c r="AG987" s="47">
        <v>0</v>
      </c>
      <c r="AH987" s="47">
        <v>0</v>
      </c>
      <c r="AI987" s="47">
        <v>19</v>
      </c>
      <c r="AJ987" s="47">
        <v>6</v>
      </c>
      <c r="AK987" s="47">
        <v>25</v>
      </c>
      <c r="AL987">
        <v>36</v>
      </c>
      <c r="AM987">
        <v>0.40983999999999998</v>
      </c>
      <c r="AN987">
        <v>14</v>
      </c>
      <c r="AO987">
        <v>11</v>
      </c>
      <c r="AP987">
        <v>102</v>
      </c>
      <c r="AQ987">
        <v>63</v>
      </c>
      <c r="AR987">
        <v>60</v>
      </c>
      <c r="AS987">
        <v>27</v>
      </c>
      <c r="AT987" t="s">
        <v>1182</v>
      </c>
      <c r="AU987" t="s">
        <v>1183</v>
      </c>
      <c r="AV987">
        <v>0.56799999999999995</v>
      </c>
      <c r="AW987" t="s">
        <v>65</v>
      </c>
      <c r="AX987">
        <v>162</v>
      </c>
      <c r="AY987">
        <v>90</v>
      </c>
      <c r="AZ987" t="s">
        <v>1184</v>
      </c>
      <c r="BA987">
        <v>6.6430000000000003E-2</v>
      </c>
      <c r="BB987">
        <v>-2.81E-3</v>
      </c>
      <c r="BC987">
        <v>9.9100000000000004E-3</v>
      </c>
      <c r="BD987">
        <v>-4.2000000000000002E-4</v>
      </c>
      <c r="BE987">
        <v>0.14913999999999999</v>
      </c>
      <c r="BF987">
        <v>1</v>
      </c>
      <c r="BG987" t="s">
        <v>69</v>
      </c>
      <c r="BH987">
        <v>-0.45900000000000002</v>
      </c>
      <c r="BI987">
        <v>-1.669</v>
      </c>
    </row>
    <row r="988" spans="3:61">
      <c r="C988">
        <v>0</v>
      </c>
      <c r="D988">
        <v>16</v>
      </c>
      <c r="E988">
        <v>0</v>
      </c>
      <c r="F988" t="s">
        <v>25021</v>
      </c>
      <c r="G988">
        <v>614</v>
      </c>
      <c r="H988" t="s">
        <v>3950</v>
      </c>
      <c r="I988" t="s">
        <v>62</v>
      </c>
      <c r="J988">
        <v>644531</v>
      </c>
      <c r="K988">
        <v>646456</v>
      </c>
      <c r="L988" t="s">
        <v>3951</v>
      </c>
      <c r="M988">
        <v>642</v>
      </c>
      <c r="N988" t="s">
        <v>108</v>
      </c>
      <c r="O988">
        <v>44</v>
      </c>
      <c r="P988" t="str">
        <f>HYPERLINK("Gene614-zp_tree_all.dnd", "Gene614-tree")</f>
        <v>Gene614-tree</v>
      </c>
      <c r="Q988">
        <v>19</v>
      </c>
      <c r="R988">
        <v>14</v>
      </c>
      <c r="S988">
        <v>2</v>
      </c>
      <c r="T988">
        <v>14</v>
      </c>
      <c r="U988">
        <v>0.875</v>
      </c>
      <c r="V988" t="s">
        <v>3952</v>
      </c>
      <c r="W988" t="s">
        <v>543</v>
      </c>
      <c r="X988">
        <v>9.0419999999999998</v>
      </c>
      <c r="Y988" t="s">
        <v>267</v>
      </c>
      <c r="Z988">
        <v>6</v>
      </c>
      <c r="AA988">
        <v>16</v>
      </c>
      <c r="AB988">
        <v>22</v>
      </c>
      <c r="AC988">
        <v>0.42104999999999998</v>
      </c>
      <c r="AD988" s="47">
        <v>0</v>
      </c>
      <c r="AE988" s="47">
        <v>0</v>
      </c>
      <c r="AF988" s="47">
        <v>0</v>
      </c>
      <c r="AG988" s="47">
        <v>1</v>
      </c>
      <c r="AH988" s="47">
        <v>0</v>
      </c>
      <c r="AI988" s="47">
        <v>10</v>
      </c>
      <c r="AJ988" s="47">
        <v>0</v>
      </c>
      <c r="AK988" s="47">
        <v>10</v>
      </c>
      <c r="AL988">
        <v>21</v>
      </c>
      <c r="AM988">
        <v>0.32257999999999998</v>
      </c>
      <c r="AN988">
        <v>15</v>
      </c>
      <c r="AO988">
        <v>13</v>
      </c>
      <c r="AP988">
        <v>102</v>
      </c>
      <c r="AQ988">
        <v>31</v>
      </c>
      <c r="AR988">
        <v>58</v>
      </c>
      <c r="AS988">
        <v>7</v>
      </c>
      <c r="AT988" t="s">
        <v>3953</v>
      </c>
      <c r="AU988" t="s">
        <v>3954</v>
      </c>
      <c r="AV988">
        <v>0.93100000000000005</v>
      </c>
      <c r="AW988" t="s">
        <v>65</v>
      </c>
      <c r="AX988">
        <v>160</v>
      </c>
      <c r="AY988">
        <v>38</v>
      </c>
      <c r="AZ988" t="s">
        <v>3955</v>
      </c>
      <c r="BA988">
        <v>6.225E-2</v>
      </c>
      <c r="BB988">
        <v>-2.5699999999999998E-3</v>
      </c>
      <c r="BC988">
        <v>3.64E-3</v>
      </c>
      <c r="BD988">
        <v>-1.2E-4</v>
      </c>
      <c r="BE988">
        <v>5.849E-2</v>
      </c>
      <c r="BF988">
        <v>1</v>
      </c>
      <c r="BG988" t="s">
        <v>69</v>
      </c>
      <c r="BH988">
        <v>-0.74</v>
      </c>
      <c r="BI988">
        <v>-1.9379999999999999</v>
      </c>
    </row>
    <row r="989" spans="3:61">
      <c r="C989">
        <v>0</v>
      </c>
      <c r="D989">
        <v>39</v>
      </c>
      <c r="E989">
        <v>1</v>
      </c>
      <c r="F989" t="s">
        <v>25021</v>
      </c>
      <c r="G989">
        <v>3977</v>
      </c>
      <c r="H989" t="s">
        <v>23375</v>
      </c>
      <c r="I989" t="s">
        <v>57</v>
      </c>
      <c r="J989">
        <v>3939869</v>
      </c>
      <c r="K989">
        <v>3941803</v>
      </c>
      <c r="L989" t="s">
        <v>23165</v>
      </c>
      <c r="M989">
        <v>645</v>
      </c>
      <c r="N989" t="s">
        <v>15618</v>
      </c>
      <c r="O989">
        <v>43</v>
      </c>
      <c r="P989" t="str">
        <f>HYPERLINK("Gene3977-zp_tree_all.dnd", "Gene3977-tree")</f>
        <v>Gene3977-tree</v>
      </c>
      <c r="Q989">
        <v>2</v>
      </c>
      <c r="R989">
        <v>15</v>
      </c>
      <c r="S989">
        <v>2</v>
      </c>
      <c r="T989">
        <v>15</v>
      </c>
      <c r="U989">
        <v>0.88234999999999997</v>
      </c>
      <c r="V989" t="s">
        <v>81</v>
      </c>
      <c r="W989" t="s">
        <v>100</v>
      </c>
      <c r="X989" t="s">
        <v>62</v>
      </c>
      <c r="Y989" t="s">
        <v>62</v>
      </c>
      <c r="Z989">
        <v>14</v>
      </c>
      <c r="AA989">
        <v>40</v>
      </c>
      <c r="AB989">
        <v>36</v>
      </c>
      <c r="AC989">
        <v>0.52632000000000001</v>
      </c>
      <c r="AD989" s="47">
        <v>0</v>
      </c>
      <c r="AE989" s="47">
        <v>0</v>
      </c>
      <c r="AF989" s="47">
        <v>0</v>
      </c>
      <c r="AG989" s="47">
        <v>0</v>
      </c>
      <c r="AH989" s="47">
        <v>0</v>
      </c>
      <c r="AI989" s="47">
        <v>17</v>
      </c>
      <c r="AJ989" s="47">
        <v>3</v>
      </c>
      <c r="AK989" s="47">
        <v>20</v>
      </c>
      <c r="AL989">
        <v>36</v>
      </c>
      <c r="AM989">
        <v>0.35714000000000001</v>
      </c>
      <c r="AN989">
        <v>15</v>
      </c>
      <c r="AO989">
        <v>14</v>
      </c>
      <c r="AP989">
        <v>61</v>
      </c>
      <c r="AQ989">
        <v>50</v>
      </c>
      <c r="AR989">
        <v>51</v>
      </c>
      <c r="AS989">
        <v>27</v>
      </c>
      <c r="AT989" t="s">
        <v>23376</v>
      </c>
      <c r="AU989" t="s">
        <v>23377</v>
      </c>
      <c r="AV989">
        <v>1.194</v>
      </c>
      <c r="AW989" t="s">
        <v>65</v>
      </c>
      <c r="AX989">
        <v>112</v>
      </c>
      <c r="AY989">
        <v>77</v>
      </c>
      <c r="AZ989" t="s">
        <v>23378</v>
      </c>
      <c r="BA989">
        <v>3.8179999999999999E-2</v>
      </c>
      <c r="BB989">
        <v>-8.8999999999999995E-4</v>
      </c>
      <c r="BC989">
        <v>7.6E-3</v>
      </c>
      <c r="BD989">
        <v>-2.2000000000000001E-4</v>
      </c>
      <c r="BE989">
        <v>0.19893</v>
      </c>
      <c r="BF989">
        <v>1</v>
      </c>
      <c r="BG989" t="s">
        <v>69</v>
      </c>
      <c r="BH989">
        <v>-0.80600000000000005</v>
      </c>
      <c r="BI989">
        <v>-1.8080000000000001</v>
      </c>
    </row>
    <row r="990" spans="3:61">
      <c r="C990">
        <v>0</v>
      </c>
      <c r="D990">
        <v>5</v>
      </c>
      <c r="E990">
        <v>0</v>
      </c>
      <c r="F990" t="s">
        <v>25021</v>
      </c>
      <c r="G990">
        <v>806</v>
      </c>
      <c r="H990" t="s">
        <v>5013</v>
      </c>
      <c r="I990" t="s">
        <v>62</v>
      </c>
      <c r="J990">
        <v>842050</v>
      </c>
      <c r="K990">
        <v>843996</v>
      </c>
      <c r="L990" t="s">
        <v>5014</v>
      </c>
      <c r="M990">
        <v>649</v>
      </c>
      <c r="N990" t="s">
        <v>59</v>
      </c>
      <c r="O990">
        <v>49</v>
      </c>
      <c r="P990" t="str">
        <f>HYPERLINK("Gene806-zp_tree_all.dnd", "Gene806-tree")</f>
        <v>Gene806-tree</v>
      </c>
      <c r="Q990">
        <v>15</v>
      </c>
      <c r="R990">
        <v>4</v>
      </c>
      <c r="S990">
        <v>15</v>
      </c>
      <c r="T990">
        <v>4</v>
      </c>
      <c r="U990">
        <v>0.21052999999999999</v>
      </c>
      <c r="V990" t="s">
        <v>100</v>
      </c>
      <c r="W990" t="s">
        <v>61</v>
      </c>
      <c r="X990" t="s">
        <v>62</v>
      </c>
      <c r="Y990" t="s">
        <v>62</v>
      </c>
      <c r="Z990">
        <v>2</v>
      </c>
      <c r="AA990">
        <v>5</v>
      </c>
      <c r="AB990">
        <v>20</v>
      </c>
      <c r="AC990">
        <v>0.2</v>
      </c>
      <c r="AD990" s="47">
        <v>0</v>
      </c>
      <c r="AE990" s="47">
        <v>0</v>
      </c>
      <c r="AF990" s="47">
        <v>0</v>
      </c>
      <c r="AG990" s="47">
        <v>0</v>
      </c>
      <c r="AH990" s="47">
        <v>0</v>
      </c>
      <c r="AI990" s="47">
        <v>0</v>
      </c>
      <c r="AJ990" s="47">
        <v>0</v>
      </c>
      <c r="AK990" s="47">
        <v>0</v>
      </c>
      <c r="AL990">
        <v>5</v>
      </c>
      <c r="AM990">
        <v>0</v>
      </c>
      <c r="AN990">
        <v>17</v>
      </c>
      <c r="AO990">
        <v>14</v>
      </c>
      <c r="AP990">
        <v>77</v>
      </c>
      <c r="AQ990">
        <v>6</v>
      </c>
      <c r="AR990">
        <v>120</v>
      </c>
      <c r="AS990">
        <v>21</v>
      </c>
      <c r="AT990" t="s">
        <v>5015</v>
      </c>
      <c r="AU990" t="s">
        <v>5016</v>
      </c>
      <c r="AV990">
        <v>0.41299999999999998</v>
      </c>
      <c r="AW990" t="s">
        <v>65</v>
      </c>
      <c r="AX990">
        <v>197</v>
      </c>
      <c r="AY990">
        <v>27</v>
      </c>
      <c r="AZ990" t="s">
        <v>5017</v>
      </c>
      <c r="BA990">
        <v>9.5229999999999995E-2</v>
      </c>
      <c r="BB990">
        <v>-5.9899999999999997E-3</v>
      </c>
      <c r="BC990">
        <v>4.47E-3</v>
      </c>
      <c r="BD990">
        <v>-3.3E-4</v>
      </c>
      <c r="BE990">
        <v>4.6960000000000002E-2</v>
      </c>
      <c r="BF990">
        <v>1</v>
      </c>
      <c r="BG990" t="s">
        <v>69</v>
      </c>
      <c r="BH990">
        <v>-1.1399999999999999</v>
      </c>
      <c r="BI990">
        <v>-2.1999999999999999E-2</v>
      </c>
    </row>
    <row r="991" spans="3:61">
      <c r="C991">
        <v>0</v>
      </c>
      <c r="D991">
        <v>12</v>
      </c>
      <c r="E991">
        <v>10</v>
      </c>
      <c r="F991" t="s">
        <v>25021</v>
      </c>
      <c r="G991">
        <v>717</v>
      </c>
      <c r="H991" t="s">
        <v>4438</v>
      </c>
      <c r="I991" t="s">
        <v>62</v>
      </c>
      <c r="J991">
        <v>747557</v>
      </c>
      <c r="K991">
        <v>749563</v>
      </c>
      <c r="L991" t="s">
        <v>4439</v>
      </c>
      <c r="M991">
        <v>669</v>
      </c>
      <c r="N991" t="s">
        <v>4440</v>
      </c>
      <c r="O991">
        <v>28</v>
      </c>
      <c r="P991" t="str">
        <f>HYPERLINK("Gene717-zp_tree_all.dnd", "Gene717-tree")</f>
        <v>Gene717-tree</v>
      </c>
      <c r="Q991">
        <v>0</v>
      </c>
      <c r="R991">
        <v>8</v>
      </c>
      <c r="S991">
        <v>0</v>
      </c>
      <c r="T991">
        <v>8</v>
      </c>
      <c r="U991">
        <v>1</v>
      </c>
      <c r="V991" t="s">
        <v>62</v>
      </c>
      <c r="W991" t="s">
        <v>136</v>
      </c>
      <c r="X991" t="s">
        <v>62</v>
      </c>
      <c r="Y991" t="s">
        <v>62</v>
      </c>
      <c r="Z991">
        <v>11</v>
      </c>
      <c r="AA991">
        <v>22</v>
      </c>
      <c r="AB991">
        <v>36</v>
      </c>
      <c r="AC991">
        <v>0.37930999999999998</v>
      </c>
      <c r="AD991" s="47">
        <v>0</v>
      </c>
      <c r="AE991" s="47">
        <v>0</v>
      </c>
      <c r="AF991" s="47">
        <v>0</v>
      </c>
      <c r="AG991" s="47">
        <v>0</v>
      </c>
      <c r="AH991" s="47">
        <v>0</v>
      </c>
      <c r="AI991" s="47">
        <v>4</v>
      </c>
      <c r="AJ991" s="47">
        <v>2</v>
      </c>
      <c r="AK991" s="47">
        <v>6</v>
      </c>
      <c r="AL991">
        <v>30</v>
      </c>
      <c r="AM991">
        <v>0.16667000000000001</v>
      </c>
      <c r="AN991">
        <v>7</v>
      </c>
      <c r="AO991">
        <v>5</v>
      </c>
      <c r="AP991">
        <v>134</v>
      </c>
      <c r="AQ991">
        <v>33</v>
      </c>
      <c r="AR991">
        <v>80</v>
      </c>
      <c r="AS991">
        <v>30</v>
      </c>
      <c r="AT991" t="s">
        <v>4441</v>
      </c>
      <c r="AU991" t="s">
        <v>4442</v>
      </c>
      <c r="AV991">
        <v>1.046</v>
      </c>
      <c r="AW991" t="s">
        <v>65</v>
      </c>
      <c r="AX991">
        <v>214</v>
      </c>
      <c r="AY991">
        <v>63</v>
      </c>
      <c r="AZ991" t="s">
        <v>4443</v>
      </c>
      <c r="BA991">
        <v>0.14873</v>
      </c>
      <c r="BB991">
        <v>-8.1399999999999997E-3</v>
      </c>
      <c r="BC991">
        <v>1.3559999999999999E-2</v>
      </c>
      <c r="BD991">
        <v>-1.1999999999999999E-3</v>
      </c>
      <c r="BE991">
        <v>9.1139999999999999E-2</v>
      </c>
      <c r="BF991">
        <v>1</v>
      </c>
      <c r="BG991" t="s">
        <v>69</v>
      </c>
      <c r="BH991">
        <v>-0.318</v>
      </c>
      <c r="BI991">
        <v>-1.2470000000000001</v>
      </c>
    </row>
    <row r="992" spans="3:61">
      <c r="C992">
        <v>0</v>
      </c>
      <c r="D992">
        <v>25</v>
      </c>
      <c r="E992">
        <v>2</v>
      </c>
      <c r="F992" t="s">
        <v>25021</v>
      </c>
      <c r="G992">
        <v>1926</v>
      </c>
      <c r="H992" t="s">
        <v>12070</v>
      </c>
      <c r="I992" t="s">
        <v>57</v>
      </c>
      <c r="J992">
        <v>2025400</v>
      </c>
      <c r="K992">
        <v>2027439</v>
      </c>
      <c r="L992" t="s">
        <v>12071</v>
      </c>
      <c r="M992">
        <v>680</v>
      </c>
      <c r="N992" t="s">
        <v>12072</v>
      </c>
      <c r="O992">
        <v>35</v>
      </c>
      <c r="P992" t="str">
        <f>HYPERLINK("Gene1926-zp_tree_all.dnd", "Gene1926-tree")</f>
        <v>Gene1926-tree</v>
      </c>
      <c r="Q992">
        <v>2</v>
      </c>
      <c r="R992">
        <v>11</v>
      </c>
      <c r="S992">
        <v>2</v>
      </c>
      <c r="T992">
        <v>11</v>
      </c>
      <c r="U992">
        <v>0.84614999999999996</v>
      </c>
      <c r="V992" t="s">
        <v>81</v>
      </c>
      <c r="W992" t="s">
        <v>73</v>
      </c>
      <c r="X992">
        <v>515075683.63</v>
      </c>
      <c r="Y992" t="s">
        <v>267</v>
      </c>
      <c r="Z992">
        <v>11</v>
      </c>
      <c r="AA992">
        <v>27</v>
      </c>
      <c r="AB992">
        <v>30</v>
      </c>
      <c r="AC992">
        <v>0.47367999999999999</v>
      </c>
      <c r="AD992" s="47">
        <v>0</v>
      </c>
      <c r="AE992" s="47">
        <v>0</v>
      </c>
      <c r="AF992" s="47">
        <v>0</v>
      </c>
      <c r="AG992" s="47">
        <v>0</v>
      </c>
      <c r="AH992" s="47">
        <v>0</v>
      </c>
      <c r="AI992" s="47">
        <v>11</v>
      </c>
      <c r="AJ992" s="47">
        <v>0</v>
      </c>
      <c r="AK992" s="47">
        <v>11</v>
      </c>
      <c r="AL992">
        <v>30</v>
      </c>
      <c r="AM992">
        <v>0.26828999999999997</v>
      </c>
      <c r="AN992">
        <v>13</v>
      </c>
      <c r="AO992">
        <v>10</v>
      </c>
      <c r="AP992">
        <v>98</v>
      </c>
      <c r="AQ992">
        <v>42</v>
      </c>
      <c r="AR992">
        <v>51</v>
      </c>
      <c r="AS992">
        <v>16</v>
      </c>
      <c r="AT992" t="s">
        <v>12073</v>
      </c>
      <c r="AU992" t="s">
        <v>12074</v>
      </c>
      <c r="AV992">
        <v>0.35099999999999998</v>
      </c>
      <c r="AW992" t="s">
        <v>65</v>
      </c>
      <c r="AX992">
        <v>149</v>
      </c>
      <c r="AY992">
        <v>58</v>
      </c>
      <c r="AZ992" t="s">
        <v>12075</v>
      </c>
      <c r="BA992">
        <v>5.774E-2</v>
      </c>
      <c r="BB992">
        <v>-3.4099999999999998E-3</v>
      </c>
      <c r="BC992">
        <v>6.7600000000000004E-3</v>
      </c>
      <c r="BD992">
        <v>-2.7999999999999998E-4</v>
      </c>
      <c r="BE992">
        <v>0.11700000000000001</v>
      </c>
      <c r="BF992">
        <v>1</v>
      </c>
      <c r="BG992" t="s">
        <v>69</v>
      </c>
      <c r="BH992">
        <v>-1.169</v>
      </c>
      <c r="BI992">
        <v>-1.889</v>
      </c>
    </row>
    <row r="993" spans="3:61">
      <c r="C993">
        <v>0</v>
      </c>
      <c r="D993">
        <v>51</v>
      </c>
      <c r="E993">
        <v>7</v>
      </c>
      <c r="F993" t="s">
        <v>25021</v>
      </c>
      <c r="G993">
        <v>4195</v>
      </c>
      <c r="H993" t="s">
        <v>24701</v>
      </c>
      <c r="I993" t="s">
        <v>57</v>
      </c>
      <c r="J993">
        <v>4161103</v>
      </c>
      <c r="K993">
        <v>4163157</v>
      </c>
      <c r="L993" t="s">
        <v>24702</v>
      </c>
      <c r="M993">
        <v>685</v>
      </c>
      <c r="N993" t="s">
        <v>108</v>
      </c>
      <c r="O993">
        <v>44</v>
      </c>
      <c r="P993" t="str">
        <f>HYPERLINK("Gene4195-zp_tree_all.dnd", "Gene4195-tree")</f>
        <v>Gene4195-tree</v>
      </c>
      <c r="Q993">
        <v>2</v>
      </c>
      <c r="R993">
        <v>14</v>
      </c>
      <c r="S993">
        <v>2</v>
      </c>
      <c r="T993">
        <v>14</v>
      </c>
      <c r="U993">
        <v>0.875</v>
      </c>
      <c r="V993" t="s">
        <v>81</v>
      </c>
      <c r="W993" t="s">
        <v>543</v>
      </c>
      <c r="X993">
        <v>860908720.12699997</v>
      </c>
      <c r="Y993" t="s">
        <v>267</v>
      </c>
      <c r="Z993">
        <v>24</v>
      </c>
      <c r="AA993">
        <v>58</v>
      </c>
      <c r="AB993">
        <v>53</v>
      </c>
      <c r="AC993">
        <v>0.52251999999999998</v>
      </c>
      <c r="AD993" s="47">
        <v>0</v>
      </c>
      <c r="AE993" s="47">
        <v>0</v>
      </c>
      <c r="AF993" s="47">
        <v>0</v>
      </c>
      <c r="AG993" s="47">
        <v>6</v>
      </c>
      <c r="AH993" s="47">
        <v>0</v>
      </c>
      <c r="AI993" s="47">
        <v>13</v>
      </c>
      <c r="AJ993" s="47">
        <v>6</v>
      </c>
      <c r="AK993" s="47">
        <v>19</v>
      </c>
      <c r="AL993">
        <v>49</v>
      </c>
      <c r="AM993">
        <v>0.27940999999999999</v>
      </c>
      <c r="AN993">
        <v>15</v>
      </c>
      <c r="AO993">
        <v>13</v>
      </c>
      <c r="AP993">
        <v>106</v>
      </c>
      <c r="AQ993">
        <v>69</v>
      </c>
      <c r="AR993">
        <v>71</v>
      </c>
      <c r="AS993">
        <v>43</v>
      </c>
      <c r="AT993" t="s">
        <v>24703</v>
      </c>
      <c r="AU993" t="s">
        <v>24704</v>
      </c>
      <c r="AV993">
        <v>0.31</v>
      </c>
      <c r="AW993" t="s">
        <v>65</v>
      </c>
      <c r="AX993">
        <v>177</v>
      </c>
      <c r="AY993">
        <v>112</v>
      </c>
      <c r="AZ993" t="s">
        <v>24705</v>
      </c>
      <c r="BA993">
        <v>5.5399999999999998E-2</v>
      </c>
      <c r="BB993">
        <v>-1.34E-3</v>
      </c>
      <c r="BC993">
        <v>1.217E-2</v>
      </c>
      <c r="BD993">
        <v>-3.4000000000000002E-4</v>
      </c>
      <c r="BE993">
        <v>0.21972</v>
      </c>
      <c r="BF993">
        <v>1</v>
      </c>
      <c r="BG993" t="s">
        <v>69</v>
      </c>
      <c r="BH993">
        <v>-0.49199999999999999</v>
      </c>
      <c r="BI993">
        <v>-0.56999999999999995</v>
      </c>
    </row>
    <row r="994" spans="3:61">
      <c r="C994">
        <v>0</v>
      </c>
      <c r="D994">
        <v>35</v>
      </c>
      <c r="E994">
        <v>3</v>
      </c>
      <c r="F994" t="s">
        <v>25021</v>
      </c>
      <c r="G994">
        <v>4233</v>
      </c>
      <c r="H994" t="s">
        <v>24859</v>
      </c>
      <c r="I994" t="s">
        <v>57</v>
      </c>
      <c r="J994">
        <v>4191198</v>
      </c>
      <c r="K994">
        <v>4193264</v>
      </c>
      <c r="L994" t="s">
        <v>288</v>
      </c>
      <c r="M994">
        <v>689</v>
      </c>
      <c r="N994" t="s">
        <v>2513</v>
      </c>
      <c r="O994">
        <v>43</v>
      </c>
      <c r="P994" t="str">
        <f>HYPERLINK("Gene4233-zp_tree_all.dnd", "Gene4233-tree")</f>
        <v>Gene4233-tree</v>
      </c>
      <c r="Q994">
        <v>0</v>
      </c>
      <c r="R994">
        <v>16</v>
      </c>
      <c r="S994">
        <v>0</v>
      </c>
      <c r="T994">
        <v>16</v>
      </c>
      <c r="U994">
        <v>1</v>
      </c>
      <c r="V994" t="s">
        <v>62</v>
      </c>
      <c r="W994" t="s">
        <v>60</v>
      </c>
      <c r="X994" t="s">
        <v>62</v>
      </c>
      <c r="Y994" t="s">
        <v>62</v>
      </c>
      <c r="Z994">
        <v>13</v>
      </c>
      <c r="AA994">
        <v>38</v>
      </c>
      <c r="AB994">
        <v>43</v>
      </c>
      <c r="AC994">
        <v>0.46914</v>
      </c>
      <c r="AD994" s="47">
        <v>0</v>
      </c>
      <c r="AE994" s="47">
        <v>0</v>
      </c>
      <c r="AF994" s="47">
        <v>0</v>
      </c>
      <c r="AG994" s="47">
        <v>0</v>
      </c>
      <c r="AH994" s="47">
        <v>0</v>
      </c>
      <c r="AI994" s="47">
        <v>10</v>
      </c>
      <c r="AJ994" s="47">
        <v>3</v>
      </c>
      <c r="AK994" s="47">
        <v>13</v>
      </c>
      <c r="AL994">
        <v>42</v>
      </c>
      <c r="AM994">
        <v>0.23635999999999999</v>
      </c>
      <c r="AN994">
        <v>13</v>
      </c>
      <c r="AO994">
        <v>13</v>
      </c>
      <c r="AP994">
        <v>155</v>
      </c>
      <c r="AQ994">
        <v>48</v>
      </c>
      <c r="AR994">
        <v>142</v>
      </c>
      <c r="AS994">
        <v>47</v>
      </c>
      <c r="AT994" t="s">
        <v>24860</v>
      </c>
      <c r="AU994" t="s">
        <v>24861</v>
      </c>
      <c r="AV994">
        <v>0.13900000000000001</v>
      </c>
      <c r="AW994" t="s">
        <v>65</v>
      </c>
      <c r="AX994">
        <v>297</v>
      </c>
      <c r="AY994">
        <v>95</v>
      </c>
      <c r="AZ994" t="s">
        <v>24862</v>
      </c>
      <c r="BA994">
        <v>0.10566</v>
      </c>
      <c r="BB994">
        <v>-3.0500000000000002E-3</v>
      </c>
      <c r="BC994">
        <v>9.8899999999999995E-3</v>
      </c>
      <c r="BD994">
        <v>-4.0000000000000002E-4</v>
      </c>
      <c r="BE994">
        <v>9.3560000000000004E-2</v>
      </c>
      <c r="BF994">
        <v>1</v>
      </c>
      <c r="BG994" t="s">
        <v>69</v>
      </c>
      <c r="BH994">
        <v>0.50900000000000001</v>
      </c>
      <c r="BI994">
        <v>-8.7999999999999995E-2</v>
      </c>
    </row>
    <row r="995" spans="3:61">
      <c r="C995">
        <v>0</v>
      </c>
      <c r="D995">
        <v>8</v>
      </c>
      <c r="E995">
        <v>1</v>
      </c>
      <c r="F995" t="s">
        <v>25021</v>
      </c>
      <c r="G995">
        <v>3887</v>
      </c>
      <c r="H995" t="s">
        <v>22790</v>
      </c>
      <c r="I995" t="s">
        <v>57</v>
      </c>
      <c r="J995">
        <v>3849818</v>
      </c>
      <c r="K995">
        <v>3851890</v>
      </c>
      <c r="L995" t="s">
        <v>22791</v>
      </c>
      <c r="M995">
        <v>691</v>
      </c>
      <c r="N995" t="s">
        <v>108</v>
      </c>
      <c r="O995">
        <v>44</v>
      </c>
      <c r="P995" t="str">
        <f>HYPERLINK("Gene3887-zp_tree_all.dnd", "Gene3887-tree")</f>
        <v>Gene3887-tree</v>
      </c>
      <c r="Q995">
        <v>5</v>
      </c>
      <c r="R995">
        <v>30</v>
      </c>
      <c r="S995">
        <v>5</v>
      </c>
      <c r="T995">
        <v>11</v>
      </c>
      <c r="U995">
        <v>0.6875</v>
      </c>
      <c r="V995" t="s">
        <v>199</v>
      </c>
      <c r="W995" t="s">
        <v>89</v>
      </c>
      <c r="X995">
        <v>2.3439999999999999</v>
      </c>
      <c r="Y995" t="s">
        <v>65</v>
      </c>
      <c r="Z995">
        <v>3</v>
      </c>
      <c r="AA995">
        <v>9</v>
      </c>
      <c r="AB995">
        <v>17</v>
      </c>
      <c r="AC995">
        <v>0.34615000000000001</v>
      </c>
      <c r="AD995" s="47">
        <v>0</v>
      </c>
      <c r="AE995" s="47">
        <v>0</v>
      </c>
      <c r="AF995" s="47">
        <v>0</v>
      </c>
      <c r="AG995" s="47">
        <v>0</v>
      </c>
      <c r="AH995" s="47">
        <v>0</v>
      </c>
      <c r="AI995" s="47">
        <v>5</v>
      </c>
      <c r="AJ995" s="47">
        <v>0</v>
      </c>
      <c r="AK995" s="47">
        <v>5</v>
      </c>
      <c r="AL995">
        <v>15</v>
      </c>
      <c r="AM995">
        <v>0.25</v>
      </c>
      <c r="AN995">
        <v>16</v>
      </c>
      <c r="AO995">
        <v>12</v>
      </c>
      <c r="AP995">
        <v>115</v>
      </c>
      <c r="AQ995">
        <v>20</v>
      </c>
      <c r="AR995">
        <v>54</v>
      </c>
      <c r="AS995">
        <v>6</v>
      </c>
      <c r="AT995" t="s">
        <v>22792</v>
      </c>
      <c r="AU995" t="s">
        <v>22793</v>
      </c>
      <c r="AV995">
        <v>0.67500000000000004</v>
      </c>
      <c r="AW995" t="s">
        <v>65</v>
      </c>
      <c r="AX995">
        <v>169</v>
      </c>
      <c r="AY995">
        <v>26</v>
      </c>
      <c r="AZ995" t="s">
        <v>22794</v>
      </c>
      <c r="BA995">
        <v>5.0999999999999997E-2</v>
      </c>
      <c r="BB995">
        <v>-1.5299999999999999E-3</v>
      </c>
      <c r="BC995">
        <v>2.1800000000000001E-3</v>
      </c>
      <c r="BD995">
        <v>-1.1E-4</v>
      </c>
      <c r="BE995">
        <v>4.267E-2</v>
      </c>
      <c r="BF995">
        <v>1</v>
      </c>
      <c r="BG995" t="s">
        <v>69</v>
      </c>
      <c r="BH995">
        <v>-1.0229999999999999</v>
      </c>
      <c r="BI995">
        <v>-1.2110000000000001</v>
      </c>
    </row>
    <row r="996" spans="3:61">
      <c r="C996">
        <v>0</v>
      </c>
      <c r="D996">
        <v>12</v>
      </c>
      <c r="E996">
        <v>1</v>
      </c>
      <c r="F996" t="s">
        <v>25021</v>
      </c>
      <c r="G996">
        <v>1422</v>
      </c>
      <c r="H996" t="s">
        <v>8906</v>
      </c>
      <c r="I996" t="s">
        <v>62</v>
      </c>
      <c r="J996">
        <v>1435631</v>
      </c>
      <c r="K996">
        <v>1437727</v>
      </c>
      <c r="L996" t="s">
        <v>8907</v>
      </c>
      <c r="M996">
        <v>699</v>
      </c>
      <c r="N996" t="s">
        <v>108</v>
      </c>
      <c r="O996">
        <v>44</v>
      </c>
      <c r="P996" t="str">
        <f>HYPERLINK("Gene1422-zp_tree_all.dnd", "Gene1422-tree")</f>
        <v>Gene1422-tree</v>
      </c>
      <c r="Q996">
        <v>7</v>
      </c>
      <c r="R996">
        <v>8</v>
      </c>
      <c r="S996">
        <v>7</v>
      </c>
      <c r="T996">
        <v>8</v>
      </c>
      <c r="U996">
        <v>0.53332999999999997</v>
      </c>
      <c r="V996" t="s">
        <v>152</v>
      </c>
      <c r="W996" t="s">
        <v>136</v>
      </c>
      <c r="X996" t="s">
        <v>62</v>
      </c>
      <c r="Y996" t="s">
        <v>62</v>
      </c>
      <c r="Z996">
        <v>6</v>
      </c>
      <c r="AA996">
        <v>13</v>
      </c>
      <c r="AB996">
        <v>10</v>
      </c>
      <c r="AC996">
        <v>0.56521999999999994</v>
      </c>
      <c r="AD996" s="47">
        <v>0</v>
      </c>
      <c r="AE996" s="47">
        <v>0</v>
      </c>
      <c r="AF996" s="47">
        <v>0</v>
      </c>
      <c r="AG996" s="47">
        <v>0</v>
      </c>
      <c r="AH996" s="47">
        <v>0</v>
      </c>
      <c r="AI996" s="47">
        <v>6</v>
      </c>
      <c r="AJ996" s="47">
        <v>0</v>
      </c>
      <c r="AK996" s="47">
        <v>6</v>
      </c>
      <c r="AL996">
        <v>13</v>
      </c>
      <c r="AM996">
        <v>0.31579000000000002</v>
      </c>
      <c r="AN996">
        <v>15</v>
      </c>
      <c r="AO996">
        <v>11</v>
      </c>
      <c r="AP996">
        <v>79</v>
      </c>
      <c r="AQ996">
        <v>19</v>
      </c>
      <c r="AR996">
        <v>37</v>
      </c>
      <c r="AS996">
        <v>4</v>
      </c>
      <c r="AT996" t="s">
        <v>8908</v>
      </c>
      <c r="AU996" t="s">
        <v>8909</v>
      </c>
      <c r="AV996">
        <v>0.67500000000000004</v>
      </c>
      <c r="AW996" t="s">
        <v>65</v>
      </c>
      <c r="AX996">
        <v>116</v>
      </c>
      <c r="AY996">
        <v>23</v>
      </c>
      <c r="AZ996" t="s">
        <v>8910</v>
      </c>
      <c r="BA996">
        <v>4.1549999999999997E-2</v>
      </c>
      <c r="BB996">
        <v>-1.5499999999999999E-3</v>
      </c>
      <c r="BC996">
        <v>2.1099999999999999E-3</v>
      </c>
      <c r="BD996">
        <v>-1.2999999999999999E-4</v>
      </c>
      <c r="BE996">
        <v>5.0900000000000001E-2</v>
      </c>
      <c r="BF996">
        <v>1</v>
      </c>
      <c r="BG996" t="s">
        <v>69</v>
      </c>
      <c r="BH996">
        <v>-0.67600000000000005</v>
      </c>
      <c r="BI996">
        <v>-2.2120000000000002</v>
      </c>
    </row>
    <row r="997" spans="3:61">
      <c r="C997">
        <v>0</v>
      </c>
      <c r="D997">
        <v>45</v>
      </c>
      <c r="E997">
        <v>4</v>
      </c>
      <c r="F997" t="s">
        <v>25021</v>
      </c>
      <c r="G997">
        <v>332</v>
      </c>
      <c r="H997" t="s">
        <v>2266</v>
      </c>
      <c r="I997" t="s">
        <v>62</v>
      </c>
      <c r="J997">
        <v>358306</v>
      </c>
      <c r="K997">
        <v>360435</v>
      </c>
      <c r="L997" t="s">
        <v>2267</v>
      </c>
      <c r="M997">
        <v>710</v>
      </c>
      <c r="N997" t="s">
        <v>108</v>
      </c>
      <c r="O997">
        <v>44</v>
      </c>
      <c r="P997" t="str">
        <f>HYPERLINK("Gene332-zp_tree_all.dnd", "Gene332-tree")</f>
        <v>Gene332-tree</v>
      </c>
      <c r="Q997">
        <v>0</v>
      </c>
      <c r="R997">
        <v>17</v>
      </c>
      <c r="S997">
        <v>0</v>
      </c>
      <c r="T997">
        <v>17</v>
      </c>
      <c r="U997">
        <v>1</v>
      </c>
      <c r="V997" t="s">
        <v>62</v>
      </c>
      <c r="W997" t="s">
        <v>266</v>
      </c>
      <c r="X997">
        <v>69600344.844999999</v>
      </c>
      <c r="Y997" t="s">
        <v>65</v>
      </c>
      <c r="Z997">
        <v>16</v>
      </c>
      <c r="AA997">
        <v>49</v>
      </c>
      <c r="AB997">
        <v>39</v>
      </c>
      <c r="AC997">
        <v>0.55681999999999998</v>
      </c>
      <c r="AD997" s="47">
        <v>0</v>
      </c>
      <c r="AE997" s="47">
        <v>0</v>
      </c>
      <c r="AF997" s="47">
        <v>0</v>
      </c>
      <c r="AG997" s="47">
        <v>0</v>
      </c>
      <c r="AH997" s="47">
        <v>0</v>
      </c>
      <c r="AI997" s="47">
        <v>17</v>
      </c>
      <c r="AJ997" s="47">
        <v>1</v>
      </c>
      <c r="AK997" s="47">
        <v>18</v>
      </c>
      <c r="AL997">
        <v>36</v>
      </c>
      <c r="AM997">
        <v>0.33333000000000002</v>
      </c>
      <c r="AN997">
        <v>16</v>
      </c>
      <c r="AO997">
        <v>14</v>
      </c>
      <c r="AP997">
        <v>141</v>
      </c>
      <c r="AQ997">
        <v>54</v>
      </c>
      <c r="AR997">
        <v>109</v>
      </c>
      <c r="AS997">
        <v>37</v>
      </c>
      <c r="AT997" t="s">
        <v>2268</v>
      </c>
      <c r="AU997" t="s">
        <v>2269</v>
      </c>
      <c r="AV997">
        <v>0.214</v>
      </c>
      <c r="AW997" t="s">
        <v>65</v>
      </c>
      <c r="AX997">
        <v>250</v>
      </c>
      <c r="AY997">
        <v>91</v>
      </c>
      <c r="AZ997" t="s">
        <v>2270</v>
      </c>
      <c r="BA997">
        <v>8.5699999999999998E-2</v>
      </c>
      <c r="BB997">
        <v>-2.5500000000000002E-3</v>
      </c>
      <c r="BC997">
        <v>8.3000000000000001E-3</v>
      </c>
      <c r="BD997">
        <v>-2.1000000000000001E-4</v>
      </c>
      <c r="BE997">
        <v>9.6869999999999998E-2</v>
      </c>
      <c r="BF997">
        <v>1</v>
      </c>
      <c r="BG997" t="s">
        <v>69</v>
      </c>
      <c r="BH997">
        <v>0.316</v>
      </c>
      <c r="BI997">
        <v>-0.29699999999999999</v>
      </c>
    </row>
    <row r="998" spans="3:61">
      <c r="C998">
        <v>0</v>
      </c>
      <c r="D998">
        <v>4</v>
      </c>
      <c r="E998">
        <v>0</v>
      </c>
      <c r="F998" t="s">
        <v>25021</v>
      </c>
      <c r="G998">
        <v>220</v>
      </c>
      <c r="H998" t="s">
        <v>1486</v>
      </c>
      <c r="I998" t="s">
        <v>62</v>
      </c>
      <c r="J998">
        <v>239647</v>
      </c>
      <c r="K998">
        <v>241842</v>
      </c>
      <c r="L998" t="s">
        <v>1487</v>
      </c>
      <c r="M998">
        <v>732</v>
      </c>
      <c r="N998" t="s">
        <v>1488</v>
      </c>
      <c r="O998">
        <v>30</v>
      </c>
      <c r="P998" t="str">
        <f>HYPERLINK("Gene220-zp_tree_all.dnd", "Gene220-tree")</f>
        <v>Gene220-tree</v>
      </c>
      <c r="Q998">
        <v>3</v>
      </c>
      <c r="R998">
        <v>3</v>
      </c>
      <c r="S998">
        <v>3</v>
      </c>
      <c r="T998">
        <v>3</v>
      </c>
      <c r="U998">
        <v>0.5</v>
      </c>
      <c r="V998" t="s">
        <v>324</v>
      </c>
      <c r="W998" t="s">
        <v>324</v>
      </c>
      <c r="X998" t="s">
        <v>62</v>
      </c>
      <c r="Y998" t="s">
        <v>62</v>
      </c>
      <c r="Z998">
        <v>2</v>
      </c>
      <c r="AA998">
        <v>4</v>
      </c>
      <c r="AB998">
        <v>5</v>
      </c>
      <c r="AC998">
        <v>0.44444</v>
      </c>
      <c r="AD998" s="47">
        <v>0</v>
      </c>
      <c r="AE998" s="47">
        <v>0</v>
      </c>
      <c r="AF998" s="47">
        <v>0</v>
      </c>
      <c r="AG998" s="47">
        <v>0</v>
      </c>
      <c r="AH998" s="47">
        <v>0</v>
      </c>
      <c r="AI998" s="47">
        <v>0</v>
      </c>
      <c r="AJ998" s="47">
        <v>0</v>
      </c>
      <c r="AK998" s="47">
        <v>0</v>
      </c>
      <c r="AL998">
        <v>4</v>
      </c>
      <c r="AM998">
        <v>0</v>
      </c>
      <c r="AN998">
        <v>6</v>
      </c>
      <c r="AO998">
        <v>3</v>
      </c>
      <c r="AP998">
        <v>19</v>
      </c>
      <c r="AQ998">
        <v>4</v>
      </c>
      <c r="AR998">
        <v>10</v>
      </c>
      <c r="AS998">
        <v>5</v>
      </c>
      <c r="AT998" t="s">
        <v>1489</v>
      </c>
      <c r="AU998" t="s">
        <v>1490</v>
      </c>
      <c r="AV998">
        <v>1.7110000000000001</v>
      </c>
      <c r="AW998" t="s">
        <v>65</v>
      </c>
      <c r="AX998">
        <v>29</v>
      </c>
      <c r="AY998">
        <v>9</v>
      </c>
      <c r="AZ998" t="s">
        <v>1491</v>
      </c>
      <c r="BA998">
        <v>2.1270000000000001E-2</v>
      </c>
      <c r="BB998">
        <v>-1.91E-3</v>
      </c>
      <c r="BC998">
        <v>1.81E-3</v>
      </c>
      <c r="BD998">
        <v>-2.3000000000000001E-4</v>
      </c>
      <c r="BE998">
        <v>8.4889999999999993E-2</v>
      </c>
      <c r="BF998">
        <v>1</v>
      </c>
      <c r="BG998" t="s">
        <v>69</v>
      </c>
      <c r="BH998">
        <v>-2.8000000000000001E-2</v>
      </c>
      <c r="BI998">
        <v>-7.8E-2</v>
      </c>
    </row>
    <row r="999" spans="3:61">
      <c r="C999">
        <v>0</v>
      </c>
      <c r="D999">
        <v>6</v>
      </c>
      <c r="E999">
        <v>0</v>
      </c>
      <c r="F999" t="s">
        <v>25021</v>
      </c>
      <c r="G999">
        <v>1222</v>
      </c>
      <c r="H999" t="s">
        <v>7678</v>
      </c>
      <c r="I999" t="s">
        <v>62</v>
      </c>
      <c r="J999">
        <v>1253716</v>
      </c>
      <c r="K999">
        <v>1255992</v>
      </c>
      <c r="L999" t="s">
        <v>7679</v>
      </c>
      <c r="M999">
        <v>759</v>
      </c>
      <c r="N999" t="s">
        <v>108</v>
      </c>
      <c r="O999">
        <v>44</v>
      </c>
      <c r="P999" t="str">
        <f>HYPERLINK("Gene1222-zp_tree_all.dnd", "Gene1222-tree")</f>
        <v>Gene1222-tree</v>
      </c>
      <c r="Q999">
        <v>6</v>
      </c>
      <c r="R999">
        <v>8</v>
      </c>
      <c r="S999">
        <v>6</v>
      </c>
      <c r="T999">
        <v>8</v>
      </c>
      <c r="U999">
        <v>0.57142999999999999</v>
      </c>
      <c r="V999" t="s">
        <v>90</v>
      </c>
      <c r="W999" t="s">
        <v>136</v>
      </c>
      <c r="X999" t="s">
        <v>62</v>
      </c>
      <c r="Y999" t="s">
        <v>62</v>
      </c>
      <c r="Z999">
        <v>3</v>
      </c>
      <c r="AA999">
        <v>6</v>
      </c>
      <c r="AB999">
        <v>15</v>
      </c>
      <c r="AC999">
        <v>0.28571000000000002</v>
      </c>
      <c r="AD999" s="47">
        <v>0</v>
      </c>
      <c r="AE999" s="47">
        <v>0</v>
      </c>
      <c r="AF999" s="47">
        <v>0</v>
      </c>
      <c r="AG999" s="47">
        <v>0</v>
      </c>
      <c r="AH999" s="47">
        <v>0</v>
      </c>
      <c r="AI999" s="47">
        <v>2</v>
      </c>
      <c r="AJ999" s="47">
        <v>0</v>
      </c>
      <c r="AK999" s="47">
        <v>2</v>
      </c>
      <c r="AL999">
        <v>12</v>
      </c>
      <c r="AM999">
        <v>0.14285999999999999</v>
      </c>
      <c r="AN999">
        <v>14</v>
      </c>
      <c r="AO999">
        <v>11</v>
      </c>
      <c r="AP999">
        <v>72</v>
      </c>
      <c r="AQ999">
        <v>14</v>
      </c>
      <c r="AR999">
        <v>56</v>
      </c>
      <c r="AS999">
        <v>7</v>
      </c>
      <c r="AT999" t="s">
        <v>7680</v>
      </c>
      <c r="AU999" t="s">
        <v>7681</v>
      </c>
      <c r="AV999">
        <v>0.40799999999999997</v>
      </c>
      <c r="AW999" t="s">
        <v>65</v>
      </c>
      <c r="AX999">
        <v>128</v>
      </c>
      <c r="AY999">
        <v>21</v>
      </c>
      <c r="AZ999" t="s">
        <v>7682</v>
      </c>
      <c r="BA999">
        <v>4.4479999999999999E-2</v>
      </c>
      <c r="BB999">
        <v>-1.7700000000000001E-3</v>
      </c>
      <c r="BC999">
        <v>2.2599999999999999E-3</v>
      </c>
      <c r="BD999">
        <v>-1.1E-4</v>
      </c>
      <c r="BE999">
        <v>5.0799999999999998E-2</v>
      </c>
      <c r="BF999">
        <v>1</v>
      </c>
      <c r="BG999" t="s">
        <v>69</v>
      </c>
      <c r="BH999">
        <v>-0.74099999999999999</v>
      </c>
      <c r="BI999">
        <v>-1.0029999999999999</v>
      </c>
    </row>
    <row r="1000" spans="3:61">
      <c r="C1000">
        <v>0</v>
      </c>
      <c r="D1000">
        <v>8</v>
      </c>
      <c r="E1000">
        <v>0</v>
      </c>
      <c r="F1000" t="s">
        <v>25021</v>
      </c>
      <c r="G1000">
        <v>1369</v>
      </c>
      <c r="H1000" t="s">
        <v>8565</v>
      </c>
      <c r="I1000" t="s">
        <v>62</v>
      </c>
      <c r="J1000">
        <v>1383323</v>
      </c>
      <c r="K1000">
        <v>1385608</v>
      </c>
      <c r="L1000" t="s">
        <v>8566</v>
      </c>
      <c r="M1000">
        <v>762</v>
      </c>
      <c r="N1000" t="s">
        <v>108</v>
      </c>
      <c r="O1000">
        <v>44</v>
      </c>
      <c r="P1000" t="str">
        <f>HYPERLINK("Gene1369-zp_tree_all.dnd", "Gene1369-tree")</f>
        <v>Gene1369-tree</v>
      </c>
      <c r="Q1000">
        <v>5</v>
      </c>
      <c r="R1000">
        <v>12</v>
      </c>
      <c r="S1000">
        <v>5</v>
      </c>
      <c r="T1000">
        <v>12</v>
      </c>
      <c r="U1000">
        <v>0.70587999999999995</v>
      </c>
      <c r="V1000" t="s">
        <v>199</v>
      </c>
      <c r="W1000" t="s">
        <v>109</v>
      </c>
      <c r="X1000" t="s">
        <v>62</v>
      </c>
      <c r="Y1000" t="s">
        <v>62</v>
      </c>
      <c r="Z1000">
        <v>4</v>
      </c>
      <c r="AA1000">
        <v>8</v>
      </c>
      <c r="AB1000">
        <v>11</v>
      </c>
      <c r="AC1000">
        <v>0.42104999999999998</v>
      </c>
      <c r="AD1000" s="47">
        <v>0</v>
      </c>
      <c r="AE1000" s="47">
        <v>0</v>
      </c>
      <c r="AF1000" s="47">
        <v>0</v>
      </c>
      <c r="AG1000" s="47">
        <v>0</v>
      </c>
      <c r="AH1000" s="47">
        <v>0</v>
      </c>
      <c r="AI1000" s="47">
        <v>6</v>
      </c>
      <c r="AJ1000" s="47">
        <v>0</v>
      </c>
      <c r="AK1000" s="47">
        <v>6</v>
      </c>
      <c r="AL1000">
        <v>12</v>
      </c>
      <c r="AM1000">
        <v>0.33333000000000002</v>
      </c>
      <c r="AN1000">
        <v>14</v>
      </c>
      <c r="AO1000">
        <v>13</v>
      </c>
      <c r="AP1000">
        <v>81</v>
      </c>
      <c r="AQ1000">
        <v>16</v>
      </c>
      <c r="AR1000">
        <v>50</v>
      </c>
      <c r="AS1000">
        <v>3</v>
      </c>
      <c r="AT1000" t="s">
        <v>8567</v>
      </c>
      <c r="AU1000" t="s">
        <v>8568</v>
      </c>
      <c r="AV1000">
        <v>0.998</v>
      </c>
      <c r="AW1000" t="s">
        <v>65</v>
      </c>
      <c r="AX1000">
        <v>131</v>
      </c>
      <c r="AY1000">
        <v>19</v>
      </c>
      <c r="AZ1000" t="s">
        <v>8569</v>
      </c>
      <c r="BA1000">
        <v>3.9719999999999998E-2</v>
      </c>
      <c r="BB1000">
        <v>-1.33E-3</v>
      </c>
      <c r="BC1000">
        <v>1.4E-3</v>
      </c>
      <c r="BD1000">
        <v>-6.0000000000000002E-5</v>
      </c>
      <c r="BE1000">
        <v>3.517E-2</v>
      </c>
      <c r="BF1000">
        <v>1</v>
      </c>
      <c r="BG1000" t="s">
        <v>69</v>
      </c>
      <c r="BH1000">
        <v>-1.0780000000000001</v>
      </c>
      <c r="BI1000">
        <v>-1.0880000000000001</v>
      </c>
    </row>
    <row r="1001" spans="3:61">
      <c r="C1001">
        <v>0</v>
      </c>
      <c r="D1001">
        <v>73</v>
      </c>
      <c r="E1001">
        <v>6</v>
      </c>
      <c r="F1001" t="s">
        <v>25021</v>
      </c>
      <c r="G1001">
        <v>333</v>
      </c>
      <c r="H1001" t="s">
        <v>2273</v>
      </c>
      <c r="I1001" t="s">
        <v>62</v>
      </c>
      <c r="J1001">
        <v>360445</v>
      </c>
      <c r="K1001">
        <v>362757</v>
      </c>
      <c r="L1001" t="s">
        <v>2274</v>
      </c>
      <c r="M1001">
        <v>771</v>
      </c>
      <c r="N1001" t="s">
        <v>108</v>
      </c>
      <c r="O1001">
        <v>44</v>
      </c>
      <c r="P1001" t="str">
        <f>HYPERLINK("Gene333-zp_tree_all.dnd", "Gene333-tree")</f>
        <v>Gene333-tree</v>
      </c>
      <c r="Q1001">
        <v>3</v>
      </c>
      <c r="R1001">
        <v>13</v>
      </c>
      <c r="S1001">
        <v>3</v>
      </c>
      <c r="T1001">
        <v>13</v>
      </c>
      <c r="U1001">
        <v>0.8125</v>
      </c>
      <c r="V1001" t="s">
        <v>324</v>
      </c>
      <c r="W1001" t="s">
        <v>507</v>
      </c>
      <c r="X1001" t="s">
        <v>62</v>
      </c>
      <c r="Y1001" t="s">
        <v>62</v>
      </c>
      <c r="Z1001">
        <v>31</v>
      </c>
      <c r="AA1001">
        <v>79</v>
      </c>
      <c r="AB1001">
        <v>43</v>
      </c>
      <c r="AC1001">
        <v>0.64754</v>
      </c>
      <c r="AD1001" s="47">
        <v>0</v>
      </c>
      <c r="AE1001" s="47">
        <v>0</v>
      </c>
      <c r="AF1001" s="47">
        <v>0</v>
      </c>
      <c r="AG1001" s="47">
        <v>0</v>
      </c>
      <c r="AH1001" s="47">
        <v>0</v>
      </c>
      <c r="AI1001" s="47">
        <v>28</v>
      </c>
      <c r="AJ1001" s="47">
        <v>8</v>
      </c>
      <c r="AK1001" s="47">
        <v>36</v>
      </c>
      <c r="AL1001">
        <v>49</v>
      </c>
      <c r="AM1001">
        <v>0.42353000000000002</v>
      </c>
      <c r="AN1001">
        <v>14</v>
      </c>
      <c r="AO1001">
        <v>13</v>
      </c>
      <c r="AP1001">
        <v>87</v>
      </c>
      <c r="AQ1001">
        <v>85</v>
      </c>
      <c r="AR1001">
        <v>42</v>
      </c>
      <c r="AS1001">
        <v>37</v>
      </c>
      <c r="AT1001" t="s">
        <v>2275</v>
      </c>
      <c r="AU1001" t="s">
        <v>2276</v>
      </c>
      <c r="AV1001">
        <v>0.26300000000000001</v>
      </c>
      <c r="AW1001" t="s">
        <v>65</v>
      </c>
      <c r="AX1001">
        <v>129</v>
      </c>
      <c r="AY1001">
        <v>122</v>
      </c>
      <c r="AZ1001" t="s">
        <v>2277</v>
      </c>
      <c r="BA1001">
        <v>3.968E-2</v>
      </c>
      <c r="BB1001">
        <v>-1.5900000000000001E-3</v>
      </c>
      <c r="BC1001">
        <v>1.04E-2</v>
      </c>
      <c r="BD1001">
        <v>-3.8999999999999999E-4</v>
      </c>
      <c r="BE1001">
        <v>0.26201000000000002</v>
      </c>
      <c r="BF1001">
        <v>1</v>
      </c>
      <c r="BG1001" t="s">
        <v>69</v>
      </c>
      <c r="BH1001">
        <v>-0.92900000000000005</v>
      </c>
      <c r="BI1001">
        <v>-1.581</v>
      </c>
    </row>
    <row r="1002" spans="3:61">
      <c r="C1002">
        <v>2</v>
      </c>
      <c r="D1002">
        <v>22</v>
      </c>
      <c r="E1002">
        <v>5</v>
      </c>
      <c r="F1002" t="s">
        <v>25021</v>
      </c>
      <c r="G1002">
        <v>3130</v>
      </c>
      <c r="H1002" t="s">
        <v>18168</v>
      </c>
      <c r="I1002" t="s">
        <v>57</v>
      </c>
      <c r="J1002">
        <v>3083441</v>
      </c>
      <c r="K1002">
        <v>3085756</v>
      </c>
      <c r="L1002" t="s">
        <v>18169</v>
      </c>
      <c r="M1002">
        <v>772</v>
      </c>
      <c r="N1002" t="s">
        <v>2289</v>
      </c>
      <c r="O1002">
        <v>37</v>
      </c>
      <c r="P1002" t="str">
        <f>HYPERLINK("Gene3130-zp_tree_all.dnd", "Gene3130-tree")</f>
        <v>Gene3130-tree</v>
      </c>
      <c r="Q1002">
        <v>8</v>
      </c>
      <c r="R1002">
        <v>8</v>
      </c>
      <c r="S1002">
        <v>8</v>
      </c>
      <c r="T1002">
        <v>8</v>
      </c>
      <c r="U1002">
        <v>0.5</v>
      </c>
      <c r="V1002" t="s">
        <v>136</v>
      </c>
      <c r="W1002" t="s">
        <v>136</v>
      </c>
      <c r="X1002" t="s">
        <v>62</v>
      </c>
      <c r="Y1002" t="s">
        <v>62</v>
      </c>
      <c r="Z1002">
        <v>11</v>
      </c>
      <c r="AA1002">
        <v>29</v>
      </c>
      <c r="AB1002">
        <v>25</v>
      </c>
      <c r="AC1002">
        <v>0.53703999999999996</v>
      </c>
      <c r="AD1002" s="47">
        <v>0</v>
      </c>
      <c r="AE1002" s="47">
        <v>0</v>
      </c>
      <c r="AF1002" s="47">
        <v>0</v>
      </c>
      <c r="AG1002" s="47">
        <v>6</v>
      </c>
      <c r="AH1002" s="47">
        <v>0</v>
      </c>
      <c r="AI1002" s="47">
        <v>6</v>
      </c>
      <c r="AJ1002" s="47">
        <v>4</v>
      </c>
      <c r="AK1002" s="47">
        <v>10</v>
      </c>
      <c r="AL1002">
        <v>23</v>
      </c>
      <c r="AM1002">
        <v>0.30303000000000002</v>
      </c>
      <c r="AN1002">
        <v>13</v>
      </c>
      <c r="AO1002">
        <v>13</v>
      </c>
      <c r="AP1002">
        <v>124</v>
      </c>
      <c r="AQ1002">
        <v>34</v>
      </c>
      <c r="AR1002">
        <v>95</v>
      </c>
      <c r="AS1002">
        <v>21</v>
      </c>
      <c r="AT1002" t="s">
        <v>18170</v>
      </c>
      <c r="AU1002" t="s">
        <v>18171</v>
      </c>
      <c r="AV1002">
        <v>0.13</v>
      </c>
      <c r="AW1002" t="s">
        <v>65</v>
      </c>
      <c r="AX1002">
        <v>219</v>
      </c>
      <c r="AY1002">
        <v>55</v>
      </c>
      <c r="AZ1002" t="s">
        <v>18172</v>
      </c>
      <c r="BA1002">
        <v>8.0030000000000004E-2</v>
      </c>
      <c r="BB1002">
        <v>-3.7299999999999998E-3</v>
      </c>
      <c r="BC1002">
        <v>5.13E-3</v>
      </c>
      <c r="BD1002">
        <v>-2.3000000000000001E-4</v>
      </c>
      <c r="BE1002">
        <v>6.4140000000000003E-2</v>
      </c>
      <c r="BF1002">
        <v>1</v>
      </c>
      <c r="BG1002" t="s">
        <v>69</v>
      </c>
      <c r="BH1002">
        <v>-0.99</v>
      </c>
      <c r="BI1002">
        <v>-2.3109999999999999</v>
      </c>
    </row>
    <row r="1003" spans="3:61">
      <c r="C1003">
        <v>0</v>
      </c>
      <c r="D1003">
        <v>27</v>
      </c>
      <c r="E1003">
        <v>6</v>
      </c>
      <c r="F1003" t="s">
        <v>25021</v>
      </c>
      <c r="G1003">
        <v>1393</v>
      </c>
      <c r="H1003" t="s">
        <v>8720</v>
      </c>
      <c r="I1003" t="s">
        <v>62</v>
      </c>
      <c r="J1003">
        <v>1407332</v>
      </c>
      <c r="K1003">
        <v>1409731</v>
      </c>
      <c r="L1003" t="s">
        <v>5937</v>
      </c>
      <c r="M1003">
        <v>800</v>
      </c>
      <c r="N1003" t="s">
        <v>108</v>
      </c>
      <c r="O1003">
        <v>44</v>
      </c>
      <c r="P1003" t="str">
        <f>HYPERLINK("Gene1393-zp_tree_all.dnd", "Gene1393-tree")</f>
        <v>Gene1393-tree</v>
      </c>
      <c r="Q1003">
        <v>3</v>
      </c>
      <c r="R1003">
        <v>13</v>
      </c>
      <c r="S1003">
        <v>3</v>
      </c>
      <c r="T1003">
        <v>13</v>
      </c>
      <c r="U1003">
        <v>0.8125</v>
      </c>
      <c r="V1003" t="s">
        <v>324</v>
      </c>
      <c r="W1003" t="s">
        <v>507</v>
      </c>
      <c r="X1003" t="s">
        <v>62</v>
      </c>
      <c r="Y1003" t="s">
        <v>62</v>
      </c>
      <c r="Z1003">
        <v>15</v>
      </c>
      <c r="AA1003">
        <v>33</v>
      </c>
      <c r="AB1003">
        <v>23</v>
      </c>
      <c r="AC1003">
        <v>0.58928999999999998</v>
      </c>
      <c r="AD1003" s="47">
        <v>0</v>
      </c>
      <c r="AE1003" s="47">
        <v>0</v>
      </c>
      <c r="AF1003" s="47">
        <v>0</v>
      </c>
      <c r="AG1003" s="47">
        <v>4</v>
      </c>
      <c r="AH1003" s="47">
        <v>0</v>
      </c>
      <c r="AI1003" s="47">
        <v>8</v>
      </c>
      <c r="AJ1003" s="47">
        <v>2</v>
      </c>
      <c r="AK1003" s="47">
        <v>10</v>
      </c>
      <c r="AL1003">
        <v>22</v>
      </c>
      <c r="AM1003">
        <v>0.3125</v>
      </c>
      <c r="AN1003">
        <v>15</v>
      </c>
      <c r="AO1003">
        <v>13</v>
      </c>
      <c r="AP1003">
        <v>104</v>
      </c>
      <c r="AQ1003">
        <v>32</v>
      </c>
      <c r="AR1003">
        <v>53</v>
      </c>
      <c r="AS1003">
        <v>25</v>
      </c>
      <c r="AT1003" t="s">
        <v>8721</v>
      </c>
      <c r="AU1003" t="s">
        <v>8722</v>
      </c>
      <c r="AV1003">
        <v>0.93100000000000005</v>
      </c>
      <c r="AW1003" t="s">
        <v>65</v>
      </c>
      <c r="AX1003">
        <v>157</v>
      </c>
      <c r="AY1003">
        <v>57</v>
      </c>
      <c r="AZ1003" t="s">
        <v>8723</v>
      </c>
      <c r="BA1003">
        <v>4.8980000000000003E-2</v>
      </c>
      <c r="BB1003">
        <v>-1.39E-3</v>
      </c>
      <c r="BC1003">
        <v>5.3800000000000002E-3</v>
      </c>
      <c r="BD1003">
        <v>-1.6000000000000001E-4</v>
      </c>
      <c r="BE1003">
        <v>0.10992</v>
      </c>
      <c r="BF1003">
        <v>1</v>
      </c>
      <c r="BG1003" t="s">
        <v>69</v>
      </c>
      <c r="BH1003">
        <v>-0.35</v>
      </c>
      <c r="BI1003">
        <v>-0.40899999999999997</v>
      </c>
    </row>
    <row r="1004" spans="3:61">
      <c r="C1004">
        <v>0</v>
      </c>
      <c r="D1004">
        <v>9</v>
      </c>
      <c r="E1004">
        <v>0</v>
      </c>
      <c r="F1004" t="s">
        <v>25021</v>
      </c>
      <c r="G1004">
        <v>3279</v>
      </c>
      <c r="H1004" t="s">
        <v>19132</v>
      </c>
      <c r="I1004" t="s">
        <v>57</v>
      </c>
      <c r="J1004">
        <v>3246598</v>
      </c>
      <c r="K1004">
        <v>3249000</v>
      </c>
      <c r="L1004" t="s">
        <v>19133</v>
      </c>
      <c r="M1004">
        <v>801</v>
      </c>
      <c r="N1004" t="s">
        <v>19134</v>
      </c>
      <c r="O1004">
        <v>41</v>
      </c>
      <c r="P1004" t="str">
        <f>HYPERLINK("Gene3279-zp_tree_all.dnd", "Gene3279-tree")</f>
        <v>Gene3279-tree</v>
      </c>
      <c r="Q1004">
        <v>6</v>
      </c>
      <c r="R1004">
        <v>7</v>
      </c>
      <c r="S1004">
        <v>6</v>
      </c>
      <c r="T1004">
        <v>7</v>
      </c>
      <c r="U1004">
        <v>0.53846000000000005</v>
      </c>
      <c r="V1004" t="s">
        <v>90</v>
      </c>
      <c r="W1004" t="s">
        <v>152</v>
      </c>
      <c r="X1004" t="s">
        <v>62</v>
      </c>
      <c r="Y1004" t="s">
        <v>62</v>
      </c>
      <c r="Z1004">
        <v>4</v>
      </c>
      <c r="AA1004">
        <v>9</v>
      </c>
      <c r="AB1004">
        <v>13</v>
      </c>
      <c r="AC1004">
        <v>0.40909000000000001</v>
      </c>
      <c r="AD1004" s="47">
        <v>0</v>
      </c>
      <c r="AE1004" s="47">
        <v>0</v>
      </c>
      <c r="AF1004" s="47">
        <v>0</v>
      </c>
      <c r="AG1004" s="47">
        <v>0</v>
      </c>
      <c r="AH1004" s="47">
        <v>0</v>
      </c>
      <c r="AI1004" s="47">
        <v>0</v>
      </c>
      <c r="AJ1004" s="47">
        <v>0</v>
      </c>
      <c r="AK1004" s="47">
        <v>0</v>
      </c>
      <c r="AL1004">
        <v>12</v>
      </c>
      <c r="AM1004">
        <v>0</v>
      </c>
      <c r="AN1004">
        <v>12</v>
      </c>
      <c r="AO1004">
        <v>9</v>
      </c>
      <c r="AP1004">
        <v>54</v>
      </c>
      <c r="AQ1004">
        <v>12</v>
      </c>
      <c r="AR1004">
        <v>36</v>
      </c>
      <c r="AS1004">
        <v>10</v>
      </c>
      <c r="AT1004" t="s">
        <v>19135</v>
      </c>
      <c r="AU1004" t="s">
        <v>19136</v>
      </c>
      <c r="AV1004">
        <v>0.193</v>
      </c>
      <c r="AW1004" t="s">
        <v>65</v>
      </c>
      <c r="AX1004">
        <v>90</v>
      </c>
      <c r="AY1004">
        <v>22</v>
      </c>
      <c r="AZ1004" t="s">
        <v>19137</v>
      </c>
      <c r="BA1004">
        <v>3.1800000000000002E-2</v>
      </c>
      <c r="BB1004">
        <v>-1.1199999999999999E-3</v>
      </c>
      <c r="BC1004">
        <v>2.4199999999999998E-3</v>
      </c>
      <c r="BD1004">
        <v>-1.4999999999999999E-4</v>
      </c>
      <c r="BE1004">
        <v>7.6090000000000005E-2</v>
      </c>
      <c r="BF1004">
        <v>1</v>
      </c>
      <c r="BG1004" t="s">
        <v>69</v>
      </c>
      <c r="BH1004">
        <v>-0.214</v>
      </c>
      <c r="BI1004">
        <v>-0.61699999999999999</v>
      </c>
    </row>
    <row r="1005" spans="3:61">
      <c r="C1005">
        <v>0</v>
      </c>
      <c r="D1005">
        <v>17</v>
      </c>
      <c r="E1005">
        <v>3</v>
      </c>
      <c r="F1005" t="s">
        <v>25021</v>
      </c>
      <c r="G1005">
        <v>331</v>
      </c>
      <c r="H1005" t="s">
        <v>2260</v>
      </c>
      <c r="I1005" t="s">
        <v>62</v>
      </c>
      <c r="J1005">
        <v>355767</v>
      </c>
      <c r="K1005">
        <v>358181</v>
      </c>
      <c r="L1005" t="s">
        <v>2254</v>
      </c>
      <c r="M1005">
        <v>805</v>
      </c>
      <c r="N1005" t="s">
        <v>409</v>
      </c>
      <c r="O1005">
        <v>45</v>
      </c>
      <c r="P1005" t="str">
        <f>HYPERLINK("Gene331-zp_tree_all.dnd", "Gene331-tree")</f>
        <v>Gene331-tree</v>
      </c>
      <c r="Q1005">
        <v>8</v>
      </c>
      <c r="R1005">
        <v>11</v>
      </c>
      <c r="S1005">
        <v>8</v>
      </c>
      <c r="T1005">
        <v>11</v>
      </c>
      <c r="U1005">
        <v>0.57894999999999996</v>
      </c>
      <c r="V1005" t="s">
        <v>136</v>
      </c>
      <c r="W1005" t="s">
        <v>73</v>
      </c>
      <c r="X1005">
        <v>42922973.636</v>
      </c>
      <c r="Y1005" t="s">
        <v>267</v>
      </c>
      <c r="Z1005">
        <v>9</v>
      </c>
      <c r="AA1005">
        <v>20</v>
      </c>
      <c r="AB1005">
        <v>32</v>
      </c>
      <c r="AC1005">
        <v>0.38462000000000002</v>
      </c>
      <c r="AD1005" s="47">
        <v>0</v>
      </c>
      <c r="AE1005" s="47">
        <v>0</v>
      </c>
      <c r="AF1005" s="47">
        <v>0</v>
      </c>
      <c r="AG1005" s="47">
        <v>0</v>
      </c>
      <c r="AH1005" s="47">
        <v>0</v>
      </c>
      <c r="AI1005" s="47">
        <v>6</v>
      </c>
      <c r="AJ1005" s="47">
        <v>2</v>
      </c>
      <c r="AK1005" s="47">
        <v>8</v>
      </c>
      <c r="AL1005">
        <v>30</v>
      </c>
      <c r="AM1005">
        <v>0.21052999999999999</v>
      </c>
      <c r="AN1005">
        <v>18</v>
      </c>
      <c r="AO1005">
        <v>15</v>
      </c>
      <c r="AP1005">
        <v>189</v>
      </c>
      <c r="AQ1005">
        <v>38</v>
      </c>
      <c r="AR1005">
        <v>85</v>
      </c>
      <c r="AS1005">
        <v>15</v>
      </c>
      <c r="AT1005" t="s">
        <v>2261</v>
      </c>
      <c r="AU1005" t="s">
        <v>2262</v>
      </c>
      <c r="AV1005">
        <v>0.06</v>
      </c>
      <c r="AW1005" t="s">
        <v>65</v>
      </c>
      <c r="AX1005">
        <v>274</v>
      </c>
      <c r="AY1005">
        <v>53</v>
      </c>
      <c r="AZ1005" t="s">
        <v>2263</v>
      </c>
      <c r="BA1005">
        <v>7.0209999999999995E-2</v>
      </c>
      <c r="BB1005">
        <v>-3.9199999999999999E-3</v>
      </c>
      <c r="BC1005">
        <v>3.7599999999999999E-3</v>
      </c>
      <c r="BD1005">
        <v>-1.8000000000000001E-4</v>
      </c>
      <c r="BE1005">
        <v>5.3539999999999997E-2</v>
      </c>
      <c r="BF1005">
        <v>1</v>
      </c>
      <c r="BG1005" t="s">
        <v>69</v>
      </c>
      <c r="BH1005">
        <v>-1.198</v>
      </c>
      <c r="BI1005">
        <v>-2.9769999999999999</v>
      </c>
    </row>
    <row r="1006" spans="3:61">
      <c r="C1006">
        <v>0</v>
      </c>
      <c r="D1006">
        <v>2</v>
      </c>
      <c r="E1006">
        <v>0</v>
      </c>
      <c r="F1006" t="s">
        <v>25021</v>
      </c>
      <c r="G1006">
        <v>1982</v>
      </c>
      <c r="H1006" t="s">
        <v>12341</v>
      </c>
      <c r="I1006" t="s">
        <v>57</v>
      </c>
      <c r="J1006">
        <v>2076206</v>
      </c>
      <c r="K1006">
        <v>2078623</v>
      </c>
      <c r="L1006" t="s">
        <v>12342</v>
      </c>
      <c r="M1006">
        <v>806</v>
      </c>
      <c r="N1006" t="s">
        <v>12343</v>
      </c>
      <c r="O1006">
        <v>25</v>
      </c>
      <c r="P1006" t="str">
        <f>HYPERLINK("Gene1982-zp_tree_all.dnd", "Gene1982-tree")</f>
        <v>Gene1982-tree</v>
      </c>
      <c r="Q1006">
        <v>1</v>
      </c>
      <c r="R1006">
        <v>4</v>
      </c>
      <c r="S1006">
        <v>1</v>
      </c>
      <c r="T1006">
        <v>4</v>
      </c>
      <c r="U1006">
        <v>0.8</v>
      </c>
      <c r="V1006" t="s">
        <v>175</v>
      </c>
      <c r="W1006" t="s">
        <v>61</v>
      </c>
      <c r="X1006" t="s">
        <v>62</v>
      </c>
      <c r="Y1006" t="s">
        <v>62</v>
      </c>
      <c r="Z1006">
        <v>1</v>
      </c>
      <c r="AA1006">
        <v>2</v>
      </c>
      <c r="AB1006">
        <v>10</v>
      </c>
      <c r="AC1006">
        <v>0.16667000000000001</v>
      </c>
      <c r="AD1006" s="47">
        <v>0</v>
      </c>
      <c r="AE1006" s="47">
        <v>0</v>
      </c>
      <c r="AF1006" s="47">
        <v>0</v>
      </c>
      <c r="AG1006" s="47">
        <v>0</v>
      </c>
      <c r="AH1006" s="47">
        <v>0</v>
      </c>
      <c r="AI1006" s="47">
        <v>2</v>
      </c>
      <c r="AJ1006" s="47">
        <v>0</v>
      </c>
      <c r="AK1006" s="47">
        <v>2</v>
      </c>
      <c r="AL1006">
        <v>9</v>
      </c>
      <c r="AM1006">
        <v>0.18182000000000001</v>
      </c>
      <c r="AN1006">
        <v>4</v>
      </c>
      <c r="AO1006">
        <v>2</v>
      </c>
      <c r="AP1006">
        <v>15</v>
      </c>
      <c r="AQ1006">
        <v>11</v>
      </c>
      <c r="AR1006">
        <v>5</v>
      </c>
      <c r="AS1006">
        <v>1</v>
      </c>
      <c r="AT1006" t="s">
        <v>12344</v>
      </c>
      <c r="AU1006" t="s">
        <v>12345</v>
      </c>
      <c r="AV1006">
        <v>0.8</v>
      </c>
      <c r="AW1006" t="s">
        <v>65</v>
      </c>
      <c r="AX1006">
        <v>20</v>
      </c>
      <c r="AY1006">
        <v>12</v>
      </c>
      <c r="AZ1006" t="s">
        <v>12346</v>
      </c>
      <c r="BA1006">
        <v>1.515E-2</v>
      </c>
      <c r="BB1006">
        <v>-2.5699999999999998E-3</v>
      </c>
      <c r="BC1006">
        <v>2.6099999999999999E-3</v>
      </c>
      <c r="BD1006">
        <v>-4.6999999999999999E-4</v>
      </c>
      <c r="BE1006">
        <v>0.17237</v>
      </c>
      <c r="BF1006">
        <v>1</v>
      </c>
      <c r="BG1006" t="s">
        <v>69</v>
      </c>
      <c r="BH1006">
        <v>-2.274</v>
      </c>
      <c r="BI1006">
        <v>-3.016</v>
      </c>
    </row>
    <row r="1007" spans="3:61">
      <c r="C1007">
        <v>0</v>
      </c>
      <c r="D1007">
        <v>20</v>
      </c>
      <c r="E1007">
        <v>3</v>
      </c>
      <c r="F1007" t="s">
        <v>25021</v>
      </c>
      <c r="G1007">
        <v>3945</v>
      </c>
      <c r="H1007" t="s">
        <v>23164</v>
      </c>
      <c r="I1007" t="s">
        <v>57</v>
      </c>
      <c r="J1007">
        <v>3907844</v>
      </c>
      <c r="K1007">
        <v>3910261</v>
      </c>
      <c r="L1007" t="s">
        <v>23165</v>
      </c>
      <c r="M1007">
        <v>806</v>
      </c>
      <c r="N1007" t="s">
        <v>108</v>
      </c>
      <c r="O1007">
        <v>44</v>
      </c>
      <c r="P1007" t="str">
        <f>HYPERLINK("Gene3945-zp_tree_all.dnd", "Gene3945-tree")</f>
        <v>Gene3945-tree</v>
      </c>
      <c r="Q1007">
        <v>23</v>
      </c>
      <c r="R1007">
        <v>13</v>
      </c>
      <c r="S1007">
        <v>5</v>
      </c>
      <c r="T1007">
        <v>13</v>
      </c>
      <c r="U1007">
        <v>0.72221999999999997</v>
      </c>
      <c r="V1007" t="s">
        <v>1652</v>
      </c>
      <c r="W1007" t="s">
        <v>507</v>
      </c>
      <c r="X1007" t="s">
        <v>62</v>
      </c>
      <c r="Y1007" t="s">
        <v>62</v>
      </c>
      <c r="Z1007">
        <v>8</v>
      </c>
      <c r="AA1007">
        <v>23</v>
      </c>
      <c r="AB1007">
        <v>17</v>
      </c>
      <c r="AC1007">
        <v>0.57499999999999996</v>
      </c>
      <c r="AD1007" s="47">
        <v>0</v>
      </c>
      <c r="AE1007" s="47">
        <v>0</v>
      </c>
      <c r="AF1007" s="47">
        <v>0</v>
      </c>
      <c r="AG1007" s="47">
        <v>3</v>
      </c>
      <c r="AH1007" s="47">
        <v>0</v>
      </c>
      <c r="AI1007" s="47">
        <v>5</v>
      </c>
      <c r="AJ1007" s="47">
        <v>6</v>
      </c>
      <c r="AK1007" s="47">
        <v>11</v>
      </c>
      <c r="AL1007">
        <v>15</v>
      </c>
      <c r="AM1007">
        <v>0.42308000000000001</v>
      </c>
      <c r="AN1007">
        <v>14</v>
      </c>
      <c r="AO1007">
        <v>15</v>
      </c>
      <c r="AP1007">
        <v>72</v>
      </c>
      <c r="AQ1007">
        <v>24</v>
      </c>
      <c r="AR1007">
        <v>66</v>
      </c>
      <c r="AS1007">
        <v>16</v>
      </c>
      <c r="AT1007" t="s">
        <v>23166</v>
      </c>
      <c r="AU1007" t="s">
        <v>23167</v>
      </c>
      <c r="AV1007">
        <v>0.77400000000000002</v>
      </c>
      <c r="AW1007" t="s">
        <v>65</v>
      </c>
      <c r="AX1007">
        <v>138</v>
      </c>
      <c r="AY1007">
        <v>40</v>
      </c>
      <c r="AZ1007" t="s">
        <v>23168</v>
      </c>
      <c r="BA1007">
        <v>3.8269999999999998E-2</v>
      </c>
      <c r="BB1007">
        <v>-8.8999999999999995E-4</v>
      </c>
      <c r="BC1007">
        <v>3.48E-3</v>
      </c>
      <c r="BD1007">
        <v>-1.1E-4</v>
      </c>
      <c r="BE1007">
        <v>9.0939999999999993E-2</v>
      </c>
      <c r="BF1007">
        <v>1</v>
      </c>
      <c r="BG1007" t="s">
        <v>69</v>
      </c>
      <c r="BH1007">
        <v>-0.18</v>
      </c>
      <c r="BI1007">
        <v>-0.80200000000000005</v>
      </c>
    </row>
    <row r="1008" spans="3:61">
      <c r="C1008">
        <v>4</v>
      </c>
      <c r="D1008">
        <v>73</v>
      </c>
      <c r="E1008">
        <v>19</v>
      </c>
      <c r="F1008" t="s">
        <v>25021</v>
      </c>
      <c r="G1008">
        <v>646</v>
      </c>
      <c r="H1008" t="s">
        <v>4003</v>
      </c>
      <c r="I1008" t="s">
        <v>62</v>
      </c>
      <c r="J1008">
        <v>664778</v>
      </c>
      <c r="K1008">
        <v>667264</v>
      </c>
      <c r="L1008" t="s">
        <v>4004</v>
      </c>
      <c r="M1008">
        <v>829</v>
      </c>
      <c r="N1008" t="s">
        <v>4005</v>
      </c>
      <c r="O1008">
        <v>42</v>
      </c>
      <c r="P1008" t="str">
        <f>HYPERLINK("Gene646-zp_tree_all.dnd", "Gene646-tree")</f>
        <v>Gene646-tree</v>
      </c>
      <c r="Q1008">
        <v>2</v>
      </c>
      <c r="R1008">
        <v>11</v>
      </c>
      <c r="S1008">
        <v>2</v>
      </c>
      <c r="T1008">
        <v>11</v>
      </c>
      <c r="U1008">
        <v>0.84614999999999996</v>
      </c>
      <c r="V1008" t="s">
        <v>81</v>
      </c>
      <c r="W1008" t="s">
        <v>73</v>
      </c>
      <c r="X1008">
        <v>515075683.63</v>
      </c>
      <c r="Y1008" t="s">
        <v>267</v>
      </c>
      <c r="Z1008">
        <v>34</v>
      </c>
      <c r="AA1008">
        <v>96</v>
      </c>
      <c r="AB1008">
        <v>55</v>
      </c>
      <c r="AC1008">
        <v>0.63575999999999999</v>
      </c>
      <c r="AD1008" s="47">
        <v>0</v>
      </c>
      <c r="AE1008" s="47">
        <v>0</v>
      </c>
      <c r="AF1008" s="47">
        <v>0</v>
      </c>
      <c r="AG1008" s="47">
        <v>11</v>
      </c>
      <c r="AH1008" s="47">
        <v>0</v>
      </c>
      <c r="AI1008" s="47">
        <v>22</v>
      </c>
      <c r="AJ1008" s="47">
        <v>18</v>
      </c>
      <c r="AK1008" s="47">
        <v>40</v>
      </c>
      <c r="AL1008">
        <v>60</v>
      </c>
      <c r="AM1008">
        <v>0.4</v>
      </c>
      <c r="AN1008">
        <v>11</v>
      </c>
      <c r="AO1008">
        <v>9</v>
      </c>
      <c r="AP1008">
        <v>187</v>
      </c>
      <c r="AQ1008">
        <v>96</v>
      </c>
      <c r="AR1008">
        <v>95</v>
      </c>
      <c r="AS1008">
        <v>62</v>
      </c>
      <c r="AT1008" t="s">
        <v>4006</v>
      </c>
      <c r="AU1008" t="s">
        <v>4007</v>
      </c>
      <c r="AV1008">
        <v>0.79600000000000004</v>
      </c>
      <c r="AW1008" t="s">
        <v>65</v>
      </c>
      <c r="AX1008">
        <v>282</v>
      </c>
      <c r="AY1008">
        <v>158</v>
      </c>
      <c r="AZ1008" t="s">
        <v>4008</v>
      </c>
      <c r="BA1008">
        <v>9.6879999999999994E-2</v>
      </c>
      <c r="BB1008">
        <v>-3.4199999999999999E-3</v>
      </c>
      <c r="BC1008">
        <v>1.54E-2</v>
      </c>
      <c r="BD1008">
        <v>-5.0000000000000001E-4</v>
      </c>
      <c r="BE1008">
        <v>0.15897</v>
      </c>
      <c r="BF1008">
        <v>1</v>
      </c>
      <c r="BG1008" t="s">
        <v>69</v>
      </c>
      <c r="BH1008">
        <v>0.24</v>
      </c>
      <c r="BI1008">
        <v>-0.88400000000000001</v>
      </c>
    </row>
    <row r="1009" spans="3:61">
      <c r="C1009">
        <v>0</v>
      </c>
      <c r="D1009">
        <v>17</v>
      </c>
      <c r="E1009">
        <v>2</v>
      </c>
      <c r="F1009" t="s">
        <v>25021</v>
      </c>
      <c r="G1009">
        <v>3646</v>
      </c>
      <c r="H1009" t="s">
        <v>21398</v>
      </c>
      <c r="I1009" t="s">
        <v>57</v>
      </c>
      <c r="J1009">
        <v>3615793</v>
      </c>
      <c r="K1009">
        <v>3618285</v>
      </c>
      <c r="L1009" t="s">
        <v>1717</v>
      </c>
      <c r="M1009">
        <v>831</v>
      </c>
      <c r="N1009" t="s">
        <v>21399</v>
      </c>
      <c r="O1009">
        <v>43</v>
      </c>
      <c r="P1009" t="str">
        <f>HYPERLINK("Gene3646-zp_tree_all.dnd", "Gene3646-tree")</f>
        <v>Gene3646-tree</v>
      </c>
      <c r="Q1009">
        <v>5</v>
      </c>
      <c r="R1009">
        <v>9</v>
      </c>
      <c r="S1009">
        <v>5</v>
      </c>
      <c r="T1009">
        <v>9</v>
      </c>
      <c r="U1009">
        <v>0.64285999999999999</v>
      </c>
      <c r="V1009" t="s">
        <v>199</v>
      </c>
      <c r="W1009" t="s">
        <v>135</v>
      </c>
      <c r="X1009" t="s">
        <v>62</v>
      </c>
      <c r="Y1009" t="s">
        <v>62</v>
      </c>
      <c r="Z1009">
        <v>9</v>
      </c>
      <c r="AA1009">
        <v>19</v>
      </c>
      <c r="AB1009">
        <v>18</v>
      </c>
      <c r="AC1009">
        <v>0.51351000000000002</v>
      </c>
      <c r="AD1009" s="47">
        <v>0</v>
      </c>
      <c r="AE1009" s="47">
        <v>0</v>
      </c>
      <c r="AF1009" s="47">
        <v>0</v>
      </c>
      <c r="AG1009" s="47">
        <v>0</v>
      </c>
      <c r="AH1009" s="47">
        <v>0</v>
      </c>
      <c r="AI1009" s="47">
        <v>5</v>
      </c>
      <c r="AJ1009" s="47">
        <v>2</v>
      </c>
      <c r="AK1009" s="47">
        <v>7</v>
      </c>
      <c r="AL1009">
        <v>17</v>
      </c>
      <c r="AM1009">
        <v>0.29166999999999998</v>
      </c>
      <c r="AN1009">
        <v>13</v>
      </c>
      <c r="AO1009">
        <v>10</v>
      </c>
      <c r="AP1009">
        <v>74</v>
      </c>
      <c r="AQ1009">
        <v>24</v>
      </c>
      <c r="AR1009">
        <v>36</v>
      </c>
      <c r="AS1009">
        <v>13</v>
      </c>
      <c r="AT1009" t="s">
        <v>21400</v>
      </c>
      <c r="AU1009" t="s">
        <v>21401</v>
      </c>
      <c r="AV1009">
        <v>0.16</v>
      </c>
      <c r="AW1009" t="s">
        <v>65</v>
      </c>
      <c r="AX1009">
        <v>110</v>
      </c>
      <c r="AY1009">
        <v>37</v>
      </c>
      <c r="AZ1009" t="s">
        <v>21402</v>
      </c>
      <c r="BA1009">
        <v>3.4970000000000001E-2</v>
      </c>
      <c r="BB1009">
        <v>-1.1999999999999999E-3</v>
      </c>
      <c r="BC1009">
        <v>3.4099999999999998E-3</v>
      </c>
      <c r="BD1009">
        <v>-1.2E-4</v>
      </c>
      <c r="BE1009">
        <v>9.7570000000000004E-2</v>
      </c>
      <c r="BF1009">
        <v>1</v>
      </c>
      <c r="BG1009" t="s">
        <v>69</v>
      </c>
      <c r="BH1009">
        <v>-1.0640000000000001</v>
      </c>
      <c r="BI1009">
        <v>-2.456</v>
      </c>
    </row>
    <row r="1010" spans="3:61">
      <c r="C1010">
        <v>0</v>
      </c>
      <c r="D1010">
        <v>2</v>
      </c>
      <c r="E1010">
        <v>0</v>
      </c>
      <c r="F1010" t="s">
        <v>25021</v>
      </c>
      <c r="G1010">
        <v>2326</v>
      </c>
      <c r="H1010" t="s">
        <v>13485</v>
      </c>
      <c r="I1010" t="s">
        <v>57</v>
      </c>
      <c r="J1010">
        <v>2341444</v>
      </c>
      <c r="K1010">
        <v>2344185</v>
      </c>
      <c r="L1010" t="s">
        <v>13486</v>
      </c>
      <c r="M1010">
        <v>914</v>
      </c>
      <c r="N1010" t="s">
        <v>13487</v>
      </c>
      <c r="O1010">
        <v>34</v>
      </c>
      <c r="P1010" t="str">
        <f>HYPERLINK("Gene2326-zp_tree_all.dnd", "Gene2326-tree")</f>
        <v>Gene2326-tree</v>
      </c>
      <c r="Q1010">
        <v>2</v>
      </c>
      <c r="R1010">
        <v>5</v>
      </c>
      <c r="S1010">
        <v>2</v>
      </c>
      <c r="T1010">
        <v>5</v>
      </c>
      <c r="U1010">
        <v>0.71428999999999998</v>
      </c>
      <c r="V1010" t="s">
        <v>81</v>
      </c>
      <c r="W1010" t="s">
        <v>199</v>
      </c>
      <c r="X1010" t="s">
        <v>62</v>
      </c>
      <c r="Y1010" t="s">
        <v>62</v>
      </c>
      <c r="Z1010">
        <v>1</v>
      </c>
      <c r="AA1010">
        <v>2</v>
      </c>
      <c r="AB1010">
        <v>8</v>
      </c>
      <c r="AC1010">
        <v>0.2</v>
      </c>
      <c r="AD1010" s="47">
        <v>0</v>
      </c>
      <c r="AE1010" s="47">
        <v>0</v>
      </c>
      <c r="AF1010" s="47">
        <v>0</v>
      </c>
      <c r="AG1010" s="47">
        <v>0</v>
      </c>
      <c r="AH1010" s="47">
        <v>0</v>
      </c>
      <c r="AI1010" s="47">
        <v>2</v>
      </c>
      <c r="AJ1010" s="47">
        <v>0</v>
      </c>
      <c r="AK1010" s="47">
        <v>2</v>
      </c>
      <c r="AL1010">
        <v>7</v>
      </c>
      <c r="AM1010">
        <v>0.22222</v>
      </c>
      <c r="AN1010">
        <v>6</v>
      </c>
      <c r="AO1010">
        <v>3</v>
      </c>
      <c r="AP1010">
        <v>49</v>
      </c>
      <c r="AQ1010">
        <v>9</v>
      </c>
      <c r="AR1010">
        <v>21</v>
      </c>
      <c r="AS1010">
        <v>1</v>
      </c>
      <c r="AT1010" t="s">
        <v>13488</v>
      </c>
      <c r="AU1010" t="s">
        <v>13489</v>
      </c>
      <c r="AV1010">
        <v>1.0489999999999999</v>
      </c>
      <c r="AW1010" t="s">
        <v>65</v>
      </c>
      <c r="AX1010">
        <v>70</v>
      </c>
      <c r="AY1010">
        <v>10</v>
      </c>
      <c r="AZ1010" t="s">
        <v>13490</v>
      </c>
      <c r="BA1010">
        <v>3.8920000000000003E-2</v>
      </c>
      <c r="BB1010">
        <v>-3.2399999999999998E-3</v>
      </c>
      <c r="BC1010">
        <v>1.4E-3</v>
      </c>
      <c r="BD1010">
        <v>-2.0000000000000001E-4</v>
      </c>
      <c r="BE1010">
        <v>3.601E-2</v>
      </c>
      <c r="BF1010">
        <v>1</v>
      </c>
      <c r="BG1010" t="s">
        <v>69</v>
      </c>
      <c r="BH1010">
        <v>-1.266</v>
      </c>
      <c r="BI1010">
        <v>-1.839</v>
      </c>
    </row>
    <row r="1011" spans="3:61">
      <c r="C1011">
        <v>0</v>
      </c>
      <c r="D1011">
        <v>16</v>
      </c>
      <c r="E1011">
        <v>0</v>
      </c>
      <c r="F1011" t="s">
        <v>25021</v>
      </c>
      <c r="G1011">
        <v>3761</v>
      </c>
      <c r="H1011" t="s">
        <v>22037</v>
      </c>
      <c r="I1011" t="s">
        <v>57</v>
      </c>
      <c r="J1011">
        <v>3735449</v>
      </c>
      <c r="K1011">
        <v>3738214</v>
      </c>
      <c r="L1011" t="s">
        <v>22038</v>
      </c>
      <c r="M1011">
        <v>922</v>
      </c>
      <c r="N1011" t="s">
        <v>108</v>
      </c>
      <c r="O1011">
        <v>44</v>
      </c>
      <c r="P1011" t="str">
        <f>HYPERLINK("Gene3761-zp_tree_all.dnd", "Gene3761-tree")</f>
        <v>Gene3761-tree</v>
      </c>
      <c r="Q1011">
        <v>8</v>
      </c>
      <c r="R1011">
        <v>9</v>
      </c>
      <c r="S1011">
        <v>8</v>
      </c>
      <c r="T1011">
        <v>9</v>
      </c>
      <c r="U1011">
        <v>0.52941000000000005</v>
      </c>
      <c r="V1011" t="s">
        <v>136</v>
      </c>
      <c r="W1011" t="s">
        <v>135</v>
      </c>
      <c r="X1011" t="s">
        <v>62</v>
      </c>
      <c r="Y1011" t="s">
        <v>62</v>
      </c>
      <c r="Z1011">
        <v>6</v>
      </c>
      <c r="AA1011">
        <v>16</v>
      </c>
      <c r="AB1011">
        <v>11</v>
      </c>
      <c r="AC1011">
        <v>0.59258999999999995</v>
      </c>
      <c r="AD1011" s="47">
        <v>0</v>
      </c>
      <c r="AE1011" s="47">
        <v>0</v>
      </c>
      <c r="AF1011" s="47">
        <v>0</v>
      </c>
      <c r="AG1011" s="47">
        <v>4</v>
      </c>
      <c r="AH1011" s="47">
        <v>0</v>
      </c>
      <c r="AI1011" s="47">
        <v>4</v>
      </c>
      <c r="AJ1011" s="47">
        <v>0</v>
      </c>
      <c r="AK1011" s="47">
        <v>4</v>
      </c>
      <c r="AL1011">
        <v>10</v>
      </c>
      <c r="AM1011">
        <v>0.28571000000000002</v>
      </c>
      <c r="AN1011">
        <v>16</v>
      </c>
      <c r="AO1011">
        <v>13</v>
      </c>
      <c r="AP1011">
        <v>104</v>
      </c>
      <c r="AQ1011">
        <v>14</v>
      </c>
      <c r="AR1011">
        <v>83</v>
      </c>
      <c r="AS1011">
        <v>13</v>
      </c>
      <c r="AT1011" t="s">
        <v>22039</v>
      </c>
      <c r="AU1011" t="s">
        <v>22040</v>
      </c>
      <c r="AV1011">
        <v>0.24099999999999999</v>
      </c>
      <c r="AW1011" t="s">
        <v>65</v>
      </c>
      <c r="AX1011">
        <v>187</v>
      </c>
      <c r="AY1011">
        <v>27</v>
      </c>
      <c r="AZ1011" t="s">
        <v>22041</v>
      </c>
      <c r="BA1011">
        <v>4.7600000000000003E-2</v>
      </c>
      <c r="BB1011">
        <v>-1.1800000000000001E-3</v>
      </c>
      <c r="BC1011">
        <v>2.2100000000000002E-3</v>
      </c>
      <c r="BD1011">
        <v>-9.0000000000000006E-5</v>
      </c>
      <c r="BE1011">
        <v>4.6370000000000001E-2</v>
      </c>
      <c r="BF1011">
        <v>1</v>
      </c>
      <c r="BG1011" t="s">
        <v>69</v>
      </c>
      <c r="BH1011">
        <v>-0.21199999999999999</v>
      </c>
      <c r="BI1011">
        <v>-0.56000000000000005</v>
      </c>
    </row>
    <row r="1012" spans="3:61">
      <c r="C1012">
        <v>0</v>
      </c>
      <c r="D1012">
        <v>0</v>
      </c>
      <c r="E1012">
        <v>0</v>
      </c>
      <c r="F1012" t="s">
        <v>25021</v>
      </c>
      <c r="G1012">
        <v>2834</v>
      </c>
      <c r="H1012" t="s">
        <v>16274</v>
      </c>
      <c r="I1012" t="s">
        <v>57</v>
      </c>
      <c r="J1012">
        <v>2781209</v>
      </c>
      <c r="K1012">
        <v>2784148</v>
      </c>
      <c r="L1012" t="s">
        <v>16275</v>
      </c>
      <c r="M1012">
        <v>980</v>
      </c>
      <c r="N1012" t="s">
        <v>265</v>
      </c>
      <c r="O1012">
        <v>43</v>
      </c>
      <c r="P1012" t="str">
        <f>HYPERLINK("Gene2834-zp_tree_all.dnd", "Gene2834-tree")</f>
        <v>Gene2834-tree</v>
      </c>
      <c r="Q1012">
        <v>6</v>
      </c>
      <c r="R1012">
        <v>9</v>
      </c>
      <c r="S1012">
        <v>6</v>
      </c>
      <c r="T1012">
        <v>9</v>
      </c>
      <c r="U1012">
        <v>0.6</v>
      </c>
      <c r="V1012" t="s">
        <v>90</v>
      </c>
      <c r="W1012" t="s">
        <v>135</v>
      </c>
      <c r="X1012" t="s">
        <v>62</v>
      </c>
      <c r="Y1012" t="s">
        <v>62</v>
      </c>
      <c r="Z1012">
        <v>0</v>
      </c>
      <c r="AA1012">
        <v>0</v>
      </c>
      <c r="AB1012">
        <v>14</v>
      </c>
      <c r="AC1012">
        <v>0</v>
      </c>
      <c r="AD1012" s="47">
        <v>0</v>
      </c>
      <c r="AE1012" s="47">
        <v>0</v>
      </c>
      <c r="AF1012" s="47">
        <v>0</v>
      </c>
      <c r="AG1012" s="47">
        <v>0</v>
      </c>
      <c r="AH1012" s="47">
        <v>0</v>
      </c>
      <c r="AI1012" s="47">
        <v>0</v>
      </c>
      <c r="AJ1012" s="47">
        <v>0</v>
      </c>
      <c r="AK1012" s="47">
        <v>0</v>
      </c>
      <c r="AL1012">
        <v>11</v>
      </c>
      <c r="AM1012">
        <v>0</v>
      </c>
      <c r="AN1012">
        <v>14</v>
      </c>
      <c r="AO1012">
        <v>12</v>
      </c>
      <c r="AP1012">
        <v>71</v>
      </c>
      <c r="AQ1012">
        <v>9</v>
      </c>
      <c r="AR1012">
        <v>87</v>
      </c>
      <c r="AS1012">
        <v>5</v>
      </c>
      <c r="AT1012" t="s">
        <v>16276</v>
      </c>
      <c r="AU1012" t="s">
        <v>16277</v>
      </c>
      <c r="AV1012">
        <v>0.92900000000000005</v>
      </c>
      <c r="AW1012" t="s">
        <v>65</v>
      </c>
      <c r="AX1012">
        <v>158</v>
      </c>
      <c r="AY1012">
        <v>14</v>
      </c>
      <c r="AZ1012" t="s">
        <v>16278</v>
      </c>
      <c r="BA1012">
        <v>4.2770000000000002E-2</v>
      </c>
      <c r="BB1012">
        <v>-1.5200000000000001E-3</v>
      </c>
      <c r="BC1012">
        <v>1.1900000000000001E-3</v>
      </c>
      <c r="BD1012">
        <v>-6.9999999999999994E-5</v>
      </c>
      <c r="BE1012">
        <v>2.7910000000000001E-2</v>
      </c>
      <c r="BF1012">
        <v>1</v>
      </c>
      <c r="BG1012" t="s">
        <v>69</v>
      </c>
      <c r="BH1012">
        <v>-0.69299999999999995</v>
      </c>
      <c r="BI1012">
        <v>-1.0409999999999999</v>
      </c>
    </row>
    <row r="1013" spans="3:61">
      <c r="C1013">
        <v>4</v>
      </c>
      <c r="D1013">
        <v>65</v>
      </c>
      <c r="E1013">
        <v>6</v>
      </c>
      <c r="F1013" t="s">
        <v>25021</v>
      </c>
      <c r="G1013">
        <v>1899</v>
      </c>
      <c r="H1013" t="s">
        <v>11882</v>
      </c>
      <c r="I1013" t="s">
        <v>62</v>
      </c>
      <c r="J1013">
        <v>1960201</v>
      </c>
      <c r="K1013">
        <v>1964037</v>
      </c>
      <c r="L1013" t="s">
        <v>11883</v>
      </c>
      <c r="M1013">
        <v>1279</v>
      </c>
      <c r="N1013" t="s">
        <v>1933</v>
      </c>
      <c r="O1013">
        <v>39</v>
      </c>
      <c r="P1013" t="str">
        <f>HYPERLINK("Gene1899-zp_tree_all.dnd", "Gene1899-tree")</f>
        <v>Gene1899-tree</v>
      </c>
      <c r="Q1013">
        <v>1</v>
      </c>
      <c r="R1013">
        <v>14</v>
      </c>
      <c r="S1013">
        <v>1</v>
      </c>
      <c r="T1013">
        <v>14</v>
      </c>
      <c r="U1013">
        <v>0.93332999999999999</v>
      </c>
      <c r="V1013" t="s">
        <v>175</v>
      </c>
      <c r="W1013" t="s">
        <v>543</v>
      </c>
      <c r="X1013">
        <v>1865302226.941</v>
      </c>
      <c r="Y1013" t="s">
        <v>267</v>
      </c>
      <c r="Z1013">
        <v>30</v>
      </c>
      <c r="AA1013">
        <v>75</v>
      </c>
      <c r="AB1013">
        <v>58</v>
      </c>
      <c r="AC1013">
        <v>0.56391000000000002</v>
      </c>
      <c r="AD1013" s="47">
        <v>0</v>
      </c>
      <c r="AE1013" s="47">
        <v>0</v>
      </c>
      <c r="AF1013" s="47">
        <v>0</v>
      </c>
      <c r="AG1013" s="47">
        <v>0</v>
      </c>
      <c r="AH1013" s="47">
        <v>0</v>
      </c>
      <c r="AI1013" s="47">
        <v>6</v>
      </c>
      <c r="AJ1013" s="47">
        <v>8</v>
      </c>
      <c r="AK1013" s="47">
        <v>14</v>
      </c>
      <c r="AL1013">
        <v>57</v>
      </c>
      <c r="AM1013">
        <v>0.19717999999999999</v>
      </c>
      <c r="AN1013">
        <v>14</v>
      </c>
      <c r="AO1013">
        <v>12</v>
      </c>
      <c r="AP1013">
        <v>124</v>
      </c>
      <c r="AQ1013">
        <v>74</v>
      </c>
      <c r="AR1013">
        <v>145</v>
      </c>
      <c r="AS1013">
        <v>64</v>
      </c>
      <c r="AT1013" t="s">
        <v>11884</v>
      </c>
      <c r="AU1013" t="s">
        <v>11885</v>
      </c>
      <c r="AV1013">
        <v>0.66400000000000003</v>
      </c>
      <c r="AW1013" t="s">
        <v>65</v>
      </c>
      <c r="AX1013">
        <v>269</v>
      </c>
      <c r="AY1013">
        <v>138</v>
      </c>
      <c r="AZ1013" t="s">
        <v>11886</v>
      </c>
      <c r="BA1013">
        <v>5.8360000000000002E-2</v>
      </c>
      <c r="BB1013">
        <v>-1.74E-3</v>
      </c>
      <c r="BC1013">
        <v>8.8699999999999994E-3</v>
      </c>
      <c r="BD1013">
        <v>-2.9999999999999997E-4</v>
      </c>
      <c r="BE1013">
        <v>0.15196000000000001</v>
      </c>
      <c r="BF1013">
        <v>1</v>
      </c>
      <c r="BG1013" t="s">
        <v>69</v>
      </c>
      <c r="BH1013">
        <v>-0.121</v>
      </c>
      <c r="BI1013">
        <v>-0.628</v>
      </c>
    </row>
    <row r="1014" spans="3:61">
      <c r="C1014">
        <v>0</v>
      </c>
      <c r="D1014">
        <v>45</v>
      </c>
      <c r="E1014">
        <v>11</v>
      </c>
      <c r="F1014" t="s">
        <v>25021</v>
      </c>
      <c r="G1014">
        <v>818</v>
      </c>
      <c r="H1014" t="s">
        <v>5093</v>
      </c>
      <c r="I1014" t="s">
        <v>62</v>
      </c>
      <c r="J1014">
        <v>855117</v>
      </c>
      <c r="K1014">
        <v>859502</v>
      </c>
      <c r="L1014" t="s">
        <v>5094</v>
      </c>
      <c r="M1014">
        <v>1462</v>
      </c>
      <c r="N1014" t="s">
        <v>5095</v>
      </c>
      <c r="O1014">
        <v>35</v>
      </c>
      <c r="P1014" t="str">
        <f>HYPERLINK("Gene818-zp_tree_all.dnd", "Gene818-tree")</f>
        <v>Gene818-tree</v>
      </c>
      <c r="Q1014">
        <v>1</v>
      </c>
      <c r="R1014">
        <v>13</v>
      </c>
      <c r="S1014">
        <v>1</v>
      </c>
      <c r="T1014">
        <v>13</v>
      </c>
      <c r="U1014">
        <v>0.92857000000000001</v>
      </c>
      <c r="V1014" t="s">
        <v>175</v>
      </c>
      <c r="W1014" t="s">
        <v>507</v>
      </c>
      <c r="X1014" t="s">
        <v>62</v>
      </c>
      <c r="Y1014" t="s">
        <v>62</v>
      </c>
      <c r="Z1014">
        <v>24</v>
      </c>
      <c r="AA1014">
        <v>56</v>
      </c>
      <c r="AB1014">
        <v>55</v>
      </c>
      <c r="AC1014">
        <v>0.50449999999999995</v>
      </c>
      <c r="AD1014" s="47">
        <v>0</v>
      </c>
      <c r="AE1014" s="47">
        <v>0</v>
      </c>
      <c r="AF1014" s="47">
        <v>0</v>
      </c>
      <c r="AG1014" s="47">
        <v>0</v>
      </c>
      <c r="AH1014" s="47">
        <v>0</v>
      </c>
      <c r="AI1014" s="47">
        <v>10</v>
      </c>
      <c r="AJ1014" s="47">
        <v>13</v>
      </c>
      <c r="AK1014" s="47">
        <v>23</v>
      </c>
      <c r="AL1014">
        <v>49</v>
      </c>
      <c r="AM1014">
        <v>0.31944</v>
      </c>
      <c r="AN1014">
        <v>12</v>
      </c>
      <c r="AO1014">
        <v>11</v>
      </c>
      <c r="AP1014">
        <v>222</v>
      </c>
      <c r="AQ1014">
        <v>75</v>
      </c>
      <c r="AR1014">
        <v>165</v>
      </c>
      <c r="AS1014">
        <v>44</v>
      </c>
      <c r="AT1014" t="s">
        <v>5096</v>
      </c>
      <c r="AU1014" t="s">
        <v>5097</v>
      </c>
      <c r="AV1014">
        <v>0.17899999999999999</v>
      </c>
      <c r="AW1014" t="s">
        <v>65</v>
      </c>
      <c r="AX1014">
        <v>387</v>
      </c>
      <c r="AY1014">
        <v>119</v>
      </c>
      <c r="AZ1014" t="s">
        <v>5098</v>
      </c>
      <c r="BA1014">
        <v>7.102E-2</v>
      </c>
      <c r="BB1014">
        <v>-3.0400000000000002E-3</v>
      </c>
      <c r="BC1014">
        <v>6.7000000000000002E-3</v>
      </c>
      <c r="BD1014">
        <v>-3.6999999999999999E-4</v>
      </c>
      <c r="BE1014">
        <v>9.4380000000000006E-2</v>
      </c>
      <c r="BF1014">
        <v>1</v>
      </c>
      <c r="BG1014" t="s">
        <v>69</v>
      </c>
      <c r="BH1014">
        <v>-0.63600000000000001</v>
      </c>
      <c r="BI1014">
        <v>-1.915</v>
      </c>
    </row>
    <row r="1015" spans="3:61">
      <c r="C1015">
        <v>0</v>
      </c>
      <c r="D1015">
        <v>19</v>
      </c>
      <c r="E1015">
        <v>0</v>
      </c>
      <c r="F1015" t="s">
        <v>25021</v>
      </c>
      <c r="G1015">
        <v>1914</v>
      </c>
      <c r="H1015" t="s">
        <v>11987</v>
      </c>
      <c r="I1015" t="s">
        <v>62</v>
      </c>
      <c r="J1015">
        <v>2010073</v>
      </c>
      <c r="K1015">
        <v>2014632</v>
      </c>
      <c r="L1015" t="s">
        <v>11988</v>
      </c>
      <c r="M1015">
        <v>1520</v>
      </c>
      <c r="N1015" t="s">
        <v>108</v>
      </c>
      <c r="O1015">
        <v>44</v>
      </c>
      <c r="P1015" t="str">
        <f>HYPERLINK("Gene1914-zp_tree_all.dnd", "Gene1914-tree")</f>
        <v>Gene1914-tree</v>
      </c>
      <c r="Q1015">
        <v>2</v>
      </c>
      <c r="R1015">
        <v>19</v>
      </c>
      <c r="S1015">
        <v>2</v>
      </c>
      <c r="T1015">
        <v>16</v>
      </c>
      <c r="U1015">
        <v>0.88888999999999996</v>
      </c>
      <c r="V1015" t="s">
        <v>81</v>
      </c>
      <c r="W1015" t="s">
        <v>11989</v>
      </c>
      <c r="X1015">
        <v>14.021000000000001</v>
      </c>
      <c r="Y1015" t="s">
        <v>267</v>
      </c>
      <c r="Z1015">
        <v>7</v>
      </c>
      <c r="AA1015">
        <v>19</v>
      </c>
      <c r="AB1015">
        <v>37</v>
      </c>
      <c r="AC1015">
        <v>0.33928999999999998</v>
      </c>
      <c r="AD1015" s="47">
        <v>0</v>
      </c>
      <c r="AE1015" s="47">
        <v>0</v>
      </c>
      <c r="AF1015" s="47">
        <v>0</v>
      </c>
      <c r="AG1015" s="47">
        <v>0</v>
      </c>
      <c r="AH1015" s="47">
        <v>0</v>
      </c>
      <c r="AI1015" s="47">
        <v>6</v>
      </c>
      <c r="AJ1015" s="47">
        <v>0</v>
      </c>
      <c r="AK1015" s="47">
        <v>6</v>
      </c>
      <c r="AL1015">
        <v>28</v>
      </c>
      <c r="AM1015">
        <v>0.17646999999999999</v>
      </c>
      <c r="AN1015">
        <v>15</v>
      </c>
      <c r="AO1015">
        <v>15</v>
      </c>
      <c r="AP1015">
        <v>182</v>
      </c>
      <c r="AQ1015">
        <v>31</v>
      </c>
      <c r="AR1015">
        <v>100</v>
      </c>
      <c r="AS1015">
        <v>26</v>
      </c>
      <c r="AT1015" t="s">
        <v>11990</v>
      </c>
      <c r="AU1015" t="s">
        <v>11991</v>
      </c>
      <c r="AV1015">
        <v>0.90900000000000003</v>
      </c>
      <c r="AW1015" t="s">
        <v>65</v>
      </c>
      <c r="AX1015">
        <v>282</v>
      </c>
      <c r="AY1015">
        <v>57</v>
      </c>
      <c r="AZ1015" t="s">
        <v>11992</v>
      </c>
      <c r="BA1015">
        <v>3.9949999999999999E-2</v>
      </c>
      <c r="BB1015">
        <v>-1.24E-3</v>
      </c>
      <c r="BC1015">
        <v>2.6900000000000001E-3</v>
      </c>
      <c r="BD1015">
        <v>-6.9999999999999994E-5</v>
      </c>
      <c r="BE1015">
        <v>6.7229999999999998E-2</v>
      </c>
      <c r="BF1015">
        <v>1</v>
      </c>
      <c r="BG1015" t="s">
        <v>69</v>
      </c>
      <c r="BH1015">
        <v>-0.82599999999999996</v>
      </c>
      <c r="BI1015">
        <v>-1.8819999999999999</v>
      </c>
    </row>
    <row r="1016" spans="3:61">
      <c r="C1016">
        <v>11</v>
      </c>
      <c r="D1016">
        <v>183</v>
      </c>
      <c r="E1016">
        <v>26</v>
      </c>
      <c r="F1016" t="s">
        <v>25021</v>
      </c>
      <c r="G1016">
        <v>1901</v>
      </c>
      <c r="H1016" t="s">
        <v>11897</v>
      </c>
      <c r="I1016" t="s">
        <v>62</v>
      </c>
      <c r="J1016">
        <v>1974884</v>
      </c>
      <c r="K1016">
        <v>1982548</v>
      </c>
      <c r="L1016" t="s">
        <v>11898</v>
      </c>
      <c r="M1016">
        <v>2555</v>
      </c>
      <c r="N1016" t="s">
        <v>11899</v>
      </c>
      <c r="O1016">
        <v>28</v>
      </c>
      <c r="P1016" t="str">
        <f>HYPERLINK("Gene1901-zp_tree_all.dnd", "Gene1901-tree")</f>
        <v>Gene1901-tree</v>
      </c>
      <c r="Q1016">
        <v>2</v>
      </c>
      <c r="R1016">
        <v>14</v>
      </c>
      <c r="S1016">
        <v>2</v>
      </c>
      <c r="T1016">
        <v>14</v>
      </c>
      <c r="U1016">
        <v>0.875</v>
      </c>
      <c r="V1016" t="s">
        <v>81</v>
      </c>
      <c r="W1016" t="s">
        <v>543</v>
      </c>
      <c r="X1016">
        <v>860908720.12699997</v>
      </c>
      <c r="Y1016" t="s">
        <v>267</v>
      </c>
      <c r="Z1016">
        <v>82</v>
      </c>
      <c r="AA1016">
        <v>220</v>
      </c>
      <c r="AB1016">
        <v>158</v>
      </c>
      <c r="AC1016">
        <v>0.58201000000000003</v>
      </c>
      <c r="AD1016" s="47">
        <v>0</v>
      </c>
      <c r="AE1016" s="47">
        <v>0</v>
      </c>
      <c r="AF1016" s="47">
        <v>0</v>
      </c>
      <c r="AG1016" s="47">
        <v>0</v>
      </c>
      <c r="AH1016" s="47">
        <v>0</v>
      </c>
      <c r="AI1016" s="47">
        <v>42</v>
      </c>
      <c r="AJ1016" s="47">
        <v>27</v>
      </c>
      <c r="AK1016" s="47">
        <v>69</v>
      </c>
      <c r="AL1016">
        <v>121</v>
      </c>
      <c r="AM1016">
        <v>0.36315999999999998</v>
      </c>
      <c r="AN1016">
        <v>13</v>
      </c>
      <c r="AO1016">
        <v>13</v>
      </c>
      <c r="AP1016">
        <v>343</v>
      </c>
      <c r="AQ1016">
        <v>198</v>
      </c>
      <c r="AR1016">
        <v>331</v>
      </c>
      <c r="AS1016">
        <v>199</v>
      </c>
      <c r="AT1016" t="s">
        <v>11900</v>
      </c>
      <c r="AU1016" t="s">
        <v>11901</v>
      </c>
      <c r="AV1016">
        <v>6.9000000000000006E-2</v>
      </c>
      <c r="AW1016" t="s">
        <v>65</v>
      </c>
      <c r="AX1016">
        <v>674</v>
      </c>
      <c r="AY1016">
        <v>397</v>
      </c>
      <c r="AZ1016" t="s">
        <v>11902</v>
      </c>
      <c r="BA1016">
        <v>7.4899999999999994E-2</v>
      </c>
      <c r="BB1016">
        <v>-2.4299999999999999E-3</v>
      </c>
      <c r="BC1016">
        <v>1.3140000000000001E-2</v>
      </c>
      <c r="BD1016">
        <v>-4.4000000000000002E-4</v>
      </c>
      <c r="BE1016">
        <v>0.17548</v>
      </c>
      <c r="BF1016">
        <v>1</v>
      </c>
      <c r="BG1016" t="s">
        <v>69</v>
      </c>
      <c r="BH1016">
        <v>-0.30499999999999999</v>
      </c>
      <c r="BI1016">
        <v>-0.747</v>
      </c>
    </row>
    <row r="1017" spans="3:61">
      <c r="C1017">
        <v>2</v>
      </c>
      <c r="D1017">
        <v>150</v>
      </c>
      <c r="E1017">
        <v>40</v>
      </c>
      <c r="F1017" t="s">
        <v>25021</v>
      </c>
      <c r="G1017">
        <v>1902</v>
      </c>
      <c r="H1017" t="s">
        <v>11905</v>
      </c>
      <c r="I1017" t="s">
        <v>62</v>
      </c>
      <c r="J1017">
        <v>1982568</v>
      </c>
      <c r="K1017">
        <v>1990247</v>
      </c>
      <c r="L1017" t="s">
        <v>11906</v>
      </c>
      <c r="M1017">
        <v>2560</v>
      </c>
      <c r="N1017" t="s">
        <v>11907</v>
      </c>
      <c r="O1017">
        <v>35</v>
      </c>
      <c r="P1017" t="str">
        <f>HYPERLINK("Gene1902-zp_tree_all.dnd", "Gene1902-tree")</f>
        <v>Gene1902-tree</v>
      </c>
      <c r="Q1017">
        <v>0</v>
      </c>
      <c r="R1017">
        <v>14</v>
      </c>
      <c r="S1017">
        <v>0</v>
      </c>
      <c r="T1017">
        <v>14</v>
      </c>
      <c r="U1017">
        <v>1</v>
      </c>
      <c r="V1017" t="s">
        <v>62</v>
      </c>
      <c r="W1017" t="s">
        <v>543</v>
      </c>
      <c r="X1017">
        <v>143484786.68799999</v>
      </c>
      <c r="Y1017" t="s">
        <v>65</v>
      </c>
      <c r="Z1017">
        <v>72</v>
      </c>
      <c r="AA1017">
        <v>192</v>
      </c>
      <c r="AB1017">
        <v>162</v>
      </c>
      <c r="AC1017">
        <v>0.54237000000000002</v>
      </c>
      <c r="AD1017" s="47">
        <v>0</v>
      </c>
      <c r="AE1017" s="47">
        <v>0</v>
      </c>
      <c r="AF1017" s="47">
        <v>0</v>
      </c>
      <c r="AG1017" s="47">
        <v>0</v>
      </c>
      <c r="AH1017" s="47">
        <v>0</v>
      </c>
      <c r="AI1017" s="47">
        <v>47</v>
      </c>
      <c r="AJ1017" s="47">
        <v>56</v>
      </c>
      <c r="AK1017" s="47">
        <v>103</v>
      </c>
      <c r="AL1017">
        <v>141</v>
      </c>
      <c r="AM1017">
        <v>0.42213000000000001</v>
      </c>
      <c r="AN1017">
        <v>11</v>
      </c>
      <c r="AO1017">
        <v>11</v>
      </c>
      <c r="AP1017">
        <v>261</v>
      </c>
      <c r="AQ1017">
        <v>226</v>
      </c>
      <c r="AR1017">
        <v>204</v>
      </c>
      <c r="AS1017">
        <v>142</v>
      </c>
      <c r="AT1017" t="s">
        <v>11908</v>
      </c>
      <c r="AU1017" t="s">
        <v>11909</v>
      </c>
      <c r="AV1017">
        <v>0.35799999999999998</v>
      </c>
      <c r="AW1017" t="s">
        <v>65</v>
      </c>
      <c r="AX1017">
        <v>465</v>
      </c>
      <c r="AY1017">
        <v>368</v>
      </c>
      <c r="AZ1017" t="s">
        <v>11910</v>
      </c>
      <c r="BA1017">
        <v>5.237E-2</v>
      </c>
      <c r="BB1017">
        <v>-2.0699999999999998E-3</v>
      </c>
      <c r="BC1017">
        <v>1.1339999999999999E-2</v>
      </c>
      <c r="BD1017">
        <v>-3.8999999999999999E-4</v>
      </c>
      <c r="BE1017">
        <v>0.21662000000000001</v>
      </c>
      <c r="BF1017">
        <v>1</v>
      </c>
      <c r="BG1017" t="s">
        <v>69</v>
      </c>
      <c r="BH1017">
        <v>-0.94799999999999995</v>
      </c>
      <c r="BI1017">
        <v>-1.53</v>
      </c>
    </row>
    <row r="1018" spans="3:61">
      <c r="C1018">
        <v>0</v>
      </c>
      <c r="D1018">
        <v>177</v>
      </c>
      <c r="E1018">
        <v>21</v>
      </c>
      <c r="F1018" t="s">
        <v>25021</v>
      </c>
      <c r="G1018">
        <v>1903</v>
      </c>
      <c r="H1018" t="s">
        <v>11913</v>
      </c>
      <c r="I1018" t="s">
        <v>62</v>
      </c>
      <c r="J1018">
        <v>1990275</v>
      </c>
      <c r="K1018">
        <v>1997957</v>
      </c>
      <c r="L1018" t="s">
        <v>11914</v>
      </c>
      <c r="M1018">
        <v>2561</v>
      </c>
      <c r="N1018" t="s">
        <v>11915</v>
      </c>
      <c r="O1018">
        <v>33</v>
      </c>
      <c r="P1018" t="str">
        <f>HYPERLINK("Gene1903-zp_tree_all.dnd", "Gene1903-tree")</f>
        <v>Gene1903-tree</v>
      </c>
      <c r="Q1018">
        <v>2</v>
      </c>
      <c r="R1018">
        <v>15</v>
      </c>
      <c r="S1018">
        <v>2</v>
      </c>
      <c r="T1018">
        <v>15</v>
      </c>
      <c r="U1018">
        <v>0.88234999999999997</v>
      </c>
      <c r="V1018" t="s">
        <v>81</v>
      </c>
      <c r="W1018" t="s">
        <v>100</v>
      </c>
      <c r="X1018" t="s">
        <v>62</v>
      </c>
      <c r="Y1018" t="s">
        <v>62</v>
      </c>
      <c r="Z1018">
        <v>66</v>
      </c>
      <c r="AA1018">
        <v>198</v>
      </c>
      <c r="AB1018">
        <v>132</v>
      </c>
      <c r="AC1018">
        <v>0.6</v>
      </c>
      <c r="AD1018" s="47">
        <v>0</v>
      </c>
      <c r="AE1018" s="47">
        <v>0</v>
      </c>
      <c r="AF1018" s="47">
        <v>0</v>
      </c>
      <c r="AG1018" s="47">
        <v>0</v>
      </c>
      <c r="AH1018" s="47">
        <v>0</v>
      </c>
      <c r="AI1018" s="47">
        <v>45</v>
      </c>
      <c r="AJ1018" s="47">
        <v>25</v>
      </c>
      <c r="AK1018" s="47">
        <v>70</v>
      </c>
      <c r="AL1018">
        <v>111</v>
      </c>
      <c r="AM1018">
        <v>0.38673999999999997</v>
      </c>
      <c r="AN1018">
        <v>15</v>
      </c>
      <c r="AO1018">
        <v>12</v>
      </c>
      <c r="AP1018">
        <v>252</v>
      </c>
      <c r="AQ1018">
        <v>188</v>
      </c>
      <c r="AR1018">
        <v>216</v>
      </c>
      <c r="AS1018">
        <v>162</v>
      </c>
      <c r="AT1018" t="s">
        <v>11916</v>
      </c>
      <c r="AU1018" t="s">
        <v>11917</v>
      </c>
      <c r="AV1018">
        <v>1.9E-2</v>
      </c>
      <c r="AW1018" t="s">
        <v>65</v>
      </c>
      <c r="AX1018">
        <v>468</v>
      </c>
      <c r="AY1018">
        <v>350</v>
      </c>
      <c r="AZ1018" t="s">
        <v>11918</v>
      </c>
      <c r="BA1018">
        <v>4.6580000000000003E-2</v>
      </c>
      <c r="BB1018">
        <v>-1.4599999999999999E-3</v>
      </c>
      <c r="BC1018">
        <v>9.7099999999999999E-3</v>
      </c>
      <c r="BD1018">
        <v>-3.1E-4</v>
      </c>
      <c r="BE1018">
        <v>0.20852999999999999</v>
      </c>
      <c r="BF1018">
        <v>1</v>
      </c>
      <c r="BG1018" t="s">
        <v>69</v>
      </c>
      <c r="BH1018">
        <v>-0.89700000000000002</v>
      </c>
      <c r="BI1018">
        <v>-0.97899999999999998</v>
      </c>
    </row>
    <row r="1019" spans="3:61">
      <c r="C1019">
        <v>0</v>
      </c>
      <c r="D1019">
        <v>179</v>
      </c>
      <c r="E1019">
        <v>16</v>
      </c>
      <c r="F1019" t="s">
        <v>25021</v>
      </c>
      <c r="G1019">
        <v>1900</v>
      </c>
      <c r="H1019" t="s">
        <v>11889</v>
      </c>
      <c r="I1019" t="s">
        <v>62</v>
      </c>
      <c r="J1019">
        <v>1964048</v>
      </c>
      <c r="K1019">
        <v>1974856</v>
      </c>
      <c r="L1019" t="s">
        <v>11890</v>
      </c>
      <c r="M1019">
        <v>3603</v>
      </c>
      <c r="N1019" t="s">
        <v>11891</v>
      </c>
      <c r="O1019">
        <v>26</v>
      </c>
      <c r="P1019" t="str">
        <f>HYPERLINK("Gene1900-zp_tree_all.dnd", "Gene1900-tree")</f>
        <v>Gene1900-tree</v>
      </c>
      <c r="Q1019">
        <v>0</v>
      </c>
      <c r="R1019">
        <v>12</v>
      </c>
      <c r="S1019">
        <v>0</v>
      </c>
      <c r="T1019">
        <v>12</v>
      </c>
      <c r="U1019">
        <v>1</v>
      </c>
      <c r="V1019" t="s">
        <v>62</v>
      </c>
      <c r="W1019" t="s">
        <v>109</v>
      </c>
      <c r="X1019" t="s">
        <v>62</v>
      </c>
      <c r="Y1019" t="s">
        <v>62</v>
      </c>
      <c r="Z1019">
        <v>87</v>
      </c>
      <c r="AA1019">
        <v>195</v>
      </c>
      <c r="AB1019">
        <v>197</v>
      </c>
      <c r="AC1019">
        <v>0.49745</v>
      </c>
      <c r="AD1019" s="47">
        <v>0</v>
      </c>
      <c r="AE1019" s="47">
        <v>0</v>
      </c>
      <c r="AF1019" s="47">
        <v>0</v>
      </c>
      <c r="AG1019" s="47">
        <v>0</v>
      </c>
      <c r="AH1019" s="47">
        <v>0</v>
      </c>
      <c r="AI1019" s="47">
        <v>29</v>
      </c>
      <c r="AJ1019" s="47">
        <v>36</v>
      </c>
      <c r="AK1019" s="47">
        <v>65</v>
      </c>
      <c r="AL1019">
        <v>180</v>
      </c>
      <c r="AM1019">
        <v>0.26530999999999999</v>
      </c>
      <c r="AN1019">
        <v>11</v>
      </c>
      <c r="AO1019">
        <v>9</v>
      </c>
      <c r="AP1019">
        <v>349</v>
      </c>
      <c r="AQ1019">
        <v>249</v>
      </c>
      <c r="AR1019">
        <v>269</v>
      </c>
      <c r="AS1019">
        <v>156</v>
      </c>
      <c r="AT1019" t="s">
        <v>11892</v>
      </c>
      <c r="AU1019" t="s">
        <v>11893</v>
      </c>
      <c r="AV1019">
        <v>0.32700000000000001</v>
      </c>
      <c r="AW1019" t="s">
        <v>65</v>
      </c>
      <c r="AX1019">
        <v>618</v>
      </c>
      <c r="AY1019">
        <v>405</v>
      </c>
      <c r="AZ1019" t="s">
        <v>11894</v>
      </c>
      <c r="BA1019">
        <v>5.7579999999999999E-2</v>
      </c>
      <c r="BB1019">
        <v>-2.7000000000000001E-3</v>
      </c>
      <c r="BC1019">
        <v>1.0699999999999999E-2</v>
      </c>
      <c r="BD1019">
        <v>-4.8000000000000001E-4</v>
      </c>
      <c r="BE1019">
        <v>0.18576999999999999</v>
      </c>
      <c r="BF1019">
        <v>1</v>
      </c>
      <c r="BG1019" t="s">
        <v>69</v>
      </c>
      <c r="BH1019">
        <v>-1.1120000000000001</v>
      </c>
      <c r="BI1019">
        <v>-1.351</v>
      </c>
    </row>
  </sheetData>
  <sortState xmlns:xlrd2="http://schemas.microsoft.com/office/spreadsheetml/2017/richdata2" ref="C3:BI1019">
    <sortCondition ref="M3:M1019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1949A-EDC0-499D-8536-1502BAEA5AC7}">
  <dimension ref="C2:AT68"/>
  <sheetViews>
    <sheetView topLeftCell="L1" zoomScale="90" zoomScaleNormal="90" workbookViewId="0">
      <selection activeCell="AL51" sqref="AL51"/>
    </sheetView>
  </sheetViews>
  <sheetFormatPr baseColWidth="10" defaultColWidth="8.83203125" defaultRowHeight="15"/>
  <cols>
    <col min="3" max="3" width="28.5" bestFit="1" customWidth="1"/>
    <col min="4" max="4" width="9.1640625" style="13"/>
    <col min="6" max="8" width="12" bestFit="1" customWidth="1"/>
    <col min="9" max="9" width="12.1640625" bestFit="1" customWidth="1"/>
    <col min="10" max="10" width="12" bestFit="1" customWidth="1"/>
    <col min="11" max="11" width="16.6640625" bestFit="1" customWidth="1"/>
    <col min="12" max="12" width="11.5" bestFit="1" customWidth="1"/>
    <col min="21" max="21" width="28.5" bestFit="1" customWidth="1"/>
    <col min="22" max="22" width="11" customWidth="1"/>
    <col min="23" max="23" width="13.6640625" bestFit="1" customWidth="1"/>
    <col min="24" max="24" width="12" bestFit="1" customWidth="1"/>
    <col min="25" max="25" width="12.1640625" bestFit="1" customWidth="1"/>
    <col min="26" max="27" width="12" bestFit="1" customWidth="1"/>
    <col min="33" max="33" width="13" bestFit="1" customWidth="1"/>
  </cols>
  <sheetData>
    <row r="2" spans="4:29">
      <c r="D2" s="13" t="s">
        <v>25057</v>
      </c>
    </row>
    <row r="3" spans="4:29">
      <c r="D3" s="26"/>
      <c r="E3" s="27" t="s">
        <v>25028</v>
      </c>
      <c r="F3" s="27" t="s">
        <v>25029</v>
      </c>
      <c r="G3" s="27" t="s">
        <v>51</v>
      </c>
      <c r="H3" s="27" t="s">
        <v>25030</v>
      </c>
      <c r="I3" s="27" t="s">
        <v>25031</v>
      </c>
      <c r="J3" s="27" t="s">
        <v>25042</v>
      </c>
      <c r="K3" s="28" t="s">
        <v>25043</v>
      </c>
    </row>
    <row r="4" spans="4:29">
      <c r="D4" s="29" t="s">
        <v>25022</v>
      </c>
      <c r="E4" s="8">
        <v>5.0698762286130331E-3</v>
      </c>
      <c r="F4" s="8">
        <v>6.0975620677102153E-2</v>
      </c>
      <c r="G4" s="8">
        <v>0.1087308129784909</v>
      </c>
      <c r="H4" s="8">
        <v>14</v>
      </c>
      <c r="I4" s="8">
        <v>2747</v>
      </c>
      <c r="J4" s="8">
        <v>2743</v>
      </c>
      <c r="K4" s="30">
        <v>5.1039008384979948E-3</v>
      </c>
    </row>
    <row r="5" spans="4:29">
      <c r="D5" s="29" t="s">
        <v>25021</v>
      </c>
      <c r="E5" s="8">
        <v>6.0043067846607626E-3</v>
      </c>
      <c r="F5" s="8">
        <v>5.8235594886922364E-2</v>
      </c>
      <c r="G5" s="8">
        <v>0.13368354330708676</v>
      </c>
      <c r="H5" s="8">
        <v>8</v>
      </c>
      <c r="I5" s="8">
        <v>1017</v>
      </c>
      <c r="J5" s="8">
        <v>1016</v>
      </c>
      <c r="K5" s="30">
        <v>7.874015748031496E-3</v>
      </c>
    </row>
    <row r="6" spans="4:29">
      <c r="D6" s="29"/>
      <c r="E6" s="8"/>
      <c r="F6" s="8"/>
      <c r="G6" s="8"/>
      <c r="H6" s="8"/>
      <c r="I6" s="8"/>
      <c r="J6" s="8"/>
      <c r="K6" s="30"/>
    </row>
    <row r="7" spans="4:29">
      <c r="D7" s="31" t="s">
        <v>25039</v>
      </c>
      <c r="E7" s="32"/>
      <c r="F7" s="32"/>
      <c r="G7" s="32"/>
      <c r="H7" s="32"/>
      <c r="I7" s="32"/>
      <c r="J7" s="32"/>
      <c r="K7" s="33">
        <v>0.32500000000000001</v>
      </c>
    </row>
    <row r="9" spans="4:29">
      <c r="D9" s="2" t="s">
        <v>25040</v>
      </c>
    </row>
    <row r="10" spans="4:29">
      <c r="D10" s="34"/>
      <c r="E10" s="35"/>
      <c r="F10" s="35" t="s">
        <v>25025</v>
      </c>
      <c r="G10" s="35" t="s">
        <v>25026</v>
      </c>
      <c r="H10" s="35" t="s">
        <v>25033</v>
      </c>
      <c r="I10" s="35" t="s">
        <v>25027</v>
      </c>
      <c r="J10" s="35" t="s">
        <v>25041</v>
      </c>
      <c r="K10" s="36" t="s">
        <v>25038</v>
      </c>
    </row>
    <row r="11" spans="4:29">
      <c r="D11" s="37" t="s">
        <v>25035</v>
      </c>
      <c r="E11" s="8" t="s">
        <v>25022</v>
      </c>
      <c r="F11" s="8">
        <v>63</v>
      </c>
      <c r="G11" s="8">
        <v>1660</v>
      </c>
      <c r="H11" s="8">
        <v>1723</v>
      </c>
      <c r="I11" s="8">
        <v>874</v>
      </c>
      <c r="J11" s="8">
        <v>2597</v>
      </c>
      <c r="K11" s="30">
        <v>2747</v>
      </c>
    </row>
    <row r="12" spans="4:29">
      <c r="D12" s="37"/>
      <c r="E12" s="8" t="s">
        <v>25021</v>
      </c>
      <c r="F12" s="8">
        <v>29</v>
      </c>
      <c r="G12" s="8">
        <v>617</v>
      </c>
      <c r="H12" s="8">
        <v>646</v>
      </c>
      <c r="I12" s="8">
        <v>345</v>
      </c>
      <c r="J12" s="8">
        <v>991</v>
      </c>
      <c r="K12" s="30">
        <v>1017</v>
      </c>
    </row>
    <row r="13" spans="4:29">
      <c r="D13" s="37"/>
      <c r="E13" s="8" t="s">
        <v>25039</v>
      </c>
      <c r="F13" s="8">
        <v>0.33720899999999998</v>
      </c>
      <c r="G13" s="8">
        <v>0.94699999999999995</v>
      </c>
      <c r="H13" s="8"/>
      <c r="I13" s="8">
        <v>0.83</v>
      </c>
      <c r="J13" s="8"/>
      <c r="K13" s="30"/>
    </row>
    <row r="14" spans="4:29">
      <c r="D14" s="37"/>
      <c r="E14" s="8"/>
      <c r="F14" s="8"/>
      <c r="G14" s="8"/>
      <c r="H14" s="8"/>
      <c r="I14" s="8"/>
      <c r="J14" s="8"/>
      <c r="K14" s="30"/>
    </row>
    <row r="15" spans="4:29">
      <c r="D15" s="37" t="s">
        <v>25036</v>
      </c>
      <c r="E15" s="8" t="s">
        <v>25022</v>
      </c>
      <c r="F15" s="8">
        <v>2.2934109938114306E-2</v>
      </c>
      <c r="G15" s="8">
        <v>0.60429559519475795</v>
      </c>
      <c r="H15" s="8">
        <v>0.62722970513287224</v>
      </c>
      <c r="I15" s="8">
        <v>0.31816527120495086</v>
      </c>
      <c r="J15" s="8">
        <v>0.9453949763378231</v>
      </c>
      <c r="K15" s="30"/>
      <c r="X15">
        <f>SUM(CD!A3:A2749)</f>
        <v>172</v>
      </c>
      <c r="Y15">
        <f>SUM(CD!B3:B2749)</f>
        <v>14126</v>
      </c>
      <c r="Z15">
        <f>Y15+X15</f>
        <v>14298</v>
      </c>
      <c r="AA15">
        <f>SUM(CD!C3:C2749)</f>
        <v>2439</v>
      </c>
      <c r="AB15">
        <f>AA15+Z15</f>
        <v>16737</v>
      </c>
      <c r="AC15">
        <f>COUNTA(CD!A3:A2749)</f>
        <v>2747</v>
      </c>
    </row>
    <row r="16" spans="4:29">
      <c r="D16" s="37"/>
      <c r="E16" s="8" t="s">
        <v>25021</v>
      </c>
      <c r="F16" s="8">
        <v>2.8515240904621434E-2</v>
      </c>
      <c r="G16" s="8">
        <v>0.60668633235004921</v>
      </c>
      <c r="H16" s="8">
        <v>0.63520157325467064</v>
      </c>
      <c r="I16" s="8">
        <v>0.33923303834808261</v>
      </c>
      <c r="J16" s="8">
        <v>0.97443461160275324</v>
      </c>
      <c r="K16" s="30"/>
      <c r="X16">
        <f>SUM(HO!C3:C1019)</f>
        <v>79</v>
      </c>
      <c r="Y16">
        <f>SUM(HO!D3:D1019)</f>
        <v>5803</v>
      </c>
      <c r="Z16">
        <f>Y16+X16</f>
        <v>5882</v>
      </c>
      <c r="AA16">
        <f>SUM(HO!E3:E1019)</f>
        <v>1058</v>
      </c>
      <c r="AB16">
        <f>AA16+Z16</f>
        <v>6940</v>
      </c>
      <c r="AC16">
        <f>COUNTA(HO!C3:C1019)</f>
        <v>1017</v>
      </c>
    </row>
    <row r="17" spans="3:46">
      <c r="D17" s="38"/>
      <c r="E17" s="32" t="s">
        <v>25034</v>
      </c>
      <c r="F17" s="32">
        <v>1.243355028015795</v>
      </c>
      <c r="G17" s="32">
        <v>1.0039562379310754</v>
      </c>
      <c r="H17" s="32">
        <v>1.0127096469707373</v>
      </c>
      <c r="I17" s="32">
        <v>1.0662164260208042</v>
      </c>
      <c r="J17" s="32">
        <v>1.0307169341828122</v>
      </c>
      <c r="K17" s="33"/>
    </row>
    <row r="19" spans="3:46" ht="22" thickBot="1">
      <c r="D19" s="40" t="s">
        <v>25057</v>
      </c>
      <c r="V19" s="40" t="s">
        <v>25057</v>
      </c>
      <c r="AI19" s="8"/>
      <c r="AJ19" s="8"/>
      <c r="AK19" s="8"/>
    </row>
    <row r="20" spans="3:46">
      <c r="C20" s="2" t="s">
        <v>25055</v>
      </c>
      <c r="D20" s="14"/>
      <c r="E20" s="5"/>
      <c r="F20" s="21" t="s">
        <v>25025</v>
      </c>
      <c r="G20" s="21" t="s">
        <v>25026</v>
      </c>
      <c r="H20" s="21" t="s">
        <v>25033</v>
      </c>
      <c r="I20" s="21" t="s">
        <v>25027</v>
      </c>
      <c r="J20" s="21" t="s">
        <v>25048</v>
      </c>
      <c r="K20" s="22" t="s">
        <v>25038</v>
      </c>
      <c r="L20" s="4"/>
      <c r="M20" s="5"/>
      <c r="N20" s="15" t="s">
        <v>25062</v>
      </c>
      <c r="O20" s="15" t="s">
        <v>25042</v>
      </c>
      <c r="P20" s="15" t="s">
        <v>25043</v>
      </c>
      <c r="Q20" s="6"/>
      <c r="U20" s="2" t="s">
        <v>25055</v>
      </c>
      <c r="V20" s="39"/>
      <c r="W20" s="5"/>
      <c r="X20" s="5" t="s">
        <v>25025</v>
      </c>
      <c r="Y20" s="5" t="s">
        <v>25026</v>
      </c>
      <c r="Z20" s="5" t="s">
        <v>25033</v>
      </c>
      <c r="AA20" s="5" t="s">
        <v>25027</v>
      </c>
      <c r="AB20" s="5" t="s">
        <v>25048</v>
      </c>
      <c r="AC20" s="5" t="s">
        <v>25061</v>
      </c>
      <c r="AD20" s="5"/>
      <c r="AE20" s="5"/>
      <c r="AF20" s="5"/>
      <c r="AG20" s="5" t="s">
        <v>25062</v>
      </c>
      <c r="AH20" s="5" t="s">
        <v>25031</v>
      </c>
      <c r="AI20" s="5" t="s">
        <v>25046</v>
      </c>
      <c r="AJ20" s="6" t="s">
        <v>25036</v>
      </c>
      <c r="AK20" s="4"/>
      <c r="AL20" s="5"/>
      <c r="AM20" s="5"/>
      <c r="AN20" s="5" t="s">
        <v>25029</v>
      </c>
      <c r="AO20" s="5" t="s">
        <v>25028</v>
      </c>
      <c r="AP20" s="6" t="s">
        <v>51</v>
      </c>
    </row>
    <row r="21" spans="3:46">
      <c r="D21" s="17" t="s">
        <v>25035</v>
      </c>
      <c r="E21" s="18" t="s">
        <v>25022</v>
      </c>
      <c r="F21" s="8">
        <v>172</v>
      </c>
      <c r="G21" s="8">
        <v>14126</v>
      </c>
      <c r="H21" s="8">
        <v>14298</v>
      </c>
      <c r="I21" s="8">
        <v>2439</v>
      </c>
      <c r="J21" s="8">
        <f>I21+H21</f>
        <v>16737</v>
      </c>
      <c r="K21" s="9">
        <v>2747</v>
      </c>
      <c r="L21" s="7"/>
      <c r="M21" s="18" t="s">
        <v>25022</v>
      </c>
      <c r="N21" s="8">
        <v>14</v>
      </c>
      <c r="O21" s="8">
        <v>2743</v>
      </c>
      <c r="P21" s="8">
        <f>N21/O21</f>
        <v>5.1039008384979948E-3</v>
      </c>
      <c r="Q21" s="9"/>
      <c r="V21" s="7" t="s">
        <v>25060</v>
      </c>
      <c r="W21" s="18" t="s">
        <v>25022</v>
      </c>
      <c r="X21" s="8">
        <v>172</v>
      </c>
      <c r="Y21" s="8">
        <v>14126</v>
      </c>
      <c r="Z21" s="8">
        <v>14298</v>
      </c>
      <c r="AA21" s="8">
        <v>2439</v>
      </c>
      <c r="AB21" s="8">
        <v>16737</v>
      </c>
      <c r="AC21" s="8">
        <v>2747</v>
      </c>
      <c r="AD21" s="8"/>
      <c r="AE21" s="8"/>
      <c r="AF21" s="18" t="s">
        <v>25022</v>
      </c>
      <c r="AG21" s="8">
        <f>COUNTIF(CD!BC3:BC2749,"&gt;1")</f>
        <v>14</v>
      </c>
      <c r="AH21" s="8">
        <v>2747</v>
      </c>
      <c r="AI21" s="8">
        <v>2856</v>
      </c>
      <c r="AJ21" s="9"/>
      <c r="AK21" s="7"/>
      <c r="AL21" s="8" t="s">
        <v>25060</v>
      </c>
      <c r="AM21" s="18" t="s">
        <v>25022</v>
      </c>
      <c r="AN21" s="8">
        <v>6.0975620677102306E-2</v>
      </c>
      <c r="AO21" s="8">
        <v>5.0698762286130418E-3</v>
      </c>
      <c r="AP21" s="9">
        <v>0.10873081297849094</v>
      </c>
    </row>
    <row r="22" spans="3:46">
      <c r="D22" s="17"/>
      <c r="E22" s="18" t="s">
        <v>25021</v>
      </c>
      <c r="F22" s="8">
        <v>79</v>
      </c>
      <c r="G22" s="8">
        <v>5803</v>
      </c>
      <c r="H22" s="8">
        <v>5882</v>
      </c>
      <c r="I22" s="8">
        <v>1058</v>
      </c>
      <c r="J22" s="8">
        <f>I22+H22</f>
        <v>6940</v>
      </c>
      <c r="K22" s="9">
        <v>1017</v>
      </c>
      <c r="L22" s="7"/>
      <c r="M22" s="18" t="s">
        <v>25021</v>
      </c>
      <c r="N22" s="8">
        <v>8</v>
      </c>
      <c r="O22" s="8">
        <v>1016</v>
      </c>
      <c r="P22" s="8">
        <f>N22/O22</f>
        <v>7.874015748031496E-3</v>
      </c>
      <c r="Q22" s="9"/>
      <c r="V22" s="7"/>
      <c r="W22" s="18" t="s">
        <v>25021</v>
      </c>
      <c r="X22" s="8">
        <v>79</v>
      </c>
      <c r="Y22" s="8">
        <v>5803</v>
      </c>
      <c r="Z22" s="8">
        <v>5882</v>
      </c>
      <c r="AA22" s="8">
        <v>1058</v>
      </c>
      <c r="AB22" s="8">
        <v>6940</v>
      </c>
      <c r="AC22" s="8">
        <v>1017</v>
      </c>
      <c r="AD22" s="8"/>
      <c r="AE22" s="8"/>
      <c r="AF22" s="18" t="s">
        <v>25021</v>
      </c>
      <c r="AG22" s="8">
        <f>COUNTIF(HO!BE3:BE1019,"&gt;1")</f>
        <v>8</v>
      </c>
      <c r="AH22" s="8">
        <v>1017</v>
      </c>
      <c r="AI22" s="8">
        <v>1053</v>
      </c>
      <c r="AJ22" s="9"/>
      <c r="AK22" s="7"/>
      <c r="AL22" s="8"/>
      <c r="AM22" s="18" t="s">
        <v>25021</v>
      </c>
      <c r="AN22" s="8">
        <v>5.8235594886922329E-2</v>
      </c>
      <c r="AO22" s="8">
        <v>6.0043067846607626E-3</v>
      </c>
      <c r="AP22" s="9">
        <v>0.13368354330708657</v>
      </c>
    </row>
    <row r="23" spans="3:46">
      <c r="D23" s="17"/>
      <c r="E23" s="18"/>
      <c r="F23" s="8"/>
      <c r="G23" s="8"/>
      <c r="H23" s="8"/>
      <c r="I23" s="8"/>
      <c r="J23" s="8"/>
      <c r="K23" s="9"/>
      <c r="L23" s="7"/>
      <c r="M23" s="8"/>
      <c r="N23" s="8"/>
      <c r="O23" s="8"/>
      <c r="P23" s="8"/>
      <c r="Q23" s="9"/>
      <c r="V23" s="7"/>
      <c r="W23" s="8"/>
      <c r="X23" s="8"/>
      <c r="Y23" s="8"/>
      <c r="Z23" s="8"/>
      <c r="AA23" s="8"/>
      <c r="AB23" s="8"/>
      <c r="AC23" s="8"/>
      <c r="AD23" s="8"/>
      <c r="AE23" s="8"/>
      <c r="AF23" s="18"/>
      <c r="AG23" s="8"/>
      <c r="AH23" s="8"/>
      <c r="AI23" s="8"/>
      <c r="AJ23" s="9"/>
      <c r="AK23" s="7"/>
      <c r="AL23" s="8"/>
      <c r="AM23" s="8"/>
      <c r="AN23" s="8"/>
      <c r="AO23" s="8"/>
      <c r="AP23" s="9"/>
    </row>
    <row r="24" spans="3:46">
      <c r="D24" s="17" t="s">
        <v>25036</v>
      </c>
      <c r="E24" s="18" t="s">
        <v>25022</v>
      </c>
      <c r="F24" s="23">
        <v>6.261376046596287E-2</v>
      </c>
      <c r="G24" s="23">
        <v>5.1423370950127412</v>
      </c>
      <c r="H24" s="23">
        <v>5.2049508554787041</v>
      </c>
      <c r="I24" s="23">
        <v>0.88787768474699669</v>
      </c>
      <c r="J24" s="23">
        <v>6.0928285402257005</v>
      </c>
      <c r="K24" s="9"/>
      <c r="L24" s="7"/>
      <c r="M24" s="8"/>
      <c r="N24" s="8"/>
      <c r="O24" s="8"/>
      <c r="P24" s="8">
        <v>0.32500000000000001</v>
      </c>
      <c r="Q24" s="9"/>
      <c r="V24" s="7" t="s">
        <v>25036</v>
      </c>
      <c r="W24" s="18" t="s">
        <v>25022</v>
      </c>
      <c r="X24" s="8">
        <f>X21/$AC$21</f>
        <v>6.261376046596287E-2</v>
      </c>
      <c r="Y24" s="8">
        <f t="shared" ref="Y24:AB24" si="0">Y21/$AC$21</f>
        <v>5.1423370950127412</v>
      </c>
      <c r="Z24" s="8">
        <f t="shared" si="0"/>
        <v>5.2049508554787041</v>
      </c>
      <c r="AA24" s="8">
        <f t="shared" si="0"/>
        <v>0.88787768474699669</v>
      </c>
      <c r="AB24" s="8">
        <f t="shared" si="0"/>
        <v>6.0928285402257005</v>
      </c>
      <c r="AC24" s="8"/>
      <c r="AD24" s="8"/>
      <c r="AE24" s="8"/>
      <c r="AF24" s="18" t="s">
        <v>25022</v>
      </c>
      <c r="AG24" s="8">
        <v>5.244755244755245E-3</v>
      </c>
      <c r="AH24" s="8"/>
      <c r="AI24" s="8"/>
      <c r="AJ24" s="9"/>
      <c r="AK24" s="7"/>
      <c r="AL24" s="8"/>
      <c r="AM24" s="8"/>
      <c r="AN24" s="8"/>
      <c r="AO24" s="8"/>
      <c r="AP24" s="9"/>
    </row>
    <row r="25" spans="3:46">
      <c r="D25" s="17"/>
      <c r="E25" s="18" t="s">
        <v>25021</v>
      </c>
      <c r="F25" s="23">
        <v>7.7679449360865294E-2</v>
      </c>
      <c r="G25" s="23">
        <v>5.705998033431662</v>
      </c>
      <c r="H25" s="23">
        <v>5.7836774827925268</v>
      </c>
      <c r="I25" s="23">
        <v>1.0403146509341199</v>
      </c>
      <c r="J25" s="23">
        <v>6.8239921337266471</v>
      </c>
      <c r="K25" s="9"/>
      <c r="L25" s="7"/>
      <c r="M25" s="8"/>
      <c r="N25" s="8"/>
      <c r="O25" s="8"/>
      <c r="P25" s="8"/>
      <c r="Q25" s="9"/>
      <c r="V25" s="7"/>
      <c r="W25" s="18" t="s">
        <v>25021</v>
      </c>
      <c r="X25" s="8">
        <f>X22/$AC$22</f>
        <v>7.7679449360865294E-2</v>
      </c>
      <c r="Y25" s="8">
        <f t="shared" ref="Y25:AB25" si="1">Y22/$AC$22</f>
        <v>5.705998033431662</v>
      </c>
      <c r="Z25" s="8">
        <f t="shared" si="1"/>
        <v>5.7836774827925268</v>
      </c>
      <c r="AA25" s="8">
        <f t="shared" si="1"/>
        <v>1.0403146509341199</v>
      </c>
      <c r="AB25" s="8">
        <f t="shared" si="1"/>
        <v>6.8239921337266471</v>
      </c>
      <c r="AC25" s="8"/>
      <c r="AD25" s="8"/>
      <c r="AE25" s="8"/>
      <c r="AF25" s="18" t="s">
        <v>25021</v>
      </c>
      <c r="AG25" s="8">
        <v>1.0446343779677113E-2</v>
      </c>
      <c r="AH25" s="8"/>
      <c r="AI25" s="8"/>
      <c r="AJ25" s="9"/>
      <c r="AK25" s="7"/>
      <c r="AL25" s="8"/>
      <c r="AM25" s="8"/>
      <c r="AN25" s="8"/>
      <c r="AO25" s="8"/>
      <c r="AP25" s="9"/>
      <c r="AS25">
        <v>928</v>
      </c>
      <c r="AT25">
        <v>2749</v>
      </c>
    </row>
    <row r="26" spans="3:46">
      <c r="D26" s="17"/>
      <c r="E26" s="18" t="s">
        <v>25034</v>
      </c>
      <c r="F26" s="8">
        <v>1.2406130662459125</v>
      </c>
      <c r="G26" s="8">
        <v>1.1096118220187439</v>
      </c>
      <c r="H26" s="8">
        <v>1.1111877217254911</v>
      </c>
      <c r="I26" s="8">
        <v>1.171686898776559</v>
      </c>
      <c r="J26" s="8">
        <v>1.1200039667411783</v>
      </c>
      <c r="K26" s="9"/>
      <c r="L26" s="7"/>
      <c r="M26" s="8"/>
      <c r="N26" s="8"/>
      <c r="O26" s="8"/>
      <c r="P26" s="8"/>
      <c r="Q26" s="9"/>
      <c r="V26" s="7"/>
      <c r="W26" s="8"/>
      <c r="X26" s="8"/>
      <c r="Y26" s="8"/>
      <c r="Z26" s="8"/>
      <c r="AA26" s="8"/>
      <c r="AB26" s="8"/>
      <c r="AC26" s="8"/>
      <c r="AD26" s="8"/>
      <c r="AE26" s="8"/>
      <c r="AF26" s="18"/>
      <c r="AG26" s="8"/>
      <c r="AH26" s="8"/>
      <c r="AI26" s="8"/>
      <c r="AJ26" s="9"/>
      <c r="AK26" s="7"/>
      <c r="AL26" s="8"/>
      <c r="AM26" s="8"/>
      <c r="AN26" s="8"/>
      <c r="AO26" s="8"/>
      <c r="AP26" s="9"/>
      <c r="AS26">
        <v>420</v>
      </c>
      <c r="AT26">
        <v>1019</v>
      </c>
    </row>
    <row r="27" spans="3:46">
      <c r="D27" s="17"/>
      <c r="E27" s="18"/>
      <c r="F27" s="8"/>
      <c r="G27" s="8"/>
      <c r="H27" s="8"/>
      <c r="I27" s="8"/>
      <c r="J27" s="8"/>
      <c r="K27" s="9"/>
      <c r="L27" s="7"/>
      <c r="M27" s="8"/>
      <c r="N27" s="8"/>
      <c r="O27" s="8"/>
      <c r="P27" s="8"/>
      <c r="Q27" s="9"/>
      <c r="V27" s="7"/>
      <c r="W27" s="8"/>
      <c r="X27" s="8"/>
      <c r="Y27" s="8"/>
      <c r="Z27" s="8"/>
      <c r="AA27" s="8"/>
      <c r="AB27" s="8"/>
      <c r="AC27" s="8"/>
      <c r="AD27" s="8"/>
      <c r="AE27" s="8"/>
      <c r="AF27" s="18"/>
      <c r="AG27" s="8"/>
      <c r="AH27" s="8"/>
      <c r="AI27" s="8"/>
      <c r="AJ27" s="9"/>
      <c r="AK27" s="7"/>
      <c r="AL27" s="8"/>
      <c r="AM27" s="8"/>
      <c r="AN27" s="8"/>
      <c r="AO27" s="8"/>
      <c r="AP27" s="9"/>
    </row>
    <row r="28" spans="3:46" ht="18" thickBot="1">
      <c r="D28" s="19"/>
      <c r="E28" s="20" t="s">
        <v>25032</v>
      </c>
      <c r="F28" s="25">
        <v>0.125028</v>
      </c>
      <c r="G28" s="24">
        <v>9.0840000000000001E-3</v>
      </c>
      <c r="H28" s="24">
        <v>8.1180000000000002E-3</v>
      </c>
      <c r="I28" s="24">
        <v>2.2950000000000002E-3</v>
      </c>
      <c r="J28" s="24">
        <v>3.9940000000000002E-3</v>
      </c>
      <c r="K28" s="12"/>
      <c r="L28" s="10"/>
      <c r="M28" s="11"/>
      <c r="N28" s="11"/>
      <c r="O28" s="11"/>
      <c r="P28" s="11"/>
      <c r="Q28" s="12"/>
      <c r="V28" s="10"/>
      <c r="W28" s="43" t="s">
        <v>25064</v>
      </c>
      <c r="X28" s="46">
        <v>0.125028</v>
      </c>
      <c r="Y28" s="24" t="s">
        <v>25077</v>
      </c>
      <c r="Z28" s="41">
        <v>8.1180000000000002E-3</v>
      </c>
      <c r="AA28" s="24">
        <v>2.2950000000000002E-3</v>
      </c>
      <c r="AB28" s="24">
        <v>3.9940000000000002E-3</v>
      </c>
      <c r="AC28" s="11"/>
      <c r="AD28" s="11"/>
      <c r="AE28" s="11"/>
      <c r="AF28" s="43" t="s">
        <v>25064</v>
      </c>
      <c r="AG28" s="11"/>
      <c r="AH28" s="25"/>
      <c r="AI28" s="25"/>
      <c r="AJ28" s="12"/>
      <c r="AK28" s="10"/>
      <c r="AL28" s="11"/>
      <c r="AM28" s="11"/>
      <c r="AN28" s="11"/>
      <c r="AO28" s="11"/>
      <c r="AP28" s="12"/>
    </row>
    <row r="29" spans="3:46">
      <c r="C29" s="2" t="s">
        <v>25056</v>
      </c>
      <c r="D29" s="14"/>
      <c r="E29" s="5"/>
      <c r="F29" s="21" t="s">
        <v>25025</v>
      </c>
      <c r="G29" s="21" t="s">
        <v>25026</v>
      </c>
      <c r="H29" s="21" t="s">
        <v>25033</v>
      </c>
      <c r="I29" s="21" t="s">
        <v>25027</v>
      </c>
      <c r="J29" s="21" t="s">
        <v>25048</v>
      </c>
      <c r="K29" s="22" t="s">
        <v>25038</v>
      </c>
      <c r="L29" s="4"/>
      <c r="M29" s="5"/>
      <c r="N29" s="15" t="s">
        <v>25062</v>
      </c>
      <c r="O29" s="15" t="s">
        <v>25042</v>
      </c>
      <c r="P29" s="15" t="s">
        <v>25043</v>
      </c>
      <c r="Q29" s="6"/>
      <c r="U29" s="2" t="s">
        <v>25056</v>
      </c>
      <c r="V29" s="4"/>
      <c r="W29" s="5"/>
      <c r="X29" s="15" t="s">
        <v>25025</v>
      </c>
      <c r="Y29" s="15" t="s">
        <v>25026</v>
      </c>
      <c r="Z29" s="15" t="s">
        <v>25033</v>
      </c>
      <c r="AA29" s="15" t="s">
        <v>25027</v>
      </c>
      <c r="AB29" s="15" t="s">
        <v>25048</v>
      </c>
      <c r="AC29" s="15" t="s">
        <v>25038</v>
      </c>
      <c r="AD29" s="5"/>
      <c r="AE29" s="5"/>
      <c r="AF29" s="5"/>
      <c r="AG29" s="15" t="s">
        <v>25059</v>
      </c>
      <c r="AH29" s="15" t="s">
        <v>25031</v>
      </c>
      <c r="AI29" s="5"/>
      <c r="AJ29" s="6"/>
      <c r="AK29" s="4"/>
      <c r="AL29" s="5"/>
      <c r="AM29" s="5"/>
      <c r="AN29" s="5"/>
      <c r="AO29" s="5"/>
      <c r="AP29" s="6"/>
    </row>
    <row r="30" spans="3:46">
      <c r="D30" s="17" t="s">
        <v>25035</v>
      </c>
      <c r="E30" s="18" t="s">
        <v>25022</v>
      </c>
      <c r="F30" s="8">
        <f>SUM(CD!A927:A2749)</f>
        <v>156</v>
      </c>
      <c r="G30" s="8">
        <f>SUM(CD!B927:B2749)</f>
        <v>12770</v>
      </c>
      <c r="H30" s="8">
        <f>G30+F30</f>
        <v>12926</v>
      </c>
      <c r="I30" s="8">
        <f>SUM(CD!C927:C2749)</f>
        <v>1973</v>
      </c>
      <c r="J30" s="8">
        <f>I30+H30</f>
        <v>14899</v>
      </c>
      <c r="K30" s="9">
        <f>COUNTA(CD!A927:A2749)</f>
        <v>1823</v>
      </c>
      <c r="L30" s="7"/>
      <c r="M30" s="18" t="s">
        <v>25022</v>
      </c>
      <c r="N30" s="8">
        <f>COUNTIF(CD!BC927:BC2749,"&gt;1")</f>
        <v>0</v>
      </c>
      <c r="O30" s="8">
        <f>(COUNTA(CD!BC927:BC2749)-1)-(COUNTIF(CD!BC927:BC2749,"inf"))</f>
        <v>1821</v>
      </c>
      <c r="P30" s="8">
        <f>N30/O30</f>
        <v>0</v>
      </c>
      <c r="Q30" s="9"/>
      <c r="V30" s="7"/>
      <c r="W30" s="18" t="s">
        <v>25022</v>
      </c>
      <c r="X30" s="8">
        <f>SUM(CD!A927:A2749)</f>
        <v>156</v>
      </c>
      <c r="Y30" s="8">
        <f>SUM(CD!B927:B2749)</f>
        <v>12770</v>
      </c>
      <c r="Z30" s="8">
        <v>14298</v>
      </c>
      <c r="AA30" s="8">
        <f>SUM(CD!C927:C2749)</f>
        <v>1973</v>
      </c>
      <c r="AB30" s="8">
        <v>14298</v>
      </c>
      <c r="AC30" s="8">
        <f>COUNTA(CD!A927:A2749)</f>
        <v>1823</v>
      </c>
      <c r="AD30" s="8"/>
      <c r="AE30" s="8"/>
      <c r="AF30" s="18" t="s">
        <v>25022</v>
      </c>
      <c r="AG30" s="8">
        <f>COUNTIF(CD!BC927:BC2749,"&gt;1")</f>
        <v>0</v>
      </c>
      <c r="AH30" s="8">
        <v>1823</v>
      </c>
      <c r="AI30" s="8"/>
      <c r="AJ30" s="9"/>
      <c r="AK30" s="7"/>
      <c r="AL30" s="8" t="s">
        <v>25036</v>
      </c>
      <c r="AM30" s="18" t="s">
        <v>25022</v>
      </c>
      <c r="AN30" s="8">
        <f>AVERAGE(CD!AY928:AY2749)</f>
        <v>5.8136306256860559E-2</v>
      </c>
      <c r="AO30" s="8">
        <f>AVERAGE(CD!BA928:BA2749)</f>
        <v>4.2135400658616842E-3</v>
      </c>
      <c r="AP30" s="9">
        <f>AVERAGE(CD!BC928:BC2749)</f>
        <v>8.5899835255354176E-2</v>
      </c>
    </row>
    <row r="31" spans="3:46">
      <c r="D31" s="17"/>
      <c r="E31" s="18" t="s">
        <v>25021</v>
      </c>
      <c r="F31" s="8">
        <f>SUM(HO!C420:C1019)</f>
        <v>71</v>
      </c>
      <c r="G31" s="8">
        <f>SUM(HO!D420:D1019)</f>
        <v>5105</v>
      </c>
      <c r="H31" s="8">
        <f>G31+F31</f>
        <v>5176</v>
      </c>
      <c r="I31" s="8">
        <f>SUM(HO!E420:E1019)</f>
        <v>822</v>
      </c>
      <c r="J31" s="8">
        <f>I31+H31</f>
        <v>5998</v>
      </c>
      <c r="K31" s="9">
        <f>COUNTA(HO!E420:E1019)</f>
        <v>600</v>
      </c>
      <c r="L31" s="7"/>
      <c r="M31" s="18" t="s">
        <v>25021</v>
      </c>
      <c r="N31" s="8">
        <f>COUNTIF(HO!BE420:BE1019,"&gt;1")</f>
        <v>0</v>
      </c>
      <c r="O31" s="8">
        <f>(COUNTA(HO!BE420:BE1019)-1)-(COUNTIF(HO!BE420:BE1019,"inf"))</f>
        <v>599</v>
      </c>
      <c r="P31" s="8">
        <f>N31/O31</f>
        <v>0</v>
      </c>
      <c r="Q31" s="9"/>
      <c r="V31" s="7"/>
      <c r="W31" s="18" t="s">
        <v>25021</v>
      </c>
      <c r="X31" s="8">
        <f>SUM(HO!C420:C1019)</f>
        <v>71</v>
      </c>
      <c r="Y31" s="8">
        <f>SUM(HO!D420:D1019)</f>
        <v>5105</v>
      </c>
      <c r="Z31" s="8">
        <v>5882</v>
      </c>
      <c r="AA31" s="8">
        <f>SUM(HO!E420:E1019)</f>
        <v>822</v>
      </c>
      <c r="AB31" s="8">
        <v>5882</v>
      </c>
      <c r="AC31" s="8">
        <f>COUNTA(HO!C420:C1019)</f>
        <v>600</v>
      </c>
      <c r="AD31" s="8"/>
      <c r="AE31" s="8"/>
      <c r="AF31" s="18" t="s">
        <v>25021</v>
      </c>
      <c r="AG31" s="8">
        <f>COUNTIF(HO!BE420:BE1019,"&gt;1")</f>
        <v>0</v>
      </c>
      <c r="AH31" s="8">
        <v>600</v>
      </c>
      <c r="AI31" s="8"/>
      <c r="AJ31" s="9"/>
      <c r="AK31" s="7"/>
      <c r="AL31" s="8"/>
      <c r="AM31" s="18" t="s">
        <v>25021</v>
      </c>
      <c r="AN31" s="8">
        <f>AVERAGE(HO!BA420:BA1019)</f>
        <v>5.3764433333333271E-2</v>
      </c>
      <c r="AO31" s="8">
        <f>AVERAGE(HO!BC420:BC1019)</f>
        <v>4.8541500000000041E-3</v>
      </c>
      <c r="AP31" s="9">
        <f>AVERAGE(HO!BE420:BE1019)</f>
        <v>0.1020098</v>
      </c>
    </row>
    <row r="32" spans="3:46">
      <c r="D32" s="17"/>
      <c r="E32" s="18"/>
      <c r="F32" s="8"/>
      <c r="G32" s="8"/>
      <c r="H32" s="8"/>
      <c r="I32" s="8"/>
      <c r="J32" s="8"/>
      <c r="K32" s="9"/>
      <c r="L32" s="7"/>
      <c r="M32" s="8"/>
      <c r="N32" s="8"/>
      <c r="O32" s="8"/>
      <c r="P32" s="8"/>
      <c r="Q32" s="9"/>
      <c r="V32" s="7"/>
      <c r="W32" s="18"/>
      <c r="X32" s="8"/>
      <c r="Y32" s="8"/>
      <c r="Z32" s="8"/>
      <c r="AA32" s="8"/>
      <c r="AB32" s="8"/>
      <c r="AC32" s="8"/>
      <c r="AD32" s="8"/>
      <c r="AE32" s="8"/>
      <c r="AF32" s="18"/>
      <c r="AG32" s="8"/>
      <c r="AH32" s="8"/>
      <c r="AI32" s="8"/>
      <c r="AJ32" s="9"/>
      <c r="AK32" s="7"/>
      <c r="AL32" s="8"/>
      <c r="AM32" s="8"/>
      <c r="AN32" s="8"/>
      <c r="AO32" s="8"/>
      <c r="AP32" s="9"/>
    </row>
    <row r="33" spans="3:42">
      <c r="D33" s="17" t="s">
        <v>25036</v>
      </c>
      <c r="E33" s="18" t="s">
        <v>25022</v>
      </c>
      <c r="F33" s="23">
        <f>F30/$K$30</f>
        <v>8.5573230938014264E-2</v>
      </c>
      <c r="G33" s="23">
        <f>G30/$K$30</f>
        <v>7.0049369171695011</v>
      </c>
      <c r="H33" s="23">
        <f>H30/$K$30</f>
        <v>7.0905101481075148</v>
      </c>
      <c r="I33" s="23">
        <f>I30/$K$30</f>
        <v>1.0822819528250136</v>
      </c>
      <c r="J33" s="23">
        <f>J30/$K$30</f>
        <v>8.1727921009325293</v>
      </c>
      <c r="K33" s="9"/>
      <c r="L33" s="7"/>
      <c r="M33" s="8"/>
      <c r="N33" s="8"/>
      <c r="O33" s="8"/>
      <c r="P33" s="8"/>
      <c r="Q33" s="9"/>
      <c r="V33" s="7"/>
      <c r="W33" s="18" t="s">
        <v>25022</v>
      </c>
      <c r="X33" s="8">
        <f>X30/$AC$30</f>
        <v>8.5573230938014264E-2</v>
      </c>
      <c r="Y33" s="8">
        <f t="shared" ref="Y33" si="2">Y30/$AC$30</f>
        <v>7.0049369171695011</v>
      </c>
      <c r="Z33" s="8">
        <f>AA30/$AC$30</f>
        <v>1.0822819528250136</v>
      </c>
      <c r="AA33" s="8">
        <f>AA30/AC30</f>
        <v>1.0822819528250136</v>
      </c>
      <c r="AB33" s="8">
        <f>AB30/$AC$30</f>
        <v>7.8431157432803076</v>
      </c>
      <c r="AC33" s="8"/>
      <c r="AD33" s="8"/>
      <c r="AE33" s="8"/>
      <c r="AF33" s="18" t="s">
        <v>25022</v>
      </c>
      <c r="AG33" s="8">
        <v>0</v>
      </c>
      <c r="AH33" s="8"/>
      <c r="AI33" s="8"/>
      <c r="AJ33" s="9"/>
      <c r="AK33" s="7"/>
      <c r="AL33" s="8"/>
      <c r="AM33" s="8"/>
      <c r="AN33" s="8"/>
      <c r="AO33" s="8"/>
      <c r="AP33" s="9"/>
    </row>
    <row r="34" spans="3:42">
      <c r="D34" s="17"/>
      <c r="E34" s="18" t="s">
        <v>25021</v>
      </c>
      <c r="F34" s="23">
        <f>F31/$K$31</f>
        <v>0.11833333333333333</v>
      </c>
      <c r="G34" s="23">
        <f>G31/$K$31</f>
        <v>8.5083333333333329</v>
      </c>
      <c r="H34" s="23">
        <f>H31/$K$31</f>
        <v>8.6266666666666669</v>
      </c>
      <c r="I34" s="23">
        <f>I31/$K$31</f>
        <v>1.37</v>
      </c>
      <c r="J34" s="23">
        <f>J31/$K$31</f>
        <v>9.9966666666666661</v>
      </c>
      <c r="K34" s="9"/>
      <c r="L34" s="7"/>
      <c r="M34" s="8"/>
      <c r="N34" s="8"/>
      <c r="O34" s="8"/>
      <c r="P34" s="8"/>
      <c r="Q34" s="9"/>
      <c r="V34" s="7"/>
      <c r="W34" s="18" t="s">
        <v>25021</v>
      </c>
      <c r="X34" s="8">
        <f>X31/$AC$31</f>
        <v>0.11833333333333333</v>
      </c>
      <c r="Y34" s="8">
        <f t="shared" ref="Y34:AB34" si="3">Y31/$AC$31</f>
        <v>8.5083333333333329</v>
      </c>
      <c r="Z34" s="8">
        <f>AA31/$AC$31</f>
        <v>1.37</v>
      </c>
      <c r="AA34" s="8">
        <f>AA31/AC31</f>
        <v>1.37</v>
      </c>
      <c r="AB34" s="8">
        <f t="shared" si="3"/>
        <v>9.8033333333333328</v>
      </c>
      <c r="AC34" s="8"/>
      <c r="AD34" s="8"/>
      <c r="AE34" s="8"/>
      <c r="AF34" s="18" t="s">
        <v>25021</v>
      </c>
      <c r="AG34" s="8">
        <v>0</v>
      </c>
      <c r="AH34" s="8"/>
      <c r="AI34" s="8"/>
      <c r="AJ34" s="9"/>
      <c r="AK34" s="7"/>
      <c r="AL34" s="8"/>
      <c r="AM34" s="8"/>
      <c r="AN34" s="8"/>
      <c r="AO34" s="8"/>
      <c r="AP34" s="9"/>
    </row>
    <row r="35" spans="3:42">
      <c r="D35" s="17"/>
      <c r="E35" s="18" t="s">
        <v>25034</v>
      </c>
      <c r="F35" s="8"/>
      <c r="G35" s="8"/>
      <c r="H35" s="8"/>
      <c r="I35" s="8"/>
      <c r="J35" s="8"/>
      <c r="K35" s="9"/>
      <c r="L35" s="7"/>
      <c r="M35" s="8"/>
      <c r="N35" s="8"/>
      <c r="O35" s="8"/>
      <c r="P35" s="8"/>
      <c r="Q35" s="9"/>
      <c r="V35" s="7"/>
      <c r="W35" s="42" t="s">
        <v>25064</v>
      </c>
      <c r="X35" s="41" t="s">
        <v>25078</v>
      </c>
      <c r="Y35" s="41">
        <v>9.6000000000000002E-5</v>
      </c>
      <c r="Z35" s="41" t="s">
        <v>25063</v>
      </c>
      <c r="AA35" s="41" t="s">
        <v>25079</v>
      </c>
      <c r="AB35" s="41" t="s">
        <v>25063</v>
      </c>
      <c r="AC35" s="8"/>
      <c r="AD35" s="8"/>
      <c r="AE35" s="8"/>
      <c r="AF35" s="8"/>
      <c r="AG35" s="8"/>
      <c r="AH35" s="8"/>
      <c r="AI35" s="8"/>
      <c r="AJ35" s="9"/>
      <c r="AK35" s="7"/>
      <c r="AL35" s="8"/>
      <c r="AM35" s="8"/>
      <c r="AN35" s="8"/>
      <c r="AO35" s="8"/>
      <c r="AP35" s="9"/>
    </row>
    <row r="36" spans="3:42">
      <c r="D36" s="17"/>
      <c r="E36" s="18"/>
      <c r="F36" s="8"/>
      <c r="G36" s="8"/>
      <c r="H36" s="8"/>
      <c r="I36" s="8"/>
      <c r="J36" s="8"/>
      <c r="K36" s="9"/>
      <c r="L36" s="7"/>
      <c r="M36" s="8"/>
      <c r="N36" s="8"/>
      <c r="O36" s="8"/>
      <c r="P36" s="8"/>
      <c r="Q36" s="9"/>
      <c r="V36" s="7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9"/>
      <c r="AK36" s="7"/>
      <c r="AL36" s="8"/>
      <c r="AM36" s="8"/>
      <c r="AN36" s="8"/>
      <c r="AO36" s="8"/>
      <c r="AP36" s="9"/>
    </row>
    <row r="37" spans="3:42" ht="16" thickBot="1">
      <c r="D37" s="19"/>
      <c r="E37" s="20" t="s">
        <v>25032</v>
      </c>
      <c r="F37" s="24">
        <v>3.0897000000000001E-2</v>
      </c>
      <c r="G37" s="24">
        <v>9.6000000000000002E-5</v>
      </c>
      <c r="H37" s="24" t="s">
        <v>25058</v>
      </c>
      <c r="I37" s="24">
        <v>1.7000000000000001E-4</v>
      </c>
      <c r="J37" s="24">
        <v>4.6E-5</v>
      </c>
      <c r="K37" s="12"/>
      <c r="L37" s="10"/>
      <c r="M37" s="11"/>
      <c r="N37" s="11"/>
      <c r="O37" s="11"/>
      <c r="P37" s="11"/>
      <c r="Q37" s="12"/>
      <c r="V37" s="10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2"/>
      <c r="AK37" s="10"/>
      <c r="AL37" s="11"/>
      <c r="AM37" s="11"/>
      <c r="AN37" s="11"/>
      <c r="AO37" s="11"/>
      <c r="AP37" s="12"/>
    </row>
    <row r="40" spans="3:42" ht="22" thickBot="1">
      <c r="D40" s="45" t="s">
        <v>25076</v>
      </c>
    </row>
    <row r="41" spans="3:42">
      <c r="C41" s="2" t="s">
        <v>25055</v>
      </c>
      <c r="D41" s="4"/>
      <c r="E41" s="15"/>
      <c r="F41" s="15" t="s">
        <v>25065</v>
      </c>
      <c r="G41" s="15" t="s">
        <v>25026</v>
      </c>
      <c r="H41" s="15" t="s">
        <v>25033</v>
      </c>
      <c r="I41" s="15" t="s">
        <v>25027</v>
      </c>
      <c r="J41" s="15" t="s">
        <v>25048</v>
      </c>
      <c r="K41" s="16" t="s">
        <v>25066</v>
      </c>
      <c r="L41" s="4"/>
      <c r="M41" s="5"/>
      <c r="N41" s="15" t="s">
        <v>25068</v>
      </c>
      <c r="O41" s="15" t="s">
        <v>25036</v>
      </c>
      <c r="P41" s="5"/>
      <c r="Q41" s="6"/>
    </row>
    <row r="42" spans="3:42">
      <c r="D42" s="17" t="s">
        <v>25035</v>
      </c>
      <c r="E42" s="18" t="s">
        <v>25022</v>
      </c>
      <c r="F42" s="8">
        <v>30</v>
      </c>
      <c r="G42" s="8">
        <v>5928</v>
      </c>
      <c r="H42" s="8">
        <v>5958</v>
      </c>
      <c r="I42" s="8">
        <v>1347</v>
      </c>
      <c r="J42" s="8">
        <v>7305</v>
      </c>
      <c r="K42" s="9">
        <v>2581</v>
      </c>
      <c r="L42" s="7"/>
      <c r="M42" s="8" t="s">
        <v>25022</v>
      </c>
      <c r="N42" s="8">
        <v>9</v>
      </c>
      <c r="O42" s="8">
        <v>3.4870205346764819E-3</v>
      </c>
      <c r="P42" s="8"/>
      <c r="Q42" s="9"/>
    </row>
    <row r="43" spans="3:42">
      <c r="D43" s="17"/>
      <c r="E43" s="18" t="s">
        <v>25021</v>
      </c>
      <c r="F43" s="8">
        <v>16</v>
      </c>
      <c r="G43" s="8">
        <v>2168</v>
      </c>
      <c r="H43" s="8">
        <v>2184</v>
      </c>
      <c r="I43" s="8">
        <v>585</v>
      </c>
      <c r="J43" s="8">
        <v>2769</v>
      </c>
      <c r="K43" s="9">
        <v>925</v>
      </c>
      <c r="L43" s="7"/>
      <c r="M43" s="8" t="s">
        <v>25021</v>
      </c>
      <c r="N43" s="8">
        <v>9</v>
      </c>
      <c r="O43" s="8">
        <v>9.7297297297297292E-3</v>
      </c>
      <c r="P43" s="8"/>
      <c r="Q43" s="9"/>
    </row>
    <row r="44" spans="3:42">
      <c r="D44" s="17"/>
      <c r="E44" s="18"/>
      <c r="F44" s="8"/>
      <c r="G44" s="8"/>
      <c r="H44" s="8"/>
      <c r="I44" s="8"/>
      <c r="J44" s="8"/>
      <c r="K44" s="9"/>
      <c r="L44" s="7"/>
      <c r="M44" s="8" t="s">
        <v>25067</v>
      </c>
      <c r="N44" s="8">
        <v>2.3549E-2</v>
      </c>
      <c r="O44" s="8"/>
      <c r="P44" s="8"/>
      <c r="Q44" s="9"/>
    </row>
    <row r="45" spans="3:42">
      <c r="D45" s="17" t="s">
        <v>25036</v>
      </c>
      <c r="E45" s="18" t="s">
        <v>25022</v>
      </c>
      <c r="F45" s="8">
        <v>1.162340178225494E-2</v>
      </c>
      <c r="G45" s="8">
        <v>2.2967841921735763</v>
      </c>
      <c r="H45" s="8">
        <v>2.3084075939558311</v>
      </c>
      <c r="I45" s="8">
        <v>0.52189074002324676</v>
      </c>
      <c r="J45" s="8">
        <v>2.8302983339790777</v>
      </c>
      <c r="K45" s="9"/>
      <c r="L45" s="7"/>
      <c r="M45" s="8"/>
      <c r="N45" s="8"/>
      <c r="O45" s="8"/>
      <c r="P45" s="8"/>
      <c r="Q45" s="9"/>
    </row>
    <row r="46" spans="3:42">
      <c r="D46" s="7"/>
      <c r="E46" s="18" t="s">
        <v>25021</v>
      </c>
      <c r="F46" s="8">
        <v>1.7297297297297298E-2</v>
      </c>
      <c r="G46" s="8">
        <v>2.3437837837837838</v>
      </c>
      <c r="H46" s="8">
        <v>2.3610810810810809</v>
      </c>
      <c r="I46" s="8">
        <v>0.63243243243243241</v>
      </c>
      <c r="J46" s="8">
        <v>2.9935135135135136</v>
      </c>
      <c r="K46" s="9"/>
      <c r="L46" s="7"/>
      <c r="M46" s="8"/>
      <c r="N46" s="8"/>
      <c r="O46" s="8"/>
      <c r="P46" s="8"/>
      <c r="Q46" s="9"/>
    </row>
    <row r="47" spans="3:42">
      <c r="D47" s="7"/>
      <c r="E47" s="18"/>
      <c r="F47" s="8"/>
      <c r="G47" s="8"/>
      <c r="H47" s="8"/>
      <c r="I47" s="8"/>
      <c r="J47" s="8"/>
      <c r="K47" s="9"/>
      <c r="L47" s="7"/>
      <c r="M47" s="8"/>
      <c r="N47" s="8"/>
      <c r="O47" s="8"/>
      <c r="P47" s="8"/>
      <c r="Q47" s="9"/>
    </row>
    <row r="48" spans="3:42" ht="18" thickBot="1">
      <c r="D48" s="10"/>
      <c r="E48" s="20" t="s">
        <v>25067</v>
      </c>
      <c r="F48" s="44">
        <v>0.19966</v>
      </c>
      <c r="G48" s="44">
        <v>0.65834400000000004</v>
      </c>
      <c r="H48" s="25">
        <v>0.622</v>
      </c>
      <c r="I48" s="11"/>
      <c r="J48" s="11"/>
      <c r="K48" s="12"/>
      <c r="L48" s="10"/>
      <c r="M48" s="11"/>
      <c r="N48" s="11"/>
      <c r="O48" s="11"/>
      <c r="P48" s="11"/>
      <c r="Q48" s="12"/>
    </row>
    <row r="49" spans="3:17">
      <c r="C49" s="2" t="s">
        <v>25056</v>
      </c>
      <c r="D49" s="14"/>
      <c r="E49" s="5"/>
      <c r="F49" s="15" t="s">
        <v>25065</v>
      </c>
      <c r="G49" s="15" t="s">
        <v>25026</v>
      </c>
      <c r="H49" s="15" t="s">
        <v>25033</v>
      </c>
      <c r="I49" s="15" t="s">
        <v>25027</v>
      </c>
      <c r="J49" s="15" t="s">
        <v>25048</v>
      </c>
      <c r="K49" s="16" t="s">
        <v>25066</v>
      </c>
      <c r="L49" s="4"/>
      <c r="M49" s="5"/>
      <c r="N49" s="5" t="s">
        <v>25068</v>
      </c>
      <c r="O49" s="5" t="s">
        <v>25036</v>
      </c>
      <c r="P49" s="5"/>
      <c r="Q49" s="6"/>
    </row>
    <row r="50" spans="3:17">
      <c r="C50" s="2"/>
      <c r="D50" s="17" t="s">
        <v>25035</v>
      </c>
      <c r="E50" s="18" t="s">
        <v>25022</v>
      </c>
      <c r="F50" s="8">
        <v>28</v>
      </c>
      <c r="G50" s="8">
        <v>5401</v>
      </c>
      <c r="H50" s="8">
        <v>5429</v>
      </c>
      <c r="I50" s="8">
        <v>1115</v>
      </c>
      <c r="J50" s="8">
        <v>6544</v>
      </c>
      <c r="K50" s="9">
        <v>1786</v>
      </c>
      <c r="L50" s="7"/>
      <c r="M50" s="8" t="s">
        <v>25022</v>
      </c>
      <c r="N50" s="8">
        <v>0</v>
      </c>
      <c r="O50" s="8">
        <v>0</v>
      </c>
      <c r="P50" s="8"/>
      <c r="Q50" s="9"/>
    </row>
    <row r="51" spans="3:17">
      <c r="D51" s="17"/>
      <c r="E51" s="18" t="s">
        <v>25021</v>
      </c>
      <c r="F51" s="8">
        <v>14</v>
      </c>
      <c r="G51" s="8">
        <v>1917</v>
      </c>
      <c r="H51" s="8">
        <v>1931</v>
      </c>
      <c r="I51" s="8">
        <v>473</v>
      </c>
      <c r="J51" s="8">
        <v>2404</v>
      </c>
      <c r="K51" s="9">
        <v>571</v>
      </c>
      <c r="L51" s="7"/>
      <c r="M51" s="8" t="s">
        <v>25021</v>
      </c>
      <c r="N51" s="8">
        <v>0</v>
      </c>
      <c r="O51" s="8">
        <v>0</v>
      </c>
      <c r="P51" s="8"/>
      <c r="Q51" s="9"/>
    </row>
    <row r="52" spans="3:17">
      <c r="D52" s="17"/>
      <c r="E52" s="18"/>
      <c r="F52" s="8"/>
      <c r="G52" s="8"/>
      <c r="H52" s="8"/>
      <c r="I52" s="8"/>
      <c r="J52" s="8"/>
      <c r="K52" s="9"/>
      <c r="L52" s="7"/>
      <c r="M52" s="8" t="s">
        <v>25067</v>
      </c>
      <c r="N52" s="8"/>
      <c r="O52" s="8"/>
      <c r="P52" s="8"/>
      <c r="Q52" s="9"/>
    </row>
    <row r="53" spans="3:17">
      <c r="D53" s="17" t="s">
        <v>25036</v>
      </c>
      <c r="E53" s="18" t="s">
        <v>25022</v>
      </c>
      <c r="F53" s="8">
        <v>1.5677491601343786E-2</v>
      </c>
      <c r="G53" s="8">
        <v>3.0240761478163494</v>
      </c>
      <c r="H53" s="8">
        <v>3.0397536394176932</v>
      </c>
      <c r="I53" s="8">
        <v>0.62430011198208291</v>
      </c>
      <c r="J53" s="8">
        <v>3.6640537513997762</v>
      </c>
      <c r="K53" s="9"/>
      <c r="L53" s="7"/>
      <c r="M53" s="8"/>
      <c r="N53" s="8"/>
      <c r="O53" s="8"/>
      <c r="P53" s="8"/>
      <c r="Q53" s="9"/>
    </row>
    <row r="54" spans="3:17">
      <c r="D54" s="17"/>
      <c r="E54" s="18" t="s">
        <v>25021</v>
      </c>
      <c r="F54" s="8">
        <v>2.4518388791593695E-2</v>
      </c>
      <c r="G54" s="8">
        <v>3.3572679509632226</v>
      </c>
      <c r="H54" s="8">
        <v>3.3817863397548162</v>
      </c>
      <c r="I54" s="8">
        <v>0.82837127845884417</v>
      </c>
      <c r="J54" s="8">
        <v>4.2101576182136604</v>
      </c>
      <c r="K54" s="9"/>
      <c r="L54" s="7"/>
      <c r="M54" s="8"/>
      <c r="N54" s="8"/>
      <c r="O54" s="8"/>
      <c r="P54" s="8"/>
      <c r="Q54" s="9"/>
    </row>
    <row r="55" spans="3:17">
      <c r="D55" s="17"/>
      <c r="E55" s="18"/>
      <c r="F55" s="8"/>
      <c r="G55" s="8"/>
      <c r="H55" s="8"/>
      <c r="I55" s="8"/>
      <c r="J55" s="8"/>
      <c r="K55" s="9"/>
      <c r="L55" s="7"/>
      <c r="M55" s="8"/>
      <c r="N55" s="8"/>
      <c r="O55" s="8"/>
      <c r="P55" s="8"/>
      <c r="Q55" s="9"/>
    </row>
    <row r="56" spans="3:17" ht="16" thickBot="1">
      <c r="D56" s="19"/>
      <c r="E56" s="20" t="s">
        <v>25067</v>
      </c>
      <c r="F56" s="25">
        <v>0.18315600000000001</v>
      </c>
      <c r="G56" s="25">
        <v>8.5986000000000007E-2</v>
      </c>
      <c r="H56" s="25">
        <v>7.8976000000000005E-2</v>
      </c>
      <c r="I56" s="11">
        <v>1.83E-4</v>
      </c>
      <c r="J56" s="11">
        <v>1.6452000000000001E-2</v>
      </c>
      <c r="K56" s="12"/>
      <c r="L56" s="10"/>
      <c r="M56" s="11"/>
      <c r="N56" s="11"/>
      <c r="O56" s="11"/>
      <c r="P56" s="11"/>
      <c r="Q56" s="12"/>
    </row>
    <row r="59" spans="3:17" ht="22" thickBot="1">
      <c r="D59" s="45" t="s">
        <v>25075</v>
      </c>
    </row>
    <row r="60" spans="3:17">
      <c r="C60" s="2" t="s">
        <v>25055</v>
      </c>
      <c r="D60" s="14"/>
      <c r="E60" s="5"/>
      <c r="F60" s="15" t="s">
        <v>25069</v>
      </c>
      <c r="G60" s="15" t="s">
        <v>25070</v>
      </c>
      <c r="H60" s="15" t="s">
        <v>25071</v>
      </c>
      <c r="I60" s="15" t="s">
        <v>25072</v>
      </c>
      <c r="J60" s="15" t="s">
        <v>25073</v>
      </c>
      <c r="K60" s="16" t="s">
        <v>25074</v>
      </c>
      <c r="L60" s="4"/>
      <c r="M60" s="5"/>
      <c r="N60" s="5"/>
      <c r="O60" s="5"/>
      <c r="P60" s="5"/>
      <c r="Q60" s="6"/>
    </row>
    <row r="61" spans="3:17">
      <c r="D61" s="17" t="s">
        <v>25035</v>
      </c>
      <c r="E61" s="18" t="s">
        <v>25022</v>
      </c>
      <c r="F61" s="8">
        <v>34</v>
      </c>
      <c r="G61" s="8">
        <v>4353</v>
      </c>
      <c r="H61" s="8">
        <v>4387</v>
      </c>
      <c r="I61" s="8">
        <v>1082</v>
      </c>
      <c r="J61" s="8">
        <v>5469</v>
      </c>
      <c r="K61" s="9">
        <v>2578</v>
      </c>
      <c r="L61" s="7"/>
      <c r="M61" s="8"/>
      <c r="N61" s="8"/>
      <c r="O61" s="8"/>
      <c r="P61" s="8"/>
      <c r="Q61" s="9"/>
    </row>
    <row r="62" spans="3:17">
      <c r="D62" s="17"/>
      <c r="E62" s="18" t="s">
        <v>25021</v>
      </c>
      <c r="F62" s="8">
        <v>0</v>
      </c>
      <c r="G62" s="8">
        <v>1540</v>
      </c>
      <c r="H62" s="8">
        <v>1540</v>
      </c>
      <c r="I62" s="8">
        <v>415</v>
      </c>
      <c r="J62" s="8">
        <v>1955</v>
      </c>
      <c r="K62" s="9">
        <v>899</v>
      </c>
      <c r="L62" s="7"/>
      <c r="M62" s="8"/>
      <c r="N62" s="8"/>
      <c r="O62" s="8"/>
      <c r="P62" s="8"/>
      <c r="Q62" s="9"/>
    </row>
    <row r="63" spans="3:17">
      <c r="D63" s="17"/>
      <c r="E63" s="18"/>
      <c r="F63" s="8"/>
      <c r="G63" s="8"/>
      <c r="H63" s="8"/>
      <c r="I63" s="8"/>
      <c r="J63" s="8"/>
      <c r="K63" s="9"/>
      <c r="L63" s="7"/>
      <c r="M63" s="8"/>
      <c r="N63" s="8"/>
      <c r="O63" s="8"/>
      <c r="P63" s="8"/>
      <c r="Q63" s="9"/>
    </row>
    <row r="64" spans="3:17">
      <c r="D64" s="17" t="s">
        <v>25036</v>
      </c>
      <c r="E64" s="18" t="s">
        <v>25022</v>
      </c>
      <c r="F64" s="8">
        <v>1.3188518231186967E-2</v>
      </c>
      <c r="G64" s="8">
        <v>1.6885182311869666</v>
      </c>
      <c r="H64" s="8">
        <v>1.7017067494181537</v>
      </c>
      <c r="I64" s="8">
        <v>0.41970519782777349</v>
      </c>
      <c r="J64" s="8">
        <v>2.1214119472459272</v>
      </c>
      <c r="K64" s="9"/>
      <c r="L64" s="7"/>
      <c r="M64" s="8"/>
      <c r="N64" s="8"/>
      <c r="O64" s="8"/>
      <c r="P64" s="8"/>
      <c r="Q64" s="9"/>
    </row>
    <row r="65" spans="3:17">
      <c r="D65" s="17"/>
      <c r="E65" s="18" t="s">
        <v>25021</v>
      </c>
      <c r="F65" s="8">
        <v>0</v>
      </c>
      <c r="G65" s="8">
        <v>1.7130144605116797</v>
      </c>
      <c r="H65" s="8">
        <v>1.7130144605116797</v>
      </c>
      <c r="I65" s="8">
        <v>0.46162402669632924</v>
      </c>
      <c r="J65" s="8">
        <v>2.1746384872080089</v>
      </c>
      <c r="K65" s="9"/>
      <c r="L65" s="7"/>
      <c r="M65" s="8"/>
      <c r="N65" s="8"/>
      <c r="O65" s="8"/>
      <c r="P65" s="8"/>
      <c r="Q65" s="9"/>
    </row>
    <row r="66" spans="3:17">
      <c r="D66" s="17"/>
      <c r="E66" s="8"/>
      <c r="F66" s="8"/>
      <c r="G66" s="8"/>
      <c r="H66" s="8"/>
      <c r="I66" s="8"/>
      <c r="J66" s="8"/>
      <c r="K66" s="9"/>
      <c r="L66" s="7"/>
      <c r="M66" s="8"/>
      <c r="N66" s="8"/>
      <c r="O66" s="8"/>
      <c r="P66" s="8"/>
      <c r="Q66" s="9"/>
    </row>
    <row r="67" spans="3:17" ht="16" thickBot="1">
      <c r="D67" s="19"/>
      <c r="E67" s="11"/>
      <c r="F67" s="11"/>
      <c r="G67" s="11"/>
      <c r="H67" s="11"/>
      <c r="I67" s="11"/>
      <c r="J67" s="11"/>
      <c r="K67" s="12"/>
      <c r="L67" s="10"/>
      <c r="M67" s="11"/>
      <c r="N67" s="11"/>
      <c r="O67" s="11"/>
      <c r="P67" s="11"/>
      <c r="Q67" s="12"/>
    </row>
    <row r="68" spans="3:17">
      <c r="C68" s="2" t="s">
        <v>25056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74631-C778-478E-93DE-6D835C21CC56}">
  <dimension ref="A1:B2747"/>
  <sheetViews>
    <sheetView workbookViewId="0">
      <selection activeCell="D15" sqref="D15"/>
    </sheetView>
  </sheetViews>
  <sheetFormatPr baseColWidth="10" defaultColWidth="8.83203125" defaultRowHeight="15"/>
  <sheetData>
    <row r="1" spans="1:2">
      <c r="A1">
        <v>8.5849999999999996E-2</v>
      </c>
      <c r="B1">
        <v>9.4240000000000004E-2</v>
      </c>
    </row>
    <row r="2" spans="1:2">
      <c r="A2">
        <v>0.53595999999999999</v>
      </c>
      <c r="B2">
        <v>0.19169</v>
      </c>
    </row>
    <row r="3" spans="1:2">
      <c r="A3">
        <v>0.30497000000000002</v>
      </c>
      <c r="B3">
        <v>0.10344</v>
      </c>
    </row>
    <row r="4" spans="1:2">
      <c r="A4">
        <v>0.51348000000000005</v>
      </c>
      <c r="B4">
        <v>0.10187</v>
      </c>
    </row>
    <row r="5" spans="1:2">
      <c r="A5">
        <v>1.21875</v>
      </c>
      <c r="B5">
        <v>1.695E-2</v>
      </c>
    </row>
    <row r="6" spans="1:2">
      <c r="A6">
        <v>6.9040000000000004E-2</v>
      </c>
      <c r="B6">
        <v>4.6429999999999999E-2</v>
      </c>
    </row>
    <row r="7" spans="1:2">
      <c r="A7">
        <v>0.1837</v>
      </c>
      <c r="B7">
        <v>8.3860000000000004E-2</v>
      </c>
    </row>
    <row r="8" spans="1:2">
      <c r="A8">
        <v>0.13305</v>
      </c>
      <c r="B8">
        <v>5.0709999999999998E-2</v>
      </c>
    </row>
    <row r="9" spans="1:2">
      <c r="A9">
        <v>1.1858</v>
      </c>
      <c r="B9">
        <v>6.1879999999999998E-2</v>
      </c>
    </row>
    <row r="10" spans="1:2">
      <c r="A10">
        <v>0.35893999999999998</v>
      </c>
      <c r="B10">
        <v>6.6530000000000006E-2</v>
      </c>
    </row>
    <row r="11" spans="1:2">
      <c r="A11">
        <v>0</v>
      </c>
      <c r="B11">
        <v>9.0160000000000004E-2</v>
      </c>
    </row>
    <row r="12" spans="1:2">
      <c r="A12">
        <v>0.54100999999999999</v>
      </c>
      <c r="B12">
        <v>0</v>
      </c>
    </row>
    <row r="13" spans="1:2">
      <c r="A13">
        <v>0.10119</v>
      </c>
      <c r="B13">
        <v>5.6899999999999999E-2</v>
      </c>
    </row>
    <row r="14" spans="1:2">
      <c r="A14">
        <v>0.42842999999999998</v>
      </c>
      <c r="B14">
        <v>4.5060000000000003E-2</v>
      </c>
    </row>
    <row r="15" spans="1:2">
      <c r="A15">
        <v>9.7430000000000003E-2</v>
      </c>
      <c r="B15">
        <v>0.151</v>
      </c>
    </row>
    <row r="16" spans="1:2">
      <c r="A16">
        <v>1.1816899999999999</v>
      </c>
      <c r="B16">
        <v>5.6239999999999998E-2</v>
      </c>
    </row>
    <row r="17" spans="1:2">
      <c r="A17">
        <v>0</v>
      </c>
      <c r="B17">
        <v>2.2409999999999999E-2</v>
      </c>
    </row>
    <row r="18" spans="1:2">
      <c r="A18">
        <v>1.0208999999999999</v>
      </c>
      <c r="B18">
        <v>4.8439999999999997E-2</v>
      </c>
    </row>
    <row r="19" spans="1:2">
      <c r="A19">
        <v>0.30014000000000002</v>
      </c>
      <c r="B19">
        <v>8.6989999999999998E-2</v>
      </c>
    </row>
    <row r="20" spans="1:2">
      <c r="A20">
        <v>5.6820000000000002E-2</v>
      </c>
      <c r="B20">
        <v>7.9149999999999998E-2</v>
      </c>
    </row>
    <row r="21" spans="1:2">
      <c r="A21">
        <v>0</v>
      </c>
      <c r="B21">
        <v>2.009E-2</v>
      </c>
    </row>
    <row r="22" spans="1:2">
      <c r="A22" t="s">
        <v>1346</v>
      </c>
      <c r="B22">
        <v>6.7979999999999999E-2</v>
      </c>
    </row>
    <row r="23" spans="1:2">
      <c r="A23">
        <v>0.76690999999999998</v>
      </c>
      <c r="B23">
        <v>0.12335</v>
      </c>
    </row>
    <row r="24" spans="1:2">
      <c r="A24">
        <v>0.25464999999999999</v>
      </c>
      <c r="B24">
        <v>0.20538999999999999</v>
      </c>
    </row>
    <row r="25" spans="1:2">
      <c r="A25">
        <v>7.7780000000000002E-2</v>
      </c>
      <c r="B25">
        <v>0.10169</v>
      </c>
    </row>
    <row r="26" spans="1:2">
      <c r="A26">
        <v>3.7609999999999998E-2</v>
      </c>
      <c r="B26">
        <v>5.3600000000000002E-2</v>
      </c>
    </row>
    <row r="27" spans="1:2">
      <c r="A27">
        <v>0</v>
      </c>
      <c r="B27">
        <v>4.1509999999999998E-2</v>
      </c>
    </row>
    <row r="28" spans="1:2">
      <c r="A28">
        <v>0.25694</v>
      </c>
      <c r="B28">
        <v>8.4419999999999995E-2</v>
      </c>
    </row>
    <row r="29" spans="1:2">
      <c r="A29">
        <v>9.9400000000000002E-2</v>
      </c>
      <c r="B29">
        <v>8.6940000000000003E-2</v>
      </c>
    </row>
    <row r="30" spans="1:2">
      <c r="A30">
        <v>6.241E-2</v>
      </c>
      <c r="B30">
        <v>0.16935</v>
      </c>
    </row>
    <row r="31" spans="1:2">
      <c r="A31">
        <v>0.34644000000000003</v>
      </c>
      <c r="B31">
        <v>7.5649999999999995E-2</v>
      </c>
    </row>
    <row r="32" spans="1:2">
      <c r="A32">
        <v>3.6409999999999998E-2</v>
      </c>
      <c r="B32">
        <v>2.4320000000000001E-2</v>
      </c>
    </row>
    <row r="33" spans="1:2">
      <c r="A33">
        <v>0</v>
      </c>
      <c r="B33">
        <v>0.10165</v>
      </c>
    </row>
    <row r="34" spans="1:2">
      <c r="A34">
        <v>0.49543999999999999</v>
      </c>
      <c r="B34">
        <v>7.8689999999999996E-2</v>
      </c>
    </row>
    <row r="35" spans="1:2">
      <c r="A35">
        <v>0.18340000000000001</v>
      </c>
      <c r="B35">
        <v>6.9360000000000005E-2</v>
      </c>
    </row>
    <row r="36" spans="1:2">
      <c r="A36">
        <v>0.11405999999999999</v>
      </c>
      <c r="B36">
        <v>2.3019999999999999E-2</v>
      </c>
    </row>
    <row r="37" spans="1:2">
      <c r="A37">
        <v>0</v>
      </c>
      <c r="B37">
        <v>8.4760000000000002E-2</v>
      </c>
    </row>
    <row r="38" spans="1:2">
      <c r="A38" t="s">
        <v>1346</v>
      </c>
      <c r="B38">
        <v>0.1157</v>
      </c>
    </row>
    <row r="39" spans="1:2">
      <c r="A39">
        <v>2.0253000000000001</v>
      </c>
      <c r="B39">
        <v>3.517E-2</v>
      </c>
    </row>
    <row r="40" spans="1:2">
      <c r="A40">
        <v>1.1868300000000001</v>
      </c>
      <c r="B40">
        <v>0.10105</v>
      </c>
    </row>
    <row r="41" spans="1:2">
      <c r="A41">
        <v>0.93461000000000005</v>
      </c>
      <c r="B41">
        <v>5.7639999999999997E-2</v>
      </c>
    </row>
    <row r="42" spans="1:2">
      <c r="A42">
        <v>0.40315000000000001</v>
      </c>
      <c r="B42">
        <v>0.10818</v>
      </c>
    </row>
    <row r="43" spans="1:2">
      <c r="A43">
        <v>0.11892999999999999</v>
      </c>
      <c r="B43">
        <v>6.8970000000000004E-2</v>
      </c>
    </row>
    <row r="44" spans="1:2">
      <c r="A44">
        <v>0.11008999999999999</v>
      </c>
      <c r="B44">
        <v>1.5350000000000001E-2</v>
      </c>
    </row>
    <row r="45" spans="1:2">
      <c r="A45">
        <v>0.21143000000000001</v>
      </c>
      <c r="B45">
        <v>5.5960000000000003E-2</v>
      </c>
    </row>
    <row r="46" spans="1:2">
      <c r="A46">
        <v>6.6890000000000005E-2</v>
      </c>
      <c r="B46">
        <v>0.10723000000000001</v>
      </c>
    </row>
    <row r="47" spans="1:2">
      <c r="A47">
        <v>0.23407</v>
      </c>
      <c r="B47">
        <v>0.13055</v>
      </c>
    </row>
    <row r="48" spans="1:2">
      <c r="A48">
        <v>0.22061</v>
      </c>
      <c r="B48">
        <v>3.943E-2</v>
      </c>
    </row>
    <row r="49" spans="1:2">
      <c r="A49">
        <v>0.13552</v>
      </c>
      <c r="B49">
        <v>7.0269999999999999E-2</v>
      </c>
    </row>
    <row r="50" spans="1:2">
      <c r="A50">
        <v>0.90673999999999999</v>
      </c>
      <c r="B50">
        <v>0.11014</v>
      </c>
    </row>
    <row r="51" spans="1:2">
      <c r="A51">
        <v>0.74217999999999995</v>
      </c>
      <c r="B51">
        <v>1.307E-2</v>
      </c>
    </row>
    <row r="52" spans="1:2">
      <c r="A52">
        <v>0.15905</v>
      </c>
      <c r="B52">
        <v>5.2400000000000002E-2</v>
      </c>
    </row>
    <row r="53" spans="1:2">
      <c r="A53">
        <v>9.6799999999999997E-2</v>
      </c>
      <c r="B53">
        <v>3.807E-2</v>
      </c>
    </row>
    <row r="54" spans="1:2">
      <c r="A54">
        <v>0</v>
      </c>
      <c r="B54">
        <v>0.11038000000000001</v>
      </c>
    </row>
    <row r="55" spans="1:2">
      <c r="A55">
        <v>0.70387999999999995</v>
      </c>
      <c r="B55">
        <v>2.2550000000000001E-2</v>
      </c>
    </row>
    <row r="56" spans="1:2">
      <c r="A56">
        <v>0.54612000000000005</v>
      </c>
      <c r="B56">
        <v>4.5839999999999999E-2</v>
      </c>
    </row>
    <row r="57" spans="1:2">
      <c r="A57">
        <v>0.12435</v>
      </c>
      <c r="B57">
        <v>5.1490000000000001E-2</v>
      </c>
    </row>
    <row r="58" spans="1:2">
      <c r="A58">
        <v>0.12250999999999999</v>
      </c>
      <c r="B58">
        <v>8.677E-2</v>
      </c>
    </row>
    <row r="59" spans="1:2">
      <c r="A59">
        <v>0.10528</v>
      </c>
      <c r="B59">
        <v>2.349E-2</v>
      </c>
    </row>
    <row r="60" spans="1:2">
      <c r="A60">
        <v>5.867E-2</v>
      </c>
      <c r="B60">
        <v>4.7210000000000002E-2</v>
      </c>
    </row>
    <row r="61" spans="1:2">
      <c r="A61">
        <v>1.5086999999999999</v>
      </c>
      <c r="B61">
        <v>0.12314</v>
      </c>
    </row>
    <row r="62" spans="1:2">
      <c r="A62">
        <v>0.23227</v>
      </c>
      <c r="B62">
        <v>5.1819999999999998E-2</v>
      </c>
    </row>
    <row r="63" spans="1:2">
      <c r="A63">
        <v>0.1011</v>
      </c>
      <c r="B63">
        <v>5.6590000000000001E-2</v>
      </c>
    </row>
    <row r="64" spans="1:2">
      <c r="A64">
        <v>7.6340000000000005E-2</v>
      </c>
      <c r="B64">
        <v>2.4170000000000001E-2</v>
      </c>
    </row>
    <row r="65" spans="1:2">
      <c r="A65">
        <v>3.644E-2</v>
      </c>
      <c r="B65">
        <v>6.5430000000000002E-2</v>
      </c>
    </row>
    <row r="66" spans="1:2">
      <c r="A66">
        <v>0.44468000000000002</v>
      </c>
      <c r="B66">
        <v>0.12987000000000001</v>
      </c>
    </row>
    <row r="67" spans="1:2">
      <c r="A67">
        <v>0.20658000000000001</v>
      </c>
      <c r="B67">
        <v>8.2350000000000007E-2</v>
      </c>
    </row>
    <row r="68" spans="1:2">
      <c r="A68">
        <v>0.12060999999999999</v>
      </c>
      <c r="B68">
        <v>7.6480000000000006E-2</v>
      </c>
    </row>
    <row r="69" spans="1:2">
      <c r="A69">
        <v>2.9770000000000001E-2</v>
      </c>
      <c r="B69">
        <v>2.9180000000000001E-2</v>
      </c>
    </row>
    <row r="70" spans="1:2">
      <c r="A70">
        <v>0.92300000000000004</v>
      </c>
      <c r="B70">
        <v>0.11451</v>
      </c>
    </row>
    <row r="71" spans="1:2">
      <c r="A71">
        <v>0.68015999999999999</v>
      </c>
      <c r="B71">
        <v>6.3E-2</v>
      </c>
    </row>
    <row r="72" spans="1:2">
      <c r="A72">
        <v>0.41997000000000001</v>
      </c>
      <c r="B72">
        <v>6.071E-2</v>
      </c>
    </row>
    <row r="73" spans="1:2">
      <c r="A73">
        <v>0.13123000000000001</v>
      </c>
      <c r="B73">
        <v>5.6250000000000001E-2</v>
      </c>
    </row>
    <row r="74" spans="1:2">
      <c r="A74">
        <v>0.12964000000000001</v>
      </c>
      <c r="B74">
        <v>8.0060000000000006E-2</v>
      </c>
    </row>
    <row r="75" spans="1:2">
      <c r="A75">
        <v>6.4219999999999999E-2</v>
      </c>
      <c r="B75">
        <v>7.102E-2</v>
      </c>
    </row>
    <row r="76" spans="1:2">
      <c r="A76">
        <v>0</v>
      </c>
      <c r="B76">
        <v>2.154E-2</v>
      </c>
    </row>
    <row r="77" spans="1:2">
      <c r="A77">
        <v>0</v>
      </c>
      <c r="B77">
        <v>7.4560000000000001E-2</v>
      </c>
    </row>
    <row r="78" spans="1:2">
      <c r="A78">
        <v>0.95043</v>
      </c>
      <c r="B78">
        <v>4.3720000000000002E-2</v>
      </c>
    </row>
    <row r="79" spans="1:2">
      <c r="A79">
        <v>0.15956000000000001</v>
      </c>
      <c r="B79">
        <v>3.9280000000000002E-2</v>
      </c>
    </row>
    <row r="80" spans="1:2">
      <c r="A80">
        <v>0.10551000000000001</v>
      </c>
      <c r="B80">
        <v>0.11994</v>
      </c>
    </row>
    <row r="81" spans="1:2">
      <c r="A81">
        <v>7.782E-2</v>
      </c>
      <c r="B81">
        <v>0.10269</v>
      </c>
    </row>
    <row r="82" spans="1:2">
      <c r="A82">
        <v>1.7409999999999998E-2</v>
      </c>
      <c r="B82">
        <v>8.2489999999999994E-2</v>
      </c>
    </row>
    <row r="83" spans="1:2">
      <c r="A83">
        <v>0</v>
      </c>
      <c r="B83">
        <v>8.3110000000000003E-2</v>
      </c>
    </row>
    <row r="84" spans="1:2">
      <c r="A84">
        <v>0.14604</v>
      </c>
      <c r="B84">
        <v>5.1679999999999997E-2</v>
      </c>
    </row>
    <row r="85" spans="1:2">
      <c r="A85">
        <v>7.7229999999999993E-2</v>
      </c>
      <c r="B85">
        <v>1.099E-2</v>
      </c>
    </row>
    <row r="86" spans="1:2">
      <c r="A86">
        <v>1.191E-2</v>
      </c>
      <c r="B86">
        <v>6.9889999999999994E-2</v>
      </c>
    </row>
    <row r="87" spans="1:2">
      <c r="A87">
        <v>0</v>
      </c>
      <c r="B87">
        <v>5.466E-2</v>
      </c>
    </row>
    <row r="88" spans="1:2">
      <c r="A88">
        <v>0.65329000000000004</v>
      </c>
      <c r="B88">
        <v>0.14252999999999999</v>
      </c>
    </row>
    <row r="89" spans="1:2">
      <c r="A89">
        <v>5.305E-2</v>
      </c>
      <c r="B89">
        <v>8.0199999999999994E-2</v>
      </c>
    </row>
    <row r="90" spans="1:2">
      <c r="A90">
        <v>1.2409999999999999E-2</v>
      </c>
      <c r="B90">
        <v>9.8409999999999997E-2</v>
      </c>
    </row>
    <row r="91" spans="1:2">
      <c r="A91">
        <v>0</v>
      </c>
      <c r="B91">
        <v>4.8090000000000001E-2</v>
      </c>
    </row>
    <row r="92" spans="1:2">
      <c r="A92">
        <v>0.43847000000000003</v>
      </c>
      <c r="B92">
        <v>2.9329999999999998E-2</v>
      </c>
    </row>
    <row r="93" spans="1:2">
      <c r="A93">
        <v>0.17513000000000001</v>
      </c>
      <c r="B93">
        <v>0.17974999999999999</v>
      </c>
    </row>
    <row r="94" spans="1:2">
      <c r="A94">
        <v>4.4769999999999997E-2</v>
      </c>
      <c r="B94">
        <v>8.1229999999999997E-2</v>
      </c>
    </row>
    <row r="95" spans="1:2">
      <c r="A95">
        <v>4.2869999999999998E-2</v>
      </c>
      <c r="B95">
        <v>6.2640000000000001E-2</v>
      </c>
    </row>
    <row r="96" spans="1:2">
      <c r="A96">
        <v>0.47748000000000002</v>
      </c>
      <c r="B96">
        <v>0.16292999999999999</v>
      </c>
    </row>
    <row r="97" spans="1:2">
      <c r="A97">
        <v>0.17021</v>
      </c>
      <c r="B97">
        <v>0.12626000000000001</v>
      </c>
    </row>
    <row r="98" spans="1:2">
      <c r="A98">
        <v>9.128E-2</v>
      </c>
      <c r="B98">
        <v>6.45E-3</v>
      </c>
    </row>
    <row r="99" spans="1:2">
      <c r="A99">
        <v>1.7899999999999999E-2</v>
      </c>
      <c r="B99">
        <v>6.4990000000000006E-2</v>
      </c>
    </row>
    <row r="100" spans="1:2">
      <c r="A100">
        <v>1.4619999999999999E-2</v>
      </c>
      <c r="B100">
        <v>1.9959999999999999E-2</v>
      </c>
    </row>
    <row r="101" spans="1:2">
      <c r="A101">
        <v>0</v>
      </c>
      <c r="B101">
        <v>3.048E-2</v>
      </c>
    </row>
    <row r="102" spans="1:2">
      <c r="A102">
        <v>0.24671999999999999</v>
      </c>
      <c r="B102">
        <v>1.5610000000000001E-2</v>
      </c>
    </row>
    <row r="103" spans="1:2">
      <c r="A103">
        <v>0.15048</v>
      </c>
      <c r="B103">
        <v>8.4180000000000005E-2</v>
      </c>
    </row>
    <row r="104" spans="1:2">
      <c r="A104">
        <v>8.8999999999999996E-2</v>
      </c>
      <c r="B104">
        <v>1.772E-2</v>
      </c>
    </row>
    <row r="105" spans="1:2">
      <c r="A105">
        <v>4.0129999999999999E-2</v>
      </c>
      <c r="B105">
        <v>5.9630000000000002E-2</v>
      </c>
    </row>
    <row r="106" spans="1:2">
      <c r="A106">
        <v>0.83191999999999999</v>
      </c>
      <c r="B106">
        <v>0.11359</v>
      </c>
    </row>
    <row r="107" spans="1:2">
      <c r="A107">
        <v>0.26944000000000001</v>
      </c>
      <c r="B107">
        <v>7.5069999999999998E-2</v>
      </c>
    </row>
    <row r="108" spans="1:2">
      <c r="A108">
        <v>0.15928999999999999</v>
      </c>
      <c r="B108">
        <v>1.9050000000000001E-2</v>
      </c>
    </row>
    <row r="109" spans="1:2">
      <c r="A109">
        <v>1.4330000000000001E-2</v>
      </c>
      <c r="B109">
        <v>5.9150000000000001E-2</v>
      </c>
    </row>
    <row r="110" spans="1:2">
      <c r="A110">
        <v>0</v>
      </c>
      <c r="B110">
        <v>9.8250000000000004E-2</v>
      </c>
    </row>
    <row r="111" spans="1:2">
      <c r="A111">
        <v>0.16106000000000001</v>
      </c>
      <c r="B111">
        <v>0.12095</v>
      </c>
    </row>
    <row r="112" spans="1:2">
      <c r="A112">
        <v>8.0329999999999999E-2</v>
      </c>
      <c r="B112">
        <v>6.0819999999999999E-2</v>
      </c>
    </row>
    <row r="113" spans="1:2">
      <c r="A113">
        <v>1.4829999999999999E-2</v>
      </c>
      <c r="B113">
        <v>5.4129999999999998E-2</v>
      </c>
    </row>
    <row r="114" spans="1:2">
      <c r="A114">
        <v>0</v>
      </c>
      <c r="B114">
        <v>6.7379999999999995E-2</v>
      </c>
    </row>
    <row r="115" spans="1:2">
      <c r="A115">
        <v>1.8099000000000001</v>
      </c>
      <c r="B115">
        <v>2.8240000000000001E-2</v>
      </c>
    </row>
    <row r="116" spans="1:2">
      <c r="A116">
        <v>0.33498</v>
      </c>
      <c r="B116">
        <v>6.5210000000000004E-2</v>
      </c>
    </row>
    <row r="117" spans="1:2">
      <c r="A117">
        <v>0.22051999999999999</v>
      </c>
      <c r="B117">
        <v>5.6779999999999997E-2</v>
      </c>
    </row>
    <row r="118" spans="1:2">
      <c r="A118">
        <v>0.21845000000000001</v>
      </c>
      <c r="B118">
        <v>7.8969999999999999E-2</v>
      </c>
    </row>
    <row r="119" spans="1:2">
      <c r="A119">
        <v>0.11508</v>
      </c>
      <c r="B119">
        <v>2.6610000000000002E-2</v>
      </c>
    </row>
    <row r="120" spans="1:2">
      <c r="A120">
        <v>0</v>
      </c>
      <c r="B120">
        <v>0.15712000000000001</v>
      </c>
    </row>
    <row r="121" spans="1:2">
      <c r="A121">
        <v>0.28672999999999998</v>
      </c>
      <c r="B121">
        <v>3.3169999999999998E-2</v>
      </c>
    </row>
    <row r="122" spans="1:2">
      <c r="A122">
        <v>0.18345</v>
      </c>
      <c r="B122">
        <v>9.6180000000000002E-2</v>
      </c>
    </row>
    <row r="123" spans="1:2">
      <c r="A123">
        <v>0.17874999999999999</v>
      </c>
      <c r="B123">
        <v>6.4259999999999998E-2</v>
      </c>
    </row>
    <row r="124" spans="1:2">
      <c r="A124">
        <v>0.12128</v>
      </c>
      <c r="B124">
        <v>5.8180000000000003E-2</v>
      </c>
    </row>
    <row r="125" spans="1:2">
      <c r="A125">
        <v>6.8879999999999997E-2</v>
      </c>
      <c r="B125">
        <v>7.9000000000000001E-2</v>
      </c>
    </row>
    <row r="126" spans="1:2">
      <c r="A126">
        <v>0</v>
      </c>
      <c r="B126">
        <v>7.1720000000000006E-2</v>
      </c>
    </row>
    <row r="127" spans="1:2">
      <c r="A127">
        <v>0.1983</v>
      </c>
      <c r="B127">
        <v>7.3679999999999995E-2</v>
      </c>
    </row>
    <row r="128" spans="1:2">
      <c r="A128">
        <v>0.15337000000000001</v>
      </c>
      <c r="B128">
        <v>9.0459999999999999E-2</v>
      </c>
    </row>
    <row r="129" spans="1:2">
      <c r="A129">
        <v>8.9270000000000002E-2</v>
      </c>
      <c r="B129">
        <v>9.3299999999999998E-3</v>
      </c>
    </row>
    <row r="130" spans="1:2">
      <c r="A130">
        <v>2.852E-2</v>
      </c>
      <c r="B130">
        <v>3.049E-2</v>
      </c>
    </row>
    <row r="131" spans="1:2">
      <c r="A131">
        <v>5.0119999999999998E-2</v>
      </c>
      <c r="B131">
        <v>5.7279999999999998E-2</v>
      </c>
    </row>
    <row r="132" spans="1:2">
      <c r="A132">
        <v>4.734E-2</v>
      </c>
      <c r="B132">
        <v>9.0609999999999996E-2</v>
      </c>
    </row>
    <row r="133" spans="1:2">
      <c r="A133">
        <v>2.0200000000000001E-3</v>
      </c>
      <c r="B133">
        <v>0.12654000000000001</v>
      </c>
    </row>
    <row r="134" spans="1:2">
      <c r="A134">
        <v>0</v>
      </c>
      <c r="B134">
        <v>5.3789999999999998E-2</v>
      </c>
    </row>
    <row r="135" spans="1:2">
      <c r="A135">
        <v>3.2712500000000002</v>
      </c>
      <c r="B135">
        <v>4.0910000000000002E-2</v>
      </c>
    </row>
    <row r="136" spans="1:2">
      <c r="A136">
        <v>0.622</v>
      </c>
      <c r="B136">
        <v>3.4270000000000002E-2</v>
      </c>
    </row>
    <row r="137" spans="1:2">
      <c r="A137">
        <v>0.40394999999999998</v>
      </c>
      <c r="B137">
        <v>8.3019999999999997E-2</v>
      </c>
    </row>
    <row r="138" spans="1:2">
      <c r="A138">
        <v>0.13730000000000001</v>
      </c>
      <c r="B138">
        <v>0.03</v>
      </c>
    </row>
    <row r="139" spans="1:2">
      <c r="A139">
        <v>6.9709999999999994E-2</v>
      </c>
      <c r="B139">
        <v>5.0450000000000002E-2</v>
      </c>
    </row>
    <row r="140" spans="1:2">
      <c r="A140">
        <v>5.185E-2</v>
      </c>
      <c r="B140">
        <v>5.8959999999999999E-2</v>
      </c>
    </row>
    <row r="141" spans="1:2">
      <c r="A141">
        <v>4.5010000000000001E-2</v>
      </c>
      <c r="B141">
        <v>9.1300000000000006E-2</v>
      </c>
    </row>
    <row r="142" spans="1:2">
      <c r="A142">
        <v>0.15534999999999999</v>
      </c>
      <c r="B142">
        <v>7.1010000000000004E-2</v>
      </c>
    </row>
    <row r="143" spans="1:2">
      <c r="A143">
        <v>4.5170000000000002E-2</v>
      </c>
      <c r="B143">
        <v>4.3200000000000002E-2</v>
      </c>
    </row>
    <row r="144" spans="1:2">
      <c r="A144" t="s">
        <v>1346</v>
      </c>
      <c r="B144">
        <v>9.9559999999999996E-2</v>
      </c>
    </row>
    <row r="145" spans="1:2">
      <c r="A145">
        <v>0.37822</v>
      </c>
      <c r="B145">
        <v>5.3379999999999997E-2</v>
      </c>
    </row>
    <row r="146" spans="1:2">
      <c r="A146">
        <v>0</v>
      </c>
      <c r="B146">
        <v>8.0269999999999994E-2</v>
      </c>
    </row>
    <row r="147" spans="1:2">
      <c r="A147">
        <v>0.14424000000000001</v>
      </c>
      <c r="B147">
        <v>4.5969999999999997E-2</v>
      </c>
    </row>
    <row r="148" spans="1:2">
      <c r="A148">
        <v>0.12828000000000001</v>
      </c>
      <c r="B148">
        <v>1.5049999999999999E-2</v>
      </c>
    </row>
    <row r="149" spans="1:2">
      <c r="A149">
        <v>6.7680000000000004E-2</v>
      </c>
      <c r="B149">
        <v>2.4819999999999998E-2</v>
      </c>
    </row>
    <row r="150" spans="1:2">
      <c r="A150">
        <v>4.7809999999999998E-2</v>
      </c>
      <c r="B150">
        <v>5.1650000000000001E-2</v>
      </c>
    </row>
    <row r="151" spans="1:2">
      <c r="A151">
        <v>2.3769999999999999E-2</v>
      </c>
      <c r="B151">
        <v>7.8229999999999994E-2</v>
      </c>
    </row>
    <row r="152" spans="1:2">
      <c r="A152">
        <v>0</v>
      </c>
      <c r="B152">
        <v>0.10215</v>
      </c>
    </row>
    <row r="153" spans="1:2">
      <c r="A153">
        <v>1.3184</v>
      </c>
      <c r="B153">
        <v>8.2379999999999995E-2</v>
      </c>
    </row>
    <row r="154" spans="1:2">
      <c r="A154">
        <v>0.25075999999999998</v>
      </c>
      <c r="B154">
        <v>1.221E-2</v>
      </c>
    </row>
    <row r="155" spans="1:2">
      <c r="A155">
        <v>0.13235</v>
      </c>
      <c r="B155">
        <v>4.0500000000000001E-2</v>
      </c>
    </row>
    <row r="156" spans="1:2">
      <c r="A156">
        <v>6.7909999999999998E-2</v>
      </c>
      <c r="B156">
        <v>6.0900000000000003E-2</v>
      </c>
    </row>
    <row r="157" spans="1:2">
      <c r="A157">
        <v>6.1289999999999997E-2</v>
      </c>
      <c r="B157">
        <v>9.3299999999999994E-2</v>
      </c>
    </row>
    <row r="158" spans="1:2">
      <c r="A158">
        <v>3.918E-2</v>
      </c>
      <c r="B158">
        <v>0.1236</v>
      </c>
    </row>
    <row r="159" spans="1:2">
      <c r="A159">
        <v>0.45599000000000001</v>
      </c>
      <c r="B159">
        <v>4.6899999999999997E-2</v>
      </c>
    </row>
    <row r="160" spans="1:2">
      <c r="A160">
        <v>0.11128</v>
      </c>
      <c r="B160">
        <v>0.12814</v>
      </c>
    </row>
    <row r="161" spans="1:2">
      <c r="A161">
        <v>0.10339</v>
      </c>
      <c r="B161">
        <v>7.5789999999999996E-2</v>
      </c>
    </row>
    <row r="162" spans="1:2">
      <c r="A162">
        <v>7.2989999999999999E-2</v>
      </c>
      <c r="B162">
        <v>9.5000000000000001E-2</v>
      </c>
    </row>
    <row r="163" spans="1:2">
      <c r="A163">
        <v>5.7169999999999999E-2</v>
      </c>
      <c r="B163">
        <v>4.956E-2</v>
      </c>
    </row>
    <row r="164" spans="1:2">
      <c r="A164">
        <v>3.3419999999999998E-2</v>
      </c>
      <c r="B164">
        <v>7.5730000000000006E-2</v>
      </c>
    </row>
    <row r="165" spans="1:2">
      <c r="A165">
        <v>0</v>
      </c>
      <c r="B165">
        <v>7.374E-2</v>
      </c>
    </row>
    <row r="166" spans="1:2">
      <c r="A166">
        <v>6.8459999999999993E-2</v>
      </c>
      <c r="B166">
        <v>5.8199999999999997E-3</v>
      </c>
    </row>
    <row r="167" spans="1:2">
      <c r="A167">
        <v>5.5500000000000001E-2</v>
      </c>
      <c r="B167">
        <v>5.4989999999999997E-2</v>
      </c>
    </row>
    <row r="168" spans="1:2">
      <c r="A168">
        <v>3.9170000000000003E-2</v>
      </c>
      <c r="B168">
        <v>3.5389999999999998E-2</v>
      </c>
    </row>
    <row r="169" spans="1:2">
      <c r="A169">
        <v>0</v>
      </c>
      <c r="B169">
        <v>0.12490999999999999</v>
      </c>
    </row>
    <row r="170" spans="1:2">
      <c r="A170">
        <v>0.50039999999999996</v>
      </c>
      <c r="B170">
        <v>7.4410000000000004E-2</v>
      </c>
    </row>
    <row r="171" spans="1:2">
      <c r="A171">
        <v>0.45156000000000002</v>
      </c>
      <c r="B171">
        <v>8.0140000000000003E-2</v>
      </c>
    </row>
    <row r="172" spans="1:2">
      <c r="A172">
        <v>0.18437999999999999</v>
      </c>
      <c r="B172">
        <v>4.4670000000000001E-2</v>
      </c>
    </row>
    <row r="173" spans="1:2">
      <c r="A173">
        <v>7.1559999999999999E-2</v>
      </c>
      <c r="B173">
        <v>7.6810000000000003E-2</v>
      </c>
    </row>
    <row r="174" spans="1:2">
      <c r="A174">
        <v>9.4500000000000001E-3</v>
      </c>
      <c r="B174">
        <v>2.8160000000000001E-2</v>
      </c>
    </row>
    <row r="175" spans="1:2">
      <c r="A175">
        <v>0.14903</v>
      </c>
      <c r="B175">
        <v>6.5439999999999998E-2</v>
      </c>
    </row>
    <row r="176" spans="1:2">
      <c r="A176">
        <v>0.11942999999999999</v>
      </c>
      <c r="B176">
        <v>4.018E-2</v>
      </c>
    </row>
    <row r="177" spans="1:2">
      <c r="A177">
        <v>8.8279999999999997E-2</v>
      </c>
      <c r="B177">
        <v>4.7469999999999998E-2</v>
      </c>
    </row>
    <row r="178" spans="1:2">
      <c r="A178">
        <v>8.7770000000000001E-2</v>
      </c>
      <c r="B178">
        <v>3.3779999999999998E-2</v>
      </c>
    </row>
    <row r="179" spans="1:2">
      <c r="A179">
        <v>2.5409999999999999E-2</v>
      </c>
      <c r="B179">
        <v>7.714E-2</v>
      </c>
    </row>
    <row r="180" spans="1:2">
      <c r="A180">
        <v>1.0059999999999999E-2</v>
      </c>
      <c r="B180">
        <v>8.3909999999999998E-2</v>
      </c>
    </row>
    <row r="181" spans="1:2">
      <c r="A181">
        <v>0</v>
      </c>
      <c r="B181">
        <v>6.8870000000000001E-2</v>
      </c>
    </row>
    <row r="182" spans="1:2">
      <c r="A182">
        <v>0</v>
      </c>
      <c r="B182">
        <v>0.14430000000000001</v>
      </c>
    </row>
    <row r="183" spans="1:2">
      <c r="A183">
        <v>0.10836</v>
      </c>
      <c r="B183">
        <v>8.7349999999999997E-2</v>
      </c>
    </row>
    <row r="184" spans="1:2">
      <c r="A184">
        <v>5.5890000000000002E-2</v>
      </c>
      <c r="B184">
        <v>0.12925</v>
      </c>
    </row>
    <row r="185" spans="1:2">
      <c r="A185">
        <v>0.50058999999999998</v>
      </c>
      <c r="B185">
        <v>3.7379999999999997E-2</v>
      </c>
    </row>
    <row r="186" spans="1:2">
      <c r="A186">
        <v>0.11336</v>
      </c>
      <c r="B186">
        <v>3.3399999999999999E-2</v>
      </c>
    </row>
    <row r="187" spans="1:2">
      <c r="A187">
        <v>4.6179999999999999E-2</v>
      </c>
      <c r="B187">
        <v>0.11645</v>
      </c>
    </row>
    <row r="188" spans="1:2">
      <c r="A188">
        <v>1.8620000000000001E-2</v>
      </c>
      <c r="B188">
        <v>0.1191</v>
      </c>
    </row>
    <row r="189" spans="1:2">
      <c r="A189">
        <v>1.423E-2</v>
      </c>
      <c r="B189">
        <v>1.9640000000000001E-2</v>
      </c>
    </row>
    <row r="190" spans="1:2">
      <c r="A190">
        <v>0.25591000000000003</v>
      </c>
      <c r="B190">
        <v>5.8020000000000002E-2</v>
      </c>
    </row>
    <row r="191" spans="1:2">
      <c r="A191">
        <v>0.24203</v>
      </c>
      <c r="B191">
        <v>3.056E-2</v>
      </c>
    </row>
    <row r="192" spans="1:2">
      <c r="A192">
        <v>0.24009</v>
      </c>
      <c r="B192">
        <v>8.5540000000000005E-2</v>
      </c>
    </row>
    <row r="193" spans="1:2">
      <c r="A193">
        <v>0.14495</v>
      </c>
      <c r="B193">
        <v>0.13852999999999999</v>
      </c>
    </row>
    <row r="194" spans="1:2">
      <c r="A194">
        <v>9.8739999999999994E-2</v>
      </c>
      <c r="B194">
        <v>0.13872999999999999</v>
      </c>
    </row>
    <row r="195" spans="1:2">
      <c r="A195">
        <v>8.4320000000000006E-2</v>
      </c>
      <c r="B195">
        <v>2.3199999999999998E-2</v>
      </c>
    </row>
    <row r="196" spans="1:2">
      <c r="A196">
        <v>8.4159999999999999E-2</v>
      </c>
      <c r="B196">
        <v>4.9200000000000001E-2</v>
      </c>
    </row>
    <row r="197" spans="1:2">
      <c r="A197">
        <v>7.288E-2</v>
      </c>
      <c r="B197">
        <v>2.9850000000000002E-2</v>
      </c>
    </row>
    <row r="198" spans="1:2">
      <c r="A198">
        <v>6.905E-2</v>
      </c>
      <c r="B198">
        <v>5.6550000000000003E-2</v>
      </c>
    </row>
    <row r="199" spans="1:2">
      <c r="A199">
        <v>1.7739999999999999E-2</v>
      </c>
      <c r="B199">
        <v>4.3749999999999997E-2</v>
      </c>
    </row>
    <row r="200" spans="1:2">
      <c r="A200">
        <v>0.27550000000000002</v>
      </c>
      <c r="B200">
        <v>7.0610000000000006E-2</v>
      </c>
    </row>
    <row r="201" spans="1:2">
      <c r="A201">
        <v>0.1865</v>
      </c>
      <c r="B201">
        <v>5.45E-2</v>
      </c>
    </row>
    <row r="202" spans="1:2">
      <c r="A202">
        <v>0.11992</v>
      </c>
      <c r="B202">
        <v>0.11318</v>
      </c>
    </row>
    <row r="203" spans="1:2">
      <c r="A203">
        <v>9.3880000000000005E-2</v>
      </c>
      <c r="B203">
        <v>7.0220000000000005E-2</v>
      </c>
    </row>
    <row r="204" spans="1:2">
      <c r="A204">
        <v>4.4260000000000001E-2</v>
      </c>
      <c r="B204">
        <v>8.4279999999999994E-2</v>
      </c>
    </row>
    <row r="205" spans="1:2">
      <c r="A205">
        <v>0.27955999999999998</v>
      </c>
      <c r="B205">
        <v>6.8559999999999996E-2</v>
      </c>
    </row>
    <row r="206" spans="1:2">
      <c r="A206">
        <v>9.7220000000000001E-2</v>
      </c>
      <c r="B206">
        <v>2.9499999999999998E-2</v>
      </c>
    </row>
    <row r="207" spans="1:2">
      <c r="A207">
        <v>9.3210000000000001E-2</v>
      </c>
      <c r="B207">
        <v>6.148E-2</v>
      </c>
    </row>
    <row r="208" spans="1:2">
      <c r="A208">
        <v>6.3950000000000007E-2</v>
      </c>
      <c r="B208">
        <v>0.12427000000000001</v>
      </c>
    </row>
    <row r="209" spans="1:2">
      <c r="A209">
        <v>2.9690000000000001E-2</v>
      </c>
      <c r="B209">
        <v>1.562E-2</v>
      </c>
    </row>
    <row r="210" spans="1:2">
      <c r="A210">
        <v>2.197E-2</v>
      </c>
      <c r="B210">
        <v>7.5209999999999999E-2</v>
      </c>
    </row>
    <row r="211" spans="1:2">
      <c r="A211">
        <v>0.40309</v>
      </c>
      <c r="B211">
        <v>0.14878</v>
      </c>
    </row>
    <row r="212" spans="1:2">
      <c r="A212">
        <v>0.15676999999999999</v>
      </c>
      <c r="B212">
        <v>0.13707</v>
      </c>
    </row>
    <row r="213" spans="1:2">
      <c r="A213">
        <v>9.3090000000000006E-2</v>
      </c>
      <c r="B213">
        <v>1.553E-2</v>
      </c>
    </row>
    <row r="214" spans="1:2">
      <c r="A214">
        <v>2.9860000000000001E-2</v>
      </c>
      <c r="B214">
        <v>3.2559999999999999E-2</v>
      </c>
    </row>
    <row r="215" spans="1:2">
      <c r="A215">
        <v>2.3099999999999999E-2</v>
      </c>
      <c r="B215">
        <v>2.3709999999999998E-2</v>
      </c>
    </row>
    <row r="216" spans="1:2">
      <c r="A216">
        <v>7.0299999999999998E-3</v>
      </c>
      <c r="B216">
        <v>3.2550000000000003E-2</v>
      </c>
    </row>
    <row r="217" spans="1:2">
      <c r="A217">
        <v>0.26124000000000003</v>
      </c>
      <c r="B217">
        <v>2.1700000000000001E-2</v>
      </c>
    </row>
    <row r="218" spans="1:2">
      <c r="A218">
        <v>4.5359999999999998E-2</v>
      </c>
      <c r="B218">
        <v>5.9520000000000003E-2</v>
      </c>
    </row>
    <row r="219" spans="1:2">
      <c r="A219">
        <v>1.6920000000000001E-2</v>
      </c>
      <c r="B219">
        <v>0.10428</v>
      </c>
    </row>
    <row r="220" spans="1:2">
      <c r="A220">
        <v>0</v>
      </c>
      <c r="B220">
        <v>2.86E-2</v>
      </c>
    </row>
    <row r="221" spans="1:2">
      <c r="A221">
        <v>0</v>
      </c>
      <c r="B221">
        <v>2.656E-2</v>
      </c>
    </row>
    <row r="222" spans="1:2">
      <c r="A222">
        <v>1.56338</v>
      </c>
      <c r="B222">
        <v>2.9180000000000001E-2</v>
      </c>
    </row>
    <row r="223" spans="1:2">
      <c r="A223">
        <v>0.20898</v>
      </c>
      <c r="B223">
        <v>5.015E-2</v>
      </c>
    </row>
    <row r="224" spans="1:2">
      <c r="A224">
        <v>0.20713999999999999</v>
      </c>
      <c r="B224">
        <v>0.10032000000000001</v>
      </c>
    </row>
    <row r="225" spans="1:2">
      <c r="A225">
        <v>7.639E-2</v>
      </c>
      <c r="B225">
        <v>7.1309999999999998E-2</v>
      </c>
    </row>
    <row r="226" spans="1:2">
      <c r="A226">
        <v>7.2359999999999994E-2</v>
      </c>
      <c r="B226">
        <v>0.1089</v>
      </c>
    </row>
    <row r="227" spans="1:2">
      <c r="A227">
        <v>3.696E-2</v>
      </c>
      <c r="B227">
        <v>2.104E-2</v>
      </c>
    </row>
    <row r="228" spans="1:2">
      <c r="A228">
        <v>2.043E-2</v>
      </c>
      <c r="B228">
        <v>6.157E-2</v>
      </c>
    </row>
    <row r="229" spans="1:2">
      <c r="A229">
        <v>9.7699999999999992E-3</v>
      </c>
      <c r="B229">
        <v>3.5290000000000002E-2</v>
      </c>
    </row>
    <row r="230" spans="1:2">
      <c r="A230">
        <v>0.58467000000000002</v>
      </c>
      <c r="B230">
        <v>0.10748000000000001</v>
      </c>
    </row>
    <row r="231" spans="1:2">
      <c r="A231">
        <v>0.35509000000000002</v>
      </c>
      <c r="B231">
        <v>5.6160000000000002E-2</v>
      </c>
    </row>
    <row r="232" spans="1:2">
      <c r="A232">
        <v>0.25746000000000002</v>
      </c>
      <c r="B232">
        <v>0.12938</v>
      </c>
    </row>
    <row r="233" spans="1:2">
      <c r="A233">
        <v>0.17132</v>
      </c>
      <c r="B233">
        <v>9.0200000000000002E-2</v>
      </c>
    </row>
    <row r="234" spans="1:2">
      <c r="A234">
        <v>0.15654999999999999</v>
      </c>
      <c r="B234">
        <v>7.1609999999999993E-2</v>
      </c>
    </row>
    <row r="235" spans="1:2">
      <c r="A235">
        <v>0.12501000000000001</v>
      </c>
      <c r="B235">
        <v>9.4009999999999996E-2</v>
      </c>
    </row>
    <row r="236" spans="1:2">
      <c r="A236">
        <v>3.1390000000000001E-2</v>
      </c>
      <c r="B236">
        <v>0.14391999999999999</v>
      </c>
    </row>
    <row r="237" spans="1:2">
      <c r="A237">
        <v>0</v>
      </c>
      <c r="B237">
        <v>5.9500000000000004E-3</v>
      </c>
    </row>
    <row r="238" spans="1:2">
      <c r="A238">
        <v>0.19259999999999999</v>
      </c>
      <c r="B238">
        <v>7.1830000000000005E-2</v>
      </c>
    </row>
    <row r="239" spans="1:2">
      <c r="A239">
        <v>0.12581000000000001</v>
      </c>
      <c r="B239">
        <v>4.351E-2</v>
      </c>
    </row>
    <row r="240" spans="1:2">
      <c r="A240">
        <v>9.2700000000000005E-2</v>
      </c>
      <c r="B240">
        <v>0.13564999999999999</v>
      </c>
    </row>
    <row r="241" spans="1:2">
      <c r="A241">
        <v>9.1410000000000005E-2</v>
      </c>
      <c r="B241">
        <v>7.1279999999999996E-2</v>
      </c>
    </row>
    <row r="242" spans="1:2">
      <c r="A242">
        <v>8.6120000000000002E-2</v>
      </c>
      <c r="B242">
        <v>5.0990000000000001E-2</v>
      </c>
    </row>
    <row r="243" spans="1:2">
      <c r="A243">
        <v>6.5140000000000003E-2</v>
      </c>
      <c r="B243">
        <v>4.2430000000000002E-2</v>
      </c>
    </row>
    <row r="244" spans="1:2">
      <c r="A244">
        <v>5.0049999999999997E-2</v>
      </c>
      <c r="B244">
        <v>9.221E-2</v>
      </c>
    </row>
    <row r="245" spans="1:2">
      <c r="A245">
        <v>3.8109999999999998E-2</v>
      </c>
      <c r="B245">
        <v>6.1109999999999998E-2</v>
      </c>
    </row>
    <row r="246" spans="1:2">
      <c r="A246">
        <v>0</v>
      </c>
      <c r="B246">
        <v>0.13786000000000001</v>
      </c>
    </row>
    <row r="247" spans="1:2">
      <c r="A247">
        <v>0.15920000000000001</v>
      </c>
      <c r="B247">
        <v>1.5310000000000001E-2</v>
      </c>
    </row>
    <row r="248" spans="1:2">
      <c r="A248">
        <v>0.11105</v>
      </c>
      <c r="B248">
        <v>7.1730000000000002E-2</v>
      </c>
    </row>
    <row r="249" spans="1:2">
      <c r="A249">
        <v>9.0139999999999998E-2</v>
      </c>
      <c r="B249">
        <v>5.4440000000000002E-2</v>
      </c>
    </row>
    <row r="250" spans="1:2">
      <c r="A250">
        <v>5.815E-2</v>
      </c>
      <c r="B250">
        <v>2.8490000000000001E-2</v>
      </c>
    </row>
    <row r="251" spans="1:2">
      <c r="A251">
        <v>3.1969999999999998E-2</v>
      </c>
      <c r="B251">
        <v>5.407E-2</v>
      </c>
    </row>
    <row r="252" spans="1:2">
      <c r="A252">
        <v>0</v>
      </c>
      <c r="B252">
        <v>3.0530000000000002E-2</v>
      </c>
    </row>
    <row r="253" spans="1:2">
      <c r="A253">
        <v>0.54144999999999999</v>
      </c>
      <c r="B253">
        <v>3.4759999999999999E-2</v>
      </c>
    </row>
    <row r="254" spans="1:2">
      <c r="A254">
        <v>0.42842000000000002</v>
      </c>
      <c r="B254">
        <v>5.5919999999999997E-2</v>
      </c>
    </row>
    <row r="255" spans="1:2">
      <c r="A255">
        <v>0.36625999999999997</v>
      </c>
      <c r="B255">
        <v>7.3669999999999999E-2</v>
      </c>
    </row>
    <row r="256" spans="1:2">
      <c r="A256">
        <v>0.10996</v>
      </c>
      <c r="B256">
        <v>0.1082</v>
      </c>
    </row>
    <row r="257" spans="1:2">
      <c r="A257">
        <v>3.4639999999999997E-2</v>
      </c>
      <c r="B257">
        <v>8.5169999999999996E-2</v>
      </c>
    </row>
    <row r="258" spans="1:2">
      <c r="A258">
        <v>0.30567</v>
      </c>
      <c r="B258">
        <v>3.6560000000000002E-2</v>
      </c>
    </row>
    <row r="259" spans="1:2">
      <c r="A259">
        <v>0.20036999999999999</v>
      </c>
      <c r="B259">
        <v>0.12017</v>
      </c>
    </row>
    <row r="260" spans="1:2">
      <c r="A260">
        <v>0.19189999999999999</v>
      </c>
      <c r="B260">
        <v>8.6190000000000003E-2</v>
      </c>
    </row>
    <row r="261" spans="1:2">
      <c r="A261">
        <v>9.2789999999999997E-2</v>
      </c>
      <c r="B261">
        <v>5.219E-2</v>
      </c>
    </row>
    <row r="262" spans="1:2">
      <c r="A262">
        <v>0</v>
      </c>
      <c r="B262">
        <v>7.5740000000000002E-2</v>
      </c>
    </row>
    <row r="263" spans="1:2">
      <c r="A263">
        <v>0</v>
      </c>
      <c r="B263">
        <v>0.10609</v>
      </c>
    </row>
    <row r="264" spans="1:2">
      <c r="A264">
        <v>0.184</v>
      </c>
      <c r="B264">
        <v>7.5329999999999994E-2</v>
      </c>
    </row>
    <row r="265" spans="1:2">
      <c r="A265">
        <v>6.4530000000000004E-2</v>
      </c>
      <c r="B265">
        <v>2.5739999999999999E-2</v>
      </c>
    </row>
    <row r="266" spans="1:2">
      <c r="A266">
        <v>5.6300000000000003E-2</v>
      </c>
      <c r="B266">
        <v>1.9140000000000001E-2</v>
      </c>
    </row>
    <row r="267" spans="1:2">
      <c r="A267">
        <v>5.015E-2</v>
      </c>
      <c r="B267">
        <v>5.0029999999999998E-2</v>
      </c>
    </row>
    <row r="268" spans="1:2">
      <c r="A268">
        <v>4.8300000000000003E-2</v>
      </c>
      <c r="B268">
        <v>0.1037</v>
      </c>
    </row>
    <row r="269" spans="1:2">
      <c r="A269">
        <v>1.504E-2</v>
      </c>
      <c r="B269">
        <v>9.0130000000000002E-2</v>
      </c>
    </row>
    <row r="270" spans="1:2">
      <c r="A270">
        <v>0</v>
      </c>
      <c r="B270">
        <v>0.14077000000000001</v>
      </c>
    </row>
    <row r="271" spans="1:2">
      <c r="A271">
        <v>0</v>
      </c>
      <c r="B271">
        <v>3.9120000000000002E-2</v>
      </c>
    </row>
    <row r="272" spans="1:2">
      <c r="A272">
        <v>0.96480999999999995</v>
      </c>
      <c r="B272">
        <v>4.836E-2</v>
      </c>
    </row>
    <row r="273" spans="1:2">
      <c r="A273">
        <v>0.21565999999999999</v>
      </c>
      <c r="B273">
        <v>7.671E-2</v>
      </c>
    </row>
    <row r="274" spans="1:2">
      <c r="A274">
        <v>0.11314</v>
      </c>
      <c r="B274">
        <v>6.4079999999999998E-2</v>
      </c>
    </row>
    <row r="275" spans="1:2">
      <c r="A275">
        <v>2.427E-2</v>
      </c>
      <c r="B275">
        <v>3.8460000000000001E-2</v>
      </c>
    </row>
    <row r="276" spans="1:2">
      <c r="A276">
        <v>0.53815999999999997</v>
      </c>
      <c r="B276">
        <v>5.074E-2</v>
      </c>
    </row>
    <row r="277" spans="1:2">
      <c r="A277">
        <v>0.36314000000000002</v>
      </c>
      <c r="B277">
        <v>2.87E-2</v>
      </c>
    </row>
    <row r="278" spans="1:2">
      <c r="A278">
        <v>0.24351999999999999</v>
      </c>
      <c r="B278">
        <v>6.2600000000000003E-2</v>
      </c>
    </row>
    <row r="279" spans="1:2">
      <c r="A279">
        <v>0.14027000000000001</v>
      </c>
      <c r="B279">
        <v>4.598E-2</v>
      </c>
    </row>
    <row r="280" spans="1:2">
      <c r="A280">
        <v>2.4750000000000001E-2</v>
      </c>
      <c r="B280">
        <v>4.1200000000000001E-2</v>
      </c>
    </row>
    <row r="281" spans="1:2">
      <c r="A281">
        <v>1.192E-2</v>
      </c>
      <c r="B281">
        <v>5.8360000000000002E-2</v>
      </c>
    </row>
    <row r="282" spans="1:2">
      <c r="A282">
        <v>0.29687999999999998</v>
      </c>
      <c r="B282">
        <v>5.4330000000000003E-2</v>
      </c>
    </row>
    <row r="283" spans="1:2">
      <c r="A283">
        <v>0.26357000000000003</v>
      </c>
      <c r="B283">
        <v>4.4889999999999999E-2</v>
      </c>
    </row>
    <row r="284" spans="1:2">
      <c r="A284">
        <v>0.1502</v>
      </c>
      <c r="B284">
        <v>7.0919999999999997E-2</v>
      </c>
    </row>
    <row r="285" spans="1:2">
      <c r="A285">
        <v>3.6089999999999997E-2</v>
      </c>
      <c r="B285">
        <v>0.11766</v>
      </c>
    </row>
    <row r="286" spans="1:2">
      <c r="A286">
        <v>0</v>
      </c>
      <c r="B286">
        <v>4.0149999999999998E-2</v>
      </c>
    </row>
    <row r="287" spans="1:2">
      <c r="A287">
        <v>0.53822999999999999</v>
      </c>
      <c r="B287">
        <v>4.1880000000000001E-2</v>
      </c>
    </row>
    <row r="288" spans="1:2">
      <c r="A288">
        <v>0.30736000000000002</v>
      </c>
      <c r="B288">
        <v>2.7040000000000002E-2</v>
      </c>
    </row>
    <row r="289" spans="1:2">
      <c r="A289">
        <v>0.15245</v>
      </c>
      <c r="B289">
        <v>4.3610000000000003E-2</v>
      </c>
    </row>
    <row r="290" spans="1:2">
      <c r="A290">
        <v>9.7049999999999997E-2</v>
      </c>
      <c r="B290">
        <v>4.5229999999999999E-2</v>
      </c>
    </row>
    <row r="291" spans="1:2">
      <c r="A291">
        <v>0</v>
      </c>
      <c r="B291">
        <v>5.5329999999999997E-2</v>
      </c>
    </row>
    <row r="292" spans="1:2">
      <c r="A292">
        <v>9.1899999999999996E-2</v>
      </c>
      <c r="B292">
        <v>8.9249999999999996E-2</v>
      </c>
    </row>
    <row r="293" spans="1:2">
      <c r="A293">
        <v>8.9959999999999998E-2</v>
      </c>
      <c r="B293">
        <v>3.7629999999999997E-2</v>
      </c>
    </row>
    <row r="294" spans="1:2">
      <c r="A294">
        <v>1.3128</v>
      </c>
      <c r="B294">
        <v>4.7350000000000003E-2</v>
      </c>
    </row>
    <row r="295" spans="1:2">
      <c r="A295">
        <v>0.21232000000000001</v>
      </c>
      <c r="B295">
        <v>4.1910000000000003E-2</v>
      </c>
    </row>
    <row r="296" spans="1:2">
      <c r="A296">
        <v>5.5870000000000003E-2</v>
      </c>
      <c r="B296">
        <v>6.9139999999999993E-2</v>
      </c>
    </row>
    <row r="297" spans="1:2">
      <c r="A297">
        <v>3.7490000000000002E-2</v>
      </c>
      <c r="B297">
        <v>7.0650000000000004E-2</v>
      </c>
    </row>
    <row r="298" spans="1:2">
      <c r="A298">
        <v>2.8670000000000001E-2</v>
      </c>
      <c r="B298">
        <v>5.0979999999999998E-2</v>
      </c>
    </row>
    <row r="299" spans="1:2">
      <c r="A299">
        <v>1.9779999999999999E-2</v>
      </c>
      <c r="B299">
        <v>0.10002999999999999</v>
      </c>
    </row>
    <row r="300" spans="1:2">
      <c r="A300">
        <v>0.36713000000000001</v>
      </c>
      <c r="B300">
        <v>9.2520000000000005E-2</v>
      </c>
    </row>
    <row r="301" spans="1:2">
      <c r="A301">
        <v>0.15223</v>
      </c>
      <c r="B301">
        <v>9.7559999999999994E-2</v>
      </c>
    </row>
    <row r="302" spans="1:2">
      <c r="A302">
        <v>6.4519999999999994E-2</v>
      </c>
      <c r="B302">
        <v>5.1270000000000003E-2</v>
      </c>
    </row>
    <row r="303" spans="1:2">
      <c r="A303">
        <v>3.2840000000000001E-2</v>
      </c>
      <c r="B303">
        <v>2.76E-2</v>
      </c>
    </row>
    <row r="304" spans="1:2">
      <c r="A304">
        <v>0.10446999999999999</v>
      </c>
      <c r="B304">
        <v>4.5760000000000002E-2</v>
      </c>
    </row>
    <row r="305" spans="1:2">
      <c r="A305">
        <v>7.9269999999999993E-2</v>
      </c>
      <c r="B305">
        <v>7.4200000000000002E-2</v>
      </c>
    </row>
    <row r="306" spans="1:2">
      <c r="A306">
        <v>2.9780000000000001E-2</v>
      </c>
      <c r="B306">
        <v>9.0630000000000002E-2</v>
      </c>
    </row>
    <row r="307" spans="1:2">
      <c r="A307">
        <v>1.0059999999999999E-2</v>
      </c>
      <c r="B307">
        <v>7.5819999999999999E-2</v>
      </c>
    </row>
    <row r="308" spans="1:2">
      <c r="A308">
        <v>0</v>
      </c>
      <c r="B308">
        <v>3.2960000000000003E-2</v>
      </c>
    </row>
    <row r="309" spans="1:2">
      <c r="A309">
        <v>7.7200000000000005E-2</v>
      </c>
      <c r="B309">
        <v>4.5310000000000003E-2</v>
      </c>
    </row>
    <row r="310" spans="1:2">
      <c r="A310">
        <v>7.6300000000000007E-2</v>
      </c>
      <c r="B310">
        <v>3.6510000000000001E-2</v>
      </c>
    </row>
    <row r="311" spans="1:2">
      <c r="A311">
        <v>0</v>
      </c>
      <c r="B311">
        <v>6.5769999999999995E-2</v>
      </c>
    </row>
    <row r="312" spans="1:2">
      <c r="A312">
        <v>0.25971</v>
      </c>
      <c r="B312">
        <v>9.2770000000000005E-2</v>
      </c>
    </row>
    <row r="313" spans="1:2">
      <c r="A313">
        <v>0.11167000000000001</v>
      </c>
      <c r="B313">
        <v>6.8040000000000003E-2</v>
      </c>
    </row>
    <row r="314" spans="1:2">
      <c r="A314">
        <v>9.2660000000000006E-2</v>
      </c>
      <c r="B314">
        <v>0.03</v>
      </c>
    </row>
    <row r="315" spans="1:2">
      <c r="A315">
        <v>3.5000000000000003E-2</v>
      </c>
      <c r="B315">
        <v>3.9489999999999997E-2</v>
      </c>
    </row>
    <row r="316" spans="1:2">
      <c r="A316">
        <v>3.4329999999999999E-2</v>
      </c>
      <c r="B316">
        <v>1.3429999999999999E-2</v>
      </c>
    </row>
    <row r="317" spans="1:2">
      <c r="A317">
        <v>1.7739999999999999E-2</v>
      </c>
      <c r="B317">
        <v>5.6699999999999997E-3</v>
      </c>
    </row>
    <row r="318" spans="1:2">
      <c r="A318">
        <v>0</v>
      </c>
      <c r="B318">
        <v>3.6580000000000001E-2</v>
      </c>
    </row>
    <row r="319" spans="1:2">
      <c r="A319">
        <v>2.80932</v>
      </c>
      <c r="B319">
        <v>3.0519999999999999E-2</v>
      </c>
    </row>
    <row r="320" spans="1:2">
      <c r="A320">
        <v>0.86939999999999995</v>
      </c>
      <c r="B320">
        <v>1.7600000000000001E-2</v>
      </c>
    </row>
    <row r="321" spans="1:2">
      <c r="A321">
        <v>0.32517000000000001</v>
      </c>
      <c r="B321">
        <v>2.504E-2</v>
      </c>
    </row>
    <row r="322" spans="1:2">
      <c r="A322">
        <v>0.16388</v>
      </c>
      <c r="B322">
        <v>3.3119999999999997E-2</v>
      </c>
    </row>
    <row r="323" spans="1:2">
      <c r="A323">
        <v>6.8080000000000002E-2</v>
      </c>
      <c r="B323">
        <v>2.622E-2</v>
      </c>
    </row>
    <row r="324" spans="1:2">
      <c r="A324">
        <v>5.185E-2</v>
      </c>
      <c r="B324">
        <v>6.2129999999999998E-2</v>
      </c>
    </row>
    <row r="325" spans="1:2">
      <c r="A325">
        <v>2.9190000000000001E-2</v>
      </c>
      <c r="B325">
        <v>3.5950000000000003E-2</v>
      </c>
    </row>
    <row r="326" spans="1:2">
      <c r="A326">
        <v>1.6299999999999999E-2</v>
      </c>
      <c r="B326">
        <v>7.7770000000000006E-2</v>
      </c>
    </row>
    <row r="327" spans="1:2">
      <c r="A327">
        <v>0.22056999999999999</v>
      </c>
      <c r="B327">
        <v>5.9339999999999997E-2</v>
      </c>
    </row>
    <row r="328" spans="1:2">
      <c r="A328">
        <v>0.10959000000000001</v>
      </c>
      <c r="B328">
        <v>8.3860000000000004E-2</v>
      </c>
    </row>
    <row r="329" spans="1:2">
      <c r="A329">
        <v>9.0889999999999999E-2</v>
      </c>
      <c r="B329">
        <v>4.5859999999999998E-2</v>
      </c>
    </row>
    <row r="330" spans="1:2">
      <c r="A330">
        <v>7.3419999999999999E-2</v>
      </c>
      <c r="B330">
        <v>6.6869999999999999E-2</v>
      </c>
    </row>
    <row r="331" spans="1:2">
      <c r="A331">
        <v>2.9579999999999999E-2</v>
      </c>
      <c r="B331">
        <v>3.2460000000000003E-2</v>
      </c>
    </row>
    <row r="332" spans="1:2">
      <c r="A332">
        <v>8.2040000000000002E-2</v>
      </c>
      <c r="B332">
        <v>4.8210000000000003E-2</v>
      </c>
    </row>
    <row r="333" spans="1:2">
      <c r="A333">
        <v>3.687E-2</v>
      </c>
      <c r="B333">
        <v>0.13808000000000001</v>
      </c>
    </row>
    <row r="334" spans="1:2">
      <c r="A334">
        <v>2.845E-2</v>
      </c>
      <c r="B334">
        <v>6.8089999999999998E-2</v>
      </c>
    </row>
    <row r="335" spans="1:2">
      <c r="A335">
        <v>6.4000000000000003E-3</v>
      </c>
      <c r="B335">
        <v>5.0299999999999997E-2</v>
      </c>
    </row>
    <row r="336" spans="1:2">
      <c r="A336">
        <v>0</v>
      </c>
      <c r="B336">
        <v>3.3959999999999997E-2</v>
      </c>
    </row>
    <row r="337" spans="1:2">
      <c r="A337">
        <v>0</v>
      </c>
      <c r="B337">
        <v>6.6710000000000005E-2</v>
      </c>
    </row>
    <row r="338" spans="1:2">
      <c r="A338">
        <v>0.41785</v>
      </c>
      <c r="B338">
        <v>8.7480000000000002E-2</v>
      </c>
    </row>
    <row r="339" spans="1:2">
      <c r="A339">
        <v>0.11226</v>
      </c>
      <c r="B339">
        <v>5.1470000000000002E-2</v>
      </c>
    </row>
    <row r="340" spans="1:2">
      <c r="A340">
        <v>1.9910000000000001E-2</v>
      </c>
      <c r="B340">
        <v>6.2920000000000004E-2</v>
      </c>
    </row>
    <row r="341" spans="1:2">
      <c r="A341">
        <v>0.96067000000000002</v>
      </c>
      <c r="B341">
        <v>6.3850000000000004E-2</v>
      </c>
    </row>
    <row r="342" spans="1:2">
      <c r="A342">
        <v>0.71311999999999998</v>
      </c>
      <c r="B342">
        <v>0.11647</v>
      </c>
    </row>
    <row r="343" spans="1:2">
      <c r="A343">
        <v>0.17648</v>
      </c>
      <c r="B343">
        <v>4.6059999999999997E-2</v>
      </c>
    </row>
    <row r="344" spans="1:2">
      <c r="A344">
        <v>8.3269999999999997E-2</v>
      </c>
      <c r="B344">
        <v>2.0469999999999999E-2</v>
      </c>
    </row>
    <row r="345" spans="1:2">
      <c r="A345">
        <v>2.0410000000000001E-2</v>
      </c>
      <c r="B345">
        <v>3.2099999999999997E-2</v>
      </c>
    </row>
    <row r="346" spans="1:2">
      <c r="A346">
        <v>0.32124999999999998</v>
      </c>
      <c r="B346">
        <v>9.0450000000000003E-2</v>
      </c>
    </row>
    <row r="347" spans="1:2">
      <c r="A347">
        <v>0.31091999999999997</v>
      </c>
      <c r="B347">
        <v>0.106</v>
      </c>
    </row>
    <row r="348" spans="1:2">
      <c r="A348">
        <v>0.25341000000000002</v>
      </c>
      <c r="B348">
        <v>2.758E-2</v>
      </c>
    </row>
    <row r="349" spans="1:2">
      <c r="A349">
        <v>0.1522</v>
      </c>
      <c r="B349">
        <v>8.2049999999999998E-2</v>
      </c>
    </row>
    <row r="350" spans="1:2">
      <c r="A350">
        <v>0.14194000000000001</v>
      </c>
      <c r="B350">
        <v>0.10852000000000001</v>
      </c>
    </row>
    <row r="351" spans="1:2">
      <c r="A351">
        <v>6.4390000000000003E-2</v>
      </c>
      <c r="B351">
        <v>4.7660000000000001E-2</v>
      </c>
    </row>
    <row r="352" spans="1:2">
      <c r="A352">
        <v>5.5629999999999999E-2</v>
      </c>
      <c r="B352">
        <v>5.3420000000000002E-2</v>
      </c>
    </row>
    <row r="353" spans="1:2">
      <c r="A353">
        <v>4.8259999999999997E-2</v>
      </c>
      <c r="B353">
        <v>2.7189999999999999E-2</v>
      </c>
    </row>
    <row r="354" spans="1:2">
      <c r="A354">
        <v>4.7289999999999999E-2</v>
      </c>
      <c r="B354">
        <v>8.1100000000000005E-2</v>
      </c>
    </row>
    <row r="355" spans="1:2">
      <c r="A355">
        <v>9.3869999999999995E-2</v>
      </c>
      <c r="B355">
        <v>7.2999999999999995E-2</v>
      </c>
    </row>
    <row r="356" spans="1:2">
      <c r="A356">
        <v>4.863E-2</v>
      </c>
      <c r="B356">
        <v>2.5090000000000001E-2</v>
      </c>
    </row>
    <row r="357" spans="1:2">
      <c r="A357">
        <v>3.8309999999999997E-2</v>
      </c>
      <c r="B357">
        <v>7.3620000000000005E-2</v>
      </c>
    </row>
    <row r="358" spans="1:2">
      <c r="A358">
        <v>3.3169999999999998E-2</v>
      </c>
      <c r="B358">
        <v>5.3159999999999999E-2</v>
      </c>
    </row>
    <row r="359" spans="1:2">
      <c r="A359">
        <v>0.49952000000000002</v>
      </c>
      <c r="B359">
        <v>4.0849999999999997E-2</v>
      </c>
    </row>
    <row r="360" spans="1:2">
      <c r="A360">
        <v>0.32851999999999998</v>
      </c>
      <c r="B360">
        <v>5.6300000000000003E-2</v>
      </c>
    </row>
    <row r="361" spans="1:2">
      <c r="A361">
        <v>0.30003000000000002</v>
      </c>
      <c r="B361">
        <v>6.7140000000000005E-2</v>
      </c>
    </row>
    <row r="362" spans="1:2">
      <c r="A362">
        <v>0.12398000000000001</v>
      </c>
      <c r="B362">
        <v>5.2720000000000003E-2</v>
      </c>
    </row>
    <row r="363" spans="1:2">
      <c r="A363">
        <v>0.10149</v>
      </c>
      <c r="B363">
        <v>7.2520000000000001E-2</v>
      </c>
    </row>
    <row r="364" spans="1:2">
      <c r="A364">
        <v>9.1160000000000005E-2</v>
      </c>
      <c r="B364">
        <v>5.774E-2</v>
      </c>
    </row>
    <row r="365" spans="1:2">
      <c r="A365">
        <v>5.5530000000000003E-2</v>
      </c>
      <c r="B365">
        <v>7.0720000000000005E-2</v>
      </c>
    </row>
    <row r="366" spans="1:2">
      <c r="A366">
        <v>3.2559999999999999E-2</v>
      </c>
      <c r="B366">
        <v>6.1940000000000002E-2</v>
      </c>
    </row>
    <row r="367" spans="1:2">
      <c r="A367">
        <v>0.16661999999999999</v>
      </c>
      <c r="B367">
        <v>5.3060000000000003E-2</v>
      </c>
    </row>
    <row r="368" spans="1:2">
      <c r="A368">
        <v>0.11339</v>
      </c>
      <c r="B368">
        <v>4.104E-2</v>
      </c>
    </row>
    <row r="369" spans="1:2">
      <c r="A369">
        <v>8.1799999999999998E-2</v>
      </c>
      <c r="B369">
        <v>8.7359999999999993E-2</v>
      </c>
    </row>
    <row r="370" spans="1:2">
      <c r="A370">
        <v>7.7359999999999998E-2</v>
      </c>
      <c r="B370">
        <v>9.5990000000000006E-2</v>
      </c>
    </row>
    <row r="371" spans="1:2">
      <c r="A371">
        <v>6.0909999999999999E-2</v>
      </c>
      <c r="B371">
        <v>3.5549999999999998E-2</v>
      </c>
    </row>
    <row r="372" spans="1:2">
      <c r="A372">
        <v>0.70604</v>
      </c>
      <c r="B372">
        <v>3.1320000000000001E-2</v>
      </c>
    </row>
    <row r="373" spans="1:2">
      <c r="A373">
        <v>0.41444999999999999</v>
      </c>
      <c r="B373">
        <v>4.2090000000000002E-2</v>
      </c>
    </row>
    <row r="374" spans="1:2">
      <c r="A374">
        <v>0.28970000000000001</v>
      </c>
      <c r="B374">
        <v>9.9470000000000003E-2</v>
      </c>
    </row>
    <row r="375" spans="1:2">
      <c r="A375">
        <v>0.12209</v>
      </c>
      <c r="B375">
        <v>3.1550000000000002E-2</v>
      </c>
    </row>
    <row r="376" spans="1:2">
      <c r="A376">
        <v>0.11165</v>
      </c>
      <c r="B376">
        <v>4.6390000000000001E-2</v>
      </c>
    </row>
    <row r="377" spans="1:2">
      <c r="A377">
        <v>9.7350000000000006E-2</v>
      </c>
      <c r="B377">
        <v>1.6070000000000001E-2</v>
      </c>
    </row>
    <row r="378" spans="1:2">
      <c r="A378">
        <v>0</v>
      </c>
      <c r="B378">
        <v>5.6140000000000002E-2</v>
      </c>
    </row>
    <row r="379" spans="1:2">
      <c r="A379">
        <v>0.41820000000000002</v>
      </c>
      <c r="B379">
        <v>3.2530000000000003E-2</v>
      </c>
    </row>
    <row r="380" spans="1:2">
      <c r="A380">
        <v>0.31087999999999999</v>
      </c>
      <c r="B380">
        <v>6.3899999999999998E-2</v>
      </c>
    </row>
    <row r="381" spans="1:2">
      <c r="A381">
        <v>0.14066000000000001</v>
      </c>
      <c r="B381">
        <v>2.9770000000000001E-2</v>
      </c>
    </row>
    <row r="382" spans="1:2">
      <c r="A382">
        <v>5.3400000000000003E-2</v>
      </c>
      <c r="B382">
        <v>3.2649999999999998E-2</v>
      </c>
    </row>
    <row r="383" spans="1:2">
      <c r="A383">
        <v>2.3230000000000001E-2</v>
      </c>
      <c r="B383">
        <v>4.8340000000000001E-2</v>
      </c>
    </row>
    <row r="384" spans="1:2">
      <c r="A384">
        <v>1.506E-2</v>
      </c>
      <c r="B384">
        <v>2.632E-2</v>
      </c>
    </row>
    <row r="385" spans="1:2">
      <c r="A385">
        <v>0.1285</v>
      </c>
      <c r="B385">
        <v>0.1172</v>
      </c>
    </row>
    <row r="386" spans="1:2">
      <c r="A386">
        <v>4.6920000000000003E-2</v>
      </c>
      <c r="B386">
        <v>8.2849999999999993E-2</v>
      </c>
    </row>
    <row r="387" spans="1:2">
      <c r="A387">
        <v>3.6729999999999999E-2</v>
      </c>
      <c r="B387">
        <v>4.0840000000000001E-2</v>
      </c>
    </row>
    <row r="388" spans="1:2">
      <c r="A388">
        <v>0</v>
      </c>
      <c r="B388">
        <v>7.621E-2</v>
      </c>
    </row>
    <row r="389" spans="1:2">
      <c r="A389">
        <v>0</v>
      </c>
      <c r="B389">
        <v>6.2129999999999998E-2</v>
      </c>
    </row>
    <row r="390" spans="1:2">
      <c r="A390">
        <v>0.39456999999999998</v>
      </c>
      <c r="B390">
        <v>0.12647</v>
      </c>
    </row>
    <row r="391" spans="1:2">
      <c r="A391">
        <v>7.9560000000000006E-2</v>
      </c>
      <c r="B391">
        <v>3.5999999999999997E-2</v>
      </c>
    </row>
    <row r="392" spans="1:2">
      <c r="A392">
        <v>4.6809999999999997E-2</v>
      </c>
      <c r="B392">
        <v>3.4590000000000003E-2</v>
      </c>
    </row>
    <row r="393" spans="1:2">
      <c r="A393">
        <v>4.6039999999999998E-2</v>
      </c>
      <c r="B393">
        <v>9.7650000000000001E-2</v>
      </c>
    </row>
    <row r="394" spans="1:2">
      <c r="A394">
        <v>3.0669999999999999E-2</v>
      </c>
      <c r="B394">
        <v>6.1019999999999998E-2</v>
      </c>
    </row>
    <row r="395" spans="1:2">
      <c r="A395">
        <v>2.5260000000000001E-2</v>
      </c>
      <c r="B395">
        <v>4.1549999999999997E-2</v>
      </c>
    </row>
    <row r="396" spans="1:2">
      <c r="A396">
        <v>0.68723000000000001</v>
      </c>
      <c r="B396">
        <v>4.539E-2</v>
      </c>
    </row>
    <row r="397" spans="1:2">
      <c r="A397">
        <v>0.23343</v>
      </c>
      <c r="B397">
        <v>8.301E-2</v>
      </c>
    </row>
    <row r="398" spans="1:2">
      <c r="A398">
        <v>0.15620000000000001</v>
      </c>
      <c r="B398">
        <v>3.1489999999999997E-2</v>
      </c>
    </row>
    <row r="399" spans="1:2">
      <c r="A399">
        <v>0.13133</v>
      </c>
      <c r="B399">
        <v>6.1589999999999999E-2</v>
      </c>
    </row>
    <row r="400" spans="1:2">
      <c r="A400">
        <v>7.5689999999999993E-2</v>
      </c>
      <c r="B400">
        <v>8.3220000000000002E-2</v>
      </c>
    </row>
    <row r="401" spans="1:2">
      <c r="A401">
        <v>4.0009999999999997E-2</v>
      </c>
      <c r="B401">
        <v>2.3E-2</v>
      </c>
    </row>
    <row r="402" spans="1:2">
      <c r="A402">
        <v>3.5200000000000002E-2</v>
      </c>
      <c r="B402">
        <v>2.4240000000000001E-2</v>
      </c>
    </row>
    <row r="403" spans="1:2">
      <c r="A403">
        <v>1.286E-2</v>
      </c>
      <c r="B403">
        <v>3.0429999999999999E-2</v>
      </c>
    </row>
    <row r="404" spans="1:2">
      <c r="A404">
        <v>0.20671999999999999</v>
      </c>
      <c r="B404">
        <v>7.8939999999999996E-2</v>
      </c>
    </row>
    <row r="405" spans="1:2">
      <c r="A405">
        <v>0.16139999999999999</v>
      </c>
      <c r="B405">
        <v>6.9779999999999995E-2</v>
      </c>
    </row>
    <row r="406" spans="1:2">
      <c r="A406">
        <v>0.11144</v>
      </c>
      <c r="B406">
        <v>6.6860000000000003E-2</v>
      </c>
    </row>
    <row r="407" spans="1:2">
      <c r="A407">
        <v>8.269E-2</v>
      </c>
      <c r="B407">
        <v>7.9320000000000002E-2</v>
      </c>
    </row>
    <row r="408" spans="1:2">
      <c r="A408">
        <v>8.0490000000000006E-2</v>
      </c>
      <c r="B408">
        <v>6.4320000000000002E-2</v>
      </c>
    </row>
    <row r="409" spans="1:2">
      <c r="A409">
        <v>2.3259999999999999E-2</v>
      </c>
      <c r="B409">
        <v>3.7810000000000003E-2</v>
      </c>
    </row>
    <row r="410" spans="1:2">
      <c r="A410">
        <v>1.2290000000000001E-2</v>
      </c>
      <c r="B410">
        <v>4.7750000000000001E-2</v>
      </c>
    </row>
    <row r="411" spans="1:2">
      <c r="A411">
        <v>0</v>
      </c>
      <c r="B411">
        <v>4.6460000000000001E-2</v>
      </c>
    </row>
    <row r="412" spans="1:2">
      <c r="A412">
        <v>1.1141799999999999</v>
      </c>
      <c r="B412">
        <v>3.8780000000000002E-2</v>
      </c>
    </row>
    <row r="413" spans="1:2">
      <c r="A413">
        <v>0.29044999999999999</v>
      </c>
      <c r="B413">
        <v>6.1769999999999999E-2</v>
      </c>
    </row>
    <row r="414" spans="1:2">
      <c r="A414">
        <v>8.0070000000000002E-2</v>
      </c>
      <c r="B414">
        <v>5.9069999999999998E-2</v>
      </c>
    </row>
    <row r="415" spans="1:2">
      <c r="A415">
        <v>6.0879999999999997E-2</v>
      </c>
      <c r="B415">
        <v>2.7550000000000002E-2</v>
      </c>
    </row>
    <row r="416" spans="1:2">
      <c r="A416">
        <v>5.6329999999999998E-2</v>
      </c>
      <c r="B416">
        <v>6.9070000000000006E-2</v>
      </c>
    </row>
    <row r="417" spans="1:2">
      <c r="A417">
        <v>4.4179999999999997E-2</v>
      </c>
      <c r="B417">
        <v>4.648E-2</v>
      </c>
    </row>
    <row r="418" spans="1:2">
      <c r="A418">
        <v>4.3999999999999997E-2</v>
      </c>
      <c r="B418">
        <v>4.0960000000000003E-2</v>
      </c>
    </row>
    <row r="419" spans="1:2">
      <c r="A419">
        <v>2.1590000000000002E-2</v>
      </c>
      <c r="B419">
        <v>2.3089999999999999E-2</v>
      </c>
    </row>
    <row r="420" spans="1:2">
      <c r="A420">
        <v>0</v>
      </c>
      <c r="B420">
        <v>3.4279999999999998E-2</v>
      </c>
    </row>
    <row r="421" spans="1:2">
      <c r="A421">
        <v>0</v>
      </c>
      <c r="B421">
        <v>7.5810000000000002E-2</v>
      </c>
    </row>
    <row r="422" spans="1:2">
      <c r="A422">
        <v>0.24781</v>
      </c>
      <c r="B422">
        <v>2.7969999999999998E-2</v>
      </c>
    </row>
    <row r="423" spans="1:2">
      <c r="A423">
        <v>0.18442</v>
      </c>
      <c r="B423">
        <v>0.11389000000000001</v>
      </c>
    </row>
    <row r="424" spans="1:2">
      <c r="A424">
        <v>0.15160999999999999</v>
      </c>
      <c r="B424">
        <v>3.5560000000000001E-2</v>
      </c>
    </row>
    <row r="425" spans="1:2">
      <c r="A425">
        <v>9.7280000000000005E-2</v>
      </c>
      <c r="B425">
        <v>3.0929999999999999E-2</v>
      </c>
    </row>
    <row r="426" spans="1:2">
      <c r="A426">
        <v>9.2050000000000007E-2</v>
      </c>
      <c r="B426">
        <v>8.9419999999999999E-2</v>
      </c>
    </row>
    <row r="427" spans="1:2">
      <c r="A427">
        <v>5.8790000000000002E-2</v>
      </c>
      <c r="B427">
        <v>5.8139999999999997E-2</v>
      </c>
    </row>
    <row r="428" spans="1:2">
      <c r="A428">
        <v>3.934E-2</v>
      </c>
      <c r="B428">
        <v>5.9330000000000001E-2</v>
      </c>
    </row>
    <row r="429" spans="1:2">
      <c r="A429">
        <v>2.043E-2</v>
      </c>
      <c r="B429">
        <v>5.1679999999999997E-2</v>
      </c>
    </row>
    <row r="430" spans="1:2">
      <c r="A430">
        <v>0.25663000000000002</v>
      </c>
      <c r="B430">
        <v>6.6869999999999999E-2</v>
      </c>
    </row>
    <row r="431" spans="1:2">
      <c r="A431">
        <v>0.16081999999999999</v>
      </c>
      <c r="B431">
        <v>7.0849999999999996E-2</v>
      </c>
    </row>
    <row r="432" spans="1:2">
      <c r="A432">
        <v>2.6599999999999999E-2</v>
      </c>
      <c r="B432">
        <v>0.10700999999999999</v>
      </c>
    </row>
    <row r="433" spans="1:2">
      <c r="A433">
        <v>0.52815999999999996</v>
      </c>
      <c r="B433">
        <v>1.8939999999999999E-2</v>
      </c>
    </row>
    <row r="434" spans="1:2">
      <c r="A434">
        <v>0.49375000000000002</v>
      </c>
      <c r="B434">
        <v>7.0959999999999995E-2</v>
      </c>
    </row>
    <row r="435" spans="1:2">
      <c r="A435">
        <v>0.1353</v>
      </c>
      <c r="B435">
        <v>3.6080000000000001E-2</v>
      </c>
    </row>
    <row r="436" spans="1:2">
      <c r="A436">
        <v>0.11969</v>
      </c>
      <c r="B436">
        <v>5.8340000000000003E-2</v>
      </c>
    </row>
    <row r="437" spans="1:2">
      <c r="A437">
        <v>0.10947999999999999</v>
      </c>
      <c r="B437">
        <v>1.4189999999999999E-2</v>
      </c>
    </row>
    <row r="438" spans="1:2">
      <c r="A438">
        <v>6.8570000000000006E-2</v>
      </c>
      <c r="B438">
        <v>3.6420000000000001E-2</v>
      </c>
    </row>
    <row r="439" spans="1:2">
      <c r="A439">
        <v>3.1989999999999998E-2</v>
      </c>
      <c r="B439">
        <v>4.845E-2</v>
      </c>
    </row>
    <row r="440" spans="1:2">
      <c r="A440">
        <v>2.5510000000000001E-2</v>
      </c>
      <c r="B440">
        <v>8.1390000000000004E-2</v>
      </c>
    </row>
    <row r="441" spans="1:2">
      <c r="A441">
        <v>0</v>
      </c>
      <c r="B441">
        <v>4.6469999999999997E-2</v>
      </c>
    </row>
    <row r="442" spans="1:2">
      <c r="A442">
        <v>0.24684</v>
      </c>
      <c r="B442">
        <v>3.356E-2</v>
      </c>
    </row>
    <row r="443" spans="1:2">
      <c r="A443">
        <v>0.15409999999999999</v>
      </c>
      <c r="B443">
        <v>5.1020000000000003E-2</v>
      </c>
    </row>
    <row r="444" spans="1:2">
      <c r="A444">
        <v>0.13893</v>
      </c>
      <c r="B444">
        <v>8.1699999999999995E-2</v>
      </c>
    </row>
    <row r="445" spans="1:2">
      <c r="A445">
        <v>7.2029999999999997E-2</v>
      </c>
      <c r="B445">
        <v>1.8319999999999999E-2</v>
      </c>
    </row>
    <row r="446" spans="1:2">
      <c r="A446">
        <v>7.1290000000000006E-2</v>
      </c>
      <c r="B446">
        <v>8.8999999999999996E-2</v>
      </c>
    </row>
    <row r="447" spans="1:2">
      <c r="A447">
        <v>6.1620000000000001E-2</v>
      </c>
      <c r="B447">
        <v>6.0229999999999999E-2</v>
      </c>
    </row>
    <row r="448" spans="1:2">
      <c r="A448">
        <v>4.8770000000000001E-2</v>
      </c>
      <c r="B448">
        <v>2.7550000000000002E-2</v>
      </c>
    </row>
    <row r="449" spans="1:2">
      <c r="A449">
        <v>0</v>
      </c>
      <c r="B449">
        <v>8.4239999999999995E-2</v>
      </c>
    </row>
    <row r="450" spans="1:2">
      <c r="A450">
        <v>0</v>
      </c>
      <c r="B450">
        <v>5.6980000000000003E-2</v>
      </c>
    </row>
    <row r="451" spans="1:2">
      <c r="A451">
        <v>0.23491000000000001</v>
      </c>
      <c r="B451">
        <v>6.4490000000000006E-2</v>
      </c>
    </row>
    <row r="452" spans="1:2">
      <c r="A452">
        <v>0.12898000000000001</v>
      </c>
      <c r="B452">
        <v>8.4140000000000006E-2</v>
      </c>
    </row>
    <row r="453" spans="1:2">
      <c r="A453">
        <v>8.0100000000000005E-2</v>
      </c>
      <c r="B453">
        <v>3.141E-2</v>
      </c>
    </row>
    <row r="454" spans="1:2">
      <c r="A454">
        <v>4.1829999999999999E-2</v>
      </c>
      <c r="B454">
        <v>3.424E-2</v>
      </c>
    </row>
    <row r="455" spans="1:2">
      <c r="A455">
        <v>3.1789999999999999E-2</v>
      </c>
      <c r="B455">
        <v>7.689E-2</v>
      </c>
    </row>
    <row r="456" spans="1:2">
      <c r="A456">
        <v>2.018E-2</v>
      </c>
      <c r="B456">
        <v>3.9359999999999999E-2</v>
      </c>
    </row>
    <row r="457" spans="1:2">
      <c r="A457">
        <v>0.17244000000000001</v>
      </c>
      <c r="B457">
        <v>6.9139999999999993E-2</v>
      </c>
    </row>
    <row r="458" spans="1:2">
      <c r="A458">
        <v>8.5889999999999994E-2</v>
      </c>
      <c r="B458">
        <v>3.943E-2</v>
      </c>
    </row>
    <row r="459" spans="1:2">
      <c r="A459">
        <v>7.7009999999999995E-2</v>
      </c>
      <c r="B459">
        <v>5.935E-2</v>
      </c>
    </row>
    <row r="460" spans="1:2">
      <c r="A460">
        <v>7.3450000000000001E-2</v>
      </c>
      <c r="B460">
        <v>2.5989999999999999E-2</v>
      </c>
    </row>
    <row r="461" spans="1:2">
      <c r="A461">
        <v>2.623E-2</v>
      </c>
      <c r="B461">
        <v>4.2450000000000002E-2</v>
      </c>
    </row>
    <row r="462" spans="1:2">
      <c r="A462">
        <v>0</v>
      </c>
      <c r="B462">
        <v>7.1040000000000006E-2</v>
      </c>
    </row>
    <row r="463" spans="1:2">
      <c r="A463">
        <v>0.17380999999999999</v>
      </c>
      <c r="B463">
        <v>3.1390000000000001E-2</v>
      </c>
    </row>
    <row r="464" spans="1:2">
      <c r="A464">
        <v>0.16366</v>
      </c>
      <c r="B464">
        <v>5.6950000000000001E-2</v>
      </c>
    </row>
    <row r="465" spans="1:2">
      <c r="A465">
        <v>0.15586</v>
      </c>
      <c r="B465">
        <v>6.9209999999999994E-2</v>
      </c>
    </row>
    <row r="466" spans="1:2">
      <c r="A466">
        <v>0.11526</v>
      </c>
      <c r="B466">
        <v>3.1989999999999998E-2</v>
      </c>
    </row>
    <row r="467" spans="1:2">
      <c r="A467">
        <v>0.10593</v>
      </c>
      <c r="B467">
        <v>6.2820000000000001E-2</v>
      </c>
    </row>
    <row r="468" spans="1:2">
      <c r="A468">
        <v>0.10424</v>
      </c>
      <c r="B468">
        <v>5.3949999999999998E-2</v>
      </c>
    </row>
    <row r="469" spans="1:2">
      <c r="A469">
        <v>8.1269999999999995E-2</v>
      </c>
      <c r="B469">
        <v>9.8400000000000001E-2</v>
      </c>
    </row>
    <row r="470" spans="1:2">
      <c r="A470">
        <v>7.7429999999999999E-2</v>
      </c>
      <c r="B470">
        <v>9.7170000000000006E-2</v>
      </c>
    </row>
    <row r="471" spans="1:2">
      <c r="A471">
        <v>6.0429999999999998E-2</v>
      </c>
      <c r="B471">
        <v>5.8200000000000002E-2</v>
      </c>
    </row>
    <row r="472" spans="1:2">
      <c r="A472">
        <v>9.0100000000000006E-3</v>
      </c>
      <c r="B472">
        <v>4.9070000000000003E-2</v>
      </c>
    </row>
    <row r="473" spans="1:2">
      <c r="A473">
        <v>8.3199999999999993E-3</v>
      </c>
      <c r="B473">
        <v>6.1170000000000002E-2</v>
      </c>
    </row>
    <row r="474" spans="1:2">
      <c r="A474">
        <v>0.19600000000000001</v>
      </c>
      <c r="B474">
        <v>3.9469999999999998E-2</v>
      </c>
    </row>
    <row r="475" spans="1:2">
      <c r="A475">
        <v>8.6080000000000004E-2</v>
      </c>
      <c r="B475">
        <v>3.7190000000000001E-2</v>
      </c>
    </row>
    <row r="476" spans="1:2">
      <c r="A476">
        <v>2.5649999999999999E-2</v>
      </c>
      <c r="B476">
        <v>7.7640000000000001E-2</v>
      </c>
    </row>
    <row r="477" spans="1:2">
      <c r="A477">
        <v>0.1527</v>
      </c>
      <c r="B477">
        <v>6.3240000000000005E-2</v>
      </c>
    </row>
    <row r="478" spans="1:2">
      <c r="A478">
        <v>0.13486999999999999</v>
      </c>
      <c r="B478">
        <v>7.4340000000000003E-2</v>
      </c>
    </row>
    <row r="479" spans="1:2">
      <c r="A479">
        <v>0.11402</v>
      </c>
      <c r="B479">
        <v>4.9970000000000001E-2</v>
      </c>
    </row>
    <row r="480" spans="1:2">
      <c r="A480">
        <v>0.11351</v>
      </c>
      <c r="B480">
        <v>6.9709999999999994E-2</v>
      </c>
    </row>
    <row r="481" spans="1:2">
      <c r="A481">
        <v>8.4360000000000004E-2</v>
      </c>
      <c r="B481">
        <v>4.4650000000000002E-2</v>
      </c>
    </row>
    <row r="482" spans="1:2">
      <c r="A482">
        <v>4.0009999999999997E-2</v>
      </c>
      <c r="B482">
        <v>6.4119999999999996E-2</v>
      </c>
    </row>
    <row r="483" spans="1:2">
      <c r="A483">
        <v>0.27376</v>
      </c>
      <c r="B483">
        <v>3.9199999999999999E-2</v>
      </c>
    </row>
    <row r="484" spans="1:2">
      <c r="A484">
        <v>0.14637</v>
      </c>
      <c r="B484">
        <v>3.1879999999999999E-2</v>
      </c>
    </row>
    <row r="485" spans="1:2">
      <c r="A485">
        <v>0.11144999999999999</v>
      </c>
      <c r="B485">
        <v>9.0139999999999998E-2</v>
      </c>
    </row>
    <row r="486" spans="1:2">
      <c r="A486">
        <v>8.4870000000000001E-2</v>
      </c>
      <c r="B486">
        <v>3.0849999999999999E-2</v>
      </c>
    </row>
    <row r="487" spans="1:2">
      <c r="A487">
        <v>6.0499999999999998E-2</v>
      </c>
      <c r="B487">
        <v>6.019E-2</v>
      </c>
    </row>
    <row r="488" spans="1:2">
      <c r="A488">
        <v>2.8389999999999999E-2</v>
      </c>
      <c r="B488">
        <v>5.457E-2</v>
      </c>
    </row>
    <row r="489" spans="1:2">
      <c r="A489">
        <v>0.22278000000000001</v>
      </c>
      <c r="B489">
        <v>8.7830000000000005E-2</v>
      </c>
    </row>
    <row r="490" spans="1:2">
      <c r="A490">
        <v>0.1057</v>
      </c>
      <c r="B490">
        <v>6.9129999999999997E-2</v>
      </c>
    </row>
    <row r="491" spans="1:2">
      <c r="A491">
        <v>4.8520000000000001E-2</v>
      </c>
      <c r="B491">
        <v>3.8870000000000002E-2</v>
      </c>
    </row>
    <row r="492" spans="1:2">
      <c r="A492">
        <v>3.669E-2</v>
      </c>
      <c r="B492">
        <v>4.8430000000000001E-2</v>
      </c>
    </row>
    <row r="493" spans="1:2">
      <c r="A493">
        <v>0.21611</v>
      </c>
      <c r="B493">
        <v>7.5660000000000005E-2</v>
      </c>
    </row>
    <row r="494" spans="1:2">
      <c r="A494">
        <v>0.15756000000000001</v>
      </c>
      <c r="B494">
        <v>5.5190000000000003E-2</v>
      </c>
    </row>
    <row r="495" spans="1:2">
      <c r="A495">
        <v>0.13816000000000001</v>
      </c>
      <c r="B495">
        <v>4.9689999999999998E-2</v>
      </c>
    </row>
    <row r="496" spans="1:2">
      <c r="A496">
        <v>0.10587000000000001</v>
      </c>
      <c r="B496">
        <v>4.58E-2</v>
      </c>
    </row>
    <row r="497" spans="1:2">
      <c r="A497">
        <v>8.4019999999999997E-2</v>
      </c>
      <c r="B497">
        <v>4.913E-2</v>
      </c>
    </row>
    <row r="498" spans="1:2">
      <c r="A498">
        <v>7.5109999999999996E-2</v>
      </c>
      <c r="B498">
        <v>2.7859999999999999E-2</v>
      </c>
    </row>
    <row r="499" spans="1:2">
      <c r="A499">
        <v>5.833E-2</v>
      </c>
      <c r="B499">
        <v>5.5530000000000003E-2</v>
      </c>
    </row>
    <row r="500" spans="1:2">
      <c r="A500">
        <v>4.224E-2</v>
      </c>
      <c r="B500">
        <v>3.7740000000000003E-2</v>
      </c>
    </row>
    <row r="501" spans="1:2">
      <c r="A501">
        <v>0.13825999999999999</v>
      </c>
      <c r="B501">
        <v>8.6190000000000003E-2</v>
      </c>
    </row>
    <row r="502" spans="1:2">
      <c r="A502">
        <v>6.4810000000000006E-2</v>
      </c>
      <c r="B502">
        <v>6.053E-2</v>
      </c>
    </row>
    <row r="503" spans="1:2">
      <c r="A503">
        <v>4.3099999999999999E-2</v>
      </c>
      <c r="B503">
        <v>7.5689999999999993E-2</v>
      </c>
    </row>
    <row r="504" spans="1:2">
      <c r="A504">
        <v>3.9070000000000001E-2</v>
      </c>
      <c r="B504">
        <v>2.179E-2</v>
      </c>
    </row>
    <row r="505" spans="1:2">
      <c r="A505">
        <v>5.1399999999999996E-3</v>
      </c>
      <c r="B505">
        <v>2.206E-2</v>
      </c>
    </row>
    <row r="506" spans="1:2">
      <c r="A506">
        <v>0.18315999999999999</v>
      </c>
      <c r="B506">
        <v>4.2689999999999999E-2</v>
      </c>
    </row>
    <row r="507" spans="1:2">
      <c r="A507">
        <v>0.10768</v>
      </c>
      <c r="B507">
        <v>3.4630000000000001E-2</v>
      </c>
    </row>
    <row r="508" spans="1:2">
      <c r="A508">
        <v>0.10256</v>
      </c>
      <c r="B508">
        <v>3.8359999999999998E-2</v>
      </c>
    </row>
    <row r="509" spans="1:2">
      <c r="A509">
        <v>8.6959999999999996E-2</v>
      </c>
      <c r="B509">
        <v>3.5839999999999997E-2</v>
      </c>
    </row>
    <row r="510" spans="1:2">
      <c r="A510">
        <v>3.8469999999999997E-2</v>
      </c>
      <c r="B510">
        <v>3.4770000000000002E-2</v>
      </c>
    </row>
    <row r="511" spans="1:2">
      <c r="A511">
        <v>0.16574</v>
      </c>
      <c r="B511">
        <v>2.8209999999999999E-2</v>
      </c>
    </row>
    <row r="512" spans="1:2">
      <c r="A512">
        <v>4.2950000000000002E-2</v>
      </c>
      <c r="B512">
        <v>0.10274</v>
      </c>
    </row>
    <row r="513" spans="1:2">
      <c r="A513">
        <v>3.9320000000000001E-2</v>
      </c>
      <c r="B513">
        <v>4.725E-2</v>
      </c>
    </row>
    <row r="514" spans="1:2">
      <c r="A514">
        <v>2.7519999999999999E-2</v>
      </c>
      <c r="B514">
        <v>2.2329999999999999E-2</v>
      </c>
    </row>
    <row r="515" spans="1:2">
      <c r="A515">
        <v>0.12806999999999999</v>
      </c>
      <c r="B515">
        <v>5.5500000000000001E-2</v>
      </c>
    </row>
    <row r="516" spans="1:2">
      <c r="A516">
        <v>6.6689999999999999E-2</v>
      </c>
      <c r="B516">
        <v>2.4389999999999998E-2</v>
      </c>
    </row>
    <row r="517" spans="1:2">
      <c r="A517">
        <v>5.2310000000000002E-2</v>
      </c>
      <c r="B517">
        <v>0.11867</v>
      </c>
    </row>
    <row r="518" spans="1:2">
      <c r="A518">
        <v>3.918E-2</v>
      </c>
      <c r="B518">
        <v>2.8899999999999999E-2</v>
      </c>
    </row>
    <row r="519" spans="1:2">
      <c r="A519">
        <v>7.6200000000000004E-2</v>
      </c>
      <c r="B519">
        <v>4.9880000000000001E-2</v>
      </c>
    </row>
    <row r="520" spans="1:2">
      <c r="A520">
        <v>6.0109999999999997E-2</v>
      </c>
      <c r="B520">
        <v>4.0280000000000003E-2</v>
      </c>
    </row>
    <row r="521" spans="1:2">
      <c r="A521">
        <v>0.29037000000000002</v>
      </c>
      <c r="B521">
        <v>4.36E-2</v>
      </c>
    </row>
    <row r="522" spans="1:2">
      <c r="A522">
        <v>6.794E-2</v>
      </c>
      <c r="B522">
        <v>8.5900000000000004E-2</v>
      </c>
    </row>
    <row r="523" spans="1:2">
      <c r="A523">
        <v>3.3989999999999999E-2</v>
      </c>
      <c r="B523">
        <v>7.1840000000000001E-2</v>
      </c>
    </row>
    <row r="524" spans="1:2">
      <c r="A524">
        <v>1.2409999999999999E-2</v>
      </c>
      <c r="B524">
        <v>6.2179999999999999E-2</v>
      </c>
    </row>
    <row r="525" spans="1:2">
      <c r="A525">
        <v>5.0499999999999998E-3</v>
      </c>
      <c r="B525">
        <v>1.5890000000000001E-2</v>
      </c>
    </row>
    <row r="526" spans="1:2">
      <c r="A526">
        <v>0.28749000000000002</v>
      </c>
      <c r="B526">
        <v>3.2820000000000002E-2</v>
      </c>
    </row>
    <row r="527" spans="1:2">
      <c r="A527">
        <v>0.27722000000000002</v>
      </c>
      <c r="B527">
        <v>5.5169999999999997E-2</v>
      </c>
    </row>
    <row r="528" spans="1:2">
      <c r="A528">
        <v>0.12477000000000001</v>
      </c>
      <c r="B528">
        <v>5.6669999999999998E-2</v>
      </c>
    </row>
    <row r="529" spans="1:2">
      <c r="A529">
        <v>4.7109999999999999E-2</v>
      </c>
      <c r="B529">
        <v>5.1639999999999998E-2</v>
      </c>
    </row>
    <row r="530" spans="1:2">
      <c r="A530">
        <v>0.19905</v>
      </c>
      <c r="B530">
        <v>9.5979999999999996E-2</v>
      </c>
    </row>
    <row r="531" spans="1:2">
      <c r="A531">
        <v>0.18551999999999999</v>
      </c>
      <c r="B531">
        <v>1.7229999999999999E-2</v>
      </c>
    </row>
    <row r="532" spans="1:2">
      <c r="A532">
        <v>0.10696</v>
      </c>
      <c r="B532">
        <v>3.7100000000000001E-2</v>
      </c>
    </row>
    <row r="533" spans="1:2">
      <c r="A533">
        <v>0.10648000000000001</v>
      </c>
      <c r="B533">
        <v>4.3650000000000001E-2</v>
      </c>
    </row>
    <row r="534" spans="1:2">
      <c r="A534">
        <v>0.10215</v>
      </c>
      <c r="B534">
        <v>7.2590000000000002E-2</v>
      </c>
    </row>
    <row r="535" spans="1:2">
      <c r="A535">
        <v>9.536E-2</v>
      </c>
      <c r="B535">
        <v>3.1530000000000002E-2</v>
      </c>
    </row>
    <row r="536" spans="1:2">
      <c r="A536">
        <v>9.0889999999999999E-2</v>
      </c>
      <c r="B536">
        <v>4.6489999999999997E-2</v>
      </c>
    </row>
    <row r="537" spans="1:2">
      <c r="A537">
        <v>4.4850000000000001E-2</v>
      </c>
      <c r="B537">
        <v>3.5490000000000001E-2</v>
      </c>
    </row>
    <row r="538" spans="1:2">
      <c r="A538">
        <v>4.0489999999999998E-2</v>
      </c>
      <c r="B538">
        <v>4.0379999999999999E-2</v>
      </c>
    </row>
    <row r="539" spans="1:2">
      <c r="A539">
        <v>3.8859999999999999E-2</v>
      </c>
      <c r="B539">
        <v>3.1460000000000002E-2</v>
      </c>
    </row>
    <row r="540" spans="1:2">
      <c r="A540">
        <v>3.2489999999999998E-2</v>
      </c>
      <c r="B540">
        <v>6.6900000000000001E-2</v>
      </c>
    </row>
    <row r="541" spans="1:2">
      <c r="A541">
        <v>0.27535999999999999</v>
      </c>
      <c r="B541">
        <v>7.0220000000000005E-2</v>
      </c>
    </row>
    <row r="542" spans="1:2">
      <c r="A542">
        <v>0.13655</v>
      </c>
      <c r="B542">
        <v>4.1059999999999999E-2</v>
      </c>
    </row>
    <row r="543" spans="1:2">
      <c r="A543">
        <v>0.10892</v>
      </c>
      <c r="B543">
        <v>4.4880000000000003E-2</v>
      </c>
    </row>
    <row r="544" spans="1:2">
      <c r="A544">
        <v>1.294E-2</v>
      </c>
      <c r="B544">
        <v>3.8440000000000002E-2</v>
      </c>
    </row>
    <row r="545" spans="1:2">
      <c r="A545">
        <v>1.095E-2</v>
      </c>
      <c r="B545">
        <v>3.0300000000000001E-2</v>
      </c>
    </row>
    <row r="546" spans="1:2">
      <c r="A546">
        <v>0</v>
      </c>
      <c r="B546">
        <v>7.8890000000000002E-2</v>
      </c>
    </row>
    <row r="547" spans="1:2">
      <c r="A547">
        <v>0</v>
      </c>
      <c r="B547">
        <v>4.011E-2</v>
      </c>
    </row>
    <row r="548" spans="1:2">
      <c r="A548">
        <v>0.26494000000000001</v>
      </c>
      <c r="B548">
        <v>9.715E-2</v>
      </c>
    </row>
    <row r="549" spans="1:2">
      <c r="A549">
        <v>0.18912999999999999</v>
      </c>
      <c r="B549">
        <v>6.2330000000000003E-2</v>
      </c>
    </row>
    <row r="550" spans="1:2">
      <c r="A550">
        <v>0.17979000000000001</v>
      </c>
      <c r="B550">
        <v>3.8989999999999997E-2</v>
      </c>
    </row>
    <row r="551" spans="1:2">
      <c r="A551">
        <v>5.348E-2</v>
      </c>
      <c r="B551">
        <v>2.5680000000000001E-2</v>
      </c>
    </row>
    <row r="552" spans="1:2">
      <c r="A552">
        <v>2.809E-2</v>
      </c>
      <c r="B552">
        <v>4.2439999999999999E-2</v>
      </c>
    </row>
    <row r="553" spans="1:2">
      <c r="A553">
        <v>0.42923</v>
      </c>
      <c r="B553">
        <v>3.0949999999999998E-2</v>
      </c>
    </row>
    <row r="554" spans="1:2">
      <c r="A554">
        <v>0.28544000000000003</v>
      </c>
      <c r="B554">
        <v>7.8570000000000001E-2</v>
      </c>
    </row>
    <row r="555" spans="1:2">
      <c r="A555">
        <v>0.24589</v>
      </c>
      <c r="B555">
        <v>4.0669999999999998E-2</v>
      </c>
    </row>
    <row r="556" spans="1:2">
      <c r="A556">
        <v>0.19930999999999999</v>
      </c>
      <c r="B556">
        <v>0.10592</v>
      </c>
    </row>
    <row r="557" spans="1:2">
      <c r="A557">
        <v>9.7199999999999995E-2</v>
      </c>
      <c r="B557">
        <v>4.9930000000000002E-2</v>
      </c>
    </row>
    <row r="558" spans="1:2">
      <c r="A558">
        <v>5.1929999999999997E-2</v>
      </c>
      <c r="B558">
        <v>2.648E-2</v>
      </c>
    </row>
    <row r="559" spans="1:2">
      <c r="A559">
        <v>4.3860000000000003E-2</v>
      </c>
      <c r="B559">
        <v>3.4139999999999997E-2</v>
      </c>
    </row>
    <row r="560" spans="1:2">
      <c r="A560">
        <v>3.6839999999999998E-2</v>
      </c>
      <c r="B560">
        <v>1.779E-2</v>
      </c>
    </row>
    <row r="561" spans="1:2">
      <c r="A561">
        <v>2.929E-2</v>
      </c>
      <c r="B561">
        <v>5.8840000000000003E-2</v>
      </c>
    </row>
    <row r="562" spans="1:2">
      <c r="A562">
        <v>6.2599999999999999E-3</v>
      </c>
      <c r="B562">
        <v>4.5760000000000002E-2</v>
      </c>
    </row>
    <row r="563" spans="1:2">
      <c r="A563">
        <v>4.5900000000000003E-3</v>
      </c>
      <c r="B563">
        <v>3.3669999999999999E-2</v>
      </c>
    </row>
    <row r="564" spans="1:2">
      <c r="A564">
        <v>0.44607000000000002</v>
      </c>
      <c r="B564">
        <v>7.8310000000000005E-2</v>
      </c>
    </row>
    <row r="565" spans="1:2">
      <c r="A565">
        <v>0.16474</v>
      </c>
      <c r="B565">
        <v>8.7749999999999995E-2</v>
      </c>
    </row>
    <row r="566" spans="1:2">
      <c r="A566">
        <v>0.13222</v>
      </c>
      <c r="B566">
        <v>4.9570000000000003E-2</v>
      </c>
    </row>
    <row r="567" spans="1:2">
      <c r="A567">
        <v>0.10876</v>
      </c>
      <c r="B567">
        <v>3.7350000000000001E-2</v>
      </c>
    </row>
    <row r="568" spans="1:2">
      <c r="A568">
        <v>4.165E-2</v>
      </c>
      <c r="B568">
        <v>0.10616</v>
      </c>
    </row>
    <row r="569" spans="1:2">
      <c r="A569">
        <v>4.1540000000000001E-2</v>
      </c>
      <c r="B569">
        <v>2.58E-2</v>
      </c>
    </row>
    <row r="570" spans="1:2">
      <c r="A570">
        <v>9.1199999999999996E-3</v>
      </c>
      <c r="B570">
        <v>4.8809999999999999E-2</v>
      </c>
    </row>
    <row r="571" spans="1:2">
      <c r="A571">
        <v>0</v>
      </c>
      <c r="B571">
        <v>4.684E-2</v>
      </c>
    </row>
    <row r="572" spans="1:2">
      <c r="A572">
        <v>0.18029000000000001</v>
      </c>
      <c r="B572">
        <v>6.5850000000000006E-2</v>
      </c>
    </row>
    <row r="573" spans="1:2">
      <c r="A573">
        <v>0.11991</v>
      </c>
      <c r="B573">
        <v>0.11515</v>
      </c>
    </row>
    <row r="574" spans="1:2">
      <c r="A574">
        <v>6.3649999999999998E-2</v>
      </c>
      <c r="B574">
        <v>0.12523000000000001</v>
      </c>
    </row>
    <row r="575" spans="1:2">
      <c r="A575">
        <v>5.0380000000000001E-2</v>
      </c>
      <c r="B575">
        <v>5.4899999999999997E-2</v>
      </c>
    </row>
    <row r="576" spans="1:2">
      <c r="A576">
        <v>2.8850000000000001E-2</v>
      </c>
      <c r="B576">
        <v>4.0939999999999997E-2</v>
      </c>
    </row>
    <row r="577" spans="1:2">
      <c r="A577">
        <v>2.7949999999999999E-2</v>
      </c>
      <c r="B577">
        <v>5.5350000000000003E-2</v>
      </c>
    </row>
    <row r="578" spans="1:2">
      <c r="A578">
        <v>1.1650000000000001E-2</v>
      </c>
      <c r="B578">
        <v>6.4329999999999998E-2</v>
      </c>
    </row>
    <row r="579" spans="1:2">
      <c r="A579">
        <v>3.96E-3</v>
      </c>
      <c r="B579">
        <v>3.0499999999999999E-2</v>
      </c>
    </row>
    <row r="580" spans="1:2">
      <c r="A580">
        <v>0.33310000000000001</v>
      </c>
      <c r="B580">
        <v>3.3340000000000002E-2</v>
      </c>
    </row>
    <row r="581" spans="1:2">
      <c r="A581">
        <v>0.16298000000000001</v>
      </c>
      <c r="B581">
        <v>5.5329999999999997E-2</v>
      </c>
    </row>
    <row r="582" spans="1:2">
      <c r="A582">
        <v>0.10098</v>
      </c>
      <c r="B582">
        <v>3.0689999999999999E-2</v>
      </c>
    </row>
    <row r="583" spans="1:2">
      <c r="A583">
        <v>9.9709999999999993E-2</v>
      </c>
      <c r="B583">
        <v>7.1190000000000003E-2</v>
      </c>
    </row>
    <row r="584" spans="1:2">
      <c r="A584">
        <v>7.886E-2</v>
      </c>
      <c r="B584">
        <v>4.403E-2</v>
      </c>
    </row>
    <row r="585" spans="1:2">
      <c r="A585">
        <v>5.9740000000000001E-2</v>
      </c>
      <c r="B585">
        <v>4.5960000000000001E-2</v>
      </c>
    </row>
    <row r="586" spans="1:2">
      <c r="A586">
        <v>4.342E-2</v>
      </c>
      <c r="B586">
        <v>9.4399999999999998E-2</v>
      </c>
    </row>
    <row r="587" spans="1:2">
      <c r="A587">
        <v>3.6179999999999997E-2</v>
      </c>
      <c r="B587">
        <v>8.3790000000000003E-2</v>
      </c>
    </row>
    <row r="588" spans="1:2">
      <c r="A588">
        <v>3.1280000000000002E-2</v>
      </c>
      <c r="B588">
        <v>5.5579999999999997E-2</v>
      </c>
    </row>
    <row r="589" spans="1:2">
      <c r="A589">
        <v>0.23207</v>
      </c>
      <c r="B589">
        <v>5.2060000000000002E-2</v>
      </c>
    </row>
    <row r="590" spans="1:2">
      <c r="A590">
        <v>0.15340999999999999</v>
      </c>
      <c r="B590">
        <v>7.0150000000000004E-2</v>
      </c>
    </row>
    <row r="591" spans="1:2">
      <c r="A591">
        <v>8.8289999999999993E-2</v>
      </c>
      <c r="B591">
        <v>9.3429999999999999E-2</v>
      </c>
    </row>
    <row r="592" spans="1:2">
      <c r="A592">
        <v>8.2059999999999994E-2</v>
      </c>
      <c r="B592">
        <v>2.291E-2</v>
      </c>
    </row>
    <row r="593" spans="1:2">
      <c r="A593">
        <v>7.8920000000000004E-2</v>
      </c>
      <c r="B593">
        <v>5.3690000000000002E-2</v>
      </c>
    </row>
    <row r="594" spans="1:2">
      <c r="A594">
        <v>7.6289999999999997E-2</v>
      </c>
      <c r="B594">
        <v>3.0530000000000002E-2</v>
      </c>
    </row>
    <row r="595" spans="1:2">
      <c r="A595">
        <v>2.673E-2</v>
      </c>
      <c r="B595">
        <v>3.8949999999999999E-2</v>
      </c>
    </row>
    <row r="596" spans="1:2">
      <c r="A596">
        <v>2.1409999999999998E-2</v>
      </c>
      <c r="B596">
        <v>6.6019999999999995E-2</v>
      </c>
    </row>
    <row r="597" spans="1:2">
      <c r="A597">
        <v>1.384E-2</v>
      </c>
      <c r="B597">
        <v>3.7339999999999998E-2</v>
      </c>
    </row>
    <row r="598" spans="1:2">
      <c r="A598">
        <v>5.8100000000000001E-3</v>
      </c>
      <c r="B598">
        <v>4.7649999999999998E-2</v>
      </c>
    </row>
    <row r="599" spans="1:2">
      <c r="A599">
        <v>0</v>
      </c>
      <c r="B599">
        <v>5.2519999999999997E-2</v>
      </c>
    </row>
    <row r="600" spans="1:2">
      <c r="A600">
        <v>0.29164000000000001</v>
      </c>
      <c r="B600">
        <v>9.5039999999999999E-2</v>
      </c>
    </row>
    <row r="601" spans="1:2">
      <c r="A601">
        <v>0.24127000000000001</v>
      </c>
      <c r="B601">
        <v>9.2740000000000003E-2</v>
      </c>
    </row>
    <row r="602" spans="1:2">
      <c r="A602">
        <v>0.21754000000000001</v>
      </c>
      <c r="B602">
        <v>7.3380000000000001E-2</v>
      </c>
    </row>
    <row r="603" spans="1:2">
      <c r="A603">
        <v>0.21706</v>
      </c>
      <c r="B603">
        <v>6.5769999999999995E-2</v>
      </c>
    </row>
    <row r="604" spans="1:2">
      <c r="A604">
        <v>0.20241999999999999</v>
      </c>
      <c r="B604">
        <v>2.7439999999999999E-2</v>
      </c>
    </row>
    <row r="605" spans="1:2">
      <c r="A605">
        <v>0.17352000000000001</v>
      </c>
      <c r="B605">
        <v>7.1629999999999999E-2</v>
      </c>
    </row>
    <row r="606" spans="1:2">
      <c r="A606">
        <v>8.6989999999999998E-2</v>
      </c>
      <c r="B606">
        <v>8.6800000000000002E-2</v>
      </c>
    </row>
    <row r="607" spans="1:2">
      <c r="A607">
        <v>8.4919999999999995E-2</v>
      </c>
      <c r="B607">
        <v>4.0960000000000003E-2</v>
      </c>
    </row>
    <row r="608" spans="1:2">
      <c r="A608">
        <v>7.9570000000000002E-2</v>
      </c>
      <c r="B608">
        <v>7.9299999999999995E-2</v>
      </c>
    </row>
    <row r="609" spans="1:2">
      <c r="A609">
        <v>6.9699999999999998E-2</v>
      </c>
      <c r="B609">
        <v>6.0630000000000003E-2</v>
      </c>
    </row>
    <row r="610" spans="1:2">
      <c r="A610">
        <v>3.0880000000000001E-2</v>
      </c>
      <c r="B610">
        <v>6.2640000000000001E-2</v>
      </c>
    </row>
    <row r="611" spans="1:2">
      <c r="A611">
        <v>2.6409999999999999E-2</v>
      </c>
      <c r="B611">
        <v>3.7420000000000002E-2</v>
      </c>
    </row>
    <row r="612" spans="1:2">
      <c r="A612">
        <v>0</v>
      </c>
      <c r="B612">
        <v>3.5560000000000001E-2</v>
      </c>
    </row>
    <row r="613" spans="1:2">
      <c r="A613">
        <v>0.29098000000000002</v>
      </c>
      <c r="B613">
        <v>4.2099999999999999E-2</v>
      </c>
    </row>
    <row r="614" spans="1:2">
      <c r="A614">
        <v>0.22358</v>
      </c>
      <c r="B614">
        <v>8.1199999999999994E-2</v>
      </c>
    </row>
    <row r="615" spans="1:2">
      <c r="A615">
        <v>4.6730000000000001E-2</v>
      </c>
      <c r="B615">
        <v>3.4909999999999997E-2</v>
      </c>
    </row>
    <row r="616" spans="1:2">
      <c r="A616">
        <v>4.4479999999999999E-2</v>
      </c>
      <c r="B616">
        <v>3.8739999999999997E-2</v>
      </c>
    </row>
    <row r="617" spans="1:2">
      <c r="A617">
        <v>3.8539999999999998E-2</v>
      </c>
      <c r="B617">
        <v>6.2950000000000006E-2</v>
      </c>
    </row>
    <row r="618" spans="1:2">
      <c r="A618">
        <v>2.3810000000000001E-2</v>
      </c>
      <c r="B618">
        <v>8.337E-2</v>
      </c>
    </row>
    <row r="619" spans="1:2">
      <c r="A619">
        <v>1.9290000000000002E-2</v>
      </c>
      <c r="B619">
        <v>6.6040000000000001E-2</v>
      </c>
    </row>
    <row r="620" spans="1:2">
      <c r="A620">
        <v>1.1780000000000001E-2</v>
      </c>
      <c r="B620">
        <v>6.6820000000000004E-2</v>
      </c>
    </row>
    <row r="621" spans="1:2">
      <c r="A621">
        <v>1.116E-2</v>
      </c>
      <c r="B621">
        <v>3.9449999999999999E-2</v>
      </c>
    </row>
    <row r="622" spans="1:2">
      <c r="A622">
        <v>4.5999999999999999E-3</v>
      </c>
      <c r="B622">
        <v>5.4420000000000003E-2</v>
      </c>
    </row>
    <row r="623" spans="1:2">
      <c r="A623">
        <v>0.18858</v>
      </c>
      <c r="B623">
        <v>6.0240000000000002E-2</v>
      </c>
    </row>
    <row r="624" spans="1:2">
      <c r="A624">
        <v>0.18801000000000001</v>
      </c>
      <c r="B624">
        <v>7.7660000000000007E-2</v>
      </c>
    </row>
    <row r="625" spans="1:2">
      <c r="A625">
        <v>0.12983</v>
      </c>
      <c r="B625">
        <v>6.3549999999999995E-2</v>
      </c>
    </row>
    <row r="626" spans="1:2">
      <c r="A626">
        <v>8.2350000000000007E-2</v>
      </c>
      <c r="B626">
        <v>2.5499999999999998E-2</v>
      </c>
    </row>
    <row r="627" spans="1:2">
      <c r="A627">
        <v>3.1220000000000001E-2</v>
      </c>
      <c r="B627">
        <v>5.9560000000000002E-2</v>
      </c>
    </row>
    <row r="628" spans="1:2">
      <c r="A628">
        <v>1.021E-2</v>
      </c>
      <c r="B628">
        <v>5.296E-2</v>
      </c>
    </row>
    <row r="629" spans="1:2">
      <c r="A629">
        <v>0</v>
      </c>
      <c r="B629">
        <v>6.411E-2</v>
      </c>
    </row>
    <row r="630" spans="1:2">
      <c r="A630">
        <v>0.15673999999999999</v>
      </c>
      <c r="B630">
        <v>3.9530000000000003E-2</v>
      </c>
    </row>
    <row r="631" spans="1:2">
      <c r="A631">
        <v>0.13447999999999999</v>
      </c>
      <c r="B631">
        <v>4.8039999999999999E-2</v>
      </c>
    </row>
    <row r="632" spans="1:2">
      <c r="A632">
        <v>9.7339999999999996E-2</v>
      </c>
      <c r="B632">
        <v>3.8109999999999998E-2</v>
      </c>
    </row>
    <row r="633" spans="1:2">
      <c r="A633">
        <v>7.8990000000000005E-2</v>
      </c>
      <c r="B633">
        <v>1.187E-2</v>
      </c>
    </row>
    <row r="634" spans="1:2">
      <c r="A634">
        <v>5.169E-2</v>
      </c>
      <c r="B634">
        <v>7.0720000000000005E-2</v>
      </c>
    </row>
    <row r="635" spans="1:2">
      <c r="A635">
        <v>4.725E-2</v>
      </c>
      <c r="B635">
        <v>3.6240000000000001E-2</v>
      </c>
    </row>
    <row r="636" spans="1:2">
      <c r="A636">
        <v>3.2960000000000003E-2</v>
      </c>
      <c r="B636">
        <v>2.785E-2</v>
      </c>
    </row>
    <row r="637" spans="1:2">
      <c r="A637">
        <v>0.12551000000000001</v>
      </c>
      <c r="B637">
        <v>7.9500000000000001E-2</v>
      </c>
    </row>
    <row r="638" spans="1:2">
      <c r="A638">
        <v>0.11148</v>
      </c>
      <c r="B638">
        <v>5.7430000000000002E-2</v>
      </c>
    </row>
    <row r="639" spans="1:2">
      <c r="A639">
        <v>8.5800000000000008E-3</v>
      </c>
      <c r="B639">
        <v>5.144E-2</v>
      </c>
    </row>
    <row r="640" spans="1:2">
      <c r="A640">
        <v>0.53580000000000005</v>
      </c>
      <c r="B640">
        <v>6.1060000000000003E-2</v>
      </c>
    </row>
    <row r="641" spans="1:2">
      <c r="A641">
        <v>0.41169</v>
      </c>
      <c r="B641">
        <v>4.1149999999999999E-2</v>
      </c>
    </row>
    <row r="642" spans="1:2">
      <c r="A642">
        <v>4.0219999999999999E-2</v>
      </c>
      <c r="B642">
        <v>7.3359999999999995E-2</v>
      </c>
    </row>
    <row r="643" spans="1:2">
      <c r="A643">
        <v>0.40371000000000001</v>
      </c>
      <c r="B643">
        <v>2.6239999999999999E-2</v>
      </c>
    </row>
    <row r="644" spans="1:2">
      <c r="A644">
        <v>0.2702</v>
      </c>
      <c r="B644">
        <v>6.1269999999999998E-2</v>
      </c>
    </row>
    <row r="645" spans="1:2">
      <c r="A645">
        <v>0.1158</v>
      </c>
      <c r="B645">
        <v>5.2589999999999998E-2</v>
      </c>
    </row>
    <row r="646" spans="1:2">
      <c r="A646">
        <v>0.1149</v>
      </c>
      <c r="B646">
        <v>9.2990000000000003E-2</v>
      </c>
    </row>
    <row r="647" spans="1:2">
      <c r="A647">
        <v>6.2149999999999997E-2</v>
      </c>
      <c r="B647">
        <v>3.8150000000000003E-2</v>
      </c>
    </row>
    <row r="648" spans="1:2">
      <c r="A648">
        <v>5.2749999999999998E-2</v>
      </c>
      <c r="B648">
        <v>8.4250000000000005E-2</v>
      </c>
    </row>
    <row r="649" spans="1:2">
      <c r="A649">
        <v>3.0439999999999998E-2</v>
      </c>
      <c r="B649">
        <v>4.521E-2</v>
      </c>
    </row>
    <row r="650" spans="1:2">
      <c r="A650">
        <v>2.188E-2</v>
      </c>
      <c r="B650">
        <v>3.7280000000000001E-2</v>
      </c>
    </row>
    <row r="651" spans="1:2">
      <c r="A651">
        <v>9.8799999999999999E-3</v>
      </c>
      <c r="B651">
        <v>3.2910000000000002E-2</v>
      </c>
    </row>
    <row r="652" spans="1:2">
      <c r="A652">
        <v>0</v>
      </c>
      <c r="B652">
        <v>0.13786000000000001</v>
      </c>
    </row>
    <row r="653" spans="1:2">
      <c r="A653">
        <v>0.1273</v>
      </c>
      <c r="B653">
        <v>2.9409999999999999E-2</v>
      </c>
    </row>
    <row r="654" spans="1:2">
      <c r="A654">
        <v>0.53827000000000003</v>
      </c>
      <c r="B654">
        <v>8.4010000000000001E-2</v>
      </c>
    </row>
    <row r="655" spans="1:2">
      <c r="A655">
        <v>0.25945000000000001</v>
      </c>
      <c r="B655">
        <v>3.211E-2</v>
      </c>
    </row>
    <row r="656" spans="1:2">
      <c r="A656">
        <v>0.16733000000000001</v>
      </c>
      <c r="B656">
        <v>7.0760000000000003E-2</v>
      </c>
    </row>
    <row r="657" spans="1:2">
      <c r="A657">
        <v>0.12806000000000001</v>
      </c>
      <c r="B657">
        <v>9.5430000000000001E-2</v>
      </c>
    </row>
    <row r="658" spans="1:2">
      <c r="A658">
        <v>8.9940000000000006E-2</v>
      </c>
      <c r="B658">
        <v>8.165E-2</v>
      </c>
    </row>
    <row r="659" spans="1:2">
      <c r="A659">
        <v>8.1170000000000006E-2</v>
      </c>
      <c r="B659">
        <v>5.1639999999999998E-2</v>
      </c>
    </row>
    <row r="660" spans="1:2">
      <c r="A660">
        <v>7.3010000000000005E-2</v>
      </c>
      <c r="B660">
        <v>3.977E-2</v>
      </c>
    </row>
    <row r="661" spans="1:2">
      <c r="A661">
        <v>5.092E-2</v>
      </c>
      <c r="B661">
        <v>2.98E-2</v>
      </c>
    </row>
    <row r="662" spans="1:2">
      <c r="A662">
        <v>4.2750000000000003E-2</v>
      </c>
      <c r="B662">
        <v>6.4280000000000004E-2</v>
      </c>
    </row>
    <row r="663" spans="1:2">
      <c r="A663">
        <v>0</v>
      </c>
      <c r="B663">
        <v>2.146E-2</v>
      </c>
    </row>
    <row r="664" spans="1:2">
      <c r="A664">
        <v>0</v>
      </c>
      <c r="B664">
        <v>3.083E-2</v>
      </c>
    </row>
    <row r="665" spans="1:2">
      <c r="A665">
        <v>0.18976999999999999</v>
      </c>
      <c r="B665">
        <v>5.5780000000000003E-2</v>
      </c>
    </row>
    <row r="666" spans="1:2">
      <c r="A666">
        <v>0.13735</v>
      </c>
      <c r="B666">
        <v>5.8869999999999999E-2</v>
      </c>
    </row>
    <row r="667" spans="1:2">
      <c r="A667">
        <v>8.7470000000000006E-2</v>
      </c>
      <c r="B667">
        <v>6.0569999999999999E-2</v>
      </c>
    </row>
    <row r="668" spans="1:2">
      <c r="A668">
        <v>6.3369999999999996E-2</v>
      </c>
      <c r="B668">
        <v>4.2360000000000002E-2</v>
      </c>
    </row>
    <row r="669" spans="1:2">
      <c r="A669">
        <v>5.2229999999999999E-2</v>
      </c>
      <c r="B669">
        <v>4.2680000000000003E-2</v>
      </c>
    </row>
    <row r="670" spans="1:2">
      <c r="A670">
        <v>2.545E-2</v>
      </c>
      <c r="B670">
        <v>7.4160000000000004E-2</v>
      </c>
    </row>
    <row r="671" spans="1:2">
      <c r="A671">
        <v>1.8200000000000001E-2</v>
      </c>
      <c r="B671">
        <v>4.3319999999999997E-2</v>
      </c>
    </row>
    <row r="672" spans="1:2">
      <c r="A672">
        <v>0.42032999999999998</v>
      </c>
      <c r="B672">
        <v>2.962E-2</v>
      </c>
    </row>
    <row r="673" spans="1:2">
      <c r="A673">
        <v>0.39345999999999998</v>
      </c>
      <c r="B673">
        <v>5.0540000000000002E-2</v>
      </c>
    </row>
    <row r="674" spans="1:2">
      <c r="A674">
        <v>0.38973000000000002</v>
      </c>
      <c r="B674">
        <v>3.7850000000000002E-2</v>
      </c>
    </row>
    <row r="675" spans="1:2">
      <c r="A675">
        <v>0.21851999999999999</v>
      </c>
      <c r="B675">
        <v>3.9699999999999999E-2</v>
      </c>
    </row>
    <row r="676" spans="1:2">
      <c r="A676">
        <v>8.7580000000000005E-2</v>
      </c>
      <c r="B676">
        <v>2.9929999999999998E-2</v>
      </c>
    </row>
    <row r="677" spans="1:2">
      <c r="A677">
        <v>6.7049999999999998E-2</v>
      </c>
      <c r="B677">
        <v>3.2930000000000001E-2</v>
      </c>
    </row>
    <row r="678" spans="1:2">
      <c r="A678">
        <v>3.8210000000000001E-2</v>
      </c>
      <c r="B678">
        <v>5.4280000000000002E-2</v>
      </c>
    </row>
    <row r="679" spans="1:2">
      <c r="A679">
        <v>2.7449999999999999E-2</v>
      </c>
      <c r="B679">
        <v>2.8330000000000001E-2</v>
      </c>
    </row>
    <row r="680" spans="1:2">
      <c r="A680">
        <v>0.50149999999999995</v>
      </c>
      <c r="B680">
        <v>3.2469999999999999E-2</v>
      </c>
    </row>
    <row r="681" spans="1:2">
      <c r="A681">
        <v>4.4920000000000002E-2</v>
      </c>
      <c r="B681">
        <v>6.2789999999999999E-2</v>
      </c>
    </row>
    <row r="682" spans="1:2">
      <c r="A682">
        <v>3.1550000000000002E-2</v>
      </c>
      <c r="B682">
        <v>4.5130000000000003E-2</v>
      </c>
    </row>
    <row r="683" spans="1:2">
      <c r="A683">
        <v>3.1399999999999997E-2</v>
      </c>
      <c r="B683">
        <v>7.1840000000000001E-2</v>
      </c>
    </row>
    <row r="684" spans="1:2">
      <c r="A684">
        <v>0.22534000000000001</v>
      </c>
      <c r="B684">
        <v>8.5430000000000006E-2</v>
      </c>
    </row>
    <row r="685" spans="1:2">
      <c r="A685">
        <v>0.17563999999999999</v>
      </c>
      <c r="B685">
        <v>3.4360000000000002E-2</v>
      </c>
    </row>
    <row r="686" spans="1:2">
      <c r="A686">
        <v>0.17397000000000001</v>
      </c>
      <c r="B686">
        <v>5.4550000000000001E-2</v>
      </c>
    </row>
    <row r="687" spans="1:2">
      <c r="A687">
        <v>0.1084</v>
      </c>
      <c r="B687">
        <v>5.6250000000000001E-2</v>
      </c>
    </row>
    <row r="688" spans="1:2">
      <c r="A688">
        <v>0.1056</v>
      </c>
      <c r="B688">
        <v>6.3920000000000005E-2</v>
      </c>
    </row>
    <row r="689" spans="1:2">
      <c r="A689">
        <v>7.3980000000000004E-2</v>
      </c>
      <c r="B689">
        <v>5.6739999999999999E-2</v>
      </c>
    </row>
    <row r="690" spans="1:2">
      <c r="A690">
        <v>4.725E-2</v>
      </c>
      <c r="B690">
        <v>7.0010000000000003E-2</v>
      </c>
    </row>
    <row r="691" spans="1:2">
      <c r="A691">
        <v>4.0800000000000003E-2</v>
      </c>
      <c r="B691">
        <v>6.2560000000000004E-2</v>
      </c>
    </row>
    <row r="692" spans="1:2">
      <c r="A692">
        <v>3.5119999999999998E-2</v>
      </c>
      <c r="B692">
        <v>4.7370000000000002E-2</v>
      </c>
    </row>
    <row r="693" spans="1:2">
      <c r="A693">
        <v>0.55864000000000003</v>
      </c>
      <c r="B693">
        <v>0.11011</v>
      </c>
    </row>
    <row r="694" spans="1:2">
      <c r="A694">
        <v>0.13444999999999999</v>
      </c>
      <c r="B694">
        <v>3.4909999999999997E-2</v>
      </c>
    </row>
    <row r="695" spans="1:2">
      <c r="A695">
        <v>7.7479999999999993E-2</v>
      </c>
      <c r="B695">
        <v>4.4670000000000001E-2</v>
      </c>
    </row>
    <row r="696" spans="1:2">
      <c r="A696">
        <v>1.494E-2</v>
      </c>
      <c r="B696">
        <v>8.1040000000000001E-2</v>
      </c>
    </row>
    <row r="697" spans="1:2">
      <c r="A697">
        <v>0.45648</v>
      </c>
      <c r="B697">
        <v>5.1369999999999999E-2</v>
      </c>
    </row>
    <row r="698" spans="1:2">
      <c r="A698">
        <v>0.26484999999999997</v>
      </c>
      <c r="B698">
        <v>3.916E-2</v>
      </c>
    </row>
    <row r="699" spans="1:2">
      <c r="A699">
        <v>0.10621</v>
      </c>
      <c r="B699">
        <v>3.3840000000000002E-2</v>
      </c>
    </row>
    <row r="700" spans="1:2">
      <c r="A700">
        <v>5.7540000000000001E-2</v>
      </c>
      <c r="B700">
        <v>4.6489999999999997E-2</v>
      </c>
    </row>
    <row r="701" spans="1:2">
      <c r="A701">
        <v>3.7229999999999999E-2</v>
      </c>
      <c r="B701">
        <v>8.3680000000000004E-2</v>
      </c>
    </row>
    <row r="702" spans="1:2">
      <c r="A702">
        <v>2.6079999999999999E-2</v>
      </c>
      <c r="B702">
        <v>2.5020000000000001E-2</v>
      </c>
    </row>
    <row r="703" spans="1:2">
      <c r="A703">
        <v>8.1540000000000001E-2</v>
      </c>
      <c r="B703">
        <v>4.7390000000000002E-2</v>
      </c>
    </row>
    <row r="704" spans="1:2">
      <c r="A704">
        <v>5.2720000000000003E-2</v>
      </c>
      <c r="B704">
        <v>7.9519999999999993E-2</v>
      </c>
    </row>
    <row r="705" spans="1:2">
      <c r="A705">
        <v>1.226E-2</v>
      </c>
      <c r="B705">
        <v>2.5680000000000001E-2</v>
      </c>
    </row>
    <row r="706" spans="1:2">
      <c r="A706">
        <v>9.3549999999999994E-2</v>
      </c>
      <c r="B706">
        <v>4.3860000000000003E-2</v>
      </c>
    </row>
    <row r="707" spans="1:2">
      <c r="A707">
        <v>8.3979999999999999E-2</v>
      </c>
      <c r="B707">
        <v>2.7969999999999998E-2</v>
      </c>
    </row>
    <row r="708" spans="1:2">
      <c r="A708">
        <v>7.9600000000000004E-2</v>
      </c>
      <c r="B708">
        <v>3.007E-2</v>
      </c>
    </row>
    <row r="709" spans="1:2">
      <c r="A709">
        <v>4.1779999999999998E-2</v>
      </c>
      <c r="B709">
        <v>4.0640000000000003E-2</v>
      </c>
    </row>
    <row r="710" spans="1:2">
      <c r="A710">
        <v>2.5600000000000002E-3</v>
      </c>
      <c r="B710">
        <v>2.733E-2</v>
      </c>
    </row>
    <row r="711" spans="1:2">
      <c r="A711">
        <v>0.28556999999999999</v>
      </c>
      <c r="B711">
        <v>3.2710000000000003E-2</v>
      </c>
    </row>
    <row r="712" spans="1:2">
      <c r="A712">
        <v>0.27962999999999999</v>
      </c>
      <c r="B712">
        <v>3.9379999999999998E-2</v>
      </c>
    </row>
    <row r="713" spans="1:2">
      <c r="A713">
        <v>0.27750999999999998</v>
      </c>
      <c r="B713">
        <v>0.13947999999999999</v>
      </c>
    </row>
    <row r="714" spans="1:2">
      <c r="A714">
        <v>0.14860999999999999</v>
      </c>
      <c r="B714">
        <v>5.5109999999999999E-2</v>
      </c>
    </row>
    <row r="715" spans="1:2">
      <c r="A715">
        <v>8.992E-2</v>
      </c>
      <c r="B715">
        <v>5.8400000000000001E-2</v>
      </c>
    </row>
    <row r="716" spans="1:2">
      <c r="A716">
        <v>8.0390000000000003E-2</v>
      </c>
      <c r="B716">
        <v>2.332E-2</v>
      </c>
    </row>
    <row r="717" spans="1:2">
      <c r="A717">
        <v>3.9100000000000003E-3</v>
      </c>
      <c r="B717">
        <v>4.0129999999999999E-2</v>
      </c>
    </row>
    <row r="718" spans="1:2">
      <c r="A718">
        <v>0.26955000000000001</v>
      </c>
      <c r="B718">
        <v>4.4019999999999997E-2</v>
      </c>
    </row>
    <row r="719" spans="1:2">
      <c r="A719">
        <v>8.4360000000000004E-2</v>
      </c>
      <c r="B719">
        <v>2.392E-2</v>
      </c>
    </row>
    <row r="720" spans="1:2">
      <c r="A720">
        <v>6.1780000000000002E-2</v>
      </c>
      <c r="B720">
        <v>5.126E-2</v>
      </c>
    </row>
    <row r="721" spans="1:2">
      <c r="A721">
        <v>3.2489999999999998E-2</v>
      </c>
      <c r="B721">
        <v>3.5220000000000001E-2</v>
      </c>
    </row>
    <row r="722" spans="1:2">
      <c r="A722">
        <v>2.8240000000000001E-2</v>
      </c>
      <c r="B722">
        <v>3.5929999999999997E-2</v>
      </c>
    </row>
    <row r="723" spans="1:2">
      <c r="A723">
        <v>6.6800000000000002E-3</v>
      </c>
      <c r="B723">
        <v>4.2529999999999998E-2</v>
      </c>
    </row>
    <row r="724" spans="1:2">
      <c r="A724">
        <v>0.74990999999999997</v>
      </c>
      <c r="B724">
        <v>5.4609999999999999E-2</v>
      </c>
    </row>
    <row r="725" spans="1:2">
      <c r="A725">
        <v>0.44821</v>
      </c>
      <c r="B725">
        <v>4.1959999999999997E-2</v>
      </c>
    </row>
    <row r="726" spans="1:2">
      <c r="A726">
        <v>0.30385000000000001</v>
      </c>
      <c r="B726">
        <v>3.5619999999999999E-2</v>
      </c>
    </row>
    <row r="727" spans="1:2">
      <c r="A727">
        <v>0.15923000000000001</v>
      </c>
      <c r="B727">
        <v>8.294E-2</v>
      </c>
    </row>
    <row r="728" spans="1:2">
      <c r="A728">
        <v>3.014E-2</v>
      </c>
      <c r="B728">
        <v>2.7480000000000001E-2</v>
      </c>
    </row>
    <row r="729" spans="1:2">
      <c r="A729">
        <v>2.6239999999999999E-2</v>
      </c>
      <c r="B729">
        <v>9.0039999999999995E-2</v>
      </c>
    </row>
    <row r="730" spans="1:2">
      <c r="A730">
        <v>1.1379999999999999E-2</v>
      </c>
      <c r="B730">
        <v>3.0640000000000001E-2</v>
      </c>
    </row>
    <row r="731" spans="1:2">
      <c r="A731">
        <v>0.24623999999999999</v>
      </c>
      <c r="B731">
        <v>5.5359999999999999E-2</v>
      </c>
    </row>
    <row r="732" spans="1:2">
      <c r="A732">
        <v>0.21909000000000001</v>
      </c>
      <c r="B732">
        <v>7.6380000000000003E-2</v>
      </c>
    </row>
    <row r="733" spans="1:2">
      <c r="A733">
        <v>0.15554999999999999</v>
      </c>
      <c r="B733">
        <v>7.6020000000000004E-2</v>
      </c>
    </row>
    <row r="734" spans="1:2">
      <c r="A734">
        <v>0.1206</v>
      </c>
      <c r="B734">
        <v>0.10291</v>
      </c>
    </row>
    <row r="735" spans="1:2">
      <c r="A735">
        <v>4.8430000000000001E-2</v>
      </c>
      <c r="B735">
        <v>2.7349999999999999E-2</v>
      </c>
    </row>
    <row r="736" spans="1:2">
      <c r="A736">
        <v>0.17654</v>
      </c>
      <c r="B736">
        <v>3.8589999999999999E-2</v>
      </c>
    </row>
    <row r="737" spans="1:2">
      <c r="A737">
        <v>0.15003</v>
      </c>
      <c r="B737">
        <v>5.4989999999999997E-2</v>
      </c>
    </row>
    <row r="738" spans="1:2">
      <c r="A738">
        <v>0.15842000000000001</v>
      </c>
      <c r="B738">
        <v>2.93E-2</v>
      </c>
    </row>
    <row r="739" spans="1:2">
      <c r="A739">
        <v>0.13211000000000001</v>
      </c>
      <c r="B739">
        <v>2.0930000000000001E-2</v>
      </c>
    </row>
    <row r="740" spans="1:2">
      <c r="A740">
        <v>0.10782</v>
      </c>
      <c r="B740">
        <v>3.5470000000000002E-2</v>
      </c>
    </row>
    <row r="741" spans="1:2">
      <c r="A741">
        <v>0.10743999999999999</v>
      </c>
      <c r="B741">
        <v>4.7620000000000003E-2</v>
      </c>
    </row>
    <row r="742" spans="1:2">
      <c r="A742">
        <v>7.825E-2</v>
      </c>
      <c r="B742">
        <v>2.7449999999999999E-2</v>
      </c>
    </row>
    <row r="743" spans="1:2">
      <c r="A743">
        <v>7.4639999999999998E-2</v>
      </c>
      <c r="B743">
        <v>2.2380000000000001E-2</v>
      </c>
    </row>
    <row r="744" spans="1:2">
      <c r="A744">
        <v>6.0539999999999997E-2</v>
      </c>
      <c r="B744">
        <v>3.2759999999999997E-2</v>
      </c>
    </row>
    <row r="745" spans="1:2">
      <c r="A745">
        <v>4.7640000000000002E-2</v>
      </c>
      <c r="B745">
        <v>9.2179999999999998E-2</v>
      </c>
    </row>
    <row r="746" spans="1:2">
      <c r="A746">
        <v>4.1500000000000002E-2</v>
      </c>
      <c r="B746">
        <v>7.4840000000000004E-2</v>
      </c>
    </row>
    <row r="747" spans="1:2">
      <c r="A747">
        <v>2.545E-2</v>
      </c>
      <c r="B747">
        <v>7.0870000000000002E-2</v>
      </c>
    </row>
    <row r="748" spans="1:2">
      <c r="A748">
        <v>8.7470000000000006E-2</v>
      </c>
      <c r="B748">
        <v>6.071E-2</v>
      </c>
    </row>
    <row r="749" spans="1:2">
      <c r="A749">
        <v>0.26740000000000003</v>
      </c>
      <c r="B749">
        <v>6.4360000000000001E-2</v>
      </c>
    </row>
    <row r="750" spans="1:2">
      <c r="A750">
        <v>0.25603999999999999</v>
      </c>
      <c r="B750">
        <v>4.7600000000000003E-2</v>
      </c>
    </row>
    <row r="751" spans="1:2">
      <c r="A751">
        <v>0.13771</v>
      </c>
      <c r="B751">
        <v>9.9570000000000006E-2</v>
      </c>
    </row>
    <row r="752" spans="1:2">
      <c r="A752">
        <v>0.11067</v>
      </c>
      <c r="B752">
        <v>5.1299999999999998E-2</v>
      </c>
    </row>
    <row r="753" spans="1:2">
      <c r="A753">
        <v>0.10111000000000001</v>
      </c>
      <c r="B753">
        <v>3.7490000000000002E-2</v>
      </c>
    </row>
    <row r="754" spans="1:2">
      <c r="A754">
        <v>8.498E-2</v>
      </c>
      <c r="B754">
        <v>4.4510000000000001E-2</v>
      </c>
    </row>
    <row r="755" spans="1:2">
      <c r="A755">
        <v>5.2789999999999997E-2</v>
      </c>
      <c r="B755">
        <v>7.714E-2</v>
      </c>
    </row>
    <row r="756" spans="1:2">
      <c r="A756">
        <v>4.3270000000000003E-2</v>
      </c>
      <c r="B756">
        <v>3.0669999999999999E-2</v>
      </c>
    </row>
    <row r="757" spans="1:2">
      <c r="A757">
        <v>3.4979999999999997E-2</v>
      </c>
      <c r="B757">
        <v>3.6220000000000002E-2</v>
      </c>
    </row>
    <row r="758" spans="1:2">
      <c r="A758">
        <v>2.513E-2</v>
      </c>
      <c r="B758">
        <v>8.337E-2</v>
      </c>
    </row>
    <row r="759" spans="1:2">
      <c r="A759">
        <v>1.6199999999999999E-2</v>
      </c>
      <c r="B759">
        <v>3.5159999999999997E-2</v>
      </c>
    </row>
    <row r="760" spans="1:2">
      <c r="A760">
        <v>9.1699999999999993E-3</v>
      </c>
      <c r="B760">
        <v>7.0720000000000005E-2</v>
      </c>
    </row>
    <row r="761" spans="1:2">
      <c r="A761">
        <v>3.2399999999999998E-3</v>
      </c>
      <c r="B761">
        <v>0.17136000000000001</v>
      </c>
    </row>
    <row r="762" spans="1:2">
      <c r="A762">
        <v>0.45040999999999998</v>
      </c>
      <c r="B762">
        <v>4.8910000000000002E-2</v>
      </c>
    </row>
    <row r="763" spans="1:2">
      <c r="A763">
        <v>0.44880999999999999</v>
      </c>
      <c r="B763">
        <v>8.9709999999999998E-2</v>
      </c>
    </row>
    <row r="764" spans="1:2">
      <c r="A764">
        <v>0.20987</v>
      </c>
      <c r="B764">
        <v>0.11292000000000001</v>
      </c>
    </row>
    <row r="765" spans="1:2">
      <c r="A765">
        <v>0.19042000000000001</v>
      </c>
      <c r="B765">
        <v>4.0079999999999998E-2</v>
      </c>
    </row>
    <row r="766" spans="1:2">
      <c r="A766">
        <v>0.13850000000000001</v>
      </c>
      <c r="B766">
        <v>0.14598</v>
      </c>
    </row>
    <row r="767" spans="1:2">
      <c r="A767">
        <v>9.4560000000000005E-2</v>
      </c>
      <c r="B767">
        <v>4.5870000000000001E-2</v>
      </c>
    </row>
    <row r="768" spans="1:2">
      <c r="A768">
        <v>6.2100000000000002E-3</v>
      </c>
      <c r="B768">
        <v>8.4799999999999997E-3</v>
      </c>
    </row>
    <row r="769" spans="1:2">
      <c r="A769">
        <v>0.27611999999999998</v>
      </c>
      <c r="B769">
        <v>6.1379999999999997E-2</v>
      </c>
    </row>
    <row r="770" spans="1:2">
      <c r="A770">
        <v>0.26745000000000002</v>
      </c>
      <c r="B770">
        <v>9.1700000000000004E-2</v>
      </c>
    </row>
    <row r="771" spans="1:2">
      <c r="A771">
        <v>0.21213000000000001</v>
      </c>
      <c r="B771">
        <v>3.2870000000000003E-2</v>
      </c>
    </row>
    <row r="772" spans="1:2">
      <c r="A772">
        <v>0.15564</v>
      </c>
      <c r="B772">
        <v>5.7849999999999999E-2</v>
      </c>
    </row>
    <row r="773" spans="1:2">
      <c r="A773">
        <v>0.11509999999999999</v>
      </c>
      <c r="B773">
        <v>2.9790000000000001E-2</v>
      </c>
    </row>
    <row r="774" spans="1:2">
      <c r="A774">
        <v>0.10149</v>
      </c>
      <c r="B774">
        <v>4.9259999999999998E-2</v>
      </c>
    </row>
    <row r="775" spans="1:2">
      <c r="A775">
        <v>0.52685999999999999</v>
      </c>
      <c r="B775">
        <v>2.777E-2</v>
      </c>
    </row>
    <row r="776" spans="1:2">
      <c r="A776">
        <v>0.22408</v>
      </c>
      <c r="B776">
        <v>4.7579999999999997E-2</v>
      </c>
    </row>
    <row r="777" spans="1:2">
      <c r="A777">
        <v>0.11031000000000001</v>
      </c>
      <c r="B777">
        <v>2.1770000000000001E-2</v>
      </c>
    </row>
    <row r="778" spans="1:2">
      <c r="A778">
        <v>4.9439999999999998E-2</v>
      </c>
      <c r="B778">
        <v>5.4859999999999999E-2</v>
      </c>
    </row>
    <row r="779" spans="1:2">
      <c r="A779">
        <v>0.26145000000000002</v>
      </c>
      <c r="B779">
        <v>5.6030000000000003E-2</v>
      </c>
    </row>
    <row r="780" spans="1:2">
      <c r="A780">
        <v>7.7490000000000003E-2</v>
      </c>
      <c r="B780">
        <v>8.405E-2</v>
      </c>
    </row>
    <row r="781" spans="1:2">
      <c r="A781">
        <v>6.8830000000000002E-2</v>
      </c>
      <c r="B781">
        <v>4.2930000000000003E-2</v>
      </c>
    </row>
    <row r="782" spans="1:2">
      <c r="A782">
        <v>4.9730000000000003E-2</v>
      </c>
      <c r="B782">
        <v>5.8310000000000001E-2</v>
      </c>
    </row>
    <row r="783" spans="1:2">
      <c r="A783">
        <v>2.0080000000000001E-2</v>
      </c>
      <c r="B783">
        <v>2.9219999999999999E-2</v>
      </c>
    </row>
    <row r="784" spans="1:2">
      <c r="A784">
        <v>1.123E-2</v>
      </c>
      <c r="B784">
        <v>5.389E-2</v>
      </c>
    </row>
    <row r="785" spans="1:2">
      <c r="A785">
        <v>0.29282999999999998</v>
      </c>
      <c r="B785">
        <v>4.0059999999999998E-2</v>
      </c>
    </row>
    <row r="786" spans="1:2">
      <c r="A786">
        <v>0.17993999999999999</v>
      </c>
      <c r="B786">
        <v>8.5540000000000005E-2</v>
      </c>
    </row>
    <row r="787" spans="1:2">
      <c r="A787">
        <v>8.6749999999999994E-2</v>
      </c>
      <c r="B787">
        <v>2.819E-2</v>
      </c>
    </row>
    <row r="788" spans="1:2">
      <c r="A788">
        <v>5.5500000000000001E-2</v>
      </c>
      <c r="B788">
        <v>4.7199999999999999E-2</v>
      </c>
    </row>
    <row r="789" spans="1:2">
      <c r="A789">
        <v>4.7160000000000001E-2</v>
      </c>
      <c r="B789">
        <v>4.19E-2</v>
      </c>
    </row>
    <row r="790" spans="1:2">
      <c r="A790">
        <v>4.3240000000000001E-2</v>
      </c>
      <c r="B790">
        <v>2.606E-2</v>
      </c>
    </row>
    <row r="791" spans="1:2">
      <c r="A791">
        <v>2.5699999999999998E-3</v>
      </c>
      <c r="B791">
        <v>5.8250000000000003E-2</v>
      </c>
    </row>
    <row r="792" spans="1:2">
      <c r="A792">
        <v>0.33981</v>
      </c>
      <c r="B792">
        <v>0.10582</v>
      </c>
    </row>
    <row r="793" spans="1:2">
      <c r="A793">
        <v>0.20691999999999999</v>
      </c>
      <c r="B793">
        <v>5.2749999999999998E-2</v>
      </c>
    </row>
    <row r="794" spans="1:2">
      <c r="A794">
        <v>0.19023000000000001</v>
      </c>
      <c r="B794">
        <v>4.8379999999999999E-2</v>
      </c>
    </row>
    <row r="795" spans="1:2">
      <c r="A795">
        <v>0.18718000000000001</v>
      </c>
      <c r="B795">
        <v>3.884E-2</v>
      </c>
    </row>
    <row r="796" spans="1:2">
      <c r="A796">
        <v>0.11849999999999999</v>
      </c>
      <c r="B796">
        <v>3.4470000000000001E-2</v>
      </c>
    </row>
    <row r="797" spans="1:2">
      <c r="A797">
        <v>0.11074000000000001</v>
      </c>
      <c r="B797">
        <v>8.9139999999999997E-2</v>
      </c>
    </row>
    <row r="798" spans="1:2">
      <c r="A798">
        <v>7.9530000000000003E-2</v>
      </c>
      <c r="B798">
        <v>3.322E-2</v>
      </c>
    </row>
    <row r="799" spans="1:2">
      <c r="A799">
        <v>2.8400000000000002E-2</v>
      </c>
      <c r="B799">
        <v>2.5229999999999999E-2</v>
      </c>
    </row>
    <row r="800" spans="1:2">
      <c r="A800">
        <v>8.3099999999999997E-3</v>
      </c>
      <c r="B800">
        <v>9.8640000000000005E-2</v>
      </c>
    </row>
    <row r="801" spans="1:2">
      <c r="A801">
        <v>0</v>
      </c>
      <c r="B801">
        <v>5.806E-2</v>
      </c>
    </row>
    <row r="802" spans="1:2">
      <c r="A802">
        <v>0.29557</v>
      </c>
      <c r="B802">
        <v>3.576E-2</v>
      </c>
    </row>
    <row r="803" spans="1:2">
      <c r="A803">
        <v>7.4010000000000006E-2</v>
      </c>
      <c r="B803">
        <v>5.0610000000000002E-2</v>
      </c>
    </row>
    <row r="804" spans="1:2">
      <c r="A804">
        <v>6.8470000000000003E-2</v>
      </c>
      <c r="B804">
        <v>5.7450000000000001E-2</v>
      </c>
    </row>
    <row r="805" spans="1:2">
      <c r="A805">
        <v>6.0760000000000002E-2</v>
      </c>
      <c r="B805">
        <v>4.5560000000000003E-2</v>
      </c>
    </row>
    <row r="806" spans="1:2">
      <c r="A806">
        <v>3.2660000000000002E-2</v>
      </c>
      <c r="B806">
        <v>4.7149999999999997E-2</v>
      </c>
    </row>
    <row r="807" spans="1:2">
      <c r="A807">
        <v>2.469E-2</v>
      </c>
      <c r="B807">
        <v>4.6929999999999999E-2</v>
      </c>
    </row>
    <row r="808" spans="1:2">
      <c r="A808">
        <v>0.18595999999999999</v>
      </c>
      <c r="B808">
        <v>5.3359999999999998E-2</v>
      </c>
    </row>
    <row r="809" spans="1:2">
      <c r="A809">
        <v>0.18440000000000001</v>
      </c>
      <c r="B809">
        <v>1.1429999999999999E-2</v>
      </c>
    </row>
    <row r="810" spans="1:2">
      <c r="A810">
        <v>8.6559999999999998E-2</v>
      </c>
      <c r="B810">
        <v>3.5180000000000003E-2</v>
      </c>
    </row>
    <row r="811" spans="1:2">
      <c r="A811">
        <v>4.7890000000000002E-2</v>
      </c>
      <c r="B811">
        <v>1.247E-2</v>
      </c>
    </row>
    <row r="812" spans="1:2">
      <c r="A812">
        <v>3.2070000000000001E-2</v>
      </c>
      <c r="B812">
        <v>3.4779999999999998E-2</v>
      </c>
    </row>
    <row r="813" spans="1:2">
      <c r="A813">
        <v>0.65846000000000005</v>
      </c>
      <c r="B813">
        <v>4.7289999999999999E-2</v>
      </c>
    </row>
    <row r="814" spans="1:2">
      <c r="A814">
        <v>0.16997999999999999</v>
      </c>
      <c r="B814">
        <v>4.99E-2</v>
      </c>
    </row>
    <row r="815" spans="1:2">
      <c r="A815">
        <v>0.11752</v>
      </c>
      <c r="B815">
        <v>2.2100000000000002E-2</v>
      </c>
    </row>
    <row r="816" spans="1:2">
      <c r="A816">
        <v>1.524E-2</v>
      </c>
      <c r="B816">
        <v>4.7829999999999998E-2</v>
      </c>
    </row>
    <row r="817" spans="1:2">
      <c r="A817">
        <v>3.3899999999999998E-3</v>
      </c>
      <c r="B817">
        <v>5.2769999999999997E-2</v>
      </c>
    </row>
    <row r="818" spans="1:2">
      <c r="A818">
        <v>0</v>
      </c>
      <c r="B818">
        <v>3.3680000000000002E-2</v>
      </c>
    </row>
    <row r="819" spans="1:2">
      <c r="A819">
        <v>0.65705000000000002</v>
      </c>
      <c r="B819">
        <v>5.5399999999999998E-3</v>
      </c>
    </row>
    <row r="820" spans="1:2">
      <c r="A820">
        <v>0.28895999999999999</v>
      </c>
      <c r="B820">
        <v>4.786E-2</v>
      </c>
    </row>
    <row r="821" spans="1:2">
      <c r="A821">
        <v>8.2629999999999995E-2</v>
      </c>
      <c r="B821">
        <v>3.5229999999999997E-2</v>
      </c>
    </row>
    <row r="822" spans="1:2">
      <c r="A822">
        <v>5.4850000000000003E-2</v>
      </c>
      <c r="B822">
        <v>5.457E-2</v>
      </c>
    </row>
    <row r="823" spans="1:2">
      <c r="A823">
        <v>0.24696000000000001</v>
      </c>
      <c r="B823">
        <v>2.7969999999999998E-2</v>
      </c>
    </row>
    <row r="824" spans="1:2">
      <c r="A824">
        <v>0.18706</v>
      </c>
      <c r="B824">
        <v>6.2309999999999997E-2</v>
      </c>
    </row>
    <row r="825" spans="1:2">
      <c r="A825">
        <v>0.15889</v>
      </c>
      <c r="B825">
        <v>3.9140000000000001E-2</v>
      </c>
    </row>
    <row r="826" spans="1:2">
      <c r="A826">
        <v>8.8270000000000001E-2</v>
      </c>
      <c r="B826">
        <v>3.5159999999999997E-2</v>
      </c>
    </row>
    <row r="827" spans="1:2">
      <c r="A827">
        <v>4.648E-2</v>
      </c>
      <c r="B827">
        <v>5.219E-2</v>
      </c>
    </row>
    <row r="828" spans="1:2">
      <c r="A828">
        <v>0.26574999999999999</v>
      </c>
      <c r="B828">
        <v>5.3900000000000003E-2</v>
      </c>
    </row>
    <row r="829" spans="1:2">
      <c r="A829">
        <v>0.18129999999999999</v>
      </c>
      <c r="B829">
        <v>4.5080000000000002E-2</v>
      </c>
    </row>
    <row r="830" spans="1:2">
      <c r="A830">
        <v>0.16857</v>
      </c>
      <c r="B830">
        <v>3.9469999999999998E-2</v>
      </c>
    </row>
    <row r="831" spans="1:2">
      <c r="A831">
        <v>0.15894</v>
      </c>
      <c r="B831">
        <v>4.2709999999999998E-2</v>
      </c>
    </row>
    <row r="832" spans="1:2">
      <c r="A832">
        <v>0.13406000000000001</v>
      </c>
      <c r="B832">
        <v>9.3520000000000006E-2</v>
      </c>
    </row>
    <row r="833" spans="1:2">
      <c r="A833">
        <v>0.13288</v>
      </c>
      <c r="B833">
        <v>4.1450000000000001E-2</v>
      </c>
    </row>
    <row r="834" spans="1:2">
      <c r="A834">
        <v>9.1039999999999996E-2</v>
      </c>
      <c r="B834">
        <v>4.4159999999999998E-2</v>
      </c>
    </row>
    <row r="835" spans="1:2">
      <c r="A835">
        <v>6.4399999999999999E-2</v>
      </c>
      <c r="B835">
        <v>3.1879999999999999E-2</v>
      </c>
    </row>
    <row r="836" spans="1:2">
      <c r="A836">
        <v>4.1549999999999997E-2</v>
      </c>
      <c r="B836">
        <v>5.611E-2</v>
      </c>
    </row>
    <row r="837" spans="1:2">
      <c r="A837">
        <v>4.0030000000000003E-2</v>
      </c>
      <c r="B837">
        <v>5.076E-2</v>
      </c>
    </row>
    <row r="838" spans="1:2">
      <c r="A838">
        <v>3.7819999999999999E-2</v>
      </c>
      <c r="B838">
        <v>4.0059999999999998E-2</v>
      </c>
    </row>
    <row r="839" spans="1:2">
      <c r="A839">
        <v>2.214E-2</v>
      </c>
      <c r="B839">
        <v>3.6420000000000001E-2</v>
      </c>
    </row>
    <row r="840" spans="1:2">
      <c r="A840">
        <v>0.11605</v>
      </c>
      <c r="B840">
        <v>6.7680000000000004E-2</v>
      </c>
    </row>
    <row r="841" spans="1:2">
      <c r="A841">
        <v>6.9819999999999993E-2</v>
      </c>
      <c r="B841">
        <v>3.1879999999999999E-2</v>
      </c>
    </row>
    <row r="842" spans="1:2">
      <c r="A842">
        <v>6.8159999999999998E-2</v>
      </c>
      <c r="B842">
        <v>6.2489999999999997E-2</v>
      </c>
    </row>
    <row r="843" spans="1:2">
      <c r="A843">
        <v>6.4890000000000003E-2</v>
      </c>
      <c r="B843">
        <v>6.2350000000000003E-2</v>
      </c>
    </row>
    <row r="844" spans="1:2">
      <c r="A844">
        <v>5.1139999999999998E-2</v>
      </c>
      <c r="B844">
        <v>5.1069999999999997E-2</v>
      </c>
    </row>
    <row r="845" spans="1:2">
      <c r="A845">
        <v>0.20402000000000001</v>
      </c>
      <c r="B845">
        <v>4.4609999999999997E-2</v>
      </c>
    </row>
    <row r="846" spans="1:2">
      <c r="A846">
        <v>0.18367</v>
      </c>
      <c r="B846">
        <v>4.3110000000000002E-2</v>
      </c>
    </row>
    <row r="847" spans="1:2">
      <c r="A847">
        <v>0.11776</v>
      </c>
      <c r="B847">
        <v>3.6749999999999998E-2</v>
      </c>
    </row>
    <row r="848" spans="1:2">
      <c r="A848">
        <v>5.2580000000000002E-2</v>
      </c>
      <c r="B848">
        <v>6.8510000000000001E-2</v>
      </c>
    </row>
    <row r="849" spans="1:2">
      <c r="A849">
        <v>3.2829999999999998E-2</v>
      </c>
      <c r="B849">
        <v>4.648E-2</v>
      </c>
    </row>
    <row r="850" spans="1:2">
      <c r="A850">
        <v>3.099E-2</v>
      </c>
      <c r="B850">
        <v>3.6020000000000003E-2</v>
      </c>
    </row>
    <row r="851" spans="1:2">
      <c r="A851">
        <v>5.1959999999999999E-2</v>
      </c>
      <c r="B851">
        <v>4.6359999999999998E-2</v>
      </c>
    </row>
    <row r="852" spans="1:2">
      <c r="A852">
        <v>2.2270000000000002E-2</v>
      </c>
      <c r="B852">
        <v>5.4919999999999997E-2</v>
      </c>
    </row>
    <row r="853" spans="1:2">
      <c r="A853">
        <v>0.31356000000000001</v>
      </c>
      <c r="B853">
        <v>4.1860000000000001E-2</v>
      </c>
    </row>
    <row r="854" spans="1:2">
      <c r="A854">
        <v>0.15284</v>
      </c>
      <c r="B854">
        <v>2.5229999999999999E-2</v>
      </c>
    </row>
    <row r="855" spans="1:2">
      <c r="A855">
        <v>0.10854999999999999</v>
      </c>
      <c r="B855">
        <v>2.564E-2</v>
      </c>
    </row>
    <row r="856" spans="1:2">
      <c r="A856">
        <v>0.10843999999999999</v>
      </c>
      <c r="B856">
        <v>1.421E-2</v>
      </c>
    </row>
    <row r="857" spans="1:2">
      <c r="A857">
        <v>8.5300000000000001E-2</v>
      </c>
      <c r="B857">
        <v>4.7840000000000001E-2</v>
      </c>
    </row>
    <row r="858" spans="1:2">
      <c r="A858">
        <v>4.5589999999999999E-2</v>
      </c>
      <c r="B858">
        <v>7.127E-2</v>
      </c>
    </row>
    <row r="859" spans="1:2">
      <c r="A859">
        <v>2.1610000000000001E-2</v>
      </c>
      <c r="B859">
        <v>3.4380000000000001E-2</v>
      </c>
    </row>
    <row r="860" spans="1:2">
      <c r="A860">
        <v>1.7270000000000001E-2</v>
      </c>
      <c r="B860">
        <v>3.3480000000000003E-2</v>
      </c>
    </row>
    <row r="861" spans="1:2">
      <c r="A861">
        <v>0.24524000000000001</v>
      </c>
      <c r="B861">
        <v>0.1132</v>
      </c>
    </row>
    <row r="862" spans="1:2">
      <c r="A862">
        <v>8.3659999999999998E-2</v>
      </c>
      <c r="B862">
        <v>0.10788</v>
      </c>
    </row>
    <row r="863" spans="1:2">
      <c r="A863">
        <v>8.0680000000000002E-2</v>
      </c>
      <c r="B863">
        <v>4.3490000000000001E-2</v>
      </c>
    </row>
    <row r="864" spans="1:2">
      <c r="A864">
        <v>7.3000000000000001E-3</v>
      </c>
      <c r="B864">
        <v>3.6720000000000003E-2</v>
      </c>
    </row>
    <row r="865" spans="1:2">
      <c r="A865">
        <v>0.16850999999999999</v>
      </c>
      <c r="B865">
        <v>6.837E-2</v>
      </c>
    </row>
    <row r="866" spans="1:2">
      <c r="A866">
        <v>0.15013000000000001</v>
      </c>
      <c r="B866">
        <v>2.444E-2</v>
      </c>
    </row>
    <row r="867" spans="1:2">
      <c r="A867">
        <v>8.6580000000000004E-2</v>
      </c>
      <c r="B867">
        <v>4.478E-2</v>
      </c>
    </row>
    <row r="868" spans="1:2">
      <c r="A868">
        <v>7.7439999999999995E-2</v>
      </c>
      <c r="B868">
        <v>4.3319999999999997E-2</v>
      </c>
    </row>
    <row r="869" spans="1:2">
      <c r="A869">
        <v>5.6759999999999998E-2</v>
      </c>
      <c r="B869">
        <v>6.4740000000000006E-2</v>
      </c>
    </row>
    <row r="870" spans="1:2">
      <c r="A870">
        <v>4.011E-2</v>
      </c>
      <c r="B870">
        <v>3.6450000000000003E-2</v>
      </c>
    </row>
    <row r="871" spans="1:2">
      <c r="A871">
        <v>0.20843999999999999</v>
      </c>
      <c r="B871">
        <v>4.2819999999999997E-2</v>
      </c>
    </row>
    <row r="872" spans="1:2">
      <c r="A872">
        <v>9.0880000000000002E-2</v>
      </c>
      <c r="B872">
        <v>6.719E-2</v>
      </c>
    </row>
    <row r="873" spans="1:2">
      <c r="A873">
        <v>5.0549999999999998E-2</v>
      </c>
      <c r="B873">
        <v>5.2449999999999997E-2</v>
      </c>
    </row>
    <row r="874" spans="1:2">
      <c r="A874">
        <v>4.1340000000000002E-2</v>
      </c>
      <c r="B874">
        <v>6.4829999999999999E-2</v>
      </c>
    </row>
    <row r="875" spans="1:2">
      <c r="A875">
        <v>2.92E-2</v>
      </c>
      <c r="B875">
        <v>2.937E-2</v>
      </c>
    </row>
    <row r="876" spans="1:2">
      <c r="A876">
        <v>2.2970000000000001E-2</v>
      </c>
      <c r="B876">
        <v>5.2769999999999997E-2</v>
      </c>
    </row>
    <row r="877" spans="1:2">
      <c r="A877">
        <v>2.2579999999999999E-2</v>
      </c>
      <c r="B877">
        <v>4.0340000000000001E-2</v>
      </c>
    </row>
    <row r="878" spans="1:2">
      <c r="A878">
        <v>0.19250999999999999</v>
      </c>
      <c r="B878">
        <v>3.7589999999999998E-2</v>
      </c>
    </row>
    <row r="879" spans="1:2">
      <c r="A879">
        <v>0.13467999999999999</v>
      </c>
      <c r="B879">
        <v>4.036E-2</v>
      </c>
    </row>
    <row r="880" spans="1:2">
      <c r="A880">
        <v>7.7249999999999999E-2</v>
      </c>
      <c r="B880">
        <v>5.5219999999999998E-2</v>
      </c>
    </row>
    <row r="881" spans="1:2">
      <c r="A881">
        <v>2.7550000000000002E-2</v>
      </c>
      <c r="B881">
        <v>3.2989999999999998E-2</v>
      </c>
    </row>
    <row r="882" spans="1:2">
      <c r="A882">
        <v>2.205E-2</v>
      </c>
      <c r="B882">
        <v>7.0510000000000003E-2</v>
      </c>
    </row>
    <row r="883" spans="1:2">
      <c r="A883">
        <v>1.17E-2</v>
      </c>
      <c r="B883">
        <v>6.4850000000000005E-2</v>
      </c>
    </row>
    <row r="884" spans="1:2">
      <c r="A884">
        <v>0.26576</v>
      </c>
      <c r="B884">
        <v>6.6259999999999999E-2</v>
      </c>
    </row>
    <row r="885" spans="1:2">
      <c r="A885">
        <v>0.14574999999999999</v>
      </c>
      <c r="B885">
        <v>4.2849999999999999E-2</v>
      </c>
    </row>
    <row r="886" spans="1:2">
      <c r="A886">
        <v>0.11491999999999999</v>
      </c>
      <c r="B886">
        <v>5.4679999999999999E-2</v>
      </c>
    </row>
    <row r="887" spans="1:2">
      <c r="A887">
        <v>9.5490000000000005E-2</v>
      </c>
      <c r="B887">
        <v>4.4159999999999998E-2</v>
      </c>
    </row>
    <row r="888" spans="1:2">
      <c r="A888">
        <v>8.2100000000000006E-2</v>
      </c>
      <c r="B888">
        <v>7.9079999999999998E-2</v>
      </c>
    </row>
    <row r="889" spans="1:2">
      <c r="A889">
        <v>8.0810000000000007E-2</v>
      </c>
      <c r="B889">
        <v>8.2419999999999993E-2</v>
      </c>
    </row>
    <row r="890" spans="1:2">
      <c r="A890">
        <v>6.6710000000000005E-2</v>
      </c>
      <c r="B890">
        <v>9.7799999999999998E-2</v>
      </c>
    </row>
    <row r="891" spans="1:2">
      <c r="A891">
        <v>5.296E-2</v>
      </c>
      <c r="B891">
        <v>7.1459999999999996E-2</v>
      </c>
    </row>
    <row r="892" spans="1:2">
      <c r="A892">
        <v>4.777E-2</v>
      </c>
      <c r="B892">
        <v>3.0980000000000001E-2</v>
      </c>
    </row>
    <row r="893" spans="1:2">
      <c r="A893">
        <v>4.326E-2</v>
      </c>
      <c r="B893">
        <v>3.6400000000000002E-2</v>
      </c>
    </row>
    <row r="894" spans="1:2">
      <c r="A894">
        <v>0.41359000000000001</v>
      </c>
      <c r="B894">
        <v>5.706E-2</v>
      </c>
    </row>
    <row r="895" spans="1:2">
      <c r="A895">
        <v>0.21382000000000001</v>
      </c>
      <c r="B895">
        <v>4.7960000000000003E-2</v>
      </c>
    </row>
    <row r="896" spans="1:2">
      <c r="A896">
        <v>0.13747999999999999</v>
      </c>
      <c r="B896">
        <v>3.177E-2</v>
      </c>
    </row>
    <row r="897" spans="1:2">
      <c r="A897">
        <v>5.663E-2</v>
      </c>
      <c r="B897">
        <v>4.4249999999999998E-2</v>
      </c>
    </row>
    <row r="898" spans="1:2">
      <c r="A898">
        <v>1.6150000000000001E-2</v>
      </c>
      <c r="B898">
        <v>9.9580000000000002E-2</v>
      </c>
    </row>
    <row r="899" spans="1:2">
      <c r="A899">
        <v>0.12255000000000001</v>
      </c>
      <c r="B899">
        <v>3.2190000000000003E-2</v>
      </c>
    </row>
    <row r="900" spans="1:2">
      <c r="A900">
        <v>9.2960000000000001E-2</v>
      </c>
      <c r="B900">
        <v>0.11913</v>
      </c>
    </row>
    <row r="901" spans="1:2">
      <c r="A901">
        <v>8.5989999999999997E-2</v>
      </c>
      <c r="B901">
        <v>5.7729999999999997E-2</v>
      </c>
    </row>
    <row r="902" spans="1:2">
      <c r="A902">
        <v>4.2119999999999998E-2</v>
      </c>
      <c r="B902">
        <v>6.6250000000000003E-2</v>
      </c>
    </row>
    <row r="903" spans="1:2">
      <c r="A903">
        <v>9.8600000000000007E-3</v>
      </c>
      <c r="B903">
        <v>0.1145</v>
      </c>
    </row>
    <row r="904" spans="1:2">
      <c r="A904">
        <v>0.21199000000000001</v>
      </c>
      <c r="B904">
        <v>6.8269999999999997E-2</v>
      </c>
    </row>
    <row r="905" spans="1:2">
      <c r="A905">
        <v>0.18073</v>
      </c>
      <c r="B905">
        <v>6.1550000000000001E-2</v>
      </c>
    </row>
    <row r="906" spans="1:2">
      <c r="A906">
        <v>9.4969999999999999E-2</v>
      </c>
      <c r="B906">
        <v>4.0649999999999999E-2</v>
      </c>
    </row>
    <row r="907" spans="1:2">
      <c r="A907">
        <v>7.5139999999999998E-2</v>
      </c>
      <c r="B907">
        <v>5.2900000000000003E-2</v>
      </c>
    </row>
    <row r="908" spans="1:2">
      <c r="A908">
        <v>2.137E-2</v>
      </c>
      <c r="B908">
        <v>4.7960000000000003E-2</v>
      </c>
    </row>
    <row r="909" spans="1:2">
      <c r="A909">
        <v>1.6830000000000001E-2</v>
      </c>
      <c r="B909">
        <v>3.3309999999999999E-2</v>
      </c>
    </row>
    <row r="910" spans="1:2">
      <c r="A910">
        <v>0.19983000000000001</v>
      </c>
      <c r="B910">
        <v>5.6840000000000002E-2</v>
      </c>
    </row>
    <row r="911" spans="1:2">
      <c r="A911">
        <v>0.13466</v>
      </c>
      <c r="B911">
        <v>3.619E-2</v>
      </c>
    </row>
    <row r="912" spans="1:2">
      <c r="A912">
        <v>9.2990000000000003E-2</v>
      </c>
      <c r="B912">
        <v>6.7000000000000004E-2</v>
      </c>
    </row>
    <row r="913" spans="1:2">
      <c r="A913">
        <v>5.3150000000000003E-2</v>
      </c>
      <c r="B913">
        <v>8.8249999999999995E-2</v>
      </c>
    </row>
    <row r="914" spans="1:2">
      <c r="A914">
        <v>4.82E-2</v>
      </c>
      <c r="B914">
        <v>3.4110000000000001E-2</v>
      </c>
    </row>
    <row r="915" spans="1:2">
      <c r="A915">
        <v>3.7350000000000001E-2</v>
      </c>
      <c r="B915">
        <v>7.6590000000000005E-2</v>
      </c>
    </row>
    <row r="916" spans="1:2">
      <c r="A916">
        <v>3.7159999999999999E-2</v>
      </c>
      <c r="B916">
        <v>6.5199999999999994E-2</v>
      </c>
    </row>
    <row r="917" spans="1:2">
      <c r="A917">
        <v>1.6729999999999998E-2</v>
      </c>
      <c r="B917">
        <v>2.3879999999999998E-2</v>
      </c>
    </row>
    <row r="918" spans="1:2">
      <c r="A918">
        <v>1.112E-2</v>
      </c>
      <c r="B918">
        <v>0.10471</v>
      </c>
    </row>
    <row r="919" spans="1:2">
      <c r="A919">
        <v>0.25557000000000002</v>
      </c>
      <c r="B919">
        <v>3.2849999999999997E-2</v>
      </c>
    </row>
    <row r="920" spans="1:2">
      <c r="A920">
        <v>0.21390999999999999</v>
      </c>
      <c r="B920">
        <v>6.0940000000000001E-2</v>
      </c>
    </row>
    <row r="921" spans="1:2">
      <c r="A921">
        <v>9.4939999999999997E-2</v>
      </c>
      <c r="B921">
        <v>5.1409999999999997E-2</v>
      </c>
    </row>
    <row r="922" spans="1:2">
      <c r="A922">
        <v>8.3519999999999997E-2</v>
      </c>
      <c r="B922">
        <v>2.2849999999999999E-2</v>
      </c>
    </row>
    <row r="923" spans="1:2">
      <c r="A923">
        <v>7.8659999999999994E-2</v>
      </c>
      <c r="B923">
        <v>5.4890000000000001E-2</v>
      </c>
    </row>
    <row r="924" spans="1:2">
      <c r="A924">
        <v>6.3070000000000001E-2</v>
      </c>
      <c r="B924">
        <v>5.4179999999999999E-2</v>
      </c>
    </row>
    <row r="925" spans="1:2">
      <c r="A925">
        <v>0.24593999999999999</v>
      </c>
      <c r="B925">
        <v>4.2130000000000001E-2</v>
      </c>
    </row>
    <row r="926" spans="1:2">
      <c r="A926">
        <v>8.1519999999999995E-2</v>
      </c>
      <c r="B926">
        <v>7.0069999999999993E-2</v>
      </c>
    </row>
    <row r="927" spans="1:2">
      <c r="A927">
        <v>7.4889999999999998E-2</v>
      </c>
      <c r="B927">
        <v>5.6520000000000001E-2</v>
      </c>
    </row>
    <row r="928" spans="1:2">
      <c r="A928">
        <v>4.3869999999999999E-2</v>
      </c>
      <c r="B928">
        <v>3.8210000000000001E-2</v>
      </c>
    </row>
    <row r="929" spans="1:2">
      <c r="A929">
        <v>3.6229999999999998E-2</v>
      </c>
      <c r="B929">
        <v>3.0949999999999998E-2</v>
      </c>
    </row>
    <row r="930" spans="1:2">
      <c r="A930">
        <v>6.6570000000000004E-2</v>
      </c>
      <c r="B930">
        <v>9.5880000000000007E-2</v>
      </c>
    </row>
    <row r="931" spans="1:2">
      <c r="A931">
        <v>4.3810000000000002E-2</v>
      </c>
      <c r="B931">
        <v>3.5180000000000003E-2</v>
      </c>
    </row>
    <row r="932" spans="1:2">
      <c r="A932">
        <v>3.456E-2</v>
      </c>
      <c r="B932">
        <v>0.14817</v>
      </c>
    </row>
    <row r="933" spans="1:2">
      <c r="A933">
        <v>4.6920000000000003E-2</v>
      </c>
      <c r="B933">
        <v>6.651E-2</v>
      </c>
    </row>
    <row r="934" spans="1:2">
      <c r="A934">
        <v>4.6120000000000001E-2</v>
      </c>
      <c r="B934">
        <v>7.4899999999999994E-2</v>
      </c>
    </row>
    <row r="935" spans="1:2">
      <c r="A935">
        <v>7.1799999999999998E-3</v>
      </c>
      <c r="B935">
        <v>3.9239999999999997E-2</v>
      </c>
    </row>
    <row r="936" spans="1:2">
      <c r="A936">
        <v>4.6800000000000001E-3</v>
      </c>
      <c r="B936">
        <v>0.11028</v>
      </c>
    </row>
    <row r="937" spans="1:2">
      <c r="A937">
        <v>0.19796</v>
      </c>
      <c r="B937">
        <v>3.6179999999999997E-2</v>
      </c>
    </row>
    <row r="938" spans="1:2">
      <c r="A938">
        <v>0.18506</v>
      </c>
      <c r="B938">
        <v>3.6880000000000003E-2</v>
      </c>
    </row>
    <row r="939" spans="1:2">
      <c r="A939">
        <v>7.3289999999999994E-2</v>
      </c>
      <c r="B939">
        <v>9.4259999999999997E-2</v>
      </c>
    </row>
    <row r="940" spans="1:2">
      <c r="A940">
        <v>0.35693000000000003</v>
      </c>
      <c r="B940">
        <v>1.9779999999999999E-2</v>
      </c>
    </row>
    <row r="941" spans="1:2">
      <c r="A941">
        <v>0.18323999999999999</v>
      </c>
      <c r="B941">
        <v>8.6610000000000006E-2</v>
      </c>
    </row>
    <row r="942" spans="1:2">
      <c r="A942">
        <v>6.9889999999999994E-2</v>
      </c>
      <c r="B942">
        <v>4.3790000000000003E-2</v>
      </c>
    </row>
    <row r="943" spans="1:2">
      <c r="A943">
        <v>6.9650000000000004E-2</v>
      </c>
      <c r="B943">
        <v>4.5019999999999998E-2</v>
      </c>
    </row>
    <row r="944" spans="1:2">
      <c r="A944">
        <v>6.3549999999999995E-2</v>
      </c>
      <c r="B944">
        <v>4.3619999999999999E-2</v>
      </c>
    </row>
    <row r="945" spans="1:2">
      <c r="A945">
        <v>4.8030000000000003E-2</v>
      </c>
      <c r="B945">
        <v>3.6609999999999997E-2</v>
      </c>
    </row>
    <row r="946" spans="1:2">
      <c r="A946">
        <v>1.925E-2</v>
      </c>
      <c r="B946">
        <v>5.2310000000000002E-2</v>
      </c>
    </row>
    <row r="947" spans="1:2">
      <c r="A947">
        <v>1.0529999999999999E-2</v>
      </c>
      <c r="B947">
        <v>2.3869999999999999E-2</v>
      </c>
    </row>
    <row r="948" spans="1:2">
      <c r="A948">
        <v>0.37132999999999999</v>
      </c>
      <c r="B948">
        <v>5.2310000000000002E-2</v>
      </c>
    </row>
    <row r="949" spans="1:2">
      <c r="A949">
        <v>0.36397000000000002</v>
      </c>
      <c r="B949">
        <v>3.533E-2</v>
      </c>
    </row>
    <row r="950" spans="1:2">
      <c r="A950">
        <v>0.21815999999999999</v>
      </c>
      <c r="B950">
        <v>8.0439999999999998E-2</v>
      </c>
    </row>
    <row r="951" spans="1:2">
      <c r="A951">
        <v>0.19506999999999999</v>
      </c>
      <c r="B951">
        <v>3.0450000000000001E-2</v>
      </c>
    </row>
    <row r="952" spans="1:2">
      <c r="A952">
        <v>0.1578</v>
      </c>
      <c r="B952">
        <v>2.3539999999999998E-2</v>
      </c>
    </row>
    <row r="953" spans="1:2">
      <c r="A953">
        <v>0.14810999999999999</v>
      </c>
      <c r="B953">
        <v>6.1830000000000003E-2</v>
      </c>
    </row>
    <row r="954" spans="1:2">
      <c r="A954">
        <v>0.10986</v>
      </c>
      <c r="B954">
        <v>4.521E-2</v>
      </c>
    </row>
    <row r="955" spans="1:2">
      <c r="A955">
        <v>4.1869999999999997E-2</v>
      </c>
      <c r="B955">
        <v>5.7729999999999997E-2</v>
      </c>
    </row>
    <row r="956" spans="1:2">
      <c r="A956">
        <v>0.17543</v>
      </c>
      <c r="B956">
        <v>3.8699999999999998E-2</v>
      </c>
    </row>
    <row r="957" spans="1:2">
      <c r="A957">
        <v>0.16789000000000001</v>
      </c>
      <c r="B957">
        <v>4.4940000000000001E-2</v>
      </c>
    </row>
    <row r="958" spans="1:2">
      <c r="A958">
        <v>0.16335</v>
      </c>
      <c r="B958">
        <v>4.4909999999999999E-2</v>
      </c>
    </row>
    <row r="959" spans="1:2">
      <c r="A959">
        <v>0.15065000000000001</v>
      </c>
      <c r="B959">
        <v>2.393E-2</v>
      </c>
    </row>
    <row r="960" spans="1:2">
      <c r="A960">
        <v>0.10689</v>
      </c>
      <c r="B960">
        <v>6.7720000000000002E-2</v>
      </c>
    </row>
    <row r="961" spans="1:2">
      <c r="A961">
        <v>7.4190000000000006E-2</v>
      </c>
      <c r="B961">
        <v>5.3120000000000001E-2</v>
      </c>
    </row>
    <row r="962" spans="1:2">
      <c r="A962">
        <v>6.0909999999999999E-2</v>
      </c>
      <c r="B962">
        <v>3.209E-2</v>
      </c>
    </row>
    <row r="963" spans="1:2">
      <c r="A963">
        <v>0.15862000000000001</v>
      </c>
      <c r="B963">
        <v>5.2650000000000002E-2</v>
      </c>
    </row>
    <row r="964" spans="1:2">
      <c r="A964">
        <v>0.1052</v>
      </c>
      <c r="B964">
        <v>0.10238999999999999</v>
      </c>
    </row>
    <row r="965" spans="1:2">
      <c r="A965">
        <v>6.6449999999999995E-2</v>
      </c>
      <c r="B965">
        <v>5.2780000000000001E-2</v>
      </c>
    </row>
    <row r="966" spans="1:2">
      <c r="A966">
        <v>6.6210000000000005E-2</v>
      </c>
      <c r="B966">
        <v>5.4469999999999998E-2</v>
      </c>
    </row>
    <row r="967" spans="1:2">
      <c r="A967">
        <v>4.9860000000000002E-2</v>
      </c>
      <c r="B967">
        <v>3.6450000000000003E-2</v>
      </c>
    </row>
    <row r="968" spans="1:2">
      <c r="A968">
        <v>4.3459999999999999E-2</v>
      </c>
      <c r="B968">
        <v>8.7599999999999997E-2</v>
      </c>
    </row>
    <row r="969" spans="1:2">
      <c r="A969">
        <v>0.21235999999999999</v>
      </c>
      <c r="B969">
        <v>2.9870000000000001E-2</v>
      </c>
    </row>
    <row r="970" spans="1:2">
      <c r="A970">
        <v>0.17768</v>
      </c>
      <c r="B970">
        <v>5.7729999999999997E-2</v>
      </c>
    </row>
    <row r="971" spans="1:2">
      <c r="A971">
        <v>0.1668</v>
      </c>
      <c r="B971">
        <v>6.5570000000000003E-2</v>
      </c>
    </row>
    <row r="972" spans="1:2">
      <c r="A972">
        <v>0.12504999999999999</v>
      </c>
      <c r="B972">
        <v>5.1459999999999999E-2</v>
      </c>
    </row>
    <row r="973" spans="1:2">
      <c r="A973">
        <v>7.1080000000000004E-2</v>
      </c>
      <c r="B973">
        <v>7.2010000000000005E-2</v>
      </c>
    </row>
    <row r="974" spans="1:2">
      <c r="A974">
        <v>6.9419999999999996E-2</v>
      </c>
      <c r="B974">
        <v>5.1630000000000002E-2</v>
      </c>
    </row>
    <row r="975" spans="1:2">
      <c r="A975">
        <v>4.7570000000000001E-2</v>
      </c>
      <c r="B975">
        <v>3.4360000000000002E-2</v>
      </c>
    </row>
    <row r="976" spans="1:2">
      <c r="A976">
        <v>0.27782000000000001</v>
      </c>
      <c r="B976">
        <v>7.8589999999999993E-2</v>
      </c>
    </row>
    <row r="977" spans="1:2">
      <c r="A977">
        <v>0.18</v>
      </c>
      <c r="B977">
        <v>3.4819999999999997E-2</v>
      </c>
    </row>
    <row r="978" spans="1:2">
      <c r="A978">
        <v>0.1774</v>
      </c>
      <c r="B978">
        <v>5.8959999999999999E-2</v>
      </c>
    </row>
    <row r="979" spans="1:2">
      <c r="A979">
        <v>8.838E-2</v>
      </c>
      <c r="B979">
        <v>5.4940000000000003E-2</v>
      </c>
    </row>
    <row r="980" spans="1:2">
      <c r="A980">
        <v>6.4079999999999998E-2</v>
      </c>
      <c r="B980">
        <v>8.0369999999999997E-2</v>
      </c>
    </row>
    <row r="981" spans="1:2">
      <c r="A981">
        <v>6.2420000000000003E-2</v>
      </c>
      <c r="B981">
        <v>4.6339999999999999E-2</v>
      </c>
    </row>
    <row r="982" spans="1:2">
      <c r="A982">
        <v>2.3E-2</v>
      </c>
      <c r="B982">
        <v>3.8550000000000001E-2</v>
      </c>
    </row>
    <row r="983" spans="1:2">
      <c r="A983">
        <v>1.34E-2</v>
      </c>
      <c r="B983">
        <v>6.1249999999999999E-2</v>
      </c>
    </row>
    <row r="984" spans="1:2">
      <c r="A984">
        <v>1.1860000000000001E-2</v>
      </c>
      <c r="B984">
        <v>0.17954999999999999</v>
      </c>
    </row>
    <row r="985" spans="1:2">
      <c r="A985">
        <v>0.19725000000000001</v>
      </c>
      <c r="B985">
        <v>6.6430000000000003E-2</v>
      </c>
    </row>
    <row r="986" spans="1:2">
      <c r="A986">
        <v>7.374E-2</v>
      </c>
      <c r="B986">
        <v>6.225E-2</v>
      </c>
    </row>
    <row r="987" spans="1:2">
      <c r="A987">
        <v>4.1450000000000001E-2</v>
      </c>
      <c r="B987">
        <v>3.8179999999999999E-2</v>
      </c>
    </row>
    <row r="988" spans="1:2">
      <c r="A988">
        <v>2.7570000000000001E-2</v>
      </c>
      <c r="B988">
        <v>9.5229999999999995E-2</v>
      </c>
    </row>
    <row r="989" spans="1:2">
      <c r="A989">
        <v>9.1800000000000007E-3</v>
      </c>
      <c r="B989">
        <v>0.14873</v>
      </c>
    </row>
    <row r="990" spans="1:2">
      <c r="A990">
        <v>0.32440999999999998</v>
      </c>
      <c r="B990">
        <v>5.774E-2</v>
      </c>
    </row>
    <row r="991" spans="1:2">
      <c r="A991">
        <v>0.28362999999999999</v>
      </c>
      <c r="B991">
        <v>5.5399999999999998E-2</v>
      </c>
    </row>
    <row r="992" spans="1:2">
      <c r="A992">
        <v>0.13447000000000001</v>
      </c>
      <c r="B992">
        <v>0.10566</v>
      </c>
    </row>
    <row r="993" spans="1:2">
      <c r="A993">
        <v>0.12917000000000001</v>
      </c>
      <c r="B993">
        <v>5.0999999999999997E-2</v>
      </c>
    </row>
    <row r="994" spans="1:2">
      <c r="A994">
        <v>0.10507</v>
      </c>
      <c r="B994">
        <v>4.1549999999999997E-2</v>
      </c>
    </row>
    <row r="995" spans="1:2">
      <c r="A995">
        <v>0.10353999999999999</v>
      </c>
      <c r="B995">
        <v>8.5699999999999998E-2</v>
      </c>
    </row>
    <row r="996" spans="1:2">
      <c r="A996">
        <v>4.9029999999999997E-2</v>
      </c>
      <c r="B996">
        <v>2.1270000000000001E-2</v>
      </c>
    </row>
    <row r="997" spans="1:2">
      <c r="A997">
        <v>3.4079999999999999E-2</v>
      </c>
      <c r="B997">
        <v>4.4479999999999999E-2</v>
      </c>
    </row>
    <row r="998" spans="1:2">
      <c r="A998">
        <v>3.0000000000000001E-3</v>
      </c>
      <c r="B998">
        <v>3.9719999999999998E-2</v>
      </c>
    </row>
    <row r="999" spans="1:2">
      <c r="A999">
        <v>0.11282</v>
      </c>
      <c r="B999">
        <v>3.968E-2</v>
      </c>
    </row>
    <row r="1000" spans="1:2">
      <c r="A1000">
        <v>9.0490000000000001E-2</v>
      </c>
      <c r="B1000">
        <v>8.0030000000000004E-2</v>
      </c>
    </row>
    <row r="1001" spans="1:2">
      <c r="A1001">
        <v>7.6520000000000005E-2</v>
      </c>
      <c r="B1001">
        <v>4.8980000000000003E-2</v>
      </c>
    </row>
    <row r="1002" spans="1:2">
      <c r="A1002">
        <v>4.0070000000000001E-2</v>
      </c>
      <c r="B1002">
        <v>3.1800000000000002E-2</v>
      </c>
    </row>
    <row r="1003" spans="1:2">
      <c r="A1003">
        <v>0</v>
      </c>
      <c r="B1003">
        <v>7.0209999999999995E-2</v>
      </c>
    </row>
    <row r="1004" spans="1:2">
      <c r="A1004">
        <v>0.64078000000000002</v>
      </c>
      <c r="B1004">
        <v>1.515E-2</v>
      </c>
    </row>
    <row r="1005" spans="1:2">
      <c r="A1005">
        <v>0.17799000000000001</v>
      </c>
      <c r="B1005">
        <v>3.8269999999999998E-2</v>
      </c>
    </row>
    <row r="1006" spans="1:2">
      <c r="A1006">
        <v>0.17693999999999999</v>
      </c>
      <c r="B1006">
        <v>9.6879999999999994E-2</v>
      </c>
    </row>
    <row r="1007" spans="1:2">
      <c r="A1007">
        <v>0.12565000000000001</v>
      </c>
      <c r="B1007">
        <v>3.4970000000000001E-2</v>
      </c>
    </row>
    <row r="1008" spans="1:2">
      <c r="A1008">
        <v>0.11475</v>
      </c>
      <c r="B1008">
        <v>3.8920000000000003E-2</v>
      </c>
    </row>
    <row r="1009" spans="1:2">
      <c r="A1009">
        <v>9.2189999999999994E-2</v>
      </c>
      <c r="B1009">
        <v>4.7600000000000003E-2</v>
      </c>
    </row>
    <row r="1010" spans="1:2">
      <c r="A1010">
        <v>8.097E-2</v>
      </c>
      <c r="B1010">
        <v>4.2770000000000002E-2</v>
      </c>
    </row>
    <row r="1011" spans="1:2">
      <c r="A1011">
        <v>3.8510000000000003E-2</v>
      </c>
      <c r="B1011">
        <v>5.8360000000000002E-2</v>
      </c>
    </row>
    <row r="1012" spans="1:2">
      <c r="A1012">
        <v>2.896E-2</v>
      </c>
      <c r="B1012">
        <v>7.102E-2</v>
      </c>
    </row>
    <row r="1013" spans="1:2">
      <c r="A1013">
        <v>0.17899000000000001</v>
      </c>
      <c r="B1013">
        <v>3.9949999999999999E-2</v>
      </c>
    </row>
    <row r="1014" spans="1:2">
      <c r="A1014">
        <v>0.13292000000000001</v>
      </c>
      <c r="B1014">
        <v>7.4899999999999994E-2</v>
      </c>
    </row>
    <row r="1015" spans="1:2">
      <c r="A1015">
        <v>6.4390000000000003E-2</v>
      </c>
      <c r="B1015">
        <v>5.237E-2</v>
      </c>
    </row>
    <row r="1016" spans="1:2">
      <c r="A1016">
        <v>1.179E-2</v>
      </c>
      <c r="B1016">
        <v>4.6580000000000003E-2</v>
      </c>
    </row>
    <row r="1017" spans="1:2">
      <c r="A1017">
        <v>1.1089999999999999E-2</v>
      </c>
      <c r="B1017">
        <v>5.7579999999999999E-2</v>
      </c>
    </row>
    <row r="1018" spans="1:2">
      <c r="A1018">
        <v>0.33722000000000002</v>
      </c>
    </row>
    <row r="1019" spans="1:2">
      <c r="A1019">
        <v>4.6949999999999999E-2</v>
      </c>
    </row>
    <row r="1020" spans="1:2">
      <c r="A1020">
        <v>1.362E-2</v>
      </c>
    </row>
    <row r="1021" spans="1:2">
      <c r="A1021">
        <v>0.18490000000000001</v>
      </c>
    </row>
    <row r="1022" spans="1:2">
      <c r="A1022">
        <v>0.12238</v>
      </c>
    </row>
    <row r="1023" spans="1:2">
      <c r="A1023">
        <v>8.7900000000000006E-2</v>
      </c>
    </row>
    <row r="1024" spans="1:2">
      <c r="A1024">
        <v>7.4649999999999994E-2</v>
      </c>
    </row>
    <row r="1025" spans="1:1">
      <c r="A1025">
        <v>5.9409999999999998E-2</v>
      </c>
    </row>
    <row r="1026" spans="1:1">
      <c r="A1026">
        <v>0.34501999999999999</v>
      </c>
    </row>
    <row r="1027" spans="1:1">
      <c r="A1027">
        <v>0.12427000000000001</v>
      </c>
    </row>
    <row r="1028" spans="1:1">
      <c r="A1028">
        <v>9.0340000000000004E-2</v>
      </c>
    </row>
    <row r="1029" spans="1:1">
      <c r="A1029">
        <v>8.1659999999999996E-2</v>
      </c>
    </row>
    <row r="1030" spans="1:1">
      <c r="A1030">
        <v>6.7879999999999996E-2</v>
      </c>
    </row>
    <row r="1031" spans="1:1">
      <c r="A1031">
        <v>6.1940000000000002E-2</v>
      </c>
    </row>
    <row r="1032" spans="1:1">
      <c r="A1032">
        <v>6.0560000000000003E-2</v>
      </c>
    </row>
    <row r="1033" spans="1:1">
      <c r="A1033">
        <v>4.1480000000000003E-2</v>
      </c>
    </row>
    <row r="1034" spans="1:1">
      <c r="A1034">
        <v>2.4740000000000002E-2</v>
      </c>
    </row>
    <row r="1035" spans="1:1">
      <c r="A1035">
        <v>1.494E-2</v>
      </c>
    </row>
    <row r="1036" spans="1:1">
      <c r="A1036">
        <v>0.15758</v>
      </c>
    </row>
    <row r="1037" spans="1:1">
      <c r="A1037">
        <v>9.4460000000000002E-2</v>
      </c>
    </row>
    <row r="1038" spans="1:1">
      <c r="A1038">
        <v>5.7320000000000003E-2</v>
      </c>
    </row>
    <row r="1039" spans="1:1">
      <c r="A1039">
        <v>4.2709999999999998E-2</v>
      </c>
    </row>
    <row r="1040" spans="1:1">
      <c r="A1040">
        <v>2.1669999999999998E-2</v>
      </c>
    </row>
    <row r="1041" spans="1:1">
      <c r="A1041">
        <v>3.8400000000000001E-3</v>
      </c>
    </row>
    <row r="1042" spans="1:1">
      <c r="A1042">
        <v>0.13178999999999999</v>
      </c>
    </row>
    <row r="1043" spans="1:1">
      <c r="A1043">
        <v>0.12906000000000001</v>
      </c>
    </row>
    <row r="1044" spans="1:1">
      <c r="A1044">
        <v>4.931E-2</v>
      </c>
    </row>
    <row r="1045" spans="1:1">
      <c r="A1045">
        <v>4.4089999999999997E-2</v>
      </c>
    </row>
    <row r="1046" spans="1:1">
      <c r="A1046">
        <v>3.5400000000000001E-2</v>
      </c>
    </row>
    <row r="1047" spans="1:1">
      <c r="A1047">
        <v>3.3529999999999997E-2</v>
      </c>
    </row>
    <row r="1048" spans="1:1">
      <c r="A1048">
        <v>2.1059999999999999E-2</v>
      </c>
    </row>
    <row r="1049" spans="1:1">
      <c r="A1049">
        <v>0.16563</v>
      </c>
    </row>
    <row r="1050" spans="1:1">
      <c r="A1050">
        <v>0.11053</v>
      </c>
    </row>
    <row r="1051" spans="1:1">
      <c r="A1051">
        <v>7.7329999999999996E-2</v>
      </c>
    </row>
    <row r="1052" spans="1:1">
      <c r="A1052">
        <v>5.9270000000000003E-2</v>
      </c>
    </row>
    <row r="1053" spans="1:1">
      <c r="A1053">
        <v>4.0890000000000003E-2</v>
      </c>
    </row>
    <row r="1054" spans="1:1">
      <c r="A1054">
        <v>0.18912000000000001</v>
      </c>
    </row>
    <row r="1055" spans="1:1">
      <c r="A1055">
        <v>6.9830000000000003E-2</v>
      </c>
    </row>
    <row r="1056" spans="1:1">
      <c r="A1056">
        <v>5.4620000000000002E-2</v>
      </c>
    </row>
    <row r="1057" spans="1:1">
      <c r="A1057">
        <v>4.6489999999999997E-2</v>
      </c>
    </row>
    <row r="1058" spans="1:1">
      <c r="A1058">
        <v>3.0700000000000002E-2</v>
      </c>
    </row>
    <row r="1059" spans="1:1">
      <c r="A1059">
        <v>1.486E-2</v>
      </c>
    </row>
    <row r="1060" spans="1:1">
      <c r="A1060">
        <v>1.431E-2</v>
      </c>
    </row>
    <row r="1061" spans="1:1">
      <c r="A1061">
        <v>0.12227</v>
      </c>
    </row>
    <row r="1062" spans="1:1">
      <c r="A1062">
        <v>9.3310000000000004E-2</v>
      </c>
    </row>
    <row r="1063" spans="1:1">
      <c r="A1063">
        <v>9.178E-2</v>
      </c>
    </row>
    <row r="1064" spans="1:1">
      <c r="A1064">
        <v>4.0620000000000003E-2</v>
      </c>
    </row>
    <row r="1065" spans="1:1">
      <c r="A1065">
        <v>0.21926000000000001</v>
      </c>
    </row>
    <row r="1066" spans="1:1">
      <c r="A1066">
        <v>0.12837000000000001</v>
      </c>
    </row>
    <row r="1067" spans="1:1">
      <c r="A1067">
        <v>6.6879999999999995E-2</v>
      </c>
    </row>
    <row r="1068" spans="1:1">
      <c r="A1068">
        <v>6.4159999999999995E-2</v>
      </c>
    </row>
    <row r="1069" spans="1:1">
      <c r="A1069">
        <v>6.2530000000000002E-2</v>
      </c>
    </row>
    <row r="1070" spans="1:1">
      <c r="A1070">
        <v>7.0900000000000005E-2</v>
      </c>
    </row>
    <row r="1071" spans="1:1">
      <c r="A1071">
        <v>6.3380000000000006E-2</v>
      </c>
    </row>
    <row r="1072" spans="1:1">
      <c r="A1072">
        <v>4.8779999999999997E-2</v>
      </c>
    </row>
    <row r="1073" spans="1:1">
      <c r="A1073">
        <v>4.7570000000000001E-2</v>
      </c>
    </row>
    <row r="1074" spans="1:1">
      <c r="A1074">
        <v>3.8449999999999998E-2</v>
      </c>
    </row>
    <row r="1075" spans="1:1">
      <c r="A1075">
        <v>0</v>
      </c>
    </row>
    <row r="1076" spans="1:1">
      <c r="A1076">
        <v>0.24661</v>
      </c>
    </row>
    <row r="1077" spans="1:1">
      <c r="A1077">
        <v>0.19195000000000001</v>
      </c>
    </row>
    <row r="1078" spans="1:1">
      <c r="A1078">
        <v>0.13847000000000001</v>
      </c>
    </row>
    <row r="1079" spans="1:1">
      <c r="A1079">
        <v>0.12694</v>
      </c>
    </row>
    <row r="1080" spans="1:1">
      <c r="A1080">
        <v>9.5799999999999996E-2</v>
      </c>
    </row>
    <row r="1081" spans="1:1">
      <c r="A1081">
        <v>8.4360000000000004E-2</v>
      </c>
    </row>
    <row r="1082" spans="1:1">
      <c r="A1082">
        <v>2.4490000000000001E-2</v>
      </c>
    </row>
    <row r="1083" spans="1:1">
      <c r="A1083">
        <v>2.351E-2</v>
      </c>
    </row>
    <row r="1084" spans="1:1">
      <c r="A1084">
        <v>0.26872000000000001</v>
      </c>
    </row>
    <row r="1085" spans="1:1">
      <c r="A1085">
        <v>0.20093</v>
      </c>
    </row>
    <row r="1086" spans="1:1">
      <c r="A1086">
        <v>0.17763000000000001</v>
      </c>
    </row>
    <row r="1087" spans="1:1">
      <c r="A1087">
        <v>0.15715999999999999</v>
      </c>
    </row>
    <row r="1088" spans="1:1">
      <c r="A1088">
        <v>0.13636999999999999</v>
      </c>
    </row>
    <row r="1089" spans="1:1">
      <c r="A1089">
        <v>0.1017</v>
      </c>
    </row>
    <row r="1090" spans="1:1">
      <c r="A1090">
        <v>9.7100000000000006E-2</v>
      </c>
    </row>
    <row r="1091" spans="1:1">
      <c r="A1091">
        <v>9.4789999999999999E-2</v>
      </c>
    </row>
    <row r="1092" spans="1:1">
      <c r="A1092">
        <v>9.3679999999999999E-2</v>
      </c>
    </row>
    <row r="1093" spans="1:1">
      <c r="A1093">
        <v>9.2499999999999999E-2</v>
      </c>
    </row>
    <row r="1094" spans="1:1">
      <c r="A1094">
        <v>5.9589999999999997E-2</v>
      </c>
    </row>
    <row r="1095" spans="1:1">
      <c r="A1095">
        <v>5.3800000000000001E-2</v>
      </c>
    </row>
    <row r="1096" spans="1:1">
      <c r="A1096">
        <v>3.0929999999999999E-2</v>
      </c>
    </row>
    <row r="1097" spans="1:1">
      <c r="A1097">
        <v>0.29024</v>
      </c>
    </row>
    <row r="1098" spans="1:1">
      <c r="A1098">
        <v>0.14996999999999999</v>
      </c>
    </row>
    <row r="1099" spans="1:1">
      <c r="A1099">
        <v>9.7430000000000003E-2</v>
      </c>
    </row>
    <row r="1100" spans="1:1">
      <c r="A1100">
        <v>4.7960000000000003E-2</v>
      </c>
    </row>
    <row r="1101" spans="1:1">
      <c r="A1101">
        <v>4.632E-2</v>
      </c>
    </row>
    <row r="1102" spans="1:1">
      <c r="A1102">
        <v>3.3919999999999999E-2</v>
      </c>
    </row>
    <row r="1103" spans="1:1">
      <c r="A1103">
        <v>3.0040000000000001E-2</v>
      </c>
    </row>
    <row r="1104" spans="1:1">
      <c r="A1104">
        <v>0.30453000000000002</v>
      </c>
    </row>
    <row r="1105" spans="1:1">
      <c r="A1105">
        <v>0.21390000000000001</v>
      </c>
    </row>
    <row r="1106" spans="1:1">
      <c r="A1106">
        <v>0.16592999999999999</v>
      </c>
    </row>
    <row r="1107" spans="1:1">
      <c r="A1107">
        <v>0.16392999999999999</v>
      </c>
    </row>
    <row r="1108" spans="1:1">
      <c r="A1108">
        <v>0.14488000000000001</v>
      </c>
    </row>
    <row r="1109" spans="1:1">
      <c r="A1109">
        <v>8.3529999999999993E-2</v>
      </c>
    </row>
    <row r="1110" spans="1:1">
      <c r="A1110">
        <v>3.619E-2</v>
      </c>
    </row>
    <row r="1111" spans="1:1">
      <c r="A1111">
        <v>0.20594999999999999</v>
      </c>
    </row>
    <row r="1112" spans="1:1">
      <c r="A1112">
        <v>0.14741000000000001</v>
      </c>
    </row>
    <row r="1113" spans="1:1">
      <c r="A1113">
        <v>9.8890000000000006E-2</v>
      </c>
    </row>
    <row r="1114" spans="1:1">
      <c r="A1114">
        <v>8.8830000000000006E-2</v>
      </c>
    </row>
    <row r="1115" spans="1:1">
      <c r="A1115">
        <v>6.2619999999999995E-2</v>
      </c>
    </row>
    <row r="1116" spans="1:1">
      <c r="A1116">
        <v>5.1479999999999998E-2</v>
      </c>
    </row>
    <row r="1117" spans="1:1">
      <c r="A1117">
        <v>4.8890000000000003E-2</v>
      </c>
    </row>
    <row r="1118" spans="1:1">
      <c r="A1118">
        <v>3.8240000000000003E-2</v>
      </c>
    </row>
    <row r="1119" spans="1:1">
      <c r="A1119">
        <v>4.2199999999999998E-3</v>
      </c>
    </row>
    <row r="1120" spans="1:1">
      <c r="A1120">
        <v>0.27526</v>
      </c>
    </row>
    <row r="1121" spans="1:1">
      <c r="A1121">
        <v>0.17348</v>
      </c>
    </row>
    <row r="1122" spans="1:1">
      <c r="A1122">
        <v>0.16214000000000001</v>
      </c>
    </row>
    <row r="1123" spans="1:1">
      <c r="A1123">
        <v>5.364E-2</v>
      </c>
    </row>
    <row r="1124" spans="1:1">
      <c r="A1124">
        <v>0.63807999999999998</v>
      </c>
    </row>
    <row r="1125" spans="1:1">
      <c r="A1125">
        <v>0.13663</v>
      </c>
    </row>
    <row r="1126" spans="1:1">
      <c r="A1126">
        <v>0.10904</v>
      </c>
    </row>
    <row r="1127" spans="1:1">
      <c r="A1127">
        <v>0.10455</v>
      </c>
    </row>
    <row r="1128" spans="1:1">
      <c r="A1128">
        <v>0.10299999999999999</v>
      </c>
    </row>
    <row r="1129" spans="1:1">
      <c r="A1129">
        <v>6.7930000000000004E-2</v>
      </c>
    </row>
    <row r="1130" spans="1:1">
      <c r="A1130">
        <v>6.1559999999999997E-2</v>
      </c>
    </row>
    <row r="1131" spans="1:1">
      <c r="A1131">
        <v>5.8130000000000001E-2</v>
      </c>
    </row>
    <row r="1132" spans="1:1">
      <c r="A1132">
        <v>1.9959999999999999E-2</v>
      </c>
    </row>
    <row r="1133" spans="1:1">
      <c r="A1133">
        <v>1.2370000000000001E-2</v>
      </c>
    </row>
    <row r="1134" spans="1:1">
      <c r="A1134">
        <v>8.7299999999999999E-3</v>
      </c>
    </row>
    <row r="1135" spans="1:1">
      <c r="A1135">
        <v>0.22422</v>
      </c>
    </row>
    <row r="1136" spans="1:1">
      <c r="A1136">
        <v>0.13019</v>
      </c>
    </row>
    <row r="1137" spans="1:1">
      <c r="A1137">
        <v>0.12105</v>
      </c>
    </row>
    <row r="1138" spans="1:1">
      <c r="A1138">
        <v>9.6430000000000002E-2</v>
      </c>
    </row>
    <row r="1139" spans="1:1">
      <c r="A1139">
        <v>3.3050000000000003E-2</v>
      </c>
    </row>
    <row r="1140" spans="1:1">
      <c r="A1140">
        <v>2.4840000000000001E-2</v>
      </c>
    </row>
    <row r="1141" spans="1:1">
      <c r="A1141">
        <v>0.16087000000000001</v>
      </c>
    </row>
    <row r="1142" spans="1:1">
      <c r="A1142">
        <v>8.0799999999999997E-2</v>
      </c>
    </row>
    <row r="1143" spans="1:1">
      <c r="A1143">
        <v>7.8539999999999999E-2</v>
      </c>
    </row>
    <row r="1144" spans="1:1">
      <c r="A1144">
        <v>3.4810000000000001E-2</v>
      </c>
    </row>
    <row r="1145" spans="1:1">
      <c r="A1145">
        <v>2.1729999999999999E-2</v>
      </c>
    </row>
    <row r="1146" spans="1:1">
      <c r="A1146">
        <v>2.1069999999999998E-2</v>
      </c>
    </row>
    <row r="1147" spans="1:1">
      <c r="A1147">
        <v>6.6049999999999998E-2</v>
      </c>
    </row>
    <row r="1148" spans="1:1">
      <c r="A1148">
        <v>0.24129999999999999</v>
      </c>
    </row>
    <row r="1149" spans="1:1">
      <c r="A1149">
        <v>0.23324</v>
      </c>
    </row>
    <row r="1150" spans="1:1">
      <c r="A1150">
        <v>0.16625999999999999</v>
      </c>
    </row>
    <row r="1151" spans="1:1">
      <c r="A1151">
        <v>0.1429</v>
      </c>
    </row>
    <row r="1152" spans="1:1">
      <c r="A1152">
        <v>9.9690000000000001E-2</v>
      </c>
    </row>
    <row r="1153" spans="1:1">
      <c r="A1153">
        <v>4.3900000000000002E-2</v>
      </c>
    </row>
    <row r="1154" spans="1:1">
      <c r="A1154">
        <v>2.4629999999999999E-2</v>
      </c>
    </row>
    <row r="1155" spans="1:1">
      <c r="A1155">
        <v>8.2699999999999996E-3</v>
      </c>
    </row>
    <row r="1156" spans="1:1">
      <c r="A1156">
        <v>7.3000000000000001E-3</v>
      </c>
    </row>
    <row r="1157" spans="1:1">
      <c r="A1157">
        <v>5.9500000000000004E-3</v>
      </c>
    </row>
    <row r="1158" spans="1:1">
      <c r="A1158">
        <v>0.12559999999999999</v>
      </c>
    </row>
    <row r="1159" spans="1:1">
      <c r="A1159">
        <v>0.10902000000000001</v>
      </c>
    </row>
    <row r="1160" spans="1:1">
      <c r="A1160">
        <v>7.3109999999999994E-2</v>
      </c>
    </row>
    <row r="1161" spans="1:1">
      <c r="A1161">
        <v>5.8840000000000003E-2</v>
      </c>
    </row>
    <row r="1162" spans="1:1">
      <c r="A1162">
        <v>1.205E-2</v>
      </c>
    </row>
    <row r="1163" spans="1:1">
      <c r="A1163">
        <v>0.18686</v>
      </c>
    </row>
    <row r="1164" spans="1:1">
      <c r="A1164">
        <v>0.15654000000000001</v>
      </c>
    </row>
    <row r="1165" spans="1:1">
      <c r="A1165">
        <v>0.11384</v>
      </c>
    </row>
    <row r="1166" spans="1:1">
      <c r="A1166">
        <v>9.5000000000000001E-2</v>
      </c>
    </row>
    <row r="1167" spans="1:1">
      <c r="A1167">
        <v>6.8610000000000004E-2</v>
      </c>
    </row>
    <row r="1168" spans="1:1">
      <c r="A1168">
        <v>6.4399999999999999E-2</v>
      </c>
    </row>
    <row r="1169" spans="1:1">
      <c r="A1169">
        <v>1.6410000000000001E-2</v>
      </c>
    </row>
    <row r="1170" spans="1:1">
      <c r="A1170">
        <v>0.28853000000000001</v>
      </c>
    </row>
    <row r="1171" spans="1:1">
      <c r="A1171">
        <v>9.0719999999999995E-2</v>
      </c>
    </row>
    <row r="1172" spans="1:1">
      <c r="A1172">
        <v>6.719E-2</v>
      </c>
    </row>
    <row r="1173" spans="1:1">
      <c r="A1173">
        <v>5.6980000000000003E-2</v>
      </c>
    </row>
    <row r="1174" spans="1:1">
      <c r="A1174">
        <v>5.0930000000000003E-2</v>
      </c>
    </row>
    <row r="1175" spans="1:1">
      <c r="A1175">
        <v>3.1780000000000003E-2</v>
      </c>
    </row>
    <row r="1176" spans="1:1">
      <c r="A1176">
        <v>0.10092</v>
      </c>
    </row>
    <row r="1177" spans="1:1">
      <c r="A1177">
        <v>9.8129999999999995E-2</v>
      </c>
    </row>
    <row r="1178" spans="1:1">
      <c r="A1178">
        <v>4.165E-2</v>
      </c>
    </row>
    <row r="1179" spans="1:1">
      <c r="A1179">
        <v>3.8460000000000001E-2</v>
      </c>
    </row>
    <row r="1180" spans="1:1">
      <c r="A1180">
        <v>2.7539999999999999E-2</v>
      </c>
    </row>
    <row r="1181" spans="1:1">
      <c r="A1181">
        <v>0</v>
      </c>
    </row>
    <row r="1182" spans="1:1">
      <c r="A1182">
        <v>0.38357999999999998</v>
      </c>
    </row>
    <row r="1183" spans="1:1">
      <c r="A1183">
        <v>0.2828</v>
      </c>
    </row>
    <row r="1184" spans="1:1">
      <c r="A1184">
        <v>0.17319999999999999</v>
      </c>
    </row>
    <row r="1185" spans="1:1">
      <c r="A1185">
        <v>0.13613</v>
      </c>
    </row>
    <row r="1186" spans="1:1">
      <c r="A1186">
        <v>0.12161</v>
      </c>
    </row>
    <row r="1187" spans="1:1">
      <c r="A1187">
        <v>7.4130000000000001E-2</v>
      </c>
    </row>
    <row r="1188" spans="1:1">
      <c r="A1188">
        <v>4.4670000000000001E-2</v>
      </c>
    </row>
    <row r="1189" spans="1:1">
      <c r="A1189">
        <v>2.7019999999999999E-2</v>
      </c>
    </row>
    <row r="1190" spans="1:1">
      <c r="A1190">
        <v>2.6970000000000001E-2</v>
      </c>
    </row>
    <row r="1191" spans="1:1">
      <c r="A1191">
        <v>5.0899999999999999E-3</v>
      </c>
    </row>
    <row r="1192" spans="1:1">
      <c r="A1192">
        <v>0.16744000000000001</v>
      </c>
    </row>
    <row r="1193" spans="1:1">
      <c r="A1193">
        <v>0.13705999999999999</v>
      </c>
    </row>
    <row r="1194" spans="1:1">
      <c r="A1194">
        <v>6.5939999999999999E-2</v>
      </c>
    </row>
    <row r="1195" spans="1:1">
      <c r="A1195">
        <v>5.919E-2</v>
      </c>
    </row>
    <row r="1196" spans="1:1">
      <c r="A1196">
        <v>4.6649999999999997E-2</v>
      </c>
    </row>
    <row r="1197" spans="1:1">
      <c r="A1197">
        <v>0.12664</v>
      </c>
    </row>
    <row r="1198" spans="1:1">
      <c r="A1198">
        <v>9.0260000000000007E-2</v>
      </c>
    </row>
    <row r="1199" spans="1:1">
      <c r="A1199">
        <v>7.9089999999999994E-2</v>
      </c>
    </row>
    <row r="1200" spans="1:1">
      <c r="A1200">
        <v>5.9810000000000002E-2</v>
      </c>
    </row>
    <row r="1201" spans="1:1">
      <c r="A1201">
        <v>2.6700000000000002E-2</v>
      </c>
    </row>
    <row r="1202" spans="1:1">
      <c r="A1202">
        <v>0.48010999999999998</v>
      </c>
    </row>
    <row r="1203" spans="1:1">
      <c r="A1203">
        <v>0.23035</v>
      </c>
    </row>
    <row r="1204" spans="1:1">
      <c r="A1204">
        <v>0.20374</v>
      </c>
    </row>
    <row r="1205" spans="1:1">
      <c r="A1205">
        <v>9.4700000000000006E-2</v>
      </c>
    </row>
    <row r="1206" spans="1:1">
      <c r="A1206">
        <v>6.8519999999999998E-2</v>
      </c>
    </row>
    <row r="1207" spans="1:1">
      <c r="A1207">
        <v>5.3249999999999999E-2</v>
      </c>
    </row>
    <row r="1208" spans="1:1">
      <c r="A1208">
        <v>4.0399999999999998E-2</v>
      </c>
    </row>
    <row r="1209" spans="1:1">
      <c r="A1209">
        <v>0.13005</v>
      </c>
    </row>
    <row r="1210" spans="1:1">
      <c r="A1210">
        <v>9.0529999999999999E-2</v>
      </c>
    </row>
    <row r="1211" spans="1:1">
      <c r="A1211">
        <v>6.0630000000000003E-2</v>
      </c>
    </row>
    <row r="1212" spans="1:1">
      <c r="A1212">
        <v>4.4609999999999997E-2</v>
      </c>
    </row>
    <row r="1213" spans="1:1">
      <c r="A1213">
        <v>8.9999999999999993E-3</v>
      </c>
    </row>
    <row r="1214" spans="1:1">
      <c r="A1214">
        <v>0.26476</v>
      </c>
    </row>
    <row r="1215" spans="1:1">
      <c r="A1215">
        <v>0.11574</v>
      </c>
    </row>
    <row r="1216" spans="1:1">
      <c r="A1216">
        <v>7.8990000000000005E-2</v>
      </c>
    </row>
    <row r="1217" spans="1:1">
      <c r="A1217">
        <v>2.043E-2</v>
      </c>
    </row>
    <row r="1218" spans="1:1">
      <c r="A1218">
        <v>1.907E-2</v>
      </c>
    </row>
    <row r="1219" spans="1:1">
      <c r="A1219">
        <v>0</v>
      </c>
    </row>
    <row r="1220" spans="1:1">
      <c r="A1220">
        <v>0.22742999999999999</v>
      </c>
    </row>
    <row r="1221" spans="1:1">
      <c r="A1221">
        <v>6.9550000000000001E-2</v>
      </c>
    </row>
    <row r="1222" spans="1:1">
      <c r="A1222">
        <v>6.8159999999999998E-2</v>
      </c>
    </row>
    <row r="1223" spans="1:1">
      <c r="A1223">
        <v>3.27E-2</v>
      </c>
    </row>
    <row r="1224" spans="1:1">
      <c r="A1224">
        <v>3.1879999999999999E-2</v>
      </c>
    </row>
    <row r="1225" spans="1:1">
      <c r="A1225">
        <v>1.9650000000000001E-2</v>
      </c>
    </row>
    <row r="1226" spans="1:1">
      <c r="A1226">
        <v>1.294E-2</v>
      </c>
    </row>
    <row r="1227" spans="1:1">
      <c r="A1227">
        <v>0.19461999999999999</v>
      </c>
    </row>
    <row r="1228" spans="1:1">
      <c r="A1228">
        <v>0.1565</v>
      </c>
    </row>
    <row r="1229" spans="1:1">
      <c r="A1229">
        <v>0.13420000000000001</v>
      </c>
    </row>
    <row r="1230" spans="1:1">
      <c r="A1230">
        <v>0.12078</v>
      </c>
    </row>
    <row r="1231" spans="1:1">
      <c r="A1231">
        <v>5.3960000000000001E-2</v>
      </c>
    </row>
    <row r="1232" spans="1:1">
      <c r="A1232">
        <v>1.8839999999999999E-2</v>
      </c>
    </row>
    <row r="1233" spans="1:1">
      <c r="A1233">
        <v>0.29550999999999999</v>
      </c>
    </row>
    <row r="1234" spans="1:1">
      <c r="A1234">
        <v>0.14018</v>
      </c>
    </row>
    <row r="1235" spans="1:1">
      <c r="A1235">
        <v>9.8199999999999996E-2</v>
      </c>
    </row>
    <row r="1236" spans="1:1">
      <c r="A1236">
        <v>5.042E-2</v>
      </c>
    </row>
    <row r="1237" spans="1:1">
      <c r="A1237">
        <v>0.11219999999999999</v>
      </c>
    </row>
    <row r="1238" spans="1:1">
      <c r="A1238">
        <v>9.1869999999999993E-2</v>
      </c>
    </row>
    <row r="1239" spans="1:1">
      <c r="A1239">
        <v>7.1139999999999995E-2</v>
      </c>
    </row>
    <row r="1240" spans="1:1">
      <c r="A1240">
        <v>5.8099999999999999E-2</v>
      </c>
    </row>
    <row r="1241" spans="1:1">
      <c r="A1241">
        <v>2.1989999999999999E-2</v>
      </c>
    </row>
    <row r="1242" spans="1:1">
      <c r="A1242">
        <v>1.098E-2</v>
      </c>
    </row>
    <row r="1243" spans="1:1">
      <c r="A1243">
        <v>0.48465999999999998</v>
      </c>
    </row>
    <row r="1244" spans="1:1">
      <c r="A1244">
        <v>9.7059999999999994E-2</v>
      </c>
    </row>
    <row r="1245" spans="1:1">
      <c r="A1245">
        <v>7.8609999999999999E-2</v>
      </c>
    </row>
    <row r="1246" spans="1:1">
      <c r="A1246">
        <v>1.703E-2</v>
      </c>
    </row>
    <row r="1247" spans="1:1">
      <c r="A1247">
        <v>0</v>
      </c>
    </row>
    <row r="1248" spans="1:1">
      <c r="A1248">
        <v>0.11053</v>
      </c>
    </row>
    <row r="1249" spans="1:1">
      <c r="A1249">
        <v>9.7860000000000003E-2</v>
      </c>
    </row>
    <row r="1250" spans="1:1">
      <c r="A1250">
        <v>6.2379999999999998E-2</v>
      </c>
    </row>
    <row r="1251" spans="1:1">
      <c r="A1251">
        <v>6.0679999999999998E-2</v>
      </c>
    </row>
    <row r="1252" spans="1:1">
      <c r="A1252">
        <v>2.8049999999999999E-2</v>
      </c>
    </row>
    <row r="1253" spans="1:1">
      <c r="A1253">
        <v>0.20216000000000001</v>
      </c>
    </row>
    <row r="1254" spans="1:1">
      <c r="A1254">
        <v>0.13100000000000001</v>
      </c>
    </row>
    <row r="1255" spans="1:1">
      <c r="A1255">
        <v>0.12887000000000001</v>
      </c>
    </row>
    <row r="1256" spans="1:1">
      <c r="A1256">
        <v>5.4370000000000002E-2</v>
      </c>
    </row>
    <row r="1257" spans="1:1">
      <c r="A1257">
        <v>5.3069999999999999E-2</v>
      </c>
    </row>
    <row r="1258" spans="1:1">
      <c r="A1258">
        <v>3.8039999999999997E-2</v>
      </c>
    </row>
    <row r="1259" spans="1:1">
      <c r="A1259">
        <v>3.7019999999999997E-2</v>
      </c>
    </row>
    <row r="1260" spans="1:1">
      <c r="A1260">
        <v>0.35747000000000001</v>
      </c>
    </row>
    <row r="1261" spans="1:1">
      <c r="A1261">
        <v>0.17871000000000001</v>
      </c>
    </row>
    <row r="1262" spans="1:1">
      <c r="A1262">
        <v>0.14940999999999999</v>
      </c>
    </row>
    <row r="1263" spans="1:1">
      <c r="A1263">
        <v>9.0609999999999996E-2</v>
      </c>
    </row>
    <row r="1264" spans="1:1">
      <c r="A1264">
        <v>8.3960000000000007E-2</v>
      </c>
    </row>
    <row r="1265" spans="1:1">
      <c r="A1265">
        <v>4.9840000000000002E-2</v>
      </c>
    </row>
    <row r="1266" spans="1:1">
      <c r="A1266">
        <v>3.4410000000000003E-2</v>
      </c>
    </row>
    <row r="1267" spans="1:1">
      <c r="A1267">
        <v>2.401E-2</v>
      </c>
    </row>
    <row r="1268" spans="1:1">
      <c r="A1268">
        <v>0</v>
      </c>
    </row>
    <row r="1269" spans="1:1">
      <c r="A1269">
        <v>0.18936</v>
      </c>
    </row>
    <row r="1270" spans="1:1">
      <c r="A1270">
        <v>0.16793</v>
      </c>
    </row>
    <row r="1271" spans="1:1">
      <c r="A1271">
        <v>0.13951</v>
      </c>
    </row>
    <row r="1272" spans="1:1">
      <c r="A1272">
        <v>0.12126000000000001</v>
      </c>
    </row>
    <row r="1273" spans="1:1">
      <c r="A1273">
        <v>9.851E-2</v>
      </c>
    </row>
    <row r="1274" spans="1:1">
      <c r="A1274">
        <v>7.4569999999999997E-2</v>
      </c>
    </row>
    <row r="1275" spans="1:1">
      <c r="A1275">
        <v>6.3930000000000001E-2</v>
      </c>
    </row>
    <row r="1276" spans="1:1">
      <c r="A1276">
        <v>6.2260000000000003E-2</v>
      </c>
    </row>
    <row r="1277" spans="1:1">
      <c r="A1277">
        <v>4.326E-2</v>
      </c>
    </row>
    <row r="1278" spans="1:1">
      <c r="A1278">
        <v>2.8420000000000001E-2</v>
      </c>
    </row>
    <row r="1279" spans="1:1">
      <c r="A1279">
        <v>1.3610000000000001E-2</v>
      </c>
    </row>
    <row r="1280" spans="1:1">
      <c r="A1280">
        <v>0.21127000000000001</v>
      </c>
    </row>
    <row r="1281" spans="1:1">
      <c r="A1281">
        <v>0.15894</v>
      </c>
    </row>
    <row r="1282" spans="1:1">
      <c r="A1282">
        <v>0.14362</v>
      </c>
    </row>
    <row r="1283" spans="1:1">
      <c r="A1283">
        <v>0.11772000000000001</v>
      </c>
    </row>
    <row r="1284" spans="1:1">
      <c r="A1284">
        <v>0.11236</v>
      </c>
    </row>
    <row r="1285" spans="1:1">
      <c r="A1285">
        <v>9.6960000000000005E-2</v>
      </c>
    </row>
    <row r="1286" spans="1:1">
      <c r="A1286">
        <v>8.4989999999999996E-2</v>
      </c>
    </row>
    <row r="1287" spans="1:1">
      <c r="A1287">
        <v>7.4779999999999999E-2</v>
      </c>
    </row>
    <row r="1288" spans="1:1">
      <c r="A1288">
        <v>5.9970000000000002E-2</v>
      </c>
    </row>
    <row r="1289" spans="1:1">
      <c r="A1289">
        <v>5.2380000000000003E-2</v>
      </c>
    </row>
    <row r="1290" spans="1:1">
      <c r="A1290">
        <v>3.7749999999999999E-2</v>
      </c>
    </row>
    <row r="1291" spans="1:1">
      <c r="A1291">
        <v>3.0290000000000001E-2</v>
      </c>
    </row>
    <row r="1292" spans="1:1">
      <c r="A1292">
        <v>1.2500000000000001E-2</v>
      </c>
    </row>
    <row r="1293" spans="1:1">
      <c r="A1293">
        <v>1.0070000000000001E-2</v>
      </c>
    </row>
    <row r="1294" spans="1:1">
      <c r="A1294">
        <v>0.15279000000000001</v>
      </c>
    </row>
    <row r="1295" spans="1:1">
      <c r="A1295">
        <v>8.5779999999999995E-2</v>
      </c>
    </row>
    <row r="1296" spans="1:1">
      <c r="A1296">
        <v>8.4459999999999993E-2</v>
      </c>
    </row>
    <row r="1297" spans="1:1">
      <c r="A1297">
        <v>7.8839999999999993E-2</v>
      </c>
    </row>
    <row r="1298" spans="1:1">
      <c r="A1298">
        <v>5.9749999999999998E-2</v>
      </c>
    </row>
    <row r="1299" spans="1:1">
      <c r="A1299">
        <v>5.4239999999999997E-2</v>
      </c>
    </row>
    <row r="1300" spans="1:1">
      <c r="A1300">
        <v>3.0280000000000001E-2</v>
      </c>
    </row>
    <row r="1301" spans="1:1">
      <c r="A1301">
        <v>0.18024000000000001</v>
      </c>
    </row>
    <row r="1302" spans="1:1">
      <c r="A1302">
        <v>0.14837</v>
      </c>
    </row>
    <row r="1303" spans="1:1">
      <c r="A1303">
        <v>0.12806000000000001</v>
      </c>
    </row>
    <row r="1304" spans="1:1">
      <c r="A1304">
        <v>0.11734</v>
      </c>
    </row>
    <row r="1305" spans="1:1">
      <c r="A1305">
        <v>0.10705000000000001</v>
      </c>
    </row>
    <row r="1306" spans="1:1">
      <c r="A1306">
        <v>8.4830000000000003E-2</v>
      </c>
    </row>
    <row r="1307" spans="1:1">
      <c r="A1307">
        <v>8.3330000000000001E-2</v>
      </c>
    </row>
    <row r="1308" spans="1:1">
      <c r="A1308">
        <v>7.6329999999999995E-2</v>
      </c>
    </row>
    <row r="1309" spans="1:1">
      <c r="A1309">
        <v>6.9500000000000006E-2</v>
      </c>
    </row>
    <row r="1310" spans="1:1">
      <c r="A1310">
        <v>6.241E-2</v>
      </c>
    </row>
    <row r="1311" spans="1:1">
      <c r="A1311">
        <v>4.3779999999999999E-2</v>
      </c>
    </row>
    <row r="1312" spans="1:1">
      <c r="A1312">
        <v>3.9730000000000001E-2</v>
      </c>
    </row>
    <row r="1313" spans="1:1">
      <c r="A1313">
        <v>0.16144</v>
      </c>
    </row>
    <row r="1314" spans="1:1">
      <c r="A1314">
        <v>0.15404999999999999</v>
      </c>
    </row>
    <row r="1315" spans="1:1">
      <c r="A1315">
        <v>0.13686000000000001</v>
      </c>
    </row>
    <row r="1316" spans="1:1">
      <c r="A1316">
        <v>7.1050000000000002E-2</v>
      </c>
    </row>
    <row r="1317" spans="1:1">
      <c r="A1317">
        <v>5.7669999999999999E-2</v>
      </c>
    </row>
    <row r="1318" spans="1:1">
      <c r="A1318">
        <v>4.4450000000000003E-2</v>
      </c>
    </row>
    <row r="1319" spans="1:1">
      <c r="A1319">
        <v>3.9780000000000003E-2</v>
      </c>
    </row>
    <row r="1320" spans="1:1">
      <c r="A1320">
        <v>3.4139999999999997E-2</v>
      </c>
    </row>
    <row r="1321" spans="1:1">
      <c r="A1321">
        <v>2.189E-2</v>
      </c>
    </row>
    <row r="1322" spans="1:1">
      <c r="A1322">
        <v>1.142E-2</v>
      </c>
    </row>
    <row r="1323" spans="1:1">
      <c r="A1323">
        <v>0.20201</v>
      </c>
    </row>
    <row r="1324" spans="1:1">
      <c r="A1324">
        <v>0.19134999999999999</v>
      </c>
    </row>
    <row r="1325" spans="1:1">
      <c r="A1325">
        <v>0.16123999999999999</v>
      </c>
    </row>
    <row r="1326" spans="1:1">
      <c r="A1326">
        <v>0.10036</v>
      </c>
    </row>
    <row r="1327" spans="1:1">
      <c r="A1327">
        <v>8.1280000000000005E-2</v>
      </c>
    </row>
    <row r="1328" spans="1:1">
      <c r="A1328">
        <v>6.6159999999999997E-2</v>
      </c>
    </row>
    <row r="1329" spans="1:1">
      <c r="A1329">
        <v>3.0700000000000002E-2</v>
      </c>
    </row>
    <row r="1330" spans="1:1">
      <c r="A1330">
        <v>1.941E-2</v>
      </c>
    </row>
    <row r="1331" spans="1:1">
      <c r="A1331">
        <v>2.0500000000000002E-3</v>
      </c>
    </row>
    <row r="1332" spans="1:1">
      <c r="A1332">
        <v>0.21945999999999999</v>
      </c>
    </row>
    <row r="1333" spans="1:1">
      <c r="A1333">
        <v>8.5070000000000007E-2</v>
      </c>
    </row>
    <row r="1334" spans="1:1">
      <c r="A1334">
        <v>6.9580000000000003E-2</v>
      </c>
    </row>
    <row r="1335" spans="1:1">
      <c r="A1335">
        <v>6.2659999999999993E-2</v>
      </c>
    </row>
    <row r="1336" spans="1:1">
      <c r="A1336">
        <v>4.5260000000000002E-2</v>
      </c>
    </row>
    <row r="1337" spans="1:1">
      <c r="A1337">
        <v>1.311E-2</v>
      </c>
    </row>
    <row r="1338" spans="1:1">
      <c r="A1338">
        <v>0.30031000000000002</v>
      </c>
    </row>
    <row r="1339" spans="1:1">
      <c r="A1339">
        <v>0.17548</v>
      </c>
    </row>
    <row r="1340" spans="1:1">
      <c r="A1340">
        <v>0.13768</v>
      </c>
    </row>
    <row r="1341" spans="1:1">
      <c r="A1341">
        <v>0.1356</v>
      </c>
    </row>
    <row r="1342" spans="1:1">
      <c r="A1342">
        <v>0.1042</v>
      </c>
    </row>
    <row r="1343" spans="1:1">
      <c r="A1343">
        <v>5.9859999999999997E-2</v>
      </c>
    </row>
    <row r="1344" spans="1:1">
      <c r="A1344">
        <v>3.4270000000000002E-2</v>
      </c>
    </row>
    <row r="1345" spans="1:1">
      <c r="A1345">
        <v>1.6199999999999999E-2</v>
      </c>
    </row>
    <row r="1346" spans="1:1">
      <c r="A1346">
        <v>9.6600000000000002E-3</v>
      </c>
    </row>
    <row r="1347" spans="1:1">
      <c r="A1347">
        <v>0.26917000000000002</v>
      </c>
    </row>
    <row r="1348" spans="1:1">
      <c r="A1348">
        <v>0.20674000000000001</v>
      </c>
    </row>
    <row r="1349" spans="1:1">
      <c r="A1349">
        <v>6.5199999999999994E-2</v>
      </c>
    </row>
    <row r="1350" spans="1:1">
      <c r="A1350">
        <v>3.5220000000000001E-2</v>
      </c>
    </row>
    <row r="1351" spans="1:1">
      <c r="A1351">
        <v>0.37791999999999998</v>
      </c>
    </row>
    <row r="1352" spans="1:1">
      <c r="A1352">
        <v>6.6259999999999999E-2</v>
      </c>
    </row>
    <row r="1353" spans="1:1">
      <c r="A1353">
        <v>3.1730000000000001E-2</v>
      </c>
    </row>
    <row r="1354" spans="1:1">
      <c r="A1354">
        <v>3.048E-2</v>
      </c>
    </row>
    <row r="1355" spans="1:1">
      <c r="A1355">
        <v>0.20849000000000001</v>
      </c>
    </row>
    <row r="1356" spans="1:1">
      <c r="A1356">
        <v>0.13314999999999999</v>
      </c>
    </row>
    <row r="1357" spans="1:1">
      <c r="A1357">
        <v>0.10704</v>
      </c>
    </row>
    <row r="1358" spans="1:1">
      <c r="A1358">
        <v>0.10362</v>
      </c>
    </row>
    <row r="1359" spans="1:1">
      <c r="A1359">
        <v>9.6479999999999996E-2</v>
      </c>
    </row>
    <row r="1360" spans="1:1">
      <c r="A1360">
        <v>6.8140000000000006E-2</v>
      </c>
    </row>
    <row r="1361" spans="1:1">
      <c r="A1361">
        <v>6.2590000000000007E-2</v>
      </c>
    </row>
    <row r="1362" spans="1:1">
      <c r="A1362">
        <v>4.9059999999999999E-2</v>
      </c>
    </row>
    <row r="1363" spans="1:1">
      <c r="A1363">
        <v>1.9570000000000001E-2</v>
      </c>
    </row>
    <row r="1364" spans="1:1">
      <c r="A1364">
        <v>1.9429999999999999E-2</v>
      </c>
    </row>
    <row r="1365" spans="1:1">
      <c r="A1365">
        <v>1.4579999999999999E-2</v>
      </c>
    </row>
    <row r="1366" spans="1:1">
      <c r="A1366">
        <v>1.298E-2</v>
      </c>
    </row>
    <row r="1367" spans="1:1">
      <c r="A1367">
        <v>0.13535</v>
      </c>
    </row>
    <row r="1368" spans="1:1">
      <c r="A1368">
        <v>8.3460000000000006E-2</v>
      </c>
    </row>
    <row r="1369" spans="1:1">
      <c r="A1369">
        <v>6.0089999999999998E-2</v>
      </c>
    </row>
    <row r="1370" spans="1:1">
      <c r="A1370">
        <v>8.9840000000000003E-2</v>
      </c>
    </row>
    <row r="1371" spans="1:1">
      <c r="A1371">
        <v>8.0100000000000005E-2</v>
      </c>
    </row>
    <row r="1372" spans="1:1">
      <c r="A1372">
        <v>8.7600000000000004E-3</v>
      </c>
    </row>
    <row r="1373" spans="1:1">
      <c r="A1373">
        <v>0.14598</v>
      </c>
    </row>
    <row r="1374" spans="1:1">
      <c r="A1374">
        <v>8.7800000000000003E-2</v>
      </c>
    </row>
    <row r="1375" spans="1:1">
      <c r="A1375">
        <v>5.3940000000000002E-2</v>
      </c>
    </row>
    <row r="1376" spans="1:1">
      <c r="A1376">
        <v>1.4959999999999999E-2</v>
      </c>
    </row>
    <row r="1377" spans="1:1">
      <c r="A1377">
        <v>0.15637000000000001</v>
      </c>
    </row>
    <row r="1378" spans="1:1">
      <c r="A1378">
        <v>9.017E-2</v>
      </c>
    </row>
    <row r="1379" spans="1:1">
      <c r="A1379">
        <v>8.7800000000000003E-2</v>
      </c>
    </row>
    <row r="1380" spans="1:1">
      <c r="A1380">
        <v>3.3849999999999998E-2</v>
      </c>
    </row>
    <row r="1381" spans="1:1">
      <c r="A1381">
        <v>0.27268999999999999</v>
      </c>
    </row>
    <row r="1382" spans="1:1">
      <c r="A1382">
        <v>8.3180000000000004E-2</v>
      </c>
    </row>
    <row r="1383" spans="1:1">
      <c r="A1383">
        <v>8.1019999999999995E-2</v>
      </c>
    </row>
    <row r="1384" spans="1:1">
      <c r="A1384">
        <v>5.7680000000000002E-2</v>
      </c>
    </row>
    <row r="1385" spans="1:1">
      <c r="A1385">
        <v>5.108E-2</v>
      </c>
    </row>
    <row r="1386" spans="1:1">
      <c r="A1386">
        <v>4.8689999999999997E-2</v>
      </c>
    </row>
    <row r="1387" spans="1:1">
      <c r="A1387">
        <v>4.5490000000000003E-2</v>
      </c>
    </row>
    <row r="1388" spans="1:1">
      <c r="A1388">
        <v>3.7260000000000001E-2</v>
      </c>
    </row>
    <row r="1389" spans="1:1">
      <c r="A1389">
        <v>2.7890000000000002E-2</v>
      </c>
    </row>
    <row r="1390" spans="1:1">
      <c r="A1390">
        <v>0.24356</v>
      </c>
    </row>
    <row r="1391" spans="1:1">
      <c r="A1391">
        <v>0.18265999999999999</v>
      </c>
    </row>
    <row r="1392" spans="1:1">
      <c r="A1392">
        <v>7.8799999999999995E-2</v>
      </c>
    </row>
    <row r="1393" spans="1:1">
      <c r="A1393">
        <v>7.6480000000000006E-2</v>
      </c>
    </row>
    <row r="1394" spans="1:1">
      <c r="A1394">
        <v>5.5900000000000004E-3</v>
      </c>
    </row>
    <row r="1395" spans="1:1">
      <c r="A1395">
        <v>0.1012</v>
      </c>
    </row>
    <row r="1396" spans="1:1">
      <c r="A1396">
        <v>7.7119999999999994E-2</v>
      </c>
    </row>
    <row r="1397" spans="1:1">
      <c r="A1397">
        <v>3.0280000000000001E-2</v>
      </c>
    </row>
    <row r="1398" spans="1:1">
      <c r="A1398">
        <v>0</v>
      </c>
    </row>
    <row r="1399" spans="1:1">
      <c r="A1399">
        <v>0.17560999999999999</v>
      </c>
    </row>
    <row r="1400" spans="1:1">
      <c r="A1400">
        <v>0.13988999999999999</v>
      </c>
    </row>
    <row r="1401" spans="1:1">
      <c r="A1401">
        <v>0.11638</v>
      </c>
    </row>
    <row r="1402" spans="1:1">
      <c r="A1402">
        <v>9.6610000000000001E-2</v>
      </c>
    </row>
    <row r="1403" spans="1:1">
      <c r="A1403">
        <v>7.5870000000000007E-2</v>
      </c>
    </row>
    <row r="1404" spans="1:1">
      <c r="A1404">
        <v>4.6289999999999998E-2</v>
      </c>
    </row>
    <row r="1405" spans="1:1">
      <c r="A1405">
        <v>3.7949999999999998E-2</v>
      </c>
    </row>
    <row r="1406" spans="1:1">
      <c r="A1406">
        <v>1.9560000000000001E-2</v>
      </c>
    </row>
    <row r="1407" spans="1:1">
      <c r="A1407">
        <v>0.17493</v>
      </c>
    </row>
    <row r="1408" spans="1:1">
      <c r="A1408">
        <v>7.7729999999999994E-2</v>
      </c>
    </row>
    <row r="1409" spans="1:1">
      <c r="A1409">
        <v>7.6310000000000003E-2</v>
      </c>
    </row>
    <row r="1410" spans="1:1">
      <c r="A1410">
        <v>5.2199999999999998E-3</v>
      </c>
    </row>
    <row r="1411" spans="1:1">
      <c r="A1411">
        <v>0.23299</v>
      </c>
    </row>
    <row r="1412" spans="1:1">
      <c r="A1412">
        <v>7.1400000000000005E-2</v>
      </c>
    </row>
    <row r="1413" spans="1:1">
      <c r="A1413">
        <v>5.0999999999999997E-2</v>
      </c>
    </row>
    <row r="1414" spans="1:1">
      <c r="A1414">
        <v>2.1860000000000001E-2</v>
      </c>
    </row>
    <row r="1415" spans="1:1">
      <c r="A1415">
        <v>1.37E-2</v>
      </c>
    </row>
    <row r="1416" spans="1:1">
      <c r="A1416">
        <v>0.18242</v>
      </c>
    </row>
    <row r="1417" spans="1:1">
      <c r="A1417">
        <v>9.9890000000000007E-2</v>
      </c>
    </row>
    <row r="1418" spans="1:1">
      <c r="A1418">
        <v>7.5230000000000005E-2</v>
      </c>
    </row>
    <row r="1419" spans="1:1">
      <c r="A1419">
        <v>7.5209999999999999E-2</v>
      </c>
    </row>
    <row r="1420" spans="1:1">
      <c r="A1420">
        <v>7.2010000000000005E-2</v>
      </c>
    </row>
    <row r="1421" spans="1:1">
      <c r="A1421">
        <v>2.9340000000000001E-2</v>
      </c>
    </row>
    <row r="1422" spans="1:1">
      <c r="A1422">
        <v>2.69E-2</v>
      </c>
    </row>
    <row r="1423" spans="1:1">
      <c r="A1423">
        <v>1.542E-2</v>
      </c>
    </row>
    <row r="1424" spans="1:1">
      <c r="A1424">
        <v>0.29592000000000002</v>
      </c>
    </row>
    <row r="1425" spans="1:1">
      <c r="A1425">
        <v>0.18295</v>
      </c>
    </row>
    <row r="1426" spans="1:1">
      <c r="A1426">
        <v>0.13224</v>
      </c>
    </row>
    <row r="1427" spans="1:1">
      <c r="A1427">
        <v>0.11165</v>
      </c>
    </row>
    <row r="1428" spans="1:1">
      <c r="A1428">
        <v>9.5740000000000006E-2</v>
      </c>
    </row>
    <row r="1429" spans="1:1">
      <c r="A1429">
        <v>5.6890000000000003E-2</v>
      </c>
    </row>
    <row r="1430" spans="1:1">
      <c r="A1430">
        <v>3.4810000000000001E-2</v>
      </c>
    </row>
    <row r="1431" spans="1:1">
      <c r="A1431">
        <v>1.6140000000000002E-2</v>
      </c>
    </row>
    <row r="1432" spans="1:1">
      <c r="A1432">
        <v>8.2500000000000004E-3</v>
      </c>
    </row>
    <row r="1433" spans="1:1">
      <c r="A1433">
        <v>3.8500000000000001E-3</v>
      </c>
    </row>
    <row r="1434" spans="1:1">
      <c r="A1434">
        <v>0.29737000000000002</v>
      </c>
    </row>
    <row r="1435" spans="1:1">
      <c r="A1435">
        <v>0.26535999999999998</v>
      </c>
    </row>
    <row r="1436" spans="1:1">
      <c r="A1436">
        <v>6.9440000000000002E-2</v>
      </c>
    </row>
    <row r="1437" spans="1:1">
      <c r="A1437">
        <v>4.8500000000000001E-2</v>
      </c>
    </row>
    <row r="1438" spans="1:1">
      <c r="A1438">
        <v>4.1709999999999997E-2</v>
      </c>
    </row>
    <row r="1439" spans="1:1">
      <c r="A1439">
        <v>2.6679999999999999E-2</v>
      </c>
    </row>
    <row r="1440" spans="1:1">
      <c r="A1440">
        <v>2.4080000000000001E-2</v>
      </c>
    </row>
    <row r="1441" spans="1:1">
      <c r="A1441">
        <v>0.14510000000000001</v>
      </c>
    </row>
    <row r="1442" spans="1:1">
      <c r="A1442">
        <v>0.13911000000000001</v>
      </c>
    </row>
    <row r="1443" spans="1:1">
      <c r="A1443">
        <v>0.12305000000000001</v>
      </c>
    </row>
    <row r="1444" spans="1:1">
      <c r="A1444">
        <v>9.3219999999999997E-2</v>
      </c>
    </row>
    <row r="1445" spans="1:1">
      <c r="A1445">
        <v>6.9110000000000005E-2</v>
      </c>
    </row>
    <row r="1446" spans="1:1">
      <c r="A1446">
        <v>5.7660000000000003E-2</v>
      </c>
    </row>
    <row r="1447" spans="1:1">
      <c r="A1447">
        <v>4.197E-2</v>
      </c>
    </row>
    <row r="1448" spans="1:1">
      <c r="A1448">
        <v>3.5740000000000001E-2</v>
      </c>
    </row>
    <row r="1449" spans="1:1">
      <c r="A1449">
        <v>2.7730000000000001E-2</v>
      </c>
    </row>
    <row r="1450" spans="1:1">
      <c r="A1450">
        <v>1.602E-2</v>
      </c>
    </row>
    <row r="1451" spans="1:1">
      <c r="A1451">
        <v>0.15637999999999999</v>
      </c>
    </row>
    <row r="1452" spans="1:1">
      <c r="A1452">
        <v>0.13447000000000001</v>
      </c>
    </row>
    <row r="1453" spans="1:1">
      <c r="A1453">
        <v>0.17508000000000001</v>
      </c>
    </row>
    <row r="1454" spans="1:1">
      <c r="A1454">
        <v>6.2399999999999997E-2</v>
      </c>
    </row>
    <row r="1455" spans="1:1">
      <c r="A1455">
        <v>3.1199999999999999E-2</v>
      </c>
    </row>
    <row r="1456" spans="1:1">
      <c r="A1456">
        <v>1.9230000000000001E-2</v>
      </c>
    </row>
    <row r="1457" spans="1:1">
      <c r="A1457">
        <v>0.24782999999999999</v>
      </c>
    </row>
    <row r="1458" spans="1:1">
      <c r="A1458">
        <v>0.12922</v>
      </c>
    </row>
    <row r="1459" spans="1:1">
      <c r="A1459">
        <v>0.10382</v>
      </c>
    </row>
    <row r="1460" spans="1:1">
      <c r="A1460">
        <v>6.3600000000000004E-2</v>
      </c>
    </row>
    <row r="1461" spans="1:1">
      <c r="A1461">
        <v>5.391E-2</v>
      </c>
    </row>
    <row r="1462" spans="1:1">
      <c r="A1462">
        <v>4.8340000000000001E-2</v>
      </c>
    </row>
    <row r="1463" spans="1:1">
      <c r="A1463">
        <v>2.5499999999999998E-2</v>
      </c>
    </row>
    <row r="1464" spans="1:1">
      <c r="A1464">
        <v>0.28427000000000002</v>
      </c>
    </row>
    <row r="1465" spans="1:1">
      <c r="A1465">
        <v>0.11267000000000001</v>
      </c>
    </row>
    <row r="1466" spans="1:1">
      <c r="A1466">
        <v>6.2350000000000003E-2</v>
      </c>
    </row>
    <row r="1467" spans="1:1">
      <c r="A1467">
        <v>6.2179999999999999E-2</v>
      </c>
    </row>
    <row r="1468" spans="1:1">
      <c r="A1468">
        <v>3.1130000000000001E-2</v>
      </c>
    </row>
    <row r="1469" spans="1:1">
      <c r="A1469">
        <v>2.0650000000000002E-2</v>
      </c>
    </row>
    <row r="1470" spans="1:1">
      <c r="A1470">
        <v>1.8360000000000001E-2</v>
      </c>
    </row>
    <row r="1471" spans="1:1">
      <c r="A1471">
        <v>0.15873000000000001</v>
      </c>
    </row>
    <row r="1472" spans="1:1">
      <c r="A1472">
        <v>0.15190999999999999</v>
      </c>
    </row>
    <row r="1473" spans="1:1">
      <c r="A1473">
        <v>0.11677999999999999</v>
      </c>
    </row>
    <row r="1474" spans="1:1">
      <c r="A1474">
        <v>3.1469999999999998E-2</v>
      </c>
    </row>
    <row r="1475" spans="1:1">
      <c r="A1475">
        <v>3.1199999999999999E-2</v>
      </c>
    </row>
    <row r="1476" spans="1:1">
      <c r="A1476">
        <v>2.504E-2</v>
      </c>
    </row>
    <row r="1477" spans="1:1">
      <c r="A1477">
        <v>0.15312000000000001</v>
      </c>
    </row>
    <row r="1478" spans="1:1">
      <c r="A1478">
        <v>0.10785</v>
      </c>
    </row>
    <row r="1479" spans="1:1">
      <c r="A1479">
        <v>5.9319999999999998E-2</v>
      </c>
    </row>
    <row r="1480" spans="1:1">
      <c r="A1480">
        <v>0.13256999999999999</v>
      </c>
    </row>
    <row r="1481" spans="1:1">
      <c r="A1481">
        <v>0.11737</v>
      </c>
    </row>
    <row r="1482" spans="1:1">
      <c r="A1482">
        <v>7.5939999999999994E-2</v>
      </c>
    </row>
    <row r="1483" spans="1:1">
      <c r="A1483">
        <v>6.7000000000000004E-2</v>
      </c>
    </row>
    <row r="1484" spans="1:1">
      <c r="A1484">
        <v>5.2699999999999997E-2</v>
      </c>
    </row>
    <row r="1485" spans="1:1">
      <c r="A1485">
        <v>3.7940000000000002E-2</v>
      </c>
    </row>
    <row r="1486" spans="1:1">
      <c r="A1486">
        <v>1.468E-2</v>
      </c>
    </row>
    <row r="1487" spans="1:1">
      <c r="A1487">
        <v>0.20422999999999999</v>
      </c>
    </row>
    <row r="1488" spans="1:1">
      <c r="A1488">
        <v>0.14174</v>
      </c>
    </row>
    <row r="1489" spans="1:1">
      <c r="A1489">
        <v>0.11946</v>
      </c>
    </row>
    <row r="1490" spans="1:1">
      <c r="A1490">
        <v>0.10785</v>
      </c>
    </row>
    <row r="1491" spans="1:1">
      <c r="A1491">
        <v>6.6900000000000001E-2</v>
      </c>
    </row>
    <row r="1492" spans="1:1">
      <c r="A1492">
        <v>2.12E-2</v>
      </c>
    </row>
    <row r="1493" spans="1:1">
      <c r="A1493">
        <v>2.0379999999999999E-2</v>
      </c>
    </row>
    <row r="1494" spans="1:1">
      <c r="A1494">
        <v>0.17815</v>
      </c>
    </row>
    <row r="1495" spans="1:1">
      <c r="A1495">
        <v>0.13642000000000001</v>
      </c>
    </row>
    <row r="1496" spans="1:1">
      <c r="A1496">
        <v>5.5919999999999997E-2</v>
      </c>
    </row>
    <row r="1497" spans="1:1">
      <c r="A1497">
        <v>5.3069999999999999E-2</v>
      </c>
    </row>
    <row r="1498" spans="1:1">
      <c r="A1498">
        <v>2.3779999999999999E-2</v>
      </c>
    </row>
    <row r="1499" spans="1:1">
      <c r="A1499">
        <v>1.2800000000000001E-3</v>
      </c>
    </row>
    <row r="1500" spans="1:1">
      <c r="A1500">
        <v>9.9099999999999994E-2</v>
      </c>
    </row>
    <row r="1501" spans="1:1">
      <c r="A1501">
        <v>8.6569999999999994E-2</v>
      </c>
    </row>
    <row r="1502" spans="1:1">
      <c r="A1502">
        <v>7.2410000000000002E-2</v>
      </c>
    </row>
    <row r="1503" spans="1:1">
      <c r="A1503">
        <v>5.0360000000000002E-2</v>
      </c>
    </row>
    <row r="1504" spans="1:1">
      <c r="A1504">
        <v>2.0729999999999998E-2</v>
      </c>
    </row>
    <row r="1505" spans="1:1">
      <c r="A1505">
        <v>1.8429999999999998E-2</v>
      </c>
    </row>
    <row r="1506" spans="1:1">
      <c r="A1506">
        <v>0.26003999999999999</v>
      </c>
    </row>
    <row r="1507" spans="1:1">
      <c r="A1507">
        <v>0.13705999999999999</v>
      </c>
    </row>
    <row r="1508" spans="1:1">
      <c r="A1508">
        <v>0.12306</v>
      </c>
    </row>
    <row r="1509" spans="1:1">
      <c r="A1509">
        <v>0.12222</v>
      </c>
    </row>
    <row r="1510" spans="1:1">
      <c r="A1510">
        <v>5.6770000000000001E-2</v>
      </c>
    </row>
    <row r="1511" spans="1:1">
      <c r="A1511">
        <v>3.2530000000000003E-2</v>
      </c>
    </row>
    <row r="1512" spans="1:1">
      <c r="A1512">
        <v>2.5530000000000001E-2</v>
      </c>
    </row>
    <row r="1513" spans="1:1">
      <c r="A1513">
        <v>0.26140999999999998</v>
      </c>
    </row>
    <row r="1514" spans="1:1">
      <c r="A1514">
        <v>8.0990000000000006E-2</v>
      </c>
    </row>
    <row r="1515" spans="1:1">
      <c r="A1515">
        <v>8.0149999999999999E-2</v>
      </c>
    </row>
    <row r="1516" spans="1:1">
      <c r="A1516">
        <v>6.8970000000000004E-2</v>
      </c>
    </row>
    <row r="1517" spans="1:1">
      <c r="A1517">
        <v>5.1290000000000002E-2</v>
      </c>
    </row>
    <row r="1518" spans="1:1">
      <c r="A1518">
        <v>4.3380000000000002E-2</v>
      </c>
    </row>
    <row r="1519" spans="1:1">
      <c r="A1519">
        <v>3.5229999999999997E-2</v>
      </c>
    </row>
    <row r="1520" spans="1:1">
      <c r="A1520">
        <v>3.024E-2</v>
      </c>
    </row>
    <row r="1521" spans="1:1">
      <c r="A1521">
        <v>2.7529999999999999E-2</v>
      </c>
    </row>
    <row r="1522" spans="1:1">
      <c r="A1522">
        <v>1.431E-2</v>
      </c>
    </row>
    <row r="1523" spans="1:1">
      <c r="A1523">
        <v>1.03E-2</v>
      </c>
    </row>
    <row r="1524" spans="1:1">
      <c r="A1524">
        <v>7.3789999999999994E-2</v>
      </c>
    </row>
    <row r="1525" spans="1:1">
      <c r="A1525">
        <v>3.9230000000000001E-2</v>
      </c>
    </row>
    <row r="1526" spans="1:1">
      <c r="A1526">
        <v>2.2689999999999998E-2</v>
      </c>
    </row>
    <row r="1527" spans="1:1">
      <c r="A1527">
        <v>4.9889999999999997E-2</v>
      </c>
    </row>
    <row r="1528" spans="1:1">
      <c r="A1528">
        <v>4.2279999999999998E-2</v>
      </c>
    </row>
    <row r="1529" spans="1:1">
      <c r="A1529">
        <v>3.8580000000000003E-2</v>
      </c>
    </row>
    <row r="1530" spans="1:1">
      <c r="A1530">
        <v>3.6269999999999997E-2</v>
      </c>
    </row>
    <row r="1531" spans="1:1">
      <c r="A1531">
        <v>1.686E-2</v>
      </c>
    </row>
    <row r="1532" spans="1:1">
      <c r="A1532">
        <v>1.6500000000000001E-2</v>
      </c>
    </row>
    <row r="1533" spans="1:1">
      <c r="A1533">
        <v>0.12689</v>
      </c>
    </row>
    <row r="1534" spans="1:1">
      <c r="A1534">
        <v>0.12092</v>
      </c>
    </row>
    <row r="1535" spans="1:1">
      <c r="A1535">
        <v>6.7820000000000005E-2</v>
      </c>
    </row>
    <row r="1536" spans="1:1">
      <c r="A1536">
        <v>5.033E-2</v>
      </c>
    </row>
    <row r="1537" spans="1:1">
      <c r="A1537">
        <v>4.5690000000000001E-2</v>
      </c>
    </row>
    <row r="1538" spans="1:1">
      <c r="A1538">
        <v>3.4610000000000002E-2</v>
      </c>
    </row>
    <row r="1539" spans="1:1">
      <c r="A1539">
        <v>0.21226</v>
      </c>
    </row>
    <row r="1540" spans="1:1">
      <c r="A1540">
        <v>5.7489999999999999E-2</v>
      </c>
    </row>
    <row r="1541" spans="1:1">
      <c r="A1541">
        <v>3.015E-2</v>
      </c>
    </row>
    <row r="1542" spans="1:1">
      <c r="A1542">
        <v>2.8039999999999999E-2</v>
      </c>
    </row>
    <row r="1543" spans="1:1">
      <c r="A1543">
        <v>2.6589999999999999E-2</v>
      </c>
    </row>
    <row r="1544" spans="1:1">
      <c r="A1544">
        <v>0.12656000000000001</v>
      </c>
    </row>
    <row r="1545" spans="1:1">
      <c r="A1545">
        <v>0.12573999999999999</v>
      </c>
    </row>
    <row r="1546" spans="1:1">
      <c r="A1546">
        <v>5.6930000000000001E-2</v>
      </c>
    </row>
    <row r="1547" spans="1:1">
      <c r="A1547">
        <v>2.6329999999999999E-2</v>
      </c>
    </row>
    <row r="1548" spans="1:1">
      <c r="A1548">
        <v>1.7180000000000001E-2</v>
      </c>
    </row>
    <row r="1549" spans="1:1">
      <c r="A1549">
        <v>2.0999999999999999E-3</v>
      </c>
    </row>
    <row r="1550" spans="1:1">
      <c r="A1550">
        <v>0.28991</v>
      </c>
    </row>
    <row r="1551" spans="1:1">
      <c r="A1551">
        <v>0.17183000000000001</v>
      </c>
    </row>
    <row r="1552" spans="1:1">
      <c r="A1552">
        <v>0.11951000000000001</v>
      </c>
    </row>
    <row r="1553" spans="1:1">
      <c r="A1553">
        <v>8.4449999999999997E-2</v>
      </c>
    </row>
    <row r="1554" spans="1:1">
      <c r="A1554">
        <v>8.09E-2</v>
      </c>
    </row>
    <row r="1555" spans="1:1">
      <c r="A1555">
        <v>6.3850000000000004E-2</v>
      </c>
    </row>
    <row r="1556" spans="1:1">
      <c r="A1556">
        <v>3.8510000000000003E-2</v>
      </c>
    </row>
    <row r="1557" spans="1:1">
      <c r="A1557">
        <v>3.0020000000000002E-2</v>
      </c>
    </row>
    <row r="1558" spans="1:1">
      <c r="A1558">
        <v>3.8899999999999998E-3</v>
      </c>
    </row>
    <row r="1559" spans="1:1">
      <c r="A1559">
        <v>0.23738000000000001</v>
      </c>
    </row>
    <row r="1560" spans="1:1">
      <c r="A1560">
        <v>0.18187</v>
      </c>
    </row>
    <row r="1561" spans="1:1">
      <c r="A1561">
        <v>0.16033</v>
      </c>
    </row>
    <row r="1562" spans="1:1">
      <c r="A1562">
        <v>0.15684000000000001</v>
      </c>
    </row>
    <row r="1563" spans="1:1">
      <c r="A1563">
        <v>0.14147000000000001</v>
      </c>
    </row>
    <row r="1564" spans="1:1">
      <c r="A1564">
        <v>0.11107</v>
      </c>
    </row>
    <row r="1565" spans="1:1">
      <c r="A1565">
        <v>9.604E-2</v>
      </c>
    </row>
    <row r="1566" spans="1:1">
      <c r="A1566">
        <v>9.3240000000000003E-2</v>
      </c>
    </row>
    <row r="1567" spans="1:1">
      <c r="A1567">
        <v>7.2209999999999996E-2</v>
      </c>
    </row>
    <row r="1568" spans="1:1">
      <c r="A1568">
        <v>4.6800000000000001E-2</v>
      </c>
    </row>
    <row r="1569" spans="1:1">
      <c r="A1569">
        <v>3.074E-2</v>
      </c>
    </row>
    <row r="1570" spans="1:1">
      <c r="A1570">
        <v>2.222E-2</v>
      </c>
    </row>
    <row r="1571" spans="1:1">
      <c r="A1571">
        <v>0.15447</v>
      </c>
    </row>
    <row r="1572" spans="1:1">
      <c r="A1572">
        <v>0.14327000000000001</v>
      </c>
    </row>
    <row r="1573" spans="1:1">
      <c r="A1573">
        <v>0.13561999999999999</v>
      </c>
    </row>
    <row r="1574" spans="1:1">
      <c r="A1574">
        <v>9.0889999999999999E-2</v>
      </c>
    </row>
    <row r="1575" spans="1:1">
      <c r="A1575">
        <v>6.4780000000000004E-2</v>
      </c>
    </row>
    <row r="1576" spans="1:1">
      <c r="A1576">
        <v>6.2539999999999998E-2</v>
      </c>
    </row>
    <row r="1577" spans="1:1">
      <c r="A1577">
        <v>4.7120000000000002E-2</v>
      </c>
    </row>
    <row r="1578" spans="1:1">
      <c r="A1578">
        <v>3.8010000000000002E-2</v>
      </c>
    </row>
    <row r="1579" spans="1:1">
      <c r="A1579">
        <v>2.3800000000000002E-3</v>
      </c>
    </row>
    <row r="1580" spans="1:1">
      <c r="A1580">
        <v>0.22661999999999999</v>
      </c>
    </row>
    <row r="1581" spans="1:1">
      <c r="A1581">
        <v>0.16965</v>
      </c>
    </row>
    <row r="1582" spans="1:1">
      <c r="A1582">
        <v>0.14224000000000001</v>
      </c>
    </row>
    <row r="1583" spans="1:1">
      <c r="A1583">
        <v>0.10316</v>
      </c>
    </row>
    <row r="1584" spans="1:1">
      <c r="A1584">
        <v>7.6369999999999993E-2</v>
      </c>
    </row>
    <row r="1585" spans="1:1">
      <c r="A1585">
        <v>6.676E-2</v>
      </c>
    </row>
    <row r="1586" spans="1:1">
      <c r="A1586">
        <v>0.14452999999999999</v>
      </c>
    </row>
    <row r="1587" spans="1:1">
      <c r="A1587">
        <v>0.11179</v>
      </c>
    </row>
    <row r="1588" spans="1:1">
      <c r="A1588">
        <v>7.4450000000000002E-2</v>
      </c>
    </row>
    <row r="1589" spans="1:1">
      <c r="A1589">
        <v>4.9000000000000002E-2</v>
      </c>
    </row>
    <row r="1590" spans="1:1">
      <c r="A1590">
        <v>4.607E-2</v>
      </c>
    </row>
    <row r="1591" spans="1:1">
      <c r="A1591">
        <v>1.8700000000000001E-2</v>
      </c>
    </row>
    <row r="1592" spans="1:1">
      <c r="A1592">
        <v>8.3499999999999998E-3</v>
      </c>
    </row>
    <row r="1593" spans="1:1">
      <c r="A1593">
        <v>7.1799999999999998E-3</v>
      </c>
    </row>
    <row r="1594" spans="1:1">
      <c r="A1594">
        <v>0.20588999999999999</v>
      </c>
    </row>
    <row r="1595" spans="1:1">
      <c r="A1595">
        <v>0.13775999999999999</v>
      </c>
    </row>
    <row r="1596" spans="1:1">
      <c r="A1596">
        <v>6.0269999999999997E-2</v>
      </c>
    </row>
    <row r="1597" spans="1:1">
      <c r="A1597">
        <v>5.7250000000000002E-2</v>
      </c>
    </row>
    <row r="1598" spans="1:1">
      <c r="A1598">
        <v>2.1350000000000001E-2</v>
      </c>
    </row>
    <row r="1599" spans="1:1">
      <c r="A1599">
        <v>0.16228000000000001</v>
      </c>
    </row>
    <row r="1600" spans="1:1">
      <c r="A1600">
        <v>0.20354</v>
      </c>
    </row>
    <row r="1601" spans="1:1">
      <c r="A1601">
        <v>0.17595</v>
      </c>
    </row>
    <row r="1602" spans="1:1">
      <c r="A1602">
        <v>0.14088000000000001</v>
      </c>
    </row>
    <row r="1603" spans="1:1">
      <c r="A1603">
        <v>0.10317999999999999</v>
      </c>
    </row>
    <row r="1604" spans="1:1">
      <c r="A1604">
        <v>8.7609999999999993E-2</v>
      </c>
    </row>
    <row r="1605" spans="1:1">
      <c r="A1605">
        <v>7.3749999999999996E-2</v>
      </c>
    </row>
    <row r="1606" spans="1:1">
      <c r="A1606">
        <v>5.851E-2</v>
      </c>
    </row>
    <row r="1607" spans="1:1">
      <c r="A1607">
        <v>4.6010000000000002E-2</v>
      </c>
    </row>
    <row r="1608" spans="1:1">
      <c r="A1608">
        <v>4.4630000000000003E-2</v>
      </c>
    </row>
    <row r="1609" spans="1:1">
      <c r="A1609">
        <v>4.3869999999999999E-2</v>
      </c>
    </row>
    <row r="1610" spans="1:1">
      <c r="A1610">
        <v>2.0060000000000001E-2</v>
      </c>
    </row>
    <row r="1611" spans="1:1">
      <c r="A1611">
        <v>1.5910000000000001E-2</v>
      </c>
    </row>
    <row r="1612" spans="1:1">
      <c r="A1612">
        <v>0.15967999999999999</v>
      </c>
    </row>
    <row r="1613" spans="1:1">
      <c r="A1613">
        <v>0.13078000000000001</v>
      </c>
    </row>
    <row r="1614" spans="1:1">
      <c r="A1614">
        <v>7.1940000000000004E-2</v>
      </c>
    </row>
    <row r="1615" spans="1:1">
      <c r="A1615">
        <v>6.447E-2</v>
      </c>
    </row>
    <row r="1616" spans="1:1">
      <c r="A1616">
        <v>5.8590000000000003E-2</v>
      </c>
    </row>
    <row r="1617" spans="1:1">
      <c r="A1617">
        <v>0.15554000000000001</v>
      </c>
    </row>
    <row r="1618" spans="1:1">
      <c r="A1618">
        <v>0.15445999999999999</v>
      </c>
    </row>
    <row r="1619" spans="1:1">
      <c r="A1619">
        <v>4.7280000000000003E-2</v>
      </c>
    </row>
    <row r="1620" spans="1:1">
      <c r="A1620">
        <v>2.027E-2</v>
      </c>
    </row>
    <row r="1621" spans="1:1">
      <c r="A1621">
        <v>1.6830000000000001E-2</v>
      </c>
    </row>
    <row r="1622" spans="1:1">
      <c r="A1622">
        <v>1.4579999999999999E-2</v>
      </c>
    </row>
    <row r="1623" spans="1:1">
      <c r="A1623">
        <v>0.27539000000000002</v>
      </c>
    </row>
    <row r="1624" spans="1:1">
      <c r="A1624">
        <v>0.13854</v>
      </c>
    </row>
    <row r="1625" spans="1:1">
      <c r="A1625">
        <v>0.11563</v>
      </c>
    </row>
    <row r="1626" spans="1:1">
      <c r="A1626">
        <v>6.6960000000000006E-2</v>
      </c>
    </row>
    <row r="1627" spans="1:1">
      <c r="A1627">
        <v>0.10580000000000001</v>
      </c>
    </row>
    <row r="1628" spans="1:1">
      <c r="A1628">
        <v>7.3899999999999993E-2</v>
      </c>
    </row>
    <row r="1629" spans="1:1">
      <c r="A1629">
        <v>5.6079999999999998E-2</v>
      </c>
    </row>
    <row r="1630" spans="1:1">
      <c r="A1630">
        <v>3.4110000000000001E-2</v>
      </c>
    </row>
    <row r="1631" spans="1:1">
      <c r="A1631">
        <v>0.20829</v>
      </c>
    </row>
    <row r="1632" spans="1:1">
      <c r="A1632">
        <v>6.9010000000000002E-2</v>
      </c>
    </row>
    <row r="1633" spans="1:1">
      <c r="A1633">
        <v>5.9929999999999997E-2</v>
      </c>
    </row>
    <row r="1634" spans="1:1">
      <c r="A1634">
        <v>2.605E-2</v>
      </c>
    </row>
    <row r="1635" spans="1:1">
      <c r="A1635">
        <v>1.274E-2</v>
      </c>
    </row>
    <row r="1636" spans="1:1">
      <c r="A1636">
        <v>0.18905</v>
      </c>
    </row>
    <row r="1637" spans="1:1">
      <c r="A1637">
        <v>7.8820000000000001E-2</v>
      </c>
    </row>
    <row r="1638" spans="1:1">
      <c r="A1638">
        <v>7.3160000000000003E-2</v>
      </c>
    </row>
    <row r="1639" spans="1:1">
      <c r="A1639">
        <v>7.3120000000000004E-2</v>
      </c>
    </row>
    <row r="1640" spans="1:1">
      <c r="A1640">
        <v>5.0139999999999997E-2</v>
      </c>
    </row>
    <row r="1641" spans="1:1">
      <c r="A1641">
        <v>3.7280000000000001E-2</v>
      </c>
    </row>
    <row r="1642" spans="1:1">
      <c r="A1642">
        <v>3.3660000000000002E-2</v>
      </c>
    </row>
    <row r="1643" spans="1:1">
      <c r="A1643">
        <v>3.1949999999999999E-2</v>
      </c>
    </row>
    <row r="1644" spans="1:1">
      <c r="A1644">
        <v>3.1539999999999999E-2</v>
      </c>
    </row>
    <row r="1645" spans="1:1">
      <c r="A1645">
        <v>0.12776999999999999</v>
      </c>
    </row>
    <row r="1646" spans="1:1">
      <c r="A1646">
        <v>7.3279999999999998E-2</v>
      </c>
    </row>
    <row r="1647" spans="1:1">
      <c r="A1647">
        <v>1.6920000000000001E-2</v>
      </c>
    </row>
    <row r="1648" spans="1:1">
      <c r="A1648">
        <v>0.21994</v>
      </c>
    </row>
    <row r="1649" spans="1:1">
      <c r="A1649">
        <v>0.14465</v>
      </c>
    </row>
    <row r="1650" spans="1:1">
      <c r="A1650">
        <v>0.11811000000000001</v>
      </c>
    </row>
    <row r="1651" spans="1:1">
      <c r="A1651">
        <v>0.1042</v>
      </c>
    </row>
    <row r="1652" spans="1:1">
      <c r="A1652">
        <v>9.9979999999999999E-2</v>
      </c>
    </row>
    <row r="1653" spans="1:1">
      <c r="A1653">
        <v>9.6890000000000004E-2</v>
      </c>
    </row>
    <row r="1654" spans="1:1">
      <c r="A1654">
        <v>9.2450000000000004E-2</v>
      </c>
    </row>
    <row r="1655" spans="1:1">
      <c r="A1655">
        <v>7.8700000000000006E-2</v>
      </c>
    </row>
    <row r="1656" spans="1:1">
      <c r="A1656">
        <v>7.0730000000000001E-2</v>
      </c>
    </row>
    <row r="1657" spans="1:1">
      <c r="A1657">
        <v>3.8460000000000001E-2</v>
      </c>
    </row>
    <row r="1658" spans="1:1">
      <c r="A1658">
        <v>2.947E-2</v>
      </c>
    </row>
    <row r="1659" spans="1:1">
      <c r="A1659">
        <v>2.759E-2</v>
      </c>
    </row>
    <row r="1660" spans="1:1">
      <c r="A1660">
        <v>1.521E-2</v>
      </c>
    </row>
    <row r="1661" spans="1:1">
      <c r="A1661">
        <v>1.35E-2</v>
      </c>
    </row>
    <row r="1662" spans="1:1">
      <c r="A1662">
        <v>0.27298</v>
      </c>
    </row>
    <row r="1663" spans="1:1">
      <c r="A1663">
        <v>0.13270999999999999</v>
      </c>
    </row>
    <row r="1664" spans="1:1">
      <c r="A1664">
        <v>0.11197</v>
      </c>
    </row>
    <row r="1665" spans="1:1">
      <c r="A1665">
        <v>0.11076999999999999</v>
      </c>
    </row>
    <row r="1666" spans="1:1">
      <c r="A1666">
        <v>5.1400000000000001E-2</v>
      </c>
    </row>
    <row r="1667" spans="1:1">
      <c r="A1667">
        <v>2.8660000000000001E-2</v>
      </c>
    </row>
    <row r="1668" spans="1:1">
      <c r="A1668">
        <v>0.12736</v>
      </c>
    </row>
    <row r="1669" spans="1:1">
      <c r="A1669">
        <v>0.10811</v>
      </c>
    </row>
    <row r="1670" spans="1:1">
      <c r="A1670">
        <v>0.10471999999999999</v>
      </c>
    </row>
    <row r="1671" spans="1:1">
      <c r="A1671">
        <v>7.7579999999999996E-2</v>
      </c>
    </row>
    <row r="1672" spans="1:1">
      <c r="A1672">
        <v>2.9559999999999999E-2</v>
      </c>
    </row>
    <row r="1673" spans="1:1">
      <c r="A1673">
        <v>2.5569999999999999E-2</v>
      </c>
    </row>
    <row r="1674" spans="1:1">
      <c r="A1674">
        <v>2.5260000000000001E-2</v>
      </c>
    </row>
    <row r="1675" spans="1:1">
      <c r="A1675">
        <v>0.17154</v>
      </c>
    </row>
    <row r="1676" spans="1:1">
      <c r="A1676">
        <v>0.12077</v>
      </c>
    </row>
    <row r="1677" spans="1:1">
      <c r="A1677">
        <v>9.1069999999999998E-2</v>
      </c>
    </row>
    <row r="1678" spans="1:1">
      <c r="A1678">
        <v>8.6180000000000007E-2</v>
      </c>
    </row>
    <row r="1679" spans="1:1">
      <c r="A1679">
        <v>0</v>
      </c>
    </row>
    <row r="1680" spans="1:1">
      <c r="A1680">
        <v>0</v>
      </c>
    </row>
    <row r="1681" spans="1:1">
      <c r="A1681">
        <v>0.12075</v>
      </c>
    </row>
    <row r="1682" spans="1:1">
      <c r="A1682">
        <v>0.10086000000000001</v>
      </c>
    </row>
    <row r="1683" spans="1:1">
      <c r="A1683">
        <v>8.2860000000000003E-2</v>
      </c>
    </row>
    <row r="1684" spans="1:1">
      <c r="A1684">
        <v>6.8559999999999996E-2</v>
      </c>
    </row>
    <row r="1685" spans="1:1">
      <c r="A1685">
        <v>0.19253000000000001</v>
      </c>
    </row>
    <row r="1686" spans="1:1">
      <c r="A1686">
        <v>6.6729999999999998E-2</v>
      </c>
    </row>
    <row r="1687" spans="1:1">
      <c r="A1687">
        <v>5.0099999999999999E-2</v>
      </c>
    </row>
    <row r="1688" spans="1:1">
      <c r="A1688">
        <v>4.9820000000000003E-2</v>
      </c>
    </row>
    <row r="1689" spans="1:1">
      <c r="A1689">
        <v>4.4269999999999997E-2</v>
      </c>
    </row>
    <row r="1690" spans="1:1">
      <c r="A1690">
        <v>4.3270000000000003E-2</v>
      </c>
    </row>
    <row r="1691" spans="1:1">
      <c r="A1691">
        <v>1.8079999999999999E-2</v>
      </c>
    </row>
    <row r="1692" spans="1:1">
      <c r="A1692">
        <v>1.0710000000000001E-2</v>
      </c>
    </row>
    <row r="1693" spans="1:1">
      <c r="A1693">
        <v>0.10621</v>
      </c>
    </row>
    <row r="1694" spans="1:1">
      <c r="A1694">
        <v>7.0849999999999996E-2</v>
      </c>
    </row>
    <row r="1695" spans="1:1">
      <c r="A1695">
        <v>6.7900000000000002E-2</v>
      </c>
    </row>
    <row r="1696" spans="1:1">
      <c r="A1696">
        <v>6.6129999999999994E-2</v>
      </c>
    </row>
    <row r="1697" spans="1:1">
      <c r="A1697">
        <v>6.0440000000000001E-2</v>
      </c>
    </row>
    <row r="1698" spans="1:1">
      <c r="A1698">
        <v>3.6159999999999998E-2</v>
      </c>
    </row>
    <row r="1699" spans="1:1">
      <c r="A1699">
        <v>2.2159999999999999E-2</v>
      </c>
    </row>
    <row r="1700" spans="1:1">
      <c r="A1700">
        <v>7.4999999999999997E-3</v>
      </c>
    </row>
    <row r="1701" spans="1:1">
      <c r="A1701">
        <v>0.23341999999999999</v>
      </c>
    </row>
    <row r="1702" spans="1:1">
      <c r="A1702">
        <v>0.12062</v>
      </c>
    </row>
    <row r="1703" spans="1:1">
      <c r="A1703">
        <v>4.999E-2</v>
      </c>
    </row>
    <row r="1704" spans="1:1">
      <c r="A1704">
        <v>0.1482</v>
      </c>
    </row>
    <row r="1705" spans="1:1">
      <c r="A1705">
        <v>0.14332</v>
      </c>
    </row>
    <row r="1706" spans="1:1">
      <c r="A1706">
        <v>0.14319000000000001</v>
      </c>
    </row>
    <row r="1707" spans="1:1">
      <c r="A1707">
        <v>0.12188</v>
      </c>
    </row>
    <row r="1708" spans="1:1">
      <c r="A1708">
        <v>9.9089999999999998E-2</v>
      </c>
    </row>
    <row r="1709" spans="1:1">
      <c r="A1709">
        <v>9.8360000000000003E-2</v>
      </c>
    </row>
    <row r="1710" spans="1:1">
      <c r="A1710">
        <v>9.1619999999999993E-2</v>
      </c>
    </row>
    <row r="1711" spans="1:1">
      <c r="A1711">
        <v>5.0900000000000001E-2</v>
      </c>
    </row>
    <row r="1712" spans="1:1">
      <c r="A1712">
        <v>4.7399999999999998E-2</v>
      </c>
    </row>
    <row r="1713" spans="1:1">
      <c r="A1713">
        <v>4.122E-2</v>
      </c>
    </row>
    <row r="1714" spans="1:1">
      <c r="A1714">
        <v>3.3640000000000003E-2</v>
      </c>
    </row>
    <row r="1715" spans="1:1">
      <c r="A1715">
        <v>1.5270000000000001E-2</v>
      </c>
    </row>
    <row r="1716" spans="1:1">
      <c r="A1716">
        <v>0.27167000000000002</v>
      </c>
    </row>
    <row r="1717" spans="1:1">
      <c r="A1717">
        <v>0.13492999999999999</v>
      </c>
    </row>
    <row r="1718" spans="1:1">
      <c r="A1718">
        <v>0.11204</v>
      </c>
    </row>
    <row r="1719" spans="1:1">
      <c r="A1719">
        <v>0.10254000000000001</v>
      </c>
    </row>
    <row r="1720" spans="1:1">
      <c r="A1720">
        <v>5.3699999999999998E-2</v>
      </c>
    </row>
    <row r="1721" spans="1:1">
      <c r="A1721">
        <v>0.20401</v>
      </c>
    </row>
    <row r="1722" spans="1:1">
      <c r="A1722">
        <v>0.17502000000000001</v>
      </c>
    </row>
    <row r="1723" spans="1:1">
      <c r="A1723">
        <v>9.579E-2</v>
      </c>
    </row>
    <row r="1724" spans="1:1">
      <c r="A1724">
        <v>3.8469999999999997E-2</v>
      </c>
    </row>
    <row r="1725" spans="1:1">
      <c r="A1725">
        <v>3.6979999999999999E-2</v>
      </c>
    </row>
    <row r="1726" spans="1:1">
      <c r="A1726">
        <v>3.6589999999999998E-2</v>
      </c>
    </row>
    <row r="1727" spans="1:1">
      <c r="A1727">
        <v>7.8499999999999993E-3</v>
      </c>
    </row>
    <row r="1728" spans="1:1">
      <c r="A1728">
        <v>0.16458999999999999</v>
      </c>
    </row>
    <row r="1729" spans="1:1">
      <c r="A1729">
        <v>0.12015000000000001</v>
      </c>
    </row>
    <row r="1730" spans="1:1">
      <c r="A1730">
        <v>5.0950000000000002E-2</v>
      </c>
    </row>
    <row r="1731" spans="1:1">
      <c r="A1731">
        <v>4.6649999999999997E-2</v>
      </c>
    </row>
    <row r="1732" spans="1:1">
      <c r="A1732">
        <v>3.2190000000000003E-2</v>
      </c>
    </row>
    <row r="1733" spans="1:1">
      <c r="A1733">
        <v>9.3100000000000006E-3</v>
      </c>
    </row>
    <row r="1734" spans="1:1">
      <c r="A1734">
        <v>0.26340999999999998</v>
      </c>
    </row>
    <row r="1735" spans="1:1">
      <c r="A1735">
        <v>0.18937000000000001</v>
      </c>
    </row>
    <row r="1736" spans="1:1">
      <c r="A1736">
        <v>7.8539999999999999E-2</v>
      </c>
    </row>
    <row r="1737" spans="1:1">
      <c r="A1737">
        <v>5.2650000000000002E-2</v>
      </c>
    </row>
    <row r="1738" spans="1:1">
      <c r="A1738">
        <v>4.0320000000000002E-2</v>
      </c>
    </row>
    <row r="1739" spans="1:1">
      <c r="A1739">
        <v>2.7130000000000001E-2</v>
      </c>
    </row>
    <row r="1740" spans="1:1">
      <c r="A1740">
        <v>0.45812999999999998</v>
      </c>
    </row>
    <row r="1741" spans="1:1">
      <c r="A1741">
        <v>0.19484000000000001</v>
      </c>
    </row>
    <row r="1742" spans="1:1">
      <c r="A1742">
        <v>0.1021</v>
      </c>
    </row>
    <row r="1743" spans="1:1">
      <c r="A1743">
        <v>8.763E-2</v>
      </c>
    </row>
    <row r="1744" spans="1:1">
      <c r="A1744">
        <v>4.3619999999999999E-2</v>
      </c>
    </row>
    <row r="1745" spans="1:1">
      <c r="A1745">
        <v>3.3250000000000002E-2</v>
      </c>
    </row>
    <row r="1746" spans="1:1">
      <c r="A1746">
        <v>1.5129999999999999E-2</v>
      </c>
    </row>
    <row r="1747" spans="1:1">
      <c r="A1747">
        <v>0.21228</v>
      </c>
    </row>
    <row r="1748" spans="1:1">
      <c r="A1748">
        <v>0.18819</v>
      </c>
    </row>
    <row r="1749" spans="1:1">
      <c r="A1749">
        <v>0.12082</v>
      </c>
    </row>
    <row r="1750" spans="1:1">
      <c r="A1750">
        <v>9.7420000000000007E-2</v>
      </c>
    </row>
    <row r="1751" spans="1:1">
      <c r="A1751">
        <v>9.6390000000000003E-2</v>
      </c>
    </row>
    <row r="1752" spans="1:1">
      <c r="A1752">
        <v>8.1360000000000002E-2</v>
      </c>
    </row>
    <row r="1753" spans="1:1">
      <c r="A1753">
        <v>5.5300000000000002E-2</v>
      </c>
    </row>
    <row r="1754" spans="1:1">
      <c r="A1754">
        <v>4.9020000000000001E-2</v>
      </c>
    </row>
    <row r="1755" spans="1:1">
      <c r="A1755">
        <v>4.4519999999999997E-2</v>
      </c>
    </row>
    <row r="1756" spans="1:1">
      <c r="A1756">
        <v>2.3949999999999999E-2</v>
      </c>
    </row>
    <row r="1757" spans="1:1">
      <c r="A1757">
        <v>1.9259999999999999E-2</v>
      </c>
    </row>
    <row r="1758" spans="1:1">
      <c r="A1758">
        <v>9.9699999999999997E-3</v>
      </c>
    </row>
    <row r="1759" spans="1:1">
      <c r="A1759">
        <v>6.1500000000000001E-3</v>
      </c>
    </row>
    <row r="1760" spans="1:1">
      <c r="A1760">
        <v>0.1971</v>
      </c>
    </row>
    <row r="1761" spans="1:1">
      <c r="A1761">
        <v>0.13289999999999999</v>
      </c>
    </row>
    <row r="1762" spans="1:1">
      <c r="A1762">
        <v>6.2570000000000001E-2</v>
      </c>
    </row>
    <row r="1763" spans="1:1">
      <c r="A1763">
        <v>2.0789999999999999E-2</v>
      </c>
    </row>
    <row r="1764" spans="1:1">
      <c r="A1764">
        <v>0.17255000000000001</v>
      </c>
    </row>
    <row r="1765" spans="1:1">
      <c r="A1765">
        <v>0.12069000000000001</v>
      </c>
    </row>
    <row r="1766" spans="1:1">
      <c r="A1766">
        <v>6.5000000000000002E-2</v>
      </c>
    </row>
    <row r="1767" spans="1:1">
      <c r="A1767">
        <v>6.2960000000000002E-2</v>
      </c>
    </row>
    <row r="1768" spans="1:1">
      <c r="A1768">
        <v>5.2819999999999999E-2</v>
      </c>
    </row>
    <row r="1769" spans="1:1">
      <c r="A1769">
        <v>3.712E-2</v>
      </c>
    </row>
    <row r="1770" spans="1:1">
      <c r="A1770">
        <v>1.6029999999999999E-2</v>
      </c>
    </row>
    <row r="1771" spans="1:1">
      <c r="A1771">
        <v>1.304E-2</v>
      </c>
    </row>
    <row r="1772" spans="1:1">
      <c r="A1772">
        <v>1.298E-2</v>
      </c>
    </row>
    <row r="1773" spans="1:1">
      <c r="A1773">
        <v>9.8399999999999998E-3</v>
      </c>
    </row>
    <row r="1774" spans="1:1">
      <c r="A1774">
        <v>0.23613999999999999</v>
      </c>
    </row>
    <row r="1775" spans="1:1">
      <c r="A1775">
        <v>6.9699999999999998E-2</v>
      </c>
    </row>
    <row r="1776" spans="1:1">
      <c r="A1776">
        <v>4.5260000000000002E-2</v>
      </c>
    </row>
    <row r="1777" spans="1:1">
      <c r="A1777">
        <v>4.2169999999999999E-2</v>
      </c>
    </row>
    <row r="1778" spans="1:1">
      <c r="A1778">
        <v>2.8920000000000001E-2</v>
      </c>
    </row>
    <row r="1779" spans="1:1">
      <c r="A1779">
        <v>0.189</v>
      </c>
    </row>
    <row r="1780" spans="1:1">
      <c r="A1780">
        <v>0.11940000000000001</v>
      </c>
    </row>
    <row r="1781" spans="1:1">
      <c r="A1781">
        <v>4.2020000000000002E-2</v>
      </c>
    </row>
    <row r="1782" spans="1:1">
      <c r="A1782">
        <v>1.5559999999999999E-2</v>
      </c>
    </row>
    <row r="1783" spans="1:1">
      <c r="A1783">
        <v>0.12493</v>
      </c>
    </row>
    <row r="1784" spans="1:1">
      <c r="A1784">
        <v>7.954E-2</v>
      </c>
    </row>
    <row r="1785" spans="1:1">
      <c r="A1785">
        <v>1.2999999999999999E-3</v>
      </c>
    </row>
    <row r="1786" spans="1:1">
      <c r="A1786">
        <v>7.3109999999999994E-2</v>
      </c>
    </row>
    <row r="1787" spans="1:1">
      <c r="A1787">
        <v>4.7050000000000002E-2</v>
      </c>
    </row>
    <row r="1788" spans="1:1">
      <c r="A1788">
        <v>4.3180000000000003E-2</v>
      </c>
    </row>
    <row r="1789" spans="1:1">
      <c r="A1789">
        <v>3.7359999999999997E-2</v>
      </c>
    </row>
    <row r="1790" spans="1:1">
      <c r="A1790">
        <v>3.6659999999999998E-2</v>
      </c>
    </row>
    <row r="1791" spans="1:1">
      <c r="A1791">
        <v>1.8620000000000001E-2</v>
      </c>
    </row>
    <row r="1792" spans="1:1">
      <c r="A1792">
        <v>1.196E-2</v>
      </c>
    </row>
    <row r="1793" spans="1:1">
      <c r="A1793">
        <v>0.24203</v>
      </c>
    </row>
    <row r="1794" spans="1:1">
      <c r="A1794">
        <v>0.1167</v>
      </c>
    </row>
    <row r="1795" spans="1:1">
      <c r="A1795">
        <v>4.9329999999999999E-2</v>
      </c>
    </row>
    <row r="1796" spans="1:1">
      <c r="A1796">
        <v>3.6220000000000002E-2</v>
      </c>
    </row>
    <row r="1797" spans="1:1">
      <c r="A1797">
        <v>3.4509999999999999E-2</v>
      </c>
    </row>
    <row r="1798" spans="1:1">
      <c r="A1798">
        <v>1.6129999999999999E-2</v>
      </c>
    </row>
    <row r="1799" spans="1:1">
      <c r="A1799">
        <v>0.16891999999999999</v>
      </c>
    </row>
    <row r="1800" spans="1:1">
      <c r="A1800">
        <v>0.15792999999999999</v>
      </c>
    </row>
    <row r="1801" spans="1:1">
      <c r="A1801">
        <v>8.5050000000000001E-2</v>
      </c>
    </row>
    <row r="1802" spans="1:1">
      <c r="A1802">
        <v>5.8220000000000001E-2</v>
      </c>
    </row>
    <row r="1803" spans="1:1">
      <c r="A1803">
        <v>5.1470000000000002E-2</v>
      </c>
    </row>
    <row r="1804" spans="1:1">
      <c r="A1804">
        <v>2.6769999999999999E-2</v>
      </c>
    </row>
    <row r="1805" spans="1:1">
      <c r="A1805">
        <v>0.20474999999999999</v>
      </c>
    </row>
    <row r="1806" spans="1:1">
      <c r="A1806">
        <v>0.16800000000000001</v>
      </c>
    </row>
    <row r="1807" spans="1:1">
      <c r="A1807">
        <v>0.15773000000000001</v>
      </c>
    </row>
    <row r="1808" spans="1:1">
      <c r="A1808">
        <v>8.9639999999999997E-2</v>
      </c>
    </row>
    <row r="1809" spans="1:1">
      <c r="A1809">
        <v>2.9020000000000001E-2</v>
      </c>
    </row>
    <row r="1810" spans="1:1">
      <c r="A1810">
        <v>0.22398999999999999</v>
      </c>
    </row>
    <row r="1811" spans="1:1">
      <c r="A1811">
        <v>0.1401</v>
      </c>
    </row>
    <row r="1812" spans="1:1">
      <c r="A1812">
        <v>0.10014000000000001</v>
      </c>
    </row>
    <row r="1813" spans="1:1">
      <c r="A1813">
        <v>5.8740000000000001E-2</v>
      </c>
    </row>
    <row r="1814" spans="1:1">
      <c r="A1814">
        <v>1.081E-2</v>
      </c>
    </row>
    <row r="1815" spans="1:1">
      <c r="A1815">
        <v>0.17352999999999999</v>
      </c>
    </row>
    <row r="1816" spans="1:1">
      <c r="A1816">
        <v>7.9699999999999993E-2</v>
      </c>
    </row>
    <row r="1817" spans="1:1">
      <c r="A1817">
        <v>5.7270000000000001E-2</v>
      </c>
    </row>
    <row r="1818" spans="1:1">
      <c r="A1818">
        <v>4.6829999999999997E-2</v>
      </c>
    </row>
    <row r="1819" spans="1:1">
      <c r="A1819">
        <v>3.3450000000000001E-2</v>
      </c>
    </row>
    <row r="1820" spans="1:1">
      <c r="A1820">
        <v>1.5959999999999998E-2</v>
      </c>
    </row>
    <row r="1821" spans="1:1">
      <c r="A1821">
        <v>4.1200000000000004E-3</v>
      </c>
    </row>
    <row r="1822" spans="1:1">
      <c r="A1822">
        <v>0.23587</v>
      </c>
    </row>
    <row r="1823" spans="1:1">
      <c r="A1823">
        <v>0.21875</v>
      </c>
    </row>
    <row r="1824" spans="1:1">
      <c r="A1824">
        <v>0.11002000000000001</v>
      </c>
    </row>
    <row r="1825" spans="1:1">
      <c r="A1825">
        <v>8.1129999999999994E-2</v>
      </c>
    </row>
    <row r="1826" spans="1:1">
      <c r="A1826">
        <v>7.1029999999999996E-2</v>
      </c>
    </row>
    <row r="1827" spans="1:1">
      <c r="A1827">
        <v>4.342E-2</v>
      </c>
    </row>
    <row r="1828" spans="1:1">
      <c r="A1828">
        <v>0.28793999999999997</v>
      </c>
    </row>
    <row r="1829" spans="1:1">
      <c r="A1829">
        <v>3.7960000000000001E-2</v>
      </c>
    </row>
    <row r="1830" spans="1:1">
      <c r="A1830">
        <v>1.8020000000000001E-2</v>
      </c>
    </row>
    <row r="1831" spans="1:1">
      <c r="A1831">
        <v>0.15540999999999999</v>
      </c>
    </row>
    <row r="1832" spans="1:1">
      <c r="A1832">
        <v>8.0449999999999994E-2</v>
      </c>
    </row>
    <row r="1833" spans="1:1">
      <c r="A1833">
        <v>6.6650000000000001E-2</v>
      </c>
    </row>
    <row r="1834" spans="1:1">
      <c r="A1834">
        <v>5.3350000000000002E-2</v>
      </c>
    </row>
    <row r="1835" spans="1:1">
      <c r="A1835">
        <v>3.9449999999999999E-2</v>
      </c>
    </row>
    <row r="1836" spans="1:1">
      <c r="A1836">
        <v>3.372E-2</v>
      </c>
    </row>
    <row r="1837" spans="1:1">
      <c r="A1837">
        <v>0.12259</v>
      </c>
    </row>
    <row r="1838" spans="1:1">
      <c r="A1838">
        <v>6.071E-2</v>
      </c>
    </row>
    <row r="1839" spans="1:1">
      <c r="A1839">
        <v>3.7560000000000003E-2</v>
      </c>
    </row>
    <row r="1840" spans="1:1">
      <c r="A1840">
        <v>3.2849999999999997E-2</v>
      </c>
    </row>
    <row r="1841" spans="1:1">
      <c r="A1841">
        <v>7.3899999999999999E-3</v>
      </c>
    </row>
    <row r="1842" spans="1:1">
      <c r="A1842">
        <v>0.23497999999999999</v>
      </c>
    </row>
    <row r="1843" spans="1:1">
      <c r="A1843">
        <v>0.13533000000000001</v>
      </c>
    </row>
    <row r="1844" spans="1:1">
      <c r="A1844">
        <v>8.4250000000000005E-2</v>
      </c>
    </row>
    <row r="1845" spans="1:1">
      <c r="A1845">
        <v>6.1260000000000002E-2</v>
      </c>
    </row>
    <row r="1846" spans="1:1">
      <c r="A1846">
        <v>4.206E-2</v>
      </c>
    </row>
    <row r="1847" spans="1:1">
      <c r="A1847">
        <v>1.366E-2</v>
      </c>
    </row>
    <row r="1848" spans="1:1">
      <c r="A1848">
        <v>0.27892</v>
      </c>
    </row>
    <row r="1849" spans="1:1">
      <c r="A1849">
        <v>0.1913</v>
      </c>
    </row>
    <row r="1850" spans="1:1">
      <c r="A1850">
        <v>0.14649999999999999</v>
      </c>
    </row>
    <row r="1851" spans="1:1">
      <c r="A1851">
        <v>8.5529999999999995E-2</v>
      </c>
    </row>
    <row r="1852" spans="1:1">
      <c r="A1852">
        <v>6.1150000000000003E-2</v>
      </c>
    </row>
    <row r="1853" spans="1:1">
      <c r="A1853">
        <v>2.8060000000000002E-2</v>
      </c>
    </row>
    <row r="1854" spans="1:1">
      <c r="A1854">
        <v>2.3060000000000001E-2</v>
      </c>
    </row>
    <row r="1855" spans="1:1">
      <c r="A1855">
        <v>0.22774</v>
      </c>
    </row>
    <row r="1856" spans="1:1">
      <c r="A1856">
        <v>0.15337000000000001</v>
      </c>
    </row>
    <row r="1857" spans="1:1">
      <c r="A1857">
        <v>0.14851</v>
      </c>
    </row>
    <row r="1858" spans="1:1">
      <c r="A1858">
        <v>8.7359999999999993E-2</v>
      </c>
    </row>
    <row r="1859" spans="1:1">
      <c r="A1859">
        <v>7.2959999999999997E-2</v>
      </c>
    </row>
    <row r="1860" spans="1:1">
      <c r="A1860">
        <v>6.6769999999999996E-2</v>
      </c>
    </row>
    <row r="1861" spans="1:1">
      <c r="A1861">
        <v>5.2510000000000001E-2</v>
      </c>
    </row>
    <row r="1862" spans="1:1">
      <c r="A1862">
        <v>3.2250000000000001E-2</v>
      </c>
    </row>
    <row r="1863" spans="1:1">
      <c r="A1863">
        <v>2.0719999999999999E-2</v>
      </c>
    </row>
    <row r="1864" spans="1:1">
      <c r="A1864">
        <v>0.14454</v>
      </c>
    </row>
    <row r="1865" spans="1:1">
      <c r="A1865">
        <v>6.5960000000000005E-2</v>
      </c>
    </row>
    <row r="1866" spans="1:1">
      <c r="A1866">
        <v>3.3210000000000003E-2</v>
      </c>
    </row>
    <row r="1867" spans="1:1">
      <c r="A1867">
        <v>0.16088</v>
      </c>
    </row>
    <row r="1868" spans="1:1">
      <c r="A1868">
        <v>3.066E-2</v>
      </c>
    </row>
    <row r="1869" spans="1:1">
      <c r="A1869">
        <v>1.345E-2</v>
      </c>
    </row>
    <row r="1870" spans="1:1">
      <c r="A1870">
        <v>1.043E-2</v>
      </c>
    </row>
    <row r="1871" spans="1:1">
      <c r="A1871">
        <v>0.11307</v>
      </c>
    </row>
    <row r="1872" spans="1:1">
      <c r="A1872">
        <v>1.315E-2</v>
      </c>
    </row>
    <row r="1873" spans="1:1">
      <c r="A1873">
        <v>7.6880000000000004E-2</v>
      </c>
    </row>
    <row r="1874" spans="1:1">
      <c r="A1874">
        <v>2.7269999999999999E-2</v>
      </c>
    </row>
    <row r="1875" spans="1:1">
      <c r="A1875">
        <v>0.18265999999999999</v>
      </c>
    </row>
    <row r="1876" spans="1:1">
      <c r="A1876">
        <v>9.289E-2</v>
      </c>
    </row>
    <row r="1877" spans="1:1">
      <c r="A1877">
        <v>3.8679999999999999E-2</v>
      </c>
    </row>
    <row r="1878" spans="1:1">
      <c r="A1878">
        <v>2.8400000000000002E-2</v>
      </c>
    </row>
    <row r="1879" spans="1:1">
      <c r="A1879">
        <v>0.22638</v>
      </c>
    </row>
    <row r="1880" spans="1:1">
      <c r="A1880">
        <v>0.13100999999999999</v>
      </c>
    </row>
    <row r="1881" spans="1:1">
      <c r="A1881">
        <v>7.9920000000000005E-2</v>
      </c>
    </row>
    <row r="1882" spans="1:1">
      <c r="A1882">
        <v>7.4490000000000001E-2</v>
      </c>
    </row>
    <row r="1883" spans="1:1">
      <c r="A1883">
        <v>6.6559999999999994E-2</v>
      </c>
    </row>
    <row r="1884" spans="1:1">
      <c r="A1884">
        <v>5.6189999999999997E-2</v>
      </c>
    </row>
    <row r="1885" spans="1:1">
      <c r="A1885">
        <v>4.215E-2</v>
      </c>
    </row>
    <row r="1886" spans="1:1">
      <c r="A1886">
        <v>0.13916000000000001</v>
      </c>
    </row>
    <row r="1887" spans="1:1">
      <c r="A1887">
        <v>5.6759999999999998E-2</v>
      </c>
    </row>
    <row r="1888" spans="1:1">
      <c r="A1888">
        <v>4.1619999999999997E-2</v>
      </c>
    </row>
    <row r="1889" spans="1:1">
      <c r="A1889">
        <v>0.12278</v>
      </c>
    </row>
    <row r="1890" spans="1:1">
      <c r="A1890">
        <v>8.4470000000000003E-2</v>
      </c>
    </row>
    <row r="1891" spans="1:1">
      <c r="A1891">
        <v>4.3069999999999997E-2</v>
      </c>
    </row>
    <row r="1892" spans="1:1">
      <c r="A1892">
        <v>3.2590000000000001E-2</v>
      </c>
    </row>
    <row r="1893" spans="1:1">
      <c r="A1893">
        <v>7.1700000000000002E-3</v>
      </c>
    </row>
    <row r="1894" spans="1:1">
      <c r="A1894">
        <v>0.11335000000000001</v>
      </c>
    </row>
    <row r="1895" spans="1:1">
      <c r="A1895">
        <v>5.9650000000000002E-2</v>
      </c>
    </row>
    <row r="1896" spans="1:1">
      <c r="A1896">
        <v>0.43595</v>
      </c>
    </row>
    <row r="1897" spans="1:1">
      <c r="A1897">
        <v>0.20066999999999999</v>
      </c>
    </row>
    <row r="1898" spans="1:1">
      <c r="A1898">
        <v>5.1950000000000003E-2</v>
      </c>
    </row>
    <row r="1899" spans="1:1">
      <c r="A1899">
        <v>2.555E-2</v>
      </c>
    </row>
    <row r="1900" spans="1:1">
      <c r="A1900">
        <v>7.4200000000000004E-3</v>
      </c>
    </row>
    <row r="1901" spans="1:1">
      <c r="A1901">
        <v>1.1800000000000001E-3</v>
      </c>
    </row>
    <row r="1902" spans="1:1">
      <c r="A1902">
        <v>0.25294</v>
      </c>
    </row>
    <row r="1903" spans="1:1">
      <c r="A1903">
        <v>0.15742999999999999</v>
      </c>
    </row>
    <row r="1904" spans="1:1">
      <c r="A1904">
        <v>8.9480000000000004E-2</v>
      </c>
    </row>
    <row r="1905" spans="1:1">
      <c r="A1905">
        <v>7.5700000000000003E-2</v>
      </c>
    </row>
    <row r="1906" spans="1:1">
      <c r="A1906">
        <v>3.8980000000000001E-2</v>
      </c>
    </row>
    <row r="1907" spans="1:1">
      <c r="A1907">
        <v>1.519E-2</v>
      </c>
    </row>
    <row r="1908" spans="1:1">
      <c r="A1908">
        <v>8.2299999999999995E-3</v>
      </c>
    </row>
    <row r="1909" spans="1:1">
      <c r="A1909">
        <v>0.14871000000000001</v>
      </c>
    </row>
    <row r="1910" spans="1:1">
      <c r="A1910">
        <v>3.6159999999999998E-2</v>
      </c>
    </row>
    <row r="1911" spans="1:1">
      <c r="A1911">
        <v>0.27900999999999998</v>
      </c>
    </row>
    <row r="1912" spans="1:1">
      <c r="A1912">
        <v>0.15118999999999999</v>
      </c>
    </row>
    <row r="1913" spans="1:1">
      <c r="A1913">
        <v>0.12145</v>
      </c>
    </row>
    <row r="1914" spans="1:1">
      <c r="A1914">
        <v>9.2329999999999995E-2</v>
      </c>
    </row>
    <row r="1915" spans="1:1">
      <c r="A1915">
        <v>7.349E-2</v>
      </c>
    </row>
    <row r="1916" spans="1:1">
      <c r="A1916">
        <v>6.3649999999999998E-2</v>
      </c>
    </row>
    <row r="1917" spans="1:1">
      <c r="A1917">
        <v>0.15559999999999999</v>
      </c>
    </row>
    <row r="1918" spans="1:1">
      <c r="A1918">
        <v>7.4340000000000003E-2</v>
      </c>
    </row>
    <row r="1919" spans="1:1">
      <c r="A1919">
        <v>6.6680000000000003E-2</v>
      </c>
    </row>
    <row r="1920" spans="1:1">
      <c r="A1920">
        <v>5.8290000000000002E-2</v>
      </c>
    </row>
    <row r="1921" spans="1:1">
      <c r="A1921">
        <v>3.7859999999999998E-2</v>
      </c>
    </row>
    <row r="1922" spans="1:1">
      <c r="A1922">
        <v>3.6069999999999998E-2</v>
      </c>
    </row>
    <row r="1923" spans="1:1">
      <c r="A1923">
        <v>3.4729999999999997E-2</v>
      </c>
    </row>
    <row r="1924" spans="1:1">
      <c r="A1924">
        <v>1.6930000000000001E-2</v>
      </c>
    </row>
    <row r="1925" spans="1:1">
      <c r="A1925">
        <v>2.7220000000000001E-2</v>
      </c>
    </row>
    <row r="1926" spans="1:1">
      <c r="A1926">
        <v>8.1200000000000005E-3</v>
      </c>
    </row>
    <row r="1927" spans="1:1">
      <c r="A1927">
        <v>0.13589999999999999</v>
      </c>
    </row>
    <row r="1928" spans="1:1">
      <c r="A1928">
        <v>5.5050000000000002E-2</v>
      </c>
    </row>
    <row r="1929" spans="1:1">
      <c r="A1929">
        <v>4.9160000000000002E-2</v>
      </c>
    </row>
    <row r="1930" spans="1:1">
      <c r="A1930">
        <v>2.6190000000000001E-2</v>
      </c>
    </row>
    <row r="1931" spans="1:1">
      <c r="A1931">
        <v>2.7699999999999999E-3</v>
      </c>
    </row>
    <row r="1932" spans="1:1">
      <c r="A1932">
        <v>0.13086999999999999</v>
      </c>
    </row>
    <row r="1933" spans="1:1">
      <c r="A1933">
        <v>9.7769999999999996E-2</v>
      </c>
    </row>
    <row r="1934" spans="1:1">
      <c r="A1934">
        <v>9.6299999999999997E-2</v>
      </c>
    </row>
    <row r="1935" spans="1:1">
      <c r="A1935">
        <v>6.1530000000000001E-2</v>
      </c>
    </row>
    <row r="1936" spans="1:1">
      <c r="A1936">
        <v>2.743E-2</v>
      </c>
    </row>
    <row r="1937" spans="1:1">
      <c r="A1937">
        <v>2.6790000000000001E-2</v>
      </c>
    </row>
    <row r="1938" spans="1:1">
      <c r="A1938">
        <v>1.678E-2</v>
      </c>
    </row>
    <row r="1939" spans="1:1">
      <c r="A1939">
        <v>6.11E-3</v>
      </c>
    </row>
    <row r="1940" spans="1:1">
      <c r="A1940">
        <v>9.5049999999999996E-2</v>
      </c>
    </row>
    <row r="1941" spans="1:1">
      <c r="A1941">
        <v>5.4050000000000001E-2</v>
      </c>
    </row>
    <row r="1942" spans="1:1">
      <c r="A1942">
        <v>4.6019999999999998E-2</v>
      </c>
    </row>
    <row r="1943" spans="1:1">
      <c r="A1943">
        <v>0.22943</v>
      </c>
    </row>
    <row r="1944" spans="1:1">
      <c r="A1944">
        <v>0.11749</v>
      </c>
    </row>
    <row r="1945" spans="1:1">
      <c r="A1945">
        <v>0.10102999999999999</v>
      </c>
    </row>
    <row r="1946" spans="1:1">
      <c r="A1946">
        <v>2.6270000000000002E-2</v>
      </c>
    </row>
    <row r="1947" spans="1:1">
      <c r="A1947">
        <v>0.16009999999999999</v>
      </c>
    </row>
    <row r="1948" spans="1:1">
      <c r="A1948">
        <v>0.13145000000000001</v>
      </c>
    </row>
    <row r="1949" spans="1:1">
      <c r="A1949">
        <v>4.2320000000000003E-2</v>
      </c>
    </row>
    <row r="1950" spans="1:1">
      <c r="A1950">
        <v>3.6810000000000002E-2</v>
      </c>
    </row>
    <row r="1951" spans="1:1">
      <c r="A1951">
        <v>0.28414</v>
      </c>
    </row>
    <row r="1952" spans="1:1">
      <c r="A1952">
        <v>0.13392000000000001</v>
      </c>
    </row>
    <row r="1953" spans="1:1">
      <c r="A1953">
        <v>3.8089999999999999E-2</v>
      </c>
    </row>
    <row r="1954" spans="1:1">
      <c r="A1954">
        <v>0.15665000000000001</v>
      </c>
    </row>
    <row r="1955" spans="1:1">
      <c r="A1955">
        <v>6.5909999999999996E-2</v>
      </c>
    </row>
    <row r="1956" spans="1:1">
      <c r="A1956">
        <v>5.9380000000000002E-2</v>
      </c>
    </row>
    <row r="1957" spans="1:1">
      <c r="A1957">
        <v>4.48E-2</v>
      </c>
    </row>
    <row r="1958" spans="1:1">
      <c r="A1958">
        <v>3.0210000000000001E-2</v>
      </c>
    </row>
    <row r="1959" spans="1:1">
      <c r="A1959">
        <v>2.776E-2</v>
      </c>
    </row>
    <row r="1960" spans="1:1">
      <c r="A1960">
        <v>4.3400000000000001E-3</v>
      </c>
    </row>
    <row r="1961" spans="1:1">
      <c r="A1961">
        <v>3.7599999999999999E-3</v>
      </c>
    </row>
    <row r="1962" spans="1:1">
      <c r="A1962">
        <v>3.5100000000000001E-3</v>
      </c>
    </row>
    <row r="1963" spans="1:1">
      <c r="A1963">
        <v>0.16789999999999999</v>
      </c>
    </row>
    <row r="1964" spans="1:1">
      <c r="A1964">
        <v>0.1159</v>
      </c>
    </row>
    <row r="1965" spans="1:1">
      <c r="A1965">
        <v>4.6249999999999999E-2</v>
      </c>
    </row>
    <row r="1966" spans="1:1">
      <c r="A1966">
        <v>0.10498</v>
      </c>
    </row>
    <row r="1967" spans="1:1">
      <c r="A1967">
        <v>0.10135</v>
      </c>
    </row>
    <row r="1968" spans="1:1">
      <c r="A1968">
        <v>8.9279999999999998E-2</v>
      </c>
    </row>
    <row r="1969" spans="1:1">
      <c r="A1969">
        <v>8.6819999999999994E-2</v>
      </c>
    </row>
    <row r="1970" spans="1:1">
      <c r="A1970">
        <v>7.6749999999999999E-2</v>
      </c>
    </row>
    <row r="1971" spans="1:1">
      <c r="A1971">
        <v>6.4769999999999994E-2</v>
      </c>
    </row>
    <row r="1972" spans="1:1">
      <c r="A1972">
        <v>4.3779999999999999E-2</v>
      </c>
    </row>
    <row r="1973" spans="1:1">
      <c r="A1973">
        <v>7.0620000000000002E-2</v>
      </c>
    </row>
    <row r="1974" spans="1:1">
      <c r="A1974">
        <v>0.1181</v>
      </c>
    </row>
    <row r="1975" spans="1:1">
      <c r="A1975">
        <v>2.214E-2</v>
      </c>
    </row>
    <row r="1976" spans="1:1">
      <c r="A1976">
        <v>0.27833999999999998</v>
      </c>
    </row>
    <row r="1977" spans="1:1">
      <c r="A1977">
        <v>0.1067</v>
      </c>
    </row>
    <row r="1978" spans="1:1">
      <c r="A1978">
        <v>5.9580000000000001E-2</v>
      </c>
    </row>
    <row r="1979" spans="1:1">
      <c r="A1979">
        <v>5.7520000000000002E-2</v>
      </c>
    </row>
    <row r="1980" spans="1:1">
      <c r="A1980">
        <v>0.16034000000000001</v>
      </c>
    </row>
    <row r="1981" spans="1:1">
      <c r="A1981">
        <v>0.12998000000000001</v>
      </c>
    </row>
    <row r="1982" spans="1:1">
      <c r="A1982">
        <v>0.12545000000000001</v>
      </c>
    </row>
    <row r="1983" spans="1:1">
      <c r="A1983">
        <v>7.6350000000000001E-2</v>
      </c>
    </row>
    <row r="1984" spans="1:1">
      <c r="A1984">
        <v>7.4800000000000005E-2</v>
      </c>
    </row>
    <row r="1985" spans="1:1">
      <c r="A1985">
        <v>6.658E-2</v>
      </c>
    </row>
    <row r="1986" spans="1:1">
      <c r="A1986">
        <v>5.0860000000000002E-2</v>
      </c>
    </row>
    <row r="1987" spans="1:1">
      <c r="A1987">
        <v>1.4800000000000001E-2</v>
      </c>
    </row>
    <row r="1988" spans="1:1">
      <c r="A1988">
        <v>1.085E-2</v>
      </c>
    </row>
    <row r="1989" spans="1:1">
      <c r="A1989">
        <v>0.13743</v>
      </c>
    </row>
    <row r="1990" spans="1:1">
      <c r="A1990">
        <v>8.7929999999999994E-2</v>
      </c>
    </row>
    <row r="1991" spans="1:1">
      <c r="A1991">
        <v>7.195E-2</v>
      </c>
    </row>
    <row r="1992" spans="1:1">
      <c r="A1992">
        <v>6.7449999999999996E-2</v>
      </c>
    </row>
    <row r="1993" spans="1:1">
      <c r="A1993">
        <v>6.6909999999999997E-2</v>
      </c>
    </row>
    <row r="1994" spans="1:1">
      <c r="A1994">
        <v>5.5509999999999997E-2</v>
      </c>
    </row>
    <row r="1995" spans="1:1">
      <c r="A1995">
        <v>0.17000999999999999</v>
      </c>
    </row>
    <row r="1996" spans="1:1">
      <c r="A1996">
        <v>0.16839000000000001</v>
      </c>
    </row>
    <row r="1997" spans="1:1">
      <c r="A1997">
        <v>0.15770999999999999</v>
      </c>
    </row>
    <row r="1998" spans="1:1">
      <c r="A1998">
        <v>0.13023000000000001</v>
      </c>
    </row>
    <row r="1999" spans="1:1">
      <c r="A1999">
        <v>0.12783</v>
      </c>
    </row>
    <row r="2000" spans="1:1">
      <c r="A2000">
        <v>3.3340000000000002E-2</v>
      </c>
    </row>
    <row r="2001" spans="1:1">
      <c r="A2001">
        <v>2.8490000000000001E-2</v>
      </c>
    </row>
    <row r="2002" spans="1:1">
      <c r="A2002">
        <v>1.8749999999999999E-2</v>
      </c>
    </row>
    <row r="2003" spans="1:1">
      <c r="A2003">
        <v>0.22405</v>
      </c>
    </row>
    <row r="2004" spans="1:1">
      <c r="A2004">
        <v>0.17054</v>
      </c>
    </row>
    <row r="2005" spans="1:1">
      <c r="A2005">
        <v>0.11846</v>
      </c>
    </row>
    <row r="2006" spans="1:1">
      <c r="A2006">
        <v>0.11476</v>
      </c>
    </row>
    <row r="2007" spans="1:1">
      <c r="A2007">
        <v>6.2260000000000003E-2</v>
      </c>
    </row>
    <row r="2008" spans="1:1">
      <c r="A2008">
        <v>3.4099999999999998E-3</v>
      </c>
    </row>
    <row r="2009" spans="1:1">
      <c r="A2009">
        <v>0.14593</v>
      </c>
    </row>
    <row r="2010" spans="1:1">
      <c r="A2010">
        <v>0.1145</v>
      </c>
    </row>
    <row r="2011" spans="1:1">
      <c r="A2011">
        <v>0.11354</v>
      </c>
    </row>
    <row r="2012" spans="1:1">
      <c r="A2012">
        <v>5.722E-2</v>
      </c>
    </row>
    <row r="2013" spans="1:1">
      <c r="A2013">
        <v>4.6809999999999997E-2</v>
      </c>
    </row>
    <row r="2014" spans="1:1">
      <c r="A2014">
        <v>4.3779999999999999E-2</v>
      </c>
    </row>
    <row r="2015" spans="1:1">
      <c r="A2015">
        <v>1.465E-2</v>
      </c>
    </row>
    <row r="2016" spans="1:1">
      <c r="A2016">
        <v>1.2279999999999999E-2</v>
      </c>
    </row>
    <row r="2017" spans="1:1">
      <c r="A2017">
        <v>4.308E-2</v>
      </c>
    </row>
    <row r="2018" spans="1:1">
      <c r="A2018">
        <v>0.11165</v>
      </c>
    </row>
    <row r="2019" spans="1:1">
      <c r="A2019">
        <v>9.9750000000000005E-2</v>
      </c>
    </row>
    <row r="2020" spans="1:1">
      <c r="A2020">
        <v>4.5580000000000002E-2</v>
      </c>
    </row>
    <row r="2021" spans="1:1">
      <c r="A2021">
        <v>0.20258000000000001</v>
      </c>
    </row>
    <row r="2022" spans="1:1">
      <c r="A2022">
        <v>0.15819</v>
      </c>
    </row>
    <row r="2023" spans="1:1">
      <c r="A2023">
        <v>0.10546999999999999</v>
      </c>
    </row>
    <row r="2024" spans="1:1">
      <c r="A2024">
        <v>8.7029999999999996E-2</v>
      </c>
    </row>
    <row r="2025" spans="1:1">
      <c r="A2025">
        <v>3.8679999999999999E-2</v>
      </c>
    </row>
    <row r="2026" spans="1:1">
      <c r="A2026">
        <v>3.0980000000000001E-2</v>
      </c>
    </row>
    <row r="2027" spans="1:1">
      <c r="A2027">
        <v>1.125E-2</v>
      </c>
    </row>
    <row r="2028" spans="1:1">
      <c r="A2028">
        <v>0.16488</v>
      </c>
    </row>
    <row r="2029" spans="1:1">
      <c r="A2029">
        <v>0.12154</v>
      </c>
    </row>
    <row r="2030" spans="1:1">
      <c r="A2030">
        <v>6.5629999999999994E-2</v>
      </c>
    </row>
    <row r="2031" spans="1:1">
      <c r="A2031">
        <v>4.6170000000000003E-2</v>
      </c>
    </row>
    <row r="2032" spans="1:1">
      <c r="A2032">
        <v>1.7409999999999998E-2</v>
      </c>
    </row>
    <row r="2033" spans="1:1">
      <c r="A2033">
        <v>0.21065999999999999</v>
      </c>
    </row>
    <row r="2034" spans="1:1">
      <c r="A2034">
        <v>0.20049</v>
      </c>
    </row>
    <row r="2035" spans="1:1">
      <c r="A2035">
        <v>0.10831</v>
      </c>
    </row>
    <row r="2036" spans="1:1">
      <c r="A2036">
        <v>2.401E-2</v>
      </c>
    </row>
    <row r="2037" spans="1:1">
      <c r="A2037">
        <v>0.15998000000000001</v>
      </c>
    </row>
    <row r="2038" spans="1:1">
      <c r="A2038">
        <v>4.691E-2</v>
      </c>
    </row>
    <row r="2039" spans="1:1">
      <c r="A2039">
        <v>0.20402999999999999</v>
      </c>
    </row>
    <row r="2040" spans="1:1">
      <c r="A2040">
        <v>0.15583</v>
      </c>
    </row>
    <row r="2041" spans="1:1">
      <c r="A2041">
        <v>0.10388</v>
      </c>
    </row>
    <row r="2042" spans="1:1">
      <c r="A2042">
        <v>6.8440000000000001E-2</v>
      </c>
    </row>
    <row r="2043" spans="1:1">
      <c r="A2043">
        <v>4.759E-2</v>
      </c>
    </row>
    <row r="2044" spans="1:1">
      <c r="A2044">
        <v>0.11043</v>
      </c>
    </row>
    <row r="2045" spans="1:1">
      <c r="A2045">
        <v>8.8179999999999994E-2</v>
      </c>
    </row>
    <row r="2046" spans="1:1">
      <c r="A2046">
        <v>6.1089999999999998E-2</v>
      </c>
    </row>
    <row r="2047" spans="1:1">
      <c r="A2047">
        <v>5.3359999999999998E-2</v>
      </c>
    </row>
    <row r="2048" spans="1:1">
      <c r="A2048">
        <v>8.6300000000000005E-3</v>
      </c>
    </row>
    <row r="2049" spans="1:1">
      <c r="A2049">
        <v>0.15237999999999999</v>
      </c>
    </row>
    <row r="2050" spans="1:1">
      <c r="A2050">
        <v>0.11552</v>
      </c>
    </row>
    <row r="2051" spans="1:1">
      <c r="A2051">
        <v>8.9459999999999998E-2</v>
      </c>
    </row>
    <row r="2052" spans="1:1">
      <c r="A2052">
        <v>7.6960000000000001E-2</v>
      </c>
    </row>
    <row r="2053" spans="1:1">
      <c r="A2053">
        <v>3.6999999999999998E-2</v>
      </c>
    </row>
    <row r="2054" spans="1:1">
      <c r="A2054">
        <v>0.1351</v>
      </c>
    </row>
    <row r="2055" spans="1:1">
      <c r="A2055">
        <v>0.12952</v>
      </c>
    </row>
    <row r="2056" spans="1:1">
      <c r="A2056">
        <v>7.5439999999999993E-2</v>
      </c>
    </row>
    <row r="2057" spans="1:1">
      <c r="A2057">
        <v>5.1409999999999997E-2</v>
      </c>
    </row>
    <row r="2058" spans="1:1">
      <c r="A2058">
        <v>2.8469999999999999E-2</v>
      </c>
    </row>
    <row r="2059" spans="1:1">
      <c r="A2059">
        <v>1.123E-2</v>
      </c>
    </row>
    <row r="2060" spans="1:1">
      <c r="A2060">
        <v>9.7390000000000004E-2</v>
      </c>
    </row>
    <row r="2061" spans="1:1">
      <c r="A2061">
        <v>8.7730000000000002E-2</v>
      </c>
    </row>
    <row r="2062" spans="1:1">
      <c r="A2062">
        <v>5.5449999999999999E-2</v>
      </c>
    </row>
    <row r="2063" spans="1:1">
      <c r="A2063">
        <v>3.5700000000000003E-2</v>
      </c>
    </row>
    <row r="2064" spans="1:1">
      <c r="A2064">
        <v>1.8970000000000001E-2</v>
      </c>
    </row>
    <row r="2065" spans="1:1">
      <c r="A2065">
        <v>6.3800000000000003E-3</v>
      </c>
    </row>
    <row r="2066" spans="1:1">
      <c r="A2066">
        <v>0.18559</v>
      </c>
    </row>
    <row r="2067" spans="1:1">
      <c r="A2067">
        <v>0.12114</v>
      </c>
    </row>
    <row r="2068" spans="1:1">
      <c r="A2068">
        <v>5.5730000000000002E-2</v>
      </c>
    </row>
    <row r="2069" spans="1:1">
      <c r="A2069">
        <v>4.6219999999999997E-2</v>
      </c>
    </row>
    <row r="2070" spans="1:1">
      <c r="A2070">
        <v>2.639E-2</v>
      </c>
    </row>
    <row r="2071" spans="1:1">
      <c r="A2071">
        <v>0.24493999999999999</v>
      </c>
    </row>
    <row r="2072" spans="1:1">
      <c r="A2072">
        <v>0.11958000000000001</v>
      </c>
    </row>
    <row r="2073" spans="1:1">
      <c r="A2073">
        <v>3.4729999999999997E-2</v>
      </c>
    </row>
    <row r="2074" spans="1:1">
      <c r="A2074">
        <v>1.09E-3</v>
      </c>
    </row>
    <row r="2075" spans="1:1">
      <c r="A2075">
        <v>0.13891000000000001</v>
      </c>
    </row>
    <row r="2076" spans="1:1">
      <c r="A2076">
        <v>0.12773999999999999</v>
      </c>
    </row>
    <row r="2077" spans="1:1">
      <c r="A2077">
        <v>0.12756000000000001</v>
      </c>
    </row>
    <row r="2078" spans="1:1">
      <c r="A2078">
        <v>9.461E-2</v>
      </c>
    </row>
    <row r="2079" spans="1:1">
      <c r="A2079">
        <v>2.9389999999999999E-2</v>
      </c>
    </row>
    <row r="2080" spans="1:1">
      <c r="A2080">
        <v>2.5250000000000002E-2</v>
      </c>
    </row>
    <row r="2081" spans="1:1">
      <c r="A2081">
        <v>0.19040000000000001</v>
      </c>
    </row>
    <row r="2082" spans="1:1">
      <c r="A2082">
        <v>0.14277999999999999</v>
      </c>
    </row>
    <row r="2083" spans="1:1">
      <c r="A2083">
        <v>0.11638</v>
      </c>
    </row>
    <row r="2084" spans="1:1">
      <c r="A2084">
        <v>9.5049999999999996E-2</v>
      </c>
    </row>
    <row r="2085" spans="1:1">
      <c r="A2085">
        <v>7.9310000000000005E-2</v>
      </c>
    </row>
    <row r="2086" spans="1:1">
      <c r="A2086">
        <v>7.5899999999999995E-2</v>
      </c>
    </row>
    <row r="2087" spans="1:1">
      <c r="A2087">
        <v>5.7979999999999997E-2</v>
      </c>
    </row>
    <row r="2088" spans="1:1">
      <c r="A2088">
        <v>4.1689999999999998E-2</v>
      </c>
    </row>
    <row r="2089" spans="1:1">
      <c r="A2089">
        <v>0.1542</v>
      </c>
    </row>
    <row r="2090" spans="1:1">
      <c r="A2090">
        <v>0.1024</v>
      </c>
    </row>
    <row r="2091" spans="1:1">
      <c r="A2091">
        <v>0.10136000000000001</v>
      </c>
    </row>
    <row r="2092" spans="1:1">
      <c r="A2092">
        <v>8.9649999999999994E-2</v>
      </c>
    </row>
    <row r="2093" spans="1:1">
      <c r="A2093">
        <v>6.9529999999999995E-2</v>
      </c>
    </row>
    <row r="2094" spans="1:1">
      <c r="A2094">
        <v>4.1390000000000003E-2</v>
      </c>
    </row>
    <row r="2095" spans="1:1">
      <c r="A2095">
        <v>0.21883</v>
      </c>
    </row>
    <row r="2096" spans="1:1">
      <c r="A2096">
        <v>0.15598000000000001</v>
      </c>
    </row>
    <row r="2097" spans="1:1">
      <c r="A2097">
        <v>9.5769999999999994E-2</v>
      </c>
    </row>
    <row r="2098" spans="1:1">
      <c r="A2098">
        <v>2.376E-2</v>
      </c>
    </row>
    <row r="2099" spans="1:1">
      <c r="A2099">
        <v>0.114</v>
      </c>
    </row>
    <row r="2100" spans="1:1">
      <c r="A2100">
        <v>5.423E-2</v>
      </c>
    </row>
    <row r="2101" spans="1:1">
      <c r="A2101">
        <v>5.1569999999999998E-2</v>
      </c>
    </row>
    <row r="2102" spans="1:1">
      <c r="A2102">
        <v>6.8500000000000002E-3</v>
      </c>
    </row>
    <row r="2103" spans="1:1">
      <c r="A2103">
        <v>3.3709999999999997E-2</v>
      </c>
    </row>
    <row r="2104" spans="1:1">
      <c r="A2104">
        <v>3.313E-2</v>
      </c>
    </row>
    <row r="2105" spans="1:1">
      <c r="A2105">
        <v>3.039E-2</v>
      </c>
    </row>
    <row r="2106" spans="1:1">
      <c r="A2106">
        <v>1.7160000000000002E-2</v>
      </c>
    </row>
    <row r="2107" spans="1:1">
      <c r="A2107">
        <v>0.16113</v>
      </c>
    </row>
    <row r="2108" spans="1:1">
      <c r="A2108">
        <v>7.5560000000000002E-2</v>
      </c>
    </row>
    <row r="2109" spans="1:1">
      <c r="A2109">
        <v>4.6559999999999997E-2</v>
      </c>
    </row>
    <row r="2110" spans="1:1">
      <c r="A2110">
        <v>7.2499999999999995E-2</v>
      </c>
    </row>
    <row r="2111" spans="1:1">
      <c r="A2111">
        <v>1.158E-2</v>
      </c>
    </row>
    <row r="2112" spans="1:1">
      <c r="A2112">
        <v>0.18121000000000001</v>
      </c>
    </row>
    <row r="2113" spans="1:1">
      <c r="A2113">
        <v>0.17566000000000001</v>
      </c>
    </row>
    <row r="2114" spans="1:1">
      <c r="A2114">
        <v>8.1900000000000001E-2</v>
      </c>
    </row>
    <row r="2115" spans="1:1">
      <c r="A2115">
        <v>4.4209999999999999E-2</v>
      </c>
    </row>
    <row r="2116" spans="1:1">
      <c r="A2116">
        <v>2.6259999999999999E-2</v>
      </c>
    </row>
    <row r="2117" spans="1:1">
      <c r="A2117">
        <v>0.33867000000000003</v>
      </c>
    </row>
    <row r="2118" spans="1:1">
      <c r="A2118">
        <v>0.2276</v>
      </c>
    </row>
    <row r="2119" spans="1:1">
      <c r="A2119">
        <v>7.4800000000000005E-2</v>
      </c>
    </row>
    <row r="2120" spans="1:1">
      <c r="A2120">
        <v>6.5640000000000004E-2</v>
      </c>
    </row>
    <row r="2121" spans="1:1">
      <c r="A2121">
        <v>8.1799999999999998E-2</v>
      </c>
    </row>
    <row r="2122" spans="1:1">
      <c r="A2122">
        <v>5.6300000000000003E-2</v>
      </c>
    </row>
    <row r="2123" spans="1:1">
      <c r="A2123">
        <v>4.1140000000000003E-2</v>
      </c>
    </row>
    <row r="2124" spans="1:1">
      <c r="A2124">
        <v>2.887E-2</v>
      </c>
    </row>
    <row r="2125" spans="1:1">
      <c r="A2125">
        <v>0.26289000000000001</v>
      </c>
    </row>
    <row r="2126" spans="1:1">
      <c r="A2126">
        <v>0.21224999999999999</v>
      </c>
    </row>
    <row r="2127" spans="1:1">
      <c r="A2127">
        <v>2.3810000000000001E-2</v>
      </c>
    </row>
    <row r="2128" spans="1:1">
      <c r="A2128">
        <v>0.16925000000000001</v>
      </c>
    </row>
    <row r="2129" spans="1:1">
      <c r="A2129">
        <v>9.4759999999999997E-2</v>
      </c>
    </row>
    <row r="2130" spans="1:1">
      <c r="A2130">
        <v>8.9050000000000004E-2</v>
      </c>
    </row>
    <row r="2131" spans="1:1">
      <c r="A2131">
        <v>7.782E-2</v>
      </c>
    </row>
    <row r="2132" spans="1:1">
      <c r="A2132">
        <v>2.1329999999999998E-2</v>
      </c>
    </row>
    <row r="2133" spans="1:1">
      <c r="A2133">
        <v>7.4310000000000001E-2</v>
      </c>
    </row>
    <row r="2134" spans="1:1">
      <c r="A2134">
        <v>3.7519999999999998E-2</v>
      </c>
    </row>
    <row r="2135" spans="1:1">
      <c r="A2135">
        <v>2.2329999999999999E-2</v>
      </c>
    </row>
    <row r="2136" spans="1:1">
      <c r="A2136">
        <v>0.20080000000000001</v>
      </c>
    </row>
    <row r="2137" spans="1:1">
      <c r="A2137">
        <v>0.10642</v>
      </c>
    </row>
    <row r="2138" spans="1:1">
      <c r="A2138">
        <v>7.8420000000000004E-2</v>
      </c>
    </row>
    <row r="2139" spans="1:1">
      <c r="A2139">
        <v>2.383E-2</v>
      </c>
    </row>
    <row r="2140" spans="1:1">
      <c r="A2140">
        <v>2.1569999999999999E-2</v>
      </c>
    </row>
    <row r="2141" spans="1:1">
      <c r="A2141">
        <v>0.12817999999999999</v>
      </c>
    </row>
    <row r="2142" spans="1:1">
      <c r="A2142">
        <v>0.10062</v>
      </c>
    </row>
    <row r="2143" spans="1:1">
      <c r="A2143">
        <v>4.7030000000000002E-2</v>
      </c>
    </row>
    <row r="2144" spans="1:1">
      <c r="A2144">
        <v>7.2419999999999998E-2</v>
      </c>
    </row>
    <row r="2145" spans="1:1">
      <c r="A2145">
        <v>1.4840000000000001E-2</v>
      </c>
    </row>
    <row r="2146" spans="1:1">
      <c r="A2146">
        <v>9.3740000000000004E-2</v>
      </c>
    </row>
    <row r="2147" spans="1:1">
      <c r="A2147">
        <v>6.2390000000000001E-2</v>
      </c>
    </row>
    <row r="2148" spans="1:1">
      <c r="A2148">
        <v>5.4190000000000002E-2</v>
      </c>
    </row>
    <row r="2149" spans="1:1">
      <c r="A2149">
        <v>0.10384</v>
      </c>
    </row>
    <row r="2150" spans="1:1">
      <c r="A2150">
        <v>7.4529999999999999E-2</v>
      </c>
    </row>
    <row r="2151" spans="1:1">
      <c r="A2151">
        <v>2.0199999999999999E-2</v>
      </c>
    </row>
    <row r="2152" spans="1:1">
      <c r="A2152">
        <v>0.27174999999999999</v>
      </c>
    </row>
    <row r="2153" spans="1:1">
      <c r="A2153">
        <v>0.12230000000000001</v>
      </c>
    </row>
    <row r="2154" spans="1:1">
      <c r="A2154">
        <v>0.12091</v>
      </c>
    </row>
    <row r="2155" spans="1:1">
      <c r="A2155">
        <v>5.5149999999999998E-2</v>
      </c>
    </row>
    <row r="2156" spans="1:1">
      <c r="A2156">
        <v>4.4330000000000001E-2</v>
      </c>
    </row>
    <row r="2157" spans="1:1">
      <c r="A2157">
        <v>0.10266</v>
      </c>
    </row>
    <row r="2158" spans="1:1">
      <c r="A2158">
        <v>7.1110000000000007E-2</v>
      </c>
    </row>
    <row r="2159" spans="1:1">
      <c r="A2159">
        <v>4.614E-2</v>
      </c>
    </row>
    <row r="2160" spans="1:1">
      <c r="A2160">
        <v>5.21E-2</v>
      </c>
    </row>
    <row r="2161" spans="1:1">
      <c r="A2161">
        <v>4.4639999999999999E-2</v>
      </c>
    </row>
    <row r="2162" spans="1:1">
      <c r="A2162">
        <v>2.9389999999999999E-2</v>
      </c>
    </row>
    <row r="2163" spans="1:1">
      <c r="A2163">
        <v>9.7030000000000005E-2</v>
      </c>
    </row>
    <row r="2164" spans="1:1">
      <c r="A2164">
        <v>7.8530000000000003E-2</v>
      </c>
    </row>
    <row r="2165" spans="1:1">
      <c r="A2165">
        <v>3.7150000000000002E-2</v>
      </c>
    </row>
    <row r="2166" spans="1:1">
      <c r="A2166">
        <v>3.2640000000000002E-2</v>
      </c>
    </row>
    <row r="2167" spans="1:1">
      <c r="A2167">
        <v>2.0250000000000001E-2</v>
      </c>
    </row>
    <row r="2168" spans="1:1">
      <c r="A2168">
        <v>4.28E-3</v>
      </c>
    </row>
    <row r="2169" spans="1:1">
      <c r="A2169">
        <v>9.5030000000000003E-2</v>
      </c>
    </row>
    <row r="2170" spans="1:1">
      <c r="A2170">
        <v>2.9059999999999999E-2</v>
      </c>
    </row>
    <row r="2171" spans="1:1">
      <c r="A2171">
        <v>2.172E-2</v>
      </c>
    </row>
    <row r="2172" spans="1:1">
      <c r="A2172">
        <v>7.5069999999999998E-2</v>
      </c>
    </row>
    <row r="2173" spans="1:1">
      <c r="A2173">
        <v>6.386E-2</v>
      </c>
    </row>
    <row r="2174" spans="1:1">
      <c r="A2174">
        <v>5.5449999999999999E-2</v>
      </c>
    </row>
    <row r="2175" spans="1:1">
      <c r="A2175">
        <v>5.4809999999999998E-2</v>
      </c>
    </row>
    <row r="2176" spans="1:1">
      <c r="A2176">
        <v>4.0570000000000002E-2</v>
      </c>
    </row>
    <row r="2177" spans="1:1">
      <c r="A2177">
        <v>3.6569999999999998E-2</v>
      </c>
    </row>
    <row r="2178" spans="1:1">
      <c r="A2178">
        <v>2.3949999999999999E-2</v>
      </c>
    </row>
    <row r="2179" spans="1:1">
      <c r="A2179">
        <v>1.992E-2</v>
      </c>
    </row>
    <row r="2180" spans="1:1">
      <c r="A2180">
        <v>8.5779999999999995E-2</v>
      </c>
    </row>
    <row r="2181" spans="1:1">
      <c r="A2181">
        <v>6.6019999999999995E-2</v>
      </c>
    </row>
    <row r="2182" spans="1:1">
      <c r="A2182">
        <v>2.7009999999999999E-2</v>
      </c>
    </row>
    <row r="2183" spans="1:1">
      <c r="A2183">
        <v>0.13355</v>
      </c>
    </row>
    <row r="2184" spans="1:1">
      <c r="A2184">
        <v>0.11038000000000001</v>
      </c>
    </row>
    <row r="2185" spans="1:1">
      <c r="A2185">
        <v>8.6349999999999996E-2</v>
      </c>
    </row>
    <row r="2186" spans="1:1">
      <c r="A2186">
        <v>5.3370000000000001E-2</v>
      </c>
    </row>
    <row r="2187" spans="1:1">
      <c r="A2187">
        <v>5.1470000000000002E-2</v>
      </c>
    </row>
    <row r="2188" spans="1:1">
      <c r="A2188">
        <v>3.1800000000000002E-2</v>
      </c>
    </row>
    <row r="2189" spans="1:1">
      <c r="A2189">
        <v>3.9359999999999999E-2</v>
      </c>
    </row>
    <row r="2190" spans="1:1">
      <c r="A2190">
        <v>0.16764999999999999</v>
      </c>
    </row>
    <row r="2191" spans="1:1">
      <c r="A2191">
        <v>8.7069999999999995E-2</v>
      </c>
    </row>
    <row r="2192" spans="1:1">
      <c r="A2192">
        <v>7.6179999999999998E-2</v>
      </c>
    </row>
    <row r="2193" spans="1:1">
      <c r="A2193">
        <v>7.5410000000000005E-2</v>
      </c>
    </row>
    <row r="2194" spans="1:1">
      <c r="A2194">
        <v>2.053E-2</v>
      </c>
    </row>
    <row r="2195" spans="1:1">
      <c r="A2195">
        <v>0.12146</v>
      </c>
    </row>
    <row r="2196" spans="1:1">
      <c r="A2196">
        <v>9.6990000000000007E-2</v>
      </c>
    </row>
    <row r="2197" spans="1:1">
      <c r="A2197">
        <v>2.103E-2</v>
      </c>
    </row>
    <row r="2198" spans="1:1">
      <c r="A2198">
        <v>0</v>
      </c>
    </row>
    <row r="2199" spans="1:1">
      <c r="A2199">
        <v>0.11636000000000001</v>
      </c>
    </row>
    <row r="2200" spans="1:1">
      <c r="A2200">
        <v>8.4540000000000004E-2</v>
      </c>
    </row>
    <row r="2201" spans="1:1">
      <c r="A2201">
        <v>6.3369999999999996E-2</v>
      </c>
    </row>
    <row r="2202" spans="1:1">
      <c r="A2202">
        <v>3.9989999999999998E-2</v>
      </c>
    </row>
    <row r="2203" spans="1:1">
      <c r="A2203">
        <v>3.7589999999999998E-2</v>
      </c>
    </row>
    <row r="2204" spans="1:1">
      <c r="A2204">
        <v>2.9610000000000001E-2</v>
      </c>
    </row>
    <row r="2205" spans="1:1">
      <c r="A2205">
        <v>0.10417999999999999</v>
      </c>
    </row>
    <row r="2206" spans="1:1">
      <c r="A2206">
        <v>4.4659999999999998E-2</v>
      </c>
    </row>
    <row r="2207" spans="1:1">
      <c r="A2207">
        <v>1.009E-2</v>
      </c>
    </row>
    <row r="2208" spans="1:1">
      <c r="A2208">
        <v>0.15762000000000001</v>
      </c>
    </row>
    <row r="2209" spans="1:1">
      <c r="A2209">
        <v>0.15187</v>
      </c>
    </row>
    <row r="2210" spans="1:1">
      <c r="A2210">
        <v>0.12856999999999999</v>
      </c>
    </row>
    <row r="2211" spans="1:1">
      <c r="A2211">
        <v>5.2290000000000003E-2</v>
      </c>
    </row>
    <row r="2212" spans="1:1">
      <c r="A2212">
        <v>5.1040000000000002E-2</v>
      </c>
    </row>
    <row r="2213" spans="1:1">
      <c r="A2213">
        <v>2.7609999999999999E-2</v>
      </c>
    </row>
    <row r="2214" spans="1:1">
      <c r="A2214">
        <v>2.35E-2</v>
      </c>
    </row>
    <row r="2215" spans="1:1">
      <c r="A2215">
        <v>2.171E-2</v>
      </c>
    </row>
    <row r="2216" spans="1:1">
      <c r="A2216">
        <v>6.8040000000000003E-2</v>
      </c>
    </row>
    <row r="2217" spans="1:1">
      <c r="A2217">
        <v>1.1339999999999999E-2</v>
      </c>
    </row>
    <row r="2218" spans="1:1">
      <c r="A2218">
        <v>0.42271999999999998</v>
      </c>
    </row>
    <row r="2219" spans="1:1">
      <c r="A2219">
        <v>1.9869999999999999E-2</v>
      </c>
    </row>
    <row r="2220" spans="1:1">
      <c r="A2220">
        <v>6.1219999999999997E-2</v>
      </c>
    </row>
    <row r="2221" spans="1:1">
      <c r="A2221">
        <v>5.2659999999999998E-2</v>
      </c>
    </row>
    <row r="2222" spans="1:1">
      <c r="A2222">
        <v>3.7089999999999998E-2</v>
      </c>
    </row>
    <row r="2223" spans="1:1">
      <c r="A2223">
        <v>3.4410000000000003E-2</v>
      </c>
    </row>
    <row r="2224" spans="1:1">
      <c r="A2224">
        <v>2.1319999999999999E-2</v>
      </c>
    </row>
    <row r="2225" spans="1:1">
      <c r="A2225">
        <v>7.4900000000000001E-3</v>
      </c>
    </row>
    <row r="2226" spans="1:1">
      <c r="A2226">
        <v>0.19772999999999999</v>
      </c>
    </row>
    <row r="2227" spans="1:1">
      <c r="A2227">
        <v>0.29065000000000002</v>
      </c>
    </row>
    <row r="2228" spans="1:1">
      <c r="A2228">
        <v>7.2319999999999995E-2</v>
      </c>
    </row>
    <row r="2229" spans="1:1">
      <c r="A2229">
        <v>6.8159999999999998E-2</v>
      </c>
    </row>
    <row r="2230" spans="1:1">
      <c r="A2230">
        <v>5.7709999999999997E-2</v>
      </c>
    </row>
    <row r="2231" spans="1:1">
      <c r="A2231">
        <v>4.3139999999999998E-2</v>
      </c>
    </row>
    <row r="2232" spans="1:1">
      <c r="A2232">
        <v>2.282E-2</v>
      </c>
    </row>
    <row r="2233" spans="1:1">
      <c r="A2233">
        <v>0.12279</v>
      </c>
    </row>
    <row r="2234" spans="1:1">
      <c r="A2234">
        <v>0.11799</v>
      </c>
    </row>
    <row r="2235" spans="1:1">
      <c r="A2235">
        <v>9.5049999999999996E-2</v>
      </c>
    </row>
    <row r="2236" spans="1:1">
      <c r="A2236">
        <v>6.3030000000000003E-2</v>
      </c>
    </row>
    <row r="2237" spans="1:1">
      <c r="A2237">
        <v>5.1360000000000003E-2</v>
      </c>
    </row>
    <row r="2238" spans="1:1">
      <c r="A2238">
        <v>3.2390000000000002E-2</v>
      </c>
    </row>
    <row r="2239" spans="1:1">
      <c r="A2239">
        <v>2.462E-2</v>
      </c>
    </row>
    <row r="2240" spans="1:1">
      <c r="A2240">
        <v>7.5789999999999996E-2</v>
      </c>
    </row>
    <row r="2241" spans="1:1">
      <c r="A2241">
        <v>6.4119999999999996E-2</v>
      </c>
    </row>
    <row r="2242" spans="1:1">
      <c r="A2242">
        <v>3.4660000000000003E-2</v>
      </c>
    </row>
    <row r="2243" spans="1:1">
      <c r="A2243">
        <v>0.15498000000000001</v>
      </c>
    </row>
    <row r="2244" spans="1:1">
      <c r="A2244">
        <v>9.9479999999999999E-2</v>
      </c>
    </row>
    <row r="2245" spans="1:1">
      <c r="A2245">
        <v>6.3659999999999994E-2</v>
      </c>
    </row>
    <row r="2246" spans="1:1">
      <c r="A2246">
        <v>5.4940000000000003E-2</v>
      </c>
    </row>
    <row r="2247" spans="1:1">
      <c r="A2247">
        <v>4.0869999999999997E-2</v>
      </c>
    </row>
    <row r="2248" spans="1:1">
      <c r="A2248">
        <v>3.3079999999999998E-2</v>
      </c>
    </row>
    <row r="2249" spans="1:1">
      <c r="A2249">
        <v>3.1280000000000002E-2</v>
      </c>
    </row>
    <row r="2250" spans="1:1">
      <c r="A2250">
        <v>2.4150000000000001E-2</v>
      </c>
    </row>
    <row r="2251" spans="1:1">
      <c r="A2251">
        <v>0.17627000000000001</v>
      </c>
    </row>
    <row r="2252" spans="1:1">
      <c r="A2252">
        <v>0.12989000000000001</v>
      </c>
    </row>
    <row r="2253" spans="1:1">
      <c r="A2253">
        <v>4.3770000000000003E-2</v>
      </c>
    </row>
    <row r="2254" spans="1:1">
      <c r="A2254">
        <v>3.8539999999999998E-2</v>
      </c>
    </row>
    <row r="2255" spans="1:1">
      <c r="A2255">
        <v>3.014E-2</v>
      </c>
    </row>
    <row r="2256" spans="1:1">
      <c r="A2256">
        <v>5.176E-2</v>
      </c>
    </row>
    <row r="2257" spans="1:1">
      <c r="A2257">
        <v>0.24068000000000001</v>
      </c>
    </row>
    <row r="2258" spans="1:1">
      <c r="A2258">
        <v>7.9060000000000005E-2</v>
      </c>
    </row>
    <row r="2259" spans="1:1">
      <c r="A2259">
        <v>5.1290000000000002E-2</v>
      </c>
    </row>
    <row r="2260" spans="1:1">
      <c r="A2260">
        <v>5.033E-2</v>
      </c>
    </row>
    <row r="2261" spans="1:1">
      <c r="A2261">
        <v>3.524E-2</v>
      </c>
    </row>
    <row r="2262" spans="1:1">
      <c r="A2262">
        <v>1.1650000000000001E-2</v>
      </c>
    </row>
    <row r="2263" spans="1:1">
      <c r="A2263">
        <v>1.0619999999999999E-2</v>
      </c>
    </row>
    <row r="2264" spans="1:1">
      <c r="A2264">
        <v>5.527E-2</v>
      </c>
    </row>
    <row r="2265" spans="1:1">
      <c r="A2265">
        <v>0.16205</v>
      </c>
    </row>
    <row r="2266" spans="1:1">
      <c r="A2266">
        <v>0.15809000000000001</v>
      </c>
    </row>
    <row r="2267" spans="1:1">
      <c r="A2267">
        <v>0.15257999999999999</v>
      </c>
    </row>
    <row r="2268" spans="1:1">
      <c r="A2268">
        <v>7.9949999999999993E-2</v>
      </c>
    </row>
    <row r="2269" spans="1:1">
      <c r="A2269">
        <v>2.0500000000000001E-2</v>
      </c>
    </row>
    <row r="2270" spans="1:1">
      <c r="A2270">
        <v>0.25458999999999998</v>
      </c>
    </row>
    <row r="2271" spans="1:1">
      <c r="A2271">
        <v>0.11688</v>
      </c>
    </row>
    <row r="2272" spans="1:1">
      <c r="A2272">
        <v>8.2100000000000006E-2</v>
      </c>
    </row>
    <row r="2273" spans="1:1">
      <c r="A2273">
        <v>5.5620000000000003E-2</v>
      </c>
    </row>
    <row r="2274" spans="1:1">
      <c r="A2274">
        <v>4.6789999999999998E-2</v>
      </c>
    </row>
    <row r="2275" spans="1:1">
      <c r="A2275">
        <v>0.19040000000000001</v>
      </c>
    </row>
    <row r="2276" spans="1:1">
      <c r="A2276">
        <v>0.13128000000000001</v>
      </c>
    </row>
    <row r="2277" spans="1:1">
      <c r="A2277">
        <v>0.11294</v>
      </c>
    </row>
    <row r="2278" spans="1:1">
      <c r="A2278">
        <v>1.6719999999999999E-2</v>
      </c>
    </row>
    <row r="2279" spans="1:1">
      <c r="A2279">
        <v>8.2500000000000004E-3</v>
      </c>
    </row>
    <row r="2280" spans="1:1">
      <c r="A2280">
        <v>0.18185000000000001</v>
      </c>
    </row>
    <row r="2281" spans="1:1">
      <c r="A2281">
        <v>5.4679999999999999E-2</v>
      </c>
    </row>
    <row r="2282" spans="1:1">
      <c r="A2282">
        <v>2.717E-2</v>
      </c>
    </row>
    <row r="2283" spans="1:1">
      <c r="A2283">
        <v>0.16932</v>
      </c>
    </row>
    <row r="2284" spans="1:1">
      <c r="A2284">
        <v>8.0420000000000005E-2</v>
      </c>
    </row>
    <row r="2285" spans="1:1">
      <c r="A2285">
        <v>8.0060000000000006E-2</v>
      </c>
    </row>
    <row r="2286" spans="1:1">
      <c r="A2286">
        <v>5.4390000000000001E-2</v>
      </c>
    </row>
    <row r="2287" spans="1:1">
      <c r="A2287">
        <v>1.6650000000000002E-2</v>
      </c>
    </row>
    <row r="2288" spans="1:1">
      <c r="A2288">
        <v>3.0009999999999998E-2</v>
      </c>
    </row>
    <row r="2289" spans="1:1">
      <c r="A2289">
        <v>2.12E-2</v>
      </c>
    </row>
    <row r="2290" spans="1:1">
      <c r="A2290">
        <v>5.679E-2</v>
      </c>
    </row>
    <row r="2291" spans="1:1">
      <c r="A2291">
        <v>4.2270000000000002E-2</v>
      </c>
    </row>
    <row r="2292" spans="1:1">
      <c r="A2292">
        <v>1.932E-2</v>
      </c>
    </row>
    <row r="2293" spans="1:1">
      <c r="A2293">
        <v>9.6299999999999997E-3</v>
      </c>
    </row>
    <row r="2294" spans="1:1">
      <c r="A2294">
        <v>0.28272999999999998</v>
      </c>
    </row>
    <row r="2295" spans="1:1">
      <c r="A2295">
        <v>0.18431</v>
      </c>
    </row>
    <row r="2296" spans="1:1">
      <c r="A2296">
        <v>0.11380999999999999</v>
      </c>
    </row>
    <row r="2297" spans="1:1">
      <c r="A2297">
        <v>7.4069999999999997E-2</v>
      </c>
    </row>
    <row r="2298" spans="1:1">
      <c r="A2298">
        <v>5.1290000000000002E-2</v>
      </c>
    </row>
    <row r="2299" spans="1:1">
      <c r="A2299">
        <v>2.8799999999999999E-2</v>
      </c>
    </row>
    <row r="2300" spans="1:1">
      <c r="A2300">
        <v>1.167E-2</v>
      </c>
    </row>
    <row r="2301" spans="1:1">
      <c r="A2301">
        <v>8.9179999999999995E-2</v>
      </c>
    </row>
    <row r="2302" spans="1:1">
      <c r="A2302">
        <v>3.4509999999999999E-2</v>
      </c>
    </row>
    <row r="2303" spans="1:1">
      <c r="A2303">
        <v>2.462E-2</v>
      </c>
    </row>
    <row r="2304" spans="1:1">
      <c r="A2304">
        <v>0.22847999999999999</v>
      </c>
    </row>
    <row r="2305" spans="1:1">
      <c r="A2305">
        <v>0.10410999999999999</v>
      </c>
    </row>
    <row r="2306" spans="1:1">
      <c r="A2306">
        <v>8.3999999999999995E-3</v>
      </c>
    </row>
    <row r="2307" spans="1:1">
      <c r="A2307">
        <v>0.10750999999999999</v>
      </c>
    </row>
    <row r="2308" spans="1:1">
      <c r="A2308">
        <v>4.9169999999999998E-2</v>
      </c>
    </row>
    <row r="2309" spans="1:1">
      <c r="A2309">
        <v>2.9430000000000001E-2</v>
      </c>
    </row>
    <row r="2310" spans="1:1">
      <c r="A2310">
        <v>2.622E-2</v>
      </c>
    </row>
    <row r="2311" spans="1:1">
      <c r="A2311">
        <v>3.6740000000000002E-2</v>
      </c>
    </row>
    <row r="2312" spans="1:1">
      <c r="A2312">
        <v>0.15209</v>
      </c>
    </row>
    <row r="2313" spans="1:1">
      <c r="A2313">
        <v>5.9810000000000002E-2</v>
      </c>
    </row>
    <row r="2314" spans="1:1">
      <c r="A2314">
        <v>0.17962</v>
      </c>
    </row>
    <row r="2315" spans="1:1">
      <c r="A2315">
        <v>0.15404000000000001</v>
      </c>
    </row>
    <row r="2316" spans="1:1">
      <c r="A2316">
        <v>0.10018000000000001</v>
      </c>
    </row>
    <row r="2317" spans="1:1">
      <c r="A2317">
        <v>8.4129999999999996E-2</v>
      </c>
    </row>
    <row r="2318" spans="1:1">
      <c r="A2318">
        <v>3.8490000000000003E-2</v>
      </c>
    </row>
    <row r="2319" spans="1:1">
      <c r="A2319">
        <v>4.9320000000000003E-2</v>
      </c>
    </row>
    <row r="2320" spans="1:1">
      <c r="A2320">
        <v>3.4509999999999999E-2</v>
      </c>
    </row>
    <row r="2321" spans="1:1">
      <c r="A2321">
        <v>2.0930000000000001E-2</v>
      </c>
    </row>
    <row r="2322" spans="1:1">
      <c r="A2322">
        <v>2.6040000000000001E-2</v>
      </c>
    </row>
    <row r="2323" spans="1:1">
      <c r="A2323">
        <v>9.4109999999999999E-2</v>
      </c>
    </row>
    <row r="2324" spans="1:1">
      <c r="A2324">
        <v>7.0599999999999996E-2</v>
      </c>
    </row>
    <row r="2325" spans="1:1">
      <c r="A2325">
        <v>6.053E-2</v>
      </c>
    </row>
    <row r="2326" spans="1:1">
      <c r="A2326">
        <v>4.1360000000000001E-2</v>
      </c>
    </row>
    <row r="2327" spans="1:1">
      <c r="A2327">
        <v>0.13195000000000001</v>
      </c>
    </row>
    <row r="2328" spans="1:1">
      <c r="A2328">
        <v>7.152E-2</v>
      </c>
    </row>
    <row r="2329" spans="1:1">
      <c r="A2329">
        <v>4.1770000000000002E-2</v>
      </c>
    </row>
    <row r="2330" spans="1:1">
      <c r="A2330">
        <v>2.8170000000000001E-2</v>
      </c>
    </row>
    <row r="2331" spans="1:1">
      <c r="A2331">
        <v>1.1169999999999999E-2</v>
      </c>
    </row>
    <row r="2332" spans="1:1">
      <c r="A2332">
        <v>0.20633000000000001</v>
      </c>
    </row>
    <row r="2333" spans="1:1">
      <c r="A2333">
        <v>0.14141000000000001</v>
      </c>
    </row>
    <row r="2334" spans="1:1">
      <c r="A2334">
        <v>9.4909999999999994E-2</v>
      </c>
    </row>
    <row r="2335" spans="1:1">
      <c r="A2335">
        <v>7.3109999999999994E-2</v>
      </c>
    </row>
    <row r="2336" spans="1:1">
      <c r="A2336">
        <v>6.5310000000000007E-2</v>
      </c>
    </row>
    <row r="2337" spans="1:1">
      <c r="A2337">
        <v>1.857E-2</v>
      </c>
    </row>
    <row r="2338" spans="1:1">
      <c r="A2338">
        <v>1.5740000000000001E-2</v>
      </c>
    </row>
    <row r="2339" spans="1:1">
      <c r="A2339">
        <v>1.0580000000000001E-2</v>
      </c>
    </row>
    <row r="2340" spans="1:1">
      <c r="A2340">
        <v>8.054E-2</v>
      </c>
    </row>
    <row r="2341" spans="1:1">
      <c r="A2341">
        <v>2.0109999999999999E-2</v>
      </c>
    </row>
    <row r="2342" spans="1:1">
      <c r="A2342">
        <v>1.6559999999999998E-2</v>
      </c>
    </row>
    <row r="2343" spans="1:1">
      <c r="A2343">
        <v>9.2499999999999995E-3</v>
      </c>
    </row>
    <row r="2344" spans="1:1">
      <c r="A2344">
        <v>0.11230999999999999</v>
      </c>
    </row>
    <row r="2345" spans="1:1">
      <c r="A2345">
        <v>3.2480000000000002E-2</v>
      </c>
    </row>
    <row r="2346" spans="1:1">
      <c r="A2346">
        <v>2.1510000000000001E-2</v>
      </c>
    </row>
    <row r="2347" spans="1:1">
      <c r="A2347">
        <v>1.223E-2</v>
      </c>
    </row>
    <row r="2348" spans="1:1">
      <c r="A2348">
        <v>0.10073</v>
      </c>
    </row>
    <row r="2349" spans="1:1">
      <c r="A2349">
        <v>5.0250000000000003E-2</v>
      </c>
    </row>
    <row r="2350" spans="1:1">
      <c r="A2350">
        <v>1.5810000000000001E-2</v>
      </c>
    </row>
    <row r="2351" spans="1:1">
      <c r="A2351">
        <v>0.18706999999999999</v>
      </c>
    </row>
    <row r="2352" spans="1:1">
      <c r="A2352">
        <v>2.4680000000000001E-2</v>
      </c>
    </row>
    <row r="2353" spans="1:1">
      <c r="A2353">
        <v>2.2769999999999999E-2</v>
      </c>
    </row>
    <row r="2354" spans="1:1">
      <c r="A2354">
        <v>2.222E-2</v>
      </c>
    </row>
    <row r="2355" spans="1:1">
      <c r="A2355">
        <v>0.10752</v>
      </c>
    </row>
    <row r="2356" spans="1:1">
      <c r="A2356">
        <v>5.4539999999999998E-2</v>
      </c>
    </row>
    <row r="2357" spans="1:1">
      <c r="A2357">
        <v>4.326E-2</v>
      </c>
    </row>
    <row r="2358" spans="1:1">
      <c r="A2358">
        <v>7.3800000000000003E-3</v>
      </c>
    </row>
    <row r="2359" spans="1:1">
      <c r="A2359">
        <v>0.12742000000000001</v>
      </c>
    </row>
    <row r="2360" spans="1:1">
      <c r="A2360">
        <v>6.0380000000000003E-2</v>
      </c>
    </row>
    <row r="2361" spans="1:1">
      <c r="A2361">
        <v>5.7110000000000001E-2</v>
      </c>
    </row>
    <row r="2362" spans="1:1">
      <c r="A2362">
        <v>4.1099999999999998E-2</v>
      </c>
    </row>
    <row r="2363" spans="1:1">
      <c r="A2363">
        <v>2.443E-2</v>
      </c>
    </row>
    <row r="2364" spans="1:1">
      <c r="A2364">
        <v>0.15251000000000001</v>
      </c>
    </row>
    <row r="2365" spans="1:1">
      <c r="A2365">
        <v>5.6500000000000002E-2</v>
      </c>
    </row>
    <row r="2366" spans="1:1">
      <c r="A2366">
        <v>4.113E-2</v>
      </c>
    </row>
    <row r="2367" spans="1:1">
      <c r="A2367">
        <v>3.4950000000000002E-2</v>
      </c>
    </row>
    <row r="2368" spans="1:1">
      <c r="A2368">
        <v>9.8229999999999998E-2</v>
      </c>
    </row>
    <row r="2369" spans="1:1">
      <c r="A2369">
        <v>6.6449999999999995E-2</v>
      </c>
    </row>
    <row r="2370" spans="1:1">
      <c r="A2370">
        <v>5.1310000000000001E-2</v>
      </c>
    </row>
    <row r="2371" spans="1:1">
      <c r="A2371">
        <v>4.9020000000000001E-2</v>
      </c>
    </row>
    <row r="2372" spans="1:1">
      <c r="A2372">
        <v>3.5770000000000003E-2</v>
      </c>
    </row>
    <row r="2373" spans="1:1">
      <c r="A2373">
        <v>2.5180000000000001E-2</v>
      </c>
    </row>
    <row r="2374" spans="1:1">
      <c r="A2374">
        <v>0.12454</v>
      </c>
    </row>
    <row r="2375" spans="1:1">
      <c r="A2375">
        <v>8.3140000000000006E-2</v>
      </c>
    </row>
    <row r="2376" spans="1:1">
      <c r="A2376">
        <v>7.0209999999999995E-2</v>
      </c>
    </row>
    <row r="2377" spans="1:1">
      <c r="A2377">
        <v>3.9460000000000002E-2</v>
      </c>
    </row>
    <row r="2378" spans="1:1">
      <c r="A2378">
        <v>2.6349999999999998E-2</v>
      </c>
    </row>
    <row r="2379" spans="1:1">
      <c r="A2379">
        <v>2.087E-2</v>
      </c>
    </row>
    <row r="2380" spans="1:1">
      <c r="A2380">
        <v>2.077E-2</v>
      </c>
    </row>
    <row r="2381" spans="1:1">
      <c r="A2381">
        <v>0.20158999999999999</v>
      </c>
    </row>
    <row r="2382" spans="1:1">
      <c r="A2382">
        <v>5.7829999999999999E-2</v>
      </c>
    </row>
    <row r="2383" spans="1:1">
      <c r="A2383">
        <v>1.3520000000000001E-2</v>
      </c>
    </row>
    <row r="2384" spans="1:1">
      <c r="A2384">
        <v>0.21321999999999999</v>
      </c>
    </row>
    <row r="2385" spans="1:1">
      <c r="A2385">
        <v>4.3299999999999996E-3</v>
      </c>
    </row>
    <row r="2386" spans="1:1">
      <c r="A2386">
        <v>1.91E-3</v>
      </c>
    </row>
    <row r="2387" spans="1:1">
      <c r="A2387">
        <v>0.34306999999999999</v>
      </c>
    </row>
    <row r="2388" spans="1:1">
      <c r="A2388">
        <v>5.8720000000000001E-2</v>
      </c>
    </row>
    <row r="2389" spans="1:1">
      <c r="A2389">
        <v>5.0430000000000003E-2</v>
      </c>
    </row>
    <row r="2390" spans="1:1">
      <c r="A2390">
        <v>4.1959999999999997E-2</v>
      </c>
    </row>
    <row r="2391" spans="1:1">
      <c r="A2391">
        <v>3.7920000000000002E-2</v>
      </c>
    </row>
    <row r="2392" spans="1:1">
      <c r="A2392">
        <v>0.14382</v>
      </c>
    </row>
    <row r="2393" spans="1:1">
      <c r="A2393">
        <v>6.0769999999999998E-2</v>
      </c>
    </row>
    <row r="2394" spans="1:1">
      <c r="A2394">
        <v>5.509E-2</v>
      </c>
    </row>
    <row r="2395" spans="1:1">
      <c r="A2395">
        <v>2.8400000000000002E-2</v>
      </c>
    </row>
    <row r="2396" spans="1:1">
      <c r="A2396">
        <v>0.21965999999999999</v>
      </c>
    </row>
    <row r="2397" spans="1:1">
      <c r="A2397">
        <v>0.17732999999999999</v>
      </c>
    </row>
    <row r="2398" spans="1:1">
      <c r="A2398">
        <v>4.1270000000000001E-2</v>
      </c>
    </row>
    <row r="2399" spans="1:1">
      <c r="A2399">
        <v>0.15110999999999999</v>
      </c>
    </row>
    <row r="2400" spans="1:1">
      <c r="A2400">
        <v>0.15064</v>
      </c>
    </row>
    <row r="2401" spans="1:1">
      <c r="A2401">
        <v>0.12378</v>
      </c>
    </row>
    <row r="2402" spans="1:1">
      <c r="A2402">
        <v>4.8090000000000001E-2</v>
      </c>
    </row>
    <row r="2403" spans="1:1">
      <c r="A2403">
        <v>2.5659999999999999E-2</v>
      </c>
    </row>
    <row r="2404" spans="1:1">
      <c r="A2404">
        <v>0.22597999999999999</v>
      </c>
    </row>
    <row r="2405" spans="1:1">
      <c r="A2405">
        <v>0.12590000000000001</v>
      </c>
    </row>
    <row r="2406" spans="1:1">
      <c r="A2406">
        <v>5.5059999999999998E-2</v>
      </c>
    </row>
    <row r="2407" spans="1:1">
      <c r="A2407">
        <v>0.18881999999999999</v>
      </c>
    </row>
    <row r="2408" spans="1:1">
      <c r="A2408">
        <v>2.6450000000000001E-2</v>
      </c>
    </row>
    <row r="2409" spans="1:1">
      <c r="A2409">
        <v>1.387E-2</v>
      </c>
    </row>
    <row r="2410" spans="1:1">
      <c r="A2410">
        <v>0.15926999999999999</v>
      </c>
    </row>
    <row r="2411" spans="1:1">
      <c r="A2411">
        <v>0.26501000000000002</v>
      </c>
    </row>
    <row r="2412" spans="1:1">
      <c r="A2412">
        <v>0.17931</v>
      </c>
    </row>
    <row r="2413" spans="1:1">
      <c r="A2413">
        <v>3.857E-2</v>
      </c>
    </row>
    <row r="2414" spans="1:1">
      <c r="A2414">
        <v>3.7249999999999998E-2</v>
      </c>
    </row>
    <row r="2415" spans="1:1">
      <c r="A2415">
        <v>0.15870999999999999</v>
      </c>
    </row>
    <row r="2416" spans="1:1">
      <c r="A2416">
        <v>6.9809999999999997E-2</v>
      </c>
    </row>
    <row r="2417" spans="1:1">
      <c r="A2417">
        <v>6.7860000000000004E-2</v>
      </c>
    </row>
    <row r="2418" spans="1:1">
      <c r="A2418">
        <v>1.3939999999999999E-2</v>
      </c>
    </row>
    <row r="2419" spans="1:1">
      <c r="A2419">
        <v>8.6800000000000002E-2</v>
      </c>
    </row>
    <row r="2420" spans="1:1">
      <c r="A2420">
        <v>5.484E-2</v>
      </c>
    </row>
    <row r="2421" spans="1:1">
      <c r="A2421">
        <v>5.1540000000000002E-2</v>
      </c>
    </row>
    <row r="2422" spans="1:1">
      <c r="A2422">
        <v>1.3979999999999999E-2</v>
      </c>
    </row>
    <row r="2423" spans="1:1">
      <c r="A2423">
        <v>1.346E-2</v>
      </c>
    </row>
    <row r="2424" spans="1:1">
      <c r="A2424">
        <v>7.8990000000000005E-2</v>
      </c>
    </row>
    <row r="2425" spans="1:1">
      <c r="A2425">
        <v>2.2349999999999998E-2</v>
      </c>
    </row>
    <row r="2426" spans="1:1">
      <c r="A2426">
        <v>3.526E-2</v>
      </c>
    </row>
    <row r="2427" spans="1:1">
      <c r="A2427">
        <v>1.7309999999999999E-2</v>
      </c>
    </row>
    <row r="2428" spans="1:1">
      <c r="A2428">
        <v>7.7850000000000003E-2</v>
      </c>
    </row>
    <row r="2429" spans="1:1">
      <c r="A2429">
        <v>3.5709999999999999E-2</v>
      </c>
    </row>
    <row r="2430" spans="1:1">
      <c r="A2430" t="s">
        <v>1346</v>
      </c>
    </row>
    <row r="2431" spans="1:1">
      <c r="A2431">
        <v>8.6540000000000006E-2</v>
      </c>
    </row>
    <row r="2432" spans="1:1">
      <c r="A2432">
        <v>5.1869999999999999E-2</v>
      </c>
    </row>
    <row r="2433" spans="1:1">
      <c r="A2433">
        <v>4.9540000000000001E-2</v>
      </c>
    </row>
    <row r="2434" spans="1:1">
      <c r="A2434">
        <v>6.7999999999999996E-3</v>
      </c>
    </row>
    <row r="2435" spans="1:1">
      <c r="A2435">
        <v>0.12942999999999999</v>
      </c>
    </row>
    <row r="2436" spans="1:1">
      <c r="A2436">
        <v>6.1499999999999999E-2</v>
      </c>
    </row>
    <row r="2437" spans="1:1">
      <c r="A2437">
        <v>0.16173000000000001</v>
      </c>
    </row>
    <row r="2438" spans="1:1">
      <c r="A2438">
        <v>0.12787999999999999</v>
      </c>
    </row>
    <row r="2439" spans="1:1">
      <c r="A2439">
        <v>0.11659</v>
      </c>
    </row>
    <row r="2440" spans="1:1">
      <c r="A2440">
        <v>9.5499999999999995E-3</v>
      </c>
    </row>
    <row r="2441" spans="1:1">
      <c r="A2441">
        <v>7.3639999999999997E-2</v>
      </c>
    </row>
    <row r="2442" spans="1:1">
      <c r="A2442">
        <v>4.7530000000000003E-2</v>
      </c>
    </row>
    <row r="2443" spans="1:1">
      <c r="A2443">
        <v>3.8890000000000001E-2</v>
      </c>
    </row>
    <row r="2444" spans="1:1">
      <c r="A2444">
        <v>2.5600000000000001E-2</v>
      </c>
    </row>
    <row r="2445" spans="1:1">
      <c r="A2445">
        <v>0.12296</v>
      </c>
    </row>
    <row r="2446" spans="1:1">
      <c r="A2446">
        <v>5.3809999999999997E-2</v>
      </c>
    </row>
    <row r="2447" spans="1:1">
      <c r="A2447">
        <v>8.0629999999999993E-2</v>
      </c>
    </row>
    <row r="2448" spans="1:1">
      <c r="A2448">
        <v>2.912E-2</v>
      </c>
    </row>
    <row r="2449" spans="1:1">
      <c r="A2449">
        <v>0.1011</v>
      </c>
    </row>
    <row r="2450" spans="1:1">
      <c r="A2450">
        <v>0.19026999999999999</v>
      </c>
    </row>
    <row r="2451" spans="1:1">
      <c r="A2451">
        <v>0.12221</v>
      </c>
    </row>
    <row r="2452" spans="1:1">
      <c r="A2452">
        <v>0.22505</v>
      </c>
    </row>
    <row r="2453" spans="1:1">
      <c r="A2453">
        <v>0.12313</v>
      </c>
    </row>
    <row r="2454" spans="1:1">
      <c r="A2454">
        <v>2.7789999999999999E-2</v>
      </c>
    </row>
    <row r="2455" spans="1:1">
      <c r="A2455">
        <v>2.5600000000000001E-2</v>
      </c>
    </row>
    <row r="2456" spans="1:1">
      <c r="A2456">
        <v>1.6070000000000001E-2</v>
      </c>
    </row>
    <row r="2457" spans="1:1">
      <c r="A2457">
        <v>5.4149999999999997E-2</v>
      </c>
    </row>
    <row r="2458" spans="1:1">
      <c r="A2458">
        <v>0.16955000000000001</v>
      </c>
    </row>
    <row r="2459" spans="1:1">
      <c r="A2459">
        <v>4.8039999999999999E-2</v>
      </c>
    </row>
    <row r="2460" spans="1:1">
      <c r="A2460">
        <v>4.0280000000000003E-2</v>
      </c>
    </row>
    <row r="2461" spans="1:1">
      <c r="A2461">
        <v>0.13899</v>
      </c>
    </row>
    <row r="2462" spans="1:1">
      <c r="A2462">
        <v>9.1660000000000005E-2</v>
      </c>
    </row>
    <row r="2463" spans="1:1">
      <c r="A2463">
        <v>3.4540000000000001E-2</v>
      </c>
    </row>
    <row r="2464" spans="1:1">
      <c r="A2464">
        <v>1.23E-2</v>
      </c>
    </row>
    <row r="2465" spans="1:1">
      <c r="A2465">
        <v>9.6049999999999996E-2</v>
      </c>
    </row>
    <row r="2466" spans="1:1">
      <c r="A2466">
        <v>4.1189999999999997E-2</v>
      </c>
    </row>
    <row r="2467" spans="1:1">
      <c r="A2467">
        <v>1.907E-2</v>
      </c>
    </row>
    <row r="2468" spans="1:1">
      <c r="A2468">
        <v>8.1189999999999998E-2</v>
      </c>
    </row>
    <row r="2469" spans="1:1">
      <c r="A2469">
        <v>0.13038</v>
      </c>
    </row>
    <row r="2470" spans="1:1">
      <c r="A2470">
        <v>0</v>
      </c>
    </row>
    <row r="2471" spans="1:1">
      <c r="A2471">
        <v>0.17116999999999999</v>
      </c>
    </row>
    <row r="2472" spans="1:1">
      <c r="A2472">
        <v>8.8139999999999996E-2</v>
      </c>
    </row>
    <row r="2473" spans="1:1">
      <c r="A2473">
        <v>2.6540000000000001E-2</v>
      </c>
    </row>
    <row r="2474" spans="1:1">
      <c r="A2474">
        <v>0.11445</v>
      </c>
    </row>
    <row r="2475" spans="1:1">
      <c r="A2475">
        <v>7.8939999999999996E-2</v>
      </c>
    </row>
    <row r="2476" spans="1:1">
      <c r="A2476">
        <v>3.1940000000000003E-2</v>
      </c>
    </row>
    <row r="2477" spans="1:1">
      <c r="A2477">
        <v>0.35577999999999999</v>
      </c>
    </row>
    <row r="2478" spans="1:1">
      <c r="A2478">
        <v>0.11794</v>
      </c>
    </row>
    <row r="2479" spans="1:1">
      <c r="A2479">
        <v>3.5319999999999997E-2</v>
      </c>
    </row>
    <row r="2480" spans="1:1">
      <c r="A2480">
        <v>0.10076</v>
      </c>
    </row>
    <row r="2481" spans="1:1">
      <c r="A2481">
        <v>6.1019999999999998E-2</v>
      </c>
    </row>
    <row r="2482" spans="1:1">
      <c r="A2482">
        <v>2.2620000000000001E-2</v>
      </c>
    </row>
    <row r="2483" spans="1:1">
      <c r="A2483">
        <v>6.3869999999999996E-2</v>
      </c>
    </row>
    <row r="2484" spans="1:1">
      <c r="A2484">
        <v>8.0180000000000001E-2</v>
      </c>
    </row>
    <row r="2485" spans="1:1">
      <c r="A2485">
        <v>0.30565999999999999</v>
      </c>
    </row>
    <row r="2486" spans="1:1">
      <c r="A2486">
        <v>0.10206</v>
      </c>
    </row>
    <row r="2487" spans="1:1">
      <c r="A2487">
        <v>5.8279999999999998E-2</v>
      </c>
    </row>
    <row r="2488" spans="1:1">
      <c r="A2488">
        <v>2.0830000000000001E-2</v>
      </c>
    </row>
    <row r="2489" spans="1:1">
      <c r="A2489">
        <v>1.4449999999999999E-2</v>
      </c>
    </row>
    <row r="2490" spans="1:1">
      <c r="A2490">
        <v>9.0039999999999995E-2</v>
      </c>
    </row>
    <row r="2491" spans="1:1">
      <c r="A2491">
        <v>0.15495</v>
      </c>
    </row>
    <row r="2492" spans="1:1">
      <c r="A2492">
        <v>4.5240000000000002E-2</v>
      </c>
    </row>
    <row r="2493" spans="1:1">
      <c r="A2493">
        <v>0.10943</v>
      </c>
    </row>
    <row r="2494" spans="1:1">
      <c r="A2494">
        <v>3.6299999999999999E-2</v>
      </c>
    </row>
    <row r="2495" spans="1:1">
      <c r="A2495">
        <v>3.1969999999999998E-2</v>
      </c>
    </row>
    <row r="2496" spans="1:1">
      <c r="A2496">
        <v>2.5899999999999999E-2</v>
      </c>
    </row>
    <row r="2497" spans="1:1">
      <c r="A2497">
        <v>0.17197999999999999</v>
      </c>
    </row>
    <row r="2498" spans="1:1">
      <c r="A2498">
        <v>0.12833</v>
      </c>
    </row>
    <row r="2499" spans="1:1">
      <c r="A2499">
        <v>6.3700000000000007E-2</v>
      </c>
    </row>
    <row r="2500" spans="1:1">
      <c r="A2500">
        <v>3.0089999999999999E-2</v>
      </c>
    </row>
    <row r="2501" spans="1:1">
      <c r="A2501">
        <v>9.6149999999999999E-2</v>
      </c>
    </row>
    <row r="2502" spans="1:1">
      <c r="A2502">
        <v>5.654E-2</v>
      </c>
    </row>
    <row r="2503" spans="1:1">
      <c r="A2503">
        <v>1.916E-2</v>
      </c>
    </row>
    <row r="2504" spans="1:1">
      <c r="A2504">
        <v>2.53E-2</v>
      </c>
    </row>
    <row r="2505" spans="1:1">
      <c r="A2505">
        <v>1.116E-2</v>
      </c>
    </row>
    <row r="2506" spans="1:1">
      <c r="A2506">
        <v>8.5370000000000001E-2</v>
      </c>
    </row>
    <row r="2507" spans="1:1">
      <c r="A2507">
        <v>7.9769999999999994E-2</v>
      </c>
    </row>
    <row r="2508" spans="1:1">
      <c r="A2508">
        <v>0.18640999999999999</v>
      </c>
    </row>
    <row r="2509" spans="1:1">
      <c r="A2509">
        <v>0.16023000000000001</v>
      </c>
    </row>
    <row r="2510" spans="1:1">
      <c r="A2510">
        <v>9.2350000000000002E-2</v>
      </c>
    </row>
    <row r="2511" spans="1:1">
      <c r="A2511">
        <v>6.2700000000000006E-2</v>
      </c>
    </row>
    <row r="2512" spans="1:1">
      <c r="A2512">
        <v>4.727E-2</v>
      </c>
    </row>
    <row r="2513" spans="1:1">
      <c r="A2513">
        <v>0.10858</v>
      </c>
    </row>
    <row r="2514" spans="1:1">
      <c r="A2514">
        <v>4.9680000000000002E-2</v>
      </c>
    </row>
    <row r="2515" spans="1:1">
      <c r="A2515">
        <v>3.4930000000000003E-2</v>
      </c>
    </row>
    <row r="2516" spans="1:1">
      <c r="A2516">
        <v>0.13730999999999999</v>
      </c>
    </row>
    <row r="2517" spans="1:1">
      <c r="A2517">
        <v>3.0349999999999999E-2</v>
      </c>
    </row>
    <row r="2518" spans="1:1">
      <c r="A2518">
        <v>0.11799999999999999</v>
      </c>
    </row>
    <row r="2519" spans="1:1">
      <c r="A2519">
        <v>0.13164000000000001</v>
      </c>
    </row>
    <row r="2520" spans="1:1">
      <c r="A2520">
        <v>0.11434</v>
      </c>
    </row>
    <row r="2521" spans="1:1">
      <c r="A2521">
        <v>2.7390000000000001E-2</v>
      </c>
    </row>
    <row r="2522" spans="1:1">
      <c r="A2522">
        <v>4.0899999999999999E-2</v>
      </c>
    </row>
    <row r="2523" spans="1:1">
      <c r="A2523">
        <v>3.3660000000000002E-2</v>
      </c>
    </row>
    <row r="2524" spans="1:1">
      <c r="A2524">
        <v>1.273E-2</v>
      </c>
    </row>
    <row r="2525" spans="1:1">
      <c r="A2525">
        <v>3.1669999999999997E-2</v>
      </c>
    </row>
    <row r="2526" spans="1:1">
      <c r="A2526">
        <v>3.0110000000000001E-2</v>
      </c>
    </row>
    <row r="2527" spans="1:1">
      <c r="A2527">
        <v>0.10834000000000001</v>
      </c>
    </row>
    <row r="2528" spans="1:1">
      <c r="A2528">
        <v>4.9919999999999999E-2</v>
      </c>
    </row>
    <row r="2529" spans="1:1">
      <c r="A2529">
        <v>3.3930000000000002E-2</v>
      </c>
    </row>
    <row r="2530" spans="1:1">
      <c r="A2530">
        <v>0.32201000000000002</v>
      </c>
    </row>
    <row r="2531" spans="1:1">
      <c r="A2531">
        <v>0.19578999999999999</v>
      </c>
    </row>
    <row r="2532" spans="1:1">
      <c r="A2532">
        <v>8.4769999999999998E-2</v>
      </c>
    </row>
    <row r="2533" spans="1:1">
      <c r="A2533">
        <v>6.1429999999999998E-2</v>
      </c>
    </row>
    <row r="2534" spans="1:1">
      <c r="A2534">
        <v>0.20086000000000001</v>
      </c>
    </row>
    <row r="2535" spans="1:1">
      <c r="A2535">
        <v>4.1209999999999997E-2</v>
      </c>
    </row>
    <row r="2536" spans="1:1">
      <c r="A2536">
        <v>0.14016999999999999</v>
      </c>
    </row>
    <row r="2537" spans="1:1">
      <c r="A2537">
        <v>9.0939999999999993E-2</v>
      </c>
    </row>
    <row r="2538" spans="1:1">
      <c r="A2538">
        <v>0.12268999999999999</v>
      </c>
    </row>
    <row r="2539" spans="1:1">
      <c r="A2539">
        <v>9.4270000000000007E-2</v>
      </c>
    </row>
    <row r="2540" spans="1:1">
      <c r="A2540">
        <v>7.3139999999999997E-2</v>
      </c>
    </row>
    <row r="2541" spans="1:1">
      <c r="A2541">
        <v>5.4080000000000003E-2</v>
      </c>
    </row>
    <row r="2542" spans="1:1">
      <c r="A2542">
        <v>4.1939999999999998E-2</v>
      </c>
    </row>
    <row r="2543" spans="1:1">
      <c r="A2543">
        <v>2.878E-2</v>
      </c>
    </row>
    <row r="2544" spans="1:1">
      <c r="A2544">
        <v>7.3340000000000002E-2</v>
      </c>
    </row>
    <row r="2545" spans="1:1">
      <c r="A2545">
        <v>3.6459999999999999E-2</v>
      </c>
    </row>
    <row r="2546" spans="1:1">
      <c r="A2546">
        <v>3.5380000000000002E-2</v>
      </c>
    </row>
    <row r="2547" spans="1:1">
      <c r="A2547">
        <v>0.10568</v>
      </c>
    </row>
    <row r="2548" spans="1:1">
      <c r="A2548">
        <v>8.5569999999999993E-2</v>
      </c>
    </row>
    <row r="2549" spans="1:1">
      <c r="A2549">
        <v>0.11641</v>
      </c>
    </row>
    <row r="2550" spans="1:1">
      <c r="A2550">
        <v>7.1760000000000004E-2</v>
      </c>
    </row>
    <row r="2551" spans="1:1">
      <c r="A2551">
        <v>1.512E-2</v>
      </c>
    </row>
    <row r="2552" spans="1:1">
      <c r="A2552">
        <v>7.2899999999999996E-3</v>
      </c>
    </row>
    <row r="2553" spans="1:1">
      <c r="A2553">
        <v>4.8430000000000001E-2</v>
      </c>
    </row>
    <row r="2554" spans="1:1">
      <c r="A2554">
        <v>0.13128999999999999</v>
      </c>
    </row>
    <row r="2555" spans="1:1">
      <c r="A2555">
        <v>5.5320000000000001E-2</v>
      </c>
    </row>
    <row r="2556" spans="1:1">
      <c r="A2556">
        <v>4.2090000000000002E-2</v>
      </c>
    </row>
    <row r="2557" spans="1:1">
      <c r="A2557">
        <v>9.6750000000000003E-2</v>
      </c>
    </row>
    <row r="2558" spans="1:1">
      <c r="A2558">
        <v>8.5510000000000003E-2</v>
      </c>
    </row>
    <row r="2559" spans="1:1">
      <c r="A2559">
        <v>4.9829999999999999E-2</v>
      </c>
    </row>
    <row r="2560" spans="1:1">
      <c r="A2560">
        <v>6.9129999999999997E-2</v>
      </c>
    </row>
    <row r="2561" spans="1:1">
      <c r="A2561">
        <v>5.2679999999999998E-2</v>
      </c>
    </row>
    <row r="2562" spans="1:1">
      <c r="A2562">
        <v>5.0900000000000001E-2</v>
      </c>
    </row>
    <row r="2563" spans="1:1">
      <c r="A2563">
        <v>8.4760000000000002E-2</v>
      </c>
    </row>
    <row r="2564" spans="1:1">
      <c r="A2564">
        <v>1.5810000000000001E-2</v>
      </c>
    </row>
    <row r="2565" spans="1:1">
      <c r="A2565">
        <v>5.3440000000000001E-2</v>
      </c>
    </row>
    <row r="2566" spans="1:1">
      <c r="A2566">
        <v>0.10215</v>
      </c>
    </row>
    <row r="2567" spans="1:1">
      <c r="A2567">
        <v>5.6660000000000002E-2</v>
      </c>
    </row>
    <row r="2568" spans="1:1">
      <c r="A2568">
        <v>0.14726</v>
      </c>
    </row>
    <row r="2569" spans="1:1">
      <c r="A2569">
        <v>0.10557999999999999</v>
      </c>
    </row>
    <row r="2570" spans="1:1">
      <c r="A2570">
        <v>9.8839999999999997E-2</v>
      </c>
    </row>
    <row r="2571" spans="1:1">
      <c r="A2571">
        <v>2.4639999999999999E-2</v>
      </c>
    </row>
    <row r="2572" spans="1:1">
      <c r="A2572">
        <v>1.651E-2</v>
      </c>
    </row>
    <row r="2573" spans="1:1">
      <c r="A2573">
        <v>8.0729999999999996E-2</v>
      </c>
    </row>
    <row r="2574" spans="1:1">
      <c r="A2574">
        <v>1.8339999999999999E-2</v>
      </c>
    </row>
    <row r="2575" spans="1:1">
      <c r="A2575">
        <v>1.49E-2</v>
      </c>
    </row>
    <row r="2576" spans="1:1">
      <c r="A2576">
        <v>0.10579</v>
      </c>
    </row>
    <row r="2577" spans="1:1">
      <c r="A2577">
        <v>8.2299999999999995E-3</v>
      </c>
    </row>
    <row r="2578" spans="1:1">
      <c r="A2578">
        <v>7.7299999999999999E-3</v>
      </c>
    </row>
    <row r="2579" spans="1:1">
      <c r="A2579">
        <v>3.4180000000000002E-2</v>
      </c>
    </row>
    <row r="2580" spans="1:1">
      <c r="A2580">
        <v>2.2610000000000002E-2</v>
      </c>
    </row>
    <row r="2581" spans="1:1">
      <c r="A2581">
        <v>0.11898</v>
      </c>
    </row>
    <row r="2582" spans="1:1">
      <c r="A2582">
        <v>0.10783</v>
      </c>
    </row>
    <row r="2583" spans="1:1">
      <c r="A2583">
        <v>1.847E-2</v>
      </c>
    </row>
    <row r="2584" spans="1:1">
      <c r="A2584">
        <v>3.7039999999999997E-2</v>
      </c>
    </row>
    <row r="2585" spans="1:1">
      <c r="A2585">
        <v>0.12615000000000001</v>
      </c>
    </row>
    <row r="2586" spans="1:1">
      <c r="A2586">
        <v>0.11998</v>
      </c>
    </row>
    <row r="2587" spans="1:1">
      <c r="A2587">
        <v>7.7400000000000004E-3</v>
      </c>
    </row>
    <row r="2588" spans="1:1">
      <c r="A2588">
        <v>8.8410000000000002E-2</v>
      </c>
    </row>
    <row r="2589" spans="1:1">
      <c r="A2589">
        <v>0.17449999999999999</v>
      </c>
    </row>
    <row r="2590" spans="1:1">
      <c r="A2590">
        <v>6.62E-3</v>
      </c>
    </row>
    <row r="2591" spans="1:1">
      <c r="A2591">
        <v>1.372E-2</v>
      </c>
    </row>
    <row r="2592" spans="1:1">
      <c r="A2592">
        <v>2.7459999999999998E-2</v>
      </c>
    </row>
    <row r="2593" spans="1:1">
      <c r="A2593">
        <v>5.033E-2</v>
      </c>
    </row>
    <row r="2594" spans="1:1">
      <c r="A2594">
        <v>0.16313</v>
      </c>
    </row>
    <row r="2595" spans="1:1">
      <c r="A2595">
        <v>5.1270000000000003E-2</v>
      </c>
    </row>
    <row r="2596" spans="1:1">
      <c r="A2596">
        <v>5.7200000000000003E-3</v>
      </c>
    </row>
    <row r="2597" spans="1:1">
      <c r="A2597">
        <v>0.12801000000000001</v>
      </c>
    </row>
    <row r="2598" spans="1:1">
      <c r="A2598">
        <v>6.726E-2</v>
      </c>
    </row>
    <row r="2599" spans="1:1">
      <c r="A2599">
        <v>4.863E-2</v>
      </c>
    </row>
    <row r="2600" spans="1:1">
      <c r="A2600">
        <v>1.5779999999999999E-2</v>
      </c>
    </row>
    <row r="2601" spans="1:1">
      <c r="A2601">
        <v>4.0739999999999998E-2</v>
      </c>
    </row>
    <row r="2602" spans="1:1">
      <c r="A2602">
        <v>0.11608</v>
      </c>
    </row>
    <row r="2603" spans="1:1">
      <c r="A2603">
        <v>1.9060000000000001E-2</v>
      </c>
    </row>
    <row r="2604" spans="1:1">
      <c r="A2604">
        <v>1.651E-2</v>
      </c>
    </row>
    <row r="2605" spans="1:1">
      <c r="A2605">
        <v>0.22761999999999999</v>
      </c>
    </row>
    <row r="2606" spans="1:1">
      <c r="A2606">
        <v>8.0860000000000001E-2</v>
      </c>
    </row>
    <row r="2607" spans="1:1">
      <c r="A2607">
        <v>7.1470000000000006E-2</v>
      </c>
    </row>
    <row r="2608" spans="1:1">
      <c r="A2608">
        <v>2.24E-2</v>
      </c>
    </row>
    <row r="2609" spans="1:1">
      <c r="A2609">
        <v>0.12329</v>
      </c>
    </row>
    <row r="2610" spans="1:1">
      <c r="A2610">
        <v>4.8090000000000001E-2</v>
      </c>
    </row>
    <row r="2611" spans="1:1">
      <c r="A2611">
        <v>1.9550000000000001E-2</v>
      </c>
    </row>
    <row r="2612" spans="1:1">
      <c r="A2612">
        <v>0.10025000000000001</v>
      </c>
    </row>
    <row r="2613" spans="1:1">
      <c r="A2613">
        <v>0.16452</v>
      </c>
    </row>
    <row r="2614" spans="1:1">
      <c r="A2614">
        <v>1.1270000000000001E-2</v>
      </c>
    </row>
    <row r="2615" spans="1:1">
      <c r="A2615">
        <v>0.13791</v>
      </c>
    </row>
    <row r="2616" spans="1:1">
      <c r="A2616">
        <v>0.10582</v>
      </c>
    </row>
    <row r="2617" spans="1:1">
      <c r="A2617">
        <v>2.6749999999999999E-2</v>
      </c>
    </row>
    <row r="2618" spans="1:1">
      <c r="A2618">
        <v>3.245E-2</v>
      </c>
    </row>
    <row r="2619" spans="1:1">
      <c r="A2619">
        <v>1.9349999999999999E-2</v>
      </c>
    </row>
    <row r="2620" spans="1:1">
      <c r="A2620">
        <v>8.3690000000000001E-2</v>
      </c>
    </row>
    <row r="2621" spans="1:1">
      <c r="A2621">
        <v>5.9470000000000002E-2</v>
      </c>
    </row>
    <row r="2622" spans="1:1">
      <c r="A2622">
        <v>4.1189999999999997E-2</v>
      </c>
    </row>
    <row r="2623" spans="1:1">
      <c r="A2623">
        <v>0.11762</v>
      </c>
    </row>
    <row r="2624" spans="1:1">
      <c r="A2624">
        <v>3.5110000000000002E-2</v>
      </c>
    </row>
    <row r="2625" spans="1:1">
      <c r="A2625">
        <v>9.2539999999999997E-2</v>
      </c>
    </row>
    <row r="2626" spans="1:1">
      <c r="A2626">
        <v>5.058E-2</v>
      </c>
    </row>
    <row r="2627" spans="1:1">
      <c r="A2627">
        <v>9.1689999999999994E-2</v>
      </c>
    </row>
    <row r="2628" spans="1:1">
      <c r="A2628">
        <v>4.3060000000000001E-2</v>
      </c>
    </row>
    <row r="2629" spans="1:1">
      <c r="A2629">
        <v>2.3449999999999999E-2</v>
      </c>
    </row>
    <row r="2630" spans="1:1">
      <c r="A2630">
        <v>2.0299999999999999E-2</v>
      </c>
    </row>
    <row r="2631" spans="1:1">
      <c r="A2631">
        <v>6.0539999999999997E-2</v>
      </c>
    </row>
    <row r="2632" spans="1:1">
      <c r="A2632">
        <v>0.17995</v>
      </c>
    </row>
    <row r="2633" spans="1:1">
      <c r="A2633">
        <v>8.9550000000000005E-2</v>
      </c>
    </row>
    <row r="2634" spans="1:1">
      <c r="A2634">
        <v>0.15781000000000001</v>
      </c>
    </row>
    <row r="2635" spans="1:1">
      <c r="A2635">
        <v>9.1500000000000001E-3</v>
      </c>
    </row>
    <row r="2636" spans="1:1">
      <c r="A2636">
        <v>8.9080000000000006E-2</v>
      </c>
    </row>
    <row r="2637" spans="1:1">
      <c r="A2637">
        <v>4.7280000000000003E-2</v>
      </c>
    </row>
    <row r="2638" spans="1:1">
      <c r="A2638">
        <v>5.237E-2</v>
      </c>
    </row>
    <row r="2639" spans="1:1">
      <c r="A2639">
        <v>0.10302</v>
      </c>
    </row>
    <row r="2640" spans="1:1">
      <c r="A2640">
        <v>0.10693999999999999</v>
      </c>
    </row>
    <row r="2641" spans="1:1">
      <c r="A2641">
        <v>1.017E-2</v>
      </c>
    </row>
    <row r="2642" spans="1:1">
      <c r="A2642">
        <v>4.5699999999999998E-2</v>
      </c>
    </row>
    <row r="2643" spans="1:1">
      <c r="A2643">
        <v>3.8670000000000003E-2</v>
      </c>
    </row>
    <row r="2644" spans="1:1">
      <c r="A2644">
        <v>0.12858</v>
      </c>
    </row>
    <row r="2645" spans="1:1">
      <c r="A2645">
        <v>2.8920000000000001E-2</v>
      </c>
    </row>
    <row r="2646" spans="1:1">
      <c r="A2646">
        <v>1.992E-2</v>
      </c>
    </row>
    <row r="2647" spans="1:1">
      <c r="A2647">
        <v>0.10007000000000001</v>
      </c>
    </row>
    <row r="2648" spans="1:1">
      <c r="A2648">
        <v>0.12872</v>
      </c>
    </row>
    <row r="2649" spans="1:1">
      <c r="A2649">
        <v>0.1923</v>
      </c>
    </row>
    <row r="2650" spans="1:1">
      <c r="A2650">
        <v>5.806E-2</v>
      </c>
    </row>
    <row r="2651" spans="1:1">
      <c r="A2651">
        <v>3.3090000000000001E-2</v>
      </c>
    </row>
    <row r="2652" spans="1:1">
      <c r="A2652">
        <v>1.2959999999999999E-2</v>
      </c>
    </row>
    <row r="2653" spans="1:1">
      <c r="A2653">
        <v>6.6960000000000006E-2</v>
      </c>
    </row>
    <row r="2654" spans="1:1">
      <c r="A2654">
        <v>0.11423999999999999</v>
      </c>
    </row>
    <row r="2655" spans="1:1">
      <c r="A2655">
        <v>4.462E-2</v>
      </c>
    </row>
    <row r="2656" spans="1:1">
      <c r="A2656">
        <v>1.9769999999999999E-2</v>
      </c>
    </row>
    <row r="2657" spans="1:1">
      <c r="A2657">
        <v>0.18743000000000001</v>
      </c>
    </row>
    <row r="2658" spans="1:1">
      <c r="A2658">
        <v>4.8210000000000003E-2</v>
      </c>
    </row>
    <row r="2659" spans="1:1">
      <c r="A2659">
        <v>0.11595999999999999</v>
      </c>
    </row>
    <row r="2660" spans="1:1">
      <c r="A2660">
        <v>4.99E-2</v>
      </c>
    </row>
    <row r="2661" spans="1:1">
      <c r="A2661">
        <v>1.353E-2</v>
      </c>
    </row>
    <row r="2662" spans="1:1">
      <c r="A2662">
        <v>0.14563999999999999</v>
      </c>
    </row>
    <row r="2663" spans="1:1">
      <c r="A2663">
        <v>5.7610000000000001E-2</v>
      </c>
    </row>
    <row r="2664" spans="1:1">
      <c r="A2664">
        <v>2.0320000000000001E-2</v>
      </c>
    </row>
    <row r="2665" spans="1:1">
      <c r="A2665">
        <v>1.1860000000000001E-2</v>
      </c>
    </row>
    <row r="2666" spans="1:1">
      <c r="A2666">
        <v>3.8559999999999997E-2</v>
      </c>
    </row>
    <row r="2667" spans="1:1">
      <c r="A2667">
        <v>0.10375</v>
      </c>
    </row>
    <row r="2668" spans="1:1">
      <c r="A2668">
        <v>0.11075</v>
      </c>
    </row>
    <row r="2669" spans="1:1">
      <c r="A2669">
        <v>7.3529999999999998E-2</v>
      </c>
    </row>
    <row r="2670" spans="1:1">
      <c r="A2670">
        <v>0.17299999999999999</v>
      </c>
    </row>
    <row r="2671" spans="1:1">
      <c r="A2671">
        <v>0.19055</v>
      </c>
    </row>
    <row r="2672" spans="1:1">
      <c r="A2672">
        <v>0.10317999999999999</v>
      </c>
    </row>
    <row r="2673" spans="1:1">
      <c r="A2673">
        <v>0.18878</v>
      </c>
    </row>
    <row r="2674" spans="1:1">
      <c r="A2674">
        <v>0.18440000000000001</v>
      </c>
    </row>
    <row r="2675" spans="1:1">
      <c r="A2675">
        <v>2.027E-2</v>
      </c>
    </row>
    <row r="2676" spans="1:1">
      <c r="A2676">
        <v>0.13391</v>
      </c>
    </row>
    <row r="2677" spans="1:1">
      <c r="A2677">
        <v>0.21682999999999999</v>
      </c>
    </row>
    <row r="2678" spans="1:1">
      <c r="A2678">
        <v>1.8079999999999999E-2</v>
      </c>
    </row>
    <row r="2679" spans="1:1">
      <c r="A2679">
        <v>6.1260000000000002E-2</v>
      </c>
    </row>
    <row r="2680" spans="1:1">
      <c r="A2680">
        <v>0.1173</v>
      </c>
    </row>
    <row r="2681" spans="1:1">
      <c r="A2681">
        <v>4.5909999999999999E-2</v>
      </c>
    </row>
    <row r="2682" spans="1:1">
      <c r="A2682">
        <v>7.1150000000000005E-2</v>
      </c>
    </row>
    <row r="2683" spans="1:1">
      <c r="A2683">
        <v>4.9509999999999998E-2</v>
      </c>
    </row>
    <row r="2684" spans="1:1">
      <c r="A2684">
        <v>2.7969999999999998E-2</v>
      </c>
    </row>
    <row r="2685" spans="1:1">
      <c r="A2685">
        <v>7.5020000000000003E-2</v>
      </c>
    </row>
    <row r="2686" spans="1:1">
      <c r="A2686">
        <v>5.5559999999999998E-2</v>
      </c>
    </row>
    <row r="2687" spans="1:1">
      <c r="A2687">
        <v>3.6260000000000001E-2</v>
      </c>
    </row>
    <row r="2688" spans="1:1">
      <c r="A2688">
        <v>7.689E-2</v>
      </c>
    </row>
    <row r="2689" spans="1:1">
      <c r="A2689">
        <v>2.3869999999999999E-2</v>
      </c>
    </row>
    <row r="2690" spans="1:1">
      <c r="A2690">
        <v>1.2959999999999999E-2</v>
      </c>
    </row>
    <row r="2691" spans="1:1">
      <c r="A2691">
        <v>6.8100000000000001E-3</v>
      </c>
    </row>
    <row r="2692" spans="1:1">
      <c r="A2692">
        <v>1.443E-2</v>
      </c>
    </row>
    <row r="2693" spans="1:1">
      <c r="A2693">
        <v>3.2660000000000002E-2</v>
      </c>
    </row>
    <row r="2694" spans="1:1">
      <c r="A2694">
        <v>2.1610000000000001E-2</v>
      </c>
    </row>
    <row r="2695" spans="1:1">
      <c r="A2695">
        <v>3.5009999999999999E-2</v>
      </c>
    </row>
    <row r="2696" spans="1:1">
      <c r="A2696">
        <v>0.18395</v>
      </c>
    </row>
    <row r="2697" spans="1:1">
      <c r="A2697">
        <v>4.2590000000000003E-2</v>
      </c>
    </row>
    <row r="2698" spans="1:1">
      <c r="A2698">
        <v>0.14831</v>
      </c>
    </row>
    <row r="2699" spans="1:1">
      <c r="A2699">
        <v>0.20188999999999999</v>
      </c>
    </row>
    <row r="2700" spans="1:1">
      <c r="A2700">
        <v>0.14202000000000001</v>
      </c>
    </row>
    <row r="2701" spans="1:1">
      <c r="A2701">
        <v>9.239E-2</v>
      </c>
    </row>
    <row r="2702" spans="1:1">
      <c r="A2702">
        <v>0.13411999999999999</v>
      </c>
    </row>
    <row r="2703" spans="1:1">
      <c r="A2703">
        <v>6.5479999999999997E-2</v>
      </c>
    </row>
    <row r="2704" spans="1:1">
      <c r="A2704">
        <v>4.8619999999999997E-2</v>
      </c>
    </row>
    <row r="2705" spans="1:1">
      <c r="A2705">
        <v>8.8029999999999997E-2</v>
      </c>
    </row>
    <row r="2706" spans="1:1">
      <c r="A2706">
        <v>2.8680000000000001E-2</v>
      </c>
    </row>
    <row r="2707" spans="1:1">
      <c r="A2707">
        <v>9.4539999999999999E-2</v>
      </c>
    </row>
    <row r="2708" spans="1:1">
      <c r="A2708">
        <v>2.7179999999999999E-2</v>
      </c>
    </row>
    <row r="2709" spans="1:1">
      <c r="A2709">
        <v>3.143E-2</v>
      </c>
    </row>
    <row r="2710" spans="1:1">
      <c r="A2710">
        <v>6.2039999999999998E-2</v>
      </c>
    </row>
    <row r="2711" spans="1:1">
      <c r="A2711">
        <v>7.1190000000000003E-2</v>
      </c>
    </row>
    <row r="2712" spans="1:1">
      <c r="A2712">
        <v>2.7529999999999999E-2</v>
      </c>
    </row>
    <row r="2713" spans="1:1">
      <c r="A2713">
        <v>0.22681999999999999</v>
      </c>
    </row>
    <row r="2714" spans="1:1">
      <c r="A2714">
        <v>3.2199999999999999E-2</v>
      </c>
    </row>
    <row r="2715" spans="1:1">
      <c r="A2715">
        <v>0.17380000000000001</v>
      </c>
    </row>
    <row r="2716" spans="1:1">
      <c r="A2716">
        <v>0.10818999999999999</v>
      </c>
    </row>
    <row r="2717" spans="1:1">
      <c r="A2717">
        <v>6.2239999999999997E-2</v>
      </c>
    </row>
    <row r="2718" spans="1:1">
      <c r="A2718">
        <v>3.7479999999999999E-2</v>
      </c>
    </row>
    <row r="2719" spans="1:1">
      <c r="A2719">
        <v>0.14376</v>
      </c>
    </row>
    <row r="2720" spans="1:1">
      <c r="A2720">
        <v>8.1199999999999994E-2</v>
      </c>
    </row>
    <row r="2721" spans="1:1">
      <c r="A2721">
        <v>1.6129999999999999E-2</v>
      </c>
    </row>
    <row r="2722" spans="1:1">
      <c r="A2722">
        <v>6.9320000000000007E-2</v>
      </c>
    </row>
    <row r="2723" spans="1:1">
      <c r="A2723">
        <v>0.12361</v>
      </c>
    </row>
    <row r="2724" spans="1:1">
      <c r="A2724">
        <v>2.717E-2</v>
      </c>
    </row>
    <row r="2725" spans="1:1">
      <c r="A2725">
        <v>7.9920000000000005E-2</v>
      </c>
    </row>
    <row r="2726" spans="1:1">
      <c r="A2726">
        <v>2.7640000000000001E-2</v>
      </c>
    </row>
    <row r="2727" spans="1:1">
      <c r="A2727">
        <v>5.4649999999999997E-2</v>
      </c>
    </row>
    <row r="2728" spans="1:1">
      <c r="A2728">
        <v>0.19716</v>
      </c>
    </row>
    <row r="2729" spans="1:1">
      <c r="A2729">
        <v>9.4500000000000001E-3</v>
      </c>
    </row>
    <row r="2730" spans="1:1">
      <c r="A2730">
        <v>7.5799999999999999E-3</v>
      </c>
    </row>
    <row r="2731" spans="1:1">
      <c r="A2731">
        <v>0.18242</v>
      </c>
    </row>
    <row r="2732" spans="1:1">
      <c r="A2732">
        <v>4.3220000000000001E-2</v>
      </c>
    </row>
    <row r="2733" spans="1:1">
      <c r="A2733">
        <v>7.5800000000000006E-2</v>
      </c>
    </row>
    <row r="2734" spans="1:1">
      <c r="A2734">
        <v>0.12174</v>
      </c>
    </row>
    <row r="2735" spans="1:1">
      <c r="A2735">
        <v>0.10082000000000001</v>
      </c>
    </row>
    <row r="2736" spans="1:1">
      <c r="A2736">
        <v>0.15146000000000001</v>
      </c>
    </row>
    <row r="2737" spans="1:1">
      <c r="A2737">
        <v>2.409E-2</v>
      </c>
    </row>
    <row r="2738" spans="1:1">
      <c r="A2738">
        <v>8.2919999999999994E-2</v>
      </c>
    </row>
    <row r="2739" spans="1:1">
      <c r="A2739">
        <v>5.4429999999999999E-2</v>
      </c>
    </row>
    <row r="2740" spans="1:1">
      <c r="A2740">
        <v>0.14332</v>
      </c>
    </row>
    <row r="2741" spans="1:1">
      <c r="A2741">
        <v>0.26345000000000002</v>
      </c>
    </row>
    <row r="2742" spans="1:1">
      <c r="A2742">
        <v>9.8409999999999997E-2</v>
      </c>
    </row>
    <row r="2743" spans="1:1">
      <c r="A2743">
        <v>9.7979999999999998E-2</v>
      </c>
    </row>
    <row r="2744" spans="1:1">
      <c r="A2744">
        <v>0.22167000000000001</v>
      </c>
    </row>
    <row r="2745" spans="1:1">
      <c r="A2745">
        <v>0.20297000000000001</v>
      </c>
    </row>
    <row r="2746" spans="1:1">
      <c r="A2746">
        <v>0.22237000000000001</v>
      </c>
    </row>
    <row r="2747" spans="1:1">
      <c r="A2747">
        <v>0.19500000000000001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7839-4642-B24D-9EBA-3EB19412EB39}">
  <dimension ref="B1:H3765"/>
  <sheetViews>
    <sheetView zoomScale="130" zoomScaleNormal="130" workbookViewId="0">
      <selection activeCell="L13" sqref="L13"/>
    </sheetView>
  </sheetViews>
  <sheetFormatPr baseColWidth="10" defaultRowHeight="15"/>
  <cols>
    <col min="2" max="2" width="10" bestFit="1" customWidth="1"/>
    <col min="3" max="3" width="6.33203125" bestFit="1" customWidth="1"/>
    <col min="4" max="5" width="7.6640625" bestFit="1" customWidth="1"/>
    <col min="6" max="6" width="9.83203125" bestFit="1" customWidth="1"/>
  </cols>
  <sheetData>
    <row r="1" spans="2:8">
      <c r="B1" t="s">
        <v>25018</v>
      </c>
      <c r="C1" t="s">
        <v>25080</v>
      </c>
      <c r="D1" t="s">
        <v>25081</v>
      </c>
      <c r="E1" t="s">
        <v>25082</v>
      </c>
      <c r="F1" t="s">
        <v>25025</v>
      </c>
      <c r="G1" t="s">
        <v>25026</v>
      </c>
      <c r="H1" t="s">
        <v>25027</v>
      </c>
    </row>
    <row r="2" spans="2:8">
      <c r="B2" t="s">
        <v>25021</v>
      </c>
      <c r="C2">
        <v>34</v>
      </c>
      <c r="D2">
        <v>0</v>
      </c>
      <c r="E2">
        <v>0</v>
      </c>
      <c r="F2">
        <v>0</v>
      </c>
      <c r="G2">
        <v>0</v>
      </c>
      <c r="H2">
        <v>0</v>
      </c>
    </row>
    <row r="3" spans="2:8">
      <c r="B3" t="s">
        <v>25021</v>
      </c>
      <c r="C3">
        <v>36</v>
      </c>
      <c r="D3">
        <v>0</v>
      </c>
      <c r="E3">
        <v>0</v>
      </c>
      <c r="F3">
        <v>0</v>
      </c>
      <c r="G3">
        <v>0</v>
      </c>
      <c r="H3">
        <v>0</v>
      </c>
    </row>
    <row r="4" spans="2:8">
      <c r="B4" t="s">
        <v>25021</v>
      </c>
      <c r="C4">
        <v>37</v>
      </c>
      <c r="D4">
        <v>0</v>
      </c>
      <c r="E4">
        <v>0</v>
      </c>
      <c r="F4">
        <v>0</v>
      </c>
      <c r="G4">
        <v>0</v>
      </c>
      <c r="H4">
        <v>0</v>
      </c>
    </row>
    <row r="5" spans="2:8">
      <c r="B5" t="s">
        <v>25021</v>
      </c>
      <c r="C5">
        <v>38</v>
      </c>
      <c r="D5">
        <v>1</v>
      </c>
      <c r="E5">
        <v>0</v>
      </c>
      <c r="F5">
        <v>0</v>
      </c>
      <c r="G5">
        <v>0</v>
      </c>
      <c r="H5">
        <v>0</v>
      </c>
    </row>
    <row r="6" spans="2:8">
      <c r="B6" t="s">
        <v>25021</v>
      </c>
      <c r="C6">
        <v>40</v>
      </c>
      <c r="D6">
        <v>3</v>
      </c>
      <c r="E6">
        <v>0</v>
      </c>
      <c r="F6">
        <v>0</v>
      </c>
      <c r="G6">
        <v>0</v>
      </c>
      <c r="H6">
        <v>0</v>
      </c>
    </row>
    <row r="7" spans="2:8">
      <c r="B7" t="s">
        <v>25021</v>
      </c>
      <c r="C7">
        <v>40</v>
      </c>
      <c r="D7">
        <v>2</v>
      </c>
      <c r="E7">
        <v>0</v>
      </c>
      <c r="F7">
        <v>0</v>
      </c>
      <c r="G7">
        <v>0</v>
      </c>
      <c r="H7">
        <v>0</v>
      </c>
    </row>
    <row r="8" spans="2:8">
      <c r="B8" t="s">
        <v>25021</v>
      </c>
      <c r="C8">
        <v>40</v>
      </c>
      <c r="D8">
        <v>2</v>
      </c>
      <c r="E8">
        <v>0</v>
      </c>
      <c r="F8">
        <v>0</v>
      </c>
      <c r="G8">
        <v>0</v>
      </c>
      <c r="H8">
        <v>0</v>
      </c>
    </row>
    <row r="9" spans="2:8">
      <c r="B9" t="s">
        <v>25021</v>
      </c>
      <c r="C9">
        <v>41</v>
      </c>
      <c r="D9">
        <v>8</v>
      </c>
      <c r="E9">
        <v>5</v>
      </c>
      <c r="F9">
        <v>2</v>
      </c>
      <c r="G9">
        <v>2</v>
      </c>
      <c r="H9">
        <v>1</v>
      </c>
    </row>
    <row r="10" spans="2:8">
      <c r="B10" t="s">
        <v>25021</v>
      </c>
      <c r="C10">
        <v>41</v>
      </c>
      <c r="D10">
        <v>10</v>
      </c>
      <c r="E10">
        <v>0</v>
      </c>
      <c r="F10">
        <v>0</v>
      </c>
      <c r="G10">
        <v>0</v>
      </c>
      <c r="H10">
        <v>0</v>
      </c>
    </row>
    <row r="11" spans="2:8">
      <c r="B11" t="s">
        <v>25021</v>
      </c>
      <c r="C11">
        <v>41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2:8">
      <c r="B12" t="s">
        <v>25021</v>
      </c>
      <c r="C12">
        <v>42</v>
      </c>
      <c r="D12">
        <v>3</v>
      </c>
      <c r="E12">
        <v>0</v>
      </c>
      <c r="F12">
        <v>0</v>
      </c>
      <c r="G12">
        <v>0</v>
      </c>
      <c r="H12">
        <v>0</v>
      </c>
    </row>
    <row r="13" spans="2:8">
      <c r="B13" t="s">
        <v>25021</v>
      </c>
      <c r="C13">
        <v>43</v>
      </c>
      <c r="D13">
        <v>13</v>
      </c>
      <c r="E13">
        <v>6</v>
      </c>
      <c r="F13">
        <v>0</v>
      </c>
      <c r="G13">
        <v>4</v>
      </c>
      <c r="H13">
        <v>2</v>
      </c>
    </row>
    <row r="14" spans="2:8">
      <c r="B14" t="s">
        <v>25021</v>
      </c>
      <c r="C14">
        <v>43</v>
      </c>
      <c r="D14">
        <v>3</v>
      </c>
      <c r="E14">
        <v>0</v>
      </c>
      <c r="F14">
        <v>0</v>
      </c>
      <c r="G14">
        <v>0</v>
      </c>
      <c r="H14">
        <v>0</v>
      </c>
    </row>
    <row r="15" spans="2:8">
      <c r="B15" t="s">
        <v>25021</v>
      </c>
      <c r="C15">
        <v>43</v>
      </c>
      <c r="D15">
        <v>1</v>
      </c>
      <c r="E15">
        <v>0</v>
      </c>
      <c r="F15">
        <v>0</v>
      </c>
      <c r="G15">
        <v>0</v>
      </c>
      <c r="H15">
        <v>0</v>
      </c>
    </row>
    <row r="16" spans="2:8">
      <c r="B16" t="s">
        <v>25021</v>
      </c>
      <c r="C16">
        <v>43</v>
      </c>
      <c r="D16">
        <v>3</v>
      </c>
      <c r="E16">
        <v>2</v>
      </c>
      <c r="F16">
        <v>0</v>
      </c>
      <c r="G16">
        <v>0</v>
      </c>
      <c r="H16">
        <v>2</v>
      </c>
    </row>
    <row r="17" spans="2:8">
      <c r="B17" t="s">
        <v>25021</v>
      </c>
      <c r="C17">
        <v>43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2:8">
      <c r="B18" t="s">
        <v>25021</v>
      </c>
      <c r="C18">
        <v>44</v>
      </c>
      <c r="D18">
        <v>7</v>
      </c>
      <c r="E18">
        <v>0</v>
      </c>
      <c r="F18">
        <v>0</v>
      </c>
      <c r="G18">
        <v>0</v>
      </c>
      <c r="H18">
        <v>0</v>
      </c>
    </row>
    <row r="19" spans="2:8">
      <c r="B19" t="s">
        <v>25021</v>
      </c>
      <c r="C19">
        <v>44</v>
      </c>
      <c r="D19">
        <v>4</v>
      </c>
      <c r="E19">
        <v>0</v>
      </c>
      <c r="F19">
        <v>0</v>
      </c>
      <c r="G19">
        <v>0</v>
      </c>
      <c r="H19">
        <v>0</v>
      </c>
    </row>
    <row r="20" spans="2:8">
      <c r="B20" t="s">
        <v>25021</v>
      </c>
      <c r="C20">
        <v>44</v>
      </c>
      <c r="D20">
        <v>1</v>
      </c>
      <c r="E20">
        <v>0</v>
      </c>
      <c r="F20">
        <v>0</v>
      </c>
      <c r="G20">
        <v>0</v>
      </c>
      <c r="H20">
        <v>0</v>
      </c>
    </row>
    <row r="21" spans="2:8">
      <c r="B21" t="s">
        <v>25021</v>
      </c>
      <c r="C21">
        <v>45</v>
      </c>
      <c r="D21">
        <v>2</v>
      </c>
      <c r="E21">
        <v>0</v>
      </c>
      <c r="F21">
        <v>0</v>
      </c>
      <c r="G21">
        <v>0</v>
      </c>
      <c r="H21">
        <v>0</v>
      </c>
    </row>
    <row r="22" spans="2:8">
      <c r="B22" t="s">
        <v>25021</v>
      </c>
      <c r="C22">
        <v>46</v>
      </c>
      <c r="D22">
        <v>6</v>
      </c>
      <c r="E22">
        <v>2</v>
      </c>
      <c r="F22">
        <v>0</v>
      </c>
      <c r="G22">
        <v>0</v>
      </c>
      <c r="H22">
        <v>2</v>
      </c>
    </row>
    <row r="23" spans="2:8">
      <c r="B23" t="s">
        <v>25021</v>
      </c>
      <c r="C23">
        <v>46</v>
      </c>
      <c r="D23">
        <v>2</v>
      </c>
      <c r="E23">
        <v>0</v>
      </c>
      <c r="F23">
        <v>0</v>
      </c>
      <c r="G23">
        <v>0</v>
      </c>
      <c r="H23">
        <v>0</v>
      </c>
    </row>
    <row r="24" spans="2:8">
      <c r="B24" t="s">
        <v>25021</v>
      </c>
      <c r="C24">
        <v>46</v>
      </c>
      <c r="D24">
        <v>1</v>
      </c>
      <c r="E24">
        <v>0</v>
      </c>
      <c r="F24">
        <v>0</v>
      </c>
      <c r="G24">
        <v>0</v>
      </c>
      <c r="H24">
        <v>0</v>
      </c>
    </row>
    <row r="25" spans="2:8">
      <c r="B25" t="s">
        <v>25021</v>
      </c>
      <c r="C25">
        <v>46</v>
      </c>
      <c r="D25">
        <v>1</v>
      </c>
      <c r="E25">
        <v>0</v>
      </c>
      <c r="F25">
        <v>0</v>
      </c>
      <c r="G25">
        <v>0</v>
      </c>
      <c r="H25">
        <v>0</v>
      </c>
    </row>
    <row r="26" spans="2:8">
      <c r="B26" t="s">
        <v>25021</v>
      </c>
      <c r="C26">
        <v>47</v>
      </c>
      <c r="D26">
        <v>5</v>
      </c>
      <c r="E26">
        <v>2</v>
      </c>
      <c r="F26">
        <v>0</v>
      </c>
      <c r="G26">
        <v>0</v>
      </c>
      <c r="H26">
        <v>2</v>
      </c>
    </row>
    <row r="27" spans="2:8">
      <c r="B27" t="s">
        <v>25021</v>
      </c>
      <c r="C27">
        <v>47</v>
      </c>
      <c r="D27">
        <v>1</v>
      </c>
      <c r="E27">
        <v>0</v>
      </c>
      <c r="F27">
        <v>0</v>
      </c>
      <c r="G27">
        <v>0</v>
      </c>
      <c r="H27">
        <v>0</v>
      </c>
    </row>
    <row r="28" spans="2:8">
      <c r="B28" t="s">
        <v>25021</v>
      </c>
      <c r="C28">
        <v>48</v>
      </c>
      <c r="D28">
        <v>10</v>
      </c>
      <c r="E28">
        <v>6</v>
      </c>
      <c r="F28">
        <v>0</v>
      </c>
      <c r="G28">
        <v>4</v>
      </c>
      <c r="H28">
        <v>2</v>
      </c>
    </row>
    <row r="29" spans="2:8">
      <c r="B29" t="s">
        <v>25021</v>
      </c>
      <c r="C29">
        <v>48</v>
      </c>
      <c r="D29">
        <v>2</v>
      </c>
      <c r="E29">
        <v>0</v>
      </c>
      <c r="F29">
        <v>0</v>
      </c>
      <c r="G29">
        <v>0</v>
      </c>
      <c r="H29">
        <v>0</v>
      </c>
    </row>
    <row r="30" spans="2:8">
      <c r="B30" t="s">
        <v>25021</v>
      </c>
      <c r="C30">
        <v>48</v>
      </c>
      <c r="D30">
        <v>3</v>
      </c>
      <c r="E30">
        <v>0</v>
      </c>
      <c r="F30">
        <v>0</v>
      </c>
      <c r="G30">
        <v>0</v>
      </c>
      <c r="H30">
        <v>0</v>
      </c>
    </row>
    <row r="31" spans="2:8">
      <c r="B31" t="s">
        <v>25021</v>
      </c>
      <c r="C31">
        <v>48</v>
      </c>
      <c r="D31">
        <v>1</v>
      </c>
      <c r="E31">
        <v>0</v>
      </c>
      <c r="F31">
        <v>0</v>
      </c>
      <c r="G31">
        <v>0</v>
      </c>
      <c r="H31">
        <v>0</v>
      </c>
    </row>
    <row r="32" spans="2:8">
      <c r="B32" t="s">
        <v>25021</v>
      </c>
      <c r="C32">
        <v>48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2:8">
      <c r="B33" t="s">
        <v>25021</v>
      </c>
      <c r="C33">
        <v>50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 t="s">
        <v>25021</v>
      </c>
      <c r="C34">
        <v>50</v>
      </c>
      <c r="D34">
        <v>2</v>
      </c>
      <c r="E34">
        <v>0</v>
      </c>
      <c r="F34">
        <v>0</v>
      </c>
      <c r="G34">
        <v>0</v>
      </c>
      <c r="H34">
        <v>0</v>
      </c>
    </row>
    <row r="35" spans="2:8">
      <c r="B35" t="s">
        <v>25021</v>
      </c>
      <c r="C35">
        <v>50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2:8">
      <c r="B36" t="s">
        <v>25021</v>
      </c>
      <c r="C36">
        <v>51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 t="s">
        <v>25021</v>
      </c>
      <c r="C37">
        <v>52</v>
      </c>
      <c r="D37">
        <v>1</v>
      </c>
      <c r="E37">
        <v>0</v>
      </c>
      <c r="F37">
        <v>0</v>
      </c>
      <c r="G37">
        <v>0</v>
      </c>
      <c r="H37">
        <v>0</v>
      </c>
    </row>
    <row r="38" spans="2:8">
      <c r="B38" t="s">
        <v>25021</v>
      </c>
      <c r="C38">
        <v>52</v>
      </c>
      <c r="D38">
        <v>7</v>
      </c>
      <c r="E38">
        <v>0</v>
      </c>
      <c r="F38">
        <v>0</v>
      </c>
      <c r="G38">
        <v>0</v>
      </c>
      <c r="H38">
        <v>0</v>
      </c>
    </row>
    <row r="39" spans="2:8">
      <c r="B39" t="s">
        <v>25021</v>
      </c>
      <c r="C39">
        <v>52</v>
      </c>
      <c r="D39">
        <v>10</v>
      </c>
      <c r="E39">
        <v>0</v>
      </c>
      <c r="F39">
        <v>0</v>
      </c>
      <c r="G39">
        <v>0</v>
      </c>
      <c r="H39">
        <v>0</v>
      </c>
    </row>
    <row r="40" spans="2:8">
      <c r="B40" t="s">
        <v>25021</v>
      </c>
      <c r="C40">
        <v>52</v>
      </c>
      <c r="D40">
        <v>1</v>
      </c>
      <c r="E40">
        <v>0</v>
      </c>
      <c r="F40">
        <v>0</v>
      </c>
      <c r="G40">
        <v>0</v>
      </c>
      <c r="H40">
        <v>0</v>
      </c>
    </row>
    <row r="41" spans="2:8">
      <c r="B41" t="s">
        <v>25021</v>
      </c>
      <c r="C41">
        <v>52</v>
      </c>
      <c r="D41">
        <v>4</v>
      </c>
      <c r="E41">
        <v>2</v>
      </c>
      <c r="F41">
        <v>0</v>
      </c>
      <c r="G41">
        <v>0</v>
      </c>
      <c r="H41">
        <v>2</v>
      </c>
    </row>
    <row r="42" spans="2:8">
      <c r="B42" t="s">
        <v>25021</v>
      </c>
      <c r="C42">
        <v>52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2:8">
      <c r="B43" t="s">
        <v>25021</v>
      </c>
      <c r="C43">
        <v>53</v>
      </c>
      <c r="D43">
        <v>4</v>
      </c>
      <c r="E43">
        <v>0</v>
      </c>
      <c r="F43">
        <v>0</v>
      </c>
      <c r="G43">
        <v>0</v>
      </c>
      <c r="H43">
        <v>0</v>
      </c>
    </row>
    <row r="44" spans="2:8">
      <c r="B44" t="s">
        <v>25021</v>
      </c>
      <c r="C44">
        <v>53</v>
      </c>
      <c r="D44">
        <v>3</v>
      </c>
      <c r="E44">
        <v>0</v>
      </c>
      <c r="F44">
        <v>0</v>
      </c>
      <c r="G44">
        <v>0</v>
      </c>
      <c r="H44">
        <v>0</v>
      </c>
    </row>
    <row r="45" spans="2:8">
      <c r="B45" t="s">
        <v>25021</v>
      </c>
      <c r="C45">
        <v>54</v>
      </c>
      <c r="D45">
        <v>4</v>
      </c>
      <c r="E45">
        <v>0</v>
      </c>
      <c r="F45">
        <v>0</v>
      </c>
      <c r="G45">
        <v>0</v>
      </c>
      <c r="H45">
        <v>0</v>
      </c>
    </row>
    <row r="46" spans="2:8">
      <c r="B46" t="s">
        <v>25021</v>
      </c>
      <c r="C46">
        <v>54</v>
      </c>
      <c r="D46">
        <v>4</v>
      </c>
      <c r="E46">
        <v>0</v>
      </c>
      <c r="F46">
        <v>0</v>
      </c>
      <c r="G46">
        <v>0</v>
      </c>
      <c r="H46">
        <v>0</v>
      </c>
    </row>
    <row r="47" spans="2:8">
      <c r="B47" t="s">
        <v>25021</v>
      </c>
      <c r="C47">
        <v>55</v>
      </c>
      <c r="D47">
        <v>2</v>
      </c>
      <c r="E47">
        <v>0</v>
      </c>
      <c r="F47">
        <v>0</v>
      </c>
      <c r="G47">
        <v>0</v>
      </c>
      <c r="H47">
        <v>0</v>
      </c>
    </row>
    <row r="48" spans="2:8">
      <c r="B48" t="s">
        <v>25021</v>
      </c>
      <c r="C48">
        <v>55</v>
      </c>
      <c r="D48">
        <v>1</v>
      </c>
      <c r="E48">
        <v>0</v>
      </c>
      <c r="F48">
        <v>0</v>
      </c>
      <c r="G48">
        <v>0</v>
      </c>
      <c r="H48">
        <v>0</v>
      </c>
    </row>
    <row r="49" spans="2:8">
      <c r="B49" t="s">
        <v>25021</v>
      </c>
      <c r="C49">
        <v>57</v>
      </c>
      <c r="D49">
        <v>2</v>
      </c>
      <c r="E49">
        <v>0</v>
      </c>
      <c r="F49">
        <v>0</v>
      </c>
      <c r="G49">
        <v>0</v>
      </c>
      <c r="H49">
        <v>0</v>
      </c>
    </row>
    <row r="50" spans="2:8">
      <c r="B50" t="s">
        <v>25021</v>
      </c>
      <c r="C50">
        <v>57</v>
      </c>
      <c r="D50">
        <v>3</v>
      </c>
      <c r="E50">
        <v>0</v>
      </c>
      <c r="F50">
        <v>0</v>
      </c>
      <c r="G50">
        <v>0</v>
      </c>
      <c r="H50">
        <v>0</v>
      </c>
    </row>
    <row r="51" spans="2:8">
      <c r="B51" t="s">
        <v>25021</v>
      </c>
      <c r="C51">
        <v>57</v>
      </c>
      <c r="D51">
        <v>1</v>
      </c>
      <c r="E51">
        <v>0</v>
      </c>
      <c r="F51">
        <v>0</v>
      </c>
      <c r="G51">
        <v>0</v>
      </c>
      <c r="H51">
        <v>0</v>
      </c>
    </row>
    <row r="52" spans="2:8">
      <c r="B52" t="s">
        <v>25021</v>
      </c>
      <c r="C52">
        <v>58</v>
      </c>
      <c r="D52">
        <v>2</v>
      </c>
      <c r="E52">
        <v>2</v>
      </c>
      <c r="F52">
        <v>0</v>
      </c>
      <c r="G52">
        <v>0</v>
      </c>
      <c r="H52">
        <v>2</v>
      </c>
    </row>
    <row r="53" spans="2:8">
      <c r="B53" t="s">
        <v>25021</v>
      </c>
      <c r="C53">
        <v>58</v>
      </c>
      <c r="D53">
        <v>2</v>
      </c>
      <c r="E53">
        <v>0</v>
      </c>
      <c r="F53">
        <v>0</v>
      </c>
      <c r="G53">
        <v>0</v>
      </c>
      <c r="H53">
        <v>0</v>
      </c>
    </row>
    <row r="54" spans="2:8">
      <c r="B54" t="s">
        <v>25021</v>
      </c>
      <c r="C54">
        <v>59</v>
      </c>
      <c r="D54">
        <v>4</v>
      </c>
      <c r="E54">
        <v>0</v>
      </c>
      <c r="F54">
        <v>0</v>
      </c>
      <c r="G54">
        <v>0</v>
      </c>
      <c r="H54">
        <v>0</v>
      </c>
    </row>
    <row r="55" spans="2:8">
      <c r="B55" t="s">
        <v>25021</v>
      </c>
      <c r="C55">
        <v>59</v>
      </c>
      <c r="D55">
        <v>11</v>
      </c>
      <c r="E55">
        <v>6</v>
      </c>
      <c r="F55">
        <v>0</v>
      </c>
      <c r="G55">
        <v>5</v>
      </c>
      <c r="H55">
        <v>1</v>
      </c>
    </row>
    <row r="56" spans="2:8">
      <c r="B56" t="s">
        <v>25021</v>
      </c>
      <c r="C56">
        <v>61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2:8">
      <c r="B57" t="s">
        <v>25021</v>
      </c>
      <c r="C57">
        <v>61</v>
      </c>
      <c r="D57">
        <v>9</v>
      </c>
      <c r="E57">
        <v>6</v>
      </c>
      <c r="F57">
        <v>0</v>
      </c>
      <c r="G57">
        <v>3</v>
      </c>
      <c r="H57">
        <v>3</v>
      </c>
    </row>
    <row r="58" spans="2:8">
      <c r="B58" t="s">
        <v>25021</v>
      </c>
      <c r="C58">
        <v>61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2:8">
      <c r="B59" t="s">
        <v>25021</v>
      </c>
      <c r="C59">
        <v>61</v>
      </c>
      <c r="D59">
        <v>1</v>
      </c>
      <c r="E59">
        <v>0</v>
      </c>
      <c r="F59">
        <v>0</v>
      </c>
      <c r="G59">
        <v>0</v>
      </c>
      <c r="H59">
        <v>0</v>
      </c>
    </row>
    <row r="60" spans="2:8">
      <c r="B60" t="s">
        <v>25021</v>
      </c>
      <c r="C60">
        <v>62</v>
      </c>
      <c r="D60">
        <v>3</v>
      </c>
      <c r="E60">
        <v>0</v>
      </c>
      <c r="F60">
        <v>0</v>
      </c>
      <c r="G60">
        <v>0</v>
      </c>
      <c r="H60">
        <v>0</v>
      </c>
    </row>
    <row r="61" spans="2:8">
      <c r="B61" t="s">
        <v>25021</v>
      </c>
      <c r="C61">
        <v>62</v>
      </c>
      <c r="D61">
        <v>3</v>
      </c>
      <c r="E61">
        <v>0</v>
      </c>
      <c r="F61">
        <v>0</v>
      </c>
      <c r="G61">
        <v>0</v>
      </c>
      <c r="H61">
        <v>0</v>
      </c>
    </row>
    <row r="62" spans="2:8">
      <c r="B62" t="s">
        <v>25021</v>
      </c>
      <c r="C62">
        <v>62</v>
      </c>
      <c r="D62">
        <v>6</v>
      </c>
      <c r="E62">
        <v>0</v>
      </c>
      <c r="F62">
        <v>0</v>
      </c>
      <c r="G62">
        <v>0</v>
      </c>
      <c r="H62">
        <v>0</v>
      </c>
    </row>
    <row r="63" spans="2:8">
      <c r="B63" t="s">
        <v>25021</v>
      </c>
      <c r="C63">
        <v>62</v>
      </c>
      <c r="D63">
        <v>3</v>
      </c>
      <c r="E63">
        <v>0</v>
      </c>
      <c r="F63">
        <v>0</v>
      </c>
      <c r="G63">
        <v>0</v>
      </c>
      <c r="H63">
        <v>0</v>
      </c>
    </row>
    <row r="64" spans="2:8">
      <c r="B64" t="s">
        <v>25021</v>
      </c>
      <c r="C64">
        <v>62</v>
      </c>
      <c r="D64">
        <v>2</v>
      </c>
      <c r="E64">
        <v>0</v>
      </c>
      <c r="F64">
        <v>0</v>
      </c>
      <c r="G64">
        <v>0</v>
      </c>
      <c r="H64">
        <v>0</v>
      </c>
    </row>
    <row r="65" spans="2:8">
      <c r="B65" t="s">
        <v>25021</v>
      </c>
      <c r="C65">
        <v>63</v>
      </c>
      <c r="D65">
        <v>11</v>
      </c>
      <c r="E65">
        <v>6</v>
      </c>
      <c r="F65">
        <v>0</v>
      </c>
      <c r="G65">
        <v>0</v>
      </c>
      <c r="H65">
        <v>6</v>
      </c>
    </row>
    <row r="66" spans="2:8">
      <c r="B66" t="s">
        <v>25021</v>
      </c>
      <c r="C66">
        <v>63</v>
      </c>
      <c r="D66">
        <v>1</v>
      </c>
      <c r="E66">
        <v>0</v>
      </c>
      <c r="F66">
        <v>0</v>
      </c>
      <c r="G66">
        <v>0</v>
      </c>
      <c r="H66">
        <v>0</v>
      </c>
    </row>
    <row r="67" spans="2:8">
      <c r="B67" t="s">
        <v>25021</v>
      </c>
      <c r="C67">
        <v>63</v>
      </c>
      <c r="D67">
        <v>6</v>
      </c>
      <c r="E67">
        <v>4</v>
      </c>
      <c r="F67">
        <v>0</v>
      </c>
      <c r="G67">
        <v>4</v>
      </c>
      <c r="H67">
        <v>0</v>
      </c>
    </row>
    <row r="68" spans="2:8">
      <c r="B68" t="s">
        <v>25021</v>
      </c>
      <c r="C68">
        <v>63</v>
      </c>
      <c r="D68">
        <v>1</v>
      </c>
      <c r="E68">
        <v>0</v>
      </c>
      <c r="F68">
        <v>0</v>
      </c>
      <c r="G68">
        <v>0</v>
      </c>
      <c r="H68">
        <v>0</v>
      </c>
    </row>
    <row r="69" spans="2:8">
      <c r="B69" t="s">
        <v>25021</v>
      </c>
      <c r="C69">
        <v>63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2:8">
      <c r="B70" t="s">
        <v>25021</v>
      </c>
      <c r="C70">
        <v>64</v>
      </c>
      <c r="D70">
        <v>9</v>
      </c>
      <c r="E70">
        <v>0</v>
      </c>
      <c r="F70">
        <v>0</v>
      </c>
      <c r="G70">
        <v>0</v>
      </c>
      <c r="H70">
        <v>0</v>
      </c>
    </row>
    <row r="71" spans="2:8">
      <c r="B71" t="s">
        <v>25021</v>
      </c>
      <c r="C71">
        <v>64</v>
      </c>
      <c r="D71">
        <v>5</v>
      </c>
      <c r="E71">
        <v>2</v>
      </c>
      <c r="F71">
        <v>0</v>
      </c>
      <c r="G71">
        <v>0</v>
      </c>
      <c r="H71">
        <v>2</v>
      </c>
    </row>
    <row r="72" spans="2:8">
      <c r="B72" t="s">
        <v>25021</v>
      </c>
      <c r="C72">
        <v>64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2:8">
      <c r="B73" t="s">
        <v>25021</v>
      </c>
      <c r="C73">
        <v>65</v>
      </c>
      <c r="D73">
        <v>6</v>
      </c>
      <c r="E73">
        <v>2</v>
      </c>
      <c r="F73">
        <v>0</v>
      </c>
      <c r="G73">
        <v>2</v>
      </c>
      <c r="H73">
        <v>0</v>
      </c>
    </row>
    <row r="74" spans="2:8">
      <c r="B74" t="s">
        <v>25021</v>
      </c>
      <c r="C74">
        <v>65</v>
      </c>
      <c r="D74">
        <v>3</v>
      </c>
      <c r="E74">
        <v>0</v>
      </c>
      <c r="F74">
        <v>0</v>
      </c>
      <c r="G74">
        <v>0</v>
      </c>
      <c r="H74">
        <v>0</v>
      </c>
    </row>
    <row r="75" spans="2:8">
      <c r="B75" t="s">
        <v>25021</v>
      </c>
      <c r="C75">
        <v>65</v>
      </c>
      <c r="D75">
        <v>2</v>
      </c>
      <c r="E75">
        <v>0</v>
      </c>
      <c r="F75">
        <v>0</v>
      </c>
      <c r="G75">
        <v>0</v>
      </c>
      <c r="H75">
        <v>0</v>
      </c>
    </row>
    <row r="76" spans="2:8">
      <c r="B76" t="s">
        <v>25021</v>
      </c>
      <c r="C76">
        <v>66</v>
      </c>
      <c r="D76">
        <v>6</v>
      </c>
      <c r="E76">
        <v>0</v>
      </c>
      <c r="F76">
        <v>0</v>
      </c>
      <c r="G76">
        <v>0</v>
      </c>
      <c r="H76">
        <v>0</v>
      </c>
    </row>
    <row r="77" spans="2:8">
      <c r="B77" t="s">
        <v>25021</v>
      </c>
      <c r="C77">
        <v>66</v>
      </c>
      <c r="D77">
        <v>1</v>
      </c>
      <c r="E77">
        <v>0</v>
      </c>
      <c r="F77">
        <v>0</v>
      </c>
      <c r="G77">
        <v>0</v>
      </c>
      <c r="H77">
        <v>0</v>
      </c>
    </row>
    <row r="78" spans="2:8">
      <c r="B78" t="s">
        <v>25021</v>
      </c>
      <c r="C78">
        <v>66</v>
      </c>
      <c r="D78">
        <v>5</v>
      </c>
      <c r="E78">
        <v>2</v>
      </c>
      <c r="F78">
        <v>0</v>
      </c>
      <c r="G78">
        <v>2</v>
      </c>
      <c r="H78">
        <v>0</v>
      </c>
    </row>
    <row r="79" spans="2:8">
      <c r="B79" t="s">
        <v>25021</v>
      </c>
      <c r="C79">
        <v>66</v>
      </c>
      <c r="D79">
        <v>2</v>
      </c>
      <c r="E79">
        <v>0</v>
      </c>
      <c r="F79">
        <v>0</v>
      </c>
      <c r="G79">
        <v>0</v>
      </c>
      <c r="H79">
        <v>0</v>
      </c>
    </row>
    <row r="80" spans="2:8">
      <c r="B80" t="s">
        <v>25021</v>
      </c>
      <c r="C80">
        <v>66</v>
      </c>
      <c r="D80">
        <v>1</v>
      </c>
      <c r="E80">
        <v>0</v>
      </c>
      <c r="F80">
        <v>0</v>
      </c>
      <c r="G80">
        <v>0</v>
      </c>
      <c r="H80">
        <v>0</v>
      </c>
    </row>
    <row r="81" spans="2:8">
      <c r="B81" t="s">
        <v>25021</v>
      </c>
      <c r="C81">
        <v>66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2:8">
      <c r="B82" t="s">
        <v>25021</v>
      </c>
      <c r="C82">
        <v>66</v>
      </c>
      <c r="D82">
        <v>3</v>
      </c>
      <c r="E82">
        <v>0</v>
      </c>
      <c r="F82">
        <v>0</v>
      </c>
      <c r="G82">
        <v>0</v>
      </c>
      <c r="H82">
        <v>0</v>
      </c>
    </row>
    <row r="83" spans="2:8">
      <c r="B83" t="s">
        <v>25021</v>
      </c>
      <c r="C83">
        <v>67</v>
      </c>
      <c r="D83">
        <v>4</v>
      </c>
      <c r="E83">
        <v>0</v>
      </c>
      <c r="F83">
        <v>0</v>
      </c>
      <c r="G83">
        <v>0</v>
      </c>
      <c r="H83">
        <v>0</v>
      </c>
    </row>
    <row r="84" spans="2:8">
      <c r="B84" t="s">
        <v>25021</v>
      </c>
      <c r="C84">
        <v>67</v>
      </c>
      <c r="D84">
        <v>1</v>
      </c>
      <c r="E84">
        <v>0</v>
      </c>
      <c r="F84">
        <v>0</v>
      </c>
      <c r="G84">
        <v>0</v>
      </c>
      <c r="H84">
        <v>0</v>
      </c>
    </row>
    <row r="85" spans="2:8">
      <c r="B85" t="s">
        <v>25021</v>
      </c>
      <c r="C85">
        <v>67</v>
      </c>
      <c r="D85">
        <v>1</v>
      </c>
      <c r="E85">
        <v>0</v>
      </c>
      <c r="F85">
        <v>0</v>
      </c>
      <c r="G85">
        <v>0</v>
      </c>
      <c r="H85">
        <v>0</v>
      </c>
    </row>
    <row r="86" spans="2:8">
      <c r="B86" t="s">
        <v>25021</v>
      </c>
      <c r="C86">
        <v>68</v>
      </c>
      <c r="D86">
        <v>6</v>
      </c>
      <c r="E86">
        <v>0</v>
      </c>
      <c r="F86">
        <v>0</v>
      </c>
      <c r="G86">
        <v>0</v>
      </c>
      <c r="H86">
        <v>0</v>
      </c>
    </row>
    <row r="87" spans="2:8">
      <c r="B87" t="s">
        <v>25021</v>
      </c>
      <c r="C87">
        <v>68</v>
      </c>
      <c r="D87">
        <v>5</v>
      </c>
      <c r="E87">
        <v>2</v>
      </c>
      <c r="F87">
        <v>0</v>
      </c>
      <c r="G87">
        <v>2</v>
      </c>
      <c r="H87">
        <v>0</v>
      </c>
    </row>
    <row r="88" spans="2:8">
      <c r="B88" t="s">
        <v>25021</v>
      </c>
      <c r="C88">
        <v>69</v>
      </c>
      <c r="D88">
        <v>14</v>
      </c>
      <c r="E88">
        <v>7</v>
      </c>
      <c r="F88">
        <v>0</v>
      </c>
      <c r="G88">
        <v>7</v>
      </c>
      <c r="H88">
        <v>0</v>
      </c>
    </row>
    <row r="89" spans="2:8">
      <c r="B89" t="s">
        <v>25021</v>
      </c>
      <c r="C89">
        <v>69</v>
      </c>
      <c r="D89">
        <v>4</v>
      </c>
      <c r="E89">
        <v>0</v>
      </c>
      <c r="F89">
        <v>0</v>
      </c>
      <c r="G89">
        <v>0</v>
      </c>
      <c r="H89">
        <v>0</v>
      </c>
    </row>
    <row r="90" spans="2:8">
      <c r="B90" t="s">
        <v>25021</v>
      </c>
      <c r="C90">
        <v>69</v>
      </c>
      <c r="D90">
        <v>3</v>
      </c>
      <c r="E90">
        <v>0</v>
      </c>
      <c r="F90">
        <v>0</v>
      </c>
      <c r="G90">
        <v>0</v>
      </c>
      <c r="H90">
        <v>0</v>
      </c>
    </row>
    <row r="91" spans="2:8">
      <c r="B91" t="s">
        <v>25021</v>
      </c>
      <c r="C91">
        <v>69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2:8">
      <c r="B92" t="s">
        <v>25021</v>
      </c>
      <c r="C92">
        <v>70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2:8">
      <c r="B93" t="s">
        <v>25021</v>
      </c>
      <c r="C93">
        <v>71</v>
      </c>
      <c r="D93">
        <v>2</v>
      </c>
      <c r="E93">
        <v>0</v>
      </c>
      <c r="F93">
        <v>0</v>
      </c>
      <c r="G93">
        <v>0</v>
      </c>
      <c r="H93">
        <v>0</v>
      </c>
    </row>
    <row r="94" spans="2:8">
      <c r="B94" t="s">
        <v>25021</v>
      </c>
      <c r="C94">
        <v>71</v>
      </c>
      <c r="D94">
        <v>2</v>
      </c>
      <c r="E94">
        <v>0</v>
      </c>
      <c r="F94">
        <v>0</v>
      </c>
      <c r="G94">
        <v>0</v>
      </c>
      <c r="H94">
        <v>0</v>
      </c>
    </row>
    <row r="95" spans="2:8">
      <c r="B95" t="s">
        <v>25021</v>
      </c>
      <c r="C95">
        <v>72</v>
      </c>
      <c r="D95">
        <v>6</v>
      </c>
      <c r="E95">
        <v>2</v>
      </c>
      <c r="F95">
        <v>0</v>
      </c>
      <c r="G95">
        <v>0</v>
      </c>
      <c r="H95">
        <v>2</v>
      </c>
    </row>
    <row r="96" spans="2:8">
      <c r="B96" t="s">
        <v>25021</v>
      </c>
      <c r="C96">
        <v>72</v>
      </c>
      <c r="D96">
        <v>3</v>
      </c>
      <c r="E96">
        <v>0</v>
      </c>
      <c r="F96">
        <v>0</v>
      </c>
      <c r="G96">
        <v>0</v>
      </c>
      <c r="H96">
        <v>0</v>
      </c>
    </row>
    <row r="97" spans="2:8">
      <c r="B97" t="s">
        <v>25021</v>
      </c>
      <c r="C97">
        <v>72</v>
      </c>
      <c r="D97">
        <v>2</v>
      </c>
      <c r="E97">
        <v>0</v>
      </c>
      <c r="F97">
        <v>0</v>
      </c>
      <c r="G97">
        <v>0</v>
      </c>
      <c r="H97">
        <v>0</v>
      </c>
    </row>
    <row r="98" spans="2:8">
      <c r="B98" t="s">
        <v>25021</v>
      </c>
      <c r="C98">
        <v>72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2:8">
      <c r="B99" t="s">
        <v>25021</v>
      </c>
      <c r="C99">
        <v>73</v>
      </c>
      <c r="D99">
        <v>5</v>
      </c>
      <c r="E99">
        <v>0</v>
      </c>
      <c r="F99">
        <v>0</v>
      </c>
      <c r="G99">
        <v>0</v>
      </c>
      <c r="H99">
        <v>0</v>
      </c>
    </row>
    <row r="100" spans="2:8">
      <c r="B100" t="s">
        <v>25021</v>
      </c>
      <c r="C100">
        <v>73</v>
      </c>
      <c r="D100">
        <v>7</v>
      </c>
      <c r="E100">
        <v>2</v>
      </c>
      <c r="F100">
        <v>0</v>
      </c>
      <c r="G100">
        <v>2</v>
      </c>
      <c r="H100">
        <v>0</v>
      </c>
    </row>
    <row r="101" spans="2:8">
      <c r="B101" t="s">
        <v>25021</v>
      </c>
      <c r="C101">
        <v>73</v>
      </c>
      <c r="D101">
        <v>1</v>
      </c>
      <c r="E101">
        <v>0</v>
      </c>
      <c r="F101">
        <v>0</v>
      </c>
      <c r="G101">
        <v>0</v>
      </c>
      <c r="H101">
        <v>0</v>
      </c>
    </row>
    <row r="102" spans="2:8">
      <c r="B102" t="s">
        <v>25021</v>
      </c>
      <c r="C102">
        <v>73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2:8">
      <c r="B103" t="s">
        <v>25021</v>
      </c>
      <c r="C103">
        <v>74</v>
      </c>
      <c r="D103">
        <v>9</v>
      </c>
      <c r="E103">
        <v>2</v>
      </c>
      <c r="F103">
        <v>0</v>
      </c>
      <c r="G103">
        <v>0</v>
      </c>
      <c r="H103">
        <v>2</v>
      </c>
    </row>
    <row r="104" spans="2:8">
      <c r="B104" t="s">
        <v>25021</v>
      </c>
      <c r="C104">
        <v>74</v>
      </c>
      <c r="D104">
        <v>5</v>
      </c>
      <c r="E104">
        <v>0</v>
      </c>
      <c r="F104">
        <v>0</v>
      </c>
      <c r="G104">
        <v>0</v>
      </c>
      <c r="H104">
        <v>0</v>
      </c>
    </row>
    <row r="105" spans="2:8">
      <c r="B105" t="s">
        <v>25021</v>
      </c>
      <c r="C105">
        <v>75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2:8">
      <c r="B106" t="s">
        <v>25021</v>
      </c>
      <c r="C106">
        <v>75</v>
      </c>
      <c r="D106">
        <v>7</v>
      </c>
      <c r="E106">
        <v>2</v>
      </c>
      <c r="F106">
        <v>0</v>
      </c>
      <c r="G106">
        <v>0</v>
      </c>
      <c r="H106">
        <v>2</v>
      </c>
    </row>
    <row r="107" spans="2:8">
      <c r="B107" t="s">
        <v>25021</v>
      </c>
      <c r="C107">
        <v>75</v>
      </c>
      <c r="D107">
        <v>3</v>
      </c>
      <c r="E107">
        <v>0</v>
      </c>
      <c r="F107">
        <v>0</v>
      </c>
      <c r="G107">
        <v>0</v>
      </c>
      <c r="H107">
        <v>0</v>
      </c>
    </row>
    <row r="108" spans="2:8">
      <c r="B108" t="s">
        <v>25021</v>
      </c>
      <c r="C108">
        <v>75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2:8">
      <c r="B109" t="s">
        <v>25021</v>
      </c>
      <c r="C109">
        <v>76</v>
      </c>
      <c r="D109">
        <v>6</v>
      </c>
      <c r="E109">
        <v>0</v>
      </c>
      <c r="F109">
        <v>0</v>
      </c>
      <c r="G109">
        <v>0</v>
      </c>
      <c r="H109">
        <v>0</v>
      </c>
    </row>
    <row r="110" spans="2:8">
      <c r="B110" t="s">
        <v>25021</v>
      </c>
      <c r="C110">
        <v>76</v>
      </c>
      <c r="D110">
        <v>5</v>
      </c>
      <c r="E110">
        <v>0</v>
      </c>
      <c r="F110">
        <v>0</v>
      </c>
      <c r="G110">
        <v>0</v>
      </c>
      <c r="H110">
        <v>0</v>
      </c>
    </row>
    <row r="111" spans="2:8">
      <c r="B111" t="s">
        <v>25021</v>
      </c>
      <c r="C111">
        <v>76</v>
      </c>
      <c r="D111">
        <v>15</v>
      </c>
      <c r="E111">
        <v>4</v>
      </c>
      <c r="F111">
        <v>0</v>
      </c>
      <c r="G111">
        <v>0</v>
      </c>
      <c r="H111">
        <v>4</v>
      </c>
    </row>
    <row r="112" spans="2:8">
      <c r="B112" t="s">
        <v>25021</v>
      </c>
      <c r="C112">
        <v>76</v>
      </c>
      <c r="D112">
        <v>3</v>
      </c>
      <c r="E112">
        <v>0</v>
      </c>
      <c r="F112">
        <v>0</v>
      </c>
      <c r="G112">
        <v>0</v>
      </c>
      <c r="H112">
        <v>0</v>
      </c>
    </row>
    <row r="113" spans="2:8">
      <c r="B113" t="s">
        <v>25021</v>
      </c>
      <c r="C113">
        <v>77</v>
      </c>
      <c r="D113">
        <v>6</v>
      </c>
      <c r="E113">
        <v>2</v>
      </c>
      <c r="F113">
        <v>0</v>
      </c>
      <c r="G113">
        <v>2</v>
      </c>
      <c r="H113">
        <v>0</v>
      </c>
    </row>
    <row r="114" spans="2:8">
      <c r="B114" t="s">
        <v>25021</v>
      </c>
      <c r="C114">
        <v>77</v>
      </c>
      <c r="D114">
        <v>2</v>
      </c>
      <c r="E114">
        <v>0</v>
      </c>
      <c r="F114">
        <v>0</v>
      </c>
      <c r="G114">
        <v>0</v>
      </c>
      <c r="H114">
        <v>0</v>
      </c>
    </row>
    <row r="115" spans="2:8">
      <c r="B115" t="s">
        <v>25021</v>
      </c>
      <c r="C115">
        <v>77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2:8">
      <c r="B116" t="s">
        <v>25021</v>
      </c>
      <c r="C116">
        <v>78</v>
      </c>
      <c r="D116">
        <v>11</v>
      </c>
      <c r="E116">
        <v>2</v>
      </c>
      <c r="F116">
        <v>0</v>
      </c>
      <c r="G116">
        <v>2</v>
      </c>
      <c r="H116">
        <v>0</v>
      </c>
    </row>
    <row r="117" spans="2:8">
      <c r="B117" t="s">
        <v>25021</v>
      </c>
      <c r="C117">
        <v>78</v>
      </c>
      <c r="D117">
        <v>5</v>
      </c>
      <c r="E117">
        <v>2</v>
      </c>
      <c r="F117">
        <v>0</v>
      </c>
      <c r="G117">
        <v>2</v>
      </c>
      <c r="H117">
        <v>0</v>
      </c>
    </row>
    <row r="118" spans="2:8">
      <c r="B118" t="s">
        <v>25021</v>
      </c>
      <c r="C118">
        <v>78</v>
      </c>
      <c r="D118">
        <v>4</v>
      </c>
      <c r="E118">
        <v>2</v>
      </c>
      <c r="F118">
        <v>0</v>
      </c>
      <c r="G118">
        <v>2</v>
      </c>
      <c r="H118">
        <v>0</v>
      </c>
    </row>
    <row r="119" spans="2:8">
      <c r="B119" t="s">
        <v>25021</v>
      </c>
      <c r="C119">
        <v>78</v>
      </c>
      <c r="D119">
        <v>1</v>
      </c>
      <c r="E119">
        <v>0</v>
      </c>
      <c r="F119">
        <v>0</v>
      </c>
      <c r="G119">
        <v>0</v>
      </c>
      <c r="H119">
        <v>0</v>
      </c>
    </row>
    <row r="120" spans="2:8">
      <c r="B120" t="s">
        <v>25021</v>
      </c>
      <c r="C120">
        <v>78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2:8">
      <c r="B121" t="s">
        <v>25021</v>
      </c>
      <c r="C121">
        <v>78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2:8">
      <c r="B122" t="s">
        <v>25021</v>
      </c>
      <c r="C122">
        <v>79</v>
      </c>
      <c r="D122">
        <v>2</v>
      </c>
      <c r="E122">
        <v>0</v>
      </c>
      <c r="F122">
        <v>0</v>
      </c>
      <c r="G122">
        <v>0</v>
      </c>
      <c r="H122">
        <v>0</v>
      </c>
    </row>
    <row r="123" spans="2:8">
      <c r="B123" t="s">
        <v>25021</v>
      </c>
      <c r="C123">
        <v>80</v>
      </c>
      <c r="D123">
        <v>5</v>
      </c>
      <c r="E123">
        <v>0</v>
      </c>
      <c r="F123">
        <v>0</v>
      </c>
      <c r="G123">
        <v>0</v>
      </c>
      <c r="H123">
        <v>0</v>
      </c>
    </row>
    <row r="124" spans="2:8">
      <c r="B124" t="s">
        <v>25021</v>
      </c>
      <c r="C124">
        <v>80</v>
      </c>
      <c r="D124">
        <v>6</v>
      </c>
      <c r="E124">
        <v>2</v>
      </c>
      <c r="F124">
        <v>0</v>
      </c>
      <c r="G124">
        <v>2</v>
      </c>
      <c r="H124">
        <v>0</v>
      </c>
    </row>
    <row r="125" spans="2:8">
      <c r="B125" t="s">
        <v>25021</v>
      </c>
      <c r="C125">
        <v>80</v>
      </c>
      <c r="D125">
        <v>1</v>
      </c>
      <c r="E125">
        <v>0</v>
      </c>
      <c r="F125">
        <v>0</v>
      </c>
      <c r="G125">
        <v>0</v>
      </c>
      <c r="H125">
        <v>0</v>
      </c>
    </row>
    <row r="126" spans="2:8">
      <c r="B126" t="s">
        <v>25021</v>
      </c>
      <c r="C126">
        <v>81</v>
      </c>
      <c r="D126">
        <v>4</v>
      </c>
      <c r="E126">
        <v>0</v>
      </c>
      <c r="F126">
        <v>0</v>
      </c>
      <c r="G126">
        <v>0</v>
      </c>
      <c r="H126">
        <v>0</v>
      </c>
    </row>
    <row r="127" spans="2:8">
      <c r="B127" t="s">
        <v>25021</v>
      </c>
      <c r="C127">
        <v>81</v>
      </c>
      <c r="D127">
        <v>5</v>
      </c>
      <c r="E127">
        <v>0</v>
      </c>
      <c r="F127">
        <v>0</v>
      </c>
      <c r="G127">
        <v>0</v>
      </c>
      <c r="H127">
        <v>0</v>
      </c>
    </row>
    <row r="128" spans="2:8">
      <c r="B128" t="s">
        <v>25021</v>
      </c>
      <c r="C128">
        <v>81</v>
      </c>
      <c r="D128">
        <v>4</v>
      </c>
      <c r="E128">
        <v>0</v>
      </c>
      <c r="F128">
        <v>0</v>
      </c>
      <c r="G128">
        <v>0</v>
      </c>
      <c r="H128">
        <v>0</v>
      </c>
    </row>
    <row r="129" spans="2:8">
      <c r="B129" t="s">
        <v>25021</v>
      </c>
      <c r="C129">
        <v>81</v>
      </c>
      <c r="D129">
        <v>3</v>
      </c>
      <c r="E129">
        <v>0</v>
      </c>
      <c r="F129">
        <v>0</v>
      </c>
      <c r="G129">
        <v>0</v>
      </c>
      <c r="H129">
        <v>0</v>
      </c>
    </row>
    <row r="130" spans="2:8">
      <c r="B130" t="s">
        <v>25021</v>
      </c>
      <c r="C130">
        <v>82</v>
      </c>
      <c r="D130">
        <v>4</v>
      </c>
      <c r="E130">
        <v>0</v>
      </c>
      <c r="F130">
        <v>0</v>
      </c>
      <c r="G130">
        <v>0</v>
      </c>
      <c r="H130">
        <v>0</v>
      </c>
    </row>
    <row r="131" spans="2:8">
      <c r="B131" t="s">
        <v>25021</v>
      </c>
      <c r="C131">
        <v>82</v>
      </c>
      <c r="D131">
        <v>3</v>
      </c>
      <c r="E131">
        <v>0</v>
      </c>
      <c r="F131">
        <v>0</v>
      </c>
      <c r="G131">
        <v>0</v>
      </c>
      <c r="H131">
        <v>0</v>
      </c>
    </row>
    <row r="132" spans="2:8">
      <c r="B132" t="s">
        <v>25021</v>
      </c>
      <c r="C132">
        <v>82</v>
      </c>
      <c r="D132">
        <v>1</v>
      </c>
      <c r="E132">
        <v>0</v>
      </c>
      <c r="F132">
        <v>0</v>
      </c>
      <c r="G132">
        <v>0</v>
      </c>
      <c r="H132">
        <v>0</v>
      </c>
    </row>
    <row r="133" spans="2:8">
      <c r="B133" t="s">
        <v>25021</v>
      </c>
      <c r="C133">
        <v>83</v>
      </c>
      <c r="D133">
        <v>12</v>
      </c>
      <c r="E133">
        <v>4</v>
      </c>
      <c r="F133">
        <v>0</v>
      </c>
      <c r="G133">
        <v>2</v>
      </c>
      <c r="H133">
        <v>2</v>
      </c>
    </row>
    <row r="134" spans="2:8">
      <c r="B134" t="s">
        <v>25021</v>
      </c>
      <c r="C134">
        <v>84</v>
      </c>
      <c r="D134">
        <v>4</v>
      </c>
      <c r="E134">
        <v>2</v>
      </c>
      <c r="F134">
        <v>0</v>
      </c>
      <c r="G134">
        <v>0</v>
      </c>
      <c r="H134">
        <v>2</v>
      </c>
    </row>
    <row r="135" spans="2:8">
      <c r="B135" t="s">
        <v>25021</v>
      </c>
      <c r="C135">
        <v>85</v>
      </c>
      <c r="D135">
        <v>4</v>
      </c>
      <c r="E135">
        <v>0</v>
      </c>
      <c r="F135">
        <v>0</v>
      </c>
      <c r="G135">
        <v>0</v>
      </c>
      <c r="H135">
        <v>0</v>
      </c>
    </row>
    <row r="136" spans="2:8">
      <c r="B136" t="s">
        <v>25021</v>
      </c>
      <c r="C136">
        <v>85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2:8">
      <c r="B137" t="s">
        <v>25021</v>
      </c>
      <c r="C137">
        <v>86</v>
      </c>
      <c r="D137">
        <v>2</v>
      </c>
      <c r="E137">
        <v>0</v>
      </c>
      <c r="F137">
        <v>0</v>
      </c>
      <c r="G137">
        <v>0</v>
      </c>
      <c r="H137">
        <v>0</v>
      </c>
    </row>
    <row r="138" spans="2:8">
      <c r="B138" t="s">
        <v>25021</v>
      </c>
      <c r="C138">
        <v>86</v>
      </c>
      <c r="D138">
        <v>8</v>
      </c>
      <c r="E138">
        <v>0</v>
      </c>
      <c r="F138">
        <v>0</v>
      </c>
      <c r="G138">
        <v>0</v>
      </c>
      <c r="H138">
        <v>0</v>
      </c>
    </row>
    <row r="139" spans="2:8">
      <c r="B139" t="s">
        <v>25021</v>
      </c>
      <c r="C139">
        <v>87</v>
      </c>
      <c r="D139">
        <v>13</v>
      </c>
      <c r="E139">
        <v>4</v>
      </c>
      <c r="F139">
        <v>0</v>
      </c>
      <c r="G139">
        <v>2</v>
      </c>
      <c r="H139">
        <v>2</v>
      </c>
    </row>
    <row r="140" spans="2:8">
      <c r="B140" t="s">
        <v>25021</v>
      </c>
      <c r="C140">
        <v>87</v>
      </c>
      <c r="D140">
        <v>18</v>
      </c>
      <c r="E140">
        <v>10</v>
      </c>
      <c r="F140">
        <v>0</v>
      </c>
      <c r="G140">
        <v>4</v>
      </c>
      <c r="H140">
        <v>6</v>
      </c>
    </row>
    <row r="141" spans="2:8">
      <c r="B141" t="s">
        <v>25021</v>
      </c>
      <c r="C141">
        <v>87</v>
      </c>
      <c r="D141">
        <v>9</v>
      </c>
      <c r="E141">
        <v>3</v>
      </c>
      <c r="F141">
        <v>0</v>
      </c>
      <c r="G141">
        <v>3</v>
      </c>
      <c r="H141">
        <v>0</v>
      </c>
    </row>
    <row r="142" spans="2:8">
      <c r="B142" t="s">
        <v>25021</v>
      </c>
      <c r="C142">
        <v>87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2:8">
      <c r="B143" t="s">
        <v>25021</v>
      </c>
      <c r="C143">
        <v>88</v>
      </c>
      <c r="D143">
        <v>4</v>
      </c>
      <c r="E143">
        <v>0</v>
      </c>
      <c r="F143">
        <v>0</v>
      </c>
      <c r="G143">
        <v>0</v>
      </c>
      <c r="H143">
        <v>0</v>
      </c>
    </row>
    <row r="144" spans="2:8">
      <c r="B144" t="s">
        <v>25021</v>
      </c>
      <c r="C144">
        <v>89</v>
      </c>
      <c r="D144">
        <v>8</v>
      </c>
      <c r="E144">
        <v>0</v>
      </c>
      <c r="F144">
        <v>0</v>
      </c>
      <c r="G144">
        <v>0</v>
      </c>
      <c r="H144">
        <v>0</v>
      </c>
    </row>
    <row r="145" spans="2:8">
      <c r="B145" t="s">
        <v>25021</v>
      </c>
      <c r="C145">
        <v>89</v>
      </c>
      <c r="D145">
        <v>1</v>
      </c>
      <c r="E145">
        <v>0</v>
      </c>
      <c r="F145">
        <v>0</v>
      </c>
      <c r="G145">
        <v>0</v>
      </c>
      <c r="H145">
        <v>0</v>
      </c>
    </row>
    <row r="146" spans="2:8">
      <c r="B146" t="s">
        <v>25021</v>
      </c>
      <c r="C146">
        <v>90</v>
      </c>
      <c r="D146">
        <v>14</v>
      </c>
      <c r="E146">
        <v>6</v>
      </c>
      <c r="F146">
        <v>0</v>
      </c>
      <c r="G146">
        <v>6</v>
      </c>
      <c r="H146">
        <v>0</v>
      </c>
    </row>
    <row r="147" spans="2:8">
      <c r="B147" t="s">
        <v>25021</v>
      </c>
      <c r="C147">
        <v>90</v>
      </c>
      <c r="D147">
        <v>5</v>
      </c>
      <c r="E147">
        <v>2</v>
      </c>
      <c r="F147">
        <v>0</v>
      </c>
      <c r="G147">
        <v>0</v>
      </c>
      <c r="H147">
        <v>2</v>
      </c>
    </row>
    <row r="148" spans="2:8">
      <c r="B148" t="s">
        <v>25021</v>
      </c>
      <c r="C148">
        <v>90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2:8">
      <c r="B149" t="s">
        <v>25021</v>
      </c>
      <c r="C149">
        <v>91</v>
      </c>
      <c r="D149">
        <v>5</v>
      </c>
      <c r="E149">
        <v>2</v>
      </c>
      <c r="F149">
        <v>0</v>
      </c>
      <c r="G149">
        <v>2</v>
      </c>
      <c r="H149">
        <v>0</v>
      </c>
    </row>
    <row r="150" spans="2:8">
      <c r="B150" t="s">
        <v>25021</v>
      </c>
      <c r="C150">
        <v>91</v>
      </c>
      <c r="D150">
        <v>3</v>
      </c>
      <c r="E150">
        <v>0</v>
      </c>
      <c r="F150">
        <v>0</v>
      </c>
      <c r="G150">
        <v>0</v>
      </c>
      <c r="H150">
        <v>0</v>
      </c>
    </row>
    <row r="151" spans="2:8">
      <c r="B151" t="s">
        <v>25021</v>
      </c>
      <c r="C151">
        <v>91</v>
      </c>
      <c r="D151">
        <v>3</v>
      </c>
      <c r="E151">
        <v>0</v>
      </c>
      <c r="F151">
        <v>0</v>
      </c>
      <c r="G151">
        <v>0</v>
      </c>
      <c r="H151">
        <v>0</v>
      </c>
    </row>
    <row r="152" spans="2:8">
      <c r="B152" t="s">
        <v>25021</v>
      </c>
      <c r="C152">
        <v>92</v>
      </c>
      <c r="D152">
        <v>10</v>
      </c>
      <c r="E152">
        <v>0</v>
      </c>
      <c r="F152">
        <v>0</v>
      </c>
      <c r="G152">
        <v>0</v>
      </c>
      <c r="H152">
        <v>0</v>
      </c>
    </row>
    <row r="153" spans="2:8">
      <c r="B153" t="s">
        <v>25021</v>
      </c>
      <c r="C153">
        <v>92</v>
      </c>
      <c r="D153">
        <v>2</v>
      </c>
      <c r="E153">
        <v>0</v>
      </c>
      <c r="F153">
        <v>0</v>
      </c>
      <c r="G153">
        <v>0</v>
      </c>
      <c r="H153">
        <v>0</v>
      </c>
    </row>
    <row r="154" spans="2:8">
      <c r="B154" t="s">
        <v>25021</v>
      </c>
      <c r="C154">
        <v>94</v>
      </c>
      <c r="D154">
        <v>3</v>
      </c>
      <c r="E154">
        <v>0</v>
      </c>
      <c r="F154">
        <v>0</v>
      </c>
      <c r="G154">
        <v>0</v>
      </c>
      <c r="H154">
        <v>0</v>
      </c>
    </row>
    <row r="155" spans="2:8">
      <c r="B155" t="s">
        <v>25021</v>
      </c>
      <c r="C155">
        <v>95</v>
      </c>
      <c r="D155">
        <v>6</v>
      </c>
      <c r="E155">
        <v>2</v>
      </c>
      <c r="F155">
        <v>0</v>
      </c>
      <c r="G155">
        <v>0</v>
      </c>
      <c r="H155">
        <v>2</v>
      </c>
    </row>
    <row r="156" spans="2:8">
      <c r="B156" t="s">
        <v>25021</v>
      </c>
      <c r="C156">
        <v>95</v>
      </c>
      <c r="D156">
        <v>19</v>
      </c>
      <c r="E156">
        <v>4</v>
      </c>
      <c r="F156">
        <v>0</v>
      </c>
      <c r="G156">
        <v>4</v>
      </c>
      <c r="H156">
        <v>0</v>
      </c>
    </row>
    <row r="157" spans="2:8">
      <c r="B157" t="s">
        <v>25021</v>
      </c>
      <c r="C157">
        <v>95</v>
      </c>
      <c r="D157">
        <v>9</v>
      </c>
      <c r="E157">
        <v>5</v>
      </c>
      <c r="F157">
        <v>0</v>
      </c>
      <c r="G157">
        <v>5</v>
      </c>
      <c r="H157">
        <v>0</v>
      </c>
    </row>
    <row r="158" spans="2:8">
      <c r="B158" t="s">
        <v>25021</v>
      </c>
      <c r="C158">
        <v>95</v>
      </c>
      <c r="D158">
        <v>7</v>
      </c>
      <c r="E158">
        <v>0</v>
      </c>
      <c r="F158">
        <v>0</v>
      </c>
      <c r="G158">
        <v>0</v>
      </c>
      <c r="H158">
        <v>0</v>
      </c>
    </row>
    <row r="159" spans="2:8">
      <c r="B159" t="s">
        <v>25021</v>
      </c>
      <c r="C159">
        <v>95</v>
      </c>
      <c r="D159">
        <v>5</v>
      </c>
      <c r="E159">
        <v>0</v>
      </c>
      <c r="F159">
        <v>0</v>
      </c>
      <c r="G159">
        <v>0</v>
      </c>
      <c r="H159">
        <v>0</v>
      </c>
    </row>
    <row r="160" spans="2:8">
      <c r="B160" t="s">
        <v>25021</v>
      </c>
      <c r="C160">
        <v>95</v>
      </c>
      <c r="D160">
        <v>2</v>
      </c>
      <c r="E160">
        <v>0</v>
      </c>
      <c r="F160">
        <v>0</v>
      </c>
      <c r="G160">
        <v>0</v>
      </c>
      <c r="H160">
        <v>0</v>
      </c>
    </row>
    <row r="161" spans="2:8">
      <c r="B161" t="s">
        <v>25021</v>
      </c>
      <c r="C161">
        <v>96</v>
      </c>
      <c r="D161">
        <v>10</v>
      </c>
      <c r="E161">
        <v>2</v>
      </c>
      <c r="F161">
        <v>0</v>
      </c>
      <c r="G161">
        <v>2</v>
      </c>
      <c r="H161">
        <v>0</v>
      </c>
    </row>
    <row r="162" spans="2:8">
      <c r="B162" t="s">
        <v>25021</v>
      </c>
      <c r="C162">
        <v>96</v>
      </c>
      <c r="D162">
        <v>6</v>
      </c>
      <c r="E162">
        <v>2</v>
      </c>
      <c r="F162">
        <v>0</v>
      </c>
      <c r="G162">
        <v>2</v>
      </c>
      <c r="H162">
        <v>0</v>
      </c>
    </row>
    <row r="163" spans="2:8">
      <c r="B163" t="s">
        <v>25021</v>
      </c>
      <c r="C163">
        <v>96</v>
      </c>
      <c r="D163">
        <v>1</v>
      </c>
      <c r="E163">
        <v>0</v>
      </c>
      <c r="F163">
        <v>0</v>
      </c>
      <c r="G163">
        <v>0</v>
      </c>
      <c r="H163">
        <v>0</v>
      </c>
    </row>
    <row r="164" spans="2:8">
      <c r="B164" t="s">
        <v>25021</v>
      </c>
      <c r="C164">
        <v>96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2:8">
      <c r="B165" t="s">
        <v>25021</v>
      </c>
      <c r="C165">
        <v>97</v>
      </c>
      <c r="D165">
        <v>14</v>
      </c>
      <c r="E165">
        <v>4</v>
      </c>
      <c r="F165">
        <v>0</v>
      </c>
      <c r="G165">
        <v>4</v>
      </c>
      <c r="H165">
        <v>0</v>
      </c>
    </row>
    <row r="166" spans="2:8">
      <c r="B166" t="s">
        <v>25021</v>
      </c>
      <c r="C166">
        <v>97</v>
      </c>
      <c r="D166">
        <v>4</v>
      </c>
      <c r="E166">
        <v>0</v>
      </c>
      <c r="F166">
        <v>0</v>
      </c>
      <c r="G166">
        <v>0</v>
      </c>
      <c r="H166">
        <v>0</v>
      </c>
    </row>
    <row r="167" spans="2:8">
      <c r="B167" t="s">
        <v>25021</v>
      </c>
      <c r="C167">
        <v>98</v>
      </c>
      <c r="D167">
        <v>16</v>
      </c>
      <c r="E167">
        <v>6</v>
      </c>
      <c r="F167">
        <v>0</v>
      </c>
      <c r="G167">
        <v>0</v>
      </c>
      <c r="H167">
        <v>6</v>
      </c>
    </row>
    <row r="168" spans="2:8">
      <c r="B168" t="s">
        <v>25021</v>
      </c>
      <c r="C168">
        <v>98</v>
      </c>
      <c r="D168">
        <v>4</v>
      </c>
      <c r="E168">
        <v>0</v>
      </c>
      <c r="F168">
        <v>0</v>
      </c>
      <c r="G168">
        <v>0</v>
      </c>
      <c r="H168">
        <v>0</v>
      </c>
    </row>
    <row r="169" spans="2:8">
      <c r="B169" t="s">
        <v>25021</v>
      </c>
      <c r="C169">
        <v>99</v>
      </c>
      <c r="D169">
        <v>8</v>
      </c>
      <c r="E169">
        <v>2</v>
      </c>
      <c r="F169">
        <v>0</v>
      </c>
      <c r="G169">
        <v>0</v>
      </c>
      <c r="H169">
        <v>2</v>
      </c>
    </row>
    <row r="170" spans="2:8">
      <c r="B170" t="s">
        <v>25021</v>
      </c>
      <c r="C170">
        <v>99</v>
      </c>
      <c r="D170">
        <v>9</v>
      </c>
      <c r="E170">
        <v>4</v>
      </c>
      <c r="F170">
        <v>0</v>
      </c>
      <c r="G170">
        <v>4</v>
      </c>
      <c r="H170">
        <v>0</v>
      </c>
    </row>
    <row r="171" spans="2:8">
      <c r="B171" t="s">
        <v>25021</v>
      </c>
      <c r="C171">
        <v>100</v>
      </c>
      <c r="D171">
        <v>8</v>
      </c>
      <c r="E171">
        <v>4</v>
      </c>
      <c r="F171">
        <v>0</v>
      </c>
      <c r="G171">
        <v>2</v>
      </c>
      <c r="H171">
        <v>2</v>
      </c>
    </row>
    <row r="172" spans="2:8">
      <c r="B172" t="s">
        <v>25021</v>
      </c>
      <c r="C172">
        <v>100</v>
      </c>
      <c r="D172">
        <v>9</v>
      </c>
      <c r="E172">
        <v>4</v>
      </c>
      <c r="F172">
        <v>0</v>
      </c>
      <c r="G172">
        <v>2</v>
      </c>
      <c r="H172">
        <v>2</v>
      </c>
    </row>
    <row r="173" spans="2:8">
      <c r="B173" t="s">
        <v>25021</v>
      </c>
      <c r="C173">
        <v>101</v>
      </c>
      <c r="D173">
        <v>17</v>
      </c>
      <c r="E173">
        <v>6</v>
      </c>
      <c r="F173">
        <v>0</v>
      </c>
      <c r="G173">
        <v>4</v>
      </c>
      <c r="H173">
        <v>2</v>
      </c>
    </row>
    <row r="174" spans="2:8">
      <c r="B174" t="s">
        <v>25021</v>
      </c>
      <c r="C174">
        <v>101</v>
      </c>
      <c r="D174">
        <v>11</v>
      </c>
      <c r="E174">
        <v>0</v>
      </c>
      <c r="F174">
        <v>0</v>
      </c>
      <c r="G174">
        <v>0</v>
      </c>
      <c r="H174">
        <v>0</v>
      </c>
    </row>
    <row r="175" spans="2:8">
      <c r="B175" t="s">
        <v>25021</v>
      </c>
      <c r="C175">
        <v>102</v>
      </c>
      <c r="D175">
        <v>5</v>
      </c>
      <c r="E175">
        <v>3</v>
      </c>
      <c r="F175">
        <v>0</v>
      </c>
      <c r="G175">
        <v>0</v>
      </c>
      <c r="H175">
        <v>3</v>
      </c>
    </row>
    <row r="176" spans="2:8">
      <c r="B176" t="s">
        <v>25021</v>
      </c>
      <c r="C176">
        <v>102</v>
      </c>
      <c r="D176">
        <v>10</v>
      </c>
      <c r="E176">
        <v>4</v>
      </c>
      <c r="F176">
        <v>0</v>
      </c>
      <c r="G176">
        <v>2</v>
      </c>
      <c r="H176">
        <v>2</v>
      </c>
    </row>
    <row r="177" spans="2:8">
      <c r="B177" t="s">
        <v>25021</v>
      </c>
      <c r="C177">
        <v>104</v>
      </c>
      <c r="D177">
        <v>8</v>
      </c>
      <c r="E177">
        <v>4</v>
      </c>
      <c r="F177">
        <v>0</v>
      </c>
      <c r="G177">
        <v>4</v>
      </c>
      <c r="H177">
        <v>0</v>
      </c>
    </row>
    <row r="178" spans="2:8">
      <c r="B178" t="s">
        <v>25021</v>
      </c>
      <c r="C178">
        <v>104</v>
      </c>
      <c r="D178">
        <v>8</v>
      </c>
      <c r="E178">
        <v>0</v>
      </c>
      <c r="F178">
        <v>0</v>
      </c>
      <c r="G178">
        <v>0</v>
      </c>
      <c r="H178">
        <v>0</v>
      </c>
    </row>
    <row r="179" spans="2:8">
      <c r="B179" t="s">
        <v>25021</v>
      </c>
      <c r="C179">
        <v>105</v>
      </c>
      <c r="D179">
        <v>4</v>
      </c>
      <c r="E179">
        <v>0</v>
      </c>
      <c r="F179">
        <v>0</v>
      </c>
      <c r="G179">
        <v>0</v>
      </c>
      <c r="H179">
        <v>0</v>
      </c>
    </row>
    <row r="180" spans="2:8">
      <c r="B180" t="s">
        <v>25021</v>
      </c>
      <c r="C180">
        <v>105</v>
      </c>
      <c r="D180">
        <v>5</v>
      </c>
      <c r="E180">
        <v>0</v>
      </c>
      <c r="F180">
        <v>0</v>
      </c>
      <c r="G180">
        <v>0</v>
      </c>
      <c r="H180">
        <v>0</v>
      </c>
    </row>
    <row r="181" spans="2:8">
      <c r="B181" t="s">
        <v>25021</v>
      </c>
      <c r="C181">
        <v>106</v>
      </c>
      <c r="D181">
        <v>5</v>
      </c>
      <c r="E181">
        <v>0</v>
      </c>
      <c r="F181">
        <v>0</v>
      </c>
      <c r="G181">
        <v>0</v>
      </c>
      <c r="H181">
        <v>0</v>
      </c>
    </row>
    <row r="182" spans="2:8">
      <c r="B182" t="s">
        <v>25021</v>
      </c>
      <c r="C182">
        <v>106</v>
      </c>
      <c r="D182">
        <v>5</v>
      </c>
      <c r="E182">
        <v>0</v>
      </c>
      <c r="F182">
        <v>0</v>
      </c>
      <c r="G182">
        <v>0</v>
      </c>
      <c r="H182">
        <v>0</v>
      </c>
    </row>
    <row r="183" spans="2:8">
      <c r="B183" t="s">
        <v>25021</v>
      </c>
      <c r="C183">
        <v>106</v>
      </c>
      <c r="D183">
        <v>7</v>
      </c>
      <c r="E183">
        <v>2</v>
      </c>
      <c r="F183">
        <v>0</v>
      </c>
      <c r="G183">
        <v>2</v>
      </c>
      <c r="H183">
        <v>0</v>
      </c>
    </row>
    <row r="184" spans="2:8">
      <c r="B184" t="s">
        <v>25021</v>
      </c>
      <c r="C184">
        <v>106</v>
      </c>
      <c r="D184">
        <v>2</v>
      </c>
      <c r="E184">
        <v>0</v>
      </c>
      <c r="F184">
        <v>0</v>
      </c>
      <c r="G184">
        <v>0</v>
      </c>
      <c r="H184">
        <v>0</v>
      </c>
    </row>
    <row r="185" spans="2:8">
      <c r="B185" t="s">
        <v>25021</v>
      </c>
      <c r="C185">
        <v>106</v>
      </c>
      <c r="D185">
        <v>4</v>
      </c>
      <c r="E185">
        <v>0</v>
      </c>
      <c r="F185">
        <v>0</v>
      </c>
      <c r="G185">
        <v>0</v>
      </c>
      <c r="H185">
        <v>0</v>
      </c>
    </row>
    <row r="186" spans="2:8">
      <c r="B186" t="s">
        <v>25021</v>
      </c>
      <c r="C186">
        <v>108</v>
      </c>
      <c r="D186">
        <v>12</v>
      </c>
      <c r="E186">
        <v>7</v>
      </c>
      <c r="F186">
        <v>0</v>
      </c>
      <c r="G186">
        <v>7</v>
      </c>
      <c r="H186">
        <v>0</v>
      </c>
    </row>
    <row r="187" spans="2:8">
      <c r="B187" t="s">
        <v>25021</v>
      </c>
      <c r="C187">
        <v>108</v>
      </c>
      <c r="D187">
        <v>8</v>
      </c>
      <c r="E187">
        <v>2</v>
      </c>
      <c r="F187">
        <v>0</v>
      </c>
      <c r="G187">
        <v>0</v>
      </c>
      <c r="H187">
        <v>2</v>
      </c>
    </row>
    <row r="188" spans="2:8">
      <c r="B188" t="s">
        <v>25021</v>
      </c>
      <c r="C188">
        <v>108</v>
      </c>
      <c r="D188">
        <v>6</v>
      </c>
      <c r="E188">
        <v>2</v>
      </c>
      <c r="F188">
        <v>0</v>
      </c>
      <c r="G188">
        <v>2</v>
      </c>
      <c r="H188">
        <v>0</v>
      </c>
    </row>
    <row r="189" spans="2:8">
      <c r="B189" t="s">
        <v>25021</v>
      </c>
      <c r="C189">
        <v>108</v>
      </c>
      <c r="D189">
        <v>2</v>
      </c>
      <c r="E189">
        <v>0</v>
      </c>
      <c r="F189">
        <v>0</v>
      </c>
      <c r="G189">
        <v>0</v>
      </c>
      <c r="H189">
        <v>0</v>
      </c>
    </row>
    <row r="190" spans="2:8">
      <c r="B190" t="s">
        <v>25021</v>
      </c>
      <c r="C190">
        <v>109</v>
      </c>
      <c r="D190">
        <v>8</v>
      </c>
      <c r="E190">
        <v>2</v>
      </c>
      <c r="F190">
        <v>0</v>
      </c>
      <c r="G190">
        <v>0</v>
      </c>
      <c r="H190">
        <v>2</v>
      </c>
    </row>
    <row r="191" spans="2:8">
      <c r="B191" t="s">
        <v>25021</v>
      </c>
      <c r="C191">
        <v>109</v>
      </c>
      <c r="D191">
        <v>25</v>
      </c>
      <c r="E191">
        <v>16</v>
      </c>
      <c r="F191">
        <v>0</v>
      </c>
      <c r="G191">
        <v>9</v>
      </c>
      <c r="H191">
        <v>7</v>
      </c>
    </row>
    <row r="192" spans="2:8">
      <c r="B192" t="s">
        <v>25021</v>
      </c>
      <c r="C192">
        <v>109</v>
      </c>
      <c r="D192">
        <v>3</v>
      </c>
      <c r="E192">
        <v>0</v>
      </c>
      <c r="F192">
        <v>0</v>
      </c>
      <c r="G192">
        <v>0</v>
      </c>
      <c r="H192">
        <v>0</v>
      </c>
    </row>
    <row r="193" spans="2:8">
      <c r="B193" t="s">
        <v>25021</v>
      </c>
      <c r="C193">
        <v>110</v>
      </c>
      <c r="D193">
        <v>10</v>
      </c>
      <c r="E193">
        <v>5</v>
      </c>
      <c r="F193">
        <v>0</v>
      </c>
      <c r="G193">
        <v>4</v>
      </c>
      <c r="H193">
        <v>1</v>
      </c>
    </row>
    <row r="194" spans="2:8">
      <c r="B194" t="s">
        <v>25021</v>
      </c>
      <c r="C194">
        <v>110</v>
      </c>
      <c r="D194">
        <v>3</v>
      </c>
      <c r="E194">
        <v>0</v>
      </c>
      <c r="F194">
        <v>0</v>
      </c>
      <c r="G194">
        <v>0</v>
      </c>
      <c r="H194">
        <v>0</v>
      </c>
    </row>
    <row r="195" spans="2:8">
      <c r="B195" t="s">
        <v>25021</v>
      </c>
      <c r="C195">
        <v>110</v>
      </c>
      <c r="D195">
        <v>2</v>
      </c>
      <c r="E195">
        <v>2</v>
      </c>
      <c r="F195">
        <v>0</v>
      </c>
      <c r="G195">
        <v>0</v>
      </c>
      <c r="H195">
        <v>2</v>
      </c>
    </row>
    <row r="196" spans="2:8">
      <c r="B196" t="s">
        <v>25021</v>
      </c>
      <c r="C196">
        <v>111</v>
      </c>
      <c r="D196">
        <v>11</v>
      </c>
      <c r="E196">
        <v>0</v>
      </c>
      <c r="F196">
        <v>0</v>
      </c>
      <c r="G196">
        <v>0</v>
      </c>
      <c r="H196">
        <v>0</v>
      </c>
    </row>
    <row r="197" spans="2:8">
      <c r="B197" t="s">
        <v>25021</v>
      </c>
      <c r="C197">
        <v>111</v>
      </c>
      <c r="D197">
        <v>10</v>
      </c>
      <c r="E197">
        <v>4</v>
      </c>
      <c r="F197">
        <v>0</v>
      </c>
      <c r="G197">
        <v>4</v>
      </c>
      <c r="H197">
        <v>0</v>
      </c>
    </row>
    <row r="198" spans="2:8">
      <c r="B198" t="s">
        <v>25021</v>
      </c>
      <c r="C198">
        <v>111</v>
      </c>
      <c r="D198">
        <v>6</v>
      </c>
      <c r="E198">
        <v>0</v>
      </c>
      <c r="F198">
        <v>0</v>
      </c>
      <c r="G198">
        <v>0</v>
      </c>
      <c r="H198">
        <v>0</v>
      </c>
    </row>
    <row r="199" spans="2:8">
      <c r="B199" t="s">
        <v>25021</v>
      </c>
      <c r="C199">
        <v>111</v>
      </c>
      <c r="D199">
        <v>2</v>
      </c>
      <c r="E199">
        <v>0</v>
      </c>
      <c r="F199">
        <v>0</v>
      </c>
      <c r="G199">
        <v>0</v>
      </c>
      <c r="H199">
        <v>0</v>
      </c>
    </row>
    <row r="200" spans="2:8">
      <c r="B200" t="s">
        <v>25021</v>
      </c>
      <c r="C200">
        <v>111</v>
      </c>
      <c r="D200">
        <v>2</v>
      </c>
      <c r="E200">
        <v>0</v>
      </c>
      <c r="F200">
        <v>0</v>
      </c>
      <c r="G200">
        <v>0</v>
      </c>
      <c r="H200">
        <v>0</v>
      </c>
    </row>
    <row r="201" spans="2:8">
      <c r="B201" t="s">
        <v>25021</v>
      </c>
      <c r="C201">
        <v>112</v>
      </c>
      <c r="D201">
        <v>20</v>
      </c>
      <c r="E201">
        <v>5</v>
      </c>
      <c r="F201">
        <v>0</v>
      </c>
      <c r="G201">
        <v>3</v>
      </c>
      <c r="H201">
        <v>2</v>
      </c>
    </row>
    <row r="202" spans="2:8">
      <c r="B202" t="s">
        <v>25021</v>
      </c>
      <c r="C202">
        <v>112</v>
      </c>
      <c r="D202">
        <v>17</v>
      </c>
      <c r="E202">
        <v>3</v>
      </c>
      <c r="F202">
        <v>2</v>
      </c>
      <c r="G202">
        <v>1</v>
      </c>
      <c r="H202">
        <v>0</v>
      </c>
    </row>
    <row r="203" spans="2:8">
      <c r="B203" t="s">
        <v>25021</v>
      </c>
      <c r="C203">
        <v>113</v>
      </c>
      <c r="D203">
        <v>7</v>
      </c>
      <c r="E203">
        <v>0</v>
      </c>
      <c r="F203">
        <v>0</v>
      </c>
      <c r="G203">
        <v>0</v>
      </c>
      <c r="H203">
        <v>0</v>
      </c>
    </row>
    <row r="204" spans="2:8">
      <c r="B204" t="s">
        <v>25021</v>
      </c>
      <c r="C204">
        <v>113</v>
      </c>
      <c r="D204">
        <v>2</v>
      </c>
      <c r="E204">
        <v>0</v>
      </c>
      <c r="F204">
        <v>0</v>
      </c>
      <c r="G204">
        <v>0</v>
      </c>
      <c r="H204">
        <v>0</v>
      </c>
    </row>
    <row r="205" spans="2:8">
      <c r="B205" t="s">
        <v>25021</v>
      </c>
      <c r="C205">
        <v>113</v>
      </c>
      <c r="D205">
        <v>1</v>
      </c>
      <c r="E205">
        <v>0</v>
      </c>
      <c r="F205">
        <v>0</v>
      </c>
      <c r="G205">
        <v>0</v>
      </c>
      <c r="H205">
        <v>0</v>
      </c>
    </row>
    <row r="206" spans="2:8">
      <c r="B206" t="s">
        <v>25021</v>
      </c>
      <c r="C206">
        <v>114</v>
      </c>
      <c r="D206">
        <v>21</v>
      </c>
      <c r="E206">
        <v>11</v>
      </c>
      <c r="F206">
        <v>0</v>
      </c>
      <c r="G206">
        <v>9</v>
      </c>
      <c r="H206">
        <v>2</v>
      </c>
    </row>
    <row r="207" spans="2:8">
      <c r="B207" t="s">
        <v>25021</v>
      </c>
      <c r="C207">
        <v>115</v>
      </c>
      <c r="D207">
        <v>2</v>
      </c>
      <c r="E207">
        <v>0</v>
      </c>
      <c r="F207">
        <v>0</v>
      </c>
      <c r="G207">
        <v>0</v>
      </c>
      <c r="H207">
        <v>0</v>
      </c>
    </row>
    <row r="208" spans="2:8">
      <c r="B208" t="s">
        <v>25021</v>
      </c>
      <c r="C208">
        <v>116</v>
      </c>
      <c r="D208">
        <v>5</v>
      </c>
      <c r="E208">
        <v>2</v>
      </c>
      <c r="F208">
        <v>0</v>
      </c>
      <c r="G208">
        <v>2</v>
      </c>
      <c r="H208">
        <v>0</v>
      </c>
    </row>
    <row r="209" spans="2:8">
      <c r="B209" t="s">
        <v>25021</v>
      </c>
      <c r="C209">
        <v>116</v>
      </c>
      <c r="D209">
        <v>1</v>
      </c>
      <c r="E209">
        <v>0</v>
      </c>
      <c r="F209">
        <v>0</v>
      </c>
      <c r="G209">
        <v>0</v>
      </c>
      <c r="H209">
        <v>0</v>
      </c>
    </row>
    <row r="210" spans="2:8">
      <c r="B210" t="s">
        <v>25021</v>
      </c>
      <c r="C210">
        <v>117</v>
      </c>
      <c r="D210">
        <v>5</v>
      </c>
      <c r="E210">
        <v>0</v>
      </c>
      <c r="F210">
        <v>0</v>
      </c>
      <c r="G210">
        <v>0</v>
      </c>
      <c r="H210">
        <v>0</v>
      </c>
    </row>
    <row r="211" spans="2:8">
      <c r="B211" t="s">
        <v>25021</v>
      </c>
      <c r="C211">
        <v>117</v>
      </c>
      <c r="D211">
        <v>3</v>
      </c>
      <c r="E211">
        <v>0</v>
      </c>
      <c r="F211">
        <v>0</v>
      </c>
      <c r="G211">
        <v>0</v>
      </c>
      <c r="H211">
        <v>0</v>
      </c>
    </row>
    <row r="212" spans="2:8">
      <c r="B212" t="s">
        <v>25021</v>
      </c>
      <c r="C212">
        <v>117</v>
      </c>
      <c r="D212">
        <v>11</v>
      </c>
      <c r="E212">
        <v>2</v>
      </c>
      <c r="F212">
        <v>0</v>
      </c>
      <c r="G212">
        <v>2</v>
      </c>
      <c r="H212">
        <v>0</v>
      </c>
    </row>
    <row r="213" spans="2:8">
      <c r="B213" t="s">
        <v>25021</v>
      </c>
      <c r="C213">
        <v>117</v>
      </c>
      <c r="D213">
        <v>3</v>
      </c>
      <c r="E213">
        <v>0</v>
      </c>
      <c r="F213">
        <v>0</v>
      </c>
      <c r="G213">
        <v>0</v>
      </c>
      <c r="H213">
        <v>0</v>
      </c>
    </row>
    <row r="214" spans="2:8">
      <c r="B214" t="s">
        <v>25021</v>
      </c>
      <c r="C214">
        <v>118</v>
      </c>
      <c r="D214">
        <v>17</v>
      </c>
      <c r="E214">
        <v>8</v>
      </c>
      <c r="F214">
        <v>0</v>
      </c>
      <c r="G214">
        <v>6</v>
      </c>
      <c r="H214">
        <v>2</v>
      </c>
    </row>
    <row r="215" spans="2:8">
      <c r="B215" t="s">
        <v>25021</v>
      </c>
      <c r="C215">
        <v>118</v>
      </c>
      <c r="D215">
        <v>10</v>
      </c>
      <c r="E215">
        <v>0</v>
      </c>
      <c r="F215">
        <v>0</v>
      </c>
      <c r="G215">
        <v>0</v>
      </c>
      <c r="H215">
        <v>0</v>
      </c>
    </row>
    <row r="216" spans="2:8">
      <c r="B216" t="s">
        <v>25021</v>
      </c>
      <c r="C216">
        <v>118</v>
      </c>
      <c r="D216">
        <v>16</v>
      </c>
      <c r="E216">
        <v>11</v>
      </c>
      <c r="F216">
        <v>0</v>
      </c>
      <c r="G216">
        <v>10</v>
      </c>
      <c r="H216">
        <v>1</v>
      </c>
    </row>
    <row r="217" spans="2:8">
      <c r="B217" t="s">
        <v>25021</v>
      </c>
      <c r="C217">
        <v>118</v>
      </c>
      <c r="D217">
        <v>14</v>
      </c>
      <c r="E217">
        <v>2</v>
      </c>
      <c r="F217">
        <v>0</v>
      </c>
      <c r="G217">
        <v>0</v>
      </c>
      <c r="H217">
        <v>2</v>
      </c>
    </row>
    <row r="218" spans="2:8">
      <c r="B218" t="s">
        <v>25021</v>
      </c>
      <c r="C218">
        <v>118</v>
      </c>
      <c r="D218">
        <v>8</v>
      </c>
      <c r="E218">
        <v>6</v>
      </c>
      <c r="F218">
        <v>0</v>
      </c>
      <c r="G218">
        <v>4</v>
      </c>
      <c r="H218">
        <v>2</v>
      </c>
    </row>
    <row r="219" spans="2:8">
      <c r="B219" t="s">
        <v>25021</v>
      </c>
      <c r="C219">
        <v>118</v>
      </c>
      <c r="D219">
        <v>13</v>
      </c>
      <c r="E219">
        <v>6</v>
      </c>
      <c r="F219">
        <v>0</v>
      </c>
      <c r="G219">
        <v>2</v>
      </c>
      <c r="H219">
        <v>4</v>
      </c>
    </row>
    <row r="220" spans="2:8">
      <c r="B220" t="s">
        <v>25021</v>
      </c>
      <c r="C220">
        <v>118</v>
      </c>
      <c r="D220">
        <v>7</v>
      </c>
      <c r="E220">
        <v>0</v>
      </c>
      <c r="F220">
        <v>0</v>
      </c>
      <c r="G220">
        <v>0</v>
      </c>
      <c r="H220">
        <v>0</v>
      </c>
    </row>
    <row r="221" spans="2:8">
      <c r="B221" t="s">
        <v>25021</v>
      </c>
      <c r="C221">
        <v>120</v>
      </c>
      <c r="D221">
        <v>25</v>
      </c>
      <c r="E221">
        <v>6</v>
      </c>
      <c r="F221">
        <v>0</v>
      </c>
      <c r="G221">
        <v>6</v>
      </c>
      <c r="H221">
        <v>0</v>
      </c>
    </row>
    <row r="222" spans="2:8">
      <c r="B222" t="s">
        <v>25021</v>
      </c>
      <c r="C222">
        <v>120</v>
      </c>
      <c r="D222">
        <v>5</v>
      </c>
      <c r="E222">
        <v>0</v>
      </c>
      <c r="F222">
        <v>0</v>
      </c>
      <c r="G222">
        <v>0</v>
      </c>
      <c r="H222">
        <v>0</v>
      </c>
    </row>
    <row r="223" spans="2:8">
      <c r="B223" t="s">
        <v>25021</v>
      </c>
      <c r="C223">
        <v>120</v>
      </c>
      <c r="D223">
        <v>6</v>
      </c>
      <c r="E223">
        <v>3</v>
      </c>
      <c r="F223">
        <v>0</v>
      </c>
      <c r="G223">
        <v>2</v>
      </c>
      <c r="H223">
        <v>1</v>
      </c>
    </row>
    <row r="224" spans="2:8">
      <c r="B224" t="s">
        <v>25021</v>
      </c>
      <c r="C224">
        <v>120</v>
      </c>
      <c r="D224">
        <v>3</v>
      </c>
      <c r="E224">
        <v>0</v>
      </c>
      <c r="F224">
        <v>0</v>
      </c>
      <c r="G224">
        <v>0</v>
      </c>
      <c r="H224">
        <v>0</v>
      </c>
    </row>
    <row r="225" spans="2:8">
      <c r="B225" t="s">
        <v>25021</v>
      </c>
      <c r="C225">
        <v>120</v>
      </c>
      <c r="D225">
        <v>4</v>
      </c>
      <c r="E225">
        <v>0</v>
      </c>
      <c r="F225">
        <v>0</v>
      </c>
      <c r="G225">
        <v>0</v>
      </c>
      <c r="H225">
        <v>0</v>
      </c>
    </row>
    <row r="226" spans="2:8">
      <c r="B226" t="s">
        <v>25021</v>
      </c>
      <c r="C226">
        <v>121</v>
      </c>
      <c r="D226">
        <v>14</v>
      </c>
      <c r="E226">
        <v>4</v>
      </c>
      <c r="F226">
        <v>0</v>
      </c>
      <c r="G226">
        <v>4</v>
      </c>
      <c r="H226">
        <v>0</v>
      </c>
    </row>
    <row r="227" spans="2:8">
      <c r="B227" t="s">
        <v>25021</v>
      </c>
      <c r="C227">
        <v>121</v>
      </c>
      <c r="D227">
        <v>7</v>
      </c>
      <c r="E227">
        <v>2</v>
      </c>
      <c r="F227">
        <v>0</v>
      </c>
      <c r="G227">
        <v>2</v>
      </c>
      <c r="H227">
        <v>0</v>
      </c>
    </row>
    <row r="228" spans="2:8">
      <c r="B228" t="s">
        <v>25021</v>
      </c>
      <c r="C228">
        <v>122</v>
      </c>
      <c r="D228">
        <v>3</v>
      </c>
      <c r="E228">
        <v>0</v>
      </c>
      <c r="F228">
        <v>0</v>
      </c>
      <c r="G228">
        <v>0</v>
      </c>
      <c r="H228">
        <v>0</v>
      </c>
    </row>
    <row r="229" spans="2:8">
      <c r="B229" t="s">
        <v>25021</v>
      </c>
      <c r="C229">
        <v>122</v>
      </c>
      <c r="D229">
        <v>2</v>
      </c>
      <c r="E229">
        <v>0</v>
      </c>
      <c r="F229">
        <v>0</v>
      </c>
      <c r="G229">
        <v>0</v>
      </c>
      <c r="H229">
        <v>0</v>
      </c>
    </row>
    <row r="230" spans="2:8">
      <c r="B230" t="s">
        <v>25021</v>
      </c>
      <c r="C230">
        <v>122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2:8">
      <c r="B231" t="s">
        <v>25021</v>
      </c>
      <c r="C231">
        <v>124</v>
      </c>
      <c r="D231">
        <v>8</v>
      </c>
      <c r="E231">
        <v>0</v>
      </c>
      <c r="F231">
        <v>0</v>
      </c>
      <c r="G231">
        <v>0</v>
      </c>
      <c r="H231">
        <v>0</v>
      </c>
    </row>
    <row r="232" spans="2:8">
      <c r="B232" t="s">
        <v>25021</v>
      </c>
      <c r="C232">
        <v>124</v>
      </c>
      <c r="D232">
        <v>6</v>
      </c>
      <c r="E232">
        <v>5</v>
      </c>
      <c r="F232">
        <v>0</v>
      </c>
      <c r="G232">
        <v>5</v>
      </c>
      <c r="H232">
        <v>0</v>
      </c>
    </row>
    <row r="233" spans="2:8">
      <c r="B233" t="s">
        <v>25021</v>
      </c>
      <c r="C233">
        <v>125</v>
      </c>
      <c r="D233">
        <v>6</v>
      </c>
      <c r="E233">
        <v>2</v>
      </c>
      <c r="F233">
        <v>0</v>
      </c>
      <c r="G233">
        <v>2</v>
      </c>
      <c r="H233">
        <v>0</v>
      </c>
    </row>
    <row r="234" spans="2:8">
      <c r="B234" t="s">
        <v>25021</v>
      </c>
      <c r="C234">
        <v>126</v>
      </c>
      <c r="D234">
        <v>5</v>
      </c>
      <c r="E234">
        <v>0</v>
      </c>
      <c r="F234">
        <v>0</v>
      </c>
      <c r="G234">
        <v>0</v>
      </c>
      <c r="H234">
        <v>0</v>
      </c>
    </row>
    <row r="235" spans="2:8">
      <c r="B235" t="s">
        <v>25021</v>
      </c>
      <c r="C235">
        <v>126</v>
      </c>
      <c r="D235">
        <v>2</v>
      </c>
      <c r="E235">
        <v>0</v>
      </c>
      <c r="F235">
        <v>0</v>
      </c>
      <c r="G235">
        <v>0</v>
      </c>
      <c r="H235">
        <v>0</v>
      </c>
    </row>
    <row r="236" spans="2:8">
      <c r="B236" t="s">
        <v>25021</v>
      </c>
      <c r="C236">
        <v>127</v>
      </c>
      <c r="D236">
        <v>10</v>
      </c>
      <c r="E236">
        <v>3</v>
      </c>
      <c r="F236">
        <v>0</v>
      </c>
      <c r="G236">
        <v>3</v>
      </c>
      <c r="H236">
        <v>0</v>
      </c>
    </row>
    <row r="237" spans="2:8">
      <c r="B237" t="s">
        <v>25021</v>
      </c>
      <c r="C237">
        <v>127</v>
      </c>
      <c r="D237">
        <v>4</v>
      </c>
      <c r="E237">
        <v>0</v>
      </c>
      <c r="F237">
        <v>0</v>
      </c>
      <c r="G237">
        <v>0</v>
      </c>
      <c r="H237">
        <v>0</v>
      </c>
    </row>
    <row r="238" spans="2:8">
      <c r="B238" t="s">
        <v>25021</v>
      </c>
      <c r="C238">
        <v>128</v>
      </c>
      <c r="D238">
        <v>2</v>
      </c>
      <c r="E238">
        <v>0</v>
      </c>
      <c r="F238">
        <v>0</v>
      </c>
      <c r="G238">
        <v>0</v>
      </c>
      <c r="H238">
        <v>0</v>
      </c>
    </row>
    <row r="239" spans="2:8">
      <c r="B239" t="s">
        <v>25021</v>
      </c>
      <c r="C239">
        <v>128</v>
      </c>
      <c r="D239">
        <v>19</v>
      </c>
      <c r="E239">
        <v>10</v>
      </c>
      <c r="F239">
        <v>0</v>
      </c>
      <c r="G239">
        <v>7</v>
      </c>
      <c r="H239">
        <v>3</v>
      </c>
    </row>
    <row r="240" spans="2:8">
      <c r="B240" t="s">
        <v>25021</v>
      </c>
      <c r="C240">
        <v>128</v>
      </c>
      <c r="D240">
        <v>7</v>
      </c>
      <c r="E240">
        <v>2</v>
      </c>
      <c r="F240">
        <v>0</v>
      </c>
      <c r="G240">
        <v>0</v>
      </c>
      <c r="H240">
        <v>2</v>
      </c>
    </row>
    <row r="241" spans="2:8">
      <c r="B241" t="s">
        <v>25021</v>
      </c>
      <c r="C241">
        <v>128</v>
      </c>
      <c r="D241">
        <v>14</v>
      </c>
      <c r="E241">
        <v>6</v>
      </c>
      <c r="F241">
        <v>0</v>
      </c>
      <c r="G241">
        <v>4</v>
      </c>
      <c r="H241">
        <v>2</v>
      </c>
    </row>
    <row r="242" spans="2:8">
      <c r="B242" t="s">
        <v>25021</v>
      </c>
      <c r="C242">
        <v>128</v>
      </c>
      <c r="D242">
        <v>4</v>
      </c>
      <c r="E242">
        <v>0</v>
      </c>
      <c r="F242">
        <v>0</v>
      </c>
      <c r="G242">
        <v>0</v>
      </c>
      <c r="H242">
        <v>0</v>
      </c>
    </row>
    <row r="243" spans="2:8">
      <c r="B243" t="s">
        <v>25021</v>
      </c>
      <c r="C243">
        <v>129</v>
      </c>
      <c r="D243">
        <v>19</v>
      </c>
      <c r="E243">
        <v>2</v>
      </c>
      <c r="F243">
        <v>0</v>
      </c>
      <c r="G243">
        <v>2</v>
      </c>
      <c r="H243">
        <v>0</v>
      </c>
    </row>
    <row r="244" spans="2:8">
      <c r="B244" t="s">
        <v>25021</v>
      </c>
      <c r="C244">
        <v>129</v>
      </c>
      <c r="D244">
        <v>9</v>
      </c>
      <c r="E244">
        <v>2</v>
      </c>
      <c r="F244">
        <v>0</v>
      </c>
      <c r="G244">
        <v>2</v>
      </c>
      <c r="H244">
        <v>0</v>
      </c>
    </row>
    <row r="245" spans="2:8">
      <c r="B245" t="s">
        <v>25021</v>
      </c>
      <c r="C245">
        <v>130</v>
      </c>
      <c r="D245">
        <v>9</v>
      </c>
      <c r="E245">
        <v>4</v>
      </c>
      <c r="F245">
        <v>0</v>
      </c>
      <c r="G245">
        <v>0</v>
      </c>
      <c r="H245">
        <v>4</v>
      </c>
    </row>
    <row r="246" spans="2:8">
      <c r="B246" t="s">
        <v>25021</v>
      </c>
      <c r="C246">
        <v>130</v>
      </c>
      <c r="D246">
        <v>6</v>
      </c>
      <c r="E246">
        <v>3</v>
      </c>
      <c r="F246">
        <v>0</v>
      </c>
      <c r="G246">
        <v>3</v>
      </c>
      <c r="H246">
        <v>0</v>
      </c>
    </row>
    <row r="247" spans="2:8">
      <c r="B247" t="s">
        <v>25021</v>
      </c>
      <c r="C247">
        <v>130</v>
      </c>
      <c r="D247">
        <v>5</v>
      </c>
      <c r="E247">
        <v>0</v>
      </c>
      <c r="F247">
        <v>0</v>
      </c>
      <c r="G247">
        <v>0</v>
      </c>
      <c r="H247">
        <v>0</v>
      </c>
    </row>
    <row r="248" spans="2:8">
      <c r="B248" t="s">
        <v>25021</v>
      </c>
      <c r="C248">
        <v>131</v>
      </c>
      <c r="D248">
        <v>10</v>
      </c>
      <c r="E248">
        <v>0</v>
      </c>
      <c r="F248">
        <v>0</v>
      </c>
      <c r="G248">
        <v>0</v>
      </c>
      <c r="H248">
        <v>0</v>
      </c>
    </row>
    <row r="249" spans="2:8">
      <c r="B249" t="s">
        <v>25021</v>
      </c>
      <c r="C249">
        <v>131</v>
      </c>
      <c r="D249">
        <v>17</v>
      </c>
      <c r="E249">
        <v>9</v>
      </c>
      <c r="F249">
        <v>0</v>
      </c>
      <c r="G249">
        <v>9</v>
      </c>
      <c r="H249">
        <v>0</v>
      </c>
    </row>
    <row r="250" spans="2:8">
      <c r="B250" t="s">
        <v>25021</v>
      </c>
      <c r="C250">
        <v>131</v>
      </c>
      <c r="D250">
        <v>10</v>
      </c>
      <c r="E250">
        <v>2</v>
      </c>
      <c r="F250">
        <v>0</v>
      </c>
      <c r="G250">
        <v>2</v>
      </c>
      <c r="H250">
        <v>0</v>
      </c>
    </row>
    <row r="251" spans="2:8">
      <c r="B251" t="s">
        <v>25021</v>
      </c>
      <c r="C251">
        <v>131</v>
      </c>
      <c r="D251">
        <v>2</v>
      </c>
      <c r="E251">
        <v>0</v>
      </c>
      <c r="F251">
        <v>0</v>
      </c>
      <c r="G251">
        <v>0</v>
      </c>
      <c r="H251">
        <v>0</v>
      </c>
    </row>
    <row r="252" spans="2:8">
      <c r="B252" t="s">
        <v>25021</v>
      </c>
      <c r="C252">
        <v>131</v>
      </c>
      <c r="D252">
        <v>3</v>
      </c>
      <c r="E252">
        <v>0</v>
      </c>
      <c r="F252">
        <v>0</v>
      </c>
      <c r="G252">
        <v>0</v>
      </c>
      <c r="H252">
        <v>0</v>
      </c>
    </row>
    <row r="253" spans="2:8">
      <c r="B253" t="s">
        <v>25021</v>
      </c>
      <c r="C253">
        <v>132</v>
      </c>
      <c r="D253">
        <v>14</v>
      </c>
      <c r="E253">
        <v>2</v>
      </c>
      <c r="F253">
        <v>0</v>
      </c>
      <c r="G253">
        <v>2</v>
      </c>
      <c r="H253">
        <v>0</v>
      </c>
    </row>
    <row r="254" spans="2:8">
      <c r="B254" t="s">
        <v>25021</v>
      </c>
      <c r="C254">
        <v>132</v>
      </c>
      <c r="D254">
        <v>9</v>
      </c>
      <c r="E254">
        <v>6</v>
      </c>
      <c r="F254">
        <v>0</v>
      </c>
      <c r="G254">
        <v>3</v>
      </c>
      <c r="H254">
        <v>3</v>
      </c>
    </row>
    <row r="255" spans="2:8">
      <c r="B255" t="s">
        <v>25021</v>
      </c>
      <c r="C255">
        <v>132</v>
      </c>
      <c r="D255">
        <v>12</v>
      </c>
      <c r="E255">
        <v>7</v>
      </c>
      <c r="F255">
        <v>0</v>
      </c>
      <c r="G255">
        <v>6</v>
      </c>
      <c r="H255">
        <v>1</v>
      </c>
    </row>
    <row r="256" spans="2:8">
      <c r="B256" t="s">
        <v>25021</v>
      </c>
      <c r="C256">
        <v>132</v>
      </c>
      <c r="D256">
        <v>5</v>
      </c>
      <c r="E256">
        <v>2</v>
      </c>
      <c r="F256">
        <v>0</v>
      </c>
      <c r="G256">
        <v>2</v>
      </c>
      <c r="H256">
        <v>0</v>
      </c>
    </row>
    <row r="257" spans="2:8">
      <c r="B257" t="s">
        <v>25021</v>
      </c>
      <c r="C257">
        <v>133</v>
      </c>
      <c r="D257">
        <v>19</v>
      </c>
      <c r="E257">
        <v>7</v>
      </c>
      <c r="F257">
        <v>0</v>
      </c>
      <c r="G257">
        <v>7</v>
      </c>
      <c r="H257">
        <v>0</v>
      </c>
    </row>
    <row r="258" spans="2:8">
      <c r="B258" t="s">
        <v>25021</v>
      </c>
      <c r="C258">
        <v>133</v>
      </c>
      <c r="D258">
        <v>7</v>
      </c>
      <c r="E258">
        <v>2</v>
      </c>
      <c r="F258">
        <v>0</v>
      </c>
      <c r="G258">
        <v>2</v>
      </c>
      <c r="H258">
        <v>0</v>
      </c>
    </row>
    <row r="259" spans="2:8">
      <c r="B259" t="s">
        <v>25021</v>
      </c>
      <c r="C259">
        <v>134</v>
      </c>
      <c r="D259">
        <v>7</v>
      </c>
      <c r="E259">
        <v>0</v>
      </c>
      <c r="F259">
        <v>0</v>
      </c>
      <c r="G259">
        <v>0</v>
      </c>
      <c r="H259">
        <v>0</v>
      </c>
    </row>
    <row r="260" spans="2:8">
      <c r="B260" t="s">
        <v>25021</v>
      </c>
      <c r="C260">
        <v>135</v>
      </c>
      <c r="D260">
        <v>6</v>
      </c>
      <c r="E260">
        <v>0</v>
      </c>
      <c r="F260">
        <v>0</v>
      </c>
      <c r="G260">
        <v>0</v>
      </c>
      <c r="H260">
        <v>0</v>
      </c>
    </row>
    <row r="261" spans="2:8">
      <c r="B261" t="s">
        <v>25021</v>
      </c>
      <c r="C261">
        <v>136</v>
      </c>
      <c r="D261">
        <v>15</v>
      </c>
      <c r="E261">
        <v>4</v>
      </c>
      <c r="F261">
        <v>0</v>
      </c>
      <c r="G261">
        <v>2</v>
      </c>
      <c r="H261">
        <v>2</v>
      </c>
    </row>
    <row r="262" spans="2:8">
      <c r="B262" t="s">
        <v>25021</v>
      </c>
      <c r="C262">
        <v>136</v>
      </c>
      <c r="D262">
        <v>7</v>
      </c>
      <c r="E262">
        <v>0</v>
      </c>
      <c r="F262">
        <v>0</v>
      </c>
      <c r="G262">
        <v>0</v>
      </c>
      <c r="H262">
        <v>0</v>
      </c>
    </row>
    <row r="263" spans="2:8">
      <c r="B263" t="s">
        <v>25021</v>
      </c>
      <c r="C263">
        <v>137</v>
      </c>
      <c r="D263">
        <v>14</v>
      </c>
      <c r="E263">
        <v>0</v>
      </c>
      <c r="F263">
        <v>0</v>
      </c>
      <c r="G263">
        <v>0</v>
      </c>
      <c r="H263">
        <v>0</v>
      </c>
    </row>
    <row r="264" spans="2:8">
      <c r="B264" t="s">
        <v>25021</v>
      </c>
      <c r="C264">
        <v>137</v>
      </c>
      <c r="D264">
        <v>13</v>
      </c>
      <c r="E264">
        <v>6</v>
      </c>
      <c r="F264">
        <v>0</v>
      </c>
      <c r="G264">
        <v>5</v>
      </c>
      <c r="H264">
        <v>1</v>
      </c>
    </row>
    <row r="265" spans="2:8">
      <c r="B265" t="s">
        <v>25021</v>
      </c>
      <c r="C265">
        <v>137</v>
      </c>
      <c r="D265">
        <v>4</v>
      </c>
      <c r="E265">
        <v>0</v>
      </c>
      <c r="F265">
        <v>0</v>
      </c>
      <c r="G265">
        <v>0</v>
      </c>
      <c r="H265">
        <v>0</v>
      </c>
    </row>
    <row r="266" spans="2:8">
      <c r="B266" t="s">
        <v>25021</v>
      </c>
      <c r="C266">
        <v>138</v>
      </c>
      <c r="D266">
        <v>2</v>
      </c>
      <c r="E266">
        <v>0</v>
      </c>
      <c r="F266">
        <v>0</v>
      </c>
      <c r="G266">
        <v>0</v>
      </c>
      <c r="H266">
        <v>0</v>
      </c>
    </row>
    <row r="267" spans="2:8">
      <c r="B267" t="s">
        <v>25021</v>
      </c>
      <c r="C267">
        <v>139</v>
      </c>
      <c r="D267">
        <v>7</v>
      </c>
      <c r="E267">
        <v>2</v>
      </c>
      <c r="F267">
        <v>0</v>
      </c>
      <c r="G267">
        <v>2</v>
      </c>
      <c r="H267">
        <v>0</v>
      </c>
    </row>
    <row r="268" spans="2:8">
      <c r="B268" t="s">
        <v>25021</v>
      </c>
      <c r="C268">
        <v>139</v>
      </c>
      <c r="D268">
        <v>13</v>
      </c>
      <c r="E268">
        <v>4</v>
      </c>
      <c r="F268">
        <v>0</v>
      </c>
      <c r="G268">
        <v>2</v>
      </c>
      <c r="H268">
        <v>2</v>
      </c>
    </row>
    <row r="269" spans="2:8">
      <c r="B269" t="s">
        <v>25021</v>
      </c>
      <c r="C269">
        <v>139</v>
      </c>
      <c r="D269">
        <v>13</v>
      </c>
      <c r="E269">
        <v>0</v>
      </c>
      <c r="F269">
        <v>0</v>
      </c>
      <c r="G269">
        <v>0</v>
      </c>
      <c r="H269">
        <v>0</v>
      </c>
    </row>
    <row r="270" spans="2:8">
      <c r="B270" t="s">
        <v>25021</v>
      </c>
      <c r="C270">
        <v>140</v>
      </c>
      <c r="D270">
        <v>14</v>
      </c>
      <c r="E270">
        <v>0</v>
      </c>
      <c r="F270">
        <v>0</v>
      </c>
      <c r="G270">
        <v>0</v>
      </c>
      <c r="H270">
        <v>0</v>
      </c>
    </row>
    <row r="271" spans="2:8">
      <c r="B271" t="s">
        <v>25021</v>
      </c>
      <c r="C271">
        <v>141</v>
      </c>
      <c r="D271">
        <v>3</v>
      </c>
      <c r="E271">
        <v>0</v>
      </c>
      <c r="F271">
        <v>0</v>
      </c>
      <c r="G271">
        <v>0</v>
      </c>
      <c r="H271">
        <v>0</v>
      </c>
    </row>
    <row r="272" spans="2:8">
      <c r="B272" t="s">
        <v>25021</v>
      </c>
      <c r="C272">
        <v>142</v>
      </c>
      <c r="D272">
        <v>6</v>
      </c>
      <c r="E272">
        <v>2</v>
      </c>
      <c r="F272">
        <v>0</v>
      </c>
      <c r="G272">
        <v>0</v>
      </c>
      <c r="H272">
        <v>2</v>
      </c>
    </row>
    <row r="273" spans="2:8">
      <c r="B273" t="s">
        <v>25021</v>
      </c>
      <c r="C273">
        <v>143</v>
      </c>
      <c r="D273">
        <v>5</v>
      </c>
      <c r="E273">
        <v>0</v>
      </c>
      <c r="F273">
        <v>0</v>
      </c>
      <c r="G273">
        <v>0</v>
      </c>
      <c r="H273">
        <v>0</v>
      </c>
    </row>
    <row r="274" spans="2:8">
      <c r="B274" t="s">
        <v>25021</v>
      </c>
      <c r="C274">
        <v>143</v>
      </c>
      <c r="D274">
        <v>6</v>
      </c>
      <c r="E274">
        <v>0</v>
      </c>
      <c r="F274">
        <v>0</v>
      </c>
      <c r="G274">
        <v>0</v>
      </c>
      <c r="H274">
        <v>0</v>
      </c>
    </row>
    <row r="275" spans="2:8">
      <c r="B275" t="s">
        <v>25021</v>
      </c>
      <c r="C275">
        <v>143</v>
      </c>
      <c r="D275">
        <v>4</v>
      </c>
      <c r="E275">
        <v>0</v>
      </c>
      <c r="F275">
        <v>0</v>
      </c>
      <c r="G275">
        <v>0</v>
      </c>
      <c r="H275">
        <v>0</v>
      </c>
    </row>
    <row r="276" spans="2:8">
      <c r="B276" t="s">
        <v>25021</v>
      </c>
      <c r="C276">
        <v>144</v>
      </c>
      <c r="D276">
        <v>6</v>
      </c>
      <c r="E276">
        <v>0</v>
      </c>
      <c r="F276">
        <v>0</v>
      </c>
      <c r="G276">
        <v>0</v>
      </c>
      <c r="H276">
        <v>0</v>
      </c>
    </row>
    <row r="277" spans="2:8">
      <c r="B277" t="s">
        <v>25021</v>
      </c>
      <c r="C277">
        <v>145</v>
      </c>
      <c r="D277">
        <v>8</v>
      </c>
      <c r="E277">
        <v>0</v>
      </c>
      <c r="F277">
        <v>0</v>
      </c>
      <c r="G277">
        <v>0</v>
      </c>
      <c r="H277">
        <v>0</v>
      </c>
    </row>
    <row r="278" spans="2:8">
      <c r="B278" t="s">
        <v>25021</v>
      </c>
      <c r="C278">
        <v>145</v>
      </c>
      <c r="D278">
        <v>2</v>
      </c>
      <c r="E278">
        <v>0</v>
      </c>
      <c r="F278">
        <v>0</v>
      </c>
      <c r="G278">
        <v>0</v>
      </c>
      <c r="H278">
        <v>0</v>
      </c>
    </row>
    <row r="279" spans="2:8">
      <c r="B279" t="s">
        <v>25021</v>
      </c>
      <c r="C279">
        <v>146</v>
      </c>
      <c r="D279">
        <v>13</v>
      </c>
      <c r="E279">
        <v>5</v>
      </c>
      <c r="F279">
        <v>0</v>
      </c>
      <c r="G279">
        <v>5</v>
      </c>
      <c r="H279">
        <v>0</v>
      </c>
    </row>
    <row r="280" spans="2:8">
      <c r="B280" t="s">
        <v>25021</v>
      </c>
      <c r="C280">
        <v>146</v>
      </c>
      <c r="D280">
        <v>3</v>
      </c>
      <c r="E280">
        <v>2</v>
      </c>
      <c r="F280">
        <v>0</v>
      </c>
      <c r="G280">
        <v>2</v>
      </c>
      <c r="H280">
        <v>0</v>
      </c>
    </row>
    <row r="281" spans="2:8">
      <c r="B281" t="s">
        <v>25021</v>
      </c>
      <c r="C281">
        <v>147</v>
      </c>
      <c r="D281">
        <v>13</v>
      </c>
      <c r="E281">
        <v>4</v>
      </c>
      <c r="F281">
        <v>0</v>
      </c>
      <c r="G281">
        <v>4</v>
      </c>
      <c r="H281">
        <v>0</v>
      </c>
    </row>
    <row r="282" spans="2:8">
      <c r="B282" t="s">
        <v>25021</v>
      </c>
      <c r="C282">
        <v>147</v>
      </c>
      <c r="D282">
        <v>5</v>
      </c>
      <c r="E282">
        <v>2</v>
      </c>
      <c r="F282">
        <v>0</v>
      </c>
      <c r="G282">
        <v>2</v>
      </c>
      <c r="H282">
        <v>0</v>
      </c>
    </row>
    <row r="283" spans="2:8">
      <c r="B283" t="s">
        <v>25021</v>
      </c>
      <c r="C283">
        <v>147</v>
      </c>
      <c r="D283">
        <v>6</v>
      </c>
      <c r="E283">
        <v>2</v>
      </c>
      <c r="F283">
        <v>0</v>
      </c>
      <c r="G283">
        <v>2</v>
      </c>
      <c r="H283">
        <v>0</v>
      </c>
    </row>
    <row r="284" spans="2:8">
      <c r="B284" t="s">
        <v>25021</v>
      </c>
      <c r="C284">
        <v>148</v>
      </c>
      <c r="D284">
        <v>1</v>
      </c>
      <c r="E284">
        <v>0</v>
      </c>
      <c r="F284">
        <v>0</v>
      </c>
      <c r="G284">
        <v>0</v>
      </c>
      <c r="H284">
        <v>0</v>
      </c>
    </row>
    <row r="285" spans="2:8">
      <c r="B285" t="s">
        <v>25021</v>
      </c>
      <c r="C285">
        <v>148</v>
      </c>
      <c r="D285">
        <v>3</v>
      </c>
      <c r="E285">
        <v>0</v>
      </c>
      <c r="F285">
        <v>0</v>
      </c>
      <c r="G285">
        <v>0</v>
      </c>
      <c r="H285">
        <v>0</v>
      </c>
    </row>
    <row r="286" spans="2:8">
      <c r="B286" t="s">
        <v>25021</v>
      </c>
      <c r="C286">
        <v>148</v>
      </c>
      <c r="D286">
        <v>3</v>
      </c>
      <c r="E286">
        <v>0</v>
      </c>
      <c r="F286">
        <v>0</v>
      </c>
      <c r="G286">
        <v>0</v>
      </c>
      <c r="H286">
        <v>0</v>
      </c>
    </row>
    <row r="287" spans="2:8">
      <c r="B287" t="s">
        <v>25021</v>
      </c>
      <c r="C287">
        <v>149</v>
      </c>
      <c r="D287">
        <v>12</v>
      </c>
      <c r="E287">
        <v>2</v>
      </c>
      <c r="F287">
        <v>0</v>
      </c>
      <c r="G287">
        <v>0</v>
      </c>
      <c r="H287">
        <v>2</v>
      </c>
    </row>
    <row r="288" spans="2:8">
      <c r="B288" t="s">
        <v>25021</v>
      </c>
      <c r="C288">
        <v>149</v>
      </c>
      <c r="D288">
        <v>7</v>
      </c>
      <c r="E288">
        <v>2</v>
      </c>
      <c r="F288">
        <v>0</v>
      </c>
      <c r="G288">
        <v>0</v>
      </c>
      <c r="H288">
        <v>2</v>
      </c>
    </row>
    <row r="289" spans="2:8">
      <c r="B289" t="s">
        <v>25021</v>
      </c>
      <c r="C289">
        <v>150</v>
      </c>
      <c r="D289">
        <v>11</v>
      </c>
      <c r="E289">
        <v>0</v>
      </c>
      <c r="F289">
        <v>0</v>
      </c>
      <c r="G289">
        <v>0</v>
      </c>
      <c r="H289">
        <v>0</v>
      </c>
    </row>
    <row r="290" spans="2:8">
      <c r="B290" t="s">
        <v>25021</v>
      </c>
      <c r="C290">
        <v>150</v>
      </c>
      <c r="D290">
        <v>8</v>
      </c>
      <c r="E290">
        <v>2</v>
      </c>
      <c r="F290">
        <v>0</v>
      </c>
      <c r="G290">
        <v>2</v>
      </c>
      <c r="H290">
        <v>0</v>
      </c>
    </row>
    <row r="291" spans="2:8">
      <c r="B291" t="s">
        <v>25021</v>
      </c>
      <c r="C291">
        <v>151</v>
      </c>
      <c r="D291">
        <v>17</v>
      </c>
      <c r="E291">
        <v>4</v>
      </c>
      <c r="F291">
        <v>0</v>
      </c>
      <c r="G291">
        <v>4</v>
      </c>
      <c r="H291">
        <v>0</v>
      </c>
    </row>
    <row r="292" spans="2:8">
      <c r="B292" t="s">
        <v>25021</v>
      </c>
      <c r="C292">
        <v>151</v>
      </c>
      <c r="D292">
        <v>28</v>
      </c>
      <c r="E292">
        <v>18</v>
      </c>
      <c r="F292">
        <v>0</v>
      </c>
      <c r="G292">
        <v>16</v>
      </c>
      <c r="H292">
        <v>2</v>
      </c>
    </row>
    <row r="293" spans="2:8">
      <c r="B293" t="s">
        <v>25021</v>
      </c>
      <c r="C293">
        <v>151</v>
      </c>
      <c r="D293">
        <v>16</v>
      </c>
      <c r="E293">
        <v>4</v>
      </c>
      <c r="F293">
        <v>0</v>
      </c>
      <c r="G293">
        <v>2</v>
      </c>
      <c r="H293">
        <v>2</v>
      </c>
    </row>
    <row r="294" spans="2:8">
      <c r="B294" t="s">
        <v>25021</v>
      </c>
      <c r="C294">
        <v>151</v>
      </c>
      <c r="D294">
        <v>10</v>
      </c>
      <c r="E294">
        <v>3</v>
      </c>
      <c r="F294">
        <v>0</v>
      </c>
      <c r="G294">
        <v>3</v>
      </c>
      <c r="H294">
        <v>0</v>
      </c>
    </row>
    <row r="295" spans="2:8">
      <c r="B295" t="s">
        <v>25021</v>
      </c>
      <c r="C295">
        <v>151</v>
      </c>
      <c r="D295">
        <v>10</v>
      </c>
      <c r="E295">
        <v>4</v>
      </c>
      <c r="F295">
        <v>2</v>
      </c>
      <c r="G295">
        <v>0</v>
      </c>
      <c r="H295">
        <v>2</v>
      </c>
    </row>
    <row r="296" spans="2:8">
      <c r="B296" t="s">
        <v>25021</v>
      </c>
      <c r="C296">
        <v>152</v>
      </c>
      <c r="D296">
        <v>21</v>
      </c>
      <c r="E296">
        <v>11</v>
      </c>
      <c r="F296">
        <v>0</v>
      </c>
      <c r="G296">
        <v>11</v>
      </c>
      <c r="H296">
        <v>0</v>
      </c>
    </row>
    <row r="297" spans="2:8">
      <c r="B297" t="s">
        <v>25021</v>
      </c>
      <c r="C297">
        <v>152</v>
      </c>
      <c r="D297">
        <v>13</v>
      </c>
      <c r="E297">
        <v>2</v>
      </c>
      <c r="F297">
        <v>0</v>
      </c>
      <c r="G297">
        <v>0</v>
      </c>
      <c r="H297">
        <v>2</v>
      </c>
    </row>
    <row r="298" spans="2:8">
      <c r="B298" t="s">
        <v>25021</v>
      </c>
      <c r="C298">
        <v>152</v>
      </c>
      <c r="D298">
        <v>8</v>
      </c>
      <c r="E298">
        <v>0</v>
      </c>
      <c r="F298">
        <v>0</v>
      </c>
      <c r="G298">
        <v>0</v>
      </c>
      <c r="H298">
        <v>0</v>
      </c>
    </row>
    <row r="299" spans="2:8">
      <c r="B299" t="s">
        <v>25021</v>
      </c>
      <c r="C299">
        <v>153</v>
      </c>
      <c r="D299">
        <v>14</v>
      </c>
      <c r="E299">
        <v>0</v>
      </c>
      <c r="F299">
        <v>0</v>
      </c>
      <c r="G299">
        <v>0</v>
      </c>
      <c r="H299">
        <v>0</v>
      </c>
    </row>
    <row r="300" spans="2:8">
      <c r="B300" t="s">
        <v>25021</v>
      </c>
      <c r="C300">
        <v>153</v>
      </c>
      <c r="D300">
        <v>9</v>
      </c>
      <c r="E300">
        <v>0</v>
      </c>
      <c r="F300">
        <v>0</v>
      </c>
      <c r="G300">
        <v>0</v>
      </c>
      <c r="H300">
        <v>0</v>
      </c>
    </row>
    <row r="301" spans="2:8">
      <c r="B301" t="s">
        <v>25021</v>
      </c>
      <c r="C301">
        <v>154</v>
      </c>
      <c r="D301">
        <v>19</v>
      </c>
      <c r="E301">
        <v>9</v>
      </c>
      <c r="F301">
        <v>0</v>
      </c>
      <c r="G301">
        <v>7</v>
      </c>
      <c r="H301">
        <v>2</v>
      </c>
    </row>
    <row r="302" spans="2:8">
      <c r="B302" t="s">
        <v>25021</v>
      </c>
      <c r="C302">
        <v>154</v>
      </c>
      <c r="D302">
        <v>12</v>
      </c>
      <c r="E302">
        <v>4</v>
      </c>
      <c r="F302">
        <v>0</v>
      </c>
      <c r="G302">
        <v>4</v>
      </c>
      <c r="H302">
        <v>0</v>
      </c>
    </row>
    <row r="303" spans="2:8">
      <c r="B303" t="s">
        <v>25021</v>
      </c>
      <c r="C303">
        <v>154</v>
      </c>
      <c r="D303">
        <v>5</v>
      </c>
      <c r="E303">
        <v>0</v>
      </c>
      <c r="F303">
        <v>0</v>
      </c>
      <c r="G303">
        <v>0</v>
      </c>
      <c r="H303">
        <v>0</v>
      </c>
    </row>
    <row r="304" spans="2:8">
      <c r="B304" t="s">
        <v>25021</v>
      </c>
      <c r="C304">
        <v>155</v>
      </c>
      <c r="D304">
        <v>20</v>
      </c>
      <c r="E304">
        <v>10</v>
      </c>
      <c r="F304">
        <v>0</v>
      </c>
      <c r="G304">
        <v>7</v>
      </c>
      <c r="H304">
        <v>3</v>
      </c>
    </row>
    <row r="305" spans="2:8">
      <c r="B305" t="s">
        <v>25021</v>
      </c>
      <c r="C305">
        <v>155</v>
      </c>
      <c r="D305">
        <v>6</v>
      </c>
      <c r="E305">
        <v>2</v>
      </c>
      <c r="F305">
        <v>0</v>
      </c>
      <c r="G305">
        <v>2</v>
      </c>
      <c r="H305">
        <v>0</v>
      </c>
    </row>
    <row r="306" spans="2:8">
      <c r="B306" t="s">
        <v>25021</v>
      </c>
      <c r="C306">
        <v>155</v>
      </c>
      <c r="D306">
        <v>7</v>
      </c>
      <c r="E306">
        <v>2</v>
      </c>
      <c r="F306">
        <v>0</v>
      </c>
      <c r="G306">
        <v>2</v>
      </c>
      <c r="H306">
        <v>0</v>
      </c>
    </row>
    <row r="307" spans="2:8">
      <c r="B307" t="s">
        <v>25021</v>
      </c>
      <c r="C307">
        <v>156</v>
      </c>
      <c r="D307">
        <v>20</v>
      </c>
      <c r="E307">
        <v>2</v>
      </c>
      <c r="F307">
        <v>0</v>
      </c>
      <c r="G307">
        <v>0</v>
      </c>
      <c r="H307">
        <v>2</v>
      </c>
    </row>
    <row r="308" spans="2:8">
      <c r="B308" t="s">
        <v>25021</v>
      </c>
      <c r="C308">
        <v>156</v>
      </c>
      <c r="D308">
        <v>2</v>
      </c>
      <c r="E308">
        <v>0</v>
      </c>
      <c r="F308">
        <v>0</v>
      </c>
      <c r="G308">
        <v>0</v>
      </c>
      <c r="H308">
        <v>0</v>
      </c>
    </row>
    <row r="309" spans="2:8">
      <c r="B309" t="s">
        <v>25021</v>
      </c>
      <c r="C309">
        <v>157</v>
      </c>
      <c r="D309">
        <v>9</v>
      </c>
      <c r="E309">
        <v>4</v>
      </c>
      <c r="F309">
        <v>0</v>
      </c>
      <c r="G309">
        <v>0</v>
      </c>
      <c r="H309">
        <v>4</v>
      </c>
    </row>
    <row r="310" spans="2:8">
      <c r="B310" t="s">
        <v>25021</v>
      </c>
      <c r="C310">
        <v>157</v>
      </c>
      <c r="D310">
        <v>14</v>
      </c>
      <c r="E310">
        <v>6</v>
      </c>
      <c r="F310">
        <v>0</v>
      </c>
      <c r="G310">
        <v>4</v>
      </c>
      <c r="H310">
        <v>2</v>
      </c>
    </row>
    <row r="311" spans="2:8">
      <c r="B311" t="s">
        <v>25021</v>
      </c>
      <c r="C311">
        <v>157</v>
      </c>
      <c r="D311">
        <v>11</v>
      </c>
      <c r="E311">
        <v>2</v>
      </c>
      <c r="F311">
        <v>0</v>
      </c>
      <c r="G311">
        <v>2</v>
      </c>
      <c r="H311">
        <v>0</v>
      </c>
    </row>
    <row r="312" spans="2:8">
      <c r="B312" t="s">
        <v>25021</v>
      </c>
      <c r="C312">
        <v>157</v>
      </c>
      <c r="D312">
        <v>11</v>
      </c>
      <c r="E312">
        <v>4</v>
      </c>
      <c r="F312">
        <v>0</v>
      </c>
      <c r="G312">
        <v>4</v>
      </c>
      <c r="H312">
        <v>0</v>
      </c>
    </row>
    <row r="313" spans="2:8">
      <c r="B313" t="s">
        <v>25021</v>
      </c>
      <c r="C313">
        <v>157</v>
      </c>
      <c r="D313">
        <v>11</v>
      </c>
      <c r="E313">
        <v>2</v>
      </c>
      <c r="F313">
        <v>0</v>
      </c>
      <c r="G313">
        <v>2</v>
      </c>
      <c r="H313">
        <v>0</v>
      </c>
    </row>
    <row r="314" spans="2:8">
      <c r="B314" t="s">
        <v>25021</v>
      </c>
      <c r="C314">
        <v>158</v>
      </c>
      <c r="D314">
        <v>13</v>
      </c>
      <c r="E314">
        <v>8</v>
      </c>
      <c r="F314">
        <v>0</v>
      </c>
      <c r="G314">
        <v>5</v>
      </c>
      <c r="H314">
        <v>3</v>
      </c>
    </row>
    <row r="315" spans="2:8">
      <c r="B315" t="s">
        <v>25021</v>
      </c>
      <c r="C315">
        <v>158</v>
      </c>
      <c r="D315">
        <v>2</v>
      </c>
      <c r="E315">
        <v>0</v>
      </c>
      <c r="F315">
        <v>0</v>
      </c>
      <c r="G315">
        <v>0</v>
      </c>
      <c r="H315">
        <v>0</v>
      </c>
    </row>
    <row r="316" spans="2:8">
      <c r="B316" t="s">
        <v>25021</v>
      </c>
      <c r="C316">
        <v>158</v>
      </c>
      <c r="D316">
        <v>1</v>
      </c>
      <c r="E316">
        <v>0</v>
      </c>
      <c r="F316">
        <v>0</v>
      </c>
      <c r="G316">
        <v>0</v>
      </c>
      <c r="H316">
        <v>0</v>
      </c>
    </row>
    <row r="317" spans="2:8">
      <c r="B317" t="s">
        <v>25021</v>
      </c>
      <c r="C317">
        <v>159</v>
      </c>
      <c r="D317">
        <v>29</v>
      </c>
      <c r="E317">
        <v>7</v>
      </c>
      <c r="F317">
        <v>0</v>
      </c>
      <c r="G317">
        <v>5</v>
      </c>
      <c r="H317">
        <v>2</v>
      </c>
    </row>
    <row r="318" spans="2:8">
      <c r="B318" t="s">
        <v>25021</v>
      </c>
      <c r="C318">
        <v>159</v>
      </c>
      <c r="D318">
        <v>5</v>
      </c>
      <c r="E318">
        <v>0</v>
      </c>
      <c r="F318">
        <v>0</v>
      </c>
      <c r="G318">
        <v>0</v>
      </c>
      <c r="H318">
        <v>0</v>
      </c>
    </row>
    <row r="319" spans="2:8">
      <c r="B319" t="s">
        <v>25021</v>
      </c>
      <c r="C319">
        <v>159</v>
      </c>
      <c r="D319">
        <v>24</v>
      </c>
      <c r="E319">
        <v>10</v>
      </c>
      <c r="F319">
        <v>0</v>
      </c>
      <c r="G319">
        <v>9</v>
      </c>
      <c r="H319">
        <v>1</v>
      </c>
    </row>
    <row r="320" spans="2:8">
      <c r="B320" t="s">
        <v>25021</v>
      </c>
      <c r="C320">
        <v>160</v>
      </c>
      <c r="D320">
        <v>31</v>
      </c>
      <c r="E320">
        <v>19</v>
      </c>
      <c r="F320">
        <v>0</v>
      </c>
      <c r="G320">
        <v>15</v>
      </c>
      <c r="H320">
        <v>4</v>
      </c>
    </row>
    <row r="321" spans="2:8">
      <c r="B321" t="s">
        <v>25021</v>
      </c>
      <c r="C321">
        <v>160</v>
      </c>
      <c r="D321">
        <v>7</v>
      </c>
      <c r="E321">
        <v>0</v>
      </c>
      <c r="F321">
        <v>0</v>
      </c>
      <c r="G321">
        <v>0</v>
      </c>
      <c r="H321">
        <v>0</v>
      </c>
    </row>
    <row r="322" spans="2:8">
      <c r="B322" t="s">
        <v>25021</v>
      </c>
      <c r="C322">
        <v>160</v>
      </c>
      <c r="D322">
        <v>12</v>
      </c>
      <c r="E322">
        <v>6</v>
      </c>
      <c r="F322">
        <v>0</v>
      </c>
      <c r="G322">
        <v>4</v>
      </c>
      <c r="H322">
        <v>2</v>
      </c>
    </row>
    <row r="323" spans="2:8">
      <c r="B323" t="s">
        <v>25021</v>
      </c>
      <c r="C323">
        <v>160</v>
      </c>
      <c r="D323">
        <v>8</v>
      </c>
      <c r="E323">
        <v>0</v>
      </c>
      <c r="F323">
        <v>0</v>
      </c>
      <c r="G323">
        <v>0</v>
      </c>
      <c r="H323">
        <v>0</v>
      </c>
    </row>
    <row r="324" spans="2:8">
      <c r="B324" t="s">
        <v>25021</v>
      </c>
      <c r="C324">
        <v>160</v>
      </c>
      <c r="D324">
        <v>2</v>
      </c>
      <c r="E324">
        <v>0</v>
      </c>
      <c r="F324">
        <v>0</v>
      </c>
      <c r="G324">
        <v>0</v>
      </c>
      <c r="H324">
        <v>0</v>
      </c>
    </row>
    <row r="325" spans="2:8">
      <c r="B325" t="s">
        <v>25021</v>
      </c>
      <c r="C325">
        <v>160</v>
      </c>
      <c r="D325">
        <v>8</v>
      </c>
      <c r="E325">
        <v>4</v>
      </c>
      <c r="F325">
        <v>0</v>
      </c>
      <c r="G325">
        <v>4</v>
      </c>
      <c r="H325">
        <v>0</v>
      </c>
    </row>
    <row r="326" spans="2:8">
      <c r="B326" t="s">
        <v>25021</v>
      </c>
      <c r="C326">
        <v>160</v>
      </c>
      <c r="D326">
        <v>4</v>
      </c>
      <c r="E326">
        <v>0</v>
      </c>
      <c r="F326">
        <v>0</v>
      </c>
      <c r="G326">
        <v>0</v>
      </c>
      <c r="H326">
        <v>0</v>
      </c>
    </row>
    <row r="327" spans="2:8">
      <c r="B327" t="s">
        <v>25021</v>
      </c>
      <c r="C327">
        <v>160</v>
      </c>
      <c r="D327">
        <v>6</v>
      </c>
      <c r="E327">
        <v>0</v>
      </c>
      <c r="F327">
        <v>0</v>
      </c>
      <c r="G327">
        <v>0</v>
      </c>
      <c r="H327">
        <v>0</v>
      </c>
    </row>
    <row r="328" spans="2:8">
      <c r="B328" t="s">
        <v>25021</v>
      </c>
      <c r="C328">
        <v>161</v>
      </c>
      <c r="D328">
        <v>13</v>
      </c>
      <c r="E328">
        <v>7</v>
      </c>
      <c r="F328">
        <v>0</v>
      </c>
      <c r="G328">
        <v>6</v>
      </c>
      <c r="H328">
        <v>1</v>
      </c>
    </row>
    <row r="329" spans="2:8">
      <c r="B329" t="s">
        <v>25021</v>
      </c>
      <c r="C329">
        <v>161</v>
      </c>
      <c r="D329">
        <v>10</v>
      </c>
      <c r="E329">
        <v>4</v>
      </c>
      <c r="F329">
        <v>0</v>
      </c>
      <c r="G329">
        <v>2</v>
      </c>
      <c r="H329">
        <v>2</v>
      </c>
    </row>
    <row r="330" spans="2:8">
      <c r="B330" t="s">
        <v>25021</v>
      </c>
      <c r="C330">
        <v>161</v>
      </c>
      <c r="D330">
        <v>5</v>
      </c>
      <c r="E330">
        <v>2</v>
      </c>
      <c r="F330">
        <v>0</v>
      </c>
      <c r="G330">
        <v>2</v>
      </c>
      <c r="H330">
        <v>0</v>
      </c>
    </row>
    <row r="331" spans="2:8">
      <c r="B331" t="s">
        <v>25021</v>
      </c>
      <c r="C331">
        <v>161</v>
      </c>
      <c r="D331">
        <v>4</v>
      </c>
      <c r="E331">
        <v>0</v>
      </c>
      <c r="F331">
        <v>0</v>
      </c>
      <c r="G331">
        <v>0</v>
      </c>
      <c r="H331">
        <v>0</v>
      </c>
    </row>
    <row r="332" spans="2:8">
      <c r="B332" t="s">
        <v>25021</v>
      </c>
      <c r="C332">
        <v>162</v>
      </c>
      <c r="D332">
        <v>11</v>
      </c>
      <c r="E332">
        <v>0</v>
      </c>
      <c r="F332">
        <v>0</v>
      </c>
      <c r="G332">
        <v>0</v>
      </c>
      <c r="H332">
        <v>0</v>
      </c>
    </row>
    <row r="333" spans="2:8">
      <c r="B333" t="s">
        <v>25021</v>
      </c>
      <c r="C333">
        <v>162</v>
      </c>
      <c r="D333">
        <v>12</v>
      </c>
      <c r="E333">
        <v>0</v>
      </c>
      <c r="F333">
        <v>0</v>
      </c>
      <c r="G333">
        <v>0</v>
      </c>
      <c r="H333">
        <v>0</v>
      </c>
    </row>
    <row r="334" spans="2:8">
      <c r="B334" t="s">
        <v>25021</v>
      </c>
      <c r="C334">
        <v>162</v>
      </c>
      <c r="D334">
        <v>4</v>
      </c>
      <c r="E334">
        <v>0</v>
      </c>
      <c r="F334">
        <v>0</v>
      </c>
      <c r="G334">
        <v>0</v>
      </c>
      <c r="H334">
        <v>0</v>
      </c>
    </row>
    <row r="335" spans="2:8">
      <c r="B335" t="s">
        <v>25021</v>
      </c>
      <c r="C335">
        <v>163</v>
      </c>
      <c r="D335">
        <v>9</v>
      </c>
      <c r="E335">
        <v>7</v>
      </c>
      <c r="F335">
        <v>0</v>
      </c>
      <c r="G335">
        <v>7</v>
      </c>
      <c r="H335">
        <v>0</v>
      </c>
    </row>
    <row r="336" spans="2:8">
      <c r="B336" t="s">
        <v>25021</v>
      </c>
      <c r="C336">
        <v>163</v>
      </c>
      <c r="D336">
        <v>6</v>
      </c>
      <c r="E336">
        <v>2</v>
      </c>
      <c r="F336">
        <v>0</v>
      </c>
      <c r="G336">
        <v>2</v>
      </c>
      <c r="H336">
        <v>0</v>
      </c>
    </row>
    <row r="337" spans="2:8">
      <c r="B337" t="s">
        <v>25021</v>
      </c>
      <c r="C337">
        <v>163</v>
      </c>
      <c r="D337">
        <v>3</v>
      </c>
      <c r="E337">
        <v>2</v>
      </c>
      <c r="F337">
        <v>0</v>
      </c>
      <c r="G337">
        <v>2</v>
      </c>
      <c r="H337">
        <v>0</v>
      </c>
    </row>
    <row r="338" spans="2:8">
      <c r="B338" t="s">
        <v>25021</v>
      </c>
      <c r="C338">
        <v>163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2:8">
      <c r="B339" t="s">
        <v>25021</v>
      </c>
      <c r="C339">
        <v>164</v>
      </c>
      <c r="D339">
        <v>16</v>
      </c>
      <c r="E339">
        <v>4</v>
      </c>
      <c r="F339">
        <v>0</v>
      </c>
      <c r="G339">
        <v>2</v>
      </c>
      <c r="H339">
        <v>2</v>
      </c>
    </row>
    <row r="340" spans="2:8">
      <c r="B340" t="s">
        <v>25021</v>
      </c>
      <c r="C340">
        <v>164</v>
      </c>
      <c r="D340">
        <v>6</v>
      </c>
      <c r="E340">
        <v>0</v>
      </c>
      <c r="F340">
        <v>0</v>
      </c>
      <c r="G340">
        <v>0</v>
      </c>
      <c r="H340">
        <v>0</v>
      </c>
    </row>
    <row r="341" spans="2:8">
      <c r="B341" t="s">
        <v>25021</v>
      </c>
      <c r="C341">
        <v>165</v>
      </c>
      <c r="D341">
        <v>49</v>
      </c>
      <c r="E341">
        <v>31</v>
      </c>
      <c r="F341">
        <v>2</v>
      </c>
      <c r="G341">
        <v>22</v>
      </c>
      <c r="H341">
        <v>7</v>
      </c>
    </row>
    <row r="342" spans="2:8">
      <c r="B342" t="s">
        <v>25021</v>
      </c>
      <c r="C342">
        <v>165</v>
      </c>
      <c r="D342">
        <v>10</v>
      </c>
      <c r="E342">
        <v>2</v>
      </c>
      <c r="F342">
        <v>0</v>
      </c>
      <c r="G342">
        <v>2</v>
      </c>
      <c r="H342">
        <v>0</v>
      </c>
    </row>
    <row r="343" spans="2:8">
      <c r="B343" t="s">
        <v>25021</v>
      </c>
      <c r="C343">
        <v>165</v>
      </c>
      <c r="D343">
        <v>11</v>
      </c>
      <c r="E343">
        <v>3</v>
      </c>
      <c r="F343">
        <v>0</v>
      </c>
      <c r="G343">
        <v>3</v>
      </c>
      <c r="H343">
        <v>0</v>
      </c>
    </row>
    <row r="344" spans="2:8">
      <c r="B344" t="s">
        <v>25021</v>
      </c>
      <c r="C344">
        <v>165</v>
      </c>
      <c r="D344">
        <v>2</v>
      </c>
      <c r="E344">
        <v>0</v>
      </c>
      <c r="F344">
        <v>0</v>
      </c>
      <c r="G344">
        <v>0</v>
      </c>
      <c r="H344">
        <v>0</v>
      </c>
    </row>
    <row r="345" spans="2:8">
      <c r="B345" t="s">
        <v>25021</v>
      </c>
      <c r="C345">
        <v>166</v>
      </c>
      <c r="D345">
        <v>12</v>
      </c>
      <c r="E345">
        <v>0</v>
      </c>
      <c r="F345">
        <v>0</v>
      </c>
      <c r="G345">
        <v>0</v>
      </c>
      <c r="H345">
        <v>0</v>
      </c>
    </row>
    <row r="346" spans="2:8">
      <c r="B346" t="s">
        <v>25021</v>
      </c>
      <c r="C346">
        <v>166</v>
      </c>
      <c r="D346">
        <v>10</v>
      </c>
      <c r="E346">
        <v>2</v>
      </c>
      <c r="F346">
        <v>0</v>
      </c>
      <c r="G346">
        <v>2</v>
      </c>
      <c r="H346">
        <v>0</v>
      </c>
    </row>
    <row r="347" spans="2:8">
      <c r="B347" t="s">
        <v>25021</v>
      </c>
      <c r="C347">
        <v>166</v>
      </c>
      <c r="D347">
        <v>16</v>
      </c>
      <c r="E347">
        <v>4</v>
      </c>
      <c r="F347">
        <v>0</v>
      </c>
      <c r="G347">
        <v>4</v>
      </c>
      <c r="H347">
        <v>0</v>
      </c>
    </row>
    <row r="348" spans="2:8">
      <c r="B348" t="s">
        <v>25021</v>
      </c>
      <c r="C348">
        <v>166</v>
      </c>
      <c r="D348">
        <v>8</v>
      </c>
      <c r="E348">
        <v>2</v>
      </c>
      <c r="F348">
        <v>0</v>
      </c>
      <c r="G348">
        <v>0</v>
      </c>
      <c r="H348">
        <v>2</v>
      </c>
    </row>
    <row r="349" spans="2:8">
      <c r="B349" t="s">
        <v>25021</v>
      </c>
      <c r="C349">
        <v>167</v>
      </c>
      <c r="D349">
        <v>17</v>
      </c>
      <c r="E349">
        <v>4</v>
      </c>
      <c r="F349">
        <v>0</v>
      </c>
      <c r="G349">
        <v>2</v>
      </c>
      <c r="H349">
        <v>2</v>
      </c>
    </row>
    <row r="350" spans="2:8">
      <c r="B350" t="s">
        <v>25021</v>
      </c>
      <c r="C350">
        <v>167</v>
      </c>
      <c r="D350">
        <v>10</v>
      </c>
      <c r="E350">
        <v>4</v>
      </c>
      <c r="F350">
        <v>0</v>
      </c>
      <c r="G350">
        <v>4</v>
      </c>
      <c r="H350">
        <v>0</v>
      </c>
    </row>
    <row r="351" spans="2:8">
      <c r="B351" t="s">
        <v>25021</v>
      </c>
      <c r="C351">
        <v>167</v>
      </c>
      <c r="D351">
        <v>3</v>
      </c>
      <c r="E351">
        <v>0</v>
      </c>
      <c r="F351">
        <v>0</v>
      </c>
      <c r="G351">
        <v>0</v>
      </c>
      <c r="H351">
        <v>0</v>
      </c>
    </row>
    <row r="352" spans="2:8">
      <c r="B352" t="s">
        <v>25021</v>
      </c>
      <c r="C352">
        <v>168</v>
      </c>
      <c r="D352">
        <v>40</v>
      </c>
      <c r="E352">
        <v>25</v>
      </c>
      <c r="F352">
        <v>0</v>
      </c>
      <c r="G352">
        <v>24</v>
      </c>
      <c r="H352">
        <v>1</v>
      </c>
    </row>
    <row r="353" spans="2:8">
      <c r="B353" t="s">
        <v>25021</v>
      </c>
      <c r="C353">
        <v>168</v>
      </c>
      <c r="D353">
        <v>7</v>
      </c>
      <c r="E353">
        <v>0</v>
      </c>
      <c r="F353">
        <v>0</v>
      </c>
      <c r="G353">
        <v>0</v>
      </c>
      <c r="H353">
        <v>0</v>
      </c>
    </row>
    <row r="354" spans="2:8">
      <c r="B354" t="s">
        <v>25021</v>
      </c>
      <c r="C354">
        <v>169</v>
      </c>
      <c r="D354">
        <v>14</v>
      </c>
      <c r="E354">
        <v>4</v>
      </c>
      <c r="F354">
        <v>0</v>
      </c>
      <c r="G354">
        <v>0</v>
      </c>
      <c r="H354">
        <v>4</v>
      </c>
    </row>
    <row r="355" spans="2:8">
      <c r="B355" t="s">
        <v>25021</v>
      </c>
      <c r="C355">
        <v>169</v>
      </c>
      <c r="D355">
        <v>4</v>
      </c>
      <c r="E355">
        <v>0</v>
      </c>
      <c r="F355">
        <v>0</v>
      </c>
      <c r="G355">
        <v>0</v>
      </c>
      <c r="H355">
        <v>0</v>
      </c>
    </row>
    <row r="356" spans="2:8">
      <c r="B356" t="s">
        <v>25021</v>
      </c>
      <c r="C356">
        <v>169</v>
      </c>
      <c r="D356">
        <v>4</v>
      </c>
      <c r="E356">
        <v>0</v>
      </c>
      <c r="F356">
        <v>0</v>
      </c>
      <c r="G356">
        <v>0</v>
      </c>
      <c r="H356">
        <v>0</v>
      </c>
    </row>
    <row r="357" spans="2:8">
      <c r="B357" t="s">
        <v>25021</v>
      </c>
      <c r="C357">
        <v>171</v>
      </c>
      <c r="D357">
        <v>6</v>
      </c>
      <c r="E357">
        <v>0</v>
      </c>
      <c r="F357">
        <v>0</v>
      </c>
      <c r="G357">
        <v>0</v>
      </c>
      <c r="H357">
        <v>0</v>
      </c>
    </row>
    <row r="358" spans="2:8">
      <c r="B358" t="s">
        <v>25021</v>
      </c>
      <c r="C358">
        <v>171</v>
      </c>
      <c r="D358">
        <v>14</v>
      </c>
      <c r="E358">
        <v>5</v>
      </c>
      <c r="F358">
        <v>0</v>
      </c>
      <c r="G358">
        <v>2</v>
      </c>
      <c r="H358">
        <v>3</v>
      </c>
    </row>
    <row r="359" spans="2:8">
      <c r="B359" t="s">
        <v>25021</v>
      </c>
      <c r="C359">
        <v>171</v>
      </c>
      <c r="D359">
        <v>5</v>
      </c>
      <c r="E359">
        <v>2</v>
      </c>
      <c r="F359">
        <v>0</v>
      </c>
      <c r="G359">
        <v>0</v>
      </c>
      <c r="H359">
        <v>2</v>
      </c>
    </row>
    <row r="360" spans="2:8">
      <c r="B360" t="s">
        <v>25021</v>
      </c>
      <c r="C360">
        <v>172</v>
      </c>
      <c r="D360">
        <v>27</v>
      </c>
      <c r="E360">
        <v>11</v>
      </c>
      <c r="F360">
        <v>0</v>
      </c>
      <c r="G360">
        <v>9</v>
      </c>
      <c r="H360">
        <v>2</v>
      </c>
    </row>
    <row r="361" spans="2:8">
      <c r="B361" t="s">
        <v>25021</v>
      </c>
      <c r="C361">
        <v>172</v>
      </c>
      <c r="D361">
        <v>26</v>
      </c>
      <c r="E361">
        <v>18</v>
      </c>
      <c r="F361">
        <v>0</v>
      </c>
      <c r="G361">
        <v>18</v>
      </c>
      <c r="H361">
        <v>0</v>
      </c>
    </row>
    <row r="362" spans="2:8">
      <c r="B362" t="s">
        <v>25021</v>
      </c>
      <c r="C362">
        <v>172</v>
      </c>
      <c r="D362">
        <v>7</v>
      </c>
      <c r="E362">
        <v>0</v>
      </c>
      <c r="F362">
        <v>0</v>
      </c>
      <c r="G362">
        <v>0</v>
      </c>
      <c r="H362">
        <v>0</v>
      </c>
    </row>
    <row r="363" spans="2:8">
      <c r="B363" t="s">
        <v>25021</v>
      </c>
      <c r="C363">
        <v>172</v>
      </c>
      <c r="D363">
        <v>6</v>
      </c>
      <c r="E363">
        <v>0</v>
      </c>
      <c r="F363">
        <v>0</v>
      </c>
      <c r="G363">
        <v>0</v>
      </c>
      <c r="H363">
        <v>0</v>
      </c>
    </row>
    <row r="364" spans="2:8">
      <c r="B364" t="s">
        <v>25021</v>
      </c>
      <c r="C364">
        <v>173</v>
      </c>
      <c r="D364">
        <v>17</v>
      </c>
      <c r="E364">
        <v>4</v>
      </c>
      <c r="F364">
        <v>0</v>
      </c>
      <c r="G364">
        <v>4</v>
      </c>
      <c r="H364">
        <v>0</v>
      </c>
    </row>
    <row r="365" spans="2:8">
      <c r="B365" t="s">
        <v>25021</v>
      </c>
      <c r="C365">
        <v>174</v>
      </c>
      <c r="D365">
        <v>18</v>
      </c>
      <c r="E365">
        <v>10</v>
      </c>
      <c r="F365">
        <v>0</v>
      </c>
      <c r="G365">
        <v>9</v>
      </c>
      <c r="H365">
        <v>1</v>
      </c>
    </row>
    <row r="366" spans="2:8">
      <c r="B366" t="s">
        <v>25021</v>
      </c>
      <c r="C366">
        <v>177</v>
      </c>
      <c r="D366">
        <v>28</v>
      </c>
      <c r="E366">
        <v>15</v>
      </c>
      <c r="F366">
        <v>0</v>
      </c>
      <c r="G366">
        <v>13</v>
      </c>
      <c r="H366">
        <v>2</v>
      </c>
    </row>
    <row r="367" spans="2:8">
      <c r="B367" t="s">
        <v>25021</v>
      </c>
      <c r="C367">
        <v>177</v>
      </c>
      <c r="D367">
        <v>12</v>
      </c>
      <c r="E367">
        <v>7</v>
      </c>
      <c r="F367">
        <v>0</v>
      </c>
      <c r="G367">
        <v>7</v>
      </c>
      <c r="H367">
        <v>0</v>
      </c>
    </row>
    <row r="368" spans="2:8">
      <c r="B368" t="s">
        <v>25021</v>
      </c>
      <c r="C368">
        <v>178</v>
      </c>
      <c r="D368">
        <v>12</v>
      </c>
      <c r="E368">
        <v>2</v>
      </c>
      <c r="F368">
        <v>0</v>
      </c>
      <c r="G368">
        <v>0</v>
      </c>
      <c r="H368">
        <v>2</v>
      </c>
    </row>
    <row r="369" spans="2:8">
      <c r="B369" t="s">
        <v>25021</v>
      </c>
      <c r="C369">
        <v>178</v>
      </c>
      <c r="D369">
        <v>11</v>
      </c>
      <c r="E369">
        <v>4</v>
      </c>
      <c r="F369">
        <v>0</v>
      </c>
      <c r="G369">
        <v>3</v>
      </c>
      <c r="H369">
        <v>1</v>
      </c>
    </row>
    <row r="370" spans="2:8">
      <c r="B370" t="s">
        <v>25021</v>
      </c>
      <c r="C370">
        <v>178</v>
      </c>
      <c r="D370">
        <v>25</v>
      </c>
      <c r="E370">
        <v>13</v>
      </c>
      <c r="F370">
        <v>0</v>
      </c>
      <c r="G370">
        <v>12</v>
      </c>
      <c r="H370">
        <v>1</v>
      </c>
    </row>
    <row r="371" spans="2:8">
      <c r="B371" t="s">
        <v>25021</v>
      </c>
      <c r="C371">
        <v>178</v>
      </c>
      <c r="D371">
        <v>4</v>
      </c>
      <c r="E371">
        <v>0</v>
      </c>
      <c r="F371">
        <v>0</v>
      </c>
      <c r="G371">
        <v>0</v>
      </c>
      <c r="H371">
        <v>0</v>
      </c>
    </row>
    <row r="372" spans="2:8">
      <c r="B372" t="s">
        <v>25021</v>
      </c>
      <c r="C372">
        <v>179</v>
      </c>
      <c r="D372">
        <v>12</v>
      </c>
      <c r="E372">
        <v>5</v>
      </c>
      <c r="F372">
        <v>0</v>
      </c>
      <c r="G372">
        <v>4</v>
      </c>
      <c r="H372">
        <v>1</v>
      </c>
    </row>
    <row r="373" spans="2:8">
      <c r="B373" t="s">
        <v>25021</v>
      </c>
      <c r="C373">
        <v>180</v>
      </c>
      <c r="D373">
        <v>9</v>
      </c>
      <c r="E373">
        <v>4</v>
      </c>
      <c r="F373">
        <v>0</v>
      </c>
      <c r="G373">
        <v>4</v>
      </c>
      <c r="H373">
        <v>0</v>
      </c>
    </row>
    <row r="374" spans="2:8">
      <c r="B374" t="s">
        <v>25021</v>
      </c>
      <c r="C374">
        <v>180</v>
      </c>
      <c r="D374">
        <v>4</v>
      </c>
      <c r="E374">
        <v>0</v>
      </c>
      <c r="F374">
        <v>0</v>
      </c>
      <c r="G374">
        <v>0</v>
      </c>
      <c r="H374">
        <v>0</v>
      </c>
    </row>
    <row r="375" spans="2:8">
      <c r="B375" t="s">
        <v>25021</v>
      </c>
      <c r="C375">
        <v>180</v>
      </c>
      <c r="D375">
        <v>9</v>
      </c>
      <c r="E375">
        <v>2</v>
      </c>
      <c r="F375">
        <v>0</v>
      </c>
      <c r="G375">
        <v>2</v>
      </c>
      <c r="H375">
        <v>0</v>
      </c>
    </row>
    <row r="376" spans="2:8">
      <c r="B376" t="s">
        <v>25021</v>
      </c>
      <c r="C376">
        <v>181</v>
      </c>
      <c r="D376">
        <v>26</v>
      </c>
      <c r="E376">
        <v>12</v>
      </c>
      <c r="F376">
        <v>0</v>
      </c>
      <c r="G376">
        <v>11</v>
      </c>
      <c r="H376">
        <v>1</v>
      </c>
    </row>
    <row r="377" spans="2:8">
      <c r="B377" t="s">
        <v>25021</v>
      </c>
      <c r="C377">
        <v>181</v>
      </c>
      <c r="D377">
        <v>22</v>
      </c>
      <c r="E377">
        <v>7</v>
      </c>
      <c r="F377">
        <v>0</v>
      </c>
      <c r="G377">
        <v>6</v>
      </c>
      <c r="H377">
        <v>1</v>
      </c>
    </row>
    <row r="378" spans="2:8">
      <c r="B378" t="s">
        <v>25021</v>
      </c>
      <c r="C378">
        <v>181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2:8">
      <c r="B379" t="s">
        <v>25021</v>
      </c>
      <c r="C379">
        <v>181</v>
      </c>
      <c r="D379">
        <v>24</v>
      </c>
      <c r="E379">
        <v>14</v>
      </c>
      <c r="F379">
        <v>0</v>
      </c>
      <c r="G379">
        <v>14</v>
      </c>
      <c r="H379">
        <v>0</v>
      </c>
    </row>
    <row r="380" spans="2:8">
      <c r="B380" t="s">
        <v>25021</v>
      </c>
      <c r="C380">
        <v>181</v>
      </c>
      <c r="D380">
        <v>13</v>
      </c>
      <c r="E380">
        <v>2</v>
      </c>
      <c r="F380">
        <v>0</v>
      </c>
      <c r="G380">
        <v>0</v>
      </c>
      <c r="H380">
        <v>2</v>
      </c>
    </row>
    <row r="381" spans="2:8">
      <c r="B381" t="s">
        <v>25021</v>
      </c>
      <c r="C381">
        <v>181</v>
      </c>
      <c r="D381">
        <v>20</v>
      </c>
      <c r="E381">
        <v>9</v>
      </c>
      <c r="F381">
        <v>0</v>
      </c>
      <c r="G381">
        <v>5</v>
      </c>
      <c r="H381">
        <v>4</v>
      </c>
    </row>
    <row r="382" spans="2:8">
      <c r="B382" t="s">
        <v>25021</v>
      </c>
      <c r="C382">
        <v>181</v>
      </c>
      <c r="D382">
        <v>2</v>
      </c>
      <c r="E382">
        <v>0</v>
      </c>
      <c r="F382">
        <v>0</v>
      </c>
      <c r="G382">
        <v>0</v>
      </c>
      <c r="H382">
        <v>0</v>
      </c>
    </row>
    <row r="383" spans="2:8">
      <c r="B383" t="s">
        <v>25021</v>
      </c>
      <c r="C383">
        <v>181</v>
      </c>
      <c r="D383">
        <v>2</v>
      </c>
      <c r="E383">
        <v>0</v>
      </c>
      <c r="F383">
        <v>0</v>
      </c>
      <c r="G383">
        <v>0</v>
      </c>
      <c r="H383">
        <v>0</v>
      </c>
    </row>
    <row r="384" spans="2:8">
      <c r="B384" t="s">
        <v>25021</v>
      </c>
      <c r="C384">
        <v>182</v>
      </c>
      <c r="D384">
        <v>8</v>
      </c>
      <c r="E384">
        <v>0</v>
      </c>
      <c r="F384">
        <v>0</v>
      </c>
      <c r="G384">
        <v>0</v>
      </c>
      <c r="H384">
        <v>0</v>
      </c>
    </row>
    <row r="385" spans="2:8">
      <c r="B385" t="s">
        <v>25021</v>
      </c>
      <c r="C385">
        <v>184</v>
      </c>
      <c r="D385">
        <v>11</v>
      </c>
      <c r="E385">
        <v>0</v>
      </c>
      <c r="F385">
        <v>0</v>
      </c>
      <c r="G385">
        <v>0</v>
      </c>
      <c r="H385">
        <v>0</v>
      </c>
    </row>
    <row r="386" spans="2:8">
      <c r="B386" t="s">
        <v>25021</v>
      </c>
      <c r="C386">
        <v>184</v>
      </c>
      <c r="D386">
        <v>11</v>
      </c>
      <c r="E386">
        <v>2</v>
      </c>
      <c r="F386">
        <v>0</v>
      </c>
      <c r="G386">
        <v>2</v>
      </c>
      <c r="H386">
        <v>0</v>
      </c>
    </row>
    <row r="387" spans="2:8">
      <c r="B387" t="s">
        <v>25021</v>
      </c>
      <c r="C387">
        <v>185</v>
      </c>
      <c r="D387">
        <v>43</v>
      </c>
      <c r="E387">
        <v>28</v>
      </c>
      <c r="F387">
        <v>0</v>
      </c>
      <c r="G387">
        <v>20</v>
      </c>
      <c r="H387">
        <v>8</v>
      </c>
    </row>
    <row r="388" spans="2:8">
      <c r="B388" t="s">
        <v>25021</v>
      </c>
      <c r="C388">
        <v>185</v>
      </c>
      <c r="D388">
        <v>17</v>
      </c>
      <c r="E388">
        <v>8</v>
      </c>
      <c r="F388">
        <v>0</v>
      </c>
      <c r="G388">
        <v>5</v>
      </c>
      <c r="H388">
        <v>3</v>
      </c>
    </row>
    <row r="389" spans="2:8">
      <c r="B389" t="s">
        <v>25021</v>
      </c>
      <c r="C389">
        <v>185</v>
      </c>
      <c r="D389">
        <v>18</v>
      </c>
      <c r="E389">
        <v>2</v>
      </c>
      <c r="F389">
        <v>0</v>
      </c>
      <c r="G389">
        <v>2</v>
      </c>
      <c r="H389">
        <v>0</v>
      </c>
    </row>
    <row r="390" spans="2:8">
      <c r="B390" t="s">
        <v>25021</v>
      </c>
      <c r="C390">
        <v>185</v>
      </c>
      <c r="D390">
        <v>10</v>
      </c>
      <c r="E390">
        <v>0</v>
      </c>
      <c r="F390">
        <v>0</v>
      </c>
      <c r="G390">
        <v>0</v>
      </c>
      <c r="H390">
        <v>0</v>
      </c>
    </row>
    <row r="391" spans="2:8">
      <c r="B391" t="s">
        <v>25021</v>
      </c>
      <c r="C391">
        <v>185</v>
      </c>
      <c r="D391">
        <v>7</v>
      </c>
      <c r="E391">
        <v>0</v>
      </c>
      <c r="F391">
        <v>0</v>
      </c>
      <c r="G391">
        <v>0</v>
      </c>
      <c r="H391">
        <v>0</v>
      </c>
    </row>
    <row r="392" spans="2:8">
      <c r="B392" t="s">
        <v>25021</v>
      </c>
      <c r="C392">
        <v>185</v>
      </c>
      <c r="D392">
        <v>1</v>
      </c>
      <c r="E392">
        <v>0</v>
      </c>
      <c r="F392">
        <v>0</v>
      </c>
      <c r="G392">
        <v>0</v>
      </c>
      <c r="H392">
        <v>0</v>
      </c>
    </row>
    <row r="393" spans="2:8">
      <c r="B393" t="s">
        <v>25021</v>
      </c>
      <c r="C393">
        <v>186</v>
      </c>
      <c r="D393">
        <v>8</v>
      </c>
      <c r="E393">
        <v>2</v>
      </c>
      <c r="F393">
        <v>0</v>
      </c>
      <c r="G393">
        <v>2</v>
      </c>
      <c r="H393">
        <v>0</v>
      </c>
    </row>
    <row r="394" spans="2:8">
      <c r="B394" t="s">
        <v>25021</v>
      </c>
      <c r="C394">
        <v>187</v>
      </c>
      <c r="D394">
        <v>11</v>
      </c>
      <c r="E394">
        <v>2</v>
      </c>
      <c r="F394">
        <v>0</v>
      </c>
      <c r="G394">
        <v>0</v>
      </c>
      <c r="H394">
        <v>2</v>
      </c>
    </row>
    <row r="395" spans="2:8">
      <c r="B395" t="s">
        <v>25021</v>
      </c>
      <c r="C395">
        <v>188</v>
      </c>
      <c r="D395">
        <v>26</v>
      </c>
      <c r="E395">
        <v>10</v>
      </c>
      <c r="F395">
        <v>0</v>
      </c>
      <c r="G395">
        <v>7</v>
      </c>
      <c r="H395">
        <v>3</v>
      </c>
    </row>
    <row r="396" spans="2:8">
      <c r="B396" t="s">
        <v>25021</v>
      </c>
      <c r="C396">
        <v>188</v>
      </c>
      <c r="D396">
        <v>13</v>
      </c>
      <c r="E396">
        <v>8</v>
      </c>
      <c r="F396">
        <v>0</v>
      </c>
      <c r="G396">
        <v>7</v>
      </c>
      <c r="H396">
        <v>1</v>
      </c>
    </row>
    <row r="397" spans="2:8">
      <c r="B397" t="s">
        <v>25021</v>
      </c>
      <c r="C397">
        <v>189</v>
      </c>
      <c r="D397">
        <v>16</v>
      </c>
      <c r="E397">
        <v>0</v>
      </c>
      <c r="F397">
        <v>0</v>
      </c>
      <c r="G397">
        <v>0</v>
      </c>
      <c r="H397">
        <v>0</v>
      </c>
    </row>
    <row r="398" spans="2:8">
      <c r="B398" t="s">
        <v>25021</v>
      </c>
      <c r="C398">
        <v>190</v>
      </c>
      <c r="D398">
        <v>41</v>
      </c>
      <c r="E398">
        <v>31</v>
      </c>
      <c r="F398">
        <v>0</v>
      </c>
      <c r="G398">
        <v>28</v>
      </c>
      <c r="H398">
        <v>3</v>
      </c>
    </row>
    <row r="399" spans="2:8">
      <c r="B399" t="s">
        <v>25021</v>
      </c>
      <c r="C399">
        <v>190</v>
      </c>
      <c r="D399">
        <v>7</v>
      </c>
      <c r="E399">
        <v>4</v>
      </c>
      <c r="F399">
        <v>0</v>
      </c>
      <c r="G399">
        <v>2</v>
      </c>
      <c r="H399">
        <v>2</v>
      </c>
    </row>
    <row r="400" spans="2:8">
      <c r="B400" t="s">
        <v>25021</v>
      </c>
      <c r="C400">
        <v>190</v>
      </c>
      <c r="D400">
        <v>10</v>
      </c>
      <c r="E400">
        <v>2</v>
      </c>
      <c r="F400">
        <v>0</v>
      </c>
      <c r="G400">
        <v>2</v>
      </c>
      <c r="H400">
        <v>0</v>
      </c>
    </row>
    <row r="401" spans="2:8">
      <c r="B401" t="s">
        <v>25021</v>
      </c>
      <c r="C401">
        <v>191</v>
      </c>
      <c r="D401">
        <v>10</v>
      </c>
      <c r="E401">
        <v>2</v>
      </c>
      <c r="F401">
        <v>0</v>
      </c>
      <c r="G401">
        <v>0</v>
      </c>
      <c r="H401">
        <v>2</v>
      </c>
    </row>
    <row r="402" spans="2:8">
      <c r="B402" t="s">
        <v>25021</v>
      </c>
      <c r="C402">
        <v>192</v>
      </c>
      <c r="D402">
        <v>4</v>
      </c>
      <c r="E402">
        <v>0</v>
      </c>
      <c r="F402">
        <v>0</v>
      </c>
      <c r="G402">
        <v>0</v>
      </c>
      <c r="H402">
        <v>0</v>
      </c>
    </row>
    <row r="403" spans="2:8">
      <c r="B403" t="s">
        <v>25021</v>
      </c>
      <c r="C403">
        <v>193</v>
      </c>
      <c r="D403">
        <v>9</v>
      </c>
      <c r="E403">
        <v>0</v>
      </c>
      <c r="F403">
        <v>0</v>
      </c>
      <c r="G403">
        <v>0</v>
      </c>
      <c r="H403">
        <v>0</v>
      </c>
    </row>
    <row r="404" spans="2:8">
      <c r="B404" t="s">
        <v>25021</v>
      </c>
      <c r="C404">
        <v>193</v>
      </c>
      <c r="D404">
        <v>6</v>
      </c>
      <c r="E404">
        <v>0</v>
      </c>
      <c r="F404">
        <v>0</v>
      </c>
      <c r="G404">
        <v>0</v>
      </c>
      <c r="H404">
        <v>0</v>
      </c>
    </row>
    <row r="405" spans="2:8">
      <c r="B405" t="s">
        <v>25021</v>
      </c>
      <c r="C405">
        <v>193</v>
      </c>
      <c r="D405">
        <v>4</v>
      </c>
      <c r="E405">
        <v>0</v>
      </c>
      <c r="F405">
        <v>0</v>
      </c>
      <c r="G405">
        <v>0</v>
      </c>
      <c r="H405">
        <v>0</v>
      </c>
    </row>
    <row r="406" spans="2:8">
      <c r="B406" t="s">
        <v>25021</v>
      </c>
      <c r="C406">
        <v>193</v>
      </c>
      <c r="D406">
        <v>6</v>
      </c>
      <c r="E406">
        <v>3</v>
      </c>
      <c r="F406">
        <v>0</v>
      </c>
      <c r="G406">
        <v>3</v>
      </c>
      <c r="H406">
        <v>0</v>
      </c>
    </row>
    <row r="407" spans="2:8">
      <c r="B407" t="s">
        <v>25021</v>
      </c>
      <c r="C407">
        <v>194</v>
      </c>
      <c r="D407">
        <v>17</v>
      </c>
      <c r="E407">
        <v>6</v>
      </c>
      <c r="F407">
        <v>0</v>
      </c>
      <c r="G407">
        <v>6</v>
      </c>
      <c r="H407">
        <v>0</v>
      </c>
    </row>
    <row r="408" spans="2:8">
      <c r="B408" t="s">
        <v>25021</v>
      </c>
      <c r="C408">
        <v>194</v>
      </c>
      <c r="D408">
        <v>5</v>
      </c>
      <c r="E408">
        <v>0</v>
      </c>
      <c r="F408">
        <v>0</v>
      </c>
      <c r="G408">
        <v>0</v>
      </c>
      <c r="H408">
        <v>0</v>
      </c>
    </row>
    <row r="409" spans="2:8">
      <c r="B409" t="s">
        <v>25021</v>
      </c>
      <c r="C409">
        <v>195</v>
      </c>
      <c r="D409">
        <v>25</v>
      </c>
      <c r="E409">
        <v>8</v>
      </c>
      <c r="F409">
        <v>0</v>
      </c>
      <c r="G409">
        <v>8</v>
      </c>
      <c r="H409">
        <v>0</v>
      </c>
    </row>
    <row r="410" spans="2:8">
      <c r="B410" t="s">
        <v>25021</v>
      </c>
      <c r="C410">
        <v>195</v>
      </c>
      <c r="D410">
        <v>7</v>
      </c>
      <c r="E410">
        <v>0</v>
      </c>
      <c r="F410">
        <v>0</v>
      </c>
      <c r="G410">
        <v>0</v>
      </c>
      <c r="H410">
        <v>0</v>
      </c>
    </row>
    <row r="411" spans="2:8">
      <c r="B411" t="s">
        <v>25021</v>
      </c>
      <c r="C411">
        <v>197</v>
      </c>
      <c r="D411">
        <v>22</v>
      </c>
      <c r="E411">
        <v>7</v>
      </c>
      <c r="F411">
        <v>0</v>
      </c>
      <c r="G411">
        <v>6</v>
      </c>
      <c r="H411">
        <v>1</v>
      </c>
    </row>
    <row r="412" spans="2:8">
      <c r="B412" t="s">
        <v>25021</v>
      </c>
      <c r="C412">
        <v>197</v>
      </c>
      <c r="D412">
        <v>12</v>
      </c>
      <c r="E412">
        <v>6</v>
      </c>
      <c r="F412">
        <v>0</v>
      </c>
      <c r="G412">
        <v>4</v>
      </c>
      <c r="H412">
        <v>2</v>
      </c>
    </row>
    <row r="413" spans="2:8">
      <c r="B413" t="s">
        <v>25021</v>
      </c>
      <c r="C413">
        <v>197</v>
      </c>
      <c r="D413">
        <v>1</v>
      </c>
      <c r="E413">
        <v>0</v>
      </c>
      <c r="F413">
        <v>0</v>
      </c>
      <c r="G413">
        <v>0</v>
      </c>
      <c r="H413">
        <v>0</v>
      </c>
    </row>
    <row r="414" spans="2:8">
      <c r="B414" t="s">
        <v>25021</v>
      </c>
      <c r="C414">
        <v>198</v>
      </c>
      <c r="D414">
        <v>9</v>
      </c>
      <c r="E414">
        <v>2</v>
      </c>
      <c r="F414">
        <v>0</v>
      </c>
      <c r="G414">
        <v>2</v>
      </c>
      <c r="H414">
        <v>0</v>
      </c>
    </row>
    <row r="415" spans="2:8">
      <c r="B415" t="s">
        <v>25021</v>
      </c>
      <c r="C415">
        <v>199</v>
      </c>
      <c r="D415">
        <v>11</v>
      </c>
      <c r="E415">
        <v>2</v>
      </c>
      <c r="F415">
        <v>0</v>
      </c>
      <c r="G415">
        <v>0</v>
      </c>
      <c r="H415">
        <v>2</v>
      </c>
    </row>
    <row r="416" spans="2:8">
      <c r="B416" t="s">
        <v>25021</v>
      </c>
      <c r="C416">
        <v>199</v>
      </c>
      <c r="D416">
        <v>5</v>
      </c>
      <c r="E416">
        <v>2</v>
      </c>
      <c r="F416">
        <v>0</v>
      </c>
      <c r="G416">
        <v>0</v>
      </c>
      <c r="H416">
        <v>2</v>
      </c>
    </row>
    <row r="417" spans="2:8">
      <c r="B417" t="s">
        <v>25021</v>
      </c>
      <c r="C417">
        <v>199</v>
      </c>
      <c r="D417">
        <v>7</v>
      </c>
      <c r="E417">
        <v>0</v>
      </c>
      <c r="F417">
        <v>0</v>
      </c>
      <c r="G417">
        <v>0</v>
      </c>
      <c r="H417">
        <v>0</v>
      </c>
    </row>
    <row r="418" spans="2:8">
      <c r="B418" t="s">
        <v>25021</v>
      </c>
      <c r="C418">
        <v>199</v>
      </c>
      <c r="D418">
        <v>5</v>
      </c>
      <c r="E418">
        <v>0</v>
      </c>
      <c r="F418">
        <v>0</v>
      </c>
      <c r="G418">
        <v>0</v>
      </c>
      <c r="H418">
        <v>0</v>
      </c>
    </row>
    <row r="419" spans="2:8">
      <c r="B419" t="s">
        <v>25021</v>
      </c>
      <c r="C419">
        <v>200</v>
      </c>
      <c r="D419">
        <v>20</v>
      </c>
      <c r="E419">
        <v>8</v>
      </c>
      <c r="F419">
        <v>0</v>
      </c>
      <c r="G419">
        <v>6</v>
      </c>
      <c r="H419">
        <v>2</v>
      </c>
    </row>
    <row r="420" spans="2:8">
      <c r="B420" t="s">
        <v>25021</v>
      </c>
      <c r="C420">
        <v>200</v>
      </c>
      <c r="D420">
        <v>10</v>
      </c>
      <c r="E420">
        <v>4</v>
      </c>
      <c r="F420">
        <v>0</v>
      </c>
      <c r="G420">
        <v>0</v>
      </c>
      <c r="H420">
        <v>4</v>
      </c>
    </row>
    <row r="421" spans="2:8">
      <c r="B421" t="s">
        <v>25021</v>
      </c>
      <c r="C421">
        <v>200</v>
      </c>
      <c r="D421">
        <v>2</v>
      </c>
      <c r="E421">
        <v>0</v>
      </c>
      <c r="F421">
        <v>0</v>
      </c>
      <c r="G421">
        <v>0</v>
      </c>
      <c r="H421">
        <v>0</v>
      </c>
    </row>
    <row r="422" spans="2:8">
      <c r="B422" t="s">
        <v>25021</v>
      </c>
      <c r="C422">
        <v>201</v>
      </c>
      <c r="D422">
        <v>27</v>
      </c>
      <c r="E422">
        <v>10</v>
      </c>
      <c r="F422">
        <v>0</v>
      </c>
      <c r="G422">
        <v>9</v>
      </c>
      <c r="H422">
        <v>1</v>
      </c>
    </row>
    <row r="423" spans="2:8">
      <c r="B423" t="s">
        <v>25021</v>
      </c>
      <c r="C423">
        <v>202</v>
      </c>
      <c r="D423">
        <v>16</v>
      </c>
      <c r="E423">
        <v>2</v>
      </c>
      <c r="F423">
        <v>0</v>
      </c>
      <c r="G423">
        <v>2</v>
      </c>
      <c r="H423">
        <v>0</v>
      </c>
    </row>
    <row r="424" spans="2:8">
      <c r="B424" t="s">
        <v>25021</v>
      </c>
      <c r="C424">
        <v>202</v>
      </c>
      <c r="D424">
        <v>18</v>
      </c>
      <c r="E424">
        <v>7</v>
      </c>
      <c r="F424">
        <v>0</v>
      </c>
      <c r="G424">
        <v>4</v>
      </c>
      <c r="H424">
        <v>3</v>
      </c>
    </row>
    <row r="425" spans="2:8">
      <c r="B425" t="s">
        <v>25021</v>
      </c>
      <c r="C425">
        <v>203</v>
      </c>
      <c r="D425">
        <v>23</v>
      </c>
      <c r="E425">
        <v>2</v>
      </c>
      <c r="F425">
        <v>0</v>
      </c>
      <c r="G425">
        <v>2</v>
      </c>
      <c r="H425">
        <v>0</v>
      </c>
    </row>
    <row r="426" spans="2:8">
      <c r="B426" t="s">
        <v>25021</v>
      </c>
      <c r="C426">
        <v>203</v>
      </c>
      <c r="D426">
        <v>6</v>
      </c>
      <c r="E426">
        <v>2</v>
      </c>
      <c r="F426">
        <v>0</v>
      </c>
      <c r="G426">
        <v>0</v>
      </c>
      <c r="H426">
        <v>2</v>
      </c>
    </row>
    <row r="427" spans="2:8">
      <c r="B427" t="s">
        <v>25021</v>
      </c>
      <c r="C427">
        <v>203</v>
      </c>
      <c r="D427">
        <v>5</v>
      </c>
      <c r="E427">
        <v>2</v>
      </c>
      <c r="F427">
        <v>0</v>
      </c>
      <c r="G427">
        <v>2</v>
      </c>
      <c r="H427">
        <v>0</v>
      </c>
    </row>
    <row r="428" spans="2:8">
      <c r="B428" t="s">
        <v>25021</v>
      </c>
      <c r="C428">
        <v>204</v>
      </c>
      <c r="D428">
        <v>13</v>
      </c>
      <c r="E428">
        <v>5</v>
      </c>
      <c r="F428">
        <v>0</v>
      </c>
      <c r="G428">
        <v>5</v>
      </c>
      <c r="H428">
        <v>0</v>
      </c>
    </row>
    <row r="429" spans="2:8">
      <c r="B429" t="s">
        <v>25021</v>
      </c>
      <c r="C429">
        <v>204</v>
      </c>
      <c r="D429">
        <v>9</v>
      </c>
      <c r="E429">
        <v>4</v>
      </c>
      <c r="F429">
        <v>0</v>
      </c>
      <c r="G429">
        <v>3</v>
      </c>
      <c r="H429">
        <v>1</v>
      </c>
    </row>
    <row r="430" spans="2:8">
      <c r="B430" t="s">
        <v>25021</v>
      </c>
      <c r="C430">
        <v>205</v>
      </c>
      <c r="D430">
        <v>13</v>
      </c>
      <c r="E430">
        <v>4</v>
      </c>
      <c r="F430">
        <v>0</v>
      </c>
      <c r="G430">
        <v>2</v>
      </c>
      <c r="H430">
        <v>2</v>
      </c>
    </row>
    <row r="431" spans="2:8">
      <c r="B431" t="s">
        <v>25021</v>
      </c>
      <c r="C431">
        <v>205</v>
      </c>
      <c r="D431">
        <v>14</v>
      </c>
      <c r="E431">
        <v>6</v>
      </c>
      <c r="F431">
        <v>0</v>
      </c>
      <c r="G431">
        <v>6</v>
      </c>
      <c r="H431">
        <v>0</v>
      </c>
    </row>
    <row r="432" spans="2:8">
      <c r="B432" t="s">
        <v>25021</v>
      </c>
      <c r="C432">
        <v>205</v>
      </c>
      <c r="D432">
        <v>3</v>
      </c>
      <c r="E432">
        <v>0</v>
      </c>
      <c r="F432">
        <v>0</v>
      </c>
      <c r="G432">
        <v>0</v>
      </c>
      <c r="H432">
        <v>0</v>
      </c>
    </row>
    <row r="433" spans="2:8">
      <c r="B433" t="s">
        <v>25021</v>
      </c>
      <c r="C433">
        <v>205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2:8">
      <c r="B434" t="s">
        <v>25021</v>
      </c>
      <c r="C434">
        <v>206</v>
      </c>
      <c r="D434">
        <v>23</v>
      </c>
      <c r="E434">
        <v>13</v>
      </c>
      <c r="F434">
        <v>2</v>
      </c>
      <c r="G434">
        <v>9</v>
      </c>
      <c r="H434">
        <v>2</v>
      </c>
    </row>
    <row r="435" spans="2:8">
      <c r="B435" t="s">
        <v>25021</v>
      </c>
      <c r="C435">
        <v>206</v>
      </c>
      <c r="D435">
        <v>10</v>
      </c>
      <c r="E435">
        <v>2</v>
      </c>
      <c r="F435">
        <v>0</v>
      </c>
      <c r="G435">
        <v>0</v>
      </c>
      <c r="H435">
        <v>2</v>
      </c>
    </row>
    <row r="436" spans="2:8">
      <c r="B436" t="s">
        <v>25021</v>
      </c>
      <c r="C436">
        <v>207</v>
      </c>
      <c r="D436">
        <v>13</v>
      </c>
      <c r="E436">
        <v>0</v>
      </c>
      <c r="F436">
        <v>0</v>
      </c>
      <c r="G436">
        <v>0</v>
      </c>
      <c r="H436">
        <v>0</v>
      </c>
    </row>
    <row r="437" spans="2:8">
      <c r="B437" t="s">
        <v>25021</v>
      </c>
      <c r="C437">
        <v>207</v>
      </c>
      <c r="D437">
        <v>28</v>
      </c>
      <c r="E437">
        <v>17</v>
      </c>
      <c r="F437">
        <v>0</v>
      </c>
      <c r="G437">
        <v>15</v>
      </c>
      <c r="H437">
        <v>2</v>
      </c>
    </row>
    <row r="438" spans="2:8">
      <c r="B438" t="s">
        <v>25021</v>
      </c>
      <c r="C438">
        <v>207</v>
      </c>
      <c r="D438">
        <v>3</v>
      </c>
      <c r="E438">
        <v>0</v>
      </c>
      <c r="F438">
        <v>0</v>
      </c>
      <c r="G438">
        <v>0</v>
      </c>
      <c r="H438">
        <v>0</v>
      </c>
    </row>
    <row r="439" spans="2:8">
      <c r="B439" t="s">
        <v>25021</v>
      </c>
      <c r="C439">
        <v>208</v>
      </c>
      <c r="D439">
        <v>22</v>
      </c>
      <c r="E439">
        <v>11</v>
      </c>
      <c r="F439">
        <v>0</v>
      </c>
      <c r="G439">
        <v>11</v>
      </c>
      <c r="H439">
        <v>0</v>
      </c>
    </row>
    <row r="440" spans="2:8">
      <c r="B440" t="s">
        <v>25021</v>
      </c>
      <c r="C440">
        <v>209</v>
      </c>
      <c r="D440">
        <v>12</v>
      </c>
      <c r="E440">
        <v>0</v>
      </c>
      <c r="F440">
        <v>0</v>
      </c>
      <c r="G440">
        <v>0</v>
      </c>
      <c r="H440">
        <v>0</v>
      </c>
    </row>
    <row r="441" spans="2:8">
      <c r="B441" t="s">
        <v>25021</v>
      </c>
      <c r="C441">
        <v>209</v>
      </c>
      <c r="D441">
        <v>4</v>
      </c>
      <c r="E441">
        <v>2</v>
      </c>
      <c r="F441">
        <v>0</v>
      </c>
      <c r="G441">
        <v>2</v>
      </c>
      <c r="H441">
        <v>0</v>
      </c>
    </row>
    <row r="442" spans="2:8">
      <c r="B442" t="s">
        <v>25021</v>
      </c>
      <c r="C442">
        <v>209</v>
      </c>
      <c r="D442">
        <v>1</v>
      </c>
      <c r="E442">
        <v>0</v>
      </c>
      <c r="F442">
        <v>0</v>
      </c>
      <c r="G442">
        <v>0</v>
      </c>
      <c r="H442">
        <v>0</v>
      </c>
    </row>
    <row r="443" spans="2:8">
      <c r="B443" t="s">
        <v>25021</v>
      </c>
      <c r="C443">
        <v>210</v>
      </c>
      <c r="D443">
        <v>12</v>
      </c>
      <c r="E443">
        <v>4</v>
      </c>
      <c r="F443">
        <v>0</v>
      </c>
      <c r="G443">
        <v>4</v>
      </c>
      <c r="H443">
        <v>0</v>
      </c>
    </row>
    <row r="444" spans="2:8">
      <c r="B444" t="s">
        <v>25021</v>
      </c>
      <c r="C444">
        <v>210</v>
      </c>
      <c r="D444">
        <v>14</v>
      </c>
      <c r="E444">
        <v>6</v>
      </c>
      <c r="F444">
        <v>0</v>
      </c>
      <c r="G444">
        <v>6</v>
      </c>
      <c r="H444">
        <v>0</v>
      </c>
    </row>
    <row r="445" spans="2:8">
      <c r="B445" t="s">
        <v>25021</v>
      </c>
      <c r="C445">
        <v>210</v>
      </c>
      <c r="D445">
        <v>9</v>
      </c>
      <c r="E445">
        <v>0</v>
      </c>
      <c r="F445">
        <v>0</v>
      </c>
      <c r="G445">
        <v>0</v>
      </c>
      <c r="H445">
        <v>0</v>
      </c>
    </row>
    <row r="446" spans="2:8">
      <c r="B446" t="s">
        <v>25021</v>
      </c>
      <c r="C446">
        <v>211</v>
      </c>
      <c r="D446">
        <v>21</v>
      </c>
      <c r="E446">
        <v>6</v>
      </c>
      <c r="F446">
        <v>0</v>
      </c>
      <c r="G446">
        <v>6</v>
      </c>
      <c r="H446">
        <v>0</v>
      </c>
    </row>
    <row r="447" spans="2:8">
      <c r="B447" t="s">
        <v>25021</v>
      </c>
      <c r="C447">
        <v>212</v>
      </c>
      <c r="D447">
        <v>15</v>
      </c>
      <c r="E447">
        <v>6</v>
      </c>
      <c r="F447">
        <v>0</v>
      </c>
      <c r="G447">
        <v>2</v>
      </c>
      <c r="H447">
        <v>4</v>
      </c>
    </row>
    <row r="448" spans="2:8">
      <c r="B448" t="s">
        <v>25021</v>
      </c>
      <c r="C448">
        <v>212</v>
      </c>
      <c r="D448">
        <v>11</v>
      </c>
      <c r="E448">
        <v>4</v>
      </c>
      <c r="F448">
        <v>0</v>
      </c>
      <c r="G448">
        <v>4</v>
      </c>
      <c r="H448">
        <v>0</v>
      </c>
    </row>
    <row r="449" spans="2:8">
      <c r="B449" t="s">
        <v>25021</v>
      </c>
      <c r="C449">
        <v>213</v>
      </c>
      <c r="D449">
        <v>3</v>
      </c>
      <c r="E449">
        <v>0</v>
      </c>
      <c r="F449">
        <v>0</v>
      </c>
      <c r="G449">
        <v>0</v>
      </c>
      <c r="H449">
        <v>0</v>
      </c>
    </row>
    <row r="450" spans="2:8">
      <c r="B450" t="s">
        <v>25021</v>
      </c>
      <c r="C450">
        <v>214</v>
      </c>
      <c r="D450">
        <v>18</v>
      </c>
      <c r="E450">
        <v>6</v>
      </c>
      <c r="F450">
        <v>0</v>
      </c>
      <c r="G450">
        <v>2</v>
      </c>
      <c r="H450">
        <v>4</v>
      </c>
    </row>
    <row r="451" spans="2:8">
      <c r="B451" t="s">
        <v>25021</v>
      </c>
      <c r="C451">
        <v>215</v>
      </c>
      <c r="D451">
        <v>21</v>
      </c>
      <c r="E451">
        <v>8</v>
      </c>
      <c r="F451">
        <v>0</v>
      </c>
      <c r="G451">
        <v>8</v>
      </c>
      <c r="H451">
        <v>0</v>
      </c>
    </row>
    <row r="452" spans="2:8">
      <c r="B452" t="s">
        <v>25021</v>
      </c>
      <c r="C452">
        <v>215</v>
      </c>
      <c r="D452">
        <v>9</v>
      </c>
      <c r="E452">
        <v>2</v>
      </c>
      <c r="F452">
        <v>0</v>
      </c>
      <c r="G452">
        <v>2</v>
      </c>
      <c r="H452">
        <v>0</v>
      </c>
    </row>
    <row r="453" spans="2:8">
      <c r="B453" t="s">
        <v>25021</v>
      </c>
      <c r="C453">
        <v>215</v>
      </c>
      <c r="D453">
        <v>9</v>
      </c>
      <c r="E453">
        <v>0</v>
      </c>
      <c r="F453">
        <v>0</v>
      </c>
      <c r="G453">
        <v>0</v>
      </c>
      <c r="H453">
        <v>0</v>
      </c>
    </row>
    <row r="454" spans="2:8">
      <c r="B454" t="s">
        <v>25021</v>
      </c>
      <c r="C454">
        <v>216</v>
      </c>
      <c r="D454">
        <v>14</v>
      </c>
      <c r="E454">
        <v>11</v>
      </c>
      <c r="F454">
        <v>0</v>
      </c>
      <c r="G454">
        <v>9</v>
      </c>
      <c r="H454">
        <v>2</v>
      </c>
    </row>
    <row r="455" spans="2:8">
      <c r="B455" t="s">
        <v>25021</v>
      </c>
      <c r="C455">
        <v>216</v>
      </c>
      <c r="D455">
        <v>4</v>
      </c>
      <c r="E455">
        <v>0</v>
      </c>
      <c r="F455">
        <v>0</v>
      </c>
      <c r="G455">
        <v>0</v>
      </c>
      <c r="H455">
        <v>0</v>
      </c>
    </row>
    <row r="456" spans="2:8">
      <c r="B456" t="s">
        <v>25021</v>
      </c>
      <c r="C456">
        <v>216</v>
      </c>
      <c r="D456">
        <v>16</v>
      </c>
      <c r="E456">
        <v>8</v>
      </c>
      <c r="F456">
        <v>0</v>
      </c>
      <c r="G456">
        <v>7</v>
      </c>
      <c r="H456">
        <v>1</v>
      </c>
    </row>
    <row r="457" spans="2:8">
      <c r="B457" t="s">
        <v>25021</v>
      </c>
      <c r="C457">
        <v>217</v>
      </c>
      <c r="D457">
        <v>8</v>
      </c>
      <c r="E457">
        <v>3</v>
      </c>
      <c r="F457">
        <v>0</v>
      </c>
      <c r="G457">
        <v>3</v>
      </c>
      <c r="H457">
        <v>0</v>
      </c>
    </row>
    <row r="458" spans="2:8">
      <c r="B458" t="s">
        <v>25021</v>
      </c>
      <c r="C458">
        <v>217</v>
      </c>
      <c r="D458">
        <v>7</v>
      </c>
      <c r="E458">
        <v>0</v>
      </c>
      <c r="F458">
        <v>0</v>
      </c>
      <c r="G458">
        <v>0</v>
      </c>
      <c r="H458">
        <v>0</v>
      </c>
    </row>
    <row r="459" spans="2:8">
      <c r="B459" t="s">
        <v>25021</v>
      </c>
      <c r="C459">
        <v>217</v>
      </c>
      <c r="D459">
        <v>3</v>
      </c>
      <c r="E459">
        <v>0</v>
      </c>
      <c r="F459">
        <v>0</v>
      </c>
      <c r="G459">
        <v>0</v>
      </c>
      <c r="H459">
        <v>0</v>
      </c>
    </row>
    <row r="460" spans="2:8">
      <c r="B460" t="s">
        <v>25021</v>
      </c>
      <c r="C460">
        <v>218</v>
      </c>
      <c r="D460">
        <v>25</v>
      </c>
      <c r="E460">
        <v>17</v>
      </c>
      <c r="F460">
        <v>0</v>
      </c>
      <c r="G460">
        <v>16</v>
      </c>
      <c r="H460">
        <v>1</v>
      </c>
    </row>
    <row r="461" spans="2:8">
      <c r="B461" t="s">
        <v>25021</v>
      </c>
      <c r="C461">
        <v>218</v>
      </c>
      <c r="D461">
        <v>4</v>
      </c>
      <c r="E461">
        <v>0</v>
      </c>
      <c r="F461">
        <v>0</v>
      </c>
      <c r="G461">
        <v>0</v>
      </c>
      <c r="H461">
        <v>0</v>
      </c>
    </row>
    <row r="462" spans="2:8">
      <c r="B462" t="s">
        <v>25021</v>
      </c>
      <c r="C462">
        <v>218</v>
      </c>
      <c r="D462">
        <v>4</v>
      </c>
      <c r="E462">
        <v>0</v>
      </c>
      <c r="F462">
        <v>0</v>
      </c>
      <c r="G462">
        <v>0</v>
      </c>
      <c r="H462">
        <v>0</v>
      </c>
    </row>
    <row r="463" spans="2:8">
      <c r="B463" t="s">
        <v>25021</v>
      </c>
      <c r="C463">
        <v>219</v>
      </c>
      <c r="D463">
        <v>54</v>
      </c>
      <c r="E463">
        <v>40</v>
      </c>
      <c r="F463">
        <v>2</v>
      </c>
      <c r="G463">
        <v>31</v>
      </c>
      <c r="H463">
        <v>7</v>
      </c>
    </row>
    <row r="464" spans="2:8">
      <c r="B464" t="s">
        <v>25021</v>
      </c>
      <c r="C464">
        <v>220</v>
      </c>
      <c r="D464">
        <v>23</v>
      </c>
      <c r="E464">
        <v>6</v>
      </c>
      <c r="F464">
        <v>0</v>
      </c>
      <c r="G464">
        <v>5</v>
      </c>
      <c r="H464">
        <v>1</v>
      </c>
    </row>
    <row r="465" spans="2:8">
      <c r="B465" t="s">
        <v>25021</v>
      </c>
      <c r="C465">
        <v>221</v>
      </c>
      <c r="D465">
        <v>20</v>
      </c>
      <c r="E465">
        <v>7</v>
      </c>
      <c r="F465">
        <v>0</v>
      </c>
      <c r="G465">
        <v>7</v>
      </c>
      <c r="H465">
        <v>0</v>
      </c>
    </row>
    <row r="466" spans="2:8">
      <c r="B466" t="s">
        <v>25021</v>
      </c>
      <c r="C466">
        <v>221</v>
      </c>
      <c r="D466">
        <v>8</v>
      </c>
      <c r="E466">
        <v>6</v>
      </c>
      <c r="F466">
        <v>0</v>
      </c>
      <c r="G466">
        <v>6</v>
      </c>
      <c r="H466">
        <v>0</v>
      </c>
    </row>
    <row r="467" spans="2:8">
      <c r="B467" t="s">
        <v>25021</v>
      </c>
      <c r="C467">
        <v>222</v>
      </c>
      <c r="D467">
        <v>4</v>
      </c>
      <c r="E467">
        <v>0</v>
      </c>
      <c r="F467">
        <v>0</v>
      </c>
      <c r="G467">
        <v>0</v>
      </c>
      <c r="H467">
        <v>0</v>
      </c>
    </row>
    <row r="468" spans="2:8">
      <c r="B468" t="s">
        <v>25021</v>
      </c>
      <c r="C468">
        <v>225</v>
      </c>
      <c r="D468">
        <v>19</v>
      </c>
      <c r="E468">
        <v>2</v>
      </c>
      <c r="F468">
        <v>0</v>
      </c>
      <c r="G468">
        <v>0</v>
      </c>
      <c r="H468">
        <v>2</v>
      </c>
    </row>
    <row r="469" spans="2:8">
      <c r="B469" t="s">
        <v>25021</v>
      </c>
      <c r="C469">
        <v>225</v>
      </c>
      <c r="D469">
        <v>5</v>
      </c>
      <c r="E469">
        <v>0</v>
      </c>
      <c r="F469">
        <v>0</v>
      </c>
      <c r="G469">
        <v>0</v>
      </c>
      <c r="H469">
        <v>0</v>
      </c>
    </row>
    <row r="470" spans="2:8">
      <c r="B470" t="s">
        <v>25021</v>
      </c>
      <c r="C470">
        <v>225</v>
      </c>
      <c r="D470">
        <v>8</v>
      </c>
      <c r="E470">
        <v>3</v>
      </c>
      <c r="F470">
        <v>0</v>
      </c>
      <c r="G470">
        <v>3</v>
      </c>
      <c r="H470">
        <v>0</v>
      </c>
    </row>
    <row r="471" spans="2:8">
      <c r="B471" t="s">
        <v>25021</v>
      </c>
      <c r="C471">
        <v>225</v>
      </c>
      <c r="D471">
        <v>5</v>
      </c>
      <c r="E471">
        <v>0</v>
      </c>
      <c r="F471">
        <v>0</v>
      </c>
      <c r="G471">
        <v>0</v>
      </c>
      <c r="H471">
        <v>0</v>
      </c>
    </row>
    <row r="472" spans="2:8">
      <c r="B472" t="s">
        <v>25021</v>
      </c>
      <c r="C472">
        <v>225</v>
      </c>
      <c r="D472">
        <v>3</v>
      </c>
      <c r="E472">
        <v>2</v>
      </c>
      <c r="F472">
        <v>0</v>
      </c>
      <c r="G472">
        <v>2</v>
      </c>
      <c r="H472">
        <v>0</v>
      </c>
    </row>
    <row r="473" spans="2:8">
      <c r="B473" t="s">
        <v>25021</v>
      </c>
      <c r="C473">
        <v>226</v>
      </c>
      <c r="D473">
        <v>35</v>
      </c>
      <c r="E473">
        <v>16</v>
      </c>
      <c r="F473">
        <v>0</v>
      </c>
      <c r="G473">
        <v>12</v>
      </c>
      <c r="H473">
        <v>4</v>
      </c>
    </row>
    <row r="474" spans="2:8">
      <c r="B474" t="s">
        <v>25021</v>
      </c>
      <c r="C474">
        <v>226</v>
      </c>
      <c r="D474">
        <v>18</v>
      </c>
      <c r="E474">
        <v>12</v>
      </c>
      <c r="F474">
        <v>0</v>
      </c>
      <c r="G474">
        <v>11</v>
      </c>
      <c r="H474">
        <v>1</v>
      </c>
    </row>
    <row r="475" spans="2:8">
      <c r="B475" t="s">
        <v>25021</v>
      </c>
      <c r="C475">
        <v>226</v>
      </c>
      <c r="D475">
        <v>10</v>
      </c>
      <c r="E475">
        <v>0</v>
      </c>
      <c r="F475">
        <v>0</v>
      </c>
      <c r="G475">
        <v>0</v>
      </c>
      <c r="H475">
        <v>0</v>
      </c>
    </row>
    <row r="476" spans="2:8">
      <c r="B476" t="s">
        <v>25021</v>
      </c>
      <c r="C476">
        <v>227</v>
      </c>
      <c r="D476">
        <v>14</v>
      </c>
      <c r="E476">
        <v>4</v>
      </c>
      <c r="F476">
        <v>0</v>
      </c>
      <c r="G476">
        <v>4</v>
      </c>
      <c r="H476">
        <v>0</v>
      </c>
    </row>
    <row r="477" spans="2:8">
      <c r="B477" t="s">
        <v>25021</v>
      </c>
      <c r="C477">
        <v>229</v>
      </c>
      <c r="D477">
        <v>15</v>
      </c>
      <c r="E477">
        <v>7</v>
      </c>
      <c r="F477">
        <v>0</v>
      </c>
      <c r="G477">
        <v>5</v>
      </c>
      <c r="H477">
        <v>2</v>
      </c>
    </row>
    <row r="478" spans="2:8">
      <c r="B478" t="s">
        <v>25021</v>
      </c>
      <c r="C478">
        <v>229</v>
      </c>
      <c r="D478">
        <v>16</v>
      </c>
      <c r="E478">
        <v>12</v>
      </c>
      <c r="F478">
        <v>0</v>
      </c>
      <c r="G478">
        <v>9</v>
      </c>
      <c r="H478">
        <v>3</v>
      </c>
    </row>
    <row r="479" spans="2:8">
      <c r="B479" t="s">
        <v>25021</v>
      </c>
      <c r="C479">
        <v>229</v>
      </c>
      <c r="D479">
        <v>5</v>
      </c>
      <c r="E479">
        <v>2</v>
      </c>
      <c r="F479">
        <v>0</v>
      </c>
      <c r="G479">
        <v>0</v>
      </c>
      <c r="H479">
        <v>2</v>
      </c>
    </row>
    <row r="480" spans="2:8">
      <c r="B480" t="s">
        <v>25021</v>
      </c>
      <c r="C480">
        <v>230</v>
      </c>
      <c r="D480">
        <v>13</v>
      </c>
      <c r="E480">
        <v>7</v>
      </c>
      <c r="F480">
        <v>2</v>
      </c>
      <c r="G480">
        <v>5</v>
      </c>
      <c r="H480">
        <v>0</v>
      </c>
    </row>
    <row r="481" spans="2:8">
      <c r="B481" t="s">
        <v>25021</v>
      </c>
      <c r="C481">
        <v>230</v>
      </c>
      <c r="D481">
        <v>7</v>
      </c>
      <c r="E481">
        <v>4</v>
      </c>
      <c r="F481">
        <v>0</v>
      </c>
      <c r="G481">
        <v>4</v>
      </c>
      <c r="H481">
        <v>0</v>
      </c>
    </row>
    <row r="482" spans="2:8">
      <c r="B482" t="s">
        <v>25021</v>
      </c>
      <c r="C482">
        <v>232</v>
      </c>
      <c r="D482">
        <v>23</v>
      </c>
      <c r="E482">
        <v>10</v>
      </c>
      <c r="F482">
        <v>0</v>
      </c>
      <c r="G482">
        <v>10</v>
      </c>
      <c r="H482">
        <v>0</v>
      </c>
    </row>
    <row r="483" spans="2:8">
      <c r="B483" t="s">
        <v>25021</v>
      </c>
      <c r="C483">
        <v>232</v>
      </c>
      <c r="D483">
        <v>4</v>
      </c>
      <c r="E483">
        <v>2</v>
      </c>
      <c r="F483">
        <v>0</v>
      </c>
      <c r="G483">
        <v>2</v>
      </c>
      <c r="H483">
        <v>0</v>
      </c>
    </row>
    <row r="484" spans="2:8">
      <c r="B484" t="s">
        <v>25021</v>
      </c>
      <c r="C484">
        <v>233</v>
      </c>
      <c r="D484">
        <v>24</v>
      </c>
      <c r="E484">
        <v>9</v>
      </c>
      <c r="F484">
        <v>0</v>
      </c>
      <c r="G484">
        <v>7</v>
      </c>
      <c r="H484">
        <v>2</v>
      </c>
    </row>
    <row r="485" spans="2:8">
      <c r="B485" t="s">
        <v>25021</v>
      </c>
      <c r="C485">
        <v>233</v>
      </c>
      <c r="D485">
        <v>9</v>
      </c>
      <c r="E485">
        <v>2</v>
      </c>
      <c r="F485">
        <v>0</v>
      </c>
      <c r="G485">
        <v>0</v>
      </c>
      <c r="H485">
        <v>2</v>
      </c>
    </row>
    <row r="486" spans="2:8">
      <c r="B486" t="s">
        <v>25021</v>
      </c>
      <c r="C486">
        <v>233</v>
      </c>
      <c r="D486">
        <v>24</v>
      </c>
      <c r="E486">
        <v>4</v>
      </c>
      <c r="F486">
        <v>0</v>
      </c>
      <c r="G486">
        <v>4</v>
      </c>
      <c r="H486">
        <v>0</v>
      </c>
    </row>
    <row r="487" spans="2:8">
      <c r="B487" t="s">
        <v>25021</v>
      </c>
      <c r="C487">
        <v>233</v>
      </c>
      <c r="D487">
        <v>2</v>
      </c>
      <c r="E487">
        <v>0</v>
      </c>
      <c r="F487">
        <v>0</v>
      </c>
      <c r="G487">
        <v>0</v>
      </c>
      <c r="H487">
        <v>0</v>
      </c>
    </row>
    <row r="488" spans="2:8">
      <c r="B488" t="s">
        <v>25021</v>
      </c>
      <c r="C488">
        <v>234</v>
      </c>
      <c r="D488">
        <v>7</v>
      </c>
      <c r="E488">
        <v>2</v>
      </c>
      <c r="F488">
        <v>0</v>
      </c>
      <c r="G488">
        <v>2</v>
      </c>
      <c r="H488">
        <v>0</v>
      </c>
    </row>
    <row r="489" spans="2:8">
      <c r="B489" t="s">
        <v>25021</v>
      </c>
      <c r="C489">
        <v>235</v>
      </c>
      <c r="D489">
        <v>21</v>
      </c>
      <c r="E489">
        <v>6</v>
      </c>
      <c r="F489">
        <v>0</v>
      </c>
      <c r="G489">
        <v>6</v>
      </c>
      <c r="H489">
        <v>0</v>
      </c>
    </row>
    <row r="490" spans="2:8">
      <c r="B490" t="s">
        <v>25021</v>
      </c>
      <c r="C490">
        <v>235</v>
      </c>
      <c r="D490">
        <v>11</v>
      </c>
      <c r="E490">
        <v>4</v>
      </c>
      <c r="F490">
        <v>0</v>
      </c>
      <c r="G490">
        <v>4</v>
      </c>
      <c r="H490">
        <v>0</v>
      </c>
    </row>
    <row r="491" spans="2:8">
      <c r="B491" t="s">
        <v>25021</v>
      </c>
      <c r="C491">
        <v>235</v>
      </c>
      <c r="D491">
        <v>8</v>
      </c>
      <c r="E491">
        <v>0</v>
      </c>
      <c r="F491">
        <v>0</v>
      </c>
      <c r="G491">
        <v>0</v>
      </c>
      <c r="H491">
        <v>0</v>
      </c>
    </row>
    <row r="492" spans="2:8">
      <c r="B492" t="s">
        <v>25021</v>
      </c>
      <c r="C492">
        <v>236</v>
      </c>
      <c r="D492">
        <v>18</v>
      </c>
      <c r="E492">
        <v>5</v>
      </c>
      <c r="F492">
        <v>0</v>
      </c>
      <c r="G492">
        <v>5</v>
      </c>
      <c r="H492">
        <v>0</v>
      </c>
    </row>
    <row r="493" spans="2:8">
      <c r="B493" t="s">
        <v>25021</v>
      </c>
      <c r="C493">
        <v>236</v>
      </c>
      <c r="D493">
        <v>21</v>
      </c>
      <c r="E493">
        <v>8</v>
      </c>
      <c r="F493">
        <v>0</v>
      </c>
      <c r="G493">
        <v>6</v>
      </c>
      <c r="H493">
        <v>2</v>
      </c>
    </row>
    <row r="494" spans="2:8">
      <c r="B494" t="s">
        <v>25021</v>
      </c>
      <c r="C494">
        <v>236</v>
      </c>
      <c r="D494">
        <v>27</v>
      </c>
      <c r="E494">
        <v>18</v>
      </c>
      <c r="F494">
        <v>0</v>
      </c>
      <c r="G494">
        <v>15</v>
      </c>
      <c r="H494">
        <v>3</v>
      </c>
    </row>
    <row r="495" spans="2:8">
      <c r="B495" t="s">
        <v>25021</v>
      </c>
      <c r="C495">
        <v>236</v>
      </c>
      <c r="D495">
        <v>1</v>
      </c>
      <c r="E495">
        <v>0</v>
      </c>
      <c r="F495">
        <v>0</v>
      </c>
      <c r="G495">
        <v>0</v>
      </c>
      <c r="H495">
        <v>0</v>
      </c>
    </row>
    <row r="496" spans="2:8">
      <c r="B496" t="s">
        <v>25021</v>
      </c>
      <c r="C496">
        <v>239</v>
      </c>
      <c r="D496">
        <v>17</v>
      </c>
      <c r="E496">
        <v>10</v>
      </c>
      <c r="F496">
        <v>0</v>
      </c>
      <c r="G496">
        <v>10</v>
      </c>
      <c r="H496">
        <v>0</v>
      </c>
    </row>
    <row r="497" spans="2:8">
      <c r="B497" t="s">
        <v>25021</v>
      </c>
      <c r="C497">
        <v>239</v>
      </c>
      <c r="D497">
        <v>9</v>
      </c>
      <c r="E497">
        <v>0</v>
      </c>
      <c r="F497">
        <v>0</v>
      </c>
      <c r="G497">
        <v>0</v>
      </c>
      <c r="H497">
        <v>0</v>
      </c>
    </row>
    <row r="498" spans="2:8">
      <c r="B498" t="s">
        <v>25021</v>
      </c>
      <c r="C498">
        <v>239</v>
      </c>
      <c r="D498">
        <v>9</v>
      </c>
      <c r="E498">
        <v>4</v>
      </c>
      <c r="F498">
        <v>0</v>
      </c>
      <c r="G498">
        <v>4</v>
      </c>
      <c r="H498">
        <v>0</v>
      </c>
    </row>
    <row r="499" spans="2:8">
      <c r="B499" t="s">
        <v>25021</v>
      </c>
      <c r="C499">
        <v>240</v>
      </c>
      <c r="D499">
        <v>14</v>
      </c>
      <c r="E499">
        <v>2</v>
      </c>
      <c r="F499">
        <v>0</v>
      </c>
      <c r="G499">
        <v>2</v>
      </c>
      <c r="H499">
        <v>0</v>
      </c>
    </row>
    <row r="500" spans="2:8">
      <c r="B500" t="s">
        <v>25021</v>
      </c>
      <c r="C500">
        <v>240</v>
      </c>
      <c r="D500">
        <v>13</v>
      </c>
      <c r="E500">
        <v>4</v>
      </c>
      <c r="F500">
        <v>0</v>
      </c>
      <c r="G500">
        <v>4</v>
      </c>
      <c r="H500">
        <v>0</v>
      </c>
    </row>
    <row r="501" spans="2:8">
      <c r="B501" t="s">
        <v>25021</v>
      </c>
      <c r="C501">
        <v>242</v>
      </c>
      <c r="D501">
        <v>16</v>
      </c>
      <c r="E501">
        <v>8</v>
      </c>
      <c r="F501">
        <v>0</v>
      </c>
      <c r="G501">
        <v>8</v>
      </c>
      <c r="H501">
        <v>0</v>
      </c>
    </row>
    <row r="502" spans="2:8">
      <c r="B502" t="s">
        <v>25021</v>
      </c>
      <c r="C502">
        <v>242</v>
      </c>
      <c r="D502">
        <v>32</v>
      </c>
      <c r="E502">
        <v>18</v>
      </c>
      <c r="F502">
        <v>2</v>
      </c>
      <c r="G502">
        <v>14</v>
      </c>
      <c r="H502">
        <v>2</v>
      </c>
    </row>
    <row r="503" spans="2:8">
      <c r="B503" t="s">
        <v>25021</v>
      </c>
      <c r="C503">
        <v>242</v>
      </c>
      <c r="D503">
        <v>22</v>
      </c>
      <c r="E503">
        <v>11</v>
      </c>
      <c r="F503">
        <v>0</v>
      </c>
      <c r="G503">
        <v>11</v>
      </c>
      <c r="H503">
        <v>0</v>
      </c>
    </row>
    <row r="504" spans="2:8">
      <c r="B504" t="s">
        <v>25021</v>
      </c>
      <c r="C504">
        <v>242</v>
      </c>
      <c r="D504">
        <v>21</v>
      </c>
      <c r="E504">
        <v>8</v>
      </c>
      <c r="F504">
        <v>0</v>
      </c>
      <c r="G504">
        <v>2</v>
      </c>
      <c r="H504">
        <v>6</v>
      </c>
    </row>
    <row r="505" spans="2:8">
      <c r="B505" t="s">
        <v>25021</v>
      </c>
      <c r="C505">
        <v>243</v>
      </c>
      <c r="D505">
        <v>13</v>
      </c>
      <c r="E505">
        <v>2</v>
      </c>
      <c r="F505">
        <v>0</v>
      </c>
      <c r="G505">
        <v>2</v>
      </c>
      <c r="H505">
        <v>0</v>
      </c>
    </row>
    <row r="506" spans="2:8">
      <c r="B506" t="s">
        <v>25021</v>
      </c>
      <c r="C506">
        <v>243</v>
      </c>
      <c r="D506">
        <v>8</v>
      </c>
      <c r="E506">
        <v>3</v>
      </c>
      <c r="F506">
        <v>0</v>
      </c>
      <c r="G506">
        <v>3</v>
      </c>
      <c r="H506">
        <v>0</v>
      </c>
    </row>
    <row r="507" spans="2:8">
      <c r="B507" t="s">
        <v>25021</v>
      </c>
      <c r="C507">
        <v>243</v>
      </c>
      <c r="D507">
        <v>6</v>
      </c>
      <c r="E507">
        <v>2</v>
      </c>
      <c r="F507">
        <v>0</v>
      </c>
      <c r="G507">
        <v>0</v>
      </c>
      <c r="H507">
        <v>2</v>
      </c>
    </row>
    <row r="508" spans="2:8">
      <c r="B508" t="s">
        <v>25021</v>
      </c>
      <c r="C508">
        <v>244</v>
      </c>
      <c r="D508">
        <v>9</v>
      </c>
      <c r="E508">
        <v>4</v>
      </c>
      <c r="F508">
        <v>0</v>
      </c>
      <c r="G508">
        <v>4</v>
      </c>
      <c r="H508">
        <v>0</v>
      </c>
    </row>
    <row r="509" spans="2:8">
      <c r="B509" t="s">
        <v>25021</v>
      </c>
      <c r="C509">
        <v>244</v>
      </c>
      <c r="D509">
        <v>13</v>
      </c>
      <c r="E509">
        <v>5</v>
      </c>
      <c r="F509">
        <v>0</v>
      </c>
      <c r="G509">
        <v>5</v>
      </c>
      <c r="H509">
        <v>0</v>
      </c>
    </row>
    <row r="510" spans="2:8">
      <c r="B510" t="s">
        <v>25021</v>
      </c>
      <c r="C510">
        <v>245</v>
      </c>
      <c r="D510">
        <v>8</v>
      </c>
      <c r="E510">
        <v>0</v>
      </c>
      <c r="F510">
        <v>0</v>
      </c>
      <c r="G510">
        <v>0</v>
      </c>
      <c r="H510">
        <v>0</v>
      </c>
    </row>
    <row r="511" spans="2:8">
      <c r="B511" t="s">
        <v>25021</v>
      </c>
      <c r="C511">
        <v>245</v>
      </c>
      <c r="D511">
        <v>6</v>
      </c>
      <c r="E511">
        <v>2</v>
      </c>
      <c r="F511">
        <v>0</v>
      </c>
      <c r="G511">
        <v>2</v>
      </c>
      <c r="H511">
        <v>0</v>
      </c>
    </row>
    <row r="512" spans="2:8">
      <c r="B512" t="s">
        <v>25021</v>
      </c>
      <c r="C512">
        <v>247</v>
      </c>
      <c r="D512">
        <v>19</v>
      </c>
      <c r="E512">
        <v>9</v>
      </c>
      <c r="F512">
        <v>0</v>
      </c>
      <c r="G512">
        <v>5</v>
      </c>
      <c r="H512">
        <v>4</v>
      </c>
    </row>
    <row r="513" spans="2:8">
      <c r="B513" t="s">
        <v>25021</v>
      </c>
      <c r="C513">
        <v>247</v>
      </c>
      <c r="D513">
        <v>13</v>
      </c>
      <c r="E513">
        <v>6</v>
      </c>
      <c r="F513">
        <v>0</v>
      </c>
      <c r="G513">
        <v>4</v>
      </c>
      <c r="H513">
        <v>2</v>
      </c>
    </row>
    <row r="514" spans="2:8">
      <c r="B514" t="s">
        <v>25021</v>
      </c>
      <c r="C514">
        <v>248</v>
      </c>
      <c r="D514">
        <v>18</v>
      </c>
      <c r="E514">
        <v>4</v>
      </c>
      <c r="F514">
        <v>0</v>
      </c>
      <c r="G514">
        <v>4</v>
      </c>
      <c r="H514">
        <v>0</v>
      </c>
    </row>
    <row r="515" spans="2:8">
      <c r="B515" t="s">
        <v>25021</v>
      </c>
      <c r="C515">
        <v>248</v>
      </c>
      <c r="D515">
        <v>5</v>
      </c>
      <c r="E515">
        <v>0</v>
      </c>
      <c r="F515">
        <v>0</v>
      </c>
      <c r="G515">
        <v>0</v>
      </c>
      <c r="H515">
        <v>0</v>
      </c>
    </row>
    <row r="516" spans="2:8">
      <c r="B516" t="s">
        <v>25021</v>
      </c>
      <c r="C516">
        <v>249</v>
      </c>
      <c r="D516">
        <v>42</v>
      </c>
      <c r="E516">
        <v>25</v>
      </c>
      <c r="F516">
        <v>0</v>
      </c>
      <c r="G516">
        <v>17</v>
      </c>
      <c r="H516">
        <v>8</v>
      </c>
    </row>
    <row r="517" spans="2:8">
      <c r="B517" t="s">
        <v>25021</v>
      </c>
      <c r="C517">
        <v>249</v>
      </c>
      <c r="D517">
        <v>4</v>
      </c>
      <c r="E517">
        <v>2</v>
      </c>
      <c r="F517">
        <v>0</v>
      </c>
      <c r="G517">
        <v>2</v>
      </c>
      <c r="H517">
        <v>0</v>
      </c>
    </row>
    <row r="518" spans="2:8">
      <c r="B518" t="s">
        <v>25021</v>
      </c>
      <c r="C518">
        <v>249</v>
      </c>
      <c r="D518">
        <v>7</v>
      </c>
      <c r="E518">
        <v>0</v>
      </c>
      <c r="F518">
        <v>0</v>
      </c>
      <c r="G518">
        <v>0</v>
      </c>
      <c r="H518">
        <v>0</v>
      </c>
    </row>
    <row r="519" spans="2:8">
      <c r="B519" t="s">
        <v>25021</v>
      </c>
      <c r="C519">
        <v>250</v>
      </c>
      <c r="D519">
        <v>36</v>
      </c>
      <c r="E519">
        <v>9</v>
      </c>
      <c r="F519">
        <v>0</v>
      </c>
      <c r="G519">
        <v>9</v>
      </c>
      <c r="H519">
        <v>0</v>
      </c>
    </row>
    <row r="520" spans="2:8">
      <c r="B520" t="s">
        <v>25021</v>
      </c>
      <c r="C520">
        <v>250</v>
      </c>
      <c r="D520">
        <v>22</v>
      </c>
      <c r="E520">
        <v>6</v>
      </c>
      <c r="F520">
        <v>0</v>
      </c>
      <c r="G520">
        <v>4</v>
      </c>
      <c r="H520">
        <v>2</v>
      </c>
    </row>
    <row r="521" spans="2:8">
      <c r="B521" t="s">
        <v>25021</v>
      </c>
      <c r="C521">
        <v>250</v>
      </c>
      <c r="D521">
        <v>9</v>
      </c>
      <c r="E521">
        <v>2</v>
      </c>
      <c r="F521">
        <v>0</v>
      </c>
      <c r="G521">
        <v>2</v>
      </c>
      <c r="H521">
        <v>0</v>
      </c>
    </row>
    <row r="522" spans="2:8">
      <c r="B522" t="s">
        <v>25021</v>
      </c>
      <c r="C522">
        <v>250</v>
      </c>
      <c r="D522">
        <v>5</v>
      </c>
      <c r="E522">
        <v>0</v>
      </c>
      <c r="F522">
        <v>0</v>
      </c>
      <c r="G522">
        <v>0</v>
      </c>
      <c r="H522">
        <v>0</v>
      </c>
    </row>
    <row r="523" spans="2:8">
      <c r="B523" t="s">
        <v>25021</v>
      </c>
      <c r="C523">
        <v>251</v>
      </c>
      <c r="D523">
        <v>8</v>
      </c>
      <c r="E523">
        <v>0</v>
      </c>
      <c r="F523">
        <v>0</v>
      </c>
      <c r="G523">
        <v>0</v>
      </c>
      <c r="H523">
        <v>0</v>
      </c>
    </row>
    <row r="524" spans="2:8">
      <c r="B524" t="s">
        <v>25021</v>
      </c>
      <c r="C524">
        <v>252</v>
      </c>
      <c r="D524">
        <v>21</v>
      </c>
      <c r="E524">
        <v>7</v>
      </c>
      <c r="F524">
        <v>0</v>
      </c>
      <c r="G524">
        <v>7</v>
      </c>
      <c r="H524">
        <v>0</v>
      </c>
    </row>
    <row r="525" spans="2:8">
      <c r="B525" t="s">
        <v>25021</v>
      </c>
      <c r="C525">
        <v>253</v>
      </c>
      <c r="D525">
        <v>38</v>
      </c>
      <c r="E525">
        <v>21</v>
      </c>
      <c r="F525">
        <v>0</v>
      </c>
      <c r="G525">
        <v>13</v>
      </c>
      <c r="H525">
        <v>8</v>
      </c>
    </row>
    <row r="526" spans="2:8">
      <c r="B526" t="s">
        <v>25021</v>
      </c>
      <c r="C526">
        <v>253</v>
      </c>
      <c r="D526">
        <v>6</v>
      </c>
      <c r="E526">
        <v>0</v>
      </c>
      <c r="F526">
        <v>0</v>
      </c>
      <c r="G526">
        <v>0</v>
      </c>
      <c r="H526">
        <v>0</v>
      </c>
    </row>
    <row r="527" spans="2:8">
      <c r="B527" t="s">
        <v>25021</v>
      </c>
      <c r="C527">
        <v>254</v>
      </c>
      <c r="D527">
        <v>19</v>
      </c>
      <c r="E527">
        <v>9</v>
      </c>
      <c r="F527">
        <v>0</v>
      </c>
      <c r="G527">
        <v>9</v>
      </c>
      <c r="H527">
        <v>0</v>
      </c>
    </row>
    <row r="528" spans="2:8">
      <c r="B528" t="s">
        <v>25021</v>
      </c>
      <c r="C528">
        <v>254</v>
      </c>
      <c r="D528">
        <v>28</v>
      </c>
      <c r="E528">
        <v>15</v>
      </c>
      <c r="F528">
        <v>0</v>
      </c>
      <c r="G528">
        <v>14</v>
      </c>
      <c r="H528">
        <v>1</v>
      </c>
    </row>
    <row r="529" spans="2:8">
      <c r="B529" t="s">
        <v>25021</v>
      </c>
      <c r="C529">
        <v>254</v>
      </c>
      <c r="D529">
        <v>8</v>
      </c>
      <c r="E529">
        <v>2</v>
      </c>
      <c r="F529">
        <v>0</v>
      </c>
      <c r="G529">
        <v>0</v>
      </c>
      <c r="H529">
        <v>2</v>
      </c>
    </row>
    <row r="530" spans="2:8">
      <c r="B530" t="s">
        <v>25021</v>
      </c>
      <c r="C530">
        <v>254</v>
      </c>
      <c r="D530">
        <v>7</v>
      </c>
      <c r="E530">
        <v>4</v>
      </c>
      <c r="F530">
        <v>0</v>
      </c>
      <c r="G530">
        <v>4</v>
      </c>
      <c r="H530">
        <v>0</v>
      </c>
    </row>
    <row r="531" spans="2:8">
      <c r="B531" t="s">
        <v>25021</v>
      </c>
      <c r="C531">
        <v>254</v>
      </c>
      <c r="D531">
        <v>5</v>
      </c>
      <c r="E531">
        <v>2</v>
      </c>
      <c r="F531">
        <v>0</v>
      </c>
      <c r="G531">
        <v>2</v>
      </c>
      <c r="H531">
        <v>0</v>
      </c>
    </row>
    <row r="532" spans="2:8">
      <c r="B532" t="s">
        <v>25021</v>
      </c>
      <c r="C532">
        <v>255</v>
      </c>
      <c r="D532">
        <v>22</v>
      </c>
      <c r="E532">
        <v>11</v>
      </c>
      <c r="F532">
        <v>0</v>
      </c>
      <c r="G532">
        <v>11</v>
      </c>
      <c r="H532">
        <v>0</v>
      </c>
    </row>
    <row r="533" spans="2:8">
      <c r="B533" t="s">
        <v>25021</v>
      </c>
      <c r="C533">
        <v>255</v>
      </c>
      <c r="D533">
        <v>4</v>
      </c>
      <c r="E533">
        <v>0</v>
      </c>
      <c r="F533">
        <v>0</v>
      </c>
      <c r="G533">
        <v>0</v>
      </c>
      <c r="H533">
        <v>0</v>
      </c>
    </row>
    <row r="534" spans="2:8">
      <c r="B534" t="s">
        <v>25021</v>
      </c>
      <c r="C534">
        <v>255</v>
      </c>
      <c r="D534">
        <v>9</v>
      </c>
      <c r="E534">
        <v>0</v>
      </c>
      <c r="F534">
        <v>0</v>
      </c>
      <c r="G534">
        <v>0</v>
      </c>
      <c r="H534">
        <v>0</v>
      </c>
    </row>
    <row r="535" spans="2:8">
      <c r="B535" t="s">
        <v>25021</v>
      </c>
      <c r="C535">
        <v>256</v>
      </c>
      <c r="D535">
        <v>24</v>
      </c>
      <c r="E535">
        <v>2</v>
      </c>
      <c r="F535">
        <v>0</v>
      </c>
      <c r="G535">
        <v>0</v>
      </c>
      <c r="H535">
        <v>2</v>
      </c>
    </row>
    <row r="536" spans="2:8">
      <c r="B536" t="s">
        <v>25021</v>
      </c>
      <c r="C536">
        <v>256</v>
      </c>
      <c r="D536">
        <v>20</v>
      </c>
      <c r="E536">
        <v>6</v>
      </c>
      <c r="F536">
        <v>0</v>
      </c>
      <c r="G536">
        <v>4</v>
      </c>
      <c r="H536">
        <v>2</v>
      </c>
    </row>
    <row r="537" spans="2:8">
      <c r="B537" t="s">
        <v>25021</v>
      </c>
      <c r="C537">
        <v>256</v>
      </c>
      <c r="D537">
        <v>26</v>
      </c>
      <c r="E537">
        <v>8</v>
      </c>
      <c r="F537">
        <v>0</v>
      </c>
      <c r="G537">
        <v>4</v>
      </c>
      <c r="H537">
        <v>4</v>
      </c>
    </row>
    <row r="538" spans="2:8">
      <c r="B538" t="s">
        <v>25021</v>
      </c>
      <c r="C538">
        <v>256</v>
      </c>
      <c r="D538">
        <v>14</v>
      </c>
      <c r="E538">
        <v>9</v>
      </c>
      <c r="F538">
        <v>0</v>
      </c>
      <c r="G538">
        <v>7</v>
      </c>
      <c r="H538">
        <v>2</v>
      </c>
    </row>
    <row r="539" spans="2:8">
      <c r="B539" t="s">
        <v>25021</v>
      </c>
      <c r="C539">
        <v>257</v>
      </c>
      <c r="D539">
        <v>8</v>
      </c>
      <c r="E539">
        <v>2</v>
      </c>
      <c r="F539">
        <v>0</v>
      </c>
      <c r="G539">
        <v>2</v>
      </c>
      <c r="H539">
        <v>0</v>
      </c>
    </row>
    <row r="540" spans="2:8">
      <c r="B540" t="s">
        <v>25021</v>
      </c>
      <c r="C540">
        <v>258</v>
      </c>
      <c r="D540">
        <v>16</v>
      </c>
      <c r="E540">
        <v>8</v>
      </c>
      <c r="F540">
        <v>0</v>
      </c>
      <c r="G540">
        <v>8</v>
      </c>
      <c r="H540">
        <v>0</v>
      </c>
    </row>
    <row r="541" spans="2:8">
      <c r="B541" t="s">
        <v>25021</v>
      </c>
      <c r="C541">
        <v>258</v>
      </c>
      <c r="D541">
        <v>14</v>
      </c>
      <c r="E541">
        <v>2</v>
      </c>
      <c r="F541">
        <v>0</v>
      </c>
      <c r="G541">
        <v>0</v>
      </c>
      <c r="H541">
        <v>2</v>
      </c>
    </row>
    <row r="542" spans="2:8">
      <c r="B542" t="s">
        <v>25021</v>
      </c>
      <c r="C542">
        <v>259</v>
      </c>
      <c r="D542">
        <v>27</v>
      </c>
      <c r="E542">
        <v>13</v>
      </c>
      <c r="F542">
        <v>0</v>
      </c>
      <c r="G542">
        <v>9</v>
      </c>
      <c r="H542">
        <v>4</v>
      </c>
    </row>
    <row r="543" spans="2:8">
      <c r="B543" t="s">
        <v>25021</v>
      </c>
      <c r="C543">
        <v>259</v>
      </c>
      <c r="D543">
        <v>16</v>
      </c>
      <c r="E543">
        <v>2</v>
      </c>
      <c r="F543">
        <v>0</v>
      </c>
      <c r="G543">
        <v>2</v>
      </c>
      <c r="H543">
        <v>0</v>
      </c>
    </row>
    <row r="544" spans="2:8">
      <c r="B544" t="s">
        <v>25021</v>
      </c>
      <c r="C544">
        <v>260</v>
      </c>
      <c r="D544">
        <v>24</v>
      </c>
      <c r="E544">
        <v>15</v>
      </c>
      <c r="F544">
        <v>0</v>
      </c>
      <c r="G544">
        <v>13</v>
      </c>
      <c r="H544">
        <v>2</v>
      </c>
    </row>
    <row r="545" spans="2:8">
      <c r="B545" t="s">
        <v>25021</v>
      </c>
      <c r="C545">
        <v>260</v>
      </c>
      <c r="D545">
        <v>16</v>
      </c>
      <c r="E545">
        <v>4</v>
      </c>
      <c r="F545">
        <v>0</v>
      </c>
      <c r="G545">
        <v>2</v>
      </c>
      <c r="H545">
        <v>2</v>
      </c>
    </row>
    <row r="546" spans="2:8">
      <c r="B546" t="s">
        <v>25021</v>
      </c>
      <c r="C546">
        <v>260</v>
      </c>
      <c r="D546">
        <v>9</v>
      </c>
      <c r="E546">
        <v>0</v>
      </c>
      <c r="F546">
        <v>0</v>
      </c>
      <c r="G546">
        <v>0</v>
      </c>
      <c r="H546">
        <v>0</v>
      </c>
    </row>
    <row r="547" spans="2:8">
      <c r="B547" t="s">
        <v>25021</v>
      </c>
      <c r="C547">
        <v>260</v>
      </c>
      <c r="D547">
        <v>7</v>
      </c>
      <c r="E547">
        <v>0</v>
      </c>
      <c r="F547">
        <v>0</v>
      </c>
      <c r="G547">
        <v>0</v>
      </c>
      <c r="H547">
        <v>0</v>
      </c>
    </row>
    <row r="548" spans="2:8">
      <c r="B548" t="s">
        <v>25021</v>
      </c>
      <c r="C548">
        <v>261</v>
      </c>
      <c r="D548">
        <v>15</v>
      </c>
      <c r="E548">
        <v>0</v>
      </c>
      <c r="F548">
        <v>0</v>
      </c>
      <c r="G548">
        <v>0</v>
      </c>
      <c r="H548">
        <v>0</v>
      </c>
    </row>
    <row r="549" spans="2:8">
      <c r="B549" t="s">
        <v>25021</v>
      </c>
      <c r="C549">
        <v>261</v>
      </c>
      <c r="D549">
        <v>7</v>
      </c>
      <c r="E549">
        <v>0</v>
      </c>
      <c r="F549">
        <v>0</v>
      </c>
      <c r="G549">
        <v>0</v>
      </c>
      <c r="H549">
        <v>0</v>
      </c>
    </row>
    <row r="550" spans="2:8">
      <c r="B550" t="s">
        <v>25021</v>
      </c>
      <c r="C550">
        <v>263</v>
      </c>
      <c r="D550">
        <v>9</v>
      </c>
      <c r="E550">
        <v>6</v>
      </c>
      <c r="F550">
        <v>0</v>
      </c>
      <c r="G550">
        <v>6</v>
      </c>
      <c r="H550">
        <v>0</v>
      </c>
    </row>
    <row r="551" spans="2:8">
      <c r="B551" t="s">
        <v>25021</v>
      </c>
      <c r="C551">
        <v>264</v>
      </c>
      <c r="D551">
        <v>24</v>
      </c>
      <c r="E551">
        <v>12</v>
      </c>
      <c r="F551">
        <v>0</v>
      </c>
      <c r="G551">
        <v>11</v>
      </c>
      <c r="H551">
        <v>1</v>
      </c>
    </row>
    <row r="552" spans="2:8">
      <c r="B552" t="s">
        <v>25021</v>
      </c>
      <c r="C552">
        <v>264</v>
      </c>
      <c r="D552">
        <v>8</v>
      </c>
      <c r="E552">
        <v>4</v>
      </c>
      <c r="F552">
        <v>0</v>
      </c>
      <c r="G552">
        <v>2</v>
      </c>
      <c r="H552">
        <v>2</v>
      </c>
    </row>
    <row r="553" spans="2:8">
      <c r="B553" t="s">
        <v>25021</v>
      </c>
      <c r="C553">
        <v>265</v>
      </c>
      <c r="D553">
        <v>34</v>
      </c>
      <c r="E553">
        <v>10</v>
      </c>
      <c r="F553">
        <v>0</v>
      </c>
      <c r="G553">
        <v>8</v>
      </c>
      <c r="H553">
        <v>2</v>
      </c>
    </row>
    <row r="554" spans="2:8">
      <c r="B554" t="s">
        <v>25021</v>
      </c>
      <c r="C554">
        <v>265</v>
      </c>
      <c r="D554">
        <v>4</v>
      </c>
      <c r="E554">
        <v>0</v>
      </c>
      <c r="F554">
        <v>0</v>
      </c>
      <c r="G554">
        <v>0</v>
      </c>
      <c r="H554">
        <v>0</v>
      </c>
    </row>
    <row r="555" spans="2:8">
      <c r="B555" t="s">
        <v>25021</v>
      </c>
      <c r="C555">
        <v>266</v>
      </c>
      <c r="D555">
        <v>8</v>
      </c>
      <c r="E555">
        <v>2</v>
      </c>
      <c r="F555">
        <v>0</v>
      </c>
      <c r="G555">
        <v>0</v>
      </c>
      <c r="H555">
        <v>2</v>
      </c>
    </row>
    <row r="556" spans="2:8">
      <c r="B556" t="s">
        <v>25021</v>
      </c>
      <c r="C556">
        <v>267</v>
      </c>
      <c r="D556">
        <v>30</v>
      </c>
      <c r="E556">
        <v>13</v>
      </c>
      <c r="F556">
        <v>0</v>
      </c>
      <c r="G556">
        <v>10</v>
      </c>
      <c r="H556">
        <v>3</v>
      </c>
    </row>
    <row r="557" spans="2:8">
      <c r="B557" t="s">
        <v>25021</v>
      </c>
      <c r="C557">
        <v>267</v>
      </c>
      <c r="D557">
        <v>11</v>
      </c>
      <c r="E557">
        <v>5</v>
      </c>
      <c r="F557">
        <v>0</v>
      </c>
      <c r="G557">
        <v>4</v>
      </c>
      <c r="H557">
        <v>1</v>
      </c>
    </row>
    <row r="558" spans="2:8">
      <c r="B558" t="s">
        <v>25021</v>
      </c>
      <c r="C558">
        <v>267</v>
      </c>
      <c r="D558">
        <v>3</v>
      </c>
      <c r="E558">
        <v>0</v>
      </c>
      <c r="F558">
        <v>0</v>
      </c>
      <c r="G558">
        <v>0</v>
      </c>
      <c r="H558">
        <v>0</v>
      </c>
    </row>
    <row r="559" spans="2:8">
      <c r="B559" t="s">
        <v>25021</v>
      </c>
      <c r="C559">
        <v>268</v>
      </c>
      <c r="D559">
        <v>10</v>
      </c>
      <c r="E559">
        <v>4</v>
      </c>
      <c r="F559">
        <v>0</v>
      </c>
      <c r="G559">
        <v>4</v>
      </c>
      <c r="H559">
        <v>0</v>
      </c>
    </row>
    <row r="560" spans="2:8">
      <c r="B560" t="s">
        <v>25021</v>
      </c>
      <c r="C560">
        <v>268</v>
      </c>
      <c r="D560">
        <v>11</v>
      </c>
      <c r="E560">
        <v>2</v>
      </c>
      <c r="F560">
        <v>0</v>
      </c>
      <c r="G560">
        <v>2</v>
      </c>
      <c r="H560">
        <v>0</v>
      </c>
    </row>
    <row r="561" spans="2:8">
      <c r="B561" t="s">
        <v>25021</v>
      </c>
      <c r="C561">
        <v>269</v>
      </c>
      <c r="D561">
        <v>11</v>
      </c>
      <c r="E561">
        <v>2</v>
      </c>
      <c r="F561">
        <v>0</v>
      </c>
      <c r="G561">
        <v>0</v>
      </c>
      <c r="H561">
        <v>2</v>
      </c>
    </row>
    <row r="562" spans="2:8">
      <c r="B562" t="s">
        <v>25021</v>
      </c>
      <c r="C562">
        <v>270</v>
      </c>
      <c r="D562">
        <v>23</v>
      </c>
      <c r="E562">
        <v>6</v>
      </c>
      <c r="F562">
        <v>0</v>
      </c>
      <c r="G562">
        <v>4</v>
      </c>
      <c r="H562">
        <v>2</v>
      </c>
    </row>
    <row r="563" spans="2:8">
      <c r="B563" t="s">
        <v>25021</v>
      </c>
      <c r="C563">
        <v>270</v>
      </c>
      <c r="D563">
        <v>14</v>
      </c>
      <c r="E563">
        <v>3</v>
      </c>
      <c r="F563">
        <v>0</v>
      </c>
      <c r="G563">
        <v>3</v>
      </c>
      <c r="H563">
        <v>0</v>
      </c>
    </row>
    <row r="564" spans="2:8">
      <c r="B564" t="s">
        <v>25021</v>
      </c>
      <c r="C564">
        <v>270</v>
      </c>
      <c r="D564">
        <v>2</v>
      </c>
      <c r="E564">
        <v>0</v>
      </c>
      <c r="F564">
        <v>0</v>
      </c>
      <c r="G564">
        <v>0</v>
      </c>
      <c r="H564">
        <v>0</v>
      </c>
    </row>
    <row r="565" spans="2:8">
      <c r="B565" t="s">
        <v>25021</v>
      </c>
      <c r="C565">
        <v>270</v>
      </c>
      <c r="D565">
        <v>11</v>
      </c>
      <c r="E565">
        <v>6</v>
      </c>
      <c r="F565">
        <v>0</v>
      </c>
      <c r="G565">
        <v>4</v>
      </c>
      <c r="H565">
        <v>2</v>
      </c>
    </row>
    <row r="566" spans="2:8">
      <c r="B566" t="s">
        <v>25021</v>
      </c>
      <c r="C566">
        <v>270</v>
      </c>
      <c r="D566">
        <v>3</v>
      </c>
      <c r="E566">
        <v>0</v>
      </c>
      <c r="F566">
        <v>0</v>
      </c>
      <c r="G566">
        <v>0</v>
      </c>
      <c r="H566">
        <v>0</v>
      </c>
    </row>
    <row r="567" spans="2:8">
      <c r="B567" t="s">
        <v>25021</v>
      </c>
      <c r="C567">
        <v>271</v>
      </c>
      <c r="D567">
        <v>58</v>
      </c>
      <c r="E567">
        <v>39</v>
      </c>
      <c r="F567">
        <v>0</v>
      </c>
      <c r="G567">
        <v>26</v>
      </c>
      <c r="H567">
        <v>13</v>
      </c>
    </row>
    <row r="568" spans="2:8">
      <c r="B568" t="s">
        <v>25021</v>
      </c>
      <c r="C568">
        <v>271</v>
      </c>
      <c r="D568">
        <v>16</v>
      </c>
      <c r="E568">
        <v>6</v>
      </c>
      <c r="F568">
        <v>0</v>
      </c>
      <c r="G568">
        <v>6</v>
      </c>
      <c r="H568">
        <v>0</v>
      </c>
    </row>
    <row r="569" spans="2:8">
      <c r="B569" t="s">
        <v>25021</v>
      </c>
      <c r="C569">
        <v>271</v>
      </c>
      <c r="D569">
        <v>9</v>
      </c>
      <c r="E569">
        <v>3</v>
      </c>
      <c r="F569">
        <v>0</v>
      </c>
      <c r="G569">
        <v>2</v>
      </c>
      <c r="H569">
        <v>1</v>
      </c>
    </row>
    <row r="570" spans="2:8">
      <c r="B570" t="s">
        <v>25021</v>
      </c>
      <c r="C570">
        <v>273</v>
      </c>
      <c r="D570">
        <v>12</v>
      </c>
      <c r="E570">
        <v>4</v>
      </c>
      <c r="F570">
        <v>0</v>
      </c>
      <c r="G570">
        <v>4</v>
      </c>
      <c r="H570">
        <v>0</v>
      </c>
    </row>
    <row r="571" spans="2:8">
      <c r="B571" t="s">
        <v>25021</v>
      </c>
      <c r="C571">
        <v>273</v>
      </c>
      <c r="D571">
        <v>16</v>
      </c>
      <c r="E571">
        <v>4</v>
      </c>
      <c r="F571">
        <v>0</v>
      </c>
      <c r="G571">
        <v>4</v>
      </c>
      <c r="H571">
        <v>0</v>
      </c>
    </row>
    <row r="572" spans="2:8">
      <c r="B572" t="s">
        <v>25021</v>
      </c>
      <c r="C572">
        <v>273</v>
      </c>
      <c r="D572">
        <v>13</v>
      </c>
      <c r="E572">
        <v>7</v>
      </c>
      <c r="F572">
        <v>0</v>
      </c>
      <c r="G572">
        <v>3</v>
      </c>
      <c r="H572">
        <v>4</v>
      </c>
    </row>
    <row r="573" spans="2:8">
      <c r="B573" t="s">
        <v>25021</v>
      </c>
      <c r="C573">
        <v>273</v>
      </c>
      <c r="D573">
        <v>16</v>
      </c>
      <c r="E573">
        <v>7</v>
      </c>
      <c r="F573">
        <v>2</v>
      </c>
      <c r="G573">
        <v>3</v>
      </c>
      <c r="H573">
        <v>2</v>
      </c>
    </row>
    <row r="574" spans="2:8">
      <c r="B574" t="s">
        <v>25021</v>
      </c>
      <c r="C574">
        <v>273</v>
      </c>
      <c r="D574">
        <v>20</v>
      </c>
      <c r="E574">
        <v>10</v>
      </c>
      <c r="F574">
        <v>0</v>
      </c>
      <c r="G574">
        <v>8</v>
      </c>
      <c r="H574">
        <v>2</v>
      </c>
    </row>
    <row r="575" spans="2:8">
      <c r="B575" t="s">
        <v>25021</v>
      </c>
      <c r="C575">
        <v>273</v>
      </c>
      <c r="D575">
        <v>12</v>
      </c>
      <c r="E575">
        <v>4</v>
      </c>
      <c r="F575">
        <v>0</v>
      </c>
      <c r="G575">
        <v>4</v>
      </c>
      <c r="H575">
        <v>0</v>
      </c>
    </row>
    <row r="576" spans="2:8">
      <c r="B576" t="s">
        <v>25021</v>
      </c>
      <c r="C576">
        <v>274</v>
      </c>
      <c r="D576">
        <v>25</v>
      </c>
      <c r="E576">
        <v>10</v>
      </c>
      <c r="F576">
        <v>0</v>
      </c>
      <c r="G576">
        <v>8</v>
      </c>
      <c r="H576">
        <v>2</v>
      </c>
    </row>
    <row r="577" spans="2:8">
      <c r="B577" t="s">
        <v>25021</v>
      </c>
      <c r="C577">
        <v>275</v>
      </c>
      <c r="D577">
        <v>14</v>
      </c>
      <c r="E577">
        <v>8</v>
      </c>
      <c r="F577">
        <v>0</v>
      </c>
      <c r="G577">
        <v>3</v>
      </c>
      <c r="H577">
        <v>5</v>
      </c>
    </row>
    <row r="578" spans="2:8">
      <c r="B578" t="s">
        <v>25021</v>
      </c>
      <c r="C578">
        <v>275</v>
      </c>
      <c r="D578">
        <v>18</v>
      </c>
      <c r="E578">
        <v>12</v>
      </c>
      <c r="F578">
        <v>0</v>
      </c>
      <c r="G578">
        <v>12</v>
      </c>
      <c r="H578">
        <v>0</v>
      </c>
    </row>
    <row r="579" spans="2:8">
      <c r="B579" t="s">
        <v>25021</v>
      </c>
      <c r="C579">
        <v>275</v>
      </c>
      <c r="D579">
        <v>13</v>
      </c>
      <c r="E579">
        <v>4</v>
      </c>
      <c r="F579">
        <v>0</v>
      </c>
      <c r="G579">
        <v>2</v>
      </c>
      <c r="H579">
        <v>2</v>
      </c>
    </row>
    <row r="580" spans="2:8">
      <c r="B580" t="s">
        <v>25021</v>
      </c>
      <c r="C580">
        <v>275</v>
      </c>
      <c r="D580">
        <v>1</v>
      </c>
      <c r="E580">
        <v>0</v>
      </c>
      <c r="F580">
        <v>0</v>
      </c>
      <c r="G580">
        <v>0</v>
      </c>
      <c r="H580">
        <v>0</v>
      </c>
    </row>
    <row r="581" spans="2:8">
      <c r="B581" t="s">
        <v>25021</v>
      </c>
      <c r="C581">
        <v>276</v>
      </c>
      <c r="D581">
        <v>13</v>
      </c>
      <c r="E581">
        <v>5</v>
      </c>
      <c r="F581">
        <v>0</v>
      </c>
      <c r="G581">
        <v>5</v>
      </c>
      <c r="H581">
        <v>0</v>
      </c>
    </row>
    <row r="582" spans="2:8">
      <c r="B582" t="s">
        <v>25021</v>
      </c>
      <c r="C582">
        <v>278</v>
      </c>
      <c r="D582">
        <v>33</v>
      </c>
      <c r="E582">
        <v>15</v>
      </c>
      <c r="F582">
        <v>0</v>
      </c>
      <c r="G582">
        <v>15</v>
      </c>
      <c r="H582">
        <v>0</v>
      </c>
    </row>
    <row r="583" spans="2:8">
      <c r="B583" t="s">
        <v>25021</v>
      </c>
      <c r="C583">
        <v>278</v>
      </c>
      <c r="D583">
        <v>13</v>
      </c>
      <c r="E583">
        <v>4</v>
      </c>
      <c r="F583">
        <v>0</v>
      </c>
      <c r="G583">
        <v>4</v>
      </c>
      <c r="H583">
        <v>0</v>
      </c>
    </row>
    <row r="584" spans="2:8">
      <c r="B584" t="s">
        <v>25021</v>
      </c>
      <c r="C584">
        <v>278</v>
      </c>
      <c r="D584">
        <v>12</v>
      </c>
      <c r="E584">
        <v>2</v>
      </c>
      <c r="F584">
        <v>0</v>
      </c>
      <c r="G584">
        <v>0</v>
      </c>
      <c r="H584">
        <v>2</v>
      </c>
    </row>
    <row r="585" spans="2:8">
      <c r="B585" t="s">
        <v>25021</v>
      </c>
      <c r="C585">
        <v>279</v>
      </c>
      <c r="D585">
        <v>33</v>
      </c>
      <c r="E585">
        <v>16</v>
      </c>
      <c r="F585">
        <v>0</v>
      </c>
      <c r="G585">
        <v>15</v>
      </c>
      <c r="H585">
        <v>1</v>
      </c>
    </row>
    <row r="586" spans="2:8">
      <c r="B586" t="s">
        <v>25021</v>
      </c>
      <c r="C586">
        <v>280</v>
      </c>
      <c r="D586">
        <v>17</v>
      </c>
      <c r="E586">
        <v>8</v>
      </c>
      <c r="F586">
        <v>0</v>
      </c>
      <c r="G586">
        <v>8</v>
      </c>
      <c r="H586">
        <v>0</v>
      </c>
    </row>
    <row r="587" spans="2:8">
      <c r="B587" t="s">
        <v>25021</v>
      </c>
      <c r="C587">
        <v>280</v>
      </c>
      <c r="D587">
        <v>19</v>
      </c>
      <c r="E587">
        <v>9</v>
      </c>
      <c r="F587">
        <v>0</v>
      </c>
      <c r="G587">
        <v>9</v>
      </c>
      <c r="H587">
        <v>0</v>
      </c>
    </row>
    <row r="588" spans="2:8">
      <c r="B588" t="s">
        <v>25021</v>
      </c>
      <c r="C588">
        <v>280</v>
      </c>
      <c r="D588">
        <v>14</v>
      </c>
      <c r="E588">
        <v>0</v>
      </c>
      <c r="F588">
        <v>0</v>
      </c>
      <c r="G588">
        <v>0</v>
      </c>
      <c r="H588">
        <v>0</v>
      </c>
    </row>
    <row r="589" spans="2:8">
      <c r="B589" t="s">
        <v>25021</v>
      </c>
      <c r="C589">
        <v>280</v>
      </c>
      <c r="D589">
        <v>6</v>
      </c>
      <c r="E589">
        <v>0</v>
      </c>
      <c r="F589">
        <v>0</v>
      </c>
      <c r="G589">
        <v>0</v>
      </c>
      <c r="H589">
        <v>0</v>
      </c>
    </row>
    <row r="590" spans="2:8">
      <c r="B590" t="s">
        <v>25021</v>
      </c>
      <c r="C590">
        <v>281</v>
      </c>
      <c r="D590">
        <v>5</v>
      </c>
      <c r="E590">
        <v>0</v>
      </c>
      <c r="F590">
        <v>0</v>
      </c>
      <c r="G590">
        <v>0</v>
      </c>
      <c r="H590">
        <v>0</v>
      </c>
    </row>
    <row r="591" spans="2:8">
      <c r="B591" t="s">
        <v>25021</v>
      </c>
      <c r="C591">
        <v>282</v>
      </c>
      <c r="D591">
        <v>42</v>
      </c>
      <c r="E591">
        <v>28</v>
      </c>
      <c r="F591">
        <v>2</v>
      </c>
      <c r="G591">
        <v>22</v>
      </c>
      <c r="H591">
        <v>4</v>
      </c>
    </row>
    <row r="592" spans="2:8">
      <c r="B592" t="s">
        <v>25021</v>
      </c>
      <c r="C592">
        <v>282</v>
      </c>
      <c r="D592">
        <v>25</v>
      </c>
      <c r="E592">
        <v>14</v>
      </c>
      <c r="F592">
        <v>0</v>
      </c>
      <c r="G592">
        <v>12</v>
      </c>
      <c r="H592">
        <v>2</v>
      </c>
    </row>
    <row r="593" spans="2:8">
      <c r="B593" t="s">
        <v>25021</v>
      </c>
      <c r="C593">
        <v>282</v>
      </c>
      <c r="D593">
        <v>10</v>
      </c>
      <c r="E593">
        <v>6</v>
      </c>
      <c r="F593">
        <v>0</v>
      </c>
      <c r="G593">
        <v>4</v>
      </c>
      <c r="H593">
        <v>2</v>
      </c>
    </row>
    <row r="594" spans="2:8">
      <c r="B594" t="s">
        <v>25021</v>
      </c>
      <c r="C594">
        <v>282</v>
      </c>
      <c r="D594">
        <v>21</v>
      </c>
      <c r="E594">
        <v>15</v>
      </c>
      <c r="F594">
        <v>0</v>
      </c>
      <c r="G594">
        <v>15</v>
      </c>
      <c r="H594">
        <v>0</v>
      </c>
    </row>
    <row r="595" spans="2:8">
      <c r="B595" t="s">
        <v>25021</v>
      </c>
      <c r="C595">
        <v>283</v>
      </c>
      <c r="D595">
        <v>10</v>
      </c>
      <c r="E595">
        <v>3</v>
      </c>
      <c r="F595">
        <v>0</v>
      </c>
      <c r="G595">
        <v>3</v>
      </c>
      <c r="H595">
        <v>0</v>
      </c>
    </row>
    <row r="596" spans="2:8">
      <c r="B596" t="s">
        <v>25021</v>
      </c>
      <c r="C596">
        <v>283</v>
      </c>
      <c r="D596">
        <v>21</v>
      </c>
      <c r="E596">
        <v>4</v>
      </c>
      <c r="F596">
        <v>0</v>
      </c>
      <c r="G596">
        <v>4</v>
      </c>
      <c r="H596">
        <v>0</v>
      </c>
    </row>
    <row r="597" spans="2:8">
      <c r="B597" t="s">
        <v>25021</v>
      </c>
      <c r="C597">
        <v>284</v>
      </c>
      <c r="D597">
        <v>54</v>
      </c>
      <c r="E597">
        <v>28</v>
      </c>
      <c r="F597">
        <v>0</v>
      </c>
      <c r="G597">
        <v>18</v>
      </c>
      <c r="H597">
        <v>10</v>
      </c>
    </row>
    <row r="598" spans="2:8">
      <c r="B598" t="s">
        <v>25021</v>
      </c>
      <c r="C598">
        <v>285</v>
      </c>
      <c r="D598">
        <v>19</v>
      </c>
      <c r="E598">
        <v>10</v>
      </c>
      <c r="F598">
        <v>0</v>
      </c>
      <c r="G598">
        <v>9</v>
      </c>
      <c r="H598">
        <v>1</v>
      </c>
    </row>
    <row r="599" spans="2:8">
      <c r="B599" t="s">
        <v>25021</v>
      </c>
      <c r="C599">
        <v>285</v>
      </c>
      <c r="D599">
        <v>21</v>
      </c>
      <c r="E599">
        <v>6</v>
      </c>
      <c r="F599">
        <v>0</v>
      </c>
      <c r="G599">
        <v>6</v>
      </c>
      <c r="H599">
        <v>0</v>
      </c>
    </row>
    <row r="600" spans="2:8">
      <c r="B600" t="s">
        <v>25021</v>
      </c>
      <c r="C600">
        <v>285</v>
      </c>
      <c r="D600">
        <v>17</v>
      </c>
      <c r="E600">
        <v>4</v>
      </c>
      <c r="F600">
        <v>0</v>
      </c>
      <c r="G600">
        <v>4</v>
      </c>
      <c r="H600">
        <v>0</v>
      </c>
    </row>
    <row r="601" spans="2:8">
      <c r="B601" t="s">
        <v>25021</v>
      </c>
      <c r="C601">
        <v>285</v>
      </c>
      <c r="D601">
        <v>24</v>
      </c>
      <c r="E601">
        <v>7</v>
      </c>
      <c r="F601">
        <v>0</v>
      </c>
      <c r="G601">
        <v>6</v>
      </c>
      <c r="H601">
        <v>1</v>
      </c>
    </row>
    <row r="602" spans="2:8">
      <c r="B602" t="s">
        <v>25021</v>
      </c>
      <c r="C602">
        <v>286</v>
      </c>
      <c r="D602">
        <v>24</v>
      </c>
      <c r="E602">
        <v>10</v>
      </c>
      <c r="F602">
        <v>0</v>
      </c>
      <c r="G602">
        <v>6</v>
      </c>
      <c r="H602">
        <v>4</v>
      </c>
    </row>
    <row r="603" spans="2:8">
      <c r="B603" t="s">
        <v>25021</v>
      </c>
      <c r="C603">
        <v>286</v>
      </c>
      <c r="D603">
        <v>26</v>
      </c>
      <c r="E603">
        <v>14</v>
      </c>
      <c r="F603">
        <v>0</v>
      </c>
      <c r="G603">
        <v>12</v>
      </c>
      <c r="H603">
        <v>2</v>
      </c>
    </row>
    <row r="604" spans="2:8">
      <c r="B604" t="s">
        <v>25021</v>
      </c>
      <c r="C604">
        <v>286</v>
      </c>
      <c r="D604">
        <v>17</v>
      </c>
      <c r="E604">
        <v>8</v>
      </c>
      <c r="F604">
        <v>0</v>
      </c>
      <c r="G604">
        <v>6</v>
      </c>
      <c r="H604">
        <v>2</v>
      </c>
    </row>
    <row r="605" spans="2:8">
      <c r="B605" t="s">
        <v>25021</v>
      </c>
      <c r="C605">
        <v>286</v>
      </c>
      <c r="D605">
        <v>7</v>
      </c>
      <c r="E605">
        <v>0</v>
      </c>
      <c r="F605">
        <v>0</v>
      </c>
      <c r="G605">
        <v>0</v>
      </c>
      <c r="H605">
        <v>0</v>
      </c>
    </row>
    <row r="606" spans="2:8">
      <c r="B606" t="s">
        <v>25021</v>
      </c>
      <c r="C606">
        <v>287</v>
      </c>
      <c r="D606">
        <v>17</v>
      </c>
      <c r="E606">
        <v>9</v>
      </c>
      <c r="F606">
        <v>0</v>
      </c>
      <c r="G606">
        <v>8</v>
      </c>
      <c r="H606">
        <v>1</v>
      </c>
    </row>
    <row r="607" spans="2:8">
      <c r="B607" t="s">
        <v>25021</v>
      </c>
      <c r="C607">
        <v>287</v>
      </c>
      <c r="D607">
        <v>20</v>
      </c>
      <c r="E607">
        <v>11</v>
      </c>
      <c r="F607">
        <v>0</v>
      </c>
      <c r="G607">
        <v>10</v>
      </c>
      <c r="H607">
        <v>1</v>
      </c>
    </row>
    <row r="608" spans="2:8">
      <c r="B608" t="s">
        <v>25021</v>
      </c>
      <c r="C608">
        <v>288</v>
      </c>
      <c r="D608">
        <v>13</v>
      </c>
      <c r="E608">
        <v>7</v>
      </c>
      <c r="F608">
        <v>0</v>
      </c>
      <c r="G608">
        <v>6</v>
      </c>
      <c r="H608">
        <v>1</v>
      </c>
    </row>
    <row r="609" spans="2:8">
      <c r="B609" t="s">
        <v>25021</v>
      </c>
      <c r="C609">
        <v>290</v>
      </c>
      <c r="D609">
        <v>38</v>
      </c>
      <c r="E609">
        <v>10</v>
      </c>
      <c r="F609">
        <v>0</v>
      </c>
      <c r="G609">
        <v>6</v>
      </c>
      <c r="H609">
        <v>4</v>
      </c>
    </row>
    <row r="610" spans="2:8">
      <c r="B610" t="s">
        <v>25021</v>
      </c>
      <c r="C610">
        <v>290</v>
      </c>
      <c r="D610">
        <v>7</v>
      </c>
      <c r="E610">
        <v>2</v>
      </c>
      <c r="F610">
        <v>0</v>
      </c>
      <c r="G610">
        <v>2</v>
      </c>
      <c r="H610">
        <v>0</v>
      </c>
    </row>
    <row r="611" spans="2:8">
      <c r="B611" t="s">
        <v>25021</v>
      </c>
      <c r="C611">
        <v>290</v>
      </c>
      <c r="D611">
        <v>5</v>
      </c>
      <c r="E611">
        <v>2</v>
      </c>
      <c r="F611">
        <v>0</v>
      </c>
      <c r="G611">
        <v>2</v>
      </c>
      <c r="H611">
        <v>0</v>
      </c>
    </row>
    <row r="612" spans="2:8">
      <c r="B612" t="s">
        <v>25021</v>
      </c>
      <c r="C612">
        <v>290</v>
      </c>
      <c r="D612">
        <v>2</v>
      </c>
      <c r="E612">
        <v>0</v>
      </c>
      <c r="F612">
        <v>0</v>
      </c>
      <c r="G612">
        <v>0</v>
      </c>
      <c r="H612">
        <v>0</v>
      </c>
    </row>
    <row r="613" spans="2:8">
      <c r="B613" t="s">
        <v>25021</v>
      </c>
      <c r="C613">
        <v>291</v>
      </c>
      <c r="D613">
        <v>18</v>
      </c>
      <c r="E613">
        <v>6</v>
      </c>
      <c r="F613">
        <v>0</v>
      </c>
      <c r="G613">
        <v>6</v>
      </c>
      <c r="H613">
        <v>0</v>
      </c>
    </row>
    <row r="614" spans="2:8">
      <c r="B614" t="s">
        <v>25021</v>
      </c>
      <c r="C614">
        <v>291</v>
      </c>
      <c r="D614">
        <v>23</v>
      </c>
      <c r="E614">
        <v>10</v>
      </c>
      <c r="F614">
        <v>0</v>
      </c>
      <c r="G614">
        <v>10</v>
      </c>
      <c r="H614">
        <v>0</v>
      </c>
    </row>
    <row r="615" spans="2:8">
      <c r="B615" t="s">
        <v>25021</v>
      </c>
      <c r="C615">
        <v>291</v>
      </c>
      <c r="D615">
        <v>17</v>
      </c>
      <c r="E615">
        <v>0</v>
      </c>
      <c r="F615">
        <v>0</v>
      </c>
      <c r="G615">
        <v>0</v>
      </c>
      <c r="H615">
        <v>0</v>
      </c>
    </row>
    <row r="616" spans="2:8">
      <c r="B616" t="s">
        <v>25021</v>
      </c>
      <c r="C616">
        <v>291</v>
      </c>
      <c r="D616">
        <v>4</v>
      </c>
      <c r="E616">
        <v>0</v>
      </c>
      <c r="F616">
        <v>0</v>
      </c>
      <c r="G616">
        <v>0</v>
      </c>
      <c r="H616">
        <v>0</v>
      </c>
    </row>
    <row r="617" spans="2:8">
      <c r="B617" t="s">
        <v>25021</v>
      </c>
      <c r="C617">
        <v>292</v>
      </c>
      <c r="D617">
        <v>24</v>
      </c>
      <c r="E617">
        <v>8</v>
      </c>
      <c r="F617">
        <v>0</v>
      </c>
      <c r="G617">
        <v>8</v>
      </c>
      <c r="H617">
        <v>0</v>
      </c>
    </row>
    <row r="618" spans="2:8">
      <c r="B618" t="s">
        <v>25021</v>
      </c>
      <c r="C618">
        <v>292</v>
      </c>
      <c r="D618">
        <v>14</v>
      </c>
      <c r="E618">
        <v>2</v>
      </c>
      <c r="F618">
        <v>0</v>
      </c>
      <c r="G618">
        <v>2</v>
      </c>
      <c r="H618">
        <v>0</v>
      </c>
    </row>
    <row r="619" spans="2:8">
      <c r="B619" t="s">
        <v>25021</v>
      </c>
      <c r="C619">
        <v>292</v>
      </c>
      <c r="D619">
        <v>30</v>
      </c>
      <c r="E619">
        <v>17</v>
      </c>
      <c r="F619">
        <v>0</v>
      </c>
      <c r="G619">
        <v>14</v>
      </c>
      <c r="H619">
        <v>3</v>
      </c>
    </row>
    <row r="620" spans="2:8">
      <c r="B620" t="s">
        <v>25021</v>
      </c>
      <c r="C620">
        <v>292</v>
      </c>
      <c r="D620">
        <v>15</v>
      </c>
      <c r="E620">
        <v>8</v>
      </c>
      <c r="F620">
        <v>0</v>
      </c>
      <c r="G620">
        <v>8</v>
      </c>
      <c r="H620">
        <v>0</v>
      </c>
    </row>
    <row r="621" spans="2:8">
      <c r="B621" t="s">
        <v>25021</v>
      </c>
      <c r="C621">
        <v>292</v>
      </c>
      <c r="D621">
        <v>10</v>
      </c>
      <c r="E621">
        <v>4</v>
      </c>
      <c r="F621">
        <v>0</v>
      </c>
      <c r="G621">
        <v>4</v>
      </c>
      <c r="H621">
        <v>0</v>
      </c>
    </row>
    <row r="622" spans="2:8">
      <c r="B622" t="s">
        <v>25021</v>
      </c>
      <c r="C622">
        <v>293</v>
      </c>
      <c r="D622">
        <v>20</v>
      </c>
      <c r="E622">
        <v>6</v>
      </c>
      <c r="F622">
        <v>0</v>
      </c>
      <c r="G622">
        <v>4</v>
      </c>
      <c r="H622">
        <v>2</v>
      </c>
    </row>
    <row r="623" spans="2:8">
      <c r="B623" t="s">
        <v>25021</v>
      </c>
      <c r="C623">
        <v>293</v>
      </c>
      <c r="D623">
        <v>23</v>
      </c>
      <c r="E623">
        <v>5</v>
      </c>
      <c r="F623">
        <v>0</v>
      </c>
      <c r="G623">
        <v>5</v>
      </c>
      <c r="H623">
        <v>0</v>
      </c>
    </row>
    <row r="624" spans="2:8">
      <c r="B624" t="s">
        <v>25021</v>
      </c>
      <c r="C624">
        <v>293</v>
      </c>
      <c r="D624">
        <v>19</v>
      </c>
      <c r="E624">
        <v>6</v>
      </c>
      <c r="F624">
        <v>0</v>
      </c>
      <c r="G624">
        <v>6</v>
      </c>
      <c r="H624">
        <v>0</v>
      </c>
    </row>
    <row r="625" spans="2:8">
      <c r="B625" t="s">
        <v>25021</v>
      </c>
      <c r="C625">
        <v>294</v>
      </c>
      <c r="D625">
        <v>10</v>
      </c>
      <c r="E625">
        <v>2</v>
      </c>
      <c r="F625">
        <v>0</v>
      </c>
      <c r="G625">
        <v>2</v>
      </c>
      <c r="H625">
        <v>0</v>
      </c>
    </row>
    <row r="626" spans="2:8">
      <c r="B626" t="s">
        <v>25021</v>
      </c>
      <c r="C626">
        <v>295</v>
      </c>
      <c r="D626">
        <v>13</v>
      </c>
      <c r="E626">
        <v>0</v>
      </c>
      <c r="F626">
        <v>0</v>
      </c>
      <c r="G626">
        <v>0</v>
      </c>
      <c r="H626">
        <v>0</v>
      </c>
    </row>
    <row r="627" spans="2:8">
      <c r="B627" t="s">
        <v>25021</v>
      </c>
      <c r="C627">
        <v>296</v>
      </c>
      <c r="D627">
        <v>8</v>
      </c>
      <c r="E627">
        <v>2</v>
      </c>
      <c r="F627">
        <v>0</v>
      </c>
      <c r="G627">
        <v>2</v>
      </c>
      <c r="H627">
        <v>0</v>
      </c>
    </row>
    <row r="628" spans="2:8">
      <c r="B628" t="s">
        <v>25021</v>
      </c>
      <c r="C628">
        <v>297</v>
      </c>
      <c r="D628">
        <v>18</v>
      </c>
      <c r="E628">
        <v>2</v>
      </c>
      <c r="F628">
        <v>0</v>
      </c>
      <c r="G628">
        <v>0</v>
      </c>
      <c r="H628">
        <v>2</v>
      </c>
    </row>
    <row r="629" spans="2:8">
      <c r="B629" t="s">
        <v>25021</v>
      </c>
      <c r="C629">
        <v>297</v>
      </c>
      <c r="D629">
        <v>13</v>
      </c>
      <c r="E629">
        <v>9</v>
      </c>
      <c r="F629">
        <v>0</v>
      </c>
      <c r="G629">
        <v>7</v>
      </c>
      <c r="H629">
        <v>2</v>
      </c>
    </row>
    <row r="630" spans="2:8">
      <c r="B630" t="s">
        <v>25021</v>
      </c>
      <c r="C630">
        <v>297</v>
      </c>
      <c r="D630">
        <v>16</v>
      </c>
      <c r="E630">
        <v>10</v>
      </c>
      <c r="F630">
        <v>0</v>
      </c>
      <c r="G630">
        <v>10</v>
      </c>
      <c r="H630">
        <v>0</v>
      </c>
    </row>
    <row r="631" spans="2:8">
      <c r="B631" t="s">
        <v>25021</v>
      </c>
      <c r="C631">
        <v>299</v>
      </c>
      <c r="D631">
        <v>19</v>
      </c>
      <c r="E631">
        <v>8</v>
      </c>
      <c r="F631">
        <v>5</v>
      </c>
      <c r="G631">
        <v>3</v>
      </c>
      <c r="H631">
        <v>0</v>
      </c>
    </row>
    <row r="632" spans="2:8">
      <c r="B632" t="s">
        <v>25021</v>
      </c>
      <c r="C632">
        <v>299</v>
      </c>
      <c r="D632">
        <v>16</v>
      </c>
      <c r="E632">
        <v>4</v>
      </c>
      <c r="F632">
        <v>0</v>
      </c>
      <c r="G632">
        <v>0</v>
      </c>
      <c r="H632">
        <v>4</v>
      </c>
    </row>
    <row r="633" spans="2:8">
      <c r="B633" t="s">
        <v>25021</v>
      </c>
      <c r="C633">
        <v>299</v>
      </c>
      <c r="D633">
        <v>5</v>
      </c>
      <c r="E633">
        <v>2</v>
      </c>
      <c r="F633">
        <v>0</v>
      </c>
      <c r="G633">
        <v>2</v>
      </c>
      <c r="H633">
        <v>0</v>
      </c>
    </row>
    <row r="634" spans="2:8">
      <c r="B634" t="s">
        <v>25021</v>
      </c>
      <c r="C634">
        <v>300</v>
      </c>
      <c r="D634">
        <v>28</v>
      </c>
      <c r="E634">
        <v>17</v>
      </c>
      <c r="F634">
        <v>0</v>
      </c>
      <c r="G634">
        <v>16</v>
      </c>
      <c r="H634">
        <v>1</v>
      </c>
    </row>
    <row r="635" spans="2:8">
      <c r="B635" t="s">
        <v>25021</v>
      </c>
      <c r="C635">
        <v>301</v>
      </c>
      <c r="D635">
        <v>23</v>
      </c>
      <c r="E635">
        <v>9</v>
      </c>
      <c r="F635">
        <v>0</v>
      </c>
      <c r="G635">
        <v>7</v>
      </c>
      <c r="H635">
        <v>2</v>
      </c>
    </row>
    <row r="636" spans="2:8">
      <c r="B636" t="s">
        <v>25021</v>
      </c>
      <c r="C636">
        <v>302</v>
      </c>
      <c r="D636">
        <v>22</v>
      </c>
      <c r="E636">
        <v>11</v>
      </c>
      <c r="F636">
        <v>0</v>
      </c>
      <c r="G636">
        <v>9</v>
      </c>
      <c r="H636">
        <v>2</v>
      </c>
    </row>
    <row r="637" spans="2:8">
      <c r="B637" t="s">
        <v>25021</v>
      </c>
      <c r="C637">
        <v>302</v>
      </c>
      <c r="D637">
        <v>2</v>
      </c>
      <c r="E637">
        <v>0</v>
      </c>
      <c r="F637">
        <v>0</v>
      </c>
      <c r="G637">
        <v>0</v>
      </c>
      <c r="H637">
        <v>0</v>
      </c>
    </row>
    <row r="638" spans="2:8">
      <c r="B638" t="s">
        <v>25021</v>
      </c>
      <c r="C638">
        <v>303</v>
      </c>
      <c r="D638">
        <v>27</v>
      </c>
      <c r="E638">
        <v>2</v>
      </c>
      <c r="F638">
        <v>0</v>
      </c>
      <c r="G638">
        <v>2</v>
      </c>
      <c r="H638">
        <v>0</v>
      </c>
    </row>
    <row r="639" spans="2:8">
      <c r="B639" t="s">
        <v>25021</v>
      </c>
      <c r="C639">
        <v>303</v>
      </c>
      <c r="D639">
        <v>33</v>
      </c>
      <c r="E639">
        <v>17</v>
      </c>
      <c r="F639">
        <v>0</v>
      </c>
      <c r="G639">
        <v>14</v>
      </c>
      <c r="H639">
        <v>3</v>
      </c>
    </row>
    <row r="640" spans="2:8">
      <c r="B640" t="s">
        <v>25021</v>
      </c>
      <c r="C640">
        <v>303</v>
      </c>
      <c r="D640">
        <v>9</v>
      </c>
      <c r="E640">
        <v>0</v>
      </c>
      <c r="F640">
        <v>0</v>
      </c>
      <c r="G640">
        <v>0</v>
      </c>
      <c r="H640">
        <v>0</v>
      </c>
    </row>
    <row r="641" spans="2:8">
      <c r="B641" t="s">
        <v>25021</v>
      </c>
      <c r="C641">
        <v>304</v>
      </c>
      <c r="D641">
        <v>27</v>
      </c>
      <c r="E641">
        <v>6</v>
      </c>
      <c r="F641">
        <v>0</v>
      </c>
      <c r="G641">
        <v>6</v>
      </c>
      <c r="H641">
        <v>0</v>
      </c>
    </row>
    <row r="642" spans="2:8">
      <c r="B642" t="s">
        <v>25021</v>
      </c>
      <c r="C642">
        <v>304</v>
      </c>
      <c r="D642">
        <v>14</v>
      </c>
      <c r="E642">
        <v>2</v>
      </c>
      <c r="F642">
        <v>0</v>
      </c>
      <c r="G642">
        <v>2</v>
      </c>
      <c r="H642">
        <v>0</v>
      </c>
    </row>
    <row r="643" spans="2:8">
      <c r="B643" t="s">
        <v>25021</v>
      </c>
      <c r="C643">
        <v>305</v>
      </c>
      <c r="D643">
        <v>17</v>
      </c>
      <c r="E643">
        <v>2</v>
      </c>
      <c r="F643">
        <v>0</v>
      </c>
      <c r="G643">
        <v>0</v>
      </c>
      <c r="H643">
        <v>2</v>
      </c>
    </row>
    <row r="644" spans="2:8">
      <c r="B644" t="s">
        <v>25021</v>
      </c>
      <c r="C644">
        <v>305</v>
      </c>
      <c r="D644">
        <v>13</v>
      </c>
      <c r="E644">
        <v>2</v>
      </c>
      <c r="F644">
        <v>0</v>
      </c>
      <c r="G644">
        <v>2</v>
      </c>
      <c r="H644">
        <v>0</v>
      </c>
    </row>
    <row r="645" spans="2:8">
      <c r="B645" t="s">
        <v>25021</v>
      </c>
      <c r="C645">
        <v>305</v>
      </c>
      <c r="D645">
        <v>23</v>
      </c>
      <c r="E645">
        <v>8</v>
      </c>
      <c r="F645">
        <v>0</v>
      </c>
      <c r="G645">
        <v>8</v>
      </c>
      <c r="H645">
        <v>0</v>
      </c>
    </row>
    <row r="646" spans="2:8">
      <c r="B646" t="s">
        <v>25021</v>
      </c>
      <c r="C646">
        <v>305</v>
      </c>
      <c r="D646">
        <v>15</v>
      </c>
      <c r="E646">
        <v>8</v>
      </c>
      <c r="F646">
        <v>0</v>
      </c>
      <c r="G646">
        <v>6</v>
      </c>
      <c r="H646">
        <v>2</v>
      </c>
    </row>
    <row r="647" spans="2:8">
      <c r="B647" t="s">
        <v>25021</v>
      </c>
      <c r="C647">
        <v>306</v>
      </c>
      <c r="D647">
        <v>39</v>
      </c>
      <c r="E647">
        <v>10</v>
      </c>
      <c r="F647">
        <v>0</v>
      </c>
      <c r="G647">
        <v>9</v>
      </c>
      <c r="H647">
        <v>1</v>
      </c>
    </row>
    <row r="648" spans="2:8">
      <c r="B648" t="s">
        <v>25021</v>
      </c>
      <c r="C648">
        <v>306</v>
      </c>
      <c r="D648">
        <v>22</v>
      </c>
      <c r="E648">
        <v>4</v>
      </c>
      <c r="F648">
        <v>0</v>
      </c>
      <c r="G648">
        <v>4</v>
      </c>
      <c r="H648">
        <v>0</v>
      </c>
    </row>
    <row r="649" spans="2:8">
      <c r="B649" t="s">
        <v>25021</v>
      </c>
      <c r="C649">
        <v>306</v>
      </c>
      <c r="D649">
        <v>28</v>
      </c>
      <c r="E649">
        <v>19</v>
      </c>
      <c r="F649">
        <v>0</v>
      </c>
      <c r="G649">
        <v>13</v>
      </c>
      <c r="H649">
        <v>6</v>
      </c>
    </row>
    <row r="650" spans="2:8">
      <c r="B650" t="s">
        <v>25021</v>
      </c>
      <c r="C650">
        <v>306</v>
      </c>
      <c r="D650">
        <v>21</v>
      </c>
      <c r="E650">
        <v>4</v>
      </c>
      <c r="F650">
        <v>0</v>
      </c>
      <c r="G650">
        <v>4</v>
      </c>
      <c r="H650">
        <v>0</v>
      </c>
    </row>
    <row r="651" spans="2:8">
      <c r="B651" t="s">
        <v>25021</v>
      </c>
      <c r="C651">
        <v>306</v>
      </c>
      <c r="D651">
        <v>17</v>
      </c>
      <c r="E651">
        <v>11</v>
      </c>
      <c r="F651">
        <v>0</v>
      </c>
      <c r="G651">
        <v>11</v>
      </c>
      <c r="H651">
        <v>0</v>
      </c>
    </row>
    <row r="652" spans="2:8">
      <c r="B652" t="s">
        <v>25021</v>
      </c>
      <c r="C652">
        <v>306</v>
      </c>
      <c r="D652">
        <v>2</v>
      </c>
      <c r="E652">
        <v>0</v>
      </c>
      <c r="F652">
        <v>0</v>
      </c>
      <c r="G652">
        <v>0</v>
      </c>
      <c r="H652">
        <v>0</v>
      </c>
    </row>
    <row r="653" spans="2:8">
      <c r="B653" t="s">
        <v>25021</v>
      </c>
      <c r="C653">
        <v>306</v>
      </c>
      <c r="D653">
        <v>6</v>
      </c>
      <c r="E653">
        <v>0</v>
      </c>
      <c r="F653">
        <v>0</v>
      </c>
      <c r="G653">
        <v>0</v>
      </c>
      <c r="H653">
        <v>0</v>
      </c>
    </row>
    <row r="654" spans="2:8">
      <c r="B654" t="s">
        <v>25021</v>
      </c>
      <c r="C654">
        <v>307</v>
      </c>
      <c r="D654">
        <v>25</v>
      </c>
      <c r="E654">
        <v>5</v>
      </c>
      <c r="F654">
        <v>0</v>
      </c>
      <c r="G654">
        <v>5</v>
      </c>
      <c r="H654">
        <v>0</v>
      </c>
    </row>
    <row r="655" spans="2:8">
      <c r="B655" t="s">
        <v>25021</v>
      </c>
      <c r="C655">
        <v>307</v>
      </c>
      <c r="D655">
        <v>10</v>
      </c>
      <c r="E655">
        <v>2</v>
      </c>
      <c r="F655">
        <v>0</v>
      </c>
      <c r="G655">
        <v>2</v>
      </c>
      <c r="H655">
        <v>0</v>
      </c>
    </row>
    <row r="656" spans="2:8">
      <c r="B656" t="s">
        <v>25021</v>
      </c>
      <c r="C656">
        <v>308</v>
      </c>
      <c r="D656">
        <v>14</v>
      </c>
      <c r="E656">
        <v>2</v>
      </c>
      <c r="F656">
        <v>0</v>
      </c>
      <c r="G656">
        <v>2</v>
      </c>
      <c r="H656">
        <v>0</v>
      </c>
    </row>
    <row r="657" spans="2:8">
      <c r="B657" t="s">
        <v>25021</v>
      </c>
      <c r="C657">
        <v>309</v>
      </c>
      <c r="D657">
        <v>16</v>
      </c>
      <c r="E657">
        <v>6</v>
      </c>
      <c r="F657">
        <v>0</v>
      </c>
      <c r="G657">
        <v>2</v>
      </c>
      <c r="H657">
        <v>4</v>
      </c>
    </row>
    <row r="658" spans="2:8">
      <c r="B658" t="s">
        <v>25021</v>
      </c>
      <c r="C658">
        <v>309</v>
      </c>
      <c r="D658">
        <v>11</v>
      </c>
      <c r="E658">
        <v>4</v>
      </c>
      <c r="F658">
        <v>0</v>
      </c>
      <c r="G658">
        <v>4</v>
      </c>
      <c r="H658">
        <v>0</v>
      </c>
    </row>
    <row r="659" spans="2:8">
      <c r="B659" t="s">
        <v>25021</v>
      </c>
      <c r="C659">
        <v>310</v>
      </c>
      <c r="D659">
        <v>11</v>
      </c>
      <c r="E659">
        <v>0</v>
      </c>
      <c r="F659">
        <v>0</v>
      </c>
      <c r="G659">
        <v>0</v>
      </c>
      <c r="H659">
        <v>0</v>
      </c>
    </row>
    <row r="660" spans="2:8">
      <c r="B660" t="s">
        <v>25021</v>
      </c>
      <c r="C660">
        <v>311</v>
      </c>
      <c r="D660">
        <v>11</v>
      </c>
      <c r="E660">
        <v>2</v>
      </c>
      <c r="F660">
        <v>0</v>
      </c>
      <c r="G660">
        <v>2</v>
      </c>
      <c r="H660">
        <v>0</v>
      </c>
    </row>
    <row r="661" spans="2:8">
      <c r="B661" t="s">
        <v>25021</v>
      </c>
      <c r="C661">
        <v>311</v>
      </c>
      <c r="D661">
        <v>6</v>
      </c>
      <c r="E661">
        <v>2</v>
      </c>
      <c r="F661">
        <v>0</v>
      </c>
      <c r="G661">
        <v>0</v>
      </c>
      <c r="H661">
        <v>2</v>
      </c>
    </row>
    <row r="662" spans="2:8">
      <c r="B662" t="s">
        <v>25021</v>
      </c>
      <c r="C662">
        <v>312</v>
      </c>
      <c r="D662">
        <v>34</v>
      </c>
      <c r="E662">
        <v>14</v>
      </c>
      <c r="F662">
        <v>0</v>
      </c>
      <c r="G662">
        <v>10</v>
      </c>
      <c r="H662">
        <v>4</v>
      </c>
    </row>
    <row r="663" spans="2:8">
      <c r="B663" t="s">
        <v>25021</v>
      </c>
      <c r="C663">
        <v>313</v>
      </c>
      <c r="D663">
        <v>9</v>
      </c>
      <c r="E663">
        <v>4</v>
      </c>
      <c r="F663">
        <v>0</v>
      </c>
      <c r="G663">
        <v>4</v>
      </c>
      <c r="H663">
        <v>0</v>
      </c>
    </row>
    <row r="664" spans="2:8">
      <c r="B664" t="s">
        <v>25021</v>
      </c>
      <c r="C664">
        <v>314</v>
      </c>
      <c r="D664">
        <v>3</v>
      </c>
      <c r="E664">
        <v>0</v>
      </c>
      <c r="F664">
        <v>0</v>
      </c>
      <c r="G664">
        <v>0</v>
      </c>
      <c r="H664">
        <v>0</v>
      </c>
    </row>
    <row r="665" spans="2:8">
      <c r="B665" t="s">
        <v>25021</v>
      </c>
      <c r="C665">
        <v>315</v>
      </c>
      <c r="D665">
        <v>25</v>
      </c>
      <c r="E665">
        <v>13</v>
      </c>
      <c r="F665">
        <v>0</v>
      </c>
      <c r="G665">
        <v>11</v>
      </c>
      <c r="H665">
        <v>2</v>
      </c>
    </row>
    <row r="666" spans="2:8">
      <c r="B666" t="s">
        <v>25021</v>
      </c>
      <c r="C666">
        <v>315</v>
      </c>
      <c r="D666">
        <v>20</v>
      </c>
      <c r="E666">
        <v>9</v>
      </c>
      <c r="F666">
        <v>0</v>
      </c>
      <c r="G666">
        <v>9</v>
      </c>
      <c r="H666">
        <v>0</v>
      </c>
    </row>
    <row r="667" spans="2:8">
      <c r="B667" t="s">
        <v>25021</v>
      </c>
      <c r="C667">
        <v>315</v>
      </c>
      <c r="D667">
        <v>24</v>
      </c>
      <c r="E667">
        <v>8</v>
      </c>
      <c r="F667">
        <v>0</v>
      </c>
      <c r="G667">
        <v>8</v>
      </c>
      <c r="H667">
        <v>0</v>
      </c>
    </row>
    <row r="668" spans="2:8">
      <c r="B668" t="s">
        <v>25021</v>
      </c>
      <c r="C668">
        <v>315</v>
      </c>
      <c r="D668">
        <v>21</v>
      </c>
      <c r="E668">
        <v>11</v>
      </c>
      <c r="F668">
        <v>0</v>
      </c>
      <c r="G668">
        <v>11</v>
      </c>
      <c r="H668">
        <v>0</v>
      </c>
    </row>
    <row r="669" spans="2:8">
      <c r="B669" t="s">
        <v>25021</v>
      </c>
      <c r="C669">
        <v>316</v>
      </c>
      <c r="D669">
        <v>36</v>
      </c>
      <c r="E669">
        <v>25</v>
      </c>
      <c r="F669">
        <v>0</v>
      </c>
      <c r="G669">
        <v>22</v>
      </c>
      <c r="H669">
        <v>3</v>
      </c>
    </row>
    <row r="670" spans="2:8">
      <c r="B670" t="s">
        <v>25021</v>
      </c>
      <c r="C670">
        <v>317</v>
      </c>
      <c r="D670">
        <v>43</v>
      </c>
      <c r="E670">
        <v>15</v>
      </c>
      <c r="F670">
        <v>0</v>
      </c>
      <c r="G670">
        <v>13</v>
      </c>
      <c r="H670">
        <v>2</v>
      </c>
    </row>
    <row r="671" spans="2:8">
      <c r="B671" t="s">
        <v>25021</v>
      </c>
      <c r="C671">
        <v>317</v>
      </c>
      <c r="D671">
        <v>18</v>
      </c>
      <c r="E671">
        <v>11</v>
      </c>
      <c r="F671">
        <v>0</v>
      </c>
      <c r="G671">
        <v>9</v>
      </c>
      <c r="H671">
        <v>2</v>
      </c>
    </row>
    <row r="672" spans="2:8">
      <c r="B672" t="s">
        <v>25021</v>
      </c>
      <c r="C672">
        <v>318</v>
      </c>
      <c r="D672">
        <v>58</v>
      </c>
      <c r="E672">
        <v>31</v>
      </c>
      <c r="F672">
        <v>0</v>
      </c>
      <c r="G672">
        <v>27</v>
      </c>
      <c r="H672">
        <v>4</v>
      </c>
    </row>
    <row r="673" spans="2:8">
      <c r="B673" t="s">
        <v>25021</v>
      </c>
      <c r="C673">
        <v>318</v>
      </c>
      <c r="D673">
        <v>20</v>
      </c>
      <c r="E673">
        <v>13</v>
      </c>
      <c r="F673">
        <v>0</v>
      </c>
      <c r="G673">
        <v>9</v>
      </c>
      <c r="H673">
        <v>4</v>
      </c>
    </row>
    <row r="674" spans="2:8">
      <c r="B674" t="s">
        <v>25021</v>
      </c>
      <c r="C674">
        <v>319</v>
      </c>
      <c r="D674">
        <v>26</v>
      </c>
      <c r="E674">
        <v>18</v>
      </c>
      <c r="F674">
        <v>0</v>
      </c>
      <c r="G674">
        <v>16</v>
      </c>
      <c r="H674">
        <v>2</v>
      </c>
    </row>
    <row r="675" spans="2:8">
      <c r="B675" t="s">
        <v>25021</v>
      </c>
      <c r="C675">
        <v>319</v>
      </c>
      <c r="D675">
        <v>12</v>
      </c>
      <c r="E675">
        <v>2</v>
      </c>
      <c r="F675">
        <v>0</v>
      </c>
      <c r="G675">
        <v>2</v>
      </c>
      <c r="H675">
        <v>0</v>
      </c>
    </row>
    <row r="676" spans="2:8">
      <c r="B676" t="s">
        <v>25021</v>
      </c>
      <c r="C676">
        <v>319</v>
      </c>
      <c r="D676">
        <v>11</v>
      </c>
      <c r="E676">
        <v>2</v>
      </c>
      <c r="F676">
        <v>0</v>
      </c>
      <c r="G676">
        <v>2</v>
      </c>
      <c r="H676">
        <v>0</v>
      </c>
    </row>
    <row r="677" spans="2:8">
      <c r="B677" t="s">
        <v>25021</v>
      </c>
      <c r="C677">
        <v>319</v>
      </c>
      <c r="D677">
        <v>8</v>
      </c>
      <c r="E677">
        <v>4</v>
      </c>
      <c r="F677">
        <v>0</v>
      </c>
      <c r="G677">
        <v>4</v>
      </c>
      <c r="H677">
        <v>0</v>
      </c>
    </row>
    <row r="678" spans="2:8">
      <c r="B678" t="s">
        <v>25021</v>
      </c>
      <c r="C678">
        <v>320</v>
      </c>
      <c r="D678">
        <v>24</v>
      </c>
      <c r="E678">
        <v>15</v>
      </c>
      <c r="F678">
        <v>0</v>
      </c>
      <c r="G678">
        <v>13</v>
      </c>
      <c r="H678">
        <v>2</v>
      </c>
    </row>
    <row r="679" spans="2:8">
      <c r="B679" t="s">
        <v>25021</v>
      </c>
      <c r="C679">
        <v>320</v>
      </c>
      <c r="D679">
        <v>2</v>
      </c>
      <c r="E679">
        <v>0</v>
      </c>
      <c r="F679">
        <v>0</v>
      </c>
      <c r="G679">
        <v>0</v>
      </c>
      <c r="H679">
        <v>0</v>
      </c>
    </row>
    <row r="680" spans="2:8">
      <c r="B680" t="s">
        <v>25021</v>
      </c>
      <c r="C680">
        <v>321</v>
      </c>
      <c r="D680">
        <v>22</v>
      </c>
      <c r="E680">
        <v>8</v>
      </c>
      <c r="F680">
        <v>0</v>
      </c>
      <c r="G680">
        <v>8</v>
      </c>
      <c r="H680">
        <v>0</v>
      </c>
    </row>
    <row r="681" spans="2:8">
      <c r="B681" t="s">
        <v>25021</v>
      </c>
      <c r="C681">
        <v>321</v>
      </c>
      <c r="D681">
        <v>13</v>
      </c>
      <c r="E681">
        <v>3</v>
      </c>
      <c r="F681">
        <v>0</v>
      </c>
      <c r="G681">
        <v>0</v>
      </c>
      <c r="H681">
        <v>3</v>
      </c>
    </row>
    <row r="682" spans="2:8">
      <c r="B682" t="s">
        <v>25021</v>
      </c>
      <c r="C682">
        <v>321</v>
      </c>
      <c r="D682">
        <v>22</v>
      </c>
      <c r="E682">
        <v>6</v>
      </c>
      <c r="F682">
        <v>0</v>
      </c>
      <c r="G682">
        <v>6</v>
      </c>
      <c r="H682">
        <v>0</v>
      </c>
    </row>
    <row r="683" spans="2:8">
      <c r="B683" t="s">
        <v>25021</v>
      </c>
      <c r="C683">
        <v>322</v>
      </c>
      <c r="D683">
        <v>10</v>
      </c>
      <c r="E683">
        <v>4</v>
      </c>
      <c r="F683">
        <v>0</v>
      </c>
      <c r="G683">
        <v>4</v>
      </c>
      <c r="H683">
        <v>0</v>
      </c>
    </row>
    <row r="684" spans="2:8">
      <c r="B684" t="s">
        <v>25021</v>
      </c>
      <c r="C684">
        <v>322</v>
      </c>
      <c r="D684">
        <v>17</v>
      </c>
      <c r="E684">
        <v>8</v>
      </c>
      <c r="F684">
        <v>0</v>
      </c>
      <c r="G684">
        <v>8</v>
      </c>
      <c r="H684">
        <v>0</v>
      </c>
    </row>
    <row r="685" spans="2:8">
      <c r="B685" t="s">
        <v>25021</v>
      </c>
      <c r="C685">
        <v>322</v>
      </c>
      <c r="D685">
        <v>7</v>
      </c>
      <c r="E685">
        <v>0</v>
      </c>
      <c r="F685">
        <v>0</v>
      </c>
      <c r="G685">
        <v>0</v>
      </c>
      <c r="H685">
        <v>0</v>
      </c>
    </row>
    <row r="686" spans="2:8">
      <c r="B686" t="s">
        <v>25021</v>
      </c>
      <c r="C686">
        <v>324</v>
      </c>
      <c r="D686">
        <v>16</v>
      </c>
      <c r="E686">
        <v>6</v>
      </c>
      <c r="F686">
        <v>0</v>
      </c>
      <c r="G686">
        <v>6</v>
      </c>
      <c r="H686">
        <v>0</v>
      </c>
    </row>
    <row r="687" spans="2:8">
      <c r="B687" t="s">
        <v>25021</v>
      </c>
      <c r="C687">
        <v>325</v>
      </c>
      <c r="D687">
        <v>36</v>
      </c>
      <c r="E687">
        <v>14</v>
      </c>
      <c r="F687">
        <v>0</v>
      </c>
      <c r="G687">
        <v>14</v>
      </c>
      <c r="H687">
        <v>0</v>
      </c>
    </row>
    <row r="688" spans="2:8">
      <c r="B688" t="s">
        <v>25021</v>
      </c>
      <c r="C688">
        <v>325</v>
      </c>
      <c r="D688">
        <v>29</v>
      </c>
      <c r="E688">
        <v>10</v>
      </c>
      <c r="F688">
        <v>0</v>
      </c>
      <c r="G688">
        <v>10</v>
      </c>
      <c r="H688">
        <v>0</v>
      </c>
    </row>
    <row r="689" spans="2:8">
      <c r="B689" t="s">
        <v>25021</v>
      </c>
      <c r="C689">
        <v>325</v>
      </c>
      <c r="D689">
        <v>21</v>
      </c>
      <c r="E689">
        <v>9</v>
      </c>
      <c r="F689">
        <v>0</v>
      </c>
      <c r="G689">
        <v>9</v>
      </c>
      <c r="H689">
        <v>0</v>
      </c>
    </row>
    <row r="690" spans="2:8">
      <c r="B690" t="s">
        <v>25021</v>
      </c>
      <c r="C690">
        <v>325</v>
      </c>
      <c r="D690">
        <v>17</v>
      </c>
      <c r="E690">
        <v>2</v>
      </c>
      <c r="F690">
        <v>0</v>
      </c>
      <c r="G690">
        <v>2</v>
      </c>
      <c r="H690">
        <v>0</v>
      </c>
    </row>
    <row r="691" spans="2:8">
      <c r="B691" t="s">
        <v>25021</v>
      </c>
      <c r="C691">
        <v>325</v>
      </c>
      <c r="D691">
        <v>15</v>
      </c>
      <c r="E691">
        <v>6</v>
      </c>
      <c r="F691">
        <v>0</v>
      </c>
      <c r="G691">
        <v>6</v>
      </c>
      <c r="H691">
        <v>0</v>
      </c>
    </row>
    <row r="692" spans="2:8">
      <c r="B692" t="s">
        <v>25021</v>
      </c>
      <c r="C692">
        <v>326</v>
      </c>
      <c r="D692">
        <v>31</v>
      </c>
      <c r="E692">
        <v>8</v>
      </c>
      <c r="F692">
        <v>0</v>
      </c>
      <c r="G692">
        <v>4</v>
      </c>
      <c r="H692">
        <v>4</v>
      </c>
    </row>
    <row r="693" spans="2:8">
      <c r="B693" t="s">
        <v>25021</v>
      </c>
      <c r="C693">
        <v>326</v>
      </c>
      <c r="D693">
        <v>17</v>
      </c>
      <c r="E693">
        <v>4</v>
      </c>
      <c r="F693">
        <v>0</v>
      </c>
      <c r="G693">
        <v>4</v>
      </c>
      <c r="H693">
        <v>0</v>
      </c>
    </row>
    <row r="694" spans="2:8">
      <c r="B694" t="s">
        <v>25021</v>
      </c>
      <c r="C694">
        <v>326</v>
      </c>
      <c r="D694">
        <v>25</v>
      </c>
      <c r="E694">
        <v>14</v>
      </c>
      <c r="F694">
        <v>0</v>
      </c>
      <c r="G694">
        <v>7</v>
      </c>
      <c r="H694">
        <v>7</v>
      </c>
    </row>
    <row r="695" spans="2:8">
      <c r="B695" t="s">
        <v>25021</v>
      </c>
      <c r="C695">
        <v>326</v>
      </c>
      <c r="D695">
        <v>4</v>
      </c>
      <c r="E695">
        <v>2</v>
      </c>
      <c r="F695">
        <v>0</v>
      </c>
      <c r="G695">
        <v>2</v>
      </c>
      <c r="H695">
        <v>0</v>
      </c>
    </row>
    <row r="696" spans="2:8">
      <c r="B696" t="s">
        <v>25021</v>
      </c>
      <c r="C696">
        <v>327</v>
      </c>
      <c r="D696">
        <v>8</v>
      </c>
      <c r="E696">
        <v>0</v>
      </c>
      <c r="F696">
        <v>0</v>
      </c>
      <c r="G696">
        <v>0</v>
      </c>
      <c r="H696">
        <v>0</v>
      </c>
    </row>
    <row r="697" spans="2:8">
      <c r="B697" t="s">
        <v>25021</v>
      </c>
      <c r="C697">
        <v>327</v>
      </c>
      <c r="D697">
        <v>6</v>
      </c>
      <c r="E697">
        <v>3</v>
      </c>
      <c r="F697">
        <v>0</v>
      </c>
      <c r="G697">
        <v>3</v>
      </c>
      <c r="H697">
        <v>0</v>
      </c>
    </row>
    <row r="698" spans="2:8">
      <c r="B698" t="s">
        <v>25021</v>
      </c>
      <c r="C698">
        <v>328</v>
      </c>
      <c r="D698">
        <v>21</v>
      </c>
      <c r="E698">
        <v>10</v>
      </c>
      <c r="F698">
        <v>0</v>
      </c>
      <c r="G698">
        <v>10</v>
      </c>
      <c r="H698">
        <v>0</v>
      </c>
    </row>
    <row r="699" spans="2:8">
      <c r="B699" t="s">
        <v>25021</v>
      </c>
      <c r="C699">
        <v>328</v>
      </c>
      <c r="D699">
        <v>10</v>
      </c>
      <c r="E699">
        <v>2</v>
      </c>
      <c r="F699">
        <v>0</v>
      </c>
      <c r="G699">
        <v>0</v>
      </c>
      <c r="H699">
        <v>2</v>
      </c>
    </row>
    <row r="700" spans="2:8">
      <c r="B700" t="s">
        <v>25021</v>
      </c>
      <c r="C700">
        <v>329</v>
      </c>
      <c r="D700">
        <v>44</v>
      </c>
      <c r="E700">
        <v>24</v>
      </c>
      <c r="F700">
        <v>0</v>
      </c>
      <c r="G700">
        <v>23</v>
      </c>
      <c r="H700">
        <v>1</v>
      </c>
    </row>
    <row r="701" spans="2:8">
      <c r="B701" t="s">
        <v>25021</v>
      </c>
      <c r="C701">
        <v>329</v>
      </c>
      <c r="D701">
        <v>18</v>
      </c>
      <c r="E701">
        <v>4</v>
      </c>
      <c r="F701">
        <v>0</v>
      </c>
      <c r="G701">
        <v>4</v>
      </c>
      <c r="H701">
        <v>0</v>
      </c>
    </row>
    <row r="702" spans="2:8">
      <c r="B702" t="s">
        <v>25021</v>
      </c>
      <c r="C702">
        <v>330</v>
      </c>
      <c r="D702">
        <v>6</v>
      </c>
      <c r="E702">
        <v>4</v>
      </c>
      <c r="F702">
        <v>0</v>
      </c>
      <c r="G702">
        <v>4</v>
      </c>
      <c r="H702">
        <v>0</v>
      </c>
    </row>
    <row r="703" spans="2:8">
      <c r="B703" t="s">
        <v>25021</v>
      </c>
      <c r="C703">
        <v>331</v>
      </c>
      <c r="D703">
        <v>17</v>
      </c>
      <c r="E703">
        <v>4</v>
      </c>
      <c r="F703">
        <v>0</v>
      </c>
      <c r="G703">
        <v>2</v>
      </c>
      <c r="H703">
        <v>2</v>
      </c>
    </row>
    <row r="704" spans="2:8">
      <c r="B704" t="s">
        <v>25021</v>
      </c>
      <c r="C704">
        <v>331</v>
      </c>
      <c r="D704">
        <v>30</v>
      </c>
      <c r="E704">
        <v>19</v>
      </c>
      <c r="F704">
        <v>0</v>
      </c>
      <c r="G704">
        <v>16</v>
      </c>
      <c r="H704">
        <v>3</v>
      </c>
    </row>
    <row r="705" spans="2:8">
      <c r="B705" t="s">
        <v>25021</v>
      </c>
      <c r="C705">
        <v>332</v>
      </c>
      <c r="D705">
        <v>6</v>
      </c>
      <c r="E705">
        <v>5</v>
      </c>
      <c r="F705">
        <v>0</v>
      </c>
      <c r="G705">
        <v>5</v>
      </c>
      <c r="H705">
        <v>0</v>
      </c>
    </row>
    <row r="706" spans="2:8">
      <c r="B706" t="s">
        <v>25021</v>
      </c>
      <c r="C706">
        <v>333</v>
      </c>
      <c r="D706">
        <v>8</v>
      </c>
      <c r="E706">
        <v>2</v>
      </c>
      <c r="F706">
        <v>0</v>
      </c>
      <c r="G706">
        <v>2</v>
      </c>
      <c r="H706">
        <v>0</v>
      </c>
    </row>
    <row r="707" spans="2:8">
      <c r="B707" t="s">
        <v>25021</v>
      </c>
      <c r="C707">
        <v>333</v>
      </c>
      <c r="D707">
        <v>7</v>
      </c>
      <c r="E707">
        <v>0</v>
      </c>
      <c r="F707">
        <v>0</v>
      </c>
      <c r="G707">
        <v>0</v>
      </c>
      <c r="H707">
        <v>0</v>
      </c>
    </row>
    <row r="708" spans="2:8">
      <c r="B708" t="s">
        <v>25021</v>
      </c>
      <c r="C708">
        <v>333</v>
      </c>
      <c r="D708">
        <v>4</v>
      </c>
      <c r="E708">
        <v>2</v>
      </c>
      <c r="F708">
        <v>0</v>
      </c>
      <c r="G708">
        <v>2</v>
      </c>
      <c r="H708">
        <v>0</v>
      </c>
    </row>
    <row r="709" spans="2:8">
      <c r="B709" t="s">
        <v>25021</v>
      </c>
      <c r="C709">
        <v>334</v>
      </c>
      <c r="D709">
        <v>16</v>
      </c>
      <c r="E709">
        <v>9</v>
      </c>
      <c r="F709">
        <v>0</v>
      </c>
      <c r="G709">
        <v>9</v>
      </c>
      <c r="H709">
        <v>0</v>
      </c>
    </row>
    <row r="710" spans="2:8">
      <c r="B710" t="s">
        <v>25021</v>
      </c>
      <c r="C710">
        <v>334</v>
      </c>
      <c r="D710">
        <v>5</v>
      </c>
      <c r="E710">
        <v>2</v>
      </c>
      <c r="F710">
        <v>0</v>
      </c>
      <c r="G710">
        <v>2</v>
      </c>
      <c r="H710">
        <v>0</v>
      </c>
    </row>
    <row r="711" spans="2:8">
      <c r="B711" t="s">
        <v>25021</v>
      </c>
      <c r="C711">
        <v>335</v>
      </c>
      <c r="D711">
        <v>6</v>
      </c>
      <c r="E711">
        <v>0</v>
      </c>
      <c r="F711">
        <v>0</v>
      </c>
      <c r="G711">
        <v>0</v>
      </c>
      <c r="H711">
        <v>0</v>
      </c>
    </row>
    <row r="712" spans="2:8">
      <c r="B712" t="s">
        <v>25021</v>
      </c>
      <c r="C712">
        <v>336</v>
      </c>
      <c r="D712">
        <v>9</v>
      </c>
      <c r="E712">
        <v>2</v>
      </c>
      <c r="F712">
        <v>0</v>
      </c>
      <c r="G712">
        <v>2</v>
      </c>
      <c r="H712">
        <v>0</v>
      </c>
    </row>
    <row r="713" spans="2:8">
      <c r="B713" t="s">
        <v>25021</v>
      </c>
      <c r="C713">
        <v>338</v>
      </c>
      <c r="D713">
        <v>5</v>
      </c>
      <c r="E713">
        <v>0</v>
      </c>
      <c r="F713">
        <v>0</v>
      </c>
      <c r="G713">
        <v>0</v>
      </c>
      <c r="H713">
        <v>0</v>
      </c>
    </row>
    <row r="714" spans="2:8">
      <c r="B714" t="s">
        <v>25021</v>
      </c>
      <c r="C714">
        <v>338</v>
      </c>
      <c r="D714">
        <v>2</v>
      </c>
      <c r="E714">
        <v>0</v>
      </c>
      <c r="F714">
        <v>0</v>
      </c>
      <c r="G714">
        <v>0</v>
      </c>
      <c r="H714">
        <v>0</v>
      </c>
    </row>
    <row r="715" spans="2:8">
      <c r="B715" t="s">
        <v>25021</v>
      </c>
      <c r="C715">
        <v>339</v>
      </c>
      <c r="D715">
        <v>19</v>
      </c>
      <c r="E715">
        <v>2</v>
      </c>
      <c r="F715">
        <v>0</v>
      </c>
      <c r="G715">
        <v>0</v>
      </c>
      <c r="H715">
        <v>2</v>
      </c>
    </row>
    <row r="716" spans="2:8">
      <c r="B716" t="s">
        <v>25021</v>
      </c>
      <c r="C716">
        <v>339</v>
      </c>
      <c r="D716">
        <v>18</v>
      </c>
      <c r="E716">
        <v>4</v>
      </c>
      <c r="F716">
        <v>0</v>
      </c>
      <c r="G716">
        <v>2</v>
      </c>
      <c r="H716">
        <v>2</v>
      </c>
    </row>
    <row r="717" spans="2:8">
      <c r="B717" t="s">
        <v>25021</v>
      </c>
      <c r="C717">
        <v>340</v>
      </c>
      <c r="D717">
        <v>12</v>
      </c>
      <c r="E717">
        <v>6</v>
      </c>
      <c r="F717">
        <v>0</v>
      </c>
      <c r="G717">
        <v>6</v>
      </c>
      <c r="H717">
        <v>0</v>
      </c>
    </row>
    <row r="718" spans="2:8">
      <c r="B718" t="s">
        <v>25021</v>
      </c>
      <c r="C718">
        <v>341</v>
      </c>
      <c r="D718">
        <v>21</v>
      </c>
      <c r="E718">
        <v>6</v>
      </c>
      <c r="F718">
        <v>0</v>
      </c>
      <c r="G718">
        <v>4</v>
      </c>
      <c r="H718">
        <v>2</v>
      </c>
    </row>
    <row r="719" spans="2:8">
      <c r="B719" t="s">
        <v>25021</v>
      </c>
      <c r="C719">
        <v>344</v>
      </c>
      <c r="D719">
        <v>27</v>
      </c>
      <c r="E719">
        <v>14</v>
      </c>
      <c r="F719">
        <v>0</v>
      </c>
      <c r="G719">
        <v>14</v>
      </c>
      <c r="H719">
        <v>0</v>
      </c>
    </row>
    <row r="720" spans="2:8">
      <c r="B720" t="s">
        <v>25021</v>
      </c>
      <c r="C720">
        <v>345</v>
      </c>
      <c r="D720">
        <v>11</v>
      </c>
      <c r="E720">
        <v>0</v>
      </c>
      <c r="F720">
        <v>0</v>
      </c>
      <c r="G720">
        <v>0</v>
      </c>
      <c r="H720">
        <v>0</v>
      </c>
    </row>
    <row r="721" spans="2:8">
      <c r="B721" t="s">
        <v>25021</v>
      </c>
      <c r="C721">
        <v>346</v>
      </c>
      <c r="D721">
        <v>10</v>
      </c>
      <c r="E721">
        <v>9</v>
      </c>
      <c r="F721">
        <v>0</v>
      </c>
      <c r="G721">
        <v>9</v>
      </c>
      <c r="H721">
        <v>0</v>
      </c>
    </row>
    <row r="722" spans="2:8">
      <c r="B722" t="s">
        <v>25021</v>
      </c>
      <c r="C722">
        <v>346</v>
      </c>
      <c r="D722">
        <v>3</v>
      </c>
      <c r="E722">
        <v>0</v>
      </c>
      <c r="F722">
        <v>0</v>
      </c>
      <c r="G722">
        <v>0</v>
      </c>
      <c r="H722">
        <v>0</v>
      </c>
    </row>
    <row r="723" spans="2:8">
      <c r="B723" t="s">
        <v>25021</v>
      </c>
      <c r="C723">
        <v>347</v>
      </c>
      <c r="D723">
        <v>24</v>
      </c>
      <c r="E723">
        <v>12</v>
      </c>
      <c r="F723">
        <v>0</v>
      </c>
      <c r="G723">
        <v>12</v>
      </c>
      <c r="H723">
        <v>0</v>
      </c>
    </row>
    <row r="724" spans="2:8">
      <c r="B724" t="s">
        <v>25021</v>
      </c>
      <c r="C724">
        <v>348</v>
      </c>
      <c r="D724">
        <v>14</v>
      </c>
      <c r="E724">
        <v>2</v>
      </c>
      <c r="F724">
        <v>0</v>
      </c>
      <c r="G724">
        <v>0</v>
      </c>
      <c r="H724">
        <v>2</v>
      </c>
    </row>
    <row r="725" spans="2:8">
      <c r="B725" t="s">
        <v>25021</v>
      </c>
      <c r="C725">
        <v>349</v>
      </c>
      <c r="D725">
        <v>21</v>
      </c>
      <c r="E725">
        <v>7</v>
      </c>
      <c r="F725">
        <v>0</v>
      </c>
      <c r="G725">
        <v>7</v>
      </c>
      <c r="H725">
        <v>0</v>
      </c>
    </row>
    <row r="726" spans="2:8">
      <c r="B726" t="s">
        <v>25021</v>
      </c>
      <c r="C726">
        <v>349</v>
      </c>
      <c r="D726">
        <v>18</v>
      </c>
      <c r="E726">
        <v>5</v>
      </c>
      <c r="F726">
        <v>0</v>
      </c>
      <c r="G726">
        <v>5</v>
      </c>
      <c r="H726">
        <v>0</v>
      </c>
    </row>
    <row r="727" spans="2:8">
      <c r="B727" t="s">
        <v>25021</v>
      </c>
      <c r="C727">
        <v>350</v>
      </c>
      <c r="D727">
        <v>17</v>
      </c>
      <c r="E727">
        <v>5</v>
      </c>
      <c r="F727">
        <v>0</v>
      </c>
      <c r="G727">
        <v>3</v>
      </c>
      <c r="H727">
        <v>2</v>
      </c>
    </row>
    <row r="728" spans="2:8">
      <c r="B728" t="s">
        <v>25021</v>
      </c>
      <c r="C728">
        <v>350</v>
      </c>
      <c r="D728">
        <v>33</v>
      </c>
      <c r="E728">
        <v>11</v>
      </c>
      <c r="F728">
        <v>0</v>
      </c>
      <c r="G728">
        <v>7</v>
      </c>
      <c r="H728">
        <v>4</v>
      </c>
    </row>
    <row r="729" spans="2:8">
      <c r="B729" t="s">
        <v>25021</v>
      </c>
      <c r="C729">
        <v>352</v>
      </c>
      <c r="D729">
        <v>5</v>
      </c>
      <c r="E729">
        <v>2</v>
      </c>
      <c r="F729">
        <v>0</v>
      </c>
      <c r="G729">
        <v>2</v>
      </c>
      <c r="H729">
        <v>0</v>
      </c>
    </row>
    <row r="730" spans="2:8">
      <c r="B730" t="s">
        <v>25021</v>
      </c>
      <c r="C730">
        <v>353</v>
      </c>
      <c r="D730">
        <v>10</v>
      </c>
      <c r="E730">
        <v>4</v>
      </c>
      <c r="F730">
        <v>0</v>
      </c>
      <c r="G730">
        <v>4</v>
      </c>
      <c r="H730">
        <v>0</v>
      </c>
    </row>
    <row r="731" spans="2:8">
      <c r="B731" t="s">
        <v>25021</v>
      </c>
      <c r="C731">
        <v>354</v>
      </c>
      <c r="D731">
        <v>13</v>
      </c>
      <c r="E731">
        <v>8</v>
      </c>
      <c r="F731">
        <v>0</v>
      </c>
      <c r="G731">
        <v>6</v>
      </c>
      <c r="H731">
        <v>2</v>
      </c>
    </row>
    <row r="732" spans="2:8">
      <c r="B732" t="s">
        <v>25021</v>
      </c>
      <c r="C732">
        <v>354</v>
      </c>
      <c r="D732">
        <v>11</v>
      </c>
      <c r="E732">
        <v>0</v>
      </c>
      <c r="F732">
        <v>0</v>
      </c>
      <c r="G732">
        <v>0</v>
      </c>
      <c r="H732">
        <v>0</v>
      </c>
    </row>
    <row r="733" spans="2:8">
      <c r="B733" t="s">
        <v>25021</v>
      </c>
      <c r="C733">
        <v>355</v>
      </c>
      <c r="D733">
        <v>13</v>
      </c>
      <c r="E733">
        <v>0</v>
      </c>
      <c r="F733">
        <v>0</v>
      </c>
      <c r="G733">
        <v>0</v>
      </c>
      <c r="H733">
        <v>0</v>
      </c>
    </row>
    <row r="734" spans="2:8">
      <c r="B734" t="s">
        <v>25021</v>
      </c>
      <c r="C734">
        <v>356</v>
      </c>
      <c r="D734">
        <v>34</v>
      </c>
      <c r="E734">
        <v>22</v>
      </c>
      <c r="F734">
        <v>0</v>
      </c>
      <c r="G734">
        <v>19</v>
      </c>
      <c r="H734">
        <v>3</v>
      </c>
    </row>
    <row r="735" spans="2:8">
      <c r="B735" t="s">
        <v>25021</v>
      </c>
      <c r="C735">
        <v>356</v>
      </c>
      <c r="D735">
        <v>9</v>
      </c>
      <c r="E735">
        <v>0</v>
      </c>
      <c r="F735">
        <v>0</v>
      </c>
      <c r="G735">
        <v>0</v>
      </c>
      <c r="H735">
        <v>0</v>
      </c>
    </row>
    <row r="736" spans="2:8">
      <c r="B736" t="s">
        <v>25021</v>
      </c>
      <c r="C736">
        <v>357</v>
      </c>
      <c r="D736">
        <v>35</v>
      </c>
      <c r="E736">
        <v>10</v>
      </c>
      <c r="F736">
        <v>0</v>
      </c>
      <c r="G736">
        <v>8</v>
      </c>
      <c r="H736">
        <v>2</v>
      </c>
    </row>
    <row r="737" spans="2:8">
      <c r="B737" t="s">
        <v>25021</v>
      </c>
      <c r="C737">
        <v>357</v>
      </c>
      <c r="D737">
        <v>28</v>
      </c>
      <c r="E737">
        <v>13</v>
      </c>
      <c r="F737">
        <v>0</v>
      </c>
      <c r="G737">
        <v>11</v>
      </c>
      <c r="H737">
        <v>2</v>
      </c>
    </row>
    <row r="738" spans="2:8">
      <c r="B738" t="s">
        <v>25021</v>
      </c>
      <c r="C738">
        <v>358</v>
      </c>
      <c r="D738">
        <v>31</v>
      </c>
      <c r="E738">
        <v>13</v>
      </c>
      <c r="F738">
        <v>0</v>
      </c>
      <c r="G738">
        <v>13</v>
      </c>
      <c r="H738">
        <v>0</v>
      </c>
    </row>
    <row r="739" spans="2:8">
      <c r="B739" t="s">
        <v>25021</v>
      </c>
      <c r="C739">
        <v>358</v>
      </c>
      <c r="D739">
        <v>17</v>
      </c>
      <c r="E739">
        <v>8</v>
      </c>
      <c r="F739">
        <v>0</v>
      </c>
      <c r="G739">
        <v>8</v>
      </c>
      <c r="H739">
        <v>0</v>
      </c>
    </row>
    <row r="740" spans="2:8">
      <c r="B740" t="s">
        <v>25021</v>
      </c>
      <c r="C740">
        <v>358</v>
      </c>
      <c r="D740">
        <v>5</v>
      </c>
      <c r="E740">
        <v>2</v>
      </c>
      <c r="F740">
        <v>0</v>
      </c>
      <c r="G740">
        <v>2</v>
      </c>
      <c r="H740">
        <v>0</v>
      </c>
    </row>
    <row r="741" spans="2:8">
      <c r="B741" t="s">
        <v>25021</v>
      </c>
      <c r="C741">
        <v>359</v>
      </c>
      <c r="D741">
        <v>16</v>
      </c>
      <c r="E741">
        <v>4</v>
      </c>
      <c r="F741">
        <v>0</v>
      </c>
      <c r="G741">
        <v>4</v>
      </c>
      <c r="H741">
        <v>0</v>
      </c>
    </row>
    <row r="742" spans="2:8">
      <c r="B742" t="s">
        <v>25021</v>
      </c>
      <c r="C742">
        <v>359</v>
      </c>
      <c r="D742">
        <v>24</v>
      </c>
      <c r="E742">
        <v>12</v>
      </c>
      <c r="F742">
        <v>0</v>
      </c>
      <c r="G742">
        <v>12</v>
      </c>
      <c r="H742">
        <v>0</v>
      </c>
    </row>
    <row r="743" spans="2:8">
      <c r="B743" t="s">
        <v>25021</v>
      </c>
      <c r="C743">
        <v>359</v>
      </c>
      <c r="D743">
        <v>7</v>
      </c>
      <c r="E743">
        <v>3</v>
      </c>
      <c r="F743">
        <v>0</v>
      </c>
      <c r="G743">
        <v>3</v>
      </c>
      <c r="H743">
        <v>0</v>
      </c>
    </row>
    <row r="744" spans="2:8">
      <c r="B744" t="s">
        <v>25021</v>
      </c>
      <c r="C744">
        <v>362</v>
      </c>
      <c r="D744">
        <v>2</v>
      </c>
      <c r="E744">
        <v>0</v>
      </c>
      <c r="F744">
        <v>0</v>
      </c>
      <c r="G744">
        <v>0</v>
      </c>
      <c r="H744">
        <v>0</v>
      </c>
    </row>
    <row r="745" spans="2:8">
      <c r="B745" t="s">
        <v>25021</v>
      </c>
      <c r="C745">
        <v>363</v>
      </c>
      <c r="D745">
        <v>9</v>
      </c>
      <c r="E745">
        <v>4</v>
      </c>
      <c r="F745">
        <v>0</v>
      </c>
      <c r="G745">
        <v>4</v>
      </c>
      <c r="H745">
        <v>0</v>
      </c>
    </row>
    <row r="746" spans="2:8">
      <c r="B746" t="s">
        <v>25021</v>
      </c>
      <c r="C746">
        <v>363</v>
      </c>
      <c r="D746">
        <v>12</v>
      </c>
      <c r="E746">
        <v>4</v>
      </c>
      <c r="F746">
        <v>0</v>
      </c>
      <c r="G746">
        <v>2</v>
      </c>
      <c r="H746">
        <v>2</v>
      </c>
    </row>
    <row r="747" spans="2:8">
      <c r="B747" t="s">
        <v>25021</v>
      </c>
      <c r="C747">
        <v>364</v>
      </c>
      <c r="D747">
        <v>58</v>
      </c>
      <c r="E747">
        <v>34</v>
      </c>
      <c r="F747">
        <v>0</v>
      </c>
      <c r="G747">
        <v>30</v>
      </c>
      <c r="H747">
        <v>4</v>
      </c>
    </row>
    <row r="748" spans="2:8">
      <c r="B748" t="s">
        <v>25021</v>
      </c>
      <c r="C748">
        <v>365</v>
      </c>
      <c r="D748">
        <v>24</v>
      </c>
      <c r="E748">
        <v>10</v>
      </c>
      <c r="F748">
        <v>0</v>
      </c>
      <c r="G748">
        <v>6</v>
      </c>
      <c r="H748">
        <v>4</v>
      </c>
    </row>
    <row r="749" spans="2:8">
      <c r="B749" t="s">
        <v>25021</v>
      </c>
      <c r="C749">
        <v>365</v>
      </c>
      <c r="D749">
        <v>23</v>
      </c>
      <c r="E749">
        <v>14</v>
      </c>
      <c r="F749">
        <v>0</v>
      </c>
      <c r="G749">
        <v>13</v>
      </c>
      <c r="H749">
        <v>1</v>
      </c>
    </row>
    <row r="750" spans="2:8">
      <c r="B750" t="s">
        <v>25021</v>
      </c>
      <c r="C750">
        <v>367</v>
      </c>
      <c r="D750">
        <v>18</v>
      </c>
      <c r="E750">
        <v>0</v>
      </c>
      <c r="F750">
        <v>0</v>
      </c>
      <c r="G750">
        <v>0</v>
      </c>
      <c r="H750">
        <v>0</v>
      </c>
    </row>
    <row r="751" spans="2:8">
      <c r="B751" t="s">
        <v>25021</v>
      </c>
      <c r="C751">
        <v>368</v>
      </c>
      <c r="D751">
        <v>39</v>
      </c>
      <c r="E751">
        <v>22</v>
      </c>
      <c r="F751">
        <v>0</v>
      </c>
      <c r="G751">
        <v>21</v>
      </c>
      <c r="H751">
        <v>1</v>
      </c>
    </row>
    <row r="752" spans="2:8">
      <c r="B752" t="s">
        <v>25021</v>
      </c>
      <c r="C752">
        <v>368</v>
      </c>
      <c r="D752">
        <v>21</v>
      </c>
      <c r="E752">
        <v>4</v>
      </c>
      <c r="F752">
        <v>0</v>
      </c>
      <c r="G752">
        <v>4</v>
      </c>
      <c r="H752">
        <v>0</v>
      </c>
    </row>
    <row r="753" spans="2:8">
      <c r="B753" t="s">
        <v>25021</v>
      </c>
      <c r="C753">
        <v>370</v>
      </c>
      <c r="D753">
        <v>10</v>
      </c>
      <c r="E753">
        <v>4</v>
      </c>
      <c r="F753">
        <v>0</v>
      </c>
      <c r="G753">
        <v>4</v>
      </c>
      <c r="H753">
        <v>0</v>
      </c>
    </row>
    <row r="754" spans="2:8">
      <c r="B754" t="s">
        <v>25021</v>
      </c>
      <c r="C754">
        <v>371</v>
      </c>
      <c r="D754">
        <v>27</v>
      </c>
      <c r="E754">
        <v>8</v>
      </c>
      <c r="F754">
        <v>0</v>
      </c>
      <c r="G754">
        <v>8</v>
      </c>
      <c r="H754">
        <v>0</v>
      </c>
    </row>
    <row r="755" spans="2:8">
      <c r="B755" t="s">
        <v>25021</v>
      </c>
      <c r="C755">
        <v>371</v>
      </c>
      <c r="D755">
        <v>14</v>
      </c>
      <c r="E755">
        <v>4</v>
      </c>
      <c r="F755">
        <v>0</v>
      </c>
      <c r="G755">
        <v>4</v>
      </c>
      <c r="H755">
        <v>0</v>
      </c>
    </row>
    <row r="756" spans="2:8">
      <c r="B756" t="s">
        <v>25021</v>
      </c>
      <c r="C756">
        <v>371</v>
      </c>
      <c r="D756">
        <v>16</v>
      </c>
      <c r="E756">
        <v>2</v>
      </c>
      <c r="F756">
        <v>0</v>
      </c>
      <c r="G756">
        <v>2</v>
      </c>
      <c r="H756">
        <v>0</v>
      </c>
    </row>
    <row r="757" spans="2:8">
      <c r="B757" t="s">
        <v>25021</v>
      </c>
      <c r="C757">
        <v>371</v>
      </c>
      <c r="D757">
        <v>5</v>
      </c>
      <c r="E757">
        <v>2</v>
      </c>
      <c r="F757">
        <v>0</v>
      </c>
      <c r="G757">
        <v>2</v>
      </c>
      <c r="H757">
        <v>0</v>
      </c>
    </row>
    <row r="758" spans="2:8">
      <c r="B758" t="s">
        <v>25021</v>
      </c>
      <c r="C758">
        <v>373</v>
      </c>
      <c r="D758">
        <v>48</v>
      </c>
      <c r="E758">
        <v>15</v>
      </c>
      <c r="F758">
        <v>0</v>
      </c>
      <c r="G758">
        <v>14</v>
      </c>
      <c r="H758">
        <v>1</v>
      </c>
    </row>
    <row r="759" spans="2:8">
      <c r="B759" t="s">
        <v>25021</v>
      </c>
      <c r="C759">
        <v>373</v>
      </c>
      <c r="D759">
        <v>48</v>
      </c>
      <c r="E759">
        <v>13</v>
      </c>
      <c r="F759">
        <v>0</v>
      </c>
      <c r="G759">
        <v>9</v>
      </c>
      <c r="H759">
        <v>4</v>
      </c>
    </row>
    <row r="760" spans="2:8">
      <c r="B760" t="s">
        <v>25021</v>
      </c>
      <c r="C760">
        <v>373</v>
      </c>
      <c r="D760">
        <v>7</v>
      </c>
      <c r="E760">
        <v>0</v>
      </c>
      <c r="F760">
        <v>0</v>
      </c>
      <c r="G760">
        <v>0</v>
      </c>
      <c r="H760">
        <v>0</v>
      </c>
    </row>
    <row r="761" spans="2:8">
      <c r="B761" t="s">
        <v>25021</v>
      </c>
      <c r="C761">
        <v>374</v>
      </c>
      <c r="D761">
        <v>36</v>
      </c>
      <c r="E761">
        <v>17</v>
      </c>
      <c r="F761">
        <v>0</v>
      </c>
      <c r="G761">
        <v>15</v>
      </c>
      <c r="H761">
        <v>2</v>
      </c>
    </row>
    <row r="762" spans="2:8">
      <c r="B762" t="s">
        <v>25021</v>
      </c>
      <c r="C762">
        <v>375</v>
      </c>
      <c r="D762">
        <v>8</v>
      </c>
      <c r="E762">
        <v>2</v>
      </c>
      <c r="F762">
        <v>0</v>
      </c>
      <c r="G762">
        <v>2</v>
      </c>
      <c r="H762">
        <v>0</v>
      </c>
    </row>
    <row r="763" spans="2:8">
      <c r="B763" t="s">
        <v>25021</v>
      </c>
      <c r="C763">
        <v>377</v>
      </c>
      <c r="D763">
        <v>29</v>
      </c>
      <c r="E763">
        <v>9</v>
      </c>
      <c r="F763">
        <v>0</v>
      </c>
      <c r="G763">
        <v>7</v>
      </c>
      <c r="H763">
        <v>2</v>
      </c>
    </row>
    <row r="764" spans="2:8">
      <c r="B764" t="s">
        <v>25021</v>
      </c>
      <c r="C764">
        <v>377</v>
      </c>
      <c r="D764">
        <v>8</v>
      </c>
      <c r="E764">
        <v>2</v>
      </c>
      <c r="F764">
        <v>0</v>
      </c>
      <c r="G764">
        <v>2</v>
      </c>
      <c r="H764">
        <v>0</v>
      </c>
    </row>
    <row r="765" spans="2:8">
      <c r="B765" t="s">
        <v>25021</v>
      </c>
      <c r="C765">
        <v>378</v>
      </c>
      <c r="D765">
        <v>17</v>
      </c>
      <c r="E765">
        <v>6</v>
      </c>
      <c r="F765">
        <v>0</v>
      </c>
      <c r="G765">
        <v>6</v>
      </c>
      <c r="H765">
        <v>0</v>
      </c>
    </row>
    <row r="766" spans="2:8">
      <c r="B766" t="s">
        <v>25021</v>
      </c>
      <c r="C766">
        <v>378</v>
      </c>
      <c r="D766">
        <v>11</v>
      </c>
      <c r="E766">
        <v>4</v>
      </c>
      <c r="F766">
        <v>0</v>
      </c>
      <c r="G766">
        <v>4</v>
      </c>
      <c r="H766">
        <v>0</v>
      </c>
    </row>
    <row r="767" spans="2:8">
      <c r="B767" t="s">
        <v>25021</v>
      </c>
      <c r="C767">
        <v>378</v>
      </c>
      <c r="D767">
        <v>34</v>
      </c>
      <c r="E767">
        <v>15</v>
      </c>
      <c r="F767">
        <v>0</v>
      </c>
      <c r="G767">
        <v>15</v>
      </c>
      <c r="H767">
        <v>0</v>
      </c>
    </row>
    <row r="768" spans="2:8">
      <c r="B768" t="s">
        <v>25021</v>
      </c>
      <c r="C768">
        <v>380</v>
      </c>
      <c r="D768">
        <v>19</v>
      </c>
      <c r="E768">
        <v>11</v>
      </c>
      <c r="F768">
        <v>0</v>
      </c>
      <c r="G768">
        <v>11</v>
      </c>
      <c r="H768">
        <v>0</v>
      </c>
    </row>
    <row r="769" spans="2:8">
      <c r="B769" t="s">
        <v>25021</v>
      </c>
      <c r="C769">
        <v>381</v>
      </c>
      <c r="D769">
        <v>4</v>
      </c>
      <c r="E769">
        <v>0</v>
      </c>
      <c r="F769">
        <v>0</v>
      </c>
      <c r="G769">
        <v>0</v>
      </c>
      <c r="H769">
        <v>0</v>
      </c>
    </row>
    <row r="770" spans="2:8">
      <c r="B770" t="s">
        <v>25021</v>
      </c>
      <c r="C770">
        <v>381</v>
      </c>
      <c r="D770">
        <v>26</v>
      </c>
      <c r="E770">
        <v>5</v>
      </c>
      <c r="F770">
        <v>0</v>
      </c>
      <c r="G770">
        <v>5</v>
      </c>
      <c r="H770">
        <v>0</v>
      </c>
    </row>
    <row r="771" spans="2:8">
      <c r="B771" t="s">
        <v>25021</v>
      </c>
      <c r="C771">
        <v>381</v>
      </c>
      <c r="D771">
        <v>22</v>
      </c>
      <c r="E771">
        <v>7</v>
      </c>
      <c r="F771">
        <v>0</v>
      </c>
      <c r="G771">
        <v>7</v>
      </c>
      <c r="H771">
        <v>0</v>
      </c>
    </row>
    <row r="772" spans="2:8">
      <c r="B772" t="s">
        <v>25021</v>
      </c>
      <c r="C772">
        <v>382</v>
      </c>
      <c r="D772">
        <v>4</v>
      </c>
      <c r="E772">
        <v>0</v>
      </c>
      <c r="F772">
        <v>0</v>
      </c>
      <c r="G772">
        <v>0</v>
      </c>
      <c r="H772">
        <v>0</v>
      </c>
    </row>
    <row r="773" spans="2:8">
      <c r="B773" t="s">
        <v>25021</v>
      </c>
      <c r="C773">
        <v>383</v>
      </c>
      <c r="D773">
        <v>21</v>
      </c>
      <c r="E773">
        <v>6</v>
      </c>
      <c r="F773">
        <v>0</v>
      </c>
      <c r="G773">
        <v>6</v>
      </c>
      <c r="H773">
        <v>0</v>
      </c>
    </row>
    <row r="774" spans="2:8">
      <c r="B774" t="s">
        <v>25021</v>
      </c>
      <c r="C774">
        <v>384</v>
      </c>
      <c r="D774">
        <v>16</v>
      </c>
      <c r="E774">
        <v>6</v>
      </c>
      <c r="F774">
        <v>0</v>
      </c>
      <c r="G774">
        <v>4</v>
      </c>
      <c r="H774">
        <v>2</v>
      </c>
    </row>
    <row r="775" spans="2:8">
      <c r="B775" t="s">
        <v>25021</v>
      </c>
      <c r="C775">
        <v>384</v>
      </c>
      <c r="D775">
        <v>30</v>
      </c>
      <c r="E775">
        <v>17</v>
      </c>
      <c r="F775">
        <v>0</v>
      </c>
      <c r="G775">
        <v>16</v>
      </c>
      <c r="H775">
        <v>1</v>
      </c>
    </row>
    <row r="776" spans="2:8">
      <c r="B776" t="s">
        <v>25021</v>
      </c>
      <c r="C776">
        <v>384</v>
      </c>
      <c r="D776">
        <v>14</v>
      </c>
      <c r="E776">
        <v>5</v>
      </c>
      <c r="F776">
        <v>0</v>
      </c>
      <c r="G776">
        <v>3</v>
      </c>
      <c r="H776">
        <v>2</v>
      </c>
    </row>
    <row r="777" spans="2:8">
      <c r="B777" t="s">
        <v>25021</v>
      </c>
      <c r="C777">
        <v>385</v>
      </c>
      <c r="D777">
        <v>11</v>
      </c>
      <c r="E777">
        <v>3</v>
      </c>
      <c r="F777">
        <v>0</v>
      </c>
      <c r="G777">
        <v>3</v>
      </c>
      <c r="H777">
        <v>0</v>
      </c>
    </row>
    <row r="778" spans="2:8">
      <c r="B778" t="s">
        <v>25021</v>
      </c>
      <c r="C778">
        <v>386</v>
      </c>
      <c r="D778">
        <v>36</v>
      </c>
      <c r="E778">
        <v>20</v>
      </c>
      <c r="F778">
        <v>0</v>
      </c>
      <c r="G778">
        <v>20</v>
      </c>
      <c r="H778">
        <v>0</v>
      </c>
    </row>
    <row r="779" spans="2:8">
      <c r="B779" t="s">
        <v>25021</v>
      </c>
      <c r="C779">
        <v>387</v>
      </c>
      <c r="D779">
        <v>44</v>
      </c>
      <c r="E779">
        <v>22</v>
      </c>
      <c r="F779">
        <v>0</v>
      </c>
      <c r="G779">
        <v>22</v>
      </c>
      <c r="H779">
        <v>0</v>
      </c>
    </row>
    <row r="780" spans="2:8">
      <c r="B780" t="s">
        <v>25021</v>
      </c>
      <c r="C780">
        <v>387</v>
      </c>
      <c r="D780">
        <v>13</v>
      </c>
      <c r="E780">
        <v>2</v>
      </c>
      <c r="F780">
        <v>0</v>
      </c>
      <c r="G780">
        <v>2</v>
      </c>
      <c r="H780">
        <v>0</v>
      </c>
    </row>
    <row r="781" spans="2:8">
      <c r="B781" t="s">
        <v>25021</v>
      </c>
      <c r="C781">
        <v>388</v>
      </c>
      <c r="D781">
        <v>11</v>
      </c>
      <c r="E781">
        <v>2</v>
      </c>
      <c r="F781">
        <v>0</v>
      </c>
      <c r="G781">
        <v>2</v>
      </c>
      <c r="H781">
        <v>0</v>
      </c>
    </row>
    <row r="782" spans="2:8">
      <c r="B782" t="s">
        <v>25021</v>
      </c>
      <c r="C782">
        <v>389</v>
      </c>
      <c r="D782">
        <v>28</v>
      </c>
      <c r="E782">
        <v>15</v>
      </c>
      <c r="F782">
        <v>0</v>
      </c>
      <c r="G782">
        <v>13</v>
      </c>
      <c r="H782">
        <v>2</v>
      </c>
    </row>
    <row r="783" spans="2:8">
      <c r="B783" t="s">
        <v>25021</v>
      </c>
      <c r="C783">
        <v>389</v>
      </c>
      <c r="D783">
        <v>13</v>
      </c>
      <c r="E783">
        <v>4</v>
      </c>
      <c r="F783">
        <v>0</v>
      </c>
      <c r="G783">
        <v>4</v>
      </c>
      <c r="H783">
        <v>0</v>
      </c>
    </row>
    <row r="784" spans="2:8">
      <c r="B784" t="s">
        <v>25021</v>
      </c>
      <c r="C784">
        <v>390</v>
      </c>
      <c r="D784">
        <v>44</v>
      </c>
      <c r="E784">
        <v>18</v>
      </c>
      <c r="F784">
        <v>0</v>
      </c>
      <c r="G784">
        <v>11</v>
      </c>
      <c r="H784">
        <v>7</v>
      </c>
    </row>
    <row r="785" spans="2:8">
      <c r="B785" t="s">
        <v>25021</v>
      </c>
      <c r="C785">
        <v>391</v>
      </c>
      <c r="D785">
        <v>24</v>
      </c>
      <c r="E785">
        <v>13</v>
      </c>
      <c r="F785">
        <v>0</v>
      </c>
      <c r="G785">
        <v>10</v>
      </c>
      <c r="H785">
        <v>3</v>
      </c>
    </row>
    <row r="786" spans="2:8">
      <c r="B786" t="s">
        <v>25021</v>
      </c>
      <c r="C786">
        <v>391</v>
      </c>
      <c r="D786">
        <v>11</v>
      </c>
      <c r="E786">
        <v>4</v>
      </c>
      <c r="F786">
        <v>0</v>
      </c>
      <c r="G786">
        <v>2</v>
      </c>
      <c r="H786">
        <v>2</v>
      </c>
    </row>
    <row r="787" spans="2:8">
      <c r="B787" t="s">
        <v>25021</v>
      </c>
      <c r="C787">
        <v>392</v>
      </c>
      <c r="D787">
        <v>29</v>
      </c>
      <c r="E787">
        <v>8</v>
      </c>
      <c r="F787">
        <v>0</v>
      </c>
      <c r="G787">
        <v>7</v>
      </c>
      <c r="H787">
        <v>1</v>
      </c>
    </row>
    <row r="788" spans="2:8">
      <c r="B788" t="s">
        <v>25021</v>
      </c>
      <c r="C788">
        <v>392</v>
      </c>
      <c r="D788">
        <v>2</v>
      </c>
      <c r="E788">
        <v>0</v>
      </c>
      <c r="F788">
        <v>0</v>
      </c>
      <c r="G788">
        <v>0</v>
      </c>
      <c r="H788">
        <v>0</v>
      </c>
    </row>
    <row r="789" spans="2:8">
      <c r="B789" t="s">
        <v>25021</v>
      </c>
      <c r="C789">
        <v>393</v>
      </c>
      <c r="D789">
        <v>8</v>
      </c>
      <c r="E789">
        <v>2</v>
      </c>
      <c r="F789">
        <v>0</v>
      </c>
      <c r="G789">
        <v>2</v>
      </c>
      <c r="H789">
        <v>0</v>
      </c>
    </row>
    <row r="790" spans="2:8">
      <c r="B790" t="s">
        <v>25021</v>
      </c>
      <c r="C790">
        <v>394</v>
      </c>
      <c r="D790">
        <v>28</v>
      </c>
      <c r="E790">
        <v>8</v>
      </c>
      <c r="F790">
        <v>0</v>
      </c>
      <c r="G790">
        <v>8</v>
      </c>
      <c r="H790">
        <v>0</v>
      </c>
    </row>
    <row r="791" spans="2:8">
      <c r="B791" t="s">
        <v>25021</v>
      </c>
      <c r="C791">
        <v>395</v>
      </c>
      <c r="D791">
        <v>26</v>
      </c>
      <c r="E791">
        <v>2</v>
      </c>
      <c r="F791">
        <v>0</v>
      </c>
      <c r="G791">
        <v>0</v>
      </c>
      <c r="H791">
        <v>2</v>
      </c>
    </row>
    <row r="792" spans="2:8">
      <c r="B792" t="s">
        <v>25021</v>
      </c>
      <c r="C792">
        <v>395</v>
      </c>
      <c r="D792">
        <v>30</v>
      </c>
      <c r="E792">
        <v>14</v>
      </c>
      <c r="F792">
        <v>0</v>
      </c>
      <c r="G792">
        <v>6</v>
      </c>
      <c r="H792">
        <v>8</v>
      </c>
    </row>
    <row r="793" spans="2:8">
      <c r="B793" t="s">
        <v>25021</v>
      </c>
      <c r="C793">
        <v>395</v>
      </c>
      <c r="D793">
        <v>16</v>
      </c>
      <c r="E793">
        <v>10</v>
      </c>
      <c r="F793">
        <v>0</v>
      </c>
      <c r="G793">
        <v>6</v>
      </c>
      <c r="H793">
        <v>4</v>
      </c>
    </row>
    <row r="794" spans="2:8">
      <c r="B794" t="s">
        <v>25021</v>
      </c>
      <c r="C794">
        <v>396</v>
      </c>
      <c r="D794">
        <v>26</v>
      </c>
      <c r="E794">
        <v>12</v>
      </c>
      <c r="F794">
        <v>3</v>
      </c>
      <c r="G794">
        <v>7</v>
      </c>
      <c r="H794">
        <v>2</v>
      </c>
    </row>
    <row r="795" spans="2:8">
      <c r="B795" t="s">
        <v>25021</v>
      </c>
      <c r="C795">
        <v>396</v>
      </c>
      <c r="D795">
        <v>31</v>
      </c>
      <c r="E795">
        <v>19</v>
      </c>
      <c r="F795">
        <v>0</v>
      </c>
      <c r="G795">
        <v>16</v>
      </c>
      <c r="H795">
        <v>3</v>
      </c>
    </row>
    <row r="796" spans="2:8">
      <c r="B796" t="s">
        <v>25021</v>
      </c>
      <c r="C796">
        <v>396</v>
      </c>
      <c r="D796">
        <v>19</v>
      </c>
      <c r="E796">
        <v>2</v>
      </c>
      <c r="F796">
        <v>0</v>
      </c>
      <c r="G796">
        <v>0</v>
      </c>
      <c r="H796">
        <v>2</v>
      </c>
    </row>
    <row r="797" spans="2:8">
      <c r="B797" t="s">
        <v>25021</v>
      </c>
      <c r="C797">
        <v>396</v>
      </c>
      <c r="D797">
        <v>10</v>
      </c>
      <c r="E797">
        <v>2</v>
      </c>
      <c r="F797">
        <v>0</v>
      </c>
      <c r="G797">
        <v>2</v>
      </c>
      <c r="H797">
        <v>0</v>
      </c>
    </row>
    <row r="798" spans="2:8">
      <c r="B798" t="s">
        <v>25021</v>
      </c>
      <c r="C798">
        <v>396</v>
      </c>
      <c r="D798">
        <v>26</v>
      </c>
      <c r="E798">
        <v>8</v>
      </c>
      <c r="F798">
        <v>0</v>
      </c>
      <c r="G798">
        <v>8</v>
      </c>
      <c r="H798">
        <v>0</v>
      </c>
    </row>
    <row r="799" spans="2:8">
      <c r="B799" t="s">
        <v>25021</v>
      </c>
      <c r="C799">
        <v>396</v>
      </c>
      <c r="D799">
        <v>4</v>
      </c>
      <c r="E799">
        <v>0</v>
      </c>
      <c r="F799">
        <v>0</v>
      </c>
      <c r="G799">
        <v>0</v>
      </c>
      <c r="H799">
        <v>0</v>
      </c>
    </row>
    <row r="800" spans="2:8">
      <c r="B800" t="s">
        <v>25021</v>
      </c>
      <c r="C800">
        <v>397</v>
      </c>
      <c r="D800">
        <v>19</v>
      </c>
      <c r="E800">
        <v>9</v>
      </c>
      <c r="F800">
        <v>0</v>
      </c>
      <c r="G800">
        <v>5</v>
      </c>
      <c r="H800">
        <v>4</v>
      </c>
    </row>
    <row r="801" spans="2:8">
      <c r="B801" t="s">
        <v>25021</v>
      </c>
      <c r="C801">
        <v>397</v>
      </c>
      <c r="D801">
        <v>15</v>
      </c>
      <c r="E801">
        <v>5</v>
      </c>
      <c r="F801">
        <v>0</v>
      </c>
      <c r="G801">
        <v>5</v>
      </c>
      <c r="H801">
        <v>0</v>
      </c>
    </row>
    <row r="802" spans="2:8">
      <c r="B802" t="s">
        <v>25021</v>
      </c>
      <c r="C802">
        <v>398</v>
      </c>
      <c r="D802">
        <v>37</v>
      </c>
      <c r="E802">
        <v>14</v>
      </c>
      <c r="F802">
        <v>0</v>
      </c>
      <c r="G802">
        <v>9</v>
      </c>
      <c r="H802">
        <v>5</v>
      </c>
    </row>
    <row r="803" spans="2:8">
      <c r="B803" t="s">
        <v>25021</v>
      </c>
      <c r="C803">
        <v>399</v>
      </c>
      <c r="D803">
        <v>16</v>
      </c>
      <c r="E803">
        <v>4</v>
      </c>
      <c r="F803">
        <v>0</v>
      </c>
      <c r="G803">
        <v>4</v>
      </c>
      <c r="H803">
        <v>0</v>
      </c>
    </row>
    <row r="804" spans="2:8">
      <c r="B804" t="s">
        <v>25021</v>
      </c>
      <c r="C804">
        <v>400</v>
      </c>
      <c r="D804">
        <v>36</v>
      </c>
      <c r="E804">
        <v>13</v>
      </c>
      <c r="F804">
        <v>0</v>
      </c>
      <c r="G804">
        <v>12</v>
      </c>
      <c r="H804">
        <v>1</v>
      </c>
    </row>
    <row r="805" spans="2:8">
      <c r="B805" t="s">
        <v>25021</v>
      </c>
      <c r="C805">
        <v>400</v>
      </c>
      <c r="D805">
        <v>45</v>
      </c>
      <c r="E805">
        <v>17</v>
      </c>
      <c r="F805">
        <v>0</v>
      </c>
      <c r="G805">
        <v>13</v>
      </c>
      <c r="H805">
        <v>4</v>
      </c>
    </row>
    <row r="806" spans="2:8">
      <c r="B806" t="s">
        <v>25021</v>
      </c>
      <c r="C806">
        <v>401</v>
      </c>
      <c r="D806">
        <v>41</v>
      </c>
      <c r="E806">
        <v>15</v>
      </c>
      <c r="F806">
        <v>0</v>
      </c>
      <c r="G806">
        <v>15</v>
      </c>
      <c r="H806">
        <v>0</v>
      </c>
    </row>
    <row r="807" spans="2:8">
      <c r="B807" t="s">
        <v>25021</v>
      </c>
      <c r="C807">
        <v>401</v>
      </c>
      <c r="D807">
        <v>18</v>
      </c>
      <c r="E807">
        <v>9</v>
      </c>
      <c r="F807">
        <v>0</v>
      </c>
      <c r="G807">
        <v>9</v>
      </c>
      <c r="H807">
        <v>0</v>
      </c>
    </row>
    <row r="808" spans="2:8">
      <c r="B808" t="s">
        <v>25021</v>
      </c>
      <c r="C808">
        <v>402</v>
      </c>
      <c r="D808">
        <v>17</v>
      </c>
      <c r="E808">
        <v>2</v>
      </c>
      <c r="F808">
        <v>0</v>
      </c>
      <c r="G808">
        <v>0</v>
      </c>
      <c r="H808">
        <v>2</v>
      </c>
    </row>
    <row r="809" spans="2:8">
      <c r="B809" t="s">
        <v>25021</v>
      </c>
      <c r="C809">
        <v>403</v>
      </c>
      <c r="D809">
        <v>37</v>
      </c>
      <c r="E809">
        <v>12</v>
      </c>
      <c r="F809">
        <v>0</v>
      </c>
      <c r="G809">
        <v>12</v>
      </c>
      <c r="H809">
        <v>0</v>
      </c>
    </row>
    <row r="810" spans="2:8">
      <c r="B810" t="s">
        <v>25021</v>
      </c>
      <c r="C810">
        <v>403</v>
      </c>
      <c r="D810">
        <v>3</v>
      </c>
      <c r="E810">
        <v>0</v>
      </c>
      <c r="F810">
        <v>0</v>
      </c>
      <c r="G810">
        <v>0</v>
      </c>
      <c r="H810">
        <v>0</v>
      </c>
    </row>
    <row r="811" spans="2:8">
      <c r="B811" t="s">
        <v>25021</v>
      </c>
      <c r="C811">
        <v>404</v>
      </c>
      <c r="D811">
        <v>8</v>
      </c>
      <c r="E811">
        <v>3</v>
      </c>
      <c r="F811">
        <v>0</v>
      </c>
      <c r="G811">
        <v>2</v>
      </c>
      <c r="H811">
        <v>1</v>
      </c>
    </row>
    <row r="812" spans="2:8">
      <c r="B812" t="s">
        <v>25021</v>
      </c>
      <c r="C812">
        <v>405</v>
      </c>
      <c r="D812">
        <v>11</v>
      </c>
      <c r="E812">
        <v>0</v>
      </c>
      <c r="F812">
        <v>0</v>
      </c>
      <c r="G812">
        <v>0</v>
      </c>
      <c r="H812">
        <v>0</v>
      </c>
    </row>
    <row r="813" spans="2:8">
      <c r="B813" t="s">
        <v>25021</v>
      </c>
      <c r="C813">
        <v>405</v>
      </c>
      <c r="D813">
        <v>23</v>
      </c>
      <c r="E813">
        <v>8</v>
      </c>
      <c r="F813">
        <v>0</v>
      </c>
      <c r="G813">
        <v>7</v>
      </c>
      <c r="H813">
        <v>1</v>
      </c>
    </row>
    <row r="814" spans="2:8">
      <c r="B814" t="s">
        <v>25021</v>
      </c>
      <c r="C814">
        <v>405</v>
      </c>
      <c r="D814">
        <v>20</v>
      </c>
      <c r="E814">
        <v>8</v>
      </c>
      <c r="F814">
        <v>0</v>
      </c>
      <c r="G814">
        <v>6</v>
      </c>
      <c r="H814">
        <v>2</v>
      </c>
    </row>
    <row r="815" spans="2:8">
      <c r="B815" t="s">
        <v>25021</v>
      </c>
      <c r="C815">
        <v>406</v>
      </c>
      <c r="D815">
        <v>40</v>
      </c>
      <c r="E815">
        <v>19</v>
      </c>
      <c r="F815">
        <v>0</v>
      </c>
      <c r="G815">
        <v>19</v>
      </c>
      <c r="H815">
        <v>0</v>
      </c>
    </row>
    <row r="816" spans="2:8">
      <c r="B816" t="s">
        <v>25021</v>
      </c>
      <c r="C816">
        <v>406</v>
      </c>
      <c r="D816">
        <v>6</v>
      </c>
      <c r="E816">
        <v>0</v>
      </c>
      <c r="F816">
        <v>0</v>
      </c>
      <c r="G816">
        <v>0</v>
      </c>
      <c r="H816">
        <v>0</v>
      </c>
    </row>
    <row r="817" spans="2:8">
      <c r="B817" t="s">
        <v>25021</v>
      </c>
      <c r="C817">
        <v>407</v>
      </c>
      <c r="D817">
        <v>27</v>
      </c>
      <c r="E817">
        <v>19</v>
      </c>
      <c r="F817">
        <v>0</v>
      </c>
      <c r="G817">
        <v>17</v>
      </c>
      <c r="H817">
        <v>2</v>
      </c>
    </row>
    <row r="818" spans="2:8">
      <c r="B818" t="s">
        <v>25021</v>
      </c>
      <c r="C818">
        <v>407</v>
      </c>
      <c r="D818">
        <v>8</v>
      </c>
      <c r="E818">
        <v>0</v>
      </c>
      <c r="F818">
        <v>0</v>
      </c>
      <c r="G818">
        <v>0</v>
      </c>
      <c r="H818">
        <v>0</v>
      </c>
    </row>
    <row r="819" spans="2:8">
      <c r="B819" t="s">
        <v>25021</v>
      </c>
      <c r="C819">
        <v>408</v>
      </c>
      <c r="D819">
        <v>10</v>
      </c>
      <c r="E819">
        <v>2</v>
      </c>
      <c r="F819">
        <v>0</v>
      </c>
      <c r="G819">
        <v>2</v>
      </c>
      <c r="H819">
        <v>0</v>
      </c>
    </row>
    <row r="820" spans="2:8">
      <c r="B820" t="s">
        <v>25021</v>
      </c>
      <c r="C820">
        <v>409</v>
      </c>
      <c r="D820">
        <v>3</v>
      </c>
      <c r="E820">
        <v>0</v>
      </c>
      <c r="F820">
        <v>0</v>
      </c>
      <c r="G820">
        <v>0</v>
      </c>
      <c r="H820">
        <v>0</v>
      </c>
    </row>
    <row r="821" spans="2:8">
      <c r="B821" t="s">
        <v>25021</v>
      </c>
      <c r="C821">
        <v>409</v>
      </c>
      <c r="D821">
        <v>11</v>
      </c>
      <c r="E821">
        <v>4</v>
      </c>
      <c r="F821">
        <v>0</v>
      </c>
      <c r="G821">
        <v>2</v>
      </c>
      <c r="H821">
        <v>2</v>
      </c>
    </row>
    <row r="822" spans="2:8">
      <c r="B822" t="s">
        <v>25021</v>
      </c>
      <c r="C822">
        <v>410</v>
      </c>
      <c r="D822">
        <v>27</v>
      </c>
      <c r="E822">
        <v>11</v>
      </c>
      <c r="F822">
        <v>0</v>
      </c>
      <c r="G822">
        <v>9</v>
      </c>
      <c r="H822">
        <v>2</v>
      </c>
    </row>
    <row r="823" spans="2:8">
      <c r="B823" t="s">
        <v>25021</v>
      </c>
      <c r="C823">
        <v>410</v>
      </c>
      <c r="D823">
        <v>18</v>
      </c>
      <c r="E823">
        <v>7</v>
      </c>
      <c r="F823">
        <v>0</v>
      </c>
      <c r="G823">
        <v>7</v>
      </c>
      <c r="H823">
        <v>0</v>
      </c>
    </row>
    <row r="824" spans="2:8">
      <c r="B824" t="s">
        <v>25021</v>
      </c>
      <c r="C824">
        <v>410</v>
      </c>
      <c r="D824">
        <v>6</v>
      </c>
      <c r="E824">
        <v>0</v>
      </c>
      <c r="F824">
        <v>0</v>
      </c>
      <c r="G824">
        <v>0</v>
      </c>
      <c r="H824">
        <v>0</v>
      </c>
    </row>
    <row r="825" spans="2:8">
      <c r="B825" t="s">
        <v>25021</v>
      </c>
      <c r="C825">
        <v>413</v>
      </c>
      <c r="D825">
        <v>40</v>
      </c>
      <c r="E825">
        <v>12</v>
      </c>
      <c r="F825">
        <v>0</v>
      </c>
      <c r="G825">
        <v>9</v>
      </c>
      <c r="H825">
        <v>3</v>
      </c>
    </row>
    <row r="826" spans="2:8">
      <c r="B826" t="s">
        <v>25021</v>
      </c>
      <c r="C826">
        <v>414</v>
      </c>
      <c r="D826">
        <v>36</v>
      </c>
      <c r="E826">
        <v>14</v>
      </c>
      <c r="F826">
        <v>0</v>
      </c>
      <c r="G826">
        <v>11</v>
      </c>
      <c r="H826">
        <v>3</v>
      </c>
    </row>
    <row r="827" spans="2:8">
      <c r="B827" t="s">
        <v>25021</v>
      </c>
      <c r="C827">
        <v>414</v>
      </c>
      <c r="D827">
        <v>6</v>
      </c>
      <c r="E827">
        <v>2</v>
      </c>
      <c r="F827">
        <v>0</v>
      </c>
      <c r="G827">
        <v>2</v>
      </c>
      <c r="H827">
        <v>0</v>
      </c>
    </row>
    <row r="828" spans="2:8">
      <c r="B828" t="s">
        <v>25021</v>
      </c>
      <c r="C828">
        <v>415</v>
      </c>
      <c r="D828">
        <v>36</v>
      </c>
      <c r="E828">
        <v>8</v>
      </c>
      <c r="F828">
        <v>0</v>
      </c>
      <c r="G828">
        <v>8</v>
      </c>
      <c r="H828">
        <v>0</v>
      </c>
    </row>
    <row r="829" spans="2:8">
      <c r="B829" t="s">
        <v>25021</v>
      </c>
      <c r="C829">
        <v>420</v>
      </c>
      <c r="D829">
        <v>18</v>
      </c>
      <c r="E829">
        <v>8</v>
      </c>
      <c r="F829">
        <v>0</v>
      </c>
      <c r="G829">
        <v>4</v>
      </c>
      <c r="H829">
        <v>4</v>
      </c>
    </row>
    <row r="830" spans="2:8">
      <c r="B830" t="s">
        <v>25021</v>
      </c>
      <c r="C830">
        <v>421</v>
      </c>
      <c r="D830">
        <v>37</v>
      </c>
      <c r="E830">
        <v>17</v>
      </c>
      <c r="F830">
        <v>0</v>
      </c>
      <c r="G830">
        <v>12</v>
      </c>
      <c r="H830">
        <v>5</v>
      </c>
    </row>
    <row r="831" spans="2:8">
      <c r="B831" t="s">
        <v>25021</v>
      </c>
      <c r="C831">
        <v>421</v>
      </c>
      <c r="D831">
        <v>11</v>
      </c>
      <c r="E831">
        <v>2</v>
      </c>
      <c r="F831">
        <v>0</v>
      </c>
      <c r="G831">
        <v>2</v>
      </c>
      <c r="H831">
        <v>0</v>
      </c>
    </row>
    <row r="832" spans="2:8">
      <c r="B832" t="s">
        <v>25021</v>
      </c>
      <c r="C832">
        <v>422</v>
      </c>
      <c r="D832">
        <v>28</v>
      </c>
      <c r="E832">
        <v>14</v>
      </c>
      <c r="F832">
        <v>0</v>
      </c>
      <c r="G832">
        <v>14</v>
      </c>
      <c r="H832">
        <v>0</v>
      </c>
    </row>
    <row r="833" spans="2:8">
      <c r="B833" t="s">
        <v>25021</v>
      </c>
      <c r="C833">
        <v>422</v>
      </c>
      <c r="D833">
        <v>28</v>
      </c>
      <c r="E833">
        <v>10</v>
      </c>
      <c r="F833">
        <v>0</v>
      </c>
      <c r="G833">
        <v>8</v>
      </c>
      <c r="H833">
        <v>2</v>
      </c>
    </row>
    <row r="834" spans="2:8">
      <c r="B834" t="s">
        <v>25021</v>
      </c>
      <c r="C834">
        <v>422</v>
      </c>
      <c r="D834">
        <v>11</v>
      </c>
      <c r="E834">
        <v>3</v>
      </c>
      <c r="F834">
        <v>0</v>
      </c>
      <c r="G834">
        <v>3</v>
      </c>
      <c r="H834">
        <v>0</v>
      </c>
    </row>
    <row r="835" spans="2:8">
      <c r="B835" t="s">
        <v>25021</v>
      </c>
      <c r="C835">
        <v>425</v>
      </c>
      <c r="D835">
        <v>9</v>
      </c>
      <c r="E835">
        <v>5</v>
      </c>
      <c r="F835">
        <v>0</v>
      </c>
      <c r="G835">
        <v>5</v>
      </c>
      <c r="H835">
        <v>0</v>
      </c>
    </row>
    <row r="836" spans="2:8">
      <c r="B836" t="s">
        <v>25021</v>
      </c>
      <c r="C836">
        <v>426</v>
      </c>
      <c r="D836">
        <v>37</v>
      </c>
      <c r="E836">
        <v>12</v>
      </c>
      <c r="F836">
        <v>0</v>
      </c>
      <c r="G836">
        <v>11</v>
      </c>
      <c r="H836">
        <v>1</v>
      </c>
    </row>
    <row r="837" spans="2:8">
      <c r="B837" t="s">
        <v>25021</v>
      </c>
      <c r="C837">
        <v>426</v>
      </c>
      <c r="D837">
        <v>44</v>
      </c>
      <c r="E837">
        <v>22</v>
      </c>
      <c r="F837">
        <v>0</v>
      </c>
      <c r="G837">
        <v>22</v>
      </c>
      <c r="H837">
        <v>0</v>
      </c>
    </row>
    <row r="838" spans="2:8">
      <c r="B838" t="s">
        <v>25021</v>
      </c>
      <c r="C838">
        <v>426</v>
      </c>
      <c r="D838">
        <v>7</v>
      </c>
      <c r="E838">
        <v>0</v>
      </c>
      <c r="F838">
        <v>0</v>
      </c>
      <c r="G838">
        <v>0</v>
      </c>
      <c r="H838">
        <v>0</v>
      </c>
    </row>
    <row r="839" spans="2:8">
      <c r="B839" t="s">
        <v>25021</v>
      </c>
      <c r="C839">
        <v>427</v>
      </c>
      <c r="D839">
        <v>18</v>
      </c>
      <c r="E839">
        <v>7</v>
      </c>
      <c r="F839">
        <v>0</v>
      </c>
      <c r="G839">
        <v>6</v>
      </c>
      <c r="H839">
        <v>1</v>
      </c>
    </row>
    <row r="840" spans="2:8">
      <c r="B840" t="s">
        <v>25021</v>
      </c>
      <c r="C840">
        <v>428</v>
      </c>
      <c r="D840">
        <v>23</v>
      </c>
      <c r="E840">
        <v>12</v>
      </c>
      <c r="F840">
        <v>0</v>
      </c>
      <c r="G840">
        <v>12</v>
      </c>
      <c r="H840">
        <v>0</v>
      </c>
    </row>
    <row r="841" spans="2:8">
      <c r="B841" t="s">
        <v>25021</v>
      </c>
      <c r="C841">
        <v>428</v>
      </c>
      <c r="D841">
        <v>36</v>
      </c>
      <c r="E841">
        <v>22</v>
      </c>
      <c r="F841">
        <v>0</v>
      </c>
      <c r="G841">
        <v>22</v>
      </c>
      <c r="H841">
        <v>0</v>
      </c>
    </row>
    <row r="842" spans="2:8">
      <c r="B842" t="s">
        <v>25021</v>
      </c>
      <c r="C842">
        <v>428</v>
      </c>
      <c r="D842">
        <v>11</v>
      </c>
      <c r="E842">
        <v>0</v>
      </c>
      <c r="F842">
        <v>0</v>
      </c>
      <c r="G842">
        <v>0</v>
      </c>
      <c r="H842">
        <v>0</v>
      </c>
    </row>
    <row r="843" spans="2:8">
      <c r="B843" t="s">
        <v>25021</v>
      </c>
      <c r="C843">
        <v>429</v>
      </c>
      <c r="D843">
        <v>15</v>
      </c>
      <c r="E843">
        <v>5</v>
      </c>
      <c r="F843">
        <v>0</v>
      </c>
      <c r="G843">
        <v>5</v>
      </c>
      <c r="H843">
        <v>0</v>
      </c>
    </row>
    <row r="844" spans="2:8">
      <c r="B844" t="s">
        <v>25021</v>
      </c>
      <c r="C844">
        <v>429</v>
      </c>
      <c r="D844">
        <v>7</v>
      </c>
      <c r="E844">
        <v>2</v>
      </c>
      <c r="F844">
        <v>0</v>
      </c>
      <c r="G844">
        <v>2</v>
      </c>
      <c r="H844">
        <v>0</v>
      </c>
    </row>
    <row r="845" spans="2:8">
      <c r="B845" t="s">
        <v>25021</v>
      </c>
      <c r="C845">
        <v>430</v>
      </c>
      <c r="D845">
        <v>31</v>
      </c>
      <c r="E845">
        <v>15</v>
      </c>
      <c r="F845">
        <v>0</v>
      </c>
      <c r="G845">
        <v>13</v>
      </c>
      <c r="H845">
        <v>2</v>
      </c>
    </row>
    <row r="846" spans="2:8">
      <c r="B846" t="s">
        <v>25021</v>
      </c>
      <c r="C846">
        <v>430</v>
      </c>
      <c r="D846">
        <v>8</v>
      </c>
      <c r="E846">
        <v>2</v>
      </c>
      <c r="F846">
        <v>0</v>
      </c>
      <c r="G846">
        <v>2</v>
      </c>
      <c r="H846">
        <v>0</v>
      </c>
    </row>
    <row r="847" spans="2:8">
      <c r="B847" t="s">
        <v>25021</v>
      </c>
      <c r="C847">
        <v>432</v>
      </c>
      <c r="D847">
        <v>17</v>
      </c>
      <c r="E847">
        <v>7</v>
      </c>
      <c r="F847">
        <v>0</v>
      </c>
      <c r="G847">
        <v>4</v>
      </c>
      <c r="H847">
        <v>3</v>
      </c>
    </row>
    <row r="848" spans="2:8">
      <c r="B848" t="s">
        <v>25021</v>
      </c>
      <c r="C848">
        <v>432</v>
      </c>
      <c r="D848">
        <v>14</v>
      </c>
      <c r="E848">
        <v>6</v>
      </c>
      <c r="F848">
        <v>0</v>
      </c>
      <c r="G848">
        <v>5</v>
      </c>
      <c r="H848">
        <v>1</v>
      </c>
    </row>
    <row r="849" spans="2:8">
      <c r="B849" t="s">
        <v>25021</v>
      </c>
      <c r="C849">
        <v>432</v>
      </c>
      <c r="D849">
        <v>14</v>
      </c>
      <c r="E849">
        <v>6</v>
      </c>
      <c r="F849">
        <v>0</v>
      </c>
      <c r="G849">
        <v>4</v>
      </c>
      <c r="H849">
        <v>2</v>
      </c>
    </row>
    <row r="850" spans="2:8">
      <c r="B850" t="s">
        <v>25021</v>
      </c>
      <c r="C850">
        <v>435</v>
      </c>
      <c r="D850">
        <v>5</v>
      </c>
      <c r="E850">
        <v>0</v>
      </c>
      <c r="F850">
        <v>0</v>
      </c>
      <c r="G850">
        <v>0</v>
      </c>
      <c r="H850">
        <v>0</v>
      </c>
    </row>
    <row r="851" spans="2:8">
      <c r="B851" t="s">
        <v>25021</v>
      </c>
      <c r="C851">
        <v>436</v>
      </c>
      <c r="D851">
        <v>45</v>
      </c>
      <c r="E851">
        <v>26</v>
      </c>
      <c r="F851">
        <v>0</v>
      </c>
      <c r="G851">
        <v>26</v>
      </c>
      <c r="H851">
        <v>0</v>
      </c>
    </row>
    <row r="852" spans="2:8">
      <c r="B852" t="s">
        <v>25021</v>
      </c>
      <c r="C852">
        <v>438</v>
      </c>
      <c r="D852">
        <v>13</v>
      </c>
      <c r="E852">
        <v>7</v>
      </c>
      <c r="F852">
        <v>0</v>
      </c>
      <c r="G852">
        <v>7</v>
      </c>
      <c r="H852">
        <v>0</v>
      </c>
    </row>
    <row r="853" spans="2:8">
      <c r="B853" t="s">
        <v>25021</v>
      </c>
      <c r="C853">
        <v>441</v>
      </c>
      <c r="D853">
        <v>50</v>
      </c>
      <c r="E853">
        <v>16</v>
      </c>
      <c r="F853">
        <v>0</v>
      </c>
      <c r="G853">
        <v>12</v>
      </c>
      <c r="H853">
        <v>4</v>
      </c>
    </row>
    <row r="854" spans="2:8">
      <c r="B854" t="s">
        <v>25021</v>
      </c>
      <c r="C854">
        <v>441</v>
      </c>
      <c r="D854">
        <v>40</v>
      </c>
      <c r="E854">
        <v>19</v>
      </c>
      <c r="F854">
        <v>0</v>
      </c>
      <c r="G854">
        <v>17</v>
      </c>
      <c r="H854">
        <v>2</v>
      </c>
    </row>
    <row r="855" spans="2:8">
      <c r="B855" t="s">
        <v>25021</v>
      </c>
      <c r="C855">
        <v>442</v>
      </c>
      <c r="D855">
        <v>30</v>
      </c>
      <c r="E855">
        <v>14</v>
      </c>
      <c r="F855">
        <v>0</v>
      </c>
      <c r="G855">
        <v>14</v>
      </c>
      <c r="H855">
        <v>0</v>
      </c>
    </row>
    <row r="856" spans="2:8">
      <c r="B856" t="s">
        <v>25021</v>
      </c>
      <c r="C856">
        <v>442</v>
      </c>
      <c r="D856">
        <v>25</v>
      </c>
      <c r="E856">
        <v>13</v>
      </c>
      <c r="F856">
        <v>0</v>
      </c>
      <c r="G856">
        <v>13</v>
      </c>
      <c r="H856">
        <v>0</v>
      </c>
    </row>
    <row r="857" spans="2:8">
      <c r="B857" t="s">
        <v>25021</v>
      </c>
      <c r="C857">
        <v>442</v>
      </c>
      <c r="D857">
        <v>5</v>
      </c>
      <c r="E857">
        <v>0</v>
      </c>
      <c r="F857">
        <v>0</v>
      </c>
      <c r="G857">
        <v>0</v>
      </c>
      <c r="H857">
        <v>0</v>
      </c>
    </row>
    <row r="858" spans="2:8">
      <c r="B858" t="s">
        <v>25021</v>
      </c>
      <c r="C858">
        <v>442</v>
      </c>
      <c r="D858">
        <v>17</v>
      </c>
      <c r="E858">
        <v>11</v>
      </c>
      <c r="F858">
        <v>0</v>
      </c>
      <c r="G858">
        <v>11</v>
      </c>
      <c r="H858">
        <v>0</v>
      </c>
    </row>
    <row r="859" spans="2:8">
      <c r="B859" t="s">
        <v>25021</v>
      </c>
      <c r="C859">
        <v>443</v>
      </c>
      <c r="D859">
        <v>9</v>
      </c>
      <c r="E859">
        <v>3</v>
      </c>
      <c r="F859">
        <v>0</v>
      </c>
      <c r="G859">
        <v>3</v>
      </c>
      <c r="H859">
        <v>0</v>
      </c>
    </row>
    <row r="860" spans="2:8">
      <c r="B860" t="s">
        <v>25021</v>
      </c>
      <c r="C860">
        <v>444</v>
      </c>
      <c r="D860">
        <v>24</v>
      </c>
      <c r="E860">
        <v>11</v>
      </c>
      <c r="F860">
        <v>0</v>
      </c>
      <c r="G860">
        <v>8</v>
      </c>
      <c r="H860">
        <v>3</v>
      </c>
    </row>
    <row r="861" spans="2:8">
      <c r="B861" t="s">
        <v>25021</v>
      </c>
      <c r="C861">
        <v>444</v>
      </c>
      <c r="D861">
        <v>18</v>
      </c>
      <c r="E861">
        <v>12</v>
      </c>
      <c r="F861">
        <v>0</v>
      </c>
      <c r="G861">
        <v>10</v>
      </c>
      <c r="H861">
        <v>2</v>
      </c>
    </row>
    <row r="862" spans="2:8">
      <c r="B862" t="s">
        <v>25021</v>
      </c>
      <c r="C862">
        <v>444</v>
      </c>
      <c r="D862">
        <v>38</v>
      </c>
      <c r="E862">
        <v>19</v>
      </c>
      <c r="F862">
        <v>2</v>
      </c>
      <c r="G862">
        <v>15</v>
      </c>
      <c r="H862">
        <v>2</v>
      </c>
    </row>
    <row r="863" spans="2:8">
      <c r="B863" t="s">
        <v>25021</v>
      </c>
      <c r="C863">
        <v>444</v>
      </c>
      <c r="D863">
        <v>13</v>
      </c>
      <c r="E863">
        <v>2</v>
      </c>
      <c r="F863">
        <v>0</v>
      </c>
      <c r="G863">
        <v>2</v>
      </c>
      <c r="H863">
        <v>0</v>
      </c>
    </row>
    <row r="864" spans="2:8">
      <c r="B864" t="s">
        <v>25021</v>
      </c>
      <c r="C864">
        <v>444</v>
      </c>
      <c r="D864">
        <v>4</v>
      </c>
      <c r="E864">
        <v>0</v>
      </c>
      <c r="F864">
        <v>0</v>
      </c>
      <c r="G864">
        <v>0</v>
      </c>
      <c r="H864">
        <v>0</v>
      </c>
    </row>
    <row r="865" spans="2:8">
      <c r="B865" t="s">
        <v>25021</v>
      </c>
      <c r="C865">
        <v>445</v>
      </c>
      <c r="D865">
        <v>20</v>
      </c>
      <c r="E865">
        <v>6</v>
      </c>
      <c r="F865">
        <v>0</v>
      </c>
      <c r="G865">
        <v>6</v>
      </c>
      <c r="H865">
        <v>0</v>
      </c>
    </row>
    <row r="866" spans="2:8">
      <c r="B866" t="s">
        <v>25021</v>
      </c>
      <c r="C866">
        <v>445</v>
      </c>
      <c r="D866">
        <v>28</v>
      </c>
      <c r="E866">
        <v>13</v>
      </c>
      <c r="F866">
        <v>0</v>
      </c>
      <c r="G866">
        <v>8</v>
      </c>
      <c r="H866">
        <v>5</v>
      </c>
    </row>
    <row r="867" spans="2:8">
      <c r="B867" t="s">
        <v>25021</v>
      </c>
      <c r="C867">
        <v>445</v>
      </c>
      <c r="D867">
        <v>4</v>
      </c>
      <c r="E867">
        <v>3</v>
      </c>
      <c r="F867">
        <v>0</v>
      </c>
      <c r="G867">
        <v>3</v>
      </c>
      <c r="H867">
        <v>0</v>
      </c>
    </row>
    <row r="868" spans="2:8">
      <c r="B868" t="s">
        <v>25021</v>
      </c>
      <c r="C868">
        <v>446</v>
      </c>
      <c r="D868">
        <v>19</v>
      </c>
      <c r="E868">
        <v>4</v>
      </c>
      <c r="F868">
        <v>0</v>
      </c>
      <c r="G868">
        <v>0</v>
      </c>
      <c r="H868">
        <v>4</v>
      </c>
    </row>
    <row r="869" spans="2:8">
      <c r="B869" t="s">
        <v>25021</v>
      </c>
      <c r="C869">
        <v>448</v>
      </c>
      <c r="D869">
        <v>9</v>
      </c>
      <c r="E869">
        <v>3</v>
      </c>
      <c r="F869">
        <v>0</v>
      </c>
      <c r="G869">
        <v>3</v>
      </c>
      <c r="H869">
        <v>0</v>
      </c>
    </row>
    <row r="870" spans="2:8">
      <c r="B870" t="s">
        <v>25021</v>
      </c>
      <c r="C870">
        <v>448</v>
      </c>
      <c r="D870">
        <v>18</v>
      </c>
      <c r="E870">
        <v>7</v>
      </c>
      <c r="F870">
        <v>0</v>
      </c>
      <c r="G870">
        <v>5</v>
      </c>
      <c r="H870">
        <v>2</v>
      </c>
    </row>
    <row r="871" spans="2:8">
      <c r="B871" t="s">
        <v>25021</v>
      </c>
      <c r="C871">
        <v>448</v>
      </c>
      <c r="D871">
        <v>7</v>
      </c>
      <c r="E871">
        <v>3</v>
      </c>
      <c r="F871">
        <v>0</v>
      </c>
      <c r="G871">
        <v>3</v>
      </c>
      <c r="H871">
        <v>0</v>
      </c>
    </row>
    <row r="872" spans="2:8">
      <c r="B872" t="s">
        <v>25021</v>
      </c>
      <c r="C872">
        <v>449</v>
      </c>
      <c r="D872">
        <v>46</v>
      </c>
      <c r="E872">
        <v>18</v>
      </c>
      <c r="F872">
        <v>0</v>
      </c>
      <c r="G872">
        <v>18</v>
      </c>
      <c r="H872">
        <v>0</v>
      </c>
    </row>
    <row r="873" spans="2:8">
      <c r="B873" t="s">
        <v>25021</v>
      </c>
      <c r="C873">
        <v>450</v>
      </c>
      <c r="D873">
        <v>12</v>
      </c>
      <c r="E873">
        <v>3</v>
      </c>
      <c r="F873">
        <v>0</v>
      </c>
      <c r="G873">
        <v>3</v>
      </c>
      <c r="H873">
        <v>0</v>
      </c>
    </row>
    <row r="874" spans="2:8">
      <c r="B874" t="s">
        <v>25021</v>
      </c>
      <c r="C874">
        <v>451</v>
      </c>
      <c r="D874">
        <v>19</v>
      </c>
      <c r="E874">
        <v>0</v>
      </c>
      <c r="F874">
        <v>0</v>
      </c>
      <c r="G874">
        <v>0</v>
      </c>
      <c r="H874">
        <v>0</v>
      </c>
    </row>
    <row r="875" spans="2:8">
      <c r="B875" t="s">
        <v>25021</v>
      </c>
      <c r="C875">
        <v>451</v>
      </c>
      <c r="D875">
        <v>27</v>
      </c>
      <c r="E875">
        <v>4</v>
      </c>
      <c r="F875">
        <v>0</v>
      </c>
      <c r="G875">
        <v>4</v>
      </c>
      <c r="H875">
        <v>0</v>
      </c>
    </row>
    <row r="876" spans="2:8">
      <c r="B876" t="s">
        <v>25021</v>
      </c>
      <c r="C876">
        <v>451</v>
      </c>
      <c r="D876">
        <v>4</v>
      </c>
      <c r="E876">
        <v>0</v>
      </c>
      <c r="F876">
        <v>0</v>
      </c>
      <c r="G876">
        <v>0</v>
      </c>
      <c r="H876">
        <v>0</v>
      </c>
    </row>
    <row r="877" spans="2:8">
      <c r="B877" t="s">
        <v>25021</v>
      </c>
      <c r="C877">
        <v>452</v>
      </c>
      <c r="D877">
        <v>16</v>
      </c>
      <c r="E877">
        <v>0</v>
      </c>
      <c r="F877">
        <v>0</v>
      </c>
      <c r="G877">
        <v>0</v>
      </c>
      <c r="H877">
        <v>0</v>
      </c>
    </row>
    <row r="878" spans="2:8">
      <c r="B878" t="s">
        <v>25021</v>
      </c>
      <c r="C878">
        <v>453</v>
      </c>
      <c r="D878">
        <v>24</v>
      </c>
      <c r="E878">
        <v>15</v>
      </c>
      <c r="F878">
        <v>0</v>
      </c>
      <c r="G878">
        <v>13</v>
      </c>
      <c r="H878">
        <v>2</v>
      </c>
    </row>
    <row r="879" spans="2:8">
      <c r="B879" t="s">
        <v>25021</v>
      </c>
      <c r="C879">
        <v>453</v>
      </c>
      <c r="D879">
        <v>12</v>
      </c>
      <c r="E879">
        <v>5</v>
      </c>
      <c r="F879">
        <v>0</v>
      </c>
      <c r="G879">
        <v>5</v>
      </c>
      <c r="H879">
        <v>0</v>
      </c>
    </row>
    <row r="880" spans="2:8">
      <c r="B880" t="s">
        <v>25021</v>
      </c>
      <c r="C880">
        <v>454</v>
      </c>
      <c r="D880">
        <v>27</v>
      </c>
      <c r="E880">
        <v>11</v>
      </c>
      <c r="F880">
        <v>0</v>
      </c>
      <c r="G880">
        <v>9</v>
      </c>
      <c r="H880">
        <v>2</v>
      </c>
    </row>
    <row r="881" spans="2:8">
      <c r="B881" t="s">
        <v>25021</v>
      </c>
      <c r="C881">
        <v>455</v>
      </c>
      <c r="D881">
        <v>44</v>
      </c>
      <c r="E881">
        <v>19</v>
      </c>
      <c r="F881">
        <v>0</v>
      </c>
      <c r="G881">
        <v>15</v>
      </c>
      <c r="H881">
        <v>4</v>
      </c>
    </row>
    <row r="882" spans="2:8">
      <c r="B882" t="s">
        <v>25021</v>
      </c>
      <c r="C882">
        <v>455</v>
      </c>
      <c r="D882">
        <v>12</v>
      </c>
      <c r="E882">
        <v>9</v>
      </c>
      <c r="F882">
        <v>0</v>
      </c>
      <c r="G882">
        <v>9</v>
      </c>
      <c r="H882">
        <v>0</v>
      </c>
    </row>
    <row r="883" spans="2:8">
      <c r="B883" t="s">
        <v>25021</v>
      </c>
      <c r="C883">
        <v>455</v>
      </c>
      <c r="D883">
        <v>10</v>
      </c>
      <c r="E883">
        <v>3</v>
      </c>
      <c r="F883">
        <v>0</v>
      </c>
      <c r="G883">
        <v>3</v>
      </c>
      <c r="H883">
        <v>0</v>
      </c>
    </row>
    <row r="884" spans="2:8">
      <c r="B884" t="s">
        <v>25021</v>
      </c>
      <c r="C884">
        <v>456</v>
      </c>
      <c r="D884">
        <v>70</v>
      </c>
      <c r="E884">
        <v>39</v>
      </c>
      <c r="F884">
        <v>0</v>
      </c>
      <c r="G884">
        <v>38</v>
      </c>
      <c r="H884">
        <v>1</v>
      </c>
    </row>
    <row r="885" spans="2:8">
      <c r="B885" t="s">
        <v>25021</v>
      </c>
      <c r="C885">
        <v>457</v>
      </c>
      <c r="D885">
        <v>15</v>
      </c>
      <c r="E885">
        <v>4</v>
      </c>
      <c r="F885">
        <v>0</v>
      </c>
      <c r="G885">
        <v>4</v>
      </c>
      <c r="H885">
        <v>0</v>
      </c>
    </row>
    <row r="886" spans="2:8">
      <c r="B886" t="s">
        <v>25021</v>
      </c>
      <c r="C886">
        <v>458</v>
      </c>
      <c r="D886">
        <v>3</v>
      </c>
      <c r="E886">
        <v>0</v>
      </c>
      <c r="F886">
        <v>0</v>
      </c>
      <c r="G886">
        <v>0</v>
      </c>
      <c r="H886">
        <v>0</v>
      </c>
    </row>
    <row r="887" spans="2:8">
      <c r="B887" t="s">
        <v>25021</v>
      </c>
      <c r="C887">
        <v>459</v>
      </c>
      <c r="D887">
        <v>27</v>
      </c>
      <c r="E887">
        <v>14</v>
      </c>
      <c r="F887">
        <v>0</v>
      </c>
      <c r="G887">
        <v>14</v>
      </c>
      <c r="H887">
        <v>0</v>
      </c>
    </row>
    <row r="888" spans="2:8">
      <c r="B888" t="s">
        <v>25021</v>
      </c>
      <c r="C888">
        <v>461</v>
      </c>
      <c r="D888">
        <v>43</v>
      </c>
      <c r="E888">
        <v>24</v>
      </c>
      <c r="F888">
        <v>0</v>
      </c>
      <c r="G888">
        <v>23</v>
      </c>
      <c r="H888">
        <v>1</v>
      </c>
    </row>
    <row r="889" spans="2:8">
      <c r="B889" t="s">
        <v>25021</v>
      </c>
      <c r="C889">
        <v>461</v>
      </c>
      <c r="D889">
        <v>17</v>
      </c>
      <c r="E889">
        <v>8</v>
      </c>
      <c r="F889">
        <v>0</v>
      </c>
      <c r="G889">
        <v>8</v>
      </c>
      <c r="H889">
        <v>0</v>
      </c>
    </row>
    <row r="890" spans="2:8">
      <c r="B890" t="s">
        <v>25021</v>
      </c>
      <c r="C890">
        <v>461</v>
      </c>
      <c r="D890">
        <v>20</v>
      </c>
      <c r="E890">
        <v>9</v>
      </c>
      <c r="F890">
        <v>0</v>
      </c>
      <c r="G890">
        <v>7</v>
      </c>
      <c r="H890">
        <v>2</v>
      </c>
    </row>
    <row r="891" spans="2:8">
      <c r="B891" t="s">
        <v>25021</v>
      </c>
      <c r="C891">
        <v>461</v>
      </c>
      <c r="D891">
        <v>16</v>
      </c>
      <c r="E891">
        <v>5</v>
      </c>
      <c r="F891">
        <v>0</v>
      </c>
      <c r="G891">
        <v>5</v>
      </c>
      <c r="H891">
        <v>0</v>
      </c>
    </row>
    <row r="892" spans="2:8">
      <c r="B892" t="s">
        <v>25021</v>
      </c>
      <c r="C892">
        <v>462</v>
      </c>
      <c r="D892">
        <v>24</v>
      </c>
      <c r="E892">
        <v>10</v>
      </c>
      <c r="F892">
        <v>0</v>
      </c>
      <c r="G892">
        <v>10</v>
      </c>
      <c r="H892">
        <v>0</v>
      </c>
    </row>
    <row r="893" spans="2:8">
      <c r="B893" t="s">
        <v>25021</v>
      </c>
      <c r="C893">
        <v>463</v>
      </c>
      <c r="D893">
        <v>23</v>
      </c>
      <c r="E893">
        <v>8</v>
      </c>
      <c r="F893">
        <v>0</v>
      </c>
      <c r="G893">
        <v>8</v>
      </c>
      <c r="H893">
        <v>0</v>
      </c>
    </row>
    <row r="894" spans="2:8">
      <c r="B894" t="s">
        <v>25021</v>
      </c>
      <c r="C894">
        <v>463</v>
      </c>
      <c r="D894">
        <v>5</v>
      </c>
      <c r="E894">
        <v>0</v>
      </c>
      <c r="F894">
        <v>0</v>
      </c>
      <c r="G894">
        <v>0</v>
      </c>
      <c r="H894">
        <v>0</v>
      </c>
    </row>
    <row r="895" spans="2:8">
      <c r="B895" t="s">
        <v>25021</v>
      </c>
      <c r="C895">
        <v>468</v>
      </c>
      <c r="D895">
        <v>31</v>
      </c>
      <c r="E895">
        <v>11</v>
      </c>
      <c r="F895">
        <v>0</v>
      </c>
      <c r="G895">
        <v>11</v>
      </c>
      <c r="H895">
        <v>0</v>
      </c>
    </row>
    <row r="896" spans="2:8">
      <c r="B896" t="s">
        <v>25021</v>
      </c>
      <c r="C896">
        <v>469</v>
      </c>
      <c r="D896">
        <v>67</v>
      </c>
      <c r="E896">
        <v>39</v>
      </c>
      <c r="F896">
        <v>0</v>
      </c>
      <c r="G896">
        <v>33</v>
      </c>
      <c r="H896">
        <v>6</v>
      </c>
    </row>
    <row r="897" spans="2:8">
      <c r="B897" t="s">
        <v>25021</v>
      </c>
      <c r="C897">
        <v>469</v>
      </c>
      <c r="D897">
        <v>11</v>
      </c>
      <c r="E897">
        <v>2</v>
      </c>
      <c r="F897">
        <v>0</v>
      </c>
      <c r="G897">
        <v>2</v>
      </c>
      <c r="H897">
        <v>0</v>
      </c>
    </row>
    <row r="898" spans="2:8">
      <c r="B898" t="s">
        <v>25021</v>
      </c>
      <c r="C898">
        <v>470</v>
      </c>
      <c r="D898">
        <v>32</v>
      </c>
      <c r="E898">
        <v>20</v>
      </c>
      <c r="F898">
        <v>2</v>
      </c>
      <c r="G898">
        <v>13</v>
      </c>
      <c r="H898">
        <v>5</v>
      </c>
    </row>
    <row r="899" spans="2:8">
      <c r="B899" t="s">
        <v>25021</v>
      </c>
      <c r="C899">
        <v>470</v>
      </c>
      <c r="D899">
        <v>42</v>
      </c>
      <c r="E899">
        <v>23</v>
      </c>
      <c r="F899">
        <v>2</v>
      </c>
      <c r="G899">
        <v>20</v>
      </c>
      <c r="H899">
        <v>1</v>
      </c>
    </row>
    <row r="900" spans="2:8">
      <c r="B900" t="s">
        <v>25021</v>
      </c>
      <c r="C900">
        <v>472</v>
      </c>
      <c r="D900">
        <v>11</v>
      </c>
      <c r="E900">
        <v>2</v>
      </c>
      <c r="F900">
        <v>0</v>
      </c>
      <c r="G900">
        <v>0</v>
      </c>
      <c r="H900">
        <v>2</v>
      </c>
    </row>
    <row r="901" spans="2:8">
      <c r="B901" t="s">
        <v>25021</v>
      </c>
      <c r="C901">
        <v>473</v>
      </c>
      <c r="D901">
        <v>36</v>
      </c>
      <c r="E901">
        <v>15</v>
      </c>
      <c r="F901">
        <v>0</v>
      </c>
      <c r="G901">
        <v>13</v>
      </c>
      <c r="H901">
        <v>2</v>
      </c>
    </row>
    <row r="902" spans="2:8">
      <c r="B902" t="s">
        <v>25021</v>
      </c>
      <c r="C902">
        <v>475</v>
      </c>
      <c r="D902">
        <v>14</v>
      </c>
      <c r="E902">
        <v>6</v>
      </c>
      <c r="F902">
        <v>0</v>
      </c>
      <c r="G902">
        <v>6</v>
      </c>
      <c r="H902">
        <v>0</v>
      </c>
    </row>
    <row r="903" spans="2:8">
      <c r="B903" t="s">
        <v>25021</v>
      </c>
      <c r="C903">
        <v>478</v>
      </c>
      <c r="D903">
        <v>53</v>
      </c>
      <c r="E903">
        <v>28</v>
      </c>
      <c r="F903">
        <v>0</v>
      </c>
      <c r="G903">
        <v>27</v>
      </c>
      <c r="H903">
        <v>1</v>
      </c>
    </row>
    <row r="904" spans="2:8">
      <c r="B904" t="s">
        <v>25021</v>
      </c>
      <c r="C904">
        <v>478</v>
      </c>
      <c r="D904">
        <v>31</v>
      </c>
      <c r="E904">
        <v>6</v>
      </c>
      <c r="F904">
        <v>0</v>
      </c>
      <c r="G904">
        <v>6</v>
      </c>
      <c r="H904">
        <v>0</v>
      </c>
    </row>
    <row r="905" spans="2:8">
      <c r="B905" t="s">
        <v>25021</v>
      </c>
      <c r="C905">
        <v>478</v>
      </c>
      <c r="D905">
        <v>22</v>
      </c>
      <c r="E905">
        <v>11</v>
      </c>
      <c r="F905">
        <v>0</v>
      </c>
      <c r="G905">
        <v>10</v>
      </c>
      <c r="H905">
        <v>1</v>
      </c>
    </row>
    <row r="906" spans="2:8">
      <c r="B906" t="s">
        <v>25021</v>
      </c>
      <c r="C906">
        <v>479</v>
      </c>
      <c r="D906">
        <v>103</v>
      </c>
      <c r="E906">
        <v>61</v>
      </c>
      <c r="F906">
        <v>0</v>
      </c>
      <c r="G906">
        <v>59</v>
      </c>
      <c r="H906">
        <v>2</v>
      </c>
    </row>
    <row r="907" spans="2:8">
      <c r="B907" t="s">
        <v>25021</v>
      </c>
      <c r="C907">
        <v>479</v>
      </c>
      <c r="D907">
        <v>30</v>
      </c>
      <c r="E907">
        <v>4</v>
      </c>
      <c r="F907">
        <v>0</v>
      </c>
      <c r="G907">
        <v>0</v>
      </c>
      <c r="H907">
        <v>4</v>
      </c>
    </row>
    <row r="908" spans="2:8">
      <c r="B908" t="s">
        <v>25021</v>
      </c>
      <c r="C908">
        <v>479</v>
      </c>
      <c r="D908">
        <v>7</v>
      </c>
      <c r="E908">
        <v>2</v>
      </c>
      <c r="F908">
        <v>0</v>
      </c>
      <c r="G908">
        <v>2</v>
      </c>
      <c r="H908">
        <v>0</v>
      </c>
    </row>
    <row r="909" spans="2:8">
      <c r="B909" t="s">
        <v>25021</v>
      </c>
      <c r="C909">
        <v>482</v>
      </c>
      <c r="D909">
        <v>17</v>
      </c>
      <c r="E909">
        <v>5</v>
      </c>
      <c r="F909">
        <v>0</v>
      </c>
      <c r="G909">
        <v>5</v>
      </c>
      <c r="H909">
        <v>0</v>
      </c>
    </row>
    <row r="910" spans="2:8">
      <c r="B910" t="s">
        <v>25021</v>
      </c>
      <c r="C910">
        <v>482</v>
      </c>
      <c r="D910">
        <v>5</v>
      </c>
      <c r="E910">
        <v>0</v>
      </c>
      <c r="F910">
        <v>0</v>
      </c>
      <c r="G910">
        <v>0</v>
      </c>
      <c r="H910">
        <v>0</v>
      </c>
    </row>
    <row r="911" spans="2:8">
      <c r="B911" t="s">
        <v>25021</v>
      </c>
      <c r="C911">
        <v>483</v>
      </c>
      <c r="D911">
        <v>72</v>
      </c>
      <c r="E911">
        <v>36</v>
      </c>
      <c r="F911">
        <v>0</v>
      </c>
      <c r="G911">
        <v>36</v>
      </c>
      <c r="H911">
        <v>0</v>
      </c>
    </row>
    <row r="912" spans="2:8">
      <c r="B912" t="s">
        <v>25021</v>
      </c>
      <c r="C912">
        <v>483</v>
      </c>
      <c r="D912">
        <v>22</v>
      </c>
      <c r="E912">
        <v>8</v>
      </c>
      <c r="F912">
        <v>0</v>
      </c>
      <c r="G912">
        <v>4</v>
      </c>
      <c r="H912">
        <v>4</v>
      </c>
    </row>
    <row r="913" spans="2:8">
      <c r="B913" t="s">
        <v>25021</v>
      </c>
      <c r="C913">
        <v>483</v>
      </c>
      <c r="D913">
        <v>22</v>
      </c>
      <c r="E913">
        <v>4</v>
      </c>
      <c r="F913">
        <v>0</v>
      </c>
      <c r="G913">
        <v>2</v>
      </c>
      <c r="H913">
        <v>2</v>
      </c>
    </row>
    <row r="914" spans="2:8">
      <c r="B914" t="s">
        <v>25021</v>
      </c>
      <c r="C914">
        <v>483</v>
      </c>
      <c r="D914">
        <v>8</v>
      </c>
      <c r="E914">
        <v>0</v>
      </c>
      <c r="F914">
        <v>0</v>
      </c>
      <c r="G914">
        <v>0</v>
      </c>
      <c r="H914">
        <v>0</v>
      </c>
    </row>
    <row r="915" spans="2:8">
      <c r="B915" t="s">
        <v>25021</v>
      </c>
      <c r="C915">
        <v>484</v>
      </c>
      <c r="D915">
        <v>20</v>
      </c>
      <c r="E915">
        <v>8</v>
      </c>
      <c r="F915">
        <v>0</v>
      </c>
      <c r="G915">
        <v>8</v>
      </c>
      <c r="H915">
        <v>0</v>
      </c>
    </row>
    <row r="916" spans="2:8">
      <c r="B916" t="s">
        <v>25021</v>
      </c>
      <c r="C916">
        <v>485</v>
      </c>
      <c r="D916">
        <v>57</v>
      </c>
      <c r="E916">
        <v>25</v>
      </c>
      <c r="F916">
        <v>0</v>
      </c>
      <c r="G916">
        <v>21</v>
      </c>
      <c r="H916">
        <v>4</v>
      </c>
    </row>
    <row r="917" spans="2:8">
      <c r="B917" t="s">
        <v>25021</v>
      </c>
      <c r="C917">
        <v>486</v>
      </c>
      <c r="D917">
        <v>15</v>
      </c>
      <c r="E917">
        <v>6</v>
      </c>
      <c r="F917">
        <v>0</v>
      </c>
      <c r="G917">
        <v>4</v>
      </c>
      <c r="H917">
        <v>2</v>
      </c>
    </row>
    <row r="918" spans="2:8">
      <c r="B918" t="s">
        <v>25021</v>
      </c>
      <c r="C918">
        <v>488</v>
      </c>
      <c r="D918">
        <v>31</v>
      </c>
      <c r="E918">
        <v>12</v>
      </c>
      <c r="F918">
        <v>0</v>
      </c>
      <c r="G918">
        <v>12</v>
      </c>
      <c r="H918">
        <v>0</v>
      </c>
    </row>
    <row r="919" spans="2:8">
      <c r="B919" t="s">
        <v>25021</v>
      </c>
      <c r="C919">
        <v>489</v>
      </c>
      <c r="D919">
        <v>82</v>
      </c>
      <c r="E919">
        <v>51</v>
      </c>
      <c r="F919">
        <v>0</v>
      </c>
      <c r="G919">
        <v>45</v>
      </c>
      <c r="H919">
        <v>6</v>
      </c>
    </row>
    <row r="920" spans="2:8">
      <c r="B920" t="s">
        <v>25021</v>
      </c>
      <c r="C920">
        <v>489</v>
      </c>
      <c r="D920">
        <v>11</v>
      </c>
      <c r="E920">
        <v>0</v>
      </c>
      <c r="F920">
        <v>0</v>
      </c>
      <c r="G920">
        <v>0</v>
      </c>
      <c r="H920">
        <v>0</v>
      </c>
    </row>
    <row r="921" spans="2:8">
      <c r="B921" t="s">
        <v>25021</v>
      </c>
      <c r="C921">
        <v>489</v>
      </c>
      <c r="D921">
        <v>23</v>
      </c>
      <c r="E921">
        <v>14</v>
      </c>
      <c r="F921">
        <v>0</v>
      </c>
      <c r="G921">
        <v>12</v>
      </c>
      <c r="H921">
        <v>2</v>
      </c>
    </row>
    <row r="922" spans="2:8">
      <c r="B922" t="s">
        <v>25021</v>
      </c>
      <c r="C922">
        <v>490</v>
      </c>
      <c r="D922">
        <v>9</v>
      </c>
      <c r="E922">
        <v>4</v>
      </c>
      <c r="F922">
        <v>0</v>
      </c>
      <c r="G922">
        <v>4</v>
      </c>
      <c r="H922">
        <v>0</v>
      </c>
    </row>
    <row r="923" spans="2:8">
      <c r="B923" t="s">
        <v>25021</v>
      </c>
      <c r="C923">
        <v>491</v>
      </c>
      <c r="D923">
        <v>44</v>
      </c>
      <c r="E923">
        <v>23</v>
      </c>
      <c r="F923">
        <v>0</v>
      </c>
      <c r="G923">
        <v>23</v>
      </c>
      <c r="H923">
        <v>0</v>
      </c>
    </row>
    <row r="924" spans="2:8">
      <c r="B924" t="s">
        <v>25021</v>
      </c>
      <c r="C924">
        <v>492</v>
      </c>
      <c r="D924">
        <v>36</v>
      </c>
      <c r="E924">
        <v>17</v>
      </c>
      <c r="F924">
        <v>0</v>
      </c>
      <c r="G924">
        <v>16</v>
      </c>
      <c r="H924">
        <v>1</v>
      </c>
    </row>
    <row r="925" spans="2:8">
      <c r="B925" t="s">
        <v>25021</v>
      </c>
      <c r="C925">
        <v>492</v>
      </c>
      <c r="D925">
        <v>16</v>
      </c>
      <c r="E925">
        <v>6</v>
      </c>
      <c r="F925">
        <v>0</v>
      </c>
      <c r="G925">
        <v>2</v>
      </c>
      <c r="H925">
        <v>4</v>
      </c>
    </row>
    <row r="926" spans="2:8">
      <c r="B926" t="s">
        <v>25021</v>
      </c>
      <c r="C926">
        <v>493</v>
      </c>
      <c r="D926">
        <v>30</v>
      </c>
      <c r="E926">
        <v>15</v>
      </c>
      <c r="F926">
        <v>0</v>
      </c>
      <c r="G926">
        <v>15</v>
      </c>
      <c r="H926">
        <v>0</v>
      </c>
    </row>
    <row r="927" spans="2:8">
      <c r="B927" t="s">
        <v>25021</v>
      </c>
      <c r="C927">
        <v>493</v>
      </c>
      <c r="D927">
        <v>14</v>
      </c>
      <c r="E927">
        <v>5</v>
      </c>
      <c r="F927">
        <v>0</v>
      </c>
      <c r="G927">
        <v>2</v>
      </c>
      <c r="H927">
        <v>3</v>
      </c>
    </row>
    <row r="928" spans="2:8">
      <c r="B928" t="s">
        <v>25021</v>
      </c>
      <c r="C928">
        <v>493</v>
      </c>
      <c r="D928">
        <v>5</v>
      </c>
      <c r="E928">
        <v>0</v>
      </c>
      <c r="F928">
        <v>0</v>
      </c>
      <c r="G928">
        <v>0</v>
      </c>
      <c r="H928">
        <v>0</v>
      </c>
    </row>
    <row r="929" spans="2:8">
      <c r="B929" t="s">
        <v>25021</v>
      </c>
      <c r="C929">
        <v>494</v>
      </c>
      <c r="D929">
        <v>43</v>
      </c>
      <c r="E929">
        <v>24</v>
      </c>
      <c r="F929">
        <v>0</v>
      </c>
      <c r="G929">
        <v>24</v>
      </c>
      <c r="H929">
        <v>0</v>
      </c>
    </row>
    <row r="930" spans="2:8">
      <c r="B930" t="s">
        <v>25021</v>
      </c>
      <c r="C930">
        <v>495</v>
      </c>
      <c r="D930">
        <v>10</v>
      </c>
      <c r="E930">
        <v>4</v>
      </c>
      <c r="F930">
        <v>0</v>
      </c>
      <c r="G930">
        <v>4</v>
      </c>
      <c r="H930">
        <v>0</v>
      </c>
    </row>
    <row r="931" spans="2:8">
      <c r="B931" t="s">
        <v>25021</v>
      </c>
      <c r="C931">
        <v>496</v>
      </c>
      <c r="D931">
        <v>24</v>
      </c>
      <c r="E931">
        <v>13</v>
      </c>
      <c r="F931">
        <v>0</v>
      </c>
      <c r="G931">
        <v>11</v>
      </c>
      <c r="H931">
        <v>2</v>
      </c>
    </row>
    <row r="932" spans="2:8">
      <c r="B932" t="s">
        <v>25021</v>
      </c>
      <c r="C932">
        <v>503</v>
      </c>
      <c r="D932">
        <v>24</v>
      </c>
      <c r="E932">
        <v>17</v>
      </c>
      <c r="F932">
        <v>0</v>
      </c>
      <c r="G932">
        <v>13</v>
      </c>
      <c r="H932">
        <v>4</v>
      </c>
    </row>
    <row r="933" spans="2:8">
      <c r="B933" t="s">
        <v>25021</v>
      </c>
      <c r="C933">
        <v>506</v>
      </c>
      <c r="D933">
        <v>22</v>
      </c>
      <c r="E933">
        <v>9</v>
      </c>
      <c r="F933">
        <v>0</v>
      </c>
      <c r="G933">
        <v>6</v>
      </c>
      <c r="H933">
        <v>3</v>
      </c>
    </row>
    <row r="934" spans="2:8">
      <c r="B934" t="s">
        <v>25021</v>
      </c>
      <c r="C934">
        <v>506</v>
      </c>
      <c r="D934">
        <v>16</v>
      </c>
      <c r="E934">
        <v>0</v>
      </c>
      <c r="F934">
        <v>0</v>
      </c>
      <c r="G934">
        <v>0</v>
      </c>
      <c r="H934">
        <v>0</v>
      </c>
    </row>
    <row r="935" spans="2:8">
      <c r="B935" t="s">
        <v>25021</v>
      </c>
      <c r="C935">
        <v>508</v>
      </c>
      <c r="D935">
        <v>19</v>
      </c>
      <c r="E935">
        <v>7</v>
      </c>
      <c r="F935">
        <v>0</v>
      </c>
      <c r="G935">
        <v>7</v>
      </c>
      <c r="H935">
        <v>0</v>
      </c>
    </row>
    <row r="936" spans="2:8">
      <c r="B936" t="s">
        <v>25021</v>
      </c>
      <c r="C936">
        <v>509</v>
      </c>
      <c r="D936">
        <v>39</v>
      </c>
      <c r="E936">
        <v>13</v>
      </c>
      <c r="F936">
        <v>0</v>
      </c>
      <c r="G936">
        <v>13</v>
      </c>
      <c r="H936">
        <v>0</v>
      </c>
    </row>
    <row r="937" spans="2:8">
      <c r="B937" t="s">
        <v>25021</v>
      </c>
      <c r="C937">
        <v>509</v>
      </c>
      <c r="D937">
        <v>29</v>
      </c>
      <c r="E937">
        <v>14</v>
      </c>
      <c r="F937">
        <v>0</v>
      </c>
      <c r="G937">
        <v>14</v>
      </c>
      <c r="H937">
        <v>0</v>
      </c>
    </row>
    <row r="938" spans="2:8">
      <c r="B938" t="s">
        <v>25021</v>
      </c>
      <c r="C938">
        <v>510</v>
      </c>
      <c r="D938">
        <v>19</v>
      </c>
      <c r="E938">
        <v>6</v>
      </c>
      <c r="F938">
        <v>0</v>
      </c>
      <c r="G938">
        <v>6</v>
      </c>
      <c r="H938">
        <v>0</v>
      </c>
    </row>
    <row r="939" spans="2:8">
      <c r="B939" t="s">
        <v>25021</v>
      </c>
      <c r="C939">
        <v>511</v>
      </c>
      <c r="D939">
        <v>25</v>
      </c>
      <c r="E939">
        <v>7</v>
      </c>
      <c r="F939">
        <v>0</v>
      </c>
      <c r="G939">
        <v>6</v>
      </c>
      <c r="H939">
        <v>1</v>
      </c>
    </row>
    <row r="940" spans="2:8">
      <c r="B940" t="s">
        <v>25021</v>
      </c>
      <c r="C940">
        <v>512</v>
      </c>
      <c r="D940">
        <v>33</v>
      </c>
      <c r="E940">
        <v>13</v>
      </c>
      <c r="F940">
        <v>2</v>
      </c>
      <c r="G940">
        <v>3</v>
      </c>
      <c r="H940">
        <v>8</v>
      </c>
    </row>
    <row r="941" spans="2:8">
      <c r="B941" t="s">
        <v>25021</v>
      </c>
      <c r="C941">
        <v>512</v>
      </c>
      <c r="D941">
        <v>3</v>
      </c>
      <c r="E941">
        <v>0</v>
      </c>
      <c r="F941">
        <v>0</v>
      </c>
      <c r="G941">
        <v>0</v>
      </c>
      <c r="H941">
        <v>0</v>
      </c>
    </row>
    <row r="942" spans="2:8">
      <c r="B942" t="s">
        <v>25021</v>
      </c>
      <c r="C942">
        <v>513</v>
      </c>
      <c r="D942">
        <v>69</v>
      </c>
      <c r="E942">
        <v>41</v>
      </c>
      <c r="F942">
        <v>2</v>
      </c>
      <c r="G942">
        <v>32</v>
      </c>
      <c r="H942">
        <v>7</v>
      </c>
    </row>
    <row r="943" spans="2:8">
      <c r="B943" t="s">
        <v>25021</v>
      </c>
      <c r="C943">
        <v>513</v>
      </c>
      <c r="D943">
        <v>20</v>
      </c>
      <c r="E943">
        <v>8</v>
      </c>
      <c r="F943">
        <v>0</v>
      </c>
      <c r="G943">
        <v>8</v>
      </c>
      <c r="H943">
        <v>0</v>
      </c>
    </row>
    <row r="944" spans="2:8">
      <c r="B944" t="s">
        <v>25021</v>
      </c>
      <c r="C944">
        <v>513</v>
      </c>
      <c r="D944">
        <v>28</v>
      </c>
      <c r="E944">
        <v>24</v>
      </c>
      <c r="F944">
        <v>0</v>
      </c>
      <c r="G944">
        <v>22</v>
      </c>
      <c r="H944">
        <v>2</v>
      </c>
    </row>
    <row r="945" spans="2:8">
      <c r="B945" t="s">
        <v>25021</v>
      </c>
      <c r="C945">
        <v>513</v>
      </c>
      <c r="D945">
        <v>14</v>
      </c>
      <c r="E945">
        <v>2</v>
      </c>
      <c r="F945">
        <v>0</v>
      </c>
      <c r="G945">
        <v>2</v>
      </c>
      <c r="H945">
        <v>0</v>
      </c>
    </row>
    <row r="946" spans="2:8">
      <c r="B946" t="s">
        <v>25021</v>
      </c>
      <c r="C946">
        <v>513</v>
      </c>
      <c r="D946">
        <v>9</v>
      </c>
      <c r="E946">
        <v>2</v>
      </c>
      <c r="F946">
        <v>0</v>
      </c>
      <c r="G946">
        <v>2</v>
      </c>
      <c r="H946">
        <v>0</v>
      </c>
    </row>
    <row r="947" spans="2:8">
      <c r="B947" t="s">
        <v>25021</v>
      </c>
      <c r="C947">
        <v>516</v>
      </c>
      <c r="D947">
        <v>47</v>
      </c>
      <c r="E947">
        <v>27</v>
      </c>
      <c r="F947">
        <v>0</v>
      </c>
      <c r="G947">
        <v>22</v>
      </c>
      <c r="H947">
        <v>5</v>
      </c>
    </row>
    <row r="948" spans="2:8">
      <c r="B948" t="s">
        <v>25021</v>
      </c>
      <c r="C948">
        <v>518</v>
      </c>
      <c r="D948">
        <v>20</v>
      </c>
      <c r="E948">
        <v>2</v>
      </c>
      <c r="F948">
        <v>0</v>
      </c>
      <c r="G948">
        <v>2</v>
      </c>
      <c r="H948">
        <v>0</v>
      </c>
    </row>
    <row r="949" spans="2:8">
      <c r="B949" t="s">
        <v>25021</v>
      </c>
      <c r="C949">
        <v>518</v>
      </c>
      <c r="D949">
        <v>57</v>
      </c>
      <c r="E949">
        <v>33</v>
      </c>
      <c r="F949">
        <v>2</v>
      </c>
      <c r="G949">
        <v>24</v>
      </c>
      <c r="H949">
        <v>7</v>
      </c>
    </row>
    <row r="950" spans="2:8">
      <c r="B950" t="s">
        <v>25021</v>
      </c>
      <c r="C950">
        <v>518</v>
      </c>
      <c r="D950">
        <v>11</v>
      </c>
      <c r="E950">
        <v>4</v>
      </c>
      <c r="F950">
        <v>0</v>
      </c>
      <c r="G950">
        <v>4</v>
      </c>
      <c r="H950">
        <v>0</v>
      </c>
    </row>
    <row r="951" spans="2:8">
      <c r="B951" t="s">
        <v>25021</v>
      </c>
      <c r="C951">
        <v>518</v>
      </c>
      <c r="D951">
        <v>8</v>
      </c>
      <c r="E951">
        <v>2</v>
      </c>
      <c r="F951">
        <v>0</v>
      </c>
      <c r="G951">
        <v>2</v>
      </c>
      <c r="H951">
        <v>0</v>
      </c>
    </row>
    <row r="952" spans="2:8">
      <c r="B952" t="s">
        <v>25021</v>
      </c>
      <c r="C952">
        <v>520</v>
      </c>
      <c r="D952">
        <v>5</v>
      </c>
      <c r="E952">
        <v>2</v>
      </c>
      <c r="F952">
        <v>0</v>
      </c>
      <c r="G952">
        <v>2</v>
      </c>
      <c r="H952">
        <v>0</v>
      </c>
    </row>
    <row r="953" spans="2:8">
      <c r="B953" t="s">
        <v>25021</v>
      </c>
      <c r="C953">
        <v>521</v>
      </c>
      <c r="D953">
        <v>4</v>
      </c>
      <c r="E953">
        <v>0</v>
      </c>
      <c r="F953">
        <v>0</v>
      </c>
      <c r="G953">
        <v>0</v>
      </c>
      <c r="H953">
        <v>0</v>
      </c>
    </row>
    <row r="954" spans="2:8">
      <c r="B954" t="s">
        <v>25021</v>
      </c>
      <c r="C954">
        <v>525</v>
      </c>
      <c r="D954">
        <v>32</v>
      </c>
      <c r="E954">
        <v>15</v>
      </c>
      <c r="F954">
        <v>0</v>
      </c>
      <c r="G954">
        <v>15</v>
      </c>
      <c r="H954">
        <v>0</v>
      </c>
    </row>
    <row r="955" spans="2:8">
      <c r="B955" t="s">
        <v>25021</v>
      </c>
      <c r="C955">
        <v>525</v>
      </c>
      <c r="D955">
        <v>6</v>
      </c>
      <c r="E955">
        <v>2</v>
      </c>
      <c r="F955">
        <v>0</v>
      </c>
      <c r="G955">
        <v>2</v>
      </c>
      <c r="H955">
        <v>0</v>
      </c>
    </row>
    <row r="956" spans="2:8">
      <c r="B956" t="s">
        <v>25021</v>
      </c>
      <c r="C956">
        <v>527</v>
      </c>
      <c r="D956">
        <v>11</v>
      </c>
      <c r="E956">
        <v>0</v>
      </c>
      <c r="F956">
        <v>0</v>
      </c>
      <c r="G956">
        <v>0</v>
      </c>
      <c r="H956">
        <v>0</v>
      </c>
    </row>
    <row r="957" spans="2:8">
      <c r="B957" t="s">
        <v>25021</v>
      </c>
      <c r="C957">
        <v>529</v>
      </c>
      <c r="D957">
        <v>50</v>
      </c>
      <c r="E957">
        <v>13</v>
      </c>
      <c r="F957">
        <v>0</v>
      </c>
      <c r="G957">
        <v>13</v>
      </c>
      <c r="H957">
        <v>0</v>
      </c>
    </row>
    <row r="958" spans="2:8">
      <c r="B958" t="s">
        <v>25021</v>
      </c>
      <c r="C958">
        <v>531</v>
      </c>
      <c r="D958">
        <v>8</v>
      </c>
      <c r="E958">
        <v>0</v>
      </c>
      <c r="F958">
        <v>0</v>
      </c>
      <c r="G958">
        <v>0</v>
      </c>
      <c r="H958">
        <v>0</v>
      </c>
    </row>
    <row r="959" spans="2:8">
      <c r="B959" t="s">
        <v>25021</v>
      </c>
      <c r="C959">
        <v>531</v>
      </c>
      <c r="D959">
        <v>11</v>
      </c>
      <c r="E959">
        <v>0</v>
      </c>
      <c r="F959">
        <v>0</v>
      </c>
      <c r="G959">
        <v>0</v>
      </c>
      <c r="H959">
        <v>0</v>
      </c>
    </row>
    <row r="960" spans="2:8">
      <c r="B960" t="s">
        <v>25021</v>
      </c>
      <c r="C960">
        <v>533</v>
      </c>
      <c r="D960">
        <v>10</v>
      </c>
      <c r="E960">
        <v>2</v>
      </c>
      <c r="F960">
        <v>0</v>
      </c>
      <c r="G960">
        <v>2</v>
      </c>
      <c r="H960">
        <v>0</v>
      </c>
    </row>
    <row r="961" spans="2:8">
      <c r="B961" t="s">
        <v>25021</v>
      </c>
      <c r="C961">
        <v>536</v>
      </c>
      <c r="D961">
        <v>42</v>
      </c>
      <c r="E961">
        <v>13</v>
      </c>
      <c r="F961">
        <v>2</v>
      </c>
      <c r="G961">
        <v>5</v>
      </c>
      <c r="H961">
        <v>6</v>
      </c>
    </row>
    <row r="962" spans="2:8">
      <c r="B962" t="s">
        <v>25021</v>
      </c>
      <c r="C962">
        <v>541</v>
      </c>
      <c r="D962">
        <v>29</v>
      </c>
      <c r="E962">
        <v>4</v>
      </c>
      <c r="F962">
        <v>0</v>
      </c>
      <c r="G962">
        <v>4</v>
      </c>
      <c r="H962">
        <v>0</v>
      </c>
    </row>
    <row r="963" spans="2:8">
      <c r="B963" t="s">
        <v>25021</v>
      </c>
      <c r="C963">
        <v>541</v>
      </c>
      <c r="D963">
        <v>11</v>
      </c>
      <c r="E963">
        <v>5</v>
      </c>
      <c r="F963">
        <v>0</v>
      </c>
      <c r="G963">
        <v>5</v>
      </c>
      <c r="H963">
        <v>0</v>
      </c>
    </row>
    <row r="964" spans="2:8">
      <c r="B964" t="s">
        <v>25021</v>
      </c>
      <c r="C964">
        <v>547</v>
      </c>
      <c r="D964">
        <v>70</v>
      </c>
      <c r="E964">
        <v>30</v>
      </c>
      <c r="F964">
        <v>0</v>
      </c>
      <c r="G964">
        <v>22</v>
      </c>
      <c r="H964">
        <v>8</v>
      </c>
    </row>
    <row r="965" spans="2:8">
      <c r="B965" t="s">
        <v>25021</v>
      </c>
      <c r="C965">
        <v>547</v>
      </c>
      <c r="D965">
        <v>48</v>
      </c>
      <c r="E965">
        <v>15</v>
      </c>
      <c r="F965">
        <v>0</v>
      </c>
      <c r="G965">
        <v>12</v>
      </c>
      <c r="H965">
        <v>3</v>
      </c>
    </row>
    <row r="966" spans="2:8">
      <c r="B966" t="s">
        <v>25021</v>
      </c>
      <c r="C966">
        <v>547</v>
      </c>
      <c r="D966">
        <v>10</v>
      </c>
      <c r="E966">
        <v>3</v>
      </c>
      <c r="F966">
        <v>0</v>
      </c>
      <c r="G966">
        <v>3</v>
      </c>
      <c r="H966">
        <v>0</v>
      </c>
    </row>
    <row r="967" spans="2:8">
      <c r="B967" t="s">
        <v>25021</v>
      </c>
      <c r="C967">
        <v>549</v>
      </c>
      <c r="D967">
        <v>42</v>
      </c>
      <c r="E967">
        <v>20</v>
      </c>
      <c r="F967">
        <v>0</v>
      </c>
      <c r="G967">
        <v>14</v>
      </c>
      <c r="H967">
        <v>6</v>
      </c>
    </row>
    <row r="968" spans="2:8">
      <c r="B968" t="s">
        <v>25021</v>
      </c>
      <c r="C968">
        <v>552</v>
      </c>
      <c r="D968">
        <v>30</v>
      </c>
      <c r="E968">
        <v>19</v>
      </c>
      <c r="F968">
        <v>0</v>
      </c>
      <c r="G968">
        <v>17</v>
      </c>
      <c r="H968">
        <v>2</v>
      </c>
    </row>
    <row r="969" spans="2:8">
      <c r="B969" t="s">
        <v>25021</v>
      </c>
      <c r="C969">
        <v>552</v>
      </c>
      <c r="D969">
        <v>22</v>
      </c>
      <c r="E969">
        <v>7</v>
      </c>
      <c r="F969">
        <v>0</v>
      </c>
      <c r="G969">
        <v>6</v>
      </c>
      <c r="H969">
        <v>1</v>
      </c>
    </row>
    <row r="970" spans="2:8">
      <c r="B970" t="s">
        <v>25021</v>
      </c>
      <c r="C970">
        <v>555</v>
      </c>
      <c r="D970">
        <v>2</v>
      </c>
      <c r="E970">
        <v>0</v>
      </c>
      <c r="F970">
        <v>0</v>
      </c>
      <c r="G970">
        <v>0</v>
      </c>
      <c r="H970">
        <v>0</v>
      </c>
    </row>
    <row r="971" spans="2:8">
      <c r="B971" t="s">
        <v>25021</v>
      </c>
      <c r="C971">
        <v>557</v>
      </c>
      <c r="D971">
        <v>11</v>
      </c>
      <c r="E971">
        <v>4</v>
      </c>
      <c r="F971">
        <v>0</v>
      </c>
      <c r="G971">
        <v>4</v>
      </c>
      <c r="H971">
        <v>0</v>
      </c>
    </row>
    <row r="972" spans="2:8">
      <c r="B972" t="s">
        <v>25021</v>
      </c>
      <c r="C972">
        <v>562</v>
      </c>
      <c r="D972">
        <v>66</v>
      </c>
      <c r="E972">
        <v>42</v>
      </c>
      <c r="F972">
        <v>0</v>
      </c>
      <c r="G972">
        <v>36</v>
      </c>
      <c r="H972">
        <v>6</v>
      </c>
    </row>
    <row r="973" spans="2:8">
      <c r="B973" t="s">
        <v>25021</v>
      </c>
      <c r="C973">
        <v>563</v>
      </c>
      <c r="D973">
        <v>26</v>
      </c>
      <c r="E973">
        <v>12</v>
      </c>
      <c r="F973">
        <v>0</v>
      </c>
      <c r="G973">
        <v>11</v>
      </c>
      <c r="H973">
        <v>1</v>
      </c>
    </row>
    <row r="974" spans="2:8">
      <c r="B974" t="s">
        <v>25021</v>
      </c>
      <c r="C974">
        <v>566</v>
      </c>
      <c r="D974">
        <v>46</v>
      </c>
      <c r="E974">
        <v>16</v>
      </c>
      <c r="F974">
        <v>0</v>
      </c>
      <c r="G974">
        <v>16</v>
      </c>
      <c r="H974">
        <v>0</v>
      </c>
    </row>
    <row r="975" spans="2:8">
      <c r="B975" t="s">
        <v>25021</v>
      </c>
      <c r="C975">
        <v>572</v>
      </c>
      <c r="D975">
        <v>20</v>
      </c>
      <c r="E975">
        <v>5</v>
      </c>
      <c r="F975">
        <v>0</v>
      </c>
      <c r="G975">
        <v>3</v>
      </c>
      <c r="H975">
        <v>2</v>
      </c>
    </row>
    <row r="976" spans="2:8">
      <c r="B976" t="s">
        <v>25021</v>
      </c>
      <c r="C976">
        <v>573</v>
      </c>
      <c r="D976">
        <v>40</v>
      </c>
      <c r="E976">
        <v>19</v>
      </c>
      <c r="F976">
        <v>0</v>
      </c>
      <c r="G976">
        <v>15</v>
      </c>
      <c r="H976">
        <v>4</v>
      </c>
    </row>
    <row r="977" spans="2:8">
      <c r="B977" t="s">
        <v>25021</v>
      </c>
      <c r="C977">
        <v>589</v>
      </c>
      <c r="D977">
        <v>3</v>
      </c>
      <c r="E977">
        <v>0</v>
      </c>
      <c r="F977">
        <v>0</v>
      </c>
      <c r="G977">
        <v>0</v>
      </c>
      <c r="H977">
        <v>0</v>
      </c>
    </row>
    <row r="978" spans="2:8">
      <c r="B978" t="s">
        <v>25021</v>
      </c>
      <c r="C978">
        <v>611</v>
      </c>
      <c r="D978">
        <v>38</v>
      </c>
      <c r="E978">
        <v>7</v>
      </c>
      <c r="F978">
        <v>2</v>
      </c>
      <c r="G978">
        <v>2</v>
      </c>
      <c r="H978">
        <v>3</v>
      </c>
    </row>
    <row r="979" spans="2:8">
      <c r="B979" t="s">
        <v>25021</v>
      </c>
      <c r="C979">
        <v>612</v>
      </c>
      <c r="D979">
        <v>20</v>
      </c>
      <c r="E979">
        <v>7</v>
      </c>
      <c r="F979">
        <v>0</v>
      </c>
      <c r="G979">
        <v>5</v>
      </c>
      <c r="H979">
        <v>2</v>
      </c>
    </row>
    <row r="980" spans="2:8">
      <c r="B980" t="s">
        <v>25021</v>
      </c>
      <c r="C980">
        <v>617</v>
      </c>
      <c r="D980">
        <v>44</v>
      </c>
      <c r="E980">
        <v>11</v>
      </c>
      <c r="F980">
        <v>0</v>
      </c>
      <c r="G980">
        <v>11</v>
      </c>
      <c r="H980">
        <v>0</v>
      </c>
    </row>
    <row r="981" spans="2:8">
      <c r="B981" t="s">
        <v>25021</v>
      </c>
      <c r="C981">
        <v>624</v>
      </c>
      <c r="D981">
        <v>39</v>
      </c>
      <c r="E981">
        <v>13</v>
      </c>
      <c r="F981">
        <v>2</v>
      </c>
      <c r="G981">
        <v>9</v>
      </c>
      <c r="H981">
        <v>2</v>
      </c>
    </row>
    <row r="982" spans="2:8">
      <c r="B982" t="s">
        <v>25021</v>
      </c>
      <c r="C982">
        <v>631</v>
      </c>
      <c r="D982">
        <v>49</v>
      </c>
      <c r="E982">
        <v>30</v>
      </c>
      <c r="F982">
        <v>0</v>
      </c>
      <c r="G982">
        <v>23</v>
      </c>
      <c r="H982">
        <v>7</v>
      </c>
    </row>
    <row r="983" spans="2:8">
      <c r="B983" t="s">
        <v>25021</v>
      </c>
      <c r="C983">
        <v>632</v>
      </c>
      <c r="D983">
        <v>64</v>
      </c>
      <c r="E983">
        <v>23</v>
      </c>
      <c r="F983">
        <v>0</v>
      </c>
      <c r="G983">
        <v>21</v>
      </c>
      <c r="H983">
        <v>2</v>
      </c>
    </row>
    <row r="984" spans="2:8">
      <c r="B984" t="s">
        <v>25021</v>
      </c>
      <c r="C984">
        <v>634</v>
      </c>
      <c r="D984">
        <v>88</v>
      </c>
      <c r="E984">
        <v>50</v>
      </c>
      <c r="F984">
        <v>3</v>
      </c>
      <c r="G984">
        <v>35</v>
      </c>
      <c r="H984">
        <v>12</v>
      </c>
    </row>
    <row r="985" spans="2:8">
      <c r="B985" t="s">
        <v>25021</v>
      </c>
      <c r="C985">
        <v>641</v>
      </c>
      <c r="D985">
        <v>62</v>
      </c>
      <c r="E985">
        <v>39</v>
      </c>
      <c r="F985">
        <v>7</v>
      </c>
      <c r="G985">
        <v>30</v>
      </c>
      <c r="H985">
        <v>2</v>
      </c>
    </row>
    <row r="986" spans="2:8">
      <c r="B986" t="s">
        <v>25021</v>
      </c>
      <c r="C986">
        <v>642</v>
      </c>
      <c r="D986">
        <v>90</v>
      </c>
      <c r="E986">
        <v>54</v>
      </c>
      <c r="F986">
        <v>0</v>
      </c>
      <c r="G986">
        <v>51</v>
      </c>
      <c r="H986">
        <v>3</v>
      </c>
    </row>
    <row r="987" spans="2:8">
      <c r="B987" t="s">
        <v>25021</v>
      </c>
      <c r="C987">
        <v>642</v>
      </c>
      <c r="D987">
        <v>38</v>
      </c>
      <c r="E987">
        <v>16</v>
      </c>
      <c r="F987">
        <v>0</v>
      </c>
      <c r="G987">
        <v>16</v>
      </c>
      <c r="H987">
        <v>0</v>
      </c>
    </row>
    <row r="988" spans="2:8">
      <c r="B988" t="s">
        <v>25021</v>
      </c>
      <c r="C988">
        <v>645</v>
      </c>
      <c r="D988">
        <v>77</v>
      </c>
      <c r="E988">
        <v>40</v>
      </c>
      <c r="F988">
        <v>0</v>
      </c>
      <c r="G988">
        <v>39</v>
      </c>
      <c r="H988">
        <v>1</v>
      </c>
    </row>
    <row r="989" spans="2:8">
      <c r="B989" t="s">
        <v>25021</v>
      </c>
      <c r="C989">
        <v>649</v>
      </c>
      <c r="D989">
        <v>27</v>
      </c>
      <c r="E989">
        <v>5</v>
      </c>
      <c r="F989">
        <v>0</v>
      </c>
      <c r="G989">
        <v>5</v>
      </c>
      <c r="H989">
        <v>0</v>
      </c>
    </row>
    <row r="990" spans="2:8">
      <c r="B990" t="s">
        <v>25021</v>
      </c>
      <c r="C990">
        <v>669</v>
      </c>
      <c r="D990">
        <v>63</v>
      </c>
      <c r="E990">
        <v>22</v>
      </c>
      <c r="F990">
        <v>0</v>
      </c>
      <c r="G990">
        <v>12</v>
      </c>
      <c r="H990">
        <v>10</v>
      </c>
    </row>
    <row r="991" spans="2:8">
      <c r="B991" t="s">
        <v>25021</v>
      </c>
      <c r="C991">
        <v>680</v>
      </c>
      <c r="D991">
        <v>58</v>
      </c>
      <c r="E991">
        <v>27</v>
      </c>
      <c r="F991">
        <v>0</v>
      </c>
      <c r="G991">
        <v>25</v>
      </c>
      <c r="H991">
        <v>2</v>
      </c>
    </row>
    <row r="992" spans="2:8">
      <c r="B992" t="s">
        <v>25021</v>
      </c>
      <c r="C992">
        <v>685</v>
      </c>
      <c r="D992">
        <v>112</v>
      </c>
      <c r="E992">
        <v>58</v>
      </c>
      <c r="F992">
        <v>0</v>
      </c>
      <c r="G992">
        <v>51</v>
      </c>
      <c r="H992">
        <v>7</v>
      </c>
    </row>
    <row r="993" spans="2:8">
      <c r="B993" t="s">
        <v>25021</v>
      </c>
      <c r="C993">
        <v>689</v>
      </c>
      <c r="D993">
        <v>95</v>
      </c>
      <c r="E993">
        <v>38</v>
      </c>
      <c r="F993">
        <v>0</v>
      </c>
      <c r="G993">
        <v>35</v>
      </c>
      <c r="H993">
        <v>3</v>
      </c>
    </row>
    <row r="994" spans="2:8">
      <c r="B994" t="s">
        <v>25021</v>
      </c>
      <c r="C994">
        <v>691</v>
      </c>
      <c r="D994">
        <v>26</v>
      </c>
      <c r="E994">
        <v>9</v>
      </c>
      <c r="F994">
        <v>0</v>
      </c>
      <c r="G994">
        <v>8</v>
      </c>
      <c r="H994">
        <v>1</v>
      </c>
    </row>
    <row r="995" spans="2:8">
      <c r="B995" t="s">
        <v>25021</v>
      </c>
      <c r="C995">
        <v>699</v>
      </c>
      <c r="D995">
        <v>23</v>
      </c>
      <c r="E995">
        <v>13</v>
      </c>
      <c r="F995">
        <v>0</v>
      </c>
      <c r="G995">
        <v>12</v>
      </c>
      <c r="H995">
        <v>1</v>
      </c>
    </row>
    <row r="996" spans="2:8">
      <c r="B996" t="s">
        <v>25021</v>
      </c>
      <c r="C996">
        <v>710</v>
      </c>
      <c r="D996">
        <v>91</v>
      </c>
      <c r="E996">
        <v>49</v>
      </c>
      <c r="F996">
        <v>0</v>
      </c>
      <c r="G996">
        <v>45</v>
      </c>
      <c r="H996">
        <v>4</v>
      </c>
    </row>
    <row r="997" spans="2:8">
      <c r="B997" t="s">
        <v>25021</v>
      </c>
      <c r="C997">
        <v>732</v>
      </c>
      <c r="D997">
        <v>9</v>
      </c>
      <c r="E997">
        <v>4</v>
      </c>
      <c r="F997">
        <v>0</v>
      </c>
      <c r="G997">
        <v>4</v>
      </c>
      <c r="H997">
        <v>0</v>
      </c>
    </row>
    <row r="998" spans="2:8">
      <c r="B998" t="s">
        <v>25021</v>
      </c>
      <c r="C998">
        <v>759</v>
      </c>
      <c r="D998">
        <v>21</v>
      </c>
      <c r="E998">
        <v>6</v>
      </c>
      <c r="F998">
        <v>0</v>
      </c>
      <c r="G998">
        <v>6</v>
      </c>
      <c r="H998">
        <v>0</v>
      </c>
    </row>
    <row r="999" spans="2:8">
      <c r="B999" t="s">
        <v>25021</v>
      </c>
      <c r="C999">
        <v>762</v>
      </c>
      <c r="D999">
        <v>19</v>
      </c>
      <c r="E999">
        <v>8</v>
      </c>
      <c r="F999">
        <v>0</v>
      </c>
      <c r="G999">
        <v>8</v>
      </c>
      <c r="H999">
        <v>0</v>
      </c>
    </row>
    <row r="1000" spans="2:8">
      <c r="B1000" t="s">
        <v>25021</v>
      </c>
      <c r="C1000">
        <v>771</v>
      </c>
      <c r="D1000">
        <v>122</v>
      </c>
      <c r="E1000">
        <v>79</v>
      </c>
      <c r="F1000">
        <v>0</v>
      </c>
      <c r="G1000">
        <v>73</v>
      </c>
      <c r="H1000">
        <v>6</v>
      </c>
    </row>
    <row r="1001" spans="2:8">
      <c r="B1001" t="s">
        <v>25021</v>
      </c>
      <c r="C1001">
        <v>772</v>
      </c>
      <c r="D1001">
        <v>55</v>
      </c>
      <c r="E1001">
        <v>29</v>
      </c>
      <c r="F1001">
        <v>2</v>
      </c>
      <c r="G1001">
        <v>22</v>
      </c>
      <c r="H1001">
        <v>5</v>
      </c>
    </row>
    <row r="1002" spans="2:8">
      <c r="B1002" t="s">
        <v>25021</v>
      </c>
      <c r="C1002">
        <v>800</v>
      </c>
      <c r="D1002">
        <v>57</v>
      </c>
      <c r="E1002">
        <v>33</v>
      </c>
      <c r="F1002">
        <v>0</v>
      </c>
      <c r="G1002">
        <v>27</v>
      </c>
      <c r="H1002">
        <v>6</v>
      </c>
    </row>
    <row r="1003" spans="2:8">
      <c r="B1003" t="s">
        <v>25021</v>
      </c>
      <c r="C1003">
        <v>801</v>
      </c>
      <c r="D1003">
        <v>22</v>
      </c>
      <c r="E1003">
        <v>9</v>
      </c>
      <c r="F1003">
        <v>0</v>
      </c>
      <c r="G1003">
        <v>9</v>
      </c>
      <c r="H1003">
        <v>0</v>
      </c>
    </row>
    <row r="1004" spans="2:8">
      <c r="B1004" t="s">
        <v>25021</v>
      </c>
      <c r="C1004">
        <v>805</v>
      </c>
      <c r="D1004">
        <v>53</v>
      </c>
      <c r="E1004">
        <v>20</v>
      </c>
      <c r="F1004">
        <v>0</v>
      </c>
      <c r="G1004">
        <v>17</v>
      </c>
      <c r="H1004">
        <v>3</v>
      </c>
    </row>
    <row r="1005" spans="2:8">
      <c r="B1005" t="s">
        <v>25021</v>
      </c>
      <c r="C1005">
        <v>806</v>
      </c>
      <c r="D1005">
        <v>12</v>
      </c>
      <c r="E1005">
        <v>2</v>
      </c>
      <c r="F1005">
        <v>0</v>
      </c>
      <c r="G1005">
        <v>2</v>
      </c>
      <c r="H1005">
        <v>0</v>
      </c>
    </row>
    <row r="1006" spans="2:8">
      <c r="B1006" t="s">
        <v>25021</v>
      </c>
      <c r="C1006">
        <v>806</v>
      </c>
      <c r="D1006">
        <v>40</v>
      </c>
      <c r="E1006">
        <v>23</v>
      </c>
      <c r="F1006">
        <v>0</v>
      </c>
      <c r="G1006">
        <v>20</v>
      </c>
      <c r="H1006">
        <v>3</v>
      </c>
    </row>
    <row r="1007" spans="2:8">
      <c r="B1007" t="s">
        <v>25021</v>
      </c>
      <c r="C1007">
        <v>829</v>
      </c>
      <c r="D1007">
        <v>158</v>
      </c>
      <c r="E1007">
        <v>96</v>
      </c>
      <c r="F1007">
        <v>4</v>
      </c>
      <c r="G1007">
        <v>73</v>
      </c>
      <c r="H1007">
        <v>19</v>
      </c>
    </row>
    <row r="1008" spans="2:8">
      <c r="B1008" t="s">
        <v>25021</v>
      </c>
      <c r="C1008">
        <v>831</v>
      </c>
      <c r="D1008">
        <v>37</v>
      </c>
      <c r="E1008">
        <v>19</v>
      </c>
      <c r="F1008">
        <v>0</v>
      </c>
      <c r="G1008">
        <v>17</v>
      </c>
      <c r="H1008">
        <v>2</v>
      </c>
    </row>
    <row r="1009" spans="2:8">
      <c r="B1009" t="s">
        <v>25021</v>
      </c>
      <c r="C1009">
        <v>914</v>
      </c>
      <c r="D1009">
        <v>10</v>
      </c>
      <c r="E1009">
        <v>2</v>
      </c>
      <c r="F1009">
        <v>0</v>
      </c>
      <c r="G1009">
        <v>2</v>
      </c>
      <c r="H1009">
        <v>0</v>
      </c>
    </row>
    <row r="1010" spans="2:8">
      <c r="B1010" t="s">
        <v>25021</v>
      </c>
      <c r="C1010">
        <v>922</v>
      </c>
      <c r="D1010">
        <v>27</v>
      </c>
      <c r="E1010">
        <v>16</v>
      </c>
      <c r="F1010">
        <v>0</v>
      </c>
      <c r="G1010">
        <v>16</v>
      </c>
      <c r="H1010">
        <v>0</v>
      </c>
    </row>
    <row r="1011" spans="2:8">
      <c r="B1011" t="s">
        <v>25021</v>
      </c>
      <c r="C1011">
        <v>980</v>
      </c>
      <c r="D1011">
        <v>14</v>
      </c>
      <c r="E1011">
        <v>0</v>
      </c>
      <c r="F1011">
        <v>0</v>
      </c>
      <c r="G1011">
        <v>0</v>
      </c>
      <c r="H1011">
        <v>0</v>
      </c>
    </row>
    <row r="1012" spans="2:8">
      <c r="B1012" t="s">
        <v>25021</v>
      </c>
      <c r="C1012">
        <v>1279</v>
      </c>
      <c r="D1012">
        <v>138</v>
      </c>
      <c r="E1012">
        <v>75</v>
      </c>
      <c r="F1012">
        <v>4</v>
      </c>
      <c r="G1012">
        <v>65</v>
      </c>
      <c r="H1012">
        <v>6</v>
      </c>
    </row>
    <row r="1013" spans="2:8">
      <c r="B1013" t="s">
        <v>25021</v>
      </c>
      <c r="C1013">
        <v>1462</v>
      </c>
      <c r="D1013">
        <v>119</v>
      </c>
      <c r="E1013">
        <v>56</v>
      </c>
      <c r="F1013">
        <v>0</v>
      </c>
      <c r="G1013">
        <v>45</v>
      </c>
      <c r="H1013">
        <v>11</v>
      </c>
    </row>
    <row r="1014" spans="2:8">
      <c r="B1014" t="s">
        <v>25021</v>
      </c>
      <c r="C1014">
        <v>1520</v>
      </c>
      <c r="D1014">
        <v>57</v>
      </c>
      <c r="E1014">
        <v>19</v>
      </c>
      <c r="F1014">
        <v>0</v>
      </c>
      <c r="G1014">
        <v>19</v>
      </c>
      <c r="H1014">
        <v>0</v>
      </c>
    </row>
    <row r="1015" spans="2:8">
      <c r="B1015" t="s">
        <v>25021</v>
      </c>
      <c r="C1015">
        <v>2555</v>
      </c>
      <c r="D1015">
        <v>397</v>
      </c>
      <c r="E1015">
        <v>220</v>
      </c>
      <c r="F1015">
        <v>11</v>
      </c>
      <c r="G1015">
        <v>183</v>
      </c>
      <c r="H1015">
        <v>26</v>
      </c>
    </row>
    <row r="1016" spans="2:8">
      <c r="B1016" t="s">
        <v>25021</v>
      </c>
      <c r="C1016">
        <v>2560</v>
      </c>
      <c r="D1016">
        <v>368</v>
      </c>
      <c r="E1016">
        <v>192</v>
      </c>
      <c r="F1016">
        <v>2</v>
      </c>
      <c r="G1016">
        <v>150</v>
      </c>
      <c r="H1016">
        <v>40</v>
      </c>
    </row>
    <row r="1017" spans="2:8">
      <c r="B1017" t="s">
        <v>25021</v>
      </c>
      <c r="C1017">
        <v>2561</v>
      </c>
      <c r="D1017">
        <v>350</v>
      </c>
      <c r="E1017">
        <v>198</v>
      </c>
      <c r="F1017">
        <v>0</v>
      </c>
      <c r="G1017">
        <v>177</v>
      </c>
      <c r="H1017">
        <v>21</v>
      </c>
    </row>
    <row r="1018" spans="2:8">
      <c r="B1018" t="s">
        <v>25021</v>
      </c>
      <c r="C1018">
        <v>3603</v>
      </c>
      <c r="D1018">
        <v>405</v>
      </c>
      <c r="E1018">
        <v>195</v>
      </c>
      <c r="F1018">
        <v>0</v>
      </c>
      <c r="G1018">
        <v>179</v>
      </c>
      <c r="H1018">
        <v>16</v>
      </c>
    </row>
    <row r="1019" spans="2:8">
      <c r="B1019" t="s">
        <v>25022</v>
      </c>
      <c r="C1019">
        <v>29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2:8">
      <c r="B1020" t="s">
        <v>25022</v>
      </c>
      <c r="C1020">
        <v>33</v>
      </c>
      <c r="D1020">
        <v>7</v>
      </c>
      <c r="E1020">
        <v>2</v>
      </c>
      <c r="F1020">
        <v>0</v>
      </c>
      <c r="G1020">
        <v>2</v>
      </c>
      <c r="H1020">
        <v>0</v>
      </c>
    </row>
    <row r="1021" spans="2:8">
      <c r="B1021" t="s">
        <v>25022</v>
      </c>
      <c r="C1021">
        <v>35</v>
      </c>
      <c r="D1021">
        <v>2</v>
      </c>
      <c r="E1021">
        <v>0</v>
      </c>
      <c r="F1021">
        <v>0</v>
      </c>
      <c r="G1021">
        <v>0</v>
      </c>
      <c r="H1021">
        <v>0</v>
      </c>
    </row>
    <row r="1022" spans="2:8">
      <c r="B1022" t="s">
        <v>25022</v>
      </c>
      <c r="C1022">
        <v>36</v>
      </c>
      <c r="D1022">
        <v>2</v>
      </c>
      <c r="E1022">
        <v>0</v>
      </c>
      <c r="F1022">
        <v>0</v>
      </c>
      <c r="G1022">
        <v>0</v>
      </c>
      <c r="H1022">
        <v>0</v>
      </c>
    </row>
    <row r="1023" spans="2:8">
      <c r="B1023" t="s">
        <v>25022</v>
      </c>
      <c r="C1023">
        <v>38</v>
      </c>
      <c r="D1023">
        <v>6</v>
      </c>
      <c r="E1023">
        <v>2</v>
      </c>
      <c r="F1023">
        <v>0</v>
      </c>
      <c r="G1023">
        <v>0</v>
      </c>
      <c r="H1023">
        <v>2</v>
      </c>
    </row>
    <row r="1024" spans="2:8">
      <c r="B1024" t="s">
        <v>25022</v>
      </c>
      <c r="C1024">
        <v>39</v>
      </c>
      <c r="D1024">
        <v>2</v>
      </c>
      <c r="E1024">
        <v>0</v>
      </c>
      <c r="F1024">
        <v>0</v>
      </c>
      <c r="G1024">
        <v>0</v>
      </c>
      <c r="H1024">
        <v>0</v>
      </c>
    </row>
    <row r="1025" spans="2:8">
      <c r="B1025" t="s">
        <v>25022</v>
      </c>
      <c r="C1025">
        <v>40</v>
      </c>
      <c r="D1025">
        <v>5</v>
      </c>
      <c r="E1025">
        <v>2</v>
      </c>
      <c r="F1025">
        <v>0</v>
      </c>
      <c r="G1025">
        <v>0</v>
      </c>
      <c r="H1025">
        <v>2</v>
      </c>
    </row>
    <row r="1026" spans="2:8">
      <c r="B1026" t="s">
        <v>25022</v>
      </c>
      <c r="C1026">
        <v>40</v>
      </c>
      <c r="D1026">
        <v>2</v>
      </c>
      <c r="E1026">
        <v>0</v>
      </c>
      <c r="F1026">
        <v>0</v>
      </c>
      <c r="G1026">
        <v>0</v>
      </c>
      <c r="H1026">
        <v>0</v>
      </c>
    </row>
    <row r="1027" spans="2:8">
      <c r="B1027" t="s">
        <v>25022</v>
      </c>
      <c r="C1027">
        <v>41</v>
      </c>
      <c r="D1027">
        <v>4</v>
      </c>
      <c r="E1027">
        <v>0</v>
      </c>
      <c r="F1027">
        <v>0</v>
      </c>
      <c r="G1027">
        <v>0</v>
      </c>
      <c r="H1027">
        <v>0</v>
      </c>
    </row>
    <row r="1028" spans="2:8">
      <c r="B1028" t="s">
        <v>25022</v>
      </c>
      <c r="C1028">
        <v>41</v>
      </c>
      <c r="D1028">
        <v>6</v>
      </c>
      <c r="E1028">
        <v>2</v>
      </c>
      <c r="F1028">
        <v>0</v>
      </c>
      <c r="G1028">
        <v>0</v>
      </c>
      <c r="H1028">
        <v>2</v>
      </c>
    </row>
    <row r="1029" spans="2:8">
      <c r="B1029" t="s">
        <v>25022</v>
      </c>
      <c r="C1029">
        <v>41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2:8">
      <c r="B1030" t="s">
        <v>25022</v>
      </c>
      <c r="C1030">
        <v>42</v>
      </c>
      <c r="D1030">
        <v>2</v>
      </c>
      <c r="E1030">
        <v>0</v>
      </c>
      <c r="F1030">
        <v>0</v>
      </c>
      <c r="G1030">
        <v>0</v>
      </c>
      <c r="H1030">
        <v>0</v>
      </c>
    </row>
    <row r="1031" spans="2:8">
      <c r="B1031" t="s">
        <v>25022</v>
      </c>
      <c r="C1031">
        <v>42</v>
      </c>
      <c r="D1031">
        <v>2</v>
      </c>
      <c r="E1031">
        <v>0</v>
      </c>
      <c r="F1031">
        <v>0</v>
      </c>
      <c r="G1031">
        <v>0</v>
      </c>
      <c r="H1031">
        <v>0</v>
      </c>
    </row>
    <row r="1032" spans="2:8">
      <c r="B1032" t="s">
        <v>25022</v>
      </c>
      <c r="C1032">
        <v>43</v>
      </c>
      <c r="D1032">
        <v>13</v>
      </c>
      <c r="E1032">
        <v>2</v>
      </c>
      <c r="F1032">
        <v>0</v>
      </c>
      <c r="G1032">
        <v>0</v>
      </c>
      <c r="H1032">
        <v>2</v>
      </c>
    </row>
    <row r="1033" spans="2:8">
      <c r="B1033" t="s">
        <v>25022</v>
      </c>
      <c r="C1033">
        <v>43</v>
      </c>
      <c r="D1033">
        <v>2</v>
      </c>
      <c r="E1033">
        <v>0</v>
      </c>
      <c r="F1033">
        <v>0</v>
      </c>
      <c r="G1033">
        <v>0</v>
      </c>
      <c r="H1033">
        <v>0</v>
      </c>
    </row>
    <row r="1034" spans="2:8">
      <c r="B1034" t="s">
        <v>25022</v>
      </c>
      <c r="C1034">
        <v>44</v>
      </c>
      <c r="D1034">
        <v>9</v>
      </c>
      <c r="E1034">
        <v>2</v>
      </c>
      <c r="F1034">
        <v>0</v>
      </c>
      <c r="G1034">
        <v>2</v>
      </c>
      <c r="H1034">
        <v>0</v>
      </c>
    </row>
    <row r="1035" spans="2:8">
      <c r="B1035" t="s">
        <v>25022</v>
      </c>
      <c r="C1035">
        <v>44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2:8">
      <c r="B1036" t="s">
        <v>25022</v>
      </c>
      <c r="C1036">
        <v>45</v>
      </c>
      <c r="D1036">
        <v>9</v>
      </c>
      <c r="E1036">
        <v>4</v>
      </c>
      <c r="F1036">
        <v>0</v>
      </c>
      <c r="G1036">
        <v>2</v>
      </c>
      <c r="H1036">
        <v>2</v>
      </c>
    </row>
    <row r="1037" spans="2:8">
      <c r="B1037" t="s">
        <v>25022</v>
      </c>
      <c r="C1037">
        <v>45</v>
      </c>
      <c r="D1037">
        <v>8</v>
      </c>
      <c r="E1037">
        <v>0</v>
      </c>
      <c r="F1037">
        <v>0</v>
      </c>
      <c r="G1037">
        <v>0</v>
      </c>
      <c r="H1037">
        <v>0</v>
      </c>
    </row>
    <row r="1038" spans="2:8">
      <c r="B1038" t="s">
        <v>25022</v>
      </c>
      <c r="C1038">
        <v>45</v>
      </c>
      <c r="D1038">
        <v>3</v>
      </c>
      <c r="E1038">
        <v>0</v>
      </c>
      <c r="F1038">
        <v>0</v>
      </c>
      <c r="G1038">
        <v>0</v>
      </c>
      <c r="H1038">
        <v>0</v>
      </c>
    </row>
    <row r="1039" spans="2:8">
      <c r="B1039" t="s">
        <v>25022</v>
      </c>
      <c r="C1039">
        <v>45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2:8">
      <c r="B1040" t="s">
        <v>25022</v>
      </c>
      <c r="C1040">
        <v>46</v>
      </c>
      <c r="D1040">
        <v>5</v>
      </c>
      <c r="E1040">
        <v>0</v>
      </c>
      <c r="F1040">
        <v>0</v>
      </c>
      <c r="G1040">
        <v>0</v>
      </c>
      <c r="H1040">
        <v>0</v>
      </c>
    </row>
    <row r="1041" spans="2:8">
      <c r="B1041" t="s">
        <v>25022</v>
      </c>
      <c r="C1041">
        <v>46</v>
      </c>
      <c r="D1041">
        <v>7</v>
      </c>
      <c r="E1041">
        <v>2</v>
      </c>
      <c r="F1041">
        <v>0</v>
      </c>
      <c r="G1041">
        <v>2</v>
      </c>
      <c r="H1041">
        <v>0</v>
      </c>
    </row>
    <row r="1042" spans="2:8">
      <c r="B1042" t="s">
        <v>25022</v>
      </c>
      <c r="C1042">
        <v>46</v>
      </c>
      <c r="D1042">
        <v>5</v>
      </c>
      <c r="E1042">
        <v>0</v>
      </c>
      <c r="F1042">
        <v>0</v>
      </c>
      <c r="G1042">
        <v>0</v>
      </c>
      <c r="H1042">
        <v>0</v>
      </c>
    </row>
    <row r="1043" spans="2:8">
      <c r="B1043" t="s">
        <v>25022</v>
      </c>
      <c r="C1043">
        <v>46</v>
      </c>
      <c r="D1043">
        <v>1</v>
      </c>
      <c r="E1043">
        <v>0</v>
      </c>
      <c r="F1043">
        <v>0</v>
      </c>
      <c r="G1043">
        <v>0</v>
      </c>
      <c r="H1043">
        <v>0</v>
      </c>
    </row>
    <row r="1044" spans="2:8">
      <c r="B1044" t="s">
        <v>25022</v>
      </c>
      <c r="C1044">
        <v>46</v>
      </c>
      <c r="D1044">
        <v>1</v>
      </c>
      <c r="E1044">
        <v>0</v>
      </c>
      <c r="F1044">
        <v>0</v>
      </c>
      <c r="G1044">
        <v>0</v>
      </c>
      <c r="H1044">
        <v>0</v>
      </c>
    </row>
    <row r="1045" spans="2:8">
      <c r="B1045" t="s">
        <v>25022</v>
      </c>
      <c r="C1045">
        <v>46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2:8">
      <c r="B1046" t="s">
        <v>25022</v>
      </c>
      <c r="C1046">
        <v>47</v>
      </c>
      <c r="D1046">
        <v>2</v>
      </c>
      <c r="E1046">
        <v>0</v>
      </c>
      <c r="F1046">
        <v>0</v>
      </c>
      <c r="G1046">
        <v>0</v>
      </c>
      <c r="H1046">
        <v>0</v>
      </c>
    </row>
    <row r="1047" spans="2:8">
      <c r="B1047" t="s">
        <v>25022</v>
      </c>
      <c r="C1047">
        <v>47</v>
      </c>
      <c r="D1047">
        <v>7</v>
      </c>
      <c r="E1047">
        <v>4</v>
      </c>
      <c r="F1047">
        <v>0</v>
      </c>
      <c r="G1047">
        <v>3</v>
      </c>
      <c r="H1047">
        <v>1</v>
      </c>
    </row>
    <row r="1048" spans="2:8">
      <c r="B1048" t="s">
        <v>25022</v>
      </c>
      <c r="C1048">
        <v>47</v>
      </c>
      <c r="D1048">
        <v>2</v>
      </c>
      <c r="E1048">
        <v>0</v>
      </c>
      <c r="F1048">
        <v>0</v>
      </c>
      <c r="G1048">
        <v>0</v>
      </c>
      <c r="H1048">
        <v>0</v>
      </c>
    </row>
    <row r="1049" spans="2:8">
      <c r="B1049" t="s">
        <v>25022</v>
      </c>
      <c r="C1049">
        <v>48</v>
      </c>
      <c r="D1049">
        <v>5</v>
      </c>
      <c r="E1049">
        <v>0</v>
      </c>
      <c r="F1049">
        <v>0</v>
      </c>
      <c r="G1049">
        <v>0</v>
      </c>
      <c r="H1049">
        <v>0</v>
      </c>
    </row>
    <row r="1050" spans="2:8">
      <c r="B1050" t="s">
        <v>25022</v>
      </c>
      <c r="C1050">
        <v>48</v>
      </c>
      <c r="D1050">
        <v>1</v>
      </c>
      <c r="E1050">
        <v>0</v>
      </c>
      <c r="F1050">
        <v>0</v>
      </c>
      <c r="G1050">
        <v>0</v>
      </c>
      <c r="H1050">
        <v>0</v>
      </c>
    </row>
    <row r="1051" spans="2:8">
      <c r="B1051" t="s">
        <v>25022</v>
      </c>
      <c r="C1051">
        <v>48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2:8">
      <c r="B1052" t="s">
        <v>25022</v>
      </c>
      <c r="C1052">
        <v>49</v>
      </c>
      <c r="D1052">
        <v>3</v>
      </c>
      <c r="E1052">
        <v>0</v>
      </c>
      <c r="F1052">
        <v>0</v>
      </c>
      <c r="G1052">
        <v>0</v>
      </c>
      <c r="H1052">
        <v>0</v>
      </c>
    </row>
    <row r="1053" spans="2:8">
      <c r="B1053" t="s">
        <v>25022</v>
      </c>
      <c r="C1053">
        <v>49</v>
      </c>
      <c r="D1053">
        <v>3</v>
      </c>
      <c r="E1053">
        <v>0</v>
      </c>
      <c r="F1053">
        <v>0</v>
      </c>
      <c r="G1053">
        <v>0</v>
      </c>
      <c r="H1053">
        <v>0</v>
      </c>
    </row>
    <row r="1054" spans="2:8">
      <c r="B1054" t="s">
        <v>25022</v>
      </c>
      <c r="C1054">
        <v>49</v>
      </c>
      <c r="D1054">
        <v>1</v>
      </c>
      <c r="E1054">
        <v>0</v>
      </c>
      <c r="F1054">
        <v>0</v>
      </c>
      <c r="G1054">
        <v>0</v>
      </c>
      <c r="H1054">
        <v>0</v>
      </c>
    </row>
    <row r="1055" spans="2:8">
      <c r="B1055" t="s">
        <v>25022</v>
      </c>
      <c r="C1055">
        <v>49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2:8">
      <c r="B1056" t="s">
        <v>25022</v>
      </c>
      <c r="C1056">
        <v>51</v>
      </c>
      <c r="D1056">
        <v>4</v>
      </c>
      <c r="E1056">
        <v>0</v>
      </c>
      <c r="F1056">
        <v>0</v>
      </c>
      <c r="G1056">
        <v>0</v>
      </c>
      <c r="H1056">
        <v>0</v>
      </c>
    </row>
    <row r="1057" spans="2:8">
      <c r="B1057" t="s">
        <v>25022</v>
      </c>
      <c r="C1057">
        <v>51</v>
      </c>
      <c r="D1057">
        <v>6</v>
      </c>
      <c r="E1057">
        <v>0</v>
      </c>
      <c r="F1057">
        <v>0</v>
      </c>
      <c r="G1057">
        <v>0</v>
      </c>
      <c r="H1057">
        <v>0</v>
      </c>
    </row>
    <row r="1058" spans="2:8">
      <c r="B1058" t="s">
        <v>25022</v>
      </c>
      <c r="C1058">
        <v>51</v>
      </c>
      <c r="D1058">
        <v>3</v>
      </c>
      <c r="E1058">
        <v>0</v>
      </c>
      <c r="F1058">
        <v>0</v>
      </c>
      <c r="G1058">
        <v>0</v>
      </c>
      <c r="H1058">
        <v>0</v>
      </c>
    </row>
    <row r="1059" spans="2:8">
      <c r="B1059" t="s">
        <v>25022</v>
      </c>
      <c r="C1059">
        <v>51</v>
      </c>
      <c r="D1059">
        <v>3</v>
      </c>
      <c r="E1059">
        <v>0</v>
      </c>
      <c r="F1059">
        <v>0</v>
      </c>
      <c r="G1059">
        <v>0</v>
      </c>
      <c r="H1059">
        <v>0</v>
      </c>
    </row>
    <row r="1060" spans="2:8">
      <c r="B1060" t="s">
        <v>25022</v>
      </c>
      <c r="C1060">
        <v>51</v>
      </c>
      <c r="D1060">
        <v>7</v>
      </c>
      <c r="E1060">
        <v>3</v>
      </c>
      <c r="F1060">
        <v>0</v>
      </c>
      <c r="G1060">
        <v>2</v>
      </c>
      <c r="H1060">
        <v>1</v>
      </c>
    </row>
    <row r="1061" spans="2:8">
      <c r="B1061" t="s">
        <v>25022</v>
      </c>
      <c r="C1061">
        <v>51</v>
      </c>
      <c r="D1061">
        <v>1</v>
      </c>
      <c r="E1061">
        <v>0</v>
      </c>
      <c r="F1061">
        <v>0</v>
      </c>
      <c r="G1061">
        <v>0</v>
      </c>
      <c r="H1061">
        <v>0</v>
      </c>
    </row>
    <row r="1062" spans="2:8">
      <c r="B1062" t="s">
        <v>25022</v>
      </c>
      <c r="C1062">
        <v>51</v>
      </c>
      <c r="D1062">
        <v>3</v>
      </c>
      <c r="E1062">
        <v>0</v>
      </c>
      <c r="F1062">
        <v>0</v>
      </c>
      <c r="G1062">
        <v>0</v>
      </c>
      <c r="H1062">
        <v>0</v>
      </c>
    </row>
    <row r="1063" spans="2:8">
      <c r="B1063" t="s">
        <v>25022</v>
      </c>
      <c r="C1063">
        <v>52</v>
      </c>
      <c r="D1063">
        <v>4</v>
      </c>
      <c r="E1063">
        <v>0</v>
      </c>
      <c r="F1063">
        <v>0</v>
      </c>
      <c r="G1063">
        <v>0</v>
      </c>
      <c r="H1063">
        <v>0</v>
      </c>
    </row>
    <row r="1064" spans="2:8">
      <c r="B1064" t="s">
        <v>25022</v>
      </c>
      <c r="C1064">
        <v>52</v>
      </c>
      <c r="D1064">
        <v>4</v>
      </c>
      <c r="E1064">
        <v>0</v>
      </c>
      <c r="F1064">
        <v>0</v>
      </c>
      <c r="G1064">
        <v>0</v>
      </c>
      <c r="H1064">
        <v>0</v>
      </c>
    </row>
    <row r="1065" spans="2:8">
      <c r="B1065" t="s">
        <v>25022</v>
      </c>
      <c r="C1065">
        <v>53</v>
      </c>
      <c r="D1065">
        <v>2</v>
      </c>
      <c r="E1065">
        <v>0</v>
      </c>
      <c r="F1065">
        <v>0</v>
      </c>
      <c r="G1065">
        <v>0</v>
      </c>
      <c r="H1065">
        <v>0</v>
      </c>
    </row>
    <row r="1066" spans="2:8">
      <c r="B1066" t="s">
        <v>25022</v>
      </c>
      <c r="C1066">
        <v>53</v>
      </c>
      <c r="D1066">
        <v>4</v>
      </c>
      <c r="E1066">
        <v>2</v>
      </c>
      <c r="F1066">
        <v>0</v>
      </c>
      <c r="G1066">
        <v>2</v>
      </c>
      <c r="H1066">
        <v>0</v>
      </c>
    </row>
    <row r="1067" spans="2:8">
      <c r="B1067" t="s">
        <v>25022</v>
      </c>
      <c r="C1067">
        <v>53</v>
      </c>
      <c r="D1067">
        <v>1</v>
      </c>
      <c r="E1067">
        <v>0</v>
      </c>
      <c r="F1067">
        <v>0</v>
      </c>
      <c r="G1067">
        <v>0</v>
      </c>
      <c r="H1067">
        <v>0</v>
      </c>
    </row>
    <row r="1068" spans="2:8">
      <c r="B1068" t="s">
        <v>25022</v>
      </c>
      <c r="C1068">
        <v>54</v>
      </c>
      <c r="D1068">
        <v>4</v>
      </c>
      <c r="E1068">
        <v>0</v>
      </c>
      <c r="F1068">
        <v>0</v>
      </c>
      <c r="G1068">
        <v>0</v>
      </c>
      <c r="H1068">
        <v>0</v>
      </c>
    </row>
    <row r="1069" spans="2:8">
      <c r="B1069" t="s">
        <v>25022</v>
      </c>
      <c r="C1069">
        <v>54</v>
      </c>
      <c r="D1069">
        <v>5</v>
      </c>
      <c r="E1069">
        <v>0</v>
      </c>
      <c r="F1069">
        <v>0</v>
      </c>
      <c r="G1069">
        <v>0</v>
      </c>
      <c r="H1069">
        <v>0</v>
      </c>
    </row>
    <row r="1070" spans="2:8">
      <c r="B1070" t="s">
        <v>25022</v>
      </c>
      <c r="C1070">
        <v>54</v>
      </c>
      <c r="D1070">
        <v>8</v>
      </c>
      <c r="E1070">
        <v>4</v>
      </c>
      <c r="F1070">
        <v>0</v>
      </c>
      <c r="G1070">
        <v>0</v>
      </c>
      <c r="H1070">
        <v>4</v>
      </c>
    </row>
    <row r="1071" spans="2:8">
      <c r="B1071" t="s">
        <v>25022</v>
      </c>
      <c r="C1071">
        <v>54</v>
      </c>
      <c r="D1071">
        <v>4</v>
      </c>
      <c r="E1071">
        <v>0</v>
      </c>
      <c r="F1071">
        <v>0</v>
      </c>
      <c r="G1071">
        <v>0</v>
      </c>
      <c r="H1071">
        <v>0</v>
      </c>
    </row>
    <row r="1072" spans="2:8">
      <c r="B1072" t="s">
        <v>25022</v>
      </c>
      <c r="C1072">
        <v>54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2:8">
      <c r="B1073" t="s">
        <v>25022</v>
      </c>
      <c r="C1073">
        <v>55</v>
      </c>
      <c r="D1073">
        <v>7</v>
      </c>
      <c r="E1073">
        <v>0</v>
      </c>
      <c r="F1073">
        <v>0</v>
      </c>
      <c r="G1073">
        <v>0</v>
      </c>
      <c r="H1073">
        <v>0</v>
      </c>
    </row>
    <row r="1074" spans="2:8">
      <c r="B1074" t="s">
        <v>25022</v>
      </c>
      <c r="C1074">
        <v>55</v>
      </c>
      <c r="D1074">
        <v>7</v>
      </c>
      <c r="E1074">
        <v>0</v>
      </c>
      <c r="F1074">
        <v>0</v>
      </c>
      <c r="G1074">
        <v>0</v>
      </c>
      <c r="H1074">
        <v>0</v>
      </c>
    </row>
    <row r="1075" spans="2:8">
      <c r="B1075" t="s">
        <v>25022</v>
      </c>
      <c r="C1075">
        <v>55</v>
      </c>
      <c r="D1075">
        <v>8</v>
      </c>
      <c r="E1075">
        <v>2</v>
      </c>
      <c r="F1075">
        <v>0</v>
      </c>
      <c r="G1075">
        <v>2</v>
      </c>
      <c r="H1075">
        <v>0</v>
      </c>
    </row>
    <row r="1076" spans="2:8">
      <c r="B1076" t="s">
        <v>25022</v>
      </c>
      <c r="C1076">
        <v>55</v>
      </c>
      <c r="D1076">
        <v>2</v>
      </c>
      <c r="E1076">
        <v>0</v>
      </c>
      <c r="F1076">
        <v>0</v>
      </c>
      <c r="G1076">
        <v>0</v>
      </c>
      <c r="H1076">
        <v>0</v>
      </c>
    </row>
    <row r="1077" spans="2:8">
      <c r="B1077" t="s">
        <v>25022</v>
      </c>
      <c r="C1077">
        <v>55</v>
      </c>
      <c r="D1077">
        <v>6</v>
      </c>
      <c r="E1077">
        <v>4</v>
      </c>
      <c r="F1077">
        <v>0</v>
      </c>
      <c r="G1077">
        <v>4</v>
      </c>
      <c r="H1077">
        <v>0</v>
      </c>
    </row>
    <row r="1078" spans="2:8">
      <c r="B1078" t="s">
        <v>25022</v>
      </c>
      <c r="C1078">
        <v>55</v>
      </c>
      <c r="D1078">
        <v>3</v>
      </c>
      <c r="E1078">
        <v>0</v>
      </c>
      <c r="F1078">
        <v>0</v>
      </c>
      <c r="G1078">
        <v>0</v>
      </c>
      <c r="H1078">
        <v>0</v>
      </c>
    </row>
    <row r="1079" spans="2:8">
      <c r="B1079" t="s">
        <v>25022</v>
      </c>
      <c r="C1079">
        <v>56</v>
      </c>
      <c r="D1079">
        <v>6</v>
      </c>
      <c r="E1079">
        <v>0</v>
      </c>
      <c r="F1079">
        <v>0</v>
      </c>
      <c r="G1079">
        <v>0</v>
      </c>
      <c r="H1079">
        <v>0</v>
      </c>
    </row>
    <row r="1080" spans="2:8">
      <c r="B1080" t="s">
        <v>25022</v>
      </c>
      <c r="C1080">
        <v>56</v>
      </c>
      <c r="D1080">
        <v>9</v>
      </c>
      <c r="E1080">
        <v>3</v>
      </c>
      <c r="F1080">
        <v>0</v>
      </c>
      <c r="G1080">
        <v>3</v>
      </c>
      <c r="H1080">
        <v>0</v>
      </c>
    </row>
    <row r="1081" spans="2:8">
      <c r="B1081" t="s">
        <v>25022</v>
      </c>
      <c r="C1081">
        <v>56</v>
      </c>
      <c r="D1081">
        <v>5</v>
      </c>
      <c r="E1081">
        <v>4</v>
      </c>
      <c r="F1081">
        <v>0</v>
      </c>
      <c r="G1081">
        <v>4</v>
      </c>
      <c r="H1081">
        <v>0</v>
      </c>
    </row>
    <row r="1082" spans="2:8">
      <c r="B1082" t="s">
        <v>25022</v>
      </c>
      <c r="C1082">
        <v>56</v>
      </c>
      <c r="D1082">
        <v>4</v>
      </c>
      <c r="E1082">
        <v>0</v>
      </c>
      <c r="F1082">
        <v>0</v>
      </c>
      <c r="G1082">
        <v>0</v>
      </c>
      <c r="H1082">
        <v>0</v>
      </c>
    </row>
    <row r="1083" spans="2:8">
      <c r="B1083" t="s">
        <v>25022</v>
      </c>
      <c r="C1083">
        <v>56</v>
      </c>
      <c r="D1083">
        <v>2</v>
      </c>
      <c r="E1083">
        <v>0</v>
      </c>
      <c r="F1083">
        <v>0</v>
      </c>
      <c r="G1083">
        <v>0</v>
      </c>
      <c r="H1083">
        <v>0</v>
      </c>
    </row>
    <row r="1084" spans="2:8">
      <c r="B1084" t="s">
        <v>25022</v>
      </c>
      <c r="C1084">
        <v>57</v>
      </c>
      <c r="D1084">
        <v>13</v>
      </c>
      <c r="E1084">
        <v>3</v>
      </c>
      <c r="F1084">
        <v>0</v>
      </c>
      <c r="G1084">
        <v>3</v>
      </c>
      <c r="H1084">
        <v>0</v>
      </c>
    </row>
    <row r="1085" spans="2:8">
      <c r="B1085" t="s">
        <v>25022</v>
      </c>
      <c r="C1085">
        <v>57</v>
      </c>
      <c r="D1085">
        <v>4</v>
      </c>
      <c r="E1085">
        <v>0</v>
      </c>
      <c r="F1085">
        <v>0</v>
      </c>
      <c r="G1085">
        <v>0</v>
      </c>
      <c r="H1085">
        <v>0</v>
      </c>
    </row>
    <row r="1086" spans="2:8">
      <c r="B1086" t="s">
        <v>25022</v>
      </c>
      <c r="C1086">
        <v>57</v>
      </c>
      <c r="D1086">
        <v>2</v>
      </c>
      <c r="E1086">
        <v>0</v>
      </c>
      <c r="F1086">
        <v>0</v>
      </c>
      <c r="G1086">
        <v>0</v>
      </c>
      <c r="H1086">
        <v>0</v>
      </c>
    </row>
    <row r="1087" spans="2:8">
      <c r="B1087" t="s">
        <v>25022</v>
      </c>
      <c r="C1087">
        <v>57</v>
      </c>
      <c r="D1087">
        <v>1</v>
      </c>
      <c r="E1087">
        <v>0</v>
      </c>
      <c r="F1087">
        <v>0</v>
      </c>
      <c r="G1087">
        <v>0</v>
      </c>
      <c r="H1087">
        <v>0</v>
      </c>
    </row>
    <row r="1088" spans="2:8">
      <c r="B1088" t="s">
        <v>25022</v>
      </c>
      <c r="C1088">
        <v>58</v>
      </c>
      <c r="D1088">
        <v>6</v>
      </c>
      <c r="E1088">
        <v>2</v>
      </c>
      <c r="F1088">
        <v>0</v>
      </c>
      <c r="G1088">
        <v>2</v>
      </c>
      <c r="H1088">
        <v>0</v>
      </c>
    </row>
    <row r="1089" spans="2:8">
      <c r="B1089" t="s">
        <v>25022</v>
      </c>
      <c r="C1089">
        <v>58</v>
      </c>
      <c r="D1089">
        <v>4</v>
      </c>
      <c r="E1089">
        <v>0</v>
      </c>
      <c r="F1089">
        <v>0</v>
      </c>
      <c r="G1089">
        <v>0</v>
      </c>
      <c r="H1089">
        <v>0</v>
      </c>
    </row>
    <row r="1090" spans="2:8">
      <c r="B1090" t="s">
        <v>25022</v>
      </c>
      <c r="C1090">
        <v>58</v>
      </c>
      <c r="D1090">
        <v>5</v>
      </c>
      <c r="E1090">
        <v>2</v>
      </c>
      <c r="F1090">
        <v>0</v>
      </c>
      <c r="G1090">
        <v>2</v>
      </c>
      <c r="H1090">
        <v>0</v>
      </c>
    </row>
    <row r="1091" spans="2:8">
      <c r="B1091" t="s">
        <v>25022</v>
      </c>
      <c r="C1091">
        <v>58</v>
      </c>
      <c r="D1091">
        <v>7</v>
      </c>
      <c r="E1091">
        <v>0</v>
      </c>
      <c r="F1091">
        <v>0</v>
      </c>
      <c r="G1091">
        <v>0</v>
      </c>
      <c r="H1091">
        <v>0</v>
      </c>
    </row>
    <row r="1092" spans="2:8">
      <c r="B1092" t="s">
        <v>25022</v>
      </c>
      <c r="C1092">
        <v>58</v>
      </c>
      <c r="D1092">
        <v>3</v>
      </c>
      <c r="E1092">
        <v>0</v>
      </c>
      <c r="F1092">
        <v>0</v>
      </c>
      <c r="G1092">
        <v>0</v>
      </c>
      <c r="H1092">
        <v>0</v>
      </c>
    </row>
    <row r="1093" spans="2:8">
      <c r="B1093" t="s">
        <v>25022</v>
      </c>
      <c r="C1093">
        <v>58</v>
      </c>
      <c r="D1093">
        <v>2</v>
      </c>
      <c r="E1093">
        <v>0</v>
      </c>
      <c r="F1093">
        <v>0</v>
      </c>
      <c r="G1093">
        <v>0</v>
      </c>
      <c r="H1093">
        <v>0</v>
      </c>
    </row>
    <row r="1094" spans="2:8">
      <c r="B1094" t="s">
        <v>25022</v>
      </c>
      <c r="C1094">
        <v>58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2:8">
      <c r="B1095" t="s">
        <v>25022</v>
      </c>
      <c r="C1095">
        <v>58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2:8">
      <c r="B1096" t="s">
        <v>25022</v>
      </c>
      <c r="C1096">
        <v>59</v>
      </c>
      <c r="D1096">
        <v>5</v>
      </c>
      <c r="E1096">
        <v>2</v>
      </c>
      <c r="F1096">
        <v>0</v>
      </c>
      <c r="G1096">
        <v>2</v>
      </c>
      <c r="H1096">
        <v>0</v>
      </c>
    </row>
    <row r="1097" spans="2:8">
      <c r="B1097" t="s">
        <v>25022</v>
      </c>
      <c r="C1097">
        <v>59</v>
      </c>
      <c r="D1097">
        <v>3</v>
      </c>
      <c r="E1097">
        <v>0</v>
      </c>
      <c r="F1097">
        <v>0</v>
      </c>
      <c r="G1097">
        <v>0</v>
      </c>
      <c r="H1097">
        <v>0</v>
      </c>
    </row>
    <row r="1098" spans="2:8">
      <c r="B1098" t="s">
        <v>25022</v>
      </c>
      <c r="C1098">
        <v>59</v>
      </c>
      <c r="D1098">
        <v>6</v>
      </c>
      <c r="E1098">
        <v>2</v>
      </c>
      <c r="F1098">
        <v>0</v>
      </c>
      <c r="G1098">
        <v>2</v>
      </c>
      <c r="H1098">
        <v>0</v>
      </c>
    </row>
    <row r="1099" spans="2:8">
      <c r="B1099" t="s">
        <v>25022</v>
      </c>
      <c r="C1099">
        <v>59</v>
      </c>
      <c r="D1099">
        <v>5</v>
      </c>
      <c r="E1099">
        <v>3</v>
      </c>
      <c r="F1099">
        <v>0</v>
      </c>
      <c r="G1099">
        <v>2</v>
      </c>
      <c r="H1099">
        <v>1</v>
      </c>
    </row>
    <row r="1100" spans="2:8">
      <c r="B1100" t="s">
        <v>25022</v>
      </c>
      <c r="C1100">
        <v>59</v>
      </c>
      <c r="D1100">
        <v>1</v>
      </c>
      <c r="E1100">
        <v>0</v>
      </c>
      <c r="F1100">
        <v>0</v>
      </c>
      <c r="G1100">
        <v>0</v>
      </c>
      <c r="H1100">
        <v>0</v>
      </c>
    </row>
    <row r="1101" spans="2:8">
      <c r="B1101" t="s">
        <v>25022</v>
      </c>
      <c r="C1101">
        <v>59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2:8">
      <c r="B1102" t="s">
        <v>25022</v>
      </c>
      <c r="C1102">
        <v>60</v>
      </c>
      <c r="D1102">
        <v>4</v>
      </c>
      <c r="E1102">
        <v>0</v>
      </c>
      <c r="F1102">
        <v>0</v>
      </c>
      <c r="G1102">
        <v>0</v>
      </c>
      <c r="H1102">
        <v>0</v>
      </c>
    </row>
    <row r="1103" spans="2:8">
      <c r="B1103" t="s">
        <v>25022</v>
      </c>
      <c r="C1103">
        <v>60</v>
      </c>
      <c r="D1103">
        <v>2</v>
      </c>
      <c r="E1103">
        <v>0</v>
      </c>
      <c r="F1103">
        <v>0</v>
      </c>
      <c r="G1103">
        <v>0</v>
      </c>
      <c r="H1103">
        <v>0</v>
      </c>
    </row>
    <row r="1104" spans="2:8">
      <c r="B1104" t="s">
        <v>25022</v>
      </c>
      <c r="C1104">
        <v>60</v>
      </c>
      <c r="D1104">
        <v>1</v>
      </c>
      <c r="E1104">
        <v>0</v>
      </c>
      <c r="F1104">
        <v>0</v>
      </c>
      <c r="G1104">
        <v>0</v>
      </c>
      <c r="H1104">
        <v>0</v>
      </c>
    </row>
    <row r="1105" spans="2:8">
      <c r="B1105" t="s">
        <v>25022</v>
      </c>
      <c r="C1105">
        <v>60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2:8">
      <c r="B1106" t="s">
        <v>25022</v>
      </c>
      <c r="C1106">
        <v>61</v>
      </c>
      <c r="D1106">
        <v>2</v>
      </c>
      <c r="E1106">
        <v>0</v>
      </c>
      <c r="F1106">
        <v>0</v>
      </c>
      <c r="G1106">
        <v>0</v>
      </c>
      <c r="H1106">
        <v>0</v>
      </c>
    </row>
    <row r="1107" spans="2:8">
      <c r="B1107" t="s">
        <v>25022</v>
      </c>
      <c r="C1107">
        <v>61</v>
      </c>
      <c r="D1107">
        <v>4</v>
      </c>
      <c r="E1107">
        <v>0</v>
      </c>
      <c r="F1107">
        <v>0</v>
      </c>
      <c r="G1107">
        <v>0</v>
      </c>
      <c r="H1107">
        <v>0</v>
      </c>
    </row>
    <row r="1108" spans="2:8">
      <c r="B1108" t="s">
        <v>25022</v>
      </c>
      <c r="C1108">
        <v>61</v>
      </c>
      <c r="D1108">
        <v>1</v>
      </c>
      <c r="E1108">
        <v>0</v>
      </c>
      <c r="F1108">
        <v>0</v>
      </c>
      <c r="G1108">
        <v>0</v>
      </c>
      <c r="H1108">
        <v>0</v>
      </c>
    </row>
    <row r="1109" spans="2:8">
      <c r="B1109" t="s">
        <v>25022</v>
      </c>
      <c r="C1109">
        <v>61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2:8">
      <c r="B1110" t="s">
        <v>25022</v>
      </c>
      <c r="C1110">
        <v>62</v>
      </c>
      <c r="D1110">
        <v>6</v>
      </c>
      <c r="E1110">
        <v>0</v>
      </c>
      <c r="F1110">
        <v>0</v>
      </c>
      <c r="G1110">
        <v>0</v>
      </c>
      <c r="H1110">
        <v>0</v>
      </c>
    </row>
    <row r="1111" spans="2:8">
      <c r="B1111" t="s">
        <v>25022</v>
      </c>
      <c r="C1111">
        <v>62</v>
      </c>
      <c r="D1111">
        <v>3</v>
      </c>
      <c r="E1111">
        <v>0</v>
      </c>
      <c r="F1111">
        <v>0</v>
      </c>
      <c r="G1111">
        <v>0</v>
      </c>
      <c r="H1111">
        <v>0</v>
      </c>
    </row>
    <row r="1112" spans="2:8">
      <c r="B1112" t="s">
        <v>25022</v>
      </c>
      <c r="C1112">
        <v>62</v>
      </c>
      <c r="D1112">
        <v>3</v>
      </c>
      <c r="E1112">
        <v>0</v>
      </c>
      <c r="F1112">
        <v>0</v>
      </c>
      <c r="G1112">
        <v>0</v>
      </c>
      <c r="H1112">
        <v>0</v>
      </c>
    </row>
    <row r="1113" spans="2:8">
      <c r="B1113" t="s">
        <v>25022</v>
      </c>
      <c r="C1113">
        <v>62</v>
      </c>
      <c r="D1113">
        <v>2</v>
      </c>
      <c r="E1113">
        <v>0</v>
      </c>
      <c r="F1113">
        <v>0</v>
      </c>
      <c r="G1113">
        <v>0</v>
      </c>
      <c r="H1113">
        <v>0</v>
      </c>
    </row>
    <row r="1114" spans="2:8">
      <c r="B1114" t="s">
        <v>25022</v>
      </c>
      <c r="C1114">
        <v>63</v>
      </c>
      <c r="D1114">
        <v>7</v>
      </c>
      <c r="E1114">
        <v>0</v>
      </c>
      <c r="F1114">
        <v>0</v>
      </c>
      <c r="G1114">
        <v>0</v>
      </c>
      <c r="H1114">
        <v>0</v>
      </c>
    </row>
    <row r="1115" spans="2:8">
      <c r="B1115" t="s">
        <v>25022</v>
      </c>
      <c r="C1115">
        <v>63</v>
      </c>
      <c r="D1115">
        <v>8</v>
      </c>
      <c r="E1115">
        <v>6</v>
      </c>
      <c r="F1115">
        <v>0</v>
      </c>
      <c r="G1115">
        <v>6</v>
      </c>
      <c r="H1115">
        <v>0</v>
      </c>
    </row>
    <row r="1116" spans="2:8">
      <c r="B1116" t="s">
        <v>25022</v>
      </c>
      <c r="C1116">
        <v>63</v>
      </c>
      <c r="D1116">
        <v>5</v>
      </c>
      <c r="E1116">
        <v>0</v>
      </c>
      <c r="F1116">
        <v>0</v>
      </c>
      <c r="G1116">
        <v>0</v>
      </c>
      <c r="H1116">
        <v>0</v>
      </c>
    </row>
    <row r="1117" spans="2:8">
      <c r="B1117" t="s">
        <v>25022</v>
      </c>
      <c r="C1117">
        <v>63</v>
      </c>
      <c r="D1117">
        <v>2</v>
      </c>
      <c r="E1117">
        <v>0</v>
      </c>
      <c r="F1117">
        <v>0</v>
      </c>
      <c r="G1117">
        <v>0</v>
      </c>
      <c r="H1117">
        <v>0</v>
      </c>
    </row>
    <row r="1118" spans="2:8">
      <c r="B1118" t="s">
        <v>25022</v>
      </c>
      <c r="C1118">
        <v>63</v>
      </c>
      <c r="D1118">
        <v>1</v>
      </c>
      <c r="E1118">
        <v>0</v>
      </c>
      <c r="F1118">
        <v>0</v>
      </c>
      <c r="G1118">
        <v>0</v>
      </c>
      <c r="H1118">
        <v>0</v>
      </c>
    </row>
    <row r="1119" spans="2:8">
      <c r="B1119" t="s">
        <v>25022</v>
      </c>
      <c r="C1119">
        <v>63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2:8">
      <c r="B1120" t="s">
        <v>25022</v>
      </c>
      <c r="C1120">
        <v>64</v>
      </c>
      <c r="D1120">
        <v>5</v>
      </c>
      <c r="E1120">
        <v>2</v>
      </c>
      <c r="F1120">
        <v>0</v>
      </c>
      <c r="G1120">
        <v>0</v>
      </c>
      <c r="H1120">
        <v>2</v>
      </c>
    </row>
    <row r="1121" spans="2:8">
      <c r="B1121" t="s">
        <v>25022</v>
      </c>
      <c r="C1121">
        <v>64</v>
      </c>
      <c r="D1121">
        <v>7</v>
      </c>
      <c r="E1121">
        <v>0</v>
      </c>
      <c r="F1121">
        <v>0</v>
      </c>
      <c r="G1121">
        <v>0</v>
      </c>
      <c r="H1121">
        <v>0</v>
      </c>
    </row>
    <row r="1122" spans="2:8">
      <c r="B1122" t="s">
        <v>25022</v>
      </c>
      <c r="C1122">
        <v>64</v>
      </c>
      <c r="D1122">
        <v>6</v>
      </c>
      <c r="E1122">
        <v>2</v>
      </c>
      <c r="F1122">
        <v>0</v>
      </c>
      <c r="G1122">
        <v>0</v>
      </c>
      <c r="H1122">
        <v>2</v>
      </c>
    </row>
    <row r="1123" spans="2:8">
      <c r="B1123" t="s">
        <v>25022</v>
      </c>
      <c r="C1123">
        <v>64</v>
      </c>
      <c r="D1123">
        <v>3</v>
      </c>
      <c r="E1123">
        <v>0</v>
      </c>
      <c r="F1123">
        <v>0</v>
      </c>
      <c r="G1123">
        <v>0</v>
      </c>
      <c r="H1123">
        <v>0</v>
      </c>
    </row>
    <row r="1124" spans="2:8">
      <c r="B1124" t="s">
        <v>25022</v>
      </c>
      <c r="C1124">
        <v>65</v>
      </c>
      <c r="D1124">
        <v>10</v>
      </c>
      <c r="E1124">
        <v>0</v>
      </c>
      <c r="F1124">
        <v>0</v>
      </c>
      <c r="G1124">
        <v>0</v>
      </c>
      <c r="H1124">
        <v>0</v>
      </c>
    </row>
    <row r="1125" spans="2:8">
      <c r="B1125" t="s">
        <v>25022</v>
      </c>
      <c r="C1125">
        <v>65</v>
      </c>
      <c r="D1125">
        <v>6</v>
      </c>
      <c r="E1125">
        <v>0</v>
      </c>
      <c r="F1125">
        <v>0</v>
      </c>
      <c r="G1125">
        <v>0</v>
      </c>
      <c r="H1125">
        <v>0</v>
      </c>
    </row>
    <row r="1126" spans="2:8">
      <c r="B1126" t="s">
        <v>25022</v>
      </c>
      <c r="C1126">
        <v>65</v>
      </c>
      <c r="D1126">
        <v>3</v>
      </c>
      <c r="E1126">
        <v>0</v>
      </c>
      <c r="F1126">
        <v>0</v>
      </c>
      <c r="G1126">
        <v>0</v>
      </c>
      <c r="H1126">
        <v>0</v>
      </c>
    </row>
    <row r="1127" spans="2:8">
      <c r="B1127" t="s">
        <v>25022</v>
      </c>
      <c r="C1127">
        <v>65</v>
      </c>
      <c r="D1127">
        <v>1</v>
      </c>
      <c r="E1127">
        <v>0</v>
      </c>
      <c r="F1127">
        <v>0</v>
      </c>
      <c r="G1127">
        <v>0</v>
      </c>
      <c r="H1127">
        <v>0</v>
      </c>
    </row>
    <row r="1128" spans="2:8">
      <c r="B1128" t="s">
        <v>25022</v>
      </c>
      <c r="C1128">
        <v>65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2:8">
      <c r="B1129" t="s">
        <v>25022</v>
      </c>
      <c r="C1129">
        <v>66</v>
      </c>
      <c r="D1129">
        <v>3</v>
      </c>
      <c r="E1129">
        <v>0</v>
      </c>
      <c r="F1129">
        <v>0</v>
      </c>
      <c r="G1129">
        <v>0</v>
      </c>
      <c r="H1129">
        <v>0</v>
      </c>
    </row>
    <row r="1130" spans="2:8">
      <c r="B1130" t="s">
        <v>25022</v>
      </c>
      <c r="C1130">
        <v>66</v>
      </c>
      <c r="D1130">
        <v>4</v>
      </c>
      <c r="E1130">
        <v>2</v>
      </c>
      <c r="F1130">
        <v>0</v>
      </c>
      <c r="G1130">
        <v>2</v>
      </c>
      <c r="H1130">
        <v>0</v>
      </c>
    </row>
    <row r="1131" spans="2:8">
      <c r="B1131" t="s">
        <v>25022</v>
      </c>
      <c r="C1131">
        <v>66</v>
      </c>
      <c r="D1131">
        <v>2</v>
      </c>
      <c r="E1131">
        <v>0</v>
      </c>
      <c r="F1131">
        <v>0</v>
      </c>
      <c r="G1131">
        <v>0</v>
      </c>
      <c r="H1131">
        <v>0</v>
      </c>
    </row>
    <row r="1132" spans="2:8">
      <c r="B1132" t="s">
        <v>25022</v>
      </c>
      <c r="C1132">
        <v>66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2:8">
      <c r="B1133" t="s">
        <v>25022</v>
      </c>
      <c r="C1133">
        <v>67</v>
      </c>
      <c r="D1133">
        <v>4</v>
      </c>
      <c r="E1133">
        <v>0</v>
      </c>
      <c r="F1133">
        <v>0</v>
      </c>
      <c r="G1133">
        <v>0</v>
      </c>
      <c r="H1133">
        <v>0</v>
      </c>
    </row>
    <row r="1134" spans="2:8">
      <c r="B1134" t="s">
        <v>25022</v>
      </c>
      <c r="C1134">
        <v>67</v>
      </c>
      <c r="D1134">
        <v>6</v>
      </c>
      <c r="E1134">
        <v>2</v>
      </c>
      <c r="F1134">
        <v>0</v>
      </c>
      <c r="G1134">
        <v>0</v>
      </c>
      <c r="H1134">
        <v>2</v>
      </c>
    </row>
    <row r="1135" spans="2:8">
      <c r="B1135" t="s">
        <v>25022</v>
      </c>
      <c r="C1135">
        <v>67</v>
      </c>
      <c r="D1135">
        <v>4</v>
      </c>
      <c r="E1135">
        <v>0</v>
      </c>
      <c r="F1135">
        <v>0</v>
      </c>
      <c r="G1135">
        <v>0</v>
      </c>
      <c r="H1135">
        <v>0</v>
      </c>
    </row>
    <row r="1136" spans="2:8">
      <c r="B1136" t="s">
        <v>25022</v>
      </c>
      <c r="C1136">
        <v>67</v>
      </c>
      <c r="D1136">
        <v>7</v>
      </c>
      <c r="E1136">
        <v>0</v>
      </c>
      <c r="F1136">
        <v>0</v>
      </c>
      <c r="G1136">
        <v>0</v>
      </c>
      <c r="H1136">
        <v>0</v>
      </c>
    </row>
    <row r="1137" spans="2:8">
      <c r="B1137" t="s">
        <v>25022</v>
      </c>
      <c r="C1137">
        <v>67</v>
      </c>
      <c r="D1137">
        <v>6</v>
      </c>
      <c r="E1137">
        <v>2</v>
      </c>
      <c r="F1137">
        <v>0</v>
      </c>
      <c r="G1137">
        <v>2</v>
      </c>
      <c r="H1137">
        <v>0</v>
      </c>
    </row>
    <row r="1138" spans="2:8">
      <c r="B1138" t="s">
        <v>25022</v>
      </c>
      <c r="C1138">
        <v>67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2:8">
      <c r="B1139" t="s">
        <v>25022</v>
      </c>
      <c r="C1139">
        <v>68</v>
      </c>
      <c r="D1139">
        <v>9</v>
      </c>
      <c r="E1139">
        <v>0</v>
      </c>
      <c r="F1139">
        <v>0</v>
      </c>
      <c r="G1139">
        <v>0</v>
      </c>
      <c r="H1139">
        <v>0</v>
      </c>
    </row>
    <row r="1140" spans="2:8">
      <c r="B1140" t="s">
        <v>25022</v>
      </c>
      <c r="C1140">
        <v>68</v>
      </c>
      <c r="D1140">
        <v>5</v>
      </c>
      <c r="E1140">
        <v>0</v>
      </c>
      <c r="F1140">
        <v>0</v>
      </c>
      <c r="G1140">
        <v>0</v>
      </c>
      <c r="H1140">
        <v>0</v>
      </c>
    </row>
    <row r="1141" spans="2:8">
      <c r="B1141" t="s">
        <v>25022</v>
      </c>
      <c r="C1141">
        <v>68</v>
      </c>
      <c r="D1141">
        <v>4</v>
      </c>
      <c r="E1141">
        <v>2</v>
      </c>
      <c r="F1141">
        <v>0</v>
      </c>
      <c r="G1141">
        <v>2</v>
      </c>
      <c r="H1141">
        <v>0</v>
      </c>
    </row>
    <row r="1142" spans="2:8">
      <c r="B1142" t="s">
        <v>25022</v>
      </c>
      <c r="C1142">
        <v>68</v>
      </c>
      <c r="D1142">
        <v>7</v>
      </c>
      <c r="E1142">
        <v>4</v>
      </c>
      <c r="F1142">
        <v>0</v>
      </c>
      <c r="G1142">
        <v>2</v>
      </c>
      <c r="H1142">
        <v>2</v>
      </c>
    </row>
    <row r="1143" spans="2:8">
      <c r="B1143" t="s">
        <v>25022</v>
      </c>
      <c r="C1143">
        <v>68</v>
      </c>
      <c r="D1143">
        <v>1</v>
      </c>
      <c r="E1143">
        <v>0</v>
      </c>
      <c r="F1143">
        <v>0</v>
      </c>
      <c r="G1143">
        <v>0</v>
      </c>
      <c r="H1143">
        <v>0</v>
      </c>
    </row>
    <row r="1144" spans="2:8">
      <c r="B1144" t="s">
        <v>25022</v>
      </c>
      <c r="C1144">
        <v>68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2:8">
      <c r="B1145" t="s">
        <v>25022</v>
      </c>
      <c r="C1145">
        <v>69</v>
      </c>
      <c r="D1145">
        <v>5</v>
      </c>
      <c r="E1145">
        <v>0</v>
      </c>
      <c r="F1145">
        <v>0</v>
      </c>
      <c r="G1145">
        <v>0</v>
      </c>
      <c r="H1145">
        <v>0</v>
      </c>
    </row>
    <row r="1146" spans="2:8">
      <c r="B1146" t="s">
        <v>25022</v>
      </c>
      <c r="C1146">
        <v>69</v>
      </c>
      <c r="D1146">
        <v>10</v>
      </c>
      <c r="E1146">
        <v>4</v>
      </c>
      <c r="F1146">
        <v>0</v>
      </c>
      <c r="G1146">
        <v>2</v>
      </c>
      <c r="H1146">
        <v>2</v>
      </c>
    </row>
    <row r="1147" spans="2:8">
      <c r="B1147" t="s">
        <v>25022</v>
      </c>
      <c r="C1147">
        <v>69</v>
      </c>
      <c r="D1147">
        <v>5</v>
      </c>
      <c r="E1147">
        <v>2</v>
      </c>
      <c r="F1147">
        <v>0</v>
      </c>
      <c r="G1147">
        <v>2</v>
      </c>
      <c r="H1147">
        <v>0</v>
      </c>
    </row>
    <row r="1148" spans="2:8">
      <c r="B1148" t="s">
        <v>25022</v>
      </c>
      <c r="C1148">
        <v>69</v>
      </c>
      <c r="D1148">
        <v>3</v>
      </c>
      <c r="E1148">
        <v>0</v>
      </c>
      <c r="F1148">
        <v>0</v>
      </c>
      <c r="G1148">
        <v>0</v>
      </c>
      <c r="H1148">
        <v>0</v>
      </c>
    </row>
    <row r="1149" spans="2:8">
      <c r="B1149" t="s">
        <v>25022</v>
      </c>
      <c r="C1149">
        <v>70</v>
      </c>
      <c r="D1149">
        <v>1</v>
      </c>
      <c r="E1149">
        <v>0</v>
      </c>
      <c r="F1149">
        <v>0</v>
      </c>
      <c r="G1149">
        <v>0</v>
      </c>
      <c r="H1149">
        <v>0</v>
      </c>
    </row>
    <row r="1150" spans="2:8">
      <c r="B1150" t="s">
        <v>25022</v>
      </c>
      <c r="C1150">
        <v>70</v>
      </c>
      <c r="D1150">
        <v>2</v>
      </c>
      <c r="E1150">
        <v>0</v>
      </c>
      <c r="F1150">
        <v>0</v>
      </c>
      <c r="G1150">
        <v>0</v>
      </c>
      <c r="H1150">
        <v>0</v>
      </c>
    </row>
    <row r="1151" spans="2:8">
      <c r="B1151" t="s">
        <v>25022</v>
      </c>
      <c r="C1151">
        <v>70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2:8">
      <c r="B1152" t="s">
        <v>25022</v>
      </c>
      <c r="C1152">
        <v>70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2:8">
      <c r="B1153" t="s">
        <v>25022</v>
      </c>
      <c r="C1153">
        <v>71</v>
      </c>
      <c r="D1153">
        <v>10</v>
      </c>
      <c r="E1153">
        <v>4</v>
      </c>
      <c r="F1153">
        <v>0</v>
      </c>
      <c r="G1153">
        <v>4</v>
      </c>
      <c r="H1153">
        <v>0</v>
      </c>
    </row>
    <row r="1154" spans="2:8">
      <c r="B1154" t="s">
        <v>25022</v>
      </c>
      <c r="C1154">
        <v>71</v>
      </c>
      <c r="D1154">
        <v>10</v>
      </c>
      <c r="E1154">
        <v>4</v>
      </c>
      <c r="F1154">
        <v>0</v>
      </c>
      <c r="G1154">
        <v>4</v>
      </c>
      <c r="H1154">
        <v>0</v>
      </c>
    </row>
    <row r="1155" spans="2:8">
      <c r="B1155" t="s">
        <v>25022</v>
      </c>
      <c r="C1155">
        <v>71</v>
      </c>
      <c r="D1155">
        <v>12</v>
      </c>
      <c r="E1155">
        <v>7</v>
      </c>
      <c r="F1155">
        <v>2</v>
      </c>
      <c r="G1155">
        <v>5</v>
      </c>
      <c r="H1155">
        <v>0</v>
      </c>
    </row>
    <row r="1156" spans="2:8">
      <c r="B1156" t="s">
        <v>25022</v>
      </c>
      <c r="C1156">
        <v>71</v>
      </c>
      <c r="D1156">
        <v>5</v>
      </c>
      <c r="E1156">
        <v>3</v>
      </c>
      <c r="F1156">
        <v>0</v>
      </c>
      <c r="G1156">
        <v>3</v>
      </c>
      <c r="H1156">
        <v>0</v>
      </c>
    </row>
    <row r="1157" spans="2:8">
      <c r="B1157" t="s">
        <v>25022</v>
      </c>
      <c r="C1157">
        <v>71</v>
      </c>
      <c r="D1157">
        <v>3</v>
      </c>
      <c r="E1157">
        <v>2</v>
      </c>
      <c r="F1157">
        <v>0</v>
      </c>
      <c r="G1157">
        <v>0</v>
      </c>
      <c r="H1157">
        <v>2</v>
      </c>
    </row>
    <row r="1158" spans="2:8">
      <c r="B1158" t="s">
        <v>25022</v>
      </c>
      <c r="C1158">
        <v>71</v>
      </c>
      <c r="D1158">
        <v>1</v>
      </c>
      <c r="E1158">
        <v>0</v>
      </c>
      <c r="F1158">
        <v>0</v>
      </c>
      <c r="G1158">
        <v>0</v>
      </c>
      <c r="H1158">
        <v>0</v>
      </c>
    </row>
    <row r="1159" spans="2:8">
      <c r="B1159" t="s">
        <v>25022</v>
      </c>
      <c r="C1159">
        <v>71</v>
      </c>
      <c r="D1159">
        <v>1</v>
      </c>
      <c r="E1159">
        <v>0</v>
      </c>
      <c r="F1159">
        <v>0</v>
      </c>
      <c r="G1159">
        <v>0</v>
      </c>
      <c r="H1159">
        <v>0</v>
      </c>
    </row>
    <row r="1160" spans="2:8">
      <c r="B1160" t="s">
        <v>25022</v>
      </c>
      <c r="C1160">
        <v>72</v>
      </c>
      <c r="D1160">
        <v>6</v>
      </c>
      <c r="E1160">
        <v>2</v>
      </c>
      <c r="F1160">
        <v>0</v>
      </c>
      <c r="G1160">
        <v>2</v>
      </c>
      <c r="H1160">
        <v>0</v>
      </c>
    </row>
    <row r="1161" spans="2:8">
      <c r="B1161" t="s">
        <v>25022</v>
      </c>
      <c r="C1161">
        <v>72</v>
      </c>
      <c r="D1161">
        <v>1</v>
      </c>
      <c r="E1161">
        <v>0</v>
      </c>
      <c r="F1161">
        <v>0</v>
      </c>
      <c r="G1161">
        <v>0</v>
      </c>
      <c r="H1161">
        <v>0</v>
      </c>
    </row>
    <row r="1162" spans="2:8">
      <c r="B1162" t="s">
        <v>25022</v>
      </c>
      <c r="C1162">
        <v>73</v>
      </c>
      <c r="D1162">
        <v>13</v>
      </c>
      <c r="E1162">
        <v>4</v>
      </c>
      <c r="F1162">
        <v>0</v>
      </c>
      <c r="G1162">
        <v>4</v>
      </c>
      <c r="H1162">
        <v>0</v>
      </c>
    </row>
    <row r="1163" spans="2:8">
      <c r="B1163" t="s">
        <v>25022</v>
      </c>
      <c r="C1163">
        <v>73</v>
      </c>
      <c r="D1163">
        <v>4</v>
      </c>
      <c r="E1163">
        <v>0</v>
      </c>
      <c r="F1163">
        <v>0</v>
      </c>
      <c r="G1163">
        <v>0</v>
      </c>
      <c r="H1163">
        <v>0</v>
      </c>
    </row>
    <row r="1164" spans="2:8">
      <c r="B1164" t="s">
        <v>25022</v>
      </c>
      <c r="C1164">
        <v>73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2:8">
      <c r="B1165" t="s">
        <v>25022</v>
      </c>
      <c r="C1165">
        <v>74</v>
      </c>
      <c r="D1165">
        <v>1</v>
      </c>
      <c r="E1165">
        <v>0</v>
      </c>
      <c r="F1165">
        <v>0</v>
      </c>
      <c r="G1165">
        <v>0</v>
      </c>
      <c r="H1165">
        <v>0</v>
      </c>
    </row>
    <row r="1166" spans="2:8">
      <c r="B1166" t="s">
        <v>25022</v>
      </c>
      <c r="C1166">
        <v>74</v>
      </c>
      <c r="D1166">
        <v>6</v>
      </c>
      <c r="E1166">
        <v>0</v>
      </c>
      <c r="F1166">
        <v>0</v>
      </c>
      <c r="G1166">
        <v>0</v>
      </c>
      <c r="H1166">
        <v>0</v>
      </c>
    </row>
    <row r="1167" spans="2:8">
      <c r="B1167" t="s">
        <v>25022</v>
      </c>
      <c r="C1167">
        <v>74</v>
      </c>
      <c r="D1167">
        <v>9</v>
      </c>
      <c r="E1167">
        <v>6</v>
      </c>
      <c r="F1167">
        <v>0</v>
      </c>
      <c r="G1167">
        <v>6</v>
      </c>
      <c r="H1167">
        <v>0</v>
      </c>
    </row>
    <row r="1168" spans="2:8">
      <c r="B1168" t="s">
        <v>25022</v>
      </c>
      <c r="C1168">
        <v>74</v>
      </c>
      <c r="D1168">
        <v>2</v>
      </c>
      <c r="E1168">
        <v>0</v>
      </c>
      <c r="F1168">
        <v>0</v>
      </c>
      <c r="G1168">
        <v>0</v>
      </c>
      <c r="H1168">
        <v>0</v>
      </c>
    </row>
    <row r="1169" spans="2:8">
      <c r="B1169" t="s">
        <v>25022</v>
      </c>
      <c r="C1169">
        <v>74</v>
      </c>
      <c r="D1169">
        <v>2</v>
      </c>
      <c r="E1169">
        <v>2</v>
      </c>
      <c r="F1169">
        <v>0</v>
      </c>
      <c r="G1169">
        <v>0</v>
      </c>
      <c r="H1169">
        <v>2</v>
      </c>
    </row>
    <row r="1170" spans="2:8">
      <c r="B1170" t="s">
        <v>25022</v>
      </c>
      <c r="C1170">
        <v>74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2:8">
      <c r="B1171" t="s">
        <v>25022</v>
      </c>
      <c r="C1171">
        <v>75</v>
      </c>
      <c r="D1171">
        <v>4</v>
      </c>
      <c r="E1171">
        <v>0</v>
      </c>
      <c r="F1171">
        <v>0</v>
      </c>
      <c r="G1171">
        <v>0</v>
      </c>
      <c r="H1171">
        <v>0</v>
      </c>
    </row>
    <row r="1172" spans="2:8">
      <c r="B1172" t="s">
        <v>25022</v>
      </c>
      <c r="C1172">
        <v>75</v>
      </c>
      <c r="D1172">
        <v>16</v>
      </c>
      <c r="E1172">
        <v>5</v>
      </c>
      <c r="F1172">
        <v>0</v>
      </c>
      <c r="G1172">
        <v>2</v>
      </c>
      <c r="H1172">
        <v>3</v>
      </c>
    </row>
    <row r="1173" spans="2:8">
      <c r="B1173" t="s">
        <v>25022</v>
      </c>
      <c r="C1173">
        <v>75</v>
      </c>
      <c r="D1173">
        <v>4</v>
      </c>
      <c r="E1173">
        <v>0</v>
      </c>
      <c r="F1173">
        <v>0</v>
      </c>
      <c r="G1173">
        <v>0</v>
      </c>
      <c r="H1173">
        <v>0</v>
      </c>
    </row>
    <row r="1174" spans="2:8">
      <c r="B1174" t="s">
        <v>25022</v>
      </c>
      <c r="C1174">
        <v>75</v>
      </c>
      <c r="D1174">
        <v>3</v>
      </c>
      <c r="E1174">
        <v>2</v>
      </c>
      <c r="F1174">
        <v>0</v>
      </c>
      <c r="G1174">
        <v>0</v>
      </c>
      <c r="H1174">
        <v>2</v>
      </c>
    </row>
    <row r="1175" spans="2:8">
      <c r="B1175" t="s">
        <v>25022</v>
      </c>
      <c r="C1175">
        <v>75</v>
      </c>
      <c r="D1175">
        <v>3</v>
      </c>
      <c r="E1175">
        <v>0</v>
      </c>
      <c r="F1175">
        <v>0</v>
      </c>
      <c r="G1175">
        <v>0</v>
      </c>
      <c r="H1175">
        <v>0</v>
      </c>
    </row>
    <row r="1176" spans="2:8">
      <c r="B1176" t="s">
        <v>25022</v>
      </c>
      <c r="C1176">
        <v>75</v>
      </c>
      <c r="D1176">
        <v>2</v>
      </c>
      <c r="E1176">
        <v>0</v>
      </c>
      <c r="F1176">
        <v>0</v>
      </c>
      <c r="G1176">
        <v>0</v>
      </c>
      <c r="H1176">
        <v>0</v>
      </c>
    </row>
    <row r="1177" spans="2:8">
      <c r="B1177" t="s">
        <v>25022</v>
      </c>
      <c r="C1177">
        <v>76</v>
      </c>
      <c r="D1177">
        <v>9</v>
      </c>
      <c r="E1177">
        <v>2</v>
      </c>
      <c r="F1177">
        <v>0</v>
      </c>
      <c r="G1177">
        <v>2</v>
      </c>
      <c r="H1177">
        <v>0</v>
      </c>
    </row>
    <row r="1178" spans="2:8">
      <c r="B1178" t="s">
        <v>25022</v>
      </c>
      <c r="C1178">
        <v>76</v>
      </c>
      <c r="D1178">
        <v>6</v>
      </c>
      <c r="E1178">
        <v>2</v>
      </c>
      <c r="F1178">
        <v>0</v>
      </c>
      <c r="G1178">
        <v>0</v>
      </c>
      <c r="H1178">
        <v>2</v>
      </c>
    </row>
    <row r="1179" spans="2:8">
      <c r="B1179" t="s">
        <v>25022</v>
      </c>
      <c r="C1179">
        <v>76</v>
      </c>
      <c r="D1179">
        <v>2</v>
      </c>
      <c r="E1179">
        <v>0</v>
      </c>
      <c r="F1179">
        <v>0</v>
      </c>
      <c r="G1179">
        <v>0</v>
      </c>
      <c r="H1179">
        <v>0</v>
      </c>
    </row>
    <row r="1180" spans="2:8">
      <c r="B1180" t="s">
        <v>25022</v>
      </c>
      <c r="C1180">
        <v>76</v>
      </c>
      <c r="D1180">
        <v>5</v>
      </c>
      <c r="E1180">
        <v>0</v>
      </c>
      <c r="F1180">
        <v>0</v>
      </c>
      <c r="G1180">
        <v>0</v>
      </c>
      <c r="H1180">
        <v>0</v>
      </c>
    </row>
    <row r="1181" spans="2:8">
      <c r="B1181" t="s">
        <v>25022</v>
      </c>
      <c r="C1181">
        <v>76</v>
      </c>
      <c r="D1181">
        <v>5</v>
      </c>
      <c r="E1181">
        <v>2</v>
      </c>
      <c r="F1181">
        <v>0</v>
      </c>
      <c r="G1181">
        <v>0</v>
      </c>
      <c r="H1181">
        <v>2</v>
      </c>
    </row>
    <row r="1182" spans="2:8">
      <c r="B1182" t="s">
        <v>25022</v>
      </c>
      <c r="C1182">
        <v>76</v>
      </c>
      <c r="D1182">
        <v>2</v>
      </c>
      <c r="E1182">
        <v>0</v>
      </c>
      <c r="F1182">
        <v>0</v>
      </c>
      <c r="G1182">
        <v>0</v>
      </c>
      <c r="H1182">
        <v>0</v>
      </c>
    </row>
    <row r="1183" spans="2:8">
      <c r="B1183" t="s">
        <v>25022</v>
      </c>
      <c r="C1183">
        <v>76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2:8">
      <c r="B1184" t="s">
        <v>25022</v>
      </c>
      <c r="C1184">
        <v>77</v>
      </c>
      <c r="D1184">
        <v>1</v>
      </c>
      <c r="E1184">
        <v>0</v>
      </c>
      <c r="F1184">
        <v>0</v>
      </c>
      <c r="G1184">
        <v>0</v>
      </c>
      <c r="H1184">
        <v>0</v>
      </c>
    </row>
    <row r="1185" spans="2:8">
      <c r="B1185" t="s">
        <v>25022</v>
      </c>
      <c r="C1185">
        <v>77</v>
      </c>
      <c r="D1185">
        <v>1</v>
      </c>
      <c r="E1185">
        <v>0</v>
      </c>
      <c r="F1185">
        <v>0</v>
      </c>
      <c r="G1185">
        <v>0</v>
      </c>
      <c r="H1185">
        <v>0</v>
      </c>
    </row>
    <row r="1186" spans="2:8">
      <c r="B1186" t="s">
        <v>25022</v>
      </c>
      <c r="C1186">
        <v>77</v>
      </c>
      <c r="D1186">
        <v>5</v>
      </c>
      <c r="E1186">
        <v>0</v>
      </c>
      <c r="F1186">
        <v>0</v>
      </c>
      <c r="G1186">
        <v>0</v>
      </c>
      <c r="H1186">
        <v>0</v>
      </c>
    </row>
    <row r="1187" spans="2:8">
      <c r="B1187" t="s">
        <v>25022</v>
      </c>
      <c r="C1187">
        <v>77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2:8">
      <c r="B1188" t="s">
        <v>25022</v>
      </c>
      <c r="C1188">
        <v>78</v>
      </c>
      <c r="D1188">
        <v>8</v>
      </c>
      <c r="E1188">
        <v>0</v>
      </c>
      <c r="F1188">
        <v>0</v>
      </c>
      <c r="G1188">
        <v>0</v>
      </c>
      <c r="H1188">
        <v>0</v>
      </c>
    </row>
    <row r="1189" spans="2:8">
      <c r="B1189" t="s">
        <v>25022</v>
      </c>
      <c r="C1189">
        <v>78</v>
      </c>
      <c r="D1189">
        <v>12</v>
      </c>
      <c r="E1189">
        <v>4</v>
      </c>
      <c r="F1189">
        <v>0</v>
      </c>
      <c r="G1189">
        <v>0</v>
      </c>
      <c r="H1189">
        <v>4</v>
      </c>
    </row>
    <row r="1190" spans="2:8">
      <c r="B1190" t="s">
        <v>25022</v>
      </c>
      <c r="C1190">
        <v>78</v>
      </c>
      <c r="D1190">
        <v>6</v>
      </c>
      <c r="E1190">
        <v>0</v>
      </c>
      <c r="F1190">
        <v>0</v>
      </c>
      <c r="G1190">
        <v>0</v>
      </c>
      <c r="H1190">
        <v>0</v>
      </c>
    </row>
    <row r="1191" spans="2:8">
      <c r="B1191" t="s">
        <v>25022</v>
      </c>
      <c r="C1191">
        <v>78</v>
      </c>
      <c r="D1191">
        <v>4</v>
      </c>
      <c r="E1191">
        <v>0</v>
      </c>
      <c r="F1191">
        <v>0</v>
      </c>
      <c r="G1191">
        <v>0</v>
      </c>
      <c r="H1191">
        <v>0</v>
      </c>
    </row>
    <row r="1192" spans="2:8">
      <c r="B1192" t="s">
        <v>25022</v>
      </c>
      <c r="C1192">
        <v>78</v>
      </c>
      <c r="D1192">
        <v>1</v>
      </c>
      <c r="E1192">
        <v>0</v>
      </c>
      <c r="F1192">
        <v>0</v>
      </c>
      <c r="G1192">
        <v>0</v>
      </c>
      <c r="H1192">
        <v>0</v>
      </c>
    </row>
    <row r="1193" spans="2:8">
      <c r="B1193" t="s">
        <v>25022</v>
      </c>
      <c r="C1193">
        <v>79</v>
      </c>
      <c r="D1193">
        <v>4</v>
      </c>
      <c r="E1193">
        <v>2</v>
      </c>
      <c r="F1193">
        <v>0</v>
      </c>
      <c r="G1193">
        <v>0</v>
      </c>
      <c r="H1193">
        <v>2</v>
      </c>
    </row>
    <row r="1194" spans="2:8">
      <c r="B1194" t="s">
        <v>25022</v>
      </c>
      <c r="C1194">
        <v>79</v>
      </c>
      <c r="D1194">
        <v>9</v>
      </c>
      <c r="E1194">
        <v>4</v>
      </c>
      <c r="F1194">
        <v>0</v>
      </c>
      <c r="G1194">
        <v>4</v>
      </c>
      <c r="H1194">
        <v>0</v>
      </c>
    </row>
    <row r="1195" spans="2:8">
      <c r="B1195" t="s">
        <v>25022</v>
      </c>
      <c r="C1195">
        <v>79</v>
      </c>
      <c r="D1195">
        <v>3</v>
      </c>
      <c r="E1195">
        <v>0</v>
      </c>
      <c r="F1195">
        <v>0</v>
      </c>
      <c r="G1195">
        <v>0</v>
      </c>
      <c r="H1195">
        <v>0</v>
      </c>
    </row>
    <row r="1196" spans="2:8">
      <c r="B1196" t="s">
        <v>25022</v>
      </c>
      <c r="C1196">
        <v>79</v>
      </c>
      <c r="D1196">
        <v>6</v>
      </c>
      <c r="E1196">
        <v>0</v>
      </c>
      <c r="F1196">
        <v>0</v>
      </c>
      <c r="G1196">
        <v>0</v>
      </c>
      <c r="H1196">
        <v>0</v>
      </c>
    </row>
    <row r="1197" spans="2:8">
      <c r="B1197" t="s">
        <v>25022</v>
      </c>
      <c r="C1197">
        <v>79</v>
      </c>
      <c r="D1197">
        <v>2</v>
      </c>
      <c r="E1197">
        <v>0</v>
      </c>
      <c r="F1197">
        <v>0</v>
      </c>
      <c r="G1197">
        <v>0</v>
      </c>
      <c r="H1197">
        <v>0</v>
      </c>
    </row>
    <row r="1198" spans="2:8">
      <c r="B1198" t="s">
        <v>25022</v>
      </c>
      <c r="C1198">
        <v>79</v>
      </c>
      <c r="D1198">
        <v>1</v>
      </c>
      <c r="E1198">
        <v>0</v>
      </c>
      <c r="F1198">
        <v>0</v>
      </c>
      <c r="G1198">
        <v>0</v>
      </c>
      <c r="H1198">
        <v>0</v>
      </c>
    </row>
    <row r="1199" spans="2:8">
      <c r="B1199" t="s">
        <v>25022</v>
      </c>
      <c r="C1199">
        <v>79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2:8">
      <c r="B1200" t="s">
        <v>25022</v>
      </c>
      <c r="C1200">
        <v>79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2:8">
      <c r="B1201" t="s">
        <v>25022</v>
      </c>
      <c r="C1201">
        <v>80</v>
      </c>
      <c r="D1201">
        <v>2</v>
      </c>
      <c r="E1201">
        <v>0</v>
      </c>
      <c r="F1201">
        <v>0</v>
      </c>
      <c r="G1201">
        <v>0</v>
      </c>
      <c r="H1201">
        <v>0</v>
      </c>
    </row>
    <row r="1202" spans="2:8">
      <c r="B1202" t="s">
        <v>25022</v>
      </c>
      <c r="C1202">
        <v>80</v>
      </c>
      <c r="D1202">
        <v>5</v>
      </c>
      <c r="E1202">
        <v>2</v>
      </c>
      <c r="F1202">
        <v>0</v>
      </c>
      <c r="G1202">
        <v>2</v>
      </c>
      <c r="H1202">
        <v>0</v>
      </c>
    </row>
    <row r="1203" spans="2:8">
      <c r="B1203" t="s">
        <v>25022</v>
      </c>
      <c r="C1203">
        <v>81</v>
      </c>
      <c r="D1203">
        <v>5</v>
      </c>
      <c r="E1203">
        <v>3</v>
      </c>
      <c r="F1203">
        <v>0</v>
      </c>
      <c r="G1203">
        <v>0</v>
      </c>
      <c r="H1203">
        <v>3</v>
      </c>
    </row>
    <row r="1204" spans="2:8">
      <c r="B1204" t="s">
        <v>25022</v>
      </c>
      <c r="C1204">
        <v>81</v>
      </c>
      <c r="D1204">
        <v>3</v>
      </c>
      <c r="E1204">
        <v>0</v>
      </c>
      <c r="F1204">
        <v>0</v>
      </c>
      <c r="G1204">
        <v>0</v>
      </c>
      <c r="H1204">
        <v>0</v>
      </c>
    </row>
    <row r="1205" spans="2:8">
      <c r="B1205" t="s">
        <v>25022</v>
      </c>
      <c r="C1205">
        <v>81</v>
      </c>
      <c r="D1205">
        <v>2</v>
      </c>
      <c r="E1205">
        <v>0</v>
      </c>
      <c r="F1205">
        <v>0</v>
      </c>
      <c r="G1205">
        <v>0</v>
      </c>
      <c r="H1205">
        <v>0</v>
      </c>
    </row>
    <row r="1206" spans="2:8">
      <c r="B1206" t="s">
        <v>25022</v>
      </c>
      <c r="C1206">
        <v>81</v>
      </c>
      <c r="D1206">
        <v>2</v>
      </c>
      <c r="E1206">
        <v>0</v>
      </c>
      <c r="F1206">
        <v>0</v>
      </c>
      <c r="G1206">
        <v>0</v>
      </c>
      <c r="H1206">
        <v>0</v>
      </c>
    </row>
    <row r="1207" spans="2:8">
      <c r="B1207" t="s">
        <v>25022</v>
      </c>
      <c r="C1207">
        <v>81</v>
      </c>
      <c r="D1207">
        <v>1</v>
      </c>
      <c r="E1207">
        <v>0</v>
      </c>
      <c r="F1207">
        <v>0</v>
      </c>
      <c r="G1207">
        <v>0</v>
      </c>
      <c r="H1207">
        <v>0</v>
      </c>
    </row>
    <row r="1208" spans="2:8">
      <c r="B1208" t="s">
        <v>25022</v>
      </c>
      <c r="C1208">
        <v>82</v>
      </c>
      <c r="D1208">
        <v>3</v>
      </c>
      <c r="E1208">
        <v>0</v>
      </c>
      <c r="F1208">
        <v>0</v>
      </c>
      <c r="G1208">
        <v>0</v>
      </c>
      <c r="H1208">
        <v>0</v>
      </c>
    </row>
    <row r="1209" spans="2:8">
      <c r="B1209" t="s">
        <v>25022</v>
      </c>
      <c r="C1209">
        <v>82</v>
      </c>
      <c r="D1209">
        <v>12</v>
      </c>
      <c r="E1209">
        <v>3</v>
      </c>
      <c r="F1209">
        <v>0</v>
      </c>
      <c r="G1209">
        <v>0</v>
      </c>
      <c r="H1209">
        <v>3</v>
      </c>
    </row>
    <row r="1210" spans="2:8">
      <c r="B1210" t="s">
        <v>25022</v>
      </c>
      <c r="C1210">
        <v>82</v>
      </c>
      <c r="D1210">
        <v>10</v>
      </c>
      <c r="E1210">
        <v>2</v>
      </c>
      <c r="F1210">
        <v>0</v>
      </c>
      <c r="G1210">
        <v>2</v>
      </c>
      <c r="H1210">
        <v>0</v>
      </c>
    </row>
    <row r="1211" spans="2:8">
      <c r="B1211" t="s">
        <v>25022</v>
      </c>
      <c r="C1211">
        <v>82</v>
      </c>
      <c r="D1211">
        <v>5</v>
      </c>
      <c r="E1211">
        <v>0</v>
      </c>
      <c r="F1211">
        <v>0</v>
      </c>
      <c r="G1211">
        <v>0</v>
      </c>
      <c r="H1211">
        <v>0</v>
      </c>
    </row>
    <row r="1212" spans="2:8">
      <c r="B1212" t="s">
        <v>25022</v>
      </c>
      <c r="C1212">
        <v>82</v>
      </c>
      <c r="D1212">
        <v>4</v>
      </c>
      <c r="E1212">
        <v>2</v>
      </c>
      <c r="F1212">
        <v>0</v>
      </c>
      <c r="G1212">
        <v>0</v>
      </c>
      <c r="H1212">
        <v>2</v>
      </c>
    </row>
    <row r="1213" spans="2:8">
      <c r="B1213" t="s">
        <v>25022</v>
      </c>
      <c r="C1213">
        <v>82</v>
      </c>
      <c r="D1213">
        <v>4</v>
      </c>
      <c r="E1213">
        <v>0</v>
      </c>
      <c r="F1213">
        <v>0</v>
      </c>
      <c r="G1213">
        <v>0</v>
      </c>
      <c r="H1213">
        <v>0</v>
      </c>
    </row>
    <row r="1214" spans="2:8">
      <c r="B1214" t="s">
        <v>25022</v>
      </c>
      <c r="C1214">
        <v>82</v>
      </c>
      <c r="D1214">
        <v>2</v>
      </c>
      <c r="E1214">
        <v>0</v>
      </c>
      <c r="F1214">
        <v>0</v>
      </c>
      <c r="G1214">
        <v>0</v>
      </c>
      <c r="H1214">
        <v>0</v>
      </c>
    </row>
    <row r="1215" spans="2:8">
      <c r="B1215" t="s">
        <v>25022</v>
      </c>
      <c r="C1215">
        <v>82</v>
      </c>
      <c r="D1215">
        <v>4</v>
      </c>
      <c r="E1215">
        <v>0</v>
      </c>
      <c r="F1215">
        <v>0</v>
      </c>
      <c r="G1215">
        <v>0</v>
      </c>
      <c r="H1215">
        <v>0</v>
      </c>
    </row>
    <row r="1216" spans="2:8">
      <c r="B1216" t="s">
        <v>25022</v>
      </c>
      <c r="C1216">
        <v>82</v>
      </c>
      <c r="D1216">
        <v>8</v>
      </c>
      <c r="E1216">
        <v>2</v>
      </c>
      <c r="F1216">
        <v>0</v>
      </c>
      <c r="G1216">
        <v>0</v>
      </c>
      <c r="H1216">
        <v>2</v>
      </c>
    </row>
    <row r="1217" spans="2:8">
      <c r="B1217" t="s">
        <v>25022</v>
      </c>
      <c r="C1217">
        <v>82</v>
      </c>
      <c r="D1217">
        <v>3</v>
      </c>
      <c r="E1217">
        <v>2</v>
      </c>
      <c r="F1217">
        <v>0</v>
      </c>
      <c r="G1217">
        <v>2</v>
      </c>
      <c r="H1217">
        <v>0</v>
      </c>
    </row>
    <row r="1218" spans="2:8">
      <c r="B1218" t="s">
        <v>25022</v>
      </c>
      <c r="C1218">
        <v>83</v>
      </c>
      <c r="D1218">
        <v>11</v>
      </c>
      <c r="E1218">
        <v>3</v>
      </c>
      <c r="F1218">
        <v>0</v>
      </c>
      <c r="G1218">
        <v>0</v>
      </c>
      <c r="H1218">
        <v>3</v>
      </c>
    </row>
    <row r="1219" spans="2:8">
      <c r="B1219" t="s">
        <v>25022</v>
      </c>
      <c r="C1219">
        <v>83</v>
      </c>
      <c r="D1219">
        <v>5</v>
      </c>
      <c r="E1219">
        <v>3</v>
      </c>
      <c r="F1219">
        <v>0</v>
      </c>
      <c r="G1219">
        <v>2</v>
      </c>
      <c r="H1219">
        <v>1</v>
      </c>
    </row>
    <row r="1220" spans="2:8">
      <c r="B1220" t="s">
        <v>25022</v>
      </c>
      <c r="C1220">
        <v>83</v>
      </c>
      <c r="D1220">
        <v>5</v>
      </c>
      <c r="E1220">
        <v>0</v>
      </c>
      <c r="F1220">
        <v>0</v>
      </c>
      <c r="G1220">
        <v>0</v>
      </c>
      <c r="H1220">
        <v>0</v>
      </c>
    </row>
    <row r="1221" spans="2:8">
      <c r="B1221" t="s">
        <v>25022</v>
      </c>
      <c r="C1221">
        <v>83</v>
      </c>
      <c r="D1221">
        <v>5</v>
      </c>
      <c r="E1221">
        <v>0</v>
      </c>
      <c r="F1221">
        <v>0</v>
      </c>
      <c r="G1221">
        <v>0</v>
      </c>
      <c r="H1221">
        <v>0</v>
      </c>
    </row>
    <row r="1222" spans="2:8">
      <c r="B1222" t="s">
        <v>25022</v>
      </c>
      <c r="C1222">
        <v>83</v>
      </c>
      <c r="D1222">
        <v>4</v>
      </c>
      <c r="E1222">
        <v>0</v>
      </c>
      <c r="F1222">
        <v>0</v>
      </c>
      <c r="G1222">
        <v>0</v>
      </c>
      <c r="H1222">
        <v>0</v>
      </c>
    </row>
    <row r="1223" spans="2:8">
      <c r="B1223" t="s">
        <v>25022</v>
      </c>
      <c r="C1223">
        <v>84</v>
      </c>
      <c r="D1223">
        <v>6</v>
      </c>
      <c r="E1223">
        <v>0</v>
      </c>
      <c r="F1223">
        <v>0</v>
      </c>
      <c r="G1223">
        <v>0</v>
      </c>
      <c r="H1223">
        <v>0</v>
      </c>
    </row>
    <row r="1224" spans="2:8">
      <c r="B1224" t="s">
        <v>25022</v>
      </c>
      <c r="C1224">
        <v>84</v>
      </c>
      <c r="D1224">
        <v>1</v>
      </c>
      <c r="E1224">
        <v>0</v>
      </c>
      <c r="F1224">
        <v>0</v>
      </c>
      <c r="G1224">
        <v>0</v>
      </c>
      <c r="H1224">
        <v>0</v>
      </c>
    </row>
    <row r="1225" spans="2:8">
      <c r="B1225" t="s">
        <v>25022</v>
      </c>
      <c r="C1225">
        <v>84</v>
      </c>
      <c r="D1225">
        <v>1</v>
      </c>
      <c r="E1225">
        <v>0</v>
      </c>
      <c r="F1225">
        <v>0</v>
      </c>
      <c r="G1225">
        <v>0</v>
      </c>
      <c r="H1225">
        <v>0</v>
      </c>
    </row>
    <row r="1226" spans="2:8">
      <c r="B1226" t="s">
        <v>25022</v>
      </c>
      <c r="C1226">
        <v>84</v>
      </c>
      <c r="D1226">
        <v>3</v>
      </c>
      <c r="E1226">
        <v>0</v>
      </c>
      <c r="F1226">
        <v>0</v>
      </c>
      <c r="G1226">
        <v>0</v>
      </c>
      <c r="H1226">
        <v>0</v>
      </c>
    </row>
    <row r="1227" spans="2:8">
      <c r="B1227" t="s">
        <v>25022</v>
      </c>
      <c r="C1227">
        <v>84</v>
      </c>
      <c r="D1227">
        <v>3</v>
      </c>
      <c r="E1227">
        <v>0</v>
      </c>
      <c r="F1227">
        <v>0</v>
      </c>
      <c r="G1227">
        <v>0</v>
      </c>
      <c r="H1227">
        <v>0</v>
      </c>
    </row>
    <row r="1228" spans="2:8">
      <c r="B1228" t="s">
        <v>25022</v>
      </c>
      <c r="C1228">
        <v>84</v>
      </c>
      <c r="D1228">
        <v>4</v>
      </c>
      <c r="E1228">
        <v>0</v>
      </c>
      <c r="F1228">
        <v>0</v>
      </c>
      <c r="G1228">
        <v>0</v>
      </c>
      <c r="H1228">
        <v>0</v>
      </c>
    </row>
    <row r="1229" spans="2:8">
      <c r="B1229" t="s">
        <v>25022</v>
      </c>
      <c r="C1229">
        <v>85</v>
      </c>
      <c r="D1229">
        <v>8</v>
      </c>
      <c r="E1229">
        <v>0</v>
      </c>
      <c r="F1229">
        <v>0</v>
      </c>
      <c r="G1229">
        <v>0</v>
      </c>
      <c r="H1229">
        <v>0</v>
      </c>
    </row>
    <row r="1230" spans="2:8">
      <c r="B1230" t="s">
        <v>25022</v>
      </c>
      <c r="C1230">
        <v>85</v>
      </c>
      <c r="D1230">
        <v>2</v>
      </c>
      <c r="E1230">
        <v>0</v>
      </c>
      <c r="F1230">
        <v>0</v>
      </c>
      <c r="G1230">
        <v>0</v>
      </c>
      <c r="H1230">
        <v>0</v>
      </c>
    </row>
    <row r="1231" spans="2:8">
      <c r="B1231" t="s">
        <v>25022</v>
      </c>
      <c r="C1231">
        <v>85</v>
      </c>
      <c r="D1231">
        <v>2</v>
      </c>
      <c r="E1231">
        <v>0</v>
      </c>
      <c r="F1231">
        <v>0</v>
      </c>
      <c r="G1231">
        <v>0</v>
      </c>
      <c r="H1231">
        <v>0</v>
      </c>
    </row>
    <row r="1232" spans="2:8">
      <c r="B1232" t="s">
        <v>25022</v>
      </c>
      <c r="C1232">
        <v>85</v>
      </c>
      <c r="D1232">
        <v>1</v>
      </c>
      <c r="E1232">
        <v>0</v>
      </c>
      <c r="F1232">
        <v>0</v>
      </c>
      <c r="G1232">
        <v>0</v>
      </c>
      <c r="H1232">
        <v>0</v>
      </c>
    </row>
    <row r="1233" spans="2:8">
      <c r="B1233" t="s">
        <v>25022</v>
      </c>
      <c r="C1233">
        <v>85</v>
      </c>
      <c r="D1233">
        <v>1</v>
      </c>
      <c r="E1233">
        <v>0</v>
      </c>
      <c r="F1233">
        <v>0</v>
      </c>
      <c r="G1233">
        <v>0</v>
      </c>
      <c r="H1233">
        <v>0</v>
      </c>
    </row>
    <row r="1234" spans="2:8">
      <c r="B1234" t="s">
        <v>25022</v>
      </c>
      <c r="C1234">
        <v>85</v>
      </c>
      <c r="D1234">
        <v>1</v>
      </c>
      <c r="E1234">
        <v>0</v>
      </c>
      <c r="F1234">
        <v>0</v>
      </c>
      <c r="G1234">
        <v>0</v>
      </c>
      <c r="H1234">
        <v>0</v>
      </c>
    </row>
    <row r="1235" spans="2:8">
      <c r="B1235" t="s">
        <v>25022</v>
      </c>
      <c r="C1235">
        <v>86</v>
      </c>
      <c r="D1235">
        <v>10</v>
      </c>
      <c r="E1235">
        <v>4</v>
      </c>
      <c r="F1235">
        <v>0</v>
      </c>
      <c r="G1235">
        <v>4</v>
      </c>
      <c r="H1235">
        <v>0</v>
      </c>
    </row>
    <row r="1236" spans="2:8">
      <c r="B1236" t="s">
        <v>25022</v>
      </c>
      <c r="C1236">
        <v>86</v>
      </c>
      <c r="D1236">
        <v>5</v>
      </c>
      <c r="E1236">
        <v>0</v>
      </c>
      <c r="F1236">
        <v>0</v>
      </c>
      <c r="G1236">
        <v>0</v>
      </c>
      <c r="H1236">
        <v>0</v>
      </c>
    </row>
    <row r="1237" spans="2:8">
      <c r="B1237" t="s">
        <v>25022</v>
      </c>
      <c r="C1237">
        <v>86</v>
      </c>
      <c r="D1237">
        <v>1</v>
      </c>
      <c r="E1237">
        <v>0</v>
      </c>
      <c r="F1237">
        <v>0</v>
      </c>
      <c r="G1237">
        <v>0</v>
      </c>
      <c r="H1237">
        <v>0</v>
      </c>
    </row>
    <row r="1238" spans="2:8">
      <c r="B1238" t="s">
        <v>25022</v>
      </c>
      <c r="C1238">
        <v>86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2:8">
      <c r="B1239" t="s">
        <v>25022</v>
      </c>
      <c r="C1239">
        <v>86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2:8">
      <c r="B1240" t="s">
        <v>25022</v>
      </c>
      <c r="C1240">
        <v>87</v>
      </c>
      <c r="D1240">
        <v>8</v>
      </c>
      <c r="E1240">
        <v>0</v>
      </c>
      <c r="F1240">
        <v>0</v>
      </c>
      <c r="G1240">
        <v>0</v>
      </c>
      <c r="H1240">
        <v>0</v>
      </c>
    </row>
    <row r="1241" spans="2:8">
      <c r="B1241" t="s">
        <v>25022</v>
      </c>
      <c r="C1241">
        <v>87</v>
      </c>
      <c r="D1241">
        <v>7</v>
      </c>
      <c r="E1241">
        <v>0</v>
      </c>
      <c r="F1241">
        <v>0</v>
      </c>
      <c r="G1241">
        <v>0</v>
      </c>
      <c r="H1241">
        <v>0</v>
      </c>
    </row>
    <row r="1242" spans="2:8">
      <c r="B1242" t="s">
        <v>25022</v>
      </c>
      <c r="C1242">
        <v>87</v>
      </c>
      <c r="D1242">
        <v>8</v>
      </c>
      <c r="E1242">
        <v>0</v>
      </c>
      <c r="F1242">
        <v>0</v>
      </c>
      <c r="G1242">
        <v>0</v>
      </c>
      <c r="H1242">
        <v>0</v>
      </c>
    </row>
    <row r="1243" spans="2:8">
      <c r="B1243" t="s">
        <v>25022</v>
      </c>
      <c r="C1243">
        <v>87</v>
      </c>
      <c r="D1243">
        <v>5</v>
      </c>
      <c r="E1243">
        <v>0</v>
      </c>
      <c r="F1243">
        <v>0</v>
      </c>
      <c r="G1243">
        <v>0</v>
      </c>
      <c r="H1243">
        <v>0</v>
      </c>
    </row>
    <row r="1244" spans="2:8">
      <c r="B1244" t="s">
        <v>25022</v>
      </c>
      <c r="C1244">
        <v>87</v>
      </c>
      <c r="D1244">
        <v>7</v>
      </c>
      <c r="E1244">
        <v>0</v>
      </c>
      <c r="F1244">
        <v>0</v>
      </c>
      <c r="G1244">
        <v>0</v>
      </c>
      <c r="H1244">
        <v>0</v>
      </c>
    </row>
    <row r="1245" spans="2:8">
      <c r="B1245" t="s">
        <v>25022</v>
      </c>
      <c r="C1245">
        <v>87</v>
      </c>
      <c r="D1245">
        <v>2</v>
      </c>
      <c r="E1245">
        <v>0</v>
      </c>
      <c r="F1245">
        <v>0</v>
      </c>
      <c r="G1245">
        <v>0</v>
      </c>
      <c r="H1245">
        <v>0</v>
      </c>
    </row>
    <row r="1246" spans="2:8">
      <c r="B1246" t="s">
        <v>25022</v>
      </c>
      <c r="C1246">
        <v>87</v>
      </c>
      <c r="D1246">
        <v>1</v>
      </c>
      <c r="E1246">
        <v>0</v>
      </c>
      <c r="F1246">
        <v>0</v>
      </c>
      <c r="G1246">
        <v>0</v>
      </c>
      <c r="H1246">
        <v>0</v>
      </c>
    </row>
    <row r="1247" spans="2:8">
      <c r="B1247" t="s">
        <v>25022</v>
      </c>
      <c r="C1247">
        <v>87</v>
      </c>
      <c r="D1247">
        <v>1</v>
      </c>
      <c r="E1247">
        <v>0</v>
      </c>
      <c r="F1247">
        <v>0</v>
      </c>
      <c r="G1247">
        <v>0</v>
      </c>
      <c r="H1247">
        <v>0</v>
      </c>
    </row>
    <row r="1248" spans="2:8">
      <c r="B1248" t="s">
        <v>25022</v>
      </c>
      <c r="C1248">
        <v>88</v>
      </c>
      <c r="D1248">
        <v>9</v>
      </c>
      <c r="E1248">
        <v>2</v>
      </c>
      <c r="F1248">
        <v>0</v>
      </c>
      <c r="G1248">
        <v>2</v>
      </c>
      <c r="H1248">
        <v>0</v>
      </c>
    </row>
    <row r="1249" spans="2:8">
      <c r="B1249" t="s">
        <v>25022</v>
      </c>
      <c r="C1249">
        <v>88</v>
      </c>
      <c r="D1249">
        <v>9</v>
      </c>
      <c r="E1249">
        <v>0</v>
      </c>
      <c r="F1249">
        <v>0</v>
      </c>
      <c r="G1249">
        <v>0</v>
      </c>
      <c r="H1249">
        <v>0</v>
      </c>
    </row>
    <row r="1250" spans="2:8">
      <c r="B1250" t="s">
        <v>25022</v>
      </c>
      <c r="C1250">
        <v>88</v>
      </c>
      <c r="D1250">
        <v>10</v>
      </c>
      <c r="E1250">
        <v>0</v>
      </c>
      <c r="F1250">
        <v>0</v>
      </c>
      <c r="G1250">
        <v>0</v>
      </c>
      <c r="H1250">
        <v>0</v>
      </c>
    </row>
    <row r="1251" spans="2:8">
      <c r="B1251" t="s">
        <v>25022</v>
      </c>
      <c r="C1251">
        <v>88</v>
      </c>
      <c r="D1251">
        <v>7</v>
      </c>
      <c r="E1251">
        <v>4</v>
      </c>
      <c r="F1251">
        <v>0</v>
      </c>
      <c r="G1251">
        <v>4</v>
      </c>
      <c r="H1251">
        <v>0</v>
      </c>
    </row>
    <row r="1252" spans="2:8">
      <c r="B1252" t="s">
        <v>25022</v>
      </c>
      <c r="C1252">
        <v>88</v>
      </c>
      <c r="D1252">
        <v>3</v>
      </c>
      <c r="E1252">
        <v>0</v>
      </c>
      <c r="F1252">
        <v>0</v>
      </c>
      <c r="G1252">
        <v>0</v>
      </c>
      <c r="H1252">
        <v>0</v>
      </c>
    </row>
    <row r="1253" spans="2:8">
      <c r="B1253" t="s">
        <v>25022</v>
      </c>
      <c r="C1253">
        <v>88</v>
      </c>
      <c r="D1253">
        <v>8</v>
      </c>
      <c r="E1253">
        <v>6</v>
      </c>
      <c r="F1253">
        <v>0</v>
      </c>
      <c r="G1253">
        <v>4</v>
      </c>
      <c r="H1253">
        <v>2</v>
      </c>
    </row>
    <row r="1254" spans="2:8">
      <c r="B1254" t="s">
        <v>25022</v>
      </c>
      <c r="C1254">
        <v>88</v>
      </c>
      <c r="D1254">
        <v>2</v>
      </c>
      <c r="E1254">
        <v>2</v>
      </c>
      <c r="F1254">
        <v>0</v>
      </c>
      <c r="G1254">
        <v>0</v>
      </c>
      <c r="H1254">
        <v>2</v>
      </c>
    </row>
    <row r="1255" spans="2:8">
      <c r="B1255" t="s">
        <v>25022</v>
      </c>
      <c r="C1255">
        <v>88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2:8">
      <c r="B1256" t="s">
        <v>25022</v>
      </c>
      <c r="C1256">
        <v>89</v>
      </c>
      <c r="D1256">
        <v>11</v>
      </c>
      <c r="E1256">
        <v>2</v>
      </c>
      <c r="F1256">
        <v>0</v>
      </c>
      <c r="G1256">
        <v>2</v>
      </c>
      <c r="H1256">
        <v>0</v>
      </c>
    </row>
    <row r="1257" spans="2:8">
      <c r="B1257" t="s">
        <v>25022</v>
      </c>
      <c r="C1257">
        <v>89</v>
      </c>
      <c r="D1257">
        <v>10</v>
      </c>
      <c r="E1257">
        <v>4</v>
      </c>
      <c r="F1257">
        <v>0</v>
      </c>
      <c r="G1257">
        <v>2</v>
      </c>
      <c r="H1257">
        <v>2</v>
      </c>
    </row>
    <row r="1258" spans="2:8">
      <c r="B1258" t="s">
        <v>25022</v>
      </c>
      <c r="C1258">
        <v>89</v>
      </c>
      <c r="D1258">
        <v>4</v>
      </c>
      <c r="E1258">
        <v>0</v>
      </c>
      <c r="F1258">
        <v>0</v>
      </c>
      <c r="G1258">
        <v>0</v>
      </c>
      <c r="H1258">
        <v>0</v>
      </c>
    </row>
    <row r="1259" spans="2:8">
      <c r="B1259" t="s">
        <v>25022</v>
      </c>
      <c r="C1259">
        <v>89</v>
      </c>
      <c r="D1259">
        <v>8</v>
      </c>
      <c r="E1259">
        <v>2</v>
      </c>
      <c r="F1259">
        <v>0</v>
      </c>
      <c r="G1259">
        <v>2</v>
      </c>
      <c r="H1259">
        <v>0</v>
      </c>
    </row>
    <row r="1260" spans="2:8">
      <c r="B1260" t="s">
        <v>25022</v>
      </c>
      <c r="C1260">
        <v>89</v>
      </c>
      <c r="D1260">
        <v>1</v>
      </c>
      <c r="E1260">
        <v>0</v>
      </c>
      <c r="F1260">
        <v>0</v>
      </c>
      <c r="G1260">
        <v>0</v>
      </c>
      <c r="H1260">
        <v>0</v>
      </c>
    </row>
    <row r="1261" spans="2:8">
      <c r="B1261" t="s">
        <v>25022</v>
      </c>
      <c r="C1261">
        <v>89</v>
      </c>
      <c r="D1261">
        <v>3</v>
      </c>
      <c r="E1261">
        <v>0</v>
      </c>
      <c r="F1261">
        <v>0</v>
      </c>
      <c r="G1261">
        <v>0</v>
      </c>
      <c r="H1261">
        <v>0</v>
      </c>
    </row>
    <row r="1262" spans="2:8">
      <c r="B1262" t="s">
        <v>25022</v>
      </c>
      <c r="C1262">
        <v>89</v>
      </c>
      <c r="D1262">
        <v>2</v>
      </c>
      <c r="E1262">
        <v>0</v>
      </c>
      <c r="F1262">
        <v>0</v>
      </c>
      <c r="G1262">
        <v>0</v>
      </c>
      <c r="H1262">
        <v>0</v>
      </c>
    </row>
    <row r="1263" spans="2:8">
      <c r="B1263" t="s">
        <v>25022</v>
      </c>
      <c r="C1263">
        <v>89</v>
      </c>
      <c r="D1263">
        <v>2</v>
      </c>
      <c r="E1263">
        <v>2</v>
      </c>
      <c r="F1263">
        <v>0</v>
      </c>
      <c r="G1263">
        <v>2</v>
      </c>
      <c r="H1263">
        <v>0</v>
      </c>
    </row>
    <row r="1264" spans="2:8">
      <c r="B1264" t="s">
        <v>25022</v>
      </c>
      <c r="C1264">
        <v>89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2:8">
      <c r="B1265" t="s">
        <v>25022</v>
      </c>
      <c r="C1265">
        <v>90</v>
      </c>
      <c r="D1265">
        <v>10</v>
      </c>
      <c r="E1265">
        <v>0</v>
      </c>
      <c r="F1265">
        <v>0</v>
      </c>
      <c r="G1265">
        <v>0</v>
      </c>
      <c r="H1265">
        <v>0</v>
      </c>
    </row>
    <row r="1266" spans="2:8">
      <c r="B1266" t="s">
        <v>25022</v>
      </c>
      <c r="C1266">
        <v>90</v>
      </c>
      <c r="D1266">
        <v>4</v>
      </c>
      <c r="E1266">
        <v>0</v>
      </c>
      <c r="F1266">
        <v>0</v>
      </c>
      <c r="G1266">
        <v>0</v>
      </c>
      <c r="H1266">
        <v>0</v>
      </c>
    </row>
    <row r="1267" spans="2:8">
      <c r="B1267" t="s">
        <v>25022</v>
      </c>
      <c r="C1267">
        <v>90</v>
      </c>
      <c r="D1267">
        <v>4</v>
      </c>
      <c r="E1267">
        <v>0</v>
      </c>
      <c r="F1267">
        <v>0</v>
      </c>
      <c r="G1267">
        <v>0</v>
      </c>
      <c r="H1267">
        <v>0</v>
      </c>
    </row>
    <row r="1268" spans="2:8">
      <c r="B1268" t="s">
        <v>25022</v>
      </c>
      <c r="C1268">
        <v>90</v>
      </c>
      <c r="D1268">
        <v>4</v>
      </c>
      <c r="E1268">
        <v>0</v>
      </c>
      <c r="F1268">
        <v>0</v>
      </c>
      <c r="G1268">
        <v>0</v>
      </c>
      <c r="H1268">
        <v>0</v>
      </c>
    </row>
    <row r="1269" spans="2:8">
      <c r="B1269" t="s">
        <v>25022</v>
      </c>
      <c r="C1269">
        <v>90</v>
      </c>
      <c r="D1269">
        <v>2</v>
      </c>
      <c r="E1269">
        <v>0</v>
      </c>
      <c r="F1269">
        <v>0</v>
      </c>
      <c r="G1269">
        <v>0</v>
      </c>
      <c r="H1269">
        <v>0</v>
      </c>
    </row>
    <row r="1270" spans="2:8">
      <c r="B1270" t="s">
        <v>25022</v>
      </c>
      <c r="C1270">
        <v>90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2:8">
      <c r="B1271" t="s">
        <v>25022</v>
      </c>
      <c r="C1271">
        <v>91</v>
      </c>
      <c r="D1271">
        <v>12</v>
      </c>
      <c r="E1271">
        <v>2</v>
      </c>
      <c r="F1271">
        <v>0</v>
      </c>
      <c r="G1271">
        <v>2</v>
      </c>
      <c r="H1271">
        <v>0</v>
      </c>
    </row>
    <row r="1272" spans="2:8">
      <c r="B1272" t="s">
        <v>25022</v>
      </c>
      <c r="C1272">
        <v>91</v>
      </c>
      <c r="D1272">
        <v>9</v>
      </c>
      <c r="E1272">
        <v>0</v>
      </c>
      <c r="F1272">
        <v>0</v>
      </c>
      <c r="G1272">
        <v>0</v>
      </c>
      <c r="H1272">
        <v>0</v>
      </c>
    </row>
    <row r="1273" spans="2:8">
      <c r="B1273" t="s">
        <v>25022</v>
      </c>
      <c r="C1273">
        <v>91</v>
      </c>
      <c r="D1273">
        <v>17</v>
      </c>
      <c r="E1273">
        <v>2</v>
      </c>
      <c r="F1273">
        <v>0</v>
      </c>
      <c r="G1273">
        <v>2</v>
      </c>
      <c r="H1273">
        <v>0</v>
      </c>
    </row>
    <row r="1274" spans="2:8">
      <c r="B1274" t="s">
        <v>25022</v>
      </c>
      <c r="C1274">
        <v>91</v>
      </c>
      <c r="D1274">
        <v>3</v>
      </c>
      <c r="E1274">
        <v>0</v>
      </c>
      <c r="F1274">
        <v>0</v>
      </c>
      <c r="G1274">
        <v>0</v>
      </c>
      <c r="H1274">
        <v>0</v>
      </c>
    </row>
    <row r="1275" spans="2:8">
      <c r="B1275" t="s">
        <v>25022</v>
      </c>
      <c r="C1275">
        <v>91</v>
      </c>
      <c r="D1275">
        <v>1</v>
      </c>
      <c r="E1275">
        <v>0</v>
      </c>
      <c r="F1275">
        <v>0</v>
      </c>
      <c r="G1275">
        <v>0</v>
      </c>
      <c r="H1275">
        <v>0</v>
      </c>
    </row>
    <row r="1276" spans="2:8">
      <c r="B1276" t="s">
        <v>25022</v>
      </c>
      <c r="C1276">
        <v>92</v>
      </c>
      <c r="D1276">
        <v>12</v>
      </c>
      <c r="E1276">
        <v>4</v>
      </c>
      <c r="F1276">
        <v>0</v>
      </c>
      <c r="G1276">
        <v>2</v>
      </c>
      <c r="H1276">
        <v>2</v>
      </c>
    </row>
    <row r="1277" spans="2:8">
      <c r="B1277" t="s">
        <v>25022</v>
      </c>
      <c r="C1277">
        <v>92</v>
      </c>
      <c r="D1277">
        <v>8</v>
      </c>
      <c r="E1277">
        <v>0</v>
      </c>
      <c r="F1277">
        <v>0</v>
      </c>
      <c r="G1277">
        <v>0</v>
      </c>
      <c r="H1277">
        <v>0</v>
      </c>
    </row>
    <row r="1278" spans="2:8">
      <c r="B1278" t="s">
        <v>25022</v>
      </c>
      <c r="C1278">
        <v>92</v>
      </c>
      <c r="D1278">
        <v>2</v>
      </c>
      <c r="E1278">
        <v>2</v>
      </c>
      <c r="F1278">
        <v>0</v>
      </c>
      <c r="G1278">
        <v>0</v>
      </c>
      <c r="H1278">
        <v>2</v>
      </c>
    </row>
    <row r="1279" spans="2:8">
      <c r="B1279" t="s">
        <v>25022</v>
      </c>
      <c r="C1279">
        <v>92</v>
      </c>
      <c r="D1279">
        <v>6</v>
      </c>
      <c r="E1279">
        <v>0</v>
      </c>
      <c r="F1279">
        <v>0</v>
      </c>
      <c r="G1279">
        <v>0</v>
      </c>
      <c r="H1279">
        <v>0</v>
      </c>
    </row>
    <row r="1280" spans="2:8">
      <c r="B1280" t="s">
        <v>25022</v>
      </c>
      <c r="C1280">
        <v>92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2:8">
      <c r="B1281" t="s">
        <v>25022</v>
      </c>
      <c r="C1281">
        <v>92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2:8">
      <c r="B1282" t="s">
        <v>25022</v>
      </c>
      <c r="C1282">
        <v>93</v>
      </c>
      <c r="D1282">
        <v>5</v>
      </c>
      <c r="E1282">
        <v>0</v>
      </c>
      <c r="F1282">
        <v>0</v>
      </c>
      <c r="G1282">
        <v>0</v>
      </c>
      <c r="H1282">
        <v>0</v>
      </c>
    </row>
    <row r="1283" spans="2:8">
      <c r="B1283" t="s">
        <v>25022</v>
      </c>
      <c r="C1283">
        <v>93</v>
      </c>
      <c r="D1283">
        <v>5</v>
      </c>
      <c r="E1283">
        <v>2</v>
      </c>
      <c r="F1283">
        <v>0</v>
      </c>
      <c r="G1283">
        <v>0</v>
      </c>
      <c r="H1283">
        <v>2</v>
      </c>
    </row>
    <row r="1284" spans="2:8">
      <c r="B1284" t="s">
        <v>25022</v>
      </c>
      <c r="C1284">
        <v>93</v>
      </c>
      <c r="D1284">
        <v>1</v>
      </c>
      <c r="E1284">
        <v>0</v>
      </c>
      <c r="F1284">
        <v>0</v>
      </c>
      <c r="G1284">
        <v>0</v>
      </c>
      <c r="H1284">
        <v>0</v>
      </c>
    </row>
    <row r="1285" spans="2:8">
      <c r="B1285" t="s">
        <v>25022</v>
      </c>
      <c r="C1285">
        <v>93</v>
      </c>
      <c r="D1285">
        <v>1</v>
      </c>
      <c r="E1285">
        <v>0</v>
      </c>
      <c r="F1285">
        <v>0</v>
      </c>
      <c r="G1285">
        <v>0</v>
      </c>
      <c r="H1285">
        <v>0</v>
      </c>
    </row>
    <row r="1286" spans="2:8">
      <c r="B1286" t="s">
        <v>25022</v>
      </c>
      <c r="C1286">
        <v>93</v>
      </c>
      <c r="D1286">
        <v>2</v>
      </c>
      <c r="E1286">
        <v>0</v>
      </c>
      <c r="F1286">
        <v>0</v>
      </c>
      <c r="G1286">
        <v>0</v>
      </c>
      <c r="H1286">
        <v>0</v>
      </c>
    </row>
    <row r="1287" spans="2:8">
      <c r="B1287" t="s">
        <v>25022</v>
      </c>
      <c r="C1287">
        <v>93</v>
      </c>
      <c r="D1287">
        <v>1</v>
      </c>
      <c r="E1287">
        <v>0</v>
      </c>
      <c r="F1287">
        <v>0</v>
      </c>
      <c r="G1287">
        <v>0</v>
      </c>
      <c r="H1287">
        <v>0</v>
      </c>
    </row>
    <row r="1288" spans="2:8">
      <c r="B1288" t="s">
        <v>25022</v>
      </c>
      <c r="C1288">
        <v>93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2:8">
      <c r="B1289" t="s">
        <v>25022</v>
      </c>
      <c r="C1289">
        <v>94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2:8">
      <c r="B1290" t="s">
        <v>25022</v>
      </c>
      <c r="C1290">
        <v>95</v>
      </c>
      <c r="D1290">
        <v>6</v>
      </c>
      <c r="E1290">
        <v>2</v>
      </c>
      <c r="F1290">
        <v>0</v>
      </c>
      <c r="G1290">
        <v>2</v>
      </c>
      <c r="H1290">
        <v>0</v>
      </c>
    </row>
    <row r="1291" spans="2:8">
      <c r="B1291" t="s">
        <v>25022</v>
      </c>
      <c r="C1291">
        <v>95</v>
      </c>
      <c r="D1291">
        <v>10</v>
      </c>
      <c r="E1291">
        <v>0</v>
      </c>
      <c r="F1291">
        <v>0</v>
      </c>
      <c r="G1291">
        <v>0</v>
      </c>
      <c r="H1291">
        <v>0</v>
      </c>
    </row>
    <row r="1292" spans="2:8">
      <c r="B1292" t="s">
        <v>25022</v>
      </c>
      <c r="C1292">
        <v>95</v>
      </c>
      <c r="D1292">
        <v>10</v>
      </c>
      <c r="E1292">
        <v>0</v>
      </c>
      <c r="F1292">
        <v>0</v>
      </c>
      <c r="G1292">
        <v>0</v>
      </c>
      <c r="H1292">
        <v>0</v>
      </c>
    </row>
    <row r="1293" spans="2:8">
      <c r="B1293" t="s">
        <v>25022</v>
      </c>
      <c r="C1293">
        <v>95</v>
      </c>
      <c r="D1293">
        <v>1</v>
      </c>
      <c r="E1293">
        <v>0</v>
      </c>
      <c r="F1293">
        <v>0</v>
      </c>
      <c r="G1293">
        <v>0</v>
      </c>
      <c r="H1293">
        <v>0</v>
      </c>
    </row>
    <row r="1294" spans="2:8">
      <c r="B1294" t="s">
        <v>25022</v>
      </c>
      <c r="C1294">
        <v>96</v>
      </c>
      <c r="D1294">
        <v>16</v>
      </c>
      <c r="E1294">
        <v>5</v>
      </c>
      <c r="F1294">
        <v>0</v>
      </c>
      <c r="G1294">
        <v>2</v>
      </c>
      <c r="H1294">
        <v>3</v>
      </c>
    </row>
    <row r="1295" spans="2:8">
      <c r="B1295" t="s">
        <v>25022</v>
      </c>
      <c r="C1295">
        <v>96</v>
      </c>
      <c r="D1295">
        <v>11</v>
      </c>
      <c r="E1295">
        <v>4</v>
      </c>
      <c r="F1295">
        <v>0</v>
      </c>
      <c r="G1295">
        <v>2</v>
      </c>
      <c r="H1295">
        <v>2</v>
      </c>
    </row>
    <row r="1296" spans="2:8">
      <c r="B1296" t="s">
        <v>25022</v>
      </c>
      <c r="C1296">
        <v>96</v>
      </c>
      <c r="D1296">
        <v>5</v>
      </c>
      <c r="E1296">
        <v>2</v>
      </c>
      <c r="F1296">
        <v>0</v>
      </c>
      <c r="G1296">
        <v>2</v>
      </c>
      <c r="H1296">
        <v>0</v>
      </c>
    </row>
    <row r="1297" spans="2:8">
      <c r="B1297" t="s">
        <v>25022</v>
      </c>
      <c r="C1297">
        <v>96</v>
      </c>
      <c r="D1297">
        <v>11</v>
      </c>
      <c r="E1297">
        <v>4</v>
      </c>
      <c r="F1297">
        <v>0</v>
      </c>
      <c r="G1297">
        <v>2</v>
      </c>
      <c r="H1297">
        <v>2</v>
      </c>
    </row>
    <row r="1298" spans="2:8">
      <c r="B1298" t="s">
        <v>25022</v>
      </c>
      <c r="C1298">
        <v>96</v>
      </c>
      <c r="D1298">
        <v>3</v>
      </c>
      <c r="E1298">
        <v>0</v>
      </c>
      <c r="F1298">
        <v>0</v>
      </c>
      <c r="G1298">
        <v>0</v>
      </c>
      <c r="H1298">
        <v>0</v>
      </c>
    </row>
    <row r="1299" spans="2:8">
      <c r="B1299" t="s">
        <v>25022</v>
      </c>
      <c r="C1299">
        <v>96</v>
      </c>
      <c r="D1299">
        <v>1</v>
      </c>
      <c r="E1299">
        <v>0</v>
      </c>
      <c r="F1299">
        <v>0</v>
      </c>
      <c r="G1299">
        <v>0</v>
      </c>
      <c r="H1299">
        <v>0</v>
      </c>
    </row>
    <row r="1300" spans="2:8">
      <c r="B1300" t="s">
        <v>25022</v>
      </c>
      <c r="C1300">
        <v>97</v>
      </c>
      <c r="D1300">
        <v>11</v>
      </c>
      <c r="E1300">
        <v>0</v>
      </c>
      <c r="F1300">
        <v>0</v>
      </c>
      <c r="G1300">
        <v>0</v>
      </c>
      <c r="H1300">
        <v>0</v>
      </c>
    </row>
    <row r="1301" spans="2:8">
      <c r="B1301" t="s">
        <v>25022</v>
      </c>
      <c r="C1301">
        <v>97</v>
      </c>
      <c r="D1301">
        <v>9</v>
      </c>
      <c r="E1301">
        <v>5</v>
      </c>
      <c r="F1301">
        <v>0</v>
      </c>
      <c r="G1301">
        <v>5</v>
      </c>
      <c r="H1301">
        <v>0</v>
      </c>
    </row>
    <row r="1302" spans="2:8">
      <c r="B1302" t="s">
        <v>25022</v>
      </c>
      <c r="C1302">
        <v>97</v>
      </c>
      <c r="D1302">
        <v>2</v>
      </c>
      <c r="E1302">
        <v>0</v>
      </c>
      <c r="F1302">
        <v>0</v>
      </c>
      <c r="G1302">
        <v>0</v>
      </c>
      <c r="H1302">
        <v>0</v>
      </c>
    </row>
    <row r="1303" spans="2:8">
      <c r="B1303" t="s">
        <v>25022</v>
      </c>
      <c r="C1303">
        <v>97</v>
      </c>
      <c r="D1303">
        <v>1</v>
      </c>
      <c r="E1303">
        <v>0</v>
      </c>
      <c r="F1303">
        <v>0</v>
      </c>
      <c r="G1303">
        <v>0</v>
      </c>
      <c r="H1303">
        <v>0</v>
      </c>
    </row>
    <row r="1304" spans="2:8">
      <c r="B1304" t="s">
        <v>25022</v>
      </c>
      <c r="C1304">
        <v>97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2:8">
      <c r="B1305" t="s">
        <v>25022</v>
      </c>
      <c r="C1305">
        <v>98</v>
      </c>
      <c r="D1305">
        <v>21</v>
      </c>
      <c r="E1305">
        <v>9</v>
      </c>
      <c r="F1305">
        <v>0</v>
      </c>
      <c r="G1305">
        <v>2</v>
      </c>
      <c r="H1305">
        <v>7</v>
      </c>
    </row>
    <row r="1306" spans="2:8">
      <c r="B1306" t="s">
        <v>25022</v>
      </c>
      <c r="C1306">
        <v>98</v>
      </c>
      <c r="D1306">
        <v>2</v>
      </c>
      <c r="E1306">
        <v>0</v>
      </c>
      <c r="F1306">
        <v>0</v>
      </c>
      <c r="G1306">
        <v>0</v>
      </c>
      <c r="H1306">
        <v>0</v>
      </c>
    </row>
    <row r="1307" spans="2:8">
      <c r="B1307" t="s">
        <v>25022</v>
      </c>
      <c r="C1307">
        <v>98</v>
      </c>
      <c r="D1307">
        <v>7</v>
      </c>
      <c r="E1307">
        <v>4</v>
      </c>
      <c r="F1307">
        <v>0</v>
      </c>
      <c r="G1307">
        <v>2</v>
      </c>
      <c r="H1307">
        <v>2</v>
      </c>
    </row>
    <row r="1308" spans="2:8">
      <c r="B1308" t="s">
        <v>25022</v>
      </c>
      <c r="C1308">
        <v>98</v>
      </c>
      <c r="D1308">
        <v>5</v>
      </c>
      <c r="E1308">
        <v>2</v>
      </c>
      <c r="F1308">
        <v>0</v>
      </c>
      <c r="G1308">
        <v>2</v>
      </c>
      <c r="H1308">
        <v>0</v>
      </c>
    </row>
    <row r="1309" spans="2:8">
      <c r="B1309" t="s">
        <v>25022</v>
      </c>
      <c r="C1309">
        <v>98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2:8">
      <c r="B1310" t="s">
        <v>25022</v>
      </c>
      <c r="C1310">
        <v>99</v>
      </c>
      <c r="D1310">
        <v>5</v>
      </c>
      <c r="E1310">
        <v>2</v>
      </c>
      <c r="F1310">
        <v>0</v>
      </c>
      <c r="G1310">
        <v>0</v>
      </c>
      <c r="H1310">
        <v>2</v>
      </c>
    </row>
    <row r="1311" spans="2:8">
      <c r="B1311" t="s">
        <v>25022</v>
      </c>
      <c r="C1311">
        <v>99</v>
      </c>
      <c r="D1311">
        <v>7</v>
      </c>
      <c r="E1311">
        <v>4</v>
      </c>
      <c r="F1311">
        <v>0</v>
      </c>
      <c r="G1311">
        <v>4</v>
      </c>
      <c r="H1311">
        <v>0</v>
      </c>
    </row>
    <row r="1312" spans="2:8">
      <c r="B1312" t="s">
        <v>25022</v>
      </c>
      <c r="C1312">
        <v>100</v>
      </c>
      <c r="D1312">
        <v>20</v>
      </c>
      <c r="E1312">
        <v>7</v>
      </c>
      <c r="F1312">
        <v>0</v>
      </c>
      <c r="G1312">
        <v>4</v>
      </c>
      <c r="H1312">
        <v>3</v>
      </c>
    </row>
    <row r="1313" spans="2:8">
      <c r="B1313" t="s">
        <v>25022</v>
      </c>
      <c r="C1313">
        <v>100</v>
      </c>
      <c r="D1313">
        <v>12</v>
      </c>
      <c r="E1313">
        <v>3</v>
      </c>
      <c r="F1313">
        <v>0</v>
      </c>
      <c r="G1313">
        <v>3</v>
      </c>
      <c r="H1313">
        <v>0</v>
      </c>
    </row>
    <row r="1314" spans="2:8">
      <c r="B1314" t="s">
        <v>25022</v>
      </c>
      <c r="C1314">
        <v>100</v>
      </c>
      <c r="D1314">
        <v>4</v>
      </c>
      <c r="E1314">
        <v>0</v>
      </c>
      <c r="F1314">
        <v>0</v>
      </c>
      <c r="G1314">
        <v>0</v>
      </c>
      <c r="H1314">
        <v>0</v>
      </c>
    </row>
    <row r="1315" spans="2:8">
      <c r="B1315" t="s">
        <v>25022</v>
      </c>
      <c r="C1315">
        <v>100</v>
      </c>
      <c r="D1315">
        <v>4</v>
      </c>
      <c r="E1315">
        <v>0</v>
      </c>
      <c r="F1315">
        <v>0</v>
      </c>
      <c r="G1315">
        <v>0</v>
      </c>
      <c r="H1315">
        <v>0</v>
      </c>
    </row>
    <row r="1316" spans="2:8">
      <c r="B1316" t="s">
        <v>25022</v>
      </c>
      <c r="C1316">
        <v>100</v>
      </c>
      <c r="D1316">
        <v>1</v>
      </c>
      <c r="E1316">
        <v>0</v>
      </c>
      <c r="F1316">
        <v>0</v>
      </c>
      <c r="G1316">
        <v>0</v>
      </c>
      <c r="H1316">
        <v>0</v>
      </c>
    </row>
    <row r="1317" spans="2:8">
      <c r="B1317" t="s">
        <v>25022</v>
      </c>
      <c r="C1317">
        <v>100</v>
      </c>
      <c r="D1317">
        <v>3</v>
      </c>
      <c r="E1317">
        <v>2</v>
      </c>
      <c r="F1317">
        <v>0</v>
      </c>
      <c r="G1317">
        <v>2</v>
      </c>
      <c r="H1317">
        <v>0</v>
      </c>
    </row>
    <row r="1318" spans="2:8">
      <c r="B1318" t="s">
        <v>25022</v>
      </c>
      <c r="C1318">
        <v>101</v>
      </c>
      <c r="D1318">
        <v>5</v>
      </c>
      <c r="E1318">
        <v>3</v>
      </c>
      <c r="F1318">
        <v>0</v>
      </c>
      <c r="G1318">
        <v>3</v>
      </c>
      <c r="H1318">
        <v>0</v>
      </c>
    </row>
    <row r="1319" spans="2:8">
      <c r="B1319" t="s">
        <v>25022</v>
      </c>
      <c r="C1319">
        <v>101</v>
      </c>
      <c r="D1319">
        <v>6</v>
      </c>
      <c r="E1319">
        <v>0</v>
      </c>
      <c r="F1319">
        <v>0</v>
      </c>
      <c r="G1319">
        <v>0</v>
      </c>
      <c r="H1319">
        <v>0</v>
      </c>
    </row>
    <row r="1320" spans="2:8">
      <c r="B1320" t="s">
        <v>25022</v>
      </c>
      <c r="C1320">
        <v>101</v>
      </c>
      <c r="D1320">
        <v>9</v>
      </c>
      <c r="E1320">
        <v>6</v>
      </c>
      <c r="F1320">
        <v>0</v>
      </c>
      <c r="G1320">
        <v>6</v>
      </c>
      <c r="H1320">
        <v>0</v>
      </c>
    </row>
    <row r="1321" spans="2:8">
      <c r="B1321" t="s">
        <v>25022</v>
      </c>
      <c r="C1321">
        <v>101</v>
      </c>
      <c r="D1321">
        <v>6</v>
      </c>
      <c r="E1321">
        <v>0</v>
      </c>
      <c r="F1321">
        <v>0</v>
      </c>
      <c r="G1321">
        <v>0</v>
      </c>
      <c r="H1321">
        <v>0</v>
      </c>
    </row>
    <row r="1322" spans="2:8">
      <c r="B1322" t="s">
        <v>25022</v>
      </c>
      <c r="C1322">
        <v>102</v>
      </c>
      <c r="D1322">
        <v>3</v>
      </c>
      <c r="E1322">
        <v>0</v>
      </c>
      <c r="F1322">
        <v>0</v>
      </c>
      <c r="G1322">
        <v>0</v>
      </c>
      <c r="H1322">
        <v>0</v>
      </c>
    </row>
    <row r="1323" spans="2:8">
      <c r="B1323" t="s">
        <v>25022</v>
      </c>
      <c r="C1323">
        <v>102</v>
      </c>
      <c r="D1323">
        <v>7</v>
      </c>
      <c r="E1323">
        <v>4</v>
      </c>
      <c r="F1323">
        <v>0</v>
      </c>
      <c r="G1323">
        <v>2</v>
      </c>
      <c r="H1323">
        <v>2</v>
      </c>
    </row>
    <row r="1324" spans="2:8">
      <c r="B1324" t="s">
        <v>25022</v>
      </c>
      <c r="C1324">
        <v>102</v>
      </c>
      <c r="D1324">
        <v>2</v>
      </c>
      <c r="E1324">
        <v>0</v>
      </c>
      <c r="F1324">
        <v>0</v>
      </c>
      <c r="G1324">
        <v>0</v>
      </c>
      <c r="H1324">
        <v>0</v>
      </c>
    </row>
    <row r="1325" spans="2:8">
      <c r="B1325" t="s">
        <v>25022</v>
      </c>
      <c r="C1325">
        <v>102</v>
      </c>
      <c r="D1325">
        <v>1</v>
      </c>
      <c r="E1325">
        <v>0</v>
      </c>
      <c r="F1325">
        <v>0</v>
      </c>
      <c r="G1325">
        <v>0</v>
      </c>
      <c r="H1325">
        <v>0</v>
      </c>
    </row>
    <row r="1326" spans="2:8">
      <c r="B1326" t="s">
        <v>25022</v>
      </c>
      <c r="C1326">
        <v>102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2:8">
      <c r="B1327" t="s">
        <v>25022</v>
      </c>
      <c r="C1327">
        <v>103</v>
      </c>
      <c r="D1327">
        <v>7</v>
      </c>
      <c r="E1327">
        <v>0</v>
      </c>
      <c r="F1327">
        <v>0</v>
      </c>
      <c r="G1327">
        <v>0</v>
      </c>
      <c r="H1327">
        <v>0</v>
      </c>
    </row>
    <row r="1328" spans="2:8">
      <c r="B1328" t="s">
        <v>25022</v>
      </c>
      <c r="C1328">
        <v>103</v>
      </c>
      <c r="D1328">
        <v>4</v>
      </c>
      <c r="E1328">
        <v>0</v>
      </c>
      <c r="F1328">
        <v>0</v>
      </c>
      <c r="G1328">
        <v>0</v>
      </c>
      <c r="H1328">
        <v>0</v>
      </c>
    </row>
    <row r="1329" spans="2:8">
      <c r="B1329" t="s">
        <v>25022</v>
      </c>
      <c r="C1329">
        <v>103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2:8">
      <c r="B1330" t="s">
        <v>25022</v>
      </c>
      <c r="C1330">
        <v>104</v>
      </c>
      <c r="D1330">
        <v>6</v>
      </c>
      <c r="E1330">
        <v>0</v>
      </c>
      <c r="F1330">
        <v>0</v>
      </c>
      <c r="G1330">
        <v>0</v>
      </c>
      <c r="H1330">
        <v>0</v>
      </c>
    </row>
    <row r="1331" spans="2:8">
      <c r="B1331" t="s">
        <v>25022</v>
      </c>
      <c r="C1331">
        <v>104</v>
      </c>
      <c r="D1331">
        <v>6</v>
      </c>
      <c r="E1331">
        <v>2</v>
      </c>
      <c r="F1331">
        <v>0</v>
      </c>
      <c r="G1331">
        <v>2</v>
      </c>
      <c r="H1331">
        <v>0</v>
      </c>
    </row>
    <row r="1332" spans="2:8">
      <c r="B1332" t="s">
        <v>25022</v>
      </c>
      <c r="C1332">
        <v>104</v>
      </c>
      <c r="D1332">
        <v>3</v>
      </c>
      <c r="E1332">
        <v>0</v>
      </c>
      <c r="F1332">
        <v>0</v>
      </c>
      <c r="G1332">
        <v>0</v>
      </c>
      <c r="H1332">
        <v>0</v>
      </c>
    </row>
    <row r="1333" spans="2:8">
      <c r="B1333" t="s">
        <v>25022</v>
      </c>
      <c r="C1333">
        <v>104</v>
      </c>
      <c r="D1333">
        <v>3</v>
      </c>
      <c r="E1333">
        <v>0</v>
      </c>
      <c r="F1333">
        <v>0</v>
      </c>
      <c r="G1333">
        <v>0</v>
      </c>
      <c r="H1333">
        <v>0</v>
      </c>
    </row>
    <row r="1334" spans="2:8">
      <c r="B1334" t="s">
        <v>25022</v>
      </c>
      <c r="C1334">
        <v>104</v>
      </c>
      <c r="D1334">
        <v>2</v>
      </c>
      <c r="E1334">
        <v>0</v>
      </c>
      <c r="F1334">
        <v>0</v>
      </c>
      <c r="G1334">
        <v>0</v>
      </c>
      <c r="H1334">
        <v>0</v>
      </c>
    </row>
    <row r="1335" spans="2:8">
      <c r="B1335" t="s">
        <v>25022</v>
      </c>
      <c r="C1335">
        <v>104</v>
      </c>
      <c r="D1335">
        <v>2</v>
      </c>
      <c r="E1335">
        <v>0</v>
      </c>
      <c r="F1335">
        <v>0</v>
      </c>
      <c r="G1335">
        <v>0</v>
      </c>
      <c r="H1335">
        <v>0</v>
      </c>
    </row>
    <row r="1336" spans="2:8">
      <c r="B1336" t="s">
        <v>25022</v>
      </c>
      <c r="C1336">
        <v>104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2:8">
      <c r="B1337" t="s">
        <v>25022</v>
      </c>
      <c r="C1337">
        <v>105</v>
      </c>
      <c r="D1337">
        <v>8</v>
      </c>
      <c r="E1337">
        <v>2</v>
      </c>
      <c r="F1337">
        <v>0</v>
      </c>
      <c r="G1337">
        <v>2</v>
      </c>
      <c r="H1337">
        <v>0</v>
      </c>
    </row>
    <row r="1338" spans="2:8">
      <c r="B1338" t="s">
        <v>25022</v>
      </c>
      <c r="C1338">
        <v>105</v>
      </c>
      <c r="D1338">
        <v>3</v>
      </c>
      <c r="E1338">
        <v>0</v>
      </c>
      <c r="F1338">
        <v>0</v>
      </c>
      <c r="G1338">
        <v>0</v>
      </c>
      <c r="H1338">
        <v>0</v>
      </c>
    </row>
    <row r="1339" spans="2:8">
      <c r="B1339" t="s">
        <v>25022</v>
      </c>
      <c r="C1339">
        <v>105</v>
      </c>
      <c r="D1339">
        <v>10</v>
      </c>
      <c r="E1339">
        <v>5</v>
      </c>
      <c r="F1339">
        <v>0</v>
      </c>
      <c r="G1339">
        <v>5</v>
      </c>
      <c r="H1339">
        <v>0</v>
      </c>
    </row>
    <row r="1340" spans="2:8">
      <c r="B1340" t="s">
        <v>25022</v>
      </c>
      <c r="C1340">
        <v>105</v>
      </c>
      <c r="D1340">
        <v>14</v>
      </c>
      <c r="E1340">
        <v>5</v>
      </c>
      <c r="F1340">
        <v>0</v>
      </c>
      <c r="G1340">
        <v>5</v>
      </c>
      <c r="H1340">
        <v>0</v>
      </c>
    </row>
    <row r="1341" spans="2:8">
      <c r="B1341" t="s">
        <v>25022</v>
      </c>
      <c r="C1341">
        <v>105</v>
      </c>
      <c r="D1341">
        <v>2</v>
      </c>
      <c r="E1341">
        <v>0</v>
      </c>
      <c r="F1341">
        <v>0</v>
      </c>
      <c r="G1341">
        <v>0</v>
      </c>
      <c r="H1341">
        <v>0</v>
      </c>
    </row>
    <row r="1342" spans="2:8">
      <c r="B1342" t="s">
        <v>25022</v>
      </c>
      <c r="C1342">
        <v>105</v>
      </c>
      <c r="D1342">
        <v>5</v>
      </c>
      <c r="E1342">
        <v>2</v>
      </c>
      <c r="F1342">
        <v>0</v>
      </c>
      <c r="G1342">
        <v>2</v>
      </c>
      <c r="H1342">
        <v>0</v>
      </c>
    </row>
    <row r="1343" spans="2:8">
      <c r="B1343" t="s">
        <v>25022</v>
      </c>
      <c r="C1343">
        <v>105</v>
      </c>
      <c r="D1343">
        <v>5</v>
      </c>
      <c r="E1343">
        <v>2</v>
      </c>
      <c r="F1343">
        <v>0</v>
      </c>
      <c r="G1343">
        <v>2</v>
      </c>
      <c r="H1343">
        <v>0</v>
      </c>
    </row>
    <row r="1344" spans="2:8">
      <c r="B1344" t="s">
        <v>25022</v>
      </c>
      <c r="C1344">
        <v>105</v>
      </c>
      <c r="D1344">
        <v>1</v>
      </c>
      <c r="E1344">
        <v>0</v>
      </c>
      <c r="F1344">
        <v>0</v>
      </c>
      <c r="G1344">
        <v>0</v>
      </c>
      <c r="H1344">
        <v>0</v>
      </c>
    </row>
    <row r="1345" spans="2:8">
      <c r="B1345" t="s">
        <v>25022</v>
      </c>
      <c r="C1345">
        <v>106</v>
      </c>
      <c r="D1345">
        <v>14</v>
      </c>
      <c r="E1345">
        <v>4</v>
      </c>
      <c r="F1345">
        <v>0</v>
      </c>
      <c r="G1345">
        <v>4</v>
      </c>
      <c r="H1345">
        <v>0</v>
      </c>
    </row>
    <row r="1346" spans="2:8">
      <c r="B1346" t="s">
        <v>25022</v>
      </c>
      <c r="C1346">
        <v>106</v>
      </c>
      <c r="D1346">
        <v>10</v>
      </c>
      <c r="E1346">
        <v>4</v>
      </c>
      <c r="F1346">
        <v>0</v>
      </c>
      <c r="G1346">
        <v>2</v>
      </c>
      <c r="H1346">
        <v>2</v>
      </c>
    </row>
    <row r="1347" spans="2:8">
      <c r="B1347" t="s">
        <v>25022</v>
      </c>
      <c r="C1347">
        <v>106</v>
      </c>
      <c r="D1347">
        <v>5</v>
      </c>
      <c r="E1347">
        <v>4</v>
      </c>
      <c r="F1347">
        <v>0</v>
      </c>
      <c r="G1347">
        <v>2</v>
      </c>
      <c r="H1347">
        <v>2</v>
      </c>
    </row>
    <row r="1348" spans="2:8">
      <c r="B1348" t="s">
        <v>25022</v>
      </c>
      <c r="C1348">
        <v>106</v>
      </c>
      <c r="D1348">
        <v>2</v>
      </c>
      <c r="E1348">
        <v>0</v>
      </c>
      <c r="F1348">
        <v>0</v>
      </c>
      <c r="G1348">
        <v>0</v>
      </c>
      <c r="H1348">
        <v>0</v>
      </c>
    </row>
    <row r="1349" spans="2:8">
      <c r="B1349" t="s">
        <v>25022</v>
      </c>
      <c r="C1349">
        <v>106</v>
      </c>
      <c r="D1349">
        <v>3</v>
      </c>
      <c r="E1349">
        <v>0</v>
      </c>
      <c r="F1349">
        <v>0</v>
      </c>
      <c r="G1349">
        <v>0</v>
      </c>
      <c r="H1349">
        <v>0</v>
      </c>
    </row>
    <row r="1350" spans="2:8">
      <c r="B1350" t="s">
        <v>25022</v>
      </c>
      <c r="C1350">
        <v>107</v>
      </c>
      <c r="D1350">
        <v>3</v>
      </c>
      <c r="E1350">
        <v>0</v>
      </c>
      <c r="F1350">
        <v>0</v>
      </c>
      <c r="G1350">
        <v>0</v>
      </c>
      <c r="H1350">
        <v>0</v>
      </c>
    </row>
    <row r="1351" spans="2:8">
      <c r="B1351" t="s">
        <v>25022</v>
      </c>
      <c r="C1351">
        <v>107</v>
      </c>
      <c r="D1351">
        <v>5</v>
      </c>
      <c r="E1351">
        <v>0</v>
      </c>
      <c r="F1351">
        <v>0</v>
      </c>
      <c r="G1351">
        <v>0</v>
      </c>
      <c r="H1351">
        <v>0</v>
      </c>
    </row>
    <row r="1352" spans="2:8">
      <c r="B1352" t="s">
        <v>25022</v>
      </c>
      <c r="C1352">
        <v>107</v>
      </c>
      <c r="D1352">
        <v>1</v>
      </c>
      <c r="E1352">
        <v>0</v>
      </c>
      <c r="F1352">
        <v>0</v>
      </c>
      <c r="G1352">
        <v>0</v>
      </c>
      <c r="H1352">
        <v>0</v>
      </c>
    </row>
    <row r="1353" spans="2:8">
      <c r="B1353" t="s">
        <v>25022</v>
      </c>
      <c r="C1353">
        <v>107</v>
      </c>
      <c r="D1353">
        <v>1</v>
      </c>
      <c r="E1353">
        <v>0</v>
      </c>
      <c r="F1353">
        <v>0</v>
      </c>
      <c r="G1353">
        <v>0</v>
      </c>
      <c r="H1353">
        <v>0</v>
      </c>
    </row>
    <row r="1354" spans="2:8">
      <c r="B1354" t="s">
        <v>25022</v>
      </c>
      <c r="C1354">
        <v>107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2:8">
      <c r="B1355" t="s">
        <v>25022</v>
      </c>
      <c r="C1355">
        <v>107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2:8">
      <c r="B1356" t="s">
        <v>25022</v>
      </c>
      <c r="C1356">
        <v>108</v>
      </c>
      <c r="D1356">
        <v>8</v>
      </c>
      <c r="E1356">
        <v>4</v>
      </c>
      <c r="F1356">
        <v>0</v>
      </c>
      <c r="G1356">
        <v>4</v>
      </c>
      <c r="H1356">
        <v>0</v>
      </c>
    </row>
    <row r="1357" spans="2:8">
      <c r="B1357" t="s">
        <v>25022</v>
      </c>
      <c r="C1357">
        <v>108</v>
      </c>
      <c r="D1357">
        <v>16</v>
      </c>
      <c r="E1357">
        <v>6</v>
      </c>
      <c r="F1357">
        <v>0</v>
      </c>
      <c r="G1357">
        <v>2</v>
      </c>
      <c r="H1357">
        <v>4</v>
      </c>
    </row>
    <row r="1358" spans="2:8">
      <c r="B1358" t="s">
        <v>25022</v>
      </c>
      <c r="C1358">
        <v>108</v>
      </c>
      <c r="D1358">
        <v>1</v>
      </c>
      <c r="E1358">
        <v>0</v>
      </c>
      <c r="F1358">
        <v>0</v>
      </c>
      <c r="G1358">
        <v>0</v>
      </c>
      <c r="H1358">
        <v>0</v>
      </c>
    </row>
    <row r="1359" spans="2:8">
      <c r="B1359" t="s">
        <v>25022</v>
      </c>
      <c r="C1359">
        <v>109</v>
      </c>
      <c r="D1359">
        <v>18</v>
      </c>
      <c r="E1359">
        <v>8</v>
      </c>
      <c r="F1359">
        <v>0</v>
      </c>
      <c r="G1359">
        <v>4</v>
      </c>
      <c r="H1359">
        <v>4</v>
      </c>
    </row>
    <row r="1360" spans="2:8">
      <c r="B1360" t="s">
        <v>25022</v>
      </c>
      <c r="C1360">
        <v>109</v>
      </c>
      <c r="D1360">
        <v>19</v>
      </c>
      <c r="E1360">
        <v>4</v>
      </c>
      <c r="F1360">
        <v>0</v>
      </c>
      <c r="G1360">
        <v>2</v>
      </c>
      <c r="H1360">
        <v>2</v>
      </c>
    </row>
    <row r="1361" spans="2:8">
      <c r="B1361" t="s">
        <v>25022</v>
      </c>
      <c r="C1361">
        <v>109</v>
      </c>
      <c r="D1361">
        <v>14</v>
      </c>
      <c r="E1361">
        <v>6</v>
      </c>
      <c r="F1361">
        <v>0</v>
      </c>
      <c r="G1361">
        <v>4</v>
      </c>
      <c r="H1361">
        <v>2</v>
      </c>
    </row>
    <row r="1362" spans="2:8">
      <c r="B1362" t="s">
        <v>25022</v>
      </c>
      <c r="C1362">
        <v>109</v>
      </c>
      <c r="D1362">
        <v>6</v>
      </c>
      <c r="E1362">
        <v>2</v>
      </c>
      <c r="F1362">
        <v>0</v>
      </c>
      <c r="G1362">
        <v>2</v>
      </c>
      <c r="H1362">
        <v>0</v>
      </c>
    </row>
    <row r="1363" spans="2:8">
      <c r="B1363" t="s">
        <v>25022</v>
      </c>
      <c r="C1363">
        <v>109</v>
      </c>
      <c r="D1363">
        <v>1</v>
      </c>
      <c r="E1363">
        <v>0</v>
      </c>
      <c r="F1363">
        <v>0</v>
      </c>
      <c r="G1363">
        <v>0</v>
      </c>
      <c r="H1363">
        <v>0</v>
      </c>
    </row>
    <row r="1364" spans="2:8">
      <c r="B1364" t="s">
        <v>25022</v>
      </c>
      <c r="C1364">
        <v>110</v>
      </c>
      <c r="D1364">
        <v>6</v>
      </c>
      <c r="E1364">
        <v>0</v>
      </c>
      <c r="F1364">
        <v>0</v>
      </c>
      <c r="G1364">
        <v>0</v>
      </c>
      <c r="H1364">
        <v>0</v>
      </c>
    </row>
    <row r="1365" spans="2:8">
      <c r="B1365" t="s">
        <v>25022</v>
      </c>
      <c r="C1365">
        <v>110</v>
      </c>
      <c r="D1365">
        <v>10</v>
      </c>
      <c r="E1365">
        <v>0</v>
      </c>
      <c r="F1365">
        <v>0</v>
      </c>
      <c r="G1365">
        <v>0</v>
      </c>
      <c r="H1365">
        <v>0</v>
      </c>
    </row>
    <row r="1366" spans="2:8">
      <c r="B1366" t="s">
        <v>25022</v>
      </c>
      <c r="C1366">
        <v>110</v>
      </c>
      <c r="D1366">
        <v>8</v>
      </c>
      <c r="E1366">
        <v>2</v>
      </c>
      <c r="F1366">
        <v>0</v>
      </c>
      <c r="G1366">
        <v>2</v>
      </c>
      <c r="H1366">
        <v>0</v>
      </c>
    </row>
    <row r="1367" spans="2:8">
      <c r="B1367" t="s">
        <v>25022</v>
      </c>
      <c r="C1367">
        <v>110</v>
      </c>
      <c r="D1367">
        <v>9</v>
      </c>
      <c r="E1367">
        <v>0</v>
      </c>
      <c r="F1367">
        <v>0</v>
      </c>
      <c r="G1367">
        <v>0</v>
      </c>
      <c r="H1367">
        <v>0</v>
      </c>
    </row>
    <row r="1368" spans="2:8">
      <c r="B1368" t="s">
        <v>25022</v>
      </c>
      <c r="C1368">
        <v>110</v>
      </c>
      <c r="D1368">
        <v>15</v>
      </c>
      <c r="E1368">
        <v>8</v>
      </c>
      <c r="F1368">
        <v>2</v>
      </c>
      <c r="G1368">
        <v>6</v>
      </c>
      <c r="H1368">
        <v>0</v>
      </c>
    </row>
    <row r="1369" spans="2:8">
      <c r="B1369" t="s">
        <v>25022</v>
      </c>
      <c r="C1369">
        <v>110</v>
      </c>
      <c r="D1369">
        <v>4</v>
      </c>
      <c r="E1369">
        <v>0</v>
      </c>
      <c r="F1369">
        <v>0</v>
      </c>
      <c r="G1369">
        <v>0</v>
      </c>
      <c r="H1369">
        <v>0</v>
      </c>
    </row>
    <row r="1370" spans="2:8">
      <c r="B1370" t="s">
        <v>25022</v>
      </c>
      <c r="C1370">
        <v>110</v>
      </c>
      <c r="D1370">
        <v>5</v>
      </c>
      <c r="E1370">
        <v>0</v>
      </c>
      <c r="F1370">
        <v>0</v>
      </c>
      <c r="G1370">
        <v>0</v>
      </c>
      <c r="H1370">
        <v>0</v>
      </c>
    </row>
    <row r="1371" spans="2:8">
      <c r="B1371" t="s">
        <v>25022</v>
      </c>
      <c r="C1371">
        <v>110</v>
      </c>
      <c r="D1371">
        <v>1</v>
      </c>
      <c r="E1371">
        <v>0</v>
      </c>
      <c r="F1371">
        <v>0</v>
      </c>
      <c r="G1371">
        <v>0</v>
      </c>
      <c r="H1371">
        <v>0</v>
      </c>
    </row>
    <row r="1372" spans="2:8">
      <c r="B1372" t="s">
        <v>25022</v>
      </c>
      <c r="C1372">
        <v>110</v>
      </c>
      <c r="D1372">
        <v>2</v>
      </c>
      <c r="E1372">
        <v>0</v>
      </c>
      <c r="F1372">
        <v>0</v>
      </c>
      <c r="G1372">
        <v>0</v>
      </c>
      <c r="H1372">
        <v>0</v>
      </c>
    </row>
    <row r="1373" spans="2:8">
      <c r="B1373" t="s">
        <v>25022</v>
      </c>
      <c r="C1373">
        <v>111</v>
      </c>
      <c r="D1373">
        <v>4</v>
      </c>
      <c r="E1373">
        <v>0</v>
      </c>
      <c r="F1373">
        <v>0</v>
      </c>
      <c r="G1373">
        <v>0</v>
      </c>
      <c r="H1373">
        <v>0</v>
      </c>
    </row>
    <row r="1374" spans="2:8">
      <c r="B1374" t="s">
        <v>25022</v>
      </c>
      <c r="C1374">
        <v>111</v>
      </c>
      <c r="D1374">
        <v>4</v>
      </c>
      <c r="E1374">
        <v>0</v>
      </c>
      <c r="F1374">
        <v>0</v>
      </c>
      <c r="G1374">
        <v>0</v>
      </c>
      <c r="H1374">
        <v>0</v>
      </c>
    </row>
    <row r="1375" spans="2:8">
      <c r="B1375" t="s">
        <v>25022</v>
      </c>
      <c r="C1375">
        <v>111</v>
      </c>
      <c r="D1375">
        <v>5</v>
      </c>
      <c r="E1375">
        <v>0</v>
      </c>
      <c r="F1375">
        <v>0</v>
      </c>
      <c r="G1375">
        <v>0</v>
      </c>
      <c r="H1375">
        <v>0</v>
      </c>
    </row>
    <row r="1376" spans="2:8">
      <c r="B1376" t="s">
        <v>25022</v>
      </c>
      <c r="C1376">
        <v>111</v>
      </c>
      <c r="D1376">
        <v>2</v>
      </c>
      <c r="E1376">
        <v>2</v>
      </c>
      <c r="F1376">
        <v>0</v>
      </c>
      <c r="G1376">
        <v>2</v>
      </c>
      <c r="H1376">
        <v>0</v>
      </c>
    </row>
    <row r="1377" spans="2:8">
      <c r="B1377" t="s">
        <v>25022</v>
      </c>
      <c r="C1377">
        <v>112</v>
      </c>
      <c r="D1377">
        <v>17</v>
      </c>
      <c r="E1377">
        <v>9</v>
      </c>
      <c r="F1377">
        <v>0</v>
      </c>
      <c r="G1377">
        <v>9</v>
      </c>
      <c r="H1377">
        <v>0</v>
      </c>
    </row>
    <row r="1378" spans="2:8">
      <c r="B1378" t="s">
        <v>25022</v>
      </c>
      <c r="C1378">
        <v>112</v>
      </c>
      <c r="D1378">
        <v>14</v>
      </c>
      <c r="E1378">
        <v>6</v>
      </c>
      <c r="F1378">
        <v>0</v>
      </c>
      <c r="G1378">
        <v>2</v>
      </c>
      <c r="H1378">
        <v>4</v>
      </c>
    </row>
    <row r="1379" spans="2:8">
      <c r="B1379" t="s">
        <v>25022</v>
      </c>
      <c r="C1379">
        <v>112</v>
      </c>
      <c r="D1379">
        <v>8</v>
      </c>
      <c r="E1379">
        <v>2</v>
      </c>
      <c r="F1379">
        <v>0</v>
      </c>
      <c r="G1379">
        <v>2</v>
      </c>
      <c r="H1379">
        <v>0</v>
      </c>
    </row>
    <row r="1380" spans="2:8">
      <c r="B1380" t="s">
        <v>25022</v>
      </c>
      <c r="C1380">
        <v>112</v>
      </c>
      <c r="D1380">
        <v>6</v>
      </c>
      <c r="E1380">
        <v>0</v>
      </c>
      <c r="F1380">
        <v>0</v>
      </c>
      <c r="G1380">
        <v>0</v>
      </c>
      <c r="H1380">
        <v>0</v>
      </c>
    </row>
    <row r="1381" spans="2:8">
      <c r="B1381" t="s">
        <v>25022</v>
      </c>
      <c r="C1381">
        <v>112</v>
      </c>
      <c r="D1381">
        <v>15</v>
      </c>
      <c r="E1381">
        <v>8</v>
      </c>
      <c r="F1381">
        <v>0</v>
      </c>
      <c r="G1381">
        <v>6</v>
      </c>
      <c r="H1381">
        <v>2</v>
      </c>
    </row>
    <row r="1382" spans="2:8">
      <c r="B1382" t="s">
        <v>25022</v>
      </c>
      <c r="C1382">
        <v>112</v>
      </c>
      <c r="D1382">
        <v>7</v>
      </c>
      <c r="E1382">
        <v>0</v>
      </c>
      <c r="F1382">
        <v>0</v>
      </c>
      <c r="G1382">
        <v>0</v>
      </c>
      <c r="H1382">
        <v>0</v>
      </c>
    </row>
    <row r="1383" spans="2:8">
      <c r="B1383" t="s">
        <v>25022</v>
      </c>
      <c r="C1383">
        <v>112</v>
      </c>
      <c r="D1383">
        <v>1</v>
      </c>
      <c r="E1383">
        <v>0</v>
      </c>
      <c r="F1383">
        <v>0</v>
      </c>
      <c r="G1383">
        <v>0</v>
      </c>
      <c r="H1383">
        <v>0</v>
      </c>
    </row>
    <row r="1384" spans="2:8">
      <c r="B1384" t="s">
        <v>25022</v>
      </c>
      <c r="C1384">
        <v>112</v>
      </c>
      <c r="D1384">
        <v>3</v>
      </c>
      <c r="E1384">
        <v>0</v>
      </c>
      <c r="F1384">
        <v>0</v>
      </c>
      <c r="G1384">
        <v>0</v>
      </c>
      <c r="H1384">
        <v>0</v>
      </c>
    </row>
    <row r="1385" spans="2:8">
      <c r="B1385" t="s">
        <v>25022</v>
      </c>
      <c r="C1385">
        <v>113</v>
      </c>
      <c r="D1385">
        <v>8</v>
      </c>
      <c r="E1385">
        <v>0</v>
      </c>
      <c r="F1385">
        <v>0</v>
      </c>
      <c r="G1385">
        <v>0</v>
      </c>
      <c r="H1385">
        <v>0</v>
      </c>
    </row>
    <row r="1386" spans="2:8">
      <c r="B1386" t="s">
        <v>25022</v>
      </c>
      <c r="C1386">
        <v>113</v>
      </c>
      <c r="D1386">
        <v>10</v>
      </c>
      <c r="E1386">
        <v>6</v>
      </c>
      <c r="F1386">
        <v>0</v>
      </c>
      <c r="G1386">
        <v>4</v>
      </c>
      <c r="H1386">
        <v>2</v>
      </c>
    </row>
    <row r="1387" spans="2:8">
      <c r="B1387" t="s">
        <v>25022</v>
      </c>
      <c r="C1387">
        <v>113</v>
      </c>
      <c r="D1387">
        <v>6</v>
      </c>
      <c r="E1387">
        <v>0</v>
      </c>
      <c r="F1387">
        <v>0</v>
      </c>
      <c r="G1387">
        <v>0</v>
      </c>
      <c r="H1387">
        <v>0</v>
      </c>
    </row>
    <row r="1388" spans="2:8">
      <c r="B1388" t="s">
        <v>25022</v>
      </c>
      <c r="C1388">
        <v>113</v>
      </c>
      <c r="D1388">
        <v>1</v>
      </c>
      <c r="E1388">
        <v>0</v>
      </c>
      <c r="F1388">
        <v>0</v>
      </c>
      <c r="G1388">
        <v>0</v>
      </c>
      <c r="H1388">
        <v>0</v>
      </c>
    </row>
    <row r="1389" spans="2:8">
      <c r="B1389" t="s">
        <v>25022</v>
      </c>
      <c r="C1389">
        <v>113</v>
      </c>
      <c r="D1389">
        <v>7</v>
      </c>
      <c r="E1389">
        <v>2</v>
      </c>
      <c r="F1389">
        <v>0</v>
      </c>
      <c r="G1389">
        <v>0</v>
      </c>
      <c r="H1389">
        <v>2</v>
      </c>
    </row>
    <row r="1390" spans="2:8">
      <c r="B1390" t="s">
        <v>25022</v>
      </c>
      <c r="C1390">
        <v>114</v>
      </c>
      <c r="D1390">
        <v>8</v>
      </c>
      <c r="E1390">
        <v>0</v>
      </c>
      <c r="F1390">
        <v>0</v>
      </c>
      <c r="G1390">
        <v>0</v>
      </c>
      <c r="H1390">
        <v>0</v>
      </c>
    </row>
    <row r="1391" spans="2:8">
      <c r="B1391" t="s">
        <v>25022</v>
      </c>
      <c r="C1391">
        <v>114</v>
      </c>
      <c r="D1391">
        <v>3</v>
      </c>
      <c r="E1391">
        <v>0</v>
      </c>
      <c r="F1391">
        <v>0</v>
      </c>
      <c r="G1391">
        <v>0</v>
      </c>
      <c r="H1391">
        <v>0</v>
      </c>
    </row>
    <row r="1392" spans="2:8">
      <c r="B1392" t="s">
        <v>25022</v>
      </c>
      <c r="C1392">
        <v>114</v>
      </c>
      <c r="D1392">
        <v>18</v>
      </c>
      <c r="E1392">
        <v>5</v>
      </c>
      <c r="F1392">
        <v>0</v>
      </c>
      <c r="G1392">
        <v>4</v>
      </c>
      <c r="H1392">
        <v>1</v>
      </c>
    </row>
    <row r="1393" spans="2:8">
      <c r="B1393" t="s">
        <v>25022</v>
      </c>
      <c r="C1393">
        <v>114</v>
      </c>
      <c r="D1393">
        <v>9</v>
      </c>
      <c r="E1393">
        <v>4</v>
      </c>
      <c r="F1393">
        <v>0</v>
      </c>
      <c r="G1393">
        <v>0</v>
      </c>
      <c r="H1393">
        <v>4</v>
      </c>
    </row>
    <row r="1394" spans="2:8">
      <c r="B1394" t="s">
        <v>25022</v>
      </c>
      <c r="C1394">
        <v>114</v>
      </c>
      <c r="D1394">
        <v>8</v>
      </c>
      <c r="E1394">
        <v>5</v>
      </c>
      <c r="F1394">
        <v>0</v>
      </c>
      <c r="G1394">
        <v>2</v>
      </c>
      <c r="H1394">
        <v>3</v>
      </c>
    </row>
    <row r="1395" spans="2:8">
      <c r="B1395" t="s">
        <v>25022</v>
      </c>
      <c r="C1395">
        <v>114</v>
      </c>
      <c r="D1395">
        <v>9</v>
      </c>
      <c r="E1395">
        <v>0</v>
      </c>
      <c r="F1395">
        <v>0</v>
      </c>
      <c r="G1395">
        <v>0</v>
      </c>
      <c r="H1395">
        <v>0</v>
      </c>
    </row>
    <row r="1396" spans="2:8">
      <c r="B1396" t="s">
        <v>25022</v>
      </c>
      <c r="C1396">
        <v>114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2:8">
      <c r="B1397" t="s">
        <v>25022</v>
      </c>
      <c r="C1397">
        <v>115</v>
      </c>
      <c r="D1397">
        <v>19</v>
      </c>
      <c r="E1397">
        <v>6</v>
      </c>
      <c r="F1397">
        <v>0</v>
      </c>
      <c r="G1397">
        <v>4</v>
      </c>
      <c r="H1397">
        <v>2</v>
      </c>
    </row>
    <row r="1398" spans="2:8">
      <c r="B1398" t="s">
        <v>25022</v>
      </c>
      <c r="C1398">
        <v>115</v>
      </c>
      <c r="D1398">
        <v>18</v>
      </c>
      <c r="E1398">
        <v>8</v>
      </c>
      <c r="F1398">
        <v>0</v>
      </c>
      <c r="G1398">
        <v>8</v>
      </c>
      <c r="H1398">
        <v>0</v>
      </c>
    </row>
    <row r="1399" spans="2:8">
      <c r="B1399" t="s">
        <v>25022</v>
      </c>
      <c r="C1399">
        <v>115</v>
      </c>
      <c r="D1399">
        <v>16</v>
      </c>
      <c r="E1399">
        <v>5</v>
      </c>
      <c r="F1399">
        <v>0</v>
      </c>
      <c r="G1399">
        <v>5</v>
      </c>
      <c r="H1399">
        <v>0</v>
      </c>
    </row>
    <row r="1400" spans="2:8">
      <c r="B1400" t="s">
        <v>25022</v>
      </c>
      <c r="C1400">
        <v>115</v>
      </c>
      <c r="D1400">
        <v>4</v>
      </c>
      <c r="E1400">
        <v>0</v>
      </c>
      <c r="F1400">
        <v>0</v>
      </c>
      <c r="G1400">
        <v>0</v>
      </c>
      <c r="H1400">
        <v>0</v>
      </c>
    </row>
    <row r="1401" spans="2:8">
      <c r="B1401" t="s">
        <v>25022</v>
      </c>
      <c r="C1401">
        <v>115</v>
      </c>
      <c r="D1401">
        <v>1</v>
      </c>
      <c r="E1401">
        <v>0</v>
      </c>
      <c r="F1401">
        <v>0</v>
      </c>
      <c r="G1401">
        <v>0</v>
      </c>
      <c r="H1401">
        <v>0</v>
      </c>
    </row>
    <row r="1402" spans="2:8">
      <c r="B1402" t="s">
        <v>25022</v>
      </c>
      <c r="C1402">
        <v>115</v>
      </c>
      <c r="D1402">
        <v>1</v>
      </c>
      <c r="E1402">
        <v>0</v>
      </c>
      <c r="F1402">
        <v>0</v>
      </c>
      <c r="G1402">
        <v>0</v>
      </c>
      <c r="H1402">
        <v>0</v>
      </c>
    </row>
    <row r="1403" spans="2:8">
      <c r="B1403" t="s">
        <v>25022</v>
      </c>
      <c r="C1403">
        <v>116</v>
      </c>
      <c r="D1403">
        <v>13</v>
      </c>
      <c r="E1403">
        <v>11</v>
      </c>
      <c r="F1403">
        <v>0</v>
      </c>
      <c r="G1403">
        <v>10</v>
      </c>
      <c r="H1403">
        <v>1</v>
      </c>
    </row>
    <row r="1404" spans="2:8">
      <c r="B1404" t="s">
        <v>25022</v>
      </c>
      <c r="C1404">
        <v>116</v>
      </c>
      <c r="D1404">
        <v>5</v>
      </c>
      <c r="E1404">
        <v>0</v>
      </c>
      <c r="F1404">
        <v>0</v>
      </c>
      <c r="G1404">
        <v>0</v>
      </c>
      <c r="H1404">
        <v>0</v>
      </c>
    </row>
    <row r="1405" spans="2:8">
      <c r="B1405" t="s">
        <v>25022</v>
      </c>
      <c r="C1405">
        <v>116</v>
      </c>
      <c r="D1405">
        <v>5</v>
      </c>
      <c r="E1405">
        <v>2</v>
      </c>
      <c r="F1405">
        <v>0</v>
      </c>
      <c r="G1405">
        <v>0</v>
      </c>
      <c r="H1405">
        <v>2</v>
      </c>
    </row>
    <row r="1406" spans="2:8">
      <c r="B1406" t="s">
        <v>25022</v>
      </c>
      <c r="C1406">
        <v>116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2:8">
      <c r="B1407" t="s">
        <v>25022</v>
      </c>
      <c r="C1407">
        <v>116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2:8">
      <c r="B1408" t="s">
        <v>25022</v>
      </c>
      <c r="C1408">
        <v>117</v>
      </c>
      <c r="D1408">
        <v>14</v>
      </c>
      <c r="E1408">
        <v>5</v>
      </c>
      <c r="F1408">
        <v>0</v>
      </c>
      <c r="G1408">
        <v>4</v>
      </c>
      <c r="H1408">
        <v>1</v>
      </c>
    </row>
    <row r="1409" spans="2:8">
      <c r="B1409" t="s">
        <v>25022</v>
      </c>
      <c r="C1409">
        <v>117</v>
      </c>
      <c r="D1409">
        <v>3</v>
      </c>
      <c r="E1409">
        <v>0</v>
      </c>
      <c r="F1409">
        <v>0</v>
      </c>
      <c r="G1409">
        <v>0</v>
      </c>
      <c r="H1409">
        <v>0</v>
      </c>
    </row>
    <row r="1410" spans="2:8">
      <c r="B1410" t="s">
        <v>25022</v>
      </c>
      <c r="C1410">
        <v>117</v>
      </c>
      <c r="D1410">
        <v>3</v>
      </c>
      <c r="E1410">
        <v>0</v>
      </c>
      <c r="F1410">
        <v>0</v>
      </c>
      <c r="G1410">
        <v>0</v>
      </c>
      <c r="H1410">
        <v>0</v>
      </c>
    </row>
    <row r="1411" spans="2:8">
      <c r="B1411" t="s">
        <v>25022</v>
      </c>
      <c r="C1411">
        <v>117</v>
      </c>
      <c r="D1411">
        <v>3</v>
      </c>
      <c r="E1411">
        <v>0</v>
      </c>
      <c r="F1411">
        <v>0</v>
      </c>
      <c r="G1411">
        <v>0</v>
      </c>
      <c r="H1411">
        <v>0</v>
      </c>
    </row>
    <row r="1412" spans="2:8">
      <c r="B1412" t="s">
        <v>25022</v>
      </c>
      <c r="C1412">
        <v>117</v>
      </c>
      <c r="D1412">
        <v>4</v>
      </c>
      <c r="E1412">
        <v>0</v>
      </c>
      <c r="F1412">
        <v>0</v>
      </c>
      <c r="G1412">
        <v>0</v>
      </c>
      <c r="H1412">
        <v>0</v>
      </c>
    </row>
    <row r="1413" spans="2:8">
      <c r="B1413" t="s">
        <v>25022</v>
      </c>
      <c r="C1413">
        <v>117</v>
      </c>
      <c r="D1413">
        <v>2</v>
      </c>
      <c r="E1413">
        <v>0</v>
      </c>
      <c r="F1413">
        <v>0</v>
      </c>
      <c r="G1413">
        <v>0</v>
      </c>
      <c r="H1413">
        <v>0</v>
      </c>
    </row>
    <row r="1414" spans="2:8">
      <c r="B1414" t="s">
        <v>25022</v>
      </c>
      <c r="C1414">
        <v>118</v>
      </c>
      <c r="D1414">
        <v>21</v>
      </c>
      <c r="E1414">
        <v>6</v>
      </c>
      <c r="F1414">
        <v>0</v>
      </c>
      <c r="G1414">
        <v>4</v>
      </c>
      <c r="H1414">
        <v>2</v>
      </c>
    </row>
    <row r="1415" spans="2:8">
      <c r="B1415" t="s">
        <v>25022</v>
      </c>
      <c r="C1415">
        <v>118</v>
      </c>
      <c r="D1415">
        <v>8</v>
      </c>
      <c r="E1415">
        <v>2</v>
      </c>
      <c r="F1415">
        <v>0</v>
      </c>
      <c r="G1415">
        <v>0</v>
      </c>
      <c r="H1415">
        <v>2</v>
      </c>
    </row>
    <row r="1416" spans="2:8">
      <c r="B1416" t="s">
        <v>25022</v>
      </c>
      <c r="C1416">
        <v>118</v>
      </c>
      <c r="D1416">
        <v>12</v>
      </c>
      <c r="E1416">
        <v>6</v>
      </c>
      <c r="F1416">
        <v>0</v>
      </c>
      <c r="G1416">
        <v>4</v>
      </c>
      <c r="H1416">
        <v>2</v>
      </c>
    </row>
    <row r="1417" spans="2:8">
      <c r="B1417" t="s">
        <v>25022</v>
      </c>
      <c r="C1417">
        <v>118</v>
      </c>
      <c r="D1417">
        <v>8</v>
      </c>
      <c r="E1417">
        <v>2</v>
      </c>
      <c r="F1417">
        <v>0</v>
      </c>
      <c r="G1417">
        <v>2</v>
      </c>
      <c r="H1417">
        <v>0</v>
      </c>
    </row>
    <row r="1418" spans="2:8">
      <c r="B1418" t="s">
        <v>25022</v>
      </c>
      <c r="C1418">
        <v>118</v>
      </c>
      <c r="D1418">
        <v>3</v>
      </c>
      <c r="E1418">
        <v>0</v>
      </c>
      <c r="F1418">
        <v>0</v>
      </c>
      <c r="G1418">
        <v>0</v>
      </c>
      <c r="H1418">
        <v>0</v>
      </c>
    </row>
    <row r="1419" spans="2:8">
      <c r="B1419" t="s">
        <v>25022</v>
      </c>
      <c r="C1419">
        <v>118</v>
      </c>
      <c r="D1419">
        <v>6</v>
      </c>
      <c r="E1419">
        <v>2</v>
      </c>
      <c r="F1419">
        <v>0</v>
      </c>
      <c r="G1419">
        <v>2</v>
      </c>
      <c r="H1419">
        <v>0</v>
      </c>
    </row>
    <row r="1420" spans="2:8">
      <c r="B1420" t="s">
        <v>25022</v>
      </c>
      <c r="C1420">
        <v>118</v>
      </c>
      <c r="D1420">
        <v>3</v>
      </c>
      <c r="E1420">
        <v>0</v>
      </c>
      <c r="F1420">
        <v>0</v>
      </c>
      <c r="G1420">
        <v>0</v>
      </c>
      <c r="H1420">
        <v>0</v>
      </c>
    </row>
    <row r="1421" spans="2:8">
      <c r="B1421" t="s">
        <v>25022</v>
      </c>
      <c r="C1421">
        <v>118</v>
      </c>
      <c r="D1421">
        <v>3</v>
      </c>
      <c r="E1421">
        <v>0</v>
      </c>
      <c r="F1421">
        <v>0</v>
      </c>
      <c r="G1421">
        <v>0</v>
      </c>
      <c r="H1421">
        <v>0</v>
      </c>
    </row>
    <row r="1422" spans="2:8">
      <c r="B1422" t="s">
        <v>25022</v>
      </c>
      <c r="C1422">
        <v>119</v>
      </c>
      <c r="D1422">
        <v>15</v>
      </c>
      <c r="E1422">
        <v>5</v>
      </c>
      <c r="F1422">
        <v>0</v>
      </c>
      <c r="G1422">
        <v>4</v>
      </c>
      <c r="H1422">
        <v>1</v>
      </c>
    </row>
    <row r="1423" spans="2:8">
      <c r="B1423" t="s">
        <v>25022</v>
      </c>
      <c r="C1423">
        <v>119</v>
      </c>
      <c r="D1423">
        <v>11</v>
      </c>
      <c r="E1423">
        <v>4</v>
      </c>
      <c r="F1423">
        <v>0</v>
      </c>
      <c r="G1423">
        <v>4</v>
      </c>
      <c r="H1423">
        <v>0</v>
      </c>
    </row>
    <row r="1424" spans="2:8">
      <c r="B1424" t="s">
        <v>25022</v>
      </c>
      <c r="C1424">
        <v>119</v>
      </c>
      <c r="D1424">
        <v>9</v>
      </c>
      <c r="E1424">
        <v>5</v>
      </c>
      <c r="F1424">
        <v>0</v>
      </c>
      <c r="G1424">
        <v>3</v>
      </c>
      <c r="H1424">
        <v>2</v>
      </c>
    </row>
    <row r="1425" spans="2:8">
      <c r="B1425" t="s">
        <v>25022</v>
      </c>
      <c r="C1425">
        <v>119</v>
      </c>
      <c r="D1425">
        <v>9</v>
      </c>
      <c r="E1425">
        <v>4</v>
      </c>
      <c r="F1425">
        <v>0</v>
      </c>
      <c r="G1425">
        <v>4</v>
      </c>
      <c r="H1425">
        <v>0</v>
      </c>
    </row>
    <row r="1426" spans="2:8">
      <c r="B1426" t="s">
        <v>25022</v>
      </c>
      <c r="C1426">
        <v>119</v>
      </c>
      <c r="D1426">
        <v>10</v>
      </c>
      <c r="E1426">
        <v>4</v>
      </c>
      <c r="F1426">
        <v>0</v>
      </c>
      <c r="G1426">
        <v>4</v>
      </c>
      <c r="H1426">
        <v>0</v>
      </c>
    </row>
    <row r="1427" spans="2:8">
      <c r="B1427" t="s">
        <v>25022</v>
      </c>
      <c r="C1427">
        <v>119</v>
      </c>
      <c r="D1427">
        <v>2</v>
      </c>
      <c r="E1427">
        <v>0</v>
      </c>
      <c r="F1427">
        <v>0</v>
      </c>
      <c r="G1427">
        <v>0</v>
      </c>
      <c r="H1427">
        <v>0</v>
      </c>
    </row>
    <row r="1428" spans="2:8">
      <c r="B1428" t="s">
        <v>25022</v>
      </c>
      <c r="C1428">
        <v>119</v>
      </c>
      <c r="D1428">
        <v>1</v>
      </c>
      <c r="E1428">
        <v>0</v>
      </c>
      <c r="F1428">
        <v>0</v>
      </c>
      <c r="G1428">
        <v>0</v>
      </c>
      <c r="H1428">
        <v>0</v>
      </c>
    </row>
    <row r="1429" spans="2:8">
      <c r="B1429" t="s">
        <v>25022</v>
      </c>
      <c r="C1429">
        <v>119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2:8">
      <c r="B1430" t="s">
        <v>25022</v>
      </c>
      <c r="C1430">
        <v>120</v>
      </c>
      <c r="D1430">
        <v>21</v>
      </c>
      <c r="E1430">
        <v>5</v>
      </c>
      <c r="F1430">
        <v>0</v>
      </c>
      <c r="G1430">
        <v>5</v>
      </c>
      <c r="H1430">
        <v>0</v>
      </c>
    </row>
    <row r="1431" spans="2:8">
      <c r="B1431" t="s">
        <v>25022</v>
      </c>
      <c r="C1431">
        <v>120</v>
      </c>
      <c r="D1431">
        <v>4</v>
      </c>
      <c r="E1431">
        <v>0</v>
      </c>
      <c r="F1431">
        <v>0</v>
      </c>
      <c r="G1431">
        <v>0</v>
      </c>
      <c r="H1431">
        <v>0</v>
      </c>
    </row>
    <row r="1432" spans="2:8">
      <c r="B1432" t="s">
        <v>25022</v>
      </c>
      <c r="C1432">
        <v>120</v>
      </c>
      <c r="D1432">
        <v>8</v>
      </c>
      <c r="E1432">
        <v>0</v>
      </c>
      <c r="F1432">
        <v>0</v>
      </c>
      <c r="G1432">
        <v>0</v>
      </c>
      <c r="H1432">
        <v>0</v>
      </c>
    </row>
    <row r="1433" spans="2:8">
      <c r="B1433" t="s">
        <v>25022</v>
      </c>
      <c r="C1433">
        <v>120</v>
      </c>
      <c r="D1433">
        <v>6</v>
      </c>
      <c r="E1433">
        <v>2</v>
      </c>
      <c r="F1433">
        <v>0</v>
      </c>
      <c r="G1433">
        <v>2</v>
      </c>
      <c r="H1433">
        <v>0</v>
      </c>
    </row>
    <row r="1434" spans="2:8">
      <c r="B1434" t="s">
        <v>25022</v>
      </c>
      <c r="C1434">
        <v>120</v>
      </c>
      <c r="D1434">
        <v>6</v>
      </c>
      <c r="E1434">
        <v>0</v>
      </c>
      <c r="F1434">
        <v>0</v>
      </c>
      <c r="G1434">
        <v>0</v>
      </c>
      <c r="H1434">
        <v>0</v>
      </c>
    </row>
    <row r="1435" spans="2:8">
      <c r="B1435" t="s">
        <v>25022</v>
      </c>
      <c r="C1435">
        <v>120</v>
      </c>
      <c r="D1435">
        <v>2</v>
      </c>
      <c r="E1435">
        <v>0</v>
      </c>
      <c r="F1435">
        <v>0</v>
      </c>
      <c r="G1435">
        <v>0</v>
      </c>
      <c r="H1435">
        <v>0</v>
      </c>
    </row>
    <row r="1436" spans="2:8">
      <c r="B1436" t="s">
        <v>25022</v>
      </c>
      <c r="C1436">
        <v>120</v>
      </c>
      <c r="D1436">
        <v>4</v>
      </c>
      <c r="E1436">
        <v>2</v>
      </c>
      <c r="F1436">
        <v>0</v>
      </c>
      <c r="G1436">
        <v>0</v>
      </c>
      <c r="H1436">
        <v>2</v>
      </c>
    </row>
    <row r="1437" spans="2:8">
      <c r="B1437" t="s">
        <v>25022</v>
      </c>
      <c r="C1437">
        <v>120</v>
      </c>
      <c r="D1437">
        <v>1</v>
      </c>
      <c r="E1437">
        <v>0</v>
      </c>
      <c r="F1437">
        <v>0</v>
      </c>
      <c r="G1437">
        <v>0</v>
      </c>
      <c r="H1437">
        <v>0</v>
      </c>
    </row>
    <row r="1438" spans="2:8">
      <c r="B1438" t="s">
        <v>25022</v>
      </c>
      <c r="C1438">
        <v>120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2:8">
      <c r="B1439" t="s">
        <v>25022</v>
      </c>
      <c r="C1439">
        <v>120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2:8">
      <c r="B1440" t="s">
        <v>25022</v>
      </c>
      <c r="C1440">
        <v>121</v>
      </c>
      <c r="D1440">
        <v>11</v>
      </c>
      <c r="E1440">
        <v>2</v>
      </c>
      <c r="F1440">
        <v>0</v>
      </c>
      <c r="G1440">
        <v>2</v>
      </c>
      <c r="H1440">
        <v>0</v>
      </c>
    </row>
    <row r="1441" spans="2:8">
      <c r="B1441" t="s">
        <v>25022</v>
      </c>
      <c r="C1441">
        <v>121</v>
      </c>
      <c r="D1441">
        <v>6</v>
      </c>
      <c r="E1441">
        <v>2</v>
      </c>
      <c r="F1441">
        <v>0</v>
      </c>
      <c r="G1441">
        <v>2</v>
      </c>
      <c r="H1441">
        <v>0</v>
      </c>
    </row>
    <row r="1442" spans="2:8">
      <c r="B1442" t="s">
        <v>25022</v>
      </c>
      <c r="C1442">
        <v>121</v>
      </c>
      <c r="D1442">
        <v>4</v>
      </c>
      <c r="E1442">
        <v>0</v>
      </c>
      <c r="F1442">
        <v>0</v>
      </c>
      <c r="G1442">
        <v>0</v>
      </c>
      <c r="H1442">
        <v>0</v>
      </c>
    </row>
    <row r="1443" spans="2:8">
      <c r="B1443" t="s">
        <v>25022</v>
      </c>
      <c r="C1443">
        <v>121</v>
      </c>
      <c r="D1443">
        <v>18</v>
      </c>
      <c r="E1443">
        <v>3</v>
      </c>
      <c r="F1443">
        <v>0</v>
      </c>
      <c r="G1443">
        <v>3</v>
      </c>
      <c r="H1443">
        <v>0</v>
      </c>
    </row>
    <row r="1444" spans="2:8">
      <c r="B1444" t="s">
        <v>25022</v>
      </c>
      <c r="C1444">
        <v>121</v>
      </c>
      <c r="D1444">
        <v>6</v>
      </c>
      <c r="E1444">
        <v>0</v>
      </c>
      <c r="F1444">
        <v>0</v>
      </c>
      <c r="G1444">
        <v>0</v>
      </c>
      <c r="H1444">
        <v>0</v>
      </c>
    </row>
    <row r="1445" spans="2:8">
      <c r="B1445" t="s">
        <v>25022</v>
      </c>
      <c r="C1445">
        <v>121</v>
      </c>
      <c r="D1445">
        <v>5</v>
      </c>
      <c r="E1445">
        <v>2</v>
      </c>
      <c r="F1445">
        <v>0</v>
      </c>
      <c r="G1445">
        <v>0</v>
      </c>
      <c r="H1445">
        <v>2</v>
      </c>
    </row>
    <row r="1446" spans="2:8">
      <c r="B1446" t="s">
        <v>25022</v>
      </c>
      <c r="C1446">
        <v>121</v>
      </c>
      <c r="D1446">
        <v>2</v>
      </c>
      <c r="E1446">
        <v>0</v>
      </c>
      <c r="F1446">
        <v>0</v>
      </c>
      <c r="G1446">
        <v>0</v>
      </c>
      <c r="H1446">
        <v>0</v>
      </c>
    </row>
    <row r="1447" spans="2:8">
      <c r="B1447" t="s">
        <v>25022</v>
      </c>
      <c r="C1447">
        <v>121</v>
      </c>
      <c r="D1447">
        <v>2</v>
      </c>
      <c r="E1447">
        <v>0</v>
      </c>
      <c r="F1447">
        <v>0</v>
      </c>
      <c r="G1447">
        <v>0</v>
      </c>
      <c r="H1447">
        <v>0</v>
      </c>
    </row>
    <row r="1448" spans="2:8">
      <c r="B1448" t="s">
        <v>25022</v>
      </c>
      <c r="C1448">
        <v>122</v>
      </c>
      <c r="D1448">
        <v>11</v>
      </c>
      <c r="E1448">
        <v>0</v>
      </c>
      <c r="F1448">
        <v>0</v>
      </c>
      <c r="G1448">
        <v>0</v>
      </c>
      <c r="H1448">
        <v>0</v>
      </c>
    </row>
    <row r="1449" spans="2:8">
      <c r="B1449" t="s">
        <v>25022</v>
      </c>
      <c r="C1449">
        <v>122</v>
      </c>
      <c r="D1449">
        <v>19</v>
      </c>
      <c r="E1449">
        <v>9</v>
      </c>
      <c r="F1449">
        <v>0</v>
      </c>
      <c r="G1449">
        <v>6</v>
      </c>
      <c r="H1449">
        <v>3</v>
      </c>
    </row>
    <row r="1450" spans="2:8">
      <c r="B1450" t="s">
        <v>25022</v>
      </c>
      <c r="C1450">
        <v>122</v>
      </c>
      <c r="D1450">
        <v>2</v>
      </c>
      <c r="E1450">
        <v>2</v>
      </c>
      <c r="F1450">
        <v>0</v>
      </c>
      <c r="G1450">
        <v>2</v>
      </c>
      <c r="H1450">
        <v>0</v>
      </c>
    </row>
    <row r="1451" spans="2:8">
      <c r="B1451" t="s">
        <v>25022</v>
      </c>
      <c r="C1451">
        <v>123</v>
      </c>
      <c r="D1451">
        <v>15</v>
      </c>
      <c r="E1451">
        <v>6</v>
      </c>
      <c r="F1451">
        <v>0</v>
      </c>
      <c r="G1451">
        <v>4</v>
      </c>
      <c r="H1451">
        <v>2</v>
      </c>
    </row>
    <row r="1452" spans="2:8">
      <c r="B1452" t="s">
        <v>25022</v>
      </c>
      <c r="C1452">
        <v>123</v>
      </c>
      <c r="D1452">
        <v>19</v>
      </c>
      <c r="E1452">
        <v>8</v>
      </c>
      <c r="F1452">
        <v>0</v>
      </c>
      <c r="G1452">
        <v>8</v>
      </c>
      <c r="H1452">
        <v>0</v>
      </c>
    </row>
    <row r="1453" spans="2:8">
      <c r="B1453" t="s">
        <v>25022</v>
      </c>
      <c r="C1453">
        <v>123</v>
      </c>
      <c r="D1453">
        <v>9</v>
      </c>
      <c r="E1453">
        <v>2</v>
      </c>
      <c r="F1453">
        <v>0</v>
      </c>
      <c r="G1453">
        <v>2</v>
      </c>
      <c r="H1453">
        <v>0</v>
      </c>
    </row>
    <row r="1454" spans="2:8">
      <c r="B1454" t="s">
        <v>25022</v>
      </c>
      <c r="C1454">
        <v>123</v>
      </c>
      <c r="D1454">
        <v>5</v>
      </c>
      <c r="E1454">
        <v>2</v>
      </c>
      <c r="F1454">
        <v>0</v>
      </c>
      <c r="G1454">
        <v>2</v>
      </c>
      <c r="H1454">
        <v>0</v>
      </c>
    </row>
    <row r="1455" spans="2:8">
      <c r="B1455" t="s">
        <v>25022</v>
      </c>
      <c r="C1455">
        <v>123</v>
      </c>
      <c r="D1455">
        <v>12</v>
      </c>
      <c r="E1455">
        <v>4</v>
      </c>
      <c r="F1455">
        <v>0</v>
      </c>
      <c r="G1455">
        <v>3</v>
      </c>
      <c r="H1455">
        <v>1</v>
      </c>
    </row>
    <row r="1456" spans="2:8">
      <c r="B1456" t="s">
        <v>25022</v>
      </c>
      <c r="C1456">
        <v>123</v>
      </c>
      <c r="D1456">
        <v>10</v>
      </c>
      <c r="E1456">
        <v>3</v>
      </c>
      <c r="F1456">
        <v>0</v>
      </c>
      <c r="G1456">
        <v>0</v>
      </c>
      <c r="H1456">
        <v>3</v>
      </c>
    </row>
    <row r="1457" spans="2:8">
      <c r="B1457" t="s">
        <v>25022</v>
      </c>
      <c r="C1457">
        <v>123</v>
      </c>
      <c r="D1457">
        <v>3</v>
      </c>
      <c r="E1457">
        <v>2</v>
      </c>
      <c r="F1457">
        <v>0</v>
      </c>
      <c r="G1457">
        <v>2</v>
      </c>
      <c r="H1457">
        <v>0</v>
      </c>
    </row>
    <row r="1458" spans="2:8">
      <c r="B1458" t="s">
        <v>25022</v>
      </c>
      <c r="C1458">
        <v>123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2:8">
      <c r="B1459" t="s">
        <v>25022</v>
      </c>
      <c r="C1459">
        <v>123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2:8">
      <c r="B1460" t="s">
        <v>25022</v>
      </c>
      <c r="C1460">
        <v>124</v>
      </c>
      <c r="D1460">
        <v>19</v>
      </c>
      <c r="E1460">
        <v>9</v>
      </c>
      <c r="F1460">
        <v>0</v>
      </c>
      <c r="G1460">
        <v>4</v>
      </c>
      <c r="H1460">
        <v>5</v>
      </c>
    </row>
    <row r="1461" spans="2:8">
      <c r="B1461" t="s">
        <v>25022</v>
      </c>
      <c r="C1461">
        <v>124</v>
      </c>
      <c r="D1461">
        <v>15</v>
      </c>
      <c r="E1461">
        <v>4</v>
      </c>
      <c r="F1461">
        <v>0</v>
      </c>
      <c r="G1461">
        <v>2</v>
      </c>
      <c r="H1461">
        <v>2</v>
      </c>
    </row>
    <row r="1462" spans="2:8">
      <c r="B1462" t="s">
        <v>25022</v>
      </c>
      <c r="C1462">
        <v>124</v>
      </c>
      <c r="D1462">
        <v>7</v>
      </c>
      <c r="E1462">
        <v>0</v>
      </c>
      <c r="F1462">
        <v>0</v>
      </c>
      <c r="G1462">
        <v>0</v>
      </c>
      <c r="H1462">
        <v>0</v>
      </c>
    </row>
    <row r="1463" spans="2:8">
      <c r="B1463" t="s">
        <v>25022</v>
      </c>
      <c r="C1463">
        <v>124</v>
      </c>
      <c r="D1463">
        <v>6</v>
      </c>
      <c r="E1463">
        <v>2</v>
      </c>
      <c r="F1463">
        <v>0</v>
      </c>
      <c r="G1463">
        <v>2</v>
      </c>
      <c r="H1463">
        <v>0</v>
      </c>
    </row>
    <row r="1464" spans="2:8">
      <c r="B1464" t="s">
        <v>25022</v>
      </c>
      <c r="C1464">
        <v>124</v>
      </c>
      <c r="D1464">
        <v>6</v>
      </c>
      <c r="E1464">
        <v>0</v>
      </c>
      <c r="F1464">
        <v>0</v>
      </c>
      <c r="G1464">
        <v>0</v>
      </c>
      <c r="H1464">
        <v>0</v>
      </c>
    </row>
    <row r="1465" spans="2:8">
      <c r="B1465" t="s">
        <v>25022</v>
      </c>
      <c r="C1465">
        <v>124</v>
      </c>
      <c r="D1465">
        <v>10</v>
      </c>
      <c r="E1465">
        <v>2</v>
      </c>
      <c r="F1465">
        <v>0</v>
      </c>
      <c r="G1465">
        <v>2</v>
      </c>
      <c r="H1465">
        <v>0</v>
      </c>
    </row>
    <row r="1466" spans="2:8">
      <c r="B1466" t="s">
        <v>25022</v>
      </c>
      <c r="C1466">
        <v>124</v>
      </c>
      <c r="D1466">
        <v>5</v>
      </c>
      <c r="E1466">
        <v>0</v>
      </c>
      <c r="F1466">
        <v>0</v>
      </c>
      <c r="G1466">
        <v>0</v>
      </c>
      <c r="H1466">
        <v>0</v>
      </c>
    </row>
    <row r="1467" spans="2:8">
      <c r="B1467" t="s">
        <v>25022</v>
      </c>
      <c r="C1467">
        <v>124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2:8">
      <c r="B1468" t="s">
        <v>25022</v>
      </c>
      <c r="C1468">
        <v>124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2:8">
      <c r="B1469" t="s">
        <v>25022</v>
      </c>
      <c r="C1469">
        <v>125</v>
      </c>
      <c r="D1469">
        <v>3</v>
      </c>
      <c r="E1469">
        <v>0</v>
      </c>
      <c r="F1469">
        <v>0</v>
      </c>
      <c r="G1469">
        <v>0</v>
      </c>
      <c r="H1469">
        <v>0</v>
      </c>
    </row>
    <row r="1470" spans="2:8">
      <c r="B1470" t="s">
        <v>25022</v>
      </c>
      <c r="C1470">
        <v>125</v>
      </c>
      <c r="D1470">
        <v>3</v>
      </c>
      <c r="E1470">
        <v>0</v>
      </c>
      <c r="F1470">
        <v>0</v>
      </c>
      <c r="G1470">
        <v>0</v>
      </c>
      <c r="H1470">
        <v>0</v>
      </c>
    </row>
    <row r="1471" spans="2:8">
      <c r="B1471" t="s">
        <v>25022</v>
      </c>
      <c r="C1471">
        <v>125</v>
      </c>
      <c r="D1471">
        <v>5</v>
      </c>
      <c r="E1471">
        <v>4</v>
      </c>
      <c r="F1471">
        <v>0</v>
      </c>
      <c r="G1471">
        <v>4</v>
      </c>
      <c r="H1471">
        <v>0</v>
      </c>
    </row>
    <row r="1472" spans="2:8">
      <c r="B1472" t="s">
        <v>25022</v>
      </c>
      <c r="C1472">
        <v>125</v>
      </c>
      <c r="D1472">
        <v>3</v>
      </c>
      <c r="E1472">
        <v>0</v>
      </c>
      <c r="F1472">
        <v>0</v>
      </c>
      <c r="G1472">
        <v>0</v>
      </c>
      <c r="H1472">
        <v>0</v>
      </c>
    </row>
    <row r="1473" spans="2:8">
      <c r="B1473" t="s">
        <v>25022</v>
      </c>
      <c r="C1473">
        <v>125</v>
      </c>
      <c r="D1473">
        <v>3</v>
      </c>
      <c r="E1473">
        <v>0</v>
      </c>
      <c r="F1473">
        <v>0</v>
      </c>
      <c r="G1473">
        <v>0</v>
      </c>
      <c r="H1473">
        <v>0</v>
      </c>
    </row>
    <row r="1474" spans="2:8">
      <c r="B1474" t="s">
        <v>25022</v>
      </c>
      <c r="C1474">
        <v>125</v>
      </c>
      <c r="D1474">
        <v>3</v>
      </c>
      <c r="E1474">
        <v>0</v>
      </c>
      <c r="F1474">
        <v>0</v>
      </c>
      <c r="G1474">
        <v>0</v>
      </c>
      <c r="H1474">
        <v>0</v>
      </c>
    </row>
    <row r="1475" spans="2:8">
      <c r="B1475" t="s">
        <v>25022</v>
      </c>
      <c r="C1475">
        <v>126</v>
      </c>
      <c r="D1475">
        <v>16</v>
      </c>
      <c r="E1475">
        <v>8</v>
      </c>
      <c r="F1475">
        <v>0</v>
      </c>
      <c r="G1475">
        <v>7</v>
      </c>
      <c r="H1475">
        <v>1</v>
      </c>
    </row>
    <row r="1476" spans="2:8">
      <c r="B1476" t="s">
        <v>25022</v>
      </c>
      <c r="C1476">
        <v>126</v>
      </c>
      <c r="D1476">
        <v>13</v>
      </c>
      <c r="E1476">
        <v>6</v>
      </c>
      <c r="F1476">
        <v>0</v>
      </c>
      <c r="G1476">
        <v>6</v>
      </c>
      <c r="H1476">
        <v>0</v>
      </c>
    </row>
    <row r="1477" spans="2:8">
      <c r="B1477" t="s">
        <v>25022</v>
      </c>
      <c r="C1477">
        <v>126</v>
      </c>
      <c r="D1477">
        <v>13</v>
      </c>
      <c r="E1477">
        <v>6</v>
      </c>
      <c r="F1477">
        <v>0</v>
      </c>
      <c r="G1477">
        <v>5</v>
      </c>
      <c r="H1477">
        <v>1</v>
      </c>
    </row>
    <row r="1478" spans="2:8">
      <c r="B1478" t="s">
        <v>25022</v>
      </c>
      <c r="C1478">
        <v>126</v>
      </c>
      <c r="D1478">
        <v>7</v>
      </c>
      <c r="E1478">
        <v>2</v>
      </c>
      <c r="F1478">
        <v>0</v>
      </c>
      <c r="G1478">
        <v>0</v>
      </c>
      <c r="H1478">
        <v>2</v>
      </c>
    </row>
    <row r="1479" spans="2:8">
      <c r="B1479" t="s">
        <v>25022</v>
      </c>
      <c r="C1479">
        <v>126</v>
      </c>
      <c r="D1479">
        <v>6</v>
      </c>
      <c r="E1479">
        <v>0</v>
      </c>
      <c r="F1479">
        <v>0</v>
      </c>
      <c r="G1479">
        <v>0</v>
      </c>
      <c r="H1479">
        <v>0</v>
      </c>
    </row>
    <row r="1480" spans="2:8">
      <c r="B1480" t="s">
        <v>25022</v>
      </c>
      <c r="C1480">
        <v>126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2:8">
      <c r="B1481" t="s">
        <v>25022</v>
      </c>
      <c r="C1481">
        <v>127</v>
      </c>
      <c r="D1481">
        <v>17</v>
      </c>
      <c r="E1481">
        <v>9</v>
      </c>
      <c r="F1481">
        <v>0</v>
      </c>
      <c r="G1481">
        <v>9</v>
      </c>
      <c r="H1481">
        <v>0</v>
      </c>
    </row>
    <row r="1482" spans="2:8">
      <c r="B1482" t="s">
        <v>25022</v>
      </c>
      <c r="C1482">
        <v>127</v>
      </c>
      <c r="D1482">
        <v>26</v>
      </c>
      <c r="E1482">
        <v>16</v>
      </c>
      <c r="F1482">
        <v>0</v>
      </c>
      <c r="G1482">
        <v>12</v>
      </c>
      <c r="H1482">
        <v>4</v>
      </c>
    </row>
    <row r="1483" spans="2:8">
      <c r="B1483" t="s">
        <v>25022</v>
      </c>
      <c r="C1483">
        <v>127</v>
      </c>
      <c r="D1483">
        <v>12</v>
      </c>
      <c r="E1483">
        <v>0</v>
      </c>
      <c r="F1483">
        <v>0</v>
      </c>
      <c r="G1483">
        <v>0</v>
      </c>
      <c r="H1483">
        <v>0</v>
      </c>
    </row>
    <row r="1484" spans="2:8">
      <c r="B1484" t="s">
        <v>25022</v>
      </c>
      <c r="C1484">
        <v>127</v>
      </c>
      <c r="D1484">
        <v>7</v>
      </c>
      <c r="E1484">
        <v>4</v>
      </c>
      <c r="F1484">
        <v>0</v>
      </c>
      <c r="G1484">
        <v>4</v>
      </c>
      <c r="H1484">
        <v>0</v>
      </c>
    </row>
    <row r="1485" spans="2:8">
      <c r="B1485" t="s">
        <v>25022</v>
      </c>
      <c r="C1485">
        <v>127</v>
      </c>
      <c r="D1485">
        <v>3</v>
      </c>
      <c r="E1485">
        <v>0</v>
      </c>
      <c r="F1485">
        <v>0</v>
      </c>
      <c r="G1485">
        <v>0</v>
      </c>
      <c r="H1485">
        <v>0</v>
      </c>
    </row>
    <row r="1486" spans="2:8">
      <c r="B1486" t="s">
        <v>25022</v>
      </c>
      <c r="C1486">
        <v>127</v>
      </c>
      <c r="D1486">
        <v>5</v>
      </c>
      <c r="E1486">
        <v>0</v>
      </c>
      <c r="F1486">
        <v>0</v>
      </c>
      <c r="G1486">
        <v>0</v>
      </c>
      <c r="H1486">
        <v>0</v>
      </c>
    </row>
    <row r="1487" spans="2:8">
      <c r="B1487" t="s">
        <v>25022</v>
      </c>
      <c r="C1487">
        <v>127</v>
      </c>
      <c r="D1487">
        <v>6</v>
      </c>
      <c r="E1487">
        <v>4</v>
      </c>
      <c r="F1487">
        <v>0</v>
      </c>
      <c r="G1487">
        <v>2</v>
      </c>
      <c r="H1487">
        <v>2</v>
      </c>
    </row>
    <row r="1488" spans="2:8">
      <c r="B1488" t="s">
        <v>25022</v>
      </c>
      <c r="C1488">
        <v>127</v>
      </c>
      <c r="D1488">
        <v>6</v>
      </c>
      <c r="E1488">
        <v>0</v>
      </c>
      <c r="F1488">
        <v>0</v>
      </c>
      <c r="G1488">
        <v>0</v>
      </c>
      <c r="H1488">
        <v>0</v>
      </c>
    </row>
    <row r="1489" spans="2:8">
      <c r="B1489" t="s">
        <v>25022</v>
      </c>
      <c r="C1489">
        <v>127</v>
      </c>
      <c r="D1489">
        <v>4</v>
      </c>
      <c r="E1489">
        <v>0</v>
      </c>
      <c r="F1489">
        <v>0</v>
      </c>
      <c r="G1489">
        <v>0</v>
      </c>
      <c r="H1489">
        <v>0</v>
      </c>
    </row>
    <row r="1490" spans="2:8">
      <c r="B1490" t="s">
        <v>25022</v>
      </c>
      <c r="C1490">
        <v>127</v>
      </c>
      <c r="D1490">
        <v>1</v>
      </c>
      <c r="E1490">
        <v>0</v>
      </c>
      <c r="F1490">
        <v>0</v>
      </c>
      <c r="G1490">
        <v>0</v>
      </c>
      <c r="H1490">
        <v>0</v>
      </c>
    </row>
    <row r="1491" spans="2:8">
      <c r="B1491" t="s">
        <v>25022</v>
      </c>
      <c r="C1491">
        <v>127</v>
      </c>
      <c r="D1491">
        <v>2</v>
      </c>
      <c r="E1491">
        <v>0</v>
      </c>
      <c r="F1491">
        <v>0</v>
      </c>
      <c r="G1491">
        <v>0</v>
      </c>
      <c r="H1491">
        <v>0</v>
      </c>
    </row>
    <row r="1492" spans="2:8">
      <c r="B1492" t="s">
        <v>25022</v>
      </c>
      <c r="C1492">
        <v>128</v>
      </c>
      <c r="D1492">
        <v>10</v>
      </c>
      <c r="E1492">
        <v>2</v>
      </c>
      <c r="F1492">
        <v>0</v>
      </c>
      <c r="G1492">
        <v>2</v>
      </c>
      <c r="H1492">
        <v>0</v>
      </c>
    </row>
    <row r="1493" spans="2:8">
      <c r="B1493" t="s">
        <v>25022</v>
      </c>
      <c r="C1493">
        <v>128</v>
      </c>
      <c r="D1493">
        <v>10</v>
      </c>
      <c r="E1493">
        <v>2</v>
      </c>
      <c r="F1493">
        <v>0</v>
      </c>
      <c r="G1493">
        <v>0</v>
      </c>
      <c r="H1493">
        <v>2</v>
      </c>
    </row>
    <row r="1494" spans="2:8">
      <c r="B1494" t="s">
        <v>25022</v>
      </c>
      <c r="C1494">
        <v>128</v>
      </c>
      <c r="D1494">
        <v>2</v>
      </c>
      <c r="E1494">
        <v>0</v>
      </c>
      <c r="F1494">
        <v>0</v>
      </c>
      <c r="G1494">
        <v>0</v>
      </c>
      <c r="H1494">
        <v>0</v>
      </c>
    </row>
    <row r="1495" spans="2:8">
      <c r="B1495" t="s">
        <v>25022</v>
      </c>
      <c r="C1495">
        <v>129</v>
      </c>
      <c r="D1495">
        <v>18</v>
      </c>
      <c r="E1495">
        <v>11</v>
      </c>
      <c r="F1495">
        <v>0</v>
      </c>
      <c r="G1495">
        <v>9</v>
      </c>
      <c r="H1495">
        <v>2</v>
      </c>
    </row>
    <row r="1496" spans="2:8">
      <c r="B1496" t="s">
        <v>25022</v>
      </c>
      <c r="C1496">
        <v>129</v>
      </c>
      <c r="D1496">
        <v>13</v>
      </c>
      <c r="E1496">
        <v>5</v>
      </c>
      <c r="F1496">
        <v>0</v>
      </c>
      <c r="G1496">
        <v>2</v>
      </c>
      <c r="H1496">
        <v>3</v>
      </c>
    </row>
    <row r="1497" spans="2:8">
      <c r="B1497" t="s">
        <v>25022</v>
      </c>
      <c r="C1497">
        <v>129</v>
      </c>
      <c r="D1497">
        <v>11</v>
      </c>
      <c r="E1497">
        <v>4</v>
      </c>
      <c r="F1497">
        <v>0</v>
      </c>
      <c r="G1497">
        <v>2</v>
      </c>
      <c r="H1497">
        <v>2</v>
      </c>
    </row>
    <row r="1498" spans="2:8">
      <c r="B1498" t="s">
        <v>25022</v>
      </c>
      <c r="C1498">
        <v>129</v>
      </c>
      <c r="D1498">
        <v>4</v>
      </c>
      <c r="E1498">
        <v>0</v>
      </c>
      <c r="F1498">
        <v>0</v>
      </c>
      <c r="G1498">
        <v>0</v>
      </c>
      <c r="H1498">
        <v>0</v>
      </c>
    </row>
    <row r="1499" spans="2:8">
      <c r="B1499" t="s">
        <v>25022</v>
      </c>
      <c r="C1499">
        <v>129</v>
      </c>
      <c r="D1499">
        <v>3</v>
      </c>
      <c r="E1499">
        <v>0</v>
      </c>
      <c r="F1499">
        <v>0</v>
      </c>
      <c r="G1499">
        <v>0</v>
      </c>
      <c r="H1499">
        <v>0</v>
      </c>
    </row>
    <row r="1500" spans="2:8">
      <c r="B1500" t="s">
        <v>25022</v>
      </c>
      <c r="C1500">
        <v>129</v>
      </c>
      <c r="D1500">
        <v>2</v>
      </c>
      <c r="E1500">
        <v>0</v>
      </c>
      <c r="F1500">
        <v>0</v>
      </c>
      <c r="G1500">
        <v>0</v>
      </c>
      <c r="H1500">
        <v>0</v>
      </c>
    </row>
    <row r="1501" spans="2:8">
      <c r="B1501" t="s">
        <v>25022</v>
      </c>
      <c r="C1501">
        <v>130</v>
      </c>
      <c r="D1501">
        <v>9</v>
      </c>
      <c r="E1501">
        <v>0</v>
      </c>
      <c r="F1501">
        <v>0</v>
      </c>
      <c r="G1501">
        <v>0</v>
      </c>
      <c r="H1501">
        <v>0</v>
      </c>
    </row>
    <row r="1502" spans="2:8">
      <c r="B1502" t="s">
        <v>25022</v>
      </c>
      <c r="C1502">
        <v>130</v>
      </c>
      <c r="D1502">
        <v>15</v>
      </c>
      <c r="E1502">
        <v>12</v>
      </c>
      <c r="F1502">
        <v>0</v>
      </c>
      <c r="G1502">
        <v>8</v>
      </c>
      <c r="H1502">
        <v>4</v>
      </c>
    </row>
    <row r="1503" spans="2:8">
      <c r="B1503" t="s">
        <v>25022</v>
      </c>
      <c r="C1503">
        <v>130</v>
      </c>
      <c r="D1503">
        <v>7</v>
      </c>
      <c r="E1503">
        <v>4</v>
      </c>
      <c r="F1503">
        <v>0</v>
      </c>
      <c r="G1503">
        <v>0</v>
      </c>
      <c r="H1503">
        <v>4</v>
      </c>
    </row>
    <row r="1504" spans="2:8">
      <c r="B1504" t="s">
        <v>25022</v>
      </c>
      <c r="C1504">
        <v>130</v>
      </c>
      <c r="D1504">
        <v>2</v>
      </c>
      <c r="E1504">
        <v>0</v>
      </c>
      <c r="F1504">
        <v>0</v>
      </c>
      <c r="G1504">
        <v>0</v>
      </c>
      <c r="H1504">
        <v>0</v>
      </c>
    </row>
    <row r="1505" spans="2:8">
      <c r="B1505" t="s">
        <v>25022</v>
      </c>
      <c r="C1505">
        <v>130</v>
      </c>
      <c r="D1505">
        <v>3</v>
      </c>
      <c r="E1505">
        <v>0</v>
      </c>
      <c r="F1505">
        <v>0</v>
      </c>
      <c r="G1505">
        <v>0</v>
      </c>
      <c r="H1505">
        <v>0</v>
      </c>
    </row>
    <row r="1506" spans="2:8">
      <c r="B1506" t="s">
        <v>25022</v>
      </c>
      <c r="C1506">
        <v>130</v>
      </c>
      <c r="D1506">
        <v>2</v>
      </c>
      <c r="E1506">
        <v>0</v>
      </c>
      <c r="F1506">
        <v>0</v>
      </c>
      <c r="G1506">
        <v>0</v>
      </c>
      <c r="H1506">
        <v>0</v>
      </c>
    </row>
    <row r="1507" spans="2:8">
      <c r="B1507" t="s">
        <v>25022</v>
      </c>
      <c r="C1507">
        <v>131</v>
      </c>
      <c r="D1507">
        <v>25</v>
      </c>
      <c r="E1507">
        <v>2</v>
      </c>
      <c r="F1507">
        <v>0</v>
      </c>
      <c r="G1507">
        <v>7</v>
      </c>
      <c r="H1507">
        <v>5</v>
      </c>
    </row>
    <row r="1508" spans="2:8">
      <c r="B1508" t="s">
        <v>25022</v>
      </c>
      <c r="C1508">
        <v>131</v>
      </c>
      <c r="D1508">
        <v>3</v>
      </c>
      <c r="E1508">
        <v>0</v>
      </c>
      <c r="F1508">
        <v>0</v>
      </c>
      <c r="G1508">
        <v>0</v>
      </c>
      <c r="H1508">
        <v>0</v>
      </c>
    </row>
    <row r="1509" spans="2:8">
      <c r="B1509" t="s">
        <v>25022</v>
      </c>
      <c r="C1509">
        <v>131</v>
      </c>
      <c r="D1509">
        <v>4</v>
      </c>
      <c r="E1509">
        <v>2</v>
      </c>
      <c r="F1509">
        <v>0</v>
      </c>
      <c r="G1509">
        <v>0</v>
      </c>
      <c r="H1509">
        <v>2</v>
      </c>
    </row>
    <row r="1510" spans="2:8">
      <c r="B1510" t="s">
        <v>25022</v>
      </c>
      <c r="C1510">
        <v>131</v>
      </c>
      <c r="D1510">
        <v>5</v>
      </c>
      <c r="E1510">
        <v>3</v>
      </c>
      <c r="F1510">
        <v>0</v>
      </c>
      <c r="G1510">
        <v>3</v>
      </c>
      <c r="H1510">
        <v>0</v>
      </c>
    </row>
    <row r="1511" spans="2:8">
      <c r="B1511" t="s">
        <v>25022</v>
      </c>
      <c r="C1511">
        <v>132</v>
      </c>
      <c r="D1511">
        <v>8</v>
      </c>
      <c r="E1511">
        <v>2</v>
      </c>
      <c r="F1511">
        <v>0</v>
      </c>
      <c r="G1511">
        <v>2</v>
      </c>
      <c r="H1511">
        <v>0</v>
      </c>
    </row>
    <row r="1512" spans="2:8">
      <c r="B1512" t="s">
        <v>25022</v>
      </c>
      <c r="C1512">
        <v>132</v>
      </c>
      <c r="D1512">
        <v>9</v>
      </c>
      <c r="E1512">
        <v>0</v>
      </c>
      <c r="F1512">
        <v>0</v>
      </c>
      <c r="G1512">
        <v>0</v>
      </c>
      <c r="H1512">
        <v>0</v>
      </c>
    </row>
    <row r="1513" spans="2:8">
      <c r="B1513" t="s">
        <v>25022</v>
      </c>
      <c r="C1513">
        <v>132</v>
      </c>
      <c r="D1513">
        <v>16</v>
      </c>
      <c r="E1513">
        <v>2</v>
      </c>
      <c r="F1513">
        <v>0</v>
      </c>
      <c r="G1513">
        <v>2</v>
      </c>
      <c r="H1513">
        <v>0</v>
      </c>
    </row>
    <row r="1514" spans="2:8">
      <c r="B1514" t="s">
        <v>25022</v>
      </c>
      <c r="C1514">
        <v>132</v>
      </c>
      <c r="D1514">
        <v>5</v>
      </c>
      <c r="E1514">
        <v>2</v>
      </c>
      <c r="F1514">
        <v>0</v>
      </c>
      <c r="G1514">
        <v>2</v>
      </c>
      <c r="H1514">
        <v>0</v>
      </c>
    </row>
    <row r="1515" spans="2:8">
      <c r="B1515" t="s">
        <v>25022</v>
      </c>
      <c r="C1515">
        <v>132</v>
      </c>
      <c r="D1515">
        <v>8</v>
      </c>
      <c r="E1515">
        <v>0</v>
      </c>
      <c r="F1515">
        <v>0</v>
      </c>
      <c r="G1515">
        <v>0</v>
      </c>
      <c r="H1515">
        <v>0</v>
      </c>
    </row>
    <row r="1516" spans="2:8">
      <c r="B1516" t="s">
        <v>25022</v>
      </c>
      <c r="C1516">
        <v>132</v>
      </c>
      <c r="D1516">
        <v>10</v>
      </c>
      <c r="E1516">
        <v>0</v>
      </c>
      <c r="F1516">
        <v>0</v>
      </c>
      <c r="G1516">
        <v>0</v>
      </c>
      <c r="H1516">
        <v>0</v>
      </c>
    </row>
    <row r="1517" spans="2:8">
      <c r="B1517" t="s">
        <v>25022</v>
      </c>
      <c r="C1517">
        <v>132</v>
      </c>
      <c r="D1517">
        <v>6</v>
      </c>
      <c r="E1517">
        <v>2</v>
      </c>
      <c r="F1517">
        <v>0</v>
      </c>
      <c r="G1517">
        <v>0</v>
      </c>
      <c r="H1517">
        <v>2</v>
      </c>
    </row>
    <row r="1518" spans="2:8">
      <c r="B1518" t="s">
        <v>25022</v>
      </c>
      <c r="C1518">
        <v>132</v>
      </c>
      <c r="D1518">
        <v>2</v>
      </c>
      <c r="E1518">
        <v>0</v>
      </c>
      <c r="F1518">
        <v>0</v>
      </c>
      <c r="G1518">
        <v>0</v>
      </c>
      <c r="H1518">
        <v>0</v>
      </c>
    </row>
    <row r="1519" spans="2:8">
      <c r="B1519" t="s">
        <v>25022</v>
      </c>
      <c r="C1519">
        <v>133</v>
      </c>
      <c r="D1519">
        <v>13</v>
      </c>
      <c r="E1519">
        <v>7</v>
      </c>
      <c r="F1519">
        <v>0</v>
      </c>
      <c r="G1519">
        <v>7</v>
      </c>
      <c r="H1519">
        <v>0</v>
      </c>
    </row>
    <row r="1520" spans="2:8">
      <c r="B1520" t="s">
        <v>25022</v>
      </c>
      <c r="C1520">
        <v>133</v>
      </c>
      <c r="D1520">
        <v>16</v>
      </c>
      <c r="E1520">
        <v>8</v>
      </c>
      <c r="F1520">
        <v>0</v>
      </c>
      <c r="G1520">
        <v>7</v>
      </c>
      <c r="H1520">
        <v>1</v>
      </c>
    </row>
    <row r="1521" spans="2:8">
      <c r="B1521" t="s">
        <v>25022</v>
      </c>
      <c r="C1521">
        <v>133</v>
      </c>
      <c r="D1521">
        <v>6</v>
      </c>
      <c r="E1521">
        <v>5</v>
      </c>
      <c r="F1521">
        <v>0</v>
      </c>
      <c r="G1521">
        <v>2</v>
      </c>
      <c r="H1521">
        <v>3</v>
      </c>
    </row>
    <row r="1522" spans="2:8">
      <c r="B1522" t="s">
        <v>25022</v>
      </c>
      <c r="C1522">
        <v>133</v>
      </c>
      <c r="D1522">
        <v>7</v>
      </c>
      <c r="E1522">
        <v>2</v>
      </c>
      <c r="F1522">
        <v>0</v>
      </c>
      <c r="G1522">
        <v>0</v>
      </c>
      <c r="H1522">
        <v>2</v>
      </c>
    </row>
    <row r="1523" spans="2:8">
      <c r="B1523" t="s">
        <v>25022</v>
      </c>
      <c r="C1523">
        <v>133</v>
      </c>
      <c r="D1523">
        <v>1</v>
      </c>
      <c r="E1523">
        <v>0</v>
      </c>
      <c r="F1523">
        <v>0</v>
      </c>
      <c r="G1523">
        <v>0</v>
      </c>
      <c r="H1523">
        <v>0</v>
      </c>
    </row>
    <row r="1524" spans="2:8">
      <c r="B1524" t="s">
        <v>25022</v>
      </c>
      <c r="C1524">
        <v>134</v>
      </c>
      <c r="D1524">
        <v>9</v>
      </c>
      <c r="E1524">
        <v>0</v>
      </c>
      <c r="F1524">
        <v>0</v>
      </c>
      <c r="G1524">
        <v>0</v>
      </c>
      <c r="H1524">
        <v>0</v>
      </c>
    </row>
    <row r="1525" spans="2:8">
      <c r="B1525" t="s">
        <v>25022</v>
      </c>
      <c r="C1525">
        <v>134</v>
      </c>
      <c r="D1525">
        <v>4</v>
      </c>
      <c r="E1525">
        <v>2</v>
      </c>
      <c r="F1525">
        <v>0</v>
      </c>
      <c r="G1525">
        <v>0</v>
      </c>
      <c r="H1525">
        <v>2</v>
      </c>
    </row>
    <row r="1526" spans="2:8">
      <c r="B1526" t="s">
        <v>25022</v>
      </c>
      <c r="C1526">
        <v>134</v>
      </c>
      <c r="D1526">
        <v>13</v>
      </c>
      <c r="E1526">
        <v>4</v>
      </c>
      <c r="F1526">
        <v>0</v>
      </c>
      <c r="G1526">
        <v>0</v>
      </c>
      <c r="H1526">
        <v>4</v>
      </c>
    </row>
    <row r="1527" spans="2:8">
      <c r="B1527" t="s">
        <v>25022</v>
      </c>
      <c r="C1527">
        <v>134</v>
      </c>
      <c r="D1527">
        <v>11</v>
      </c>
      <c r="E1527">
        <v>7</v>
      </c>
      <c r="F1527">
        <v>0</v>
      </c>
      <c r="G1527">
        <v>6</v>
      </c>
      <c r="H1527">
        <v>1</v>
      </c>
    </row>
    <row r="1528" spans="2:8">
      <c r="B1528" t="s">
        <v>25022</v>
      </c>
      <c r="C1528">
        <v>134</v>
      </c>
      <c r="D1528">
        <v>3</v>
      </c>
      <c r="E1528">
        <v>0</v>
      </c>
      <c r="F1528">
        <v>0</v>
      </c>
      <c r="G1528">
        <v>0</v>
      </c>
      <c r="H1528">
        <v>0</v>
      </c>
    </row>
    <row r="1529" spans="2:8">
      <c r="B1529" t="s">
        <v>25022</v>
      </c>
      <c r="C1529">
        <v>135</v>
      </c>
      <c r="D1529">
        <v>13</v>
      </c>
      <c r="E1529">
        <v>4</v>
      </c>
      <c r="F1529">
        <v>0</v>
      </c>
      <c r="G1529">
        <v>0</v>
      </c>
      <c r="H1529">
        <v>4</v>
      </c>
    </row>
    <row r="1530" spans="2:8">
      <c r="B1530" t="s">
        <v>25022</v>
      </c>
      <c r="C1530">
        <v>135</v>
      </c>
      <c r="D1530">
        <v>5</v>
      </c>
      <c r="E1530">
        <v>2</v>
      </c>
      <c r="F1530">
        <v>0</v>
      </c>
      <c r="G1530">
        <v>0</v>
      </c>
      <c r="H1530">
        <v>2</v>
      </c>
    </row>
    <row r="1531" spans="2:8">
      <c r="B1531" t="s">
        <v>25022</v>
      </c>
      <c r="C1531">
        <v>135</v>
      </c>
      <c r="D1531">
        <v>2</v>
      </c>
      <c r="E1531">
        <v>0</v>
      </c>
      <c r="F1531">
        <v>0</v>
      </c>
      <c r="G1531">
        <v>0</v>
      </c>
      <c r="H1531">
        <v>0</v>
      </c>
    </row>
    <row r="1532" spans="2:8">
      <c r="B1532" t="s">
        <v>25022</v>
      </c>
      <c r="C1532">
        <v>135</v>
      </c>
      <c r="D1532">
        <v>4</v>
      </c>
      <c r="E1532">
        <v>0</v>
      </c>
      <c r="F1532">
        <v>0</v>
      </c>
      <c r="G1532">
        <v>0</v>
      </c>
      <c r="H1532">
        <v>0</v>
      </c>
    </row>
    <row r="1533" spans="2:8">
      <c r="B1533" t="s">
        <v>25022</v>
      </c>
      <c r="C1533">
        <v>136</v>
      </c>
      <c r="D1533">
        <v>4</v>
      </c>
      <c r="E1533">
        <v>0</v>
      </c>
      <c r="F1533">
        <v>0</v>
      </c>
      <c r="G1533">
        <v>0</v>
      </c>
      <c r="H1533">
        <v>0</v>
      </c>
    </row>
    <row r="1534" spans="2:8">
      <c r="B1534" t="s">
        <v>25022</v>
      </c>
      <c r="C1534">
        <v>136</v>
      </c>
      <c r="D1534">
        <v>5</v>
      </c>
      <c r="E1534">
        <v>0</v>
      </c>
      <c r="F1534">
        <v>0</v>
      </c>
      <c r="G1534">
        <v>0</v>
      </c>
      <c r="H1534">
        <v>0</v>
      </c>
    </row>
    <row r="1535" spans="2:8">
      <c r="B1535" t="s">
        <v>25022</v>
      </c>
      <c r="C1535">
        <v>136</v>
      </c>
      <c r="D1535">
        <v>2</v>
      </c>
      <c r="E1535">
        <v>0</v>
      </c>
      <c r="F1535">
        <v>0</v>
      </c>
      <c r="G1535">
        <v>0</v>
      </c>
      <c r="H1535">
        <v>0</v>
      </c>
    </row>
    <row r="1536" spans="2:8">
      <c r="B1536" t="s">
        <v>25022</v>
      </c>
      <c r="C1536">
        <v>136</v>
      </c>
      <c r="D1536">
        <v>4</v>
      </c>
      <c r="E1536">
        <v>0</v>
      </c>
      <c r="F1536">
        <v>0</v>
      </c>
      <c r="G1536">
        <v>0</v>
      </c>
      <c r="H1536">
        <v>0</v>
      </c>
    </row>
    <row r="1537" spans="2:8">
      <c r="B1537" t="s">
        <v>25022</v>
      </c>
      <c r="C1537">
        <v>137</v>
      </c>
      <c r="D1537">
        <v>9</v>
      </c>
      <c r="E1537">
        <v>2</v>
      </c>
      <c r="F1537">
        <v>0</v>
      </c>
      <c r="G1537">
        <v>0</v>
      </c>
      <c r="H1537">
        <v>2</v>
      </c>
    </row>
    <row r="1538" spans="2:8">
      <c r="B1538" t="s">
        <v>25022</v>
      </c>
      <c r="C1538">
        <v>137</v>
      </c>
      <c r="D1538">
        <v>4</v>
      </c>
      <c r="E1538">
        <v>0</v>
      </c>
      <c r="F1538">
        <v>0</v>
      </c>
      <c r="G1538">
        <v>0</v>
      </c>
      <c r="H1538">
        <v>0</v>
      </c>
    </row>
    <row r="1539" spans="2:8">
      <c r="B1539" t="s">
        <v>25022</v>
      </c>
      <c r="C1539">
        <v>138</v>
      </c>
      <c r="D1539">
        <v>16</v>
      </c>
      <c r="E1539">
        <v>2</v>
      </c>
      <c r="F1539">
        <v>0</v>
      </c>
      <c r="G1539">
        <v>0</v>
      </c>
      <c r="H1539">
        <v>2</v>
      </c>
    </row>
    <row r="1540" spans="2:8">
      <c r="B1540" t="s">
        <v>25022</v>
      </c>
      <c r="C1540">
        <v>138</v>
      </c>
      <c r="D1540">
        <v>9</v>
      </c>
      <c r="E1540">
        <v>2</v>
      </c>
      <c r="F1540">
        <v>0</v>
      </c>
      <c r="G1540">
        <v>2</v>
      </c>
      <c r="H1540">
        <v>0</v>
      </c>
    </row>
    <row r="1541" spans="2:8">
      <c r="B1541" t="s">
        <v>25022</v>
      </c>
      <c r="C1541">
        <v>138</v>
      </c>
      <c r="D1541">
        <v>2</v>
      </c>
      <c r="E1541">
        <v>0</v>
      </c>
      <c r="F1541">
        <v>0</v>
      </c>
      <c r="G1541">
        <v>0</v>
      </c>
      <c r="H1541">
        <v>0</v>
      </c>
    </row>
    <row r="1542" spans="2:8">
      <c r="B1542" t="s">
        <v>25022</v>
      </c>
      <c r="C1542">
        <v>138</v>
      </c>
      <c r="D1542">
        <v>1</v>
      </c>
      <c r="E1542">
        <v>0</v>
      </c>
      <c r="F1542">
        <v>0</v>
      </c>
      <c r="G1542">
        <v>0</v>
      </c>
      <c r="H1542">
        <v>0</v>
      </c>
    </row>
    <row r="1543" spans="2:8">
      <c r="B1543" t="s">
        <v>25022</v>
      </c>
      <c r="C1543">
        <v>138</v>
      </c>
      <c r="D1543">
        <v>1</v>
      </c>
      <c r="E1543">
        <v>0</v>
      </c>
      <c r="F1543">
        <v>0</v>
      </c>
      <c r="G1543">
        <v>0</v>
      </c>
      <c r="H1543">
        <v>0</v>
      </c>
    </row>
    <row r="1544" spans="2:8">
      <c r="B1544" t="s">
        <v>25022</v>
      </c>
      <c r="C1544">
        <v>139</v>
      </c>
      <c r="D1544">
        <v>14</v>
      </c>
      <c r="E1544">
        <v>0</v>
      </c>
      <c r="F1544">
        <v>0</v>
      </c>
      <c r="G1544">
        <v>0</v>
      </c>
      <c r="H1544">
        <v>0</v>
      </c>
    </row>
    <row r="1545" spans="2:8">
      <c r="B1545" t="s">
        <v>25022</v>
      </c>
      <c r="C1545">
        <v>139</v>
      </c>
      <c r="D1545">
        <v>18</v>
      </c>
      <c r="E1545">
        <v>7</v>
      </c>
      <c r="F1545">
        <v>0</v>
      </c>
      <c r="G1545">
        <v>6</v>
      </c>
      <c r="H1545">
        <v>1</v>
      </c>
    </row>
    <row r="1546" spans="2:8">
      <c r="B1546" t="s">
        <v>25022</v>
      </c>
      <c r="C1546">
        <v>139</v>
      </c>
      <c r="D1546">
        <v>2</v>
      </c>
      <c r="E1546">
        <v>0</v>
      </c>
      <c r="F1546">
        <v>0</v>
      </c>
      <c r="G1546">
        <v>0</v>
      </c>
      <c r="H1546">
        <v>0</v>
      </c>
    </row>
    <row r="1547" spans="2:8">
      <c r="B1547" t="s">
        <v>25022</v>
      </c>
      <c r="C1547">
        <v>139</v>
      </c>
      <c r="D1547">
        <v>2</v>
      </c>
      <c r="E1547">
        <v>2</v>
      </c>
      <c r="F1547">
        <v>0</v>
      </c>
      <c r="G1547">
        <v>2</v>
      </c>
      <c r="H1547">
        <v>0</v>
      </c>
    </row>
    <row r="1548" spans="2:8">
      <c r="B1548" t="s">
        <v>25022</v>
      </c>
      <c r="C1548">
        <v>140</v>
      </c>
      <c r="D1548">
        <v>12</v>
      </c>
      <c r="E1548">
        <v>2</v>
      </c>
      <c r="F1548">
        <v>0</v>
      </c>
      <c r="G1548">
        <v>2</v>
      </c>
      <c r="H1548">
        <v>0</v>
      </c>
    </row>
    <row r="1549" spans="2:8">
      <c r="B1549" t="s">
        <v>25022</v>
      </c>
      <c r="C1549">
        <v>140</v>
      </c>
      <c r="D1549">
        <v>10</v>
      </c>
      <c r="E1549">
        <v>4</v>
      </c>
      <c r="F1549">
        <v>0</v>
      </c>
      <c r="G1549">
        <v>4</v>
      </c>
      <c r="H1549">
        <v>0</v>
      </c>
    </row>
    <row r="1550" spans="2:8">
      <c r="B1550" t="s">
        <v>25022</v>
      </c>
      <c r="C1550">
        <v>140</v>
      </c>
      <c r="D1550">
        <v>10</v>
      </c>
      <c r="E1550">
        <v>0</v>
      </c>
      <c r="F1550">
        <v>0</v>
      </c>
      <c r="G1550">
        <v>0</v>
      </c>
      <c r="H1550">
        <v>0</v>
      </c>
    </row>
    <row r="1551" spans="2:8">
      <c r="B1551" t="s">
        <v>25022</v>
      </c>
      <c r="C1551">
        <v>140</v>
      </c>
      <c r="D1551">
        <v>17</v>
      </c>
      <c r="E1551">
        <v>0</v>
      </c>
      <c r="F1551">
        <v>0</v>
      </c>
      <c r="G1551">
        <v>0</v>
      </c>
      <c r="H1551">
        <v>0</v>
      </c>
    </row>
    <row r="1552" spans="2:8">
      <c r="B1552" t="s">
        <v>25022</v>
      </c>
      <c r="C1552">
        <v>140</v>
      </c>
      <c r="D1552">
        <v>7</v>
      </c>
      <c r="E1552">
        <v>2</v>
      </c>
      <c r="F1552">
        <v>0</v>
      </c>
      <c r="G1552">
        <v>0</v>
      </c>
      <c r="H1552">
        <v>2</v>
      </c>
    </row>
    <row r="1553" spans="2:8">
      <c r="B1553" t="s">
        <v>25022</v>
      </c>
      <c r="C1553">
        <v>140</v>
      </c>
      <c r="D1553">
        <v>12</v>
      </c>
      <c r="E1553">
        <v>0</v>
      </c>
      <c r="F1553">
        <v>0</v>
      </c>
      <c r="G1553">
        <v>0</v>
      </c>
      <c r="H1553">
        <v>0</v>
      </c>
    </row>
    <row r="1554" spans="2:8">
      <c r="B1554" t="s">
        <v>25022</v>
      </c>
      <c r="C1554">
        <v>140</v>
      </c>
      <c r="D1554">
        <v>7</v>
      </c>
      <c r="E1554">
        <v>2</v>
      </c>
      <c r="F1554">
        <v>0</v>
      </c>
      <c r="G1554">
        <v>2</v>
      </c>
      <c r="H1554">
        <v>0</v>
      </c>
    </row>
    <row r="1555" spans="2:8">
      <c r="B1555" t="s">
        <v>25022</v>
      </c>
      <c r="C1555">
        <v>140</v>
      </c>
      <c r="D1555">
        <v>6</v>
      </c>
      <c r="E1555">
        <v>3</v>
      </c>
      <c r="F1555">
        <v>0</v>
      </c>
      <c r="G1555">
        <v>3</v>
      </c>
      <c r="H1555">
        <v>0</v>
      </c>
    </row>
    <row r="1556" spans="2:8">
      <c r="B1556" t="s">
        <v>25022</v>
      </c>
      <c r="C1556">
        <v>140</v>
      </c>
      <c r="D1556">
        <v>7</v>
      </c>
      <c r="E1556">
        <v>2</v>
      </c>
      <c r="F1556">
        <v>0</v>
      </c>
      <c r="G1556">
        <v>0</v>
      </c>
      <c r="H1556">
        <v>2</v>
      </c>
    </row>
    <row r="1557" spans="2:8">
      <c r="B1557" t="s">
        <v>25022</v>
      </c>
      <c r="C1557">
        <v>140</v>
      </c>
      <c r="D1557">
        <v>2</v>
      </c>
      <c r="E1557">
        <v>0</v>
      </c>
      <c r="F1557">
        <v>0</v>
      </c>
      <c r="G1557">
        <v>0</v>
      </c>
      <c r="H1557">
        <v>0</v>
      </c>
    </row>
    <row r="1558" spans="2:8">
      <c r="B1558" t="s">
        <v>25022</v>
      </c>
      <c r="C1558">
        <v>140</v>
      </c>
      <c r="D1558">
        <v>4</v>
      </c>
      <c r="E1558">
        <v>2</v>
      </c>
      <c r="F1558">
        <v>0</v>
      </c>
      <c r="G1558">
        <v>2</v>
      </c>
      <c r="H1558">
        <v>0</v>
      </c>
    </row>
    <row r="1559" spans="2:8">
      <c r="B1559" t="s">
        <v>25022</v>
      </c>
      <c r="C1559">
        <v>141</v>
      </c>
      <c r="D1559">
        <v>26</v>
      </c>
      <c r="E1559">
        <v>19</v>
      </c>
      <c r="F1559">
        <v>0</v>
      </c>
      <c r="G1559">
        <v>16</v>
      </c>
      <c r="H1559">
        <v>3</v>
      </c>
    </row>
    <row r="1560" spans="2:8">
      <c r="B1560" t="s">
        <v>25022</v>
      </c>
      <c r="C1560">
        <v>141</v>
      </c>
      <c r="D1560">
        <v>9</v>
      </c>
      <c r="E1560">
        <v>2</v>
      </c>
      <c r="F1560">
        <v>0</v>
      </c>
      <c r="G1560">
        <v>2</v>
      </c>
      <c r="H1560">
        <v>0</v>
      </c>
    </row>
    <row r="1561" spans="2:8">
      <c r="B1561" t="s">
        <v>25022</v>
      </c>
      <c r="C1561">
        <v>141</v>
      </c>
      <c r="D1561">
        <v>8</v>
      </c>
      <c r="E1561">
        <v>2</v>
      </c>
      <c r="F1561">
        <v>0</v>
      </c>
      <c r="G1561">
        <v>2</v>
      </c>
      <c r="H1561">
        <v>0</v>
      </c>
    </row>
    <row r="1562" spans="2:8">
      <c r="B1562" t="s">
        <v>25022</v>
      </c>
      <c r="C1562">
        <v>141</v>
      </c>
      <c r="D1562">
        <v>1</v>
      </c>
      <c r="E1562">
        <v>0</v>
      </c>
      <c r="F1562">
        <v>0</v>
      </c>
      <c r="G1562">
        <v>0</v>
      </c>
      <c r="H1562">
        <v>0</v>
      </c>
    </row>
    <row r="1563" spans="2:8">
      <c r="B1563" t="s">
        <v>25022</v>
      </c>
      <c r="C1563">
        <v>141</v>
      </c>
      <c r="D1563">
        <v>1</v>
      </c>
      <c r="E1563">
        <v>0</v>
      </c>
      <c r="F1563">
        <v>0</v>
      </c>
      <c r="G1563">
        <v>0</v>
      </c>
      <c r="H1563">
        <v>0</v>
      </c>
    </row>
    <row r="1564" spans="2:8">
      <c r="B1564" t="s">
        <v>25022</v>
      </c>
      <c r="C1564">
        <v>141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2:8">
      <c r="B1565" t="s">
        <v>25022</v>
      </c>
      <c r="C1565">
        <v>141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2:8">
      <c r="B1566" t="s">
        <v>25022</v>
      </c>
      <c r="C1566">
        <v>142</v>
      </c>
      <c r="D1566">
        <v>12</v>
      </c>
      <c r="E1566">
        <v>3</v>
      </c>
      <c r="F1566">
        <v>0</v>
      </c>
      <c r="G1566">
        <v>3</v>
      </c>
      <c r="H1566">
        <v>0</v>
      </c>
    </row>
    <row r="1567" spans="2:8">
      <c r="B1567" t="s">
        <v>25022</v>
      </c>
      <c r="C1567">
        <v>142</v>
      </c>
      <c r="D1567">
        <v>14</v>
      </c>
      <c r="E1567">
        <v>7</v>
      </c>
      <c r="F1567">
        <v>0</v>
      </c>
      <c r="G1567">
        <v>5</v>
      </c>
      <c r="H1567">
        <v>2</v>
      </c>
    </row>
    <row r="1568" spans="2:8">
      <c r="B1568" t="s">
        <v>25022</v>
      </c>
      <c r="C1568">
        <v>142</v>
      </c>
      <c r="D1568">
        <v>13</v>
      </c>
      <c r="E1568">
        <v>0</v>
      </c>
      <c r="F1568">
        <v>0</v>
      </c>
      <c r="G1568">
        <v>0</v>
      </c>
      <c r="H1568">
        <v>0</v>
      </c>
    </row>
    <row r="1569" spans="2:8">
      <c r="B1569" t="s">
        <v>25022</v>
      </c>
      <c r="C1569">
        <v>142</v>
      </c>
      <c r="D1569">
        <v>8</v>
      </c>
      <c r="E1569">
        <v>2</v>
      </c>
      <c r="F1569">
        <v>0</v>
      </c>
      <c r="G1569">
        <v>2</v>
      </c>
      <c r="H1569">
        <v>0</v>
      </c>
    </row>
    <row r="1570" spans="2:8">
      <c r="B1570" t="s">
        <v>25022</v>
      </c>
      <c r="C1570">
        <v>142</v>
      </c>
      <c r="D1570">
        <v>2</v>
      </c>
      <c r="E1570">
        <v>0</v>
      </c>
      <c r="F1570">
        <v>0</v>
      </c>
      <c r="G1570">
        <v>0</v>
      </c>
      <c r="H1570">
        <v>0</v>
      </c>
    </row>
    <row r="1571" spans="2:8">
      <c r="B1571" t="s">
        <v>25022</v>
      </c>
      <c r="C1571">
        <v>143</v>
      </c>
      <c r="D1571">
        <v>21</v>
      </c>
      <c r="E1571">
        <v>14</v>
      </c>
      <c r="F1571">
        <v>0</v>
      </c>
      <c r="G1571">
        <v>11</v>
      </c>
      <c r="H1571">
        <v>3</v>
      </c>
    </row>
    <row r="1572" spans="2:8">
      <c r="B1572" t="s">
        <v>25022</v>
      </c>
      <c r="C1572">
        <v>143</v>
      </c>
      <c r="D1572">
        <v>20</v>
      </c>
      <c r="E1572">
        <v>7</v>
      </c>
      <c r="F1572">
        <v>0</v>
      </c>
      <c r="G1572">
        <v>7</v>
      </c>
      <c r="H1572">
        <v>0</v>
      </c>
    </row>
    <row r="1573" spans="2:8">
      <c r="B1573" t="s">
        <v>25022</v>
      </c>
      <c r="C1573">
        <v>143</v>
      </c>
      <c r="D1573">
        <v>15</v>
      </c>
      <c r="E1573">
        <v>2</v>
      </c>
      <c r="F1573">
        <v>0</v>
      </c>
      <c r="G1573">
        <v>2</v>
      </c>
      <c r="H1573">
        <v>0</v>
      </c>
    </row>
    <row r="1574" spans="2:8">
      <c r="B1574" t="s">
        <v>25022</v>
      </c>
      <c r="C1574">
        <v>143</v>
      </c>
      <c r="D1574">
        <v>10</v>
      </c>
      <c r="E1574">
        <v>2</v>
      </c>
      <c r="F1574">
        <v>0</v>
      </c>
      <c r="G1574">
        <v>0</v>
      </c>
      <c r="H1574">
        <v>2</v>
      </c>
    </row>
    <row r="1575" spans="2:8">
      <c r="B1575" t="s">
        <v>25022</v>
      </c>
      <c r="C1575">
        <v>143</v>
      </c>
      <c r="D1575">
        <v>9</v>
      </c>
      <c r="E1575">
        <v>3</v>
      </c>
      <c r="F1575">
        <v>0</v>
      </c>
      <c r="G1575">
        <v>3</v>
      </c>
      <c r="H1575">
        <v>0</v>
      </c>
    </row>
    <row r="1576" spans="2:8">
      <c r="B1576" t="s">
        <v>25022</v>
      </c>
      <c r="C1576">
        <v>143</v>
      </c>
      <c r="D1576">
        <v>7</v>
      </c>
      <c r="E1576">
        <v>4</v>
      </c>
      <c r="F1576">
        <v>0</v>
      </c>
      <c r="G1576">
        <v>2</v>
      </c>
      <c r="H1576">
        <v>2</v>
      </c>
    </row>
    <row r="1577" spans="2:8">
      <c r="B1577" t="s">
        <v>25022</v>
      </c>
      <c r="C1577">
        <v>143</v>
      </c>
      <c r="D1577">
        <v>6</v>
      </c>
      <c r="E1577">
        <v>0</v>
      </c>
      <c r="F1577">
        <v>0</v>
      </c>
      <c r="G1577">
        <v>0</v>
      </c>
      <c r="H1577">
        <v>0</v>
      </c>
    </row>
    <row r="1578" spans="2:8">
      <c r="B1578" t="s">
        <v>25022</v>
      </c>
      <c r="C1578">
        <v>143</v>
      </c>
      <c r="D1578">
        <v>5</v>
      </c>
      <c r="E1578">
        <v>2</v>
      </c>
      <c r="F1578">
        <v>0</v>
      </c>
      <c r="G1578">
        <v>0</v>
      </c>
      <c r="H1578">
        <v>2</v>
      </c>
    </row>
    <row r="1579" spans="2:8">
      <c r="B1579" t="s">
        <v>25022</v>
      </c>
      <c r="C1579">
        <v>143</v>
      </c>
      <c r="D1579">
        <v>3</v>
      </c>
      <c r="E1579">
        <v>0</v>
      </c>
      <c r="F1579">
        <v>0</v>
      </c>
      <c r="G1579">
        <v>0</v>
      </c>
      <c r="H1579">
        <v>0</v>
      </c>
    </row>
    <row r="1580" spans="2:8">
      <c r="B1580" t="s">
        <v>25022</v>
      </c>
      <c r="C1580">
        <v>143</v>
      </c>
      <c r="D1580">
        <v>1</v>
      </c>
      <c r="E1580">
        <v>0</v>
      </c>
      <c r="F1580">
        <v>0</v>
      </c>
      <c r="G1580">
        <v>0</v>
      </c>
      <c r="H1580">
        <v>0</v>
      </c>
    </row>
    <row r="1581" spans="2:8">
      <c r="B1581" t="s">
        <v>25022</v>
      </c>
      <c r="C1581">
        <v>143</v>
      </c>
      <c r="D1581">
        <v>1</v>
      </c>
      <c r="E1581">
        <v>0</v>
      </c>
      <c r="F1581">
        <v>0</v>
      </c>
      <c r="G1581">
        <v>0</v>
      </c>
      <c r="H1581">
        <v>0</v>
      </c>
    </row>
    <row r="1582" spans="2:8">
      <c r="B1582" t="s">
        <v>25022</v>
      </c>
      <c r="C1582">
        <v>144</v>
      </c>
      <c r="D1582">
        <v>23</v>
      </c>
      <c r="E1582">
        <v>6</v>
      </c>
      <c r="F1582">
        <v>0</v>
      </c>
      <c r="G1582">
        <v>5</v>
      </c>
      <c r="H1582">
        <v>1</v>
      </c>
    </row>
    <row r="1583" spans="2:8">
      <c r="B1583" t="s">
        <v>25022</v>
      </c>
      <c r="C1583">
        <v>144</v>
      </c>
      <c r="D1583">
        <v>7</v>
      </c>
      <c r="E1583">
        <v>0</v>
      </c>
      <c r="F1583">
        <v>0</v>
      </c>
      <c r="G1583">
        <v>0</v>
      </c>
      <c r="H1583">
        <v>0</v>
      </c>
    </row>
    <row r="1584" spans="2:8">
      <c r="B1584" t="s">
        <v>25022</v>
      </c>
      <c r="C1584">
        <v>144</v>
      </c>
      <c r="D1584">
        <v>10</v>
      </c>
      <c r="E1584">
        <v>2</v>
      </c>
      <c r="F1584">
        <v>0</v>
      </c>
      <c r="G1584">
        <v>2</v>
      </c>
      <c r="H1584">
        <v>0</v>
      </c>
    </row>
    <row r="1585" spans="2:8">
      <c r="B1585" t="s">
        <v>25022</v>
      </c>
      <c r="C1585">
        <v>144</v>
      </c>
      <c r="D1585">
        <v>4</v>
      </c>
      <c r="E1585">
        <v>0</v>
      </c>
      <c r="F1585">
        <v>0</v>
      </c>
      <c r="G1585">
        <v>0</v>
      </c>
      <c r="H1585">
        <v>0</v>
      </c>
    </row>
    <row r="1586" spans="2:8">
      <c r="B1586" t="s">
        <v>25022</v>
      </c>
      <c r="C1586">
        <v>144</v>
      </c>
      <c r="D1586">
        <v>3</v>
      </c>
      <c r="E1586">
        <v>0</v>
      </c>
      <c r="F1586">
        <v>0</v>
      </c>
      <c r="G1586">
        <v>0</v>
      </c>
      <c r="H1586">
        <v>0</v>
      </c>
    </row>
    <row r="1587" spans="2:8">
      <c r="B1587" t="s">
        <v>25022</v>
      </c>
      <c r="C1587">
        <v>144</v>
      </c>
      <c r="D1587">
        <v>5</v>
      </c>
      <c r="E1587">
        <v>0</v>
      </c>
      <c r="F1587">
        <v>0</v>
      </c>
      <c r="G1587">
        <v>0</v>
      </c>
      <c r="H1587">
        <v>0</v>
      </c>
    </row>
    <row r="1588" spans="2:8">
      <c r="B1588" t="s">
        <v>25022</v>
      </c>
      <c r="C1588">
        <v>144</v>
      </c>
      <c r="D1588">
        <v>3</v>
      </c>
      <c r="E1588">
        <v>0</v>
      </c>
      <c r="F1588">
        <v>0</v>
      </c>
      <c r="G1588">
        <v>0</v>
      </c>
      <c r="H1588">
        <v>0</v>
      </c>
    </row>
    <row r="1589" spans="2:8">
      <c r="B1589" t="s">
        <v>25022</v>
      </c>
      <c r="C1589">
        <v>144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2:8">
      <c r="B1590" t="s">
        <v>25022</v>
      </c>
      <c r="C1590">
        <v>145</v>
      </c>
      <c r="D1590">
        <v>7</v>
      </c>
      <c r="E1590">
        <v>0</v>
      </c>
      <c r="F1590">
        <v>0</v>
      </c>
      <c r="G1590">
        <v>0</v>
      </c>
      <c r="H1590">
        <v>0</v>
      </c>
    </row>
    <row r="1591" spans="2:8">
      <c r="B1591" t="s">
        <v>25022</v>
      </c>
      <c r="C1591">
        <v>145</v>
      </c>
      <c r="D1591">
        <v>5</v>
      </c>
      <c r="E1591">
        <v>0</v>
      </c>
      <c r="F1591">
        <v>0</v>
      </c>
      <c r="G1591">
        <v>0</v>
      </c>
      <c r="H1591">
        <v>0</v>
      </c>
    </row>
    <row r="1592" spans="2:8">
      <c r="B1592" t="s">
        <v>25022</v>
      </c>
      <c r="C1592">
        <v>145</v>
      </c>
      <c r="D1592">
        <v>2</v>
      </c>
      <c r="E1592">
        <v>0</v>
      </c>
      <c r="F1592">
        <v>0</v>
      </c>
      <c r="G1592">
        <v>0</v>
      </c>
      <c r="H1592">
        <v>0</v>
      </c>
    </row>
    <row r="1593" spans="2:8">
      <c r="B1593" t="s">
        <v>25022</v>
      </c>
      <c r="C1593">
        <v>145</v>
      </c>
      <c r="D1593">
        <v>2</v>
      </c>
      <c r="E1593">
        <v>0</v>
      </c>
      <c r="F1593">
        <v>0</v>
      </c>
      <c r="G1593">
        <v>0</v>
      </c>
      <c r="H1593">
        <v>0</v>
      </c>
    </row>
    <row r="1594" spans="2:8">
      <c r="B1594" t="s">
        <v>25022</v>
      </c>
      <c r="C1594">
        <v>145</v>
      </c>
      <c r="D1594">
        <v>3</v>
      </c>
      <c r="E1594">
        <v>0</v>
      </c>
      <c r="F1594">
        <v>0</v>
      </c>
      <c r="G1594">
        <v>0</v>
      </c>
      <c r="H1594">
        <v>0</v>
      </c>
    </row>
    <row r="1595" spans="2:8">
      <c r="B1595" t="s">
        <v>25022</v>
      </c>
      <c r="C1595">
        <v>145</v>
      </c>
      <c r="D1595">
        <v>4</v>
      </c>
      <c r="E1595">
        <v>0</v>
      </c>
      <c r="F1595">
        <v>0</v>
      </c>
      <c r="G1595">
        <v>0</v>
      </c>
      <c r="H1595">
        <v>0</v>
      </c>
    </row>
    <row r="1596" spans="2:8">
      <c r="B1596" t="s">
        <v>25022</v>
      </c>
      <c r="C1596">
        <v>145</v>
      </c>
      <c r="D1596">
        <v>2</v>
      </c>
      <c r="E1596">
        <v>0</v>
      </c>
      <c r="F1596">
        <v>0</v>
      </c>
      <c r="G1596">
        <v>0</v>
      </c>
      <c r="H1596">
        <v>0</v>
      </c>
    </row>
    <row r="1597" spans="2:8">
      <c r="B1597" t="s">
        <v>25022</v>
      </c>
      <c r="C1597">
        <v>145</v>
      </c>
      <c r="D1597">
        <v>1</v>
      </c>
      <c r="E1597">
        <v>0</v>
      </c>
      <c r="F1597">
        <v>0</v>
      </c>
      <c r="G1597">
        <v>0</v>
      </c>
      <c r="H1597">
        <v>0</v>
      </c>
    </row>
    <row r="1598" spans="2:8">
      <c r="B1598" t="s">
        <v>25022</v>
      </c>
      <c r="C1598">
        <v>146</v>
      </c>
      <c r="D1598">
        <v>9</v>
      </c>
      <c r="E1598">
        <v>2</v>
      </c>
      <c r="F1598">
        <v>0</v>
      </c>
      <c r="G1598">
        <v>2</v>
      </c>
      <c r="H1598">
        <v>0</v>
      </c>
    </row>
    <row r="1599" spans="2:8">
      <c r="B1599" t="s">
        <v>25022</v>
      </c>
      <c r="C1599">
        <v>146</v>
      </c>
      <c r="D1599">
        <v>19</v>
      </c>
      <c r="E1599">
        <v>4</v>
      </c>
      <c r="F1599">
        <v>0</v>
      </c>
      <c r="G1599">
        <v>4</v>
      </c>
      <c r="H1599">
        <v>0</v>
      </c>
    </row>
    <row r="1600" spans="2:8">
      <c r="B1600" t="s">
        <v>25022</v>
      </c>
      <c r="C1600">
        <v>146</v>
      </c>
      <c r="D1600">
        <v>5</v>
      </c>
      <c r="E1600">
        <v>0</v>
      </c>
      <c r="F1600">
        <v>0</v>
      </c>
      <c r="G1600">
        <v>0</v>
      </c>
      <c r="H1600">
        <v>0</v>
      </c>
    </row>
    <row r="1601" spans="2:8">
      <c r="B1601" t="s">
        <v>25022</v>
      </c>
      <c r="C1601">
        <v>146</v>
      </c>
      <c r="D1601">
        <v>9</v>
      </c>
      <c r="E1601">
        <v>0</v>
      </c>
      <c r="F1601">
        <v>0</v>
      </c>
      <c r="G1601">
        <v>0</v>
      </c>
      <c r="H1601">
        <v>0</v>
      </c>
    </row>
    <row r="1602" spans="2:8">
      <c r="B1602" t="s">
        <v>25022</v>
      </c>
      <c r="C1602">
        <v>146</v>
      </c>
      <c r="D1602">
        <v>5</v>
      </c>
      <c r="E1602">
        <v>0</v>
      </c>
      <c r="F1602">
        <v>0</v>
      </c>
      <c r="G1602">
        <v>0</v>
      </c>
      <c r="H1602">
        <v>0</v>
      </c>
    </row>
    <row r="1603" spans="2:8">
      <c r="B1603" t="s">
        <v>25022</v>
      </c>
      <c r="C1603">
        <v>146</v>
      </c>
      <c r="D1603">
        <v>5</v>
      </c>
      <c r="E1603">
        <v>0</v>
      </c>
      <c r="F1603">
        <v>0</v>
      </c>
      <c r="G1603">
        <v>0</v>
      </c>
      <c r="H1603">
        <v>0</v>
      </c>
    </row>
    <row r="1604" spans="2:8">
      <c r="B1604" t="s">
        <v>25022</v>
      </c>
      <c r="C1604">
        <v>146</v>
      </c>
      <c r="D1604">
        <v>1</v>
      </c>
      <c r="E1604">
        <v>0</v>
      </c>
      <c r="F1604">
        <v>0</v>
      </c>
      <c r="G1604">
        <v>0</v>
      </c>
      <c r="H1604">
        <v>0</v>
      </c>
    </row>
    <row r="1605" spans="2:8">
      <c r="B1605" t="s">
        <v>25022</v>
      </c>
      <c r="C1605">
        <v>146</v>
      </c>
      <c r="D1605">
        <v>4</v>
      </c>
      <c r="E1605">
        <v>3</v>
      </c>
      <c r="F1605">
        <v>0</v>
      </c>
      <c r="G1605">
        <v>2</v>
      </c>
      <c r="H1605">
        <v>1</v>
      </c>
    </row>
    <row r="1606" spans="2:8">
      <c r="B1606" t="s">
        <v>25022</v>
      </c>
      <c r="C1606">
        <v>146</v>
      </c>
      <c r="D1606">
        <v>6</v>
      </c>
      <c r="E1606">
        <v>4</v>
      </c>
      <c r="F1606">
        <v>0</v>
      </c>
      <c r="G1606">
        <v>2</v>
      </c>
      <c r="H1606">
        <v>2</v>
      </c>
    </row>
    <row r="1607" spans="2:8">
      <c r="B1607" t="s">
        <v>25022</v>
      </c>
      <c r="C1607">
        <v>147</v>
      </c>
      <c r="D1607">
        <v>25</v>
      </c>
      <c r="E1607">
        <v>12</v>
      </c>
      <c r="F1607">
        <v>2</v>
      </c>
      <c r="G1607">
        <v>9</v>
      </c>
      <c r="H1607">
        <v>1</v>
      </c>
    </row>
    <row r="1608" spans="2:8">
      <c r="B1608" t="s">
        <v>25022</v>
      </c>
      <c r="C1608">
        <v>147</v>
      </c>
      <c r="D1608">
        <v>13</v>
      </c>
      <c r="E1608">
        <v>2</v>
      </c>
      <c r="F1608">
        <v>0</v>
      </c>
      <c r="G1608">
        <v>0</v>
      </c>
      <c r="H1608">
        <v>2</v>
      </c>
    </row>
    <row r="1609" spans="2:8">
      <c r="B1609" t="s">
        <v>25022</v>
      </c>
      <c r="C1609">
        <v>147</v>
      </c>
      <c r="D1609">
        <v>2</v>
      </c>
      <c r="E1609">
        <v>0</v>
      </c>
      <c r="F1609">
        <v>0</v>
      </c>
      <c r="G1609">
        <v>0</v>
      </c>
      <c r="H1609">
        <v>0</v>
      </c>
    </row>
    <row r="1610" spans="2:8">
      <c r="B1610" t="s">
        <v>25022</v>
      </c>
      <c r="C1610">
        <v>147</v>
      </c>
      <c r="D1610">
        <v>3</v>
      </c>
      <c r="E1610">
        <v>2</v>
      </c>
      <c r="F1610">
        <v>0</v>
      </c>
      <c r="G1610">
        <v>0</v>
      </c>
      <c r="H1610">
        <v>2</v>
      </c>
    </row>
    <row r="1611" spans="2:8">
      <c r="B1611" t="s">
        <v>25022</v>
      </c>
      <c r="C1611">
        <v>147</v>
      </c>
      <c r="D1611">
        <v>4</v>
      </c>
      <c r="E1611">
        <v>0</v>
      </c>
      <c r="F1611">
        <v>0</v>
      </c>
      <c r="G1611">
        <v>0</v>
      </c>
      <c r="H1611">
        <v>0</v>
      </c>
    </row>
    <row r="1612" spans="2:8">
      <c r="B1612" t="s">
        <v>25022</v>
      </c>
      <c r="C1612">
        <v>147</v>
      </c>
      <c r="D1612">
        <v>15</v>
      </c>
      <c r="E1612">
        <v>5</v>
      </c>
      <c r="F1612">
        <v>0</v>
      </c>
      <c r="G1612">
        <v>4</v>
      </c>
      <c r="H1612">
        <v>1</v>
      </c>
    </row>
    <row r="1613" spans="2:8">
      <c r="B1613" t="s">
        <v>25022</v>
      </c>
      <c r="C1613">
        <v>147</v>
      </c>
      <c r="D1613">
        <v>6</v>
      </c>
      <c r="E1613">
        <v>0</v>
      </c>
      <c r="F1613">
        <v>0</v>
      </c>
      <c r="G1613">
        <v>0</v>
      </c>
      <c r="H1613">
        <v>0</v>
      </c>
    </row>
    <row r="1614" spans="2:8">
      <c r="B1614" t="s">
        <v>25022</v>
      </c>
      <c r="C1614">
        <v>147</v>
      </c>
      <c r="D1614">
        <v>1</v>
      </c>
      <c r="E1614">
        <v>0</v>
      </c>
      <c r="F1614">
        <v>0</v>
      </c>
      <c r="G1614">
        <v>0</v>
      </c>
      <c r="H1614">
        <v>0</v>
      </c>
    </row>
    <row r="1615" spans="2:8">
      <c r="B1615" t="s">
        <v>25022</v>
      </c>
      <c r="C1615">
        <v>147</v>
      </c>
      <c r="D1615">
        <v>3</v>
      </c>
      <c r="E1615">
        <v>0</v>
      </c>
      <c r="F1615">
        <v>0</v>
      </c>
      <c r="G1615">
        <v>0</v>
      </c>
      <c r="H1615">
        <v>0</v>
      </c>
    </row>
    <row r="1616" spans="2:8">
      <c r="B1616" t="s">
        <v>25022</v>
      </c>
      <c r="C1616">
        <v>147</v>
      </c>
      <c r="D1616">
        <v>1</v>
      </c>
      <c r="E1616">
        <v>0</v>
      </c>
      <c r="F1616">
        <v>0</v>
      </c>
      <c r="G1616">
        <v>0</v>
      </c>
      <c r="H1616">
        <v>0</v>
      </c>
    </row>
    <row r="1617" spans="2:8">
      <c r="B1617" t="s">
        <v>25022</v>
      </c>
      <c r="C1617">
        <v>147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2:8">
      <c r="B1618" t="s">
        <v>25022</v>
      </c>
      <c r="C1618">
        <v>148</v>
      </c>
      <c r="D1618">
        <v>7</v>
      </c>
      <c r="E1618">
        <v>0</v>
      </c>
      <c r="F1618">
        <v>0</v>
      </c>
      <c r="G1618">
        <v>0</v>
      </c>
      <c r="H1618">
        <v>0</v>
      </c>
    </row>
    <row r="1619" spans="2:8">
      <c r="B1619" t="s">
        <v>25022</v>
      </c>
      <c r="C1619">
        <v>148</v>
      </c>
      <c r="D1619">
        <v>19</v>
      </c>
      <c r="E1619">
        <v>8</v>
      </c>
      <c r="F1619">
        <v>0</v>
      </c>
      <c r="G1619">
        <v>2</v>
      </c>
      <c r="H1619">
        <v>6</v>
      </c>
    </row>
    <row r="1620" spans="2:8">
      <c r="B1620" t="s">
        <v>25022</v>
      </c>
      <c r="C1620">
        <v>148</v>
      </c>
      <c r="D1620">
        <v>20</v>
      </c>
      <c r="E1620">
        <v>7</v>
      </c>
      <c r="F1620">
        <v>0</v>
      </c>
      <c r="G1620">
        <v>7</v>
      </c>
      <c r="H1620">
        <v>0</v>
      </c>
    </row>
    <row r="1621" spans="2:8">
      <c r="B1621" t="s">
        <v>25022</v>
      </c>
      <c r="C1621">
        <v>148</v>
      </c>
      <c r="D1621">
        <v>16</v>
      </c>
      <c r="E1621">
        <v>8</v>
      </c>
      <c r="F1621">
        <v>0</v>
      </c>
      <c r="G1621">
        <v>8</v>
      </c>
      <c r="H1621">
        <v>0</v>
      </c>
    </row>
    <row r="1622" spans="2:8">
      <c r="B1622" t="s">
        <v>25022</v>
      </c>
      <c r="C1622">
        <v>148</v>
      </c>
      <c r="D1622">
        <v>11</v>
      </c>
      <c r="E1622">
        <v>2</v>
      </c>
      <c r="F1622">
        <v>0</v>
      </c>
      <c r="G1622">
        <v>2</v>
      </c>
      <c r="H1622">
        <v>0</v>
      </c>
    </row>
    <row r="1623" spans="2:8">
      <c r="B1623" t="s">
        <v>25022</v>
      </c>
      <c r="C1623">
        <v>148</v>
      </c>
      <c r="D1623">
        <v>15</v>
      </c>
      <c r="E1623">
        <v>4</v>
      </c>
      <c r="F1623">
        <v>0</v>
      </c>
      <c r="G1623">
        <v>4</v>
      </c>
      <c r="H1623">
        <v>0</v>
      </c>
    </row>
    <row r="1624" spans="2:8">
      <c r="B1624" t="s">
        <v>25022</v>
      </c>
      <c r="C1624">
        <v>148</v>
      </c>
      <c r="D1624">
        <v>9</v>
      </c>
      <c r="E1624">
        <v>0</v>
      </c>
      <c r="F1624">
        <v>0</v>
      </c>
      <c r="G1624">
        <v>0</v>
      </c>
      <c r="H1624">
        <v>0</v>
      </c>
    </row>
    <row r="1625" spans="2:8">
      <c r="B1625" t="s">
        <v>25022</v>
      </c>
      <c r="C1625">
        <v>148</v>
      </c>
      <c r="D1625">
        <v>9</v>
      </c>
      <c r="E1625">
        <v>0</v>
      </c>
      <c r="F1625">
        <v>0</v>
      </c>
      <c r="G1625">
        <v>0</v>
      </c>
      <c r="H1625">
        <v>0</v>
      </c>
    </row>
    <row r="1626" spans="2:8">
      <c r="B1626" t="s">
        <v>25022</v>
      </c>
      <c r="C1626">
        <v>148</v>
      </c>
      <c r="D1626">
        <v>10</v>
      </c>
      <c r="E1626">
        <v>3</v>
      </c>
      <c r="F1626">
        <v>0</v>
      </c>
      <c r="G1626">
        <v>3</v>
      </c>
      <c r="H1626">
        <v>0</v>
      </c>
    </row>
    <row r="1627" spans="2:8">
      <c r="B1627" t="s">
        <v>25022</v>
      </c>
      <c r="C1627">
        <v>148</v>
      </c>
      <c r="D1627">
        <v>9</v>
      </c>
      <c r="E1627">
        <v>2</v>
      </c>
      <c r="F1627">
        <v>0</v>
      </c>
      <c r="G1627">
        <v>2</v>
      </c>
      <c r="H1627">
        <v>0</v>
      </c>
    </row>
    <row r="1628" spans="2:8">
      <c r="B1628" t="s">
        <v>25022</v>
      </c>
      <c r="C1628">
        <v>148</v>
      </c>
      <c r="D1628">
        <v>5</v>
      </c>
      <c r="E1628">
        <v>2</v>
      </c>
      <c r="F1628">
        <v>0</v>
      </c>
      <c r="G1628">
        <v>2</v>
      </c>
      <c r="H1628">
        <v>0</v>
      </c>
    </row>
    <row r="1629" spans="2:8">
      <c r="B1629" t="s">
        <v>25022</v>
      </c>
      <c r="C1629">
        <v>148</v>
      </c>
      <c r="D1629">
        <v>2</v>
      </c>
      <c r="E1629">
        <v>0</v>
      </c>
      <c r="F1629">
        <v>0</v>
      </c>
      <c r="G1629">
        <v>0</v>
      </c>
      <c r="H1629">
        <v>0</v>
      </c>
    </row>
    <row r="1630" spans="2:8">
      <c r="B1630" t="s">
        <v>25022</v>
      </c>
      <c r="C1630">
        <v>148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2:8">
      <c r="B1631" t="s">
        <v>25022</v>
      </c>
      <c r="C1631">
        <v>149</v>
      </c>
      <c r="D1631">
        <v>19</v>
      </c>
      <c r="E1631">
        <v>4</v>
      </c>
      <c r="F1631">
        <v>0</v>
      </c>
      <c r="G1631">
        <v>2</v>
      </c>
      <c r="H1631">
        <v>2</v>
      </c>
    </row>
    <row r="1632" spans="2:8">
      <c r="B1632" t="s">
        <v>25022</v>
      </c>
      <c r="C1632">
        <v>149</v>
      </c>
      <c r="D1632">
        <v>37</v>
      </c>
      <c r="E1632">
        <v>24</v>
      </c>
      <c r="F1632">
        <v>0</v>
      </c>
      <c r="G1632">
        <v>18</v>
      </c>
      <c r="H1632">
        <v>6</v>
      </c>
    </row>
    <row r="1633" spans="2:8">
      <c r="B1633" t="s">
        <v>25022</v>
      </c>
      <c r="C1633">
        <v>149</v>
      </c>
      <c r="D1633">
        <v>5</v>
      </c>
      <c r="E1633">
        <v>2</v>
      </c>
      <c r="F1633">
        <v>0</v>
      </c>
      <c r="G1633">
        <v>2</v>
      </c>
      <c r="H1633">
        <v>0</v>
      </c>
    </row>
    <row r="1634" spans="2:8">
      <c r="B1634" t="s">
        <v>25022</v>
      </c>
      <c r="C1634">
        <v>149</v>
      </c>
      <c r="D1634">
        <v>10</v>
      </c>
      <c r="E1634">
        <v>5</v>
      </c>
      <c r="F1634">
        <v>0</v>
      </c>
      <c r="G1634">
        <v>3</v>
      </c>
      <c r="H1634">
        <v>2</v>
      </c>
    </row>
    <row r="1635" spans="2:8">
      <c r="B1635" t="s">
        <v>25022</v>
      </c>
      <c r="C1635">
        <v>149</v>
      </c>
      <c r="D1635">
        <v>6</v>
      </c>
      <c r="E1635">
        <v>2</v>
      </c>
      <c r="F1635">
        <v>0</v>
      </c>
      <c r="G1635">
        <v>2</v>
      </c>
      <c r="H1635">
        <v>0</v>
      </c>
    </row>
    <row r="1636" spans="2:8">
      <c r="B1636" t="s">
        <v>25022</v>
      </c>
      <c r="C1636">
        <v>149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2:8">
      <c r="B1637" t="s">
        <v>25022</v>
      </c>
      <c r="C1637">
        <v>149</v>
      </c>
      <c r="D1637">
        <v>4</v>
      </c>
      <c r="E1637">
        <v>0</v>
      </c>
      <c r="F1637">
        <v>0</v>
      </c>
      <c r="G1637">
        <v>0</v>
      </c>
      <c r="H1637">
        <v>0</v>
      </c>
    </row>
    <row r="1638" spans="2:8">
      <c r="B1638" t="s">
        <v>25022</v>
      </c>
      <c r="C1638">
        <v>149</v>
      </c>
      <c r="D1638">
        <v>2</v>
      </c>
      <c r="E1638">
        <v>0</v>
      </c>
      <c r="F1638">
        <v>0</v>
      </c>
      <c r="G1638">
        <v>0</v>
      </c>
      <c r="H1638">
        <v>0</v>
      </c>
    </row>
    <row r="1639" spans="2:8">
      <c r="B1639" t="s">
        <v>25022</v>
      </c>
      <c r="C1639">
        <v>149</v>
      </c>
      <c r="D1639">
        <v>2</v>
      </c>
      <c r="E1639">
        <v>0</v>
      </c>
      <c r="F1639">
        <v>0</v>
      </c>
      <c r="G1639">
        <v>0</v>
      </c>
      <c r="H1639">
        <v>0</v>
      </c>
    </row>
    <row r="1640" spans="2:8">
      <c r="B1640" t="s">
        <v>25022</v>
      </c>
      <c r="C1640">
        <v>149</v>
      </c>
      <c r="D1640">
        <v>1</v>
      </c>
      <c r="E1640">
        <v>0</v>
      </c>
      <c r="F1640">
        <v>0</v>
      </c>
      <c r="G1640">
        <v>0</v>
      </c>
      <c r="H1640">
        <v>0</v>
      </c>
    </row>
    <row r="1641" spans="2:8">
      <c r="B1641" t="s">
        <v>25022</v>
      </c>
      <c r="C1641">
        <v>150</v>
      </c>
      <c r="D1641">
        <v>20</v>
      </c>
      <c r="E1641">
        <v>5</v>
      </c>
      <c r="F1641">
        <v>0</v>
      </c>
      <c r="G1641">
        <v>2</v>
      </c>
      <c r="H1641">
        <v>3</v>
      </c>
    </row>
    <row r="1642" spans="2:8">
      <c r="B1642" t="s">
        <v>25022</v>
      </c>
      <c r="C1642">
        <v>150</v>
      </c>
      <c r="D1642">
        <v>20</v>
      </c>
      <c r="E1642">
        <v>9</v>
      </c>
      <c r="F1642">
        <v>0</v>
      </c>
      <c r="G1642">
        <v>9</v>
      </c>
      <c r="H1642">
        <v>0</v>
      </c>
    </row>
    <row r="1643" spans="2:8">
      <c r="B1643" t="s">
        <v>25022</v>
      </c>
      <c r="C1643">
        <v>150</v>
      </c>
      <c r="D1643">
        <v>20</v>
      </c>
      <c r="E1643">
        <v>12</v>
      </c>
      <c r="F1643">
        <v>4</v>
      </c>
      <c r="G1643">
        <v>6</v>
      </c>
      <c r="H1643">
        <v>2</v>
      </c>
    </row>
    <row r="1644" spans="2:8">
      <c r="B1644" t="s">
        <v>25022</v>
      </c>
      <c r="C1644">
        <v>150</v>
      </c>
      <c r="D1644">
        <v>5</v>
      </c>
      <c r="E1644">
        <v>0</v>
      </c>
      <c r="F1644">
        <v>0</v>
      </c>
      <c r="G1644">
        <v>0</v>
      </c>
      <c r="H1644">
        <v>0</v>
      </c>
    </row>
    <row r="1645" spans="2:8">
      <c r="B1645" t="s">
        <v>25022</v>
      </c>
      <c r="C1645">
        <v>150</v>
      </c>
      <c r="D1645">
        <v>7</v>
      </c>
      <c r="E1645">
        <v>0</v>
      </c>
      <c r="F1645">
        <v>0</v>
      </c>
      <c r="G1645">
        <v>0</v>
      </c>
      <c r="H1645">
        <v>0</v>
      </c>
    </row>
    <row r="1646" spans="2:8">
      <c r="B1646" t="s">
        <v>25022</v>
      </c>
      <c r="C1646">
        <v>150</v>
      </c>
      <c r="D1646">
        <v>1</v>
      </c>
      <c r="E1646">
        <v>0</v>
      </c>
      <c r="F1646">
        <v>0</v>
      </c>
      <c r="G1646">
        <v>0</v>
      </c>
      <c r="H1646">
        <v>0</v>
      </c>
    </row>
    <row r="1647" spans="2:8">
      <c r="B1647" t="s">
        <v>25022</v>
      </c>
      <c r="C1647">
        <v>150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2:8">
      <c r="B1648" t="s">
        <v>25022</v>
      </c>
      <c r="C1648">
        <v>151</v>
      </c>
      <c r="D1648">
        <v>19</v>
      </c>
      <c r="E1648">
        <v>11</v>
      </c>
      <c r="F1648">
        <v>0</v>
      </c>
      <c r="G1648">
        <v>10</v>
      </c>
      <c r="H1648">
        <v>1</v>
      </c>
    </row>
    <row r="1649" spans="2:8">
      <c r="B1649" t="s">
        <v>25022</v>
      </c>
      <c r="C1649">
        <v>151</v>
      </c>
      <c r="D1649">
        <v>17</v>
      </c>
      <c r="E1649">
        <v>2</v>
      </c>
      <c r="F1649">
        <v>0</v>
      </c>
      <c r="G1649">
        <v>2</v>
      </c>
      <c r="H1649">
        <v>0</v>
      </c>
    </row>
    <row r="1650" spans="2:8">
      <c r="B1650" t="s">
        <v>25022</v>
      </c>
      <c r="C1650">
        <v>151</v>
      </c>
      <c r="D1650">
        <v>10</v>
      </c>
      <c r="E1650">
        <v>2</v>
      </c>
      <c r="F1650">
        <v>0</v>
      </c>
      <c r="G1650">
        <v>0</v>
      </c>
      <c r="H1650">
        <v>2</v>
      </c>
    </row>
    <row r="1651" spans="2:8">
      <c r="B1651" t="s">
        <v>25022</v>
      </c>
      <c r="C1651">
        <v>151</v>
      </c>
      <c r="D1651">
        <v>5</v>
      </c>
      <c r="E1651">
        <v>4</v>
      </c>
      <c r="F1651">
        <v>0</v>
      </c>
      <c r="G1651">
        <v>4</v>
      </c>
      <c r="H1651">
        <v>0</v>
      </c>
    </row>
    <row r="1652" spans="2:8">
      <c r="B1652" t="s">
        <v>25022</v>
      </c>
      <c r="C1652">
        <v>151</v>
      </c>
      <c r="D1652">
        <v>10</v>
      </c>
      <c r="E1652">
        <v>2</v>
      </c>
      <c r="F1652">
        <v>0</v>
      </c>
      <c r="G1652">
        <v>2</v>
      </c>
      <c r="H1652">
        <v>0</v>
      </c>
    </row>
    <row r="1653" spans="2:8">
      <c r="B1653" t="s">
        <v>25022</v>
      </c>
      <c r="C1653">
        <v>151</v>
      </c>
      <c r="D1653">
        <v>5</v>
      </c>
      <c r="E1653">
        <v>3</v>
      </c>
      <c r="F1653">
        <v>0</v>
      </c>
      <c r="G1653">
        <v>3</v>
      </c>
      <c r="H1653">
        <v>0</v>
      </c>
    </row>
    <row r="1654" spans="2:8">
      <c r="B1654" t="s">
        <v>25022</v>
      </c>
      <c r="C1654">
        <v>151</v>
      </c>
      <c r="D1654">
        <v>4</v>
      </c>
      <c r="E1654">
        <v>0</v>
      </c>
      <c r="F1654">
        <v>0</v>
      </c>
      <c r="G1654">
        <v>0</v>
      </c>
      <c r="H1654">
        <v>0</v>
      </c>
    </row>
    <row r="1655" spans="2:8">
      <c r="B1655" t="s">
        <v>25022</v>
      </c>
      <c r="C1655">
        <v>152</v>
      </c>
      <c r="D1655">
        <v>13</v>
      </c>
      <c r="E1655">
        <v>4</v>
      </c>
      <c r="F1655">
        <v>0</v>
      </c>
      <c r="G1655">
        <v>4</v>
      </c>
      <c r="H1655">
        <v>0</v>
      </c>
    </row>
    <row r="1656" spans="2:8">
      <c r="B1656" t="s">
        <v>25022</v>
      </c>
      <c r="C1656">
        <v>152</v>
      </c>
      <c r="D1656">
        <v>8</v>
      </c>
      <c r="E1656">
        <v>2</v>
      </c>
      <c r="F1656">
        <v>0</v>
      </c>
      <c r="G1656">
        <v>2</v>
      </c>
      <c r="H1656">
        <v>0</v>
      </c>
    </row>
    <row r="1657" spans="2:8">
      <c r="B1657" t="s">
        <v>25022</v>
      </c>
      <c r="C1657">
        <v>152</v>
      </c>
      <c r="D1657">
        <v>3</v>
      </c>
      <c r="E1657">
        <v>0</v>
      </c>
      <c r="F1657">
        <v>0</v>
      </c>
      <c r="G1657">
        <v>0</v>
      </c>
      <c r="H1657">
        <v>0</v>
      </c>
    </row>
    <row r="1658" spans="2:8">
      <c r="B1658" t="s">
        <v>25022</v>
      </c>
      <c r="C1658">
        <v>153</v>
      </c>
      <c r="D1658">
        <v>22</v>
      </c>
      <c r="E1658">
        <v>7</v>
      </c>
      <c r="F1658">
        <v>0</v>
      </c>
      <c r="G1658">
        <v>4</v>
      </c>
      <c r="H1658">
        <v>3</v>
      </c>
    </row>
    <row r="1659" spans="2:8">
      <c r="B1659" t="s">
        <v>25022</v>
      </c>
      <c r="C1659">
        <v>153</v>
      </c>
      <c r="D1659">
        <v>18</v>
      </c>
      <c r="E1659">
        <v>4</v>
      </c>
      <c r="F1659">
        <v>0</v>
      </c>
      <c r="G1659">
        <v>0</v>
      </c>
      <c r="H1659">
        <v>4</v>
      </c>
    </row>
    <row r="1660" spans="2:8">
      <c r="B1660" t="s">
        <v>25022</v>
      </c>
      <c r="C1660">
        <v>153</v>
      </c>
      <c r="D1660">
        <v>7</v>
      </c>
      <c r="E1660">
        <v>0</v>
      </c>
      <c r="F1660">
        <v>0</v>
      </c>
      <c r="G1660">
        <v>0</v>
      </c>
      <c r="H1660">
        <v>0</v>
      </c>
    </row>
    <row r="1661" spans="2:8">
      <c r="B1661" t="s">
        <v>25022</v>
      </c>
      <c r="C1661">
        <v>154</v>
      </c>
      <c r="D1661">
        <v>25</v>
      </c>
      <c r="E1661">
        <v>11</v>
      </c>
      <c r="F1661">
        <v>0</v>
      </c>
      <c r="G1661">
        <v>11</v>
      </c>
      <c r="H1661">
        <v>0</v>
      </c>
    </row>
    <row r="1662" spans="2:8">
      <c r="B1662" t="s">
        <v>25022</v>
      </c>
      <c r="C1662">
        <v>154</v>
      </c>
      <c r="D1662">
        <v>28</v>
      </c>
      <c r="E1662">
        <v>16</v>
      </c>
      <c r="F1662">
        <v>0</v>
      </c>
      <c r="G1662">
        <v>12</v>
      </c>
      <c r="H1662">
        <v>4</v>
      </c>
    </row>
    <row r="1663" spans="2:8">
      <c r="B1663" t="s">
        <v>25022</v>
      </c>
      <c r="C1663">
        <v>154</v>
      </c>
      <c r="D1663">
        <v>9</v>
      </c>
      <c r="E1663">
        <v>0</v>
      </c>
      <c r="F1663">
        <v>0</v>
      </c>
      <c r="G1663">
        <v>0</v>
      </c>
      <c r="H1663">
        <v>0</v>
      </c>
    </row>
    <row r="1664" spans="2:8">
      <c r="B1664" t="s">
        <v>25022</v>
      </c>
      <c r="C1664">
        <v>154</v>
      </c>
      <c r="D1664">
        <v>4</v>
      </c>
      <c r="E1664">
        <v>2</v>
      </c>
      <c r="F1664">
        <v>0</v>
      </c>
      <c r="G1664">
        <v>0</v>
      </c>
      <c r="H1664">
        <v>2</v>
      </c>
    </row>
    <row r="1665" spans="2:8">
      <c r="B1665" t="s">
        <v>25022</v>
      </c>
      <c r="C1665">
        <v>154</v>
      </c>
      <c r="D1665">
        <v>5</v>
      </c>
      <c r="E1665">
        <v>0</v>
      </c>
      <c r="F1665">
        <v>0</v>
      </c>
      <c r="G1665">
        <v>0</v>
      </c>
      <c r="H1665">
        <v>0</v>
      </c>
    </row>
    <row r="1666" spans="2:8">
      <c r="B1666" t="s">
        <v>25022</v>
      </c>
      <c r="C1666">
        <v>154</v>
      </c>
      <c r="D1666">
        <v>5</v>
      </c>
      <c r="E1666">
        <v>0</v>
      </c>
      <c r="F1666">
        <v>0</v>
      </c>
      <c r="G1666">
        <v>0</v>
      </c>
      <c r="H1666">
        <v>0</v>
      </c>
    </row>
    <row r="1667" spans="2:8">
      <c r="B1667" t="s">
        <v>25022</v>
      </c>
      <c r="C1667">
        <v>154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2:8">
      <c r="B1668" t="s">
        <v>25022</v>
      </c>
      <c r="C1668">
        <v>154</v>
      </c>
      <c r="D1668">
        <v>2</v>
      </c>
      <c r="E1668">
        <v>0</v>
      </c>
      <c r="F1668">
        <v>0</v>
      </c>
      <c r="G1668">
        <v>0</v>
      </c>
      <c r="H1668">
        <v>0</v>
      </c>
    </row>
    <row r="1669" spans="2:8">
      <c r="B1669" t="s">
        <v>25022</v>
      </c>
      <c r="C1669">
        <v>154</v>
      </c>
      <c r="D1669">
        <v>2</v>
      </c>
      <c r="E1669">
        <v>2</v>
      </c>
      <c r="F1669">
        <v>0</v>
      </c>
      <c r="G1669">
        <v>0</v>
      </c>
      <c r="H1669">
        <v>2</v>
      </c>
    </row>
    <row r="1670" spans="2:8">
      <c r="B1670" t="s">
        <v>25022</v>
      </c>
      <c r="C1670">
        <v>154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2:8">
      <c r="B1671" t="s">
        <v>25022</v>
      </c>
      <c r="C1671">
        <v>155</v>
      </c>
      <c r="D1671">
        <v>3</v>
      </c>
      <c r="E1671">
        <v>0</v>
      </c>
      <c r="F1671">
        <v>0</v>
      </c>
      <c r="G1671">
        <v>0</v>
      </c>
      <c r="H1671">
        <v>0</v>
      </c>
    </row>
    <row r="1672" spans="2:8">
      <c r="B1672" t="s">
        <v>25022</v>
      </c>
      <c r="C1672">
        <v>156</v>
      </c>
      <c r="D1672">
        <v>2</v>
      </c>
      <c r="E1672">
        <v>0</v>
      </c>
      <c r="F1672">
        <v>0</v>
      </c>
      <c r="G1672">
        <v>0</v>
      </c>
      <c r="H1672">
        <v>0</v>
      </c>
    </row>
    <row r="1673" spans="2:8">
      <c r="B1673" t="s">
        <v>25022</v>
      </c>
      <c r="C1673">
        <v>156</v>
      </c>
      <c r="D1673">
        <v>20</v>
      </c>
      <c r="E1673">
        <v>13</v>
      </c>
      <c r="F1673">
        <v>0</v>
      </c>
      <c r="G1673">
        <v>10</v>
      </c>
      <c r="H1673">
        <v>3</v>
      </c>
    </row>
    <row r="1674" spans="2:8">
      <c r="B1674" t="s">
        <v>25022</v>
      </c>
      <c r="C1674">
        <v>156</v>
      </c>
      <c r="D1674">
        <v>27</v>
      </c>
      <c r="E1674">
        <v>17</v>
      </c>
      <c r="F1674">
        <v>0</v>
      </c>
      <c r="G1674">
        <v>11</v>
      </c>
      <c r="H1674">
        <v>6</v>
      </c>
    </row>
    <row r="1675" spans="2:8">
      <c r="B1675" t="s">
        <v>25022</v>
      </c>
      <c r="C1675">
        <v>156</v>
      </c>
      <c r="D1675">
        <v>12</v>
      </c>
      <c r="E1675">
        <v>4</v>
      </c>
      <c r="F1675">
        <v>0</v>
      </c>
      <c r="G1675">
        <v>4</v>
      </c>
      <c r="H1675">
        <v>0</v>
      </c>
    </row>
    <row r="1676" spans="2:8">
      <c r="B1676" t="s">
        <v>25022</v>
      </c>
      <c r="C1676">
        <v>156</v>
      </c>
      <c r="D1676">
        <v>10</v>
      </c>
      <c r="E1676">
        <v>6</v>
      </c>
      <c r="F1676">
        <v>0</v>
      </c>
      <c r="G1676">
        <v>6</v>
      </c>
      <c r="H1676">
        <v>0</v>
      </c>
    </row>
    <row r="1677" spans="2:8">
      <c r="B1677" t="s">
        <v>25022</v>
      </c>
      <c r="C1677">
        <v>156</v>
      </c>
      <c r="D1677">
        <v>15</v>
      </c>
      <c r="E1677">
        <v>7</v>
      </c>
      <c r="F1677">
        <v>0</v>
      </c>
      <c r="G1677">
        <v>7</v>
      </c>
      <c r="H1677">
        <v>0</v>
      </c>
    </row>
    <row r="1678" spans="2:8">
      <c r="B1678" t="s">
        <v>25022</v>
      </c>
      <c r="C1678">
        <v>156</v>
      </c>
      <c r="D1678">
        <v>8</v>
      </c>
      <c r="E1678">
        <v>0</v>
      </c>
      <c r="F1678">
        <v>0</v>
      </c>
      <c r="G1678">
        <v>0</v>
      </c>
      <c r="H1678">
        <v>0</v>
      </c>
    </row>
    <row r="1679" spans="2:8">
      <c r="B1679" t="s">
        <v>25022</v>
      </c>
      <c r="C1679">
        <v>156</v>
      </c>
      <c r="D1679">
        <v>7</v>
      </c>
      <c r="E1679">
        <v>2</v>
      </c>
      <c r="F1679">
        <v>0</v>
      </c>
      <c r="G1679">
        <v>2</v>
      </c>
      <c r="H1679">
        <v>0</v>
      </c>
    </row>
    <row r="1680" spans="2:8">
      <c r="B1680" t="s">
        <v>25022</v>
      </c>
      <c r="C1680">
        <v>156</v>
      </c>
      <c r="D1680">
        <v>4</v>
      </c>
      <c r="E1680">
        <v>0</v>
      </c>
      <c r="F1680">
        <v>0</v>
      </c>
      <c r="G1680">
        <v>0</v>
      </c>
      <c r="H1680">
        <v>0</v>
      </c>
    </row>
    <row r="1681" spans="2:8">
      <c r="B1681" t="s">
        <v>25022</v>
      </c>
      <c r="C1681">
        <v>156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2:8">
      <c r="B1682" t="s">
        <v>25022</v>
      </c>
      <c r="C1682">
        <v>156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2:8">
      <c r="B1683" t="s">
        <v>25022</v>
      </c>
      <c r="C1683">
        <v>157</v>
      </c>
      <c r="D1683">
        <v>29</v>
      </c>
      <c r="E1683">
        <v>15</v>
      </c>
      <c r="F1683">
        <v>0</v>
      </c>
      <c r="G1683">
        <v>15</v>
      </c>
      <c r="H1683">
        <v>0</v>
      </c>
    </row>
    <row r="1684" spans="2:8">
      <c r="B1684" t="s">
        <v>25022</v>
      </c>
      <c r="C1684">
        <v>157</v>
      </c>
      <c r="D1684">
        <v>8</v>
      </c>
      <c r="E1684">
        <v>2</v>
      </c>
      <c r="F1684">
        <v>0</v>
      </c>
      <c r="G1684">
        <v>2</v>
      </c>
      <c r="H1684">
        <v>0</v>
      </c>
    </row>
    <row r="1685" spans="2:8">
      <c r="B1685" t="s">
        <v>25022</v>
      </c>
      <c r="C1685">
        <v>157</v>
      </c>
      <c r="D1685">
        <v>9</v>
      </c>
      <c r="E1685">
        <v>0</v>
      </c>
      <c r="F1685">
        <v>0</v>
      </c>
      <c r="G1685">
        <v>0</v>
      </c>
      <c r="H1685">
        <v>0</v>
      </c>
    </row>
    <row r="1686" spans="2:8">
      <c r="B1686" t="s">
        <v>25022</v>
      </c>
      <c r="C1686">
        <v>157</v>
      </c>
      <c r="D1686">
        <v>6</v>
      </c>
      <c r="E1686">
        <v>2</v>
      </c>
      <c r="F1686">
        <v>0</v>
      </c>
      <c r="G1686">
        <v>2</v>
      </c>
      <c r="H1686">
        <v>0</v>
      </c>
    </row>
    <row r="1687" spans="2:8">
      <c r="B1687" t="s">
        <v>25022</v>
      </c>
      <c r="C1687">
        <v>157</v>
      </c>
      <c r="D1687">
        <v>3</v>
      </c>
      <c r="E1687">
        <v>0</v>
      </c>
      <c r="F1687">
        <v>0</v>
      </c>
      <c r="G1687">
        <v>0</v>
      </c>
      <c r="H1687">
        <v>0</v>
      </c>
    </row>
    <row r="1688" spans="2:8">
      <c r="B1688" t="s">
        <v>25022</v>
      </c>
      <c r="C1688">
        <v>157</v>
      </c>
      <c r="D1688">
        <v>6</v>
      </c>
      <c r="E1688">
        <v>2</v>
      </c>
      <c r="F1688">
        <v>0</v>
      </c>
      <c r="G1688">
        <v>2</v>
      </c>
      <c r="H1688">
        <v>0</v>
      </c>
    </row>
    <row r="1689" spans="2:8">
      <c r="B1689" t="s">
        <v>25022</v>
      </c>
      <c r="C1689">
        <v>157</v>
      </c>
      <c r="D1689">
        <v>2</v>
      </c>
      <c r="E1689">
        <v>0</v>
      </c>
      <c r="F1689">
        <v>0</v>
      </c>
      <c r="G1689">
        <v>0</v>
      </c>
      <c r="H1689">
        <v>0</v>
      </c>
    </row>
    <row r="1690" spans="2:8">
      <c r="B1690" t="s">
        <v>25022</v>
      </c>
      <c r="C1690">
        <v>158</v>
      </c>
      <c r="D1690">
        <v>12</v>
      </c>
      <c r="E1690">
        <v>4</v>
      </c>
      <c r="F1690">
        <v>0</v>
      </c>
      <c r="G1690">
        <v>2</v>
      </c>
      <c r="H1690">
        <v>2</v>
      </c>
    </row>
    <row r="1691" spans="2:8">
      <c r="B1691" t="s">
        <v>25022</v>
      </c>
      <c r="C1691">
        <v>158</v>
      </c>
      <c r="D1691">
        <v>13</v>
      </c>
      <c r="E1691">
        <v>0</v>
      </c>
      <c r="F1691">
        <v>0</v>
      </c>
      <c r="G1691">
        <v>0</v>
      </c>
      <c r="H1691">
        <v>0</v>
      </c>
    </row>
    <row r="1692" spans="2:8">
      <c r="B1692" t="s">
        <v>25022</v>
      </c>
      <c r="C1692">
        <v>158</v>
      </c>
      <c r="D1692">
        <v>9</v>
      </c>
      <c r="E1692">
        <v>4</v>
      </c>
      <c r="F1692">
        <v>0</v>
      </c>
      <c r="G1692">
        <v>4</v>
      </c>
      <c r="H1692">
        <v>0</v>
      </c>
    </row>
    <row r="1693" spans="2:8">
      <c r="B1693" t="s">
        <v>25022</v>
      </c>
      <c r="C1693">
        <v>158</v>
      </c>
      <c r="D1693">
        <v>5</v>
      </c>
      <c r="E1693">
        <v>0</v>
      </c>
      <c r="F1693">
        <v>0</v>
      </c>
      <c r="G1693">
        <v>0</v>
      </c>
      <c r="H1693">
        <v>0</v>
      </c>
    </row>
    <row r="1694" spans="2:8">
      <c r="B1694" t="s">
        <v>25022</v>
      </c>
      <c r="C1694">
        <v>158</v>
      </c>
      <c r="D1694">
        <v>4</v>
      </c>
      <c r="E1694">
        <v>0</v>
      </c>
      <c r="F1694">
        <v>0</v>
      </c>
      <c r="G1694">
        <v>0</v>
      </c>
      <c r="H1694">
        <v>0</v>
      </c>
    </row>
    <row r="1695" spans="2:8">
      <c r="B1695" t="s">
        <v>25022</v>
      </c>
      <c r="C1695">
        <v>158</v>
      </c>
      <c r="D1695">
        <v>4</v>
      </c>
      <c r="E1695">
        <v>2</v>
      </c>
      <c r="F1695">
        <v>0</v>
      </c>
      <c r="G1695">
        <v>2</v>
      </c>
      <c r="H1695">
        <v>0</v>
      </c>
    </row>
    <row r="1696" spans="2:8">
      <c r="B1696" t="s">
        <v>25022</v>
      </c>
      <c r="C1696">
        <v>158</v>
      </c>
      <c r="D1696">
        <v>5</v>
      </c>
      <c r="E1696">
        <v>2</v>
      </c>
      <c r="F1696">
        <v>0</v>
      </c>
      <c r="G1696">
        <v>0</v>
      </c>
      <c r="H1696">
        <v>2</v>
      </c>
    </row>
    <row r="1697" spans="2:8">
      <c r="B1697" t="s">
        <v>25022</v>
      </c>
      <c r="C1697">
        <v>158</v>
      </c>
      <c r="D1697">
        <v>5</v>
      </c>
      <c r="E1697">
        <v>5</v>
      </c>
      <c r="F1697">
        <v>0</v>
      </c>
      <c r="G1697">
        <v>3</v>
      </c>
      <c r="H1697">
        <v>2</v>
      </c>
    </row>
    <row r="1698" spans="2:8">
      <c r="B1698" t="s">
        <v>25022</v>
      </c>
      <c r="C1698">
        <v>159</v>
      </c>
      <c r="D1698">
        <v>16</v>
      </c>
      <c r="E1698">
        <v>4</v>
      </c>
      <c r="F1698">
        <v>0</v>
      </c>
      <c r="G1698">
        <v>4</v>
      </c>
      <c r="H1698">
        <v>0</v>
      </c>
    </row>
    <row r="1699" spans="2:8">
      <c r="B1699" t="s">
        <v>25022</v>
      </c>
      <c r="C1699">
        <v>159</v>
      </c>
      <c r="D1699">
        <v>2</v>
      </c>
      <c r="E1699">
        <v>0</v>
      </c>
      <c r="F1699">
        <v>0</v>
      </c>
      <c r="G1699">
        <v>0</v>
      </c>
      <c r="H1699">
        <v>0</v>
      </c>
    </row>
    <row r="1700" spans="2:8">
      <c r="B1700" t="s">
        <v>25022</v>
      </c>
      <c r="C1700">
        <v>159</v>
      </c>
      <c r="D1700">
        <v>4</v>
      </c>
      <c r="E1700">
        <v>0</v>
      </c>
      <c r="F1700">
        <v>0</v>
      </c>
      <c r="G1700">
        <v>0</v>
      </c>
      <c r="H1700">
        <v>0</v>
      </c>
    </row>
    <row r="1701" spans="2:8">
      <c r="B1701" t="s">
        <v>25022</v>
      </c>
      <c r="C1701">
        <v>159</v>
      </c>
      <c r="D1701">
        <v>12</v>
      </c>
      <c r="E1701">
        <v>6</v>
      </c>
      <c r="F1701">
        <v>0</v>
      </c>
      <c r="G1701">
        <v>6</v>
      </c>
      <c r="H1701">
        <v>0</v>
      </c>
    </row>
    <row r="1702" spans="2:8">
      <c r="B1702" t="s">
        <v>25022</v>
      </c>
      <c r="C1702">
        <v>160</v>
      </c>
      <c r="D1702">
        <v>18</v>
      </c>
      <c r="E1702">
        <v>6</v>
      </c>
      <c r="F1702">
        <v>0</v>
      </c>
      <c r="G1702">
        <v>4</v>
      </c>
      <c r="H1702">
        <v>2</v>
      </c>
    </row>
    <row r="1703" spans="2:8">
      <c r="B1703" t="s">
        <v>25022</v>
      </c>
      <c r="C1703">
        <v>160</v>
      </c>
      <c r="D1703">
        <v>3</v>
      </c>
      <c r="E1703">
        <v>0</v>
      </c>
      <c r="F1703">
        <v>0</v>
      </c>
      <c r="G1703">
        <v>0</v>
      </c>
      <c r="H1703">
        <v>0</v>
      </c>
    </row>
    <row r="1704" spans="2:8">
      <c r="B1704" t="s">
        <v>25022</v>
      </c>
      <c r="C1704">
        <v>160</v>
      </c>
      <c r="D1704">
        <v>15</v>
      </c>
      <c r="E1704">
        <v>0</v>
      </c>
      <c r="F1704">
        <v>0</v>
      </c>
      <c r="G1704">
        <v>0</v>
      </c>
      <c r="H1704">
        <v>0</v>
      </c>
    </row>
    <row r="1705" spans="2:8">
      <c r="B1705" t="s">
        <v>25022</v>
      </c>
      <c r="C1705">
        <v>160</v>
      </c>
      <c r="D1705">
        <v>11</v>
      </c>
      <c r="E1705">
        <v>2</v>
      </c>
      <c r="F1705">
        <v>0</v>
      </c>
      <c r="G1705">
        <v>2</v>
      </c>
      <c r="H1705">
        <v>0</v>
      </c>
    </row>
    <row r="1706" spans="2:8">
      <c r="B1706" t="s">
        <v>25022</v>
      </c>
      <c r="C1706">
        <v>160</v>
      </c>
      <c r="D1706">
        <v>8</v>
      </c>
      <c r="E1706">
        <v>0</v>
      </c>
      <c r="F1706">
        <v>0</v>
      </c>
      <c r="G1706">
        <v>0</v>
      </c>
      <c r="H1706">
        <v>0</v>
      </c>
    </row>
    <row r="1707" spans="2:8">
      <c r="B1707" t="s">
        <v>25022</v>
      </c>
      <c r="C1707">
        <v>160</v>
      </c>
      <c r="D1707">
        <v>11</v>
      </c>
      <c r="E1707">
        <v>0</v>
      </c>
      <c r="F1707">
        <v>0</v>
      </c>
      <c r="G1707">
        <v>0</v>
      </c>
      <c r="H1707">
        <v>0</v>
      </c>
    </row>
    <row r="1708" spans="2:8">
      <c r="B1708" t="s">
        <v>25022</v>
      </c>
      <c r="C1708">
        <v>160</v>
      </c>
      <c r="D1708">
        <v>9</v>
      </c>
      <c r="E1708">
        <v>4</v>
      </c>
      <c r="F1708">
        <v>0</v>
      </c>
      <c r="G1708">
        <v>4</v>
      </c>
      <c r="H1708">
        <v>0</v>
      </c>
    </row>
    <row r="1709" spans="2:8">
      <c r="B1709" t="s">
        <v>25022</v>
      </c>
      <c r="C1709">
        <v>160</v>
      </c>
      <c r="D1709">
        <v>5</v>
      </c>
      <c r="E1709">
        <v>2</v>
      </c>
      <c r="F1709">
        <v>0</v>
      </c>
      <c r="G1709">
        <v>0</v>
      </c>
      <c r="H1709">
        <v>2</v>
      </c>
    </row>
    <row r="1710" spans="2:8">
      <c r="B1710" t="s">
        <v>25022</v>
      </c>
      <c r="C1710">
        <v>160</v>
      </c>
      <c r="D1710">
        <v>3</v>
      </c>
      <c r="E1710">
        <v>2</v>
      </c>
      <c r="F1710">
        <v>0</v>
      </c>
      <c r="G1710">
        <v>2</v>
      </c>
      <c r="H1710">
        <v>0</v>
      </c>
    </row>
    <row r="1711" spans="2:8">
      <c r="B1711" t="s">
        <v>25022</v>
      </c>
      <c r="C1711">
        <v>161</v>
      </c>
      <c r="D1711">
        <v>14</v>
      </c>
      <c r="E1711">
        <v>0</v>
      </c>
      <c r="F1711">
        <v>0</v>
      </c>
      <c r="G1711">
        <v>0</v>
      </c>
      <c r="H1711">
        <v>0</v>
      </c>
    </row>
    <row r="1712" spans="2:8">
      <c r="B1712" t="s">
        <v>25022</v>
      </c>
      <c r="C1712">
        <v>161</v>
      </c>
      <c r="D1712">
        <v>12</v>
      </c>
      <c r="E1712">
        <v>6</v>
      </c>
      <c r="F1712">
        <v>0</v>
      </c>
      <c r="G1712">
        <v>2</v>
      </c>
      <c r="H1712">
        <v>4</v>
      </c>
    </row>
    <row r="1713" spans="2:8">
      <c r="B1713" t="s">
        <v>25022</v>
      </c>
      <c r="C1713">
        <v>161</v>
      </c>
      <c r="D1713">
        <v>10</v>
      </c>
      <c r="E1713">
        <v>0</v>
      </c>
      <c r="F1713">
        <v>0</v>
      </c>
      <c r="G1713">
        <v>0</v>
      </c>
      <c r="H1713">
        <v>0</v>
      </c>
    </row>
    <row r="1714" spans="2:8">
      <c r="B1714" t="s">
        <v>25022</v>
      </c>
      <c r="C1714">
        <v>161</v>
      </c>
      <c r="D1714">
        <v>2</v>
      </c>
      <c r="E1714">
        <v>0</v>
      </c>
      <c r="F1714">
        <v>0</v>
      </c>
      <c r="G1714">
        <v>0</v>
      </c>
      <c r="H1714">
        <v>0</v>
      </c>
    </row>
    <row r="1715" spans="2:8">
      <c r="B1715" t="s">
        <v>25022</v>
      </c>
      <c r="C1715">
        <v>162</v>
      </c>
      <c r="D1715">
        <v>13</v>
      </c>
      <c r="E1715">
        <v>0</v>
      </c>
      <c r="F1715">
        <v>0</v>
      </c>
      <c r="G1715">
        <v>0</v>
      </c>
      <c r="H1715">
        <v>0</v>
      </c>
    </row>
    <row r="1716" spans="2:8">
      <c r="B1716" t="s">
        <v>25022</v>
      </c>
      <c r="C1716">
        <v>162</v>
      </c>
      <c r="D1716">
        <v>18</v>
      </c>
      <c r="E1716">
        <v>3</v>
      </c>
      <c r="F1716">
        <v>0</v>
      </c>
      <c r="G1716">
        <v>3</v>
      </c>
      <c r="H1716">
        <v>0</v>
      </c>
    </row>
    <row r="1717" spans="2:8">
      <c r="B1717" t="s">
        <v>25022</v>
      </c>
      <c r="C1717">
        <v>162</v>
      </c>
      <c r="D1717">
        <v>9</v>
      </c>
      <c r="E1717">
        <v>2</v>
      </c>
      <c r="F1717">
        <v>0</v>
      </c>
      <c r="G1717">
        <v>0</v>
      </c>
      <c r="H1717">
        <v>2</v>
      </c>
    </row>
    <row r="1718" spans="2:8">
      <c r="B1718" t="s">
        <v>25022</v>
      </c>
      <c r="C1718">
        <v>162</v>
      </c>
      <c r="D1718">
        <v>8</v>
      </c>
      <c r="E1718">
        <v>3</v>
      </c>
      <c r="F1718">
        <v>0</v>
      </c>
      <c r="G1718">
        <v>3</v>
      </c>
      <c r="H1718">
        <v>0</v>
      </c>
    </row>
    <row r="1719" spans="2:8">
      <c r="B1719" t="s">
        <v>25022</v>
      </c>
      <c r="C1719">
        <v>162</v>
      </c>
      <c r="D1719">
        <v>5</v>
      </c>
      <c r="E1719">
        <v>0</v>
      </c>
      <c r="F1719">
        <v>0</v>
      </c>
      <c r="G1719">
        <v>0</v>
      </c>
      <c r="H1719">
        <v>0</v>
      </c>
    </row>
    <row r="1720" spans="2:8">
      <c r="B1720" t="s">
        <v>25022</v>
      </c>
      <c r="C1720">
        <v>162</v>
      </c>
      <c r="D1720">
        <v>2</v>
      </c>
      <c r="E1720">
        <v>0</v>
      </c>
      <c r="F1720">
        <v>0</v>
      </c>
      <c r="G1720">
        <v>0</v>
      </c>
      <c r="H1720">
        <v>0</v>
      </c>
    </row>
    <row r="1721" spans="2:8">
      <c r="B1721" t="s">
        <v>25022</v>
      </c>
      <c r="C1721">
        <v>163</v>
      </c>
      <c r="D1721">
        <v>3</v>
      </c>
      <c r="E1721">
        <v>0</v>
      </c>
      <c r="F1721">
        <v>0</v>
      </c>
      <c r="G1721">
        <v>0</v>
      </c>
      <c r="H1721">
        <v>0</v>
      </c>
    </row>
    <row r="1722" spans="2:8">
      <c r="B1722" t="s">
        <v>25022</v>
      </c>
      <c r="C1722">
        <v>163</v>
      </c>
      <c r="D1722">
        <v>9</v>
      </c>
      <c r="E1722">
        <v>0</v>
      </c>
      <c r="F1722">
        <v>0</v>
      </c>
      <c r="G1722">
        <v>0</v>
      </c>
      <c r="H1722">
        <v>0</v>
      </c>
    </row>
    <row r="1723" spans="2:8">
      <c r="B1723" t="s">
        <v>25022</v>
      </c>
      <c r="C1723">
        <v>163</v>
      </c>
      <c r="D1723">
        <v>1</v>
      </c>
      <c r="E1723">
        <v>0</v>
      </c>
      <c r="F1723">
        <v>0</v>
      </c>
      <c r="G1723">
        <v>0</v>
      </c>
      <c r="H1723">
        <v>0</v>
      </c>
    </row>
    <row r="1724" spans="2:8">
      <c r="B1724" t="s">
        <v>25022</v>
      </c>
      <c r="C1724">
        <v>164</v>
      </c>
      <c r="D1724">
        <v>11</v>
      </c>
      <c r="E1724">
        <v>2</v>
      </c>
      <c r="F1724">
        <v>0</v>
      </c>
      <c r="G1724">
        <v>0</v>
      </c>
      <c r="H1724">
        <v>2</v>
      </c>
    </row>
    <row r="1725" spans="2:8">
      <c r="B1725" t="s">
        <v>25022</v>
      </c>
      <c r="C1725">
        <v>164</v>
      </c>
      <c r="D1725">
        <v>10</v>
      </c>
      <c r="E1725">
        <v>6</v>
      </c>
      <c r="F1725">
        <v>0</v>
      </c>
      <c r="G1725">
        <v>6</v>
      </c>
      <c r="H1725">
        <v>0</v>
      </c>
    </row>
    <row r="1726" spans="2:8">
      <c r="B1726" t="s">
        <v>25022</v>
      </c>
      <c r="C1726">
        <v>164</v>
      </c>
      <c r="D1726">
        <v>7</v>
      </c>
      <c r="E1726">
        <v>4</v>
      </c>
      <c r="F1726">
        <v>0</v>
      </c>
      <c r="G1726">
        <v>4</v>
      </c>
      <c r="H1726">
        <v>0</v>
      </c>
    </row>
    <row r="1727" spans="2:8">
      <c r="B1727" t="s">
        <v>25022</v>
      </c>
      <c r="C1727">
        <v>164</v>
      </c>
      <c r="D1727">
        <v>2</v>
      </c>
      <c r="E1727">
        <v>0</v>
      </c>
      <c r="F1727">
        <v>0</v>
      </c>
      <c r="G1727">
        <v>0</v>
      </c>
      <c r="H1727">
        <v>0</v>
      </c>
    </row>
    <row r="1728" spans="2:8">
      <c r="B1728" t="s">
        <v>25022</v>
      </c>
      <c r="C1728">
        <v>164</v>
      </c>
      <c r="D1728">
        <v>1</v>
      </c>
      <c r="E1728">
        <v>0</v>
      </c>
      <c r="F1728">
        <v>0</v>
      </c>
      <c r="G1728">
        <v>0</v>
      </c>
      <c r="H1728">
        <v>0</v>
      </c>
    </row>
    <row r="1729" spans="2:8">
      <c r="B1729" t="s">
        <v>25022</v>
      </c>
      <c r="C1729">
        <v>165</v>
      </c>
      <c r="D1729">
        <v>15</v>
      </c>
      <c r="E1729">
        <v>0</v>
      </c>
      <c r="F1729">
        <v>0</v>
      </c>
      <c r="G1729">
        <v>0</v>
      </c>
      <c r="H1729">
        <v>0</v>
      </c>
    </row>
    <row r="1730" spans="2:8">
      <c r="B1730" t="s">
        <v>25022</v>
      </c>
      <c r="C1730">
        <v>165</v>
      </c>
      <c r="D1730">
        <v>16</v>
      </c>
      <c r="E1730">
        <v>2</v>
      </c>
      <c r="F1730">
        <v>0</v>
      </c>
      <c r="G1730">
        <v>2</v>
      </c>
      <c r="H1730">
        <v>0</v>
      </c>
    </row>
    <row r="1731" spans="2:8">
      <c r="B1731" t="s">
        <v>25022</v>
      </c>
      <c r="C1731">
        <v>165</v>
      </c>
      <c r="D1731">
        <v>23</v>
      </c>
      <c r="E1731">
        <v>4</v>
      </c>
      <c r="F1731">
        <v>0</v>
      </c>
      <c r="G1731">
        <v>4</v>
      </c>
      <c r="H1731">
        <v>0</v>
      </c>
    </row>
    <row r="1732" spans="2:8">
      <c r="B1732" t="s">
        <v>25022</v>
      </c>
      <c r="C1732">
        <v>165</v>
      </c>
      <c r="D1732">
        <v>13</v>
      </c>
      <c r="E1732">
        <v>10</v>
      </c>
      <c r="F1732">
        <v>0</v>
      </c>
      <c r="G1732">
        <v>8</v>
      </c>
      <c r="H1732">
        <v>2</v>
      </c>
    </row>
    <row r="1733" spans="2:8">
      <c r="B1733" t="s">
        <v>25022</v>
      </c>
      <c r="C1733">
        <v>165</v>
      </c>
      <c r="D1733">
        <v>12</v>
      </c>
      <c r="E1733">
        <v>7</v>
      </c>
      <c r="F1733">
        <v>0</v>
      </c>
      <c r="G1733">
        <v>6</v>
      </c>
      <c r="H1733">
        <v>1</v>
      </c>
    </row>
    <row r="1734" spans="2:8">
      <c r="B1734" t="s">
        <v>25022</v>
      </c>
      <c r="C1734">
        <v>165</v>
      </c>
      <c r="D1734">
        <v>6</v>
      </c>
      <c r="E1734">
        <v>2</v>
      </c>
      <c r="F1734">
        <v>0</v>
      </c>
      <c r="G1734">
        <v>2</v>
      </c>
      <c r="H1734">
        <v>0</v>
      </c>
    </row>
    <row r="1735" spans="2:8">
      <c r="B1735" t="s">
        <v>25022</v>
      </c>
      <c r="C1735">
        <v>165</v>
      </c>
      <c r="D1735">
        <v>1</v>
      </c>
      <c r="E1735">
        <v>0</v>
      </c>
      <c r="F1735">
        <v>0</v>
      </c>
      <c r="G1735">
        <v>0</v>
      </c>
      <c r="H1735">
        <v>0</v>
      </c>
    </row>
    <row r="1736" spans="2:8">
      <c r="B1736" t="s">
        <v>25022</v>
      </c>
      <c r="C1736">
        <v>166</v>
      </c>
      <c r="D1736">
        <v>4</v>
      </c>
      <c r="E1736">
        <v>0</v>
      </c>
      <c r="F1736">
        <v>0</v>
      </c>
      <c r="G1736">
        <v>0</v>
      </c>
      <c r="H1736">
        <v>0</v>
      </c>
    </row>
    <row r="1737" spans="2:8">
      <c r="B1737" t="s">
        <v>25022</v>
      </c>
      <c r="C1737">
        <v>166</v>
      </c>
      <c r="D1737">
        <v>4</v>
      </c>
      <c r="E1737">
        <v>2</v>
      </c>
      <c r="F1737">
        <v>0</v>
      </c>
      <c r="G1737">
        <v>2</v>
      </c>
      <c r="H1737">
        <v>0</v>
      </c>
    </row>
    <row r="1738" spans="2:8">
      <c r="B1738" t="s">
        <v>25022</v>
      </c>
      <c r="C1738">
        <v>166</v>
      </c>
      <c r="D1738">
        <v>8</v>
      </c>
      <c r="E1738">
        <v>2</v>
      </c>
      <c r="F1738">
        <v>0</v>
      </c>
      <c r="G1738">
        <v>2</v>
      </c>
      <c r="H1738">
        <v>0</v>
      </c>
    </row>
    <row r="1739" spans="2:8">
      <c r="B1739" t="s">
        <v>25022</v>
      </c>
      <c r="C1739">
        <v>166</v>
      </c>
      <c r="D1739">
        <v>3</v>
      </c>
      <c r="E1739">
        <v>0</v>
      </c>
      <c r="F1739">
        <v>0</v>
      </c>
      <c r="G1739">
        <v>0</v>
      </c>
      <c r="H1739">
        <v>0</v>
      </c>
    </row>
    <row r="1740" spans="2:8">
      <c r="B1740" t="s">
        <v>25022</v>
      </c>
      <c r="C1740">
        <v>166</v>
      </c>
      <c r="D1740">
        <v>2</v>
      </c>
      <c r="E1740">
        <v>0</v>
      </c>
      <c r="F1740">
        <v>0</v>
      </c>
      <c r="G1740">
        <v>0</v>
      </c>
      <c r="H1740">
        <v>0</v>
      </c>
    </row>
    <row r="1741" spans="2:8">
      <c r="B1741" t="s">
        <v>25022</v>
      </c>
      <c r="C1741">
        <v>166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 spans="2:8">
      <c r="B1742" t="s">
        <v>25022</v>
      </c>
      <c r="C1742">
        <v>167</v>
      </c>
      <c r="D1742">
        <v>12</v>
      </c>
      <c r="E1742">
        <v>5</v>
      </c>
      <c r="F1742">
        <v>0</v>
      </c>
      <c r="G1742">
        <v>3</v>
      </c>
      <c r="H1742">
        <v>2</v>
      </c>
    </row>
    <row r="1743" spans="2:8">
      <c r="B1743" t="s">
        <v>25022</v>
      </c>
      <c r="C1743">
        <v>167</v>
      </c>
      <c r="D1743">
        <v>24</v>
      </c>
      <c r="E1743">
        <v>8</v>
      </c>
      <c r="F1743">
        <v>0</v>
      </c>
      <c r="G1743">
        <v>8</v>
      </c>
      <c r="H1743">
        <v>0</v>
      </c>
    </row>
    <row r="1744" spans="2:8">
      <c r="B1744" t="s">
        <v>25022</v>
      </c>
      <c r="C1744">
        <v>167</v>
      </c>
      <c r="D1744">
        <v>8</v>
      </c>
      <c r="E1744">
        <v>3</v>
      </c>
      <c r="F1744">
        <v>0</v>
      </c>
      <c r="G1744">
        <v>3</v>
      </c>
      <c r="H1744">
        <v>0</v>
      </c>
    </row>
    <row r="1745" spans="2:8">
      <c r="B1745" t="s">
        <v>25022</v>
      </c>
      <c r="C1745">
        <v>167</v>
      </c>
      <c r="D1745">
        <v>19</v>
      </c>
      <c r="E1745">
        <v>11</v>
      </c>
      <c r="F1745">
        <v>0</v>
      </c>
      <c r="G1745">
        <v>9</v>
      </c>
      <c r="H1745">
        <v>2</v>
      </c>
    </row>
    <row r="1746" spans="2:8">
      <c r="B1746" t="s">
        <v>25022</v>
      </c>
      <c r="C1746">
        <v>167</v>
      </c>
      <c r="D1746">
        <v>4</v>
      </c>
      <c r="E1746">
        <v>0</v>
      </c>
      <c r="F1746">
        <v>0</v>
      </c>
      <c r="G1746">
        <v>0</v>
      </c>
      <c r="H1746">
        <v>0</v>
      </c>
    </row>
    <row r="1747" spans="2:8">
      <c r="B1747" t="s">
        <v>25022</v>
      </c>
      <c r="C1747">
        <v>167</v>
      </c>
      <c r="D1747">
        <v>2</v>
      </c>
      <c r="E1747">
        <v>0</v>
      </c>
      <c r="F1747">
        <v>0</v>
      </c>
      <c r="G1747">
        <v>0</v>
      </c>
      <c r="H1747">
        <v>0</v>
      </c>
    </row>
    <row r="1748" spans="2:8">
      <c r="B1748" t="s">
        <v>25022</v>
      </c>
      <c r="C1748">
        <v>167</v>
      </c>
      <c r="D1748">
        <v>2</v>
      </c>
      <c r="E1748">
        <v>0</v>
      </c>
      <c r="F1748">
        <v>0</v>
      </c>
      <c r="G1748">
        <v>0</v>
      </c>
      <c r="H1748">
        <v>0</v>
      </c>
    </row>
    <row r="1749" spans="2:8">
      <c r="B1749" t="s">
        <v>25022</v>
      </c>
      <c r="C1749">
        <v>168</v>
      </c>
      <c r="D1749">
        <v>7</v>
      </c>
      <c r="E1749">
        <v>0</v>
      </c>
      <c r="F1749">
        <v>0</v>
      </c>
      <c r="G1749">
        <v>0</v>
      </c>
      <c r="H1749">
        <v>0</v>
      </c>
    </row>
    <row r="1750" spans="2:8">
      <c r="B1750" t="s">
        <v>25022</v>
      </c>
      <c r="C1750">
        <v>168</v>
      </c>
      <c r="D1750">
        <v>12</v>
      </c>
      <c r="E1750">
        <v>8</v>
      </c>
      <c r="F1750">
        <v>0</v>
      </c>
      <c r="G1750">
        <v>6</v>
      </c>
      <c r="H1750">
        <v>2</v>
      </c>
    </row>
    <row r="1751" spans="2:8">
      <c r="B1751" t="s">
        <v>25022</v>
      </c>
      <c r="C1751">
        <v>168</v>
      </c>
      <c r="D1751">
        <v>5</v>
      </c>
      <c r="E1751">
        <v>0</v>
      </c>
      <c r="F1751">
        <v>0</v>
      </c>
      <c r="G1751">
        <v>0</v>
      </c>
      <c r="H1751">
        <v>0</v>
      </c>
    </row>
    <row r="1752" spans="2:8">
      <c r="B1752" t="s">
        <v>25022</v>
      </c>
      <c r="C1752">
        <v>168</v>
      </c>
      <c r="D1752">
        <v>8</v>
      </c>
      <c r="E1752">
        <v>2</v>
      </c>
      <c r="F1752">
        <v>0</v>
      </c>
      <c r="G1752">
        <v>2</v>
      </c>
      <c r="H1752">
        <v>0</v>
      </c>
    </row>
    <row r="1753" spans="2:8">
      <c r="B1753" t="s">
        <v>25022</v>
      </c>
      <c r="C1753">
        <v>168</v>
      </c>
      <c r="D1753">
        <v>6</v>
      </c>
      <c r="E1753">
        <v>0</v>
      </c>
      <c r="F1753">
        <v>0</v>
      </c>
      <c r="G1753">
        <v>0</v>
      </c>
      <c r="H1753">
        <v>0</v>
      </c>
    </row>
    <row r="1754" spans="2:8">
      <c r="B1754" t="s">
        <v>25022</v>
      </c>
      <c r="C1754">
        <v>169</v>
      </c>
      <c r="D1754">
        <v>19</v>
      </c>
      <c r="E1754">
        <v>14</v>
      </c>
      <c r="F1754">
        <v>0</v>
      </c>
      <c r="G1754">
        <v>12</v>
      </c>
      <c r="H1754">
        <v>2</v>
      </c>
    </row>
    <row r="1755" spans="2:8">
      <c r="B1755" t="s">
        <v>25022</v>
      </c>
      <c r="C1755">
        <v>169</v>
      </c>
      <c r="D1755">
        <v>18</v>
      </c>
      <c r="E1755">
        <v>6</v>
      </c>
      <c r="F1755">
        <v>0</v>
      </c>
      <c r="G1755">
        <v>4</v>
      </c>
      <c r="H1755">
        <v>2</v>
      </c>
    </row>
    <row r="1756" spans="2:8">
      <c r="B1756" t="s">
        <v>25022</v>
      </c>
      <c r="C1756">
        <v>170</v>
      </c>
      <c r="D1756">
        <v>27</v>
      </c>
      <c r="E1756">
        <v>12</v>
      </c>
      <c r="F1756">
        <v>0</v>
      </c>
      <c r="G1756">
        <v>10</v>
      </c>
      <c r="H1756">
        <v>2</v>
      </c>
    </row>
    <row r="1757" spans="2:8">
      <c r="B1757" t="s">
        <v>25022</v>
      </c>
      <c r="C1757">
        <v>170</v>
      </c>
      <c r="D1757">
        <v>2</v>
      </c>
      <c r="E1757">
        <v>0</v>
      </c>
      <c r="F1757">
        <v>0</v>
      </c>
      <c r="G1757">
        <v>0</v>
      </c>
      <c r="H1757">
        <v>0</v>
      </c>
    </row>
    <row r="1758" spans="2:8">
      <c r="B1758" t="s">
        <v>25022</v>
      </c>
      <c r="C1758">
        <v>170</v>
      </c>
      <c r="D1758">
        <v>7</v>
      </c>
      <c r="E1758">
        <v>2</v>
      </c>
      <c r="F1758">
        <v>0</v>
      </c>
      <c r="G1758">
        <v>0</v>
      </c>
      <c r="H1758">
        <v>2</v>
      </c>
    </row>
    <row r="1759" spans="2:8">
      <c r="B1759" t="s">
        <v>25022</v>
      </c>
      <c r="C1759">
        <v>170</v>
      </c>
      <c r="D1759">
        <v>11</v>
      </c>
      <c r="E1759">
        <v>4</v>
      </c>
      <c r="F1759">
        <v>0</v>
      </c>
      <c r="G1759">
        <v>4</v>
      </c>
      <c r="H1759">
        <v>0</v>
      </c>
    </row>
    <row r="1760" spans="2:8">
      <c r="B1760" t="s">
        <v>25022</v>
      </c>
      <c r="C1760">
        <v>170</v>
      </c>
      <c r="D1760">
        <v>5</v>
      </c>
      <c r="E1760">
        <v>0</v>
      </c>
      <c r="F1760">
        <v>0</v>
      </c>
      <c r="G1760">
        <v>0</v>
      </c>
      <c r="H1760">
        <v>0</v>
      </c>
    </row>
    <row r="1761" spans="2:8">
      <c r="B1761" t="s">
        <v>25022</v>
      </c>
      <c r="C1761">
        <v>170</v>
      </c>
      <c r="D1761">
        <v>8</v>
      </c>
      <c r="E1761">
        <v>0</v>
      </c>
      <c r="F1761">
        <v>0</v>
      </c>
      <c r="G1761">
        <v>0</v>
      </c>
      <c r="H1761">
        <v>0</v>
      </c>
    </row>
    <row r="1762" spans="2:8">
      <c r="B1762" t="s">
        <v>25022</v>
      </c>
      <c r="C1762">
        <v>170</v>
      </c>
      <c r="D1762">
        <v>11</v>
      </c>
      <c r="E1762">
        <v>6</v>
      </c>
      <c r="F1762">
        <v>0</v>
      </c>
      <c r="G1762">
        <v>4</v>
      </c>
      <c r="H1762">
        <v>2</v>
      </c>
    </row>
    <row r="1763" spans="2:8">
      <c r="B1763" t="s">
        <v>25022</v>
      </c>
      <c r="C1763">
        <v>170</v>
      </c>
      <c r="D1763">
        <v>5</v>
      </c>
      <c r="E1763">
        <v>2</v>
      </c>
      <c r="F1763">
        <v>0</v>
      </c>
      <c r="G1763">
        <v>2</v>
      </c>
      <c r="H1763">
        <v>0</v>
      </c>
    </row>
    <row r="1764" spans="2:8">
      <c r="B1764" t="s">
        <v>25022</v>
      </c>
      <c r="C1764">
        <v>170</v>
      </c>
      <c r="D1764">
        <v>4</v>
      </c>
      <c r="E1764">
        <v>2</v>
      </c>
      <c r="F1764">
        <v>0</v>
      </c>
      <c r="G1764">
        <v>2</v>
      </c>
      <c r="H1764">
        <v>0</v>
      </c>
    </row>
    <row r="1765" spans="2:8">
      <c r="B1765" t="s">
        <v>25022</v>
      </c>
      <c r="C1765">
        <v>170</v>
      </c>
      <c r="D1765">
        <v>6</v>
      </c>
      <c r="E1765">
        <v>2</v>
      </c>
      <c r="F1765">
        <v>0</v>
      </c>
      <c r="G1765">
        <v>0</v>
      </c>
      <c r="H1765">
        <v>2</v>
      </c>
    </row>
    <row r="1766" spans="2:8">
      <c r="B1766" t="s">
        <v>25022</v>
      </c>
      <c r="C1766">
        <v>171</v>
      </c>
      <c r="D1766">
        <v>9</v>
      </c>
      <c r="E1766">
        <v>0</v>
      </c>
      <c r="F1766">
        <v>0</v>
      </c>
      <c r="G1766">
        <v>0</v>
      </c>
      <c r="H1766">
        <v>0</v>
      </c>
    </row>
    <row r="1767" spans="2:8">
      <c r="B1767" t="s">
        <v>25022</v>
      </c>
      <c r="C1767">
        <v>172</v>
      </c>
      <c r="D1767">
        <v>21</v>
      </c>
      <c r="E1767">
        <v>5</v>
      </c>
      <c r="F1767">
        <v>0</v>
      </c>
      <c r="G1767">
        <v>2</v>
      </c>
      <c r="H1767">
        <v>3</v>
      </c>
    </row>
    <row r="1768" spans="2:8">
      <c r="B1768" t="s">
        <v>25022</v>
      </c>
      <c r="C1768">
        <v>172</v>
      </c>
      <c r="D1768">
        <v>18</v>
      </c>
      <c r="E1768">
        <v>8</v>
      </c>
      <c r="F1768">
        <v>0</v>
      </c>
      <c r="G1768">
        <v>8</v>
      </c>
      <c r="H1768">
        <v>0</v>
      </c>
    </row>
    <row r="1769" spans="2:8">
      <c r="B1769" t="s">
        <v>25022</v>
      </c>
      <c r="C1769">
        <v>172</v>
      </c>
      <c r="D1769">
        <v>15</v>
      </c>
      <c r="E1769">
        <v>5</v>
      </c>
      <c r="F1769">
        <v>0</v>
      </c>
      <c r="G1769">
        <v>5</v>
      </c>
      <c r="H1769">
        <v>0</v>
      </c>
    </row>
    <row r="1770" spans="2:8">
      <c r="B1770" t="s">
        <v>25022</v>
      </c>
      <c r="C1770">
        <v>172</v>
      </c>
      <c r="D1770">
        <v>12</v>
      </c>
      <c r="E1770">
        <v>6</v>
      </c>
      <c r="F1770">
        <v>0</v>
      </c>
      <c r="G1770">
        <v>6</v>
      </c>
      <c r="H1770">
        <v>0</v>
      </c>
    </row>
    <row r="1771" spans="2:8">
      <c r="B1771" t="s">
        <v>25022</v>
      </c>
      <c r="C1771">
        <v>172</v>
      </c>
      <c r="D1771">
        <v>8</v>
      </c>
      <c r="E1771">
        <v>0</v>
      </c>
      <c r="F1771">
        <v>0</v>
      </c>
      <c r="G1771">
        <v>0</v>
      </c>
      <c r="H1771">
        <v>0</v>
      </c>
    </row>
    <row r="1772" spans="2:8">
      <c r="B1772" t="s">
        <v>25022</v>
      </c>
      <c r="C1772">
        <v>172</v>
      </c>
      <c r="D1772">
        <v>11</v>
      </c>
      <c r="E1772">
        <v>6</v>
      </c>
      <c r="F1772">
        <v>0</v>
      </c>
      <c r="G1772">
        <v>2</v>
      </c>
      <c r="H1772">
        <v>4</v>
      </c>
    </row>
    <row r="1773" spans="2:8">
      <c r="B1773" t="s">
        <v>25022</v>
      </c>
      <c r="C1773">
        <v>172</v>
      </c>
      <c r="D1773">
        <v>5</v>
      </c>
      <c r="E1773">
        <v>0</v>
      </c>
      <c r="F1773">
        <v>0</v>
      </c>
      <c r="G1773">
        <v>0</v>
      </c>
      <c r="H1773">
        <v>0</v>
      </c>
    </row>
    <row r="1774" spans="2:8">
      <c r="B1774" t="s">
        <v>25022</v>
      </c>
      <c r="C1774">
        <v>172</v>
      </c>
      <c r="D1774">
        <v>2</v>
      </c>
      <c r="E1774">
        <v>0</v>
      </c>
      <c r="F1774">
        <v>0</v>
      </c>
      <c r="G1774">
        <v>0</v>
      </c>
      <c r="H1774">
        <v>0</v>
      </c>
    </row>
    <row r="1775" spans="2:8">
      <c r="B1775" t="s">
        <v>25022</v>
      </c>
      <c r="C1775">
        <v>172</v>
      </c>
      <c r="D1775">
        <v>7</v>
      </c>
      <c r="E1775">
        <v>6</v>
      </c>
      <c r="F1775">
        <v>0</v>
      </c>
      <c r="G1775">
        <v>6</v>
      </c>
      <c r="H1775">
        <v>0</v>
      </c>
    </row>
    <row r="1776" spans="2:8">
      <c r="B1776" t="s">
        <v>25022</v>
      </c>
      <c r="C1776">
        <v>172</v>
      </c>
      <c r="D1776">
        <v>5</v>
      </c>
      <c r="E1776">
        <v>0</v>
      </c>
      <c r="F1776">
        <v>0</v>
      </c>
      <c r="G1776">
        <v>0</v>
      </c>
      <c r="H1776">
        <v>0</v>
      </c>
    </row>
    <row r="1777" spans="2:8">
      <c r="B1777" t="s">
        <v>25022</v>
      </c>
      <c r="C1777">
        <v>172</v>
      </c>
      <c r="D1777">
        <v>1</v>
      </c>
      <c r="E1777">
        <v>0</v>
      </c>
      <c r="F1777">
        <v>0</v>
      </c>
      <c r="G1777">
        <v>0</v>
      </c>
      <c r="H1777">
        <v>0</v>
      </c>
    </row>
    <row r="1778" spans="2:8">
      <c r="B1778" t="s">
        <v>25022</v>
      </c>
      <c r="C1778">
        <v>172</v>
      </c>
      <c r="D1778">
        <v>2</v>
      </c>
      <c r="E1778">
        <v>0</v>
      </c>
      <c r="F1778">
        <v>0</v>
      </c>
      <c r="G1778">
        <v>0</v>
      </c>
      <c r="H1778">
        <v>0</v>
      </c>
    </row>
    <row r="1779" spans="2:8">
      <c r="B1779" t="s">
        <v>25022</v>
      </c>
      <c r="C1779">
        <v>172</v>
      </c>
      <c r="D1779">
        <v>1</v>
      </c>
      <c r="E1779">
        <v>0</v>
      </c>
      <c r="F1779">
        <v>0</v>
      </c>
      <c r="G1779">
        <v>0</v>
      </c>
      <c r="H1779">
        <v>0</v>
      </c>
    </row>
    <row r="1780" spans="2:8">
      <c r="B1780" t="s">
        <v>25022</v>
      </c>
      <c r="C1780">
        <v>173</v>
      </c>
      <c r="D1780">
        <v>20</v>
      </c>
      <c r="E1780">
        <v>10</v>
      </c>
      <c r="F1780">
        <v>0</v>
      </c>
      <c r="G1780">
        <v>8</v>
      </c>
      <c r="H1780">
        <v>2</v>
      </c>
    </row>
    <row r="1781" spans="2:8">
      <c r="B1781" t="s">
        <v>25022</v>
      </c>
      <c r="C1781">
        <v>173</v>
      </c>
      <c r="D1781">
        <v>13</v>
      </c>
      <c r="E1781">
        <v>6</v>
      </c>
      <c r="F1781">
        <v>0</v>
      </c>
      <c r="G1781">
        <v>4</v>
      </c>
      <c r="H1781">
        <v>2</v>
      </c>
    </row>
    <row r="1782" spans="2:8">
      <c r="B1782" t="s">
        <v>25022</v>
      </c>
      <c r="C1782">
        <v>173</v>
      </c>
      <c r="D1782">
        <v>10</v>
      </c>
      <c r="E1782">
        <v>0</v>
      </c>
      <c r="F1782">
        <v>0</v>
      </c>
      <c r="G1782">
        <v>0</v>
      </c>
      <c r="H1782">
        <v>0</v>
      </c>
    </row>
    <row r="1783" spans="2:8">
      <c r="B1783" t="s">
        <v>25022</v>
      </c>
      <c r="C1783">
        <v>173</v>
      </c>
      <c r="D1783">
        <v>15</v>
      </c>
      <c r="E1783">
        <v>6</v>
      </c>
      <c r="F1783">
        <v>0</v>
      </c>
      <c r="G1783">
        <v>2</v>
      </c>
      <c r="H1783">
        <v>4</v>
      </c>
    </row>
    <row r="1784" spans="2:8">
      <c r="B1784" t="s">
        <v>25022</v>
      </c>
      <c r="C1784">
        <v>173</v>
      </c>
      <c r="D1784">
        <v>20</v>
      </c>
      <c r="E1784">
        <v>4</v>
      </c>
      <c r="F1784">
        <v>0</v>
      </c>
      <c r="G1784">
        <v>4</v>
      </c>
      <c r="H1784">
        <v>0</v>
      </c>
    </row>
    <row r="1785" spans="2:8">
      <c r="B1785" t="s">
        <v>25022</v>
      </c>
      <c r="C1785">
        <v>173</v>
      </c>
      <c r="D1785">
        <v>14</v>
      </c>
      <c r="E1785">
        <v>4</v>
      </c>
      <c r="F1785">
        <v>0</v>
      </c>
      <c r="G1785">
        <v>4</v>
      </c>
      <c r="H1785">
        <v>0</v>
      </c>
    </row>
    <row r="1786" spans="2:8">
      <c r="B1786" t="s">
        <v>25022</v>
      </c>
      <c r="C1786">
        <v>173</v>
      </c>
      <c r="D1786">
        <v>1</v>
      </c>
      <c r="E1786">
        <v>0</v>
      </c>
      <c r="F1786">
        <v>0</v>
      </c>
      <c r="G1786">
        <v>0</v>
      </c>
      <c r="H1786">
        <v>0</v>
      </c>
    </row>
    <row r="1787" spans="2:8">
      <c r="B1787" t="s">
        <v>25022</v>
      </c>
      <c r="C1787">
        <v>174</v>
      </c>
      <c r="D1787">
        <v>20</v>
      </c>
      <c r="E1787">
        <v>11</v>
      </c>
      <c r="F1787">
        <v>0</v>
      </c>
      <c r="G1787">
        <v>10</v>
      </c>
      <c r="H1787">
        <v>1</v>
      </c>
    </row>
    <row r="1788" spans="2:8">
      <c r="B1788" t="s">
        <v>25022</v>
      </c>
      <c r="C1788">
        <v>174</v>
      </c>
      <c r="D1788">
        <v>18</v>
      </c>
      <c r="E1788">
        <v>0</v>
      </c>
      <c r="F1788">
        <v>0</v>
      </c>
      <c r="G1788">
        <v>0</v>
      </c>
      <c r="H1788">
        <v>0</v>
      </c>
    </row>
    <row r="1789" spans="2:8">
      <c r="B1789" t="s">
        <v>25022</v>
      </c>
      <c r="C1789">
        <v>174</v>
      </c>
      <c r="D1789">
        <v>10</v>
      </c>
      <c r="E1789">
        <v>0</v>
      </c>
      <c r="F1789">
        <v>0</v>
      </c>
      <c r="G1789">
        <v>0</v>
      </c>
      <c r="H1789">
        <v>0</v>
      </c>
    </row>
    <row r="1790" spans="2:8">
      <c r="B1790" t="s">
        <v>25022</v>
      </c>
      <c r="C1790">
        <v>174</v>
      </c>
      <c r="D1790">
        <v>23</v>
      </c>
      <c r="E1790">
        <v>14</v>
      </c>
      <c r="F1790">
        <v>2</v>
      </c>
      <c r="G1790">
        <v>4</v>
      </c>
      <c r="H1790">
        <v>8</v>
      </c>
    </row>
    <row r="1791" spans="2:8">
      <c r="B1791" t="s">
        <v>25022</v>
      </c>
      <c r="C1791">
        <v>174</v>
      </c>
      <c r="D1791">
        <v>14</v>
      </c>
      <c r="E1791">
        <v>5</v>
      </c>
      <c r="F1791">
        <v>0</v>
      </c>
      <c r="G1791">
        <v>4</v>
      </c>
      <c r="H1791">
        <v>1</v>
      </c>
    </row>
    <row r="1792" spans="2:8">
      <c r="B1792" t="s">
        <v>25022</v>
      </c>
      <c r="C1792">
        <v>174</v>
      </c>
      <c r="D1792">
        <v>7</v>
      </c>
      <c r="E1792">
        <v>4</v>
      </c>
      <c r="F1792">
        <v>0</v>
      </c>
      <c r="G1792">
        <v>4</v>
      </c>
      <c r="H1792">
        <v>0</v>
      </c>
    </row>
    <row r="1793" spans="2:8">
      <c r="B1793" t="s">
        <v>25022</v>
      </c>
      <c r="C1793">
        <v>175</v>
      </c>
      <c r="D1793">
        <v>35</v>
      </c>
      <c r="E1793">
        <v>19</v>
      </c>
      <c r="F1793">
        <v>0</v>
      </c>
      <c r="G1793">
        <v>15</v>
      </c>
      <c r="H1793">
        <v>4</v>
      </c>
    </row>
    <row r="1794" spans="2:8">
      <c r="B1794" t="s">
        <v>25022</v>
      </c>
      <c r="C1794">
        <v>175</v>
      </c>
      <c r="D1794">
        <v>22</v>
      </c>
      <c r="E1794">
        <v>4</v>
      </c>
      <c r="F1794">
        <v>0</v>
      </c>
      <c r="G1794">
        <v>2</v>
      </c>
      <c r="H1794">
        <v>2</v>
      </c>
    </row>
    <row r="1795" spans="2:8">
      <c r="B1795" t="s">
        <v>25022</v>
      </c>
      <c r="C1795">
        <v>175</v>
      </c>
      <c r="D1795">
        <v>10</v>
      </c>
      <c r="E1795">
        <v>2</v>
      </c>
      <c r="F1795">
        <v>0</v>
      </c>
      <c r="G1795">
        <v>2</v>
      </c>
      <c r="H1795">
        <v>0</v>
      </c>
    </row>
    <row r="1796" spans="2:8">
      <c r="B1796" t="s">
        <v>25022</v>
      </c>
      <c r="C1796">
        <v>175</v>
      </c>
      <c r="D1796">
        <v>3</v>
      </c>
      <c r="E1796">
        <v>0</v>
      </c>
      <c r="F1796">
        <v>0</v>
      </c>
      <c r="G1796">
        <v>0</v>
      </c>
      <c r="H1796">
        <v>0</v>
      </c>
    </row>
    <row r="1797" spans="2:8">
      <c r="B1797" t="s">
        <v>25022</v>
      </c>
      <c r="C1797">
        <v>176</v>
      </c>
      <c r="D1797">
        <v>16</v>
      </c>
      <c r="E1797">
        <v>5</v>
      </c>
      <c r="F1797">
        <v>0</v>
      </c>
      <c r="G1797">
        <v>5</v>
      </c>
      <c r="H1797">
        <v>0</v>
      </c>
    </row>
    <row r="1798" spans="2:8">
      <c r="B1798" t="s">
        <v>25022</v>
      </c>
      <c r="C1798">
        <v>176</v>
      </c>
      <c r="D1798">
        <v>8</v>
      </c>
      <c r="E1798">
        <v>4</v>
      </c>
      <c r="F1798">
        <v>0</v>
      </c>
      <c r="G1798">
        <v>4</v>
      </c>
      <c r="H1798">
        <v>0</v>
      </c>
    </row>
    <row r="1799" spans="2:8">
      <c r="B1799" t="s">
        <v>25022</v>
      </c>
      <c r="C1799">
        <v>176</v>
      </c>
      <c r="D1799">
        <v>12</v>
      </c>
      <c r="E1799">
        <v>0</v>
      </c>
      <c r="F1799">
        <v>0</v>
      </c>
      <c r="G1799">
        <v>0</v>
      </c>
      <c r="H1799">
        <v>0</v>
      </c>
    </row>
    <row r="1800" spans="2:8">
      <c r="B1800" t="s">
        <v>25022</v>
      </c>
      <c r="C1800">
        <v>176</v>
      </c>
      <c r="D1800">
        <v>2</v>
      </c>
      <c r="E1800">
        <v>0</v>
      </c>
      <c r="F1800">
        <v>0</v>
      </c>
      <c r="G1800">
        <v>0</v>
      </c>
      <c r="H1800">
        <v>0</v>
      </c>
    </row>
    <row r="1801" spans="2:8">
      <c r="B1801" t="s">
        <v>25022</v>
      </c>
      <c r="C1801">
        <v>176</v>
      </c>
      <c r="D1801">
        <v>2</v>
      </c>
      <c r="E1801">
        <v>0</v>
      </c>
      <c r="F1801">
        <v>0</v>
      </c>
      <c r="G1801">
        <v>0</v>
      </c>
      <c r="H1801">
        <v>0</v>
      </c>
    </row>
    <row r="1802" spans="2:8">
      <c r="B1802" t="s">
        <v>25022</v>
      </c>
      <c r="C1802">
        <v>176</v>
      </c>
      <c r="D1802">
        <v>1</v>
      </c>
      <c r="E1802">
        <v>0</v>
      </c>
      <c r="F1802">
        <v>0</v>
      </c>
      <c r="G1802">
        <v>0</v>
      </c>
      <c r="H1802">
        <v>0</v>
      </c>
    </row>
    <row r="1803" spans="2:8">
      <c r="B1803" t="s">
        <v>25022</v>
      </c>
      <c r="C1803">
        <v>177</v>
      </c>
      <c r="D1803">
        <v>16</v>
      </c>
      <c r="E1803">
        <v>2</v>
      </c>
      <c r="F1803">
        <v>0</v>
      </c>
      <c r="G1803">
        <v>0</v>
      </c>
      <c r="H1803">
        <v>2</v>
      </c>
    </row>
    <row r="1804" spans="2:8">
      <c r="B1804" t="s">
        <v>25022</v>
      </c>
      <c r="C1804">
        <v>177</v>
      </c>
      <c r="D1804">
        <v>5</v>
      </c>
      <c r="E1804">
        <v>0</v>
      </c>
      <c r="F1804">
        <v>0</v>
      </c>
      <c r="G1804">
        <v>0</v>
      </c>
      <c r="H1804">
        <v>0</v>
      </c>
    </row>
    <row r="1805" spans="2:8">
      <c r="B1805" t="s">
        <v>25022</v>
      </c>
      <c r="C1805">
        <v>177</v>
      </c>
      <c r="D1805">
        <v>3</v>
      </c>
      <c r="E1805">
        <v>0</v>
      </c>
      <c r="F1805">
        <v>0</v>
      </c>
      <c r="G1805">
        <v>0</v>
      </c>
      <c r="H1805">
        <v>0</v>
      </c>
    </row>
    <row r="1806" spans="2:8">
      <c r="B1806" t="s">
        <v>25022</v>
      </c>
      <c r="C1806">
        <v>177</v>
      </c>
      <c r="D1806">
        <v>7</v>
      </c>
      <c r="E1806">
        <v>2</v>
      </c>
      <c r="F1806">
        <v>0</v>
      </c>
      <c r="G1806">
        <v>0</v>
      </c>
      <c r="H1806">
        <v>2</v>
      </c>
    </row>
    <row r="1807" spans="2:8">
      <c r="B1807" t="s">
        <v>25022</v>
      </c>
      <c r="C1807">
        <v>177</v>
      </c>
      <c r="D1807">
        <v>4</v>
      </c>
      <c r="E1807">
        <v>0</v>
      </c>
      <c r="F1807">
        <v>0</v>
      </c>
      <c r="G1807">
        <v>0</v>
      </c>
      <c r="H1807">
        <v>0</v>
      </c>
    </row>
    <row r="1808" spans="2:8">
      <c r="B1808" t="s">
        <v>25022</v>
      </c>
      <c r="C1808">
        <v>177</v>
      </c>
      <c r="D1808">
        <v>10</v>
      </c>
      <c r="E1808">
        <v>4</v>
      </c>
      <c r="F1808">
        <v>0</v>
      </c>
      <c r="G1808">
        <v>4</v>
      </c>
      <c r="H1808">
        <v>0</v>
      </c>
    </row>
    <row r="1809" spans="2:8">
      <c r="B1809" t="s">
        <v>25022</v>
      </c>
      <c r="C1809">
        <v>177</v>
      </c>
      <c r="D1809">
        <v>1</v>
      </c>
      <c r="E1809">
        <v>0</v>
      </c>
      <c r="F1809">
        <v>0</v>
      </c>
      <c r="G1809">
        <v>0</v>
      </c>
      <c r="H1809">
        <v>0</v>
      </c>
    </row>
    <row r="1810" spans="2:8">
      <c r="B1810" t="s">
        <v>25022</v>
      </c>
      <c r="C1810">
        <v>178</v>
      </c>
      <c r="D1810">
        <v>25</v>
      </c>
      <c r="E1810">
        <v>7</v>
      </c>
      <c r="F1810">
        <v>0</v>
      </c>
      <c r="G1810">
        <v>3</v>
      </c>
      <c r="H1810">
        <v>4</v>
      </c>
    </row>
    <row r="1811" spans="2:8">
      <c r="B1811" t="s">
        <v>25022</v>
      </c>
      <c r="C1811">
        <v>178</v>
      </c>
      <c r="D1811">
        <v>7</v>
      </c>
      <c r="E1811">
        <v>2</v>
      </c>
      <c r="F1811">
        <v>0</v>
      </c>
      <c r="G1811">
        <v>2</v>
      </c>
      <c r="H1811">
        <v>0</v>
      </c>
    </row>
    <row r="1812" spans="2:8">
      <c r="B1812" t="s">
        <v>25022</v>
      </c>
      <c r="C1812">
        <v>178</v>
      </c>
      <c r="D1812">
        <v>18</v>
      </c>
      <c r="E1812">
        <v>2</v>
      </c>
      <c r="F1812">
        <v>0</v>
      </c>
      <c r="G1812">
        <v>0</v>
      </c>
      <c r="H1812">
        <v>2</v>
      </c>
    </row>
    <row r="1813" spans="2:8">
      <c r="B1813" t="s">
        <v>25022</v>
      </c>
      <c r="C1813">
        <v>178</v>
      </c>
      <c r="D1813">
        <v>16</v>
      </c>
      <c r="E1813">
        <v>8</v>
      </c>
      <c r="F1813">
        <v>0</v>
      </c>
      <c r="G1813">
        <v>4</v>
      </c>
      <c r="H1813">
        <v>4</v>
      </c>
    </row>
    <row r="1814" spans="2:8">
      <c r="B1814" t="s">
        <v>25022</v>
      </c>
      <c r="C1814">
        <v>178</v>
      </c>
      <c r="D1814">
        <v>8</v>
      </c>
      <c r="E1814">
        <v>0</v>
      </c>
      <c r="F1814">
        <v>0</v>
      </c>
      <c r="G1814">
        <v>0</v>
      </c>
      <c r="H1814">
        <v>0</v>
      </c>
    </row>
    <row r="1815" spans="2:8">
      <c r="B1815" t="s">
        <v>25022</v>
      </c>
      <c r="C1815">
        <v>178</v>
      </c>
      <c r="D1815">
        <v>10</v>
      </c>
      <c r="E1815">
        <v>2</v>
      </c>
      <c r="F1815">
        <v>0</v>
      </c>
      <c r="G1815">
        <v>2</v>
      </c>
      <c r="H1815">
        <v>0</v>
      </c>
    </row>
    <row r="1816" spans="2:8">
      <c r="B1816" t="s">
        <v>25022</v>
      </c>
      <c r="C1816">
        <v>178</v>
      </c>
      <c r="D1816">
        <v>6</v>
      </c>
      <c r="E1816">
        <v>2</v>
      </c>
      <c r="F1816">
        <v>0</v>
      </c>
      <c r="G1816">
        <v>0</v>
      </c>
      <c r="H1816">
        <v>2</v>
      </c>
    </row>
    <row r="1817" spans="2:8">
      <c r="B1817" t="s">
        <v>25022</v>
      </c>
      <c r="C1817">
        <v>178</v>
      </c>
      <c r="D1817">
        <v>3</v>
      </c>
      <c r="E1817">
        <v>0</v>
      </c>
      <c r="F1817">
        <v>0</v>
      </c>
      <c r="G1817">
        <v>0</v>
      </c>
      <c r="H1817">
        <v>0</v>
      </c>
    </row>
    <row r="1818" spans="2:8">
      <c r="B1818" t="s">
        <v>25022</v>
      </c>
      <c r="C1818">
        <v>178</v>
      </c>
      <c r="D1818">
        <v>2</v>
      </c>
      <c r="E1818">
        <v>0</v>
      </c>
      <c r="F1818">
        <v>0</v>
      </c>
      <c r="G1818">
        <v>0</v>
      </c>
      <c r="H1818">
        <v>0</v>
      </c>
    </row>
    <row r="1819" spans="2:8">
      <c r="B1819" t="s">
        <v>25022</v>
      </c>
      <c r="C1819">
        <v>178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2:8">
      <c r="B1820" t="s">
        <v>25022</v>
      </c>
      <c r="C1820">
        <v>179</v>
      </c>
      <c r="D1820">
        <v>7</v>
      </c>
      <c r="E1820">
        <v>3</v>
      </c>
      <c r="F1820">
        <v>0</v>
      </c>
      <c r="G1820">
        <v>2</v>
      </c>
      <c r="H1820">
        <v>1</v>
      </c>
    </row>
    <row r="1821" spans="2:8">
      <c r="B1821" t="s">
        <v>25022</v>
      </c>
      <c r="C1821">
        <v>179</v>
      </c>
      <c r="D1821">
        <v>7</v>
      </c>
      <c r="E1821">
        <v>0</v>
      </c>
      <c r="F1821">
        <v>0</v>
      </c>
      <c r="G1821">
        <v>0</v>
      </c>
      <c r="H1821">
        <v>0</v>
      </c>
    </row>
    <row r="1822" spans="2:8">
      <c r="B1822" t="s">
        <v>25022</v>
      </c>
      <c r="C1822">
        <v>179</v>
      </c>
      <c r="D1822">
        <v>7</v>
      </c>
      <c r="E1822">
        <v>0</v>
      </c>
      <c r="F1822">
        <v>0</v>
      </c>
      <c r="G1822">
        <v>0</v>
      </c>
      <c r="H1822">
        <v>0</v>
      </c>
    </row>
    <row r="1823" spans="2:8">
      <c r="B1823" t="s">
        <v>25022</v>
      </c>
      <c r="C1823">
        <v>179</v>
      </c>
      <c r="D1823">
        <v>4</v>
      </c>
      <c r="E1823">
        <v>0</v>
      </c>
      <c r="F1823">
        <v>0</v>
      </c>
      <c r="G1823">
        <v>0</v>
      </c>
      <c r="H1823">
        <v>0</v>
      </c>
    </row>
    <row r="1824" spans="2:8">
      <c r="B1824" t="s">
        <v>25022</v>
      </c>
      <c r="C1824">
        <v>179</v>
      </c>
      <c r="D1824">
        <v>3</v>
      </c>
      <c r="E1824">
        <v>0</v>
      </c>
      <c r="F1824">
        <v>0</v>
      </c>
      <c r="G1824">
        <v>0</v>
      </c>
      <c r="H1824">
        <v>0</v>
      </c>
    </row>
    <row r="1825" spans="2:8">
      <c r="B1825" t="s">
        <v>25022</v>
      </c>
      <c r="C1825">
        <v>179</v>
      </c>
      <c r="D1825">
        <v>3</v>
      </c>
      <c r="E1825">
        <v>2</v>
      </c>
      <c r="F1825">
        <v>0</v>
      </c>
      <c r="G1825">
        <v>2</v>
      </c>
      <c r="H1825">
        <v>0</v>
      </c>
    </row>
    <row r="1826" spans="2:8">
      <c r="B1826" t="s">
        <v>25022</v>
      </c>
      <c r="C1826">
        <v>180</v>
      </c>
      <c r="D1826">
        <v>14</v>
      </c>
      <c r="E1826">
        <v>2</v>
      </c>
      <c r="F1826">
        <v>0</v>
      </c>
      <c r="G1826">
        <v>2</v>
      </c>
      <c r="H1826">
        <v>0</v>
      </c>
    </row>
    <row r="1827" spans="2:8">
      <c r="B1827" t="s">
        <v>25022</v>
      </c>
      <c r="C1827">
        <v>180</v>
      </c>
      <c r="D1827">
        <v>17</v>
      </c>
      <c r="E1827">
        <v>4</v>
      </c>
      <c r="F1827">
        <v>0</v>
      </c>
      <c r="G1827">
        <v>2</v>
      </c>
      <c r="H1827">
        <v>2</v>
      </c>
    </row>
    <row r="1828" spans="2:8">
      <c r="B1828" t="s">
        <v>25022</v>
      </c>
      <c r="C1828">
        <v>180</v>
      </c>
      <c r="D1828">
        <v>7</v>
      </c>
      <c r="E1828">
        <v>0</v>
      </c>
      <c r="F1828">
        <v>0</v>
      </c>
      <c r="G1828">
        <v>0</v>
      </c>
      <c r="H1828">
        <v>0</v>
      </c>
    </row>
    <row r="1829" spans="2:8">
      <c r="B1829" t="s">
        <v>25022</v>
      </c>
      <c r="C1829">
        <v>180</v>
      </c>
      <c r="D1829">
        <v>2</v>
      </c>
      <c r="E1829">
        <v>0</v>
      </c>
      <c r="F1829">
        <v>0</v>
      </c>
      <c r="G1829">
        <v>0</v>
      </c>
      <c r="H1829">
        <v>0</v>
      </c>
    </row>
    <row r="1830" spans="2:8">
      <c r="B1830" t="s">
        <v>25022</v>
      </c>
      <c r="C1830">
        <v>180</v>
      </c>
      <c r="D1830">
        <v>4</v>
      </c>
      <c r="E1830">
        <v>0</v>
      </c>
      <c r="F1830">
        <v>0</v>
      </c>
      <c r="G1830">
        <v>0</v>
      </c>
      <c r="H1830">
        <v>0</v>
      </c>
    </row>
    <row r="1831" spans="2:8">
      <c r="B1831" t="s">
        <v>25022</v>
      </c>
      <c r="C1831">
        <v>181</v>
      </c>
      <c r="D1831">
        <v>21</v>
      </c>
      <c r="E1831">
        <v>4</v>
      </c>
      <c r="F1831">
        <v>0</v>
      </c>
      <c r="G1831">
        <v>4</v>
      </c>
      <c r="H1831">
        <v>0</v>
      </c>
    </row>
    <row r="1832" spans="2:8">
      <c r="B1832" t="s">
        <v>25022</v>
      </c>
      <c r="C1832">
        <v>181</v>
      </c>
      <c r="D1832">
        <v>6</v>
      </c>
      <c r="E1832">
        <v>0</v>
      </c>
      <c r="F1832">
        <v>0</v>
      </c>
      <c r="G1832">
        <v>0</v>
      </c>
      <c r="H1832">
        <v>0</v>
      </c>
    </row>
    <row r="1833" spans="2:8">
      <c r="B1833" t="s">
        <v>25022</v>
      </c>
      <c r="C1833">
        <v>181</v>
      </c>
      <c r="D1833">
        <v>18</v>
      </c>
      <c r="E1833">
        <v>5</v>
      </c>
      <c r="F1833">
        <v>0</v>
      </c>
      <c r="G1833">
        <v>5</v>
      </c>
      <c r="H1833">
        <v>0</v>
      </c>
    </row>
    <row r="1834" spans="2:8">
      <c r="B1834" t="s">
        <v>25022</v>
      </c>
      <c r="C1834">
        <v>181</v>
      </c>
      <c r="D1834">
        <v>1</v>
      </c>
      <c r="E1834">
        <v>0</v>
      </c>
      <c r="F1834">
        <v>0</v>
      </c>
      <c r="G1834">
        <v>0</v>
      </c>
      <c r="H1834">
        <v>0</v>
      </c>
    </row>
    <row r="1835" spans="2:8">
      <c r="B1835" t="s">
        <v>25022</v>
      </c>
      <c r="C1835">
        <v>181</v>
      </c>
      <c r="D1835">
        <v>1</v>
      </c>
      <c r="E1835">
        <v>0</v>
      </c>
      <c r="F1835">
        <v>0</v>
      </c>
      <c r="G1835">
        <v>0</v>
      </c>
      <c r="H1835">
        <v>0</v>
      </c>
    </row>
    <row r="1836" spans="2:8">
      <c r="B1836" t="s">
        <v>25022</v>
      </c>
      <c r="C1836">
        <v>181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2:8">
      <c r="B1837" t="s">
        <v>25022</v>
      </c>
      <c r="C1837">
        <v>183</v>
      </c>
      <c r="D1837">
        <v>23</v>
      </c>
      <c r="E1837">
        <v>12</v>
      </c>
      <c r="F1837">
        <v>0</v>
      </c>
      <c r="G1837">
        <v>8</v>
      </c>
      <c r="H1837">
        <v>4</v>
      </c>
    </row>
    <row r="1838" spans="2:8">
      <c r="B1838" t="s">
        <v>25022</v>
      </c>
      <c r="C1838">
        <v>183</v>
      </c>
      <c r="D1838">
        <v>23</v>
      </c>
      <c r="E1838">
        <v>11</v>
      </c>
      <c r="F1838">
        <v>0</v>
      </c>
      <c r="G1838">
        <v>9</v>
      </c>
      <c r="H1838">
        <v>2</v>
      </c>
    </row>
    <row r="1839" spans="2:8">
      <c r="B1839" t="s">
        <v>25022</v>
      </c>
      <c r="C1839">
        <v>183</v>
      </c>
      <c r="D1839">
        <v>12</v>
      </c>
      <c r="E1839">
        <v>4</v>
      </c>
      <c r="F1839">
        <v>0</v>
      </c>
      <c r="G1839">
        <v>2</v>
      </c>
      <c r="H1839">
        <v>2</v>
      </c>
    </row>
    <row r="1840" spans="2:8">
      <c r="B1840" t="s">
        <v>25022</v>
      </c>
      <c r="C1840">
        <v>183</v>
      </c>
      <c r="D1840">
        <v>12</v>
      </c>
      <c r="E1840">
        <v>2</v>
      </c>
      <c r="F1840">
        <v>0</v>
      </c>
      <c r="G1840">
        <v>2</v>
      </c>
      <c r="H1840">
        <v>0</v>
      </c>
    </row>
    <row r="1841" spans="2:8">
      <c r="B1841" t="s">
        <v>25022</v>
      </c>
      <c r="C1841">
        <v>184</v>
      </c>
      <c r="D1841">
        <v>15</v>
      </c>
      <c r="E1841">
        <v>7</v>
      </c>
      <c r="F1841">
        <v>0</v>
      </c>
      <c r="G1841">
        <v>6</v>
      </c>
      <c r="H1841">
        <v>1</v>
      </c>
    </row>
    <row r="1842" spans="2:8">
      <c r="B1842" t="s">
        <v>25022</v>
      </c>
      <c r="C1842">
        <v>184</v>
      </c>
      <c r="D1842">
        <v>16</v>
      </c>
      <c r="E1842">
        <v>2</v>
      </c>
      <c r="F1842">
        <v>0</v>
      </c>
      <c r="G1842">
        <v>0</v>
      </c>
      <c r="H1842">
        <v>2</v>
      </c>
    </row>
    <row r="1843" spans="2:8">
      <c r="B1843" t="s">
        <v>25022</v>
      </c>
      <c r="C1843">
        <v>184</v>
      </c>
      <c r="D1843">
        <v>21</v>
      </c>
      <c r="E1843">
        <v>14</v>
      </c>
      <c r="F1843">
        <v>0</v>
      </c>
      <c r="G1843">
        <v>12</v>
      </c>
      <c r="H1843">
        <v>2</v>
      </c>
    </row>
    <row r="1844" spans="2:8">
      <c r="B1844" t="s">
        <v>25022</v>
      </c>
      <c r="C1844">
        <v>184</v>
      </c>
      <c r="D1844">
        <v>19</v>
      </c>
      <c r="E1844">
        <v>7</v>
      </c>
      <c r="F1844">
        <v>0</v>
      </c>
      <c r="G1844">
        <v>5</v>
      </c>
      <c r="H1844">
        <v>2</v>
      </c>
    </row>
    <row r="1845" spans="2:8">
      <c r="B1845" t="s">
        <v>25022</v>
      </c>
      <c r="C1845">
        <v>184</v>
      </c>
      <c r="D1845">
        <v>9</v>
      </c>
      <c r="E1845">
        <v>4</v>
      </c>
      <c r="F1845">
        <v>0</v>
      </c>
      <c r="G1845">
        <v>4</v>
      </c>
      <c r="H1845">
        <v>0</v>
      </c>
    </row>
    <row r="1846" spans="2:8">
      <c r="B1846" t="s">
        <v>25022</v>
      </c>
      <c r="C1846">
        <v>185</v>
      </c>
      <c r="D1846">
        <v>13</v>
      </c>
      <c r="E1846">
        <v>6</v>
      </c>
      <c r="F1846">
        <v>0</v>
      </c>
      <c r="G1846">
        <v>4</v>
      </c>
      <c r="H1846">
        <v>2</v>
      </c>
    </row>
    <row r="1847" spans="2:8">
      <c r="B1847" t="s">
        <v>25022</v>
      </c>
      <c r="C1847">
        <v>185</v>
      </c>
      <c r="D1847">
        <v>15</v>
      </c>
      <c r="E1847">
        <v>6</v>
      </c>
      <c r="F1847">
        <v>0</v>
      </c>
      <c r="G1847">
        <v>4</v>
      </c>
      <c r="H1847">
        <v>2</v>
      </c>
    </row>
    <row r="1848" spans="2:8">
      <c r="B1848" t="s">
        <v>25022</v>
      </c>
      <c r="C1848">
        <v>185</v>
      </c>
      <c r="D1848">
        <v>17</v>
      </c>
      <c r="E1848">
        <v>9</v>
      </c>
      <c r="F1848">
        <v>0</v>
      </c>
      <c r="G1848">
        <v>8</v>
      </c>
      <c r="H1848">
        <v>1</v>
      </c>
    </row>
    <row r="1849" spans="2:8">
      <c r="B1849" t="s">
        <v>25022</v>
      </c>
      <c r="C1849">
        <v>185</v>
      </c>
      <c r="D1849">
        <v>19</v>
      </c>
      <c r="E1849">
        <v>8</v>
      </c>
      <c r="F1849">
        <v>0</v>
      </c>
      <c r="G1849">
        <v>8</v>
      </c>
      <c r="H1849">
        <v>0</v>
      </c>
    </row>
    <row r="1850" spans="2:8">
      <c r="B1850" t="s">
        <v>25022</v>
      </c>
      <c r="C1850">
        <v>185</v>
      </c>
      <c r="D1850">
        <v>11</v>
      </c>
      <c r="E1850">
        <v>2</v>
      </c>
      <c r="F1850">
        <v>0</v>
      </c>
      <c r="G1850">
        <v>2</v>
      </c>
      <c r="H1850">
        <v>0</v>
      </c>
    </row>
    <row r="1851" spans="2:8">
      <c r="B1851" t="s">
        <v>25022</v>
      </c>
      <c r="C1851">
        <v>185</v>
      </c>
      <c r="D1851">
        <v>18</v>
      </c>
      <c r="E1851">
        <v>6</v>
      </c>
      <c r="F1851">
        <v>0</v>
      </c>
      <c r="G1851">
        <v>4</v>
      </c>
      <c r="H1851">
        <v>2</v>
      </c>
    </row>
    <row r="1852" spans="2:8">
      <c r="B1852" t="s">
        <v>25022</v>
      </c>
      <c r="C1852">
        <v>185</v>
      </c>
      <c r="D1852">
        <v>6</v>
      </c>
      <c r="E1852">
        <v>0</v>
      </c>
      <c r="F1852">
        <v>0</v>
      </c>
      <c r="G1852">
        <v>0</v>
      </c>
      <c r="H1852">
        <v>0</v>
      </c>
    </row>
    <row r="1853" spans="2:8">
      <c r="B1853" t="s">
        <v>25022</v>
      </c>
      <c r="C1853">
        <v>185</v>
      </c>
      <c r="D1853">
        <v>3</v>
      </c>
      <c r="E1853">
        <v>0</v>
      </c>
      <c r="F1853">
        <v>0</v>
      </c>
      <c r="G1853">
        <v>0</v>
      </c>
      <c r="H1853">
        <v>0</v>
      </c>
    </row>
    <row r="1854" spans="2:8">
      <c r="B1854" t="s">
        <v>25022</v>
      </c>
      <c r="C1854">
        <v>185</v>
      </c>
      <c r="D1854">
        <v>6</v>
      </c>
      <c r="E1854">
        <v>0</v>
      </c>
      <c r="F1854">
        <v>0</v>
      </c>
      <c r="G1854">
        <v>0</v>
      </c>
      <c r="H1854">
        <v>0</v>
      </c>
    </row>
    <row r="1855" spans="2:8">
      <c r="B1855" t="s">
        <v>25022</v>
      </c>
      <c r="C1855">
        <v>185</v>
      </c>
      <c r="D1855">
        <v>5</v>
      </c>
      <c r="E1855">
        <v>0</v>
      </c>
      <c r="F1855">
        <v>0</v>
      </c>
      <c r="G1855">
        <v>0</v>
      </c>
      <c r="H1855">
        <v>0</v>
      </c>
    </row>
    <row r="1856" spans="2:8">
      <c r="B1856" t="s">
        <v>25022</v>
      </c>
      <c r="C1856">
        <v>185</v>
      </c>
      <c r="D1856">
        <v>11</v>
      </c>
      <c r="E1856">
        <v>0</v>
      </c>
      <c r="F1856">
        <v>0</v>
      </c>
      <c r="G1856">
        <v>0</v>
      </c>
      <c r="H1856">
        <v>0</v>
      </c>
    </row>
    <row r="1857" spans="2:8">
      <c r="B1857" t="s">
        <v>25022</v>
      </c>
      <c r="C1857">
        <v>185</v>
      </c>
      <c r="D1857">
        <v>4</v>
      </c>
      <c r="E1857">
        <v>0</v>
      </c>
      <c r="F1857">
        <v>0</v>
      </c>
      <c r="G1857">
        <v>0</v>
      </c>
      <c r="H1857">
        <v>0</v>
      </c>
    </row>
    <row r="1858" spans="2:8">
      <c r="B1858" t="s">
        <v>25022</v>
      </c>
      <c r="C1858">
        <v>186</v>
      </c>
      <c r="D1858">
        <v>9</v>
      </c>
      <c r="E1858">
        <v>0</v>
      </c>
      <c r="F1858">
        <v>0</v>
      </c>
      <c r="G1858">
        <v>0</v>
      </c>
      <c r="H1858">
        <v>0</v>
      </c>
    </row>
    <row r="1859" spans="2:8">
      <c r="B1859" t="s">
        <v>25022</v>
      </c>
      <c r="C1859">
        <v>186</v>
      </c>
      <c r="D1859">
        <v>14</v>
      </c>
      <c r="E1859">
        <v>3</v>
      </c>
      <c r="F1859">
        <v>0</v>
      </c>
      <c r="G1859">
        <v>0</v>
      </c>
      <c r="H1859">
        <v>3</v>
      </c>
    </row>
    <row r="1860" spans="2:8">
      <c r="B1860" t="s">
        <v>25022</v>
      </c>
      <c r="C1860">
        <v>186</v>
      </c>
      <c r="D1860">
        <v>9</v>
      </c>
      <c r="E1860">
        <v>2</v>
      </c>
      <c r="F1860">
        <v>0</v>
      </c>
      <c r="G1860">
        <v>0</v>
      </c>
      <c r="H1860">
        <v>2</v>
      </c>
    </row>
    <row r="1861" spans="2:8">
      <c r="B1861" t="s">
        <v>25022</v>
      </c>
      <c r="C1861">
        <v>186</v>
      </c>
      <c r="D1861">
        <v>11</v>
      </c>
      <c r="E1861">
        <v>4</v>
      </c>
      <c r="F1861">
        <v>0</v>
      </c>
      <c r="G1861">
        <v>4</v>
      </c>
      <c r="H1861">
        <v>0</v>
      </c>
    </row>
    <row r="1862" spans="2:8">
      <c r="B1862" t="s">
        <v>25022</v>
      </c>
      <c r="C1862">
        <v>186</v>
      </c>
      <c r="D1862">
        <v>10</v>
      </c>
      <c r="E1862">
        <v>3</v>
      </c>
      <c r="F1862">
        <v>0</v>
      </c>
      <c r="G1862">
        <v>3</v>
      </c>
      <c r="H1862">
        <v>0</v>
      </c>
    </row>
    <row r="1863" spans="2:8">
      <c r="B1863" t="s">
        <v>25022</v>
      </c>
      <c r="C1863">
        <v>187</v>
      </c>
      <c r="D1863">
        <v>28</v>
      </c>
      <c r="E1863">
        <v>13</v>
      </c>
      <c r="F1863">
        <v>0</v>
      </c>
      <c r="G1863">
        <v>13</v>
      </c>
      <c r="H1863">
        <v>0</v>
      </c>
    </row>
    <row r="1864" spans="2:8">
      <c r="B1864" t="s">
        <v>25022</v>
      </c>
      <c r="C1864">
        <v>187</v>
      </c>
      <c r="D1864">
        <v>16</v>
      </c>
      <c r="E1864">
        <v>4</v>
      </c>
      <c r="F1864">
        <v>0</v>
      </c>
      <c r="G1864">
        <v>2</v>
      </c>
      <c r="H1864">
        <v>2</v>
      </c>
    </row>
    <row r="1865" spans="2:8">
      <c r="B1865" t="s">
        <v>25022</v>
      </c>
      <c r="C1865">
        <v>187</v>
      </c>
      <c r="D1865">
        <v>7</v>
      </c>
      <c r="E1865">
        <v>0</v>
      </c>
      <c r="F1865">
        <v>0</v>
      </c>
      <c r="G1865">
        <v>0</v>
      </c>
      <c r="H1865">
        <v>0</v>
      </c>
    </row>
    <row r="1866" spans="2:8">
      <c r="B1866" t="s">
        <v>25022</v>
      </c>
      <c r="C1866">
        <v>187</v>
      </c>
      <c r="D1866">
        <v>7</v>
      </c>
      <c r="E1866">
        <v>2</v>
      </c>
      <c r="F1866">
        <v>0</v>
      </c>
      <c r="G1866">
        <v>0</v>
      </c>
      <c r="H1866">
        <v>2</v>
      </c>
    </row>
    <row r="1867" spans="2:8">
      <c r="B1867" t="s">
        <v>25022</v>
      </c>
      <c r="C1867">
        <v>187</v>
      </c>
      <c r="D1867">
        <v>2</v>
      </c>
      <c r="E1867">
        <v>2</v>
      </c>
      <c r="F1867">
        <v>0</v>
      </c>
      <c r="G1867">
        <v>2</v>
      </c>
      <c r="H1867">
        <v>0</v>
      </c>
    </row>
    <row r="1868" spans="2:8">
      <c r="B1868" t="s">
        <v>25022</v>
      </c>
      <c r="C1868">
        <v>187</v>
      </c>
      <c r="D1868">
        <v>6</v>
      </c>
      <c r="E1868">
        <v>2</v>
      </c>
      <c r="F1868">
        <v>0</v>
      </c>
      <c r="G1868">
        <v>2</v>
      </c>
      <c r="H1868">
        <v>0</v>
      </c>
    </row>
    <row r="1869" spans="2:8">
      <c r="B1869" t="s">
        <v>25022</v>
      </c>
      <c r="C1869">
        <v>188</v>
      </c>
      <c r="D1869">
        <v>12</v>
      </c>
      <c r="E1869">
        <v>2</v>
      </c>
      <c r="F1869">
        <v>0</v>
      </c>
      <c r="G1869">
        <v>2</v>
      </c>
      <c r="H1869">
        <v>0</v>
      </c>
    </row>
    <row r="1870" spans="2:8">
      <c r="B1870" t="s">
        <v>25022</v>
      </c>
      <c r="C1870">
        <v>188</v>
      </c>
      <c r="D1870">
        <v>3</v>
      </c>
      <c r="E1870">
        <v>2</v>
      </c>
      <c r="F1870">
        <v>0</v>
      </c>
      <c r="G1870">
        <v>0</v>
      </c>
      <c r="H1870">
        <v>2</v>
      </c>
    </row>
    <row r="1871" spans="2:8">
      <c r="B1871" t="s">
        <v>25022</v>
      </c>
      <c r="C1871">
        <v>189</v>
      </c>
      <c r="D1871">
        <v>5</v>
      </c>
      <c r="E1871">
        <v>0</v>
      </c>
      <c r="F1871">
        <v>0</v>
      </c>
      <c r="G1871">
        <v>0</v>
      </c>
      <c r="H1871">
        <v>0</v>
      </c>
    </row>
    <row r="1872" spans="2:8">
      <c r="B1872" t="s">
        <v>25022</v>
      </c>
      <c r="C1872">
        <v>189</v>
      </c>
      <c r="D1872">
        <v>17</v>
      </c>
      <c r="E1872">
        <v>9</v>
      </c>
      <c r="F1872">
        <v>0</v>
      </c>
      <c r="G1872">
        <v>6</v>
      </c>
      <c r="H1872">
        <v>3</v>
      </c>
    </row>
    <row r="1873" spans="2:8">
      <c r="B1873" t="s">
        <v>25022</v>
      </c>
      <c r="C1873">
        <v>189</v>
      </c>
      <c r="D1873">
        <v>8</v>
      </c>
      <c r="E1873">
        <v>4</v>
      </c>
      <c r="F1873">
        <v>0</v>
      </c>
      <c r="G1873">
        <v>4</v>
      </c>
      <c r="H1873">
        <v>0</v>
      </c>
    </row>
    <row r="1874" spans="2:8">
      <c r="B1874" t="s">
        <v>25022</v>
      </c>
      <c r="C1874">
        <v>189</v>
      </c>
      <c r="D1874">
        <v>13</v>
      </c>
      <c r="E1874">
        <v>3</v>
      </c>
      <c r="F1874">
        <v>0</v>
      </c>
      <c r="G1874">
        <v>2</v>
      </c>
      <c r="H1874">
        <v>1</v>
      </c>
    </row>
    <row r="1875" spans="2:8">
      <c r="B1875" t="s">
        <v>25022</v>
      </c>
      <c r="C1875">
        <v>189</v>
      </c>
      <c r="D1875">
        <v>9</v>
      </c>
      <c r="E1875">
        <v>0</v>
      </c>
      <c r="F1875">
        <v>0</v>
      </c>
      <c r="G1875">
        <v>0</v>
      </c>
      <c r="H1875">
        <v>0</v>
      </c>
    </row>
    <row r="1876" spans="2:8">
      <c r="B1876" t="s">
        <v>25022</v>
      </c>
      <c r="C1876">
        <v>189</v>
      </c>
      <c r="D1876">
        <v>5</v>
      </c>
      <c r="E1876">
        <v>0</v>
      </c>
      <c r="F1876">
        <v>0</v>
      </c>
      <c r="G1876">
        <v>0</v>
      </c>
      <c r="H1876">
        <v>0</v>
      </c>
    </row>
    <row r="1877" spans="2:8">
      <c r="B1877" t="s">
        <v>25022</v>
      </c>
      <c r="C1877">
        <v>189</v>
      </c>
      <c r="D1877">
        <v>4</v>
      </c>
      <c r="E1877">
        <v>2</v>
      </c>
      <c r="F1877">
        <v>0</v>
      </c>
      <c r="G1877">
        <v>2</v>
      </c>
      <c r="H1877">
        <v>0</v>
      </c>
    </row>
    <row r="1878" spans="2:8">
      <c r="B1878" t="s">
        <v>25022</v>
      </c>
      <c r="C1878">
        <v>189</v>
      </c>
      <c r="D1878">
        <v>2</v>
      </c>
      <c r="E1878">
        <v>0</v>
      </c>
      <c r="F1878">
        <v>0</v>
      </c>
      <c r="G1878">
        <v>0</v>
      </c>
      <c r="H1878">
        <v>0</v>
      </c>
    </row>
    <row r="1879" spans="2:8">
      <c r="B1879" t="s">
        <v>25022</v>
      </c>
      <c r="C1879">
        <v>190</v>
      </c>
      <c r="D1879">
        <v>30</v>
      </c>
      <c r="E1879">
        <v>18</v>
      </c>
      <c r="F1879">
        <v>0</v>
      </c>
      <c r="G1879">
        <v>18</v>
      </c>
      <c r="H1879">
        <v>0</v>
      </c>
    </row>
    <row r="1880" spans="2:8">
      <c r="B1880" t="s">
        <v>25022</v>
      </c>
      <c r="C1880">
        <v>190</v>
      </c>
      <c r="D1880">
        <v>5</v>
      </c>
      <c r="E1880">
        <v>0</v>
      </c>
      <c r="F1880">
        <v>0</v>
      </c>
      <c r="G1880">
        <v>0</v>
      </c>
      <c r="H1880">
        <v>0</v>
      </c>
    </row>
    <row r="1881" spans="2:8">
      <c r="B1881" t="s">
        <v>25022</v>
      </c>
      <c r="C1881">
        <v>190</v>
      </c>
      <c r="D1881">
        <v>7</v>
      </c>
      <c r="E1881">
        <v>2</v>
      </c>
      <c r="F1881">
        <v>0</v>
      </c>
      <c r="G1881">
        <v>2</v>
      </c>
      <c r="H1881">
        <v>0</v>
      </c>
    </row>
    <row r="1882" spans="2:8">
      <c r="B1882" t="s">
        <v>25022</v>
      </c>
      <c r="C1882">
        <v>190</v>
      </c>
      <c r="D1882">
        <v>2</v>
      </c>
      <c r="E1882">
        <v>0</v>
      </c>
      <c r="F1882">
        <v>0</v>
      </c>
      <c r="G1882">
        <v>0</v>
      </c>
      <c r="H1882">
        <v>0</v>
      </c>
    </row>
    <row r="1883" spans="2:8">
      <c r="B1883" t="s">
        <v>25022</v>
      </c>
      <c r="C1883">
        <v>191</v>
      </c>
      <c r="D1883">
        <v>28</v>
      </c>
      <c r="E1883">
        <v>16</v>
      </c>
      <c r="F1883">
        <v>2</v>
      </c>
      <c r="G1883">
        <v>11</v>
      </c>
      <c r="H1883">
        <v>3</v>
      </c>
    </row>
    <row r="1884" spans="2:8">
      <c r="B1884" t="s">
        <v>25022</v>
      </c>
      <c r="C1884">
        <v>191</v>
      </c>
      <c r="D1884">
        <v>16</v>
      </c>
      <c r="E1884">
        <v>2</v>
      </c>
      <c r="F1884">
        <v>0</v>
      </c>
      <c r="G1884">
        <v>0</v>
      </c>
      <c r="H1884">
        <v>2</v>
      </c>
    </row>
    <row r="1885" spans="2:8">
      <c r="B1885" t="s">
        <v>25022</v>
      </c>
      <c r="C1885">
        <v>191</v>
      </c>
      <c r="D1885">
        <v>7</v>
      </c>
      <c r="E1885">
        <v>3</v>
      </c>
      <c r="F1885">
        <v>0</v>
      </c>
      <c r="G1885">
        <v>2</v>
      </c>
      <c r="H1885">
        <v>1</v>
      </c>
    </row>
    <row r="1886" spans="2:8">
      <c r="B1886" t="s">
        <v>25022</v>
      </c>
      <c r="C1886">
        <v>191</v>
      </c>
      <c r="D1886">
        <v>12</v>
      </c>
      <c r="E1886">
        <v>4</v>
      </c>
      <c r="F1886">
        <v>0</v>
      </c>
      <c r="G1886">
        <v>3</v>
      </c>
      <c r="H1886">
        <v>1</v>
      </c>
    </row>
    <row r="1887" spans="2:8">
      <c r="B1887" t="s">
        <v>25022</v>
      </c>
      <c r="C1887">
        <v>191</v>
      </c>
      <c r="D1887">
        <v>6</v>
      </c>
      <c r="E1887">
        <v>0</v>
      </c>
      <c r="F1887">
        <v>0</v>
      </c>
      <c r="G1887">
        <v>0</v>
      </c>
      <c r="H1887">
        <v>0</v>
      </c>
    </row>
    <row r="1888" spans="2:8">
      <c r="B1888" t="s">
        <v>25022</v>
      </c>
      <c r="C1888">
        <v>191</v>
      </c>
      <c r="D1888">
        <v>5</v>
      </c>
      <c r="E1888">
        <v>0</v>
      </c>
      <c r="F1888">
        <v>0</v>
      </c>
      <c r="G1888">
        <v>0</v>
      </c>
      <c r="H1888">
        <v>0</v>
      </c>
    </row>
    <row r="1889" spans="2:8">
      <c r="B1889" t="s">
        <v>25022</v>
      </c>
      <c r="C1889">
        <v>192</v>
      </c>
      <c r="D1889">
        <v>16</v>
      </c>
      <c r="E1889">
        <v>7</v>
      </c>
      <c r="F1889">
        <v>0</v>
      </c>
      <c r="G1889">
        <v>4</v>
      </c>
      <c r="H1889">
        <v>3</v>
      </c>
    </row>
    <row r="1890" spans="2:8">
      <c r="B1890" t="s">
        <v>25022</v>
      </c>
      <c r="C1890">
        <v>192</v>
      </c>
      <c r="D1890">
        <v>6</v>
      </c>
      <c r="E1890">
        <v>2</v>
      </c>
      <c r="F1890">
        <v>0</v>
      </c>
      <c r="G1890">
        <v>2</v>
      </c>
      <c r="H1890">
        <v>0</v>
      </c>
    </row>
    <row r="1891" spans="2:8">
      <c r="B1891" t="s">
        <v>25022</v>
      </c>
      <c r="C1891">
        <v>192</v>
      </c>
      <c r="D1891">
        <v>7</v>
      </c>
      <c r="E1891">
        <v>0</v>
      </c>
      <c r="F1891">
        <v>0</v>
      </c>
      <c r="G1891">
        <v>0</v>
      </c>
      <c r="H1891">
        <v>0</v>
      </c>
    </row>
    <row r="1892" spans="2:8">
      <c r="B1892" t="s">
        <v>25022</v>
      </c>
      <c r="C1892">
        <v>192</v>
      </c>
      <c r="D1892">
        <v>5</v>
      </c>
      <c r="E1892">
        <v>0</v>
      </c>
      <c r="F1892">
        <v>0</v>
      </c>
      <c r="G1892">
        <v>0</v>
      </c>
      <c r="H1892">
        <v>0</v>
      </c>
    </row>
    <row r="1893" spans="2:8">
      <c r="B1893" t="s">
        <v>25022</v>
      </c>
      <c r="C1893">
        <v>192</v>
      </c>
      <c r="D1893">
        <v>4</v>
      </c>
      <c r="E1893">
        <v>3</v>
      </c>
      <c r="F1893">
        <v>0</v>
      </c>
      <c r="G1893">
        <v>3</v>
      </c>
      <c r="H1893">
        <v>0</v>
      </c>
    </row>
    <row r="1894" spans="2:8">
      <c r="B1894" t="s">
        <v>25022</v>
      </c>
      <c r="C1894">
        <v>192</v>
      </c>
      <c r="D1894">
        <v>4</v>
      </c>
      <c r="E1894">
        <v>0</v>
      </c>
      <c r="F1894">
        <v>0</v>
      </c>
      <c r="G1894">
        <v>0</v>
      </c>
      <c r="H1894">
        <v>0</v>
      </c>
    </row>
    <row r="1895" spans="2:8">
      <c r="B1895" t="s">
        <v>25022</v>
      </c>
      <c r="C1895">
        <v>192</v>
      </c>
      <c r="D1895">
        <v>5</v>
      </c>
      <c r="E1895">
        <v>2</v>
      </c>
      <c r="F1895">
        <v>0</v>
      </c>
      <c r="G1895">
        <v>0</v>
      </c>
      <c r="H1895">
        <v>2</v>
      </c>
    </row>
    <row r="1896" spans="2:8">
      <c r="B1896" t="s">
        <v>25022</v>
      </c>
      <c r="C1896">
        <v>193</v>
      </c>
      <c r="D1896">
        <v>20</v>
      </c>
      <c r="E1896">
        <v>11</v>
      </c>
      <c r="F1896">
        <v>0</v>
      </c>
      <c r="G1896">
        <v>11</v>
      </c>
      <c r="H1896">
        <v>0</v>
      </c>
    </row>
    <row r="1897" spans="2:8">
      <c r="B1897" t="s">
        <v>25022</v>
      </c>
      <c r="C1897">
        <v>193</v>
      </c>
      <c r="D1897">
        <v>17</v>
      </c>
      <c r="E1897">
        <v>9</v>
      </c>
      <c r="F1897">
        <v>0</v>
      </c>
      <c r="G1897">
        <v>7</v>
      </c>
      <c r="H1897">
        <v>2</v>
      </c>
    </row>
    <row r="1898" spans="2:8">
      <c r="B1898" t="s">
        <v>25022</v>
      </c>
      <c r="C1898">
        <v>193</v>
      </c>
      <c r="D1898">
        <v>16</v>
      </c>
      <c r="E1898">
        <v>2</v>
      </c>
      <c r="F1898">
        <v>0</v>
      </c>
      <c r="G1898">
        <v>2</v>
      </c>
      <c r="H1898">
        <v>0</v>
      </c>
    </row>
    <row r="1899" spans="2:8">
      <c r="B1899" t="s">
        <v>25022</v>
      </c>
      <c r="C1899">
        <v>193</v>
      </c>
      <c r="D1899">
        <v>6</v>
      </c>
      <c r="E1899">
        <v>0</v>
      </c>
      <c r="F1899">
        <v>0</v>
      </c>
      <c r="G1899">
        <v>0</v>
      </c>
      <c r="H1899">
        <v>0</v>
      </c>
    </row>
    <row r="1900" spans="2:8">
      <c r="B1900" t="s">
        <v>25022</v>
      </c>
      <c r="C1900">
        <v>193</v>
      </c>
      <c r="D1900">
        <v>4</v>
      </c>
      <c r="E1900">
        <v>0</v>
      </c>
      <c r="F1900">
        <v>0</v>
      </c>
      <c r="G1900">
        <v>0</v>
      </c>
      <c r="H1900">
        <v>0</v>
      </c>
    </row>
    <row r="1901" spans="2:8">
      <c r="B1901" t="s">
        <v>25022</v>
      </c>
      <c r="C1901">
        <v>193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2:8">
      <c r="B1902" t="s">
        <v>25022</v>
      </c>
      <c r="C1902">
        <v>194</v>
      </c>
      <c r="D1902">
        <v>33</v>
      </c>
      <c r="E1902">
        <v>14</v>
      </c>
      <c r="F1902">
        <v>0</v>
      </c>
      <c r="G1902">
        <v>9</v>
      </c>
      <c r="H1902">
        <v>5</v>
      </c>
    </row>
    <row r="1903" spans="2:8">
      <c r="B1903" t="s">
        <v>25022</v>
      </c>
      <c r="C1903">
        <v>194</v>
      </c>
      <c r="D1903">
        <v>12</v>
      </c>
      <c r="E1903">
        <v>4</v>
      </c>
      <c r="F1903">
        <v>0</v>
      </c>
      <c r="G1903">
        <v>2</v>
      </c>
      <c r="H1903">
        <v>2</v>
      </c>
    </row>
    <row r="1904" spans="2:8">
      <c r="B1904" t="s">
        <v>25022</v>
      </c>
      <c r="C1904">
        <v>194</v>
      </c>
      <c r="D1904">
        <v>27</v>
      </c>
      <c r="E1904">
        <v>15</v>
      </c>
      <c r="F1904">
        <v>0</v>
      </c>
      <c r="G1904">
        <v>7</v>
      </c>
      <c r="H1904">
        <v>8</v>
      </c>
    </row>
    <row r="1905" spans="2:8">
      <c r="B1905" t="s">
        <v>25022</v>
      </c>
      <c r="C1905">
        <v>194</v>
      </c>
      <c r="D1905">
        <v>16</v>
      </c>
      <c r="E1905">
        <v>7</v>
      </c>
      <c r="F1905">
        <v>0</v>
      </c>
      <c r="G1905">
        <v>7</v>
      </c>
      <c r="H1905">
        <v>0</v>
      </c>
    </row>
    <row r="1906" spans="2:8">
      <c r="B1906" t="s">
        <v>25022</v>
      </c>
      <c r="C1906">
        <v>194</v>
      </c>
      <c r="D1906">
        <v>5</v>
      </c>
      <c r="E1906">
        <v>0</v>
      </c>
      <c r="F1906">
        <v>0</v>
      </c>
      <c r="G1906">
        <v>0</v>
      </c>
      <c r="H1906">
        <v>0</v>
      </c>
    </row>
    <row r="1907" spans="2:8">
      <c r="B1907" t="s">
        <v>25022</v>
      </c>
      <c r="C1907">
        <v>194</v>
      </c>
      <c r="D1907">
        <v>9</v>
      </c>
      <c r="E1907">
        <v>5</v>
      </c>
      <c r="F1907">
        <v>0</v>
      </c>
      <c r="G1907">
        <v>3</v>
      </c>
      <c r="H1907">
        <v>2</v>
      </c>
    </row>
    <row r="1908" spans="2:8">
      <c r="B1908" t="s">
        <v>25022</v>
      </c>
      <c r="C1908">
        <v>194</v>
      </c>
      <c r="D1908">
        <v>4</v>
      </c>
      <c r="E1908">
        <v>0</v>
      </c>
      <c r="F1908">
        <v>0</v>
      </c>
      <c r="G1908">
        <v>0</v>
      </c>
      <c r="H1908">
        <v>0</v>
      </c>
    </row>
    <row r="1909" spans="2:8">
      <c r="B1909" t="s">
        <v>25022</v>
      </c>
      <c r="C1909">
        <v>194</v>
      </c>
      <c r="D1909">
        <v>10</v>
      </c>
      <c r="E1909">
        <v>2</v>
      </c>
      <c r="F1909">
        <v>0</v>
      </c>
      <c r="G1909">
        <v>2</v>
      </c>
      <c r="H1909">
        <v>0</v>
      </c>
    </row>
    <row r="1910" spans="2:8">
      <c r="B1910" t="s">
        <v>25022</v>
      </c>
      <c r="C1910">
        <v>194</v>
      </c>
      <c r="D1910">
        <v>5</v>
      </c>
      <c r="E1910">
        <v>0</v>
      </c>
      <c r="F1910">
        <v>0</v>
      </c>
      <c r="G1910">
        <v>0</v>
      </c>
      <c r="H1910">
        <v>0</v>
      </c>
    </row>
    <row r="1911" spans="2:8">
      <c r="B1911" t="s">
        <v>25022</v>
      </c>
      <c r="C1911">
        <v>194</v>
      </c>
      <c r="D1911">
        <v>4</v>
      </c>
      <c r="E1911">
        <v>0</v>
      </c>
      <c r="F1911">
        <v>0</v>
      </c>
      <c r="G1911">
        <v>0</v>
      </c>
      <c r="H1911">
        <v>0</v>
      </c>
    </row>
    <row r="1912" spans="2:8">
      <c r="B1912" t="s">
        <v>25022</v>
      </c>
      <c r="C1912">
        <v>195</v>
      </c>
      <c r="D1912">
        <v>22</v>
      </c>
      <c r="E1912">
        <v>9</v>
      </c>
      <c r="F1912">
        <v>2</v>
      </c>
      <c r="G1912">
        <v>5</v>
      </c>
      <c r="H1912">
        <v>2</v>
      </c>
    </row>
    <row r="1913" spans="2:8">
      <c r="B1913" t="s">
        <v>25022</v>
      </c>
      <c r="C1913">
        <v>195</v>
      </c>
      <c r="D1913">
        <v>27</v>
      </c>
      <c r="E1913">
        <v>7</v>
      </c>
      <c r="F1913">
        <v>0</v>
      </c>
      <c r="G1913">
        <v>7</v>
      </c>
      <c r="H1913">
        <v>0</v>
      </c>
    </row>
    <row r="1914" spans="2:8">
      <c r="B1914" t="s">
        <v>25022</v>
      </c>
      <c r="C1914">
        <v>195</v>
      </c>
      <c r="D1914">
        <v>7</v>
      </c>
      <c r="E1914">
        <v>4</v>
      </c>
      <c r="F1914">
        <v>0</v>
      </c>
      <c r="G1914">
        <v>4</v>
      </c>
      <c r="H1914">
        <v>0</v>
      </c>
    </row>
    <row r="1915" spans="2:8">
      <c r="B1915" t="s">
        <v>25022</v>
      </c>
      <c r="C1915">
        <v>195</v>
      </c>
      <c r="D1915">
        <v>8</v>
      </c>
      <c r="E1915">
        <v>2</v>
      </c>
      <c r="F1915">
        <v>0</v>
      </c>
      <c r="G1915">
        <v>2</v>
      </c>
      <c r="H1915">
        <v>0</v>
      </c>
    </row>
    <row r="1916" spans="2:8">
      <c r="B1916" t="s">
        <v>25022</v>
      </c>
      <c r="C1916">
        <v>195</v>
      </c>
      <c r="D1916">
        <v>3</v>
      </c>
      <c r="E1916">
        <v>2</v>
      </c>
      <c r="F1916">
        <v>0</v>
      </c>
      <c r="G1916">
        <v>2</v>
      </c>
      <c r="H1916">
        <v>0</v>
      </c>
    </row>
    <row r="1917" spans="2:8">
      <c r="B1917" t="s">
        <v>25022</v>
      </c>
      <c r="C1917">
        <v>196</v>
      </c>
      <c r="D1917">
        <v>7</v>
      </c>
      <c r="E1917">
        <v>0</v>
      </c>
      <c r="F1917">
        <v>0</v>
      </c>
      <c r="G1917">
        <v>0</v>
      </c>
      <c r="H1917">
        <v>0</v>
      </c>
    </row>
    <row r="1918" spans="2:8">
      <c r="B1918" t="s">
        <v>25022</v>
      </c>
      <c r="C1918">
        <v>196</v>
      </c>
      <c r="D1918">
        <v>8</v>
      </c>
      <c r="E1918">
        <v>4</v>
      </c>
      <c r="F1918">
        <v>0</v>
      </c>
      <c r="G1918">
        <v>2</v>
      </c>
      <c r="H1918">
        <v>2</v>
      </c>
    </row>
    <row r="1919" spans="2:8">
      <c r="B1919" t="s">
        <v>25022</v>
      </c>
      <c r="C1919">
        <v>196</v>
      </c>
      <c r="D1919">
        <v>10</v>
      </c>
      <c r="E1919">
        <v>5</v>
      </c>
      <c r="F1919">
        <v>0</v>
      </c>
      <c r="G1919">
        <v>5</v>
      </c>
      <c r="H1919">
        <v>0</v>
      </c>
    </row>
    <row r="1920" spans="2:8">
      <c r="B1920" t="s">
        <v>25022</v>
      </c>
      <c r="C1920">
        <v>196</v>
      </c>
      <c r="D1920">
        <v>5</v>
      </c>
      <c r="E1920">
        <v>2</v>
      </c>
      <c r="F1920">
        <v>0</v>
      </c>
      <c r="G1920">
        <v>2</v>
      </c>
      <c r="H1920">
        <v>0</v>
      </c>
    </row>
    <row r="1921" spans="2:8">
      <c r="B1921" t="s">
        <v>25022</v>
      </c>
      <c r="C1921">
        <v>196</v>
      </c>
      <c r="D1921">
        <v>1</v>
      </c>
      <c r="E1921">
        <v>0</v>
      </c>
      <c r="F1921">
        <v>0</v>
      </c>
      <c r="G1921">
        <v>0</v>
      </c>
      <c r="H1921">
        <v>0</v>
      </c>
    </row>
    <row r="1922" spans="2:8">
      <c r="B1922" t="s">
        <v>25022</v>
      </c>
      <c r="C1922">
        <v>197</v>
      </c>
      <c r="D1922">
        <v>17</v>
      </c>
      <c r="E1922">
        <v>7</v>
      </c>
      <c r="F1922">
        <v>0</v>
      </c>
      <c r="G1922">
        <v>5</v>
      </c>
      <c r="H1922">
        <v>2</v>
      </c>
    </row>
    <row r="1923" spans="2:8">
      <c r="B1923" t="s">
        <v>25022</v>
      </c>
      <c r="C1923">
        <v>197</v>
      </c>
      <c r="D1923">
        <v>19</v>
      </c>
      <c r="E1923">
        <v>11</v>
      </c>
      <c r="F1923">
        <v>0</v>
      </c>
      <c r="G1923">
        <v>11</v>
      </c>
      <c r="H1923">
        <v>0</v>
      </c>
    </row>
    <row r="1924" spans="2:8">
      <c r="B1924" t="s">
        <v>25022</v>
      </c>
      <c r="C1924">
        <v>197</v>
      </c>
      <c r="D1924">
        <v>4</v>
      </c>
      <c r="E1924">
        <v>0</v>
      </c>
      <c r="F1924">
        <v>0</v>
      </c>
      <c r="G1924">
        <v>0</v>
      </c>
      <c r="H1924">
        <v>0</v>
      </c>
    </row>
    <row r="1925" spans="2:8">
      <c r="B1925" t="s">
        <v>25022</v>
      </c>
      <c r="C1925">
        <v>197</v>
      </c>
      <c r="D1925">
        <v>8</v>
      </c>
      <c r="E1925">
        <v>0</v>
      </c>
      <c r="F1925">
        <v>0</v>
      </c>
      <c r="G1925">
        <v>0</v>
      </c>
      <c r="H1925">
        <v>0</v>
      </c>
    </row>
    <row r="1926" spans="2:8">
      <c r="B1926" t="s">
        <v>25022</v>
      </c>
      <c r="C1926">
        <v>197</v>
      </c>
      <c r="D1926">
        <v>3</v>
      </c>
      <c r="E1926">
        <v>2</v>
      </c>
      <c r="F1926">
        <v>0</v>
      </c>
      <c r="G1926">
        <v>2</v>
      </c>
      <c r="H1926">
        <v>0</v>
      </c>
    </row>
    <row r="1927" spans="2:8">
      <c r="B1927" t="s">
        <v>25022</v>
      </c>
      <c r="C1927">
        <v>197</v>
      </c>
      <c r="D1927">
        <v>2</v>
      </c>
      <c r="E1927">
        <v>0</v>
      </c>
      <c r="F1927">
        <v>0</v>
      </c>
      <c r="G1927">
        <v>0</v>
      </c>
      <c r="H1927">
        <v>0</v>
      </c>
    </row>
    <row r="1928" spans="2:8">
      <c r="B1928" t="s">
        <v>25022</v>
      </c>
      <c r="C1928">
        <v>198</v>
      </c>
      <c r="D1928">
        <v>26</v>
      </c>
      <c r="E1928">
        <v>16</v>
      </c>
      <c r="F1928">
        <v>0</v>
      </c>
      <c r="G1928">
        <v>13</v>
      </c>
      <c r="H1928">
        <v>3</v>
      </c>
    </row>
    <row r="1929" spans="2:8">
      <c r="B1929" t="s">
        <v>25022</v>
      </c>
      <c r="C1929">
        <v>198</v>
      </c>
      <c r="D1929">
        <v>8</v>
      </c>
      <c r="E1929">
        <v>0</v>
      </c>
      <c r="F1929">
        <v>0</v>
      </c>
      <c r="G1929">
        <v>0</v>
      </c>
      <c r="H1929">
        <v>0</v>
      </c>
    </row>
    <row r="1930" spans="2:8">
      <c r="B1930" t="s">
        <v>25022</v>
      </c>
      <c r="C1930">
        <v>198</v>
      </c>
      <c r="D1930">
        <v>6</v>
      </c>
      <c r="E1930">
        <v>4</v>
      </c>
      <c r="F1930">
        <v>0</v>
      </c>
      <c r="G1930">
        <v>4</v>
      </c>
      <c r="H1930">
        <v>0</v>
      </c>
    </row>
    <row r="1931" spans="2:8">
      <c r="B1931" t="s">
        <v>25022</v>
      </c>
      <c r="C1931">
        <v>198</v>
      </c>
      <c r="D1931">
        <v>7</v>
      </c>
      <c r="E1931">
        <v>2</v>
      </c>
      <c r="F1931">
        <v>0</v>
      </c>
      <c r="G1931">
        <v>2</v>
      </c>
      <c r="H1931">
        <v>0</v>
      </c>
    </row>
    <row r="1932" spans="2:8">
      <c r="B1932" t="s">
        <v>25022</v>
      </c>
      <c r="C1932">
        <v>198</v>
      </c>
      <c r="D1932">
        <v>3</v>
      </c>
      <c r="E1932">
        <v>0</v>
      </c>
      <c r="F1932">
        <v>0</v>
      </c>
      <c r="G1932">
        <v>0</v>
      </c>
      <c r="H1932">
        <v>0</v>
      </c>
    </row>
    <row r="1933" spans="2:8">
      <c r="B1933" t="s">
        <v>25022</v>
      </c>
      <c r="C1933">
        <v>198</v>
      </c>
      <c r="D1933">
        <v>4</v>
      </c>
      <c r="E1933">
        <v>0</v>
      </c>
      <c r="F1933">
        <v>0</v>
      </c>
      <c r="G1933">
        <v>0</v>
      </c>
      <c r="H1933">
        <v>0</v>
      </c>
    </row>
    <row r="1934" spans="2:8">
      <c r="B1934" t="s">
        <v>25022</v>
      </c>
      <c r="C1934">
        <v>198</v>
      </c>
      <c r="D1934">
        <v>8</v>
      </c>
      <c r="E1934">
        <v>0</v>
      </c>
      <c r="F1934">
        <v>0</v>
      </c>
      <c r="G1934">
        <v>0</v>
      </c>
      <c r="H1934">
        <v>0</v>
      </c>
    </row>
    <row r="1935" spans="2:8">
      <c r="B1935" t="s">
        <v>25022</v>
      </c>
      <c r="C1935">
        <v>198</v>
      </c>
      <c r="D1935">
        <v>2</v>
      </c>
      <c r="E1935">
        <v>0</v>
      </c>
      <c r="F1935">
        <v>0</v>
      </c>
      <c r="G1935">
        <v>0</v>
      </c>
      <c r="H1935">
        <v>0</v>
      </c>
    </row>
    <row r="1936" spans="2:8">
      <c r="B1936" t="s">
        <v>25022</v>
      </c>
      <c r="C1936">
        <v>198</v>
      </c>
      <c r="D1936">
        <v>2</v>
      </c>
      <c r="E1936">
        <v>0</v>
      </c>
      <c r="F1936">
        <v>0</v>
      </c>
      <c r="G1936">
        <v>0</v>
      </c>
      <c r="H1936">
        <v>0</v>
      </c>
    </row>
    <row r="1937" spans="2:8">
      <c r="B1937" t="s">
        <v>25022</v>
      </c>
      <c r="C1937">
        <v>199</v>
      </c>
      <c r="D1937">
        <v>9</v>
      </c>
      <c r="E1937">
        <v>0</v>
      </c>
      <c r="F1937">
        <v>0</v>
      </c>
      <c r="G1937">
        <v>0</v>
      </c>
      <c r="H1937">
        <v>0</v>
      </c>
    </row>
    <row r="1938" spans="2:8">
      <c r="B1938" t="s">
        <v>25022</v>
      </c>
      <c r="C1938">
        <v>199</v>
      </c>
      <c r="D1938">
        <v>17</v>
      </c>
      <c r="E1938">
        <v>2</v>
      </c>
      <c r="F1938">
        <v>0</v>
      </c>
      <c r="G1938">
        <v>2</v>
      </c>
      <c r="H1938">
        <v>0</v>
      </c>
    </row>
    <row r="1939" spans="2:8">
      <c r="B1939" t="s">
        <v>25022</v>
      </c>
      <c r="C1939">
        <v>199</v>
      </c>
      <c r="D1939">
        <v>9</v>
      </c>
      <c r="E1939">
        <v>4</v>
      </c>
      <c r="F1939">
        <v>0</v>
      </c>
      <c r="G1939">
        <v>4</v>
      </c>
      <c r="H1939">
        <v>0</v>
      </c>
    </row>
    <row r="1940" spans="2:8">
      <c r="B1940" t="s">
        <v>25022</v>
      </c>
      <c r="C1940">
        <v>199</v>
      </c>
      <c r="D1940">
        <v>9</v>
      </c>
      <c r="E1940">
        <v>0</v>
      </c>
      <c r="F1940">
        <v>0</v>
      </c>
      <c r="G1940">
        <v>0</v>
      </c>
      <c r="H1940">
        <v>0</v>
      </c>
    </row>
    <row r="1941" spans="2:8">
      <c r="B1941" t="s">
        <v>25022</v>
      </c>
      <c r="C1941">
        <v>199</v>
      </c>
      <c r="D1941">
        <v>16</v>
      </c>
      <c r="E1941">
        <v>7</v>
      </c>
      <c r="F1941">
        <v>0</v>
      </c>
      <c r="G1941">
        <v>7</v>
      </c>
      <c r="H1941">
        <v>0</v>
      </c>
    </row>
    <row r="1942" spans="2:8">
      <c r="B1942" t="s">
        <v>25022</v>
      </c>
      <c r="C1942">
        <v>199</v>
      </c>
      <c r="D1942">
        <v>9</v>
      </c>
      <c r="E1942">
        <v>2</v>
      </c>
      <c r="F1942">
        <v>0</v>
      </c>
      <c r="G1942">
        <v>2</v>
      </c>
      <c r="H1942">
        <v>0</v>
      </c>
    </row>
    <row r="1943" spans="2:8">
      <c r="B1943" t="s">
        <v>25022</v>
      </c>
      <c r="C1943">
        <v>200</v>
      </c>
      <c r="D1943">
        <v>13</v>
      </c>
      <c r="E1943">
        <v>2</v>
      </c>
      <c r="F1943">
        <v>0</v>
      </c>
      <c r="G1943">
        <v>2</v>
      </c>
      <c r="H1943">
        <v>0</v>
      </c>
    </row>
    <row r="1944" spans="2:8">
      <c r="B1944" t="s">
        <v>25022</v>
      </c>
      <c r="C1944">
        <v>200</v>
      </c>
      <c r="D1944">
        <v>14</v>
      </c>
      <c r="E1944">
        <v>5</v>
      </c>
      <c r="F1944">
        <v>0</v>
      </c>
      <c r="G1944">
        <v>5</v>
      </c>
      <c r="H1944">
        <v>0</v>
      </c>
    </row>
    <row r="1945" spans="2:8">
      <c r="B1945" t="s">
        <v>25022</v>
      </c>
      <c r="C1945">
        <v>200</v>
      </c>
      <c r="D1945">
        <v>11</v>
      </c>
      <c r="E1945">
        <v>6</v>
      </c>
      <c r="F1945">
        <v>0</v>
      </c>
      <c r="G1945">
        <v>6</v>
      </c>
      <c r="H1945">
        <v>0</v>
      </c>
    </row>
    <row r="1946" spans="2:8">
      <c r="B1946" t="s">
        <v>25022</v>
      </c>
      <c r="C1946">
        <v>200</v>
      </c>
      <c r="D1946">
        <v>6</v>
      </c>
      <c r="E1946">
        <v>3</v>
      </c>
      <c r="F1946">
        <v>0</v>
      </c>
      <c r="G1946">
        <v>3</v>
      </c>
      <c r="H1946">
        <v>0</v>
      </c>
    </row>
    <row r="1947" spans="2:8">
      <c r="B1947" t="s">
        <v>25022</v>
      </c>
      <c r="C1947">
        <v>200</v>
      </c>
      <c r="D1947">
        <v>6</v>
      </c>
      <c r="E1947">
        <v>3</v>
      </c>
      <c r="F1947">
        <v>0</v>
      </c>
      <c r="G1947">
        <v>2</v>
      </c>
      <c r="H1947">
        <v>1</v>
      </c>
    </row>
    <row r="1948" spans="2:8">
      <c r="B1948" t="s">
        <v>25022</v>
      </c>
      <c r="C1948">
        <v>201</v>
      </c>
      <c r="D1948">
        <v>17</v>
      </c>
      <c r="E1948">
        <v>8</v>
      </c>
      <c r="F1948">
        <v>0</v>
      </c>
      <c r="G1948">
        <v>7</v>
      </c>
      <c r="H1948">
        <v>1</v>
      </c>
    </row>
    <row r="1949" spans="2:8">
      <c r="B1949" t="s">
        <v>25022</v>
      </c>
      <c r="C1949">
        <v>201</v>
      </c>
      <c r="D1949">
        <v>7</v>
      </c>
      <c r="E1949">
        <v>0</v>
      </c>
      <c r="F1949">
        <v>0</v>
      </c>
      <c r="G1949">
        <v>0</v>
      </c>
      <c r="H1949">
        <v>0</v>
      </c>
    </row>
    <row r="1950" spans="2:8">
      <c r="B1950" t="s">
        <v>25022</v>
      </c>
      <c r="C1950">
        <v>201</v>
      </c>
      <c r="D1950">
        <v>1</v>
      </c>
      <c r="E1950">
        <v>0</v>
      </c>
      <c r="F1950">
        <v>0</v>
      </c>
      <c r="G1950">
        <v>0</v>
      </c>
      <c r="H1950">
        <v>0</v>
      </c>
    </row>
    <row r="1951" spans="2:8">
      <c r="B1951" t="s">
        <v>25022</v>
      </c>
      <c r="C1951">
        <v>202</v>
      </c>
      <c r="D1951">
        <v>10</v>
      </c>
      <c r="E1951">
        <v>2</v>
      </c>
      <c r="F1951">
        <v>0</v>
      </c>
      <c r="G1951">
        <v>2</v>
      </c>
      <c r="H1951">
        <v>0</v>
      </c>
    </row>
    <row r="1952" spans="2:8">
      <c r="B1952" t="s">
        <v>25022</v>
      </c>
      <c r="C1952">
        <v>202</v>
      </c>
      <c r="D1952">
        <v>8</v>
      </c>
      <c r="E1952">
        <v>2</v>
      </c>
      <c r="F1952">
        <v>0</v>
      </c>
      <c r="G1952">
        <v>2</v>
      </c>
      <c r="H1952">
        <v>0</v>
      </c>
    </row>
    <row r="1953" spans="2:8">
      <c r="B1953" t="s">
        <v>25022</v>
      </c>
      <c r="C1953">
        <v>202</v>
      </c>
      <c r="D1953">
        <v>2</v>
      </c>
      <c r="E1953">
        <v>0</v>
      </c>
      <c r="F1953">
        <v>0</v>
      </c>
      <c r="G1953">
        <v>0</v>
      </c>
      <c r="H1953">
        <v>0</v>
      </c>
    </row>
    <row r="1954" spans="2:8">
      <c r="B1954" t="s">
        <v>25022</v>
      </c>
      <c r="C1954">
        <v>202</v>
      </c>
      <c r="D1954">
        <v>1</v>
      </c>
      <c r="E1954">
        <v>0</v>
      </c>
      <c r="F1954">
        <v>0</v>
      </c>
      <c r="G1954">
        <v>0</v>
      </c>
      <c r="H1954">
        <v>0</v>
      </c>
    </row>
    <row r="1955" spans="2:8">
      <c r="B1955" t="s">
        <v>25022</v>
      </c>
      <c r="C1955">
        <v>203</v>
      </c>
      <c r="D1955">
        <v>5</v>
      </c>
      <c r="E1955">
        <v>0</v>
      </c>
      <c r="F1955">
        <v>0</v>
      </c>
      <c r="G1955">
        <v>0</v>
      </c>
      <c r="H1955">
        <v>0</v>
      </c>
    </row>
    <row r="1956" spans="2:8">
      <c r="B1956" t="s">
        <v>25022</v>
      </c>
      <c r="C1956">
        <v>203</v>
      </c>
      <c r="D1956">
        <v>22</v>
      </c>
      <c r="E1956">
        <v>7</v>
      </c>
      <c r="F1956">
        <v>0</v>
      </c>
      <c r="G1956">
        <v>7</v>
      </c>
      <c r="H1956">
        <v>0</v>
      </c>
    </row>
    <row r="1957" spans="2:8">
      <c r="B1957" t="s">
        <v>25022</v>
      </c>
      <c r="C1957">
        <v>203</v>
      </c>
      <c r="D1957">
        <v>8</v>
      </c>
      <c r="E1957">
        <v>0</v>
      </c>
      <c r="F1957">
        <v>0</v>
      </c>
      <c r="G1957">
        <v>0</v>
      </c>
      <c r="H1957">
        <v>0</v>
      </c>
    </row>
    <row r="1958" spans="2:8">
      <c r="B1958" t="s">
        <v>25022</v>
      </c>
      <c r="C1958">
        <v>204</v>
      </c>
      <c r="D1958">
        <v>16</v>
      </c>
      <c r="E1958">
        <v>2</v>
      </c>
      <c r="F1958">
        <v>0</v>
      </c>
      <c r="G1958">
        <v>2</v>
      </c>
      <c r="H1958">
        <v>0</v>
      </c>
    </row>
    <row r="1959" spans="2:8">
      <c r="B1959" t="s">
        <v>25022</v>
      </c>
      <c r="C1959">
        <v>204</v>
      </c>
      <c r="D1959">
        <v>27</v>
      </c>
      <c r="E1959">
        <v>11</v>
      </c>
      <c r="F1959">
        <v>0</v>
      </c>
      <c r="G1959">
        <v>7</v>
      </c>
      <c r="H1959">
        <v>4</v>
      </c>
    </row>
    <row r="1960" spans="2:8">
      <c r="B1960" t="s">
        <v>25022</v>
      </c>
      <c r="C1960">
        <v>204</v>
      </c>
      <c r="D1960">
        <v>13</v>
      </c>
      <c r="E1960">
        <v>4</v>
      </c>
      <c r="F1960">
        <v>0</v>
      </c>
      <c r="G1960">
        <v>2</v>
      </c>
      <c r="H1960">
        <v>2</v>
      </c>
    </row>
    <row r="1961" spans="2:8">
      <c r="B1961" t="s">
        <v>25022</v>
      </c>
      <c r="C1961">
        <v>204</v>
      </c>
      <c r="D1961">
        <v>4</v>
      </c>
      <c r="E1961">
        <v>0</v>
      </c>
      <c r="F1961">
        <v>0</v>
      </c>
      <c r="G1961">
        <v>0</v>
      </c>
      <c r="H1961">
        <v>0</v>
      </c>
    </row>
    <row r="1962" spans="2:8">
      <c r="B1962" t="s">
        <v>25022</v>
      </c>
      <c r="C1962">
        <v>204</v>
      </c>
      <c r="D1962">
        <v>16</v>
      </c>
      <c r="E1962">
        <v>6</v>
      </c>
      <c r="F1962">
        <v>0</v>
      </c>
      <c r="G1962">
        <v>5</v>
      </c>
      <c r="H1962">
        <v>1</v>
      </c>
    </row>
    <row r="1963" spans="2:8">
      <c r="B1963" t="s">
        <v>25022</v>
      </c>
      <c r="C1963">
        <v>204</v>
      </c>
      <c r="D1963">
        <v>9</v>
      </c>
      <c r="E1963">
        <v>0</v>
      </c>
      <c r="F1963">
        <v>0</v>
      </c>
      <c r="G1963">
        <v>0</v>
      </c>
      <c r="H1963">
        <v>0</v>
      </c>
    </row>
    <row r="1964" spans="2:8">
      <c r="B1964" t="s">
        <v>25022</v>
      </c>
      <c r="C1964">
        <v>204</v>
      </c>
      <c r="D1964">
        <v>5</v>
      </c>
      <c r="E1964">
        <v>2</v>
      </c>
      <c r="F1964">
        <v>0</v>
      </c>
      <c r="G1964">
        <v>2</v>
      </c>
      <c r="H1964">
        <v>0</v>
      </c>
    </row>
    <row r="1965" spans="2:8">
      <c r="B1965" t="s">
        <v>25022</v>
      </c>
      <c r="C1965">
        <v>204</v>
      </c>
      <c r="D1965">
        <v>2</v>
      </c>
      <c r="E1965">
        <v>0</v>
      </c>
      <c r="F1965">
        <v>0</v>
      </c>
      <c r="G1965">
        <v>0</v>
      </c>
      <c r="H1965">
        <v>0</v>
      </c>
    </row>
    <row r="1966" spans="2:8">
      <c r="B1966" t="s">
        <v>25022</v>
      </c>
      <c r="C1966">
        <v>205</v>
      </c>
      <c r="D1966">
        <v>37</v>
      </c>
      <c r="E1966">
        <v>20</v>
      </c>
      <c r="F1966">
        <v>0</v>
      </c>
      <c r="G1966">
        <v>18</v>
      </c>
      <c r="H1966">
        <v>2</v>
      </c>
    </row>
    <row r="1967" spans="2:8">
      <c r="B1967" t="s">
        <v>25022</v>
      </c>
      <c r="C1967">
        <v>205</v>
      </c>
      <c r="D1967">
        <v>34</v>
      </c>
      <c r="E1967">
        <v>11</v>
      </c>
      <c r="F1967">
        <v>0</v>
      </c>
      <c r="G1967">
        <v>10</v>
      </c>
      <c r="H1967">
        <v>1</v>
      </c>
    </row>
    <row r="1968" spans="2:8">
      <c r="B1968" t="s">
        <v>25022</v>
      </c>
      <c r="C1968">
        <v>205</v>
      </c>
      <c r="D1968">
        <v>19</v>
      </c>
      <c r="E1968">
        <v>7</v>
      </c>
      <c r="F1968">
        <v>0</v>
      </c>
      <c r="G1968">
        <v>5</v>
      </c>
      <c r="H1968">
        <v>2</v>
      </c>
    </row>
    <row r="1969" spans="2:8">
      <c r="B1969" t="s">
        <v>25022</v>
      </c>
      <c r="C1969">
        <v>205</v>
      </c>
      <c r="D1969">
        <v>23</v>
      </c>
      <c r="E1969">
        <v>14</v>
      </c>
      <c r="F1969">
        <v>0</v>
      </c>
      <c r="G1969">
        <v>12</v>
      </c>
      <c r="H1969">
        <v>2</v>
      </c>
    </row>
    <row r="1970" spans="2:8">
      <c r="B1970" t="s">
        <v>25022</v>
      </c>
      <c r="C1970">
        <v>205</v>
      </c>
      <c r="D1970">
        <v>16</v>
      </c>
      <c r="E1970">
        <v>4</v>
      </c>
      <c r="F1970">
        <v>0</v>
      </c>
      <c r="G1970">
        <v>2</v>
      </c>
      <c r="H1970">
        <v>2</v>
      </c>
    </row>
    <row r="1971" spans="2:8">
      <c r="B1971" t="s">
        <v>25022</v>
      </c>
      <c r="C1971">
        <v>205</v>
      </c>
      <c r="D1971">
        <v>13</v>
      </c>
      <c r="E1971">
        <v>4</v>
      </c>
      <c r="F1971">
        <v>0</v>
      </c>
      <c r="G1971">
        <v>4</v>
      </c>
      <c r="H1971">
        <v>0</v>
      </c>
    </row>
    <row r="1972" spans="2:8">
      <c r="B1972" t="s">
        <v>25022</v>
      </c>
      <c r="C1972">
        <v>205</v>
      </c>
      <c r="D1972">
        <v>17</v>
      </c>
      <c r="E1972">
        <v>4</v>
      </c>
      <c r="F1972">
        <v>0</v>
      </c>
      <c r="G1972">
        <v>4</v>
      </c>
      <c r="H1972">
        <v>0</v>
      </c>
    </row>
    <row r="1973" spans="2:8">
      <c r="B1973" t="s">
        <v>25022</v>
      </c>
      <c r="C1973">
        <v>205</v>
      </c>
      <c r="D1973">
        <v>3</v>
      </c>
      <c r="E1973">
        <v>2</v>
      </c>
      <c r="F1973">
        <v>0</v>
      </c>
      <c r="G1973">
        <v>2</v>
      </c>
      <c r="H1973">
        <v>0</v>
      </c>
    </row>
    <row r="1974" spans="2:8">
      <c r="B1974" t="s">
        <v>25022</v>
      </c>
      <c r="C1974">
        <v>206</v>
      </c>
      <c r="D1974">
        <v>11</v>
      </c>
      <c r="E1974">
        <v>4</v>
      </c>
      <c r="F1974">
        <v>0</v>
      </c>
      <c r="G1974">
        <v>0</v>
      </c>
      <c r="H1974">
        <v>4</v>
      </c>
    </row>
    <row r="1975" spans="2:8">
      <c r="B1975" t="s">
        <v>25022</v>
      </c>
      <c r="C1975">
        <v>206</v>
      </c>
      <c r="D1975">
        <v>21</v>
      </c>
      <c r="E1975">
        <v>11</v>
      </c>
      <c r="F1975">
        <v>0</v>
      </c>
      <c r="G1975">
        <v>9</v>
      </c>
      <c r="H1975">
        <v>2</v>
      </c>
    </row>
    <row r="1976" spans="2:8">
      <c r="B1976" t="s">
        <v>25022</v>
      </c>
      <c r="C1976">
        <v>206</v>
      </c>
      <c r="D1976">
        <v>5</v>
      </c>
      <c r="E1976">
        <v>0</v>
      </c>
      <c r="F1976">
        <v>0</v>
      </c>
      <c r="G1976">
        <v>0</v>
      </c>
      <c r="H1976">
        <v>0</v>
      </c>
    </row>
    <row r="1977" spans="2:8">
      <c r="B1977" t="s">
        <v>25022</v>
      </c>
      <c r="C1977">
        <v>206</v>
      </c>
      <c r="D1977">
        <v>23</v>
      </c>
      <c r="E1977">
        <v>11</v>
      </c>
      <c r="F1977">
        <v>0</v>
      </c>
      <c r="G1977">
        <v>7</v>
      </c>
      <c r="H1977">
        <v>4</v>
      </c>
    </row>
    <row r="1978" spans="2:8">
      <c r="B1978" t="s">
        <v>25022</v>
      </c>
      <c r="C1978">
        <v>206</v>
      </c>
      <c r="D1978">
        <v>7</v>
      </c>
      <c r="E1978">
        <v>0</v>
      </c>
      <c r="F1978">
        <v>0</v>
      </c>
      <c r="G1978">
        <v>0</v>
      </c>
      <c r="H1978">
        <v>0</v>
      </c>
    </row>
    <row r="1979" spans="2:8">
      <c r="B1979" t="s">
        <v>25022</v>
      </c>
      <c r="C1979">
        <v>206</v>
      </c>
      <c r="D1979">
        <v>10</v>
      </c>
      <c r="E1979">
        <v>6</v>
      </c>
      <c r="F1979">
        <v>0</v>
      </c>
      <c r="G1979">
        <v>6</v>
      </c>
      <c r="H1979">
        <v>0</v>
      </c>
    </row>
    <row r="1980" spans="2:8">
      <c r="B1980" t="s">
        <v>25022</v>
      </c>
      <c r="C1980">
        <v>206</v>
      </c>
      <c r="D1980">
        <v>9</v>
      </c>
      <c r="E1980">
        <v>0</v>
      </c>
      <c r="F1980">
        <v>0</v>
      </c>
      <c r="G1980">
        <v>0</v>
      </c>
      <c r="H1980">
        <v>0</v>
      </c>
    </row>
    <row r="1981" spans="2:8">
      <c r="B1981" t="s">
        <v>25022</v>
      </c>
      <c r="C1981">
        <v>207</v>
      </c>
      <c r="D1981">
        <v>27</v>
      </c>
      <c r="E1981">
        <v>5</v>
      </c>
      <c r="F1981">
        <v>0</v>
      </c>
      <c r="G1981">
        <v>5</v>
      </c>
      <c r="H1981">
        <v>0</v>
      </c>
    </row>
    <row r="1982" spans="2:8">
      <c r="B1982" t="s">
        <v>25022</v>
      </c>
      <c r="C1982">
        <v>207</v>
      </c>
      <c r="D1982">
        <v>8</v>
      </c>
      <c r="E1982">
        <v>2</v>
      </c>
      <c r="F1982">
        <v>0</v>
      </c>
      <c r="G1982">
        <v>2</v>
      </c>
      <c r="H1982">
        <v>0</v>
      </c>
    </row>
    <row r="1983" spans="2:8">
      <c r="B1983" t="s">
        <v>25022</v>
      </c>
      <c r="C1983">
        <v>207</v>
      </c>
      <c r="D1983">
        <v>9</v>
      </c>
      <c r="E1983">
        <v>2</v>
      </c>
      <c r="F1983">
        <v>0</v>
      </c>
      <c r="G1983">
        <v>2</v>
      </c>
      <c r="H1983">
        <v>0</v>
      </c>
    </row>
    <row r="1984" spans="2:8">
      <c r="B1984" t="s">
        <v>25022</v>
      </c>
      <c r="C1984">
        <v>207</v>
      </c>
      <c r="D1984">
        <v>14</v>
      </c>
      <c r="E1984">
        <v>8</v>
      </c>
      <c r="F1984">
        <v>0</v>
      </c>
      <c r="G1984">
        <v>4</v>
      </c>
      <c r="H1984">
        <v>4</v>
      </c>
    </row>
    <row r="1985" spans="2:8">
      <c r="B1985" t="s">
        <v>25022</v>
      </c>
      <c r="C1985">
        <v>207</v>
      </c>
      <c r="D1985">
        <v>9</v>
      </c>
      <c r="E1985">
        <v>2</v>
      </c>
      <c r="F1985">
        <v>0</v>
      </c>
      <c r="G1985">
        <v>2</v>
      </c>
      <c r="H1985">
        <v>0</v>
      </c>
    </row>
    <row r="1986" spans="2:8">
      <c r="B1986" t="s">
        <v>25022</v>
      </c>
      <c r="C1986">
        <v>207</v>
      </c>
      <c r="D1986">
        <v>3</v>
      </c>
      <c r="E1986">
        <v>0</v>
      </c>
      <c r="F1986">
        <v>0</v>
      </c>
      <c r="G1986">
        <v>0</v>
      </c>
      <c r="H1986">
        <v>0</v>
      </c>
    </row>
    <row r="1987" spans="2:8">
      <c r="B1987" t="s">
        <v>25022</v>
      </c>
      <c r="C1987">
        <v>208</v>
      </c>
      <c r="D1987">
        <v>9</v>
      </c>
      <c r="E1987">
        <v>0</v>
      </c>
      <c r="F1987">
        <v>0</v>
      </c>
      <c r="G1987">
        <v>0</v>
      </c>
      <c r="H1987">
        <v>0</v>
      </c>
    </row>
    <row r="1988" spans="2:8">
      <c r="B1988" t="s">
        <v>25022</v>
      </c>
      <c r="C1988">
        <v>208</v>
      </c>
      <c r="D1988">
        <v>30</v>
      </c>
      <c r="E1988">
        <v>18</v>
      </c>
      <c r="F1988">
        <v>0</v>
      </c>
      <c r="G1988">
        <v>15</v>
      </c>
      <c r="H1988">
        <v>3</v>
      </c>
    </row>
    <row r="1989" spans="2:8">
      <c r="B1989" t="s">
        <v>25022</v>
      </c>
      <c r="C1989">
        <v>208</v>
      </c>
      <c r="D1989">
        <v>32</v>
      </c>
      <c r="E1989">
        <v>14</v>
      </c>
      <c r="F1989">
        <v>2</v>
      </c>
      <c r="G1989">
        <v>11</v>
      </c>
      <c r="H1989">
        <v>1</v>
      </c>
    </row>
    <row r="1990" spans="2:8">
      <c r="B1990" t="s">
        <v>25022</v>
      </c>
      <c r="C1990">
        <v>208</v>
      </c>
      <c r="D1990">
        <v>24</v>
      </c>
      <c r="E1990">
        <v>13</v>
      </c>
      <c r="F1990">
        <v>0</v>
      </c>
      <c r="G1990">
        <v>9</v>
      </c>
      <c r="H1990">
        <v>4</v>
      </c>
    </row>
    <row r="1991" spans="2:8">
      <c r="B1991" t="s">
        <v>25022</v>
      </c>
      <c r="C1991">
        <v>208</v>
      </c>
      <c r="D1991">
        <v>9</v>
      </c>
      <c r="E1991">
        <v>0</v>
      </c>
      <c r="F1991">
        <v>0</v>
      </c>
      <c r="G1991">
        <v>0</v>
      </c>
      <c r="H1991">
        <v>0</v>
      </c>
    </row>
    <row r="1992" spans="2:8">
      <c r="B1992" t="s">
        <v>25022</v>
      </c>
      <c r="C1992">
        <v>208</v>
      </c>
      <c r="D1992">
        <v>14</v>
      </c>
      <c r="E1992">
        <v>8</v>
      </c>
      <c r="F1992">
        <v>0</v>
      </c>
      <c r="G1992">
        <v>8</v>
      </c>
      <c r="H1992">
        <v>0</v>
      </c>
    </row>
    <row r="1993" spans="2:8">
      <c r="B1993" t="s">
        <v>25022</v>
      </c>
      <c r="C1993">
        <v>208</v>
      </c>
      <c r="D1993">
        <v>5</v>
      </c>
      <c r="E1993">
        <v>2</v>
      </c>
      <c r="F1993">
        <v>0</v>
      </c>
      <c r="G1993">
        <v>0</v>
      </c>
      <c r="H1993">
        <v>2</v>
      </c>
    </row>
    <row r="1994" spans="2:8">
      <c r="B1994" t="s">
        <v>25022</v>
      </c>
      <c r="C1994">
        <v>209</v>
      </c>
      <c r="D1994">
        <v>22</v>
      </c>
      <c r="E1994">
        <v>8</v>
      </c>
      <c r="F1994">
        <v>0</v>
      </c>
      <c r="G1994">
        <v>8</v>
      </c>
      <c r="H1994">
        <v>0</v>
      </c>
    </row>
    <row r="1995" spans="2:8">
      <c r="B1995" t="s">
        <v>25022</v>
      </c>
      <c r="C1995">
        <v>209</v>
      </c>
      <c r="D1995">
        <v>18</v>
      </c>
      <c r="E1995">
        <v>9</v>
      </c>
      <c r="F1995">
        <v>0</v>
      </c>
      <c r="G1995">
        <v>6</v>
      </c>
      <c r="H1995">
        <v>3</v>
      </c>
    </row>
    <row r="1996" spans="2:8">
      <c r="B1996" t="s">
        <v>25022</v>
      </c>
      <c r="C1996">
        <v>209</v>
      </c>
      <c r="D1996">
        <v>17</v>
      </c>
      <c r="E1996">
        <v>7</v>
      </c>
      <c r="F1996">
        <v>0</v>
      </c>
      <c r="G1996">
        <v>3</v>
      </c>
      <c r="H1996">
        <v>4</v>
      </c>
    </row>
    <row r="1997" spans="2:8">
      <c r="B1997" t="s">
        <v>25022</v>
      </c>
      <c r="C1997">
        <v>209</v>
      </c>
      <c r="D1997">
        <v>19</v>
      </c>
      <c r="E1997">
        <v>9</v>
      </c>
      <c r="F1997">
        <v>0</v>
      </c>
      <c r="G1997">
        <v>6</v>
      </c>
      <c r="H1997">
        <v>3</v>
      </c>
    </row>
    <row r="1998" spans="2:8">
      <c r="B1998" t="s">
        <v>25022</v>
      </c>
      <c r="C1998">
        <v>209</v>
      </c>
      <c r="D1998">
        <v>8</v>
      </c>
      <c r="E1998">
        <v>5</v>
      </c>
      <c r="F1998">
        <v>0</v>
      </c>
      <c r="G1998">
        <v>3</v>
      </c>
      <c r="H1998">
        <v>2</v>
      </c>
    </row>
    <row r="1999" spans="2:8">
      <c r="B1999" t="s">
        <v>25022</v>
      </c>
      <c r="C1999">
        <v>209</v>
      </c>
      <c r="D1999">
        <v>7</v>
      </c>
      <c r="E1999">
        <v>0</v>
      </c>
      <c r="F1999">
        <v>0</v>
      </c>
      <c r="G1999">
        <v>0</v>
      </c>
      <c r="H1999">
        <v>0</v>
      </c>
    </row>
    <row r="2000" spans="2:8">
      <c r="B2000" t="s">
        <v>25022</v>
      </c>
      <c r="C2000">
        <v>209</v>
      </c>
      <c r="D2000">
        <v>5</v>
      </c>
      <c r="E2000">
        <v>0</v>
      </c>
      <c r="F2000">
        <v>0</v>
      </c>
      <c r="G2000">
        <v>0</v>
      </c>
      <c r="H2000">
        <v>0</v>
      </c>
    </row>
    <row r="2001" spans="2:8">
      <c r="B2001" t="s">
        <v>25022</v>
      </c>
      <c r="C2001">
        <v>209</v>
      </c>
      <c r="D2001">
        <v>1</v>
      </c>
      <c r="E2001">
        <v>0</v>
      </c>
      <c r="F2001">
        <v>0</v>
      </c>
      <c r="G2001">
        <v>0</v>
      </c>
      <c r="H2001">
        <v>0</v>
      </c>
    </row>
    <row r="2002" spans="2:8">
      <c r="B2002" t="s">
        <v>25022</v>
      </c>
      <c r="C2002">
        <v>209</v>
      </c>
      <c r="D2002">
        <v>1</v>
      </c>
      <c r="E2002">
        <v>0</v>
      </c>
      <c r="F2002">
        <v>0</v>
      </c>
      <c r="G2002">
        <v>0</v>
      </c>
      <c r="H2002">
        <v>0</v>
      </c>
    </row>
    <row r="2003" spans="2:8">
      <c r="B2003" t="s">
        <v>25022</v>
      </c>
      <c r="C2003">
        <v>210</v>
      </c>
      <c r="D2003">
        <v>32</v>
      </c>
      <c r="E2003">
        <v>19</v>
      </c>
      <c r="F2003">
        <v>0</v>
      </c>
      <c r="G2003">
        <v>16</v>
      </c>
      <c r="H2003">
        <v>3</v>
      </c>
    </row>
    <row r="2004" spans="2:8">
      <c r="B2004" t="s">
        <v>25022</v>
      </c>
      <c r="C2004">
        <v>210</v>
      </c>
      <c r="D2004">
        <v>13</v>
      </c>
      <c r="E2004">
        <v>2</v>
      </c>
      <c r="F2004">
        <v>0</v>
      </c>
      <c r="G2004">
        <v>0</v>
      </c>
      <c r="H2004">
        <v>2</v>
      </c>
    </row>
    <row r="2005" spans="2:8">
      <c r="B2005" t="s">
        <v>25022</v>
      </c>
      <c r="C2005">
        <v>210</v>
      </c>
      <c r="D2005">
        <v>7</v>
      </c>
      <c r="E2005">
        <v>2</v>
      </c>
      <c r="F2005">
        <v>0</v>
      </c>
      <c r="G2005">
        <v>0</v>
      </c>
      <c r="H2005">
        <v>2</v>
      </c>
    </row>
    <row r="2006" spans="2:8">
      <c r="B2006" t="s">
        <v>25022</v>
      </c>
      <c r="C2006">
        <v>210</v>
      </c>
      <c r="D2006">
        <v>5</v>
      </c>
      <c r="E2006">
        <v>4</v>
      </c>
      <c r="F2006">
        <v>0</v>
      </c>
      <c r="G2006">
        <v>4</v>
      </c>
      <c r="H2006">
        <v>0</v>
      </c>
    </row>
    <row r="2007" spans="2:8">
      <c r="B2007" t="s">
        <v>25022</v>
      </c>
      <c r="C2007">
        <v>210</v>
      </c>
      <c r="D2007">
        <v>2</v>
      </c>
      <c r="E2007">
        <v>0</v>
      </c>
      <c r="F2007">
        <v>0</v>
      </c>
      <c r="G2007">
        <v>0</v>
      </c>
      <c r="H2007">
        <v>0</v>
      </c>
    </row>
    <row r="2008" spans="2:8">
      <c r="B2008" t="s">
        <v>25022</v>
      </c>
      <c r="C2008">
        <v>211</v>
      </c>
      <c r="D2008">
        <v>35</v>
      </c>
      <c r="E2008">
        <v>11</v>
      </c>
      <c r="F2008">
        <v>0</v>
      </c>
      <c r="G2008">
        <v>9</v>
      </c>
      <c r="H2008">
        <v>2</v>
      </c>
    </row>
    <row r="2009" spans="2:8">
      <c r="B2009" t="s">
        <v>25022</v>
      </c>
      <c r="C2009">
        <v>211</v>
      </c>
      <c r="D2009">
        <v>36</v>
      </c>
      <c r="E2009">
        <v>18</v>
      </c>
      <c r="F2009">
        <v>0</v>
      </c>
      <c r="G2009">
        <v>13</v>
      </c>
      <c r="H2009">
        <v>5</v>
      </c>
    </row>
    <row r="2010" spans="2:8">
      <c r="B2010" t="s">
        <v>25022</v>
      </c>
      <c r="C2010">
        <v>211</v>
      </c>
      <c r="D2010">
        <v>11</v>
      </c>
      <c r="E2010">
        <v>4</v>
      </c>
      <c r="F2010">
        <v>0</v>
      </c>
      <c r="G2010">
        <v>4</v>
      </c>
      <c r="H2010">
        <v>0</v>
      </c>
    </row>
    <row r="2011" spans="2:8">
      <c r="B2011" t="s">
        <v>25022</v>
      </c>
      <c r="C2011">
        <v>211</v>
      </c>
      <c r="D2011">
        <v>17</v>
      </c>
      <c r="E2011">
        <v>9</v>
      </c>
      <c r="F2011">
        <v>0</v>
      </c>
      <c r="G2011">
        <v>7</v>
      </c>
      <c r="H2011">
        <v>2</v>
      </c>
    </row>
    <row r="2012" spans="2:8">
      <c r="B2012" t="s">
        <v>25022</v>
      </c>
      <c r="C2012">
        <v>211</v>
      </c>
      <c r="D2012">
        <v>15</v>
      </c>
      <c r="E2012">
        <v>8</v>
      </c>
      <c r="F2012">
        <v>0</v>
      </c>
      <c r="G2012">
        <v>8</v>
      </c>
      <c r="H2012">
        <v>0</v>
      </c>
    </row>
    <row r="2013" spans="2:8">
      <c r="B2013" t="s">
        <v>25022</v>
      </c>
      <c r="C2013">
        <v>211</v>
      </c>
      <c r="D2013">
        <v>2</v>
      </c>
      <c r="E2013">
        <v>0</v>
      </c>
      <c r="F2013">
        <v>0</v>
      </c>
      <c r="G2013">
        <v>0</v>
      </c>
      <c r="H2013">
        <v>0</v>
      </c>
    </row>
    <row r="2014" spans="2:8">
      <c r="B2014" t="s">
        <v>25022</v>
      </c>
      <c r="C2014">
        <v>211</v>
      </c>
      <c r="D2014">
        <v>5</v>
      </c>
      <c r="E2014">
        <v>2</v>
      </c>
      <c r="F2014">
        <v>0</v>
      </c>
      <c r="G2014">
        <v>2</v>
      </c>
      <c r="H2014">
        <v>0</v>
      </c>
    </row>
    <row r="2015" spans="2:8">
      <c r="B2015" t="s">
        <v>25022</v>
      </c>
      <c r="C2015">
        <v>211</v>
      </c>
      <c r="D2015">
        <v>9</v>
      </c>
      <c r="E2015">
        <v>0</v>
      </c>
      <c r="F2015">
        <v>0</v>
      </c>
      <c r="G2015">
        <v>0</v>
      </c>
      <c r="H2015">
        <v>0</v>
      </c>
    </row>
    <row r="2016" spans="2:8">
      <c r="B2016" t="s">
        <v>25022</v>
      </c>
      <c r="C2016">
        <v>211</v>
      </c>
      <c r="D2016">
        <v>1</v>
      </c>
      <c r="E2016">
        <v>0</v>
      </c>
      <c r="F2016">
        <v>0</v>
      </c>
      <c r="G2016">
        <v>0</v>
      </c>
      <c r="H2016">
        <v>0</v>
      </c>
    </row>
    <row r="2017" spans="2:8">
      <c r="B2017" t="s">
        <v>25022</v>
      </c>
      <c r="C2017">
        <v>212</v>
      </c>
      <c r="D2017">
        <v>20</v>
      </c>
      <c r="E2017">
        <v>7</v>
      </c>
      <c r="F2017">
        <v>0</v>
      </c>
      <c r="G2017">
        <v>7</v>
      </c>
      <c r="H2017">
        <v>0</v>
      </c>
    </row>
    <row r="2018" spans="2:8">
      <c r="B2018" t="s">
        <v>25022</v>
      </c>
      <c r="C2018">
        <v>212</v>
      </c>
      <c r="D2018">
        <v>10</v>
      </c>
      <c r="E2018">
        <v>4</v>
      </c>
      <c r="F2018">
        <v>0</v>
      </c>
      <c r="G2018">
        <v>4</v>
      </c>
      <c r="H2018">
        <v>0</v>
      </c>
    </row>
    <row r="2019" spans="2:8">
      <c r="B2019" t="s">
        <v>25022</v>
      </c>
      <c r="C2019">
        <v>212</v>
      </c>
      <c r="D2019">
        <v>10</v>
      </c>
      <c r="E2019">
        <v>2</v>
      </c>
      <c r="F2019">
        <v>0</v>
      </c>
      <c r="G2019">
        <v>2</v>
      </c>
      <c r="H2019">
        <v>0</v>
      </c>
    </row>
    <row r="2020" spans="2:8">
      <c r="B2020" t="s">
        <v>25022</v>
      </c>
      <c r="C2020">
        <v>212</v>
      </c>
      <c r="D2020">
        <v>6</v>
      </c>
      <c r="E2020">
        <v>0</v>
      </c>
      <c r="F2020">
        <v>0</v>
      </c>
      <c r="G2020">
        <v>0</v>
      </c>
      <c r="H2020">
        <v>0</v>
      </c>
    </row>
    <row r="2021" spans="2:8">
      <c r="B2021" t="s">
        <v>25022</v>
      </c>
      <c r="C2021">
        <v>212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2:8">
      <c r="B2022" t="s">
        <v>25022</v>
      </c>
      <c r="C2022">
        <v>213</v>
      </c>
      <c r="D2022">
        <v>6</v>
      </c>
      <c r="E2022">
        <v>2</v>
      </c>
      <c r="F2022">
        <v>0</v>
      </c>
      <c r="G2022">
        <v>0</v>
      </c>
      <c r="H2022">
        <v>2</v>
      </c>
    </row>
    <row r="2023" spans="2:8">
      <c r="B2023" t="s">
        <v>25022</v>
      </c>
      <c r="C2023">
        <v>213</v>
      </c>
      <c r="D2023">
        <v>18</v>
      </c>
      <c r="E2023">
        <v>4</v>
      </c>
      <c r="F2023">
        <v>0</v>
      </c>
      <c r="G2023">
        <v>4</v>
      </c>
      <c r="H2023">
        <v>0</v>
      </c>
    </row>
    <row r="2024" spans="2:8">
      <c r="B2024" t="s">
        <v>25022</v>
      </c>
      <c r="C2024">
        <v>213</v>
      </c>
      <c r="D2024">
        <v>21</v>
      </c>
      <c r="E2024">
        <v>6</v>
      </c>
      <c r="F2024">
        <v>0</v>
      </c>
      <c r="G2024">
        <v>6</v>
      </c>
      <c r="H2024">
        <v>0</v>
      </c>
    </row>
    <row r="2025" spans="2:8">
      <c r="B2025" t="s">
        <v>25022</v>
      </c>
      <c r="C2025">
        <v>213</v>
      </c>
      <c r="D2025">
        <v>12</v>
      </c>
      <c r="E2025">
        <v>5</v>
      </c>
      <c r="F2025">
        <v>0</v>
      </c>
      <c r="G2025">
        <v>5</v>
      </c>
      <c r="H2025">
        <v>0</v>
      </c>
    </row>
    <row r="2026" spans="2:8">
      <c r="B2026" t="s">
        <v>25022</v>
      </c>
      <c r="C2026">
        <v>213</v>
      </c>
      <c r="D2026">
        <v>10</v>
      </c>
      <c r="E2026">
        <v>4</v>
      </c>
      <c r="F2026">
        <v>0</v>
      </c>
      <c r="G2026">
        <v>4</v>
      </c>
      <c r="H2026">
        <v>0</v>
      </c>
    </row>
    <row r="2027" spans="2:8">
      <c r="B2027" t="s">
        <v>25022</v>
      </c>
      <c r="C2027">
        <v>213</v>
      </c>
      <c r="D2027">
        <v>12</v>
      </c>
      <c r="E2027">
        <v>0</v>
      </c>
      <c r="F2027">
        <v>0</v>
      </c>
      <c r="G2027">
        <v>0</v>
      </c>
      <c r="H2027">
        <v>0</v>
      </c>
    </row>
    <row r="2028" spans="2:8">
      <c r="B2028" t="s">
        <v>25022</v>
      </c>
      <c r="C2028">
        <v>213</v>
      </c>
      <c r="D2028">
        <v>17</v>
      </c>
      <c r="E2028">
        <v>8</v>
      </c>
      <c r="F2028">
        <v>0</v>
      </c>
      <c r="G2028">
        <v>7</v>
      </c>
      <c r="H2028">
        <v>1</v>
      </c>
    </row>
    <row r="2029" spans="2:8">
      <c r="B2029" t="s">
        <v>25022</v>
      </c>
      <c r="C2029">
        <v>213</v>
      </c>
      <c r="D2029">
        <v>8</v>
      </c>
      <c r="E2029">
        <v>0</v>
      </c>
      <c r="F2029">
        <v>0</v>
      </c>
      <c r="G2029">
        <v>0</v>
      </c>
      <c r="H2029">
        <v>0</v>
      </c>
    </row>
    <row r="2030" spans="2:8">
      <c r="B2030" t="s">
        <v>25022</v>
      </c>
      <c r="C2030">
        <v>213</v>
      </c>
      <c r="D2030">
        <v>4</v>
      </c>
      <c r="E2030">
        <v>2</v>
      </c>
      <c r="F2030">
        <v>0</v>
      </c>
      <c r="G2030">
        <v>2</v>
      </c>
      <c r="H2030">
        <v>0</v>
      </c>
    </row>
    <row r="2031" spans="2:8">
      <c r="B2031" t="s">
        <v>25022</v>
      </c>
      <c r="C2031">
        <v>214</v>
      </c>
      <c r="D2031">
        <v>19</v>
      </c>
      <c r="E2031">
        <v>12</v>
      </c>
      <c r="F2031">
        <v>0</v>
      </c>
      <c r="G2031">
        <v>8</v>
      </c>
      <c r="H2031">
        <v>4</v>
      </c>
    </row>
    <row r="2032" spans="2:8">
      <c r="B2032" t="s">
        <v>25022</v>
      </c>
      <c r="C2032">
        <v>214</v>
      </c>
      <c r="D2032">
        <v>15</v>
      </c>
      <c r="E2032">
        <v>2</v>
      </c>
      <c r="F2032">
        <v>0</v>
      </c>
      <c r="G2032">
        <v>0</v>
      </c>
      <c r="H2032">
        <v>2</v>
      </c>
    </row>
    <row r="2033" spans="2:8">
      <c r="B2033" t="s">
        <v>25022</v>
      </c>
      <c r="C2033">
        <v>214</v>
      </c>
      <c r="D2033">
        <v>9</v>
      </c>
      <c r="E2033">
        <v>3</v>
      </c>
      <c r="F2033">
        <v>0</v>
      </c>
      <c r="G2033">
        <v>3</v>
      </c>
      <c r="H2033">
        <v>0</v>
      </c>
    </row>
    <row r="2034" spans="2:8">
      <c r="B2034" t="s">
        <v>25022</v>
      </c>
      <c r="C2034">
        <v>214</v>
      </c>
      <c r="D2034">
        <v>3</v>
      </c>
      <c r="E2034">
        <v>0</v>
      </c>
      <c r="F2034">
        <v>0</v>
      </c>
      <c r="G2034">
        <v>0</v>
      </c>
      <c r="H2034">
        <v>0</v>
      </c>
    </row>
    <row r="2035" spans="2:8">
      <c r="B2035" t="s">
        <v>25022</v>
      </c>
      <c r="C2035">
        <v>214</v>
      </c>
      <c r="D2035">
        <v>2</v>
      </c>
      <c r="E2035">
        <v>2</v>
      </c>
      <c r="F2035">
        <v>0</v>
      </c>
      <c r="G2035">
        <v>2</v>
      </c>
      <c r="H2035">
        <v>0</v>
      </c>
    </row>
    <row r="2036" spans="2:8">
      <c r="B2036" t="s">
        <v>25022</v>
      </c>
      <c r="C2036">
        <v>215</v>
      </c>
      <c r="D2036">
        <v>26</v>
      </c>
      <c r="E2036">
        <v>10</v>
      </c>
      <c r="F2036">
        <v>0</v>
      </c>
      <c r="G2036">
        <v>7</v>
      </c>
      <c r="H2036">
        <v>3</v>
      </c>
    </row>
    <row r="2037" spans="2:8">
      <c r="B2037" t="s">
        <v>25022</v>
      </c>
      <c r="C2037">
        <v>215</v>
      </c>
      <c r="D2037">
        <v>19</v>
      </c>
      <c r="E2037">
        <v>6</v>
      </c>
      <c r="F2037">
        <v>0</v>
      </c>
      <c r="G2037">
        <v>2</v>
      </c>
      <c r="H2037">
        <v>4</v>
      </c>
    </row>
    <row r="2038" spans="2:8">
      <c r="B2038" t="s">
        <v>25022</v>
      </c>
      <c r="C2038">
        <v>215</v>
      </c>
      <c r="D2038">
        <v>1</v>
      </c>
      <c r="E2038">
        <v>0</v>
      </c>
      <c r="F2038">
        <v>0</v>
      </c>
      <c r="G2038">
        <v>0</v>
      </c>
      <c r="H2038">
        <v>0</v>
      </c>
    </row>
    <row r="2039" spans="2:8">
      <c r="B2039" t="s">
        <v>25022</v>
      </c>
      <c r="C2039">
        <v>216</v>
      </c>
      <c r="D2039">
        <v>25</v>
      </c>
      <c r="E2039">
        <v>13</v>
      </c>
      <c r="F2039">
        <v>0</v>
      </c>
      <c r="G2039">
        <v>10</v>
      </c>
      <c r="H2039">
        <v>3</v>
      </c>
    </row>
    <row r="2040" spans="2:8">
      <c r="B2040" t="s">
        <v>25022</v>
      </c>
      <c r="C2040">
        <v>216</v>
      </c>
      <c r="D2040">
        <v>18</v>
      </c>
      <c r="E2040">
        <v>3</v>
      </c>
      <c r="F2040">
        <v>0</v>
      </c>
      <c r="G2040">
        <v>3</v>
      </c>
      <c r="H2040">
        <v>0</v>
      </c>
    </row>
    <row r="2041" spans="2:8">
      <c r="B2041" t="s">
        <v>25022</v>
      </c>
      <c r="C2041">
        <v>216</v>
      </c>
      <c r="D2041">
        <v>7</v>
      </c>
      <c r="E2041">
        <v>0</v>
      </c>
      <c r="F2041">
        <v>0</v>
      </c>
      <c r="G2041">
        <v>0</v>
      </c>
      <c r="H2041">
        <v>0</v>
      </c>
    </row>
    <row r="2042" spans="2:8">
      <c r="B2042" t="s">
        <v>25022</v>
      </c>
      <c r="C2042">
        <v>216</v>
      </c>
      <c r="D2042">
        <v>11</v>
      </c>
      <c r="E2042">
        <v>5</v>
      </c>
      <c r="F2042">
        <v>0</v>
      </c>
      <c r="G2042">
        <v>5</v>
      </c>
      <c r="H2042">
        <v>0</v>
      </c>
    </row>
    <row r="2043" spans="2:8">
      <c r="B2043" t="s">
        <v>25022</v>
      </c>
      <c r="C2043">
        <v>216</v>
      </c>
      <c r="D2043">
        <v>7</v>
      </c>
      <c r="E2043">
        <v>2</v>
      </c>
      <c r="F2043">
        <v>0</v>
      </c>
      <c r="G2043">
        <v>2</v>
      </c>
      <c r="H2043">
        <v>0</v>
      </c>
    </row>
    <row r="2044" spans="2:8">
      <c r="B2044" t="s">
        <v>25022</v>
      </c>
      <c r="C2044">
        <v>217</v>
      </c>
      <c r="D2044">
        <v>23</v>
      </c>
      <c r="E2044">
        <v>11</v>
      </c>
      <c r="F2044">
        <v>0</v>
      </c>
      <c r="G2044">
        <v>5</v>
      </c>
      <c r="H2044">
        <v>6</v>
      </c>
    </row>
    <row r="2045" spans="2:8">
      <c r="B2045" t="s">
        <v>25022</v>
      </c>
      <c r="C2045">
        <v>217</v>
      </c>
      <c r="D2045">
        <v>6</v>
      </c>
      <c r="E2045">
        <v>2</v>
      </c>
      <c r="F2045">
        <v>0</v>
      </c>
      <c r="G2045">
        <v>2</v>
      </c>
      <c r="H2045">
        <v>0</v>
      </c>
    </row>
    <row r="2046" spans="2:8">
      <c r="B2046" t="s">
        <v>25022</v>
      </c>
      <c r="C2046">
        <v>217</v>
      </c>
      <c r="D2046">
        <v>11</v>
      </c>
      <c r="E2046">
        <v>4</v>
      </c>
      <c r="F2046">
        <v>0</v>
      </c>
      <c r="G2046">
        <v>4</v>
      </c>
      <c r="H2046">
        <v>0</v>
      </c>
    </row>
    <row r="2047" spans="2:8">
      <c r="B2047" t="s">
        <v>25022</v>
      </c>
      <c r="C2047">
        <v>217</v>
      </c>
      <c r="D2047">
        <v>13</v>
      </c>
      <c r="E2047">
        <v>2</v>
      </c>
      <c r="F2047">
        <v>0</v>
      </c>
      <c r="G2047">
        <v>2</v>
      </c>
      <c r="H2047">
        <v>0</v>
      </c>
    </row>
    <row r="2048" spans="2:8">
      <c r="B2048" t="s">
        <v>25022</v>
      </c>
      <c r="C2048">
        <v>217</v>
      </c>
      <c r="D2048">
        <v>11</v>
      </c>
      <c r="E2048">
        <v>2</v>
      </c>
      <c r="F2048">
        <v>0</v>
      </c>
      <c r="G2048">
        <v>2</v>
      </c>
      <c r="H2048">
        <v>0</v>
      </c>
    </row>
    <row r="2049" spans="2:8">
      <c r="B2049" t="s">
        <v>25022</v>
      </c>
      <c r="C2049">
        <v>217</v>
      </c>
      <c r="D2049">
        <v>6</v>
      </c>
      <c r="E2049">
        <v>2</v>
      </c>
      <c r="F2049">
        <v>0</v>
      </c>
      <c r="G2049">
        <v>2</v>
      </c>
      <c r="H2049">
        <v>0</v>
      </c>
    </row>
    <row r="2050" spans="2:8">
      <c r="B2050" t="s">
        <v>25022</v>
      </c>
      <c r="C2050">
        <v>217</v>
      </c>
      <c r="D2050">
        <v>8</v>
      </c>
      <c r="E2050">
        <v>2</v>
      </c>
      <c r="F2050">
        <v>0</v>
      </c>
      <c r="G2050">
        <v>2</v>
      </c>
      <c r="H2050">
        <v>0</v>
      </c>
    </row>
    <row r="2051" spans="2:8">
      <c r="B2051" t="s">
        <v>25022</v>
      </c>
      <c r="C2051">
        <v>217</v>
      </c>
      <c r="D2051">
        <v>17</v>
      </c>
      <c r="E2051">
        <v>6</v>
      </c>
      <c r="F2051">
        <v>0</v>
      </c>
      <c r="G2051">
        <v>4</v>
      </c>
      <c r="H2051">
        <v>2</v>
      </c>
    </row>
    <row r="2052" spans="2:8">
      <c r="B2052" t="s">
        <v>25022</v>
      </c>
      <c r="C2052">
        <v>217</v>
      </c>
      <c r="D2052">
        <v>5</v>
      </c>
      <c r="E2052">
        <v>0</v>
      </c>
      <c r="F2052">
        <v>0</v>
      </c>
      <c r="G2052">
        <v>0</v>
      </c>
      <c r="H2052">
        <v>0</v>
      </c>
    </row>
    <row r="2053" spans="2:8">
      <c r="B2053" t="s">
        <v>25022</v>
      </c>
      <c r="C2053">
        <v>217</v>
      </c>
      <c r="D2053">
        <v>3</v>
      </c>
      <c r="E2053">
        <v>0</v>
      </c>
      <c r="F2053">
        <v>0</v>
      </c>
      <c r="G2053">
        <v>0</v>
      </c>
      <c r="H2053">
        <v>0</v>
      </c>
    </row>
    <row r="2054" spans="2:8">
      <c r="B2054" t="s">
        <v>25022</v>
      </c>
      <c r="C2054">
        <v>218</v>
      </c>
      <c r="D2054">
        <v>13</v>
      </c>
      <c r="E2054">
        <v>2</v>
      </c>
      <c r="F2054">
        <v>0</v>
      </c>
      <c r="G2054">
        <v>2</v>
      </c>
      <c r="H2054">
        <v>0</v>
      </c>
    </row>
    <row r="2055" spans="2:8">
      <c r="B2055" t="s">
        <v>25022</v>
      </c>
      <c r="C2055">
        <v>218</v>
      </c>
      <c r="D2055">
        <v>7</v>
      </c>
      <c r="E2055">
        <v>0</v>
      </c>
      <c r="F2055">
        <v>0</v>
      </c>
      <c r="G2055">
        <v>0</v>
      </c>
      <c r="H2055">
        <v>0</v>
      </c>
    </row>
    <row r="2056" spans="2:8">
      <c r="B2056" t="s">
        <v>25022</v>
      </c>
      <c r="C2056">
        <v>218</v>
      </c>
      <c r="D2056">
        <v>4</v>
      </c>
      <c r="E2056">
        <v>3</v>
      </c>
      <c r="F2056">
        <v>0</v>
      </c>
      <c r="G2056">
        <v>3</v>
      </c>
      <c r="H2056">
        <v>0</v>
      </c>
    </row>
    <row r="2057" spans="2:8">
      <c r="B2057" t="s">
        <v>25022</v>
      </c>
      <c r="C2057">
        <v>218</v>
      </c>
      <c r="D2057">
        <v>8</v>
      </c>
      <c r="E2057">
        <v>0</v>
      </c>
      <c r="F2057">
        <v>0</v>
      </c>
      <c r="G2057">
        <v>0</v>
      </c>
      <c r="H2057">
        <v>0</v>
      </c>
    </row>
    <row r="2058" spans="2:8">
      <c r="B2058" t="s">
        <v>25022</v>
      </c>
      <c r="C2058">
        <v>218</v>
      </c>
      <c r="D2058">
        <v>3</v>
      </c>
      <c r="E2058">
        <v>0</v>
      </c>
      <c r="F2058">
        <v>0</v>
      </c>
      <c r="G2058">
        <v>0</v>
      </c>
      <c r="H2058">
        <v>0</v>
      </c>
    </row>
    <row r="2059" spans="2:8">
      <c r="B2059" t="s">
        <v>25022</v>
      </c>
      <c r="C2059">
        <v>218</v>
      </c>
      <c r="D2059">
        <v>1</v>
      </c>
      <c r="E2059">
        <v>0</v>
      </c>
      <c r="F2059">
        <v>0</v>
      </c>
      <c r="G2059">
        <v>0</v>
      </c>
      <c r="H2059">
        <v>0</v>
      </c>
    </row>
    <row r="2060" spans="2:8">
      <c r="B2060" t="s">
        <v>25022</v>
      </c>
      <c r="C2060">
        <v>219</v>
      </c>
      <c r="D2060">
        <v>25</v>
      </c>
      <c r="E2060">
        <v>8</v>
      </c>
      <c r="F2060">
        <v>0</v>
      </c>
      <c r="G2060">
        <v>8</v>
      </c>
      <c r="H2060">
        <v>0</v>
      </c>
    </row>
    <row r="2061" spans="2:8">
      <c r="B2061" t="s">
        <v>25022</v>
      </c>
      <c r="C2061">
        <v>219</v>
      </c>
      <c r="D2061">
        <v>10</v>
      </c>
      <c r="E2061">
        <v>4</v>
      </c>
      <c r="F2061">
        <v>0</v>
      </c>
      <c r="G2061">
        <v>4</v>
      </c>
      <c r="H2061">
        <v>0</v>
      </c>
    </row>
    <row r="2062" spans="2:8">
      <c r="B2062" t="s">
        <v>25022</v>
      </c>
      <c r="C2062">
        <v>219</v>
      </c>
      <c r="D2062">
        <v>11</v>
      </c>
      <c r="E2062">
        <v>8</v>
      </c>
      <c r="F2062">
        <v>0</v>
      </c>
      <c r="G2062">
        <v>7</v>
      </c>
      <c r="H2062">
        <v>1</v>
      </c>
    </row>
    <row r="2063" spans="2:8">
      <c r="B2063" t="s">
        <v>25022</v>
      </c>
      <c r="C2063">
        <v>219</v>
      </c>
      <c r="D2063">
        <v>10</v>
      </c>
      <c r="E2063">
        <v>2</v>
      </c>
      <c r="F2063">
        <v>0</v>
      </c>
      <c r="G2063">
        <v>2</v>
      </c>
      <c r="H2063">
        <v>0</v>
      </c>
    </row>
    <row r="2064" spans="2:8">
      <c r="B2064" t="s">
        <v>25022</v>
      </c>
      <c r="C2064">
        <v>219</v>
      </c>
      <c r="D2064">
        <v>3</v>
      </c>
      <c r="E2064">
        <v>0</v>
      </c>
      <c r="F2064">
        <v>0</v>
      </c>
      <c r="G2064">
        <v>0</v>
      </c>
      <c r="H2064">
        <v>0</v>
      </c>
    </row>
    <row r="2065" spans="2:8">
      <c r="B2065" t="s">
        <v>25022</v>
      </c>
      <c r="C2065">
        <v>219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2:8">
      <c r="B2066" t="s">
        <v>25022</v>
      </c>
      <c r="C2066">
        <v>219</v>
      </c>
      <c r="D2066">
        <v>4</v>
      </c>
      <c r="E2066">
        <v>2</v>
      </c>
      <c r="F2066">
        <v>0</v>
      </c>
      <c r="G2066">
        <v>2</v>
      </c>
      <c r="H2066">
        <v>0</v>
      </c>
    </row>
    <row r="2067" spans="2:8">
      <c r="B2067" t="s">
        <v>25022</v>
      </c>
      <c r="C2067">
        <v>220</v>
      </c>
      <c r="D2067">
        <v>42</v>
      </c>
      <c r="E2067">
        <v>23</v>
      </c>
      <c r="F2067">
        <v>0</v>
      </c>
      <c r="G2067">
        <v>21</v>
      </c>
      <c r="H2067">
        <v>2</v>
      </c>
    </row>
    <row r="2068" spans="2:8">
      <c r="B2068" t="s">
        <v>25022</v>
      </c>
      <c r="C2068">
        <v>220</v>
      </c>
      <c r="D2068">
        <v>18</v>
      </c>
      <c r="E2068">
        <v>4</v>
      </c>
      <c r="F2068">
        <v>0</v>
      </c>
      <c r="G2068">
        <v>4</v>
      </c>
      <c r="H2068">
        <v>0</v>
      </c>
    </row>
    <row r="2069" spans="2:8">
      <c r="B2069" t="s">
        <v>25022</v>
      </c>
      <c r="C2069">
        <v>220</v>
      </c>
      <c r="D2069">
        <v>14</v>
      </c>
      <c r="E2069">
        <v>9</v>
      </c>
      <c r="F2069">
        <v>0</v>
      </c>
      <c r="G2069">
        <v>9</v>
      </c>
      <c r="H2069">
        <v>0</v>
      </c>
    </row>
    <row r="2070" spans="2:8">
      <c r="B2070" t="s">
        <v>25022</v>
      </c>
      <c r="C2070">
        <v>220</v>
      </c>
      <c r="D2070">
        <v>16</v>
      </c>
      <c r="E2070">
        <v>9</v>
      </c>
      <c r="F2070">
        <v>0</v>
      </c>
      <c r="G2070">
        <v>9</v>
      </c>
      <c r="H2070">
        <v>0</v>
      </c>
    </row>
    <row r="2071" spans="2:8">
      <c r="B2071" t="s">
        <v>25022</v>
      </c>
      <c r="C2071">
        <v>220</v>
      </c>
      <c r="D2071">
        <v>14</v>
      </c>
      <c r="E2071">
        <v>4</v>
      </c>
      <c r="F2071">
        <v>0</v>
      </c>
      <c r="G2071">
        <v>0</v>
      </c>
      <c r="H2071">
        <v>4</v>
      </c>
    </row>
    <row r="2072" spans="2:8">
      <c r="B2072" t="s">
        <v>25022</v>
      </c>
      <c r="C2072">
        <v>221</v>
      </c>
      <c r="D2072">
        <v>20</v>
      </c>
      <c r="E2072">
        <v>2</v>
      </c>
      <c r="F2072">
        <v>0</v>
      </c>
      <c r="G2072">
        <v>2</v>
      </c>
      <c r="H2072">
        <v>0</v>
      </c>
    </row>
    <row r="2073" spans="2:8">
      <c r="B2073" t="s">
        <v>25022</v>
      </c>
      <c r="C2073">
        <v>221</v>
      </c>
      <c r="D2073">
        <v>10</v>
      </c>
      <c r="E2073">
        <v>5</v>
      </c>
      <c r="F2073">
        <v>0</v>
      </c>
      <c r="G2073">
        <v>0</v>
      </c>
      <c r="H2073">
        <v>5</v>
      </c>
    </row>
    <row r="2074" spans="2:8">
      <c r="B2074" t="s">
        <v>25022</v>
      </c>
      <c r="C2074">
        <v>221</v>
      </c>
      <c r="D2074">
        <v>8</v>
      </c>
      <c r="E2074">
        <v>3</v>
      </c>
      <c r="F2074">
        <v>0</v>
      </c>
      <c r="G2074">
        <v>3</v>
      </c>
      <c r="H2074">
        <v>0</v>
      </c>
    </row>
    <row r="2075" spans="2:8">
      <c r="B2075" t="s">
        <v>25022</v>
      </c>
      <c r="C2075">
        <v>221</v>
      </c>
      <c r="D2075">
        <v>5</v>
      </c>
      <c r="E2075">
        <v>2</v>
      </c>
      <c r="F2075">
        <v>0</v>
      </c>
      <c r="G2075">
        <v>2</v>
      </c>
      <c r="H2075">
        <v>0</v>
      </c>
    </row>
    <row r="2076" spans="2:8">
      <c r="B2076" t="s">
        <v>25022</v>
      </c>
      <c r="C2076">
        <v>221</v>
      </c>
      <c r="D2076">
        <v>9</v>
      </c>
      <c r="E2076">
        <v>0</v>
      </c>
      <c r="F2076">
        <v>0</v>
      </c>
      <c r="G2076">
        <v>0</v>
      </c>
      <c r="H2076">
        <v>0</v>
      </c>
    </row>
    <row r="2077" spans="2:8">
      <c r="B2077" t="s">
        <v>25022</v>
      </c>
      <c r="C2077">
        <v>221</v>
      </c>
      <c r="D2077">
        <v>4</v>
      </c>
      <c r="E2077">
        <v>2</v>
      </c>
      <c r="F2077">
        <v>0</v>
      </c>
      <c r="G2077">
        <v>2</v>
      </c>
      <c r="H2077">
        <v>0</v>
      </c>
    </row>
    <row r="2078" spans="2:8">
      <c r="B2078" t="s">
        <v>25022</v>
      </c>
      <c r="C2078">
        <v>221</v>
      </c>
      <c r="D2078">
        <v>1</v>
      </c>
      <c r="E2078">
        <v>0</v>
      </c>
      <c r="F2078">
        <v>0</v>
      </c>
      <c r="G2078">
        <v>0</v>
      </c>
      <c r="H2078">
        <v>0</v>
      </c>
    </row>
    <row r="2079" spans="2:8">
      <c r="B2079" t="s">
        <v>25022</v>
      </c>
      <c r="C2079">
        <v>222</v>
      </c>
      <c r="D2079">
        <v>18</v>
      </c>
      <c r="E2079">
        <v>9</v>
      </c>
      <c r="F2079">
        <v>0</v>
      </c>
      <c r="G2079">
        <v>9</v>
      </c>
      <c r="H2079">
        <v>0</v>
      </c>
    </row>
    <row r="2080" spans="2:8">
      <c r="B2080" t="s">
        <v>25022</v>
      </c>
      <c r="C2080">
        <v>222</v>
      </c>
      <c r="D2080">
        <v>17</v>
      </c>
      <c r="E2080">
        <v>10</v>
      </c>
      <c r="F2080">
        <v>0</v>
      </c>
      <c r="G2080">
        <v>10</v>
      </c>
      <c r="H2080">
        <v>0</v>
      </c>
    </row>
    <row r="2081" spans="2:8">
      <c r="B2081" t="s">
        <v>25022</v>
      </c>
      <c r="C2081">
        <v>222</v>
      </c>
      <c r="D2081">
        <v>6</v>
      </c>
      <c r="E2081">
        <v>0</v>
      </c>
      <c r="F2081">
        <v>0</v>
      </c>
      <c r="G2081">
        <v>0</v>
      </c>
      <c r="H2081">
        <v>0</v>
      </c>
    </row>
    <row r="2082" spans="2:8">
      <c r="B2082" t="s">
        <v>25022</v>
      </c>
      <c r="C2082">
        <v>222</v>
      </c>
      <c r="D2082">
        <v>3</v>
      </c>
      <c r="E2082">
        <v>0</v>
      </c>
      <c r="F2082">
        <v>0</v>
      </c>
      <c r="G2082">
        <v>0</v>
      </c>
      <c r="H2082">
        <v>0</v>
      </c>
    </row>
    <row r="2083" spans="2:8">
      <c r="B2083" t="s">
        <v>25022</v>
      </c>
      <c r="C2083">
        <v>223</v>
      </c>
      <c r="D2083">
        <v>9</v>
      </c>
      <c r="E2083">
        <v>0</v>
      </c>
      <c r="F2083">
        <v>0</v>
      </c>
      <c r="G2083">
        <v>0</v>
      </c>
      <c r="H2083">
        <v>0</v>
      </c>
    </row>
    <row r="2084" spans="2:8">
      <c r="B2084" t="s">
        <v>25022</v>
      </c>
      <c r="C2084">
        <v>223</v>
      </c>
      <c r="D2084">
        <v>8</v>
      </c>
      <c r="E2084">
        <v>0</v>
      </c>
      <c r="F2084">
        <v>0</v>
      </c>
      <c r="G2084">
        <v>0</v>
      </c>
      <c r="H2084">
        <v>0</v>
      </c>
    </row>
    <row r="2085" spans="2:8">
      <c r="B2085" t="s">
        <v>25022</v>
      </c>
      <c r="C2085">
        <v>223</v>
      </c>
      <c r="D2085">
        <v>8</v>
      </c>
      <c r="E2085">
        <v>2</v>
      </c>
      <c r="F2085">
        <v>0</v>
      </c>
      <c r="G2085">
        <v>2</v>
      </c>
      <c r="H2085">
        <v>0</v>
      </c>
    </row>
    <row r="2086" spans="2:8">
      <c r="B2086" t="s">
        <v>25022</v>
      </c>
      <c r="C2086">
        <v>223</v>
      </c>
      <c r="D2086">
        <v>6</v>
      </c>
      <c r="E2086">
        <v>2</v>
      </c>
      <c r="F2086">
        <v>0</v>
      </c>
      <c r="G2086">
        <v>2</v>
      </c>
      <c r="H2086">
        <v>0</v>
      </c>
    </row>
    <row r="2087" spans="2:8">
      <c r="B2087" t="s">
        <v>25022</v>
      </c>
      <c r="C2087">
        <v>223</v>
      </c>
      <c r="D2087">
        <v>11</v>
      </c>
      <c r="E2087">
        <v>6</v>
      </c>
      <c r="F2087">
        <v>0</v>
      </c>
      <c r="G2087">
        <v>5</v>
      </c>
      <c r="H2087">
        <v>1</v>
      </c>
    </row>
    <row r="2088" spans="2:8">
      <c r="B2088" t="s">
        <v>25022</v>
      </c>
      <c r="C2088">
        <v>224</v>
      </c>
      <c r="D2088">
        <v>12</v>
      </c>
      <c r="E2088">
        <v>0</v>
      </c>
      <c r="F2088">
        <v>0</v>
      </c>
      <c r="G2088">
        <v>0</v>
      </c>
      <c r="H2088">
        <v>0</v>
      </c>
    </row>
    <row r="2089" spans="2:8">
      <c r="B2089" t="s">
        <v>25022</v>
      </c>
      <c r="C2089">
        <v>224</v>
      </c>
      <c r="D2089">
        <v>11</v>
      </c>
      <c r="E2089">
        <v>5</v>
      </c>
      <c r="F2089">
        <v>0</v>
      </c>
      <c r="G2089">
        <v>3</v>
      </c>
      <c r="H2089">
        <v>2</v>
      </c>
    </row>
    <row r="2090" spans="2:8">
      <c r="B2090" t="s">
        <v>25022</v>
      </c>
      <c r="C2090">
        <v>224</v>
      </c>
      <c r="D2090">
        <v>18</v>
      </c>
      <c r="E2090">
        <v>13</v>
      </c>
      <c r="F2090">
        <v>0</v>
      </c>
      <c r="G2090">
        <v>13</v>
      </c>
      <c r="H2090">
        <v>0</v>
      </c>
    </row>
    <row r="2091" spans="2:8">
      <c r="B2091" t="s">
        <v>25022</v>
      </c>
      <c r="C2091">
        <v>224</v>
      </c>
      <c r="D2091">
        <v>5</v>
      </c>
      <c r="E2091">
        <v>0</v>
      </c>
      <c r="F2091">
        <v>0</v>
      </c>
      <c r="G2091">
        <v>0</v>
      </c>
      <c r="H2091">
        <v>0</v>
      </c>
    </row>
    <row r="2092" spans="2:8">
      <c r="B2092" t="s">
        <v>25022</v>
      </c>
      <c r="C2092">
        <v>224</v>
      </c>
      <c r="D2092">
        <v>4</v>
      </c>
      <c r="E2092">
        <v>0</v>
      </c>
      <c r="F2092">
        <v>0</v>
      </c>
      <c r="G2092">
        <v>0</v>
      </c>
      <c r="H2092">
        <v>0</v>
      </c>
    </row>
    <row r="2093" spans="2:8">
      <c r="B2093" t="s">
        <v>25022</v>
      </c>
      <c r="C2093">
        <v>224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2:8">
      <c r="B2094" t="s">
        <v>25022</v>
      </c>
      <c r="C2094">
        <v>225</v>
      </c>
      <c r="D2094">
        <v>33</v>
      </c>
      <c r="E2094">
        <v>12</v>
      </c>
      <c r="F2094">
        <v>0</v>
      </c>
      <c r="G2094">
        <v>10</v>
      </c>
      <c r="H2094">
        <v>2</v>
      </c>
    </row>
    <row r="2095" spans="2:8">
      <c r="B2095" t="s">
        <v>25022</v>
      </c>
      <c r="C2095">
        <v>225</v>
      </c>
      <c r="D2095">
        <v>17</v>
      </c>
      <c r="E2095">
        <v>6</v>
      </c>
      <c r="F2095">
        <v>0</v>
      </c>
      <c r="G2095">
        <v>6</v>
      </c>
      <c r="H2095">
        <v>0</v>
      </c>
    </row>
    <row r="2096" spans="2:8">
      <c r="B2096" t="s">
        <v>25022</v>
      </c>
      <c r="C2096">
        <v>225</v>
      </c>
      <c r="D2096">
        <v>11</v>
      </c>
      <c r="E2096">
        <v>0</v>
      </c>
      <c r="F2096">
        <v>0</v>
      </c>
      <c r="G2096">
        <v>0</v>
      </c>
      <c r="H2096">
        <v>0</v>
      </c>
    </row>
    <row r="2097" spans="2:8">
      <c r="B2097" t="s">
        <v>25022</v>
      </c>
      <c r="C2097">
        <v>225</v>
      </c>
      <c r="D2097">
        <v>9</v>
      </c>
      <c r="E2097">
        <v>0</v>
      </c>
      <c r="F2097">
        <v>0</v>
      </c>
      <c r="G2097">
        <v>0</v>
      </c>
      <c r="H2097">
        <v>0</v>
      </c>
    </row>
    <row r="2098" spans="2:8">
      <c r="B2098" t="s">
        <v>25022</v>
      </c>
      <c r="C2098">
        <v>225</v>
      </c>
      <c r="D2098">
        <v>10</v>
      </c>
      <c r="E2098">
        <v>5</v>
      </c>
      <c r="F2098">
        <v>0</v>
      </c>
      <c r="G2098">
        <v>5</v>
      </c>
      <c r="H2098">
        <v>0</v>
      </c>
    </row>
    <row r="2099" spans="2:8">
      <c r="B2099" t="s">
        <v>25022</v>
      </c>
      <c r="C2099">
        <v>225</v>
      </c>
      <c r="D2099">
        <v>7</v>
      </c>
      <c r="E2099">
        <v>2</v>
      </c>
      <c r="F2099">
        <v>0</v>
      </c>
      <c r="G2099">
        <v>2</v>
      </c>
      <c r="H2099">
        <v>0</v>
      </c>
    </row>
    <row r="2100" spans="2:8">
      <c r="B2100" t="s">
        <v>25022</v>
      </c>
      <c r="C2100">
        <v>225</v>
      </c>
      <c r="D2100">
        <v>3</v>
      </c>
      <c r="E2100">
        <v>0</v>
      </c>
      <c r="F2100">
        <v>0</v>
      </c>
      <c r="G2100">
        <v>0</v>
      </c>
      <c r="H2100">
        <v>0</v>
      </c>
    </row>
    <row r="2101" spans="2:8">
      <c r="B2101" t="s">
        <v>25022</v>
      </c>
      <c r="C2101">
        <v>225</v>
      </c>
      <c r="D2101">
        <v>6</v>
      </c>
      <c r="E2101">
        <v>4</v>
      </c>
      <c r="F2101">
        <v>0</v>
      </c>
      <c r="G2101">
        <v>4</v>
      </c>
      <c r="H2101">
        <v>0</v>
      </c>
    </row>
    <row r="2102" spans="2:8">
      <c r="B2102" t="s">
        <v>25022</v>
      </c>
      <c r="C2102">
        <v>226</v>
      </c>
      <c r="D2102">
        <v>46</v>
      </c>
      <c r="E2102">
        <v>26</v>
      </c>
      <c r="F2102">
        <v>0</v>
      </c>
      <c r="G2102">
        <v>22</v>
      </c>
      <c r="H2102">
        <v>4</v>
      </c>
    </row>
    <row r="2103" spans="2:8">
      <c r="B2103" t="s">
        <v>25022</v>
      </c>
      <c r="C2103">
        <v>226</v>
      </c>
      <c r="D2103">
        <v>31</v>
      </c>
      <c r="E2103">
        <v>11</v>
      </c>
      <c r="F2103">
        <v>0</v>
      </c>
      <c r="G2103">
        <v>10</v>
      </c>
      <c r="H2103">
        <v>1</v>
      </c>
    </row>
    <row r="2104" spans="2:8">
      <c r="B2104" t="s">
        <v>25022</v>
      </c>
      <c r="C2104">
        <v>226</v>
      </c>
      <c r="D2104">
        <v>33</v>
      </c>
      <c r="E2104">
        <v>17</v>
      </c>
      <c r="F2104">
        <v>0</v>
      </c>
      <c r="G2104">
        <v>15</v>
      </c>
      <c r="H2104">
        <v>2</v>
      </c>
    </row>
    <row r="2105" spans="2:8">
      <c r="B2105" t="s">
        <v>25022</v>
      </c>
      <c r="C2105">
        <v>226</v>
      </c>
      <c r="D2105">
        <v>15</v>
      </c>
      <c r="E2105">
        <v>7</v>
      </c>
      <c r="F2105">
        <v>0</v>
      </c>
      <c r="G2105">
        <v>7</v>
      </c>
      <c r="H2105">
        <v>0</v>
      </c>
    </row>
    <row r="2106" spans="2:8">
      <c r="B2106" t="s">
        <v>25022</v>
      </c>
      <c r="C2106">
        <v>226</v>
      </c>
      <c r="D2106">
        <v>10</v>
      </c>
      <c r="E2106">
        <v>2</v>
      </c>
      <c r="F2106">
        <v>0</v>
      </c>
      <c r="G2106">
        <v>2</v>
      </c>
      <c r="H2106">
        <v>0</v>
      </c>
    </row>
    <row r="2107" spans="2:8">
      <c r="B2107" t="s">
        <v>25022</v>
      </c>
      <c r="C2107">
        <v>226</v>
      </c>
      <c r="D2107">
        <v>13</v>
      </c>
      <c r="E2107">
        <v>4</v>
      </c>
      <c r="F2107">
        <v>0</v>
      </c>
      <c r="G2107">
        <v>4</v>
      </c>
      <c r="H2107">
        <v>0</v>
      </c>
    </row>
    <row r="2108" spans="2:8">
      <c r="B2108" t="s">
        <v>25022</v>
      </c>
      <c r="C2108">
        <v>226</v>
      </c>
      <c r="D2108">
        <v>13</v>
      </c>
      <c r="E2108">
        <v>9</v>
      </c>
      <c r="F2108">
        <v>0</v>
      </c>
      <c r="G2108">
        <v>9</v>
      </c>
      <c r="H2108">
        <v>0</v>
      </c>
    </row>
    <row r="2109" spans="2:8">
      <c r="B2109" t="s">
        <v>25022</v>
      </c>
      <c r="C2109">
        <v>226</v>
      </c>
      <c r="D2109">
        <v>16</v>
      </c>
      <c r="E2109">
        <v>4</v>
      </c>
      <c r="F2109">
        <v>0</v>
      </c>
      <c r="G2109">
        <v>4</v>
      </c>
      <c r="H2109">
        <v>0</v>
      </c>
    </row>
    <row r="2110" spans="2:8">
      <c r="B2110" t="s">
        <v>25022</v>
      </c>
      <c r="C2110">
        <v>226</v>
      </c>
      <c r="D2110">
        <v>9</v>
      </c>
      <c r="E2110">
        <v>2</v>
      </c>
      <c r="F2110">
        <v>0</v>
      </c>
      <c r="G2110">
        <v>0</v>
      </c>
      <c r="H2110">
        <v>2</v>
      </c>
    </row>
    <row r="2111" spans="2:8">
      <c r="B2111" t="s">
        <v>25022</v>
      </c>
      <c r="C2111">
        <v>226</v>
      </c>
      <c r="D2111">
        <v>17</v>
      </c>
      <c r="E2111">
        <v>8</v>
      </c>
      <c r="F2111">
        <v>0</v>
      </c>
      <c r="G2111">
        <v>4</v>
      </c>
      <c r="H2111">
        <v>4</v>
      </c>
    </row>
    <row r="2112" spans="2:8">
      <c r="B2112" t="s">
        <v>25022</v>
      </c>
      <c r="C2112">
        <v>226</v>
      </c>
      <c r="D2112">
        <v>7</v>
      </c>
      <c r="E2112">
        <v>5</v>
      </c>
      <c r="F2112">
        <v>0</v>
      </c>
      <c r="G2112">
        <v>2</v>
      </c>
      <c r="H2112">
        <v>3</v>
      </c>
    </row>
    <row r="2113" spans="2:8">
      <c r="B2113" t="s">
        <v>25022</v>
      </c>
      <c r="C2113">
        <v>226</v>
      </c>
      <c r="D2113">
        <v>7</v>
      </c>
      <c r="E2113">
        <v>2</v>
      </c>
      <c r="F2113">
        <v>0</v>
      </c>
      <c r="G2113">
        <v>0</v>
      </c>
      <c r="H2113">
        <v>2</v>
      </c>
    </row>
    <row r="2114" spans="2:8">
      <c r="B2114" t="s">
        <v>25022</v>
      </c>
      <c r="C2114">
        <v>226</v>
      </c>
      <c r="D2114">
        <v>9</v>
      </c>
      <c r="E2114">
        <v>3</v>
      </c>
      <c r="F2114">
        <v>0</v>
      </c>
      <c r="G2114">
        <v>2</v>
      </c>
      <c r="H2114">
        <v>1</v>
      </c>
    </row>
    <row r="2115" spans="2:8">
      <c r="B2115" t="s">
        <v>25022</v>
      </c>
      <c r="C2115">
        <v>227</v>
      </c>
      <c r="D2115">
        <v>53</v>
      </c>
      <c r="E2115">
        <v>24</v>
      </c>
      <c r="F2115">
        <v>5</v>
      </c>
      <c r="G2115">
        <v>13</v>
      </c>
      <c r="H2115">
        <v>6</v>
      </c>
    </row>
    <row r="2116" spans="2:8">
      <c r="B2116" t="s">
        <v>25022</v>
      </c>
      <c r="C2116">
        <v>227</v>
      </c>
      <c r="D2116">
        <v>22</v>
      </c>
      <c r="E2116">
        <v>6</v>
      </c>
      <c r="F2116">
        <v>0</v>
      </c>
      <c r="G2116">
        <v>4</v>
      </c>
      <c r="H2116">
        <v>2</v>
      </c>
    </row>
    <row r="2117" spans="2:8">
      <c r="B2117" t="s">
        <v>25022</v>
      </c>
      <c r="C2117">
        <v>227</v>
      </c>
      <c r="D2117">
        <v>17</v>
      </c>
      <c r="E2117">
        <v>2</v>
      </c>
      <c r="F2117">
        <v>0</v>
      </c>
      <c r="G2117">
        <v>2</v>
      </c>
      <c r="H2117">
        <v>0</v>
      </c>
    </row>
    <row r="2118" spans="2:8">
      <c r="B2118" t="s">
        <v>25022</v>
      </c>
      <c r="C2118">
        <v>227</v>
      </c>
      <c r="D2118">
        <v>12</v>
      </c>
      <c r="E2118">
        <v>4</v>
      </c>
      <c r="F2118">
        <v>0</v>
      </c>
      <c r="G2118">
        <v>2</v>
      </c>
      <c r="H2118">
        <v>2</v>
      </c>
    </row>
    <row r="2119" spans="2:8">
      <c r="B2119" t="s">
        <v>25022</v>
      </c>
      <c r="C2119">
        <v>227</v>
      </c>
      <c r="D2119">
        <v>16</v>
      </c>
      <c r="E2119">
        <v>6</v>
      </c>
      <c r="F2119">
        <v>0</v>
      </c>
      <c r="G2119">
        <v>4</v>
      </c>
      <c r="H2119">
        <v>2</v>
      </c>
    </row>
    <row r="2120" spans="2:8">
      <c r="B2120" t="s">
        <v>25022</v>
      </c>
      <c r="C2120">
        <v>227</v>
      </c>
      <c r="D2120">
        <v>9</v>
      </c>
      <c r="E2120">
        <v>0</v>
      </c>
      <c r="F2120">
        <v>0</v>
      </c>
      <c r="G2120">
        <v>0</v>
      </c>
      <c r="H2120">
        <v>0</v>
      </c>
    </row>
    <row r="2121" spans="2:8">
      <c r="B2121" t="s">
        <v>25022</v>
      </c>
      <c r="C2121">
        <v>227</v>
      </c>
      <c r="D2121">
        <v>7</v>
      </c>
      <c r="E2121">
        <v>0</v>
      </c>
      <c r="F2121">
        <v>0</v>
      </c>
      <c r="G2121">
        <v>0</v>
      </c>
      <c r="H2121">
        <v>0</v>
      </c>
    </row>
    <row r="2122" spans="2:8">
      <c r="B2122" t="s">
        <v>25022</v>
      </c>
      <c r="C2122">
        <v>228</v>
      </c>
      <c r="D2122">
        <v>19</v>
      </c>
      <c r="E2122">
        <v>9</v>
      </c>
      <c r="F2122">
        <v>0</v>
      </c>
      <c r="G2122">
        <v>8</v>
      </c>
      <c r="H2122">
        <v>1</v>
      </c>
    </row>
    <row r="2123" spans="2:8">
      <c r="B2123" t="s">
        <v>25022</v>
      </c>
      <c r="C2123">
        <v>228</v>
      </c>
      <c r="D2123">
        <v>33</v>
      </c>
      <c r="E2123">
        <v>19</v>
      </c>
      <c r="F2123">
        <v>0</v>
      </c>
      <c r="G2123">
        <v>18</v>
      </c>
      <c r="H2123">
        <v>1</v>
      </c>
    </row>
    <row r="2124" spans="2:8">
      <c r="B2124" t="s">
        <v>25022</v>
      </c>
      <c r="C2124">
        <v>228</v>
      </c>
      <c r="D2124">
        <v>12</v>
      </c>
      <c r="E2124">
        <v>0</v>
      </c>
      <c r="F2124">
        <v>0</v>
      </c>
      <c r="G2124">
        <v>0</v>
      </c>
      <c r="H2124">
        <v>0</v>
      </c>
    </row>
    <row r="2125" spans="2:8">
      <c r="B2125" t="s">
        <v>25022</v>
      </c>
      <c r="C2125">
        <v>228</v>
      </c>
      <c r="D2125">
        <v>12</v>
      </c>
      <c r="E2125">
        <v>0</v>
      </c>
      <c r="F2125">
        <v>0</v>
      </c>
      <c r="G2125">
        <v>0</v>
      </c>
      <c r="H2125">
        <v>0</v>
      </c>
    </row>
    <row r="2126" spans="2:8">
      <c r="B2126" t="s">
        <v>25022</v>
      </c>
      <c r="C2126">
        <v>228</v>
      </c>
      <c r="D2126">
        <v>28</v>
      </c>
      <c r="E2126">
        <v>17</v>
      </c>
      <c r="F2126">
        <v>0</v>
      </c>
      <c r="G2126">
        <v>13</v>
      </c>
      <c r="H2126">
        <v>4</v>
      </c>
    </row>
    <row r="2127" spans="2:8">
      <c r="B2127" t="s">
        <v>25022</v>
      </c>
      <c r="C2127">
        <v>228</v>
      </c>
      <c r="D2127">
        <v>15</v>
      </c>
      <c r="E2127">
        <v>7</v>
      </c>
      <c r="F2127">
        <v>0</v>
      </c>
      <c r="G2127">
        <v>7</v>
      </c>
      <c r="H2127">
        <v>0</v>
      </c>
    </row>
    <row r="2128" spans="2:8">
      <c r="B2128" t="s">
        <v>25022</v>
      </c>
      <c r="C2128">
        <v>228</v>
      </c>
      <c r="D2128">
        <v>7</v>
      </c>
      <c r="E2128">
        <v>0</v>
      </c>
      <c r="F2128">
        <v>0</v>
      </c>
      <c r="G2128">
        <v>0</v>
      </c>
      <c r="H2128">
        <v>0</v>
      </c>
    </row>
    <row r="2129" spans="2:8">
      <c r="B2129" t="s">
        <v>25022</v>
      </c>
      <c r="C2129">
        <v>229</v>
      </c>
      <c r="D2129">
        <v>15</v>
      </c>
      <c r="E2129">
        <v>2</v>
      </c>
      <c r="F2129">
        <v>0</v>
      </c>
      <c r="G2129">
        <v>0</v>
      </c>
      <c r="H2129">
        <v>2</v>
      </c>
    </row>
    <row r="2130" spans="2:8">
      <c r="B2130" t="s">
        <v>25022</v>
      </c>
      <c r="C2130">
        <v>229</v>
      </c>
      <c r="D2130">
        <v>16</v>
      </c>
      <c r="E2130">
        <v>8</v>
      </c>
      <c r="F2130">
        <v>0</v>
      </c>
      <c r="G2130">
        <v>4</v>
      </c>
      <c r="H2130">
        <v>4</v>
      </c>
    </row>
    <row r="2131" spans="2:8">
      <c r="B2131" t="s">
        <v>25022</v>
      </c>
      <c r="C2131">
        <v>229</v>
      </c>
      <c r="D2131">
        <v>10</v>
      </c>
      <c r="E2131">
        <v>3</v>
      </c>
      <c r="F2131">
        <v>0</v>
      </c>
      <c r="G2131">
        <v>2</v>
      </c>
      <c r="H2131">
        <v>1</v>
      </c>
    </row>
    <row r="2132" spans="2:8">
      <c r="B2132" t="s">
        <v>25022</v>
      </c>
      <c r="C2132">
        <v>229</v>
      </c>
      <c r="D2132">
        <v>16</v>
      </c>
      <c r="E2132">
        <v>4</v>
      </c>
      <c r="F2132">
        <v>0</v>
      </c>
      <c r="G2132">
        <v>2</v>
      </c>
      <c r="H2132">
        <v>2</v>
      </c>
    </row>
    <row r="2133" spans="2:8">
      <c r="B2133" t="s">
        <v>25022</v>
      </c>
      <c r="C2133">
        <v>229</v>
      </c>
      <c r="D2133">
        <v>12</v>
      </c>
      <c r="E2133">
        <v>2</v>
      </c>
      <c r="F2133">
        <v>0</v>
      </c>
      <c r="G2133">
        <v>0</v>
      </c>
      <c r="H2133">
        <v>2</v>
      </c>
    </row>
    <row r="2134" spans="2:8">
      <c r="B2134" t="s">
        <v>25022</v>
      </c>
      <c r="C2134">
        <v>229</v>
      </c>
      <c r="D2134">
        <v>5</v>
      </c>
      <c r="E2134">
        <v>0</v>
      </c>
      <c r="F2134">
        <v>0</v>
      </c>
      <c r="G2134">
        <v>0</v>
      </c>
      <c r="H2134">
        <v>0</v>
      </c>
    </row>
    <row r="2135" spans="2:8">
      <c r="B2135" t="s">
        <v>25022</v>
      </c>
      <c r="C2135">
        <v>229</v>
      </c>
      <c r="D2135">
        <v>4</v>
      </c>
      <c r="E2135">
        <v>0</v>
      </c>
      <c r="F2135">
        <v>0</v>
      </c>
      <c r="G2135">
        <v>0</v>
      </c>
      <c r="H2135">
        <v>0</v>
      </c>
    </row>
    <row r="2136" spans="2:8">
      <c r="B2136" t="s">
        <v>25022</v>
      </c>
      <c r="C2136">
        <v>229</v>
      </c>
      <c r="D2136">
        <v>9</v>
      </c>
      <c r="E2136">
        <v>0</v>
      </c>
      <c r="F2136">
        <v>0</v>
      </c>
      <c r="G2136">
        <v>0</v>
      </c>
      <c r="H2136">
        <v>0</v>
      </c>
    </row>
    <row r="2137" spans="2:8">
      <c r="B2137" t="s">
        <v>25022</v>
      </c>
      <c r="C2137">
        <v>229</v>
      </c>
      <c r="D2137">
        <v>1</v>
      </c>
      <c r="E2137">
        <v>0</v>
      </c>
      <c r="F2137">
        <v>0</v>
      </c>
      <c r="G2137">
        <v>0</v>
      </c>
      <c r="H2137">
        <v>0</v>
      </c>
    </row>
    <row r="2138" spans="2:8">
      <c r="B2138" t="s">
        <v>25022</v>
      </c>
      <c r="C2138">
        <v>230</v>
      </c>
      <c r="D2138">
        <v>27</v>
      </c>
      <c r="E2138">
        <v>7</v>
      </c>
      <c r="F2138">
        <v>0</v>
      </c>
      <c r="G2138">
        <v>0</v>
      </c>
      <c r="H2138">
        <v>7</v>
      </c>
    </row>
    <row r="2139" spans="2:8">
      <c r="B2139" t="s">
        <v>25022</v>
      </c>
      <c r="C2139">
        <v>230</v>
      </c>
      <c r="D2139">
        <v>20</v>
      </c>
      <c r="E2139">
        <v>8</v>
      </c>
      <c r="F2139">
        <v>0</v>
      </c>
      <c r="G2139">
        <v>8</v>
      </c>
      <c r="H2139">
        <v>0</v>
      </c>
    </row>
    <row r="2140" spans="2:8">
      <c r="B2140" t="s">
        <v>25022</v>
      </c>
      <c r="C2140">
        <v>230</v>
      </c>
      <c r="D2140">
        <v>13</v>
      </c>
      <c r="E2140">
        <v>0</v>
      </c>
      <c r="F2140">
        <v>0</v>
      </c>
      <c r="G2140">
        <v>0</v>
      </c>
      <c r="H2140">
        <v>0</v>
      </c>
    </row>
    <row r="2141" spans="2:8">
      <c r="B2141" t="s">
        <v>25022</v>
      </c>
      <c r="C2141">
        <v>230</v>
      </c>
      <c r="D2141">
        <v>15</v>
      </c>
      <c r="E2141">
        <v>6</v>
      </c>
      <c r="F2141">
        <v>0</v>
      </c>
      <c r="G2141">
        <v>6</v>
      </c>
      <c r="H2141">
        <v>0</v>
      </c>
    </row>
    <row r="2142" spans="2:8">
      <c r="B2142" t="s">
        <v>25022</v>
      </c>
      <c r="C2142">
        <v>231</v>
      </c>
      <c r="D2142">
        <v>7</v>
      </c>
      <c r="E2142">
        <v>0</v>
      </c>
      <c r="F2142">
        <v>0</v>
      </c>
      <c r="G2142">
        <v>0</v>
      </c>
      <c r="H2142">
        <v>0</v>
      </c>
    </row>
    <row r="2143" spans="2:8">
      <c r="B2143" t="s">
        <v>25022</v>
      </c>
      <c r="C2143">
        <v>231</v>
      </c>
      <c r="D2143">
        <v>25</v>
      </c>
      <c r="E2143">
        <v>11</v>
      </c>
      <c r="F2143">
        <v>0</v>
      </c>
      <c r="G2143">
        <v>9</v>
      </c>
      <c r="H2143">
        <v>2</v>
      </c>
    </row>
    <row r="2144" spans="2:8">
      <c r="B2144" t="s">
        <v>25022</v>
      </c>
      <c r="C2144">
        <v>231</v>
      </c>
      <c r="D2144">
        <v>7</v>
      </c>
      <c r="E2144">
        <v>2</v>
      </c>
      <c r="F2144">
        <v>0</v>
      </c>
      <c r="G2144">
        <v>2</v>
      </c>
      <c r="H2144">
        <v>0</v>
      </c>
    </row>
    <row r="2145" spans="2:8">
      <c r="B2145" t="s">
        <v>25022</v>
      </c>
      <c r="C2145">
        <v>231</v>
      </c>
      <c r="D2145">
        <v>15</v>
      </c>
      <c r="E2145">
        <v>12</v>
      </c>
      <c r="F2145">
        <v>0</v>
      </c>
      <c r="G2145">
        <v>9</v>
      </c>
      <c r="H2145">
        <v>3</v>
      </c>
    </row>
    <row r="2146" spans="2:8">
      <c r="B2146" t="s">
        <v>25022</v>
      </c>
      <c r="C2146">
        <v>231</v>
      </c>
      <c r="D2146">
        <v>12</v>
      </c>
      <c r="E2146">
        <v>4</v>
      </c>
      <c r="F2146">
        <v>0</v>
      </c>
      <c r="G2146">
        <v>2</v>
      </c>
      <c r="H2146">
        <v>2</v>
      </c>
    </row>
    <row r="2147" spans="2:8">
      <c r="B2147" t="s">
        <v>25022</v>
      </c>
      <c r="C2147">
        <v>231</v>
      </c>
      <c r="D2147">
        <v>14</v>
      </c>
      <c r="E2147">
        <v>3</v>
      </c>
      <c r="F2147">
        <v>0</v>
      </c>
      <c r="G2147">
        <v>2</v>
      </c>
      <c r="H2147">
        <v>1</v>
      </c>
    </row>
    <row r="2148" spans="2:8">
      <c r="B2148" t="s">
        <v>25022</v>
      </c>
      <c r="C2148">
        <v>231</v>
      </c>
      <c r="D2148">
        <v>11</v>
      </c>
      <c r="E2148">
        <v>4</v>
      </c>
      <c r="F2148">
        <v>0</v>
      </c>
      <c r="G2148">
        <v>2</v>
      </c>
      <c r="H2148">
        <v>2</v>
      </c>
    </row>
    <row r="2149" spans="2:8">
      <c r="B2149" t="s">
        <v>25022</v>
      </c>
      <c r="C2149">
        <v>231</v>
      </c>
      <c r="D2149">
        <v>15</v>
      </c>
      <c r="E2149">
        <v>8</v>
      </c>
      <c r="F2149">
        <v>0</v>
      </c>
      <c r="G2149">
        <v>7</v>
      </c>
      <c r="H2149">
        <v>1</v>
      </c>
    </row>
    <row r="2150" spans="2:8">
      <c r="B2150" t="s">
        <v>25022</v>
      </c>
      <c r="C2150">
        <v>231</v>
      </c>
      <c r="D2150">
        <v>2</v>
      </c>
      <c r="E2150">
        <v>0</v>
      </c>
      <c r="F2150">
        <v>0</v>
      </c>
      <c r="G2150">
        <v>0</v>
      </c>
      <c r="H2150">
        <v>0</v>
      </c>
    </row>
    <row r="2151" spans="2:8">
      <c r="B2151" t="s">
        <v>25022</v>
      </c>
      <c r="C2151">
        <v>231</v>
      </c>
      <c r="D2151">
        <v>2</v>
      </c>
      <c r="E2151">
        <v>0</v>
      </c>
      <c r="F2151">
        <v>0</v>
      </c>
      <c r="G2151">
        <v>0</v>
      </c>
      <c r="H2151">
        <v>0</v>
      </c>
    </row>
    <row r="2152" spans="2:8">
      <c r="B2152" t="s">
        <v>25022</v>
      </c>
      <c r="C2152">
        <v>231</v>
      </c>
      <c r="D2152">
        <v>2</v>
      </c>
      <c r="E2152">
        <v>0</v>
      </c>
      <c r="F2152">
        <v>0</v>
      </c>
      <c r="G2152">
        <v>0</v>
      </c>
      <c r="H2152">
        <v>0</v>
      </c>
    </row>
    <row r="2153" spans="2:8">
      <c r="B2153" t="s">
        <v>25022</v>
      </c>
      <c r="C2153">
        <v>232</v>
      </c>
      <c r="D2153">
        <v>35</v>
      </c>
      <c r="E2153">
        <v>24</v>
      </c>
      <c r="F2153">
        <v>2</v>
      </c>
      <c r="G2153">
        <v>17</v>
      </c>
      <c r="H2153">
        <v>5</v>
      </c>
    </row>
    <row r="2154" spans="2:8">
      <c r="B2154" t="s">
        <v>25022</v>
      </c>
      <c r="C2154">
        <v>232</v>
      </c>
      <c r="D2154">
        <v>18</v>
      </c>
      <c r="E2154">
        <v>7</v>
      </c>
      <c r="F2154">
        <v>0</v>
      </c>
      <c r="G2154">
        <v>4</v>
      </c>
      <c r="H2154">
        <v>3</v>
      </c>
    </row>
    <row r="2155" spans="2:8">
      <c r="B2155" t="s">
        <v>25022</v>
      </c>
      <c r="C2155">
        <v>232</v>
      </c>
      <c r="D2155">
        <v>14</v>
      </c>
      <c r="E2155">
        <v>5</v>
      </c>
      <c r="F2155">
        <v>0</v>
      </c>
      <c r="G2155">
        <v>4</v>
      </c>
      <c r="H2155">
        <v>1</v>
      </c>
    </row>
    <row r="2156" spans="2:8">
      <c r="B2156" t="s">
        <v>25022</v>
      </c>
      <c r="C2156">
        <v>232</v>
      </c>
      <c r="D2156">
        <v>6</v>
      </c>
      <c r="E2156">
        <v>0</v>
      </c>
      <c r="F2156">
        <v>0</v>
      </c>
      <c r="G2156">
        <v>0</v>
      </c>
      <c r="H2156">
        <v>0</v>
      </c>
    </row>
    <row r="2157" spans="2:8">
      <c r="B2157" t="s">
        <v>25022</v>
      </c>
      <c r="C2157">
        <v>232</v>
      </c>
      <c r="D2157">
        <v>5</v>
      </c>
      <c r="E2157">
        <v>0</v>
      </c>
      <c r="F2157">
        <v>0</v>
      </c>
      <c r="G2157">
        <v>0</v>
      </c>
      <c r="H2157">
        <v>0</v>
      </c>
    </row>
    <row r="2158" spans="2:8">
      <c r="B2158" t="s">
        <v>25022</v>
      </c>
      <c r="C2158">
        <v>232</v>
      </c>
      <c r="D2158">
        <v>2</v>
      </c>
      <c r="E2158">
        <v>0</v>
      </c>
      <c r="F2158">
        <v>0</v>
      </c>
      <c r="G2158">
        <v>0</v>
      </c>
      <c r="H2158">
        <v>0</v>
      </c>
    </row>
    <row r="2159" spans="2:8">
      <c r="B2159" t="s">
        <v>25022</v>
      </c>
      <c r="C2159">
        <v>233</v>
      </c>
      <c r="D2159">
        <v>14</v>
      </c>
      <c r="E2159">
        <v>7</v>
      </c>
      <c r="F2159">
        <v>0</v>
      </c>
      <c r="G2159">
        <v>7</v>
      </c>
      <c r="H2159">
        <v>0</v>
      </c>
    </row>
    <row r="2160" spans="2:8">
      <c r="B2160" t="s">
        <v>25022</v>
      </c>
      <c r="C2160">
        <v>233</v>
      </c>
      <c r="D2160">
        <v>16</v>
      </c>
      <c r="E2160">
        <v>2</v>
      </c>
      <c r="F2160">
        <v>0</v>
      </c>
      <c r="G2160">
        <v>2</v>
      </c>
      <c r="H2160">
        <v>0</v>
      </c>
    </row>
    <row r="2161" spans="2:8">
      <c r="B2161" t="s">
        <v>25022</v>
      </c>
      <c r="C2161">
        <v>233</v>
      </c>
      <c r="D2161">
        <v>9</v>
      </c>
      <c r="E2161">
        <v>4</v>
      </c>
      <c r="F2161">
        <v>0</v>
      </c>
      <c r="G2161">
        <v>2</v>
      </c>
      <c r="H2161">
        <v>2</v>
      </c>
    </row>
    <row r="2162" spans="2:8">
      <c r="B2162" t="s">
        <v>25022</v>
      </c>
      <c r="C2162">
        <v>233</v>
      </c>
      <c r="D2162">
        <v>3</v>
      </c>
      <c r="E2162">
        <v>0</v>
      </c>
      <c r="F2162">
        <v>0</v>
      </c>
      <c r="G2162">
        <v>0</v>
      </c>
      <c r="H2162">
        <v>0</v>
      </c>
    </row>
    <row r="2163" spans="2:8">
      <c r="B2163" t="s">
        <v>25022</v>
      </c>
      <c r="C2163">
        <v>233</v>
      </c>
      <c r="D2163">
        <v>7</v>
      </c>
      <c r="E2163">
        <v>2</v>
      </c>
      <c r="F2163">
        <v>0</v>
      </c>
      <c r="G2163">
        <v>2</v>
      </c>
      <c r="H2163">
        <v>0</v>
      </c>
    </row>
    <row r="2164" spans="2:8">
      <c r="B2164" t="s">
        <v>25022</v>
      </c>
      <c r="C2164">
        <v>233</v>
      </c>
      <c r="D2164">
        <v>8</v>
      </c>
      <c r="E2164">
        <v>2</v>
      </c>
      <c r="F2164">
        <v>0</v>
      </c>
      <c r="G2164">
        <v>2</v>
      </c>
      <c r="H2164">
        <v>0</v>
      </c>
    </row>
    <row r="2165" spans="2:8">
      <c r="B2165" t="s">
        <v>25022</v>
      </c>
      <c r="C2165">
        <v>234</v>
      </c>
      <c r="D2165">
        <v>17</v>
      </c>
      <c r="E2165">
        <v>4</v>
      </c>
      <c r="F2165">
        <v>0</v>
      </c>
      <c r="G2165">
        <v>4</v>
      </c>
      <c r="H2165">
        <v>0</v>
      </c>
    </row>
    <row r="2166" spans="2:8">
      <c r="B2166" t="s">
        <v>25022</v>
      </c>
      <c r="C2166">
        <v>235</v>
      </c>
      <c r="D2166">
        <v>11</v>
      </c>
      <c r="E2166">
        <v>4</v>
      </c>
      <c r="F2166">
        <v>0</v>
      </c>
      <c r="G2166">
        <v>2</v>
      </c>
      <c r="H2166">
        <v>2</v>
      </c>
    </row>
    <row r="2167" spans="2:8">
      <c r="B2167" t="s">
        <v>25022</v>
      </c>
      <c r="C2167">
        <v>235</v>
      </c>
      <c r="D2167">
        <v>6</v>
      </c>
      <c r="E2167">
        <v>0</v>
      </c>
      <c r="F2167">
        <v>0</v>
      </c>
      <c r="G2167">
        <v>0</v>
      </c>
      <c r="H2167">
        <v>0</v>
      </c>
    </row>
    <row r="2168" spans="2:8">
      <c r="B2168" t="s">
        <v>25022</v>
      </c>
      <c r="C2168">
        <v>235</v>
      </c>
      <c r="D2168">
        <v>25</v>
      </c>
      <c r="E2168">
        <v>12</v>
      </c>
      <c r="F2168">
        <v>0</v>
      </c>
      <c r="G2168">
        <v>12</v>
      </c>
      <c r="H2168">
        <v>0</v>
      </c>
    </row>
    <row r="2169" spans="2:8">
      <c r="B2169" t="s">
        <v>25022</v>
      </c>
      <c r="C2169">
        <v>235</v>
      </c>
      <c r="D2169">
        <v>17</v>
      </c>
      <c r="E2169">
        <v>2</v>
      </c>
      <c r="F2169">
        <v>0</v>
      </c>
      <c r="G2169">
        <v>2</v>
      </c>
      <c r="H2169">
        <v>0</v>
      </c>
    </row>
    <row r="2170" spans="2:8">
      <c r="B2170" t="s">
        <v>25022</v>
      </c>
      <c r="C2170">
        <v>235</v>
      </c>
      <c r="D2170">
        <v>6</v>
      </c>
      <c r="E2170">
        <v>0</v>
      </c>
      <c r="F2170">
        <v>0</v>
      </c>
      <c r="G2170">
        <v>0</v>
      </c>
      <c r="H2170">
        <v>0</v>
      </c>
    </row>
    <row r="2171" spans="2:8">
      <c r="B2171" t="s">
        <v>25022</v>
      </c>
      <c r="C2171">
        <v>235</v>
      </c>
      <c r="D2171">
        <v>9</v>
      </c>
      <c r="E2171">
        <v>4</v>
      </c>
      <c r="F2171">
        <v>0</v>
      </c>
      <c r="G2171">
        <v>4</v>
      </c>
      <c r="H2171">
        <v>0</v>
      </c>
    </row>
    <row r="2172" spans="2:8">
      <c r="B2172" t="s">
        <v>25022</v>
      </c>
      <c r="C2172">
        <v>235</v>
      </c>
      <c r="D2172">
        <v>4</v>
      </c>
      <c r="E2172">
        <v>0</v>
      </c>
      <c r="F2172">
        <v>0</v>
      </c>
      <c r="G2172">
        <v>0</v>
      </c>
      <c r="H2172">
        <v>0</v>
      </c>
    </row>
    <row r="2173" spans="2:8">
      <c r="B2173" t="s">
        <v>25022</v>
      </c>
      <c r="C2173">
        <v>235</v>
      </c>
      <c r="D2173">
        <v>3</v>
      </c>
      <c r="E2173">
        <v>0</v>
      </c>
      <c r="F2173">
        <v>0</v>
      </c>
      <c r="G2173">
        <v>0</v>
      </c>
      <c r="H2173">
        <v>0</v>
      </c>
    </row>
    <row r="2174" spans="2:8">
      <c r="B2174" t="s">
        <v>25022</v>
      </c>
      <c r="C2174">
        <v>235</v>
      </c>
      <c r="D2174">
        <v>1</v>
      </c>
      <c r="E2174">
        <v>0</v>
      </c>
      <c r="F2174">
        <v>0</v>
      </c>
      <c r="G2174">
        <v>0</v>
      </c>
      <c r="H2174">
        <v>0</v>
      </c>
    </row>
    <row r="2175" spans="2:8">
      <c r="B2175" t="s">
        <v>25022</v>
      </c>
      <c r="C2175">
        <v>235</v>
      </c>
      <c r="D2175">
        <v>2</v>
      </c>
      <c r="E2175">
        <v>0</v>
      </c>
      <c r="F2175">
        <v>0</v>
      </c>
      <c r="G2175">
        <v>0</v>
      </c>
      <c r="H2175">
        <v>0</v>
      </c>
    </row>
    <row r="2176" spans="2:8">
      <c r="B2176" t="s">
        <v>25022</v>
      </c>
      <c r="C2176">
        <v>236</v>
      </c>
      <c r="D2176">
        <v>13</v>
      </c>
      <c r="E2176">
        <v>4</v>
      </c>
      <c r="F2176">
        <v>0</v>
      </c>
      <c r="G2176">
        <v>2</v>
      </c>
      <c r="H2176">
        <v>2</v>
      </c>
    </row>
    <row r="2177" spans="2:8">
      <c r="B2177" t="s">
        <v>25022</v>
      </c>
      <c r="C2177">
        <v>236</v>
      </c>
      <c r="D2177">
        <v>20</v>
      </c>
      <c r="E2177">
        <v>7</v>
      </c>
      <c r="F2177">
        <v>0</v>
      </c>
      <c r="G2177">
        <v>7</v>
      </c>
      <c r="H2177">
        <v>0</v>
      </c>
    </row>
    <row r="2178" spans="2:8">
      <c r="B2178" t="s">
        <v>25022</v>
      </c>
      <c r="C2178">
        <v>236</v>
      </c>
      <c r="D2178">
        <v>10</v>
      </c>
      <c r="E2178">
        <v>4</v>
      </c>
      <c r="F2178">
        <v>0</v>
      </c>
      <c r="G2178">
        <v>2</v>
      </c>
      <c r="H2178">
        <v>2</v>
      </c>
    </row>
    <row r="2179" spans="2:8">
      <c r="B2179" t="s">
        <v>25022</v>
      </c>
      <c r="C2179">
        <v>236</v>
      </c>
      <c r="D2179">
        <v>13</v>
      </c>
      <c r="E2179">
        <v>5</v>
      </c>
      <c r="F2179">
        <v>0</v>
      </c>
      <c r="G2179">
        <v>5</v>
      </c>
      <c r="H2179">
        <v>0</v>
      </c>
    </row>
    <row r="2180" spans="2:8">
      <c r="B2180" t="s">
        <v>25022</v>
      </c>
      <c r="C2180">
        <v>236</v>
      </c>
      <c r="D2180">
        <v>3</v>
      </c>
      <c r="E2180">
        <v>0</v>
      </c>
      <c r="F2180">
        <v>0</v>
      </c>
      <c r="G2180">
        <v>0</v>
      </c>
      <c r="H2180">
        <v>0</v>
      </c>
    </row>
    <row r="2181" spans="2:8">
      <c r="B2181" t="s">
        <v>25022</v>
      </c>
      <c r="C2181">
        <v>237</v>
      </c>
      <c r="D2181">
        <v>24</v>
      </c>
      <c r="E2181">
        <v>14</v>
      </c>
      <c r="F2181">
        <v>0</v>
      </c>
      <c r="G2181">
        <v>10</v>
      </c>
      <c r="H2181">
        <v>4</v>
      </c>
    </row>
    <row r="2182" spans="2:8">
      <c r="B2182" t="s">
        <v>25022</v>
      </c>
      <c r="C2182">
        <v>237</v>
      </c>
      <c r="D2182">
        <v>24</v>
      </c>
      <c r="E2182">
        <v>10</v>
      </c>
      <c r="F2182">
        <v>0</v>
      </c>
      <c r="G2182">
        <v>7</v>
      </c>
      <c r="H2182">
        <v>3</v>
      </c>
    </row>
    <row r="2183" spans="2:8">
      <c r="B2183" t="s">
        <v>25022</v>
      </c>
      <c r="C2183">
        <v>237</v>
      </c>
      <c r="D2183">
        <v>11</v>
      </c>
      <c r="E2183">
        <v>4</v>
      </c>
      <c r="F2183">
        <v>0</v>
      </c>
      <c r="G2183">
        <v>4</v>
      </c>
      <c r="H2183">
        <v>0</v>
      </c>
    </row>
    <row r="2184" spans="2:8">
      <c r="B2184" t="s">
        <v>25022</v>
      </c>
      <c r="C2184">
        <v>237</v>
      </c>
      <c r="D2184">
        <v>5</v>
      </c>
      <c r="E2184">
        <v>0</v>
      </c>
      <c r="F2184">
        <v>0</v>
      </c>
      <c r="G2184">
        <v>0</v>
      </c>
      <c r="H2184">
        <v>0</v>
      </c>
    </row>
    <row r="2185" spans="2:8">
      <c r="B2185" t="s">
        <v>25022</v>
      </c>
      <c r="C2185">
        <v>237</v>
      </c>
      <c r="D2185">
        <v>8</v>
      </c>
      <c r="E2185">
        <v>2</v>
      </c>
      <c r="F2185">
        <v>0</v>
      </c>
      <c r="G2185">
        <v>2</v>
      </c>
      <c r="H2185">
        <v>0</v>
      </c>
    </row>
    <row r="2186" spans="2:8">
      <c r="B2186" t="s">
        <v>25022</v>
      </c>
      <c r="C2186">
        <v>237</v>
      </c>
      <c r="D2186">
        <v>14</v>
      </c>
      <c r="E2186">
        <v>5</v>
      </c>
      <c r="F2186">
        <v>0</v>
      </c>
      <c r="G2186">
        <v>3</v>
      </c>
      <c r="H2186">
        <v>2</v>
      </c>
    </row>
    <row r="2187" spans="2:8">
      <c r="B2187" t="s">
        <v>25022</v>
      </c>
      <c r="C2187">
        <v>237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2:8">
      <c r="B2188" t="s">
        <v>25022</v>
      </c>
      <c r="C2188">
        <v>238</v>
      </c>
      <c r="D2188">
        <v>18</v>
      </c>
      <c r="E2188">
        <v>6</v>
      </c>
      <c r="F2188">
        <v>0</v>
      </c>
      <c r="G2188">
        <v>4</v>
      </c>
      <c r="H2188">
        <v>2</v>
      </c>
    </row>
    <row r="2189" spans="2:8">
      <c r="B2189" t="s">
        <v>25022</v>
      </c>
      <c r="C2189">
        <v>238</v>
      </c>
      <c r="D2189">
        <v>15</v>
      </c>
      <c r="E2189">
        <v>8</v>
      </c>
      <c r="F2189">
        <v>0</v>
      </c>
      <c r="G2189">
        <v>8</v>
      </c>
      <c r="H2189">
        <v>0</v>
      </c>
    </row>
    <row r="2190" spans="2:8">
      <c r="B2190" t="s">
        <v>25022</v>
      </c>
      <c r="C2190">
        <v>238</v>
      </c>
      <c r="D2190">
        <v>12</v>
      </c>
      <c r="E2190">
        <v>0</v>
      </c>
      <c r="F2190">
        <v>0</v>
      </c>
      <c r="G2190">
        <v>0</v>
      </c>
      <c r="H2190">
        <v>0</v>
      </c>
    </row>
    <row r="2191" spans="2:8">
      <c r="B2191" t="s">
        <v>25022</v>
      </c>
      <c r="C2191">
        <v>238</v>
      </c>
      <c r="D2191">
        <v>7</v>
      </c>
      <c r="E2191">
        <v>0</v>
      </c>
      <c r="F2191">
        <v>0</v>
      </c>
      <c r="G2191">
        <v>0</v>
      </c>
      <c r="H2191">
        <v>0</v>
      </c>
    </row>
    <row r="2192" spans="2:8">
      <c r="B2192" t="s">
        <v>25022</v>
      </c>
      <c r="C2192">
        <v>238</v>
      </c>
      <c r="D2192">
        <v>6</v>
      </c>
      <c r="E2192">
        <v>4</v>
      </c>
      <c r="F2192">
        <v>0</v>
      </c>
      <c r="G2192">
        <v>4</v>
      </c>
      <c r="H2192">
        <v>0</v>
      </c>
    </row>
    <row r="2193" spans="2:8">
      <c r="B2193" t="s">
        <v>25022</v>
      </c>
      <c r="C2193">
        <v>238</v>
      </c>
      <c r="D2193">
        <v>7</v>
      </c>
      <c r="E2193">
        <v>2</v>
      </c>
      <c r="F2193">
        <v>0</v>
      </c>
      <c r="G2193">
        <v>2</v>
      </c>
      <c r="H2193">
        <v>0</v>
      </c>
    </row>
    <row r="2194" spans="2:8">
      <c r="B2194" t="s">
        <v>25022</v>
      </c>
      <c r="C2194">
        <v>239</v>
      </c>
      <c r="D2194">
        <v>13</v>
      </c>
      <c r="E2194">
        <v>3</v>
      </c>
      <c r="F2194">
        <v>0</v>
      </c>
      <c r="G2194">
        <v>2</v>
      </c>
      <c r="H2194">
        <v>1</v>
      </c>
    </row>
    <row r="2195" spans="2:8">
      <c r="B2195" t="s">
        <v>25022</v>
      </c>
      <c r="C2195">
        <v>239</v>
      </c>
      <c r="D2195">
        <v>9</v>
      </c>
      <c r="E2195">
        <v>4</v>
      </c>
      <c r="F2195">
        <v>0</v>
      </c>
      <c r="G2195">
        <v>2</v>
      </c>
      <c r="H2195">
        <v>2</v>
      </c>
    </row>
    <row r="2196" spans="2:8">
      <c r="B2196" t="s">
        <v>25022</v>
      </c>
      <c r="C2196">
        <v>239</v>
      </c>
      <c r="D2196">
        <v>11</v>
      </c>
      <c r="E2196">
        <v>4</v>
      </c>
      <c r="F2196">
        <v>0</v>
      </c>
      <c r="G2196">
        <v>4</v>
      </c>
      <c r="H2196">
        <v>0</v>
      </c>
    </row>
    <row r="2197" spans="2:8">
      <c r="B2197" t="s">
        <v>25022</v>
      </c>
      <c r="C2197">
        <v>239</v>
      </c>
      <c r="D2197">
        <v>17</v>
      </c>
      <c r="E2197">
        <v>9</v>
      </c>
      <c r="F2197">
        <v>0</v>
      </c>
      <c r="G2197">
        <v>7</v>
      </c>
      <c r="H2197">
        <v>2</v>
      </c>
    </row>
    <row r="2198" spans="2:8">
      <c r="B2198" t="s">
        <v>25022</v>
      </c>
      <c r="C2198">
        <v>239</v>
      </c>
      <c r="D2198">
        <v>4</v>
      </c>
      <c r="E2198">
        <v>0</v>
      </c>
      <c r="F2198">
        <v>0</v>
      </c>
      <c r="G2198">
        <v>0</v>
      </c>
      <c r="H2198">
        <v>0</v>
      </c>
    </row>
    <row r="2199" spans="2:8">
      <c r="B2199" t="s">
        <v>25022</v>
      </c>
      <c r="C2199">
        <v>239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2:8">
      <c r="B2200" t="s">
        <v>25022</v>
      </c>
      <c r="C2200">
        <v>240</v>
      </c>
      <c r="D2200">
        <v>17</v>
      </c>
      <c r="E2200">
        <v>0</v>
      </c>
      <c r="F2200">
        <v>0</v>
      </c>
      <c r="G2200">
        <v>0</v>
      </c>
      <c r="H2200">
        <v>0</v>
      </c>
    </row>
    <row r="2201" spans="2:8">
      <c r="B2201" t="s">
        <v>25022</v>
      </c>
      <c r="C2201">
        <v>240</v>
      </c>
      <c r="D2201">
        <v>29</v>
      </c>
      <c r="E2201">
        <v>11</v>
      </c>
      <c r="F2201">
        <v>0</v>
      </c>
      <c r="G2201">
        <v>7</v>
      </c>
      <c r="H2201">
        <v>4</v>
      </c>
    </row>
    <row r="2202" spans="2:8">
      <c r="B2202" t="s">
        <v>25022</v>
      </c>
      <c r="C2202">
        <v>240</v>
      </c>
      <c r="D2202">
        <v>15</v>
      </c>
      <c r="E2202">
        <v>2</v>
      </c>
      <c r="F2202">
        <v>0</v>
      </c>
      <c r="G2202">
        <v>2</v>
      </c>
      <c r="H2202">
        <v>0</v>
      </c>
    </row>
    <row r="2203" spans="2:8">
      <c r="B2203" t="s">
        <v>25022</v>
      </c>
      <c r="C2203">
        <v>240</v>
      </c>
      <c r="D2203">
        <v>15</v>
      </c>
      <c r="E2203">
        <v>5</v>
      </c>
      <c r="F2203">
        <v>0</v>
      </c>
      <c r="G2203">
        <v>5</v>
      </c>
      <c r="H2203">
        <v>0</v>
      </c>
    </row>
    <row r="2204" spans="2:8">
      <c r="B2204" t="s">
        <v>25022</v>
      </c>
      <c r="C2204">
        <v>240</v>
      </c>
      <c r="D2204">
        <v>20</v>
      </c>
      <c r="E2204">
        <v>4</v>
      </c>
      <c r="F2204">
        <v>0</v>
      </c>
      <c r="G2204">
        <v>2</v>
      </c>
      <c r="H2204">
        <v>2</v>
      </c>
    </row>
    <row r="2205" spans="2:8">
      <c r="B2205" t="s">
        <v>25022</v>
      </c>
      <c r="C2205">
        <v>240</v>
      </c>
      <c r="D2205">
        <v>10</v>
      </c>
      <c r="E2205">
        <v>7</v>
      </c>
      <c r="F2205">
        <v>0</v>
      </c>
      <c r="G2205">
        <v>5</v>
      </c>
      <c r="H2205">
        <v>2</v>
      </c>
    </row>
    <row r="2206" spans="2:8">
      <c r="B2206" t="s">
        <v>25022</v>
      </c>
      <c r="C2206">
        <v>240</v>
      </c>
      <c r="D2206">
        <v>3</v>
      </c>
      <c r="E2206">
        <v>0</v>
      </c>
      <c r="F2206">
        <v>0</v>
      </c>
      <c r="G2206">
        <v>0</v>
      </c>
      <c r="H2206">
        <v>0</v>
      </c>
    </row>
    <row r="2207" spans="2:8">
      <c r="B2207" t="s">
        <v>25022</v>
      </c>
      <c r="C2207">
        <v>240</v>
      </c>
      <c r="D2207">
        <v>6</v>
      </c>
      <c r="E2207">
        <v>0</v>
      </c>
      <c r="F2207">
        <v>0</v>
      </c>
      <c r="G2207">
        <v>0</v>
      </c>
      <c r="H2207">
        <v>0</v>
      </c>
    </row>
    <row r="2208" spans="2:8">
      <c r="B2208" t="s">
        <v>25022</v>
      </c>
      <c r="C2208">
        <v>240</v>
      </c>
      <c r="D2208">
        <v>5</v>
      </c>
      <c r="E2208">
        <v>0</v>
      </c>
      <c r="F2208">
        <v>0</v>
      </c>
      <c r="G2208">
        <v>0</v>
      </c>
      <c r="H2208">
        <v>0</v>
      </c>
    </row>
    <row r="2209" spans="2:8">
      <c r="B2209" t="s">
        <v>25022</v>
      </c>
      <c r="C2209">
        <v>240</v>
      </c>
      <c r="D2209">
        <v>1</v>
      </c>
      <c r="E2209">
        <v>0</v>
      </c>
      <c r="F2209">
        <v>0</v>
      </c>
      <c r="G2209">
        <v>0</v>
      </c>
      <c r="H2209">
        <v>0</v>
      </c>
    </row>
    <row r="2210" spans="2:8">
      <c r="B2210" t="s">
        <v>25022</v>
      </c>
      <c r="C2210">
        <v>241</v>
      </c>
      <c r="D2210">
        <v>21</v>
      </c>
      <c r="E2210">
        <v>9</v>
      </c>
      <c r="F2210">
        <v>0</v>
      </c>
      <c r="G2210">
        <v>9</v>
      </c>
      <c r="H2210">
        <v>0</v>
      </c>
    </row>
    <row r="2211" spans="2:8">
      <c r="B2211" t="s">
        <v>25022</v>
      </c>
      <c r="C2211">
        <v>241</v>
      </c>
      <c r="D2211">
        <v>12</v>
      </c>
      <c r="E2211">
        <v>2</v>
      </c>
      <c r="F2211">
        <v>0</v>
      </c>
      <c r="G2211">
        <v>2</v>
      </c>
      <c r="H2211">
        <v>0</v>
      </c>
    </row>
    <row r="2212" spans="2:8">
      <c r="B2212" t="s">
        <v>25022</v>
      </c>
      <c r="C2212">
        <v>241</v>
      </c>
      <c r="D2212">
        <v>27</v>
      </c>
      <c r="E2212">
        <v>13</v>
      </c>
      <c r="F2212">
        <v>0</v>
      </c>
      <c r="G2212">
        <v>10</v>
      </c>
      <c r="H2212">
        <v>3</v>
      </c>
    </row>
    <row r="2213" spans="2:8">
      <c r="B2213" t="s">
        <v>25022</v>
      </c>
      <c r="C2213">
        <v>241</v>
      </c>
      <c r="D2213">
        <v>12</v>
      </c>
      <c r="E2213">
        <v>8</v>
      </c>
      <c r="F2213">
        <v>0</v>
      </c>
      <c r="G2213">
        <v>8</v>
      </c>
      <c r="H2213">
        <v>0</v>
      </c>
    </row>
    <row r="2214" spans="2:8">
      <c r="B2214" t="s">
        <v>25022</v>
      </c>
      <c r="C2214">
        <v>241</v>
      </c>
      <c r="D2214">
        <v>11</v>
      </c>
      <c r="E2214">
        <v>5</v>
      </c>
      <c r="F2214">
        <v>0</v>
      </c>
      <c r="G2214">
        <v>2</v>
      </c>
      <c r="H2214">
        <v>3</v>
      </c>
    </row>
    <row r="2215" spans="2:8">
      <c r="B2215" t="s">
        <v>25022</v>
      </c>
      <c r="C2215">
        <v>242</v>
      </c>
      <c r="D2215">
        <v>13</v>
      </c>
      <c r="E2215">
        <v>5</v>
      </c>
      <c r="F2215">
        <v>0</v>
      </c>
      <c r="G2215">
        <v>3</v>
      </c>
      <c r="H2215">
        <v>2</v>
      </c>
    </row>
    <row r="2216" spans="2:8">
      <c r="B2216" t="s">
        <v>25022</v>
      </c>
      <c r="C2216">
        <v>242</v>
      </c>
      <c r="D2216">
        <v>10</v>
      </c>
      <c r="E2216">
        <v>2</v>
      </c>
      <c r="F2216">
        <v>0</v>
      </c>
      <c r="G2216">
        <v>2</v>
      </c>
      <c r="H2216">
        <v>0</v>
      </c>
    </row>
    <row r="2217" spans="2:8">
      <c r="B2217" t="s">
        <v>25022</v>
      </c>
      <c r="C2217">
        <v>242</v>
      </c>
      <c r="D2217">
        <v>11</v>
      </c>
      <c r="E2217">
        <v>2</v>
      </c>
      <c r="F2217">
        <v>0</v>
      </c>
      <c r="G2217">
        <v>2</v>
      </c>
      <c r="H2217">
        <v>0</v>
      </c>
    </row>
    <row r="2218" spans="2:8">
      <c r="B2218" t="s">
        <v>25022</v>
      </c>
      <c r="C2218">
        <v>242</v>
      </c>
      <c r="D2218">
        <v>10</v>
      </c>
      <c r="E2218">
        <v>2</v>
      </c>
      <c r="F2218">
        <v>0</v>
      </c>
      <c r="G2218">
        <v>2</v>
      </c>
      <c r="H2218">
        <v>0</v>
      </c>
    </row>
    <row r="2219" spans="2:8">
      <c r="B2219" t="s">
        <v>25022</v>
      </c>
      <c r="C2219">
        <v>242</v>
      </c>
      <c r="D2219">
        <v>5</v>
      </c>
      <c r="E2219">
        <v>0</v>
      </c>
      <c r="F2219">
        <v>0</v>
      </c>
      <c r="G2219">
        <v>0</v>
      </c>
      <c r="H2219">
        <v>0</v>
      </c>
    </row>
    <row r="2220" spans="2:8">
      <c r="B2220" t="s">
        <v>25022</v>
      </c>
      <c r="C2220">
        <v>243</v>
      </c>
      <c r="D2220">
        <v>18</v>
      </c>
      <c r="E2220">
        <v>5</v>
      </c>
      <c r="F2220">
        <v>0</v>
      </c>
      <c r="G2220">
        <v>4</v>
      </c>
      <c r="H2220">
        <v>1</v>
      </c>
    </row>
    <row r="2221" spans="2:8">
      <c r="B2221" t="s">
        <v>25022</v>
      </c>
      <c r="C2221">
        <v>243</v>
      </c>
      <c r="D2221">
        <v>17</v>
      </c>
      <c r="E2221">
        <v>9</v>
      </c>
      <c r="F2221">
        <v>0</v>
      </c>
      <c r="G2221">
        <v>7</v>
      </c>
      <c r="H2221">
        <v>2</v>
      </c>
    </row>
    <row r="2222" spans="2:8">
      <c r="B2222" t="s">
        <v>25022</v>
      </c>
      <c r="C2222">
        <v>243</v>
      </c>
      <c r="D2222">
        <v>20</v>
      </c>
      <c r="E2222">
        <v>7</v>
      </c>
      <c r="F2222">
        <v>0</v>
      </c>
      <c r="G2222">
        <v>5</v>
      </c>
      <c r="H2222">
        <v>2</v>
      </c>
    </row>
    <row r="2223" spans="2:8">
      <c r="B2223" t="s">
        <v>25022</v>
      </c>
      <c r="C2223">
        <v>243</v>
      </c>
      <c r="D2223">
        <v>7</v>
      </c>
      <c r="E2223">
        <v>0</v>
      </c>
      <c r="F2223">
        <v>0</v>
      </c>
      <c r="G2223">
        <v>0</v>
      </c>
      <c r="H2223">
        <v>0</v>
      </c>
    </row>
    <row r="2224" spans="2:8">
      <c r="B2224" t="s">
        <v>25022</v>
      </c>
      <c r="C2224">
        <v>243</v>
      </c>
      <c r="D2224">
        <v>5</v>
      </c>
      <c r="E2224">
        <v>0</v>
      </c>
      <c r="F2224">
        <v>0</v>
      </c>
      <c r="G2224">
        <v>0</v>
      </c>
      <c r="H2224">
        <v>0</v>
      </c>
    </row>
    <row r="2225" spans="2:8">
      <c r="B2225" t="s">
        <v>25022</v>
      </c>
      <c r="C2225">
        <v>243</v>
      </c>
      <c r="D2225">
        <v>10</v>
      </c>
      <c r="E2225">
        <v>4</v>
      </c>
      <c r="F2225">
        <v>0</v>
      </c>
      <c r="G2225">
        <v>4</v>
      </c>
      <c r="H2225">
        <v>0</v>
      </c>
    </row>
    <row r="2226" spans="2:8">
      <c r="B2226" t="s">
        <v>25022</v>
      </c>
      <c r="C2226">
        <v>243</v>
      </c>
      <c r="D2226">
        <v>8</v>
      </c>
      <c r="E2226">
        <v>2</v>
      </c>
      <c r="F2226">
        <v>0</v>
      </c>
      <c r="G2226">
        <v>0</v>
      </c>
      <c r="H2226">
        <v>2</v>
      </c>
    </row>
    <row r="2227" spans="2:8">
      <c r="B2227" t="s">
        <v>25022</v>
      </c>
      <c r="C2227">
        <v>244</v>
      </c>
      <c r="D2227">
        <v>15</v>
      </c>
      <c r="E2227">
        <v>7</v>
      </c>
      <c r="F2227">
        <v>0</v>
      </c>
      <c r="G2227">
        <v>5</v>
      </c>
      <c r="H2227">
        <v>2</v>
      </c>
    </row>
    <row r="2228" spans="2:8">
      <c r="B2228" t="s">
        <v>25022</v>
      </c>
      <c r="C2228">
        <v>244</v>
      </c>
      <c r="D2228">
        <v>5</v>
      </c>
      <c r="E2228">
        <v>3</v>
      </c>
      <c r="F2228">
        <v>0</v>
      </c>
      <c r="G2228">
        <v>2</v>
      </c>
      <c r="H2228">
        <v>1</v>
      </c>
    </row>
    <row r="2229" spans="2:8">
      <c r="B2229" t="s">
        <v>25022</v>
      </c>
      <c r="C2229">
        <v>244</v>
      </c>
      <c r="D2229">
        <v>17</v>
      </c>
      <c r="E2229">
        <v>4</v>
      </c>
      <c r="F2229">
        <v>0</v>
      </c>
      <c r="G2229">
        <v>2</v>
      </c>
      <c r="H2229">
        <v>2</v>
      </c>
    </row>
    <row r="2230" spans="2:8">
      <c r="B2230" t="s">
        <v>25022</v>
      </c>
      <c r="C2230">
        <v>244</v>
      </c>
      <c r="D2230">
        <v>6</v>
      </c>
      <c r="E2230">
        <v>0</v>
      </c>
      <c r="F2230">
        <v>0</v>
      </c>
      <c r="G2230">
        <v>0</v>
      </c>
      <c r="H2230">
        <v>0</v>
      </c>
    </row>
    <row r="2231" spans="2:8">
      <c r="B2231" t="s">
        <v>25022</v>
      </c>
      <c r="C2231">
        <v>244</v>
      </c>
      <c r="D2231">
        <v>1</v>
      </c>
      <c r="E2231">
        <v>0</v>
      </c>
      <c r="F2231">
        <v>0</v>
      </c>
      <c r="G2231">
        <v>0</v>
      </c>
      <c r="H2231">
        <v>0</v>
      </c>
    </row>
    <row r="2232" spans="2:8">
      <c r="B2232" t="s">
        <v>25022</v>
      </c>
      <c r="C2232">
        <v>245</v>
      </c>
      <c r="D2232">
        <v>11</v>
      </c>
      <c r="E2232">
        <v>4</v>
      </c>
      <c r="F2232">
        <v>0</v>
      </c>
      <c r="G2232">
        <v>4</v>
      </c>
      <c r="H2232">
        <v>0</v>
      </c>
    </row>
    <row r="2233" spans="2:8">
      <c r="B2233" t="s">
        <v>25022</v>
      </c>
      <c r="C2233">
        <v>245</v>
      </c>
      <c r="D2233">
        <v>21</v>
      </c>
      <c r="E2233">
        <v>8</v>
      </c>
      <c r="F2233">
        <v>0</v>
      </c>
      <c r="G2233">
        <v>6</v>
      </c>
      <c r="H2233">
        <v>2</v>
      </c>
    </row>
    <row r="2234" spans="2:8">
      <c r="B2234" t="s">
        <v>25022</v>
      </c>
      <c r="C2234">
        <v>245</v>
      </c>
      <c r="D2234">
        <v>19</v>
      </c>
      <c r="E2234">
        <v>8</v>
      </c>
      <c r="F2234">
        <v>0</v>
      </c>
      <c r="G2234">
        <v>4</v>
      </c>
      <c r="H2234">
        <v>4</v>
      </c>
    </row>
    <row r="2235" spans="2:8">
      <c r="B2235" t="s">
        <v>25022</v>
      </c>
      <c r="C2235">
        <v>245</v>
      </c>
      <c r="D2235">
        <v>6</v>
      </c>
      <c r="E2235">
        <v>2</v>
      </c>
      <c r="F2235">
        <v>0</v>
      </c>
      <c r="G2235">
        <v>0</v>
      </c>
      <c r="H2235">
        <v>2</v>
      </c>
    </row>
    <row r="2236" spans="2:8">
      <c r="B2236" t="s">
        <v>25022</v>
      </c>
      <c r="C2236">
        <v>245</v>
      </c>
      <c r="D2236">
        <v>3</v>
      </c>
      <c r="E2236">
        <v>0</v>
      </c>
      <c r="F2236">
        <v>0</v>
      </c>
      <c r="G2236">
        <v>0</v>
      </c>
      <c r="H2236">
        <v>0</v>
      </c>
    </row>
    <row r="2237" spans="2:8">
      <c r="B2237" t="s">
        <v>25022</v>
      </c>
      <c r="C2237">
        <v>245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2:8">
      <c r="B2238" t="s">
        <v>25022</v>
      </c>
      <c r="C2238">
        <v>246</v>
      </c>
      <c r="D2238">
        <v>38</v>
      </c>
      <c r="E2238">
        <v>12</v>
      </c>
      <c r="F2238">
        <v>0</v>
      </c>
      <c r="G2238">
        <v>2</v>
      </c>
      <c r="H2238">
        <v>10</v>
      </c>
    </row>
    <row r="2239" spans="2:8">
      <c r="B2239" t="s">
        <v>25022</v>
      </c>
      <c r="C2239">
        <v>246</v>
      </c>
      <c r="D2239">
        <v>8</v>
      </c>
      <c r="E2239">
        <v>0</v>
      </c>
      <c r="F2239">
        <v>0</v>
      </c>
      <c r="G2239">
        <v>0</v>
      </c>
      <c r="H2239">
        <v>0</v>
      </c>
    </row>
    <row r="2240" spans="2:8">
      <c r="B2240" t="s">
        <v>25022</v>
      </c>
      <c r="C2240">
        <v>246</v>
      </c>
      <c r="D2240">
        <v>14</v>
      </c>
      <c r="E2240">
        <v>2</v>
      </c>
      <c r="F2240">
        <v>0</v>
      </c>
      <c r="G2240">
        <v>0</v>
      </c>
      <c r="H2240">
        <v>2</v>
      </c>
    </row>
    <row r="2241" spans="2:8">
      <c r="B2241" t="s">
        <v>25022</v>
      </c>
      <c r="C2241">
        <v>246</v>
      </c>
      <c r="D2241">
        <v>10</v>
      </c>
      <c r="E2241">
        <v>7</v>
      </c>
      <c r="F2241">
        <v>0</v>
      </c>
      <c r="G2241">
        <v>5</v>
      </c>
      <c r="H2241">
        <v>2</v>
      </c>
    </row>
    <row r="2242" spans="2:8">
      <c r="B2242" t="s">
        <v>25022</v>
      </c>
      <c r="C2242">
        <v>246</v>
      </c>
      <c r="D2242">
        <v>5</v>
      </c>
      <c r="E2242">
        <v>2</v>
      </c>
      <c r="F2242">
        <v>0</v>
      </c>
      <c r="G2242">
        <v>2</v>
      </c>
      <c r="H2242">
        <v>0</v>
      </c>
    </row>
    <row r="2243" spans="2:8">
      <c r="B2243" t="s">
        <v>25022</v>
      </c>
      <c r="C2243">
        <v>246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2:8">
      <c r="B2244" t="s">
        <v>25022</v>
      </c>
      <c r="C2244">
        <v>246</v>
      </c>
      <c r="D2244">
        <v>1</v>
      </c>
      <c r="E2244">
        <v>0</v>
      </c>
      <c r="F2244">
        <v>0</v>
      </c>
      <c r="G2244">
        <v>0</v>
      </c>
      <c r="H2244">
        <v>0</v>
      </c>
    </row>
    <row r="2245" spans="2:8">
      <c r="B2245" t="s">
        <v>25022</v>
      </c>
      <c r="C2245">
        <v>247</v>
      </c>
      <c r="D2245">
        <v>19</v>
      </c>
      <c r="E2245">
        <v>5</v>
      </c>
      <c r="F2245">
        <v>0</v>
      </c>
      <c r="G2245">
        <v>5</v>
      </c>
      <c r="H2245">
        <v>0</v>
      </c>
    </row>
    <row r="2246" spans="2:8">
      <c r="B2246" t="s">
        <v>25022</v>
      </c>
      <c r="C2246">
        <v>247</v>
      </c>
      <c r="D2246">
        <v>16</v>
      </c>
      <c r="E2246">
        <v>8</v>
      </c>
      <c r="F2246">
        <v>0</v>
      </c>
      <c r="G2246">
        <v>4</v>
      </c>
      <c r="H2246">
        <v>4</v>
      </c>
    </row>
    <row r="2247" spans="2:8">
      <c r="B2247" t="s">
        <v>25022</v>
      </c>
      <c r="C2247">
        <v>247</v>
      </c>
      <c r="D2247">
        <v>19</v>
      </c>
      <c r="E2247">
        <v>7</v>
      </c>
      <c r="F2247">
        <v>0</v>
      </c>
      <c r="G2247">
        <v>7</v>
      </c>
      <c r="H2247">
        <v>0</v>
      </c>
    </row>
    <row r="2248" spans="2:8">
      <c r="B2248" t="s">
        <v>25022</v>
      </c>
      <c r="C2248">
        <v>247</v>
      </c>
      <c r="D2248">
        <v>27</v>
      </c>
      <c r="E2248">
        <v>9</v>
      </c>
      <c r="F2248">
        <v>0</v>
      </c>
      <c r="G2248">
        <v>6</v>
      </c>
      <c r="H2248">
        <v>3</v>
      </c>
    </row>
    <row r="2249" spans="2:8">
      <c r="B2249" t="s">
        <v>25022</v>
      </c>
      <c r="C2249">
        <v>247</v>
      </c>
      <c r="D2249">
        <v>12</v>
      </c>
      <c r="E2249">
        <v>2</v>
      </c>
      <c r="F2249">
        <v>0</v>
      </c>
      <c r="G2249">
        <v>2</v>
      </c>
      <c r="H2249">
        <v>0</v>
      </c>
    </row>
    <row r="2250" spans="2:8">
      <c r="B2250" t="s">
        <v>25022</v>
      </c>
      <c r="C2250">
        <v>247</v>
      </c>
      <c r="D2250">
        <v>10</v>
      </c>
      <c r="E2250">
        <v>2</v>
      </c>
      <c r="F2250">
        <v>0</v>
      </c>
      <c r="G2250">
        <v>0</v>
      </c>
      <c r="H2250">
        <v>2</v>
      </c>
    </row>
    <row r="2251" spans="2:8">
      <c r="B2251" t="s">
        <v>25022</v>
      </c>
      <c r="C2251">
        <v>248</v>
      </c>
      <c r="D2251">
        <v>25</v>
      </c>
      <c r="E2251">
        <v>9</v>
      </c>
      <c r="F2251">
        <v>5</v>
      </c>
      <c r="G2251">
        <v>0</v>
      </c>
      <c r="H2251">
        <v>4</v>
      </c>
    </row>
    <row r="2252" spans="2:8">
      <c r="B2252" t="s">
        <v>25022</v>
      </c>
      <c r="C2252">
        <v>248</v>
      </c>
      <c r="D2252">
        <v>14</v>
      </c>
      <c r="E2252">
        <v>6</v>
      </c>
      <c r="F2252">
        <v>0</v>
      </c>
      <c r="G2252">
        <v>2</v>
      </c>
      <c r="H2252">
        <v>4</v>
      </c>
    </row>
    <row r="2253" spans="2:8">
      <c r="B2253" t="s">
        <v>25022</v>
      </c>
      <c r="C2253">
        <v>248</v>
      </c>
      <c r="D2253">
        <v>19</v>
      </c>
      <c r="E2253">
        <v>2</v>
      </c>
      <c r="F2253">
        <v>0</v>
      </c>
      <c r="G2253">
        <v>2</v>
      </c>
      <c r="H2253">
        <v>0</v>
      </c>
    </row>
    <row r="2254" spans="2:8">
      <c r="B2254" t="s">
        <v>25022</v>
      </c>
      <c r="C2254">
        <v>248</v>
      </c>
      <c r="D2254">
        <v>2</v>
      </c>
      <c r="E2254">
        <v>0</v>
      </c>
      <c r="F2254">
        <v>0</v>
      </c>
      <c r="G2254">
        <v>0</v>
      </c>
      <c r="H2254">
        <v>0</v>
      </c>
    </row>
    <row r="2255" spans="2:8">
      <c r="B2255" t="s">
        <v>25022</v>
      </c>
      <c r="C2255">
        <v>249</v>
      </c>
      <c r="D2255">
        <v>7</v>
      </c>
      <c r="E2255">
        <v>0</v>
      </c>
      <c r="F2255">
        <v>0</v>
      </c>
      <c r="G2255">
        <v>0</v>
      </c>
      <c r="H2255">
        <v>0</v>
      </c>
    </row>
    <row r="2256" spans="2:8">
      <c r="B2256" t="s">
        <v>25022</v>
      </c>
      <c r="C2256">
        <v>249</v>
      </c>
      <c r="D2256">
        <v>11</v>
      </c>
      <c r="E2256">
        <v>0</v>
      </c>
      <c r="F2256">
        <v>0</v>
      </c>
      <c r="G2256">
        <v>0</v>
      </c>
      <c r="H2256">
        <v>0</v>
      </c>
    </row>
    <row r="2257" spans="2:8">
      <c r="B2257" t="s">
        <v>25022</v>
      </c>
      <c r="C2257">
        <v>249</v>
      </c>
      <c r="D2257">
        <v>23</v>
      </c>
      <c r="E2257">
        <v>13</v>
      </c>
      <c r="F2257">
        <v>0</v>
      </c>
      <c r="G2257">
        <v>13</v>
      </c>
      <c r="H2257">
        <v>0</v>
      </c>
    </row>
    <row r="2258" spans="2:8">
      <c r="B2258" t="s">
        <v>25022</v>
      </c>
      <c r="C2258">
        <v>249</v>
      </c>
      <c r="D2258">
        <v>5</v>
      </c>
      <c r="E2258">
        <v>0</v>
      </c>
      <c r="F2258">
        <v>0</v>
      </c>
      <c r="G2258">
        <v>0</v>
      </c>
      <c r="H2258">
        <v>0</v>
      </c>
    </row>
    <row r="2259" spans="2:8">
      <c r="B2259" t="s">
        <v>25022</v>
      </c>
      <c r="C2259">
        <v>249</v>
      </c>
      <c r="D2259">
        <v>5</v>
      </c>
      <c r="E2259">
        <v>0</v>
      </c>
      <c r="F2259">
        <v>0</v>
      </c>
      <c r="G2259">
        <v>0</v>
      </c>
      <c r="H2259">
        <v>0</v>
      </c>
    </row>
    <row r="2260" spans="2:8">
      <c r="B2260" t="s">
        <v>25022</v>
      </c>
      <c r="C2260">
        <v>249</v>
      </c>
      <c r="D2260">
        <v>2</v>
      </c>
      <c r="E2260">
        <v>0</v>
      </c>
      <c r="F2260">
        <v>0</v>
      </c>
      <c r="G2260">
        <v>0</v>
      </c>
      <c r="H2260">
        <v>0</v>
      </c>
    </row>
    <row r="2261" spans="2:8">
      <c r="B2261" t="s">
        <v>25022</v>
      </c>
      <c r="C2261">
        <v>250</v>
      </c>
      <c r="D2261">
        <v>33</v>
      </c>
      <c r="E2261">
        <v>22</v>
      </c>
      <c r="F2261">
        <v>0</v>
      </c>
      <c r="G2261">
        <v>21</v>
      </c>
      <c r="H2261">
        <v>1</v>
      </c>
    </row>
    <row r="2262" spans="2:8">
      <c r="B2262" t="s">
        <v>25022</v>
      </c>
      <c r="C2262">
        <v>250</v>
      </c>
      <c r="D2262">
        <v>14</v>
      </c>
      <c r="E2262">
        <v>7</v>
      </c>
      <c r="F2262">
        <v>0</v>
      </c>
      <c r="G2262">
        <v>7</v>
      </c>
      <c r="H2262">
        <v>0</v>
      </c>
    </row>
    <row r="2263" spans="2:8">
      <c r="B2263" t="s">
        <v>25022</v>
      </c>
      <c r="C2263">
        <v>250</v>
      </c>
      <c r="D2263">
        <v>6</v>
      </c>
      <c r="E2263">
        <v>0</v>
      </c>
      <c r="F2263">
        <v>0</v>
      </c>
      <c r="G2263">
        <v>0</v>
      </c>
      <c r="H2263">
        <v>0</v>
      </c>
    </row>
    <row r="2264" spans="2:8">
      <c r="B2264" t="s">
        <v>25022</v>
      </c>
      <c r="C2264">
        <v>250</v>
      </c>
      <c r="D2264">
        <v>10</v>
      </c>
      <c r="E2264">
        <v>0</v>
      </c>
      <c r="F2264">
        <v>0</v>
      </c>
      <c r="G2264">
        <v>0</v>
      </c>
      <c r="H2264">
        <v>0</v>
      </c>
    </row>
    <row r="2265" spans="2:8">
      <c r="B2265" t="s">
        <v>25022</v>
      </c>
      <c r="C2265">
        <v>250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2:8">
      <c r="B2266" t="s">
        <v>25022</v>
      </c>
      <c r="C2266">
        <v>251</v>
      </c>
      <c r="D2266">
        <v>10</v>
      </c>
      <c r="E2266">
        <v>0</v>
      </c>
      <c r="F2266">
        <v>0</v>
      </c>
      <c r="G2266">
        <v>0</v>
      </c>
      <c r="H2266">
        <v>0</v>
      </c>
    </row>
    <row r="2267" spans="2:8">
      <c r="B2267" t="s">
        <v>25022</v>
      </c>
      <c r="C2267">
        <v>251</v>
      </c>
      <c r="D2267">
        <v>15</v>
      </c>
      <c r="E2267">
        <v>7</v>
      </c>
      <c r="F2267">
        <v>0</v>
      </c>
      <c r="G2267">
        <v>5</v>
      </c>
      <c r="H2267">
        <v>2</v>
      </c>
    </row>
    <row r="2268" spans="2:8">
      <c r="B2268" t="s">
        <v>25022</v>
      </c>
      <c r="C2268">
        <v>251</v>
      </c>
      <c r="D2268">
        <v>10</v>
      </c>
      <c r="E2268">
        <v>2</v>
      </c>
      <c r="F2268">
        <v>0</v>
      </c>
      <c r="G2268">
        <v>0</v>
      </c>
      <c r="H2268">
        <v>2</v>
      </c>
    </row>
    <row r="2269" spans="2:8">
      <c r="B2269" t="s">
        <v>25022</v>
      </c>
      <c r="C2269">
        <v>251</v>
      </c>
      <c r="D2269">
        <v>12</v>
      </c>
      <c r="E2269">
        <v>2</v>
      </c>
      <c r="F2269">
        <v>0</v>
      </c>
      <c r="G2269">
        <v>2</v>
      </c>
      <c r="H2269">
        <v>0</v>
      </c>
    </row>
    <row r="2270" spans="2:8">
      <c r="B2270" t="s">
        <v>25022</v>
      </c>
      <c r="C2270">
        <v>251</v>
      </c>
      <c r="D2270">
        <v>7</v>
      </c>
      <c r="E2270">
        <v>4</v>
      </c>
      <c r="F2270">
        <v>0</v>
      </c>
      <c r="G2270">
        <v>0</v>
      </c>
      <c r="H2270">
        <v>4</v>
      </c>
    </row>
    <row r="2271" spans="2:8">
      <c r="B2271" t="s">
        <v>25022</v>
      </c>
      <c r="C2271">
        <v>252</v>
      </c>
      <c r="D2271">
        <v>22</v>
      </c>
      <c r="E2271">
        <v>12</v>
      </c>
      <c r="F2271">
        <v>0</v>
      </c>
      <c r="G2271">
        <v>11</v>
      </c>
      <c r="H2271">
        <v>1</v>
      </c>
    </row>
    <row r="2272" spans="2:8">
      <c r="B2272" t="s">
        <v>25022</v>
      </c>
      <c r="C2272">
        <v>252</v>
      </c>
      <c r="D2272">
        <v>17</v>
      </c>
      <c r="E2272">
        <v>5</v>
      </c>
      <c r="F2272">
        <v>0</v>
      </c>
      <c r="G2272">
        <v>5</v>
      </c>
      <c r="H2272">
        <v>0</v>
      </c>
    </row>
    <row r="2273" spans="2:8">
      <c r="B2273" t="s">
        <v>25022</v>
      </c>
      <c r="C2273">
        <v>252</v>
      </c>
      <c r="D2273">
        <v>6</v>
      </c>
      <c r="E2273">
        <v>0</v>
      </c>
      <c r="F2273">
        <v>0</v>
      </c>
      <c r="G2273">
        <v>0</v>
      </c>
      <c r="H2273">
        <v>0</v>
      </c>
    </row>
    <row r="2274" spans="2:8">
      <c r="B2274" t="s">
        <v>25022</v>
      </c>
      <c r="C2274">
        <v>252</v>
      </c>
      <c r="D2274">
        <v>3</v>
      </c>
      <c r="E2274">
        <v>0</v>
      </c>
      <c r="F2274">
        <v>0</v>
      </c>
      <c r="G2274">
        <v>0</v>
      </c>
      <c r="H2274">
        <v>0</v>
      </c>
    </row>
    <row r="2275" spans="2:8">
      <c r="B2275" t="s">
        <v>25022</v>
      </c>
      <c r="C2275">
        <v>252</v>
      </c>
      <c r="D2275">
        <v>5</v>
      </c>
      <c r="E2275">
        <v>0</v>
      </c>
      <c r="F2275">
        <v>0</v>
      </c>
      <c r="G2275">
        <v>0</v>
      </c>
      <c r="H2275">
        <v>0</v>
      </c>
    </row>
    <row r="2276" spans="2:8">
      <c r="B2276" t="s">
        <v>25022</v>
      </c>
      <c r="C2276">
        <v>252</v>
      </c>
      <c r="D2276">
        <v>14</v>
      </c>
      <c r="E2276">
        <v>8</v>
      </c>
      <c r="F2276">
        <v>0</v>
      </c>
      <c r="G2276">
        <v>8</v>
      </c>
      <c r="H2276">
        <v>0</v>
      </c>
    </row>
    <row r="2277" spans="2:8">
      <c r="B2277" t="s">
        <v>25022</v>
      </c>
      <c r="C2277">
        <v>252</v>
      </c>
      <c r="D2277">
        <v>6</v>
      </c>
      <c r="E2277">
        <v>0</v>
      </c>
      <c r="F2277">
        <v>0</v>
      </c>
      <c r="G2277">
        <v>0</v>
      </c>
      <c r="H2277">
        <v>0</v>
      </c>
    </row>
    <row r="2278" spans="2:8">
      <c r="B2278" t="s">
        <v>25022</v>
      </c>
      <c r="C2278">
        <v>253</v>
      </c>
      <c r="D2278">
        <v>24</v>
      </c>
      <c r="E2278">
        <v>4</v>
      </c>
      <c r="F2278">
        <v>0</v>
      </c>
      <c r="G2278">
        <v>2</v>
      </c>
      <c r="H2278">
        <v>2</v>
      </c>
    </row>
    <row r="2279" spans="2:8">
      <c r="B2279" t="s">
        <v>25022</v>
      </c>
      <c r="C2279">
        <v>253</v>
      </c>
      <c r="D2279">
        <v>28</v>
      </c>
      <c r="E2279">
        <v>6</v>
      </c>
      <c r="F2279">
        <v>0</v>
      </c>
      <c r="G2279">
        <v>6</v>
      </c>
      <c r="H2279">
        <v>0</v>
      </c>
    </row>
    <row r="2280" spans="2:8">
      <c r="B2280" t="s">
        <v>25022</v>
      </c>
      <c r="C2280">
        <v>253</v>
      </c>
      <c r="D2280">
        <v>18</v>
      </c>
      <c r="E2280">
        <v>5</v>
      </c>
      <c r="F2280">
        <v>0</v>
      </c>
      <c r="G2280">
        <v>5</v>
      </c>
      <c r="H2280">
        <v>0</v>
      </c>
    </row>
    <row r="2281" spans="2:8">
      <c r="B2281" t="s">
        <v>25022</v>
      </c>
      <c r="C2281">
        <v>253</v>
      </c>
      <c r="D2281">
        <v>18</v>
      </c>
      <c r="E2281">
        <v>10</v>
      </c>
      <c r="F2281">
        <v>0</v>
      </c>
      <c r="G2281">
        <v>7</v>
      </c>
      <c r="H2281">
        <v>3</v>
      </c>
    </row>
    <row r="2282" spans="2:8">
      <c r="B2282" t="s">
        <v>25022</v>
      </c>
      <c r="C2282">
        <v>253</v>
      </c>
      <c r="D2282">
        <v>11</v>
      </c>
      <c r="E2282">
        <v>0</v>
      </c>
      <c r="F2282">
        <v>0</v>
      </c>
      <c r="G2282">
        <v>0</v>
      </c>
      <c r="H2282">
        <v>0</v>
      </c>
    </row>
    <row r="2283" spans="2:8">
      <c r="B2283" t="s">
        <v>25022</v>
      </c>
      <c r="C2283">
        <v>253</v>
      </c>
      <c r="D2283">
        <v>6</v>
      </c>
      <c r="E2283">
        <v>5</v>
      </c>
      <c r="F2283">
        <v>0</v>
      </c>
      <c r="G2283">
        <v>4</v>
      </c>
      <c r="H2283">
        <v>1</v>
      </c>
    </row>
    <row r="2284" spans="2:8">
      <c r="B2284" t="s">
        <v>25022</v>
      </c>
      <c r="C2284">
        <v>253</v>
      </c>
      <c r="D2284">
        <v>5</v>
      </c>
      <c r="E2284">
        <v>2</v>
      </c>
      <c r="F2284">
        <v>0</v>
      </c>
      <c r="G2284">
        <v>2</v>
      </c>
      <c r="H2284">
        <v>0</v>
      </c>
    </row>
    <row r="2285" spans="2:8">
      <c r="B2285" t="s">
        <v>25022</v>
      </c>
      <c r="C2285">
        <v>253</v>
      </c>
      <c r="D2285">
        <v>5</v>
      </c>
      <c r="E2285">
        <v>0</v>
      </c>
      <c r="F2285">
        <v>0</v>
      </c>
      <c r="G2285">
        <v>0</v>
      </c>
      <c r="H2285">
        <v>0</v>
      </c>
    </row>
    <row r="2286" spans="2:8">
      <c r="B2286" t="s">
        <v>25022</v>
      </c>
      <c r="C2286">
        <v>253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2:8">
      <c r="B2287" t="s">
        <v>25022</v>
      </c>
      <c r="C2287">
        <v>254</v>
      </c>
      <c r="D2287">
        <v>33</v>
      </c>
      <c r="E2287">
        <v>12</v>
      </c>
      <c r="F2287">
        <v>0</v>
      </c>
      <c r="G2287">
        <v>10</v>
      </c>
      <c r="H2287">
        <v>2</v>
      </c>
    </row>
    <row r="2288" spans="2:8">
      <c r="B2288" t="s">
        <v>25022</v>
      </c>
      <c r="C2288">
        <v>254</v>
      </c>
      <c r="D2288">
        <v>30</v>
      </c>
      <c r="E2288">
        <v>18</v>
      </c>
      <c r="F2288">
        <v>0</v>
      </c>
      <c r="G2288">
        <v>18</v>
      </c>
      <c r="H2288">
        <v>0</v>
      </c>
    </row>
    <row r="2289" spans="2:8">
      <c r="B2289" t="s">
        <v>25022</v>
      </c>
      <c r="C2289">
        <v>254</v>
      </c>
      <c r="D2289">
        <v>11</v>
      </c>
      <c r="E2289">
        <v>0</v>
      </c>
      <c r="F2289">
        <v>0</v>
      </c>
      <c r="G2289">
        <v>0</v>
      </c>
      <c r="H2289">
        <v>0</v>
      </c>
    </row>
    <row r="2290" spans="2:8">
      <c r="B2290" t="s">
        <v>25022</v>
      </c>
      <c r="C2290">
        <v>254</v>
      </c>
      <c r="D2290">
        <v>9</v>
      </c>
      <c r="E2290">
        <v>2</v>
      </c>
      <c r="F2290">
        <v>0</v>
      </c>
      <c r="G2290">
        <v>2</v>
      </c>
      <c r="H2290">
        <v>0</v>
      </c>
    </row>
    <row r="2291" spans="2:8">
      <c r="B2291" t="s">
        <v>25022</v>
      </c>
      <c r="C2291">
        <v>254</v>
      </c>
      <c r="D2291">
        <v>17</v>
      </c>
      <c r="E2291">
        <v>2</v>
      </c>
      <c r="F2291">
        <v>0</v>
      </c>
      <c r="G2291">
        <v>2</v>
      </c>
      <c r="H2291">
        <v>0</v>
      </c>
    </row>
    <row r="2292" spans="2:8">
      <c r="B2292" t="s">
        <v>25022</v>
      </c>
      <c r="C2292">
        <v>254</v>
      </c>
      <c r="D2292">
        <v>24</v>
      </c>
      <c r="E2292">
        <v>8</v>
      </c>
      <c r="F2292">
        <v>0</v>
      </c>
      <c r="G2292">
        <v>7</v>
      </c>
      <c r="H2292">
        <v>1</v>
      </c>
    </row>
    <row r="2293" spans="2:8">
      <c r="B2293" t="s">
        <v>25022</v>
      </c>
      <c r="C2293">
        <v>254</v>
      </c>
      <c r="D2293">
        <v>17</v>
      </c>
      <c r="E2293">
        <v>6</v>
      </c>
      <c r="F2293">
        <v>0</v>
      </c>
      <c r="G2293">
        <v>4</v>
      </c>
      <c r="H2293">
        <v>2</v>
      </c>
    </row>
    <row r="2294" spans="2:8">
      <c r="B2294" t="s">
        <v>25022</v>
      </c>
      <c r="C2294">
        <v>254</v>
      </c>
      <c r="D2294">
        <v>7</v>
      </c>
      <c r="E2294">
        <v>0</v>
      </c>
      <c r="F2294">
        <v>0</v>
      </c>
      <c r="G2294">
        <v>0</v>
      </c>
      <c r="H2294">
        <v>0</v>
      </c>
    </row>
    <row r="2295" spans="2:8">
      <c r="B2295" t="s">
        <v>25022</v>
      </c>
      <c r="C2295">
        <v>254</v>
      </c>
      <c r="D2295">
        <v>10</v>
      </c>
      <c r="E2295">
        <v>7</v>
      </c>
      <c r="F2295">
        <v>0</v>
      </c>
      <c r="G2295">
        <v>4</v>
      </c>
      <c r="H2295">
        <v>3</v>
      </c>
    </row>
    <row r="2296" spans="2:8">
      <c r="B2296" t="s">
        <v>25022</v>
      </c>
      <c r="C2296">
        <v>254</v>
      </c>
      <c r="D2296">
        <v>9</v>
      </c>
      <c r="E2296">
        <v>3</v>
      </c>
      <c r="F2296">
        <v>0</v>
      </c>
      <c r="G2296">
        <v>3</v>
      </c>
      <c r="H2296">
        <v>0</v>
      </c>
    </row>
    <row r="2297" spans="2:8">
      <c r="B2297" t="s">
        <v>25022</v>
      </c>
      <c r="C2297">
        <v>254</v>
      </c>
      <c r="D2297">
        <v>4</v>
      </c>
      <c r="E2297">
        <v>0</v>
      </c>
      <c r="F2297">
        <v>0</v>
      </c>
      <c r="G2297">
        <v>0</v>
      </c>
      <c r="H2297">
        <v>0</v>
      </c>
    </row>
    <row r="2298" spans="2:8">
      <c r="B2298" t="s">
        <v>25022</v>
      </c>
      <c r="C2298">
        <v>255</v>
      </c>
      <c r="D2298">
        <v>12</v>
      </c>
      <c r="E2298">
        <v>3</v>
      </c>
      <c r="F2298">
        <v>0</v>
      </c>
      <c r="G2298">
        <v>2</v>
      </c>
      <c r="H2298">
        <v>1</v>
      </c>
    </row>
    <row r="2299" spans="2:8">
      <c r="B2299" t="s">
        <v>25022</v>
      </c>
      <c r="C2299">
        <v>255</v>
      </c>
      <c r="D2299">
        <v>11</v>
      </c>
      <c r="E2299">
        <v>0</v>
      </c>
      <c r="F2299">
        <v>0</v>
      </c>
      <c r="G2299">
        <v>0</v>
      </c>
      <c r="H2299">
        <v>0</v>
      </c>
    </row>
    <row r="2300" spans="2:8">
      <c r="B2300" t="s">
        <v>25022</v>
      </c>
      <c r="C2300">
        <v>255</v>
      </c>
      <c r="D2300">
        <v>20</v>
      </c>
      <c r="E2300">
        <v>11</v>
      </c>
      <c r="F2300">
        <v>0</v>
      </c>
      <c r="G2300">
        <v>11</v>
      </c>
      <c r="H2300">
        <v>0</v>
      </c>
    </row>
    <row r="2301" spans="2:8">
      <c r="B2301" t="s">
        <v>25022</v>
      </c>
      <c r="C2301">
        <v>255</v>
      </c>
      <c r="D2301">
        <v>16</v>
      </c>
      <c r="E2301">
        <v>2</v>
      </c>
      <c r="F2301">
        <v>0</v>
      </c>
      <c r="G2301">
        <v>2</v>
      </c>
      <c r="H2301">
        <v>0</v>
      </c>
    </row>
    <row r="2302" spans="2:8">
      <c r="B2302" t="s">
        <v>25022</v>
      </c>
      <c r="C2302">
        <v>255</v>
      </c>
      <c r="D2302">
        <v>17</v>
      </c>
      <c r="E2302">
        <v>2</v>
      </c>
      <c r="F2302">
        <v>0</v>
      </c>
      <c r="G2302">
        <v>0</v>
      </c>
      <c r="H2302">
        <v>2</v>
      </c>
    </row>
    <row r="2303" spans="2:8">
      <c r="B2303" t="s">
        <v>25022</v>
      </c>
      <c r="C2303">
        <v>255</v>
      </c>
      <c r="D2303">
        <v>20</v>
      </c>
      <c r="E2303">
        <v>9</v>
      </c>
      <c r="F2303">
        <v>0</v>
      </c>
      <c r="G2303">
        <v>9</v>
      </c>
      <c r="H2303">
        <v>0</v>
      </c>
    </row>
    <row r="2304" spans="2:8">
      <c r="B2304" t="s">
        <v>25022</v>
      </c>
      <c r="C2304">
        <v>255</v>
      </c>
      <c r="D2304">
        <v>12</v>
      </c>
      <c r="E2304">
        <v>2</v>
      </c>
      <c r="F2304">
        <v>0</v>
      </c>
      <c r="G2304">
        <v>0</v>
      </c>
      <c r="H2304">
        <v>2</v>
      </c>
    </row>
    <row r="2305" spans="2:8">
      <c r="B2305" t="s">
        <v>25022</v>
      </c>
      <c r="C2305">
        <v>255</v>
      </c>
      <c r="D2305">
        <v>19</v>
      </c>
      <c r="E2305">
        <v>4</v>
      </c>
      <c r="F2305">
        <v>0</v>
      </c>
      <c r="G2305">
        <v>2</v>
      </c>
      <c r="H2305">
        <v>2</v>
      </c>
    </row>
    <row r="2306" spans="2:8">
      <c r="B2306" t="s">
        <v>25022</v>
      </c>
      <c r="C2306">
        <v>255</v>
      </c>
      <c r="D2306">
        <v>6</v>
      </c>
      <c r="E2306">
        <v>0</v>
      </c>
      <c r="F2306">
        <v>0</v>
      </c>
      <c r="G2306">
        <v>0</v>
      </c>
      <c r="H2306">
        <v>0</v>
      </c>
    </row>
    <row r="2307" spans="2:8">
      <c r="B2307" t="s">
        <v>25022</v>
      </c>
      <c r="C2307">
        <v>255</v>
      </c>
      <c r="D2307">
        <v>5</v>
      </c>
      <c r="E2307">
        <v>0</v>
      </c>
      <c r="F2307">
        <v>0</v>
      </c>
      <c r="G2307">
        <v>0</v>
      </c>
      <c r="H2307">
        <v>0</v>
      </c>
    </row>
    <row r="2308" spans="2:8">
      <c r="B2308" t="s">
        <v>25022</v>
      </c>
      <c r="C2308">
        <v>255</v>
      </c>
      <c r="D2308">
        <v>13</v>
      </c>
      <c r="E2308">
        <v>4</v>
      </c>
      <c r="F2308">
        <v>0</v>
      </c>
      <c r="G2308">
        <v>0</v>
      </c>
      <c r="H2308">
        <v>4</v>
      </c>
    </row>
    <row r="2309" spans="2:8">
      <c r="B2309" t="s">
        <v>25022</v>
      </c>
      <c r="C2309">
        <v>255</v>
      </c>
      <c r="D2309">
        <v>9</v>
      </c>
      <c r="E2309">
        <v>2</v>
      </c>
      <c r="F2309">
        <v>0</v>
      </c>
      <c r="G2309">
        <v>0</v>
      </c>
      <c r="H2309">
        <v>2</v>
      </c>
    </row>
    <row r="2310" spans="2:8">
      <c r="B2310" t="s">
        <v>25022</v>
      </c>
      <c r="C2310">
        <v>255</v>
      </c>
      <c r="D2310">
        <v>5</v>
      </c>
      <c r="E2310">
        <v>2</v>
      </c>
      <c r="F2310">
        <v>0</v>
      </c>
      <c r="G2310">
        <v>2</v>
      </c>
      <c r="H2310">
        <v>0</v>
      </c>
    </row>
    <row r="2311" spans="2:8">
      <c r="B2311" t="s">
        <v>25022</v>
      </c>
      <c r="C2311">
        <v>255</v>
      </c>
      <c r="D2311">
        <v>4</v>
      </c>
      <c r="E2311">
        <v>2</v>
      </c>
      <c r="F2311">
        <v>0</v>
      </c>
      <c r="G2311">
        <v>2</v>
      </c>
      <c r="H2311">
        <v>0</v>
      </c>
    </row>
    <row r="2312" spans="2:8">
      <c r="B2312" t="s">
        <v>25022</v>
      </c>
      <c r="C2312">
        <v>256</v>
      </c>
      <c r="D2312">
        <v>25</v>
      </c>
      <c r="E2312">
        <v>3</v>
      </c>
      <c r="F2312">
        <v>0</v>
      </c>
      <c r="G2312">
        <v>2</v>
      </c>
      <c r="H2312">
        <v>1</v>
      </c>
    </row>
    <row r="2313" spans="2:8">
      <c r="B2313" t="s">
        <v>25022</v>
      </c>
      <c r="C2313">
        <v>256</v>
      </c>
      <c r="D2313">
        <v>29</v>
      </c>
      <c r="E2313">
        <v>16</v>
      </c>
      <c r="F2313">
        <v>0</v>
      </c>
      <c r="G2313">
        <v>8</v>
      </c>
      <c r="H2313">
        <v>8</v>
      </c>
    </row>
    <row r="2314" spans="2:8">
      <c r="B2314" t="s">
        <v>25022</v>
      </c>
      <c r="C2314">
        <v>256</v>
      </c>
      <c r="D2314">
        <v>12</v>
      </c>
      <c r="E2314">
        <v>4</v>
      </c>
      <c r="F2314">
        <v>0</v>
      </c>
      <c r="G2314">
        <v>4</v>
      </c>
      <c r="H2314">
        <v>0</v>
      </c>
    </row>
    <row r="2315" spans="2:8">
      <c r="B2315" t="s">
        <v>25022</v>
      </c>
      <c r="C2315">
        <v>256</v>
      </c>
      <c r="D2315">
        <v>13</v>
      </c>
      <c r="E2315">
        <v>2</v>
      </c>
      <c r="F2315">
        <v>0</v>
      </c>
      <c r="G2315">
        <v>2</v>
      </c>
      <c r="H2315">
        <v>0</v>
      </c>
    </row>
    <row r="2316" spans="2:8">
      <c r="B2316" t="s">
        <v>25022</v>
      </c>
      <c r="C2316">
        <v>256</v>
      </c>
      <c r="D2316">
        <v>6</v>
      </c>
      <c r="E2316">
        <v>2</v>
      </c>
      <c r="F2316">
        <v>0</v>
      </c>
      <c r="G2316">
        <v>2</v>
      </c>
      <c r="H2316">
        <v>0</v>
      </c>
    </row>
    <row r="2317" spans="2:8">
      <c r="B2317" t="s">
        <v>25022</v>
      </c>
      <c r="C2317">
        <v>256</v>
      </c>
      <c r="D2317">
        <v>11</v>
      </c>
      <c r="E2317">
        <v>5</v>
      </c>
      <c r="F2317">
        <v>0</v>
      </c>
      <c r="G2317">
        <v>4</v>
      </c>
      <c r="H2317">
        <v>1</v>
      </c>
    </row>
    <row r="2318" spans="2:8">
      <c r="B2318" t="s">
        <v>25022</v>
      </c>
      <c r="C2318">
        <v>256</v>
      </c>
      <c r="D2318">
        <v>5</v>
      </c>
      <c r="E2318">
        <v>0</v>
      </c>
      <c r="F2318">
        <v>0</v>
      </c>
      <c r="G2318">
        <v>0</v>
      </c>
      <c r="H2318">
        <v>0</v>
      </c>
    </row>
    <row r="2319" spans="2:8">
      <c r="B2319" t="s">
        <v>25022</v>
      </c>
      <c r="C2319">
        <v>257</v>
      </c>
      <c r="D2319">
        <v>25</v>
      </c>
      <c r="E2319">
        <v>6</v>
      </c>
      <c r="F2319">
        <v>0</v>
      </c>
      <c r="G2319">
        <v>6</v>
      </c>
      <c r="H2319">
        <v>0</v>
      </c>
    </row>
    <row r="2320" spans="2:8">
      <c r="B2320" t="s">
        <v>25022</v>
      </c>
      <c r="C2320">
        <v>257</v>
      </c>
      <c r="D2320">
        <v>21</v>
      </c>
      <c r="E2320">
        <v>11</v>
      </c>
      <c r="F2320">
        <v>0</v>
      </c>
      <c r="G2320">
        <v>8</v>
      </c>
      <c r="H2320">
        <v>3</v>
      </c>
    </row>
    <row r="2321" spans="2:8">
      <c r="B2321" t="s">
        <v>25022</v>
      </c>
      <c r="C2321">
        <v>257</v>
      </c>
      <c r="D2321">
        <v>21</v>
      </c>
      <c r="E2321">
        <v>7</v>
      </c>
      <c r="F2321">
        <v>0</v>
      </c>
      <c r="G2321">
        <v>5</v>
      </c>
      <c r="H2321">
        <v>2</v>
      </c>
    </row>
    <row r="2322" spans="2:8">
      <c r="B2322" t="s">
        <v>25022</v>
      </c>
      <c r="C2322">
        <v>257</v>
      </c>
      <c r="D2322">
        <v>14</v>
      </c>
      <c r="E2322">
        <v>4</v>
      </c>
      <c r="F2322">
        <v>0</v>
      </c>
      <c r="G2322">
        <v>4</v>
      </c>
      <c r="H2322">
        <v>0</v>
      </c>
    </row>
    <row r="2323" spans="2:8">
      <c r="B2323" t="s">
        <v>25022</v>
      </c>
      <c r="C2323">
        <v>257</v>
      </c>
      <c r="D2323">
        <v>17</v>
      </c>
      <c r="E2323">
        <v>6</v>
      </c>
      <c r="F2323">
        <v>0</v>
      </c>
      <c r="G2323">
        <v>6</v>
      </c>
      <c r="H2323">
        <v>0</v>
      </c>
    </row>
    <row r="2324" spans="2:8">
      <c r="B2324" t="s">
        <v>25022</v>
      </c>
      <c r="C2324">
        <v>257</v>
      </c>
      <c r="D2324">
        <v>23</v>
      </c>
      <c r="E2324">
        <v>10</v>
      </c>
      <c r="F2324">
        <v>0</v>
      </c>
      <c r="G2324">
        <v>10</v>
      </c>
      <c r="H2324">
        <v>0</v>
      </c>
    </row>
    <row r="2325" spans="2:8">
      <c r="B2325" t="s">
        <v>25022</v>
      </c>
      <c r="C2325">
        <v>257</v>
      </c>
      <c r="D2325">
        <v>20</v>
      </c>
      <c r="E2325">
        <v>10</v>
      </c>
      <c r="F2325">
        <v>0</v>
      </c>
      <c r="G2325">
        <v>7</v>
      </c>
      <c r="H2325">
        <v>3</v>
      </c>
    </row>
    <row r="2326" spans="2:8">
      <c r="B2326" t="s">
        <v>25022</v>
      </c>
      <c r="C2326">
        <v>257</v>
      </c>
      <c r="D2326">
        <v>9</v>
      </c>
      <c r="E2326">
        <v>2</v>
      </c>
      <c r="F2326">
        <v>0</v>
      </c>
      <c r="G2326">
        <v>2</v>
      </c>
      <c r="H2326">
        <v>0</v>
      </c>
    </row>
    <row r="2327" spans="2:8">
      <c r="B2327" t="s">
        <v>25022</v>
      </c>
      <c r="C2327">
        <v>257</v>
      </c>
      <c r="D2327">
        <v>21</v>
      </c>
      <c r="E2327">
        <v>8</v>
      </c>
      <c r="F2327">
        <v>0</v>
      </c>
      <c r="G2327">
        <v>8</v>
      </c>
      <c r="H2327">
        <v>0</v>
      </c>
    </row>
    <row r="2328" spans="2:8">
      <c r="B2328" t="s">
        <v>25022</v>
      </c>
      <c r="C2328">
        <v>257</v>
      </c>
      <c r="D2328">
        <v>21</v>
      </c>
      <c r="E2328">
        <v>9</v>
      </c>
      <c r="F2328">
        <v>0</v>
      </c>
      <c r="G2328">
        <v>7</v>
      </c>
      <c r="H2328">
        <v>2</v>
      </c>
    </row>
    <row r="2329" spans="2:8">
      <c r="B2329" t="s">
        <v>25022</v>
      </c>
      <c r="C2329">
        <v>257</v>
      </c>
      <c r="D2329">
        <v>15</v>
      </c>
      <c r="E2329">
        <v>0</v>
      </c>
      <c r="F2329">
        <v>0</v>
      </c>
      <c r="G2329">
        <v>0</v>
      </c>
      <c r="H2329">
        <v>0</v>
      </c>
    </row>
    <row r="2330" spans="2:8">
      <c r="B2330" t="s">
        <v>25022</v>
      </c>
      <c r="C2330">
        <v>257</v>
      </c>
      <c r="D2330">
        <v>8</v>
      </c>
      <c r="E2330">
        <v>2</v>
      </c>
      <c r="F2330">
        <v>0</v>
      </c>
      <c r="G2330">
        <v>2</v>
      </c>
      <c r="H2330">
        <v>0</v>
      </c>
    </row>
    <row r="2331" spans="2:8">
      <c r="B2331" t="s">
        <v>25022</v>
      </c>
      <c r="C2331">
        <v>258</v>
      </c>
      <c r="D2331">
        <v>24</v>
      </c>
      <c r="E2331">
        <v>4</v>
      </c>
      <c r="F2331">
        <v>0</v>
      </c>
      <c r="G2331">
        <v>4</v>
      </c>
      <c r="H2331">
        <v>0</v>
      </c>
    </row>
    <row r="2332" spans="2:8">
      <c r="B2332" t="s">
        <v>25022</v>
      </c>
      <c r="C2332">
        <v>258</v>
      </c>
      <c r="D2332">
        <v>21</v>
      </c>
      <c r="E2332">
        <v>8</v>
      </c>
      <c r="F2332">
        <v>0</v>
      </c>
      <c r="G2332">
        <v>8</v>
      </c>
      <c r="H2332">
        <v>0</v>
      </c>
    </row>
    <row r="2333" spans="2:8">
      <c r="B2333" t="s">
        <v>25022</v>
      </c>
      <c r="C2333">
        <v>258</v>
      </c>
      <c r="D2333">
        <v>23</v>
      </c>
      <c r="E2333">
        <v>8</v>
      </c>
      <c r="F2333">
        <v>0</v>
      </c>
      <c r="G2333">
        <v>8</v>
      </c>
      <c r="H2333">
        <v>0</v>
      </c>
    </row>
    <row r="2334" spans="2:8">
      <c r="B2334" t="s">
        <v>25022</v>
      </c>
      <c r="C2334">
        <v>258</v>
      </c>
      <c r="D2334">
        <v>12</v>
      </c>
      <c r="E2334">
        <v>2</v>
      </c>
      <c r="F2334">
        <v>0</v>
      </c>
      <c r="G2334">
        <v>2</v>
      </c>
      <c r="H2334">
        <v>0</v>
      </c>
    </row>
    <row r="2335" spans="2:8">
      <c r="B2335" t="s">
        <v>25022</v>
      </c>
      <c r="C2335">
        <v>258</v>
      </c>
      <c r="D2335">
        <v>6</v>
      </c>
      <c r="E2335">
        <v>4</v>
      </c>
      <c r="F2335">
        <v>0</v>
      </c>
      <c r="G2335">
        <v>2</v>
      </c>
      <c r="H2335">
        <v>2</v>
      </c>
    </row>
    <row r="2336" spans="2:8">
      <c r="B2336" t="s">
        <v>25022</v>
      </c>
      <c r="C2336">
        <v>258</v>
      </c>
      <c r="D2336">
        <v>5</v>
      </c>
      <c r="E2336">
        <v>3</v>
      </c>
      <c r="F2336">
        <v>0</v>
      </c>
      <c r="G2336">
        <v>2</v>
      </c>
      <c r="H2336">
        <v>1</v>
      </c>
    </row>
    <row r="2337" spans="2:8">
      <c r="B2337" t="s">
        <v>25022</v>
      </c>
      <c r="C2337">
        <v>258</v>
      </c>
      <c r="D2337">
        <v>8</v>
      </c>
      <c r="E2337">
        <v>4</v>
      </c>
      <c r="F2337">
        <v>0</v>
      </c>
      <c r="G2337">
        <v>2</v>
      </c>
      <c r="H2337">
        <v>2</v>
      </c>
    </row>
    <row r="2338" spans="2:8">
      <c r="B2338" t="s">
        <v>25022</v>
      </c>
      <c r="C2338">
        <v>258</v>
      </c>
      <c r="D2338">
        <v>7</v>
      </c>
      <c r="E2338">
        <v>0</v>
      </c>
      <c r="F2338">
        <v>0</v>
      </c>
      <c r="G2338">
        <v>0</v>
      </c>
      <c r="H2338">
        <v>0</v>
      </c>
    </row>
    <row r="2339" spans="2:8">
      <c r="B2339" t="s">
        <v>25022</v>
      </c>
      <c r="C2339">
        <v>258</v>
      </c>
      <c r="D2339">
        <v>6</v>
      </c>
      <c r="E2339">
        <v>0</v>
      </c>
      <c r="F2339">
        <v>0</v>
      </c>
      <c r="G2339">
        <v>0</v>
      </c>
      <c r="H2339">
        <v>0</v>
      </c>
    </row>
    <row r="2340" spans="2:8">
      <c r="B2340" t="s">
        <v>25022</v>
      </c>
      <c r="C2340">
        <v>258</v>
      </c>
      <c r="D2340">
        <v>3</v>
      </c>
      <c r="E2340">
        <v>0</v>
      </c>
      <c r="F2340">
        <v>0</v>
      </c>
      <c r="G2340">
        <v>0</v>
      </c>
      <c r="H2340">
        <v>0</v>
      </c>
    </row>
    <row r="2341" spans="2:8">
      <c r="B2341" t="s">
        <v>25022</v>
      </c>
      <c r="C2341">
        <v>259</v>
      </c>
      <c r="D2341">
        <v>13</v>
      </c>
      <c r="E2341">
        <v>6</v>
      </c>
      <c r="F2341">
        <v>0</v>
      </c>
      <c r="G2341">
        <v>5</v>
      </c>
      <c r="H2341">
        <v>1</v>
      </c>
    </row>
    <row r="2342" spans="2:8">
      <c r="B2342" t="s">
        <v>25022</v>
      </c>
      <c r="C2342">
        <v>259</v>
      </c>
      <c r="D2342">
        <v>16</v>
      </c>
      <c r="E2342">
        <v>2</v>
      </c>
      <c r="F2342">
        <v>0</v>
      </c>
      <c r="G2342">
        <v>2</v>
      </c>
      <c r="H2342">
        <v>0</v>
      </c>
    </row>
    <row r="2343" spans="2:8">
      <c r="B2343" t="s">
        <v>25022</v>
      </c>
      <c r="C2343">
        <v>259</v>
      </c>
      <c r="D2343">
        <v>12</v>
      </c>
      <c r="E2343">
        <v>2</v>
      </c>
      <c r="F2343">
        <v>0</v>
      </c>
      <c r="G2343">
        <v>2</v>
      </c>
      <c r="H2343">
        <v>0</v>
      </c>
    </row>
    <row r="2344" spans="2:8">
      <c r="B2344" t="s">
        <v>25022</v>
      </c>
      <c r="C2344">
        <v>259</v>
      </c>
      <c r="D2344">
        <v>12</v>
      </c>
      <c r="E2344">
        <v>6</v>
      </c>
      <c r="F2344">
        <v>0</v>
      </c>
      <c r="G2344">
        <v>6</v>
      </c>
      <c r="H2344">
        <v>0</v>
      </c>
    </row>
    <row r="2345" spans="2:8">
      <c r="B2345" t="s">
        <v>25022</v>
      </c>
      <c r="C2345">
        <v>259</v>
      </c>
      <c r="D2345">
        <v>5</v>
      </c>
      <c r="E2345">
        <v>2</v>
      </c>
      <c r="F2345">
        <v>0</v>
      </c>
      <c r="G2345">
        <v>2</v>
      </c>
      <c r="H2345">
        <v>0</v>
      </c>
    </row>
    <row r="2346" spans="2:8">
      <c r="B2346" t="s">
        <v>25022</v>
      </c>
      <c r="C2346">
        <v>259</v>
      </c>
      <c r="D2346">
        <v>3</v>
      </c>
      <c r="E2346">
        <v>0</v>
      </c>
      <c r="F2346">
        <v>0</v>
      </c>
      <c r="G2346">
        <v>0</v>
      </c>
      <c r="H2346">
        <v>0</v>
      </c>
    </row>
    <row r="2347" spans="2:8">
      <c r="B2347" t="s">
        <v>25022</v>
      </c>
      <c r="C2347">
        <v>259</v>
      </c>
      <c r="D2347">
        <v>4</v>
      </c>
      <c r="E2347">
        <v>0</v>
      </c>
      <c r="F2347">
        <v>0</v>
      </c>
      <c r="G2347">
        <v>0</v>
      </c>
      <c r="H2347">
        <v>0</v>
      </c>
    </row>
    <row r="2348" spans="2:8">
      <c r="B2348" t="s">
        <v>25022</v>
      </c>
      <c r="C2348">
        <v>259</v>
      </c>
      <c r="D2348">
        <v>3</v>
      </c>
      <c r="E2348">
        <v>0</v>
      </c>
      <c r="F2348">
        <v>0</v>
      </c>
      <c r="G2348">
        <v>0</v>
      </c>
      <c r="H2348">
        <v>0</v>
      </c>
    </row>
    <row r="2349" spans="2:8">
      <c r="B2349" t="s">
        <v>25022</v>
      </c>
      <c r="C2349">
        <v>259</v>
      </c>
      <c r="D2349">
        <v>1</v>
      </c>
      <c r="E2349">
        <v>0</v>
      </c>
      <c r="F2349">
        <v>0</v>
      </c>
      <c r="G2349">
        <v>0</v>
      </c>
      <c r="H2349">
        <v>0</v>
      </c>
    </row>
    <row r="2350" spans="2:8">
      <c r="B2350" t="s">
        <v>25022</v>
      </c>
      <c r="C2350">
        <v>260</v>
      </c>
      <c r="D2350">
        <v>22</v>
      </c>
      <c r="E2350">
        <v>6</v>
      </c>
      <c r="F2350">
        <v>0</v>
      </c>
      <c r="G2350">
        <v>2</v>
      </c>
      <c r="H2350">
        <v>4</v>
      </c>
    </row>
    <row r="2351" spans="2:8">
      <c r="B2351" t="s">
        <v>25022</v>
      </c>
      <c r="C2351">
        <v>260</v>
      </c>
      <c r="D2351">
        <v>13</v>
      </c>
      <c r="E2351">
        <v>4</v>
      </c>
      <c r="F2351">
        <v>0</v>
      </c>
      <c r="G2351">
        <v>2</v>
      </c>
      <c r="H2351">
        <v>2</v>
      </c>
    </row>
    <row r="2352" spans="2:8">
      <c r="B2352" t="s">
        <v>25022</v>
      </c>
      <c r="C2352">
        <v>260</v>
      </c>
      <c r="D2352">
        <v>4</v>
      </c>
      <c r="E2352">
        <v>0</v>
      </c>
      <c r="F2352">
        <v>0</v>
      </c>
      <c r="G2352">
        <v>0</v>
      </c>
      <c r="H2352">
        <v>0</v>
      </c>
    </row>
    <row r="2353" spans="2:8">
      <c r="B2353" t="s">
        <v>25022</v>
      </c>
      <c r="C2353">
        <v>260</v>
      </c>
      <c r="D2353">
        <v>13</v>
      </c>
      <c r="E2353">
        <v>6</v>
      </c>
      <c r="F2353">
        <v>0</v>
      </c>
      <c r="G2353">
        <v>2</v>
      </c>
      <c r="H2353">
        <v>4</v>
      </c>
    </row>
    <row r="2354" spans="2:8">
      <c r="B2354" t="s">
        <v>25022</v>
      </c>
      <c r="C2354">
        <v>260</v>
      </c>
      <c r="D2354">
        <v>11</v>
      </c>
      <c r="E2354">
        <v>0</v>
      </c>
      <c r="F2354">
        <v>0</v>
      </c>
      <c r="G2354">
        <v>0</v>
      </c>
      <c r="H2354">
        <v>0</v>
      </c>
    </row>
    <row r="2355" spans="2:8">
      <c r="B2355" t="s">
        <v>25022</v>
      </c>
      <c r="C2355">
        <v>260</v>
      </c>
      <c r="D2355">
        <v>4</v>
      </c>
      <c r="E2355">
        <v>2</v>
      </c>
      <c r="F2355">
        <v>0</v>
      </c>
      <c r="G2355">
        <v>2</v>
      </c>
      <c r="H2355">
        <v>0</v>
      </c>
    </row>
    <row r="2356" spans="2:8">
      <c r="B2356" t="s">
        <v>25022</v>
      </c>
      <c r="C2356">
        <v>261</v>
      </c>
      <c r="D2356">
        <v>19</v>
      </c>
      <c r="E2356">
        <v>6</v>
      </c>
      <c r="F2356">
        <v>0</v>
      </c>
      <c r="G2356">
        <v>6</v>
      </c>
      <c r="H2356">
        <v>0</v>
      </c>
    </row>
    <row r="2357" spans="2:8">
      <c r="B2357" t="s">
        <v>25022</v>
      </c>
      <c r="C2357">
        <v>261</v>
      </c>
      <c r="D2357">
        <v>28</v>
      </c>
      <c r="E2357">
        <v>11</v>
      </c>
      <c r="F2357">
        <v>0</v>
      </c>
      <c r="G2357">
        <v>8</v>
      </c>
      <c r="H2357">
        <v>3</v>
      </c>
    </row>
    <row r="2358" spans="2:8">
      <c r="B2358" t="s">
        <v>25022</v>
      </c>
      <c r="C2358">
        <v>261</v>
      </c>
      <c r="D2358">
        <v>12</v>
      </c>
      <c r="E2358">
        <v>2</v>
      </c>
      <c r="F2358">
        <v>0</v>
      </c>
      <c r="G2358">
        <v>2</v>
      </c>
      <c r="H2358">
        <v>0</v>
      </c>
    </row>
    <row r="2359" spans="2:8">
      <c r="B2359" t="s">
        <v>25022</v>
      </c>
      <c r="C2359">
        <v>261</v>
      </c>
      <c r="D2359">
        <v>25</v>
      </c>
      <c r="E2359">
        <v>12</v>
      </c>
      <c r="F2359">
        <v>0</v>
      </c>
      <c r="G2359">
        <v>10</v>
      </c>
      <c r="H2359">
        <v>2</v>
      </c>
    </row>
    <row r="2360" spans="2:8">
      <c r="B2360" t="s">
        <v>25022</v>
      </c>
      <c r="C2360">
        <v>261</v>
      </c>
      <c r="D2360">
        <v>16</v>
      </c>
      <c r="E2360">
        <v>9</v>
      </c>
      <c r="F2360">
        <v>0</v>
      </c>
      <c r="G2360">
        <v>9</v>
      </c>
      <c r="H2360">
        <v>0</v>
      </c>
    </row>
    <row r="2361" spans="2:8">
      <c r="B2361" t="s">
        <v>25022</v>
      </c>
      <c r="C2361">
        <v>261</v>
      </c>
      <c r="D2361">
        <v>9</v>
      </c>
      <c r="E2361">
        <v>6</v>
      </c>
      <c r="F2361">
        <v>0</v>
      </c>
      <c r="G2361">
        <v>6</v>
      </c>
      <c r="H2361">
        <v>0</v>
      </c>
    </row>
    <row r="2362" spans="2:8">
      <c r="B2362" t="s">
        <v>25022</v>
      </c>
      <c r="C2362">
        <v>261</v>
      </c>
      <c r="D2362">
        <v>12</v>
      </c>
      <c r="E2362">
        <v>0</v>
      </c>
      <c r="F2362">
        <v>0</v>
      </c>
      <c r="G2362">
        <v>0</v>
      </c>
      <c r="H2362">
        <v>0</v>
      </c>
    </row>
    <row r="2363" spans="2:8">
      <c r="B2363" t="s">
        <v>25022</v>
      </c>
      <c r="C2363">
        <v>261</v>
      </c>
      <c r="D2363">
        <v>4</v>
      </c>
      <c r="E2363">
        <v>2</v>
      </c>
      <c r="F2363">
        <v>0</v>
      </c>
      <c r="G2363">
        <v>2</v>
      </c>
      <c r="H2363">
        <v>0</v>
      </c>
    </row>
    <row r="2364" spans="2:8">
      <c r="B2364" t="s">
        <v>25022</v>
      </c>
      <c r="C2364">
        <v>261</v>
      </c>
      <c r="D2364">
        <v>5</v>
      </c>
      <c r="E2364">
        <v>4</v>
      </c>
      <c r="F2364">
        <v>0</v>
      </c>
      <c r="G2364">
        <v>4</v>
      </c>
      <c r="H2364">
        <v>0</v>
      </c>
    </row>
    <row r="2365" spans="2:8">
      <c r="B2365" t="s">
        <v>25022</v>
      </c>
      <c r="C2365">
        <v>262</v>
      </c>
      <c r="D2365">
        <v>23</v>
      </c>
      <c r="E2365">
        <v>4</v>
      </c>
      <c r="F2365">
        <v>0</v>
      </c>
      <c r="G2365">
        <v>2</v>
      </c>
      <c r="H2365">
        <v>2</v>
      </c>
    </row>
    <row r="2366" spans="2:8">
      <c r="B2366" t="s">
        <v>25022</v>
      </c>
      <c r="C2366">
        <v>262</v>
      </c>
      <c r="D2366">
        <v>21</v>
      </c>
      <c r="E2366">
        <v>2</v>
      </c>
      <c r="F2366">
        <v>0</v>
      </c>
      <c r="G2366">
        <v>2</v>
      </c>
      <c r="H2366">
        <v>0</v>
      </c>
    </row>
    <row r="2367" spans="2:8">
      <c r="B2367" t="s">
        <v>25022</v>
      </c>
      <c r="C2367">
        <v>262</v>
      </c>
      <c r="D2367">
        <v>17</v>
      </c>
      <c r="E2367">
        <v>2</v>
      </c>
      <c r="F2367">
        <v>0</v>
      </c>
      <c r="G2367">
        <v>2</v>
      </c>
      <c r="H2367">
        <v>0</v>
      </c>
    </row>
    <row r="2368" spans="2:8">
      <c r="B2368" t="s">
        <v>25022</v>
      </c>
      <c r="C2368">
        <v>262</v>
      </c>
      <c r="D2368">
        <v>9</v>
      </c>
      <c r="E2368">
        <v>2</v>
      </c>
      <c r="F2368">
        <v>0</v>
      </c>
      <c r="G2368">
        <v>0</v>
      </c>
      <c r="H2368">
        <v>2</v>
      </c>
    </row>
    <row r="2369" spans="2:8">
      <c r="B2369" t="s">
        <v>25022</v>
      </c>
      <c r="C2369">
        <v>263</v>
      </c>
      <c r="D2369">
        <v>17</v>
      </c>
      <c r="E2369">
        <v>4</v>
      </c>
      <c r="F2369">
        <v>0</v>
      </c>
      <c r="G2369">
        <v>0</v>
      </c>
      <c r="H2369">
        <v>4</v>
      </c>
    </row>
    <row r="2370" spans="2:8">
      <c r="B2370" t="s">
        <v>25022</v>
      </c>
      <c r="C2370">
        <v>263</v>
      </c>
      <c r="D2370">
        <v>14</v>
      </c>
      <c r="E2370">
        <v>9</v>
      </c>
      <c r="F2370">
        <v>0</v>
      </c>
      <c r="G2370">
        <v>9</v>
      </c>
      <c r="H2370">
        <v>0</v>
      </c>
    </row>
    <row r="2371" spans="2:8">
      <c r="B2371" t="s">
        <v>25022</v>
      </c>
      <c r="C2371">
        <v>263</v>
      </c>
      <c r="D2371">
        <v>5</v>
      </c>
      <c r="E2371">
        <v>0</v>
      </c>
      <c r="F2371">
        <v>0</v>
      </c>
      <c r="G2371">
        <v>0</v>
      </c>
      <c r="H2371">
        <v>0</v>
      </c>
    </row>
    <row r="2372" spans="2:8">
      <c r="B2372" t="s">
        <v>25022</v>
      </c>
      <c r="C2372">
        <v>263</v>
      </c>
      <c r="D2372">
        <v>8</v>
      </c>
      <c r="E2372">
        <v>2</v>
      </c>
      <c r="F2372">
        <v>0</v>
      </c>
      <c r="G2372">
        <v>0</v>
      </c>
      <c r="H2372">
        <v>2</v>
      </c>
    </row>
    <row r="2373" spans="2:8">
      <c r="B2373" t="s">
        <v>25022</v>
      </c>
      <c r="C2373">
        <v>264</v>
      </c>
      <c r="D2373">
        <v>13</v>
      </c>
      <c r="E2373">
        <v>2</v>
      </c>
      <c r="F2373">
        <v>0</v>
      </c>
      <c r="G2373">
        <v>2</v>
      </c>
      <c r="H2373">
        <v>0</v>
      </c>
    </row>
    <row r="2374" spans="2:8">
      <c r="B2374" t="s">
        <v>25022</v>
      </c>
      <c r="C2374">
        <v>264</v>
      </c>
      <c r="D2374">
        <v>9</v>
      </c>
      <c r="E2374">
        <v>0</v>
      </c>
      <c r="F2374">
        <v>0</v>
      </c>
      <c r="G2374">
        <v>0</v>
      </c>
      <c r="H2374">
        <v>0</v>
      </c>
    </row>
    <row r="2375" spans="2:8">
      <c r="B2375" t="s">
        <v>25022</v>
      </c>
      <c r="C2375">
        <v>264</v>
      </c>
      <c r="D2375">
        <v>13</v>
      </c>
      <c r="E2375">
        <v>0</v>
      </c>
      <c r="F2375">
        <v>0</v>
      </c>
      <c r="G2375">
        <v>0</v>
      </c>
      <c r="H2375">
        <v>0</v>
      </c>
    </row>
    <row r="2376" spans="2:8">
      <c r="B2376" t="s">
        <v>25022</v>
      </c>
      <c r="C2376">
        <v>264</v>
      </c>
      <c r="D2376">
        <v>18</v>
      </c>
      <c r="E2376">
        <v>6</v>
      </c>
      <c r="F2376">
        <v>0</v>
      </c>
      <c r="G2376">
        <v>4</v>
      </c>
      <c r="H2376">
        <v>2</v>
      </c>
    </row>
    <row r="2377" spans="2:8">
      <c r="B2377" t="s">
        <v>25022</v>
      </c>
      <c r="C2377">
        <v>264</v>
      </c>
      <c r="D2377">
        <v>9</v>
      </c>
      <c r="E2377">
        <v>0</v>
      </c>
      <c r="F2377">
        <v>0</v>
      </c>
      <c r="G2377">
        <v>0</v>
      </c>
      <c r="H2377">
        <v>0</v>
      </c>
    </row>
    <row r="2378" spans="2:8">
      <c r="B2378" t="s">
        <v>25022</v>
      </c>
      <c r="C2378">
        <v>264</v>
      </c>
      <c r="D2378">
        <v>11</v>
      </c>
      <c r="E2378">
        <v>2</v>
      </c>
      <c r="F2378">
        <v>0</v>
      </c>
      <c r="G2378">
        <v>2</v>
      </c>
      <c r="H2378">
        <v>0</v>
      </c>
    </row>
    <row r="2379" spans="2:8">
      <c r="B2379" t="s">
        <v>25022</v>
      </c>
      <c r="C2379">
        <v>264</v>
      </c>
      <c r="D2379">
        <v>8</v>
      </c>
      <c r="E2379">
        <v>0</v>
      </c>
      <c r="F2379">
        <v>0</v>
      </c>
      <c r="G2379">
        <v>0</v>
      </c>
      <c r="H2379">
        <v>0</v>
      </c>
    </row>
    <row r="2380" spans="2:8">
      <c r="B2380" t="s">
        <v>25022</v>
      </c>
      <c r="C2380">
        <v>264</v>
      </c>
      <c r="D2380">
        <v>20</v>
      </c>
      <c r="E2380">
        <v>12</v>
      </c>
      <c r="F2380">
        <v>0</v>
      </c>
      <c r="G2380">
        <v>8</v>
      </c>
      <c r="H2380">
        <v>4</v>
      </c>
    </row>
    <row r="2381" spans="2:8">
      <c r="B2381" t="s">
        <v>25022</v>
      </c>
      <c r="C2381">
        <v>264</v>
      </c>
      <c r="D2381">
        <v>5</v>
      </c>
      <c r="E2381">
        <v>0</v>
      </c>
      <c r="F2381">
        <v>0</v>
      </c>
      <c r="G2381">
        <v>0</v>
      </c>
      <c r="H2381">
        <v>0</v>
      </c>
    </row>
    <row r="2382" spans="2:8">
      <c r="B2382" t="s">
        <v>25022</v>
      </c>
      <c r="C2382">
        <v>264</v>
      </c>
      <c r="D2382">
        <v>3</v>
      </c>
      <c r="E2382">
        <v>0</v>
      </c>
      <c r="F2382">
        <v>0</v>
      </c>
      <c r="G2382">
        <v>0</v>
      </c>
      <c r="H2382">
        <v>0</v>
      </c>
    </row>
    <row r="2383" spans="2:8">
      <c r="B2383" t="s">
        <v>25022</v>
      </c>
      <c r="C2383">
        <v>264</v>
      </c>
      <c r="D2383">
        <v>6</v>
      </c>
      <c r="E2383">
        <v>0</v>
      </c>
      <c r="F2383">
        <v>0</v>
      </c>
      <c r="G2383">
        <v>0</v>
      </c>
      <c r="H2383">
        <v>0</v>
      </c>
    </row>
    <row r="2384" spans="2:8">
      <c r="B2384" t="s">
        <v>25022</v>
      </c>
      <c r="C2384">
        <v>264</v>
      </c>
      <c r="D2384">
        <v>3</v>
      </c>
      <c r="E2384">
        <v>0</v>
      </c>
      <c r="F2384">
        <v>0</v>
      </c>
      <c r="G2384">
        <v>0</v>
      </c>
      <c r="H2384">
        <v>0</v>
      </c>
    </row>
    <row r="2385" spans="2:8">
      <c r="B2385" t="s">
        <v>25022</v>
      </c>
      <c r="C2385">
        <v>265</v>
      </c>
      <c r="D2385">
        <v>19</v>
      </c>
      <c r="E2385">
        <v>9</v>
      </c>
      <c r="F2385">
        <v>0</v>
      </c>
      <c r="G2385">
        <v>9</v>
      </c>
      <c r="H2385">
        <v>0</v>
      </c>
    </row>
    <row r="2386" spans="2:8">
      <c r="B2386" t="s">
        <v>25022</v>
      </c>
      <c r="C2386">
        <v>265</v>
      </c>
      <c r="D2386">
        <v>8</v>
      </c>
      <c r="E2386">
        <v>6</v>
      </c>
      <c r="F2386">
        <v>0</v>
      </c>
      <c r="G2386">
        <v>6</v>
      </c>
      <c r="H2386">
        <v>0</v>
      </c>
    </row>
    <row r="2387" spans="2:8">
      <c r="B2387" t="s">
        <v>25022</v>
      </c>
      <c r="C2387">
        <v>265</v>
      </c>
      <c r="D2387">
        <v>13</v>
      </c>
      <c r="E2387">
        <v>8</v>
      </c>
      <c r="F2387">
        <v>0</v>
      </c>
      <c r="G2387">
        <v>8</v>
      </c>
      <c r="H2387">
        <v>0</v>
      </c>
    </row>
    <row r="2388" spans="2:8">
      <c r="B2388" t="s">
        <v>25022</v>
      </c>
      <c r="C2388">
        <v>266</v>
      </c>
      <c r="D2388">
        <v>11</v>
      </c>
      <c r="E2388">
        <v>2</v>
      </c>
      <c r="F2388">
        <v>0</v>
      </c>
      <c r="G2388">
        <v>2</v>
      </c>
      <c r="H2388">
        <v>0</v>
      </c>
    </row>
    <row r="2389" spans="2:8">
      <c r="B2389" t="s">
        <v>25022</v>
      </c>
      <c r="C2389">
        <v>266</v>
      </c>
      <c r="D2389">
        <v>13</v>
      </c>
      <c r="E2389">
        <v>9</v>
      </c>
      <c r="F2389">
        <v>0</v>
      </c>
      <c r="G2389">
        <v>9</v>
      </c>
      <c r="H2389">
        <v>0</v>
      </c>
    </row>
    <row r="2390" spans="2:8">
      <c r="B2390" t="s">
        <v>25022</v>
      </c>
      <c r="C2390">
        <v>266</v>
      </c>
      <c r="D2390">
        <v>2</v>
      </c>
      <c r="E2390">
        <v>0</v>
      </c>
      <c r="F2390">
        <v>0</v>
      </c>
      <c r="G2390">
        <v>0</v>
      </c>
      <c r="H2390">
        <v>0</v>
      </c>
    </row>
    <row r="2391" spans="2:8">
      <c r="B2391" t="s">
        <v>25022</v>
      </c>
      <c r="C2391">
        <v>267</v>
      </c>
      <c r="D2391">
        <v>25</v>
      </c>
      <c r="E2391">
        <v>7</v>
      </c>
      <c r="F2391">
        <v>0</v>
      </c>
      <c r="G2391">
        <v>5</v>
      </c>
      <c r="H2391">
        <v>2</v>
      </c>
    </row>
    <row r="2392" spans="2:8">
      <c r="B2392" t="s">
        <v>25022</v>
      </c>
      <c r="C2392">
        <v>267</v>
      </c>
      <c r="D2392">
        <v>10</v>
      </c>
      <c r="E2392">
        <v>6</v>
      </c>
      <c r="F2392">
        <v>0</v>
      </c>
      <c r="G2392">
        <v>6</v>
      </c>
      <c r="H2392">
        <v>0</v>
      </c>
    </row>
    <row r="2393" spans="2:8">
      <c r="B2393" t="s">
        <v>25022</v>
      </c>
      <c r="C2393">
        <v>267</v>
      </c>
      <c r="D2393">
        <v>8</v>
      </c>
      <c r="E2393">
        <v>4</v>
      </c>
      <c r="F2393">
        <v>0</v>
      </c>
      <c r="G2393">
        <v>4</v>
      </c>
      <c r="H2393">
        <v>0</v>
      </c>
    </row>
    <row r="2394" spans="2:8">
      <c r="B2394" t="s">
        <v>25022</v>
      </c>
      <c r="C2394">
        <v>267</v>
      </c>
      <c r="D2394">
        <v>4</v>
      </c>
      <c r="E2394">
        <v>0</v>
      </c>
      <c r="F2394">
        <v>0</v>
      </c>
      <c r="G2394">
        <v>0</v>
      </c>
      <c r="H2394">
        <v>0</v>
      </c>
    </row>
    <row r="2395" spans="2:8">
      <c r="B2395" t="s">
        <v>25022</v>
      </c>
      <c r="C2395">
        <v>268</v>
      </c>
      <c r="D2395">
        <v>24</v>
      </c>
      <c r="E2395">
        <v>12</v>
      </c>
      <c r="F2395">
        <v>0</v>
      </c>
      <c r="G2395">
        <v>12</v>
      </c>
      <c r="H2395">
        <v>0</v>
      </c>
    </row>
    <row r="2396" spans="2:8">
      <c r="B2396" t="s">
        <v>25022</v>
      </c>
      <c r="C2396">
        <v>268</v>
      </c>
      <c r="D2396">
        <v>13</v>
      </c>
      <c r="E2396">
        <v>6</v>
      </c>
      <c r="F2396">
        <v>0</v>
      </c>
      <c r="G2396">
        <v>6</v>
      </c>
      <c r="H2396">
        <v>0</v>
      </c>
    </row>
    <row r="2397" spans="2:8">
      <c r="B2397" t="s">
        <v>25022</v>
      </c>
      <c r="C2397">
        <v>268</v>
      </c>
      <c r="D2397">
        <v>18</v>
      </c>
      <c r="E2397">
        <v>5</v>
      </c>
      <c r="F2397">
        <v>0</v>
      </c>
      <c r="G2397">
        <v>5</v>
      </c>
      <c r="H2397">
        <v>0</v>
      </c>
    </row>
    <row r="2398" spans="2:8">
      <c r="B2398" t="s">
        <v>25022</v>
      </c>
      <c r="C2398">
        <v>268</v>
      </c>
      <c r="D2398">
        <v>10</v>
      </c>
      <c r="E2398">
        <v>5</v>
      </c>
      <c r="F2398">
        <v>0</v>
      </c>
      <c r="G2398">
        <v>5</v>
      </c>
      <c r="H2398">
        <v>0</v>
      </c>
    </row>
    <row r="2399" spans="2:8">
      <c r="B2399" t="s">
        <v>25022</v>
      </c>
      <c r="C2399">
        <v>269</v>
      </c>
      <c r="D2399">
        <v>14</v>
      </c>
      <c r="E2399">
        <v>2</v>
      </c>
      <c r="F2399">
        <v>0</v>
      </c>
      <c r="G2399">
        <v>2</v>
      </c>
      <c r="H2399">
        <v>0</v>
      </c>
    </row>
    <row r="2400" spans="2:8">
      <c r="B2400" t="s">
        <v>25022</v>
      </c>
      <c r="C2400">
        <v>269</v>
      </c>
      <c r="D2400">
        <v>21</v>
      </c>
      <c r="E2400">
        <v>10</v>
      </c>
      <c r="F2400">
        <v>0</v>
      </c>
      <c r="G2400">
        <v>9</v>
      </c>
      <c r="H2400">
        <v>1</v>
      </c>
    </row>
    <row r="2401" spans="2:8">
      <c r="B2401" t="s">
        <v>25022</v>
      </c>
      <c r="C2401">
        <v>269</v>
      </c>
      <c r="D2401">
        <v>6</v>
      </c>
      <c r="E2401">
        <v>0</v>
      </c>
      <c r="F2401">
        <v>0</v>
      </c>
      <c r="G2401">
        <v>0</v>
      </c>
      <c r="H2401">
        <v>0</v>
      </c>
    </row>
    <row r="2402" spans="2:8">
      <c r="B2402" t="s">
        <v>25022</v>
      </c>
      <c r="C2402">
        <v>269</v>
      </c>
      <c r="D2402">
        <v>14</v>
      </c>
      <c r="E2402">
        <v>0</v>
      </c>
      <c r="F2402">
        <v>0</v>
      </c>
      <c r="G2402">
        <v>0</v>
      </c>
      <c r="H2402">
        <v>0</v>
      </c>
    </row>
    <row r="2403" spans="2:8">
      <c r="B2403" t="s">
        <v>25022</v>
      </c>
      <c r="C2403">
        <v>269</v>
      </c>
      <c r="D2403">
        <v>7</v>
      </c>
      <c r="E2403">
        <v>2</v>
      </c>
      <c r="F2403">
        <v>0</v>
      </c>
      <c r="G2403">
        <v>2</v>
      </c>
      <c r="H2403">
        <v>0</v>
      </c>
    </row>
    <row r="2404" spans="2:8">
      <c r="B2404" t="s">
        <v>25022</v>
      </c>
      <c r="C2404">
        <v>269</v>
      </c>
      <c r="D2404">
        <v>4</v>
      </c>
      <c r="E2404">
        <v>2</v>
      </c>
      <c r="F2404">
        <v>0</v>
      </c>
      <c r="G2404">
        <v>2</v>
      </c>
      <c r="H2404">
        <v>0</v>
      </c>
    </row>
    <row r="2405" spans="2:8">
      <c r="B2405" t="s">
        <v>25022</v>
      </c>
      <c r="C2405">
        <v>269</v>
      </c>
      <c r="D2405">
        <v>14</v>
      </c>
      <c r="E2405">
        <v>7</v>
      </c>
      <c r="F2405">
        <v>0</v>
      </c>
      <c r="G2405">
        <v>6</v>
      </c>
      <c r="H2405">
        <v>1</v>
      </c>
    </row>
    <row r="2406" spans="2:8">
      <c r="B2406" t="s">
        <v>25022</v>
      </c>
      <c r="C2406">
        <v>269</v>
      </c>
      <c r="D2406">
        <v>7</v>
      </c>
      <c r="E2406">
        <v>2</v>
      </c>
      <c r="F2406">
        <v>0</v>
      </c>
      <c r="G2406">
        <v>2</v>
      </c>
      <c r="H2406">
        <v>0</v>
      </c>
    </row>
    <row r="2407" spans="2:8">
      <c r="B2407" t="s">
        <v>25022</v>
      </c>
      <c r="C2407">
        <v>269</v>
      </c>
      <c r="D2407">
        <v>9</v>
      </c>
      <c r="E2407">
        <v>2</v>
      </c>
      <c r="F2407">
        <v>0</v>
      </c>
      <c r="G2407">
        <v>0</v>
      </c>
      <c r="H2407">
        <v>2</v>
      </c>
    </row>
    <row r="2408" spans="2:8">
      <c r="B2408" t="s">
        <v>25022</v>
      </c>
      <c r="C2408">
        <v>270</v>
      </c>
      <c r="D2408">
        <v>11</v>
      </c>
      <c r="E2408">
        <v>2</v>
      </c>
      <c r="F2408">
        <v>0</v>
      </c>
      <c r="G2408">
        <v>2</v>
      </c>
      <c r="H2408">
        <v>0</v>
      </c>
    </row>
    <row r="2409" spans="2:8">
      <c r="B2409" t="s">
        <v>25022</v>
      </c>
      <c r="C2409">
        <v>270</v>
      </c>
      <c r="D2409">
        <v>17</v>
      </c>
      <c r="E2409">
        <v>5</v>
      </c>
      <c r="F2409">
        <v>0</v>
      </c>
      <c r="G2409">
        <v>4</v>
      </c>
      <c r="H2409">
        <v>1</v>
      </c>
    </row>
    <row r="2410" spans="2:8">
      <c r="B2410" t="s">
        <v>25022</v>
      </c>
      <c r="C2410">
        <v>270</v>
      </c>
      <c r="D2410">
        <v>13</v>
      </c>
      <c r="E2410">
        <v>2</v>
      </c>
      <c r="F2410">
        <v>0</v>
      </c>
      <c r="G2410">
        <v>2</v>
      </c>
      <c r="H2410">
        <v>0</v>
      </c>
    </row>
    <row r="2411" spans="2:8">
      <c r="B2411" t="s">
        <v>25022</v>
      </c>
      <c r="C2411">
        <v>270</v>
      </c>
      <c r="D2411">
        <v>22</v>
      </c>
      <c r="E2411">
        <v>10</v>
      </c>
      <c r="F2411">
        <v>0</v>
      </c>
      <c r="G2411">
        <v>10</v>
      </c>
      <c r="H2411">
        <v>0</v>
      </c>
    </row>
    <row r="2412" spans="2:8">
      <c r="B2412" t="s">
        <v>25022</v>
      </c>
      <c r="C2412">
        <v>270</v>
      </c>
      <c r="D2412">
        <v>2</v>
      </c>
      <c r="E2412">
        <v>0</v>
      </c>
      <c r="F2412">
        <v>0</v>
      </c>
      <c r="G2412">
        <v>0</v>
      </c>
      <c r="H2412">
        <v>0</v>
      </c>
    </row>
    <row r="2413" spans="2:8">
      <c r="B2413" t="s">
        <v>25022</v>
      </c>
      <c r="C2413">
        <v>271</v>
      </c>
      <c r="D2413">
        <v>18</v>
      </c>
      <c r="E2413">
        <v>5</v>
      </c>
      <c r="F2413">
        <v>0</v>
      </c>
      <c r="G2413">
        <v>5</v>
      </c>
      <c r="H2413">
        <v>0</v>
      </c>
    </row>
    <row r="2414" spans="2:8">
      <c r="B2414" t="s">
        <v>25022</v>
      </c>
      <c r="C2414">
        <v>271</v>
      </c>
      <c r="D2414">
        <v>5</v>
      </c>
      <c r="E2414">
        <v>0</v>
      </c>
      <c r="F2414">
        <v>0</v>
      </c>
      <c r="G2414">
        <v>0</v>
      </c>
      <c r="H2414">
        <v>0</v>
      </c>
    </row>
    <row r="2415" spans="2:8">
      <c r="B2415" t="s">
        <v>25022</v>
      </c>
      <c r="C2415">
        <v>271</v>
      </c>
      <c r="D2415">
        <v>4</v>
      </c>
      <c r="E2415">
        <v>0</v>
      </c>
      <c r="F2415">
        <v>0</v>
      </c>
      <c r="G2415">
        <v>0</v>
      </c>
      <c r="H2415">
        <v>0</v>
      </c>
    </row>
    <row r="2416" spans="2:8">
      <c r="B2416" t="s">
        <v>25022</v>
      </c>
      <c r="C2416">
        <v>271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2:8">
      <c r="B2417" t="s">
        <v>25022</v>
      </c>
      <c r="C2417">
        <v>272</v>
      </c>
      <c r="D2417">
        <v>23</v>
      </c>
      <c r="E2417">
        <v>7</v>
      </c>
      <c r="F2417">
        <v>0</v>
      </c>
      <c r="G2417">
        <v>5</v>
      </c>
      <c r="H2417">
        <v>2</v>
      </c>
    </row>
    <row r="2418" spans="2:8">
      <c r="B2418" t="s">
        <v>25022</v>
      </c>
      <c r="C2418">
        <v>272</v>
      </c>
      <c r="D2418">
        <v>23</v>
      </c>
      <c r="E2418">
        <v>11</v>
      </c>
      <c r="F2418">
        <v>0</v>
      </c>
      <c r="G2418">
        <v>6</v>
      </c>
      <c r="H2418">
        <v>5</v>
      </c>
    </row>
    <row r="2419" spans="2:8">
      <c r="B2419" t="s">
        <v>25022</v>
      </c>
      <c r="C2419">
        <v>272</v>
      </c>
      <c r="D2419">
        <v>13</v>
      </c>
      <c r="E2419">
        <v>8</v>
      </c>
      <c r="F2419">
        <v>0</v>
      </c>
      <c r="G2419">
        <v>6</v>
      </c>
      <c r="H2419">
        <v>2</v>
      </c>
    </row>
    <row r="2420" spans="2:8">
      <c r="B2420" t="s">
        <v>25022</v>
      </c>
      <c r="C2420">
        <v>272</v>
      </c>
      <c r="D2420">
        <v>17</v>
      </c>
      <c r="E2420">
        <v>9</v>
      </c>
      <c r="F2420">
        <v>0</v>
      </c>
      <c r="G2420">
        <v>9</v>
      </c>
      <c r="H2420">
        <v>0</v>
      </c>
    </row>
    <row r="2421" spans="2:8">
      <c r="B2421" t="s">
        <v>25022</v>
      </c>
      <c r="C2421">
        <v>272</v>
      </c>
      <c r="D2421">
        <v>16</v>
      </c>
      <c r="E2421">
        <v>7</v>
      </c>
      <c r="F2421">
        <v>0</v>
      </c>
      <c r="G2421">
        <v>7</v>
      </c>
      <c r="H2421">
        <v>0</v>
      </c>
    </row>
    <row r="2422" spans="2:8">
      <c r="B2422" t="s">
        <v>25022</v>
      </c>
      <c r="C2422">
        <v>272</v>
      </c>
      <c r="D2422">
        <v>6</v>
      </c>
      <c r="E2422">
        <v>2</v>
      </c>
      <c r="F2422">
        <v>0</v>
      </c>
      <c r="G2422">
        <v>2</v>
      </c>
      <c r="H2422">
        <v>0</v>
      </c>
    </row>
    <row r="2423" spans="2:8">
      <c r="B2423" t="s">
        <v>25022</v>
      </c>
      <c r="C2423">
        <v>272</v>
      </c>
      <c r="D2423">
        <v>4</v>
      </c>
      <c r="E2423">
        <v>0</v>
      </c>
      <c r="F2423">
        <v>0</v>
      </c>
      <c r="G2423">
        <v>0</v>
      </c>
      <c r="H2423">
        <v>0</v>
      </c>
    </row>
    <row r="2424" spans="2:8">
      <c r="B2424" t="s">
        <v>25022</v>
      </c>
      <c r="C2424">
        <v>272</v>
      </c>
      <c r="D2424">
        <v>4</v>
      </c>
      <c r="E2424">
        <v>0</v>
      </c>
      <c r="F2424">
        <v>0</v>
      </c>
      <c r="G2424">
        <v>0</v>
      </c>
      <c r="H2424">
        <v>0</v>
      </c>
    </row>
    <row r="2425" spans="2:8">
      <c r="B2425" t="s">
        <v>25022</v>
      </c>
      <c r="C2425">
        <v>273</v>
      </c>
      <c r="D2425">
        <v>16</v>
      </c>
      <c r="E2425">
        <v>2</v>
      </c>
      <c r="F2425">
        <v>0</v>
      </c>
      <c r="G2425">
        <v>2</v>
      </c>
      <c r="H2425">
        <v>0</v>
      </c>
    </row>
    <row r="2426" spans="2:8">
      <c r="B2426" t="s">
        <v>25022</v>
      </c>
      <c r="C2426">
        <v>273</v>
      </c>
      <c r="D2426">
        <v>23</v>
      </c>
      <c r="E2426">
        <v>6</v>
      </c>
      <c r="F2426">
        <v>0</v>
      </c>
      <c r="G2426">
        <v>4</v>
      </c>
      <c r="H2426">
        <v>2</v>
      </c>
    </row>
    <row r="2427" spans="2:8">
      <c r="B2427" t="s">
        <v>25022</v>
      </c>
      <c r="C2427">
        <v>273</v>
      </c>
      <c r="D2427">
        <v>9</v>
      </c>
      <c r="E2427">
        <v>4</v>
      </c>
      <c r="F2427">
        <v>0</v>
      </c>
      <c r="G2427">
        <v>4</v>
      </c>
      <c r="H2427">
        <v>0</v>
      </c>
    </row>
    <row r="2428" spans="2:8">
      <c r="B2428" t="s">
        <v>25022</v>
      </c>
      <c r="C2428">
        <v>273</v>
      </c>
      <c r="D2428">
        <v>3</v>
      </c>
      <c r="E2428">
        <v>0</v>
      </c>
      <c r="F2428">
        <v>0</v>
      </c>
      <c r="G2428">
        <v>0</v>
      </c>
      <c r="H2428">
        <v>0</v>
      </c>
    </row>
    <row r="2429" spans="2:8">
      <c r="B2429" t="s">
        <v>25022</v>
      </c>
      <c r="C2429">
        <v>274</v>
      </c>
      <c r="D2429">
        <v>21</v>
      </c>
      <c r="E2429">
        <v>2</v>
      </c>
      <c r="F2429">
        <v>0</v>
      </c>
      <c r="G2429">
        <v>2</v>
      </c>
      <c r="H2429">
        <v>0</v>
      </c>
    </row>
    <row r="2430" spans="2:8">
      <c r="B2430" t="s">
        <v>25022</v>
      </c>
      <c r="C2430">
        <v>274</v>
      </c>
      <c r="D2430">
        <v>18</v>
      </c>
      <c r="E2430">
        <v>6</v>
      </c>
      <c r="F2430">
        <v>0</v>
      </c>
      <c r="G2430">
        <v>4</v>
      </c>
      <c r="H2430">
        <v>2</v>
      </c>
    </row>
    <row r="2431" spans="2:8">
      <c r="B2431" t="s">
        <v>25022</v>
      </c>
      <c r="C2431">
        <v>274</v>
      </c>
      <c r="D2431">
        <v>3</v>
      </c>
      <c r="E2431">
        <v>0</v>
      </c>
      <c r="F2431">
        <v>0</v>
      </c>
      <c r="G2431">
        <v>0</v>
      </c>
      <c r="H2431">
        <v>0</v>
      </c>
    </row>
    <row r="2432" spans="2:8">
      <c r="B2432" t="s">
        <v>25022</v>
      </c>
      <c r="C2432">
        <v>274</v>
      </c>
      <c r="D2432">
        <v>6</v>
      </c>
      <c r="E2432">
        <v>2</v>
      </c>
      <c r="F2432">
        <v>0</v>
      </c>
      <c r="G2432">
        <v>2</v>
      </c>
      <c r="H2432">
        <v>0</v>
      </c>
    </row>
    <row r="2433" spans="2:8">
      <c r="B2433" t="s">
        <v>25022</v>
      </c>
      <c r="C2433">
        <v>274</v>
      </c>
      <c r="D2433">
        <v>4</v>
      </c>
      <c r="E2433">
        <v>2</v>
      </c>
      <c r="F2433">
        <v>0</v>
      </c>
      <c r="G2433">
        <v>2</v>
      </c>
      <c r="H2433">
        <v>0</v>
      </c>
    </row>
    <row r="2434" spans="2:8">
      <c r="B2434" t="s">
        <v>25022</v>
      </c>
      <c r="C2434">
        <v>275</v>
      </c>
      <c r="D2434">
        <v>24</v>
      </c>
      <c r="E2434">
        <v>6</v>
      </c>
      <c r="F2434">
        <v>0</v>
      </c>
      <c r="G2434">
        <v>2</v>
      </c>
      <c r="H2434">
        <v>4</v>
      </c>
    </row>
    <row r="2435" spans="2:8">
      <c r="B2435" t="s">
        <v>25022</v>
      </c>
      <c r="C2435">
        <v>275</v>
      </c>
      <c r="D2435">
        <v>21</v>
      </c>
      <c r="E2435">
        <v>4</v>
      </c>
      <c r="F2435">
        <v>0</v>
      </c>
      <c r="G2435">
        <v>4</v>
      </c>
      <c r="H2435">
        <v>0</v>
      </c>
    </row>
    <row r="2436" spans="2:8">
      <c r="B2436" t="s">
        <v>25022</v>
      </c>
      <c r="C2436">
        <v>275</v>
      </c>
      <c r="D2436">
        <v>2</v>
      </c>
      <c r="E2436">
        <v>0</v>
      </c>
      <c r="F2436">
        <v>0</v>
      </c>
      <c r="G2436">
        <v>0</v>
      </c>
      <c r="H2436">
        <v>0</v>
      </c>
    </row>
    <row r="2437" spans="2:8">
      <c r="B2437" t="s">
        <v>25022</v>
      </c>
      <c r="C2437">
        <v>275</v>
      </c>
      <c r="D2437">
        <v>27</v>
      </c>
      <c r="E2437">
        <v>7</v>
      </c>
      <c r="F2437">
        <v>0</v>
      </c>
      <c r="G2437">
        <v>6</v>
      </c>
      <c r="H2437">
        <v>1</v>
      </c>
    </row>
    <row r="2438" spans="2:8">
      <c r="B2438" t="s">
        <v>25022</v>
      </c>
      <c r="C2438">
        <v>275</v>
      </c>
      <c r="D2438">
        <v>23</v>
      </c>
      <c r="E2438">
        <v>4</v>
      </c>
      <c r="F2438">
        <v>0</v>
      </c>
      <c r="G2438">
        <v>2</v>
      </c>
      <c r="H2438">
        <v>2</v>
      </c>
    </row>
    <row r="2439" spans="2:8">
      <c r="B2439" t="s">
        <v>25022</v>
      </c>
      <c r="C2439">
        <v>275</v>
      </c>
      <c r="D2439">
        <v>4</v>
      </c>
      <c r="E2439">
        <v>3</v>
      </c>
      <c r="F2439">
        <v>0</v>
      </c>
      <c r="G2439">
        <v>3</v>
      </c>
      <c r="H2439">
        <v>0</v>
      </c>
    </row>
    <row r="2440" spans="2:8">
      <c r="B2440" t="s">
        <v>25022</v>
      </c>
      <c r="C2440">
        <v>275</v>
      </c>
      <c r="D2440">
        <v>8</v>
      </c>
      <c r="E2440">
        <v>4</v>
      </c>
      <c r="F2440">
        <v>0</v>
      </c>
      <c r="G2440">
        <v>0</v>
      </c>
      <c r="H2440">
        <v>4</v>
      </c>
    </row>
    <row r="2441" spans="2:8">
      <c r="B2441" t="s">
        <v>25022</v>
      </c>
      <c r="C2441">
        <v>275</v>
      </c>
      <c r="D2441">
        <v>5</v>
      </c>
      <c r="E2441">
        <v>2</v>
      </c>
      <c r="F2441">
        <v>0</v>
      </c>
      <c r="G2441">
        <v>2</v>
      </c>
      <c r="H2441">
        <v>0</v>
      </c>
    </row>
    <row r="2442" spans="2:8">
      <c r="B2442" t="s">
        <v>25022</v>
      </c>
      <c r="C2442">
        <v>276</v>
      </c>
      <c r="D2442">
        <v>23</v>
      </c>
      <c r="E2442">
        <v>4</v>
      </c>
      <c r="F2442">
        <v>0</v>
      </c>
      <c r="G2442">
        <v>4</v>
      </c>
      <c r="H2442">
        <v>0</v>
      </c>
    </row>
    <row r="2443" spans="2:8">
      <c r="B2443" t="s">
        <v>25022</v>
      </c>
      <c r="C2443">
        <v>276</v>
      </c>
      <c r="D2443">
        <v>19</v>
      </c>
      <c r="E2443">
        <v>4</v>
      </c>
      <c r="F2443">
        <v>0</v>
      </c>
      <c r="G2443">
        <v>0</v>
      </c>
      <c r="H2443">
        <v>4</v>
      </c>
    </row>
    <row r="2444" spans="2:8">
      <c r="B2444" t="s">
        <v>25022</v>
      </c>
      <c r="C2444">
        <v>276</v>
      </c>
      <c r="D2444">
        <v>16</v>
      </c>
      <c r="E2444">
        <v>6</v>
      </c>
      <c r="F2444">
        <v>0</v>
      </c>
      <c r="G2444">
        <v>4</v>
      </c>
      <c r="H2444">
        <v>2</v>
      </c>
    </row>
    <row r="2445" spans="2:8">
      <c r="B2445" t="s">
        <v>25022</v>
      </c>
      <c r="C2445">
        <v>276</v>
      </c>
      <c r="D2445">
        <v>13</v>
      </c>
      <c r="E2445">
        <v>2</v>
      </c>
      <c r="F2445">
        <v>0</v>
      </c>
      <c r="G2445">
        <v>0</v>
      </c>
      <c r="H2445">
        <v>2</v>
      </c>
    </row>
    <row r="2446" spans="2:8">
      <c r="B2446" t="s">
        <v>25022</v>
      </c>
      <c r="C2446">
        <v>276</v>
      </c>
      <c r="D2446">
        <v>11</v>
      </c>
      <c r="E2446">
        <v>4</v>
      </c>
      <c r="F2446">
        <v>0</v>
      </c>
      <c r="G2446">
        <v>4</v>
      </c>
      <c r="H2446">
        <v>0</v>
      </c>
    </row>
    <row r="2447" spans="2:8">
      <c r="B2447" t="s">
        <v>25022</v>
      </c>
      <c r="C2447">
        <v>276</v>
      </c>
      <c r="D2447">
        <v>12</v>
      </c>
      <c r="E2447">
        <v>0</v>
      </c>
      <c r="F2447">
        <v>0</v>
      </c>
      <c r="G2447">
        <v>0</v>
      </c>
      <c r="H2447">
        <v>0</v>
      </c>
    </row>
    <row r="2448" spans="2:8">
      <c r="B2448" t="s">
        <v>25022</v>
      </c>
      <c r="C2448">
        <v>276</v>
      </c>
      <c r="D2448">
        <v>12</v>
      </c>
      <c r="E2448">
        <v>4</v>
      </c>
      <c r="F2448">
        <v>0</v>
      </c>
      <c r="G2448">
        <v>2</v>
      </c>
      <c r="H2448">
        <v>2</v>
      </c>
    </row>
    <row r="2449" spans="2:8">
      <c r="B2449" t="s">
        <v>25022</v>
      </c>
      <c r="C2449">
        <v>276</v>
      </c>
      <c r="D2449">
        <v>3</v>
      </c>
      <c r="E2449">
        <v>0</v>
      </c>
      <c r="F2449">
        <v>0</v>
      </c>
      <c r="G2449">
        <v>0</v>
      </c>
      <c r="H2449">
        <v>0</v>
      </c>
    </row>
    <row r="2450" spans="2:8">
      <c r="B2450" t="s">
        <v>25022</v>
      </c>
      <c r="C2450">
        <v>276</v>
      </c>
      <c r="D2450">
        <v>3</v>
      </c>
      <c r="E2450">
        <v>0</v>
      </c>
      <c r="F2450">
        <v>0</v>
      </c>
      <c r="G2450">
        <v>0</v>
      </c>
      <c r="H2450">
        <v>0</v>
      </c>
    </row>
    <row r="2451" spans="2:8">
      <c r="B2451" t="s">
        <v>25022</v>
      </c>
      <c r="C2451">
        <v>276</v>
      </c>
      <c r="D2451">
        <v>1</v>
      </c>
      <c r="E2451">
        <v>0</v>
      </c>
      <c r="F2451">
        <v>0</v>
      </c>
      <c r="G2451">
        <v>0</v>
      </c>
      <c r="H2451">
        <v>0</v>
      </c>
    </row>
    <row r="2452" spans="2:8">
      <c r="B2452" t="s">
        <v>25022</v>
      </c>
      <c r="C2452">
        <v>277</v>
      </c>
      <c r="D2452">
        <v>46</v>
      </c>
      <c r="E2452">
        <v>19</v>
      </c>
      <c r="F2452">
        <v>0</v>
      </c>
      <c r="G2452">
        <v>15</v>
      </c>
      <c r="H2452">
        <v>4</v>
      </c>
    </row>
    <row r="2453" spans="2:8">
      <c r="B2453" t="s">
        <v>25022</v>
      </c>
      <c r="C2453">
        <v>277</v>
      </c>
      <c r="D2453">
        <v>28</v>
      </c>
      <c r="E2453">
        <v>15</v>
      </c>
      <c r="F2453">
        <v>0</v>
      </c>
      <c r="G2453">
        <v>14</v>
      </c>
      <c r="H2453">
        <v>1</v>
      </c>
    </row>
    <row r="2454" spans="2:8">
      <c r="B2454" t="s">
        <v>25022</v>
      </c>
      <c r="C2454">
        <v>277</v>
      </c>
      <c r="D2454">
        <v>12</v>
      </c>
      <c r="E2454">
        <v>5</v>
      </c>
      <c r="F2454">
        <v>0</v>
      </c>
      <c r="G2454">
        <v>5</v>
      </c>
      <c r="H2454">
        <v>0</v>
      </c>
    </row>
    <row r="2455" spans="2:8">
      <c r="B2455" t="s">
        <v>25022</v>
      </c>
      <c r="C2455">
        <v>277</v>
      </c>
      <c r="D2455">
        <v>18</v>
      </c>
      <c r="E2455">
        <v>6</v>
      </c>
      <c r="F2455">
        <v>0</v>
      </c>
      <c r="G2455">
        <v>6</v>
      </c>
      <c r="H2455">
        <v>0</v>
      </c>
    </row>
    <row r="2456" spans="2:8">
      <c r="B2456" t="s">
        <v>25022</v>
      </c>
      <c r="C2456">
        <v>277</v>
      </c>
      <c r="D2456">
        <v>16</v>
      </c>
      <c r="E2456">
        <v>4</v>
      </c>
      <c r="F2456">
        <v>0</v>
      </c>
      <c r="G2456">
        <v>2</v>
      </c>
      <c r="H2456">
        <v>2</v>
      </c>
    </row>
    <row r="2457" spans="2:8">
      <c r="B2457" t="s">
        <v>25022</v>
      </c>
      <c r="C2457">
        <v>277</v>
      </c>
      <c r="D2457">
        <v>6</v>
      </c>
      <c r="E2457">
        <v>0</v>
      </c>
      <c r="F2457">
        <v>0</v>
      </c>
      <c r="G2457">
        <v>0</v>
      </c>
      <c r="H2457">
        <v>0</v>
      </c>
    </row>
    <row r="2458" spans="2:8">
      <c r="B2458" t="s">
        <v>25022</v>
      </c>
      <c r="C2458">
        <v>277</v>
      </c>
      <c r="D2458">
        <v>4</v>
      </c>
      <c r="E2458">
        <v>0</v>
      </c>
      <c r="F2458">
        <v>0</v>
      </c>
      <c r="G2458">
        <v>0</v>
      </c>
      <c r="H2458">
        <v>0</v>
      </c>
    </row>
    <row r="2459" spans="2:8">
      <c r="B2459" t="s">
        <v>25022</v>
      </c>
      <c r="C2459">
        <v>278</v>
      </c>
      <c r="D2459">
        <v>25</v>
      </c>
      <c r="E2459">
        <v>6</v>
      </c>
      <c r="F2459">
        <v>0</v>
      </c>
      <c r="G2459">
        <v>2</v>
      </c>
      <c r="H2459">
        <v>4</v>
      </c>
    </row>
    <row r="2460" spans="2:8">
      <c r="B2460" t="s">
        <v>25022</v>
      </c>
      <c r="C2460">
        <v>278</v>
      </c>
      <c r="D2460">
        <v>13</v>
      </c>
      <c r="E2460">
        <v>4</v>
      </c>
      <c r="F2460">
        <v>0</v>
      </c>
      <c r="G2460">
        <v>2</v>
      </c>
      <c r="H2460">
        <v>2</v>
      </c>
    </row>
    <row r="2461" spans="2:8">
      <c r="B2461" t="s">
        <v>25022</v>
      </c>
      <c r="C2461">
        <v>278</v>
      </c>
      <c r="D2461">
        <v>14</v>
      </c>
      <c r="E2461">
        <v>0</v>
      </c>
      <c r="F2461">
        <v>0</v>
      </c>
      <c r="G2461">
        <v>0</v>
      </c>
      <c r="H2461">
        <v>0</v>
      </c>
    </row>
    <row r="2462" spans="2:8">
      <c r="B2462" t="s">
        <v>25022</v>
      </c>
      <c r="C2462">
        <v>278</v>
      </c>
      <c r="D2462">
        <v>27</v>
      </c>
      <c r="E2462">
        <v>16</v>
      </c>
      <c r="F2462">
        <v>0</v>
      </c>
      <c r="G2462">
        <v>16</v>
      </c>
      <c r="H2462">
        <v>0</v>
      </c>
    </row>
    <row r="2463" spans="2:8">
      <c r="B2463" t="s">
        <v>25022</v>
      </c>
      <c r="C2463">
        <v>278</v>
      </c>
      <c r="D2463">
        <v>12</v>
      </c>
      <c r="E2463">
        <v>2</v>
      </c>
      <c r="F2463">
        <v>0</v>
      </c>
      <c r="G2463">
        <v>2</v>
      </c>
      <c r="H2463">
        <v>0</v>
      </c>
    </row>
    <row r="2464" spans="2:8">
      <c r="B2464" t="s">
        <v>25022</v>
      </c>
      <c r="C2464">
        <v>278</v>
      </c>
      <c r="D2464">
        <v>13</v>
      </c>
      <c r="E2464">
        <v>8</v>
      </c>
      <c r="F2464">
        <v>0</v>
      </c>
      <c r="G2464">
        <v>8</v>
      </c>
      <c r="H2464">
        <v>0</v>
      </c>
    </row>
    <row r="2465" spans="2:8">
      <c r="B2465" t="s">
        <v>25022</v>
      </c>
      <c r="C2465">
        <v>278</v>
      </c>
      <c r="D2465">
        <v>11</v>
      </c>
      <c r="E2465">
        <v>6</v>
      </c>
      <c r="F2465">
        <v>0</v>
      </c>
      <c r="G2465">
        <v>6</v>
      </c>
      <c r="H2465">
        <v>0</v>
      </c>
    </row>
    <row r="2466" spans="2:8">
      <c r="B2466" t="s">
        <v>25022</v>
      </c>
      <c r="C2466">
        <v>278</v>
      </c>
      <c r="D2466">
        <v>10</v>
      </c>
      <c r="E2466">
        <v>2</v>
      </c>
      <c r="F2466">
        <v>0</v>
      </c>
      <c r="G2466">
        <v>0</v>
      </c>
      <c r="H2466">
        <v>2</v>
      </c>
    </row>
    <row r="2467" spans="2:8">
      <c r="B2467" t="s">
        <v>25022</v>
      </c>
      <c r="C2467">
        <v>278</v>
      </c>
      <c r="D2467">
        <v>6</v>
      </c>
      <c r="E2467">
        <v>0</v>
      </c>
      <c r="F2467">
        <v>0</v>
      </c>
      <c r="G2467">
        <v>0</v>
      </c>
      <c r="H2467">
        <v>0</v>
      </c>
    </row>
    <row r="2468" spans="2:8">
      <c r="B2468" t="s">
        <v>25022</v>
      </c>
      <c r="C2468">
        <v>278</v>
      </c>
      <c r="D2468">
        <v>3</v>
      </c>
      <c r="E2468">
        <v>0</v>
      </c>
      <c r="F2468">
        <v>0</v>
      </c>
      <c r="G2468">
        <v>0</v>
      </c>
      <c r="H2468">
        <v>0</v>
      </c>
    </row>
    <row r="2469" spans="2:8">
      <c r="B2469" t="s">
        <v>25022</v>
      </c>
      <c r="C2469">
        <v>279</v>
      </c>
      <c r="D2469">
        <v>18</v>
      </c>
      <c r="E2469">
        <v>4</v>
      </c>
      <c r="F2469">
        <v>0</v>
      </c>
      <c r="G2469">
        <v>4</v>
      </c>
      <c r="H2469">
        <v>0</v>
      </c>
    </row>
    <row r="2470" spans="2:8">
      <c r="B2470" t="s">
        <v>25022</v>
      </c>
      <c r="C2470">
        <v>279</v>
      </c>
      <c r="D2470">
        <v>31</v>
      </c>
      <c r="E2470">
        <v>22</v>
      </c>
      <c r="F2470">
        <v>0</v>
      </c>
      <c r="G2470">
        <v>22</v>
      </c>
      <c r="H2470">
        <v>0</v>
      </c>
    </row>
    <row r="2471" spans="2:8">
      <c r="B2471" t="s">
        <v>25022</v>
      </c>
      <c r="C2471">
        <v>280</v>
      </c>
      <c r="D2471">
        <v>10</v>
      </c>
      <c r="E2471">
        <v>0</v>
      </c>
      <c r="F2471">
        <v>0</v>
      </c>
      <c r="G2471">
        <v>0</v>
      </c>
      <c r="H2471">
        <v>0</v>
      </c>
    </row>
    <row r="2472" spans="2:8">
      <c r="B2472" t="s">
        <v>25022</v>
      </c>
      <c r="C2472">
        <v>280</v>
      </c>
      <c r="D2472">
        <v>16</v>
      </c>
      <c r="E2472">
        <v>5</v>
      </c>
      <c r="F2472">
        <v>0</v>
      </c>
      <c r="G2472">
        <v>4</v>
      </c>
      <c r="H2472">
        <v>1</v>
      </c>
    </row>
    <row r="2473" spans="2:8">
      <c r="B2473" t="s">
        <v>25022</v>
      </c>
      <c r="C2473">
        <v>280</v>
      </c>
      <c r="D2473">
        <v>3</v>
      </c>
      <c r="E2473">
        <v>0</v>
      </c>
      <c r="F2473">
        <v>0</v>
      </c>
      <c r="G2473">
        <v>0</v>
      </c>
      <c r="H2473">
        <v>0</v>
      </c>
    </row>
    <row r="2474" spans="2:8">
      <c r="B2474" t="s">
        <v>25022</v>
      </c>
      <c r="C2474">
        <v>280</v>
      </c>
      <c r="D2474">
        <v>4</v>
      </c>
      <c r="E2474">
        <v>2</v>
      </c>
      <c r="F2474">
        <v>0</v>
      </c>
      <c r="G2474">
        <v>2</v>
      </c>
      <c r="H2474">
        <v>0</v>
      </c>
    </row>
    <row r="2475" spans="2:8">
      <c r="B2475" t="s">
        <v>25022</v>
      </c>
      <c r="C2475">
        <v>281</v>
      </c>
      <c r="D2475">
        <v>50</v>
      </c>
      <c r="E2475">
        <v>20</v>
      </c>
      <c r="F2475">
        <v>0</v>
      </c>
      <c r="G2475">
        <v>20</v>
      </c>
      <c r="H2475">
        <v>0</v>
      </c>
    </row>
    <row r="2476" spans="2:8">
      <c r="B2476" t="s">
        <v>25022</v>
      </c>
      <c r="C2476">
        <v>281</v>
      </c>
      <c r="D2476">
        <v>10</v>
      </c>
      <c r="E2476">
        <v>2</v>
      </c>
      <c r="F2476">
        <v>0</v>
      </c>
      <c r="G2476">
        <v>2</v>
      </c>
      <c r="H2476">
        <v>0</v>
      </c>
    </row>
    <row r="2477" spans="2:8">
      <c r="B2477" t="s">
        <v>25022</v>
      </c>
      <c r="C2477">
        <v>281</v>
      </c>
      <c r="D2477">
        <v>9</v>
      </c>
      <c r="E2477">
        <v>0</v>
      </c>
      <c r="F2477">
        <v>0</v>
      </c>
      <c r="G2477">
        <v>0</v>
      </c>
      <c r="H2477">
        <v>0</v>
      </c>
    </row>
    <row r="2478" spans="2:8">
      <c r="B2478" t="s">
        <v>25022</v>
      </c>
      <c r="C2478">
        <v>281</v>
      </c>
      <c r="D2478">
        <v>12</v>
      </c>
      <c r="E2478">
        <v>6</v>
      </c>
      <c r="F2478">
        <v>0</v>
      </c>
      <c r="G2478">
        <v>6</v>
      </c>
      <c r="H2478">
        <v>0</v>
      </c>
    </row>
    <row r="2479" spans="2:8">
      <c r="B2479" t="s">
        <v>25022</v>
      </c>
      <c r="C2479">
        <v>281</v>
      </c>
      <c r="D2479">
        <v>15</v>
      </c>
      <c r="E2479">
        <v>5</v>
      </c>
      <c r="F2479">
        <v>0</v>
      </c>
      <c r="G2479">
        <v>5</v>
      </c>
      <c r="H2479">
        <v>0</v>
      </c>
    </row>
    <row r="2480" spans="2:8">
      <c r="B2480" t="s">
        <v>25022</v>
      </c>
      <c r="C2480">
        <v>281</v>
      </c>
      <c r="D2480">
        <v>10</v>
      </c>
      <c r="E2480">
        <v>2</v>
      </c>
      <c r="F2480">
        <v>0</v>
      </c>
      <c r="G2480">
        <v>2</v>
      </c>
      <c r="H2480">
        <v>0</v>
      </c>
    </row>
    <row r="2481" spans="2:8">
      <c r="B2481" t="s">
        <v>25022</v>
      </c>
      <c r="C2481">
        <v>281</v>
      </c>
      <c r="D2481">
        <v>13</v>
      </c>
      <c r="E2481">
        <v>8</v>
      </c>
      <c r="F2481">
        <v>0</v>
      </c>
      <c r="G2481">
        <v>8</v>
      </c>
      <c r="H2481">
        <v>0</v>
      </c>
    </row>
    <row r="2482" spans="2:8">
      <c r="B2482" t="s">
        <v>25022</v>
      </c>
      <c r="C2482">
        <v>282</v>
      </c>
      <c r="D2482">
        <v>53</v>
      </c>
      <c r="E2482">
        <v>32</v>
      </c>
      <c r="F2482">
        <v>0</v>
      </c>
      <c r="G2482">
        <v>26</v>
      </c>
      <c r="H2482">
        <v>6</v>
      </c>
    </row>
    <row r="2483" spans="2:8">
      <c r="B2483" t="s">
        <v>25022</v>
      </c>
      <c r="C2483">
        <v>282</v>
      </c>
      <c r="D2483">
        <v>8</v>
      </c>
      <c r="E2483">
        <v>0</v>
      </c>
      <c r="F2483">
        <v>0</v>
      </c>
      <c r="G2483">
        <v>0</v>
      </c>
      <c r="H2483">
        <v>0</v>
      </c>
    </row>
    <row r="2484" spans="2:8">
      <c r="B2484" t="s">
        <v>25022</v>
      </c>
      <c r="C2484">
        <v>282</v>
      </c>
      <c r="D2484">
        <v>12</v>
      </c>
      <c r="E2484">
        <v>4</v>
      </c>
      <c r="F2484">
        <v>0</v>
      </c>
      <c r="G2484">
        <v>4</v>
      </c>
      <c r="H2484">
        <v>0</v>
      </c>
    </row>
    <row r="2485" spans="2:8">
      <c r="B2485" t="s">
        <v>25022</v>
      </c>
      <c r="C2485">
        <v>282</v>
      </c>
      <c r="D2485">
        <v>12</v>
      </c>
      <c r="E2485">
        <v>10</v>
      </c>
      <c r="F2485">
        <v>0</v>
      </c>
      <c r="G2485">
        <v>10</v>
      </c>
      <c r="H2485">
        <v>0</v>
      </c>
    </row>
    <row r="2486" spans="2:8">
      <c r="B2486" t="s">
        <v>25022</v>
      </c>
      <c r="C2486">
        <v>282</v>
      </c>
      <c r="D2486">
        <v>10</v>
      </c>
      <c r="E2486">
        <v>0</v>
      </c>
      <c r="F2486">
        <v>0</v>
      </c>
      <c r="G2486">
        <v>0</v>
      </c>
      <c r="H2486">
        <v>0</v>
      </c>
    </row>
    <row r="2487" spans="2:8">
      <c r="B2487" t="s">
        <v>25022</v>
      </c>
      <c r="C2487">
        <v>282</v>
      </c>
      <c r="D2487">
        <v>6</v>
      </c>
      <c r="E2487">
        <v>2</v>
      </c>
      <c r="F2487">
        <v>0</v>
      </c>
      <c r="G2487">
        <v>2</v>
      </c>
      <c r="H2487">
        <v>0</v>
      </c>
    </row>
    <row r="2488" spans="2:8">
      <c r="B2488" t="s">
        <v>25022</v>
      </c>
      <c r="C2488">
        <v>282</v>
      </c>
      <c r="D2488">
        <v>10</v>
      </c>
      <c r="E2488">
        <v>0</v>
      </c>
      <c r="F2488">
        <v>0</v>
      </c>
      <c r="G2488">
        <v>0</v>
      </c>
      <c r="H2488">
        <v>0</v>
      </c>
    </row>
    <row r="2489" spans="2:8">
      <c r="B2489" t="s">
        <v>25022</v>
      </c>
      <c r="C2489">
        <v>283</v>
      </c>
      <c r="D2489">
        <v>21</v>
      </c>
      <c r="E2489">
        <v>10</v>
      </c>
      <c r="F2489">
        <v>0</v>
      </c>
      <c r="G2489">
        <v>8</v>
      </c>
      <c r="H2489">
        <v>2</v>
      </c>
    </row>
    <row r="2490" spans="2:8">
      <c r="B2490" t="s">
        <v>25022</v>
      </c>
      <c r="C2490">
        <v>283</v>
      </c>
      <c r="D2490">
        <v>26</v>
      </c>
      <c r="E2490">
        <v>10</v>
      </c>
      <c r="F2490">
        <v>0</v>
      </c>
      <c r="G2490">
        <v>8</v>
      </c>
      <c r="H2490">
        <v>2</v>
      </c>
    </row>
    <row r="2491" spans="2:8">
      <c r="B2491" t="s">
        <v>25022</v>
      </c>
      <c r="C2491">
        <v>283</v>
      </c>
      <c r="D2491">
        <v>20</v>
      </c>
      <c r="E2491">
        <v>7</v>
      </c>
      <c r="F2491">
        <v>0</v>
      </c>
      <c r="G2491">
        <v>7</v>
      </c>
      <c r="H2491">
        <v>0</v>
      </c>
    </row>
    <row r="2492" spans="2:8">
      <c r="B2492" t="s">
        <v>25022</v>
      </c>
      <c r="C2492">
        <v>283</v>
      </c>
      <c r="D2492">
        <v>7</v>
      </c>
      <c r="E2492">
        <v>0</v>
      </c>
      <c r="F2492">
        <v>0</v>
      </c>
      <c r="G2492">
        <v>0</v>
      </c>
      <c r="H2492">
        <v>0</v>
      </c>
    </row>
    <row r="2493" spans="2:8">
      <c r="B2493" t="s">
        <v>25022</v>
      </c>
      <c r="C2493">
        <v>283</v>
      </c>
      <c r="D2493">
        <v>6</v>
      </c>
      <c r="E2493">
        <v>0</v>
      </c>
      <c r="F2493">
        <v>0</v>
      </c>
      <c r="G2493">
        <v>0</v>
      </c>
      <c r="H2493">
        <v>0</v>
      </c>
    </row>
    <row r="2494" spans="2:8">
      <c r="B2494" t="s">
        <v>25022</v>
      </c>
      <c r="C2494">
        <v>283</v>
      </c>
      <c r="D2494">
        <v>3</v>
      </c>
      <c r="E2494">
        <v>0</v>
      </c>
      <c r="F2494">
        <v>0</v>
      </c>
      <c r="G2494">
        <v>0</v>
      </c>
      <c r="H2494">
        <v>0</v>
      </c>
    </row>
    <row r="2495" spans="2:8">
      <c r="B2495" t="s">
        <v>25022</v>
      </c>
      <c r="C2495">
        <v>284</v>
      </c>
      <c r="D2495">
        <v>21</v>
      </c>
      <c r="E2495">
        <v>7</v>
      </c>
      <c r="F2495">
        <v>0</v>
      </c>
      <c r="G2495">
        <v>7</v>
      </c>
      <c r="H2495">
        <v>0</v>
      </c>
    </row>
    <row r="2496" spans="2:8">
      <c r="B2496" t="s">
        <v>25022</v>
      </c>
      <c r="C2496">
        <v>284</v>
      </c>
      <c r="D2496">
        <v>20</v>
      </c>
      <c r="E2496">
        <v>6</v>
      </c>
      <c r="F2496">
        <v>0</v>
      </c>
      <c r="G2496">
        <v>4</v>
      </c>
      <c r="H2496">
        <v>2</v>
      </c>
    </row>
    <row r="2497" spans="2:8">
      <c r="B2497" t="s">
        <v>25022</v>
      </c>
      <c r="C2497">
        <v>284</v>
      </c>
      <c r="D2497">
        <v>8</v>
      </c>
      <c r="E2497">
        <v>0</v>
      </c>
      <c r="F2497">
        <v>0</v>
      </c>
      <c r="G2497">
        <v>0</v>
      </c>
      <c r="H2497">
        <v>0</v>
      </c>
    </row>
    <row r="2498" spans="2:8">
      <c r="B2498" t="s">
        <v>25022</v>
      </c>
      <c r="C2498">
        <v>285</v>
      </c>
      <c r="D2498">
        <v>26</v>
      </c>
      <c r="E2498">
        <v>14</v>
      </c>
      <c r="F2498">
        <v>0</v>
      </c>
      <c r="G2498">
        <v>14</v>
      </c>
      <c r="H2498">
        <v>0</v>
      </c>
    </row>
    <row r="2499" spans="2:8">
      <c r="B2499" t="s">
        <v>25022</v>
      </c>
      <c r="C2499">
        <v>285</v>
      </c>
      <c r="D2499">
        <v>23</v>
      </c>
      <c r="E2499">
        <v>10</v>
      </c>
      <c r="F2499">
        <v>0</v>
      </c>
      <c r="G2499">
        <v>10</v>
      </c>
      <c r="H2499">
        <v>0</v>
      </c>
    </row>
    <row r="2500" spans="2:8">
      <c r="B2500" t="s">
        <v>25022</v>
      </c>
      <c r="C2500">
        <v>285</v>
      </c>
      <c r="D2500">
        <v>15</v>
      </c>
      <c r="E2500">
        <v>9</v>
      </c>
      <c r="F2500">
        <v>0</v>
      </c>
      <c r="G2500">
        <v>8</v>
      </c>
      <c r="H2500">
        <v>1</v>
      </c>
    </row>
    <row r="2501" spans="2:8">
      <c r="B2501" t="s">
        <v>25022</v>
      </c>
      <c r="C2501">
        <v>285</v>
      </c>
      <c r="D2501">
        <v>11</v>
      </c>
      <c r="E2501">
        <v>4</v>
      </c>
      <c r="F2501">
        <v>0</v>
      </c>
      <c r="G2501">
        <v>2</v>
      </c>
      <c r="H2501">
        <v>2</v>
      </c>
    </row>
    <row r="2502" spans="2:8">
      <c r="B2502" t="s">
        <v>25022</v>
      </c>
      <c r="C2502">
        <v>285</v>
      </c>
      <c r="D2502">
        <v>6</v>
      </c>
      <c r="E2502">
        <v>2</v>
      </c>
      <c r="F2502">
        <v>0</v>
      </c>
      <c r="G2502">
        <v>2</v>
      </c>
      <c r="H2502">
        <v>0</v>
      </c>
    </row>
    <row r="2503" spans="2:8">
      <c r="B2503" t="s">
        <v>25022</v>
      </c>
      <c r="C2503">
        <v>285</v>
      </c>
      <c r="D2503">
        <v>5</v>
      </c>
      <c r="E2503">
        <v>0</v>
      </c>
      <c r="F2503">
        <v>0</v>
      </c>
      <c r="G2503">
        <v>0</v>
      </c>
      <c r="H2503">
        <v>0</v>
      </c>
    </row>
    <row r="2504" spans="2:8">
      <c r="B2504" t="s">
        <v>25022</v>
      </c>
      <c r="C2504">
        <v>285</v>
      </c>
      <c r="D2504">
        <v>3</v>
      </c>
      <c r="E2504">
        <v>0</v>
      </c>
      <c r="F2504">
        <v>0</v>
      </c>
      <c r="G2504">
        <v>0</v>
      </c>
      <c r="H2504">
        <v>0</v>
      </c>
    </row>
    <row r="2505" spans="2:8">
      <c r="B2505" t="s">
        <v>25022</v>
      </c>
      <c r="C2505">
        <v>286</v>
      </c>
      <c r="D2505">
        <v>30</v>
      </c>
      <c r="E2505">
        <v>0</v>
      </c>
      <c r="F2505">
        <v>0</v>
      </c>
      <c r="G2505">
        <v>0</v>
      </c>
      <c r="H2505">
        <v>0</v>
      </c>
    </row>
    <row r="2506" spans="2:8">
      <c r="B2506" t="s">
        <v>25022</v>
      </c>
      <c r="C2506">
        <v>286</v>
      </c>
      <c r="D2506">
        <v>16</v>
      </c>
      <c r="E2506">
        <v>2</v>
      </c>
      <c r="F2506">
        <v>0</v>
      </c>
      <c r="G2506">
        <v>2</v>
      </c>
      <c r="H2506">
        <v>0</v>
      </c>
    </row>
    <row r="2507" spans="2:8">
      <c r="B2507" t="s">
        <v>25022</v>
      </c>
      <c r="C2507">
        <v>286</v>
      </c>
      <c r="D2507">
        <v>19</v>
      </c>
      <c r="E2507">
        <v>8</v>
      </c>
      <c r="F2507">
        <v>0</v>
      </c>
      <c r="G2507">
        <v>8</v>
      </c>
      <c r="H2507">
        <v>0</v>
      </c>
    </row>
    <row r="2508" spans="2:8">
      <c r="B2508" t="s">
        <v>25022</v>
      </c>
      <c r="C2508">
        <v>286</v>
      </c>
      <c r="D2508">
        <v>16</v>
      </c>
      <c r="E2508">
        <v>4</v>
      </c>
      <c r="F2508">
        <v>0</v>
      </c>
      <c r="G2508">
        <v>2</v>
      </c>
      <c r="H2508">
        <v>2</v>
      </c>
    </row>
    <row r="2509" spans="2:8">
      <c r="B2509" t="s">
        <v>25022</v>
      </c>
      <c r="C2509">
        <v>286</v>
      </c>
      <c r="D2509">
        <v>8</v>
      </c>
      <c r="E2509">
        <v>2</v>
      </c>
      <c r="F2509">
        <v>0</v>
      </c>
      <c r="G2509">
        <v>2</v>
      </c>
      <c r="H2509">
        <v>0</v>
      </c>
    </row>
    <row r="2510" spans="2:8">
      <c r="B2510" t="s">
        <v>25022</v>
      </c>
      <c r="C2510">
        <v>286</v>
      </c>
      <c r="D2510">
        <v>7</v>
      </c>
      <c r="E2510">
        <v>3</v>
      </c>
      <c r="F2510">
        <v>0</v>
      </c>
      <c r="G2510">
        <v>3</v>
      </c>
      <c r="H2510">
        <v>0</v>
      </c>
    </row>
    <row r="2511" spans="2:8">
      <c r="B2511" t="s">
        <v>25022</v>
      </c>
      <c r="C2511">
        <v>286</v>
      </c>
      <c r="D2511">
        <v>6</v>
      </c>
      <c r="E2511">
        <v>0</v>
      </c>
      <c r="F2511">
        <v>0</v>
      </c>
      <c r="G2511">
        <v>0</v>
      </c>
      <c r="H2511">
        <v>0</v>
      </c>
    </row>
    <row r="2512" spans="2:8">
      <c r="B2512" t="s">
        <v>25022</v>
      </c>
      <c r="C2512">
        <v>287</v>
      </c>
      <c r="D2512">
        <v>29</v>
      </c>
      <c r="E2512">
        <v>14</v>
      </c>
      <c r="F2512">
        <v>0</v>
      </c>
      <c r="G2512">
        <v>12</v>
      </c>
      <c r="H2512">
        <v>2</v>
      </c>
    </row>
    <row r="2513" spans="2:8">
      <c r="B2513" t="s">
        <v>25022</v>
      </c>
      <c r="C2513">
        <v>287</v>
      </c>
      <c r="D2513">
        <v>15</v>
      </c>
      <c r="E2513">
        <v>4</v>
      </c>
      <c r="F2513">
        <v>0</v>
      </c>
      <c r="G2513">
        <v>4</v>
      </c>
      <c r="H2513">
        <v>0</v>
      </c>
    </row>
    <row r="2514" spans="2:8">
      <c r="B2514" t="s">
        <v>25022</v>
      </c>
      <c r="C2514">
        <v>287</v>
      </c>
      <c r="D2514">
        <v>12</v>
      </c>
      <c r="E2514">
        <v>5</v>
      </c>
      <c r="F2514">
        <v>0</v>
      </c>
      <c r="G2514">
        <v>5</v>
      </c>
      <c r="H2514">
        <v>0</v>
      </c>
    </row>
    <row r="2515" spans="2:8">
      <c r="B2515" t="s">
        <v>25022</v>
      </c>
      <c r="C2515">
        <v>287</v>
      </c>
      <c r="D2515">
        <v>17</v>
      </c>
      <c r="E2515">
        <v>5</v>
      </c>
      <c r="F2515">
        <v>0</v>
      </c>
      <c r="G2515">
        <v>5</v>
      </c>
      <c r="H2515">
        <v>0</v>
      </c>
    </row>
    <row r="2516" spans="2:8">
      <c r="B2516" t="s">
        <v>25022</v>
      </c>
      <c r="C2516">
        <v>287</v>
      </c>
      <c r="D2516">
        <v>5</v>
      </c>
      <c r="E2516">
        <v>0</v>
      </c>
      <c r="F2516">
        <v>0</v>
      </c>
      <c r="G2516">
        <v>0</v>
      </c>
      <c r="H2516">
        <v>0</v>
      </c>
    </row>
    <row r="2517" spans="2:8">
      <c r="B2517" t="s">
        <v>25022</v>
      </c>
      <c r="C2517">
        <v>287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2:8">
      <c r="B2518" t="s">
        <v>25022</v>
      </c>
      <c r="C2518">
        <v>288</v>
      </c>
      <c r="D2518">
        <v>18</v>
      </c>
      <c r="E2518">
        <v>6</v>
      </c>
      <c r="F2518">
        <v>0</v>
      </c>
      <c r="G2518">
        <v>5</v>
      </c>
      <c r="H2518">
        <v>1</v>
      </c>
    </row>
    <row r="2519" spans="2:8">
      <c r="B2519" t="s">
        <v>25022</v>
      </c>
      <c r="C2519">
        <v>288</v>
      </c>
      <c r="D2519">
        <v>16</v>
      </c>
      <c r="E2519">
        <v>0</v>
      </c>
      <c r="F2519">
        <v>0</v>
      </c>
      <c r="G2519">
        <v>0</v>
      </c>
      <c r="H2519">
        <v>0</v>
      </c>
    </row>
    <row r="2520" spans="2:8">
      <c r="B2520" t="s">
        <v>25022</v>
      </c>
      <c r="C2520">
        <v>288</v>
      </c>
      <c r="D2520">
        <v>12</v>
      </c>
      <c r="E2520">
        <v>3</v>
      </c>
      <c r="F2520">
        <v>0</v>
      </c>
      <c r="G2520">
        <v>3</v>
      </c>
      <c r="H2520">
        <v>0</v>
      </c>
    </row>
    <row r="2521" spans="2:8">
      <c r="B2521" t="s">
        <v>25022</v>
      </c>
      <c r="C2521">
        <v>288</v>
      </c>
      <c r="D2521">
        <v>5</v>
      </c>
      <c r="E2521">
        <v>2</v>
      </c>
      <c r="F2521">
        <v>0</v>
      </c>
      <c r="G2521">
        <v>2</v>
      </c>
      <c r="H2521">
        <v>0</v>
      </c>
    </row>
    <row r="2522" spans="2:8">
      <c r="B2522" t="s">
        <v>25022</v>
      </c>
      <c r="C2522">
        <v>288</v>
      </c>
      <c r="D2522">
        <v>8</v>
      </c>
      <c r="E2522">
        <v>4</v>
      </c>
      <c r="F2522">
        <v>0</v>
      </c>
      <c r="G2522">
        <v>4</v>
      </c>
      <c r="H2522">
        <v>0</v>
      </c>
    </row>
    <row r="2523" spans="2:8">
      <c r="B2523" t="s">
        <v>25022</v>
      </c>
      <c r="C2523">
        <v>288</v>
      </c>
      <c r="D2523">
        <v>4</v>
      </c>
      <c r="E2523">
        <v>0</v>
      </c>
      <c r="F2523">
        <v>0</v>
      </c>
      <c r="G2523">
        <v>0</v>
      </c>
      <c r="H2523">
        <v>0</v>
      </c>
    </row>
    <row r="2524" spans="2:8">
      <c r="B2524" t="s">
        <v>25022</v>
      </c>
      <c r="C2524">
        <v>289</v>
      </c>
      <c r="D2524">
        <v>29</v>
      </c>
      <c r="E2524">
        <v>13</v>
      </c>
      <c r="F2524">
        <v>0</v>
      </c>
      <c r="G2524">
        <v>4</v>
      </c>
      <c r="H2524">
        <v>9</v>
      </c>
    </row>
    <row r="2525" spans="2:8">
      <c r="B2525" t="s">
        <v>25022</v>
      </c>
      <c r="C2525">
        <v>289</v>
      </c>
      <c r="D2525">
        <v>14</v>
      </c>
      <c r="E2525">
        <v>3</v>
      </c>
      <c r="F2525">
        <v>0</v>
      </c>
      <c r="G2525">
        <v>2</v>
      </c>
      <c r="H2525">
        <v>1</v>
      </c>
    </row>
    <row r="2526" spans="2:8">
      <c r="B2526" t="s">
        <v>25022</v>
      </c>
      <c r="C2526">
        <v>289</v>
      </c>
      <c r="D2526">
        <v>22</v>
      </c>
      <c r="E2526">
        <v>5</v>
      </c>
      <c r="F2526">
        <v>0</v>
      </c>
      <c r="G2526">
        <v>3</v>
      </c>
      <c r="H2526">
        <v>2</v>
      </c>
    </row>
    <row r="2527" spans="2:8">
      <c r="B2527" t="s">
        <v>25022</v>
      </c>
      <c r="C2527">
        <v>289</v>
      </c>
      <c r="D2527">
        <v>16</v>
      </c>
      <c r="E2527">
        <v>6</v>
      </c>
      <c r="F2527">
        <v>0</v>
      </c>
      <c r="G2527">
        <v>4</v>
      </c>
      <c r="H2527">
        <v>2</v>
      </c>
    </row>
    <row r="2528" spans="2:8">
      <c r="B2528" t="s">
        <v>25022</v>
      </c>
      <c r="C2528">
        <v>289</v>
      </c>
      <c r="D2528">
        <v>8</v>
      </c>
      <c r="E2528">
        <v>0</v>
      </c>
      <c r="F2528">
        <v>0</v>
      </c>
      <c r="G2528">
        <v>0</v>
      </c>
      <c r="H2528">
        <v>0</v>
      </c>
    </row>
    <row r="2529" spans="2:8">
      <c r="B2529" t="s">
        <v>25022</v>
      </c>
      <c r="C2529">
        <v>289</v>
      </c>
      <c r="D2529">
        <v>7</v>
      </c>
      <c r="E2529">
        <v>0</v>
      </c>
      <c r="F2529">
        <v>0</v>
      </c>
      <c r="G2529">
        <v>0</v>
      </c>
      <c r="H2529">
        <v>0</v>
      </c>
    </row>
    <row r="2530" spans="2:8">
      <c r="B2530" t="s">
        <v>25022</v>
      </c>
      <c r="C2530">
        <v>289</v>
      </c>
      <c r="D2530">
        <v>12</v>
      </c>
      <c r="E2530">
        <v>3</v>
      </c>
      <c r="F2530">
        <v>0</v>
      </c>
      <c r="G2530">
        <v>2</v>
      </c>
      <c r="H2530">
        <v>1</v>
      </c>
    </row>
    <row r="2531" spans="2:8">
      <c r="B2531" t="s">
        <v>25022</v>
      </c>
      <c r="C2531">
        <v>290</v>
      </c>
      <c r="D2531">
        <v>48</v>
      </c>
      <c r="E2531">
        <v>23</v>
      </c>
      <c r="F2531">
        <v>0</v>
      </c>
      <c r="G2531">
        <v>16</v>
      </c>
      <c r="H2531">
        <v>7</v>
      </c>
    </row>
    <row r="2532" spans="2:8">
      <c r="B2532" t="s">
        <v>25022</v>
      </c>
      <c r="C2532">
        <v>290</v>
      </c>
      <c r="D2532">
        <v>10</v>
      </c>
      <c r="E2532">
        <v>8</v>
      </c>
      <c r="F2532">
        <v>0</v>
      </c>
      <c r="G2532">
        <v>8</v>
      </c>
      <c r="H2532">
        <v>0</v>
      </c>
    </row>
    <row r="2533" spans="2:8">
      <c r="B2533" t="s">
        <v>25022</v>
      </c>
      <c r="C2533">
        <v>290</v>
      </c>
      <c r="D2533">
        <v>23</v>
      </c>
      <c r="E2533">
        <v>6</v>
      </c>
      <c r="F2533">
        <v>0</v>
      </c>
      <c r="G2533">
        <v>4</v>
      </c>
      <c r="H2533">
        <v>2</v>
      </c>
    </row>
    <row r="2534" spans="2:8">
      <c r="B2534" t="s">
        <v>25022</v>
      </c>
      <c r="C2534">
        <v>290</v>
      </c>
      <c r="D2534">
        <v>9</v>
      </c>
      <c r="E2534">
        <v>4</v>
      </c>
      <c r="F2534">
        <v>0</v>
      </c>
      <c r="G2534">
        <v>4</v>
      </c>
      <c r="H2534">
        <v>0</v>
      </c>
    </row>
    <row r="2535" spans="2:8">
      <c r="B2535" t="s">
        <v>25022</v>
      </c>
      <c r="C2535">
        <v>290</v>
      </c>
      <c r="D2535">
        <v>9</v>
      </c>
      <c r="E2535">
        <v>2</v>
      </c>
      <c r="F2535">
        <v>0</v>
      </c>
      <c r="G2535">
        <v>2</v>
      </c>
      <c r="H2535">
        <v>0</v>
      </c>
    </row>
    <row r="2536" spans="2:8">
      <c r="B2536" t="s">
        <v>25022</v>
      </c>
      <c r="C2536">
        <v>290</v>
      </c>
      <c r="D2536">
        <v>14</v>
      </c>
      <c r="E2536">
        <v>4</v>
      </c>
      <c r="F2536">
        <v>0</v>
      </c>
      <c r="G2536">
        <v>2</v>
      </c>
      <c r="H2536">
        <v>2</v>
      </c>
    </row>
    <row r="2537" spans="2:8">
      <c r="B2537" t="s">
        <v>25022</v>
      </c>
      <c r="C2537">
        <v>290</v>
      </c>
      <c r="D2537">
        <v>7</v>
      </c>
      <c r="E2537">
        <v>2</v>
      </c>
      <c r="F2537">
        <v>0</v>
      </c>
      <c r="G2537">
        <v>2</v>
      </c>
      <c r="H2537">
        <v>0</v>
      </c>
    </row>
    <row r="2538" spans="2:8">
      <c r="B2538" t="s">
        <v>25022</v>
      </c>
      <c r="C2538">
        <v>290</v>
      </c>
      <c r="D2538">
        <v>5</v>
      </c>
      <c r="E2538">
        <v>0</v>
      </c>
      <c r="F2538">
        <v>0</v>
      </c>
      <c r="G2538">
        <v>0</v>
      </c>
      <c r="H2538">
        <v>0</v>
      </c>
    </row>
    <row r="2539" spans="2:8">
      <c r="B2539" t="s">
        <v>25022</v>
      </c>
      <c r="C2539">
        <v>290</v>
      </c>
      <c r="D2539">
        <v>4</v>
      </c>
      <c r="E2539">
        <v>0</v>
      </c>
      <c r="F2539">
        <v>0</v>
      </c>
      <c r="G2539">
        <v>0</v>
      </c>
      <c r="H2539">
        <v>0</v>
      </c>
    </row>
    <row r="2540" spans="2:8">
      <c r="B2540" t="s">
        <v>25022</v>
      </c>
      <c r="C2540">
        <v>290</v>
      </c>
      <c r="D2540">
        <v>5</v>
      </c>
      <c r="E2540">
        <v>2</v>
      </c>
      <c r="F2540">
        <v>0</v>
      </c>
      <c r="G2540">
        <v>2</v>
      </c>
      <c r="H2540">
        <v>0</v>
      </c>
    </row>
    <row r="2541" spans="2:8">
      <c r="B2541" t="s">
        <v>25022</v>
      </c>
      <c r="C2541">
        <v>290</v>
      </c>
      <c r="D2541">
        <v>2</v>
      </c>
      <c r="E2541">
        <v>0</v>
      </c>
      <c r="F2541">
        <v>0</v>
      </c>
      <c r="G2541">
        <v>0</v>
      </c>
      <c r="H2541">
        <v>0</v>
      </c>
    </row>
    <row r="2542" spans="2:8">
      <c r="B2542" t="s">
        <v>25022</v>
      </c>
      <c r="C2542">
        <v>291</v>
      </c>
      <c r="D2542">
        <v>18</v>
      </c>
      <c r="E2542">
        <v>6</v>
      </c>
      <c r="F2542">
        <v>0</v>
      </c>
      <c r="G2542">
        <v>2</v>
      </c>
      <c r="H2542">
        <v>4</v>
      </c>
    </row>
    <row r="2543" spans="2:8">
      <c r="B2543" t="s">
        <v>25022</v>
      </c>
      <c r="C2543">
        <v>291</v>
      </c>
      <c r="D2543">
        <v>20</v>
      </c>
      <c r="E2543">
        <v>7</v>
      </c>
      <c r="F2543">
        <v>0</v>
      </c>
      <c r="G2543">
        <v>7</v>
      </c>
      <c r="H2543">
        <v>0</v>
      </c>
    </row>
    <row r="2544" spans="2:8">
      <c r="B2544" t="s">
        <v>25022</v>
      </c>
      <c r="C2544">
        <v>291</v>
      </c>
      <c r="D2544">
        <v>10</v>
      </c>
      <c r="E2544">
        <v>0</v>
      </c>
      <c r="F2544">
        <v>0</v>
      </c>
      <c r="G2544">
        <v>0</v>
      </c>
      <c r="H2544">
        <v>0</v>
      </c>
    </row>
    <row r="2545" spans="2:8">
      <c r="B2545" t="s">
        <v>25022</v>
      </c>
      <c r="C2545">
        <v>292</v>
      </c>
      <c r="D2545">
        <v>10</v>
      </c>
      <c r="E2545">
        <v>5</v>
      </c>
      <c r="F2545">
        <v>0</v>
      </c>
      <c r="G2545">
        <v>5</v>
      </c>
      <c r="H2545">
        <v>0</v>
      </c>
    </row>
    <row r="2546" spans="2:8">
      <c r="B2546" t="s">
        <v>25022</v>
      </c>
      <c r="C2546">
        <v>292</v>
      </c>
      <c r="D2546">
        <v>10</v>
      </c>
      <c r="E2546">
        <v>5</v>
      </c>
      <c r="F2546">
        <v>0</v>
      </c>
      <c r="G2546">
        <v>5</v>
      </c>
      <c r="H2546">
        <v>0</v>
      </c>
    </row>
    <row r="2547" spans="2:8">
      <c r="B2547" t="s">
        <v>25022</v>
      </c>
      <c r="C2547">
        <v>292</v>
      </c>
      <c r="D2547">
        <v>8</v>
      </c>
      <c r="E2547">
        <v>4</v>
      </c>
      <c r="F2547">
        <v>0</v>
      </c>
      <c r="G2547">
        <v>2</v>
      </c>
      <c r="H2547">
        <v>2</v>
      </c>
    </row>
    <row r="2548" spans="2:8">
      <c r="B2548" t="s">
        <v>25022</v>
      </c>
      <c r="C2548">
        <v>292</v>
      </c>
      <c r="D2548">
        <v>6</v>
      </c>
      <c r="E2548">
        <v>3</v>
      </c>
      <c r="F2548">
        <v>0</v>
      </c>
      <c r="G2548">
        <v>3</v>
      </c>
      <c r="H2548">
        <v>0</v>
      </c>
    </row>
    <row r="2549" spans="2:8">
      <c r="B2549" t="s">
        <v>25022</v>
      </c>
      <c r="C2549">
        <v>292</v>
      </c>
      <c r="D2549">
        <v>8</v>
      </c>
      <c r="E2549">
        <v>0</v>
      </c>
      <c r="F2549">
        <v>0</v>
      </c>
      <c r="G2549">
        <v>0</v>
      </c>
      <c r="H2549">
        <v>0</v>
      </c>
    </row>
    <row r="2550" spans="2:8">
      <c r="B2550" t="s">
        <v>25022</v>
      </c>
      <c r="C2550">
        <v>292</v>
      </c>
      <c r="D2550">
        <v>8</v>
      </c>
      <c r="E2550">
        <v>5</v>
      </c>
      <c r="F2550">
        <v>0</v>
      </c>
      <c r="G2550">
        <v>3</v>
      </c>
      <c r="H2550">
        <v>2</v>
      </c>
    </row>
    <row r="2551" spans="2:8">
      <c r="B2551" t="s">
        <v>25022</v>
      </c>
      <c r="C2551">
        <v>293</v>
      </c>
      <c r="D2551">
        <v>26</v>
      </c>
      <c r="E2551">
        <v>15</v>
      </c>
      <c r="F2551">
        <v>0</v>
      </c>
      <c r="G2551">
        <v>12</v>
      </c>
      <c r="H2551">
        <v>3</v>
      </c>
    </row>
    <row r="2552" spans="2:8">
      <c r="B2552" t="s">
        <v>25022</v>
      </c>
      <c r="C2552">
        <v>293</v>
      </c>
      <c r="D2552">
        <v>29</v>
      </c>
      <c r="E2552">
        <v>13</v>
      </c>
      <c r="F2552">
        <v>2</v>
      </c>
      <c r="G2552">
        <v>11</v>
      </c>
      <c r="H2552">
        <v>0</v>
      </c>
    </row>
    <row r="2553" spans="2:8">
      <c r="B2553" t="s">
        <v>25022</v>
      </c>
      <c r="C2553">
        <v>293</v>
      </c>
      <c r="D2553">
        <v>12</v>
      </c>
      <c r="E2553">
        <v>0</v>
      </c>
      <c r="F2553">
        <v>0</v>
      </c>
      <c r="G2553">
        <v>0</v>
      </c>
      <c r="H2553">
        <v>0</v>
      </c>
    </row>
    <row r="2554" spans="2:8">
      <c r="B2554" t="s">
        <v>25022</v>
      </c>
      <c r="C2554">
        <v>293</v>
      </c>
      <c r="D2554">
        <v>11</v>
      </c>
      <c r="E2554">
        <v>6</v>
      </c>
      <c r="F2554">
        <v>0</v>
      </c>
      <c r="G2554">
        <v>4</v>
      </c>
      <c r="H2554">
        <v>2</v>
      </c>
    </row>
    <row r="2555" spans="2:8">
      <c r="B2555" t="s">
        <v>25022</v>
      </c>
      <c r="C2555">
        <v>293</v>
      </c>
      <c r="D2555">
        <v>7</v>
      </c>
      <c r="E2555">
        <v>2</v>
      </c>
      <c r="F2555">
        <v>0</v>
      </c>
      <c r="G2555">
        <v>2</v>
      </c>
      <c r="H2555">
        <v>0</v>
      </c>
    </row>
    <row r="2556" spans="2:8">
      <c r="B2556" t="s">
        <v>25022</v>
      </c>
      <c r="C2556">
        <v>293</v>
      </c>
      <c r="D2556">
        <v>5</v>
      </c>
      <c r="E2556">
        <v>0</v>
      </c>
      <c r="F2556">
        <v>0</v>
      </c>
      <c r="G2556">
        <v>0</v>
      </c>
      <c r="H2556">
        <v>0</v>
      </c>
    </row>
    <row r="2557" spans="2:8">
      <c r="B2557" t="s">
        <v>25022</v>
      </c>
      <c r="C2557">
        <v>294</v>
      </c>
      <c r="D2557">
        <v>61</v>
      </c>
      <c r="E2557">
        <v>36</v>
      </c>
      <c r="F2557">
        <v>0</v>
      </c>
      <c r="G2557">
        <v>31</v>
      </c>
      <c r="H2557">
        <v>5</v>
      </c>
    </row>
    <row r="2558" spans="2:8">
      <c r="B2558" t="s">
        <v>25022</v>
      </c>
      <c r="C2558">
        <v>294</v>
      </c>
      <c r="D2558">
        <v>6</v>
      </c>
      <c r="E2558">
        <v>2</v>
      </c>
      <c r="F2558">
        <v>0</v>
      </c>
      <c r="G2558">
        <v>2</v>
      </c>
      <c r="H2558">
        <v>0</v>
      </c>
    </row>
    <row r="2559" spans="2:8">
      <c r="B2559" t="s">
        <v>25022</v>
      </c>
      <c r="C2559">
        <v>294</v>
      </c>
      <c r="D2559">
        <v>6</v>
      </c>
      <c r="E2559">
        <v>3</v>
      </c>
      <c r="F2559">
        <v>0</v>
      </c>
      <c r="G2559">
        <v>2</v>
      </c>
      <c r="H2559">
        <v>1</v>
      </c>
    </row>
    <row r="2560" spans="2:8">
      <c r="B2560" t="s">
        <v>25022</v>
      </c>
      <c r="C2560">
        <v>294</v>
      </c>
      <c r="D2560">
        <v>9</v>
      </c>
      <c r="E2560">
        <v>0</v>
      </c>
      <c r="F2560">
        <v>0</v>
      </c>
      <c r="G2560">
        <v>0</v>
      </c>
      <c r="H2560">
        <v>0</v>
      </c>
    </row>
    <row r="2561" spans="2:8">
      <c r="B2561" t="s">
        <v>25022</v>
      </c>
      <c r="C2561">
        <v>294</v>
      </c>
      <c r="D2561">
        <v>4</v>
      </c>
      <c r="E2561">
        <v>0</v>
      </c>
      <c r="F2561">
        <v>0</v>
      </c>
      <c r="G2561">
        <v>0</v>
      </c>
      <c r="H2561">
        <v>0</v>
      </c>
    </row>
    <row r="2562" spans="2:8">
      <c r="B2562" t="s">
        <v>25022</v>
      </c>
      <c r="C2562">
        <v>295</v>
      </c>
      <c r="D2562">
        <v>32</v>
      </c>
      <c r="E2562">
        <v>15</v>
      </c>
      <c r="F2562">
        <v>0</v>
      </c>
      <c r="G2562">
        <v>13</v>
      </c>
      <c r="H2562">
        <v>2</v>
      </c>
    </row>
    <row r="2563" spans="2:8">
      <c r="B2563" t="s">
        <v>25022</v>
      </c>
      <c r="C2563">
        <v>295</v>
      </c>
      <c r="D2563">
        <v>21</v>
      </c>
      <c r="E2563">
        <v>7</v>
      </c>
      <c r="F2563">
        <v>0</v>
      </c>
      <c r="G2563">
        <v>7</v>
      </c>
      <c r="H2563">
        <v>0</v>
      </c>
    </row>
    <row r="2564" spans="2:8">
      <c r="B2564" t="s">
        <v>25022</v>
      </c>
      <c r="C2564">
        <v>295</v>
      </c>
      <c r="D2564">
        <v>5</v>
      </c>
      <c r="E2564">
        <v>0</v>
      </c>
      <c r="F2564">
        <v>0</v>
      </c>
      <c r="G2564">
        <v>0</v>
      </c>
      <c r="H2564">
        <v>0</v>
      </c>
    </row>
    <row r="2565" spans="2:8">
      <c r="B2565" t="s">
        <v>25022</v>
      </c>
      <c r="C2565">
        <v>295</v>
      </c>
      <c r="D2565">
        <v>7</v>
      </c>
      <c r="E2565">
        <v>0</v>
      </c>
      <c r="F2565">
        <v>0</v>
      </c>
      <c r="G2565">
        <v>0</v>
      </c>
      <c r="H2565">
        <v>0</v>
      </c>
    </row>
    <row r="2566" spans="2:8">
      <c r="B2566" t="s">
        <v>25022</v>
      </c>
      <c r="C2566">
        <v>295</v>
      </c>
      <c r="D2566">
        <v>8</v>
      </c>
      <c r="E2566">
        <v>2</v>
      </c>
      <c r="F2566">
        <v>0</v>
      </c>
      <c r="G2566">
        <v>2</v>
      </c>
      <c r="H2566">
        <v>0</v>
      </c>
    </row>
    <row r="2567" spans="2:8">
      <c r="B2567" t="s">
        <v>25022</v>
      </c>
      <c r="C2567">
        <v>295</v>
      </c>
      <c r="D2567">
        <v>1</v>
      </c>
      <c r="E2567">
        <v>0</v>
      </c>
      <c r="F2567">
        <v>0</v>
      </c>
      <c r="G2567">
        <v>0</v>
      </c>
      <c r="H2567">
        <v>0</v>
      </c>
    </row>
    <row r="2568" spans="2:8">
      <c r="B2568" t="s">
        <v>25022</v>
      </c>
      <c r="C2568">
        <v>296</v>
      </c>
      <c r="D2568">
        <v>28</v>
      </c>
      <c r="E2568">
        <v>17</v>
      </c>
      <c r="F2568">
        <v>0</v>
      </c>
      <c r="G2568">
        <v>16</v>
      </c>
      <c r="H2568">
        <v>1</v>
      </c>
    </row>
    <row r="2569" spans="2:8">
      <c r="B2569" t="s">
        <v>25022</v>
      </c>
      <c r="C2569">
        <v>296</v>
      </c>
      <c r="D2569">
        <v>54</v>
      </c>
      <c r="E2569">
        <v>33</v>
      </c>
      <c r="F2569">
        <v>0</v>
      </c>
      <c r="G2569">
        <v>28</v>
      </c>
      <c r="H2569">
        <v>5</v>
      </c>
    </row>
    <row r="2570" spans="2:8">
      <c r="B2570" t="s">
        <v>25022</v>
      </c>
      <c r="C2570">
        <v>296</v>
      </c>
      <c r="D2570">
        <v>27</v>
      </c>
      <c r="E2570">
        <v>15</v>
      </c>
      <c r="F2570">
        <v>0</v>
      </c>
      <c r="G2570">
        <v>15</v>
      </c>
      <c r="H2570">
        <v>0</v>
      </c>
    </row>
    <row r="2571" spans="2:8">
      <c r="B2571" t="s">
        <v>25022</v>
      </c>
      <c r="C2571">
        <v>296</v>
      </c>
      <c r="D2571">
        <v>8</v>
      </c>
      <c r="E2571">
        <v>0</v>
      </c>
      <c r="F2571">
        <v>0</v>
      </c>
      <c r="G2571">
        <v>0</v>
      </c>
      <c r="H2571">
        <v>0</v>
      </c>
    </row>
    <row r="2572" spans="2:8">
      <c r="B2572" t="s">
        <v>25022</v>
      </c>
      <c r="C2572">
        <v>296</v>
      </c>
      <c r="D2572">
        <v>7</v>
      </c>
      <c r="E2572">
        <v>0</v>
      </c>
      <c r="F2572">
        <v>0</v>
      </c>
      <c r="G2572">
        <v>0</v>
      </c>
      <c r="H2572">
        <v>0</v>
      </c>
    </row>
    <row r="2573" spans="2:8">
      <c r="B2573" t="s">
        <v>25022</v>
      </c>
      <c r="C2573">
        <v>296</v>
      </c>
      <c r="D2573">
        <v>25</v>
      </c>
      <c r="E2573">
        <v>15</v>
      </c>
      <c r="F2573">
        <v>0</v>
      </c>
      <c r="G2573">
        <v>13</v>
      </c>
      <c r="H2573">
        <v>2</v>
      </c>
    </row>
    <row r="2574" spans="2:8">
      <c r="B2574" t="s">
        <v>25022</v>
      </c>
      <c r="C2574">
        <v>296</v>
      </c>
      <c r="D2574">
        <v>13</v>
      </c>
      <c r="E2574">
        <v>5</v>
      </c>
      <c r="F2574">
        <v>0</v>
      </c>
      <c r="G2574">
        <v>5</v>
      </c>
      <c r="H2574">
        <v>0</v>
      </c>
    </row>
    <row r="2575" spans="2:8">
      <c r="B2575" t="s">
        <v>25022</v>
      </c>
      <c r="C2575">
        <v>296</v>
      </c>
      <c r="D2575">
        <v>6</v>
      </c>
      <c r="E2575">
        <v>0</v>
      </c>
      <c r="F2575">
        <v>0</v>
      </c>
      <c r="G2575">
        <v>0</v>
      </c>
      <c r="H2575">
        <v>0</v>
      </c>
    </row>
    <row r="2576" spans="2:8">
      <c r="B2576" t="s">
        <v>25022</v>
      </c>
      <c r="C2576">
        <v>296</v>
      </c>
      <c r="D2576">
        <v>1</v>
      </c>
      <c r="E2576">
        <v>0</v>
      </c>
      <c r="F2576">
        <v>0</v>
      </c>
      <c r="G2576">
        <v>0</v>
      </c>
      <c r="H2576">
        <v>0</v>
      </c>
    </row>
    <row r="2577" spans="2:8">
      <c r="B2577" t="s">
        <v>25022</v>
      </c>
      <c r="C2577">
        <v>297</v>
      </c>
      <c r="D2577">
        <v>12</v>
      </c>
      <c r="E2577">
        <v>0</v>
      </c>
      <c r="F2577">
        <v>0</v>
      </c>
      <c r="G2577">
        <v>0</v>
      </c>
      <c r="H2577">
        <v>0</v>
      </c>
    </row>
    <row r="2578" spans="2:8">
      <c r="B2578" t="s">
        <v>25022</v>
      </c>
      <c r="C2578">
        <v>297</v>
      </c>
      <c r="D2578">
        <v>17</v>
      </c>
      <c r="E2578">
        <v>7</v>
      </c>
      <c r="F2578">
        <v>0</v>
      </c>
      <c r="G2578">
        <v>7</v>
      </c>
      <c r="H2578">
        <v>0</v>
      </c>
    </row>
    <row r="2579" spans="2:8">
      <c r="B2579" t="s">
        <v>25022</v>
      </c>
      <c r="C2579">
        <v>297</v>
      </c>
      <c r="D2579">
        <v>18</v>
      </c>
      <c r="E2579">
        <v>6</v>
      </c>
      <c r="F2579">
        <v>0</v>
      </c>
      <c r="G2579">
        <v>6</v>
      </c>
      <c r="H2579">
        <v>0</v>
      </c>
    </row>
    <row r="2580" spans="2:8">
      <c r="B2580" t="s">
        <v>25022</v>
      </c>
      <c r="C2580">
        <v>297</v>
      </c>
      <c r="D2580">
        <v>24</v>
      </c>
      <c r="E2580">
        <v>7</v>
      </c>
      <c r="F2580">
        <v>0</v>
      </c>
      <c r="G2580">
        <v>7</v>
      </c>
      <c r="H2580">
        <v>0</v>
      </c>
    </row>
    <row r="2581" spans="2:8">
      <c r="B2581" t="s">
        <v>25022</v>
      </c>
      <c r="C2581">
        <v>297</v>
      </c>
      <c r="D2581">
        <v>27</v>
      </c>
      <c r="E2581">
        <v>16</v>
      </c>
      <c r="F2581">
        <v>0</v>
      </c>
      <c r="G2581">
        <v>12</v>
      </c>
      <c r="H2581">
        <v>4</v>
      </c>
    </row>
    <row r="2582" spans="2:8">
      <c r="B2582" t="s">
        <v>25022</v>
      </c>
      <c r="C2582">
        <v>297</v>
      </c>
      <c r="D2582">
        <v>37</v>
      </c>
      <c r="E2582">
        <v>12</v>
      </c>
      <c r="F2582">
        <v>0</v>
      </c>
      <c r="G2582">
        <v>10</v>
      </c>
      <c r="H2582">
        <v>2</v>
      </c>
    </row>
    <row r="2583" spans="2:8">
      <c r="B2583" t="s">
        <v>25022</v>
      </c>
      <c r="C2583">
        <v>297</v>
      </c>
      <c r="D2583">
        <v>21</v>
      </c>
      <c r="E2583">
        <v>10</v>
      </c>
      <c r="F2583">
        <v>0</v>
      </c>
      <c r="G2583">
        <v>9</v>
      </c>
      <c r="H2583">
        <v>1</v>
      </c>
    </row>
    <row r="2584" spans="2:8">
      <c r="B2584" t="s">
        <v>25022</v>
      </c>
      <c r="C2584">
        <v>297</v>
      </c>
      <c r="D2584">
        <v>11</v>
      </c>
      <c r="E2584">
        <v>9</v>
      </c>
      <c r="F2584">
        <v>0</v>
      </c>
      <c r="G2584">
        <v>7</v>
      </c>
      <c r="H2584">
        <v>2</v>
      </c>
    </row>
    <row r="2585" spans="2:8">
      <c r="B2585" t="s">
        <v>25022</v>
      </c>
      <c r="C2585">
        <v>297</v>
      </c>
      <c r="D2585">
        <v>18</v>
      </c>
      <c r="E2585">
        <v>7</v>
      </c>
      <c r="F2585">
        <v>0</v>
      </c>
      <c r="G2585">
        <v>7</v>
      </c>
      <c r="H2585">
        <v>0</v>
      </c>
    </row>
    <row r="2586" spans="2:8">
      <c r="B2586" t="s">
        <v>25022</v>
      </c>
      <c r="C2586">
        <v>297</v>
      </c>
      <c r="D2586">
        <v>13</v>
      </c>
      <c r="E2586">
        <v>4</v>
      </c>
      <c r="F2586">
        <v>0</v>
      </c>
      <c r="G2586">
        <v>2</v>
      </c>
      <c r="H2586">
        <v>2</v>
      </c>
    </row>
    <row r="2587" spans="2:8">
      <c r="B2587" t="s">
        <v>25022</v>
      </c>
      <c r="C2587">
        <v>297</v>
      </c>
      <c r="D2587">
        <v>10</v>
      </c>
      <c r="E2587">
        <v>3</v>
      </c>
      <c r="F2587">
        <v>0</v>
      </c>
      <c r="G2587">
        <v>3</v>
      </c>
      <c r="H2587">
        <v>0</v>
      </c>
    </row>
    <row r="2588" spans="2:8">
      <c r="B2588" t="s">
        <v>25022</v>
      </c>
      <c r="C2588">
        <v>297</v>
      </c>
      <c r="D2588">
        <v>3</v>
      </c>
      <c r="E2588">
        <v>0</v>
      </c>
      <c r="F2588">
        <v>0</v>
      </c>
      <c r="G2588">
        <v>0</v>
      </c>
      <c r="H2588">
        <v>0</v>
      </c>
    </row>
    <row r="2589" spans="2:8">
      <c r="B2589" t="s">
        <v>25022</v>
      </c>
      <c r="C2589">
        <v>298</v>
      </c>
      <c r="D2589">
        <v>11</v>
      </c>
      <c r="E2589">
        <v>4</v>
      </c>
      <c r="F2589">
        <v>0</v>
      </c>
      <c r="G2589">
        <v>4</v>
      </c>
      <c r="H2589">
        <v>0</v>
      </c>
    </row>
    <row r="2590" spans="2:8">
      <c r="B2590" t="s">
        <v>25022</v>
      </c>
      <c r="C2590">
        <v>298</v>
      </c>
      <c r="D2590">
        <v>15</v>
      </c>
      <c r="E2590">
        <v>4</v>
      </c>
      <c r="F2590">
        <v>0</v>
      </c>
      <c r="G2590">
        <v>4</v>
      </c>
      <c r="H2590">
        <v>0</v>
      </c>
    </row>
    <row r="2591" spans="2:8">
      <c r="B2591" t="s">
        <v>25022</v>
      </c>
      <c r="C2591">
        <v>298</v>
      </c>
      <c r="D2591">
        <v>17</v>
      </c>
      <c r="E2591">
        <v>7</v>
      </c>
      <c r="F2591">
        <v>0</v>
      </c>
      <c r="G2591">
        <v>4</v>
      </c>
      <c r="H2591">
        <v>3</v>
      </c>
    </row>
    <row r="2592" spans="2:8">
      <c r="B2592" t="s">
        <v>25022</v>
      </c>
      <c r="C2592">
        <v>298</v>
      </c>
      <c r="D2592">
        <v>11</v>
      </c>
      <c r="E2592">
        <v>5</v>
      </c>
      <c r="F2592">
        <v>0</v>
      </c>
      <c r="G2592">
        <v>5</v>
      </c>
      <c r="H2592">
        <v>0</v>
      </c>
    </row>
    <row r="2593" spans="2:8">
      <c r="B2593" t="s">
        <v>25022</v>
      </c>
      <c r="C2593">
        <v>298</v>
      </c>
      <c r="D2593">
        <v>10</v>
      </c>
      <c r="E2593">
        <v>2</v>
      </c>
      <c r="F2593">
        <v>0</v>
      </c>
      <c r="G2593">
        <v>2</v>
      </c>
      <c r="H2593">
        <v>0</v>
      </c>
    </row>
    <row r="2594" spans="2:8">
      <c r="B2594" t="s">
        <v>25022</v>
      </c>
      <c r="C2594">
        <v>298</v>
      </c>
      <c r="D2594">
        <v>6</v>
      </c>
      <c r="E2594">
        <v>2</v>
      </c>
      <c r="F2594">
        <v>0</v>
      </c>
      <c r="G2594">
        <v>0</v>
      </c>
      <c r="H2594">
        <v>2</v>
      </c>
    </row>
    <row r="2595" spans="2:8">
      <c r="B2595" t="s">
        <v>25022</v>
      </c>
      <c r="C2595">
        <v>298</v>
      </c>
      <c r="D2595">
        <v>18</v>
      </c>
      <c r="E2595">
        <v>8</v>
      </c>
      <c r="F2595">
        <v>0</v>
      </c>
      <c r="G2595">
        <v>6</v>
      </c>
      <c r="H2595">
        <v>2</v>
      </c>
    </row>
    <row r="2596" spans="2:8">
      <c r="B2596" t="s">
        <v>25022</v>
      </c>
      <c r="C2596">
        <v>298</v>
      </c>
      <c r="D2596">
        <v>12</v>
      </c>
      <c r="E2596">
        <v>2</v>
      </c>
      <c r="F2596">
        <v>0</v>
      </c>
      <c r="G2596">
        <v>2</v>
      </c>
      <c r="H2596">
        <v>0</v>
      </c>
    </row>
    <row r="2597" spans="2:8">
      <c r="B2597" t="s">
        <v>25022</v>
      </c>
      <c r="C2597">
        <v>298</v>
      </c>
      <c r="D2597">
        <v>2</v>
      </c>
      <c r="E2597">
        <v>0</v>
      </c>
      <c r="F2597">
        <v>0</v>
      </c>
      <c r="G2597">
        <v>0</v>
      </c>
      <c r="H2597">
        <v>0</v>
      </c>
    </row>
    <row r="2598" spans="2:8">
      <c r="B2598" t="s">
        <v>25022</v>
      </c>
      <c r="C2598">
        <v>299</v>
      </c>
      <c r="D2598">
        <v>54</v>
      </c>
      <c r="E2598">
        <v>22</v>
      </c>
      <c r="F2598">
        <v>0</v>
      </c>
      <c r="G2598">
        <v>19</v>
      </c>
      <c r="H2598">
        <v>3</v>
      </c>
    </row>
    <row r="2599" spans="2:8">
      <c r="B2599" t="s">
        <v>25022</v>
      </c>
      <c r="C2599">
        <v>299</v>
      </c>
      <c r="D2599">
        <v>28</v>
      </c>
      <c r="E2599">
        <v>15</v>
      </c>
      <c r="F2599">
        <v>0</v>
      </c>
      <c r="G2599">
        <v>11</v>
      </c>
      <c r="H2599">
        <v>4</v>
      </c>
    </row>
    <row r="2600" spans="2:8">
      <c r="B2600" t="s">
        <v>25022</v>
      </c>
      <c r="C2600">
        <v>299</v>
      </c>
      <c r="D2600">
        <v>54</v>
      </c>
      <c r="E2600">
        <v>26</v>
      </c>
      <c r="F2600">
        <v>0</v>
      </c>
      <c r="G2600">
        <v>21</v>
      </c>
      <c r="H2600">
        <v>5</v>
      </c>
    </row>
    <row r="2601" spans="2:8">
      <c r="B2601" t="s">
        <v>25022</v>
      </c>
      <c r="C2601">
        <v>299</v>
      </c>
      <c r="D2601">
        <v>21</v>
      </c>
      <c r="E2601">
        <v>4</v>
      </c>
      <c r="F2601">
        <v>0</v>
      </c>
      <c r="G2601">
        <v>2</v>
      </c>
      <c r="H2601">
        <v>2</v>
      </c>
    </row>
    <row r="2602" spans="2:8">
      <c r="B2602" t="s">
        <v>25022</v>
      </c>
      <c r="C2602">
        <v>299</v>
      </c>
      <c r="D2602">
        <v>21</v>
      </c>
      <c r="E2602">
        <v>12</v>
      </c>
      <c r="F2602">
        <v>0</v>
      </c>
      <c r="G2602">
        <v>12</v>
      </c>
      <c r="H2602">
        <v>0</v>
      </c>
    </row>
    <row r="2603" spans="2:8">
      <c r="B2603" t="s">
        <v>25022</v>
      </c>
      <c r="C2603">
        <v>299</v>
      </c>
      <c r="D2603">
        <v>11</v>
      </c>
      <c r="E2603">
        <v>4</v>
      </c>
      <c r="F2603">
        <v>0</v>
      </c>
      <c r="G2603">
        <v>4</v>
      </c>
      <c r="H2603">
        <v>0</v>
      </c>
    </row>
    <row r="2604" spans="2:8">
      <c r="B2604" t="s">
        <v>25022</v>
      </c>
      <c r="C2604">
        <v>300</v>
      </c>
      <c r="D2604">
        <v>9</v>
      </c>
      <c r="E2604">
        <v>4</v>
      </c>
      <c r="F2604">
        <v>0</v>
      </c>
      <c r="G2604">
        <v>4</v>
      </c>
      <c r="H2604">
        <v>0</v>
      </c>
    </row>
    <row r="2605" spans="2:8">
      <c r="B2605" t="s">
        <v>25022</v>
      </c>
      <c r="C2605">
        <v>300</v>
      </c>
      <c r="D2605">
        <v>30</v>
      </c>
      <c r="E2605">
        <v>16</v>
      </c>
      <c r="F2605">
        <v>0</v>
      </c>
      <c r="G2605">
        <v>16</v>
      </c>
      <c r="H2605">
        <v>0</v>
      </c>
    </row>
    <row r="2606" spans="2:8">
      <c r="B2606" t="s">
        <v>25022</v>
      </c>
      <c r="C2606">
        <v>300</v>
      </c>
      <c r="D2606">
        <v>23</v>
      </c>
      <c r="E2606">
        <v>9</v>
      </c>
      <c r="F2606">
        <v>0</v>
      </c>
      <c r="G2606">
        <v>9</v>
      </c>
      <c r="H2606">
        <v>0</v>
      </c>
    </row>
    <row r="2607" spans="2:8">
      <c r="B2607" t="s">
        <v>25022</v>
      </c>
      <c r="C2607">
        <v>300</v>
      </c>
      <c r="D2607">
        <v>18</v>
      </c>
      <c r="E2607">
        <v>4</v>
      </c>
      <c r="F2607">
        <v>0</v>
      </c>
      <c r="G2607">
        <v>4</v>
      </c>
      <c r="H2607">
        <v>0</v>
      </c>
    </row>
    <row r="2608" spans="2:8">
      <c r="B2608" t="s">
        <v>25022</v>
      </c>
      <c r="C2608">
        <v>300</v>
      </c>
      <c r="D2608">
        <v>10</v>
      </c>
      <c r="E2608">
        <v>5</v>
      </c>
      <c r="F2608">
        <v>0</v>
      </c>
      <c r="G2608">
        <v>3</v>
      </c>
      <c r="H2608">
        <v>2</v>
      </c>
    </row>
    <row r="2609" spans="2:8">
      <c r="B2609" t="s">
        <v>25022</v>
      </c>
      <c r="C2609">
        <v>300</v>
      </c>
      <c r="D2609">
        <v>5</v>
      </c>
      <c r="E2609">
        <v>0</v>
      </c>
      <c r="F2609">
        <v>0</v>
      </c>
      <c r="G2609">
        <v>0</v>
      </c>
      <c r="H2609">
        <v>0</v>
      </c>
    </row>
    <row r="2610" spans="2:8">
      <c r="B2610" t="s">
        <v>25022</v>
      </c>
      <c r="C2610">
        <v>300</v>
      </c>
      <c r="D2610">
        <v>1</v>
      </c>
      <c r="E2610">
        <v>0</v>
      </c>
      <c r="F2610">
        <v>0</v>
      </c>
      <c r="G2610">
        <v>0</v>
      </c>
      <c r="H2610">
        <v>0</v>
      </c>
    </row>
    <row r="2611" spans="2:8">
      <c r="B2611" t="s">
        <v>25022</v>
      </c>
      <c r="C2611">
        <v>300</v>
      </c>
      <c r="D2611">
        <v>3</v>
      </c>
      <c r="E2611">
        <v>0</v>
      </c>
      <c r="F2611">
        <v>0</v>
      </c>
      <c r="G2611">
        <v>0</v>
      </c>
      <c r="H2611">
        <v>0</v>
      </c>
    </row>
    <row r="2612" spans="2:8">
      <c r="B2612" t="s">
        <v>25022</v>
      </c>
      <c r="C2612">
        <v>301</v>
      </c>
      <c r="D2612">
        <v>31</v>
      </c>
      <c r="E2612">
        <v>19</v>
      </c>
      <c r="F2612">
        <v>0</v>
      </c>
      <c r="G2612">
        <v>19</v>
      </c>
      <c r="H2612">
        <v>0</v>
      </c>
    </row>
    <row r="2613" spans="2:8">
      <c r="B2613" t="s">
        <v>25022</v>
      </c>
      <c r="C2613">
        <v>301</v>
      </c>
      <c r="D2613">
        <v>18</v>
      </c>
      <c r="E2613">
        <v>8</v>
      </c>
      <c r="F2613">
        <v>0</v>
      </c>
      <c r="G2613">
        <v>8</v>
      </c>
      <c r="H2613">
        <v>0</v>
      </c>
    </row>
    <row r="2614" spans="2:8">
      <c r="B2614" t="s">
        <v>25022</v>
      </c>
      <c r="C2614">
        <v>301</v>
      </c>
      <c r="D2614">
        <v>14</v>
      </c>
      <c r="E2614">
        <v>2</v>
      </c>
      <c r="F2614">
        <v>0</v>
      </c>
      <c r="G2614">
        <v>2</v>
      </c>
      <c r="H2614">
        <v>0</v>
      </c>
    </row>
    <row r="2615" spans="2:8">
      <c r="B2615" t="s">
        <v>25022</v>
      </c>
      <c r="C2615">
        <v>301</v>
      </c>
      <c r="D2615">
        <v>15</v>
      </c>
      <c r="E2615">
        <v>4</v>
      </c>
      <c r="F2615">
        <v>0</v>
      </c>
      <c r="G2615">
        <v>4</v>
      </c>
      <c r="H2615">
        <v>0</v>
      </c>
    </row>
    <row r="2616" spans="2:8">
      <c r="B2616" t="s">
        <v>25022</v>
      </c>
      <c r="C2616">
        <v>301</v>
      </c>
      <c r="D2616">
        <v>6</v>
      </c>
      <c r="E2616">
        <v>4</v>
      </c>
      <c r="F2616">
        <v>0</v>
      </c>
      <c r="G2616">
        <v>0</v>
      </c>
      <c r="H2616">
        <v>4</v>
      </c>
    </row>
    <row r="2617" spans="2:8">
      <c r="B2617" t="s">
        <v>25022</v>
      </c>
      <c r="C2617">
        <v>302</v>
      </c>
      <c r="D2617">
        <v>23</v>
      </c>
      <c r="E2617">
        <v>10</v>
      </c>
      <c r="F2617">
        <v>0</v>
      </c>
      <c r="G2617">
        <v>8</v>
      </c>
      <c r="H2617">
        <v>2</v>
      </c>
    </row>
    <row r="2618" spans="2:8">
      <c r="B2618" t="s">
        <v>25022</v>
      </c>
      <c r="C2618">
        <v>303</v>
      </c>
      <c r="D2618">
        <v>31</v>
      </c>
      <c r="E2618">
        <v>17</v>
      </c>
      <c r="F2618">
        <v>2</v>
      </c>
      <c r="G2618">
        <v>10</v>
      </c>
      <c r="H2618">
        <v>5</v>
      </c>
    </row>
    <row r="2619" spans="2:8">
      <c r="B2619" t="s">
        <v>25022</v>
      </c>
      <c r="C2619">
        <v>303</v>
      </c>
      <c r="D2619">
        <v>34</v>
      </c>
      <c r="E2619">
        <v>10</v>
      </c>
      <c r="F2619">
        <v>0</v>
      </c>
      <c r="G2619">
        <v>10</v>
      </c>
      <c r="H2619">
        <v>0</v>
      </c>
    </row>
    <row r="2620" spans="2:8">
      <c r="B2620" t="s">
        <v>25022</v>
      </c>
      <c r="C2620">
        <v>303</v>
      </c>
      <c r="D2620">
        <v>16</v>
      </c>
      <c r="E2620">
        <v>0</v>
      </c>
      <c r="F2620">
        <v>0</v>
      </c>
      <c r="G2620">
        <v>0</v>
      </c>
      <c r="H2620">
        <v>0</v>
      </c>
    </row>
    <row r="2621" spans="2:8">
      <c r="B2621" t="s">
        <v>25022</v>
      </c>
      <c r="C2621">
        <v>303</v>
      </c>
      <c r="D2621">
        <v>17</v>
      </c>
      <c r="E2621">
        <v>8</v>
      </c>
      <c r="F2621">
        <v>0</v>
      </c>
      <c r="G2621">
        <v>8</v>
      </c>
      <c r="H2621">
        <v>0</v>
      </c>
    </row>
    <row r="2622" spans="2:8">
      <c r="B2622" t="s">
        <v>25022</v>
      </c>
      <c r="C2622">
        <v>303</v>
      </c>
      <c r="D2622">
        <v>21</v>
      </c>
      <c r="E2622">
        <v>4</v>
      </c>
      <c r="F2622">
        <v>0</v>
      </c>
      <c r="G2622">
        <v>4</v>
      </c>
      <c r="H2622">
        <v>0</v>
      </c>
    </row>
    <row r="2623" spans="2:8">
      <c r="B2623" t="s">
        <v>25022</v>
      </c>
      <c r="C2623">
        <v>303</v>
      </c>
      <c r="D2623">
        <v>4</v>
      </c>
      <c r="E2623">
        <v>0</v>
      </c>
      <c r="F2623">
        <v>0</v>
      </c>
      <c r="G2623">
        <v>0</v>
      </c>
      <c r="H2623">
        <v>0</v>
      </c>
    </row>
    <row r="2624" spans="2:8">
      <c r="B2624" t="s">
        <v>25022</v>
      </c>
      <c r="C2624">
        <v>303</v>
      </c>
      <c r="D2624">
        <v>15</v>
      </c>
      <c r="E2624">
        <v>3</v>
      </c>
      <c r="F2624">
        <v>0</v>
      </c>
      <c r="G2624">
        <v>0</v>
      </c>
      <c r="H2624">
        <v>3</v>
      </c>
    </row>
    <row r="2625" spans="2:8">
      <c r="B2625" t="s">
        <v>25022</v>
      </c>
      <c r="C2625">
        <v>303</v>
      </c>
      <c r="D2625">
        <v>18</v>
      </c>
      <c r="E2625">
        <v>9</v>
      </c>
      <c r="F2625">
        <v>0</v>
      </c>
      <c r="G2625">
        <v>9</v>
      </c>
      <c r="H2625">
        <v>0</v>
      </c>
    </row>
    <row r="2626" spans="2:8">
      <c r="B2626" t="s">
        <v>25022</v>
      </c>
      <c r="C2626">
        <v>303</v>
      </c>
      <c r="D2626">
        <v>9</v>
      </c>
      <c r="E2626">
        <v>2</v>
      </c>
      <c r="F2626">
        <v>0</v>
      </c>
      <c r="G2626">
        <v>2</v>
      </c>
      <c r="H2626">
        <v>0</v>
      </c>
    </row>
    <row r="2627" spans="2:8">
      <c r="B2627" t="s">
        <v>25022</v>
      </c>
      <c r="C2627">
        <v>303</v>
      </c>
      <c r="D2627">
        <v>14</v>
      </c>
      <c r="E2627">
        <v>3</v>
      </c>
      <c r="F2627">
        <v>0</v>
      </c>
      <c r="G2627">
        <v>3</v>
      </c>
      <c r="H2627">
        <v>0</v>
      </c>
    </row>
    <row r="2628" spans="2:8">
      <c r="B2628" t="s">
        <v>25022</v>
      </c>
      <c r="C2628">
        <v>303</v>
      </c>
      <c r="D2628">
        <v>5</v>
      </c>
      <c r="E2628">
        <v>0</v>
      </c>
      <c r="F2628">
        <v>0</v>
      </c>
      <c r="G2628">
        <v>0</v>
      </c>
      <c r="H2628">
        <v>0</v>
      </c>
    </row>
    <row r="2629" spans="2:8">
      <c r="B2629" t="s">
        <v>25022</v>
      </c>
      <c r="C2629">
        <v>303</v>
      </c>
      <c r="D2629">
        <v>6</v>
      </c>
      <c r="E2629">
        <v>0</v>
      </c>
      <c r="F2629">
        <v>0</v>
      </c>
      <c r="G2629">
        <v>0</v>
      </c>
      <c r="H2629">
        <v>0</v>
      </c>
    </row>
    <row r="2630" spans="2:8">
      <c r="B2630" t="s">
        <v>25022</v>
      </c>
      <c r="C2630">
        <v>304</v>
      </c>
      <c r="D2630">
        <v>28</v>
      </c>
      <c r="E2630">
        <v>13</v>
      </c>
      <c r="F2630">
        <v>0</v>
      </c>
      <c r="G2630">
        <v>10</v>
      </c>
      <c r="H2630">
        <v>3</v>
      </c>
    </row>
    <row r="2631" spans="2:8">
      <c r="B2631" t="s">
        <v>25022</v>
      </c>
      <c r="C2631">
        <v>304</v>
      </c>
      <c r="D2631">
        <v>17</v>
      </c>
      <c r="E2631">
        <v>4</v>
      </c>
      <c r="F2631">
        <v>0</v>
      </c>
      <c r="G2631">
        <v>2</v>
      </c>
      <c r="H2631">
        <v>2</v>
      </c>
    </row>
    <row r="2632" spans="2:8">
      <c r="B2632" t="s">
        <v>25022</v>
      </c>
      <c r="C2632">
        <v>304</v>
      </c>
      <c r="D2632">
        <v>18</v>
      </c>
      <c r="E2632">
        <v>7</v>
      </c>
      <c r="F2632">
        <v>0</v>
      </c>
      <c r="G2632">
        <v>3</v>
      </c>
      <c r="H2632">
        <v>4</v>
      </c>
    </row>
    <row r="2633" spans="2:8">
      <c r="B2633" t="s">
        <v>25022</v>
      </c>
      <c r="C2633">
        <v>304</v>
      </c>
      <c r="D2633">
        <v>6</v>
      </c>
      <c r="E2633">
        <v>0</v>
      </c>
      <c r="F2633">
        <v>0</v>
      </c>
      <c r="G2633">
        <v>0</v>
      </c>
      <c r="H2633">
        <v>0</v>
      </c>
    </row>
    <row r="2634" spans="2:8">
      <c r="B2634" t="s">
        <v>25022</v>
      </c>
      <c r="C2634">
        <v>304</v>
      </c>
      <c r="D2634">
        <v>10</v>
      </c>
      <c r="E2634">
        <v>2</v>
      </c>
      <c r="F2634">
        <v>0</v>
      </c>
      <c r="G2634">
        <v>2</v>
      </c>
      <c r="H2634">
        <v>0</v>
      </c>
    </row>
    <row r="2635" spans="2:8">
      <c r="B2635" t="s">
        <v>25022</v>
      </c>
      <c r="C2635">
        <v>305</v>
      </c>
      <c r="D2635">
        <v>28</v>
      </c>
      <c r="E2635">
        <v>11</v>
      </c>
      <c r="F2635">
        <v>0</v>
      </c>
      <c r="G2635">
        <v>7</v>
      </c>
      <c r="H2635">
        <v>4</v>
      </c>
    </row>
    <row r="2636" spans="2:8">
      <c r="B2636" t="s">
        <v>25022</v>
      </c>
      <c r="C2636">
        <v>305</v>
      </c>
      <c r="D2636">
        <v>16</v>
      </c>
      <c r="E2636">
        <v>6</v>
      </c>
      <c r="F2636">
        <v>0</v>
      </c>
      <c r="G2636">
        <v>6</v>
      </c>
      <c r="H2636">
        <v>0</v>
      </c>
    </row>
    <row r="2637" spans="2:8">
      <c r="B2637" t="s">
        <v>25022</v>
      </c>
      <c r="C2637">
        <v>305</v>
      </c>
      <c r="D2637">
        <v>9</v>
      </c>
      <c r="E2637">
        <v>0</v>
      </c>
      <c r="F2637">
        <v>0</v>
      </c>
      <c r="G2637">
        <v>0</v>
      </c>
      <c r="H2637">
        <v>0</v>
      </c>
    </row>
    <row r="2638" spans="2:8">
      <c r="B2638" t="s">
        <v>25022</v>
      </c>
      <c r="C2638">
        <v>305</v>
      </c>
      <c r="D2638">
        <v>7</v>
      </c>
      <c r="E2638">
        <v>2</v>
      </c>
      <c r="F2638">
        <v>0</v>
      </c>
      <c r="G2638">
        <v>2</v>
      </c>
      <c r="H2638">
        <v>0</v>
      </c>
    </row>
    <row r="2639" spans="2:8">
      <c r="B2639" t="s">
        <v>25022</v>
      </c>
      <c r="C2639">
        <v>305</v>
      </c>
      <c r="D2639">
        <v>5</v>
      </c>
      <c r="E2639">
        <v>2</v>
      </c>
      <c r="F2639">
        <v>0</v>
      </c>
      <c r="G2639">
        <v>2</v>
      </c>
      <c r="H2639">
        <v>0</v>
      </c>
    </row>
    <row r="2640" spans="2:8">
      <c r="B2640" t="s">
        <v>25022</v>
      </c>
      <c r="C2640">
        <v>305</v>
      </c>
      <c r="D2640">
        <v>7</v>
      </c>
      <c r="E2640">
        <v>0</v>
      </c>
      <c r="F2640">
        <v>0</v>
      </c>
      <c r="G2640">
        <v>0</v>
      </c>
      <c r="H2640">
        <v>0</v>
      </c>
    </row>
    <row r="2641" spans="2:8">
      <c r="B2641" t="s">
        <v>25022</v>
      </c>
      <c r="C2641">
        <v>306</v>
      </c>
      <c r="D2641">
        <v>18</v>
      </c>
      <c r="E2641">
        <v>2</v>
      </c>
      <c r="F2641">
        <v>0</v>
      </c>
      <c r="G2641">
        <v>2</v>
      </c>
      <c r="H2641">
        <v>0</v>
      </c>
    </row>
    <row r="2642" spans="2:8">
      <c r="B2642" t="s">
        <v>25022</v>
      </c>
      <c r="C2642">
        <v>306</v>
      </c>
      <c r="D2642">
        <v>29</v>
      </c>
      <c r="E2642">
        <v>22</v>
      </c>
      <c r="F2642">
        <v>0</v>
      </c>
      <c r="G2642">
        <v>21</v>
      </c>
      <c r="H2642">
        <v>1</v>
      </c>
    </row>
    <row r="2643" spans="2:8">
      <c r="B2643" t="s">
        <v>25022</v>
      </c>
      <c r="C2643">
        <v>306</v>
      </c>
      <c r="D2643">
        <v>35</v>
      </c>
      <c r="E2643">
        <v>17</v>
      </c>
      <c r="F2643">
        <v>0</v>
      </c>
      <c r="G2643">
        <v>14</v>
      </c>
      <c r="H2643">
        <v>3</v>
      </c>
    </row>
    <row r="2644" spans="2:8">
      <c r="B2644" t="s">
        <v>25022</v>
      </c>
      <c r="C2644">
        <v>306</v>
      </c>
      <c r="D2644">
        <v>11</v>
      </c>
      <c r="E2644">
        <v>4</v>
      </c>
      <c r="F2644">
        <v>0</v>
      </c>
      <c r="G2644">
        <v>4</v>
      </c>
      <c r="H2644">
        <v>0</v>
      </c>
    </row>
    <row r="2645" spans="2:8">
      <c r="B2645" t="s">
        <v>25022</v>
      </c>
      <c r="C2645">
        <v>307</v>
      </c>
      <c r="D2645">
        <v>15</v>
      </c>
      <c r="E2645">
        <v>8</v>
      </c>
      <c r="F2645">
        <v>3</v>
      </c>
      <c r="G2645">
        <v>1</v>
      </c>
      <c r="H2645">
        <v>4</v>
      </c>
    </row>
    <row r="2646" spans="2:8">
      <c r="B2646" t="s">
        <v>25022</v>
      </c>
      <c r="C2646">
        <v>307</v>
      </c>
      <c r="D2646">
        <v>33</v>
      </c>
      <c r="E2646">
        <v>15</v>
      </c>
      <c r="F2646">
        <v>0</v>
      </c>
      <c r="G2646">
        <v>12</v>
      </c>
      <c r="H2646">
        <v>3</v>
      </c>
    </row>
    <row r="2647" spans="2:8">
      <c r="B2647" t="s">
        <v>25022</v>
      </c>
      <c r="C2647">
        <v>307</v>
      </c>
      <c r="D2647">
        <v>15</v>
      </c>
      <c r="E2647">
        <v>7</v>
      </c>
      <c r="F2647">
        <v>0</v>
      </c>
      <c r="G2647">
        <v>7</v>
      </c>
      <c r="H2647">
        <v>0</v>
      </c>
    </row>
    <row r="2648" spans="2:8">
      <c r="B2648" t="s">
        <v>25022</v>
      </c>
      <c r="C2648">
        <v>307</v>
      </c>
      <c r="D2648">
        <v>5</v>
      </c>
      <c r="E2648">
        <v>2</v>
      </c>
      <c r="F2648">
        <v>0</v>
      </c>
      <c r="G2648">
        <v>2</v>
      </c>
      <c r="H2648">
        <v>0</v>
      </c>
    </row>
    <row r="2649" spans="2:8">
      <c r="B2649" t="s">
        <v>25022</v>
      </c>
      <c r="C2649">
        <v>308</v>
      </c>
      <c r="D2649">
        <v>32</v>
      </c>
      <c r="E2649">
        <v>14</v>
      </c>
      <c r="F2649">
        <v>0</v>
      </c>
      <c r="G2649">
        <v>14</v>
      </c>
      <c r="H2649">
        <v>0</v>
      </c>
    </row>
    <row r="2650" spans="2:8">
      <c r="B2650" t="s">
        <v>25022</v>
      </c>
      <c r="C2650">
        <v>308</v>
      </c>
      <c r="D2650">
        <v>17</v>
      </c>
      <c r="E2650">
        <v>4</v>
      </c>
      <c r="F2650">
        <v>0</v>
      </c>
      <c r="G2650">
        <v>4</v>
      </c>
      <c r="H2650">
        <v>0</v>
      </c>
    </row>
    <row r="2651" spans="2:8">
      <c r="B2651" t="s">
        <v>25022</v>
      </c>
      <c r="C2651">
        <v>308</v>
      </c>
      <c r="D2651">
        <v>6</v>
      </c>
      <c r="E2651">
        <v>0</v>
      </c>
      <c r="F2651">
        <v>0</v>
      </c>
      <c r="G2651">
        <v>0</v>
      </c>
      <c r="H2651">
        <v>0</v>
      </c>
    </row>
    <row r="2652" spans="2:8">
      <c r="B2652" t="s">
        <v>25022</v>
      </c>
      <c r="C2652">
        <v>308</v>
      </c>
      <c r="D2652">
        <v>10</v>
      </c>
      <c r="E2652">
        <v>4</v>
      </c>
      <c r="F2652">
        <v>0</v>
      </c>
      <c r="G2652">
        <v>4</v>
      </c>
      <c r="H2652">
        <v>0</v>
      </c>
    </row>
    <row r="2653" spans="2:8">
      <c r="B2653" t="s">
        <v>25022</v>
      </c>
      <c r="C2653">
        <v>308</v>
      </c>
      <c r="D2653">
        <v>6</v>
      </c>
      <c r="E2653">
        <v>2</v>
      </c>
      <c r="F2653">
        <v>0</v>
      </c>
      <c r="G2653">
        <v>0</v>
      </c>
      <c r="H2653">
        <v>2</v>
      </c>
    </row>
    <row r="2654" spans="2:8">
      <c r="B2654" t="s">
        <v>25022</v>
      </c>
      <c r="C2654">
        <v>309</v>
      </c>
      <c r="D2654">
        <v>43</v>
      </c>
      <c r="E2654">
        <v>19</v>
      </c>
      <c r="F2654">
        <v>0</v>
      </c>
      <c r="G2654">
        <v>10</v>
      </c>
      <c r="H2654">
        <v>9</v>
      </c>
    </row>
    <row r="2655" spans="2:8">
      <c r="B2655" t="s">
        <v>25022</v>
      </c>
      <c r="C2655">
        <v>309</v>
      </c>
      <c r="D2655">
        <v>6</v>
      </c>
      <c r="E2655">
        <v>2</v>
      </c>
      <c r="F2655">
        <v>0</v>
      </c>
      <c r="G2655">
        <v>2</v>
      </c>
      <c r="H2655">
        <v>0</v>
      </c>
    </row>
    <row r="2656" spans="2:8">
      <c r="B2656" t="s">
        <v>25022</v>
      </c>
      <c r="C2656">
        <v>309</v>
      </c>
      <c r="D2656">
        <v>7</v>
      </c>
      <c r="E2656">
        <v>2</v>
      </c>
      <c r="F2656">
        <v>0</v>
      </c>
      <c r="G2656">
        <v>2</v>
      </c>
      <c r="H2656">
        <v>0</v>
      </c>
    </row>
    <row r="2657" spans="2:8">
      <c r="B2657" t="s">
        <v>25022</v>
      </c>
      <c r="C2657">
        <v>309</v>
      </c>
      <c r="D2657">
        <v>10</v>
      </c>
      <c r="E2657">
        <v>3</v>
      </c>
      <c r="F2657">
        <v>0</v>
      </c>
      <c r="G2657">
        <v>2</v>
      </c>
      <c r="H2657">
        <v>1</v>
      </c>
    </row>
    <row r="2658" spans="2:8">
      <c r="B2658" t="s">
        <v>25022</v>
      </c>
      <c r="C2658">
        <v>309</v>
      </c>
      <c r="D2658">
        <v>14</v>
      </c>
      <c r="E2658">
        <v>2</v>
      </c>
      <c r="F2658">
        <v>0</v>
      </c>
      <c r="G2658">
        <v>0</v>
      </c>
      <c r="H2658">
        <v>2</v>
      </c>
    </row>
    <row r="2659" spans="2:8">
      <c r="B2659" t="s">
        <v>25022</v>
      </c>
      <c r="C2659">
        <v>309</v>
      </c>
      <c r="D2659">
        <v>14</v>
      </c>
      <c r="E2659">
        <v>4</v>
      </c>
      <c r="F2659">
        <v>0</v>
      </c>
      <c r="G2659">
        <v>2</v>
      </c>
      <c r="H2659">
        <v>2</v>
      </c>
    </row>
    <row r="2660" spans="2:8">
      <c r="B2660" t="s">
        <v>25022</v>
      </c>
      <c r="C2660">
        <v>309</v>
      </c>
      <c r="D2660">
        <v>7</v>
      </c>
      <c r="E2660">
        <v>3</v>
      </c>
      <c r="F2660">
        <v>0</v>
      </c>
      <c r="G2660">
        <v>2</v>
      </c>
      <c r="H2660">
        <v>1</v>
      </c>
    </row>
    <row r="2661" spans="2:8">
      <c r="B2661" t="s">
        <v>25022</v>
      </c>
      <c r="C2661">
        <v>309</v>
      </c>
      <c r="D2661">
        <v>6</v>
      </c>
      <c r="E2661">
        <v>0</v>
      </c>
      <c r="F2661">
        <v>0</v>
      </c>
      <c r="G2661">
        <v>0</v>
      </c>
      <c r="H2661">
        <v>0</v>
      </c>
    </row>
    <row r="2662" spans="2:8">
      <c r="B2662" t="s">
        <v>25022</v>
      </c>
      <c r="C2662">
        <v>309</v>
      </c>
      <c r="D2662">
        <v>4</v>
      </c>
      <c r="E2662">
        <v>2</v>
      </c>
      <c r="F2662">
        <v>0</v>
      </c>
      <c r="G2662">
        <v>2</v>
      </c>
      <c r="H2662">
        <v>0</v>
      </c>
    </row>
    <row r="2663" spans="2:8">
      <c r="B2663" t="s">
        <v>25022</v>
      </c>
      <c r="C2663">
        <v>310</v>
      </c>
      <c r="D2663">
        <v>30</v>
      </c>
      <c r="E2663">
        <v>11</v>
      </c>
      <c r="F2663">
        <v>0</v>
      </c>
      <c r="G2663">
        <v>9</v>
      </c>
      <c r="H2663">
        <v>2</v>
      </c>
    </row>
    <row r="2664" spans="2:8">
      <c r="B2664" t="s">
        <v>25022</v>
      </c>
      <c r="C2664">
        <v>310</v>
      </c>
      <c r="D2664">
        <v>9</v>
      </c>
      <c r="E2664">
        <v>4</v>
      </c>
      <c r="F2664">
        <v>0</v>
      </c>
      <c r="G2664">
        <v>4</v>
      </c>
      <c r="H2664">
        <v>0</v>
      </c>
    </row>
    <row r="2665" spans="2:8">
      <c r="B2665" t="s">
        <v>25022</v>
      </c>
      <c r="C2665">
        <v>310</v>
      </c>
      <c r="D2665">
        <v>4</v>
      </c>
      <c r="E2665">
        <v>2</v>
      </c>
      <c r="F2665">
        <v>0</v>
      </c>
      <c r="G2665">
        <v>2</v>
      </c>
      <c r="H2665">
        <v>0</v>
      </c>
    </row>
    <row r="2666" spans="2:8">
      <c r="B2666" t="s">
        <v>25022</v>
      </c>
      <c r="C2666">
        <v>311</v>
      </c>
      <c r="D2666">
        <v>41</v>
      </c>
      <c r="E2666">
        <v>24</v>
      </c>
      <c r="F2666">
        <v>0</v>
      </c>
      <c r="G2666">
        <v>18</v>
      </c>
      <c r="H2666">
        <v>6</v>
      </c>
    </row>
    <row r="2667" spans="2:8">
      <c r="B2667" t="s">
        <v>25022</v>
      </c>
      <c r="C2667">
        <v>311</v>
      </c>
      <c r="D2667">
        <v>30</v>
      </c>
      <c r="E2667">
        <v>18</v>
      </c>
      <c r="F2667">
        <v>0</v>
      </c>
      <c r="G2667">
        <v>15</v>
      </c>
      <c r="H2667">
        <v>3</v>
      </c>
    </row>
    <row r="2668" spans="2:8">
      <c r="B2668" t="s">
        <v>25022</v>
      </c>
      <c r="C2668">
        <v>311</v>
      </c>
      <c r="D2668">
        <v>13</v>
      </c>
      <c r="E2668">
        <v>2</v>
      </c>
      <c r="F2668">
        <v>0</v>
      </c>
      <c r="G2668">
        <v>2</v>
      </c>
      <c r="H2668">
        <v>0</v>
      </c>
    </row>
    <row r="2669" spans="2:8">
      <c r="B2669" t="s">
        <v>25022</v>
      </c>
      <c r="C2669">
        <v>311</v>
      </c>
      <c r="D2669">
        <v>22</v>
      </c>
      <c r="E2669">
        <v>15</v>
      </c>
      <c r="F2669">
        <v>0</v>
      </c>
      <c r="G2669">
        <v>15</v>
      </c>
      <c r="H2669">
        <v>0</v>
      </c>
    </row>
    <row r="2670" spans="2:8">
      <c r="B2670" t="s">
        <v>25022</v>
      </c>
      <c r="C2670">
        <v>311</v>
      </c>
      <c r="D2670">
        <v>22</v>
      </c>
      <c r="E2670">
        <v>11</v>
      </c>
      <c r="F2670">
        <v>2</v>
      </c>
      <c r="G2670">
        <v>7</v>
      </c>
      <c r="H2670">
        <v>2</v>
      </c>
    </row>
    <row r="2671" spans="2:8">
      <c r="B2671" t="s">
        <v>25022</v>
      </c>
      <c r="C2671">
        <v>311</v>
      </c>
      <c r="D2671">
        <v>34</v>
      </c>
      <c r="E2671">
        <v>15</v>
      </c>
      <c r="F2671">
        <v>0</v>
      </c>
      <c r="G2671">
        <v>13</v>
      </c>
      <c r="H2671">
        <v>2</v>
      </c>
    </row>
    <row r="2672" spans="2:8">
      <c r="B2672" t="s">
        <v>25022</v>
      </c>
      <c r="C2672">
        <v>311</v>
      </c>
      <c r="D2672">
        <v>13</v>
      </c>
      <c r="E2672">
        <v>4</v>
      </c>
      <c r="F2672">
        <v>0</v>
      </c>
      <c r="G2672">
        <v>4</v>
      </c>
      <c r="H2672">
        <v>0</v>
      </c>
    </row>
    <row r="2673" spans="2:8">
      <c r="B2673" t="s">
        <v>25022</v>
      </c>
      <c r="C2673">
        <v>311</v>
      </c>
      <c r="D2673">
        <v>11</v>
      </c>
      <c r="E2673">
        <v>2</v>
      </c>
      <c r="F2673">
        <v>0</v>
      </c>
      <c r="G2673">
        <v>2</v>
      </c>
      <c r="H2673">
        <v>0</v>
      </c>
    </row>
    <row r="2674" spans="2:8">
      <c r="B2674" t="s">
        <v>25022</v>
      </c>
      <c r="C2674">
        <v>311</v>
      </c>
      <c r="D2674">
        <v>16</v>
      </c>
      <c r="E2674">
        <v>4</v>
      </c>
      <c r="F2674">
        <v>0</v>
      </c>
      <c r="G2674">
        <v>2</v>
      </c>
      <c r="H2674">
        <v>2</v>
      </c>
    </row>
    <row r="2675" spans="2:8">
      <c r="B2675" t="s">
        <v>25022</v>
      </c>
      <c r="C2675">
        <v>311</v>
      </c>
      <c r="D2675">
        <v>13</v>
      </c>
      <c r="E2675">
        <v>10</v>
      </c>
      <c r="F2675">
        <v>2</v>
      </c>
      <c r="G2675">
        <v>8</v>
      </c>
      <c r="H2675">
        <v>0</v>
      </c>
    </row>
    <row r="2676" spans="2:8">
      <c r="B2676" t="s">
        <v>25022</v>
      </c>
      <c r="C2676">
        <v>311</v>
      </c>
      <c r="D2676">
        <v>9</v>
      </c>
      <c r="E2676">
        <v>4</v>
      </c>
      <c r="F2676">
        <v>0</v>
      </c>
      <c r="G2676">
        <v>4</v>
      </c>
      <c r="H2676">
        <v>0</v>
      </c>
    </row>
    <row r="2677" spans="2:8">
      <c r="B2677" t="s">
        <v>25022</v>
      </c>
      <c r="C2677">
        <v>311</v>
      </c>
      <c r="D2677">
        <v>7</v>
      </c>
      <c r="E2677">
        <v>2</v>
      </c>
      <c r="F2677">
        <v>0</v>
      </c>
      <c r="G2677">
        <v>2</v>
      </c>
      <c r="H2677">
        <v>0</v>
      </c>
    </row>
    <row r="2678" spans="2:8">
      <c r="B2678" t="s">
        <v>25022</v>
      </c>
      <c r="C2678">
        <v>311</v>
      </c>
      <c r="D2678">
        <v>5</v>
      </c>
      <c r="E2678">
        <v>0</v>
      </c>
      <c r="F2678">
        <v>0</v>
      </c>
      <c r="G2678">
        <v>0</v>
      </c>
      <c r="H2678">
        <v>0</v>
      </c>
    </row>
    <row r="2679" spans="2:8">
      <c r="B2679" t="s">
        <v>25022</v>
      </c>
      <c r="C2679">
        <v>311</v>
      </c>
      <c r="D2679">
        <v>6</v>
      </c>
      <c r="E2679">
        <v>2</v>
      </c>
      <c r="F2679">
        <v>0</v>
      </c>
      <c r="G2679">
        <v>0</v>
      </c>
      <c r="H2679">
        <v>2</v>
      </c>
    </row>
    <row r="2680" spans="2:8">
      <c r="B2680" t="s">
        <v>25022</v>
      </c>
      <c r="C2680">
        <v>312</v>
      </c>
      <c r="D2680">
        <v>26</v>
      </c>
      <c r="E2680">
        <v>10</v>
      </c>
      <c r="F2680">
        <v>0</v>
      </c>
      <c r="G2680">
        <v>8</v>
      </c>
      <c r="H2680">
        <v>2</v>
      </c>
    </row>
    <row r="2681" spans="2:8">
      <c r="B2681" t="s">
        <v>25022</v>
      </c>
      <c r="C2681">
        <v>312</v>
      </c>
      <c r="D2681">
        <v>18</v>
      </c>
      <c r="E2681">
        <v>6</v>
      </c>
      <c r="F2681">
        <v>0</v>
      </c>
      <c r="G2681">
        <v>4</v>
      </c>
      <c r="H2681">
        <v>2</v>
      </c>
    </row>
    <row r="2682" spans="2:8">
      <c r="B2682" t="s">
        <v>25022</v>
      </c>
      <c r="C2682">
        <v>312</v>
      </c>
      <c r="D2682">
        <v>19</v>
      </c>
      <c r="E2682">
        <v>4</v>
      </c>
      <c r="F2682">
        <v>0</v>
      </c>
      <c r="G2682">
        <v>4</v>
      </c>
      <c r="H2682">
        <v>0</v>
      </c>
    </row>
    <row r="2683" spans="2:8">
      <c r="B2683" t="s">
        <v>25022</v>
      </c>
      <c r="C2683">
        <v>312</v>
      </c>
      <c r="D2683">
        <v>27</v>
      </c>
      <c r="E2683">
        <v>13</v>
      </c>
      <c r="F2683">
        <v>0</v>
      </c>
      <c r="G2683">
        <v>12</v>
      </c>
      <c r="H2683">
        <v>1</v>
      </c>
    </row>
    <row r="2684" spans="2:8">
      <c r="B2684" t="s">
        <v>25022</v>
      </c>
      <c r="C2684">
        <v>312</v>
      </c>
      <c r="D2684">
        <v>9</v>
      </c>
      <c r="E2684">
        <v>0</v>
      </c>
      <c r="F2684">
        <v>0</v>
      </c>
      <c r="G2684">
        <v>0</v>
      </c>
      <c r="H2684">
        <v>0</v>
      </c>
    </row>
    <row r="2685" spans="2:8">
      <c r="B2685" t="s">
        <v>25022</v>
      </c>
      <c r="C2685">
        <v>312</v>
      </c>
      <c r="D2685">
        <v>11</v>
      </c>
      <c r="E2685">
        <v>0</v>
      </c>
      <c r="F2685">
        <v>0</v>
      </c>
      <c r="G2685">
        <v>0</v>
      </c>
      <c r="H2685">
        <v>0</v>
      </c>
    </row>
    <row r="2686" spans="2:8">
      <c r="B2686" t="s">
        <v>25022</v>
      </c>
      <c r="C2686">
        <v>313</v>
      </c>
      <c r="D2686">
        <v>7</v>
      </c>
      <c r="E2686">
        <v>0</v>
      </c>
      <c r="F2686">
        <v>0</v>
      </c>
      <c r="G2686">
        <v>0</v>
      </c>
      <c r="H2686">
        <v>0</v>
      </c>
    </row>
    <row r="2687" spans="2:8">
      <c r="B2687" t="s">
        <v>25022</v>
      </c>
      <c r="C2687">
        <v>313</v>
      </c>
      <c r="D2687">
        <v>41</v>
      </c>
      <c r="E2687">
        <v>14</v>
      </c>
      <c r="F2687">
        <v>0</v>
      </c>
      <c r="G2687">
        <v>14</v>
      </c>
      <c r="H2687">
        <v>0</v>
      </c>
    </row>
    <row r="2688" spans="2:8">
      <c r="B2688" t="s">
        <v>25022</v>
      </c>
      <c r="C2688">
        <v>313</v>
      </c>
      <c r="D2688">
        <v>20</v>
      </c>
      <c r="E2688">
        <v>3</v>
      </c>
      <c r="F2688">
        <v>0</v>
      </c>
      <c r="G2688">
        <v>3</v>
      </c>
      <c r="H2688">
        <v>0</v>
      </c>
    </row>
    <row r="2689" spans="2:8">
      <c r="B2689" t="s">
        <v>25022</v>
      </c>
      <c r="C2689">
        <v>313</v>
      </c>
      <c r="D2689">
        <v>11</v>
      </c>
      <c r="E2689">
        <v>2</v>
      </c>
      <c r="F2689">
        <v>0</v>
      </c>
      <c r="G2689">
        <v>2</v>
      </c>
      <c r="H2689">
        <v>0</v>
      </c>
    </row>
    <row r="2690" spans="2:8">
      <c r="B2690" t="s">
        <v>25022</v>
      </c>
      <c r="C2690">
        <v>313</v>
      </c>
      <c r="D2690">
        <v>14</v>
      </c>
      <c r="E2690">
        <v>3</v>
      </c>
      <c r="F2690">
        <v>0</v>
      </c>
      <c r="G2690">
        <v>2</v>
      </c>
      <c r="H2690">
        <v>1</v>
      </c>
    </row>
    <row r="2691" spans="2:8">
      <c r="B2691" t="s">
        <v>25022</v>
      </c>
      <c r="C2691">
        <v>313</v>
      </c>
      <c r="D2691">
        <v>7</v>
      </c>
      <c r="E2691">
        <v>3</v>
      </c>
      <c r="F2691">
        <v>0</v>
      </c>
      <c r="G2691">
        <v>3</v>
      </c>
      <c r="H2691">
        <v>0</v>
      </c>
    </row>
    <row r="2692" spans="2:8">
      <c r="B2692" t="s">
        <v>25022</v>
      </c>
      <c r="C2692">
        <v>313</v>
      </c>
      <c r="D2692">
        <v>8</v>
      </c>
      <c r="E2692">
        <v>4</v>
      </c>
      <c r="F2692">
        <v>0</v>
      </c>
      <c r="G2692">
        <v>2</v>
      </c>
      <c r="H2692">
        <v>2</v>
      </c>
    </row>
    <row r="2693" spans="2:8">
      <c r="B2693" t="s">
        <v>25022</v>
      </c>
      <c r="C2693">
        <v>314</v>
      </c>
      <c r="D2693">
        <v>27</v>
      </c>
      <c r="E2693">
        <v>16</v>
      </c>
      <c r="F2693">
        <v>0</v>
      </c>
      <c r="G2693">
        <v>16</v>
      </c>
      <c r="H2693">
        <v>0</v>
      </c>
    </row>
    <row r="2694" spans="2:8">
      <c r="B2694" t="s">
        <v>25022</v>
      </c>
      <c r="C2694">
        <v>314</v>
      </c>
      <c r="D2694">
        <v>11</v>
      </c>
      <c r="E2694">
        <v>4</v>
      </c>
      <c r="F2694">
        <v>0</v>
      </c>
      <c r="G2694">
        <v>2</v>
      </c>
      <c r="H2694">
        <v>2</v>
      </c>
    </row>
    <row r="2695" spans="2:8">
      <c r="B2695" t="s">
        <v>25022</v>
      </c>
      <c r="C2695">
        <v>314</v>
      </c>
      <c r="D2695">
        <v>13</v>
      </c>
      <c r="E2695">
        <v>0</v>
      </c>
      <c r="F2695">
        <v>0</v>
      </c>
      <c r="G2695">
        <v>0</v>
      </c>
      <c r="H2695">
        <v>0</v>
      </c>
    </row>
    <row r="2696" spans="2:8">
      <c r="B2696" t="s">
        <v>25022</v>
      </c>
      <c r="C2696">
        <v>314</v>
      </c>
      <c r="D2696">
        <v>18</v>
      </c>
      <c r="E2696">
        <v>2</v>
      </c>
      <c r="F2696">
        <v>0</v>
      </c>
      <c r="G2696">
        <v>2</v>
      </c>
      <c r="H2696">
        <v>0</v>
      </c>
    </row>
    <row r="2697" spans="2:8">
      <c r="B2697" t="s">
        <v>25022</v>
      </c>
      <c r="C2697">
        <v>314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2:8">
      <c r="B2698" t="s">
        <v>25022</v>
      </c>
      <c r="C2698">
        <v>314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2:8">
      <c r="B2699" t="s">
        <v>25022</v>
      </c>
      <c r="C2699">
        <v>315</v>
      </c>
      <c r="D2699">
        <v>21</v>
      </c>
      <c r="E2699">
        <v>6</v>
      </c>
      <c r="F2699">
        <v>0</v>
      </c>
      <c r="G2699">
        <v>6</v>
      </c>
      <c r="H2699">
        <v>0</v>
      </c>
    </row>
    <row r="2700" spans="2:8">
      <c r="B2700" t="s">
        <v>25022</v>
      </c>
      <c r="C2700">
        <v>315</v>
      </c>
      <c r="D2700">
        <v>31</v>
      </c>
      <c r="E2700">
        <v>16</v>
      </c>
      <c r="F2700">
        <v>0</v>
      </c>
      <c r="G2700">
        <v>14</v>
      </c>
      <c r="H2700">
        <v>2</v>
      </c>
    </row>
    <row r="2701" spans="2:8">
      <c r="B2701" t="s">
        <v>25022</v>
      </c>
      <c r="C2701">
        <v>315</v>
      </c>
      <c r="D2701">
        <v>19</v>
      </c>
      <c r="E2701">
        <v>7</v>
      </c>
      <c r="F2701">
        <v>0</v>
      </c>
      <c r="G2701">
        <v>6</v>
      </c>
      <c r="H2701">
        <v>1</v>
      </c>
    </row>
    <row r="2702" spans="2:8">
      <c r="B2702" t="s">
        <v>25022</v>
      </c>
      <c r="C2702">
        <v>315</v>
      </c>
      <c r="D2702">
        <v>20</v>
      </c>
      <c r="E2702">
        <v>4</v>
      </c>
      <c r="F2702">
        <v>0</v>
      </c>
      <c r="G2702">
        <v>4</v>
      </c>
      <c r="H2702">
        <v>0</v>
      </c>
    </row>
    <row r="2703" spans="2:8">
      <c r="B2703" t="s">
        <v>25022</v>
      </c>
      <c r="C2703">
        <v>316</v>
      </c>
      <c r="D2703">
        <v>41</v>
      </c>
      <c r="E2703">
        <v>20</v>
      </c>
      <c r="F2703">
        <v>0</v>
      </c>
      <c r="G2703">
        <v>14</v>
      </c>
      <c r="H2703">
        <v>6</v>
      </c>
    </row>
    <row r="2704" spans="2:8">
      <c r="B2704" t="s">
        <v>25022</v>
      </c>
      <c r="C2704">
        <v>316</v>
      </c>
      <c r="D2704">
        <v>10</v>
      </c>
      <c r="E2704">
        <v>3</v>
      </c>
      <c r="F2704">
        <v>0</v>
      </c>
      <c r="G2704">
        <v>3</v>
      </c>
      <c r="H2704">
        <v>0</v>
      </c>
    </row>
    <row r="2705" spans="2:8">
      <c r="B2705" t="s">
        <v>25022</v>
      </c>
      <c r="C2705">
        <v>316</v>
      </c>
      <c r="D2705">
        <v>15</v>
      </c>
      <c r="E2705">
        <v>2</v>
      </c>
      <c r="F2705">
        <v>0</v>
      </c>
      <c r="G2705">
        <v>0</v>
      </c>
      <c r="H2705">
        <v>2</v>
      </c>
    </row>
    <row r="2706" spans="2:8">
      <c r="B2706" t="s">
        <v>25022</v>
      </c>
      <c r="C2706">
        <v>316</v>
      </c>
      <c r="D2706">
        <v>1</v>
      </c>
      <c r="E2706">
        <v>0</v>
      </c>
      <c r="F2706">
        <v>0</v>
      </c>
      <c r="G2706">
        <v>0</v>
      </c>
      <c r="H2706">
        <v>0</v>
      </c>
    </row>
    <row r="2707" spans="2:8">
      <c r="B2707" t="s">
        <v>25022</v>
      </c>
      <c r="C2707">
        <v>316</v>
      </c>
      <c r="D2707">
        <v>12</v>
      </c>
      <c r="E2707">
        <v>7</v>
      </c>
      <c r="F2707">
        <v>0</v>
      </c>
      <c r="G2707">
        <v>7</v>
      </c>
      <c r="H2707">
        <v>0</v>
      </c>
    </row>
    <row r="2708" spans="2:8">
      <c r="B2708" t="s">
        <v>25022</v>
      </c>
      <c r="C2708">
        <v>316</v>
      </c>
      <c r="D2708">
        <v>9</v>
      </c>
      <c r="E2708">
        <v>3</v>
      </c>
      <c r="F2708">
        <v>0</v>
      </c>
      <c r="G2708">
        <v>2</v>
      </c>
      <c r="H2708">
        <v>1</v>
      </c>
    </row>
    <row r="2709" spans="2:8">
      <c r="B2709" t="s">
        <v>25022</v>
      </c>
      <c r="C2709">
        <v>316</v>
      </c>
      <c r="D2709">
        <v>7</v>
      </c>
      <c r="E2709">
        <v>2</v>
      </c>
      <c r="F2709">
        <v>0</v>
      </c>
      <c r="G2709">
        <v>2</v>
      </c>
      <c r="H2709">
        <v>0</v>
      </c>
    </row>
    <row r="2710" spans="2:8">
      <c r="B2710" t="s">
        <v>25022</v>
      </c>
      <c r="C2710">
        <v>316</v>
      </c>
      <c r="D2710">
        <v>8</v>
      </c>
      <c r="E2710">
        <v>2</v>
      </c>
      <c r="F2710">
        <v>0</v>
      </c>
      <c r="G2710">
        <v>2</v>
      </c>
      <c r="H2710">
        <v>0</v>
      </c>
    </row>
    <row r="2711" spans="2:8">
      <c r="B2711" t="s">
        <v>25022</v>
      </c>
      <c r="C2711">
        <v>317</v>
      </c>
      <c r="D2711">
        <v>23</v>
      </c>
      <c r="E2711">
        <v>12</v>
      </c>
      <c r="F2711">
        <v>0</v>
      </c>
      <c r="G2711">
        <v>12</v>
      </c>
      <c r="H2711">
        <v>0</v>
      </c>
    </row>
    <row r="2712" spans="2:8">
      <c r="B2712" t="s">
        <v>25022</v>
      </c>
      <c r="C2712">
        <v>317</v>
      </c>
      <c r="D2712">
        <v>19</v>
      </c>
      <c r="E2712">
        <v>6</v>
      </c>
      <c r="F2712">
        <v>0</v>
      </c>
      <c r="G2712">
        <v>6</v>
      </c>
      <c r="H2712">
        <v>0</v>
      </c>
    </row>
    <row r="2713" spans="2:8">
      <c r="B2713" t="s">
        <v>25022</v>
      </c>
      <c r="C2713">
        <v>317</v>
      </c>
      <c r="D2713">
        <v>22</v>
      </c>
      <c r="E2713">
        <v>13</v>
      </c>
      <c r="F2713">
        <v>0</v>
      </c>
      <c r="G2713">
        <v>13</v>
      </c>
      <c r="H2713">
        <v>0</v>
      </c>
    </row>
    <row r="2714" spans="2:8">
      <c r="B2714" t="s">
        <v>25022</v>
      </c>
      <c r="C2714">
        <v>317</v>
      </c>
      <c r="D2714">
        <v>8</v>
      </c>
      <c r="E2714">
        <v>2</v>
      </c>
      <c r="F2714">
        <v>0</v>
      </c>
      <c r="G2714">
        <v>2</v>
      </c>
      <c r="H2714">
        <v>0</v>
      </c>
    </row>
    <row r="2715" spans="2:8">
      <c r="B2715" t="s">
        <v>25022</v>
      </c>
      <c r="C2715">
        <v>317</v>
      </c>
      <c r="D2715">
        <v>6</v>
      </c>
      <c r="E2715">
        <v>2</v>
      </c>
      <c r="F2715">
        <v>0</v>
      </c>
      <c r="G2715">
        <v>2</v>
      </c>
      <c r="H2715">
        <v>0</v>
      </c>
    </row>
    <row r="2716" spans="2:8">
      <c r="B2716" t="s">
        <v>25022</v>
      </c>
      <c r="C2716">
        <v>317</v>
      </c>
      <c r="D2716">
        <v>16</v>
      </c>
      <c r="E2716">
        <v>6</v>
      </c>
      <c r="F2716">
        <v>0</v>
      </c>
      <c r="G2716">
        <v>6</v>
      </c>
      <c r="H2716">
        <v>0</v>
      </c>
    </row>
    <row r="2717" spans="2:8">
      <c r="B2717" t="s">
        <v>25022</v>
      </c>
      <c r="C2717">
        <v>317</v>
      </c>
      <c r="D2717">
        <v>7</v>
      </c>
      <c r="E2717">
        <v>2</v>
      </c>
      <c r="F2717">
        <v>0</v>
      </c>
      <c r="G2717">
        <v>2</v>
      </c>
      <c r="H2717">
        <v>0</v>
      </c>
    </row>
    <row r="2718" spans="2:8">
      <c r="B2718" t="s">
        <v>25022</v>
      </c>
      <c r="C2718">
        <v>317</v>
      </c>
      <c r="D2718">
        <v>3</v>
      </c>
      <c r="E2718">
        <v>2</v>
      </c>
      <c r="F2718">
        <v>0</v>
      </c>
      <c r="G2718">
        <v>2</v>
      </c>
      <c r="H2718">
        <v>0</v>
      </c>
    </row>
    <row r="2719" spans="2:8">
      <c r="B2719" t="s">
        <v>25022</v>
      </c>
      <c r="C2719">
        <v>318</v>
      </c>
      <c r="D2719">
        <v>44</v>
      </c>
      <c r="E2719">
        <v>17</v>
      </c>
      <c r="F2719">
        <v>0</v>
      </c>
      <c r="G2719">
        <v>10</v>
      </c>
      <c r="H2719">
        <v>7</v>
      </c>
    </row>
    <row r="2720" spans="2:8">
      <c r="B2720" t="s">
        <v>25022</v>
      </c>
      <c r="C2720">
        <v>318</v>
      </c>
      <c r="D2720">
        <v>18</v>
      </c>
      <c r="E2720">
        <v>9</v>
      </c>
      <c r="F2720">
        <v>0</v>
      </c>
      <c r="G2720">
        <v>7</v>
      </c>
      <c r="H2720">
        <v>2</v>
      </c>
    </row>
    <row r="2721" spans="2:8">
      <c r="B2721" t="s">
        <v>25022</v>
      </c>
      <c r="C2721">
        <v>318</v>
      </c>
      <c r="D2721">
        <v>19</v>
      </c>
      <c r="E2721">
        <v>9</v>
      </c>
      <c r="F2721">
        <v>0</v>
      </c>
      <c r="G2721">
        <v>9</v>
      </c>
      <c r="H2721">
        <v>0</v>
      </c>
    </row>
    <row r="2722" spans="2:8">
      <c r="B2722" t="s">
        <v>25022</v>
      </c>
      <c r="C2722">
        <v>319</v>
      </c>
      <c r="D2722">
        <v>29</v>
      </c>
      <c r="E2722">
        <v>12</v>
      </c>
      <c r="F2722">
        <v>0</v>
      </c>
      <c r="G2722">
        <v>5</v>
      </c>
      <c r="H2722">
        <v>7</v>
      </c>
    </row>
    <row r="2723" spans="2:8">
      <c r="B2723" t="s">
        <v>25022</v>
      </c>
      <c r="C2723">
        <v>319</v>
      </c>
      <c r="D2723">
        <v>20</v>
      </c>
      <c r="E2723">
        <v>12</v>
      </c>
      <c r="F2723">
        <v>0</v>
      </c>
      <c r="G2723">
        <v>10</v>
      </c>
      <c r="H2723">
        <v>2</v>
      </c>
    </row>
    <row r="2724" spans="2:8">
      <c r="B2724" t="s">
        <v>25022</v>
      </c>
      <c r="C2724">
        <v>319</v>
      </c>
      <c r="D2724">
        <v>19</v>
      </c>
      <c r="E2724">
        <v>7</v>
      </c>
      <c r="F2724">
        <v>0</v>
      </c>
      <c r="G2724">
        <v>4</v>
      </c>
      <c r="H2724">
        <v>3</v>
      </c>
    </row>
    <row r="2725" spans="2:8">
      <c r="B2725" t="s">
        <v>25022</v>
      </c>
      <c r="C2725">
        <v>319</v>
      </c>
      <c r="D2725">
        <v>25</v>
      </c>
      <c r="E2725">
        <v>10</v>
      </c>
      <c r="F2725">
        <v>0</v>
      </c>
      <c r="G2725">
        <v>9</v>
      </c>
      <c r="H2725">
        <v>1</v>
      </c>
    </row>
    <row r="2726" spans="2:8">
      <c r="B2726" t="s">
        <v>25022</v>
      </c>
      <c r="C2726">
        <v>319</v>
      </c>
      <c r="D2726">
        <v>12</v>
      </c>
      <c r="E2726">
        <v>2</v>
      </c>
      <c r="F2726">
        <v>0</v>
      </c>
      <c r="G2726">
        <v>2</v>
      </c>
      <c r="H2726">
        <v>0</v>
      </c>
    </row>
    <row r="2727" spans="2:8">
      <c r="B2727" t="s">
        <v>25022</v>
      </c>
      <c r="C2727">
        <v>319</v>
      </c>
      <c r="D2727">
        <v>16</v>
      </c>
      <c r="E2727">
        <v>4</v>
      </c>
      <c r="F2727">
        <v>0</v>
      </c>
      <c r="G2727">
        <v>4</v>
      </c>
      <c r="H2727">
        <v>0</v>
      </c>
    </row>
    <row r="2728" spans="2:8">
      <c r="B2728" t="s">
        <v>25022</v>
      </c>
      <c r="C2728">
        <v>319</v>
      </c>
      <c r="D2728">
        <v>20</v>
      </c>
      <c r="E2728">
        <v>7</v>
      </c>
      <c r="F2728">
        <v>0</v>
      </c>
      <c r="G2728">
        <v>5</v>
      </c>
      <c r="H2728">
        <v>2</v>
      </c>
    </row>
    <row r="2729" spans="2:8">
      <c r="B2729" t="s">
        <v>25022</v>
      </c>
      <c r="C2729">
        <v>319</v>
      </c>
      <c r="D2729">
        <v>7</v>
      </c>
      <c r="E2729">
        <v>0</v>
      </c>
      <c r="F2729">
        <v>0</v>
      </c>
      <c r="G2729">
        <v>0</v>
      </c>
      <c r="H2729">
        <v>0</v>
      </c>
    </row>
    <row r="2730" spans="2:8">
      <c r="B2730" t="s">
        <v>25022</v>
      </c>
      <c r="C2730">
        <v>319</v>
      </c>
      <c r="D2730">
        <v>4</v>
      </c>
      <c r="E2730">
        <v>0</v>
      </c>
      <c r="F2730">
        <v>0</v>
      </c>
      <c r="G2730">
        <v>0</v>
      </c>
      <c r="H2730">
        <v>0</v>
      </c>
    </row>
    <row r="2731" spans="2:8">
      <c r="B2731" t="s">
        <v>25022</v>
      </c>
      <c r="C2731">
        <v>319</v>
      </c>
      <c r="D2731">
        <v>8</v>
      </c>
      <c r="E2731">
        <v>0</v>
      </c>
      <c r="F2731">
        <v>0</v>
      </c>
      <c r="G2731">
        <v>0</v>
      </c>
      <c r="H2731">
        <v>0</v>
      </c>
    </row>
    <row r="2732" spans="2:8">
      <c r="B2732" t="s">
        <v>25022</v>
      </c>
      <c r="C2732">
        <v>319</v>
      </c>
      <c r="D2732">
        <v>3</v>
      </c>
      <c r="E2732">
        <v>0</v>
      </c>
      <c r="F2732">
        <v>0</v>
      </c>
      <c r="G2732">
        <v>0</v>
      </c>
      <c r="H2732">
        <v>0</v>
      </c>
    </row>
    <row r="2733" spans="2:8">
      <c r="B2733" t="s">
        <v>25022</v>
      </c>
      <c r="C2733">
        <v>319</v>
      </c>
      <c r="D2733">
        <v>3</v>
      </c>
      <c r="E2733">
        <v>0</v>
      </c>
      <c r="F2733">
        <v>0</v>
      </c>
      <c r="G2733">
        <v>0</v>
      </c>
      <c r="H2733">
        <v>0</v>
      </c>
    </row>
    <row r="2734" spans="2:8">
      <c r="B2734" t="s">
        <v>25022</v>
      </c>
      <c r="C2734">
        <v>320</v>
      </c>
      <c r="D2734">
        <v>34</v>
      </c>
      <c r="E2734">
        <v>17</v>
      </c>
      <c r="F2734">
        <v>0</v>
      </c>
      <c r="G2734">
        <v>16</v>
      </c>
      <c r="H2734">
        <v>1</v>
      </c>
    </row>
    <row r="2735" spans="2:8">
      <c r="B2735" t="s">
        <v>25022</v>
      </c>
      <c r="C2735">
        <v>320</v>
      </c>
      <c r="D2735">
        <v>22</v>
      </c>
      <c r="E2735">
        <v>12</v>
      </c>
      <c r="F2735">
        <v>0</v>
      </c>
      <c r="G2735">
        <v>12</v>
      </c>
      <c r="H2735">
        <v>0</v>
      </c>
    </row>
    <row r="2736" spans="2:8">
      <c r="B2736" t="s">
        <v>25022</v>
      </c>
      <c r="C2736">
        <v>320</v>
      </c>
      <c r="D2736">
        <v>17</v>
      </c>
      <c r="E2736">
        <v>9</v>
      </c>
      <c r="F2736">
        <v>2</v>
      </c>
      <c r="G2736">
        <v>6</v>
      </c>
      <c r="H2736">
        <v>1</v>
      </c>
    </row>
    <row r="2737" spans="2:8">
      <c r="B2737" t="s">
        <v>25022</v>
      </c>
      <c r="C2737">
        <v>320</v>
      </c>
      <c r="D2737">
        <v>34</v>
      </c>
      <c r="E2737">
        <v>19</v>
      </c>
      <c r="F2737">
        <v>0</v>
      </c>
      <c r="G2737">
        <v>19</v>
      </c>
      <c r="H2737">
        <v>0</v>
      </c>
    </row>
    <row r="2738" spans="2:8">
      <c r="B2738" t="s">
        <v>25022</v>
      </c>
      <c r="C2738">
        <v>320</v>
      </c>
      <c r="D2738">
        <v>7</v>
      </c>
      <c r="E2738">
        <v>4</v>
      </c>
      <c r="F2738">
        <v>0</v>
      </c>
      <c r="G2738">
        <v>4</v>
      </c>
      <c r="H2738">
        <v>0</v>
      </c>
    </row>
    <row r="2739" spans="2:8">
      <c r="B2739" t="s">
        <v>25022</v>
      </c>
      <c r="C2739">
        <v>321</v>
      </c>
      <c r="D2739">
        <v>22</v>
      </c>
      <c r="E2739">
        <v>12</v>
      </c>
      <c r="F2739">
        <v>0</v>
      </c>
      <c r="G2739">
        <v>12</v>
      </c>
      <c r="H2739">
        <v>0</v>
      </c>
    </row>
    <row r="2740" spans="2:8">
      <c r="B2740" t="s">
        <v>25022</v>
      </c>
      <c r="C2740">
        <v>321</v>
      </c>
      <c r="D2740">
        <v>19</v>
      </c>
      <c r="E2740">
        <v>8</v>
      </c>
      <c r="F2740">
        <v>0</v>
      </c>
      <c r="G2740">
        <v>8</v>
      </c>
      <c r="H2740">
        <v>0</v>
      </c>
    </row>
    <row r="2741" spans="2:8">
      <c r="B2741" t="s">
        <v>25022</v>
      </c>
      <c r="C2741">
        <v>321</v>
      </c>
      <c r="D2741">
        <v>11</v>
      </c>
      <c r="E2741">
        <v>2</v>
      </c>
      <c r="F2741">
        <v>0</v>
      </c>
      <c r="G2741">
        <v>2</v>
      </c>
      <c r="H2741">
        <v>0</v>
      </c>
    </row>
    <row r="2742" spans="2:8">
      <c r="B2742" t="s">
        <v>25022</v>
      </c>
      <c r="C2742">
        <v>321</v>
      </c>
      <c r="D2742">
        <v>9</v>
      </c>
      <c r="E2742">
        <v>0</v>
      </c>
      <c r="F2742">
        <v>0</v>
      </c>
      <c r="G2742">
        <v>0</v>
      </c>
      <c r="H2742">
        <v>0</v>
      </c>
    </row>
    <row r="2743" spans="2:8">
      <c r="B2743" t="s">
        <v>25022</v>
      </c>
      <c r="C2743">
        <v>321</v>
      </c>
      <c r="D2743">
        <v>13</v>
      </c>
      <c r="E2743">
        <v>6</v>
      </c>
      <c r="F2743">
        <v>0</v>
      </c>
      <c r="G2743">
        <v>6</v>
      </c>
      <c r="H2743">
        <v>0</v>
      </c>
    </row>
    <row r="2744" spans="2:8">
      <c r="B2744" t="s">
        <v>25022</v>
      </c>
      <c r="C2744">
        <v>321</v>
      </c>
      <c r="D2744">
        <v>14</v>
      </c>
      <c r="E2744">
        <v>8</v>
      </c>
      <c r="F2744">
        <v>0</v>
      </c>
      <c r="G2744">
        <v>4</v>
      </c>
      <c r="H2744">
        <v>4</v>
      </c>
    </row>
    <row r="2745" spans="2:8">
      <c r="B2745" t="s">
        <v>25022</v>
      </c>
      <c r="C2745">
        <v>321</v>
      </c>
      <c r="D2745">
        <v>3</v>
      </c>
      <c r="E2745">
        <v>2</v>
      </c>
      <c r="F2745">
        <v>0</v>
      </c>
      <c r="G2745">
        <v>2</v>
      </c>
      <c r="H2745">
        <v>0</v>
      </c>
    </row>
    <row r="2746" spans="2:8">
      <c r="B2746" t="s">
        <v>25022</v>
      </c>
      <c r="C2746">
        <v>322</v>
      </c>
      <c r="D2746">
        <v>40</v>
      </c>
      <c r="E2746">
        <v>11</v>
      </c>
      <c r="F2746">
        <v>0</v>
      </c>
      <c r="G2746">
        <v>7</v>
      </c>
      <c r="H2746">
        <v>4</v>
      </c>
    </row>
    <row r="2747" spans="2:8">
      <c r="B2747" t="s">
        <v>25022</v>
      </c>
      <c r="C2747">
        <v>322</v>
      </c>
      <c r="D2747">
        <v>29</v>
      </c>
      <c r="E2747">
        <v>7</v>
      </c>
      <c r="F2747">
        <v>0</v>
      </c>
      <c r="G2747">
        <v>3</v>
      </c>
      <c r="H2747">
        <v>4</v>
      </c>
    </row>
    <row r="2748" spans="2:8">
      <c r="B2748" t="s">
        <v>25022</v>
      </c>
      <c r="C2748">
        <v>322</v>
      </c>
      <c r="D2748">
        <v>10</v>
      </c>
      <c r="E2748">
        <v>6</v>
      </c>
      <c r="F2748">
        <v>0</v>
      </c>
      <c r="G2748">
        <v>6</v>
      </c>
      <c r="H2748">
        <v>0</v>
      </c>
    </row>
    <row r="2749" spans="2:8">
      <c r="B2749" t="s">
        <v>25022</v>
      </c>
      <c r="C2749">
        <v>322</v>
      </c>
      <c r="D2749">
        <v>13</v>
      </c>
      <c r="E2749">
        <v>4</v>
      </c>
      <c r="F2749">
        <v>0</v>
      </c>
      <c r="G2749">
        <v>2</v>
      </c>
      <c r="H2749">
        <v>2</v>
      </c>
    </row>
    <row r="2750" spans="2:8">
      <c r="B2750" t="s">
        <v>25022</v>
      </c>
      <c r="C2750">
        <v>322</v>
      </c>
      <c r="D2750">
        <v>6</v>
      </c>
      <c r="E2750">
        <v>0</v>
      </c>
      <c r="F2750">
        <v>0</v>
      </c>
      <c r="G2750">
        <v>0</v>
      </c>
      <c r="H2750">
        <v>0</v>
      </c>
    </row>
    <row r="2751" spans="2:8">
      <c r="B2751" t="s">
        <v>25022</v>
      </c>
      <c r="C2751">
        <v>322</v>
      </c>
      <c r="D2751">
        <v>3</v>
      </c>
      <c r="E2751">
        <v>0</v>
      </c>
      <c r="F2751">
        <v>0</v>
      </c>
      <c r="G2751">
        <v>0</v>
      </c>
      <c r="H2751">
        <v>0</v>
      </c>
    </row>
    <row r="2752" spans="2:8">
      <c r="B2752" t="s">
        <v>25022</v>
      </c>
      <c r="C2752">
        <v>323</v>
      </c>
      <c r="D2752">
        <v>26</v>
      </c>
      <c r="E2752">
        <v>13</v>
      </c>
      <c r="F2752">
        <v>0</v>
      </c>
      <c r="G2752">
        <v>12</v>
      </c>
      <c r="H2752">
        <v>1</v>
      </c>
    </row>
    <row r="2753" spans="2:8">
      <c r="B2753" t="s">
        <v>25022</v>
      </c>
      <c r="C2753">
        <v>323</v>
      </c>
      <c r="D2753">
        <v>15</v>
      </c>
      <c r="E2753">
        <v>0</v>
      </c>
      <c r="F2753">
        <v>0</v>
      </c>
      <c r="G2753">
        <v>0</v>
      </c>
      <c r="H2753">
        <v>0</v>
      </c>
    </row>
    <row r="2754" spans="2:8">
      <c r="B2754" t="s">
        <v>25022</v>
      </c>
      <c r="C2754">
        <v>323</v>
      </c>
      <c r="D2754">
        <v>13</v>
      </c>
      <c r="E2754">
        <v>0</v>
      </c>
      <c r="F2754">
        <v>0</v>
      </c>
      <c r="G2754">
        <v>0</v>
      </c>
      <c r="H2754">
        <v>0</v>
      </c>
    </row>
    <row r="2755" spans="2:8">
      <c r="B2755" t="s">
        <v>25022</v>
      </c>
      <c r="C2755">
        <v>323</v>
      </c>
      <c r="D2755">
        <v>18</v>
      </c>
      <c r="E2755">
        <v>7</v>
      </c>
      <c r="F2755">
        <v>0</v>
      </c>
      <c r="G2755">
        <v>7</v>
      </c>
      <c r="H2755">
        <v>0</v>
      </c>
    </row>
    <row r="2756" spans="2:8">
      <c r="B2756" t="s">
        <v>25022</v>
      </c>
      <c r="C2756">
        <v>323</v>
      </c>
      <c r="D2756">
        <v>18</v>
      </c>
      <c r="E2756">
        <v>4</v>
      </c>
      <c r="F2756">
        <v>0</v>
      </c>
      <c r="G2756">
        <v>2</v>
      </c>
      <c r="H2756">
        <v>2</v>
      </c>
    </row>
    <row r="2757" spans="2:8">
      <c r="B2757" t="s">
        <v>25022</v>
      </c>
      <c r="C2757">
        <v>323</v>
      </c>
      <c r="D2757">
        <v>9</v>
      </c>
      <c r="E2757">
        <v>2</v>
      </c>
      <c r="F2757">
        <v>0</v>
      </c>
      <c r="G2757">
        <v>0</v>
      </c>
      <c r="H2757">
        <v>2</v>
      </c>
    </row>
    <row r="2758" spans="2:8">
      <c r="B2758" t="s">
        <v>25022</v>
      </c>
      <c r="C2758">
        <v>324</v>
      </c>
      <c r="D2758">
        <v>36</v>
      </c>
      <c r="E2758">
        <v>12</v>
      </c>
      <c r="F2758">
        <v>0</v>
      </c>
      <c r="G2758">
        <v>5</v>
      </c>
      <c r="H2758">
        <v>7</v>
      </c>
    </row>
    <row r="2759" spans="2:8">
      <c r="B2759" t="s">
        <v>25022</v>
      </c>
      <c r="C2759">
        <v>324</v>
      </c>
      <c r="D2759">
        <v>44</v>
      </c>
      <c r="E2759">
        <v>22</v>
      </c>
      <c r="F2759">
        <v>0</v>
      </c>
      <c r="G2759">
        <v>21</v>
      </c>
      <c r="H2759">
        <v>1</v>
      </c>
    </row>
    <row r="2760" spans="2:8">
      <c r="B2760" t="s">
        <v>25022</v>
      </c>
      <c r="C2760">
        <v>324</v>
      </c>
      <c r="D2760">
        <v>28</v>
      </c>
      <c r="E2760">
        <v>15</v>
      </c>
      <c r="F2760">
        <v>0</v>
      </c>
      <c r="G2760">
        <v>15</v>
      </c>
      <c r="H2760">
        <v>0</v>
      </c>
    </row>
    <row r="2761" spans="2:8">
      <c r="B2761" t="s">
        <v>25022</v>
      </c>
      <c r="C2761">
        <v>324</v>
      </c>
      <c r="D2761">
        <v>9</v>
      </c>
      <c r="E2761">
        <v>2</v>
      </c>
      <c r="F2761">
        <v>0</v>
      </c>
      <c r="G2761">
        <v>2</v>
      </c>
      <c r="H2761">
        <v>0</v>
      </c>
    </row>
    <row r="2762" spans="2:8">
      <c r="B2762" t="s">
        <v>25022</v>
      </c>
      <c r="C2762">
        <v>324</v>
      </c>
      <c r="D2762">
        <v>7</v>
      </c>
      <c r="E2762">
        <v>0</v>
      </c>
      <c r="F2762">
        <v>0</v>
      </c>
      <c r="G2762">
        <v>0</v>
      </c>
      <c r="H2762">
        <v>0</v>
      </c>
    </row>
    <row r="2763" spans="2:8">
      <c r="B2763" t="s">
        <v>25022</v>
      </c>
      <c r="C2763">
        <v>324</v>
      </c>
      <c r="D2763">
        <v>16</v>
      </c>
      <c r="E2763">
        <v>8</v>
      </c>
      <c r="F2763">
        <v>0</v>
      </c>
      <c r="G2763">
        <v>7</v>
      </c>
      <c r="H2763">
        <v>1</v>
      </c>
    </row>
    <row r="2764" spans="2:8">
      <c r="B2764" t="s">
        <v>25022</v>
      </c>
      <c r="C2764">
        <v>324</v>
      </c>
      <c r="D2764">
        <v>6</v>
      </c>
      <c r="E2764">
        <v>2</v>
      </c>
      <c r="F2764">
        <v>0</v>
      </c>
      <c r="G2764">
        <v>2</v>
      </c>
      <c r="H2764">
        <v>0</v>
      </c>
    </row>
    <row r="2765" spans="2:8">
      <c r="B2765" t="s">
        <v>25022</v>
      </c>
      <c r="C2765">
        <v>325</v>
      </c>
      <c r="D2765">
        <v>44</v>
      </c>
      <c r="E2765">
        <v>25</v>
      </c>
      <c r="F2765">
        <v>0</v>
      </c>
      <c r="G2765">
        <v>22</v>
      </c>
      <c r="H2765">
        <v>3</v>
      </c>
    </row>
    <row r="2766" spans="2:8">
      <c r="B2766" t="s">
        <v>25022</v>
      </c>
      <c r="C2766">
        <v>325</v>
      </c>
      <c r="D2766">
        <v>51</v>
      </c>
      <c r="E2766">
        <v>27</v>
      </c>
      <c r="F2766">
        <v>0</v>
      </c>
      <c r="G2766">
        <v>26</v>
      </c>
      <c r="H2766">
        <v>1</v>
      </c>
    </row>
    <row r="2767" spans="2:8">
      <c r="B2767" t="s">
        <v>25022</v>
      </c>
      <c r="C2767">
        <v>325</v>
      </c>
      <c r="D2767">
        <v>43</v>
      </c>
      <c r="E2767">
        <v>19</v>
      </c>
      <c r="F2767">
        <v>0</v>
      </c>
      <c r="G2767">
        <v>17</v>
      </c>
      <c r="H2767">
        <v>2</v>
      </c>
    </row>
    <row r="2768" spans="2:8">
      <c r="B2768" t="s">
        <v>25022</v>
      </c>
      <c r="C2768">
        <v>325</v>
      </c>
      <c r="D2768">
        <v>12</v>
      </c>
      <c r="E2768">
        <v>0</v>
      </c>
      <c r="F2768">
        <v>0</v>
      </c>
      <c r="G2768">
        <v>0</v>
      </c>
      <c r="H2768">
        <v>0</v>
      </c>
    </row>
    <row r="2769" spans="2:8">
      <c r="B2769" t="s">
        <v>25022</v>
      </c>
      <c r="C2769">
        <v>325</v>
      </c>
      <c r="D2769">
        <v>11</v>
      </c>
      <c r="E2769">
        <v>2</v>
      </c>
      <c r="F2769">
        <v>0</v>
      </c>
      <c r="G2769">
        <v>2</v>
      </c>
      <c r="H2769">
        <v>0</v>
      </c>
    </row>
    <row r="2770" spans="2:8">
      <c r="B2770" t="s">
        <v>25022</v>
      </c>
      <c r="C2770">
        <v>325</v>
      </c>
      <c r="D2770">
        <v>29</v>
      </c>
      <c r="E2770">
        <v>9</v>
      </c>
      <c r="F2770">
        <v>0</v>
      </c>
      <c r="G2770">
        <v>5</v>
      </c>
      <c r="H2770">
        <v>4</v>
      </c>
    </row>
    <row r="2771" spans="2:8">
      <c r="B2771" t="s">
        <v>25022</v>
      </c>
      <c r="C2771">
        <v>325</v>
      </c>
      <c r="D2771">
        <v>27</v>
      </c>
      <c r="E2771">
        <v>12</v>
      </c>
      <c r="F2771">
        <v>0</v>
      </c>
      <c r="G2771">
        <v>11</v>
      </c>
      <c r="H2771">
        <v>1</v>
      </c>
    </row>
    <row r="2772" spans="2:8">
      <c r="B2772" t="s">
        <v>25022</v>
      </c>
      <c r="C2772">
        <v>325</v>
      </c>
      <c r="D2772">
        <v>15</v>
      </c>
      <c r="E2772">
        <v>6</v>
      </c>
      <c r="F2772">
        <v>0</v>
      </c>
      <c r="G2772">
        <v>6</v>
      </c>
      <c r="H2772">
        <v>0</v>
      </c>
    </row>
    <row r="2773" spans="2:8">
      <c r="B2773" t="s">
        <v>25022</v>
      </c>
      <c r="C2773">
        <v>325</v>
      </c>
      <c r="D2773">
        <v>22</v>
      </c>
      <c r="E2773">
        <v>5</v>
      </c>
      <c r="F2773">
        <v>0</v>
      </c>
      <c r="G2773">
        <v>5</v>
      </c>
      <c r="H2773">
        <v>0</v>
      </c>
    </row>
    <row r="2774" spans="2:8">
      <c r="B2774" t="s">
        <v>25022</v>
      </c>
      <c r="C2774">
        <v>325</v>
      </c>
      <c r="D2774">
        <v>10</v>
      </c>
      <c r="E2774">
        <v>0</v>
      </c>
      <c r="F2774">
        <v>0</v>
      </c>
      <c r="G2774">
        <v>0</v>
      </c>
      <c r="H2774">
        <v>0</v>
      </c>
    </row>
    <row r="2775" spans="2:8">
      <c r="B2775" t="s">
        <v>25022</v>
      </c>
      <c r="C2775">
        <v>325</v>
      </c>
      <c r="D2775">
        <v>5</v>
      </c>
      <c r="E2775">
        <v>0</v>
      </c>
      <c r="F2775">
        <v>0</v>
      </c>
      <c r="G2775">
        <v>0</v>
      </c>
      <c r="H2775">
        <v>0</v>
      </c>
    </row>
    <row r="2776" spans="2:8">
      <c r="B2776" t="s">
        <v>25022</v>
      </c>
      <c r="C2776">
        <v>325</v>
      </c>
      <c r="D2776">
        <v>3</v>
      </c>
      <c r="E2776">
        <v>0</v>
      </c>
      <c r="F2776">
        <v>0</v>
      </c>
      <c r="G2776">
        <v>0</v>
      </c>
      <c r="H2776">
        <v>0</v>
      </c>
    </row>
    <row r="2777" spans="2:8">
      <c r="B2777" t="s">
        <v>25022</v>
      </c>
      <c r="C2777">
        <v>327</v>
      </c>
      <c r="D2777">
        <v>2</v>
      </c>
      <c r="E2777">
        <v>0</v>
      </c>
      <c r="F2777">
        <v>0</v>
      </c>
      <c r="G2777">
        <v>0</v>
      </c>
      <c r="H2777">
        <v>0</v>
      </c>
    </row>
    <row r="2778" spans="2:8">
      <c r="B2778" t="s">
        <v>25022</v>
      </c>
      <c r="C2778">
        <v>328</v>
      </c>
      <c r="D2778">
        <v>22</v>
      </c>
      <c r="E2778">
        <v>2</v>
      </c>
      <c r="F2778">
        <v>0</v>
      </c>
      <c r="G2778">
        <v>2</v>
      </c>
      <c r="H2778">
        <v>0</v>
      </c>
    </row>
    <row r="2779" spans="2:8">
      <c r="B2779" t="s">
        <v>25022</v>
      </c>
      <c r="C2779">
        <v>328</v>
      </c>
      <c r="D2779">
        <v>48</v>
      </c>
      <c r="E2779">
        <v>30</v>
      </c>
      <c r="F2779">
        <v>0</v>
      </c>
      <c r="G2779">
        <v>28</v>
      </c>
      <c r="H2779">
        <v>2</v>
      </c>
    </row>
    <row r="2780" spans="2:8">
      <c r="B2780" t="s">
        <v>25022</v>
      </c>
      <c r="C2780">
        <v>328</v>
      </c>
      <c r="D2780">
        <v>21</v>
      </c>
      <c r="E2780">
        <v>6</v>
      </c>
      <c r="F2780">
        <v>0</v>
      </c>
      <c r="G2780">
        <v>6</v>
      </c>
      <c r="H2780">
        <v>0</v>
      </c>
    </row>
    <row r="2781" spans="2:8">
      <c r="B2781" t="s">
        <v>25022</v>
      </c>
      <c r="C2781">
        <v>328</v>
      </c>
      <c r="D2781">
        <v>12</v>
      </c>
      <c r="E2781">
        <v>4</v>
      </c>
      <c r="F2781">
        <v>0</v>
      </c>
      <c r="G2781">
        <v>4</v>
      </c>
      <c r="H2781">
        <v>0</v>
      </c>
    </row>
    <row r="2782" spans="2:8">
      <c r="B2782" t="s">
        <v>25022</v>
      </c>
      <c r="C2782">
        <v>329</v>
      </c>
      <c r="D2782">
        <v>28</v>
      </c>
      <c r="E2782">
        <v>4</v>
      </c>
      <c r="F2782">
        <v>0</v>
      </c>
      <c r="G2782">
        <v>4</v>
      </c>
      <c r="H2782">
        <v>0</v>
      </c>
    </row>
    <row r="2783" spans="2:8">
      <c r="B2783" t="s">
        <v>25022</v>
      </c>
      <c r="C2783">
        <v>329</v>
      </c>
      <c r="D2783">
        <v>41</v>
      </c>
      <c r="E2783">
        <v>23</v>
      </c>
      <c r="F2783">
        <v>0</v>
      </c>
      <c r="G2783">
        <v>16</v>
      </c>
      <c r="H2783">
        <v>7</v>
      </c>
    </row>
    <row r="2784" spans="2:8">
      <c r="B2784" t="s">
        <v>25022</v>
      </c>
      <c r="C2784">
        <v>329</v>
      </c>
      <c r="D2784">
        <v>10</v>
      </c>
      <c r="E2784">
        <v>4</v>
      </c>
      <c r="F2784">
        <v>0</v>
      </c>
      <c r="G2784">
        <v>4</v>
      </c>
      <c r="H2784">
        <v>0</v>
      </c>
    </row>
    <row r="2785" spans="2:8">
      <c r="B2785" t="s">
        <v>25022</v>
      </c>
      <c r="C2785">
        <v>329</v>
      </c>
      <c r="D2785">
        <v>17</v>
      </c>
      <c r="E2785">
        <v>2</v>
      </c>
      <c r="F2785">
        <v>0</v>
      </c>
      <c r="G2785">
        <v>2</v>
      </c>
      <c r="H2785">
        <v>0</v>
      </c>
    </row>
    <row r="2786" spans="2:8">
      <c r="B2786" t="s">
        <v>25022</v>
      </c>
      <c r="C2786">
        <v>329</v>
      </c>
      <c r="D2786">
        <v>17</v>
      </c>
      <c r="E2786">
        <v>0</v>
      </c>
      <c r="F2786">
        <v>0</v>
      </c>
      <c r="G2786">
        <v>0</v>
      </c>
      <c r="H2786">
        <v>0</v>
      </c>
    </row>
    <row r="2787" spans="2:8">
      <c r="B2787" t="s">
        <v>25022</v>
      </c>
      <c r="C2787">
        <v>329</v>
      </c>
      <c r="D2787">
        <v>10</v>
      </c>
      <c r="E2787">
        <v>0</v>
      </c>
      <c r="F2787">
        <v>0</v>
      </c>
      <c r="G2787">
        <v>0</v>
      </c>
      <c r="H2787">
        <v>0</v>
      </c>
    </row>
    <row r="2788" spans="2:8">
      <c r="B2788" t="s">
        <v>25022</v>
      </c>
      <c r="C2788">
        <v>329</v>
      </c>
      <c r="D2788">
        <v>2</v>
      </c>
      <c r="E2788">
        <v>0</v>
      </c>
      <c r="F2788">
        <v>0</v>
      </c>
      <c r="G2788">
        <v>0</v>
      </c>
      <c r="H2788">
        <v>0</v>
      </c>
    </row>
    <row r="2789" spans="2:8">
      <c r="B2789" t="s">
        <v>25022</v>
      </c>
      <c r="C2789">
        <v>329</v>
      </c>
      <c r="D2789">
        <v>7</v>
      </c>
      <c r="E2789">
        <v>0</v>
      </c>
      <c r="F2789">
        <v>0</v>
      </c>
      <c r="G2789">
        <v>0</v>
      </c>
      <c r="H2789">
        <v>0</v>
      </c>
    </row>
    <row r="2790" spans="2:8">
      <c r="B2790" t="s">
        <v>25022</v>
      </c>
      <c r="C2790">
        <v>329</v>
      </c>
      <c r="D2790">
        <v>4</v>
      </c>
      <c r="E2790">
        <v>0</v>
      </c>
      <c r="F2790">
        <v>0</v>
      </c>
      <c r="G2790">
        <v>0</v>
      </c>
      <c r="H2790">
        <v>0</v>
      </c>
    </row>
    <row r="2791" spans="2:8">
      <c r="B2791" t="s">
        <v>25022</v>
      </c>
      <c r="C2791">
        <v>329</v>
      </c>
      <c r="D2791">
        <v>2</v>
      </c>
      <c r="E2791">
        <v>0</v>
      </c>
      <c r="F2791">
        <v>0</v>
      </c>
      <c r="G2791">
        <v>0</v>
      </c>
      <c r="H2791">
        <v>0</v>
      </c>
    </row>
    <row r="2792" spans="2:8">
      <c r="B2792" t="s">
        <v>25022</v>
      </c>
      <c r="C2792">
        <v>330</v>
      </c>
      <c r="D2792">
        <v>65</v>
      </c>
      <c r="E2792">
        <v>39</v>
      </c>
      <c r="F2792">
        <v>0</v>
      </c>
      <c r="G2792">
        <v>33</v>
      </c>
      <c r="H2792">
        <v>6</v>
      </c>
    </row>
    <row r="2793" spans="2:8">
      <c r="B2793" t="s">
        <v>25022</v>
      </c>
      <c r="C2793">
        <v>330</v>
      </c>
      <c r="D2793">
        <v>15</v>
      </c>
      <c r="E2793">
        <v>6</v>
      </c>
      <c r="F2793">
        <v>0</v>
      </c>
      <c r="G2793">
        <v>6</v>
      </c>
      <c r="H2793">
        <v>0</v>
      </c>
    </row>
    <row r="2794" spans="2:8">
      <c r="B2794" t="s">
        <v>25022</v>
      </c>
      <c r="C2794">
        <v>330</v>
      </c>
      <c r="D2794">
        <v>8</v>
      </c>
      <c r="E2794">
        <v>0</v>
      </c>
      <c r="F2794">
        <v>0</v>
      </c>
      <c r="G2794">
        <v>0</v>
      </c>
      <c r="H2794">
        <v>0</v>
      </c>
    </row>
    <row r="2795" spans="2:8">
      <c r="B2795" t="s">
        <v>25022</v>
      </c>
      <c r="C2795">
        <v>330</v>
      </c>
      <c r="D2795">
        <v>9</v>
      </c>
      <c r="E2795">
        <v>0</v>
      </c>
      <c r="F2795">
        <v>0</v>
      </c>
      <c r="G2795">
        <v>0</v>
      </c>
      <c r="H2795">
        <v>0</v>
      </c>
    </row>
    <row r="2796" spans="2:8">
      <c r="B2796" t="s">
        <v>25022</v>
      </c>
      <c r="C2796">
        <v>330</v>
      </c>
      <c r="D2796">
        <v>10</v>
      </c>
      <c r="E2796">
        <v>6</v>
      </c>
      <c r="F2796">
        <v>0</v>
      </c>
      <c r="G2796">
        <v>5</v>
      </c>
      <c r="H2796">
        <v>1</v>
      </c>
    </row>
    <row r="2797" spans="2:8">
      <c r="B2797" t="s">
        <v>25022</v>
      </c>
      <c r="C2797">
        <v>331</v>
      </c>
      <c r="D2797">
        <v>49</v>
      </c>
      <c r="E2797">
        <v>25</v>
      </c>
      <c r="F2797">
        <v>0</v>
      </c>
      <c r="G2797">
        <v>16</v>
      </c>
      <c r="H2797">
        <v>9</v>
      </c>
    </row>
    <row r="2798" spans="2:8">
      <c r="B2798" t="s">
        <v>25022</v>
      </c>
      <c r="C2798">
        <v>331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2:8">
      <c r="B2799" t="s">
        <v>25022</v>
      </c>
      <c r="C2799">
        <v>331</v>
      </c>
      <c r="D2799">
        <v>8</v>
      </c>
      <c r="E2799">
        <v>2</v>
      </c>
      <c r="F2799">
        <v>0</v>
      </c>
      <c r="G2799">
        <v>0</v>
      </c>
      <c r="H2799">
        <v>2</v>
      </c>
    </row>
    <row r="2800" spans="2:8">
      <c r="B2800" t="s">
        <v>25022</v>
      </c>
      <c r="C2800">
        <v>331</v>
      </c>
      <c r="D2800">
        <v>3</v>
      </c>
      <c r="E2800">
        <v>2</v>
      </c>
      <c r="F2800">
        <v>0</v>
      </c>
      <c r="G2800">
        <v>2</v>
      </c>
      <c r="H2800">
        <v>0</v>
      </c>
    </row>
    <row r="2801" spans="2:8">
      <c r="B2801" t="s">
        <v>25022</v>
      </c>
      <c r="C2801">
        <v>332</v>
      </c>
      <c r="D2801">
        <v>33</v>
      </c>
      <c r="E2801">
        <v>23</v>
      </c>
      <c r="F2801">
        <v>0</v>
      </c>
      <c r="G2801">
        <v>21</v>
      </c>
      <c r="H2801">
        <v>2</v>
      </c>
    </row>
    <row r="2802" spans="2:8">
      <c r="B2802" t="s">
        <v>25022</v>
      </c>
      <c r="C2802">
        <v>332</v>
      </c>
      <c r="D2802">
        <v>20</v>
      </c>
      <c r="E2802">
        <v>7</v>
      </c>
      <c r="F2802">
        <v>0</v>
      </c>
      <c r="G2802">
        <v>7</v>
      </c>
      <c r="H2802">
        <v>0</v>
      </c>
    </row>
    <row r="2803" spans="2:8">
      <c r="B2803" t="s">
        <v>25022</v>
      </c>
      <c r="C2803">
        <v>332</v>
      </c>
      <c r="D2803">
        <v>1</v>
      </c>
      <c r="E2803">
        <v>0</v>
      </c>
      <c r="F2803">
        <v>0</v>
      </c>
      <c r="G2803">
        <v>0</v>
      </c>
      <c r="H2803">
        <v>0</v>
      </c>
    </row>
    <row r="2804" spans="2:8">
      <c r="B2804" t="s">
        <v>25022</v>
      </c>
      <c r="C2804">
        <v>333</v>
      </c>
      <c r="D2804">
        <v>21</v>
      </c>
      <c r="E2804">
        <v>4</v>
      </c>
      <c r="F2804">
        <v>0</v>
      </c>
      <c r="G2804">
        <v>4</v>
      </c>
      <c r="H2804">
        <v>0</v>
      </c>
    </row>
    <row r="2805" spans="2:8">
      <c r="B2805" t="s">
        <v>25022</v>
      </c>
      <c r="C2805">
        <v>333</v>
      </c>
      <c r="D2805">
        <v>15</v>
      </c>
      <c r="E2805">
        <v>4</v>
      </c>
      <c r="F2805">
        <v>0</v>
      </c>
      <c r="G2805">
        <v>2</v>
      </c>
      <c r="H2805">
        <v>2</v>
      </c>
    </row>
    <row r="2806" spans="2:8">
      <c r="B2806" t="s">
        <v>25022</v>
      </c>
      <c r="C2806">
        <v>333</v>
      </c>
      <c r="D2806">
        <v>15</v>
      </c>
      <c r="E2806">
        <v>7</v>
      </c>
      <c r="F2806">
        <v>0</v>
      </c>
      <c r="G2806">
        <v>7</v>
      </c>
      <c r="H2806">
        <v>0</v>
      </c>
    </row>
    <row r="2807" spans="2:8">
      <c r="B2807" t="s">
        <v>25022</v>
      </c>
      <c r="C2807">
        <v>333</v>
      </c>
      <c r="D2807">
        <v>11</v>
      </c>
      <c r="E2807">
        <v>0</v>
      </c>
      <c r="F2807">
        <v>0</v>
      </c>
      <c r="G2807">
        <v>0</v>
      </c>
      <c r="H2807">
        <v>0</v>
      </c>
    </row>
    <row r="2808" spans="2:8">
      <c r="B2808" t="s">
        <v>25022</v>
      </c>
      <c r="C2808">
        <v>333</v>
      </c>
      <c r="D2808">
        <v>12</v>
      </c>
      <c r="E2808">
        <v>7</v>
      </c>
      <c r="F2808">
        <v>0</v>
      </c>
      <c r="G2808">
        <v>7</v>
      </c>
      <c r="H2808">
        <v>0</v>
      </c>
    </row>
    <row r="2809" spans="2:8">
      <c r="B2809" t="s">
        <v>25022</v>
      </c>
      <c r="C2809">
        <v>333</v>
      </c>
      <c r="D2809">
        <v>4</v>
      </c>
      <c r="E2809">
        <v>0</v>
      </c>
      <c r="F2809">
        <v>0</v>
      </c>
      <c r="G2809">
        <v>0</v>
      </c>
      <c r="H2809">
        <v>0</v>
      </c>
    </row>
    <row r="2810" spans="2:8">
      <c r="B2810" t="s">
        <v>25022</v>
      </c>
      <c r="C2810">
        <v>333</v>
      </c>
      <c r="D2810">
        <v>4</v>
      </c>
      <c r="E2810">
        <v>0</v>
      </c>
      <c r="F2810">
        <v>0</v>
      </c>
      <c r="G2810">
        <v>0</v>
      </c>
      <c r="H2810">
        <v>0</v>
      </c>
    </row>
    <row r="2811" spans="2:8">
      <c r="B2811" t="s">
        <v>25022</v>
      </c>
      <c r="C2811">
        <v>334</v>
      </c>
      <c r="D2811">
        <v>17</v>
      </c>
      <c r="E2811">
        <v>6</v>
      </c>
      <c r="F2811">
        <v>0</v>
      </c>
      <c r="G2811">
        <v>4</v>
      </c>
      <c r="H2811">
        <v>2</v>
      </c>
    </row>
    <row r="2812" spans="2:8">
      <c r="B2812" t="s">
        <v>25022</v>
      </c>
      <c r="C2812">
        <v>334</v>
      </c>
      <c r="D2812">
        <v>21</v>
      </c>
      <c r="E2812">
        <v>4</v>
      </c>
      <c r="F2812">
        <v>0</v>
      </c>
      <c r="G2812">
        <v>0</v>
      </c>
      <c r="H2812">
        <v>4</v>
      </c>
    </row>
    <row r="2813" spans="2:8">
      <c r="B2813" t="s">
        <v>25022</v>
      </c>
      <c r="C2813">
        <v>334</v>
      </c>
      <c r="D2813">
        <v>12</v>
      </c>
      <c r="E2813">
        <v>4</v>
      </c>
      <c r="F2813">
        <v>0</v>
      </c>
      <c r="G2813">
        <v>4</v>
      </c>
      <c r="H2813">
        <v>0</v>
      </c>
    </row>
    <row r="2814" spans="2:8">
      <c r="B2814" t="s">
        <v>25022</v>
      </c>
      <c r="C2814">
        <v>334</v>
      </c>
      <c r="D2814">
        <v>4</v>
      </c>
      <c r="E2814">
        <v>0</v>
      </c>
      <c r="F2814">
        <v>0</v>
      </c>
      <c r="G2814">
        <v>0</v>
      </c>
      <c r="H2814">
        <v>0</v>
      </c>
    </row>
    <row r="2815" spans="2:8">
      <c r="B2815" t="s">
        <v>25022</v>
      </c>
      <c r="C2815">
        <v>334</v>
      </c>
      <c r="D2815">
        <v>14</v>
      </c>
      <c r="E2815">
        <v>6</v>
      </c>
      <c r="F2815">
        <v>0</v>
      </c>
      <c r="G2815">
        <v>4</v>
      </c>
      <c r="H2815">
        <v>2</v>
      </c>
    </row>
    <row r="2816" spans="2:8">
      <c r="B2816" t="s">
        <v>25022</v>
      </c>
      <c r="C2816">
        <v>334</v>
      </c>
      <c r="D2816">
        <v>2</v>
      </c>
      <c r="E2816">
        <v>0</v>
      </c>
      <c r="F2816">
        <v>0</v>
      </c>
      <c r="G2816">
        <v>0</v>
      </c>
      <c r="H2816">
        <v>0</v>
      </c>
    </row>
    <row r="2817" spans="2:8">
      <c r="B2817" t="s">
        <v>25022</v>
      </c>
      <c r="C2817">
        <v>335</v>
      </c>
      <c r="D2817">
        <v>22</v>
      </c>
      <c r="E2817">
        <v>9</v>
      </c>
      <c r="F2817">
        <v>0</v>
      </c>
      <c r="G2817">
        <v>9</v>
      </c>
      <c r="H2817">
        <v>0</v>
      </c>
    </row>
    <row r="2818" spans="2:8">
      <c r="B2818" t="s">
        <v>25022</v>
      </c>
      <c r="C2818">
        <v>335</v>
      </c>
      <c r="D2818">
        <v>25</v>
      </c>
      <c r="E2818">
        <v>10</v>
      </c>
      <c r="F2818">
        <v>0</v>
      </c>
      <c r="G2818">
        <v>8</v>
      </c>
      <c r="H2818">
        <v>2</v>
      </c>
    </row>
    <row r="2819" spans="2:8">
      <c r="B2819" t="s">
        <v>25022</v>
      </c>
      <c r="C2819">
        <v>335</v>
      </c>
      <c r="D2819">
        <v>15</v>
      </c>
      <c r="E2819">
        <v>4</v>
      </c>
      <c r="F2819">
        <v>0</v>
      </c>
      <c r="G2819">
        <v>4</v>
      </c>
      <c r="H2819">
        <v>0</v>
      </c>
    </row>
    <row r="2820" spans="2:8">
      <c r="B2820" t="s">
        <v>25022</v>
      </c>
      <c r="C2820">
        <v>335</v>
      </c>
      <c r="D2820">
        <v>14</v>
      </c>
      <c r="E2820">
        <v>8</v>
      </c>
      <c r="F2820">
        <v>0</v>
      </c>
      <c r="G2820">
        <v>8</v>
      </c>
      <c r="H2820">
        <v>0</v>
      </c>
    </row>
    <row r="2821" spans="2:8">
      <c r="B2821" t="s">
        <v>25022</v>
      </c>
      <c r="C2821">
        <v>335</v>
      </c>
      <c r="D2821">
        <v>10</v>
      </c>
      <c r="E2821">
        <v>0</v>
      </c>
      <c r="F2821">
        <v>0</v>
      </c>
      <c r="G2821">
        <v>0</v>
      </c>
      <c r="H2821">
        <v>0</v>
      </c>
    </row>
    <row r="2822" spans="2:8">
      <c r="B2822" t="s">
        <v>25022</v>
      </c>
      <c r="C2822">
        <v>335</v>
      </c>
      <c r="D2822">
        <v>11</v>
      </c>
      <c r="E2822">
        <v>0</v>
      </c>
      <c r="F2822">
        <v>0</v>
      </c>
      <c r="G2822">
        <v>0</v>
      </c>
      <c r="H2822">
        <v>0</v>
      </c>
    </row>
    <row r="2823" spans="2:8">
      <c r="B2823" t="s">
        <v>25022</v>
      </c>
      <c r="C2823">
        <v>336</v>
      </c>
      <c r="D2823">
        <v>26</v>
      </c>
      <c r="E2823">
        <v>11</v>
      </c>
      <c r="F2823">
        <v>0</v>
      </c>
      <c r="G2823">
        <v>11</v>
      </c>
      <c r="H2823">
        <v>0</v>
      </c>
    </row>
    <row r="2824" spans="2:8">
      <c r="B2824" t="s">
        <v>25022</v>
      </c>
      <c r="C2824">
        <v>336</v>
      </c>
      <c r="D2824">
        <v>15</v>
      </c>
      <c r="E2824">
        <v>4</v>
      </c>
      <c r="F2824">
        <v>0</v>
      </c>
      <c r="G2824">
        <v>2</v>
      </c>
      <c r="H2824">
        <v>2</v>
      </c>
    </row>
    <row r="2825" spans="2:8">
      <c r="B2825" t="s">
        <v>25022</v>
      </c>
      <c r="C2825">
        <v>336</v>
      </c>
      <c r="D2825">
        <v>24</v>
      </c>
      <c r="E2825">
        <v>7</v>
      </c>
      <c r="F2825">
        <v>0</v>
      </c>
      <c r="G2825">
        <v>7</v>
      </c>
      <c r="H2825">
        <v>0</v>
      </c>
    </row>
    <row r="2826" spans="2:8">
      <c r="B2826" t="s">
        <v>25022</v>
      </c>
      <c r="C2826">
        <v>336</v>
      </c>
      <c r="D2826">
        <v>44</v>
      </c>
      <c r="E2826">
        <v>25</v>
      </c>
      <c r="F2826">
        <v>0</v>
      </c>
      <c r="G2826">
        <v>25</v>
      </c>
      <c r="H2826">
        <v>0</v>
      </c>
    </row>
    <row r="2827" spans="2:8">
      <c r="B2827" t="s">
        <v>25022</v>
      </c>
      <c r="C2827">
        <v>336</v>
      </c>
      <c r="D2827">
        <v>9</v>
      </c>
      <c r="E2827">
        <v>4</v>
      </c>
      <c r="F2827">
        <v>0</v>
      </c>
      <c r="G2827">
        <v>4</v>
      </c>
      <c r="H2827">
        <v>0</v>
      </c>
    </row>
    <row r="2828" spans="2:8">
      <c r="B2828" t="s">
        <v>25022</v>
      </c>
      <c r="C2828">
        <v>337</v>
      </c>
      <c r="D2828">
        <v>45</v>
      </c>
      <c r="E2828">
        <v>20</v>
      </c>
      <c r="F2828">
        <v>0</v>
      </c>
      <c r="G2828">
        <v>20</v>
      </c>
      <c r="H2828">
        <v>0</v>
      </c>
    </row>
    <row r="2829" spans="2:8">
      <c r="B2829" t="s">
        <v>25022</v>
      </c>
      <c r="C2829">
        <v>337</v>
      </c>
      <c r="D2829">
        <v>28</v>
      </c>
      <c r="E2829">
        <v>9</v>
      </c>
      <c r="F2829">
        <v>0</v>
      </c>
      <c r="G2829">
        <v>9</v>
      </c>
      <c r="H2829">
        <v>0</v>
      </c>
    </row>
    <row r="2830" spans="2:8">
      <c r="B2830" t="s">
        <v>25022</v>
      </c>
      <c r="C2830">
        <v>337</v>
      </c>
      <c r="D2830">
        <v>18</v>
      </c>
      <c r="E2830">
        <v>5</v>
      </c>
      <c r="F2830">
        <v>0</v>
      </c>
      <c r="G2830">
        <v>3</v>
      </c>
      <c r="H2830">
        <v>2</v>
      </c>
    </row>
    <row r="2831" spans="2:8">
      <c r="B2831" t="s">
        <v>25022</v>
      </c>
      <c r="C2831">
        <v>337</v>
      </c>
      <c r="D2831">
        <v>6</v>
      </c>
      <c r="E2831">
        <v>0</v>
      </c>
      <c r="F2831">
        <v>0</v>
      </c>
      <c r="G2831">
        <v>0</v>
      </c>
      <c r="H2831">
        <v>0</v>
      </c>
    </row>
    <row r="2832" spans="2:8">
      <c r="B2832" t="s">
        <v>25022</v>
      </c>
      <c r="C2832">
        <v>337</v>
      </c>
      <c r="D2832">
        <v>4</v>
      </c>
      <c r="E2832">
        <v>0</v>
      </c>
      <c r="F2832">
        <v>0</v>
      </c>
      <c r="G2832">
        <v>0</v>
      </c>
      <c r="H2832">
        <v>0</v>
      </c>
    </row>
    <row r="2833" spans="2:8">
      <c r="B2833" t="s">
        <v>25022</v>
      </c>
      <c r="C2833">
        <v>338</v>
      </c>
      <c r="D2833">
        <v>37</v>
      </c>
      <c r="E2833">
        <v>16</v>
      </c>
      <c r="F2833">
        <v>0</v>
      </c>
      <c r="G2833">
        <v>10</v>
      </c>
      <c r="H2833">
        <v>6</v>
      </c>
    </row>
    <row r="2834" spans="2:8">
      <c r="B2834" t="s">
        <v>25022</v>
      </c>
      <c r="C2834">
        <v>338</v>
      </c>
      <c r="D2834">
        <v>16</v>
      </c>
      <c r="E2834">
        <v>6</v>
      </c>
      <c r="F2834">
        <v>0</v>
      </c>
      <c r="G2834">
        <v>4</v>
      </c>
      <c r="H2834">
        <v>2</v>
      </c>
    </row>
    <row r="2835" spans="2:8">
      <c r="B2835" t="s">
        <v>25022</v>
      </c>
      <c r="C2835">
        <v>338</v>
      </c>
      <c r="D2835">
        <v>15</v>
      </c>
      <c r="E2835">
        <v>5</v>
      </c>
      <c r="F2835">
        <v>0</v>
      </c>
      <c r="G2835">
        <v>3</v>
      </c>
      <c r="H2835">
        <v>2</v>
      </c>
    </row>
    <row r="2836" spans="2:8">
      <c r="B2836" t="s">
        <v>25022</v>
      </c>
      <c r="C2836">
        <v>338</v>
      </c>
      <c r="D2836">
        <v>17</v>
      </c>
      <c r="E2836">
        <v>11</v>
      </c>
      <c r="F2836">
        <v>0</v>
      </c>
      <c r="G2836">
        <v>8</v>
      </c>
      <c r="H2836">
        <v>3</v>
      </c>
    </row>
    <row r="2837" spans="2:8">
      <c r="B2837" t="s">
        <v>25022</v>
      </c>
      <c r="C2837">
        <v>338</v>
      </c>
      <c r="D2837">
        <v>7</v>
      </c>
      <c r="E2837">
        <v>0</v>
      </c>
      <c r="F2837">
        <v>0</v>
      </c>
      <c r="G2837">
        <v>0</v>
      </c>
      <c r="H2837">
        <v>0</v>
      </c>
    </row>
    <row r="2838" spans="2:8">
      <c r="B2838" t="s">
        <v>25022</v>
      </c>
      <c r="C2838">
        <v>338</v>
      </c>
      <c r="D2838">
        <v>6</v>
      </c>
      <c r="E2838">
        <v>2</v>
      </c>
      <c r="F2838">
        <v>0</v>
      </c>
      <c r="G2838">
        <v>2</v>
      </c>
      <c r="H2838">
        <v>0</v>
      </c>
    </row>
    <row r="2839" spans="2:8">
      <c r="B2839" t="s">
        <v>25022</v>
      </c>
      <c r="C2839">
        <v>338</v>
      </c>
      <c r="D2839">
        <v>2</v>
      </c>
      <c r="E2839">
        <v>0</v>
      </c>
      <c r="F2839">
        <v>0</v>
      </c>
      <c r="G2839">
        <v>0</v>
      </c>
      <c r="H2839">
        <v>0</v>
      </c>
    </row>
    <row r="2840" spans="2:8">
      <c r="B2840" t="s">
        <v>25022</v>
      </c>
      <c r="C2840">
        <v>339</v>
      </c>
      <c r="D2840">
        <v>52</v>
      </c>
      <c r="E2840">
        <v>28</v>
      </c>
      <c r="F2840">
        <v>0</v>
      </c>
      <c r="G2840">
        <v>23</v>
      </c>
      <c r="H2840">
        <v>5</v>
      </c>
    </row>
    <row r="2841" spans="2:8">
      <c r="B2841" t="s">
        <v>25022</v>
      </c>
      <c r="C2841">
        <v>339</v>
      </c>
      <c r="D2841">
        <v>40</v>
      </c>
      <c r="E2841">
        <v>15</v>
      </c>
      <c r="F2841">
        <v>0</v>
      </c>
      <c r="G2841">
        <v>14</v>
      </c>
      <c r="H2841">
        <v>1</v>
      </c>
    </row>
    <row r="2842" spans="2:8">
      <c r="B2842" t="s">
        <v>25022</v>
      </c>
      <c r="C2842">
        <v>339</v>
      </c>
      <c r="D2842">
        <v>17</v>
      </c>
      <c r="E2842">
        <v>6</v>
      </c>
      <c r="F2842">
        <v>0</v>
      </c>
      <c r="G2842">
        <v>6</v>
      </c>
      <c r="H2842">
        <v>0</v>
      </c>
    </row>
    <row r="2843" spans="2:8">
      <c r="B2843" t="s">
        <v>25022</v>
      </c>
      <c r="C2843">
        <v>339</v>
      </c>
      <c r="D2843">
        <v>11</v>
      </c>
      <c r="E2843">
        <v>2</v>
      </c>
      <c r="F2843">
        <v>0</v>
      </c>
      <c r="G2843">
        <v>2</v>
      </c>
      <c r="H2843">
        <v>0</v>
      </c>
    </row>
    <row r="2844" spans="2:8">
      <c r="B2844" t="s">
        <v>25022</v>
      </c>
      <c r="C2844">
        <v>339</v>
      </c>
      <c r="D2844">
        <v>10</v>
      </c>
      <c r="E2844">
        <v>0</v>
      </c>
      <c r="F2844">
        <v>0</v>
      </c>
      <c r="G2844">
        <v>0</v>
      </c>
      <c r="H2844">
        <v>0</v>
      </c>
    </row>
    <row r="2845" spans="2:8">
      <c r="B2845" t="s">
        <v>25022</v>
      </c>
      <c r="C2845">
        <v>339</v>
      </c>
      <c r="D2845">
        <v>12</v>
      </c>
      <c r="E2845">
        <v>9</v>
      </c>
      <c r="F2845">
        <v>0</v>
      </c>
      <c r="G2845">
        <v>8</v>
      </c>
      <c r="H2845">
        <v>1</v>
      </c>
    </row>
    <row r="2846" spans="2:8">
      <c r="B2846" t="s">
        <v>25022</v>
      </c>
      <c r="C2846">
        <v>340</v>
      </c>
      <c r="D2846">
        <v>36</v>
      </c>
      <c r="E2846">
        <v>4</v>
      </c>
      <c r="F2846">
        <v>0</v>
      </c>
      <c r="G2846">
        <v>0</v>
      </c>
      <c r="H2846">
        <v>4</v>
      </c>
    </row>
    <row r="2847" spans="2:8">
      <c r="B2847" t="s">
        <v>25022</v>
      </c>
      <c r="C2847">
        <v>340</v>
      </c>
      <c r="D2847">
        <v>19</v>
      </c>
      <c r="E2847">
        <v>0</v>
      </c>
      <c r="F2847">
        <v>0</v>
      </c>
      <c r="G2847">
        <v>10</v>
      </c>
      <c r="H2847">
        <v>0</v>
      </c>
    </row>
    <row r="2848" spans="2:8">
      <c r="B2848" t="s">
        <v>25022</v>
      </c>
      <c r="C2848">
        <v>340</v>
      </c>
      <c r="D2848">
        <v>2</v>
      </c>
      <c r="E2848">
        <v>0</v>
      </c>
      <c r="F2848">
        <v>0</v>
      </c>
      <c r="G2848">
        <v>0</v>
      </c>
      <c r="H2848">
        <v>0</v>
      </c>
    </row>
    <row r="2849" spans="2:8">
      <c r="B2849" t="s">
        <v>25022</v>
      </c>
      <c r="C2849">
        <v>341</v>
      </c>
      <c r="D2849">
        <v>20</v>
      </c>
      <c r="E2849">
        <v>4</v>
      </c>
      <c r="F2849">
        <v>0</v>
      </c>
      <c r="G2849">
        <v>4</v>
      </c>
      <c r="H2849">
        <v>0</v>
      </c>
    </row>
    <row r="2850" spans="2:8">
      <c r="B2850" t="s">
        <v>25022</v>
      </c>
      <c r="C2850">
        <v>341</v>
      </c>
      <c r="D2850">
        <v>28</v>
      </c>
      <c r="E2850">
        <v>9</v>
      </c>
      <c r="F2850">
        <v>0</v>
      </c>
      <c r="G2850">
        <v>7</v>
      </c>
      <c r="H2850">
        <v>2</v>
      </c>
    </row>
    <row r="2851" spans="2:8">
      <c r="B2851" t="s">
        <v>25022</v>
      </c>
      <c r="C2851">
        <v>341</v>
      </c>
      <c r="D2851">
        <v>19</v>
      </c>
      <c r="E2851">
        <v>9</v>
      </c>
      <c r="F2851">
        <v>0</v>
      </c>
      <c r="G2851">
        <v>9</v>
      </c>
      <c r="H2851">
        <v>0</v>
      </c>
    </row>
    <row r="2852" spans="2:8">
      <c r="B2852" t="s">
        <v>25022</v>
      </c>
      <c r="C2852">
        <v>341</v>
      </c>
      <c r="D2852">
        <v>24</v>
      </c>
      <c r="E2852">
        <v>4</v>
      </c>
      <c r="F2852">
        <v>0</v>
      </c>
      <c r="G2852">
        <v>2</v>
      </c>
      <c r="H2852">
        <v>2</v>
      </c>
    </row>
    <row r="2853" spans="2:8">
      <c r="B2853" t="s">
        <v>25022</v>
      </c>
      <c r="C2853">
        <v>341</v>
      </c>
      <c r="D2853">
        <v>15</v>
      </c>
      <c r="E2853">
        <v>6</v>
      </c>
      <c r="F2853">
        <v>0</v>
      </c>
      <c r="G2853">
        <v>2</v>
      </c>
      <c r="H2853">
        <v>4</v>
      </c>
    </row>
    <row r="2854" spans="2:8">
      <c r="B2854" t="s">
        <v>25022</v>
      </c>
      <c r="C2854">
        <v>341</v>
      </c>
      <c r="D2854">
        <v>8</v>
      </c>
      <c r="E2854">
        <v>0</v>
      </c>
      <c r="F2854">
        <v>0</v>
      </c>
      <c r="G2854">
        <v>0</v>
      </c>
      <c r="H2854">
        <v>0</v>
      </c>
    </row>
    <row r="2855" spans="2:8">
      <c r="B2855" t="s">
        <v>25022</v>
      </c>
      <c r="C2855">
        <v>342</v>
      </c>
      <c r="D2855">
        <v>41</v>
      </c>
      <c r="E2855">
        <v>23</v>
      </c>
      <c r="F2855">
        <v>0</v>
      </c>
      <c r="G2855">
        <v>19</v>
      </c>
      <c r="H2855">
        <v>4</v>
      </c>
    </row>
    <row r="2856" spans="2:8">
      <c r="B2856" t="s">
        <v>25022</v>
      </c>
      <c r="C2856">
        <v>342</v>
      </c>
      <c r="D2856">
        <v>26</v>
      </c>
      <c r="E2856">
        <v>16</v>
      </c>
      <c r="F2856">
        <v>0</v>
      </c>
      <c r="G2856">
        <v>16</v>
      </c>
      <c r="H2856">
        <v>0</v>
      </c>
    </row>
    <row r="2857" spans="2:8">
      <c r="B2857" t="s">
        <v>25022</v>
      </c>
      <c r="C2857">
        <v>342</v>
      </c>
      <c r="D2857">
        <v>6</v>
      </c>
      <c r="E2857">
        <v>3</v>
      </c>
      <c r="F2857">
        <v>0</v>
      </c>
      <c r="G2857">
        <v>3</v>
      </c>
      <c r="H2857">
        <v>0</v>
      </c>
    </row>
    <row r="2858" spans="2:8">
      <c r="B2858" t="s">
        <v>25022</v>
      </c>
      <c r="C2858">
        <v>342</v>
      </c>
      <c r="D2858">
        <v>9</v>
      </c>
      <c r="E2858">
        <v>5</v>
      </c>
      <c r="F2858">
        <v>0</v>
      </c>
      <c r="G2858">
        <v>5</v>
      </c>
      <c r="H2858">
        <v>0</v>
      </c>
    </row>
    <row r="2859" spans="2:8">
      <c r="B2859" t="s">
        <v>25022</v>
      </c>
      <c r="C2859">
        <v>342</v>
      </c>
      <c r="D2859">
        <v>5</v>
      </c>
      <c r="E2859">
        <v>0</v>
      </c>
      <c r="F2859">
        <v>0</v>
      </c>
      <c r="G2859">
        <v>0</v>
      </c>
      <c r="H2859">
        <v>0</v>
      </c>
    </row>
    <row r="2860" spans="2:8">
      <c r="B2860" t="s">
        <v>25022</v>
      </c>
      <c r="C2860">
        <v>343</v>
      </c>
      <c r="D2860">
        <v>41</v>
      </c>
      <c r="E2860">
        <v>28</v>
      </c>
      <c r="F2860">
        <v>0</v>
      </c>
      <c r="G2860">
        <v>28</v>
      </c>
      <c r="H2860">
        <v>0</v>
      </c>
    </row>
    <row r="2861" spans="2:8">
      <c r="B2861" t="s">
        <v>25022</v>
      </c>
      <c r="C2861">
        <v>343</v>
      </c>
      <c r="D2861">
        <v>17</v>
      </c>
      <c r="E2861">
        <v>5</v>
      </c>
      <c r="F2861">
        <v>0</v>
      </c>
      <c r="G2861">
        <v>5</v>
      </c>
      <c r="H2861">
        <v>0</v>
      </c>
    </row>
    <row r="2862" spans="2:8">
      <c r="B2862" t="s">
        <v>25022</v>
      </c>
      <c r="C2862">
        <v>343</v>
      </c>
      <c r="D2862">
        <v>16</v>
      </c>
      <c r="E2862">
        <v>5</v>
      </c>
      <c r="F2862">
        <v>0</v>
      </c>
      <c r="G2862">
        <v>5</v>
      </c>
      <c r="H2862">
        <v>0</v>
      </c>
    </row>
    <row r="2863" spans="2:8">
      <c r="B2863" t="s">
        <v>25022</v>
      </c>
      <c r="C2863">
        <v>343</v>
      </c>
      <c r="D2863">
        <v>13</v>
      </c>
      <c r="E2863">
        <v>7</v>
      </c>
      <c r="F2863">
        <v>0</v>
      </c>
      <c r="G2863">
        <v>7</v>
      </c>
      <c r="H2863">
        <v>0</v>
      </c>
    </row>
    <row r="2864" spans="2:8">
      <c r="B2864" t="s">
        <v>25022</v>
      </c>
      <c r="C2864">
        <v>343</v>
      </c>
      <c r="D2864">
        <v>19</v>
      </c>
      <c r="E2864">
        <v>8</v>
      </c>
      <c r="F2864">
        <v>0</v>
      </c>
      <c r="G2864">
        <v>8</v>
      </c>
      <c r="H2864">
        <v>0</v>
      </c>
    </row>
    <row r="2865" spans="2:8">
      <c r="B2865" t="s">
        <v>25022</v>
      </c>
      <c r="C2865">
        <v>343</v>
      </c>
      <c r="D2865">
        <v>7</v>
      </c>
      <c r="E2865">
        <v>0</v>
      </c>
      <c r="F2865">
        <v>0</v>
      </c>
      <c r="G2865">
        <v>0</v>
      </c>
      <c r="H2865">
        <v>0</v>
      </c>
    </row>
    <row r="2866" spans="2:8">
      <c r="B2866" t="s">
        <v>25022</v>
      </c>
      <c r="C2866">
        <v>344</v>
      </c>
      <c r="D2866">
        <v>67</v>
      </c>
      <c r="E2866">
        <v>48</v>
      </c>
      <c r="F2866">
        <v>3</v>
      </c>
      <c r="G2866">
        <v>38</v>
      </c>
      <c r="H2866">
        <v>7</v>
      </c>
    </row>
    <row r="2867" spans="2:8">
      <c r="B2867" t="s">
        <v>25022</v>
      </c>
      <c r="C2867">
        <v>344</v>
      </c>
      <c r="D2867">
        <v>35</v>
      </c>
      <c r="E2867">
        <v>15</v>
      </c>
      <c r="F2867">
        <v>0</v>
      </c>
      <c r="G2867">
        <v>12</v>
      </c>
      <c r="H2867">
        <v>3</v>
      </c>
    </row>
    <row r="2868" spans="2:8">
      <c r="B2868" t="s">
        <v>25022</v>
      </c>
      <c r="C2868">
        <v>344</v>
      </c>
      <c r="D2868">
        <v>27</v>
      </c>
      <c r="E2868">
        <v>15</v>
      </c>
      <c r="F2868">
        <v>2</v>
      </c>
      <c r="G2868">
        <v>8</v>
      </c>
      <c r="H2868">
        <v>5</v>
      </c>
    </row>
    <row r="2869" spans="2:8">
      <c r="B2869" t="s">
        <v>25022</v>
      </c>
      <c r="C2869">
        <v>344</v>
      </c>
      <c r="D2869">
        <v>22</v>
      </c>
      <c r="E2869">
        <v>7</v>
      </c>
      <c r="F2869">
        <v>0</v>
      </c>
      <c r="G2869">
        <v>7</v>
      </c>
      <c r="H2869">
        <v>0</v>
      </c>
    </row>
    <row r="2870" spans="2:8">
      <c r="B2870" t="s">
        <v>25022</v>
      </c>
      <c r="C2870">
        <v>344</v>
      </c>
      <c r="D2870">
        <v>20</v>
      </c>
      <c r="E2870">
        <v>10</v>
      </c>
      <c r="F2870">
        <v>0</v>
      </c>
      <c r="G2870">
        <v>10</v>
      </c>
      <c r="H2870">
        <v>0</v>
      </c>
    </row>
    <row r="2871" spans="2:8">
      <c r="B2871" t="s">
        <v>25022</v>
      </c>
      <c r="C2871">
        <v>344</v>
      </c>
      <c r="D2871">
        <v>14</v>
      </c>
      <c r="E2871">
        <v>7</v>
      </c>
      <c r="F2871">
        <v>0</v>
      </c>
      <c r="G2871">
        <v>4</v>
      </c>
      <c r="H2871">
        <v>3</v>
      </c>
    </row>
    <row r="2872" spans="2:8">
      <c r="B2872" t="s">
        <v>25022</v>
      </c>
      <c r="C2872">
        <v>344</v>
      </c>
      <c r="D2872">
        <v>14</v>
      </c>
      <c r="E2872">
        <v>5</v>
      </c>
      <c r="F2872">
        <v>0</v>
      </c>
      <c r="G2872">
        <v>5</v>
      </c>
      <c r="H2872">
        <v>0</v>
      </c>
    </row>
    <row r="2873" spans="2:8">
      <c r="B2873" t="s">
        <v>25022</v>
      </c>
      <c r="C2873">
        <v>345</v>
      </c>
      <c r="D2873">
        <v>29</v>
      </c>
      <c r="E2873">
        <v>9</v>
      </c>
      <c r="F2873">
        <v>0</v>
      </c>
      <c r="G2873">
        <v>4</v>
      </c>
      <c r="H2873">
        <v>5</v>
      </c>
    </row>
    <row r="2874" spans="2:8">
      <c r="B2874" t="s">
        <v>25022</v>
      </c>
      <c r="C2874">
        <v>345</v>
      </c>
      <c r="D2874">
        <v>21</v>
      </c>
      <c r="E2874">
        <v>7</v>
      </c>
      <c r="F2874">
        <v>0</v>
      </c>
      <c r="G2874">
        <v>7</v>
      </c>
      <c r="H2874">
        <v>0</v>
      </c>
    </row>
    <row r="2875" spans="2:8">
      <c r="B2875" t="s">
        <v>25022</v>
      </c>
      <c r="C2875">
        <v>345</v>
      </c>
      <c r="D2875">
        <v>30</v>
      </c>
      <c r="E2875">
        <v>7</v>
      </c>
      <c r="F2875">
        <v>0</v>
      </c>
      <c r="G2875">
        <v>7</v>
      </c>
      <c r="H2875">
        <v>0</v>
      </c>
    </row>
    <row r="2876" spans="2:8">
      <c r="B2876" t="s">
        <v>25022</v>
      </c>
      <c r="C2876">
        <v>346</v>
      </c>
      <c r="D2876">
        <v>11</v>
      </c>
      <c r="E2876">
        <v>3</v>
      </c>
      <c r="F2876">
        <v>0</v>
      </c>
      <c r="G2876">
        <v>3</v>
      </c>
      <c r="H2876">
        <v>0</v>
      </c>
    </row>
    <row r="2877" spans="2:8">
      <c r="B2877" t="s">
        <v>25022</v>
      </c>
      <c r="C2877">
        <v>346</v>
      </c>
      <c r="D2877">
        <v>21</v>
      </c>
      <c r="E2877">
        <v>6</v>
      </c>
      <c r="F2877">
        <v>0</v>
      </c>
      <c r="G2877">
        <v>6</v>
      </c>
      <c r="H2877">
        <v>0</v>
      </c>
    </row>
    <row r="2878" spans="2:8">
      <c r="B2878" t="s">
        <v>25022</v>
      </c>
      <c r="C2878">
        <v>346</v>
      </c>
      <c r="D2878">
        <v>16</v>
      </c>
      <c r="E2878">
        <v>5</v>
      </c>
      <c r="F2878">
        <v>0</v>
      </c>
      <c r="G2878">
        <v>4</v>
      </c>
      <c r="H2878">
        <v>1</v>
      </c>
    </row>
    <row r="2879" spans="2:8">
      <c r="B2879" t="s">
        <v>25022</v>
      </c>
      <c r="C2879">
        <v>346</v>
      </c>
      <c r="D2879">
        <v>15</v>
      </c>
      <c r="E2879">
        <v>4</v>
      </c>
      <c r="F2879">
        <v>0</v>
      </c>
      <c r="G2879">
        <v>2</v>
      </c>
      <c r="H2879">
        <v>2</v>
      </c>
    </row>
    <row r="2880" spans="2:8">
      <c r="B2880" t="s">
        <v>25022</v>
      </c>
      <c r="C2880">
        <v>346</v>
      </c>
      <c r="D2880">
        <v>12</v>
      </c>
      <c r="E2880">
        <v>3</v>
      </c>
      <c r="F2880">
        <v>0</v>
      </c>
      <c r="G2880">
        <v>3</v>
      </c>
      <c r="H2880">
        <v>0</v>
      </c>
    </row>
    <row r="2881" spans="2:8">
      <c r="B2881" t="s">
        <v>25022</v>
      </c>
      <c r="C2881">
        <v>346</v>
      </c>
      <c r="D2881">
        <v>6</v>
      </c>
      <c r="E2881">
        <v>0</v>
      </c>
      <c r="F2881">
        <v>0</v>
      </c>
      <c r="G2881">
        <v>0</v>
      </c>
      <c r="H2881">
        <v>0</v>
      </c>
    </row>
    <row r="2882" spans="2:8">
      <c r="B2882" t="s">
        <v>25022</v>
      </c>
      <c r="C2882">
        <v>347</v>
      </c>
      <c r="D2882">
        <v>18</v>
      </c>
      <c r="E2882">
        <v>7</v>
      </c>
      <c r="F2882">
        <v>0</v>
      </c>
      <c r="G2882">
        <v>7</v>
      </c>
      <c r="H2882">
        <v>0</v>
      </c>
    </row>
    <row r="2883" spans="2:8">
      <c r="B2883" t="s">
        <v>25022</v>
      </c>
      <c r="C2883">
        <v>347</v>
      </c>
      <c r="D2883">
        <v>16</v>
      </c>
      <c r="E2883">
        <v>10</v>
      </c>
      <c r="F2883">
        <v>0</v>
      </c>
      <c r="G2883">
        <v>10</v>
      </c>
      <c r="H2883">
        <v>0</v>
      </c>
    </row>
    <row r="2884" spans="2:8">
      <c r="B2884" t="s">
        <v>25022</v>
      </c>
      <c r="C2884">
        <v>347</v>
      </c>
      <c r="D2884">
        <v>21</v>
      </c>
      <c r="E2884">
        <v>6</v>
      </c>
      <c r="F2884">
        <v>0</v>
      </c>
      <c r="G2884">
        <v>4</v>
      </c>
      <c r="H2884">
        <v>2</v>
      </c>
    </row>
    <row r="2885" spans="2:8">
      <c r="B2885" t="s">
        <v>25022</v>
      </c>
      <c r="C2885">
        <v>348</v>
      </c>
      <c r="D2885">
        <v>44</v>
      </c>
      <c r="E2885">
        <v>28</v>
      </c>
      <c r="F2885">
        <v>0</v>
      </c>
      <c r="G2885">
        <v>24</v>
      </c>
      <c r="H2885">
        <v>4</v>
      </c>
    </row>
    <row r="2886" spans="2:8">
      <c r="B2886" t="s">
        <v>25022</v>
      </c>
      <c r="C2886">
        <v>348</v>
      </c>
      <c r="D2886">
        <v>11</v>
      </c>
      <c r="E2886">
        <v>5</v>
      </c>
      <c r="F2886">
        <v>0</v>
      </c>
      <c r="G2886">
        <v>4</v>
      </c>
      <c r="H2886">
        <v>1</v>
      </c>
    </row>
    <row r="2887" spans="2:8">
      <c r="B2887" t="s">
        <v>25022</v>
      </c>
      <c r="C2887">
        <v>348</v>
      </c>
      <c r="D2887">
        <v>9</v>
      </c>
      <c r="E2887">
        <v>2</v>
      </c>
      <c r="F2887">
        <v>0</v>
      </c>
      <c r="G2887">
        <v>2</v>
      </c>
      <c r="H2887">
        <v>0</v>
      </c>
    </row>
    <row r="2888" spans="2:8">
      <c r="B2888" t="s">
        <v>25022</v>
      </c>
      <c r="C2888">
        <v>348</v>
      </c>
      <c r="D2888">
        <v>3</v>
      </c>
      <c r="E2888">
        <v>0</v>
      </c>
      <c r="F2888">
        <v>0</v>
      </c>
      <c r="G2888">
        <v>0</v>
      </c>
      <c r="H2888">
        <v>0</v>
      </c>
    </row>
    <row r="2889" spans="2:8">
      <c r="B2889" t="s">
        <v>25022</v>
      </c>
      <c r="C2889">
        <v>349</v>
      </c>
      <c r="D2889">
        <v>32</v>
      </c>
      <c r="E2889">
        <v>18</v>
      </c>
      <c r="F2889">
        <v>0</v>
      </c>
      <c r="G2889">
        <v>17</v>
      </c>
      <c r="H2889">
        <v>1</v>
      </c>
    </row>
    <row r="2890" spans="2:8">
      <c r="B2890" t="s">
        <v>25022</v>
      </c>
      <c r="C2890">
        <v>350</v>
      </c>
      <c r="D2890">
        <v>3</v>
      </c>
      <c r="E2890">
        <v>0</v>
      </c>
      <c r="F2890">
        <v>0</v>
      </c>
      <c r="G2890">
        <v>0</v>
      </c>
      <c r="H2890">
        <v>0</v>
      </c>
    </row>
    <row r="2891" spans="2:8">
      <c r="B2891" t="s">
        <v>25022</v>
      </c>
      <c r="C2891">
        <v>351</v>
      </c>
      <c r="D2891">
        <v>16</v>
      </c>
      <c r="E2891">
        <v>7</v>
      </c>
      <c r="F2891">
        <v>0</v>
      </c>
      <c r="G2891">
        <v>5</v>
      </c>
      <c r="H2891">
        <v>2</v>
      </c>
    </row>
    <row r="2892" spans="2:8">
      <c r="B2892" t="s">
        <v>25022</v>
      </c>
      <c r="C2892">
        <v>351</v>
      </c>
      <c r="D2892">
        <v>5</v>
      </c>
      <c r="E2892">
        <v>2</v>
      </c>
      <c r="F2892">
        <v>0</v>
      </c>
      <c r="G2892">
        <v>0</v>
      </c>
      <c r="H2892">
        <v>2</v>
      </c>
    </row>
    <row r="2893" spans="2:8">
      <c r="B2893" t="s">
        <v>25022</v>
      </c>
      <c r="C2893">
        <v>352</v>
      </c>
      <c r="D2893">
        <v>18</v>
      </c>
      <c r="E2893">
        <v>6</v>
      </c>
      <c r="F2893">
        <v>0</v>
      </c>
      <c r="G2893">
        <v>6</v>
      </c>
      <c r="H2893">
        <v>0</v>
      </c>
    </row>
    <row r="2894" spans="2:8">
      <c r="B2894" t="s">
        <v>25022</v>
      </c>
      <c r="C2894">
        <v>352</v>
      </c>
      <c r="D2894">
        <v>26</v>
      </c>
      <c r="E2894">
        <v>10</v>
      </c>
      <c r="F2894">
        <v>0</v>
      </c>
      <c r="G2894">
        <v>8</v>
      </c>
      <c r="H2894">
        <v>2</v>
      </c>
    </row>
    <row r="2895" spans="2:8">
      <c r="B2895" t="s">
        <v>25022</v>
      </c>
      <c r="C2895">
        <v>352</v>
      </c>
      <c r="D2895">
        <v>15</v>
      </c>
      <c r="E2895">
        <v>4</v>
      </c>
      <c r="F2895">
        <v>0</v>
      </c>
      <c r="G2895">
        <v>4</v>
      </c>
      <c r="H2895">
        <v>0</v>
      </c>
    </row>
    <row r="2896" spans="2:8">
      <c r="B2896" t="s">
        <v>25022</v>
      </c>
      <c r="C2896">
        <v>352</v>
      </c>
      <c r="D2896">
        <v>6</v>
      </c>
      <c r="E2896">
        <v>0</v>
      </c>
      <c r="F2896">
        <v>0</v>
      </c>
      <c r="G2896">
        <v>0</v>
      </c>
      <c r="H2896">
        <v>0</v>
      </c>
    </row>
    <row r="2897" spans="2:8">
      <c r="B2897" t="s">
        <v>25022</v>
      </c>
      <c r="C2897">
        <v>353</v>
      </c>
      <c r="D2897">
        <v>27</v>
      </c>
      <c r="E2897">
        <v>6</v>
      </c>
      <c r="F2897">
        <v>0</v>
      </c>
      <c r="G2897">
        <v>6</v>
      </c>
      <c r="H2897">
        <v>0</v>
      </c>
    </row>
    <row r="2898" spans="2:8">
      <c r="B2898" t="s">
        <v>25022</v>
      </c>
      <c r="C2898">
        <v>353</v>
      </c>
      <c r="D2898">
        <v>18</v>
      </c>
      <c r="E2898">
        <v>7</v>
      </c>
      <c r="F2898">
        <v>0</v>
      </c>
      <c r="G2898">
        <v>7</v>
      </c>
      <c r="H2898">
        <v>0</v>
      </c>
    </row>
    <row r="2899" spans="2:8">
      <c r="B2899" t="s">
        <v>25022</v>
      </c>
      <c r="C2899">
        <v>353</v>
      </c>
      <c r="D2899">
        <v>15</v>
      </c>
      <c r="E2899">
        <v>6</v>
      </c>
      <c r="F2899">
        <v>0</v>
      </c>
      <c r="G2899">
        <v>4</v>
      </c>
      <c r="H2899">
        <v>2</v>
      </c>
    </row>
    <row r="2900" spans="2:8">
      <c r="B2900" t="s">
        <v>25022</v>
      </c>
      <c r="C2900">
        <v>353</v>
      </c>
      <c r="D2900">
        <v>23</v>
      </c>
      <c r="E2900">
        <v>6</v>
      </c>
      <c r="F2900">
        <v>0</v>
      </c>
      <c r="G2900">
        <v>4</v>
      </c>
      <c r="H2900">
        <v>2</v>
      </c>
    </row>
    <row r="2901" spans="2:8">
      <c r="B2901" t="s">
        <v>25022</v>
      </c>
      <c r="C2901">
        <v>353</v>
      </c>
      <c r="D2901">
        <v>21</v>
      </c>
      <c r="E2901">
        <v>5</v>
      </c>
      <c r="F2901">
        <v>0</v>
      </c>
      <c r="G2901">
        <v>5</v>
      </c>
      <c r="H2901">
        <v>0</v>
      </c>
    </row>
    <row r="2902" spans="2:8">
      <c r="B2902" t="s">
        <v>25022</v>
      </c>
      <c r="C2902">
        <v>353</v>
      </c>
      <c r="D2902">
        <v>7</v>
      </c>
      <c r="E2902">
        <v>4</v>
      </c>
      <c r="F2902">
        <v>0</v>
      </c>
      <c r="G2902">
        <v>4</v>
      </c>
      <c r="H2902">
        <v>0</v>
      </c>
    </row>
    <row r="2903" spans="2:8">
      <c r="B2903" t="s">
        <v>25022</v>
      </c>
      <c r="C2903">
        <v>353</v>
      </c>
      <c r="D2903">
        <v>21</v>
      </c>
      <c r="E2903">
        <v>8</v>
      </c>
      <c r="F2903">
        <v>0</v>
      </c>
      <c r="G2903">
        <v>8</v>
      </c>
      <c r="H2903">
        <v>0</v>
      </c>
    </row>
    <row r="2904" spans="2:8">
      <c r="B2904" t="s">
        <v>25022</v>
      </c>
      <c r="C2904">
        <v>354</v>
      </c>
      <c r="D2904">
        <v>13</v>
      </c>
      <c r="E2904">
        <v>5</v>
      </c>
      <c r="F2904">
        <v>0</v>
      </c>
      <c r="G2904">
        <v>5</v>
      </c>
      <c r="H2904">
        <v>0</v>
      </c>
    </row>
    <row r="2905" spans="2:8">
      <c r="B2905" t="s">
        <v>25022</v>
      </c>
      <c r="C2905">
        <v>354</v>
      </c>
      <c r="D2905">
        <v>16</v>
      </c>
      <c r="E2905">
        <v>4</v>
      </c>
      <c r="F2905">
        <v>0</v>
      </c>
      <c r="G2905">
        <v>4</v>
      </c>
      <c r="H2905">
        <v>0</v>
      </c>
    </row>
    <row r="2906" spans="2:8">
      <c r="B2906" t="s">
        <v>25022</v>
      </c>
      <c r="C2906">
        <v>354</v>
      </c>
      <c r="D2906">
        <v>27</v>
      </c>
      <c r="E2906">
        <v>11</v>
      </c>
      <c r="F2906">
        <v>0</v>
      </c>
      <c r="G2906">
        <v>9</v>
      </c>
      <c r="H2906">
        <v>2</v>
      </c>
    </row>
    <row r="2907" spans="2:8">
      <c r="B2907" t="s">
        <v>25022</v>
      </c>
      <c r="C2907">
        <v>356</v>
      </c>
      <c r="D2907">
        <v>32</v>
      </c>
      <c r="E2907">
        <v>21</v>
      </c>
      <c r="F2907">
        <v>0</v>
      </c>
      <c r="G2907">
        <v>21</v>
      </c>
      <c r="H2907">
        <v>0</v>
      </c>
    </row>
    <row r="2908" spans="2:8">
      <c r="B2908" t="s">
        <v>25022</v>
      </c>
      <c r="C2908">
        <v>356</v>
      </c>
      <c r="D2908">
        <v>26</v>
      </c>
      <c r="E2908">
        <v>8</v>
      </c>
      <c r="F2908">
        <v>0</v>
      </c>
      <c r="G2908">
        <v>8</v>
      </c>
      <c r="H2908">
        <v>0</v>
      </c>
    </row>
    <row r="2909" spans="2:8">
      <c r="B2909" t="s">
        <v>25022</v>
      </c>
      <c r="C2909">
        <v>356</v>
      </c>
      <c r="D2909">
        <v>17</v>
      </c>
      <c r="E2909">
        <v>2</v>
      </c>
      <c r="F2909">
        <v>0</v>
      </c>
      <c r="G2909">
        <v>2</v>
      </c>
      <c r="H2909">
        <v>0</v>
      </c>
    </row>
    <row r="2910" spans="2:8">
      <c r="B2910" t="s">
        <v>25022</v>
      </c>
      <c r="C2910">
        <v>356</v>
      </c>
      <c r="D2910">
        <v>4</v>
      </c>
      <c r="E2910">
        <v>0</v>
      </c>
      <c r="F2910">
        <v>0</v>
      </c>
      <c r="G2910">
        <v>0</v>
      </c>
      <c r="H2910">
        <v>0</v>
      </c>
    </row>
    <row r="2911" spans="2:8">
      <c r="B2911" t="s">
        <v>25022</v>
      </c>
      <c r="C2911">
        <v>356</v>
      </c>
      <c r="D2911">
        <v>4</v>
      </c>
      <c r="E2911">
        <v>2</v>
      </c>
      <c r="F2911">
        <v>0</v>
      </c>
      <c r="G2911">
        <v>2</v>
      </c>
      <c r="H2911">
        <v>0</v>
      </c>
    </row>
    <row r="2912" spans="2:8">
      <c r="B2912" t="s">
        <v>25022</v>
      </c>
      <c r="C2912">
        <v>357</v>
      </c>
      <c r="D2912">
        <v>10</v>
      </c>
      <c r="E2912">
        <v>0</v>
      </c>
      <c r="F2912">
        <v>0</v>
      </c>
      <c r="G2912">
        <v>0</v>
      </c>
      <c r="H2912">
        <v>0</v>
      </c>
    </row>
    <row r="2913" spans="2:8">
      <c r="B2913" t="s">
        <v>25022</v>
      </c>
      <c r="C2913">
        <v>357</v>
      </c>
      <c r="D2913">
        <v>5</v>
      </c>
      <c r="E2913">
        <v>0</v>
      </c>
      <c r="F2913">
        <v>0</v>
      </c>
      <c r="G2913">
        <v>0</v>
      </c>
      <c r="H2913">
        <v>0</v>
      </c>
    </row>
    <row r="2914" spans="2:8">
      <c r="B2914" t="s">
        <v>25022</v>
      </c>
      <c r="C2914">
        <v>358</v>
      </c>
      <c r="D2914">
        <v>5</v>
      </c>
      <c r="E2914">
        <v>0</v>
      </c>
      <c r="F2914">
        <v>0</v>
      </c>
      <c r="G2914">
        <v>0</v>
      </c>
      <c r="H2914">
        <v>0</v>
      </c>
    </row>
    <row r="2915" spans="2:8">
      <c r="B2915" t="s">
        <v>25022</v>
      </c>
      <c r="C2915">
        <v>358</v>
      </c>
      <c r="D2915">
        <v>40</v>
      </c>
      <c r="E2915">
        <v>22</v>
      </c>
      <c r="F2915">
        <v>0</v>
      </c>
      <c r="G2915">
        <v>22</v>
      </c>
      <c r="H2915">
        <v>0</v>
      </c>
    </row>
    <row r="2916" spans="2:8">
      <c r="B2916" t="s">
        <v>25022</v>
      </c>
      <c r="C2916">
        <v>358</v>
      </c>
      <c r="D2916">
        <v>13</v>
      </c>
      <c r="E2916">
        <v>2</v>
      </c>
      <c r="F2916">
        <v>0</v>
      </c>
      <c r="G2916">
        <v>2</v>
      </c>
      <c r="H2916">
        <v>0</v>
      </c>
    </row>
    <row r="2917" spans="2:8">
      <c r="B2917" t="s">
        <v>25022</v>
      </c>
      <c r="C2917">
        <v>358</v>
      </c>
      <c r="D2917">
        <v>15</v>
      </c>
      <c r="E2917">
        <v>8</v>
      </c>
      <c r="F2917">
        <v>0</v>
      </c>
      <c r="G2917">
        <v>6</v>
      </c>
      <c r="H2917">
        <v>2</v>
      </c>
    </row>
    <row r="2918" spans="2:8">
      <c r="B2918" t="s">
        <v>25022</v>
      </c>
      <c r="C2918">
        <v>358</v>
      </c>
      <c r="D2918">
        <v>1</v>
      </c>
      <c r="E2918">
        <v>0</v>
      </c>
      <c r="F2918">
        <v>0</v>
      </c>
      <c r="G2918">
        <v>0</v>
      </c>
      <c r="H2918">
        <v>0</v>
      </c>
    </row>
    <row r="2919" spans="2:8">
      <c r="B2919" t="s">
        <v>25022</v>
      </c>
      <c r="C2919">
        <v>358</v>
      </c>
      <c r="D2919">
        <v>1</v>
      </c>
      <c r="E2919">
        <v>0</v>
      </c>
      <c r="F2919">
        <v>0</v>
      </c>
      <c r="G2919">
        <v>0</v>
      </c>
      <c r="H2919">
        <v>0</v>
      </c>
    </row>
    <row r="2920" spans="2:8">
      <c r="B2920" t="s">
        <v>25022</v>
      </c>
      <c r="C2920">
        <v>359</v>
      </c>
      <c r="D2920">
        <v>62</v>
      </c>
      <c r="E2920">
        <v>32</v>
      </c>
      <c r="F2920">
        <v>0</v>
      </c>
      <c r="G2920">
        <v>28</v>
      </c>
      <c r="H2920">
        <v>4</v>
      </c>
    </row>
    <row r="2921" spans="2:8">
      <c r="B2921" t="s">
        <v>25022</v>
      </c>
      <c r="C2921">
        <v>359</v>
      </c>
      <c r="D2921">
        <v>29</v>
      </c>
      <c r="E2921">
        <v>7</v>
      </c>
      <c r="F2921">
        <v>0</v>
      </c>
      <c r="G2921">
        <v>4</v>
      </c>
      <c r="H2921">
        <v>3</v>
      </c>
    </row>
    <row r="2922" spans="2:8">
      <c r="B2922" t="s">
        <v>25022</v>
      </c>
      <c r="C2922">
        <v>360</v>
      </c>
      <c r="D2922">
        <v>10</v>
      </c>
      <c r="E2922">
        <v>2</v>
      </c>
      <c r="F2922">
        <v>0</v>
      </c>
      <c r="G2922">
        <v>2</v>
      </c>
      <c r="H2922">
        <v>0</v>
      </c>
    </row>
    <row r="2923" spans="2:8">
      <c r="B2923" t="s">
        <v>25022</v>
      </c>
      <c r="C2923">
        <v>360</v>
      </c>
      <c r="D2923">
        <v>10</v>
      </c>
      <c r="E2923">
        <v>2</v>
      </c>
      <c r="F2923">
        <v>0</v>
      </c>
      <c r="G2923">
        <v>2</v>
      </c>
      <c r="H2923">
        <v>0</v>
      </c>
    </row>
    <row r="2924" spans="2:8">
      <c r="B2924" t="s">
        <v>25022</v>
      </c>
      <c r="C2924">
        <v>360</v>
      </c>
      <c r="D2924">
        <v>13</v>
      </c>
      <c r="E2924">
        <v>9</v>
      </c>
      <c r="F2924">
        <v>0</v>
      </c>
      <c r="G2924">
        <v>9</v>
      </c>
      <c r="H2924">
        <v>0</v>
      </c>
    </row>
    <row r="2925" spans="2:8">
      <c r="B2925" t="s">
        <v>25022</v>
      </c>
      <c r="C2925">
        <v>360</v>
      </c>
      <c r="D2925">
        <v>2</v>
      </c>
      <c r="E2925">
        <v>0</v>
      </c>
      <c r="F2925">
        <v>0</v>
      </c>
      <c r="G2925">
        <v>0</v>
      </c>
      <c r="H2925">
        <v>0</v>
      </c>
    </row>
    <row r="2926" spans="2:8">
      <c r="B2926" t="s">
        <v>25022</v>
      </c>
      <c r="C2926">
        <v>360</v>
      </c>
      <c r="D2926">
        <v>2</v>
      </c>
      <c r="E2926">
        <v>0</v>
      </c>
      <c r="F2926">
        <v>0</v>
      </c>
      <c r="G2926">
        <v>0</v>
      </c>
      <c r="H2926">
        <v>0</v>
      </c>
    </row>
    <row r="2927" spans="2:8">
      <c r="B2927" t="s">
        <v>25022</v>
      </c>
      <c r="C2927">
        <v>361</v>
      </c>
      <c r="D2927">
        <v>14</v>
      </c>
      <c r="E2927">
        <v>6</v>
      </c>
      <c r="F2927">
        <v>0</v>
      </c>
      <c r="G2927">
        <v>6</v>
      </c>
      <c r="H2927">
        <v>0</v>
      </c>
    </row>
    <row r="2928" spans="2:8">
      <c r="B2928" t="s">
        <v>25022</v>
      </c>
      <c r="C2928">
        <v>361</v>
      </c>
      <c r="D2928">
        <v>9</v>
      </c>
      <c r="E2928">
        <v>0</v>
      </c>
      <c r="F2928">
        <v>0</v>
      </c>
      <c r="G2928">
        <v>0</v>
      </c>
      <c r="H2928">
        <v>0</v>
      </c>
    </row>
    <row r="2929" spans="2:8">
      <c r="B2929" t="s">
        <v>25022</v>
      </c>
      <c r="C2929">
        <v>362</v>
      </c>
      <c r="D2929">
        <v>30</v>
      </c>
      <c r="E2929">
        <v>9</v>
      </c>
      <c r="F2929">
        <v>0</v>
      </c>
      <c r="G2929">
        <v>8</v>
      </c>
      <c r="H2929">
        <v>1</v>
      </c>
    </row>
    <row r="2930" spans="2:8">
      <c r="B2930" t="s">
        <v>25022</v>
      </c>
      <c r="C2930">
        <v>362</v>
      </c>
      <c r="D2930">
        <v>20</v>
      </c>
      <c r="E2930">
        <v>12</v>
      </c>
      <c r="F2930">
        <v>0</v>
      </c>
      <c r="G2930">
        <v>12</v>
      </c>
      <c r="H2930">
        <v>0</v>
      </c>
    </row>
    <row r="2931" spans="2:8">
      <c r="B2931" t="s">
        <v>25022</v>
      </c>
      <c r="C2931">
        <v>362</v>
      </c>
      <c r="D2931">
        <v>43</v>
      </c>
      <c r="E2931">
        <v>22</v>
      </c>
      <c r="F2931">
        <v>0</v>
      </c>
      <c r="G2931">
        <v>19</v>
      </c>
      <c r="H2931">
        <v>3</v>
      </c>
    </row>
    <row r="2932" spans="2:8">
      <c r="B2932" t="s">
        <v>25022</v>
      </c>
      <c r="C2932">
        <v>362</v>
      </c>
      <c r="D2932">
        <v>19</v>
      </c>
      <c r="E2932">
        <v>12</v>
      </c>
      <c r="F2932">
        <v>0</v>
      </c>
      <c r="G2932">
        <v>10</v>
      </c>
      <c r="H2932">
        <v>2</v>
      </c>
    </row>
    <row r="2933" spans="2:8">
      <c r="B2933" t="s">
        <v>25022</v>
      </c>
      <c r="C2933">
        <v>362</v>
      </c>
      <c r="D2933">
        <v>16</v>
      </c>
      <c r="E2933">
        <v>5</v>
      </c>
      <c r="F2933">
        <v>0</v>
      </c>
      <c r="G2933">
        <v>5</v>
      </c>
      <c r="H2933">
        <v>0</v>
      </c>
    </row>
    <row r="2934" spans="2:8">
      <c r="B2934" t="s">
        <v>25022</v>
      </c>
      <c r="C2934">
        <v>362</v>
      </c>
      <c r="D2934">
        <v>30</v>
      </c>
      <c r="E2934">
        <v>11</v>
      </c>
      <c r="F2934">
        <v>0</v>
      </c>
      <c r="G2934">
        <v>8</v>
      </c>
      <c r="H2934">
        <v>3</v>
      </c>
    </row>
    <row r="2935" spans="2:8">
      <c r="B2935" t="s">
        <v>25022</v>
      </c>
      <c r="C2935">
        <v>363</v>
      </c>
      <c r="D2935">
        <v>18</v>
      </c>
      <c r="E2935">
        <v>6</v>
      </c>
      <c r="F2935">
        <v>0</v>
      </c>
      <c r="G2935">
        <v>6</v>
      </c>
      <c r="H2935">
        <v>0</v>
      </c>
    </row>
    <row r="2936" spans="2:8">
      <c r="B2936" t="s">
        <v>25022</v>
      </c>
      <c r="C2936">
        <v>363</v>
      </c>
      <c r="D2936">
        <v>18</v>
      </c>
      <c r="E2936">
        <v>8</v>
      </c>
      <c r="F2936">
        <v>0</v>
      </c>
      <c r="G2936">
        <v>0</v>
      </c>
      <c r="H2936">
        <v>8</v>
      </c>
    </row>
    <row r="2937" spans="2:8">
      <c r="B2937" t="s">
        <v>25022</v>
      </c>
      <c r="C2937">
        <v>363</v>
      </c>
      <c r="D2937">
        <v>16</v>
      </c>
      <c r="E2937">
        <v>4</v>
      </c>
      <c r="F2937">
        <v>0</v>
      </c>
      <c r="G2937">
        <v>4</v>
      </c>
      <c r="H2937">
        <v>0</v>
      </c>
    </row>
    <row r="2938" spans="2:8">
      <c r="B2938" t="s">
        <v>25022</v>
      </c>
      <c r="C2938">
        <v>363</v>
      </c>
      <c r="D2938">
        <v>16</v>
      </c>
      <c r="E2938">
        <v>4</v>
      </c>
      <c r="F2938">
        <v>0</v>
      </c>
      <c r="G2938">
        <v>4</v>
      </c>
      <c r="H2938">
        <v>0</v>
      </c>
    </row>
    <row r="2939" spans="2:8">
      <c r="B2939" t="s">
        <v>25022</v>
      </c>
      <c r="C2939">
        <v>363</v>
      </c>
      <c r="D2939">
        <v>12</v>
      </c>
      <c r="E2939">
        <v>0</v>
      </c>
      <c r="F2939">
        <v>0</v>
      </c>
      <c r="G2939">
        <v>0</v>
      </c>
      <c r="H2939">
        <v>0</v>
      </c>
    </row>
    <row r="2940" spans="2:8">
      <c r="B2940" t="s">
        <v>25022</v>
      </c>
      <c r="C2940">
        <v>363</v>
      </c>
      <c r="D2940">
        <v>13</v>
      </c>
      <c r="E2940">
        <v>0</v>
      </c>
      <c r="F2940">
        <v>0</v>
      </c>
      <c r="G2940">
        <v>0</v>
      </c>
      <c r="H2940">
        <v>0</v>
      </c>
    </row>
    <row r="2941" spans="2:8">
      <c r="B2941" t="s">
        <v>25022</v>
      </c>
      <c r="C2941">
        <v>363</v>
      </c>
      <c r="D2941">
        <v>9</v>
      </c>
      <c r="E2941">
        <v>4</v>
      </c>
      <c r="F2941">
        <v>0</v>
      </c>
      <c r="G2941">
        <v>4</v>
      </c>
      <c r="H2941">
        <v>0</v>
      </c>
    </row>
    <row r="2942" spans="2:8">
      <c r="B2942" t="s">
        <v>25022</v>
      </c>
      <c r="C2942">
        <v>363</v>
      </c>
      <c r="D2942">
        <v>10</v>
      </c>
      <c r="E2942">
        <v>2</v>
      </c>
      <c r="F2942">
        <v>0</v>
      </c>
      <c r="G2942">
        <v>2</v>
      </c>
      <c r="H2942">
        <v>0</v>
      </c>
    </row>
    <row r="2943" spans="2:8">
      <c r="B2943" t="s">
        <v>25022</v>
      </c>
      <c r="C2943">
        <v>364</v>
      </c>
      <c r="D2943">
        <v>9</v>
      </c>
      <c r="E2943">
        <v>4</v>
      </c>
      <c r="F2943">
        <v>0</v>
      </c>
      <c r="G2943">
        <v>0</v>
      </c>
      <c r="H2943">
        <v>4</v>
      </c>
    </row>
    <row r="2944" spans="2:8">
      <c r="B2944" t="s">
        <v>25022</v>
      </c>
      <c r="C2944">
        <v>364</v>
      </c>
      <c r="D2944">
        <v>3</v>
      </c>
      <c r="E2944">
        <v>0</v>
      </c>
      <c r="F2944">
        <v>0</v>
      </c>
      <c r="G2944">
        <v>0</v>
      </c>
      <c r="H2944">
        <v>0</v>
      </c>
    </row>
    <row r="2945" spans="2:8">
      <c r="B2945" t="s">
        <v>25022</v>
      </c>
      <c r="C2945">
        <v>365</v>
      </c>
      <c r="D2945">
        <v>18</v>
      </c>
      <c r="E2945">
        <v>8</v>
      </c>
      <c r="F2945">
        <v>0</v>
      </c>
      <c r="G2945">
        <v>6</v>
      </c>
      <c r="H2945">
        <v>2</v>
      </c>
    </row>
    <row r="2946" spans="2:8">
      <c r="B2946" t="s">
        <v>25022</v>
      </c>
      <c r="C2946">
        <v>365</v>
      </c>
      <c r="D2946">
        <v>14</v>
      </c>
      <c r="E2946">
        <v>4</v>
      </c>
      <c r="F2946">
        <v>0</v>
      </c>
      <c r="G2946">
        <v>4</v>
      </c>
      <c r="H2946">
        <v>0</v>
      </c>
    </row>
    <row r="2947" spans="2:8">
      <c r="B2947" t="s">
        <v>25022</v>
      </c>
      <c r="C2947">
        <v>365</v>
      </c>
      <c r="D2947">
        <v>7</v>
      </c>
      <c r="E2947">
        <v>0</v>
      </c>
      <c r="F2947">
        <v>0</v>
      </c>
      <c r="G2947">
        <v>0</v>
      </c>
      <c r="H2947">
        <v>0</v>
      </c>
    </row>
    <row r="2948" spans="2:8">
      <c r="B2948" t="s">
        <v>25022</v>
      </c>
      <c r="C2948">
        <v>365</v>
      </c>
      <c r="D2948">
        <v>10</v>
      </c>
      <c r="E2948">
        <v>4</v>
      </c>
      <c r="F2948">
        <v>0</v>
      </c>
      <c r="G2948">
        <v>4</v>
      </c>
      <c r="H2948">
        <v>0</v>
      </c>
    </row>
    <row r="2949" spans="2:8">
      <c r="B2949" t="s">
        <v>25022</v>
      </c>
      <c r="C2949">
        <v>365</v>
      </c>
      <c r="D2949">
        <v>1</v>
      </c>
      <c r="E2949">
        <v>0</v>
      </c>
      <c r="F2949">
        <v>0</v>
      </c>
      <c r="G2949">
        <v>0</v>
      </c>
      <c r="H2949">
        <v>0</v>
      </c>
    </row>
    <row r="2950" spans="2:8">
      <c r="B2950" t="s">
        <v>25022</v>
      </c>
      <c r="C2950">
        <v>366</v>
      </c>
      <c r="D2950">
        <v>34</v>
      </c>
      <c r="E2950">
        <v>21</v>
      </c>
      <c r="F2950">
        <v>0</v>
      </c>
      <c r="G2950">
        <v>21</v>
      </c>
      <c r="H2950">
        <v>0</v>
      </c>
    </row>
    <row r="2951" spans="2:8">
      <c r="B2951" t="s">
        <v>25022</v>
      </c>
      <c r="C2951">
        <v>366</v>
      </c>
      <c r="D2951">
        <v>25</v>
      </c>
      <c r="E2951">
        <v>13</v>
      </c>
      <c r="F2951">
        <v>0</v>
      </c>
      <c r="G2951">
        <v>13</v>
      </c>
      <c r="H2951">
        <v>0</v>
      </c>
    </row>
    <row r="2952" spans="2:8">
      <c r="B2952" t="s">
        <v>25022</v>
      </c>
      <c r="C2952">
        <v>366</v>
      </c>
      <c r="D2952">
        <v>9</v>
      </c>
      <c r="E2952">
        <v>4</v>
      </c>
      <c r="F2952">
        <v>0</v>
      </c>
      <c r="G2952">
        <v>4</v>
      </c>
      <c r="H2952">
        <v>0</v>
      </c>
    </row>
    <row r="2953" spans="2:8">
      <c r="B2953" t="s">
        <v>25022</v>
      </c>
      <c r="C2953">
        <v>366</v>
      </c>
      <c r="D2953">
        <v>15</v>
      </c>
      <c r="E2953">
        <v>6</v>
      </c>
      <c r="F2953">
        <v>0</v>
      </c>
      <c r="G2953">
        <v>4</v>
      </c>
      <c r="H2953">
        <v>2</v>
      </c>
    </row>
    <row r="2954" spans="2:8">
      <c r="B2954" t="s">
        <v>25022</v>
      </c>
      <c r="C2954">
        <v>366</v>
      </c>
      <c r="D2954">
        <v>3</v>
      </c>
      <c r="E2954">
        <v>0</v>
      </c>
      <c r="F2954">
        <v>0</v>
      </c>
      <c r="G2954">
        <v>0</v>
      </c>
      <c r="H2954">
        <v>0</v>
      </c>
    </row>
    <row r="2955" spans="2:8">
      <c r="B2955" t="s">
        <v>25022</v>
      </c>
      <c r="C2955">
        <v>366</v>
      </c>
      <c r="D2955">
        <v>2</v>
      </c>
      <c r="E2955">
        <v>0</v>
      </c>
      <c r="F2955">
        <v>0</v>
      </c>
      <c r="G2955">
        <v>0</v>
      </c>
      <c r="H2955">
        <v>0</v>
      </c>
    </row>
    <row r="2956" spans="2:8">
      <c r="B2956" t="s">
        <v>25022</v>
      </c>
      <c r="C2956">
        <v>366</v>
      </c>
      <c r="D2956">
        <v>5</v>
      </c>
      <c r="E2956">
        <v>4</v>
      </c>
      <c r="F2956">
        <v>0</v>
      </c>
      <c r="G2956">
        <v>4</v>
      </c>
      <c r="H2956">
        <v>0</v>
      </c>
    </row>
    <row r="2957" spans="2:8">
      <c r="B2957" t="s">
        <v>25022</v>
      </c>
      <c r="C2957">
        <v>366</v>
      </c>
      <c r="D2957">
        <v>3</v>
      </c>
      <c r="E2957">
        <v>0</v>
      </c>
      <c r="F2957">
        <v>0</v>
      </c>
      <c r="G2957">
        <v>0</v>
      </c>
      <c r="H2957">
        <v>0</v>
      </c>
    </row>
    <row r="2958" spans="2:8">
      <c r="B2958" t="s">
        <v>25022</v>
      </c>
      <c r="C2958">
        <v>367</v>
      </c>
      <c r="D2958">
        <v>10</v>
      </c>
      <c r="E2958">
        <v>2</v>
      </c>
      <c r="F2958">
        <v>0</v>
      </c>
      <c r="G2958">
        <v>0</v>
      </c>
      <c r="H2958">
        <v>2</v>
      </c>
    </row>
    <row r="2959" spans="2:8">
      <c r="B2959" t="s">
        <v>25022</v>
      </c>
      <c r="C2959">
        <v>367</v>
      </c>
      <c r="D2959">
        <v>13</v>
      </c>
      <c r="E2959">
        <v>4</v>
      </c>
      <c r="F2959">
        <v>0</v>
      </c>
      <c r="G2959">
        <v>4</v>
      </c>
      <c r="H2959">
        <v>0</v>
      </c>
    </row>
    <row r="2960" spans="2:8">
      <c r="B2960" t="s">
        <v>25022</v>
      </c>
      <c r="C2960">
        <v>367</v>
      </c>
      <c r="D2960">
        <v>11</v>
      </c>
      <c r="E2960">
        <v>2</v>
      </c>
      <c r="F2960">
        <v>0</v>
      </c>
      <c r="G2960">
        <v>2</v>
      </c>
      <c r="H2960">
        <v>0</v>
      </c>
    </row>
    <row r="2961" spans="2:8">
      <c r="B2961" t="s">
        <v>25022</v>
      </c>
      <c r="C2961">
        <v>368</v>
      </c>
      <c r="D2961">
        <v>42</v>
      </c>
      <c r="E2961">
        <v>16</v>
      </c>
      <c r="F2961">
        <v>0</v>
      </c>
      <c r="G2961">
        <v>13</v>
      </c>
      <c r="H2961">
        <v>3</v>
      </c>
    </row>
    <row r="2962" spans="2:8">
      <c r="B2962" t="s">
        <v>25022</v>
      </c>
      <c r="C2962">
        <v>368</v>
      </c>
      <c r="D2962">
        <v>28</v>
      </c>
      <c r="E2962">
        <v>10</v>
      </c>
      <c r="F2962">
        <v>2</v>
      </c>
      <c r="G2962">
        <v>8</v>
      </c>
      <c r="H2962">
        <v>0</v>
      </c>
    </row>
    <row r="2963" spans="2:8">
      <c r="B2963" t="s">
        <v>25022</v>
      </c>
      <c r="C2963">
        <v>368</v>
      </c>
      <c r="D2963">
        <v>14</v>
      </c>
      <c r="E2963">
        <v>4</v>
      </c>
      <c r="F2963">
        <v>0</v>
      </c>
      <c r="G2963">
        <v>2</v>
      </c>
      <c r="H2963">
        <v>2</v>
      </c>
    </row>
    <row r="2964" spans="2:8">
      <c r="B2964" t="s">
        <v>25022</v>
      </c>
      <c r="C2964">
        <v>368</v>
      </c>
      <c r="D2964">
        <v>4</v>
      </c>
      <c r="E2964">
        <v>0</v>
      </c>
      <c r="F2964">
        <v>0</v>
      </c>
      <c r="G2964">
        <v>0</v>
      </c>
      <c r="H2964">
        <v>0</v>
      </c>
    </row>
    <row r="2965" spans="2:8">
      <c r="B2965" t="s">
        <v>25022</v>
      </c>
      <c r="C2965">
        <v>369</v>
      </c>
      <c r="D2965">
        <v>36</v>
      </c>
      <c r="E2965">
        <v>11</v>
      </c>
      <c r="F2965">
        <v>0</v>
      </c>
      <c r="G2965">
        <v>9</v>
      </c>
      <c r="H2965">
        <v>2</v>
      </c>
    </row>
    <row r="2966" spans="2:8">
      <c r="B2966" t="s">
        <v>25022</v>
      </c>
      <c r="C2966">
        <v>369</v>
      </c>
      <c r="D2966">
        <v>26</v>
      </c>
      <c r="E2966">
        <v>12</v>
      </c>
      <c r="F2966">
        <v>0</v>
      </c>
      <c r="G2966">
        <v>12</v>
      </c>
      <c r="H2966">
        <v>0</v>
      </c>
    </row>
    <row r="2967" spans="2:8">
      <c r="B2967" t="s">
        <v>25022</v>
      </c>
      <c r="C2967">
        <v>369</v>
      </c>
      <c r="D2967">
        <v>6</v>
      </c>
      <c r="E2967">
        <v>2</v>
      </c>
      <c r="F2967">
        <v>0</v>
      </c>
      <c r="G2967">
        <v>2</v>
      </c>
      <c r="H2967">
        <v>0</v>
      </c>
    </row>
    <row r="2968" spans="2:8">
      <c r="B2968" t="s">
        <v>25022</v>
      </c>
      <c r="C2968">
        <v>369</v>
      </c>
      <c r="D2968">
        <v>8</v>
      </c>
      <c r="E2968">
        <v>5</v>
      </c>
      <c r="F2968">
        <v>0</v>
      </c>
      <c r="G2968">
        <v>5</v>
      </c>
      <c r="H2968">
        <v>0</v>
      </c>
    </row>
    <row r="2969" spans="2:8">
      <c r="B2969" t="s">
        <v>25022</v>
      </c>
      <c r="C2969">
        <v>370</v>
      </c>
      <c r="D2969">
        <v>61</v>
      </c>
      <c r="E2969">
        <v>27</v>
      </c>
      <c r="F2969">
        <v>3</v>
      </c>
      <c r="G2969">
        <v>20</v>
      </c>
      <c r="H2969">
        <v>4</v>
      </c>
    </row>
    <row r="2970" spans="2:8">
      <c r="B2970" t="s">
        <v>25022</v>
      </c>
      <c r="C2970">
        <v>370</v>
      </c>
      <c r="D2970">
        <v>50</v>
      </c>
      <c r="E2970">
        <v>23</v>
      </c>
      <c r="F2970">
        <v>2</v>
      </c>
      <c r="G2970">
        <v>18</v>
      </c>
      <c r="H2970">
        <v>3</v>
      </c>
    </row>
    <row r="2971" spans="2:8">
      <c r="B2971" t="s">
        <v>25022</v>
      </c>
      <c r="C2971">
        <v>370</v>
      </c>
      <c r="D2971">
        <v>14</v>
      </c>
      <c r="E2971">
        <v>4</v>
      </c>
      <c r="F2971">
        <v>0</v>
      </c>
      <c r="G2971">
        <v>2</v>
      </c>
      <c r="H2971">
        <v>2</v>
      </c>
    </row>
    <row r="2972" spans="2:8">
      <c r="B2972" t="s">
        <v>25022</v>
      </c>
      <c r="C2972">
        <v>371</v>
      </c>
      <c r="D2972">
        <v>32</v>
      </c>
      <c r="E2972">
        <v>16</v>
      </c>
      <c r="F2972">
        <v>0</v>
      </c>
      <c r="G2972">
        <v>16</v>
      </c>
      <c r="H2972">
        <v>0</v>
      </c>
    </row>
    <row r="2973" spans="2:8">
      <c r="B2973" t="s">
        <v>25022</v>
      </c>
      <c r="C2973">
        <v>371</v>
      </c>
      <c r="D2973">
        <v>10</v>
      </c>
      <c r="E2973">
        <v>0</v>
      </c>
      <c r="F2973">
        <v>0</v>
      </c>
      <c r="G2973">
        <v>0</v>
      </c>
      <c r="H2973">
        <v>0</v>
      </c>
    </row>
    <row r="2974" spans="2:8">
      <c r="B2974" t="s">
        <v>25022</v>
      </c>
      <c r="C2974">
        <v>371</v>
      </c>
      <c r="D2974">
        <v>21</v>
      </c>
      <c r="E2974">
        <v>14</v>
      </c>
      <c r="F2974">
        <v>0</v>
      </c>
      <c r="G2974">
        <v>13</v>
      </c>
      <c r="H2974">
        <v>1</v>
      </c>
    </row>
    <row r="2975" spans="2:8">
      <c r="B2975" t="s">
        <v>25022</v>
      </c>
      <c r="C2975">
        <v>371</v>
      </c>
      <c r="D2975">
        <v>7</v>
      </c>
      <c r="E2975">
        <v>0</v>
      </c>
      <c r="F2975">
        <v>0</v>
      </c>
      <c r="G2975">
        <v>0</v>
      </c>
      <c r="H2975">
        <v>0</v>
      </c>
    </row>
    <row r="2976" spans="2:8">
      <c r="B2976" t="s">
        <v>25022</v>
      </c>
      <c r="C2976">
        <v>371</v>
      </c>
      <c r="D2976">
        <v>19</v>
      </c>
      <c r="E2976">
        <v>6</v>
      </c>
      <c r="F2976">
        <v>0</v>
      </c>
      <c r="G2976">
        <v>4</v>
      </c>
      <c r="H2976">
        <v>2</v>
      </c>
    </row>
    <row r="2977" spans="2:8">
      <c r="B2977" t="s">
        <v>25022</v>
      </c>
      <c r="C2977">
        <v>371</v>
      </c>
      <c r="D2977">
        <v>5</v>
      </c>
      <c r="E2977">
        <v>2</v>
      </c>
      <c r="F2977">
        <v>0</v>
      </c>
      <c r="G2977">
        <v>2</v>
      </c>
      <c r="H2977">
        <v>0</v>
      </c>
    </row>
    <row r="2978" spans="2:8">
      <c r="B2978" t="s">
        <v>25022</v>
      </c>
      <c r="C2978">
        <v>371</v>
      </c>
      <c r="D2978">
        <v>1</v>
      </c>
      <c r="E2978">
        <v>0</v>
      </c>
      <c r="F2978">
        <v>0</v>
      </c>
      <c r="G2978">
        <v>0</v>
      </c>
      <c r="H2978">
        <v>0</v>
      </c>
    </row>
    <row r="2979" spans="2:8">
      <c r="B2979" t="s">
        <v>25022</v>
      </c>
      <c r="C2979">
        <v>371</v>
      </c>
      <c r="D2979">
        <v>1</v>
      </c>
      <c r="E2979">
        <v>0</v>
      </c>
      <c r="F2979">
        <v>0</v>
      </c>
      <c r="G2979">
        <v>0</v>
      </c>
      <c r="H2979">
        <v>0</v>
      </c>
    </row>
    <row r="2980" spans="2:8">
      <c r="B2980" t="s">
        <v>25022</v>
      </c>
      <c r="C2980">
        <v>371</v>
      </c>
      <c r="D2980">
        <v>1</v>
      </c>
      <c r="E2980">
        <v>0</v>
      </c>
      <c r="F2980">
        <v>0</v>
      </c>
      <c r="G2980">
        <v>0</v>
      </c>
      <c r="H2980">
        <v>0</v>
      </c>
    </row>
    <row r="2981" spans="2:8">
      <c r="B2981" t="s">
        <v>25022</v>
      </c>
      <c r="C2981">
        <v>372</v>
      </c>
      <c r="D2981">
        <v>27</v>
      </c>
      <c r="E2981">
        <v>15</v>
      </c>
      <c r="F2981">
        <v>0</v>
      </c>
      <c r="G2981">
        <v>15</v>
      </c>
      <c r="H2981">
        <v>0</v>
      </c>
    </row>
    <row r="2982" spans="2:8">
      <c r="B2982" t="s">
        <v>25022</v>
      </c>
      <c r="C2982">
        <v>372</v>
      </c>
      <c r="D2982">
        <v>64</v>
      </c>
      <c r="E2982">
        <v>31</v>
      </c>
      <c r="F2982">
        <v>0</v>
      </c>
      <c r="G2982">
        <v>24</v>
      </c>
      <c r="H2982">
        <v>7</v>
      </c>
    </row>
    <row r="2983" spans="2:8">
      <c r="B2983" t="s">
        <v>25022</v>
      </c>
      <c r="C2983">
        <v>372</v>
      </c>
      <c r="D2983">
        <v>17</v>
      </c>
      <c r="E2983">
        <v>3</v>
      </c>
      <c r="F2983">
        <v>0</v>
      </c>
      <c r="G2983">
        <v>3</v>
      </c>
      <c r="H2983">
        <v>0</v>
      </c>
    </row>
    <row r="2984" spans="2:8">
      <c r="B2984" t="s">
        <v>25022</v>
      </c>
      <c r="C2984">
        <v>373</v>
      </c>
      <c r="D2984">
        <v>22</v>
      </c>
      <c r="E2984">
        <v>14</v>
      </c>
      <c r="F2984">
        <v>0</v>
      </c>
      <c r="G2984">
        <v>14</v>
      </c>
      <c r="H2984">
        <v>0</v>
      </c>
    </row>
    <row r="2985" spans="2:8">
      <c r="B2985" t="s">
        <v>25022</v>
      </c>
      <c r="C2985">
        <v>373</v>
      </c>
      <c r="D2985">
        <v>35</v>
      </c>
      <c r="E2985">
        <v>15</v>
      </c>
      <c r="F2985">
        <v>2</v>
      </c>
      <c r="G2985">
        <v>8</v>
      </c>
      <c r="H2985">
        <v>5</v>
      </c>
    </row>
    <row r="2986" spans="2:8">
      <c r="B2986" t="s">
        <v>25022</v>
      </c>
      <c r="C2986">
        <v>373</v>
      </c>
      <c r="D2986">
        <v>25</v>
      </c>
      <c r="E2986">
        <v>12</v>
      </c>
      <c r="F2986">
        <v>0</v>
      </c>
      <c r="G2986">
        <v>10</v>
      </c>
      <c r="H2986">
        <v>2</v>
      </c>
    </row>
    <row r="2987" spans="2:8">
      <c r="B2987" t="s">
        <v>25022</v>
      </c>
      <c r="C2987">
        <v>373</v>
      </c>
      <c r="D2987">
        <v>30</v>
      </c>
      <c r="E2987">
        <v>10</v>
      </c>
      <c r="F2987">
        <v>2</v>
      </c>
      <c r="G2987">
        <v>8</v>
      </c>
      <c r="H2987">
        <v>0</v>
      </c>
    </row>
    <row r="2988" spans="2:8">
      <c r="B2988" t="s">
        <v>25022</v>
      </c>
      <c r="C2988">
        <v>373</v>
      </c>
      <c r="D2988">
        <v>21</v>
      </c>
      <c r="E2988">
        <v>9</v>
      </c>
      <c r="F2988">
        <v>0</v>
      </c>
      <c r="G2988">
        <v>9</v>
      </c>
      <c r="H2988">
        <v>0</v>
      </c>
    </row>
    <row r="2989" spans="2:8">
      <c r="B2989" t="s">
        <v>25022</v>
      </c>
      <c r="C2989">
        <v>373</v>
      </c>
      <c r="D2989">
        <v>16</v>
      </c>
      <c r="E2989">
        <v>4</v>
      </c>
      <c r="F2989">
        <v>0</v>
      </c>
      <c r="G2989">
        <v>4</v>
      </c>
      <c r="H2989">
        <v>0</v>
      </c>
    </row>
    <row r="2990" spans="2:8">
      <c r="B2990" t="s">
        <v>25022</v>
      </c>
      <c r="C2990">
        <v>373</v>
      </c>
      <c r="D2990">
        <v>11</v>
      </c>
      <c r="E2990">
        <v>5</v>
      </c>
      <c r="F2990">
        <v>0</v>
      </c>
      <c r="G2990">
        <v>5</v>
      </c>
      <c r="H2990">
        <v>0</v>
      </c>
    </row>
    <row r="2991" spans="2:8">
      <c r="B2991" t="s">
        <v>25022</v>
      </c>
      <c r="C2991">
        <v>374</v>
      </c>
      <c r="D2991">
        <v>14</v>
      </c>
      <c r="E2991">
        <v>10</v>
      </c>
      <c r="F2991">
        <v>0</v>
      </c>
      <c r="G2991">
        <v>10</v>
      </c>
      <c r="H2991">
        <v>0</v>
      </c>
    </row>
    <row r="2992" spans="2:8">
      <c r="B2992" t="s">
        <v>25022</v>
      </c>
      <c r="C2992">
        <v>375</v>
      </c>
      <c r="D2992">
        <v>21</v>
      </c>
      <c r="E2992">
        <v>8</v>
      </c>
      <c r="F2992">
        <v>0</v>
      </c>
      <c r="G2992">
        <v>6</v>
      </c>
      <c r="H2992">
        <v>2</v>
      </c>
    </row>
    <row r="2993" spans="2:8">
      <c r="B2993" t="s">
        <v>25022</v>
      </c>
      <c r="C2993">
        <v>375</v>
      </c>
      <c r="D2993">
        <v>9</v>
      </c>
      <c r="E2993">
        <v>0</v>
      </c>
      <c r="F2993">
        <v>0</v>
      </c>
      <c r="G2993">
        <v>0</v>
      </c>
      <c r="H2993">
        <v>0</v>
      </c>
    </row>
    <row r="2994" spans="2:8">
      <c r="B2994" t="s">
        <v>25022</v>
      </c>
      <c r="C2994">
        <v>376</v>
      </c>
      <c r="D2994">
        <v>32</v>
      </c>
      <c r="E2994">
        <v>12</v>
      </c>
      <c r="F2994">
        <v>0</v>
      </c>
      <c r="G2994">
        <v>8</v>
      </c>
      <c r="H2994">
        <v>4</v>
      </c>
    </row>
    <row r="2995" spans="2:8">
      <c r="B2995" t="s">
        <v>25022</v>
      </c>
      <c r="C2995">
        <v>376</v>
      </c>
      <c r="D2995">
        <v>50</v>
      </c>
      <c r="E2995">
        <v>22</v>
      </c>
      <c r="F2995">
        <v>0</v>
      </c>
      <c r="G2995">
        <v>18</v>
      </c>
      <c r="H2995">
        <v>4</v>
      </c>
    </row>
    <row r="2996" spans="2:8">
      <c r="B2996" t="s">
        <v>25022</v>
      </c>
      <c r="C2996">
        <v>376</v>
      </c>
      <c r="D2996">
        <v>26</v>
      </c>
      <c r="E2996">
        <v>12</v>
      </c>
      <c r="F2996">
        <v>0</v>
      </c>
      <c r="G2996">
        <v>10</v>
      </c>
      <c r="H2996">
        <v>2</v>
      </c>
    </row>
    <row r="2997" spans="2:8">
      <c r="B2997" t="s">
        <v>25022</v>
      </c>
      <c r="C2997">
        <v>376</v>
      </c>
      <c r="D2997">
        <v>17</v>
      </c>
      <c r="E2997">
        <v>2</v>
      </c>
      <c r="F2997">
        <v>0</v>
      </c>
      <c r="G2997">
        <v>2</v>
      </c>
      <c r="H2997">
        <v>0</v>
      </c>
    </row>
    <row r="2998" spans="2:8">
      <c r="B2998" t="s">
        <v>25022</v>
      </c>
      <c r="C2998">
        <v>377</v>
      </c>
      <c r="D2998">
        <v>20</v>
      </c>
      <c r="E2998">
        <v>5</v>
      </c>
      <c r="F2998">
        <v>0</v>
      </c>
      <c r="G2998">
        <v>5</v>
      </c>
      <c r="H2998">
        <v>0</v>
      </c>
    </row>
    <row r="2999" spans="2:8">
      <c r="B2999" t="s">
        <v>25022</v>
      </c>
      <c r="C2999">
        <v>377</v>
      </c>
      <c r="D2999">
        <v>16</v>
      </c>
      <c r="E2999">
        <v>4</v>
      </c>
      <c r="F2999">
        <v>0</v>
      </c>
      <c r="G2999">
        <v>2</v>
      </c>
      <c r="H2999">
        <v>2</v>
      </c>
    </row>
    <row r="3000" spans="2:8">
      <c r="B3000" t="s">
        <v>25022</v>
      </c>
      <c r="C3000">
        <v>377</v>
      </c>
      <c r="D3000">
        <v>18</v>
      </c>
      <c r="E3000">
        <v>6</v>
      </c>
      <c r="F3000">
        <v>0</v>
      </c>
      <c r="G3000">
        <v>6</v>
      </c>
      <c r="H3000">
        <v>0</v>
      </c>
    </row>
    <row r="3001" spans="2:8">
      <c r="B3001" t="s">
        <v>25022</v>
      </c>
      <c r="C3001">
        <v>377</v>
      </c>
      <c r="D3001">
        <v>23</v>
      </c>
      <c r="E3001">
        <v>8</v>
      </c>
      <c r="F3001">
        <v>0</v>
      </c>
      <c r="G3001">
        <v>8</v>
      </c>
      <c r="H3001">
        <v>0</v>
      </c>
    </row>
    <row r="3002" spans="2:8">
      <c r="B3002" t="s">
        <v>25022</v>
      </c>
      <c r="C3002">
        <v>377</v>
      </c>
      <c r="D3002">
        <v>14</v>
      </c>
      <c r="E3002">
        <v>4</v>
      </c>
      <c r="F3002">
        <v>0</v>
      </c>
      <c r="G3002">
        <v>4</v>
      </c>
      <c r="H3002">
        <v>0</v>
      </c>
    </row>
    <row r="3003" spans="2:8">
      <c r="B3003" t="s">
        <v>25022</v>
      </c>
      <c r="C3003">
        <v>377</v>
      </c>
      <c r="D3003">
        <v>13</v>
      </c>
      <c r="E3003">
        <v>8</v>
      </c>
      <c r="F3003">
        <v>0</v>
      </c>
      <c r="G3003">
        <v>4</v>
      </c>
      <c r="H3003">
        <v>4</v>
      </c>
    </row>
    <row r="3004" spans="2:8">
      <c r="B3004" t="s">
        <v>25022</v>
      </c>
      <c r="C3004">
        <v>378</v>
      </c>
      <c r="D3004">
        <v>6</v>
      </c>
      <c r="E3004">
        <v>0</v>
      </c>
      <c r="F3004">
        <v>0</v>
      </c>
      <c r="G3004">
        <v>0</v>
      </c>
      <c r="H3004">
        <v>0</v>
      </c>
    </row>
    <row r="3005" spans="2:8">
      <c r="B3005" t="s">
        <v>25022</v>
      </c>
      <c r="C3005">
        <v>378</v>
      </c>
      <c r="D3005">
        <v>7</v>
      </c>
      <c r="E3005">
        <v>5</v>
      </c>
      <c r="F3005">
        <v>0</v>
      </c>
      <c r="G3005">
        <v>4</v>
      </c>
      <c r="H3005">
        <v>1</v>
      </c>
    </row>
    <row r="3006" spans="2:8">
      <c r="B3006" t="s">
        <v>25022</v>
      </c>
      <c r="C3006">
        <v>378</v>
      </c>
      <c r="D3006">
        <v>4</v>
      </c>
      <c r="E3006">
        <v>2</v>
      </c>
      <c r="F3006">
        <v>0</v>
      </c>
      <c r="G3006">
        <v>2</v>
      </c>
      <c r="H3006">
        <v>0</v>
      </c>
    </row>
    <row r="3007" spans="2:8">
      <c r="B3007" t="s">
        <v>25022</v>
      </c>
      <c r="C3007">
        <v>379</v>
      </c>
      <c r="D3007">
        <v>18</v>
      </c>
      <c r="E3007">
        <v>9</v>
      </c>
      <c r="F3007">
        <v>0</v>
      </c>
      <c r="G3007">
        <v>9</v>
      </c>
      <c r="H3007">
        <v>0</v>
      </c>
    </row>
    <row r="3008" spans="2:8">
      <c r="B3008" t="s">
        <v>25022</v>
      </c>
      <c r="C3008">
        <v>379</v>
      </c>
      <c r="D3008">
        <v>24</v>
      </c>
      <c r="E3008">
        <v>10</v>
      </c>
      <c r="F3008">
        <v>0</v>
      </c>
      <c r="G3008">
        <v>10</v>
      </c>
      <c r="H3008">
        <v>0</v>
      </c>
    </row>
    <row r="3009" spans="2:8">
      <c r="B3009" t="s">
        <v>25022</v>
      </c>
      <c r="C3009">
        <v>379</v>
      </c>
      <c r="D3009">
        <v>20</v>
      </c>
      <c r="E3009">
        <v>11</v>
      </c>
      <c r="F3009">
        <v>0</v>
      </c>
      <c r="G3009">
        <v>11</v>
      </c>
      <c r="H3009">
        <v>0</v>
      </c>
    </row>
    <row r="3010" spans="2:8">
      <c r="B3010" t="s">
        <v>25022</v>
      </c>
      <c r="C3010">
        <v>379</v>
      </c>
      <c r="D3010">
        <v>18</v>
      </c>
      <c r="E3010">
        <v>2</v>
      </c>
      <c r="F3010">
        <v>0</v>
      </c>
      <c r="G3010">
        <v>2</v>
      </c>
      <c r="H3010">
        <v>0</v>
      </c>
    </row>
    <row r="3011" spans="2:8">
      <c r="B3011" t="s">
        <v>25022</v>
      </c>
      <c r="C3011">
        <v>379</v>
      </c>
      <c r="D3011">
        <v>25</v>
      </c>
      <c r="E3011">
        <v>13</v>
      </c>
      <c r="F3011">
        <v>0</v>
      </c>
      <c r="G3011">
        <v>13</v>
      </c>
      <c r="H3011">
        <v>0</v>
      </c>
    </row>
    <row r="3012" spans="2:8">
      <c r="B3012" t="s">
        <v>25022</v>
      </c>
      <c r="C3012">
        <v>379</v>
      </c>
      <c r="D3012">
        <v>12</v>
      </c>
      <c r="E3012">
        <v>5</v>
      </c>
      <c r="F3012">
        <v>0</v>
      </c>
      <c r="G3012">
        <v>5</v>
      </c>
      <c r="H3012">
        <v>0</v>
      </c>
    </row>
    <row r="3013" spans="2:8">
      <c r="B3013" t="s">
        <v>25022</v>
      </c>
      <c r="C3013">
        <v>380</v>
      </c>
      <c r="D3013">
        <v>58</v>
      </c>
      <c r="E3013">
        <v>23</v>
      </c>
      <c r="F3013">
        <v>0</v>
      </c>
      <c r="G3013">
        <v>18</v>
      </c>
      <c r="H3013">
        <v>5</v>
      </c>
    </row>
    <row r="3014" spans="2:8">
      <c r="B3014" t="s">
        <v>25022</v>
      </c>
      <c r="C3014">
        <v>380</v>
      </c>
      <c r="D3014">
        <v>9</v>
      </c>
      <c r="E3014">
        <v>0</v>
      </c>
      <c r="F3014">
        <v>0</v>
      </c>
      <c r="G3014">
        <v>0</v>
      </c>
      <c r="H3014">
        <v>0</v>
      </c>
    </row>
    <row r="3015" spans="2:8">
      <c r="B3015" t="s">
        <v>25022</v>
      </c>
      <c r="C3015">
        <v>380</v>
      </c>
      <c r="D3015">
        <v>45</v>
      </c>
      <c r="E3015">
        <v>16</v>
      </c>
      <c r="F3015">
        <v>0</v>
      </c>
      <c r="G3015">
        <v>9</v>
      </c>
      <c r="H3015">
        <v>7</v>
      </c>
    </row>
    <row r="3016" spans="2:8">
      <c r="B3016" t="s">
        <v>25022</v>
      </c>
      <c r="C3016">
        <v>380</v>
      </c>
      <c r="D3016">
        <v>41</v>
      </c>
      <c r="E3016">
        <v>32</v>
      </c>
      <c r="F3016">
        <v>0</v>
      </c>
      <c r="G3016">
        <v>30</v>
      </c>
      <c r="H3016">
        <v>2</v>
      </c>
    </row>
    <row r="3017" spans="2:8">
      <c r="B3017" t="s">
        <v>25022</v>
      </c>
      <c r="C3017">
        <v>380</v>
      </c>
      <c r="D3017">
        <v>25</v>
      </c>
      <c r="E3017">
        <v>16</v>
      </c>
      <c r="F3017">
        <v>0</v>
      </c>
      <c r="G3017">
        <v>14</v>
      </c>
      <c r="H3017">
        <v>2</v>
      </c>
    </row>
    <row r="3018" spans="2:8">
      <c r="B3018" t="s">
        <v>25022</v>
      </c>
      <c r="C3018">
        <v>380</v>
      </c>
      <c r="D3018">
        <v>7</v>
      </c>
      <c r="E3018">
        <v>2</v>
      </c>
      <c r="F3018">
        <v>0</v>
      </c>
      <c r="G3018">
        <v>0</v>
      </c>
      <c r="H3018">
        <v>2</v>
      </c>
    </row>
    <row r="3019" spans="2:8">
      <c r="B3019" t="s">
        <v>25022</v>
      </c>
      <c r="C3019">
        <v>380</v>
      </c>
      <c r="D3019">
        <v>5</v>
      </c>
      <c r="E3019">
        <v>0</v>
      </c>
      <c r="F3019">
        <v>0</v>
      </c>
      <c r="G3019">
        <v>0</v>
      </c>
      <c r="H3019">
        <v>0</v>
      </c>
    </row>
    <row r="3020" spans="2:8">
      <c r="B3020" t="s">
        <v>25022</v>
      </c>
      <c r="C3020">
        <v>380</v>
      </c>
      <c r="D3020">
        <v>4</v>
      </c>
      <c r="E3020">
        <v>2</v>
      </c>
      <c r="F3020">
        <v>0</v>
      </c>
      <c r="G3020">
        <v>2</v>
      </c>
      <c r="H3020">
        <v>0</v>
      </c>
    </row>
    <row r="3021" spans="2:8">
      <c r="B3021" t="s">
        <v>25022</v>
      </c>
      <c r="C3021">
        <v>381</v>
      </c>
      <c r="D3021">
        <v>29</v>
      </c>
      <c r="E3021">
        <v>15</v>
      </c>
      <c r="F3021">
        <v>0</v>
      </c>
      <c r="G3021">
        <v>15</v>
      </c>
      <c r="H3021">
        <v>0</v>
      </c>
    </row>
    <row r="3022" spans="2:8">
      <c r="B3022" t="s">
        <v>25022</v>
      </c>
      <c r="C3022">
        <v>381</v>
      </c>
      <c r="D3022">
        <v>24</v>
      </c>
      <c r="E3022">
        <v>14</v>
      </c>
      <c r="F3022">
        <v>0</v>
      </c>
      <c r="G3022">
        <v>14</v>
      </c>
      <c r="H3022">
        <v>0</v>
      </c>
    </row>
    <row r="3023" spans="2:8">
      <c r="B3023" t="s">
        <v>25022</v>
      </c>
      <c r="C3023">
        <v>381</v>
      </c>
      <c r="D3023">
        <v>31</v>
      </c>
      <c r="E3023">
        <v>10</v>
      </c>
      <c r="F3023">
        <v>0</v>
      </c>
      <c r="G3023">
        <v>7</v>
      </c>
      <c r="H3023">
        <v>3</v>
      </c>
    </row>
    <row r="3024" spans="2:8">
      <c r="B3024" t="s">
        <v>25022</v>
      </c>
      <c r="C3024">
        <v>381</v>
      </c>
      <c r="D3024">
        <v>25</v>
      </c>
      <c r="E3024">
        <v>11</v>
      </c>
      <c r="F3024">
        <v>0</v>
      </c>
      <c r="G3024">
        <v>9</v>
      </c>
      <c r="H3024">
        <v>2</v>
      </c>
    </row>
    <row r="3025" spans="2:8">
      <c r="B3025" t="s">
        <v>25022</v>
      </c>
      <c r="C3025">
        <v>381</v>
      </c>
      <c r="D3025">
        <v>31</v>
      </c>
      <c r="E3025">
        <v>8</v>
      </c>
      <c r="F3025">
        <v>0</v>
      </c>
      <c r="G3025">
        <v>6</v>
      </c>
      <c r="H3025">
        <v>2</v>
      </c>
    </row>
    <row r="3026" spans="2:8">
      <c r="B3026" t="s">
        <v>25022</v>
      </c>
      <c r="C3026">
        <v>381</v>
      </c>
      <c r="D3026">
        <v>1</v>
      </c>
      <c r="E3026">
        <v>0</v>
      </c>
      <c r="F3026">
        <v>0</v>
      </c>
      <c r="G3026">
        <v>0</v>
      </c>
      <c r="H3026">
        <v>0</v>
      </c>
    </row>
    <row r="3027" spans="2:8">
      <c r="B3027" t="s">
        <v>25022</v>
      </c>
      <c r="C3027">
        <v>382</v>
      </c>
      <c r="D3027">
        <v>49</v>
      </c>
      <c r="E3027">
        <v>25</v>
      </c>
      <c r="F3027">
        <v>0</v>
      </c>
      <c r="G3027">
        <v>25</v>
      </c>
      <c r="H3027">
        <v>0</v>
      </c>
    </row>
    <row r="3028" spans="2:8">
      <c r="B3028" t="s">
        <v>25022</v>
      </c>
      <c r="C3028">
        <v>382</v>
      </c>
      <c r="D3028">
        <v>78</v>
      </c>
      <c r="E3028">
        <v>57</v>
      </c>
      <c r="F3028">
        <v>3</v>
      </c>
      <c r="G3028">
        <v>50</v>
      </c>
      <c r="H3028">
        <v>4</v>
      </c>
    </row>
    <row r="3029" spans="2:8">
      <c r="B3029" t="s">
        <v>25022</v>
      </c>
      <c r="C3029">
        <v>382</v>
      </c>
      <c r="D3029">
        <v>32</v>
      </c>
      <c r="E3029">
        <v>18</v>
      </c>
      <c r="F3029">
        <v>0</v>
      </c>
      <c r="G3029">
        <v>16</v>
      </c>
      <c r="H3029">
        <v>2</v>
      </c>
    </row>
    <row r="3030" spans="2:8">
      <c r="B3030" t="s">
        <v>25022</v>
      </c>
      <c r="C3030">
        <v>382</v>
      </c>
      <c r="D3030">
        <v>9</v>
      </c>
      <c r="E3030">
        <v>2</v>
      </c>
      <c r="F3030">
        <v>0</v>
      </c>
      <c r="G3030">
        <v>2</v>
      </c>
      <c r="H3030">
        <v>0</v>
      </c>
    </row>
    <row r="3031" spans="2:8">
      <c r="B3031" t="s">
        <v>25022</v>
      </c>
      <c r="C3031">
        <v>382</v>
      </c>
      <c r="D3031">
        <v>19</v>
      </c>
      <c r="E3031">
        <v>10</v>
      </c>
      <c r="F3031">
        <v>0</v>
      </c>
      <c r="G3031">
        <v>8</v>
      </c>
      <c r="H3031">
        <v>2</v>
      </c>
    </row>
    <row r="3032" spans="2:8">
      <c r="B3032" t="s">
        <v>25022</v>
      </c>
      <c r="C3032">
        <v>382</v>
      </c>
      <c r="D3032">
        <v>11</v>
      </c>
      <c r="E3032">
        <v>8</v>
      </c>
      <c r="F3032">
        <v>0</v>
      </c>
      <c r="G3032">
        <v>8</v>
      </c>
      <c r="H3032">
        <v>0</v>
      </c>
    </row>
    <row r="3033" spans="2:8">
      <c r="B3033" t="s">
        <v>25022</v>
      </c>
      <c r="C3033">
        <v>382</v>
      </c>
      <c r="D3033">
        <v>7</v>
      </c>
      <c r="E3033">
        <v>0</v>
      </c>
      <c r="F3033">
        <v>0</v>
      </c>
      <c r="G3033">
        <v>0</v>
      </c>
      <c r="H3033">
        <v>0</v>
      </c>
    </row>
    <row r="3034" spans="2:8">
      <c r="B3034" t="s">
        <v>25022</v>
      </c>
      <c r="C3034">
        <v>382</v>
      </c>
      <c r="D3034">
        <v>5</v>
      </c>
      <c r="E3034">
        <v>0</v>
      </c>
      <c r="F3034">
        <v>0</v>
      </c>
      <c r="G3034">
        <v>0</v>
      </c>
      <c r="H3034">
        <v>0</v>
      </c>
    </row>
    <row r="3035" spans="2:8">
      <c r="B3035" t="s">
        <v>25022</v>
      </c>
      <c r="C3035">
        <v>383</v>
      </c>
      <c r="D3035">
        <v>17</v>
      </c>
      <c r="E3035">
        <v>6</v>
      </c>
      <c r="F3035">
        <v>0</v>
      </c>
      <c r="G3035">
        <v>0</v>
      </c>
      <c r="H3035">
        <v>6</v>
      </c>
    </row>
    <row r="3036" spans="2:8">
      <c r="B3036" t="s">
        <v>25022</v>
      </c>
      <c r="C3036">
        <v>384</v>
      </c>
      <c r="D3036">
        <v>25</v>
      </c>
      <c r="E3036">
        <v>4</v>
      </c>
      <c r="F3036">
        <v>0</v>
      </c>
      <c r="G3036">
        <v>4</v>
      </c>
      <c r="H3036">
        <v>0</v>
      </c>
    </row>
    <row r="3037" spans="2:8">
      <c r="B3037" t="s">
        <v>25022</v>
      </c>
      <c r="C3037">
        <v>384</v>
      </c>
      <c r="D3037">
        <v>27</v>
      </c>
      <c r="E3037">
        <v>9</v>
      </c>
      <c r="F3037">
        <v>0</v>
      </c>
      <c r="G3037">
        <v>9</v>
      </c>
      <c r="H3037">
        <v>0</v>
      </c>
    </row>
    <row r="3038" spans="2:8">
      <c r="B3038" t="s">
        <v>25022</v>
      </c>
      <c r="C3038">
        <v>384</v>
      </c>
      <c r="D3038">
        <v>17</v>
      </c>
      <c r="E3038">
        <v>9</v>
      </c>
      <c r="F3038">
        <v>0</v>
      </c>
      <c r="G3038">
        <v>8</v>
      </c>
      <c r="H3038">
        <v>1</v>
      </c>
    </row>
    <row r="3039" spans="2:8">
      <c r="B3039" t="s">
        <v>25022</v>
      </c>
      <c r="C3039">
        <v>385</v>
      </c>
      <c r="D3039">
        <v>60</v>
      </c>
      <c r="E3039">
        <v>37</v>
      </c>
      <c r="F3039">
        <v>0</v>
      </c>
      <c r="G3039">
        <v>34</v>
      </c>
      <c r="H3039">
        <v>3</v>
      </c>
    </row>
    <row r="3040" spans="2:8">
      <c r="B3040" t="s">
        <v>25022</v>
      </c>
      <c r="C3040">
        <v>385</v>
      </c>
      <c r="D3040">
        <v>78</v>
      </c>
      <c r="E3040">
        <v>49</v>
      </c>
      <c r="F3040">
        <v>2</v>
      </c>
      <c r="G3040">
        <v>40</v>
      </c>
      <c r="H3040">
        <v>7</v>
      </c>
    </row>
    <row r="3041" spans="2:8">
      <c r="B3041" t="s">
        <v>25022</v>
      </c>
      <c r="C3041">
        <v>385</v>
      </c>
      <c r="D3041">
        <v>18</v>
      </c>
      <c r="E3041">
        <v>8</v>
      </c>
      <c r="F3041">
        <v>0</v>
      </c>
      <c r="G3041">
        <v>6</v>
      </c>
      <c r="H3041">
        <v>2</v>
      </c>
    </row>
    <row r="3042" spans="2:8">
      <c r="B3042" t="s">
        <v>25022</v>
      </c>
      <c r="C3042">
        <v>385</v>
      </c>
      <c r="D3042">
        <v>23</v>
      </c>
      <c r="E3042">
        <v>9</v>
      </c>
      <c r="F3042">
        <v>0</v>
      </c>
      <c r="G3042">
        <v>8</v>
      </c>
      <c r="H3042">
        <v>1</v>
      </c>
    </row>
    <row r="3043" spans="2:8">
      <c r="B3043" t="s">
        <v>25022</v>
      </c>
      <c r="C3043">
        <v>385</v>
      </c>
      <c r="D3043">
        <v>12</v>
      </c>
      <c r="E3043">
        <v>8</v>
      </c>
      <c r="F3043">
        <v>0</v>
      </c>
      <c r="G3043">
        <v>6</v>
      </c>
      <c r="H3043">
        <v>2</v>
      </c>
    </row>
    <row r="3044" spans="2:8">
      <c r="B3044" t="s">
        <v>25022</v>
      </c>
      <c r="C3044">
        <v>385</v>
      </c>
      <c r="D3044">
        <v>10</v>
      </c>
      <c r="E3044">
        <v>2</v>
      </c>
      <c r="F3044">
        <v>0</v>
      </c>
      <c r="G3044">
        <v>2</v>
      </c>
      <c r="H3044">
        <v>0</v>
      </c>
    </row>
    <row r="3045" spans="2:8">
      <c r="B3045" t="s">
        <v>25022</v>
      </c>
      <c r="C3045">
        <v>385</v>
      </c>
      <c r="D3045">
        <v>6</v>
      </c>
      <c r="E3045">
        <v>2</v>
      </c>
      <c r="F3045">
        <v>0</v>
      </c>
      <c r="G3045">
        <v>2</v>
      </c>
      <c r="H3045">
        <v>0</v>
      </c>
    </row>
    <row r="3046" spans="2:8">
      <c r="B3046" t="s">
        <v>25022</v>
      </c>
      <c r="C3046">
        <v>386</v>
      </c>
      <c r="D3046">
        <v>4</v>
      </c>
      <c r="E3046">
        <v>0</v>
      </c>
      <c r="F3046">
        <v>0</v>
      </c>
      <c r="G3046">
        <v>0</v>
      </c>
      <c r="H3046">
        <v>0</v>
      </c>
    </row>
    <row r="3047" spans="2:8">
      <c r="B3047" t="s">
        <v>25022</v>
      </c>
      <c r="C3047">
        <v>386</v>
      </c>
      <c r="D3047">
        <v>41</v>
      </c>
      <c r="E3047">
        <v>14</v>
      </c>
      <c r="F3047">
        <v>0</v>
      </c>
      <c r="G3047">
        <v>14</v>
      </c>
      <c r="H3047">
        <v>0</v>
      </c>
    </row>
    <row r="3048" spans="2:8">
      <c r="B3048" t="s">
        <v>25022</v>
      </c>
      <c r="C3048">
        <v>386</v>
      </c>
      <c r="D3048">
        <v>18</v>
      </c>
      <c r="E3048">
        <v>6</v>
      </c>
      <c r="F3048">
        <v>0</v>
      </c>
      <c r="G3048">
        <v>6</v>
      </c>
      <c r="H3048">
        <v>0</v>
      </c>
    </row>
    <row r="3049" spans="2:8">
      <c r="B3049" t="s">
        <v>25022</v>
      </c>
      <c r="C3049">
        <v>386</v>
      </c>
      <c r="D3049">
        <v>8</v>
      </c>
      <c r="E3049">
        <v>2</v>
      </c>
      <c r="F3049">
        <v>0</v>
      </c>
      <c r="G3049">
        <v>2</v>
      </c>
      <c r="H3049">
        <v>0</v>
      </c>
    </row>
    <row r="3050" spans="2:8">
      <c r="B3050" t="s">
        <v>25022</v>
      </c>
      <c r="C3050">
        <v>386</v>
      </c>
      <c r="D3050">
        <v>8</v>
      </c>
      <c r="E3050">
        <v>0</v>
      </c>
      <c r="F3050">
        <v>0</v>
      </c>
      <c r="G3050">
        <v>0</v>
      </c>
      <c r="H3050">
        <v>0</v>
      </c>
    </row>
    <row r="3051" spans="2:8">
      <c r="B3051" t="s">
        <v>25022</v>
      </c>
      <c r="C3051">
        <v>387</v>
      </c>
      <c r="D3051">
        <v>97</v>
      </c>
      <c r="E3051">
        <v>60</v>
      </c>
      <c r="F3051">
        <v>0</v>
      </c>
      <c r="G3051">
        <v>53</v>
      </c>
      <c r="H3051">
        <v>7</v>
      </c>
    </row>
    <row r="3052" spans="2:8">
      <c r="B3052" t="s">
        <v>25022</v>
      </c>
      <c r="C3052">
        <v>387</v>
      </c>
      <c r="D3052">
        <v>29</v>
      </c>
      <c r="E3052">
        <v>12</v>
      </c>
      <c r="F3052">
        <v>0</v>
      </c>
      <c r="G3052">
        <v>10</v>
      </c>
      <c r="H3052">
        <v>2</v>
      </c>
    </row>
    <row r="3053" spans="2:8">
      <c r="B3053" t="s">
        <v>25022</v>
      </c>
      <c r="C3053">
        <v>387</v>
      </c>
      <c r="D3053">
        <v>10</v>
      </c>
      <c r="E3053">
        <v>2</v>
      </c>
      <c r="F3053">
        <v>0</v>
      </c>
      <c r="G3053">
        <v>2</v>
      </c>
      <c r="H3053">
        <v>0</v>
      </c>
    </row>
    <row r="3054" spans="2:8">
      <c r="B3054" t="s">
        <v>25022</v>
      </c>
      <c r="C3054">
        <v>387</v>
      </c>
      <c r="D3054">
        <v>11</v>
      </c>
      <c r="E3054">
        <v>3</v>
      </c>
      <c r="F3054">
        <v>0</v>
      </c>
      <c r="G3054">
        <v>2</v>
      </c>
      <c r="H3054">
        <v>1</v>
      </c>
    </row>
    <row r="3055" spans="2:8">
      <c r="B3055" t="s">
        <v>25022</v>
      </c>
      <c r="C3055">
        <v>388</v>
      </c>
      <c r="D3055">
        <v>45</v>
      </c>
      <c r="E3055">
        <v>23</v>
      </c>
      <c r="F3055">
        <v>0</v>
      </c>
      <c r="G3055">
        <v>21</v>
      </c>
      <c r="H3055">
        <v>2</v>
      </c>
    </row>
    <row r="3056" spans="2:8">
      <c r="B3056" t="s">
        <v>25022</v>
      </c>
      <c r="C3056">
        <v>388</v>
      </c>
      <c r="D3056">
        <v>12</v>
      </c>
      <c r="E3056">
        <v>5</v>
      </c>
      <c r="F3056">
        <v>0</v>
      </c>
      <c r="G3056">
        <v>5</v>
      </c>
      <c r="H3056">
        <v>0</v>
      </c>
    </row>
    <row r="3057" spans="2:8">
      <c r="B3057" t="s">
        <v>25022</v>
      </c>
      <c r="C3057">
        <v>389</v>
      </c>
      <c r="D3057">
        <v>18</v>
      </c>
      <c r="E3057">
        <v>5</v>
      </c>
      <c r="F3057">
        <v>0</v>
      </c>
      <c r="G3057">
        <v>5</v>
      </c>
      <c r="H3057">
        <v>0</v>
      </c>
    </row>
    <row r="3058" spans="2:8">
      <c r="B3058" t="s">
        <v>25022</v>
      </c>
      <c r="C3058">
        <v>389</v>
      </c>
      <c r="D3058">
        <v>66</v>
      </c>
      <c r="E3058">
        <v>36</v>
      </c>
      <c r="F3058">
        <v>2</v>
      </c>
      <c r="G3058">
        <v>32</v>
      </c>
      <c r="H3058">
        <v>2</v>
      </c>
    </row>
    <row r="3059" spans="2:8">
      <c r="B3059" t="s">
        <v>25022</v>
      </c>
      <c r="C3059">
        <v>389</v>
      </c>
      <c r="D3059">
        <v>24</v>
      </c>
      <c r="E3059">
        <v>8</v>
      </c>
      <c r="F3059">
        <v>0</v>
      </c>
      <c r="G3059">
        <v>8</v>
      </c>
      <c r="H3059">
        <v>0</v>
      </c>
    </row>
    <row r="3060" spans="2:8">
      <c r="B3060" t="s">
        <v>25022</v>
      </c>
      <c r="C3060">
        <v>389</v>
      </c>
      <c r="D3060">
        <v>16</v>
      </c>
      <c r="E3060">
        <v>6</v>
      </c>
      <c r="F3060">
        <v>0</v>
      </c>
      <c r="G3060">
        <v>6</v>
      </c>
      <c r="H3060">
        <v>0</v>
      </c>
    </row>
    <row r="3061" spans="2:8">
      <c r="B3061" t="s">
        <v>25022</v>
      </c>
      <c r="C3061">
        <v>389</v>
      </c>
      <c r="D3061">
        <v>14</v>
      </c>
      <c r="E3061">
        <v>6</v>
      </c>
      <c r="F3061">
        <v>0</v>
      </c>
      <c r="G3061">
        <v>6</v>
      </c>
      <c r="H3061">
        <v>0</v>
      </c>
    </row>
    <row r="3062" spans="2:8">
      <c r="B3062" t="s">
        <v>25022</v>
      </c>
      <c r="C3062">
        <v>390</v>
      </c>
      <c r="D3062">
        <v>18</v>
      </c>
      <c r="E3062">
        <v>5</v>
      </c>
      <c r="F3062">
        <v>0</v>
      </c>
      <c r="G3062">
        <v>5</v>
      </c>
      <c r="H3062">
        <v>0</v>
      </c>
    </row>
    <row r="3063" spans="2:8">
      <c r="B3063" t="s">
        <v>25022</v>
      </c>
      <c r="C3063">
        <v>390</v>
      </c>
      <c r="D3063">
        <v>42</v>
      </c>
      <c r="E3063">
        <v>23</v>
      </c>
      <c r="F3063">
        <v>0</v>
      </c>
      <c r="G3063">
        <v>18</v>
      </c>
      <c r="H3063">
        <v>5</v>
      </c>
    </row>
    <row r="3064" spans="2:8">
      <c r="B3064" t="s">
        <v>25022</v>
      </c>
      <c r="C3064">
        <v>390</v>
      </c>
      <c r="D3064">
        <v>24</v>
      </c>
      <c r="E3064">
        <v>17</v>
      </c>
      <c r="F3064">
        <v>0</v>
      </c>
      <c r="G3064">
        <v>15</v>
      </c>
      <c r="H3064">
        <v>2</v>
      </c>
    </row>
    <row r="3065" spans="2:8">
      <c r="B3065" t="s">
        <v>25022</v>
      </c>
      <c r="C3065">
        <v>390</v>
      </c>
      <c r="D3065">
        <v>21</v>
      </c>
      <c r="E3065">
        <v>7</v>
      </c>
      <c r="F3065">
        <v>0</v>
      </c>
      <c r="G3065">
        <v>5</v>
      </c>
      <c r="H3065">
        <v>2</v>
      </c>
    </row>
    <row r="3066" spans="2:8">
      <c r="B3066" t="s">
        <v>25022</v>
      </c>
      <c r="C3066">
        <v>390</v>
      </c>
      <c r="D3066">
        <v>6</v>
      </c>
      <c r="E3066">
        <v>3</v>
      </c>
      <c r="F3066">
        <v>0</v>
      </c>
      <c r="G3066">
        <v>3</v>
      </c>
      <c r="H3066">
        <v>0</v>
      </c>
    </row>
    <row r="3067" spans="2:8">
      <c r="B3067" t="s">
        <v>25022</v>
      </c>
      <c r="C3067">
        <v>391</v>
      </c>
      <c r="D3067">
        <v>25</v>
      </c>
      <c r="E3067">
        <v>9</v>
      </c>
      <c r="F3067">
        <v>0</v>
      </c>
      <c r="G3067">
        <v>9</v>
      </c>
      <c r="H3067">
        <v>0</v>
      </c>
    </row>
    <row r="3068" spans="2:8">
      <c r="B3068" t="s">
        <v>25022</v>
      </c>
      <c r="C3068">
        <v>391</v>
      </c>
      <c r="D3068">
        <v>24</v>
      </c>
      <c r="E3068">
        <v>11</v>
      </c>
      <c r="F3068">
        <v>0</v>
      </c>
      <c r="G3068">
        <v>9</v>
      </c>
      <c r="H3068">
        <v>2</v>
      </c>
    </row>
    <row r="3069" spans="2:8">
      <c r="B3069" t="s">
        <v>25022</v>
      </c>
      <c r="C3069">
        <v>391</v>
      </c>
      <c r="D3069">
        <v>12</v>
      </c>
      <c r="E3069">
        <v>4</v>
      </c>
      <c r="F3069">
        <v>0</v>
      </c>
      <c r="G3069">
        <v>2</v>
      </c>
      <c r="H3069">
        <v>2</v>
      </c>
    </row>
    <row r="3070" spans="2:8">
      <c r="B3070" t="s">
        <v>25022</v>
      </c>
      <c r="C3070">
        <v>391</v>
      </c>
      <c r="D3070">
        <v>15</v>
      </c>
      <c r="E3070">
        <v>8</v>
      </c>
      <c r="F3070">
        <v>0</v>
      </c>
      <c r="G3070">
        <v>7</v>
      </c>
      <c r="H3070">
        <v>1</v>
      </c>
    </row>
    <row r="3071" spans="2:8">
      <c r="B3071" t="s">
        <v>25022</v>
      </c>
      <c r="C3071">
        <v>391</v>
      </c>
      <c r="D3071">
        <v>13</v>
      </c>
      <c r="E3071">
        <v>2</v>
      </c>
      <c r="F3071">
        <v>0</v>
      </c>
      <c r="G3071">
        <v>0</v>
      </c>
      <c r="H3071">
        <v>2</v>
      </c>
    </row>
    <row r="3072" spans="2:8">
      <c r="B3072" t="s">
        <v>25022</v>
      </c>
      <c r="C3072">
        <v>392</v>
      </c>
      <c r="D3072">
        <v>17</v>
      </c>
      <c r="E3072">
        <v>5</v>
      </c>
      <c r="F3072">
        <v>0</v>
      </c>
      <c r="G3072">
        <v>5</v>
      </c>
      <c r="H3072">
        <v>0</v>
      </c>
    </row>
    <row r="3073" spans="2:8">
      <c r="B3073" t="s">
        <v>25022</v>
      </c>
      <c r="C3073">
        <v>392</v>
      </c>
      <c r="D3073">
        <v>23</v>
      </c>
      <c r="E3073">
        <v>8</v>
      </c>
      <c r="F3073">
        <v>0</v>
      </c>
      <c r="G3073">
        <v>8</v>
      </c>
      <c r="H3073">
        <v>0</v>
      </c>
    </row>
    <row r="3074" spans="2:8">
      <c r="B3074" t="s">
        <v>25022</v>
      </c>
      <c r="C3074">
        <v>392</v>
      </c>
      <c r="D3074">
        <v>24</v>
      </c>
      <c r="E3074">
        <v>11</v>
      </c>
      <c r="F3074">
        <v>0</v>
      </c>
      <c r="G3074">
        <v>7</v>
      </c>
      <c r="H3074">
        <v>4</v>
      </c>
    </row>
    <row r="3075" spans="2:8">
      <c r="B3075" t="s">
        <v>25022</v>
      </c>
      <c r="C3075">
        <v>392</v>
      </c>
      <c r="D3075">
        <v>10</v>
      </c>
      <c r="E3075">
        <v>2</v>
      </c>
      <c r="F3075">
        <v>0</v>
      </c>
      <c r="G3075">
        <v>2</v>
      </c>
      <c r="H3075">
        <v>0</v>
      </c>
    </row>
    <row r="3076" spans="2:8">
      <c r="B3076" t="s">
        <v>25022</v>
      </c>
      <c r="C3076">
        <v>392</v>
      </c>
      <c r="D3076">
        <v>8</v>
      </c>
      <c r="E3076">
        <v>4</v>
      </c>
      <c r="F3076">
        <v>0</v>
      </c>
      <c r="G3076">
        <v>4</v>
      </c>
      <c r="H3076">
        <v>0</v>
      </c>
    </row>
    <row r="3077" spans="2:8">
      <c r="B3077" t="s">
        <v>25022</v>
      </c>
      <c r="C3077">
        <v>392</v>
      </c>
      <c r="D3077">
        <v>4</v>
      </c>
      <c r="E3077">
        <v>0</v>
      </c>
      <c r="F3077">
        <v>0</v>
      </c>
      <c r="G3077">
        <v>0</v>
      </c>
      <c r="H3077">
        <v>0</v>
      </c>
    </row>
    <row r="3078" spans="2:8">
      <c r="B3078" t="s">
        <v>25022</v>
      </c>
      <c r="C3078">
        <v>393</v>
      </c>
      <c r="D3078">
        <v>19</v>
      </c>
      <c r="E3078">
        <v>6</v>
      </c>
      <c r="F3078">
        <v>0</v>
      </c>
      <c r="G3078">
        <v>2</v>
      </c>
      <c r="H3078">
        <v>4</v>
      </c>
    </row>
    <row r="3079" spans="2:8">
      <c r="B3079" t="s">
        <v>25022</v>
      </c>
      <c r="C3079">
        <v>393</v>
      </c>
      <c r="D3079">
        <v>27</v>
      </c>
      <c r="E3079">
        <v>11</v>
      </c>
      <c r="F3079">
        <v>0</v>
      </c>
      <c r="G3079">
        <v>11</v>
      </c>
      <c r="H3079">
        <v>0</v>
      </c>
    </row>
    <row r="3080" spans="2:8">
      <c r="B3080" t="s">
        <v>25022</v>
      </c>
      <c r="C3080">
        <v>393</v>
      </c>
      <c r="D3080">
        <v>8</v>
      </c>
      <c r="E3080">
        <v>0</v>
      </c>
      <c r="F3080">
        <v>0</v>
      </c>
      <c r="G3080">
        <v>0</v>
      </c>
      <c r="H3080">
        <v>0</v>
      </c>
    </row>
    <row r="3081" spans="2:8">
      <c r="B3081" t="s">
        <v>25022</v>
      </c>
      <c r="C3081">
        <v>393</v>
      </c>
      <c r="D3081">
        <v>5</v>
      </c>
      <c r="E3081">
        <v>2</v>
      </c>
      <c r="F3081">
        <v>0</v>
      </c>
      <c r="G3081">
        <v>2</v>
      </c>
      <c r="H3081">
        <v>0</v>
      </c>
    </row>
    <row r="3082" spans="2:8">
      <c r="B3082" t="s">
        <v>25022</v>
      </c>
      <c r="C3082">
        <v>393</v>
      </c>
      <c r="D3082">
        <v>4</v>
      </c>
      <c r="E3082">
        <v>0</v>
      </c>
      <c r="F3082">
        <v>0</v>
      </c>
      <c r="G3082">
        <v>0</v>
      </c>
      <c r="H3082">
        <v>0</v>
      </c>
    </row>
    <row r="3083" spans="2:8">
      <c r="B3083" t="s">
        <v>25022</v>
      </c>
      <c r="C3083">
        <v>393</v>
      </c>
      <c r="D3083">
        <v>1</v>
      </c>
      <c r="E3083">
        <v>0</v>
      </c>
      <c r="F3083">
        <v>0</v>
      </c>
      <c r="G3083">
        <v>0</v>
      </c>
      <c r="H3083">
        <v>0</v>
      </c>
    </row>
    <row r="3084" spans="2:8">
      <c r="B3084" t="s">
        <v>25022</v>
      </c>
      <c r="C3084">
        <v>394</v>
      </c>
      <c r="D3084">
        <v>42</v>
      </c>
      <c r="E3084">
        <v>21</v>
      </c>
      <c r="F3084">
        <v>0</v>
      </c>
      <c r="G3084">
        <v>18</v>
      </c>
      <c r="H3084">
        <v>3</v>
      </c>
    </row>
    <row r="3085" spans="2:8">
      <c r="B3085" t="s">
        <v>25022</v>
      </c>
      <c r="C3085">
        <v>394</v>
      </c>
      <c r="D3085">
        <v>56</v>
      </c>
      <c r="E3085">
        <v>30</v>
      </c>
      <c r="F3085">
        <v>0</v>
      </c>
      <c r="G3085">
        <v>28</v>
      </c>
      <c r="H3085">
        <v>2</v>
      </c>
    </row>
    <row r="3086" spans="2:8">
      <c r="B3086" t="s">
        <v>25022</v>
      </c>
      <c r="C3086">
        <v>394</v>
      </c>
      <c r="D3086">
        <v>11</v>
      </c>
      <c r="E3086">
        <v>2</v>
      </c>
      <c r="F3086">
        <v>0</v>
      </c>
      <c r="G3086">
        <v>0</v>
      </c>
      <c r="H3086">
        <v>2</v>
      </c>
    </row>
    <row r="3087" spans="2:8">
      <c r="B3087" t="s">
        <v>25022</v>
      </c>
      <c r="C3087">
        <v>394</v>
      </c>
      <c r="D3087">
        <v>11</v>
      </c>
      <c r="E3087">
        <v>2</v>
      </c>
      <c r="F3087">
        <v>0</v>
      </c>
      <c r="G3087">
        <v>2</v>
      </c>
      <c r="H3087">
        <v>0</v>
      </c>
    </row>
    <row r="3088" spans="2:8">
      <c r="B3088" t="s">
        <v>25022</v>
      </c>
      <c r="C3088">
        <v>394</v>
      </c>
      <c r="D3088">
        <v>7</v>
      </c>
      <c r="E3088">
        <v>2</v>
      </c>
      <c r="F3088">
        <v>0</v>
      </c>
      <c r="G3088">
        <v>2</v>
      </c>
      <c r="H3088">
        <v>0</v>
      </c>
    </row>
    <row r="3089" spans="2:8">
      <c r="B3089" t="s">
        <v>25022</v>
      </c>
      <c r="C3089">
        <v>395</v>
      </c>
      <c r="D3089">
        <v>53</v>
      </c>
      <c r="E3089">
        <v>34</v>
      </c>
      <c r="F3089">
        <v>0</v>
      </c>
      <c r="G3089">
        <v>31</v>
      </c>
      <c r="H3089">
        <v>3</v>
      </c>
    </row>
    <row r="3090" spans="2:8">
      <c r="B3090" t="s">
        <v>25022</v>
      </c>
      <c r="C3090">
        <v>395</v>
      </c>
      <c r="D3090">
        <v>22</v>
      </c>
      <c r="E3090">
        <v>6</v>
      </c>
      <c r="F3090">
        <v>0</v>
      </c>
      <c r="G3090">
        <v>4</v>
      </c>
      <c r="H3090">
        <v>2</v>
      </c>
    </row>
    <row r="3091" spans="2:8">
      <c r="B3091" t="s">
        <v>25022</v>
      </c>
      <c r="C3091">
        <v>395</v>
      </c>
      <c r="D3091">
        <v>8</v>
      </c>
      <c r="E3091">
        <v>5</v>
      </c>
      <c r="F3091">
        <v>0</v>
      </c>
      <c r="G3091">
        <v>5</v>
      </c>
      <c r="H3091">
        <v>0</v>
      </c>
    </row>
    <row r="3092" spans="2:8">
      <c r="B3092" t="s">
        <v>25022</v>
      </c>
      <c r="C3092">
        <v>395</v>
      </c>
      <c r="D3092">
        <v>1</v>
      </c>
      <c r="E3092">
        <v>0</v>
      </c>
      <c r="F3092">
        <v>0</v>
      </c>
      <c r="G3092">
        <v>0</v>
      </c>
      <c r="H3092">
        <v>0</v>
      </c>
    </row>
    <row r="3093" spans="2:8">
      <c r="B3093" t="s">
        <v>25022</v>
      </c>
      <c r="C3093">
        <v>396</v>
      </c>
      <c r="D3093">
        <v>61</v>
      </c>
      <c r="E3093">
        <v>33</v>
      </c>
      <c r="F3093">
        <v>0</v>
      </c>
      <c r="G3093">
        <v>32</v>
      </c>
      <c r="H3093">
        <v>1</v>
      </c>
    </row>
    <row r="3094" spans="2:8">
      <c r="B3094" t="s">
        <v>25022</v>
      </c>
      <c r="C3094">
        <v>396</v>
      </c>
      <c r="D3094">
        <v>21</v>
      </c>
      <c r="E3094">
        <v>6</v>
      </c>
      <c r="F3094">
        <v>0</v>
      </c>
      <c r="G3094">
        <v>6</v>
      </c>
      <c r="H3094">
        <v>0</v>
      </c>
    </row>
    <row r="3095" spans="2:8">
      <c r="B3095" t="s">
        <v>25022</v>
      </c>
      <c r="C3095">
        <v>396</v>
      </c>
      <c r="D3095">
        <v>34</v>
      </c>
      <c r="E3095">
        <v>17</v>
      </c>
      <c r="F3095">
        <v>0</v>
      </c>
      <c r="G3095">
        <v>15</v>
      </c>
      <c r="H3095">
        <v>2</v>
      </c>
    </row>
    <row r="3096" spans="2:8">
      <c r="B3096" t="s">
        <v>25022</v>
      </c>
      <c r="C3096">
        <v>396</v>
      </c>
      <c r="D3096">
        <v>33</v>
      </c>
      <c r="E3096">
        <v>13</v>
      </c>
      <c r="F3096">
        <v>0</v>
      </c>
      <c r="G3096">
        <v>13</v>
      </c>
      <c r="H3096">
        <v>0</v>
      </c>
    </row>
    <row r="3097" spans="2:8">
      <c r="B3097" t="s">
        <v>25022</v>
      </c>
      <c r="C3097">
        <v>396</v>
      </c>
      <c r="D3097">
        <v>19</v>
      </c>
      <c r="E3097">
        <v>9</v>
      </c>
      <c r="F3097">
        <v>0</v>
      </c>
      <c r="G3097">
        <v>7</v>
      </c>
      <c r="H3097">
        <v>2</v>
      </c>
    </row>
    <row r="3098" spans="2:8">
      <c r="B3098" t="s">
        <v>25022</v>
      </c>
      <c r="C3098">
        <v>396</v>
      </c>
      <c r="D3098">
        <v>10</v>
      </c>
      <c r="E3098">
        <v>4</v>
      </c>
      <c r="F3098">
        <v>0</v>
      </c>
      <c r="G3098">
        <v>4</v>
      </c>
      <c r="H3098">
        <v>0</v>
      </c>
    </row>
    <row r="3099" spans="2:8">
      <c r="B3099" t="s">
        <v>25022</v>
      </c>
      <c r="C3099">
        <v>397</v>
      </c>
      <c r="D3099">
        <v>23</v>
      </c>
      <c r="E3099">
        <v>9</v>
      </c>
      <c r="F3099">
        <v>0</v>
      </c>
      <c r="G3099">
        <v>9</v>
      </c>
      <c r="H3099">
        <v>0</v>
      </c>
    </row>
    <row r="3100" spans="2:8">
      <c r="B3100" t="s">
        <v>25022</v>
      </c>
      <c r="C3100">
        <v>397</v>
      </c>
      <c r="D3100">
        <v>19</v>
      </c>
      <c r="E3100">
        <v>8</v>
      </c>
      <c r="F3100">
        <v>0</v>
      </c>
      <c r="G3100">
        <v>6</v>
      </c>
      <c r="H3100">
        <v>2</v>
      </c>
    </row>
    <row r="3101" spans="2:8">
      <c r="B3101" t="s">
        <v>25022</v>
      </c>
      <c r="C3101">
        <v>397</v>
      </c>
      <c r="D3101">
        <v>33</v>
      </c>
      <c r="E3101">
        <v>10</v>
      </c>
      <c r="F3101">
        <v>0</v>
      </c>
      <c r="G3101">
        <v>10</v>
      </c>
      <c r="H3101">
        <v>0</v>
      </c>
    </row>
    <row r="3102" spans="2:8">
      <c r="B3102" t="s">
        <v>25022</v>
      </c>
      <c r="C3102">
        <v>397</v>
      </c>
      <c r="D3102">
        <v>31</v>
      </c>
      <c r="E3102">
        <v>17</v>
      </c>
      <c r="F3102">
        <v>0</v>
      </c>
      <c r="G3102">
        <v>17</v>
      </c>
      <c r="H3102">
        <v>0</v>
      </c>
    </row>
    <row r="3103" spans="2:8">
      <c r="B3103" t="s">
        <v>25022</v>
      </c>
      <c r="C3103">
        <v>397</v>
      </c>
      <c r="D3103">
        <v>25</v>
      </c>
      <c r="E3103">
        <v>11</v>
      </c>
      <c r="F3103">
        <v>0</v>
      </c>
      <c r="G3103">
        <v>7</v>
      </c>
      <c r="H3103">
        <v>4</v>
      </c>
    </row>
    <row r="3104" spans="2:8">
      <c r="B3104" t="s">
        <v>25022</v>
      </c>
      <c r="C3104">
        <v>397</v>
      </c>
      <c r="D3104">
        <v>21</v>
      </c>
      <c r="E3104">
        <v>14</v>
      </c>
      <c r="F3104">
        <v>0</v>
      </c>
      <c r="G3104">
        <v>14</v>
      </c>
      <c r="H3104">
        <v>0</v>
      </c>
    </row>
    <row r="3105" spans="2:8">
      <c r="B3105" t="s">
        <v>25022</v>
      </c>
      <c r="C3105">
        <v>397</v>
      </c>
      <c r="D3105">
        <v>9</v>
      </c>
      <c r="E3105">
        <v>2</v>
      </c>
      <c r="F3105">
        <v>0</v>
      </c>
      <c r="G3105">
        <v>2</v>
      </c>
      <c r="H3105">
        <v>0</v>
      </c>
    </row>
    <row r="3106" spans="2:8">
      <c r="B3106" t="s">
        <v>25022</v>
      </c>
      <c r="C3106">
        <v>397</v>
      </c>
      <c r="D3106">
        <v>7</v>
      </c>
      <c r="E3106">
        <v>0</v>
      </c>
      <c r="F3106">
        <v>0</v>
      </c>
      <c r="G3106">
        <v>0</v>
      </c>
      <c r="H3106">
        <v>0</v>
      </c>
    </row>
    <row r="3107" spans="2:8">
      <c r="B3107" t="s">
        <v>25022</v>
      </c>
      <c r="C3107">
        <v>398</v>
      </c>
      <c r="D3107">
        <v>31</v>
      </c>
      <c r="E3107">
        <v>16</v>
      </c>
      <c r="F3107">
        <v>0</v>
      </c>
      <c r="G3107">
        <v>16</v>
      </c>
      <c r="H3107">
        <v>0</v>
      </c>
    </row>
    <row r="3108" spans="2:8">
      <c r="B3108" t="s">
        <v>25022</v>
      </c>
      <c r="C3108">
        <v>398</v>
      </c>
      <c r="D3108">
        <v>38</v>
      </c>
      <c r="E3108">
        <v>23</v>
      </c>
      <c r="F3108">
        <v>0</v>
      </c>
      <c r="G3108">
        <v>19</v>
      </c>
      <c r="H3108">
        <v>4</v>
      </c>
    </row>
    <row r="3109" spans="2:8">
      <c r="B3109" t="s">
        <v>25022</v>
      </c>
      <c r="C3109">
        <v>398</v>
      </c>
      <c r="D3109">
        <v>30</v>
      </c>
      <c r="E3109">
        <v>13</v>
      </c>
      <c r="F3109">
        <v>0</v>
      </c>
      <c r="G3109">
        <v>12</v>
      </c>
      <c r="H3109">
        <v>1</v>
      </c>
    </row>
    <row r="3110" spans="2:8">
      <c r="B3110" t="s">
        <v>25022</v>
      </c>
      <c r="C3110">
        <v>398</v>
      </c>
      <c r="D3110">
        <v>25</v>
      </c>
      <c r="E3110">
        <v>14</v>
      </c>
      <c r="F3110">
        <v>0</v>
      </c>
      <c r="G3110">
        <v>13</v>
      </c>
      <c r="H3110">
        <v>1</v>
      </c>
    </row>
    <row r="3111" spans="2:8">
      <c r="B3111" t="s">
        <v>25022</v>
      </c>
      <c r="C3111">
        <v>398</v>
      </c>
      <c r="D3111">
        <v>27</v>
      </c>
      <c r="E3111">
        <v>4</v>
      </c>
      <c r="F3111">
        <v>0</v>
      </c>
      <c r="G3111">
        <v>2</v>
      </c>
      <c r="H3111">
        <v>2</v>
      </c>
    </row>
    <row r="3112" spans="2:8">
      <c r="B3112" t="s">
        <v>25022</v>
      </c>
      <c r="C3112">
        <v>398</v>
      </c>
      <c r="D3112">
        <v>18</v>
      </c>
      <c r="E3112">
        <v>9</v>
      </c>
      <c r="F3112">
        <v>0</v>
      </c>
      <c r="G3112">
        <v>9</v>
      </c>
      <c r="H3112">
        <v>0</v>
      </c>
    </row>
    <row r="3113" spans="2:8">
      <c r="B3113" t="s">
        <v>25022</v>
      </c>
      <c r="C3113">
        <v>399</v>
      </c>
      <c r="D3113">
        <v>57</v>
      </c>
      <c r="E3113">
        <v>27</v>
      </c>
      <c r="F3113">
        <v>0</v>
      </c>
      <c r="G3113">
        <v>23</v>
      </c>
      <c r="H3113">
        <v>4</v>
      </c>
    </row>
    <row r="3114" spans="2:8">
      <c r="B3114" t="s">
        <v>25022</v>
      </c>
      <c r="C3114">
        <v>399</v>
      </c>
      <c r="D3114">
        <v>26</v>
      </c>
      <c r="E3114">
        <v>2</v>
      </c>
      <c r="F3114">
        <v>0</v>
      </c>
      <c r="G3114">
        <v>2</v>
      </c>
      <c r="H3114">
        <v>0</v>
      </c>
    </row>
    <row r="3115" spans="2:8">
      <c r="B3115" t="s">
        <v>25022</v>
      </c>
      <c r="C3115">
        <v>399</v>
      </c>
      <c r="D3115">
        <v>28</v>
      </c>
      <c r="E3115">
        <v>16</v>
      </c>
      <c r="F3115">
        <v>0</v>
      </c>
      <c r="G3115">
        <v>16</v>
      </c>
      <c r="H3115">
        <v>0</v>
      </c>
    </row>
    <row r="3116" spans="2:8">
      <c r="B3116" t="s">
        <v>25022</v>
      </c>
      <c r="C3116">
        <v>399</v>
      </c>
      <c r="D3116">
        <v>6</v>
      </c>
      <c r="E3116">
        <v>0</v>
      </c>
      <c r="F3116">
        <v>0</v>
      </c>
      <c r="G3116">
        <v>0</v>
      </c>
      <c r="H3116">
        <v>0</v>
      </c>
    </row>
    <row r="3117" spans="2:8">
      <c r="B3117" t="s">
        <v>25022</v>
      </c>
      <c r="C3117">
        <v>400</v>
      </c>
      <c r="D3117">
        <v>31</v>
      </c>
      <c r="E3117">
        <v>12</v>
      </c>
      <c r="F3117">
        <v>0</v>
      </c>
      <c r="G3117">
        <v>11</v>
      </c>
      <c r="H3117">
        <v>1</v>
      </c>
    </row>
    <row r="3118" spans="2:8">
      <c r="B3118" t="s">
        <v>25022</v>
      </c>
      <c r="C3118">
        <v>400</v>
      </c>
      <c r="D3118">
        <v>7</v>
      </c>
      <c r="E3118">
        <v>3</v>
      </c>
      <c r="F3118">
        <v>0</v>
      </c>
      <c r="G3118">
        <v>3</v>
      </c>
      <c r="H3118">
        <v>0</v>
      </c>
    </row>
    <row r="3119" spans="2:8">
      <c r="B3119" t="s">
        <v>25022</v>
      </c>
      <c r="C3119">
        <v>400</v>
      </c>
      <c r="D3119">
        <v>12</v>
      </c>
      <c r="E3119">
        <v>4</v>
      </c>
      <c r="F3119">
        <v>0</v>
      </c>
      <c r="G3119">
        <v>4</v>
      </c>
      <c r="H3119">
        <v>0</v>
      </c>
    </row>
    <row r="3120" spans="2:8">
      <c r="B3120" t="s">
        <v>25022</v>
      </c>
      <c r="C3120">
        <v>400</v>
      </c>
      <c r="D3120">
        <v>5</v>
      </c>
      <c r="E3120">
        <v>3</v>
      </c>
      <c r="F3120">
        <v>0</v>
      </c>
      <c r="G3120">
        <v>2</v>
      </c>
      <c r="H3120">
        <v>1</v>
      </c>
    </row>
    <row r="3121" spans="2:8">
      <c r="B3121" t="s">
        <v>25022</v>
      </c>
      <c r="C3121">
        <v>401</v>
      </c>
      <c r="D3121">
        <v>22</v>
      </c>
      <c r="E3121">
        <v>16</v>
      </c>
      <c r="F3121">
        <v>0</v>
      </c>
      <c r="G3121">
        <v>16</v>
      </c>
      <c r="H3121">
        <v>0</v>
      </c>
    </row>
    <row r="3122" spans="2:8">
      <c r="B3122" t="s">
        <v>25022</v>
      </c>
      <c r="C3122">
        <v>401</v>
      </c>
      <c r="D3122">
        <v>9</v>
      </c>
      <c r="E3122">
        <v>2</v>
      </c>
      <c r="F3122">
        <v>0</v>
      </c>
      <c r="G3122">
        <v>2</v>
      </c>
      <c r="H3122">
        <v>0</v>
      </c>
    </row>
    <row r="3123" spans="2:8">
      <c r="B3123" t="s">
        <v>25022</v>
      </c>
      <c r="C3123">
        <v>401</v>
      </c>
      <c r="D3123">
        <v>7</v>
      </c>
      <c r="E3123">
        <v>0</v>
      </c>
      <c r="F3123">
        <v>0</v>
      </c>
      <c r="G3123">
        <v>0</v>
      </c>
      <c r="H3123">
        <v>0</v>
      </c>
    </row>
    <row r="3124" spans="2:8">
      <c r="B3124" t="s">
        <v>25022</v>
      </c>
      <c r="C3124">
        <v>401</v>
      </c>
      <c r="D3124">
        <v>4</v>
      </c>
      <c r="E3124">
        <v>0</v>
      </c>
      <c r="F3124">
        <v>0</v>
      </c>
      <c r="G3124">
        <v>0</v>
      </c>
      <c r="H3124">
        <v>0</v>
      </c>
    </row>
    <row r="3125" spans="2:8">
      <c r="B3125" t="s">
        <v>25022</v>
      </c>
      <c r="C3125">
        <v>402</v>
      </c>
      <c r="D3125">
        <v>45</v>
      </c>
      <c r="E3125">
        <v>13</v>
      </c>
      <c r="F3125">
        <v>0</v>
      </c>
      <c r="G3125">
        <v>12</v>
      </c>
      <c r="H3125">
        <v>1</v>
      </c>
    </row>
    <row r="3126" spans="2:8">
      <c r="B3126" t="s">
        <v>25022</v>
      </c>
      <c r="C3126">
        <v>402</v>
      </c>
      <c r="D3126">
        <v>8</v>
      </c>
      <c r="E3126">
        <v>4</v>
      </c>
      <c r="F3126">
        <v>0</v>
      </c>
      <c r="G3126">
        <v>4</v>
      </c>
      <c r="H3126">
        <v>0</v>
      </c>
    </row>
    <row r="3127" spans="2:8">
      <c r="B3127" t="s">
        <v>25022</v>
      </c>
      <c r="C3127">
        <v>402</v>
      </c>
      <c r="D3127">
        <v>9</v>
      </c>
      <c r="E3127">
        <v>5</v>
      </c>
      <c r="F3127">
        <v>0</v>
      </c>
      <c r="G3127">
        <v>5</v>
      </c>
      <c r="H3127">
        <v>0</v>
      </c>
    </row>
    <row r="3128" spans="2:8">
      <c r="B3128" t="s">
        <v>25022</v>
      </c>
      <c r="C3128">
        <v>403</v>
      </c>
      <c r="D3128">
        <v>23</v>
      </c>
      <c r="E3128">
        <v>14</v>
      </c>
      <c r="F3128">
        <v>0</v>
      </c>
      <c r="G3128">
        <v>14</v>
      </c>
      <c r="H3128">
        <v>0</v>
      </c>
    </row>
    <row r="3129" spans="2:8">
      <c r="B3129" t="s">
        <v>25022</v>
      </c>
      <c r="C3129">
        <v>403</v>
      </c>
      <c r="D3129">
        <v>8</v>
      </c>
      <c r="E3129">
        <v>0</v>
      </c>
      <c r="F3129">
        <v>0</v>
      </c>
      <c r="G3129">
        <v>0</v>
      </c>
      <c r="H3129">
        <v>0</v>
      </c>
    </row>
    <row r="3130" spans="2:8">
      <c r="B3130" t="s">
        <v>25022</v>
      </c>
      <c r="C3130">
        <v>404</v>
      </c>
      <c r="D3130">
        <v>35</v>
      </c>
      <c r="E3130">
        <v>12</v>
      </c>
      <c r="F3130">
        <v>0</v>
      </c>
      <c r="G3130">
        <v>11</v>
      </c>
      <c r="H3130">
        <v>1</v>
      </c>
    </row>
    <row r="3131" spans="2:8">
      <c r="B3131" t="s">
        <v>25022</v>
      </c>
      <c r="C3131">
        <v>404</v>
      </c>
      <c r="D3131">
        <v>40</v>
      </c>
      <c r="E3131">
        <v>27</v>
      </c>
      <c r="F3131">
        <v>0</v>
      </c>
      <c r="G3131">
        <v>23</v>
      </c>
      <c r="H3131">
        <v>4</v>
      </c>
    </row>
    <row r="3132" spans="2:8">
      <c r="B3132" t="s">
        <v>25022</v>
      </c>
      <c r="C3132">
        <v>404</v>
      </c>
      <c r="D3132">
        <v>8</v>
      </c>
      <c r="E3132">
        <v>2</v>
      </c>
      <c r="F3132">
        <v>0</v>
      </c>
      <c r="G3132">
        <v>2</v>
      </c>
      <c r="H3132">
        <v>0</v>
      </c>
    </row>
    <row r="3133" spans="2:8">
      <c r="B3133" t="s">
        <v>25022</v>
      </c>
      <c r="C3133">
        <v>404</v>
      </c>
      <c r="D3133">
        <v>6</v>
      </c>
      <c r="E3133">
        <v>0</v>
      </c>
      <c r="F3133">
        <v>0</v>
      </c>
      <c r="G3133">
        <v>0</v>
      </c>
      <c r="H3133">
        <v>0</v>
      </c>
    </row>
    <row r="3134" spans="2:8">
      <c r="B3134" t="s">
        <v>25022</v>
      </c>
      <c r="C3134">
        <v>404</v>
      </c>
      <c r="D3134">
        <v>10</v>
      </c>
      <c r="E3134">
        <v>0</v>
      </c>
      <c r="F3134">
        <v>0</v>
      </c>
      <c r="G3134">
        <v>0</v>
      </c>
      <c r="H3134">
        <v>0</v>
      </c>
    </row>
    <row r="3135" spans="2:8">
      <c r="B3135" t="s">
        <v>25022</v>
      </c>
      <c r="C3135">
        <v>405</v>
      </c>
      <c r="D3135">
        <v>14</v>
      </c>
      <c r="E3135">
        <v>0</v>
      </c>
      <c r="F3135">
        <v>0</v>
      </c>
      <c r="G3135">
        <v>0</v>
      </c>
      <c r="H3135">
        <v>0</v>
      </c>
    </row>
    <row r="3136" spans="2:8">
      <c r="B3136" t="s">
        <v>25022</v>
      </c>
      <c r="C3136">
        <v>405</v>
      </c>
      <c r="D3136">
        <v>32</v>
      </c>
      <c r="E3136">
        <v>6</v>
      </c>
      <c r="F3136">
        <v>0</v>
      </c>
      <c r="G3136">
        <v>6</v>
      </c>
      <c r="H3136">
        <v>0</v>
      </c>
    </row>
    <row r="3137" spans="2:8">
      <c r="B3137" t="s">
        <v>25022</v>
      </c>
      <c r="C3137">
        <v>405</v>
      </c>
      <c r="D3137">
        <v>23</v>
      </c>
      <c r="E3137">
        <v>10</v>
      </c>
      <c r="F3137">
        <v>0</v>
      </c>
      <c r="G3137">
        <v>8</v>
      </c>
      <c r="H3137">
        <v>2</v>
      </c>
    </row>
    <row r="3138" spans="2:8">
      <c r="B3138" t="s">
        <v>25022</v>
      </c>
      <c r="C3138">
        <v>405</v>
      </c>
      <c r="D3138">
        <v>17</v>
      </c>
      <c r="E3138">
        <v>2</v>
      </c>
      <c r="F3138">
        <v>0</v>
      </c>
      <c r="G3138">
        <v>2</v>
      </c>
      <c r="H3138">
        <v>0</v>
      </c>
    </row>
    <row r="3139" spans="2:8">
      <c r="B3139" t="s">
        <v>25022</v>
      </c>
      <c r="C3139">
        <v>406</v>
      </c>
      <c r="D3139">
        <v>15</v>
      </c>
      <c r="E3139">
        <v>2</v>
      </c>
      <c r="F3139">
        <v>0</v>
      </c>
      <c r="G3139">
        <v>2</v>
      </c>
      <c r="H3139">
        <v>0</v>
      </c>
    </row>
    <row r="3140" spans="2:8">
      <c r="B3140" t="s">
        <v>25022</v>
      </c>
      <c r="C3140">
        <v>406</v>
      </c>
      <c r="D3140">
        <v>20</v>
      </c>
      <c r="E3140">
        <v>4</v>
      </c>
      <c r="F3140">
        <v>0</v>
      </c>
      <c r="G3140">
        <v>4</v>
      </c>
      <c r="H3140">
        <v>0</v>
      </c>
    </row>
    <row r="3141" spans="2:8">
      <c r="B3141" t="s">
        <v>25022</v>
      </c>
      <c r="C3141">
        <v>406</v>
      </c>
      <c r="D3141">
        <v>14</v>
      </c>
      <c r="E3141">
        <v>2</v>
      </c>
      <c r="F3141">
        <v>0</v>
      </c>
      <c r="G3141">
        <v>2</v>
      </c>
      <c r="H3141">
        <v>0</v>
      </c>
    </row>
    <row r="3142" spans="2:8">
      <c r="B3142" t="s">
        <v>25022</v>
      </c>
      <c r="C3142">
        <v>406</v>
      </c>
      <c r="D3142">
        <v>11</v>
      </c>
      <c r="E3142">
        <v>3</v>
      </c>
      <c r="F3142">
        <v>0</v>
      </c>
      <c r="G3142">
        <v>3</v>
      </c>
      <c r="H3142">
        <v>0</v>
      </c>
    </row>
    <row r="3143" spans="2:8">
      <c r="B3143" t="s">
        <v>25022</v>
      </c>
      <c r="C3143">
        <v>407</v>
      </c>
      <c r="D3143">
        <v>28</v>
      </c>
      <c r="E3143">
        <v>15</v>
      </c>
      <c r="F3143">
        <v>0</v>
      </c>
      <c r="G3143">
        <v>15</v>
      </c>
      <c r="H3143">
        <v>0</v>
      </c>
    </row>
    <row r="3144" spans="2:8">
      <c r="B3144" t="s">
        <v>25022</v>
      </c>
      <c r="C3144">
        <v>407</v>
      </c>
      <c r="D3144">
        <v>17</v>
      </c>
      <c r="E3144">
        <v>2</v>
      </c>
      <c r="F3144">
        <v>0</v>
      </c>
      <c r="G3144">
        <v>0</v>
      </c>
      <c r="H3144">
        <v>2</v>
      </c>
    </row>
    <row r="3145" spans="2:8">
      <c r="B3145" t="s">
        <v>25022</v>
      </c>
      <c r="C3145">
        <v>407</v>
      </c>
      <c r="D3145">
        <v>11</v>
      </c>
      <c r="E3145">
        <v>4</v>
      </c>
      <c r="F3145">
        <v>0</v>
      </c>
      <c r="G3145">
        <v>2</v>
      </c>
      <c r="H3145">
        <v>2</v>
      </c>
    </row>
    <row r="3146" spans="2:8">
      <c r="B3146" t="s">
        <v>25022</v>
      </c>
      <c r="C3146">
        <v>408</v>
      </c>
      <c r="D3146">
        <v>29</v>
      </c>
      <c r="E3146">
        <v>17</v>
      </c>
      <c r="F3146">
        <v>0</v>
      </c>
      <c r="G3146">
        <v>13</v>
      </c>
      <c r="H3146">
        <v>4</v>
      </c>
    </row>
    <row r="3147" spans="2:8">
      <c r="B3147" t="s">
        <v>25022</v>
      </c>
      <c r="C3147">
        <v>408</v>
      </c>
      <c r="D3147">
        <v>32</v>
      </c>
      <c r="E3147">
        <v>10</v>
      </c>
      <c r="F3147">
        <v>0</v>
      </c>
      <c r="G3147">
        <v>10</v>
      </c>
      <c r="H3147">
        <v>0</v>
      </c>
    </row>
    <row r="3148" spans="2:8">
      <c r="B3148" t="s">
        <v>25022</v>
      </c>
      <c r="C3148">
        <v>408</v>
      </c>
      <c r="D3148">
        <v>17</v>
      </c>
      <c r="E3148">
        <v>4</v>
      </c>
      <c r="F3148">
        <v>0</v>
      </c>
      <c r="G3148">
        <v>4</v>
      </c>
      <c r="H3148">
        <v>0</v>
      </c>
    </row>
    <row r="3149" spans="2:8">
      <c r="B3149" t="s">
        <v>25022</v>
      </c>
      <c r="C3149">
        <v>408</v>
      </c>
      <c r="D3149">
        <v>12</v>
      </c>
      <c r="E3149">
        <v>0</v>
      </c>
      <c r="F3149">
        <v>0</v>
      </c>
      <c r="G3149">
        <v>0</v>
      </c>
      <c r="H3149">
        <v>0</v>
      </c>
    </row>
    <row r="3150" spans="2:8">
      <c r="B3150" t="s">
        <v>25022</v>
      </c>
      <c r="C3150">
        <v>408</v>
      </c>
      <c r="D3150">
        <v>18</v>
      </c>
      <c r="E3150">
        <v>2</v>
      </c>
      <c r="F3150">
        <v>0</v>
      </c>
      <c r="G3150">
        <v>2</v>
      </c>
      <c r="H3150">
        <v>0</v>
      </c>
    </row>
    <row r="3151" spans="2:8">
      <c r="B3151" t="s">
        <v>25022</v>
      </c>
      <c r="C3151">
        <v>409</v>
      </c>
      <c r="D3151">
        <v>23</v>
      </c>
      <c r="E3151">
        <v>2</v>
      </c>
      <c r="F3151">
        <v>0</v>
      </c>
      <c r="G3151">
        <v>0</v>
      </c>
      <c r="H3151">
        <v>2</v>
      </c>
    </row>
    <row r="3152" spans="2:8">
      <c r="B3152" t="s">
        <v>25022</v>
      </c>
      <c r="C3152">
        <v>409</v>
      </c>
      <c r="D3152">
        <v>10</v>
      </c>
      <c r="E3152">
        <v>3</v>
      </c>
      <c r="F3152">
        <v>0</v>
      </c>
      <c r="G3152">
        <v>3</v>
      </c>
      <c r="H3152">
        <v>0</v>
      </c>
    </row>
    <row r="3153" spans="2:8">
      <c r="B3153" t="s">
        <v>25022</v>
      </c>
      <c r="C3153">
        <v>409</v>
      </c>
      <c r="D3153">
        <v>9</v>
      </c>
      <c r="E3153">
        <v>0</v>
      </c>
      <c r="F3153">
        <v>0</v>
      </c>
      <c r="G3153">
        <v>0</v>
      </c>
      <c r="H3153">
        <v>0</v>
      </c>
    </row>
    <row r="3154" spans="2:8">
      <c r="B3154" t="s">
        <v>25022</v>
      </c>
      <c r="C3154">
        <v>410</v>
      </c>
      <c r="D3154">
        <v>31</v>
      </c>
      <c r="E3154">
        <v>5</v>
      </c>
      <c r="F3154">
        <v>0</v>
      </c>
      <c r="G3154">
        <v>3</v>
      </c>
      <c r="H3154">
        <v>2</v>
      </c>
    </row>
    <row r="3155" spans="2:8">
      <c r="B3155" t="s">
        <v>25022</v>
      </c>
      <c r="C3155">
        <v>410</v>
      </c>
      <c r="D3155">
        <v>11</v>
      </c>
      <c r="E3155">
        <v>2</v>
      </c>
      <c r="F3155">
        <v>0</v>
      </c>
      <c r="G3155">
        <v>2</v>
      </c>
      <c r="H3155">
        <v>0</v>
      </c>
    </row>
    <row r="3156" spans="2:8">
      <c r="B3156" t="s">
        <v>25022</v>
      </c>
      <c r="C3156">
        <v>410</v>
      </c>
      <c r="D3156">
        <v>20</v>
      </c>
      <c r="E3156">
        <v>7</v>
      </c>
      <c r="F3156">
        <v>0</v>
      </c>
      <c r="G3156">
        <v>7</v>
      </c>
      <c r="H3156">
        <v>0</v>
      </c>
    </row>
    <row r="3157" spans="2:8">
      <c r="B3157" t="s">
        <v>25022</v>
      </c>
      <c r="C3157">
        <v>410</v>
      </c>
      <c r="D3157">
        <v>4</v>
      </c>
      <c r="E3157">
        <v>0</v>
      </c>
      <c r="F3157">
        <v>0</v>
      </c>
      <c r="G3157">
        <v>0</v>
      </c>
      <c r="H3157">
        <v>0</v>
      </c>
    </row>
    <row r="3158" spans="2:8">
      <c r="B3158" t="s">
        <v>25022</v>
      </c>
      <c r="C3158">
        <v>411</v>
      </c>
      <c r="D3158">
        <v>9</v>
      </c>
      <c r="E3158">
        <v>0</v>
      </c>
      <c r="F3158">
        <v>0</v>
      </c>
      <c r="G3158">
        <v>0</v>
      </c>
      <c r="H3158">
        <v>0</v>
      </c>
    </row>
    <row r="3159" spans="2:8">
      <c r="B3159" t="s">
        <v>25022</v>
      </c>
      <c r="C3159">
        <v>412</v>
      </c>
      <c r="D3159">
        <v>46</v>
      </c>
      <c r="E3159">
        <v>22</v>
      </c>
      <c r="F3159">
        <v>0</v>
      </c>
      <c r="G3159">
        <v>19</v>
      </c>
      <c r="H3159">
        <v>3</v>
      </c>
    </row>
    <row r="3160" spans="2:8">
      <c r="B3160" t="s">
        <v>25022</v>
      </c>
      <c r="C3160">
        <v>412</v>
      </c>
      <c r="D3160">
        <v>24</v>
      </c>
      <c r="E3160">
        <v>8</v>
      </c>
      <c r="F3160">
        <v>0</v>
      </c>
      <c r="G3160">
        <v>8</v>
      </c>
      <c r="H3160">
        <v>0</v>
      </c>
    </row>
    <row r="3161" spans="2:8">
      <c r="B3161" t="s">
        <v>25022</v>
      </c>
      <c r="C3161">
        <v>412</v>
      </c>
      <c r="D3161">
        <v>18</v>
      </c>
      <c r="E3161">
        <v>5</v>
      </c>
      <c r="F3161">
        <v>0</v>
      </c>
      <c r="G3161">
        <v>5</v>
      </c>
      <c r="H3161">
        <v>0</v>
      </c>
    </row>
    <row r="3162" spans="2:8">
      <c r="B3162" t="s">
        <v>25022</v>
      </c>
      <c r="C3162">
        <v>413</v>
      </c>
      <c r="D3162">
        <v>15</v>
      </c>
      <c r="E3162">
        <v>5</v>
      </c>
      <c r="F3162">
        <v>0</v>
      </c>
      <c r="G3162">
        <v>3</v>
      </c>
      <c r="H3162">
        <v>2</v>
      </c>
    </row>
    <row r="3163" spans="2:8">
      <c r="B3163" t="s">
        <v>25022</v>
      </c>
      <c r="C3163">
        <v>413</v>
      </c>
      <c r="D3163">
        <v>5</v>
      </c>
      <c r="E3163">
        <v>0</v>
      </c>
      <c r="F3163">
        <v>0</v>
      </c>
      <c r="G3163">
        <v>0</v>
      </c>
      <c r="H3163">
        <v>0</v>
      </c>
    </row>
    <row r="3164" spans="2:8">
      <c r="B3164" t="s">
        <v>25022</v>
      </c>
      <c r="C3164">
        <v>414</v>
      </c>
      <c r="D3164">
        <v>25</v>
      </c>
      <c r="E3164">
        <v>11</v>
      </c>
      <c r="F3164">
        <v>0</v>
      </c>
      <c r="G3164">
        <v>11</v>
      </c>
      <c r="H3164">
        <v>0</v>
      </c>
    </row>
    <row r="3165" spans="2:8">
      <c r="B3165" t="s">
        <v>25022</v>
      </c>
      <c r="C3165">
        <v>414</v>
      </c>
      <c r="D3165">
        <v>36</v>
      </c>
      <c r="E3165">
        <v>14</v>
      </c>
      <c r="F3165">
        <v>2</v>
      </c>
      <c r="G3165">
        <v>9</v>
      </c>
      <c r="H3165">
        <v>3</v>
      </c>
    </row>
    <row r="3166" spans="2:8">
      <c r="B3166" t="s">
        <v>25022</v>
      </c>
      <c r="C3166">
        <v>414</v>
      </c>
      <c r="D3166">
        <v>12</v>
      </c>
      <c r="E3166">
        <v>0</v>
      </c>
      <c r="F3166">
        <v>0</v>
      </c>
      <c r="G3166">
        <v>0</v>
      </c>
      <c r="H3166">
        <v>0</v>
      </c>
    </row>
    <row r="3167" spans="2:8">
      <c r="B3167" t="s">
        <v>25022</v>
      </c>
      <c r="C3167">
        <v>415</v>
      </c>
      <c r="D3167">
        <v>16</v>
      </c>
      <c r="E3167">
        <v>2</v>
      </c>
      <c r="F3167">
        <v>0</v>
      </c>
      <c r="G3167">
        <v>2</v>
      </c>
      <c r="H3167">
        <v>0</v>
      </c>
    </row>
    <row r="3168" spans="2:8">
      <c r="B3168" t="s">
        <v>25022</v>
      </c>
      <c r="C3168">
        <v>415</v>
      </c>
      <c r="D3168">
        <v>19</v>
      </c>
      <c r="E3168">
        <v>9</v>
      </c>
      <c r="F3168">
        <v>2</v>
      </c>
      <c r="G3168">
        <v>7</v>
      </c>
      <c r="H3168">
        <v>0</v>
      </c>
    </row>
    <row r="3169" spans="2:8">
      <c r="B3169" t="s">
        <v>25022</v>
      </c>
      <c r="C3169">
        <v>415</v>
      </c>
      <c r="D3169">
        <v>12</v>
      </c>
      <c r="E3169">
        <v>4</v>
      </c>
      <c r="F3169">
        <v>0</v>
      </c>
      <c r="G3169">
        <v>4</v>
      </c>
      <c r="H3169">
        <v>0</v>
      </c>
    </row>
    <row r="3170" spans="2:8">
      <c r="B3170" t="s">
        <v>25022</v>
      </c>
      <c r="C3170">
        <v>416</v>
      </c>
      <c r="D3170">
        <v>25</v>
      </c>
      <c r="E3170">
        <v>8</v>
      </c>
      <c r="F3170">
        <v>0</v>
      </c>
      <c r="G3170">
        <v>8</v>
      </c>
      <c r="H3170">
        <v>0</v>
      </c>
    </row>
    <row r="3171" spans="2:8">
      <c r="B3171" t="s">
        <v>25022</v>
      </c>
      <c r="C3171">
        <v>416</v>
      </c>
      <c r="D3171">
        <v>28</v>
      </c>
      <c r="E3171">
        <v>11</v>
      </c>
      <c r="F3171">
        <v>0</v>
      </c>
      <c r="G3171">
        <v>9</v>
      </c>
      <c r="H3171">
        <v>2</v>
      </c>
    </row>
    <row r="3172" spans="2:8">
      <c r="B3172" t="s">
        <v>25022</v>
      </c>
      <c r="C3172">
        <v>416</v>
      </c>
      <c r="D3172">
        <v>21</v>
      </c>
      <c r="E3172">
        <v>4</v>
      </c>
      <c r="F3172">
        <v>0</v>
      </c>
      <c r="G3172">
        <v>4</v>
      </c>
      <c r="H3172">
        <v>0</v>
      </c>
    </row>
    <row r="3173" spans="2:8">
      <c r="B3173" t="s">
        <v>25022</v>
      </c>
      <c r="C3173">
        <v>416</v>
      </c>
      <c r="D3173">
        <v>8</v>
      </c>
      <c r="E3173">
        <v>0</v>
      </c>
      <c r="F3173">
        <v>0</v>
      </c>
      <c r="G3173">
        <v>0</v>
      </c>
      <c r="H3173">
        <v>0</v>
      </c>
    </row>
    <row r="3174" spans="2:8">
      <c r="B3174" t="s">
        <v>25022</v>
      </c>
      <c r="C3174">
        <v>416</v>
      </c>
      <c r="D3174">
        <v>15</v>
      </c>
      <c r="E3174">
        <v>4</v>
      </c>
      <c r="F3174">
        <v>0</v>
      </c>
      <c r="G3174">
        <v>4</v>
      </c>
      <c r="H3174">
        <v>0</v>
      </c>
    </row>
    <row r="3175" spans="2:8">
      <c r="B3175" t="s">
        <v>25022</v>
      </c>
      <c r="C3175">
        <v>417</v>
      </c>
      <c r="D3175">
        <v>31</v>
      </c>
      <c r="E3175">
        <v>6</v>
      </c>
      <c r="F3175">
        <v>0</v>
      </c>
      <c r="G3175">
        <v>6</v>
      </c>
      <c r="H3175">
        <v>0</v>
      </c>
    </row>
    <row r="3176" spans="2:8">
      <c r="B3176" t="s">
        <v>25022</v>
      </c>
      <c r="C3176">
        <v>417</v>
      </c>
      <c r="D3176">
        <v>28</v>
      </c>
      <c r="E3176">
        <v>15</v>
      </c>
      <c r="F3176">
        <v>0</v>
      </c>
      <c r="G3176">
        <v>14</v>
      </c>
      <c r="H3176">
        <v>1</v>
      </c>
    </row>
    <row r="3177" spans="2:8">
      <c r="B3177" t="s">
        <v>25022</v>
      </c>
      <c r="C3177">
        <v>417</v>
      </c>
      <c r="D3177">
        <v>11</v>
      </c>
      <c r="E3177">
        <v>2</v>
      </c>
      <c r="F3177">
        <v>0</v>
      </c>
      <c r="G3177">
        <v>2</v>
      </c>
      <c r="H3177">
        <v>0</v>
      </c>
    </row>
    <row r="3178" spans="2:8">
      <c r="B3178" t="s">
        <v>25022</v>
      </c>
      <c r="C3178">
        <v>418</v>
      </c>
      <c r="D3178">
        <v>10</v>
      </c>
      <c r="E3178">
        <v>2</v>
      </c>
      <c r="F3178">
        <v>0</v>
      </c>
      <c r="G3178">
        <v>2</v>
      </c>
      <c r="H3178">
        <v>0</v>
      </c>
    </row>
    <row r="3179" spans="2:8">
      <c r="B3179" t="s">
        <v>25022</v>
      </c>
      <c r="C3179">
        <v>418</v>
      </c>
      <c r="D3179">
        <v>18</v>
      </c>
      <c r="E3179">
        <v>10</v>
      </c>
      <c r="F3179">
        <v>0</v>
      </c>
      <c r="G3179">
        <v>8</v>
      </c>
      <c r="H3179">
        <v>2</v>
      </c>
    </row>
    <row r="3180" spans="2:8">
      <c r="B3180" t="s">
        <v>25022</v>
      </c>
      <c r="C3180">
        <v>419</v>
      </c>
      <c r="D3180">
        <v>6</v>
      </c>
      <c r="E3180">
        <v>0</v>
      </c>
      <c r="F3180">
        <v>0</v>
      </c>
      <c r="G3180">
        <v>0</v>
      </c>
      <c r="H3180">
        <v>0</v>
      </c>
    </row>
    <row r="3181" spans="2:8">
      <c r="B3181" t="s">
        <v>25022</v>
      </c>
      <c r="C3181">
        <v>420</v>
      </c>
      <c r="D3181">
        <v>11</v>
      </c>
      <c r="E3181">
        <v>2</v>
      </c>
      <c r="F3181">
        <v>0</v>
      </c>
      <c r="G3181">
        <v>2</v>
      </c>
      <c r="H3181">
        <v>0</v>
      </c>
    </row>
    <row r="3182" spans="2:8">
      <c r="B3182" t="s">
        <v>25022</v>
      </c>
      <c r="C3182">
        <v>420</v>
      </c>
      <c r="D3182">
        <v>11</v>
      </c>
      <c r="E3182">
        <v>2</v>
      </c>
      <c r="F3182">
        <v>0</v>
      </c>
      <c r="G3182">
        <v>2</v>
      </c>
      <c r="H3182">
        <v>0</v>
      </c>
    </row>
    <row r="3183" spans="2:8">
      <c r="B3183" t="s">
        <v>25022</v>
      </c>
      <c r="C3183">
        <v>420</v>
      </c>
      <c r="D3183">
        <v>10</v>
      </c>
      <c r="E3183">
        <v>0</v>
      </c>
      <c r="F3183">
        <v>0</v>
      </c>
      <c r="G3183">
        <v>0</v>
      </c>
      <c r="H3183">
        <v>0</v>
      </c>
    </row>
    <row r="3184" spans="2:8">
      <c r="B3184" t="s">
        <v>25022</v>
      </c>
      <c r="C3184">
        <v>420</v>
      </c>
      <c r="D3184">
        <v>20</v>
      </c>
      <c r="E3184">
        <v>5</v>
      </c>
      <c r="F3184">
        <v>0</v>
      </c>
      <c r="G3184">
        <v>4</v>
      </c>
      <c r="H3184">
        <v>1</v>
      </c>
    </row>
    <row r="3185" spans="2:8">
      <c r="B3185" t="s">
        <v>25022</v>
      </c>
      <c r="C3185">
        <v>420</v>
      </c>
      <c r="D3185">
        <v>13</v>
      </c>
      <c r="E3185">
        <v>2</v>
      </c>
      <c r="F3185">
        <v>0</v>
      </c>
      <c r="G3185">
        <v>2</v>
      </c>
      <c r="H3185">
        <v>0</v>
      </c>
    </row>
    <row r="3186" spans="2:8">
      <c r="B3186" t="s">
        <v>25022</v>
      </c>
      <c r="C3186">
        <v>420</v>
      </c>
      <c r="D3186">
        <v>1</v>
      </c>
      <c r="E3186">
        <v>0</v>
      </c>
      <c r="F3186">
        <v>0</v>
      </c>
      <c r="G3186">
        <v>0</v>
      </c>
      <c r="H3186">
        <v>0</v>
      </c>
    </row>
    <row r="3187" spans="2:8">
      <c r="B3187" t="s">
        <v>25022</v>
      </c>
      <c r="C3187">
        <v>421</v>
      </c>
      <c r="D3187">
        <v>23</v>
      </c>
      <c r="E3187">
        <v>4</v>
      </c>
      <c r="F3187">
        <v>0</v>
      </c>
      <c r="G3187">
        <v>4</v>
      </c>
      <c r="H3187">
        <v>0</v>
      </c>
    </row>
    <row r="3188" spans="2:8">
      <c r="B3188" t="s">
        <v>25022</v>
      </c>
      <c r="C3188">
        <v>421</v>
      </c>
      <c r="D3188">
        <v>18</v>
      </c>
      <c r="E3188">
        <v>4</v>
      </c>
      <c r="F3188">
        <v>0</v>
      </c>
      <c r="G3188">
        <v>4</v>
      </c>
      <c r="H3188">
        <v>0</v>
      </c>
    </row>
    <row r="3189" spans="2:8">
      <c r="B3189" t="s">
        <v>25022</v>
      </c>
      <c r="C3189">
        <v>421</v>
      </c>
      <c r="D3189">
        <v>11</v>
      </c>
      <c r="E3189">
        <v>6</v>
      </c>
      <c r="F3189">
        <v>0</v>
      </c>
      <c r="G3189">
        <v>4</v>
      </c>
      <c r="H3189">
        <v>2</v>
      </c>
    </row>
    <row r="3190" spans="2:8">
      <c r="B3190" t="s">
        <v>25022</v>
      </c>
      <c r="C3190">
        <v>422</v>
      </c>
      <c r="D3190">
        <v>42</v>
      </c>
      <c r="E3190">
        <v>19</v>
      </c>
      <c r="F3190">
        <v>0</v>
      </c>
      <c r="G3190">
        <v>17</v>
      </c>
      <c r="H3190">
        <v>2</v>
      </c>
    </row>
    <row r="3191" spans="2:8">
      <c r="B3191" t="s">
        <v>25022</v>
      </c>
      <c r="C3191">
        <v>422</v>
      </c>
      <c r="D3191">
        <v>36</v>
      </c>
      <c r="E3191">
        <v>23</v>
      </c>
      <c r="F3191">
        <v>0</v>
      </c>
      <c r="G3191">
        <v>20</v>
      </c>
      <c r="H3191">
        <v>3</v>
      </c>
    </row>
    <row r="3192" spans="2:8">
      <c r="B3192" t="s">
        <v>25022</v>
      </c>
      <c r="C3192">
        <v>422</v>
      </c>
      <c r="D3192">
        <v>16</v>
      </c>
      <c r="E3192">
        <v>7</v>
      </c>
      <c r="F3192">
        <v>0</v>
      </c>
      <c r="G3192">
        <v>7</v>
      </c>
      <c r="H3192">
        <v>0</v>
      </c>
    </row>
    <row r="3193" spans="2:8">
      <c r="B3193" t="s">
        <v>25022</v>
      </c>
      <c r="C3193">
        <v>422</v>
      </c>
      <c r="D3193">
        <v>23</v>
      </c>
      <c r="E3193">
        <v>7</v>
      </c>
      <c r="F3193">
        <v>0</v>
      </c>
      <c r="G3193">
        <v>7</v>
      </c>
      <c r="H3193">
        <v>0</v>
      </c>
    </row>
    <row r="3194" spans="2:8">
      <c r="B3194" t="s">
        <v>25022</v>
      </c>
      <c r="C3194">
        <v>422</v>
      </c>
      <c r="D3194">
        <v>34</v>
      </c>
      <c r="E3194">
        <v>6</v>
      </c>
      <c r="F3194">
        <v>0</v>
      </c>
      <c r="G3194">
        <v>4</v>
      </c>
      <c r="H3194">
        <v>2</v>
      </c>
    </row>
    <row r="3195" spans="2:8">
      <c r="B3195" t="s">
        <v>25022</v>
      </c>
      <c r="C3195">
        <v>422</v>
      </c>
      <c r="D3195">
        <v>9</v>
      </c>
      <c r="E3195">
        <v>2</v>
      </c>
      <c r="F3195">
        <v>0</v>
      </c>
      <c r="G3195">
        <v>2</v>
      </c>
      <c r="H3195">
        <v>0</v>
      </c>
    </row>
    <row r="3196" spans="2:8">
      <c r="B3196" t="s">
        <v>25022</v>
      </c>
      <c r="C3196">
        <v>422</v>
      </c>
      <c r="D3196">
        <v>10</v>
      </c>
      <c r="E3196">
        <v>4</v>
      </c>
      <c r="F3196">
        <v>2</v>
      </c>
      <c r="G3196">
        <v>1</v>
      </c>
      <c r="H3196">
        <v>1</v>
      </c>
    </row>
    <row r="3197" spans="2:8">
      <c r="B3197" t="s">
        <v>25022</v>
      </c>
      <c r="C3197">
        <v>422</v>
      </c>
      <c r="D3197">
        <v>9</v>
      </c>
      <c r="E3197">
        <v>0</v>
      </c>
      <c r="F3197">
        <v>0</v>
      </c>
      <c r="G3197">
        <v>0</v>
      </c>
      <c r="H3197">
        <v>0</v>
      </c>
    </row>
    <row r="3198" spans="2:8">
      <c r="B3198" t="s">
        <v>25022</v>
      </c>
      <c r="C3198">
        <v>423</v>
      </c>
      <c r="D3198">
        <v>24</v>
      </c>
      <c r="E3198">
        <v>0</v>
      </c>
      <c r="F3198">
        <v>0</v>
      </c>
      <c r="G3198">
        <v>0</v>
      </c>
      <c r="H3198">
        <v>0</v>
      </c>
    </row>
    <row r="3199" spans="2:8">
      <c r="B3199" t="s">
        <v>25022</v>
      </c>
      <c r="C3199">
        <v>423</v>
      </c>
      <c r="D3199">
        <v>17</v>
      </c>
      <c r="E3199">
        <v>0</v>
      </c>
      <c r="F3199">
        <v>0</v>
      </c>
      <c r="G3199">
        <v>0</v>
      </c>
      <c r="H3199">
        <v>0</v>
      </c>
    </row>
    <row r="3200" spans="2:8">
      <c r="B3200" t="s">
        <v>25022</v>
      </c>
      <c r="C3200">
        <v>423</v>
      </c>
      <c r="D3200">
        <v>7</v>
      </c>
      <c r="E3200">
        <v>2</v>
      </c>
      <c r="F3200">
        <v>0</v>
      </c>
      <c r="G3200">
        <v>2</v>
      </c>
      <c r="H3200">
        <v>0</v>
      </c>
    </row>
    <row r="3201" spans="2:8">
      <c r="B3201" t="s">
        <v>25022</v>
      </c>
      <c r="C3201">
        <v>424</v>
      </c>
      <c r="D3201">
        <v>39</v>
      </c>
      <c r="E3201">
        <v>21</v>
      </c>
      <c r="F3201">
        <v>0</v>
      </c>
      <c r="G3201">
        <v>17</v>
      </c>
      <c r="H3201">
        <v>4</v>
      </c>
    </row>
    <row r="3202" spans="2:8">
      <c r="B3202" t="s">
        <v>25022</v>
      </c>
      <c r="C3202">
        <v>424</v>
      </c>
      <c r="D3202">
        <v>84</v>
      </c>
      <c r="E3202">
        <v>52</v>
      </c>
      <c r="F3202">
        <v>0</v>
      </c>
      <c r="G3202">
        <v>45</v>
      </c>
      <c r="H3202">
        <v>7</v>
      </c>
    </row>
    <row r="3203" spans="2:8">
      <c r="B3203" t="s">
        <v>25022</v>
      </c>
      <c r="C3203">
        <v>424</v>
      </c>
      <c r="D3203">
        <v>17</v>
      </c>
      <c r="E3203">
        <v>5</v>
      </c>
      <c r="F3203">
        <v>0</v>
      </c>
      <c r="G3203">
        <v>5</v>
      </c>
      <c r="H3203">
        <v>0</v>
      </c>
    </row>
    <row r="3204" spans="2:8">
      <c r="B3204" t="s">
        <v>25022</v>
      </c>
      <c r="C3204">
        <v>424</v>
      </c>
      <c r="D3204">
        <v>25</v>
      </c>
      <c r="E3204">
        <v>8</v>
      </c>
      <c r="F3204">
        <v>0</v>
      </c>
      <c r="G3204">
        <v>8</v>
      </c>
      <c r="H3204">
        <v>0</v>
      </c>
    </row>
    <row r="3205" spans="2:8">
      <c r="B3205" t="s">
        <v>25022</v>
      </c>
      <c r="C3205">
        <v>424</v>
      </c>
      <c r="D3205">
        <v>20</v>
      </c>
      <c r="E3205">
        <v>8</v>
      </c>
      <c r="F3205">
        <v>0</v>
      </c>
      <c r="G3205">
        <v>8</v>
      </c>
      <c r="H3205">
        <v>0</v>
      </c>
    </row>
    <row r="3206" spans="2:8">
      <c r="B3206" t="s">
        <v>25022</v>
      </c>
      <c r="C3206">
        <v>424</v>
      </c>
      <c r="D3206">
        <v>10</v>
      </c>
      <c r="E3206">
        <v>2</v>
      </c>
      <c r="F3206">
        <v>0</v>
      </c>
      <c r="G3206">
        <v>2</v>
      </c>
      <c r="H3206">
        <v>0</v>
      </c>
    </row>
    <row r="3207" spans="2:8">
      <c r="B3207" t="s">
        <v>25022</v>
      </c>
      <c r="C3207">
        <v>425</v>
      </c>
      <c r="D3207">
        <v>20</v>
      </c>
      <c r="E3207">
        <v>7</v>
      </c>
      <c r="F3207">
        <v>0</v>
      </c>
      <c r="G3207">
        <v>7</v>
      </c>
      <c r="H3207">
        <v>0</v>
      </c>
    </row>
    <row r="3208" spans="2:8">
      <c r="B3208" t="s">
        <v>25022</v>
      </c>
      <c r="C3208">
        <v>426</v>
      </c>
      <c r="D3208">
        <v>36</v>
      </c>
      <c r="E3208">
        <v>4</v>
      </c>
      <c r="F3208">
        <v>0</v>
      </c>
      <c r="G3208">
        <v>3</v>
      </c>
      <c r="H3208">
        <v>1</v>
      </c>
    </row>
    <row r="3209" spans="2:8">
      <c r="B3209" t="s">
        <v>25022</v>
      </c>
      <c r="C3209">
        <v>426</v>
      </c>
      <c r="D3209">
        <v>24</v>
      </c>
      <c r="E3209">
        <v>10</v>
      </c>
      <c r="F3209">
        <v>0</v>
      </c>
      <c r="G3209">
        <v>6</v>
      </c>
      <c r="H3209">
        <v>4</v>
      </c>
    </row>
    <row r="3210" spans="2:8">
      <c r="B3210" t="s">
        <v>25022</v>
      </c>
      <c r="C3210">
        <v>426</v>
      </c>
      <c r="D3210">
        <v>25</v>
      </c>
      <c r="E3210">
        <v>8</v>
      </c>
      <c r="F3210">
        <v>0</v>
      </c>
      <c r="G3210">
        <v>6</v>
      </c>
      <c r="H3210">
        <v>2</v>
      </c>
    </row>
    <row r="3211" spans="2:8">
      <c r="B3211" t="s">
        <v>25022</v>
      </c>
      <c r="C3211">
        <v>426</v>
      </c>
      <c r="D3211">
        <v>23</v>
      </c>
      <c r="E3211">
        <v>9</v>
      </c>
      <c r="F3211">
        <v>0</v>
      </c>
      <c r="G3211">
        <v>9</v>
      </c>
      <c r="H3211">
        <v>0</v>
      </c>
    </row>
    <row r="3212" spans="2:8">
      <c r="B3212" t="s">
        <v>25022</v>
      </c>
      <c r="C3212">
        <v>426</v>
      </c>
      <c r="D3212">
        <v>7</v>
      </c>
      <c r="E3212">
        <v>3</v>
      </c>
      <c r="F3212">
        <v>0</v>
      </c>
      <c r="G3212">
        <v>3</v>
      </c>
      <c r="H3212">
        <v>0</v>
      </c>
    </row>
    <row r="3213" spans="2:8">
      <c r="B3213" t="s">
        <v>25022</v>
      </c>
      <c r="C3213">
        <v>427</v>
      </c>
      <c r="D3213">
        <v>31</v>
      </c>
      <c r="E3213">
        <v>8</v>
      </c>
      <c r="F3213">
        <v>2</v>
      </c>
      <c r="G3213">
        <v>6</v>
      </c>
      <c r="H3213">
        <v>0</v>
      </c>
    </row>
    <row r="3214" spans="2:8">
      <c r="B3214" t="s">
        <v>25022</v>
      </c>
      <c r="C3214">
        <v>427</v>
      </c>
      <c r="D3214">
        <v>28</v>
      </c>
      <c r="E3214">
        <v>10</v>
      </c>
      <c r="F3214">
        <v>0</v>
      </c>
      <c r="G3214">
        <v>10</v>
      </c>
      <c r="H3214">
        <v>0</v>
      </c>
    </row>
    <row r="3215" spans="2:8">
      <c r="B3215" t="s">
        <v>25022</v>
      </c>
      <c r="C3215">
        <v>427</v>
      </c>
      <c r="D3215">
        <v>6</v>
      </c>
      <c r="E3215">
        <v>0</v>
      </c>
      <c r="F3215">
        <v>0</v>
      </c>
      <c r="G3215">
        <v>0</v>
      </c>
      <c r="H3215">
        <v>0</v>
      </c>
    </row>
    <row r="3216" spans="2:8">
      <c r="B3216" t="s">
        <v>25022</v>
      </c>
      <c r="C3216">
        <v>427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2:8">
      <c r="B3217" t="s">
        <v>25022</v>
      </c>
      <c r="C3217">
        <v>428</v>
      </c>
      <c r="D3217">
        <v>27</v>
      </c>
      <c r="E3217">
        <v>5</v>
      </c>
      <c r="F3217">
        <v>0</v>
      </c>
      <c r="G3217">
        <v>3</v>
      </c>
      <c r="H3217">
        <v>2</v>
      </c>
    </row>
    <row r="3218" spans="2:8">
      <c r="B3218" t="s">
        <v>25022</v>
      </c>
      <c r="C3218">
        <v>428</v>
      </c>
      <c r="D3218">
        <v>21</v>
      </c>
      <c r="E3218">
        <v>8</v>
      </c>
      <c r="F3218">
        <v>0</v>
      </c>
      <c r="G3218">
        <v>6</v>
      </c>
      <c r="H3218">
        <v>2</v>
      </c>
    </row>
    <row r="3219" spans="2:8">
      <c r="B3219" t="s">
        <v>25022</v>
      </c>
      <c r="C3219">
        <v>428</v>
      </c>
      <c r="D3219">
        <v>18</v>
      </c>
      <c r="E3219">
        <v>3</v>
      </c>
      <c r="F3219">
        <v>0</v>
      </c>
      <c r="G3219">
        <v>3</v>
      </c>
      <c r="H3219">
        <v>0</v>
      </c>
    </row>
    <row r="3220" spans="2:8">
      <c r="B3220" t="s">
        <v>25022</v>
      </c>
      <c r="C3220">
        <v>428</v>
      </c>
      <c r="D3220">
        <v>14</v>
      </c>
      <c r="E3220">
        <v>0</v>
      </c>
      <c r="F3220">
        <v>0</v>
      </c>
      <c r="G3220">
        <v>0</v>
      </c>
      <c r="H3220">
        <v>0</v>
      </c>
    </row>
    <row r="3221" spans="2:8">
      <c r="B3221" t="s">
        <v>25022</v>
      </c>
      <c r="C3221">
        <v>428</v>
      </c>
      <c r="D3221">
        <v>14</v>
      </c>
      <c r="E3221">
        <v>4</v>
      </c>
      <c r="F3221">
        <v>0</v>
      </c>
      <c r="G3221">
        <v>4</v>
      </c>
      <c r="H3221">
        <v>0</v>
      </c>
    </row>
    <row r="3222" spans="2:8">
      <c r="B3222" t="s">
        <v>25022</v>
      </c>
      <c r="C3222">
        <v>428</v>
      </c>
      <c r="D3222">
        <v>13</v>
      </c>
      <c r="E3222">
        <v>2</v>
      </c>
      <c r="F3222">
        <v>0</v>
      </c>
      <c r="G3222">
        <v>2</v>
      </c>
      <c r="H3222">
        <v>0</v>
      </c>
    </row>
    <row r="3223" spans="2:8">
      <c r="B3223" t="s">
        <v>25022</v>
      </c>
      <c r="C3223">
        <v>429</v>
      </c>
      <c r="D3223">
        <v>25</v>
      </c>
      <c r="E3223">
        <v>13</v>
      </c>
      <c r="F3223">
        <v>0</v>
      </c>
      <c r="G3223">
        <v>11</v>
      </c>
      <c r="H3223">
        <v>2</v>
      </c>
    </row>
    <row r="3224" spans="2:8">
      <c r="B3224" t="s">
        <v>25022</v>
      </c>
      <c r="C3224">
        <v>429</v>
      </c>
      <c r="D3224">
        <v>15</v>
      </c>
      <c r="E3224">
        <v>7</v>
      </c>
      <c r="F3224">
        <v>0</v>
      </c>
      <c r="G3224">
        <v>7</v>
      </c>
      <c r="H3224">
        <v>0</v>
      </c>
    </row>
    <row r="3225" spans="2:8">
      <c r="B3225" t="s">
        <v>25022</v>
      </c>
      <c r="C3225">
        <v>429</v>
      </c>
      <c r="D3225">
        <v>5</v>
      </c>
      <c r="E3225">
        <v>2</v>
      </c>
      <c r="F3225">
        <v>0</v>
      </c>
      <c r="G3225">
        <v>0</v>
      </c>
      <c r="H3225">
        <v>2</v>
      </c>
    </row>
    <row r="3226" spans="2:8">
      <c r="B3226" t="s">
        <v>25022</v>
      </c>
      <c r="C3226">
        <v>430</v>
      </c>
      <c r="D3226">
        <v>31</v>
      </c>
      <c r="E3226">
        <v>15</v>
      </c>
      <c r="F3226">
        <v>0</v>
      </c>
      <c r="G3226">
        <v>13</v>
      </c>
      <c r="H3226">
        <v>2</v>
      </c>
    </row>
    <row r="3227" spans="2:8">
      <c r="B3227" t="s">
        <v>25022</v>
      </c>
      <c r="C3227">
        <v>430</v>
      </c>
      <c r="D3227">
        <v>28</v>
      </c>
      <c r="E3227">
        <v>15</v>
      </c>
      <c r="F3227">
        <v>0</v>
      </c>
      <c r="G3227">
        <v>13</v>
      </c>
      <c r="H3227">
        <v>2</v>
      </c>
    </row>
    <row r="3228" spans="2:8">
      <c r="B3228" t="s">
        <v>25022</v>
      </c>
      <c r="C3228">
        <v>430</v>
      </c>
      <c r="D3228">
        <v>29</v>
      </c>
      <c r="E3228">
        <v>9</v>
      </c>
      <c r="F3228">
        <v>0</v>
      </c>
      <c r="G3228">
        <v>9</v>
      </c>
      <c r="H3228">
        <v>0</v>
      </c>
    </row>
    <row r="3229" spans="2:8">
      <c r="B3229" t="s">
        <v>25022</v>
      </c>
      <c r="C3229">
        <v>430</v>
      </c>
      <c r="D3229">
        <v>10</v>
      </c>
      <c r="E3229">
        <v>0</v>
      </c>
      <c r="F3229">
        <v>0</v>
      </c>
      <c r="G3229">
        <v>0</v>
      </c>
      <c r="H3229">
        <v>0</v>
      </c>
    </row>
    <row r="3230" spans="2:8">
      <c r="B3230" t="s">
        <v>25022</v>
      </c>
      <c r="C3230">
        <v>430</v>
      </c>
      <c r="D3230">
        <v>13</v>
      </c>
      <c r="E3230">
        <v>4</v>
      </c>
      <c r="F3230">
        <v>0</v>
      </c>
      <c r="G3230">
        <v>4</v>
      </c>
      <c r="H3230">
        <v>0</v>
      </c>
    </row>
    <row r="3231" spans="2:8">
      <c r="B3231" t="s">
        <v>25022</v>
      </c>
      <c r="C3231">
        <v>430</v>
      </c>
      <c r="D3231">
        <v>14</v>
      </c>
      <c r="E3231">
        <v>2</v>
      </c>
      <c r="F3231">
        <v>0</v>
      </c>
      <c r="G3231">
        <v>2</v>
      </c>
      <c r="H3231">
        <v>0</v>
      </c>
    </row>
    <row r="3232" spans="2:8">
      <c r="B3232" t="s">
        <v>25022</v>
      </c>
      <c r="C3232">
        <v>430</v>
      </c>
      <c r="D3232">
        <v>11</v>
      </c>
      <c r="E3232">
        <v>0</v>
      </c>
      <c r="F3232">
        <v>0</v>
      </c>
      <c r="G3232">
        <v>0</v>
      </c>
      <c r="H3232">
        <v>0</v>
      </c>
    </row>
    <row r="3233" spans="2:8">
      <c r="B3233" t="s">
        <v>25022</v>
      </c>
      <c r="C3233">
        <v>430</v>
      </c>
      <c r="D3233">
        <v>5</v>
      </c>
      <c r="E3233">
        <v>0</v>
      </c>
      <c r="F3233">
        <v>0</v>
      </c>
      <c r="G3233">
        <v>0</v>
      </c>
      <c r="H3233">
        <v>0</v>
      </c>
    </row>
    <row r="3234" spans="2:8">
      <c r="B3234" t="s">
        <v>25022</v>
      </c>
      <c r="C3234">
        <v>431</v>
      </c>
      <c r="D3234">
        <v>9</v>
      </c>
      <c r="E3234">
        <v>0</v>
      </c>
      <c r="F3234">
        <v>0</v>
      </c>
      <c r="G3234">
        <v>0</v>
      </c>
      <c r="H3234">
        <v>0</v>
      </c>
    </row>
    <row r="3235" spans="2:8">
      <c r="B3235" t="s">
        <v>25022</v>
      </c>
      <c r="C3235">
        <v>431</v>
      </c>
      <c r="D3235">
        <v>12</v>
      </c>
      <c r="E3235">
        <v>9</v>
      </c>
      <c r="F3235">
        <v>0</v>
      </c>
      <c r="G3235">
        <v>9</v>
      </c>
      <c r="H3235">
        <v>0</v>
      </c>
    </row>
    <row r="3236" spans="2:8">
      <c r="B3236" t="s">
        <v>25022</v>
      </c>
      <c r="C3236">
        <v>432</v>
      </c>
      <c r="D3236">
        <v>9</v>
      </c>
      <c r="E3236">
        <v>0</v>
      </c>
      <c r="F3236">
        <v>0</v>
      </c>
      <c r="G3236">
        <v>0</v>
      </c>
      <c r="H3236">
        <v>0</v>
      </c>
    </row>
    <row r="3237" spans="2:8">
      <c r="B3237" t="s">
        <v>25022</v>
      </c>
      <c r="C3237">
        <v>432</v>
      </c>
      <c r="D3237">
        <v>8</v>
      </c>
      <c r="E3237">
        <v>0</v>
      </c>
      <c r="F3237">
        <v>0</v>
      </c>
      <c r="G3237">
        <v>0</v>
      </c>
      <c r="H3237">
        <v>0</v>
      </c>
    </row>
    <row r="3238" spans="2:8">
      <c r="B3238" t="s">
        <v>25022</v>
      </c>
      <c r="C3238">
        <v>433</v>
      </c>
      <c r="D3238">
        <v>16</v>
      </c>
      <c r="E3238">
        <v>2</v>
      </c>
      <c r="F3238">
        <v>0</v>
      </c>
      <c r="G3238">
        <v>2</v>
      </c>
      <c r="H3238">
        <v>0</v>
      </c>
    </row>
    <row r="3239" spans="2:8">
      <c r="B3239" t="s">
        <v>25022</v>
      </c>
      <c r="C3239">
        <v>433</v>
      </c>
      <c r="D3239">
        <v>23</v>
      </c>
      <c r="E3239">
        <v>11</v>
      </c>
      <c r="F3239">
        <v>0</v>
      </c>
      <c r="G3239">
        <v>11</v>
      </c>
      <c r="H3239">
        <v>0</v>
      </c>
    </row>
    <row r="3240" spans="2:8">
      <c r="B3240" t="s">
        <v>25022</v>
      </c>
      <c r="C3240">
        <v>433</v>
      </c>
      <c r="D3240">
        <v>14</v>
      </c>
      <c r="E3240">
        <v>4</v>
      </c>
      <c r="F3240">
        <v>2</v>
      </c>
      <c r="G3240">
        <v>0</v>
      </c>
      <c r="H3240">
        <v>2</v>
      </c>
    </row>
    <row r="3241" spans="2:8">
      <c r="B3241" t="s">
        <v>25022</v>
      </c>
      <c r="C3241">
        <v>433</v>
      </c>
      <c r="D3241">
        <v>20</v>
      </c>
      <c r="E3241">
        <v>12</v>
      </c>
      <c r="F3241">
        <v>0</v>
      </c>
      <c r="G3241">
        <v>10</v>
      </c>
      <c r="H3241">
        <v>2</v>
      </c>
    </row>
    <row r="3242" spans="2:8">
      <c r="B3242" t="s">
        <v>25022</v>
      </c>
      <c r="C3242">
        <v>433</v>
      </c>
      <c r="D3242">
        <v>13</v>
      </c>
      <c r="E3242">
        <v>3</v>
      </c>
      <c r="F3242">
        <v>2</v>
      </c>
      <c r="G3242">
        <v>0</v>
      </c>
      <c r="H3242">
        <v>1</v>
      </c>
    </row>
    <row r="3243" spans="2:8">
      <c r="B3243" t="s">
        <v>25022</v>
      </c>
      <c r="C3243">
        <v>433</v>
      </c>
      <c r="D3243">
        <v>6</v>
      </c>
      <c r="E3243">
        <v>0</v>
      </c>
      <c r="F3243">
        <v>0</v>
      </c>
      <c r="G3243">
        <v>0</v>
      </c>
      <c r="H3243">
        <v>0</v>
      </c>
    </row>
    <row r="3244" spans="2:8">
      <c r="B3244" t="s">
        <v>25022</v>
      </c>
      <c r="C3244">
        <v>434</v>
      </c>
      <c r="D3244">
        <v>37</v>
      </c>
      <c r="E3244">
        <v>13</v>
      </c>
      <c r="F3244">
        <v>0</v>
      </c>
      <c r="G3244">
        <v>12</v>
      </c>
      <c r="H3244">
        <v>1</v>
      </c>
    </row>
    <row r="3245" spans="2:8">
      <c r="B3245" t="s">
        <v>25022</v>
      </c>
      <c r="C3245">
        <v>435</v>
      </c>
      <c r="D3245">
        <v>54</v>
      </c>
      <c r="E3245">
        <v>28</v>
      </c>
      <c r="F3245">
        <v>0</v>
      </c>
      <c r="G3245">
        <v>25</v>
      </c>
      <c r="H3245">
        <v>3</v>
      </c>
    </row>
    <row r="3246" spans="2:8">
      <c r="B3246" t="s">
        <v>25022</v>
      </c>
      <c r="C3246">
        <v>435</v>
      </c>
      <c r="D3246">
        <v>12</v>
      </c>
      <c r="E3246">
        <v>4</v>
      </c>
      <c r="F3246">
        <v>0</v>
      </c>
      <c r="G3246">
        <v>4</v>
      </c>
      <c r="H3246">
        <v>0</v>
      </c>
    </row>
    <row r="3247" spans="2:8">
      <c r="B3247" t="s">
        <v>25022</v>
      </c>
      <c r="C3247">
        <v>435</v>
      </c>
      <c r="D3247">
        <v>22</v>
      </c>
      <c r="E3247">
        <v>9</v>
      </c>
      <c r="F3247">
        <v>0</v>
      </c>
      <c r="G3247">
        <v>9</v>
      </c>
      <c r="H3247">
        <v>0</v>
      </c>
    </row>
    <row r="3248" spans="2:8">
      <c r="B3248" t="s">
        <v>25022</v>
      </c>
      <c r="C3248">
        <v>435</v>
      </c>
      <c r="D3248">
        <v>11</v>
      </c>
      <c r="E3248">
        <v>0</v>
      </c>
      <c r="F3248">
        <v>0</v>
      </c>
      <c r="G3248">
        <v>0</v>
      </c>
      <c r="H3248">
        <v>0</v>
      </c>
    </row>
    <row r="3249" spans="2:8">
      <c r="B3249" t="s">
        <v>25022</v>
      </c>
      <c r="C3249">
        <v>435</v>
      </c>
      <c r="D3249">
        <v>16</v>
      </c>
      <c r="E3249">
        <v>7</v>
      </c>
      <c r="F3249">
        <v>0</v>
      </c>
      <c r="G3249">
        <v>4</v>
      </c>
      <c r="H3249">
        <v>3</v>
      </c>
    </row>
    <row r="3250" spans="2:8">
      <c r="B3250" t="s">
        <v>25022</v>
      </c>
      <c r="C3250">
        <v>435</v>
      </c>
      <c r="D3250">
        <v>7</v>
      </c>
      <c r="E3250">
        <v>2</v>
      </c>
      <c r="F3250">
        <v>0</v>
      </c>
      <c r="G3250">
        <v>2</v>
      </c>
      <c r="H3250">
        <v>0</v>
      </c>
    </row>
    <row r="3251" spans="2:8">
      <c r="B3251" t="s">
        <v>25022</v>
      </c>
      <c r="C3251">
        <v>436</v>
      </c>
      <c r="D3251">
        <v>18</v>
      </c>
      <c r="E3251">
        <v>9</v>
      </c>
      <c r="F3251">
        <v>0</v>
      </c>
      <c r="G3251">
        <v>9</v>
      </c>
      <c r="H3251">
        <v>0</v>
      </c>
    </row>
    <row r="3252" spans="2:8">
      <c r="B3252" t="s">
        <v>25022</v>
      </c>
      <c r="C3252">
        <v>436</v>
      </c>
      <c r="D3252">
        <v>34</v>
      </c>
      <c r="E3252">
        <v>14</v>
      </c>
      <c r="F3252">
        <v>0</v>
      </c>
      <c r="G3252">
        <v>14</v>
      </c>
      <c r="H3252">
        <v>0</v>
      </c>
    </row>
    <row r="3253" spans="2:8">
      <c r="B3253" t="s">
        <v>25022</v>
      </c>
      <c r="C3253">
        <v>436</v>
      </c>
      <c r="D3253">
        <v>16</v>
      </c>
      <c r="E3253">
        <v>0</v>
      </c>
      <c r="F3253">
        <v>0</v>
      </c>
      <c r="G3253">
        <v>0</v>
      </c>
      <c r="H3253">
        <v>0</v>
      </c>
    </row>
    <row r="3254" spans="2:8">
      <c r="B3254" t="s">
        <v>25022</v>
      </c>
      <c r="C3254">
        <v>436</v>
      </c>
      <c r="D3254">
        <v>22</v>
      </c>
      <c r="E3254">
        <v>6</v>
      </c>
      <c r="F3254">
        <v>0</v>
      </c>
      <c r="G3254">
        <v>5</v>
      </c>
      <c r="H3254">
        <v>1</v>
      </c>
    </row>
    <row r="3255" spans="2:8">
      <c r="B3255" t="s">
        <v>25022</v>
      </c>
      <c r="C3255">
        <v>436</v>
      </c>
      <c r="D3255">
        <v>16</v>
      </c>
      <c r="E3255">
        <v>7</v>
      </c>
      <c r="F3255">
        <v>0</v>
      </c>
      <c r="G3255">
        <v>7</v>
      </c>
      <c r="H3255">
        <v>0</v>
      </c>
    </row>
    <row r="3256" spans="2:8">
      <c r="B3256" t="s">
        <v>25022</v>
      </c>
      <c r="C3256">
        <v>436</v>
      </c>
      <c r="D3256">
        <v>8</v>
      </c>
      <c r="E3256">
        <v>2</v>
      </c>
      <c r="F3256">
        <v>0</v>
      </c>
      <c r="G3256">
        <v>2</v>
      </c>
      <c r="H3256">
        <v>0</v>
      </c>
    </row>
    <row r="3257" spans="2:8">
      <c r="B3257" t="s">
        <v>25022</v>
      </c>
      <c r="C3257">
        <v>436</v>
      </c>
      <c r="D3257">
        <v>8</v>
      </c>
      <c r="E3257">
        <v>3</v>
      </c>
      <c r="F3257">
        <v>0</v>
      </c>
      <c r="G3257">
        <v>3</v>
      </c>
      <c r="H3257">
        <v>0</v>
      </c>
    </row>
    <row r="3258" spans="2:8">
      <c r="B3258" t="s">
        <v>25022</v>
      </c>
      <c r="C3258">
        <v>437</v>
      </c>
      <c r="D3258">
        <v>28</v>
      </c>
      <c r="E3258">
        <v>5</v>
      </c>
      <c r="F3258">
        <v>0</v>
      </c>
      <c r="G3258">
        <v>2</v>
      </c>
      <c r="H3258">
        <v>3</v>
      </c>
    </row>
    <row r="3259" spans="2:8">
      <c r="B3259" t="s">
        <v>25022</v>
      </c>
      <c r="C3259">
        <v>437</v>
      </c>
      <c r="D3259">
        <v>30</v>
      </c>
      <c r="E3259">
        <v>8</v>
      </c>
      <c r="F3259">
        <v>0</v>
      </c>
      <c r="G3259">
        <v>6</v>
      </c>
      <c r="H3259">
        <v>2</v>
      </c>
    </row>
    <row r="3260" spans="2:8">
      <c r="B3260" t="s">
        <v>25022</v>
      </c>
      <c r="C3260">
        <v>437</v>
      </c>
      <c r="D3260">
        <v>16</v>
      </c>
      <c r="E3260">
        <v>7</v>
      </c>
      <c r="F3260">
        <v>0</v>
      </c>
      <c r="G3260">
        <v>6</v>
      </c>
      <c r="H3260">
        <v>1</v>
      </c>
    </row>
    <row r="3261" spans="2:8">
      <c r="B3261" t="s">
        <v>25022</v>
      </c>
      <c r="C3261">
        <v>438</v>
      </c>
      <c r="D3261">
        <v>12</v>
      </c>
      <c r="E3261">
        <v>4</v>
      </c>
      <c r="F3261">
        <v>0</v>
      </c>
      <c r="G3261">
        <v>4</v>
      </c>
      <c r="H3261">
        <v>0</v>
      </c>
    </row>
    <row r="3262" spans="2:8">
      <c r="B3262" t="s">
        <v>25022</v>
      </c>
      <c r="C3262">
        <v>438</v>
      </c>
      <c r="D3262">
        <v>21</v>
      </c>
      <c r="E3262">
        <v>6</v>
      </c>
      <c r="F3262">
        <v>0</v>
      </c>
      <c r="G3262">
        <v>6</v>
      </c>
      <c r="H3262">
        <v>0</v>
      </c>
    </row>
    <row r="3263" spans="2:8">
      <c r="B3263" t="s">
        <v>25022</v>
      </c>
      <c r="C3263">
        <v>438</v>
      </c>
      <c r="D3263">
        <v>20</v>
      </c>
      <c r="E3263">
        <v>9</v>
      </c>
      <c r="F3263">
        <v>0</v>
      </c>
      <c r="G3263">
        <v>9</v>
      </c>
      <c r="H3263">
        <v>0</v>
      </c>
    </row>
    <row r="3264" spans="2:8">
      <c r="B3264" t="s">
        <v>25022</v>
      </c>
      <c r="C3264">
        <v>438</v>
      </c>
      <c r="D3264">
        <v>11</v>
      </c>
      <c r="E3264">
        <v>2</v>
      </c>
      <c r="F3264">
        <v>0</v>
      </c>
      <c r="G3264">
        <v>2</v>
      </c>
      <c r="H3264">
        <v>0</v>
      </c>
    </row>
    <row r="3265" spans="2:8">
      <c r="B3265" t="s">
        <v>25022</v>
      </c>
      <c r="C3265">
        <v>438</v>
      </c>
      <c r="D3265">
        <v>12</v>
      </c>
      <c r="E3265">
        <v>5</v>
      </c>
      <c r="F3265">
        <v>0</v>
      </c>
      <c r="G3265">
        <v>5</v>
      </c>
      <c r="H3265">
        <v>0</v>
      </c>
    </row>
    <row r="3266" spans="2:8">
      <c r="B3266" t="s">
        <v>25022</v>
      </c>
      <c r="C3266">
        <v>439</v>
      </c>
      <c r="D3266">
        <v>8</v>
      </c>
      <c r="E3266">
        <v>2</v>
      </c>
      <c r="F3266">
        <v>0</v>
      </c>
      <c r="G3266">
        <v>0</v>
      </c>
      <c r="H3266">
        <v>2</v>
      </c>
    </row>
    <row r="3267" spans="2:8">
      <c r="B3267" t="s">
        <v>25022</v>
      </c>
      <c r="C3267">
        <v>439</v>
      </c>
      <c r="D3267">
        <v>8</v>
      </c>
      <c r="E3267">
        <v>2</v>
      </c>
      <c r="F3267">
        <v>0</v>
      </c>
      <c r="G3267">
        <v>0</v>
      </c>
      <c r="H3267">
        <v>2</v>
      </c>
    </row>
    <row r="3268" spans="2:8">
      <c r="B3268" t="s">
        <v>25022</v>
      </c>
      <c r="C3268">
        <v>439</v>
      </c>
      <c r="D3268">
        <v>4</v>
      </c>
      <c r="E3268">
        <v>0</v>
      </c>
      <c r="F3268">
        <v>0</v>
      </c>
      <c r="G3268">
        <v>0</v>
      </c>
      <c r="H3268">
        <v>0</v>
      </c>
    </row>
    <row r="3269" spans="2:8">
      <c r="B3269" t="s">
        <v>25022</v>
      </c>
      <c r="C3269">
        <v>440</v>
      </c>
      <c r="D3269">
        <v>36</v>
      </c>
      <c r="E3269">
        <v>25</v>
      </c>
      <c r="F3269">
        <v>0</v>
      </c>
      <c r="G3269">
        <v>22</v>
      </c>
      <c r="H3269">
        <v>3</v>
      </c>
    </row>
    <row r="3270" spans="2:8">
      <c r="B3270" t="s">
        <v>25022</v>
      </c>
      <c r="C3270">
        <v>440</v>
      </c>
      <c r="D3270">
        <v>29</v>
      </c>
      <c r="E3270">
        <v>14</v>
      </c>
      <c r="F3270">
        <v>0</v>
      </c>
      <c r="G3270">
        <v>10</v>
      </c>
      <c r="H3270">
        <v>4</v>
      </c>
    </row>
    <row r="3271" spans="2:8">
      <c r="B3271" t="s">
        <v>25022</v>
      </c>
      <c r="C3271">
        <v>440</v>
      </c>
      <c r="D3271">
        <v>20</v>
      </c>
      <c r="E3271">
        <v>15</v>
      </c>
      <c r="F3271">
        <v>0</v>
      </c>
      <c r="G3271">
        <v>13</v>
      </c>
      <c r="H3271">
        <v>2</v>
      </c>
    </row>
    <row r="3272" spans="2:8">
      <c r="B3272" t="s">
        <v>25022</v>
      </c>
      <c r="C3272">
        <v>440</v>
      </c>
      <c r="D3272">
        <v>10</v>
      </c>
      <c r="E3272">
        <v>0</v>
      </c>
      <c r="F3272">
        <v>0</v>
      </c>
      <c r="G3272">
        <v>0</v>
      </c>
      <c r="H3272">
        <v>0</v>
      </c>
    </row>
    <row r="3273" spans="2:8">
      <c r="B3273" t="s">
        <v>25022</v>
      </c>
      <c r="C3273">
        <v>440</v>
      </c>
      <c r="D3273">
        <v>11</v>
      </c>
      <c r="E3273">
        <v>0</v>
      </c>
      <c r="F3273">
        <v>0</v>
      </c>
      <c r="G3273">
        <v>0</v>
      </c>
      <c r="H3273">
        <v>0</v>
      </c>
    </row>
    <row r="3274" spans="2:8">
      <c r="B3274" t="s">
        <v>25022</v>
      </c>
      <c r="C3274">
        <v>441</v>
      </c>
      <c r="D3274">
        <v>21</v>
      </c>
      <c r="E3274">
        <v>10</v>
      </c>
      <c r="F3274">
        <v>0</v>
      </c>
      <c r="G3274">
        <v>10</v>
      </c>
      <c r="H3274">
        <v>0</v>
      </c>
    </row>
    <row r="3275" spans="2:8">
      <c r="B3275" t="s">
        <v>25022</v>
      </c>
      <c r="C3275">
        <v>442</v>
      </c>
      <c r="D3275">
        <v>48</v>
      </c>
      <c r="E3275">
        <v>22</v>
      </c>
      <c r="F3275">
        <v>0</v>
      </c>
      <c r="G3275">
        <v>21</v>
      </c>
      <c r="H3275">
        <v>1</v>
      </c>
    </row>
    <row r="3276" spans="2:8">
      <c r="B3276" t="s">
        <v>25022</v>
      </c>
      <c r="C3276">
        <v>442</v>
      </c>
      <c r="D3276">
        <v>15</v>
      </c>
      <c r="E3276">
        <v>4</v>
      </c>
      <c r="F3276">
        <v>0</v>
      </c>
      <c r="G3276">
        <v>4</v>
      </c>
      <c r="H3276">
        <v>0</v>
      </c>
    </row>
    <row r="3277" spans="2:8">
      <c r="B3277" t="s">
        <v>25022</v>
      </c>
      <c r="C3277">
        <v>442</v>
      </c>
      <c r="D3277">
        <v>9</v>
      </c>
      <c r="E3277">
        <v>0</v>
      </c>
      <c r="F3277">
        <v>0</v>
      </c>
      <c r="G3277">
        <v>0</v>
      </c>
      <c r="H3277">
        <v>0</v>
      </c>
    </row>
    <row r="3278" spans="2:8">
      <c r="B3278" t="s">
        <v>25022</v>
      </c>
      <c r="C3278">
        <v>442</v>
      </c>
      <c r="D3278">
        <v>20</v>
      </c>
      <c r="E3278">
        <v>0</v>
      </c>
      <c r="F3278">
        <v>0</v>
      </c>
      <c r="G3278">
        <v>0</v>
      </c>
      <c r="H3278">
        <v>0</v>
      </c>
    </row>
    <row r="3279" spans="2:8">
      <c r="B3279" t="s">
        <v>25022</v>
      </c>
      <c r="C3279">
        <v>442</v>
      </c>
      <c r="D3279">
        <v>15</v>
      </c>
      <c r="E3279">
        <v>6</v>
      </c>
      <c r="F3279">
        <v>0</v>
      </c>
      <c r="G3279">
        <v>4</v>
      </c>
      <c r="H3279">
        <v>2</v>
      </c>
    </row>
    <row r="3280" spans="2:8">
      <c r="B3280" t="s">
        <v>25022</v>
      </c>
      <c r="C3280">
        <v>442</v>
      </c>
      <c r="D3280">
        <v>3</v>
      </c>
      <c r="E3280">
        <v>0</v>
      </c>
      <c r="F3280">
        <v>0</v>
      </c>
      <c r="G3280">
        <v>0</v>
      </c>
      <c r="H3280">
        <v>0</v>
      </c>
    </row>
    <row r="3281" spans="2:8">
      <c r="B3281" t="s">
        <v>25022</v>
      </c>
      <c r="C3281">
        <v>442</v>
      </c>
      <c r="D3281">
        <v>5</v>
      </c>
      <c r="E3281">
        <v>0</v>
      </c>
      <c r="F3281">
        <v>0</v>
      </c>
      <c r="G3281">
        <v>0</v>
      </c>
      <c r="H3281">
        <v>0</v>
      </c>
    </row>
    <row r="3282" spans="2:8">
      <c r="B3282" t="s">
        <v>25022</v>
      </c>
      <c r="C3282">
        <v>443</v>
      </c>
      <c r="D3282">
        <v>22</v>
      </c>
      <c r="E3282">
        <v>7</v>
      </c>
      <c r="F3282">
        <v>0</v>
      </c>
      <c r="G3282">
        <v>7</v>
      </c>
      <c r="H3282">
        <v>0</v>
      </c>
    </row>
    <row r="3283" spans="2:8">
      <c r="B3283" t="s">
        <v>25022</v>
      </c>
      <c r="C3283">
        <v>444</v>
      </c>
      <c r="D3283">
        <v>30</v>
      </c>
      <c r="E3283">
        <v>13</v>
      </c>
      <c r="F3283">
        <v>0</v>
      </c>
      <c r="G3283">
        <v>11</v>
      </c>
      <c r="H3283">
        <v>2</v>
      </c>
    </row>
    <row r="3284" spans="2:8">
      <c r="B3284" t="s">
        <v>25022</v>
      </c>
      <c r="C3284">
        <v>444</v>
      </c>
      <c r="D3284">
        <v>32</v>
      </c>
      <c r="E3284">
        <v>16</v>
      </c>
      <c r="F3284">
        <v>0</v>
      </c>
      <c r="G3284">
        <v>14</v>
      </c>
      <c r="H3284">
        <v>2</v>
      </c>
    </row>
    <row r="3285" spans="2:8">
      <c r="B3285" t="s">
        <v>25022</v>
      </c>
      <c r="C3285">
        <v>444</v>
      </c>
      <c r="D3285">
        <v>65</v>
      </c>
      <c r="E3285">
        <v>44</v>
      </c>
      <c r="F3285">
        <v>5</v>
      </c>
      <c r="G3285">
        <v>35</v>
      </c>
      <c r="H3285">
        <v>4</v>
      </c>
    </row>
    <row r="3286" spans="2:8">
      <c r="B3286" t="s">
        <v>25022</v>
      </c>
      <c r="C3286">
        <v>444</v>
      </c>
      <c r="D3286">
        <v>26</v>
      </c>
      <c r="E3286">
        <v>10</v>
      </c>
      <c r="F3286">
        <v>0</v>
      </c>
      <c r="G3286">
        <v>9</v>
      </c>
      <c r="H3286">
        <v>1</v>
      </c>
    </row>
    <row r="3287" spans="2:8">
      <c r="B3287" t="s">
        <v>25022</v>
      </c>
      <c r="C3287">
        <v>444</v>
      </c>
      <c r="D3287">
        <v>11</v>
      </c>
      <c r="E3287">
        <v>4</v>
      </c>
      <c r="F3287">
        <v>0</v>
      </c>
      <c r="G3287">
        <v>4</v>
      </c>
      <c r="H3287">
        <v>0</v>
      </c>
    </row>
    <row r="3288" spans="2:8">
      <c r="B3288" t="s">
        <v>25022</v>
      </c>
      <c r="C3288">
        <v>445</v>
      </c>
      <c r="D3288">
        <v>91</v>
      </c>
      <c r="E3288">
        <v>58</v>
      </c>
      <c r="F3288">
        <v>0</v>
      </c>
      <c r="G3288">
        <v>54</v>
      </c>
      <c r="H3288">
        <v>4</v>
      </c>
    </row>
    <row r="3289" spans="2:8">
      <c r="B3289" t="s">
        <v>25022</v>
      </c>
      <c r="C3289">
        <v>445</v>
      </c>
      <c r="D3289">
        <v>46</v>
      </c>
      <c r="E3289">
        <v>16</v>
      </c>
      <c r="F3289">
        <v>0</v>
      </c>
      <c r="G3289">
        <v>13</v>
      </c>
      <c r="H3289">
        <v>3</v>
      </c>
    </row>
    <row r="3290" spans="2:8">
      <c r="B3290" t="s">
        <v>25022</v>
      </c>
      <c r="C3290">
        <v>445</v>
      </c>
      <c r="D3290">
        <v>19</v>
      </c>
      <c r="E3290">
        <v>8</v>
      </c>
      <c r="F3290">
        <v>2</v>
      </c>
      <c r="G3290">
        <v>5</v>
      </c>
      <c r="H3290">
        <v>1</v>
      </c>
    </row>
    <row r="3291" spans="2:8">
      <c r="B3291" t="s">
        <v>25022</v>
      </c>
      <c r="C3291">
        <v>445</v>
      </c>
      <c r="D3291">
        <v>11</v>
      </c>
      <c r="E3291">
        <v>7</v>
      </c>
      <c r="F3291">
        <v>0</v>
      </c>
      <c r="G3291">
        <v>7</v>
      </c>
      <c r="H3291">
        <v>0</v>
      </c>
    </row>
    <row r="3292" spans="2:8">
      <c r="B3292" t="s">
        <v>25022</v>
      </c>
      <c r="C3292">
        <v>445</v>
      </c>
      <c r="D3292">
        <v>8</v>
      </c>
      <c r="E3292">
        <v>2</v>
      </c>
      <c r="F3292">
        <v>0</v>
      </c>
      <c r="G3292">
        <v>2</v>
      </c>
      <c r="H3292">
        <v>0</v>
      </c>
    </row>
    <row r="3293" spans="2:8">
      <c r="B3293" t="s">
        <v>25022</v>
      </c>
      <c r="C3293">
        <v>446</v>
      </c>
      <c r="D3293">
        <v>41</v>
      </c>
      <c r="E3293">
        <v>12</v>
      </c>
      <c r="F3293">
        <v>0</v>
      </c>
      <c r="G3293">
        <v>9</v>
      </c>
      <c r="H3293">
        <v>3</v>
      </c>
    </row>
    <row r="3294" spans="2:8">
      <c r="B3294" t="s">
        <v>25022</v>
      </c>
      <c r="C3294">
        <v>446</v>
      </c>
      <c r="D3294">
        <v>64</v>
      </c>
      <c r="E3294">
        <v>29</v>
      </c>
      <c r="F3294">
        <v>0</v>
      </c>
      <c r="G3294">
        <v>21</v>
      </c>
      <c r="H3294">
        <v>8</v>
      </c>
    </row>
    <row r="3295" spans="2:8">
      <c r="B3295" t="s">
        <v>25022</v>
      </c>
      <c r="C3295">
        <v>446</v>
      </c>
      <c r="D3295">
        <v>32</v>
      </c>
      <c r="E3295">
        <v>16</v>
      </c>
      <c r="F3295">
        <v>0</v>
      </c>
      <c r="G3295">
        <v>12</v>
      </c>
      <c r="H3295">
        <v>4</v>
      </c>
    </row>
    <row r="3296" spans="2:8">
      <c r="B3296" t="s">
        <v>25022</v>
      </c>
      <c r="C3296">
        <v>446</v>
      </c>
      <c r="D3296">
        <v>6</v>
      </c>
      <c r="E3296">
        <v>2</v>
      </c>
      <c r="F3296">
        <v>0</v>
      </c>
      <c r="G3296">
        <v>2</v>
      </c>
      <c r="H3296">
        <v>0</v>
      </c>
    </row>
    <row r="3297" spans="2:8">
      <c r="B3297" t="s">
        <v>25022</v>
      </c>
      <c r="C3297">
        <v>446</v>
      </c>
      <c r="D3297">
        <v>6</v>
      </c>
      <c r="E3297">
        <v>0</v>
      </c>
      <c r="F3297">
        <v>0</v>
      </c>
      <c r="G3297">
        <v>0</v>
      </c>
      <c r="H3297">
        <v>0</v>
      </c>
    </row>
    <row r="3298" spans="2:8">
      <c r="B3298" t="s">
        <v>25022</v>
      </c>
      <c r="C3298">
        <v>447</v>
      </c>
      <c r="D3298">
        <v>5</v>
      </c>
      <c r="E3298">
        <v>0</v>
      </c>
      <c r="F3298">
        <v>0</v>
      </c>
      <c r="G3298">
        <v>0</v>
      </c>
      <c r="H3298">
        <v>0</v>
      </c>
    </row>
    <row r="3299" spans="2:8">
      <c r="B3299" t="s">
        <v>25022</v>
      </c>
      <c r="C3299">
        <v>447</v>
      </c>
      <c r="D3299">
        <v>15</v>
      </c>
      <c r="E3299">
        <v>4</v>
      </c>
      <c r="F3299">
        <v>0</v>
      </c>
      <c r="G3299">
        <v>4</v>
      </c>
      <c r="H3299">
        <v>0</v>
      </c>
    </row>
    <row r="3300" spans="2:8">
      <c r="B3300" t="s">
        <v>25022</v>
      </c>
      <c r="C3300">
        <v>447</v>
      </c>
      <c r="D3300">
        <v>4</v>
      </c>
      <c r="E3300">
        <v>0</v>
      </c>
      <c r="F3300">
        <v>0</v>
      </c>
      <c r="G3300">
        <v>0</v>
      </c>
      <c r="H3300">
        <v>0</v>
      </c>
    </row>
    <row r="3301" spans="2:8">
      <c r="B3301" t="s">
        <v>25022</v>
      </c>
      <c r="C3301">
        <v>448</v>
      </c>
      <c r="D3301">
        <v>50</v>
      </c>
      <c r="E3301">
        <v>25</v>
      </c>
      <c r="F3301">
        <v>0</v>
      </c>
      <c r="G3301">
        <v>25</v>
      </c>
      <c r="H3301">
        <v>0</v>
      </c>
    </row>
    <row r="3302" spans="2:8">
      <c r="B3302" t="s">
        <v>25022</v>
      </c>
      <c r="C3302">
        <v>448</v>
      </c>
      <c r="D3302">
        <v>18</v>
      </c>
      <c r="E3302">
        <v>7</v>
      </c>
      <c r="F3302">
        <v>0</v>
      </c>
      <c r="G3302">
        <v>7</v>
      </c>
      <c r="H3302">
        <v>0</v>
      </c>
    </row>
    <row r="3303" spans="2:8">
      <c r="B3303" t="s">
        <v>25022</v>
      </c>
      <c r="C3303">
        <v>448</v>
      </c>
      <c r="D3303">
        <v>30</v>
      </c>
      <c r="E3303">
        <v>14</v>
      </c>
      <c r="F3303">
        <v>2</v>
      </c>
      <c r="G3303">
        <v>8</v>
      </c>
      <c r="H3303">
        <v>4</v>
      </c>
    </row>
    <row r="3304" spans="2:8">
      <c r="B3304" t="s">
        <v>25022</v>
      </c>
      <c r="C3304">
        <v>448</v>
      </c>
      <c r="D3304">
        <v>9</v>
      </c>
      <c r="E3304">
        <v>0</v>
      </c>
      <c r="F3304">
        <v>0</v>
      </c>
      <c r="G3304">
        <v>0</v>
      </c>
      <c r="H3304">
        <v>0</v>
      </c>
    </row>
    <row r="3305" spans="2:8">
      <c r="B3305" t="s">
        <v>25022</v>
      </c>
      <c r="C3305">
        <v>448</v>
      </c>
      <c r="D3305">
        <v>8</v>
      </c>
      <c r="E3305">
        <v>3</v>
      </c>
      <c r="F3305">
        <v>0</v>
      </c>
      <c r="G3305">
        <v>3</v>
      </c>
      <c r="H3305">
        <v>0</v>
      </c>
    </row>
    <row r="3306" spans="2:8">
      <c r="B3306" t="s">
        <v>25022</v>
      </c>
      <c r="C3306">
        <v>449</v>
      </c>
      <c r="D3306">
        <v>10</v>
      </c>
      <c r="E3306">
        <v>2</v>
      </c>
      <c r="F3306">
        <v>0</v>
      </c>
      <c r="G3306">
        <v>2</v>
      </c>
      <c r="H3306">
        <v>0</v>
      </c>
    </row>
    <row r="3307" spans="2:8">
      <c r="B3307" t="s">
        <v>25022</v>
      </c>
      <c r="C3307">
        <v>449</v>
      </c>
      <c r="D3307">
        <v>5</v>
      </c>
      <c r="E3307">
        <v>0</v>
      </c>
      <c r="F3307">
        <v>0</v>
      </c>
      <c r="G3307">
        <v>0</v>
      </c>
      <c r="H3307">
        <v>0</v>
      </c>
    </row>
    <row r="3308" spans="2:8">
      <c r="B3308" t="s">
        <v>25022</v>
      </c>
      <c r="C3308">
        <v>450</v>
      </c>
      <c r="D3308">
        <v>13</v>
      </c>
      <c r="E3308">
        <v>2</v>
      </c>
      <c r="F3308">
        <v>0</v>
      </c>
      <c r="G3308">
        <v>0</v>
      </c>
      <c r="H3308">
        <v>2</v>
      </c>
    </row>
    <row r="3309" spans="2:8">
      <c r="B3309" t="s">
        <v>25022</v>
      </c>
      <c r="C3309">
        <v>450</v>
      </c>
      <c r="D3309">
        <v>8</v>
      </c>
      <c r="E3309">
        <v>4</v>
      </c>
      <c r="F3309">
        <v>0</v>
      </c>
      <c r="G3309">
        <v>4</v>
      </c>
      <c r="H3309">
        <v>0</v>
      </c>
    </row>
    <row r="3310" spans="2:8">
      <c r="B3310" t="s">
        <v>25022</v>
      </c>
      <c r="C3310">
        <v>450</v>
      </c>
      <c r="D3310">
        <v>13</v>
      </c>
      <c r="E3310">
        <v>6</v>
      </c>
      <c r="F3310">
        <v>0</v>
      </c>
      <c r="G3310">
        <v>6</v>
      </c>
      <c r="H3310">
        <v>0</v>
      </c>
    </row>
    <row r="3311" spans="2:8">
      <c r="B3311" t="s">
        <v>25022</v>
      </c>
      <c r="C3311">
        <v>450</v>
      </c>
      <c r="D3311">
        <v>7</v>
      </c>
      <c r="E3311">
        <v>0</v>
      </c>
      <c r="F3311">
        <v>0</v>
      </c>
      <c r="G3311">
        <v>0</v>
      </c>
      <c r="H3311">
        <v>0</v>
      </c>
    </row>
    <row r="3312" spans="2:8">
      <c r="B3312" t="s">
        <v>25022</v>
      </c>
      <c r="C3312">
        <v>451</v>
      </c>
      <c r="D3312">
        <v>85</v>
      </c>
      <c r="E3312">
        <v>43</v>
      </c>
      <c r="F3312">
        <v>2</v>
      </c>
      <c r="G3312">
        <v>30</v>
      </c>
      <c r="H3312">
        <v>11</v>
      </c>
    </row>
    <row r="3313" spans="2:8">
      <c r="B3313" t="s">
        <v>25022</v>
      </c>
      <c r="C3313">
        <v>451</v>
      </c>
      <c r="D3313">
        <v>58</v>
      </c>
      <c r="E3313">
        <v>30</v>
      </c>
      <c r="F3313">
        <v>0</v>
      </c>
      <c r="G3313">
        <v>30</v>
      </c>
      <c r="H3313">
        <v>0</v>
      </c>
    </row>
    <row r="3314" spans="2:8">
      <c r="B3314" t="s">
        <v>25022</v>
      </c>
      <c r="C3314">
        <v>451</v>
      </c>
      <c r="D3314">
        <v>13</v>
      </c>
      <c r="E3314">
        <v>3</v>
      </c>
      <c r="F3314">
        <v>0</v>
      </c>
      <c r="G3314">
        <v>3</v>
      </c>
      <c r="H3314">
        <v>0</v>
      </c>
    </row>
    <row r="3315" spans="2:8">
      <c r="B3315" t="s">
        <v>25022</v>
      </c>
      <c r="C3315">
        <v>451</v>
      </c>
      <c r="D3315">
        <v>12</v>
      </c>
      <c r="E3315">
        <v>0</v>
      </c>
      <c r="F3315">
        <v>0</v>
      </c>
      <c r="G3315">
        <v>0</v>
      </c>
      <c r="H3315">
        <v>0</v>
      </c>
    </row>
    <row r="3316" spans="2:8">
      <c r="B3316" t="s">
        <v>25022</v>
      </c>
      <c r="C3316">
        <v>451</v>
      </c>
      <c r="D3316">
        <v>7</v>
      </c>
      <c r="E3316">
        <v>5</v>
      </c>
      <c r="F3316">
        <v>0</v>
      </c>
      <c r="G3316">
        <v>5</v>
      </c>
      <c r="H3316">
        <v>0</v>
      </c>
    </row>
    <row r="3317" spans="2:8">
      <c r="B3317" t="s">
        <v>25022</v>
      </c>
      <c r="C3317">
        <v>451</v>
      </c>
      <c r="D3317">
        <v>3</v>
      </c>
      <c r="E3317">
        <v>0</v>
      </c>
      <c r="F3317">
        <v>0</v>
      </c>
      <c r="G3317">
        <v>0</v>
      </c>
      <c r="H3317">
        <v>0</v>
      </c>
    </row>
    <row r="3318" spans="2:8">
      <c r="B3318" t="s">
        <v>25022</v>
      </c>
      <c r="C3318">
        <v>451</v>
      </c>
      <c r="D3318">
        <v>3</v>
      </c>
      <c r="E3318">
        <v>0</v>
      </c>
      <c r="F3318">
        <v>0</v>
      </c>
      <c r="G3318">
        <v>0</v>
      </c>
      <c r="H3318">
        <v>0</v>
      </c>
    </row>
    <row r="3319" spans="2:8">
      <c r="B3319" t="s">
        <v>25022</v>
      </c>
      <c r="C3319">
        <v>452</v>
      </c>
      <c r="D3319">
        <v>26</v>
      </c>
      <c r="E3319">
        <v>11</v>
      </c>
      <c r="F3319">
        <v>0</v>
      </c>
      <c r="G3319">
        <v>9</v>
      </c>
      <c r="H3319">
        <v>2</v>
      </c>
    </row>
    <row r="3320" spans="2:8">
      <c r="B3320" t="s">
        <v>25022</v>
      </c>
      <c r="C3320">
        <v>452</v>
      </c>
      <c r="D3320">
        <v>12</v>
      </c>
      <c r="E3320">
        <v>7</v>
      </c>
      <c r="F3320">
        <v>0</v>
      </c>
      <c r="G3320">
        <v>5</v>
      </c>
      <c r="H3320">
        <v>2</v>
      </c>
    </row>
    <row r="3321" spans="2:8">
      <c r="B3321" t="s">
        <v>25022</v>
      </c>
      <c r="C3321">
        <v>452</v>
      </c>
      <c r="D3321">
        <v>7</v>
      </c>
      <c r="E3321">
        <v>2</v>
      </c>
      <c r="F3321">
        <v>0</v>
      </c>
      <c r="G3321">
        <v>2</v>
      </c>
      <c r="H3321">
        <v>0</v>
      </c>
    </row>
    <row r="3322" spans="2:8">
      <c r="B3322" t="s">
        <v>25022</v>
      </c>
      <c r="C3322">
        <v>453</v>
      </c>
      <c r="D3322">
        <v>56</v>
      </c>
      <c r="E3322">
        <v>22</v>
      </c>
      <c r="F3322">
        <v>0</v>
      </c>
      <c r="G3322">
        <v>17</v>
      </c>
      <c r="H3322">
        <v>5</v>
      </c>
    </row>
    <row r="3323" spans="2:8">
      <c r="B3323" t="s">
        <v>25022</v>
      </c>
      <c r="C3323">
        <v>454</v>
      </c>
      <c r="D3323">
        <v>39</v>
      </c>
      <c r="E3323">
        <v>19</v>
      </c>
      <c r="F3323">
        <v>0</v>
      </c>
      <c r="G3323">
        <v>16</v>
      </c>
      <c r="H3323">
        <v>3</v>
      </c>
    </row>
    <row r="3324" spans="2:8">
      <c r="B3324" t="s">
        <v>25022</v>
      </c>
      <c r="C3324">
        <v>454</v>
      </c>
      <c r="D3324">
        <v>10</v>
      </c>
      <c r="E3324">
        <v>4</v>
      </c>
      <c r="F3324">
        <v>0</v>
      </c>
      <c r="G3324">
        <v>4</v>
      </c>
      <c r="H3324">
        <v>0</v>
      </c>
    </row>
    <row r="3325" spans="2:8">
      <c r="B3325" t="s">
        <v>25022</v>
      </c>
      <c r="C3325">
        <v>455</v>
      </c>
      <c r="D3325">
        <v>24</v>
      </c>
      <c r="E3325">
        <v>8</v>
      </c>
      <c r="F3325">
        <v>0</v>
      </c>
      <c r="G3325">
        <v>8</v>
      </c>
      <c r="H3325">
        <v>0</v>
      </c>
    </row>
    <row r="3326" spans="2:8">
      <c r="B3326" t="s">
        <v>25022</v>
      </c>
      <c r="C3326">
        <v>455</v>
      </c>
      <c r="D3326">
        <v>18</v>
      </c>
      <c r="E3326">
        <v>8</v>
      </c>
      <c r="F3326">
        <v>0</v>
      </c>
      <c r="G3326">
        <v>8</v>
      </c>
      <c r="H3326">
        <v>0</v>
      </c>
    </row>
    <row r="3327" spans="2:8">
      <c r="B3327" t="s">
        <v>25022</v>
      </c>
      <c r="C3327">
        <v>455</v>
      </c>
      <c r="D3327">
        <v>7</v>
      </c>
      <c r="E3327">
        <v>3</v>
      </c>
      <c r="F3327">
        <v>0</v>
      </c>
      <c r="G3327">
        <v>3</v>
      </c>
      <c r="H3327">
        <v>0</v>
      </c>
    </row>
    <row r="3328" spans="2:8">
      <c r="B3328" t="s">
        <v>25022</v>
      </c>
      <c r="C3328">
        <v>455</v>
      </c>
      <c r="D3328">
        <v>13</v>
      </c>
      <c r="E3328">
        <v>2</v>
      </c>
      <c r="F3328">
        <v>0</v>
      </c>
      <c r="G3328">
        <v>0</v>
      </c>
      <c r="H3328">
        <v>2</v>
      </c>
    </row>
    <row r="3329" spans="2:8">
      <c r="B3329" t="s">
        <v>25022</v>
      </c>
      <c r="C3329">
        <v>456</v>
      </c>
      <c r="D3329">
        <v>17</v>
      </c>
      <c r="E3329">
        <v>6</v>
      </c>
      <c r="F3329">
        <v>0</v>
      </c>
      <c r="G3329">
        <v>2</v>
      </c>
      <c r="H3329">
        <v>4</v>
      </c>
    </row>
    <row r="3330" spans="2:8">
      <c r="B3330" t="s">
        <v>25022</v>
      </c>
      <c r="C3330">
        <v>457</v>
      </c>
      <c r="D3330">
        <v>46</v>
      </c>
      <c r="E3330">
        <v>32</v>
      </c>
      <c r="F3330">
        <v>0</v>
      </c>
      <c r="G3330">
        <v>25</v>
      </c>
      <c r="H3330">
        <v>7</v>
      </c>
    </row>
    <row r="3331" spans="2:8">
      <c r="B3331" t="s">
        <v>25022</v>
      </c>
      <c r="C3331">
        <v>457</v>
      </c>
      <c r="D3331">
        <v>19</v>
      </c>
      <c r="E3331">
        <v>9</v>
      </c>
      <c r="F3331">
        <v>0</v>
      </c>
      <c r="G3331">
        <v>7</v>
      </c>
      <c r="H3331">
        <v>2</v>
      </c>
    </row>
    <row r="3332" spans="2:8">
      <c r="B3332" t="s">
        <v>25022</v>
      </c>
      <c r="C3332">
        <v>458</v>
      </c>
      <c r="D3332">
        <v>75</v>
      </c>
      <c r="E3332">
        <v>38</v>
      </c>
      <c r="F3332">
        <v>0</v>
      </c>
      <c r="G3332">
        <v>34</v>
      </c>
      <c r="H3332">
        <v>4</v>
      </c>
    </row>
    <row r="3333" spans="2:8">
      <c r="B3333" t="s">
        <v>25022</v>
      </c>
      <c r="C3333">
        <v>458</v>
      </c>
      <c r="D3333">
        <v>14</v>
      </c>
      <c r="E3333">
        <v>0</v>
      </c>
      <c r="F3333">
        <v>0</v>
      </c>
      <c r="G3333">
        <v>0</v>
      </c>
      <c r="H3333">
        <v>0</v>
      </c>
    </row>
    <row r="3334" spans="2:8">
      <c r="B3334" t="s">
        <v>25022</v>
      </c>
      <c r="C3334">
        <v>458</v>
      </c>
      <c r="D3334">
        <v>36</v>
      </c>
      <c r="E3334">
        <v>16</v>
      </c>
      <c r="F3334">
        <v>0</v>
      </c>
      <c r="G3334">
        <v>16</v>
      </c>
      <c r="H3334">
        <v>0</v>
      </c>
    </row>
    <row r="3335" spans="2:8">
      <c r="B3335" t="s">
        <v>25022</v>
      </c>
      <c r="C3335">
        <v>458</v>
      </c>
      <c r="D3335">
        <v>17</v>
      </c>
      <c r="E3335">
        <v>3</v>
      </c>
      <c r="F3335">
        <v>0</v>
      </c>
      <c r="G3335">
        <v>3</v>
      </c>
      <c r="H3335">
        <v>0</v>
      </c>
    </row>
    <row r="3336" spans="2:8">
      <c r="B3336" t="s">
        <v>25022</v>
      </c>
      <c r="C3336">
        <v>458</v>
      </c>
      <c r="D3336">
        <v>7</v>
      </c>
      <c r="E3336">
        <v>2</v>
      </c>
      <c r="F3336">
        <v>0</v>
      </c>
      <c r="G3336">
        <v>2</v>
      </c>
      <c r="H3336">
        <v>0</v>
      </c>
    </row>
    <row r="3337" spans="2:8">
      <c r="B3337" t="s">
        <v>25022</v>
      </c>
      <c r="C3337">
        <v>459</v>
      </c>
      <c r="D3337">
        <v>34</v>
      </c>
      <c r="E3337">
        <v>22</v>
      </c>
      <c r="F3337">
        <v>0</v>
      </c>
      <c r="G3337">
        <v>19</v>
      </c>
      <c r="H3337">
        <v>3</v>
      </c>
    </row>
    <row r="3338" spans="2:8">
      <c r="B3338" t="s">
        <v>25022</v>
      </c>
      <c r="C3338">
        <v>459</v>
      </c>
      <c r="D3338">
        <v>18</v>
      </c>
      <c r="E3338">
        <v>6</v>
      </c>
      <c r="F3338">
        <v>0</v>
      </c>
      <c r="G3338">
        <v>4</v>
      </c>
      <c r="H3338">
        <v>2</v>
      </c>
    </row>
    <row r="3339" spans="2:8">
      <c r="B3339" t="s">
        <v>25022</v>
      </c>
      <c r="C3339">
        <v>459</v>
      </c>
      <c r="D3339">
        <v>13</v>
      </c>
      <c r="E3339">
        <v>4</v>
      </c>
      <c r="F3339">
        <v>0</v>
      </c>
      <c r="G3339">
        <v>4</v>
      </c>
      <c r="H3339">
        <v>0</v>
      </c>
    </row>
    <row r="3340" spans="2:8">
      <c r="B3340" t="s">
        <v>25022</v>
      </c>
      <c r="C3340">
        <v>460</v>
      </c>
      <c r="D3340">
        <v>5</v>
      </c>
      <c r="E3340">
        <v>0</v>
      </c>
      <c r="F3340">
        <v>0</v>
      </c>
      <c r="G3340">
        <v>0</v>
      </c>
      <c r="H3340">
        <v>0</v>
      </c>
    </row>
    <row r="3341" spans="2:8">
      <c r="B3341" t="s">
        <v>25022</v>
      </c>
      <c r="C3341">
        <v>461</v>
      </c>
      <c r="D3341">
        <v>14</v>
      </c>
      <c r="E3341">
        <v>3</v>
      </c>
      <c r="F3341">
        <v>0</v>
      </c>
      <c r="G3341">
        <v>0</v>
      </c>
      <c r="H3341">
        <v>3</v>
      </c>
    </row>
    <row r="3342" spans="2:8">
      <c r="B3342" t="s">
        <v>25022</v>
      </c>
      <c r="C3342">
        <v>461</v>
      </c>
      <c r="D3342">
        <v>31</v>
      </c>
      <c r="E3342">
        <v>13</v>
      </c>
      <c r="F3342">
        <v>0</v>
      </c>
      <c r="G3342">
        <v>13</v>
      </c>
      <c r="H3342">
        <v>0</v>
      </c>
    </row>
    <row r="3343" spans="2:8">
      <c r="B3343" t="s">
        <v>25022</v>
      </c>
      <c r="C3343">
        <v>461</v>
      </c>
      <c r="D3343">
        <v>28</v>
      </c>
      <c r="E3343">
        <v>12</v>
      </c>
      <c r="F3343">
        <v>0</v>
      </c>
      <c r="G3343">
        <v>12</v>
      </c>
      <c r="H3343">
        <v>0</v>
      </c>
    </row>
    <row r="3344" spans="2:8">
      <c r="B3344" t="s">
        <v>25022</v>
      </c>
      <c r="C3344">
        <v>461</v>
      </c>
      <c r="D3344">
        <v>23</v>
      </c>
      <c r="E3344">
        <v>12</v>
      </c>
      <c r="F3344">
        <v>2</v>
      </c>
      <c r="G3344">
        <v>7</v>
      </c>
      <c r="H3344">
        <v>3</v>
      </c>
    </row>
    <row r="3345" spans="2:8">
      <c r="B3345" t="s">
        <v>25022</v>
      </c>
      <c r="C3345">
        <v>462</v>
      </c>
      <c r="D3345">
        <v>39</v>
      </c>
      <c r="E3345">
        <v>21</v>
      </c>
      <c r="F3345">
        <v>0</v>
      </c>
      <c r="G3345">
        <v>20</v>
      </c>
      <c r="H3345">
        <v>1</v>
      </c>
    </row>
    <row r="3346" spans="2:8">
      <c r="B3346" t="s">
        <v>25022</v>
      </c>
      <c r="C3346">
        <v>462</v>
      </c>
      <c r="D3346">
        <v>24</v>
      </c>
      <c r="E3346">
        <v>11</v>
      </c>
      <c r="F3346">
        <v>0</v>
      </c>
      <c r="G3346">
        <v>10</v>
      </c>
      <c r="H3346">
        <v>1</v>
      </c>
    </row>
    <row r="3347" spans="2:8">
      <c r="B3347" t="s">
        <v>25022</v>
      </c>
      <c r="C3347">
        <v>462</v>
      </c>
      <c r="D3347">
        <v>11</v>
      </c>
      <c r="E3347">
        <v>3</v>
      </c>
      <c r="F3347">
        <v>0</v>
      </c>
      <c r="G3347">
        <v>3</v>
      </c>
      <c r="H3347">
        <v>0</v>
      </c>
    </row>
    <row r="3348" spans="2:8">
      <c r="B3348" t="s">
        <v>25022</v>
      </c>
      <c r="C3348">
        <v>462</v>
      </c>
      <c r="D3348">
        <v>16</v>
      </c>
      <c r="E3348">
        <v>9</v>
      </c>
      <c r="F3348">
        <v>0</v>
      </c>
      <c r="G3348">
        <v>7</v>
      </c>
      <c r="H3348">
        <v>2</v>
      </c>
    </row>
    <row r="3349" spans="2:8">
      <c r="B3349" t="s">
        <v>25022</v>
      </c>
      <c r="C3349">
        <v>462</v>
      </c>
      <c r="D3349">
        <v>6</v>
      </c>
      <c r="E3349">
        <v>0</v>
      </c>
      <c r="F3349">
        <v>0</v>
      </c>
      <c r="G3349">
        <v>0</v>
      </c>
      <c r="H3349">
        <v>0</v>
      </c>
    </row>
    <row r="3350" spans="2:8">
      <c r="B3350" t="s">
        <v>25022</v>
      </c>
      <c r="C3350">
        <v>463</v>
      </c>
      <c r="D3350">
        <v>22</v>
      </c>
      <c r="E3350">
        <v>6</v>
      </c>
      <c r="F3350">
        <v>0</v>
      </c>
      <c r="G3350">
        <v>6</v>
      </c>
      <c r="H3350">
        <v>0</v>
      </c>
    </row>
    <row r="3351" spans="2:8">
      <c r="B3351" t="s">
        <v>25022</v>
      </c>
      <c r="C3351">
        <v>463</v>
      </c>
      <c r="D3351">
        <v>37</v>
      </c>
      <c r="E3351">
        <v>18</v>
      </c>
      <c r="F3351">
        <v>0</v>
      </c>
      <c r="G3351">
        <v>17</v>
      </c>
      <c r="H3351">
        <v>1</v>
      </c>
    </row>
    <row r="3352" spans="2:8">
      <c r="B3352" t="s">
        <v>25022</v>
      </c>
      <c r="C3352">
        <v>463</v>
      </c>
      <c r="D3352">
        <v>34</v>
      </c>
      <c r="E3352">
        <v>16</v>
      </c>
      <c r="F3352">
        <v>0</v>
      </c>
      <c r="G3352">
        <v>15</v>
      </c>
      <c r="H3352">
        <v>1</v>
      </c>
    </row>
    <row r="3353" spans="2:8">
      <c r="B3353" t="s">
        <v>25022</v>
      </c>
      <c r="C3353">
        <v>463</v>
      </c>
      <c r="D3353">
        <v>20</v>
      </c>
      <c r="E3353">
        <v>8</v>
      </c>
      <c r="F3353">
        <v>0</v>
      </c>
      <c r="G3353">
        <v>8</v>
      </c>
      <c r="H3353">
        <v>0</v>
      </c>
    </row>
    <row r="3354" spans="2:8">
      <c r="B3354" t="s">
        <v>25022</v>
      </c>
      <c r="C3354">
        <v>463</v>
      </c>
      <c r="D3354">
        <v>32</v>
      </c>
      <c r="E3354">
        <v>23</v>
      </c>
      <c r="F3354">
        <v>0</v>
      </c>
      <c r="G3354">
        <v>22</v>
      </c>
      <c r="H3354">
        <v>1</v>
      </c>
    </row>
    <row r="3355" spans="2:8">
      <c r="B3355" t="s">
        <v>25022</v>
      </c>
      <c r="C3355">
        <v>463</v>
      </c>
      <c r="D3355">
        <v>10</v>
      </c>
      <c r="E3355">
        <v>4</v>
      </c>
      <c r="F3355">
        <v>0</v>
      </c>
      <c r="G3355">
        <v>4</v>
      </c>
      <c r="H3355">
        <v>0</v>
      </c>
    </row>
    <row r="3356" spans="2:8">
      <c r="B3356" t="s">
        <v>25022</v>
      </c>
      <c r="C3356">
        <v>463</v>
      </c>
      <c r="D3356">
        <v>5</v>
      </c>
      <c r="E3356">
        <v>2</v>
      </c>
      <c r="F3356">
        <v>0</v>
      </c>
      <c r="G3356">
        <v>2</v>
      </c>
      <c r="H3356">
        <v>0</v>
      </c>
    </row>
    <row r="3357" spans="2:8">
      <c r="B3357" t="s">
        <v>25022</v>
      </c>
      <c r="C3357">
        <v>464</v>
      </c>
      <c r="D3357">
        <v>2</v>
      </c>
      <c r="E3357">
        <v>0</v>
      </c>
      <c r="F3357">
        <v>0</v>
      </c>
      <c r="G3357">
        <v>0</v>
      </c>
      <c r="H3357">
        <v>0</v>
      </c>
    </row>
    <row r="3358" spans="2:8">
      <c r="B3358" t="s">
        <v>25022</v>
      </c>
      <c r="C3358">
        <v>465</v>
      </c>
      <c r="D3358">
        <v>40</v>
      </c>
      <c r="E3358">
        <v>20</v>
      </c>
      <c r="F3358">
        <v>2</v>
      </c>
      <c r="G3358">
        <v>15</v>
      </c>
      <c r="H3358">
        <v>3</v>
      </c>
    </row>
    <row r="3359" spans="2:8">
      <c r="B3359" t="s">
        <v>25022</v>
      </c>
      <c r="C3359">
        <v>465</v>
      </c>
      <c r="D3359">
        <v>9</v>
      </c>
      <c r="E3359">
        <v>5</v>
      </c>
      <c r="F3359">
        <v>0</v>
      </c>
      <c r="G3359">
        <v>5</v>
      </c>
      <c r="H3359">
        <v>0</v>
      </c>
    </row>
    <row r="3360" spans="2:8">
      <c r="B3360" t="s">
        <v>25022</v>
      </c>
      <c r="C3360">
        <v>465</v>
      </c>
      <c r="D3360">
        <v>6</v>
      </c>
      <c r="E3360">
        <v>2</v>
      </c>
      <c r="F3360">
        <v>0</v>
      </c>
      <c r="G3360">
        <v>2</v>
      </c>
      <c r="H3360">
        <v>0</v>
      </c>
    </row>
    <row r="3361" spans="2:8">
      <c r="B3361" t="s">
        <v>25022</v>
      </c>
      <c r="C3361">
        <v>465</v>
      </c>
      <c r="D3361">
        <v>3</v>
      </c>
      <c r="E3361">
        <v>2</v>
      </c>
      <c r="F3361">
        <v>0</v>
      </c>
      <c r="G3361">
        <v>2</v>
      </c>
      <c r="H3361">
        <v>0</v>
      </c>
    </row>
    <row r="3362" spans="2:8">
      <c r="B3362" t="s">
        <v>25022</v>
      </c>
      <c r="C3362">
        <v>466</v>
      </c>
      <c r="D3362">
        <v>18</v>
      </c>
      <c r="E3362">
        <v>7</v>
      </c>
      <c r="F3362">
        <v>0</v>
      </c>
      <c r="G3362">
        <v>7</v>
      </c>
      <c r="H3362">
        <v>0</v>
      </c>
    </row>
    <row r="3363" spans="2:8">
      <c r="B3363" t="s">
        <v>25022</v>
      </c>
      <c r="C3363">
        <v>466</v>
      </c>
      <c r="D3363">
        <v>16</v>
      </c>
      <c r="E3363">
        <v>7</v>
      </c>
      <c r="F3363">
        <v>0</v>
      </c>
      <c r="G3363">
        <v>5</v>
      </c>
      <c r="H3363">
        <v>2</v>
      </c>
    </row>
    <row r="3364" spans="2:8">
      <c r="B3364" t="s">
        <v>25022</v>
      </c>
      <c r="C3364">
        <v>466</v>
      </c>
      <c r="D3364">
        <v>12</v>
      </c>
      <c r="E3364">
        <v>5</v>
      </c>
      <c r="F3364">
        <v>0</v>
      </c>
      <c r="G3364">
        <v>3</v>
      </c>
      <c r="H3364">
        <v>2</v>
      </c>
    </row>
    <row r="3365" spans="2:8">
      <c r="B3365" t="s">
        <v>25022</v>
      </c>
      <c r="C3365">
        <v>466</v>
      </c>
      <c r="D3365">
        <v>4</v>
      </c>
      <c r="E3365">
        <v>0</v>
      </c>
      <c r="F3365">
        <v>0</v>
      </c>
      <c r="G3365">
        <v>0</v>
      </c>
      <c r="H3365">
        <v>0</v>
      </c>
    </row>
    <row r="3366" spans="2:8">
      <c r="B3366" t="s">
        <v>25022</v>
      </c>
      <c r="C3366">
        <v>467</v>
      </c>
      <c r="D3366">
        <v>16</v>
      </c>
      <c r="E3366">
        <v>6</v>
      </c>
      <c r="F3366">
        <v>0</v>
      </c>
      <c r="G3366">
        <v>4</v>
      </c>
      <c r="H3366">
        <v>2</v>
      </c>
    </row>
    <row r="3367" spans="2:8">
      <c r="B3367" t="s">
        <v>25022</v>
      </c>
      <c r="C3367">
        <v>467</v>
      </c>
      <c r="D3367">
        <v>21</v>
      </c>
      <c r="E3367">
        <v>9</v>
      </c>
      <c r="F3367">
        <v>0</v>
      </c>
      <c r="G3367">
        <v>9</v>
      </c>
      <c r="H3367">
        <v>0</v>
      </c>
    </row>
    <row r="3368" spans="2:8">
      <c r="B3368" t="s">
        <v>25022</v>
      </c>
      <c r="C3368">
        <v>467</v>
      </c>
      <c r="D3368">
        <v>8</v>
      </c>
      <c r="E3368">
        <v>2</v>
      </c>
      <c r="F3368">
        <v>0</v>
      </c>
      <c r="G3368">
        <v>2</v>
      </c>
      <c r="H3368">
        <v>0</v>
      </c>
    </row>
    <row r="3369" spans="2:8">
      <c r="B3369" t="s">
        <v>25022</v>
      </c>
      <c r="C3369">
        <v>468</v>
      </c>
      <c r="D3369">
        <v>56</v>
      </c>
      <c r="E3369">
        <v>23</v>
      </c>
      <c r="F3369">
        <v>0</v>
      </c>
      <c r="G3369">
        <v>20</v>
      </c>
      <c r="H3369">
        <v>3</v>
      </c>
    </row>
    <row r="3370" spans="2:8">
      <c r="B3370" t="s">
        <v>25022</v>
      </c>
      <c r="C3370">
        <v>468</v>
      </c>
      <c r="D3370">
        <v>5</v>
      </c>
      <c r="E3370">
        <v>2</v>
      </c>
      <c r="F3370">
        <v>0</v>
      </c>
      <c r="G3370">
        <v>2</v>
      </c>
      <c r="H3370">
        <v>0</v>
      </c>
    </row>
    <row r="3371" spans="2:8">
      <c r="B3371" t="s">
        <v>25022</v>
      </c>
      <c r="C3371">
        <v>468</v>
      </c>
      <c r="D3371">
        <v>8</v>
      </c>
      <c r="E3371">
        <v>0</v>
      </c>
      <c r="F3371">
        <v>0</v>
      </c>
      <c r="G3371">
        <v>0</v>
      </c>
      <c r="H3371">
        <v>0</v>
      </c>
    </row>
    <row r="3372" spans="2:8">
      <c r="B3372" t="s">
        <v>25022</v>
      </c>
      <c r="C3372">
        <v>468</v>
      </c>
      <c r="D3372">
        <v>2</v>
      </c>
      <c r="E3372">
        <v>0</v>
      </c>
      <c r="F3372">
        <v>0</v>
      </c>
      <c r="G3372">
        <v>0</v>
      </c>
      <c r="H3372">
        <v>0</v>
      </c>
    </row>
    <row r="3373" spans="2:8">
      <c r="B3373" t="s">
        <v>25022</v>
      </c>
      <c r="C3373">
        <v>469</v>
      </c>
      <c r="D3373">
        <v>71</v>
      </c>
      <c r="E3373">
        <v>43</v>
      </c>
      <c r="F3373">
        <v>0</v>
      </c>
      <c r="G3373">
        <v>38</v>
      </c>
      <c r="H3373">
        <v>5</v>
      </c>
    </row>
    <row r="3374" spans="2:8">
      <c r="B3374" t="s">
        <v>25022</v>
      </c>
      <c r="C3374">
        <v>469</v>
      </c>
      <c r="D3374">
        <v>31</v>
      </c>
      <c r="E3374">
        <v>9</v>
      </c>
      <c r="F3374">
        <v>0</v>
      </c>
      <c r="G3374">
        <v>8</v>
      </c>
      <c r="H3374">
        <v>1</v>
      </c>
    </row>
    <row r="3375" spans="2:8">
      <c r="B3375" t="s">
        <v>25022</v>
      </c>
      <c r="C3375">
        <v>469</v>
      </c>
      <c r="D3375">
        <v>6</v>
      </c>
      <c r="E3375">
        <v>3</v>
      </c>
      <c r="F3375">
        <v>0</v>
      </c>
      <c r="G3375">
        <v>2</v>
      </c>
      <c r="H3375">
        <v>1</v>
      </c>
    </row>
    <row r="3376" spans="2:8">
      <c r="B3376" t="s">
        <v>25022</v>
      </c>
      <c r="C3376">
        <v>469</v>
      </c>
      <c r="D3376">
        <v>6</v>
      </c>
      <c r="E3376">
        <v>0</v>
      </c>
      <c r="F3376">
        <v>0</v>
      </c>
      <c r="G3376">
        <v>0</v>
      </c>
      <c r="H3376">
        <v>0</v>
      </c>
    </row>
    <row r="3377" spans="2:8">
      <c r="B3377" t="s">
        <v>25022</v>
      </c>
      <c r="C3377">
        <v>470</v>
      </c>
      <c r="D3377">
        <v>22</v>
      </c>
      <c r="E3377">
        <v>10</v>
      </c>
      <c r="F3377">
        <v>0</v>
      </c>
      <c r="G3377">
        <v>10</v>
      </c>
      <c r="H3377">
        <v>0</v>
      </c>
    </row>
    <row r="3378" spans="2:8">
      <c r="B3378" t="s">
        <v>25022</v>
      </c>
      <c r="C3378">
        <v>470</v>
      </c>
      <c r="D3378">
        <v>17</v>
      </c>
      <c r="E3378">
        <v>2</v>
      </c>
      <c r="F3378">
        <v>0</v>
      </c>
      <c r="G3378">
        <v>2</v>
      </c>
      <c r="H3378">
        <v>0</v>
      </c>
    </row>
    <row r="3379" spans="2:8">
      <c r="B3379" t="s">
        <v>25022</v>
      </c>
      <c r="C3379">
        <v>470</v>
      </c>
      <c r="D3379">
        <v>19</v>
      </c>
      <c r="E3379">
        <v>9</v>
      </c>
      <c r="F3379">
        <v>0</v>
      </c>
      <c r="G3379">
        <v>5</v>
      </c>
      <c r="H3379">
        <v>4</v>
      </c>
    </row>
    <row r="3380" spans="2:8">
      <c r="B3380" t="s">
        <v>25022</v>
      </c>
      <c r="C3380">
        <v>470</v>
      </c>
      <c r="D3380">
        <v>9</v>
      </c>
      <c r="E3380">
        <v>2</v>
      </c>
      <c r="F3380">
        <v>0</v>
      </c>
      <c r="G3380">
        <v>2</v>
      </c>
      <c r="H3380">
        <v>0</v>
      </c>
    </row>
    <row r="3381" spans="2:8">
      <c r="B3381" t="s">
        <v>25022</v>
      </c>
      <c r="C3381">
        <v>470</v>
      </c>
      <c r="D3381">
        <v>7</v>
      </c>
      <c r="E3381">
        <v>0</v>
      </c>
      <c r="F3381">
        <v>0</v>
      </c>
      <c r="G3381">
        <v>0</v>
      </c>
      <c r="H3381">
        <v>0</v>
      </c>
    </row>
    <row r="3382" spans="2:8">
      <c r="B3382" t="s">
        <v>25022</v>
      </c>
      <c r="C3382">
        <v>471</v>
      </c>
      <c r="D3382">
        <v>35</v>
      </c>
      <c r="E3382">
        <v>17</v>
      </c>
      <c r="F3382">
        <v>0</v>
      </c>
      <c r="G3382">
        <v>15</v>
      </c>
      <c r="H3382">
        <v>2</v>
      </c>
    </row>
    <row r="3383" spans="2:8">
      <c r="B3383" t="s">
        <v>25022</v>
      </c>
      <c r="C3383">
        <v>471</v>
      </c>
      <c r="D3383">
        <v>10</v>
      </c>
      <c r="E3383">
        <v>0</v>
      </c>
      <c r="F3383">
        <v>0</v>
      </c>
      <c r="G3383">
        <v>0</v>
      </c>
      <c r="H3383">
        <v>0</v>
      </c>
    </row>
    <row r="3384" spans="2:8">
      <c r="B3384" t="s">
        <v>25022</v>
      </c>
      <c r="C3384">
        <v>471</v>
      </c>
      <c r="D3384">
        <v>17</v>
      </c>
      <c r="E3384">
        <v>5</v>
      </c>
      <c r="F3384">
        <v>0</v>
      </c>
      <c r="G3384">
        <v>5</v>
      </c>
      <c r="H3384">
        <v>0</v>
      </c>
    </row>
    <row r="3385" spans="2:8">
      <c r="B3385" t="s">
        <v>25022</v>
      </c>
      <c r="C3385">
        <v>471</v>
      </c>
      <c r="D3385">
        <v>11</v>
      </c>
      <c r="E3385">
        <v>6</v>
      </c>
      <c r="F3385">
        <v>0</v>
      </c>
      <c r="G3385">
        <v>4</v>
      </c>
      <c r="H3385">
        <v>2</v>
      </c>
    </row>
    <row r="3386" spans="2:8">
      <c r="B3386" t="s">
        <v>25022</v>
      </c>
      <c r="C3386">
        <v>472</v>
      </c>
      <c r="D3386">
        <v>53</v>
      </c>
      <c r="E3386">
        <v>22</v>
      </c>
      <c r="F3386">
        <v>0</v>
      </c>
      <c r="G3386">
        <v>16</v>
      </c>
      <c r="H3386">
        <v>6</v>
      </c>
    </row>
    <row r="3387" spans="2:8">
      <c r="B3387" t="s">
        <v>25022</v>
      </c>
      <c r="C3387">
        <v>472</v>
      </c>
      <c r="D3387">
        <v>20</v>
      </c>
      <c r="E3387">
        <v>5</v>
      </c>
      <c r="F3387">
        <v>0</v>
      </c>
      <c r="G3387">
        <v>3</v>
      </c>
      <c r="H3387">
        <v>2</v>
      </c>
    </row>
    <row r="3388" spans="2:8">
      <c r="B3388" t="s">
        <v>25022</v>
      </c>
      <c r="C3388">
        <v>472</v>
      </c>
      <c r="D3388">
        <v>11</v>
      </c>
      <c r="E3388">
        <v>0</v>
      </c>
      <c r="F3388">
        <v>0</v>
      </c>
      <c r="G3388">
        <v>0</v>
      </c>
      <c r="H3388">
        <v>0</v>
      </c>
    </row>
    <row r="3389" spans="2:8">
      <c r="B3389" t="s">
        <v>25022</v>
      </c>
      <c r="C3389">
        <v>472</v>
      </c>
      <c r="D3389">
        <v>15</v>
      </c>
      <c r="E3389">
        <v>2</v>
      </c>
      <c r="F3389">
        <v>0</v>
      </c>
      <c r="G3389">
        <v>2</v>
      </c>
      <c r="H3389">
        <v>0</v>
      </c>
    </row>
    <row r="3390" spans="2:8">
      <c r="B3390" t="s">
        <v>25022</v>
      </c>
      <c r="C3390">
        <v>472</v>
      </c>
      <c r="D3390">
        <v>14</v>
      </c>
      <c r="E3390">
        <v>6</v>
      </c>
      <c r="F3390">
        <v>0</v>
      </c>
      <c r="G3390">
        <v>6</v>
      </c>
      <c r="H3390">
        <v>0</v>
      </c>
    </row>
    <row r="3391" spans="2:8">
      <c r="B3391" t="s">
        <v>25022</v>
      </c>
      <c r="C3391">
        <v>472</v>
      </c>
      <c r="D3391">
        <v>15</v>
      </c>
      <c r="E3391">
        <v>4</v>
      </c>
      <c r="F3391">
        <v>0</v>
      </c>
      <c r="G3391">
        <v>2</v>
      </c>
      <c r="H3391">
        <v>2</v>
      </c>
    </row>
    <row r="3392" spans="2:8">
      <c r="B3392" t="s">
        <v>25022</v>
      </c>
      <c r="C3392">
        <v>473</v>
      </c>
      <c r="D3392">
        <v>53</v>
      </c>
      <c r="E3392">
        <v>21</v>
      </c>
      <c r="F3392">
        <v>0</v>
      </c>
      <c r="G3392">
        <v>16</v>
      </c>
      <c r="H3392">
        <v>5</v>
      </c>
    </row>
    <row r="3393" spans="2:8">
      <c r="B3393" t="s">
        <v>25022</v>
      </c>
      <c r="C3393">
        <v>473</v>
      </c>
      <c r="D3393">
        <v>26</v>
      </c>
      <c r="E3393">
        <v>17</v>
      </c>
      <c r="F3393">
        <v>0</v>
      </c>
      <c r="G3393">
        <v>15</v>
      </c>
      <c r="H3393">
        <v>2</v>
      </c>
    </row>
    <row r="3394" spans="2:8">
      <c r="B3394" t="s">
        <v>25022</v>
      </c>
      <c r="C3394">
        <v>473</v>
      </c>
      <c r="D3394">
        <v>32</v>
      </c>
      <c r="E3394">
        <v>10</v>
      </c>
      <c r="F3394">
        <v>0</v>
      </c>
      <c r="G3394">
        <v>8</v>
      </c>
      <c r="H3394">
        <v>2</v>
      </c>
    </row>
    <row r="3395" spans="2:8">
      <c r="B3395" t="s">
        <v>25022</v>
      </c>
      <c r="C3395">
        <v>473</v>
      </c>
      <c r="D3395">
        <v>11</v>
      </c>
      <c r="E3395">
        <v>5</v>
      </c>
      <c r="F3395">
        <v>0</v>
      </c>
      <c r="G3395">
        <v>5</v>
      </c>
      <c r="H3395">
        <v>0</v>
      </c>
    </row>
    <row r="3396" spans="2:8">
      <c r="B3396" t="s">
        <v>25022</v>
      </c>
      <c r="C3396">
        <v>473</v>
      </c>
      <c r="D3396">
        <v>6</v>
      </c>
      <c r="E3396">
        <v>0</v>
      </c>
      <c r="F3396">
        <v>0</v>
      </c>
      <c r="G3396">
        <v>0</v>
      </c>
      <c r="H3396">
        <v>0</v>
      </c>
    </row>
    <row r="3397" spans="2:8">
      <c r="B3397" t="s">
        <v>25022</v>
      </c>
      <c r="C3397">
        <v>473</v>
      </c>
      <c r="D3397">
        <v>6</v>
      </c>
      <c r="E3397">
        <v>0</v>
      </c>
      <c r="F3397">
        <v>0</v>
      </c>
      <c r="G3397">
        <v>0</v>
      </c>
      <c r="H3397">
        <v>0</v>
      </c>
    </row>
    <row r="3398" spans="2:8">
      <c r="B3398" t="s">
        <v>25022</v>
      </c>
      <c r="C3398">
        <v>473</v>
      </c>
      <c r="D3398">
        <v>8</v>
      </c>
      <c r="E3398">
        <v>2</v>
      </c>
      <c r="F3398">
        <v>0</v>
      </c>
      <c r="G3398">
        <v>2</v>
      </c>
      <c r="H3398">
        <v>0</v>
      </c>
    </row>
    <row r="3399" spans="2:8">
      <c r="B3399" t="s">
        <v>25022</v>
      </c>
      <c r="C3399">
        <v>474</v>
      </c>
      <c r="D3399">
        <v>37</v>
      </c>
      <c r="E3399">
        <v>20</v>
      </c>
      <c r="F3399">
        <v>0</v>
      </c>
      <c r="G3399">
        <v>16</v>
      </c>
      <c r="H3399">
        <v>4</v>
      </c>
    </row>
    <row r="3400" spans="2:8">
      <c r="B3400" t="s">
        <v>25022</v>
      </c>
      <c r="C3400">
        <v>474</v>
      </c>
      <c r="D3400">
        <v>15</v>
      </c>
      <c r="E3400">
        <v>2</v>
      </c>
      <c r="F3400">
        <v>0</v>
      </c>
      <c r="G3400">
        <v>0</v>
      </c>
      <c r="H3400">
        <v>2</v>
      </c>
    </row>
    <row r="3401" spans="2:8">
      <c r="B3401" t="s">
        <v>25022</v>
      </c>
      <c r="C3401">
        <v>475</v>
      </c>
      <c r="D3401">
        <v>4</v>
      </c>
      <c r="E3401">
        <v>2</v>
      </c>
      <c r="F3401">
        <v>0</v>
      </c>
      <c r="G3401">
        <v>2</v>
      </c>
      <c r="H3401">
        <v>0</v>
      </c>
    </row>
    <row r="3402" spans="2:8">
      <c r="B3402" t="s">
        <v>25022</v>
      </c>
      <c r="C3402">
        <v>476</v>
      </c>
      <c r="D3402">
        <v>39</v>
      </c>
      <c r="E3402">
        <v>16</v>
      </c>
      <c r="F3402">
        <v>0</v>
      </c>
      <c r="G3402">
        <v>14</v>
      </c>
      <c r="H3402">
        <v>2</v>
      </c>
    </row>
    <row r="3403" spans="2:8">
      <c r="B3403" t="s">
        <v>25022</v>
      </c>
      <c r="C3403">
        <v>476</v>
      </c>
      <c r="D3403">
        <v>4</v>
      </c>
      <c r="E3403">
        <v>0</v>
      </c>
      <c r="F3403">
        <v>0</v>
      </c>
      <c r="G3403">
        <v>0</v>
      </c>
      <c r="H3403">
        <v>0</v>
      </c>
    </row>
    <row r="3404" spans="2:8">
      <c r="B3404" t="s">
        <v>25022</v>
      </c>
      <c r="C3404">
        <v>476</v>
      </c>
      <c r="D3404">
        <v>1</v>
      </c>
      <c r="E3404">
        <v>0</v>
      </c>
      <c r="F3404">
        <v>0</v>
      </c>
      <c r="G3404">
        <v>0</v>
      </c>
      <c r="H3404">
        <v>0</v>
      </c>
    </row>
    <row r="3405" spans="2:8">
      <c r="B3405" t="s">
        <v>25022</v>
      </c>
      <c r="C3405">
        <v>477</v>
      </c>
      <c r="D3405">
        <v>50</v>
      </c>
      <c r="E3405">
        <v>21</v>
      </c>
      <c r="F3405">
        <v>0</v>
      </c>
      <c r="G3405">
        <v>20</v>
      </c>
      <c r="H3405">
        <v>1</v>
      </c>
    </row>
    <row r="3406" spans="2:8">
      <c r="B3406" t="s">
        <v>25022</v>
      </c>
      <c r="C3406">
        <v>477</v>
      </c>
      <c r="D3406">
        <v>20</v>
      </c>
      <c r="E3406">
        <v>7</v>
      </c>
      <c r="F3406">
        <v>0</v>
      </c>
      <c r="G3406">
        <v>7</v>
      </c>
      <c r="H3406">
        <v>0</v>
      </c>
    </row>
    <row r="3407" spans="2:8">
      <c r="B3407" t="s">
        <v>25022</v>
      </c>
      <c r="C3407">
        <v>478</v>
      </c>
      <c r="D3407">
        <v>19</v>
      </c>
      <c r="E3407">
        <v>6</v>
      </c>
      <c r="F3407">
        <v>0</v>
      </c>
      <c r="G3407">
        <v>0</v>
      </c>
      <c r="H3407">
        <v>6</v>
      </c>
    </row>
    <row r="3408" spans="2:8">
      <c r="B3408" t="s">
        <v>25022</v>
      </c>
      <c r="C3408">
        <v>478</v>
      </c>
      <c r="D3408">
        <v>24</v>
      </c>
      <c r="E3408">
        <v>5</v>
      </c>
      <c r="F3408">
        <v>0</v>
      </c>
      <c r="G3408">
        <v>5</v>
      </c>
      <c r="H3408">
        <v>0</v>
      </c>
    </row>
    <row r="3409" spans="2:8">
      <c r="B3409" t="s">
        <v>25022</v>
      </c>
      <c r="C3409">
        <v>478</v>
      </c>
      <c r="D3409">
        <v>14</v>
      </c>
      <c r="E3409">
        <v>3</v>
      </c>
      <c r="F3409">
        <v>0</v>
      </c>
      <c r="G3409">
        <v>3</v>
      </c>
      <c r="H3409">
        <v>0</v>
      </c>
    </row>
    <row r="3410" spans="2:8">
      <c r="B3410" t="s">
        <v>25022</v>
      </c>
      <c r="C3410">
        <v>479</v>
      </c>
      <c r="D3410">
        <v>71</v>
      </c>
      <c r="E3410">
        <v>47</v>
      </c>
      <c r="F3410">
        <v>7</v>
      </c>
      <c r="G3410">
        <v>34</v>
      </c>
      <c r="H3410">
        <v>6</v>
      </c>
    </row>
    <row r="3411" spans="2:8">
      <c r="B3411" t="s">
        <v>25022</v>
      </c>
      <c r="C3411">
        <v>479</v>
      </c>
      <c r="D3411">
        <v>34</v>
      </c>
      <c r="E3411">
        <v>20</v>
      </c>
      <c r="F3411">
        <v>0</v>
      </c>
      <c r="G3411">
        <v>19</v>
      </c>
      <c r="H3411">
        <v>1</v>
      </c>
    </row>
    <row r="3412" spans="2:8">
      <c r="B3412" t="s">
        <v>25022</v>
      </c>
      <c r="C3412">
        <v>479</v>
      </c>
      <c r="D3412">
        <v>29</v>
      </c>
      <c r="E3412">
        <v>18</v>
      </c>
      <c r="F3412">
        <v>0</v>
      </c>
      <c r="G3412">
        <v>17</v>
      </c>
      <c r="H3412">
        <v>1</v>
      </c>
    </row>
    <row r="3413" spans="2:8">
      <c r="B3413" t="s">
        <v>25022</v>
      </c>
      <c r="C3413">
        <v>479</v>
      </c>
      <c r="D3413">
        <v>10</v>
      </c>
      <c r="E3413">
        <v>0</v>
      </c>
      <c r="F3413">
        <v>0</v>
      </c>
      <c r="G3413">
        <v>0</v>
      </c>
      <c r="H3413">
        <v>0</v>
      </c>
    </row>
    <row r="3414" spans="2:8">
      <c r="B3414" t="s">
        <v>25022</v>
      </c>
      <c r="C3414">
        <v>480</v>
      </c>
      <c r="D3414">
        <v>52</v>
      </c>
      <c r="E3414">
        <v>25</v>
      </c>
      <c r="F3414">
        <v>0</v>
      </c>
      <c r="G3414">
        <v>24</v>
      </c>
      <c r="H3414">
        <v>1</v>
      </c>
    </row>
    <row r="3415" spans="2:8">
      <c r="B3415" t="s">
        <v>25022</v>
      </c>
      <c r="C3415">
        <v>480</v>
      </c>
      <c r="D3415">
        <v>90</v>
      </c>
      <c r="E3415">
        <v>60</v>
      </c>
      <c r="F3415">
        <v>3</v>
      </c>
      <c r="G3415">
        <v>50</v>
      </c>
      <c r="H3415">
        <v>7</v>
      </c>
    </row>
    <row r="3416" spans="2:8">
      <c r="B3416" t="s">
        <v>25022</v>
      </c>
      <c r="C3416">
        <v>480</v>
      </c>
      <c r="D3416">
        <v>8</v>
      </c>
      <c r="E3416">
        <v>2</v>
      </c>
      <c r="F3416">
        <v>0</v>
      </c>
      <c r="G3416">
        <v>2</v>
      </c>
      <c r="H3416">
        <v>0</v>
      </c>
    </row>
    <row r="3417" spans="2:8">
      <c r="B3417" t="s">
        <v>25022</v>
      </c>
      <c r="C3417">
        <v>481</v>
      </c>
      <c r="D3417">
        <v>49</v>
      </c>
      <c r="E3417">
        <v>26</v>
      </c>
      <c r="F3417">
        <v>0</v>
      </c>
      <c r="G3417">
        <v>20</v>
      </c>
      <c r="H3417">
        <v>6</v>
      </c>
    </row>
    <row r="3418" spans="2:8">
      <c r="B3418" t="s">
        <v>25022</v>
      </c>
      <c r="C3418">
        <v>482</v>
      </c>
      <c r="D3418">
        <v>9</v>
      </c>
      <c r="E3418">
        <v>0</v>
      </c>
      <c r="F3418">
        <v>0</v>
      </c>
      <c r="G3418">
        <v>0</v>
      </c>
      <c r="H3418">
        <v>0</v>
      </c>
    </row>
    <row r="3419" spans="2:8">
      <c r="B3419" t="s">
        <v>25022</v>
      </c>
      <c r="C3419">
        <v>482</v>
      </c>
      <c r="D3419">
        <v>34</v>
      </c>
      <c r="E3419">
        <v>12</v>
      </c>
      <c r="F3419">
        <v>0</v>
      </c>
      <c r="G3419">
        <v>10</v>
      </c>
      <c r="H3419">
        <v>2</v>
      </c>
    </row>
    <row r="3420" spans="2:8">
      <c r="B3420" t="s">
        <v>25022</v>
      </c>
      <c r="C3420">
        <v>483</v>
      </c>
      <c r="D3420">
        <v>10</v>
      </c>
      <c r="E3420">
        <v>0</v>
      </c>
      <c r="F3420">
        <v>0</v>
      </c>
      <c r="G3420">
        <v>0</v>
      </c>
      <c r="H3420">
        <v>0</v>
      </c>
    </row>
    <row r="3421" spans="2:8">
      <c r="B3421" t="s">
        <v>25022</v>
      </c>
      <c r="C3421">
        <v>483</v>
      </c>
      <c r="D3421">
        <v>17</v>
      </c>
      <c r="E3421">
        <v>5</v>
      </c>
      <c r="F3421">
        <v>0</v>
      </c>
      <c r="G3421">
        <v>5</v>
      </c>
      <c r="H3421">
        <v>0</v>
      </c>
    </row>
    <row r="3422" spans="2:8">
      <c r="B3422" t="s">
        <v>25022</v>
      </c>
      <c r="C3422">
        <v>484</v>
      </c>
      <c r="D3422">
        <v>46</v>
      </c>
      <c r="E3422">
        <v>14</v>
      </c>
      <c r="F3422">
        <v>0</v>
      </c>
      <c r="G3422">
        <v>13</v>
      </c>
      <c r="H3422">
        <v>1</v>
      </c>
    </row>
    <row r="3423" spans="2:8">
      <c r="B3423" t="s">
        <v>25022</v>
      </c>
      <c r="C3423">
        <v>484</v>
      </c>
      <c r="D3423">
        <v>47</v>
      </c>
      <c r="E3423">
        <v>23</v>
      </c>
      <c r="F3423">
        <v>0</v>
      </c>
      <c r="G3423">
        <v>20</v>
      </c>
      <c r="H3423">
        <v>3</v>
      </c>
    </row>
    <row r="3424" spans="2:8">
      <c r="B3424" t="s">
        <v>25022</v>
      </c>
      <c r="C3424">
        <v>484</v>
      </c>
      <c r="D3424">
        <v>29</v>
      </c>
      <c r="E3424">
        <v>12</v>
      </c>
      <c r="F3424">
        <v>0</v>
      </c>
      <c r="G3424">
        <v>12</v>
      </c>
      <c r="H3424">
        <v>0</v>
      </c>
    </row>
    <row r="3425" spans="2:8">
      <c r="B3425" t="s">
        <v>25022</v>
      </c>
      <c r="C3425">
        <v>485</v>
      </c>
      <c r="D3425">
        <v>45</v>
      </c>
      <c r="E3425">
        <v>19</v>
      </c>
      <c r="F3425">
        <v>0</v>
      </c>
      <c r="G3425">
        <v>17</v>
      </c>
      <c r="H3425">
        <v>2</v>
      </c>
    </row>
    <row r="3426" spans="2:8">
      <c r="B3426" t="s">
        <v>25022</v>
      </c>
      <c r="C3426">
        <v>485</v>
      </c>
      <c r="D3426">
        <v>11</v>
      </c>
      <c r="E3426">
        <v>5</v>
      </c>
      <c r="F3426">
        <v>0</v>
      </c>
      <c r="G3426">
        <v>5</v>
      </c>
      <c r="H3426">
        <v>0</v>
      </c>
    </row>
    <row r="3427" spans="2:8">
      <c r="B3427" t="s">
        <v>25022</v>
      </c>
      <c r="C3427">
        <v>485</v>
      </c>
      <c r="D3427">
        <v>12</v>
      </c>
      <c r="E3427">
        <v>3</v>
      </c>
      <c r="F3427">
        <v>0</v>
      </c>
      <c r="G3427">
        <v>2</v>
      </c>
      <c r="H3427">
        <v>1</v>
      </c>
    </row>
    <row r="3428" spans="2:8">
      <c r="B3428" t="s">
        <v>25022</v>
      </c>
      <c r="C3428">
        <v>486</v>
      </c>
      <c r="D3428">
        <v>41</v>
      </c>
      <c r="E3428">
        <v>26</v>
      </c>
      <c r="F3428">
        <v>0</v>
      </c>
      <c r="G3428">
        <v>23</v>
      </c>
      <c r="H3428">
        <v>3</v>
      </c>
    </row>
    <row r="3429" spans="2:8">
      <c r="B3429" t="s">
        <v>25022</v>
      </c>
      <c r="C3429">
        <v>487</v>
      </c>
      <c r="D3429">
        <v>59</v>
      </c>
      <c r="E3429">
        <v>18</v>
      </c>
      <c r="F3429">
        <v>0</v>
      </c>
      <c r="G3429">
        <v>10</v>
      </c>
      <c r="H3429">
        <v>8</v>
      </c>
    </row>
    <row r="3430" spans="2:8">
      <c r="B3430" t="s">
        <v>25022</v>
      </c>
      <c r="C3430">
        <v>487</v>
      </c>
      <c r="D3430">
        <v>52</v>
      </c>
      <c r="E3430">
        <v>20</v>
      </c>
      <c r="F3430">
        <v>0</v>
      </c>
      <c r="G3430">
        <v>18</v>
      </c>
      <c r="H3430">
        <v>2</v>
      </c>
    </row>
    <row r="3431" spans="2:8">
      <c r="B3431" t="s">
        <v>25022</v>
      </c>
      <c r="C3431">
        <v>487</v>
      </c>
      <c r="D3431">
        <v>15</v>
      </c>
      <c r="E3431">
        <v>2</v>
      </c>
      <c r="F3431">
        <v>0</v>
      </c>
      <c r="G3431">
        <v>2</v>
      </c>
      <c r="H3431">
        <v>0</v>
      </c>
    </row>
    <row r="3432" spans="2:8">
      <c r="B3432" t="s">
        <v>25022</v>
      </c>
      <c r="C3432">
        <v>487</v>
      </c>
      <c r="D3432">
        <v>17</v>
      </c>
      <c r="E3432">
        <v>9</v>
      </c>
      <c r="F3432">
        <v>0</v>
      </c>
      <c r="G3432">
        <v>9</v>
      </c>
      <c r="H3432">
        <v>0</v>
      </c>
    </row>
    <row r="3433" spans="2:8">
      <c r="B3433" t="s">
        <v>25022</v>
      </c>
      <c r="C3433">
        <v>488</v>
      </c>
      <c r="D3433">
        <v>25</v>
      </c>
      <c r="E3433">
        <v>6</v>
      </c>
      <c r="F3433">
        <v>0</v>
      </c>
      <c r="G3433">
        <v>6</v>
      </c>
      <c r="H3433">
        <v>0</v>
      </c>
    </row>
    <row r="3434" spans="2:8">
      <c r="B3434" t="s">
        <v>25022</v>
      </c>
      <c r="C3434">
        <v>488</v>
      </c>
      <c r="D3434">
        <v>21</v>
      </c>
      <c r="E3434">
        <v>14</v>
      </c>
      <c r="F3434">
        <v>0</v>
      </c>
      <c r="G3434">
        <v>12</v>
      </c>
      <c r="H3434">
        <v>2</v>
      </c>
    </row>
    <row r="3435" spans="2:8">
      <c r="B3435" t="s">
        <v>25022</v>
      </c>
      <c r="C3435">
        <v>488</v>
      </c>
      <c r="D3435">
        <v>22</v>
      </c>
      <c r="E3435">
        <v>12</v>
      </c>
      <c r="F3435">
        <v>0</v>
      </c>
      <c r="G3435">
        <v>10</v>
      </c>
      <c r="H3435">
        <v>2</v>
      </c>
    </row>
    <row r="3436" spans="2:8">
      <c r="B3436" t="s">
        <v>25022</v>
      </c>
      <c r="C3436">
        <v>488</v>
      </c>
      <c r="D3436">
        <v>8</v>
      </c>
      <c r="E3436">
        <v>0</v>
      </c>
      <c r="F3436">
        <v>0</v>
      </c>
      <c r="G3436">
        <v>0</v>
      </c>
      <c r="H3436">
        <v>0</v>
      </c>
    </row>
    <row r="3437" spans="2:8">
      <c r="B3437" t="s">
        <v>25022</v>
      </c>
      <c r="C3437">
        <v>489</v>
      </c>
      <c r="D3437">
        <v>27</v>
      </c>
      <c r="E3437">
        <v>8</v>
      </c>
      <c r="F3437">
        <v>0</v>
      </c>
      <c r="G3437">
        <v>6</v>
      </c>
      <c r="H3437">
        <v>2</v>
      </c>
    </row>
    <row r="3438" spans="2:8">
      <c r="B3438" t="s">
        <v>25022</v>
      </c>
      <c r="C3438">
        <v>490</v>
      </c>
      <c r="D3438">
        <v>22</v>
      </c>
      <c r="E3438">
        <v>5</v>
      </c>
      <c r="F3438">
        <v>0</v>
      </c>
      <c r="G3438">
        <v>5</v>
      </c>
      <c r="H3438">
        <v>0</v>
      </c>
    </row>
    <row r="3439" spans="2:8">
      <c r="B3439" t="s">
        <v>25022</v>
      </c>
      <c r="C3439">
        <v>490</v>
      </c>
      <c r="D3439">
        <v>12</v>
      </c>
      <c r="E3439">
        <v>2</v>
      </c>
      <c r="F3439">
        <v>0</v>
      </c>
      <c r="G3439">
        <v>2</v>
      </c>
      <c r="H3439">
        <v>0</v>
      </c>
    </row>
    <row r="3440" spans="2:8">
      <c r="B3440" t="s">
        <v>25022</v>
      </c>
      <c r="C3440">
        <v>490</v>
      </c>
      <c r="D3440">
        <v>10</v>
      </c>
      <c r="E3440">
        <v>0</v>
      </c>
      <c r="F3440">
        <v>0</v>
      </c>
      <c r="G3440">
        <v>0</v>
      </c>
      <c r="H3440">
        <v>0</v>
      </c>
    </row>
    <row r="3441" spans="2:8">
      <c r="B3441" t="s">
        <v>25022</v>
      </c>
      <c r="C3441">
        <v>492</v>
      </c>
      <c r="D3441">
        <v>5</v>
      </c>
      <c r="E3441">
        <v>0</v>
      </c>
      <c r="F3441">
        <v>0</v>
      </c>
      <c r="G3441">
        <v>0</v>
      </c>
      <c r="H3441">
        <v>0</v>
      </c>
    </row>
    <row r="3442" spans="2:8">
      <c r="B3442" t="s">
        <v>25022</v>
      </c>
      <c r="C3442">
        <v>493</v>
      </c>
      <c r="D3442">
        <v>32</v>
      </c>
      <c r="E3442">
        <v>14</v>
      </c>
      <c r="F3442">
        <v>0</v>
      </c>
      <c r="G3442">
        <v>10</v>
      </c>
      <c r="H3442">
        <v>4</v>
      </c>
    </row>
    <row r="3443" spans="2:8">
      <c r="B3443" t="s">
        <v>25022</v>
      </c>
      <c r="C3443">
        <v>493</v>
      </c>
      <c r="D3443">
        <v>7</v>
      </c>
      <c r="E3443">
        <v>3</v>
      </c>
      <c r="F3443">
        <v>0</v>
      </c>
      <c r="G3443">
        <v>3</v>
      </c>
      <c r="H3443">
        <v>0</v>
      </c>
    </row>
    <row r="3444" spans="2:8">
      <c r="B3444" t="s">
        <v>25022</v>
      </c>
      <c r="C3444">
        <v>494</v>
      </c>
      <c r="D3444">
        <v>4</v>
      </c>
      <c r="E3444">
        <v>0</v>
      </c>
      <c r="F3444">
        <v>0</v>
      </c>
      <c r="G3444">
        <v>0</v>
      </c>
      <c r="H3444">
        <v>0</v>
      </c>
    </row>
    <row r="3445" spans="2:8">
      <c r="B3445" t="s">
        <v>25022</v>
      </c>
      <c r="C3445">
        <v>494</v>
      </c>
      <c r="D3445">
        <v>10</v>
      </c>
      <c r="E3445">
        <v>2</v>
      </c>
      <c r="F3445">
        <v>0</v>
      </c>
      <c r="G3445">
        <v>2</v>
      </c>
      <c r="H3445">
        <v>0</v>
      </c>
    </row>
    <row r="3446" spans="2:8">
      <c r="B3446" t="s">
        <v>25022</v>
      </c>
      <c r="C3446">
        <v>495</v>
      </c>
      <c r="D3446">
        <v>26</v>
      </c>
      <c r="E3446">
        <v>5</v>
      </c>
      <c r="F3446">
        <v>0</v>
      </c>
      <c r="G3446">
        <v>5</v>
      </c>
      <c r="H3446">
        <v>0</v>
      </c>
    </row>
    <row r="3447" spans="2:8">
      <c r="B3447" t="s">
        <v>25022</v>
      </c>
      <c r="C3447">
        <v>495</v>
      </c>
      <c r="D3447">
        <v>17</v>
      </c>
      <c r="E3447">
        <v>11</v>
      </c>
      <c r="F3447">
        <v>0</v>
      </c>
      <c r="G3447">
        <v>9</v>
      </c>
      <c r="H3447">
        <v>2</v>
      </c>
    </row>
    <row r="3448" spans="2:8">
      <c r="B3448" t="s">
        <v>25022</v>
      </c>
      <c r="C3448">
        <v>496</v>
      </c>
      <c r="D3448">
        <v>3</v>
      </c>
      <c r="E3448">
        <v>0</v>
      </c>
      <c r="F3448">
        <v>0</v>
      </c>
      <c r="G3448">
        <v>0</v>
      </c>
      <c r="H3448">
        <v>0</v>
      </c>
    </row>
    <row r="3449" spans="2:8">
      <c r="B3449" t="s">
        <v>25022</v>
      </c>
      <c r="C3449">
        <v>496</v>
      </c>
      <c r="D3449">
        <v>16</v>
      </c>
      <c r="E3449">
        <v>4</v>
      </c>
      <c r="F3449">
        <v>0</v>
      </c>
      <c r="G3449">
        <v>4</v>
      </c>
      <c r="H3449">
        <v>0</v>
      </c>
    </row>
    <row r="3450" spans="2:8">
      <c r="B3450" t="s">
        <v>25022</v>
      </c>
      <c r="C3450">
        <v>496</v>
      </c>
      <c r="D3450">
        <v>4</v>
      </c>
      <c r="E3450">
        <v>2</v>
      </c>
      <c r="F3450">
        <v>0</v>
      </c>
      <c r="G3450">
        <v>2</v>
      </c>
      <c r="H3450">
        <v>0</v>
      </c>
    </row>
    <row r="3451" spans="2:8">
      <c r="B3451" t="s">
        <v>25022</v>
      </c>
      <c r="C3451">
        <v>496</v>
      </c>
      <c r="D3451">
        <v>11</v>
      </c>
      <c r="E3451">
        <v>0</v>
      </c>
      <c r="F3451">
        <v>0</v>
      </c>
      <c r="G3451">
        <v>0</v>
      </c>
      <c r="H3451">
        <v>0</v>
      </c>
    </row>
    <row r="3452" spans="2:8">
      <c r="B3452" t="s">
        <v>25022</v>
      </c>
      <c r="C3452">
        <v>496</v>
      </c>
      <c r="D3452">
        <v>3</v>
      </c>
      <c r="E3452">
        <v>0</v>
      </c>
      <c r="F3452">
        <v>0</v>
      </c>
      <c r="G3452">
        <v>0</v>
      </c>
      <c r="H3452">
        <v>0</v>
      </c>
    </row>
    <row r="3453" spans="2:8">
      <c r="B3453" t="s">
        <v>25022</v>
      </c>
      <c r="C3453">
        <v>497</v>
      </c>
      <c r="D3453">
        <v>41</v>
      </c>
      <c r="E3453">
        <v>23</v>
      </c>
      <c r="F3453">
        <v>3</v>
      </c>
      <c r="G3453">
        <v>17</v>
      </c>
      <c r="H3453">
        <v>3</v>
      </c>
    </row>
    <row r="3454" spans="2:8">
      <c r="B3454" t="s">
        <v>25022</v>
      </c>
      <c r="C3454">
        <v>498</v>
      </c>
      <c r="D3454">
        <v>34</v>
      </c>
      <c r="E3454">
        <v>21</v>
      </c>
      <c r="F3454">
        <v>0</v>
      </c>
      <c r="G3454">
        <v>21</v>
      </c>
      <c r="H3454">
        <v>0</v>
      </c>
    </row>
    <row r="3455" spans="2:8">
      <c r="B3455" t="s">
        <v>25022</v>
      </c>
      <c r="C3455">
        <v>499</v>
      </c>
      <c r="D3455">
        <v>70</v>
      </c>
      <c r="E3455">
        <v>28</v>
      </c>
      <c r="F3455">
        <v>0</v>
      </c>
      <c r="G3455">
        <v>24</v>
      </c>
      <c r="H3455">
        <v>4</v>
      </c>
    </row>
    <row r="3456" spans="2:8">
      <c r="B3456" t="s">
        <v>25022</v>
      </c>
      <c r="C3456">
        <v>499</v>
      </c>
      <c r="D3456">
        <v>36</v>
      </c>
      <c r="E3456">
        <v>20</v>
      </c>
      <c r="F3456">
        <v>0</v>
      </c>
      <c r="G3456">
        <v>20</v>
      </c>
      <c r="H3456">
        <v>0</v>
      </c>
    </row>
    <row r="3457" spans="2:8">
      <c r="B3457" t="s">
        <v>25022</v>
      </c>
      <c r="C3457">
        <v>499</v>
      </c>
      <c r="D3457">
        <v>38</v>
      </c>
      <c r="E3457">
        <v>15</v>
      </c>
      <c r="F3457">
        <v>0</v>
      </c>
      <c r="G3457">
        <v>13</v>
      </c>
      <c r="H3457">
        <v>2</v>
      </c>
    </row>
    <row r="3458" spans="2:8">
      <c r="B3458" t="s">
        <v>25022</v>
      </c>
      <c r="C3458">
        <v>499</v>
      </c>
      <c r="D3458">
        <v>8</v>
      </c>
      <c r="E3458">
        <v>0</v>
      </c>
      <c r="F3458">
        <v>0</v>
      </c>
      <c r="G3458">
        <v>0</v>
      </c>
      <c r="H3458">
        <v>0</v>
      </c>
    </row>
    <row r="3459" spans="2:8">
      <c r="B3459" t="s">
        <v>25022</v>
      </c>
      <c r="C3459">
        <v>500</v>
      </c>
      <c r="D3459">
        <v>17</v>
      </c>
      <c r="E3459">
        <v>8</v>
      </c>
      <c r="F3459">
        <v>0</v>
      </c>
      <c r="G3459">
        <v>6</v>
      </c>
      <c r="H3459">
        <v>2</v>
      </c>
    </row>
    <row r="3460" spans="2:8">
      <c r="B3460" t="s">
        <v>25022</v>
      </c>
      <c r="C3460">
        <v>500</v>
      </c>
      <c r="D3460">
        <v>9</v>
      </c>
      <c r="E3460">
        <v>2</v>
      </c>
      <c r="F3460">
        <v>0</v>
      </c>
      <c r="G3460">
        <v>2</v>
      </c>
      <c r="H3460">
        <v>0</v>
      </c>
    </row>
    <row r="3461" spans="2:8">
      <c r="B3461" t="s">
        <v>25022</v>
      </c>
      <c r="C3461">
        <v>500</v>
      </c>
      <c r="D3461">
        <v>24</v>
      </c>
      <c r="E3461">
        <v>8</v>
      </c>
      <c r="F3461">
        <v>0</v>
      </c>
      <c r="G3461">
        <v>4</v>
      </c>
      <c r="H3461">
        <v>4</v>
      </c>
    </row>
    <row r="3462" spans="2:8">
      <c r="B3462" t="s">
        <v>25022</v>
      </c>
      <c r="C3462">
        <v>500</v>
      </c>
      <c r="D3462">
        <v>12</v>
      </c>
      <c r="E3462">
        <v>5</v>
      </c>
      <c r="F3462">
        <v>0</v>
      </c>
      <c r="G3462">
        <v>5</v>
      </c>
      <c r="H3462">
        <v>0</v>
      </c>
    </row>
    <row r="3463" spans="2:8">
      <c r="B3463" t="s">
        <v>25022</v>
      </c>
      <c r="C3463">
        <v>501</v>
      </c>
      <c r="D3463">
        <v>20</v>
      </c>
      <c r="E3463">
        <v>6</v>
      </c>
      <c r="F3463">
        <v>0</v>
      </c>
      <c r="G3463">
        <v>6</v>
      </c>
      <c r="H3463">
        <v>0</v>
      </c>
    </row>
    <row r="3464" spans="2:8">
      <c r="B3464" t="s">
        <v>25022</v>
      </c>
      <c r="C3464">
        <v>501</v>
      </c>
      <c r="D3464">
        <v>25</v>
      </c>
      <c r="E3464">
        <v>5</v>
      </c>
      <c r="F3464">
        <v>0</v>
      </c>
      <c r="G3464">
        <v>4</v>
      </c>
      <c r="H3464">
        <v>1</v>
      </c>
    </row>
    <row r="3465" spans="2:8">
      <c r="B3465" t="s">
        <v>25022</v>
      </c>
      <c r="C3465">
        <v>502</v>
      </c>
      <c r="D3465">
        <v>46</v>
      </c>
      <c r="E3465">
        <v>25</v>
      </c>
      <c r="F3465">
        <v>2</v>
      </c>
      <c r="G3465">
        <v>19</v>
      </c>
      <c r="H3465">
        <v>4</v>
      </c>
    </row>
    <row r="3466" spans="2:8">
      <c r="B3466" t="s">
        <v>25022</v>
      </c>
      <c r="C3466">
        <v>502</v>
      </c>
      <c r="D3466">
        <v>15</v>
      </c>
      <c r="E3466">
        <v>8</v>
      </c>
      <c r="F3466">
        <v>0</v>
      </c>
      <c r="G3466">
        <v>8</v>
      </c>
      <c r="H3466">
        <v>0</v>
      </c>
    </row>
    <row r="3467" spans="2:8">
      <c r="B3467" t="s">
        <v>25022</v>
      </c>
      <c r="C3467">
        <v>503</v>
      </c>
      <c r="D3467">
        <v>32</v>
      </c>
      <c r="E3467">
        <v>14</v>
      </c>
      <c r="F3467">
        <v>0</v>
      </c>
      <c r="G3467">
        <v>12</v>
      </c>
      <c r="H3467">
        <v>2</v>
      </c>
    </row>
    <row r="3468" spans="2:8">
      <c r="B3468" t="s">
        <v>25022</v>
      </c>
      <c r="C3468">
        <v>505</v>
      </c>
      <c r="D3468">
        <v>43</v>
      </c>
      <c r="E3468">
        <v>20</v>
      </c>
      <c r="F3468">
        <v>2</v>
      </c>
      <c r="G3468">
        <v>14</v>
      </c>
      <c r="H3468">
        <v>4</v>
      </c>
    </row>
    <row r="3469" spans="2:8">
      <c r="B3469" t="s">
        <v>25022</v>
      </c>
      <c r="C3469">
        <v>505</v>
      </c>
      <c r="D3469">
        <v>41</v>
      </c>
      <c r="E3469">
        <v>22</v>
      </c>
      <c r="F3469">
        <v>0</v>
      </c>
      <c r="G3469">
        <v>22</v>
      </c>
      <c r="H3469">
        <v>0</v>
      </c>
    </row>
    <row r="3470" spans="2:8">
      <c r="B3470" t="s">
        <v>25022</v>
      </c>
      <c r="C3470">
        <v>507</v>
      </c>
      <c r="D3470">
        <v>62</v>
      </c>
      <c r="E3470">
        <v>27</v>
      </c>
      <c r="F3470">
        <v>0</v>
      </c>
      <c r="G3470">
        <v>22</v>
      </c>
      <c r="H3470">
        <v>5</v>
      </c>
    </row>
    <row r="3471" spans="2:8">
      <c r="B3471" t="s">
        <v>25022</v>
      </c>
      <c r="C3471">
        <v>507</v>
      </c>
      <c r="D3471">
        <v>24</v>
      </c>
      <c r="E3471">
        <v>13</v>
      </c>
      <c r="F3471">
        <v>0</v>
      </c>
      <c r="G3471">
        <v>13</v>
      </c>
      <c r="H3471">
        <v>0</v>
      </c>
    </row>
    <row r="3472" spans="2:8">
      <c r="B3472" t="s">
        <v>25022</v>
      </c>
      <c r="C3472">
        <v>507</v>
      </c>
      <c r="D3472">
        <v>6</v>
      </c>
      <c r="E3472">
        <v>0</v>
      </c>
      <c r="F3472">
        <v>0</v>
      </c>
      <c r="G3472">
        <v>0</v>
      </c>
      <c r="H3472">
        <v>0</v>
      </c>
    </row>
    <row r="3473" spans="2:8">
      <c r="B3473" t="s">
        <v>25022</v>
      </c>
      <c r="C3473">
        <v>509</v>
      </c>
      <c r="D3473">
        <v>18</v>
      </c>
      <c r="E3473">
        <v>9</v>
      </c>
      <c r="F3473">
        <v>0</v>
      </c>
      <c r="G3473">
        <v>9</v>
      </c>
      <c r="H3473">
        <v>0</v>
      </c>
    </row>
    <row r="3474" spans="2:8">
      <c r="B3474" t="s">
        <v>25022</v>
      </c>
      <c r="C3474">
        <v>509</v>
      </c>
      <c r="D3474">
        <v>9</v>
      </c>
      <c r="E3474">
        <v>3</v>
      </c>
      <c r="F3474">
        <v>0</v>
      </c>
      <c r="G3474">
        <v>2</v>
      </c>
      <c r="H3474">
        <v>1</v>
      </c>
    </row>
    <row r="3475" spans="2:8">
      <c r="B3475" t="s">
        <v>25022</v>
      </c>
      <c r="C3475">
        <v>510</v>
      </c>
      <c r="D3475">
        <v>20</v>
      </c>
      <c r="E3475">
        <v>6</v>
      </c>
      <c r="F3475">
        <v>0</v>
      </c>
      <c r="G3475">
        <v>2</v>
      </c>
      <c r="H3475">
        <v>4</v>
      </c>
    </row>
    <row r="3476" spans="2:8">
      <c r="B3476" t="s">
        <v>25022</v>
      </c>
      <c r="C3476">
        <v>511</v>
      </c>
      <c r="D3476">
        <v>47</v>
      </c>
      <c r="E3476">
        <v>23</v>
      </c>
      <c r="F3476">
        <v>0</v>
      </c>
      <c r="G3476">
        <v>20</v>
      </c>
      <c r="H3476">
        <v>3</v>
      </c>
    </row>
    <row r="3477" spans="2:8">
      <c r="B3477" t="s">
        <v>25022</v>
      </c>
      <c r="C3477">
        <v>511</v>
      </c>
      <c r="D3477">
        <v>23</v>
      </c>
      <c r="E3477">
        <v>10</v>
      </c>
      <c r="F3477">
        <v>0</v>
      </c>
      <c r="G3477">
        <v>10</v>
      </c>
      <c r="H3477">
        <v>0</v>
      </c>
    </row>
    <row r="3478" spans="2:8">
      <c r="B3478" t="s">
        <v>25022</v>
      </c>
      <c r="C3478">
        <v>512</v>
      </c>
      <c r="D3478">
        <v>23</v>
      </c>
      <c r="E3478">
        <v>9</v>
      </c>
      <c r="F3478">
        <v>0</v>
      </c>
      <c r="G3478">
        <v>7</v>
      </c>
      <c r="H3478">
        <v>2</v>
      </c>
    </row>
    <row r="3479" spans="2:8">
      <c r="B3479" t="s">
        <v>25022</v>
      </c>
      <c r="C3479">
        <v>513</v>
      </c>
      <c r="D3479">
        <v>42</v>
      </c>
      <c r="E3479">
        <v>20</v>
      </c>
      <c r="F3479">
        <v>0</v>
      </c>
      <c r="G3479">
        <v>13</v>
      </c>
      <c r="H3479">
        <v>7</v>
      </c>
    </row>
    <row r="3480" spans="2:8">
      <c r="B3480" t="s">
        <v>25022</v>
      </c>
      <c r="C3480">
        <v>513</v>
      </c>
      <c r="D3480">
        <v>27</v>
      </c>
      <c r="E3480">
        <v>11</v>
      </c>
      <c r="F3480">
        <v>0</v>
      </c>
      <c r="G3480">
        <v>7</v>
      </c>
      <c r="H3480">
        <v>4</v>
      </c>
    </row>
    <row r="3481" spans="2:8">
      <c r="B3481" t="s">
        <v>25022</v>
      </c>
      <c r="C3481">
        <v>513</v>
      </c>
      <c r="D3481">
        <v>14</v>
      </c>
      <c r="E3481">
        <v>5</v>
      </c>
      <c r="F3481">
        <v>0</v>
      </c>
      <c r="G3481">
        <v>5</v>
      </c>
      <c r="H3481">
        <v>0</v>
      </c>
    </row>
    <row r="3482" spans="2:8">
      <c r="B3482" t="s">
        <v>25022</v>
      </c>
      <c r="C3482">
        <v>513</v>
      </c>
      <c r="D3482">
        <v>8</v>
      </c>
      <c r="E3482">
        <v>2</v>
      </c>
      <c r="F3482">
        <v>0</v>
      </c>
      <c r="G3482">
        <v>2</v>
      </c>
      <c r="H3482">
        <v>0</v>
      </c>
    </row>
    <row r="3483" spans="2:8">
      <c r="B3483" t="s">
        <v>25022</v>
      </c>
      <c r="C3483">
        <v>515</v>
      </c>
      <c r="D3483">
        <v>42</v>
      </c>
      <c r="E3483">
        <v>22</v>
      </c>
      <c r="F3483">
        <v>0</v>
      </c>
      <c r="G3483">
        <v>20</v>
      </c>
      <c r="H3483">
        <v>2</v>
      </c>
    </row>
    <row r="3484" spans="2:8">
      <c r="B3484" t="s">
        <v>25022</v>
      </c>
      <c r="C3484">
        <v>515</v>
      </c>
      <c r="D3484">
        <v>15</v>
      </c>
      <c r="E3484">
        <v>6</v>
      </c>
      <c r="F3484">
        <v>0</v>
      </c>
      <c r="G3484">
        <v>6</v>
      </c>
      <c r="H3484">
        <v>0</v>
      </c>
    </row>
    <row r="3485" spans="2:8">
      <c r="B3485" t="s">
        <v>25022</v>
      </c>
      <c r="C3485">
        <v>515</v>
      </c>
      <c r="D3485">
        <v>9</v>
      </c>
      <c r="E3485">
        <v>0</v>
      </c>
      <c r="F3485">
        <v>0</v>
      </c>
      <c r="G3485">
        <v>0</v>
      </c>
      <c r="H3485">
        <v>0</v>
      </c>
    </row>
    <row r="3486" spans="2:8">
      <c r="B3486" t="s">
        <v>25022</v>
      </c>
      <c r="C3486">
        <v>518</v>
      </c>
      <c r="D3486">
        <v>23</v>
      </c>
      <c r="E3486">
        <v>15</v>
      </c>
      <c r="F3486">
        <v>0</v>
      </c>
      <c r="G3486">
        <v>12</v>
      </c>
      <c r="H3486">
        <v>3</v>
      </c>
    </row>
    <row r="3487" spans="2:8">
      <c r="B3487" t="s">
        <v>25022</v>
      </c>
      <c r="C3487">
        <v>520</v>
      </c>
      <c r="D3487">
        <v>36</v>
      </c>
      <c r="E3487">
        <v>17</v>
      </c>
      <c r="F3487">
        <v>0</v>
      </c>
      <c r="G3487">
        <v>12</v>
      </c>
      <c r="H3487">
        <v>5</v>
      </c>
    </row>
    <row r="3488" spans="2:8">
      <c r="B3488" t="s">
        <v>25022</v>
      </c>
      <c r="C3488">
        <v>520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2:8">
      <c r="B3489" t="s">
        <v>25022</v>
      </c>
      <c r="C3489">
        <v>525</v>
      </c>
      <c r="D3489">
        <v>51</v>
      </c>
      <c r="E3489">
        <v>17</v>
      </c>
      <c r="F3489">
        <v>0</v>
      </c>
      <c r="G3489">
        <v>9</v>
      </c>
      <c r="H3489">
        <v>8</v>
      </c>
    </row>
    <row r="3490" spans="2:8">
      <c r="B3490" t="s">
        <v>25022</v>
      </c>
      <c r="C3490">
        <v>527</v>
      </c>
      <c r="D3490">
        <v>47</v>
      </c>
      <c r="E3490">
        <v>20</v>
      </c>
      <c r="F3490">
        <v>0</v>
      </c>
      <c r="G3490">
        <v>15</v>
      </c>
      <c r="H3490">
        <v>5</v>
      </c>
    </row>
    <row r="3491" spans="2:8">
      <c r="B3491" t="s">
        <v>25022</v>
      </c>
      <c r="C3491">
        <v>527</v>
      </c>
      <c r="D3491">
        <v>10</v>
      </c>
      <c r="E3491">
        <v>2</v>
      </c>
      <c r="F3491">
        <v>0</v>
      </c>
      <c r="G3491">
        <v>2</v>
      </c>
      <c r="H3491">
        <v>0</v>
      </c>
    </row>
    <row r="3492" spans="2:8">
      <c r="B3492" t="s">
        <v>25022</v>
      </c>
      <c r="C3492">
        <v>529</v>
      </c>
      <c r="D3492">
        <v>47</v>
      </c>
      <c r="E3492">
        <v>23</v>
      </c>
      <c r="F3492">
        <v>0</v>
      </c>
      <c r="G3492">
        <v>20</v>
      </c>
      <c r="H3492">
        <v>3</v>
      </c>
    </row>
    <row r="3493" spans="2:8">
      <c r="B3493" t="s">
        <v>25022</v>
      </c>
      <c r="C3493">
        <v>529</v>
      </c>
      <c r="D3493">
        <v>23</v>
      </c>
      <c r="E3493">
        <v>10</v>
      </c>
      <c r="F3493">
        <v>0</v>
      </c>
      <c r="G3493">
        <v>8</v>
      </c>
      <c r="H3493">
        <v>2</v>
      </c>
    </row>
    <row r="3494" spans="2:8">
      <c r="B3494" t="s">
        <v>25022</v>
      </c>
      <c r="C3494">
        <v>530</v>
      </c>
      <c r="D3494">
        <v>14</v>
      </c>
      <c r="E3494">
        <v>8</v>
      </c>
      <c r="F3494">
        <v>0</v>
      </c>
      <c r="G3494">
        <v>8</v>
      </c>
      <c r="H3494">
        <v>0</v>
      </c>
    </row>
    <row r="3495" spans="2:8">
      <c r="B3495" t="s">
        <v>25022</v>
      </c>
      <c r="C3495">
        <v>531</v>
      </c>
      <c r="D3495">
        <v>63</v>
      </c>
      <c r="E3495">
        <v>20</v>
      </c>
      <c r="F3495">
        <v>0</v>
      </c>
      <c r="G3495">
        <v>18</v>
      </c>
      <c r="H3495">
        <v>2</v>
      </c>
    </row>
    <row r="3496" spans="2:8">
      <c r="B3496" t="s">
        <v>25022</v>
      </c>
      <c r="C3496">
        <v>532</v>
      </c>
      <c r="D3496">
        <v>59</v>
      </c>
      <c r="E3496">
        <v>39</v>
      </c>
      <c r="F3496">
        <v>4</v>
      </c>
      <c r="G3496">
        <v>32</v>
      </c>
      <c r="H3496">
        <v>3</v>
      </c>
    </row>
    <row r="3497" spans="2:8">
      <c r="B3497" t="s">
        <v>25022</v>
      </c>
      <c r="C3497">
        <v>532</v>
      </c>
      <c r="D3497">
        <v>11</v>
      </c>
      <c r="E3497">
        <v>6</v>
      </c>
      <c r="F3497">
        <v>0</v>
      </c>
      <c r="G3497">
        <v>6</v>
      </c>
      <c r="H3497">
        <v>0</v>
      </c>
    </row>
    <row r="3498" spans="2:8">
      <c r="B3498" t="s">
        <v>25022</v>
      </c>
      <c r="C3498">
        <v>533</v>
      </c>
      <c r="D3498">
        <v>32</v>
      </c>
      <c r="E3498">
        <v>11</v>
      </c>
      <c r="F3498">
        <v>0</v>
      </c>
      <c r="G3498">
        <v>11</v>
      </c>
      <c r="H3498">
        <v>0</v>
      </c>
    </row>
    <row r="3499" spans="2:8">
      <c r="B3499" t="s">
        <v>25022</v>
      </c>
      <c r="C3499">
        <v>535</v>
      </c>
      <c r="D3499">
        <v>20</v>
      </c>
      <c r="E3499">
        <v>10</v>
      </c>
      <c r="F3499">
        <v>0</v>
      </c>
      <c r="G3499">
        <v>10</v>
      </c>
      <c r="H3499">
        <v>0</v>
      </c>
    </row>
    <row r="3500" spans="2:8">
      <c r="B3500" t="s">
        <v>25022</v>
      </c>
      <c r="C3500">
        <v>535</v>
      </c>
      <c r="D3500">
        <v>10</v>
      </c>
      <c r="E3500">
        <v>2</v>
      </c>
      <c r="F3500">
        <v>0</v>
      </c>
      <c r="G3500">
        <v>0</v>
      </c>
      <c r="H3500">
        <v>2</v>
      </c>
    </row>
    <row r="3501" spans="2:8">
      <c r="B3501" t="s">
        <v>25022</v>
      </c>
      <c r="C3501">
        <v>536</v>
      </c>
      <c r="D3501">
        <v>22</v>
      </c>
      <c r="E3501">
        <v>6</v>
      </c>
      <c r="F3501">
        <v>0</v>
      </c>
      <c r="G3501">
        <v>2</v>
      </c>
      <c r="H3501">
        <v>4</v>
      </c>
    </row>
    <row r="3502" spans="2:8">
      <c r="B3502" t="s">
        <v>25022</v>
      </c>
      <c r="C3502">
        <v>537</v>
      </c>
      <c r="D3502">
        <v>25</v>
      </c>
      <c r="E3502">
        <v>13</v>
      </c>
      <c r="F3502">
        <v>0</v>
      </c>
      <c r="G3502">
        <v>13</v>
      </c>
      <c r="H3502">
        <v>0</v>
      </c>
    </row>
    <row r="3503" spans="2:8">
      <c r="B3503" t="s">
        <v>25022</v>
      </c>
      <c r="C3503">
        <v>538</v>
      </c>
      <c r="D3503">
        <v>42</v>
      </c>
      <c r="E3503">
        <v>16</v>
      </c>
      <c r="F3503">
        <v>0</v>
      </c>
      <c r="G3503">
        <v>16</v>
      </c>
      <c r="H3503">
        <v>0</v>
      </c>
    </row>
    <row r="3504" spans="2:8">
      <c r="B3504" t="s">
        <v>25022</v>
      </c>
      <c r="C3504">
        <v>539</v>
      </c>
      <c r="D3504">
        <v>26</v>
      </c>
      <c r="E3504">
        <v>6</v>
      </c>
      <c r="F3504">
        <v>0</v>
      </c>
      <c r="G3504">
        <v>2</v>
      </c>
      <c r="H3504">
        <v>4</v>
      </c>
    </row>
    <row r="3505" spans="2:8">
      <c r="B3505" t="s">
        <v>25022</v>
      </c>
      <c r="C3505">
        <v>539</v>
      </c>
      <c r="D3505">
        <v>28</v>
      </c>
      <c r="E3505">
        <v>8</v>
      </c>
      <c r="F3505">
        <v>0</v>
      </c>
      <c r="G3505">
        <v>8</v>
      </c>
      <c r="H3505">
        <v>0</v>
      </c>
    </row>
    <row r="3506" spans="2:8">
      <c r="B3506" t="s">
        <v>25022</v>
      </c>
      <c r="C3506">
        <v>539</v>
      </c>
      <c r="D3506">
        <v>8</v>
      </c>
      <c r="E3506">
        <v>2</v>
      </c>
      <c r="F3506">
        <v>0</v>
      </c>
      <c r="G3506">
        <v>2</v>
      </c>
      <c r="H3506">
        <v>0</v>
      </c>
    </row>
    <row r="3507" spans="2:8">
      <c r="B3507" t="s">
        <v>25022</v>
      </c>
      <c r="C3507">
        <v>540</v>
      </c>
      <c r="D3507">
        <v>12</v>
      </c>
      <c r="E3507">
        <v>2</v>
      </c>
      <c r="F3507">
        <v>0</v>
      </c>
      <c r="G3507">
        <v>2</v>
      </c>
      <c r="H3507">
        <v>0</v>
      </c>
    </row>
    <row r="3508" spans="2:8">
      <c r="B3508" t="s">
        <v>25022</v>
      </c>
      <c r="C3508">
        <v>541</v>
      </c>
      <c r="D3508">
        <v>36</v>
      </c>
      <c r="E3508">
        <v>17</v>
      </c>
      <c r="F3508">
        <v>0</v>
      </c>
      <c r="G3508">
        <v>14</v>
      </c>
      <c r="H3508">
        <v>3</v>
      </c>
    </row>
    <row r="3509" spans="2:8">
      <c r="B3509" t="s">
        <v>25022</v>
      </c>
      <c r="C3509">
        <v>542</v>
      </c>
      <c r="D3509">
        <v>41</v>
      </c>
      <c r="E3509">
        <v>18</v>
      </c>
      <c r="F3509">
        <v>0</v>
      </c>
      <c r="G3509">
        <v>12</v>
      </c>
      <c r="H3509">
        <v>6</v>
      </c>
    </row>
    <row r="3510" spans="2:8">
      <c r="B3510" t="s">
        <v>25022</v>
      </c>
      <c r="C3510">
        <v>542</v>
      </c>
      <c r="D3510">
        <v>12</v>
      </c>
      <c r="E3510">
        <v>6</v>
      </c>
      <c r="F3510">
        <v>0</v>
      </c>
      <c r="G3510">
        <v>4</v>
      </c>
      <c r="H3510">
        <v>2</v>
      </c>
    </row>
    <row r="3511" spans="2:8">
      <c r="B3511" t="s">
        <v>25022</v>
      </c>
      <c r="C3511">
        <v>544</v>
      </c>
      <c r="D3511">
        <v>44</v>
      </c>
      <c r="E3511">
        <v>17</v>
      </c>
      <c r="F3511">
        <v>2</v>
      </c>
      <c r="G3511">
        <v>15</v>
      </c>
      <c r="H3511">
        <v>0</v>
      </c>
    </row>
    <row r="3512" spans="2:8">
      <c r="B3512" t="s">
        <v>25022</v>
      </c>
      <c r="C3512">
        <v>544</v>
      </c>
      <c r="D3512">
        <v>8</v>
      </c>
      <c r="E3512">
        <v>0</v>
      </c>
      <c r="F3512">
        <v>0</v>
      </c>
      <c r="G3512">
        <v>0</v>
      </c>
      <c r="H3512">
        <v>0</v>
      </c>
    </row>
    <row r="3513" spans="2:8">
      <c r="B3513" t="s">
        <v>25022</v>
      </c>
      <c r="C3513">
        <v>544</v>
      </c>
      <c r="D3513">
        <v>18</v>
      </c>
      <c r="E3513">
        <v>6</v>
      </c>
      <c r="F3513">
        <v>0</v>
      </c>
      <c r="G3513">
        <v>4</v>
      </c>
      <c r="H3513">
        <v>2</v>
      </c>
    </row>
    <row r="3514" spans="2:8">
      <c r="B3514" t="s">
        <v>25022</v>
      </c>
      <c r="C3514">
        <v>545</v>
      </c>
      <c r="D3514">
        <v>6</v>
      </c>
      <c r="E3514">
        <v>0</v>
      </c>
      <c r="F3514">
        <v>0</v>
      </c>
      <c r="G3514">
        <v>0</v>
      </c>
      <c r="H3514">
        <v>0</v>
      </c>
    </row>
    <row r="3515" spans="2:8">
      <c r="B3515" t="s">
        <v>25022</v>
      </c>
      <c r="C3515">
        <v>546</v>
      </c>
      <c r="D3515">
        <v>61</v>
      </c>
      <c r="E3515">
        <v>24</v>
      </c>
      <c r="F3515">
        <v>0</v>
      </c>
      <c r="G3515">
        <v>23</v>
      </c>
      <c r="H3515">
        <v>1</v>
      </c>
    </row>
    <row r="3516" spans="2:8">
      <c r="B3516" t="s">
        <v>25022</v>
      </c>
      <c r="C3516">
        <v>547</v>
      </c>
      <c r="D3516">
        <v>36</v>
      </c>
      <c r="E3516">
        <v>4</v>
      </c>
      <c r="F3516">
        <v>0</v>
      </c>
      <c r="G3516">
        <v>2</v>
      </c>
      <c r="H3516">
        <v>2</v>
      </c>
    </row>
    <row r="3517" spans="2:8">
      <c r="B3517" t="s">
        <v>25022</v>
      </c>
      <c r="C3517">
        <v>549</v>
      </c>
      <c r="D3517">
        <v>31</v>
      </c>
      <c r="E3517">
        <v>5</v>
      </c>
      <c r="F3517">
        <v>0</v>
      </c>
      <c r="G3517">
        <v>5</v>
      </c>
      <c r="H3517">
        <v>0</v>
      </c>
    </row>
    <row r="3518" spans="2:8">
      <c r="B3518" t="s">
        <v>25022</v>
      </c>
      <c r="C3518">
        <v>552</v>
      </c>
      <c r="D3518">
        <v>9</v>
      </c>
      <c r="E3518">
        <v>3</v>
      </c>
      <c r="F3518">
        <v>0</v>
      </c>
      <c r="G3518">
        <v>3</v>
      </c>
      <c r="H3518">
        <v>0</v>
      </c>
    </row>
    <row r="3519" spans="2:8">
      <c r="B3519" t="s">
        <v>25022</v>
      </c>
      <c r="C3519">
        <v>553</v>
      </c>
      <c r="D3519">
        <v>13</v>
      </c>
      <c r="E3519">
        <v>7</v>
      </c>
      <c r="F3519">
        <v>0</v>
      </c>
      <c r="G3519">
        <v>5</v>
      </c>
      <c r="H3519">
        <v>2</v>
      </c>
    </row>
    <row r="3520" spans="2:8">
      <c r="B3520" t="s">
        <v>25022</v>
      </c>
      <c r="C3520">
        <v>555</v>
      </c>
      <c r="D3520">
        <v>16</v>
      </c>
      <c r="E3520">
        <v>4</v>
      </c>
      <c r="F3520">
        <v>0</v>
      </c>
      <c r="G3520">
        <v>4</v>
      </c>
      <c r="H3520">
        <v>0</v>
      </c>
    </row>
    <row r="3521" spans="2:8">
      <c r="B3521" t="s">
        <v>25022</v>
      </c>
      <c r="C3521">
        <v>555</v>
      </c>
      <c r="D3521">
        <v>9</v>
      </c>
      <c r="E3521">
        <v>3</v>
      </c>
      <c r="F3521">
        <v>0</v>
      </c>
      <c r="G3521">
        <v>0</v>
      </c>
      <c r="H3521">
        <v>3</v>
      </c>
    </row>
    <row r="3522" spans="2:8">
      <c r="B3522" t="s">
        <v>25022</v>
      </c>
      <c r="C3522">
        <v>556</v>
      </c>
      <c r="D3522">
        <v>14</v>
      </c>
      <c r="E3522">
        <v>0</v>
      </c>
      <c r="F3522">
        <v>0</v>
      </c>
      <c r="G3522">
        <v>0</v>
      </c>
      <c r="H3522">
        <v>0</v>
      </c>
    </row>
    <row r="3523" spans="2:8">
      <c r="B3523" t="s">
        <v>25022</v>
      </c>
      <c r="C3523">
        <v>558</v>
      </c>
      <c r="D3523">
        <v>3</v>
      </c>
      <c r="E3523">
        <v>0</v>
      </c>
      <c r="F3523">
        <v>0</v>
      </c>
      <c r="G3523">
        <v>0</v>
      </c>
      <c r="H3523">
        <v>0</v>
      </c>
    </row>
    <row r="3524" spans="2:8">
      <c r="B3524" t="s">
        <v>25022</v>
      </c>
      <c r="C3524">
        <v>560</v>
      </c>
      <c r="D3524">
        <v>35</v>
      </c>
      <c r="E3524">
        <v>23</v>
      </c>
      <c r="F3524">
        <v>0</v>
      </c>
      <c r="G3524">
        <v>21</v>
      </c>
      <c r="H3524">
        <v>2</v>
      </c>
    </row>
    <row r="3525" spans="2:8">
      <c r="B3525" t="s">
        <v>25022</v>
      </c>
      <c r="C3525">
        <v>560</v>
      </c>
      <c r="D3525">
        <v>20</v>
      </c>
      <c r="E3525">
        <v>6</v>
      </c>
      <c r="F3525">
        <v>0</v>
      </c>
      <c r="G3525">
        <v>2</v>
      </c>
      <c r="H3525">
        <v>4</v>
      </c>
    </row>
    <row r="3526" spans="2:8">
      <c r="B3526" t="s">
        <v>25022</v>
      </c>
      <c r="C3526">
        <v>561</v>
      </c>
      <c r="D3526">
        <v>53</v>
      </c>
      <c r="E3526">
        <v>26</v>
      </c>
      <c r="F3526">
        <v>0</v>
      </c>
      <c r="G3526">
        <v>25</v>
      </c>
      <c r="H3526">
        <v>1</v>
      </c>
    </row>
    <row r="3527" spans="2:8">
      <c r="B3527" t="s">
        <v>25022</v>
      </c>
      <c r="C3527">
        <v>561</v>
      </c>
      <c r="D3527">
        <v>35</v>
      </c>
      <c r="E3527">
        <v>16</v>
      </c>
      <c r="F3527">
        <v>0</v>
      </c>
      <c r="G3527">
        <v>10</v>
      </c>
      <c r="H3527">
        <v>6</v>
      </c>
    </row>
    <row r="3528" spans="2:8">
      <c r="B3528" t="s">
        <v>25022</v>
      </c>
      <c r="C3528">
        <v>561</v>
      </c>
      <c r="D3528">
        <v>49</v>
      </c>
      <c r="E3528">
        <v>23</v>
      </c>
      <c r="F3528">
        <v>0</v>
      </c>
      <c r="G3528">
        <v>23</v>
      </c>
      <c r="H3528">
        <v>0</v>
      </c>
    </row>
    <row r="3529" spans="2:8">
      <c r="B3529" t="s">
        <v>25022</v>
      </c>
      <c r="C3529">
        <v>561</v>
      </c>
      <c r="D3529">
        <v>14</v>
      </c>
      <c r="E3529">
        <v>0</v>
      </c>
      <c r="F3529">
        <v>0</v>
      </c>
      <c r="G3529">
        <v>0</v>
      </c>
      <c r="H3529">
        <v>0</v>
      </c>
    </row>
    <row r="3530" spans="2:8">
      <c r="B3530" t="s">
        <v>25022</v>
      </c>
      <c r="C3530">
        <v>562</v>
      </c>
      <c r="D3530">
        <v>12</v>
      </c>
      <c r="E3530">
        <v>5</v>
      </c>
      <c r="F3530">
        <v>0</v>
      </c>
      <c r="G3530">
        <v>5</v>
      </c>
      <c r="H3530">
        <v>0</v>
      </c>
    </row>
    <row r="3531" spans="2:8">
      <c r="B3531" t="s">
        <v>25022</v>
      </c>
      <c r="C3531">
        <v>563</v>
      </c>
      <c r="D3531">
        <v>14</v>
      </c>
      <c r="E3531">
        <v>4</v>
      </c>
      <c r="F3531">
        <v>0</v>
      </c>
      <c r="G3531">
        <v>4</v>
      </c>
      <c r="H3531">
        <v>0</v>
      </c>
    </row>
    <row r="3532" spans="2:8">
      <c r="B3532" t="s">
        <v>25022</v>
      </c>
      <c r="C3532">
        <v>564</v>
      </c>
      <c r="D3532">
        <v>15</v>
      </c>
      <c r="E3532">
        <v>7</v>
      </c>
      <c r="F3532">
        <v>0</v>
      </c>
      <c r="G3532">
        <v>3</v>
      </c>
      <c r="H3532">
        <v>4</v>
      </c>
    </row>
    <row r="3533" spans="2:8">
      <c r="B3533" t="s">
        <v>25022</v>
      </c>
      <c r="C3533">
        <v>564</v>
      </c>
      <c r="D3533">
        <v>8</v>
      </c>
      <c r="E3533">
        <v>2</v>
      </c>
      <c r="F3533">
        <v>0</v>
      </c>
      <c r="G3533">
        <v>2</v>
      </c>
      <c r="H3533">
        <v>0</v>
      </c>
    </row>
    <row r="3534" spans="2:8">
      <c r="B3534" t="s">
        <v>25022</v>
      </c>
      <c r="C3534">
        <v>566</v>
      </c>
      <c r="D3534">
        <v>45</v>
      </c>
      <c r="E3534">
        <v>19</v>
      </c>
      <c r="F3534">
        <v>0</v>
      </c>
      <c r="G3534">
        <v>15</v>
      </c>
      <c r="H3534">
        <v>4</v>
      </c>
    </row>
    <row r="3535" spans="2:8">
      <c r="B3535" t="s">
        <v>25022</v>
      </c>
      <c r="C3535">
        <v>566</v>
      </c>
      <c r="D3535">
        <v>10</v>
      </c>
      <c r="E3535">
        <v>4</v>
      </c>
      <c r="F3535">
        <v>0</v>
      </c>
      <c r="G3535">
        <v>4</v>
      </c>
      <c r="H3535">
        <v>0</v>
      </c>
    </row>
    <row r="3536" spans="2:8">
      <c r="B3536" t="s">
        <v>25022</v>
      </c>
      <c r="C3536">
        <v>567</v>
      </c>
      <c r="D3536">
        <v>51</v>
      </c>
      <c r="E3536">
        <v>27</v>
      </c>
      <c r="F3536">
        <v>0</v>
      </c>
      <c r="G3536">
        <v>23</v>
      </c>
      <c r="H3536">
        <v>4</v>
      </c>
    </row>
    <row r="3537" spans="2:8">
      <c r="B3537" t="s">
        <v>25022</v>
      </c>
      <c r="C3537">
        <v>569</v>
      </c>
      <c r="D3537">
        <v>49</v>
      </c>
      <c r="E3537">
        <v>18</v>
      </c>
      <c r="F3537">
        <v>0</v>
      </c>
      <c r="G3537">
        <v>16</v>
      </c>
      <c r="H3537">
        <v>2</v>
      </c>
    </row>
    <row r="3538" spans="2:8">
      <c r="B3538" t="s">
        <v>25022</v>
      </c>
      <c r="C3538">
        <v>569</v>
      </c>
      <c r="D3538">
        <v>18</v>
      </c>
      <c r="E3538">
        <v>0</v>
      </c>
      <c r="F3538">
        <v>0</v>
      </c>
      <c r="G3538">
        <v>0</v>
      </c>
      <c r="H3538">
        <v>0</v>
      </c>
    </row>
    <row r="3539" spans="2:8">
      <c r="B3539" t="s">
        <v>25022</v>
      </c>
      <c r="C3539">
        <v>569</v>
      </c>
      <c r="D3539">
        <v>11</v>
      </c>
      <c r="E3539">
        <v>4</v>
      </c>
      <c r="F3539">
        <v>0</v>
      </c>
      <c r="G3539">
        <v>4</v>
      </c>
      <c r="H3539">
        <v>0</v>
      </c>
    </row>
    <row r="3540" spans="2:8">
      <c r="B3540" t="s">
        <v>25022</v>
      </c>
      <c r="C3540">
        <v>570</v>
      </c>
      <c r="D3540">
        <v>13</v>
      </c>
      <c r="E3540">
        <v>7</v>
      </c>
      <c r="F3540">
        <v>0</v>
      </c>
      <c r="G3540">
        <v>6</v>
      </c>
      <c r="H3540">
        <v>1</v>
      </c>
    </row>
    <row r="3541" spans="2:8">
      <c r="B3541" t="s">
        <v>25022</v>
      </c>
      <c r="C3541">
        <v>570</v>
      </c>
      <c r="D3541">
        <v>19</v>
      </c>
      <c r="E3541">
        <v>0</v>
      </c>
      <c r="F3541">
        <v>0</v>
      </c>
      <c r="G3541">
        <v>0</v>
      </c>
      <c r="H3541">
        <v>0</v>
      </c>
    </row>
    <row r="3542" spans="2:8">
      <c r="B3542" t="s">
        <v>25022</v>
      </c>
      <c r="C3542">
        <v>570</v>
      </c>
      <c r="D3542">
        <v>8</v>
      </c>
      <c r="E3542">
        <v>0</v>
      </c>
      <c r="F3542">
        <v>0</v>
      </c>
      <c r="G3542">
        <v>0</v>
      </c>
      <c r="H3542">
        <v>0</v>
      </c>
    </row>
    <row r="3543" spans="2:8">
      <c r="B3543" t="s">
        <v>25022</v>
      </c>
      <c r="C3543">
        <v>571</v>
      </c>
      <c r="D3543">
        <v>11</v>
      </c>
      <c r="E3543">
        <v>4</v>
      </c>
      <c r="F3543">
        <v>0</v>
      </c>
      <c r="G3543">
        <v>4</v>
      </c>
      <c r="H3543">
        <v>0</v>
      </c>
    </row>
    <row r="3544" spans="2:8">
      <c r="B3544" t="s">
        <v>25022</v>
      </c>
      <c r="C3544">
        <v>572</v>
      </c>
      <c r="D3544">
        <v>9</v>
      </c>
      <c r="E3544">
        <v>0</v>
      </c>
      <c r="F3544">
        <v>0</v>
      </c>
      <c r="G3544">
        <v>0</v>
      </c>
      <c r="H3544">
        <v>0</v>
      </c>
    </row>
    <row r="3545" spans="2:8">
      <c r="B3545" t="s">
        <v>25022</v>
      </c>
      <c r="C3545">
        <v>573</v>
      </c>
      <c r="D3545">
        <v>44</v>
      </c>
      <c r="E3545">
        <v>20</v>
      </c>
      <c r="F3545">
        <v>0</v>
      </c>
      <c r="G3545">
        <v>19</v>
      </c>
      <c r="H3545">
        <v>1</v>
      </c>
    </row>
    <row r="3546" spans="2:8">
      <c r="B3546" t="s">
        <v>25022</v>
      </c>
      <c r="C3546">
        <v>574</v>
      </c>
      <c r="D3546">
        <v>15</v>
      </c>
      <c r="E3546">
        <v>7</v>
      </c>
      <c r="F3546">
        <v>0</v>
      </c>
      <c r="G3546">
        <v>7</v>
      </c>
      <c r="H3546">
        <v>0</v>
      </c>
    </row>
    <row r="3547" spans="2:8">
      <c r="B3547" t="s">
        <v>25022</v>
      </c>
      <c r="C3547">
        <v>574</v>
      </c>
      <c r="D3547">
        <v>20</v>
      </c>
      <c r="E3547">
        <v>5</v>
      </c>
      <c r="F3547">
        <v>0</v>
      </c>
      <c r="G3547">
        <v>5</v>
      </c>
      <c r="H3547">
        <v>0</v>
      </c>
    </row>
    <row r="3548" spans="2:8">
      <c r="B3548" t="s">
        <v>25022</v>
      </c>
      <c r="C3548">
        <v>575</v>
      </c>
      <c r="D3548">
        <v>61</v>
      </c>
      <c r="E3548">
        <v>29</v>
      </c>
      <c r="F3548">
        <v>0</v>
      </c>
      <c r="G3548">
        <v>25</v>
      </c>
      <c r="H3548">
        <v>4</v>
      </c>
    </row>
    <row r="3549" spans="2:8">
      <c r="B3549" t="s">
        <v>25022</v>
      </c>
      <c r="C3549">
        <v>575</v>
      </c>
      <c r="D3549">
        <v>96</v>
      </c>
      <c r="E3549">
        <v>61</v>
      </c>
      <c r="F3549">
        <v>2</v>
      </c>
      <c r="G3549">
        <v>50</v>
      </c>
      <c r="H3549">
        <v>9</v>
      </c>
    </row>
    <row r="3550" spans="2:8">
      <c r="B3550" t="s">
        <v>25022</v>
      </c>
      <c r="C3550">
        <v>575</v>
      </c>
      <c r="D3550">
        <v>39</v>
      </c>
      <c r="E3550">
        <v>14</v>
      </c>
      <c r="F3550">
        <v>0</v>
      </c>
      <c r="G3550">
        <v>12</v>
      </c>
      <c r="H3550">
        <v>2</v>
      </c>
    </row>
    <row r="3551" spans="2:8">
      <c r="B3551" t="s">
        <v>25022</v>
      </c>
      <c r="C3551">
        <v>575</v>
      </c>
      <c r="D3551">
        <v>30</v>
      </c>
      <c r="E3551">
        <v>24</v>
      </c>
      <c r="F3551">
        <v>0</v>
      </c>
      <c r="G3551">
        <v>23</v>
      </c>
      <c r="H3551">
        <v>1</v>
      </c>
    </row>
    <row r="3552" spans="2:8">
      <c r="B3552" t="s">
        <v>25022</v>
      </c>
      <c r="C3552">
        <v>576</v>
      </c>
      <c r="D3552">
        <v>43</v>
      </c>
      <c r="E3552">
        <v>10</v>
      </c>
      <c r="F3552">
        <v>0</v>
      </c>
      <c r="G3552">
        <v>5</v>
      </c>
      <c r="H3552">
        <v>5</v>
      </c>
    </row>
    <row r="3553" spans="2:8">
      <c r="B3553" t="s">
        <v>25022</v>
      </c>
      <c r="C3553">
        <v>576</v>
      </c>
      <c r="D3553">
        <v>13</v>
      </c>
      <c r="E3553">
        <v>7</v>
      </c>
      <c r="F3553">
        <v>0</v>
      </c>
      <c r="G3553">
        <v>7</v>
      </c>
      <c r="H3553">
        <v>0</v>
      </c>
    </row>
    <row r="3554" spans="2:8">
      <c r="B3554" t="s">
        <v>25022</v>
      </c>
      <c r="C3554">
        <v>577</v>
      </c>
      <c r="D3554">
        <v>46</v>
      </c>
      <c r="E3554">
        <v>22</v>
      </c>
      <c r="F3554">
        <v>0</v>
      </c>
      <c r="G3554">
        <v>22</v>
      </c>
      <c r="H3554">
        <v>0</v>
      </c>
    </row>
    <row r="3555" spans="2:8">
      <c r="B3555" t="s">
        <v>25022</v>
      </c>
      <c r="C3555">
        <v>577</v>
      </c>
      <c r="D3555">
        <v>32</v>
      </c>
      <c r="E3555">
        <v>8</v>
      </c>
      <c r="F3555">
        <v>0</v>
      </c>
      <c r="G3555">
        <v>8</v>
      </c>
      <c r="H3555">
        <v>0</v>
      </c>
    </row>
    <row r="3556" spans="2:8">
      <c r="B3556" t="s">
        <v>25022</v>
      </c>
      <c r="C3556">
        <v>579</v>
      </c>
      <c r="D3556">
        <v>44</v>
      </c>
      <c r="E3556">
        <v>19</v>
      </c>
      <c r="F3556">
        <v>0</v>
      </c>
      <c r="G3556">
        <v>17</v>
      </c>
      <c r="H3556">
        <v>2</v>
      </c>
    </row>
    <row r="3557" spans="2:8">
      <c r="B3557" t="s">
        <v>25022</v>
      </c>
      <c r="C3557">
        <v>579</v>
      </c>
      <c r="D3557">
        <v>32</v>
      </c>
      <c r="E3557">
        <v>19</v>
      </c>
      <c r="F3557">
        <v>0</v>
      </c>
      <c r="G3557">
        <v>18</v>
      </c>
      <c r="H3557">
        <v>1</v>
      </c>
    </row>
    <row r="3558" spans="2:8">
      <c r="B3558" t="s">
        <v>25022</v>
      </c>
      <c r="C3558">
        <v>580</v>
      </c>
      <c r="D3558">
        <v>17</v>
      </c>
      <c r="E3558">
        <v>4</v>
      </c>
      <c r="F3558">
        <v>0</v>
      </c>
      <c r="G3558">
        <v>2</v>
      </c>
      <c r="H3558">
        <v>2</v>
      </c>
    </row>
    <row r="3559" spans="2:8">
      <c r="B3559" t="s">
        <v>25022</v>
      </c>
      <c r="C3559">
        <v>580</v>
      </c>
      <c r="D3559">
        <v>18</v>
      </c>
      <c r="E3559">
        <v>11</v>
      </c>
      <c r="F3559">
        <v>0</v>
      </c>
      <c r="G3559">
        <v>11</v>
      </c>
      <c r="H3559">
        <v>0</v>
      </c>
    </row>
    <row r="3560" spans="2:8">
      <c r="B3560" t="s">
        <v>25022</v>
      </c>
      <c r="C3560">
        <v>580</v>
      </c>
      <c r="D3560">
        <v>41</v>
      </c>
      <c r="E3560">
        <v>15</v>
      </c>
      <c r="F3560">
        <v>0</v>
      </c>
      <c r="G3560">
        <v>12</v>
      </c>
      <c r="H3560">
        <v>3</v>
      </c>
    </row>
    <row r="3561" spans="2:8">
      <c r="B3561" t="s">
        <v>25022</v>
      </c>
      <c r="C3561">
        <v>580</v>
      </c>
      <c r="D3561">
        <v>10</v>
      </c>
      <c r="E3561">
        <v>4</v>
      </c>
      <c r="F3561">
        <v>0</v>
      </c>
      <c r="G3561">
        <v>2</v>
      </c>
      <c r="H3561">
        <v>2</v>
      </c>
    </row>
    <row r="3562" spans="2:8">
      <c r="B3562" t="s">
        <v>25022</v>
      </c>
      <c r="C3562">
        <v>581</v>
      </c>
      <c r="D3562">
        <v>31</v>
      </c>
      <c r="E3562">
        <v>21</v>
      </c>
      <c r="F3562">
        <v>6</v>
      </c>
      <c r="G3562">
        <v>15</v>
      </c>
      <c r="H3562">
        <v>0</v>
      </c>
    </row>
    <row r="3563" spans="2:8">
      <c r="B3563" t="s">
        <v>25022</v>
      </c>
      <c r="C3563">
        <v>582</v>
      </c>
      <c r="D3563">
        <v>22</v>
      </c>
      <c r="E3563">
        <v>11</v>
      </c>
      <c r="F3563">
        <v>0</v>
      </c>
      <c r="G3563">
        <v>8</v>
      </c>
      <c r="H3563">
        <v>3</v>
      </c>
    </row>
    <row r="3564" spans="2:8">
      <c r="B3564" t="s">
        <v>25022</v>
      </c>
      <c r="C3564">
        <v>583</v>
      </c>
      <c r="D3564">
        <v>12</v>
      </c>
      <c r="E3564">
        <v>2</v>
      </c>
      <c r="F3564">
        <v>0</v>
      </c>
      <c r="G3564">
        <v>0</v>
      </c>
      <c r="H3564">
        <v>2</v>
      </c>
    </row>
    <row r="3565" spans="2:8">
      <c r="B3565" t="s">
        <v>25022</v>
      </c>
      <c r="C3565">
        <v>584</v>
      </c>
      <c r="D3565">
        <v>34</v>
      </c>
      <c r="E3565">
        <v>18</v>
      </c>
      <c r="F3565">
        <v>0</v>
      </c>
      <c r="G3565">
        <v>15</v>
      </c>
      <c r="H3565">
        <v>3</v>
      </c>
    </row>
    <row r="3566" spans="2:8">
      <c r="B3566" t="s">
        <v>25022</v>
      </c>
      <c r="C3566">
        <v>584</v>
      </c>
      <c r="D3566">
        <v>25</v>
      </c>
      <c r="E3566">
        <v>8</v>
      </c>
      <c r="F3566">
        <v>0</v>
      </c>
      <c r="G3566">
        <v>8</v>
      </c>
      <c r="H3566">
        <v>0</v>
      </c>
    </row>
    <row r="3567" spans="2:8">
      <c r="B3567" t="s">
        <v>25022</v>
      </c>
      <c r="C3567">
        <v>585</v>
      </c>
      <c r="D3567">
        <v>35</v>
      </c>
      <c r="E3567">
        <v>12</v>
      </c>
      <c r="F3567">
        <v>0</v>
      </c>
      <c r="G3567">
        <v>9</v>
      </c>
      <c r="H3567">
        <v>3</v>
      </c>
    </row>
    <row r="3568" spans="2:8">
      <c r="B3568" t="s">
        <v>25022</v>
      </c>
      <c r="C3568">
        <v>585</v>
      </c>
      <c r="D3568">
        <v>22</v>
      </c>
      <c r="E3568">
        <v>7</v>
      </c>
      <c r="F3568">
        <v>0</v>
      </c>
      <c r="G3568">
        <v>5</v>
      </c>
      <c r="H3568">
        <v>2</v>
      </c>
    </row>
    <row r="3569" spans="2:8">
      <c r="B3569" t="s">
        <v>25022</v>
      </c>
      <c r="C3569">
        <v>585</v>
      </c>
      <c r="D3569">
        <v>3</v>
      </c>
      <c r="E3569">
        <v>0</v>
      </c>
      <c r="F3569">
        <v>0</v>
      </c>
      <c r="G3569">
        <v>0</v>
      </c>
      <c r="H3569">
        <v>0</v>
      </c>
    </row>
    <row r="3570" spans="2:8">
      <c r="B3570" t="s">
        <v>25022</v>
      </c>
      <c r="C3570">
        <v>586</v>
      </c>
      <c r="D3570">
        <v>7</v>
      </c>
      <c r="E3570">
        <v>0</v>
      </c>
      <c r="F3570">
        <v>0</v>
      </c>
      <c r="G3570">
        <v>0</v>
      </c>
      <c r="H3570">
        <v>0</v>
      </c>
    </row>
    <row r="3571" spans="2:8">
      <c r="B3571" t="s">
        <v>25022</v>
      </c>
      <c r="C3571">
        <v>587</v>
      </c>
      <c r="D3571">
        <v>20</v>
      </c>
      <c r="E3571">
        <v>6</v>
      </c>
      <c r="F3571">
        <v>0</v>
      </c>
      <c r="G3571">
        <v>6</v>
      </c>
      <c r="H3571">
        <v>0</v>
      </c>
    </row>
    <row r="3572" spans="2:8">
      <c r="B3572" t="s">
        <v>25022</v>
      </c>
      <c r="C3572">
        <v>589</v>
      </c>
      <c r="D3572">
        <v>91</v>
      </c>
      <c r="E3572">
        <v>63</v>
      </c>
      <c r="F3572">
        <v>0</v>
      </c>
      <c r="G3572">
        <v>59</v>
      </c>
      <c r="H3572">
        <v>4</v>
      </c>
    </row>
    <row r="3573" spans="2:8">
      <c r="B3573" t="s">
        <v>25022</v>
      </c>
      <c r="C3573">
        <v>589</v>
      </c>
      <c r="D3573">
        <v>13</v>
      </c>
      <c r="E3573">
        <v>6</v>
      </c>
      <c r="F3573">
        <v>0</v>
      </c>
      <c r="G3573">
        <v>4</v>
      </c>
      <c r="H3573">
        <v>2</v>
      </c>
    </row>
    <row r="3574" spans="2:8">
      <c r="B3574" t="s">
        <v>25022</v>
      </c>
      <c r="C3574">
        <v>589</v>
      </c>
      <c r="D3574">
        <v>33</v>
      </c>
      <c r="E3574">
        <v>26</v>
      </c>
      <c r="F3574">
        <v>0</v>
      </c>
      <c r="G3574">
        <v>23</v>
      </c>
      <c r="H3574">
        <v>3</v>
      </c>
    </row>
    <row r="3575" spans="2:8">
      <c r="B3575" t="s">
        <v>25022</v>
      </c>
      <c r="C3575">
        <v>590</v>
      </c>
      <c r="D3575">
        <v>24</v>
      </c>
      <c r="E3575">
        <v>2</v>
      </c>
      <c r="F3575">
        <v>0</v>
      </c>
      <c r="G3575">
        <v>2</v>
      </c>
      <c r="H3575">
        <v>0</v>
      </c>
    </row>
    <row r="3576" spans="2:8">
      <c r="B3576" t="s">
        <v>25022</v>
      </c>
      <c r="C3576">
        <v>591</v>
      </c>
      <c r="D3576">
        <v>24</v>
      </c>
      <c r="E3576">
        <v>7</v>
      </c>
      <c r="F3576">
        <v>0</v>
      </c>
      <c r="G3576">
        <v>4</v>
      </c>
      <c r="H3576">
        <v>3</v>
      </c>
    </row>
    <row r="3577" spans="2:8">
      <c r="B3577" t="s">
        <v>25022</v>
      </c>
      <c r="C3577">
        <v>592</v>
      </c>
      <c r="D3577">
        <v>21</v>
      </c>
      <c r="E3577">
        <v>4</v>
      </c>
      <c r="F3577">
        <v>0</v>
      </c>
      <c r="G3577">
        <v>4</v>
      </c>
      <c r="H3577">
        <v>0</v>
      </c>
    </row>
    <row r="3578" spans="2:8">
      <c r="B3578" t="s">
        <v>25022</v>
      </c>
      <c r="C3578">
        <v>593</v>
      </c>
      <c r="D3578">
        <v>17</v>
      </c>
      <c r="E3578">
        <v>4</v>
      </c>
      <c r="F3578">
        <v>0</v>
      </c>
      <c r="G3578">
        <v>4</v>
      </c>
      <c r="H3578">
        <v>0</v>
      </c>
    </row>
    <row r="3579" spans="2:8">
      <c r="B3579" t="s">
        <v>25022</v>
      </c>
      <c r="C3579">
        <v>594</v>
      </c>
      <c r="D3579">
        <v>16</v>
      </c>
      <c r="E3579">
        <v>6</v>
      </c>
      <c r="F3579">
        <v>0</v>
      </c>
      <c r="G3579">
        <v>4</v>
      </c>
      <c r="H3579">
        <v>2</v>
      </c>
    </row>
    <row r="3580" spans="2:8">
      <c r="B3580" t="s">
        <v>25022</v>
      </c>
      <c r="C3580">
        <v>598</v>
      </c>
      <c r="D3580">
        <v>32</v>
      </c>
      <c r="E3580">
        <v>13</v>
      </c>
      <c r="F3580">
        <v>0</v>
      </c>
      <c r="G3580">
        <v>9</v>
      </c>
      <c r="H3580">
        <v>4</v>
      </c>
    </row>
    <row r="3581" spans="2:8">
      <c r="B3581" t="s">
        <v>25022</v>
      </c>
      <c r="C3581">
        <v>600</v>
      </c>
      <c r="D3581">
        <v>30</v>
      </c>
      <c r="E3581">
        <v>0</v>
      </c>
      <c r="F3581">
        <v>0</v>
      </c>
      <c r="G3581">
        <v>0</v>
      </c>
      <c r="H3581">
        <v>0</v>
      </c>
    </row>
    <row r="3582" spans="2:8">
      <c r="B3582" t="s">
        <v>25022</v>
      </c>
      <c r="C3582">
        <v>600</v>
      </c>
      <c r="D3582">
        <v>9</v>
      </c>
      <c r="E3582">
        <v>0</v>
      </c>
      <c r="F3582">
        <v>0</v>
      </c>
      <c r="G3582">
        <v>0</v>
      </c>
      <c r="H3582">
        <v>0</v>
      </c>
    </row>
    <row r="3583" spans="2:8">
      <c r="B3583" t="s">
        <v>25022</v>
      </c>
      <c r="C3583">
        <v>603</v>
      </c>
      <c r="D3583">
        <v>27</v>
      </c>
      <c r="E3583">
        <v>2</v>
      </c>
      <c r="F3583">
        <v>0</v>
      </c>
      <c r="G3583">
        <v>2</v>
      </c>
      <c r="H3583">
        <v>0</v>
      </c>
    </row>
    <row r="3584" spans="2:8">
      <c r="B3584" t="s">
        <v>25022</v>
      </c>
      <c r="C3584">
        <v>604</v>
      </c>
      <c r="D3584">
        <v>29</v>
      </c>
      <c r="E3584">
        <v>8</v>
      </c>
      <c r="F3584">
        <v>0</v>
      </c>
      <c r="G3584">
        <v>6</v>
      </c>
      <c r="H3584">
        <v>2</v>
      </c>
    </row>
    <row r="3585" spans="2:8">
      <c r="B3585" t="s">
        <v>25022</v>
      </c>
      <c r="C3585">
        <v>604</v>
      </c>
      <c r="D3585">
        <v>28</v>
      </c>
      <c r="E3585">
        <v>9</v>
      </c>
      <c r="F3585">
        <v>2</v>
      </c>
      <c r="G3585">
        <v>6</v>
      </c>
      <c r="H3585">
        <v>1</v>
      </c>
    </row>
    <row r="3586" spans="2:8">
      <c r="B3586" t="s">
        <v>25022</v>
      </c>
      <c r="C3586">
        <v>605</v>
      </c>
      <c r="D3586">
        <v>63</v>
      </c>
      <c r="E3586">
        <v>32</v>
      </c>
      <c r="F3586">
        <v>0</v>
      </c>
      <c r="G3586">
        <v>30</v>
      </c>
      <c r="H3586">
        <v>2</v>
      </c>
    </row>
    <row r="3587" spans="2:8">
      <c r="B3587" t="s">
        <v>25022</v>
      </c>
      <c r="C3587">
        <v>605</v>
      </c>
      <c r="D3587">
        <v>56</v>
      </c>
      <c r="E3587">
        <v>21</v>
      </c>
      <c r="F3587">
        <v>2</v>
      </c>
      <c r="G3587">
        <v>16</v>
      </c>
      <c r="H3587">
        <v>3</v>
      </c>
    </row>
    <row r="3588" spans="2:8">
      <c r="B3588" t="s">
        <v>25022</v>
      </c>
      <c r="C3588">
        <v>605</v>
      </c>
      <c r="D3588">
        <v>35</v>
      </c>
      <c r="E3588">
        <v>18</v>
      </c>
      <c r="F3588">
        <v>0</v>
      </c>
      <c r="G3588">
        <v>17</v>
      </c>
      <c r="H3588">
        <v>1</v>
      </c>
    </row>
    <row r="3589" spans="2:8">
      <c r="B3589" t="s">
        <v>25022</v>
      </c>
      <c r="C3589">
        <v>606</v>
      </c>
      <c r="D3589">
        <v>25</v>
      </c>
      <c r="E3589">
        <v>2</v>
      </c>
      <c r="F3589">
        <v>0</v>
      </c>
      <c r="G3589">
        <v>2</v>
      </c>
      <c r="H3589">
        <v>0</v>
      </c>
    </row>
    <row r="3590" spans="2:8">
      <c r="B3590" t="s">
        <v>25022</v>
      </c>
      <c r="C3590">
        <v>607</v>
      </c>
      <c r="D3590">
        <v>7</v>
      </c>
      <c r="E3590">
        <v>2</v>
      </c>
      <c r="F3590">
        <v>0</v>
      </c>
      <c r="G3590">
        <v>2</v>
      </c>
      <c r="H3590">
        <v>0</v>
      </c>
    </row>
    <row r="3591" spans="2:8">
      <c r="B3591" t="s">
        <v>25022</v>
      </c>
      <c r="C3591">
        <v>609</v>
      </c>
      <c r="D3591">
        <v>41</v>
      </c>
      <c r="E3591">
        <v>13</v>
      </c>
      <c r="F3591">
        <v>0</v>
      </c>
      <c r="G3591">
        <v>13</v>
      </c>
      <c r="H3591">
        <v>0</v>
      </c>
    </row>
    <row r="3592" spans="2:8">
      <c r="B3592" t="s">
        <v>25022</v>
      </c>
      <c r="C3592">
        <v>611</v>
      </c>
      <c r="D3592">
        <v>8</v>
      </c>
      <c r="E3592">
        <v>0</v>
      </c>
      <c r="F3592">
        <v>0</v>
      </c>
      <c r="G3592">
        <v>0</v>
      </c>
      <c r="H3592">
        <v>0</v>
      </c>
    </row>
    <row r="3593" spans="2:8">
      <c r="B3593" t="s">
        <v>25022</v>
      </c>
      <c r="C3593">
        <v>611</v>
      </c>
      <c r="D3593">
        <v>12</v>
      </c>
      <c r="E3593">
        <v>0</v>
      </c>
      <c r="F3593">
        <v>0</v>
      </c>
      <c r="G3593">
        <v>0</v>
      </c>
      <c r="H3593">
        <v>0</v>
      </c>
    </row>
    <row r="3594" spans="2:8">
      <c r="B3594" t="s">
        <v>25022</v>
      </c>
      <c r="C3594">
        <v>612</v>
      </c>
      <c r="D3594">
        <v>74</v>
      </c>
      <c r="E3594">
        <v>36</v>
      </c>
      <c r="F3594">
        <v>0</v>
      </c>
      <c r="G3594">
        <v>31</v>
      </c>
      <c r="H3594">
        <v>5</v>
      </c>
    </row>
    <row r="3595" spans="2:8">
      <c r="B3595" t="s">
        <v>25022</v>
      </c>
      <c r="C3595">
        <v>612</v>
      </c>
      <c r="D3595">
        <v>4</v>
      </c>
      <c r="E3595">
        <v>0</v>
      </c>
      <c r="F3595">
        <v>0</v>
      </c>
      <c r="G3595">
        <v>0</v>
      </c>
      <c r="H3595">
        <v>0</v>
      </c>
    </row>
    <row r="3596" spans="2:8">
      <c r="B3596" t="s">
        <v>25022</v>
      </c>
      <c r="C3596">
        <v>612</v>
      </c>
      <c r="D3596">
        <v>5</v>
      </c>
      <c r="E3596">
        <v>0</v>
      </c>
      <c r="F3596">
        <v>0</v>
      </c>
      <c r="G3596">
        <v>0</v>
      </c>
      <c r="H3596">
        <v>0</v>
      </c>
    </row>
    <row r="3597" spans="2:8">
      <c r="B3597" t="s">
        <v>25022</v>
      </c>
      <c r="C3597">
        <v>614</v>
      </c>
      <c r="D3597">
        <v>18</v>
      </c>
      <c r="E3597">
        <v>9</v>
      </c>
      <c r="F3597">
        <v>0</v>
      </c>
      <c r="G3597">
        <v>9</v>
      </c>
      <c r="H3597">
        <v>0</v>
      </c>
    </row>
    <row r="3598" spans="2:8">
      <c r="B3598" t="s">
        <v>25022</v>
      </c>
      <c r="C3598">
        <v>614</v>
      </c>
      <c r="D3598">
        <v>11</v>
      </c>
      <c r="E3598">
        <v>3</v>
      </c>
      <c r="F3598">
        <v>0</v>
      </c>
      <c r="G3598">
        <v>3</v>
      </c>
      <c r="H3598">
        <v>0</v>
      </c>
    </row>
    <row r="3599" spans="2:8">
      <c r="B3599" t="s">
        <v>25022</v>
      </c>
      <c r="C3599">
        <v>620</v>
      </c>
      <c r="D3599">
        <v>48</v>
      </c>
      <c r="E3599">
        <v>13</v>
      </c>
      <c r="F3599">
        <v>0</v>
      </c>
      <c r="G3599">
        <v>10</v>
      </c>
      <c r="H3599">
        <v>3</v>
      </c>
    </row>
    <row r="3600" spans="2:8">
      <c r="B3600" t="s">
        <v>25022</v>
      </c>
      <c r="C3600">
        <v>622</v>
      </c>
      <c r="D3600">
        <v>74</v>
      </c>
      <c r="E3600">
        <v>49</v>
      </c>
      <c r="F3600">
        <v>0</v>
      </c>
      <c r="G3600">
        <v>45</v>
      </c>
      <c r="H3600">
        <v>4</v>
      </c>
    </row>
    <row r="3601" spans="2:8">
      <c r="B3601" t="s">
        <v>25022</v>
      </c>
      <c r="C3601">
        <v>622</v>
      </c>
      <c r="D3601">
        <v>8</v>
      </c>
      <c r="E3601">
        <v>4</v>
      </c>
      <c r="F3601">
        <v>0</v>
      </c>
      <c r="G3601">
        <v>4</v>
      </c>
      <c r="H3601">
        <v>0</v>
      </c>
    </row>
    <row r="3602" spans="2:8">
      <c r="B3602" t="s">
        <v>25022</v>
      </c>
      <c r="C3602">
        <v>626</v>
      </c>
      <c r="D3602">
        <v>15</v>
      </c>
      <c r="E3602">
        <v>5</v>
      </c>
      <c r="F3602">
        <v>0</v>
      </c>
      <c r="G3602">
        <v>5</v>
      </c>
      <c r="H3602">
        <v>0</v>
      </c>
    </row>
    <row r="3603" spans="2:8">
      <c r="B3603" t="s">
        <v>25022</v>
      </c>
      <c r="C3603">
        <v>627</v>
      </c>
      <c r="D3603">
        <v>39</v>
      </c>
      <c r="E3603">
        <v>20</v>
      </c>
      <c r="F3603">
        <v>0</v>
      </c>
      <c r="G3603">
        <v>17</v>
      </c>
      <c r="H3603">
        <v>3</v>
      </c>
    </row>
    <row r="3604" spans="2:8">
      <c r="B3604" t="s">
        <v>25022</v>
      </c>
      <c r="C3604">
        <v>627</v>
      </c>
      <c r="D3604">
        <v>37</v>
      </c>
      <c r="E3604">
        <v>13</v>
      </c>
      <c r="F3604">
        <v>0</v>
      </c>
      <c r="G3604">
        <v>13</v>
      </c>
      <c r="H3604">
        <v>0</v>
      </c>
    </row>
    <row r="3605" spans="2:8">
      <c r="B3605" t="s">
        <v>25022</v>
      </c>
      <c r="C3605">
        <v>628</v>
      </c>
      <c r="D3605">
        <v>8</v>
      </c>
      <c r="E3605">
        <v>0</v>
      </c>
      <c r="F3605">
        <v>0</v>
      </c>
      <c r="G3605">
        <v>0</v>
      </c>
      <c r="H3605">
        <v>0</v>
      </c>
    </row>
    <row r="3606" spans="2:8">
      <c r="B3606" t="s">
        <v>25022</v>
      </c>
      <c r="C3606">
        <v>629</v>
      </c>
      <c r="D3606">
        <v>31</v>
      </c>
      <c r="E3606">
        <v>17</v>
      </c>
      <c r="F3606">
        <v>0</v>
      </c>
      <c r="G3606">
        <v>16</v>
      </c>
      <c r="H3606">
        <v>1</v>
      </c>
    </row>
    <row r="3607" spans="2:8">
      <c r="B3607" t="s">
        <v>25022</v>
      </c>
      <c r="C3607">
        <v>631</v>
      </c>
      <c r="D3607">
        <v>94</v>
      </c>
      <c r="E3607">
        <v>64</v>
      </c>
      <c r="F3607">
        <v>2</v>
      </c>
      <c r="G3607">
        <v>54</v>
      </c>
      <c r="H3607">
        <v>8</v>
      </c>
    </row>
    <row r="3608" spans="2:8">
      <c r="B3608" t="s">
        <v>25022</v>
      </c>
      <c r="C3608">
        <v>631</v>
      </c>
      <c r="D3608">
        <v>9</v>
      </c>
      <c r="E3608">
        <v>5</v>
      </c>
      <c r="F3608">
        <v>0</v>
      </c>
      <c r="G3608">
        <v>5</v>
      </c>
      <c r="H3608">
        <v>0</v>
      </c>
    </row>
    <row r="3609" spans="2:8">
      <c r="B3609" t="s">
        <v>25022</v>
      </c>
      <c r="C3609">
        <v>632</v>
      </c>
      <c r="D3609">
        <v>14</v>
      </c>
      <c r="E3609">
        <v>4</v>
      </c>
      <c r="F3609">
        <v>0</v>
      </c>
      <c r="G3609">
        <v>2</v>
      </c>
      <c r="H3609">
        <v>2</v>
      </c>
    </row>
    <row r="3610" spans="2:8">
      <c r="B3610" t="s">
        <v>25022</v>
      </c>
      <c r="C3610">
        <v>633</v>
      </c>
      <c r="D3610">
        <v>17</v>
      </c>
      <c r="E3610">
        <v>4</v>
      </c>
      <c r="F3610">
        <v>0</v>
      </c>
      <c r="G3610">
        <v>4</v>
      </c>
      <c r="H3610">
        <v>0</v>
      </c>
    </row>
    <row r="3611" spans="2:8">
      <c r="B3611" t="s">
        <v>25022</v>
      </c>
      <c r="C3611">
        <v>635</v>
      </c>
      <c r="D3611">
        <v>12</v>
      </c>
      <c r="E3611">
        <v>5</v>
      </c>
      <c r="F3611">
        <v>0</v>
      </c>
      <c r="G3611">
        <v>5</v>
      </c>
      <c r="H3611">
        <v>0</v>
      </c>
    </row>
    <row r="3612" spans="2:8">
      <c r="B3612" t="s">
        <v>25022</v>
      </c>
      <c r="C3612">
        <v>637</v>
      </c>
      <c r="D3612">
        <v>31</v>
      </c>
      <c r="E3612">
        <v>12</v>
      </c>
      <c r="F3612">
        <v>0</v>
      </c>
      <c r="G3612">
        <v>12</v>
      </c>
      <c r="H3612">
        <v>0</v>
      </c>
    </row>
    <row r="3613" spans="2:8">
      <c r="B3613" t="s">
        <v>25022</v>
      </c>
      <c r="C3613">
        <v>637</v>
      </c>
      <c r="D3613">
        <v>22</v>
      </c>
      <c r="E3613">
        <v>8</v>
      </c>
      <c r="F3613">
        <v>0</v>
      </c>
      <c r="G3613">
        <v>8</v>
      </c>
      <c r="H3613">
        <v>0</v>
      </c>
    </row>
    <row r="3614" spans="2:8">
      <c r="B3614" t="s">
        <v>25022</v>
      </c>
      <c r="C3614">
        <v>637</v>
      </c>
      <c r="D3614">
        <v>3</v>
      </c>
      <c r="E3614">
        <v>0</v>
      </c>
      <c r="F3614">
        <v>0</v>
      </c>
      <c r="G3614">
        <v>0</v>
      </c>
      <c r="H3614">
        <v>0</v>
      </c>
    </row>
    <row r="3615" spans="2:8">
      <c r="B3615" t="s">
        <v>25022</v>
      </c>
      <c r="C3615">
        <v>638</v>
      </c>
      <c r="D3615">
        <v>69</v>
      </c>
      <c r="E3615">
        <v>40</v>
      </c>
      <c r="F3615">
        <v>0</v>
      </c>
      <c r="G3615">
        <v>38</v>
      </c>
      <c r="H3615">
        <v>2</v>
      </c>
    </row>
    <row r="3616" spans="2:8">
      <c r="B3616" t="s">
        <v>25022</v>
      </c>
      <c r="C3616">
        <v>638</v>
      </c>
      <c r="D3616">
        <v>35</v>
      </c>
      <c r="E3616">
        <v>13</v>
      </c>
      <c r="F3616">
        <v>0</v>
      </c>
      <c r="G3616">
        <v>13</v>
      </c>
      <c r="H3616">
        <v>0</v>
      </c>
    </row>
    <row r="3617" spans="2:8">
      <c r="B3617" t="s">
        <v>25022</v>
      </c>
      <c r="C3617">
        <v>638</v>
      </c>
      <c r="D3617">
        <v>13</v>
      </c>
      <c r="E3617">
        <v>0</v>
      </c>
      <c r="F3617">
        <v>0</v>
      </c>
      <c r="G3617">
        <v>0</v>
      </c>
      <c r="H3617">
        <v>0</v>
      </c>
    </row>
    <row r="3618" spans="2:8">
      <c r="B3618" t="s">
        <v>25022</v>
      </c>
      <c r="C3618">
        <v>638</v>
      </c>
      <c r="D3618">
        <v>12</v>
      </c>
      <c r="E3618">
        <v>4</v>
      </c>
      <c r="F3618">
        <v>0</v>
      </c>
      <c r="G3618">
        <v>0</v>
      </c>
      <c r="H3618">
        <v>4</v>
      </c>
    </row>
    <row r="3619" spans="2:8">
      <c r="B3619" t="s">
        <v>25022</v>
      </c>
      <c r="C3619">
        <v>639</v>
      </c>
      <c r="D3619">
        <v>16</v>
      </c>
      <c r="E3619">
        <v>4</v>
      </c>
      <c r="F3619">
        <v>0</v>
      </c>
      <c r="G3619">
        <v>4</v>
      </c>
      <c r="H3619">
        <v>0</v>
      </c>
    </row>
    <row r="3620" spans="2:8">
      <c r="B3620" t="s">
        <v>25022</v>
      </c>
      <c r="C3620">
        <v>641</v>
      </c>
      <c r="D3620">
        <v>38</v>
      </c>
      <c r="E3620">
        <v>14</v>
      </c>
      <c r="F3620">
        <v>0</v>
      </c>
      <c r="G3620">
        <v>14</v>
      </c>
      <c r="H3620">
        <v>0</v>
      </c>
    </row>
    <row r="3621" spans="2:8">
      <c r="B3621" t="s">
        <v>25022</v>
      </c>
      <c r="C3621">
        <v>641</v>
      </c>
      <c r="D3621">
        <v>4</v>
      </c>
      <c r="E3621">
        <v>2</v>
      </c>
      <c r="F3621">
        <v>0</v>
      </c>
      <c r="G3621">
        <v>2</v>
      </c>
      <c r="H3621">
        <v>0</v>
      </c>
    </row>
    <row r="3622" spans="2:8">
      <c r="B3622" t="s">
        <v>25022</v>
      </c>
      <c r="C3622">
        <v>643</v>
      </c>
      <c r="D3622">
        <v>12</v>
      </c>
      <c r="E3622">
        <v>0</v>
      </c>
      <c r="F3622">
        <v>0</v>
      </c>
      <c r="G3622">
        <v>0</v>
      </c>
      <c r="H3622">
        <v>0</v>
      </c>
    </row>
    <row r="3623" spans="2:8">
      <c r="B3623" t="s">
        <v>25022</v>
      </c>
      <c r="C3623">
        <v>646</v>
      </c>
      <c r="D3623">
        <v>109</v>
      </c>
      <c r="E3623">
        <v>41</v>
      </c>
      <c r="F3623">
        <v>0</v>
      </c>
      <c r="G3623">
        <v>31</v>
      </c>
      <c r="H3623">
        <v>10</v>
      </c>
    </row>
    <row r="3624" spans="2:8">
      <c r="B3624" t="s">
        <v>25022</v>
      </c>
      <c r="C3624">
        <v>646</v>
      </c>
      <c r="D3624">
        <v>40</v>
      </c>
      <c r="E3624">
        <v>20</v>
      </c>
      <c r="F3624">
        <v>0</v>
      </c>
      <c r="G3624">
        <v>16</v>
      </c>
      <c r="H3624">
        <v>4</v>
      </c>
    </row>
    <row r="3625" spans="2:8">
      <c r="B3625" t="s">
        <v>25022</v>
      </c>
      <c r="C3625">
        <v>646</v>
      </c>
      <c r="D3625">
        <v>20</v>
      </c>
      <c r="E3625">
        <v>4</v>
      </c>
      <c r="F3625">
        <v>0</v>
      </c>
      <c r="G3625">
        <v>4</v>
      </c>
      <c r="H3625">
        <v>0</v>
      </c>
    </row>
    <row r="3626" spans="2:8">
      <c r="B3626" t="s">
        <v>25022</v>
      </c>
      <c r="C3626">
        <v>646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2:8">
      <c r="B3627" t="s">
        <v>25022</v>
      </c>
      <c r="C3627">
        <v>648</v>
      </c>
      <c r="D3627">
        <v>67</v>
      </c>
      <c r="E3627">
        <v>26</v>
      </c>
      <c r="F3627">
        <v>0</v>
      </c>
      <c r="G3627">
        <v>24</v>
      </c>
      <c r="H3627">
        <v>2</v>
      </c>
    </row>
    <row r="3628" spans="2:8">
      <c r="B3628" t="s">
        <v>25022</v>
      </c>
      <c r="C3628">
        <v>648</v>
      </c>
      <c r="D3628">
        <v>10</v>
      </c>
      <c r="E3628">
        <v>0</v>
      </c>
      <c r="F3628">
        <v>0</v>
      </c>
      <c r="G3628">
        <v>0</v>
      </c>
      <c r="H3628">
        <v>0</v>
      </c>
    </row>
    <row r="3629" spans="2:8">
      <c r="B3629" t="s">
        <v>25022</v>
      </c>
      <c r="C3629">
        <v>649</v>
      </c>
      <c r="D3629">
        <v>8</v>
      </c>
      <c r="E3629">
        <v>0</v>
      </c>
      <c r="F3629">
        <v>0</v>
      </c>
      <c r="G3629">
        <v>0</v>
      </c>
      <c r="H3629">
        <v>0</v>
      </c>
    </row>
    <row r="3630" spans="2:8">
      <c r="B3630" t="s">
        <v>25022</v>
      </c>
      <c r="C3630">
        <v>650</v>
      </c>
      <c r="D3630">
        <v>53</v>
      </c>
      <c r="E3630">
        <v>20</v>
      </c>
      <c r="F3630">
        <v>0</v>
      </c>
      <c r="G3630">
        <v>17</v>
      </c>
      <c r="H3630">
        <v>3</v>
      </c>
    </row>
    <row r="3631" spans="2:8">
      <c r="B3631" t="s">
        <v>25022</v>
      </c>
      <c r="C3631">
        <v>655</v>
      </c>
      <c r="D3631">
        <v>47</v>
      </c>
      <c r="E3631">
        <v>27</v>
      </c>
      <c r="F3631">
        <v>0</v>
      </c>
      <c r="G3631">
        <v>25</v>
      </c>
      <c r="H3631">
        <v>2</v>
      </c>
    </row>
    <row r="3632" spans="2:8">
      <c r="B3632" t="s">
        <v>25022</v>
      </c>
      <c r="C3632">
        <v>655</v>
      </c>
      <c r="D3632">
        <v>7</v>
      </c>
      <c r="E3632">
        <v>2</v>
      </c>
      <c r="F3632">
        <v>0</v>
      </c>
      <c r="G3632">
        <v>2</v>
      </c>
      <c r="H3632">
        <v>0</v>
      </c>
    </row>
    <row r="3633" spans="2:8">
      <c r="B3633" t="s">
        <v>25022</v>
      </c>
      <c r="C3633">
        <v>657</v>
      </c>
      <c r="D3633">
        <v>79</v>
      </c>
      <c r="E3633">
        <v>48</v>
      </c>
      <c r="F3633">
        <v>0</v>
      </c>
      <c r="G3633">
        <v>47</v>
      </c>
      <c r="H3633">
        <v>1</v>
      </c>
    </row>
    <row r="3634" spans="2:8">
      <c r="B3634" t="s">
        <v>25022</v>
      </c>
      <c r="C3634">
        <v>659</v>
      </c>
      <c r="D3634">
        <v>48</v>
      </c>
      <c r="E3634">
        <v>18</v>
      </c>
      <c r="F3634">
        <v>0</v>
      </c>
      <c r="G3634">
        <v>17</v>
      </c>
      <c r="H3634">
        <v>1</v>
      </c>
    </row>
    <row r="3635" spans="2:8">
      <c r="B3635" t="s">
        <v>25022</v>
      </c>
      <c r="C3635">
        <v>659</v>
      </c>
      <c r="D3635">
        <v>19</v>
      </c>
      <c r="E3635">
        <v>4</v>
      </c>
      <c r="F3635">
        <v>0</v>
      </c>
      <c r="G3635">
        <v>4</v>
      </c>
      <c r="H3635">
        <v>0</v>
      </c>
    </row>
    <row r="3636" spans="2:8">
      <c r="B3636" t="s">
        <v>25022</v>
      </c>
      <c r="C3636">
        <v>661</v>
      </c>
      <c r="D3636">
        <v>15</v>
      </c>
      <c r="E3636">
        <v>5</v>
      </c>
      <c r="F3636">
        <v>0</v>
      </c>
      <c r="G3636">
        <v>5</v>
      </c>
      <c r="H3636">
        <v>0</v>
      </c>
    </row>
    <row r="3637" spans="2:8">
      <c r="B3637" t="s">
        <v>25022</v>
      </c>
      <c r="C3637">
        <v>661</v>
      </c>
      <c r="D3637">
        <v>5</v>
      </c>
      <c r="E3637">
        <v>4</v>
      </c>
      <c r="F3637">
        <v>0</v>
      </c>
      <c r="G3637">
        <v>4</v>
      </c>
      <c r="H3637">
        <v>0</v>
      </c>
    </row>
    <row r="3638" spans="2:8">
      <c r="B3638" t="s">
        <v>25022</v>
      </c>
      <c r="C3638">
        <v>662</v>
      </c>
      <c r="D3638">
        <v>32</v>
      </c>
      <c r="E3638">
        <v>10</v>
      </c>
      <c r="F3638">
        <v>0</v>
      </c>
      <c r="G3638">
        <v>10</v>
      </c>
      <c r="H3638">
        <v>0</v>
      </c>
    </row>
    <row r="3639" spans="2:8">
      <c r="B3639" t="s">
        <v>25022</v>
      </c>
      <c r="C3639">
        <v>662</v>
      </c>
      <c r="D3639">
        <v>22</v>
      </c>
      <c r="E3639">
        <v>10</v>
      </c>
      <c r="F3639">
        <v>0</v>
      </c>
      <c r="G3639">
        <v>9</v>
      </c>
      <c r="H3639">
        <v>1</v>
      </c>
    </row>
    <row r="3640" spans="2:8">
      <c r="B3640" t="s">
        <v>25022</v>
      </c>
      <c r="C3640">
        <v>662</v>
      </c>
      <c r="D3640">
        <v>13</v>
      </c>
      <c r="E3640">
        <v>0</v>
      </c>
      <c r="F3640">
        <v>0</v>
      </c>
      <c r="G3640">
        <v>0</v>
      </c>
      <c r="H3640">
        <v>0</v>
      </c>
    </row>
    <row r="3641" spans="2:8">
      <c r="B3641" t="s">
        <v>25022</v>
      </c>
      <c r="C3641">
        <v>663</v>
      </c>
      <c r="D3641">
        <v>66</v>
      </c>
      <c r="E3641">
        <v>30</v>
      </c>
      <c r="F3641">
        <v>0</v>
      </c>
      <c r="G3641">
        <v>26</v>
      </c>
      <c r="H3641">
        <v>4</v>
      </c>
    </row>
    <row r="3642" spans="2:8">
      <c r="B3642" t="s">
        <v>25022</v>
      </c>
      <c r="C3642">
        <v>664</v>
      </c>
      <c r="D3642">
        <v>14</v>
      </c>
      <c r="E3642">
        <v>7</v>
      </c>
      <c r="F3642">
        <v>0</v>
      </c>
      <c r="G3642">
        <v>7</v>
      </c>
      <c r="H3642">
        <v>0</v>
      </c>
    </row>
    <row r="3643" spans="2:8">
      <c r="B3643" t="s">
        <v>25022</v>
      </c>
      <c r="C3643">
        <v>667</v>
      </c>
      <c r="D3643">
        <v>47</v>
      </c>
      <c r="E3643">
        <v>22</v>
      </c>
      <c r="F3643">
        <v>0</v>
      </c>
      <c r="G3643">
        <v>22</v>
      </c>
      <c r="H3643">
        <v>0</v>
      </c>
    </row>
    <row r="3644" spans="2:8">
      <c r="B3644" t="s">
        <v>25022</v>
      </c>
      <c r="C3644">
        <v>667</v>
      </c>
      <c r="D3644">
        <v>10</v>
      </c>
      <c r="E3644">
        <v>4</v>
      </c>
      <c r="F3644">
        <v>0</v>
      </c>
      <c r="G3644">
        <v>4</v>
      </c>
      <c r="H3644">
        <v>0</v>
      </c>
    </row>
    <row r="3645" spans="2:8">
      <c r="B3645" t="s">
        <v>25022</v>
      </c>
      <c r="C3645">
        <v>668</v>
      </c>
      <c r="D3645">
        <v>24</v>
      </c>
      <c r="E3645">
        <v>6</v>
      </c>
      <c r="F3645">
        <v>0</v>
      </c>
      <c r="G3645">
        <v>6</v>
      </c>
      <c r="H3645">
        <v>0</v>
      </c>
    </row>
    <row r="3646" spans="2:8">
      <c r="B3646" t="s">
        <v>25022</v>
      </c>
      <c r="C3646">
        <v>668</v>
      </c>
      <c r="D3646">
        <v>26</v>
      </c>
      <c r="E3646">
        <v>4</v>
      </c>
      <c r="F3646">
        <v>0</v>
      </c>
      <c r="G3646">
        <v>4</v>
      </c>
      <c r="H3646">
        <v>0</v>
      </c>
    </row>
    <row r="3647" spans="2:8">
      <c r="B3647" t="s">
        <v>25022</v>
      </c>
      <c r="C3647">
        <v>670</v>
      </c>
      <c r="D3647">
        <v>13</v>
      </c>
      <c r="E3647">
        <v>5</v>
      </c>
      <c r="F3647">
        <v>0</v>
      </c>
      <c r="G3647">
        <v>5</v>
      </c>
      <c r="H3647">
        <v>0</v>
      </c>
    </row>
    <row r="3648" spans="2:8">
      <c r="B3648" t="s">
        <v>25022</v>
      </c>
      <c r="C3648">
        <v>670</v>
      </c>
      <c r="D3648">
        <v>6</v>
      </c>
      <c r="E3648">
        <v>2</v>
      </c>
      <c r="F3648">
        <v>0</v>
      </c>
      <c r="G3648">
        <v>2</v>
      </c>
      <c r="H3648">
        <v>0</v>
      </c>
    </row>
    <row r="3649" spans="2:8">
      <c r="B3649" t="s">
        <v>25022</v>
      </c>
      <c r="C3649">
        <v>672</v>
      </c>
      <c r="D3649">
        <v>27</v>
      </c>
      <c r="E3649">
        <v>4</v>
      </c>
      <c r="F3649">
        <v>0</v>
      </c>
      <c r="G3649">
        <v>2</v>
      </c>
      <c r="H3649">
        <v>2</v>
      </c>
    </row>
    <row r="3650" spans="2:8">
      <c r="B3650" t="s">
        <v>25022</v>
      </c>
      <c r="C3650">
        <v>673</v>
      </c>
      <c r="D3650">
        <v>23</v>
      </c>
      <c r="E3650">
        <v>0</v>
      </c>
      <c r="F3650">
        <v>0</v>
      </c>
      <c r="G3650">
        <v>0</v>
      </c>
      <c r="H3650">
        <v>0</v>
      </c>
    </row>
    <row r="3651" spans="2:8">
      <c r="B3651" t="s">
        <v>25022</v>
      </c>
      <c r="C3651">
        <v>673</v>
      </c>
      <c r="D3651">
        <v>31</v>
      </c>
      <c r="E3651">
        <v>12</v>
      </c>
      <c r="F3651">
        <v>0</v>
      </c>
      <c r="G3651">
        <v>10</v>
      </c>
      <c r="H3651">
        <v>2</v>
      </c>
    </row>
    <row r="3652" spans="2:8">
      <c r="B3652" t="s">
        <v>25022</v>
      </c>
      <c r="C3652">
        <v>677</v>
      </c>
      <c r="D3652">
        <v>66</v>
      </c>
      <c r="E3652">
        <v>30</v>
      </c>
      <c r="F3652">
        <v>0</v>
      </c>
      <c r="G3652">
        <v>28</v>
      </c>
      <c r="H3652">
        <v>2</v>
      </c>
    </row>
    <row r="3653" spans="2:8">
      <c r="B3653" t="s">
        <v>25022</v>
      </c>
      <c r="C3653">
        <v>677</v>
      </c>
      <c r="D3653">
        <v>2</v>
      </c>
      <c r="E3653">
        <v>0</v>
      </c>
      <c r="F3653">
        <v>0</v>
      </c>
      <c r="G3653">
        <v>0</v>
      </c>
      <c r="H3653">
        <v>0</v>
      </c>
    </row>
    <row r="3654" spans="2:8">
      <c r="B3654" t="s">
        <v>25022</v>
      </c>
      <c r="C3654">
        <v>679</v>
      </c>
      <c r="D3654">
        <v>25</v>
      </c>
      <c r="E3654">
        <v>12</v>
      </c>
      <c r="F3654">
        <v>0</v>
      </c>
      <c r="G3654">
        <v>12</v>
      </c>
      <c r="H3654">
        <v>0</v>
      </c>
    </row>
    <row r="3655" spans="2:8">
      <c r="B3655" t="s">
        <v>25022</v>
      </c>
      <c r="C3655">
        <v>682</v>
      </c>
      <c r="D3655">
        <v>18</v>
      </c>
      <c r="E3655">
        <v>6</v>
      </c>
      <c r="F3655">
        <v>0</v>
      </c>
      <c r="G3655">
        <v>6</v>
      </c>
      <c r="H3655">
        <v>0</v>
      </c>
    </row>
    <row r="3656" spans="2:8">
      <c r="B3656" t="s">
        <v>25022</v>
      </c>
      <c r="C3656">
        <v>686</v>
      </c>
      <c r="D3656">
        <v>65</v>
      </c>
      <c r="E3656">
        <v>42</v>
      </c>
      <c r="F3656">
        <v>0</v>
      </c>
      <c r="G3656">
        <v>40</v>
      </c>
      <c r="H3656">
        <v>2</v>
      </c>
    </row>
    <row r="3657" spans="2:8">
      <c r="B3657" t="s">
        <v>25022</v>
      </c>
      <c r="C3657">
        <v>687</v>
      </c>
      <c r="D3657">
        <v>47</v>
      </c>
      <c r="E3657">
        <v>16</v>
      </c>
      <c r="F3657">
        <v>0</v>
      </c>
      <c r="G3657">
        <v>16</v>
      </c>
      <c r="H3657">
        <v>0</v>
      </c>
    </row>
    <row r="3658" spans="2:8">
      <c r="B3658" t="s">
        <v>25022</v>
      </c>
      <c r="C3658">
        <v>689</v>
      </c>
      <c r="D3658">
        <v>43</v>
      </c>
      <c r="E3658">
        <v>23</v>
      </c>
      <c r="F3658">
        <v>0</v>
      </c>
      <c r="G3658">
        <v>16</v>
      </c>
      <c r="H3658">
        <v>7</v>
      </c>
    </row>
    <row r="3659" spans="2:8">
      <c r="B3659" t="s">
        <v>25022</v>
      </c>
      <c r="C3659">
        <v>691</v>
      </c>
      <c r="D3659">
        <v>3</v>
      </c>
      <c r="E3659">
        <v>0</v>
      </c>
      <c r="F3659">
        <v>0</v>
      </c>
      <c r="G3659">
        <v>0</v>
      </c>
      <c r="H3659">
        <v>0</v>
      </c>
    </row>
    <row r="3660" spans="2:8">
      <c r="B3660" t="s">
        <v>25022</v>
      </c>
      <c r="C3660">
        <v>692</v>
      </c>
      <c r="D3660">
        <v>16</v>
      </c>
      <c r="E3660">
        <v>0</v>
      </c>
      <c r="F3660">
        <v>0</v>
      </c>
      <c r="G3660">
        <v>0</v>
      </c>
      <c r="H3660">
        <v>0</v>
      </c>
    </row>
    <row r="3661" spans="2:8">
      <c r="B3661" t="s">
        <v>25022</v>
      </c>
      <c r="C3661">
        <v>692</v>
      </c>
      <c r="D3661">
        <v>15</v>
      </c>
      <c r="E3661">
        <v>0</v>
      </c>
      <c r="F3661">
        <v>0</v>
      </c>
      <c r="G3661">
        <v>0</v>
      </c>
      <c r="H3661">
        <v>0</v>
      </c>
    </row>
    <row r="3662" spans="2:8">
      <c r="B3662" t="s">
        <v>25022</v>
      </c>
      <c r="C3662">
        <v>694</v>
      </c>
      <c r="D3662">
        <v>43</v>
      </c>
      <c r="E3662">
        <v>23</v>
      </c>
      <c r="F3662">
        <v>0</v>
      </c>
      <c r="G3662">
        <v>19</v>
      </c>
      <c r="H3662">
        <v>4</v>
      </c>
    </row>
    <row r="3663" spans="2:8">
      <c r="B3663" t="s">
        <v>25022</v>
      </c>
      <c r="C3663">
        <v>699</v>
      </c>
      <c r="D3663">
        <v>18</v>
      </c>
      <c r="E3663">
        <v>5</v>
      </c>
      <c r="F3663">
        <v>0</v>
      </c>
      <c r="G3663">
        <v>4</v>
      </c>
      <c r="H3663">
        <v>1</v>
      </c>
    </row>
    <row r="3664" spans="2:8">
      <c r="B3664" t="s">
        <v>25022</v>
      </c>
      <c r="C3664">
        <v>700</v>
      </c>
      <c r="D3664">
        <v>18</v>
      </c>
      <c r="E3664">
        <v>12</v>
      </c>
      <c r="F3664">
        <v>0</v>
      </c>
      <c r="G3664">
        <v>8</v>
      </c>
      <c r="H3664">
        <v>4</v>
      </c>
    </row>
    <row r="3665" spans="2:8">
      <c r="B3665" t="s">
        <v>25022</v>
      </c>
      <c r="C3665">
        <v>702</v>
      </c>
      <c r="D3665">
        <v>65</v>
      </c>
      <c r="E3665">
        <v>24</v>
      </c>
      <c r="F3665">
        <v>0</v>
      </c>
      <c r="G3665">
        <v>23</v>
      </c>
      <c r="H3665">
        <v>1</v>
      </c>
    </row>
    <row r="3666" spans="2:8">
      <c r="B3666" t="s">
        <v>25022</v>
      </c>
      <c r="C3666">
        <v>703</v>
      </c>
      <c r="D3666">
        <v>60</v>
      </c>
      <c r="E3666">
        <v>25</v>
      </c>
      <c r="F3666">
        <v>0</v>
      </c>
      <c r="G3666">
        <v>20</v>
      </c>
      <c r="H3666">
        <v>5</v>
      </c>
    </row>
    <row r="3667" spans="2:8">
      <c r="B3667" t="s">
        <v>25022</v>
      </c>
      <c r="C3667">
        <v>705</v>
      </c>
      <c r="D3667">
        <v>6</v>
      </c>
      <c r="E3667">
        <v>0</v>
      </c>
      <c r="F3667">
        <v>0</v>
      </c>
      <c r="G3667">
        <v>0</v>
      </c>
      <c r="H3667">
        <v>0</v>
      </c>
    </row>
    <row r="3668" spans="2:8">
      <c r="B3668" t="s">
        <v>25022</v>
      </c>
      <c r="C3668">
        <v>705</v>
      </c>
      <c r="D3668">
        <v>30</v>
      </c>
      <c r="E3668">
        <v>10</v>
      </c>
      <c r="F3668">
        <v>0</v>
      </c>
      <c r="G3668">
        <v>8</v>
      </c>
      <c r="H3668">
        <v>2</v>
      </c>
    </row>
    <row r="3669" spans="2:8">
      <c r="B3669" t="s">
        <v>25022</v>
      </c>
      <c r="C3669">
        <v>705</v>
      </c>
      <c r="D3669">
        <v>22</v>
      </c>
      <c r="E3669">
        <v>4</v>
      </c>
      <c r="F3669">
        <v>0</v>
      </c>
      <c r="G3669">
        <v>0</v>
      </c>
      <c r="H3669">
        <v>4</v>
      </c>
    </row>
    <row r="3670" spans="2:8">
      <c r="B3670" t="s">
        <v>25022</v>
      </c>
      <c r="C3670">
        <v>711</v>
      </c>
      <c r="D3670">
        <v>9</v>
      </c>
      <c r="E3670">
        <v>0</v>
      </c>
      <c r="F3670">
        <v>0</v>
      </c>
      <c r="G3670">
        <v>0</v>
      </c>
      <c r="H3670">
        <v>0</v>
      </c>
    </row>
    <row r="3671" spans="2:8">
      <c r="B3671" t="s">
        <v>25022</v>
      </c>
      <c r="C3671">
        <v>714</v>
      </c>
      <c r="D3671">
        <v>26</v>
      </c>
      <c r="E3671">
        <v>9</v>
      </c>
      <c r="F3671">
        <v>0</v>
      </c>
      <c r="G3671">
        <v>7</v>
      </c>
      <c r="H3671">
        <v>2</v>
      </c>
    </row>
    <row r="3672" spans="2:8">
      <c r="B3672" t="s">
        <v>25022</v>
      </c>
      <c r="C3672">
        <v>716</v>
      </c>
      <c r="D3672">
        <v>9</v>
      </c>
      <c r="E3672">
        <v>2</v>
      </c>
      <c r="F3672">
        <v>0</v>
      </c>
      <c r="G3672">
        <v>2</v>
      </c>
      <c r="H3672">
        <v>0</v>
      </c>
    </row>
    <row r="3673" spans="2:8">
      <c r="B3673" t="s">
        <v>25022</v>
      </c>
      <c r="C3673">
        <v>716</v>
      </c>
      <c r="D3673">
        <v>25</v>
      </c>
      <c r="E3673">
        <v>15</v>
      </c>
      <c r="F3673">
        <v>0</v>
      </c>
      <c r="G3673">
        <v>13</v>
      </c>
      <c r="H3673">
        <v>2</v>
      </c>
    </row>
    <row r="3674" spans="2:8">
      <c r="B3674" t="s">
        <v>25022</v>
      </c>
      <c r="C3674">
        <v>716</v>
      </c>
      <c r="D3674">
        <v>11</v>
      </c>
      <c r="E3674">
        <v>3</v>
      </c>
      <c r="F3674">
        <v>0</v>
      </c>
      <c r="G3674">
        <v>3</v>
      </c>
      <c r="H3674">
        <v>0</v>
      </c>
    </row>
    <row r="3675" spans="2:8">
      <c r="B3675" t="s">
        <v>25022</v>
      </c>
      <c r="C3675">
        <v>718</v>
      </c>
      <c r="D3675">
        <v>88</v>
      </c>
      <c r="E3675">
        <v>42</v>
      </c>
      <c r="F3675">
        <v>0</v>
      </c>
      <c r="G3675">
        <v>40</v>
      </c>
      <c r="H3675">
        <v>2</v>
      </c>
    </row>
    <row r="3676" spans="2:8">
      <c r="B3676" t="s">
        <v>25022</v>
      </c>
      <c r="C3676">
        <v>719</v>
      </c>
      <c r="D3676">
        <v>32</v>
      </c>
      <c r="E3676">
        <v>17</v>
      </c>
      <c r="F3676">
        <v>0</v>
      </c>
      <c r="G3676">
        <v>17</v>
      </c>
      <c r="H3676">
        <v>0</v>
      </c>
    </row>
    <row r="3677" spans="2:8">
      <c r="B3677" t="s">
        <v>25022</v>
      </c>
      <c r="C3677">
        <v>724</v>
      </c>
      <c r="D3677">
        <v>66</v>
      </c>
      <c r="E3677">
        <v>27</v>
      </c>
      <c r="F3677">
        <v>0</v>
      </c>
      <c r="G3677">
        <v>23</v>
      </c>
      <c r="H3677">
        <v>4</v>
      </c>
    </row>
    <row r="3678" spans="2:8">
      <c r="B3678" t="s">
        <v>25022</v>
      </c>
      <c r="C3678">
        <v>727</v>
      </c>
      <c r="D3678">
        <v>21</v>
      </c>
      <c r="E3678">
        <v>6</v>
      </c>
      <c r="F3678">
        <v>0</v>
      </c>
      <c r="G3678">
        <v>6</v>
      </c>
      <c r="H3678">
        <v>0</v>
      </c>
    </row>
    <row r="3679" spans="2:8">
      <c r="B3679" t="s">
        <v>25022</v>
      </c>
      <c r="C3679">
        <v>734</v>
      </c>
      <c r="D3679">
        <v>14</v>
      </c>
      <c r="E3679">
        <v>0</v>
      </c>
      <c r="F3679">
        <v>0</v>
      </c>
      <c r="G3679">
        <v>0</v>
      </c>
      <c r="H3679">
        <v>0</v>
      </c>
    </row>
    <row r="3680" spans="2:8">
      <c r="B3680" t="s">
        <v>25022</v>
      </c>
      <c r="C3680">
        <v>737</v>
      </c>
      <c r="D3680">
        <v>51</v>
      </c>
      <c r="E3680">
        <v>25</v>
      </c>
      <c r="F3680">
        <v>0</v>
      </c>
      <c r="G3680">
        <v>21</v>
      </c>
      <c r="H3680">
        <v>4</v>
      </c>
    </row>
    <row r="3681" spans="2:8">
      <c r="B3681" t="s">
        <v>25022</v>
      </c>
      <c r="C3681">
        <v>737</v>
      </c>
      <c r="D3681">
        <v>20</v>
      </c>
      <c r="E3681">
        <v>2</v>
      </c>
      <c r="F3681">
        <v>0</v>
      </c>
      <c r="G3681">
        <v>2</v>
      </c>
      <c r="H3681">
        <v>0</v>
      </c>
    </row>
    <row r="3682" spans="2:8">
      <c r="B3682" t="s">
        <v>25022</v>
      </c>
      <c r="C3682">
        <v>738</v>
      </c>
      <c r="D3682">
        <v>7</v>
      </c>
      <c r="E3682">
        <v>2</v>
      </c>
      <c r="F3682">
        <v>0</v>
      </c>
      <c r="G3682">
        <v>2</v>
      </c>
      <c r="H3682">
        <v>0</v>
      </c>
    </row>
    <row r="3683" spans="2:8">
      <c r="B3683" t="s">
        <v>25022</v>
      </c>
      <c r="C3683">
        <v>739</v>
      </c>
      <c r="D3683">
        <v>9</v>
      </c>
      <c r="E3683">
        <v>5</v>
      </c>
      <c r="F3683">
        <v>0</v>
      </c>
      <c r="G3683">
        <v>5</v>
      </c>
      <c r="H3683">
        <v>0</v>
      </c>
    </row>
    <row r="3684" spans="2:8">
      <c r="B3684" t="s">
        <v>25022</v>
      </c>
      <c r="C3684">
        <v>742</v>
      </c>
      <c r="D3684">
        <v>24</v>
      </c>
      <c r="E3684">
        <v>11</v>
      </c>
      <c r="F3684">
        <v>0</v>
      </c>
      <c r="G3684">
        <v>10</v>
      </c>
      <c r="H3684">
        <v>1</v>
      </c>
    </row>
    <row r="3685" spans="2:8">
      <c r="B3685" t="s">
        <v>25022</v>
      </c>
      <c r="C3685">
        <v>745</v>
      </c>
      <c r="D3685">
        <v>78</v>
      </c>
      <c r="E3685">
        <v>41</v>
      </c>
      <c r="F3685">
        <v>3</v>
      </c>
      <c r="G3685">
        <v>35</v>
      </c>
      <c r="H3685">
        <v>3</v>
      </c>
    </row>
    <row r="3686" spans="2:8">
      <c r="B3686" t="s">
        <v>25022</v>
      </c>
      <c r="C3686">
        <v>746</v>
      </c>
      <c r="D3686">
        <v>9</v>
      </c>
      <c r="E3686">
        <v>2</v>
      </c>
      <c r="F3686">
        <v>0</v>
      </c>
      <c r="G3686">
        <v>2</v>
      </c>
      <c r="H3686">
        <v>0</v>
      </c>
    </row>
    <row r="3687" spans="2:8">
      <c r="B3687" t="s">
        <v>25022</v>
      </c>
      <c r="C3687">
        <v>749</v>
      </c>
      <c r="D3687">
        <v>17</v>
      </c>
      <c r="E3687">
        <v>0</v>
      </c>
      <c r="F3687">
        <v>0</v>
      </c>
      <c r="G3687">
        <v>0</v>
      </c>
      <c r="H3687">
        <v>0</v>
      </c>
    </row>
    <row r="3688" spans="2:8">
      <c r="B3688" t="s">
        <v>25022</v>
      </c>
      <c r="C3688">
        <v>757</v>
      </c>
      <c r="D3688">
        <v>113</v>
      </c>
      <c r="E3688">
        <v>64</v>
      </c>
      <c r="F3688">
        <v>0</v>
      </c>
      <c r="G3688">
        <v>58</v>
      </c>
      <c r="H3688">
        <v>6</v>
      </c>
    </row>
    <row r="3689" spans="2:8">
      <c r="B3689" t="s">
        <v>25022</v>
      </c>
      <c r="C3689">
        <v>761</v>
      </c>
      <c r="D3689">
        <v>140</v>
      </c>
      <c r="E3689">
        <v>94</v>
      </c>
      <c r="F3689">
        <v>0</v>
      </c>
      <c r="G3689">
        <v>80</v>
      </c>
      <c r="H3689">
        <v>14</v>
      </c>
    </row>
    <row r="3690" spans="2:8">
      <c r="B3690" t="s">
        <v>25022</v>
      </c>
      <c r="C3690">
        <v>767</v>
      </c>
      <c r="D3690">
        <v>35</v>
      </c>
      <c r="E3690">
        <v>9</v>
      </c>
      <c r="F3690">
        <v>0</v>
      </c>
      <c r="G3690">
        <v>6</v>
      </c>
      <c r="H3690">
        <v>3</v>
      </c>
    </row>
    <row r="3691" spans="2:8">
      <c r="B3691" t="s">
        <v>25022</v>
      </c>
      <c r="C3691">
        <v>769</v>
      </c>
      <c r="D3691">
        <v>3</v>
      </c>
      <c r="E3691">
        <v>0</v>
      </c>
      <c r="F3691">
        <v>0</v>
      </c>
      <c r="G3691">
        <v>0</v>
      </c>
      <c r="H3691">
        <v>0</v>
      </c>
    </row>
    <row r="3692" spans="2:8">
      <c r="B3692" t="s">
        <v>25022</v>
      </c>
      <c r="C3692">
        <v>774</v>
      </c>
      <c r="D3692">
        <v>89</v>
      </c>
      <c r="E3692">
        <v>54</v>
      </c>
      <c r="F3692">
        <v>0</v>
      </c>
      <c r="G3692">
        <v>48</v>
      </c>
      <c r="H3692">
        <v>6</v>
      </c>
    </row>
    <row r="3693" spans="2:8">
      <c r="B3693" t="s">
        <v>25022</v>
      </c>
      <c r="C3693">
        <v>774</v>
      </c>
      <c r="D3693">
        <v>9</v>
      </c>
      <c r="E3693">
        <v>2</v>
      </c>
      <c r="F3693">
        <v>0</v>
      </c>
      <c r="G3693">
        <v>2</v>
      </c>
      <c r="H3693">
        <v>0</v>
      </c>
    </row>
    <row r="3694" spans="2:8">
      <c r="B3694" t="s">
        <v>25022</v>
      </c>
      <c r="C3694">
        <v>775</v>
      </c>
      <c r="D3694">
        <v>73</v>
      </c>
      <c r="E3694">
        <v>30</v>
      </c>
      <c r="F3694">
        <v>0</v>
      </c>
      <c r="G3694">
        <v>28</v>
      </c>
      <c r="H3694">
        <v>2</v>
      </c>
    </row>
    <row r="3695" spans="2:8">
      <c r="B3695" t="s">
        <v>25022</v>
      </c>
      <c r="C3695">
        <v>776</v>
      </c>
      <c r="D3695">
        <v>95</v>
      </c>
      <c r="E3695">
        <v>42</v>
      </c>
      <c r="F3695">
        <v>0</v>
      </c>
      <c r="G3695">
        <v>40</v>
      </c>
      <c r="H3695">
        <v>2</v>
      </c>
    </row>
    <row r="3696" spans="2:8">
      <c r="B3696" t="s">
        <v>25022</v>
      </c>
      <c r="C3696">
        <v>779</v>
      </c>
      <c r="D3696">
        <v>21</v>
      </c>
      <c r="E3696">
        <v>3</v>
      </c>
      <c r="F3696">
        <v>0</v>
      </c>
      <c r="G3696">
        <v>3</v>
      </c>
      <c r="H3696">
        <v>0</v>
      </c>
    </row>
    <row r="3697" spans="2:8">
      <c r="B3697" t="s">
        <v>25022</v>
      </c>
      <c r="C3697">
        <v>785</v>
      </c>
      <c r="D3697">
        <v>20</v>
      </c>
      <c r="E3697">
        <v>11</v>
      </c>
      <c r="F3697">
        <v>0</v>
      </c>
      <c r="G3697">
        <v>11</v>
      </c>
      <c r="H3697">
        <v>0</v>
      </c>
    </row>
    <row r="3698" spans="2:8">
      <c r="B3698" t="s">
        <v>25022</v>
      </c>
      <c r="C3698">
        <v>786</v>
      </c>
      <c r="D3698">
        <v>36</v>
      </c>
      <c r="E3698">
        <v>7</v>
      </c>
      <c r="F3698">
        <v>0</v>
      </c>
      <c r="G3698">
        <v>7</v>
      </c>
      <c r="H3698">
        <v>0</v>
      </c>
    </row>
    <row r="3699" spans="2:8">
      <c r="B3699" t="s">
        <v>25022</v>
      </c>
      <c r="C3699">
        <v>787</v>
      </c>
      <c r="D3699">
        <v>23</v>
      </c>
      <c r="E3699">
        <v>9</v>
      </c>
      <c r="F3699">
        <v>0</v>
      </c>
      <c r="G3699">
        <v>8</v>
      </c>
      <c r="H3699">
        <v>1</v>
      </c>
    </row>
    <row r="3700" spans="2:8">
      <c r="B3700" t="s">
        <v>25022</v>
      </c>
      <c r="C3700">
        <v>789</v>
      </c>
      <c r="D3700">
        <v>43</v>
      </c>
      <c r="E3700">
        <v>22</v>
      </c>
      <c r="F3700">
        <v>0</v>
      </c>
      <c r="G3700">
        <v>19</v>
      </c>
      <c r="H3700">
        <v>3</v>
      </c>
    </row>
    <row r="3701" spans="2:8">
      <c r="B3701" t="s">
        <v>25022</v>
      </c>
      <c r="C3701">
        <v>798</v>
      </c>
      <c r="D3701">
        <v>29</v>
      </c>
      <c r="E3701">
        <v>16</v>
      </c>
      <c r="F3701">
        <v>0</v>
      </c>
      <c r="G3701">
        <v>16</v>
      </c>
      <c r="H3701">
        <v>0</v>
      </c>
    </row>
    <row r="3702" spans="2:8">
      <c r="B3702" t="s">
        <v>25022</v>
      </c>
      <c r="C3702">
        <v>798</v>
      </c>
      <c r="D3702">
        <v>16</v>
      </c>
      <c r="E3702">
        <v>0</v>
      </c>
      <c r="F3702">
        <v>0</v>
      </c>
      <c r="G3702">
        <v>0</v>
      </c>
      <c r="H3702">
        <v>0</v>
      </c>
    </row>
    <row r="3703" spans="2:8">
      <c r="B3703" t="s">
        <v>25022</v>
      </c>
      <c r="C3703">
        <v>802</v>
      </c>
      <c r="D3703">
        <v>11</v>
      </c>
      <c r="E3703">
        <v>0</v>
      </c>
      <c r="F3703">
        <v>0</v>
      </c>
      <c r="G3703">
        <v>0</v>
      </c>
      <c r="H3703">
        <v>0</v>
      </c>
    </row>
    <row r="3704" spans="2:8">
      <c r="B3704" t="s">
        <v>25022</v>
      </c>
      <c r="C3704">
        <v>804</v>
      </c>
      <c r="D3704">
        <v>37</v>
      </c>
      <c r="E3704">
        <v>10</v>
      </c>
      <c r="F3704">
        <v>0</v>
      </c>
      <c r="G3704">
        <v>10</v>
      </c>
      <c r="H3704">
        <v>0</v>
      </c>
    </row>
    <row r="3705" spans="2:8">
      <c r="B3705" t="s">
        <v>25022</v>
      </c>
      <c r="C3705">
        <v>804</v>
      </c>
      <c r="D3705">
        <v>46</v>
      </c>
      <c r="E3705">
        <v>24</v>
      </c>
      <c r="F3705">
        <v>0</v>
      </c>
      <c r="G3705">
        <v>20</v>
      </c>
      <c r="H3705">
        <v>4</v>
      </c>
    </row>
    <row r="3706" spans="2:8">
      <c r="B3706" t="s">
        <v>25022</v>
      </c>
      <c r="C3706">
        <v>805</v>
      </c>
      <c r="D3706">
        <v>17</v>
      </c>
      <c r="E3706">
        <v>6</v>
      </c>
      <c r="F3706">
        <v>0</v>
      </c>
      <c r="G3706">
        <v>4</v>
      </c>
      <c r="H3706">
        <v>2</v>
      </c>
    </row>
    <row r="3707" spans="2:8">
      <c r="B3707" t="s">
        <v>25022</v>
      </c>
      <c r="C3707">
        <v>806</v>
      </c>
      <c r="D3707">
        <v>9</v>
      </c>
      <c r="E3707">
        <v>0</v>
      </c>
      <c r="F3707">
        <v>0</v>
      </c>
      <c r="G3707">
        <v>0</v>
      </c>
      <c r="H3707">
        <v>0</v>
      </c>
    </row>
    <row r="3708" spans="2:8">
      <c r="B3708" t="s">
        <v>25022</v>
      </c>
      <c r="C3708">
        <v>810</v>
      </c>
      <c r="D3708">
        <v>4</v>
      </c>
      <c r="E3708">
        <v>2</v>
      </c>
      <c r="F3708">
        <v>0</v>
      </c>
      <c r="G3708">
        <v>2</v>
      </c>
      <c r="H3708">
        <v>0</v>
      </c>
    </row>
    <row r="3709" spans="2:8">
      <c r="B3709" t="s">
        <v>25022</v>
      </c>
      <c r="C3709">
        <v>821</v>
      </c>
      <c r="D3709">
        <v>3</v>
      </c>
      <c r="E3709">
        <v>3</v>
      </c>
      <c r="F3709">
        <v>0</v>
      </c>
      <c r="G3709">
        <v>3</v>
      </c>
      <c r="H3709">
        <v>0</v>
      </c>
    </row>
    <row r="3710" spans="2:8">
      <c r="B3710" t="s">
        <v>25022</v>
      </c>
      <c r="C3710">
        <v>827</v>
      </c>
      <c r="D3710">
        <v>9</v>
      </c>
      <c r="E3710">
        <v>2</v>
      </c>
      <c r="F3710">
        <v>0</v>
      </c>
      <c r="G3710">
        <v>2</v>
      </c>
      <c r="H3710">
        <v>0</v>
      </c>
    </row>
    <row r="3711" spans="2:8">
      <c r="B3711" t="s">
        <v>25022</v>
      </c>
      <c r="C3711">
        <v>831</v>
      </c>
      <c r="D3711">
        <v>11</v>
      </c>
      <c r="E3711">
        <v>2</v>
      </c>
      <c r="F3711">
        <v>0</v>
      </c>
      <c r="G3711">
        <v>0</v>
      </c>
      <c r="H3711">
        <v>2</v>
      </c>
    </row>
    <row r="3712" spans="2:8">
      <c r="B3712" t="s">
        <v>25022</v>
      </c>
      <c r="C3712">
        <v>841</v>
      </c>
      <c r="D3712">
        <v>22</v>
      </c>
      <c r="E3712">
        <v>2</v>
      </c>
      <c r="F3712">
        <v>0</v>
      </c>
      <c r="G3712">
        <v>0</v>
      </c>
      <c r="H3712">
        <v>2</v>
      </c>
    </row>
    <row r="3713" spans="2:8">
      <c r="B3713" t="s">
        <v>25022</v>
      </c>
      <c r="C3713">
        <v>856</v>
      </c>
      <c r="D3713">
        <v>23</v>
      </c>
      <c r="E3713">
        <v>14</v>
      </c>
      <c r="F3713">
        <v>0</v>
      </c>
      <c r="G3713">
        <v>13</v>
      </c>
      <c r="H3713">
        <v>1</v>
      </c>
    </row>
    <row r="3714" spans="2:8">
      <c r="B3714" t="s">
        <v>25022</v>
      </c>
      <c r="C3714">
        <v>857</v>
      </c>
      <c r="D3714">
        <v>159</v>
      </c>
      <c r="E3714">
        <v>91</v>
      </c>
      <c r="F3714">
        <v>9</v>
      </c>
      <c r="G3714">
        <v>73</v>
      </c>
      <c r="H3714">
        <v>9</v>
      </c>
    </row>
    <row r="3715" spans="2:8">
      <c r="B3715" t="s">
        <v>25022</v>
      </c>
      <c r="C3715">
        <v>858</v>
      </c>
      <c r="D3715">
        <v>22</v>
      </c>
      <c r="E3715">
        <v>8</v>
      </c>
      <c r="F3715">
        <v>0</v>
      </c>
      <c r="G3715">
        <v>8</v>
      </c>
      <c r="H3715">
        <v>0</v>
      </c>
    </row>
    <row r="3716" spans="2:8">
      <c r="B3716" t="s">
        <v>25022</v>
      </c>
      <c r="C3716">
        <v>861</v>
      </c>
      <c r="D3716">
        <v>56</v>
      </c>
      <c r="E3716">
        <v>28</v>
      </c>
      <c r="F3716">
        <v>0</v>
      </c>
      <c r="G3716">
        <v>25</v>
      </c>
      <c r="H3716">
        <v>3</v>
      </c>
    </row>
    <row r="3717" spans="2:8">
      <c r="B3717" t="s">
        <v>25022</v>
      </c>
      <c r="C3717">
        <v>866</v>
      </c>
      <c r="D3717">
        <v>98</v>
      </c>
      <c r="E3717">
        <v>35</v>
      </c>
      <c r="F3717">
        <v>0</v>
      </c>
      <c r="G3717">
        <v>31</v>
      </c>
      <c r="H3717">
        <v>4</v>
      </c>
    </row>
    <row r="3718" spans="2:8">
      <c r="B3718" t="s">
        <v>25022</v>
      </c>
      <c r="C3718">
        <v>871</v>
      </c>
      <c r="D3718">
        <v>85</v>
      </c>
      <c r="E3718">
        <v>44</v>
      </c>
      <c r="F3718">
        <v>2</v>
      </c>
      <c r="G3718">
        <v>35</v>
      </c>
      <c r="H3718">
        <v>7</v>
      </c>
    </row>
    <row r="3719" spans="2:8">
      <c r="B3719" t="s">
        <v>25022</v>
      </c>
      <c r="C3719">
        <v>878</v>
      </c>
      <c r="D3719">
        <v>27</v>
      </c>
      <c r="E3719">
        <v>12</v>
      </c>
      <c r="F3719">
        <v>0</v>
      </c>
      <c r="G3719">
        <v>12</v>
      </c>
      <c r="H3719">
        <v>0</v>
      </c>
    </row>
    <row r="3720" spans="2:8">
      <c r="B3720" t="s">
        <v>25022</v>
      </c>
      <c r="C3720">
        <v>880</v>
      </c>
      <c r="D3720">
        <v>86</v>
      </c>
      <c r="E3720">
        <v>38</v>
      </c>
      <c r="F3720">
        <v>0</v>
      </c>
      <c r="G3720">
        <v>33</v>
      </c>
      <c r="H3720">
        <v>5</v>
      </c>
    </row>
    <row r="3721" spans="2:8">
      <c r="B3721" t="s">
        <v>25022</v>
      </c>
      <c r="C3721">
        <v>880</v>
      </c>
      <c r="D3721">
        <v>16</v>
      </c>
      <c r="E3721">
        <v>6</v>
      </c>
      <c r="F3721">
        <v>0</v>
      </c>
      <c r="G3721">
        <v>6</v>
      </c>
      <c r="H3721">
        <v>0</v>
      </c>
    </row>
    <row r="3722" spans="2:8">
      <c r="B3722" t="s">
        <v>25022</v>
      </c>
      <c r="C3722">
        <v>880</v>
      </c>
      <c r="D3722">
        <v>18</v>
      </c>
      <c r="E3722">
        <v>0</v>
      </c>
      <c r="F3722">
        <v>0</v>
      </c>
      <c r="G3722">
        <v>0</v>
      </c>
      <c r="H3722">
        <v>0</v>
      </c>
    </row>
    <row r="3723" spans="2:8">
      <c r="B3723" t="s">
        <v>25022</v>
      </c>
      <c r="C3723">
        <v>885</v>
      </c>
      <c r="D3723">
        <v>68</v>
      </c>
      <c r="E3723">
        <v>33</v>
      </c>
      <c r="F3723">
        <v>2</v>
      </c>
      <c r="G3723">
        <v>29</v>
      </c>
      <c r="H3723">
        <v>2</v>
      </c>
    </row>
    <row r="3724" spans="2:8">
      <c r="B3724" t="s">
        <v>25022</v>
      </c>
      <c r="C3724">
        <v>890</v>
      </c>
      <c r="D3724">
        <v>11</v>
      </c>
      <c r="E3724">
        <v>2</v>
      </c>
      <c r="F3724">
        <v>0</v>
      </c>
      <c r="G3724">
        <v>0</v>
      </c>
      <c r="H3724">
        <v>2</v>
      </c>
    </row>
    <row r="3725" spans="2:8">
      <c r="B3725" t="s">
        <v>25022</v>
      </c>
      <c r="C3725">
        <v>894</v>
      </c>
      <c r="D3725">
        <v>43</v>
      </c>
      <c r="E3725">
        <v>22</v>
      </c>
      <c r="F3725">
        <v>0</v>
      </c>
      <c r="G3725">
        <v>22</v>
      </c>
      <c r="H3725">
        <v>0</v>
      </c>
    </row>
    <row r="3726" spans="2:8">
      <c r="B3726" t="s">
        <v>25022</v>
      </c>
      <c r="C3726">
        <v>909</v>
      </c>
      <c r="D3726">
        <v>10</v>
      </c>
      <c r="E3726">
        <v>3</v>
      </c>
      <c r="F3726">
        <v>0</v>
      </c>
      <c r="G3726">
        <v>3</v>
      </c>
      <c r="H3726">
        <v>0</v>
      </c>
    </row>
    <row r="3727" spans="2:8">
      <c r="B3727" t="s">
        <v>25022</v>
      </c>
      <c r="C3727">
        <v>921</v>
      </c>
      <c r="D3727">
        <v>30</v>
      </c>
      <c r="E3727">
        <v>16</v>
      </c>
      <c r="F3727">
        <v>0</v>
      </c>
      <c r="G3727">
        <v>15</v>
      </c>
      <c r="H3727">
        <v>1</v>
      </c>
    </row>
    <row r="3728" spans="2:8">
      <c r="B3728" t="s">
        <v>25022</v>
      </c>
      <c r="C3728">
        <v>931</v>
      </c>
      <c r="D3728">
        <v>25</v>
      </c>
      <c r="E3728">
        <v>9</v>
      </c>
      <c r="F3728">
        <v>0</v>
      </c>
      <c r="G3728">
        <v>5</v>
      </c>
      <c r="H3728">
        <v>4</v>
      </c>
    </row>
    <row r="3729" spans="2:8">
      <c r="B3729" t="s">
        <v>25022</v>
      </c>
      <c r="C3729">
        <v>935</v>
      </c>
      <c r="D3729">
        <v>52</v>
      </c>
      <c r="E3729">
        <v>31</v>
      </c>
      <c r="F3729">
        <v>0</v>
      </c>
      <c r="G3729">
        <v>31</v>
      </c>
      <c r="H3729">
        <v>0</v>
      </c>
    </row>
    <row r="3730" spans="2:8">
      <c r="B3730" t="s">
        <v>25022</v>
      </c>
      <c r="C3730">
        <v>944</v>
      </c>
      <c r="D3730">
        <v>30</v>
      </c>
      <c r="E3730">
        <v>10</v>
      </c>
      <c r="F3730">
        <v>0</v>
      </c>
      <c r="G3730">
        <v>8</v>
      </c>
      <c r="H3730">
        <v>2</v>
      </c>
    </row>
    <row r="3731" spans="2:8">
      <c r="B3731" t="s">
        <v>25022</v>
      </c>
      <c r="C3731">
        <v>952</v>
      </c>
      <c r="D3731">
        <v>104</v>
      </c>
      <c r="E3731">
        <v>52</v>
      </c>
      <c r="F3731">
        <v>2</v>
      </c>
      <c r="G3731">
        <v>44</v>
      </c>
      <c r="H3731">
        <v>6</v>
      </c>
    </row>
    <row r="3732" spans="2:8">
      <c r="B3732" t="s">
        <v>25022</v>
      </c>
      <c r="C3732">
        <v>957</v>
      </c>
      <c r="D3732">
        <v>14</v>
      </c>
      <c r="E3732">
        <v>4</v>
      </c>
      <c r="F3732">
        <v>0</v>
      </c>
      <c r="G3732">
        <v>4</v>
      </c>
      <c r="H3732">
        <v>0</v>
      </c>
    </row>
    <row r="3733" spans="2:8">
      <c r="B3733" t="s">
        <v>25022</v>
      </c>
      <c r="C3733">
        <v>963</v>
      </c>
      <c r="D3733">
        <v>84</v>
      </c>
      <c r="E3733">
        <v>46</v>
      </c>
      <c r="F3733">
        <v>0</v>
      </c>
      <c r="G3733">
        <v>40</v>
      </c>
      <c r="H3733">
        <v>6</v>
      </c>
    </row>
    <row r="3734" spans="2:8">
      <c r="B3734" t="s">
        <v>25022</v>
      </c>
      <c r="C3734">
        <v>985</v>
      </c>
      <c r="D3734">
        <v>78</v>
      </c>
      <c r="E3734">
        <v>46</v>
      </c>
      <c r="F3734">
        <v>0</v>
      </c>
      <c r="G3734">
        <v>45</v>
      </c>
      <c r="H3734">
        <v>1</v>
      </c>
    </row>
    <row r="3735" spans="2:8">
      <c r="B3735" t="s">
        <v>25022</v>
      </c>
      <c r="C3735">
        <v>1030</v>
      </c>
      <c r="D3735">
        <v>58</v>
      </c>
      <c r="E3735">
        <v>19</v>
      </c>
      <c r="F3735">
        <v>0</v>
      </c>
      <c r="G3735">
        <v>15</v>
      </c>
      <c r="H3735">
        <v>4</v>
      </c>
    </row>
    <row r="3736" spans="2:8">
      <c r="B3736" t="s">
        <v>25022</v>
      </c>
      <c r="C3736">
        <v>1052</v>
      </c>
      <c r="D3736">
        <v>47</v>
      </c>
      <c r="E3736">
        <v>16</v>
      </c>
      <c r="F3736">
        <v>0</v>
      </c>
      <c r="G3736">
        <v>14</v>
      </c>
      <c r="H3736">
        <v>2</v>
      </c>
    </row>
    <row r="3737" spans="2:8">
      <c r="B3737" t="s">
        <v>25022</v>
      </c>
      <c r="C3737">
        <v>1054</v>
      </c>
      <c r="D3737">
        <v>104</v>
      </c>
      <c r="E3737">
        <v>63</v>
      </c>
      <c r="F3737">
        <v>0</v>
      </c>
      <c r="G3737">
        <v>59</v>
      </c>
      <c r="H3737">
        <v>4</v>
      </c>
    </row>
    <row r="3738" spans="2:8">
      <c r="B3738" t="s">
        <v>25022</v>
      </c>
      <c r="C3738">
        <v>1061</v>
      </c>
      <c r="D3738">
        <v>101</v>
      </c>
      <c r="E3738">
        <v>56</v>
      </c>
      <c r="F3738">
        <v>0</v>
      </c>
      <c r="G3738">
        <v>56</v>
      </c>
      <c r="H3738">
        <v>0</v>
      </c>
    </row>
    <row r="3739" spans="2:8">
      <c r="B3739" t="s">
        <v>25022</v>
      </c>
      <c r="C3739">
        <v>1071</v>
      </c>
      <c r="D3739">
        <v>13</v>
      </c>
      <c r="E3739">
        <v>0</v>
      </c>
      <c r="F3739">
        <v>0</v>
      </c>
      <c r="G3739">
        <v>0</v>
      </c>
      <c r="H3739">
        <v>0</v>
      </c>
    </row>
    <row r="3740" spans="2:8">
      <c r="B3740" t="s">
        <v>25022</v>
      </c>
      <c r="C3740">
        <v>1115</v>
      </c>
      <c r="D3740">
        <v>38</v>
      </c>
      <c r="E3740">
        <v>7</v>
      </c>
      <c r="F3740">
        <v>0</v>
      </c>
      <c r="G3740">
        <v>3</v>
      </c>
      <c r="H3740">
        <v>4</v>
      </c>
    </row>
    <row r="3741" spans="2:8">
      <c r="B3741" t="s">
        <v>25022</v>
      </c>
      <c r="C3741">
        <v>1130</v>
      </c>
      <c r="D3741">
        <v>85</v>
      </c>
      <c r="E3741">
        <v>41</v>
      </c>
      <c r="F3741">
        <v>0</v>
      </c>
      <c r="G3741">
        <v>35</v>
      </c>
      <c r="H3741">
        <v>6</v>
      </c>
    </row>
    <row r="3742" spans="2:8">
      <c r="B3742" t="s">
        <v>25022</v>
      </c>
      <c r="C3742">
        <v>1148</v>
      </c>
      <c r="D3742">
        <v>21</v>
      </c>
      <c r="E3742">
        <v>7</v>
      </c>
      <c r="F3742">
        <v>0</v>
      </c>
      <c r="G3742">
        <v>7</v>
      </c>
      <c r="H3742">
        <v>0</v>
      </c>
    </row>
    <row r="3743" spans="2:8">
      <c r="B3743" t="s">
        <v>25022</v>
      </c>
      <c r="C3743">
        <v>1166</v>
      </c>
      <c r="D3743">
        <v>48</v>
      </c>
      <c r="E3743">
        <v>25</v>
      </c>
      <c r="F3743">
        <v>0</v>
      </c>
      <c r="G3743">
        <v>25</v>
      </c>
      <c r="H3743">
        <v>0</v>
      </c>
    </row>
    <row r="3744" spans="2:8">
      <c r="B3744" t="s">
        <v>25022</v>
      </c>
      <c r="C3744">
        <v>1177</v>
      </c>
      <c r="D3744">
        <v>21</v>
      </c>
      <c r="E3744">
        <v>11</v>
      </c>
      <c r="F3744">
        <v>0</v>
      </c>
      <c r="G3744">
        <v>11</v>
      </c>
      <c r="H3744">
        <v>0</v>
      </c>
    </row>
    <row r="3745" spans="2:8">
      <c r="B3745" t="s">
        <v>25022</v>
      </c>
      <c r="C3745">
        <v>1186</v>
      </c>
      <c r="D3745">
        <v>32</v>
      </c>
      <c r="E3745">
        <v>14</v>
      </c>
      <c r="F3745">
        <v>0</v>
      </c>
      <c r="G3745">
        <v>14</v>
      </c>
      <c r="H3745">
        <v>0</v>
      </c>
    </row>
    <row r="3746" spans="2:8">
      <c r="B3746" t="s">
        <v>25022</v>
      </c>
      <c r="C3746">
        <v>1193</v>
      </c>
      <c r="D3746">
        <v>129</v>
      </c>
      <c r="E3746">
        <v>74</v>
      </c>
      <c r="F3746">
        <v>0</v>
      </c>
      <c r="G3746">
        <v>73</v>
      </c>
      <c r="H3746">
        <v>1</v>
      </c>
    </row>
    <row r="3747" spans="2:8">
      <c r="B3747" t="s">
        <v>25022</v>
      </c>
      <c r="C3747">
        <v>1193</v>
      </c>
      <c r="D3747">
        <v>9</v>
      </c>
      <c r="E3747">
        <v>0</v>
      </c>
      <c r="F3747">
        <v>0</v>
      </c>
      <c r="G3747">
        <v>0</v>
      </c>
      <c r="H3747">
        <v>0</v>
      </c>
    </row>
    <row r="3748" spans="2:8">
      <c r="B3748" t="s">
        <v>25022</v>
      </c>
      <c r="C3748">
        <v>1199</v>
      </c>
      <c r="D3748">
        <v>6</v>
      </c>
      <c r="E3748">
        <v>0</v>
      </c>
      <c r="F3748">
        <v>0</v>
      </c>
      <c r="G3748">
        <v>0</v>
      </c>
      <c r="H3748">
        <v>0</v>
      </c>
    </row>
    <row r="3749" spans="2:8">
      <c r="B3749" t="s">
        <v>25022</v>
      </c>
      <c r="C3749">
        <v>1217</v>
      </c>
      <c r="D3749">
        <v>73</v>
      </c>
      <c r="E3749">
        <v>24</v>
      </c>
      <c r="F3749">
        <v>0</v>
      </c>
      <c r="G3749">
        <v>20</v>
      </c>
      <c r="H3749">
        <v>4</v>
      </c>
    </row>
    <row r="3750" spans="2:8">
      <c r="B3750" t="s">
        <v>25022</v>
      </c>
      <c r="C3750">
        <v>1228</v>
      </c>
      <c r="D3750">
        <v>51</v>
      </c>
      <c r="E3750">
        <v>22</v>
      </c>
      <c r="F3750">
        <v>0</v>
      </c>
      <c r="G3750">
        <v>18</v>
      </c>
      <c r="H3750">
        <v>4</v>
      </c>
    </row>
    <row r="3751" spans="2:8">
      <c r="B3751" t="s">
        <v>25022</v>
      </c>
      <c r="C3751">
        <v>1232</v>
      </c>
      <c r="D3751">
        <v>63</v>
      </c>
      <c r="E3751">
        <v>31</v>
      </c>
      <c r="F3751">
        <v>0</v>
      </c>
      <c r="G3751">
        <v>26</v>
      </c>
      <c r="H3751">
        <v>5</v>
      </c>
    </row>
    <row r="3752" spans="2:8">
      <c r="B3752" t="s">
        <v>25022</v>
      </c>
      <c r="C3752">
        <v>1275</v>
      </c>
      <c r="D3752">
        <v>97</v>
      </c>
      <c r="E3752">
        <v>46</v>
      </c>
      <c r="F3752">
        <v>0</v>
      </c>
      <c r="G3752">
        <v>36</v>
      </c>
      <c r="H3752">
        <v>10</v>
      </c>
    </row>
    <row r="3753" spans="2:8">
      <c r="B3753" t="s">
        <v>25022</v>
      </c>
      <c r="C3753">
        <v>1289</v>
      </c>
      <c r="D3753">
        <v>95</v>
      </c>
      <c r="E3753">
        <v>48</v>
      </c>
      <c r="F3753">
        <v>0</v>
      </c>
      <c r="G3753">
        <v>45</v>
      </c>
      <c r="H3753">
        <v>3</v>
      </c>
    </row>
    <row r="3754" spans="2:8">
      <c r="B3754" t="s">
        <v>25022</v>
      </c>
      <c r="C3754">
        <v>1433</v>
      </c>
      <c r="D3754">
        <v>147</v>
      </c>
      <c r="E3754">
        <v>85</v>
      </c>
      <c r="F3754">
        <v>0</v>
      </c>
      <c r="G3754">
        <v>79</v>
      </c>
      <c r="H3754">
        <v>6</v>
      </c>
    </row>
    <row r="3755" spans="2:8">
      <c r="B3755" t="s">
        <v>25022</v>
      </c>
      <c r="C3755">
        <v>1437</v>
      </c>
      <c r="D3755">
        <v>16</v>
      </c>
      <c r="E3755">
        <v>5</v>
      </c>
      <c r="F3755">
        <v>0</v>
      </c>
      <c r="G3755">
        <v>5</v>
      </c>
      <c r="H3755">
        <v>0</v>
      </c>
    </row>
    <row r="3756" spans="2:8">
      <c r="B3756" t="s">
        <v>25022</v>
      </c>
      <c r="C3756">
        <v>1495</v>
      </c>
      <c r="D3756">
        <v>72</v>
      </c>
      <c r="E3756">
        <v>40</v>
      </c>
      <c r="F3756">
        <v>0</v>
      </c>
      <c r="G3756">
        <v>34</v>
      </c>
      <c r="H3756">
        <v>6</v>
      </c>
    </row>
    <row r="3757" spans="2:8">
      <c r="B3757" t="s">
        <v>25022</v>
      </c>
      <c r="C3757">
        <v>2334</v>
      </c>
      <c r="D3757">
        <v>166</v>
      </c>
      <c r="E3757">
        <v>65</v>
      </c>
      <c r="F3757">
        <v>0</v>
      </c>
      <c r="G3757">
        <v>55</v>
      </c>
      <c r="H3757">
        <v>10</v>
      </c>
    </row>
    <row r="3758" spans="2:8">
      <c r="B3758" t="s">
        <v>25022</v>
      </c>
      <c r="C3758">
        <v>2378</v>
      </c>
      <c r="D3758">
        <v>230</v>
      </c>
      <c r="E3758">
        <v>132</v>
      </c>
      <c r="F3758">
        <v>3</v>
      </c>
      <c r="G3758">
        <v>120</v>
      </c>
      <c r="H3758">
        <v>9</v>
      </c>
    </row>
    <row r="3759" spans="2:8">
      <c r="B3759" t="s">
        <v>25022</v>
      </c>
      <c r="C3759">
        <v>2543</v>
      </c>
      <c r="D3759">
        <v>157</v>
      </c>
      <c r="E3759">
        <v>41</v>
      </c>
      <c r="F3759">
        <v>0</v>
      </c>
      <c r="G3759">
        <v>29</v>
      </c>
      <c r="H3759">
        <v>12</v>
      </c>
    </row>
    <row r="3760" spans="2:8">
      <c r="B3760" t="s">
        <v>25022</v>
      </c>
      <c r="C3760">
        <v>3583</v>
      </c>
      <c r="D3760">
        <v>336</v>
      </c>
      <c r="E3760">
        <v>178</v>
      </c>
      <c r="F3760">
        <v>4</v>
      </c>
      <c r="G3760">
        <v>162</v>
      </c>
      <c r="H3760">
        <v>12</v>
      </c>
    </row>
    <row r="3761" spans="2:8">
      <c r="B3761" t="s">
        <v>25022</v>
      </c>
      <c r="C3761">
        <v>3587</v>
      </c>
      <c r="D3761">
        <v>311</v>
      </c>
      <c r="E3761">
        <v>155</v>
      </c>
      <c r="F3761">
        <v>2</v>
      </c>
      <c r="G3761">
        <v>140</v>
      </c>
      <c r="H3761">
        <v>13</v>
      </c>
    </row>
    <row r="3762" spans="2:8">
      <c r="B3762" t="s">
        <v>25022</v>
      </c>
      <c r="C3762">
        <v>4262</v>
      </c>
      <c r="D3762">
        <v>251</v>
      </c>
      <c r="E3762">
        <v>62</v>
      </c>
      <c r="F3762">
        <v>2</v>
      </c>
      <c r="G3762">
        <v>53</v>
      </c>
      <c r="H3762">
        <v>7</v>
      </c>
    </row>
    <row r="3763" spans="2:8">
      <c r="B3763" t="s">
        <v>25022</v>
      </c>
      <c r="C3763">
        <v>4538</v>
      </c>
      <c r="D3763">
        <v>227</v>
      </c>
      <c r="E3763">
        <v>90</v>
      </c>
      <c r="F3763">
        <v>0</v>
      </c>
      <c r="G3763">
        <v>80</v>
      </c>
      <c r="H3763">
        <v>10</v>
      </c>
    </row>
    <row r="3764" spans="2:8">
      <c r="B3764" t="s">
        <v>25022</v>
      </c>
      <c r="C3764">
        <v>5043</v>
      </c>
      <c r="D3764">
        <v>580</v>
      </c>
      <c r="E3764">
        <v>362</v>
      </c>
      <c r="F3764">
        <v>11</v>
      </c>
      <c r="G3764">
        <v>325</v>
      </c>
      <c r="H3764">
        <v>26</v>
      </c>
    </row>
    <row r="3765" spans="2:8">
      <c r="B3765" t="s">
        <v>25022</v>
      </c>
      <c r="C3765">
        <v>5488</v>
      </c>
      <c r="D3765">
        <v>410</v>
      </c>
      <c r="E3765">
        <v>205</v>
      </c>
      <c r="F3765">
        <v>2</v>
      </c>
      <c r="G3765">
        <v>188</v>
      </c>
      <c r="H3765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TimeZone-summary</vt:lpstr>
      <vt:lpstr>CD</vt:lpstr>
      <vt:lpstr>HO</vt:lpstr>
      <vt:lpstr>Analysis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Merrikh</dc:creator>
  <cp:lastModifiedBy>Leonard Harris</cp:lastModifiedBy>
  <dcterms:created xsi:type="dcterms:W3CDTF">2020-02-25T15:35:08Z</dcterms:created>
  <dcterms:modified xsi:type="dcterms:W3CDTF">2020-06-03T10:49:24Z</dcterms:modified>
</cp:coreProperties>
</file>